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IA\Desktop\WORK_POLICLINICO\2025\Bilancio 2025\Bilancio a chiusura\FASCICOLO DI BILANCIO\fascicolo bilancio 05072026\"/>
    </mc:Choice>
  </mc:AlternateContent>
  <xr:revisionPtr revIDLastSave="0" documentId="13_ncr:1_{5AD88DA2-9F93-4222-92C7-E0F76A7ED786}" xr6:coauthVersionLast="47" xr6:coauthVersionMax="47" xr10:uidLastSave="{00000000-0000-0000-0000-000000000000}"/>
  <bookViews>
    <workbookView xWindow="28680" yWindow="-120" windowWidth="29040" windowHeight="15720" activeTab="6" xr2:uid="{011E9868-97C3-4451-94C0-5F71639471E0}"/>
  </bookViews>
  <sheets>
    <sheet name="Conto Economico" sheetId="25" r:id="rId1"/>
    <sheet name="Stato Patr attivo" sheetId="26" r:id="rId2"/>
    <sheet name="Stato Patr passivo" sheetId="27" r:id="rId3"/>
    <sheet name="CE 2025_NSIS" sheetId="22" r:id="rId4"/>
    <sheet name="New Mod. SP 2024_NSIS" sheetId="23" state="hidden" r:id="rId5"/>
    <sheet name="SP 2025 NSIS" sheetId="28" r:id="rId6"/>
    <sheet name="2025_Schema RF" sheetId="29" r:id="rId7"/>
    <sheet name="prova_SP" sheetId="17" state="hidden" r:id="rId8"/>
    <sheet name="BdV_2024_v.28062025_ore17" sheetId="15" state="hidden" r:id="rId9"/>
    <sheet name="MOD. SP_2024" sheetId="13" state="hidden" r:id="rId10"/>
    <sheet name="SP_2024_v28062025" sheetId="14" state="hidden" r:id="rId11"/>
    <sheet name="PROSPETTO CE_IV TRIM 2024" sheetId="10" state="hidden" r:id="rId12"/>
    <sheet name="C.E._31122024" sheetId="11" state="hidden" r:id="rId13"/>
  </sheets>
  <definedNames>
    <definedName name="_" localSheetId="6" hidden="1">{#N/A,#N/A,FALSE,"B1";#N/A,#N/A,FALSE,"B2";#N/A,#N/A,FALSE,"B3";#N/A,#N/A,FALSE,"A4";#N/A,#N/A,FALSE,"A3";#N/A,#N/A,FALSE,"A2";#N/A,#N/A,FALSE,"A1";#N/A,#N/A,FALSE,"Indice"}</definedName>
    <definedName name="_" localSheetId="9" hidden="1">{#N/A,#N/A,FALSE,"B1";#N/A,#N/A,FALSE,"B2";#N/A,#N/A,FALSE,"B3";#N/A,#N/A,FALSE,"A4";#N/A,#N/A,FALSE,"A3";#N/A,#N/A,FALSE,"A2";#N/A,#N/A,FALSE,"A1";#N/A,#N/A,FALSE,"Indice"}</definedName>
    <definedName name="_" localSheetId="4" hidden="1">{#N/A,#N/A,FALSE,"B1";#N/A,#N/A,FALSE,"B2";#N/A,#N/A,FALSE,"B3";#N/A,#N/A,FALSE,"A4";#N/A,#N/A,FALSE,"A3";#N/A,#N/A,FALSE,"A2";#N/A,#N/A,FALSE,"A1";#N/A,#N/A,FALSE,"Indice"}</definedName>
    <definedName name="_" localSheetId="5" hidden="1">{#N/A,#N/A,FALSE,"B1";#N/A,#N/A,FALSE,"B2";#N/A,#N/A,FALSE,"B3";#N/A,#N/A,FALSE,"A4";#N/A,#N/A,FALSE,"A3";#N/A,#N/A,FALSE,"A2";#N/A,#N/A,FALSE,"A1";#N/A,#N/A,FALSE,"Indice"}</definedName>
    <definedName name="_" localSheetId="10" hidden="1">{#N/A,#N/A,FALSE,"B1";#N/A,#N/A,FALSE,"B2";#N/A,#N/A,FALSE,"B3";#N/A,#N/A,FALSE,"A4";#N/A,#N/A,FALSE,"A3";#N/A,#N/A,FALSE,"A2";#N/A,#N/A,FALSE,"A1";#N/A,#N/A,FALSE,"Indice"}</definedName>
    <definedName name="_" hidden="1">{#N/A,#N/A,FALSE,"B1";#N/A,#N/A,FALSE,"B2";#N/A,#N/A,FALSE,"B3";#N/A,#N/A,FALSE,"A4";#N/A,#N/A,FALSE,"A3";#N/A,#N/A,FALSE,"A2";#N/A,#N/A,FALSE,"A1";#N/A,#N/A,FALSE,"Indice"}</definedName>
    <definedName name="_FilterDatabase" localSheetId="10" hidden="1">SP_2024_v28062025!$E$2:$AL$1751</definedName>
    <definedName name="_xlnm._FilterDatabase" localSheetId="6" hidden="1">'2025_Schema RF'!$B$1:$B$118</definedName>
    <definedName name="_xlnm._FilterDatabase" localSheetId="8" hidden="1">BdV_2024_v.28062025_ore17!$A$3:$T$4422</definedName>
    <definedName name="_xlnm._FilterDatabase" localSheetId="12" hidden="1">'C.E._31122024'!$A$3:$AA$560</definedName>
    <definedName name="_xlnm._FilterDatabase" localSheetId="3" hidden="1">'CE 2025_NSIS'!$A$1:$K$558</definedName>
    <definedName name="_xlnm._FilterDatabase" localSheetId="9" hidden="1">'MOD. SP_2024'!$A$3:$P$320</definedName>
    <definedName name="_xlnm._FilterDatabase" localSheetId="4" hidden="1">'New Mod. SP 2024_NSIS'!$A$3:$WVP$320</definedName>
    <definedName name="_xlnm._FilterDatabase" localSheetId="11" hidden="1">'PROSPETTO CE_IV TRIM 2024'!$A$1:$BQ$2538</definedName>
    <definedName name="_xlnm._FilterDatabase" localSheetId="5" hidden="1">'SP 2025 NSIS'!$A$1:$R$659</definedName>
    <definedName name="_xlnm._FilterDatabase" localSheetId="10" hidden="1">SP_2024_v28062025!$A$1:$AN$1751</definedName>
    <definedName name="aa" localSheetId="6" hidden="1">{#N/A,#N/A,FALSE,"B1";#N/A,#N/A,FALSE,"B2";#N/A,#N/A,FALSE,"B3";#N/A,#N/A,FALSE,"A4";#N/A,#N/A,FALSE,"A3";#N/A,#N/A,FALSE,"A2";#N/A,#N/A,FALSE,"A1";#N/A,#N/A,FALSE,"Indice"}</definedName>
    <definedName name="aa" localSheetId="9" hidden="1">{#N/A,#N/A,FALSE,"B1";#N/A,#N/A,FALSE,"B2";#N/A,#N/A,FALSE,"B3";#N/A,#N/A,FALSE,"A4";#N/A,#N/A,FALSE,"A3";#N/A,#N/A,FALSE,"A2";#N/A,#N/A,FALSE,"A1";#N/A,#N/A,FALSE,"Indice"}</definedName>
    <definedName name="aa" localSheetId="4" hidden="1">{#N/A,#N/A,FALSE,"B1";#N/A,#N/A,FALSE,"B2";#N/A,#N/A,FALSE,"B3";#N/A,#N/A,FALSE,"A4";#N/A,#N/A,FALSE,"A3";#N/A,#N/A,FALSE,"A2";#N/A,#N/A,FALSE,"A1";#N/A,#N/A,FALSE,"Indice"}</definedName>
    <definedName name="aa" localSheetId="5" hidden="1">{#N/A,#N/A,FALSE,"B1";#N/A,#N/A,FALSE,"B2";#N/A,#N/A,FALSE,"B3";#N/A,#N/A,FALSE,"A4";#N/A,#N/A,FALSE,"A3";#N/A,#N/A,FALSE,"A2";#N/A,#N/A,FALSE,"A1";#N/A,#N/A,FALSE,"Indice"}</definedName>
    <definedName name="aa" localSheetId="10" hidden="1">{#N/A,#N/A,FALSE,"B1";#N/A,#N/A,FALSE,"B2";#N/A,#N/A,FALSE,"B3";#N/A,#N/A,FALSE,"A4";#N/A,#N/A,FALSE,"A3";#N/A,#N/A,FALSE,"A2";#N/A,#N/A,FALSE,"A1";#N/A,#N/A,FALSE,"Indice"}</definedName>
    <definedName name="aa" hidden="1">{#N/A,#N/A,FALSE,"B1";#N/A,#N/A,FALSE,"B2";#N/A,#N/A,FALSE,"B3";#N/A,#N/A,FALSE,"A4";#N/A,#N/A,FALSE,"A3";#N/A,#N/A,FALSE,"A2";#N/A,#N/A,FALSE,"A1";#N/A,#N/A,FALSE,"Indice"}</definedName>
    <definedName name="aaa" localSheetId="6" hidden="1">{#N/A,#N/A,FALSE,"B3";#N/A,#N/A,FALSE,"B2";#N/A,#N/A,FALSE,"B1"}</definedName>
    <definedName name="aaa" localSheetId="9" hidden="1">{#N/A,#N/A,FALSE,"B3";#N/A,#N/A,FALSE,"B2";#N/A,#N/A,FALSE,"B1"}</definedName>
    <definedName name="aaa" localSheetId="4" hidden="1">{#N/A,#N/A,FALSE,"B3";#N/A,#N/A,FALSE,"B2";#N/A,#N/A,FALSE,"B1"}</definedName>
    <definedName name="aaa" localSheetId="5" hidden="1">{#N/A,#N/A,FALSE,"B3";#N/A,#N/A,FALSE,"B2";#N/A,#N/A,FALSE,"B1"}</definedName>
    <definedName name="aaa" localSheetId="10" hidden="1">{#N/A,#N/A,FALSE,"B3";#N/A,#N/A,FALSE,"B2";#N/A,#N/A,FALSE,"B1"}</definedName>
    <definedName name="aaa" hidden="1">{#N/A,#N/A,FALSE,"B3";#N/A,#N/A,FALSE,"B2";#N/A,#N/A,FALSE,"B1"}</definedName>
    <definedName name="aaaaaa" localSheetId="6" hidden="1">#REF!</definedName>
    <definedName name="aaaaaa" localSheetId="5" hidden="1">#REF!</definedName>
    <definedName name="aaaaaa" hidden="1">#REF!</definedName>
    <definedName name="aaaaaaaa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" localSheetId="9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" localSheetId="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" localSheetId="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" localSheetId="1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mama" localSheetId="6" hidden="1">{#N/A,#N/A,FALSE,"B3";#N/A,#N/A,FALSE,"B2";#N/A,#N/A,FALSE,"B1"}</definedName>
    <definedName name="amama" localSheetId="9" hidden="1">{#N/A,#N/A,FALSE,"B3";#N/A,#N/A,FALSE,"B2";#N/A,#N/A,FALSE,"B1"}</definedName>
    <definedName name="amama" localSheetId="4" hidden="1">{#N/A,#N/A,FALSE,"B3";#N/A,#N/A,FALSE,"B2";#N/A,#N/A,FALSE,"B1"}</definedName>
    <definedName name="amama" localSheetId="5" hidden="1">{#N/A,#N/A,FALSE,"B3";#N/A,#N/A,FALSE,"B2";#N/A,#N/A,FALSE,"B1"}</definedName>
    <definedName name="amama" localSheetId="10" hidden="1">{#N/A,#N/A,FALSE,"B3";#N/A,#N/A,FALSE,"B2";#N/A,#N/A,FALSE,"B1"}</definedName>
    <definedName name="amama" hidden="1">{#N/A,#N/A,FALSE,"B3";#N/A,#N/A,FALSE,"B2";#N/A,#N/A,FALSE,"B1"}</definedName>
    <definedName name="_xlnm.Print_Area" localSheetId="6">'2025_Schema RF'!$A$4:$D$118</definedName>
    <definedName name="_xlnm.Print_Area" localSheetId="3">'CE 2025_NSIS'!$B$1:$J$558</definedName>
    <definedName name="_xlnm.Print_Area" localSheetId="0">'Conto Economico'!$A$1:$J$118</definedName>
    <definedName name="_xlnm.Print_Area" localSheetId="5">'SP 2025 NSIS'!$B$1:$J$318</definedName>
    <definedName name="_xlnm.Print_Area" localSheetId="1">'Stato Patr attivo'!$A$1:$L$100</definedName>
    <definedName name="_xlnm.Print_Area" localSheetId="2">'Stato Patr passivo'!$A$1:$M$71</definedName>
    <definedName name="b" localSheetId="6" hidden="1">{#N/A,#N/A,FALSE,"B3";#N/A,#N/A,FALSE,"B2";#N/A,#N/A,FALSE,"B1"}</definedName>
    <definedName name="b" localSheetId="9" hidden="1">{#N/A,#N/A,FALSE,"B3";#N/A,#N/A,FALSE,"B2";#N/A,#N/A,FALSE,"B1"}</definedName>
    <definedName name="b" localSheetId="4" hidden="1">{#N/A,#N/A,FALSE,"B3";#N/A,#N/A,FALSE,"B2";#N/A,#N/A,FALSE,"B1"}</definedName>
    <definedName name="b" localSheetId="5" hidden="1">{#N/A,#N/A,FALSE,"B3";#N/A,#N/A,FALSE,"B2";#N/A,#N/A,FALSE,"B1"}</definedName>
    <definedName name="b" localSheetId="10" hidden="1">{#N/A,#N/A,FALSE,"B3";#N/A,#N/A,FALSE,"B2";#N/A,#N/A,FALSE,"B1"}</definedName>
    <definedName name="b" hidden="1">{#N/A,#N/A,FALSE,"B3";#N/A,#N/A,FALSE,"B2";#N/A,#N/A,FALSE,"B1"}</definedName>
    <definedName name="Base_PPT" localSheetId="6" hidden="1">#REF!</definedName>
    <definedName name="Base_PPT" localSheetId="5" hidden="1">#REF!</definedName>
    <definedName name="Base_PPT" hidden="1">#REF!</definedName>
    <definedName name="bb" localSheetId="6" hidden="1">{#N/A,#N/A,FALSE,"Indice"}</definedName>
    <definedName name="bb" localSheetId="9" hidden="1">{#N/A,#N/A,FALSE,"Indice"}</definedName>
    <definedName name="bb" localSheetId="4" hidden="1">{#N/A,#N/A,FALSE,"Indice"}</definedName>
    <definedName name="bb" localSheetId="5" hidden="1">{#N/A,#N/A,FALSE,"Indice"}</definedName>
    <definedName name="bb" localSheetId="10" hidden="1">{#N/A,#N/A,FALSE,"Indice"}</definedName>
    <definedName name="bb" hidden="1">{#N/A,#N/A,FALSE,"Indice"}</definedName>
    <definedName name="bg" localSheetId="6" hidden="1">{#N/A,#N/A,FALSE,"A4";#N/A,#N/A,FALSE,"A3";#N/A,#N/A,FALSE,"A2";#N/A,#N/A,FALSE,"A1"}</definedName>
    <definedName name="bg" localSheetId="9" hidden="1">{#N/A,#N/A,FALSE,"A4";#N/A,#N/A,FALSE,"A3";#N/A,#N/A,FALSE,"A2";#N/A,#N/A,FALSE,"A1"}</definedName>
    <definedName name="bg" localSheetId="4" hidden="1">{#N/A,#N/A,FALSE,"A4";#N/A,#N/A,FALSE,"A3";#N/A,#N/A,FALSE,"A2";#N/A,#N/A,FALSE,"A1"}</definedName>
    <definedName name="bg" localSheetId="5" hidden="1">{#N/A,#N/A,FALSE,"A4";#N/A,#N/A,FALSE,"A3";#N/A,#N/A,FALSE,"A2";#N/A,#N/A,FALSE,"A1"}</definedName>
    <definedName name="bg" localSheetId="10" hidden="1">{#N/A,#N/A,FALSE,"A4";#N/A,#N/A,FALSE,"A3";#N/A,#N/A,FALSE,"A2";#N/A,#N/A,FALSE,"A1"}</definedName>
    <definedName name="bg" hidden="1">{#N/A,#N/A,FALSE,"A4";#N/A,#N/A,FALSE,"A3";#N/A,#N/A,FALSE,"A2";#N/A,#N/A,FALSE,"A1"}</definedName>
    <definedName name="BLPB1" localSheetId="6" hidden="1">#REF!</definedName>
    <definedName name="BLPB1" localSheetId="5" hidden="1">#REF!</definedName>
    <definedName name="BLPB1" hidden="1">#REF!</definedName>
    <definedName name="bnmbm" localSheetId="6" hidden="1">{#N/A,#N/A,TRUE,"Main Issues";#N/A,#N/A,TRUE,"Income statement ($)"}</definedName>
    <definedName name="bnmbm" localSheetId="9" hidden="1">{#N/A,#N/A,TRUE,"Main Issues";#N/A,#N/A,TRUE,"Income statement ($)"}</definedName>
    <definedName name="bnmbm" localSheetId="4" hidden="1">{#N/A,#N/A,TRUE,"Main Issues";#N/A,#N/A,TRUE,"Income statement ($)"}</definedName>
    <definedName name="bnmbm" localSheetId="5" hidden="1">{#N/A,#N/A,TRUE,"Main Issues";#N/A,#N/A,TRUE,"Income statement ($)"}</definedName>
    <definedName name="bnmbm" localSheetId="10" hidden="1">{#N/A,#N/A,TRUE,"Main Issues";#N/A,#N/A,TRUE,"Income statement ($)"}</definedName>
    <definedName name="bnmbm" hidden="1">{#N/A,#N/A,TRUE,"Main Issues";#N/A,#N/A,TRUE,"Income statement ($)"}</definedName>
    <definedName name="cc" localSheetId="6" hidden="1">{#N/A,#N/A,FALSE,"Indice"}</definedName>
    <definedName name="cc" localSheetId="9" hidden="1">{#N/A,#N/A,FALSE,"Indice"}</definedName>
    <definedName name="cc" localSheetId="4" hidden="1">{#N/A,#N/A,FALSE,"Indice"}</definedName>
    <definedName name="cc" localSheetId="5" hidden="1">{#N/A,#N/A,FALSE,"Indice"}</definedName>
    <definedName name="cc" localSheetId="10" hidden="1">{#N/A,#N/A,FALSE,"Indice"}</definedName>
    <definedName name="cc" hidden="1">{#N/A,#N/A,FALSE,"Indice"}</definedName>
    <definedName name="cd" localSheetId="6" hidden="1">{#N/A,#N/A,FALSE,"Indice"}</definedName>
    <definedName name="cd" localSheetId="9" hidden="1">{#N/A,#N/A,FALSE,"Indice"}</definedName>
    <definedName name="cd" localSheetId="4" hidden="1">{#N/A,#N/A,FALSE,"Indice"}</definedName>
    <definedName name="cd" localSheetId="5" hidden="1">{#N/A,#N/A,FALSE,"Indice"}</definedName>
    <definedName name="cd" localSheetId="10" hidden="1">{#N/A,#N/A,FALSE,"Indice"}</definedName>
    <definedName name="cd" hidden="1">{#N/A,#N/A,FALSE,"Indice"}</definedName>
    <definedName name="cer" localSheetId="6" hidden="1">{#N/A,#N/A,FALSE,"B1";#N/A,#N/A,FALSE,"B2";#N/A,#N/A,FALSE,"B3";#N/A,#N/A,FALSE,"A4";#N/A,#N/A,FALSE,"A3";#N/A,#N/A,FALSE,"A2";#N/A,#N/A,FALSE,"A1";#N/A,#N/A,FALSE,"Indice"}</definedName>
    <definedName name="cer" localSheetId="9" hidden="1">{#N/A,#N/A,FALSE,"B1";#N/A,#N/A,FALSE,"B2";#N/A,#N/A,FALSE,"B3";#N/A,#N/A,FALSE,"A4";#N/A,#N/A,FALSE,"A3";#N/A,#N/A,FALSE,"A2";#N/A,#N/A,FALSE,"A1";#N/A,#N/A,FALSE,"Indice"}</definedName>
    <definedName name="cer" localSheetId="4" hidden="1">{#N/A,#N/A,FALSE,"B1";#N/A,#N/A,FALSE,"B2";#N/A,#N/A,FALSE,"B3";#N/A,#N/A,FALSE,"A4";#N/A,#N/A,FALSE,"A3";#N/A,#N/A,FALSE,"A2";#N/A,#N/A,FALSE,"A1";#N/A,#N/A,FALSE,"Indice"}</definedName>
    <definedName name="cer" localSheetId="5" hidden="1">{#N/A,#N/A,FALSE,"B1";#N/A,#N/A,FALSE,"B2";#N/A,#N/A,FALSE,"B3";#N/A,#N/A,FALSE,"A4";#N/A,#N/A,FALSE,"A3";#N/A,#N/A,FALSE,"A2";#N/A,#N/A,FALSE,"A1";#N/A,#N/A,FALSE,"Indice"}</definedName>
    <definedName name="cer" localSheetId="10" hidden="1">{#N/A,#N/A,FALSE,"B1";#N/A,#N/A,FALSE,"B2";#N/A,#N/A,FALSE,"B3";#N/A,#N/A,FALSE,"A4";#N/A,#N/A,FALSE,"A3";#N/A,#N/A,FALSE,"A2";#N/A,#N/A,FALSE,"A1";#N/A,#N/A,FALSE,"Indice"}</definedName>
    <definedName name="cer" hidden="1">{#N/A,#N/A,FALSE,"B1";#N/A,#N/A,FALSE,"B2";#N/A,#N/A,FALSE,"B3";#N/A,#N/A,FALSE,"A4";#N/A,#N/A,FALSE,"A3";#N/A,#N/A,FALSE,"A2";#N/A,#N/A,FALSE,"A1";#N/A,#N/A,FALSE,"Indice"}</definedName>
    <definedName name="cerd" localSheetId="6" hidden="1">{#N/A,#N/A,FALSE,"B3";#N/A,#N/A,FALSE,"B2";#N/A,#N/A,FALSE,"B1"}</definedName>
    <definedName name="cerd" localSheetId="9" hidden="1">{#N/A,#N/A,FALSE,"B3";#N/A,#N/A,FALSE,"B2";#N/A,#N/A,FALSE,"B1"}</definedName>
    <definedName name="cerd" localSheetId="4" hidden="1">{#N/A,#N/A,FALSE,"B3";#N/A,#N/A,FALSE,"B2";#N/A,#N/A,FALSE,"B1"}</definedName>
    <definedName name="cerd" localSheetId="5" hidden="1">{#N/A,#N/A,FALSE,"B3";#N/A,#N/A,FALSE,"B2";#N/A,#N/A,FALSE,"B1"}</definedName>
    <definedName name="cerd" localSheetId="10" hidden="1">{#N/A,#N/A,FALSE,"B3";#N/A,#N/A,FALSE,"B2";#N/A,#N/A,FALSE,"B1"}</definedName>
    <definedName name="cerd" hidden="1">{#N/A,#N/A,FALSE,"B3";#N/A,#N/A,FALSE,"B2";#N/A,#N/A,FALSE,"B1"}</definedName>
    <definedName name="cerdo" localSheetId="6" hidden="1">{#N/A,#N/A,FALSE,"B3";#N/A,#N/A,FALSE,"B2";#N/A,#N/A,FALSE,"B1"}</definedName>
    <definedName name="cerdo" localSheetId="9" hidden="1">{#N/A,#N/A,FALSE,"B3";#N/A,#N/A,FALSE,"B2";#N/A,#N/A,FALSE,"B1"}</definedName>
    <definedName name="cerdo" localSheetId="4" hidden="1">{#N/A,#N/A,FALSE,"B3";#N/A,#N/A,FALSE,"B2";#N/A,#N/A,FALSE,"B1"}</definedName>
    <definedName name="cerdo" localSheetId="5" hidden="1">{#N/A,#N/A,FALSE,"B3";#N/A,#N/A,FALSE,"B2";#N/A,#N/A,FALSE,"B1"}</definedName>
    <definedName name="cerdo" localSheetId="10" hidden="1">{#N/A,#N/A,FALSE,"B3";#N/A,#N/A,FALSE,"B2";#N/A,#N/A,FALSE,"B1"}</definedName>
    <definedName name="cerdo" hidden="1">{#N/A,#N/A,FALSE,"B3";#N/A,#N/A,FALSE,"B2";#N/A,#N/A,FALSE,"B1"}</definedName>
    <definedName name="cersa" localSheetId="6" hidden="1">{#N/A,#N/A,FALSE,"B1";#N/A,#N/A,FALSE,"B2";#N/A,#N/A,FALSE,"B3";#N/A,#N/A,FALSE,"A4";#N/A,#N/A,FALSE,"A3";#N/A,#N/A,FALSE,"A2";#N/A,#N/A,FALSE,"A1";#N/A,#N/A,FALSE,"Indice"}</definedName>
    <definedName name="cersa" localSheetId="9" hidden="1">{#N/A,#N/A,FALSE,"B1";#N/A,#N/A,FALSE,"B2";#N/A,#N/A,FALSE,"B3";#N/A,#N/A,FALSE,"A4";#N/A,#N/A,FALSE,"A3";#N/A,#N/A,FALSE,"A2";#N/A,#N/A,FALSE,"A1";#N/A,#N/A,FALSE,"Indice"}</definedName>
    <definedName name="cersa" localSheetId="4" hidden="1">{#N/A,#N/A,FALSE,"B1";#N/A,#N/A,FALSE,"B2";#N/A,#N/A,FALSE,"B3";#N/A,#N/A,FALSE,"A4";#N/A,#N/A,FALSE,"A3";#N/A,#N/A,FALSE,"A2";#N/A,#N/A,FALSE,"A1";#N/A,#N/A,FALSE,"Indice"}</definedName>
    <definedName name="cersa" localSheetId="5" hidden="1">{#N/A,#N/A,FALSE,"B1";#N/A,#N/A,FALSE,"B2";#N/A,#N/A,FALSE,"B3";#N/A,#N/A,FALSE,"A4";#N/A,#N/A,FALSE,"A3";#N/A,#N/A,FALSE,"A2";#N/A,#N/A,FALSE,"A1";#N/A,#N/A,FALSE,"Indice"}</definedName>
    <definedName name="cersa" localSheetId="10" hidden="1">{#N/A,#N/A,FALSE,"B1";#N/A,#N/A,FALSE,"B2";#N/A,#N/A,FALSE,"B3";#N/A,#N/A,FALSE,"A4";#N/A,#N/A,FALSE,"A3";#N/A,#N/A,FALSE,"A2";#N/A,#N/A,FALSE,"A1";#N/A,#N/A,FALSE,"Indice"}</definedName>
    <definedName name="cersa" hidden="1">{#N/A,#N/A,FALSE,"B1";#N/A,#N/A,FALSE,"B2";#N/A,#N/A,FALSE,"B3";#N/A,#N/A,FALSE,"A4";#N/A,#N/A,FALSE,"A3";#N/A,#N/A,FALSE,"A2";#N/A,#N/A,FALSE,"A1";#N/A,#N/A,FALSE,"Indice"}</definedName>
    <definedName name="cesa" localSheetId="6" hidden="1">{#N/A,#N/A,FALSE,"B1";#N/A,#N/A,FALSE,"B2";#N/A,#N/A,FALSE,"B3";#N/A,#N/A,FALSE,"A4";#N/A,#N/A,FALSE,"A3";#N/A,#N/A,FALSE,"A2";#N/A,#N/A,FALSE,"A1";#N/A,#N/A,FALSE,"Indice"}</definedName>
    <definedName name="cesa" localSheetId="9" hidden="1">{#N/A,#N/A,FALSE,"B1";#N/A,#N/A,FALSE,"B2";#N/A,#N/A,FALSE,"B3";#N/A,#N/A,FALSE,"A4";#N/A,#N/A,FALSE,"A3";#N/A,#N/A,FALSE,"A2";#N/A,#N/A,FALSE,"A1";#N/A,#N/A,FALSE,"Indice"}</definedName>
    <definedName name="cesa" localSheetId="4" hidden="1">{#N/A,#N/A,FALSE,"B1";#N/A,#N/A,FALSE,"B2";#N/A,#N/A,FALSE,"B3";#N/A,#N/A,FALSE,"A4";#N/A,#N/A,FALSE,"A3";#N/A,#N/A,FALSE,"A2";#N/A,#N/A,FALSE,"A1";#N/A,#N/A,FALSE,"Indice"}</definedName>
    <definedName name="cesa" localSheetId="5" hidden="1">{#N/A,#N/A,FALSE,"B1";#N/A,#N/A,FALSE,"B2";#N/A,#N/A,FALSE,"B3";#N/A,#N/A,FALSE,"A4";#N/A,#N/A,FALSE,"A3";#N/A,#N/A,FALSE,"A2";#N/A,#N/A,FALSE,"A1";#N/A,#N/A,FALSE,"Indice"}</definedName>
    <definedName name="cesa" localSheetId="10" hidden="1">{#N/A,#N/A,FALSE,"B1";#N/A,#N/A,FALSE,"B2";#N/A,#N/A,FALSE,"B3";#N/A,#N/A,FALSE,"A4";#N/A,#N/A,FALSE,"A3";#N/A,#N/A,FALSE,"A2";#N/A,#N/A,FALSE,"A1";#N/A,#N/A,FALSE,"Indice"}</definedName>
    <definedName name="cesa" hidden="1">{#N/A,#N/A,FALSE,"B1";#N/A,#N/A,FALSE,"B2";#N/A,#N/A,FALSE,"B3";#N/A,#N/A,FALSE,"A4";#N/A,#N/A,FALSE,"A3";#N/A,#N/A,FALSE,"A2";#N/A,#N/A,FALSE,"A1";#N/A,#N/A,FALSE,"Indice"}</definedName>
    <definedName name="costola" localSheetId="6" hidden="1">{#N/A,#N/A,FALSE,"Indice"}</definedName>
    <definedName name="costola" localSheetId="9" hidden="1">{#N/A,#N/A,FALSE,"Indice"}</definedName>
    <definedName name="costola" localSheetId="4" hidden="1">{#N/A,#N/A,FALSE,"Indice"}</definedName>
    <definedName name="costola" localSheetId="5" hidden="1">{#N/A,#N/A,FALSE,"Indice"}</definedName>
    <definedName name="costola" localSheetId="10" hidden="1">{#N/A,#N/A,FALSE,"Indice"}</definedName>
    <definedName name="costola" hidden="1">{#N/A,#N/A,FALSE,"Indice"}</definedName>
    <definedName name="coto" localSheetId="6" hidden="1">{#N/A,#N/A,FALSE,"B1";#N/A,#N/A,FALSE,"B2";#N/A,#N/A,FALSE,"B3";#N/A,#N/A,FALSE,"A4";#N/A,#N/A,FALSE,"A3";#N/A,#N/A,FALSE,"A2";#N/A,#N/A,FALSE,"A1";#N/A,#N/A,FALSE,"Indice"}</definedName>
    <definedName name="coto" localSheetId="9" hidden="1">{#N/A,#N/A,FALSE,"B1";#N/A,#N/A,FALSE,"B2";#N/A,#N/A,FALSE,"B3";#N/A,#N/A,FALSE,"A4";#N/A,#N/A,FALSE,"A3";#N/A,#N/A,FALSE,"A2";#N/A,#N/A,FALSE,"A1";#N/A,#N/A,FALSE,"Indice"}</definedName>
    <definedName name="coto" localSheetId="4" hidden="1">{#N/A,#N/A,FALSE,"B1";#N/A,#N/A,FALSE,"B2";#N/A,#N/A,FALSE,"B3";#N/A,#N/A,FALSE,"A4";#N/A,#N/A,FALSE,"A3";#N/A,#N/A,FALSE,"A2";#N/A,#N/A,FALSE,"A1";#N/A,#N/A,FALSE,"Indice"}</definedName>
    <definedName name="coto" localSheetId="5" hidden="1">{#N/A,#N/A,FALSE,"B1";#N/A,#N/A,FALSE,"B2";#N/A,#N/A,FALSE,"B3";#N/A,#N/A,FALSE,"A4";#N/A,#N/A,FALSE,"A3";#N/A,#N/A,FALSE,"A2";#N/A,#N/A,FALSE,"A1";#N/A,#N/A,FALSE,"Indice"}</definedName>
    <definedName name="coto" localSheetId="10" hidden="1">{#N/A,#N/A,FALSE,"B1";#N/A,#N/A,FALSE,"B2";#N/A,#N/A,FALSE,"B3";#N/A,#N/A,FALSE,"A4";#N/A,#N/A,FALSE,"A3";#N/A,#N/A,FALSE,"A2";#N/A,#N/A,FALSE,"A1";#N/A,#N/A,FALSE,"Indice"}</definedName>
    <definedName name="coto" hidden="1">{#N/A,#N/A,FALSE,"B1";#N/A,#N/A,FALSE,"B2";#N/A,#N/A,FALSE,"B3";#N/A,#N/A,FALSE,"A4";#N/A,#N/A,FALSE,"A3";#N/A,#N/A,FALSE,"A2";#N/A,#N/A,FALSE,"A1";#N/A,#N/A,FALSE,"Indice"}</definedName>
    <definedName name="cv" localSheetId="6" hidden="1">{#N/A,#N/A,FALSE,"Indice"}</definedName>
    <definedName name="cv" localSheetId="9" hidden="1">{#N/A,#N/A,FALSE,"Indice"}</definedName>
    <definedName name="cv" localSheetId="4" hidden="1">{#N/A,#N/A,FALSE,"Indice"}</definedName>
    <definedName name="cv" localSheetId="5" hidden="1">{#N/A,#N/A,FALSE,"Indice"}</definedName>
    <definedName name="cv" localSheetId="10" hidden="1">{#N/A,#N/A,FALSE,"Indice"}</definedName>
    <definedName name="cv" hidden="1">{#N/A,#N/A,FALSE,"Indice"}</definedName>
    <definedName name="da" localSheetId="6" hidden="1">{#N/A,#N/A,FALSE,"A4";#N/A,#N/A,FALSE,"A3";#N/A,#N/A,FALSE,"A2";#N/A,#N/A,FALSE,"A1"}</definedName>
    <definedName name="da" localSheetId="9" hidden="1">{#N/A,#N/A,FALSE,"A4";#N/A,#N/A,FALSE,"A3";#N/A,#N/A,FALSE,"A2";#N/A,#N/A,FALSE,"A1"}</definedName>
    <definedName name="da" localSheetId="4" hidden="1">{#N/A,#N/A,FALSE,"A4";#N/A,#N/A,FALSE,"A3";#N/A,#N/A,FALSE,"A2";#N/A,#N/A,FALSE,"A1"}</definedName>
    <definedName name="da" localSheetId="5" hidden="1">{#N/A,#N/A,FALSE,"A4";#N/A,#N/A,FALSE,"A3";#N/A,#N/A,FALSE,"A2";#N/A,#N/A,FALSE,"A1"}</definedName>
    <definedName name="da" localSheetId="10" hidden="1">{#N/A,#N/A,FALSE,"A4";#N/A,#N/A,FALSE,"A3";#N/A,#N/A,FALSE,"A2";#N/A,#N/A,FALSE,"A1"}</definedName>
    <definedName name="da" hidden="1">{#N/A,#N/A,FALSE,"A4";#N/A,#N/A,FALSE,"A3";#N/A,#N/A,FALSE,"A2";#N/A,#N/A,FALSE,"A1"}</definedName>
    <definedName name="db" localSheetId="6" hidden="1">{#N/A,#N/A,FALSE,"B1";#N/A,#N/A,FALSE,"B2";#N/A,#N/A,FALSE,"B3";#N/A,#N/A,FALSE,"A4";#N/A,#N/A,FALSE,"A3";#N/A,#N/A,FALSE,"A2";#N/A,#N/A,FALSE,"A1";#N/A,#N/A,FALSE,"Indice"}</definedName>
    <definedName name="db" localSheetId="9" hidden="1">{#N/A,#N/A,FALSE,"B1";#N/A,#N/A,FALSE,"B2";#N/A,#N/A,FALSE,"B3";#N/A,#N/A,FALSE,"A4";#N/A,#N/A,FALSE,"A3";#N/A,#N/A,FALSE,"A2";#N/A,#N/A,FALSE,"A1";#N/A,#N/A,FALSE,"Indice"}</definedName>
    <definedName name="db" localSheetId="4" hidden="1">{#N/A,#N/A,FALSE,"B1";#N/A,#N/A,FALSE,"B2";#N/A,#N/A,FALSE,"B3";#N/A,#N/A,FALSE,"A4";#N/A,#N/A,FALSE,"A3";#N/A,#N/A,FALSE,"A2";#N/A,#N/A,FALSE,"A1";#N/A,#N/A,FALSE,"Indice"}</definedName>
    <definedName name="db" localSheetId="5" hidden="1">{#N/A,#N/A,FALSE,"B1";#N/A,#N/A,FALSE,"B2";#N/A,#N/A,FALSE,"B3";#N/A,#N/A,FALSE,"A4";#N/A,#N/A,FALSE,"A3";#N/A,#N/A,FALSE,"A2";#N/A,#N/A,FALSE,"A1";#N/A,#N/A,FALSE,"Indice"}</definedName>
    <definedName name="db" localSheetId="10" hidden="1">{#N/A,#N/A,FALSE,"B1";#N/A,#N/A,FALSE,"B2";#N/A,#N/A,FALSE,"B3";#N/A,#N/A,FALSE,"A4";#N/A,#N/A,FALSE,"A3";#N/A,#N/A,FALSE,"A2";#N/A,#N/A,FALSE,"A1";#N/A,#N/A,FALSE,"Indice"}</definedName>
    <definedName name="db" hidden="1">{#N/A,#N/A,FALSE,"B1";#N/A,#N/A,FALSE,"B2";#N/A,#N/A,FALSE,"B3";#N/A,#N/A,FALSE,"A4";#N/A,#N/A,FALSE,"A3";#N/A,#N/A,FALSE,"A2";#N/A,#N/A,FALSE,"A1";#N/A,#N/A,FALSE,"Indice"}</definedName>
    <definedName name="dc" localSheetId="6" hidden="1">{#N/A,#N/A,FALSE,"A4";#N/A,#N/A,FALSE,"A3";#N/A,#N/A,FALSE,"A2";#N/A,#N/A,FALSE,"A1"}</definedName>
    <definedName name="dc" localSheetId="9" hidden="1">{#N/A,#N/A,FALSE,"A4";#N/A,#N/A,FALSE,"A3";#N/A,#N/A,FALSE,"A2";#N/A,#N/A,FALSE,"A1"}</definedName>
    <definedName name="dc" localSheetId="4" hidden="1">{#N/A,#N/A,FALSE,"A4";#N/A,#N/A,FALSE,"A3";#N/A,#N/A,FALSE,"A2";#N/A,#N/A,FALSE,"A1"}</definedName>
    <definedName name="dc" localSheetId="5" hidden="1">{#N/A,#N/A,FALSE,"A4";#N/A,#N/A,FALSE,"A3";#N/A,#N/A,FALSE,"A2";#N/A,#N/A,FALSE,"A1"}</definedName>
    <definedName name="dc" localSheetId="10" hidden="1">{#N/A,#N/A,FALSE,"A4";#N/A,#N/A,FALSE,"A3";#N/A,#N/A,FALSE,"A2";#N/A,#N/A,FALSE,"A1"}</definedName>
    <definedName name="dc" hidden="1">{#N/A,#N/A,FALSE,"A4";#N/A,#N/A,FALSE,"A3";#N/A,#N/A,FALSE,"A2";#N/A,#N/A,FALSE,"A1"}</definedName>
    <definedName name="de" localSheetId="6" hidden="1">{#N/A,#N/A,FALSE,"B3";#N/A,#N/A,FALSE,"B2";#N/A,#N/A,FALSE,"B1"}</definedName>
    <definedName name="de" localSheetId="9" hidden="1">{#N/A,#N/A,FALSE,"B3";#N/A,#N/A,FALSE,"B2";#N/A,#N/A,FALSE,"B1"}</definedName>
    <definedName name="de" localSheetId="4" hidden="1">{#N/A,#N/A,FALSE,"B3";#N/A,#N/A,FALSE,"B2";#N/A,#N/A,FALSE,"B1"}</definedName>
    <definedName name="de" localSheetId="5" hidden="1">{#N/A,#N/A,FALSE,"B3";#N/A,#N/A,FALSE,"B2";#N/A,#N/A,FALSE,"B1"}</definedName>
    <definedName name="de" localSheetId="10" hidden="1">{#N/A,#N/A,FALSE,"B3";#N/A,#N/A,FALSE,"B2";#N/A,#N/A,FALSE,"B1"}</definedName>
    <definedName name="de" hidden="1">{#N/A,#N/A,FALSE,"B3";#N/A,#N/A,FALSE,"B2";#N/A,#N/A,FALSE,"B1"}</definedName>
    <definedName name="derto" localSheetId="6" hidden="1">{#N/A,#N/A,FALSE,"B3";#N/A,#N/A,FALSE,"B2";#N/A,#N/A,FALSE,"B1"}</definedName>
    <definedName name="derto" localSheetId="9" hidden="1">{#N/A,#N/A,FALSE,"B3";#N/A,#N/A,FALSE,"B2";#N/A,#N/A,FALSE,"B1"}</definedName>
    <definedName name="derto" localSheetId="4" hidden="1">{#N/A,#N/A,FALSE,"B3";#N/A,#N/A,FALSE,"B2";#N/A,#N/A,FALSE,"B1"}</definedName>
    <definedName name="derto" localSheetId="5" hidden="1">{#N/A,#N/A,FALSE,"B3";#N/A,#N/A,FALSE,"B2";#N/A,#N/A,FALSE,"B1"}</definedName>
    <definedName name="derto" localSheetId="10" hidden="1">{#N/A,#N/A,FALSE,"B3";#N/A,#N/A,FALSE,"B2";#N/A,#N/A,FALSE,"B1"}</definedName>
    <definedName name="derto" hidden="1">{#N/A,#N/A,FALSE,"B3";#N/A,#N/A,FALSE,"B2";#N/A,#N/A,FALSE,"B1"}</definedName>
    <definedName name="dsa" localSheetId="6" hidden="1">{#N/A,#N/A,FALSE,"B3";#N/A,#N/A,FALSE,"B2";#N/A,#N/A,FALSE,"B1"}</definedName>
    <definedName name="dsa" localSheetId="9" hidden="1">{#N/A,#N/A,FALSE,"B3";#N/A,#N/A,FALSE,"B2";#N/A,#N/A,FALSE,"B1"}</definedName>
    <definedName name="dsa" localSheetId="4" hidden="1">{#N/A,#N/A,FALSE,"B3";#N/A,#N/A,FALSE,"B2";#N/A,#N/A,FALSE,"B1"}</definedName>
    <definedName name="dsa" localSheetId="5" hidden="1">{#N/A,#N/A,FALSE,"B3";#N/A,#N/A,FALSE,"B2";#N/A,#N/A,FALSE,"B1"}</definedName>
    <definedName name="dsa" localSheetId="10" hidden="1">{#N/A,#N/A,FALSE,"B3";#N/A,#N/A,FALSE,"B2";#N/A,#N/A,FALSE,"B1"}</definedName>
    <definedName name="dsa" hidden="1">{#N/A,#N/A,FALSE,"B3";#N/A,#N/A,FALSE,"B2";#N/A,#N/A,FALSE,"B1"}</definedName>
    <definedName name="ewq" localSheetId="6" hidden="1">{#N/A,#N/A,FALSE,"B1";#N/A,#N/A,FALSE,"B2";#N/A,#N/A,FALSE,"B3";#N/A,#N/A,FALSE,"A4";#N/A,#N/A,FALSE,"A3";#N/A,#N/A,FALSE,"A2";#N/A,#N/A,FALSE,"A1";#N/A,#N/A,FALSE,"Indice"}</definedName>
    <definedName name="ewq" localSheetId="9" hidden="1">{#N/A,#N/A,FALSE,"B1";#N/A,#N/A,FALSE,"B2";#N/A,#N/A,FALSE,"B3";#N/A,#N/A,FALSE,"A4";#N/A,#N/A,FALSE,"A3";#N/A,#N/A,FALSE,"A2";#N/A,#N/A,FALSE,"A1";#N/A,#N/A,FALSE,"Indice"}</definedName>
    <definedName name="ewq" localSheetId="4" hidden="1">{#N/A,#N/A,FALSE,"B1";#N/A,#N/A,FALSE,"B2";#N/A,#N/A,FALSE,"B3";#N/A,#N/A,FALSE,"A4";#N/A,#N/A,FALSE,"A3";#N/A,#N/A,FALSE,"A2";#N/A,#N/A,FALSE,"A1";#N/A,#N/A,FALSE,"Indice"}</definedName>
    <definedName name="ewq" localSheetId="5" hidden="1">{#N/A,#N/A,FALSE,"B1";#N/A,#N/A,FALSE,"B2";#N/A,#N/A,FALSE,"B3";#N/A,#N/A,FALSE,"A4";#N/A,#N/A,FALSE,"A3";#N/A,#N/A,FALSE,"A2";#N/A,#N/A,FALSE,"A1";#N/A,#N/A,FALSE,"Indice"}</definedName>
    <definedName name="ewq" localSheetId="10" hidden="1">{#N/A,#N/A,FALSE,"B1";#N/A,#N/A,FALSE,"B2";#N/A,#N/A,FALSE,"B3";#N/A,#N/A,FALSE,"A4";#N/A,#N/A,FALSE,"A3";#N/A,#N/A,FALSE,"A2";#N/A,#N/A,FALSE,"A1";#N/A,#N/A,FALSE,"Indice"}</definedName>
    <definedName name="ewq" hidden="1">{#N/A,#N/A,FALSE,"B1";#N/A,#N/A,FALSE,"B2";#N/A,#N/A,FALSE,"B3";#N/A,#N/A,FALSE,"A4";#N/A,#N/A,FALSE,"A3";#N/A,#N/A,FALSE,"A2";#N/A,#N/A,FALSE,"A1";#N/A,#N/A,FALSE,"Indice"}</definedName>
    <definedName name="fert" localSheetId="6" hidden="1">{#N/A,#N/A,FALSE,"A4";#N/A,#N/A,FALSE,"A3";#N/A,#N/A,FALSE,"A2";#N/A,#N/A,FALSE,"A1"}</definedName>
    <definedName name="fert" localSheetId="9" hidden="1">{#N/A,#N/A,FALSE,"A4";#N/A,#N/A,FALSE,"A3";#N/A,#N/A,FALSE,"A2";#N/A,#N/A,FALSE,"A1"}</definedName>
    <definedName name="fert" localSheetId="4" hidden="1">{#N/A,#N/A,FALSE,"A4";#N/A,#N/A,FALSE,"A3";#N/A,#N/A,FALSE,"A2";#N/A,#N/A,FALSE,"A1"}</definedName>
    <definedName name="fert" localSheetId="5" hidden="1">{#N/A,#N/A,FALSE,"A4";#N/A,#N/A,FALSE,"A3";#N/A,#N/A,FALSE,"A2";#N/A,#N/A,FALSE,"A1"}</definedName>
    <definedName name="fert" localSheetId="10" hidden="1">{#N/A,#N/A,FALSE,"A4";#N/A,#N/A,FALSE,"A3";#N/A,#N/A,FALSE,"A2";#N/A,#N/A,FALSE,"A1"}</definedName>
    <definedName name="fert" hidden="1">{#N/A,#N/A,FALSE,"A4";#N/A,#N/A,FALSE,"A3";#N/A,#N/A,FALSE,"A2";#N/A,#N/A,FALSE,"A1"}</definedName>
    <definedName name="fr" localSheetId="6" hidden="1">{#N/A,#N/A,FALSE,"Indice"}</definedName>
    <definedName name="fr" localSheetId="9" hidden="1">{#N/A,#N/A,FALSE,"Indice"}</definedName>
    <definedName name="fr" localSheetId="4" hidden="1">{#N/A,#N/A,FALSE,"Indice"}</definedName>
    <definedName name="fr" localSheetId="5" hidden="1">{#N/A,#N/A,FALSE,"Indice"}</definedName>
    <definedName name="fr" localSheetId="10" hidden="1">{#N/A,#N/A,FALSE,"Indice"}</definedName>
    <definedName name="fr" hidden="1">{#N/A,#N/A,FALSE,"Indice"}</definedName>
    <definedName name="ger" localSheetId="6" hidden="1">{#N/A,#N/A,FALSE,"Indice"}</definedName>
    <definedName name="ger" localSheetId="9" hidden="1">{#N/A,#N/A,FALSE,"Indice"}</definedName>
    <definedName name="ger" localSheetId="4" hidden="1">{#N/A,#N/A,FALSE,"Indice"}</definedName>
    <definedName name="ger" localSheetId="5" hidden="1">{#N/A,#N/A,FALSE,"Indice"}</definedName>
    <definedName name="ger" localSheetId="10" hidden="1">{#N/A,#N/A,FALSE,"Indice"}</definedName>
    <definedName name="ger" hidden="1">{#N/A,#N/A,FALSE,"Indice"}</definedName>
    <definedName name="gerc" localSheetId="6" hidden="1">{#N/A,#N/A,FALSE,"Indice"}</definedName>
    <definedName name="gerc" localSheetId="9" hidden="1">{#N/A,#N/A,FALSE,"Indice"}</definedName>
    <definedName name="gerc" localSheetId="4" hidden="1">{#N/A,#N/A,FALSE,"Indice"}</definedName>
    <definedName name="gerc" localSheetId="5" hidden="1">{#N/A,#N/A,FALSE,"Indice"}</definedName>
    <definedName name="gerc" localSheetId="10" hidden="1">{#N/A,#N/A,FALSE,"Indice"}</definedName>
    <definedName name="gerc" hidden="1">{#N/A,#N/A,FALSE,"Indice"}</definedName>
    <definedName name="germo" localSheetId="6" hidden="1">{#N/A,#N/A,FALSE,"Indice"}</definedName>
    <definedName name="germo" localSheetId="9" hidden="1">{#N/A,#N/A,FALSE,"Indice"}</definedName>
    <definedName name="germo" localSheetId="4" hidden="1">{#N/A,#N/A,FALSE,"Indice"}</definedName>
    <definedName name="germo" localSheetId="5" hidden="1">{#N/A,#N/A,FALSE,"Indice"}</definedName>
    <definedName name="germo" localSheetId="10" hidden="1">{#N/A,#N/A,FALSE,"Indice"}</definedName>
    <definedName name="germo" hidden="1">{#N/A,#N/A,FALSE,"Indice"}</definedName>
    <definedName name="gino" localSheetId="6" hidden="1">{#N/A,#N/A,FALSE,"Indice"}</definedName>
    <definedName name="gino" localSheetId="9" hidden="1">{#N/A,#N/A,FALSE,"Indice"}</definedName>
    <definedName name="gino" localSheetId="4" hidden="1">{#N/A,#N/A,FALSE,"Indice"}</definedName>
    <definedName name="gino" localSheetId="5" hidden="1">{#N/A,#N/A,FALSE,"Indice"}</definedName>
    <definedName name="gino" localSheetId="10" hidden="1">{#N/A,#N/A,FALSE,"Indice"}</definedName>
    <definedName name="gino" hidden="1">{#N/A,#N/A,FALSE,"Indice"}</definedName>
    <definedName name="hiu" localSheetId="6" hidden="1">{#N/A,#N/A,FALSE,"Indice"}</definedName>
    <definedName name="hiu" localSheetId="9" hidden="1">{#N/A,#N/A,FALSE,"Indice"}</definedName>
    <definedName name="hiu" localSheetId="4" hidden="1">{#N/A,#N/A,FALSE,"Indice"}</definedName>
    <definedName name="hiu" localSheetId="5" hidden="1">{#N/A,#N/A,FALSE,"Indice"}</definedName>
    <definedName name="hiu" localSheetId="10" hidden="1">{#N/A,#N/A,FALSE,"Indice"}</definedName>
    <definedName name="hiu" hidden="1">{#N/A,#N/A,FALSE,"Indice"}</definedName>
    <definedName name="io" localSheetId="6" hidden="1">{#N/A,#N/A,FALSE,"Indice"}</definedName>
    <definedName name="io" localSheetId="9" hidden="1">{#N/A,#N/A,FALSE,"Indice"}</definedName>
    <definedName name="io" localSheetId="4" hidden="1">{#N/A,#N/A,FALSE,"Indice"}</definedName>
    <definedName name="io" localSheetId="5" hidden="1">{#N/A,#N/A,FALSE,"Indice"}</definedName>
    <definedName name="io" localSheetId="10" hidden="1">{#N/A,#N/A,FALSE,"Indice"}</definedName>
    <definedName name="io" hidden="1">{#N/A,#N/A,FALSE,"Indice"}</definedName>
    <definedName name="iou" localSheetId="6" hidden="1">{#N/A,#N/A,FALSE,"B3";#N/A,#N/A,FALSE,"B2";#N/A,#N/A,FALSE,"B1"}</definedName>
    <definedName name="iou" localSheetId="9" hidden="1">{#N/A,#N/A,FALSE,"B3";#N/A,#N/A,FALSE,"B2";#N/A,#N/A,FALSE,"B1"}</definedName>
    <definedName name="iou" localSheetId="4" hidden="1">{#N/A,#N/A,FALSE,"B3";#N/A,#N/A,FALSE,"B2";#N/A,#N/A,FALSE,"B1"}</definedName>
    <definedName name="iou" localSheetId="5" hidden="1">{#N/A,#N/A,FALSE,"B3";#N/A,#N/A,FALSE,"B2";#N/A,#N/A,FALSE,"B1"}</definedName>
    <definedName name="iou" localSheetId="10" hidden="1">{#N/A,#N/A,FALSE,"B3";#N/A,#N/A,FALSE,"B2";#N/A,#N/A,FALSE,"B1"}</definedName>
    <definedName name="iou" hidden="1">{#N/A,#N/A,FALSE,"B3";#N/A,#N/A,FALSE,"B2";#N/A,#N/A,FALSE,"B1"}</definedName>
    <definedName name="jh" localSheetId="6" hidden="1">{#N/A,#N/A,FALSE,"B1";#N/A,#N/A,FALSE,"B2";#N/A,#N/A,FALSE,"B3";#N/A,#N/A,FALSE,"A4";#N/A,#N/A,FALSE,"A3";#N/A,#N/A,FALSE,"A2";#N/A,#N/A,FALSE,"A1";#N/A,#N/A,FALSE,"Indice"}</definedName>
    <definedName name="jh" localSheetId="9" hidden="1">{#N/A,#N/A,FALSE,"B1";#N/A,#N/A,FALSE,"B2";#N/A,#N/A,FALSE,"B3";#N/A,#N/A,FALSE,"A4";#N/A,#N/A,FALSE,"A3";#N/A,#N/A,FALSE,"A2";#N/A,#N/A,FALSE,"A1";#N/A,#N/A,FALSE,"Indice"}</definedName>
    <definedName name="jh" localSheetId="4" hidden="1">{#N/A,#N/A,FALSE,"B1";#N/A,#N/A,FALSE,"B2";#N/A,#N/A,FALSE,"B3";#N/A,#N/A,FALSE,"A4";#N/A,#N/A,FALSE,"A3";#N/A,#N/A,FALSE,"A2";#N/A,#N/A,FALSE,"A1";#N/A,#N/A,FALSE,"Indice"}</definedName>
    <definedName name="jh" localSheetId="5" hidden="1">{#N/A,#N/A,FALSE,"B1";#N/A,#N/A,FALSE,"B2";#N/A,#N/A,FALSE,"B3";#N/A,#N/A,FALSE,"A4";#N/A,#N/A,FALSE,"A3";#N/A,#N/A,FALSE,"A2";#N/A,#N/A,FALSE,"A1";#N/A,#N/A,FALSE,"Indice"}</definedName>
    <definedName name="jh" localSheetId="10" hidden="1">{#N/A,#N/A,FALSE,"B1";#N/A,#N/A,FALSE,"B2";#N/A,#N/A,FALSE,"B3";#N/A,#N/A,FALSE,"A4";#N/A,#N/A,FALSE,"A3";#N/A,#N/A,FALSE,"A2";#N/A,#N/A,FALSE,"A1";#N/A,#N/A,FALSE,"Indice"}</definedName>
    <definedName name="jh" hidden="1">{#N/A,#N/A,FALSE,"B1";#N/A,#N/A,FALSE,"B2";#N/A,#N/A,FALSE,"B3";#N/A,#N/A,FALSE,"A4";#N/A,#N/A,FALSE,"A3";#N/A,#N/A,FALSE,"A2";#N/A,#N/A,FALSE,"A1";#N/A,#N/A,FALSE,"Indice"}</definedName>
    <definedName name="ki" localSheetId="6" hidden="1">{#N/A,#N/A,FALSE,"Indice"}</definedName>
    <definedName name="ki" localSheetId="9" hidden="1">{#N/A,#N/A,FALSE,"Indice"}</definedName>
    <definedName name="ki" localSheetId="4" hidden="1">{#N/A,#N/A,FALSE,"Indice"}</definedName>
    <definedName name="ki" localSheetId="5" hidden="1">{#N/A,#N/A,FALSE,"Indice"}</definedName>
    <definedName name="ki" localSheetId="10" hidden="1">{#N/A,#N/A,FALSE,"Indice"}</definedName>
    <definedName name="ki" hidden="1">{#N/A,#N/A,FALSE,"Indice"}</definedName>
    <definedName name="kkhjkjkjkl" localSheetId="6" hidden="1">{#N/A,#N/A,FALSE,"B3";#N/A,#N/A,FALSE,"B2";#N/A,#N/A,FALSE,"B1"}</definedName>
    <definedName name="kkhjkjkjkl" localSheetId="9" hidden="1">{#N/A,#N/A,FALSE,"B3";#N/A,#N/A,FALSE,"B2";#N/A,#N/A,FALSE,"B1"}</definedName>
    <definedName name="kkhjkjkjkl" localSheetId="4" hidden="1">{#N/A,#N/A,FALSE,"B3";#N/A,#N/A,FALSE,"B2";#N/A,#N/A,FALSE,"B1"}</definedName>
    <definedName name="kkhjkjkjkl" localSheetId="5" hidden="1">{#N/A,#N/A,FALSE,"B3";#N/A,#N/A,FALSE,"B2";#N/A,#N/A,FALSE,"B1"}</definedName>
    <definedName name="kkhjkjkjkl" localSheetId="10" hidden="1">{#N/A,#N/A,FALSE,"B3";#N/A,#N/A,FALSE,"B2";#N/A,#N/A,FALSE,"B1"}</definedName>
    <definedName name="kkhjkjkjkl" hidden="1">{#N/A,#N/A,FALSE,"B3";#N/A,#N/A,FALSE,"B2";#N/A,#N/A,FALSE,"B1"}</definedName>
    <definedName name="kl" localSheetId="6" hidden="1">{#N/A,#N/A,FALSE,"B1";#N/A,#N/A,FALSE,"B2";#N/A,#N/A,FALSE,"B3";#N/A,#N/A,FALSE,"A4";#N/A,#N/A,FALSE,"A3";#N/A,#N/A,FALSE,"A2";#N/A,#N/A,FALSE,"A1";#N/A,#N/A,FALSE,"Indice"}</definedName>
    <definedName name="kl" localSheetId="9" hidden="1">{#N/A,#N/A,FALSE,"B1";#N/A,#N/A,FALSE,"B2";#N/A,#N/A,FALSE,"B3";#N/A,#N/A,FALSE,"A4";#N/A,#N/A,FALSE,"A3";#N/A,#N/A,FALSE,"A2";#N/A,#N/A,FALSE,"A1";#N/A,#N/A,FALSE,"Indice"}</definedName>
    <definedName name="kl" localSheetId="4" hidden="1">{#N/A,#N/A,FALSE,"B1";#N/A,#N/A,FALSE,"B2";#N/A,#N/A,FALSE,"B3";#N/A,#N/A,FALSE,"A4";#N/A,#N/A,FALSE,"A3";#N/A,#N/A,FALSE,"A2";#N/A,#N/A,FALSE,"A1";#N/A,#N/A,FALSE,"Indice"}</definedName>
    <definedName name="kl" localSheetId="5" hidden="1">{#N/A,#N/A,FALSE,"B1";#N/A,#N/A,FALSE,"B2";#N/A,#N/A,FALSE,"B3";#N/A,#N/A,FALSE,"A4";#N/A,#N/A,FALSE,"A3";#N/A,#N/A,FALSE,"A2";#N/A,#N/A,FALSE,"A1";#N/A,#N/A,FALSE,"Indice"}</definedName>
    <definedName name="kl" localSheetId="10" hidden="1">{#N/A,#N/A,FALSE,"B1";#N/A,#N/A,FALSE,"B2";#N/A,#N/A,FALSE,"B3";#N/A,#N/A,FALSE,"A4";#N/A,#N/A,FALSE,"A3";#N/A,#N/A,FALSE,"A2";#N/A,#N/A,FALSE,"A1";#N/A,#N/A,FALSE,"Indice"}</definedName>
    <definedName name="kl" hidden="1">{#N/A,#N/A,FALSE,"B1";#N/A,#N/A,FALSE,"B2";#N/A,#N/A,FALSE,"B3";#N/A,#N/A,FALSE,"A4";#N/A,#N/A,FALSE,"A3";#N/A,#N/A,FALSE,"A2";#N/A,#N/A,FALSE,"A1";#N/A,#N/A,FALSE,"Indice"}</definedName>
    <definedName name="kloi" localSheetId="6" hidden="1">{#N/A,#N/A,FALSE,"A4";#N/A,#N/A,FALSE,"A3";#N/A,#N/A,FALSE,"A2";#N/A,#N/A,FALSE,"A1"}</definedName>
    <definedName name="kloi" localSheetId="9" hidden="1">{#N/A,#N/A,FALSE,"A4";#N/A,#N/A,FALSE,"A3";#N/A,#N/A,FALSE,"A2";#N/A,#N/A,FALSE,"A1"}</definedName>
    <definedName name="kloi" localSheetId="4" hidden="1">{#N/A,#N/A,FALSE,"A4";#N/A,#N/A,FALSE,"A3";#N/A,#N/A,FALSE,"A2";#N/A,#N/A,FALSE,"A1"}</definedName>
    <definedName name="kloi" localSheetId="5" hidden="1">{#N/A,#N/A,FALSE,"A4";#N/A,#N/A,FALSE,"A3";#N/A,#N/A,FALSE,"A2";#N/A,#N/A,FALSE,"A1"}</definedName>
    <definedName name="kloi" localSheetId="10" hidden="1">{#N/A,#N/A,FALSE,"A4";#N/A,#N/A,FALSE,"A3";#N/A,#N/A,FALSE,"A2";#N/A,#N/A,FALSE,"A1"}</definedName>
    <definedName name="kloi" hidden="1">{#N/A,#N/A,FALSE,"A4";#N/A,#N/A,FALSE,"A3";#N/A,#N/A,FALSE,"A2";#N/A,#N/A,FALSE,"A1"}</definedName>
    <definedName name="li" localSheetId="6" hidden="1">{#N/A,#N/A,FALSE,"A4";#N/A,#N/A,FALSE,"A3";#N/A,#N/A,FALSE,"A2";#N/A,#N/A,FALSE,"A1"}</definedName>
    <definedName name="li" localSheetId="9" hidden="1">{#N/A,#N/A,FALSE,"A4";#N/A,#N/A,FALSE,"A3";#N/A,#N/A,FALSE,"A2";#N/A,#N/A,FALSE,"A1"}</definedName>
    <definedName name="li" localSheetId="4" hidden="1">{#N/A,#N/A,FALSE,"A4";#N/A,#N/A,FALSE,"A3";#N/A,#N/A,FALSE,"A2";#N/A,#N/A,FALSE,"A1"}</definedName>
    <definedName name="li" localSheetId="5" hidden="1">{#N/A,#N/A,FALSE,"A4";#N/A,#N/A,FALSE,"A3";#N/A,#N/A,FALSE,"A2";#N/A,#N/A,FALSE,"A1"}</definedName>
    <definedName name="li" localSheetId="10" hidden="1">{#N/A,#N/A,FALSE,"A4";#N/A,#N/A,FALSE,"A3";#N/A,#N/A,FALSE,"A2";#N/A,#N/A,FALSE,"A1"}</definedName>
    <definedName name="li" hidden="1">{#N/A,#N/A,FALSE,"A4";#N/A,#N/A,FALSE,"A3";#N/A,#N/A,FALSE,"A2";#N/A,#N/A,FALSE,"A1"}</definedName>
    <definedName name="LIU" localSheetId="6" hidden="1">{#N/A,#N/A,FALSE,"A4";#N/A,#N/A,FALSE,"A3";#N/A,#N/A,FALSE,"A2";#N/A,#N/A,FALSE,"A1"}</definedName>
    <definedName name="LIU" localSheetId="9" hidden="1">{#N/A,#N/A,FALSE,"A4";#N/A,#N/A,FALSE,"A3";#N/A,#N/A,FALSE,"A2";#N/A,#N/A,FALSE,"A1"}</definedName>
    <definedName name="LIU" localSheetId="4" hidden="1">{#N/A,#N/A,FALSE,"A4";#N/A,#N/A,FALSE,"A3";#N/A,#N/A,FALSE,"A2";#N/A,#N/A,FALSE,"A1"}</definedName>
    <definedName name="LIU" localSheetId="5" hidden="1">{#N/A,#N/A,FALSE,"A4";#N/A,#N/A,FALSE,"A3";#N/A,#N/A,FALSE,"A2";#N/A,#N/A,FALSE,"A1"}</definedName>
    <definedName name="LIU" localSheetId="10" hidden="1">{#N/A,#N/A,FALSE,"A4";#N/A,#N/A,FALSE,"A3";#N/A,#N/A,FALSE,"A2";#N/A,#N/A,FALSE,"A1"}</definedName>
    <definedName name="LIU" hidden="1">{#N/A,#N/A,FALSE,"A4";#N/A,#N/A,FALSE,"A3";#N/A,#N/A,FALSE,"A2";#N/A,#N/A,FALSE,"A1"}</definedName>
    <definedName name="lkjh" localSheetId="6" hidden="1">{#N/A,#N/A,FALSE,"Indice"}</definedName>
    <definedName name="lkjh" localSheetId="9" hidden="1">{#N/A,#N/A,FALSE,"Indice"}</definedName>
    <definedName name="lkjh" localSheetId="4" hidden="1">{#N/A,#N/A,FALSE,"Indice"}</definedName>
    <definedName name="lkjh" localSheetId="5" hidden="1">{#N/A,#N/A,FALSE,"Indice"}</definedName>
    <definedName name="lkjh" localSheetId="10" hidden="1">{#N/A,#N/A,FALSE,"Indice"}</definedName>
    <definedName name="lkjh" hidden="1">{#N/A,#N/A,FALSE,"Indice"}</definedName>
    <definedName name="ll" localSheetId="6" hidden="1">{#N/A,#N/A,FALSE,"B3";#N/A,#N/A,FALSE,"B2";#N/A,#N/A,FALSE,"B1"}</definedName>
    <definedName name="ll" localSheetId="9" hidden="1">{#N/A,#N/A,FALSE,"B3";#N/A,#N/A,FALSE,"B2";#N/A,#N/A,FALSE,"B1"}</definedName>
    <definedName name="ll" localSheetId="4" hidden="1">{#N/A,#N/A,FALSE,"B3";#N/A,#N/A,FALSE,"B2";#N/A,#N/A,FALSE,"B1"}</definedName>
    <definedName name="ll" localSheetId="5" hidden="1">{#N/A,#N/A,FALSE,"B3";#N/A,#N/A,FALSE,"B2";#N/A,#N/A,FALSE,"B1"}</definedName>
    <definedName name="ll" localSheetId="10" hidden="1">{#N/A,#N/A,FALSE,"B3";#N/A,#N/A,FALSE,"B2";#N/A,#N/A,FALSE,"B1"}</definedName>
    <definedName name="ll" hidden="1">{#N/A,#N/A,FALSE,"B3";#N/A,#N/A,FALSE,"B2";#N/A,#N/A,FALSE,"B1"}</definedName>
    <definedName name="lo" localSheetId="6" hidden="1">{#N/A,#N/A,FALSE,"B3";#N/A,#N/A,FALSE,"B2";#N/A,#N/A,FALSE,"B1"}</definedName>
    <definedName name="lo" localSheetId="9" hidden="1">{#N/A,#N/A,FALSE,"B3";#N/A,#N/A,FALSE,"B2";#N/A,#N/A,FALSE,"B1"}</definedName>
    <definedName name="lo" localSheetId="4" hidden="1">{#N/A,#N/A,FALSE,"B3";#N/A,#N/A,FALSE,"B2";#N/A,#N/A,FALSE,"B1"}</definedName>
    <definedName name="lo" localSheetId="5" hidden="1">{#N/A,#N/A,FALSE,"B3";#N/A,#N/A,FALSE,"B2";#N/A,#N/A,FALSE,"B1"}</definedName>
    <definedName name="lo" localSheetId="10" hidden="1">{#N/A,#N/A,FALSE,"B3";#N/A,#N/A,FALSE,"B2";#N/A,#N/A,FALSE,"B1"}</definedName>
    <definedName name="lo" hidden="1">{#N/A,#N/A,FALSE,"B3";#N/A,#N/A,FALSE,"B2";#N/A,#N/A,FALSE,"B1"}</definedName>
    <definedName name="ly" localSheetId="6" hidden="1">{#N/A,#N/A,FALSE,"B1";#N/A,#N/A,FALSE,"B2";#N/A,#N/A,FALSE,"B3";#N/A,#N/A,FALSE,"A4";#N/A,#N/A,FALSE,"A3";#N/A,#N/A,FALSE,"A2";#N/A,#N/A,FALSE,"A1";#N/A,#N/A,FALSE,"Indice"}</definedName>
    <definedName name="ly" localSheetId="9" hidden="1">{#N/A,#N/A,FALSE,"B1";#N/A,#N/A,FALSE,"B2";#N/A,#N/A,FALSE,"B3";#N/A,#N/A,FALSE,"A4";#N/A,#N/A,FALSE,"A3";#N/A,#N/A,FALSE,"A2";#N/A,#N/A,FALSE,"A1";#N/A,#N/A,FALSE,"Indice"}</definedName>
    <definedName name="ly" localSheetId="4" hidden="1">{#N/A,#N/A,FALSE,"B1";#N/A,#N/A,FALSE,"B2";#N/A,#N/A,FALSE,"B3";#N/A,#N/A,FALSE,"A4";#N/A,#N/A,FALSE,"A3";#N/A,#N/A,FALSE,"A2";#N/A,#N/A,FALSE,"A1";#N/A,#N/A,FALSE,"Indice"}</definedName>
    <definedName name="ly" localSheetId="5" hidden="1">{#N/A,#N/A,FALSE,"B1";#N/A,#N/A,FALSE,"B2";#N/A,#N/A,FALSE,"B3";#N/A,#N/A,FALSE,"A4";#N/A,#N/A,FALSE,"A3";#N/A,#N/A,FALSE,"A2";#N/A,#N/A,FALSE,"A1";#N/A,#N/A,FALSE,"Indice"}</definedName>
    <definedName name="ly" localSheetId="10" hidden="1">{#N/A,#N/A,FALSE,"B1";#N/A,#N/A,FALSE,"B2";#N/A,#N/A,FALSE,"B3";#N/A,#N/A,FALSE,"A4";#N/A,#N/A,FALSE,"A3";#N/A,#N/A,FALSE,"A2";#N/A,#N/A,FALSE,"A1";#N/A,#N/A,FALSE,"Indice"}</definedName>
    <definedName name="ly" hidden="1">{#N/A,#N/A,FALSE,"B1";#N/A,#N/A,FALSE,"B2";#N/A,#N/A,FALSE,"B3";#N/A,#N/A,FALSE,"A4";#N/A,#N/A,FALSE,"A3";#N/A,#N/A,FALSE,"A2";#N/A,#N/A,FALSE,"A1";#N/A,#N/A,FALSE,"Indice"}</definedName>
    <definedName name="marco" localSheetId="6" hidden="1">{#N/A,#N/A,FALSE,"Indice"}</definedName>
    <definedName name="marco" localSheetId="9" hidden="1">{#N/A,#N/A,FALSE,"Indice"}</definedName>
    <definedName name="marco" localSheetId="4" hidden="1">{#N/A,#N/A,FALSE,"Indice"}</definedName>
    <definedName name="marco" localSheetId="5" hidden="1">{#N/A,#N/A,FALSE,"Indice"}</definedName>
    <definedName name="marco" localSheetId="10" hidden="1">{#N/A,#N/A,FALSE,"Indice"}</definedName>
    <definedName name="marco" hidden="1">{#N/A,#N/A,FALSE,"Indice"}</definedName>
    <definedName name="MATT" localSheetId="6" hidden="1">{#N/A,#N/A,TRUE,"Main Issues";#N/A,#N/A,TRUE,"Income statement ($)"}</definedName>
    <definedName name="MATT" localSheetId="9" hidden="1">{#N/A,#N/A,TRUE,"Main Issues";#N/A,#N/A,TRUE,"Income statement ($)"}</definedName>
    <definedName name="MATT" localSheetId="4" hidden="1">{#N/A,#N/A,TRUE,"Main Issues";#N/A,#N/A,TRUE,"Income statement ($)"}</definedName>
    <definedName name="MATT" localSheetId="5" hidden="1">{#N/A,#N/A,TRUE,"Main Issues";#N/A,#N/A,TRUE,"Income statement ($)"}</definedName>
    <definedName name="MATT" localSheetId="10" hidden="1">{#N/A,#N/A,TRUE,"Main Issues";#N/A,#N/A,TRUE,"Income statement ($)"}</definedName>
    <definedName name="MATT" hidden="1">{#N/A,#N/A,TRUE,"Main Issues";#N/A,#N/A,TRUE,"Income statement ($)"}</definedName>
    <definedName name="min" localSheetId="6" hidden="1">{#N/A,#N/A,FALSE,"B1";#N/A,#N/A,FALSE,"B2";#N/A,#N/A,FALSE,"B3";#N/A,#N/A,FALSE,"A4";#N/A,#N/A,FALSE,"A3";#N/A,#N/A,FALSE,"A2";#N/A,#N/A,FALSE,"A1";#N/A,#N/A,FALSE,"Indice"}</definedName>
    <definedName name="min" localSheetId="9" hidden="1">{#N/A,#N/A,FALSE,"B1";#N/A,#N/A,FALSE,"B2";#N/A,#N/A,FALSE,"B3";#N/A,#N/A,FALSE,"A4";#N/A,#N/A,FALSE,"A3";#N/A,#N/A,FALSE,"A2";#N/A,#N/A,FALSE,"A1";#N/A,#N/A,FALSE,"Indice"}</definedName>
    <definedName name="min" localSheetId="4" hidden="1">{#N/A,#N/A,FALSE,"B1";#N/A,#N/A,FALSE,"B2";#N/A,#N/A,FALSE,"B3";#N/A,#N/A,FALSE,"A4";#N/A,#N/A,FALSE,"A3";#N/A,#N/A,FALSE,"A2";#N/A,#N/A,FALSE,"A1";#N/A,#N/A,FALSE,"Indice"}</definedName>
    <definedName name="min" localSheetId="5" hidden="1">{#N/A,#N/A,FALSE,"B1";#N/A,#N/A,FALSE,"B2";#N/A,#N/A,FALSE,"B3";#N/A,#N/A,FALSE,"A4";#N/A,#N/A,FALSE,"A3";#N/A,#N/A,FALSE,"A2";#N/A,#N/A,FALSE,"A1";#N/A,#N/A,FALSE,"Indice"}</definedName>
    <definedName name="min" localSheetId="10" hidden="1">{#N/A,#N/A,FALSE,"B1";#N/A,#N/A,FALSE,"B2";#N/A,#N/A,FALSE,"B3";#N/A,#N/A,FALSE,"A4";#N/A,#N/A,FALSE,"A3";#N/A,#N/A,FALSE,"A2";#N/A,#N/A,FALSE,"A1";#N/A,#N/A,FALSE,"Indice"}</definedName>
    <definedName name="min" hidden="1">{#N/A,#N/A,FALSE,"B1";#N/A,#N/A,FALSE,"B2";#N/A,#N/A,FALSE,"B3";#N/A,#N/A,FALSE,"A4";#N/A,#N/A,FALSE,"A3";#N/A,#N/A,FALSE,"A2";#N/A,#N/A,FALSE,"A1";#N/A,#N/A,FALSE,"Indice"}</definedName>
    <definedName name="mio" localSheetId="6" hidden="1">{#N/A,#N/A,FALSE,"Indice"}</definedName>
    <definedName name="mio" localSheetId="9" hidden="1">{#N/A,#N/A,FALSE,"Indice"}</definedName>
    <definedName name="mio" localSheetId="4" hidden="1">{#N/A,#N/A,FALSE,"Indice"}</definedName>
    <definedName name="mio" localSheetId="5" hidden="1">{#N/A,#N/A,FALSE,"Indice"}</definedName>
    <definedName name="mio" localSheetId="10" hidden="1">{#N/A,#N/A,FALSE,"Indice"}</definedName>
    <definedName name="mio" hidden="1">{#N/A,#N/A,FALSE,"Indice"}</definedName>
    <definedName name="mn" localSheetId="6" hidden="1">{#N/A,#N/A,FALSE,"Indice"}</definedName>
    <definedName name="mn" localSheetId="9" hidden="1">{#N/A,#N/A,FALSE,"Indice"}</definedName>
    <definedName name="mn" localSheetId="4" hidden="1">{#N/A,#N/A,FALSE,"Indice"}</definedName>
    <definedName name="mn" localSheetId="5" hidden="1">{#N/A,#N/A,FALSE,"Indice"}</definedName>
    <definedName name="mn" localSheetId="10" hidden="1">{#N/A,#N/A,FALSE,"Indice"}</definedName>
    <definedName name="mn" hidden="1">{#N/A,#N/A,FALSE,"Indice"}</definedName>
    <definedName name="moi" localSheetId="6" hidden="1">{#N/A,#N/A,FALSE,"A4";#N/A,#N/A,FALSE,"A3";#N/A,#N/A,FALSE,"A2";#N/A,#N/A,FALSE,"A1"}</definedName>
    <definedName name="moi" localSheetId="9" hidden="1">{#N/A,#N/A,FALSE,"A4";#N/A,#N/A,FALSE,"A3";#N/A,#N/A,FALSE,"A2";#N/A,#N/A,FALSE,"A1"}</definedName>
    <definedName name="moi" localSheetId="4" hidden="1">{#N/A,#N/A,FALSE,"A4";#N/A,#N/A,FALSE,"A3";#N/A,#N/A,FALSE,"A2";#N/A,#N/A,FALSE,"A1"}</definedName>
    <definedName name="moi" localSheetId="5" hidden="1">{#N/A,#N/A,FALSE,"A4";#N/A,#N/A,FALSE,"A3";#N/A,#N/A,FALSE,"A2";#N/A,#N/A,FALSE,"A1"}</definedName>
    <definedName name="moi" localSheetId="10" hidden="1">{#N/A,#N/A,FALSE,"A4";#N/A,#N/A,FALSE,"A3";#N/A,#N/A,FALSE,"A2";#N/A,#N/A,FALSE,"A1"}</definedName>
    <definedName name="moi" hidden="1">{#N/A,#N/A,FALSE,"A4";#N/A,#N/A,FALSE,"A3";#N/A,#N/A,FALSE,"A2";#N/A,#N/A,FALSE,"A1"}</definedName>
    <definedName name="muy" localSheetId="6" hidden="1">{#N/A,#N/A,FALSE,"B3";#N/A,#N/A,FALSE,"B2";#N/A,#N/A,FALSE,"B1"}</definedName>
    <definedName name="muy" localSheetId="9" hidden="1">{#N/A,#N/A,FALSE,"B3";#N/A,#N/A,FALSE,"B2";#N/A,#N/A,FALSE,"B1"}</definedName>
    <definedName name="muy" localSheetId="4" hidden="1">{#N/A,#N/A,FALSE,"B3";#N/A,#N/A,FALSE,"B2";#N/A,#N/A,FALSE,"B1"}</definedName>
    <definedName name="muy" localSheetId="5" hidden="1">{#N/A,#N/A,FALSE,"B3";#N/A,#N/A,FALSE,"B2";#N/A,#N/A,FALSE,"B1"}</definedName>
    <definedName name="muy" localSheetId="10" hidden="1">{#N/A,#N/A,FALSE,"B3";#N/A,#N/A,FALSE,"B2";#N/A,#N/A,FALSE,"B1"}</definedName>
    <definedName name="muy" hidden="1">{#N/A,#N/A,FALSE,"B3";#N/A,#N/A,FALSE,"B2";#N/A,#N/A,FALSE,"B1"}</definedName>
    <definedName name="nn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" localSheetId="9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" localSheetId="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" localSheetId="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" localSheetId="1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ok" localSheetId="6" hidden="1">{#N/A,#N/A,FALSE,"B3";#N/A,#N/A,FALSE,"B2";#N/A,#N/A,FALSE,"B1"}</definedName>
    <definedName name="ok" localSheetId="9" hidden="1">{#N/A,#N/A,FALSE,"B3";#N/A,#N/A,FALSE,"B2";#N/A,#N/A,FALSE,"B1"}</definedName>
    <definedName name="ok" localSheetId="4" hidden="1">{#N/A,#N/A,FALSE,"B3";#N/A,#N/A,FALSE,"B2";#N/A,#N/A,FALSE,"B1"}</definedName>
    <definedName name="ok" localSheetId="5" hidden="1">{#N/A,#N/A,FALSE,"B3";#N/A,#N/A,FALSE,"B2";#N/A,#N/A,FALSE,"B1"}</definedName>
    <definedName name="ok" localSheetId="10" hidden="1">{#N/A,#N/A,FALSE,"B3";#N/A,#N/A,FALSE,"B2";#N/A,#N/A,FALSE,"B1"}</definedName>
    <definedName name="ok" hidden="1">{#N/A,#N/A,FALSE,"B3";#N/A,#N/A,FALSE,"B2";#N/A,#N/A,FALSE,"B1"}</definedName>
    <definedName name="old" localSheetId="6" hidden="1">{#N/A,#N/A,FALSE,"A4";#N/A,#N/A,FALSE,"A3";#N/A,#N/A,FALSE,"A2";#N/A,#N/A,FALSE,"A1"}</definedName>
    <definedName name="old" localSheetId="9" hidden="1">{#N/A,#N/A,FALSE,"A4";#N/A,#N/A,FALSE,"A3";#N/A,#N/A,FALSE,"A2";#N/A,#N/A,FALSE,"A1"}</definedName>
    <definedName name="old" localSheetId="4" hidden="1">{#N/A,#N/A,FALSE,"A4";#N/A,#N/A,FALSE,"A3";#N/A,#N/A,FALSE,"A2";#N/A,#N/A,FALSE,"A1"}</definedName>
    <definedName name="old" localSheetId="5" hidden="1">{#N/A,#N/A,FALSE,"A4";#N/A,#N/A,FALSE,"A3";#N/A,#N/A,FALSE,"A2";#N/A,#N/A,FALSE,"A1"}</definedName>
    <definedName name="old" localSheetId="10" hidden="1">{#N/A,#N/A,FALSE,"A4";#N/A,#N/A,FALSE,"A3";#N/A,#N/A,FALSE,"A2";#N/A,#N/A,FALSE,"A1"}</definedName>
    <definedName name="old" hidden="1">{#N/A,#N/A,FALSE,"A4";#N/A,#N/A,FALSE,"A3";#N/A,#N/A,FALSE,"A2";#N/A,#N/A,FALSE,"A1"}</definedName>
    <definedName name="pippo" localSheetId="6" hidden="1">{#N/A,#N/A,FALSE,"Indice"}</definedName>
    <definedName name="pippo" localSheetId="9" hidden="1">{#N/A,#N/A,FALSE,"Indice"}</definedName>
    <definedName name="pippo" localSheetId="4" hidden="1">{#N/A,#N/A,FALSE,"Indice"}</definedName>
    <definedName name="pippo" localSheetId="5" hidden="1">{#N/A,#N/A,FALSE,"Indice"}</definedName>
    <definedName name="pippo" localSheetId="10" hidden="1">{#N/A,#N/A,FALSE,"Indice"}</definedName>
    <definedName name="pippo" hidden="1">{#N/A,#N/A,FALSE,"Indice"}</definedName>
    <definedName name="pluto" localSheetId="6" hidden="1">{#N/A,#N/A,FALSE,"Indice"}</definedName>
    <definedName name="pluto" localSheetId="9" hidden="1">{#N/A,#N/A,FALSE,"Indice"}</definedName>
    <definedName name="pluto" localSheetId="4" hidden="1">{#N/A,#N/A,FALSE,"Indice"}</definedName>
    <definedName name="pluto" localSheetId="5" hidden="1">{#N/A,#N/A,FALSE,"Indice"}</definedName>
    <definedName name="pluto" localSheetId="10" hidden="1">{#N/A,#N/A,FALSE,"Indice"}</definedName>
    <definedName name="pluto" hidden="1">{#N/A,#N/A,FALSE,"Indice"}</definedName>
    <definedName name="pppppppppppppppp" localSheetId="6" hidden="1">{#N/A,#N/A,FALSE,"B1";#N/A,#N/A,FALSE,"B2";#N/A,#N/A,FALSE,"B3";#N/A,#N/A,FALSE,"A4";#N/A,#N/A,FALSE,"A3";#N/A,#N/A,FALSE,"A2";#N/A,#N/A,FALSE,"A1";#N/A,#N/A,FALSE,"Indice"}</definedName>
    <definedName name="pppppppppppppppp" localSheetId="9" hidden="1">{#N/A,#N/A,FALSE,"B1";#N/A,#N/A,FALSE,"B2";#N/A,#N/A,FALSE,"B3";#N/A,#N/A,FALSE,"A4";#N/A,#N/A,FALSE,"A3";#N/A,#N/A,FALSE,"A2";#N/A,#N/A,FALSE,"A1";#N/A,#N/A,FALSE,"Indice"}</definedName>
    <definedName name="pppppppppppppppp" localSheetId="4" hidden="1">{#N/A,#N/A,FALSE,"B1";#N/A,#N/A,FALSE,"B2";#N/A,#N/A,FALSE,"B3";#N/A,#N/A,FALSE,"A4";#N/A,#N/A,FALSE,"A3";#N/A,#N/A,FALSE,"A2";#N/A,#N/A,FALSE,"A1";#N/A,#N/A,FALSE,"Indice"}</definedName>
    <definedName name="pppppppppppppppp" localSheetId="5" hidden="1">{#N/A,#N/A,FALSE,"B1";#N/A,#N/A,FALSE,"B2";#N/A,#N/A,FALSE,"B3";#N/A,#N/A,FALSE,"A4";#N/A,#N/A,FALSE,"A3";#N/A,#N/A,FALSE,"A2";#N/A,#N/A,FALSE,"A1";#N/A,#N/A,FALSE,"Indice"}</definedName>
    <definedName name="pppppppppppppppp" localSheetId="10" hidden="1">{#N/A,#N/A,FALSE,"B1";#N/A,#N/A,FALSE,"B2";#N/A,#N/A,FALSE,"B3";#N/A,#N/A,FALSE,"A4";#N/A,#N/A,FALSE,"A3";#N/A,#N/A,FALSE,"A2";#N/A,#N/A,FALSE,"A1";#N/A,#N/A,FALSE,"Indice"}</definedName>
    <definedName name="pppppppppppppppp" hidden="1">{#N/A,#N/A,FALSE,"B1";#N/A,#N/A,FALSE,"B2";#N/A,#N/A,FALSE,"B3";#N/A,#N/A,FALSE,"A4";#N/A,#N/A,FALSE,"A3";#N/A,#N/A,FALSE,"A2";#N/A,#N/A,FALSE,"A1";#N/A,#N/A,FALSE,"Indice"}</definedName>
    <definedName name="Prospetto" localSheetId="9" hidden="1">{#N/A,#N/A,FALSE,"B1";#N/A,#N/A,FALSE,"B2";#N/A,#N/A,FALSE,"B3";#N/A,#N/A,FALSE,"A4";#N/A,#N/A,FALSE,"A3";#N/A,#N/A,FALSE,"A2";#N/A,#N/A,FALSE,"A1";#N/A,#N/A,FALSE,"Indice"}</definedName>
    <definedName name="Prospetto" localSheetId="5" hidden="1">{#N/A,#N/A,FALSE,"B1";#N/A,#N/A,FALSE,"B2";#N/A,#N/A,FALSE,"B3";#N/A,#N/A,FALSE,"A4";#N/A,#N/A,FALSE,"A3";#N/A,#N/A,FALSE,"A2";#N/A,#N/A,FALSE,"A1";#N/A,#N/A,FALSE,"Indice"}</definedName>
    <definedName name="Prospetto" localSheetId="10" hidden="1">{#N/A,#N/A,FALSE,"B1";#N/A,#N/A,FALSE,"B2";#N/A,#N/A,FALSE,"B3";#N/A,#N/A,FALSE,"A4";#N/A,#N/A,FALSE,"A3";#N/A,#N/A,FALSE,"A2";#N/A,#N/A,FALSE,"A1";#N/A,#N/A,FALSE,"Indice"}</definedName>
    <definedName name="Prospetto" hidden="1">{#N/A,#N/A,FALSE,"B1";#N/A,#N/A,FALSE,"B2";#N/A,#N/A,FALSE,"B3";#N/A,#N/A,FALSE,"A4";#N/A,#N/A,FALSE,"A3";#N/A,#N/A,FALSE,"A2";#N/A,#N/A,FALSE,"A1";#N/A,#N/A,FALSE,"Indice"}</definedName>
    <definedName name="pwoefu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" localSheetId="9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" localSheetId="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" localSheetId="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" localSheetId="1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localSheetId="9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localSheetId="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localSheetId="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localSheetId="1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W" localSheetId="6" hidden="1">{#N/A,#N/A,FALSE,"Indice"}</definedName>
    <definedName name="QW" localSheetId="9" hidden="1">{#N/A,#N/A,FALSE,"Indice"}</definedName>
    <definedName name="QW" localSheetId="4" hidden="1">{#N/A,#N/A,FALSE,"Indice"}</definedName>
    <definedName name="QW" localSheetId="5" hidden="1">{#N/A,#N/A,FALSE,"Indice"}</definedName>
    <definedName name="QW" localSheetId="10" hidden="1">{#N/A,#N/A,FALSE,"Indice"}</definedName>
    <definedName name="QW" hidden="1">{#N/A,#N/A,FALSE,"Indice"}</definedName>
    <definedName name="re" localSheetId="9" hidden="1">{#N/A,#N/A,FALSE,"B1";#N/A,#N/A,FALSE,"B2";#N/A,#N/A,FALSE,"B3";#N/A,#N/A,FALSE,"A4";#N/A,#N/A,FALSE,"A3";#N/A,#N/A,FALSE,"A2";#N/A,#N/A,FALSE,"A1";#N/A,#N/A,FALSE,"Indice"}</definedName>
    <definedName name="re" localSheetId="5" hidden="1">{#N/A,#N/A,FALSE,"B1";#N/A,#N/A,FALSE,"B2";#N/A,#N/A,FALSE,"B3";#N/A,#N/A,FALSE,"A4";#N/A,#N/A,FALSE,"A3";#N/A,#N/A,FALSE,"A2";#N/A,#N/A,FALSE,"A1";#N/A,#N/A,FALSE,"Indice"}</definedName>
    <definedName name="re" localSheetId="10" hidden="1">{#N/A,#N/A,FALSE,"B1";#N/A,#N/A,FALSE,"B2";#N/A,#N/A,FALSE,"B3";#N/A,#N/A,FALSE,"A4";#N/A,#N/A,FALSE,"A3";#N/A,#N/A,FALSE,"A2";#N/A,#N/A,FALSE,"A1";#N/A,#N/A,FALSE,"Indice"}</definedName>
    <definedName name="re" hidden="1">{#N/A,#N/A,FALSE,"B1";#N/A,#N/A,FALSE,"B2";#N/A,#N/A,FALSE,"B3";#N/A,#N/A,FALSE,"A4";#N/A,#N/A,FALSE,"A3";#N/A,#N/A,FALSE,"A2";#N/A,#N/A,FALSE,"A1";#N/A,#N/A,FALSE,"Indice"}</definedName>
    <definedName name="resa" localSheetId="6" hidden="1">{#N/A,#N/A,FALSE,"B1";#N/A,#N/A,FALSE,"B2";#N/A,#N/A,FALSE,"B3";#N/A,#N/A,FALSE,"A4";#N/A,#N/A,FALSE,"A3";#N/A,#N/A,FALSE,"A2";#N/A,#N/A,FALSE,"A1";#N/A,#N/A,FALSE,"Indice"}</definedName>
    <definedName name="resa" localSheetId="9" hidden="1">{#N/A,#N/A,FALSE,"B1";#N/A,#N/A,FALSE,"B2";#N/A,#N/A,FALSE,"B3";#N/A,#N/A,FALSE,"A4";#N/A,#N/A,FALSE,"A3";#N/A,#N/A,FALSE,"A2";#N/A,#N/A,FALSE,"A1";#N/A,#N/A,FALSE,"Indice"}</definedName>
    <definedName name="resa" localSheetId="4" hidden="1">{#N/A,#N/A,FALSE,"B1";#N/A,#N/A,FALSE,"B2";#N/A,#N/A,FALSE,"B3";#N/A,#N/A,FALSE,"A4";#N/A,#N/A,FALSE,"A3";#N/A,#N/A,FALSE,"A2";#N/A,#N/A,FALSE,"A1";#N/A,#N/A,FALSE,"Indice"}</definedName>
    <definedName name="resa" localSheetId="5" hidden="1">{#N/A,#N/A,FALSE,"B1";#N/A,#N/A,FALSE,"B2";#N/A,#N/A,FALSE,"B3";#N/A,#N/A,FALSE,"A4";#N/A,#N/A,FALSE,"A3";#N/A,#N/A,FALSE,"A2";#N/A,#N/A,FALSE,"A1";#N/A,#N/A,FALSE,"Indice"}</definedName>
    <definedName name="resa" localSheetId="10" hidden="1">{#N/A,#N/A,FALSE,"B1";#N/A,#N/A,FALSE,"B2";#N/A,#N/A,FALSE,"B3";#N/A,#N/A,FALSE,"A4";#N/A,#N/A,FALSE,"A3";#N/A,#N/A,FALSE,"A2";#N/A,#N/A,FALSE,"A1";#N/A,#N/A,FALSE,"Indice"}</definedName>
    <definedName name="resa" hidden="1">{#N/A,#N/A,FALSE,"B1";#N/A,#N/A,FALSE,"B2";#N/A,#N/A,FALSE,"B3";#N/A,#N/A,FALSE,"A4";#N/A,#N/A,FALSE,"A3";#N/A,#N/A,FALSE,"A2";#N/A,#N/A,FALSE,"A1";#N/A,#N/A,FALSE,"Indice"}</definedName>
    <definedName name="sa" localSheetId="6" hidden="1">{#N/A,#N/A,FALSE,"B1";#N/A,#N/A,FALSE,"B2";#N/A,#N/A,FALSE,"B3";#N/A,#N/A,FALSE,"A4";#N/A,#N/A,FALSE,"A3";#N/A,#N/A,FALSE,"A2";#N/A,#N/A,FALSE,"A1";#N/A,#N/A,FALSE,"Indice"}</definedName>
    <definedName name="sa" localSheetId="9" hidden="1">{#N/A,#N/A,FALSE,"B1";#N/A,#N/A,FALSE,"B2";#N/A,#N/A,FALSE,"B3";#N/A,#N/A,FALSE,"A4";#N/A,#N/A,FALSE,"A3";#N/A,#N/A,FALSE,"A2";#N/A,#N/A,FALSE,"A1";#N/A,#N/A,FALSE,"Indice"}</definedName>
    <definedName name="sa" localSheetId="4" hidden="1">{#N/A,#N/A,FALSE,"B1";#N/A,#N/A,FALSE,"B2";#N/A,#N/A,FALSE,"B3";#N/A,#N/A,FALSE,"A4";#N/A,#N/A,FALSE,"A3";#N/A,#N/A,FALSE,"A2";#N/A,#N/A,FALSE,"A1";#N/A,#N/A,FALSE,"Indice"}</definedName>
    <definedName name="sa" localSheetId="5" hidden="1">{#N/A,#N/A,FALSE,"B1";#N/A,#N/A,FALSE,"B2";#N/A,#N/A,FALSE,"B3";#N/A,#N/A,FALSE,"A4";#N/A,#N/A,FALSE,"A3";#N/A,#N/A,FALSE,"A2";#N/A,#N/A,FALSE,"A1";#N/A,#N/A,FALSE,"Indice"}</definedName>
    <definedName name="sa" localSheetId="10" hidden="1">{#N/A,#N/A,FALSE,"B1";#N/A,#N/A,FALSE,"B2";#N/A,#N/A,FALSE,"B3";#N/A,#N/A,FALSE,"A4";#N/A,#N/A,FALSE,"A3";#N/A,#N/A,FALSE,"A2";#N/A,#N/A,FALSE,"A1";#N/A,#N/A,FALSE,"Indice"}</definedName>
    <definedName name="sa" hidden="1">{#N/A,#N/A,FALSE,"B1";#N/A,#N/A,FALSE,"B2";#N/A,#N/A,FALSE,"B3";#N/A,#N/A,FALSE,"A4";#N/A,#N/A,FALSE,"A3";#N/A,#N/A,FALSE,"A2";#N/A,#N/A,FALSE,"A1";#N/A,#N/A,FALSE,"Indice"}</definedName>
    <definedName name="sader" localSheetId="6" hidden="1">{#N/A,#N/A,FALSE,"B1";#N/A,#N/A,FALSE,"B2";#N/A,#N/A,FALSE,"B3";#N/A,#N/A,FALSE,"A4";#N/A,#N/A,FALSE,"A3";#N/A,#N/A,FALSE,"A2";#N/A,#N/A,FALSE,"A1";#N/A,#N/A,FALSE,"Indice"}</definedName>
    <definedName name="sader" localSheetId="9" hidden="1">{#N/A,#N/A,FALSE,"B1";#N/A,#N/A,FALSE,"B2";#N/A,#N/A,FALSE,"B3";#N/A,#N/A,FALSE,"A4";#N/A,#N/A,FALSE,"A3";#N/A,#N/A,FALSE,"A2";#N/A,#N/A,FALSE,"A1";#N/A,#N/A,FALSE,"Indice"}</definedName>
    <definedName name="sader" localSheetId="4" hidden="1">{#N/A,#N/A,FALSE,"B1";#N/A,#N/A,FALSE,"B2";#N/A,#N/A,FALSE,"B3";#N/A,#N/A,FALSE,"A4";#N/A,#N/A,FALSE,"A3";#N/A,#N/A,FALSE,"A2";#N/A,#N/A,FALSE,"A1";#N/A,#N/A,FALSE,"Indice"}</definedName>
    <definedName name="sader" localSheetId="5" hidden="1">{#N/A,#N/A,FALSE,"B1";#N/A,#N/A,FALSE,"B2";#N/A,#N/A,FALSE,"B3";#N/A,#N/A,FALSE,"A4";#N/A,#N/A,FALSE,"A3";#N/A,#N/A,FALSE,"A2";#N/A,#N/A,FALSE,"A1";#N/A,#N/A,FALSE,"Indice"}</definedName>
    <definedName name="sader" localSheetId="10" hidden="1">{#N/A,#N/A,FALSE,"B1";#N/A,#N/A,FALSE,"B2";#N/A,#N/A,FALSE,"B3";#N/A,#N/A,FALSE,"A4";#N/A,#N/A,FALSE,"A3";#N/A,#N/A,FALSE,"A2";#N/A,#N/A,FALSE,"A1";#N/A,#N/A,FALSE,"Indice"}</definedName>
    <definedName name="sader" hidden="1">{#N/A,#N/A,FALSE,"B1";#N/A,#N/A,FALSE,"B2";#N/A,#N/A,FALSE,"B3";#N/A,#N/A,FALSE,"A4";#N/A,#N/A,FALSE,"A3";#N/A,#N/A,FALSE,"A2";#N/A,#N/A,FALSE,"A1";#N/A,#N/A,FALSE,"Indice"}</definedName>
    <definedName name="sae" localSheetId="6" hidden="1">{#N/A,#N/A,FALSE,"Indice"}</definedName>
    <definedName name="sae" localSheetId="9" hidden="1">{#N/A,#N/A,FALSE,"Indice"}</definedName>
    <definedName name="sae" localSheetId="4" hidden="1">{#N/A,#N/A,FALSE,"Indice"}</definedName>
    <definedName name="sae" localSheetId="5" hidden="1">{#N/A,#N/A,FALSE,"Indice"}</definedName>
    <definedName name="sae" localSheetId="10" hidden="1">{#N/A,#N/A,FALSE,"Indice"}</definedName>
    <definedName name="sae" hidden="1">{#N/A,#N/A,FALSE,"Indice"}</definedName>
    <definedName name="sq" localSheetId="6" hidden="1">{#N/A,#N/A,FALSE,"Indice"}</definedName>
    <definedName name="sq" localSheetId="9" hidden="1">{#N/A,#N/A,FALSE,"Indice"}</definedName>
    <definedName name="sq" localSheetId="4" hidden="1">{#N/A,#N/A,FALSE,"Indice"}</definedName>
    <definedName name="sq" localSheetId="5" hidden="1">{#N/A,#N/A,FALSE,"Indice"}</definedName>
    <definedName name="sq" localSheetId="10" hidden="1">{#N/A,#N/A,FALSE,"Indice"}</definedName>
    <definedName name="sq" hidden="1">{#N/A,#N/A,FALSE,"Indice"}</definedName>
    <definedName name="SS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" localSheetId="9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" localSheetId="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" localSheetId="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" localSheetId="1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localSheetId="9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localSheetId="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localSheetId="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localSheetId="1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localSheetId="9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localSheetId="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localSheetId="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localSheetId="1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w" localSheetId="6" hidden="1">{#N/A,#N/A,FALSE,"B1";#N/A,#N/A,FALSE,"B2";#N/A,#N/A,FALSE,"B3";#N/A,#N/A,FALSE,"A4";#N/A,#N/A,FALSE,"A3";#N/A,#N/A,FALSE,"A2";#N/A,#N/A,FALSE,"A1";#N/A,#N/A,FALSE,"Indice"}</definedName>
    <definedName name="sw" localSheetId="9" hidden="1">{#N/A,#N/A,FALSE,"B1";#N/A,#N/A,FALSE,"B2";#N/A,#N/A,FALSE,"B3";#N/A,#N/A,FALSE,"A4";#N/A,#N/A,FALSE,"A3";#N/A,#N/A,FALSE,"A2";#N/A,#N/A,FALSE,"A1";#N/A,#N/A,FALSE,"Indice"}</definedName>
    <definedName name="sw" localSheetId="4" hidden="1">{#N/A,#N/A,FALSE,"B1";#N/A,#N/A,FALSE,"B2";#N/A,#N/A,FALSE,"B3";#N/A,#N/A,FALSE,"A4";#N/A,#N/A,FALSE,"A3";#N/A,#N/A,FALSE,"A2";#N/A,#N/A,FALSE,"A1";#N/A,#N/A,FALSE,"Indice"}</definedName>
    <definedName name="sw" localSheetId="5" hidden="1">{#N/A,#N/A,FALSE,"B1";#N/A,#N/A,FALSE,"B2";#N/A,#N/A,FALSE,"B3";#N/A,#N/A,FALSE,"A4";#N/A,#N/A,FALSE,"A3";#N/A,#N/A,FALSE,"A2";#N/A,#N/A,FALSE,"A1";#N/A,#N/A,FALSE,"Indice"}</definedName>
    <definedName name="sw" localSheetId="10" hidden="1">{#N/A,#N/A,FALSE,"B1";#N/A,#N/A,FALSE,"B2";#N/A,#N/A,FALSE,"B3";#N/A,#N/A,FALSE,"A4";#N/A,#N/A,FALSE,"A3";#N/A,#N/A,FALSE,"A2";#N/A,#N/A,FALSE,"A1";#N/A,#N/A,FALSE,"Indice"}</definedName>
    <definedName name="sw" hidden="1">{#N/A,#N/A,FALSE,"B1";#N/A,#N/A,FALSE,"B2";#N/A,#N/A,FALSE,"B3";#N/A,#N/A,FALSE,"A4";#N/A,#N/A,FALSE,"A3";#N/A,#N/A,FALSE,"A2";#N/A,#N/A,FALSE,"A1";#N/A,#N/A,FALSE,"Indice"}</definedName>
    <definedName name="td" localSheetId="6" hidden="1">{#N/A,#N/A,FALSE,"Indice"}</definedName>
    <definedName name="td" localSheetId="9" hidden="1">{#N/A,#N/A,FALSE,"Indice"}</definedName>
    <definedName name="td" localSheetId="4" hidden="1">{#N/A,#N/A,FALSE,"Indice"}</definedName>
    <definedName name="td" localSheetId="5" hidden="1">{#N/A,#N/A,FALSE,"Indice"}</definedName>
    <definedName name="td" localSheetId="10" hidden="1">{#N/A,#N/A,FALSE,"Indice"}</definedName>
    <definedName name="td" hidden="1">{#N/A,#N/A,FALSE,"Indice"}</definedName>
    <definedName name="_xlnm.Print_Titles" localSheetId="6">'2025_Schema RF'!$1:$4</definedName>
    <definedName name="_xlnm.Print_Titles" localSheetId="12">'C.E._31122024'!$3:$3</definedName>
    <definedName name="_xlnm.Print_Titles" localSheetId="3">'CE 2025_NSIS'!$1:$1</definedName>
    <definedName name="_xlnm.Print_Titles" localSheetId="0">'Conto Economico'!$1:$5</definedName>
    <definedName name="_xlnm.Print_Titles" localSheetId="9">'MOD. SP_2024'!$3:$3</definedName>
    <definedName name="_xlnm.Print_Titles" localSheetId="11">'PROSPETTO CE_IV TRIM 2024'!$1:$1</definedName>
    <definedName name="_xlnm.Print_Titles" localSheetId="5">'SP 2025 NSIS'!$1:$1</definedName>
    <definedName name="_xlnm.Print_Titles" localSheetId="1">'Stato Patr attivo'!$1:$5</definedName>
    <definedName name="_xlnm.Print_Titles" localSheetId="2">'Stato Patr passivo'!$1:$5</definedName>
    <definedName name="tre" localSheetId="6" hidden="1">{#N/A,#N/A,FALSE,"Indice"}</definedName>
    <definedName name="tre" localSheetId="9" hidden="1">{#N/A,#N/A,FALSE,"Indice"}</definedName>
    <definedName name="tre" localSheetId="4" hidden="1">{#N/A,#N/A,FALSE,"Indice"}</definedName>
    <definedName name="tre" localSheetId="5" hidden="1">{#N/A,#N/A,FALSE,"Indice"}</definedName>
    <definedName name="tre" localSheetId="10" hidden="1">{#N/A,#N/A,FALSE,"Indice"}</definedName>
    <definedName name="tre" hidden="1">{#N/A,#N/A,FALSE,"Indice"}</definedName>
    <definedName name="ver" localSheetId="6" hidden="1">{#N/A,#N/A,FALSE,"B3";#N/A,#N/A,FALSE,"B2";#N/A,#N/A,FALSE,"B1"}</definedName>
    <definedName name="ver" localSheetId="9" hidden="1">{#N/A,#N/A,FALSE,"B3";#N/A,#N/A,FALSE,"B2";#N/A,#N/A,FALSE,"B1"}</definedName>
    <definedName name="ver" localSheetId="4" hidden="1">{#N/A,#N/A,FALSE,"B3";#N/A,#N/A,FALSE,"B2";#N/A,#N/A,FALSE,"B1"}</definedName>
    <definedName name="ver" localSheetId="5" hidden="1">{#N/A,#N/A,FALSE,"B3";#N/A,#N/A,FALSE,"B2";#N/A,#N/A,FALSE,"B1"}</definedName>
    <definedName name="ver" localSheetId="10" hidden="1">{#N/A,#N/A,FALSE,"B3";#N/A,#N/A,FALSE,"B2";#N/A,#N/A,FALSE,"B1"}</definedName>
    <definedName name="ver" hidden="1">{#N/A,#N/A,FALSE,"B3";#N/A,#N/A,FALSE,"B2";#N/A,#N/A,FALSE,"B1"}</definedName>
    <definedName name="verd" localSheetId="6" hidden="1">{#N/A,#N/A,FALSE,"B1";#N/A,#N/A,FALSE,"B2";#N/A,#N/A,FALSE,"B3";#N/A,#N/A,FALSE,"A4";#N/A,#N/A,FALSE,"A3";#N/A,#N/A,FALSE,"A2";#N/A,#N/A,FALSE,"A1";#N/A,#N/A,FALSE,"Indice"}</definedName>
    <definedName name="verd" localSheetId="9" hidden="1">{#N/A,#N/A,FALSE,"B1";#N/A,#N/A,FALSE,"B2";#N/A,#N/A,FALSE,"B3";#N/A,#N/A,FALSE,"A4";#N/A,#N/A,FALSE,"A3";#N/A,#N/A,FALSE,"A2";#N/A,#N/A,FALSE,"A1";#N/A,#N/A,FALSE,"Indice"}</definedName>
    <definedName name="verd" localSheetId="4" hidden="1">{#N/A,#N/A,FALSE,"B1";#N/A,#N/A,FALSE,"B2";#N/A,#N/A,FALSE,"B3";#N/A,#N/A,FALSE,"A4";#N/A,#N/A,FALSE,"A3";#N/A,#N/A,FALSE,"A2";#N/A,#N/A,FALSE,"A1";#N/A,#N/A,FALSE,"Indice"}</definedName>
    <definedName name="verd" localSheetId="5" hidden="1">{#N/A,#N/A,FALSE,"B1";#N/A,#N/A,FALSE,"B2";#N/A,#N/A,FALSE,"B3";#N/A,#N/A,FALSE,"A4";#N/A,#N/A,FALSE,"A3";#N/A,#N/A,FALSE,"A2";#N/A,#N/A,FALSE,"A1";#N/A,#N/A,FALSE,"Indice"}</definedName>
    <definedName name="verd" localSheetId="10" hidden="1">{#N/A,#N/A,FALSE,"B1";#N/A,#N/A,FALSE,"B2";#N/A,#N/A,FALSE,"B3";#N/A,#N/A,FALSE,"A4";#N/A,#N/A,FALSE,"A3";#N/A,#N/A,FALSE,"A2";#N/A,#N/A,FALSE,"A1";#N/A,#N/A,FALSE,"Indice"}</definedName>
    <definedName name="verd" hidden="1">{#N/A,#N/A,FALSE,"B1";#N/A,#N/A,FALSE,"B2";#N/A,#N/A,FALSE,"B3";#N/A,#N/A,FALSE,"A4";#N/A,#N/A,FALSE,"A3";#N/A,#N/A,FALSE,"A2";#N/A,#N/A,FALSE,"A1";#N/A,#N/A,FALSE,"Indice"}</definedName>
    <definedName name="verfi" localSheetId="6" hidden="1">{#N/A,#N/A,FALSE,"A4";#N/A,#N/A,FALSE,"A3";#N/A,#N/A,FALSE,"A2";#N/A,#N/A,FALSE,"A1"}</definedName>
    <definedName name="verfi" localSheetId="9" hidden="1">{#N/A,#N/A,FALSE,"A4";#N/A,#N/A,FALSE,"A3";#N/A,#N/A,FALSE,"A2";#N/A,#N/A,FALSE,"A1"}</definedName>
    <definedName name="verfi" localSheetId="4" hidden="1">{#N/A,#N/A,FALSE,"A4";#N/A,#N/A,FALSE,"A3";#N/A,#N/A,FALSE,"A2";#N/A,#N/A,FALSE,"A1"}</definedName>
    <definedName name="verfi" localSheetId="5" hidden="1">{#N/A,#N/A,FALSE,"A4";#N/A,#N/A,FALSE,"A3";#N/A,#N/A,FALSE,"A2";#N/A,#N/A,FALSE,"A1"}</definedName>
    <definedName name="verfi" localSheetId="10" hidden="1">{#N/A,#N/A,FALSE,"A4";#N/A,#N/A,FALSE,"A3";#N/A,#N/A,FALSE,"A2";#N/A,#N/A,FALSE,"A1"}</definedName>
    <definedName name="verfi" hidden="1">{#N/A,#N/A,FALSE,"A4";#N/A,#N/A,FALSE,"A3";#N/A,#N/A,FALSE,"A2";#N/A,#N/A,FALSE,"A1"}</definedName>
    <definedName name="vf" localSheetId="6" hidden="1">{#N/A,#N/A,FALSE,"A4";#N/A,#N/A,FALSE,"A3";#N/A,#N/A,FALSE,"A2";#N/A,#N/A,FALSE,"A1"}</definedName>
    <definedName name="vf" localSheetId="9" hidden="1">{#N/A,#N/A,FALSE,"A4";#N/A,#N/A,FALSE,"A3";#N/A,#N/A,FALSE,"A2";#N/A,#N/A,FALSE,"A1"}</definedName>
    <definedName name="vf" localSheetId="4" hidden="1">{#N/A,#N/A,FALSE,"A4";#N/A,#N/A,FALSE,"A3";#N/A,#N/A,FALSE,"A2";#N/A,#N/A,FALSE,"A1"}</definedName>
    <definedName name="vf" localSheetId="5" hidden="1">{#N/A,#N/A,FALSE,"A4";#N/A,#N/A,FALSE,"A3";#N/A,#N/A,FALSE,"A2";#N/A,#N/A,FALSE,"A1"}</definedName>
    <definedName name="vf" localSheetId="10" hidden="1">{#N/A,#N/A,FALSE,"A4";#N/A,#N/A,FALSE,"A3";#N/A,#N/A,FALSE,"A2";#N/A,#N/A,FALSE,"A1"}</definedName>
    <definedName name="vf" hidden="1">{#N/A,#N/A,FALSE,"A4";#N/A,#N/A,FALSE,"A3";#N/A,#N/A,FALSE,"A2";#N/A,#N/A,FALSE,"A1"}</definedName>
    <definedName name="vio" localSheetId="6" hidden="1">{#N/A,#N/A,FALSE,"A4";#N/A,#N/A,FALSE,"A3";#N/A,#N/A,FALSE,"A2";#N/A,#N/A,FALSE,"A1"}</definedName>
    <definedName name="vio" localSheetId="9" hidden="1">{#N/A,#N/A,FALSE,"A4";#N/A,#N/A,FALSE,"A3";#N/A,#N/A,FALSE,"A2";#N/A,#N/A,FALSE,"A1"}</definedName>
    <definedName name="vio" localSheetId="4" hidden="1">{#N/A,#N/A,FALSE,"A4";#N/A,#N/A,FALSE,"A3";#N/A,#N/A,FALSE,"A2";#N/A,#N/A,FALSE,"A1"}</definedName>
    <definedName name="vio" localSheetId="5" hidden="1">{#N/A,#N/A,FALSE,"A4";#N/A,#N/A,FALSE,"A3";#N/A,#N/A,FALSE,"A2";#N/A,#N/A,FALSE,"A1"}</definedName>
    <definedName name="vio" localSheetId="10" hidden="1">{#N/A,#N/A,FALSE,"A4";#N/A,#N/A,FALSE,"A3";#N/A,#N/A,FALSE,"A2";#N/A,#N/A,FALSE,"A1"}</definedName>
    <definedName name="vio" hidden="1">{#N/A,#N/A,FALSE,"A4";#N/A,#N/A,FALSE,"A3";#N/A,#N/A,FALSE,"A2";#N/A,#N/A,FALSE,"A1"}</definedName>
    <definedName name="wrn.Danilo." localSheetId="6" hidden="1">{#N/A,#N/A,TRUE,"Main Issues";#N/A,#N/A,TRUE,"Income statement ($)"}</definedName>
    <definedName name="wrn.Danilo." localSheetId="9" hidden="1">{#N/A,#N/A,TRUE,"Main Issues";#N/A,#N/A,TRUE,"Income statement ($)"}</definedName>
    <definedName name="wrn.Danilo." localSheetId="4" hidden="1">{#N/A,#N/A,TRUE,"Main Issues";#N/A,#N/A,TRUE,"Income statement ($)"}</definedName>
    <definedName name="wrn.Danilo." localSheetId="5" hidden="1">{#N/A,#N/A,TRUE,"Main Issues";#N/A,#N/A,TRUE,"Income statement ($)"}</definedName>
    <definedName name="wrn.Danilo." localSheetId="10" hidden="1">{#N/A,#N/A,TRUE,"Main Issues";#N/A,#N/A,TRUE,"Income statement ($)"}</definedName>
    <definedName name="wrn.Danilo." hidden="1">{#N/A,#N/A,TRUE,"Main Issues";#N/A,#N/A,TRUE,"Income statement ($)"}</definedName>
    <definedName name="wrn.Elaborati._.di._.sintesi." localSheetId="6" hidden="1">{#N/A,#N/A,FALSE,"A4";#N/A,#N/A,FALSE,"A3";#N/A,#N/A,FALSE,"A2";#N/A,#N/A,FALSE,"A1"}</definedName>
    <definedName name="wrn.Elaborati._.di._.sintesi." localSheetId="9" hidden="1">{#N/A,#N/A,FALSE,"A4";#N/A,#N/A,FALSE,"A3";#N/A,#N/A,FALSE,"A2";#N/A,#N/A,FALSE,"A1"}</definedName>
    <definedName name="wrn.Elaborati._.di._.sintesi." localSheetId="4" hidden="1">{#N/A,#N/A,FALSE,"A4";#N/A,#N/A,FALSE,"A3";#N/A,#N/A,FALSE,"A2";#N/A,#N/A,FALSE,"A1"}</definedName>
    <definedName name="wrn.Elaborati._.di._.sintesi." localSheetId="5" hidden="1">{#N/A,#N/A,FALSE,"A4";#N/A,#N/A,FALSE,"A3";#N/A,#N/A,FALSE,"A2";#N/A,#N/A,FALSE,"A1"}</definedName>
    <definedName name="wrn.Elaborati._.di._.sintesi." localSheetId="10" hidden="1">{#N/A,#N/A,FALSE,"A4";#N/A,#N/A,FALSE,"A3";#N/A,#N/A,FALSE,"A2";#N/A,#N/A,FALSE,"A1"}</definedName>
    <definedName name="wrn.Elaborati._.di._.sintesi." hidden="1">{#N/A,#N/A,FALSE,"A4";#N/A,#N/A,FALSE,"A3";#N/A,#N/A,FALSE,"A2";#N/A,#N/A,FALSE,"A1"}</definedName>
    <definedName name="wrn.Indice." localSheetId="6" hidden="1">{#N/A,#N/A,FALSE,"Indice"}</definedName>
    <definedName name="wrn.Indice." localSheetId="9" hidden="1">{#N/A,#N/A,FALSE,"Indice"}</definedName>
    <definedName name="wrn.Indice." localSheetId="4" hidden="1">{#N/A,#N/A,FALSE,"Indice"}</definedName>
    <definedName name="wrn.Indice." localSheetId="5" hidden="1">{#N/A,#N/A,FALSE,"Indice"}</definedName>
    <definedName name="wrn.Indice." localSheetId="10" hidden="1">{#N/A,#N/A,FALSE,"Indice"}</definedName>
    <definedName name="wrn.Indice." hidden="1">{#N/A,#N/A,FALSE,"Indice"}</definedName>
    <definedName name="wrn.Modello.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localSheetId="9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localSheetId="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localSheetId="5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localSheetId="1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Prospetti._.di._.bilancio." localSheetId="6" hidden="1">{#N/A,#N/A,FALSE,"B3";#N/A,#N/A,FALSE,"B2";#N/A,#N/A,FALSE,"B1"}</definedName>
    <definedName name="wrn.Prospetti._.di._.bilancio." localSheetId="9" hidden="1">{#N/A,#N/A,FALSE,"B3";#N/A,#N/A,FALSE,"B2";#N/A,#N/A,FALSE,"B1"}</definedName>
    <definedName name="wrn.Prospetti._.di._.bilancio." localSheetId="4" hidden="1">{#N/A,#N/A,FALSE,"B3";#N/A,#N/A,FALSE,"B2";#N/A,#N/A,FALSE,"B1"}</definedName>
    <definedName name="wrn.Prospetti._.di._.bilancio." localSheetId="5" hidden="1">{#N/A,#N/A,FALSE,"B3";#N/A,#N/A,FALSE,"B2";#N/A,#N/A,FALSE,"B1"}</definedName>
    <definedName name="wrn.Prospetti._.di._.bilancio." localSheetId="10" hidden="1">{#N/A,#N/A,FALSE,"B3";#N/A,#N/A,FALSE,"B2";#N/A,#N/A,FALSE,"B1"}</definedName>
    <definedName name="wrn.Prospetti._.di._.bilancio." hidden="1">{#N/A,#N/A,FALSE,"B3";#N/A,#N/A,FALSE,"B2";#N/A,#N/A,FALSE,"B1"}</definedName>
    <definedName name="wrn.Tutti." localSheetId="6" hidden="1">{#N/A,#N/A,FALSE,"B1";#N/A,#N/A,FALSE,"B2";#N/A,#N/A,FALSE,"B3";#N/A,#N/A,FALSE,"A4";#N/A,#N/A,FALSE,"A3";#N/A,#N/A,FALSE,"A2";#N/A,#N/A,FALSE,"A1";#N/A,#N/A,FALSE,"Indice"}</definedName>
    <definedName name="wrn.Tutti." localSheetId="9" hidden="1">{#N/A,#N/A,FALSE,"B1";#N/A,#N/A,FALSE,"B2";#N/A,#N/A,FALSE,"B3";#N/A,#N/A,FALSE,"A4";#N/A,#N/A,FALSE,"A3";#N/A,#N/A,FALSE,"A2";#N/A,#N/A,FALSE,"A1";#N/A,#N/A,FALSE,"Indice"}</definedName>
    <definedName name="wrn.Tutti." localSheetId="4" hidden="1">{#N/A,#N/A,FALSE,"B1";#N/A,#N/A,FALSE,"B2";#N/A,#N/A,FALSE,"B3";#N/A,#N/A,FALSE,"A4";#N/A,#N/A,FALSE,"A3";#N/A,#N/A,FALSE,"A2";#N/A,#N/A,FALSE,"A1";#N/A,#N/A,FALSE,"Indice"}</definedName>
    <definedName name="wrn.Tutti." localSheetId="5" hidden="1">{#N/A,#N/A,FALSE,"B1";#N/A,#N/A,FALSE,"B2";#N/A,#N/A,FALSE,"B3";#N/A,#N/A,FALSE,"A4";#N/A,#N/A,FALSE,"A3";#N/A,#N/A,FALSE,"A2";#N/A,#N/A,FALSE,"A1";#N/A,#N/A,FALSE,"Indice"}</definedName>
    <definedName name="wrn.Tutti." localSheetId="10" hidden="1">{#N/A,#N/A,FALSE,"B1";#N/A,#N/A,FALSE,"B2";#N/A,#N/A,FALSE,"B3";#N/A,#N/A,FALSE,"A4";#N/A,#N/A,FALSE,"A3";#N/A,#N/A,FALSE,"A2";#N/A,#N/A,FALSE,"A1";#N/A,#N/A,FALSE,"Indice"}</definedName>
    <definedName name="wrn.Tutti." hidden="1">{#N/A,#N/A,FALSE,"B1";#N/A,#N/A,FALSE,"B2";#N/A,#N/A,FALSE,"B3";#N/A,#N/A,FALSE,"A4";#N/A,#N/A,FALSE,"A3";#N/A,#N/A,FALSE,"A2";#N/A,#N/A,FALSE,"A1";#N/A,#N/A,FALSE,"Indice"}</definedName>
    <definedName name="wrn.Valuation." localSheetId="6" hidden="1">{#N/A,#N/A,FALSE,"Colombo";#N/A,#N/A,FALSE,"Colata";#N/A,#N/A,FALSE,"Colombo + Colata"}</definedName>
    <definedName name="wrn.Valuation." localSheetId="9" hidden="1">{#N/A,#N/A,FALSE,"Colombo";#N/A,#N/A,FALSE,"Colata";#N/A,#N/A,FALSE,"Colombo + Colata"}</definedName>
    <definedName name="wrn.Valuation." localSheetId="4" hidden="1">{#N/A,#N/A,FALSE,"Colombo";#N/A,#N/A,FALSE,"Colata";#N/A,#N/A,FALSE,"Colombo + Colata"}</definedName>
    <definedName name="wrn.Valuation." localSheetId="5" hidden="1">{#N/A,#N/A,FALSE,"Colombo";#N/A,#N/A,FALSE,"Colata";#N/A,#N/A,FALSE,"Colombo + Colata"}</definedName>
    <definedName name="wrn.Valuation." localSheetId="10" hidden="1">{#N/A,#N/A,FALSE,"Colombo";#N/A,#N/A,FALSE,"Colata";#N/A,#N/A,FALSE,"Colombo + Colata"}</definedName>
    <definedName name="wrn.Valuation." hidden="1">{#N/A,#N/A,FALSE,"Colombo";#N/A,#N/A,FALSE,"Colata";#N/A,#N/A,FALSE,"Colombo + Colata"}</definedName>
    <definedName name="x" localSheetId="6" hidden="1">{#N/A,#N/A,FALSE,"B1";#N/A,#N/A,FALSE,"B2";#N/A,#N/A,FALSE,"B3";#N/A,#N/A,FALSE,"A4";#N/A,#N/A,FALSE,"A3";#N/A,#N/A,FALSE,"A2";#N/A,#N/A,FALSE,"A1";#N/A,#N/A,FALSE,"Indice"}</definedName>
    <definedName name="x" localSheetId="9" hidden="1">{#N/A,#N/A,FALSE,"B1";#N/A,#N/A,FALSE,"B2";#N/A,#N/A,FALSE,"B3";#N/A,#N/A,FALSE,"A4";#N/A,#N/A,FALSE,"A3";#N/A,#N/A,FALSE,"A2";#N/A,#N/A,FALSE,"A1";#N/A,#N/A,FALSE,"Indice"}</definedName>
    <definedName name="x" localSheetId="4" hidden="1">{#N/A,#N/A,FALSE,"B1";#N/A,#N/A,FALSE,"B2";#N/A,#N/A,FALSE,"B3";#N/A,#N/A,FALSE,"A4";#N/A,#N/A,FALSE,"A3";#N/A,#N/A,FALSE,"A2";#N/A,#N/A,FALSE,"A1";#N/A,#N/A,FALSE,"Indice"}</definedName>
    <definedName name="x" localSheetId="5" hidden="1">{#N/A,#N/A,FALSE,"B1";#N/A,#N/A,FALSE,"B2";#N/A,#N/A,FALSE,"B3";#N/A,#N/A,FALSE,"A4";#N/A,#N/A,FALSE,"A3";#N/A,#N/A,FALSE,"A2";#N/A,#N/A,FALSE,"A1";#N/A,#N/A,FALSE,"Indice"}</definedName>
    <definedName name="x" localSheetId="10" hidden="1">{#N/A,#N/A,FALSE,"B1";#N/A,#N/A,FALSE,"B2";#N/A,#N/A,FALSE,"B3";#N/A,#N/A,FALSE,"A4";#N/A,#N/A,FALSE,"A3";#N/A,#N/A,FALSE,"A2";#N/A,#N/A,FALSE,"A1";#N/A,#N/A,FALSE,"Indice"}</definedName>
    <definedName name="x" hidden="1">{#N/A,#N/A,FALSE,"B1";#N/A,#N/A,FALSE,"B2";#N/A,#N/A,FALSE,"B3";#N/A,#N/A,FALSE,"A4";#N/A,#N/A,FALSE,"A3";#N/A,#N/A,FALSE,"A2";#N/A,#N/A,FALSE,"A1";#N/A,#N/A,FALSE,"Indice"}</definedName>
    <definedName name="xas" localSheetId="6" hidden="1">{#N/A,#N/A,FALSE,"Indice"}</definedName>
    <definedName name="xas" localSheetId="9" hidden="1">{#N/A,#N/A,FALSE,"Indice"}</definedName>
    <definedName name="xas" localSheetId="4" hidden="1">{#N/A,#N/A,FALSE,"Indice"}</definedName>
    <definedName name="xas" localSheetId="5" hidden="1">{#N/A,#N/A,FALSE,"Indice"}</definedName>
    <definedName name="xas" localSheetId="10" hidden="1">{#N/A,#N/A,FALSE,"Indice"}</definedName>
    <definedName name="xas" hidden="1">{#N/A,#N/A,FALSE,"Indice"}</definedName>
    <definedName name="ZA" localSheetId="6" hidden="1">{#N/A,#N/A,FALSE,"B1";#N/A,#N/A,FALSE,"B2";#N/A,#N/A,FALSE,"B3";#N/A,#N/A,FALSE,"A4";#N/A,#N/A,FALSE,"A3";#N/A,#N/A,FALSE,"A2";#N/A,#N/A,FALSE,"A1";#N/A,#N/A,FALSE,"Indice"}</definedName>
    <definedName name="ZA" localSheetId="9" hidden="1">{#N/A,#N/A,FALSE,"B1";#N/A,#N/A,FALSE,"B2";#N/A,#N/A,FALSE,"B3";#N/A,#N/A,FALSE,"A4";#N/A,#N/A,FALSE,"A3";#N/A,#N/A,FALSE,"A2";#N/A,#N/A,FALSE,"A1";#N/A,#N/A,FALSE,"Indice"}</definedName>
    <definedName name="ZA" localSheetId="4" hidden="1">{#N/A,#N/A,FALSE,"B1";#N/A,#N/A,FALSE,"B2";#N/A,#N/A,FALSE,"B3";#N/A,#N/A,FALSE,"A4";#N/A,#N/A,FALSE,"A3";#N/A,#N/A,FALSE,"A2";#N/A,#N/A,FALSE,"A1";#N/A,#N/A,FALSE,"Indice"}</definedName>
    <definedName name="ZA" localSheetId="5" hidden="1">{#N/A,#N/A,FALSE,"B1";#N/A,#N/A,FALSE,"B2";#N/A,#N/A,FALSE,"B3";#N/A,#N/A,FALSE,"A4";#N/A,#N/A,FALSE,"A3";#N/A,#N/A,FALSE,"A2";#N/A,#N/A,FALSE,"A1";#N/A,#N/A,FALSE,"Indice"}</definedName>
    <definedName name="ZA" localSheetId="10" hidden="1">{#N/A,#N/A,FALSE,"B1";#N/A,#N/A,FALSE,"B2";#N/A,#N/A,FALSE,"B3";#N/A,#N/A,FALSE,"A4";#N/A,#N/A,FALSE,"A3";#N/A,#N/A,FALSE,"A2";#N/A,#N/A,FALSE,"A1";#N/A,#N/A,FALSE,"Indice"}</definedName>
    <definedName name="ZA" hidden="1">{#N/A,#N/A,FALSE,"B1";#N/A,#N/A,FALSE,"B2";#N/A,#N/A,FALSE,"B3";#N/A,#N/A,FALSE,"A4";#N/A,#N/A,FALSE,"A3";#N/A,#N/A,FALSE,"A2";#N/A,#N/A,FALSE,"A1";#N/A,#N/A,FALSE,"Indice"}</definedName>
    <definedName name="zazaz" localSheetId="6" hidden="1">{#N/A,#N/A,FALSE,"B1";#N/A,#N/A,FALSE,"B2";#N/A,#N/A,FALSE,"B3";#N/A,#N/A,FALSE,"A4";#N/A,#N/A,FALSE,"A3";#N/A,#N/A,FALSE,"A2";#N/A,#N/A,FALSE,"A1";#N/A,#N/A,FALSE,"Indice"}</definedName>
    <definedName name="zazaz" localSheetId="9" hidden="1">{#N/A,#N/A,FALSE,"B1";#N/A,#N/A,FALSE,"B2";#N/A,#N/A,FALSE,"B3";#N/A,#N/A,FALSE,"A4";#N/A,#N/A,FALSE,"A3";#N/A,#N/A,FALSE,"A2";#N/A,#N/A,FALSE,"A1";#N/A,#N/A,FALSE,"Indice"}</definedName>
    <definedName name="zazaz" localSheetId="4" hidden="1">{#N/A,#N/A,FALSE,"B1";#N/A,#N/A,FALSE,"B2";#N/A,#N/A,FALSE,"B3";#N/A,#N/A,FALSE,"A4";#N/A,#N/A,FALSE,"A3";#N/A,#N/A,FALSE,"A2";#N/A,#N/A,FALSE,"A1";#N/A,#N/A,FALSE,"Indice"}</definedName>
    <definedName name="zazaz" localSheetId="5" hidden="1">{#N/A,#N/A,FALSE,"B1";#N/A,#N/A,FALSE,"B2";#N/A,#N/A,FALSE,"B3";#N/A,#N/A,FALSE,"A4";#N/A,#N/A,FALSE,"A3";#N/A,#N/A,FALSE,"A2";#N/A,#N/A,FALSE,"A1";#N/A,#N/A,FALSE,"Indice"}</definedName>
    <definedName name="zazaz" localSheetId="10" hidden="1">{#N/A,#N/A,FALSE,"B1";#N/A,#N/A,FALSE,"B2";#N/A,#N/A,FALSE,"B3";#N/A,#N/A,FALSE,"A4";#N/A,#N/A,FALSE,"A3";#N/A,#N/A,FALSE,"A2";#N/A,#N/A,FALSE,"A1";#N/A,#N/A,FALSE,"Indice"}</definedName>
    <definedName name="zazaz" hidden="1">{#N/A,#N/A,FALSE,"B1";#N/A,#N/A,FALSE,"B2";#N/A,#N/A,FALSE,"B3";#N/A,#N/A,FALSE,"A4";#N/A,#N/A,FALSE,"A3";#N/A,#N/A,FALSE,"A2";#N/A,#N/A,FALSE,"A1";#N/A,#N/A,FALSE,"Indice"}</definedName>
  </definedNames>
  <calcPr calcId="191029"/>
  <customWorkbookViews>
    <customWorkbookView name="KPMG - Visualizzazione personale" guid="{6C35FF5C-D599-482E-A10C-8CC5375B8C84}" mergeInterval="0" personalView="1" maximized="1" xWindow="1" yWindow="1" windowWidth="1362" windowHeight="548" activeSheetId="1"/>
  </customWorkbookViews>
  <pivotCaches>
    <pivotCache cacheId="20" r:id="rId1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20" i="23" l="1"/>
  <c r="K320" i="23" s="1"/>
  <c r="H319" i="23"/>
  <c r="J319" i="23" s="1"/>
  <c r="H318" i="23"/>
  <c r="K318" i="23" s="1"/>
  <c r="H317" i="23"/>
  <c r="J317" i="23" s="1"/>
  <c r="H316" i="23"/>
  <c r="J316" i="23" s="1"/>
  <c r="H313" i="23"/>
  <c r="H312" i="23"/>
  <c r="J312" i="23" s="1"/>
  <c r="H311" i="23"/>
  <c r="H309" i="23"/>
  <c r="H308" i="23"/>
  <c r="J308" i="23" s="1"/>
  <c r="H305" i="23"/>
  <c r="H304" i="23"/>
  <c r="J304" i="23" s="1"/>
  <c r="H303" i="23"/>
  <c r="K303" i="23" s="1"/>
  <c r="H302" i="23"/>
  <c r="H300" i="23"/>
  <c r="K300" i="23" s="1"/>
  <c r="H299" i="23"/>
  <c r="K299" i="23" s="1"/>
  <c r="H298" i="23"/>
  <c r="K298" i="23" s="1"/>
  <c r="H297" i="23"/>
  <c r="J297" i="23" s="1"/>
  <c r="H296" i="23"/>
  <c r="H294" i="23"/>
  <c r="J294" i="23" s="1"/>
  <c r="H293" i="23"/>
  <c r="H290" i="23"/>
  <c r="J290" i="23" s="1"/>
  <c r="H289" i="23"/>
  <c r="J289" i="23" s="1"/>
  <c r="H288" i="23"/>
  <c r="K288" i="23" s="1"/>
  <c r="H286" i="23"/>
  <c r="J286" i="23" s="1"/>
  <c r="H285" i="23"/>
  <c r="J285" i="23" s="1"/>
  <c r="H284" i="23"/>
  <c r="J284" i="23" s="1"/>
  <c r="H283" i="23"/>
  <c r="H282" i="23"/>
  <c r="J282" i="23" s="1"/>
  <c r="H280" i="23"/>
  <c r="K280" i="23" s="1"/>
  <c r="H279" i="23"/>
  <c r="J279" i="23" s="1"/>
  <c r="H278" i="23"/>
  <c r="J278" i="23" s="1"/>
  <c r="H277" i="23"/>
  <c r="J277" i="23" s="1"/>
  <c r="H276" i="23"/>
  <c r="H275" i="23"/>
  <c r="K275" i="23" s="1"/>
  <c r="H274" i="23"/>
  <c r="J274" i="23" s="1"/>
  <c r="H273" i="23"/>
  <c r="J273" i="23" s="1"/>
  <c r="H272" i="23"/>
  <c r="J272" i="23" s="1"/>
  <c r="H271" i="23"/>
  <c r="J271" i="23" s="1"/>
  <c r="H268" i="23"/>
  <c r="K268" i="23" s="1"/>
  <c r="H267" i="23"/>
  <c r="J267" i="23" s="1"/>
  <c r="H266" i="23"/>
  <c r="J266" i="23" s="1"/>
  <c r="H265" i="23"/>
  <c r="J265" i="23" s="1"/>
  <c r="H264" i="23"/>
  <c r="J264" i="23" s="1"/>
  <c r="H263" i="23"/>
  <c r="J263" i="23" s="1"/>
  <c r="H262" i="23"/>
  <c r="J262" i="23" s="1"/>
  <c r="H261" i="23"/>
  <c r="J261" i="23" s="1"/>
  <c r="H260" i="23"/>
  <c r="J260" i="23" s="1"/>
  <c r="H259" i="23"/>
  <c r="J259" i="23" s="1"/>
  <c r="H258" i="23"/>
  <c r="J258" i="23" s="1"/>
  <c r="H256" i="23"/>
  <c r="J256" i="23" s="1"/>
  <c r="H255" i="23"/>
  <c r="J255" i="23" s="1"/>
  <c r="H254" i="23"/>
  <c r="J254" i="23" s="1"/>
  <c r="H253" i="23"/>
  <c r="H252" i="23"/>
  <c r="J252" i="23" s="1"/>
  <c r="H250" i="23"/>
  <c r="H248" i="23"/>
  <c r="J248" i="23" s="1"/>
  <c r="H247" i="23"/>
  <c r="H246" i="23"/>
  <c r="H244" i="23"/>
  <c r="J244" i="23" s="1"/>
  <c r="H243" i="23"/>
  <c r="H242" i="23"/>
  <c r="J242" i="23" s="1"/>
  <c r="H241" i="23"/>
  <c r="H240" i="23"/>
  <c r="K240" i="23" s="1"/>
  <c r="H238" i="23"/>
  <c r="J238" i="23" s="1"/>
  <c r="H236" i="23"/>
  <c r="K236" i="23" s="1"/>
  <c r="H235" i="23"/>
  <c r="H234" i="23"/>
  <c r="J234" i="23" s="1"/>
  <c r="H233" i="23"/>
  <c r="H232" i="23"/>
  <c r="J232" i="23" s="1"/>
  <c r="H230" i="23"/>
  <c r="J230" i="23" s="1"/>
  <c r="H229" i="23"/>
  <c r="J229" i="23" s="1"/>
  <c r="H228" i="23"/>
  <c r="J228" i="23" s="1"/>
  <c r="H227" i="23"/>
  <c r="J227" i="23" s="1"/>
  <c r="H226" i="23"/>
  <c r="J226" i="23" s="1"/>
  <c r="H225" i="23"/>
  <c r="J225" i="23" s="1"/>
  <c r="H224" i="23"/>
  <c r="J224" i="23" s="1"/>
  <c r="H223" i="23"/>
  <c r="J223" i="23" s="1"/>
  <c r="H221" i="23"/>
  <c r="K221" i="23" s="1"/>
  <c r="H220" i="23"/>
  <c r="J220" i="23" s="1"/>
  <c r="H219" i="23"/>
  <c r="J219" i="23" s="1"/>
  <c r="H218" i="23"/>
  <c r="H217" i="23"/>
  <c r="J217" i="23" s="1"/>
  <c r="H216" i="23"/>
  <c r="J216" i="23" s="1"/>
  <c r="H215" i="23"/>
  <c r="H213" i="23"/>
  <c r="H211" i="23"/>
  <c r="H210" i="23"/>
  <c r="K210" i="23" s="1"/>
  <c r="H209" i="23"/>
  <c r="J209" i="23" s="1"/>
  <c r="H208" i="23"/>
  <c r="J208" i="23" s="1"/>
  <c r="H207" i="23"/>
  <c r="H205" i="23"/>
  <c r="J205" i="23" s="1"/>
  <c r="H204" i="23"/>
  <c r="J204" i="23" s="1"/>
  <c r="H203" i="23"/>
  <c r="J203" i="23" s="1"/>
  <c r="H202" i="23"/>
  <c r="J202" i="23" s="1"/>
  <c r="H201" i="23"/>
  <c r="H199" i="23"/>
  <c r="H198" i="23"/>
  <c r="J198" i="23" s="1"/>
  <c r="H197" i="23"/>
  <c r="H196" i="23"/>
  <c r="H195" i="23"/>
  <c r="K195" i="23" s="1"/>
  <c r="H194" i="23"/>
  <c r="J194" i="23" s="1"/>
  <c r="H193" i="23"/>
  <c r="J193" i="23" s="1"/>
  <c r="H191" i="23"/>
  <c r="J191" i="23" s="1"/>
  <c r="H189" i="23"/>
  <c r="H187" i="23"/>
  <c r="H186" i="23"/>
  <c r="J186" i="23" s="1"/>
  <c r="H185" i="23"/>
  <c r="K185" i="23" s="1"/>
  <c r="H184" i="23"/>
  <c r="J184" i="23" s="1"/>
  <c r="H183" i="23"/>
  <c r="H180" i="23"/>
  <c r="J180" i="23" s="1"/>
  <c r="H179" i="23"/>
  <c r="J179" i="23" s="1"/>
  <c r="H177" i="23"/>
  <c r="J177" i="23" s="1"/>
  <c r="H176" i="23"/>
  <c r="J176" i="23" s="1"/>
  <c r="H173" i="23"/>
  <c r="H172" i="23"/>
  <c r="J172" i="23" s="1"/>
  <c r="H171" i="23"/>
  <c r="H170" i="23"/>
  <c r="H168" i="23"/>
  <c r="J168" i="23" s="1"/>
  <c r="H167" i="23"/>
  <c r="H165" i="23"/>
  <c r="J165" i="23" s="1"/>
  <c r="H164" i="23"/>
  <c r="H162" i="23"/>
  <c r="H161" i="23"/>
  <c r="H159" i="23"/>
  <c r="K159" i="23" s="1"/>
  <c r="H158" i="23"/>
  <c r="H157" i="23"/>
  <c r="J157" i="23" s="1"/>
  <c r="H156" i="23"/>
  <c r="H154" i="23"/>
  <c r="K154" i="23" s="1"/>
  <c r="H153" i="23"/>
  <c r="J153" i="23" s="1"/>
  <c r="H152" i="23"/>
  <c r="J152" i="23" s="1"/>
  <c r="H151" i="23"/>
  <c r="H149" i="23"/>
  <c r="J149" i="23" s="1"/>
  <c r="H148" i="23"/>
  <c r="J148" i="23" s="1"/>
  <c r="H147" i="23"/>
  <c r="J147" i="23" s="1"/>
  <c r="H146" i="23"/>
  <c r="J146" i="23" s="1"/>
  <c r="H145" i="23"/>
  <c r="H144" i="23"/>
  <c r="J144" i="23" s="1"/>
  <c r="H143" i="23"/>
  <c r="J143" i="23" s="1"/>
  <c r="H140" i="23"/>
  <c r="J140" i="23" s="1"/>
  <c r="H139" i="23"/>
  <c r="J139" i="23" s="1"/>
  <c r="H138" i="23"/>
  <c r="J138" i="23" s="1"/>
  <c r="H137" i="23"/>
  <c r="J137" i="23" s="1"/>
  <c r="H136" i="23"/>
  <c r="J136" i="23" s="1"/>
  <c r="H135" i="23"/>
  <c r="J135" i="23" s="1"/>
  <c r="H134" i="23"/>
  <c r="H133" i="23"/>
  <c r="J133" i="23" s="1"/>
  <c r="H132" i="23"/>
  <c r="J132" i="23" s="1"/>
  <c r="H130" i="23"/>
  <c r="J130" i="23" s="1"/>
  <c r="H129" i="23"/>
  <c r="K129" i="23" s="1"/>
  <c r="H128" i="23"/>
  <c r="H127" i="23"/>
  <c r="J127" i="23" s="1"/>
  <c r="H126" i="23"/>
  <c r="J126" i="23" s="1"/>
  <c r="H125" i="23"/>
  <c r="J125" i="23" s="1"/>
  <c r="H124" i="23"/>
  <c r="J124" i="23" s="1"/>
  <c r="H123" i="23"/>
  <c r="J123" i="23" s="1"/>
  <c r="H122" i="23"/>
  <c r="J122" i="23" s="1"/>
  <c r="H121" i="23"/>
  <c r="H118" i="23"/>
  <c r="J118" i="23" s="1"/>
  <c r="H117" i="23"/>
  <c r="H116" i="23"/>
  <c r="J116" i="23" s="1"/>
  <c r="H115" i="23"/>
  <c r="J115" i="23" s="1"/>
  <c r="H114" i="23"/>
  <c r="J114" i="23" s="1"/>
  <c r="H112" i="23"/>
  <c r="K112" i="23" s="1"/>
  <c r="H111" i="23"/>
  <c r="J111" i="23" s="1"/>
  <c r="H110" i="23"/>
  <c r="J110" i="23" s="1"/>
  <c r="H109" i="23"/>
  <c r="J109" i="23" s="1"/>
  <c r="H108" i="23"/>
  <c r="J108" i="23" s="1"/>
  <c r="H107" i="23"/>
  <c r="J107" i="23" s="1"/>
  <c r="H106" i="23"/>
  <c r="J106" i="23" s="1"/>
  <c r="H105" i="23"/>
  <c r="J105" i="23" s="1"/>
  <c r="H104" i="23"/>
  <c r="J104" i="23" s="1"/>
  <c r="H101" i="23"/>
  <c r="J101" i="23" s="1"/>
  <c r="H100" i="23"/>
  <c r="J100" i="23" s="1"/>
  <c r="H99" i="23"/>
  <c r="J99" i="23" s="1"/>
  <c r="H98" i="23"/>
  <c r="K98" i="23" s="1"/>
  <c r="H97" i="23"/>
  <c r="J97" i="23" s="1"/>
  <c r="H96" i="23"/>
  <c r="K96" i="23" s="1"/>
  <c r="H95" i="23"/>
  <c r="J95" i="23" s="1"/>
  <c r="H93" i="23"/>
  <c r="J93" i="23" s="1"/>
  <c r="H92" i="23"/>
  <c r="K92" i="23" s="1"/>
  <c r="H91" i="23"/>
  <c r="J91" i="23" s="1"/>
  <c r="H90" i="23"/>
  <c r="H89" i="23"/>
  <c r="J89" i="23" s="1"/>
  <c r="H88" i="23"/>
  <c r="K88" i="23" s="1"/>
  <c r="H87" i="23"/>
  <c r="H86" i="23"/>
  <c r="J86" i="23" s="1"/>
  <c r="H85" i="23"/>
  <c r="J85" i="23" s="1"/>
  <c r="H81" i="23"/>
  <c r="J81" i="23" s="1"/>
  <c r="H80" i="23"/>
  <c r="J80" i="23" s="1"/>
  <c r="H79" i="23"/>
  <c r="H78" i="23"/>
  <c r="J78" i="23" s="1"/>
  <c r="H76" i="23"/>
  <c r="K76" i="23" s="1"/>
  <c r="H74" i="23"/>
  <c r="J74" i="23" s="1"/>
  <c r="H73" i="23"/>
  <c r="H72" i="23"/>
  <c r="J72" i="23" s="1"/>
  <c r="H71" i="23"/>
  <c r="J71" i="23" s="1"/>
  <c r="H68" i="23"/>
  <c r="J68" i="23" s="1"/>
  <c r="H67" i="23"/>
  <c r="J67" i="23" s="1"/>
  <c r="H66" i="23"/>
  <c r="J66" i="23" s="1"/>
  <c r="H65" i="23"/>
  <c r="J65" i="23" s="1"/>
  <c r="H64" i="23"/>
  <c r="J64" i="23" s="1"/>
  <c r="H63" i="23"/>
  <c r="J63" i="23" s="1"/>
  <c r="H62" i="23"/>
  <c r="J62" i="23" s="1"/>
  <c r="H61" i="23"/>
  <c r="J61" i="23" s="1"/>
  <c r="H60" i="23"/>
  <c r="J60" i="23" s="1"/>
  <c r="H59" i="23"/>
  <c r="H58" i="23"/>
  <c r="H57" i="23"/>
  <c r="H55" i="23"/>
  <c r="J55" i="23" s="1"/>
  <c r="H54" i="23"/>
  <c r="J54" i="23" s="1"/>
  <c r="H53" i="23"/>
  <c r="H51" i="23"/>
  <c r="J51" i="23" s="1"/>
  <c r="H50" i="23"/>
  <c r="H48" i="23"/>
  <c r="K48" i="23" s="1"/>
  <c r="H47" i="23"/>
  <c r="H45" i="23"/>
  <c r="K45" i="23" s="1"/>
  <c r="H44" i="23"/>
  <c r="K44" i="23" s="1"/>
  <c r="H42" i="23"/>
  <c r="J42" i="23" s="1"/>
  <c r="H41" i="23"/>
  <c r="H39" i="23"/>
  <c r="K39" i="23" s="1"/>
  <c r="H38" i="23"/>
  <c r="H35" i="23"/>
  <c r="J35" i="23" s="1"/>
  <c r="H34" i="23"/>
  <c r="H31" i="23"/>
  <c r="J31" i="23" s="1"/>
  <c r="H30" i="23"/>
  <c r="J30" i="23" s="1"/>
  <c r="H29" i="23"/>
  <c r="J29" i="23" s="1"/>
  <c r="H28" i="23"/>
  <c r="J28" i="23" s="1"/>
  <c r="H26" i="23"/>
  <c r="J26" i="23" s="1"/>
  <c r="H25" i="23"/>
  <c r="J25" i="23" s="1"/>
  <c r="H24" i="23"/>
  <c r="J24" i="23" s="1"/>
  <c r="H23" i="23"/>
  <c r="J23" i="23" s="1"/>
  <c r="H22" i="23"/>
  <c r="K22" i="23" s="1"/>
  <c r="H21" i="23"/>
  <c r="K21" i="23" s="1"/>
  <c r="H20" i="23"/>
  <c r="J20" i="23" s="1"/>
  <c r="H19" i="23"/>
  <c r="H17" i="23"/>
  <c r="H16" i="23"/>
  <c r="J16" i="23" s="1"/>
  <c r="H15" i="23"/>
  <c r="J15" i="23" s="1"/>
  <c r="H14" i="23"/>
  <c r="J14" i="23" s="1"/>
  <c r="H13" i="23"/>
  <c r="J13" i="23" s="1"/>
  <c r="H12" i="23"/>
  <c r="J12" i="23" s="1"/>
  <c r="H11" i="23"/>
  <c r="J11" i="23" s="1"/>
  <c r="H10" i="23"/>
  <c r="H8" i="23"/>
  <c r="J8" i="23" s="1"/>
  <c r="H7" i="23"/>
  <c r="J7" i="23" s="1"/>
  <c r="H6" i="23"/>
  <c r="J6" i="23" s="1"/>
  <c r="F5" i="23"/>
  <c r="F6" i="23" s="1"/>
  <c r="F7" i="23" s="1"/>
  <c r="F8" i="23" s="1"/>
  <c r="F9" i="23" s="1"/>
  <c r="F10" i="23" s="1"/>
  <c r="F11" i="23" s="1"/>
  <c r="F12" i="23" s="1"/>
  <c r="F13" i="23" s="1"/>
  <c r="F14" i="23" s="1"/>
  <c r="F15" i="23" s="1"/>
  <c r="F16" i="23" s="1"/>
  <c r="F17" i="23" s="1"/>
  <c r="F18" i="23" s="1"/>
  <c r="F19" i="23" s="1"/>
  <c r="F20" i="23" s="1"/>
  <c r="F21" i="23" s="1"/>
  <c r="F22" i="23" s="1"/>
  <c r="F23" i="23" s="1"/>
  <c r="F24" i="23" s="1"/>
  <c r="F25" i="23" s="1"/>
  <c r="F26" i="23" s="1"/>
  <c r="F27" i="23" s="1"/>
  <c r="F28" i="23" s="1"/>
  <c r="F29" i="23" s="1"/>
  <c r="F30" i="23" s="1"/>
  <c r="F31" i="23" s="1"/>
  <c r="F32" i="23" s="1"/>
  <c r="F33" i="23" s="1"/>
  <c r="F34" i="23" s="1"/>
  <c r="F35" i="23" s="1"/>
  <c r="F36" i="23" s="1"/>
  <c r="F37" i="23" s="1"/>
  <c r="F38" i="23" s="1"/>
  <c r="F39" i="23" s="1"/>
  <c r="F40" i="23" s="1"/>
  <c r="F41" i="23" s="1"/>
  <c r="F42" i="23" s="1"/>
  <c r="F43" i="23" s="1"/>
  <c r="F44" i="23" s="1"/>
  <c r="F45" i="23" s="1"/>
  <c r="F46" i="23" s="1"/>
  <c r="F47" i="23" s="1"/>
  <c r="F48" i="23" s="1"/>
  <c r="F49" i="23" s="1"/>
  <c r="F50" i="23" s="1"/>
  <c r="F51" i="23" s="1"/>
  <c r="F52" i="23" s="1"/>
  <c r="F53" i="23" s="1"/>
  <c r="F54" i="23" s="1"/>
  <c r="F55" i="23" s="1"/>
  <c r="F56" i="23" s="1"/>
  <c r="F57" i="23" s="1"/>
  <c r="F58" i="23" s="1"/>
  <c r="F59" i="23" s="1"/>
  <c r="F60" i="23" s="1"/>
  <c r="F61" i="23" s="1"/>
  <c r="F62" i="23" s="1"/>
  <c r="F63" i="23" s="1"/>
  <c r="F64" i="23" s="1"/>
  <c r="F65" i="23" s="1"/>
  <c r="F66" i="23" s="1"/>
  <c r="F67" i="23" s="1"/>
  <c r="F68" i="23" s="1"/>
  <c r="F69" i="23" s="1"/>
  <c r="F70" i="23" s="1"/>
  <c r="F71" i="23" s="1"/>
  <c r="F72" i="23" s="1"/>
  <c r="F73" i="23" s="1"/>
  <c r="F74" i="23" s="1"/>
  <c r="F75" i="23" s="1"/>
  <c r="F76" i="23" s="1"/>
  <c r="F77" i="23" s="1"/>
  <c r="F78" i="23" s="1"/>
  <c r="F79" i="23" s="1"/>
  <c r="F80" i="23" s="1"/>
  <c r="F81" i="23" s="1"/>
  <c r="F82" i="23" s="1"/>
  <c r="F83" i="23" s="1"/>
  <c r="F84" i="23" s="1"/>
  <c r="F85" i="23" s="1"/>
  <c r="F86" i="23" s="1"/>
  <c r="F87" i="23" s="1"/>
  <c r="F88" i="23" s="1"/>
  <c r="F89" i="23" s="1"/>
  <c r="F90" i="23" s="1"/>
  <c r="F91" i="23" s="1"/>
  <c r="F92" i="23" s="1"/>
  <c r="F93" i="23" s="1"/>
  <c r="F94" i="23" s="1"/>
  <c r="F95" i="23" s="1"/>
  <c r="F96" i="23" s="1"/>
  <c r="F97" i="23" s="1"/>
  <c r="F98" i="23" s="1"/>
  <c r="F99" i="23" s="1"/>
  <c r="F100" i="23" s="1"/>
  <c r="F101" i="23" s="1"/>
  <c r="F102" i="23" s="1"/>
  <c r="F103" i="23" s="1"/>
  <c r="F104" i="23" s="1"/>
  <c r="F105" i="23" s="1"/>
  <c r="F106" i="23" s="1"/>
  <c r="F107" i="23" s="1"/>
  <c r="F108" i="23" s="1"/>
  <c r="F109" i="23" s="1"/>
  <c r="F110" i="23" s="1"/>
  <c r="F111" i="23" s="1"/>
  <c r="F112" i="23" s="1"/>
  <c r="F113" i="23" s="1"/>
  <c r="F114" i="23" s="1"/>
  <c r="F115" i="23" s="1"/>
  <c r="F116" i="23" s="1"/>
  <c r="F117" i="23" s="1"/>
  <c r="F118" i="23" s="1"/>
  <c r="F119" i="23" s="1"/>
  <c r="F120" i="23" s="1"/>
  <c r="F121" i="23" s="1"/>
  <c r="F122" i="23" s="1"/>
  <c r="F123" i="23" s="1"/>
  <c r="F124" i="23" s="1"/>
  <c r="F125" i="23" s="1"/>
  <c r="F126" i="23" s="1"/>
  <c r="F127" i="23" s="1"/>
  <c r="F128" i="23" s="1"/>
  <c r="F129" i="23" s="1"/>
  <c r="F130" i="23" s="1"/>
  <c r="F131" i="23" s="1"/>
  <c r="F132" i="23" s="1"/>
  <c r="F133" i="23" s="1"/>
  <c r="F134" i="23" s="1"/>
  <c r="F135" i="23" s="1"/>
  <c r="F136" i="23" s="1"/>
  <c r="F137" i="23" s="1"/>
  <c r="F138" i="23" s="1"/>
  <c r="F139" i="23" s="1"/>
  <c r="F140" i="23" s="1"/>
  <c r="F141" i="23" s="1"/>
  <c r="F142" i="23" s="1"/>
  <c r="F143" i="23" s="1"/>
  <c r="F144" i="23" s="1"/>
  <c r="F145" i="23" s="1"/>
  <c r="F146" i="23" s="1"/>
  <c r="F147" i="23" s="1"/>
  <c r="F148" i="23" s="1"/>
  <c r="F149" i="23" s="1"/>
  <c r="F150" i="23" s="1"/>
  <c r="F151" i="23" s="1"/>
  <c r="F152" i="23" s="1"/>
  <c r="F153" i="23" s="1"/>
  <c r="F154" i="23" s="1"/>
  <c r="F155" i="23" s="1"/>
  <c r="F156" i="23" s="1"/>
  <c r="F157" i="23" s="1"/>
  <c r="F158" i="23" s="1"/>
  <c r="F159" i="23" s="1"/>
  <c r="F160" i="23" s="1"/>
  <c r="F161" i="23" s="1"/>
  <c r="F162" i="23" s="1"/>
  <c r="F163" i="23" s="1"/>
  <c r="F164" i="23" s="1"/>
  <c r="F165" i="23" s="1"/>
  <c r="F166" i="23" s="1"/>
  <c r="F167" i="23" s="1"/>
  <c r="F168" i="23" s="1"/>
  <c r="F169" i="23" s="1"/>
  <c r="F170" i="23" s="1"/>
  <c r="F171" i="23" s="1"/>
  <c r="F172" i="23" s="1"/>
  <c r="F173" i="23" s="1"/>
  <c r="F174" i="23" s="1"/>
  <c r="F175" i="23" s="1"/>
  <c r="F176" i="23" s="1"/>
  <c r="F177" i="23" s="1"/>
  <c r="F178" i="23" s="1"/>
  <c r="F179" i="23" s="1"/>
  <c r="F180" i="23" s="1"/>
  <c r="F181" i="23" s="1"/>
  <c r="F182" i="23" s="1"/>
  <c r="F183" i="23" s="1"/>
  <c r="F184" i="23" s="1"/>
  <c r="F185" i="23" s="1"/>
  <c r="F186" i="23" s="1"/>
  <c r="F187" i="23" s="1"/>
  <c r="F188" i="23" s="1"/>
  <c r="F189" i="23" s="1"/>
  <c r="F190" i="23" s="1"/>
  <c r="F191" i="23" s="1"/>
  <c r="F192" i="23" s="1"/>
  <c r="F193" i="23" s="1"/>
  <c r="F194" i="23" s="1"/>
  <c r="F195" i="23" s="1"/>
  <c r="F196" i="23" s="1"/>
  <c r="F197" i="23" s="1"/>
  <c r="F198" i="23" s="1"/>
  <c r="F199" i="23" s="1"/>
  <c r="F200" i="23" s="1"/>
  <c r="F201" i="23" s="1"/>
  <c r="F202" i="23" s="1"/>
  <c r="F203" i="23" s="1"/>
  <c r="F204" i="23" s="1"/>
  <c r="F205" i="23" s="1"/>
  <c r="F206" i="23" s="1"/>
  <c r="F207" i="23" s="1"/>
  <c r="F208" i="23" s="1"/>
  <c r="F209" i="23" s="1"/>
  <c r="F210" i="23" s="1"/>
  <c r="F211" i="23" s="1"/>
  <c r="F212" i="23" s="1"/>
  <c r="F213" i="23" s="1"/>
  <c r="F214" i="23" s="1"/>
  <c r="F215" i="23" s="1"/>
  <c r="F216" i="23" s="1"/>
  <c r="F217" i="23" s="1"/>
  <c r="F218" i="23" s="1"/>
  <c r="F219" i="23" s="1"/>
  <c r="F220" i="23" s="1"/>
  <c r="F221" i="23" s="1"/>
  <c r="F222" i="23" s="1"/>
  <c r="F223" i="23" s="1"/>
  <c r="F224" i="23" s="1"/>
  <c r="F225" i="23" s="1"/>
  <c r="F226" i="23" s="1"/>
  <c r="F227" i="23" s="1"/>
  <c r="F228" i="23" s="1"/>
  <c r="F229" i="23" s="1"/>
  <c r="F230" i="23" s="1"/>
  <c r="F231" i="23" s="1"/>
  <c r="F232" i="23" s="1"/>
  <c r="F233" i="23" s="1"/>
  <c r="F234" i="23" s="1"/>
  <c r="F235" i="23" s="1"/>
  <c r="F236" i="23" s="1"/>
  <c r="F237" i="23" s="1"/>
  <c r="F238" i="23" s="1"/>
  <c r="F239" i="23" s="1"/>
  <c r="F240" i="23" s="1"/>
  <c r="F241" i="23" s="1"/>
  <c r="F242" i="23" s="1"/>
  <c r="F243" i="23" s="1"/>
  <c r="F244" i="23" s="1"/>
  <c r="F245" i="23" s="1"/>
  <c r="F246" i="23" s="1"/>
  <c r="F247" i="23" s="1"/>
  <c r="F248" i="23" s="1"/>
  <c r="F249" i="23" s="1"/>
  <c r="F250" i="23" s="1"/>
  <c r="F251" i="23" s="1"/>
  <c r="F252" i="23" s="1"/>
  <c r="F253" i="23" s="1"/>
  <c r="F254" i="23" s="1"/>
  <c r="F255" i="23" s="1"/>
  <c r="F256" i="23" s="1"/>
  <c r="F257" i="23" s="1"/>
  <c r="F258" i="23" s="1"/>
  <c r="F259" i="23" s="1"/>
  <c r="F260" i="23" s="1"/>
  <c r="F261" i="23" s="1"/>
  <c r="F262" i="23" s="1"/>
  <c r="F263" i="23" s="1"/>
  <c r="F264" i="23" s="1"/>
  <c r="F265" i="23" s="1"/>
  <c r="F266" i="23" s="1"/>
  <c r="F267" i="23" s="1"/>
  <c r="F268" i="23" s="1"/>
  <c r="F269" i="23" s="1"/>
  <c r="F270" i="23" s="1"/>
  <c r="F271" i="23" s="1"/>
  <c r="F272" i="23" s="1"/>
  <c r="F273" i="23" s="1"/>
  <c r="F274" i="23" s="1"/>
  <c r="F275" i="23" s="1"/>
  <c r="F276" i="23" s="1"/>
  <c r="F277" i="23" s="1"/>
  <c r="F278" i="23" s="1"/>
  <c r="F279" i="23" s="1"/>
  <c r="F280" i="23" s="1"/>
  <c r="F281" i="23" s="1"/>
  <c r="F282" i="23" s="1"/>
  <c r="F283" i="23" s="1"/>
  <c r="F284" i="23" s="1"/>
  <c r="F285" i="23" s="1"/>
  <c r="F286" i="23" s="1"/>
  <c r="F287" i="23" s="1"/>
  <c r="F288" i="23" s="1"/>
  <c r="F289" i="23" s="1"/>
  <c r="F290" i="23" s="1"/>
  <c r="F291" i="23" s="1"/>
  <c r="F292" i="23" s="1"/>
  <c r="F293" i="23" s="1"/>
  <c r="F294" i="23" s="1"/>
  <c r="F295" i="23" s="1"/>
  <c r="F296" i="23" s="1"/>
  <c r="F297" i="23" s="1"/>
  <c r="F298" i="23" s="1"/>
  <c r="F299" i="23" s="1"/>
  <c r="F300" i="23" s="1"/>
  <c r="F301" i="23" s="1"/>
  <c r="F302" i="23" s="1"/>
  <c r="F303" i="23" s="1"/>
  <c r="F304" i="23" s="1"/>
  <c r="F305" i="23" s="1"/>
  <c r="F306" i="23" s="1"/>
  <c r="F307" i="23" s="1"/>
  <c r="F308" i="23" s="1"/>
  <c r="F309" i="23" s="1"/>
  <c r="F310" i="23" s="1"/>
  <c r="F311" i="23" s="1"/>
  <c r="F312" i="23" s="1"/>
  <c r="F313" i="23" s="1"/>
  <c r="F314" i="23" s="1"/>
  <c r="F315" i="23" s="1"/>
  <c r="F316" i="23" s="1"/>
  <c r="F317" i="23" s="1"/>
  <c r="F318" i="23" s="1"/>
  <c r="F319" i="23" s="1"/>
  <c r="F320" i="23" s="1"/>
  <c r="E5" i="23"/>
  <c r="E6" i="23" s="1"/>
  <c r="E7" i="23" s="1"/>
  <c r="E8" i="23" s="1"/>
  <c r="E9" i="23" s="1"/>
  <c r="E10" i="23" s="1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30" i="23" s="1"/>
  <c r="E31" i="23" s="1"/>
  <c r="E32" i="23" s="1"/>
  <c r="E33" i="23" s="1"/>
  <c r="E34" i="23" s="1"/>
  <c r="E35" i="23" s="1"/>
  <c r="E36" i="23" s="1"/>
  <c r="E37" i="23" s="1"/>
  <c r="E38" i="23" s="1"/>
  <c r="E39" i="23" s="1"/>
  <c r="E40" i="23" s="1"/>
  <c r="E41" i="23" s="1"/>
  <c r="E42" i="23" s="1"/>
  <c r="E43" i="23" s="1"/>
  <c r="E44" i="23" s="1"/>
  <c r="E45" i="23" s="1"/>
  <c r="E46" i="23" s="1"/>
  <c r="E47" i="23" s="1"/>
  <c r="E48" i="23" s="1"/>
  <c r="E49" i="23" s="1"/>
  <c r="E50" i="23" s="1"/>
  <c r="E51" i="23" s="1"/>
  <c r="E52" i="23" s="1"/>
  <c r="E53" i="23" s="1"/>
  <c r="E54" i="23" s="1"/>
  <c r="E55" i="23" s="1"/>
  <c r="E56" i="23" s="1"/>
  <c r="E57" i="23" s="1"/>
  <c r="E58" i="23" s="1"/>
  <c r="E59" i="23" s="1"/>
  <c r="E60" i="23" s="1"/>
  <c r="E61" i="23" s="1"/>
  <c r="E62" i="23" s="1"/>
  <c r="E63" i="23" s="1"/>
  <c r="E64" i="23" s="1"/>
  <c r="E65" i="23" s="1"/>
  <c r="E66" i="23" s="1"/>
  <c r="E67" i="23" s="1"/>
  <c r="E68" i="23" s="1"/>
  <c r="E69" i="23" s="1"/>
  <c r="E70" i="23" s="1"/>
  <c r="E71" i="23" s="1"/>
  <c r="E72" i="23" s="1"/>
  <c r="E73" i="23" s="1"/>
  <c r="E74" i="23" s="1"/>
  <c r="E75" i="23" s="1"/>
  <c r="E76" i="23" s="1"/>
  <c r="E77" i="23" s="1"/>
  <c r="E78" i="23" s="1"/>
  <c r="E79" i="23" s="1"/>
  <c r="E80" i="23" s="1"/>
  <c r="E81" i="23" s="1"/>
  <c r="E82" i="23" s="1"/>
  <c r="E83" i="23" s="1"/>
  <c r="E84" i="23" s="1"/>
  <c r="E85" i="23" s="1"/>
  <c r="E86" i="23" s="1"/>
  <c r="E87" i="23" s="1"/>
  <c r="E88" i="23" s="1"/>
  <c r="E89" i="23" s="1"/>
  <c r="E90" i="23" s="1"/>
  <c r="E91" i="23" s="1"/>
  <c r="E92" i="23" s="1"/>
  <c r="E93" i="23" s="1"/>
  <c r="E94" i="23" s="1"/>
  <c r="E95" i="23" s="1"/>
  <c r="E96" i="23" s="1"/>
  <c r="E97" i="23" s="1"/>
  <c r="E98" i="23" s="1"/>
  <c r="E99" i="23" s="1"/>
  <c r="E100" i="23" s="1"/>
  <c r="E101" i="23" s="1"/>
  <c r="E102" i="23" s="1"/>
  <c r="E103" i="23" s="1"/>
  <c r="E104" i="23" s="1"/>
  <c r="E105" i="23" s="1"/>
  <c r="E106" i="23" s="1"/>
  <c r="E107" i="23" s="1"/>
  <c r="E108" i="23" s="1"/>
  <c r="E109" i="23" s="1"/>
  <c r="E110" i="23" s="1"/>
  <c r="E111" i="23" s="1"/>
  <c r="E112" i="23" s="1"/>
  <c r="E113" i="23" s="1"/>
  <c r="E114" i="23" s="1"/>
  <c r="E115" i="23" s="1"/>
  <c r="E116" i="23" s="1"/>
  <c r="E117" i="23" s="1"/>
  <c r="E118" i="23" s="1"/>
  <c r="E119" i="23" s="1"/>
  <c r="E120" i="23" s="1"/>
  <c r="E121" i="23" s="1"/>
  <c r="E122" i="23" s="1"/>
  <c r="E123" i="23" s="1"/>
  <c r="E124" i="23" s="1"/>
  <c r="E125" i="23" s="1"/>
  <c r="E126" i="23" s="1"/>
  <c r="E127" i="23" s="1"/>
  <c r="E128" i="23" s="1"/>
  <c r="E129" i="23" s="1"/>
  <c r="E130" i="23" s="1"/>
  <c r="E131" i="23" s="1"/>
  <c r="E132" i="23" s="1"/>
  <c r="E133" i="23" s="1"/>
  <c r="E134" i="23" s="1"/>
  <c r="E135" i="23" s="1"/>
  <c r="E136" i="23" s="1"/>
  <c r="E137" i="23" s="1"/>
  <c r="E138" i="23" s="1"/>
  <c r="E139" i="23" s="1"/>
  <c r="E140" i="23" s="1"/>
  <c r="E141" i="23" s="1"/>
  <c r="E142" i="23" s="1"/>
  <c r="E143" i="23" s="1"/>
  <c r="E144" i="23" s="1"/>
  <c r="E145" i="23" s="1"/>
  <c r="E146" i="23" s="1"/>
  <c r="E147" i="23" s="1"/>
  <c r="E148" i="23" s="1"/>
  <c r="E149" i="23" s="1"/>
  <c r="E150" i="23" s="1"/>
  <c r="E151" i="23" s="1"/>
  <c r="E152" i="23" s="1"/>
  <c r="E153" i="23" s="1"/>
  <c r="E154" i="23" s="1"/>
  <c r="E155" i="23" s="1"/>
  <c r="E156" i="23" s="1"/>
  <c r="E157" i="23" s="1"/>
  <c r="E158" i="23" s="1"/>
  <c r="E159" i="23" s="1"/>
  <c r="E160" i="23" s="1"/>
  <c r="E161" i="23" s="1"/>
  <c r="E162" i="23" s="1"/>
  <c r="E163" i="23" s="1"/>
  <c r="E164" i="23" s="1"/>
  <c r="E165" i="23" s="1"/>
  <c r="E166" i="23" s="1"/>
  <c r="E167" i="23" s="1"/>
  <c r="E168" i="23" s="1"/>
  <c r="E169" i="23" s="1"/>
  <c r="E170" i="23" s="1"/>
  <c r="E171" i="23" s="1"/>
  <c r="E172" i="23" s="1"/>
  <c r="E173" i="23" s="1"/>
  <c r="E174" i="23" s="1"/>
  <c r="E175" i="23" s="1"/>
  <c r="E176" i="23" s="1"/>
  <c r="E177" i="23" s="1"/>
  <c r="E178" i="23" s="1"/>
  <c r="E179" i="23" s="1"/>
  <c r="E180" i="23" s="1"/>
  <c r="E181" i="23" s="1"/>
  <c r="E182" i="23" s="1"/>
  <c r="E183" i="23" s="1"/>
  <c r="E184" i="23" s="1"/>
  <c r="E185" i="23" s="1"/>
  <c r="E186" i="23" s="1"/>
  <c r="E187" i="23" s="1"/>
  <c r="E188" i="23" s="1"/>
  <c r="E189" i="23" s="1"/>
  <c r="E190" i="23" s="1"/>
  <c r="E191" i="23" s="1"/>
  <c r="E192" i="23" s="1"/>
  <c r="E193" i="23" s="1"/>
  <c r="E194" i="23" s="1"/>
  <c r="E195" i="23" s="1"/>
  <c r="E196" i="23" s="1"/>
  <c r="E197" i="23" s="1"/>
  <c r="E198" i="23" s="1"/>
  <c r="E199" i="23" s="1"/>
  <c r="E200" i="23" s="1"/>
  <c r="E201" i="23" s="1"/>
  <c r="E202" i="23" s="1"/>
  <c r="E203" i="23" s="1"/>
  <c r="E204" i="23" s="1"/>
  <c r="E205" i="23" s="1"/>
  <c r="E206" i="23" s="1"/>
  <c r="E207" i="23" s="1"/>
  <c r="E208" i="23" s="1"/>
  <c r="E209" i="23" s="1"/>
  <c r="E210" i="23" s="1"/>
  <c r="E211" i="23" s="1"/>
  <c r="E212" i="23" s="1"/>
  <c r="E213" i="23" s="1"/>
  <c r="E214" i="23" s="1"/>
  <c r="E215" i="23" s="1"/>
  <c r="E216" i="23" s="1"/>
  <c r="E217" i="23" s="1"/>
  <c r="E218" i="23" s="1"/>
  <c r="E219" i="23" s="1"/>
  <c r="E220" i="23" s="1"/>
  <c r="E221" i="23" s="1"/>
  <c r="E222" i="23" s="1"/>
  <c r="E223" i="23" s="1"/>
  <c r="E224" i="23" s="1"/>
  <c r="E225" i="23" s="1"/>
  <c r="E226" i="23" s="1"/>
  <c r="E227" i="23" s="1"/>
  <c r="E228" i="23" s="1"/>
  <c r="E229" i="23" s="1"/>
  <c r="E230" i="23" s="1"/>
  <c r="E231" i="23" s="1"/>
  <c r="E232" i="23" s="1"/>
  <c r="E233" i="23" s="1"/>
  <c r="E234" i="23" s="1"/>
  <c r="E235" i="23" s="1"/>
  <c r="E236" i="23" s="1"/>
  <c r="E237" i="23" s="1"/>
  <c r="E238" i="23" s="1"/>
  <c r="E239" i="23" s="1"/>
  <c r="E240" i="23" s="1"/>
  <c r="E241" i="23" s="1"/>
  <c r="E242" i="23" s="1"/>
  <c r="E243" i="23" s="1"/>
  <c r="E244" i="23" s="1"/>
  <c r="E245" i="23" s="1"/>
  <c r="E246" i="23" s="1"/>
  <c r="E247" i="23" s="1"/>
  <c r="E248" i="23" s="1"/>
  <c r="E249" i="23" s="1"/>
  <c r="E250" i="23" s="1"/>
  <c r="E251" i="23" s="1"/>
  <c r="E252" i="23" s="1"/>
  <c r="E253" i="23" s="1"/>
  <c r="E254" i="23" s="1"/>
  <c r="E255" i="23" s="1"/>
  <c r="E256" i="23" s="1"/>
  <c r="E257" i="23" s="1"/>
  <c r="E258" i="23" s="1"/>
  <c r="E259" i="23" s="1"/>
  <c r="E260" i="23" s="1"/>
  <c r="E261" i="23" s="1"/>
  <c r="E262" i="23" s="1"/>
  <c r="E263" i="23" s="1"/>
  <c r="E264" i="23" s="1"/>
  <c r="E265" i="23" s="1"/>
  <c r="E266" i="23" s="1"/>
  <c r="E267" i="23" s="1"/>
  <c r="E268" i="23" s="1"/>
  <c r="E269" i="23" s="1"/>
  <c r="E270" i="23" s="1"/>
  <c r="E271" i="23" s="1"/>
  <c r="E272" i="23" s="1"/>
  <c r="E273" i="23" s="1"/>
  <c r="E274" i="23" s="1"/>
  <c r="E275" i="23" s="1"/>
  <c r="E276" i="23" s="1"/>
  <c r="E277" i="23" s="1"/>
  <c r="E278" i="23" s="1"/>
  <c r="E279" i="23" s="1"/>
  <c r="E280" i="23" s="1"/>
  <c r="E281" i="23" s="1"/>
  <c r="E282" i="23" s="1"/>
  <c r="E283" i="23" s="1"/>
  <c r="E284" i="23" s="1"/>
  <c r="E285" i="23" s="1"/>
  <c r="E286" i="23" s="1"/>
  <c r="E287" i="23" s="1"/>
  <c r="E288" i="23" s="1"/>
  <c r="E289" i="23" s="1"/>
  <c r="E290" i="23" s="1"/>
  <c r="E291" i="23" s="1"/>
  <c r="E292" i="23" s="1"/>
  <c r="E293" i="23" s="1"/>
  <c r="E294" i="23" s="1"/>
  <c r="E295" i="23" s="1"/>
  <c r="E296" i="23" s="1"/>
  <c r="E297" i="23" s="1"/>
  <c r="E298" i="23" s="1"/>
  <c r="E299" i="23" s="1"/>
  <c r="E300" i="23" s="1"/>
  <c r="E301" i="23" s="1"/>
  <c r="E302" i="23" s="1"/>
  <c r="E303" i="23" s="1"/>
  <c r="E304" i="23" s="1"/>
  <c r="E305" i="23" s="1"/>
  <c r="E306" i="23" s="1"/>
  <c r="E307" i="23" s="1"/>
  <c r="E308" i="23" s="1"/>
  <c r="E309" i="23" s="1"/>
  <c r="E310" i="23" s="1"/>
  <c r="E311" i="23" s="1"/>
  <c r="E312" i="23" s="1"/>
  <c r="E313" i="23" s="1"/>
  <c r="E314" i="23" s="1"/>
  <c r="E315" i="23" s="1"/>
  <c r="E316" i="23" s="1"/>
  <c r="E317" i="23" s="1"/>
  <c r="E318" i="23" s="1"/>
  <c r="E319" i="23" s="1"/>
  <c r="E320" i="23" s="1"/>
  <c r="J302" i="23" l="1"/>
  <c r="H301" i="23"/>
  <c r="K50" i="23"/>
  <c r="H49" i="23"/>
  <c r="J47" i="23"/>
  <c r="H46" i="23"/>
  <c r="K53" i="23"/>
  <c r="H52" i="23"/>
  <c r="J283" i="23"/>
  <c r="H281" i="23"/>
  <c r="J281" i="23" s="1"/>
  <c r="J151" i="23"/>
  <c r="H150" i="23"/>
  <c r="J150" i="23" s="1"/>
  <c r="J10" i="23"/>
  <c r="H9" i="23"/>
  <c r="J9" i="23" s="1"/>
  <c r="J167" i="23"/>
  <c r="H166" i="23"/>
  <c r="J166" i="23" s="1"/>
  <c r="J207" i="23"/>
  <c r="H206" i="23"/>
  <c r="J206" i="23" s="1"/>
  <c r="J246" i="23"/>
  <c r="H245" i="23"/>
  <c r="J201" i="23"/>
  <c r="H200" i="23"/>
  <c r="J200" i="23" s="1"/>
  <c r="J189" i="23"/>
  <c r="K189" i="23"/>
  <c r="H310" i="23"/>
  <c r="H292" i="23"/>
  <c r="H131" i="23"/>
  <c r="K311" i="23"/>
  <c r="J311" i="23"/>
  <c r="K305" i="23"/>
  <c r="J305" i="23"/>
  <c r="J293" i="23"/>
  <c r="K293" i="23"/>
  <c r="K247" i="23"/>
  <c r="J247" i="23"/>
  <c r="K235" i="23"/>
  <c r="J235" i="23"/>
  <c r="K218" i="23"/>
  <c r="J218" i="23"/>
  <c r="K199" i="23"/>
  <c r="J199" i="23"/>
  <c r="K170" i="23"/>
  <c r="J170" i="23"/>
  <c r="J164" i="23"/>
  <c r="H163" i="23"/>
  <c r="J163" i="23" s="1"/>
  <c r="J162" i="23"/>
  <c r="H160" i="23"/>
  <c r="J158" i="23"/>
  <c r="K158" i="23"/>
  <c r="K128" i="23"/>
  <c r="J128" i="23"/>
  <c r="K87" i="23"/>
  <c r="J87" i="23"/>
  <c r="H37" i="23"/>
  <c r="K38" i="23"/>
  <c r="K19" i="23"/>
  <c r="J19" i="23"/>
  <c r="J17" i="23"/>
  <c r="K17" i="23"/>
  <c r="J45" i="23"/>
  <c r="J92" i="23"/>
  <c r="K127" i="23"/>
  <c r="J134" i="23"/>
  <c r="K198" i="23"/>
  <c r="K234" i="23"/>
  <c r="J280" i="23"/>
  <c r="J300" i="23"/>
  <c r="J313" i="23"/>
  <c r="J50" i="23"/>
  <c r="H142" i="23"/>
  <c r="H178" i="23"/>
  <c r="J178" i="23" s="1"/>
  <c r="H192" i="23"/>
  <c r="H190" i="23" s="1"/>
  <c r="J275" i="23"/>
  <c r="K20" i="23"/>
  <c r="K51" i="23"/>
  <c r="K118" i="23"/>
  <c r="J159" i="23"/>
  <c r="K193" i="23"/>
  <c r="J288" i="23"/>
  <c r="J76" i="23"/>
  <c r="H120" i="23"/>
  <c r="J120" i="23" s="1"/>
  <c r="J21" i="23"/>
  <c r="K47" i="23"/>
  <c r="J88" i="23"/>
  <c r="J96" i="23"/>
  <c r="J210" i="23"/>
  <c r="K229" i="23"/>
  <c r="J236" i="23"/>
  <c r="J318" i="23"/>
  <c r="H43" i="23"/>
  <c r="J298" i="23"/>
  <c r="J303" i="23"/>
  <c r="J48" i="23"/>
  <c r="J195" i="23"/>
  <c r="J22" i="23"/>
  <c r="J53" i="23"/>
  <c r="J112" i="23"/>
  <c r="K132" i="23"/>
  <c r="K148" i="23"/>
  <c r="J154" i="23"/>
  <c r="J221" i="23"/>
  <c r="J240" i="23"/>
  <c r="J44" i="23"/>
  <c r="H222" i="23"/>
  <c r="J299" i="23"/>
  <c r="J320" i="23"/>
  <c r="K54" i="23"/>
  <c r="K85" i="23"/>
  <c r="H175" i="23"/>
  <c r="K216" i="23"/>
  <c r="J73" i="23"/>
  <c r="H70" i="23"/>
  <c r="H56" i="23"/>
  <c r="J57" i="23"/>
  <c r="K57" i="23"/>
  <c r="J41" i="23"/>
  <c r="H40" i="23"/>
  <c r="J40" i="23" s="1"/>
  <c r="K58" i="23"/>
  <c r="J58" i="23"/>
  <c r="J79" i="23"/>
  <c r="H77" i="23"/>
  <c r="J309" i="23"/>
  <c r="H307" i="23"/>
  <c r="J34" i="23"/>
  <c r="H33" i="23"/>
  <c r="K161" i="23"/>
  <c r="J161" i="23"/>
  <c r="K196" i="23"/>
  <c r="J196" i="23"/>
  <c r="K117" i="23"/>
  <c r="J117" i="23"/>
  <c r="K145" i="23"/>
  <c r="J145" i="23"/>
  <c r="K171" i="23"/>
  <c r="H169" i="23"/>
  <c r="J171" i="23"/>
  <c r="H18" i="23"/>
  <c r="H27" i="23"/>
  <c r="J27" i="23" s="1"/>
  <c r="J38" i="23"/>
  <c r="J39" i="23"/>
  <c r="J59" i="23"/>
  <c r="K59" i="23"/>
  <c r="J90" i="23"/>
  <c r="H84" i="23"/>
  <c r="J98" i="23"/>
  <c r="H94" i="23"/>
  <c r="H113" i="23"/>
  <c r="K121" i="23"/>
  <c r="J121" i="23"/>
  <c r="J129" i="23"/>
  <c r="K156" i="23"/>
  <c r="J156" i="23"/>
  <c r="K243" i="23"/>
  <c r="J243" i="23"/>
  <c r="J253" i="23"/>
  <c r="H251" i="23"/>
  <c r="J251" i="23" s="1"/>
  <c r="K173" i="23"/>
  <c r="J173" i="23"/>
  <c r="H182" i="23"/>
  <c r="H239" i="23"/>
  <c r="J241" i="23"/>
  <c r="K276" i="23"/>
  <c r="H270" i="23"/>
  <c r="J276" i="23"/>
  <c r="J183" i="23"/>
  <c r="J185" i="23"/>
  <c r="K187" i="23"/>
  <c r="J187" i="23"/>
  <c r="K197" i="23"/>
  <c r="J197" i="23"/>
  <c r="J211" i="23"/>
  <c r="K211" i="23"/>
  <c r="H214" i="23"/>
  <c r="H257" i="23"/>
  <c r="J257" i="23" s="1"/>
  <c r="K233" i="23"/>
  <c r="J233" i="23"/>
  <c r="H295" i="23"/>
  <c r="K296" i="23"/>
  <c r="J213" i="23"/>
  <c r="K215" i="23"/>
  <c r="J215" i="23"/>
  <c r="H231" i="23"/>
  <c r="K232" i="23"/>
  <c r="J250" i="23"/>
  <c r="J268" i="23"/>
  <c r="H287" i="23"/>
  <c r="J296" i="23"/>
  <c r="H315" i="23"/>
  <c r="K301" i="23" l="1"/>
  <c r="J301" i="23"/>
  <c r="J49" i="23"/>
  <c r="K49" i="23"/>
  <c r="K46" i="23"/>
  <c r="J46" i="23"/>
  <c r="K52" i="23"/>
  <c r="J52" i="23"/>
  <c r="K245" i="23"/>
  <c r="J245" i="23"/>
  <c r="H291" i="23"/>
  <c r="K292" i="23"/>
  <c r="J292" i="23"/>
  <c r="K160" i="23"/>
  <c r="J160" i="23"/>
  <c r="H155" i="23"/>
  <c r="J37" i="23"/>
  <c r="K37" i="23"/>
  <c r="H36" i="23"/>
  <c r="K222" i="23"/>
  <c r="J222" i="23"/>
  <c r="K310" i="23"/>
  <c r="J310" i="23"/>
  <c r="K131" i="23"/>
  <c r="J131" i="23"/>
  <c r="H141" i="23"/>
  <c r="K142" i="23"/>
  <c r="J142" i="23"/>
  <c r="J192" i="23"/>
  <c r="K192" i="23"/>
  <c r="H119" i="23"/>
  <c r="K120" i="23"/>
  <c r="J43" i="23"/>
  <c r="K43" i="23"/>
  <c r="J175" i="23"/>
  <c r="H174" i="23"/>
  <c r="J174" i="23" s="1"/>
  <c r="K315" i="23"/>
  <c r="J315" i="23"/>
  <c r="K214" i="23"/>
  <c r="J214" i="23"/>
  <c r="K231" i="23"/>
  <c r="J231" i="23"/>
  <c r="K190" i="23"/>
  <c r="H188" i="23"/>
  <c r="J190" i="23"/>
  <c r="H5" i="23"/>
  <c r="K18" i="23"/>
  <c r="J18" i="23"/>
  <c r="J70" i="23"/>
  <c r="J295" i="23"/>
  <c r="K295" i="23"/>
  <c r="J239" i="23"/>
  <c r="H237" i="23"/>
  <c r="H212" i="23" s="1"/>
  <c r="K239" i="23"/>
  <c r="K113" i="23"/>
  <c r="H103" i="23"/>
  <c r="J113" i="23"/>
  <c r="J33" i="23"/>
  <c r="K84" i="23"/>
  <c r="H83" i="23"/>
  <c r="L83" i="23"/>
  <c r="J84" i="23"/>
  <c r="J287" i="23"/>
  <c r="K287" i="23"/>
  <c r="J270" i="23"/>
  <c r="K270" i="23"/>
  <c r="H269" i="23"/>
  <c r="K182" i="23"/>
  <c r="J182" i="23"/>
  <c r="J94" i="23"/>
  <c r="K94" i="23"/>
  <c r="J169" i="23"/>
  <c r="K169" i="23"/>
  <c r="H306" i="23"/>
  <c r="J307" i="23"/>
  <c r="J77" i="23"/>
  <c r="H75" i="23"/>
  <c r="H69" i="23" s="1"/>
  <c r="J56" i="23"/>
  <c r="K56" i="23"/>
  <c r="K291" i="23" l="1"/>
  <c r="J291" i="23"/>
  <c r="K155" i="23"/>
  <c r="J155" i="23"/>
  <c r="J36" i="23"/>
  <c r="H32" i="23"/>
  <c r="H4" i="23" s="1"/>
  <c r="K36" i="23"/>
  <c r="J141" i="23"/>
  <c r="K141" i="23"/>
  <c r="K119" i="23"/>
  <c r="J119" i="23"/>
  <c r="K69" i="23"/>
  <c r="J69" i="23"/>
  <c r="K212" i="23"/>
  <c r="J212" i="23"/>
  <c r="J188" i="23"/>
  <c r="K188" i="23"/>
  <c r="K237" i="23"/>
  <c r="J237" i="23"/>
  <c r="J306" i="23"/>
  <c r="K306" i="23"/>
  <c r="K269" i="23"/>
  <c r="J269" i="23"/>
  <c r="K75" i="23"/>
  <c r="J75" i="23"/>
  <c r="J83" i="23"/>
  <c r="K83" i="23"/>
  <c r="J103" i="23"/>
  <c r="H102" i="23"/>
  <c r="K103" i="23"/>
  <c r="J5" i="23"/>
  <c r="K5" i="23"/>
  <c r="H249" i="23"/>
  <c r="H314" i="23" s="1"/>
  <c r="K32" i="23" l="1"/>
  <c r="J32" i="23"/>
  <c r="K102" i="23"/>
  <c r="J102" i="23"/>
  <c r="H82" i="23"/>
  <c r="H181" i="23" s="1"/>
  <c r="J314" i="23"/>
  <c r="K314" i="23"/>
  <c r="K4" i="23"/>
  <c r="J4" i="23"/>
  <c r="J249" i="23"/>
  <c r="K249" i="23"/>
  <c r="J181" i="23" l="1"/>
  <c r="K181" i="23"/>
  <c r="J82" i="23"/>
  <c r="K82" i="23"/>
  <c r="S547" i="15" l="1"/>
  <c r="G237" i="17"/>
  <c r="S72" i="15" l="1"/>
  <c r="R72" i="15"/>
  <c r="H17" i="13"/>
  <c r="K17" i="13" s="1"/>
  <c r="R22" i="15"/>
  <c r="R275" i="15" l="1"/>
  <c r="R487" i="15" l="1"/>
  <c r="R486" i="15"/>
  <c r="R482" i="15"/>
  <c r="R481" i="15"/>
  <c r="R480" i="15"/>
  <c r="R479" i="15"/>
  <c r="R478" i="15"/>
  <c r="R477" i="15"/>
  <c r="R476" i="15"/>
  <c r="R474" i="15"/>
  <c r="R470" i="15"/>
  <c r="R60" i="15" l="1"/>
  <c r="G161" i="13" l="1"/>
  <c r="J17" i="13" l="1"/>
  <c r="R29" i="15" l="1"/>
  <c r="H124" i="17" l="1"/>
  <c r="H164" i="17" l="1"/>
  <c r="Q281" i="15" l="1"/>
  <c r="Q282" i="15"/>
  <c r="Q399" i="15"/>
  <c r="Q400" i="15"/>
  <c r="Q432" i="15"/>
  <c r="Q433" i="15"/>
  <c r="Q434" i="15"/>
  <c r="Q435" i="15"/>
  <c r="Q436" i="15"/>
  <c r="Q437" i="15"/>
  <c r="Q438" i="15"/>
  <c r="Q439" i="15"/>
  <c r="Q571" i="15"/>
  <c r="Q572" i="15"/>
  <c r="Q573" i="15"/>
  <c r="Q574" i="15"/>
  <c r="Q575" i="15"/>
  <c r="Q576" i="15"/>
  <c r="Q577" i="15"/>
  <c r="Q578" i="15"/>
  <c r="Q711" i="15"/>
  <c r="Q712" i="15"/>
  <c r="Q713" i="15"/>
  <c r="Q714" i="15"/>
  <c r="Q715" i="15"/>
  <c r="Q716" i="15"/>
  <c r="Q717" i="15"/>
  <c r="Q718" i="15"/>
  <c r="Q757" i="15"/>
  <c r="Q967" i="15"/>
  <c r="Q968" i="15"/>
  <c r="Q969" i="15"/>
  <c r="Q970" i="15"/>
  <c r="Q971" i="15"/>
  <c r="Q972" i="15"/>
  <c r="Q1104" i="15"/>
  <c r="Q1249" i="15"/>
  <c r="Q1250" i="15"/>
  <c r="Q1314" i="15"/>
  <c r="Q1318" i="15"/>
  <c r="Q1367" i="15"/>
  <c r="Q1368" i="15"/>
  <c r="Q1369" i="15"/>
  <c r="Q1370" i="15"/>
  <c r="Q1649" i="15"/>
  <c r="Q1650" i="15"/>
  <c r="Q1651" i="15"/>
  <c r="Q1652" i="15"/>
  <c r="V1751" i="14" l="1"/>
  <c r="Q1773" i="15"/>
  <c r="AC1751" i="14"/>
  <c r="AH1751" i="14" s="1"/>
  <c r="A1751" i="14"/>
  <c r="V1750" i="14"/>
  <c r="Q1772" i="15"/>
  <c r="A1750" i="14"/>
  <c r="V1749" i="14"/>
  <c r="Q1771" i="15"/>
  <c r="A1749" i="14"/>
  <c r="V1748" i="14"/>
  <c r="Q1770" i="15"/>
  <c r="AC1748" i="14"/>
  <c r="AH1748" i="14" s="1"/>
  <c r="AJ1748" i="14" s="1"/>
  <c r="A1748" i="14"/>
  <c r="V1747" i="14"/>
  <c r="Q1769" i="15"/>
  <c r="AC1747" i="14"/>
  <c r="AH1747" i="14" s="1"/>
  <c r="AJ1747" i="14" s="1"/>
  <c r="A1747" i="14"/>
  <c r="V1746" i="14"/>
  <c r="Q1768" i="15"/>
  <c r="AC1746" i="14"/>
  <c r="AH1746" i="14" s="1"/>
  <c r="AJ1746" i="14" s="1"/>
  <c r="A1746" i="14"/>
  <c r="V1745" i="14"/>
  <c r="Q1767" i="15"/>
  <c r="A1745" i="14"/>
  <c r="V1744" i="14"/>
  <c r="A1744" i="14"/>
  <c r="V1743" i="14"/>
  <c r="A1743" i="14"/>
  <c r="V1742" i="14"/>
  <c r="U1741" i="14"/>
  <c r="U1740" i="14" s="1"/>
  <c r="Q1776" i="15"/>
  <c r="AC1742" i="14"/>
  <c r="G1741" i="14"/>
  <c r="G1740" i="14" s="1"/>
  <c r="A1742" i="14"/>
  <c r="V1741" i="14"/>
  <c r="A1741" i="14"/>
  <c r="V1740" i="14"/>
  <c r="A1740" i="14"/>
  <c r="V1739" i="14"/>
  <c r="U1738" i="14"/>
  <c r="U1737" i="14" s="1"/>
  <c r="Q1764" i="15"/>
  <c r="G1738" i="14"/>
  <c r="G1737" i="14" s="1"/>
  <c r="A1739" i="14"/>
  <c r="V1738" i="14"/>
  <c r="A1738" i="14"/>
  <c r="V1737" i="14"/>
  <c r="A1737" i="14"/>
  <c r="V1736" i="14"/>
  <c r="U1735" i="14"/>
  <c r="U1734" i="14" s="1"/>
  <c r="Q1761" i="15"/>
  <c r="AC1736" i="14"/>
  <c r="G1735" i="14"/>
  <c r="G1734" i="14" s="1"/>
  <c r="A1736" i="14"/>
  <c r="V1735" i="14"/>
  <c r="A1735" i="14"/>
  <c r="V1734" i="14"/>
  <c r="A1734" i="14"/>
  <c r="V1733" i="14"/>
  <c r="U1732" i="14"/>
  <c r="U1731" i="14" s="1"/>
  <c r="Q1758" i="15"/>
  <c r="AC1733" i="14"/>
  <c r="AH1733" i="14" s="1"/>
  <c r="AJ1733" i="14" s="1"/>
  <c r="G1732" i="14"/>
  <c r="G1731" i="14" s="1"/>
  <c r="A1733" i="14"/>
  <c r="V1732" i="14"/>
  <c r="A1732" i="14"/>
  <c r="V1731" i="14"/>
  <c r="A1731" i="14"/>
  <c r="V1730" i="14"/>
  <c r="A1730" i="14"/>
  <c r="V1729" i="14"/>
  <c r="U1728" i="14"/>
  <c r="Q1732" i="15"/>
  <c r="AC1729" i="14"/>
  <c r="AC1728" i="14" s="1"/>
  <c r="G1728" i="14"/>
  <c r="A1729" i="14"/>
  <c r="V1728" i="14"/>
  <c r="A1728" i="14"/>
  <c r="V1727" i="14"/>
  <c r="Q1730" i="15"/>
  <c r="A1727" i="14"/>
  <c r="V1726" i="14"/>
  <c r="Q1729" i="15"/>
  <c r="AJ1726" i="14"/>
  <c r="A1726" i="14"/>
  <c r="V1725" i="14"/>
  <c r="Q1728" i="15"/>
  <c r="A1725" i="14"/>
  <c r="V1724" i="14"/>
  <c r="A1724" i="14"/>
  <c r="V1723" i="14"/>
  <c r="Q1726" i="15"/>
  <c r="A1723" i="14"/>
  <c r="V1722" i="14"/>
  <c r="Q1725" i="15"/>
  <c r="A1722" i="14"/>
  <c r="V1721" i="14"/>
  <c r="Q1724" i="15"/>
  <c r="A1721" i="14"/>
  <c r="V1720" i="14"/>
  <c r="Q1723" i="15"/>
  <c r="A1720" i="14"/>
  <c r="V1719" i="14"/>
  <c r="Q1722" i="15"/>
  <c r="A1719" i="14"/>
  <c r="V1718" i="14"/>
  <c r="Q1721" i="15"/>
  <c r="A1718" i="14"/>
  <c r="V1717" i="14"/>
  <c r="Q1720" i="15"/>
  <c r="A1717" i="14"/>
  <c r="V1716" i="14"/>
  <c r="Q1719" i="15"/>
  <c r="A1716" i="14"/>
  <c r="V1715" i="14"/>
  <c r="Q1718" i="15"/>
  <c r="A1715" i="14"/>
  <c r="V1714" i="14"/>
  <c r="Q1717" i="15"/>
  <c r="A1714" i="14"/>
  <c r="V1713" i="14"/>
  <c r="Q1716" i="15"/>
  <c r="A1713" i="14"/>
  <c r="V1712" i="14"/>
  <c r="Q1715" i="15"/>
  <c r="A1712" i="14"/>
  <c r="V1711" i="14"/>
  <c r="Q1714" i="15"/>
  <c r="A1711" i="14"/>
  <c r="V1710" i="14"/>
  <c r="Q1713" i="15"/>
  <c r="A1710" i="14"/>
  <c r="V1709" i="14"/>
  <c r="Q1712" i="15"/>
  <c r="A1709" i="14"/>
  <c r="V1708" i="14"/>
  <c r="Q1711" i="15"/>
  <c r="A1708" i="14"/>
  <c r="V1707" i="14"/>
  <c r="A1707" i="14"/>
  <c r="V1706" i="14"/>
  <c r="A1706" i="14"/>
  <c r="V1705" i="14"/>
  <c r="U1704" i="14"/>
  <c r="Q1708" i="15"/>
  <c r="H1704" i="14"/>
  <c r="G1704" i="14"/>
  <c r="A1705" i="14"/>
  <c r="V1704" i="14"/>
  <c r="A1704" i="14"/>
  <c r="V1703" i="14"/>
  <c r="Q1705" i="15"/>
  <c r="AJ1703" i="14"/>
  <c r="A1703" i="14"/>
  <c r="V1702" i="14"/>
  <c r="Q1704" i="15"/>
  <c r="AJ1702" i="14"/>
  <c r="A1702" i="14"/>
  <c r="V1701" i="14"/>
  <c r="Q1703" i="15"/>
  <c r="A1701" i="14"/>
  <c r="V1700" i="14"/>
  <c r="A1700" i="14"/>
  <c r="V1699" i="14"/>
  <c r="A1699" i="14"/>
  <c r="V1698" i="14"/>
  <c r="A1698" i="14"/>
  <c r="V1697" i="14"/>
  <c r="Q1699" i="15"/>
  <c r="A1697" i="14"/>
  <c r="V1696" i="14"/>
  <c r="Q1698" i="15"/>
  <c r="A1696" i="14"/>
  <c r="V1695" i="14"/>
  <c r="Q1697" i="15"/>
  <c r="A1695" i="14"/>
  <c r="V1694" i="14"/>
  <c r="Q1696" i="15"/>
  <c r="A1694" i="14"/>
  <c r="V1693" i="14"/>
  <c r="Q1695" i="15"/>
  <c r="A1693" i="14"/>
  <c r="V1692" i="14"/>
  <c r="Q1694" i="15"/>
  <c r="A1692" i="14"/>
  <c r="V1691" i="14"/>
  <c r="Q1693" i="15"/>
  <c r="A1691" i="14"/>
  <c r="V1690" i="14"/>
  <c r="Q1692" i="15"/>
  <c r="A1690" i="14"/>
  <c r="V1689" i="14"/>
  <c r="Q1691" i="15"/>
  <c r="A1689" i="14"/>
  <c r="V1688" i="14"/>
  <c r="Q1690" i="15"/>
  <c r="A1688" i="14"/>
  <c r="V1687" i="14"/>
  <c r="Q1689" i="15"/>
  <c r="A1687" i="14"/>
  <c r="V1686" i="14"/>
  <c r="Q1688" i="15"/>
  <c r="A1686" i="14"/>
  <c r="V1685" i="14"/>
  <c r="Q1687" i="15"/>
  <c r="A1685" i="14"/>
  <c r="V1684" i="14"/>
  <c r="Q1686" i="15"/>
  <c r="AC1684" i="14"/>
  <c r="AH1684" i="14" s="1"/>
  <c r="AJ1684" i="14" s="1"/>
  <c r="A1684" i="14"/>
  <c r="V1683" i="14"/>
  <c r="Q1681" i="15"/>
  <c r="A1683" i="14"/>
  <c r="V1682" i="14"/>
  <c r="Q1680" i="15"/>
  <c r="A1682" i="14"/>
  <c r="V1681" i="14"/>
  <c r="Q1679" i="15"/>
  <c r="A1681" i="14"/>
  <c r="V1680" i="14"/>
  <c r="Q1678" i="15"/>
  <c r="A1680" i="14"/>
  <c r="V1679" i="14"/>
  <c r="Q1677" i="15"/>
  <c r="A1679" i="14"/>
  <c r="V1678" i="14"/>
  <c r="Q1676" i="15"/>
  <c r="A1678" i="14"/>
  <c r="V1677" i="14"/>
  <c r="Q1675" i="15"/>
  <c r="AJ1677" i="14"/>
  <c r="A1677" i="14"/>
  <c r="V1676" i="14"/>
  <c r="Q1674" i="15"/>
  <c r="A1676" i="14"/>
  <c r="V1675" i="14"/>
  <c r="Q1673" i="15"/>
  <c r="A1675" i="14"/>
  <c r="V1674" i="14"/>
  <c r="Q1672" i="15"/>
  <c r="A1674" i="14"/>
  <c r="V1673" i="14"/>
  <c r="Q1671" i="15"/>
  <c r="A1673" i="14"/>
  <c r="V1672" i="14"/>
  <c r="Q1670" i="15"/>
  <c r="A1672" i="14"/>
  <c r="V1671" i="14"/>
  <c r="Q1669" i="15"/>
  <c r="A1671" i="14"/>
  <c r="V1670" i="14"/>
  <c r="Q1668" i="15"/>
  <c r="A1670" i="14"/>
  <c r="V1669" i="14"/>
  <c r="Q1667" i="15"/>
  <c r="A1669" i="14"/>
  <c r="V1668" i="14"/>
  <c r="Q1666" i="15"/>
  <c r="A1668" i="14"/>
  <c r="V1667" i="14"/>
  <c r="Q1665" i="15"/>
  <c r="A1667" i="14"/>
  <c r="V1666" i="14"/>
  <c r="Q1664" i="15"/>
  <c r="A1666" i="14"/>
  <c r="V1665" i="14"/>
  <c r="Q1658" i="15"/>
  <c r="AC1665" i="14"/>
  <c r="AH1665" i="14" s="1"/>
  <c r="AJ1665" i="14" s="1"/>
  <c r="A1665" i="14"/>
  <c r="V1664" i="14"/>
  <c r="Q1657" i="15"/>
  <c r="A1664" i="14"/>
  <c r="V1663" i="14"/>
  <c r="Q1656" i="15"/>
  <c r="A1663" i="14"/>
  <c r="V1662" i="14"/>
  <c r="A1662" i="14"/>
  <c r="V1661" i="14"/>
  <c r="U1660" i="14"/>
  <c r="Q1654" i="15"/>
  <c r="H1660" i="14"/>
  <c r="G1660" i="14"/>
  <c r="A1661" i="14"/>
  <c r="V1660" i="14"/>
  <c r="A1660" i="14"/>
  <c r="V1659" i="14"/>
  <c r="A1659" i="14"/>
  <c r="V1658" i="14"/>
  <c r="A1658" i="14"/>
  <c r="V1657" i="14"/>
  <c r="AC1657" i="14"/>
  <c r="AH1657" i="14" s="1"/>
  <c r="AJ1657" i="14" s="1"/>
  <c r="A1657" i="14"/>
  <c r="V1656" i="14"/>
  <c r="AC1656" i="14"/>
  <c r="AH1656" i="14" s="1"/>
  <c r="AJ1656" i="14" s="1"/>
  <c r="A1656" i="14"/>
  <c r="V1655" i="14"/>
  <c r="Q1648" i="15"/>
  <c r="AC1655" i="14"/>
  <c r="AH1655" i="14" s="1"/>
  <c r="AJ1655" i="14" s="1"/>
  <c r="A1655" i="14"/>
  <c r="V1654" i="14"/>
  <c r="Q1647" i="15"/>
  <c r="AC1654" i="14"/>
  <c r="AH1654" i="14" s="1"/>
  <c r="AJ1654" i="14" s="1"/>
  <c r="A1654" i="14"/>
  <c r="V1653" i="14"/>
  <c r="Q1646" i="15"/>
  <c r="AJ1653" i="14"/>
  <c r="A1653" i="14"/>
  <c r="V1652" i="14"/>
  <c r="Q1645" i="15"/>
  <c r="AJ1652" i="14"/>
  <c r="A1652" i="14"/>
  <c r="V1651" i="14"/>
  <c r="Q1644" i="15"/>
  <c r="AJ1651" i="14"/>
  <c r="A1651" i="14"/>
  <c r="V1650" i="14"/>
  <c r="Q1643" i="15"/>
  <c r="AJ1650" i="14"/>
  <c r="A1650" i="14"/>
  <c r="V1649" i="14"/>
  <c r="Q1642" i="15"/>
  <c r="AJ1649" i="14"/>
  <c r="A1649" i="14"/>
  <c r="V1648" i="14"/>
  <c r="Q1641" i="15"/>
  <c r="AJ1648" i="14"/>
  <c r="A1648" i="14"/>
  <c r="V1647" i="14"/>
  <c r="Q1640" i="15"/>
  <c r="AJ1647" i="14"/>
  <c r="A1647" i="14"/>
  <c r="V1646" i="14"/>
  <c r="Q1639" i="15"/>
  <c r="AJ1646" i="14"/>
  <c r="A1646" i="14"/>
  <c r="V1645" i="14"/>
  <c r="Q1638" i="15"/>
  <c r="AJ1645" i="14"/>
  <c r="A1645" i="14"/>
  <c r="V1644" i="14"/>
  <c r="Q1637" i="15"/>
  <c r="AJ1644" i="14"/>
  <c r="A1644" i="14"/>
  <c r="V1643" i="14"/>
  <c r="Q1636" i="15"/>
  <c r="AJ1643" i="14"/>
  <c r="A1643" i="14"/>
  <c r="V1642" i="14"/>
  <c r="Q1635" i="15"/>
  <c r="AJ1642" i="14"/>
  <c r="A1642" i="14"/>
  <c r="V1641" i="14"/>
  <c r="Q1634" i="15"/>
  <c r="AJ1641" i="14"/>
  <c r="A1641" i="14"/>
  <c r="V1640" i="14"/>
  <c r="Q1633" i="15"/>
  <c r="AJ1640" i="14"/>
  <c r="A1640" i="14"/>
  <c r="V1639" i="14"/>
  <c r="Q1632" i="15"/>
  <c r="AJ1639" i="14"/>
  <c r="A1639" i="14"/>
  <c r="V1638" i="14"/>
  <c r="Q1631" i="15"/>
  <c r="AJ1638" i="14"/>
  <c r="A1638" i="14"/>
  <c r="V1637" i="14"/>
  <c r="Q1630" i="15"/>
  <c r="AJ1637" i="14"/>
  <c r="A1637" i="14"/>
  <c r="V1636" i="14"/>
  <c r="Q1629" i="15"/>
  <c r="AJ1636" i="14"/>
  <c r="A1636" i="14"/>
  <c r="V1635" i="14"/>
  <c r="Q1628" i="15"/>
  <c r="AJ1635" i="14"/>
  <c r="A1635" i="14"/>
  <c r="V1634" i="14"/>
  <c r="Q1627" i="15"/>
  <c r="A1634" i="14"/>
  <c r="V1633" i="14"/>
  <c r="Q1626" i="15"/>
  <c r="AJ1633" i="14"/>
  <c r="A1633" i="14"/>
  <c r="V1632" i="14"/>
  <c r="Q1625" i="15"/>
  <c r="AJ1632" i="14"/>
  <c r="A1632" i="14"/>
  <c r="V1631" i="14"/>
  <c r="Q1624" i="15"/>
  <c r="AJ1631" i="14"/>
  <c r="A1631" i="14"/>
  <c r="V1630" i="14"/>
  <c r="Q1623" i="15"/>
  <c r="AJ1630" i="14"/>
  <c r="A1630" i="14"/>
  <c r="V1629" i="14"/>
  <c r="Q1622" i="15"/>
  <c r="AJ1629" i="14"/>
  <c r="A1629" i="14"/>
  <c r="V1628" i="14"/>
  <c r="Q1621" i="15"/>
  <c r="AJ1628" i="14"/>
  <c r="A1628" i="14"/>
  <c r="V1627" i="14"/>
  <c r="Q1620" i="15"/>
  <c r="AJ1627" i="14"/>
  <c r="A1627" i="14"/>
  <c r="V1626" i="14"/>
  <c r="Q1619" i="15"/>
  <c r="AJ1626" i="14"/>
  <c r="A1626" i="14"/>
  <c r="V1625" i="14"/>
  <c r="Q1618" i="15"/>
  <c r="AJ1625" i="14"/>
  <c r="A1625" i="14"/>
  <c r="V1624" i="14"/>
  <c r="Q1617" i="15"/>
  <c r="AJ1624" i="14"/>
  <c r="A1624" i="14"/>
  <c r="V1623" i="14"/>
  <c r="Q1616" i="15"/>
  <c r="AJ1623" i="14"/>
  <c r="A1623" i="14"/>
  <c r="V1622" i="14"/>
  <c r="Q1615" i="15"/>
  <c r="AJ1622" i="14"/>
  <c r="A1622" i="14"/>
  <c r="V1621" i="14"/>
  <c r="Q1614" i="15"/>
  <c r="AJ1621" i="14"/>
  <c r="A1621" i="14"/>
  <c r="V1620" i="14"/>
  <c r="Q1613" i="15"/>
  <c r="AJ1620" i="14"/>
  <c r="A1620" i="14"/>
  <c r="V1619" i="14"/>
  <c r="Q1612" i="15"/>
  <c r="AJ1619" i="14"/>
  <c r="A1619" i="14"/>
  <c r="V1618" i="14"/>
  <c r="Q1611" i="15"/>
  <c r="AJ1618" i="14"/>
  <c r="A1618" i="14"/>
  <c r="V1617" i="14"/>
  <c r="Q1610" i="15"/>
  <c r="AJ1617" i="14"/>
  <c r="A1617" i="14"/>
  <c r="V1616" i="14"/>
  <c r="Q1609" i="15"/>
  <c r="A1616" i="14"/>
  <c r="V1615" i="14"/>
  <c r="Q1608" i="15"/>
  <c r="AJ1615" i="14"/>
  <c r="A1615" i="14"/>
  <c r="V1614" i="14"/>
  <c r="Q1607" i="15"/>
  <c r="AJ1614" i="14"/>
  <c r="A1614" i="14"/>
  <c r="V1613" i="14"/>
  <c r="Q1606" i="15"/>
  <c r="AJ1613" i="14"/>
  <c r="A1613" i="14"/>
  <c r="V1612" i="14"/>
  <c r="Q1605" i="15"/>
  <c r="AJ1612" i="14"/>
  <c r="A1612" i="14"/>
  <c r="V1611" i="14"/>
  <c r="Q1604" i="15"/>
  <c r="AJ1611" i="14"/>
  <c r="A1611" i="14"/>
  <c r="V1610" i="14"/>
  <c r="Q1603" i="15"/>
  <c r="AJ1610" i="14"/>
  <c r="A1610" i="14"/>
  <c r="V1609" i="14"/>
  <c r="Q1602" i="15"/>
  <c r="AJ1609" i="14"/>
  <c r="A1609" i="14"/>
  <c r="V1608" i="14"/>
  <c r="Q1601" i="15"/>
  <c r="AJ1608" i="14"/>
  <c r="A1608" i="14"/>
  <c r="V1607" i="14"/>
  <c r="Q1600" i="15"/>
  <c r="AJ1607" i="14"/>
  <c r="A1607" i="14"/>
  <c r="V1606" i="14"/>
  <c r="Q1599" i="15"/>
  <c r="AJ1606" i="14"/>
  <c r="A1606" i="14"/>
  <c r="V1605" i="14"/>
  <c r="Q1598" i="15"/>
  <c r="AJ1605" i="14"/>
  <c r="A1605" i="14"/>
  <c r="V1604" i="14"/>
  <c r="Q1597" i="15"/>
  <c r="AJ1604" i="14"/>
  <c r="A1604" i="14"/>
  <c r="V1603" i="14"/>
  <c r="Q1596" i="15"/>
  <c r="AJ1603" i="14"/>
  <c r="A1603" i="14"/>
  <c r="V1602" i="14"/>
  <c r="Q1595" i="15"/>
  <c r="AJ1602" i="14"/>
  <c r="A1602" i="14"/>
  <c r="V1601" i="14"/>
  <c r="Q1594" i="15"/>
  <c r="AJ1601" i="14"/>
  <c r="A1601" i="14"/>
  <c r="V1600" i="14"/>
  <c r="Q1593" i="15"/>
  <c r="AJ1600" i="14"/>
  <c r="A1600" i="14"/>
  <c r="V1599" i="14"/>
  <c r="Q1592" i="15"/>
  <c r="AJ1599" i="14"/>
  <c r="A1599" i="14"/>
  <c r="V1598" i="14"/>
  <c r="Q1591" i="15"/>
  <c r="AJ1598" i="14"/>
  <c r="A1598" i="14"/>
  <c r="V1597" i="14"/>
  <c r="Q1590" i="15"/>
  <c r="AJ1597" i="14"/>
  <c r="A1597" i="14"/>
  <c r="V1596" i="14"/>
  <c r="Q1589" i="15"/>
  <c r="A1596" i="14"/>
  <c r="V1595" i="14"/>
  <c r="Q1588" i="15"/>
  <c r="A1595" i="14"/>
  <c r="V1594" i="14"/>
  <c r="Q1587" i="15"/>
  <c r="A1594" i="14"/>
  <c r="V1593" i="14"/>
  <c r="Q1586" i="15"/>
  <c r="A1593" i="14"/>
  <c r="V1592" i="14"/>
  <c r="Q1585" i="15"/>
  <c r="A1592" i="14"/>
  <c r="V1591" i="14"/>
  <c r="Q1584" i="15"/>
  <c r="A1591" i="14"/>
  <c r="V1590" i="14"/>
  <c r="Q1583" i="15"/>
  <c r="A1590" i="14"/>
  <c r="V1589" i="14"/>
  <c r="Q1582" i="15"/>
  <c r="A1589" i="14"/>
  <c r="V1588" i="14"/>
  <c r="Q1581" i="15"/>
  <c r="A1588" i="14"/>
  <c r="V1587" i="14"/>
  <c r="Q1580" i="15"/>
  <c r="A1587" i="14"/>
  <c r="V1586" i="14"/>
  <c r="Q1579" i="15"/>
  <c r="A1586" i="14"/>
  <c r="V1585" i="14"/>
  <c r="Q1578" i="15"/>
  <c r="A1585" i="14"/>
  <c r="V1584" i="14"/>
  <c r="Q1577" i="15"/>
  <c r="A1584" i="14"/>
  <c r="V1583" i="14"/>
  <c r="Q1576" i="15"/>
  <c r="A1583" i="14"/>
  <c r="V1582" i="14"/>
  <c r="Q1575" i="15"/>
  <c r="A1582" i="14"/>
  <c r="V1581" i="14"/>
  <c r="Q1574" i="15"/>
  <c r="A1581" i="14"/>
  <c r="V1580" i="14"/>
  <c r="Q1573" i="15"/>
  <c r="A1580" i="14"/>
  <c r="V1579" i="14"/>
  <c r="Q1572" i="15"/>
  <c r="A1579" i="14"/>
  <c r="V1578" i="14"/>
  <c r="Q1571" i="15"/>
  <c r="A1578" i="14"/>
  <c r="V1577" i="14"/>
  <c r="Q1570" i="15"/>
  <c r="A1577" i="14"/>
  <c r="V1576" i="14"/>
  <c r="Q1569" i="15"/>
  <c r="A1576" i="14"/>
  <c r="V1575" i="14"/>
  <c r="Q1568" i="15"/>
  <c r="AJ1575" i="14"/>
  <c r="A1575" i="14"/>
  <c r="V1574" i="14"/>
  <c r="Q1567" i="15"/>
  <c r="AJ1574" i="14"/>
  <c r="A1574" i="14"/>
  <c r="V1573" i="14"/>
  <c r="Q1566" i="15"/>
  <c r="AJ1573" i="14"/>
  <c r="A1573" i="14"/>
  <c r="V1572" i="14"/>
  <c r="Q1565" i="15"/>
  <c r="AJ1572" i="14"/>
  <c r="A1572" i="14"/>
  <c r="V1571" i="14"/>
  <c r="Q1564" i="15"/>
  <c r="AJ1571" i="14"/>
  <c r="A1571" i="14"/>
  <c r="V1570" i="14"/>
  <c r="Q1563" i="15"/>
  <c r="AJ1570" i="14"/>
  <c r="A1570" i="14"/>
  <c r="V1569" i="14"/>
  <c r="Q1562" i="15"/>
  <c r="AJ1569" i="14"/>
  <c r="A1569" i="14"/>
  <c r="V1568" i="14"/>
  <c r="Q1561" i="15"/>
  <c r="AJ1568" i="14"/>
  <c r="A1568" i="14"/>
  <c r="V1567" i="14"/>
  <c r="Q1560" i="15"/>
  <c r="AJ1567" i="14"/>
  <c r="A1567" i="14"/>
  <c r="V1566" i="14"/>
  <c r="Q1559" i="15"/>
  <c r="AJ1566" i="14"/>
  <c r="A1566" i="14"/>
  <c r="V1565" i="14"/>
  <c r="Q1558" i="15"/>
  <c r="AJ1565" i="14"/>
  <c r="A1565" i="14"/>
  <c r="V1564" i="14"/>
  <c r="Q1557" i="15"/>
  <c r="AJ1564" i="14"/>
  <c r="A1564" i="14"/>
  <c r="V1563" i="14"/>
  <c r="Q1556" i="15"/>
  <c r="AJ1563" i="14"/>
  <c r="A1563" i="14"/>
  <c r="V1562" i="14"/>
  <c r="Q1555" i="15"/>
  <c r="AJ1562" i="14"/>
  <c r="A1562" i="14"/>
  <c r="V1561" i="14"/>
  <c r="Q1554" i="15"/>
  <c r="AJ1561" i="14"/>
  <c r="A1561" i="14"/>
  <c r="V1560" i="14"/>
  <c r="Q1553" i="15"/>
  <c r="AJ1560" i="14"/>
  <c r="A1560" i="14"/>
  <c r="V1559" i="14"/>
  <c r="Q1552" i="15"/>
  <c r="AJ1559" i="14"/>
  <c r="A1559" i="14"/>
  <c r="V1558" i="14"/>
  <c r="Q1551" i="15"/>
  <c r="AJ1558" i="14"/>
  <c r="A1558" i="14"/>
  <c r="V1557" i="14"/>
  <c r="Q1550" i="15"/>
  <c r="AJ1557" i="14"/>
  <c r="A1557" i="14"/>
  <c r="V1556" i="14"/>
  <c r="Q1549" i="15"/>
  <c r="AJ1556" i="14"/>
  <c r="A1556" i="14"/>
  <c r="V1555" i="14"/>
  <c r="Q1548" i="15"/>
  <c r="AJ1555" i="14"/>
  <c r="A1555" i="14"/>
  <c r="V1554" i="14"/>
  <c r="Q1547" i="15"/>
  <c r="AJ1554" i="14"/>
  <c r="A1554" i="14"/>
  <c r="V1553" i="14"/>
  <c r="Q1546" i="15"/>
  <c r="AJ1553" i="14"/>
  <c r="A1553" i="14"/>
  <c r="V1552" i="14"/>
  <c r="Q1545" i="15"/>
  <c r="A1552" i="14"/>
  <c r="V1551" i="14"/>
  <c r="Q1544" i="15"/>
  <c r="A1551" i="14"/>
  <c r="V1550" i="14"/>
  <c r="Q1543" i="15"/>
  <c r="A1550" i="14"/>
  <c r="V1549" i="14"/>
  <c r="Q1542" i="15"/>
  <c r="A1549" i="14"/>
  <c r="V1548" i="14"/>
  <c r="Q1541" i="15"/>
  <c r="A1548" i="14"/>
  <c r="V1547" i="14"/>
  <c r="Q1540" i="15"/>
  <c r="A1547" i="14"/>
  <c r="V1546" i="14"/>
  <c r="Q1539" i="15"/>
  <c r="A1546" i="14"/>
  <c r="V1545" i="14"/>
  <c r="Q1538" i="15"/>
  <c r="A1545" i="14"/>
  <c r="V1544" i="14"/>
  <c r="Q1537" i="15"/>
  <c r="A1544" i="14"/>
  <c r="V1543" i="14"/>
  <c r="Q1536" i="15"/>
  <c r="A1543" i="14"/>
  <c r="V1542" i="14"/>
  <c r="Q1535" i="15"/>
  <c r="A1542" i="14"/>
  <c r="V1541" i="14"/>
  <c r="Q1534" i="15"/>
  <c r="A1541" i="14"/>
  <c r="V1540" i="14"/>
  <c r="Q1533" i="15"/>
  <c r="A1540" i="14"/>
  <c r="V1539" i="14"/>
  <c r="Q1532" i="15"/>
  <c r="A1539" i="14"/>
  <c r="V1538" i="14"/>
  <c r="Q1531" i="15"/>
  <c r="A1538" i="14"/>
  <c r="V1537" i="14"/>
  <c r="Q1530" i="15"/>
  <c r="A1537" i="14"/>
  <c r="V1536" i="14"/>
  <c r="Q1529" i="15"/>
  <c r="A1536" i="14"/>
  <c r="V1535" i="14"/>
  <c r="Q1528" i="15"/>
  <c r="A1535" i="14"/>
  <c r="V1534" i="14"/>
  <c r="Q1527" i="15"/>
  <c r="A1534" i="14"/>
  <c r="V1533" i="14"/>
  <c r="Q1526" i="15"/>
  <c r="A1533" i="14"/>
  <c r="V1532" i="14"/>
  <c r="Q1525" i="15"/>
  <c r="A1532" i="14"/>
  <c r="V1531" i="14"/>
  <c r="Q1524" i="15"/>
  <c r="A1531" i="14"/>
  <c r="V1530" i="14"/>
  <c r="Q1523" i="15"/>
  <c r="A1530" i="14"/>
  <c r="V1529" i="14"/>
  <c r="Q1522" i="15"/>
  <c r="A1529" i="14"/>
  <c r="V1528" i="14"/>
  <c r="Q1521" i="15"/>
  <c r="A1528" i="14"/>
  <c r="V1527" i="14"/>
  <c r="Q1520" i="15"/>
  <c r="A1527" i="14"/>
  <c r="V1526" i="14"/>
  <c r="Q1519" i="15"/>
  <c r="A1526" i="14"/>
  <c r="V1525" i="14"/>
  <c r="Q1518" i="15"/>
  <c r="A1525" i="14"/>
  <c r="V1524" i="14"/>
  <c r="Q1517" i="15"/>
  <c r="A1524" i="14"/>
  <c r="V1523" i="14"/>
  <c r="Q1516" i="15"/>
  <c r="A1523" i="14"/>
  <c r="V1522" i="14"/>
  <c r="Q1515" i="15"/>
  <c r="A1522" i="14"/>
  <c r="V1521" i="14"/>
  <c r="Q1514" i="15"/>
  <c r="A1521" i="14"/>
  <c r="V1520" i="14"/>
  <c r="Q1513" i="15"/>
  <c r="A1520" i="14"/>
  <c r="V1519" i="14"/>
  <c r="Q1512" i="15"/>
  <c r="A1519" i="14"/>
  <c r="V1518" i="14"/>
  <c r="Q1511" i="15"/>
  <c r="A1518" i="14"/>
  <c r="V1517" i="14"/>
  <c r="Q1510" i="15"/>
  <c r="A1517" i="14"/>
  <c r="V1516" i="14"/>
  <c r="Q1509" i="15"/>
  <c r="A1516" i="14"/>
  <c r="V1515" i="14"/>
  <c r="Q1508" i="15"/>
  <c r="A1515" i="14"/>
  <c r="V1514" i="14"/>
  <c r="Q1507" i="15"/>
  <c r="A1514" i="14"/>
  <c r="V1513" i="14"/>
  <c r="Q1506" i="15"/>
  <c r="A1513" i="14"/>
  <c r="V1512" i="14"/>
  <c r="Q1505" i="15"/>
  <c r="A1512" i="14"/>
  <c r="V1511" i="14"/>
  <c r="Q1504" i="15"/>
  <c r="A1511" i="14"/>
  <c r="V1510" i="14"/>
  <c r="Q1503" i="15"/>
  <c r="A1510" i="14"/>
  <c r="V1509" i="14"/>
  <c r="Q1502" i="15"/>
  <c r="A1509" i="14"/>
  <c r="V1508" i="14"/>
  <c r="Q1501" i="15"/>
  <c r="A1508" i="14"/>
  <c r="V1507" i="14"/>
  <c r="Q1500" i="15"/>
  <c r="A1507" i="14"/>
  <c r="V1506" i="14"/>
  <c r="Q1499" i="15"/>
  <c r="A1506" i="14"/>
  <c r="V1505" i="14"/>
  <c r="Q1498" i="15"/>
  <c r="A1505" i="14"/>
  <c r="V1504" i="14"/>
  <c r="Q1497" i="15"/>
  <c r="A1504" i="14"/>
  <c r="V1503" i="14"/>
  <c r="Q1496" i="15"/>
  <c r="A1503" i="14"/>
  <c r="V1502" i="14"/>
  <c r="Q1495" i="15"/>
  <c r="A1502" i="14"/>
  <c r="V1501" i="14"/>
  <c r="Q1494" i="15"/>
  <c r="A1501" i="14"/>
  <c r="V1500" i="14"/>
  <c r="Q1493" i="15"/>
  <c r="AJ1500" i="14"/>
  <c r="A1500" i="14"/>
  <c r="V1499" i="14"/>
  <c r="Q1492" i="15"/>
  <c r="AJ1499" i="14"/>
  <c r="A1499" i="14"/>
  <c r="V1498" i="14"/>
  <c r="Q1491" i="15"/>
  <c r="AJ1498" i="14"/>
  <c r="A1498" i="14"/>
  <c r="V1497" i="14"/>
  <c r="Q1490" i="15"/>
  <c r="AJ1497" i="14"/>
  <c r="A1497" i="14"/>
  <c r="V1496" i="14"/>
  <c r="Q1489" i="15"/>
  <c r="AJ1496" i="14"/>
  <c r="A1496" i="14"/>
  <c r="V1495" i="14"/>
  <c r="Q1488" i="15"/>
  <c r="AJ1495" i="14"/>
  <c r="A1495" i="14"/>
  <c r="V1494" i="14"/>
  <c r="Q1487" i="15"/>
  <c r="AJ1494" i="14"/>
  <c r="A1494" i="14"/>
  <c r="V1493" i="14"/>
  <c r="Q1486" i="15"/>
  <c r="AJ1493" i="14"/>
  <c r="A1493" i="14"/>
  <c r="V1492" i="14"/>
  <c r="Q1485" i="15"/>
  <c r="AJ1492" i="14"/>
  <c r="A1492" i="14"/>
  <c r="V1491" i="14"/>
  <c r="Q1484" i="15"/>
  <c r="AJ1491" i="14"/>
  <c r="A1491" i="14"/>
  <c r="V1490" i="14"/>
  <c r="Q1483" i="15"/>
  <c r="AJ1490" i="14"/>
  <c r="A1490" i="14"/>
  <c r="V1489" i="14"/>
  <c r="Q1482" i="15"/>
  <c r="AJ1489" i="14"/>
  <c r="A1489" i="14"/>
  <c r="V1488" i="14"/>
  <c r="Q1481" i="15"/>
  <c r="AJ1488" i="14"/>
  <c r="A1488" i="14"/>
  <c r="V1487" i="14"/>
  <c r="Q1480" i="15"/>
  <c r="AJ1487" i="14"/>
  <c r="A1487" i="14"/>
  <c r="V1486" i="14"/>
  <c r="Q1479" i="15"/>
  <c r="AJ1486" i="14"/>
  <c r="A1486" i="14"/>
  <c r="V1485" i="14"/>
  <c r="Q1478" i="15"/>
  <c r="AJ1485" i="14"/>
  <c r="A1485" i="14"/>
  <c r="V1484" i="14"/>
  <c r="Q1477" i="15"/>
  <c r="AJ1484" i="14"/>
  <c r="A1484" i="14"/>
  <c r="V1483" i="14"/>
  <c r="Q1476" i="15"/>
  <c r="AJ1483" i="14"/>
  <c r="A1483" i="14"/>
  <c r="V1482" i="14"/>
  <c r="Q1475" i="15"/>
  <c r="AJ1482" i="14"/>
  <c r="A1482" i="14"/>
  <c r="V1481" i="14"/>
  <c r="Q1474" i="15"/>
  <c r="A1481" i="14"/>
  <c r="V1480" i="14"/>
  <c r="Q1473" i="15"/>
  <c r="AJ1480" i="14"/>
  <c r="A1480" i="14"/>
  <c r="V1479" i="14"/>
  <c r="Q1472" i="15"/>
  <c r="AJ1479" i="14"/>
  <c r="A1479" i="14"/>
  <c r="V1478" i="14"/>
  <c r="Q1471" i="15"/>
  <c r="AJ1478" i="14"/>
  <c r="A1478" i="14"/>
  <c r="V1477" i="14"/>
  <c r="Q1470" i="15"/>
  <c r="AJ1477" i="14"/>
  <c r="A1477" i="14"/>
  <c r="V1476" i="14"/>
  <c r="Q1469" i="15"/>
  <c r="AJ1476" i="14"/>
  <c r="A1476" i="14"/>
  <c r="V1475" i="14"/>
  <c r="Q1468" i="15"/>
  <c r="AJ1475" i="14"/>
  <c r="A1475" i="14"/>
  <c r="V1474" i="14"/>
  <c r="Q1467" i="15"/>
  <c r="AJ1474" i="14"/>
  <c r="A1474" i="14"/>
  <c r="V1473" i="14"/>
  <c r="Q1466" i="15"/>
  <c r="AJ1473" i="14"/>
  <c r="A1473" i="14"/>
  <c r="V1472" i="14"/>
  <c r="Q1465" i="15"/>
  <c r="AJ1472" i="14"/>
  <c r="A1472" i="14"/>
  <c r="V1471" i="14"/>
  <c r="Q1464" i="15"/>
  <c r="AJ1471" i="14"/>
  <c r="A1471" i="14"/>
  <c r="V1470" i="14"/>
  <c r="Q1463" i="15"/>
  <c r="AJ1470" i="14"/>
  <c r="A1470" i="14"/>
  <c r="V1469" i="14"/>
  <c r="Q1462" i="15"/>
  <c r="AJ1469" i="14"/>
  <c r="A1469" i="14"/>
  <c r="V1468" i="14"/>
  <c r="Q1461" i="15"/>
  <c r="AJ1468" i="14"/>
  <c r="A1468" i="14"/>
  <c r="V1467" i="14"/>
  <c r="Q1460" i="15"/>
  <c r="AJ1467" i="14"/>
  <c r="A1467" i="14"/>
  <c r="V1466" i="14"/>
  <c r="Q1459" i="15"/>
  <c r="AJ1466" i="14"/>
  <c r="A1466" i="14"/>
  <c r="V1465" i="14"/>
  <c r="Q1458" i="15"/>
  <c r="AJ1465" i="14"/>
  <c r="A1465" i="14"/>
  <c r="V1464" i="14"/>
  <c r="Q1457" i="15"/>
  <c r="AJ1464" i="14"/>
  <c r="A1464" i="14"/>
  <c r="V1463" i="14"/>
  <c r="Q1456" i="15"/>
  <c r="AJ1463" i="14"/>
  <c r="A1463" i="14"/>
  <c r="V1462" i="14"/>
  <c r="Q1455" i="15"/>
  <c r="AJ1462" i="14"/>
  <c r="A1462" i="14"/>
  <c r="V1461" i="14"/>
  <c r="Q1454" i="15"/>
  <c r="A1461" i="14"/>
  <c r="V1460" i="14"/>
  <c r="Q1453" i="15"/>
  <c r="AJ1460" i="14"/>
  <c r="A1460" i="14"/>
  <c r="V1459" i="14"/>
  <c r="Q1452" i="15"/>
  <c r="AJ1459" i="14"/>
  <c r="A1459" i="14"/>
  <c r="V1458" i="14"/>
  <c r="Q1451" i="15"/>
  <c r="AJ1458" i="14"/>
  <c r="A1458" i="14"/>
  <c r="V1457" i="14"/>
  <c r="Q1450" i="15"/>
  <c r="AJ1457" i="14"/>
  <c r="A1457" i="14"/>
  <c r="V1456" i="14"/>
  <c r="Q1449" i="15"/>
  <c r="AJ1456" i="14"/>
  <c r="A1456" i="14"/>
  <c r="V1455" i="14"/>
  <c r="Q1448" i="15"/>
  <c r="AJ1455" i="14"/>
  <c r="A1455" i="14"/>
  <c r="V1454" i="14"/>
  <c r="Q1447" i="15"/>
  <c r="AJ1454" i="14"/>
  <c r="A1454" i="14"/>
  <c r="V1453" i="14"/>
  <c r="Q1446" i="15"/>
  <c r="AJ1453" i="14"/>
  <c r="A1453" i="14"/>
  <c r="V1452" i="14"/>
  <c r="Q1445" i="15"/>
  <c r="AJ1452" i="14"/>
  <c r="A1452" i="14"/>
  <c r="V1451" i="14"/>
  <c r="Q1444" i="15"/>
  <c r="AJ1451" i="14"/>
  <c r="A1451" i="14"/>
  <c r="V1450" i="14"/>
  <c r="Q1443" i="15"/>
  <c r="AJ1450" i="14"/>
  <c r="A1450" i="14"/>
  <c r="V1449" i="14"/>
  <c r="Q1442" i="15"/>
  <c r="AJ1449" i="14"/>
  <c r="A1449" i="14"/>
  <c r="V1448" i="14"/>
  <c r="Q1441" i="15"/>
  <c r="AJ1448" i="14"/>
  <c r="A1448" i="14"/>
  <c r="V1447" i="14"/>
  <c r="Q1440" i="15"/>
  <c r="AJ1447" i="14"/>
  <c r="A1447" i="14"/>
  <c r="V1446" i="14"/>
  <c r="Q1439" i="15"/>
  <c r="AJ1446" i="14"/>
  <c r="A1446" i="14"/>
  <c r="V1445" i="14"/>
  <c r="Q1438" i="15"/>
  <c r="AJ1445" i="14"/>
  <c r="A1445" i="14"/>
  <c r="V1444" i="14"/>
  <c r="Q1437" i="15"/>
  <c r="AJ1444" i="14"/>
  <c r="A1444" i="14"/>
  <c r="V1443" i="14"/>
  <c r="Q1436" i="15"/>
  <c r="AJ1443" i="14"/>
  <c r="A1443" i="14"/>
  <c r="V1442" i="14"/>
  <c r="Q1435" i="15"/>
  <c r="AJ1442" i="14"/>
  <c r="A1442" i="14"/>
  <c r="V1441" i="14"/>
  <c r="Q1434" i="15"/>
  <c r="A1441" i="14"/>
  <c r="V1440" i="14"/>
  <c r="Q1433" i="15"/>
  <c r="AJ1440" i="14"/>
  <c r="A1440" i="14"/>
  <c r="V1439" i="14"/>
  <c r="Q1432" i="15"/>
  <c r="AJ1439" i="14"/>
  <c r="A1439" i="14"/>
  <c r="V1438" i="14"/>
  <c r="Q1431" i="15"/>
  <c r="AJ1438" i="14"/>
  <c r="A1438" i="14"/>
  <c r="V1437" i="14"/>
  <c r="Q1430" i="15"/>
  <c r="AJ1437" i="14"/>
  <c r="A1437" i="14"/>
  <c r="V1436" i="14"/>
  <c r="Q1429" i="15"/>
  <c r="AJ1436" i="14"/>
  <c r="A1436" i="14"/>
  <c r="V1435" i="14"/>
  <c r="Q1428" i="15"/>
  <c r="AJ1435" i="14"/>
  <c r="A1435" i="14"/>
  <c r="V1434" i="14"/>
  <c r="Q1427" i="15"/>
  <c r="AJ1434" i="14"/>
  <c r="A1434" i="14"/>
  <c r="V1433" i="14"/>
  <c r="Q1426" i="15"/>
  <c r="AJ1433" i="14"/>
  <c r="A1433" i="14"/>
  <c r="V1432" i="14"/>
  <c r="Q1425" i="15"/>
  <c r="AJ1432" i="14"/>
  <c r="A1432" i="14"/>
  <c r="V1431" i="14"/>
  <c r="Q1424" i="15"/>
  <c r="AJ1431" i="14"/>
  <c r="A1431" i="14"/>
  <c r="V1430" i="14"/>
  <c r="Q1423" i="15"/>
  <c r="AJ1430" i="14"/>
  <c r="A1430" i="14"/>
  <c r="V1429" i="14"/>
  <c r="Q1422" i="15"/>
  <c r="AJ1429" i="14"/>
  <c r="A1429" i="14"/>
  <c r="V1428" i="14"/>
  <c r="Q1421" i="15"/>
  <c r="AJ1428" i="14"/>
  <c r="A1428" i="14"/>
  <c r="V1427" i="14"/>
  <c r="Q1420" i="15"/>
  <c r="AJ1427" i="14"/>
  <c r="A1427" i="14"/>
  <c r="V1426" i="14"/>
  <c r="Q1419" i="15"/>
  <c r="AJ1426" i="14"/>
  <c r="A1426" i="14"/>
  <c r="V1425" i="14"/>
  <c r="Q1418" i="15"/>
  <c r="AJ1425" i="14"/>
  <c r="A1425" i="14"/>
  <c r="V1424" i="14"/>
  <c r="Q1417" i="15"/>
  <c r="AJ1424" i="14"/>
  <c r="A1424" i="14"/>
  <c r="V1423" i="14"/>
  <c r="Q1416" i="15"/>
  <c r="AJ1423" i="14"/>
  <c r="A1423" i="14"/>
  <c r="V1422" i="14"/>
  <c r="Q1415" i="15"/>
  <c r="AJ1422" i="14"/>
  <c r="A1422" i="14"/>
  <c r="V1421" i="14"/>
  <c r="Q1414" i="15"/>
  <c r="AJ1421" i="14"/>
  <c r="A1421" i="14"/>
  <c r="V1420" i="14"/>
  <c r="Q1413" i="15"/>
  <c r="AJ1420" i="14"/>
  <c r="A1420" i="14"/>
  <c r="V1419" i="14"/>
  <c r="Q1412" i="15"/>
  <c r="AJ1419" i="14"/>
  <c r="A1419" i="14"/>
  <c r="V1418" i="14"/>
  <c r="Q1411" i="15"/>
  <c r="AJ1418" i="14"/>
  <c r="A1418" i="14"/>
  <c r="V1417" i="14"/>
  <c r="Q1410" i="15"/>
  <c r="A1417" i="14"/>
  <c r="V1416" i="14"/>
  <c r="Q1409" i="15"/>
  <c r="AJ1416" i="14"/>
  <c r="A1416" i="14"/>
  <c r="V1415" i="14"/>
  <c r="Q1408" i="15"/>
  <c r="AJ1415" i="14"/>
  <c r="A1415" i="14"/>
  <c r="V1414" i="14"/>
  <c r="Q1407" i="15"/>
  <c r="AJ1414" i="14"/>
  <c r="A1414" i="14"/>
  <c r="V1413" i="14"/>
  <c r="Q1406" i="15"/>
  <c r="AJ1413" i="14"/>
  <c r="A1413" i="14"/>
  <c r="V1412" i="14"/>
  <c r="Q1405" i="15"/>
  <c r="A1412" i="14"/>
  <c r="V1411" i="14"/>
  <c r="Q1404" i="15"/>
  <c r="AJ1411" i="14"/>
  <c r="A1411" i="14"/>
  <c r="V1410" i="14"/>
  <c r="Q1403" i="15"/>
  <c r="AJ1410" i="14"/>
  <c r="A1410" i="14"/>
  <c r="V1409" i="14"/>
  <c r="Q1402" i="15"/>
  <c r="AJ1409" i="14"/>
  <c r="A1409" i="14"/>
  <c r="V1408" i="14"/>
  <c r="Q1401" i="15"/>
  <c r="AJ1408" i="14"/>
  <c r="A1408" i="14"/>
  <c r="V1407" i="14"/>
  <c r="Q1400" i="15"/>
  <c r="A1407" i="14"/>
  <c r="V1406" i="14"/>
  <c r="Q1399" i="15"/>
  <c r="AJ1406" i="14"/>
  <c r="A1406" i="14"/>
  <c r="V1405" i="14"/>
  <c r="Q1398" i="15"/>
  <c r="AJ1405" i="14"/>
  <c r="A1405" i="14"/>
  <c r="V1404" i="14"/>
  <c r="Q1397" i="15"/>
  <c r="AJ1404" i="14"/>
  <c r="A1404" i="14"/>
  <c r="V1403" i="14"/>
  <c r="Q1396" i="15"/>
  <c r="AJ1403" i="14"/>
  <c r="A1403" i="14"/>
  <c r="V1402" i="14"/>
  <c r="Q1395" i="15"/>
  <c r="A1402" i="14"/>
  <c r="V1401" i="14"/>
  <c r="Q1394" i="15"/>
  <c r="A1401" i="14"/>
  <c r="V1400" i="14"/>
  <c r="Q1393" i="15"/>
  <c r="A1400" i="14"/>
  <c r="V1399" i="14"/>
  <c r="Q1392" i="15"/>
  <c r="A1399" i="14"/>
  <c r="V1398" i="14"/>
  <c r="Q1391" i="15"/>
  <c r="A1398" i="14"/>
  <c r="V1397" i="14"/>
  <c r="Q1390" i="15"/>
  <c r="A1397" i="14"/>
  <c r="V1396" i="14"/>
  <c r="Q1389" i="15"/>
  <c r="A1396" i="14"/>
  <c r="V1395" i="14"/>
  <c r="Q1388" i="15"/>
  <c r="A1395" i="14"/>
  <c r="V1394" i="14"/>
  <c r="Q1387" i="15"/>
  <c r="A1394" i="14"/>
  <c r="V1393" i="14"/>
  <c r="Q1386" i="15"/>
  <c r="A1393" i="14"/>
  <c r="V1392" i="14"/>
  <c r="Q1385" i="15"/>
  <c r="A1392" i="14"/>
  <c r="V1391" i="14"/>
  <c r="Q1384" i="15"/>
  <c r="A1391" i="14"/>
  <c r="V1390" i="14"/>
  <c r="Q1383" i="15"/>
  <c r="A1390" i="14"/>
  <c r="V1389" i="14"/>
  <c r="Q1382" i="15"/>
  <c r="A1389" i="14"/>
  <c r="V1388" i="14"/>
  <c r="Q1381" i="15"/>
  <c r="A1388" i="14"/>
  <c r="V1387" i="14"/>
  <c r="Q1380" i="15"/>
  <c r="A1387" i="14"/>
  <c r="V1386" i="14"/>
  <c r="Q1379" i="15"/>
  <c r="A1386" i="14"/>
  <c r="V1385" i="14"/>
  <c r="Q1378" i="15"/>
  <c r="AJ1385" i="14"/>
  <c r="A1385" i="14"/>
  <c r="V1384" i="14"/>
  <c r="Q1377" i="15"/>
  <c r="AJ1384" i="14"/>
  <c r="A1384" i="14"/>
  <c r="V1383" i="14"/>
  <c r="Q1376" i="15"/>
  <c r="AJ1383" i="14"/>
  <c r="A1383" i="14"/>
  <c r="V1382" i="14"/>
  <c r="Q1375" i="15"/>
  <c r="AJ1382" i="14"/>
  <c r="A1382" i="14"/>
  <c r="V1381" i="14"/>
  <c r="Q1374" i="15"/>
  <c r="AJ1381" i="14"/>
  <c r="A1381" i="14"/>
  <c r="V1380" i="14"/>
  <c r="Q1373" i="15"/>
  <c r="A1380" i="14"/>
  <c r="V1379" i="14"/>
  <c r="Q1372" i="15"/>
  <c r="A1379" i="14"/>
  <c r="V1378" i="14"/>
  <c r="A1378" i="14"/>
  <c r="V1377" i="14"/>
  <c r="AJ1377" i="14"/>
  <c r="A1377" i="14"/>
  <c r="V1376" i="14"/>
  <c r="AJ1376" i="14"/>
  <c r="A1376" i="14"/>
  <c r="V1375" i="14"/>
  <c r="A1375" i="14"/>
  <c r="V1374" i="14"/>
  <c r="A1374" i="14"/>
  <c r="V1373" i="14"/>
  <c r="Q1366" i="15"/>
  <c r="AC1373" i="14"/>
  <c r="AH1373" i="14" s="1"/>
  <c r="AJ1373" i="14" s="1"/>
  <c r="A1373" i="14"/>
  <c r="V1372" i="14"/>
  <c r="Q1365" i="15"/>
  <c r="AC1372" i="14"/>
  <c r="AH1372" i="14" s="1"/>
  <c r="AJ1372" i="14" s="1"/>
  <c r="A1372" i="14"/>
  <c r="V1371" i="14"/>
  <c r="Q1364" i="15"/>
  <c r="AJ1371" i="14"/>
  <c r="A1371" i="14"/>
  <c r="V1370" i="14"/>
  <c r="Q1363" i="15"/>
  <c r="AJ1370" i="14"/>
  <c r="A1370" i="14"/>
  <c r="V1369" i="14"/>
  <c r="Q1362" i="15"/>
  <c r="AJ1369" i="14"/>
  <c r="A1369" i="14"/>
  <c r="V1368" i="14"/>
  <c r="Q1361" i="15"/>
  <c r="A1368" i="14"/>
  <c r="V1367" i="14"/>
  <c r="Q1360" i="15"/>
  <c r="AJ1367" i="14"/>
  <c r="A1367" i="14"/>
  <c r="V1366" i="14"/>
  <c r="Q1359" i="15"/>
  <c r="AJ1366" i="14"/>
  <c r="A1366" i="14"/>
  <c r="V1365" i="14"/>
  <c r="Q1358" i="15"/>
  <c r="AJ1365" i="14"/>
  <c r="A1365" i="14"/>
  <c r="V1364" i="14"/>
  <c r="Q1357" i="15"/>
  <c r="A1364" i="14"/>
  <c r="V1363" i="14"/>
  <c r="Q1356" i="15"/>
  <c r="AJ1363" i="14"/>
  <c r="A1363" i="14"/>
  <c r="V1362" i="14"/>
  <c r="Q1355" i="15"/>
  <c r="AJ1362" i="14"/>
  <c r="A1362" i="14"/>
  <c r="V1361" i="14"/>
  <c r="Q1354" i="15"/>
  <c r="AJ1361" i="14"/>
  <c r="A1361" i="14"/>
  <c r="V1360" i="14"/>
  <c r="Q1353" i="15"/>
  <c r="A1360" i="14"/>
  <c r="V1359" i="14"/>
  <c r="Q1352" i="15"/>
  <c r="AJ1359" i="14"/>
  <c r="A1359" i="14"/>
  <c r="V1358" i="14"/>
  <c r="Q1351" i="15"/>
  <c r="AJ1358" i="14"/>
  <c r="A1358" i="14"/>
  <c r="V1357" i="14"/>
  <c r="Q1350" i="15"/>
  <c r="AJ1357" i="14"/>
  <c r="A1357" i="14"/>
  <c r="V1356" i="14"/>
  <c r="Q1349" i="15"/>
  <c r="A1356" i="14"/>
  <c r="V1355" i="14"/>
  <c r="Q1348" i="15"/>
  <c r="A1355" i="14"/>
  <c r="V1354" i="14"/>
  <c r="Q1347" i="15"/>
  <c r="A1354" i="14"/>
  <c r="V1353" i="14"/>
  <c r="Q1346" i="15"/>
  <c r="A1353" i="14"/>
  <c r="V1352" i="14"/>
  <c r="Q1345" i="15"/>
  <c r="A1352" i="14"/>
  <c r="V1351" i="14"/>
  <c r="Q1344" i="15"/>
  <c r="A1351" i="14"/>
  <c r="V1350" i="14"/>
  <c r="Q1343" i="15"/>
  <c r="A1350" i="14"/>
  <c r="V1349" i="14"/>
  <c r="Q1342" i="15"/>
  <c r="A1349" i="14"/>
  <c r="V1348" i="14"/>
  <c r="Q1341" i="15"/>
  <c r="A1348" i="14"/>
  <c r="V1347" i="14"/>
  <c r="Q1340" i="15"/>
  <c r="AJ1347" i="14"/>
  <c r="A1347" i="14"/>
  <c r="V1346" i="14"/>
  <c r="Q1339" i="15"/>
  <c r="AJ1346" i="14"/>
  <c r="A1346" i="14"/>
  <c r="V1345" i="14"/>
  <c r="Q1338" i="15"/>
  <c r="AJ1345" i="14"/>
  <c r="A1345" i="14"/>
  <c r="V1344" i="14"/>
  <c r="Q1337" i="15"/>
  <c r="A1344" i="14"/>
  <c r="V1343" i="14"/>
  <c r="Q1336" i="15"/>
  <c r="AJ1343" i="14"/>
  <c r="A1343" i="14"/>
  <c r="V1342" i="14"/>
  <c r="Q1335" i="15"/>
  <c r="AJ1342" i="14"/>
  <c r="A1342" i="14"/>
  <c r="V1341" i="14"/>
  <c r="Q1334" i="15"/>
  <c r="AJ1341" i="14"/>
  <c r="A1341" i="14"/>
  <c r="V1340" i="14"/>
  <c r="Q1333" i="15"/>
  <c r="A1340" i="14"/>
  <c r="V1339" i="14"/>
  <c r="Q1332" i="15"/>
  <c r="AJ1339" i="14"/>
  <c r="A1339" i="14"/>
  <c r="V1338" i="14"/>
  <c r="Q1331" i="15"/>
  <c r="AJ1338" i="14"/>
  <c r="A1338" i="14"/>
  <c r="V1337" i="14"/>
  <c r="Q1330" i="15"/>
  <c r="AJ1337" i="14"/>
  <c r="A1337" i="14"/>
  <c r="V1336" i="14"/>
  <c r="Q1329" i="15"/>
  <c r="A1336" i="14"/>
  <c r="V1335" i="14"/>
  <c r="Q1328" i="15"/>
  <c r="A1335" i="14"/>
  <c r="V1334" i="14"/>
  <c r="Q1327" i="15"/>
  <c r="A1334" i="14"/>
  <c r="V1333" i="14"/>
  <c r="Q1326" i="15"/>
  <c r="A1333" i="14"/>
  <c r="V1332" i="14"/>
  <c r="Q1325" i="15"/>
  <c r="A1332" i="14"/>
  <c r="V1331" i="14"/>
  <c r="Q1324" i="15"/>
  <c r="AC1331" i="14"/>
  <c r="AH1331" i="14" s="1"/>
  <c r="AJ1331" i="14" s="1"/>
  <c r="A1331" i="14"/>
  <c r="V1330" i="14"/>
  <c r="Q1323" i="15"/>
  <c r="AC1330" i="14"/>
  <c r="AH1330" i="14" s="1"/>
  <c r="AJ1330" i="14" s="1"/>
  <c r="A1330" i="14"/>
  <c r="V1329" i="14"/>
  <c r="Q1322" i="15"/>
  <c r="A1329" i="14"/>
  <c r="V1328" i="14"/>
  <c r="Q1321" i="15"/>
  <c r="AC1328" i="14"/>
  <c r="AH1328" i="14" s="1"/>
  <c r="AJ1328" i="14" s="1"/>
  <c r="A1328" i="14"/>
  <c r="V1327" i="14"/>
  <c r="Q1320" i="15"/>
  <c r="AC1327" i="14"/>
  <c r="AH1327" i="14" s="1"/>
  <c r="AJ1327" i="14" s="1"/>
  <c r="A1327" i="14"/>
  <c r="V1326" i="14"/>
  <c r="A1326" i="14"/>
  <c r="V1325" i="14"/>
  <c r="U1324" i="14"/>
  <c r="G1324" i="14"/>
  <c r="A1325" i="14"/>
  <c r="V1324" i="14"/>
  <c r="A1324" i="14"/>
  <c r="V1323" i="14"/>
  <c r="A1323" i="14"/>
  <c r="V1322" i="14"/>
  <c r="Q1315" i="15"/>
  <c r="AC1322" i="14"/>
  <c r="AH1322" i="14" s="1"/>
  <c r="AJ1322" i="14" s="1"/>
  <c r="A1322" i="14"/>
  <c r="V1321" i="14"/>
  <c r="AC1321" i="14"/>
  <c r="AH1321" i="14" s="1"/>
  <c r="AJ1321" i="14" s="1"/>
  <c r="A1321" i="14"/>
  <c r="V1320" i="14"/>
  <c r="Q1313" i="15"/>
  <c r="AC1320" i="14"/>
  <c r="AH1320" i="14" s="1"/>
  <c r="AJ1320" i="14" s="1"/>
  <c r="A1320" i="14"/>
  <c r="V1319" i="14"/>
  <c r="Q1312" i="15"/>
  <c r="AC1319" i="14"/>
  <c r="AH1319" i="14" s="1"/>
  <c r="AJ1319" i="14" s="1"/>
  <c r="A1319" i="14"/>
  <c r="V1318" i="14"/>
  <c r="Q1311" i="15"/>
  <c r="AC1318" i="14"/>
  <c r="AH1318" i="14" s="1"/>
  <c r="AJ1318" i="14" s="1"/>
  <c r="A1318" i="14"/>
  <c r="V1317" i="14"/>
  <c r="Q1310" i="15"/>
  <c r="AC1317" i="14"/>
  <c r="AH1317" i="14" s="1"/>
  <c r="AJ1317" i="14" s="1"/>
  <c r="A1317" i="14"/>
  <c r="V1316" i="14"/>
  <c r="Q1309" i="15"/>
  <c r="AJ1316" i="14"/>
  <c r="A1316" i="14"/>
  <c r="V1315" i="14"/>
  <c r="Q1308" i="15"/>
  <c r="A1315" i="14"/>
  <c r="V1314" i="14"/>
  <c r="Q1307" i="15"/>
  <c r="A1314" i="14"/>
  <c r="V1313" i="14"/>
  <c r="Q1306" i="15"/>
  <c r="A1313" i="14"/>
  <c r="V1312" i="14"/>
  <c r="Q1305" i="15"/>
  <c r="A1312" i="14"/>
  <c r="V1311" i="14"/>
  <c r="Q1304" i="15"/>
  <c r="A1311" i="14"/>
  <c r="V1310" i="14"/>
  <c r="Q1303" i="15"/>
  <c r="A1310" i="14"/>
  <c r="V1309" i="14"/>
  <c r="Q1302" i="15"/>
  <c r="A1309" i="14"/>
  <c r="V1308" i="14"/>
  <c r="Q1301" i="15"/>
  <c r="A1308" i="14"/>
  <c r="V1307" i="14"/>
  <c r="A1307" i="14"/>
  <c r="V1306" i="14"/>
  <c r="A1306" i="14"/>
  <c r="V1305" i="14"/>
  <c r="Q1298" i="15"/>
  <c r="A1305" i="14"/>
  <c r="V1304" i="14"/>
  <c r="Q1297" i="15"/>
  <c r="A1304" i="14"/>
  <c r="V1303" i="14"/>
  <c r="Q1296" i="15"/>
  <c r="A1303" i="14"/>
  <c r="V1302" i="14"/>
  <c r="Q1295" i="15"/>
  <c r="A1302" i="14"/>
  <c r="V1301" i="14"/>
  <c r="Q1294" i="15"/>
  <c r="A1301" i="14"/>
  <c r="V1300" i="14"/>
  <c r="Q1293" i="15"/>
  <c r="A1300" i="14"/>
  <c r="V1299" i="14"/>
  <c r="Q1292" i="15"/>
  <c r="A1299" i="14"/>
  <c r="V1298" i="14"/>
  <c r="Q1291" i="15"/>
  <c r="A1298" i="14"/>
  <c r="V1297" i="14"/>
  <c r="Q1290" i="15"/>
  <c r="A1297" i="14"/>
  <c r="V1296" i="14"/>
  <c r="Q1289" i="15"/>
  <c r="A1296" i="14"/>
  <c r="AH1295" i="14"/>
  <c r="V1295" i="14"/>
  <c r="Q1288" i="15"/>
  <c r="A1295" i="14"/>
  <c r="V1294" i="14"/>
  <c r="Q1287" i="15"/>
  <c r="A1294" i="14"/>
  <c r="V1293" i="14"/>
  <c r="Q1286" i="15"/>
  <c r="AC1293" i="14"/>
  <c r="AH1293" i="14" s="1"/>
  <c r="A1293" i="14"/>
  <c r="V1292" i="14"/>
  <c r="Q1285" i="15"/>
  <c r="A1292" i="14"/>
  <c r="V1291" i="14"/>
  <c r="A1291" i="14"/>
  <c r="V1290" i="14"/>
  <c r="A1290" i="14"/>
  <c r="V1289" i="14"/>
  <c r="Q1282" i="15"/>
  <c r="A1289" i="14"/>
  <c r="V1288" i="14"/>
  <c r="Q1281" i="15"/>
  <c r="A1288" i="14"/>
  <c r="V1287" i="14"/>
  <c r="Q1280" i="15"/>
  <c r="A1287" i="14"/>
  <c r="V1286" i="14"/>
  <c r="Q1279" i="15"/>
  <c r="A1286" i="14"/>
  <c r="V1285" i="14"/>
  <c r="Q1278" i="15"/>
  <c r="A1285" i="14"/>
  <c r="V1284" i="14"/>
  <c r="Q1277" i="15"/>
  <c r="A1284" i="14"/>
  <c r="V1283" i="14"/>
  <c r="Q1276" i="15"/>
  <c r="A1283" i="14"/>
  <c r="V1282" i="14"/>
  <c r="Q1275" i="15"/>
  <c r="A1282" i="14"/>
  <c r="V1281" i="14"/>
  <c r="A1281" i="14"/>
  <c r="V1280" i="14"/>
  <c r="A1280" i="14"/>
  <c r="V1279" i="14"/>
  <c r="Q1272" i="15"/>
  <c r="A1279" i="14"/>
  <c r="V1278" i="14"/>
  <c r="Q1271" i="15"/>
  <c r="A1278" i="14"/>
  <c r="V1277" i="14"/>
  <c r="Q1270" i="15"/>
  <c r="A1277" i="14"/>
  <c r="V1276" i="14"/>
  <c r="Q1269" i="15"/>
  <c r="A1276" i="14"/>
  <c r="V1275" i="14"/>
  <c r="Q1268" i="15"/>
  <c r="A1275" i="14"/>
  <c r="V1274" i="14"/>
  <c r="Q1267" i="15"/>
  <c r="A1274" i="14"/>
  <c r="V1273" i="14"/>
  <c r="Q1266" i="15"/>
  <c r="A1273" i="14"/>
  <c r="V1272" i="14"/>
  <c r="Q1265" i="15"/>
  <c r="A1272" i="14"/>
  <c r="V1271" i="14"/>
  <c r="Q1264" i="15"/>
  <c r="A1271" i="14"/>
  <c r="V1270" i="14"/>
  <c r="Q1263" i="15"/>
  <c r="A1270" i="14"/>
  <c r="V1269" i="14"/>
  <c r="Q1262" i="15"/>
  <c r="A1269" i="14"/>
  <c r="V1268" i="14"/>
  <c r="Q1261" i="15"/>
  <c r="A1268" i="14"/>
  <c r="V1267" i="14"/>
  <c r="Q1260" i="15"/>
  <c r="A1267" i="14"/>
  <c r="V1266" i="14"/>
  <c r="Q1259" i="15"/>
  <c r="A1266" i="14"/>
  <c r="V1265" i="14"/>
  <c r="Q1258" i="15"/>
  <c r="A1265" i="14"/>
  <c r="V1264" i="14"/>
  <c r="Q1257" i="15"/>
  <c r="A1264" i="14"/>
  <c r="V1263" i="14"/>
  <c r="Q1256" i="15"/>
  <c r="A1263" i="14"/>
  <c r="V1262" i="14"/>
  <c r="Q1255" i="15"/>
  <c r="A1262" i="14"/>
  <c r="V1261" i="14"/>
  <c r="Q1254" i="15"/>
  <c r="A1261" i="14"/>
  <c r="V1260" i="14"/>
  <c r="Q1253" i="15"/>
  <c r="A1260" i="14"/>
  <c r="V1259" i="14"/>
  <c r="Q1252" i="15"/>
  <c r="A1259" i="14"/>
  <c r="V1258" i="14"/>
  <c r="Q1251" i="15"/>
  <c r="A1258" i="14"/>
  <c r="V1257" i="14"/>
  <c r="A1257" i="14"/>
  <c r="V1256" i="14"/>
  <c r="A1256" i="14"/>
  <c r="V1255" i="14"/>
  <c r="Q1248" i="15"/>
  <c r="A1255" i="14"/>
  <c r="V1254" i="14"/>
  <c r="Q1247" i="15"/>
  <c r="A1254" i="14"/>
  <c r="V1253" i="14"/>
  <c r="Q1246" i="15"/>
  <c r="A1253" i="14"/>
  <c r="V1252" i="14"/>
  <c r="Q1245" i="15"/>
  <c r="AC1252" i="14"/>
  <c r="AH1252" i="14" s="1"/>
  <c r="A1252" i="14"/>
  <c r="V1251" i="14"/>
  <c r="Q1244" i="15"/>
  <c r="AC1251" i="14"/>
  <c r="A1251" i="14"/>
  <c r="V1250" i="14"/>
  <c r="A1250" i="14"/>
  <c r="V1249" i="14"/>
  <c r="Q1241" i="15"/>
  <c r="AC1249" i="14"/>
  <c r="AH1249" i="14" s="1"/>
  <c r="AJ1249" i="14" s="1"/>
  <c r="A1249" i="14"/>
  <c r="V1248" i="14"/>
  <c r="Q1240" i="15"/>
  <c r="AC1248" i="14"/>
  <c r="AH1248" i="14" s="1"/>
  <c r="AJ1248" i="14" s="1"/>
  <c r="A1248" i="14"/>
  <c r="V1247" i="14"/>
  <c r="Q1239" i="15"/>
  <c r="AC1247" i="14"/>
  <c r="AH1247" i="14" s="1"/>
  <c r="AJ1247" i="14" s="1"/>
  <c r="A1247" i="14"/>
  <c r="V1246" i="14"/>
  <c r="Q1238" i="15"/>
  <c r="AC1246" i="14"/>
  <c r="AH1246" i="14" s="1"/>
  <c r="AJ1246" i="14" s="1"/>
  <c r="A1246" i="14"/>
  <c r="V1245" i="14"/>
  <c r="Q1237" i="15"/>
  <c r="AC1245" i="14"/>
  <c r="AH1245" i="14" s="1"/>
  <c r="AJ1245" i="14" s="1"/>
  <c r="A1245" i="14"/>
  <c r="V1244" i="14"/>
  <c r="Q1236" i="15"/>
  <c r="AC1244" i="14"/>
  <c r="AH1244" i="14" s="1"/>
  <c r="AJ1244" i="14" s="1"/>
  <c r="A1244" i="14"/>
  <c r="V1243" i="14"/>
  <c r="Q1235" i="15"/>
  <c r="AC1243" i="14"/>
  <c r="AH1243" i="14" s="1"/>
  <c r="AJ1243" i="14" s="1"/>
  <c r="A1243" i="14"/>
  <c r="V1242" i="14"/>
  <c r="Q1234" i="15"/>
  <c r="AC1242" i="14"/>
  <c r="AH1242" i="14" s="1"/>
  <c r="AJ1242" i="14" s="1"/>
  <c r="A1242" i="14"/>
  <c r="V1241" i="14"/>
  <c r="Q1242" i="15"/>
  <c r="AC1241" i="14"/>
  <c r="AH1241" i="14" s="1"/>
  <c r="AJ1241" i="14" s="1"/>
  <c r="A1241" i="14"/>
  <c r="V1240" i="14"/>
  <c r="Q1233" i="15"/>
  <c r="AC1240" i="14"/>
  <c r="AH1240" i="14" s="1"/>
  <c r="AJ1240" i="14" s="1"/>
  <c r="A1240" i="14"/>
  <c r="V1239" i="14"/>
  <c r="Q1232" i="15"/>
  <c r="AC1239" i="14"/>
  <c r="AH1239" i="14" s="1"/>
  <c r="AJ1239" i="14" s="1"/>
  <c r="A1239" i="14"/>
  <c r="V1238" i="14"/>
  <c r="Q1231" i="15"/>
  <c r="AC1238" i="14"/>
  <c r="AH1238" i="14" s="1"/>
  <c r="AJ1238" i="14" s="1"/>
  <c r="A1238" i="14"/>
  <c r="V1237" i="14"/>
  <c r="Q1230" i="15"/>
  <c r="AC1237" i="14"/>
  <c r="AH1237" i="14" s="1"/>
  <c r="AJ1237" i="14" s="1"/>
  <c r="A1237" i="14"/>
  <c r="V1236" i="14"/>
  <c r="Q1229" i="15"/>
  <c r="AC1236" i="14"/>
  <c r="AH1236" i="14" s="1"/>
  <c r="AJ1236" i="14" s="1"/>
  <c r="A1236" i="14"/>
  <c r="V1235" i="14"/>
  <c r="Q1228" i="15"/>
  <c r="A1235" i="14"/>
  <c r="V1234" i="14"/>
  <c r="Q1227" i="15"/>
  <c r="AC1234" i="14"/>
  <c r="AH1234" i="14" s="1"/>
  <c r="AJ1234" i="14" s="1"/>
  <c r="A1234" i="14"/>
  <c r="V1233" i="14"/>
  <c r="A1233" i="14"/>
  <c r="V1232" i="14"/>
  <c r="A1232" i="14"/>
  <c r="V1231" i="14"/>
  <c r="Q1224" i="15"/>
  <c r="AC1231" i="14"/>
  <c r="AH1231" i="14" s="1"/>
  <c r="A1231" i="14"/>
  <c r="V1230" i="14"/>
  <c r="Q1223" i="15"/>
  <c r="A1230" i="14"/>
  <c r="V1229" i="14"/>
  <c r="A1229" i="14"/>
  <c r="V1228" i="14"/>
  <c r="U1227" i="14"/>
  <c r="Q1221" i="15"/>
  <c r="H1227" i="14"/>
  <c r="G1227" i="14"/>
  <c r="A1228" i="14"/>
  <c r="V1227" i="14"/>
  <c r="A1227" i="14"/>
  <c r="V1226" i="14"/>
  <c r="Q1219" i="15"/>
  <c r="AC1226" i="14"/>
  <c r="AH1226" i="14" s="1"/>
  <c r="AJ1226" i="14" s="1"/>
  <c r="A1226" i="14"/>
  <c r="V1225" i="14"/>
  <c r="Q1218" i="15"/>
  <c r="A1225" i="14"/>
  <c r="V1224" i="14"/>
  <c r="A1224" i="14"/>
  <c r="V1223" i="14"/>
  <c r="A1223" i="14"/>
  <c r="V1222" i="14"/>
  <c r="Q1175" i="15"/>
  <c r="AC1222" i="14"/>
  <c r="AH1222" i="14" s="1"/>
  <c r="AJ1222" i="14" s="1"/>
  <c r="A1222" i="14"/>
  <c r="V1221" i="14"/>
  <c r="Q1174" i="15"/>
  <c r="A1221" i="14"/>
  <c r="V1220" i="14"/>
  <c r="Q1173" i="15"/>
  <c r="AC1220" i="14"/>
  <c r="AH1220" i="14" s="1"/>
  <c r="AJ1220" i="14" s="1"/>
  <c r="A1220" i="14"/>
  <c r="V1219" i="14"/>
  <c r="Q1172" i="15"/>
  <c r="AC1219" i="14"/>
  <c r="AH1219" i="14" s="1"/>
  <c r="AJ1219" i="14" s="1"/>
  <c r="A1219" i="14"/>
  <c r="V1218" i="14"/>
  <c r="Q1171" i="15"/>
  <c r="AC1218" i="14"/>
  <c r="A1218" i="14"/>
  <c r="V1217" i="14"/>
  <c r="A1217" i="14"/>
  <c r="V1216" i="14"/>
  <c r="U1215" i="14"/>
  <c r="Q1168" i="15"/>
  <c r="G1215" i="14"/>
  <c r="A1216" i="14"/>
  <c r="V1215" i="14"/>
  <c r="A1215" i="14"/>
  <c r="V1214" i="14"/>
  <c r="U1213" i="14"/>
  <c r="Q1215" i="15"/>
  <c r="H1213" i="14"/>
  <c r="G1213" i="14"/>
  <c r="A1214" i="14"/>
  <c r="V1213" i="14"/>
  <c r="A1213" i="14"/>
  <c r="V1212" i="14"/>
  <c r="Q1213" i="15"/>
  <c r="AC1212" i="14"/>
  <c r="AH1212" i="14" s="1"/>
  <c r="AJ1212" i="14" s="1"/>
  <c r="A1212" i="14"/>
  <c r="V1211" i="14"/>
  <c r="Q1212" i="15"/>
  <c r="AC1211" i="14"/>
  <c r="AH1211" i="14" s="1"/>
  <c r="AJ1211" i="14" s="1"/>
  <c r="A1211" i="14"/>
  <c r="V1210" i="14"/>
  <c r="Q1211" i="15"/>
  <c r="AC1210" i="14"/>
  <c r="AH1210" i="14" s="1"/>
  <c r="AJ1210" i="14" s="1"/>
  <c r="A1210" i="14"/>
  <c r="V1209" i="14"/>
  <c r="Q1210" i="15"/>
  <c r="AC1209" i="14"/>
  <c r="AH1209" i="14" s="1"/>
  <c r="AJ1209" i="14" s="1"/>
  <c r="A1209" i="14"/>
  <c r="V1208" i="14"/>
  <c r="Q1209" i="15"/>
  <c r="AC1208" i="14"/>
  <c r="AH1208" i="14" s="1"/>
  <c r="AJ1208" i="14" s="1"/>
  <c r="A1208" i="14"/>
  <c r="V1207" i="14"/>
  <c r="Q1208" i="15"/>
  <c r="AC1207" i="14"/>
  <c r="AH1207" i="14" s="1"/>
  <c r="AJ1207" i="14" s="1"/>
  <c r="A1207" i="14"/>
  <c r="V1206" i="14"/>
  <c r="Q1207" i="15"/>
  <c r="AC1206" i="14"/>
  <c r="AH1206" i="14" s="1"/>
  <c r="AJ1206" i="14" s="1"/>
  <c r="A1206" i="14"/>
  <c r="V1205" i="14"/>
  <c r="Q1206" i="15"/>
  <c r="AC1205" i="14"/>
  <c r="AH1205" i="14" s="1"/>
  <c r="AJ1205" i="14" s="1"/>
  <c r="A1205" i="14"/>
  <c r="V1204" i="14"/>
  <c r="Q1205" i="15"/>
  <c r="AC1204" i="14"/>
  <c r="AH1204" i="14" s="1"/>
  <c r="AJ1204" i="14" s="1"/>
  <c r="A1204" i="14"/>
  <c r="V1203" i="14"/>
  <c r="Q1204" i="15"/>
  <c r="AC1203" i="14"/>
  <c r="AH1203" i="14" s="1"/>
  <c r="AJ1203" i="14" s="1"/>
  <c r="A1203" i="14"/>
  <c r="V1202" i="14"/>
  <c r="Q1203" i="15"/>
  <c r="AC1202" i="14"/>
  <c r="AH1202" i="14" s="1"/>
  <c r="AJ1202" i="14" s="1"/>
  <c r="A1202" i="14"/>
  <c r="V1201" i="14"/>
  <c r="Q1202" i="15"/>
  <c r="AC1201" i="14"/>
  <c r="AH1201" i="14" s="1"/>
  <c r="AJ1201" i="14" s="1"/>
  <c r="A1201" i="14"/>
  <c r="V1200" i="14"/>
  <c r="Q1201" i="15"/>
  <c r="AC1200" i="14"/>
  <c r="AH1200" i="14" s="1"/>
  <c r="AJ1200" i="14" s="1"/>
  <c r="A1200" i="14"/>
  <c r="V1199" i="14"/>
  <c r="Q1200" i="15"/>
  <c r="AC1199" i="14"/>
  <c r="AH1199" i="14" s="1"/>
  <c r="AJ1199" i="14" s="1"/>
  <c r="A1199" i="14"/>
  <c r="V1198" i="14"/>
  <c r="Q1199" i="15"/>
  <c r="AC1198" i="14"/>
  <c r="AH1198" i="14" s="1"/>
  <c r="AJ1198" i="14" s="1"/>
  <c r="A1198" i="14"/>
  <c r="V1197" i="14"/>
  <c r="Q1198" i="15"/>
  <c r="AC1197" i="14"/>
  <c r="AH1197" i="14" s="1"/>
  <c r="AJ1197" i="14" s="1"/>
  <c r="A1197" i="14"/>
  <c r="V1196" i="14"/>
  <c r="Q1197" i="15"/>
  <c r="AC1196" i="14"/>
  <c r="AH1196" i="14" s="1"/>
  <c r="AJ1196" i="14" s="1"/>
  <c r="A1196" i="14"/>
  <c r="V1195" i="14"/>
  <c r="Q1196" i="15"/>
  <c r="A1195" i="14"/>
  <c r="V1194" i="14"/>
  <c r="A1194" i="14"/>
  <c r="V1193" i="14"/>
  <c r="Q1194" i="15"/>
  <c r="AC1193" i="14"/>
  <c r="AH1193" i="14" s="1"/>
  <c r="AJ1193" i="14" s="1"/>
  <c r="A1193" i="14"/>
  <c r="V1192" i="14"/>
  <c r="Q1193" i="15"/>
  <c r="AC1192" i="14"/>
  <c r="AH1192" i="14" s="1"/>
  <c r="AJ1192" i="14" s="1"/>
  <c r="A1192" i="14"/>
  <c r="V1191" i="14"/>
  <c r="Q1192" i="15"/>
  <c r="AC1191" i="14"/>
  <c r="AH1191" i="14" s="1"/>
  <c r="AJ1191" i="14" s="1"/>
  <c r="A1191" i="14"/>
  <c r="V1190" i="14"/>
  <c r="Q1191" i="15"/>
  <c r="AC1190" i="14"/>
  <c r="AH1190" i="14" s="1"/>
  <c r="AJ1190" i="14" s="1"/>
  <c r="A1190" i="14"/>
  <c r="V1189" i="14"/>
  <c r="Q1190" i="15"/>
  <c r="AC1189" i="14"/>
  <c r="AH1189" i="14" s="1"/>
  <c r="AJ1189" i="14" s="1"/>
  <c r="A1189" i="14"/>
  <c r="V1188" i="14"/>
  <c r="Q1189" i="15"/>
  <c r="AC1188" i="14"/>
  <c r="AH1188" i="14" s="1"/>
  <c r="AJ1188" i="14" s="1"/>
  <c r="A1188" i="14"/>
  <c r="V1187" i="14"/>
  <c r="Q1188" i="15"/>
  <c r="AC1187" i="14"/>
  <c r="AH1187" i="14" s="1"/>
  <c r="AJ1187" i="14" s="1"/>
  <c r="A1187" i="14"/>
  <c r="V1186" i="14"/>
  <c r="Q1187" i="15"/>
  <c r="AC1186" i="14"/>
  <c r="AH1186" i="14" s="1"/>
  <c r="AJ1186" i="14" s="1"/>
  <c r="A1186" i="14"/>
  <c r="V1185" i="14"/>
  <c r="Q1186" i="15"/>
  <c r="AC1185" i="14"/>
  <c r="AH1185" i="14" s="1"/>
  <c r="AJ1185" i="14" s="1"/>
  <c r="A1185" i="14"/>
  <c r="V1184" i="14"/>
  <c r="Q1185" i="15"/>
  <c r="AC1184" i="14"/>
  <c r="AH1184" i="14" s="1"/>
  <c r="AJ1184" i="14" s="1"/>
  <c r="A1184" i="14"/>
  <c r="V1183" i="14"/>
  <c r="Q1184" i="15"/>
  <c r="AC1183" i="14"/>
  <c r="AH1183" i="14" s="1"/>
  <c r="AJ1183" i="14" s="1"/>
  <c r="A1183" i="14"/>
  <c r="V1182" i="14"/>
  <c r="Q1183" i="15"/>
  <c r="AC1182" i="14"/>
  <c r="AH1182" i="14" s="1"/>
  <c r="AJ1182" i="14" s="1"/>
  <c r="A1182" i="14"/>
  <c r="V1181" i="14"/>
  <c r="Q1182" i="15"/>
  <c r="AC1181" i="14"/>
  <c r="AH1181" i="14" s="1"/>
  <c r="AJ1181" i="14" s="1"/>
  <c r="A1181" i="14"/>
  <c r="V1180" i="14"/>
  <c r="Q1181" i="15"/>
  <c r="AC1180" i="14"/>
  <c r="AH1180" i="14" s="1"/>
  <c r="AJ1180" i="14" s="1"/>
  <c r="A1180" i="14"/>
  <c r="V1179" i="14"/>
  <c r="Q1180" i="15"/>
  <c r="AC1179" i="14"/>
  <c r="AH1179" i="14" s="1"/>
  <c r="AJ1179" i="14" s="1"/>
  <c r="A1179" i="14"/>
  <c r="V1178" i="14"/>
  <c r="Q1179" i="15"/>
  <c r="A1178" i="14"/>
  <c r="V1177" i="14"/>
  <c r="Q1178" i="15"/>
  <c r="AC1177" i="14"/>
  <c r="AH1177" i="14" s="1"/>
  <c r="AJ1177" i="14" s="1"/>
  <c r="A1177" i="14"/>
  <c r="V1176" i="14"/>
  <c r="Q1177" i="15"/>
  <c r="AC1176" i="14"/>
  <c r="A1176" i="14"/>
  <c r="V1175" i="14"/>
  <c r="A1175" i="14"/>
  <c r="V1174" i="14"/>
  <c r="Q1166" i="15"/>
  <c r="AC1174" i="14"/>
  <c r="AH1174" i="14" s="1"/>
  <c r="AJ1174" i="14" s="1"/>
  <c r="A1174" i="14"/>
  <c r="V1173" i="14"/>
  <c r="Q1165" i="15"/>
  <c r="AC1173" i="14"/>
  <c r="AH1173" i="14" s="1"/>
  <c r="AJ1173" i="14" s="1"/>
  <c r="A1173" i="14"/>
  <c r="V1172" i="14"/>
  <c r="Q1164" i="15"/>
  <c r="AC1172" i="14"/>
  <c r="AH1172" i="14" s="1"/>
  <c r="AJ1172" i="14" s="1"/>
  <c r="A1172" i="14"/>
  <c r="V1171" i="14"/>
  <c r="Q1163" i="15"/>
  <c r="AC1171" i="14"/>
  <c r="AH1171" i="14" s="1"/>
  <c r="AJ1171" i="14" s="1"/>
  <c r="A1171" i="14"/>
  <c r="V1170" i="14"/>
  <c r="Q1162" i="15"/>
  <c r="AC1170" i="14"/>
  <c r="AH1170" i="14" s="1"/>
  <c r="AJ1170" i="14" s="1"/>
  <c r="A1170" i="14"/>
  <c r="V1169" i="14"/>
  <c r="Q1161" i="15"/>
  <c r="AC1169" i="14"/>
  <c r="AH1169" i="14" s="1"/>
  <c r="AJ1169" i="14" s="1"/>
  <c r="A1169" i="14"/>
  <c r="V1168" i="14"/>
  <c r="Q1160" i="15"/>
  <c r="AC1168" i="14"/>
  <c r="AH1168" i="14" s="1"/>
  <c r="AJ1168" i="14" s="1"/>
  <c r="A1168" i="14"/>
  <c r="V1167" i="14"/>
  <c r="Q1159" i="15"/>
  <c r="AC1167" i="14"/>
  <c r="AH1167" i="14" s="1"/>
  <c r="AJ1167" i="14" s="1"/>
  <c r="A1167" i="14"/>
  <c r="V1166" i="14"/>
  <c r="Q1158" i="15"/>
  <c r="AC1166" i="14"/>
  <c r="AH1166" i="14" s="1"/>
  <c r="AJ1166" i="14" s="1"/>
  <c r="A1166" i="14"/>
  <c r="V1165" i="14"/>
  <c r="Q1157" i="15"/>
  <c r="AC1165" i="14"/>
  <c r="AH1165" i="14" s="1"/>
  <c r="AJ1165" i="14" s="1"/>
  <c r="A1165" i="14"/>
  <c r="V1164" i="14"/>
  <c r="Q1156" i="15"/>
  <c r="AC1164" i="14"/>
  <c r="AH1164" i="14" s="1"/>
  <c r="AJ1164" i="14" s="1"/>
  <c r="A1164" i="14"/>
  <c r="V1163" i="14"/>
  <c r="Q1155" i="15"/>
  <c r="AC1163" i="14"/>
  <c r="AH1163" i="14" s="1"/>
  <c r="AJ1163" i="14" s="1"/>
  <c r="A1163" i="14"/>
  <c r="V1162" i="14"/>
  <c r="Q1154" i="15"/>
  <c r="AC1162" i="14"/>
  <c r="AH1162" i="14" s="1"/>
  <c r="AJ1162" i="14" s="1"/>
  <c r="A1162" i="14"/>
  <c r="V1161" i="14"/>
  <c r="Q1153" i="15"/>
  <c r="AC1161" i="14"/>
  <c r="AH1161" i="14" s="1"/>
  <c r="AJ1161" i="14" s="1"/>
  <c r="A1161" i="14"/>
  <c r="V1160" i="14"/>
  <c r="Q1152" i="15"/>
  <c r="AC1160" i="14"/>
  <c r="AH1160" i="14" s="1"/>
  <c r="AJ1160" i="14" s="1"/>
  <c r="A1160" i="14"/>
  <c r="V1159" i="14"/>
  <c r="Q1151" i="15"/>
  <c r="AC1159" i="14"/>
  <c r="AH1159" i="14" s="1"/>
  <c r="AJ1159" i="14" s="1"/>
  <c r="A1159" i="14"/>
  <c r="V1158" i="14"/>
  <c r="Q1150" i="15"/>
  <c r="A1158" i="14"/>
  <c r="V1157" i="14"/>
  <c r="Q1149" i="15"/>
  <c r="AC1157" i="14"/>
  <c r="AH1157" i="14" s="1"/>
  <c r="A1157" i="14"/>
  <c r="V1156" i="14"/>
  <c r="A1156" i="14"/>
  <c r="V1155" i="14"/>
  <c r="Q1147" i="15"/>
  <c r="AC1155" i="14"/>
  <c r="AH1155" i="14" s="1"/>
  <c r="AJ1155" i="14" s="1"/>
  <c r="A1155" i="14"/>
  <c r="V1154" i="14"/>
  <c r="Q1146" i="15"/>
  <c r="AC1154" i="14"/>
  <c r="AH1154" i="14" s="1"/>
  <c r="AJ1154" i="14" s="1"/>
  <c r="A1154" i="14"/>
  <c r="V1153" i="14"/>
  <c r="Q1145" i="15"/>
  <c r="AC1153" i="14"/>
  <c r="AH1153" i="14" s="1"/>
  <c r="AJ1153" i="14" s="1"/>
  <c r="A1153" i="14"/>
  <c r="V1152" i="14"/>
  <c r="Q1144" i="15"/>
  <c r="AC1152" i="14"/>
  <c r="AH1152" i="14" s="1"/>
  <c r="AJ1152" i="14" s="1"/>
  <c r="A1152" i="14"/>
  <c r="V1151" i="14"/>
  <c r="Q1143" i="15"/>
  <c r="AC1151" i="14"/>
  <c r="AH1151" i="14" s="1"/>
  <c r="AJ1151" i="14" s="1"/>
  <c r="A1151" i="14"/>
  <c r="V1150" i="14"/>
  <c r="Q1142" i="15"/>
  <c r="AC1150" i="14"/>
  <c r="AH1150" i="14" s="1"/>
  <c r="AJ1150" i="14" s="1"/>
  <c r="A1150" i="14"/>
  <c r="V1149" i="14"/>
  <c r="Q1141" i="15"/>
  <c r="AC1149" i="14"/>
  <c r="AH1149" i="14" s="1"/>
  <c r="AJ1149" i="14" s="1"/>
  <c r="A1149" i="14"/>
  <c r="V1148" i="14"/>
  <c r="Q1140" i="15"/>
  <c r="AC1148" i="14"/>
  <c r="AH1148" i="14" s="1"/>
  <c r="AJ1148" i="14" s="1"/>
  <c r="A1148" i="14"/>
  <c r="V1147" i="14"/>
  <c r="Q1139" i="15"/>
  <c r="AC1147" i="14"/>
  <c r="AH1147" i="14" s="1"/>
  <c r="AJ1147" i="14" s="1"/>
  <c r="A1147" i="14"/>
  <c r="V1146" i="14"/>
  <c r="Q1138" i="15"/>
  <c r="AC1146" i="14"/>
  <c r="AH1146" i="14" s="1"/>
  <c r="AJ1146" i="14" s="1"/>
  <c r="A1146" i="14"/>
  <c r="V1145" i="14"/>
  <c r="Q1137" i="15"/>
  <c r="AC1145" i="14"/>
  <c r="AH1145" i="14" s="1"/>
  <c r="AJ1145" i="14" s="1"/>
  <c r="A1145" i="14"/>
  <c r="V1144" i="14"/>
  <c r="Q1136" i="15"/>
  <c r="AC1144" i="14"/>
  <c r="AH1144" i="14" s="1"/>
  <c r="AJ1144" i="14" s="1"/>
  <c r="A1144" i="14"/>
  <c r="V1143" i="14"/>
  <c r="Q1135" i="15"/>
  <c r="AC1143" i="14"/>
  <c r="AH1143" i="14" s="1"/>
  <c r="AJ1143" i="14" s="1"/>
  <c r="A1143" i="14"/>
  <c r="V1142" i="14"/>
  <c r="Q1134" i="15"/>
  <c r="AC1142" i="14"/>
  <c r="AH1142" i="14" s="1"/>
  <c r="AJ1142" i="14" s="1"/>
  <c r="A1142" i="14"/>
  <c r="V1141" i="14"/>
  <c r="Q1133" i="15"/>
  <c r="AC1141" i="14"/>
  <c r="AH1141" i="14" s="1"/>
  <c r="AJ1141" i="14" s="1"/>
  <c r="A1141" i="14"/>
  <c r="V1140" i="14"/>
  <c r="Q1132" i="15"/>
  <c r="AC1140" i="14"/>
  <c r="AH1140" i="14" s="1"/>
  <c r="AJ1140" i="14" s="1"/>
  <c r="A1140" i="14"/>
  <c r="V1139" i="14"/>
  <c r="Q1131" i="15"/>
  <c r="AC1139" i="14"/>
  <c r="AH1139" i="14" s="1"/>
  <c r="AJ1139" i="14" s="1"/>
  <c r="A1139" i="14"/>
  <c r="V1138" i="14"/>
  <c r="Q1130" i="15"/>
  <c r="A1138" i="14"/>
  <c r="V1137" i="14"/>
  <c r="A1137" i="14"/>
  <c r="V1136" i="14"/>
  <c r="U1135" i="14"/>
  <c r="Q1128" i="15"/>
  <c r="H1135" i="14"/>
  <c r="G1135" i="14"/>
  <c r="A1136" i="14"/>
  <c r="V1135" i="14"/>
  <c r="A1135" i="14"/>
  <c r="V1134" i="14"/>
  <c r="U1133" i="14"/>
  <c r="Q1126" i="15"/>
  <c r="H1133" i="14"/>
  <c r="G1133" i="14"/>
  <c r="A1134" i="14"/>
  <c r="V1133" i="14"/>
  <c r="A1133" i="14"/>
  <c r="V1132" i="14"/>
  <c r="U1131" i="14"/>
  <c r="Q1124" i="15"/>
  <c r="H1131" i="14"/>
  <c r="G1131" i="14"/>
  <c r="A1132" i="14"/>
  <c r="V1131" i="14"/>
  <c r="A1131" i="14"/>
  <c r="V1130" i="14"/>
  <c r="U1129" i="14"/>
  <c r="Q1122" i="15"/>
  <c r="G1129" i="14"/>
  <c r="A1130" i="14"/>
  <c r="V1129" i="14"/>
  <c r="A1129" i="14"/>
  <c r="V1128" i="14"/>
  <c r="A1128" i="14"/>
  <c r="V1127" i="14"/>
  <c r="U1126" i="14"/>
  <c r="U1125" i="14" s="1"/>
  <c r="Q1119" i="15"/>
  <c r="AC1127" i="14"/>
  <c r="G1126" i="14"/>
  <c r="G1125" i="14" s="1"/>
  <c r="A1127" i="14"/>
  <c r="V1126" i="14"/>
  <c r="A1126" i="14"/>
  <c r="V1125" i="14"/>
  <c r="A1125" i="14"/>
  <c r="V1124" i="14"/>
  <c r="AJ1124" i="14"/>
  <c r="A1124" i="14"/>
  <c r="V1123" i="14"/>
  <c r="U1122" i="14"/>
  <c r="Q1116" i="15"/>
  <c r="H1122" i="14"/>
  <c r="G1122" i="14"/>
  <c r="A1123" i="14"/>
  <c r="V1122" i="14"/>
  <c r="A1122" i="14"/>
  <c r="V1121" i="14"/>
  <c r="U1120" i="14"/>
  <c r="Q1114" i="15"/>
  <c r="H1120" i="14"/>
  <c r="G1120" i="14"/>
  <c r="A1121" i="14"/>
  <c r="V1120" i="14"/>
  <c r="A1120" i="14"/>
  <c r="V1119" i="14"/>
  <c r="U1118" i="14"/>
  <c r="Q1112" i="15"/>
  <c r="G1118" i="14"/>
  <c r="A1119" i="14"/>
  <c r="V1118" i="14"/>
  <c r="A1118" i="14"/>
  <c r="V1117" i="14"/>
  <c r="U1116" i="14"/>
  <c r="Q1110" i="15"/>
  <c r="H1116" i="14"/>
  <c r="G1116" i="14"/>
  <c r="A1117" i="14"/>
  <c r="V1116" i="14"/>
  <c r="A1116" i="14"/>
  <c r="V1115" i="14"/>
  <c r="U1114" i="14"/>
  <c r="Q1102" i="15"/>
  <c r="A1115" i="14"/>
  <c r="V1114" i="14"/>
  <c r="G1114" i="14"/>
  <c r="A1114" i="14"/>
  <c r="V1113" i="14"/>
  <c r="U1112" i="14"/>
  <c r="Q1108" i="15"/>
  <c r="G1112" i="14"/>
  <c r="A1113" i="14"/>
  <c r="V1112" i="14"/>
  <c r="A1112" i="14"/>
  <c r="V1111" i="14"/>
  <c r="U1110" i="14"/>
  <c r="Q1100" i="15"/>
  <c r="AC1111" i="14"/>
  <c r="AC1110" i="14" s="1"/>
  <c r="G1110" i="14"/>
  <c r="A1111" i="14"/>
  <c r="V1110" i="14"/>
  <c r="A1110" i="14"/>
  <c r="V1109" i="14"/>
  <c r="U1108" i="14"/>
  <c r="Q1098" i="15"/>
  <c r="AC1109" i="14"/>
  <c r="G1108" i="14"/>
  <c r="A1109" i="14"/>
  <c r="V1108" i="14"/>
  <c r="A1108" i="14"/>
  <c r="AH1107" i="14"/>
  <c r="V1107" i="14"/>
  <c r="U1106" i="14"/>
  <c r="Q1106" i="15"/>
  <c r="H1106" i="14"/>
  <c r="G1106" i="14"/>
  <c r="A1107" i="14"/>
  <c r="V1106" i="14"/>
  <c r="A1106" i="14"/>
  <c r="V1105" i="14"/>
  <c r="Q1096" i="15"/>
  <c r="AJ1105" i="14"/>
  <c r="A1105" i="14"/>
  <c r="V1104" i="14"/>
  <c r="Q1095" i="15"/>
  <c r="AJ1104" i="14"/>
  <c r="A1104" i="14"/>
  <c r="V1103" i="14"/>
  <c r="Q1094" i="15"/>
  <c r="AJ1103" i="14"/>
  <c r="A1103" i="14"/>
  <c r="V1102" i="14"/>
  <c r="Q1093" i="15"/>
  <c r="AJ1102" i="14"/>
  <c r="A1102" i="14"/>
  <c r="V1101" i="14"/>
  <c r="Q1092" i="15"/>
  <c r="A1101" i="14"/>
  <c r="V1100" i="14"/>
  <c r="Q1091" i="15"/>
  <c r="A1100" i="14"/>
  <c r="V1099" i="14"/>
  <c r="A1099" i="14"/>
  <c r="V1098" i="14"/>
  <c r="A1098" i="14"/>
  <c r="AH1097" i="14"/>
  <c r="V1097" i="14"/>
  <c r="U1096" i="14"/>
  <c r="Q1088" i="15"/>
  <c r="G1096" i="14"/>
  <c r="A1097" i="14"/>
  <c r="V1096" i="14"/>
  <c r="A1096" i="14"/>
  <c r="V1095" i="14"/>
  <c r="U1094" i="14"/>
  <c r="Q1086" i="15"/>
  <c r="G1094" i="14"/>
  <c r="AH1095" i="14"/>
  <c r="AH1094" i="14" s="1"/>
  <c r="A1095" i="14"/>
  <c r="V1094" i="14"/>
  <c r="A1094" i="14"/>
  <c r="AH1093" i="14"/>
  <c r="V1093" i="14"/>
  <c r="U1092" i="14"/>
  <c r="Q1084" i="15"/>
  <c r="H1092" i="14"/>
  <c r="G1092" i="14"/>
  <c r="A1093" i="14"/>
  <c r="V1092" i="14"/>
  <c r="A1092" i="14"/>
  <c r="V1091" i="14"/>
  <c r="U1090" i="14"/>
  <c r="Q1082" i="15"/>
  <c r="AC1091" i="14"/>
  <c r="AC1090" i="14" s="1"/>
  <c r="G1090" i="14"/>
  <c r="A1091" i="14"/>
  <c r="V1090" i="14"/>
  <c r="A1090" i="14"/>
  <c r="V1089" i="14"/>
  <c r="Q1080" i="15"/>
  <c r="AJ1089" i="14"/>
  <c r="A1089" i="14"/>
  <c r="V1088" i="14"/>
  <c r="Q1079" i="15"/>
  <c r="A1088" i="14"/>
  <c r="V1087" i="14"/>
  <c r="A1087" i="14"/>
  <c r="V1086" i="14"/>
  <c r="A1086" i="14"/>
  <c r="V1085" i="14"/>
  <c r="Q1076" i="15"/>
  <c r="A1085" i="14"/>
  <c r="V1084" i="14"/>
  <c r="Q1075" i="15"/>
  <c r="A1084" i="14"/>
  <c r="V1083" i="14"/>
  <c r="A1083" i="14"/>
  <c r="V1082" i="14"/>
  <c r="A1082" i="14"/>
  <c r="V1081" i="14"/>
  <c r="A1081" i="14"/>
  <c r="V1080" i="14"/>
  <c r="U1079" i="14"/>
  <c r="U1078" i="14" s="1"/>
  <c r="Q1071" i="15"/>
  <c r="H1079" i="14"/>
  <c r="H1078" i="14" s="1"/>
  <c r="G1079" i="14"/>
  <c r="G1078" i="14" s="1"/>
  <c r="A1080" i="14"/>
  <c r="V1079" i="14"/>
  <c r="A1079" i="14"/>
  <c r="V1078" i="14"/>
  <c r="A1078" i="14"/>
  <c r="V1077" i="14"/>
  <c r="U1076" i="14"/>
  <c r="U1075" i="14" s="1"/>
  <c r="Q1068" i="15"/>
  <c r="H1076" i="14"/>
  <c r="H1075" i="14" s="1"/>
  <c r="G1076" i="14"/>
  <c r="G1075" i="14" s="1"/>
  <c r="A1077" i="14"/>
  <c r="V1076" i="14"/>
  <c r="A1076" i="14"/>
  <c r="V1075" i="14"/>
  <c r="A1075" i="14"/>
  <c r="V1074" i="14"/>
  <c r="U1073" i="14"/>
  <c r="U1072" i="14" s="1"/>
  <c r="Q1065" i="15"/>
  <c r="AC1074" i="14"/>
  <c r="G1073" i="14"/>
  <c r="G1072" i="14" s="1"/>
  <c r="A1074" i="14"/>
  <c r="V1073" i="14"/>
  <c r="A1073" i="14"/>
  <c r="V1072" i="14"/>
  <c r="A1072" i="14"/>
  <c r="V1071" i="14"/>
  <c r="A1071" i="14"/>
  <c r="V1070" i="14"/>
  <c r="Q1061" i="15"/>
  <c r="V1069" i="14"/>
  <c r="Q1060" i="15"/>
  <c r="AC1069" i="14"/>
  <c r="AH1069" i="14" s="1"/>
  <c r="AJ1069" i="14" s="1"/>
  <c r="V1068" i="14"/>
  <c r="Q1059" i="15"/>
  <c r="AC1068" i="14"/>
  <c r="G1067" i="14"/>
  <c r="A1068" i="14"/>
  <c r="V1067" i="14"/>
  <c r="A1067" i="14"/>
  <c r="V1066" i="14"/>
  <c r="Q1057" i="15"/>
  <c r="AJ1066" i="14"/>
  <c r="A1066" i="14"/>
  <c r="V1065" i="14"/>
  <c r="Q1056" i="15"/>
  <c r="AJ1065" i="14"/>
  <c r="A1065" i="14"/>
  <c r="V1064" i="14"/>
  <c r="Q1055" i="15"/>
  <c r="AJ1064" i="14"/>
  <c r="A1064" i="14"/>
  <c r="V1063" i="14"/>
  <c r="Q1054" i="15"/>
  <c r="AJ1063" i="14"/>
  <c r="A1063" i="14"/>
  <c r="V1062" i="14"/>
  <c r="Q1053" i="15"/>
  <c r="AJ1062" i="14"/>
  <c r="A1062" i="14"/>
  <c r="V1061" i="14"/>
  <c r="Q1052" i="15"/>
  <c r="AJ1061" i="14"/>
  <c r="A1061" i="14"/>
  <c r="V1060" i="14"/>
  <c r="Q1051" i="15"/>
  <c r="AJ1060" i="14"/>
  <c r="A1060" i="14"/>
  <c r="V1059" i="14"/>
  <c r="Q1050" i="15"/>
  <c r="AJ1059" i="14"/>
  <c r="A1059" i="14"/>
  <c r="V1058" i="14"/>
  <c r="Q1049" i="15"/>
  <c r="AJ1058" i="14"/>
  <c r="A1058" i="14"/>
  <c r="V1057" i="14"/>
  <c r="Q1048" i="15"/>
  <c r="AJ1057" i="14"/>
  <c r="A1057" i="14"/>
  <c r="V1056" i="14"/>
  <c r="Q1047" i="15"/>
  <c r="AJ1056" i="14"/>
  <c r="A1056" i="14"/>
  <c r="V1055" i="14"/>
  <c r="Q1046" i="15"/>
  <c r="AJ1055" i="14"/>
  <c r="A1055" i="14"/>
  <c r="V1054" i="14"/>
  <c r="Q1045" i="15"/>
  <c r="AJ1054" i="14"/>
  <c r="A1054" i="14"/>
  <c r="V1053" i="14"/>
  <c r="Q1044" i="15"/>
  <c r="AJ1053" i="14"/>
  <c r="V1052" i="14"/>
  <c r="Q1043" i="15"/>
  <c r="A1052" i="14"/>
  <c r="V1051" i="14"/>
  <c r="Q1042" i="15"/>
  <c r="A1051" i="14"/>
  <c r="V1050" i="14"/>
  <c r="Q1041" i="15"/>
  <c r="A1050" i="14"/>
  <c r="V1049" i="14"/>
  <c r="Q1040" i="15"/>
  <c r="A1049" i="14"/>
  <c r="V1048" i="14"/>
  <c r="Q1039" i="15"/>
  <c r="A1048" i="14"/>
  <c r="V1047" i="14"/>
  <c r="Q1038" i="15"/>
  <c r="A1047" i="14"/>
  <c r="V1046" i="14"/>
  <c r="Q1037" i="15"/>
  <c r="A1046" i="14"/>
  <c r="V1045" i="14"/>
  <c r="Q1036" i="15"/>
  <c r="A1045" i="14"/>
  <c r="V1044" i="14"/>
  <c r="Q1035" i="15"/>
  <c r="A1044" i="14"/>
  <c r="V1043" i="14"/>
  <c r="Q1034" i="15"/>
  <c r="A1043" i="14"/>
  <c r="V1042" i="14"/>
  <c r="A1042" i="14"/>
  <c r="V1041" i="14"/>
  <c r="U1040" i="14"/>
  <c r="Q1032" i="15"/>
  <c r="G1040" i="14"/>
  <c r="A1041" i="14"/>
  <c r="V1040" i="14"/>
  <c r="A1040" i="14"/>
  <c r="V1039" i="14"/>
  <c r="U1038" i="14"/>
  <c r="Q1030" i="15"/>
  <c r="H1038" i="14"/>
  <c r="G1038" i="14"/>
  <c r="A1039" i="14"/>
  <c r="V1038" i="14"/>
  <c r="A1038" i="14"/>
  <c r="V1037" i="14"/>
  <c r="Q1028" i="15"/>
  <c r="A1037" i="14"/>
  <c r="V1036" i="14"/>
  <c r="Q1027" i="15"/>
  <c r="A1036" i="14"/>
  <c r="V1035" i="14"/>
  <c r="Q1026" i="15"/>
  <c r="A1035" i="14"/>
  <c r="V1034" i="14"/>
  <c r="Q1025" i="15"/>
  <c r="A1034" i="14"/>
  <c r="V1033" i="14"/>
  <c r="Q1024" i="15"/>
  <c r="A1033" i="14"/>
  <c r="V1032" i="14"/>
  <c r="Q1023" i="15"/>
  <c r="A1032" i="14"/>
  <c r="V1031" i="14"/>
  <c r="Q1022" i="15"/>
  <c r="A1031" i="14"/>
  <c r="V1030" i="14"/>
  <c r="Q1021" i="15"/>
  <c r="A1030" i="14"/>
  <c r="V1029" i="14"/>
  <c r="Q1020" i="15"/>
  <c r="A1029" i="14"/>
  <c r="V1028" i="14"/>
  <c r="Q1019" i="15"/>
  <c r="A1028" i="14"/>
  <c r="V1027" i="14"/>
  <c r="A1027" i="14"/>
  <c r="V1026" i="14"/>
  <c r="U1025" i="14"/>
  <c r="Q1017" i="15"/>
  <c r="H1025" i="14"/>
  <c r="G1025" i="14"/>
  <c r="A1026" i="14"/>
  <c r="V1025" i="14"/>
  <c r="A1025" i="14"/>
  <c r="V1024" i="14"/>
  <c r="A1024" i="14"/>
  <c r="V1023" i="14"/>
  <c r="Q1011" i="15"/>
  <c r="A1023" i="14"/>
  <c r="V1022" i="14"/>
  <c r="Q1010" i="15"/>
  <c r="A1022" i="14"/>
  <c r="V1021" i="14"/>
  <c r="Q1009" i="15"/>
  <c r="A1021" i="14"/>
  <c r="V1020" i="14"/>
  <c r="A1020" i="14"/>
  <c r="V1019" i="14"/>
  <c r="Q1007" i="15"/>
  <c r="A1019" i="14"/>
  <c r="V1018" i="14"/>
  <c r="Q1006" i="15"/>
  <c r="A1018" i="14"/>
  <c r="V1017" i="14"/>
  <c r="Q1005" i="15"/>
  <c r="A1017" i="14"/>
  <c r="V1016" i="14"/>
  <c r="Q1004" i="15"/>
  <c r="A1016" i="14"/>
  <c r="V1015" i="14"/>
  <c r="Q1003" i="15"/>
  <c r="A1015" i="14"/>
  <c r="V1014" i="14"/>
  <c r="Q1002" i="15"/>
  <c r="A1014" i="14"/>
  <c r="V1013" i="14"/>
  <c r="Q1001" i="15"/>
  <c r="A1013" i="14"/>
  <c r="V1012" i="14"/>
  <c r="Q1000" i="15"/>
  <c r="A1012" i="14"/>
  <c r="V1011" i="14"/>
  <c r="Q999" i="15"/>
  <c r="A1011" i="14"/>
  <c r="V1010" i="14"/>
  <c r="Q998" i="15"/>
  <c r="A1010" i="14"/>
  <c r="V1009" i="14"/>
  <c r="Q997" i="15"/>
  <c r="A1009" i="14"/>
  <c r="V1008" i="14"/>
  <c r="Q996" i="15"/>
  <c r="A1008" i="14"/>
  <c r="V1007" i="14"/>
  <c r="Q995" i="15"/>
  <c r="A1007" i="14"/>
  <c r="V1006" i="14"/>
  <c r="Q994" i="15"/>
  <c r="A1006" i="14"/>
  <c r="V1005" i="14"/>
  <c r="Q993" i="15"/>
  <c r="A1005" i="14"/>
  <c r="V1004" i="14"/>
  <c r="Q992" i="15"/>
  <c r="A1004" i="14"/>
  <c r="V1003" i="14"/>
  <c r="Q991" i="15"/>
  <c r="A1003" i="14"/>
  <c r="V1002" i="14"/>
  <c r="Q990" i="15"/>
  <c r="A1002" i="14"/>
  <c r="V1001" i="14"/>
  <c r="Q989" i="15"/>
  <c r="A1001" i="14"/>
  <c r="V1000" i="14"/>
  <c r="Q988" i="15"/>
  <c r="A1000" i="14"/>
  <c r="V999" i="14"/>
  <c r="A999" i="14"/>
  <c r="V998" i="14"/>
  <c r="Q986" i="15"/>
  <c r="A998" i="14"/>
  <c r="V997" i="14"/>
  <c r="Q985" i="15"/>
  <c r="A997" i="14"/>
  <c r="V996" i="14"/>
  <c r="Q984" i="15"/>
  <c r="A996" i="14"/>
  <c r="V995" i="14"/>
  <c r="A995" i="14"/>
  <c r="V994" i="14"/>
  <c r="Q982" i="15"/>
  <c r="A994" i="14"/>
  <c r="V993" i="14"/>
  <c r="Q981" i="15"/>
  <c r="A993" i="14"/>
  <c r="V992" i="14"/>
  <c r="Q980" i="15"/>
  <c r="A992" i="14"/>
  <c r="V991" i="14"/>
  <c r="Q979" i="15"/>
  <c r="A991" i="14"/>
  <c r="V990" i="14"/>
  <c r="Q978" i="15"/>
  <c r="A990" i="14"/>
  <c r="V989" i="14"/>
  <c r="Q977" i="15"/>
  <c r="A989" i="14"/>
  <c r="V988" i="14"/>
  <c r="Q976" i="15"/>
  <c r="A988" i="14"/>
  <c r="V987" i="14"/>
  <c r="Q975" i="15"/>
  <c r="A987" i="14"/>
  <c r="V986" i="14"/>
  <c r="Q974" i="15"/>
  <c r="A986" i="14"/>
  <c r="V985" i="14"/>
  <c r="Q973" i="15"/>
  <c r="A985" i="14"/>
  <c r="V984" i="14"/>
  <c r="AC984" i="14"/>
  <c r="AH984" i="14" s="1"/>
  <c r="AJ984" i="14" s="1"/>
  <c r="A984" i="14"/>
  <c r="V983" i="14"/>
  <c r="AC983" i="14"/>
  <c r="AH983" i="14" s="1"/>
  <c r="AJ983" i="14" s="1"/>
  <c r="A983" i="14"/>
  <c r="V982" i="14"/>
  <c r="AC982" i="14"/>
  <c r="AH982" i="14" s="1"/>
  <c r="AJ982" i="14" s="1"/>
  <c r="A982" i="14"/>
  <c r="V981" i="14"/>
  <c r="AC981" i="14"/>
  <c r="AH981" i="14" s="1"/>
  <c r="AJ981" i="14" s="1"/>
  <c r="A981" i="14"/>
  <c r="V980" i="14"/>
  <c r="AJ980" i="14"/>
  <c r="A980" i="14"/>
  <c r="V979" i="14"/>
  <c r="AJ979" i="14"/>
  <c r="A979" i="14"/>
  <c r="V978" i="14"/>
  <c r="Q966" i="15"/>
  <c r="AC978" i="14"/>
  <c r="AH978" i="14" s="1"/>
  <c r="AJ978" i="14" s="1"/>
  <c r="A978" i="14"/>
  <c r="V977" i="14"/>
  <c r="Q965" i="15"/>
  <c r="AC977" i="14"/>
  <c r="AH977" i="14" s="1"/>
  <c r="AJ977" i="14" s="1"/>
  <c r="A977" i="14"/>
  <c r="V976" i="14"/>
  <c r="Q964" i="15"/>
  <c r="AC976" i="14"/>
  <c r="AH976" i="14" s="1"/>
  <c r="AJ976" i="14" s="1"/>
  <c r="A976" i="14"/>
  <c r="V975" i="14"/>
  <c r="Q963" i="15"/>
  <c r="AC975" i="14"/>
  <c r="AH975" i="14" s="1"/>
  <c r="AJ975" i="14" s="1"/>
  <c r="A975" i="14"/>
  <c r="V974" i="14"/>
  <c r="Q962" i="15"/>
  <c r="AC974" i="14"/>
  <c r="AH974" i="14" s="1"/>
  <c r="AJ974" i="14" s="1"/>
  <c r="A974" i="14"/>
  <c r="V973" i="14"/>
  <c r="Q961" i="15"/>
  <c r="A973" i="14"/>
  <c r="V972" i="14"/>
  <c r="Q960" i="15"/>
  <c r="A972" i="14"/>
  <c r="V971" i="14"/>
  <c r="Q959" i="15"/>
  <c r="A971" i="14"/>
  <c r="V970" i="14"/>
  <c r="Q958" i="15"/>
  <c r="A970" i="14"/>
  <c r="V969" i="14"/>
  <c r="Q957" i="15"/>
  <c r="A969" i="14"/>
  <c r="V968" i="14"/>
  <c r="Q956" i="15"/>
  <c r="A968" i="14"/>
  <c r="V967" i="14"/>
  <c r="Q955" i="15"/>
  <c r="A967" i="14"/>
  <c r="V966" i="14"/>
  <c r="Q954" i="15"/>
  <c r="A966" i="14"/>
  <c r="V965" i="14"/>
  <c r="Q953" i="15"/>
  <c r="A965" i="14"/>
  <c r="V964" i="14"/>
  <c r="Q952" i="15"/>
  <c r="A964" i="14"/>
  <c r="V963" i="14"/>
  <c r="Q951" i="15"/>
  <c r="A963" i="14"/>
  <c r="V962" i="14"/>
  <c r="Q950" i="15"/>
  <c r="A962" i="14"/>
  <c r="V961" i="14"/>
  <c r="Q949" i="15"/>
  <c r="A961" i="14"/>
  <c r="V960" i="14"/>
  <c r="Q948" i="15"/>
  <c r="A960" i="14"/>
  <c r="V959" i="14"/>
  <c r="Q947" i="15"/>
  <c r="A959" i="14"/>
  <c r="V958" i="14"/>
  <c r="Q946" i="15"/>
  <c r="A958" i="14"/>
  <c r="V957" i="14"/>
  <c r="Q945" i="15"/>
  <c r="A957" i="14"/>
  <c r="V956" i="14"/>
  <c r="Q944" i="15"/>
  <c r="A956" i="14"/>
  <c r="V955" i="14"/>
  <c r="Q943" i="15"/>
  <c r="A955" i="14"/>
  <c r="V954" i="14"/>
  <c r="Q942" i="15"/>
  <c r="A954" i="14"/>
  <c r="V953" i="14"/>
  <c r="Q941" i="15"/>
  <c r="A953" i="14"/>
  <c r="V952" i="14"/>
  <c r="Q940" i="15"/>
  <c r="A952" i="14"/>
  <c r="V951" i="14"/>
  <c r="Q939" i="15"/>
  <c r="A951" i="14"/>
  <c r="V950" i="14"/>
  <c r="Q938" i="15"/>
  <c r="A950" i="14"/>
  <c r="V949" i="14"/>
  <c r="Q937" i="15"/>
  <c r="A949" i="14"/>
  <c r="V948" i="14"/>
  <c r="Q936" i="15"/>
  <c r="A948" i="14"/>
  <c r="V947" i="14"/>
  <c r="Q935" i="15"/>
  <c r="A947" i="14"/>
  <c r="V946" i="14"/>
  <c r="Q934" i="15"/>
  <c r="A946" i="14"/>
  <c r="V945" i="14"/>
  <c r="Q933" i="15"/>
  <c r="A945" i="14"/>
  <c r="V944" i="14"/>
  <c r="Q932" i="15"/>
  <c r="A944" i="14"/>
  <c r="V943" i="14"/>
  <c r="Q931" i="15"/>
  <c r="A943" i="14"/>
  <c r="V942" i="14"/>
  <c r="Q930" i="15"/>
  <c r="A942" i="14"/>
  <c r="V941" i="14"/>
  <c r="Q929" i="15"/>
  <c r="A941" i="14"/>
  <c r="V940" i="14"/>
  <c r="Q928" i="15"/>
  <c r="A940" i="14"/>
  <c r="V939" i="14"/>
  <c r="Q927" i="15"/>
  <c r="A939" i="14"/>
  <c r="V938" i="14"/>
  <c r="Q926" i="15"/>
  <c r="A938" i="14"/>
  <c r="V937" i="14"/>
  <c r="Q925" i="15"/>
  <c r="A937" i="14"/>
  <c r="V936" i="14"/>
  <c r="Q924" i="15"/>
  <c r="A936" i="14"/>
  <c r="V935" i="14"/>
  <c r="Q923" i="15"/>
  <c r="A935" i="14"/>
  <c r="V934" i="14"/>
  <c r="A934" i="14"/>
  <c r="V933" i="14"/>
  <c r="Q1014" i="15"/>
  <c r="AC933" i="14"/>
  <c r="AH933" i="14" s="1"/>
  <c r="AJ933" i="14" s="1"/>
  <c r="A933" i="14"/>
  <c r="V932" i="14"/>
  <c r="Q1013" i="15"/>
  <c r="G931" i="14"/>
  <c r="A932" i="14"/>
  <c r="V931" i="14"/>
  <c r="A931" i="14"/>
  <c r="V930" i="14"/>
  <c r="A930" i="14"/>
  <c r="V929" i="14"/>
  <c r="U928" i="14"/>
  <c r="Q919" i="15"/>
  <c r="H928" i="14"/>
  <c r="G928" i="14"/>
  <c r="A929" i="14"/>
  <c r="V928" i="14"/>
  <c r="A928" i="14"/>
  <c r="V927" i="14"/>
  <c r="U926" i="14"/>
  <c r="Q917" i="15"/>
  <c r="G926" i="14"/>
  <c r="A927" i="14"/>
  <c r="V926" i="14"/>
  <c r="A926" i="14"/>
  <c r="V925" i="14"/>
  <c r="U924" i="14"/>
  <c r="Q915" i="15"/>
  <c r="H924" i="14"/>
  <c r="G924" i="14"/>
  <c r="A925" i="14"/>
  <c r="V924" i="14"/>
  <c r="A924" i="14"/>
  <c r="V923" i="14"/>
  <c r="U922" i="14"/>
  <c r="Q913" i="15"/>
  <c r="G922" i="14"/>
  <c r="A923" i="14"/>
  <c r="V922" i="14"/>
  <c r="A922" i="14"/>
  <c r="V921" i="14"/>
  <c r="U920" i="14"/>
  <c r="Q911" i="15"/>
  <c r="G920" i="14"/>
  <c r="A921" i="14"/>
  <c r="V920" i="14"/>
  <c r="A920" i="14"/>
  <c r="V919" i="14"/>
  <c r="U918" i="14"/>
  <c r="Q909" i="15"/>
  <c r="H918" i="14"/>
  <c r="G918" i="14"/>
  <c r="A919" i="14"/>
  <c r="V918" i="14"/>
  <c r="A918" i="14"/>
  <c r="V917" i="14"/>
  <c r="U916" i="14"/>
  <c r="Q907" i="15"/>
  <c r="G916" i="14"/>
  <c r="A917" i="14"/>
  <c r="V916" i="14"/>
  <c r="A916" i="14"/>
  <c r="V915" i="14"/>
  <c r="U914" i="14"/>
  <c r="Q905" i="15"/>
  <c r="G914" i="14"/>
  <c r="A915" i="14"/>
  <c r="V914" i="14"/>
  <c r="A914" i="14"/>
  <c r="V913" i="14"/>
  <c r="A913" i="14"/>
  <c r="V912" i="14"/>
  <c r="Q898" i="15"/>
  <c r="AJ912" i="14"/>
  <c r="A912" i="14"/>
  <c r="V911" i="14"/>
  <c r="Q897" i="15"/>
  <c r="AJ911" i="14"/>
  <c r="A911" i="14"/>
  <c r="V910" i="14"/>
  <c r="Q896" i="15"/>
  <c r="AJ910" i="14"/>
  <c r="A910" i="14"/>
  <c r="V909" i="14"/>
  <c r="Q895" i="15"/>
  <c r="AJ909" i="14"/>
  <c r="A909" i="14"/>
  <c r="V908" i="14"/>
  <c r="Q894" i="15"/>
  <c r="A908" i="14"/>
  <c r="V907" i="14"/>
  <c r="Q893" i="15"/>
  <c r="A907" i="14"/>
  <c r="V906" i="14"/>
  <c r="A906" i="14"/>
  <c r="V905" i="14"/>
  <c r="U904" i="14"/>
  <c r="Q902" i="15"/>
  <c r="AC905" i="14"/>
  <c r="AC904" i="14" s="1"/>
  <c r="G904" i="14"/>
  <c r="A905" i="14"/>
  <c r="V904" i="14"/>
  <c r="A904" i="14"/>
  <c r="V903" i="14"/>
  <c r="U902" i="14"/>
  <c r="Q900" i="15"/>
  <c r="G902" i="14"/>
  <c r="A903" i="14"/>
  <c r="V902" i="14"/>
  <c r="A902" i="14"/>
  <c r="V901" i="14"/>
  <c r="U900" i="14"/>
  <c r="Q891" i="15"/>
  <c r="AC901" i="14"/>
  <c r="G900" i="14"/>
  <c r="A901" i="14"/>
  <c r="V900" i="14"/>
  <c r="A900" i="14"/>
  <c r="V899" i="14"/>
  <c r="U898" i="14"/>
  <c r="Q889" i="15"/>
  <c r="G898" i="14"/>
  <c r="A899" i="14"/>
  <c r="V898" i="14"/>
  <c r="A898" i="14"/>
  <c r="V897" i="14"/>
  <c r="Q887" i="15"/>
  <c r="AJ897" i="14"/>
  <c r="A897" i="14"/>
  <c r="V896" i="14"/>
  <c r="Q886" i="15"/>
  <c r="A896" i="14"/>
  <c r="V895" i="14"/>
  <c r="A895" i="14"/>
  <c r="V894" i="14"/>
  <c r="U893" i="14"/>
  <c r="Q884" i="15"/>
  <c r="H893" i="14"/>
  <c r="G893" i="14"/>
  <c r="A894" i="14"/>
  <c r="V893" i="14"/>
  <c r="A893" i="14"/>
  <c r="V892" i="14"/>
  <c r="A892" i="14"/>
  <c r="V891" i="14"/>
  <c r="U890" i="14"/>
  <c r="U889" i="14" s="1"/>
  <c r="Q881" i="15"/>
  <c r="H890" i="14"/>
  <c r="H889" i="14" s="1"/>
  <c r="G890" i="14"/>
  <c r="G889" i="14" s="1"/>
  <c r="A891" i="14"/>
  <c r="V890" i="14"/>
  <c r="A890" i="14"/>
  <c r="V889" i="14"/>
  <c r="A889" i="14"/>
  <c r="V888" i="14"/>
  <c r="A888" i="14"/>
  <c r="AC887" i="14"/>
  <c r="AH887" i="14" s="1"/>
  <c r="AJ887" i="14" s="1"/>
  <c r="V887" i="14"/>
  <c r="Q877" i="15"/>
  <c r="G886" i="14"/>
  <c r="G885" i="14" s="1"/>
  <c r="A887" i="14"/>
  <c r="AH886" i="14"/>
  <c r="AC886" i="14"/>
  <c r="AC885" i="14" s="1"/>
  <c r="V886" i="14"/>
  <c r="U886" i="14"/>
  <c r="U885" i="14" s="1"/>
  <c r="H886" i="14"/>
  <c r="H885" i="14" s="1"/>
  <c r="A886" i="14"/>
  <c r="V885" i="14"/>
  <c r="A885" i="14"/>
  <c r="V884" i="14"/>
  <c r="Q874" i="15"/>
  <c r="A884" i="14"/>
  <c r="V883" i="14"/>
  <c r="Q873" i="15"/>
  <c r="A883" i="14"/>
  <c r="V882" i="14"/>
  <c r="Q872" i="15"/>
  <c r="A882" i="14"/>
  <c r="V881" i="14"/>
  <c r="Q871" i="15"/>
  <c r="A881" i="14"/>
  <c r="V880" i="14"/>
  <c r="Q870" i="15"/>
  <c r="A880" i="14"/>
  <c r="V879" i="14"/>
  <c r="Q869" i="15"/>
  <c r="A879" i="14"/>
  <c r="V878" i="14"/>
  <c r="Q868" i="15"/>
  <c r="A878" i="14"/>
  <c r="V877" i="14"/>
  <c r="Q867" i="15"/>
  <c r="A877" i="14"/>
  <c r="V876" i="14"/>
  <c r="Q866" i="15"/>
  <c r="A876" i="14"/>
  <c r="V875" i="14"/>
  <c r="Q865" i="15"/>
  <c r="A875" i="14"/>
  <c r="V874" i="14"/>
  <c r="Q864" i="15"/>
  <c r="A874" i="14"/>
  <c r="V873" i="14"/>
  <c r="Q863" i="15"/>
  <c r="A873" i="14"/>
  <c r="V872" i="14"/>
  <c r="Q862" i="15"/>
  <c r="A872" i="14"/>
  <c r="V871" i="14"/>
  <c r="Q861" i="15"/>
  <c r="A871" i="14"/>
  <c r="V870" i="14"/>
  <c r="Q860" i="15"/>
  <c r="A870" i="14"/>
  <c r="V869" i="14"/>
  <c r="Q859" i="15"/>
  <c r="A869" i="14"/>
  <c r="V868" i="14"/>
  <c r="Q858" i="15"/>
  <c r="A868" i="14"/>
  <c r="V867" i="14"/>
  <c r="A867" i="14"/>
  <c r="V866" i="14"/>
  <c r="A866" i="14"/>
  <c r="V865" i="14"/>
  <c r="Q855" i="15"/>
  <c r="AJ865" i="14"/>
  <c r="A865" i="14"/>
  <c r="V864" i="14"/>
  <c r="Q854" i="15"/>
  <c r="AJ864" i="14"/>
  <c r="A864" i="14"/>
  <c r="V863" i="14"/>
  <c r="Q853" i="15"/>
  <c r="AJ863" i="14"/>
  <c r="A863" i="14"/>
  <c r="V862" i="14"/>
  <c r="Q852" i="15"/>
  <c r="AJ862" i="14"/>
  <c r="A862" i="14"/>
  <c r="V861" i="14"/>
  <c r="Q851" i="15"/>
  <c r="AJ861" i="14"/>
  <c r="A861" i="14"/>
  <c r="V860" i="14"/>
  <c r="Q850" i="15"/>
  <c r="AJ860" i="14"/>
  <c r="A860" i="14"/>
  <c r="V859" i="14"/>
  <c r="Q849" i="15"/>
  <c r="AJ859" i="14"/>
  <c r="A859" i="14"/>
  <c r="V858" i="14"/>
  <c r="Q848" i="15"/>
  <c r="AJ858" i="14"/>
  <c r="A858" i="14"/>
  <c r="V857" i="14"/>
  <c r="Q847" i="15"/>
  <c r="AJ857" i="14"/>
  <c r="A857" i="14"/>
  <c r="V856" i="14"/>
  <c r="Q846" i="15"/>
  <c r="A856" i="14"/>
  <c r="V855" i="14"/>
  <c r="Q845" i="15"/>
  <c r="AJ855" i="14"/>
  <c r="A855" i="14"/>
  <c r="V854" i="14"/>
  <c r="Q844" i="15"/>
  <c r="A854" i="14"/>
  <c r="V853" i="14"/>
  <c r="A853" i="14"/>
  <c r="V852" i="14"/>
  <c r="U851" i="14"/>
  <c r="Q842" i="15"/>
  <c r="H851" i="14"/>
  <c r="G851" i="14"/>
  <c r="A852" i="14"/>
  <c r="V851" i="14"/>
  <c r="A851" i="14"/>
  <c r="V850" i="14"/>
  <c r="U849" i="14"/>
  <c r="Q840" i="15"/>
  <c r="AC850" i="14"/>
  <c r="AC849" i="14" s="1"/>
  <c r="G849" i="14"/>
  <c r="A850" i="14"/>
  <c r="V849" i="14"/>
  <c r="A849" i="14"/>
  <c r="V848" i="14"/>
  <c r="A848" i="14"/>
  <c r="V847" i="14"/>
  <c r="Q837" i="15"/>
  <c r="A847" i="14"/>
  <c r="V846" i="14"/>
  <c r="Q836" i="15"/>
  <c r="A846" i="14"/>
  <c r="V845" i="14"/>
  <c r="Q835" i="15"/>
  <c r="A845" i="14"/>
  <c r="V844" i="14"/>
  <c r="A844" i="14"/>
  <c r="V843" i="14"/>
  <c r="U842" i="14"/>
  <c r="Q833" i="15"/>
  <c r="H842" i="14"/>
  <c r="G842" i="14"/>
  <c r="A843" i="14"/>
  <c r="V842" i="14"/>
  <c r="A842" i="14"/>
  <c r="V841" i="14"/>
  <c r="U840" i="14"/>
  <c r="Q831" i="15"/>
  <c r="AC841" i="14"/>
  <c r="AH841" i="14" s="1"/>
  <c r="AH840" i="14" s="1"/>
  <c r="G840" i="14"/>
  <c r="A841" i="14"/>
  <c r="V840" i="14"/>
  <c r="A840" i="14"/>
  <c r="V839" i="14"/>
  <c r="U838" i="14"/>
  <c r="Q829" i="15"/>
  <c r="H838" i="14"/>
  <c r="G838" i="14"/>
  <c r="A839" i="14"/>
  <c r="V838" i="14"/>
  <c r="A838" i="14"/>
  <c r="V837" i="14"/>
  <c r="U836" i="14"/>
  <c r="Q827" i="15"/>
  <c r="H836" i="14"/>
  <c r="G836" i="14"/>
  <c r="A837" i="14"/>
  <c r="V836" i="14"/>
  <c r="A836" i="14"/>
  <c r="V835" i="14"/>
  <c r="A835" i="14"/>
  <c r="V834" i="14"/>
  <c r="Q823" i="15"/>
  <c r="A834" i="14"/>
  <c r="V833" i="14"/>
  <c r="Q822" i="15"/>
  <c r="A833" i="14"/>
  <c r="V832" i="14"/>
  <c r="Q821" i="15"/>
  <c r="A832" i="14"/>
  <c r="V831" i="14"/>
  <c r="Q820" i="15"/>
  <c r="A831" i="14"/>
  <c r="V830" i="14"/>
  <c r="Q819" i="15"/>
  <c r="A830" i="14"/>
  <c r="V829" i="14"/>
  <c r="Q818" i="15"/>
  <c r="A829" i="14"/>
  <c r="V828" i="14"/>
  <c r="Q817" i="15"/>
  <c r="A828" i="14"/>
  <c r="V827" i="14"/>
  <c r="Q816" i="15"/>
  <c r="A827" i="14"/>
  <c r="V826" i="14"/>
  <c r="Q815" i="15"/>
  <c r="A826" i="14"/>
  <c r="V825" i="14"/>
  <c r="Q814" i="15"/>
  <c r="A825" i="14"/>
  <c r="V824" i="14"/>
  <c r="Q813" i="15"/>
  <c r="A824" i="14"/>
  <c r="V823" i="14"/>
  <c r="Q812" i="15"/>
  <c r="A823" i="14"/>
  <c r="V822" i="14"/>
  <c r="Q811" i="15"/>
  <c r="A822" i="14"/>
  <c r="V821" i="14"/>
  <c r="Q810" i="15"/>
  <c r="A821" i="14"/>
  <c r="V820" i="14"/>
  <c r="Q809" i="15"/>
  <c r="A820" i="14"/>
  <c r="V819" i="14"/>
  <c r="Q808" i="15"/>
  <c r="A819" i="14"/>
  <c r="V818" i="14"/>
  <c r="Q807" i="15"/>
  <c r="A818" i="14"/>
  <c r="V817" i="14"/>
  <c r="Q806" i="15"/>
  <c r="A817" i="14"/>
  <c r="V816" i="14"/>
  <c r="Q805" i="15"/>
  <c r="A816" i="14"/>
  <c r="V815" i="14"/>
  <c r="Q804" i="15"/>
  <c r="A815" i="14"/>
  <c r="V814" i="14"/>
  <c r="Q803" i="15"/>
  <c r="A814" i="14"/>
  <c r="V813" i="14"/>
  <c r="Q802" i="15"/>
  <c r="A813" i="14"/>
  <c r="V812" i="14"/>
  <c r="Q801" i="15"/>
  <c r="A812" i="14"/>
  <c r="V811" i="14"/>
  <c r="A811" i="14"/>
  <c r="V810" i="14"/>
  <c r="A810" i="14"/>
  <c r="V809" i="14"/>
  <c r="Q798" i="15"/>
  <c r="A809" i="14"/>
  <c r="V808" i="14"/>
  <c r="Q797" i="15"/>
  <c r="A808" i="14"/>
  <c r="V807" i="14"/>
  <c r="Q796" i="15"/>
  <c r="A807" i="14"/>
  <c r="V806" i="14"/>
  <c r="Q795" i="15"/>
  <c r="A806" i="14"/>
  <c r="V805" i="14"/>
  <c r="Q794" i="15"/>
  <c r="A805" i="14"/>
  <c r="V804" i="14"/>
  <c r="Q793" i="15"/>
  <c r="A804" i="14"/>
  <c r="V803" i="14"/>
  <c r="Q792" i="15"/>
  <c r="A803" i="14"/>
  <c r="V802" i="14"/>
  <c r="Q791" i="15"/>
  <c r="A802" i="14"/>
  <c r="V801" i="14"/>
  <c r="Q790" i="15"/>
  <c r="A801" i="14"/>
  <c r="V800" i="14"/>
  <c r="Q789" i="15"/>
  <c r="A800" i="14"/>
  <c r="V799" i="14"/>
  <c r="Q788" i="15"/>
  <c r="A799" i="14"/>
  <c r="V798" i="14"/>
  <c r="Q787" i="15"/>
  <c r="A798" i="14"/>
  <c r="V797" i="14"/>
  <c r="Q786" i="15"/>
  <c r="A797" i="14"/>
  <c r="V796" i="14"/>
  <c r="Q785" i="15"/>
  <c r="A796" i="14"/>
  <c r="V795" i="14"/>
  <c r="Q784" i="15"/>
  <c r="A795" i="14"/>
  <c r="V794" i="14"/>
  <c r="Q783" i="15"/>
  <c r="A794" i="14"/>
  <c r="V793" i="14"/>
  <c r="Q782" i="15"/>
  <c r="A793" i="14"/>
  <c r="V792" i="14"/>
  <c r="Q781" i="15"/>
  <c r="A792" i="14"/>
  <c r="V791" i="14"/>
  <c r="Q780" i="15"/>
  <c r="A791" i="14"/>
  <c r="V790" i="14"/>
  <c r="Q779" i="15"/>
  <c r="A790" i="14"/>
  <c r="V789" i="14"/>
  <c r="Q778" i="15"/>
  <c r="A789" i="14"/>
  <c r="V788" i="14"/>
  <c r="Q777" i="15"/>
  <c r="A788" i="14"/>
  <c r="V787" i="14"/>
  <c r="Q776" i="15"/>
  <c r="A787" i="14"/>
  <c r="V786" i="14"/>
  <c r="Q775" i="15"/>
  <c r="A786" i="14"/>
  <c r="V785" i="14"/>
  <c r="Q774" i="15"/>
  <c r="A785" i="14"/>
  <c r="V784" i="14"/>
  <c r="Q773" i="15"/>
  <c r="A784" i="14"/>
  <c r="V783" i="14"/>
  <c r="Q772" i="15"/>
  <c r="A783" i="14"/>
  <c r="V782" i="14"/>
  <c r="Q771" i="15"/>
  <c r="A782" i="14"/>
  <c r="V781" i="14"/>
  <c r="Q770" i="15"/>
  <c r="A781" i="14"/>
  <c r="V780" i="14"/>
  <c r="Q769" i="15"/>
  <c r="A780" i="14"/>
  <c r="V779" i="14"/>
  <c r="Q768" i="15"/>
  <c r="A779" i="14"/>
  <c r="V778" i="14"/>
  <c r="Q767" i="15"/>
  <c r="A778" i="14"/>
  <c r="V777" i="14"/>
  <c r="Q766" i="15"/>
  <c r="AC777" i="14"/>
  <c r="AH777" i="14" s="1"/>
  <c r="AJ777" i="14" s="1"/>
  <c r="A777" i="14"/>
  <c r="V776" i="14"/>
  <c r="Q765" i="15"/>
  <c r="AJ776" i="14"/>
  <c r="A776" i="14"/>
  <c r="V775" i="14"/>
  <c r="Q764" i="15"/>
  <c r="AC775" i="14"/>
  <c r="AH775" i="14" s="1"/>
  <c r="AJ775" i="14" s="1"/>
  <c r="A775" i="14"/>
  <c r="V774" i="14"/>
  <c r="Q763" i="15"/>
  <c r="A774" i="14"/>
  <c r="V773" i="14"/>
  <c r="A773" i="14"/>
  <c r="V772" i="14"/>
  <c r="Q761" i="15"/>
  <c r="AC772" i="14"/>
  <c r="AH772" i="14" s="1"/>
  <c r="AJ772" i="14" s="1"/>
  <c r="A772" i="14"/>
  <c r="V771" i="14"/>
  <c r="Q760" i="15"/>
  <c r="AC771" i="14"/>
  <c r="AH771" i="14" s="1"/>
  <c r="AJ771" i="14" s="1"/>
  <c r="A771" i="14"/>
  <c r="V770" i="14"/>
  <c r="Q759" i="15"/>
  <c r="G769" i="14"/>
  <c r="A770" i="14"/>
  <c r="V769" i="14"/>
  <c r="A769" i="14"/>
  <c r="V768" i="14"/>
  <c r="A768" i="14"/>
  <c r="V767" i="14"/>
  <c r="Q756" i="15"/>
  <c r="A767" i="14"/>
  <c r="V766" i="14"/>
  <c r="Q755" i="15"/>
  <c r="A766" i="14"/>
  <c r="V765" i="14"/>
  <c r="Q754" i="15"/>
  <c r="A765" i="14"/>
  <c r="V764" i="14"/>
  <c r="Q753" i="15"/>
  <c r="A764" i="14"/>
  <c r="V763" i="14"/>
  <c r="Q752" i="15"/>
  <c r="A763" i="14"/>
  <c r="V762" i="14"/>
  <c r="Q751" i="15"/>
  <c r="A762" i="14"/>
  <c r="V761" i="14"/>
  <c r="Q750" i="15"/>
  <c r="A761" i="14"/>
  <c r="V760" i="14"/>
  <c r="Q749" i="15"/>
  <c r="A760" i="14"/>
  <c r="V759" i="14"/>
  <c r="Q748" i="15"/>
  <c r="A759" i="14"/>
  <c r="V758" i="14"/>
  <c r="Q747" i="15"/>
  <c r="A758" i="14"/>
  <c r="V757" i="14"/>
  <c r="Q746" i="15"/>
  <c r="A757" i="14"/>
  <c r="V756" i="14"/>
  <c r="Q745" i="15"/>
  <c r="A756" i="14"/>
  <c r="V755" i="14"/>
  <c r="Q744" i="15"/>
  <c r="A755" i="14"/>
  <c r="V754" i="14"/>
  <c r="Q743" i="15"/>
  <c r="A754" i="14"/>
  <c r="V753" i="14"/>
  <c r="Q742" i="15"/>
  <c r="A753" i="14"/>
  <c r="V752" i="14"/>
  <c r="Q741" i="15"/>
  <c r="A752" i="14"/>
  <c r="V751" i="14"/>
  <c r="Q740" i="15"/>
  <c r="A751" i="14"/>
  <c r="V750" i="14"/>
  <c r="Q739" i="15"/>
  <c r="A750" i="14"/>
  <c r="V749" i="14"/>
  <c r="Q738" i="15"/>
  <c r="A749" i="14"/>
  <c r="V748" i="14"/>
  <c r="Q737" i="15"/>
  <c r="A748" i="14"/>
  <c r="V747" i="14"/>
  <c r="Q736" i="15"/>
  <c r="A747" i="14"/>
  <c r="V746" i="14"/>
  <c r="Q735" i="15"/>
  <c r="A746" i="14"/>
  <c r="V745" i="14"/>
  <c r="Q734" i="15"/>
  <c r="A745" i="14"/>
  <c r="V744" i="14"/>
  <c r="Q733" i="15"/>
  <c r="A744" i="14"/>
  <c r="V743" i="14"/>
  <c r="Q732" i="15"/>
  <c r="A743" i="14"/>
  <c r="V742" i="14"/>
  <c r="Q731" i="15"/>
  <c r="A742" i="14"/>
  <c r="V741" i="14"/>
  <c r="Q730" i="15"/>
  <c r="A741" i="14"/>
  <c r="V740" i="14"/>
  <c r="Q729" i="15"/>
  <c r="A740" i="14"/>
  <c r="V739" i="14"/>
  <c r="Q728" i="15"/>
  <c r="A739" i="14"/>
  <c r="V738" i="14"/>
  <c r="Q727" i="15"/>
  <c r="A738" i="14"/>
  <c r="V737" i="14"/>
  <c r="Q726" i="15"/>
  <c r="A737" i="14"/>
  <c r="V736" i="14"/>
  <c r="Q725" i="15"/>
  <c r="A736" i="14"/>
  <c r="V735" i="14"/>
  <c r="Q724" i="15"/>
  <c r="A735" i="14"/>
  <c r="V734" i="14"/>
  <c r="Q723" i="15"/>
  <c r="A734" i="14"/>
  <c r="V733" i="14"/>
  <c r="Q722" i="15"/>
  <c r="A733" i="14"/>
  <c r="V732" i="14"/>
  <c r="Q721" i="15"/>
  <c r="A732" i="14"/>
  <c r="V731" i="14"/>
  <c r="Q720" i="15"/>
  <c r="A731" i="14"/>
  <c r="V730" i="14"/>
  <c r="A730" i="14"/>
  <c r="V729" i="14"/>
  <c r="A729" i="14"/>
  <c r="V728" i="14"/>
  <c r="A728" i="14"/>
  <c r="V727" i="14"/>
  <c r="A727" i="14"/>
  <c r="V726" i="14"/>
  <c r="A726" i="14"/>
  <c r="V725" i="14"/>
  <c r="A725" i="14"/>
  <c r="V724" i="14"/>
  <c r="A724" i="14"/>
  <c r="V723" i="14"/>
  <c r="A723" i="14"/>
  <c r="V722" i="14"/>
  <c r="A722" i="14"/>
  <c r="V721" i="14"/>
  <c r="Q710" i="15"/>
  <c r="A721" i="14"/>
  <c r="V720" i="14"/>
  <c r="Q709" i="15"/>
  <c r="A720" i="14"/>
  <c r="V719" i="14"/>
  <c r="Q708" i="15"/>
  <c r="A719" i="14"/>
  <c r="V718" i="14"/>
  <c r="A718" i="14"/>
  <c r="V717" i="14"/>
  <c r="U716" i="14"/>
  <c r="Q706" i="15"/>
  <c r="AC717" i="14"/>
  <c r="AH717" i="14" s="1"/>
  <c r="AJ717" i="14" s="1"/>
  <c r="G716" i="14"/>
  <c r="A717" i="14"/>
  <c r="V716" i="14"/>
  <c r="AC716" i="14"/>
  <c r="AH716" i="14" s="1"/>
  <c r="A716" i="14"/>
  <c r="V715" i="14"/>
  <c r="Q704" i="15"/>
  <c r="AJ715" i="14"/>
  <c r="A715" i="14"/>
  <c r="V714" i="14"/>
  <c r="Q703" i="15"/>
  <c r="AJ714" i="14"/>
  <c r="A714" i="14"/>
  <c r="V713" i="14"/>
  <c r="Q702" i="15"/>
  <c r="A713" i="14"/>
  <c r="V712" i="14"/>
  <c r="A712" i="14"/>
  <c r="V711" i="14"/>
  <c r="U710" i="14"/>
  <c r="Q700" i="15"/>
  <c r="H710" i="14"/>
  <c r="G710" i="14"/>
  <c r="A711" i="14"/>
  <c r="V710" i="14"/>
  <c r="A710" i="14"/>
  <c r="V709" i="14"/>
  <c r="A709" i="14"/>
  <c r="V708" i="14"/>
  <c r="A708" i="14"/>
  <c r="V707" i="14"/>
  <c r="A707" i="14"/>
  <c r="V706" i="14"/>
  <c r="A706" i="14"/>
  <c r="V705" i="14"/>
  <c r="A705" i="14"/>
  <c r="V704" i="14"/>
  <c r="A704" i="14"/>
  <c r="V703" i="14"/>
  <c r="A703" i="14"/>
  <c r="V702" i="14"/>
  <c r="Q1751" i="15"/>
  <c r="A702" i="14"/>
  <c r="V701" i="14"/>
  <c r="Q1750" i="15"/>
  <c r="A701" i="14"/>
  <c r="V700" i="14"/>
  <c r="Q1749" i="15"/>
  <c r="A700" i="14"/>
  <c r="V699" i="14"/>
  <c r="Q1748" i="15"/>
  <c r="A699" i="14"/>
  <c r="V698" i="14"/>
  <c r="Q1747" i="15"/>
  <c r="A698" i="14"/>
  <c r="V697" i="14"/>
  <c r="Q1746" i="15"/>
  <c r="A697" i="14"/>
  <c r="V696" i="14"/>
  <c r="A696" i="14"/>
  <c r="V695" i="14"/>
  <c r="A695" i="14"/>
  <c r="V694" i="14"/>
  <c r="U693" i="14"/>
  <c r="U692" i="14" s="1"/>
  <c r="Q1754" i="15"/>
  <c r="G693" i="14"/>
  <c r="G692" i="14" s="1"/>
  <c r="A694" i="14"/>
  <c r="V693" i="14"/>
  <c r="A693" i="14"/>
  <c r="V692" i="14"/>
  <c r="A692" i="14"/>
  <c r="V691" i="14"/>
  <c r="U690" i="14"/>
  <c r="U689" i="14" s="1"/>
  <c r="Q1743" i="15"/>
  <c r="G690" i="14"/>
  <c r="G689" i="14" s="1"/>
  <c r="A691" i="14"/>
  <c r="V690" i="14"/>
  <c r="A690" i="14"/>
  <c r="V689" i="14"/>
  <c r="A689" i="14"/>
  <c r="V688" i="14"/>
  <c r="U687" i="14"/>
  <c r="U686" i="14" s="1"/>
  <c r="Q1740" i="15"/>
  <c r="H687" i="14"/>
  <c r="H686" i="14" s="1"/>
  <c r="G687" i="14"/>
  <c r="G686" i="14" s="1"/>
  <c r="A688" i="14"/>
  <c r="V687" i="14"/>
  <c r="A687" i="14"/>
  <c r="V686" i="14"/>
  <c r="A686" i="14"/>
  <c r="V685" i="14"/>
  <c r="U684" i="14"/>
  <c r="U683" i="14" s="1"/>
  <c r="Q1737" i="15"/>
  <c r="G684" i="14"/>
  <c r="G683" i="14" s="1"/>
  <c r="A685" i="14"/>
  <c r="V684" i="14"/>
  <c r="A684" i="14"/>
  <c r="V683" i="14"/>
  <c r="A683" i="14"/>
  <c r="V682" i="14"/>
  <c r="A682" i="14"/>
  <c r="V681" i="14"/>
  <c r="Q685" i="15"/>
  <c r="AJ681" i="14"/>
  <c r="A681" i="14"/>
  <c r="V680" i="14"/>
  <c r="Q684" i="15"/>
  <c r="AJ680" i="14"/>
  <c r="A680" i="14"/>
  <c r="V679" i="14"/>
  <c r="Q683" i="15"/>
  <c r="A679" i="14"/>
  <c r="V678" i="14"/>
  <c r="Q682" i="15"/>
  <c r="A678" i="14"/>
  <c r="V677" i="14"/>
  <c r="A677" i="14"/>
  <c r="V676" i="14"/>
  <c r="Q680" i="15"/>
  <c r="AJ676" i="14"/>
  <c r="A676" i="14"/>
  <c r="V675" i="14"/>
  <c r="Q679" i="15"/>
  <c r="AJ675" i="14"/>
  <c r="A675" i="14"/>
  <c r="V674" i="14"/>
  <c r="Q678" i="15"/>
  <c r="AJ674" i="14"/>
  <c r="A674" i="14"/>
  <c r="V673" i="14"/>
  <c r="Q677" i="15"/>
  <c r="AJ673" i="14"/>
  <c r="A673" i="14"/>
  <c r="AC672" i="14"/>
  <c r="V672" i="14"/>
  <c r="Q676" i="15"/>
  <c r="A672" i="14"/>
  <c r="V671" i="14"/>
  <c r="A671" i="14"/>
  <c r="V670" i="14"/>
  <c r="A670" i="14"/>
  <c r="V669" i="14"/>
  <c r="Q673" i="15"/>
  <c r="AJ669" i="14"/>
  <c r="A669" i="14"/>
  <c r="V668" i="14"/>
  <c r="Q672" i="15"/>
  <c r="AJ668" i="14"/>
  <c r="A668" i="14"/>
  <c r="V667" i="14"/>
  <c r="Q671" i="15"/>
  <c r="A667" i="14"/>
  <c r="V666" i="14"/>
  <c r="A666" i="14"/>
  <c r="V665" i="14"/>
  <c r="Q669" i="15"/>
  <c r="AJ665" i="14"/>
  <c r="A665" i="14"/>
  <c r="V664" i="14"/>
  <c r="Q668" i="15"/>
  <c r="AJ664" i="14"/>
  <c r="A664" i="14"/>
  <c r="V663" i="14"/>
  <c r="Q667" i="15"/>
  <c r="AJ663" i="14"/>
  <c r="A663" i="14"/>
  <c r="V662" i="14"/>
  <c r="Q666" i="15"/>
  <c r="AJ662" i="14"/>
  <c r="A662" i="14"/>
  <c r="V661" i="14"/>
  <c r="Q665" i="15"/>
  <c r="A661" i="14"/>
  <c r="V660" i="14"/>
  <c r="A660" i="14"/>
  <c r="V659" i="14"/>
  <c r="A659" i="14"/>
  <c r="V658" i="14"/>
  <c r="A658" i="14"/>
  <c r="V657" i="14"/>
  <c r="U656" i="14"/>
  <c r="Q661" i="15"/>
  <c r="H656" i="14"/>
  <c r="G656" i="14"/>
  <c r="A657" i="14"/>
  <c r="V656" i="14"/>
  <c r="A656" i="14"/>
  <c r="V655" i="14"/>
  <c r="U654" i="14"/>
  <c r="Q659" i="15"/>
  <c r="AC655" i="14"/>
  <c r="G654" i="14"/>
  <c r="A655" i="14"/>
  <c r="V654" i="14"/>
  <c r="A654" i="14"/>
  <c r="V653" i="14"/>
  <c r="Q657" i="15"/>
  <c r="A653" i="14"/>
  <c r="V652" i="14"/>
  <c r="Q656" i="15"/>
  <c r="A652" i="14"/>
  <c r="V651" i="14"/>
  <c r="Q655" i="15"/>
  <c r="A651" i="14"/>
  <c r="V650" i="14"/>
  <c r="Q654" i="15"/>
  <c r="A650" i="14"/>
  <c r="V649" i="14"/>
  <c r="Q653" i="15"/>
  <c r="A649" i="14"/>
  <c r="V648" i="14"/>
  <c r="Q652" i="15"/>
  <c r="A648" i="14"/>
  <c r="V647" i="14"/>
  <c r="Q651" i="15"/>
  <c r="A647" i="14"/>
  <c r="V646" i="14"/>
  <c r="Q650" i="15"/>
  <c r="A646" i="14"/>
  <c r="V645" i="14"/>
  <c r="A645" i="14"/>
  <c r="V644" i="14"/>
  <c r="Q648" i="15"/>
  <c r="AJ644" i="14"/>
  <c r="A644" i="14"/>
  <c r="V643" i="14"/>
  <c r="Q647" i="15"/>
  <c r="AJ643" i="14"/>
  <c r="A643" i="14"/>
  <c r="V642" i="14"/>
  <c r="Q646" i="15"/>
  <c r="AC642" i="14"/>
  <c r="AH642" i="14" s="1"/>
  <c r="AJ642" i="14" s="1"/>
  <c r="A642" i="14"/>
  <c r="V641" i="14"/>
  <c r="Q645" i="15"/>
  <c r="A641" i="14"/>
  <c r="V640" i="14"/>
  <c r="Q644" i="15"/>
  <c r="A640" i="14"/>
  <c r="V639" i="14"/>
  <c r="Q643" i="15"/>
  <c r="A639" i="14"/>
  <c r="V638" i="14"/>
  <c r="Q642" i="15"/>
  <c r="A638" i="14"/>
  <c r="V637" i="14"/>
  <c r="Q641" i="15"/>
  <c r="A637" i="14"/>
  <c r="V636" i="14"/>
  <c r="Q640" i="15"/>
  <c r="A636" i="14"/>
  <c r="V635" i="14"/>
  <c r="Q639" i="15"/>
  <c r="A635" i="14"/>
  <c r="V634" i="14"/>
  <c r="Q638" i="15"/>
  <c r="A634" i="14"/>
  <c r="V633" i="14"/>
  <c r="Q637" i="15"/>
  <c r="A633" i="14"/>
  <c r="V632" i="14"/>
  <c r="Q636" i="15"/>
  <c r="A632" i="14"/>
  <c r="V631" i="14"/>
  <c r="Q635" i="15"/>
  <c r="A631" i="14"/>
  <c r="V630" i="14"/>
  <c r="Q634" i="15"/>
  <c r="A630" i="14"/>
  <c r="V629" i="14"/>
  <c r="Q633" i="15"/>
  <c r="A629" i="14"/>
  <c r="V628" i="14"/>
  <c r="Q632" i="15"/>
  <c r="A628" i="14"/>
  <c r="V627" i="14"/>
  <c r="Q631" i="15"/>
  <c r="A627" i="14"/>
  <c r="V626" i="14"/>
  <c r="Q630" i="15"/>
  <c r="A626" i="14"/>
  <c r="V625" i="14"/>
  <c r="Q629" i="15"/>
  <c r="A625" i="14"/>
  <c r="V624" i="14"/>
  <c r="Q628" i="15"/>
  <c r="A624" i="14"/>
  <c r="V623" i="14"/>
  <c r="A623" i="14"/>
  <c r="V622" i="14"/>
  <c r="A622" i="14"/>
  <c r="V621" i="14"/>
  <c r="U620" i="14"/>
  <c r="Q625" i="15"/>
  <c r="G620" i="14"/>
  <c r="A621" i="14"/>
  <c r="V620" i="14"/>
  <c r="A620" i="14"/>
  <c r="V619" i="14"/>
  <c r="Q623" i="15"/>
  <c r="AC619" i="14"/>
  <c r="AH619" i="14" s="1"/>
  <c r="AJ619" i="14" s="1"/>
  <c r="A619" i="14"/>
  <c r="V618" i="14"/>
  <c r="Q622" i="15"/>
  <c r="A618" i="14"/>
  <c r="V617" i="14"/>
  <c r="Q621" i="15"/>
  <c r="AC617" i="14"/>
  <c r="AH617" i="14" s="1"/>
  <c r="AJ617" i="14" s="1"/>
  <c r="A617" i="14"/>
  <c r="V616" i="14"/>
  <c r="A616" i="14"/>
  <c r="V615" i="14"/>
  <c r="A615" i="14"/>
  <c r="V614" i="14"/>
  <c r="Q605" i="15"/>
  <c r="AC614" i="14"/>
  <c r="AH614" i="14" s="1"/>
  <c r="AJ614" i="14" s="1"/>
  <c r="A614" i="14"/>
  <c r="V613" i="14"/>
  <c r="Q604" i="15"/>
  <c r="AC613" i="14"/>
  <c r="AH613" i="14" s="1"/>
  <c r="AJ613" i="14" s="1"/>
  <c r="A613" i="14"/>
  <c r="V612" i="14"/>
  <c r="Q603" i="15"/>
  <c r="AC612" i="14"/>
  <c r="AH612" i="14" s="1"/>
  <c r="AJ612" i="14" s="1"/>
  <c r="A612" i="14"/>
  <c r="V611" i="14"/>
  <c r="Q602" i="15"/>
  <c r="AC611" i="14"/>
  <c r="AH611" i="14" s="1"/>
  <c r="AJ611" i="14" s="1"/>
  <c r="A611" i="14"/>
  <c r="V610" i="14"/>
  <c r="Q601" i="15"/>
  <c r="AC610" i="14"/>
  <c r="AH610" i="14" s="1"/>
  <c r="AJ610" i="14" s="1"/>
  <c r="A610" i="14"/>
  <c r="V609" i="14"/>
  <c r="Q600" i="15"/>
  <c r="A609" i="14"/>
  <c r="V608" i="14"/>
  <c r="A608" i="14"/>
  <c r="V607" i="14"/>
  <c r="Q598" i="15"/>
  <c r="A607" i="14"/>
  <c r="V606" i="14"/>
  <c r="Q597" i="15"/>
  <c r="A606" i="14"/>
  <c r="V605" i="14"/>
  <c r="Q596" i="15"/>
  <c r="A605" i="14"/>
  <c r="V604" i="14"/>
  <c r="Q595" i="15"/>
  <c r="A604" i="14"/>
  <c r="V603" i="14"/>
  <c r="Q594" i="15"/>
  <c r="A603" i="14"/>
  <c r="V602" i="14"/>
  <c r="Q593" i="15"/>
  <c r="A602" i="14"/>
  <c r="V601" i="14"/>
  <c r="Q592" i="15"/>
  <c r="A601" i="14"/>
  <c r="V600" i="14"/>
  <c r="Q591" i="15"/>
  <c r="A600" i="14"/>
  <c r="V599" i="14"/>
  <c r="Q590" i="15"/>
  <c r="A599" i="14"/>
  <c r="V598" i="14"/>
  <c r="Q560" i="15"/>
  <c r="AC598" i="14"/>
  <c r="AH598" i="14" s="1"/>
  <c r="AJ598" i="14" s="1"/>
  <c r="A598" i="14"/>
  <c r="V597" i="14"/>
  <c r="Q589" i="15"/>
  <c r="AC597" i="14"/>
  <c r="AH597" i="14" s="1"/>
  <c r="AJ597" i="14" s="1"/>
  <c r="A597" i="14"/>
  <c r="V596" i="14"/>
  <c r="Q588" i="15"/>
  <c r="A596" i="14"/>
  <c r="V595" i="14"/>
  <c r="Q587" i="15"/>
  <c r="A595" i="14"/>
  <c r="V594" i="14"/>
  <c r="Q586" i="15"/>
  <c r="A594" i="14"/>
  <c r="V593" i="14"/>
  <c r="Q585" i="15"/>
  <c r="A593" i="14"/>
  <c r="V592" i="14"/>
  <c r="Q584" i="15"/>
  <c r="A592" i="14"/>
  <c r="V591" i="14"/>
  <c r="Q583" i="15"/>
  <c r="A591" i="14"/>
  <c r="V590" i="14"/>
  <c r="Q582" i="15"/>
  <c r="A590" i="14"/>
  <c r="V589" i="14"/>
  <c r="Q581" i="15"/>
  <c r="A589" i="14"/>
  <c r="V588" i="14"/>
  <c r="Q580" i="15"/>
  <c r="A588" i="14"/>
  <c r="V587" i="14"/>
  <c r="Q579" i="15"/>
  <c r="A587" i="14"/>
  <c r="V586" i="14"/>
  <c r="A586" i="14"/>
  <c r="V585" i="14"/>
  <c r="A585" i="14"/>
  <c r="V584" i="14"/>
  <c r="A584" i="14"/>
  <c r="V583" i="14"/>
  <c r="A583" i="14"/>
  <c r="V582" i="14"/>
  <c r="A582" i="14"/>
  <c r="V581" i="14"/>
  <c r="A581" i="14"/>
  <c r="V580" i="14"/>
  <c r="A580" i="14"/>
  <c r="V579" i="14"/>
  <c r="A579" i="14"/>
  <c r="V578" i="14"/>
  <c r="Q570" i="15"/>
  <c r="A578" i="14"/>
  <c r="V577" i="14"/>
  <c r="Q569" i="15"/>
  <c r="A577" i="14"/>
  <c r="V576" i="14"/>
  <c r="Q568" i="15"/>
  <c r="A576" i="14"/>
  <c r="V575" i="14"/>
  <c r="Q567" i="15"/>
  <c r="A575" i="14"/>
  <c r="V574" i="14"/>
  <c r="Q566" i="15"/>
  <c r="A574" i="14"/>
  <c r="V573" i="14"/>
  <c r="Q565" i="15"/>
  <c r="A573" i="14"/>
  <c r="V572" i="14"/>
  <c r="Q564" i="15"/>
  <c r="A572" i="14"/>
  <c r="V571" i="14"/>
  <c r="Q563" i="15"/>
  <c r="A571" i="14"/>
  <c r="V570" i="14"/>
  <c r="Q562" i="15"/>
  <c r="A570" i="14"/>
  <c r="V569" i="14"/>
  <c r="Q561" i="15"/>
  <c r="A569" i="14"/>
  <c r="V568" i="14"/>
  <c r="Q559" i="15"/>
  <c r="A568" i="14"/>
  <c r="V567" i="14"/>
  <c r="Q558" i="15"/>
  <c r="A567" i="14"/>
  <c r="V566" i="14"/>
  <c r="Q557" i="15"/>
  <c r="A566" i="14"/>
  <c r="V565" i="14"/>
  <c r="Q556" i="15"/>
  <c r="A565" i="14"/>
  <c r="V564" i="14"/>
  <c r="Q555" i="15"/>
  <c r="A564" i="14"/>
  <c r="V563" i="14"/>
  <c r="Q554" i="15"/>
  <c r="A563" i="14"/>
  <c r="V562" i="14"/>
  <c r="Q553" i="15"/>
  <c r="A562" i="14"/>
  <c r="V561" i="14"/>
  <c r="Q552" i="15"/>
  <c r="A561" i="14"/>
  <c r="V560" i="14"/>
  <c r="Q551" i="15"/>
  <c r="A560" i="14"/>
  <c r="V559" i="14"/>
  <c r="Q550" i="15"/>
  <c r="A559" i="14"/>
  <c r="V558" i="14"/>
  <c r="Q549" i="15"/>
  <c r="A558" i="14"/>
  <c r="V557" i="14"/>
  <c r="A557" i="14"/>
  <c r="V556" i="14"/>
  <c r="U555" i="14"/>
  <c r="Q547" i="15"/>
  <c r="H555" i="14"/>
  <c r="G555" i="14"/>
  <c r="A556" i="14"/>
  <c r="V555" i="14"/>
  <c r="A555" i="14"/>
  <c r="V554" i="14"/>
  <c r="Q545" i="15"/>
  <c r="A554" i="14"/>
  <c r="V553" i="14"/>
  <c r="Q544" i="15"/>
  <c r="A553" i="14"/>
  <c r="V552" i="14"/>
  <c r="Q543" i="15"/>
  <c r="A552" i="14"/>
  <c r="V551" i="14"/>
  <c r="Q542" i="15"/>
  <c r="A551" i="14"/>
  <c r="V550" i="14"/>
  <c r="Q541" i="15"/>
  <c r="A550" i="14"/>
  <c r="V549" i="14"/>
  <c r="Q540" i="15"/>
  <c r="A549" i="14"/>
  <c r="V548" i="14"/>
  <c r="A548" i="14"/>
  <c r="V547" i="14"/>
  <c r="U546" i="14"/>
  <c r="Q538" i="15"/>
  <c r="AC547" i="14"/>
  <c r="AH547" i="14" s="1"/>
  <c r="AJ547" i="14" s="1"/>
  <c r="G546" i="14"/>
  <c r="A547" i="14"/>
  <c r="V546" i="14"/>
  <c r="A546" i="14"/>
  <c r="V545" i="14"/>
  <c r="Q536" i="15"/>
  <c r="AJ545" i="14"/>
  <c r="A545" i="14"/>
  <c r="V544" i="14"/>
  <c r="Q535" i="15"/>
  <c r="AJ544" i="14"/>
  <c r="A544" i="14"/>
  <c r="V543" i="14"/>
  <c r="Q534" i="15"/>
  <c r="AC543" i="14"/>
  <c r="AH543" i="14" s="1"/>
  <c r="AJ543" i="14" s="1"/>
  <c r="A543" i="14"/>
  <c r="V542" i="14"/>
  <c r="Q533" i="15"/>
  <c r="AC542" i="14"/>
  <c r="AH542" i="14" s="1"/>
  <c r="AJ542" i="14" s="1"/>
  <c r="A542" i="14"/>
  <c r="V541" i="14"/>
  <c r="Q532" i="15"/>
  <c r="A541" i="14"/>
  <c r="V540" i="14"/>
  <c r="Q531" i="15"/>
  <c r="A540" i="14"/>
  <c r="V539" i="14"/>
  <c r="Q530" i="15"/>
  <c r="A539" i="14"/>
  <c r="V538" i="14"/>
  <c r="Q529" i="15"/>
  <c r="A538" i="14"/>
  <c r="V537" i="14"/>
  <c r="Q528" i="15"/>
  <c r="A537" i="14"/>
  <c r="V536" i="14"/>
  <c r="Q527" i="15"/>
  <c r="A536" i="14"/>
  <c r="V535" i="14"/>
  <c r="Q526" i="15"/>
  <c r="A535" i="14"/>
  <c r="V534" i="14"/>
  <c r="Q525" i="15"/>
  <c r="A534" i="14"/>
  <c r="V533" i="14"/>
  <c r="Q524" i="15"/>
  <c r="A533" i="14"/>
  <c r="V532" i="14"/>
  <c r="Q523" i="15"/>
  <c r="A532" i="14"/>
  <c r="V531" i="14"/>
  <c r="Q522" i="15"/>
  <c r="A531" i="14"/>
  <c r="V530" i="14"/>
  <c r="Q521" i="15"/>
  <c r="A530" i="14"/>
  <c r="V529" i="14"/>
  <c r="Q520" i="15"/>
  <c r="A529" i="14"/>
  <c r="V528" i="14"/>
  <c r="Q519" i="15"/>
  <c r="A528" i="14"/>
  <c r="V527" i="14"/>
  <c r="Q518" i="15"/>
  <c r="A527" i="14"/>
  <c r="V526" i="14"/>
  <c r="A526" i="14"/>
  <c r="V525" i="14"/>
  <c r="Q516" i="15"/>
  <c r="A525" i="14"/>
  <c r="V524" i="14"/>
  <c r="Q515" i="15"/>
  <c r="A524" i="14"/>
  <c r="V523" i="14"/>
  <c r="Q514" i="15"/>
  <c r="A523" i="14"/>
  <c r="V522" i="14"/>
  <c r="Q513" i="15"/>
  <c r="A522" i="14"/>
  <c r="V521" i="14"/>
  <c r="Q512" i="15"/>
  <c r="A521" i="14"/>
  <c r="V520" i="14"/>
  <c r="Q511" i="15"/>
  <c r="A520" i="14"/>
  <c r="V519" i="14"/>
  <c r="Q510" i="15"/>
  <c r="A519" i="14"/>
  <c r="V518" i="14"/>
  <c r="Q509" i="15"/>
  <c r="A518" i="14"/>
  <c r="V517" i="14"/>
  <c r="Q508" i="15"/>
  <c r="A517" i="14"/>
  <c r="V516" i="14"/>
  <c r="Q507" i="15"/>
  <c r="A516" i="14"/>
  <c r="V515" i="14"/>
  <c r="Q506" i="15"/>
  <c r="A515" i="14"/>
  <c r="V514" i="14"/>
  <c r="Q505" i="15"/>
  <c r="A514" i="14"/>
  <c r="V513" i="14"/>
  <c r="Q504" i="15"/>
  <c r="A513" i="14"/>
  <c r="V512" i="14"/>
  <c r="Q503" i="15"/>
  <c r="A512" i="14"/>
  <c r="V511" i="14"/>
  <c r="Q502" i="15"/>
  <c r="A511" i="14"/>
  <c r="V510" i="14"/>
  <c r="Q501" i="15"/>
  <c r="AC510" i="14"/>
  <c r="AH510" i="14" s="1"/>
  <c r="AJ510" i="14" s="1"/>
  <c r="A510" i="14"/>
  <c r="V509" i="14"/>
  <c r="Q500" i="15"/>
  <c r="A509" i="14"/>
  <c r="V508" i="14"/>
  <c r="Q499" i="15"/>
  <c r="AJ508" i="14"/>
  <c r="A508" i="14"/>
  <c r="V507" i="14"/>
  <c r="Q498" i="15"/>
  <c r="A507" i="14"/>
  <c r="V506" i="14"/>
  <c r="Q497" i="15"/>
  <c r="AC506" i="14"/>
  <c r="A506" i="14"/>
  <c r="V505" i="14"/>
  <c r="A505" i="14"/>
  <c r="V504" i="14"/>
  <c r="Q495" i="15"/>
  <c r="AC504" i="14"/>
  <c r="AH504" i="14" s="1"/>
  <c r="AJ504" i="14" s="1"/>
  <c r="A504" i="14"/>
  <c r="V503" i="14"/>
  <c r="Q494" i="15"/>
  <c r="A503" i="14"/>
  <c r="V502" i="14"/>
  <c r="A502" i="14"/>
  <c r="V501" i="14"/>
  <c r="U500" i="14"/>
  <c r="Q492" i="15"/>
  <c r="AC501" i="14"/>
  <c r="AC500" i="14" s="1"/>
  <c r="AH500" i="14" s="1"/>
  <c r="G500" i="14"/>
  <c r="A501" i="14"/>
  <c r="V500" i="14"/>
  <c r="A500" i="14"/>
  <c r="V499" i="14"/>
  <c r="Q490" i="15"/>
  <c r="AC499" i="14"/>
  <c r="AH499" i="14" s="1"/>
  <c r="AJ499" i="14" s="1"/>
  <c r="A499" i="14"/>
  <c r="V498" i="14"/>
  <c r="Q489" i="15"/>
  <c r="A498" i="14"/>
  <c r="V497" i="14"/>
  <c r="A497" i="14"/>
  <c r="V496" i="14"/>
  <c r="Q618" i="15"/>
  <c r="A496" i="14"/>
  <c r="V495" i="14"/>
  <c r="Q617" i="15"/>
  <c r="AC495" i="14"/>
  <c r="G494" i="14"/>
  <c r="A495" i="14"/>
  <c r="V494" i="14"/>
  <c r="A494" i="14"/>
  <c r="V493" i="14"/>
  <c r="Q487" i="15"/>
  <c r="A493" i="14"/>
  <c r="V492" i="14"/>
  <c r="Q486" i="15"/>
  <c r="G491" i="14"/>
  <c r="A492" i="14"/>
  <c r="V491" i="14"/>
  <c r="A491" i="14"/>
  <c r="V490" i="14"/>
  <c r="U489" i="14"/>
  <c r="Q615" i="15"/>
  <c r="AC490" i="14"/>
  <c r="G489" i="14"/>
  <c r="A490" i="14"/>
  <c r="V489" i="14"/>
  <c r="A489" i="14"/>
  <c r="V488" i="14"/>
  <c r="U487" i="14"/>
  <c r="Q484" i="15"/>
  <c r="G487" i="14"/>
  <c r="A488" i="14"/>
  <c r="V487" i="14"/>
  <c r="A487" i="14"/>
  <c r="V486" i="14"/>
  <c r="Q482" i="15"/>
  <c r="AC486" i="14"/>
  <c r="AH486" i="14" s="1"/>
  <c r="AJ486" i="14" s="1"/>
  <c r="A486" i="14"/>
  <c r="V485" i="14"/>
  <c r="Q481" i="15"/>
  <c r="AC485" i="14"/>
  <c r="AH485" i="14" s="1"/>
  <c r="AJ485" i="14" s="1"/>
  <c r="A485" i="14"/>
  <c r="V484" i="14"/>
  <c r="Q480" i="15"/>
  <c r="AC484" i="14"/>
  <c r="AH484" i="14" s="1"/>
  <c r="AJ484" i="14" s="1"/>
  <c r="A484" i="14"/>
  <c r="V483" i="14"/>
  <c r="Q479" i="15"/>
  <c r="AC483" i="14"/>
  <c r="AH483" i="14" s="1"/>
  <c r="AJ483" i="14" s="1"/>
  <c r="A483" i="14"/>
  <c r="V482" i="14"/>
  <c r="Q478" i="15"/>
  <c r="AC482" i="14"/>
  <c r="AH482" i="14" s="1"/>
  <c r="AJ482" i="14" s="1"/>
  <c r="A482" i="14"/>
  <c r="V481" i="14"/>
  <c r="Q477" i="15"/>
  <c r="AC481" i="14"/>
  <c r="AH481" i="14" s="1"/>
  <c r="AJ481" i="14" s="1"/>
  <c r="A481" i="14"/>
  <c r="V480" i="14"/>
  <c r="Q476" i="15"/>
  <c r="AC480" i="14"/>
  <c r="AH480" i="14" s="1"/>
  <c r="AJ480" i="14" s="1"/>
  <c r="A480" i="14"/>
  <c r="V479" i="14"/>
  <c r="Q475" i="15"/>
  <c r="AC479" i="14"/>
  <c r="AH479" i="14" s="1"/>
  <c r="AJ479" i="14" s="1"/>
  <c r="A479" i="14"/>
  <c r="V478" i="14"/>
  <c r="Q474" i="15"/>
  <c r="AC478" i="14"/>
  <c r="AH478" i="14" s="1"/>
  <c r="AJ478" i="14" s="1"/>
  <c r="A478" i="14"/>
  <c r="V477" i="14"/>
  <c r="Q473" i="15"/>
  <c r="AC477" i="14"/>
  <c r="AH477" i="14" s="1"/>
  <c r="AJ477" i="14" s="1"/>
  <c r="A477" i="14"/>
  <c r="V476" i="14"/>
  <c r="Q472" i="15"/>
  <c r="AC476" i="14"/>
  <c r="AH476" i="14" s="1"/>
  <c r="AJ476" i="14" s="1"/>
  <c r="A476" i="14"/>
  <c r="V475" i="14"/>
  <c r="Q471" i="15"/>
  <c r="AC475" i="14"/>
  <c r="AH475" i="14" s="1"/>
  <c r="AJ475" i="14" s="1"/>
  <c r="A475" i="14"/>
  <c r="V474" i="14"/>
  <c r="Q470" i="15"/>
  <c r="AC474" i="14"/>
  <c r="AH474" i="14" s="1"/>
  <c r="AJ474" i="14" s="1"/>
  <c r="A474" i="14"/>
  <c r="V473" i="14"/>
  <c r="Q469" i="15"/>
  <c r="AC473" i="14"/>
  <c r="AH473" i="14" s="1"/>
  <c r="AJ473" i="14" s="1"/>
  <c r="A473" i="14"/>
  <c r="V472" i="14"/>
  <c r="Q468" i="15"/>
  <c r="AC472" i="14"/>
  <c r="AH472" i="14" s="1"/>
  <c r="AJ472" i="14" s="1"/>
  <c r="A472" i="14"/>
  <c r="V471" i="14"/>
  <c r="Q467" i="15"/>
  <c r="AC471" i="14"/>
  <c r="AH471" i="14" s="1"/>
  <c r="AJ471" i="14" s="1"/>
  <c r="A471" i="14"/>
  <c r="V470" i="14"/>
  <c r="Q466" i="15"/>
  <c r="AC470" i="14"/>
  <c r="AH470" i="14" s="1"/>
  <c r="AJ470" i="14" s="1"/>
  <c r="A470" i="14"/>
  <c r="V469" i="14"/>
  <c r="Q465" i="15"/>
  <c r="AC469" i="14"/>
  <c r="AH469" i="14" s="1"/>
  <c r="AJ469" i="14" s="1"/>
  <c r="A469" i="14"/>
  <c r="V468" i="14"/>
  <c r="Q464" i="15"/>
  <c r="AC468" i="14"/>
  <c r="AH468" i="14" s="1"/>
  <c r="AJ468" i="14" s="1"/>
  <c r="A468" i="14"/>
  <c r="V467" i="14"/>
  <c r="Q463" i="15"/>
  <c r="AC467" i="14"/>
  <c r="AH467" i="14" s="1"/>
  <c r="AJ467" i="14" s="1"/>
  <c r="A467" i="14"/>
  <c r="V466" i="14"/>
  <c r="Q462" i="15"/>
  <c r="AC466" i="14"/>
  <c r="AH466" i="14" s="1"/>
  <c r="AJ466" i="14" s="1"/>
  <c r="A466" i="14"/>
  <c r="V465" i="14"/>
  <c r="Q461" i="15"/>
  <c r="AC465" i="14"/>
  <c r="AH465" i="14" s="1"/>
  <c r="AJ465" i="14" s="1"/>
  <c r="A465" i="14"/>
  <c r="V464" i="14"/>
  <c r="Q460" i="15"/>
  <c r="AC464" i="14"/>
  <c r="AH464" i="14" s="1"/>
  <c r="AJ464" i="14" s="1"/>
  <c r="A464" i="14"/>
  <c r="V463" i="14"/>
  <c r="Q459" i="15"/>
  <c r="AC463" i="14"/>
  <c r="AH463" i="14" s="1"/>
  <c r="AJ463" i="14" s="1"/>
  <c r="A463" i="14"/>
  <c r="V462" i="14"/>
  <c r="Q458" i="15"/>
  <c r="AC462" i="14"/>
  <c r="AH462" i="14" s="1"/>
  <c r="AJ462" i="14" s="1"/>
  <c r="A462" i="14"/>
  <c r="V461" i="14"/>
  <c r="Q457" i="15"/>
  <c r="AC461" i="14"/>
  <c r="AH461" i="14" s="1"/>
  <c r="AJ461" i="14" s="1"/>
  <c r="A461" i="14"/>
  <c r="V460" i="14"/>
  <c r="Q456" i="15"/>
  <c r="AC460" i="14"/>
  <c r="AH460" i="14" s="1"/>
  <c r="AJ460" i="14" s="1"/>
  <c r="A460" i="14"/>
  <c r="V459" i="14"/>
  <c r="Q455" i="15"/>
  <c r="AC459" i="14"/>
  <c r="AH459" i="14" s="1"/>
  <c r="AJ459" i="14" s="1"/>
  <c r="A459" i="14"/>
  <c r="V458" i="14"/>
  <c r="Q454" i="15"/>
  <c r="AC458" i="14"/>
  <c r="AH458" i="14" s="1"/>
  <c r="AJ458" i="14" s="1"/>
  <c r="A458" i="14"/>
  <c r="V457" i="14"/>
  <c r="Q453" i="15"/>
  <c r="AC457" i="14"/>
  <c r="AH457" i="14" s="1"/>
  <c r="AJ457" i="14" s="1"/>
  <c r="A457" i="14"/>
  <c r="V456" i="14"/>
  <c r="Q452" i="15"/>
  <c r="AC456" i="14"/>
  <c r="AH456" i="14" s="1"/>
  <c r="AJ456" i="14" s="1"/>
  <c r="A456" i="14"/>
  <c r="V455" i="14"/>
  <c r="Q451" i="15"/>
  <c r="AC455" i="14"/>
  <c r="AH455" i="14" s="1"/>
  <c r="AJ455" i="14" s="1"/>
  <c r="A455" i="14"/>
  <c r="V454" i="14"/>
  <c r="Q450" i="15"/>
  <c r="AC454" i="14"/>
  <c r="AH454" i="14" s="1"/>
  <c r="AJ454" i="14" s="1"/>
  <c r="A454" i="14"/>
  <c r="V453" i="14"/>
  <c r="Q449" i="15"/>
  <c r="AC453" i="14"/>
  <c r="AH453" i="14" s="1"/>
  <c r="AJ453" i="14" s="1"/>
  <c r="A453" i="14"/>
  <c r="V452" i="14"/>
  <c r="Q448" i="15"/>
  <c r="AC452" i="14"/>
  <c r="AH452" i="14" s="1"/>
  <c r="AJ452" i="14" s="1"/>
  <c r="A452" i="14"/>
  <c r="V451" i="14"/>
  <c r="Q447" i="15"/>
  <c r="AC451" i="14"/>
  <c r="AH451" i="14" s="1"/>
  <c r="AJ451" i="14" s="1"/>
  <c r="A451" i="14"/>
  <c r="V450" i="14"/>
  <c r="Q446" i="15"/>
  <c r="AC450" i="14"/>
  <c r="AH450" i="14" s="1"/>
  <c r="AJ450" i="14" s="1"/>
  <c r="A450" i="14"/>
  <c r="V449" i="14"/>
  <c r="Q445" i="15"/>
  <c r="AC449" i="14"/>
  <c r="AH449" i="14" s="1"/>
  <c r="AJ449" i="14" s="1"/>
  <c r="A449" i="14"/>
  <c r="V448" i="14"/>
  <c r="A448" i="14"/>
  <c r="V447" i="14"/>
  <c r="Q443" i="15"/>
  <c r="AJ447" i="14"/>
  <c r="A447" i="14"/>
  <c r="V446" i="14"/>
  <c r="Q442" i="15"/>
  <c r="AJ446" i="14"/>
  <c r="A446" i="14"/>
  <c r="V445" i="14"/>
  <c r="Q441" i="15"/>
  <c r="A445" i="14"/>
  <c r="V444" i="14"/>
  <c r="A444" i="14"/>
  <c r="V443" i="14"/>
  <c r="U442" i="14"/>
  <c r="Q613" i="15"/>
  <c r="H442" i="14"/>
  <c r="G442" i="14"/>
  <c r="A443" i="14"/>
  <c r="V442" i="14"/>
  <c r="A442" i="14"/>
  <c r="V441" i="14"/>
  <c r="U440" i="14"/>
  <c r="Q611" i="15"/>
  <c r="G440" i="14"/>
  <c r="A441" i="14"/>
  <c r="V440" i="14"/>
  <c r="A440" i="14"/>
  <c r="V439" i="14"/>
  <c r="Q430" i="15"/>
  <c r="AC439" i="14"/>
  <c r="AH439" i="14" s="1"/>
  <c r="AJ439" i="14" s="1"/>
  <c r="A439" i="14"/>
  <c r="V438" i="14"/>
  <c r="Q429" i="15"/>
  <c r="AC438" i="14"/>
  <c r="AH438" i="14" s="1"/>
  <c r="AJ438" i="14" s="1"/>
  <c r="A438" i="14"/>
  <c r="V437" i="14"/>
  <c r="Q431" i="15"/>
  <c r="AC437" i="14"/>
  <c r="AH437" i="14" s="1"/>
  <c r="AJ437" i="14" s="1"/>
  <c r="A437" i="14"/>
  <c r="V436" i="14"/>
  <c r="Q428" i="15"/>
  <c r="AC436" i="14"/>
  <c r="AH436" i="14" s="1"/>
  <c r="AJ436" i="14" s="1"/>
  <c r="A436" i="14"/>
  <c r="V435" i="14"/>
  <c r="Q427" i="15"/>
  <c r="AC435" i="14"/>
  <c r="AH435" i="14" s="1"/>
  <c r="AJ435" i="14" s="1"/>
  <c r="A435" i="14"/>
  <c r="V434" i="14"/>
  <c r="A434" i="14"/>
  <c r="V433" i="14"/>
  <c r="A433" i="14"/>
  <c r="V432" i="14"/>
  <c r="A432" i="14"/>
  <c r="V431" i="14"/>
  <c r="A431" i="14"/>
  <c r="V430" i="14"/>
  <c r="A430" i="14"/>
  <c r="V429" i="14"/>
  <c r="A429" i="14"/>
  <c r="V428" i="14"/>
  <c r="A428" i="14"/>
  <c r="V427" i="14"/>
  <c r="A427" i="14"/>
  <c r="V426" i="14"/>
  <c r="Q426" i="15"/>
  <c r="A426" i="14"/>
  <c r="V425" i="14"/>
  <c r="Q425" i="15"/>
  <c r="A425" i="14"/>
  <c r="V424" i="14"/>
  <c r="Q424" i="15"/>
  <c r="A424" i="14"/>
  <c r="V423" i="14"/>
  <c r="Q423" i="15"/>
  <c r="A423" i="14"/>
  <c r="V422" i="14"/>
  <c r="Q422" i="15"/>
  <c r="A422" i="14"/>
  <c r="V421" i="14"/>
  <c r="Q421" i="15"/>
  <c r="A421" i="14"/>
  <c r="V420" i="14"/>
  <c r="Q420" i="15"/>
  <c r="A420" i="14"/>
  <c r="V419" i="14"/>
  <c r="Q419" i="15"/>
  <c r="A419" i="14"/>
  <c r="V418" i="14"/>
  <c r="Q418" i="15"/>
  <c r="A418" i="14"/>
  <c r="V417" i="14"/>
  <c r="Q417" i="15"/>
  <c r="A417" i="14"/>
  <c r="V416" i="14"/>
  <c r="Q416" i="15"/>
  <c r="A416" i="14"/>
  <c r="V415" i="14"/>
  <c r="Q415" i="15"/>
  <c r="A415" i="14"/>
  <c r="V414" i="14"/>
  <c r="Q414" i="15"/>
  <c r="A414" i="14"/>
  <c r="V413" i="14"/>
  <c r="Q413" i="15"/>
  <c r="A413" i="14"/>
  <c r="V412" i="14"/>
  <c r="Q412" i="15"/>
  <c r="A412" i="14"/>
  <c r="V411" i="14"/>
  <c r="Q411" i="15"/>
  <c r="A411" i="14"/>
  <c r="V410" i="14"/>
  <c r="Q410" i="15"/>
  <c r="A410" i="14"/>
  <c r="V409" i="14"/>
  <c r="Q409" i="15"/>
  <c r="A409" i="14"/>
  <c r="V408" i="14"/>
  <c r="Q408" i="15"/>
  <c r="A408" i="14"/>
  <c r="V407" i="14"/>
  <c r="Q407" i="15"/>
  <c r="A407" i="14"/>
  <c r="V406" i="14"/>
  <c r="Q406" i="15"/>
  <c r="A406" i="14"/>
  <c r="V405" i="14"/>
  <c r="Q405" i="15"/>
  <c r="A405" i="14"/>
  <c r="V404" i="14"/>
  <c r="Q404" i="15"/>
  <c r="A404" i="14"/>
  <c r="V403" i="14"/>
  <c r="Q403" i="15"/>
  <c r="A403" i="14"/>
  <c r="V402" i="14"/>
  <c r="Q402" i="15"/>
  <c r="A402" i="14"/>
  <c r="V401" i="14"/>
  <c r="A401" i="14"/>
  <c r="V400" i="14"/>
  <c r="AJ400" i="14"/>
  <c r="A400" i="14"/>
  <c r="V399" i="14"/>
  <c r="A399" i="14"/>
  <c r="V398" i="14"/>
  <c r="A398" i="14"/>
  <c r="V397" i="14"/>
  <c r="Q397" i="15"/>
  <c r="AC397" i="14"/>
  <c r="A397" i="14"/>
  <c r="V396" i="14"/>
  <c r="Q396" i="15"/>
  <c r="AC396" i="14"/>
  <c r="A396" i="14"/>
  <c r="V395" i="14"/>
  <c r="Q395" i="15"/>
  <c r="AC395" i="14"/>
  <c r="A395" i="14"/>
  <c r="V394" i="14"/>
  <c r="Q394" i="15"/>
  <c r="AC394" i="14"/>
  <c r="A394" i="14"/>
  <c r="V393" i="14"/>
  <c r="Q393" i="15"/>
  <c r="AC393" i="14"/>
  <c r="A393" i="14"/>
  <c r="V392" i="14"/>
  <c r="Q392" i="15"/>
  <c r="AC392" i="14"/>
  <c r="A392" i="14"/>
  <c r="V391" i="14"/>
  <c r="Q391" i="15"/>
  <c r="AC391" i="14"/>
  <c r="A391" i="14"/>
  <c r="V390" i="14"/>
  <c r="Q390" i="15"/>
  <c r="AC390" i="14"/>
  <c r="A390" i="14"/>
  <c r="V389" i="14"/>
  <c r="Q389" i="15"/>
  <c r="AC389" i="14"/>
  <c r="A389" i="14"/>
  <c r="V388" i="14"/>
  <c r="Q398" i="15"/>
  <c r="AC388" i="14"/>
  <c r="A388" i="14"/>
  <c r="V387" i="14"/>
  <c r="Q387" i="15"/>
  <c r="AJ387" i="14"/>
  <c r="A387" i="14"/>
  <c r="V386" i="14"/>
  <c r="Q386" i="15"/>
  <c r="A386" i="14"/>
  <c r="V385" i="14"/>
  <c r="Q385" i="15"/>
  <c r="A385" i="14"/>
  <c r="V384" i="14"/>
  <c r="Q384" i="15"/>
  <c r="A384" i="14"/>
  <c r="V383" i="14"/>
  <c r="Q383" i="15"/>
  <c r="A383" i="14"/>
  <c r="V382" i="14"/>
  <c r="Q382" i="15"/>
  <c r="A382" i="14"/>
  <c r="V381" i="14"/>
  <c r="Q381" i="15"/>
  <c r="A381" i="14"/>
  <c r="V380" i="14"/>
  <c r="Q380" i="15"/>
  <c r="A380" i="14"/>
  <c r="V379" i="14"/>
  <c r="Q379" i="15"/>
  <c r="A379" i="14"/>
  <c r="V378" i="14"/>
  <c r="Q378" i="15"/>
  <c r="A378" i="14"/>
  <c r="V377" i="14"/>
  <c r="Q377" i="15"/>
  <c r="A377" i="14"/>
  <c r="V376" i="14"/>
  <c r="Q376" i="15"/>
  <c r="A376" i="14"/>
  <c r="V375" i="14"/>
  <c r="Q375" i="15"/>
  <c r="A375" i="14"/>
  <c r="V374" i="14"/>
  <c r="Q374" i="15"/>
  <c r="A374" i="14"/>
  <c r="V373" i="14"/>
  <c r="Q373" i="15"/>
  <c r="A373" i="14"/>
  <c r="V372" i="14"/>
  <c r="Q372" i="15"/>
  <c r="A372" i="14"/>
  <c r="V371" i="14"/>
  <c r="Q371" i="15"/>
  <c r="A371" i="14"/>
  <c r="V370" i="14"/>
  <c r="Q370" i="15"/>
  <c r="A370" i="14"/>
  <c r="V369" i="14"/>
  <c r="Q369" i="15"/>
  <c r="A369" i="14"/>
  <c r="V368" i="14"/>
  <c r="Q368" i="15"/>
  <c r="A368" i="14"/>
  <c r="V367" i="14"/>
  <c r="Q367" i="15"/>
  <c r="A367" i="14"/>
  <c r="V366" i="14"/>
  <c r="Q366" i="15"/>
  <c r="A366" i="14"/>
  <c r="V365" i="14"/>
  <c r="Q365" i="15"/>
  <c r="A365" i="14"/>
  <c r="V364" i="14"/>
  <c r="Q364" i="15"/>
  <c r="A364" i="14"/>
  <c r="V363" i="14"/>
  <c r="Q363" i="15"/>
  <c r="A363" i="14"/>
  <c r="V362" i="14"/>
  <c r="Q362" i="15"/>
  <c r="A362" i="14"/>
  <c r="V361" i="14"/>
  <c r="Q361" i="15"/>
  <c r="A361" i="14"/>
  <c r="V360" i="14"/>
  <c r="Q360" i="15"/>
  <c r="A360" i="14"/>
  <c r="V359" i="14"/>
  <c r="Q359" i="15"/>
  <c r="A359" i="14"/>
  <c r="V358" i="14"/>
  <c r="Q358" i="15"/>
  <c r="A358" i="14"/>
  <c r="V357" i="14"/>
  <c r="Q357" i="15"/>
  <c r="A357" i="14"/>
  <c r="V356" i="14"/>
  <c r="Q356" i="15"/>
  <c r="A356" i="14"/>
  <c r="V355" i="14"/>
  <c r="Q355" i="15"/>
  <c r="A355" i="14"/>
  <c r="V354" i="14"/>
  <c r="Q354" i="15"/>
  <c r="A354" i="14"/>
  <c r="V353" i="14"/>
  <c r="Q353" i="15"/>
  <c r="A353" i="14"/>
  <c r="V352" i="14"/>
  <c r="Q352" i="15"/>
  <c r="A352" i="14"/>
  <c r="V351" i="14"/>
  <c r="Q351" i="15"/>
  <c r="A351" i="14"/>
  <c r="V350" i="14"/>
  <c r="Q350" i="15"/>
  <c r="A350" i="14"/>
  <c r="V349" i="14"/>
  <c r="Q349" i="15"/>
  <c r="A349" i="14"/>
  <c r="V348" i="14"/>
  <c r="Q348" i="15"/>
  <c r="A348" i="14"/>
  <c r="V347" i="14"/>
  <c r="Q347" i="15"/>
  <c r="A347" i="14"/>
  <c r="V346" i="14"/>
  <c r="Q346" i="15"/>
  <c r="A346" i="14"/>
  <c r="V345" i="14"/>
  <c r="Q345" i="15"/>
  <c r="A345" i="14"/>
  <c r="V344" i="14"/>
  <c r="Q344" i="15"/>
  <c r="A344" i="14"/>
  <c r="V343" i="14"/>
  <c r="Q343" i="15"/>
  <c r="A343" i="14"/>
  <c r="V342" i="14"/>
  <c r="Q342" i="15"/>
  <c r="A342" i="14"/>
  <c r="V341" i="14"/>
  <c r="Q341" i="15"/>
  <c r="A341" i="14"/>
  <c r="V340" i="14"/>
  <c r="Q340" i="15"/>
  <c r="A340" i="14"/>
  <c r="V339" i="14"/>
  <c r="Q339" i="15"/>
  <c r="A339" i="14"/>
  <c r="V338" i="14"/>
  <c r="Q338" i="15"/>
  <c r="A338" i="14"/>
  <c r="V337" i="14"/>
  <c r="Q337" i="15"/>
  <c r="A337" i="14"/>
  <c r="V336" i="14"/>
  <c r="Q336" i="15"/>
  <c r="A336" i="14"/>
  <c r="V335" i="14"/>
  <c r="Q335" i="15"/>
  <c r="A335" i="14"/>
  <c r="V334" i="14"/>
  <c r="Q334" i="15"/>
  <c r="A334" i="14"/>
  <c r="V333" i="14"/>
  <c r="Q333" i="15"/>
  <c r="A333" i="14"/>
  <c r="V332" i="14"/>
  <c r="Q332" i="15"/>
  <c r="AC332" i="14"/>
  <c r="AH332" i="14" s="1"/>
  <c r="AJ332" i="14" s="1"/>
  <c r="A332" i="14"/>
  <c r="V331" i="14"/>
  <c r="Q331" i="15"/>
  <c r="AC331" i="14"/>
  <c r="AH331" i="14" s="1"/>
  <c r="AJ331" i="14" s="1"/>
  <c r="A331" i="14"/>
  <c r="V330" i="14"/>
  <c r="Q330" i="15"/>
  <c r="AC330" i="14"/>
  <c r="AH330" i="14" s="1"/>
  <c r="AJ330" i="14" s="1"/>
  <c r="A330" i="14"/>
  <c r="V329" i="14"/>
  <c r="Q329" i="15"/>
  <c r="AC329" i="14"/>
  <c r="AH329" i="14" s="1"/>
  <c r="AJ329" i="14" s="1"/>
  <c r="A329" i="14"/>
  <c r="V328" i="14"/>
  <c r="Q328" i="15"/>
  <c r="AC328" i="14"/>
  <c r="AH328" i="14" s="1"/>
  <c r="AJ328" i="14" s="1"/>
  <c r="A328" i="14"/>
  <c r="V327" i="14"/>
  <c r="Q327" i="15"/>
  <c r="A327" i="14"/>
  <c r="V326" i="14"/>
  <c r="Q326" i="15"/>
  <c r="A326" i="14"/>
  <c r="V325" i="14"/>
  <c r="Q325" i="15"/>
  <c r="A325" i="14"/>
  <c r="V324" i="14"/>
  <c r="Q324" i="15"/>
  <c r="A324" i="14"/>
  <c r="V323" i="14"/>
  <c r="Q323" i="15"/>
  <c r="A323" i="14"/>
  <c r="V322" i="14"/>
  <c r="Q322" i="15"/>
  <c r="A322" i="14"/>
  <c r="V321" i="14"/>
  <c r="Q321" i="15"/>
  <c r="A321" i="14"/>
  <c r="V320" i="14"/>
  <c r="Q320" i="15"/>
  <c r="A320" i="14"/>
  <c r="V319" i="14"/>
  <c r="Q319" i="15"/>
  <c r="A319" i="14"/>
  <c r="V318" i="14"/>
  <c r="Q318" i="15"/>
  <c r="A318" i="14"/>
  <c r="V317" i="14"/>
  <c r="Q317" i="15"/>
  <c r="A317" i="14"/>
  <c r="V316" i="14"/>
  <c r="Q316" i="15"/>
  <c r="A316" i="14"/>
  <c r="V315" i="14"/>
  <c r="Q315" i="15"/>
  <c r="A315" i="14"/>
  <c r="V314" i="14"/>
  <c r="Q314" i="15"/>
  <c r="A314" i="14"/>
  <c r="V313" i="14"/>
  <c r="Q313" i="15"/>
  <c r="A313" i="14"/>
  <c r="V312" i="14"/>
  <c r="Q312" i="15"/>
  <c r="A312" i="14"/>
  <c r="V311" i="14"/>
  <c r="Q311" i="15"/>
  <c r="A311" i="14"/>
  <c r="V310" i="14"/>
  <c r="Q310" i="15"/>
  <c r="A310" i="14"/>
  <c r="V309" i="14"/>
  <c r="Q309" i="15"/>
  <c r="A309" i="14"/>
  <c r="V308" i="14"/>
  <c r="Q308" i="15"/>
  <c r="A308" i="14"/>
  <c r="V307" i="14"/>
  <c r="Q307" i="15"/>
  <c r="A307" i="14"/>
  <c r="V306" i="14"/>
  <c r="Q306" i="15"/>
  <c r="A306" i="14"/>
  <c r="V305" i="14"/>
  <c r="Q305" i="15"/>
  <c r="A305" i="14"/>
  <c r="V304" i="14"/>
  <c r="Q304" i="15"/>
  <c r="A304" i="14"/>
  <c r="V303" i="14"/>
  <c r="Q303" i="15"/>
  <c r="A303" i="14"/>
  <c r="V302" i="14"/>
  <c r="Q302" i="15"/>
  <c r="A302" i="14"/>
  <c r="V301" i="14"/>
  <c r="Q301" i="15"/>
  <c r="A301" i="14"/>
  <c r="V300" i="14"/>
  <c r="Q300" i="15"/>
  <c r="A300" i="14"/>
  <c r="V299" i="14"/>
  <c r="Q299" i="15"/>
  <c r="A299" i="14"/>
  <c r="V298" i="14"/>
  <c r="Q298" i="15"/>
  <c r="A298" i="14"/>
  <c r="V297" i="14"/>
  <c r="Q297" i="15"/>
  <c r="A297" i="14"/>
  <c r="V296" i="14"/>
  <c r="Q296" i="15"/>
  <c r="A296" i="14"/>
  <c r="V295" i="14"/>
  <c r="Q295" i="15"/>
  <c r="A295" i="14"/>
  <c r="V294" i="14"/>
  <c r="Q294" i="15"/>
  <c r="A294" i="14"/>
  <c r="V293" i="14"/>
  <c r="Q293" i="15"/>
  <c r="A293" i="14"/>
  <c r="V292" i="14"/>
  <c r="Q292" i="15"/>
  <c r="A292" i="14"/>
  <c r="V291" i="14"/>
  <c r="Q291" i="15"/>
  <c r="A291" i="14"/>
  <c r="V290" i="14"/>
  <c r="Q290" i="15"/>
  <c r="A290" i="14"/>
  <c r="V289" i="14"/>
  <c r="Q289" i="15"/>
  <c r="A289" i="14"/>
  <c r="V288" i="14"/>
  <c r="Q288" i="15"/>
  <c r="A288" i="14"/>
  <c r="V287" i="14"/>
  <c r="Q287" i="15"/>
  <c r="A287" i="14"/>
  <c r="V286" i="14"/>
  <c r="Q286" i="15"/>
  <c r="A286" i="14"/>
  <c r="V285" i="14"/>
  <c r="Q285" i="15"/>
  <c r="A285" i="14"/>
  <c r="V284" i="14"/>
  <c r="Q284" i="15"/>
  <c r="A284" i="14"/>
  <c r="V283" i="14"/>
  <c r="Q283" i="15"/>
  <c r="A283" i="14"/>
  <c r="V282" i="14"/>
  <c r="A282" i="14"/>
  <c r="V281" i="14"/>
  <c r="A281" i="14"/>
  <c r="V280" i="14"/>
  <c r="A280" i="14"/>
  <c r="V279" i="14"/>
  <c r="U278" i="14"/>
  <c r="Q279" i="15"/>
  <c r="H278" i="14"/>
  <c r="G278" i="14"/>
  <c r="A279" i="14"/>
  <c r="V278" i="14"/>
  <c r="A278" i="14"/>
  <c r="V277" i="14"/>
  <c r="Q277" i="15"/>
  <c r="AC277" i="14"/>
  <c r="AH277" i="14" s="1"/>
  <c r="A277" i="14"/>
  <c r="V276" i="14"/>
  <c r="Q276" i="15"/>
  <c r="AC276" i="14"/>
  <c r="AH276" i="14" s="1"/>
  <c r="A276" i="14"/>
  <c r="V275" i="14"/>
  <c r="Q275" i="15"/>
  <c r="A275" i="14"/>
  <c r="V274" i="14"/>
  <c r="Q274" i="15"/>
  <c r="A274" i="14"/>
  <c r="V273" i="14"/>
  <c r="Q273" i="15"/>
  <c r="AC273" i="14"/>
  <c r="A273" i="14"/>
  <c r="V272" i="14"/>
  <c r="A272" i="14"/>
  <c r="V271" i="14"/>
  <c r="Q271" i="15"/>
  <c r="A271" i="14"/>
  <c r="V270" i="14"/>
  <c r="Q270" i="15"/>
  <c r="A270" i="14"/>
  <c r="V269" i="14"/>
  <c r="Q269" i="15"/>
  <c r="A269" i="14"/>
  <c r="V268" i="14"/>
  <c r="Q268" i="15"/>
  <c r="A268" i="14"/>
  <c r="V267" i="14"/>
  <c r="Q267" i="15"/>
  <c r="A267" i="14"/>
  <c r="V266" i="14"/>
  <c r="Q266" i="15"/>
  <c r="A266" i="14"/>
  <c r="V265" i="14"/>
  <c r="A265" i="14"/>
  <c r="V264" i="14"/>
  <c r="U263" i="14"/>
  <c r="Q609" i="15"/>
  <c r="H263" i="14"/>
  <c r="G263" i="14"/>
  <c r="A264" i="14"/>
  <c r="V263" i="14"/>
  <c r="A263" i="14"/>
  <c r="V262" i="14"/>
  <c r="Q264" i="15"/>
  <c r="AJ262" i="14"/>
  <c r="A262" i="14"/>
  <c r="V261" i="14"/>
  <c r="U260" i="14"/>
  <c r="Q263" i="15"/>
  <c r="G260" i="14"/>
  <c r="A261" i="14"/>
  <c r="V260" i="14"/>
  <c r="A260" i="14"/>
  <c r="V259" i="14"/>
  <c r="U258" i="14"/>
  <c r="Q261" i="15"/>
  <c r="G258" i="14"/>
  <c r="A259" i="14"/>
  <c r="V258" i="14"/>
  <c r="A258" i="14"/>
  <c r="V257" i="14"/>
  <c r="U256" i="14"/>
  <c r="Q259" i="15"/>
  <c r="AC257" i="14"/>
  <c r="AC256" i="14" s="1"/>
  <c r="AH256" i="14" s="1"/>
  <c r="G256" i="14"/>
  <c r="A257" i="14"/>
  <c r="V256" i="14"/>
  <c r="A256" i="14"/>
  <c r="V255" i="14"/>
  <c r="U254" i="14"/>
  <c r="Q257" i="15"/>
  <c r="AC255" i="14"/>
  <c r="AC254" i="14" s="1"/>
  <c r="AH254" i="14" s="1"/>
  <c r="G254" i="14"/>
  <c r="A255" i="14"/>
  <c r="V254" i="14"/>
  <c r="A254" i="14"/>
  <c r="V253" i="14"/>
  <c r="U252" i="14"/>
  <c r="Q255" i="15"/>
  <c r="H252" i="14"/>
  <c r="G252" i="14"/>
  <c r="A253" i="14"/>
  <c r="V252" i="14"/>
  <c r="A252" i="14"/>
  <c r="V251" i="14"/>
  <c r="Q253" i="15"/>
  <c r="U251" i="14"/>
  <c r="U250" i="14" s="1"/>
  <c r="G250" i="14"/>
  <c r="A251" i="14"/>
  <c r="V250" i="14"/>
  <c r="A250" i="14"/>
  <c r="V249" i="14"/>
  <c r="Q607" i="15"/>
  <c r="H248" i="14"/>
  <c r="G248" i="14"/>
  <c r="A249" i="14"/>
  <c r="V248" i="14"/>
  <c r="A248" i="14"/>
  <c r="V247" i="14"/>
  <c r="A247" i="14"/>
  <c r="V246" i="14"/>
  <c r="Q248" i="15"/>
  <c r="U246" i="14"/>
  <c r="U245" i="14" s="1"/>
  <c r="G245" i="14"/>
  <c r="A246" i="14"/>
  <c r="V245" i="14"/>
  <c r="A245" i="14"/>
  <c r="V244" i="14"/>
  <c r="Q246" i="15"/>
  <c r="G243" i="14"/>
  <c r="A244" i="14"/>
  <c r="V243" i="14"/>
  <c r="A243" i="14"/>
  <c r="V242" i="14"/>
  <c r="Q244" i="15"/>
  <c r="AC242" i="14"/>
  <c r="AH242" i="14" s="1"/>
  <c r="AJ242" i="14" s="1"/>
  <c r="G241" i="14"/>
  <c r="A242" i="14"/>
  <c r="V241" i="14"/>
  <c r="A241" i="14"/>
  <c r="V240" i="14"/>
  <c r="Q242" i="15"/>
  <c r="AC240" i="14"/>
  <c r="AH240" i="14" s="1"/>
  <c r="AJ240" i="14" s="1"/>
  <c r="G239" i="14"/>
  <c r="A240" i="14"/>
  <c r="V239" i="14"/>
  <c r="A239" i="14"/>
  <c r="V238" i="14"/>
  <c r="Q240" i="15"/>
  <c r="U238" i="14"/>
  <c r="U237" i="14" s="1"/>
  <c r="G237" i="14"/>
  <c r="A238" i="14"/>
  <c r="V237" i="14"/>
  <c r="A237" i="14"/>
  <c r="V236" i="14"/>
  <c r="Q238" i="15"/>
  <c r="G235" i="14"/>
  <c r="A236" i="14"/>
  <c r="V235" i="14"/>
  <c r="A235" i="14"/>
  <c r="V234" i="14"/>
  <c r="Q236" i="15"/>
  <c r="G233" i="14"/>
  <c r="A234" i="14"/>
  <c r="V233" i="14"/>
  <c r="A233" i="14"/>
  <c r="V232" i="14"/>
  <c r="Q234" i="15"/>
  <c r="G231" i="14"/>
  <c r="A232" i="14"/>
  <c r="V231" i="14"/>
  <c r="A231" i="14"/>
  <c r="Q232" i="15"/>
  <c r="U230" i="14"/>
  <c r="A230" i="14"/>
  <c r="Q231" i="15"/>
  <c r="U229" i="14"/>
  <c r="A229" i="14"/>
  <c r="Q230" i="15"/>
  <c r="U228" i="14"/>
  <c r="A228" i="14"/>
  <c r="Z227" i="14"/>
  <c r="Z228" i="14" s="1"/>
  <c r="Q229" i="15"/>
  <c r="A227" i="14"/>
  <c r="V226" i="14"/>
  <c r="A226" i="14"/>
  <c r="V225" i="14"/>
  <c r="Q227" i="15"/>
  <c r="AC225" i="14"/>
  <c r="AH225" i="14" s="1"/>
  <c r="AJ225" i="14" s="1"/>
  <c r="A225" i="14"/>
  <c r="V224" i="14"/>
  <c r="Q226" i="15"/>
  <c r="U224" i="14"/>
  <c r="A224" i="14"/>
  <c r="V223" i="14"/>
  <c r="A223" i="14"/>
  <c r="V222" i="14"/>
  <c r="Q224" i="15"/>
  <c r="G221" i="14"/>
  <c r="A222" i="14"/>
  <c r="V221" i="14"/>
  <c r="A221" i="14"/>
  <c r="V220" i="14"/>
  <c r="Q222" i="15"/>
  <c r="G219" i="14"/>
  <c r="A220" i="14"/>
  <c r="V219" i="14"/>
  <c r="A219" i="14"/>
  <c r="V218" i="14"/>
  <c r="Q220" i="15"/>
  <c r="AC218" i="14"/>
  <c r="AH218" i="14" s="1"/>
  <c r="AJ218" i="14" s="1"/>
  <c r="G217" i="14"/>
  <c r="A218" i="14"/>
  <c r="V217" i="14"/>
  <c r="A217" i="14"/>
  <c r="V216" i="14"/>
  <c r="Q218" i="15"/>
  <c r="U216" i="14"/>
  <c r="A216" i="14"/>
  <c r="V215" i="14"/>
  <c r="Q217" i="15"/>
  <c r="AC215" i="14"/>
  <c r="AH215" i="14" s="1"/>
  <c r="AJ215" i="14" s="1"/>
  <c r="A215" i="14"/>
  <c r="V214" i="14"/>
  <c r="Q216" i="15"/>
  <c r="U214" i="14"/>
  <c r="A214" i="14"/>
  <c r="V213" i="14"/>
  <c r="Q215" i="15"/>
  <c r="U213" i="14"/>
  <c r="A213" i="14"/>
  <c r="V212" i="14"/>
  <c r="Q214" i="15"/>
  <c r="U212" i="14"/>
  <c r="A212" i="14"/>
  <c r="V211" i="14"/>
  <c r="Q213" i="15"/>
  <c r="U211" i="14"/>
  <c r="A211" i="14"/>
  <c r="V210" i="14"/>
  <c r="Q212" i="15"/>
  <c r="U210" i="14"/>
  <c r="A210" i="14"/>
  <c r="V209" i="14"/>
  <c r="Q211" i="15"/>
  <c r="U209" i="14"/>
  <c r="A209" i="14"/>
  <c r="V208" i="14"/>
  <c r="Q210" i="15"/>
  <c r="U208" i="14"/>
  <c r="A208" i="14"/>
  <c r="V207" i="14"/>
  <c r="Q209" i="15"/>
  <c r="U207" i="14"/>
  <c r="A207" i="14"/>
  <c r="V206" i="14"/>
  <c r="Q208" i="15"/>
  <c r="U206" i="14"/>
  <c r="A206" i="14"/>
  <c r="V205" i="14"/>
  <c r="Q207" i="15"/>
  <c r="U205" i="14"/>
  <c r="A205" i="14"/>
  <c r="V204" i="14"/>
  <c r="Q206" i="15"/>
  <c r="AC204" i="14"/>
  <c r="AH204" i="14" s="1"/>
  <c r="AJ204" i="14" s="1"/>
  <c r="A204" i="14"/>
  <c r="V203" i="14"/>
  <c r="Q205" i="15"/>
  <c r="A203" i="14"/>
  <c r="V202" i="14"/>
  <c r="Q204" i="15"/>
  <c r="U202" i="14"/>
  <c r="A202" i="14"/>
  <c r="V201" i="14"/>
  <c r="Q203" i="15"/>
  <c r="AC201" i="14"/>
  <c r="AH201" i="14" s="1"/>
  <c r="AJ201" i="14" s="1"/>
  <c r="A201" i="14"/>
  <c r="V200" i="14"/>
  <c r="Q202" i="15"/>
  <c r="AC200" i="14"/>
  <c r="AH200" i="14" s="1"/>
  <c r="AJ200" i="14" s="1"/>
  <c r="A200" i="14"/>
  <c r="V199" i="14"/>
  <c r="Q201" i="15"/>
  <c r="A199" i="14"/>
  <c r="V198" i="14"/>
  <c r="Q200" i="15"/>
  <c r="AC198" i="14"/>
  <c r="AH198" i="14" s="1"/>
  <c r="AJ198" i="14" s="1"/>
  <c r="A198" i="14"/>
  <c r="V197" i="14"/>
  <c r="Q199" i="15"/>
  <c r="AC197" i="14"/>
  <c r="AH197" i="14" s="1"/>
  <c r="AJ197" i="14" s="1"/>
  <c r="A197" i="14"/>
  <c r="V196" i="14"/>
  <c r="Q198" i="15"/>
  <c r="AC196" i="14"/>
  <c r="AH196" i="14" s="1"/>
  <c r="AJ196" i="14" s="1"/>
  <c r="A196" i="14"/>
  <c r="V195" i="14"/>
  <c r="A195" i="14"/>
  <c r="V194" i="14"/>
  <c r="Q196" i="15"/>
  <c r="A194" i="14"/>
  <c r="V193" i="14"/>
  <c r="Q195" i="15"/>
  <c r="U193" i="14"/>
  <c r="A193" i="14"/>
  <c r="V192" i="14"/>
  <c r="Q194" i="15"/>
  <c r="A192" i="14"/>
  <c r="V191" i="14"/>
  <c r="A191" i="14"/>
  <c r="V190" i="14"/>
  <c r="Q192" i="15"/>
  <c r="AC190" i="14"/>
  <c r="AH190" i="14" s="1"/>
  <c r="AJ190" i="14" s="1"/>
  <c r="A190" i="14"/>
  <c r="V189" i="14"/>
  <c r="Q191" i="15"/>
  <c r="AC189" i="14"/>
  <c r="AH189" i="14" s="1"/>
  <c r="AJ189" i="14" s="1"/>
  <c r="A189" i="14"/>
  <c r="V188" i="14"/>
  <c r="Q190" i="15"/>
  <c r="AC188" i="14"/>
  <c r="AH188" i="14" s="1"/>
  <c r="AJ188" i="14" s="1"/>
  <c r="A188" i="14"/>
  <c r="V187" i="14"/>
  <c r="Q189" i="15"/>
  <c r="U187" i="14"/>
  <c r="A187" i="14"/>
  <c r="V186" i="14"/>
  <c r="Q188" i="15"/>
  <c r="AC186" i="14"/>
  <c r="AH186" i="14" s="1"/>
  <c r="AJ186" i="14" s="1"/>
  <c r="A186" i="14"/>
  <c r="V185" i="14"/>
  <c r="Q187" i="15"/>
  <c r="AC185" i="14"/>
  <c r="AH185" i="14" s="1"/>
  <c r="AJ185" i="14" s="1"/>
  <c r="A185" i="14"/>
  <c r="V184" i="14"/>
  <c r="Q186" i="15"/>
  <c r="U184" i="14"/>
  <c r="A184" i="14"/>
  <c r="V183" i="14"/>
  <c r="Q185" i="15"/>
  <c r="U183" i="14"/>
  <c r="A183" i="14"/>
  <c r="V182" i="14"/>
  <c r="Q184" i="15"/>
  <c r="U182" i="14"/>
  <c r="A182" i="14"/>
  <c r="V181" i="14"/>
  <c r="Q183" i="15"/>
  <c r="A181" i="14"/>
  <c r="V180" i="14"/>
  <c r="Q182" i="15"/>
  <c r="U180" i="14"/>
  <c r="A180" i="14"/>
  <c r="V179" i="14"/>
  <c r="Q181" i="15"/>
  <c r="U179" i="14"/>
  <c r="A179" i="14"/>
  <c r="V178" i="14"/>
  <c r="A178" i="14"/>
  <c r="V177" i="14"/>
  <c r="A177" i="14"/>
  <c r="V176" i="14"/>
  <c r="A176" i="14"/>
  <c r="V175" i="14"/>
  <c r="Q177" i="15"/>
  <c r="AC175" i="14"/>
  <c r="AH175" i="14" s="1"/>
  <c r="AJ175" i="14" s="1"/>
  <c r="A175" i="14"/>
  <c r="V174" i="14"/>
  <c r="Q176" i="15"/>
  <c r="A174" i="14"/>
  <c r="V173" i="14"/>
  <c r="Q175" i="15"/>
  <c r="AC173" i="14"/>
  <c r="AH173" i="14" s="1"/>
  <c r="A173" i="14"/>
  <c r="V172" i="14"/>
  <c r="Q174" i="15"/>
  <c r="AC172" i="14"/>
  <c r="AH172" i="14" s="1"/>
  <c r="AJ172" i="14" s="1"/>
  <c r="A172" i="14"/>
  <c r="V171" i="14"/>
  <c r="A171" i="14"/>
  <c r="V170" i="14"/>
  <c r="Q172" i="15"/>
  <c r="A170" i="14"/>
  <c r="V169" i="14"/>
  <c r="Q171" i="15"/>
  <c r="U169" i="14"/>
  <c r="A169" i="14"/>
  <c r="V168" i="14"/>
  <c r="Q170" i="15"/>
  <c r="AJ168" i="14"/>
  <c r="A168" i="14"/>
  <c r="V167" i="14"/>
  <c r="Q169" i="15"/>
  <c r="A167" i="14"/>
  <c r="V166" i="14"/>
  <c r="A166" i="14"/>
  <c r="V165" i="14"/>
  <c r="Q167" i="15"/>
  <c r="A165" i="14"/>
  <c r="V164" i="14"/>
  <c r="Q166" i="15"/>
  <c r="AC164" i="14"/>
  <c r="AH164" i="14" s="1"/>
  <c r="AJ164" i="14" s="1"/>
  <c r="A164" i="14"/>
  <c r="V163" i="14"/>
  <c r="Q165" i="15"/>
  <c r="U163" i="14"/>
  <c r="A163" i="14"/>
  <c r="V162" i="14"/>
  <c r="Q164" i="15"/>
  <c r="AC162" i="14"/>
  <c r="AH162" i="14" s="1"/>
  <c r="AJ162" i="14" s="1"/>
  <c r="A162" i="14"/>
  <c r="V161" i="14"/>
  <c r="Q163" i="15"/>
  <c r="U161" i="14"/>
  <c r="A161" i="14"/>
  <c r="V160" i="14"/>
  <c r="A160" i="14"/>
  <c r="V159" i="14"/>
  <c r="Q161" i="15"/>
  <c r="AC159" i="14"/>
  <c r="AH159" i="14" s="1"/>
  <c r="AJ159" i="14" s="1"/>
  <c r="A159" i="14"/>
  <c r="V158" i="14"/>
  <c r="Q160" i="15"/>
  <c r="AC158" i="14"/>
  <c r="A158" i="14"/>
  <c r="V157" i="14"/>
  <c r="A157" i="14"/>
  <c r="V156" i="14"/>
  <c r="Q158" i="15"/>
  <c r="U156" i="14"/>
  <c r="U155" i="14" s="1"/>
  <c r="G155" i="14"/>
  <c r="A156" i="14"/>
  <c r="V155" i="14"/>
  <c r="A155" i="14"/>
  <c r="V154" i="14"/>
  <c r="Q156" i="15"/>
  <c r="AC154" i="14"/>
  <c r="G153" i="14"/>
  <c r="A154" i="14"/>
  <c r="V153" i="14"/>
  <c r="A153" i="14"/>
  <c r="V152" i="14"/>
  <c r="A152" i="14"/>
  <c r="Q153" i="15"/>
  <c r="U151" i="14"/>
  <c r="A151" i="14"/>
  <c r="Q152" i="15"/>
  <c r="U150" i="14"/>
  <c r="A150" i="14"/>
  <c r="Q151" i="15"/>
  <c r="U149" i="14"/>
  <c r="A149" i="14"/>
  <c r="Q150" i="15"/>
  <c r="U148" i="14"/>
  <c r="A148" i="14"/>
  <c r="Q149" i="15"/>
  <c r="U147" i="14"/>
  <c r="A147" i="14"/>
  <c r="Q148" i="15"/>
  <c r="AC146" i="14"/>
  <c r="AH146" i="14" s="1"/>
  <c r="AJ146" i="14" s="1"/>
  <c r="A146" i="14"/>
  <c r="Q147" i="15"/>
  <c r="AC145" i="14"/>
  <c r="AH145" i="14" s="1"/>
  <c r="AJ145" i="14" s="1"/>
  <c r="A145" i="14"/>
  <c r="Z144" i="14"/>
  <c r="Q146" i="15"/>
  <c r="U144" i="14"/>
  <c r="A144" i="14"/>
  <c r="V143" i="14"/>
  <c r="A143" i="14"/>
  <c r="Z142" i="14"/>
  <c r="V142" i="14" s="1"/>
  <c r="U142" i="14"/>
  <c r="U141" i="14" s="1"/>
  <c r="G141" i="14"/>
  <c r="A142" i="14"/>
  <c r="V141" i="14"/>
  <c r="A141" i="14"/>
  <c r="Q142" i="15"/>
  <c r="U140" i="14"/>
  <c r="A140" i="14"/>
  <c r="Q141" i="15"/>
  <c r="U139" i="14"/>
  <c r="A139" i="14"/>
  <c r="Q140" i="15"/>
  <c r="U138" i="14"/>
  <c r="A138" i="14"/>
  <c r="Q139" i="15"/>
  <c r="U137" i="14"/>
  <c r="A137" i="14"/>
  <c r="Q138" i="15"/>
  <c r="U136" i="14"/>
  <c r="A136" i="14"/>
  <c r="Q137" i="15"/>
  <c r="U135" i="14"/>
  <c r="A135" i="14"/>
  <c r="Q136" i="15"/>
  <c r="U134" i="14"/>
  <c r="A134" i="14"/>
  <c r="Z133" i="14"/>
  <c r="Q135" i="15"/>
  <c r="U133" i="14"/>
  <c r="A133" i="14"/>
  <c r="V132" i="14"/>
  <c r="A132" i="14"/>
  <c r="Z131" i="14"/>
  <c r="V131" i="14" s="1"/>
  <c r="Q133" i="15"/>
  <c r="G130" i="14"/>
  <c r="A131" i="14"/>
  <c r="V130" i="14"/>
  <c r="A130" i="14"/>
  <c r="Q131" i="15"/>
  <c r="U129" i="14"/>
  <c r="A129" i="14"/>
  <c r="Q130" i="15"/>
  <c r="U128" i="14"/>
  <c r="A128" i="14"/>
  <c r="Q129" i="15"/>
  <c r="U127" i="14"/>
  <c r="A127" i="14"/>
  <c r="Q128" i="15"/>
  <c r="U126" i="14"/>
  <c r="A126" i="14"/>
  <c r="Q127" i="15"/>
  <c r="U125" i="14"/>
  <c r="A125" i="14"/>
  <c r="Z124" i="14"/>
  <c r="Z125" i="14" s="1"/>
  <c r="Q126" i="15"/>
  <c r="U124" i="14"/>
  <c r="A124" i="14"/>
  <c r="V123" i="14"/>
  <c r="A123" i="14"/>
  <c r="Q124" i="15"/>
  <c r="U122" i="14"/>
  <c r="A122" i="14"/>
  <c r="Q123" i="15"/>
  <c r="U121" i="14"/>
  <c r="A121" i="14"/>
  <c r="Q122" i="15"/>
  <c r="U120" i="14"/>
  <c r="A120" i="14"/>
  <c r="Q121" i="15"/>
  <c r="U119" i="14"/>
  <c r="A119" i="14"/>
  <c r="Q120" i="15"/>
  <c r="U118" i="14"/>
  <c r="A118" i="14"/>
  <c r="Q119" i="15"/>
  <c r="U117" i="14"/>
  <c r="A117" i="14"/>
  <c r="Q118" i="15"/>
  <c r="U116" i="14"/>
  <c r="A116" i="14"/>
  <c r="Z115" i="14"/>
  <c r="V115" i="14" s="1"/>
  <c r="Q117" i="15"/>
  <c r="U115" i="14"/>
  <c r="A115" i="14"/>
  <c r="V114" i="14"/>
  <c r="A114" i="14"/>
  <c r="Q115" i="15"/>
  <c r="U113" i="14"/>
  <c r="A113" i="14"/>
  <c r="Q114" i="15"/>
  <c r="U112" i="14"/>
  <c r="A112" i="14"/>
  <c r="Q113" i="15"/>
  <c r="U111" i="14"/>
  <c r="A111" i="14"/>
  <c r="Q112" i="15"/>
  <c r="U110" i="14"/>
  <c r="A110" i="14"/>
  <c r="Q111" i="15"/>
  <c r="U109" i="14"/>
  <c r="A109" i="14"/>
  <c r="Q110" i="15"/>
  <c r="U108" i="14"/>
  <c r="A108" i="14"/>
  <c r="Q109" i="15"/>
  <c r="U107" i="14"/>
  <c r="A107" i="14"/>
  <c r="Q108" i="15"/>
  <c r="U106" i="14"/>
  <c r="A106" i="14"/>
  <c r="Q107" i="15"/>
  <c r="U105" i="14"/>
  <c r="A105" i="14"/>
  <c r="Q106" i="15"/>
  <c r="U104" i="14"/>
  <c r="A104" i="14"/>
  <c r="Q105" i="15"/>
  <c r="U103" i="14"/>
  <c r="A103" i="14"/>
  <c r="Q104" i="15"/>
  <c r="U102" i="14"/>
  <c r="A102" i="14"/>
  <c r="Q103" i="15"/>
  <c r="U101" i="14"/>
  <c r="A101" i="14"/>
  <c r="Z100" i="14"/>
  <c r="Q102" i="15"/>
  <c r="A100" i="14"/>
  <c r="V99" i="14"/>
  <c r="A99" i="14"/>
  <c r="Q100" i="15"/>
  <c r="U98" i="14"/>
  <c r="A98" i="14"/>
  <c r="Q99" i="15"/>
  <c r="U97" i="14"/>
  <c r="A97" i="14"/>
  <c r="Q98" i="15"/>
  <c r="U96" i="14"/>
  <c r="A96" i="14"/>
  <c r="Q97" i="15"/>
  <c r="U95" i="14"/>
  <c r="A95" i="14"/>
  <c r="Q96" i="15"/>
  <c r="U94" i="14"/>
  <c r="A94" i="14"/>
  <c r="Q95" i="15"/>
  <c r="U93" i="14"/>
  <c r="A93" i="14"/>
  <c r="Q94" i="15"/>
  <c r="U92" i="14"/>
  <c r="A92" i="14"/>
  <c r="Q93" i="15"/>
  <c r="U91" i="14"/>
  <c r="A91" i="14"/>
  <c r="Q92" i="15"/>
  <c r="U90" i="14"/>
  <c r="A90" i="14"/>
  <c r="Q91" i="15"/>
  <c r="U89" i="14"/>
  <c r="A89" i="14"/>
  <c r="Q90" i="15"/>
  <c r="U88" i="14"/>
  <c r="A88" i="14"/>
  <c r="Q89" i="15"/>
  <c r="U87" i="14"/>
  <c r="A87" i="14"/>
  <c r="Q88" i="15"/>
  <c r="U86" i="14"/>
  <c r="A86" i="14"/>
  <c r="Q87" i="15"/>
  <c r="A85" i="14"/>
  <c r="Q86" i="15"/>
  <c r="U84" i="14"/>
  <c r="A84" i="14"/>
  <c r="Q85" i="15"/>
  <c r="U83" i="14"/>
  <c r="A83" i="14"/>
  <c r="Q84" i="15"/>
  <c r="U82" i="14"/>
  <c r="A82" i="14"/>
  <c r="Q83" i="15"/>
  <c r="U81" i="14"/>
  <c r="A81" i="14"/>
  <c r="Q82" i="15"/>
  <c r="U80" i="14"/>
  <c r="A80" i="14"/>
  <c r="Q81" i="15"/>
  <c r="U79" i="14"/>
  <c r="A79" i="14"/>
  <c r="Q80" i="15"/>
  <c r="U78" i="14"/>
  <c r="A78" i="14"/>
  <c r="Q79" i="15"/>
  <c r="U77" i="14"/>
  <c r="A77" i="14"/>
  <c r="Q78" i="15"/>
  <c r="U76" i="14"/>
  <c r="A76" i="14"/>
  <c r="Q77" i="15"/>
  <c r="U75" i="14"/>
  <c r="A75" i="14"/>
  <c r="Q76" i="15"/>
  <c r="A74" i="14"/>
  <c r="Q75" i="15"/>
  <c r="U73" i="14"/>
  <c r="A73" i="14"/>
  <c r="Q74" i="15"/>
  <c r="U72" i="14"/>
  <c r="A72" i="14"/>
  <c r="Z71" i="14"/>
  <c r="V71" i="14" s="1"/>
  <c r="Q73" i="15"/>
  <c r="A71" i="14"/>
  <c r="V70" i="14"/>
  <c r="A70" i="14"/>
  <c r="V69" i="14"/>
  <c r="Q71" i="15"/>
  <c r="A69" i="14"/>
  <c r="V68" i="14"/>
  <c r="Q70" i="15"/>
  <c r="AJ68" i="14"/>
  <c r="A68" i="14"/>
  <c r="V67" i="14"/>
  <c r="Q69" i="15"/>
  <c r="U67" i="14"/>
  <c r="A67" i="14"/>
  <c r="V66" i="14"/>
  <c r="Q68" i="15"/>
  <c r="AJ66" i="14"/>
  <c r="A66" i="14"/>
  <c r="V65" i="14"/>
  <c r="Q67" i="15"/>
  <c r="U65" i="14"/>
  <c r="A65" i="14"/>
  <c r="V64" i="14"/>
  <c r="Q66" i="15"/>
  <c r="U64" i="14"/>
  <c r="A64" i="14"/>
  <c r="V63" i="14"/>
  <c r="A63" i="14"/>
  <c r="V62" i="14"/>
  <c r="Q64" i="15"/>
  <c r="AJ62" i="14"/>
  <c r="A62" i="14"/>
  <c r="V61" i="14"/>
  <c r="Q63" i="15"/>
  <c r="A61" i="14"/>
  <c r="V60" i="14"/>
  <c r="Q62" i="15"/>
  <c r="U60" i="14"/>
  <c r="A60" i="14"/>
  <c r="V59" i="14"/>
  <c r="Q61" i="15"/>
  <c r="A59" i="14"/>
  <c r="V58" i="14"/>
  <c r="A58" i="14"/>
  <c r="V57" i="14"/>
  <c r="Q59" i="15"/>
  <c r="U57" i="14"/>
  <c r="A57" i="14"/>
  <c r="V56" i="14"/>
  <c r="Q58" i="15"/>
  <c r="AJ56" i="14"/>
  <c r="A56" i="14"/>
  <c r="V55" i="14"/>
  <c r="Q57" i="15"/>
  <c r="U55" i="14"/>
  <c r="A55" i="14"/>
  <c r="V54" i="14"/>
  <c r="Q56" i="15"/>
  <c r="A54" i="14"/>
  <c r="V53" i="14"/>
  <c r="A53" i="14"/>
  <c r="V52" i="14"/>
  <c r="A52" i="14"/>
  <c r="Q53" i="15"/>
  <c r="AC51" i="14"/>
  <c r="AH51" i="14" s="1"/>
  <c r="AJ51" i="14" s="1"/>
  <c r="A51" i="14"/>
  <c r="Q52" i="15"/>
  <c r="A50" i="14"/>
  <c r="Q51" i="15"/>
  <c r="A49" i="14"/>
  <c r="Z48" i="14"/>
  <c r="Q50" i="15"/>
  <c r="U48" i="14"/>
  <c r="A48" i="14"/>
  <c r="V47" i="14"/>
  <c r="A47" i="14"/>
  <c r="Q48" i="15"/>
  <c r="AC46" i="14"/>
  <c r="AH46" i="14" s="1"/>
  <c r="AJ46" i="14" s="1"/>
  <c r="A46" i="14"/>
  <c r="Z45" i="14"/>
  <c r="Z46" i="14" s="1"/>
  <c r="V46" i="14" s="1"/>
  <c r="Q47" i="15"/>
  <c r="U45" i="14"/>
  <c r="A45" i="14"/>
  <c r="V44" i="14"/>
  <c r="A44" i="14"/>
  <c r="Q45" i="15"/>
  <c r="A43" i="14"/>
  <c r="Z42" i="14"/>
  <c r="Z43" i="14" s="1"/>
  <c r="V43" i="14" s="1"/>
  <c r="Q44" i="15"/>
  <c r="AC42" i="14"/>
  <c r="A42" i="14"/>
  <c r="V41" i="14"/>
  <c r="A41" i="14"/>
  <c r="Q42" i="15"/>
  <c r="AC40" i="14"/>
  <c r="AH40" i="14" s="1"/>
  <c r="AJ40" i="14" s="1"/>
  <c r="A40" i="14"/>
  <c r="Q41" i="15"/>
  <c r="U39" i="14"/>
  <c r="A39" i="14"/>
  <c r="Q40" i="15"/>
  <c r="U38" i="14"/>
  <c r="A38" i="14"/>
  <c r="Z37" i="14"/>
  <c r="Q39" i="15"/>
  <c r="U37" i="14"/>
  <c r="A37" i="14"/>
  <c r="V36" i="14"/>
  <c r="A36" i="14"/>
  <c r="Q37" i="15"/>
  <c r="AJ35" i="14"/>
  <c r="A35" i="14"/>
  <c r="Q36" i="15"/>
  <c r="U34" i="14"/>
  <c r="A34" i="14"/>
  <c r="Q35" i="15"/>
  <c r="A33" i="14"/>
  <c r="Q34" i="15"/>
  <c r="U32" i="14"/>
  <c r="A32" i="14"/>
  <c r="Q33" i="15"/>
  <c r="U31" i="14"/>
  <c r="A31" i="14"/>
  <c r="Q32" i="15"/>
  <c r="U30" i="14"/>
  <c r="A30" i="14"/>
  <c r="Q31" i="15"/>
  <c r="U29" i="14"/>
  <c r="A29" i="14"/>
  <c r="Z28" i="14"/>
  <c r="Z29" i="14" s="1"/>
  <c r="Q30" i="15"/>
  <c r="U28" i="14"/>
  <c r="A28" i="14"/>
  <c r="V27" i="14"/>
  <c r="A27" i="14"/>
  <c r="V26" i="14"/>
  <c r="Q28" i="15"/>
  <c r="U26" i="14"/>
  <c r="A26" i="14"/>
  <c r="V25" i="14"/>
  <c r="Q27" i="15"/>
  <c r="U25" i="14"/>
  <c r="A25" i="14"/>
  <c r="V24" i="14"/>
  <c r="Q26" i="15"/>
  <c r="U24" i="14"/>
  <c r="A24" i="14"/>
  <c r="V23" i="14"/>
  <c r="Q25" i="15"/>
  <c r="U23" i="14"/>
  <c r="A23" i="14"/>
  <c r="V22" i="14"/>
  <c r="Q24" i="15"/>
  <c r="U22" i="14"/>
  <c r="A22" i="14"/>
  <c r="V21" i="14"/>
  <c r="Q23" i="15"/>
  <c r="U21" i="14"/>
  <c r="A21" i="14"/>
  <c r="V20" i="14"/>
  <c r="A20" i="14"/>
  <c r="V19" i="14"/>
  <c r="Q21" i="15"/>
  <c r="A19" i="14"/>
  <c r="V18" i="14"/>
  <c r="Q20" i="15"/>
  <c r="AC18" i="14"/>
  <c r="AH18" i="14" s="1"/>
  <c r="AJ18" i="14" s="1"/>
  <c r="A18" i="14"/>
  <c r="V17" i="14"/>
  <c r="Q19" i="15"/>
  <c r="U17" i="14"/>
  <c r="A17" i="14"/>
  <c r="V16" i="14"/>
  <c r="Q18" i="15"/>
  <c r="U16" i="14"/>
  <c r="A16" i="14"/>
  <c r="V15" i="14"/>
  <c r="Q17" i="15"/>
  <c r="U15" i="14"/>
  <c r="A15" i="14"/>
  <c r="V14" i="14"/>
  <c r="Q16" i="15"/>
  <c r="U14" i="14"/>
  <c r="A14" i="14"/>
  <c r="V13" i="14"/>
  <c r="A13" i="14"/>
  <c r="V12" i="14"/>
  <c r="Q14" i="15"/>
  <c r="U12" i="14"/>
  <c r="A12" i="14"/>
  <c r="V11" i="14"/>
  <c r="Q13" i="15"/>
  <c r="A11" i="14"/>
  <c r="V10" i="14"/>
  <c r="Q12" i="15"/>
  <c r="U10" i="14"/>
  <c r="A10" i="14"/>
  <c r="V9" i="14"/>
  <c r="Q11" i="15"/>
  <c r="A9" i="14"/>
  <c r="V8" i="14"/>
  <c r="A8" i="14"/>
  <c r="V7" i="14"/>
  <c r="Q9" i="15"/>
  <c r="AC7" i="14"/>
  <c r="AH7" i="14" s="1"/>
  <c r="AJ7" i="14" s="1"/>
  <c r="A7" i="14"/>
  <c r="V6" i="14"/>
  <c r="Q8" i="15"/>
  <c r="U6" i="14"/>
  <c r="A6" i="14"/>
  <c r="V5" i="14"/>
  <c r="V4" i="14"/>
  <c r="V3" i="14"/>
  <c r="AN2" i="14"/>
  <c r="V2" i="14"/>
  <c r="H319" i="13"/>
  <c r="H318" i="13"/>
  <c r="K318" i="13" s="1"/>
  <c r="H316" i="13"/>
  <c r="H313" i="13"/>
  <c r="H312" i="13"/>
  <c r="H309" i="13"/>
  <c r="H308" i="13"/>
  <c r="H305" i="13"/>
  <c r="H304" i="13"/>
  <c r="H302" i="13"/>
  <c r="H300" i="13"/>
  <c r="H299" i="13"/>
  <c r="H298" i="13"/>
  <c r="H296" i="13"/>
  <c r="H294" i="13"/>
  <c r="H293" i="13"/>
  <c r="H289" i="13"/>
  <c r="H288" i="13"/>
  <c r="H285" i="13"/>
  <c r="H284" i="13"/>
  <c r="H282" i="13"/>
  <c r="H280" i="13"/>
  <c r="H279" i="13"/>
  <c r="H278" i="13"/>
  <c r="H277" i="13"/>
  <c r="H276" i="13"/>
  <c r="H274" i="13"/>
  <c r="H273" i="13"/>
  <c r="H271" i="13"/>
  <c r="H268" i="13"/>
  <c r="H265" i="13"/>
  <c r="H263" i="13"/>
  <c r="H261" i="13"/>
  <c r="H259" i="13"/>
  <c r="H258" i="13"/>
  <c r="H256" i="13"/>
  <c r="H255" i="13"/>
  <c r="H253" i="13"/>
  <c r="H252" i="13"/>
  <c r="H246" i="13"/>
  <c r="H242" i="13"/>
  <c r="H241" i="13"/>
  <c r="H238" i="13"/>
  <c r="H236" i="13"/>
  <c r="K236" i="13" s="1"/>
  <c r="H232" i="13"/>
  <c r="H229" i="13"/>
  <c r="K229" i="13" s="1"/>
  <c r="H228" i="13"/>
  <c r="H227" i="13"/>
  <c r="H225" i="13"/>
  <c r="H223" i="13"/>
  <c r="H220" i="13"/>
  <c r="H217" i="13"/>
  <c r="H215" i="13"/>
  <c r="K215" i="13" s="1"/>
  <c r="H211" i="13"/>
  <c r="K211" i="13" s="1"/>
  <c r="H210" i="13"/>
  <c r="K210" i="13" s="1"/>
  <c r="H208" i="13"/>
  <c r="H207" i="13"/>
  <c r="H204" i="13"/>
  <c r="H199" i="13"/>
  <c r="K199" i="13" s="1"/>
  <c r="H197" i="13"/>
  <c r="H195" i="13"/>
  <c r="K195" i="13" s="1"/>
  <c r="H194" i="13"/>
  <c r="H193" i="13"/>
  <c r="K193" i="13" s="1"/>
  <c r="H191" i="13"/>
  <c r="H189" i="13"/>
  <c r="K189" i="13" s="1"/>
  <c r="H186" i="13"/>
  <c r="H184" i="13"/>
  <c r="H179" i="13"/>
  <c r="H172" i="13"/>
  <c r="H170" i="13"/>
  <c r="K170" i="13" s="1"/>
  <c r="H168" i="13"/>
  <c r="H167" i="13"/>
  <c r="H164" i="13"/>
  <c r="H162" i="13"/>
  <c r="H161" i="13"/>
  <c r="K161" i="13" s="1"/>
  <c r="H159" i="13"/>
  <c r="K159" i="13" s="1"/>
  <c r="H158" i="13"/>
  <c r="K158" i="13" s="1"/>
  <c r="H156" i="13"/>
  <c r="K156" i="13" s="1"/>
  <c r="H154" i="13"/>
  <c r="K154" i="13" s="1"/>
  <c r="H151" i="13"/>
  <c r="H149" i="13"/>
  <c r="H148" i="13"/>
  <c r="K148" i="13" s="1"/>
  <c r="H147" i="13"/>
  <c r="H146" i="13"/>
  <c r="H145" i="13"/>
  <c r="K145" i="13" s="1"/>
  <c r="H144" i="13"/>
  <c r="H143" i="13"/>
  <c r="H142" i="13"/>
  <c r="K142" i="13" s="1"/>
  <c r="H139" i="13"/>
  <c r="H138" i="13"/>
  <c r="H137" i="13"/>
  <c r="H134" i="13"/>
  <c r="H133" i="13"/>
  <c r="H132" i="13"/>
  <c r="K132" i="13" s="1"/>
  <c r="H130" i="13"/>
  <c r="H127" i="13"/>
  <c r="K127" i="13" s="1"/>
  <c r="H125" i="13"/>
  <c r="H124" i="13"/>
  <c r="H122" i="13"/>
  <c r="H117" i="13"/>
  <c r="K117" i="13" s="1"/>
  <c r="H116" i="13"/>
  <c r="H114" i="13"/>
  <c r="H110" i="13"/>
  <c r="H109" i="13"/>
  <c r="H107" i="13"/>
  <c r="H106" i="13"/>
  <c r="H104" i="13"/>
  <c r="H101" i="13"/>
  <c r="H99" i="13"/>
  <c r="H97" i="13"/>
  <c r="H93" i="13"/>
  <c r="H91" i="13"/>
  <c r="H90" i="13"/>
  <c r="H88" i="13"/>
  <c r="K88" i="13" s="1"/>
  <c r="H87" i="13"/>
  <c r="K87" i="13" s="1"/>
  <c r="H86" i="13"/>
  <c r="H85" i="13"/>
  <c r="K85" i="13" s="1"/>
  <c r="H80" i="13"/>
  <c r="H79" i="13"/>
  <c r="H78" i="13"/>
  <c r="H76" i="13"/>
  <c r="K76" i="13" s="1"/>
  <c r="H74" i="13"/>
  <c r="H73" i="13"/>
  <c r="H72" i="13"/>
  <c r="H71" i="13"/>
  <c r="H68" i="13"/>
  <c r="H67" i="13"/>
  <c r="H65" i="13"/>
  <c r="H63" i="13"/>
  <c r="H58" i="13"/>
  <c r="K58" i="13" s="1"/>
  <c r="H55" i="13"/>
  <c r="H54" i="13"/>
  <c r="K54" i="13" s="1"/>
  <c r="H53" i="13"/>
  <c r="K53" i="13" s="1"/>
  <c r="H51" i="13"/>
  <c r="K51" i="13" s="1"/>
  <c r="H50" i="13"/>
  <c r="K50" i="13" s="1"/>
  <c r="H44" i="13"/>
  <c r="K44" i="13" s="1"/>
  <c r="H41" i="13"/>
  <c r="H39" i="13"/>
  <c r="K39" i="13" s="1"/>
  <c r="H38" i="13"/>
  <c r="K38" i="13" s="1"/>
  <c r="H35" i="13"/>
  <c r="H34" i="13"/>
  <c r="H31" i="13"/>
  <c r="H30" i="13"/>
  <c r="H26" i="13"/>
  <c r="H25" i="13"/>
  <c r="H22" i="13"/>
  <c r="K22" i="13" s="1"/>
  <c r="H21" i="13"/>
  <c r="K21" i="13" s="1"/>
  <c r="H20" i="13"/>
  <c r="K20" i="13" s="1"/>
  <c r="H19" i="13"/>
  <c r="K19" i="13" s="1"/>
  <c r="H16" i="13"/>
  <c r="H15" i="13"/>
  <c r="H14" i="13"/>
  <c r="H13" i="13"/>
  <c r="H11" i="13"/>
  <c r="H10" i="13"/>
  <c r="H8" i="13"/>
  <c r="H7" i="13"/>
  <c r="F5" i="13"/>
  <c r="F6" i="13" s="1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F31" i="13" s="1"/>
  <c r="F32" i="13" s="1"/>
  <c r="F33" i="13" s="1"/>
  <c r="F34" i="13" s="1"/>
  <c r="F35" i="13" s="1"/>
  <c r="F36" i="13" s="1"/>
  <c r="F37" i="13" s="1"/>
  <c r="F38" i="13" s="1"/>
  <c r="F39" i="13" s="1"/>
  <c r="F40" i="13" s="1"/>
  <c r="F41" i="13" s="1"/>
  <c r="F42" i="13" s="1"/>
  <c r="F43" i="13" s="1"/>
  <c r="F44" i="13" s="1"/>
  <c r="F45" i="13" s="1"/>
  <c r="F46" i="13" s="1"/>
  <c r="F47" i="13" s="1"/>
  <c r="F48" i="13" s="1"/>
  <c r="F49" i="13" s="1"/>
  <c r="F50" i="13" s="1"/>
  <c r="F51" i="13" s="1"/>
  <c r="F52" i="13" s="1"/>
  <c r="F53" i="13" s="1"/>
  <c r="F54" i="13" s="1"/>
  <c r="F55" i="13" s="1"/>
  <c r="F56" i="13" s="1"/>
  <c r="F57" i="13" s="1"/>
  <c r="F58" i="13" s="1"/>
  <c r="F59" i="13" s="1"/>
  <c r="F60" i="13" s="1"/>
  <c r="F61" i="13" s="1"/>
  <c r="F62" i="13" s="1"/>
  <c r="F63" i="13" s="1"/>
  <c r="F64" i="13" s="1"/>
  <c r="F65" i="13" s="1"/>
  <c r="F66" i="13" s="1"/>
  <c r="F67" i="13" s="1"/>
  <c r="F68" i="13" s="1"/>
  <c r="F69" i="13" s="1"/>
  <c r="F70" i="13" s="1"/>
  <c r="F71" i="13" s="1"/>
  <c r="F72" i="13" s="1"/>
  <c r="F73" i="13" s="1"/>
  <c r="F74" i="13" s="1"/>
  <c r="F75" i="13" s="1"/>
  <c r="F76" i="13" s="1"/>
  <c r="F77" i="13" s="1"/>
  <c r="F78" i="13" s="1"/>
  <c r="F79" i="13" s="1"/>
  <c r="F80" i="13" s="1"/>
  <c r="F81" i="13" s="1"/>
  <c r="F82" i="13" s="1"/>
  <c r="F83" i="13" s="1"/>
  <c r="F84" i="13" s="1"/>
  <c r="F85" i="13" s="1"/>
  <c r="F86" i="13" s="1"/>
  <c r="F87" i="13" s="1"/>
  <c r="F88" i="13" s="1"/>
  <c r="F89" i="13" s="1"/>
  <c r="F90" i="13" s="1"/>
  <c r="F91" i="13" s="1"/>
  <c r="F92" i="13" s="1"/>
  <c r="F93" i="13" s="1"/>
  <c r="F94" i="13" s="1"/>
  <c r="F95" i="13" s="1"/>
  <c r="F96" i="13" s="1"/>
  <c r="F97" i="13" s="1"/>
  <c r="F98" i="13" s="1"/>
  <c r="F99" i="13" s="1"/>
  <c r="F100" i="13" s="1"/>
  <c r="F101" i="13" s="1"/>
  <c r="F102" i="13" s="1"/>
  <c r="F103" i="13" s="1"/>
  <c r="F104" i="13" s="1"/>
  <c r="F105" i="13" s="1"/>
  <c r="F106" i="13" s="1"/>
  <c r="F107" i="13" s="1"/>
  <c r="F108" i="13" s="1"/>
  <c r="F109" i="13" s="1"/>
  <c r="F110" i="13" s="1"/>
  <c r="F111" i="13" s="1"/>
  <c r="F112" i="13" s="1"/>
  <c r="F113" i="13" s="1"/>
  <c r="F114" i="13" s="1"/>
  <c r="F115" i="13" s="1"/>
  <c r="F116" i="13" s="1"/>
  <c r="F117" i="13" s="1"/>
  <c r="F118" i="13" s="1"/>
  <c r="F119" i="13" s="1"/>
  <c r="F120" i="13" s="1"/>
  <c r="F121" i="13" s="1"/>
  <c r="F122" i="13" s="1"/>
  <c r="F123" i="13" s="1"/>
  <c r="F124" i="13" s="1"/>
  <c r="F125" i="13" s="1"/>
  <c r="F126" i="13" s="1"/>
  <c r="F127" i="13" s="1"/>
  <c r="F128" i="13" s="1"/>
  <c r="F129" i="13" s="1"/>
  <c r="F130" i="13" s="1"/>
  <c r="F131" i="13" s="1"/>
  <c r="F132" i="13" s="1"/>
  <c r="F133" i="13" s="1"/>
  <c r="F134" i="13" s="1"/>
  <c r="F135" i="13" s="1"/>
  <c r="F136" i="13" s="1"/>
  <c r="F137" i="13" s="1"/>
  <c r="F138" i="13" s="1"/>
  <c r="F139" i="13" s="1"/>
  <c r="F140" i="13" s="1"/>
  <c r="F141" i="13" s="1"/>
  <c r="F142" i="13" s="1"/>
  <c r="F143" i="13" s="1"/>
  <c r="F144" i="13" s="1"/>
  <c r="F145" i="13" s="1"/>
  <c r="F146" i="13" s="1"/>
  <c r="F147" i="13" s="1"/>
  <c r="F148" i="13" s="1"/>
  <c r="F149" i="13" s="1"/>
  <c r="F150" i="13" s="1"/>
  <c r="F151" i="13" s="1"/>
  <c r="F152" i="13" s="1"/>
  <c r="F153" i="13" s="1"/>
  <c r="F154" i="13" s="1"/>
  <c r="F155" i="13" s="1"/>
  <c r="F156" i="13" s="1"/>
  <c r="F157" i="13" s="1"/>
  <c r="F158" i="13" s="1"/>
  <c r="F159" i="13" s="1"/>
  <c r="F160" i="13" s="1"/>
  <c r="F161" i="13" s="1"/>
  <c r="F162" i="13" s="1"/>
  <c r="F163" i="13" s="1"/>
  <c r="F164" i="13" s="1"/>
  <c r="F165" i="13" s="1"/>
  <c r="F166" i="13" s="1"/>
  <c r="F167" i="13" s="1"/>
  <c r="F168" i="13" s="1"/>
  <c r="F169" i="13" s="1"/>
  <c r="F170" i="13" s="1"/>
  <c r="F171" i="13" s="1"/>
  <c r="F172" i="13" s="1"/>
  <c r="F173" i="13" s="1"/>
  <c r="F174" i="13" s="1"/>
  <c r="F175" i="13" s="1"/>
  <c r="F176" i="13" s="1"/>
  <c r="F177" i="13" s="1"/>
  <c r="F178" i="13" s="1"/>
  <c r="F179" i="13" s="1"/>
  <c r="F180" i="13" s="1"/>
  <c r="F181" i="13" s="1"/>
  <c r="F182" i="13" s="1"/>
  <c r="F183" i="13" s="1"/>
  <c r="F184" i="13" s="1"/>
  <c r="F185" i="13" s="1"/>
  <c r="F186" i="13" s="1"/>
  <c r="F187" i="13" s="1"/>
  <c r="F188" i="13" s="1"/>
  <c r="F189" i="13" s="1"/>
  <c r="F190" i="13" s="1"/>
  <c r="F191" i="13" s="1"/>
  <c r="F192" i="13" s="1"/>
  <c r="F193" i="13" s="1"/>
  <c r="F194" i="13" s="1"/>
  <c r="F195" i="13" s="1"/>
  <c r="F196" i="13" s="1"/>
  <c r="F197" i="13" s="1"/>
  <c r="F198" i="13" s="1"/>
  <c r="F199" i="13" s="1"/>
  <c r="F200" i="13" s="1"/>
  <c r="F201" i="13" s="1"/>
  <c r="F202" i="13" s="1"/>
  <c r="F203" i="13" s="1"/>
  <c r="F204" i="13" s="1"/>
  <c r="F205" i="13" s="1"/>
  <c r="F206" i="13" s="1"/>
  <c r="F207" i="13" s="1"/>
  <c r="F208" i="13" s="1"/>
  <c r="F209" i="13" s="1"/>
  <c r="F210" i="13" s="1"/>
  <c r="F211" i="13" s="1"/>
  <c r="F212" i="13" s="1"/>
  <c r="F213" i="13" s="1"/>
  <c r="F214" i="13" s="1"/>
  <c r="F215" i="13" s="1"/>
  <c r="F216" i="13" s="1"/>
  <c r="F217" i="13" s="1"/>
  <c r="F218" i="13" s="1"/>
  <c r="F219" i="13" s="1"/>
  <c r="F220" i="13" s="1"/>
  <c r="F221" i="13" s="1"/>
  <c r="F222" i="13" s="1"/>
  <c r="F223" i="13" s="1"/>
  <c r="F224" i="13" s="1"/>
  <c r="F225" i="13" s="1"/>
  <c r="F226" i="13" s="1"/>
  <c r="F227" i="13" s="1"/>
  <c r="F228" i="13" s="1"/>
  <c r="F229" i="13" s="1"/>
  <c r="F230" i="13" s="1"/>
  <c r="F231" i="13" s="1"/>
  <c r="F232" i="13" s="1"/>
  <c r="F233" i="13" s="1"/>
  <c r="F234" i="13" s="1"/>
  <c r="F235" i="13" s="1"/>
  <c r="F236" i="13" s="1"/>
  <c r="F237" i="13" s="1"/>
  <c r="F238" i="13" s="1"/>
  <c r="F239" i="13" s="1"/>
  <c r="F240" i="13" s="1"/>
  <c r="F241" i="13" s="1"/>
  <c r="F242" i="13" s="1"/>
  <c r="F243" i="13" s="1"/>
  <c r="F244" i="13" s="1"/>
  <c r="F245" i="13" s="1"/>
  <c r="F246" i="13" s="1"/>
  <c r="F247" i="13" s="1"/>
  <c r="F248" i="13" s="1"/>
  <c r="F249" i="13" s="1"/>
  <c r="F250" i="13" s="1"/>
  <c r="F251" i="13" s="1"/>
  <c r="F252" i="13" s="1"/>
  <c r="F253" i="13" s="1"/>
  <c r="F254" i="13" s="1"/>
  <c r="F255" i="13" s="1"/>
  <c r="F256" i="13" s="1"/>
  <c r="F257" i="13" s="1"/>
  <c r="F258" i="13" s="1"/>
  <c r="F259" i="13" s="1"/>
  <c r="F260" i="13" s="1"/>
  <c r="F261" i="13" s="1"/>
  <c r="F262" i="13" s="1"/>
  <c r="F263" i="13" s="1"/>
  <c r="F264" i="13" s="1"/>
  <c r="F265" i="13" s="1"/>
  <c r="F266" i="13" s="1"/>
  <c r="F267" i="13" s="1"/>
  <c r="F268" i="13" s="1"/>
  <c r="F269" i="13" s="1"/>
  <c r="F270" i="13" s="1"/>
  <c r="F271" i="13" s="1"/>
  <c r="F272" i="13" s="1"/>
  <c r="F273" i="13" s="1"/>
  <c r="F274" i="13" s="1"/>
  <c r="F275" i="13" s="1"/>
  <c r="F276" i="13" s="1"/>
  <c r="F277" i="13" s="1"/>
  <c r="F278" i="13" s="1"/>
  <c r="F279" i="13" s="1"/>
  <c r="F280" i="13" s="1"/>
  <c r="F281" i="13" s="1"/>
  <c r="F282" i="13" s="1"/>
  <c r="F283" i="13" s="1"/>
  <c r="F284" i="13" s="1"/>
  <c r="F285" i="13" s="1"/>
  <c r="F286" i="13" s="1"/>
  <c r="F287" i="13" s="1"/>
  <c r="F288" i="13" s="1"/>
  <c r="F289" i="13" s="1"/>
  <c r="F290" i="13" s="1"/>
  <c r="F291" i="13" s="1"/>
  <c r="F292" i="13" s="1"/>
  <c r="F293" i="13" s="1"/>
  <c r="F294" i="13" s="1"/>
  <c r="F295" i="13" s="1"/>
  <c r="F296" i="13" s="1"/>
  <c r="F297" i="13" s="1"/>
  <c r="F298" i="13" s="1"/>
  <c r="F299" i="13" s="1"/>
  <c r="F300" i="13" s="1"/>
  <c r="F301" i="13" s="1"/>
  <c r="F302" i="13" s="1"/>
  <c r="F303" i="13" s="1"/>
  <c r="F304" i="13" s="1"/>
  <c r="F305" i="13" s="1"/>
  <c r="F306" i="13" s="1"/>
  <c r="F307" i="13" s="1"/>
  <c r="F308" i="13" s="1"/>
  <c r="F309" i="13" s="1"/>
  <c r="F310" i="13" s="1"/>
  <c r="F311" i="13" s="1"/>
  <c r="F312" i="13" s="1"/>
  <c r="F313" i="13" s="1"/>
  <c r="F314" i="13" s="1"/>
  <c r="F315" i="13" s="1"/>
  <c r="F316" i="13" s="1"/>
  <c r="F317" i="13" s="1"/>
  <c r="F318" i="13" s="1"/>
  <c r="F319" i="13" s="1"/>
  <c r="F320" i="13" s="1"/>
  <c r="E5" i="13"/>
  <c r="E6" i="13" s="1"/>
  <c r="E7" i="13" s="1"/>
  <c r="E8" i="13" s="1"/>
  <c r="E9" i="13" s="1"/>
  <c r="E10" i="13" s="1"/>
  <c r="E11" i="13" s="1"/>
  <c r="E12" i="13" s="1"/>
  <c r="E13" i="13" s="1"/>
  <c r="E14" i="13" s="1"/>
  <c r="E15" i="13" s="1"/>
  <c r="E16" i="13" s="1"/>
  <c r="E17" i="13" s="1"/>
  <c r="E18" i="13" s="1"/>
  <c r="E19" i="13" s="1"/>
  <c r="E20" i="13" s="1"/>
  <c r="E21" i="13" s="1"/>
  <c r="E22" i="13" s="1"/>
  <c r="E23" i="13" s="1"/>
  <c r="E24" i="13" s="1"/>
  <c r="E25" i="13" s="1"/>
  <c r="E26" i="13" s="1"/>
  <c r="E27" i="13" s="1"/>
  <c r="E28" i="13" s="1"/>
  <c r="E29" i="13" s="1"/>
  <c r="E30" i="13" s="1"/>
  <c r="E31" i="13" s="1"/>
  <c r="E32" i="13" s="1"/>
  <c r="E33" i="13" s="1"/>
  <c r="E34" i="13" s="1"/>
  <c r="E35" i="13" s="1"/>
  <c r="E36" i="13" s="1"/>
  <c r="E37" i="13" s="1"/>
  <c r="E38" i="13" s="1"/>
  <c r="E39" i="13" s="1"/>
  <c r="E40" i="13" s="1"/>
  <c r="E41" i="13" s="1"/>
  <c r="E42" i="13" s="1"/>
  <c r="E43" i="13" s="1"/>
  <c r="E44" i="13" s="1"/>
  <c r="E45" i="13" s="1"/>
  <c r="E46" i="13" s="1"/>
  <c r="E47" i="13" s="1"/>
  <c r="E48" i="13" s="1"/>
  <c r="E49" i="13" s="1"/>
  <c r="E50" i="13" s="1"/>
  <c r="E51" i="13" s="1"/>
  <c r="E52" i="13" s="1"/>
  <c r="E53" i="13" s="1"/>
  <c r="E54" i="13" s="1"/>
  <c r="E55" i="13" s="1"/>
  <c r="E56" i="13" s="1"/>
  <c r="E57" i="13" s="1"/>
  <c r="E58" i="13" s="1"/>
  <c r="E59" i="13" s="1"/>
  <c r="E60" i="13" s="1"/>
  <c r="E61" i="13" s="1"/>
  <c r="E62" i="13" s="1"/>
  <c r="E63" i="13" s="1"/>
  <c r="E64" i="13" s="1"/>
  <c r="E65" i="13" s="1"/>
  <c r="E66" i="13" s="1"/>
  <c r="E67" i="13" s="1"/>
  <c r="E68" i="13" s="1"/>
  <c r="E69" i="13" s="1"/>
  <c r="E70" i="13" s="1"/>
  <c r="E71" i="13" s="1"/>
  <c r="E72" i="13" s="1"/>
  <c r="E73" i="13" s="1"/>
  <c r="E74" i="13" s="1"/>
  <c r="E75" i="13" s="1"/>
  <c r="E76" i="13" s="1"/>
  <c r="E77" i="13" s="1"/>
  <c r="E78" i="13" s="1"/>
  <c r="E79" i="13" s="1"/>
  <c r="E80" i="13" s="1"/>
  <c r="E81" i="13" s="1"/>
  <c r="E82" i="13" s="1"/>
  <c r="E83" i="13" s="1"/>
  <c r="E84" i="13" s="1"/>
  <c r="E85" i="13" s="1"/>
  <c r="E86" i="13" s="1"/>
  <c r="E87" i="13" s="1"/>
  <c r="E88" i="13" s="1"/>
  <c r="E89" i="13" s="1"/>
  <c r="E90" i="13" s="1"/>
  <c r="E91" i="13" s="1"/>
  <c r="E92" i="13" s="1"/>
  <c r="E93" i="13" s="1"/>
  <c r="E94" i="13" s="1"/>
  <c r="E95" i="13" s="1"/>
  <c r="E96" i="13" s="1"/>
  <c r="E97" i="13" s="1"/>
  <c r="E98" i="13" s="1"/>
  <c r="E99" i="13" s="1"/>
  <c r="E100" i="13" s="1"/>
  <c r="E101" i="13" s="1"/>
  <c r="E102" i="13" s="1"/>
  <c r="E103" i="13" s="1"/>
  <c r="E104" i="13" s="1"/>
  <c r="E105" i="13" s="1"/>
  <c r="E106" i="13" s="1"/>
  <c r="E107" i="13" s="1"/>
  <c r="E108" i="13" s="1"/>
  <c r="E109" i="13" s="1"/>
  <c r="E110" i="13" s="1"/>
  <c r="E111" i="13" s="1"/>
  <c r="E112" i="13" s="1"/>
  <c r="E113" i="13" s="1"/>
  <c r="E114" i="13" s="1"/>
  <c r="E115" i="13" s="1"/>
  <c r="E116" i="13" s="1"/>
  <c r="E117" i="13" s="1"/>
  <c r="E118" i="13" s="1"/>
  <c r="E119" i="13" s="1"/>
  <c r="E120" i="13" s="1"/>
  <c r="E121" i="13" s="1"/>
  <c r="E122" i="13" s="1"/>
  <c r="E123" i="13" s="1"/>
  <c r="E124" i="13" s="1"/>
  <c r="E125" i="13" s="1"/>
  <c r="E126" i="13" s="1"/>
  <c r="E127" i="13" s="1"/>
  <c r="E128" i="13" s="1"/>
  <c r="E129" i="13" s="1"/>
  <c r="E130" i="13" s="1"/>
  <c r="E131" i="13" s="1"/>
  <c r="E132" i="13" s="1"/>
  <c r="E133" i="13" s="1"/>
  <c r="E134" i="13" s="1"/>
  <c r="E135" i="13" s="1"/>
  <c r="E136" i="13" s="1"/>
  <c r="E137" i="13" s="1"/>
  <c r="E138" i="13" s="1"/>
  <c r="E139" i="13" s="1"/>
  <c r="E140" i="13" s="1"/>
  <c r="E141" i="13" s="1"/>
  <c r="E142" i="13" s="1"/>
  <c r="E143" i="13" s="1"/>
  <c r="E144" i="13" s="1"/>
  <c r="E145" i="13" s="1"/>
  <c r="E146" i="13" s="1"/>
  <c r="E147" i="13" s="1"/>
  <c r="E148" i="13" s="1"/>
  <c r="E149" i="13" s="1"/>
  <c r="E150" i="13" s="1"/>
  <c r="E151" i="13" s="1"/>
  <c r="E152" i="13" s="1"/>
  <c r="E153" i="13" s="1"/>
  <c r="E154" i="13" s="1"/>
  <c r="E155" i="13" s="1"/>
  <c r="E156" i="13" s="1"/>
  <c r="E157" i="13" s="1"/>
  <c r="E158" i="13" s="1"/>
  <c r="E159" i="13" s="1"/>
  <c r="E160" i="13" s="1"/>
  <c r="E161" i="13" s="1"/>
  <c r="E162" i="13" s="1"/>
  <c r="E163" i="13" s="1"/>
  <c r="E164" i="13" s="1"/>
  <c r="E165" i="13" s="1"/>
  <c r="E166" i="13" s="1"/>
  <c r="E167" i="13" s="1"/>
  <c r="E168" i="13" s="1"/>
  <c r="E169" i="13" s="1"/>
  <c r="E170" i="13" s="1"/>
  <c r="E171" i="13" s="1"/>
  <c r="E172" i="13" s="1"/>
  <c r="E173" i="13" s="1"/>
  <c r="E174" i="13" s="1"/>
  <c r="E175" i="13" s="1"/>
  <c r="E176" i="13" s="1"/>
  <c r="E177" i="13" s="1"/>
  <c r="E178" i="13" s="1"/>
  <c r="E179" i="13" s="1"/>
  <c r="E180" i="13" s="1"/>
  <c r="E181" i="13" s="1"/>
  <c r="E182" i="13" s="1"/>
  <c r="E183" i="13" s="1"/>
  <c r="E184" i="13" s="1"/>
  <c r="E185" i="13" s="1"/>
  <c r="E186" i="13" s="1"/>
  <c r="E187" i="13" s="1"/>
  <c r="E188" i="13" s="1"/>
  <c r="E189" i="13" s="1"/>
  <c r="E190" i="13" s="1"/>
  <c r="E191" i="13" s="1"/>
  <c r="E192" i="13" s="1"/>
  <c r="E193" i="13" s="1"/>
  <c r="E194" i="13" s="1"/>
  <c r="E195" i="13" s="1"/>
  <c r="E196" i="13" s="1"/>
  <c r="E197" i="13" s="1"/>
  <c r="E198" i="13" s="1"/>
  <c r="E199" i="13" s="1"/>
  <c r="E200" i="13" s="1"/>
  <c r="E201" i="13" s="1"/>
  <c r="E202" i="13" s="1"/>
  <c r="E203" i="13" s="1"/>
  <c r="E204" i="13" s="1"/>
  <c r="E205" i="13" s="1"/>
  <c r="E206" i="13" s="1"/>
  <c r="E207" i="13" s="1"/>
  <c r="E208" i="13" s="1"/>
  <c r="E209" i="13" s="1"/>
  <c r="E210" i="13" s="1"/>
  <c r="E211" i="13" s="1"/>
  <c r="E212" i="13" s="1"/>
  <c r="E213" i="13" s="1"/>
  <c r="E214" i="13" s="1"/>
  <c r="E215" i="13" s="1"/>
  <c r="E216" i="13" s="1"/>
  <c r="E217" i="13" s="1"/>
  <c r="E218" i="13" s="1"/>
  <c r="E219" i="13" s="1"/>
  <c r="E220" i="13" s="1"/>
  <c r="E221" i="13" s="1"/>
  <c r="E222" i="13" s="1"/>
  <c r="E223" i="13" s="1"/>
  <c r="E224" i="13" s="1"/>
  <c r="E225" i="13" s="1"/>
  <c r="E226" i="13" s="1"/>
  <c r="E227" i="13" s="1"/>
  <c r="E228" i="13" s="1"/>
  <c r="E229" i="13" s="1"/>
  <c r="E230" i="13" s="1"/>
  <c r="E231" i="13" s="1"/>
  <c r="E232" i="13" s="1"/>
  <c r="E233" i="13" s="1"/>
  <c r="E234" i="13" s="1"/>
  <c r="E235" i="13" s="1"/>
  <c r="E236" i="13" s="1"/>
  <c r="E237" i="13" s="1"/>
  <c r="E238" i="13" s="1"/>
  <c r="E239" i="13" s="1"/>
  <c r="E240" i="13" s="1"/>
  <c r="E241" i="13" s="1"/>
  <c r="E242" i="13" s="1"/>
  <c r="E243" i="13" s="1"/>
  <c r="E244" i="13" s="1"/>
  <c r="E245" i="13" s="1"/>
  <c r="E246" i="13" s="1"/>
  <c r="E247" i="13" s="1"/>
  <c r="E248" i="13" s="1"/>
  <c r="E249" i="13" s="1"/>
  <c r="E250" i="13" s="1"/>
  <c r="E251" i="13" s="1"/>
  <c r="E252" i="13" s="1"/>
  <c r="E253" i="13" s="1"/>
  <c r="E254" i="13" s="1"/>
  <c r="E255" i="13" s="1"/>
  <c r="E256" i="13" s="1"/>
  <c r="E257" i="13" s="1"/>
  <c r="E258" i="13" s="1"/>
  <c r="E259" i="13" s="1"/>
  <c r="E260" i="13" s="1"/>
  <c r="E261" i="13" s="1"/>
  <c r="E262" i="13" s="1"/>
  <c r="E263" i="13" s="1"/>
  <c r="E264" i="13" s="1"/>
  <c r="E265" i="13" s="1"/>
  <c r="E266" i="13" s="1"/>
  <c r="E267" i="13" s="1"/>
  <c r="E268" i="13" s="1"/>
  <c r="E269" i="13" s="1"/>
  <c r="E270" i="13" s="1"/>
  <c r="E271" i="13" s="1"/>
  <c r="E272" i="13" s="1"/>
  <c r="E273" i="13" s="1"/>
  <c r="E274" i="13" s="1"/>
  <c r="E275" i="13" s="1"/>
  <c r="E276" i="13" s="1"/>
  <c r="E277" i="13" s="1"/>
  <c r="E278" i="13" s="1"/>
  <c r="E279" i="13" s="1"/>
  <c r="E280" i="13" s="1"/>
  <c r="E281" i="13" s="1"/>
  <c r="E282" i="13" s="1"/>
  <c r="E283" i="13" s="1"/>
  <c r="E284" i="13" s="1"/>
  <c r="E285" i="13" s="1"/>
  <c r="E286" i="13" s="1"/>
  <c r="E287" i="13" s="1"/>
  <c r="E288" i="13" s="1"/>
  <c r="E289" i="13" s="1"/>
  <c r="E290" i="13" s="1"/>
  <c r="E291" i="13" s="1"/>
  <c r="E292" i="13" s="1"/>
  <c r="E293" i="13" s="1"/>
  <c r="E294" i="13" s="1"/>
  <c r="E295" i="13" s="1"/>
  <c r="E296" i="13" s="1"/>
  <c r="E297" i="13" s="1"/>
  <c r="E298" i="13" s="1"/>
  <c r="E299" i="13" s="1"/>
  <c r="E300" i="13" s="1"/>
  <c r="E301" i="13" s="1"/>
  <c r="E302" i="13" s="1"/>
  <c r="E303" i="13" s="1"/>
  <c r="E304" i="13" s="1"/>
  <c r="E305" i="13" s="1"/>
  <c r="E306" i="13" s="1"/>
  <c r="E307" i="13" s="1"/>
  <c r="E308" i="13" s="1"/>
  <c r="E309" i="13" s="1"/>
  <c r="E310" i="13" s="1"/>
  <c r="E311" i="13" s="1"/>
  <c r="E312" i="13" s="1"/>
  <c r="E313" i="13" s="1"/>
  <c r="E314" i="13" s="1"/>
  <c r="E315" i="13" s="1"/>
  <c r="E316" i="13" s="1"/>
  <c r="E317" i="13" s="1"/>
  <c r="E318" i="13" s="1"/>
  <c r="E319" i="13" s="1"/>
  <c r="E320" i="13" s="1"/>
  <c r="Z137" i="14" l="1"/>
  <c r="V137" i="14" s="1"/>
  <c r="V133" i="14"/>
  <c r="V42" i="14"/>
  <c r="AC147" i="14"/>
  <c r="AH147" i="14" s="1"/>
  <c r="AJ147" i="14" s="1"/>
  <c r="Z85" i="14"/>
  <c r="V85" i="14" s="1"/>
  <c r="J191" i="13"/>
  <c r="J220" i="13"/>
  <c r="J278" i="13"/>
  <c r="J309" i="13"/>
  <c r="J279" i="13"/>
  <c r="J280" i="13"/>
  <c r="K280" i="13"/>
  <c r="J312" i="13"/>
  <c r="J282" i="13"/>
  <c r="J313" i="13"/>
  <c r="J268" i="13"/>
  <c r="K268" i="13"/>
  <c r="J271" i="13"/>
  <c r="J285" i="13"/>
  <c r="J184" i="13"/>
  <c r="J273" i="13"/>
  <c r="J319" i="13"/>
  <c r="J168" i="13"/>
  <c r="J186" i="13"/>
  <c r="J246" i="13"/>
  <c r="J261" i="13"/>
  <c r="J289" i="13"/>
  <c r="J304" i="13"/>
  <c r="J252" i="13"/>
  <c r="J253" i="13"/>
  <c r="J296" i="13"/>
  <c r="K296" i="13"/>
  <c r="J179" i="13"/>
  <c r="J255" i="13"/>
  <c r="J298" i="13"/>
  <c r="K298" i="13"/>
  <c r="J299" i="13"/>
  <c r="K299" i="13"/>
  <c r="J258" i="13"/>
  <c r="J300" i="13"/>
  <c r="K300" i="13"/>
  <c r="J302" i="13"/>
  <c r="J274" i="13"/>
  <c r="J232" i="13"/>
  <c r="K232" i="13"/>
  <c r="H33" i="13"/>
  <c r="J33" i="13" s="1"/>
  <c r="J294" i="13"/>
  <c r="J265" i="13"/>
  <c r="J197" i="13"/>
  <c r="K197" i="13"/>
  <c r="J256" i="13"/>
  <c r="J284" i="13"/>
  <c r="J242" i="13"/>
  <c r="J259" i="13"/>
  <c r="J167" i="13"/>
  <c r="J288" i="13"/>
  <c r="K288" i="13"/>
  <c r="J276" i="13"/>
  <c r="K276" i="13"/>
  <c r="J305" i="13"/>
  <c r="K305" i="13"/>
  <c r="J263" i="13"/>
  <c r="J277" i="13"/>
  <c r="J293" i="13"/>
  <c r="K293" i="13"/>
  <c r="J308" i="13"/>
  <c r="J31" i="13"/>
  <c r="J125" i="13"/>
  <c r="J19" i="13"/>
  <c r="J16" i="13"/>
  <c r="J54" i="13"/>
  <c r="J142" i="13"/>
  <c r="J156" i="13"/>
  <c r="J88" i="13"/>
  <c r="J116" i="13"/>
  <c r="J143" i="13"/>
  <c r="J7" i="13"/>
  <c r="J72" i="13"/>
  <c r="J117" i="13"/>
  <c r="J73" i="13"/>
  <c r="J145" i="13"/>
  <c r="J25" i="13"/>
  <c r="J50" i="13"/>
  <c r="J51" i="13"/>
  <c r="J13" i="13"/>
  <c r="J122" i="13"/>
  <c r="J14" i="13"/>
  <c r="J63" i="13"/>
  <c r="J109" i="13"/>
  <c r="J149" i="13"/>
  <c r="J164" i="13"/>
  <c r="J65" i="13"/>
  <c r="J138" i="13"/>
  <c r="J85" i="13"/>
  <c r="J139" i="13"/>
  <c r="J20" i="13"/>
  <c r="J34" i="13"/>
  <c r="J53" i="13"/>
  <c r="J67" i="13"/>
  <c r="J86" i="13"/>
  <c r="J114" i="13"/>
  <c r="J127" i="13"/>
  <c r="J154" i="13"/>
  <c r="J189" i="13"/>
  <c r="J21" i="13"/>
  <c r="J35" i="13"/>
  <c r="J68" i="13"/>
  <c r="J87" i="13"/>
  <c r="J22" i="13"/>
  <c r="J38" i="13"/>
  <c r="J71" i="13"/>
  <c r="J39" i="13"/>
  <c r="J104" i="13"/>
  <c r="J130" i="13"/>
  <c r="J144" i="13"/>
  <c r="J158" i="13"/>
  <c r="J8" i="13"/>
  <c r="J41" i="13"/>
  <c r="J58" i="13"/>
  <c r="J132" i="13"/>
  <c r="J159" i="13"/>
  <c r="J10" i="13"/>
  <c r="J74" i="13"/>
  <c r="J106" i="13"/>
  <c r="J133" i="13"/>
  <c r="J146" i="13"/>
  <c r="J161" i="13"/>
  <c r="J11" i="13"/>
  <c r="J26" i="13"/>
  <c r="J44" i="13"/>
  <c r="J107" i="13"/>
  <c r="J134" i="13"/>
  <c r="J147" i="13"/>
  <c r="J162" i="13"/>
  <c r="J148" i="13"/>
  <c r="J15" i="13"/>
  <c r="J30" i="13"/>
  <c r="J110" i="13"/>
  <c r="J124" i="13"/>
  <c r="J137" i="13"/>
  <c r="J151" i="13"/>
  <c r="J207" i="13"/>
  <c r="J238" i="13"/>
  <c r="J97" i="13"/>
  <c r="J193" i="13"/>
  <c r="J195" i="13"/>
  <c r="J229" i="13"/>
  <c r="J101" i="13"/>
  <c r="J90" i="13"/>
  <c r="J99" i="13"/>
  <c r="J204" i="13"/>
  <c r="J80" i="13"/>
  <c r="J217" i="13"/>
  <c r="J170" i="13"/>
  <c r="J172" i="13"/>
  <c r="J194" i="13"/>
  <c r="J208" i="13"/>
  <c r="J223" i="13"/>
  <c r="J236" i="13"/>
  <c r="J210" i="13"/>
  <c r="J76" i="13"/>
  <c r="J241" i="13"/>
  <c r="J225" i="13"/>
  <c r="J78" i="13"/>
  <c r="J55" i="13"/>
  <c r="J91" i="13"/>
  <c r="J316" i="13"/>
  <c r="J93" i="13"/>
  <c r="J227" i="13"/>
  <c r="J318" i="13"/>
  <c r="J79" i="13"/>
  <c r="J199" i="13"/>
  <c r="J215" i="13"/>
  <c r="J228" i="13"/>
  <c r="J211" i="13"/>
  <c r="U173" i="14"/>
  <c r="H716" i="14"/>
  <c r="AJ716" i="14" s="1"/>
  <c r="AC1303" i="14"/>
  <c r="AH1303" i="14" s="1"/>
  <c r="G1020" i="14"/>
  <c r="AC6" i="14"/>
  <c r="AC5" i="14" s="1"/>
  <c r="H1090" i="14"/>
  <c r="U769" i="14"/>
  <c r="G157" i="14"/>
  <c r="AC1301" i="14"/>
  <c r="AH1301" i="14" s="1"/>
  <c r="AC61" i="14"/>
  <c r="AH61" i="14" s="1"/>
  <c r="AJ61" i="14" s="1"/>
  <c r="U197" i="14"/>
  <c r="AC899" i="14"/>
  <c r="AC898" i="14" s="1"/>
  <c r="H898" i="14"/>
  <c r="AC192" i="14"/>
  <c r="AH192" i="14" s="1"/>
  <c r="AJ192" i="14" s="1"/>
  <c r="U192" i="14"/>
  <c r="AC691" i="14"/>
  <c r="H690" i="14"/>
  <c r="H689" i="14" s="1"/>
  <c r="U62" i="14"/>
  <c r="AC244" i="14"/>
  <c r="AC243" i="14" s="1"/>
  <c r="AH243" i="14" s="1"/>
  <c r="U244" i="14"/>
  <c r="U243" i="14" s="1"/>
  <c r="H497" i="14"/>
  <c r="U895" i="14"/>
  <c r="H502" i="14"/>
  <c r="U491" i="14"/>
  <c r="U931" i="14"/>
  <c r="G712" i="14"/>
  <c r="G44" i="14"/>
  <c r="U46" i="14"/>
  <c r="U44" i="14" s="1"/>
  <c r="U162" i="14"/>
  <c r="U168" i="14"/>
  <c r="H226" i="14"/>
  <c r="H491" i="14"/>
  <c r="AC1121" i="14"/>
  <c r="AH1121" i="14" s="1"/>
  <c r="G5" i="14"/>
  <c r="G1087" i="14"/>
  <c r="G1086" i="14" s="1"/>
  <c r="H1724" i="14"/>
  <c r="G548" i="14"/>
  <c r="AJ15" i="14"/>
  <c r="AJ39" i="14"/>
  <c r="U190" i="14"/>
  <c r="G444" i="14"/>
  <c r="U608" i="14"/>
  <c r="H444" i="14"/>
  <c r="AC151" i="14"/>
  <c r="AH151" i="14" s="1"/>
  <c r="AJ151" i="14" s="1"/>
  <c r="AC216" i="14"/>
  <c r="AH216" i="14" s="1"/>
  <c r="AJ216" i="14" s="1"/>
  <c r="H895" i="14"/>
  <c r="G1217" i="14"/>
  <c r="U1217" i="14"/>
  <c r="G1224" i="14"/>
  <c r="U1229" i="14"/>
  <c r="U42" i="14"/>
  <c r="AC48" i="14"/>
  <c r="AH48" i="14" s="1"/>
  <c r="U189" i="14"/>
  <c r="H1224" i="14"/>
  <c r="G1229" i="14"/>
  <c r="AH1729" i="14"/>
  <c r="AH1728" i="14" s="1"/>
  <c r="G226" i="14"/>
  <c r="AH1732" i="14"/>
  <c r="AC1705" i="14"/>
  <c r="AH1705" i="14" s="1"/>
  <c r="U1707" i="14"/>
  <c r="H1741" i="14"/>
  <c r="H1740" i="14" s="1"/>
  <c r="U867" i="14"/>
  <c r="U866" i="14" s="1"/>
  <c r="G41" i="14"/>
  <c r="H44" i="14"/>
  <c r="G906" i="14"/>
  <c r="U145" i="14"/>
  <c r="U146" i="14"/>
  <c r="U185" i="14"/>
  <c r="AC238" i="14"/>
  <c r="AC237" i="14" s="1"/>
  <c r="AH237" i="14" s="1"/>
  <c r="AC274" i="14"/>
  <c r="AH274" i="14" s="1"/>
  <c r="U494" i="14"/>
  <c r="U502" i="14"/>
  <c r="H1126" i="14"/>
  <c r="H1125" i="14" s="1"/>
  <c r="H1700" i="14"/>
  <c r="H1699" i="14" s="1"/>
  <c r="H36" i="14"/>
  <c r="G502" i="14"/>
  <c r="H546" i="14"/>
  <c r="H849" i="14"/>
  <c r="AC1344" i="14"/>
  <c r="AH1344" i="14" s="1"/>
  <c r="AJ1344" i="14" s="1"/>
  <c r="H1732" i="14"/>
  <c r="H1731" i="14" s="1"/>
  <c r="AC85" i="14"/>
  <c r="AH85" i="14" s="1"/>
  <c r="AC148" i="14"/>
  <c r="AH148" i="14" s="1"/>
  <c r="AJ148" i="14" s="1"/>
  <c r="AC167" i="14"/>
  <c r="AH167" i="14" s="1"/>
  <c r="AC1352" i="14"/>
  <c r="AH1352" i="14" s="1"/>
  <c r="AC1732" i="14"/>
  <c r="AC1731" i="14" s="1"/>
  <c r="AC150" i="14"/>
  <c r="AH150" i="14" s="1"/>
  <c r="AJ150" i="14" s="1"/>
  <c r="U154" i="14"/>
  <c r="U153" i="14" s="1"/>
  <c r="AC202" i="14"/>
  <c r="AH202" i="14" s="1"/>
  <c r="AJ202" i="14" s="1"/>
  <c r="U1224" i="14"/>
  <c r="U1700" i="14"/>
  <c r="U1699" i="14" s="1"/>
  <c r="AJ60" i="14"/>
  <c r="AJ67" i="14"/>
  <c r="AC251" i="14"/>
  <c r="H250" i="14"/>
  <c r="H616" i="14"/>
  <c r="AC1214" i="14"/>
  <c r="AH1214" i="14" s="1"/>
  <c r="AC1725" i="14"/>
  <c r="AC1724" i="14" s="1"/>
  <c r="AC1377" i="14"/>
  <c r="AJ1727" i="14"/>
  <c r="G677" i="14"/>
  <c r="H840" i="14"/>
  <c r="AJ840" i="14" s="1"/>
  <c r="AC1402" i="14"/>
  <c r="AH1402" i="14" s="1"/>
  <c r="AJ1402" i="14" s="1"/>
  <c r="G1724" i="14"/>
  <c r="U1724" i="14"/>
  <c r="AC253" i="14"/>
  <c r="AH253" i="14" s="1"/>
  <c r="AJ253" i="14" s="1"/>
  <c r="U706" i="14"/>
  <c r="U705" i="14" s="1"/>
  <c r="G666" i="14"/>
  <c r="AC840" i="14"/>
  <c r="AC1336" i="14"/>
  <c r="AH1336" i="14" s="1"/>
  <c r="AJ1336" i="14" s="1"/>
  <c r="H1707" i="14"/>
  <c r="H1728" i="14"/>
  <c r="H256" i="14"/>
  <c r="AJ256" i="14" s="1"/>
  <c r="G706" i="14"/>
  <c r="G705" i="14" s="1"/>
  <c r="U995" i="14"/>
  <c r="U1087" i="14"/>
  <c r="U1086" i="14" s="1"/>
  <c r="H1108" i="14"/>
  <c r="AC1376" i="14"/>
  <c r="U51" i="14"/>
  <c r="U66" i="14"/>
  <c r="G191" i="14"/>
  <c r="U204" i="14"/>
  <c r="H654" i="14"/>
  <c r="G696" i="14"/>
  <c r="G695" i="14" s="1"/>
  <c r="G682" i="14" s="1"/>
  <c r="H706" i="14"/>
  <c r="H705" i="14" s="1"/>
  <c r="AH850" i="14"/>
  <c r="AH849" i="14" s="1"/>
  <c r="AH1111" i="14"/>
  <c r="AH1110" i="14" s="1"/>
  <c r="H1735" i="14"/>
  <c r="H1734" i="14" s="1"/>
  <c r="U7" i="14"/>
  <c r="G8" i="14"/>
  <c r="U18" i="14"/>
  <c r="G47" i="14"/>
  <c r="U85" i="14"/>
  <c r="AC163" i="14"/>
  <c r="AH163" i="14" s="1"/>
  <c r="AJ163" i="14" s="1"/>
  <c r="AC187" i="14"/>
  <c r="AH187" i="14" s="1"/>
  <c r="AJ187" i="14" s="1"/>
  <c r="AC212" i="14"/>
  <c r="AH212" i="14" s="1"/>
  <c r="AJ212" i="14" s="1"/>
  <c r="U497" i="14"/>
  <c r="AC1136" i="14"/>
  <c r="AH1136" i="14" s="1"/>
  <c r="AJ1136" i="14" s="1"/>
  <c r="AC1273" i="14"/>
  <c r="AH1273" i="14" s="1"/>
  <c r="H696" i="14"/>
  <c r="H695" i="14" s="1"/>
  <c r="H1067" i="14"/>
  <c r="AC333" i="14"/>
  <c r="AH333" i="14" s="1"/>
  <c r="U677" i="14"/>
  <c r="G53" i="14"/>
  <c r="U666" i="14"/>
  <c r="G114" i="14"/>
  <c r="U158" i="14"/>
  <c r="AC193" i="14"/>
  <c r="AH193" i="14" s="1"/>
  <c r="AJ193" i="14" s="1"/>
  <c r="G497" i="14"/>
  <c r="G895" i="14"/>
  <c r="H900" i="14"/>
  <c r="H904" i="14"/>
  <c r="AC985" i="14"/>
  <c r="AH985" i="14" s="1"/>
  <c r="AC1749" i="14"/>
  <c r="AH1749" i="14" s="1"/>
  <c r="Z30" i="14"/>
  <c r="V30" i="14" s="1"/>
  <c r="V29" i="14"/>
  <c r="AC232" i="14"/>
  <c r="H231" i="14"/>
  <c r="AC249" i="14"/>
  <c r="AC917" i="14"/>
  <c r="H916" i="14"/>
  <c r="AC49" i="14"/>
  <c r="AH49" i="14" s="1"/>
  <c r="AJ49" i="14" s="1"/>
  <c r="U49" i="14"/>
  <c r="AC131" i="14"/>
  <c r="AC130" i="14" s="1"/>
  <c r="H130" i="14"/>
  <c r="U131" i="14"/>
  <c r="U130" i="14" s="1"/>
  <c r="G143" i="14"/>
  <c r="G36" i="14"/>
  <c r="AC259" i="14"/>
  <c r="AC258" i="14" s="1"/>
  <c r="AH258" i="14" s="1"/>
  <c r="H258" i="14"/>
  <c r="H233" i="14"/>
  <c r="U234" i="14"/>
  <c r="U233" i="14" s="1"/>
  <c r="AC398" i="14"/>
  <c r="AJ398" i="14"/>
  <c r="G616" i="14"/>
  <c r="G615" i="14" s="1"/>
  <c r="AC869" i="14"/>
  <c r="AH869" i="14" s="1"/>
  <c r="AC923" i="14"/>
  <c r="AC922" i="14" s="1"/>
  <c r="H922" i="14"/>
  <c r="H1114" i="14"/>
  <c r="AC1115" i="14"/>
  <c r="AC1114" i="14" s="1"/>
  <c r="H1250" i="14"/>
  <c r="U33" i="14"/>
  <c r="AC32" i="14"/>
  <c r="AH32" i="14" s="1"/>
  <c r="AC222" i="14"/>
  <c r="H221" i="14"/>
  <c r="AJ17" i="14"/>
  <c r="AC903" i="14"/>
  <c r="H902" i="14"/>
  <c r="Z40" i="14"/>
  <c r="V40" i="14" s="1"/>
  <c r="Z38" i="14"/>
  <c r="AC261" i="14"/>
  <c r="AH261" i="14" s="1"/>
  <c r="H260" i="14"/>
  <c r="AC43" i="14"/>
  <c r="AC41" i="14" s="1"/>
  <c r="U43" i="14"/>
  <c r="AC621" i="14"/>
  <c r="H620" i="14"/>
  <c r="G1250" i="14"/>
  <c r="V28" i="14"/>
  <c r="Z32" i="14"/>
  <c r="V32" i="14" s="1"/>
  <c r="H27" i="14"/>
  <c r="H41" i="14"/>
  <c r="H58" i="14"/>
  <c r="U59" i="14"/>
  <c r="G123" i="14"/>
  <c r="AC441" i="14"/>
  <c r="AH441" i="14" s="1"/>
  <c r="AH440" i="14" s="1"/>
  <c r="H440" i="14"/>
  <c r="AC685" i="14"/>
  <c r="AH685" i="14" s="1"/>
  <c r="AJ685" i="14" s="1"/>
  <c r="H684" i="14"/>
  <c r="H683" i="14" s="1"/>
  <c r="AC927" i="14"/>
  <c r="AC926" i="14" s="1"/>
  <c r="H926" i="14"/>
  <c r="U1194" i="14"/>
  <c r="AC50" i="14"/>
  <c r="AH50" i="14" s="1"/>
  <c r="AJ50" i="14" s="1"/>
  <c r="U50" i="14"/>
  <c r="AH490" i="14"/>
  <c r="AJ490" i="14" s="1"/>
  <c r="AC489" i="14"/>
  <c r="AH489" i="14" s="1"/>
  <c r="AH1218" i="14"/>
  <c r="AJ1218" i="14" s="1"/>
  <c r="Z116" i="14"/>
  <c r="V116" i="14" s="1"/>
  <c r="Z120" i="14"/>
  <c r="V120" i="14" s="1"/>
  <c r="H660" i="14"/>
  <c r="AC156" i="14"/>
  <c r="AC155" i="14" s="1"/>
  <c r="H155" i="14"/>
  <c r="U718" i="14"/>
  <c r="AC9" i="14"/>
  <c r="U9" i="14"/>
  <c r="AC19" i="14"/>
  <c r="AH19" i="14" s="1"/>
  <c r="AJ19" i="14" s="1"/>
  <c r="U19" i="14"/>
  <c r="AC16" i="14"/>
  <c r="AH16" i="14" s="1"/>
  <c r="AJ16" i="14" s="1"/>
  <c r="U35" i="14"/>
  <c r="AJ55" i="14"/>
  <c r="U200" i="14"/>
  <c r="AC203" i="14"/>
  <c r="AH203" i="14" s="1"/>
  <c r="AJ203" i="14" s="1"/>
  <c r="U203" i="14"/>
  <c r="U215" i="14"/>
  <c r="U222" i="14"/>
  <c r="U221" i="14" s="1"/>
  <c r="G223" i="14"/>
  <c r="AC1088" i="14"/>
  <c r="H1087" i="14"/>
  <c r="U1175" i="14"/>
  <c r="G773" i="14"/>
  <c r="AC174" i="14"/>
  <c r="AH174" i="14" s="1"/>
  <c r="AJ174" i="14" s="1"/>
  <c r="U174" i="14"/>
  <c r="AC220" i="14"/>
  <c r="AH220" i="14" s="1"/>
  <c r="AJ220" i="14" s="1"/>
  <c r="U220" i="14"/>
  <c r="U219" i="14" s="1"/>
  <c r="AC632" i="14"/>
  <c r="AH632" i="14" s="1"/>
  <c r="G27" i="14"/>
  <c r="U56" i="14"/>
  <c r="AC144" i="14"/>
  <c r="U167" i="14"/>
  <c r="AC199" i="14"/>
  <c r="AH199" i="14" s="1"/>
  <c r="AJ199" i="14" s="1"/>
  <c r="U199" i="14"/>
  <c r="AC224" i="14"/>
  <c r="AH224" i="14" s="1"/>
  <c r="AJ224" i="14" s="1"/>
  <c r="H223" i="14"/>
  <c r="U232" i="14"/>
  <c r="U231" i="14" s="1"/>
  <c r="U249" i="14"/>
  <c r="U248" i="14" s="1"/>
  <c r="AC496" i="14"/>
  <c r="AH496" i="14" s="1"/>
  <c r="AJ496" i="14" s="1"/>
  <c r="H494" i="14"/>
  <c r="AC569" i="14"/>
  <c r="AH569" i="14" s="1"/>
  <c r="AC14" i="14"/>
  <c r="AH14" i="14" s="1"/>
  <c r="AJ14" i="14" s="1"/>
  <c r="AC165" i="14"/>
  <c r="AH165" i="14" s="1"/>
  <c r="AJ165" i="14" s="1"/>
  <c r="U165" i="14"/>
  <c r="U671" i="14"/>
  <c r="AC1095" i="14"/>
  <c r="AC1094" i="14" s="1"/>
  <c r="H1094" i="14"/>
  <c r="AJ1094" i="14" s="1"/>
  <c r="AC667" i="14"/>
  <c r="AH667" i="14" s="1"/>
  <c r="AJ667" i="14" s="1"/>
  <c r="H666" i="14"/>
  <c r="H235" i="14"/>
  <c r="U236" i="14"/>
  <c r="U235" i="14" s="1"/>
  <c r="U934" i="14"/>
  <c r="Z134" i="14"/>
  <c r="Z135" i="14" s="1"/>
  <c r="V135" i="14" s="1"/>
  <c r="AC11" i="14"/>
  <c r="AH11" i="14" s="1"/>
  <c r="AJ11" i="14" s="1"/>
  <c r="AC107" i="14"/>
  <c r="AH107" i="14" s="1"/>
  <c r="AC133" i="14"/>
  <c r="AC149" i="14"/>
  <c r="AH149" i="14" s="1"/>
  <c r="AJ149" i="14" s="1"/>
  <c r="U198" i="14"/>
  <c r="AC246" i="14"/>
  <c r="AC245" i="14" s="1"/>
  <c r="AH245" i="14" s="1"/>
  <c r="H245" i="14"/>
  <c r="G265" i="14"/>
  <c r="AC507" i="14"/>
  <c r="AH507" i="14" s="1"/>
  <c r="AJ507" i="14" s="1"/>
  <c r="U712" i="14"/>
  <c r="AJ886" i="14"/>
  <c r="AH885" i="14"/>
  <c r="AJ885" i="14" s="1"/>
  <c r="AC1043" i="14"/>
  <c r="AC1042" i="14" s="1"/>
  <c r="AC1375" i="14"/>
  <c r="AJ1375" i="14"/>
  <c r="AC28" i="14"/>
  <c r="U132" i="14"/>
  <c r="H160" i="14"/>
  <c r="U265" i="14"/>
  <c r="AH42" i="14"/>
  <c r="AJ42" i="14" s="1"/>
  <c r="U194" i="14"/>
  <c r="AC194" i="14"/>
  <c r="AH194" i="14" s="1"/>
  <c r="AJ194" i="14" s="1"/>
  <c r="H254" i="14"/>
  <c r="AJ254" i="14" s="1"/>
  <c r="AC558" i="14"/>
  <c r="AH558" i="14" s="1"/>
  <c r="AC1093" i="14"/>
  <c r="AC1092" i="14" s="1"/>
  <c r="AJ1095" i="14"/>
  <c r="H132" i="14"/>
  <c r="AC921" i="14"/>
  <c r="AH921" i="14" s="1"/>
  <c r="H920" i="14"/>
  <c r="U1250" i="14"/>
  <c r="U54" i="14"/>
  <c r="AC54" i="14"/>
  <c r="AH54" i="14" s="1"/>
  <c r="G58" i="14"/>
  <c r="H166" i="14"/>
  <c r="AC206" i="14"/>
  <c r="AH206" i="14" s="1"/>
  <c r="U1083" i="14"/>
  <c r="U1082" i="14" s="1"/>
  <c r="U844" i="14"/>
  <c r="U835" i="14" s="1"/>
  <c r="AC915" i="14"/>
  <c r="AC914" i="14" s="1"/>
  <c r="H914" i="14"/>
  <c r="H1020" i="14"/>
  <c r="U1071" i="14"/>
  <c r="G1137" i="14"/>
  <c r="U1137" i="14"/>
  <c r="H548" i="14"/>
  <c r="AC694" i="14"/>
  <c r="H693" i="14"/>
  <c r="H692" i="14" s="1"/>
  <c r="H712" i="14"/>
  <c r="U906" i="14"/>
  <c r="AC1117" i="14"/>
  <c r="G1042" i="14"/>
  <c r="AJ1374" i="14"/>
  <c r="AC1374" i="14"/>
  <c r="AC1552" i="14"/>
  <c r="AH1552" i="14" s="1"/>
  <c r="AJ1552" i="14" s="1"/>
  <c r="AC1739" i="14"/>
  <c r="H1738" i="14"/>
  <c r="H1737" i="14" s="1"/>
  <c r="AC1332" i="14"/>
  <c r="AH1332" i="14" s="1"/>
  <c r="AC1230" i="14"/>
  <c r="AH1230" i="14" s="1"/>
  <c r="AJ1230" i="14" s="1"/>
  <c r="H1229" i="14"/>
  <c r="AC1685" i="14"/>
  <c r="AH1685" i="14" s="1"/>
  <c r="U40" i="14"/>
  <c r="U36" i="14" s="1"/>
  <c r="U68" i="14"/>
  <c r="U123" i="14"/>
  <c r="AC137" i="14"/>
  <c r="AH137" i="14" s="1"/>
  <c r="U186" i="14"/>
  <c r="G272" i="14"/>
  <c r="U272" i="14"/>
  <c r="AC492" i="14"/>
  <c r="AH492" i="14" s="1"/>
  <c r="U660" i="14"/>
  <c r="H769" i="14"/>
  <c r="H844" i="14"/>
  <c r="G867" i="14"/>
  <c r="G866" i="14" s="1"/>
  <c r="G1027" i="14"/>
  <c r="AC1041" i="14"/>
  <c r="H1040" i="14"/>
  <c r="AC1132" i="14"/>
  <c r="AH1132" i="14" s="1"/>
  <c r="G1281" i="14"/>
  <c r="G1280" i="14" s="1"/>
  <c r="AJ1659" i="14"/>
  <c r="AC1659" i="14"/>
  <c r="H557" i="14"/>
  <c r="H1217" i="14"/>
  <c r="AC1386" i="14"/>
  <c r="AH1386" i="14" s="1"/>
  <c r="G505" i="14"/>
  <c r="AC65" i="14"/>
  <c r="AH65" i="14" s="1"/>
  <c r="AJ65" i="14" s="1"/>
  <c r="H114" i="14"/>
  <c r="G166" i="14"/>
  <c r="AH501" i="14"/>
  <c r="AJ501" i="14" s="1"/>
  <c r="AC599" i="14"/>
  <c r="AH599" i="14" s="1"/>
  <c r="G608" i="14"/>
  <c r="U773" i="14"/>
  <c r="H906" i="14"/>
  <c r="AC1119" i="14"/>
  <c r="AH1119" i="14" s="1"/>
  <c r="H1118" i="14"/>
  <c r="AC1221" i="14"/>
  <c r="AH1221" i="14" s="1"/>
  <c r="AJ1221" i="14" s="1"/>
  <c r="G1700" i="14"/>
  <c r="G1699" i="14" s="1"/>
  <c r="G995" i="14"/>
  <c r="H999" i="14"/>
  <c r="AC1441" i="14"/>
  <c r="AH1441" i="14" s="1"/>
  <c r="AJ1441" i="14" s="1"/>
  <c r="AC1745" i="14"/>
  <c r="H1744" i="14"/>
  <c r="H1743" i="14" s="1"/>
  <c r="H671" i="14"/>
  <c r="AC707" i="14"/>
  <c r="H1281" i="14"/>
  <c r="H1280" i="14" s="1"/>
  <c r="AC1663" i="14"/>
  <c r="AH1663" i="14" s="1"/>
  <c r="H931" i="14"/>
  <c r="U1291" i="14"/>
  <c r="U1290" i="14" s="1"/>
  <c r="AC1340" i="14"/>
  <c r="AH1340" i="14" s="1"/>
  <c r="AJ1340" i="14" s="1"/>
  <c r="AC1348" i="14"/>
  <c r="AH1348" i="14" s="1"/>
  <c r="G1707" i="14"/>
  <c r="AH1742" i="14"/>
  <c r="AC1741" i="14"/>
  <c r="AC1740" i="14" s="1"/>
  <c r="U1326" i="14"/>
  <c r="AC1407" i="14"/>
  <c r="AH1407" i="14" s="1"/>
  <c r="AJ1407" i="14" s="1"/>
  <c r="H6" i="13"/>
  <c r="H70" i="13"/>
  <c r="H292" i="13"/>
  <c r="H307" i="13"/>
  <c r="AJ173" i="14"/>
  <c r="AH273" i="14"/>
  <c r="AC445" i="14"/>
  <c r="AC697" i="14"/>
  <c r="AC169" i="14"/>
  <c r="AH169" i="14" s="1"/>
  <c r="AJ169" i="14" s="1"/>
  <c r="G132" i="14"/>
  <c r="AC266" i="14"/>
  <c r="H265" i="14"/>
  <c r="AH495" i="14"/>
  <c r="AJ495" i="14" s="1"/>
  <c r="AC234" i="14"/>
  <c r="G557" i="14"/>
  <c r="AC448" i="14"/>
  <c r="AH448" i="14" s="1"/>
  <c r="U20" i="14"/>
  <c r="H47" i="14"/>
  <c r="G63" i="14"/>
  <c r="U170" i="14"/>
  <c r="AC170" i="14"/>
  <c r="AH170" i="14" s="1"/>
  <c r="AJ170" i="14" s="1"/>
  <c r="G178" i="14"/>
  <c r="G195" i="14"/>
  <c r="H237" i="14"/>
  <c r="AC572" i="14"/>
  <c r="AH572" i="14" s="1"/>
  <c r="U645" i="14"/>
  <c r="Z126" i="14"/>
  <c r="V125" i="14"/>
  <c r="Z128" i="14"/>
  <c r="V128" i="14" s="1"/>
  <c r="AH154" i="14"/>
  <c r="AC153" i="14"/>
  <c r="AC281" i="14"/>
  <c r="H280" i="14"/>
  <c r="U74" i="14"/>
  <c r="AC71" i="14"/>
  <c r="AC279" i="14"/>
  <c r="AC618" i="14"/>
  <c r="AH618" i="14" s="1"/>
  <c r="AJ618" i="14" s="1"/>
  <c r="U280" i="14"/>
  <c r="AC100" i="14"/>
  <c r="G280" i="14"/>
  <c r="AC161" i="14"/>
  <c r="AC264" i="14"/>
  <c r="AC843" i="14"/>
  <c r="G20" i="14"/>
  <c r="AC59" i="14"/>
  <c r="H63" i="14"/>
  <c r="AC64" i="14"/>
  <c r="U69" i="14"/>
  <c r="AJ69" i="14"/>
  <c r="U175" i="14"/>
  <c r="U181" i="14"/>
  <c r="H178" i="14"/>
  <c r="H195" i="14"/>
  <c r="AC195" i="14" s="1"/>
  <c r="AH195" i="14" s="1"/>
  <c r="AJ195" i="14" s="1"/>
  <c r="U196" i="14"/>
  <c r="U227" i="14"/>
  <c r="U226" i="14" s="1"/>
  <c r="AH257" i="14"/>
  <c r="AJ257" i="14" s="1"/>
  <c r="AC503" i="14"/>
  <c r="AC1000" i="14"/>
  <c r="H53" i="14"/>
  <c r="V144" i="14"/>
  <c r="Z145" i="14"/>
  <c r="AC400" i="14"/>
  <c r="U505" i="14"/>
  <c r="G660" i="14"/>
  <c r="G160" i="14"/>
  <c r="AC213" i="14"/>
  <c r="AH213" i="14" s="1"/>
  <c r="H487" i="14"/>
  <c r="AC488" i="14"/>
  <c r="AC661" i="14"/>
  <c r="AC527" i="14"/>
  <c r="AJ856" i="14"/>
  <c r="H853" i="14"/>
  <c r="AC21" i="14"/>
  <c r="V45" i="14"/>
  <c r="AC120" i="14"/>
  <c r="AH120" i="14" s="1"/>
  <c r="Z127" i="14"/>
  <c r="V127" i="14" s="1"/>
  <c r="U201" i="14"/>
  <c r="AC205" i="14"/>
  <c r="AH205" i="14" s="1"/>
  <c r="AJ205" i="14" s="1"/>
  <c r="V227" i="14"/>
  <c r="H272" i="14"/>
  <c r="G448" i="14"/>
  <c r="U448" i="14"/>
  <c r="AC127" i="14"/>
  <c r="AH127" i="14" s="1"/>
  <c r="H143" i="14"/>
  <c r="H157" i="14"/>
  <c r="U159" i="14"/>
  <c r="Z229" i="14"/>
  <c r="V228" i="14"/>
  <c r="U557" i="14"/>
  <c r="AC713" i="14"/>
  <c r="AC124" i="14"/>
  <c r="H123" i="14"/>
  <c r="AH655" i="14"/>
  <c r="AJ655" i="14" s="1"/>
  <c r="AC654" i="14"/>
  <c r="AH654" i="14" s="1"/>
  <c r="AC45" i="14"/>
  <c r="V48" i="14"/>
  <c r="Z49" i="14"/>
  <c r="AC57" i="14"/>
  <c r="AH57" i="14" s="1"/>
  <c r="AJ57" i="14" s="1"/>
  <c r="V124" i="14"/>
  <c r="AC227" i="14"/>
  <c r="AC241" i="14"/>
  <c r="AH241" i="14" s="1"/>
  <c r="G401" i="14"/>
  <c r="U401" i="14"/>
  <c r="U444" i="14"/>
  <c r="AC919" i="14"/>
  <c r="G999" i="14"/>
  <c r="H70" i="14"/>
  <c r="H995" i="14"/>
  <c r="AJ1325" i="14"/>
  <c r="H1324" i="14"/>
  <c r="AC1325" i="14"/>
  <c r="AC657" i="14"/>
  <c r="H811" i="14"/>
  <c r="H810" i="14" s="1"/>
  <c r="AC812" i="14"/>
  <c r="U811" i="14"/>
  <c r="U810" i="14" s="1"/>
  <c r="AC852" i="14"/>
  <c r="AC891" i="14"/>
  <c r="H934" i="14"/>
  <c r="AC935" i="14"/>
  <c r="AC179" i="14"/>
  <c r="AH179" i="14" s="1"/>
  <c r="AC498" i="14"/>
  <c r="G623" i="14"/>
  <c r="G853" i="14"/>
  <c r="G848" i="14" s="1"/>
  <c r="AC339" i="14"/>
  <c r="AH339" i="14" s="1"/>
  <c r="AC770" i="14"/>
  <c r="AC900" i="14"/>
  <c r="AH901" i="14"/>
  <c r="H20" i="14"/>
  <c r="V100" i="14"/>
  <c r="Z107" i="14"/>
  <c r="V107" i="14" s="1"/>
  <c r="Z101" i="14"/>
  <c r="AC236" i="14"/>
  <c r="G13" i="14"/>
  <c r="G99" i="14"/>
  <c r="U11" i="14"/>
  <c r="V37" i="14"/>
  <c r="H99" i="14"/>
  <c r="U100" i="14"/>
  <c r="U99" i="14" s="1"/>
  <c r="H141" i="14"/>
  <c r="U225" i="14"/>
  <c r="U223" i="14" s="1"/>
  <c r="AH255" i="14"/>
  <c r="AJ255" i="14" s="1"/>
  <c r="H448" i="14"/>
  <c r="U623" i="14"/>
  <c r="G730" i="14"/>
  <c r="AC929" i="14"/>
  <c r="G70" i="14"/>
  <c r="AC778" i="14"/>
  <c r="AH778" i="14" s="1"/>
  <c r="AJ10" i="14"/>
  <c r="H8" i="14"/>
  <c r="AJ509" i="14"/>
  <c r="H505" i="14"/>
  <c r="AC688" i="14"/>
  <c r="AJ12" i="14"/>
  <c r="AC142" i="14"/>
  <c r="H191" i="14"/>
  <c r="AC217" i="14"/>
  <c r="AH217" i="14" s="1"/>
  <c r="AC239" i="14"/>
  <c r="AH239" i="14" s="1"/>
  <c r="AC546" i="14"/>
  <c r="AH546" i="14" s="1"/>
  <c r="AJ546" i="14" s="1"/>
  <c r="H608" i="14"/>
  <c r="AC609" i="14"/>
  <c r="U913" i="14"/>
  <c r="AC1225" i="14"/>
  <c r="AC1258" i="14"/>
  <c r="AH1258" i="14" s="1"/>
  <c r="U114" i="14"/>
  <c r="G171" i="14"/>
  <c r="AJ679" i="14"/>
  <c r="H677" i="14"/>
  <c r="Z33" i="14"/>
  <c r="V33" i="14" s="1"/>
  <c r="AC157" i="14"/>
  <c r="AC837" i="14"/>
  <c r="AC854" i="14"/>
  <c r="AC115" i="14"/>
  <c r="AH158" i="14"/>
  <c r="H239" i="14"/>
  <c r="U240" i="14"/>
  <c r="U239" i="14" s="1"/>
  <c r="AJ399" i="14"/>
  <c r="AC399" i="14"/>
  <c r="H5" i="14"/>
  <c r="AC37" i="14"/>
  <c r="AJ38" i="14"/>
  <c r="H401" i="14"/>
  <c r="AC402" i="14"/>
  <c r="H526" i="14"/>
  <c r="H623" i="14"/>
  <c r="AC624" i="14"/>
  <c r="G671" i="14"/>
  <c r="G913" i="14"/>
  <c r="AC925" i="14"/>
  <c r="AC1100" i="14"/>
  <c r="H1099" i="14"/>
  <c r="AJ1101" i="14"/>
  <c r="AC1107" i="14"/>
  <c r="AC1106" i="14" s="1"/>
  <c r="AC1253" i="14"/>
  <c r="AH1253" i="14" s="1"/>
  <c r="AH1092" i="14"/>
  <c r="AJ1092" i="14" s="1"/>
  <c r="AJ1093" i="14"/>
  <c r="AC443" i="14"/>
  <c r="H500" i="14"/>
  <c r="AJ500" i="14" s="1"/>
  <c r="AC511" i="14"/>
  <c r="AH511" i="14" s="1"/>
  <c r="AC896" i="14"/>
  <c r="AH1096" i="14"/>
  <c r="AJ1097" i="14"/>
  <c r="AH672" i="14"/>
  <c r="AJ672" i="14" s="1"/>
  <c r="AC671" i="14"/>
  <c r="H1096" i="14"/>
  <c r="AC1097" i="14"/>
  <c r="AC1096" i="14" s="1"/>
  <c r="H13" i="14"/>
  <c r="U61" i="14"/>
  <c r="U71" i="14"/>
  <c r="Z72" i="14"/>
  <c r="H153" i="14"/>
  <c r="U164" i="14"/>
  <c r="U172" i="14"/>
  <c r="U188" i="14"/>
  <c r="U218" i="14"/>
  <c r="U217" i="14" s="1"/>
  <c r="H219" i="14"/>
  <c r="U242" i="14"/>
  <c r="U241" i="14" s="1"/>
  <c r="H243" i="14"/>
  <c r="H489" i="14"/>
  <c r="AC513" i="14"/>
  <c r="AH513" i="14" s="1"/>
  <c r="U526" i="14"/>
  <c r="U548" i="14"/>
  <c r="G645" i="14"/>
  <c r="U616" i="14"/>
  <c r="U615" i="14" s="1"/>
  <c r="AC996" i="14"/>
  <c r="H1042" i="14"/>
  <c r="AJ1107" i="14"/>
  <c r="AH1106" i="14"/>
  <c r="AJ1106" i="14" s="1"/>
  <c r="H171" i="14"/>
  <c r="H217" i="14"/>
  <c r="H241" i="14"/>
  <c r="AH506" i="14"/>
  <c r="AJ506" i="14" s="1"/>
  <c r="AJ841" i="14"/>
  <c r="AJ1085" i="14"/>
  <c r="H1083" i="14"/>
  <c r="H1082" i="14" s="1"/>
  <c r="AC1138" i="14"/>
  <c r="H1137" i="14"/>
  <c r="AJ1231" i="14"/>
  <c r="AC549" i="14"/>
  <c r="G1326" i="14"/>
  <c r="U1378" i="14"/>
  <c r="AC1412" i="14"/>
  <c r="AH1412" i="14" s="1"/>
  <c r="AJ1412" i="14" s="1"/>
  <c r="G526" i="14"/>
  <c r="AC646" i="14"/>
  <c r="AC1126" i="14"/>
  <c r="AC1125" i="14" s="1"/>
  <c r="AH1127" i="14"/>
  <c r="U1307" i="14"/>
  <c r="U1306" i="14" s="1"/>
  <c r="AC556" i="14"/>
  <c r="U696" i="14"/>
  <c r="U695" i="14" s="1"/>
  <c r="U682" i="14" s="1"/>
  <c r="H1129" i="14"/>
  <c r="AC1130" i="14"/>
  <c r="AH1176" i="14"/>
  <c r="G1307" i="14"/>
  <c r="G1306" i="14" s="1"/>
  <c r="U853" i="14"/>
  <c r="U848" i="14" s="1"/>
  <c r="H867" i="14"/>
  <c r="H866" i="14" s="1"/>
  <c r="AC868" i="14"/>
  <c r="AC894" i="14"/>
  <c r="U1042" i="14"/>
  <c r="AC1080" i="14"/>
  <c r="H1112" i="14"/>
  <c r="AC1113" i="14"/>
  <c r="AC711" i="14"/>
  <c r="AC719" i="14"/>
  <c r="G934" i="14"/>
  <c r="U999" i="14"/>
  <c r="H1110" i="14"/>
  <c r="AH1251" i="14"/>
  <c r="G718" i="14"/>
  <c r="AC845" i="14"/>
  <c r="AC932" i="14"/>
  <c r="AC1077" i="14"/>
  <c r="G1083" i="14"/>
  <c r="G1082" i="14" s="1"/>
  <c r="AH1109" i="14"/>
  <c r="AC1108" i="14"/>
  <c r="H645" i="14"/>
  <c r="H718" i="14"/>
  <c r="H773" i="14"/>
  <c r="AC774" i="14"/>
  <c r="AC1070" i="14"/>
  <c r="AH1070" i="14" s="1"/>
  <c r="AJ1070" i="14" s="1"/>
  <c r="AC1158" i="14"/>
  <c r="H1156" i="14"/>
  <c r="AC678" i="14"/>
  <c r="U730" i="14"/>
  <c r="AH905" i="14"/>
  <c r="AC907" i="14"/>
  <c r="AC1021" i="14"/>
  <c r="AH1091" i="14"/>
  <c r="G1156" i="14"/>
  <c r="U1156" i="14"/>
  <c r="AC1195" i="14"/>
  <c r="H1194" i="14"/>
  <c r="AC1228" i="14"/>
  <c r="U1281" i="14"/>
  <c r="U1280" i="14" s="1"/>
  <c r="G844" i="14"/>
  <c r="G835" i="14" s="1"/>
  <c r="AH1068" i="14"/>
  <c r="AC1501" i="14"/>
  <c r="AH1501" i="14" s="1"/>
  <c r="H730" i="14"/>
  <c r="AC731" i="14"/>
  <c r="U1027" i="14"/>
  <c r="G1099" i="14"/>
  <c r="G1098" i="14" s="1"/>
  <c r="U1099" i="14"/>
  <c r="U1098" i="14" s="1"/>
  <c r="U1233" i="14"/>
  <c r="AC1134" i="14"/>
  <c r="G811" i="14"/>
  <c r="G810" i="14" s="1"/>
  <c r="AC839" i="14"/>
  <c r="AJ1157" i="14"/>
  <c r="G1233" i="14"/>
  <c r="AC1576" i="14"/>
  <c r="AH1576" i="14" s="1"/>
  <c r="AC1701" i="14"/>
  <c r="AC1026" i="14"/>
  <c r="H1027" i="14"/>
  <c r="AC1084" i="14"/>
  <c r="AC1123" i="14"/>
  <c r="AC1282" i="14"/>
  <c r="AC1281" i="14" s="1"/>
  <c r="AH1074" i="14"/>
  <c r="AC1073" i="14"/>
  <c r="AC1072" i="14" s="1"/>
  <c r="U1020" i="14"/>
  <c r="AC1039" i="14"/>
  <c r="G1175" i="14"/>
  <c r="AC1296" i="14"/>
  <c r="AH1296" i="14" s="1"/>
  <c r="H1326" i="14"/>
  <c r="AC1329" i="14"/>
  <c r="AJ1380" i="14"/>
  <c r="H1378" i="14"/>
  <c r="AC1461" i="14"/>
  <c r="AH1461" i="14" s="1"/>
  <c r="AJ1461" i="14" s="1"/>
  <c r="G1071" i="14"/>
  <c r="AC1178" i="14"/>
  <c r="AH1178" i="14" s="1"/>
  <c r="AJ1178" i="14" s="1"/>
  <c r="H1175" i="14"/>
  <c r="AC1616" i="14"/>
  <c r="AH1616" i="14" s="1"/>
  <c r="AJ1616" i="14" s="1"/>
  <c r="G1744" i="14"/>
  <c r="G1743" i="14" s="1"/>
  <c r="G1730" i="14" s="1"/>
  <c r="G1291" i="14"/>
  <c r="G1290" i="14" s="1"/>
  <c r="H1307" i="14"/>
  <c r="H1306" i="14" s="1"/>
  <c r="AC1308" i="14"/>
  <c r="AC1356" i="14"/>
  <c r="AH1356" i="14" s="1"/>
  <c r="AJ1356" i="14" s="1"/>
  <c r="AC1360" i="14"/>
  <c r="AH1360" i="14" s="1"/>
  <c r="AJ1360" i="14" s="1"/>
  <c r="AC1368" i="14"/>
  <c r="AH1368" i="14" s="1"/>
  <c r="AJ1368" i="14" s="1"/>
  <c r="AC1596" i="14"/>
  <c r="AH1596" i="14" s="1"/>
  <c r="AJ1596" i="14" s="1"/>
  <c r="AC1634" i="14"/>
  <c r="AH1634" i="14" s="1"/>
  <c r="AJ1634" i="14" s="1"/>
  <c r="G1662" i="14"/>
  <c r="G1194" i="14"/>
  <c r="H1291" i="14"/>
  <c r="H1290" i="14" s="1"/>
  <c r="AC1364" i="14"/>
  <c r="AH1364" i="14" s="1"/>
  <c r="AJ1364" i="14" s="1"/>
  <c r="AC1708" i="14"/>
  <c r="G1378" i="14"/>
  <c r="AC1661" i="14"/>
  <c r="AC1292" i="14"/>
  <c r="AC1315" i="14"/>
  <c r="AH1315" i="14" s="1"/>
  <c r="AJ1315" i="14" s="1"/>
  <c r="AC1658" i="14"/>
  <c r="AJ1658" i="14"/>
  <c r="AC1028" i="14"/>
  <c r="H1073" i="14"/>
  <c r="H1072" i="14" s="1"/>
  <c r="H1071" i="14" s="1"/>
  <c r="AC1216" i="14"/>
  <c r="H1215" i="14"/>
  <c r="AC1417" i="14"/>
  <c r="AH1417" i="14" s="1"/>
  <c r="AJ1417" i="14" s="1"/>
  <c r="AC1481" i="14"/>
  <c r="AH1481" i="14" s="1"/>
  <c r="AJ1481" i="14" s="1"/>
  <c r="U1067" i="14"/>
  <c r="H1233" i="14"/>
  <c r="AC1235" i="14"/>
  <c r="AH1235" i="14" s="1"/>
  <c r="AC1678" i="14"/>
  <c r="AH1678" i="14" s="1"/>
  <c r="AC1294" i="14"/>
  <c r="AH1294" i="14" s="1"/>
  <c r="AJ1664" i="14"/>
  <c r="H1662" i="14"/>
  <c r="AC1666" i="14"/>
  <c r="AH1666" i="14" s="1"/>
  <c r="AC1379" i="14"/>
  <c r="AH1736" i="14"/>
  <c r="AC1735" i="14"/>
  <c r="AC1734" i="14" s="1"/>
  <c r="U1744" i="14"/>
  <c r="U1743" i="14" s="1"/>
  <c r="U1730" i="14" s="1"/>
  <c r="U1662" i="14"/>
  <c r="H37" i="13"/>
  <c r="K37" i="13" s="1"/>
  <c r="H226" i="13"/>
  <c r="H118" i="13"/>
  <c r="K118" i="13" s="1"/>
  <c r="H160" i="13"/>
  <c r="K160" i="13" s="1"/>
  <c r="H49" i="13"/>
  <c r="K49" i="13" s="1"/>
  <c r="H297" i="13"/>
  <c r="H295" i="13" s="1"/>
  <c r="H205" i="13"/>
  <c r="H64" i="13"/>
  <c r="H176" i="13"/>
  <c r="H203" i="13"/>
  <c r="H141" i="13"/>
  <c r="K141" i="13" s="1"/>
  <c r="H95" i="13"/>
  <c r="H275" i="13"/>
  <c r="H192" i="13"/>
  <c r="H202" i="13"/>
  <c r="H262" i="13"/>
  <c r="H59" i="13"/>
  <c r="K59" i="13" s="1"/>
  <c r="H62" i="13"/>
  <c r="H135" i="13"/>
  <c r="H218" i="13"/>
  <c r="K218" i="13" s="1"/>
  <c r="H224" i="13"/>
  <c r="H230" i="13"/>
  <c r="H233" i="13"/>
  <c r="K233" i="13" s="1"/>
  <c r="H28" i="13"/>
  <c r="H47" i="13"/>
  <c r="K47" i="13" s="1"/>
  <c r="H57" i="13"/>
  <c r="K57" i="13" s="1"/>
  <c r="H105" i="13"/>
  <c r="H173" i="13"/>
  <c r="K173" i="13" s="1"/>
  <c r="H42" i="13"/>
  <c r="H166" i="13"/>
  <c r="H247" i="13"/>
  <c r="K247" i="13" s="1"/>
  <c r="H12" i="13"/>
  <c r="H24" i="13"/>
  <c r="H108" i="13"/>
  <c r="H244" i="13"/>
  <c r="H45" i="13"/>
  <c r="K45" i="13" s="1"/>
  <c r="H157" i="13"/>
  <c r="H171" i="13"/>
  <c r="K171" i="13" s="1"/>
  <c r="H198" i="13"/>
  <c r="H248" i="13"/>
  <c r="H52" i="13"/>
  <c r="K52" i="13" s="1"/>
  <c r="H123" i="13"/>
  <c r="H165" i="13"/>
  <c r="H112" i="13"/>
  <c r="K112" i="13" s="1"/>
  <c r="H196" i="13"/>
  <c r="H9" i="13"/>
  <c r="H23" i="13"/>
  <c r="H29" i="13"/>
  <c r="H81" i="13"/>
  <c r="H111" i="13"/>
  <c r="H115" i="13"/>
  <c r="H113" i="13" s="1"/>
  <c r="H136" i="13"/>
  <c r="H180" i="13"/>
  <c r="H129" i="13"/>
  <c r="K129" i="13" s="1"/>
  <c r="H152" i="13"/>
  <c r="H177" i="13"/>
  <c r="H201" i="13"/>
  <c r="H235" i="13"/>
  <c r="K235" i="13" s="1"/>
  <c r="H183" i="13"/>
  <c r="H260" i="13"/>
  <c r="H311" i="13"/>
  <c r="H92" i="13"/>
  <c r="K92" i="13" s="1"/>
  <c r="H153" i="13"/>
  <c r="H209" i="13"/>
  <c r="H121" i="13"/>
  <c r="K121" i="13" s="1"/>
  <c r="H61" i="13"/>
  <c r="H96" i="13"/>
  <c r="K96" i="13" s="1"/>
  <c r="H221" i="13"/>
  <c r="K221" i="13" s="1"/>
  <c r="H240" i="13"/>
  <c r="K240" i="13" s="1"/>
  <c r="H264" i="13"/>
  <c r="H290" i="13"/>
  <c r="H48" i="13"/>
  <c r="K48" i="13" s="1"/>
  <c r="H89" i="13"/>
  <c r="H100" i="13"/>
  <c r="H140" i="13"/>
  <c r="H250" i="13"/>
  <c r="H267" i="13"/>
  <c r="H66" i="13"/>
  <c r="H98" i="13"/>
  <c r="K98" i="13" s="1"/>
  <c r="H126" i="13"/>
  <c r="H216" i="13"/>
  <c r="K216" i="13" s="1"/>
  <c r="H219" i="13"/>
  <c r="H243" i="13"/>
  <c r="K243" i="13" s="1"/>
  <c r="H286" i="13"/>
  <c r="H187" i="13"/>
  <c r="H213" i="13"/>
  <c r="H234" i="13"/>
  <c r="K234" i="13" s="1"/>
  <c r="H272" i="13"/>
  <c r="H320" i="13"/>
  <c r="K320" i="13" s="1"/>
  <c r="H254" i="13"/>
  <c r="H128" i="13"/>
  <c r="H185" i="13"/>
  <c r="H283" i="13"/>
  <c r="H266" i="13"/>
  <c r="H317" i="13"/>
  <c r="H303" i="13"/>
  <c r="K128" i="13" l="1"/>
  <c r="Z136" i="14"/>
  <c r="Z121" i="14"/>
  <c r="V121" i="14" s="1"/>
  <c r="Z117" i="14"/>
  <c r="Z31" i="14"/>
  <c r="Z34" i="14"/>
  <c r="V34" i="14" s="1"/>
  <c r="Z139" i="14"/>
  <c r="V139" i="14" s="1"/>
  <c r="V134" i="14"/>
  <c r="Z138" i="14"/>
  <c r="V138" i="14" s="1"/>
  <c r="AC1131" i="14"/>
  <c r="J187" i="13"/>
  <c r="K187" i="13"/>
  <c r="J311" i="13"/>
  <c r="K311" i="13"/>
  <c r="J275" i="13"/>
  <c r="K275" i="13"/>
  <c r="J286" i="13"/>
  <c r="J290" i="13"/>
  <c r="J183" i="13"/>
  <c r="J244" i="13"/>
  <c r="J266" i="13"/>
  <c r="J219" i="13"/>
  <c r="J264" i="13"/>
  <c r="J230" i="13"/>
  <c r="J196" i="13"/>
  <c r="K196" i="13"/>
  <c r="J185" i="13"/>
  <c r="K185" i="13"/>
  <c r="J177" i="13"/>
  <c r="J292" i="13"/>
  <c r="K292" i="13"/>
  <c r="J198" i="13"/>
  <c r="K198" i="13"/>
  <c r="J192" i="13"/>
  <c r="K192" i="13"/>
  <c r="J303" i="13"/>
  <c r="K303" i="13"/>
  <c r="J260" i="13"/>
  <c r="J283" i="13"/>
  <c r="J176" i="13"/>
  <c r="J254" i="13"/>
  <c r="J166" i="13"/>
  <c r="J307" i="13"/>
  <c r="J267" i="13"/>
  <c r="J272" i="13"/>
  <c r="J250" i="13"/>
  <c r="J248" i="13"/>
  <c r="J262" i="13"/>
  <c r="J128" i="13"/>
  <c r="J152" i="13"/>
  <c r="J135" i="13"/>
  <c r="J121" i="13"/>
  <c r="J42" i="13"/>
  <c r="J129" i="13"/>
  <c r="J89" i="13"/>
  <c r="J81" i="13"/>
  <c r="J47" i="13"/>
  <c r="J37" i="13"/>
  <c r="J48" i="13"/>
  <c r="J29" i="13"/>
  <c r="J28" i="13"/>
  <c r="J141" i="13"/>
  <c r="J9" i="13"/>
  <c r="J108" i="13"/>
  <c r="J24" i="13"/>
  <c r="J126" i="13"/>
  <c r="J112" i="13"/>
  <c r="J12" i="13"/>
  <c r="J64" i="13"/>
  <c r="J66" i="13"/>
  <c r="J61" i="13"/>
  <c r="J123" i="13"/>
  <c r="J62" i="13"/>
  <c r="J136" i="13"/>
  <c r="J160" i="13"/>
  <c r="J70" i="13"/>
  <c r="J140" i="13"/>
  <c r="J153" i="13"/>
  <c r="J115" i="13"/>
  <c r="J105" i="13"/>
  <c r="J118" i="13"/>
  <c r="J6" i="13"/>
  <c r="J111" i="13"/>
  <c r="J57" i="13"/>
  <c r="H18" i="13"/>
  <c r="K18" i="13" s="1"/>
  <c r="H1223" i="14"/>
  <c r="AH6" i="14"/>
  <c r="AH5" i="14" s="1"/>
  <c r="AJ5" i="14" s="1"/>
  <c r="AC1135" i="14"/>
  <c r="J224" i="13"/>
  <c r="J218" i="13"/>
  <c r="J96" i="13"/>
  <c r="J247" i="13"/>
  <c r="J205" i="13"/>
  <c r="J216" i="13"/>
  <c r="J221" i="13"/>
  <c r="J98" i="13"/>
  <c r="J297" i="13"/>
  <c r="AJ1110" i="14"/>
  <c r="J320" i="13"/>
  <c r="H178" i="13"/>
  <c r="J180" i="13"/>
  <c r="J52" i="13"/>
  <c r="J59" i="13"/>
  <c r="J49" i="13"/>
  <c r="J201" i="13"/>
  <c r="J202" i="13"/>
  <c r="J240" i="13"/>
  <c r="J173" i="13"/>
  <c r="J234" i="13"/>
  <c r="J213" i="13"/>
  <c r="J100" i="13"/>
  <c r="J92" i="13"/>
  <c r="J171" i="13"/>
  <c r="J226" i="13"/>
  <c r="J209" i="13"/>
  <c r="J157" i="13"/>
  <c r="H43" i="13"/>
  <c r="K43" i="13" s="1"/>
  <c r="J45" i="13"/>
  <c r="J317" i="13"/>
  <c r="J233" i="13"/>
  <c r="J95" i="13"/>
  <c r="J243" i="13"/>
  <c r="J23" i="13"/>
  <c r="J235" i="13"/>
  <c r="J203" i="13"/>
  <c r="H163" i="13"/>
  <c r="J165" i="13"/>
  <c r="G892" i="14"/>
  <c r="AC1744" i="14"/>
  <c r="AC1743" i="14" s="1"/>
  <c r="U1223" i="14"/>
  <c r="AH238" i="14"/>
  <c r="AJ238" i="14" s="1"/>
  <c r="U191" i="14"/>
  <c r="AC491" i="14"/>
  <c r="AH491" i="14" s="1"/>
  <c r="AJ491" i="14" s="1"/>
  <c r="U58" i="14"/>
  <c r="AH156" i="14"/>
  <c r="AH155" i="14" s="1"/>
  <c r="AJ155" i="14" s="1"/>
  <c r="AH244" i="14"/>
  <c r="AJ244" i="14" s="1"/>
  <c r="AJ1111" i="14"/>
  <c r="AH1043" i="14"/>
  <c r="AH1042" i="14" s="1"/>
  <c r="AJ1042" i="14" s="1"/>
  <c r="AC252" i="14"/>
  <c r="AH252" i="14" s="1"/>
  <c r="AJ252" i="14" s="1"/>
  <c r="AC8" i="14"/>
  <c r="AC260" i="14"/>
  <c r="AC272" i="14"/>
  <c r="AH272" i="14" s="1"/>
  <c r="AJ272" i="14" s="1"/>
  <c r="U659" i="14"/>
  <c r="U892" i="14"/>
  <c r="G1232" i="14"/>
  <c r="U670" i="14"/>
  <c r="U8" i="14"/>
  <c r="U143" i="14"/>
  <c r="U47" i="14"/>
  <c r="G670" i="14"/>
  <c r="AH1229" i="14"/>
  <c r="AJ1229" i="14" s="1"/>
  <c r="AH259" i="14"/>
  <c r="AJ259" i="14" s="1"/>
  <c r="U41" i="14"/>
  <c r="AC1120" i="14"/>
  <c r="H848" i="14"/>
  <c r="AH1725" i="14"/>
  <c r="AH899" i="14"/>
  <c r="AJ1728" i="14"/>
  <c r="AJ849" i="14"/>
  <c r="AC690" i="14"/>
  <c r="AH691" i="14"/>
  <c r="AJ691" i="14" s="1"/>
  <c r="AC219" i="14"/>
  <c r="AH219" i="14" s="1"/>
  <c r="AJ219" i="14" s="1"/>
  <c r="AC143" i="14"/>
  <c r="H835" i="14"/>
  <c r="AH246" i="14"/>
  <c r="AJ246" i="14" s="1"/>
  <c r="AC1213" i="14"/>
  <c r="AH131" i="14"/>
  <c r="AH130" i="14" s="1"/>
  <c r="AH144" i="14"/>
  <c r="AJ144" i="14" s="1"/>
  <c r="AJ440" i="14"/>
  <c r="AJ1732" i="14"/>
  <c r="AH9" i="14"/>
  <c r="AH8" i="14" s="1"/>
  <c r="AC132" i="14"/>
  <c r="AJ1729" i="14"/>
  <c r="G1024" i="14"/>
  <c r="U1024" i="14"/>
  <c r="H682" i="14"/>
  <c r="AH1731" i="14"/>
  <c r="AJ1731" i="14" s="1"/>
  <c r="AC1118" i="14"/>
  <c r="U157" i="14"/>
  <c r="H1232" i="14"/>
  <c r="AH915" i="14"/>
  <c r="AH914" i="14" s="1"/>
  <c r="AJ1096" i="14"/>
  <c r="U27" i="14"/>
  <c r="U13" i="14"/>
  <c r="AH1217" i="14"/>
  <c r="AJ1217" i="14" s="1"/>
  <c r="G659" i="14"/>
  <c r="U1706" i="14"/>
  <c r="U1698" i="14" s="1"/>
  <c r="G1223" i="14"/>
  <c r="AC920" i="14"/>
  <c r="AH13" i="14"/>
  <c r="AJ13" i="14" s="1"/>
  <c r="AC1704" i="14"/>
  <c r="H1730" i="14"/>
  <c r="AC1229" i="14"/>
  <c r="H1086" i="14"/>
  <c r="AH191" i="14"/>
  <c r="AJ191" i="14" s="1"/>
  <c r="H84" i="13"/>
  <c r="K84" i="13" s="1"/>
  <c r="H77" i="13"/>
  <c r="AC1250" i="14"/>
  <c r="AH251" i="14"/>
  <c r="AJ251" i="14" s="1"/>
  <c r="AC250" i="14"/>
  <c r="AH250" i="14" s="1"/>
  <c r="AJ250" i="14" s="1"/>
  <c r="G1706" i="14"/>
  <c r="G1698" i="14" s="1"/>
  <c r="AC171" i="14"/>
  <c r="H892" i="14"/>
  <c r="H913" i="14"/>
  <c r="AH388" i="14"/>
  <c r="G1323" i="14"/>
  <c r="G930" i="14"/>
  <c r="U63" i="14"/>
  <c r="AH927" i="14"/>
  <c r="AJ927" i="14" s="1"/>
  <c r="AJ850" i="14"/>
  <c r="H615" i="14"/>
  <c r="H1706" i="14"/>
  <c r="H1698" i="14" s="1"/>
  <c r="U930" i="14"/>
  <c r="U53" i="14"/>
  <c r="AJ217" i="14"/>
  <c r="AC47" i="14"/>
  <c r="AH1745" i="14"/>
  <c r="AJ1745" i="14" s="1"/>
  <c r="U195" i="14"/>
  <c r="AC191" i="14"/>
  <c r="AC684" i="14"/>
  <c r="AH684" i="14" s="1"/>
  <c r="AJ684" i="14" s="1"/>
  <c r="U709" i="14"/>
  <c r="U704" i="14" s="1"/>
  <c r="U1323" i="14"/>
  <c r="AJ654" i="14"/>
  <c r="U178" i="14"/>
  <c r="AC916" i="14"/>
  <c r="AH917" i="14"/>
  <c r="AC248" i="14"/>
  <c r="AH248" i="14" s="1"/>
  <c r="AJ248" i="14" s="1"/>
  <c r="AH249" i="14"/>
  <c r="AJ249" i="14" s="1"/>
  <c r="AH1739" i="14"/>
  <c r="AC1738" i="14"/>
  <c r="AC1737" i="14" s="1"/>
  <c r="AC1233" i="14"/>
  <c r="U1128" i="14"/>
  <c r="G622" i="14"/>
  <c r="AC1116" i="14"/>
  <c r="AH1117" i="14"/>
  <c r="AC1067" i="14"/>
  <c r="H709" i="14"/>
  <c r="H247" i="14"/>
  <c r="AC440" i="14"/>
  <c r="G247" i="14"/>
  <c r="AC494" i="14"/>
  <c r="AH494" i="14" s="1"/>
  <c r="AJ494" i="14" s="1"/>
  <c r="AJ441" i="14"/>
  <c r="AH232" i="14"/>
  <c r="AJ232" i="14" s="1"/>
  <c r="AC231" i="14"/>
  <c r="AH231" i="14" s="1"/>
  <c r="AJ231" i="14" s="1"/>
  <c r="AH707" i="14"/>
  <c r="AH706" i="14" s="1"/>
  <c r="AC706" i="14"/>
  <c r="AC705" i="14" s="1"/>
  <c r="AH28" i="14"/>
  <c r="AC27" i="14"/>
  <c r="AH621" i="14"/>
  <c r="AJ621" i="14" s="1"/>
  <c r="AC620" i="14"/>
  <c r="AH620" i="14" s="1"/>
  <c r="AJ620" i="14" s="1"/>
  <c r="AC221" i="14"/>
  <c r="AH221" i="14" s="1"/>
  <c r="AJ221" i="14" s="1"/>
  <c r="AH222" i="14"/>
  <c r="AJ222" i="14" s="1"/>
  <c r="U171" i="14"/>
  <c r="Z39" i="14"/>
  <c r="V39" i="14" s="1"/>
  <c r="V38" i="14"/>
  <c r="H670" i="14"/>
  <c r="G1128" i="14"/>
  <c r="AJ489" i="14"/>
  <c r="AC666" i="14"/>
  <c r="AH666" i="14" s="1"/>
  <c r="AJ666" i="14" s="1"/>
  <c r="H659" i="14"/>
  <c r="AC1175" i="14"/>
  <c r="G52" i="14"/>
  <c r="AC166" i="14"/>
  <c r="AH1135" i="14"/>
  <c r="AJ1135" i="14" s="1"/>
  <c r="AH694" i="14"/>
  <c r="AJ694" i="14" s="1"/>
  <c r="AC693" i="14"/>
  <c r="AJ258" i="14"/>
  <c r="AH1704" i="14"/>
  <c r="AJ1704" i="14" s="1"/>
  <c r="AJ1705" i="14"/>
  <c r="AC902" i="14"/>
  <c r="AH903" i="14"/>
  <c r="G152" i="14"/>
  <c r="AJ1742" i="14"/>
  <c r="AH1741" i="14"/>
  <c r="H930" i="14"/>
  <c r="I930" i="14" s="1"/>
  <c r="H1098" i="14"/>
  <c r="AH133" i="14"/>
  <c r="AH132" i="14" s="1"/>
  <c r="AJ245" i="14"/>
  <c r="AH1115" i="14"/>
  <c r="AH1114" i="14" s="1"/>
  <c r="AJ1114" i="14" s="1"/>
  <c r="U247" i="14"/>
  <c r="U1232" i="14"/>
  <c r="U160" i="14"/>
  <c r="AH1041" i="14"/>
  <c r="AC1040" i="14"/>
  <c r="AH1088" i="14"/>
  <c r="AC1087" i="14"/>
  <c r="AC1086" i="14" s="1"/>
  <c r="AH923" i="14"/>
  <c r="AJ923" i="14" s="1"/>
  <c r="AC13" i="14"/>
  <c r="U166" i="14"/>
  <c r="AJ243" i="14"/>
  <c r="AC223" i="14"/>
  <c r="AH223" i="14" s="1"/>
  <c r="AJ223" i="14" s="1"/>
  <c r="AH171" i="14"/>
  <c r="AJ171" i="14" s="1"/>
  <c r="AC1217" i="14"/>
  <c r="G4" i="14"/>
  <c r="H257" i="13"/>
  <c r="H222" i="13"/>
  <c r="K222" i="13" s="1"/>
  <c r="H231" i="13"/>
  <c r="K231" i="13" s="1"/>
  <c r="AH907" i="14"/>
  <c r="AC906" i="14"/>
  <c r="AC718" i="14"/>
  <c r="AH718" i="14" s="1"/>
  <c r="AJ718" i="14" s="1"/>
  <c r="AH719" i="14"/>
  <c r="AJ1235" i="14"/>
  <c r="AH1233" i="14"/>
  <c r="AH1662" i="14"/>
  <c r="AJ1662" i="14" s="1"/>
  <c r="AJ1663" i="14"/>
  <c r="AH1329" i="14"/>
  <c r="AC1326" i="14"/>
  <c r="G709" i="14"/>
  <c r="G704" i="14" s="1"/>
  <c r="AC505" i="14"/>
  <c r="AH505" i="14" s="1"/>
  <c r="AJ505" i="14" s="1"/>
  <c r="AC836" i="14"/>
  <c r="AH837" i="14"/>
  <c r="V101" i="14"/>
  <c r="Z108" i="14"/>
  <c r="V108" i="14" s="1"/>
  <c r="Z102" i="14"/>
  <c r="AH527" i="14"/>
  <c r="AC526" i="14"/>
  <c r="AH526" i="14" s="1"/>
  <c r="AJ526" i="14" s="1"/>
  <c r="AC660" i="14"/>
  <c r="AH661" i="14"/>
  <c r="AJ661" i="14" s="1"/>
  <c r="H52" i="14"/>
  <c r="I52" i="14" s="1"/>
  <c r="AC696" i="14"/>
  <c r="AH697" i="14"/>
  <c r="AH843" i="14"/>
  <c r="AC842" i="14"/>
  <c r="AH1701" i="14"/>
  <c r="AC1700" i="14"/>
  <c r="AH264" i="14"/>
  <c r="AJ264" i="14" s="1"/>
  <c r="AC263" i="14"/>
  <c r="AH53" i="14"/>
  <c r="AJ54" i="14"/>
  <c r="AH279" i="14"/>
  <c r="AJ279" i="14" s="1"/>
  <c r="AC278" i="14"/>
  <c r="AH278" i="14" s="1"/>
  <c r="AJ278" i="14" s="1"/>
  <c r="AH1292" i="14"/>
  <c r="AH1291" i="14" s="1"/>
  <c r="AC1291" i="14"/>
  <c r="AC1290" i="14" s="1"/>
  <c r="AH1073" i="14"/>
  <c r="AJ1074" i="14"/>
  <c r="AC280" i="14"/>
  <c r="AH280" i="14" s="1"/>
  <c r="AJ280" i="14" s="1"/>
  <c r="AH281" i="14"/>
  <c r="AC1137" i="14"/>
  <c r="AH1138" i="14"/>
  <c r="AH1120" i="14"/>
  <c r="AJ1120" i="14" s="1"/>
  <c r="AJ1121" i="14"/>
  <c r="AH153" i="14"/>
  <c r="AJ154" i="14"/>
  <c r="Z118" i="14"/>
  <c r="Z122" i="14"/>
  <c r="V122" i="14" s="1"/>
  <c r="V117" i="14"/>
  <c r="V229" i="14"/>
  <c r="Z230" i="14"/>
  <c r="V230" i="14" s="1"/>
  <c r="AC1038" i="14"/>
  <c r="AH1039" i="14"/>
  <c r="AJ1068" i="14"/>
  <c r="AH1067" i="14"/>
  <c r="AJ1067" i="14" s="1"/>
  <c r="AH1228" i="14"/>
  <c r="AC1227" i="14"/>
  <c r="AJ905" i="14"/>
  <c r="AH904" i="14"/>
  <c r="AJ904" i="14" s="1"/>
  <c r="AH1080" i="14"/>
  <c r="AC1079" i="14"/>
  <c r="AC1078" i="14" s="1"/>
  <c r="AJ158" i="14"/>
  <c r="AH157" i="14"/>
  <c r="AJ157" i="14" s="1"/>
  <c r="AC1707" i="14"/>
  <c r="AC1706" i="14" s="1"/>
  <c r="AH1708" i="14"/>
  <c r="AH1707" i="14" s="1"/>
  <c r="H1024" i="14"/>
  <c r="AH839" i="14"/>
  <c r="AC838" i="14"/>
  <c r="AC677" i="14"/>
  <c r="AH677" i="14" s="1"/>
  <c r="AJ677" i="14" s="1"/>
  <c r="AH678" i="14"/>
  <c r="AJ678" i="14" s="1"/>
  <c r="AC1076" i="14"/>
  <c r="AC1075" i="14" s="1"/>
  <c r="AH1077" i="14"/>
  <c r="AJ241" i="14"/>
  <c r="AJ448" i="14"/>
  <c r="AC1307" i="14"/>
  <c r="AC1306" i="14" s="1"/>
  <c r="AH1308" i="14"/>
  <c r="AH1307" i="14" s="1"/>
  <c r="AC1025" i="14"/>
  <c r="AH1026" i="14"/>
  <c r="AC1133" i="14"/>
  <c r="AH1134" i="14"/>
  <c r="AJ1091" i="14"/>
  <c r="AH1090" i="14"/>
  <c r="AH932" i="14"/>
  <c r="AC931" i="14"/>
  <c r="AC867" i="14"/>
  <c r="AC866" i="14" s="1"/>
  <c r="AH868" i="14"/>
  <c r="AC548" i="14"/>
  <c r="AH548" i="14" s="1"/>
  <c r="AJ548" i="14" s="1"/>
  <c r="AH549" i="14"/>
  <c r="H152" i="14"/>
  <c r="AH624" i="14"/>
  <c r="AH623" i="14" s="1"/>
  <c r="AC623" i="14"/>
  <c r="AJ239" i="14"/>
  <c r="AH227" i="14"/>
  <c r="AC226" i="14"/>
  <c r="AH226" i="14" s="1"/>
  <c r="AJ226" i="14" s="1"/>
  <c r="AC178" i="14"/>
  <c r="I178" i="14"/>
  <c r="H177" i="14"/>
  <c r="AH161" i="14"/>
  <c r="AC160" i="14"/>
  <c r="AH234" i="14"/>
  <c r="AJ234" i="14" s="1"/>
  <c r="AC233" i="14"/>
  <c r="AH233" i="14" s="1"/>
  <c r="AJ233" i="14" s="1"/>
  <c r="AH1123" i="14"/>
  <c r="AC1122" i="14"/>
  <c r="AH1195" i="14"/>
  <c r="AC1194" i="14"/>
  <c r="AC442" i="14"/>
  <c r="AH442" i="14" s="1"/>
  <c r="AJ442" i="14" s="1"/>
  <c r="AH443" i="14"/>
  <c r="AJ443" i="14" s="1"/>
  <c r="AC608" i="14"/>
  <c r="AH608" i="14" s="1"/>
  <c r="AJ608" i="14" s="1"/>
  <c r="AH609" i="14"/>
  <c r="AJ609" i="14" s="1"/>
  <c r="AC616" i="14"/>
  <c r="AH929" i="14"/>
  <c r="AC928" i="14"/>
  <c r="AH900" i="14"/>
  <c r="AJ900" i="14" s="1"/>
  <c r="AJ901" i="14"/>
  <c r="AH770" i="14"/>
  <c r="AC769" i="14"/>
  <c r="AH894" i="14"/>
  <c r="AC893" i="14"/>
  <c r="AC890" i="14"/>
  <c r="AC889" i="14" s="1"/>
  <c r="AH891" i="14"/>
  <c r="AH657" i="14"/>
  <c r="AJ657" i="14" s="1"/>
  <c r="AC656" i="14"/>
  <c r="AH656" i="14" s="1"/>
  <c r="AJ656" i="14" s="1"/>
  <c r="AH1158" i="14"/>
  <c r="AC1156" i="14"/>
  <c r="AH1126" i="14"/>
  <c r="AJ1127" i="14"/>
  <c r="AC924" i="14"/>
  <c r="AH925" i="14"/>
  <c r="AH711" i="14"/>
  <c r="AJ711" i="14" s="1"/>
  <c r="AC710" i="14"/>
  <c r="AJ1132" i="14"/>
  <c r="AH1131" i="14"/>
  <c r="AJ1131" i="14" s="1"/>
  <c r="AC235" i="14"/>
  <c r="AH235" i="14" s="1"/>
  <c r="AJ235" i="14" s="1"/>
  <c r="AH236" i="14"/>
  <c r="AJ236" i="14" s="1"/>
  <c r="AC44" i="14"/>
  <c r="AH43" i="14"/>
  <c r="AH45" i="14"/>
  <c r="AH646" i="14"/>
  <c r="AC645" i="14"/>
  <c r="AH645" i="14" s="1"/>
  <c r="AJ645" i="14" s="1"/>
  <c r="AC20" i="14"/>
  <c r="AH21" i="14"/>
  <c r="AH20" i="14" s="1"/>
  <c r="AJ20" i="14" s="1"/>
  <c r="AJ1736" i="14"/>
  <c r="AH1735" i="14"/>
  <c r="AH556" i="14"/>
  <c r="AJ556" i="14" s="1"/>
  <c r="AC555" i="14"/>
  <c r="AH555" i="14" s="1"/>
  <c r="AJ555" i="14" s="1"/>
  <c r="AH1282" i="14"/>
  <c r="AH1281" i="14" s="1"/>
  <c r="AC1280" i="14"/>
  <c r="AC730" i="14"/>
  <c r="AH730" i="14" s="1"/>
  <c r="AJ730" i="14" s="1"/>
  <c r="AH731" i="14"/>
  <c r="AJ1119" i="14"/>
  <c r="AH1118" i="14"/>
  <c r="AJ1118" i="14" s="1"/>
  <c r="AJ1109" i="14"/>
  <c r="AH1108" i="14"/>
  <c r="AJ1108" i="14" s="1"/>
  <c r="AC844" i="14"/>
  <c r="AH845" i="14"/>
  <c r="AH844" i="14" s="1"/>
  <c r="AJ844" i="14" s="1"/>
  <c r="AC1112" i="14"/>
  <c r="AH1113" i="14"/>
  <c r="AH1130" i="14"/>
  <c r="AC1129" i="14"/>
  <c r="AC995" i="14"/>
  <c r="AH996" i="14"/>
  <c r="AH995" i="14" s="1"/>
  <c r="AJ995" i="14" s="1"/>
  <c r="V72" i="14"/>
  <c r="Z86" i="14"/>
  <c r="V86" i="14" s="1"/>
  <c r="Z73" i="14"/>
  <c r="AH896" i="14"/>
  <c r="AC895" i="14"/>
  <c r="H622" i="14"/>
  <c r="AH935" i="14"/>
  <c r="AH934" i="14" s="1"/>
  <c r="AJ934" i="14" s="1"/>
  <c r="AC934" i="14"/>
  <c r="AH812" i="14"/>
  <c r="AH811" i="14" s="1"/>
  <c r="AC811" i="14"/>
  <c r="AC810" i="14" s="1"/>
  <c r="V145" i="14"/>
  <c r="Z146" i="14"/>
  <c r="AH59" i="14"/>
  <c r="AC58" i="14"/>
  <c r="AH260" i="14"/>
  <c r="AJ261" i="14"/>
  <c r="AH1661" i="14"/>
  <c r="AC1660" i="14"/>
  <c r="AH142" i="14"/>
  <c r="AH141" i="14" s="1"/>
  <c r="AC141" i="14"/>
  <c r="AC487" i="14"/>
  <c r="AH487" i="14" s="1"/>
  <c r="AJ487" i="14" s="1"/>
  <c r="AH488" i="14"/>
  <c r="AJ488" i="14" s="1"/>
  <c r="AH166" i="14"/>
  <c r="AJ166" i="14" s="1"/>
  <c r="AJ167" i="14"/>
  <c r="AH37" i="14"/>
  <c r="AC36" i="14"/>
  <c r="V49" i="14"/>
  <c r="Z50" i="14"/>
  <c r="AH445" i="14"/>
  <c r="AJ445" i="14" s="1"/>
  <c r="AC444" i="14"/>
  <c r="AH444" i="14" s="1"/>
  <c r="AJ444" i="14" s="1"/>
  <c r="H4" i="14"/>
  <c r="U5" i="14"/>
  <c r="AJ921" i="14"/>
  <c r="AH920" i="14"/>
  <c r="AJ920" i="14" s="1"/>
  <c r="AC53" i="14"/>
  <c r="AH774" i="14"/>
  <c r="AJ774" i="14" s="1"/>
  <c r="AC773" i="14"/>
  <c r="AH773" i="14" s="1"/>
  <c r="AJ773" i="14" s="1"/>
  <c r="AH1175" i="14"/>
  <c r="AJ1175" i="14" s="1"/>
  <c r="AJ1176" i="14"/>
  <c r="AH1225" i="14"/>
  <c r="AC1224" i="14"/>
  <c r="AC1215" i="14"/>
  <c r="AH1216" i="14"/>
  <c r="V126" i="14"/>
  <c r="Z129" i="14"/>
  <c r="V129" i="14" s="1"/>
  <c r="AH47" i="14"/>
  <c r="AJ47" i="14" s="1"/>
  <c r="AJ48" i="14"/>
  <c r="AH1250" i="14"/>
  <c r="AJ1250" i="14" s="1"/>
  <c r="AH671" i="14"/>
  <c r="AJ671" i="14" s="1"/>
  <c r="AC114" i="14"/>
  <c r="AH115" i="14"/>
  <c r="AH114" i="14" s="1"/>
  <c r="AH64" i="14"/>
  <c r="AC63" i="14"/>
  <c r="AC1662" i="14"/>
  <c r="H1128" i="14"/>
  <c r="U70" i="14"/>
  <c r="V31" i="14"/>
  <c r="Z35" i="14"/>
  <c r="V35" i="14" s="1"/>
  <c r="AH688" i="14"/>
  <c r="AJ688" i="14" s="1"/>
  <c r="AC687" i="14"/>
  <c r="AH498" i="14"/>
  <c r="AJ498" i="14" s="1"/>
  <c r="AC497" i="14"/>
  <c r="AH497" i="14" s="1"/>
  <c r="AJ497" i="14" s="1"/>
  <c r="AH919" i="14"/>
  <c r="AC918" i="14"/>
  <c r="AH713" i="14"/>
  <c r="AJ713" i="14" s="1"/>
  <c r="AC712" i="14"/>
  <c r="AH712" i="14" s="1"/>
  <c r="AJ712" i="14" s="1"/>
  <c r="AH503" i="14"/>
  <c r="AJ503" i="14" s="1"/>
  <c r="AC502" i="14"/>
  <c r="AH502" i="14" s="1"/>
  <c r="AJ502" i="14" s="1"/>
  <c r="G177" i="14"/>
  <c r="AH124" i="14"/>
  <c r="AH123" i="14" s="1"/>
  <c r="AC123" i="14"/>
  <c r="AC1027" i="14"/>
  <c r="AH1028" i="14"/>
  <c r="AH1027" i="14" s="1"/>
  <c r="AJ1027" i="14" s="1"/>
  <c r="AH1084" i="14"/>
  <c r="AC1083" i="14"/>
  <c r="AC1082" i="14" s="1"/>
  <c r="AC1099" i="14"/>
  <c r="AH1100" i="14"/>
  <c r="AC851" i="14"/>
  <c r="AH852" i="14"/>
  <c r="AH1000" i="14"/>
  <c r="AH999" i="14" s="1"/>
  <c r="AJ999" i="14" s="1"/>
  <c r="AC999" i="14"/>
  <c r="AC1378" i="14"/>
  <c r="AH1379" i="14"/>
  <c r="AH1213" i="14"/>
  <c r="AJ1213" i="14" s="1"/>
  <c r="AJ1214" i="14"/>
  <c r="AC1020" i="14"/>
  <c r="AH1021" i="14"/>
  <c r="AH1020" i="14" s="1"/>
  <c r="AJ1020" i="14" s="1"/>
  <c r="AH402" i="14"/>
  <c r="AC401" i="14"/>
  <c r="AH401" i="14" s="1"/>
  <c r="AJ401" i="14" s="1"/>
  <c r="AC853" i="14"/>
  <c r="AH854" i="14"/>
  <c r="U622" i="14"/>
  <c r="AJ1324" i="14"/>
  <c r="H1323" i="14"/>
  <c r="AJ237" i="14"/>
  <c r="Z140" i="14"/>
  <c r="V140" i="14" s="1"/>
  <c r="V136" i="14"/>
  <c r="AC99" i="14"/>
  <c r="AH100" i="14"/>
  <c r="AH99" i="14" s="1"/>
  <c r="AJ99" i="14" s="1"/>
  <c r="AC70" i="14"/>
  <c r="AH71" i="14"/>
  <c r="AH70" i="14" s="1"/>
  <c r="AJ70" i="14" s="1"/>
  <c r="AH266" i="14"/>
  <c r="AC265" i="14"/>
  <c r="AH265" i="14" s="1"/>
  <c r="AJ265" i="14" s="1"/>
  <c r="AC557" i="14"/>
  <c r="AH557" i="14" s="1"/>
  <c r="AJ557" i="14" s="1"/>
  <c r="H315" i="13"/>
  <c r="H281" i="13"/>
  <c r="H120" i="13"/>
  <c r="K120" i="13" s="1"/>
  <c r="K113" i="13"/>
  <c r="H56" i="13"/>
  <c r="K56" i="13" s="1"/>
  <c r="H214" i="13"/>
  <c r="K214" i="13" s="1"/>
  <c r="H310" i="13"/>
  <c r="H190" i="13"/>
  <c r="K190" i="13" s="1"/>
  <c r="H287" i="13"/>
  <c r="H251" i="13"/>
  <c r="H94" i="13"/>
  <c r="K94" i="13" s="1"/>
  <c r="H200" i="13"/>
  <c r="H270" i="13"/>
  <c r="H46" i="13"/>
  <c r="K46" i="13" s="1"/>
  <c r="H182" i="13"/>
  <c r="H27" i="13"/>
  <c r="H301" i="13"/>
  <c r="H206" i="13"/>
  <c r="H40" i="13"/>
  <c r="H175" i="13"/>
  <c r="H60" i="13"/>
  <c r="H169" i="13"/>
  <c r="H239" i="13"/>
  <c r="H131" i="13"/>
  <c r="K131" i="13" s="1"/>
  <c r="H150" i="13"/>
  <c r="H245" i="13"/>
  <c r="J245" i="13" l="1"/>
  <c r="K245" i="13"/>
  <c r="J281" i="13"/>
  <c r="J175" i="13"/>
  <c r="J178" i="13"/>
  <c r="J182" i="13"/>
  <c r="K182" i="13"/>
  <c r="J315" i="13"/>
  <c r="K315" i="13"/>
  <c r="J239" i="13"/>
  <c r="K239" i="13"/>
  <c r="J169" i="13"/>
  <c r="K169" i="13"/>
  <c r="J251" i="13"/>
  <c r="J310" i="13"/>
  <c r="K310" i="13"/>
  <c r="J301" i="13"/>
  <c r="K301" i="13"/>
  <c r="J270" i="13"/>
  <c r="K270" i="13"/>
  <c r="J257" i="13"/>
  <c r="J295" i="13"/>
  <c r="K295" i="13"/>
  <c r="J287" i="13"/>
  <c r="K287" i="13"/>
  <c r="AJ6" i="14"/>
  <c r="J131" i="13"/>
  <c r="J84" i="13"/>
  <c r="J120" i="13"/>
  <c r="J94" i="13"/>
  <c r="J27" i="13"/>
  <c r="J163" i="13"/>
  <c r="J60" i="13"/>
  <c r="J150" i="13"/>
  <c r="J40" i="13"/>
  <c r="AJ156" i="14"/>
  <c r="AC1730" i="14"/>
  <c r="H291" i="13"/>
  <c r="U658" i="14"/>
  <c r="J46" i="13"/>
  <c r="H103" i="13"/>
  <c r="J113" i="13"/>
  <c r="J77" i="13"/>
  <c r="J56" i="13"/>
  <c r="J200" i="13"/>
  <c r="J222" i="13"/>
  <c r="J43" i="13"/>
  <c r="J18" i="13"/>
  <c r="H155" i="13"/>
  <c r="K155" i="13" s="1"/>
  <c r="J231" i="13"/>
  <c r="J206" i="13"/>
  <c r="J190" i="13"/>
  <c r="J214" i="13"/>
  <c r="U4" i="14"/>
  <c r="G888" i="14"/>
  <c r="AJ9" i="14"/>
  <c r="H75" i="13"/>
  <c r="K75" i="13" s="1"/>
  <c r="G658" i="14"/>
  <c r="AJ915" i="14"/>
  <c r="U52" i="14"/>
  <c r="AJ899" i="14"/>
  <c r="AH898" i="14"/>
  <c r="AJ898" i="14" s="1"/>
  <c r="AJ1725" i="14"/>
  <c r="AH1724" i="14"/>
  <c r="AJ1724" i="14" s="1"/>
  <c r="AC1699" i="14"/>
  <c r="AC1698" i="14" s="1"/>
  <c r="AH143" i="14"/>
  <c r="AJ143" i="14" s="1"/>
  <c r="H704" i="14"/>
  <c r="U888" i="14"/>
  <c r="G1081" i="14"/>
  <c r="AC689" i="14"/>
  <c r="AH689" i="14" s="1"/>
  <c r="AJ689" i="14" s="1"/>
  <c r="AH690" i="14"/>
  <c r="AJ690" i="14" s="1"/>
  <c r="AH926" i="14"/>
  <c r="AJ926" i="14" s="1"/>
  <c r="AJ1115" i="14"/>
  <c r="AC622" i="14"/>
  <c r="AC683" i="14"/>
  <c r="AH683" i="14" s="1"/>
  <c r="AJ683" i="14" s="1"/>
  <c r="U177" i="14"/>
  <c r="U176" i="14" s="1"/>
  <c r="U1081" i="14"/>
  <c r="AC1071" i="14"/>
  <c r="H36" i="13"/>
  <c r="K36" i="13" s="1"/>
  <c r="G3" i="14"/>
  <c r="U152" i="14"/>
  <c r="AC1232" i="14"/>
  <c r="AC152" i="14"/>
  <c r="AH922" i="14"/>
  <c r="AJ922" i="14" s="1"/>
  <c r="G176" i="14"/>
  <c r="AC4" i="14"/>
  <c r="AH1744" i="14"/>
  <c r="AH1743" i="14" s="1"/>
  <c r="AJ1743" i="14" s="1"/>
  <c r="AC892" i="14"/>
  <c r="AC670" i="14"/>
  <c r="AH670" i="14" s="1"/>
  <c r="AJ670" i="14" s="1"/>
  <c r="AH1040" i="14"/>
  <c r="AJ1040" i="14" s="1"/>
  <c r="AJ1041" i="14"/>
  <c r="AH1740" i="14"/>
  <c r="AJ1740" i="14" s="1"/>
  <c r="AJ1741" i="14"/>
  <c r="H888" i="14"/>
  <c r="AH1116" i="14"/>
  <c r="AJ1116" i="14" s="1"/>
  <c r="AJ1117" i="14"/>
  <c r="AC1024" i="14"/>
  <c r="AC1098" i="14"/>
  <c r="AJ903" i="14"/>
  <c r="AH902" i="14"/>
  <c r="AJ902" i="14" s="1"/>
  <c r="H1081" i="14"/>
  <c r="AC913" i="14"/>
  <c r="AC1223" i="14"/>
  <c r="AC692" i="14"/>
  <c r="AH692" i="14" s="1"/>
  <c r="AJ692" i="14" s="1"/>
  <c r="AH693" i="14"/>
  <c r="AJ693" i="14" s="1"/>
  <c r="AJ1088" i="14"/>
  <c r="AH1087" i="14"/>
  <c r="AJ1087" i="14" s="1"/>
  <c r="AC848" i="14"/>
  <c r="AH1738" i="14"/>
  <c r="AJ1739" i="14"/>
  <c r="H658" i="14"/>
  <c r="AJ706" i="14"/>
  <c r="AH705" i="14"/>
  <c r="AJ705" i="14" s="1"/>
  <c r="AJ917" i="14"/>
  <c r="AH916" i="14"/>
  <c r="AJ916" i="14" s="1"/>
  <c r="I177" i="14"/>
  <c r="H176" i="14"/>
  <c r="I176" i="14" s="1"/>
  <c r="AJ1307" i="14"/>
  <c r="AH1306" i="14"/>
  <c r="AJ1306" i="14" s="1"/>
  <c r="AH1079" i="14"/>
  <c r="AJ1080" i="14"/>
  <c r="AJ153" i="14"/>
  <c r="AH660" i="14"/>
  <c r="AJ660" i="14" s="1"/>
  <c r="AC659" i="14"/>
  <c r="AC835" i="14"/>
  <c r="AH1290" i="14"/>
  <c r="AJ1290" i="14" s="1"/>
  <c r="AJ1291" i="14"/>
  <c r="AJ1100" i="14"/>
  <c r="AH1099" i="14"/>
  <c r="AJ1701" i="14"/>
  <c r="AH1700" i="14"/>
  <c r="AJ161" i="14"/>
  <c r="AH160" i="14"/>
  <c r="AJ160" i="14" s="1"/>
  <c r="AJ1084" i="14"/>
  <c r="AH1083" i="14"/>
  <c r="AJ59" i="14"/>
  <c r="AH58" i="14"/>
  <c r="AJ58" i="14" s="1"/>
  <c r="AH44" i="14"/>
  <c r="AJ44" i="14" s="1"/>
  <c r="AJ45" i="14"/>
  <c r="AH906" i="14"/>
  <c r="AJ906" i="14" s="1"/>
  <c r="AJ907" i="14"/>
  <c r="Z147" i="14"/>
  <c r="V146" i="14"/>
  <c r="AJ43" i="14"/>
  <c r="AH41" i="14"/>
  <c r="AJ41" i="14" s="1"/>
  <c r="AH924" i="14"/>
  <c r="AJ924" i="14" s="1"/>
  <c r="AJ925" i="14"/>
  <c r="AC177" i="14"/>
  <c r="AH178" i="14"/>
  <c r="AH867" i="14"/>
  <c r="AJ868" i="14"/>
  <c r="AJ843" i="14"/>
  <c r="AH842" i="14"/>
  <c r="AJ842" i="14" s="1"/>
  <c r="AJ260" i="14"/>
  <c r="AJ8" i="14"/>
  <c r="AH4" i="14"/>
  <c r="AC615" i="14"/>
  <c r="AH615" i="14" s="1"/>
  <c r="AJ615" i="14" s="1"/>
  <c r="AH616" i="14"/>
  <c r="AJ616" i="14" s="1"/>
  <c r="AH1025" i="14"/>
  <c r="AJ1026" i="14"/>
  <c r="V118" i="14"/>
  <c r="Z119" i="14"/>
  <c r="V119" i="14" s="1"/>
  <c r="AJ811" i="14"/>
  <c r="AH810" i="14"/>
  <c r="AJ810" i="14" s="1"/>
  <c r="AH1215" i="14"/>
  <c r="AJ1215" i="14" s="1"/>
  <c r="AJ1216" i="14"/>
  <c r="AC1128" i="14"/>
  <c r="AH890" i="14"/>
  <c r="AJ891" i="14"/>
  <c r="AJ1138" i="14"/>
  <c r="AH1137" i="14"/>
  <c r="AJ1137" i="14" s="1"/>
  <c r="AJ1379" i="14"/>
  <c r="AH1378" i="14"/>
  <c r="AJ1378" i="14" s="1"/>
  <c r="AJ1130" i="14"/>
  <c r="AH1129" i="14"/>
  <c r="AH1280" i="14"/>
  <c r="AJ1280" i="14" s="1"/>
  <c r="AJ1281" i="14"/>
  <c r="AH769" i="14"/>
  <c r="AJ769" i="14" s="1"/>
  <c r="AJ770" i="14"/>
  <c r="AJ1195" i="14"/>
  <c r="AH1194" i="14"/>
  <c r="AJ1194" i="14" s="1"/>
  <c r="AC930" i="14"/>
  <c r="AJ1228" i="14"/>
  <c r="AH1227" i="14"/>
  <c r="AJ1227" i="14" s="1"/>
  <c r="AC695" i="14"/>
  <c r="AH695" i="14" s="1"/>
  <c r="AJ695" i="14" s="1"/>
  <c r="AH696" i="14"/>
  <c r="AJ696" i="14" s="1"/>
  <c r="AC1323" i="14"/>
  <c r="AH931" i="14"/>
  <c r="AJ932" i="14"/>
  <c r="AJ53" i="14"/>
  <c r="AJ914" i="14"/>
  <c r="AJ854" i="14"/>
  <c r="AH853" i="14"/>
  <c r="AJ853" i="14" s="1"/>
  <c r="AJ919" i="14"/>
  <c r="AH918" i="14"/>
  <c r="AJ918" i="14" s="1"/>
  <c r="AJ1225" i="14"/>
  <c r="AH1224" i="14"/>
  <c r="AH1122" i="14"/>
  <c r="AJ1122" i="14" s="1"/>
  <c r="AJ1123" i="14"/>
  <c r="AJ1090" i="14"/>
  <c r="AH1076" i="14"/>
  <c r="AJ1077" i="14"/>
  <c r="AJ1707" i="14"/>
  <c r="AH263" i="14"/>
  <c r="AJ263" i="14" s="1"/>
  <c r="AC247" i="14"/>
  <c r="AC686" i="14"/>
  <c r="AH686" i="14" s="1"/>
  <c r="AJ686" i="14" s="1"/>
  <c r="AH687" i="14"/>
  <c r="AJ687" i="14" s="1"/>
  <c r="Z51" i="14"/>
  <c r="V51" i="14" s="1"/>
  <c r="V50" i="14"/>
  <c r="AH893" i="14"/>
  <c r="AJ894" i="14"/>
  <c r="AH836" i="14"/>
  <c r="AJ837" i="14"/>
  <c r="AJ37" i="14"/>
  <c r="AH36" i="14"/>
  <c r="AJ1329" i="14"/>
  <c r="AH1326" i="14"/>
  <c r="H3" i="14"/>
  <c r="AJ1661" i="14"/>
  <c r="AH1660" i="14"/>
  <c r="AJ1660" i="14" s="1"/>
  <c r="AJ1735" i="14"/>
  <c r="AH1734" i="14"/>
  <c r="AJ1158" i="14"/>
  <c r="AH1156" i="14"/>
  <c r="AJ1156" i="14" s="1"/>
  <c r="AH1038" i="14"/>
  <c r="AJ1038" i="14" s="1"/>
  <c r="AJ1039" i="14"/>
  <c r="AH1072" i="14"/>
  <c r="AJ1073" i="14"/>
  <c r="V102" i="14"/>
  <c r="Z109" i="14"/>
  <c r="V109" i="14" s="1"/>
  <c r="Z103" i="14"/>
  <c r="Z87" i="14"/>
  <c r="V87" i="14" s="1"/>
  <c r="Z74" i="14"/>
  <c r="V73" i="14"/>
  <c r="AH622" i="14"/>
  <c r="AJ622" i="14" s="1"/>
  <c r="AJ623" i="14"/>
  <c r="AC52" i="14"/>
  <c r="AJ839" i="14"/>
  <c r="AH838" i="14"/>
  <c r="AJ838" i="14" s="1"/>
  <c r="AH63" i="14"/>
  <c r="AJ63" i="14" s="1"/>
  <c r="AJ64" i="14"/>
  <c r="AJ1113" i="14"/>
  <c r="AH1112" i="14"/>
  <c r="AJ1112" i="14" s="1"/>
  <c r="AH1125" i="14"/>
  <c r="AJ1125" i="14" s="1"/>
  <c r="AJ1126" i="14"/>
  <c r="AH851" i="14"/>
  <c r="AJ852" i="14"/>
  <c r="AH895" i="14"/>
  <c r="AJ895" i="14" s="1"/>
  <c r="AJ896" i="14"/>
  <c r="AH710" i="14"/>
  <c r="AC709" i="14"/>
  <c r="AH928" i="14"/>
  <c r="AJ928" i="14" s="1"/>
  <c r="AJ929" i="14"/>
  <c r="AJ1134" i="14"/>
  <c r="AH1133" i="14"/>
  <c r="AJ1133" i="14" s="1"/>
  <c r="AJ1233" i="14"/>
  <c r="AH1232" i="14"/>
  <c r="AJ1232" i="14" s="1"/>
  <c r="H306" i="13"/>
  <c r="H188" i="13"/>
  <c r="H237" i="13"/>
  <c r="K237" i="13" s="1"/>
  <c r="H5" i="13"/>
  <c r="K5" i="13" s="1"/>
  <c r="H174" i="13"/>
  <c r="H269" i="13"/>
  <c r="H119" i="13"/>
  <c r="K119" i="13" s="1"/>
  <c r="H83" i="13"/>
  <c r="K83" i="13" s="1"/>
  <c r="K103" i="13" l="1"/>
  <c r="H102" i="13"/>
  <c r="K102" i="13" s="1"/>
  <c r="H249" i="13"/>
  <c r="J174" i="13"/>
  <c r="J269" i="13"/>
  <c r="K269" i="13"/>
  <c r="J188" i="13"/>
  <c r="K188" i="13"/>
  <c r="J306" i="13"/>
  <c r="K306" i="13"/>
  <c r="J291" i="13"/>
  <c r="K291" i="13"/>
  <c r="J5" i="13"/>
  <c r="J155" i="13"/>
  <c r="J83" i="13"/>
  <c r="H32" i="13"/>
  <c r="K32" i="13" s="1"/>
  <c r="J119" i="13"/>
  <c r="G703" i="14"/>
  <c r="J36" i="13"/>
  <c r="J237" i="13"/>
  <c r="H69" i="13"/>
  <c r="K69" i="13" s="1"/>
  <c r="J75" i="13"/>
  <c r="J103" i="13"/>
  <c r="U3" i="14"/>
  <c r="U2" i="14" s="1"/>
  <c r="AH247" i="14"/>
  <c r="AJ247" i="14" s="1"/>
  <c r="AH1706" i="14"/>
  <c r="AJ1706" i="14" s="1"/>
  <c r="U703" i="14"/>
  <c r="AJ1744" i="14"/>
  <c r="AC176" i="14"/>
  <c r="G2" i="14"/>
  <c r="H703" i="14"/>
  <c r="AH1086" i="14"/>
  <c r="AJ1086" i="14" s="1"/>
  <c r="AC888" i="14"/>
  <c r="AC3" i="14"/>
  <c r="H212" i="13"/>
  <c r="AC1081" i="14"/>
  <c r="AH1737" i="14"/>
  <c r="AJ1737" i="14" s="1"/>
  <c r="AJ1738" i="14"/>
  <c r="AJ1734" i="14"/>
  <c r="AJ1025" i="14"/>
  <c r="AH1024" i="14"/>
  <c r="AJ1024" i="14" s="1"/>
  <c r="AJ931" i="14"/>
  <c r="AH930" i="14"/>
  <c r="AJ930" i="14" s="1"/>
  <c r="AJ836" i="14"/>
  <c r="AH835" i="14"/>
  <c r="AJ835" i="14" s="1"/>
  <c r="Z104" i="14"/>
  <c r="Z110" i="14"/>
  <c r="V110" i="14" s="1"/>
  <c r="V103" i="14"/>
  <c r="AH152" i="14"/>
  <c r="AJ152" i="14" s="1"/>
  <c r="H2" i="14"/>
  <c r="I3" i="14"/>
  <c r="AH1075" i="14"/>
  <c r="AJ1075" i="14" s="1"/>
  <c r="AJ1076" i="14"/>
  <c r="AH913" i="14"/>
  <c r="AJ913" i="14" s="1"/>
  <c r="AH1223" i="14"/>
  <c r="AJ1223" i="14" s="1"/>
  <c r="AJ1224" i="14"/>
  <c r="AH659" i="14"/>
  <c r="AJ659" i="14" s="1"/>
  <c r="AC658" i="14"/>
  <c r="AH658" i="14" s="1"/>
  <c r="AJ658" i="14" s="1"/>
  <c r="AH1699" i="14"/>
  <c r="AJ1700" i="14"/>
  <c r="AC704" i="14"/>
  <c r="AJ1072" i="14"/>
  <c r="AJ36" i="14"/>
  <c r="AH27" i="14"/>
  <c r="AJ27" i="14" s="1"/>
  <c r="AC682" i="14"/>
  <c r="AH682" i="14" s="1"/>
  <c r="AJ682" i="14" s="1"/>
  <c r="AJ4" i="14"/>
  <c r="AH1098" i="14"/>
  <c r="AJ1098" i="14" s="1"/>
  <c r="AJ1099" i="14"/>
  <c r="AJ851" i="14"/>
  <c r="AH848" i="14"/>
  <c r="AJ848" i="14" s="1"/>
  <c r="AH889" i="14"/>
  <c r="AJ890" i="14"/>
  <c r="AJ1326" i="14"/>
  <c r="AH1323" i="14"/>
  <c r="AJ1323" i="14" s="1"/>
  <c r="AJ1129" i="14"/>
  <c r="AH1128" i="14"/>
  <c r="AJ1128" i="14" s="1"/>
  <c r="Z148" i="14"/>
  <c r="V147" i="14"/>
  <c r="AJ1079" i="14"/>
  <c r="AH1078" i="14"/>
  <c r="AJ1078" i="14" s="1"/>
  <c r="AJ710" i="14"/>
  <c r="AH709" i="14"/>
  <c r="AH892" i="14"/>
  <c r="AJ892" i="14" s="1"/>
  <c r="AJ893" i="14"/>
  <c r="Z75" i="14"/>
  <c r="V74" i="14"/>
  <c r="Z88" i="14"/>
  <c r="V88" i="14" s="1"/>
  <c r="AH52" i="14"/>
  <c r="AJ52" i="14" s="1"/>
  <c r="AJ867" i="14"/>
  <c r="AH866" i="14"/>
  <c r="AJ866" i="14" s="1"/>
  <c r="AJ1083" i="14"/>
  <c r="AH1082" i="14"/>
  <c r="AH177" i="14"/>
  <c r="AJ178" i="14"/>
  <c r="J249" i="13" l="1"/>
  <c r="K249" i="13"/>
  <c r="J212" i="13"/>
  <c r="K212" i="13"/>
  <c r="J102" i="13"/>
  <c r="J69" i="13"/>
  <c r="J32" i="13"/>
  <c r="H4" i="13"/>
  <c r="H314" i="13"/>
  <c r="AH1730" i="14"/>
  <c r="AJ1730" i="14" s="1"/>
  <c r="AC703" i="14"/>
  <c r="AH3" i="14"/>
  <c r="AJ3" i="14" s="1"/>
  <c r="H82" i="13"/>
  <c r="K82" i="13" s="1"/>
  <c r="AJ889" i="14"/>
  <c r="AH888" i="14"/>
  <c r="AJ888" i="14" s="1"/>
  <c r="AJ709" i="14"/>
  <c r="AH704" i="14"/>
  <c r="Z149" i="14"/>
  <c r="V148" i="14"/>
  <c r="AH1071" i="14"/>
  <c r="AJ1071" i="14" s="1"/>
  <c r="V75" i="14"/>
  <c r="Z76" i="14"/>
  <c r="Z89" i="14"/>
  <c r="V89" i="14" s="1"/>
  <c r="AH1698" i="14"/>
  <c r="AJ1698" i="14" s="1"/>
  <c r="AJ1699" i="14"/>
  <c r="AJ177" i="14"/>
  <c r="AH176" i="14"/>
  <c r="AJ176" i="14" s="1"/>
  <c r="AJ1082" i="14"/>
  <c r="AH1081" i="14"/>
  <c r="AJ1081" i="14" s="1"/>
  <c r="V104" i="14"/>
  <c r="Z111" i="14"/>
  <c r="V111" i="14" s="1"/>
  <c r="Z105" i="14"/>
  <c r="AC2" i="14"/>
  <c r="J314" i="13" l="1"/>
  <c r="K314" i="13"/>
  <c r="J4" i="13"/>
  <c r="K4" i="13"/>
  <c r="J82" i="13"/>
  <c r="H181" i="13"/>
  <c r="K181" i="13" s="1"/>
  <c r="Z112" i="14"/>
  <c r="V112" i="14" s="1"/>
  <c r="Z106" i="14"/>
  <c r="V105" i="14"/>
  <c r="Z90" i="14"/>
  <c r="V90" i="14" s="1"/>
  <c r="V76" i="14"/>
  <c r="Z77" i="14"/>
  <c r="Z150" i="14"/>
  <c r="V149" i="14"/>
  <c r="AJ704" i="14"/>
  <c r="AH703" i="14"/>
  <c r="AJ703" i="14" s="1"/>
  <c r="AH2" i="14"/>
  <c r="J181" i="13" l="1"/>
  <c r="AK2" i="14"/>
  <c r="AJ2" i="14"/>
  <c r="V106" i="14"/>
  <c r="Z113" i="14"/>
  <c r="V113" i="14" s="1"/>
  <c r="Z151" i="14"/>
  <c r="V151" i="14" s="1"/>
  <c r="V150" i="14"/>
  <c r="Z78" i="14"/>
  <c r="V77" i="14"/>
  <c r="Z91" i="14"/>
  <c r="V91" i="14" s="1"/>
  <c r="V78" i="14" l="1"/>
  <c r="Z92" i="14"/>
  <c r="V92" i="14" s="1"/>
  <c r="Z79" i="14"/>
  <c r="Z93" i="14" l="1"/>
  <c r="V93" i="14" s="1"/>
  <c r="Z80" i="14"/>
  <c r="V79" i="14"/>
  <c r="Z81" i="14" l="1"/>
  <c r="V80" i="14"/>
  <c r="Z94" i="14"/>
  <c r="V94" i="14" s="1"/>
  <c r="V81" i="14" l="1"/>
  <c r="Z95" i="14"/>
  <c r="V95" i="14" s="1"/>
  <c r="Z82" i="14"/>
  <c r="Z96" i="14" l="1"/>
  <c r="V96" i="14" s="1"/>
  <c r="V82" i="14"/>
  <c r="Z83" i="14"/>
  <c r="Z84" i="14" l="1"/>
  <c r="Z97" i="14"/>
  <c r="V97" i="14" s="1"/>
  <c r="V83" i="14"/>
  <c r="V84" i="14" l="1"/>
  <c r="Z98" i="14"/>
  <c r="V98" i="14" s="1"/>
  <c r="AH2538" i="11" l="1"/>
  <c r="AH2537" i="11"/>
  <c r="AH2536" i="11"/>
  <c r="AH2535" i="11"/>
  <c r="AH2534" i="11"/>
  <c r="AH2533" i="11"/>
  <c r="AH2532" i="11"/>
  <c r="AH2531" i="11"/>
  <c r="AH2530" i="11"/>
  <c r="AH2529" i="11"/>
  <c r="AH2528" i="11"/>
  <c r="AH2527" i="11"/>
  <c r="AH2526" i="11"/>
  <c r="AH2525" i="11"/>
  <c r="AH2524" i="11"/>
  <c r="AH2523" i="11"/>
  <c r="AH2522" i="11"/>
  <c r="AH2521" i="11"/>
  <c r="AH2520" i="11"/>
  <c r="AH2519" i="11"/>
  <c r="AH2518" i="11"/>
  <c r="AH2517" i="11"/>
  <c r="AH2516" i="11"/>
  <c r="AH2515" i="11"/>
  <c r="AH2514" i="11"/>
  <c r="AH2513" i="11"/>
  <c r="AH2512" i="11"/>
  <c r="AH2511" i="11"/>
  <c r="AH2510" i="11"/>
  <c r="AH2509" i="11"/>
  <c r="AH2508" i="11"/>
  <c r="AH2507" i="11"/>
  <c r="AH2506" i="11"/>
  <c r="AH2505" i="11"/>
  <c r="AH2504" i="11"/>
  <c r="AH2503" i="11"/>
  <c r="AH2502" i="11"/>
  <c r="AH2501" i="11"/>
  <c r="AH2500" i="11"/>
  <c r="AH2499" i="11"/>
  <c r="AH2498" i="11"/>
  <c r="AH2497" i="11"/>
  <c r="AH2496" i="11"/>
  <c r="AH2495" i="11"/>
  <c r="AH2494" i="11"/>
  <c r="AH2493" i="11"/>
  <c r="AH2492" i="11"/>
  <c r="AH2491" i="11"/>
  <c r="AH2490" i="11"/>
  <c r="AH2489" i="11"/>
  <c r="AH2488" i="11"/>
  <c r="AH2487" i="11"/>
  <c r="AH2486" i="11"/>
  <c r="AH2485" i="11"/>
  <c r="AH2484" i="11"/>
  <c r="AH2483" i="11"/>
  <c r="AH2482" i="11"/>
  <c r="AH2481" i="11"/>
  <c r="AH2480" i="11"/>
  <c r="AH2479" i="11"/>
  <c r="AH2478" i="11"/>
  <c r="AH2477" i="11"/>
  <c r="AH2476" i="11"/>
  <c r="AH2475" i="11"/>
  <c r="AH2474" i="11"/>
  <c r="AH2473" i="11"/>
  <c r="AH2472" i="11"/>
  <c r="AH2471" i="11"/>
  <c r="AH2470" i="11"/>
  <c r="AH2469" i="11"/>
  <c r="AH2468" i="11"/>
  <c r="AH2467" i="11"/>
  <c r="AH2466" i="11"/>
  <c r="AH2465" i="11"/>
  <c r="AH2464" i="11"/>
  <c r="AH2463" i="11"/>
  <c r="AH2462" i="11"/>
  <c r="AH2461" i="11"/>
  <c r="AH2460" i="11"/>
  <c r="AH2459" i="11"/>
  <c r="AH2458" i="11"/>
  <c r="AH2457" i="11"/>
  <c r="AH2456" i="11"/>
  <c r="AH2455" i="11"/>
  <c r="AH2454" i="11"/>
  <c r="AH2453" i="11"/>
  <c r="AH2452" i="11"/>
  <c r="AH2451" i="11"/>
  <c r="AH2450" i="11"/>
  <c r="AH2449" i="11"/>
  <c r="AH2448" i="11"/>
  <c r="AH2447" i="11"/>
  <c r="AH2446" i="11"/>
  <c r="AH2445" i="11"/>
  <c r="AH2444" i="11"/>
  <c r="AH2443" i="11"/>
  <c r="AH2442" i="11"/>
  <c r="AH2441" i="11"/>
  <c r="AH2440" i="11"/>
  <c r="AH2439" i="11"/>
  <c r="AH2438" i="11"/>
  <c r="AH2437" i="11"/>
  <c r="AH2436" i="11"/>
  <c r="AH2435" i="11"/>
  <c r="AH2434" i="11"/>
  <c r="AH2433" i="11"/>
  <c r="AH2432" i="11"/>
  <c r="AH2431" i="11"/>
  <c r="AH2430" i="11"/>
  <c r="AH2429" i="11"/>
  <c r="AH2428" i="11"/>
  <c r="AH2427" i="11"/>
  <c r="AH2426" i="11"/>
  <c r="AH2425" i="11"/>
  <c r="AH2424" i="11"/>
  <c r="AH2423" i="11"/>
  <c r="AH2422" i="11"/>
  <c r="AH2421" i="11"/>
  <c r="AH2420" i="11"/>
  <c r="AH2419" i="11"/>
  <c r="AH2418" i="11"/>
  <c r="AH2417" i="11"/>
  <c r="AH2416" i="11"/>
  <c r="AH2415" i="11"/>
  <c r="AH2414" i="11"/>
  <c r="AH2413" i="11"/>
  <c r="AH2412" i="11"/>
  <c r="AH2411" i="11"/>
  <c r="AH2410" i="11"/>
  <c r="AH2409" i="11"/>
  <c r="AH2408" i="11"/>
  <c r="AH2407" i="11"/>
  <c r="AH2406" i="11"/>
  <c r="AH2405" i="11"/>
  <c r="AH2404" i="11"/>
  <c r="AH2403" i="11"/>
  <c r="AH2402" i="11"/>
  <c r="AH2401" i="11"/>
  <c r="AH2400" i="11"/>
  <c r="AH2399" i="11"/>
  <c r="AH2398" i="11"/>
  <c r="AH2397" i="11"/>
  <c r="AH2396" i="11"/>
  <c r="AH2395" i="11"/>
  <c r="AH2394" i="11"/>
  <c r="AH2393" i="11"/>
  <c r="AH2392" i="11"/>
  <c r="AH2391" i="11"/>
  <c r="AH2390" i="11"/>
  <c r="AH2389" i="11"/>
  <c r="AH2388" i="11"/>
  <c r="AH2387" i="11"/>
  <c r="AH2386" i="11"/>
  <c r="AH2385" i="11"/>
  <c r="AH2384" i="11"/>
  <c r="AH2383" i="11"/>
  <c r="AH2382" i="11"/>
  <c r="AH2381" i="11"/>
  <c r="AH2380" i="11"/>
  <c r="AH2379" i="11"/>
  <c r="AH2378" i="11"/>
  <c r="AH2377" i="11"/>
  <c r="AH2376" i="11"/>
  <c r="AH2375" i="11"/>
  <c r="AH2374" i="11"/>
  <c r="AH2373" i="11"/>
  <c r="AH2372" i="11"/>
  <c r="AH2371" i="11"/>
  <c r="AH2370" i="11"/>
  <c r="AH2369" i="11"/>
  <c r="AH2368" i="11"/>
  <c r="AH2367" i="11"/>
  <c r="AH2366" i="11"/>
  <c r="AH2365" i="11"/>
  <c r="AH2364" i="11"/>
  <c r="AH2363" i="11"/>
  <c r="AH2362" i="11"/>
  <c r="AH2361" i="11"/>
  <c r="AH2360" i="11"/>
  <c r="AH2359" i="11"/>
  <c r="AH2358" i="11"/>
  <c r="AH2357" i="11"/>
  <c r="AH2356" i="11"/>
  <c r="AH2355" i="11"/>
  <c r="AH2354" i="11"/>
  <c r="AH2353" i="11"/>
  <c r="AH2352" i="11"/>
  <c r="AH2351" i="11"/>
  <c r="AH2350" i="11"/>
  <c r="AH2349" i="11"/>
  <c r="AH2348" i="11"/>
  <c r="AH2347" i="11"/>
  <c r="AH2346" i="11"/>
  <c r="AH2345" i="11"/>
  <c r="AH2344" i="11"/>
  <c r="AH2343" i="11"/>
  <c r="AH2342" i="11"/>
  <c r="AH2341" i="11"/>
  <c r="AH2340" i="11"/>
  <c r="AH2339" i="11"/>
  <c r="AH2338" i="11"/>
  <c r="AH2337" i="11"/>
  <c r="AH2336" i="11"/>
  <c r="AH2335" i="11"/>
  <c r="AH2334" i="11"/>
  <c r="AH2333" i="11"/>
  <c r="AH2332" i="11"/>
  <c r="AH2331" i="11"/>
  <c r="AH2330" i="11"/>
  <c r="AH2329" i="11"/>
  <c r="AH2328" i="11"/>
  <c r="AH2327" i="11"/>
  <c r="AH2326" i="11"/>
  <c r="AH2325" i="11"/>
  <c r="AH2324" i="11"/>
  <c r="AH2323" i="11"/>
  <c r="AH2322" i="11"/>
  <c r="AH2321" i="11"/>
  <c r="AH2320" i="11"/>
  <c r="AH2319" i="11"/>
  <c r="AH2318" i="11"/>
  <c r="AH2317" i="11"/>
  <c r="AH2316" i="11"/>
  <c r="AH2315" i="11"/>
  <c r="AH2314" i="11"/>
  <c r="AH2313" i="11"/>
  <c r="AH2312" i="11"/>
  <c r="AH2311" i="11"/>
  <c r="AH2310" i="11"/>
  <c r="AH2309" i="11"/>
  <c r="AH2308" i="11"/>
  <c r="AH2307" i="11"/>
  <c r="AH2306" i="11"/>
  <c r="AH2305" i="11"/>
  <c r="AH2304" i="11"/>
  <c r="AH2303" i="11"/>
  <c r="AH2302" i="11"/>
  <c r="AH2301" i="11"/>
  <c r="AH2300" i="11"/>
  <c r="AH2299" i="11"/>
  <c r="AH2298" i="11"/>
  <c r="AH2297" i="11"/>
  <c r="AH2296" i="11"/>
  <c r="AH2295" i="11"/>
  <c r="AH2294" i="11"/>
  <c r="AH2293" i="11"/>
  <c r="AH2292" i="11"/>
  <c r="AH2291" i="11"/>
  <c r="AH2290" i="11"/>
  <c r="AH2289" i="11"/>
  <c r="AH2288" i="11"/>
  <c r="AH2287" i="11"/>
  <c r="AH2286" i="11"/>
  <c r="AH2285" i="11"/>
  <c r="AH2284" i="11"/>
  <c r="AH2283" i="11"/>
  <c r="AH2282" i="11"/>
  <c r="AH2281" i="11"/>
  <c r="AH2280" i="11"/>
  <c r="AH2279" i="11"/>
  <c r="AH2278" i="11"/>
  <c r="AH2277" i="11"/>
  <c r="AH2276" i="11"/>
  <c r="AH2275" i="11"/>
  <c r="AH2274" i="11"/>
  <c r="AH2273" i="11"/>
  <c r="AH2272" i="11"/>
  <c r="AH2271" i="11"/>
  <c r="AH2270" i="11"/>
  <c r="AH2269" i="11"/>
  <c r="AH2268" i="11"/>
  <c r="AH2267" i="11"/>
  <c r="AH2266" i="11"/>
  <c r="AH2265" i="11"/>
  <c r="AH2264" i="11"/>
  <c r="AH2263" i="11"/>
  <c r="AH2262" i="11"/>
  <c r="AH2261" i="11"/>
  <c r="AH2260" i="11"/>
  <c r="AH2259" i="11"/>
  <c r="AH2258" i="11"/>
  <c r="AH2257" i="11"/>
  <c r="AH2256" i="11"/>
  <c r="AH2255" i="11"/>
  <c r="AH2254" i="11"/>
  <c r="AH2253" i="11"/>
  <c r="AH2252" i="11"/>
  <c r="AH2251" i="11"/>
  <c r="AH2250" i="11"/>
  <c r="AH2249" i="11"/>
  <c r="AH2248" i="11"/>
  <c r="AH2247" i="11"/>
  <c r="AH2246" i="11"/>
  <c r="AH2245" i="11"/>
  <c r="AH2244" i="11"/>
  <c r="AH2243" i="11"/>
  <c r="AH2242" i="11"/>
  <c r="AH2241" i="11"/>
  <c r="AH2240" i="11"/>
  <c r="AH2239" i="11"/>
  <c r="AH2238" i="11"/>
  <c r="AH2237" i="11"/>
  <c r="AH2236" i="11"/>
  <c r="AH2235" i="11"/>
  <c r="AH2234" i="11"/>
  <c r="AH2233" i="11"/>
  <c r="AH2232" i="11"/>
  <c r="AH2231" i="11"/>
  <c r="AH2230" i="11"/>
  <c r="AH2229" i="11"/>
  <c r="AH2228" i="11"/>
  <c r="AH2227" i="11"/>
  <c r="AH2226" i="11"/>
  <c r="AH2225" i="11"/>
  <c r="AH2224" i="11"/>
  <c r="AH2223" i="11"/>
  <c r="AH2222" i="11"/>
  <c r="AH2221" i="11"/>
  <c r="AH2220" i="11"/>
  <c r="AH2219" i="11"/>
  <c r="AH2218" i="11"/>
  <c r="AH2217" i="11"/>
  <c r="AH2216" i="11"/>
  <c r="AH2215" i="11"/>
  <c r="AH2214" i="11"/>
  <c r="AH2213" i="11"/>
  <c r="AH2212" i="11"/>
  <c r="AH2211" i="11"/>
  <c r="AH2210" i="11"/>
  <c r="AH2209" i="11"/>
  <c r="AH2208" i="11"/>
  <c r="AH2207" i="11"/>
  <c r="AH2206" i="11"/>
  <c r="AH2205" i="11"/>
  <c r="AH2204" i="11"/>
  <c r="AH2203" i="11"/>
  <c r="AH2202" i="11"/>
  <c r="AH2201" i="11"/>
  <c r="AH2200" i="11"/>
  <c r="AH2199" i="11"/>
  <c r="AH2198" i="11"/>
  <c r="AH2197" i="11"/>
  <c r="AH2196" i="11"/>
  <c r="AH2195" i="11"/>
  <c r="AH2194" i="11"/>
  <c r="AH2193" i="11"/>
  <c r="AH2192" i="11"/>
  <c r="AH2191" i="11"/>
  <c r="AH2190" i="11"/>
  <c r="AH2189" i="11"/>
  <c r="AH2188" i="11"/>
  <c r="AH2187" i="11"/>
  <c r="AH2186" i="11"/>
  <c r="AH2185" i="11"/>
  <c r="AH2184" i="11"/>
  <c r="AH2183" i="11"/>
  <c r="AH2182" i="11"/>
  <c r="AH2181" i="11"/>
  <c r="AH2180" i="11"/>
  <c r="AH2179" i="11"/>
  <c r="AH2178" i="11"/>
  <c r="AH2177" i="11"/>
  <c r="AH2176" i="11"/>
  <c r="AH2175" i="11"/>
  <c r="AH2174" i="11"/>
  <c r="AH2173" i="11"/>
  <c r="AH2172" i="11"/>
  <c r="AH2171" i="11"/>
  <c r="AH2170" i="11"/>
  <c r="AH2169" i="11"/>
  <c r="AH2168" i="11"/>
  <c r="AH2167" i="11"/>
  <c r="AH2166" i="11"/>
  <c r="AH2165" i="11"/>
  <c r="AH2164" i="11"/>
  <c r="AH2163" i="11"/>
  <c r="AH2162" i="11"/>
  <c r="AH2161" i="11"/>
  <c r="AH2160" i="11"/>
  <c r="AH2159" i="11"/>
  <c r="AH2158" i="11"/>
  <c r="AH2157" i="11"/>
  <c r="AH2156" i="11"/>
  <c r="AH2155" i="11"/>
  <c r="AH2154" i="11"/>
  <c r="AH2153" i="11"/>
  <c r="AH2152" i="11"/>
  <c r="AH2151" i="11"/>
  <c r="AH2150" i="11"/>
  <c r="AH2149" i="11"/>
  <c r="AH2148" i="11"/>
  <c r="AH2147" i="11"/>
  <c r="AH2146" i="11"/>
  <c r="AH2145" i="11"/>
  <c r="AH2144" i="11"/>
  <c r="AH2143" i="11"/>
  <c r="AH2142" i="11"/>
  <c r="AH2141" i="11"/>
  <c r="AH2140" i="11"/>
  <c r="AH2139" i="11"/>
  <c r="AH2138" i="11"/>
  <c r="AH2137" i="11"/>
  <c r="AH2136" i="11"/>
  <c r="AH2135" i="11"/>
  <c r="AH2134" i="11"/>
  <c r="AH2133" i="11"/>
  <c r="AH2132" i="11"/>
  <c r="AH2131" i="11"/>
  <c r="AH2130" i="11"/>
  <c r="AH2129" i="11"/>
  <c r="AH2128" i="11"/>
  <c r="AH2127" i="11"/>
  <c r="AH2126" i="11"/>
  <c r="AH2125" i="11"/>
  <c r="AH2124" i="11"/>
  <c r="AH2123" i="11"/>
  <c r="AH2122" i="11"/>
  <c r="AH2121" i="11"/>
  <c r="AH2120" i="11"/>
  <c r="AH2119" i="11"/>
  <c r="AH2118" i="11"/>
  <c r="AH2117" i="11"/>
  <c r="AH2116" i="11"/>
  <c r="AH2115" i="11"/>
  <c r="AH2114" i="11"/>
  <c r="AH2113" i="11"/>
  <c r="AH2112" i="11"/>
  <c r="AH2111" i="11"/>
  <c r="AH2110" i="11"/>
  <c r="AH2109" i="11"/>
  <c r="AH2108" i="11"/>
  <c r="AH2107" i="11"/>
  <c r="AH2106" i="11"/>
  <c r="AH2105" i="11"/>
  <c r="AH2104" i="11"/>
  <c r="AH2103" i="11"/>
  <c r="AH2102" i="11"/>
  <c r="AH2101" i="11"/>
  <c r="AH2100" i="11"/>
  <c r="AH2099" i="11"/>
  <c r="AH2098" i="11"/>
  <c r="AH2097" i="11"/>
  <c r="AH2096" i="11"/>
  <c r="AH2095" i="11"/>
  <c r="AH2094" i="11"/>
  <c r="AH2093" i="11"/>
  <c r="AH2092" i="11"/>
  <c r="AH2091" i="11"/>
  <c r="AH2090" i="11"/>
  <c r="AH2089" i="11"/>
  <c r="AH2088" i="11"/>
  <c r="AH2087" i="11"/>
  <c r="AH2086" i="11"/>
  <c r="AH2085" i="11"/>
  <c r="AH2084" i="11"/>
  <c r="AH2083" i="11"/>
  <c r="AH2082" i="11"/>
  <c r="AH2081" i="11"/>
  <c r="AH2080" i="11"/>
  <c r="AH2079" i="11"/>
  <c r="AH2078" i="11"/>
  <c r="AH2077" i="11"/>
  <c r="AH2076" i="11"/>
  <c r="AH2075" i="11"/>
  <c r="AH2074" i="11"/>
  <c r="AH2073" i="11"/>
  <c r="AH2072" i="11"/>
  <c r="AH2071" i="11"/>
  <c r="AH2070" i="11"/>
  <c r="AH2069" i="11"/>
  <c r="AH2068" i="11"/>
  <c r="AH2067" i="11"/>
  <c r="AH2066" i="11"/>
  <c r="AH2065" i="11"/>
  <c r="AH2064" i="11"/>
  <c r="AH2063" i="11"/>
  <c r="AH2062" i="11"/>
  <c r="AH2061" i="11"/>
  <c r="AH2060" i="11"/>
  <c r="AH2059" i="11"/>
  <c r="AH2058" i="11"/>
  <c r="AH2057" i="11"/>
  <c r="AH2056" i="11"/>
  <c r="AH2055" i="11"/>
  <c r="AH2054" i="11"/>
  <c r="AH2053" i="11"/>
  <c r="AH2052" i="11"/>
  <c r="AH2051" i="11"/>
  <c r="AH2050" i="11"/>
  <c r="AH2049" i="11"/>
  <c r="AH2048" i="11"/>
  <c r="AH2047" i="11"/>
  <c r="AH2046" i="11"/>
  <c r="AH2045" i="11"/>
  <c r="AH2044" i="11"/>
  <c r="AH2043" i="11"/>
  <c r="AH2042" i="11"/>
  <c r="AH2041" i="11"/>
  <c r="AH2040" i="11"/>
  <c r="AH2039" i="11"/>
  <c r="AH2038" i="11"/>
  <c r="AH2037" i="11"/>
  <c r="AH2036" i="11"/>
  <c r="AH2035" i="11"/>
  <c r="AH2034" i="11"/>
  <c r="AH2033" i="11"/>
  <c r="AH2032" i="11"/>
  <c r="AH2031" i="11"/>
  <c r="AH2030" i="11"/>
  <c r="AH2029" i="11"/>
  <c r="AH2028" i="11"/>
  <c r="AH2027" i="11"/>
  <c r="AH2026" i="11"/>
  <c r="AH2025" i="11"/>
  <c r="AH2024" i="11"/>
  <c r="AH2023" i="11"/>
  <c r="AH2022" i="11"/>
  <c r="AH2021" i="11"/>
  <c r="AH2020" i="11"/>
  <c r="AH2019" i="11"/>
  <c r="AH2018" i="11"/>
  <c r="AH2017" i="11"/>
  <c r="AH2016" i="11"/>
  <c r="AH2015" i="11"/>
  <c r="AH2014" i="11"/>
  <c r="AH2013" i="11"/>
  <c r="AH2012" i="11"/>
  <c r="AH2011" i="11"/>
  <c r="AH2010" i="11"/>
  <c r="AH2009" i="11"/>
  <c r="AH2008" i="11"/>
  <c r="AH2007" i="11"/>
  <c r="AH2006" i="11"/>
  <c r="AH2005" i="11"/>
  <c r="AH2004" i="11"/>
  <c r="AH2003" i="11"/>
  <c r="AH2002" i="11"/>
  <c r="AH2001" i="11"/>
  <c r="AH2000" i="11"/>
  <c r="AH1999" i="11"/>
  <c r="AH1998" i="11"/>
  <c r="AH1997" i="11"/>
  <c r="AH1996" i="11"/>
  <c r="AH1995" i="11"/>
  <c r="AH1994" i="11"/>
  <c r="AH1993" i="11"/>
  <c r="AH1992" i="11"/>
  <c r="AH1991" i="11"/>
  <c r="AH1990" i="11"/>
  <c r="AH1989" i="11"/>
  <c r="AH1988" i="11"/>
  <c r="AH1987" i="11"/>
  <c r="AH1986" i="11"/>
  <c r="AH1985" i="11"/>
  <c r="AH1984" i="11"/>
  <c r="AH1983" i="11"/>
  <c r="AH1982" i="11"/>
  <c r="AH1981" i="11"/>
  <c r="AH1980" i="11"/>
  <c r="AH1979" i="11"/>
  <c r="AH1978" i="11"/>
  <c r="AH1977" i="11"/>
  <c r="AH1976" i="11"/>
  <c r="AH1975" i="11"/>
  <c r="AH1974" i="11"/>
  <c r="AH1973" i="11"/>
  <c r="AH1972" i="11"/>
  <c r="AH1971" i="11"/>
  <c r="AH1970" i="11"/>
  <c r="AH1969" i="11"/>
  <c r="AH1968" i="11"/>
  <c r="AH1967" i="11"/>
  <c r="AH1966" i="11"/>
  <c r="AH1965" i="11"/>
  <c r="AH1964" i="11"/>
  <c r="AH1963" i="11"/>
  <c r="AH1962" i="11"/>
  <c r="AH1961" i="11"/>
  <c r="AH1960" i="11"/>
  <c r="AH1959" i="11"/>
  <c r="AH1958" i="11"/>
  <c r="AH1957" i="11"/>
  <c r="AH1956" i="11"/>
  <c r="AH1955" i="11"/>
  <c r="AH1954" i="11"/>
  <c r="AH1953" i="11"/>
  <c r="AH1952" i="11"/>
  <c r="AH1951" i="11"/>
  <c r="AH1950" i="11"/>
  <c r="AH1949" i="11"/>
  <c r="AH1948" i="11"/>
  <c r="AH1947" i="11"/>
  <c r="AH1946" i="11"/>
  <c r="AH1945" i="11"/>
  <c r="AH1944" i="11"/>
  <c r="AH1943" i="11"/>
  <c r="AH1942" i="11"/>
  <c r="AH1941" i="11"/>
  <c r="AH1940" i="11"/>
  <c r="AH1939" i="11"/>
  <c r="AH1938" i="11"/>
  <c r="AH1937" i="11"/>
  <c r="AH1936" i="11"/>
  <c r="AH1935" i="11"/>
  <c r="AH1934" i="11"/>
  <c r="AH1933" i="11"/>
  <c r="AH1932" i="11"/>
  <c r="AH1931" i="11"/>
  <c r="AH1930" i="11"/>
  <c r="AH1929" i="11"/>
  <c r="AH1928" i="11"/>
  <c r="AH1927" i="11"/>
  <c r="AH1926" i="11"/>
  <c r="AH1925" i="11"/>
  <c r="AH1924" i="11"/>
  <c r="AH1923" i="11"/>
  <c r="AH1922" i="11"/>
  <c r="AH1921" i="11"/>
  <c r="AH1920" i="11"/>
  <c r="AH1919" i="11"/>
  <c r="AH1918" i="11"/>
  <c r="AH1917" i="11"/>
  <c r="AH1916" i="11"/>
  <c r="AH1915" i="11"/>
  <c r="AH1914" i="11"/>
  <c r="AH1913" i="11"/>
  <c r="AH1912" i="11"/>
  <c r="AH1911" i="11"/>
  <c r="AH1910" i="11"/>
  <c r="AH1909" i="11"/>
  <c r="AH1908" i="11"/>
  <c r="AH1907" i="11"/>
  <c r="AH1906" i="11"/>
  <c r="AH1905" i="11"/>
  <c r="AH1904" i="11"/>
  <c r="AH1903" i="11"/>
  <c r="AH1902" i="11"/>
  <c r="AH1901" i="11"/>
  <c r="AH1900" i="11"/>
  <c r="AH1899" i="11"/>
  <c r="AH1898" i="11"/>
  <c r="AH1897" i="11"/>
  <c r="AH1896" i="11"/>
  <c r="AH1895" i="11"/>
  <c r="AH1894" i="11"/>
  <c r="AH1893" i="11"/>
  <c r="AH1892" i="11"/>
  <c r="AH1891" i="11"/>
  <c r="AH1890" i="11"/>
  <c r="AH1889" i="11"/>
  <c r="AH1888" i="11"/>
  <c r="AH1887" i="11"/>
  <c r="AH1886" i="11"/>
  <c r="AH1885" i="11"/>
  <c r="AH1884" i="11"/>
  <c r="AH1883" i="11"/>
  <c r="AH1882" i="11"/>
  <c r="AH1881" i="11"/>
  <c r="AH1880" i="11"/>
  <c r="AH1879" i="11"/>
  <c r="AH1878" i="11"/>
  <c r="AH1877" i="11"/>
  <c r="AH1876" i="11"/>
  <c r="AH1875" i="11"/>
  <c r="AH1874" i="11"/>
  <c r="AH1873" i="11"/>
  <c r="AH1872" i="11"/>
  <c r="AH1871" i="11"/>
  <c r="AH1870" i="11"/>
  <c r="AH1869" i="11"/>
  <c r="AH1868" i="11"/>
  <c r="AH1867" i="11"/>
  <c r="AH1866" i="11"/>
  <c r="AH1865" i="11"/>
  <c r="AH1864" i="11"/>
  <c r="AH1863" i="11"/>
  <c r="AH1862" i="11"/>
  <c r="AH1861" i="11"/>
  <c r="AH1860" i="11"/>
  <c r="AH1859" i="11"/>
  <c r="AH1858" i="11"/>
  <c r="AH1857" i="11"/>
  <c r="AH1856" i="11"/>
  <c r="AH1855" i="11"/>
  <c r="AH1854" i="11"/>
  <c r="AH1853" i="11"/>
  <c r="AH1852" i="11"/>
  <c r="AH1851" i="11"/>
  <c r="AH1850" i="11"/>
  <c r="AH1849" i="11"/>
  <c r="AH1848" i="11"/>
  <c r="AH1847" i="11"/>
  <c r="AH1846" i="11"/>
  <c r="AH1845" i="11"/>
  <c r="AH1844" i="11"/>
  <c r="AH1843" i="11"/>
  <c r="AH1842" i="11"/>
  <c r="AH1841" i="11"/>
  <c r="AH1840" i="11"/>
  <c r="AH1839" i="11"/>
  <c r="AH1838" i="11"/>
  <c r="AH1837" i="11"/>
  <c r="AH1836" i="11"/>
  <c r="AH1835" i="11"/>
  <c r="AH1834" i="11"/>
  <c r="AH1833" i="11"/>
  <c r="AH1832" i="11"/>
  <c r="AH1831" i="11"/>
  <c r="AH1830" i="11"/>
  <c r="AH1829" i="11"/>
  <c r="AH1828" i="11"/>
  <c r="AH1827" i="11"/>
  <c r="AH1826" i="11"/>
  <c r="AH1825" i="11"/>
  <c r="AH1824" i="11"/>
  <c r="AH1823" i="11"/>
  <c r="AH1822" i="11"/>
  <c r="AH1821" i="11"/>
  <c r="AH1820" i="11"/>
  <c r="AH1819" i="11"/>
  <c r="AH1818" i="11"/>
  <c r="AH1817" i="11"/>
  <c r="AH1816" i="11"/>
  <c r="AH1815" i="11"/>
  <c r="AH1814" i="11"/>
  <c r="AH1813" i="11"/>
  <c r="AH1812" i="11"/>
  <c r="AH1811" i="11"/>
  <c r="AH1810" i="11"/>
  <c r="AH1809" i="11"/>
  <c r="AH1808" i="11"/>
  <c r="AH1807" i="11"/>
  <c r="AH1806" i="11"/>
  <c r="AH1805" i="11"/>
  <c r="AH1804" i="11"/>
  <c r="AH1803" i="11"/>
  <c r="AH1802" i="11"/>
  <c r="AH1801" i="11"/>
  <c r="AH1800" i="11"/>
  <c r="AH1799" i="11"/>
  <c r="AH1798" i="11"/>
  <c r="AH1797" i="11"/>
  <c r="AH1796" i="11"/>
  <c r="AH1795" i="11"/>
  <c r="AH1794" i="11"/>
  <c r="AH1793" i="11"/>
  <c r="AH1792" i="11"/>
  <c r="AH1791" i="11"/>
  <c r="AH1790" i="11"/>
  <c r="AH1789" i="11"/>
  <c r="AH1788" i="11"/>
  <c r="AH1787" i="11"/>
  <c r="AH1786" i="11"/>
  <c r="AH1785" i="11"/>
  <c r="AH1784" i="11"/>
  <c r="AH1783" i="11"/>
  <c r="AH1782" i="11"/>
  <c r="AH1781" i="11"/>
  <c r="AH1780" i="11"/>
  <c r="AH1779" i="11"/>
  <c r="AH1778" i="11"/>
  <c r="AH1777" i="11"/>
  <c r="AH1776" i="11"/>
  <c r="AH1775" i="11"/>
  <c r="AH1774" i="11"/>
  <c r="AH1773" i="11"/>
  <c r="AH1772" i="11"/>
  <c r="AH1771" i="11"/>
  <c r="AH1770" i="11"/>
  <c r="AH1769" i="11"/>
  <c r="AH1768" i="11"/>
  <c r="AH1767" i="11"/>
  <c r="AH1766" i="11"/>
  <c r="AH1765" i="11"/>
  <c r="AH1764" i="11"/>
  <c r="AH1763" i="11"/>
  <c r="AH1762" i="11"/>
  <c r="AH1761" i="11"/>
  <c r="AH1760" i="11"/>
  <c r="AH1759" i="11"/>
  <c r="AH1758" i="11"/>
  <c r="AH1757" i="11"/>
  <c r="AH1756" i="11"/>
  <c r="AH1755" i="11"/>
  <c r="AH1754" i="11"/>
  <c r="AH1753" i="11"/>
  <c r="AH1752" i="11"/>
  <c r="AH1751" i="11"/>
  <c r="AH1750" i="11"/>
  <c r="AH1749" i="11"/>
  <c r="AH1748" i="11"/>
  <c r="AH1747" i="11"/>
  <c r="AH1746" i="11"/>
  <c r="AH1745" i="11"/>
  <c r="AH1744" i="11"/>
  <c r="AH1743" i="11"/>
  <c r="AH1742" i="11"/>
  <c r="AH1741" i="11"/>
  <c r="AH1740" i="11"/>
  <c r="AH1739" i="11"/>
  <c r="AH1738" i="11"/>
  <c r="AH1737" i="11"/>
  <c r="AH1736" i="11"/>
  <c r="AH1735" i="11"/>
  <c r="AH1734" i="11"/>
  <c r="AH1733" i="11"/>
  <c r="AH1732" i="11"/>
  <c r="AH1731" i="11"/>
  <c r="AH1730" i="11"/>
  <c r="AH1729" i="11"/>
  <c r="AH1728" i="11"/>
  <c r="AH1727" i="11"/>
  <c r="AH1726" i="11"/>
  <c r="AH1725" i="11"/>
  <c r="AH1724" i="11"/>
  <c r="AH1723" i="11"/>
  <c r="AH1722" i="11"/>
  <c r="AH1721" i="11"/>
  <c r="AH1720" i="11"/>
  <c r="AH1719" i="11"/>
  <c r="AH1718" i="11"/>
  <c r="AH1717" i="11"/>
  <c r="AH1716" i="11"/>
  <c r="AH1715" i="11"/>
  <c r="AH1714" i="11"/>
  <c r="AH1713" i="11"/>
  <c r="AH1712" i="11"/>
  <c r="AH1711" i="11"/>
  <c r="AH1710" i="11"/>
  <c r="AH1709" i="11"/>
  <c r="AH1708" i="11"/>
  <c r="AH1707" i="11"/>
  <c r="AH1706" i="11"/>
  <c r="AH1705" i="11"/>
  <c r="AH1704" i="11"/>
  <c r="AH1703" i="11"/>
  <c r="AH1702" i="11"/>
  <c r="AH1701" i="11"/>
  <c r="AH1700" i="11"/>
  <c r="AH1699" i="11"/>
  <c r="AH1698" i="11"/>
  <c r="AH1697" i="11"/>
  <c r="AH1696" i="11"/>
  <c r="AH1695" i="11"/>
  <c r="AH1694" i="11"/>
  <c r="AH1693" i="11"/>
  <c r="AH1692" i="11"/>
  <c r="AH1691" i="11"/>
  <c r="AH1690" i="11"/>
  <c r="AH1689" i="11"/>
  <c r="AH1688" i="11"/>
  <c r="AH1687" i="11"/>
  <c r="AH1686" i="11"/>
  <c r="AH1685" i="11"/>
  <c r="AH1684" i="11"/>
  <c r="AH1683" i="11"/>
  <c r="AH1682" i="11"/>
  <c r="AH1681" i="11"/>
  <c r="AH1680" i="11"/>
  <c r="AH1679" i="11"/>
  <c r="AH1678" i="11"/>
  <c r="AH1677" i="11"/>
  <c r="AH1676" i="11"/>
  <c r="AH1675" i="11"/>
  <c r="AH1674" i="11"/>
  <c r="AH1673" i="11"/>
  <c r="AH1672" i="11"/>
  <c r="AH1671" i="11"/>
  <c r="AH1670" i="11"/>
  <c r="AH1669" i="11"/>
  <c r="AH1668" i="11"/>
  <c r="AH1667" i="11"/>
  <c r="AH1666" i="11"/>
  <c r="AH1665" i="11"/>
  <c r="AH1664" i="11"/>
  <c r="AH1663" i="11"/>
  <c r="AH1662" i="11"/>
  <c r="AH1661" i="11"/>
  <c r="AH1660" i="11"/>
  <c r="AH1659" i="11"/>
  <c r="AH1658" i="11"/>
  <c r="AH1657" i="11"/>
  <c r="AH1656" i="11"/>
  <c r="AH1655" i="11"/>
  <c r="AH1654" i="11"/>
  <c r="AH1653" i="11"/>
  <c r="AH1652" i="11"/>
  <c r="AH1651" i="11"/>
  <c r="AH1650" i="11"/>
  <c r="AH1649" i="11"/>
  <c r="AH1648" i="11"/>
  <c r="AH1647" i="11"/>
  <c r="AH1646" i="11"/>
  <c r="AH1645" i="11"/>
  <c r="AH1644" i="11"/>
  <c r="AH1643" i="11"/>
  <c r="AH1642" i="11"/>
  <c r="AH1641" i="11"/>
  <c r="AH1640" i="11"/>
  <c r="AH1639" i="11"/>
  <c r="AH1638" i="11"/>
  <c r="AH1637" i="11"/>
  <c r="AH1636" i="11"/>
  <c r="AH1635" i="11"/>
  <c r="AH1634" i="11"/>
  <c r="AH1633" i="11"/>
  <c r="AH1632" i="11"/>
  <c r="AH1631" i="11"/>
  <c r="AH1630" i="11"/>
  <c r="AH1629" i="11"/>
  <c r="AH1628" i="11"/>
  <c r="AH1627" i="11"/>
  <c r="AH1626" i="11"/>
  <c r="AH1625" i="11"/>
  <c r="AH1624" i="11"/>
  <c r="AH1623" i="11"/>
  <c r="AH1622" i="11"/>
  <c r="AH1621" i="11"/>
  <c r="AH1620" i="11"/>
  <c r="AH1619" i="11"/>
  <c r="AH1618" i="11"/>
  <c r="AH1617" i="11"/>
  <c r="AH1616" i="11"/>
  <c r="AH1615" i="11"/>
  <c r="AH1614" i="11"/>
  <c r="AH1613" i="11"/>
  <c r="AH1612" i="11"/>
  <c r="AH1611" i="11"/>
  <c r="AH1610" i="11"/>
  <c r="AH1609" i="11"/>
  <c r="AH1608" i="11"/>
  <c r="AH1607" i="11"/>
  <c r="AH1606" i="11"/>
  <c r="AH1605" i="11"/>
  <c r="AH1604" i="11"/>
  <c r="AH1603" i="11"/>
  <c r="AH1602" i="11"/>
  <c r="AH1601" i="11"/>
  <c r="AH1600" i="11"/>
  <c r="AH1599" i="11"/>
  <c r="AH1598" i="11"/>
  <c r="AH1597" i="11"/>
  <c r="AH1596" i="11"/>
  <c r="AH1595" i="11"/>
  <c r="AH1594" i="11"/>
  <c r="AH1593" i="11"/>
  <c r="AH1592" i="11"/>
  <c r="AH1591" i="11"/>
  <c r="AH1590" i="11"/>
  <c r="AH1589" i="11"/>
  <c r="AH1588" i="11"/>
  <c r="AH1587" i="11"/>
  <c r="AH1586" i="11"/>
  <c r="AH1585" i="11"/>
  <c r="AH1584" i="11"/>
  <c r="AH1583" i="11"/>
  <c r="AH1582" i="11"/>
  <c r="AH1581" i="11"/>
  <c r="AH1580" i="11"/>
  <c r="AH1579" i="11"/>
  <c r="AH1578" i="11"/>
  <c r="AH1577" i="11"/>
  <c r="AH1576" i="11"/>
  <c r="AH1575" i="11"/>
  <c r="AH1574" i="11"/>
  <c r="AH1573" i="11"/>
  <c r="AH1572" i="11"/>
  <c r="AH1571" i="11"/>
  <c r="AH1570" i="11"/>
  <c r="AH1569" i="11"/>
  <c r="AH1568" i="11"/>
  <c r="AH1567" i="11"/>
  <c r="AH1566" i="11"/>
  <c r="AH1565" i="11"/>
  <c r="AH1564" i="11"/>
  <c r="AH1563" i="11"/>
  <c r="AH1562" i="11"/>
  <c r="AH1561" i="11"/>
  <c r="AH1560" i="11"/>
  <c r="AH1559" i="11"/>
  <c r="AH1558" i="11"/>
  <c r="AH1557" i="11"/>
  <c r="AH1556" i="11"/>
  <c r="AH1555" i="11"/>
  <c r="AH1554" i="11"/>
  <c r="AH1553" i="11"/>
  <c r="AH1552" i="11"/>
  <c r="AH1551" i="11"/>
  <c r="AH1550" i="11"/>
  <c r="AH1549" i="11"/>
  <c r="AH1548" i="11"/>
  <c r="AH1547" i="11"/>
  <c r="AH1546" i="11"/>
  <c r="AH1545" i="11"/>
  <c r="AH1544" i="11"/>
  <c r="AH1543" i="11"/>
  <c r="AH1542" i="11"/>
  <c r="AH1541" i="11"/>
  <c r="AH1540" i="11"/>
  <c r="AH1539" i="11"/>
  <c r="AH1538" i="11"/>
  <c r="AH1537" i="11"/>
  <c r="AH1536" i="11"/>
  <c r="AH1535" i="11"/>
  <c r="AH1534" i="11"/>
  <c r="AH1533" i="11"/>
  <c r="AH1532" i="11"/>
  <c r="AH1531" i="11"/>
  <c r="AH1530" i="11"/>
  <c r="AH1529" i="11"/>
  <c r="AH1528" i="11"/>
  <c r="AH1527" i="11"/>
  <c r="AH1526" i="11"/>
  <c r="AH1525" i="11"/>
  <c r="AH1524" i="11"/>
  <c r="AH1523" i="11"/>
  <c r="AH1522" i="11"/>
  <c r="AH1521" i="11"/>
  <c r="AH1520" i="11"/>
  <c r="AH1519" i="11"/>
  <c r="AH1518" i="11"/>
  <c r="AH1517" i="11"/>
  <c r="AH1516" i="11"/>
  <c r="AH1515" i="11"/>
  <c r="AH1514" i="11"/>
  <c r="AH1513" i="11"/>
  <c r="AH1512" i="11"/>
  <c r="AH1511" i="11"/>
  <c r="AH1510" i="11"/>
  <c r="AH1509" i="11"/>
  <c r="AH1508" i="11"/>
  <c r="AH1507" i="11"/>
  <c r="AH1506" i="11"/>
  <c r="AH1505" i="11"/>
  <c r="AH1504" i="11"/>
  <c r="AH1503" i="11"/>
  <c r="AH1502" i="11"/>
  <c r="AH1501" i="11"/>
  <c r="AH1500" i="11"/>
  <c r="AH1499" i="11"/>
  <c r="AH1498" i="11"/>
  <c r="AH1497" i="11"/>
  <c r="AH1496" i="11"/>
  <c r="AH1495" i="11"/>
  <c r="AH1494" i="11"/>
  <c r="AH1493" i="11"/>
  <c r="AH1492" i="11"/>
  <c r="AH1491" i="11"/>
  <c r="AH1490" i="11"/>
  <c r="AH1489" i="11"/>
  <c r="AH1488" i="11"/>
  <c r="AH1487" i="11"/>
  <c r="AH1486" i="11"/>
  <c r="AH1485" i="11"/>
  <c r="AH1484" i="11"/>
  <c r="AH1483" i="11"/>
  <c r="AH1482" i="11"/>
  <c r="AH1481" i="11"/>
  <c r="AH1480" i="11"/>
  <c r="AH1479" i="11"/>
  <c r="AH1478" i="11"/>
  <c r="AH1477" i="11"/>
  <c r="AH1476" i="11"/>
  <c r="AH1475" i="11"/>
  <c r="AH1474" i="11"/>
  <c r="AH1473" i="11"/>
  <c r="AH1472" i="11"/>
  <c r="AH1471" i="11"/>
  <c r="AH1470" i="11"/>
  <c r="AH1469" i="11"/>
  <c r="AH1468" i="11"/>
  <c r="AH1467" i="11"/>
  <c r="AH1466" i="11"/>
  <c r="AH1465" i="11"/>
  <c r="AH1464" i="11"/>
  <c r="AH1463" i="11"/>
  <c r="AH1462" i="11"/>
  <c r="AH1461" i="11"/>
  <c r="AH1460" i="11"/>
  <c r="AH1459" i="11"/>
  <c r="AH1458" i="11"/>
  <c r="AH1457" i="11"/>
  <c r="AH1456" i="11"/>
  <c r="AH1455" i="11"/>
  <c r="AH1454" i="11"/>
  <c r="AH1453" i="11"/>
  <c r="AH1452" i="11"/>
  <c r="AH1451" i="11"/>
  <c r="AH1450" i="11"/>
  <c r="AH1449" i="11"/>
  <c r="AH1448" i="11"/>
  <c r="AH1447" i="11"/>
  <c r="AH1446" i="11"/>
  <c r="AH1445" i="11"/>
  <c r="AH1444" i="11"/>
  <c r="AH1443" i="11"/>
  <c r="AH1442" i="11"/>
  <c r="AH1441" i="11"/>
  <c r="AH1440" i="11"/>
  <c r="AH1439" i="11"/>
  <c r="AH1438" i="11"/>
  <c r="AH1437" i="11"/>
  <c r="AH1436" i="11"/>
  <c r="AH1435" i="11"/>
  <c r="AH1434" i="11"/>
  <c r="AH1433" i="11"/>
  <c r="AH1432" i="11"/>
  <c r="AH1431" i="11"/>
  <c r="AH1430" i="11"/>
  <c r="AH1429" i="11"/>
  <c r="AH1428" i="11"/>
  <c r="AH1427" i="11"/>
  <c r="AH1426" i="11"/>
  <c r="AH1425" i="11"/>
  <c r="AH1424" i="11"/>
  <c r="AH1423" i="11"/>
  <c r="AH1422" i="11"/>
  <c r="AH1421" i="11"/>
  <c r="AH1420" i="11"/>
  <c r="AH1419" i="11"/>
  <c r="AH1418" i="11"/>
  <c r="AH1417" i="11"/>
  <c r="AH1416" i="11"/>
  <c r="AH1415" i="11"/>
  <c r="AH1414" i="11"/>
  <c r="AH1413" i="11"/>
  <c r="AH1412" i="11"/>
  <c r="AH1411" i="11"/>
  <c r="AH1410" i="11"/>
  <c r="AH1409" i="11"/>
  <c r="AH1408" i="11"/>
  <c r="AH1407" i="11"/>
  <c r="AH1406" i="11"/>
  <c r="AH1405" i="11"/>
  <c r="AH1404" i="11"/>
  <c r="AH1403" i="11"/>
  <c r="AH1402" i="11"/>
  <c r="AH1401" i="11"/>
  <c r="AH1400" i="11"/>
  <c r="AH1399" i="11"/>
  <c r="AH1398" i="11"/>
  <c r="AH1397" i="11"/>
  <c r="AH1396" i="11"/>
  <c r="AH1395" i="11"/>
  <c r="AH1394" i="11"/>
  <c r="AH1393" i="11"/>
  <c r="AH1392" i="11"/>
  <c r="AH1391" i="11"/>
  <c r="AH1390" i="11"/>
  <c r="AH1389" i="11"/>
  <c r="AH1388" i="11"/>
  <c r="AH1387" i="11"/>
  <c r="AH1386" i="11"/>
  <c r="AH1385" i="11"/>
  <c r="AH1384" i="11"/>
  <c r="AH1383" i="11"/>
  <c r="AH1382" i="11"/>
  <c r="AH1381" i="11"/>
  <c r="AH1380" i="11"/>
  <c r="AH1379" i="11"/>
  <c r="AH1378" i="11"/>
  <c r="AH1377" i="11"/>
  <c r="AH1376" i="11"/>
  <c r="AH1375" i="11"/>
  <c r="AH1374" i="11"/>
  <c r="AH1373" i="11"/>
  <c r="AH1372" i="11"/>
  <c r="AH1371" i="11"/>
  <c r="AH1370" i="11"/>
  <c r="AH1369" i="11"/>
  <c r="AH1368" i="11"/>
  <c r="AH1367" i="11"/>
  <c r="AH1366" i="11"/>
  <c r="AH1365" i="11"/>
  <c r="AH1364" i="11"/>
  <c r="AH1363" i="11"/>
  <c r="AH1362" i="11"/>
  <c r="AH1361" i="11"/>
  <c r="AH1360" i="11"/>
  <c r="AH1359" i="11"/>
  <c r="AH1358" i="11"/>
  <c r="AH1357" i="11"/>
  <c r="AH1356" i="11"/>
  <c r="AH1355" i="11"/>
  <c r="AH1354" i="11"/>
  <c r="AH1353" i="11"/>
  <c r="AH1352" i="11"/>
  <c r="AH1351" i="11"/>
  <c r="AH1350" i="11"/>
  <c r="AH1349" i="11"/>
  <c r="AH1348" i="11"/>
  <c r="AH1347" i="11"/>
  <c r="AH1346" i="11"/>
  <c r="AH1345" i="11"/>
  <c r="AH1344" i="11"/>
  <c r="AH1343" i="11"/>
  <c r="AH1342" i="11"/>
  <c r="AH1341" i="11"/>
  <c r="AH1340" i="11"/>
  <c r="AH1339" i="11"/>
  <c r="AH1338" i="11"/>
  <c r="AH1337" i="11"/>
  <c r="AH1336" i="11"/>
  <c r="AH1335" i="11"/>
  <c r="AH1334" i="11"/>
  <c r="AH1333" i="11"/>
  <c r="AH1332" i="11"/>
  <c r="AH1331" i="11"/>
  <c r="AH1330" i="11"/>
  <c r="AH1329" i="11"/>
  <c r="AH1328" i="11"/>
  <c r="AH1327" i="11"/>
  <c r="AH1326" i="11"/>
  <c r="AH1325" i="11"/>
  <c r="AH1324" i="11"/>
  <c r="AH1323" i="11"/>
  <c r="AH1322" i="11"/>
  <c r="AH1321" i="11"/>
  <c r="AH1320" i="11"/>
  <c r="AH1319" i="11"/>
  <c r="AH1318" i="11"/>
  <c r="AH1317" i="11"/>
  <c r="AH1316" i="11"/>
  <c r="AH1315" i="11"/>
  <c r="AH1314" i="11"/>
  <c r="AH1313" i="11"/>
  <c r="AH1312" i="11"/>
  <c r="AH1311" i="11"/>
  <c r="AH1310" i="11"/>
  <c r="AH1309" i="11"/>
  <c r="AH1308" i="11"/>
  <c r="AH1307" i="11"/>
  <c r="AH1306" i="11"/>
  <c r="AH1305" i="11"/>
  <c r="AH1304" i="11"/>
  <c r="AH1303" i="11"/>
  <c r="AH1302" i="11"/>
  <c r="AH1301" i="11"/>
  <c r="AH1300" i="11"/>
  <c r="AH1299" i="11"/>
  <c r="AH1298" i="11"/>
  <c r="AH1297" i="11"/>
  <c r="AH1296" i="11"/>
  <c r="AH1295" i="11"/>
  <c r="AH1294" i="11"/>
  <c r="AH1293" i="11"/>
  <c r="AH1292" i="11"/>
  <c r="AH1291" i="11"/>
  <c r="AH1290" i="11"/>
  <c r="AH1289" i="11"/>
  <c r="AH1288" i="11"/>
  <c r="AH1287" i="11"/>
  <c r="AH1286" i="11"/>
  <c r="AH1285" i="11"/>
  <c r="AH1284" i="11"/>
  <c r="AH1283" i="11"/>
  <c r="AH1282" i="11"/>
  <c r="AH1281" i="11"/>
  <c r="AH1280" i="11"/>
  <c r="AH1279" i="11"/>
  <c r="AH1278" i="11"/>
  <c r="AH1277" i="11"/>
  <c r="AH1276" i="11"/>
  <c r="AH1275" i="11"/>
  <c r="AH1274" i="11"/>
  <c r="AH1273" i="11"/>
  <c r="AH1272" i="11"/>
  <c r="AH1271" i="11"/>
  <c r="AH1270" i="11"/>
  <c r="AH1269" i="11"/>
  <c r="AH1268" i="11"/>
  <c r="AH1267" i="11"/>
  <c r="AH1266" i="11"/>
  <c r="AH1265" i="11"/>
  <c r="AH1264" i="11"/>
  <c r="AH1263" i="11"/>
  <c r="AH1262" i="11"/>
  <c r="AH1261" i="11"/>
  <c r="AH1260" i="11"/>
  <c r="AH1259" i="11"/>
  <c r="AH1258" i="11"/>
  <c r="AH1257" i="11"/>
  <c r="AH1256" i="11"/>
  <c r="AH1255" i="11"/>
  <c r="AH1254" i="11"/>
  <c r="AH1253" i="11"/>
  <c r="AH1252" i="11"/>
  <c r="AH1251" i="11"/>
  <c r="AH1250" i="11"/>
  <c r="AH1249" i="11"/>
  <c r="AH1248" i="11"/>
  <c r="AH1247" i="11"/>
  <c r="AH1246" i="11"/>
  <c r="AH1245" i="11"/>
  <c r="AH1244" i="11"/>
  <c r="AH1243" i="11"/>
  <c r="AH1242" i="11"/>
  <c r="AH1241" i="11"/>
  <c r="AH1240" i="11"/>
  <c r="AH1239" i="11"/>
  <c r="AH1238" i="11"/>
  <c r="AH1237" i="11"/>
  <c r="AH1236" i="11"/>
  <c r="AH1235" i="11"/>
  <c r="AH1234" i="11"/>
  <c r="AH1233" i="11"/>
  <c r="AH1232" i="11"/>
  <c r="AH1231" i="11"/>
  <c r="AH1230" i="11"/>
  <c r="AH1229" i="11"/>
  <c r="AH1228" i="11"/>
  <c r="AH1227" i="11"/>
  <c r="AH1226" i="11"/>
  <c r="AH1225" i="11"/>
  <c r="AH1224" i="11"/>
  <c r="AH1223" i="11"/>
  <c r="AH1222" i="11"/>
  <c r="AH1221" i="11"/>
  <c r="AH1220" i="11"/>
  <c r="AH1219" i="11"/>
  <c r="AH1218" i="11"/>
  <c r="AH1217" i="11"/>
  <c r="AH1216" i="11"/>
  <c r="AH1215" i="11"/>
  <c r="AH1214" i="11"/>
  <c r="AH1213" i="11"/>
  <c r="AH1212" i="11"/>
  <c r="AH1211" i="11"/>
  <c r="AH1210" i="11"/>
  <c r="AH1209" i="11"/>
  <c r="AH1208" i="11"/>
  <c r="AH1207" i="11"/>
  <c r="AH1206" i="11"/>
  <c r="AH1205" i="11"/>
  <c r="AH1204" i="11"/>
  <c r="AH1203" i="11"/>
  <c r="AH1202" i="11"/>
  <c r="AH1201" i="11"/>
  <c r="AH1200" i="11"/>
  <c r="AH1199" i="11"/>
  <c r="AH1198" i="11"/>
  <c r="AH1197" i="11"/>
  <c r="AH1196" i="11"/>
  <c r="AH1195" i="11"/>
  <c r="AH1194" i="11"/>
  <c r="AH1193" i="11"/>
  <c r="AH1192" i="11"/>
  <c r="AH1191" i="11"/>
  <c r="AH1190" i="11"/>
  <c r="AH1189" i="11"/>
  <c r="AH1188" i="11"/>
  <c r="AH1187" i="11"/>
  <c r="AH1186" i="11"/>
  <c r="AH1185" i="11"/>
  <c r="AH1184" i="11"/>
  <c r="AH1183" i="11"/>
  <c r="AH1182" i="11"/>
  <c r="AH1181" i="11"/>
  <c r="AH1180" i="11"/>
  <c r="AH1179" i="11"/>
  <c r="AH1178" i="11"/>
  <c r="AH1177" i="11"/>
  <c r="AH1176" i="11"/>
  <c r="AH1175" i="11"/>
  <c r="AH1174" i="11"/>
  <c r="AH1173" i="11"/>
  <c r="AH1172" i="11"/>
  <c r="AH1171" i="11"/>
  <c r="AH1170" i="11"/>
  <c r="AH1169" i="11"/>
  <c r="AH1168" i="11"/>
  <c r="AH1167" i="11"/>
  <c r="AH1166" i="11"/>
  <c r="AH1165" i="11"/>
  <c r="AH1164" i="11"/>
  <c r="AH1163" i="11"/>
  <c r="AH1162" i="11"/>
  <c r="AH1161" i="11"/>
  <c r="AH1160" i="11"/>
  <c r="AH1159" i="11"/>
  <c r="AH1158" i="11"/>
  <c r="AH1157" i="11"/>
  <c r="AH1156" i="11"/>
  <c r="AH1155" i="11"/>
  <c r="AH1154" i="11"/>
  <c r="AH1153" i="11"/>
  <c r="AH1152" i="11"/>
  <c r="AH1151" i="11"/>
  <c r="AH1150" i="11"/>
  <c r="AH1149" i="11"/>
  <c r="AH1148" i="11"/>
  <c r="AH1147" i="11"/>
  <c r="AH1146" i="11"/>
  <c r="AH1145" i="11"/>
  <c r="AH1144" i="11"/>
  <c r="AH1143" i="11"/>
  <c r="AH1142" i="11"/>
  <c r="AH1141" i="11"/>
  <c r="AH1140" i="11"/>
  <c r="AH1139" i="11"/>
  <c r="AH1138" i="11"/>
  <c r="AH1137" i="11"/>
  <c r="AH1136" i="11"/>
  <c r="AH1135" i="11"/>
  <c r="AH1134" i="11"/>
  <c r="AH1133" i="11"/>
  <c r="AH1132" i="11"/>
  <c r="AH1131" i="11"/>
  <c r="AH1130" i="11"/>
  <c r="AH1129" i="11"/>
  <c r="AH1128" i="11"/>
  <c r="AH1127" i="11"/>
  <c r="AH1126" i="11"/>
  <c r="AH1125" i="11"/>
  <c r="AH1124" i="11"/>
  <c r="AH1123" i="11"/>
  <c r="AH1122" i="11"/>
  <c r="AH1121" i="11"/>
  <c r="AH1120" i="11"/>
  <c r="AH1119" i="11"/>
  <c r="AH1118" i="11"/>
  <c r="AH1117" i="11"/>
  <c r="AH1116" i="11"/>
  <c r="AH1115" i="11"/>
  <c r="AH1114" i="11"/>
  <c r="AH1113" i="11"/>
  <c r="AH1112" i="11"/>
  <c r="AH1111" i="11"/>
  <c r="AH1110" i="11"/>
  <c r="AH1109" i="11"/>
  <c r="AH1108" i="11"/>
  <c r="AH1107" i="11"/>
  <c r="AH1106" i="11"/>
  <c r="AH1105" i="11"/>
  <c r="AH1104" i="11"/>
  <c r="AH1103" i="11"/>
  <c r="AH1102" i="11"/>
  <c r="AH1101" i="11"/>
  <c r="AH1100" i="11"/>
  <c r="AH1099" i="11"/>
  <c r="AH1098" i="11"/>
  <c r="AH1097" i="11"/>
  <c r="AH1096" i="11"/>
  <c r="AH1095" i="11"/>
  <c r="AH1094" i="11"/>
  <c r="AH1093" i="11"/>
  <c r="AH1092" i="11"/>
  <c r="AH1091" i="11"/>
  <c r="AH1090" i="11"/>
  <c r="AH1089" i="11"/>
  <c r="AH1088" i="11"/>
  <c r="AH1087" i="11"/>
  <c r="AH1086" i="11"/>
  <c r="AH1085" i="11"/>
  <c r="AH1084" i="11"/>
  <c r="AH1083" i="11"/>
  <c r="AH1082" i="11"/>
  <c r="AH1081" i="11"/>
  <c r="AH1080" i="11"/>
  <c r="AH1079" i="11"/>
  <c r="AH1078" i="11"/>
  <c r="AH1077" i="11"/>
  <c r="AH1076" i="11"/>
  <c r="AH1075" i="11"/>
  <c r="AH1074" i="11"/>
  <c r="AH1073" i="11"/>
  <c r="AH1072" i="11"/>
  <c r="AH1071" i="11"/>
  <c r="AH1070" i="11"/>
  <c r="AH1069" i="11"/>
  <c r="AH1068" i="11"/>
  <c r="AH1067" i="11"/>
  <c r="AH1066" i="11"/>
  <c r="AH1065" i="11"/>
  <c r="AH1064" i="11"/>
  <c r="AH1063" i="11"/>
  <c r="AH1062" i="11"/>
  <c r="AH1061" i="11"/>
  <c r="AH1060" i="11"/>
  <c r="AH1059" i="11"/>
  <c r="AH1058" i="11"/>
  <c r="AH1057" i="11"/>
  <c r="AH1056" i="11"/>
  <c r="AH1055" i="11"/>
  <c r="AH1054" i="11"/>
  <c r="AH1053" i="11"/>
  <c r="AH1052" i="11"/>
  <c r="AH1051" i="11"/>
  <c r="AH1050" i="11"/>
  <c r="AH1049" i="11"/>
  <c r="AH1048" i="11"/>
  <c r="AH1047" i="11"/>
  <c r="AH1046" i="11"/>
  <c r="AH1045" i="11"/>
  <c r="AH1044" i="11"/>
  <c r="AH1043" i="11"/>
  <c r="AH1042" i="11"/>
  <c r="AH1041" i="11"/>
  <c r="AH1040" i="11"/>
  <c r="AH1039" i="11"/>
  <c r="AH1038" i="11"/>
  <c r="AH1037" i="11"/>
  <c r="AH1036" i="11"/>
  <c r="AH1035" i="11"/>
  <c r="AH1034" i="11"/>
  <c r="AH1033" i="11"/>
  <c r="AH1032" i="11"/>
  <c r="AH1031" i="11"/>
  <c r="AH1030" i="11"/>
  <c r="AH1029" i="11"/>
  <c r="AH1028" i="11"/>
  <c r="AH1027" i="11"/>
  <c r="AH1026" i="11"/>
  <c r="AH1025" i="11"/>
  <c r="AH1024" i="11"/>
  <c r="AH1023" i="11"/>
  <c r="AH1022" i="11"/>
  <c r="AH1021" i="11"/>
  <c r="AH1020" i="11"/>
  <c r="AH1019" i="11"/>
  <c r="AH1018" i="11"/>
  <c r="AH1017" i="11"/>
  <c r="AH1016" i="11"/>
  <c r="AH1015" i="11"/>
  <c r="AH1014" i="11"/>
  <c r="AH1013" i="11"/>
  <c r="AH1012" i="11"/>
  <c r="AH1011" i="11"/>
  <c r="AH1010" i="11"/>
  <c r="AH1009" i="11"/>
  <c r="AH1008" i="11"/>
  <c r="AH1007" i="11"/>
  <c r="AH1006" i="11"/>
  <c r="AH1005" i="11"/>
  <c r="AH1004" i="11"/>
  <c r="AH1003" i="11"/>
  <c r="AH1002" i="11"/>
  <c r="AH1001" i="11"/>
  <c r="AH1000" i="11"/>
  <c r="AH999" i="11"/>
  <c r="AH998" i="11"/>
  <c r="AH997" i="11"/>
  <c r="AH996" i="11"/>
  <c r="AH995" i="11"/>
  <c r="AH994" i="11"/>
  <c r="AH993" i="11"/>
  <c r="AH992" i="11"/>
  <c r="AH991" i="11"/>
  <c r="AH990" i="11"/>
  <c r="AH989" i="11"/>
  <c r="AH988" i="11"/>
  <c r="AH987" i="11"/>
  <c r="AH986" i="11"/>
  <c r="AH985" i="11"/>
  <c r="AH984" i="11"/>
  <c r="AH983" i="11"/>
  <c r="AH982" i="11"/>
  <c r="AH981" i="11"/>
  <c r="AH980" i="11"/>
  <c r="AH979" i="11"/>
  <c r="AH978" i="11"/>
  <c r="AH977" i="11"/>
  <c r="AH976" i="11"/>
  <c r="AH975" i="11"/>
  <c r="AH974" i="11"/>
  <c r="AH973" i="11"/>
  <c r="AH972" i="11"/>
  <c r="AH971" i="11"/>
  <c r="AH970" i="11"/>
  <c r="AH969" i="11"/>
  <c r="AH968" i="11"/>
  <c r="AH967" i="11"/>
  <c r="AH966" i="11"/>
  <c r="AH965" i="11"/>
  <c r="AH964" i="11"/>
  <c r="AH963" i="11"/>
  <c r="AH962" i="11"/>
  <c r="AH961" i="11"/>
  <c r="AH960" i="11"/>
  <c r="AH959" i="11"/>
  <c r="AH958" i="11"/>
  <c r="AH957" i="11"/>
  <c r="AH956" i="11"/>
  <c r="AH955" i="11"/>
  <c r="AH954" i="11"/>
  <c r="AH953" i="11"/>
  <c r="AH952" i="11"/>
  <c r="AH951" i="11"/>
  <c r="AH950" i="11"/>
  <c r="AH949" i="11"/>
  <c r="AH948" i="11"/>
  <c r="AH947" i="11"/>
  <c r="AH946" i="11"/>
  <c r="AH945" i="11"/>
  <c r="AH944" i="11"/>
  <c r="AH943" i="11"/>
  <c r="AH942" i="11"/>
  <c r="AH941" i="11"/>
  <c r="AH940" i="11"/>
  <c r="AH939" i="11"/>
  <c r="AH938" i="11"/>
  <c r="AH937" i="11"/>
  <c r="AH936" i="11"/>
  <c r="AH935" i="11"/>
  <c r="AH934" i="11"/>
  <c r="AH933" i="11"/>
  <c r="AH932" i="11"/>
  <c r="AH931" i="11"/>
  <c r="AH930" i="11"/>
  <c r="AH929" i="11"/>
  <c r="AH928" i="11"/>
  <c r="AH927" i="11"/>
  <c r="AH926" i="11"/>
  <c r="AH925" i="11"/>
  <c r="AH924" i="11"/>
  <c r="AH923" i="11"/>
  <c r="AH922" i="11"/>
  <c r="AH921" i="11"/>
  <c r="AH920" i="11"/>
  <c r="AH919" i="11"/>
  <c r="AH918" i="11"/>
  <c r="AH917" i="11"/>
  <c r="AH916" i="11"/>
  <c r="AH915" i="11"/>
  <c r="AH914" i="11"/>
  <c r="AH913" i="11"/>
  <c r="AH912" i="11"/>
  <c r="AH911" i="11"/>
  <c r="AH910" i="11"/>
  <c r="AH909" i="11"/>
  <c r="AH908" i="11"/>
  <c r="AH907" i="11"/>
  <c r="AH906" i="11"/>
  <c r="AH905" i="11"/>
  <c r="AH904" i="11"/>
  <c r="AH903" i="11"/>
  <c r="AH902" i="11"/>
  <c r="AH901" i="11"/>
  <c r="AH900" i="11"/>
  <c r="AH899" i="11"/>
  <c r="AH898" i="11"/>
  <c r="AH897" i="11"/>
  <c r="AH896" i="11"/>
  <c r="AH895" i="11"/>
  <c r="AH894" i="11"/>
  <c r="AH893" i="11"/>
  <c r="AH892" i="11"/>
  <c r="AH891" i="11"/>
  <c r="AH890" i="11"/>
  <c r="AH889" i="11"/>
  <c r="AH888" i="11"/>
  <c r="AH887" i="11"/>
  <c r="AH886" i="11"/>
  <c r="AH885" i="11"/>
  <c r="AH884" i="11"/>
  <c r="AH883" i="11"/>
  <c r="AH882" i="11"/>
  <c r="AH881" i="11"/>
  <c r="AH880" i="11"/>
  <c r="AH879" i="11"/>
  <c r="AH878" i="11"/>
  <c r="AH877" i="11"/>
  <c r="AH876" i="11"/>
  <c r="AH875" i="11"/>
  <c r="AH874" i="11"/>
  <c r="AH873" i="11"/>
  <c r="AH872" i="11"/>
  <c r="AH871" i="11"/>
  <c r="AH870" i="11"/>
  <c r="AH869" i="11"/>
  <c r="AH868" i="11"/>
  <c r="AH867" i="11"/>
  <c r="AH866" i="11"/>
  <c r="AH865" i="11"/>
  <c r="AH864" i="11"/>
  <c r="AH863" i="11"/>
  <c r="AH862" i="11"/>
  <c r="AH861" i="11"/>
  <c r="AH860" i="11"/>
  <c r="AH859" i="11"/>
  <c r="AH858" i="11"/>
  <c r="AH857" i="11"/>
  <c r="AH856" i="11"/>
  <c r="AH855" i="11"/>
  <c r="AH854" i="11"/>
  <c r="AH853" i="11"/>
  <c r="AH852" i="11"/>
  <c r="AH851" i="11"/>
  <c r="AH850" i="11"/>
  <c r="AH849" i="11"/>
  <c r="AH848" i="11"/>
  <c r="AH847" i="11"/>
  <c r="AH846" i="11"/>
  <c r="AH845" i="11"/>
  <c r="AH844" i="11"/>
  <c r="AH843" i="11"/>
  <c r="AH842" i="11"/>
  <c r="AH841" i="11"/>
  <c r="AH840" i="11"/>
  <c r="AH839" i="11"/>
  <c r="AH838" i="11"/>
  <c r="AH837" i="11"/>
  <c r="AH836" i="11"/>
  <c r="AH835" i="11"/>
  <c r="AH834" i="11"/>
  <c r="AH833" i="11"/>
  <c r="AH832" i="11"/>
  <c r="AH831" i="11"/>
  <c r="AH830" i="11"/>
  <c r="AH829" i="11"/>
  <c r="AH828" i="11"/>
  <c r="AH827" i="11"/>
  <c r="AH826" i="11"/>
  <c r="AH825" i="11"/>
  <c r="AH824" i="11"/>
  <c r="AH823" i="11"/>
  <c r="AH822" i="11"/>
  <c r="AH821" i="11"/>
  <c r="AH820" i="11"/>
  <c r="AH819" i="11"/>
  <c r="AH818" i="11"/>
  <c r="AH817" i="11"/>
  <c r="AH816" i="11"/>
  <c r="AH815" i="11"/>
  <c r="AH814" i="11"/>
  <c r="AH813" i="11"/>
  <c r="AH812" i="11"/>
  <c r="AH811" i="11"/>
  <c r="AH810" i="11"/>
  <c r="AH809" i="11"/>
  <c r="AH808" i="11"/>
  <c r="AH807" i="11"/>
  <c r="AH806" i="11"/>
  <c r="AH805" i="11"/>
  <c r="AH804" i="11"/>
  <c r="AH803" i="11"/>
  <c r="AH802" i="11"/>
  <c r="AH801" i="11"/>
  <c r="AH800" i="11"/>
  <c r="AH799" i="11"/>
  <c r="AH798" i="11"/>
  <c r="AH797" i="11"/>
  <c r="AH796" i="11"/>
  <c r="AH795" i="11"/>
  <c r="AH794" i="11"/>
  <c r="AH793" i="11"/>
  <c r="AH792" i="11"/>
  <c r="AH791" i="11"/>
  <c r="AH790" i="11"/>
  <c r="AH789" i="11"/>
  <c r="AH788" i="11"/>
  <c r="AH787" i="11"/>
  <c r="AH786" i="11"/>
  <c r="AH785" i="11"/>
  <c r="AH784" i="11"/>
  <c r="AH783" i="11"/>
  <c r="AH782" i="11"/>
  <c r="AH781" i="11"/>
  <c r="AH780" i="11"/>
  <c r="AH779" i="11"/>
  <c r="AH778" i="11"/>
  <c r="AH777" i="11"/>
  <c r="AH776" i="11"/>
  <c r="AH775" i="11"/>
  <c r="AH774" i="11"/>
  <c r="AH773" i="11"/>
  <c r="AH772" i="11"/>
  <c r="AH771" i="11"/>
  <c r="AH770" i="11"/>
  <c r="AH769" i="11"/>
  <c r="AH768" i="11"/>
  <c r="AH767" i="11"/>
  <c r="AH766" i="11"/>
  <c r="AH765" i="11"/>
  <c r="AH764" i="11"/>
  <c r="AH763" i="11"/>
  <c r="AH762" i="11"/>
  <c r="AH761" i="11"/>
  <c r="AH760" i="11"/>
  <c r="AH759" i="11"/>
  <c r="AH758" i="11"/>
  <c r="AH757" i="11"/>
  <c r="AH756" i="11"/>
  <c r="AH755" i="11"/>
  <c r="AH754" i="11"/>
  <c r="AH753" i="11"/>
  <c r="AH752" i="11"/>
  <c r="AH751" i="11"/>
  <c r="AH750" i="11"/>
  <c r="AH749" i="11"/>
  <c r="AH748" i="11"/>
  <c r="AH747" i="11"/>
  <c r="AH746" i="11"/>
  <c r="AH745" i="11"/>
  <c r="AH744" i="11"/>
  <c r="AH743" i="11"/>
  <c r="AH742" i="11"/>
  <c r="AH741" i="11"/>
  <c r="AH740" i="11"/>
  <c r="AH739" i="11"/>
  <c r="AH738" i="11"/>
  <c r="AH737" i="11"/>
  <c r="AH736" i="11"/>
  <c r="AH735" i="11"/>
  <c r="AH734" i="11"/>
  <c r="AH733" i="11"/>
  <c r="AH732" i="11"/>
  <c r="AH731" i="11"/>
  <c r="AH730" i="11"/>
  <c r="AH729" i="11"/>
  <c r="AH728" i="11"/>
  <c r="AH727" i="11"/>
  <c r="AH726" i="11"/>
  <c r="AH725" i="11"/>
  <c r="AH724" i="11"/>
  <c r="AH723" i="11"/>
  <c r="AH722" i="11"/>
  <c r="AH721" i="11"/>
  <c r="AH720" i="11"/>
  <c r="AH719" i="11"/>
  <c r="AH718" i="11"/>
  <c r="AH717" i="11"/>
  <c r="AH716" i="11"/>
  <c r="AH715" i="11"/>
  <c r="AH714" i="11"/>
  <c r="AH713" i="11"/>
  <c r="AH712" i="11"/>
  <c r="AH711" i="11"/>
  <c r="AH710" i="11"/>
  <c r="AH709" i="11"/>
  <c r="AH708" i="11"/>
  <c r="AH707" i="11"/>
  <c r="AH706" i="11"/>
  <c r="AH705" i="11"/>
  <c r="AH704" i="11"/>
  <c r="AH703" i="11"/>
  <c r="AH702" i="11"/>
  <c r="AH701" i="11"/>
  <c r="AH700" i="11"/>
  <c r="AH699" i="11"/>
  <c r="AH698" i="11"/>
  <c r="AH697" i="11"/>
  <c r="AH696" i="11"/>
  <c r="AH695" i="11"/>
  <c r="AH694" i="11"/>
  <c r="AH693" i="11"/>
  <c r="AH692" i="11"/>
  <c r="AH691" i="11"/>
  <c r="AH690" i="11"/>
  <c r="AH689" i="11"/>
  <c r="AH688" i="11"/>
  <c r="AH687" i="11"/>
  <c r="AH686" i="11"/>
  <c r="AH685" i="11"/>
  <c r="AH684" i="11"/>
  <c r="AH683" i="11"/>
  <c r="AH682" i="11"/>
  <c r="AH681" i="11"/>
  <c r="AH680" i="11"/>
  <c r="AH679" i="11"/>
  <c r="AH678" i="11"/>
  <c r="AH677" i="11"/>
  <c r="AH676" i="11"/>
  <c r="AH675" i="11"/>
  <c r="AH674" i="11"/>
  <c r="AH673" i="11"/>
  <c r="AH672" i="11"/>
  <c r="AH671" i="11"/>
  <c r="AH670" i="11"/>
  <c r="AH669" i="11"/>
  <c r="AH668" i="11"/>
  <c r="AH667" i="11"/>
  <c r="AH666" i="11"/>
  <c r="AH665" i="11"/>
  <c r="AH664" i="11"/>
  <c r="AH663" i="11"/>
  <c r="AH662" i="11"/>
  <c r="AH661" i="11"/>
  <c r="AH660" i="11"/>
  <c r="AH659" i="11"/>
  <c r="AH658" i="11"/>
  <c r="AH657" i="11"/>
  <c r="AH656" i="11"/>
  <c r="AH655" i="11"/>
  <c r="AH654" i="11"/>
  <c r="AH653" i="11"/>
  <c r="AH652" i="11"/>
  <c r="AH651" i="11"/>
  <c r="AH650" i="11"/>
  <c r="AH649" i="11"/>
  <c r="AH648" i="11"/>
  <c r="AH647" i="11"/>
  <c r="AH646" i="11"/>
  <c r="AH645" i="11"/>
  <c r="AH644" i="11"/>
  <c r="AH643" i="11"/>
  <c r="AH642" i="11"/>
  <c r="AH641" i="11"/>
  <c r="AH640" i="11"/>
  <c r="AH639" i="11"/>
  <c r="AH638" i="11"/>
  <c r="AH637" i="11"/>
  <c r="AH636" i="11"/>
  <c r="AH635" i="11"/>
  <c r="AH634" i="11"/>
  <c r="AH633" i="11"/>
  <c r="AH632" i="11"/>
  <c r="AH631" i="11"/>
  <c r="AH630" i="11"/>
  <c r="AH629" i="11"/>
  <c r="AH628" i="11"/>
  <c r="AH627" i="11"/>
  <c r="AH626" i="11"/>
  <c r="AH625" i="11"/>
  <c r="AH624" i="11"/>
  <c r="AH623" i="11"/>
  <c r="AH622" i="11"/>
  <c r="AH621" i="11"/>
  <c r="AH620" i="11"/>
  <c r="AH619" i="11"/>
  <c r="AH618" i="11"/>
  <c r="AH617" i="11"/>
  <c r="AH616" i="11"/>
  <c r="AH615" i="11"/>
  <c r="AH614" i="11"/>
  <c r="AH613" i="11"/>
  <c r="AH612" i="11"/>
  <c r="AH611" i="11"/>
  <c r="AH610" i="11"/>
  <c r="AH609" i="11"/>
  <c r="AH608" i="11"/>
  <c r="AH607" i="11"/>
  <c r="AH606" i="11"/>
  <c r="AH605" i="11"/>
  <c r="AH604" i="11"/>
  <c r="AH603" i="11"/>
  <c r="AH602" i="11"/>
  <c r="AH601" i="11"/>
  <c r="AH600" i="11"/>
  <c r="AH599" i="11"/>
  <c r="AH598" i="11"/>
  <c r="AH597" i="11"/>
  <c r="AH596" i="11"/>
  <c r="AH595" i="11"/>
  <c r="AH594" i="11"/>
  <c r="AH593" i="11"/>
  <c r="AH592" i="11"/>
  <c r="AH591" i="11"/>
  <c r="AH590" i="11"/>
  <c r="AH589" i="11"/>
  <c r="AH588" i="11"/>
  <c r="AH587" i="11"/>
  <c r="AH586" i="11"/>
  <c r="AH585" i="11"/>
  <c r="AH584" i="11"/>
  <c r="AH583" i="11"/>
  <c r="AH582" i="11"/>
  <c r="AH581" i="11"/>
  <c r="AH580" i="11"/>
  <c r="AH579" i="11"/>
  <c r="AH578" i="11"/>
  <c r="AH577" i="11"/>
  <c r="AH576" i="11"/>
  <c r="AH575" i="11"/>
  <c r="Y575" i="11"/>
  <c r="AH574" i="11"/>
  <c r="AH573" i="11"/>
  <c r="AH572" i="11"/>
  <c r="AH571" i="11"/>
  <c r="AH570" i="11"/>
  <c r="AH569" i="11"/>
  <c r="AA569" i="11"/>
  <c r="Z569" i="11"/>
  <c r="Y569" i="11"/>
  <c r="AH568" i="11"/>
  <c r="AH567" i="11"/>
  <c r="AB567" i="11"/>
  <c r="AH566" i="11"/>
  <c r="AB566" i="11"/>
  <c r="AH565" i="11"/>
  <c r="E565" i="11"/>
  <c r="AH564" i="11"/>
  <c r="AH563" i="11"/>
  <c r="O562" i="11"/>
  <c r="N562" i="11"/>
  <c r="AH561" i="11"/>
  <c r="R560" i="11"/>
  <c r="R559" i="11"/>
  <c r="L559" i="11"/>
  <c r="AM558" i="11"/>
  <c r="AK558" i="11"/>
  <c r="AF558" i="11"/>
  <c r="AL558" i="11" s="1"/>
  <c r="V558" i="11"/>
  <c r="S558" i="11"/>
  <c r="R558" i="11"/>
  <c r="AM557" i="11"/>
  <c r="AK557" i="11"/>
  <c r="AF557" i="11"/>
  <c r="AL557" i="11" s="1"/>
  <c r="V557" i="11"/>
  <c r="S557" i="11"/>
  <c r="R557" i="11"/>
  <c r="AM556" i="11"/>
  <c r="AK556" i="11"/>
  <c r="AF556" i="11"/>
  <c r="AL556" i="11" s="1"/>
  <c r="V556" i="11"/>
  <c r="V555" i="11" s="1"/>
  <c r="S556" i="11"/>
  <c r="R556" i="11"/>
  <c r="AJ555" i="11"/>
  <c r="AI555" i="11"/>
  <c r="AG555" i="11"/>
  <c r="AD555" i="11"/>
  <c r="AC555" i="11"/>
  <c r="AB555" i="11"/>
  <c r="X555" i="11"/>
  <c r="W555" i="11"/>
  <c r="R555" i="11"/>
  <c r="Q555" i="11"/>
  <c r="AM554" i="11"/>
  <c r="AK554" i="11"/>
  <c r="AF554" i="11"/>
  <c r="AL554" i="11" s="1"/>
  <c r="V554" i="11"/>
  <c r="S554" i="11"/>
  <c r="R554" i="11"/>
  <c r="AM553" i="11"/>
  <c r="AK553" i="11"/>
  <c r="AF553" i="11"/>
  <c r="AL553" i="11" s="1"/>
  <c r="V553" i="11"/>
  <c r="S553" i="11"/>
  <c r="R553" i="11"/>
  <c r="AM552" i="11"/>
  <c r="AK552" i="11"/>
  <c r="AF552" i="11"/>
  <c r="AL552" i="11" s="1"/>
  <c r="V552" i="11"/>
  <c r="S552" i="11"/>
  <c r="R552" i="11"/>
  <c r="AM551" i="11"/>
  <c r="AK551" i="11"/>
  <c r="AF551" i="11"/>
  <c r="AL551" i="11" s="1"/>
  <c r="V551" i="11"/>
  <c r="S551" i="11"/>
  <c r="R551" i="11"/>
  <c r="AJ550" i="11"/>
  <c r="AI550" i="11"/>
  <c r="AG550" i="11"/>
  <c r="AD550" i="11"/>
  <c r="AD559" i="11" s="1"/>
  <c r="AC550" i="11"/>
  <c r="AC559" i="11" s="1"/>
  <c r="AB550" i="11"/>
  <c r="AB559" i="11" s="1"/>
  <c r="X550" i="11"/>
  <c r="X559" i="11" s="1"/>
  <c r="W550" i="11"/>
  <c r="W559" i="11" s="1"/>
  <c r="R550" i="11"/>
  <c r="Q550" i="11"/>
  <c r="S550" i="11" s="1"/>
  <c r="R549" i="11"/>
  <c r="R548" i="11"/>
  <c r="AM547" i="11"/>
  <c r="AK547" i="11"/>
  <c r="AF547" i="11"/>
  <c r="AL547" i="11" s="1"/>
  <c r="V547" i="11"/>
  <c r="S547" i="11"/>
  <c r="R547" i="11"/>
  <c r="AM546" i="11"/>
  <c r="AK546" i="11"/>
  <c r="AF546" i="11"/>
  <c r="AL546" i="11" s="1"/>
  <c r="V546" i="11"/>
  <c r="S546" i="11"/>
  <c r="R546" i="11"/>
  <c r="AM545" i="11"/>
  <c r="AK545" i="11"/>
  <c r="AF545" i="11"/>
  <c r="AL545" i="11" s="1"/>
  <c r="V545" i="11"/>
  <c r="S545" i="11"/>
  <c r="R545" i="11"/>
  <c r="AM544" i="11"/>
  <c r="AK544" i="11"/>
  <c r="AF544" i="11"/>
  <c r="AL544" i="11" s="1"/>
  <c r="V544" i="11"/>
  <c r="S544" i="11"/>
  <c r="R544" i="11"/>
  <c r="AM543" i="11"/>
  <c r="AK543" i="11"/>
  <c r="AF543" i="11"/>
  <c r="AL543" i="11" s="1"/>
  <c r="V543" i="11"/>
  <c r="S543" i="11"/>
  <c r="R543" i="11"/>
  <c r="AM542" i="11"/>
  <c r="AK542" i="11"/>
  <c r="AF542" i="11"/>
  <c r="AL542" i="11" s="1"/>
  <c r="V542" i="11"/>
  <c r="S542" i="11"/>
  <c r="R542" i="11"/>
  <c r="AM541" i="11"/>
  <c r="AK541" i="11"/>
  <c r="AF541" i="11"/>
  <c r="AL541" i="11" s="1"/>
  <c r="V541" i="11"/>
  <c r="S541" i="11"/>
  <c r="R541" i="11"/>
  <c r="AM540" i="11"/>
  <c r="AK540" i="11"/>
  <c r="AF540" i="11"/>
  <c r="V540" i="11"/>
  <c r="S540" i="11"/>
  <c r="R540" i="11"/>
  <c r="AM539" i="11"/>
  <c r="AJ539" i="11"/>
  <c r="AJ536" i="11" s="1"/>
  <c r="AI539" i="11"/>
  <c r="AI536" i="11" s="1"/>
  <c r="AG539" i="11"/>
  <c r="AD539" i="11"/>
  <c r="AC539" i="11"/>
  <c r="AC536" i="11" s="1"/>
  <c r="AB539" i="11"/>
  <c r="AB536" i="11" s="1"/>
  <c r="X539" i="11"/>
  <c r="X536" i="11" s="1"/>
  <c r="W539" i="11"/>
  <c r="R539" i="11"/>
  <c r="Q539" i="11"/>
  <c r="AM538" i="11"/>
  <c r="AK538" i="11"/>
  <c r="AF538" i="11"/>
  <c r="AL538" i="11" s="1"/>
  <c r="V538" i="11"/>
  <c r="S538" i="11"/>
  <c r="R538" i="11"/>
  <c r="AM537" i="11"/>
  <c r="AK537" i="11"/>
  <c r="AF537" i="11"/>
  <c r="AL537" i="11" s="1"/>
  <c r="V537" i="11"/>
  <c r="S537" i="11"/>
  <c r="R537" i="11"/>
  <c r="AG536" i="11"/>
  <c r="AD536" i="11"/>
  <c r="W536" i="11"/>
  <c r="R536" i="11"/>
  <c r="AM535" i="11"/>
  <c r="AK535" i="11"/>
  <c r="AF535" i="11"/>
  <c r="AL535" i="11" s="1"/>
  <c r="V535" i="11"/>
  <c r="S535" i="11"/>
  <c r="R535" i="11"/>
  <c r="AM534" i="11"/>
  <c r="AK534" i="11"/>
  <c r="AF534" i="11"/>
  <c r="AL534" i="11" s="1"/>
  <c r="V534" i="11"/>
  <c r="S534" i="11"/>
  <c r="R534" i="11"/>
  <c r="AM533" i="11"/>
  <c r="AK533" i="11"/>
  <c r="AF533" i="11"/>
  <c r="AL533" i="11" s="1"/>
  <c r="V533" i="11"/>
  <c r="S533" i="11"/>
  <c r="R533" i="11"/>
  <c r="AM532" i="11"/>
  <c r="AK532" i="11"/>
  <c r="AF532" i="11"/>
  <c r="AL532" i="11" s="1"/>
  <c r="V532" i="11"/>
  <c r="S532" i="11"/>
  <c r="R532" i="11"/>
  <c r="AM531" i="11"/>
  <c r="AK531" i="11"/>
  <c r="AF531" i="11"/>
  <c r="AL531" i="11" s="1"/>
  <c r="V531" i="11"/>
  <c r="S531" i="11"/>
  <c r="R531" i="11"/>
  <c r="AM530" i="11"/>
  <c r="AK530" i="11"/>
  <c r="AF530" i="11"/>
  <c r="AL530" i="11" s="1"/>
  <c r="V530" i="11"/>
  <c r="S530" i="11"/>
  <c r="R530" i="11"/>
  <c r="AM529" i="11"/>
  <c r="AK529" i="11"/>
  <c r="AF529" i="11"/>
  <c r="AL529" i="11" s="1"/>
  <c r="V529" i="11"/>
  <c r="S529" i="11"/>
  <c r="R529" i="11"/>
  <c r="AM528" i="11"/>
  <c r="AK528" i="11"/>
  <c r="AF528" i="11"/>
  <c r="AL528" i="11" s="1"/>
  <c r="AL527" i="11" s="1"/>
  <c r="V528" i="11"/>
  <c r="S528" i="11"/>
  <c r="R528" i="11"/>
  <c r="AK527" i="11"/>
  <c r="AJ527" i="11"/>
  <c r="AJ525" i="11" s="1"/>
  <c r="AI527" i="11"/>
  <c r="AI525" i="11" s="1"/>
  <c r="AG527" i="11"/>
  <c r="AD527" i="11"/>
  <c r="AD525" i="11" s="1"/>
  <c r="AC527" i="11"/>
  <c r="AC525" i="11" s="1"/>
  <c r="AB527" i="11"/>
  <c r="AB525" i="11" s="1"/>
  <c r="X527" i="11"/>
  <c r="X525" i="11" s="1"/>
  <c r="W527" i="11"/>
  <c r="W525" i="11" s="1"/>
  <c r="R527" i="11"/>
  <c r="Q527" i="11"/>
  <c r="AM526" i="11"/>
  <c r="AK526" i="11"/>
  <c r="AF526" i="11"/>
  <c r="AL526" i="11" s="1"/>
  <c r="V526" i="11"/>
  <c r="S526" i="11"/>
  <c r="R526" i="11"/>
  <c r="R525" i="11"/>
  <c r="AM524" i="11"/>
  <c r="AK524" i="11"/>
  <c r="AF524" i="11"/>
  <c r="V524" i="11"/>
  <c r="S524" i="11"/>
  <c r="R524" i="11"/>
  <c r="AM523" i="11"/>
  <c r="AK523" i="11"/>
  <c r="AF523" i="11"/>
  <c r="AL523" i="11" s="1"/>
  <c r="V523" i="11"/>
  <c r="S523" i="11"/>
  <c r="R523" i="11"/>
  <c r="AJ522" i="11"/>
  <c r="AI522" i="11"/>
  <c r="AG522" i="11"/>
  <c r="AD522" i="11"/>
  <c r="AC522" i="11"/>
  <c r="AB522" i="11"/>
  <c r="X522" i="11"/>
  <c r="W522" i="11"/>
  <c r="R522" i="11"/>
  <c r="Q522" i="11"/>
  <c r="R521" i="11"/>
  <c r="AM520" i="11"/>
  <c r="AK520" i="11"/>
  <c r="AF520" i="11"/>
  <c r="AL520" i="11" s="1"/>
  <c r="V520" i="11"/>
  <c r="S520" i="11"/>
  <c r="R520" i="11"/>
  <c r="AM519" i="11"/>
  <c r="AK519" i="11"/>
  <c r="AF519" i="11"/>
  <c r="AL519" i="11" s="1"/>
  <c r="V519" i="11"/>
  <c r="S519" i="11"/>
  <c r="R519" i="11"/>
  <c r="R518" i="11"/>
  <c r="AM517" i="11"/>
  <c r="AK517" i="11"/>
  <c r="AF517" i="11"/>
  <c r="AL517" i="11" s="1"/>
  <c r="V517" i="11"/>
  <c r="S517" i="11"/>
  <c r="R517" i="11"/>
  <c r="R516" i="11"/>
  <c r="AM515" i="11"/>
  <c r="AK515" i="11"/>
  <c r="AF515" i="11"/>
  <c r="AL515" i="11" s="1"/>
  <c r="V515" i="11"/>
  <c r="S515" i="11"/>
  <c r="R515" i="11"/>
  <c r="AM514" i="11"/>
  <c r="AK514" i="11"/>
  <c r="AF514" i="11"/>
  <c r="AL514" i="11" s="1"/>
  <c r="V514" i="11"/>
  <c r="S514" i="11"/>
  <c r="R514" i="11"/>
  <c r="AM513" i="11"/>
  <c r="AK513" i="11"/>
  <c r="AF513" i="11"/>
  <c r="AL513" i="11" s="1"/>
  <c r="V513" i="11"/>
  <c r="S513" i="11"/>
  <c r="R513" i="11"/>
  <c r="AM512" i="11"/>
  <c r="AK512" i="11"/>
  <c r="AF512" i="11"/>
  <c r="AL512" i="11" s="1"/>
  <c r="V512" i="11"/>
  <c r="S512" i="11"/>
  <c r="R512" i="11"/>
  <c r="AM511" i="11"/>
  <c r="AK511" i="11"/>
  <c r="AF511" i="11"/>
  <c r="AL511" i="11" s="1"/>
  <c r="V511" i="11"/>
  <c r="S511" i="11"/>
  <c r="R511" i="11"/>
  <c r="AM510" i="11"/>
  <c r="AK510" i="11"/>
  <c r="AF510" i="11"/>
  <c r="AL510" i="11" s="1"/>
  <c r="V510" i="11"/>
  <c r="S510" i="11"/>
  <c r="R510" i="11"/>
  <c r="AM509" i="11"/>
  <c r="AK509" i="11"/>
  <c r="AF509" i="11"/>
  <c r="AL509" i="11" s="1"/>
  <c r="V509" i="11"/>
  <c r="S509" i="11"/>
  <c r="R509" i="11"/>
  <c r="AM508" i="11"/>
  <c r="AK508" i="11"/>
  <c r="AF508" i="11"/>
  <c r="AL508" i="11" s="1"/>
  <c r="V508" i="11"/>
  <c r="S508" i="11"/>
  <c r="R508" i="11"/>
  <c r="AJ507" i="11"/>
  <c r="AJ505" i="11" s="1"/>
  <c r="AI507" i="11"/>
  <c r="AI505" i="11" s="1"/>
  <c r="AG507" i="11"/>
  <c r="AD507" i="11"/>
  <c r="AD505" i="11" s="1"/>
  <c r="AC507" i="11"/>
  <c r="AC505" i="11" s="1"/>
  <c r="AB507" i="11"/>
  <c r="AB505" i="11" s="1"/>
  <c r="X507" i="11"/>
  <c r="W507" i="11"/>
  <c r="R507" i="11"/>
  <c r="Q507" i="11"/>
  <c r="S507" i="11" s="1"/>
  <c r="AM506" i="11"/>
  <c r="AK506" i="11"/>
  <c r="AF506" i="11"/>
  <c r="V506" i="11"/>
  <c r="S506" i="11"/>
  <c r="R506" i="11"/>
  <c r="X505" i="11"/>
  <c r="W505" i="11"/>
  <c r="R505" i="11"/>
  <c r="AM504" i="11"/>
  <c r="AK504" i="11"/>
  <c r="AF504" i="11"/>
  <c r="AL504" i="11" s="1"/>
  <c r="V504" i="11"/>
  <c r="S504" i="11"/>
  <c r="R504" i="11"/>
  <c r="AM503" i="11"/>
  <c r="AK503" i="11"/>
  <c r="AF503" i="11"/>
  <c r="V503" i="11"/>
  <c r="S503" i="11"/>
  <c r="R503" i="11"/>
  <c r="AM502" i="11"/>
  <c r="AK502" i="11"/>
  <c r="AF502" i="11"/>
  <c r="AL502" i="11" s="1"/>
  <c r="V502" i="11"/>
  <c r="S502" i="11"/>
  <c r="R502" i="11"/>
  <c r="AM501" i="11"/>
  <c r="AK501" i="11"/>
  <c r="AF501" i="11"/>
  <c r="AL501" i="11" s="1"/>
  <c r="V501" i="11"/>
  <c r="S501" i="11"/>
  <c r="R501" i="11"/>
  <c r="AM500" i="11"/>
  <c r="AK500" i="11"/>
  <c r="AF500" i="11"/>
  <c r="AL500" i="11" s="1"/>
  <c r="V500" i="11"/>
  <c r="S500" i="11"/>
  <c r="R500" i="11"/>
  <c r="AM499" i="11"/>
  <c r="AK499" i="11"/>
  <c r="AF499" i="11"/>
  <c r="AL499" i="11" s="1"/>
  <c r="V499" i="11"/>
  <c r="S499" i="11"/>
  <c r="R499" i="11"/>
  <c r="AM498" i="11"/>
  <c r="AM497" i="11" s="1"/>
  <c r="AK498" i="11"/>
  <c r="AF498" i="11"/>
  <c r="AL498" i="11" s="1"/>
  <c r="V498" i="11"/>
  <c r="S498" i="11"/>
  <c r="R498" i="11"/>
  <c r="AJ497" i="11"/>
  <c r="AJ494" i="11" s="1"/>
  <c r="AI497" i="11"/>
  <c r="AI494" i="11" s="1"/>
  <c r="AG497" i="11"/>
  <c r="AG494" i="11" s="1"/>
  <c r="AD497" i="11"/>
  <c r="AD494" i="11" s="1"/>
  <c r="AD492" i="11" s="1"/>
  <c r="AD490" i="11" s="1"/>
  <c r="AC497" i="11"/>
  <c r="AC494" i="11" s="1"/>
  <c r="AB497" i="11"/>
  <c r="AB494" i="11" s="1"/>
  <c r="X497" i="11"/>
  <c r="X494" i="11" s="1"/>
  <c r="W497" i="11"/>
  <c r="W494" i="11" s="1"/>
  <c r="R497" i="11"/>
  <c r="Q497" i="11"/>
  <c r="AM496" i="11"/>
  <c r="AK496" i="11"/>
  <c r="AF496" i="11"/>
  <c r="AL496" i="11" s="1"/>
  <c r="V496" i="11"/>
  <c r="S496" i="11"/>
  <c r="R496" i="11"/>
  <c r="AM495" i="11"/>
  <c r="AK495" i="11"/>
  <c r="AF495" i="11"/>
  <c r="V495" i="11"/>
  <c r="S495" i="11"/>
  <c r="R495" i="11"/>
  <c r="R494" i="11"/>
  <c r="AM493" i="11"/>
  <c r="AK493" i="11"/>
  <c r="AF493" i="11"/>
  <c r="AL493" i="11" s="1"/>
  <c r="V493" i="11"/>
  <c r="S493" i="11"/>
  <c r="R493" i="11"/>
  <c r="R492" i="11"/>
  <c r="AM491" i="11"/>
  <c r="AK491" i="11"/>
  <c r="AF491" i="11"/>
  <c r="AL491" i="11" s="1"/>
  <c r="V491" i="11"/>
  <c r="S491" i="11"/>
  <c r="R491" i="11"/>
  <c r="R490" i="11"/>
  <c r="AJ489" i="11"/>
  <c r="AI489" i="11"/>
  <c r="AG489" i="11"/>
  <c r="AD489" i="11"/>
  <c r="AC489" i="11"/>
  <c r="AB489" i="11"/>
  <c r="X489" i="11"/>
  <c r="W489" i="11"/>
  <c r="R489" i="11"/>
  <c r="Q489" i="11"/>
  <c r="S489" i="11" s="1"/>
  <c r="AM488" i="11"/>
  <c r="AK488" i="11"/>
  <c r="AF488" i="11"/>
  <c r="AL488" i="11" s="1"/>
  <c r="V488" i="11"/>
  <c r="S488" i="11"/>
  <c r="R488" i="11"/>
  <c r="AM487" i="11"/>
  <c r="AK487" i="11"/>
  <c r="AK489" i="11" s="1"/>
  <c r="AF487" i="11"/>
  <c r="V487" i="11"/>
  <c r="S487" i="11"/>
  <c r="R487" i="11"/>
  <c r="R486" i="11"/>
  <c r="AM485" i="11"/>
  <c r="AK485" i="11"/>
  <c r="AF485" i="11"/>
  <c r="AL485" i="11" s="1"/>
  <c r="V485" i="11"/>
  <c r="S485" i="11"/>
  <c r="R485" i="11"/>
  <c r="AM484" i="11"/>
  <c r="AK484" i="11"/>
  <c r="AF484" i="11"/>
  <c r="V484" i="11"/>
  <c r="V483" i="11" s="1"/>
  <c r="S484" i="11"/>
  <c r="R484" i="11"/>
  <c r="AJ483" i="11"/>
  <c r="AI483" i="11"/>
  <c r="AG483" i="11"/>
  <c r="AD483" i="11"/>
  <c r="AC483" i="11"/>
  <c r="AB483" i="11"/>
  <c r="X483" i="11"/>
  <c r="W483" i="11"/>
  <c r="R483" i="11"/>
  <c r="Q483" i="11"/>
  <c r="S483" i="11" s="1"/>
  <c r="AM482" i="11"/>
  <c r="AK482" i="11"/>
  <c r="AF482" i="11"/>
  <c r="AL482" i="11" s="1"/>
  <c r="V482" i="11"/>
  <c r="S482" i="11"/>
  <c r="R482" i="11"/>
  <c r="AM481" i="11"/>
  <c r="AK481" i="11"/>
  <c r="AF481" i="11"/>
  <c r="AL481" i="11" s="1"/>
  <c r="V481" i="11"/>
  <c r="S481" i="11"/>
  <c r="R481" i="11"/>
  <c r="AM480" i="11"/>
  <c r="AK480" i="11"/>
  <c r="AF480" i="11"/>
  <c r="V480" i="11"/>
  <c r="S480" i="11"/>
  <c r="R480" i="11"/>
  <c r="AJ479" i="11"/>
  <c r="AI479" i="11"/>
  <c r="AG479" i="11"/>
  <c r="AD479" i="11"/>
  <c r="AC479" i="11"/>
  <c r="AB479" i="11"/>
  <c r="X479" i="11"/>
  <c r="W479" i="11"/>
  <c r="R479" i="11"/>
  <c r="Q479" i="11"/>
  <c r="S479" i="11" s="1"/>
  <c r="AM478" i="11"/>
  <c r="AK478" i="11"/>
  <c r="AF478" i="11"/>
  <c r="AL478" i="11" s="1"/>
  <c r="V478" i="11"/>
  <c r="S478" i="11"/>
  <c r="R478" i="11"/>
  <c r="AM477" i="11"/>
  <c r="AK477" i="11"/>
  <c r="AF477" i="11"/>
  <c r="AL477" i="11" s="1"/>
  <c r="V477" i="11"/>
  <c r="S477" i="11"/>
  <c r="R477" i="11"/>
  <c r="AM476" i="11"/>
  <c r="AK476" i="11"/>
  <c r="AF476" i="11"/>
  <c r="AL476" i="11" s="1"/>
  <c r="V476" i="11"/>
  <c r="S476" i="11"/>
  <c r="R476" i="11"/>
  <c r="AM475" i="11"/>
  <c r="AK475" i="11"/>
  <c r="AF475" i="11"/>
  <c r="AL475" i="11" s="1"/>
  <c r="V475" i="11"/>
  <c r="S475" i="11"/>
  <c r="R475" i="11"/>
  <c r="AM474" i="11"/>
  <c r="AK474" i="11"/>
  <c r="AF474" i="11"/>
  <c r="V474" i="11"/>
  <c r="V473" i="11" s="1"/>
  <c r="S474" i="11"/>
  <c r="R474" i="11"/>
  <c r="AJ473" i="11"/>
  <c r="AI473" i="11"/>
  <c r="AG473" i="11"/>
  <c r="AD473" i="11"/>
  <c r="AC473" i="11"/>
  <c r="AB473" i="11"/>
  <c r="X473" i="11"/>
  <c r="W473" i="11"/>
  <c r="R473" i="11"/>
  <c r="Q473" i="11"/>
  <c r="S473" i="11" s="1"/>
  <c r="AM472" i="11"/>
  <c r="AK472" i="11"/>
  <c r="AF472" i="11"/>
  <c r="AL472" i="11" s="1"/>
  <c r="V472" i="11"/>
  <c r="S472" i="11"/>
  <c r="R472" i="11"/>
  <c r="AM471" i="11"/>
  <c r="AK471" i="11"/>
  <c r="AF471" i="11"/>
  <c r="V471" i="11"/>
  <c r="S471" i="11"/>
  <c r="R471" i="11"/>
  <c r="AM470" i="11"/>
  <c r="AM469" i="11" s="1"/>
  <c r="AK470" i="11"/>
  <c r="AK469" i="11" s="1"/>
  <c r="AF470" i="11"/>
  <c r="AL470" i="11" s="1"/>
  <c r="V470" i="11"/>
  <c r="S470" i="11"/>
  <c r="R470" i="11"/>
  <c r="AJ469" i="11"/>
  <c r="AI469" i="11"/>
  <c r="AG469" i="11"/>
  <c r="AD469" i="11"/>
  <c r="AC469" i="11"/>
  <c r="AB469" i="11"/>
  <c r="X469" i="11"/>
  <c r="W469" i="11"/>
  <c r="R469" i="11"/>
  <c r="Q469" i="11"/>
  <c r="Q486" i="11" s="1"/>
  <c r="S486" i="11" s="1"/>
  <c r="R468" i="11"/>
  <c r="AM467" i="11"/>
  <c r="AK467" i="11"/>
  <c r="AF467" i="11"/>
  <c r="AL467" i="11" s="1"/>
  <c r="V467" i="11"/>
  <c r="S467" i="11"/>
  <c r="R467" i="11"/>
  <c r="AM466" i="11"/>
  <c r="AK466" i="11"/>
  <c r="AF466" i="11"/>
  <c r="AL466" i="11" s="1"/>
  <c r="V466" i="11"/>
  <c r="S466" i="11"/>
  <c r="R466" i="11"/>
  <c r="AM465" i="11"/>
  <c r="AK465" i="11"/>
  <c r="AF465" i="11"/>
  <c r="AL465" i="11" s="1"/>
  <c r="V465" i="11"/>
  <c r="S465" i="11"/>
  <c r="R465" i="11"/>
  <c r="AM464" i="11"/>
  <c r="AK464" i="11"/>
  <c r="AF464" i="11"/>
  <c r="AL464" i="11" s="1"/>
  <c r="V464" i="11"/>
  <c r="S464" i="11"/>
  <c r="R464" i="11"/>
  <c r="AM463" i="11"/>
  <c r="AK463" i="11"/>
  <c r="AF463" i="11"/>
  <c r="AL463" i="11" s="1"/>
  <c r="V463" i="11"/>
  <c r="S463" i="11"/>
  <c r="R463" i="11"/>
  <c r="AM462" i="11"/>
  <c r="AK462" i="11"/>
  <c r="AF462" i="11"/>
  <c r="AL462" i="11" s="1"/>
  <c r="V462" i="11"/>
  <c r="S462" i="11"/>
  <c r="R462" i="11"/>
  <c r="AM461" i="11"/>
  <c r="AK461" i="11"/>
  <c r="AF461" i="11"/>
  <c r="AL461" i="11" s="1"/>
  <c r="V461" i="11"/>
  <c r="S461" i="11"/>
  <c r="R461" i="11"/>
  <c r="AM460" i="11"/>
  <c r="AK460" i="11"/>
  <c r="AF460" i="11"/>
  <c r="AL460" i="11" s="1"/>
  <c r="V460" i="11"/>
  <c r="S460" i="11"/>
  <c r="R460" i="11"/>
  <c r="AM459" i="11"/>
  <c r="AK459" i="11"/>
  <c r="AF459" i="11"/>
  <c r="AL459" i="11" s="1"/>
  <c r="V459" i="11"/>
  <c r="S459" i="11"/>
  <c r="R459" i="11"/>
  <c r="AM458" i="11"/>
  <c r="AK458" i="11"/>
  <c r="AF458" i="11"/>
  <c r="V458" i="11"/>
  <c r="S458" i="11"/>
  <c r="R458" i="11"/>
  <c r="AJ457" i="11"/>
  <c r="AI457" i="11"/>
  <c r="AG457" i="11"/>
  <c r="AD457" i="11"/>
  <c r="AC457" i="11"/>
  <c r="AB457" i="11"/>
  <c r="X457" i="11"/>
  <c r="W457" i="11"/>
  <c r="R457" i="11"/>
  <c r="Q457" i="11"/>
  <c r="S457" i="11" s="1"/>
  <c r="AM456" i="11"/>
  <c r="AK456" i="11"/>
  <c r="AF456" i="11"/>
  <c r="AL456" i="11" s="1"/>
  <c r="V456" i="11"/>
  <c r="S456" i="11"/>
  <c r="R456" i="11"/>
  <c r="AM455" i="11"/>
  <c r="AK455" i="11"/>
  <c r="AF455" i="11"/>
  <c r="AL455" i="11" s="1"/>
  <c r="V455" i="11"/>
  <c r="S455" i="11"/>
  <c r="R455" i="11"/>
  <c r="AM454" i="11"/>
  <c r="AK454" i="11"/>
  <c r="AF454" i="11"/>
  <c r="AL454" i="11" s="1"/>
  <c r="V454" i="11"/>
  <c r="S454" i="11"/>
  <c r="R454" i="11"/>
  <c r="AM453" i="11"/>
  <c r="AK453" i="11"/>
  <c r="AF453" i="11"/>
  <c r="AL453" i="11" s="1"/>
  <c r="V453" i="11"/>
  <c r="S453" i="11"/>
  <c r="R453" i="11"/>
  <c r="AM452" i="11"/>
  <c r="AK452" i="11"/>
  <c r="AF452" i="11"/>
  <c r="V452" i="11"/>
  <c r="S452" i="11"/>
  <c r="R452" i="11"/>
  <c r="AM451" i="11"/>
  <c r="AK451" i="11"/>
  <c r="AF451" i="11"/>
  <c r="AL451" i="11" s="1"/>
  <c r="V451" i="11"/>
  <c r="S451" i="11"/>
  <c r="R451" i="11"/>
  <c r="AJ450" i="11"/>
  <c r="AI450" i="11"/>
  <c r="AG450" i="11"/>
  <c r="AD450" i="11"/>
  <c r="AC450" i="11"/>
  <c r="AB450" i="11"/>
  <c r="X450" i="11"/>
  <c r="W450" i="11"/>
  <c r="R450" i="11"/>
  <c r="Q450" i="11"/>
  <c r="S450" i="11" s="1"/>
  <c r="AM449" i="11"/>
  <c r="AK449" i="11"/>
  <c r="AF449" i="11"/>
  <c r="AL449" i="11" s="1"/>
  <c r="V449" i="11"/>
  <c r="S449" i="11"/>
  <c r="R449" i="11"/>
  <c r="AM448" i="11"/>
  <c r="AK448" i="11"/>
  <c r="AF448" i="11"/>
  <c r="AL448" i="11" s="1"/>
  <c r="V448" i="11"/>
  <c r="S448" i="11"/>
  <c r="R448" i="11"/>
  <c r="AM447" i="11"/>
  <c r="AK447" i="11"/>
  <c r="AF447" i="11"/>
  <c r="AL447" i="11" s="1"/>
  <c r="V447" i="11"/>
  <c r="S447" i="11"/>
  <c r="R447" i="11"/>
  <c r="AM446" i="11"/>
  <c r="AK446" i="11"/>
  <c r="AF446" i="11"/>
  <c r="AL446" i="11" s="1"/>
  <c r="V446" i="11"/>
  <c r="S446" i="11"/>
  <c r="R446" i="11"/>
  <c r="AM445" i="11"/>
  <c r="AK445" i="11"/>
  <c r="AF445" i="11"/>
  <c r="AL445" i="11" s="1"/>
  <c r="V445" i="11"/>
  <c r="S445" i="11"/>
  <c r="R445" i="11"/>
  <c r="AM444" i="11"/>
  <c r="AK444" i="11"/>
  <c r="AF444" i="11"/>
  <c r="AL444" i="11" s="1"/>
  <c r="V444" i="11"/>
  <c r="S444" i="11"/>
  <c r="R444" i="11"/>
  <c r="AM443" i="11"/>
  <c r="AK443" i="11"/>
  <c r="AF443" i="11"/>
  <c r="AL443" i="11" s="1"/>
  <c r="V443" i="11"/>
  <c r="S443" i="11"/>
  <c r="R443" i="11"/>
  <c r="AM442" i="11"/>
  <c r="AK442" i="11"/>
  <c r="AF442" i="11"/>
  <c r="V442" i="11"/>
  <c r="S442" i="11"/>
  <c r="R442" i="11"/>
  <c r="AK441" i="11"/>
  <c r="AJ441" i="11"/>
  <c r="AI441" i="11"/>
  <c r="AG441" i="11"/>
  <c r="AG440" i="11" s="1"/>
  <c r="AD441" i="11"/>
  <c r="AC441" i="11"/>
  <c r="AB441" i="11"/>
  <c r="X441" i="11"/>
  <c r="W441" i="11"/>
  <c r="R441" i="11"/>
  <c r="Q441" i="11"/>
  <c r="R440" i="11"/>
  <c r="AM439" i="11"/>
  <c r="AK439" i="11"/>
  <c r="AF439" i="11"/>
  <c r="AL439" i="11" s="1"/>
  <c r="V439" i="11"/>
  <c r="S439" i="11"/>
  <c r="R439" i="11"/>
  <c r="AM438" i="11"/>
  <c r="AK438" i="11"/>
  <c r="AF438" i="11"/>
  <c r="AL438" i="11" s="1"/>
  <c r="V438" i="11"/>
  <c r="S438" i="11"/>
  <c r="R438" i="11"/>
  <c r="AM437" i="11"/>
  <c r="AK437" i="11"/>
  <c r="AF437" i="11"/>
  <c r="AL437" i="11" s="1"/>
  <c r="V437" i="11"/>
  <c r="S437" i="11"/>
  <c r="R437" i="11"/>
  <c r="AM436" i="11"/>
  <c r="AK436" i="11"/>
  <c r="AF436" i="11"/>
  <c r="AL436" i="11" s="1"/>
  <c r="V436" i="11"/>
  <c r="S436" i="11"/>
  <c r="R436" i="11"/>
  <c r="AM435" i="11"/>
  <c r="AK435" i="11"/>
  <c r="AF435" i="11"/>
  <c r="AL435" i="11" s="1"/>
  <c r="V435" i="11"/>
  <c r="S435" i="11"/>
  <c r="R435" i="11"/>
  <c r="AM434" i="11"/>
  <c r="AK434" i="11"/>
  <c r="AF434" i="11"/>
  <c r="V434" i="11"/>
  <c r="S434" i="11"/>
  <c r="R434" i="11"/>
  <c r="AJ433" i="11"/>
  <c r="AI433" i="11"/>
  <c r="AG433" i="11"/>
  <c r="AD433" i="11"/>
  <c r="AC433" i="11"/>
  <c r="AB433" i="11"/>
  <c r="X433" i="11"/>
  <c r="W433" i="11"/>
  <c r="R433" i="11"/>
  <c r="Q433" i="11"/>
  <c r="S433" i="11" s="1"/>
  <c r="AM432" i="11"/>
  <c r="AK432" i="11"/>
  <c r="AF432" i="11"/>
  <c r="AL432" i="11" s="1"/>
  <c r="V432" i="11"/>
  <c r="S432" i="11"/>
  <c r="R432" i="11"/>
  <c r="AM431" i="11"/>
  <c r="AK431" i="11"/>
  <c r="AF431" i="11"/>
  <c r="AL431" i="11" s="1"/>
  <c r="V431" i="11"/>
  <c r="S431" i="11"/>
  <c r="R431" i="11"/>
  <c r="AM430" i="11"/>
  <c r="AK430" i="11"/>
  <c r="AF430" i="11"/>
  <c r="AL430" i="11" s="1"/>
  <c r="V430" i="11"/>
  <c r="S430" i="11"/>
  <c r="R430" i="11"/>
  <c r="AM429" i="11"/>
  <c r="AK429" i="11"/>
  <c r="AF429" i="11"/>
  <c r="AL429" i="11" s="1"/>
  <c r="V429" i="11"/>
  <c r="S429" i="11"/>
  <c r="R429" i="11"/>
  <c r="AM428" i="11"/>
  <c r="AK428" i="11"/>
  <c r="AF428" i="11"/>
  <c r="AL428" i="11" s="1"/>
  <c r="V428" i="11"/>
  <c r="S428" i="11"/>
  <c r="R428" i="11"/>
  <c r="AM427" i="11"/>
  <c r="AK427" i="11"/>
  <c r="AF427" i="11"/>
  <c r="AL427" i="11" s="1"/>
  <c r="V427" i="11"/>
  <c r="S427" i="11"/>
  <c r="R427" i="11"/>
  <c r="AM426" i="11"/>
  <c r="AK426" i="11"/>
  <c r="AF426" i="11"/>
  <c r="AL426" i="11" s="1"/>
  <c r="V426" i="11"/>
  <c r="S426" i="11"/>
  <c r="R426" i="11"/>
  <c r="AM425" i="11"/>
  <c r="AK425" i="11"/>
  <c r="AF425" i="11"/>
  <c r="V425" i="11"/>
  <c r="S425" i="11"/>
  <c r="R425" i="11"/>
  <c r="AJ424" i="11"/>
  <c r="AI424" i="11"/>
  <c r="AI423" i="11" s="1"/>
  <c r="AG424" i="11"/>
  <c r="AD424" i="11"/>
  <c r="AD423" i="11" s="1"/>
  <c r="AC424" i="11"/>
  <c r="AB424" i="11"/>
  <c r="X424" i="11"/>
  <c r="W424" i="11"/>
  <c r="R424" i="11"/>
  <c r="Q424" i="11"/>
  <c r="AJ423" i="11"/>
  <c r="R423" i="11"/>
  <c r="AM422" i="11"/>
  <c r="AL422" i="11"/>
  <c r="AK422" i="11"/>
  <c r="V422" i="11"/>
  <c r="S422" i="11"/>
  <c r="R422" i="11"/>
  <c r="AM421" i="11"/>
  <c r="AM420" i="11" s="1"/>
  <c r="AL421" i="11"/>
  <c r="AK421" i="11"/>
  <c r="AK420" i="11" s="1"/>
  <c r="V421" i="11"/>
  <c r="V420" i="11" s="1"/>
  <c r="S421" i="11"/>
  <c r="R421" i="11"/>
  <c r="AJ420" i="11"/>
  <c r="AI420" i="11"/>
  <c r="AG420" i="11"/>
  <c r="AF420" i="11"/>
  <c r="AD420" i="11"/>
  <c r="AC420" i="11"/>
  <c r="AB420" i="11"/>
  <c r="X420" i="11"/>
  <c r="W420" i="11"/>
  <c r="R420" i="11"/>
  <c r="Q420" i="11"/>
  <c r="S420" i="11" s="1"/>
  <c r="AM419" i="11"/>
  <c r="AK419" i="11"/>
  <c r="AF419" i="11"/>
  <c r="AL419" i="11" s="1"/>
  <c r="V419" i="11"/>
  <c r="S419" i="11"/>
  <c r="R419" i="11"/>
  <c r="AM418" i="11"/>
  <c r="AK418" i="11"/>
  <c r="AF418" i="11"/>
  <c r="V418" i="11"/>
  <c r="S418" i="11"/>
  <c r="R418" i="11"/>
  <c r="AM417" i="11"/>
  <c r="AK417" i="11"/>
  <c r="AF417" i="11"/>
  <c r="AL417" i="11" s="1"/>
  <c r="V417" i="11"/>
  <c r="S417" i="11"/>
  <c r="R417" i="11"/>
  <c r="AK416" i="11"/>
  <c r="AK415" i="11" s="1"/>
  <c r="AJ416" i="11"/>
  <c r="AJ415" i="11" s="1"/>
  <c r="AJ413" i="11" s="1"/>
  <c r="AI416" i="11"/>
  <c r="AI415" i="11" s="1"/>
  <c r="AI413" i="11" s="1"/>
  <c r="AG416" i="11"/>
  <c r="AD416" i="11"/>
  <c r="AD415" i="11" s="1"/>
  <c r="AD413" i="11" s="1"/>
  <c r="AC416" i="11"/>
  <c r="AC415" i="11" s="1"/>
  <c r="AC413" i="11" s="1"/>
  <c r="AB416" i="11"/>
  <c r="X416" i="11"/>
  <c r="X415" i="11" s="1"/>
  <c r="X413" i="11" s="1"/>
  <c r="W416" i="11"/>
  <c r="W415" i="11" s="1"/>
  <c r="W413" i="11" s="1"/>
  <c r="R416" i="11"/>
  <c r="Q416" i="11"/>
  <c r="AG415" i="11"/>
  <c r="AG413" i="11" s="1"/>
  <c r="AB415" i="11"/>
  <c r="AB413" i="11" s="1"/>
  <c r="R415" i="11"/>
  <c r="AM414" i="11"/>
  <c r="AK414" i="11"/>
  <c r="AF414" i="11"/>
  <c r="V414" i="11"/>
  <c r="S414" i="11"/>
  <c r="R414" i="11"/>
  <c r="R413" i="11"/>
  <c r="AM412" i="11"/>
  <c r="AK412" i="11"/>
  <c r="AF412" i="11"/>
  <c r="AL412" i="11" s="1"/>
  <c r="V412" i="11"/>
  <c r="S412" i="11"/>
  <c r="R412" i="11"/>
  <c r="AM411" i="11"/>
  <c r="AK411" i="11"/>
  <c r="AF411" i="11"/>
  <c r="AL411" i="11" s="1"/>
  <c r="V411" i="11"/>
  <c r="S411" i="11"/>
  <c r="R411" i="11"/>
  <c r="AM410" i="11"/>
  <c r="AK410" i="11"/>
  <c r="AF410" i="11"/>
  <c r="V410" i="11"/>
  <c r="S410" i="11"/>
  <c r="R410" i="11"/>
  <c r="AM409" i="11"/>
  <c r="AK409" i="11"/>
  <c r="AF409" i="11"/>
  <c r="AL409" i="11" s="1"/>
  <c r="V409" i="11"/>
  <c r="S409" i="11"/>
  <c r="R409" i="11"/>
  <c r="AJ408" i="11"/>
  <c r="AJ405" i="11" s="1"/>
  <c r="AI408" i="11"/>
  <c r="AI405" i="11" s="1"/>
  <c r="AG408" i="11"/>
  <c r="AG405" i="11" s="1"/>
  <c r="AD408" i="11"/>
  <c r="AC408" i="11"/>
  <c r="AB408" i="11"/>
  <c r="X408" i="11"/>
  <c r="X405" i="11" s="1"/>
  <c r="W408" i="11"/>
  <c r="W405" i="11" s="1"/>
  <c r="R408" i="11"/>
  <c r="Q408" i="11"/>
  <c r="AM407" i="11"/>
  <c r="AK407" i="11"/>
  <c r="AF407" i="11"/>
  <c r="AL407" i="11" s="1"/>
  <c r="V407" i="11"/>
  <c r="S407" i="11"/>
  <c r="R407" i="11"/>
  <c r="AM406" i="11"/>
  <c r="AK406" i="11"/>
  <c r="AF406" i="11"/>
  <c r="V406" i="11"/>
  <c r="S406" i="11"/>
  <c r="R406" i="11"/>
  <c r="AD405" i="11"/>
  <c r="AC405" i="11"/>
  <c r="AB405" i="11"/>
  <c r="R405" i="11"/>
  <c r="AM404" i="11"/>
  <c r="AK404" i="11"/>
  <c r="AF404" i="11"/>
  <c r="AL404" i="11" s="1"/>
  <c r="V404" i="11"/>
  <c r="S404" i="11"/>
  <c r="R404" i="11"/>
  <c r="AM403" i="11"/>
  <c r="AK403" i="11"/>
  <c r="AF403" i="11"/>
  <c r="AL403" i="11" s="1"/>
  <c r="V403" i="11"/>
  <c r="S403" i="11"/>
  <c r="R403" i="11"/>
  <c r="AM402" i="11"/>
  <c r="AK402" i="11"/>
  <c r="AF402" i="11"/>
  <c r="AL402" i="11" s="1"/>
  <c r="V402" i="11"/>
  <c r="S402" i="11"/>
  <c r="R402" i="11"/>
  <c r="AM401" i="11"/>
  <c r="AJ401" i="11"/>
  <c r="AI401" i="11"/>
  <c r="AG401" i="11"/>
  <c r="AD401" i="11"/>
  <c r="AC401" i="11"/>
  <c r="AB401" i="11"/>
  <c r="X401" i="11"/>
  <c r="W401" i="11"/>
  <c r="V401" i="11"/>
  <c r="R401" i="11"/>
  <c r="Q401" i="11"/>
  <c r="AM400" i="11"/>
  <c r="AK400" i="11"/>
  <c r="AF400" i="11"/>
  <c r="AL400" i="11" s="1"/>
  <c r="V400" i="11"/>
  <c r="S400" i="11"/>
  <c r="R400" i="11"/>
  <c r="AM399" i="11"/>
  <c r="AK399" i="11"/>
  <c r="AF399" i="11"/>
  <c r="AL399" i="11" s="1"/>
  <c r="V399" i="11"/>
  <c r="S399" i="11"/>
  <c r="R399" i="11"/>
  <c r="AM398" i="11"/>
  <c r="AK398" i="11"/>
  <c r="AF398" i="11"/>
  <c r="AL398" i="11" s="1"/>
  <c r="AL397" i="11" s="1"/>
  <c r="V398" i="11"/>
  <c r="S398" i="11"/>
  <c r="R398" i="11"/>
  <c r="AJ397" i="11"/>
  <c r="AI397" i="11"/>
  <c r="AI396" i="11" s="1"/>
  <c r="AG397" i="11"/>
  <c r="AG396" i="11" s="1"/>
  <c r="AD397" i="11"/>
  <c r="AD396" i="11" s="1"/>
  <c r="AC397" i="11"/>
  <c r="AB397" i="11"/>
  <c r="X397" i="11"/>
  <c r="W397" i="11"/>
  <c r="R397" i="11"/>
  <c r="Q397" i="11"/>
  <c r="S397" i="11" s="1"/>
  <c r="R396" i="11"/>
  <c r="AM395" i="11"/>
  <c r="AK395" i="11"/>
  <c r="AF395" i="11"/>
  <c r="AL395" i="11" s="1"/>
  <c r="V395" i="11"/>
  <c r="S395" i="11"/>
  <c r="R395" i="11"/>
  <c r="AM394" i="11"/>
  <c r="AK394" i="11"/>
  <c r="AF394" i="11"/>
  <c r="AL394" i="11" s="1"/>
  <c r="V394" i="11"/>
  <c r="S394" i="11"/>
  <c r="R394" i="11"/>
  <c r="AM393" i="11"/>
  <c r="AM392" i="11" s="1"/>
  <c r="AK393" i="11"/>
  <c r="AF393" i="11"/>
  <c r="V393" i="11"/>
  <c r="S393" i="11"/>
  <c r="R393" i="11"/>
  <c r="AJ392" i="11"/>
  <c r="AI392" i="11"/>
  <c r="AG392" i="11"/>
  <c r="AD392" i="11"/>
  <c r="AC392" i="11"/>
  <c r="AB392" i="11"/>
  <c r="X392" i="11"/>
  <c r="W392" i="11"/>
  <c r="R392" i="11"/>
  <c r="Q392" i="11"/>
  <c r="S392" i="11" s="1"/>
  <c r="AM391" i="11"/>
  <c r="AK391" i="11"/>
  <c r="AF391" i="11"/>
  <c r="AL391" i="11" s="1"/>
  <c r="V391" i="11"/>
  <c r="S391" i="11"/>
  <c r="R391" i="11"/>
  <c r="AM390" i="11"/>
  <c r="AK390" i="11"/>
  <c r="AF390" i="11"/>
  <c r="V390" i="11"/>
  <c r="S390" i="11"/>
  <c r="R390" i="11"/>
  <c r="AM389" i="11"/>
  <c r="AM388" i="11" s="1"/>
  <c r="AM387" i="11" s="1"/>
  <c r="AK389" i="11"/>
  <c r="AK388" i="11" s="1"/>
  <c r="AF389" i="11"/>
  <c r="AL389" i="11" s="1"/>
  <c r="V389" i="11"/>
  <c r="V388" i="11" s="1"/>
  <c r="S389" i="11"/>
  <c r="R389" i="11"/>
  <c r="AJ388" i="11"/>
  <c r="AI388" i="11"/>
  <c r="AI387" i="11" s="1"/>
  <c r="AG388" i="11"/>
  <c r="AD388" i="11"/>
  <c r="AD387" i="11" s="1"/>
  <c r="AC388" i="11"/>
  <c r="AB388" i="11"/>
  <c r="AB387" i="11" s="1"/>
  <c r="X388" i="11"/>
  <c r="X387" i="11" s="1"/>
  <c r="W388" i="11"/>
  <c r="R388" i="11"/>
  <c r="Q388" i="11"/>
  <c r="R387" i="11"/>
  <c r="AM386" i="11"/>
  <c r="AK386" i="11"/>
  <c r="AF386" i="11"/>
  <c r="AL386" i="11" s="1"/>
  <c r="V386" i="11"/>
  <c r="S386" i="11"/>
  <c r="R386" i="11"/>
  <c r="AM385" i="11"/>
  <c r="AK385" i="11"/>
  <c r="AF385" i="11"/>
  <c r="AL385" i="11" s="1"/>
  <c r="V385" i="11"/>
  <c r="S385" i="11"/>
  <c r="R385" i="11"/>
  <c r="AM384" i="11"/>
  <c r="AM383" i="11" s="1"/>
  <c r="AK384" i="11"/>
  <c r="AF384" i="11"/>
  <c r="V384" i="11"/>
  <c r="S384" i="11"/>
  <c r="R384" i="11"/>
  <c r="AJ383" i="11"/>
  <c r="AI383" i="11"/>
  <c r="AG383" i="11"/>
  <c r="AD383" i="11"/>
  <c r="AC383" i="11"/>
  <c r="AB383" i="11"/>
  <c r="X383" i="11"/>
  <c r="W383" i="11"/>
  <c r="R383" i="11"/>
  <c r="Q383" i="11"/>
  <c r="S383" i="11" s="1"/>
  <c r="AM382" i="11"/>
  <c r="AK382" i="11"/>
  <c r="AF382" i="11"/>
  <c r="AL382" i="11" s="1"/>
  <c r="V382" i="11"/>
  <c r="S382" i="11"/>
  <c r="R382" i="11"/>
  <c r="AM381" i="11"/>
  <c r="AK381" i="11"/>
  <c r="AF381" i="11"/>
  <c r="AL381" i="11" s="1"/>
  <c r="V381" i="11"/>
  <c r="S381" i="11"/>
  <c r="R381" i="11"/>
  <c r="AM380" i="11"/>
  <c r="AK380" i="11"/>
  <c r="AF380" i="11"/>
  <c r="AL380" i="11" s="1"/>
  <c r="V380" i="11"/>
  <c r="S380" i="11"/>
  <c r="R380" i="11"/>
  <c r="AJ379" i="11"/>
  <c r="AJ378" i="11" s="1"/>
  <c r="AI379" i="11"/>
  <c r="AG379" i="11"/>
  <c r="AF379" i="11"/>
  <c r="AD379" i="11"/>
  <c r="AD378" i="11" s="1"/>
  <c r="AC379" i="11"/>
  <c r="AB379" i="11"/>
  <c r="X379" i="11"/>
  <c r="W379" i="11"/>
  <c r="R379" i="11"/>
  <c r="Q379" i="11"/>
  <c r="AI378" i="11"/>
  <c r="AC378" i="11"/>
  <c r="X378" i="11"/>
  <c r="R378" i="11"/>
  <c r="AM377" i="11"/>
  <c r="AK377" i="11"/>
  <c r="AF377" i="11"/>
  <c r="AL377" i="11" s="1"/>
  <c r="V377" i="11"/>
  <c r="S377" i="11"/>
  <c r="R377" i="11"/>
  <c r="AM376" i="11"/>
  <c r="AK376" i="11"/>
  <c r="AF376" i="11"/>
  <c r="V376" i="11"/>
  <c r="S376" i="11"/>
  <c r="R376" i="11"/>
  <c r="AM375" i="11"/>
  <c r="AK375" i="11"/>
  <c r="AF375" i="11"/>
  <c r="AL375" i="11" s="1"/>
  <c r="V375" i="11"/>
  <c r="S375" i="11"/>
  <c r="R375" i="11"/>
  <c r="AK374" i="11"/>
  <c r="AJ374" i="11"/>
  <c r="AI374" i="11"/>
  <c r="AG374" i="11"/>
  <c r="AD374" i="11"/>
  <c r="AC374" i="11"/>
  <c r="AB374" i="11"/>
  <c r="X374" i="11"/>
  <c r="W374" i="11"/>
  <c r="R374" i="11"/>
  <c r="Q374" i="11"/>
  <c r="S374" i="11" s="1"/>
  <c r="AM373" i="11"/>
  <c r="AK373" i="11"/>
  <c r="AF373" i="11"/>
  <c r="AL373" i="11" s="1"/>
  <c r="V373" i="11"/>
  <c r="S373" i="11"/>
  <c r="R373" i="11"/>
  <c r="AM372" i="11"/>
  <c r="AK372" i="11"/>
  <c r="AF372" i="11"/>
  <c r="AL372" i="11" s="1"/>
  <c r="V372" i="11"/>
  <c r="S372" i="11"/>
  <c r="R372" i="11"/>
  <c r="AM371" i="11"/>
  <c r="AK371" i="11"/>
  <c r="AF371" i="11"/>
  <c r="V371" i="11"/>
  <c r="S371" i="11"/>
  <c r="R371" i="11"/>
  <c r="AJ370" i="11"/>
  <c r="AI370" i="11"/>
  <c r="AG370" i="11"/>
  <c r="AD370" i="11"/>
  <c r="AC370" i="11"/>
  <c r="AB370" i="11"/>
  <c r="X370" i="11"/>
  <c r="W370" i="11"/>
  <c r="R370" i="11"/>
  <c r="Q370" i="11"/>
  <c r="S370" i="11" s="1"/>
  <c r="AM369" i="11"/>
  <c r="AK369" i="11"/>
  <c r="AF369" i="11"/>
  <c r="AL369" i="11" s="1"/>
  <c r="V369" i="11"/>
  <c r="S369" i="11"/>
  <c r="R369" i="11"/>
  <c r="AM368" i="11"/>
  <c r="AK368" i="11"/>
  <c r="AF368" i="11"/>
  <c r="AL368" i="11" s="1"/>
  <c r="V368" i="11"/>
  <c r="S368" i="11"/>
  <c r="R368" i="11"/>
  <c r="AM367" i="11"/>
  <c r="AK367" i="11"/>
  <c r="AF367" i="11"/>
  <c r="AL367" i="11" s="1"/>
  <c r="V367" i="11"/>
  <c r="V366" i="11" s="1"/>
  <c r="S367" i="11"/>
  <c r="R367" i="11"/>
  <c r="AJ366" i="11"/>
  <c r="AI366" i="11"/>
  <c r="AG366" i="11"/>
  <c r="AG365" i="11" s="1"/>
  <c r="AD366" i="11"/>
  <c r="AC366" i="11"/>
  <c r="AB366" i="11"/>
  <c r="X366" i="11"/>
  <c r="W366" i="11"/>
  <c r="R366" i="11"/>
  <c r="Q366" i="11"/>
  <c r="S366" i="11" s="1"/>
  <c r="W365" i="11"/>
  <c r="R365" i="11"/>
  <c r="Q365" i="11"/>
  <c r="Q364" i="11" s="1"/>
  <c r="S364" i="11" s="1"/>
  <c r="R364" i="11"/>
  <c r="R363" i="11"/>
  <c r="V362" i="11"/>
  <c r="S362" i="11"/>
  <c r="R362" i="11"/>
  <c r="F362" i="11"/>
  <c r="AM361" i="11"/>
  <c r="AK361" i="11"/>
  <c r="AF361" i="11"/>
  <c r="AL361" i="11" s="1"/>
  <c r="V361" i="11"/>
  <c r="S361" i="11"/>
  <c r="R361" i="11"/>
  <c r="AM360" i="11"/>
  <c r="AK360" i="11"/>
  <c r="AF360" i="11"/>
  <c r="AL360" i="11" s="1"/>
  <c r="V360" i="11"/>
  <c r="S360" i="11"/>
  <c r="R360" i="11"/>
  <c r="AM359" i="11"/>
  <c r="AM358" i="11" s="1"/>
  <c r="AK359" i="11"/>
  <c r="AF359" i="11"/>
  <c r="V359" i="11"/>
  <c r="S359" i="11"/>
  <c r="R359" i="11"/>
  <c r="AJ358" i="11"/>
  <c r="AI358" i="11"/>
  <c r="AG358" i="11"/>
  <c r="AD358" i="11"/>
  <c r="AC358" i="11"/>
  <c r="AB358" i="11"/>
  <c r="X358" i="11"/>
  <c r="W358" i="11"/>
  <c r="V358" i="11"/>
  <c r="R358" i="11"/>
  <c r="Q358" i="11"/>
  <c r="S358" i="11" s="1"/>
  <c r="AM357" i="11"/>
  <c r="AK357" i="11"/>
  <c r="AF357" i="11"/>
  <c r="AL357" i="11" s="1"/>
  <c r="V357" i="11"/>
  <c r="S357" i="11"/>
  <c r="R357" i="11"/>
  <c r="AM356" i="11"/>
  <c r="AM355" i="11" s="1"/>
  <c r="AK356" i="11"/>
  <c r="AF356" i="11"/>
  <c r="AL356" i="11" s="1"/>
  <c r="V356" i="11"/>
  <c r="S356" i="11"/>
  <c r="R356" i="11"/>
  <c r="AJ355" i="11"/>
  <c r="AJ353" i="11" s="1"/>
  <c r="AI355" i="11"/>
  <c r="AG355" i="11"/>
  <c r="AF355" i="11"/>
  <c r="AD355" i="11"/>
  <c r="AD353" i="11" s="1"/>
  <c r="AC355" i="11"/>
  <c r="AB355" i="11"/>
  <c r="AB353" i="11" s="1"/>
  <c r="X355" i="11"/>
  <c r="X353" i="11" s="1"/>
  <c r="W355" i="11"/>
  <c r="R355" i="11"/>
  <c r="Q355" i="11"/>
  <c r="AM354" i="11"/>
  <c r="AK354" i="11"/>
  <c r="AF354" i="11"/>
  <c r="AL354" i="11" s="1"/>
  <c r="V354" i="11"/>
  <c r="S354" i="11"/>
  <c r="R354" i="11"/>
  <c r="R353" i="11"/>
  <c r="AM352" i="11"/>
  <c r="AK352" i="11"/>
  <c r="AF352" i="11"/>
  <c r="AL352" i="11" s="1"/>
  <c r="V352" i="11"/>
  <c r="S352" i="11"/>
  <c r="R352" i="11"/>
  <c r="AM351" i="11"/>
  <c r="AK351" i="11"/>
  <c r="AF351" i="11"/>
  <c r="AL351" i="11" s="1"/>
  <c r="V351" i="11"/>
  <c r="S351" i="11"/>
  <c r="R351" i="11"/>
  <c r="AM350" i="11"/>
  <c r="AK350" i="11"/>
  <c r="AF350" i="11"/>
  <c r="AL350" i="11" s="1"/>
  <c r="V350" i="11"/>
  <c r="S350" i="11"/>
  <c r="R350" i="11"/>
  <c r="AM349" i="11"/>
  <c r="AK349" i="11"/>
  <c r="AF349" i="11"/>
  <c r="AL349" i="11" s="1"/>
  <c r="V349" i="11"/>
  <c r="S349" i="11"/>
  <c r="R349" i="11"/>
  <c r="AM348" i="11"/>
  <c r="AK348" i="11"/>
  <c r="AF348" i="11"/>
  <c r="V348" i="11"/>
  <c r="S348" i="11"/>
  <c r="R348" i="11"/>
  <c r="AM347" i="11"/>
  <c r="AK347" i="11"/>
  <c r="AF347" i="11"/>
  <c r="AL347" i="11" s="1"/>
  <c r="V347" i="11"/>
  <c r="S347" i="11"/>
  <c r="R347" i="11"/>
  <c r="AM346" i="11"/>
  <c r="AK346" i="11"/>
  <c r="AF346" i="11"/>
  <c r="AL346" i="11" s="1"/>
  <c r="V346" i="11"/>
  <c r="S346" i="11"/>
  <c r="R346" i="11"/>
  <c r="AM345" i="11"/>
  <c r="AK345" i="11"/>
  <c r="AJ345" i="11"/>
  <c r="AI345" i="11"/>
  <c r="AG345" i="11"/>
  <c r="AD345" i="11"/>
  <c r="AC345" i="11"/>
  <c r="AB345" i="11"/>
  <c r="X345" i="11"/>
  <c r="W345" i="11"/>
  <c r="R345" i="11"/>
  <c r="Q345" i="11"/>
  <c r="S345" i="11" s="1"/>
  <c r="AM344" i="11"/>
  <c r="AK344" i="11"/>
  <c r="AF344" i="11"/>
  <c r="AL344" i="11" s="1"/>
  <c r="V344" i="11"/>
  <c r="S344" i="11"/>
  <c r="R344" i="11"/>
  <c r="AM343" i="11"/>
  <c r="AK343" i="11"/>
  <c r="AF343" i="11"/>
  <c r="V343" i="11"/>
  <c r="S343" i="11"/>
  <c r="R343" i="11"/>
  <c r="AJ342" i="11"/>
  <c r="AI342" i="11"/>
  <c r="AG342" i="11"/>
  <c r="AD342" i="11"/>
  <c r="AC342" i="11"/>
  <c r="AB342" i="11"/>
  <c r="X342" i="11"/>
  <c r="W342" i="11"/>
  <c r="V342" i="11"/>
  <c r="R342" i="11"/>
  <c r="Q342" i="11"/>
  <c r="S342" i="11" s="1"/>
  <c r="AM341" i="11"/>
  <c r="AL341" i="11"/>
  <c r="AK341" i="11"/>
  <c r="V341" i="11"/>
  <c r="S341" i="11"/>
  <c r="R341" i="11"/>
  <c r="AM340" i="11"/>
  <c r="AL340" i="11"/>
  <c r="AK340" i="11"/>
  <c r="V340" i="11"/>
  <c r="S340" i="11"/>
  <c r="R340" i="11"/>
  <c r="AM339" i="11"/>
  <c r="AL339" i="11"/>
  <c r="AL338" i="11" s="1"/>
  <c r="AK339" i="11"/>
  <c r="V339" i="11"/>
  <c r="S339" i="11"/>
  <c r="R339" i="11"/>
  <c r="AJ338" i="11"/>
  <c r="AI338" i="11"/>
  <c r="AG338" i="11"/>
  <c r="AF338" i="11"/>
  <c r="AD338" i="11"/>
  <c r="AC338" i="11"/>
  <c r="AB338" i="11"/>
  <c r="X338" i="11"/>
  <c r="W338" i="11"/>
  <c r="R338" i="11"/>
  <c r="Q338" i="11"/>
  <c r="AM337" i="11"/>
  <c r="AK337" i="11"/>
  <c r="AF337" i="11"/>
  <c r="AL337" i="11" s="1"/>
  <c r="V337" i="11"/>
  <c r="S337" i="11"/>
  <c r="R337" i="11"/>
  <c r="AM336" i="11"/>
  <c r="AK336" i="11"/>
  <c r="AF336" i="11"/>
  <c r="AL336" i="11" s="1"/>
  <c r="V336" i="11"/>
  <c r="S336" i="11"/>
  <c r="R336" i="11"/>
  <c r="AM335" i="11"/>
  <c r="AK335" i="11"/>
  <c r="AF335" i="11"/>
  <c r="AL335" i="11" s="1"/>
  <c r="V335" i="11"/>
  <c r="S335" i="11"/>
  <c r="R335" i="11"/>
  <c r="AM334" i="11"/>
  <c r="AK334" i="11"/>
  <c r="AF334" i="11"/>
  <c r="AL334" i="11" s="1"/>
  <c r="V334" i="11"/>
  <c r="S334" i="11"/>
  <c r="R334" i="11"/>
  <c r="AM333" i="11"/>
  <c r="AK333" i="11"/>
  <c r="AF333" i="11"/>
  <c r="AL333" i="11" s="1"/>
  <c r="V333" i="11"/>
  <c r="S333" i="11"/>
  <c r="R333" i="11"/>
  <c r="AM332" i="11"/>
  <c r="AK332" i="11"/>
  <c r="AF332" i="11"/>
  <c r="V332" i="11"/>
  <c r="S332" i="11"/>
  <c r="R332" i="11"/>
  <c r="AJ331" i="11"/>
  <c r="AJ328" i="11" s="1"/>
  <c r="AI331" i="11"/>
  <c r="AI328" i="11" s="1"/>
  <c r="AG331" i="11"/>
  <c r="AD331" i="11"/>
  <c r="AC331" i="11"/>
  <c r="AB331" i="11"/>
  <c r="X331" i="11"/>
  <c r="W331" i="11"/>
  <c r="R331" i="11"/>
  <c r="Q331" i="11"/>
  <c r="S331" i="11" s="1"/>
  <c r="AM330" i="11"/>
  <c r="AL330" i="11"/>
  <c r="AK330" i="11"/>
  <c r="V330" i="11"/>
  <c r="S330" i="11"/>
  <c r="R330" i="11"/>
  <c r="AM329" i="11"/>
  <c r="AL329" i="11"/>
  <c r="AK329" i="11"/>
  <c r="V329" i="11"/>
  <c r="S329" i="11"/>
  <c r="R329" i="11"/>
  <c r="AD328" i="11"/>
  <c r="AC328" i="11"/>
  <c r="AB328" i="11"/>
  <c r="R328" i="11"/>
  <c r="AM327" i="11"/>
  <c r="AK327" i="11"/>
  <c r="AF327" i="11"/>
  <c r="AL327" i="11" s="1"/>
  <c r="V327" i="11"/>
  <c r="S327" i="11"/>
  <c r="R327" i="11"/>
  <c r="AM326" i="11"/>
  <c r="AK326" i="11"/>
  <c r="AF326" i="11"/>
  <c r="AL326" i="11" s="1"/>
  <c r="V326" i="11"/>
  <c r="S326" i="11"/>
  <c r="R326" i="11"/>
  <c r="AM325" i="11"/>
  <c r="AK325" i="11"/>
  <c r="AF325" i="11"/>
  <c r="V325" i="11"/>
  <c r="S325" i="11"/>
  <c r="R325" i="11"/>
  <c r="AJ324" i="11"/>
  <c r="AI324" i="11"/>
  <c r="AG324" i="11"/>
  <c r="AD324" i="11"/>
  <c r="AC324" i="11"/>
  <c r="AB324" i="11"/>
  <c r="X324" i="11"/>
  <c r="W324" i="11"/>
  <c r="R324" i="11"/>
  <c r="Q324" i="11"/>
  <c r="S324" i="11" s="1"/>
  <c r="AM323" i="11"/>
  <c r="AK323" i="11"/>
  <c r="AF323" i="11"/>
  <c r="AL323" i="11" s="1"/>
  <c r="V323" i="11"/>
  <c r="S323" i="11"/>
  <c r="R323" i="11"/>
  <c r="AM322" i="11"/>
  <c r="AK322" i="11"/>
  <c r="AK321" i="11" s="1"/>
  <c r="AF322" i="11"/>
  <c r="V322" i="11"/>
  <c r="S322" i="11"/>
  <c r="R322" i="11"/>
  <c r="AJ321" i="11"/>
  <c r="AI321" i="11"/>
  <c r="AG321" i="11"/>
  <c r="AD321" i="11"/>
  <c r="AC321" i="11"/>
  <c r="AB321" i="11"/>
  <c r="X321" i="11"/>
  <c r="W321" i="11"/>
  <c r="R321" i="11"/>
  <c r="Q321" i="11"/>
  <c r="S321" i="11" s="1"/>
  <c r="AM320" i="11"/>
  <c r="AK320" i="11"/>
  <c r="AF320" i="11"/>
  <c r="AL320" i="11" s="1"/>
  <c r="V320" i="11"/>
  <c r="S320" i="11"/>
  <c r="R320" i="11"/>
  <c r="AM319" i="11"/>
  <c r="AK319" i="11"/>
  <c r="AF319" i="11"/>
  <c r="V319" i="11"/>
  <c r="S319" i="11"/>
  <c r="R319" i="11"/>
  <c r="AM318" i="11"/>
  <c r="AK318" i="11"/>
  <c r="AF318" i="11"/>
  <c r="AL318" i="11" s="1"/>
  <c r="V318" i="11"/>
  <c r="S318" i="11"/>
  <c r="R318" i="11"/>
  <c r="AM317" i="11"/>
  <c r="AK317" i="11"/>
  <c r="AF317" i="11"/>
  <c r="AL317" i="11" s="1"/>
  <c r="V317" i="11"/>
  <c r="S317" i="11"/>
  <c r="R317" i="11"/>
  <c r="AM316" i="11"/>
  <c r="AK316" i="11"/>
  <c r="AF316" i="11"/>
  <c r="AL316" i="11" s="1"/>
  <c r="V316" i="11"/>
  <c r="S316" i="11"/>
  <c r="R316" i="11"/>
  <c r="AM315" i="11"/>
  <c r="AK315" i="11"/>
  <c r="AF315" i="11"/>
  <c r="AL315" i="11" s="1"/>
  <c r="V315" i="11"/>
  <c r="S315" i="11"/>
  <c r="R315" i="11"/>
  <c r="AM314" i="11"/>
  <c r="AK314" i="11"/>
  <c r="AF314" i="11"/>
  <c r="AL314" i="11" s="1"/>
  <c r="V314" i="11"/>
  <c r="S314" i="11"/>
  <c r="R314" i="11"/>
  <c r="AM313" i="11"/>
  <c r="AK313" i="11"/>
  <c r="AF313" i="11"/>
  <c r="AL313" i="11" s="1"/>
  <c r="V313" i="11"/>
  <c r="S313" i="11"/>
  <c r="R313" i="11"/>
  <c r="AM312" i="11"/>
  <c r="AK312" i="11"/>
  <c r="AK311" i="11" s="1"/>
  <c r="AF312" i="11"/>
  <c r="V312" i="11"/>
  <c r="V311" i="11" s="1"/>
  <c r="S312" i="11"/>
  <c r="R312" i="11"/>
  <c r="AJ311" i="11"/>
  <c r="AI311" i="11"/>
  <c r="AG311" i="11"/>
  <c r="AD311" i="11"/>
  <c r="AD308" i="11" s="1"/>
  <c r="AC311" i="11"/>
  <c r="AC308" i="11" s="1"/>
  <c r="AB311" i="11"/>
  <c r="AB308" i="11" s="1"/>
  <c r="X311" i="11"/>
  <c r="W311" i="11"/>
  <c r="W308" i="11" s="1"/>
  <c r="R311" i="11"/>
  <c r="Q311" i="11"/>
  <c r="AM310" i="11"/>
  <c r="AK310" i="11"/>
  <c r="AF310" i="11"/>
  <c r="AL310" i="11" s="1"/>
  <c r="V310" i="11"/>
  <c r="S310" i="11"/>
  <c r="R310" i="11"/>
  <c r="AM309" i="11"/>
  <c r="AK309" i="11"/>
  <c r="AF309" i="11"/>
  <c r="AL309" i="11" s="1"/>
  <c r="V309" i="11"/>
  <c r="S309" i="11"/>
  <c r="R309" i="11"/>
  <c r="R308" i="11"/>
  <c r="R307" i="11"/>
  <c r="AM306" i="11"/>
  <c r="AK306" i="11"/>
  <c r="AF306" i="11"/>
  <c r="AL306" i="11" s="1"/>
  <c r="V306" i="11"/>
  <c r="S306" i="11"/>
  <c r="R306" i="11"/>
  <c r="AM305" i="11"/>
  <c r="AK305" i="11"/>
  <c r="AF305" i="11"/>
  <c r="AL305" i="11" s="1"/>
  <c r="V305" i="11"/>
  <c r="S305" i="11"/>
  <c r="R305" i="11"/>
  <c r="AM304" i="11"/>
  <c r="AK304" i="11"/>
  <c r="AF304" i="11"/>
  <c r="AL304" i="11" s="1"/>
  <c r="V304" i="11"/>
  <c r="S304" i="11"/>
  <c r="R304" i="11"/>
  <c r="AM303" i="11"/>
  <c r="AK303" i="11"/>
  <c r="AF303" i="11"/>
  <c r="AL303" i="11" s="1"/>
  <c r="V303" i="11"/>
  <c r="S303" i="11"/>
  <c r="R303" i="11"/>
  <c r="AM302" i="11"/>
  <c r="AK302" i="11"/>
  <c r="AF302" i="11"/>
  <c r="AL302" i="11" s="1"/>
  <c r="V302" i="11"/>
  <c r="S302" i="11"/>
  <c r="R302" i="11"/>
  <c r="AM301" i="11"/>
  <c r="AK301" i="11"/>
  <c r="AF301" i="11"/>
  <c r="AL301" i="11" s="1"/>
  <c r="V301" i="11"/>
  <c r="S301" i="11"/>
  <c r="R301" i="11"/>
  <c r="AM300" i="11"/>
  <c r="AK300" i="11"/>
  <c r="AF300" i="11"/>
  <c r="AL300" i="11" s="1"/>
  <c r="V300" i="11"/>
  <c r="S300" i="11"/>
  <c r="R300" i="11"/>
  <c r="AM299" i="11"/>
  <c r="AK299" i="11"/>
  <c r="AF299" i="11"/>
  <c r="AL299" i="11" s="1"/>
  <c r="V299" i="11"/>
  <c r="S299" i="11"/>
  <c r="R299" i="11"/>
  <c r="AJ298" i="11"/>
  <c r="AI298" i="11"/>
  <c r="AG298" i="11"/>
  <c r="AD298" i="11"/>
  <c r="AC298" i="11"/>
  <c r="AB298" i="11"/>
  <c r="X298" i="11"/>
  <c r="W298" i="11"/>
  <c r="R298" i="11"/>
  <c r="Q298" i="11"/>
  <c r="S298" i="11" s="1"/>
  <c r="AM297" i="11"/>
  <c r="AK297" i="11"/>
  <c r="AF297" i="11"/>
  <c r="AL297" i="11" s="1"/>
  <c r="V297" i="11"/>
  <c r="S297" i="11"/>
  <c r="R297" i="11"/>
  <c r="AM296" i="11"/>
  <c r="AK296" i="11"/>
  <c r="AF296" i="11"/>
  <c r="AL296" i="11" s="1"/>
  <c r="V296" i="11"/>
  <c r="S296" i="11"/>
  <c r="R296" i="11"/>
  <c r="AM295" i="11"/>
  <c r="AK295" i="11"/>
  <c r="AF295" i="11"/>
  <c r="V295" i="11"/>
  <c r="S295" i="11"/>
  <c r="R295" i="11"/>
  <c r="AJ294" i="11"/>
  <c r="AI294" i="11"/>
  <c r="AG294" i="11"/>
  <c r="AD294" i="11"/>
  <c r="AC294" i="11"/>
  <c r="AB294" i="11"/>
  <c r="X294" i="11"/>
  <c r="W294" i="11"/>
  <c r="R294" i="11"/>
  <c r="Q294" i="11"/>
  <c r="AM293" i="11"/>
  <c r="AK293" i="11"/>
  <c r="AF293" i="11"/>
  <c r="AL293" i="11" s="1"/>
  <c r="V293" i="11"/>
  <c r="S293" i="11"/>
  <c r="R293" i="11"/>
  <c r="AM292" i="11"/>
  <c r="AK292" i="11"/>
  <c r="AF292" i="11"/>
  <c r="AL292" i="11" s="1"/>
  <c r="V292" i="11"/>
  <c r="S292" i="11"/>
  <c r="R292" i="11"/>
  <c r="AM291" i="11"/>
  <c r="AK291" i="11"/>
  <c r="AF291" i="11"/>
  <c r="AL291" i="11" s="1"/>
  <c r="V291" i="11"/>
  <c r="S291" i="11"/>
  <c r="R291" i="11"/>
  <c r="AM290" i="11"/>
  <c r="AK290" i="11"/>
  <c r="AF290" i="11"/>
  <c r="AL290" i="11" s="1"/>
  <c r="V290" i="11"/>
  <c r="S290" i="11"/>
  <c r="R290" i="11"/>
  <c r="AM289" i="11"/>
  <c r="AK289" i="11"/>
  <c r="AF289" i="11"/>
  <c r="AL289" i="11" s="1"/>
  <c r="V289" i="11"/>
  <c r="S289" i="11"/>
  <c r="R289" i="11"/>
  <c r="AM288" i="11"/>
  <c r="AK288" i="11"/>
  <c r="AF288" i="11"/>
  <c r="V288" i="11"/>
  <c r="S288" i="11"/>
  <c r="R288" i="11"/>
  <c r="AM287" i="11"/>
  <c r="AJ287" i="11"/>
  <c r="AJ284" i="11" s="1"/>
  <c r="AI287" i="11"/>
  <c r="AI284" i="11" s="1"/>
  <c r="AG287" i="11"/>
  <c r="AD287" i="11"/>
  <c r="AC287" i="11"/>
  <c r="AB287" i="11"/>
  <c r="X287" i="11"/>
  <c r="X284" i="11" s="1"/>
  <c r="W287" i="11"/>
  <c r="R287" i="11"/>
  <c r="Q287" i="11"/>
  <c r="S287" i="11" s="1"/>
  <c r="AM286" i="11"/>
  <c r="AK286" i="11"/>
  <c r="AF286" i="11"/>
  <c r="AL286" i="11" s="1"/>
  <c r="V286" i="11"/>
  <c r="S286" i="11"/>
  <c r="R286" i="11"/>
  <c r="AM285" i="11"/>
  <c r="AK285" i="11"/>
  <c r="AF285" i="11"/>
  <c r="AL285" i="11" s="1"/>
  <c r="V285" i="11"/>
  <c r="S285" i="11"/>
  <c r="R285" i="11"/>
  <c r="R284" i="11"/>
  <c r="AM283" i="11"/>
  <c r="AK283" i="11"/>
  <c r="AF283" i="11"/>
  <c r="AL283" i="11" s="1"/>
  <c r="V283" i="11"/>
  <c r="S283" i="11"/>
  <c r="R283" i="11"/>
  <c r="AM282" i="11"/>
  <c r="AK282" i="11"/>
  <c r="AF282" i="11"/>
  <c r="AL282" i="11" s="1"/>
  <c r="V282" i="11"/>
  <c r="S282" i="11"/>
  <c r="R282" i="11"/>
  <c r="AM281" i="11"/>
  <c r="AK281" i="11"/>
  <c r="AF281" i="11"/>
  <c r="AL281" i="11" s="1"/>
  <c r="V281" i="11"/>
  <c r="S281" i="11"/>
  <c r="R281" i="11"/>
  <c r="AM280" i="11"/>
  <c r="AK280" i="11"/>
  <c r="AF280" i="11"/>
  <c r="AL280" i="11" s="1"/>
  <c r="V280" i="11"/>
  <c r="S280" i="11"/>
  <c r="R280" i="11"/>
  <c r="AM279" i="11"/>
  <c r="AK279" i="11"/>
  <c r="AF279" i="11"/>
  <c r="AL279" i="11" s="1"/>
  <c r="V279" i="11"/>
  <c r="S279" i="11"/>
  <c r="R279" i="11"/>
  <c r="AM278" i="11"/>
  <c r="AK278" i="11"/>
  <c r="AF278" i="11"/>
  <c r="AL278" i="11" s="1"/>
  <c r="V278" i="11"/>
  <c r="S278" i="11"/>
  <c r="R278" i="11"/>
  <c r="AM277" i="11"/>
  <c r="AK277" i="11"/>
  <c r="AK276" i="11" s="1"/>
  <c r="AF277" i="11"/>
  <c r="AL277" i="11" s="1"/>
  <c r="V277" i="11"/>
  <c r="S277" i="11"/>
  <c r="R277" i="11"/>
  <c r="AM276" i="11"/>
  <c r="AJ276" i="11"/>
  <c r="AI276" i="11"/>
  <c r="AG276" i="11"/>
  <c r="AD276" i="11"/>
  <c r="AC276" i="11"/>
  <c r="AB276" i="11"/>
  <c r="X276" i="11"/>
  <c r="W276" i="11"/>
  <c r="R276" i="11"/>
  <c r="Q276" i="11"/>
  <c r="S276" i="11" s="1"/>
  <c r="AM275" i="11"/>
  <c r="AK275" i="11"/>
  <c r="AF275" i="11"/>
  <c r="AL275" i="11" s="1"/>
  <c r="V275" i="11"/>
  <c r="S275" i="11"/>
  <c r="R275" i="11"/>
  <c r="AM274" i="11"/>
  <c r="AK274" i="11"/>
  <c r="AF274" i="11"/>
  <c r="AL274" i="11" s="1"/>
  <c r="V274" i="11"/>
  <c r="S274" i="11"/>
  <c r="R274" i="11"/>
  <c r="AM273" i="11"/>
  <c r="AK273" i="11"/>
  <c r="AF273" i="11"/>
  <c r="AL273" i="11" s="1"/>
  <c r="V273" i="11"/>
  <c r="S273" i="11"/>
  <c r="R273" i="11"/>
  <c r="AM272" i="11"/>
  <c r="AK272" i="11"/>
  <c r="AF272" i="11"/>
  <c r="AL272" i="11" s="1"/>
  <c r="V272" i="11"/>
  <c r="S272" i="11"/>
  <c r="R272" i="11"/>
  <c r="AM271" i="11"/>
  <c r="AK271" i="11"/>
  <c r="AF271" i="11"/>
  <c r="AL271" i="11" s="1"/>
  <c r="V271" i="11"/>
  <c r="S271" i="11"/>
  <c r="R271" i="11"/>
  <c r="AM270" i="11"/>
  <c r="AK270" i="11"/>
  <c r="AF270" i="11"/>
  <c r="AL270" i="11" s="1"/>
  <c r="V270" i="11"/>
  <c r="S270" i="11"/>
  <c r="R270" i="11"/>
  <c r="AM269" i="11"/>
  <c r="AK269" i="11"/>
  <c r="AF269" i="11"/>
  <c r="V269" i="11"/>
  <c r="S269" i="11"/>
  <c r="R269" i="11"/>
  <c r="AN268" i="11"/>
  <c r="AJ268" i="11"/>
  <c r="AI268" i="11"/>
  <c r="AG268" i="11"/>
  <c r="AD268" i="11"/>
  <c r="AC268" i="11"/>
  <c r="AB268" i="11"/>
  <c r="X268" i="11"/>
  <c r="W268" i="11"/>
  <c r="R268" i="11"/>
  <c r="Q268" i="11"/>
  <c r="S268" i="11" s="1"/>
  <c r="AM267" i="11"/>
  <c r="AK267" i="11"/>
  <c r="AF267" i="11"/>
  <c r="AL267" i="11" s="1"/>
  <c r="V267" i="11"/>
  <c r="S267" i="11"/>
  <c r="R267" i="11"/>
  <c r="AM266" i="11"/>
  <c r="AK266" i="11"/>
  <c r="AF266" i="11"/>
  <c r="AL266" i="11" s="1"/>
  <c r="V266" i="11"/>
  <c r="S266" i="11"/>
  <c r="R266" i="11"/>
  <c r="AM265" i="11"/>
  <c r="AK265" i="11"/>
  <c r="AF265" i="11"/>
  <c r="AL265" i="11" s="1"/>
  <c r="V265" i="11"/>
  <c r="S265" i="11"/>
  <c r="R265" i="11"/>
  <c r="AM264" i="11"/>
  <c r="AK264" i="11"/>
  <c r="AF264" i="11"/>
  <c r="AL264" i="11" s="1"/>
  <c r="V264" i="11"/>
  <c r="S264" i="11"/>
  <c r="R264" i="11"/>
  <c r="AM263" i="11"/>
  <c r="AK263" i="11"/>
  <c r="AF263" i="11"/>
  <c r="AL263" i="11" s="1"/>
  <c r="V263" i="11"/>
  <c r="S263" i="11"/>
  <c r="R263" i="11"/>
  <c r="AM262" i="11"/>
  <c r="AK262" i="11"/>
  <c r="AF262" i="11"/>
  <c r="V262" i="11"/>
  <c r="S262" i="11"/>
  <c r="R262" i="11"/>
  <c r="AM261" i="11"/>
  <c r="AK261" i="11"/>
  <c r="AF261" i="11"/>
  <c r="AL261" i="11" s="1"/>
  <c r="V261" i="11"/>
  <c r="S261" i="11"/>
  <c r="R261" i="11"/>
  <c r="AM260" i="11"/>
  <c r="AJ260" i="11"/>
  <c r="AJ259" i="11" s="1"/>
  <c r="AI260" i="11"/>
  <c r="AI259" i="11" s="1"/>
  <c r="AG260" i="11"/>
  <c r="AG259" i="11" s="1"/>
  <c r="AD260" i="11"/>
  <c r="AD259" i="11" s="1"/>
  <c r="AC260" i="11"/>
  <c r="AC259" i="11" s="1"/>
  <c r="AB260" i="11"/>
  <c r="X260" i="11"/>
  <c r="X259" i="11" s="1"/>
  <c r="W260" i="11"/>
  <c r="W259" i="11" s="1"/>
  <c r="R260" i="11"/>
  <c r="Q260" i="11"/>
  <c r="AB259" i="11"/>
  <c r="R259" i="11"/>
  <c r="AM258" i="11"/>
  <c r="AK258" i="11"/>
  <c r="AF258" i="11"/>
  <c r="AL258" i="11" s="1"/>
  <c r="V258" i="11"/>
  <c r="S258" i="11"/>
  <c r="R258" i="11"/>
  <c r="AM257" i="11"/>
  <c r="AK257" i="11"/>
  <c r="AF257" i="11"/>
  <c r="AL257" i="11" s="1"/>
  <c r="V257" i="11"/>
  <c r="S257" i="11"/>
  <c r="R257" i="11"/>
  <c r="AM256" i="11"/>
  <c r="AK256" i="11"/>
  <c r="AF256" i="11"/>
  <c r="V256" i="11"/>
  <c r="S256" i="11"/>
  <c r="R256" i="11"/>
  <c r="AM255" i="11"/>
  <c r="AK255" i="11"/>
  <c r="AF255" i="11"/>
  <c r="AL255" i="11" s="1"/>
  <c r="V255" i="11"/>
  <c r="S255" i="11"/>
  <c r="R255" i="11"/>
  <c r="AJ254" i="11"/>
  <c r="AI254" i="11"/>
  <c r="AG254" i="11"/>
  <c r="AD254" i="11"/>
  <c r="AC254" i="11"/>
  <c r="AB254" i="11"/>
  <c r="X254" i="11"/>
  <c r="W254" i="11"/>
  <c r="V254" i="11"/>
  <c r="R254" i="11"/>
  <c r="Q254" i="11"/>
  <c r="S254" i="11" s="1"/>
  <c r="AM253" i="11"/>
  <c r="AL253" i="11"/>
  <c r="AK253" i="11"/>
  <c r="V253" i="11"/>
  <c r="S253" i="11"/>
  <c r="R253" i="11"/>
  <c r="AM252" i="11"/>
  <c r="AL252" i="11"/>
  <c r="AK252" i="11"/>
  <c r="V252" i="11"/>
  <c r="S252" i="11"/>
  <c r="R252" i="11"/>
  <c r="AM251" i="11"/>
  <c r="AL251" i="11"/>
  <c r="AK251" i="11"/>
  <c r="V251" i="11"/>
  <c r="S251" i="11"/>
  <c r="R251" i="11"/>
  <c r="AM250" i="11"/>
  <c r="AL250" i="11"/>
  <c r="AK250" i="11"/>
  <c r="V250" i="11"/>
  <c r="S250" i="11"/>
  <c r="R250" i="11"/>
  <c r="AM249" i="11"/>
  <c r="AL249" i="11"/>
  <c r="AK249" i="11"/>
  <c r="V249" i="11"/>
  <c r="S249" i="11"/>
  <c r="R249" i="11"/>
  <c r="AJ248" i="11"/>
  <c r="AI248" i="11"/>
  <c r="AG248" i="11"/>
  <c r="AF248" i="11"/>
  <c r="AD248" i="11"/>
  <c r="AC248" i="11"/>
  <c r="AB248" i="11"/>
  <c r="X248" i="11"/>
  <c r="W248" i="11"/>
  <c r="R248" i="11"/>
  <c r="Q248" i="11"/>
  <c r="S248" i="11" s="1"/>
  <c r="AM247" i="11"/>
  <c r="AL247" i="11"/>
  <c r="AK247" i="11"/>
  <c r="V247" i="11"/>
  <c r="S247" i="11"/>
  <c r="R247" i="11"/>
  <c r="AM246" i="11"/>
  <c r="AL246" i="11"/>
  <c r="AK246" i="11"/>
  <c r="V246" i="11"/>
  <c r="S246" i="11"/>
  <c r="R246" i="11"/>
  <c r="AM245" i="11"/>
  <c r="AL245" i="11"/>
  <c r="AK245" i="11"/>
  <c r="V245" i="11"/>
  <c r="S245" i="11"/>
  <c r="R245" i="11"/>
  <c r="AM244" i="11"/>
  <c r="AL244" i="11"/>
  <c r="AK244" i="11"/>
  <c r="V244" i="11"/>
  <c r="S244" i="11"/>
  <c r="R244" i="11"/>
  <c r="AM243" i="11"/>
  <c r="AL243" i="11"/>
  <c r="AK243" i="11"/>
  <c r="V243" i="11"/>
  <c r="S243" i="11"/>
  <c r="R243" i="11"/>
  <c r="AM242" i="11"/>
  <c r="AL242" i="11"/>
  <c r="AK242" i="11"/>
  <c r="V242" i="11"/>
  <c r="S242" i="11"/>
  <c r="R242" i="11"/>
  <c r="AJ241" i="11"/>
  <c r="AI241" i="11"/>
  <c r="AG241" i="11"/>
  <c r="AF241" i="11"/>
  <c r="AD241" i="11"/>
  <c r="AC241" i="11"/>
  <c r="AB241" i="11"/>
  <c r="X241" i="11"/>
  <c r="W241" i="11"/>
  <c r="V241" i="11"/>
  <c r="R241" i="11"/>
  <c r="Q241" i="11"/>
  <c r="S241" i="11" s="1"/>
  <c r="AM240" i="11"/>
  <c r="AL240" i="11"/>
  <c r="AK240" i="11"/>
  <c r="V240" i="11"/>
  <c r="S240" i="11"/>
  <c r="R240" i="11"/>
  <c r="AM239" i="11"/>
  <c r="AL239" i="11"/>
  <c r="AK239" i="11"/>
  <c r="V239" i="11"/>
  <c r="S239" i="11"/>
  <c r="R239" i="11"/>
  <c r="AM238" i="11"/>
  <c r="AL238" i="11"/>
  <c r="AK238" i="11"/>
  <c r="V238" i="11"/>
  <c r="S238" i="11"/>
  <c r="R238" i="11"/>
  <c r="AM237" i="11"/>
  <c r="AL237" i="11"/>
  <c r="AK237" i="11"/>
  <c r="V237" i="11"/>
  <c r="S237" i="11"/>
  <c r="R237" i="11"/>
  <c r="AM236" i="11"/>
  <c r="AM235" i="11" s="1"/>
  <c r="AL236" i="11"/>
  <c r="AK236" i="11"/>
  <c r="AK235" i="11" s="1"/>
  <c r="V236" i="11"/>
  <c r="S236" i="11"/>
  <c r="R236" i="11"/>
  <c r="AJ235" i="11"/>
  <c r="AI235" i="11"/>
  <c r="AG235" i="11"/>
  <c r="AF235" i="11"/>
  <c r="AD235" i="11"/>
  <c r="AC235" i="11"/>
  <c r="AB235" i="11"/>
  <c r="X235" i="11"/>
  <c r="W235" i="11"/>
  <c r="R235" i="11"/>
  <c r="Q235" i="11"/>
  <c r="S235" i="11" s="1"/>
  <c r="AM234" i="11"/>
  <c r="AL234" i="11"/>
  <c r="AK234" i="11"/>
  <c r="V234" i="11"/>
  <c r="S234" i="11"/>
  <c r="R234" i="11"/>
  <c r="AM233" i="11"/>
  <c r="AL233" i="11"/>
  <c r="AK233" i="11"/>
  <c r="V233" i="11"/>
  <c r="S233" i="11"/>
  <c r="R233" i="11"/>
  <c r="AM232" i="11"/>
  <c r="AL232" i="11"/>
  <c r="AK232" i="11"/>
  <c r="V232" i="11"/>
  <c r="S232" i="11"/>
  <c r="R232" i="11"/>
  <c r="AM231" i="11"/>
  <c r="AL231" i="11"/>
  <c r="AK231" i="11"/>
  <c r="V231" i="11"/>
  <c r="S231" i="11"/>
  <c r="R231" i="11"/>
  <c r="AM230" i="11"/>
  <c r="AL230" i="11"/>
  <c r="AK230" i="11"/>
  <c r="V230" i="11"/>
  <c r="S230" i="11"/>
  <c r="R230" i="11"/>
  <c r="AJ229" i="11"/>
  <c r="AJ225" i="11" s="1"/>
  <c r="AI229" i="11"/>
  <c r="AG229" i="11"/>
  <c r="AF229" i="11"/>
  <c r="AD229" i="11"/>
  <c r="AD225" i="11" s="1"/>
  <c r="AC229" i="11"/>
  <c r="AB229" i="11"/>
  <c r="X229" i="11"/>
  <c r="X225" i="11" s="1"/>
  <c r="W229" i="11"/>
  <c r="W225" i="11" s="1"/>
  <c r="R229" i="11"/>
  <c r="Q229" i="11"/>
  <c r="AM228" i="11"/>
  <c r="AK228" i="11"/>
  <c r="AF228" i="11"/>
  <c r="AL228" i="11" s="1"/>
  <c r="V228" i="11"/>
  <c r="S228" i="11"/>
  <c r="R228" i="11"/>
  <c r="AM227" i="11"/>
  <c r="AK227" i="11"/>
  <c r="AF227" i="11"/>
  <c r="AL227" i="11" s="1"/>
  <c r="V227" i="11"/>
  <c r="S227" i="11"/>
  <c r="R227" i="11"/>
  <c r="AM226" i="11"/>
  <c r="AK226" i="11"/>
  <c r="AF226" i="11"/>
  <c r="V226" i="11"/>
  <c r="S226" i="11"/>
  <c r="R226" i="11"/>
  <c r="AI225" i="11"/>
  <c r="AG225" i="11"/>
  <c r="AC225" i="11"/>
  <c r="AB225" i="11"/>
  <c r="R225" i="11"/>
  <c r="AM224" i="11"/>
  <c r="AL224" i="11"/>
  <c r="AK224" i="11"/>
  <c r="V224" i="11"/>
  <c r="S224" i="11"/>
  <c r="R224" i="11"/>
  <c r="AM223" i="11"/>
  <c r="AL223" i="11"/>
  <c r="AK223" i="11"/>
  <c r="V223" i="11"/>
  <c r="S223" i="11"/>
  <c r="R223" i="11"/>
  <c r="AM222" i="11"/>
  <c r="AL222" i="11"/>
  <c r="AK222" i="11"/>
  <c r="V222" i="11"/>
  <c r="S222" i="11"/>
  <c r="R222" i="11"/>
  <c r="AM221" i="11"/>
  <c r="AL221" i="11"/>
  <c r="AK221" i="11"/>
  <c r="V221" i="11"/>
  <c r="S221" i="11"/>
  <c r="R221" i="11"/>
  <c r="AJ220" i="11"/>
  <c r="AI220" i="11"/>
  <c r="AG220" i="11"/>
  <c r="AF220" i="11"/>
  <c r="AD220" i="11"/>
  <c r="AC220" i="11"/>
  <c r="AB220" i="11"/>
  <c r="X220" i="11"/>
  <c r="W220" i="11"/>
  <c r="R220" i="11"/>
  <c r="Q220" i="11"/>
  <c r="S220" i="11" s="1"/>
  <c r="AM219" i="11"/>
  <c r="AL219" i="11"/>
  <c r="AK219" i="11"/>
  <c r="V219" i="11"/>
  <c r="S219" i="11"/>
  <c r="R219" i="11"/>
  <c r="AM218" i="11"/>
  <c r="AL218" i="11"/>
  <c r="AK218" i="11"/>
  <c r="V218" i="11"/>
  <c r="S218" i="11"/>
  <c r="R218" i="11"/>
  <c r="AM217" i="11"/>
  <c r="AL217" i="11"/>
  <c r="AK217" i="11"/>
  <c r="V217" i="11"/>
  <c r="S217" i="11"/>
  <c r="R217" i="11"/>
  <c r="AM216" i="11"/>
  <c r="AL216" i="11"/>
  <c r="AK216" i="11"/>
  <c r="V216" i="11"/>
  <c r="S216" i="11"/>
  <c r="R216" i="11"/>
  <c r="AJ215" i="11"/>
  <c r="AI215" i="11"/>
  <c r="AG215" i="11"/>
  <c r="AF215" i="11"/>
  <c r="AD215" i="11"/>
  <c r="AC215" i="11"/>
  <c r="AB215" i="11"/>
  <c r="X215" i="11"/>
  <c r="W215" i="11"/>
  <c r="R215" i="11"/>
  <c r="Q215" i="11"/>
  <c r="S215" i="11" s="1"/>
  <c r="AM214" i="11"/>
  <c r="AL214" i="11"/>
  <c r="AK214" i="11"/>
  <c r="V214" i="11"/>
  <c r="S214" i="11"/>
  <c r="R214" i="11"/>
  <c r="AM213" i="11"/>
  <c r="AL213" i="11"/>
  <c r="AK213" i="11"/>
  <c r="V213" i="11"/>
  <c r="S213" i="11"/>
  <c r="R213" i="11"/>
  <c r="AM212" i="11"/>
  <c r="AL212" i="11"/>
  <c r="AK212" i="11"/>
  <c r="V212" i="11"/>
  <c r="S212" i="11"/>
  <c r="R212" i="11"/>
  <c r="AM211" i="11"/>
  <c r="AL211" i="11"/>
  <c r="AK211" i="11"/>
  <c r="V211" i="11"/>
  <c r="S211" i="11"/>
  <c r="R211" i="11"/>
  <c r="AM210" i="11"/>
  <c r="AL210" i="11"/>
  <c r="AK210" i="11"/>
  <c r="V210" i="11"/>
  <c r="S210" i="11"/>
  <c r="R210" i="11"/>
  <c r="AJ209" i="11"/>
  <c r="AI209" i="11"/>
  <c r="AG209" i="11"/>
  <c r="AF209" i="11"/>
  <c r="AD209" i="11"/>
  <c r="AC209" i="11"/>
  <c r="AB209" i="11"/>
  <c r="X209" i="11"/>
  <c r="W209" i="11"/>
  <c r="R209" i="11"/>
  <c r="Q209" i="11"/>
  <c r="S209" i="11" s="1"/>
  <c r="AM208" i="11"/>
  <c r="AL208" i="11"/>
  <c r="AK208" i="11"/>
  <c r="V208" i="11"/>
  <c r="S208" i="11"/>
  <c r="R208" i="11"/>
  <c r="AM207" i="11"/>
  <c r="AL207" i="11"/>
  <c r="AK207" i="11"/>
  <c r="V207" i="11"/>
  <c r="S207" i="11"/>
  <c r="R207" i="11"/>
  <c r="AM206" i="11"/>
  <c r="AL206" i="11"/>
  <c r="AK206" i="11"/>
  <c r="V206" i="11"/>
  <c r="S206" i="11"/>
  <c r="R206" i="11"/>
  <c r="AM205" i="11"/>
  <c r="AL205" i="11"/>
  <c r="AK205" i="11"/>
  <c r="V205" i="11"/>
  <c r="S205" i="11"/>
  <c r="R205" i="11"/>
  <c r="AM204" i="11"/>
  <c r="AL204" i="11"/>
  <c r="AK204" i="11"/>
  <c r="V204" i="11"/>
  <c r="S204" i="11"/>
  <c r="R204" i="11"/>
  <c r="AM203" i="11"/>
  <c r="AL203" i="11"/>
  <c r="AK203" i="11"/>
  <c r="V203" i="11"/>
  <c r="S203" i="11"/>
  <c r="R203" i="11"/>
  <c r="AM202" i="11"/>
  <c r="AL202" i="11"/>
  <c r="AK202" i="11"/>
  <c r="V202" i="11"/>
  <c r="S202" i="11"/>
  <c r="R202" i="11"/>
  <c r="AM201" i="11"/>
  <c r="AL201" i="11"/>
  <c r="AK201" i="11"/>
  <c r="V201" i="11"/>
  <c r="S201" i="11"/>
  <c r="R201" i="11"/>
  <c r="AM200" i="11"/>
  <c r="AL200" i="11"/>
  <c r="AK200" i="11"/>
  <c r="V200" i="11"/>
  <c r="S200" i="11"/>
  <c r="R200" i="11"/>
  <c r="AM199" i="11"/>
  <c r="AL199" i="11"/>
  <c r="AK199" i="11"/>
  <c r="V199" i="11"/>
  <c r="S199" i="11"/>
  <c r="R199" i="11"/>
  <c r="AJ198" i="11"/>
  <c r="AJ190" i="11" s="1"/>
  <c r="AI198" i="11"/>
  <c r="AI190" i="11" s="1"/>
  <c r="AG198" i="11"/>
  <c r="AG190" i="11" s="1"/>
  <c r="AF198" i="11"/>
  <c r="AF190" i="11" s="1"/>
  <c r="AD198" i="11"/>
  <c r="AD190" i="11" s="1"/>
  <c r="AC198" i="11"/>
  <c r="AC190" i="11" s="1"/>
  <c r="AB198" i="11"/>
  <c r="AB190" i="11" s="1"/>
  <c r="X198" i="11"/>
  <c r="X190" i="11" s="1"/>
  <c r="W198" i="11"/>
  <c r="W190" i="11" s="1"/>
  <c r="R198" i="11"/>
  <c r="Q198" i="11"/>
  <c r="S198" i="11" s="1"/>
  <c r="AM197" i="11"/>
  <c r="AL197" i="11"/>
  <c r="AK197" i="11"/>
  <c r="V197" i="11"/>
  <c r="S197" i="11"/>
  <c r="R197" i="11"/>
  <c r="AM196" i="11"/>
  <c r="AL196" i="11"/>
  <c r="AK196" i="11"/>
  <c r="V196" i="11"/>
  <c r="S196" i="11"/>
  <c r="R196" i="11"/>
  <c r="AM195" i="11"/>
  <c r="AL195" i="11"/>
  <c r="AK195" i="11"/>
  <c r="V195" i="11"/>
  <c r="S195" i="11"/>
  <c r="R195" i="11"/>
  <c r="AM194" i="11"/>
  <c r="AL194" i="11"/>
  <c r="AK194" i="11"/>
  <c r="V194" i="11"/>
  <c r="S194" i="11"/>
  <c r="R194" i="11"/>
  <c r="AM193" i="11"/>
  <c r="AL193" i="11"/>
  <c r="AK193" i="11"/>
  <c r="V193" i="11"/>
  <c r="S193" i="11"/>
  <c r="R193" i="11"/>
  <c r="AM192" i="11"/>
  <c r="AL192" i="11"/>
  <c r="AK192" i="11"/>
  <c r="V192" i="11"/>
  <c r="S192" i="11"/>
  <c r="R192" i="11"/>
  <c r="AM191" i="11"/>
  <c r="AL191" i="11"/>
  <c r="AK191" i="11"/>
  <c r="V191" i="11"/>
  <c r="S191" i="11"/>
  <c r="R191" i="11"/>
  <c r="R190" i="11"/>
  <c r="Q190" i="11"/>
  <c r="S190" i="11" s="1"/>
  <c r="AM189" i="11"/>
  <c r="AL189" i="11"/>
  <c r="AK189" i="11"/>
  <c r="V189" i="11"/>
  <c r="S189" i="11"/>
  <c r="R189" i="11"/>
  <c r="AM188" i="11"/>
  <c r="AL188" i="11"/>
  <c r="AK188" i="11"/>
  <c r="V188" i="11"/>
  <c r="S188" i="11"/>
  <c r="R188" i="11"/>
  <c r="AM187" i="11"/>
  <c r="AL187" i="11"/>
  <c r="AK187" i="11"/>
  <c r="V187" i="11"/>
  <c r="S187" i="11"/>
  <c r="R187" i="11"/>
  <c r="AM186" i="11"/>
  <c r="AJ186" i="11"/>
  <c r="AI186" i="11"/>
  <c r="AG186" i="11"/>
  <c r="AF186" i="11"/>
  <c r="AD186" i="11"/>
  <c r="AC186" i="11"/>
  <c r="AB186" i="11"/>
  <c r="X186" i="11"/>
  <c r="W186" i="11"/>
  <c r="V186" i="11"/>
  <c r="R186" i="11"/>
  <c r="Q186" i="11"/>
  <c r="S186" i="11" s="1"/>
  <c r="AM185" i="11"/>
  <c r="AL185" i="11"/>
  <c r="AK185" i="11"/>
  <c r="V185" i="11"/>
  <c r="S185" i="11"/>
  <c r="R185" i="11"/>
  <c r="AM184" i="11"/>
  <c r="AL184" i="11"/>
  <c r="AK184" i="11"/>
  <c r="V184" i="11"/>
  <c r="S184" i="11"/>
  <c r="R184" i="11"/>
  <c r="AM183" i="11"/>
  <c r="AL183" i="11"/>
  <c r="AK183" i="11"/>
  <c r="V183" i="11"/>
  <c r="S183" i="11"/>
  <c r="R183" i="11"/>
  <c r="AM182" i="11"/>
  <c r="AL182" i="11"/>
  <c r="AK182" i="11"/>
  <c r="V182" i="11"/>
  <c r="S182" i="11"/>
  <c r="R182" i="11"/>
  <c r="AM181" i="11"/>
  <c r="AL181" i="11"/>
  <c r="AK181" i="11"/>
  <c r="V181" i="11"/>
  <c r="S181" i="11"/>
  <c r="R181" i="11"/>
  <c r="AM180" i="11"/>
  <c r="AL180" i="11"/>
  <c r="AK180" i="11"/>
  <c r="AK179" i="11" s="1"/>
  <c r="AK178" i="11" s="1"/>
  <c r="V180" i="11"/>
  <c r="S180" i="11"/>
  <c r="R180" i="11"/>
  <c r="AJ179" i="11"/>
  <c r="AJ178" i="11" s="1"/>
  <c r="AI179" i="11"/>
  <c r="AG179" i="11"/>
  <c r="AG178" i="11" s="1"/>
  <c r="AF179" i="11"/>
  <c r="AF178" i="11" s="1"/>
  <c r="AD179" i="11"/>
  <c r="AD178" i="11" s="1"/>
  <c r="AC179" i="11"/>
  <c r="AC178" i="11" s="1"/>
  <c r="AB179" i="11"/>
  <c r="AB178" i="11" s="1"/>
  <c r="X179" i="11"/>
  <c r="X178" i="11" s="1"/>
  <c r="W179" i="11"/>
  <c r="W178" i="11" s="1"/>
  <c r="V179" i="11"/>
  <c r="R179" i="11"/>
  <c r="Q179" i="11"/>
  <c r="Q178" i="11" s="1"/>
  <c r="S178" i="11" s="1"/>
  <c r="AI178" i="11"/>
  <c r="R178" i="11"/>
  <c r="R177" i="11"/>
  <c r="R176" i="11"/>
  <c r="AM175" i="11"/>
  <c r="AK175" i="11"/>
  <c r="AF175" i="11"/>
  <c r="AL175" i="11" s="1"/>
  <c r="V175" i="11"/>
  <c r="S175" i="11"/>
  <c r="R175" i="11"/>
  <c r="AM174" i="11"/>
  <c r="AK174" i="11"/>
  <c r="AF174" i="11"/>
  <c r="AL174" i="11" s="1"/>
  <c r="V174" i="11"/>
  <c r="S174" i="11"/>
  <c r="R174" i="11"/>
  <c r="AM173" i="11"/>
  <c r="AK173" i="11"/>
  <c r="AF173" i="11"/>
  <c r="AL173" i="11" s="1"/>
  <c r="V173" i="11"/>
  <c r="S173" i="11"/>
  <c r="R173" i="11"/>
  <c r="AM172" i="11"/>
  <c r="AK172" i="11"/>
  <c r="AF172" i="11"/>
  <c r="AL172" i="11" s="1"/>
  <c r="V172" i="11"/>
  <c r="S172" i="11"/>
  <c r="R172" i="11"/>
  <c r="AM171" i="11"/>
  <c r="AK171" i="11"/>
  <c r="AF171" i="11"/>
  <c r="AL171" i="11" s="1"/>
  <c r="V171" i="11"/>
  <c r="S171" i="11"/>
  <c r="R171" i="11"/>
  <c r="AM170" i="11"/>
  <c r="AK170" i="11"/>
  <c r="AF170" i="11"/>
  <c r="AL170" i="11" s="1"/>
  <c r="V170" i="11"/>
  <c r="S170" i="11"/>
  <c r="R170" i="11"/>
  <c r="AM169" i="11"/>
  <c r="AK169" i="11"/>
  <c r="AF169" i="11"/>
  <c r="AL169" i="11" s="1"/>
  <c r="V169" i="11"/>
  <c r="S169" i="11"/>
  <c r="R169" i="11"/>
  <c r="AJ168" i="11"/>
  <c r="AI168" i="11"/>
  <c r="AG168" i="11"/>
  <c r="AD168" i="11"/>
  <c r="AC168" i="11"/>
  <c r="AB168" i="11"/>
  <c r="X168" i="11"/>
  <c r="W168" i="11"/>
  <c r="R168" i="11"/>
  <c r="Q168" i="11"/>
  <c r="S168" i="11" s="1"/>
  <c r="AM167" i="11"/>
  <c r="AK167" i="11"/>
  <c r="AF167" i="11"/>
  <c r="AL167" i="11" s="1"/>
  <c r="V167" i="11"/>
  <c r="S167" i="11"/>
  <c r="R167" i="11"/>
  <c r="AM166" i="11"/>
  <c r="AK166" i="11"/>
  <c r="AF166" i="11"/>
  <c r="AL166" i="11" s="1"/>
  <c r="V166" i="11"/>
  <c r="S166" i="11"/>
  <c r="R166" i="11"/>
  <c r="AM165" i="11"/>
  <c r="AK165" i="11"/>
  <c r="AF165" i="11"/>
  <c r="AL165" i="11" s="1"/>
  <c r="V165" i="11"/>
  <c r="S165" i="11"/>
  <c r="R165" i="11"/>
  <c r="AM164" i="11"/>
  <c r="AK164" i="11"/>
  <c r="AF164" i="11"/>
  <c r="AL164" i="11" s="1"/>
  <c r="V164" i="11"/>
  <c r="S164" i="11"/>
  <c r="R164" i="11"/>
  <c r="AM163" i="11"/>
  <c r="AK163" i="11"/>
  <c r="AF163" i="11"/>
  <c r="AL163" i="11" s="1"/>
  <c r="V163" i="11"/>
  <c r="S163" i="11"/>
  <c r="R163" i="11"/>
  <c r="AM162" i="11"/>
  <c r="AK162" i="11"/>
  <c r="AF162" i="11"/>
  <c r="V162" i="11"/>
  <c r="S162" i="11"/>
  <c r="R162" i="11"/>
  <c r="AM161" i="11"/>
  <c r="AK161" i="11"/>
  <c r="AF161" i="11"/>
  <c r="AL161" i="11" s="1"/>
  <c r="V161" i="11"/>
  <c r="S161" i="11"/>
  <c r="R161" i="11"/>
  <c r="AJ160" i="11"/>
  <c r="AI160" i="11"/>
  <c r="AG160" i="11"/>
  <c r="AD160" i="11"/>
  <c r="AC160" i="11"/>
  <c r="AB160" i="11"/>
  <c r="X160" i="11"/>
  <c r="W160" i="11"/>
  <c r="R160" i="11"/>
  <c r="Q160" i="11"/>
  <c r="S160" i="11" s="1"/>
  <c r="AM159" i="11"/>
  <c r="AK159" i="11"/>
  <c r="AF159" i="11"/>
  <c r="AL159" i="11" s="1"/>
  <c r="V159" i="11"/>
  <c r="S159" i="11"/>
  <c r="R159" i="11"/>
  <c r="AM158" i="11"/>
  <c r="AK158" i="11"/>
  <c r="AF158" i="11"/>
  <c r="AL158" i="11" s="1"/>
  <c r="V158" i="11"/>
  <c r="S158" i="11"/>
  <c r="R158" i="11"/>
  <c r="AM157" i="11"/>
  <c r="AK157" i="11"/>
  <c r="AF157" i="11"/>
  <c r="AL157" i="11" s="1"/>
  <c r="V157" i="11"/>
  <c r="S157" i="11"/>
  <c r="R157" i="11"/>
  <c r="AM156" i="11"/>
  <c r="AK156" i="11"/>
  <c r="AF156" i="11"/>
  <c r="AL156" i="11" s="1"/>
  <c r="V156" i="11"/>
  <c r="S156" i="11"/>
  <c r="R156" i="11"/>
  <c r="AM155" i="11"/>
  <c r="AK155" i="11"/>
  <c r="AF155" i="11"/>
  <c r="AL155" i="11" s="1"/>
  <c r="V155" i="11"/>
  <c r="S155" i="11"/>
  <c r="R155" i="11"/>
  <c r="AM154" i="11"/>
  <c r="AK154" i="11"/>
  <c r="AF154" i="11"/>
  <c r="AL154" i="11" s="1"/>
  <c r="V154" i="11"/>
  <c r="S154" i="11"/>
  <c r="R154" i="11"/>
  <c r="AM153" i="11"/>
  <c r="AK153" i="11"/>
  <c r="AF153" i="11"/>
  <c r="AL153" i="11" s="1"/>
  <c r="V153" i="11"/>
  <c r="S153" i="11"/>
  <c r="R153" i="11"/>
  <c r="AM152" i="11"/>
  <c r="AK152" i="11"/>
  <c r="AF152" i="11"/>
  <c r="AL152" i="11" s="1"/>
  <c r="AL151" i="11" s="1"/>
  <c r="V152" i="11"/>
  <c r="S152" i="11"/>
  <c r="R152" i="11"/>
  <c r="AJ151" i="11"/>
  <c r="AI151" i="11"/>
  <c r="AG151" i="11"/>
  <c r="AD151" i="11"/>
  <c r="AC151" i="11"/>
  <c r="AB151" i="11"/>
  <c r="X151" i="11"/>
  <c r="W151" i="11"/>
  <c r="R151" i="11"/>
  <c r="Q151" i="11"/>
  <c r="S151" i="11" s="1"/>
  <c r="AM150" i="11"/>
  <c r="AK150" i="11"/>
  <c r="AF150" i="11"/>
  <c r="AL150" i="11" s="1"/>
  <c r="V150" i="11"/>
  <c r="S150" i="11"/>
  <c r="R150" i="11"/>
  <c r="AM149" i="11"/>
  <c r="AK149" i="11"/>
  <c r="AF149" i="11"/>
  <c r="AL149" i="11" s="1"/>
  <c r="V149" i="11"/>
  <c r="S149" i="11"/>
  <c r="R149" i="11"/>
  <c r="AM148" i="11"/>
  <c r="AK148" i="11"/>
  <c r="AF148" i="11"/>
  <c r="V148" i="11"/>
  <c r="S148" i="11"/>
  <c r="R148" i="11"/>
  <c r="AJ147" i="11"/>
  <c r="AI147" i="11"/>
  <c r="AG147" i="11"/>
  <c r="AD147" i="11"/>
  <c r="AC147" i="11"/>
  <c r="AB147" i="11"/>
  <c r="X147" i="11"/>
  <c r="W147" i="11"/>
  <c r="R147" i="11"/>
  <c r="Q147" i="11"/>
  <c r="S147" i="11" s="1"/>
  <c r="AM146" i="11"/>
  <c r="AK146" i="11"/>
  <c r="AF146" i="11"/>
  <c r="AL146" i="11" s="1"/>
  <c r="V146" i="11"/>
  <c r="S146" i="11"/>
  <c r="R146" i="11"/>
  <c r="AM145" i="11"/>
  <c r="AK145" i="11"/>
  <c r="AF145" i="11"/>
  <c r="AL145" i="11" s="1"/>
  <c r="V145" i="11"/>
  <c r="S145" i="11"/>
  <c r="R145" i="11"/>
  <c r="AM144" i="11"/>
  <c r="AK144" i="11"/>
  <c r="AF144" i="11"/>
  <c r="AF143" i="11" s="1"/>
  <c r="V144" i="11"/>
  <c r="V143" i="11" s="1"/>
  <c r="S144" i="11"/>
  <c r="R144" i="11"/>
  <c r="AJ143" i="11"/>
  <c r="AJ139" i="11" s="1"/>
  <c r="AI143" i="11"/>
  <c r="AG143" i="11"/>
  <c r="AD143" i="11"/>
  <c r="AD139" i="11" s="1"/>
  <c r="AC143" i="11"/>
  <c r="AC139" i="11" s="1"/>
  <c r="AB143" i="11"/>
  <c r="AB139" i="11" s="1"/>
  <c r="X143" i="11"/>
  <c r="W143" i="11"/>
  <c r="W139" i="11" s="1"/>
  <c r="R143" i="11"/>
  <c r="Q143" i="11"/>
  <c r="S143" i="11" s="1"/>
  <c r="AM142" i="11"/>
  <c r="AK142" i="11"/>
  <c r="AF142" i="11"/>
  <c r="AL142" i="11" s="1"/>
  <c r="V142" i="11"/>
  <c r="S142" i="11"/>
  <c r="R142" i="11"/>
  <c r="AM141" i="11"/>
  <c r="AK141" i="11"/>
  <c r="AF141" i="11"/>
  <c r="AL141" i="11" s="1"/>
  <c r="V141" i="11"/>
  <c r="S141" i="11"/>
  <c r="R141" i="11"/>
  <c r="AM140" i="11"/>
  <c r="AK140" i="11"/>
  <c r="AF140" i="11"/>
  <c r="V140" i="11"/>
  <c r="S140" i="11"/>
  <c r="R140" i="11"/>
  <c r="AI139" i="11"/>
  <c r="AG139" i="11"/>
  <c r="X139" i="11"/>
  <c r="R139" i="11"/>
  <c r="Q139" i="11"/>
  <c r="S139" i="11" s="1"/>
  <c r="AI138" i="11"/>
  <c r="AG138" i="11"/>
  <c r="R138" i="11"/>
  <c r="R137" i="11"/>
  <c r="R136" i="11"/>
  <c r="AM135" i="11"/>
  <c r="AK135" i="11"/>
  <c r="AF135" i="11"/>
  <c r="AL135" i="11" s="1"/>
  <c r="V135" i="11"/>
  <c r="S135" i="11"/>
  <c r="R135" i="11"/>
  <c r="AM134" i="11"/>
  <c r="AK134" i="11"/>
  <c r="AF134" i="11"/>
  <c r="AL134" i="11" s="1"/>
  <c r="V134" i="11"/>
  <c r="S134" i="11"/>
  <c r="R134" i="11"/>
  <c r="AM133" i="11"/>
  <c r="AK133" i="11"/>
  <c r="AF133" i="11"/>
  <c r="V133" i="11"/>
  <c r="S133" i="11"/>
  <c r="R133" i="11"/>
  <c r="AK132" i="11"/>
  <c r="AJ132" i="11"/>
  <c r="AI132" i="11"/>
  <c r="AG132" i="11"/>
  <c r="AD132" i="11"/>
  <c r="AC132" i="11"/>
  <c r="AB132" i="11"/>
  <c r="X132" i="11"/>
  <c r="W132" i="11"/>
  <c r="R132" i="11"/>
  <c r="Q132" i="11"/>
  <c r="S132" i="11" s="1"/>
  <c r="AM131" i="11"/>
  <c r="AK131" i="11"/>
  <c r="AF131" i="11"/>
  <c r="AL131" i="11" s="1"/>
  <c r="V131" i="11"/>
  <c r="S131" i="11"/>
  <c r="R131" i="11"/>
  <c r="AM130" i="11"/>
  <c r="AK130" i="11"/>
  <c r="AF130" i="11"/>
  <c r="AL130" i="11" s="1"/>
  <c r="V130" i="11"/>
  <c r="S130" i="11"/>
  <c r="R130" i="11"/>
  <c r="AM129" i="11"/>
  <c r="AK129" i="11"/>
  <c r="AF129" i="11"/>
  <c r="AL129" i="11" s="1"/>
  <c r="V129" i="11"/>
  <c r="S129" i="11"/>
  <c r="R129" i="11"/>
  <c r="AM128" i="11"/>
  <c r="AK128" i="11"/>
  <c r="AF128" i="11"/>
  <c r="AL128" i="11" s="1"/>
  <c r="V128" i="11"/>
  <c r="S128" i="11"/>
  <c r="R128" i="11"/>
  <c r="AM127" i="11"/>
  <c r="AK127" i="11"/>
  <c r="AF127" i="11"/>
  <c r="AL127" i="11" s="1"/>
  <c r="V127" i="11"/>
  <c r="S127" i="11"/>
  <c r="R127" i="11"/>
  <c r="AM126" i="11"/>
  <c r="AK126" i="11"/>
  <c r="AF126" i="11"/>
  <c r="AL126" i="11" s="1"/>
  <c r="V126" i="11"/>
  <c r="S126" i="11"/>
  <c r="R126" i="11"/>
  <c r="AM125" i="11"/>
  <c r="AK125" i="11"/>
  <c r="AF125" i="11"/>
  <c r="AL125" i="11" s="1"/>
  <c r="V125" i="11"/>
  <c r="S125" i="11"/>
  <c r="R125" i="11"/>
  <c r="AJ124" i="11"/>
  <c r="AI124" i="11"/>
  <c r="AG124" i="11"/>
  <c r="AD124" i="11"/>
  <c r="AC124" i="11"/>
  <c r="AB124" i="11"/>
  <c r="X124" i="11"/>
  <c r="W124" i="11"/>
  <c r="R124" i="11"/>
  <c r="Q124" i="11"/>
  <c r="S124" i="11" s="1"/>
  <c r="AM123" i="11"/>
  <c r="AK123" i="11"/>
  <c r="AF123" i="11"/>
  <c r="AL123" i="11" s="1"/>
  <c r="V123" i="11"/>
  <c r="S123" i="11"/>
  <c r="R123" i="11"/>
  <c r="AM122" i="11"/>
  <c r="AK122" i="11"/>
  <c r="AF122" i="11"/>
  <c r="AL122" i="11" s="1"/>
  <c r="V122" i="11"/>
  <c r="S122" i="11"/>
  <c r="R122" i="11"/>
  <c r="AM121" i="11"/>
  <c r="AK121" i="11"/>
  <c r="AF121" i="11"/>
  <c r="V121" i="11"/>
  <c r="S121" i="11"/>
  <c r="R121" i="11"/>
  <c r="AM120" i="11"/>
  <c r="AJ120" i="11"/>
  <c r="AI120" i="11"/>
  <c r="AG120" i="11"/>
  <c r="AD120" i="11"/>
  <c r="AC120" i="11"/>
  <c r="AB120" i="11"/>
  <c r="X120" i="11"/>
  <c r="W120" i="11"/>
  <c r="R120" i="11"/>
  <c r="Q120" i="11"/>
  <c r="S120" i="11" s="1"/>
  <c r="AM119" i="11"/>
  <c r="AK119" i="11"/>
  <c r="AF119" i="11"/>
  <c r="AL119" i="11" s="1"/>
  <c r="V119" i="11"/>
  <c r="S119" i="11"/>
  <c r="R119" i="11"/>
  <c r="AM118" i="11"/>
  <c r="AK118" i="11"/>
  <c r="AF118" i="11"/>
  <c r="AL118" i="11" s="1"/>
  <c r="V118" i="11"/>
  <c r="S118" i="11"/>
  <c r="R118" i="11"/>
  <c r="AM117" i="11"/>
  <c r="AK117" i="11"/>
  <c r="AF117" i="11"/>
  <c r="AL117" i="11" s="1"/>
  <c r="V117" i="11"/>
  <c r="S117" i="11"/>
  <c r="R117" i="11"/>
  <c r="AM116" i="11"/>
  <c r="AK116" i="11"/>
  <c r="AF116" i="11"/>
  <c r="AL116" i="11" s="1"/>
  <c r="V116" i="11"/>
  <c r="S116" i="11"/>
  <c r="R116" i="11"/>
  <c r="AM115" i="11"/>
  <c r="AK115" i="11"/>
  <c r="AF115" i="11"/>
  <c r="AL115" i="11" s="1"/>
  <c r="V115" i="11"/>
  <c r="S115" i="11"/>
  <c r="R115" i="11"/>
  <c r="AJ114" i="11"/>
  <c r="AJ113" i="11" s="1"/>
  <c r="AI114" i="11"/>
  <c r="AI113" i="11" s="1"/>
  <c r="AG114" i="11"/>
  <c r="AG113" i="11" s="1"/>
  <c r="AD114" i="11"/>
  <c r="AC114" i="11"/>
  <c r="AB114" i="11"/>
  <c r="X114" i="11"/>
  <c r="X113" i="11" s="1"/>
  <c r="W114" i="11"/>
  <c r="W113" i="11" s="1"/>
  <c r="R114" i="11"/>
  <c r="Q114" i="11"/>
  <c r="S114" i="11" s="1"/>
  <c r="AD113" i="11"/>
  <c r="AC113" i="11"/>
  <c r="AB113" i="11"/>
  <c r="R113" i="11"/>
  <c r="Q113" i="11"/>
  <c r="AM112" i="11"/>
  <c r="AK112" i="11"/>
  <c r="AF112" i="11"/>
  <c r="AL112" i="11" s="1"/>
  <c r="V112" i="11"/>
  <c r="S112" i="11"/>
  <c r="R112" i="11"/>
  <c r="AM111" i="11"/>
  <c r="AK111" i="11"/>
  <c r="AF111" i="11"/>
  <c r="AL111" i="11" s="1"/>
  <c r="V111" i="11"/>
  <c r="S111" i="11"/>
  <c r="R111" i="11"/>
  <c r="AM110" i="11"/>
  <c r="AK110" i="11"/>
  <c r="AF110" i="11"/>
  <c r="V110" i="11"/>
  <c r="S110" i="11"/>
  <c r="R110" i="11"/>
  <c r="AJ109" i="11"/>
  <c r="AI109" i="11"/>
  <c r="AG109" i="11"/>
  <c r="AD109" i="11"/>
  <c r="AC109" i="11"/>
  <c r="AB109" i="11"/>
  <c r="X109" i="11"/>
  <c r="W109" i="11"/>
  <c r="R109" i="11"/>
  <c r="Q109" i="11"/>
  <c r="S109" i="11" s="1"/>
  <c r="AM108" i="11"/>
  <c r="AK108" i="11"/>
  <c r="AF108" i="11"/>
  <c r="AL108" i="11" s="1"/>
  <c r="V108" i="11"/>
  <c r="S108" i="11"/>
  <c r="R108" i="11"/>
  <c r="AM107" i="11"/>
  <c r="AK107" i="11"/>
  <c r="AF107" i="11"/>
  <c r="AL107" i="11" s="1"/>
  <c r="V107" i="11"/>
  <c r="S107" i="11"/>
  <c r="R107" i="11"/>
  <c r="AM106" i="11"/>
  <c r="AK106" i="11"/>
  <c r="AF106" i="11"/>
  <c r="AL106" i="11" s="1"/>
  <c r="V106" i="11"/>
  <c r="S106" i="11"/>
  <c r="R106" i="11"/>
  <c r="AM105" i="11"/>
  <c r="AK105" i="11"/>
  <c r="AF105" i="11"/>
  <c r="AL105" i="11" s="1"/>
  <c r="V105" i="11"/>
  <c r="S105" i="11"/>
  <c r="R105" i="11"/>
  <c r="AJ104" i="11"/>
  <c r="AI104" i="11"/>
  <c r="AG104" i="11"/>
  <c r="AD104" i="11"/>
  <c r="AC104" i="11"/>
  <c r="AB104" i="11"/>
  <c r="X104" i="11"/>
  <c r="W104" i="11"/>
  <c r="R104" i="11"/>
  <c r="Q104" i="11"/>
  <c r="S104" i="11" s="1"/>
  <c r="AM103" i="11"/>
  <c r="AK103" i="11"/>
  <c r="AF103" i="11"/>
  <c r="AL103" i="11" s="1"/>
  <c r="V103" i="11"/>
  <c r="S103" i="11"/>
  <c r="R103" i="11"/>
  <c r="AM102" i="11"/>
  <c r="AK102" i="11"/>
  <c r="AF102" i="11"/>
  <c r="V102" i="11"/>
  <c r="S102" i="11"/>
  <c r="R102" i="11"/>
  <c r="AM101" i="11"/>
  <c r="AJ101" i="11"/>
  <c r="AI101" i="11"/>
  <c r="AG101" i="11"/>
  <c r="AD101" i="11"/>
  <c r="AC101" i="11"/>
  <c r="AB101" i="11"/>
  <c r="X101" i="11"/>
  <c r="W101" i="11"/>
  <c r="R101" i="11"/>
  <c r="Q101" i="11"/>
  <c r="S101" i="11" s="1"/>
  <c r="AM100" i="11"/>
  <c r="AK100" i="11"/>
  <c r="AF100" i="11"/>
  <c r="AL100" i="11" s="1"/>
  <c r="V100" i="11"/>
  <c r="S100" i="11"/>
  <c r="R100" i="11"/>
  <c r="R99" i="11"/>
  <c r="AM98" i="11"/>
  <c r="AK98" i="11"/>
  <c r="AF98" i="11"/>
  <c r="AL98" i="11" s="1"/>
  <c r="V98" i="11"/>
  <c r="S98" i="11"/>
  <c r="R98" i="11"/>
  <c r="AM97" i="11"/>
  <c r="AK97" i="11"/>
  <c r="AF97" i="11"/>
  <c r="AL97" i="11" s="1"/>
  <c r="V97" i="11"/>
  <c r="S97" i="11"/>
  <c r="R97" i="11"/>
  <c r="AM96" i="11"/>
  <c r="AK96" i="11"/>
  <c r="AF96" i="11"/>
  <c r="AL96" i="11" s="1"/>
  <c r="V96" i="11"/>
  <c r="S96" i="11"/>
  <c r="R96" i="11"/>
  <c r="AM95" i="11"/>
  <c r="AK95" i="11"/>
  <c r="AF95" i="11"/>
  <c r="AL95" i="11" s="1"/>
  <c r="V95" i="11"/>
  <c r="S95" i="11"/>
  <c r="R95" i="11"/>
  <c r="AM94" i="11"/>
  <c r="AK94" i="11"/>
  <c r="AF94" i="11"/>
  <c r="AL94" i="11" s="1"/>
  <c r="V94" i="11"/>
  <c r="S94" i="11"/>
  <c r="R94" i="11"/>
  <c r="AM93" i="11"/>
  <c r="AK93" i="11"/>
  <c r="AF93" i="11"/>
  <c r="AL93" i="11" s="1"/>
  <c r="V93" i="11"/>
  <c r="S93" i="11"/>
  <c r="R93" i="11"/>
  <c r="AM92" i="11"/>
  <c r="AM91" i="11" s="1"/>
  <c r="AK92" i="11"/>
  <c r="AF92" i="11"/>
  <c r="AL92" i="11" s="1"/>
  <c r="V92" i="11"/>
  <c r="S92" i="11"/>
  <c r="R92" i="11"/>
  <c r="AJ91" i="11"/>
  <c r="AI91" i="11"/>
  <c r="AG91" i="11"/>
  <c r="AD91" i="11"/>
  <c r="AC91" i="11"/>
  <c r="AB91" i="11"/>
  <c r="X91" i="11"/>
  <c r="W91" i="11"/>
  <c r="R91" i="11"/>
  <c r="Q91" i="11"/>
  <c r="S91" i="11" s="1"/>
  <c r="AM90" i="11"/>
  <c r="AK90" i="11"/>
  <c r="AF90" i="11"/>
  <c r="AL90" i="11" s="1"/>
  <c r="V90" i="11"/>
  <c r="S90" i="11"/>
  <c r="R90" i="11"/>
  <c r="AM89" i="11"/>
  <c r="AK89" i="11"/>
  <c r="AF89" i="11"/>
  <c r="AL89" i="11" s="1"/>
  <c r="V89" i="11"/>
  <c r="S89" i="11"/>
  <c r="R89" i="11"/>
  <c r="AM88" i="11"/>
  <c r="AK88" i="11"/>
  <c r="AF88" i="11"/>
  <c r="AL88" i="11" s="1"/>
  <c r="V88" i="11"/>
  <c r="S88" i="11"/>
  <c r="R88" i="11"/>
  <c r="AM87" i="11"/>
  <c r="AK87" i="11"/>
  <c r="AF87" i="11"/>
  <c r="AL87" i="11" s="1"/>
  <c r="V87" i="11"/>
  <c r="S87" i="11"/>
  <c r="R87" i="11"/>
  <c r="AM86" i="11"/>
  <c r="AK86" i="11"/>
  <c r="AF86" i="11"/>
  <c r="AL86" i="11" s="1"/>
  <c r="V86" i="11"/>
  <c r="S86" i="11"/>
  <c r="R86" i="11"/>
  <c r="AM85" i="11"/>
  <c r="AK85" i="11"/>
  <c r="AF85" i="11"/>
  <c r="AL85" i="11" s="1"/>
  <c r="V85" i="11"/>
  <c r="S85" i="11"/>
  <c r="R85" i="11"/>
  <c r="AJ84" i="11"/>
  <c r="AI84" i="11"/>
  <c r="AG84" i="11"/>
  <c r="AD84" i="11"/>
  <c r="AC84" i="11"/>
  <c r="AB84" i="11"/>
  <c r="X84" i="11"/>
  <c r="W84" i="11"/>
  <c r="R84" i="11"/>
  <c r="Q84" i="11"/>
  <c r="S84" i="11" s="1"/>
  <c r="AM83" i="11"/>
  <c r="AK83" i="11"/>
  <c r="AF83" i="11"/>
  <c r="AL83" i="11" s="1"/>
  <c r="V83" i="11"/>
  <c r="S83" i="11"/>
  <c r="R83" i="11"/>
  <c r="AM82" i="11"/>
  <c r="AK82" i="11"/>
  <c r="AF82" i="11"/>
  <c r="AL82" i="11" s="1"/>
  <c r="V82" i="11"/>
  <c r="S82" i="11"/>
  <c r="R82" i="11"/>
  <c r="AM81" i="11"/>
  <c r="AK81" i="11"/>
  <c r="AF81" i="11"/>
  <c r="AL81" i="11" s="1"/>
  <c r="V81" i="11"/>
  <c r="S81" i="11"/>
  <c r="R81" i="11"/>
  <c r="AM80" i="11"/>
  <c r="AK80" i="11"/>
  <c r="AF80" i="11"/>
  <c r="AL80" i="11" s="1"/>
  <c r="V80" i="11"/>
  <c r="S80" i="11"/>
  <c r="R80" i="11"/>
  <c r="AM79" i="11"/>
  <c r="AK79" i="11"/>
  <c r="AF79" i="11"/>
  <c r="V79" i="11"/>
  <c r="S79" i="11"/>
  <c r="R79" i="11"/>
  <c r="AJ78" i="11"/>
  <c r="AI78" i="11"/>
  <c r="AG78" i="11"/>
  <c r="AD78" i="11"/>
  <c r="AC78" i="11"/>
  <c r="AC63" i="11" s="1"/>
  <c r="AB78" i="11"/>
  <c r="AB63" i="11" s="1"/>
  <c r="X78" i="11"/>
  <c r="X63" i="11" s="1"/>
  <c r="W78" i="11"/>
  <c r="W63" i="11" s="1"/>
  <c r="R78" i="11"/>
  <c r="Q78" i="11"/>
  <c r="Q63" i="11" s="1"/>
  <c r="AM77" i="11"/>
  <c r="AK77" i="11"/>
  <c r="AF77" i="11"/>
  <c r="AL77" i="11" s="1"/>
  <c r="V77" i="11"/>
  <c r="S77" i="11"/>
  <c r="R77" i="11"/>
  <c r="AM76" i="11"/>
  <c r="AK76" i="11"/>
  <c r="AF76" i="11"/>
  <c r="AL76" i="11" s="1"/>
  <c r="V76" i="11"/>
  <c r="S76" i="11"/>
  <c r="R76" i="11"/>
  <c r="AM75" i="11"/>
  <c r="AK75" i="11"/>
  <c r="AF75" i="11"/>
  <c r="AL75" i="11" s="1"/>
  <c r="V75" i="11"/>
  <c r="S75" i="11"/>
  <c r="R75" i="11"/>
  <c r="AM74" i="11"/>
  <c r="AK74" i="11"/>
  <c r="AF74" i="11"/>
  <c r="AL74" i="11" s="1"/>
  <c r="V74" i="11"/>
  <c r="S74" i="11"/>
  <c r="R74" i="11"/>
  <c r="AM73" i="11"/>
  <c r="AK73" i="11"/>
  <c r="AF73" i="11"/>
  <c r="AL73" i="11" s="1"/>
  <c r="V73" i="11"/>
  <c r="S73" i="11"/>
  <c r="R73" i="11"/>
  <c r="AM72" i="11"/>
  <c r="AK72" i="11"/>
  <c r="AF72" i="11"/>
  <c r="AL72" i="11" s="1"/>
  <c r="V72" i="11"/>
  <c r="S72" i="11"/>
  <c r="R72" i="11"/>
  <c r="AM71" i="11"/>
  <c r="AK71" i="11"/>
  <c r="AF71" i="11"/>
  <c r="AL71" i="11" s="1"/>
  <c r="V71" i="11"/>
  <c r="S71" i="11"/>
  <c r="R71" i="11"/>
  <c r="AM70" i="11"/>
  <c r="AK70" i="11"/>
  <c r="AF70" i="11"/>
  <c r="AL70" i="11" s="1"/>
  <c r="V70" i="11"/>
  <c r="S70" i="11"/>
  <c r="R70" i="11"/>
  <c r="AM69" i="11"/>
  <c r="AK69" i="11"/>
  <c r="AF69" i="11"/>
  <c r="AL69" i="11" s="1"/>
  <c r="V69" i="11"/>
  <c r="S69" i="11"/>
  <c r="R69" i="11"/>
  <c r="AM68" i="11"/>
  <c r="AK68" i="11"/>
  <c r="AF68" i="11"/>
  <c r="AL68" i="11" s="1"/>
  <c r="V68" i="11"/>
  <c r="S68" i="11"/>
  <c r="R68" i="11"/>
  <c r="AM67" i="11"/>
  <c r="AK67" i="11"/>
  <c r="AF67" i="11"/>
  <c r="AL67" i="11" s="1"/>
  <c r="V67" i="11"/>
  <c r="S67" i="11"/>
  <c r="R67" i="11"/>
  <c r="AM66" i="11"/>
  <c r="AK66" i="11"/>
  <c r="AF66" i="11"/>
  <c r="V66" i="11"/>
  <c r="S66" i="11"/>
  <c r="R66" i="11"/>
  <c r="AM65" i="11"/>
  <c r="AK65" i="11"/>
  <c r="AF65" i="11"/>
  <c r="AL65" i="11" s="1"/>
  <c r="V65" i="11"/>
  <c r="S65" i="11"/>
  <c r="R65" i="11"/>
  <c r="AM64" i="11"/>
  <c r="AK64" i="11"/>
  <c r="AF64" i="11"/>
  <c r="AL64" i="11" s="1"/>
  <c r="V64" i="11"/>
  <c r="S64" i="11"/>
  <c r="R64" i="11"/>
  <c r="AJ63" i="11"/>
  <c r="AI63" i="11"/>
  <c r="AG63" i="11"/>
  <c r="AD63" i="11"/>
  <c r="R63" i="11"/>
  <c r="AM62" i="11"/>
  <c r="AK62" i="11"/>
  <c r="AF62" i="11"/>
  <c r="AL62" i="11" s="1"/>
  <c r="V62" i="11"/>
  <c r="S62" i="11"/>
  <c r="R62" i="11"/>
  <c r="AM61" i="11"/>
  <c r="AK61" i="11"/>
  <c r="AF61" i="11"/>
  <c r="AL61" i="11" s="1"/>
  <c r="V61" i="11"/>
  <c r="S61" i="11"/>
  <c r="R61" i="11"/>
  <c r="AM60" i="11"/>
  <c r="AK60" i="11"/>
  <c r="AF60" i="11"/>
  <c r="AL60" i="11" s="1"/>
  <c r="V60" i="11"/>
  <c r="S60" i="11"/>
  <c r="R60" i="11"/>
  <c r="AM59" i="11"/>
  <c r="AK59" i="11"/>
  <c r="AF59" i="11"/>
  <c r="AL59" i="11" s="1"/>
  <c r="V59" i="11"/>
  <c r="S59" i="11"/>
  <c r="R59" i="11"/>
  <c r="AM58" i="11"/>
  <c r="AK58" i="11"/>
  <c r="AF58" i="11"/>
  <c r="AL58" i="11" s="1"/>
  <c r="V58" i="11"/>
  <c r="S58" i="11"/>
  <c r="R58" i="11"/>
  <c r="AM57" i="11"/>
  <c r="AK57" i="11"/>
  <c r="AF57" i="11"/>
  <c r="AL57" i="11" s="1"/>
  <c r="V57" i="11"/>
  <c r="S57" i="11"/>
  <c r="R57" i="11"/>
  <c r="AM56" i="11"/>
  <c r="AK56" i="11"/>
  <c r="AF56" i="11"/>
  <c r="AL56" i="11" s="1"/>
  <c r="V56" i="11"/>
  <c r="S56" i="11"/>
  <c r="R56" i="11"/>
  <c r="AM55" i="11"/>
  <c r="AK55" i="11"/>
  <c r="AF55" i="11"/>
  <c r="AL55" i="11" s="1"/>
  <c r="V55" i="11"/>
  <c r="S55" i="11"/>
  <c r="R55" i="11"/>
  <c r="AM54" i="11"/>
  <c r="AK54" i="11"/>
  <c r="AF54" i="11"/>
  <c r="AL54" i="11" s="1"/>
  <c r="V54" i="11"/>
  <c r="S54" i="11"/>
  <c r="R54" i="11"/>
  <c r="AM53" i="11"/>
  <c r="AK53" i="11"/>
  <c r="AF53" i="11"/>
  <c r="AL53" i="11" s="1"/>
  <c r="V53" i="11"/>
  <c r="S53" i="11"/>
  <c r="R53" i="11"/>
  <c r="AM52" i="11"/>
  <c r="AK52" i="11"/>
  <c r="AF52" i="11"/>
  <c r="AL52" i="11" s="1"/>
  <c r="V52" i="11"/>
  <c r="S52" i="11"/>
  <c r="R52" i="11"/>
  <c r="AM51" i="11"/>
  <c r="AK51" i="11"/>
  <c r="AF51" i="11"/>
  <c r="V51" i="11"/>
  <c r="S51" i="11"/>
  <c r="R51" i="11"/>
  <c r="AM50" i="11"/>
  <c r="AK50" i="11"/>
  <c r="AF50" i="11"/>
  <c r="AL50" i="11" s="1"/>
  <c r="V50" i="11"/>
  <c r="S50" i="11"/>
  <c r="R50" i="11"/>
  <c r="AM49" i="11"/>
  <c r="AK49" i="11"/>
  <c r="AF49" i="11"/>
  <c r="AL49" i="11" s="1"/>
  <c r="V49" i="11"/>
  <c r="S49" i="11"/>
  <c r="R49" i="11"/>
  <c r="AM48" i="11"/>
  <c r="AK48" i="11"/>
  <c r="AF48" i="11"/>
  <c r="AL48" i="11" s="1"/>
  <c r="V48" i="11"/>
  <c r="S48" i="11"/>
  <c r="R48" i="11"/>
  <c r="AM47" i="11"/>
  <c r="AK47" i="11"/>
  <c r="AF47" i="11"/>
  <c r="AL47" i="11" s="1"/>
  <c r="V47" i="11"/>
  <c r="S47" i="11"/>
  <c r="R47" i="11"/>
  <c r="AJ46" i="11"/>
  <c r="AI46" i="11"/>
  <c r="AG46" i="11"/>
  <c r="AD46" i="11"/>
  <c r="AC46" i="11"/>
  <c r="AB46" i="11"/>
  <c r="X46" i="11"/>
  <c r="W46" i="11"/>
  <c r="R46" i="11"/>
  <c r="Q46" i="11"/>
  <c r="S46" i="11" s="1"/>
  <c r="R45" i="11"/>
  <c r="R44" i="11"/>
  <c r="AM43" i="11"/>
  <c r="AK43" i="11"/>
  <c r="AF43" i="11"/>
  <c r="AL43" i="11" s="1"/>
  <c r="V43" i="11"/>
  <c r="S43" i="11"/>
  <c r="R43" i="11"/>
  <c r="AM42" i="11"/>
  <c r="AK42" i="11"/>
  <c r="AF42" i="11"/>
  <c r="AL42" i="11" s="1"/>
  <c r="V42" i="11"/>
  <c r="S42" i="11"/>
  <c r="R42" i="11"/>
  <c r="AM41" i="11"/>
  <c r="AK41" i="11"/>
  <c r="AF41" i="11"/>
  <c r="AL41" i="11" s="1"/>
  <c r="V41" i="11"/>
  <c r="S41" i="11"/>
  <c r="R41" i="11"/>
  <c r="AM40" i="11"/>
  <c r="AK40" i="11"/>
  <c r="AF40" i="11"/>
  <c r="AL40" i="11" s="1"/>
  <c r="V40" i="11"/>
  <c r="S40" i="11"/>
  <c r="R40" i="11"/>
  <c r="AM39" i="11"/>
  <c r="AK39" i="11"/>
  <c r="AF39" i="11"/>
  <c r="AL39" i="11" s="1"/>
  <c r="V39" i="11"/>
  <c r="S39" i="11"/>
  <c r="R39" i="11"/>
  <c r="AJ38" i="11"/>
  <c r="AI38" i="11"/>
  <c r="AG38" i="11"/>
  <c r="AD38" i="11"/>
  <c r="AC38" i="11"/>
  <c r="AB38" i="11"/>
  <c r="X38" i="11"/>
  <c r="W38" i="11"/>
  <c r="R38" i="11"/>
  <c r="Q38" i="11"/>
  <c r="S38" i="11" s="1"/>
  <c r="AM37" i="11"/>
  <c r="AK37" i="11"/>
  <c r="AF37" i="11"/>
  <c r="AL37" i="11" s="1"/>
  <c r="V37" i="11"/>
  <c r="S37" i="11"/>
  <c r="R37" i="11"/>
  <c r="AM36" i="11"/>
  <c r="AK36" i="11"/>
  <c r="AK35" i="11" s="1"/>
  <c r="AF36" i="11"/>
  <c r="AL36" i="11" s="1"/>
  <c r="V36" i="11"/>
  <c r="S36" i="11"/>
  <c r="R36" i="11"/>
  <c r="AM35" i="11"/>
  <c r="AJ35" i="11"/>
  <c r="AI35" i="11"/>
  <c r="AG35" i="11"/>
  <c r="AD35" i="11"/>
  <c r="AC35" i="11"/>
  <c r="AB35" i="11"/>
  <c r="X35" i="11"/>
  <c r="W35" i="11"/>
  <c r="R35" i="11"/>
  <c r="Q35" i="11"/>
  <c r="S35" i="11" s="1"/>
  <c r="W34" i="11"/>
  <c r="V34" i="11"/>
  <c r="R34" i="11"/>
  <c r="Q34" i="11"/>
  <c r="S34" i="11" s="1"/>
  <c r="AM33" i="11"/>
  <c r="AK33" i="11"/>
  <c r="AF33" i="11"/>
  <c r="AL33" i="11" s="1"/>
  <c r="V33" i="11"/>
  <c r="S33" i="11"/>
  <c r="R33" i="11"/>
  <c r="AM32" i="11"/>
  <c r="AK32" i="11"/>
  <c r="AF32" i="11"/>
  <c r="AL32" i="11" s="1"/>
  <c r="V32" i="11"/>
  <c r="S32" i="11"/>
  <c r="R32" i="11"/>
  <c r="AM31" i="11"/>
  <c r="AK31" i="11"/>
  <c r="AF31" i="11"/>
  <c r="V31" i="11"/>
  <c r="S31" i="11"/>
  <c r="R31" i="11"/>
  <c r="AM30" i="11"/>
  <c r="AK30" i="11"/>
  <c r="AF30" i="11"/>
  <c r="AL30" i="11" s="1"/>
  <c r="V30" i="11"/>
  <c r="S30" i="11"/>
  <c r="R30" i="11"/>
  <c r="AJ29" i="11"/>
  <c r="AI29" i="11"/>
  <c r="AG29" i="11"/>
  <c r="AD29" i="11"/>
  <c r="AC29" i="11"/>
  <c r="AB29" i="11"/>
  <c r="X29" i="11"/>
  <c r="W29" i="11"/>
  <c r="R29" i="11"/>
  <c r="Q29" i="11"/>
  <c r="S29" i="11" s="1"/>
  <c r="AM28" i="11"/>
  <c r="AK28" i="11"/>
  <c r="AF28" i="11"/>
  <c r="AL28" i="11" s="1"/>
  <c r="V28" i="11"/>
  <c r="S28" i="11"/>
  <c r="R28" i="11"/>
  <c r="AM27" i="11"/>
  <c r="AK27" i="11"/>
  <c r="AF27" i="11"/>
  <c r="AL27" i="11" s="1"/>
  <c r="V27" i="11"/>
  <c r="S27" i="11"/>
  <c r="R27" i="11"/>
  <c r="AM26" i="11"/>
  <c r="AK26" i="11"/>
  <c r="AF26" i="11"/>
  <c r="AL26" i="11" s="1"/>
  <c r="V26" i="11"/>
  <c r="S26" i="11"/>
  <c r="R26" i="11"/>
  <c r="AM25" i="11"/>
  <c r="AK25" i="11"/>
  <c r="AF25" i="11"/>
  <c r="V25" i="11"/>
  <c r="S25" i="11"/>
  <c r="R25" i="11"/>
  <c r="AM24" i="11"/>
  <c r="AK24" i="11"/>
  <c r="AF24" i="11"/>
  <c r="AL24" i="11" s="1"/>
  <c r="V24" i="11"/>
  <c r="S24" i="11"/>
  <c r="R24" i="11"/>
  <c r="AJ23" i="11"/>
  <c r="AI23" i="11"/>
  <c r="AG23" i="11"/>
  <c r="AD23" i="11"/>
  <c r="AC23" i="11"/>
  <c r="AB23" i="11"/>
  <c r="X23" i="11"/>
  <c r="W23" i="11"/>
  <c r="R23" i="11"/>
  <c r="Q23" i="11"/>
  <c r="S23" i="11" s="1"/>
  <c r="AM22" i="11"/>
  <c r="AK22" i="11"/>
  <c r="AF22" i="11"/>
  <c r="AL22" i="11" s="1"/>
  <c r="V22" i="11"/>
  <c r="S22" i="11"/>
  <c r="R22" i="11"/>
  <c r="AM21" i="11"/>
  <c r="AK21" i="11"/>
  <c r="AF21" i="11"/>
  <c r="AL21" i="11" s="1"/>
  <c r="V21" i="11"/>
  <c r="S21" i="11"/>
  <c r="R21" i="11"/>
  <c r="AM20" i="11"/>
  <c r="AJ20" i="11"/>
  <c r="AI20" i="11"/>
  <c r="AG20" i="11"/>
  <c r="AD20" i="11"/>
  <c r="AC20" i="11"/>
  <c r="AB20" i="11"/>
  <c r="X20" i="11"/>
  <c r="W20" i="11"/>
  <c r="R20" i="11"/>
  <c r="Q20" i="11"/>
  <c r="S20" i="11" s="1"/>
  <c r="AM19" i="11"/>
  <c r="AK19" i="11"/>
  <c r="AF19" i="11"/>
  <c r="AL19" i="11" s="1"/>
  <c r="V19" i="11"/>
  <c r="S19" i="11"/>
  <c r="R19" i="11"/>
  <c r="AM18" i="11"/>
  <c r="AK18" i="11"/>
  <c r="AF18" i="11"/>
  <c r="AL18" i="11" s="1"/>
  <c r="V18" i="11"/>
  <c r="S18" i="11"/>
  <c r="R18" i="11"/>
  <c r="AM17" i="11"/>
  <c r="AK17" i="11"/>
  <c r="AF17" i="11"/>
  <c r="AL17" i="11" s="1"/>
  <c r="V17" i="11"/>
  <c r="S17" i="11"/>
  <c r="R17" i="11"/>
  <c r="AM16" i="11"/>
  <c r="AK16" i="11"/>
  <c r="AF16" i="11"/>
  <c r="V16" i="11"/>
  <c r="V15" i="11" s="1"/>
  <c r="S16" i="11"/>
  <c r="R16" i="11"/>
  <c r="AJ15" i="11"/>
  <c r="AI15" i="11"/>
  <c r="AG15" i="11"/>
  <c r="AD15" i="11"/>
  <c r="AC15" i="11"/>
  <c r="AB15" i="11"/>
  <c r="AB14" i="11" s="1"/>
  <c r="X15" i="11"/>
  <c r="W15" i="11"/>
  <c r="R15" i="11"/>
  <c r="Q15" i="11"/>
  <c r="Q14" i="11" s="1"/>
  <c r="S14" i="11" s="1"/>
  <c r="AC14" i="11"/>
  <c r="R14" i="11"/>
  <c r="AM13" i="11"/>
  <c r="AK13" i="11"/>
  <c r="AF13" i="11"/>
  <c r="AL13" i="11" s="1"/>
  <c r="V13" i="11"/>
  <c r="S13" i="11"/>
  <c r="R13" i="11"/>
  <c r="AM12" i="11"/>
  <c r="AK12" i="11"/>
  <c r="AF12" i="11"/>
  <c r="AL12" i="11" s="1"/>
  <c r="V12" i="11"/>
  <c r="S12" i="11"/>
  <c r="R12" i="11"/>
  <c r="AM11" i="11"/>
  <c r="AK11" i="11"/>
  <c r="AF11" i="11"/>
  <c r="AL11" i="11" s="1"/>
  <c r="V11" i="11"/>
  <c r="S11" i="11"/>
  <c r="R11" i="11"/>
  <c r="AM10" i="11"/>
  <c r="AM9" i="11" s="1"/>
  <c r="AK10" i="11"/>
  <c r="AF10" i="11"/>
  <c r="AL10" i="11" s="1"/>
  <c r="V10" i="11"/>
  <c r="S10" i="11"/>
  <c r="R10" i="11"/>
  <c r="AJ9" i="11"/>
  <c r="AJ6" i="11" s="1"/>
  <c r="AJ5" i="11" s="1"/>
  <c r="AI9" i="11"/>
  <c r="AI6" i="11" s="1"/>
  <c r="AI5" i="11" s="1"/>
  <c r="AG9" i="11"/>
  <c r="AG6" i="11" s="1"/>
  <c r="AG5" i="11" s="1"/>
  <c r="AF9" i="11"/>
  <c r="AD9" i="11"/>
  <c r="AC9" i="11"/>
  <c r="AB9" i="11"/>
  <c r="X9" i="11"/>
  <c r="X6" i="11" s="1"/>
  <c r="X5" i="11" s="1"/>
  <c r="W9" i="11"/>
  <c r="W6" i="11" s="1"/>
  <c r="R9" i="11"/>
  <c r="Q9" i="11"/>
  <c r="Q6" i="11" s="1"/>
  <c r="S6" i="11" s="1"/>
  <c r="AM8" i="11"/>
  <c r="AL8" i="11"/>
  <c r="AK8" i="11"/>
  <c r="V8" i="11"/>
  <c r="S8" i="11"/>
  <c r="R8" i="11"/>
  <c r="AM7" i="11"/>
  <c r="AK7" i="11"/>
  <c r="AF7" i="11"/>
  <c r="V7" i="11"/>
  <c r="S7" i="11"/>
  <c r="R7" i="11"/>
  <c r="AD6" i="11"/>
  <c r="AD5" i="11" s="1"/>
  <c r="AC6" i="11"/>
  <c r="AC5" i="11" s="1"/>
  <c r="AB6" i="11"/>
  <c r="AB5" i="11" s="1"/>
  <c r="R6" i="11"/>
  <c r="W5" i="11"/>
  <c r="R5" i="11"/>
  <c r="Q5" i="11"/>
  <c r="R4" i="11"/>
  <c r="AH3" i="11"/>
  <c r="AH2" i="11"/>
  <c r="AO2539" i="10"/>
  <c r="AO2538" i="10"/>
  <c r="AN2538" i="10"/>
  <c r="BO2537" i="10"/>
  <c r="AO2537" i="10"/>
  <c r="AN2537" i="10"/>
  <c r="BO2536" i="10"/>
  <c r="AO2536" i="10"/>
  <c r="AN2536" i="10"/>
  <c r="BO2535" i="10"/>
  <c r="AO2535" i="10"/>
  <c r="AN2535" i="10"/>
  <c r="AE2534" i="10"/>
  <c r="AE2537" i="10" s="1"/>
  <c r="Z2534" i="10"/>
  <c r="O2534" i="10"/>
  <c r="BA2533" i="10"/>
  <c r="AM2533" i="10"/>
  <c r="AM2532" i="10" s="1"/>
  <c r="AJ2533" i="10"/>
  <c r="AD2533" i="10"/>
  <c r="AA2533" i="10" s="1"/>
  <c r="U2532" i="10"/>
  <c r="U2531" i="10" s="1"/>
  <c r="U2530" i="10" s="1"/>
  <c r="R2533" i="10"/>
  <c r="R2532" i="10" s="1"/>
  <c r="L2533" i="10"/>
  <c r="BA2532" i="10"/>
  <c r="BA2531" i="10" s="1"/>
  <c r="BA2530" i="10" s="1"/>
  <c r="AZ2532" i="10"/>
  <c r="AZ2531" i="10" s="1"/>
  <c r="AZ2530" i="10" s="1"/>
  <c r="AY2532" i="10"/>
  <c r="AY2531" i="10" s="1"/>
  <c r="AY2530" i="10" s="1"/>
  <c r="AR2532" i="10"/>
  <c r="AR2531" i="10" s="1"/>
  <c r="AR2530" i="10" s="1"/>
  <c r="AJ2532" i="10"/>
  <c r="AD2532" i="10"/>
  <c r="AA2532" i="10"/>
  <c r="V2532" i="10"/>
  <c r="V2531" i="10" s="1"/>
  <c r="V2530" i="10" s="1"/>
  <c r="Q2532" i="10"/>
  <c r="K2532" i="10"/>
  <c r="K2531" i="10" s="1"/>
  <c r="K2530" i="10" s="1"/>
  <c r="J2532" i="10"/>
  <c r="J2531" i="10" s="1"/>
  <c r="J2530" i="10" s="1"/>
  <c r="Q2531" i="10"/>
  <c r="Q2530" i="10" s="1"/>
  <c r="BA2529" i="10"/>
  <c r="BA2528" i="10" s="1"/>
  <c r="BA2527" i="10" s="1"/>
  <c r="AS2529" i="10"/>
  <c r="AM2529" i="10"/>
  <c r="AD2529" i="10"/>
  <c r="P2528" i="10"/>
  <c r="P2527" i="10" s="1"/>
  <c r="L2529" i="10"/>
  <c r="AZ2528" i="10"/>
  <c r="AR2528" i="10"/>
  <c r="AR2527" i="10" s="1"/>
  <c r="AD2528" i="10"/>
  <c r="V2528" i="10"/>
  <c r="Q2528" i="10"/>
  <c r="Q2527" i="10" s="1"/>
  <c r="K2528" i="10"/>
  <c r="K2527" i="10" s="1"/>
  <c r="J2528" i="10"/>
  <c r="AZ2527" i="10"/>
  <c r="V2527" i="10"/>
  <c r="BA2526" i="10"/>
  <c r="BA2525" i="10" s="1"/>
  <c r="BA2524" i="10" s="1"/>
  <c r="AM2526" i="10"/>
  <c r="AD2526" i="10"/>
  <c r="AD2525" i="10" s="1"/>
  <c r="AD2524" i="10" s="1"/>
  <c r="U2525" i="10"/>
  <c r="U2524" i="10" s="1"/>
  <c r="L2526" i="10"/>
  <c r="AZ2525" i="10"/>
  <c r="AR2525" i="10"/>
  <c r="AA2525" i="10"/>
  <c r="V2525" i="10"/>
  <c r="V2524" i="10" s="1"/>
  <c r="Q2525" i="10"/>
  <c r="Q2524" i="10" s="1"/>
  <c r="K2525" i="10"/>
  <c r="J2525" i="10"/>
  <c r="AZ2524" i="10"/>
  <c r="AR2524" i="10"/>
  <c r="AR2523" i="10" s="1"/>
  <c r="K2524" i="10"/>
  <c r="BA2522" i="10"/>
  <c r="BA2521" i="10" s="1"/>
  <c r="BA2520" i="10" s="1"/>
  <c r="AS2522" i="10"/>
  <c r="AM2522" i="10"/>
  <c r="AJ2522" i="10" s="1"/>
  <c r="AD2522" i="10"/>
  <c r="U2521" i="10"/>
  <c r="U2520" i="10" s="1"/>
  <c r="R2522" i="10"/>
  <c r="L2522" i="10"/>
  <c r="AZ2521" i="10"/>
  <c r="AZ2520" i="10" s="1"/>
  <c r="AR2521" i="10"/>
  <c r="AM2521" i="10"/>
  <c r="AD2521" i="10"/>
  <c r="AV2521" i="10" s="1"/>
  <c r="V2521" i="10"/>
  <c r="V2520" i="10" s="1"/>
  <c r="Q2521" i="10"/>
  <c r="Q2520" i="10" s="1"/>
  <c r="K2521" i="10"/>
  <c r="K2520" i="10" s="1"/>
  <c r="J2521" i="10"/>
  <c r="J2520" i="10" s="1"/>
  <c r="AR2520" i="10"/>
  <c r="AD2520" i="10"/>
  <c r="AZ2518" i="10"/>
  <c r="AZ2517" i="10" s="1"/>
  <c r="AY2518" i="10"/>
  <c r="AY2517" i="10" s="1"/>
  <c r="AS2519" i="10"/>
  <c r="AS2518" i="10" s="1"/>
  <c r="AO2518" i="10" s="1"/>
  <c r="AM2519" i="10"/>
  <c r="AD2519" i="10"/>
  <c r="V2519" i="10"/>
  <c r="V2518" i="10" s="1"/>
  <c r="V2517" i="10" s="1"/>
  <c r="U2518" i="10"/>
  <c r="U2517" i="10" s="1"/>
  <c r="R2519" i="10"/>
  <c r="S2519" i="10" s="1"/>
  <c r="L2519" i="10"/>
  <c r="AR2518" i="10"/>
  <c r="AR2517" i="10" s="1"/>
  <c r="Q2518" i="10"/>
  <c r="Q2517" i="10" s="1"/>
  <c r="K2518" i="10"/>
  <c r="K2517" i="10" s="1"/>
  <c r="J2518" i="10"/>
  <c r="J2517" i="10" s="1"/>
  <c r="L2517" i="10" s="1"/>
  <c r="AS2516" i="10"/>
  <c r="AM2516" i="10"/>
  <c r="AD2516" i="10"/>
  <c r="W2516" i="10"/>
  <c r="L2516" i="10"/>
  <c r="AS2515" i="10"/>
  <c r="BO2515" i="10" s="1"/>
  <c r="AM2515" i="10"/>
  <c r="AD2515" i="10"/>
  <c r="W2515" i="10"/>
  <c r="L2515" i="10"/>
  <c r="AM2514" i="10"/>
  <c r="AJ2514" i="10" s="1"/>
  <c r="AD2514" i="10"/>
  <c r="AV2514" i="10" s="1"/>
  <c r="W2514" i="10"/>
  <c r="L2514" i="10"/>
  <c r="AS2513" i="10"/>
  <c r="AM2513" i="10"/>
  <c r="AJ2513" i="10" s="1"/>
  <c r="AD2513" i="10"/>
  <c r="AV2513" i="10" s="1"/>
  <c r="W2513" i="10"/>
  <c r="L2513" i="10"/>
  <c r="AS2512" i="10"/>
  <c r="AM2512" i="10"/>
  <c r="AJ2512" i="10" s="1"/>
  <c r="AD2512" i="10"/>
  <c r="AA2512" i="10" s="1"/>
  <c r="L2512" i="10"/>
  <c r="AR2511" i="10"/>
  <c r="AR2510" i="10" s="1"/>
  <c r="V2511" i="10"/>
  <c r="V2510" i="10" s="1"/>
  <c r="K2511" i="10"/>
  <c r="K2510" i="10" s="1"/>
  <c r="J2511" i="10"/>
  <c r="AZ2509" i="10"/>
  <c r="AS2509" i="10"/>
  <c r="AJ2509" i="10"/>
  <c r="AD2509" i="10"/>
  <c r="W2509" i="10"/>
  <c r="L2509" i="10"/>
  <c r="AZ2508" i="10"/>
  <c r="AS2508" i="10"/>
  <c r="AJ2508" i="10"/>
  <c r="AD2508" i="10"/>
  <c r="AA2508" i="10" s="1"/>
  <c r="W2508" i="10"/>
  <c r="L2508" i="10"/>
  <c r="AZ2507" i="10"/>
  <c r="AS2507" i="10"/>
  <c r="AO2507" i="10" s="1"/>
  <c r="AJ2507" i="10"/>
  <c r="AD2507" i="10"/>
  <c r="AA2507" i="10" s="1"/>
  <c r="W2507" i="10"/>
  <c r="L2507" i="10"/>
  <c r="AS2506" i="10"/>
  <c r="AN2506" i="10" s="1"/>
  <c r="AJ2506" i="10"/>
  <c r="AD2506" i="10"/>
  <c r="W2506" i="10"/>
  <c r="L2506" i="10"/>
  <c r="AZ2505" i="10"/>
  <c r="AJ2505" i="10"/>
  <c r="AD2505" i="10"/>
  <c r="L2505" i="10"/>
  <c r="BA2504" i="10"/>
  <c r="BA2503" i="10" s="1"/>
  <c r="AR2504" i="10"/>
  <c r="AR2503" i="10" s="1"/>
  <c r="AM2504" i="10"/>
  <c r="AJ2504" i="10" s="1"/>
  <c r="V2504" i="10"/>
  <c r="K2504" i="10"/>
  <c r="J2504" i="10"/>
  <c r="V2503" i="10"/>
  <c r="K2503" i="10"/>
  <c r="AT2501" i="10"/>
  <c r="AY2499" i="10"/>
  <c r="AS2500" i="10"/>
  <c r="AS2499" i="10" s="1"/>
  <c r="AM2500" i="10"/>
  <c r="AD2500" i="10"/>
  <c r="U2499" i="10"/>
  <c r="L2500" i="10"/>
  <c r="AZ2499" i="10"/>
  <c r="AR2499" i="10"/>
  <c r="AO2499" i="10"/>
  <c r="AD2499" i="10"/>
  <c r="V2499" i="10"/>
  <c r="Q2499" i="10"/>
  <c r="K2499" i="10"/>
  <c r="J2499" i="10"/>
  <c r="BA2498" i="10"/>
  <c r="AS2498" i="10"/>
  <c r="AM2498" i="10"/>
  <c r="AD2498" i="10"/>
  <c r="AV2498" i="10" s="1"/>
  <c r="W2498" i="10"/>
  <c r="R2498" i="10"/>
  <c r="S2498" i="10" s="1"/>
  <c r="L2498" i="10"/>
  <c r="BA2497" i="10"/>
  <c r="AS2497" i="10"/>
  <c r="AO2497" i="10" s="1"/>
  <c r="AM2497" i="10"/>
  <c r="AD2497" i="10"/>
  <c r="W2497" i="10"/>
  <c r="R2497" i="10"/>
  <c r="S2497" i="10" s="1"/>
  <c r="L2497" i="10"/>
  <c r="BA2496" i="10"/>
  <c r="AS2496" i="10"/>
  <c r="AM2496" i="10"/>
  <c r="AJ2496" i="10" s="1"/>
  <c r="AD2496" i="10"/>
  <c r="W2496" i="10"/>
  <c r="R2496" i="10"/>
  <c r="S2496" i="10" s="1"/>
  <c r="L2496" i="10"/>
  <c r="BA2495" i="10"/>
  <c r="AS2495" i="10"/>
  <c r="BH2495" i="10" s="1"/>
  <c r="BM2495" i="10" s="1"/>
  <c r="AM2495" i="10"/>
  <c r="AJ2495" i="10" s="1"/>
  <c r="AD2495" i="10"/>
  <c r="W2495" i="10"/>
  <c r="R2495" i="10"/>
  <c r="S2495" i="10" s="1"/>
  <c r="L2495" i="10"/>
  <c r="BA2494" i="10"/>
  <c r="AS2494" i="10"/>
  <c r="BH2494" i="10" s="1"/>
  <c r="BM2494" i="10" s="1"/>
  <c r="AM2494" i="10"/>
  <c r="AJ2494" i="10" s="1"/>
  <c r="AD2494" i="10"/>
  <c r="W2494" i="10"/>
  <c r="R2494" i="10"/>
  <c r="S2494" i="10" s="1"/>
  <c r="L2494" i="10"/>
  <c r="BA2493" i="10"/>
  <c r="AS2493" i="10"/>
  <c r="AM2493" i="10"/>
  <c r="AD2493" i="10"/>
  <c r="W2493" i="10"/>
  <c r="R2493" i="10"/>
  <c r="S2493" i="10" s="1"/>
  <c r="L2493" i="10"/>
  <c r="BA2492" i="10"/>
  <c r="AS2492" i="10"/>
  <c r="AM2492" i="10"/>
  <c r="AD2492" i="10"/>
  <c r="AV2492" i="10" s="1"/>
  <c r="W2492" i="10"/>
  <c r="R2492" i="10"/>
  <c r="S2492" i="10" s="1"/>
  <c r="L2492" i="10"/>
  <c r="BA2491" i="10"/>
  <c r="AS2491" i="10"/>
  <c r="AM2491" i="10"/>
  <c r="AJ2491" i="10" s="1"/>
  <c r="AD2491" i="10"/>
  <c r="AA2491" i="10" s="1"/>
  <c r="W2491" i="10"/>
  <c r="L2491" i="10"/>
  <c r="BA2490" i="10"/>
  <c r="AM2490" i="10"/>
  <c r="AD2490" i="10"/>
  <c r="R2490" i="10"/>
  <c r="L2490" i="10"/>
  <c r="AZ2489" i="10"/>
  <c r="AR2489" i="10"/>
  <c r="V2489" i="10"/>
  <c r="Q2489" i="10"/>
  <c r="K2489" i="10"/>
  <c r="J2489" i="10"/>
  <c r="BA2488" i="10"/>
  <c r="AS2488" i="10"/>
  <c r="AO2488" i="10" s="1"/>
  <c r="AM2488" i="10"/>
  <c r="AD2488" i="10"/>
  <c r="AV2488" i="10" s="1"/>
  <c r="V2488" i="10"/>
  <c r="R2488" i="10"/>
  <c r="S2488" i="10" s="1"/>
  <c r="L2488" i="10"/>
  <c r="BA2487" i="10"/>
  <c r="AS2487" i="10"/>
  <c r="AM2487" i="10"/>
  <c r="AJ2487" i="10" s="1"/>
  <c r="AD2487" i="10"/>
  <c r="AV2487" i="10" s="1"/>
  <c r="W2487" i="10"/>
  <c r="R2487" i="10"/>
  <c r="S2487" i="10" s="1"/>
  <c r="L2487" i="10"/>
  <c r="BA2486" i="10"/>
  <c r="AS2486" i="10"/>
  <c r="AM2486" i="10"/>
  <c r="AJ2486" i="10" s="1"/>
  <c r="AD2486" i="10"/>
  <c r="W2486" i="10"/>
  <c r="R2486" i="10"/>
  <c r="S2486" i="10" s="1"/>
  <c r="L2486" i="10"/>
  <c r="BA2485" i="10"/>
  <c r="AS2485" i="10"/>
  <c r="BH2485" i="10" s="1"/>
  <c r="BM2485" i="10" s="1"/>
  <c r="E532" i="11" s="1"/>
  <c r="F532" i="11" s="1"/>
  <c r="AM2485" i="10"/>
  <c r="AJ2485" i="10" s="1"/>
  <c r="AD2485" i="10"/>
  <c r="W2485" i="10"/>
  <c r="R2485" i="10"/>
  <c r="S2485" i="10" s="1"/>
  <c r="L2485" i="10"/>
  <c r="BA2484" i="10"/>
  <c r="AS2484" i="10"/>
  <c r="AM2484" i="10"/>
  <c r="AD2484" i="10"/>
  <c r="W2484" i="10"/>
  <c r="R2484" i="10"/>
  <c r="S2484" i="10" s="1"/>
  <c r="L2484" i="10"/>
  <c r="BA2483" i="10"/>
  <c r="AS2483" i="10"/>
  <c r="AM2483" i="10"/>
  <c r="AJ2483" i="10" s="1"/>
  <c r="AD2483" i="10"/>
  <c r="W2483" i="10"/>
  <c r="R2483" i="10"/>
  <c r="S2483" i="10" s="1"/>
  <c r="L2483" i="10"/>
  <c r="BA2482" i="10"/>
  <c r="AS2482" i="10"/>
  <c r="AO2482" i="10" s="1"/>
  <c r="AM2482" i="10"/>
  <c r="AD2482" i="10"/>
  <c r="AA2482" i="10" s="1"/>
  <c r="W2482" i="10"/>
  <c r="R2482" i="10"/>
  <c r="S2482" i="10" s="1"/>
  <c r="L2482" i="10"/>
  <c r="BA2481" i="10"/>
  <c r="AS2481" i="10"/>
  <c r="BH2481" i="10" s="1"/>
  <c r="BM2481" i="10" s="1"/>
  <c r="BO2481" i="10" s="1"/>
  <c r="AM2481" i="10"/>
  <c r="AJ2481" i="10" s="1"/>
  <c r="AD2481" i="10"/>
  <c r="AA2481" i="10" s="1"/>
  <c r="W2481" i="10"/>
  <c r="R2481" i="10"/>
  <c r="S2481" i="10" s="1"/>
  <c r="L2481" i="10"/>
  <c r="BA2480" i="10"/>
  <c r="AS2480" i="10"/>
  <c r="AM2480" i="10"/>
  <c r="AJ2480" i="10" s="1"/>
  <c r="AD2480" i="10"/>
  <c r="W2480" i="10"/>
  <c r="R2480" i="10"/>
  <c r="S2480" i="10" s="1"/>
  <c r="L2480" i="10"/>
  <c r="BA2479" i="10"/>
  <c r="AS2479" i="10"/>
  <c r="AM2479" i="10"/>
  <c r="AJ2479" i="10" s="1"/>
  <c r="AD2479" i="10"/>
  <c r="AA2479" i="10" s="1"/>
  <c r="W2479" i="10"/>
  <c r="R2479" i="10"/>
  <c r="S2479" i="10" s="1"/>
  <c r="L2479" i="10"/>
  <c r="BA2478" i="10"/>
  <c r="AS2478" i="10"/>
  <c r="AM2478" i="10"/>
  <c r="AJ2478" i="10" s="1"/>
  <c r="AD2478" i="10"/>
  <c r="W2478" i="10"/>
  <c r="R2478" i="10"/>
  <c r="S2478" i="10" s="1"/>
  <c r="L2478" i="10"/>
  <c r="BA2477" i="10"/>
  <c r="AS2477" i="10"/>
  <c r="AM2477" i="10"/>
  <c r="AD2477" i="10"/>
  <c r="W2477" i="10"/>
  <c r="R2477" i="10"/>
  <c r="S2477" i="10" s="1"/>
  <c r="L2477" i="10"/>
  <c r="BA2476" i="10"/>
  <c r="AS2476" i="10"/>
  <c r="AO2476" i="10" s="1"/>
  <c r="AM2476" i="10"/>
  <c r="AJ2476" i="10" s="1"/>
  <c r="AD2476" i="10"/>
  <c r="W2476" i="10"/>
  <c r="R2476" i="10"/>
  <c r="S2476" i="10" s="1"/>
  <c r="L2476" i="10"/>
  <c r="BA2475" i="10"/>
  <c r="AS2475" i="10"/>
  <c r="AO2475" i="10" s="1"/>
  <c r="AM2475" i="10"/>
  <c r="AJ2475" i="10" s="1"/>
  <c r="AD2475" i="10"/>
  <c r="AV2475" i="10" s="1"/>
  <c r="W2475" i="10"/>
  <c r="R2475" i="10"/>
  <c r="S2475" i="10" s="1"/>
  <c r="L2475" i="10"/>
  <c r="BA2474" i="10"/>
  <c r="AS2474" i="10"/>
  <c r="AM2474" i="10"/>
  <c r="AD2474" i="10"/>
  <c r="W2474" i="10"/>
  <c r="R2474" i="10"/>
  <c r="S2474" i="10" s="1"/>
  <c r="L2474" i="10"/>
  <c r="BA2473" i="10"/>
  <c r="AS2473" i="10"/>
  <c r="AO2473" i="10" s="1"/>
  <c r="AM2473" i="10"/>
  <c r="AJ2473" i="10" s="1"/>
  <c r="AD2473" i="10"/>
  <c r="AA2473" i="10" s="1"/>
  <c r="W2473" i="10"/>
  <c r="R2473" i="10"/>
  <c r="S2473" i="10" s="1"/>
  <c r="L2473" i="10"/>
  <c r="BA2472" i="10"/>
  <c r="AS2472" i="10"/>
  <c r="AM2472" i="10"/>
  <c r="AD2472" i="10"/>
  <c r="W2472" i="10"/>
  <c r="R2472" i="10"/>
  <c r="S2472" i="10" s="1"/>
  <c r="L2472" i="10"/>
  <c r="BA2471" i="10"/>
  <c r="AS2471" i="10"/>
  <c r="AM2471" i="10"/>
  <c r="AD2471" i="10"/>
  <c r="W2471" i="10"/>
  <c r="R2471" i="10"/>
  <c r="S2471" i="10" s="1"/>
  <c r="L2471" i="10"/>
  <c r="BA2470" i="10"/>
  <c r="AS2470" i="10"/>
  <c r="AM2470" i="10"/>
  <c r="AJ2470" i="10" s="1"/>
  <c r="AD2470" i="10"/>
  <c r="W2470" i="10"/>
  <c r="R2470" i="10"/>
  <c r="S2470" i="10" s="1"/>
  <c r="L2470" i="10"/>
  <c r="BA2469" i="10"/>
  <c r="AS2469" i="10"/>
  <c r="AM2469" i="10"/>
  <c r="AJ2469" i="10" s="1"/>
  <c r="AD2469" i="10"/>
  <c r="AU2469" i="10" s="1"/>
  <c r="W2469" i="10"/>
  <c r="R2469" i="10"/>
  <c r="S2469" i="10" s="1"/>
  <c r="L2469" i="10"/>
  <c r="BA2468" i="10"/>
  <c r="AS2468" i="10"/>
  <c r="AO2468" i="10" s="1"/>
  <c r="AM2468" i="10"/>
  <c r="AJ2468" i="10" s="1"/>
  <c r="AD2468" i="10"/>
  <c r="W2468" i="10"/>
  <c r="R2468" i="10"/>
  <c r="S2468" i="10" s="1"/>
  <c r="L2468" i="10"/>
  <c r="BA2467" i="10"/>
  <c r="AS2467" i="10"/>
  <c r="AM2467" i="10"/>
  <c r="AD2467" i="10"/>
  <c r="W2467" i="10"/>
  <c r="R2467" i="10"/>
  <c r="S2467" i="10" s="1"/>
  <c r="L2467" i="10"/>
  <c r="BA2466" i="10"/>
  <c r="AS2466" i="10"/>
  <c r="AM2466" i="10"/>
  <c r="AD2466" i="10"/>
  <c r="W2466" i="10"/>
  <c r="R2466" i="10"/>
  <c r="S2466" i="10" s="1"/>
  <c r="L2466" i="10"/>
  <c r="BA2465" i="10"/>
  <c r="AS2465" i="10"/>
  <c r="AO2465" i="10" s="1"/>
  <c r="AM2465" i="10"/>
  <c r="AJ2465" i="10" s="1"/>
  <c r="AD2465" i="10"/>
  <c r="W2465" i="10"/>
  <c r="R2465" i="10"/>
  <c r="S2465" i="10" s="1"/>
  <c r="L2465" i="10"/>
  <c r="BA2464" i="10"/>
  <c r="AS2464" i="10"/>
  <c r="AM2464" i="10"/>
  <c r="AD2464" i="10"/>
  <c r="W2464" i="10"/>
  <c r="R2464" i="10"/>
  <c r="S2464" i="10" s="1"/>
  <c r="L2464" i="10"/>
  <c r="BA2463" i="10"/>
  <c r="AS2463" i="10"/>
  <c r="AM2463" i="10"/>
  <c r="AD2463" i="10"/>
  <c r="AV2463" i="10" s="1"/>
  <c r="W2463" i="10"/>
  <c r="R2463" i="10"/>
  <c r="S2463" i="10" s="1"/>
  <c r="L2463" i="10"/>
  <c r="BA2462" i="10"/>
  <c r="AS2462" i="10"/>
  <c r="AO2462" i="10" s="1"/>
  <c r="AM2462" i="10"/>
  <c r="AJ2462" i="10" s="1"/>
  <c r="AD2462" i="10"/>
  <c r="W2462" i="10"/>
  <c r="R2462" i="10"/>
  <c r="S2462" i="10" s="1"/>
  <c r="L2462" i="10"/>
  <c r="BA2461" i="10"/>
  <c r="AS2461" i="10"/>
  <c r="BO2461" i="10" s="1"/>
  <c r="AM2461" i="10"/>
  <c r="AJ2461" i="10" s="1"/>
  <c r="AD2461" i="10"/>
  <c r="W2461" i="10"/>
  <c r="R2461" i="10"/>
  <c r="S2461" i="10" s="1"/>
  <c r="L2461" i="10"/>
  <c r="BA2460" i="10"/>
  <c r="AS2460" i="10"/>
  <c r="AM2460" i="10"/>
  <c r="AJ2460" i="10" s="1"/>
  <c r="AD2460" i="10"/>
  <c r="W2460" i="10"/>
  <c r="R2460" i="10"/>
  <c r="S2460" i="10" s="1"/>
  <c r="L2460" i="10"/>
  <c r="BA2459" i="10"/>
  <c r="AS2459" i="10"/>
  <c r="AO2459" i="10" s="1"/>
  <c r="AM2459" i="10"/>
  <c r="AD2459" i="10"/>
  <c r="W2459" i="10"/>
  <c r="R2459" i="10"/>
  <c r="S2459" i="10" s="1"/>
  <c r="L2459" i="10"/>
  <c r="BA2458" i="10"/>
  <c r="AS2458" i="10"/>
  <c r="AO2458" i="10" s="1"/>
  <c r="AM2458" i="10"/>
  <c r="AD2458" i="10"/>
  <c r="W2458" i="10"/>
  <c r="R2458" i="10"/>
  <c r="S2458" i="10" s="1"/>
  <c r="L2458" i="10"/>
  <c r="BA2457" i="10"/>
  <c r="AS2457" i="10"/>
  <c r="AM2457" i="10"/>
  <c r="AD2457" i="10"/>
  <c r="W2457" i="10"/>
  <c r="R2457" i="10"/>
  <c r="S2457" i="10" s="1"/>
  <c r="L2457" i="10"/>
  <c r="BA2456" i="10"/>
  <c r="AS2456" i="10"/>
  <c r="AO2456" i="10" s="1"/>
  <c r="AM2456" i="10"/>
  <c r="AJ2456" i="10" s="1"/>
  <c r="AD2456" i="10"/>
  <c r="W2456" i="10"/>
  <c r="R2456" i="10"/>
  <c r="S2456" i="10" s="1"/>
  <c r="L2456" i="10"/>
  <c r="BA2455" i="10"/>
  <c r="AS2455" i="10"/>
  <c r="AO2455" i="10" s="1"/>
  <c r="AM2455" i="10"/>
  <c r="AD2455" i="10"/>
  <c r="W2455" i="10"/>
  <c r="R2455" i="10"/>
  <c r="S2455" i="10" s="1"/>
  <c r="L2455" i="10"/>
  <c r="AZ2454" i="10"/>
  <c r="BA2454" i="10" s="1"/>
  <c r="AS2454" i="10"/>
  <c r="AO2454" i="10" s="1"/>
  <c r="AM2454" i="10"/>
  <c r="AJ2454" i="10" s="1"/>
  <c r="AD2454" i="10"/>
  <c r="W2454" i="10"/>
  <c r="Q2454" i="10"/>
  <c r="Q2447" i="10" s="1"/>
  <c r="L2454" i="10"/>
  <c r="AS2453" i="10"/>
  <c r="AM2453" i="10"/>
  <c r="AJ2453" i="10" s="1"/>
  <c r="AD2453" i="10"/>
  <c r="AV2453" i="10" s="1"/>
  <c r="W2453" i="10"/>
  <c r="R2453" i="10"/>
  <c r="S2453" i="10" s="1"/>
  <c r="L2453" i="10"/>
  <c r="BA2452" i="10"/>
  <c r="AS2452" i="10"/>
  <c r="AO2452" i="10" s="1"/>
  <c r="AM2452" i="10"/>
  <c r="AJ2452" i="10" s="1"/>
  <c r="AD2452" i="10"/>
  <c r="W2452" i="10"/>
  <c r="R2452" i="10"/>
  <c r="S2452" i="10" s="1"/>
  <c r="L2452" i="10"/>
  <c r="BA2451" i="10"/>
  <c r="AS2451" i="10"/>
  <c r="AM2451" i="10"/>
  <c r="AD2451" i="10"/>
  <c r="W2451" i="10"/>
  <c r="R2451" i="10"/>
  <c r="S2451" i="10" s="1"/>
  <c r="L2451" i="10"/>
  <c r="BA2450" i="10"/>
  <c r="AS2450" i="10"/>
  <c r="AM2450" i="10"/>
  <c r="AJ2450" i="10" s="1"/>
  <c r="AD2450" i="10"/>
  <c r="AA2450" i="10" s="1"/>
  <c r="W2450" i="10"/>
  <c r="R2450" i="10"/>
  <c r="S2450" i="10" s="1"/>
  <c r="L2450" i="10"/>
  <c r="AS2449" i="10"/>
  <c r="AO2449" i="10" s="1"/>
  <c r="AM2449" i="10"/>
  <c r="AJ2449" i="10" s="1"/>
  <c r="AD2449" i="10"/>
  <c r="V2449" i="10"/>
  <c r="R2449" i="10"/>
  <c r="S2449" i="10" s="1"/>
  <c r="L2449" i="10"/>
  <c r="BA2448" i="10"/>
  <c r="AM2448" i="10"/>
  <c r="AD2448" i="10"/>
  <c r="AV2448" i="10" s="1"/>
  <c r="W2448" i="10"/>
  <c r="L2448" i="10"/>
  <c r="AR2447" i="10"/>
  <c r="K2447" i="10"/>
  <c r="J2447" i="10"/>
  <c r="BA2446" i="10"/>
  <c r="BA2445" i="10" s="1"/>
  <c r="AS2446" i="10"/>
  <c r="BH2446" i="10" s="1"/>
  <c r="BH2445" i="10" s="1"/>
  <c r="AM2446" i="10"/>
  <c r="AM2445" i="10" s="1"/>
  <c r="AD2446" i="10"/>
  <c r="AD2445" i="10" s="1"/>
  <c r="U2445" i="10"/>
  <c r="P2445" i="10"/>
  <c r="L2446" i="10"/>
  <c r="AZ2445" i="10"/>
  <c r="AR2445" i="10"/>
  <c r="V2445" i="10"/>
  <c r="K2445" i="10"/>
  <c r="J2445" i="10"/>
  <c r="BA2444" i="10"/>
  <c r="AS2444" i="10"/>
  <c r="AO2444" i="10" s="1"/>
  <c r="AM2444" i="10"/>
  <c r="AJ2444" i="10" s="1"/>
  <c r="AD2444" i="10"/>
  <c r="W2444" i="10"/>
  <c r="R2444" i="10"/>
  <c r="S2444" i="10" s="1"/>
  <c r="L2444" i="10"/>
  <c r="BA2443" i="10"/>
  <c r="AS2443" i="10"/>
  <c r="AM2443" i="10"/>
  <c r="AJ2443" i="10" s="1"/>
  <c r="AD2443" i="10"/>
  <c r="AA2443" i="10" s="1"/>
  <c r="W2443" i="10"/>
  <c r="R2443" i="10"/>
  <c r="S2443" i="10" s="1"/>
  <c r="L2443" i="10"/>
  <c r="BA2442" i="10"/>
  <c r="AS2442" i="10"/>
  <c r="AM2442" i="10"/>
  <c r="AJ2442" i="10" s="1"/>
  <c r="AD2442" i="10"/>
  <c r="W2442" i="10"/>
  <c r="R2442" i="10"/>
  <c r="S2442" i="10" s="1"/>
  <c r="L2442" i="10"/>
  <c r="BA2441" i="10"/>
  <c r="AS2441" i="10"/>
  <c r="AM2441" i="10"/>
  <c r="AD2441" i="10"/>
  <c r="W2441" i="10"/>
  <c r="R2441" i="10"/>
  <c r="S2441" i="10" s="1"/>
  <c r="L2441" i="10"/>
  <c r="BA2440" i="10"/>
  <c r="AM2440" i="10"/>
  <c r="AD2440" i="10"/>
  <c r="W2440" i="10"/>
  <c r="R2440" i="10"/>
  <c r="S2440" i="10" s="1"/>
  <c r="L2440" i="10"/>
  <c r="BA2439" i="10"/>
  <c r="AS2439" i="10"/>
  <c r="AM2439" i="10"/>
  <c r="AD2439" i="10"/>
  <c r="W2439" i="10"/>
  <c r="R2439" i="10"/>
  <c r="S2439" i="10" s="1"/>
  <c r="L2439" i="10"/>
  <c r="BA2438" i="10"/>
  <c r="AS2438" i="10"/>
  <c r="BO2438" i="10" s="1"/>
  <c r="AM2438" i="10"/>
  <c r="AJ2438" i="10" s="1"/>
  <c r="AD2438" i="10"/>
  <c r="W2438" i="10"/>
  <c r="R2438" i="10"/>
  <c r="S2438" i="10" s="1"/>
  <c r="L2438" i="10"/>
  <c r="AS2437" i="10"/>
  <c r="AO2437" i="10" s="1"/>
  <c r="AM2437" i="10"/>
  <c r="AJ2437" i="10" s="1"/>
  <c r="AD2437" i="10"/>
  <c r="AA2437" i="10" s="1"/>
  <c r="L2437" i="10"/>
  <c r="AZ2436" i="10"/>
  <c r="AR2436" i="10"/>
  <c r="V2436" i="10"/>
  <c r="Q2436" i="10"/>
  <c r="K2436" i="10"/>
  <c r="J2436" i="10"/>
  <c r="BA2434" i="10"/>
  <c r="AS2434" i="10"/>
  <c r="AM2434" i="10"/>
  <c r="AJ2434" i="10" s="1"/>
  <c r="AD2434" i="10"/>
  <c r="AV2434" i="10" s="1"/>
  <c r="AA2434" i="10"/>
  <c r="W2434" i="10"/>
  <c r="R2434" i="10"/>
  <c r="S2434" i="10" s="1"/>
  <c r="L2434" i="10"/>
  <c r="BA2433" i="10"/>
  <c r="AS2433" i="10"/>
  <c r="AO2433" i="10" s="1"/>
  <c r="AM2433" i="10"/>
  <c r="AJ2433" i="10" s="1"/>
  <c r="AD2433" i="10"/>
  <c r="W2433" i="10"/>
  <c r="R2433" i="10"/>
  <c r="S2433" i="10" s="1"/>
  <c r="L2433" i="10"/>
  <c r="BA2432" i="10"/>
  <c r="AS2432" i="10"/>
  <c r="AM2432" i="10"/>
  <c r="AJ2432" i="10"/>
  <c r="AD2432" i="10"/>
  <c r="AU2432" i="10" s="1"/>
  <c r="W2432" i="10"/>
  <c r="R2432" i="10"/>
  <c r="S2432" i="10" s="1"/>
  <c r="L2432" i="10"/>
  <c r="BA2431" i="10"/>
  <c r="AS2431" i="10"/>
  <c r="AM2431" i="10"/>
  <c r="AD2431" i="10"/>
  <c r="W2431" i="10"/>
  <c r="R2431" i="10"/>
  <c r="S2431" i="10" s="1"/>
  <c r="L2431" i="10"/>
  <c r="BA2430" i="10"/>
  <c r="AS2430" i="10"/>
  <c r="BO2430" i="10" s="1"/>
  <c r="AM2430" i="10"/>
  <c r="AD2430" i="10"/>
  <c r="W2430" i="10"/>
  <c r="R2430" i="10"/>
  <c r="S2430" i="10" s="1"/>
  <c r="L2430" i="10"/>
  <c r="BA2429" i="10"/>
  <c r="AS2429" i="10"/>
  <c r="AM2429" i="10"/>
  <c r="AJ2429" i="10"/>
  <c r="AD2429" i="10"/>
  <c r="W2429" i="10"/>
  <c r="R2429" i="10"/>
  <c r="S2429" i="10" s="1"/>
  <c r="L2429" i="10"/>
  <c r="BA2428" i="10"/>
  <c r="AS2428" i="10"/>
  <c r="BO2428" i="10" s="1"/>
  <c r="AM2428" i="10"/>
  <c r="AJ2428" i="10" s="1"/>
  <c r="AD2428" i="10"/>
  <c r="W2428" i="10"/>
  <c r="R2428" i="10"/>
  <c r="S2428" i="10" s="1"/>
  <c r="L2428" i="10"/>
  <c r="BA2427" i="10"/>
  <c r="AS2427" i="10"/>
  <c r="AO2427" i="10" s="1"/>
  <c r="AM2427" i="10"/>
  <c r="AJ2427" i="10" s="1"/>
  <c r="AD2427" i="10"/>
  <c r="W2427" i="10"/>
  <c r="R2427" i="10"/>
  <c r="S2427" i="10" s="1"/>
  <c r="L2427" i="10"/>
  <c r="BA2426" i="10"/>
  <c r="AS2426" i="10"/>
  <c r="AM2426" i="10"/>
  <c r="AJ2426" i="10" s="1"/>
  <c r="AD2426" i="10"/>
  <c r="AV2426" i="10" s="1"/>
  <c r="W2426" i="10"/>
  <c r="R2426" i="10"/>
  <c r="S2426" i="10" s="1"/>
  <c r="L2426" i="10"/>
  <c r="BA2425" i="10"/>
  <c r="AS2425" i="10"/>
  <c r="BO2425" i="10" s="1"/>
  <c r="AM2425" i="10"/>
  <c r="AJ2425" i="10" s="1"/>
  <c r="AD2425" i="10"/>
  <c r="AV2425" i="10" s="1"/>
  <c r="W2425" i="10"/>
  <c r="R2425" i="10"/>
  <c r="S2425" i="10" s="1"/>
  <c r="L2425" i="10"/>
  <c r="BA2424" i="10"/>
  <c r="AS2424" i="10"/>
  <c r="AM2424" i="10"/>
  <c r="AD2424" i="10"/>
  <c r="AA2424" i="10" s="1"/>
  <c r="W2424" i="10"/>
  <c r="R2424" i="10"/>
  <c r="S2424" i="10" s="1"/>
  <c r="L2424" i="10"/>
  <c r="BA2423" i="10"/>
  <c r="AS2423" i="10"/>
  <c r="AM2423" i="10"/>
  <c r="AJ2423" i="10" s="1"/>
  <c r="AD2423" i="10"/>
  <c r="AV2423" i="10" s="1"/>
  <c r="AA2423" i="10"/>
  <c r="W2423" i="10"/>
  <c r="R2423" i="10"/>
  <c r="S2423" i="10" s="1"/>
  <c r="L2423" i="10"/>
  <c r="BA2422" i="10"/>
  <c r="AS2422" i="10"/>
  <c r="AM2422" i="10"/>
  <c r="AJ2422" i="10" s="1"/>
  <c r="AD2422" i="10"/>
  <c r="W2422" i="10"/>
  <c r="R2422" i="10"/>
  <c r="S2422" i="10" s="1"/>
  <c r="L2422" i="10"/>
  <c r="BA2421" i="10"/>
  <c r="AS2421" i="10"/>
  <c r="BO2421" i="10" s="1"/>
  <c r="AO2421" i="10"/>
  <c r="AM2421" i="10"/>
  <c r="AD2421" i="10"/>
  <c r="W2421" i="10"/>
  <c r="R2421" i="10"/>
  <c r="S2421" i="10" s="1"/>
  <c r="L2421" i="10"/>
  <c r="BA2420" i="10"/>
  <c r="AS2420" i="10"/>
  <c r="AM2420" i="10"/>
  <c r="AJ2420" i="10" s="1"/>
  <c r="AD2420" i="10"/>
  <c r="W2420" i="10"/>
  <c r="R2420" i="10"/>
  <c r="S2420" i="10" s="1"/>
  <c r="L2420" i="10"/>
  <c r="BA2419" i="10"/>
  <c r="AS2419" i="10"/>
  <c r="BO2419" i="10" s="1"/>
  <c r="AM2419" i="10"/>
  <c r="AJ2419" i="10" s="1"/>
  <c r="AD2419" i="10"/>
  <c r="W2419" i="10"/>
  <c r="R2419" i="10"/>
  <c r="S2419" i="10" s="1"/>
  <c r="L2419" i="10"/>
  <c r="BA2418" i="10"/>
  <c r="AS2418" i="10"/>
  <c r="BO2418" i="10" s="1"/>
  <c r="AM2418" i="10"/>
  <c r="AJ2418" i="10" s="1"/>
  <c r="AD2418" i="10"/>
  <c r="AU2418" i="10" s="1"/>
  <c r="W2418" i="10"/>
  <c r="R2418" i="10"/>
  <c r="S2418" i="10" s="1"/>
  <c r="L2418" i="10"/>
  <c r="BA2417" i="10"/>
  <c r="AS2417" i="10"/>
  <c r="BO2417" i="10" s="1"/>
  <c r="AM2417" i="10"/>
  <c r="AJ2417" i="10" s="1"/>
  <c r="AD2417" i="10"/>
  <c r="W2417" i="10"/>
  <c r="R2417" i="10"/>
  <c r="S2417" i="10" s="1"/>
  <c r="L2417" i="10"/>
  <c r="BA2416" i="10"/>
  <c r="AS2416" i="10"/>
  <c r="AM2416" i="10"/>
  <c r="AD2416" i="10"/>
  <c r="AV2416" i="10" s="1"/>
  <c r="W2416" i="10"/>
  <c r="R2416" i="10"/>
  <c r="S2416" i="10" s="1"/>
  <c r="L2416" i="10"/>
  <c r="BA2415" i="10"/>
  <c r="AS2415" i="10"/>
  <c r="AO2415" i="10" s="1"/>
  <c r="AM2415" i="10"/>
  <c r="AD2415" i="10"/>
  <c r="AV2415" i="10" s="1"/>
  <c r="AA2415" i="10"/>
  <c r="W2415" i="10"/>
  <c r="R2415" i="10"/>
  <c r="S2415" i="10" s="1"/>
  <c r="L2415" i="10"/>
  <c r="BA2414" i="10"/>
  <c r="AS2414" i="10"/>
  <c r="BO2414" i="10" s="1"/>
  <c r="AM2414" i="10"/>
  <c r="AD2414" i="10"/>
  <c r="W2414" i="10"/>
  <c r="R2414" i="10"/>
  <c r="S2414" i="10" s="1"/>
  <c r="L2414" i="10"/>
  <c r="BA2413" i="10"/>
  <c r="AS2413" i="10"/>
  <c r="BO2413" i="10" s="1"/>
  <c r="AM2413" i="10"/>
  <c r="AD2413" i="10"/>
  <c r="W2413" i="10"/>
  <c r="R2413" i="10"/>
  <c r="S2413" i="10" s="1"/>
  <c r="L2413" i="10"/>
  <c r="BA2412" i="10"/>
  <c r="AS2412" i="10"/>
  <c r="AM2412" i="10"/>
  <c r="AD2412" i="10"/>
  <c r="AV2412" i="10" s="1"/>
  <c r="W2412" i="10"/>
  <c r="R2412" i="10"/>
  <c r="S2412" i="10" s="1"/>
  <c r="L2412" i="10"/>
  <c r="BA2411" i="10"/>
  <c r="AS2411" i="10"/>
  <c r="AM2411" i="10"/>
  <c r="AJ2411" i="10" s="1"/>
  <c r="AD2411" i="10"/>
  <c r="W2411" i="10"/>
  <c r="R2411" i="10"/>
  <c r="S2411" i="10" s="1"/>
  <c r="L2411" i="10"/>
  <c r="BA2410" i="10"/>
  <c r="AS2410" i="10"/>
  <c r="AM2410" i="10"/>
  <c r="AD2410" i="10"/>
  <c r="W2410" i="10"/>
  <c r="R2410" i="10"/>
  <c r="S2410" i="10" s="1"/>
  <c r="L2410" i="10"/>
  <c r="BA2409" i="10"/>
  <c r="AS2409" i="10"/>
  <c r="BO2409" i="10" s="1"/>
  <c r="AM2409" i="10"/>
  <c r="AD2409" i="10"/>
  <c r="W2409" i="10"/>
  <c r="R2409" i="10"/>
  <c r="S2409" i="10" s="1"/>
  <c r="L2409" i="10"/>
  <c r="BA2408" i="10"/>
  <c r="AS2408" i="10"/>
  <c r="AM2408" i="10"/>
  <c r="AJ2408" i="10" s="1"/>
  <c r="AD2408" i="10"/>
  <c r="AV2408" i="10" s="1"/>
  <c r="W2408" i="10"/>
  <c r="R2408" i="10"/>
  <c r="S2408" i="10" s="1"/>
  <c r="L2408" i="10"/>
  <c r="BA2407" i="10"/>
  <c r="AS2407" i="10"/>
  <c r="BO2407" i="10" s="1"/>
  <c r="AO2407" i="10"/>
  <c r="AM2407" i="10"/>
  <c r="AD2407" i="10"/>
  <c r="AV2407" i="10" s="1"/>
  <c r="AA2407" i="10"/>
  <c r="W2407" i="10"/>
  <c r="R2407" i="10"/>
  <c r="S2407" i="10" s="1"/>
  <c r="L2407" i="10"/>
  <c r="BA2406" i="10"/>
  <c r="AS2406" i="10"/>
  <c r="AM2406" i="10"/>
  <c r="AJ2406" i="10" s="1"/>
  <c r="AD2406" i="10"/>
  <c r="W2406" i="10"/>
  <c r="R2406" i="10"/>
  <c r="S2406" i="10" s="1"/>
  <c r="L2406" i="10"/>
  <c r="BA2405" i="10"/>
  <c r="AS2405" i="10"/>
  <c r="AO2405" i="10" s="1"/>
  <c r="AM2405" i="10"/>
  <c r="AD2405" i="10"/>
  <c r="W2405" i="10"/>
  <c r="R2405" i="10"/>
  <c r="S2405" i="10" s="1"/>
  <c r="L2405" i="10"/>
  <c r="BA2404" i="10"/>
  <c r="AS2404" i="10"/>
  <c r="AO2404" i="10" s="1"/>
  <c r="AM2404" i="10"/>
  <c r="AJ2404" i="10"/>
  <c r="AD2404" i="10"/>
  <c r="AV2404" i="10" s="1"/>
  <c r="W2404" i="10"/>
  <c r="R2404" i="10"/>
  <c r="S2404" i="10" s="1"/>
  <c r="L2404" i="10"/>
  <c r="BA2403" i="10"/>
  <c r="AS2403" i="10"/>
  <c r="BO2403" i="10" s="1"/>
  <c r="AM2403" i="10"/>
  <c r="AD2403" i="10"/>
  <c r="AV2403" i="10" s="1"/>
  <c r="AA2403" i="10"/>
  <c r="W2403" i="10"/>
  <c r="R2403" i="10"/>
  <c r="S2403" i="10" s="1"/>
  <c r="L2403" i="10"/>
  <c r="BA2402" i="10"/>
  <c r="AS2402" i="10"/>
  <c r="AM2402" i="10"/>
  <c r="AD2402" i="10"/>
  <c r="W2402" i="10"/>
  <c r="R2402" i="10"/>
  <c r="S2402" i="10" s="1"/>
  <c r="L2402" i="10"/>
  <c r="BA2401" i="10"/>
  <c r="AS2401" i="10"/>
  <c r="AO2401" i="10" s="1"/>
  <c r="AM2401" i="10"/>
  <c r="AJ2401" i="10" s="1"/>
  <c r="AD2401" i="10"/>
  <c r="AU2401" i="10" s="1"/>
  <c r="W2401" i="10"/>
  <c r="R2401" i="10"/>
  <c r="S2401" i="10" s="1"/>
  <c r="L2401" i="10"/>
  <c r="BA2400" i="10"/>
  <c r="AS2400" i="10"/>
  <c r="AM2400" i="10"/>
  <c r="AD2400" i="10"/>
  <c r="W2400" i="10"/>
  <c r="R2400" i="10"/>
  <c r="S2400" i="10" s="1"/>
  <c r="L2400" i="10"/>
  <c r="BA2399" i="10"/>
  <c r="AS2399" i="10"/>
  <c r="AM2399" i="10"/>
  <c r="AJ2399" i="10" s="1"/>
  <c r="AD2399" i="10"/>
  <c r="AA2399" i="10" s="1"/>
  <c r="W2399" i="10"/>
  <c r="R2399" i="10"/>
  <c r="S2399" i="10" s="1"/>
  <c r="L2399" i="10"/>
  <c r="BA2398" i="10"/>
  <c r="AS2398" i="10"/>
  <c r="AM2398" i="10"/>
  <c r="AD2398" i="10"/>
  <c r="W2398" i="10"/>
  <c r="R2398" i="10"/>
  <c r="S2398" i="10" s="1"/>
  <c r="L2398" i="10"/>
  <c r="BA2397" i="10"/>
  <c r="AS2397" i="10"/>
  <c r="BO2397" i="10" s="1"/>
  <c r="AM2397" i="10"/>
  <c r="AJ2397" i="10" s="1"/>
  <c r="AD2397" i="10"/>
  <c r="AA2397" i="10" s="1"/>
  <c r="W2397" i="10"/>
  <c r="R2397" i="10"/>
  <c r="S2397" i="10" s="1"/>
  <c r="L2397" i="10"/>
  <c r="BA2396" i="10"/>
  <c r="AS2396" i="10"/>
  <c r="AM2396" i="10"/>
  <c r="AJ2396" i="10" s="1"/>
  <c r="AD2396" i="10"/>
  <c r="AU2396" i="10" s="1"/>
  <c r="W2396" i="10"/>
  <c r="R2396" i="10"/>
  <c r="S2396" i="10" s="1"/>
  <c r="L2396" i="10"/>
  <c r="BA2395" i="10"/>
  <c r="AS2395" i="10"/>
  <c r="AM2395" i="10"/>
  <c r="AJ2395" i="10" s="1"/>
  <c r="AD2395" i="10"/>
  <c r="AV2395" i="10" s="1"/>
  <c r="AA2395" i="10"/>
  <c r="W2395" i="10"/>
  <c r="R2395" i="10"/>
  <c r="S2395" i="10" s="1"/>
  <c r="L2395" i="10"/>
  <c r="BA2394" i="10"/>
  <c r="AS2394" i="10"/>
  <c r="AM2394" i="10"/>
  <c r="AJ2394" i="10" s="1"/>
  <c r="AD2394" i="10"/>
  <c r="W2394" i="10"/>
  <c r="R2394" i="10"/>
  <c r="S2394" i="10" s="1"/>
  <c r="L2394" i="10"/>
  <c r="BA2393" i="10"/>
  <c r="AS2393" i="10"/>
  <c r="AM2393" i="10"/>
  <c r="AN2393" i="10" s="1"/>
  <c r="AD2393" i="10"/>
  <c r="AA2393" i="10" s="1"/>
  <c r="W2393" i="10"/>
  <c r="R2393" i="10"/>
  <c r="S2393" i="10" s="1"/>
  <c r="L2393" i="10"/>
  <c r="BA2392" i="10"/>
  <c r="AS2392" i="10"/>
  <c r="AM2392" i="10"/>
  <c r="AJ2392" i="10"/>
  <c r="AD2392" i="10"/>
  <c r="W2392" i="10"/>
  <c r="R2392" i="10"/>
  <c r="S2392" i="10" s="1"/>
  <c r="L2392" i="10"/>
  <c r="BA2391" i="10"/>
  <c r="AM2391" i="10"/>
  <c r="AJ2391" i="10" s="1"/>
  <c r="AD2391" i="10"/>
  <c r="AV2391" i="10" s="1"/>
  <c r="W2391" i="10"/>
  <c r="R2391" i="10"/>
  <c r="S2391" i="10" s="1"/>
  <c r="L2391" i="10"/>
  <c r="BA2390" i="10"/>
  <c r="AS2390" i="10"/>
  <c r="AO2390" i="10" s="1"/>
  <c r="AM2390" i="10"/>
  <c r="AJ2390" i="10" s="1"/>
  <c r="AD2390" i="10"/>
  <c r="AV2390" i="10" s="1"/>
  <c r="AA2390" i="10"/>
  <c r="W2390" i="10"/>
  <c r="R2390" i="10"/>
  <c r="S2390" i="10" s="1"/>
  <c r="L2390" i="10"/>
  <c r="AS2389" i="10"/>
  <c r="AM2389" i="10"/>
  <c r="AD2389" i="10"/>
  <c r="AV2389" i="10" s="1"/>
  <c r="W2389" i="10"/>
  <c r="R2389" i="10"/>
  <c r="S2389" i="10" s="1"/>
  <c r="L2389" i="10"/>
  <c r="AZ2388" i="10"/>
  <c r="AR2388" i="10"/>
  <c r="AR2387" i="10" s="1"/>
  <c r="AM2388" i="10"/>
  <c r="AJ2388" i="10" s="1"/>
  <c r="AD2388" i="10"/>
  <c r="AA2388" i="10" s="1"/>
  <c r="V2388" i="10"/>
  <c r="V2387" i="10" s="1"/>
  <c r="Q2388" i="10"/>
  <c r="K2388" i="10"/>
  <c r="K2387" i="10" s="1"/>
  <c r="J2388" i="10"/>
  <c r="AZ2387" i="10"/>
  <c r="AM2387" i="10"/>
  <c r="AJ2387" i="10"/>
  <c r="AD2387" i="10"/>
  <c r="AA2387" i="10" s="1"/>
  <c r="Q2387" i="10"/>
  <c r="J2387" i="10"/>
  <c r="AM2386" i="10"/>
  <c r="AJ2386" i="10" s="1"/>
  <c r="AD2386" i="10"/>
  <c r="BA2385" i="10"/>
  <c r="AS2385" i="10"/>
  <c r="AM2385" i="10"/>
  <c r="AJ2385" i="10"/>
  <c r="AD2385" i="10"/>
  <c r="W2385" i="10"/>
  <c r="R2385" i="10"/>
  <c r="S2385" i="10" s="1"/>
  <c r="L2385" i="10"/>
  <c r="AS2384" i="10"/>
  <c r="AM2384" i="10"/>
  <c r="AD2384" i="10"/>
  <c r="AV2384" i="10" s="1"/>
  <c r="AA2384" i="10"/>
  <c r="L2384" i="10"/>
  <c r="AZ2383" i="10"/>
  <c r="AR2383" i="10"/>
  <c r="AD2383" i="10"/>
  <c r="AV2383" i="10" s="1"/>
  <c r="V2383" i="10"/>
  <c r="Q2383" i="10"/>
  <c r="K2383" i="10"/>
  <c r="J2383" i="10"/>
  <c r="BA2382" i="10"/>
  <c r="AS2382" i="10"/>
  <c r="BH2382" i="10" s="1"/>
  <c r="BM2382" i="10" s="1"/>
  <c r="E514" i="11" s="1"/>
  <c r="F514" i="11" s="1"/>
  <c r="AM2382" i="10"/>
  <c r="AD2382" i="10"/>
  <c r="W2382" i="10"/>
  <c r="R2382" i="10"/>
  <c r="S2382" i="10" s="1"/>
  <c r="L2382" i="10"/>
  <c r="BA2381" i="10"/>
  <c r="AS2381" i="10"/>
  <c r="AO2381" i="10" s="1"/>
  <c r="AM2381" i="10"/>
  <c r="AD2381" i="10"/>
  <c r="W2381" i="10"/>
  <c r="R2381" i="10"/>
  <c r="S2381" i="10" s="1"/>
  <c r="L2381" i="10"/>
  <c r="BA2380" i="10"/>
  <c r="AS2380" i="10"/>
  <c r="BH2380" i="10" s="1"/>
  <c r="BM2380" i="10" s="1"/>
  <c r="AM2380" i="10"/>
  <c r="AD2380" i="10"/>
  <c r="W2380" i="10"/>
  <c r="R2380" i="10"/>
  <c r="S2380" i="10" s="1"/>
  <c r="L2380" i="10"/>
  <c r="BA2379" i="10"/>
  <c r="AS2379" i="10"/>
  <c r="AM2379" i="10"/>
  <c r="AJ2379" i="10"/>
  <c r="AD2379" i="10"/>
  <c r="AV2379" i="10" s="1"/>
  <c r="W2379" i="10"/>
  <c r="R2379" i="10"/>
  <c r="S2379" i="10" s="1"/>
  <c r="L2379" i="10"/>
  <c r="BA2378" i="10"/>
  <c r="AS2378" i="10"/>
  <c r="AM2378" i="10"/>
  <c r="AJ2378" i="10" s="1"/>
  <c r="AD2378" i="10"/>
  <c r="AV2378" i="10" s="1"/>
  <c r="W2378" i="10"/>
  <c r="R2378" i="10"/>
  <c r="S2378" i="10" s="1"/>
  <c r="L2378" i="10"/>
  <c r="BA2377" i="10"/>
  <c r="AS2377" i="10"/>
  <c r="AM2377" i="10"/>
  <c r="AJ2377" i="10" s="1"/>
  <c r="AD2377" i="10"/>
  <c r="W2377" i="10"/>
  <c r="R2377" i="10"/>
  <c r="S2377" i="10" s="1"/>
  <c r="L2377" i="10"/>
  <c r="BA2376" i="10"/>
  <c r="AS2376" i="10"/>
  <c r="AM2376" i="10"/>
  <c r="AD2376" i="10"/>
  <c r="W2376" i="10"/>
  <c r="R2376" i="10"/>
  <c r="S2376" i="10" s="1"/>
  <c r="L2376" i="10"/>
  <c r="BA2375" i="10"/>
  <c r="AS2375" i="10"/>
  <c r="AM2375" i="10"/>
  <c r="AJ2375" i="10" s="1"/>
  <c r="AD2375" i="10"/>
  <c r="W2375" i="10"/>
  <c r="R2375" i="10"/>
  <c r="S2375" i="10" s="1"/>
  <c r="L2375" i="10"/>
  <c r="BA2374" i="10"/>
  <c r="AS2374" i="10"/>
  <c r="AO2374" i="10" s="1"/>
  <c r="AM2374" i="10"/>
  <c r="AJ2374" i="10" s="1"/>
  <c r="AD2374" i="10"/>
  <c r="W2374" i="10"/>
  <c r="R2374" i="10"/>
  <c r="S2374" i="10" s="1"/>
  <c r="L2374" i="10"/>
  <c r="BA2373" i="10"/>
  <c r="AS2373" i="10"/>
  <c r="AM2373" i="10"/>
  <c r="AJ2373" i="10" s="1"/>
  <c r="AD2373" i="10"/>
  <c r="AU2373" i="10" s="1"/>
  <c r="W2373" i="10"/>
  <c r="L2373" i="10"/>
  <c r="AZ2372" i="10"/>
  <c r="AR2372" i="10"/>
  <c r="V2372" i="10"/>
  <c r="Q2372" i="10"/>
  <c r="K2372" i="10"/>
  <c r="J2372" i="10"/>
  <c r="L2372" i="10" s="1"/>
  <c r="BA2371" i="10"/>
  <c r="AS2371" i="10"/>
  <c r="AO2371" i="10" s="1"/>
  <c r="AM2371" i="10"/>
  <c r="AN2371" i="10" s="1"/>
  <c r="AD2371" i="10"/>
  <c r="W2371" i="10"/>
  <c r="R2371" i="10"/>
  <c r="S2371" i="10" s="1"/>
  <c r="L2371" i="10"/>
  <c r="BA2370" i="10"/>
  <c r="AS2370" i="10"/>
  <c r="AO2370" i="10"/>
  <c r="AM2370" i="10"/>
  <c r="AJ2370" i="10"/>
  <c r="AD2370" i="10"/>
  <c r="AA2370" i="10" s="1"/>
  <c r="W2370" i="10"/>
  <c r="R2370" i="10"/>
  <c r="S2370" i="10" s="1"/>
  <c r="L2370" i="10"/>
  <c r="BA2369" i="10"/>
  <c r="AS2369" i="10"/>
  <c r="AO2369" i="10" s="1"/>
  <c r="AM2369" i="10"/>
  <c r="AJ2369" i="10" s="1"/>
  <c r="AD2369" i="10"/>
  <c r="AV2369" i="10" s="1"/>
  <c r="AA2369" i="10"/>
  <c r="R2369" i="10"/>
  <c r="S2369" i="10" s="1"/>
  <c r="L2369" i="10"/>
  <c r="BA2368" i="10"/>
  <c r="AS2368" i="10"/>
  <c r="AM2368" i="10"/>
  <c r="AD2368" i="10"/>
  <c r="W2368" i="10"/>
  <c r="R2368" i="10"/>
  <c r="S2368" i="10" s="1"/>
  <c r="L2368" i="10"/>
  <c r="BA2367" i="10"/>
  <c r="AS2367" i="10"/>
  <c r="AM2367" i="10"/>
  <c r="AD2367" i="10"/>
  <c r="W2367" i="10"/>
  <c r="R2367" i="10"/>
  <c r="S2367" i="10" s="1"/>
  <c r="L2367" i="10"/>
  <c r="BA2366" i="10"/>
  <c r="AS2366" i="10"/>
  <c r="AM2366" i="10"/>
  <c r="AD2366" i="10"/>
  <c r="AA2366" i="10" s="1"/>
  <c r="W2366" i="10"/>
  <c r="R2366" i="10"/>
  <c r="S2366" i="10" s="1"/>
  <c r="L2366" i="10"/>
  <c r="BA2365" i="10"/>
  <c r="AS2365" i="10"/>
  <c r="AM2365" i="10"/>
  <c r="AJ2365" i="10" s="1"/>
  <c r="AD2365" i="10"/>
  <c r="W2365" i="10"/>
  <c r="R2365" i="10"/>
  <c r="S2365" i="10" s="1"/>
  <c r="L2365" i="10"/>
  <c r="BA2364" i="10"/>
  <c r="AS2364" i="10"/>
  <c r="BH2364" i="10" s="1"/>
  <c r="BM2364" i="10" s="1"/>
  <c r="AM2364" i="10"/>
  <c r="AJ2364" i="10" s="1"/>
  <c r="AD2364" i="10"/>
  <c r="AU2364" i="10" s="1"/>
  <c r="W2364" i="10"/>
  <c r="R2364" i="10"/>
  <c r="S2364" i="10" s="1"/>
  <c r="L2364" i="10"/>
  <c r="BA2363" i="10"/>
  <c r="AS2363" i="10"/>
  <c r="BH2363" i="10" s="1"/>
  <c r="BM2363" i="10" s="1"/>
  <c r="AM2363" i="10"/>
  <c r="AJ2363" i="10" s="1"/>
  <c r="AD2363" i="10"/>
  <c r="AA2363" i="10" s="1"/>
  <c r="W2363" i="10"/>
  <c r="R2363" i="10"/>
  <c r="S2363" i="10" s="1"/>
  <c r="L2363" i="10"/>
  <c r="BA2362" i="10"/>
  <c r="AS2362" i="10"/>
  <c r="AM2362" i="10"/>
  <c r="AJ2362" i="10" s="1"/>
  <c r="AD2362" i="10"/>
  <c r="W2362" i="10"/>
  <c r="R2362" i="10"/>
  <c r="S2362" i="10" s="1"/>
  <c r="L2362" i="10"/>
  <c r="BA2361" i="10"/>
  <c r="AS2361" i="10"/>
  <c r="AM2361" i="10"/>
  <c r="AN2361" i="10" s="1"/>
  <c r="AD2361" i="10"/>
  <c r="W2361" i="10"/>
  <c r="R2361" i="10"/>
  <c r="S2361" i="10" s="1"/>
  <c r="L2361" i="10"/>
  <c r="BA2360" i="10"/>
  <c r="AS2360" i="10"/>
  <c r="AO2360" i="10" s="1"/>
  <c r="AM2360" i="10"/>
  <c r="AJ2360" i="10" s="1"/>
  <c r="AD2360" i="10"/>
  <c r="W2360" i="10"/>
  <c r="R2360" i="10"/>
  <c r="S2360" i="10" s="1"/>
  <c r="L2360" i="10"/>
  <c r="BA2359" i="10"/>
  <c r="AS2359" i="10"/>
  <c r="BO2359" i="10" s="1"/>
  <c r="AM2359" i="10"/>
  <c r="AD2359" i="10"/>
  <c r="W2359" i="10"/>
  <c r="R2359" i="10"/>
  <c r="S2359" i="10" s="1"/>
  <c r="L2359" i="10"/>
  <c r="BA2358" i="10"/>
  <c r="AS2358" i="10"/>
  <c r="BO2358" i="10" s="1"/>
  <c r="AM2358" i="10"/>
  <c r="AD2358" i="10"/>
  <c r="W2358" i="10"/>
  <c r="R2358" i="10"/>
  <c r="S2358" i="10" s="1"/>
  <c r="L2358" i="10"/>
  <c r="BA2357" i="10"/>
  <c r="AS2357" i="10"/>
  <c r="AO2357" i="10" s="1"/>
  <c r="AM2357" i="10"/>
  <c r="AJ2357" i="10" s="1"/>
  <c r="AD2357" i="10"/>
  <c r="AV2357" i="10" s="1"/>
  <c r="W2357" i="10"/>
  <c r="R2357" i="10"/>
  <c r="S2357" i="10" s="1"/>
  <c r="L2357" i="10"/>
  <c r="BA2356" i="10"/>
  <c r="AS2356" i="10"/>
  <c r="AM2356" i="10"/>
  <c r="AD2356" i="10"/>
  <c r="W2356" i="10"/>
  <c r="R2356" i="10"/>
  <c r="S2356" i="10" s="1"/>
  <c r="L2356" i="10"/>
  <c r="BA2355" i="10"/>
  <c r="AS2355" i="10"/>
  <c r="AM2355" i="10"/>
  <c r="AJ2355" i="10" s="1"/>
  <c r="AD2355" i="10"/>
  <c r="W2355" i="10"/>
  <c r="R2355" i="10"/>
  <c r="S2355" i="10" s="1"/>
  <c r="L2355" i="10"/>
  <c r="BA2354" i="10"/>
  <c r="AS2354" i="10"/>
  <c r="AM2354" i="10"/>
  <c r="AJ2354" i="10" s="1"/>
  <c r="AD2354" i="10"/>
  <c r="W2354" i="10"/>
  <c r="R2354" i="10"/>
  <c r="S2354" i="10" s="1"/>
  <c r="L2354" i="10"/>
  <c r="BA2353" i="10"/>
  <c r="AS2353" i="10"/>
  <c r="AM2353" i="10"/>
  <c r="AJ2353" i="10" s="1"/>
  <c r="AD2353" i="10"/>
  <c r="W2353" i="10"/>
  <c r="L2353" i="10"/>
  <c r="BA2352" i="10"/>
  <c r="AS2352" i="10"/>
  <c r="AO2352" i="10" s="1"/>
  <c r="AM2352" i="10"/>
  <c r="AD2352" i="10"/>
  <c r="W2352" i="10"/>
  <c r="R2352" i="10"/>
  <c r="S2352" i="10" s="1"/>
  <c r="L2352" i="10"/>
  <c r="AZ2351" i="10"/>
  <c r="AR2351" i="10"/>
  <c r="AM2351" i="10"/>
  <c r="AJ2351" i="10" s="1"/>
  <c r="AD2351" i="10"/>
  <c r="AA2351" i="10" s="1"/>
  <c r="V2351" i="10"/>
  <c r="Q2351" i="10"/>
  <c r="K2351" i="10"/>
  <c r="J2351" i="10"/>
  <c r="L2351" i="10" s="1"/>
  <c r="BA2350" i="10"/>
  <c r="AS2350" i="10"/>
  <c r="AO2350" i="10"/>
  <c r="AM2350" i="10"/>
  <c r="AJ2350" i="10" s="1"/>
  <c r="AD2350" i="10"/>
  <c r="AA2350" i="10" s="1"/>
  <c r="W2350" i="10"/>
  <c r="R2350" i="10"/>
  <c r="S2350" i="10" s="1"/>
  <c r="L2350" i="10"/>
  <c r="BA2349" i="10"/>
  <c r="AS2349" i="10"/>
  <c r="AM2349" i="10"/>
  <c r="AJ2349" i="10" s="1"/>
  <c r="AD2349" i="10"/>
  <c r="AA2349" i="10" s="1"/>
  <c r="W2349" i="10"/>
  <c r="L2349" i="10"/>
  <c r="AZ2348" i="10"/>
  <c r="AZ2347" i="10" s="1"/>
  <c r="AR2348" i="10"/>
  <c r="AR2347" i="10" s="1"/>
  <c r="V2348" i="10"/>
  <c r="Q2348" i="10"/>
  <c r="K2348" i="10"/>
  <c r="K2347" i="10" s="1"/>
  <c r="J2348" i="10"/>
  <c r="BA2346" i="10"/>
  <c r="AS2346" i="10"/>
  <c r="AM2346" i="10"/>
  <c r="AN2346" i="10" s="1"/>
  <c r="AD2346" i="10"/>
  <c r="AV2346" i="10" s="1"/>
  <c r="W2346" i="10"/>
  <c r="R2346" i="10"/>
  <c r="S2346" i="10" s="1"/>
  <c r="L2346" i="10"/>
  <c r="BA2345" i="10"/>
  <c r="AS2345" i="10"/>
  <c r="AM2345" i="10"/>
  <c r="AD2345" i="10"/>
  <c r="W2345" i="10"/>
  <c r="R2345" i="10"/>
  <c r="S2345" i="10" s="1"/>
  <c r="L2345" i="10"/>
  <c r="BA2344" i="10"/>
  <c r="AS2344" i="10"/>
  <c r="BO2344" i="10" s="1"/>
  <c r="AM2344" i="10"/>
  <c r="AJ2344" i="10" s="1"/>
  <c r="AD2344" i="10"/>
  <c r="AA2344" i="10" s="1"/>
  <c r="W2344" i="10"/>
  <c r="R2344" i="10"/>
  <c r="S2344" i="10" s="1"/>
  <c r="L2344" i="10"/>
  <c r="BA2343" i="10"/>
  <c r="AS2343" i="10"/>
  <c r="AM2343" i="10"/>
  <c r="AJ2343" i="10" s="1"/>
  <c r="AD2343" i="10"/>
  <c r="AA2343" i="10" s="1"/>
  <c r="W2343" i="10"/>
  <c r="R2343" i="10"/>
  <c r="S2343" i="10" s="1"/>
  <c r="L2343" i="10"/>
  <c r="BA2342" i="10"/>
  <c r="AS2342" i="10"/>
  <c r="BO2342" i="10" s="1"/>
  <c r="AM2342" i="10"/>
  <c r="AJ2342" i="10"/>
  <c r="AD2342" i="10"/>
  <c r="AV2342" i="10" s="1"/>
  <c r="W2342" i="10"/>
  <c r="R2342" i="10"/>
  <c r="S2342" i="10" s="1"/>
  <c r="L2342" i="10"/>
  <c r="BA2341" i="10"/>
  <c r="AS2341" i="10"/>
  <c r="AM2341" i="10"/>
  <c r="AD2341" i="10"/>
  <c r="W2341" i="10"/>
  <c r="R2341" i="10"/>
  <c r="S2341" i="10" s="1"/>
  <c r="L2341" i="10"/>
  <c r="BA2340" i="10"/>
  <c r="AS2340" i="10"/>
  <c r="AM2340" i="10"/>
  <c r="AJ2340" i="10" s="1"/>
  <c r="AD2340" i="10"/>
  <c r="AU2340" i="10" s="1"/>
  <c r="W2340" i="10"/>
  <c r="R2340" i="10"/>
  <c r="S2340" i="10" s="1"/>
  <c r="L2340" i="10"/>
  <c r="BA2339" i="10"/>
  <c r="AS2339" i="10"/>
  <c r="BO2339" i="10" s="1"/>
  <c r="AM2339" i="10"/>
  <c r="AJ2339" i="10" s="1"/>
  <c r="AD2339" i="10"/>
  <c r="AA2339" i="10" s="1"/>
  <c r="W2339" i="10"/>
  <c r="R2339" i="10"/>
  <c r="S2339" i="10" s="1"/>
  <c r="L2339" i="10"/>
  <c r="BA2338" i="10"/>
  <c r="AS2338" i="10"/>
  <c r="AM2338" i="10"/>
  <c r="AJ2338" i="10" s="1"/>
  <c r="AD2338" i="10"/>
  <c r="AA2338" i="10" s="1"/>
  <c r="W2338" i="10"/>
  <c r="R2338" i="10"/>
  <c r="S2338" i="10" s="1"/>
  <c r="L2338" i="10"/>
  <c r="BA2337" i="10"/>
  <c r="AS2337" i="10"/>
  <c r="AM2337" i="10"/>
  <c r="AD2337" i="10"/>
  <c r="W2337" i="10"/>
  <c r="R2337" i="10"/>
  <c r="S2337" i="10" s="1"/>
  <c r="L2337" i="10"/>
  <c r="BA2336" i="10"/>
  <c r="AS2336" i="10"/>
  <c r="BO2336" i="10" s="1"/>
  <c r="AM2336" i="10"/>
  <c r="AJ2336" i="10"/>
  <c r="AD2336" i="10"/>
  <c r="AV2336" i="10" s="1"/>
  <c r="AA2336" i="10"/>
  <c r="W2336" i="10"/>
  <c r="R2336" i="10"/>
  <c r="S2336" i="10" s="1"/>
  <c r="L2336" i="10"/>
  <c r="BA2335" i="10"/>
  <c r="AS2335" i="10"/>
  <c r="BO2335" i="10" s="1"/>
  <c r="AM2335" i="10"/>
  <c r="AJ2335" i="10"/>
  <c r="AD2335" i="10"/>
  <c r="AV2335" i="10" s="1"/>
  <c r="AA2335" i="10"/>
  <c r="W2335" i="10"/>
  <c r="R2335" i="10"/>
  <c r="S2335" i="10" s="1"/>
  <c r="L2335" i="10"/>
  <c r="BA2334" i="10"/>
  <c r="AS2334" i="10"/>
  <c r="AM2334" i="10"/>
  <c r="AD2334" i="10"/>
  <c r="W2334" i="10"/>
  <c r="R2334" i="10"/>
  <c r="S2334" i="10" s="1"/>
  <c r="L2334" i="10"/>
  <c r="BA2333" i="10"/>
  <c r="AS2333" i="10"/>
  <c r="AM2333" i="10"/>
  <c r="AD2333" i="10"/>
  <c r="W2333" i="10"/>
  <c r="R2333" i="10"/>
  <c r="S2333" i="10" s="1"/>
  <c r="L2333" i="10"/>
  <c r="BA2332" i="10"/>
  <c r="AS2332" i="10"/>
  <c r="AM2332" i="10"/>
  <c r="AJ2332" i="10" s="1"/>
  <c r="AD2332" i="10"/>
  <c r="AV2332" i="10" s="1"/>
  <c r="W2332" i="10"/>
  <c r="R2332" i="10"/>
  <c r="S2332" i="10" s="1"/>
  <c r="L2332" i="10"/>
  <c r="BA2331" i="10"/>
  <c r="AS2331" i="10"/>
  <c r="BO2331" i="10" s="1"/>
  <c r="AM2331" i="10"/>
  <c r="AN2331" i="10" s="1"/>
  <c r="AD2331" i="10"/>
  <c r="W2331" i="10"/>
  <c r="R2331" i="10"/>
  <c r="S2331" i="10" s="1"/>
  <c r="L2331" i="10"/>
  <c r="BA2330" i="10"/>
  <c r="AS2330" i="10"/>
  <c r="AM2330" i="10"/>
  <c r="AJ2330" i="10" s="1"/>
  <c r="AD2330" i="10"/>
  <c r="W2330" i="10"/>
  <c r="R2330" i="10"/>
  <c r="S2330" i="10" s="1"/>
  <c r="L2330" i="10"/>
  <c r="BA2329" i="10"/>
  <c r="AS2329" i="10"/>
  <c r="AM2329" i="10"/>
  <c r="AJ2329" i="10" s="1"/>
  <c r="AD2329" i="10"/>
  <c r="AA2329" i="10" s="1"/>
  <c r="W2329" i="10"/>
  <c r="R2329" i="10"/>
  <c r="S2329" i="10" s="1"/>
  <c r="L2329" i="10"/>
  <c r="BA2328" i="10"/>
  <c r="AS2328" i="10"/>
  <c r="AM2328" i="10"/>
  <c r="AJ2328" i="10" s="1"/>
  <c r="AD2328" i="10"/>
  <c r="W2328" i="10"/>
  <c r="R2328" i="10"/>
  <c r="S2328" i="10" s="1"/>
  <c r="L2328" i="10"/>
  <c r="BA2327" i="10"/>
  <c r="AS2327" i="10"/>
  <c r="BO2327" i="10" s="1"/>
  <c r="AM2327" i="10"/>
  <c r="AD2327" i="10"/>
  <c r="AV2327" i="10" s="1"/>
  <c r="W2327" i="10"/>
  <c r="R2327" i="10"/>
  <c r="S2327" i="10" s="1"/>
  <c r="L2327" i="10"/>
  <c r="BA2326" i="10"/>
  <c r="AS2326" i="10"/>
  <c r="AO2326" i="10" s="1"/>
  <c r="AM2326" i="10"/>
  <c r="AJ2326" i="10"/>
  <c r="AD2326" i="10"/>
  <c r="W2326" i="10"/>
  <c r="R2326" i="10"/>
  <c r="S2326" i="10" s="1"/>
  <c r="L2326" i="10"/>
  <c r="BA2325" i="10"/>
  <c r="AS2325" i="10"/>
  <c r="AM2325" i="10"/>
  <c r="AD2325" i="10"/>
  <c r="W2325" i="10"/>
  <c r="R2325" i="10"/>
  <c r="S2325" i="10" s="1"/>
  <c r="L2325" i="10"/>
  <c r="BA2324" i="10"/>
  <c r="AS2324" i="10"/>
  <c r="BO2324" i="10" s="1"/>
  <c r="AM2324" i="10"/>
  <c r="AD2324" i="10"/>
  <c r="W2324" i="10"/>
  <c r="R2324" i="10"/>
  <c r="S2324" i="10" s="1"/>
  <c r="L2324" i="10"/>
  <c r="BA2323" i="10"/>
  <c r="AS2323" i="10"/>
  <c r="BO2323" i="10" s="1"/>
  <c r="AM2323" i="10"/>
  <c r="AJ2323" i="10" s="1"/>
  <c r="AD2323" i="10"/>
  <c r="AV2323" i="10" s="1"/>
  <c r="W2323" i="10"/>
  <c r="R2323" i="10"/>
  <c r="S2323" i="10" s="1"/>
  <c r="L2323" i="10"/>
  <c r="BA2322" i="10"/>
  <c r="AS2322" i="10"/>
  <c r="AM2322" i="10"/>
  <c r="AJ2322" i="10" s="1"/>
  <c r="AD2322" i="10"/>
  <c r="W2322" i="10"/>
  <c r="R2322" i="10"/>
  <c r="S2322" i="10" s="1"/>
  <c r="L2322" i="10"/>
  <c r="BA2321" i="10"/>
  <c r="AS2321" i="10"/>
  <c r="AM2321" i="10"/>
  <c r="AD2321" i="10"/>
  <c r="W2321" i="10"/>
  <c r="R2321" i="10"/>
  <c r="S2321" i="10" s="1"/>
  <c r="L2321" i="10"/>
  <c r="BA2320" i="10"/>
  <c r="AS2320" i="10"/>
  <c r="AM2320" i="10"/>
  <c r="AJ2320" i="10" s="1"/>
  <c r="AD2320" i="10"/>
  <c r="W2320" i="10"/>
  <c r="R2320" i="10"/>
  <c r="S2320" i="10" s="1"/>
  <c r="L2320" i="10"/>
  <c r="BA2319" i="10"/>
  <c r="AS2319" i="10"/>
  <c r="AO2319" i="10" s="1"/>
  <c r="AM2319" i="10"/>
  <c r="AD2319" i="10"/>
  <c r="W2319" i="10"/>
  <c r="R2319" i="10"/>
  <c r="S2319" i="10" s="1"/>
  <c r="L2319" i="10"/>
  <c r="BA2318" i="10"/>
  <c r="AS2318" i="10"/>
  <c r="AO2318" i="10" s="1"/>
  <c r="AM2318" i="10"/>
  <c r="AD2318" i="10"/>
  <c r="AV2318" i="10" s="1"/>
  <c r="W2318" i="10"/>
  <c r="R2318" i="10"/>
  <c r="S2318" i="10" s="1"/>
  <c r="L2318" i="10"/>
  <c r="BA2317" i="10"/>
  <c r="AS2317" i="10"/>
  <c r="AO2317" i="10" s="1"/>
  <c r="AM2317" i="10"/>
  <c r="AD2317" i="10"/>
  <c r="AV2317" i="10" s="1"/>
  <c r="W2317" i="10"/>
  <c r="R2317" i="10"/>
  <c r="S2317" i="10" s="1"/>
  <c r="L2317" i="10"/>
  <c r="BA2316" i="10"/>
  <c r="AS2316" i="10"/>
  <c r="AM2316" i="10"/>
  <c r="AJ2316" i="10" s="1"/>
  <c r="AD2316" i="10"/>
  <c r="W2316" i="10"/>
  <c r="R2316" i="10"/>
  <c r="S2316" i="10" s="1"/>
  <c r="L2316" i="10"/>
  <c r="BA2315" i="10"/>
  <c r="AS2315" i="10"/>
  <c r="BO2315" i="10" s="1"/>
  <c r="AM2315" i="10"/>
  <c r="AD2315" i="10"/>
  <c r="AA2315" i="10" s="1"/>
  <c r="W2315" i="10"/>
  <c r="R2315" i="10"/>
  <c r="S2315" i="10" s="1"/>
  <c r="L2315" i="10"/>
  <c r="BA2314" i="10"/>
  <c r="AS2314" i="10"/>
  <c r="BO2314" i="10" s="1"/>
  <c r="AM2314" i="10"/>
  <c r="AJ2314" i="10"/>
  <c r="AD2314" i="10"/>
  <c r="W2314" i="10"/>
  <c r="R2314" i="10"/>
  <c r="S2314" i="10" s="1"/>
  <c r="L2314" i="10"/>
  <c r="BA2313" i="10"/>
  <c r="AS2313" i="10"/>
  <c r="AM2313" i="10"/>
  <c r="AJ2313" i="10" s="1"/>
  <c r="AD2313" i="10"/>
  <c r="AA2313" i="10" s="1"/>
  <c r="W2313" i="10"/>
  <c r="R2313" i="10"/>
  <c r="S2313" i="10" s="1"/>
  <c r="L2313" i="10"/>
  <c r="BA2312" i="10"/>
  <c r="AS2312" i="10"/>
  <c r="BO2312" i="10" s="1"/>
  <c r="AO2312" i="10"/>
  <c r="AM2312" i="10"/>
  <c r="AD2312" i="10"/>
  <c r="W2312" i="10"/>
  <c r="R2312" i="10"/>
  <c r="S2312" i="10" s="1"/>
  <c r="L2312" i="10"/>
  <c r="BA2311" i="10"/>
  <c r="AS2311" i="10"/>
  <c r="BO2311" i="10" s="1"/>
  <c r="AM2311" i="10"/>
  <c r="AJ2311" i="10" s="1"/>
  <c r="AD2311" i="10"/>
  <c r="W2311" i="10"/>
  <c r="R2311" i="10"/>
  <c r="S2311" i="10" s="1"/>
  <c r="L2311" i="10"/>
  <c r="BA2310" i="10"/>
  <c r="AS2310" i="10"/>
  <c r="AO2310" i="10" s="1"/>
  <c r="AM2310" i="10"/>
  <c r="AD2310" i="10"/>
  <c r="W2310" i="10"/>
  <c r="R2310" i="10"/>
  <c r="S2310" i="10" s="1"/>
  <c r="L2310" i="10"/>
  <c r="BA2309" i="10"/>
  <c r="AS2309" i="10"/>
  <c r="AM2309" i="10"/>
  <c r="AD2309" i="10"/>
  <c r="AV2309" i="10" s="1"/>
  <c r="AA2309" i="10"/>
  <c r="W2309" i="10"/>
  <c r="R2309" i="10"/>
  <c r="S2309" i="10" s="1"/>
  <c r="L2309" i="10"/>
  <c r="BA2308" i="10"/>
  <c r="AS2308" i="10"/>
  <c r="AM2308" i="10"/>
  <c r="AJ2308" i="10" s="1"/>
  <c r="AD2308" i="10"/>
  <c r="W2308" i="10"/>
  <c r="R2308" i="10"/>
  <c r="S2308" i="10" s="1"/>
  <c r="L2308" i="10"/>
  <c r="BA2307" i="10"/>
  <c r="AS2307" i="10"/>
  <c r="AM2307" i="10"/>
  <c r="AJ2307" i="10" s="1"/>
  <c r="AD2307" i="10"/>
  <c r="AV2307" i="10" s="1"/>
  <c r="AA2307" i="10"/>
  <c r="W2307" i="10"/>
  <c r="R2307" i="10"/>
  <c r="S2307" i="10" s="1"/>
  <c r="L2307" i="10"/>
  <c r="BA2306" i="10"/>
  <c r="AS2306" i="10"/>
  <c r="AM2306" i="10"/>
  <c r="AJ2306" i="10"/>
  <c r="AD2306" i="10"/>
  <c r="AU2306" i="10" s="1"/>
  <c r="W2306" i="10"/>
  <c r="R2306" i="10"/>
  <c r="S2306" i="10" s="1"/>
  <c r="L2306" i="10"/>
  <c r="BA2305" i="10"/>
  <c r="AS2305" i="10"/>
  <c r="BO2305" i="10" s="1"/>
  <c r="AM2305" i="10"/>
  <c r="AD2305" i="10"/>
  <c r="W2305" i="10"/>
  <c r="R2305" i="10"/>
  <c r="S2305" i="10" s="1"/>
  <c r="L2305" i="10"/>
  <c r="BA2304" i="10"/>
  <c r="AS2304" i="10"/>
  <c r="AO2304" i="10" s="1"/>
  <c r="AM2304" i="10"/>
  <c r="AD2304" i="10"/>
  <c r="AV2304" i="10" s="1"/>
  <c r="AA2304" i="10"/>
  <c r="W2304" i="10"/>
  <c r="R2304" i="10"/>
  <c r="S2304" i="10" s="1"/>
  <c r="L2304" i="10"/>
  <c r="BA2303" i="10"/>
  <c r="AS2303" i="10"/>
  <c r="AM2303" i="10"/>
  <c r="AD2303" i="10"/>
  <c r="AV2303" i="10" s="1"/>
  <c r="AA2303" i="10"/>
  <c r="R2303" i="10"/>
  <c r="L2303" i="10"/>
  <c r="BA2302" i="10"/>
  <c r="AT2302" i="10"/>
  <c r="AM2302" i="10"/>
  <c r="AJ2302" i="10" s="1"/>
  <c r="AD2302" i="10"/>
  <c r="W2302" i="10"/>
  <c r="R2302" i="10"/>
  <c r="S2302" i="10" s="1"/>
  <c r="L2302" i="10"/>
  <c r="AZ2301" i="10"/>
  <c r="AR2301" i="10"/>
  <c r="AR2300" i="10" s="1"/>
  <c r="V2301" i="10"/>
  <c r="V2300" i="10" s="1"/>
  <c r="Q2301" i="10"/>
  <c r="K2301" i="10"/>
  <c r="J2301" i="10"/>
  <c r="J2300" i="10" s="1"/>
  <c r="AZ2300" i="10"/>
  <c r="Q2300" i="10"/>
  <c r="K2300" i="10"/>
  <c r="K2299" i="10" s="1"/>
  <c r="BA2297" i="10"/>
  <c r="AM2297" i="10"/>
  <c r="AD2297" i="10"/>
  <c r="W2297" i="10"/>
  <c r="R2297" i="10"/>
  <c r="S2297" i="10" s="1"/>
  <c r="L2297" i="10"/>
  <c r="BA2296" i="10"/>
  <c r="AS2296" i="10"/>
  <c r="BO2296" i="10" s="1"/>
  <c r="AM2296" i="10"/>
  <c r="AJ2296" i="10" s="1"/>
  <c r="AD2296" i="10"/>
  <c r="W2296" i="10"/>
  <c r="R2296" i="10"/>
  <c r="S2296" i="10" s="1"/>
  <c r="L2296" i="10"/>
  <c r="BA2295" i="10"/>
  <c r="AS2295" i="10"/>
  <c r="AM2295" i="10"/>
  <c r="AJ2295" i="10" s="1"/>
  <c r="AD2295" i="10"/>
  <c r="AA2295" i="10" s="1"/>
  <c r="R2295" i="10"/>
  <c r="L2295" i="10"/>
  <c r="AZ2294" i="10"/>
  <c r="AZ2293" i="10" s="1"/>
  <c r="AR2294" i="10"/>
  <c r="AR2293" i="10" s="1"/>
  <c r="AR2292" i="10" s="1"/>
  <c r="AM2294" i="10"/>
  <c r="AJ2294" i="10" s="1"/>
  <c r="V2294" i="10"/>
  <c r="Q2294" i="10"/>
  <c r="K2294" i="10"/>
  <c r="K2293" i="10" s="1"/>
  <c r="J2294" i="10"/>
  <c r="V2293" i="10"/>
  <c r="V2292" i="10" s="1"/>
  <c r="Q2293" i="10"/>
  <c r="Q2292" i="10" s="1"/>
  <c r="AZ2292" i="10"/>
  <c r="K2292" i="10"/>
  <c r="BA2291" i="10"/>
  <c r="AS2291" i="10"/>
  <c r="BO2291" i="10" s="1"/>
  <c r="AM2291" i="10"/>
  <c r="AJ2291" i="10" s="1"/>
  <c r="AD2291" i="10"/>
  <c r="W2291" i="10"/>
  <c r="L2291" i="10"/>
  <c r="BA2290" i="10"/>
  <c r="AS2290" i="10"/>
  <c r="AM2290" i="10"/>
  <c r="AJ2290" i="10" s="1"/>
  <c r="AD2290" i="10"/>
  <c r="AA2290" i="10" s="1"/>
  <c r="W2290" i="10"/>
  <c r="R2290" i="10"/>
  <c r="S2290" i="10" s="1"/>
  <c r="L2290" i="10"/>
  <c r="AS2289" i="10"/>
  <c r="AM2289" i="10"/>
  <c r="AD2289" i="10"/>
  <c r="R2289" i="10"/>
  <c r="L2289" i="10"/>
  <c r="AZ2288" i="10"/>
  <c r="AZ2287" i="10" s="1"/>
  <c r="AZ2286" i="10" s="1"/>
  <c r="AZ2285" i="10" s="1"/>
  <c r="AR2288" i="10"/>
  <c r="AR2287" i="10" s="1"/>
  <c r="AR2286" i="10" s="1"/>
  <c r="V2288" i="10"/>
  <c r="V2287" i="10" s="1"/>
  <c r="V2286" i="10" s="1"/>
  <c r="Q2288" i="10"/>
  <c r="Q2287" i="10" s="1"/>
  <c r="Q2286" i="10" s="1"/>
  <c r="Q2285" i="10" s="1"/>
  <c r="K2288" i="10"/>
  <c r="J2288" i="10"/>
  <c r="J2287" i="10"/>
  <c r="AM2284" i="10"/>
  <c r="AD2284" i="10"/>
  <c r="W2284" i="10"/>
  <c r="W2283" i="10" s="1"/>
  <c r="W2282" i="10" s="1"/>
  <c r="L2284" i="10"/>
  <c r="AZ2283" i="10"/>
  <c r="AZ2282" i="10" s="1"/>
  <c r="AR2283" i="10"/>
  <c r="AR2282" i="10" s="1"/>
  <c r="V2283" i="10"/>
  <c r="V2282" i="10" s="1"/>
  <c r="Q2283" i="10"/>
  <c r="Q2282" i="10" s="1"/>
  <c r="K2283" i="10"/>
  <c r="K2282" i="10" s="1"/>
  <c r="J2283" i="10"/>
  <c r="BA2281" i="10"/>
  <c r="AS2281" i="10"/>
  <c r="AO2281" i="10" s="1"/>
  <c r="AM2281" i="10"/>
  <c r="AJ2281" i="10" s="1"/>
  <c r="AD2281" i="10"/>
  <c r="W2281" i="10"/>
  <c r="R2281" i="10"/>
  <c r="S2281" i="10" s="1"/>
  <c r="L2281" i="10"/>
  <c r="BA2280" i="10"/>
  <c r="AM2280" i="10"/>
  <c r="AJ2280" i="10" s="1"/>
  <c r="AD2280" i="10"/>
  <c r="R2280" i="10"/>
  <c r="S2280" i="10" s="1"/>
  <c r="L2280" i="10"/>
  <c r="AZ2279" i="10"/>
  <c r="AZ2278" i="10" s="1"/>
  <c r="AR2279" i="10"/>
  <c r="AR2278" i="10" s="1"/>
  <c r="V2279" i="10"/>
  <c r="V2278" i="10" s="1"/>
  <c r="V2277" i="10" s="1"/>
  <c r="Q2279" i="10"/>
  <c r="K2279" i="10"/>
  <c r="K2278" i="10" s="1"/>
  <c r="J2279" i="10"/>
  <c r="J2278" i="10" s="1"/>
  <c r="Q2278" i="10"/>
  <c r="AZ2276" i="10"/>
  <c r="AZ2272" i="10" s="1"/>
  <c r="AZ2271" i="10" s="1"/>
  <c r="AS2276" i="10"/>
  <c r="AM2276" i="10"/>
  <c r="AJ2276" i="10" s="1"/>
  <c r="AD2276" i="10"/>
  <c r="V2276" i="10"/>
  <c r="V2272" i="10" s="1"/>
  <c r="V2271" i="10" s="1"/>
  <c r="R2276" i="10"/>
  <c r="S2276" i="10" s="1"/>
  <c r="L2276" i="10"/>
  <c r="BA2275" i="10"/>
  <c r="AS2275" i="10"/>
  <c r="AM2275" i="10"/>
  <c r="AJ2275" i="10" s="1"/>
  <c r="AD2275" i="10"/>
  <c r="W2275" i="10"/>
  <c r="R2275" i="10"/>
  <c r="S2275" i="10" s="1"/>
  <c r="L2275" i="10"/>
  <c r="BA2274" i="10"/>
  <c r="AS2274" i="10"/>
  <c r="AM2274" i="10"/>
  <c r="AJ2274" i="10" s="1"/>
  <c r="AD2274" i="10"/>
  <c r="R2274" i="10"/>
  <c r="S2274" i="10" s="1"/>
  <c r="L2274" i="10"/>
  <c r="BA2273" i="10"/>
  <c r="AS2273" i="10"/>
  <c r="AM2273" i="10"/>
  <c r="AD2273" i="10"/>
  <c r="AA2273" i="10" s="1"/>
  <c r="W2273" i="10"/>
  <c r="L2273" i="10"/>
  <c r="AR2272" i="10"/>
  <c r="Q2272" i="10"/>
  <c r="K2272" i="10"/>
  <c r="K2271" i="10" s="1"/>
  <c r="J2272" i="10"/>
  <c r="AR2271" i="10"/>
  <c r="Q2271" i="10"/>
  <c r="AS2270" i="10"/>
  <c r="AS2269" i="10" s="1"/>
  <c r="AM2270" i="10"/>
  <c r="AD2270" i="10"/>
  <c r="AD2269" i="10" s="1"/>
  <c r="AA2269" i="10" s="1"/>
  <c r="L2270" i="10"/>
  <c r="AZ2269" i="10"/>
  <c r="AR2269" i="10"/>
  <c r="AR2268" i="10" s="1"/>
  <c r="V2269" i="10"/>
  <c r="V2268" i="10" s="1"/>
  <c r="Q2269" i="10"/>
  <c r="Q2268" i="10" s="1"/>
  <c r="K2269" i="10"/>
  <c r="K2268" i="10" s="1"/>
  <c r="J2269" i="10"/>
  <c r="AZ2268" i="10"/>
  <c r="AM2267" i="10"/>
  <c r="AD2267" i="10"/>
  <c r="AV2267" i="10" s="1"/>
  <c r="W2267" i="10"/>
  <c r="W2266" i="10" s="1"/>
  <c r="W2265" i="10" s="1"/>
  <c r="P2266" i="10"/>
  <c r="P2265" i="10" s="1"/>
  <c r="L2267" i="10"/>
  <c r="AZ2266" i="10"/>
  <c r="AR2266" i="10"/>
  <c r="AR2265" i="10" s="1"/>
  <c r="AM2266" i="10"/>
  <c r="AJ2266" i="10" s="1"/>
  <c r="V2266" i="10"/>
  <c r="V2265" i="10" s="1"/>
  <c r="Q2266" i="10"/>
  <c r="Q2265" i="10" s="1"/>
  <c r="K2266" i="10"/>
  <c r="J2266" i="10"/>
  <c r="L2266" i="10" s="1"/>
  <c r="AZ2265" i="10"/>
  <c r="K2265" i="10"/>
  <c r="AM2263" i="10"/>
  <c r="AJ2263" i="10" s="1"/>
  <c r="AD2263" i="10"/>
  <c r="AD2262" i="10" s="1"/>
  <c r="W2263" i="10"/>
  <c r="W2262" i="10" s="1"/>
  <c r="W2261" i="10" s="1"/>
  <c r="L2263" i="10"/>
  <c r="AZ2262" i="10"/>
  <c r="AZ2261" i="10" s="1"/>
  <c r="AR2262" i="10"/>
  <c r="AR2261" i="10" s="1"/>
  <c r="V2262" i="10"/>
  <c r="V2261" i="10" s="1"/>
  <c r="Q2262" i="10"/>
  <c r="Q2261" i="10" s="1"/>
  <c r="K2262" i="10"/>
  <c r="K2261" i="10" s="1"/>
  <c r="J2262" i="10"/>
  <c r="AS2260" i="10"/>
  <c r="AO2260" i="10" s="1"/>
  <c r="AM2260" i="10"/>
  <c r="AJ2260" i="10" s="1"/>
  <c r="AD2260" i="10"/>
  <c r="AA2260" i="10" s="1"/>
  <c r="L2260" i="10"/>
  <c r="AZ2259" i="10"/>
  <c r="AZ2258" i="10" s="1"/>
  <c r="AR2259" i="10"/>
  <c r="AR2258" i="10" s="1"/>
  <c r="V2259" i="10"/>
  <c r="Q2259" i="10"/>
  <c r="Q2258" i="10" s="1"/>
  <c r="K2259" i="10"/>
  <c r="K2258" i="10" s="1"/>
  <c r="J2259" i="10"/>
  <c r="V2258" i="10"/>
  <c r="BA2257" i="10"/>
  <c r="BA2256" i="10" s="1"/>
  <c r="BA2255" i="10" s="1"/>
  <c r="AS2257" i="10"/>
  <c r="BH2257" i="10" s="1"/>
  <c r="AM2257" i="10"/>
  <c r="AD2257" i="10"/>
  <c r="AV2257" i="10" s="1"/>
  <c r="W2257" i="10"/>
  <c r="W2256" i="10" s="1"/>
  <c r="W2255" i="10" s="1"/>
  <c r="L2257" i="10"/>
  <c r="AZ2256" i="10"/>
  <c r="AZ2255" i="10" s="1"/>
  <c r="AR2256" i="10"/>
  <c r="AR2255" i="10" s="1"/>
  <c r="V2256" i="10"/>
  <c r="V2255" i="10" s="1"/>
  <c r="Q2256" i="10"/>
  <c r="Q2255" i="10" s="1"/>
  <c r="K2256" i="10"/>
  <c r="K2255" i="10" s="1"/>
  <c r="J2256" i="10"/>
  <c r="J2255" i="10" s="1"/>
  <c r="AS2254" i="10"/>
  <c r="AM2254" i="10"/>
  <c r="AJ2254" i="10" s="1"/>
  <c r="AD2254" i="10"/>
  <c r="AV2254" i="10" s="1"/>
  <c r="U2253" i="10"/>
  <c r="U2252" i="10" s="1"/>
  <c r="L2254" i="10"/>
  <c r="AZ2253" i="10"/>
  <c r="AZ2252" i="10" s="1"/>
  <c r="AR2253" i="10"/>
  <c r="AR2252" i="10" s="1"/>
  <c r="V2253" i="10"/>
  <c r="V2252" i="10" s="1"/>
  <c r="Q2253" i="10"/>
  <c r="K2253" i="10"/>
  <c r="K2252" i="10" s="1"/>
  <c r="J2253" i="10"/>
  <c r="Q2252" i="10"/>
  <c r="BA2251" i="10"/>
  <c r="AS2251" i="10"/>
  <c r="BO2251" i="10" s="1"/>
  <c r="AO2251" i="10"/>
  <c r="AM2251" i="10"/>
  <c r="AJ2251" i="10" s="1"/>
  <c r="AD2251" i="10"/>
  <c r="AV2251" i="10" s="1"/>
  <c r="W2251" i="10"/>
  <c r="R2251" i="10"/>
  <c r="S2251" i="10" s="1"/>
  <c r="L2251" i="10"/>
  <c r="BA2250" i="10"/>
  <c r="AS2250" i="10"/>
  <c r="AM2250" i="10"/>
  <c r="AJ2250" i="10"/>
  <c r="AD2250" i="10"/>
  <c r="W2250" i="10"/>
  <c r="R2250" i="10"/>
  <c r="S2250" i="10" s="1"/>
  <c r="L2250" i="10"/>
  <c r="BA2249" i="10"/>
  <c r="AS2249" i="10"/>
  <c r="AM2249" i="10"/>
  <c r="AJ2249" i="10" s="1"/>
  <c r="AD2249" i="10"/>
  <c r="AV2249" i="10" s="1"/>
  <c r="W2249" i="10"/>
  <c r="R2249" i="10"/>
  <c r="S2249" i="10" s="1"/>
  <c r="L2249" i="10"/>
  <c r="BA2248" i="10"/>
  <c r="AS2248" i="10"/>
  <c r="AO2248" i="10" s="1"/>
  <c r="AM2248" i="10"/>
  <c r="AJ2248" i="10" s="1"/>
  <c r="AD2248" i="10"/>
  <c r="R2248" i="10"/>
  <c r="S2248" i="10" s="1"/>
  <c r="L2248" i="10"/>
  <c r="AS2247" i="10"/>
  <c r="AM2247" i="10"/>
  <c r="AJ2247" i="10" s="1"/>
  <c r="AD2247" i="10"/>
  <c r="W2247" i="10"/>
  <c r="R2247" i="10"/>
  <c r="S2247" i="10" s="1"/>
  <c r="L2247" i="10"/>
  <c r="AZ2246" i="10"/>
  <c r="AZ2245" i="10" s="1"/>
  <c r="AR2246" i="10"/>
  <c r="AR2245" i="10" s="1"/>
  <c r="V2246" i="10"/>
  <c r="Q2246" i="10"/>
  <c r="Q2245" i="10" s="1"/>
  <c r="K2246" i="10"/>
  <c r="K2245" i="10" s="1"/>
  <c r="J2246" i="10"/>
  <c r="V2245" i="10"/>
  <c r="AY2242" i="10"/>
  <c r="AY2241" i="10" s="1"/>
  <c r="AS2243" i="10"/>
  <c r="AM2243" i="10"/>
  <c r="AM2242" i="10" s="1"/>
  <c r="AD2243" i="10"/>
  <c r="U2242" i="10"/>
  <c r="U2241" i="10" s="1"/>
  <c r="Q2243" i="10"/>
  <c r="L2243" i="10"/>
  <c r="AR2242" i="10"/>
  <c r="AR2241" i="10" s="1"/>
  <c r="K2242" i="10"/>
  <c r="K2241" i="10" s="1"/>
  <c r="J2242" i="10"/>
  <c r="L2242" i="10" s="1"/>
  <c r="BA2240" i="10"/>
  <c r="AS2240" i="10"/>
  <c r="AM2240" i="10"/>
  <c r="AD2240" i="10"/>
  <c r="AV2240" i="10" s="1"/>
  <c r="W2240" i="10"/>
  <c r="R2240" i="10"/>
  <c r="S2240" i="10" s="1"/>
  <c r="L2240" i="10"/>
  <c r="AM2239" i="10"/>
  <c r="AJ2239" i="10" s="1"/>
  <c r="AD2239" i="10"/>
  <c r="AA2239" i="10" s="1"/>
  <c r="L2239" i="10"/>
  <c r="AZ2238" i="10"/>
  <c r="AZ2237" i="10" s="1"/>
  <c r="AR2238" i="10"/>
  <c r="AR2237" i="10" s="1"/>
  <c r="V2238" i="10"/>
  <c r="V2237" i="10" s="1"/>
  <c r="Q2238" i="10"/>
  <c r="Q2237" i="10" s="1"/>
  <c r="K2238" i="10"/>
  <c r="K2237" i="10" s="1"/>
  <c r="J2238" i="10"/>
  <c r="L2238" i="10" s="1"/>
  <c r="BA2236" i="10"/>
  <c r="BA2235" i="10" s="1"/>
  <c r="BA2234" i="10" s="1"/>
  <c r="AM2236" i="10"/>
  <c r="AM2235" i="10" s="1"/>
  <c r="AJ2236" i="10"/>
  <c r="AD2236" i="10"/>
  <c r="AA2236" i="10" s="1"/>
  <c r="U2235" i="10"/>
  <c r="U2234" i="10" s="1"/>
  <c r="R2236" i="10"/>
  <c r="L2236" i="10"/>
  <c r="AZ2235" i="10"/>
  <c r="AZ2234" i="10" s="1"/>
  <c r="AR2235" i="10"/>
  <c r="V2235" i="10"/>
  <c r="V2234" i="10" s="1"/>
  <c r="Q2235" i="10"/>
  <c r="Q2234" i="10" s="1"/>
  <c r="K2235" i="10"/>
  <c r="K2234" i="10" s="1"/>
  <c r="J2235" i="10"/>
  <c r="J2234" i="10" s="1"/>
  <c r="L2234" i="10" s="1"/>
  <c r="AR2234" i="10"/>
  <c r="AR2233" i="10" s="1"/>
  <c r="BA2231" i="10"/>
  <c r="AS2231" i="10"/>
  <c r="BO2231" i="10" s="1"/>
  <c r="AM2231" i="10"/>
  <c r="AD2231" i="10"/>
  <c r="W2231" i="10"/>
  <c r="R2231" i="10"/>
  <c r="S2231" i="10" s="1"/>
  <c r="L2231" i="10"/>
  <c r="BA2230" i="10"/>
  <c r="AS2230" i="10"/>
  <c r="AO2230" i="10" s="1"/>
  <c r="AM2230" i="10"/>
  <c r="AD2230" i="10"/>
  <c r="W2230" i="10"/>
  <c r="R2230" i="10"/>
  <c r="S2230" i="10" s="1"/>
  <c r="L2230" i="10"/>
  <c r="BA2229" i="10"/>
  <c r="AS2229" i="10"/>
  <c r="BO2229" i="10" s="1"/>
  <c r="AM2229" i="10"/>
  <c r="AJ2229" i="10" s="1"/>
  <c r="AD2229" i="10"/>
  <c r="W2229" i="10"/>
  <c r="R2229" i="10"/>
  <c r="S2229" i="10" s="1"/>
  <c r="L2229" i="10"/>
  <c r="BA2228" i="10"/>
  <c r="AS2228" i="10"/>
  <c r="AM2228" i="10"/>
  <c r="AD2228" i="10"/>
  <c r="W2228" i="10"/>
  <c r="R2228" i="10"/>
  <c r="S2228" i="10" s="1"/>
  <c r="L2228" i="10"/>
  <c r="BA2227" i="10"/>
  <c r="AS2227" i="10"/>
  <c r="AM2227" i="10"/>
  <c r="AD2227" i="10"/>
  <c r="W2227" i="10"/>
  <c r="R2227" i="10"/>
  <c r="S2227" i="10" s="1"/>
  <c r="L2227" i="10"/>
  <c r="AS2226" i="10"/>
  <c r="BO2226" i="10" s="1"/>
  <c r="AM2226" i="10"/>
  <c r="AD2226" i="10"/>
  <c r="W2226" i="10"/>
  <c r="R2226" i="10"/>
  <c r="S2226" i="10" s="1"/>
  <c r="L2226" i="10"/>
  <c r="BA2225" i="10"/>
  <c r="AS2225" i="10"/>
  <c r="BO2225" i="10" s="1"/>
  <c r="AM2225" i="10"/>
  <c r="AN2225" i="10" s="1"/>
  <c r="AD2225" i="10"/>
  <c r="W2225" i="10"/>
  <c r="R2225" i="10"/>
  <c r="S2225" i="10" s="1"/>
  <c r="L2225" i="10"/>
  <c r="BA2224" i="10"/>
  <c r="AS2224" i="10"/>
  <c r="AO2224" i="10" s="1"/>
  <c r="AM2224" i="10"/>
  <c r="AJ2224" i="10" s="1"/>
  <c r="AD2224" i="10"/>
  <c r="AV2224" i="10" s="1"/>
  <c r="L2224" i="10"/>
  <c r="AZ2223" i="10"/>
  <c r="AR2223" i="10"/>
  <c r="V2223" i="10"/>
  <c r="Q2223" i="10"/>
  <c r="K2223" i="10"/>
  <c r="J2223" i="10"/>
  <c r="AY2221" i="10"/>
  <c r="AS2222" i="10"/>
  <c r="AS2221" i="10" s="1"/>
  <c r="AM2222" i="10"/>
  <c r="AD2222" i="10"/>
  <c r="AA2222" i="10"/>
  <c r="R2222" i="10"/>
  <c r="R2221" i="10" s="1"/>
  <c r="S2221" i="10" s="1"/>
  <c r="L2222" i="10"/>
  <c r="AZ2221" i="10"/>
  <c r="AR2221" i="10"/>
  <c r="V2221" i="10"/>
  <c r="Q2221" i="10"/>
  <c r="K2221" i="10"/>
  <c r="J2221" i="10"/>
  <c r="AY2219" i="10"/>
  <c r="AS2220" i="10"/>
  <c r="AM2220" i="10"/>
  <c r="AJ2220" i="10" s="1"/>
  <c r="AD2220" i="10"/>
  <c r="W2220" i="10"/>
  <c r="W2219" i="10" s="1"/>
  <c r="R2220" i="10"/>
  <c r="L2220" i="10"/>
  <c r="AZ2219" i="10"/>
  <c r="AS2219" i="10"/>
  <c r="AR2219" i="10"/>
  <c r="V2219" i="10"/>
  <c r="Q2219" i="10"/>
  <c r="K2219" i="10"/>
  <c r="J2219" i="10"/>
  <c r="L2219" i="10" s="1"/>
  <c r="BA2218" i="10"/>
  <c r="BA2217" i="10" s="1"/>
  <c r="AS2218" i="10"/>
  <c r="BH2218" i="10" s="1"/>
  <c r="AM2218" i="10"/>
  <c r="AJ2218" i="10" s="1"/>
  <c r="AD2218" i="10"/>
  <c r="U2217" i="10"/>
  <c r="L2218" i="10"/>
  <c r="AZ2217" i="10"/>
  <c r="AR2217" i="10"/>
  <c r="V2217" i="10"/>
  <c r="Q2217" i="10"/>
  <c r="K2217" i="10"/>
  <c r="J2217" i="10"/>
  <c r="L2217" i="10" s="1"/>
  <c r="BA2216" i="10"/>
  <c r="BA2215" i="10" s="1"/>
  <c r="AS2216" i="10"/>
  <c r="AM2216" i="10"/>
  <c r="AJ2216" i="10" s="1"/>
  <c r="AD2216" i="10"/>
  <c r="R2216" i="10"/>
  <c r="R2215" i="10" s="1"/>
  <c r="S2215" i="10" s="1"/>
  <c r="L2216" i="10"/>
  <c r="AZ2215" i="10"/>
  <c r="AR2215" i="10"/>
  <c r="V2215" i="10"/>
  <c r="Q2215" i="10"/>
  <c r="K2215" i="10"/>
  <c r="J2215" i="10"/>
  <c r="BA2214" i="10"/>
  <c r="BA2213" i="10" s="1"/>
  <c r="AS2214" i="10"/>
  <c r="AM2214" i="10"/>
  <c r="AD2214" i="10"/>
  <c r="AA2214" i="10" s="1"/>
  <c r="U2213" i="10"/>
  <c r="R2214" i="10"/>
  <c r="R2213" i="10" s="1"/>
  <c r="S2213" i="10" s="1"/>
  <c r="L2214" i="10"/>
  <c r="AZ2213" i="10"/>
  <c r="AR2213" i="10"/>
  <c r="V2213" i="10"/>
  <c r="Q2213" i="10"/>
  <c r="K2213" i="10"/>
  <c r="J2213" i="10"/>
  <c r="AS2212" i="10"/>
  <c r="AM2212" i="10"/>
  <c r="AJ2212" i="10"/>
  <c r="AD2212" i="10"/>
  <c r="L2212" i="10"/>
  <c r="AZ2211" i="10"/>
  <c r="AR2211" i="10"/>
  <c r="AM2211" i="10"/>
  <c r="AJ2211" i="10" s="1"/>
  <c r="AD2211" i="10"/>
  <c r="V2211" i="10"/>
  <c r="Q2211" i="10"/>
  <c r="K2211" i="10"/>
  <c r="J2211" i="10"/>
  <c r="AS2210" i="10"/>
  <c r="BH2210" i="10" s="1"/>
  <c r="BH2209" i="10" s="1"/>
  <c r="AM2210" i="10"/>
  <c r="AD2210" i="10"/>
  <c r="AA2210" i="10" s="1"/>
  <c r="R2210" i="10"/>
  <c r="L2210" i="10"/>
  <c r="AZ2209" i="10"/>
  <c r="AR2209" i="10"/>
  <c r="V2209" i="10"/>
  <c r="Q2209" i="10"/>
  <c r="K2209" i="10"/>
  <c r="J2209" i="10"/>
  <c r="AS2208" i="10"/>
  <c r="AS2207" i="10" s="1"/>
  <c r="AM2208" i="10"/>
  <c r="AJ2208" i="10" s="1"/>
  <c r="AD2208" i="10"/>
  <c r="AA2208" i="10" s="1"/>
  <c r="W2208" i="10"/>
  <c r="W2207" i="10" s="1"/>
  <c r="L2208" i="10"/>
  <c r="AZ2207" i="10"/>
  <c r="AR2207" i="10"/>
  <c r="AM2207" i="10"/>
  <c r="AJ2207" i="10" s="1"/>
  <c r="V2207" i="10"/>
  <c r="Q2207" i="10"/>
  <c r="K2207" i="10"/>
  <c r="J2207" i="10"/>
  <c r="BA2206" i="10"/>
  <c r="BA2205" i="10" s="1"/>
  <c r="AS2206" i="10"/>
  <c r="AO2206" i="10" s="1"/>
  <c r="AM2206" i="10"/>
  <c r="AJ2206" i="10" s="1"/>
  <c r="AD2206" i="10"/>
  <c r="AA2206" i="10" s="1"/>
  <c r="W2206" i="10"/>
  <c r="W2205" i="10" s="1"/>
  <c r="L2206" i="10"/>
  <c r="AZ2205" i="10"/>
  <c r="AS2205" i="10"/>
  <c r="AR2205" i="10"/>
  <c r="AM2205" i="10"/>
  <c r="V2205" i="10"/>
  <c r="Q2205" i="10"/>
  <c r="K2205" i="10"/>
  <c r="J2205" i="10"/>
  <c r="AS2203" i="10"/>
  <c r="AO2203" i="10" s="1"/>
  <c r="AM2203" i="10"/>
  <c r="AD2203" i="10"/>
  <c r="AV2203" i="10" s="1"/>
  <c r="L2203" i="10"/>
  <c r="AZ2202" i="10"/>
  <c r="AR2202" i="10"/>
  <c r="V2202" i="10"/>
  <c r="Q2202" i="10"/>
  <c r="K2202" i="10"/>
  <c r="J2202" i="10"/>
  <c r="L2202" i="10" s="1"/>
  <c r="BA2201" i="10"/>
  <c r="BA2200" i="10" s="1"/>
  <c r="AS2201" i="10"/>
  <c r="AO2201" i="10"/>
  <c r="AM2201" i="10"/>
  <c r="AM2200" i="10" s="1"/>
  <c r="AD2201" i="10"/>
  <c r="AD2200" i="10" s="1"/>
  <c r="P2200" i="10"/>
  <c r="L2201" i="10"/>
  <c r="AZ2200" i="10"/>
  <c r="AR2200" i="10"/>
  <c r="V2200" i="10"/>
  <c r="Q2200" i="10"/>
  <c r="K2200" i="10"/>
  <c r="J2200" i="10"/>
  <c r="L2200" i="10" s="1"/>
  <c r="AM2199" i="10"/>
  <c r="AJ2199" i="10" s="1"/>
  <c r="AD2199" i="10"/>
  <c r="AV2199" i="10" s="1"/>
  <c r="R2199" i="10"/>
  <c r="S2199" i="10" s="1"/>
  <c r="L2199" i="10"/>
  <c r="AZ2198" i="10"/>
  <c r="AR2198" i="10"/>
  <c r="V2198" i="10"/>
  <c r="Q2198" i="10"/>
  <c r="K2198" i="10"/>
  <c r="J2198" i="10"/>
  <c r="BA2197" i="10"/>
  <c r="BA2196" i="10" s="1"/>
  <c r="AS2197" i="10"/>
  <c r="AM2197" i="10"/>
  <c r="AD2197" i="10"/>
  <c r="W2197" i="10"/>
  <c r="W2196" i="10" s="1"/>
  <c r="L2197" i="10"/>
  <c r="AZ2196" i="10"/>
  <c r="AR2196" i="10"/>
  <c r="V2196" i="10"/>
  <c r="Q2196" i="10"/>
  <c r="K2196" i="10"/>
  <c r="J2196" i="10"/>
  <c r="BA2195" i="10"/>
  <c r="AS2195" i="10"/>
  <c r="AO2195" i="10" s="1"/>
  <c r="AM2195" i="10"/>
  <c r="AJ2195" i="10" s="1"/>
  <c r="AD2195" i="10"/>
  <c r="W2195" i="10"/>
  <c r="R2195" i="10"/>
  <c r="S2195" i="10" s="1"/>
  <c r="L2195" i="10"/>
  <c r="BA2194" i="10"/>
  <c r="AS2194" i="10"/>
  <c r="AO2194" i="10" s="1"/>
  <c r="AM2194" i="10"/>
  <c r="AD2194" i="10"/>
  <c r="AV2194" i="10" s="1"/>
  <c r="W2194" i="10"/>
  <c r="R2194" i="10"/>
  <c r="S2194" i="10" s="1"/>
  <c r="L2194" i="10"/>
  <c r="BA2193" i="10"/>
  <c r="AS2193" i="10"/>
  <c r="BH2193" i="10" s="1"/>
  <c r="BM2193" i="10" s="1"/>
  <c r="BO2193" i="10" s="1"/>
  <c r="AM2193" i="10"/>
  <c r="AJ2193" i="10" s="1"/>
  <c r="AD2193" i="10"/>
  <c r="AA2193" i="10"/>
  <c r="W2193" i="10"/>
  <c r="R2193" i="10"/>
  <c r="S2193" i="10" s="1"/>
  <c r="L2193" i="10"/>
  <c r="BA2192" i="10"/>
  <c r="AS2192" i="10"/>
  <c r="AM2192" i="10"/>
  <c r="AD2192" i="10"/>
  <c r="W2192" i="10"/>
  <c r="R2192" i="10"/>
  <c r="S2192" i="10" s="1"/>
  <c r="L2192" i="10"/>
  <c r="BA2191" i="10"/>
  <c r="AS2191" i="10"/>
  <c r="AM2191" i="10"/>
  <c r="AD2191" i="10"/>
  <c r="AV2191" i="10" s="1"/>
  <c r="W2191" i="10"/>
  <c r="R2191" i="10"/>
  <c r="S2191" i="10" s="1"/>
  <c r="L2191" i="10"/>
  <c r="BA2190" i="10"/>
  <c r="AS2190" i="10"/>
  <c r="AM2190" i="10"/>
  <c r="AJ2190" i="10" s="1"/>
  <c r="AD2190" i="10"/>
  <c r="W2190" i="10"/>
  <c r="R2190" i="10"/>
  <c r="S2190" i="10" s="1"/>
  <c r="L2190" i="10"/>
  <c r="BA2189" i="10"/>
  <c r="AM2189" i="10"/>
  <c r="AJ2189" i="10" s="1"/>
  <c r="AD2189" i="10"/>
  <c r="W2189" i="10"/>
  <c r="R2189" i="10"/>
  <c r="S2189" i="10" s="1"/>
  <c r="L2189" i="10"/>
  <c r="BA2188" i="10"/>
  <c r="AS2188" i="10"/>
  <c r="AM2188" i="10"/>
  <c r="AJ2188" i="10" s="1"/>
  <c r="AD2188" i="10"/>
  <c r="W2188" i="10"/>
  <c r="R2188" i="10"/>
  <c r="S2188" i="10" s="1"/>
  <c r="L2188" i="10"/>
  <c r="BA2187" i="10"/>
  <c r="AS2187" i="10"/>
  <c r="BH2187" i="10" s="1"/>
  <c r="BM2187" i="10" s="1"/>
  <c r="BO2187" i="10" s="1"/>
  <c r="AM2187" i="10"/>
  <c r="AJ2187" i="10" s="1"/>
  <c r="AD2187" i="10"/>
  <c r="AV2187" i="10" s="1"/>
  <c r="W2187" i="10"/>
  <c r="R2187" i="10"/>
  <c r="S2187" i="10" s="1"/>
  <c r="L2187" i="10"/>
  <c r="BA2186" i="10"/>
  <c r="AS2186" i="10"/>
  <c r="BH2186" i="10" s="1"/>
  <c r="BM2186" i="10" s="1"/>
  <c r="BO2186" i="10" s="1"/>
  <c r="AM2186" i="10"/>
  <c r="AD2186" i="10"/>
  <c r="W2186" i="10"/>
  <c r="R2186" i="10"/>
  <c r="S2186" i="10" s="1"/>
  <c r="L2186" i="10"/>
  <c r="BA2185" i="10"/>
  <c r="AS2185" i="10"/>
  <c r="BO2185" i="10" s="1"/>
  <c r="AM2185" i="10"/>
  <c r="AJ2185" i="10" s="1"/>
  <c r="AD2185" i="10"/>
  <c r="W2185" i="10"/>
  <c r="R2185" i="10"/>
  <c r="S2185" i="10" s="1"/>
  <c r="L2185" i="10"/>
  <c r="BA2184" i="10"/>
  <c r="AS2184" i="10"/>
  <c r="AM2184" i="10"/>
  <c r="AJ2184" i="10" s="1"/>
  <c r="AD2184" i="10"/>
  <c r="W2184" i="10"/>
  <c r="L2184" i="10"/>
  <c r="BA2183" i="10"/>
  <c r="AS2183" i="10"/>
  <c r="AM2183" i="10"/>
  <c r="AD2183" i="10"/>
  <c r="AA2183" i="10" s="1"/>
  <c r="W2183" i="10"/>
  <c r="R2183" i="10"/>
  <c r="L2183" i="10"/>
  <c r="BA2182" i="10"/>
  <c r="AS2182" i="10"/>
  <c r="AM2182" i="10"/>
  <c r="AJ2182" i="10" s="1"/>
  <c r="AD2182" i="10"/>
  <c r="R2182" i="10"/>
  <c r="S2182" i="10" s="1"/>
  <c r="L2182" i="10"/>
  <c r="AZ2181" i="10"/>
  <c r="AR2181" i="10"/>
  <c r="V2181" i="10"/>
  <c r="Q2181" i="10"/>
  <c r="K2181" i="10"/>
  <c r="J2181" i="10"/>
  <c r="AS2180" i="10"/>
  <c r="AM2180" i="10"/>
  <c r="AJ2180" i="10" s="1"/>
  <c r="AD2180" i="10"/>
  <c r="AV2180" i="10" s="1"/>
  <c r="W2180" i="10"/>
  <c r="W2179" i="10" s="1"/>
  <c r="Q2180" i="10"/>
  <c r="Q2179" i="10" s="1"/>
  <c r="L2180" i="10"/>
  <c r="AR2179" i="10"/>
  <c r="V2179" i="10"/>
  <c r="K2179" i="10"/>
  <c r="J2179" i="10"/>
  <c r="AM2177" i="10"/>
  <c r="AD2177" i="10"/>
  <c r="AA2177" i="10" s="1"/>
  <c r="W2177" i="10"/>
  <c r="W2176" i="10" s="1"/>
  <c r="W2175" i="10" s="1"/>
  <c r="L2177" i="10"/>
  <c r="AZ2176" i="10"/>
  <c r="AZ2175" i="10" s="1"/>
  <c r="AR2176" i="10"/>
  <c r="AR2175" i="10" s="1"/>
  <c r="V2176" i="10"/>
  <c r="V2175" i="10" s="1"/>
  <c r="Q2176" i="10"/>
  <c r="Q2175" i="10" s="1"/>
  <c r="K2176" i="10"/>
  <c r="K2175" i="10" s="1"/>
  <c r="J2176" i="10"/>
  <c r="BA2174" i="10"/>
  <c r="AS2174" i="10"/>
  <c r="AO2174" i="10" s="1"/>
  <c r="AM2174" i="10"/>
  <c r="AJ2174" i="10" s="1"/>
  <c r="AD2174" i="10"/>
  <c r="W2174" i="10"/>
  <c r="R2174" i="10"/>
  <c r="S2174" i="10" s="1"/>
  <c r="L2174" i="10"/>
  <c r="BA2173" i="10"/>
  <c r="AS2173" i="10"/>
  <c r="AM2173" i="10"/>
  <c r="AD2173" i="10"/>
  <c r="W2173" i="10"/>
  <c r="R2173" i="10"/>
  <c r="S2173" i="10" s="1"/>
  <c r="L2173" i="10"/>
  <c r="BA2172" i="10"/>
  <c r="AS2172" i="10"/>
  <c r="AM2172" i="10"/>
  <c r="AD2172" i="10"/>
  <c r="AV2172" i="10" s="1"/>
  <c r="W2172" i="10"/>
  <c r="R2172" i="10"/>
  <c r="S2172" i="10" s="1"/>
  <c r="L2172" i="10"/>
  <c r="BA2171" i="10"/>
  <c r="AS2171" i="10"/>
  <c r="BO2171" i="10" s="1"/>
  <c r="AM2171" i="10"/>
  <c r="AJ2171" i="10" s="1"/>
  <c r="AD2171" i="10"/>
  <c r="W2171" i="10"/>
  <c r="R2171" i="10"/>
  <c r="S2171" i="10" s="1"/>
  <c r="L2171" i="10"/>
  <c r="BA2170" i="10"/>
  <c r="AS2170" i="10"/>
  <c r="BO2170" i="10" s="1"/>
  <c r="AM2170" i="10"/>
  <c r="AD2170" i="10"/>
  <c r="W2170" i="10"/>
  <c r="R2170" i="10"/>
  <c r="S2170" i="10" s="1"/>
  <c r="L2170" i="10"/>
  <c r="BA2169" i="10"/>
  <c r="AS2169" i="10"/>
  <c r="AM2169" i="10"/>
  <c r="AD2169" i="10"/>
  <c r="AA2169" i="10" s="1"/>
  <c r="W2169" i="10"/>
  <c r="R2169" i="10"/>
  <c r="S2169" i="10" s="1"/>
  <c r="L2169" i="10"/>
  <c r="BA2168" i="10"/>
  <c r="AS2168" i="10"/>
  <c r="AM2168" i="10"/>
  <c r="AJ2168" i="10" s="1"/>
  <c r="AD2168" i="10"/>
  <c r="W2168" i="10"/>
  <c r="R2168" i="10"/>
  <c r="S2168" i="10" s="1"/>
  <c r="L2168" i="10"/>
  <c r="BA2167" i="10"/>
  <c r="AS2167" i="10"/>
  <c r="AM2167" i="10"/>
  <c r="AD2167" i="10"/>
  <c r="W2167" i="10"/>
  <c r="R2167" i="10"/>
  <c r="S2167" i="10" s="1"/>
  <c r="L2167" i="10"/>
  <c r="BA2166" i="10"/>
  <c r="AS2166" i="10"/>
  <c r="BH2166" i="10" s="1"/>
  <c r="BM2166" i="10" s="1"/>
  <c r="AM2166" i="10"/>
  <c r="AJ2166" i="10"/>
  <c r="AD2166" i="10"/>
  <c r="Q2166" i="10"/>
  <c r="L2166" i="10"/>
  <c r="BA2165" i="10"/>
  <c r="AS2165" i="10"/>
  <c r="BH2165" i="10" s="1"/>
  <c r="BM2165" i="10" s="1"/>
  <c r="AM2165" i="10"/>
  <c r="AD2165" i="10"/>
  <c r="W2165" i="10"/>
  <c r="R2165" i="10"/>
  <c r="S2165" i="10" s="1"/>
  <c r="L2165" i="10"/>
  <c r="BA2164" i="10"/>
  <c r="AS2164" i="10"/>
  <c r="AO2164" i="10" s="1"/>
  <c r="AM2164" i="10"/>
  <c r="AD2164" i="10"/>
  <c r="Q2164" i="10"/>
  <c r="V2164" i="10" s="1"/>
  <c r="L2164" i="10"/>
  <c r="AZ2163" i="10"/>
  <c r="AZ2162" i="10" s="1"/>
  <c r="AZ2161" i="10" s="1"/>
  <c r="BA2163" i="10"/>
  <c r="AS2163" i="10"/>
  <c r="AM2163" i="10"/>
  <c r="AJ2163" i="10"/>
  <c r="AD2163" i="10"/>
  <c r="AA2163" i="10" s="1"/>
  <c r="W2163" i="10"/>
  <c r="Q2163" i="10"/>
  <c r="L2163" i="10"/>
  <c r="AR2162" i="10"/>
  <c r="AR2161" i="10" s="1"/>
  <c r="K2162" i="10"/>
  <c r="K2161" i="10" s="1"/>
  <c r="J2162" i="10"/>
  <c r="J2161" i="10" s="1"/>
  <c r="BA2159" i="10"/>
  <c r="AS2159" i="10"/>
  <c r="AM2159" i="10"/>
  <c r="AJ2159" i="10"/>
  <c r="AD2159" i="10"/>
  <c r="W2159" i="10"/>
  <c r="R2159" i="10"/>
  <c r="L2159" i="10"/>
  <c r="BA2158" i="10"/>
  <c r="AS2158" i="10"/>
  <c r="BH2158" i="10" s="1"/>
  <c r="BM2158" i="10" s="1"/>
  <c r="BO2158" i="10" s="1"/>
  <c r="AM2158" i="10"/>
  <c r="AJ2158" i="10" s="1"/>
  <c r="AD2158" i="10"/>
  <c r="W2158" i="10"/>
  <c r="R2158" i="10"/>
  <c r="L2158" i="10"/>
  <c r="BA2157" i="10"/>
  <c r="AS2157" i="10"/>
  <c r="AO2157" i="10" s="1"/>
  <c r="AM2157" i="10"/>
  <c r="AJ2157" i="10" s="1"/>
  <c r="AD2157" i="10"/>
  <c r="AU2157" i="10" s="1"/>
  <c r="W2157" i="10"/>
  <c r="R2157" i="10"/>
  <c r="L2157" i="10"/>
  <c r="BA2156" i="10"/>
  <c r="AS2156" i="10"/>
  <c r="AM2156" i="10"/>
  <c r="AD2156" i="10"/>
  <c r="W2156" i="10"/>
  <c r="R2156" i="10"/>
  <c r="L2156" i="10"/>
  <c r="BA2155" i="10"/>
  <c r="AS2155" i="10"/>
  <c r="AM2155" i="10"/>
  <c r="AJ2155" i="10" s="1"/>
  <c r="AD2155" i="10"/>
  <c r="AA2155" i="10" s="1"/>
  <c r="W2155" i="10"/>
  <c r="R2155" i="10"/>
  <c r="L2155" i="10"/>
  <c r="BA2154" i="10"/>
  <c r="AS2154" i="10"/>
  <c r="AM2154" i="10"/>
  <c r="AD2154" i="10"/>
  <c r="AV2154" i="10" s="1"/>
  <c r="W2154" i="10"/>
  <c r="R2154" i="10"/>
  <c r="L2154" i="10"/>
  <c r="AS2153" i="10"/>
  <c r="AO2153" i="10" s="1"/>
  <c r="AM2153" i="10"/>
  <c r="AD2153" i="10"/>
  <c r="AV2153" i="10" s="1"/>
  <c r="W2153" i="10"/>
  <c r="R2153" i="10"/>
  <c r="L2153" i="10"/>
  <c r="AS2152" i="10"/>
  <c r="AM2152" i="10"/>
  <c r="AJ2152" i="10" s="1"/>
  <c r="AD2152" i="10"/>
  <c r="W2152" i="10"/>
  <c r="R2152" i="10"/>
  <c r="L2152" i="10"/>
  <c r="BA2151" i="10"/>
  <c r="AS2151" i="10"/>
  <c r="BH2151" i="10" s="1"/>
  <c r="BM2151" i="10" s="1"/>
  <c r="BO2151" i="10" s="1"/>
  <c r="AM2151" i="10"/>
  <c r="AJ2151" i="10" s="1"/>
  <c r="AD2151" i="10"/>
  <c r="W2151" i="10"/>
  <c r="R2151" i="10"/>
  <c r="L2151" i="10"/>
  <c r="BA2150" i="10"/>
  <c r="AS2150" i="10"/>
  <c r="BH2150" i="10" s="1"/>
  <c r="BM2150" i="10" s="1"/>
  <c r="AO2150" i="10"/>
  <c r="AM2150" i="10"/>
  <c r="AD2150" i="10"/>
  <c r="W2150" i="10"/>
  <c r="R2150" i="10"/>
  <c r="L2150" i="10"/>
  <c r="BA2149" i="10"/>
  <c r="AS2149" i="10"/>
  <c r="BO2149" i="10" s="1"/>
  <c r="AM2149" i="10"/>
  <c r="AD2149" i="10"/>
  <c r="W2149" i="10"/>
  <c r="R2149" i="10"/>
  <c r="L2149" i="10"/>
  <c r="AZ2148" i="10"/>
  <c r="BA2148" i="10" s="1"/>
  <c r="AS2148" i="10"/>
  <c r="AM2148" i="10"/>
  <c r="AD2148" i="10"/>
  <c r="W2148" i="10"/>
  <c r="R2148" i="10"/>
  <c r="L2148" i="10"/>
  <c r="AS2147" i="10"/>
  <c r="AO2147" i="10" s="1"/>
  <c r="AM2147" i="10"/>
  <c r="AJ2147" i="10" s="1"/>
  <c r="AD2147" i="10"/>
  <c r="AA2147" i="10"/>
  <c r="W2147" i="10"/>
  <c r="R2147" i="10"/>
  <c r="L2147" i="10"/>
  <c r="AR2146" i="10"/>
  <c r="V2146" i="10"/>
  <c r="Q2146" i="10"/>
  <c r="Q2145" i="10" s="1"/>
  <c r="K2146" i="10"/>
  <c r="K2145" i="10" s="1"/>
  <c r="J2146" i="10"/>
  <c r="AR2145" i="10"/>
  <c r="V2145" i="10"/>
  <c r="AS2144" i="10"/>
  <c r="BH2144" i="10" s="1"/>
  <c r="BM2144" i="10" s="1"/>
  <c r="AM2144" i="10"/>
  <c r="AD2144" i="10"/>
  <c r="AV2144" i="10" s="1"/>
  <c r="W2144" i="10"/>
  <c r="R2144" i="10"/>
  <c r="L2144" i="10"/>
  <c r="BA2143" i="10"/>
  <c r="AS2143" i="10"/>
  <c r="BH2143" i="10" s="1"/>
  <c r="BM2143" i="10" s="1"/>
  <c r="BO2143" i="10" s="1"/>
  <c r="AM2143" i="10"/>
  <c r="AD2143" i="10"/>
  <c r="W2143" i="10"/>
  <c r="R2143" i="10"/>
  <c r="L2143" i="10"/>
  <c r="BA2142" i="10"/>
  <c r="AS2142" i="10"/>
  <c r="AM2142" i="10"/>
  <c r="AD2142" i="10"/>
  <c r="W2142" i="10"/>
  <c r="R2142" i="10"/>
  <c r="L2142" i="10"/>
  <c r="BA2141" i="10"/>
  <c r="AS2141" i="10"/>
  <c r="AM2141" i="10"/>
  <c r="AD2141" i="10"/>
  <c r="W2141" i="10"/>
  <c r="R2141" i="10"/>
  <c r="L2141" i="10"/>
  <c r="BA2140" i="10"/>
  <c r="AS2140" i="10"/>
  <c r="AM2140" i="10"/>
  <c r="AJ2140" i="10" s="1"/>
  <c r="AD2140" i="10"/>
  <c r="AA2140" i="10" s="1"/>
  <c r="W2140" i="10"/>
  <c r="R2140" i="10"/>
  <c r="L2140" i="10"/>
  <c r="BA2139" i="10"/>
  <c r="AS2139" i="10"/>
  <c r="BH2139" i="10" s="1"/>
  <c r="BM2139" i="10" s="1"/>
  <c r="BO2139" i="10" s="1"/>
  <c r="AM2139" i="10"/>
  <c r="AN2139" i="10" s="1"/>
  <c r="AD2139" i="10"/>
  <c r="W2139" i="10"/>
  <c r="R2139" i="10"/>
  <c r="L2139" i="10"/>
  <c r="BA2138" i="10"/>
  <c r="AS2138" i="10"/>
  <c r="AM2138" i="10"/>
  <c r="AJ2138" i="10"/>
  <c r="AD2138" i="10"/>
  <c r="W2138" i="10"/>
  <c r="R2138" i="10"/>
  <c r="L2138" i="10"/>
  <c r="AZ2137" i="10"/>
  <c r="BA2137" i="10" s="1"/>
  <c r="AS2137" i="10"/>
  <c r="AM2137" i="10"/>
  <c r="AJ2137" i="10"/>
  <c r="AD2137" i="10"/>
  <c r="AV2137" i="10" s="1"/>
  <c r="AA2137" i="10"/>
  <c r="W2137" i="10"/>
  <c r="R2137" i="10"/>
  <c r="L2137" i="10"/>
  <c r="AZ2136" i="10"/>
  <c r="BA2136" i="10" s="1"/>
  <c r="AS2136" i="10"/>
  <c r="AO2136" i="10" s="1"/>
  <c r="AM2136" i="10"/>
  <c r="AJ2136" i="10" s="1"/>
  <c r="AD2136" i="10"/>
  <c r="AV2136" i="10" s="1"/>
  <c r="AA2136" i="10"/>
  <c r="W2136" i="10"/>
  <c r="R2136" i="10"/>
  <c r="L2136" i="10"/>
  <c r="AZ2135" i="10"/>
  <c r="BA2135" i="10" s="1"/>
  <c r="AS2135" i="10"/>
  <c r="AM2135" i="10"/>
  <c r="AJ2135" i="10" s="1"/>
  <c r="AD2135" i="10"/>
  <c r="W2135" i="10"/>
  <c r="R2135" i="10"/>
  <c r="L2135" i="10"/>
  <c r="AZ2134" i="10"/>
  <c r="BA2134" i="10" s="1"/>
  <c r="AS2134" i="10"/>
  <c r="AM2134" i="10"/>
  <c r="AJ2134" i="10" s="1"/>
  <c r="AD2134" i="10"/>
  <c r="W2134" i="10"/>
  <c r="R2134" i="10"/>
  <c r="L2134" i="10"/>
  <c r="AZ2133" i="10"/>
  <c r="BA2133" i="10" s="1"/>
  <c r="AS2133" i="10"/>
  <c r="AM2133" i="10"/>
  <c r="AD2133" i="10"/>
  <c r="W2133" i="10"/>
  <c r="R2133" i="10"/>
  <c r="L2133" i="10"/>
  <c r="AZ2132" i="10"/>
  <c r="BA2132" i="10" s="1"/>
  <c r="AS2132" i="10"/>
  <c r="AM2132" i="10"/>
  <c r="AD2132" i="10"/>
  <c r="AV2132" i="10" s="1"/>
  <c r="W2132" i="10"/>
  <c r="R2132" i="10"/>
  <c r="L2132" i="10"/>
  <c r="BA2131" i="10"/>
  <c r="AS2131" i="10"/>
  <c r="AO2131" i="10" s="1"/>
  <c r="AM2131" i="10"/>
  <c r="AJ2131" i="10" s="1"/>
  <c r="AD2131" i="10"/>
  <c r="AA2131" i="10"/>
  <c r="W2131" i="10"/>
  <c r="R2131" i="10"/>
  <c r="L2131" i="10"/>
  <c r="AZ2130" i="10"/>
  <c r="AS2130" i="10"/>
  <c r="AM2130" i="10"/>
  <c r="AD2130" i="10"/>
  <c r="W2130" i="10"/>
  <c r="R2130" i="10"/>
  <c r="L2130" i="10"/>
  <c r="AS2129" i="10"/>
  <c r="AO2129" i="10" s="1"/>
  <c r="AM2129" i="10"/>
  <c r="AJ2129" i="10" s="1"/>
  <c r="AD2129" i="10"/>
  <c r="W2129" i="10"/>
  <c r="R2129" i="10"/>
  <c r="L2129" i="10"/>
  <c r="AZ2128" i="10"/>
  <c r="AS2128" i="10"/>
  <c r="AM2128" i="10"/>
  <c r="AD2128" i="10"/>
  <c r="W2128" i="10"/>
  <c r="R2128" i="10"/>
  <c r="L2128" i="10"/>
  <c r="AS2127" i="10"/>
  <c r="AM2127" i="10"/>
  <c r="AJ2127" i="10" s="1"/>
  <c r="AD2127" i="10"/>
  <c r="AV2127" i="10" s="1"/>
  <c r="W2127" i="10"/>
  <c r="R2127" i="10"/>
  <c r="L2127" i="10"/>
  <c r="AZ2126" i="10"/>
  <c r="BA2126" i="10" s="1"/>
  <c r="AS2126" i="10"/>
  <c r="BH2126" i="10" s="1"/>
  <c r="BM2126" i="10" s="1"/>
  <c r="BO2126" i="10" s="1"/>
  <c r="AM2126" i="10"/>
  <c r="AD2126" i="10"/>
  <c r="AV2126" i="10" s="1"/>
  <c r="AA2126" i="10"/>
  <c r="W2126" i="10"/>
  <c r="R2126" i="10"/>
  <c r="L2126" i="10"/>
  <c r="AZ2125" i="10"/>
  <c r="AS2125" i="10"/>
  <c r="AO2125" i="10" s="1"/>
  <c r="AM2125" i="10"/>
  <c r="AD2125" i="10"/>
  <c r="AV2125" i="10" s="1"/>
  <c r="W2125" i="10"/>
  <c r="R2125" i="10"/>
  <c r="L2125" i="10"/>
  <c r="AZ2124" i="10"/>
  <c r="AS2124" i="10"/>
  <c r="AM2124" i="10"/>
  <c r="AJ2124" i="10" s="1"/>
  <c r="AD2124" i="10"/>
  <c r="W2124" i="10"/>
  <c r="R2124" i="10"/>
  <c r="L2124" i="10"/>
  <c r="AS2123" i="10"/>
  <c r="AM2123" i="10"/>
  <c r="AJ2123" i="10" s="1"/>
  <c r="AD2123" i="10"/>
  <c r="W2123" i="10"/>
  <c r="R2123" i="10"/>
  <c r="L2123" i="10"/>
  <c r="AS2122" i="10"/>
  <c r="BH2122" i="10" s="1"/>
  <c r="BM2122" i="10" s="1"/>
  <c r="BO2122" i="10" s="1"/>
  <c r="AM2122" i="10"/>
  <c r="AD2122" i="10"/>
  <c r="AV2122" i="10" s="1"/>
  <c r="W2122" i="10"/>
  <c r="R2122" i="10"/>
  <c r="L2122" i="10"/>
  <c r="AS2121" i="10"/>
  <c r="AM2121" i="10"/>
  <c r="AJ2121" i="10" s="1"/>
  <c r="AD2121" i="10"/>
  <c r="W2121" i="10"/>
  <c r="R2121" i="10"/>
  <c r="L2121" i="10"/>
  <c r="AZ2120" i="10"/>
  <c r="BA2120" i="10" s="1"/>
  <c r="AS2120" i="10"/>
  <c r="BH2120" i="10" s="1"/>
  <c r="BM2120" i="10" s="1"/>
  <c r="BO2120" i="10" s="1"/>
  <c r="AM2120" i="10"/>
  <c r="AD2120" i="10"/>
  <c r="W2120" i="10"/>
  <c r="R2120" i="10"/>
  <c r="L2120" i="10"/>
  <c r="AS2119" i="10"/>
  <c r="AM2119" i="10"/>
  <c r="AN2119" i="10" s="1"/>
  <c r="AD2119" i="10"/>
  <c r="AA2119" i="10" s="1"/>
  <c r="W2119" i="10"/>
  <c r="R2119" i="10"/>
  <c r="L2119" i="10"/>
  <c r="AS2118" i="10"/>
  <c r="AM2118" i="10"/>
  <c r="AJ2118" i="10" s="1"/>
  <c r="AD2118" i="10"/>
  <c r="AV2118" i="10" s="1"/>
  <c r="W2118" i="10"/>
  <c r="R2118" i="10"/>
  <c r="L2118" i="10"/>
  <c r="AS2117" i="10"/>
  <c r="BH2117" i="10" s="1"/>
  <c r="BM2117" i="10" s="1"/>
  <c r="BO2117" i="10" s="1"/>
  <c r="AM2117" i="10"/>
  <c r="AJ2117" i="10"/>
  <c r="AD2117" i="10"/>
  <c r="W2117" i="10"/>
  <c r="R2117" i="10"/>
  <c r="L2117" i="10"/>
  <c r="BA2116" i="10"/>
  <c r="AS2116" i="10"/>
  <c r="BH2116" i="10" s="1"/>
  <c r="BM2116" i="10" s="1"/>
  <c r="BO2116" i="10" s="1"/>
  <c r="AM2116" i="10"/>
  <c r="AD2116" i="10"/>
  <c r="AA2116" i="10"/>
  <c r="W2116" i="10"/>
  <c r="R2116" i="10"/>
  <c r="L2116" i="10"/>
  <c r="BA2115" i="10"/>
  <c r="AS2115" i="10"/>
  <c r="BH2115" i="10" s="1"/>
  <c r="BM2115" i="10" s="1"/>
  <c r="BO2115" i="10" s="1"/>
  <c r="AM2115" i="10"/>
  <c r="AJ2115" i="10" s="1"/>
  <c r="AD2115" i="10"/>
  <c r="W2115" i="10"/>
  <c r="R2115" i="10"/>
  <c r="L2115" i="10"/>
  <c r="BA2114" i="10"/>
  <c r="AS2114" i="10"/>
  <c r="AM2114" i="10"/>
  <c r="AD2114" i="10"/>
  <c r="W2114" i="10"/>
  <c r="R2114" i="10"/>
  <c r="L2114" i="10"/>
  <c r="BA2113" i="10"/>
  <c r="AS2113" i="10"/>
  <c r="AO2113" i="10" s="1"/>
  <c r="AM2113" i="10"/>
  <c r="AJ2113" i="10"/>
  <c r="AD2113" i="10"/>
  <c r="W2113" i="10"/>
  <c r="R2113" i="10"/>
  <c r="L2113" i="10"/>
  <c r="BA2112" i="10"/>
  <c r="AS2112" i="10"/>
  <c r="AO2112" i="10" s="1"/>
  <c r="AM2112" i="10"/>
  <c r="AJ2112" i="10" s="1"/>
  <c r="AD2112" i="10"/>
  <c r="AA2112" i="10" s="1"/>
  <c r="W2112" i="10"/>
  <c r="R2112" i="10"/>
  <c r="L2112" i="10"/>
  <c r="BA2111" i="10"/>
  <c r="AS2111" i="10"/>
  <c r="AO2111" i="10" s="1"/>
  <c r="AM2111" i="10"/>
  <c r="AJ2111" i="10" s="1"/>
  <c r="AD2111" i="10"/>
  <c r="W2111" i="10"/>
  <c r="R2111" i="10"/>
  <c r="L2111" i="10"/>
  <c r="BA2110" i="10"/>
  <c r="AS2110" i="10"/>
  <c r="AO2110" i="10" s="1"/>
  <c r="AM2110" i="10"/>
  <c r="AD2110" i="10"/>
  <c r="AV2110" i="10" s="1"/>
  <c r="W2110" i="10"/>
  <c r="R2110" i="10"/>
  <c r="L2110" i="10"/>
  <c r="BA2109" i="10"/>
  <c r="AS2109" i="10"/>
  <c r="BH2109" i="10" s="1"/>
  <c r="BM2109" i="10" s="1"/>
  <c r="BO2109" i="10" s="1"/>
  <c r="AM2109" i="10"/>
  <c r="AD2109" i="10"/>
  <c r="AA2109" i="10" s="1"/>
  <c r="W2109" i="10"/>
  <c r="R2109" i="10"/>
  <c r="L2109" i="10"/>
  <c r="BA2108" i="10"/>
  <c r="AS2108" i="10"/>
  <c r="AM2108" i="10"/>
  <c r="AD2108" i="10"/>
  <c r="AA2108" i="10" s="1"/>
  <c r="W2108" i="10"/>
  <c r="R2108" i="10"/>
  <c r="L2108" i="10"/>
  <c r="BA2107" i="10"/>
  <c r="AS2107" i="10"/>
  <c r="AM2107" i="10"/>
  <c r="AD2107" i="10"/>
  <c r="W2107" i="10"/>
  <c r="R2107" i="10"/>
  <c r="L2107" i="10"/>
  <c r="BA2106" i="10"/>
  <c r="AS2106" i="10"/>
  <c r="AM2106" i="10"/>
  <c r="AJ2106" i="10" s="1"/>
  <c r="AD2106" i="10"/>
  <c r="W2106" i="10"/>
  <c r="R2106" i="10"/>
  <c r="L2106" i="10"/>
  <c r="AZ2105" i="10"/>
  <c r="AS2105" i="10"/>
  <c r="AM2105" i="10"/>
  <c r="AJ2105" i="10"/>
  <c r="AD2105" i="10"/>
  <c r="AU2105" i="10" s="1"/>
  <c r="W2105" i="10"/>
  <c r="R2105" i="10"/>
  <c r="L2105" i="10"/>
  <c r="AZ2104" i="10"/>
  <c r="BA2104" i="10" s="1"/>
  <c r="AS2104" i="10"/>
  <c r="BH2104" i="10" s="1"/>
  <c r="BM2104" i="10" s="1"/>
  <c r="BO2104" i="10" s="1"/>
  <c r="AM2104" i="10"/>
  <c r="AJ2104" i="10" s="1"/>
  <c r="AD2104" i="10"/>
  <c r="AA2104" i="10" s="1"/>
  <c r="W2104" i="10"/>
  <c r="R2104" i="10"/>
  <c r="L2104" i="10"/>
  <c r="BA2103" i="10"/>
  <c r="AS2103" i="10"/>
  <c r="AM2103" i="10"/>
  <c r="AJ2103" i="10"/>
  <c r="AD2103" i="10"/>
  <c r="W2103" i="10"/>
  <c r="R2103" i="10"/>
  <c r="L2103" i="10"/>
  <c r="BA2102" i="10"/>
  <c r="AS2102" i="10"/>
  <c r="AM2102" i="10"/>
  <c r="AD2102" i="10"/>
  <c r="AV2102" i="10" s="1"/>
  <c r="W2102" i="10"/>
  <c r="R2102" i="10"/>
  <c r="L2102" i="10"/>
  <c r="AZ2101" i="10"/>
  <c r="BA2101" i="10" s="1"/>
  <c r="AS2101" i="10"/>
  <c r="AO2101" i="10" s="1"/>
  <c r="AM2101" i="10"/>
  <c r="AD2101" i="10"/>
  <c r="W2101" i="10"/>
  <c r="R2101" i="10"/>
  <c r="L2101" i="10"/>
  <c r="AZ2100" i="10"/>
  <c r="AS2100" i="10"/>
  <c r="AM2100" i="10"/>
  <c r="AD2100" i="10"/>
  <c r="W2100" i="10"/>
  <c r="R2100" i="10"/>
  <c r="L2100" i="10"/>
  <c r="AS2099" i="10"/>
  <c r="AO2099" i="10" s="1"/>
  <c r="AM2099" i="10"/>
  <c r="AD2099" i="10"/>
  <c r="AA2099" i="10" s="1"/>
  <c r="W2099" i="10"/>
  <c r="R2099" i="10"/>
  <c r="L2099" i="10"/>
  <c r="BA2098" i="10"/>
  <c r="AS2098" i="10"/>
  <c r="AO2098" i="10" s="1"/>
  <c r="AM2098" i="10"/>
  <c r="AD2098" i="10"/>
  <c r="AV2098" i="10" s="1"/>
  <c r="W2098" i="10"/>
  <c r="R2098" i="10"/>
  <c r="L2098" i="10"/>
  <c r="BA2097" i="10"/>
  <c r="AS2097" i="10"/>
  <c r="AM2097" i="10"/>
  <c r="AD2097" i="10"/>
  <c r="W2097" i="10"/>
  <c r="R2097" i="10"/>
  <c r="L2097" i="10"/>
  <c r="AS2096" i="10"/>
  <c r="AO2096" i="10" s="1"/>
  <c r="AM2096" i="10"/>
  <c r="AJ2096" i="10" s="1"/>
  <c r="AD2096" i="10"/>
  <c r="AV2096" i="10" s="1"/>
  <c r="AA2096" i="10"/>
  <c r="W2096" i="10"/>
  <c r="R2096" i="10"/>
  <c r="L2096" i="10"/>
  <c r="AS2095" i="10"/>
  <c r="AM2095" i="10"/>
  <c r="AD2095" i="10"/>
  <c r="W2095" i="10"/>
  <c r="R2095" i="10"/>
  <c r="L2095" i="10"/>
  <c r="AZ2094" i="10"/>
  <c r="BA2094" i="10" s="1"/>
  <c r="AS2094" i="10"/>
  <c r="AM2094" i="10"/>
  <c r="AJ2094" i="10" s="1"/>
  <c r="AD2094" i="10"/>
  <c r="R2094" i="10"/>
  <c r="L2094" i="10"/>
  <c r="AZ2093" i="10"/>
  <c r="AM2093" i="10"/>
  <c r="AD2093" i="10"/>
  <c r="W2093" i="10"/>
  <c r="L2093" i="10"/>
  <c r="AR2092" i="10"/>
  <c r="AR2091" i="10" s="1"/>
  <c r="V2092" i="10"/>
  <c r="V2091" i="10" s="1"/>
  <c r="Q2092" i="10"/>
  <c r="Q2091" i="10" s="1"/>
  <c r="K2092" i="10"/>
  <c r="K2091" i="10" s="1"/>
  <c r="J2092" i="10"/>
  <c r="AS2089" i="10"/>
  <c r="BH2089" i="10" s="1"/>
  <c r="AM2089" i="10"/>
  <c r="AJ2089" i="10" s="1"/>
  <c r="AD2089" i="10"/>
  <c r="W2089" i="10"/>
  <c r="W2088" i="10" s="1"/>
  <c r="W2087" i="10" s="1"/>
  <c r="W2086" i="10" s="1"/>
  <c r="P2088" i="10"/>
  <c r="P2087" i="10" s="1"/>
  <c r="P2086" i="10" s="1"/>
  <c r="L2089" i="10"/>
  <c r="AZ2088" i="10"/>
  <c r="AZ2087" i="10" s="1"/>
  <c r="AZ2086" i="10" s="1"/>
  <c r="AR2088" i="10"/>
  <c r="AR2087" i="10" s="1"/>
  <c r="V2088" i="10"/>
  <c r="V2087" i="10" s="1"/>
  <c r="V2086" i="10" s="1"/>
  <c r="Q2088" i="10"/>
  <c r="Q2087" i="10" s="1"/>
  <c r="Q2086" i="10" s="1"/>
  <c r="K2088" i="10"/>
  <c r="J2088" i="10"/>
  <c r="K2087" i="10"/>
  <c r="K2086" i="10" s="1"/>
  <c r="AR2086" i="10"/>
  <c r="BA2085" i="10"/>
  <c r="BA2084" i="10" s="1"/>
  <c r="BA2083" i="10" s="1"/>
  <c r="BA2082" i="10" s="1"/>
  <c r="AS2085" i="10"/>
  <c r="AM2085" i="10"/>
  <c r="AD2085" i="10"/>
  <c r="AA2085" i="10" s="1"/>
  <c r="P2084" i="10"/>
  <c r="P2083" i="10" s="1"/>
  <c r="P2082" i="10" s="1"/>
  <c r="L2085" i="10"/>
  <c r="AZ2084" i="10"/>
  <c r="AZ2083" i="10" s="1"/>
  <c r="AZ2082" i="10" s="1"/>
  <c r="AR2084" i="10"/>
  <c r="AR2083" i="10" s="1"/>
  <c r="AR2082" i="10" s="1"/>
  <c r="V2084" i="10"/>
  <c r="V2083" i="10" s="1"/>
  <c r="V2082" i="10" s="1"/>
  <c r="Q2084" i="10"/>
  <c r="Q2083" i="10" s="1"/>
  <c r="Q2082" i="10" s="1"/>
  <c r="K2084" i="10"/>
  <c r="K2083" i="10" s="1"/>
  <c r="K2082" i="10" s="1"/>
  <c r="J2084" i="10"/>
  <c r="J2083" i="10"/>
  <c r="J2082" i="10" s="1"/>
  <c r="BA2081" i="10"/>
  <c r="AS2081" i="10"/>
  <c r="AM2081" i="10"/>
  <c r="AD2081" i="10"/>
  <c r="AV2081" i="10" s="1"/>
  <c r="AA2081" i="10"/>
  <c r="W2081" i="10"/>
  <c r="R2081" i="10"/>
  <c r="S2081" i="10" s="1"/>
  <c r="L2081" i="10"/>
  <c r="BA2080" i="10"/>
  <c r="AS2080" i="10"/>
  <c r="AO2080" i="10" s="1"/>
  <c r="AM2080" i="10"/>
  <c r="AJ2080" i="10" s="1"/>
  <c r="AD2080" i="10"/>
  <c r="W2080" i="10"/>
  <c r="R2080" i="10"/>
  <c r="S2080" i="10" s="1"/>
  <c r="L2080" i="10"/>
  <c r="BA2079" i="10"/>
  <c r="AS2079" i="10"/>
  <c r="AO2079" i="10" s="1"/>
  <c r="AM2079" i="10"/>
  <c r="AD2079" i="10"/>
  <c r="AV2079" i="10" s="1"/>
  <c r="AA2079" i="10"/>
  <c r="W2079" i="10"/>
  <c r="R2079" i="10"/>
  <c r="S2079" i="10" s="1"/>
  <c r="L2079" i="10"/>
  <c r="BA2078" i="10"/>
  <c r="AS2078" i="10"/>
  <c r="AM2078" i="10"/>
  <c r="AD2078" i="10"/>
  <c r="W2078" i="10"/>
  <c r="R2078" i="10"/>
  <c r="S2078" i="10" s="1"/>
  <c r="L2078" i="10"/>
  <c r="BA2077" i="10"/>
  <c r="AS2077" i="10"/>
  <c r="AM2077" i="10"/>
  <c r="AJ2077" i="10" s="1"/>
  <c r="AD2077" i="10"/>
  <c r="W2077" i="10"/>
  <c r="R2077" i="10"/>
  <c r="S2077" i="10" s="1"/>
  <c r="L2077" i="10"/>
  <c r="BA2076" i="10"/>
  <c r="AS2076" i="10"/>
  <c r="AM2076" i="10"/>
  <c r="AJ2076" i="10" s="1"/>
  <c r="AD2076" i="10"/>
  <c r="W2076" i="10"/>
  <c r="R2076" i="10"/>
  <c r="S2076" i="10" s="1"/>
  <c r="L2076" i="10"/>
  <c r="BA2075" i="10"/>
  <c r="AS2075" i="10"/>
  <c r="BO2075" i="10" s="1"/>
  <c r="AM2075" i="10"/>
  <c r="AD2075" i="10"/>
  <c r="W2075" i="10"/>
  <c r="R2075" i="10"/>
  <c r="S2075" i="10" s="1"/>
  <c r="L2075" i="10"/>
  <c r="BA2074" i="10"/>
  <c r="AS2074" i="10"/>
  <c r="AO2074" i="10" s="1"/>
  <c r="AM2074" i="10"/>
  <c r="AJ2074" i="10" s="1"/>
  <c r="AD2074" i="10"/>
  <c r="AV2074" i="10" s="1"/>
  <c r="W2074" i="10"/>
  <c r="R2074" i="10"/>
  <c r="S2074" i="10" s="1"/>
  <c r="L2074" i="10"/>
  <c r="BA2073" i="10"/>
  <c r="AS2073" i="10"/>
  <c r="AM2073" i="10"/>
  <c r="AD2073" i="10"/>
  <c r="W2073" i="10"/>
  <c r="R2073" i="10"/>
  <c r="S2073" i="10" s="1"/>
  <c r="L2073" i="10"/>
  <c r="BA2072" i="10"/>
  <c r="AS2072" i="10"/>
  <c r="AO2072" i="10" s="1"/>
  <c r="AM2072" i="10"/>
  <c r="AD2072" i="10"/>
  <c r="W2072" i="10"/>
  <c r="R2072" i="10"/>
  <c r="S2072" i="10" s="1"/>
  <c r="L2072" i="10"/>
  <c r="BA2071" i="10"/>
  <c r="AS2071" i="10"/>
  <c r="AM2071" i="10"/>
  <c r="AJ2071" i="10" s="1"/>
  <c r="AD2071" i="10"/>
  <c r="W2071" i="10"/>
  <c r="R2071" i="10"/>
  <c r="S2071" i="10" s="1"/>
  <c r="L2071" i="10"/>
  <c r="BA2070" i="10"/>
  <c r="AS2070" i="10"/>
  <c r="AM2070" i="10"/>
  <c r="AJ2070" i="10" s="1"/>
  <c r="AD2070" i="10"/>
  <c r="AA2070" i="10" s="1"/>
  <c r="W2070" i="10"/>
  <c r="R2070" i="10"/>
  <c r="S2070" i="10" s="1"/>
  <c r="L2070" i="10"/>
  <c r="BA2069" i="10"/>
  <c r="AS2069" i="10"/>
  <c r="AM2069" i="10"/>
  <c r="AJ2069" i="10" s="1"/>
  <c r="AD2069" i="10"/>
  <c r="AV2069" i="10" s="1"/>
  <c r="W2069" i="10"/>
  <c r="R2069" i="10"/>
  <c r="S2069" i="10" s="1"/>
  <c r="L2069" i="10"/>
  <c r="BA2068" i="10"/>
  <c r="AS2068" i="10"/>
  <c r="AM2068" i="10"/>
  <c r="AD2068" i="10"/>
  <c r="W2068" i="10"/>
  <c r="R2068" i="10"/>
  <c r="S2068" i="10" s="1"/>
  <c r="L2068" i="10"/>
  <c r="BA2067" i="10"/>
  <c r="AS2067" i="10"/>
  <c r="AO2067" i="10" s="1"/>
  <c r="AM2067" i="10"/>
  <c r="AD2067" i="10"/>
  <c r="AV2067" i="10" s="1"/>
  <c r="AA2067" i="10"/>
  <c r="W2067" i="10"/>
  <c r="R2067" i="10"/>
  <c r="S2067" i="10" s="1"/>
  <c r="L2067" i="10"/>
  <c r="BA2066" i="10"/>
  <c r="AS2066" i="10"/>
  <c r="AM2066" i="10"/>
  <c r="AD2066" i="10"/>
  <c r="W2066" i="10"/>
  <c r="R2066" i="10"/>
  <c r="S2066" i="10" s="1"/>
  <c r="L2066" i="10"/>
  <c r="BA2065" i="10"/>
  <c r="AS2065" i="10"/>
  <c r="AM2065" i="10"/>
  <c r="AD2065" i="10"/>
  <c r="W2065" i="10"/>
  <c r="R2065" i="10"/>
  <c r="S2065" i="10" s="1"/>
  <c r="L2065" i="10"/>
  <c r="BA2064" i="10"/>
  <c r="AS2064" i="10"/>
  <c r="AM2064" i="10"/>
  <c r="AJ2064" i="10" s="1"/>
  <c r="AD2064" i="10"/>
  <c r="W2064" i="10"/>
  <c r="L2064" i="10"/>
  <c r="BA2063" i="10"/>
  <c r="AS2063" i="10"/>
  <c r="AO2063" i="10" s="1"/>
  <c r="AM2063" i="10"/>
  <c r="AN2063" i="10" s="1"/>
  <c r="AD2063" i="10"/>
  <c r="W2063" i="10"/>
  <c r="R2063" i="10"/>
  <c r="S2063" i="10" s="1"/>
  <c r="L2063" i="10"/>
  <c r="BA2062" i="10"/>
  <c r="AS2062" i="10"/>
  <c r="AM2062" i="10"/>
  <c r="AJ2062" i="10" s="1"/>
  <c r="AD2062" i="10"/>
  <c r="W2062" i="10"/>
  <c r="R2062" i="10"/>
  <c r="S2062" i="10" s="1"/>
  <c r="L2062" i="10"/>
  <c r="BA2061" i="10"/>
  <c r="AS2061" i="10"/>
  <c r="AO2061" i="10" s="1"/>
  <c r="AM2061" i="10"/>
  <c r="AJ2061" i="10" s="1"/>
  <c r="AD2061" i="10"/>
  <c r="W2061" i="10"/>
  <c r="R2061" i="10"/>
  <c r="S2061" i="10" s="1"/>
  <c r="L2061" i="10"/>
  <c r="BA2060" i="10"/>
  <c r="AS2060" i="10"/>
  <c r="AM2060" i="10"/>
  <c r="AD2060" i="10"/>
  <c r="W2060" i="10"/>
  <c r="R2060" i="10"/>
  <c r="S2060" i="10" s="1"/>
  <c r="L2060" i="10"/>
  <c r="BA2059" i="10"/>
  <c r="AS2059" i="10"/>
  <c r="AM2059" i="10"/>
  <c r="AJ2059" i="10" s="1"/>
  <c r="AD2059" i="10"/>
  <c r="AU2059" i="10" s="1"/>
  <c r="W2059" i="10"/>
  <c r="R2059" i="10"/>
  <c r="S2059" i="10" s="1"/>
  <c r="L2059" i="10"/>
  <c r="BA2058" i="10"/>
  <c r="AS2058" i="10"/>
  <c r="AO2058" i="10" s="1"/>
  <c r="AM2058" i="10"/>
  <c r="AJ2058" i="10" s="1"/>
  <c r="AD2058" i="10"/>
  <c r="W2058" i="10"/>
  <c r="R2058" i="10"/>
  <c r="S2058" i="10" s="1"/>
  <c r="L2058" i="10"/>
  <c r="BA2057" i="10"/>
  <c r="AS2057" i="10"/>
  <c r="AM2057" i="10"/>
  <c r="AJ2057" i="10"/>
  <c r="AD2057" i="10"/>
  <c r="W2057" i="10"/>
  <c r="R2057" i="10"/>
  <c r="S2057" i="10" s="1"/>
  <c r="L2057" i="10"/>
  <c r="BA2056" i="10"/>
  <c r="AS2056" i="10"/>
  <c r="AO2056" i="10" s="1"/>
  <c r="AM2056" i="10"/>
  <c r="AD2056" i="10"/>
  <c r="AV2056" i="10" s="1"/>
  <c r="AA2056" i="10"/>
  <c r="W2056" i="10"/>
  <c r="R2056" i="10"/>
  <c r="S2056" i="10" s="1"/>
  <c r="L2056" i="10"/>
  <c r="BA2055" i="10"/>
  <c r="AS2055" i="10"/>
  <c r="AO2055" i="10" s="1"/>
  <c r="AM2055" i="10"/>
  <c r="AD2055" i="10"/>
  <c r="W2055" i="10"/>
  <c r="R2055" i="10"/>
  <c r="S2055" i="10" s="1"/>
  <c r="L2055" i="10"/>
  <c r="BA2054" i="10"/>
  <c r="AS2054" i="10"/>
  <c r="AM2054" i="10"/>
  <c r="AJ2054" i="10" s="1"/>
  <c r="AD2054" i="10"/>
  <c r="W2054" i="10"/>
  <c r="R2054" i="10"/>
  <c r="S2054" i="10" s="1"/>
  <c r="L2054" i="10"/>
  <c r="BA2053" i="10"/>
  <c r="AM2053" i="10"/>
  <c r="AD2053" i="10"/>
  <c r="R2053" i="10"/>
  <c r="S2053" i="10" s="1"/>
  <c r="L2053" i="10"/>
  <c r="AZ2052" i="10"/>
  <c r="AZ2051" i="10" s="1"/>
  <c r="AZ2050" i="10" s="1"/>
  <c r="AR2052" i="10"/>
  <c r="AR2051" i="10" s="1"/>
  <c r="AR2050" i="10" s="1"/>
  <c r="V2052" i="10"/>
  <c r="V2051" i="10" s="1"/>
  <c r="V2050" i="10" s="1"/>
  <c r="Q2052" i="10"/>
  <c r="Q2051" i="10" s="1"/>
  <c r="Q2050" i="10" s="1"/>
  <c r="K2052" i="10"/>
  <c r="K2051" i="10" s="1"/>
  <c r="K2050" i="10" s="1"/>
  <c r="J2052" i="10"/>
  <c r="I2052" i="10"/>
  <c r="I2051" i="10" s="1"/>
  <c r="H2052" i="10"/>
  <c r="H2051" i="10" s="1"/>
  <c r="BA2049" i="10"/>
  <c r="BA2048" i="10" s="1"/>
  <c r="BA2047" i="10" s="1"/>
  <c r="AY2048" i="10"/>
  <c r="AY2047" i="10" s="1"/>
  <c r="AM2049" i="10"/>
  <c r="AJ2049" i="10" s="1"/>
  <c r="AD2049" i="10"/>
  <c r="AA2049" i="10" s="1"/>
  <c r="R2049" i="10"/>
  <c r="L2049" i="10"/>
  <c r="AZ2048" i="10"/>
  <c r="AZ2047" i="10" s="1"/>
  <c r="AR2048" i="10"/>
  <c r="V2048" i="10"/>
  <c r="Q2048" i="10"/>
  <c r="Q2047" i="10" s="1"/>
  <c r="K2048" i="10"/>
  <c r="K2047" i="10" s="1"/>
  <c r="J2048" i="10"/>
  <c r="AR2047" i="10"/>
  <c r="V2047" i="10"/>
  <c r="BA2046" i="10"/>
  <c r="BA2045" i="10" s="1"/>
  <c r="AY2045" i="10"/>
  <c r="AY2044" i="10" s="1"/>
  <c r="AM2046" i="10"/>
  <c r="AJ2046" i="10" s="1"/>
  <c r="AD2046" i="10"/>
  <c r="AA2046" i="10" s="1"/>
  <c r="R2046" i="10"/>
  <c r="R2045" i="10" s="1"/>
  <c r="L2046" i="10"/>
  <c r="AZ2045" i="10"/>
  <c r="AZ2044" i="10" s="1"/>
  <c r="AZ2043" i="10" s="1"/>
  <c r="AR2045" i="10"/>
  <c r="AR2044" i="10" s="1"/>
  <c r="AM2045" i="10"/>
  <c r="AJ2045" i="10" s="1"/>
  <c r="V2045" i="10"/>
  <c r="V2044" i="10" s="1"/>
  <c r="Q2045" i="10"/>
  <c r="Q2044" i="10" s="1"/>
  <c r="L2045" i="10"/>
  <c r="BA2044" i="10"/>
  <c r="L2044" i="10"/>
  <c r="BA2043" i="10"/>
  <c r="BA2042" i="10"/>
  <c r="AS2042" i="10"/>
  <c r="AO2042" i="10"/>
  <c r="AM2042" i="10"/>
  <c r="AD2042" i="10"/>
  <c r="V2042" i="10"/>
  <c r="W2042" i="10" s="1"/>
  <c r="R2042" i="10"/>
  <c r="S2042" i="10" s="1"/>
  <c r="L2042" i="10"/>
  <c r="BA2041" i="10"/>
  <c r="AS2041" i="10"/>
  <c r="AM2041" i="10"/>
  <c r="AD2041" i="10"/>
  <c r="V2041" i="10"/>
  <c r="R2041" i="10"/>
  <c r="S2041" i="10" s="1"/>
  <c r="L2041" i="10"/>
  <c r="BA2040" i="10"/>
  <c r="AS2040" i="10"/>
  <c r="AM2040" i="10"/>
  <c r="AD2040" i="10"/>
  <c r="AA2040" i="10" s="1"/>
  <c r="V2040" i="10"/>
  <c r="W2040" i="10" s="1"/>
  <c r="R2040" i="10"/>
  <c r="S2040" i="10" s="1"/>
  <c r="L2040" i="10"/>
  <c r="BA2039" i="10"/>
  <c r="AS2039" i="10"/>
  <c r="AM2039" i="10"/>
  <c r="AJ2039" i="10" s="1"/>
  <c r="AD2039" i="10"/>
  <c r="AA2039" i="10" s="1"/>
  <c r="W2039" i="10"/>
  <c r="R2039" i="10"/>
  <c r="S2039" i="10" s="1"/>
  <c r="L2039" i="10"/>
  <c r="BA2038" i="10"/>
  <c r="AS2038" i="10"/>
  <c r="AM2038" i="10"/>
  <c r="AJ2038" i="10" s="1"/>
  <c r="AD2038" i="10"/>
  <c r="W2038" i="10"/>
  <c r="R2038" i="10"/>
  <c r="S2038" i="10" s="1"/>
  <c r="L2038" i="10"/>
  <c r="BA2037" i="10"/>
  <c r="AS2037" i="10"/>
  <c r="AM2037" i="10"/>
  <c r="AJ2037" i="10" s="1"/>
  <c r="AD2037" i="10"/>
  <c r="AA2037" i="10" s="1"/>
  <c r="W2037" i="10"/>
  <c r="R2037" i="10"/>
  <c r="S2037" i="10" s="1"/>
  <c r="L2037" i="10"/>
  <c r="BA2036" i="10"/>
  <c r="AS2036" i="10"/>
  <c r="AM2036" i="10"/>
  <c r="AD2036" i="10"/>
  <c r="W2036" i="10"/>
  <c r="R2036" i="10"/>
  <c r="S2036" i="10" s="1"/>
  <c r="L2036" i="10"/>
  <c r="AZ2035" i="10"/>
  <c r="AZ2032" i="10" s="1"/>
  <c r="AZ2031" i="10" s="1"/>
  <c r="AZ2030" i="10" s="1"/>
  <c r="AS2035" i="10"/>
  <c r="AO2035" i="10"/>
  <c r="AM2035" i="10"/>
  <c r="AJ2035" i="10" s="1"/>
  <c r="AD2035" i="10"/>
  <c r="V2035" i="10"/>
  <c r="Q2035" i="10"/>
  <c r="L2035" i="10"/>
  <c r="BA2034" i="10"/>
  <c r="AS2034" i="10"/>
  <c r="AM2034" i="10"/>
  <c r="AJ2034" i="10" s="1"/>
  <c r="AD2034" i="10"/>
  <c r="W2034" i="10"/>
  <c r="R2034" i="10"/>
  <c r="S2034" i="10" s="1"/>
  <c r="L2034" i="10"/>
  <c r="BA2033" i="10"/>
  <c r="AS2033" i="10"/>
  <c r="BH2033" i="10" s="1"/>
  <c r="AM2033" i="10"/>
  <c r="AD2033" i="10"/>
  <c r="V2033" i="10"/>
  <c r="V2032" i="10" s="1"/>
  <c r="V2031" i="10" s="1"/>
  <c r="V2030" i="10" s="1"/>
  <c r="R2033" i="10"/>
  <c r="S2033" i="10" s="1"/>
  <c r="L2033" i="10"/>
  <c r="AR2032" i="10"/>
  <c r="AR2031" i="10" s="1"/>
  <c r="AR2030" i="10" s="1"/>
  <c r="Q2032" i="10"/>
  <c r="K2032" i="10"/>
  <c r="J2032" i="10"/>
  <c r="Q2031" i="10"/>
  <c r="Q2030" i="10" s="1"/>
  <c r="K2031" i="10"/>
  <c r="K2030" i="10" s="1"/>
  <c r="J2031" i="10"/>
  <c r="BA2029" i="10"/>
  <c r="AS2029" i="10"/>
  <c r="AO2029" i="10" s="1"/>
  <c r="AM2029" i="10"/>
  <c r="AJ2029" i="10" s="1"/>
  <c r="AD2029" i="10"/>
  <c r="AA2029" i="10" s="1"/>
  <c r="W2029" i="10"/>
  <c r="R2029" i="10"/>
  <c r="S2029" i="10" s="1"/>
  <c r="L2029" i="10"/>
  <c r="BA2028" i="10"/>
  <c r="AS2028" i="10"/>
  <c r="AM2028" i="10"/>
  <c r="AJ2028" i="10"/>
  <c r="AD2028" i="10"/>
  <c r="AA2028" i="10" s="1"/>
  <c r="W2028" i="10"/>
  <c r="R2028" i="10"/>
  <c r="S2028" i="10" s="1"/>
  <c r="L2028" i="10"/>
  <c r="BA2027" i="10"/>
  <c r="AS2027" i="10"/>
  <c r="AM2027" i="10"/>
  <c r="AD2027" i="10"/>
  <c r="W2027" i="10"/>
  <c r="R2027" i="10"/>
  <c r="S2027" i="10" s="1"/>
  <c r="BA2026" i="10"/>
  <c r="AS2026" i="10"/>
  <c r="AM2026" i="10"/>
  <c r="AJ2026" i="10" s="1"/>
  <c r="AD2026" i="10"/>
  <c r="W2026" i="10"/>
  <c r="R2026" i="10"/>
  <c r="S2026" i="10" s="1"/>
  <c r="L2026" i="10"/>
  <c r="BA2025" i="10"/>
  <c r="AS2025" i="10"/>
  <c r="AO2025" i="10" s="1"/>
  <c r="AM2025" i="10"/>
  <c r="AD2025" i="10"/>
  <c r="W2025" i="10"/>
  <c r="L2025" i="10"/>
  <c r="BA2024" i="10"/>
  <c r="AS2024" i="10"/>
  <c r="AO2024" i="10" s="1"/>
  <c r="AM2024" i="10"/>
  <c r="AD2024" i="10"/>
  <c r="W2024" i="10"/>
  <c r="L2024" i="10"/>
  <c r="BA2023" i="10"/>
  <c r="AS2023" i="10"/>
  <c r="AO2023" i="10" s="1"/>
  <c r="AM2023" i="10"/>
  <c r="AJ2023" i="10" s="1"/>
  <c r="AD2023" i="10"/>
  <c r="R2023" i="10"/>
  <c r="S2023" i="10" s="1"/>
  <c r="L2023" i="10"/>
  <c r="BA2022" i="10"/>
  <c r="AS2022" i="10"/>
  <c r="AM2022" i="10"/>
  <c r="AD2022" i="10"/>
  <c r="W2022" i="10"/>
  <c r="L2022" i="10"/>
  <c r="BA2021" i="10"/>
  <c r="AS2021" i="10"/>
  <c r="AM2021" i="10"/>
  <c r="AJ2021" i="10" s="1"/>
  <c r="AD2021" i="10"/>
  <c r="W2021" i="10"/>
  <c r="R2021" i="10"/>
  <c r="S2021" i="10" s="1"/>
  <c r="L2021" i="10"/>
  <c r="BA2020" i="10"/>
  <c r="AS2020" i="10"/>
  <c r="AM2020" i="10"/>
  <c r="AD2020" i="10"/>
  <c r="W2020" i="10"/>
  <c r="R2020" i="10"/>
  <c r="S2020" i="10" s="1"/>
  <c r="L2020" i="10"/>
  <c r="BA2019" i="10"/>
  <c r="AS2019" i="10"/>
  <c r="AM2019" i="10"/>
  <c r="AJ2019" i="10" s="1"/>
  <c r="AD2019" i="10"/>
  <c r="AA2019" i="10" s="1"/>
  <c r="W2019" i="10"/>
  <c r="R2019" i="10"/>
  <c r="S2019" i="10" s="1"/>
  <c r="L2019" i="10"/>
  <c r="BA2018" i="10"/>
  <c r="AS2018" i="10"/>
  <c r="AM2018" i="10"/>
  <c r="AJ2018" i="10" s="1"/>
  <c r="AD2018" i="10"/>
  <c r="W2018" i="10"/>
  <c r="R2018" i="10"/>
  <c r="S2018" i="10" s="1"/>
  <c r="L2018" i="10"/>
  <c r="BA2017" i="10"/>
  <c r="AS2017" i="10"/>
  <c r="AM2017" i="10"/>
  <c r="AD2017" i="10"/>
  <c r="AV2017" i="10" s="1"/>
  <c r="W2017" i="10"/>
  <c r="R2017" i="10"/>
  <c r="S2017" i="10" s="1"/>
  <c r="L2017" i="10"/>
  <c r="BA2016" i="10"/>
  <c r="AS2016" i="10"/>
  <c r="AM2016" i="10"/>
  <c r="AJ2016" i="10" s="1"/>
  <c r="AD2016" i="10"/>
  <c r="W2016" i="10"/>
  <c r="R2016" i="10"/>
  <c r="S2016" i="10" s="1"/>
  <c r="L2016" i="10"/>
  <c r="BA2015" i="10"/>
  <c r="AS2015" i="10"/>
  <c r="AM2015" i="10"/>
  <c r="AJ2015" i="10" s="1"/>
  <c r="AD2015" i="10"/>
  <c r="AA2015" i="10" s="1"/>
  <c r="W2015" i="10"/>
  <c r="R2015" i="10"/>
  <c r="S2015" i="10" s="1"/>
  <c r="L2015" i="10"/>
  <c r="BA2014" i="10"/>
  <c r="AS2014" i="10"/>
  <c r="AO2014" i="10" s="1"/>
  <c r="AM2014" i="10"/>
  <c r="AD2014" i="10"/>
  <c r="W2014" i="10"/>
  <c r="R2014" i="10"/>
  <c r="S2014" i="10" s="1"/>
  <c r="L2014" i="10"/>
  <c r="BA2013" i="10"/>
  <c r="AS2013" i="10"/>
  <c r="AM2013" i="10"/>
  <c r="AJ2013" i="10" s="1"/>
  <c r="AD2013" i="10"/>
  <c r="W2013" i="10"/>
  <c r="R2013" i="10"/>
  <c r="S2013" i="10" s="1"/>
  <c r="L2013" i="10"/>
  <c r="BA2012" i="10"/>
  <c r="AS2012" i="10"/>
  <c r="AO2012" i="10" s="1"/>
  <c r="AM2012" i="10"/>
  <c r="AJ2012" i="10" s="1"/>
  <c r="AD2012" i="10"/>
  <c r="W2012" i="10"/>
  <c r="R2012" i="10"/>
  <c r="S2012" i="10" s="1"/>
  <c r="L2012" i="10"/>
  <c r="BA2011" i="10"/>
  <c r="AS2011" i="10"/>
  <c r="AM2011" i="10"/>
  <c r="AJ2011" i="10" s="1"/>
  <c r="AD2011" i="10"/>
  <c r="AA2011" i="10" s="1"/>
  <c r="W2011" i="10"/>
  <c r="R2011" i="10"/>
  <c r="S2011" i="10" s="1"/>
  <c r="L2011" i="10"/>
  <c r="BA2010" i="10"/>
  <c r="AS2010" i="10"/>
  <c r="AO2010" i="10" s="1"/>
  <c r="AM2010" i="10"/>
  <c r="AD2010" i="10"/>
  <c r="W2010" i="10"/>
  <c r="R2010" i="10"/>
  <c r="S2010" i="10" s="1"/>
  <c r="L2010" i="10"/>
  <c r="BA2009" i="10"/>
  <c r="AS2009" i="10"/>
  <c r="AM2009" i="10"/>
  <c r="AJ2009" i="10" s="1"/>
  <c r="AD2009" i="10"/>
  <c r="W2009" i="10"/>
  <c r="R2009" i="10"/>
  <c r="S2009" i="10" s="1"/>
  <c r="L2009" i="10"/>
  <c r="BA2008" i="10"/>
  <c r="AS2008" i="10"/>
  <c r="AM2008" i="10"/>
  <c r="AD2008" i="10"/>
  <c r="AV2008" i="10" s="1"/>
  <c r="W2008" i="10"/>
  <c r="R2008" i="10"/>
  <c r="S2008" i="10" s="1"/>
  <c r="L2008" i="10"/>
  <c r="BA2007" i="10"/>
  <c r="AS2007" i="10"/>
  <c r="AM2007" i="10"/>
  <c r="AJ2007" i="10" s="1"/>
  <c r="AD2007" i="10"/>
  <c r="AA2007" i="10"/>
  <c r="W2007" i="10"/>
  <c r="R2007" i="10"/>
  <c r="S2007" i="10" s="1"/>
  <c r="L2007" i="10"/>
  <c r="BA2006" i="10"/>
  <c r="AS2006" i="10"/>
  <c r="AM2006" i="10"/>
  <c r="AD2006" i="10"/>
  <c r="W2006" i="10"/>
  <c r="R2006" i="10"/>
  <c r="S2006" i="10" s="1"/>
  <c r="L2006" i="10"/>
  <c r="BA2005" i="10"/>
  <c r="AS2005" i="10"/>
  <c r="AM2005" i="10"/>
  <c r="AJ2005" i="10"/>
  <c r="AD2005" i="10"/>
  <c r="AA2005" i="10" s="1"/>
  <c r="W2005" i="10"/>
  <c r="R2005" i="10"/>
  <c r="S2005" i="10" s="1"/>
  <c r="L2005" i="10"/>
  <c r="BA2004" i="10"/>
  <c r="AS2004" i="10"/>
  <c r="AM2004" i="10"/>
  <c r="AJ2004" i="10" s="1"/>
  <c r="AD2004" i="10"/>
  <c r="W2004" i="10"/>
  <c r="R2004" i="10"/>
  <c r="S2004" i="10" s="1"/>
  <c r="L2004" i="10"/>
  <c r="BA2003" i="10"/>
  <c r="AS2003" i="10"/>
  <c r="AM2003" i="10"/>
  <c r="AJ2003" i="10" s="1"/>
  <c r="AD2003" i="10"/>
  <c r="AA2003" i="10" s="1"/>
  <c r="W2003" i="10"/>
  <c r="R2003" i="10"/>
  <c r="S2003" i="10" s="1"/>
  <c r="L2003" i="10"/>
  <c r="BA2002" i="10"/>
  <c r="AS2002" i="10"/>
  <c r="AO2002" i="10" s="1"/>
  <c r="AM2002" i="10"/>
  <c r="AJ2002" i="10" s="1"/>
  <c r="AD2002" i="10"/>
  <c r="W2002" i="10"/>
  <c r="R2002" i="10"/>
  <c r="S2002" i="10" s="1"/>
  <c r="L2002" i="10"/>
  <c r="BA2001" i="10"/>
  <c r="AS2001" i="10"/>
  <c r="AM2001" i="10"/>
  <c r="AJ2001" i="10" s="1"/>
  <c r="AD2001" i="10"/>
  <c r="W2001" i="10"/>
  <c r="R2001" i="10"/>
  <c r="S2001" i="10" s="1"/>
  <c r="L2001" i="10"/>
  <c r="BA2000" i="10"/>
  <c r="AS2000" i="10"/>
  <c r="AM2000" i="10"/>
  <c r="AD2000" i="10"/>
  <c r="AV2000" i="10" s="1"/>
  <c r="W2000" i="10"/>
  <c r="R2000" i="10"/>
  <c r="S2000" i="10" s="1"/>
  <c r="L2000" i="10"/>
  <c r="BA1999" i="10"/>
  <c r="AS1999" i="10"/>
  <c r="AM1999" i="10"/>
  <c r="AD1999" i="10"/>
  <c r="AV1999" i="10" s="1"/>
  <c r="W1999" i="10"/>
  <c r="R1999" i="10"/>
  <c r="S1999" i="10" s="1"/>
  <c r="L1999" i="10"/>
  <c r="BA1998" i="10"/>
  <c r="AS1998" i="10"/>
  <c r="AO1998" i="10" s="1"/>
  <c r="AM1998" i="10"/>
  <c r="AD1998" i="10"/>
  <c r="AV1998" i="10" s="1"/>
  <c r="AA1998" i="10"/>
  <c r="W1998" i="10"/>
  <c r="R1998" i="10"/>
  <c r="S1998" i="10" s="1"/>
  <c r="L1998" i="10"/>
  <c r="BA1997" i="10"/>
  <c r="AS1997" i="10"/>
  <c r="AM1997" i="10"/>
  <c r="AJ1997" i="10" s="1"/>
  <c r="AD1997" i="10"/>
  <c r="AV1997" i="10" s="1"/>
  <c r="W1997" i="10"/>
  <c r="R1997" i="10"/>
  <c r="S1997" i="10" s="1"/>
  <c r="L1997" i="10"/>
  <c r="BA1996" i="10"/>
  <c r="AS1996" i="10"/>
  <c r="AO1996" i="10" s="1"/>
  <c r="AM1996" i="10"/>
  <c r="AD1996" i="10"/>
  <c r="W1996" i="10"/>
  <c r="R1996" i="10"/>
  <c r="S1996" i="10" s="1"/>
  <c r="L1996" i="10"/>
  <c r="BA1995" i="10"/>
  <c r="AS1995" i="10"/>
  <c r="AM1995" i="10"/>
  <c r="AJ1995" i="10" s="1"/>
  <c r="AD1995" i="10"/>
  <c r="W1995" i="10"/>
  <c r="R1995" i="10"/>
  <c r="S1995" i="10" s="1"/>
  <c r="L1995" i="10"/>
  <c r="BA1994" i="10"/>
  <c r="AS1994" i="10"/>
  <c r="AO1994" i="10" s="1"/>
  <c r="AM1994" i="10"/>
  <c r="AJ1994" i="10" s="1"/>
  <c r="AD1994" i="10"/>
  <c r="AA1994" i="10"/>
  <c r="W1994" i="10"/>
  <c r="R1994" i="10"/>
  <c r="S1994" i="10" s="1"/>
  <c r="L1994" i="10"/>
  <c r="BA1993" i="10"/>
  <c r="AS1993" i="10"/>
  <c r="AM1993" i="10"/>
  <c r="AJ1993" i="10" s="1"/>
  <c r="AD1993" i="10"/>
  <c r="W1993" i="10"/>
  <c r="R1993" i="10"/>
  <c r="S1993" i="10" s="1"/>
  <c r="L1993" i="10"/>
  <c r="BA1992" i="10"/>
  <c r="AS1992" i="10"/>
  <c r="AM1992" i="10"/>
  <c r="AD1992" i="10"/>
  <c r="W1992" i="10"/>
  <c r="R1992" i="10"/>
  <c r="S1992" i="10" s="1"/>
  <c r="L1992" i="10"/>
  <c r="BA1991" i="10"/>
  <c r="AS1991" i="10"/>
  <c r="AM1991" i="10"/>
  <c r="AD1991" i="10"/>
  <c r="AV1991" i="10" s="1"/>
  <c r="W1991" i="10"/>
  <c r="R1991" i="10"/>
  <c r="S1991" i="10" s="1"/>
  <c r="L1991" i="10"/>
  <c r="AZ1990" i="10"/>
  <c r="AZ1989" i="10" s="1"/>
  <c r="AS1990" i="10"/>
  <c r="AO1990" i="10" s="1"/>
  <c r="AM1990" i="10"/>
  <c r="AJ1990" i="10" s="1"/>
  <c r="AD1990" i="10"/>
  <c r="AA1990" i="10"/>
  <c r="Q1990" i="10"/>
  <c r="R1990" i="10" s="1"/>
  <c r="L1990" i="10"/>
  <c r="AR1989" i="10"/>
  <c r="K1989" i="10"/>
  <c r="J1989" i="10"/>
  <c r="L1989" i="10" s="1"/>
  <c r="BA1988" i="10"/>
  <c r="AS1988" i="10"/>
  <c r="AO1988" i="10" s="1"/>
  <c r="AM1988" i="10"/>
  <c r="AD1988" i="10"/>
  <c r="W1988" i="10"/>
  <c r="R1988" i="10"/>
  <c r="S1988" i="10" s="1"/>
  <c r="L1988" i="10"/>
  <c r="BA1987" i="10"/>
  <c r="AS1987" i="10"/>
  <c r="AM1987" i="10"/>
  <c r="AD1987" i="10"/>
  <c r="AV1987" i="10" s="1"/>
  <c r="W1987" i="10"/>
  <c r="R1987" i="10"/>
  <c r="S1987" i="10" s="1"/>
  <c r="L1987" i="10"/>
  <c r="AS1986" i="10"/>
  <c r="AM1986" i="10"/>
  <c r="AD1986" i="10"/>
  <c r="AA1986" i="10" s="1"/>
  <c r="L1986" i="10"/>
  <c r="AZ1985" i="10"/>
  <c r="AR1985" i="10"/>
  <c r="V1985" i="10"/>
  <c r="Q1985" i="10"/>
  <c r="K1985" i="10"/>
  <c r="J1985" i="10"/>
  <c r="L1985" i="10" s="1"/>
  <c r="BA1983" i="10"/>
  <c r="BA1982" i="10" s="1"/>
  <c r="BA1981" i="10" s="1"/>
  <c r="AS1983" i="10"/>
  <c r="AM1983" i="10"/>
  <c r="AJ1983" i="10" s="1"/>
  <c r="AD1983" i="10"/>
  <c r="AA1983" i="10" s="1"/>
  <c r="U1982" i="10"/>
  <c r="U1981" i="10" s="1"/>
  <c r="R1983" i="10"/>
  <c r="L1983" i="10"/>
  <c r="AZ1982" i="10"/>
  <c r="AZ1981" i="10" s="1"/>
  <c r="AR1982" i="10"/>
  <c r="AM1982" i="10"/>
  <c r="V1982" i="10"/>
  <c r="V1981" i="10" s="1"/>
  <c r="Q1982" i="10"/>
  <c r="Q1981" i="10" s="1"/>
  <c r="K1982" i="10"/>
  <c r="K1981" i="10" s="1"/>
  <c r="J1982" i="10"/>
  <c r="L1982" i="10" s="1"/>
  <c r="AR1981" i="10"/>
  <c r="J1981" i="10"/>
  <c r="BA1980" i="10"/>
  <c r="AS1980" i="10"/>
  <c r="AO1980" i="10" s="1"/>
  <c r="AM1980" i="10"/>
  <c r="AN1980" i="10" s="1"/>
  <c r="AD1980" i="10"/>
  <c r="W1980" i="10"/>
  <c r="R1980" i="10"/>
  <c r="S1980" i="10" s="1"/>
  <c r="L1980" i="10"/>
  <c r="BA1979" i="10"/>
  <c r="AS1979" i="10"/>
  <c r="AM1979" i="10"/>
  <c r="AJ1979" i="10" s="1"/>
  <c r="AD1979" i="10"/>
  <c r="W1979" i="10"/>
  <c r="R1979" i="10"/>
  <c r="S1979" i="10" s="1"/>
  <c r="L1979" i="10"/>
  <c r="AS1978" i="10"/>
  <c r="AO1978" i="10" s="1"/>
  <c r="AM1978" i="10"/>
  <c r="AJ1978" i="10" s="1"/>
  <c r="AD1978" i="10"/>
  <c r="W1978" i="10"/>
  <c r="R1978" i="10"/>
  <c r="S1978" i="10" s="1"/>
  <c r="L1978" i="10"/>
  <c r="BA1977" i="10"/>
  <c r="AS1977" i="10"/>
  <c r="AO1977" i="10" s="1"/>
  <c r="AM1977" i="10"/>
  <c r="AD1977" i="10"/>
  <c r="W1977" i="10"/>
  <c r="R1977" i="10"/>
  <c r="S1977" i="10" s="1"/>
  <c r="L1977" i="10"/>
  <c r="AS1976" i="10"/>
  <c r="AM1976" i="10"/>
  <c r="AJ1976" i="10" s="1"/>
  <c r="AD1976" i="10"/>
  <c r="W1976" i="10"/>
  <c r="Q1976" i="10"/>
  <c r="L1976" i="10"/>
  <c r="BA1975" i="10"/>
  <c r="AS1975" i="10"/>
  <c r="AM1975" i="10"/>
  <c r="AJ1975" i="10" s="1"/>
  <c r="AD1975" i="10"/>
  <c r="L1975" i="10"/>
  <c r="AR1974" i="10"/>
  <c r="AR1973" i="10" s="1"/>
  <c r="V1974" i="10"/>
  <c r="K1974" i="10"/>
  <c r="K1973" i="10" s="1"/>
  <c r="J1974" i="10"/>
  <c r="J1973" i="10" s="1"/>
  <c r="V1973" i="10"/>
  <c r="AZ1971" i="10"/>
  <c r="AS1971" i="10"/>
  <c r="AM1971" i="10"/>
  <c r="AD1971" i="10"/>
  <c r="W1971" i="10"/>
  <c r="L1971" i="10"/>
  <c r="AZ1970" i="10"/>
  <c r="AS1970" i="10"/>
  <c r="AM1970" i="10"/>
  <c r="AJ1970" i="10" s="1"/>
  <c r="AD1970" i="10"/>
  <c r="W1970" i="10"/>
  <c r="L1970" i="10"/>
  <c r="AZ1969" i="10"/>
  <c r="AS1969" i="10"/>
  <c r="AM1969" i="10"/>
  <c r="AD1969" i="10"/>
  <c r="W1969" i="10"/>
  <c r="L1969" i="10"/>
  <c r="AZ1968" i="10"/>
  <c r="AS1968" i="10"/>
  <c r="AM1968" i="10"/>
  <c r="AJ1968" i="10" s="1"/>
  <c r="AD1968" i="10"/>
  <c r="W1968" i="10"/>
  <c r="L1968" i="10"/>
  <c r="AZ1967" i="10"/>
  <c r="AS1967" i="10"/>
  <c r="AM1967" i="10"/>
  <c r="AD1967" i="10"/>
  <c r="W1967" i="10"/>
  <c r="L1967" i="10"/>
  <c r="AZ1966" i="10"/>
  <c r="AS1966" i="10"/>
  <c r="AM1966" i="10"/>
  <c r="AJ1966" i="10" s="1"/>
  <c r="AD1966" i="10"/>
  <c r="AV1966" i="10" s="1"/>
  <c r="W1966" i="10"/>
  <c r="L1966" i="10"/>
  <c r="AZ1965" i="10"/>
  <c r="AS1965" i="10"/>
  <c r="AM1965" i="10"/>
  <c r="AJ1965" i="10" s="1"/>
  <c r="AD1965" i="10"/>
  <c r="W1965" i="10"/>
  <c r="L1965" i="10"/>
  <c r="AZ1964" i="10"/>
  <c r="AS1964" i="10"/>
  <c r="AO1964" i="10" s="1"/>
  <c r="AM1964" i="10"/>
  <c r="AD1964" i="10"/>
  <c r="W1964" i="10"/>
  <c r="L1964" i="10"/>
  <c r="AZ1963" i="10"/>
  <c r="AS1963" i="10"/>
  <c r="AO1963" i="10" s="1"/>
  <c r="AM1963" i="10"/>
  <c r="AD1963" i="10"/>
  <c r="AV1963" i="10" s="1"/>
  <c r="W1963" i="10"/>
  <c r="L1963" i="10"/>
  <c r="AZ1962" i="10"/>
  <c r="AS1962" i="10"/>
  <c r="AM1962" i="10"/>
  <c r="AD1962" i="10"/>
  <c r="W1962" i="10"/>
  <c r="L1962" i="10"/>
  <c r="AZ1961" i="10"/>
  <c r="AS1961" i="10"/>
  <c r="AO1961" i="10" s="1"/>
  <c r="AM1961" i="10"/>
  <c r="AJ1961" i="10" s="1"/>
  <c r="AD1961" i="10"/>
  <c r="W1961" i="10"/>
  <c r="L1961" i="10"/>
  <c r="AZ1960" i="10"/>
  <c r="AS1960" i="10"/>
  <c r="AM1960" i="10"/>
  <c r="AJ1960" i="10" s="1"/>
  <c r="AD1960" i="10"/>
  <c r="W1960" i="10"/>
  <c r="L1960" i="10"/>
  <c r="AZ1959" i="10"/>
  <c r="AS1959" i="10"/>
  <c r="AO1959" i="10" s="1"/>
  <c r="AM1959" i="10"/>
  <c r="AJ1959" i="10" s="1"/>
  <c r="AD1959" i="10"/>
  <c r="W1959" i="10"/>
  <c r="L1959" i="10"/>
  <c r="AZ1958" i="10"/>
  <c r="AS1958" i="10"/>
  <c r="AM1958" i="10"/>
  <c r="AJ1958" i="10" s="1"/>
  <c r="AD1958" i="10"/>
  <c r="AA1958" i="10" s="1"/>
  <c r="W1958" i="10"/>
  <c r="L1958" i="10"/>
  <c r="AZ1957" i="10"/>
  <c r="AS1957" i="10"/>
  <c r="AM1957" i="10"/>
  <c r="AD1957" i="10"/>
  <c r="W1957" i="10"/>
  <c r="L1957" i="10"/>
  <c r="AZ1956" i="10"/>
  <c r="AS1956" i="10"/>
  <c r="AO1956" i="10" s="1"/>
  <c r="AM1956" i="10"/>
  <c r="AJ1956" i="10"/>
  <c r="AD1956" i="10"/>
  <c r="W1956" i="10"/>
  <c r="L1956" i="10"/>
  <c r="AZ1955" i="10"/>
  <c r="AS1955" i="10"/>
  <c r="AM1955" i="10"/>
  <c r="AD1955" i="10"/>
  <c r="AV1955" i="10" s="1"/>
  <c r="AA1955" i="10"/>
  <c r="W1955" i="10"/>
  <c r="L1955" i="10"/>
  <c r="AZ1954" i="10"/>
  <c r="AS1954" i="10"/>
  <c r="AM1954" i="10"/>
  <c r="AD1954" i="10"/>
  <c r="AV1954" i="10" s="1"/>
  <c r="W1954" i="10"/>
  <c r="L1954" i="10"/>
  <c r="AZ1953" i="10"/>
  <c r="AS1953" i="10"/>
  <c r="AM1953" i="10"/>
  <c r="AD1953" i="10"/>
  <c r="W1953" i="10"/>
  <c r="L1953" i="10"/>
  <c r="AZ1952" i="10"/>
  <c r="AS1952" i="10"/>
  <c r="AO1952" i="10" s="1"/>
  <c r="AM1952" i="10"/>
  <c r="AD1952" i="10"/>
  <c r="AV1952" i="10" s="1"/>
  <c r="W1952" i="10"/>
  <c r="L1952" i="10"/>
  <c r="AZ1951" i="10"/>
  <c r="AS1951" i="10"/>
  <c r="AM1951" i="10"/>
  <c r="AD1951" i="10"/>
  <c r="W1951" i="10"/>
  <c r="L1951" i="10"/>
  <c r="AZ1950" i="10"/>
  <c r="AS1950" i="10"/>
  <c r="AO1950" i="10" s="1"/>
  <c r="AM1950" i="10"/>
  <c r="AJ1950" i="10" s="1"/>
  <c r="AD1950" i="10"/>
  <c r="W1950" i="10"/>
  <c r="L1950" i="10"/>
  <c r="AZ1949" i="10"/>
  <c r="AS1949" i="10"/>
  <c r="AM1949" i="10"/>
  <c r="AJ1949" i="10" s="1"/>
  <c r="AD1949" i="10"/>
  <c r="W1949" i="10"/>
  <c r="L1949" i="10"/>
  <c r="AZ1948" i="10"/>
  <c r="AS1948" i="10"/>
  <c r="AM1948" i="10"/>
  <c r="AJ1948" i="10" s="1"/>
  <c r="AD1948" i="10"/>
  <c r="AA1948" i="10" s="1"/>
  <c r="W1948" i="10"/>
  <c r="L1948" i="10"/>
  <c r="AZ1947" i="10"/>
  <c r="AS1947" i="10"/>
  <c r="AO1947" i="10" s="1"/>
  <c r="AM1947" i="10"/>
  <c r="AD1947" i="10"/>
  <c r="W1947" i="10"/>
  <c r="L1947" i="10"/>
  <c r="AZ1946" i="10"/>
  <c r="AS1946" i="10"/>
  <c r="AM1946" i="10"/>
  <c r="AJ1946" i="10"/>
  <c r="AD1946" i="10"/>
  <c r="W1946" i="10"/>
  <c r="L1946" i="10"/>
  <c r="AZ1945" i="10"/>
  <c r="AM1945" i="10"/>
  <c r="AJ1945" i="10" s="1"/>
  <c r="AD1945" i="10"/>
  <c r="AV1945" i="10" s="1"/>
  <c r="L1945" i="10"/>
  <c r="AS1944" i="10"/>
  <c r="AM1944" i="10"/>
  <c r="AJ1944" i="10" s="1"/>
  <c r="AD1944" i="10"/>
  <c r="AA1944" i="10" s="1"/>
  <c r="W1944" i="10"/>
  <c r="L1944" i="10"/>
  <c r="AZ1943" i="10"/>
  <c r="AS1943" i="10"/>
  <c r="AM1943" i="10"/>
  <c r="AJ1943" i="10"/>
  <c r="AD1943" i="10"/>
  <c r="AV1943" i="10" s="1"/>
  <c r="W1943" i="10"/>
  <c r="L1943" i="10"/>
  <c r="BA1942" i="10"/>
  <c r="AR1942" i="10"/>
  <c r="V1942" i="10"/>
  <c r="K1942" i="10"/>
  <c r="J1942" i="10"/>
  <c r="BA1941" i="10"/>
  <c r="AS1941" i="10"/>
  <c r="AM1941" i="10"/>
  <c r="AJ1941" i="10" s="1"/>
  <c r="AD1941" i="10"/>
  <c r="W1941" i="10"/>
  <c r="L1941" i="10"/>
  <c r="BA1940" i="10"/>
  <c r="AS1940" i="10"/>
  <c r="AM1940" i="10"/>
  <c r="AD1940" i="10"/>
  <c r="W1940" i="10"/>
  <c r="L1940" i="10"/>
  <c r="BA1939" i="10"/>
  <c r="AS1939" i="10"/>
  <c r="BH1939" i="10" s="1"/>
  <c r="BM1939" i="10" s="1"/>
  <c r="BO1939" i="10" s="1"/>
  <c r="AM1939" i="10"/>
  <c r="AJ1939" i="10" s="1"/>
  <c r="AD1939" i="10"/>
  <c r="W1939" i="10"/>
  <c r="L1939" i="10"/>
  <c r="BA1938" i="10"/>
  <c r="AS1938" i="10"/>
  <c r="BH1938" i="10" s="1"/>
  <c r="BM1938" i="10" s="1"/>
  <c r="BO1938" i="10" s="1"/>
  <c r="AM1938" i="10"/>
  <c r="AD1938" i="10"/>
  <c r="AV1938" i="10" s="1"/>
  <c r="W1938" i="10"/>
  <c r="L1938" i="10"/>
  <c r="BA1937" i="10"/>
  <c r="AS1937" i="10"/>
  <c r="AM1937" i="10"/>
  <c r="AD1937" i="10"/>
  <c r="AV1937" i="10" s="1"/>
  <c r="W1937" i="10"/>
  <c r="L1937" i="10"/>
  <c r="BA1936" i="10"/>
  <c r="AS1936" i="10"/>
  <c r="AO1936" i="10" s="1"/>
  <c r="AM1936" i="10"/>
  <c r="AJ1936" i="10" s="1"/>
  <c r="AD1936" i="10"/>
  <c r="W1936" i="10"/>
  <c r="L1936" i="10"/>
  <c r="BA1935" i="10"/>
  <c r="AS1935" i="10"/>
  <c r="AM1935" i="10"/>
  <c r="AJ1935" i="10"/>
  <c r="AD1935" i="10"/>
  <c r="AV1935" i="10" s="1"/>
  <c r="W1935" i="10"/>
  <c r="L1935" i="10"/>
  <c r="BA1934" i="10"/>
  <c r="AS1934" i="10"/>
  <c r="AM1934" i="10"/>
  <c r="AJ1934" i="10" s="1"/>
  <c r="AD1934" i="10"/>
  <c r="AV1934" i="10" s="1"/>
  <c r="W1934" i="10"/>
  <c r="L1934" i="10"/>
  <c r="BA1933" i="10"/>
  <c r="AS1933" i="10"/>
  <c r="AO1933" i="10" s="1"/>
  <c r="AM1933" i="10"/>
  <c r="AD1933" i="10"/>
  <c r="W1933" i="10"/>
  <c r="L1933" i="10"/>
  <c r="BA1932" i="10"/>
  <c r="AS1932" i="10"/>
  <c r="AM1932" i="10"/>
  <c r="AJ1932" i="10" s="1"/>
  <c r="AD1932" i="10"/>
  <c r="AA1932" i="10" s="1"/>
  <c r="W1932" i="10"/>
  <c r="L1932" i="10"/>
  <c r="BA1931" i="10"/>
  <c r="AS1931" i="10"/>
  <c r="AM1931" i="10"/>
  <c r="AD1931" i="10"/>
  <c r="W1931" i="10"/>
  <c r="L1931" i="10"/>
  <c r="BA1930" i="10"/>
  <c r="AS1930" i="10"/>
  <c r="AM1930" i="10"/>
  <c r="AD1930" i="10"/>
  <c r="W1930" i="10"/>
  <c r="L1930" i="10"/>
  <c r="BA1929" i="10"/>
  <c r="AS1929" i="10"/>
  <c r="AO1929" i="10"/>
  <c r="AM1929" i="10"/>
  <c r="AJ1929" i="10" s="1"/>
  <c r="AD1929" i="10"/>
  <c r="AV1929" i="10" s="1"/>
  <c r="W1929" i="10"/>
  <c r="L1929" i="10"/>
  <c r="BA1928" i="10"/>
  <c r="AS1928" i="10"/>
  <c r="AM1928" i="10"/>
  <c r="AD1928" i="10"/>
  <c r="W1928" i="10"/>
  <c r="L1928" i="10"/>
  <c r="BA1927" i="10"/>
  <c r="AS1927" i="10"/>
  <c r="BO1927" i="10" s="1"/>
  <c r="AM1927" i="10"/>
  <c r="AD1927" i="10"/>
  <c r="W1927" i="10"/>
  <c r="L1927" i="10"/>
  <c r="BA1926" i="10"/>
  <c r="AS1926" i="10"/>
  <c r="AO1926" i="10" s="1"/>
  <c r="AM1926" i="10"/>
  <c r="AD1926" i="10"/>
  <c r="W1926" i="10"/>
  <c r="L1926" i="10"/>
  <c r="BA1925" i="10"/>
  <c r="AS1925" i="10"/>
  <c r="BH1925" i="10" s="1"/>
  <c r="BM1925" i="10" s="1"/>
  <c r="BO1925" i="10" s="1"/>
  <c r="AM1925" i="10"/>
  <c r="AJ1925" i="10" s="1"/>
  <c r="AD1925" i="10"/>
  <c r="AV1925" i="10" s="1"/>
  <c r="W1925" i="10"/>
  <c r="L1925" i="10"/>
  <c r="BA1924" i="10"/>
  <c r="AS1924" i="10"/>
  <c r="AM1924" i="10"/>
  <c r="AD1924" i="10"/>
  <c r="AV1924" i="10" s="1"/>
  <c r="W1924" i="10"/>
  <c r="L1924" i="10"/>
  <c r="BA1923" i="10"/>
  <c r="AS1923" i="10"/>
  <c r="AM1923" i="10"/>
  <c r="AJ1923" i="10" s="1"/>
  <c r="AD1923" i="10"/>
  <c r="AV1923" i="10" s="1"/>
  <c r="W1923" i="10"/>
  <c r="L1923" i="10"/>
  <c r="BA1922" i="10"/>
  <c r="AS1922" i="10"/>
  <c r="BO1922" i="10" s="1"/>
  <c r="AM1922" i="10"/>
  <c r="AJ1922" i="10" s="1"/>
  <c r="AD1922" i="10"/>
  <c r="AA1922" i="10" s="1"/>
  <c r="W1922" i="10"/>
  <c r="L1922" i="10"/>
  <c r="BA1921" i="10"/>
  <c r="AS1921" i="10"/>
  <c r="AM1921" i="10"/>
  <c r="AJ1921" i="10" s="1"/>
  <c r="AD1921" i="10"/>
  <c r="W1921" i="10"/>
  <c r="L1921" i="10"/>
  <c r="BA1920" i="10"/>
  <c r="AS1920" i="10"/>
  <c r="AM1920" i="10"/>
  <c r="AN1920" i="10" s="1"/>
  <c r="AD1920" i="10"/>
  <c r="W1920" i="10"/>
  <c r="L1920" i="10"/>
  <c r="BA1919" i="10"/>
  <c r="AS1919" i="10"/>
  <c r="AM1919" i="10"/>
  <c r="AD1919" i="10"/>
  <c r="AV1919" i="10" s="1"/>
  <c r="W1919" i="10"/>
  <c r="L1919" i="10"/>
  <c r="BA1918" i="10"/>
  <c r="AS1918" i="10"/>
  <c r="AM1918" i="10"/>
  <c r="AJ1918" i="10" s="1"/>
  <c r="AD1918" i="10"/>
  <c r="AV1918" i="10" s="1"/>
  <c r="AA1918" i="10"/>
  <c r="W1918" i="10"/>
  <c r="L1918" i="10"/>
  <c r="BA1917" i="10"/>
  <c r="AS1917" i="10"/>
  <c r="AM1917" i="10"/>
  <c r="AJ1917" i="10" s="1"/>
  <c r="AD1917" i="10"/>
  <c r="W1917" i="10"/>
  <c r="L1917" i="10"/>
  <c r="BA1916" i="10"/>
  <c r="AS1916" i="10"/>
  <c r="AM1916" i="10"/>
  <c r="AD1916" i="10"/>
  <c r="W1916" i="10"/>
  <c r="L1916" i="10"/>
  <c r="BA1915" i="10"/>
  <c r="AS1915" i="10"/>
  <c r="AO1915" i="10"/>
  <c r="AM1915" i="10"/>
  <c r="AD1915" i="10"/>
  <c r="W1915" i="10"/>
  <c r="L1915" i="10"/>
  <c r="BA1914" i="10"/>
  <c r="AS1914" i="10"/>
  <c r="BH1914" i="10" s="1"/>
  <c r="AM1914" i="10"/>
  <c r="AD1914" i="10"/>
  <c r="AV1914" i="10" s="1"/>
  <c r="W1914" i="10"/>
  <c r="L1914" i="10"/>
  <c r="AZ1913" i="10"/>
  <c r="AR1913" i="10"/>
  <c r="V1913" i="10"/>
  <c r="K1913" i="10"/>
  <c r="J1913" i="10"/>
  <c r="AZ1912" i="10"/>
  <c r="AS1912" i="10"/>
  <c r="AM1912" i="10"/>
  <c r="AJ1912" i="10" s="1"/>
  <c r="AD1912" i="10"/>
  <c r="W1912" i="10"/>
  <c r="L1912" i="10"/>
  <c r="AZ1911" i="10"/>
  <c r="AS1911" i="10"/>
  <c r="AM1911" i="10"/>
  <c r="AD1911" i="10"/>
  <c r="W1911" i="10"/>
  <c r="L1911" i="10"/>
  <c r="AZ1910" i="10"/>
  <c r="AS1910" i="10"/>
  <c r="BH1910" i="10" s="1"/>
  <c r="BM1910" i="10" s="1"/>
  <c r="BO1910" i="10" s="1"/>
  <c r="AM1910" i="10"/>
  <c r="AD1910" i="10"/>
  <c r="W1910" i="10"/>
  <c r="L1910" i="10"/>
  <c r="AZ1909" i="10"/>
  <c r="AS1909" i="10"/>
  <c r="AO1909" i="10" s="1"/>
  <c r="AM1909" i="10"/>
  <c r="AJ1909" i="10" s="1"/>
  <c r="AD1909" i="10"/>
  <c r="W1909" i="10"/>
  <c r="L1909" i="10"/>
  <c r="AZ1908" i="10"/>
  <c r="AS1908" i="10"/>
  <c r="AM1908" i="10"/>
  <c r="AJ1908" i="10" s="1"/>
  <c r="AD1908" i="10"/>
  <c r="AA1908" i="10" s="1"/>
  <c r="W1908" i="10"/>
  <c r="L1908" i="10"/>
  <c r="AZ1907" i="10"/>
  <c r="AS1907" i="10"/>
  <c r="AM1907" i="10"/>
  <c r="AJ1907" i="10" s="1"/>
  <c r="AD1907" i="10"/>
  <c r="W1907" i="10"/>
  <c r="L1907" i="10"/>
  <c r="AZ1906" i="10"/>
  <c r="AS1906" i="10"/>
  <c r="AO1906" i="10" s="1"/>
  <c r="AM1906" i="10"/>
  <c r="AJ1906" i="10" s="1"/>
  <c r="AD1906" i="10"/>
  <c r="W1906" i="10"/>
  <c r="L1906" i="10"/>
  <c r="AZ1905" i="10"/>
  <c r="AS1905" i="10"/>
  <c r="AM1905" i="10"/>
  <c r="AD1905" i="10"/>
  <c r="W1905" i="10"/>
  <c r="L1905" i="10"/>
  <c r="AZ1904" i="10"/>
  <c r="AS1904" i="10"/>
  <c r="AM1904" i="10"/>
  <c r="AD1904" i="10"/>
  <c r="W1904" i="10"/>
  <c r="L1904" i="10"/>
  <c r="AZ1903" i="10"/>
  <c r="AS1903" i="10"/>
  <c r="AM1903" i="10"/>
  <c r="AJ1903" i="10" s="1"/>
  <c r="AD1903" i="10"/>
  <c r="W1903" i="10"/>
  <c r="L1903" i="10"/>
  <c r="AZ1902" i="10"/>
  <c r="AS1902" i="10"/>
  <c r="AM1902" i="10"/>
  <c r="AD1902" i="10"/>
  <c r="W1902" i="10"/>
  <c r="L1902" i="10"/>
  <c r="AZ1901" i="10"/>
  <c r="AS1901" i="10"/>
  <c r="AO1901" i="10" s="1"/>
  <c r="AM1901" i="10"/>
  <c r="AJ1901" i="10" s="1"/>
  <c r="AD1901" i="10"/>
  <c r="W1901" i="10"/>
  <c r="L1901" i="10"/>
  <c r="AZ1900" i="10"/>
  <c r="AS1900" i="10"/>
  <c r="AO1900" i="10" s="1"/>
  <c r="AM1900" i="10"/>
  <c r="AJ1900" i="10" s="1"/>
  <c r="AD1900" i="10"/>
  <c r="W1900" i="10"/>
  <c r="L1900" i="10"/>
  <c r="AZ1899" i="10"/>
  <c r="AS1899" i="10"/>
  <c r="AM1899" i="10"/>
  <c r="AJ1899" i="10" s="1"/>
  <c r="AD1899" i="10"/>
  <c r="AA1899" i="10" s="1"/>
  <c r="W1899" i="10"/>
  <c r="L1899" i="10"/>
  <c r="AZ1898" i="10"/>
  <c r="AS1898" i="10"/>
  <c r="AM1898" i="10"/>
  <c r="AJ1898" i="10" s="1"/>
  <c r="AD1898" i="10"/>
  <c r="W1898" i="10"/>
  <c r="L1898" i="10"/>
  <c r="AZ1897" i="10"/>
  <c r="AS1897" i="10"/>
  <c r="AO1897" i="10"/>
  <c r="AM1897" i="10"/>
  <c r="AN1897" i="10" s="1"/>
  <c r="AD1897" i="10"/>
  <c r="W1897" i="10"/>
  <c r="L1897" i="10"/>
  <c r="AZ1896" i="10"/>
  <c r="AS1896" i="10"/>
  <c r="AO1896" i="10"/>
  <c r="AM1896" i="10"/>
  <c r="AJ1896" i="10" s="1"/>
  <c r="AD1896" i="10"/>
  <c r="W1896" i="10"/>
  <c r="L1896" i="10"/>
  <c r="AZ1895" i="10"/>
  <c r="AS1895" i="10"/>
  <c r="AO1895" i="10" s="1"/>
  <c r="AM1895" i="10"/>
  <c r="AD1895" i="10"/>
  <c r="W1895" i="10"/>
  <c r="L1895" i="10"/>
  <c r="AZ1894" i="10"/>
  <c r="AS1894" i="10"/>
  <c r="AM1894" i="10"/>
  <c r="AJ1894" i="10" s="1"/>
  <c r="AD1894" i="10"/>
  <c r="W1894" i="10"/>
  <c r="L1894" i="10"/>
  <c r="AZ1893" i="10"/>
  <c r="AS1893" i="10"/>
  <c r="AM1893" i="10"/>
  <c r="AD1893" i="10"/>
  <c r="W1893" i="10"/>
  <c r="L1893" i="10"/>
  <c r="AZ1892" i="10"/>
  <c r="AS1892" i="10"/>
  <c r="AM1892" i="10"/>
  <c r="AD1892" i="10"/>
  <c r="AV1892" i="10" s="1"/>
  <c r="W1892" i="10"/>
  <c r="L1892" i="10"/>
  <c r="AZ1891" i="10"/>
  <c r="AS1891" i="10"/>
  <c r="AM1891" i="10"/>
  <c r="AJ1891" i="10" s="1"/>
  <c r="AD1891" i="10"/>
  <c r="AA1891" i="10"/>
  <c r="W1891" i="10"/>
  <c r="L1891" i="10"/>
  <c r="AZ1890" i="10"/>
  <c r="AM1890" i="10"/>
  <c r="AD1890" i="10"/>
  <c r="AV1890" i="10" s="1"/>
  <c r="AA1890" i="10"/>
  <c r="W1890" i="10"/>
  <c r="L1890" i="10"/>
  <c r="AZ1889" i="10"/>
  <c r="AS1889" i="10"/>
  <c r="AO1889" i="10" s="1"/>
  <c r="AM1889" i="10"/>
  <c r="AJ1889" i="10"/>
  <c r="AD1889" i="10"/>
  <c r="W1889" i="10"/>
  <c r="L1889" i="10"/>
  <c r="AZ1888" i="10"/>
  <c r="AS1888" i="10"/>
  <c r="AO1888" i="10" s="1"/>
  <c r="AM1888" i="10"/>
  <c r="AD1888" i="10"/>
  <c r="W1888" i="10"/>
  <c r="L1888" i="10"/>
  <c r="AZ1887" i="10"/>
  <c r="AS1887" i="10"/>
  <c r="AM1887" i="10"/>
  <c r="AD1887" i="10"/>
  <c r="W1887" i="10"/>
  <c r="L1887" i="10"/>
  <c r="AZ1886" i="10"/>
  <c r="AS1886" i="10"/>
  <c r="AM1886" i="10"/>
  <c r="AJ1886" i="10" s="1"/>
  <c r="AD1886" i="10"/>
  <c r="AA1886" i="10"/>
  <c r="W1886" i="10"/>
  <c r="L1886" i="10"/>
  <c r="AZ1885" i="10"/>
  <c r="AS1885" i="10"/>
  <c r="AO1885" i="10" s="1"/>
  <c r="AM1885" i="10"/>
  <c r="AD1885" i="10"/>
  <c r="W1885" i="10"/>
  <c r="L1885" i="10"/>
  <c r="AZ1884" i="10"/>
  <c r="AS1884" i="10"/>
  <c r="AO1884" i="10" s="1"/>
  <c r="AM1884" i="10"/>
  <c r="AJ1884" i="10"/>
  <c r="AD1884" i="10"/>
  <c r="W1884" i="10"/>
  <c r="L1884" i="10"/>
  <c r="AZ1883" i="10"/>
  <c r="AS1883" i="10"/>
  <c r="AM1883" i="10"/>
  <c r="AD1883" i="10"/>
  <c r="L1883" i="10"/>
  <c r="AS1882" i="10"/>
  <c r="AO1882" i="10" s="1"/>
  <c r="AM1882" i="10"/>
  <c r="AN1882" i="10" s="1"/>
  <c r="AJ1882" i="10"/>
  <c r="AD1882" i="10"/>
  <c r="AV1882" i="10" s="1"/>
  <c r="W1882" i="10"/>
  <c r="L1882" i="10"/>
  <c r="BA1881" i="10"/>
  <c r="AR1881" i="10"/>
  <c r="V1881" i="10"/>
  <c r="K1881" i="10"/>
  <c r="J1881" i="10"/>
  <c r="AY1878" i="10"/>
  <c r="AS1879" i="10"/>
  <c r="AM1879" i="10"/>
  <c r="AD1879" i="10"/>
  <c r="U1878" i="10"/>
  <c r="Q1878" i="10"/>
  <c r="L1879" i="10"/>
  <c r="AZ1878" i="10"/>
  <c r="AR1878" i="10"/>
  <c r="V1878" i="10"/>
  <c r="K1878" i="10"/>
  <c r="J1878" i="10"/>
  <c r="AZ1877" i="10"/>
  <c r="AS1877" i="10"/>
  <c r="AM1877" i="10"/>
  <c r="AJ1877" i="10" s="1"/>
  <c r="AD1877" i="10"/>
  <c r="AV1877" i="10" s="1"/>
  <c r="W1877" i="10"/>
  <c r="L1877" i="10"/>
  <c r="AZ1876" i="10"/>
  <c r="AS1876" i="10"/>
  <c r="AM1876" i="10"/>
  <c r="AJ1876" i="10" s="1"/>
  <c r="AD1876" i="10"/>
  <c r="W1876" i="10"/>
  <c r="L1876" i="10"/>
  <c r="AZ1875" i="10"/>
  <c r="AS1875" i="10"/>
  <c r="BO1875" i="10" s="1"/>
  <c r="AM1875" i="10"/>
  <c r="AJ1875" i="10" s="1"/>
  <c r="AD1875" i="10"/>
  <c r="AA1875" i="10" s="1"/>
  <c r="W1875" i="10"/>
  <c r="L1875" i="10"/>
  <c r="AZ1874" i="10"/>
  <c r="AS1874" i="10"/>
  <c r="AO1874" i="10" s="1"/>
  <c r="AM1874" i="10"/>
  <c r="AD1874" i="10"/>
  <c r="W1874" i="10"/>
  <c r="L1874" i="10"/>
  <c r="AZ1873" i="10"/>
  <c r="AS1873" i="10"/>
  <c r="AM1873" i="10"/>
  <c r="AD1873" i="10"/>
  <c r="AV1873" i="10" s="1"/>
  <c r="AA1873" i="10"/>
  <c r="W1873" i="10"/>
  <c r="L1873" i="10"/>
  <c r="AZ1872" i="10"/>
  <c r="AS1872" i="10"/>
  <c r="AM1872" i="10"/>
  <c r="AD1872" i="10"/>
  <c r="W1872" i="10"/>
  <c r="L1872" i="10"/>
  <c r="AZ1871" i="10"/>
  <c r="AS1871" i="10"/>
  <c r="AM1871" i="10"/>
  <c r="AD1871" i="10"/>
  <c r="W1871" i="10"/>
  <c r="L1871" i="10"/>
  <c r="AZ1870" i="10"/>
  <c r="AS1870" i="10"/>
  <c r="BO1870" i="10" s="1"/>
  <c r="AO1870" i="10"/>
  <c r="AM1870" i="10"/>
  <c r="AD1870" i="10"/>
  <c r="W1870" i="10"/>
  <c r="L1870" i="10"/>
  <c r="AZ1869" i="10"/>
  <c r="AS1869" i="10"/>
  <c r="BO1869" i="10" s="1"/>
  <c r="AM1869" i="10"/>
  <c r="AJ1869" i="10"/>
  <c r="AD1869" i="10"/>
  <c r="AV1869" i="10" s="1"/>
  <c r="W1869" i="10"/>
  <c r="L1869" i="10"/>
  <c r="AZ1868" i="10"/>
  <c r="AS1868" i="10"/>
  <c r="AM1868" i="10"/>
  <c r="AJ1868" i="10"/>
  <c r="AD1868" i="10"/>
  <c r="W1868" i="10"/>
  <c r="L1868" i="10"/>
  <c r="AZ1867" i="10"/>
  <c r="AS1867" i="10"/>
  <c r="BO1867" i="10" s="1"/>
  <c r="AM1867" i="10"/>
  <c r="AD1867" i="10"/>
  <c r="W1867" i="10"/>
  <c r="L1867" i="10"/>
  <c r="AZ1866" i="10"/>
  <c r="AS1866" i="10"/>
  <c r="AM1866" i="10"/>
  <c r="AJ1866" i="10"/>
  <c r="AD1866" i="10"/>
  <c r="W1866" i="10"/>
  <c r="L1866" i="10"/>
  <c r="AZ1865" i="10"/>
  <c r="AS1865" i="10"/>
  <c r="AO1865" i="10" s="1"/>
  <c r="AM1865" i="10"/>
  <c r="AD1865" i="10"/>
  <c r="W1865" i="10"/>
  <c r="L1865" i="10"/>
  <c r="AZ1864" i="10"/>
  <c r="AS1864" i="10"/>
  <c r="AM1864" i="10"/>
  <c r="AJ1864" i="10"/>
  <c r="AD1864" i="10"/>
  <c r="AA1864" i="10" s="1"/>
  <c r="W1864" i="10"/>
  <c r="L1864" i="10"/>
  <c r="AZ1863" i="10"/>
  <c r="AS1863" i="10"/>
  <c r="AM1863" i="10"/>
  <c r="AJ1863" i="10"/>
  <c r="AD1863" i="10"/>
  <c r="W1863" i="10"/>
  <c r="L1863" i="10"/>
  <c r="AZ1862" i="10"/>
  <c r="AS1862" i="10"/>
  <c r="AM1862" i="10"/>
  <c r="AD1862" i="10"/>
  <c r="W1862" i="10"/>
  <c r="L1862" i="10"/>
  <c r="AZ1861" i="10"/>
  <c r="AS1861" i="10"/>
  <c r="AM1861" i="10"/>
  <c r="AD1861" i="10"/>
  <c r="AV1861" i="10" s="1"/>
  <c r="W1861" i="10"/>
  <c r="L1861" i="10"/>
  <c r="AZ1860" i="10"/>
  <c r="AS1860" i="10"/>
  <c r="AO1860" i="10" s="1"/>
  <c r="AM1860" i="10"/>
  <c r="AJ1860" i="10" s="1"/>
  <c r="AD1860" i="10"/>
  <c r="W1860" i="10"/>
  <c r="L1860" i="10"/>
  <c r="AZ1859" i="10"/>
  <c r="AS1859" i="10"/>
  <c r="AM1859" i="10"/>
  <c r="AJ1859" i="10" s="1"/>
  <c r="AD1859" i="10"/>
  <c r="W1859" i="10"/>
  <c r="L1859" i="10"/>
  <c r="AZ1858" i="10"/>
  <c r="AS1858" i="10"/>
  <c r="AO1858" i="10" s="1"/>
  <c r="AM1858" i="10"/>
  <c r="AJ1858" i="10"/>
  <c r="AD1858" i="10"/>
  <c r="W1858" i="10"/>
  <c r="L1858" i="10"/>
  <c r="AZ1857" i="10"/>
  <c r="AS1857" i="10"/>
  <c r="AO1857" i="10" s="1"/>
  <c r="AM1857" i="10"/>
  <c r="AD1857" i="10"/>
  <c r="W1857" i="10"/>
  <c r="L1857" i="10"/>
  <c r="AZ1856" i="10"/>
  <c r="AS1856" i="10"/>
  <c r="AO1856" i="10" s="1"/>
  <c r="AM1856" i="10"/>
  <c r="AJ1856" i="10" s="1"/>
  <c r="AD1856" i="10"/>
  <c r="AV1856" i="10" s="1"/>
  <c r="AA1856" i="10"/>
  <c r="W1856" i="10"/>
  <c r="L1856" i="10"/>
  <c r="AZ1855" i="10"/>
  <c r="AS1855" i="10"/>
  <c r="AM1855" i="10"/>
  <c r="AJ1855" i="10"/>
  <c r="AD1855" i="10"/>
  <c r="W1855" i="10"/>
  <c r="L1855" i="10"/>
  <c r="AZ1854" i="10"/>
  <c r="AS1854" i="10"/>
  <c r="AM1854" i="10"/>
  <c r="AD1854" i="10"/>
  <c r="W1854" i="10"/>
  <c r="L1854" i="10"/>
  <c r="AZ1853" i="10"/>
  <c r="AS1853" i="10"/>
  <c r="AM1853" i="10"/>
  <c r="AD1853" i="10"/>
  <c r="AV1853" i="10" s="1"/>
  <c r="W1853" i="10"/>
  <c r="L1853" i="10"/>
  <c r="AM1852" i="10"/>
  <c r="AD1852" i="10"/>
  <c r="AV1852" i="10" s="1"/>
  <c r="L1852" i="10"/>
  <c r="BA1851" i="10"/>
  <c r="AR1851" i="10"/>
  <c r="V1851" i="10"/>
  <c r="K1851" i="10"/>
  <c r="J1851" i="10"/>
  <c r="AZ1850" i="10"/>
  <c r="AS1850" i="10"/>
  <c r="AM1850" i="10"/>
  <c r="AJ1850" i="10"/>
  <c r="AD1850" i="10"/>
  <c r="W1850" i="10"/>
  <c r="L1850" i="10"/>
  <c r="AZ1849" i="10"/>
  <c r="AS1849" i="10"/>
  <c r="BO1849" i="10" s="1"/>
  <c r="AM1849" i="10"/>
  <c r="AD1849" i="10"/>
  <c r="W1849" i="10"/>
  <c r="L1849" i="10"/>
  <c r="AZ1848" i="10"/>
  <c r="AS1848" i="10"/>
  <c r="AM1848" i="10"/>
  <c r="AJ1848" i="10" s="1"/>
  <c r="AD1848" i="10"/>
  <c r="W1848" i="10"/>
  <c r="L1848" i="10"/>
  <c r="AZ1847" i="10"/>
  <c r="AS1847" i="10"/>
  <c r="AO1847" i="10" s="1"/>
  <c r="AM1847" i="10"/>
  <c r="AJ1847" i="10"/>
  <c r="AD1847" i="10"/>
  <c r="W1847" i="10"/>
  <c r="L1847" i="10"/>
  <c r="AZ1846" i="10"/>
  <c r="AS1846" i="10"/>
  <c r="AM1846" i="10"/>
  <c r="AD1846" i="10"/>
  <c r="W1846" i="10"/>
  <c r="L1846" i="10"/>
  <c r="AZ1845" i="10"/>
  <c r="AS1845" i="10"/>
  <c r="AM1845" i="10"/>
  <c r="AJ1845" i="10" s="1"/>
  <c r="AD1845" i="10"/>
  <c r="W1845" i="10"/>
  <c r="L1845" i="10"/>
  <c r="AZ1844" i="10"/>
  <c r="AS1844" i="10"/>
  <c r="AM1844" i="10"/>
  <c r="AJ1844" i="10" s="1"/>
  <c r="AD1844" i="10"/>
  <c r="W1844" i="10"/>
  <c r="L1844" i="10"/>
  <c r="AZ1843" i="10"/>
  <c r="AS1843" i="10"/>
  <c r="AM1843" i="10"/>
  <c r="AD1843" i="10"/>
  <c r="AV1843" i="10" s="1"/>
  <c r="AA1843" i="10"/>
  <c r="W1843" i="10"/>
  <c r="L1843" i="10"/>
  <c r="AZ1842" i="10"/>
  <c r="AS1842" i="10"/>
  <c r="AO1842" i="10" s="1"/>
  <c r="AM1842" i="10"/>
  <c r="AD1842" i="10"/>
  <c r="AV1842" i="10" s="1"/>
  <c r="W1842" i="10"/>
  <c r="L1842" i="10"/>
  <c r="AZ1841" i="10"/>
  <c r="AS1841" i="10"/>
  <c r="AM1841" i="10"/>
  <c r="AD1841" i="10"/>
  <c r="W1841" i="10"/>
  <c r="L1841" i="10"/>
  <c r="AZ1840" i="10"/>
  <c r="AS1840" i="10"/>
  <c r="AM1840" i="10"/>
  <c r="AJ1840" i="10" s="1"/>
  <c r="AD1840" i="10"/>
  <c r="AV1840" i="10" s="1"/>
  <c r="AA1840" i="10"/>
  <c r="W1840" i="10"/>
  <c r="L1840" i="10"/>
  <c r="AZ1839" i="10"/>
  <c r="AS1839" i="10"/>
  <c r="AM1839" i="10"/>
  <c r="AJ1839" i="10" s="1"/>
  <c r="AD1839" i="10"/>
  <c r="AA1839" i="10" s="1"/>
  <c r="W1839" i="10"/>
  <c r="L1839" i="10"/>
  <c r="AZ1838" i="10"/>
  <c r="AS1838" i="10"/>
  <c r="AM1838" i="10"/>
  <c r="AJ1838" i="10" s="1"/>
  <c r="AD1838" i="10"/>
  <c r="W1838" i="10"/>
  <c r="L1838" i="10"/>
  <c r="AZ1837" i="10"/>
  <c r="AS1837" i="10"/>
  <c r="AM1837" i="10"/>
  <c r="AJ1837" i="10" s="1"/>
  <c r="AD1837" i="10"/>
  <c r="W1837" i="10"/>
  <c r="L1837" i="10"/>
  <c r="AZ1836" i="10"/>
  <c r="AS1836" i="10"/>
  <c r="AM1836" i="10"/>
  <c r="AJ1836" i="10"/>
  <c r="AD1836" i="10"/>
  <c r="W1836" i="10"/>
  <c r="L1836" i="10"/>
  <c r="AZ1835" i="10"/>
  <c r="AS1835" i="10"/>
  <c r="AM1835" i="10"/>
  <c r="AJ1835" i="10" s="1"/>
  <c r="AD1835" i="10"/>
  <c r="W1835" i="10"/>
  <c r="L1835" i="10"/>
  <c r="AZ1834" i="10"/>
  <c r="AS1834" i="10"/>
  <c r="AM1834" i="10"/>
  <c r="AD1834" i="10"/>
  <c r="W1834" i="10"/>
  <c r="L1834" i="10"/>
  <c r="AZ1833" i="10"/>
  <c r="AS1833" i="10"/>
  <c r="AO1833" i="10" s="1"/>
  <c r="AM1833" i="10"/>
  <c r="AJ1833" i="10" s="1"/>
  <c r="AD1833" i="10"/>
  <c r="W1833" i="10"/>
  <c r="L1833" i="10"/>
  <c r="AZ1832" i="10"/>
  <c r="AS1832" i="10"/>
  <c r="AO1832" i="10"/>
  <c r="AM1832" i="10"/>
  <c r="AD1832" i="10"/>
  <c r="W1832" i="10"/>
  <c r="L1832" i="10"/>
  <c r="AZ1831" i="10"/>
  <c r="AS1831" i="10"/>
  <c r="AM1831" i="10"/>
  <c r="AJ1831" i="10" s="1"/>
  <c r="AD1831" i="10"/>
  <c r="AV1831" i="10" s="1"/>
  <c r="AA1831" i="10"/>
  <c r="W1831" i="10"/>
  <c r="L1831" i="10"/>
  <c r="AZ1830" i="10"/>
  <c r="AS1830" i="10"/>
  <c r="AO1830" i="10" s="1"/>
  <c r="AM1830" i="10"/>
  <c r="AJ1830" i="10" s="1"/>
  <c r="AD1830" i="10"/>
  <c r="W1830" i="10"/>
  <c r="L1830" i="10"/>
  <c r="AZ1829" i="10"/>
  <c r="AS1829" i="10"/>
  <c r="AO1829" i="10" s="1"/>
  <c r="AM1829" i="10"/>
  <c r="AD1829" i="10"/>
  <c r="AV1829" i="10" s="1"/>
  <c r="W1829" i="10"/>
  <c r="L1829" i="10"/>
  <c r="AZ1828" i="10"/>
  <c r="AS1828" i="10"/>
  <c r="AM1828" i="10"/>
  <c r="AJ1828" i="10" s="1"/>
  <c r="AD1828" i="10"/>
  <c r="W1828" i="10"/>
  <c r="L1828" i="10"/>
  <c r="AZ1827" i="10"/>
  <c r="AS1827" i="10"/>
  <c r="BH1827" i="10" s="1"/>
  <c r="BM1827" i="10" s="1"/>
  <c r="BO1827" i="10" s="1"/>
  <c r="AM1827" i="10"/>
  <c r="AD1827" i="10"/>
  <c r="W1827" i="10"/>
  <c r="L1827" i="10"/>
  <c r="AZ1826" i="10"/>
  <c r="AS1826" i="10"/>
  <c r="BH1826" i="10" s="1"/>
  <c r="BM1826" i="10" s="1"/>
  <c r="BO1826" i="10" s="1"/>
  <c r="AM1826" i="10"/>
  <c r="AJ1826" i="10" s="1"/>
  <c r="AD1826" i="10"/>
  <c r="AA1826" i="10" s="1"/>
  <c r="W1826" i="10"/>
  <c r="L1826" i="10"/>
  <c r="AZ1825" i="10"/>
  <c r="AM1825" i="10"/>
  <c r="AJ1825" i="10"/>
  <c r="AD1825" i="10"/>
  <c r="AU1825" i="10" s="1"/>
  <c r="W1825" i="10"/>
  <c r="L1825" i="10"/>
  <c r="AZ1824" i="10"/>
  <c r="AS1824" i="10"/>
  <c r="AM1824" i="10"/>
  <c r="AJ1824" i="10" s="1"/>
  <c r="AD1824" i="10"/>
  <c r="L1824" i="10"/>
  <c r="BA1823" i="10"/>
  <c r="AR1823" i="10"/>
  <c r="V1823" i="10"/>
  <c r="K1823" i="10"/>
  <c r="J1823" i="10"/>
  <c r="AZ1820" i="10"/>
  <c r="AS1820" i="10"/>
  <c r="AM1820" i="10"/>
  <c r="AJ1820" i="10" s="1"/>
  <c r="AD1820" i="10"/>
  <c r="AV1820" i="10" s="1"/>
  <c r="W1820" i="10"/>
  <c r="L1820" i="10"/>
  <c r="AZ1819" i="10"/>
  <c r="AS1819" i="10"/>
  <c r="AM1819" i="10"/>
  <c r="AJ1819" i="10" s="1"/>
  <c r="AD1819" i="10"/>
  <c r="W1819" i="10"/>
  <c r="L1819" i="10"/>
  <c r="AZ1818" i="10"/>
  <c r="AS1818" i="10"/>
  <c r="AM1818" i="10"/>
  <c r="AD1818" i="10"/>
  <c r="W1818" i="10"/>
  <c r="L1818" i="10"/>
  <c r="AZ1817" i="10"/>
  <c r="AS1817" i="10"/>
  <c r="AM1817" i="10"/>
  <c r="AJ1817" i="10" s="1"/>
  <c r="AD1817" i="10"/>
  <c r="W1817" i="10"/>
  <c r="L1817" i="10"/>
  <c r="AZ1816" i="10"/>
  <c r="AS1816" i="10"/>
  <c r="AM1816" i="10"/>
  <c r="AJ1816" i="10" s="1"/>
  <c r="AD1816" i="10"/>
  <c r="W1816" i="10"/>
  <c r="L1816" i="10"/>
  <c r="AZ1815" i="10"/>
  <c r="AS1815" i="10"/>
  <c r="AM1815" i="10"/>
  <c r="AJ1815" i="10" s="1"/>
  <c r="AD1815" i="10"/>
  <c r="W1815" i="10"/>
  <c r="L1815" i="10"/>
  <c r="AZ1814" i="10"/>
  <c r="AS1814" i="10"/>
  <c r="AM1814" i="10"/>
  <c r="AD1814" i="10"/>
  <c r="AA1814" i="10" s="1"/>
  <c r="W1814" i="10"/>
  <c r="L1814" i="10"/>
  <c r="AZ1813" i="10"/>
  <c r="AS1813" i="10"/>
  <c r="BO1813" i="10" s="1"/>
  <c r="AO1813" i="10"/>
  <c r="AM1813" i="10"/>
  <c r="AD1813" i="10"/>
  <c r="W1813" i="10"/>
  <c r="L1813" i="10"/>
  <c r="AZ1812" i="10"/>
  <c r="AS1812" i="10"/>
  <c r="AM1812" i="10"/>
  <c r="AD1812" i="10"/>
  <c r="AA1812" i="10" s="1"/>
  <c r="W1812" i="10"/>
  <c r="L1812" i="10"/>
  <c r="AZ1811" i="10"/>
  <c r="AS1811" i="10"/>
  <c r="BO1811" i="10" s="1"/>
  <c r="AO1811" i="10"/>
  <c r="AM1811" i="10"/>
  <c r="AJ1811" i="10" s="1"/>
  <c r="AD1811" i="10"/>
  <c r="AV1811" i="10" s="1"/>
  <c r="W1811" i="10"/>
  <c r="L1811" i="10"/>
  <c r="AZ1810" i="10"/>
  <c r="AS1810" i="10"/>
  <c r="AM1810" i="10"/>
  <c r="AJ1810" i="10" s="1"/>
  <c r="AD1810" i="10"/>
  <c r="AA1810" i="10"/>
  <c r="W1810" i="10"/>
  <c r="L1810" i="10"/>
  <c r="AZ1809" i="10"/>
  <c r="AS1809" i="10"/>
  <c r="AM1809" i="10"/>
  <c r="AJ1809" i="10"/>
  <c r="AD1809" i="10"/>
  <c r="W1809" i="10"/>
  <c r="L1809" i="10"/>
  <c r="AZ1808" i="10"/>
  <c r="AS1808" i="10"/>
  <c r="BO1808" i="10" s="1"/>
  <c r="AM1808" i="10"/>
  <c r="AJ1808" i="10" s="1"/>
  <c r="AD1808" i="10"/>
  <c r="W1808" i="10"/>
  <c r="L1808" i="10"/>
  <c r="AZ1807" i="10"/>
  <c r="AS1807" i="10"/>
  <c r="AM1807" i="10"/>
  <c r="AD1807" i="10"/>
  <c r="W1807" i="10"/>
  <c r="L1807" i="10"/>
  <c r="AZ1806" i="10"/>
  <c r="AS1806" i="10"/>
  <c r="AM1806" i="10"/>
  <c r="AJ1806" i="10" s="1"/>
  <c r="AD1806" i="10"/>
  <c r="AV1806" i="10" s="1"/>
  <c r="AA1806" i="10"/>
  <c r="W1806" i="10"/>
  <c r="L1806" i="10"/>
  <c r="AZ1805" i="10"/>
  <c r="AS1805" i="10"/>
  <c r="BO1805" i="10" s="1"/>
  <c r="AM1805" i="10"/>
  <c r="AJ1805" i="10" s="1"/>
  <c r="AD1805" i="10"/>
  <c r="W1805" i="10"/>
  <c r="L1805" i="10"/>
  <c r="AZ1804" i="10"/>
  <c r="AS1804" i="10"/>
  <c r="AM1804" i="10"/>
  <c r="AD1804" i="10"/>
  <c r="AV1804" i="10" s="1"/>
  <c r="W1804" i="10"/>
  <c r="L1804" i="10"/>
  <c r="AZ1803" i="10"/>
  <c r="AS1803" i="10"/>
  <c r="AM1803" i="10"/>
  <c r="AJ1803" i="10" s="1"/>
  <c r="AD1803" i="10"/>
  <c r="W1803" i="10"/>
  <c r="L1803" i="10"/>
  <c r="AZ1802" i="10"/>
  <c r="AS1802" i="10"/>
  <c r="AM1802" i="10"/>
  <c r="AJ1802" i="10" s="1"/>
  <c r="AD1802" i="10"/>
  <c r="AV1802" i="10" s="1"/>
  <c r="W1802" i="10"/>
  <c r="L1802" i="10"/>
  <c r="AZ1801" i="10"/>
  <c r="AS1801" i="10"/>
  <c r="AO1801" i="10" s="1"/>
  <c r="AM1801" i="10"/>
  <c r="AJ1801" i="10" s="1"/>
  <c r="AD1801" i="10"/>
  <c r="W1801" i="10"/>
  <c r="L1801" i="10"/>
  <c r="AZ1800" i="10"/>
  <c r="AS1800" i="10"/>
  <c r="AO1800" i="10" s="1"/>
  <c r="AM1800" i="10"/>
  <c r="AD1800" i="10"/>
  <c r="W1800" i="10"/>
  <c r="L1800" i="10"/>
  <c r="AZ1799" i="10"/>
  <c r="AS1799" i="10"/>
  <c r="AO1799" i="10"/>
  <c r="AM1799" i="10"/>
  <c r="AJ1799" i="10" s="1"/>
  <c r="AD1799" i="10"/>
  <c r="W1799" i="10"/>
  <c r="L1799" i="10"/>
  <c r="AZ1798" i="10"/>
  <c r="AS1798" i="10"/>
  <c r="AM1798" i="10"/>
  <c r="AJ1798" i="10" s="1"/>
  <c r="AD1798" i="10"/>
  <c r="W1798" i="10"/>
  <c r="L1798" i="10"/>
  <c r="AZ1797" i="10"/>
  <c r="AS1797" i="10"/>
  <c r="AO1797" i="10" s="1"/>
  <c r="AM1797" i="10"/>
  <c r="AJ1797" i="10" s="1"/>
  <c r="AD1797" i="10"/>
  <c r="AA1797" i="10" s="1"/>
  <c r="W1797" i="10"/>
  <c r="L1797" i="10"/>
  <c r="AZ1796" i="10"/>
  <c r="AS1796" i="10"/>
  <c r="AM1796" i="10"/>
  <c r="AJ1796" i="10" s="1"/>
  <c r="AD1796" i="10"/>
  <c r="W1796" i="10"/>
  <c r="L1796" i="10"/>
  <c r="AZ1795" i="10"/>
  <c r="AS1795" i="10"/>
  <c r="AM1795" i="10"/>
  <c r="AJ1795" i="10" s="1"/>
  <c r="AD1795" i="10"/>
  <c r="W1795" i="10"/>
  <c r="L1795" i="10"/>
  <c r="AZ1794" i="10"/>
  <c r="AS1794" i="10"/>
  <c r="AM1794" i="10"/>
  <c r="AJ1794" i="10" s="1"/>
  <c r="AD1794" i="10"/>
  <c r="W1794" i="10"/>
  <c r="L1794" i="10"/>
  <c r="BA1793" i="10"/>
  <c r="AR1793" i="10"/>
  <c r="V1793" i="10"/>
  <c r="K1793" i="10"/>
  <c r="J1793" i="10"/>
  <c r="L1793" i="10" s="1"/>
  <c r="BA1792" i="10"/>
  <c r="AS1792" i="10"/>
  <c r="AO1792" i="10" s="1"/>
  <c r="AM1792" i="10"/>
  <c r="AJ1792" i="10" s="1"/>
  <c r="AD1792" i="10"/>
  <c r="W1792" i="10"/>
  <c r="L1792" i="10"/>
  <c r="BA1791" i="10"/>
  <c r="AS1791" i="10"/>
  <c r="AO1791" i="10" s="1"/>
  <c r="AM1791" i="10"/>
  <c r="AJ1791" i="10" s="1"/>
  <c r="AD1791" i="10"/>
  <c r="W1791" i="10"/>
  <c r="L1791" i="10"/>
  <c r="BA1790" i="10"/>
  <c r="AS1790" i="10"/>
  <c r="BH1790" i="10" s="1"/>
  <c r="BM1790" i="10" s="1"/>
  <c r="BO1790" i="10" s="1"/>
  <c r="AM1790" i="10"/>
  <c r="AD1790" i="10"/>
  <c r="AV1790" i="10" s="1"/>
  <c r="AA1790" i="10"/>
  <c r="W1790" i="10"/>
  <c r="L1790" i="10"/>
  <c r="BA1789" i="10"/>
  <c r="AS1789" i="10"/>
  <c r="AM1789" i="10"/>
  <c r="AJ1789" i="10" s="1"/>
  <c r="AD1789" i="10"/>
  <c r="AV1789" i="10" s="1"/>
  <c r="AA1789" i="10"/>
  <c r="W1789" i="10"/>
  <c r="L1789" i="10"/>
  <c r="BA1788" i="10"/>
  <c r="AS1788" i="10"/>
  <c r="AM1788" i="10"/>
  <c r="AD1788" i="10"/>
  <c r="W1788" i="10"/>
  <c r="L1788" i="10"/>
  <c r="BA1787" i="10"/>
  <c r="AS1787" i="10"/>
  <c r="AO1787" i="10" s="1"/>
  <c r="AM1787" i="10"/>
  <c r="AJ1787" i="10" s="1"/>
  <c r="AD1787" i="10"/>
  <c r="AA1787" i="10" s="1"/>
  <c r="W1787" i="10"/>
  <c r="L1787" i="10"/>
  <c r="BA1786" i="10"/>
  <c r="AS1786" i="10"/>
  <c r="AO1786" i="10" s="1"/>
  <c r="AM1786" i="10"/>
  <c r="AJ1786" i="10" s="1"/>
  <c r="AD1786" i="10"/>
  <c r="W1786" i="10"/>
  <c r="L1786" i="10"/>
  <c r="BA1785" i="10"/>
  <c r="AS1785" i="10"/>
  <c r="AM1785" i="10"/>
  <c r="AJ1785" i="10" s="1"/>
  <c r="AD1785" i="10"/>
  <c r="AV1785" i="10" s="1"/>
  <c r="W1785" i="10"/>
  <c r="L1785" i="10"/>
  <c r="BA1784" i="10"/>
  <c r="AS1784" i="10"/>
  <c r="BO1784" i="10" s="1"/>
  <c r="AM1784" i="10"/>
  <c r="AJ1784" i="10" s="1"/>
  <c r="AD1784" i="10"/>
  <c r="W1784" i="10"/>
  <c r="L1784" i="10"/>
  <c r="BA1783" i="10"/>
  <c r="AS1783" i="10"/>
  <c r="AM1783" i="10"/>
  <c r="AD1783" i="10"/>
  <c r="W1783" i="10"/>
  <c r="L1783" i="10"/>
  <c r="BA1782" i="10"/>
  <c r="AS1782" i="10"/>
  <c r="AM1782" i="10"/>
  <c r="AJ1782" i="10" s="1"/>
  <c r="AD1782" i="10"/>
  <c r="W1782" i="10"/>
  <c r="L1782" i="10"/>
  <c r="BA1781" i="10"/>
  <c r="AS1781" i="10"/>
  <c r="AM1781" i="10"/>
  <c r="AD1781" i="10"/>
  <c r="AV1781" i="10" s="1"/>
  <c r="W1781" i="10"/>
  <c r="L1781" i="10"/>
  <c r="BA1780" i="10"/>
  <c r="AS1780" i="10"/>
  <c r="AM1780" i="10"/>
  <c r="AN1780" i="10" s="1"/>
  <c r="AD1780" i="10"/>
  <c r="W1780" i="10"/>
  <c r="L1780" i="10"/>
  <c r="BA1779" i="10"/>
  <c r="AS1779" i="10"/>
  <c r="BO1779" i="10" s="1"/>
  <c r="AM1779" i="10"/>
  <c r="AJ1779" i="10" s="1"/>
  <c r="AD1779" i="10"/>
  <c r="AA1779" i="10" s="1"/>
  <c r="W1779" i="10"/>
  <c r="L1779" i="10"/>
  <c r="BA1778" i="10"/>
  <c r="AS1778" i="10"/>
  <c r="AM1778" i="10"/>
  <c r="AD1778" i="10"/>
  <c r="AV1778" i="10" s="1"/>
  <c r="AA1778" i="10"/>
  <c r="W1778" i="10"/>
  <c r="L1778" i="10"/>
  <c r="BA1777" i="10"/>
  <c r="AS1777" i="10"/>
  <c r="BH1777" i="10" s="1"/>
  <c r="BM1777" i="10" s="1"/>
  <c r="BO1777" i="10" s="1"/>
  <c r="AM1777" i="10"/>
  <c r="AD1777" i="10"/>
  <c r="AV1777" i="10" s="1"/>
  <c r="AA1777" i="10"/>
  <c r="W1777" i="10"/>
  <c r="L1777" i="10"/>
  <c r="BA1776" i="10"/>
  <c r="AS1776" i="10"/>
  <c r="BH1776" i="10" s="1"/>
  <c r="BM1776" i="10" s="1"/>
  <c r="BO1776" i="10" s="1"/>
  <c r="AM1776" i="10"/>
  <c r="AD1776" i="10"/>
  <c r="W1776" i="10"/>
  <c r="L1776" i="10"/>
  <c r="BA1775" i="10"/>
  <c r="AS1775" i="10"/>
  <c r="AO1775" i="10" s="1"/>
  <c r="AM1775" i="10"/>
  <c r="AD1775" i="10"/>
  <c r="AV1775" i="10" s="1"/>
  <c r="AA1775" i="10"/>
  <c r="W1775" i="10"/>
  <c r="L1775" i="10"/>
  <c r="BA1774" i="10"/>
  <c r="AS1774" i="10"/>
  <c r="AM1774" i="10"/>
  <c r="AD1774" i="10"/>
  <c r="AV1774" i="10" s="1"/>
  <c r="AA1774" i="10"/>
  <c r="W1774" i="10"/>
  <c r="L1774" i="10"/>
  <c r="BA1773" i="10"/>
  <c r="AS1773" i="10"/>
  <c r="AM1773" i="10"/>
  <c r="AD1773" i="10"/>
  <c r="W1773" i="10"/>
  <c r="L1773" i="10"/>
  <c r="BA1772" i="10"/>
  <c r="AS1772" i="10"/>
  <c r="AM1772" i="10"/>
  <c r="AD1772" i="10"/>
  <c r="W1772" i="10"/>
  <c r="L1772" i="10"/>
  <c r="BA1771" i="10"/>
  <c r="AS1771" i="10"/>
  <c r="BO1771" i="10" s="1"/>
  <c r="AM1771" i="10"/>
  <c r="AJ1771" i="10" s="1"/>
  <c r="AD1771" i="10"/>
  <c r="W1771" i="10"/>
  <c r="L1771" i="10"/>
  <c r="BA1770" i="10"/>
  <c r="AS1770" i="10"/>
  <c r="AM1770" i="10"/>
  <c r="AJ1770" i="10"/>
  <c r="AD1770" i="10"/>
  <c r="W1770" i="10"/>
  <c r="L1770" i="10"/>
  <c r="BA1769" i="10"/>
  <c r="AS1769" i="10"/>
  <c r="BO1769" i="10" s="1"/>
  <c r="AM1769" i="10"/>
  <c r="AJ1769" i="10" s="1"/>
  <c r="AD1769" i="10"/>
  <c r="AV1769" i="10" s="1"/>
  <c r="L1769" i="10"/>
  <c r="BA1768" i="10"/>
  <c r="AM1768" i="10"/>
  <c r="AD1768" i="10"/>
  <c r="AV1768" i="10" s="1"/>
  <c r="AA1768" i="10"/>
  <c r="W1768" i="10"/>
  <c r="L1768" i="10"/>
  <c r="BA1767" i="10"/>
  <c r="AS1767" i="10"/>
  <c r="AM1767" i="10"/>
  <c r="AD1767" i="10"/>
  <c r="W1767" i="10"/>
  <c r="L1767" i="10"/>
  <c r="BA1766" i="10"/>
  <c r="AS1766" i="10"/>
  <c r="BH1766" i="10" s="1"/>
  <c r="BM1766" i="10" s="1"/>
  <c r="BO1766" i="10" s="1"/>
  <c r="AM1766" i="10"/>
  <c r="AJ1766" i="10" s="1"/>
  <c r="AD1766" i="10"/>
  <c r="AV1766" i="10" s="1"/>
  <c r="W1766" i="10"/>
  <c r="L1766" i="10"/>
  <c r="AZ1765" i="10"/>
  <c r="AR1765" i="10"/>
  <c r="V1765" i="10"/>
  <c r="K1765" i="10"/>
  <c r="J1765" i="10"/>
  <c r="AZ1764" i="10"/>
  <c r="AS1764" i="10"/>
  <c r="BH1764" i="10" s="1"/>
  <c r="BM1764" i="10" s="1"/>
  <c r="BO1764" i="10" s="1"/>
  <c r="AM1764" i="10"/>
  <c r="AD1764" i="10"/>
  <c r="AV1764" i="10" s="1"/>
  <c r="W1764" i="10"/>
  <c r="L1764" i="10"/>
  <c r="AZ1763" i="10"/>
  <c r="AS1763" i="10"/>
  <c r="AM1763" i="10"/>
  <c r="AD1763" i="10"/>
  <c r="W1763" i="10"/>
  <c r="L1763" i="10"/>
  <c r="AZ1762" i="10"/>
  <c r="AS1762" i="10"/>
  <c r="BH1762" i="10" s="1"/>
  <c r="BM1762" i="10" s="1"/>
  <c r="BO1762" i="10" s="1"/>
  <c r="AM1762" i="10"/>
  <c r="AJ1762" i="10" s="1"/>
  <c r="AD1762" i="10"/>
  <c r="W1762" i="10"/>
  <c r="L1762" i="10"/>
  <c r="AZ1761" i="10"/>
  <c r="AS1761" i="10"/>
  <c r="AM1761" i="10"/>
  <c r="AD1761" i="10"/>
  <c r="W1761" i="10"/>
  <c r="L1761" i="10"/>
  <c r="AZ1760" i="10"/>
  <c r="AS1760" i="10"/>
  <c r="AO1760" i="10" s="1"/>
  <c r="AM1760" i="10"/>
  <c r="AD1760" i="10"/>
  <c r="W1760" i="10"/>
  <c r="L1760" i="10"/>
  <c r="AZ1759" i="10"/>
  <c r="AS1759" i="10"/>
  <c r="BO1759" i="10" s="1"/>
  <c r="AM1759" i="10"/>
  <c r="AD1759" i="10"/>
  <c r="AV1759" i="10" s="1"/>
  <c r="AA1759" i="10"/>
  <c r="W1759" i="10"/>
  <c r="L1759" i="10"/>
  <c r="AZ1758" i="10"/>
  <c r="AS1758" i="10"/>
  <c r="AM1758" i="10"/>
  <c r="AD1758" i="10"/>
  <c r="W1758" i="10"/>
  <c r="L1758" i="10"/>
  <c r="AZ1757" i="10"/>
  <c r="AS1757" i="10"/>
  <c r="AM1757" i="10"/>
  <c r="AJ1757" i="10" s="1"/>
  <c r="AD1757" i="10"/>
  <c r="AV1757" i="10" s="1"/>
  <c r="W1757" i="10"/>
  <c r="L1757" i="10"/>
  <c r="AZ1756" i="10"/>
  <c r="AS1756" i="10"/>
  <c r="AM1756" i="10"/>
  <c r="AD1756" i="10"/>
  <c r="W1756" i="10"/>
  <c r="L1756" i="10"/>
  <c r="AZ1755" i="10"/>
  <c r="AS1755" i="10"/>
  <c r="AM1755" i="10"/>
  <c r="AJ1755" i="10" s="1"/>
  <c r="AD1755" i="10"/>
  <c r="AV1755" i="10" s="1"/>
  <c r="W1755" i="10"/>
  <c r="L1755" i="10"/>
  <c r="AZ1754" i="10"/>
  <c r="AS1754" i="10"/>
  <c r="AO1754" i="10" s="1"/>
  <c r="AM1754" i="10"/>
  <c r="AJ1754" i="10"/>
  <c r="AD1754" i="10"/>
  <c r="W1754" i="10"/>
  <c r="L1754" i="10"/>
  <c r="AZ1753" i="10"/>
  <c r="AS1753" i="10"/>
  <c r="AM1753" i="10"/>
  <c r="AD1753" i="10"/>
  <c r="AV1753" i="10" s="1"/>
  <c r="AA1753" i="10"/>
  <c r="W1753" i="10"/>
  <c r="L1753" i="10"/>
  <c r="AZ1752" i="10"/>
  <c r="AS1752" i="10"/>
  <c r="AM1752" i="10"/>
  <c r="AD1752" i="10"/>
  <c r="W1752" i="10"/>
  <c r="L1752" i="10"/>
  <c r="AZ1751" i="10"/>
  <c r="AS1751" i="10"/>
  <c r="AO1751" i="10" s="1"/>
  <c r="AM1751" i="10"/>
  <c r="AD1751" i="10"/>
  <c r="W1751" i="10"/>
  <c r="L1751" i="10"/>
  <c r="AZ1750" i="10"/>
  <c r="AS1750" i="10"/>
  <c r="AO1750" i="10"/>
  <c r="AM1750" i="10"/>
  <c r="AD1750" i="10"/>
  <c r="W1750" i="10"/>
  <c r="L1750" i="10"/>
  <c r="AZ1749" i="10"/>
  <c r="AS1749" i="10"/>
  <c r="AM1749" i="10"/>
  <c r="AJ1749" i="10" s="1"/>
  <c r="AD1749" i="10"/>
  <c r="W1749" i="10"/>
  <c r="L1749" i="10"/>
  <c r="AZ1748" i="10"/>
  <c r="AS1748" i="10"/>
  <c r="BH1748" i="10" s="1"/>
  <c r="BM1748" i="10" s="1"/>
  <c r="BO1748" i="10" s="1"/>
  <c r="AM1748" i="10"/>
  <c r="AJ1748" i="10" s="1"/>
  <c r="AD1748" i="10"/>
  <c r="W1748" i="10"/>
  <c r="L1748" i="10"/>
  <c r="AZ1747" i="10"/>
  <c r="AS1747" i="10"/>
  <c r="AM1747" i="10"/>
  <c r="AJ1747" i="10" s="1"/>
  <c r="AD1747" i="10"/>
  <c r="AA1747" i="10" s="1"/>
  <c r="W1747" i="10"/>
  <c r="L1747" i="10"/>
  <c r="AZ1746" i="10"/>
  <c r="AS1746" i="10"/>
  <c r="AM1746" i="10"/>
  <c r="AJ1746" i="10" s="1"/>
  <c r="AD1746" i="10"/>
  <c r="W1746" i="10"/>
  <c r="L1746" i="10"/>
  <c r="AZ1745" i="10"/>
  <c r="AS1745" i="10"/>
  <c r="AO1745" i="10" s="1"/>
  <c r="AM1745" i="10"/>
  <c r="AD1745" i="10"/>
  <c r="W1745" i="10"/>
  <c r="L1745" i="10"/>
  <c r="AZ1744" i="10"/>
  <c r="AS1744" i="10"/>
  <c r="AM1744" i="10"/>
  <c r="AJ1744" i="10" s="1"/>
  <c r="AD1744" i="10"/>
  <c r="AA1744" i="10" s="1"/>
  <c r="W1744" i="10"/>
  <c r="L1744" i="10"/>
  <c r="AZ1743" i="10"/>
  <c r="AS1743" i="10"/>
  <c r="AM1743" i="10"/>
  <c r="AJ1743" i="10" s="1"/>
  <c r="AD1743" i="10"/>
  <c r="AV1743" i="10" s="1"/>
  <c r="W1743" i="10"/>
  <c r="L1743" i="10"/>
  <c r="AZ1742" i="10"/>
  <c r="AS1742" i="10"/>
  <c r="AM1742" i="10"/>
  <c r="AJ1742" i="10" s="1"/>
  <c r="AD1742" i="10"/>
  <c r="W1742" i="10"/>
  <c r="L1742" i="10"/>
  <c r="AZ1741" i="10"/>
  <c r="AS1741" i="10"/>
  <c r="AM1741" i="10"/>
  <c r="AD1741" i="10"/>
  <c r="W1741" i="10"/>
  <c r="L1741" i="10"/>
  <c r="AZ1740" i="10"/>
  <c r="AS1740" i="10"/>
  <c r="AO1740" i="10" s="1"/>
  <c r="AM1740" i="10"/>
  <c r="AN1740" i="10" s="1"/>
  <c r="AD1740" i="10"/>
  <c r="W1740" i="10"/>
  <c r="L1740" i="10"/>
  <c r="AZ1739" i="10"/>
  <c r="AS1739" i="10"/>
  <c r="AM1739" i="10"/>
  <c r="AJ1739" i="10" s="1"/>
  <c r="AD1739" i="10"/>
  <c r="W1739" i="10"/>
  <c r="L1739" i="10"/>
  <c r="AS1738" i="10"/>
  <c r="AM1738" i="10"/>
  <c r="AJ1738" i="10" s="1"/>
  <c r="AD1738" i="10"/>
  <c r="W1738" i="10"/>
  <c r="L1738" i="10"/>
  <c r="AZ1737" i="10"/>
  <c r="AS1737" i="10"/>
  <c r="AO1737" i="10" s="1"/>
  <c r="AM1737" i="10"/>
  <c r="AJ1737" i="10" s="1"/>
  <c r="AD1737" i="10"/>
  <c r="AA1737" i="10"/>
  <c r="W1737" i="10"/>
  <c r="L1737" i="10"/>
  <c r="BA1736" i="10"/>
  <c r="AR1736" i="10"/>
  <c r="V1736" i="10"/>
  <c r="K1736" i="10"/>
  <c r="K1735" i="10" s="1"/>
  <c r="J1736" i="10"/>
  <c r="BA1734" i="10"/>
  <c r="AS1734" i="10"/>
  <c r="AM1734" i="10"/>
  <c r="AD1734" i="10"/>
  <c r="AV1734" i="10" s="1"/>
  <c r="W1734" i="10"/>
  <c r="L1734" i="10"/>
  <c r="BA1733" i="10"/>
  <c r="AS1733" i="10"/>
  <c r="AO1733" i="10" s="1"/>
  <c r="AM1733" i="10"/>
  <c r="AD1733" i="10"/>
  <c r="W1733" i="10"/>
  <c r="L1733" i="10"/>
  <c r="BA1732" i="10"/>
  <c r="AS1732" i="10"/>
  <c r="BO1732" i="10" s="1"/>
  <c r="AM1732" i="10"/>
  <c r="AJ1732" i="10" s="1"/>
  <c r="AD1732" i="10"/>
  <c r="W1732" i="10"/>
  <c r="L1732" i="10"/>
  <c r="BA1731" i="10"/>
  <c r="AS1731" i="10"/>
  <c r="AM1731" i="10"/>
  <c r="AD1731" i="10"/>
  <c r="W1731" i="10"/>
  <c r="L1731" i="10"/>
  <c r="BA1730" i="10"/>
  <c r="AS1730" i="10"/>
  <c r="AM1730" i="10"/>
  <c r="AJ1730" i="10" s="1"/>
  <c r="AD1730" i="10"/>
  <c r="AV1730" i="10" s="1"/>
  <c r="W1730" i="10"/>
  <c r="L1730" i="10"/>
  <c r="BA1729" i="10"/>
  <c r="AS1729" i="10"/>
  <c r="BO1729" i="10" s="1"/>
  <c r="AM1729" i="10"/>
  <c r="AJ1729" i="10" s="1"/>
  <c r="AD1729" i="10"/>
  <c r="AV1729" i="10" s="1"/>
  <c r="AA1729" i="10"/>
  <c r="W1729" i="10"/>
  <c r="L1729" i="10"/>
  <c r="BA1728" i="10"/>
  <c r="AS1728" i="10"/>
  <c r="AM1728" i="10"/>
  <c r="AJ1728" i="10" s="1"/>
  <c r="AD1728" i="10"/>
  <c r="W1728" i="10"/>
  <c r="L1728" i="10"/>
  <c r="BA1727" i="10"/>
  <c r="AS1727" i="10"/>
  <c r="AM1727" i="10"/>
  <c r="AD1727" i="10"/>
  <c r="W1727" i="10"/>
  <c r="L1727" i="10"/>
  <c r="BA1726" i="10"/>
  <c r="AS1726" i="10"/>
  <c r="AM1726" i="10"/>
  <c r="AD1726" i="10"/>
  <c r="W1726" i="10"/>
  <c r="L1726" i="10"/>
  <c r="BA1725" i="10"/>
  <c r="AS1725" i="10"/>
  <c r="AM1725" i="10"/>
  <c r="AJ1725" i="10" s="1"/>
  <c r="AD1725" i="10"/>
  <c r="W1725" i="10"/>
  <c r="L1725" i="10"/>
  <c r="BA1724" i="10"/>
  <c r="AS1724" i="10"/>
  <c r="AM1724" i="10"/>
  <c r="AD1724" i="10"/>
  <c r="W1724" i="10"/>
  <c r="L1724" i="10"/>
  <c r="BA1723" i="10"/>
  <c r="AS1723" i="10"/>
  <c r="AM1723" i="10"/>
  <c r="AD1723" i="10"/>
  <c r="W1723" i="10"/>
  <c r="L1723" i="10"/>
  <c r="BA1722" i="10"/>
  <c r="AS1722" i="10"/>
  <c r="AM1722" i="10"/>
  <c r="AJ1722" i="10" s="1"/>
  <c r="AD1722" i="10"/>
  <c r="AV1722" i="10" s="1"/>
  <c r="AA1722" i="10"/>
  <c r="W1722" i="10"/>
  <c r="L1722" i="10"/>
  <c r="BA1721" i="10"/>
  <c r="AS1721" i="10"/>
  <c r="AM1721" i="10"/>
  <c r="AD1721" i="10"/>
  <c r="W1721" i="10"/>
  <c r="L1721" i="10"/>
  <c r="BA1720" i="10"/>
  <c r="AS1720" i="10"/>
  <c r="AM1720" i="10"/>
  <c r="AD1720" i="10"/>
  <c r="AV1720" i="10" s="1"/>
  <c r="W1720" i="10"/>
  <c r="L1720" i="10"/>
  <c r="BA1719" i="10"/>
  <c r="AM1719" i="10"/>
  <c r="AD1719" i="10"/>
  <c r="W1719" i="10"/>
  <c r="L1719" i="10"/>
  <c r="BA1718" i="10"/>
  <c r="AS1718" i="10"/>
  <c r="AO1718" i="10" s="1"/>
  <c r="AM1718" i="10"/>
  <c r="AJ1718" i="10" s="1"/>
  <c r="AD1718" i="10"/>
  <c r="W1718" i="10"/>
  <c r="L1718" i="10"/>
  <c r="BA1717" i="10"/>
  <c r="AS1717" i="10"/>
  <c r="AM1717" i="10"/>
  <c r="AJ1717" i="10" s="1"/>
  <c r="AD1717" i="10"/>
  <c r="AA1717" i="10" s="1"/>
  <c r="W1717" i="10"/>
  <c r="L1717" i="10"/>
  <c r="AZ1716" i="10"/>
  <c r="AR1716" i="10"/>
  <c r="V1716" i="10"/>
  <c r="K1716" i="10"/>
  <c r="J1716" i="10"/>
  <c r="BA1715" i="10"/>
  <c r="AS1715" i="10"/>
  <c r="AM1715" i="10"/>
  <c r="AJ1715" i="10" s="1"/>
  <c r="AD1715" i="10"/>
  <c r="W1715" i="10"/>
  <c r="L1715" i="10"/>
  <c r="BA1714" i="10"/>
  <c r="AS1714" i="10"/>
  <c r="AM1714" i="10"/>
  <c r="AJ1714" i="10" s="1"/>
  <c r="AD1714" i="10"/>
  <c r="W1714" i="10"/>
  <c r="L1714" i="10"/>
  <c r="BA1713" i="10"/>
  <c r="AS1713" i="10"/>
  <c r="AM1713" i="10"/>
  <c r="AJ1713" i="10" s="1"/>
  <c r="AD1713" i="10"/>
  <c r="W1713" i="10"/>
  <c r="L1713" i="10"/>
  <c r="BA1712" i="10"/>
  <c r="AS1712" i="10"/>
  <c r="AM1712" i="10"/>
  <c r="AD1712" i="10"/>
  <c r="AA1712" i="10" s="1"/>
  <c r="W1712" i="10"/>
  <c r="L1712" i="10"/>
  <c r="BA1711" i="10"/>
  <c r="AS1711" i="10"/>
  <c r="AM1711" i="10"/>
  <c r="AJ1711" i="10" s="1"/>
  <c r="AD1711" i="10"/>
  <c r="W1711" i="10"/>
  <c r="L1711" i="10"/>
  <c r="BA1710" i="10"/>
  <c r="AS1710" i="10"/>
  <c r="BO1710" i="10" s="1"/>
  <c r="AM1710" i="10"/>
  <c r="AD1710" i="10"/>
  <c r="AV1710" i="10" s="1"/>
  <c r="W1710" i="10"/>
  <c r="L1710" i="10"/>
  <c r="BA1709" i="10"/>
  <c r="AS1709" i="10"/>
  <c r="BO1709" i="10" s="1"/>
  <c r="AM1709" i="10"/>
  <c r="AJ1709" i="10" s="1"/>
  <c r="AD1709" i="10"/>
  <c r="AA1709" i="10" s="1"/>
  <c r="W1709" i="10"/>
  <c r="L1709" i="10"/>
  <c r="BA1708" i="10"/>
  <c r="AS1708" i="10"/>
  <c r="AM1708" i="10"/>
  <c r="AJ1708" i="10" s="1"/>
  <c r="AD1708" i="10"/>
  <c r="W1708" i="10"/>
  <c r="L1708" i="10"/>
  <c r="BA1707" i="10"/>
  <c r="AS1707" i="10"/>
  <c r="AM1707" i="10"/>
  <c r="AN1707" i="10" s="1"/>
  <c r="AJ1707" i="10"/>
  <c r="AD1707" i="10"/>
  <c r="W1707" i="10"/>
  <c r="L1707" i="10"/>
  <c r="BA1706" i="10"/>
  <c r="AS1706" i="10"/>
  <c r="AM1706" i="10"/>
  <c r="AD1706" i="10"/>
  <c r="AV1706" i="10" s="1"/>
  <c r="W1706" i="10"/>
  <c r="L1706" i="10"/>
  <c r="BA1705" i="10"/>
  <c r="AS1705" i="10"/>
  <c r="AM1705" i="10"/>
  <c r="AJ1705" i="10" s="1"/>
  <c r="AD1705" i="10"/>
  <c r="AV1705" i="10" s="1"/>
  <c r="W1705" i="10"/>
  <c r="L1705" i="10"/>
  <c r="BA1704" i="10"/>
  <c r="AS1704" i="10"/>
  <c r="AM1704" i="10"/>
  <c r="AJ1704" i="10" s="1"/>
  <c r="AD1704" i="10"/>
  <c r="AA1704" i="10"/>
  <c r="W1704" i="10"/>
  <c r="L1704" i="10"/>
  <c r="BA1703" i="10"/>
  <c r="AS1703" i="10"/>
  <c r="AM1703" i="10"/>
  <c r="AD1703" i="10"/>
  <c r="W1703" i="10"/>
  <c r="L1703" i="10"/>
  <c r="BA1702" i="10"/>
  <c r="AS1702" i="10"/>
  <c r="AM1702" i="10"/>
  <c r="AD1702" i="10"/>
  <c r="W1702" i="10"/>
  <c r="L1702" i="10"/>
  <c r="BA1701" i="10"/>
  <c r="AS1701" i="10"/>
  <c r="AM1701" i="10"/>
  <c r="AD1701" i="10"/>
  <c r="W1701" i="10"/>
  <c r="L1701" i="10"/>
  <c r="BA1700" i="10"/>
  <c r="AS1700" i="10"/>
  <c r="AM1700" i="10"/>
  <c r="AJ1700" i="10" s="1"/>
  <c r="AD1700" i="10"/>
  <c r="AU1700" i="10" s="1"/>
  <c r="W1700" i="10"/>
  <c r="L1700" i="10"/>
  <c r="BA1699" i="10"/>
  <c r="AS1699" i="10"/>
  <c r="AO1699" i="10"/>
  <c r="AM1699" i="10"/>
  <c r="AJ1699" i="10" s="1"/>
  <c r="AD1699" i="10"/>
  <c r="AA1699" i="10" s="1"/>
  <c r="W1699" i="10"/>
  <c r="L1699" i="10"/>
  <c r="BA1698" i="10"/>
  <c r="AS1698" i="10"/>
  <c r="AM1698" i="10"/>
  <c r="AJ1698" i="10" s="1"/>
  <c r="AD1698" i="10"/>
  <c r="W1698" i="10"/>
  <c r="L1698" i="10"/>
  <c r="BA1697" i="10"/>
  <c r="AS1697" i="10"/>
  <c r="AM1697" i="10"/>
  <c r="AD1697" i="10"/>
  <c r="AV1697" i="10" s="1"/>
  <c r="W1697" i="10"/>
  <c r="L1697" i="10"/>
  <c r="BA1696" i="10"/>
  <c r="AS1696" i="10"/>
  <c r="AM1696" i="10"/>
  <c r="AJ1696" i="10" s="1"/>
  <c r="AD1696" i="10"/>
  <c r="W1696" i="10"/>
  <c r="L1696" i="10"/>
  <c r="BA1695" i="10"/>
  <c r="AS1695" i="10"/>
  <c r="AM1695" i="10"/>
  <c r="AJ1695" i="10"/>
  <c r="AD1695" i="10"/>
  <c r="W1695" i="10"/>
  <c r="L1695" i="10"/>
  <c r="BA1694" i="10"/>
  <c r="AS1694" i="10"/>
  <c r="AO1694" i="10" s="1"/>
  <c r="AM1694" i="10"/>
  <c r="AJ1694" i="10" s="1"/>
  <c r="AD1694" i="10"/>
  <c r="AV1694" i="10" s="1"/>
  <c r="AA1694" i="10"/>
  <c r="W1694" i="10"/>
  <c r="L1694" i="10"/>
  <c r="BA1693" i="10"/>
  <c r="AS1693" i="10"/>
  <c r="AM1693" i="10"/>
  <c r="AN1693" i="10" s="1"/>
  <c r="AD1693" i="10"/>
  <c r="W1693" i="10"/>
  <c r="L1693" i="10"/>
  <c r="BA1692" i="10"/>
  <c r="AS1692" i="10"/>
  <c r="AM1692" i="10"/>
  <c r="AJ1692" i="10" s="1"/>
  <c r="AD1692" i="10"/>
  <c r="W1692" i="10"/>
  <c r="L1692" i="10"/>
  <c r="AM1691" i="10"/>
  <c r="AD1691" i="10"/>
  <c r="L1691" i="10"/>
  <c r="BA1690" i="10"/>
  <c r="AS1690" i="10"/>
  <c r="AM1690" i="10"/>
  <c r="AD1690" i="10"/>
  <c r="W1690" i="10"/>
  <c r="L1690" i="10"/>
  <c r="AZ1689" i="10"/>
  <c r="AR1689" i="10"/>
  <c r="V1689" i="10"/>
  <c r="K1689" i="10"/>
  <c r="J1689" i="10"/>
  <c r="L1689" i="10" s="1"/>
  <c r="AZ1688" i="10"/>
  <c r="AS1688" i="10"/>
  <c r="AM1688" i="10"/>
  <c r="AN1688" i="10" s="1"/>
  <c r="AD1688" i="10"/>
  <c r="AV1688" i="10" s="1"/>
  <c r="W1688" i="10"/>
  <c r="L1688" i="10"/>
  <c r="AZ1687" i="10"/>
  <c r="AS1687" i="10"/>
  <c r="BO1687" i="10" s="1"/>
  <c r="AM1687" i="10"/>
  <c r="AD1687" i="10"/>
  <c r="W1687" i="10"/>
  <c r="L1687" i="10"/>
  <c r="AZ1686" i="10"/>
  <c r="AS1686" i="10"/>
  <c r="BO1686" i="10" s="1"/>
  <c r="AO1686" i="10"/>
  <c r="AM1686" i="10"/>
  <c r="AD1686" i="10"/>
  <c r="W1686" i="10"/>
  <c r="L1686" i="10"/>
  <c r="AZ1685" i="10"/>
  <c r="AS1685" i="10"/>
  <c r="AO1685" i="10" s="1"/>
  <c r="AM1685" i="10"/>
  <c r="AJ1685" i="10" s="1"/>
  <c r="AD1685" i="10"/>
  <c r="AA1685" i="10" s="1"/>
  <c r="W1685" i="10"/>
  <c r="L1685" i="10"/>
  <c r="AZ1684" i="10"/>
  <c r="AS1684" i="10"/>
  <c r="AM1684" i="10"/>
  <c r="AJ1684" i="10" s="1"/>
  <c r="AD1684" i="10"/>
  <c r="W1684" i="10"/>
  <c r="L1684" i="10"/>
  <c r="AZ1683" i="10"/>
  <c r="AS1683" i="10"/>
  <c r="AM1683" i="10"/>
  <c r="AJ1683" i="10" s="1"/>
  <c r="AD1683" i="10"/>
  <c r="W1683" i="10"/>
  <c r="L1683" i="10"/>
  <c r="AZ1682" i="10"/>
  <c r="AS1682" i="10"/>
  <c r="AM1682" i="10"/>
  <c r="AN1682" i="10" s="1"/>
  <c r="AD1682" i="10"/>
  <c r="W1682" i="10"/>
  <c r="L1682" i="10"/>
  <c r="AZ1681" i="10"/>
  <c r="AS1681" i="10"/>
  <c r="AO1681" i="10"/>
  <c r="AM1681" i="10"/>
  <c r="AJ1681" i="10" s="1"/>
  <c r="AD1681" i="10"/>
  <c r="AV1681" i="10" s="1"/>
  <c r="W1681" i="10"/>
  <c r="L1681" i="10"/>
  <c r="AZ1680" i="10"/>
  <c r="AS1680" i="10"/>
  <c r="AM1680" i="10"/>
  <c r="AJ1680" i="10" s="1"/>
  <c r="AD1680" i="10"/>
  <c r="W1680" i="10"/>
  <c r="L1680" i="10"/>
  <c r="AZ1679" i="10"/>
  <c r="AS1679" i="10"/>
  <c r="AO1679" i="10" s="1"/>
  <c r="AM1679" i="10"/>
  <c r="AD1679" i="10"/>
  <c r="W1679" i="10"/>
  <c r="L1679" i="10"/>
  <c r="AZ1678" i="10"/>
  <c r="AS1678" i="10"/>
  <c r="BO1678" i="10" s="1"/>
  <c r="AM1678" i="10"/>
  <c r="AJ1678" i="10" s="1"/>
  <c r="AD1678" i="10"/>
  <c r="W1678" i="10"/>
  <c r="L1678" i="10"/>
  <c r="AZ1677" i="10"/>
  <c r="AS1677" i="10"/>
  <c r="AO1677" i="10" s="1"/>
  <c r="AM1677" i="10"/>
  <c r="AJ1677" i="10" s="1"/>
  <c r="AD1677" i="10"/>
  <c r="W1677" i="10"/>
  <c r="L1677" i="10"/>
  <c r="AZ1676" i="10"/>
  <c r="AS1676" i="10"/>
  <c r="AM1676" i="10"/>
  <c r="AJ1676" i="10" s="1"/>
  <c r="AD1676" i="10"/>
  <c r="W1676" i="10"/>
  <c r="L1676" i="10"/>
  <c r="AZ1675" i="10"/>
  <c r="AS1675" i="10"/>
  <c r="BH1675" i="10" s="1"/>
  <c r="BM1675" i="10" s="1"/>
  <c r="BO1675" i="10" s="1"/>
  <c r="AM1675" i="10"/>
  <c r="AJ1675" i="10" s="1"/>
  <c r="AD1675" i="10"/>
  <c r="W1675" i="10"/>
  <c r="L1675" i="10"/>
  <c r="AZ1674" i="10"/>
  <c r="AS1674" i="10"/>
  <c r="BO1674" i="10" s="1"/>
  <c r="AM1674" i="10"/>
  <c r="AD1674" i="10"/>
  <c r="W1674" i="10"/>
  <c r="L1674" i="10"/>
  <c r="AZ1673" i="10"/>
  <c r="AS1673" i="10"/>
  <c r="AM1673" i="10"/>
  <c r="AJ1673" i="10" s="1"/>
  <c r="AD1673" i="10"/>
  <c r="W1673" i="10"/>
  <c r="L1673" i="10"/>
  <c r="AZ1672" i="10"/>
  <c r="AS1672" i="10"/>
  <c r="AM1672" i="10"/>
  <c r="AD1672" i="10"/>
  <c r="W1672" i="10"/>
  <c r="L1672" i="10"/>
  <c r="AZ1671" i="10"/>
  <c r="AS1671" i="10"/>
  <c r="AM1671" i="10"/>
  <c r="AD1671" i="10"/>
  <c r="AV1671" i="10" s="1"/>
  <c r="AA1671" i="10"/>
  <c r="W1671" i="10"/>
  <c r="L1671" i="10"/>
  <c r="AZ1670" i="10"/>
  <c r="AS1670" i="10"/>
  <c r="AM1670" i="10"/>
  <c r="AD1670" i="10"/>
  <c r="AV1670" i="10" s="1"/>
  <c r="W1670" i="10"/>
  <c r="L1670" i="10"/>
  <c r="AZ1669" i="10"/>
  <c r="AS1669" i="10"/>
  <c r="AO1669" i="10" s="1"/>
  <c r="AM1669" i="10"/>
  <c r="AJ1669" i="10" s="1"/>
  <c r="AD1669" i="10"/>
  <c r="W1669" i="10"/>
  <c r="L1669" i="10"/>
  <c r="AZ1668" i="10"/>
  <c r="AS1668" i="10"/>
  <c r="AM1668" i="10"/>
  <c r="AD1668" i="10"/>
  <c r="W1668" i="10"/>
  <c r="L1668" i="10"/>
  <c r="AZ1667" i="10"/>
  <c r="AS1667" i="10"/>
  <c r="AM1667" i="10"/>
  <c r="AJ1667" i="10" s="1"/>
  <c r="AD1667" i="10"/>
  <c r="W1667" i="10"/>
  <c r="L1667" i="10"/>
  <c r="AZ1666" i="10"/>
  <c r="AS1666" i="10"/>
  <c r="BH1666" i="10" s="1"/>
  <c r="BM1666" i="10" s="1"/>
  <c r="BO1666" i="10" s="1"/>
  <c r="AM1666" i="10"/>
  <c r="AJ1666" i="10" s="1"/>
  <c r="AD1666" i="10"/>
  <c r="W1666" i="10"/>
  <c r="L1666" i="10"/>
  <c r="AZ1665" i="10"/>
  <c r="AS1665" i="10"/>
  <c r="BH1665" i="10" s="1"/>
  <c r="BM1665" i="10" s="1"/>
  <c r="BO1665" i="10" s="1"/>
  <c r="AM1665" i="10"/>
  <c r="AJ1665" i="10" s="1"/>
  <c r="AD1665" i="10"/>
  <c r="AV1665" i="10" s="1"/>
  <c r="W1665" i="10"/>
  <c r="L1665" i="10"/>
  <c r="AS1664" i="10"/>
  <c r="AM1664" i="10"/>
  <c r="AD1664" i="10"/>
  <c r="AV1664" i="10" s="1"/>
  <c r="W1664" i="10"/>
  <c r="L1664" i="10"/>
  <c r="AZ1663" i="10"/>
  <c r="AM1663" i="10"/>
  <c r="AD1663" i="10"/>
  <c r="W1663" i="10"/>
  <c r="L1663" i="10"/>
  <c r="BA1662" i="10"/>
  <c r="AR1662" i="10"/>
  <c r="V1662" i="10"/>
  <c r="V1661" i="10" s="1"/>
  <c r="K1662" i="10"/>
  <c r="J1662" i="10"/>
  <c r="AZ1659" i="10"/>
  <c r="AS1659" i="10"/>
  <c r="BO1659" i="10" s="1"/>
  <c r="AM1659" i="10"/>
  <c r="AD1659" i="10"/>
  <c r="W1659" i="10"/>
  <c r="L1659" i="10"/>
  <c r="AZ1658" i="10"/>
  <c r="AS1658" i="10"/>
  <c r="BO1658" i="10" s="1"/>
  <c r="AO1658" i="10"/>
  <c r="AM1658" i="10"/>
  <c r="AD1658" i="10"/>
  <c r="W1658" i="10"/>
  <c r="L1658" i="10"/>
  <c r="AZ1657" i="10"/>
  <c r="AS1657" i="10"/>
  <c r="AM1657" i="10"/>
  <c r="AD1657" i="10"/>
  <c r="W1657" i="10"/>
  <c r="L1657" i="10"/>
  <c r="AZ1656" i="10"/>
  <c r="AS1656" i="10"/>
  <c r="AM1656" i="10"/>
  <c r="AD1656" i="10"/>
  <c r="W1656" i="10"/>
  <c r="L1656" i="10"/>
  <c r="AZ1655" i="10"/>
  <c r="AS1655" i="10"/>
  <c r="AM1655" i="10"/>
  <c r="AD1655" i="10"/>
  <c r="W1655" i="10"/>
  <c r="L1655" i="10"/>
  <c r="AZ1654" i="10"/>
  <c r="AS1654" i="10"/>
  <c r="AM1654" i="10"/>
  <c r="AJ1654" i="10" s="1"/>
  <c r="AD1654" i="10"/>
  <c r="W1654" i="10"/>
  <c r="L1654" i="10"/>
  <c r="AZ1653" i="10"/>
  <c r="AS1653" i="10"/>
  <c r="BO1653" i="10" s="1"/>
  <c r="AM1653" i="10"/>
  <c r="AD1653" i="10"/>
  <c r="AA1653" i="10" s="1"/>
  <c r="W1653" i="10"/>
  <c r="L1653" i="10"/>
  <c r="AZ1652" i="10"/>
  <c r="AS1652" i="10"/>
  <c r="AO1652" i="10" s="1"/>
  <c r="AM1652" i="10"/>
  <c r="AD1652" i="10"/>
  <c r="W1652" i="10"/>
  <c r="L1652" i="10"/>
  <c r="AZ1651" i="10"/>
  <c r="AS1651" i="10"/>
  <c r="BO1651" i="10" s="1"/>
  <c r="AM1651" i="10"/>
  <c r="AJ1651" i="10" s="1"/>
  <c r="AD1651" i="10"/>
  <c r="W1651" i="10"/>
  <c r="L1651" i="10"/>
  <c r="AZ1650" i="10"/>
  <c r="AS1650" i="10"/>
  <c r="AM1650" i="10"/>
  <c r="AJ1650" i="10" s="1"/>
  <c r="AD1650" i="10"/>
  <c r="AA1650" i="10"/>
  <c r="W1650" i="10"/>
  <c r="L1650" i="10"/>
  <c r="AZ1649" i="10"/>
  <c r="AS1649" i="10"/>
  <c r="AM1649" i="10"/>
  <c r="AJ1649" i="10" s="1"/>
  <c r="AD1649" i="10"/>
  <c r="W1649" i="10"/>
  <c r="L1649" i="10"/>
  <c r="AZ1648" i="10"/>
  <c r="AS1648" i="10"/>
  <c r="AM1648" i="10"/>
  <c r="AJ1648" i="10" s="1"/>
  <c r="AD1648" i="10"/>
  <c r="W1648" i="10"/>
  <c r="L1648" i="10"/>
  <c r="AZ1647" i="10"/>
  <c r="AS1647" i="10"/>
  <c r="AM1647" i="10"/>
  <c r="AJ1647" i="10" s="1"/>
  <c r="AD1647" i="10"/>
  <c r="W1647" i="10"/>
  <c r="L1647" i="10"/>
  <c r="AZ1646" i="10"/>
  <c r="AS1646" i="10"/>
  <c r="AM1646" i="10"/>
  <c r="AJ1646" i="10" s="1"/>
  <c r="AD1646" i="10"/>
  <c r="W1646" i="10"/>
  <c r="L1646" i="10"/>
  <c r="AZ1645" i="10"/>
  <c r="AS1645" i="10"/>
  <c r="AO1645" i="10" s="1"/>
  <c r="AM1645" i="10"/>
  <c r="AD1645" i="10"/>
  <c r="W1645" i="10"/>
  <c r="L1645" i="10"/>
  <c r="AZ1644" i="10"/>
  <c r="AS1644" i="10"/>
  <c r="AM1644" i="10"/>
  <c r="AJ1644" i="10" s="1"/>
  <c r="AD1644" i="10"/>
  <c r="AA1644" i="10" s="1"/>
  <c r="W1644" i="10"/>
  <c r="L1644" i="10"/>
  <c r="AS1643" i="10"/>
  <c r="AM1643" i="10"/>
  <c r="AJ1643" i="10" s="1"/>
  <c r="AD1643" i="10"/>
  <c r="W1643" i="10"/>
  <c r="L1643" i="10"/>
  <c r="AZ1642" i="10"/>
  <c r="AS1642" i="10"/>
  <c r="AO1642" i="10" s="1"/>
  <c r="AM1642" i="10"/>
  <c r="AD1642" i="10"/>
  <c r="AA1642" i="10" s="1"/>
  <c r="W1642" i="10"/>
  <c r="L1642" i="10"/>
  <c r="AZ1641" i="10"/>
  <c r="AS1641" i="10"/>
  <c r="AM1641" i="10"/>
  <c r="AJ1641" i="10" s="1"/>
  <c r="AD1641" i="10"/>
  <c r="AA1641" i="10" s="1"/>
  <c r="W1641" i="10"/>
  <c r="L1641" i="10"/>
  <c r="AZ1640" i="10"/>
  <c r="AS1640" i="10"/>
  <c r="AM1640" i="10"/>
  <c r="AD1640" i="10"/>
  <c r="W1640" i="10"/>
  <c r="L1640" i="10"/>
  <c r="AZ1639" i="10"/>
  <c r="AS1639" i="10"/>
  <c r="AM1639" i="10"/>
  <c r="AJ1639" i="10" s="1"/>
  <c r="AD1639" i="10"/>
  <c r="W1639" i="10"/>
  <c r="L1639" i="10"/>
  <c r="AZ1638" i="10"/>
  <c r="AM1638" i="10"/>
  <c r="AJ1638" i="10" s="1"/>
  <c r="AD1638" i="10"/>
  <c r="AA1638" i="10" s="1"/>
  <c r="W1638" i="10"/>
  <c r="L1638" i="10"/>
  <c r="AZ1637" i="10"/>
  <c r="AS1637" i="10"/>
  <c r="AO1637" i="10" s="1"/>
  <c r="AM1637" i="10"/>
  <c r="AD1637" i="10"/>
  <c r="W1637" i="10"/>
  <c r="L1637" i="10"/>
  <c r="BA1636" i="10"/>
  <c r="AR1636" i="10"/>
  <c r="V1636" i="10"/>
  <c r="K1636" i="10"/>
  <c r="J1636" i="10"/>
  <c r="BA1635" i="10"/>
  <c r="AS1635" i="10"/>
  <c r="AM1635" i="10"/>
  <c r="AD1635" i="10"/>
  <c r="W1635" i="10"/>
  <c r="L1635" i="10"/>
  <c r="BA1634" i="10"/>
  <c r="AS1634" i="10"/>
  <c r="AM1634" i="10"/>
  <c r="AD1634" i="10"/>
  <c r="W1634" i="10"/>
  <c r="L1634" i="10"/>
  <c r="BA1633" i="10"/>
  <c r="AS1633" i="10"/>
  <c r="BH1633" i="10" s="1"/>
  <c r="BM1633" i="10" s="1"/>
  <c r="BO1633" i="10" s="1"/>
  <c r="AM1633" i="10"/>
  <c r="AJ1633" i="10" s="1"/>
  <c r="AD1633" i="10"/>
  <c r="W1633" i="10"/>
  <c r="L1633" i="10"/>
  <c r="BA1632" i="10"/>
  <c r="AS1632" i="10"/>
  <c r="BH1632" i="10" s="1"/>
  <c r="BM1632" i="10" s="1"/>
  <c r="BO1632" i="10" s="1"/>
  <c r="AM1632" i="10"/>
  <c r="AD1632" i="10"/>
  <c r="AV1632" i="10" s="1"/>
  <c r="AA1632" i="10"/>
  <c r="W1632" i="10"/>
  <c r="L1632" i="10"/>
  <c r="BA1631" i="10"/>
  <c r="AS1631" i="10"/>
  <c r="AM1631" i="10"/>
  <c r="AD1631" i="10"/>
  <c r="W1631" i="10"/>
  <c r="L1631" i="10"/>
  <c r="BA1630" i="10"/>
  <c r="AS1630" i="10"/>
  <c r="AM1630" i="10"/>
  <c r="AD1630" i="10"/>
  <c r="W1630" i="10"/>
  <c r="L1630" i="10"/>
  <c r="BA1629" i="10"/>
  <c r="AS1629" i="10"/>
  <c r="BO1629" i="10" s="1"/>
  <c r="AM1629" i="10"/>
  <c r="AD1629" i="10"/>
  <c r="W1629" i="10"/>
  <c r="L1629" i="10"/>
  <c r="BA1628" i="10"/>
  <c r="AS1628" i="10"/>
  <c r="AM1628" i="10"/>
  <c r="AD1628" i="10"/>
  <c r="W1628" i="10"/>
  <c r="L1628" i="10"/>
  <c r="BA1627" i="10"/>
  <c r="AS1627" i="10"/>
  <c r="BO1627" i="10" s="1"/>
  <c r="AM1627" i="10"/>
  <c r="AD1627" i="10"/>
  <c r="W1627" i="10"/>
  <c r="L1627" i="10"/>
  <c r="BA1626" i="10"/>
  <c r="AS1626" i="10"/>
  <c r="BO1626" i="10" s="1"/>
  <c r="AM1626" i="10"/>
  <c r="AJ1626" i="10" s="1"/>
  <c r="AD1626" i="10"/>
  <c r="AV1626" i="10" s="1"/>
  <c r="AA1626" i="10"/>
  <c r="W1626" i="10"/>
  <c r="L1626" i="10"/>
  <c r="BA1625" i="10"/>
  <c r="AS1625" i="10"/>
  <c r="AM1625" i="10"/>
  <c r="AJ1625" i="10" s="1"/>
  <c r="AD1625" i="10"/>
  <c r="AA1625" i="10" s="1"/>
  <c r="W1625" i="10"/>
  <c r="L1625" i="10"/>
  <c r="BA1624" i="10"/>
  <c r="AS1624" i="10"/>
  <c r="AM1624" i="10"/>
  <c r="AD1624" i="10"/>
  <c r="W1624" i="10"/>
  <c r="L1624" i="10"/>
  <c r="BA1623" i="10"/>
  <c r="AS1623" i="10"/>
  <c r="AO1623" i="10" s="1"/>
  <c r="AM1623" i="10"/>
  <c r="AJ1623" i="10" s="1"/>
  <c r="AD1623" i="10"/>
  <c r="W1623" i="10"/>
  <c r="L1623" i="10"/>
  <c r="BA1622" i="10"/>
  <c r="AS1622" i="10"/>
  <c r="BO1622" i="10" s="1"/>
  <c r="AO1622" i="10"/>
  <c r="AM1622" i="10"/>
  <c r="AD1622" i="10"/>
  <c r="W1622" i="10"/>
  <c r="L1622" i="10"/>
  <c r="BA1621" i="10"/>
  <c r="AS1621" i="10"/>
  <c r="AO1621" i="10" s="1"/>
  <c r="AM1621" i="10"/>
  <c r="AD1621" i="10"/>
  <c r="W1621" i="10"/>
  <c r="L1621" i="10"/>
  <c r="BA1620" i="10"/>
  <c r="AS1620" i="10"/>
  <c r="AO1620" i="10" s="1"/>
  <c r="AM1620" i="10"/>
  <c r="AD1620" i="10"/>
  <c r="AV1620" i="10" s="1"/>
  <c r="W1620" i="10"/>
  <c r="L1620" i="10"/>
  <c r="BA1619" i="10"/>
  <c r="AS1619" i="10"/>
  <c r="AM1619" i="10"/>
  <c r="AJ1619" i="10" s="1"/>
  <c r="AD1619" i="10"/>
  <c r="W1619" i="10"/>
  <c r="L1619" i="10"/>
  <c r="BA1618" i="10"/>
  <c r="AS1618" i="10"/>
  <c r="AM1618" i="10"/>
  <c r="AJ1618" i="10" s="1"/>
  <c r="AD1618" i="10"/>
  <c r="W1618" i="10"/>
  <c r="L1618" i="10"/>
  <c r="BA1617" i="10"/>
  <c r="AS1617" i="10"/>
  <c r="AM1617" i="10"/>
  <c r="AJ1617" i="10" s="1"/>
  <c r="AD1617" i="10"/>
  <c r="W1617" i="10"/>
  <c r="L1617" i="10"/>
  <c r="BA1616" i="10"/>
  <c r="AS1616" i="10"/>
  <c r="AM1616" i="10"/>
  <c r="AJ1616" i="10" s="1"/>
  <c r="AD1616" i="10"/>
  <c r="W1616" i="10"/>
  <c r="L1616" i="10"/>
  <c r="BA1615" i="10"/>
  <c r="AS1615" i="10"/>
  <c r="AO1615" i="10"/>
  <c r="AM1615" i="10"/>
  <c r="AJ1615" i="10" s="1"/>
  <c r="AD1615" i="10"/>
  <c r="AV1615" i="10" s="1"/>
  <c r="W1615" i="10"/>
  <c r="L1615" i="10"/>
  <c r="BA1614" i="10"/>
  <c r="AS1614" i="10"/>
  <c r="AM1614" i="10"/>
  <c r="AJ1614" i="10" s="1"/>
  <c r="AD1614" i="10"/>
  <c r="AV1614" i="10" s="1"/>
  <c r="W1614" i="10"/>
  <c r="L1614" i="10"/>
  <c r="BA1613" i="10"/>
  <c r="AS1613" i="10"/>
  <c r="BO1613" i="10" s="1"/>
  <c r="AM1613" i="10"/>
  <c r="AJ1613" i="10" s="1"/>
  <c r="AD1613" i="10"/>
  <c r="W1613" i="10"/>
  <c r="L1613" i="10"/>
  <c r="BA1612" i="10"/>
  <c r="AS1612" i="10"/>
  <c r="AO1612" i="10" s="1"/>
  <c r="AM1612" i="10"/>
  <c r="AJ1612" i="10" s="1"/>
  <c r="AD1612" i="10"/>
  <c r="AV1612" i="10" s="1"/>
  <c r="AA1612" i="10"/>
  <c r="W1612" i="10"/>
  <c r="L1612" i="10"/>
  <c r="AS1611" i="10"/>
  <c r="AO1611" i="10" s="1"/>
  <c r="AM1611" i="10"/>
  <c r="AJ1611" i="10" s="1"/>
  <c r="AD1611" i="10"/>
  <c r="L1611" i="10"/>
  <c r="AZ1610" i="10"/>
  <c r="AR1610" i="10"/>
  <c r="V1610" i="10"/>
  <c r="K1610" i="10"/>
  <c r="J1610" i="10"/>
  <c r="AZ1609" i="10"/>
  <c r="AS1609" i="10"/>
  <c r="BH1609" i="10" s="1"/>
  <c r="BM1609" i="10" s="1"/>
  <c r="BO1609" i="10" s="1"/>
  <c r="AM1609" i="10"/>
  <c r="AD1609" i="10"/>
  <c r="AV1609" i="10" s="1"/>
  <c r="W1609" i="10"/>
  <c r="L1609" i="10"/>
  <c r="AZ1608" i="10"/>
  <c r="AS1608" i="10"/>
  <c r="BH1608" i="10" s="1"/>
  <c r="BM1608" i="10" s="1"/>
  <c r="BO1608" i="10" s="1"/>
  <c r="AM1608" i="10"/>
  <c r="AJ1608" i="10"/>
  <c r="AD1608" i="10"/>
  <c r="W1608" i="10"/>
  <c r="L1608" i="10"/>
  <c r="AZ1607" i="10"/>
  <c r="AS1607" i="10"/>
  <c r="BH1607" i="10" s="1"/>
  <c r="BM1607" i="10" s="1"/>
  <c r="BO1607" i="10" s="1"/>
  <c r="AM1607" i="10"/>
  <c r="AD1607" i="10"/>
  <c r="W1607" i="10"/>
  <c r="L1607" i="10"/>
  <c r="AZ1606" i="10"/>
  <c r="AS1606" i="10"/>
  <c r="AM1606" i="10"/>
  <c r="AD1606" i="10"/>
  <c r="AV1606" i="10" s="1"/>
  <c r="W1606" i="10"/>
  <c r="L1606" i="10"/>
  <c r="AZ1605" i="10"/>
  <c r="AS1605" i="10"/>
  <c r="AM1605" i="10"/>
  <c r="AJ1605" i="10" s="1"/>
  <c r="AD1605" i="10"/>
  <c r="W1605" i="10"/>
  <c r="L1605" i="10"/>
  <c r="AZ1604" i="10"/>
  <c r="AS1604" i="10"/>
  <c r="AM1604" i="10"/>
  <c r="AJ1604" i="10" s="1"/>
  <c r="AD1604" i="10"/>
  <c r="W1604" i="10"/>
  <c r="L1604" i="10"/>
  <c r="AZ1603" i="10"/>
  <c r="AS1603" i="10"/>
  <c r="AM1603" i="10"/>
  <c r="AJ1603" i="10" s="1"/>
  <c r="AD1603" i="10"/>
  <c r="AV1603" i="10" s="1"/>
  <c r="W1603" i="10"/>
  <c r="L1603" i="10"/>
  <c r="AZ1602" i="10"/>
  <c r="AS1602" i="10"/>
  <c r="AO1602" i="10" s="1"/>
  <c r="AM1602" i="10"/>
  <c r="AD1602" i="10"/>
  <c r="W1602" i="10"/>
  <c r="L1602" i="10"/>
  <c r="AZ1601" i="10"/>
  <c r="AS1601" i="10"/>
  <c r="AM1601" i="10"/>
  <c r="AJ1601" i="10" s="1"/>
  <c r="AD1601" i="10"/>
  <c r="W1601" i="10"/>
  <c r="L1601" i="10"/>
  <c r="AZ1600" i="10"/>
  <c r="AS1600" i="10"/>
  <c r="AM1600" i="10"/>
  <c r="AJ1600" i="10" s="1"/>
  <c r="AD1600" i="10"/>
  <c r="W1600" i="10"/>
  <c r="L1600" i="10"/>
  <c r="AZ1599" i="10"/>
  <c r="AS1599" i="10"/>
  <c r="AM1599" i="10"/>
  <c r="AD1599" i="10"/>
  <c r="W1599" i="10"/>
  <c r="L1599" i="10"/>
  <c r="AZ1598" i="10"/>
  <c r="AS1598" i="10"/>
  <c r="AM1598" i="10"/>
  <c r="AD1598" i="10"/>
  <c r="AV1598" i="10" s="1"/>
  <c r="AA1598" i="10"/>
  <c r="W1598" i="10"/>
  <c r="L1598" i="10"/>
  <c r="AZ1597" i="10"/>
  <c r="AS1597" i="10"/>
  <c r="AM1597" i="10"/>
  <c r="AJ1597" i="10" s="1"/>
  <c r="AD1597" i="10"/>
  <c r="W1597" i="10"/>
  <c r="L1597" i="10"/>
  <c r="AZ1596" i="10"/>
  <c r="AS1596" i="10"/>
  <c r="AM1596" i="10"/>
  <c r="AD1596" i="10"/>
  <c r="W1596" i="10"/>
  <c r="L1596" i="10"/>
  <c r="AZ1595" i="10"/>
  <c r="AS1595" i="10"/>
  <c r="AO1595" i="10" s="1"/>
  <c r="AM1595" i="10"/>
  <c r="AD1595" i="10"/>
  <c r="AA1595" i="10" s="1"/>
  <c r="W1595" i="10"/>
  <c r="L1595" i="10"/>
  <c r="AZ1594" i="10"/>
  <c r="AS1594" i="10"/>
  <c r="BH1594" i="10" s="1"/>
  <c r="BM1594" i="10" s="1"/>
  <c r="AM1594" i="10"/>
  <c r="AD1594" i="10"/>
  <c r="L1594" i="10"/>
  <c r="BA1593" i="10"/>
  <c r="AR1593" i="10"/>
  <c r="V1593" i="10"/>
  <c r="K1593" i="10"/>
  <c r="J1593" i="10"/>
  <c r="AS1591" i="10"/>
  <c r="BH1591" i="10" s="1"/>
  <c r="BH1590" i="10" s="1"/>
  <c r="AM1591" i="10"/>
  <c r="AM1590" i="10" s="1"/>
  <c r="AJ1590" i="10" s="1"/>
  <c r="AJ1591" i="10"/>
  <c r="AD1591" i="10"/>
  <c r="AA1591" i="10" s="1"/>
  <c r="Q1590" i="10"/>
  <c r="P1590" i="10"/>
  <c r="L1591" i="10"/>
  <c r="AZ1590" i="10"/>
  <c r="AR1590" i="10"/>
  <c r="V1590" i="10"/>
  <c r="K1590" i="10"/>
  <c r="J1590" i="10"/>
  <c r="L1590" i="10" s="1"/>
  <c r="AZ1589" i="10"/>
  <c r="AS1589" i="10"/>
  <c r="BH1589" i="10" s="1"/>
  <c r="BM1589" i="10" s="1"/>
  <c r="BO1589" i="10" s="1"/>
  <c r="AM1589" i="10"/>
  <c r="AJ1589" i="10" s="1"/>
  <c r="AD1589" i="10"/>
  <c r="AA1589" i="10" s="1"/>
  <c r="W1589" i="10"/>
  <c r="L1589" i="10"/>
  <c r="AZ1588" i="10"/>
  <c r="AS1588" i="10"/>
  <c r="AM1588" i="10"/>
  <c r="AD1588" i="10"/>
  <c r="AV1588" i="10" s="1"/>
  <c r="AA1588" i="10"/>
  <c r="W1588" i="10"/>
  <c r="L1588" i="10"/>
  <c r="AZ1587" i="10"/>
  <c r="AS1587" i="10"/>
  <c r="AM1587" i="10"/>
  <c r="AJ1587" i="10" s="1"/>
  <c r="AD1587" i="10"/>
  <c r="AV1587" i="10" s="1"/>
  <c r="AA1587" i="10"/>
  <c r="W1587" i="10"/>
  <c r="L1587" i="10"/>
  <c r="AZ1586" i="10"/>
  <c r="AS1586" i="10"/>
  <c r="AO1586" i="10" s="1"/>
  <c r="AM1586" i="10"/>
  <c r="AJ1586" i="10" s="1"/>
  <c r="AD1586" i="10"/>
  <c r="W1586" i="10"/>
  <c r="L1586" i="10"/>
  <c r="AZ1585" i="10"/>
  <c r="AS1585" i="10"/>
  <c r="AM1585" i="10"/>
  <c r="AJ1585" i="10" s="1"/>
  <c r="AD1585" i="10"/>
  <c r="W1585" i="10"/>
  <c r="L1585" i="10"/>
  <c r="AZ1584" i="10"/>
  <c r="AS1584" i="10"/>
  <c r="AM1584" i="10"/>
  <c r="AJ1584" i="10" s="1"/>
  <c r="AD1584" i="10"/>
  <c r="AV1584" i="10" s="1"/>
  <c r="AA1584" i="10"/>
  <c r="W1584" i="10"/>
  <c r="L1584" i="10"/>
  <c r="AZ1583" i="10"/>
  <c r="AS1583" i="10"/>
  <c r="AM1583" i="10"/>
  <c r="AD1583" i="10"/>
  <c r="W1583" i="10"/>
  <c r="L1583" i="10"/>
  <c r="AZ1582" i="10"/>
  <c r="AS1582" i="10"/>
  <c r="AO1582" i="10" s="1"/>
  <c r="AM1582" i="10"/>
  <c r="AJ1582" i="10"/>
  <c r="AD1582" i="10"/>
  <c r="W1582" i="10"/>
  <c r="L1582" i="10"/>
  <c r="AZ1581" i="10"/>
  <c r="AS1581" i="10"/>
  <c r="AM1581" i="10"/>
  <c r="AJ1581" i="10" s="1"/>
  <c r="AD1581" i="10"/>
  <c r="AV1581" i="10" s="1"/>
  <c r="AA1581" i="10"/>
  <c r="W1581" i="10"/>
  <c r="L1581" i="10"/>
  <c r="AZ1580" i="10"/>
  <c r="AS1580" i="10"/>
  <c r="AM1580" i="10"/>
  <c r="AD1580" i="10"/>
  <c r="W1580" i="10"/>
  <c r="L1580" i="10"/>
  <c r="AZ1579" i="10"/>
  <c r="AS1579" i="10"/>
  <c r="AM1579" i="10"/>
  <c r="AJ1579" i="10" s="1"/>
  <c r="AD1579" i="10"/>
  <c r="W1579" i="10"/>
  <c r="L1579" i="10"/>
  <c r="AZ1578" i="10"/>
  <c r="AS1578" i="10"/>
  <c r="AM1578" i="10"/>
  <c r="AN1578" i="10" s="1"/>
  <c r="AJ1578" i="10"/>
  <c r="AD1578" i="10"/>
  <c r="W1578" i="10"/>
  <c r="L1578" i="10"/>
  <c r="AZ1577" i="10"/>
  <c r="AS1577" i="10"/>
  <c r="AM1577" i="10"/>
  <c r="AD1577" i="10"/>
  <c r="W1577" i="10"/>
  <c r="L1577" i="10"/>
  <c r="AZ1576" i="10"/>
  <c r="AS1576" i="10"/>
  <c r="AO1576" i="10" s="1"/>
  <c r="AM1576" i="10"/>
  <c r="AJ1576" i="10"/>
  <c r="AD1576" i="10"/>
  <c r="AV1576" i="10" s="1"/>
  <c r="W1576" i="10"/>
  <c r="L1576" i="10"/>
  <c r="AZ1575" i="10"/>
  <c r="AS1575" i="10"/>
  <c r="AO1575" i="10"/>
  <c r="AM1575" i="10"/>
  <c r="AJ1575" i="10" s="1"/>
  <c r="AD1575" i="10"/>
  <c r="W1575" i="10"/>
  <c r="L1575" i="10"/>
  <c r="AZ1574" i="10"/>
  <c r="AS1574" i="10"/>
  <c r="AM1574" i="10"/>
  <c r="AJ1574" i="10" s="1"/>
  <c r="AD1574" i="10"/>
  <c r="W1574" i="10"/>
  <c r="L1574" i="10"/>
  <c r="AZ1573" i="10"/>
  <c r="AS1573" i="10"/>
  <c r="AM1573" i="10"/>
  <c r="AD1573" i="10"/>
  <c r="W1573" i="10"/>
  <c r="L1573" i="10"/>
  <c r="AZ1572" i="10"/>
  <c r="AS1572" i="10"/>
  <c r="AM1572" i="10"/>
  <c r="AJ1572" i="10" s="1"/>
  <c r="AD1572" i="10"/>
  <c r="W1572" i="10"/>
  <c r="L1572" i="10"/>
  <c r="AZ1571" i="10"/>
  <c r="AS1571" i="10"/>
  <c r="AM1571" i="10"/>
  <c r="AD1571" i="10"/>
  <c r="AA1571" i="10" s="1"/>
  <c r="W1571" i="10"/>
  <c r="L1571" i="10"/>
  <c r="AZ1570" i="10"/>
  <c r="AS1570" i="10"/>
  <c r="AO1570" i="10" s="1"/>
  <c r="AM1570" i="10"/>
  <c r="AD1570" i="10"/>
  <c r="W1570" i="10"/>
  <c r="L1570" i="10"/>
  <c r="AS1569" i="10"/>
  <c r="AM1569" i="10"/>
  <c r="AD1569" i="10"/>
  <c r="W1569" i="10"/>
  <c r="L1569" i="10"/>
  <c r="AZ1568" i="10"/>
  <c r="AS1568" i="10"/>
  <c r="AO1568" i="10" s="1"/>
  <c r="AM1568" i="10"/>
  <c r="AD1568" i="10"/>
  <c r="AV1568" i="10" s="1"/>
  <c r="AA1568" i="10"/>
  <c r="W1568" i="10"/>
  <c r="L1568" i="10"/>
  <c r="AZ1567" i="10"/>
  <c r="AS1567" i="10"/>
  <c r="AM1567" i="10"/>
  <c r="AJ1567" i="10" s="1"/>
  <c r="AD1567" i="10"/>
  <c r="W1567" i="10"/>
  <c r="L1567" i="10"/>
  <c r="AZ1566" i="10"/>
  <c r="AS1566" i="10"/>
  <c r="AO1566" i="10" s="1"/>
  <c r="AM1566" i="10"/>
  <c r="AJ1566" i="10"/>
  <c r="AD1566" i="10"/>
  <c r="W1566" i="10"/>
  <c r="L1566" i="10"/>
  <c r="AZ1565" i="10"/>
  <c r="AS1565" i="10"/>
  <c r="BH1565" i="10" s="1"/>
  <c r="BM1565" i="10" s="1"/>
  <c r="BO1565" i="10" s="1"/>
  <c r="AM1565" i="10"/>
  <c r="AJ1565" i="10"/>
  <c r="AD1565" i="10"/>
  <c r="W1565" i="10"/>
  <c r="L1565" i="10"/>
  <c r="AZ1564" i="10"/>
  <c r="AS1564" i="10"/>
  <c r="BH1564" i="10" s="1"/>
  <c r="BM1564" i="10" s="1"/>
  <c r="BO1564" i="10" s="1"/>
  <c r="AO1564" i="10"/>
  <c r="AM1564" i="10"/>
  <c r="AD1564" i="10"/>
  <c r="AV1564" i="10" s="1"/>
  <c r="W1564" i="10"/>
  <c r="L1564" i="10"/>
  <c r="AZ1563" i="10"/>
  <c r="AM1563" i="10"/>
  <c r="AD1563" i="10"/>
  <c r="AA1563" i="10"/>
  <c r="L1563" i="10"/>
  <c r="BA1562" i="10"/>
  <c r="AR1562" i="10"/>
  <c r="V1562" i="10"/>
  <c r="K1562" i="10"/>
  <c r="J1562" i="10"/>
  <c r="AZ1561" i="10"/>
  <c r="AS1561" i="10"/>
  <c r="AM1561" i="10"/>
  <c r="AJ1561" i="10" s="1"/>
  <c r="AD1561" i="10"/>
  <c r="AV1561" i="10" s="1"/>
  <c r="W1561" i="10"/>
  <c r="L1561" i="10"/>
  <c r="AZ1560" i="10"/>
  <c r="AS1560" i="10"/>
  <c r="AM1560" i="10"/>
  <c r="AJ1560" i="10" s="1"/>
  <c r="AD1560" i="10"/>
  <c r="W1560" i="10"/>
  <c r="L1560" i="10"/>
  <c r="AZ1559" i="10"/>
  <c r="AS1559" i="10"/>
  <c r="AO1559" i="10"/>
  <c r="AM1559" i="10"/>
  <c r="AD1559" i="10"/>
  <c r="W1559" i="10"/>
  <c r="L1559" i="10"/>
  <c r="AZ1558" i="10"/>
  <c r="AS1558" i="10"/>
  <c r="AM1558" i="10"/>
  <c r="AJ1558" i="10" s="1"/>
  <c r="AD1558" i="10"/>
  <c r="W1558" i="10"/>
  <c r="L1558" i="10"/>
  <c r="AZ1557" i="10"/>
  <c r="AS1557" i="10"/>
  <c r="AO1557" i="10" s="1"/>
  <c r="AM1557" i="10"/>
  <c r="AD1557" i="10"/>
  <c r="W1557" i="10"/>
  <c r="L1557" i="10"/>
  <c r="AZ1556" i="10"/>
  <c r="AS1556" i="10"/>
  <c r="AO1556" i="10"/>
  <c r="AM1556" i="10"/>
  <c r="AD1556" i="10"/>
  <c r="AV1556" i="10" s="1"/>
  <c r="W1556" i="10"/>
  <c r="L1556" i="10"/>
  <c r="AZ1555" i="10"/>
  <c r="AS1555" i="10"/>
  <c r="AM1555" i="10"/>
  <c r="AJ1555" i="10" s="1"/>
  <c r="AD1555" i="10"/>
  <c r="AV1555" i="10" s="1"/>
  <c r="W1555" i="10"/>
  <c r="L1555" i="10"/>
  <c r="AZ1554" i="10"/>
  <c r="AS1554" i="10"/>
  <c r="AO1554" i="10" s="1"/>
  <c r="AM1554" i="10"/>
  <c r="AD1554" i="10"/>
  <c r="AV1554" i="10" s="1"/>
  <c r="AA1554" i="10"/>
  <c r="W1554" i="10"/>
  <c r="L1554" i="10"/>
  <c r="AZ1553" i="10"/>
  <c r="AS1553" i="10"/>
  <c r="AM1553" i="10"/>
  <c r="AD1553" i="10"/>
  <c r="W1553" i="10"/>
  <c r="L1553" i="10"/>
  <c r="AZ1552" i="10"/>
  <c r="AS1552" i="10"/>
  <c r="AM1552" i="10"/>
  <c r="AD1552" i="10"/>
  <c r="W1552" i="10"/>
  <c r="L1552" i="10"/>
  <c r="AZ1551" i="10"/>
  <c r="AS1551" i="10"/>
  <c r="AM1551" i="10"/>
  <c r="AD1551" i="10"/>
  <c r="AV1551" i="10" s="1"/>
  <c r="AA1551" i="10"/>
  <c r="W1551" i="10"/>
  <c r="L1551" i="10"/>
  <c r="AZ1550" i="10"/>
  <c r="AS1550" i="10"/>
  <c r="AO1550" i="10"/>
  <c r="AM1550" i="10"/>
  <c r="AD1550" i="10"/>
  <c r="W1550" i="10"/>
  <c r="L1550" i="10"/>
  <c r="AZ1549" i="10"/>
  <c r="AS1549" i="10"/>
  <c r="AM1549" i="10"/>
  <c r="AJ1549" i="10"/>
  <c r="AD1549" i="10"/>
  <c r="W1549" i="10"/>
  <c r="L1549" i="10"/>
  <c r="AZ1548" i="10"/>
  <c r="AS1548" i="10"/>
  <c r="AO1548" i="10" s="1"/>
  <c r="AM1548" i="10"/>
  <c r="AJ1548" i="10" s="1"/>
  <c r="AD1548" i="10"/>
  <c r="AV1548" i="10" s="1"/>
  <c r="AA1548" i="10"/>
  <c r="W1548" i="10"/>
  <c r="L1548" i="10"/>
  <c r="AZ1547" i="10"/>
  <c r="AS1547" i="10"/>
  <c r="AM1547" i="10"/>
  <c r="AJ1547" i="10"/>
  <c r="AD1547" i="10"/>
  <c r="W1547" i="10"/>
  <c r="L1547" i="10"/>
  <c r="AZ1546" i="10"/>
  <c r="AS1546" i="10"/>
  <c r="AM1546" i="10"/>
  <c r="AD1546" i="10"/>
  <c r="W1546" i="10"/>
  <c r="L1546" i="10"/>
  <c r="AZ1545" i="10"/>
  <c r="AS1545" i="10"/>
  <c r="AO1545" i="10"/>
  <c r="AM1545" i="10"/>
  <c r="AJ1545" i="10" s="1"/>
  <c r="AD1545" i="10"/>
  <c r="AA1545" i="10" s="1"/>
  <c r="W1545" i="10"/>
  <c r="L1545" i="10"/>
  <c r="AZ1544" i="10"/>
  <c r="AS1544" i="10"/>
  <c r="AO1544" i="10" s="1"/>
  <c r="AM1544" i="10"/>
  <c r="AD1544" i="10"/>
  <c r="W1544" i="10"/>
  <c r="L1544" i="10"/>
  <c r="AZ1543" i="10"/>
  <c r="AS1543" i="10"/>
  <c r="AM1543" i="10"/>
  <c r="AD1543" i="10"/>
  <c r="AV1543" i="10" s="1"/>
  <c r="AA1543" i="10"/>
  <c r="W1543" i="10"/>
  <c r="L1543" i="10"/>
  <c r="AZ1542" i="10"/>
  <c r="AS1542" i="10"/>
  <c r="AM1542" i="10"/>
  <c r="AD1542" i="10"/>
  <c r="AV1542" i="10" s="1"/>
  <c r="W1542" i="10"/>
  <c r="L1542" i="10"/>
  <c r="AZ1541" i="10"/>
  <c r="AS1541" i="10"/>
  <c r="AM1541" i="10"/>
  <c r="AJ1541" i="10" s="1"/>
  <c r="AD1541" i="10"/>
  <c r="W1541" i="10"/>
  <c r="L1541" i="10"/>
  <c r="AZ1540" i="10"/>
  <c r="AS1540" i="10"/>
  <c r="AM1540" i="10"/>
  <c r="AD1540" i="10"/>
  <c r="W1540" i="10"/>
  <c r="L1540" i="10"/>
  <c r="AZ1539" i="10"/>
  <c r="AS1539" i="10"/>
  <c r="AM1539" i="10"/>
  <c r="AJ1539" i="10" s="1"/>
  <c r="AD1539" i="10"/>
  <c r="W1539" i="10"/>
  <c r="L1539" i="10"/>
  <c r="AZ1538" i="10"/>
  <c r="AS1538" i="10"/>
  <c r="AM1538" i="10"/>
  <c r="AD1538" i="10"/>
  <c r="AV1538" i="10" s="1"/>
  <c r="AA1538" i="10"/>
  <c r="W1538" i="10"/>
  <c r="L1538" i="10"/>
  <c r="AZ1537" i="10"/>
  <c r="AS1537" i="10"/>
  <c r="AM1537" i="10"/>
  <c r="AD1537" i="10"/>
  <c r="W1537" i="10"/>
  <c r="L1537" i="10"/>
  <c r="AZ1536" i="10"/>
  <c r="AS1536" i="10"/>
  <c r="AM1536" i="10"/>
  <c r="AJ1536" i="10" s="1"/>
  <c r="AD1536" i="10"/>
  <c r="AV1536" i="10" s="1"/>
  <c r="AA1536" i="10"/>
  <c r="W1536" i="10"/>
  <c r="L1536" i="10"/>
  <c r="AZ1535" i="10"/>
  <c r="AS1535" i="10"/>
  <c r="AO1535" i="10" s="1"/>
  <c r="AM1535" i="10"/>
  <c r="AJ1535" i="10"/>
  <c r="AD1535" i="10"/>
  <c r="L1535" i="10"/>
  <c r="BA1534" i="10"/>
  <c r="AR1534" i="10"/>
  <c r="V1534" i="10"/>
  <c r="K1534" i="10"/>
  <c r="J1534" i="10"/>
  <c r="BA1531" i="10"/>
  <c r="AS1531" i="10"/>
  <c r="AM1531" i="10"/>
  <c r="AJ1531" i="10" s="1"/>
  <c r="AD1531" i="10"/>
  <c r="AA1531" i="10" s="1"/>
  <c r="W1531" i="10"/>
  <c r="L1531" i="10"/>
  <c r="BA1530" i="10"/>
  <c r="AS1530" i="10"/>
  <c r="AO1530" i="10" s="1"/>
  <c r="AM1530" i="10"/>
  <c r="AD1530" i="10"/>
  <c r="AV1530" i="10" s="1"/>
  <c r="AA1530" i="10"/>
  <c r="W1530" i="10"/>
  <c r="L1530" i="10"/>
  <c r="BA1529" i="10"/>
  <c r="AS1529" i="10"/>
  <c r="AM1529" i="10"/>
  <c r="AD1529" i="10"/>
  <c r="W1529" i="10"/>
  <c r="L1529" i="10"/>
  <c r="BA1528" i="10"/>
  <c r="AS1528" i="10"/>
  <c r="AO1528" i="10" s="1"/>
  <c r="AM1528" i="10"/>
  <c r="AJ1528" i="10"/>
  <c r="AD1528" i="10"/>
  <c r="W1528" i="10"/>
  <c r="L1528" i="10"/>
  <c r="BA1527" i="10"/>
  <c r="AS1527" i="10"/>
  <c r="AM1527" i="10"/>
  <c r="AD1527" i="10"/>
  <c r="W1527" i="10"/>
  <c r="L1527" i="10"/>
  <c r="BA1526" i="10"/>
  <c r="AS1526" i="10"/>
  <c r="AM1526" i="10"/>
  <c r="AD1526" i="10"/>
  <c r="W1526" i="10"/>
  <c r="L1526" i="10"/>
  <c r="BA1525" i="10"/>
  <c r="AS1525" i="10"/>
  <c r="AM1525" i="10"/>
  <c r="AJ1525" i="10" s="1"/>
  <c r="AD1525" i="10"/>
  <c r="W1525" i="10"/>
  <c r="L1525" i="10"/>
  <c r="BA1524" i="10"/>
  <c r="AS1524" i="10"/>
  <c r="AM1524" i="10"/>
  <c r="AJ1524" i="10" s="1"/>
  <c r="AD1524" i="10"/>
  <c r="AV1524" i="10" s="1"/>
  <c r="AA1524" i="10"/>
  <c r="W1524" i="10"/>
  <c r="L1524" i="10"/>
  <c r="BA1523" i="10"/>
  <c r="AS1523" i="10"/>
  <c r="AM1523" i="10"/>
  <c r="AD1523" i="10"/>
  <c r="W1523" i="10"/>
  <c r="L1523" i="10"/>
  <c r="BA1522" i="10"/>
  <c r="AS1522" i="10"/>
  <c r="AM1522" i="10"/>
  <c r="AD1522" i="10"/>
  <c r="AV1522" i="10" s="1"/>
  <c r="AA1522" i="10"/>
  <c r="W1522" i="10"/>
  <c r="L1522" i="10"/>
  <c r="BA1521" i="10"/>
  <c r="AS1521" i="10"/>
  <c r="AO1521" i="10" s="1"/>
  <c r="AM1521" i="10"/>
  <c r="AJ1521" i="10" s="1"/>
  <c r="AD1521" i="10"/>
  <c r="W1521" i="10"/>
  <c r="L1521" i="10"/>
  <c r="BA1520" i="10"/>
  <c r="AS1520" i="10"/>
  <c r="AO1520" i="10"/>
  <c r="AM1520" i="10"/>
  <c r="AD1520" i="10"/>
  <c r="AV1520" i="10" s="1"/>
  <c r="AA1520" i="10"/>
  <c r="W1520" i="10"/>
  <c r="L1520" i="10"/>
  <c r="BA1519" i="10"/>
  <c r="AS1519" i="10"/>
  <c r="AM1519" i="10"/>
  <c r="AD1519" i="10"/>
  <c r="AV1519" i="10" s="1"/>
  <c r="W1519" i="10"/>
  <c r="L1519" i="10"/>
  <c r="BA1518" i="10"/>
  <c r="AS1518" i="10"/>
  <c r="BO1518" i="10" s="1"/>
  <c r="AO1518" i="10"/>
  <c r="AM1518" i="10"/>
  <c r="AD1518" i="10"/>
  <c r="AV1518" i="10" s="1"/>
  <c r="W1518" i="10"/>
  <c r="L1518" i="10"/>
  <c r="BA1517" i="10"/>
  <c r="AS1517" i="10"/>
  <c r="AM1517" i="10"/>
  <c r="AJ1517" i="10" s="1"/>
  <c r="AD1517" i="10"/>
  <c r="W1517" i="10"/>
  <c r="L1517" i="10"/>
  <c r="BA1516" i="10"/>
  <c r="AS1516" i="10"/>
  <c r="AM1516" i="10"/>
  <c r="AJ1516" i="10"/>
  <c r="AD1516" i="10"/>
  <c r="W1516" i="10"/>
  <c r="L1516" i="10"/>
  <c r="BA1515" i="10"/>
  <c r="AS1515" i="10"/>
  <c r="AM1515" i="10"/>
  <c r="AJ1515" i="10" s="1"/>
  <c r="AD1515" i="10"/>
  <c r="W1515" i="10"/>
  <c r="L1515" i="10"/>
  <c r="BA1514" i="10"/>
  <c r="AS1514" i="10"/>
  <c r="AM1514" i="10"/>
  <c r="AD1514" i="10"/>
  <c r="W1514" i="10"/>
  <c r="L1514" i="10"/>
  <c r="BA1513" i="10"/>
  <c r="AS1513" i="10"/>
  <c r="AO1513" i="10"/>
  <c r="AM1513" i="10"/>
  <c r="AD1513" i="10"/>
  <c r="AV1513" i="10" s="1"/>
  <c r="AA1513" i="10"/>
  <c r="W1513" i="10"/>
  <c r="L1513" i="10"/>
  <c r="BA1512" i="10"/>
  <c r="AS1512" i="10"/>
  <c r="BO1512" i="10" s="1"/>
  <c r="AM1512" i="10"/>
  <c r="AJ1512" i="10" s="1"/>
  <c r="AD1512" i="10"/>
  <c r="W1512" i="10"/>
  <c r="L1512" i="10"/>
  <c r="BA1511" i="10"/>
  <c r="AS1511" i="10"/>
  <c r="AM1511" i="10"/>
  <c r="AD1511" i="10"/>
  <c r="AV1511" i="10" s="1"/>
  <c r="W1511" i="10"/>
  <c r="L1511" i="10"/>
  <c r="BA1510" i="10"/>
  <c r="AS1510" i="10"/>
  <c r="AM1510" i="10"/>
  <c r="AD1510" i="10"/>
  <c r="W1510" i="10"/>
  <c r="L1510" i="10"/>
  <c r="BA1509" i="10"/>
  <c r="AS1509" i="10"/>
  <c r="AM1509" i="10"/>
  <c r="AD1509" i="10"/>
  <c r="W1509" i="10"/>
  <c r="L1509" i="10"/>
  <c r="BA1508" i="10"/>
  <c r="AS1508" i="10"/>
  <c r="BO1508" i="10" s="1"/>
  <c r="AO1508" i="10"/>
  <c r="AM1508" i="10"/>
  <c r="AJ1508" i="10" s="1"/>
  <c r="AD1508" i="10"/>
  <c r="AV1508" i="10" s="1"/>
  <c r="AA1508" i="10"/>
  <c r="W1508" i="10"/>
  <c r="L1508" i="10"/>
  <c r="BA1507" i="10"/>
  <c r="AS1507" i="10"/>
  <c r="AM1507" i="10"/>
  <c r="AD1507" i="10"/>
  <c r="W1507" i="10"/>
  <c r="L1507" i="10"/>
  <c r="BA1506" i="10"/>
  <c r="AS1506" i="10"/>
  <c r="AM1506" i="10"/>
  <c r="AD1506" i="10"/>
  <c r="W1506" i="10"/>
  <c r="L1506" i="10"/>
  <c r="BA1505" i="10"/>
  <c r="AM1505" i="10"/>
  <c r="AD1505" i="10"/>
  <c r="W1505" i="10"/>
  <c r="L1505" i="10"/>
  <c r="BA1504" i="10"/>
  <c r="AS1504" i="10"/>
  <c r="AM1504" i="10"/>
  <c r="AJ1504" i="10" s="1"/>
  <c r="AD1504" i="10"/>
  <c r="W1504" i="10"/>
  <c r="L1504" i="10"/>
  <c r="AZ1503" i="10"/>
  <c r="AR1503" i="10"/>
  <c r="V1503" i="10"/>
  <c r="K1503" i="10"/>
  <c r="J1503" i="10"/>
  <c r="AZ1502" i="10"/>
  <c r="AS1502" i="10"/>
  <c r="AM1502" i="10"/>
  <c r="AD1502" i="10"/>
  <c r="W1502" i="10"/>
  <c r="L1502" i="10"/>
  <c r="AZ1501" i="10"/>
  <c r="AS1501" i="10"/>
  <c r="AM1501" i="10"/>
  <c r="AJ1501" i="10" s="1"/>
  <c r="AD1501" i="10"/>
  <c r="W1501" i="10"/>
  <c r="L1501" i="10"/>
  <c r="AZ1500" i="10"/>
  <c r="AS1500" i="10"/>
  <c r="AO1500" i="10" s="1"/>
  <c r="AM1500" i="10"/>
  <c r="AJ1500" i="10" s="1"/>
  <c r="AD1500" i="10"/>
  <c r="W1500" i="10"/>
  <c r="L1500" i="10"/>
  <c r="AZ1499" i="10"/>
  <c r="AS1499" i="10"/>
  <c r="AM1499" i="10"/>
  <c r="AJ1499" i="10" s="1"/>
  <c r="AD1499" i="10"/>
  <c r="AV1499" i="10" s="1"/>
  <c r="W1499" i="10"/>
  <c r="L1499" i="10"/>
  <c r="AZ1498" i="10"/>
  <c r="AS1498" i="10"/>
  <c r="AM1498" i="10"/>
  <c r="AJ1498" i="10" s="1"/>
  <c r="AD1498" i="10"/>
  <c r="AV1498" i="10" s="1"/>
  <c r="AA1498" i="10"/>
  <c r="W1498" i="10"/>
  <c r="L1498" i="10"/>
  <c r="AZ1497" i="10"/>
  <c r="AS1497" i="10"/>
  <c r="AO1497" i="10" s="1"/>
  <c r="AM1497" i="10"/>
  <c r="AJ1497" i="10" s="1"/>
  <c r="AD1497" i="10"/>
  <c r="AU1497" i="10" s="1"/>
  <c r="W1497" i="10"/>
  <c r="L1497" i="10"/>
  <c r="AZ1496" i="10"/>
  <c r="AS1496" i="10"/>
  <c r="AM1496" i="10"/>
  <c r="AJ1496" i="10" s="1"/>
  <c r="AD1496" i="10"/>
  <c r="W1496" i="10"/>
  <c r="L1496" i="10"/>
  <c r="AZ1495" i="10"/>
  <c r="AS1495" i="10"/>
  <c r="AM1495" i="10"/>
  <c r="AJ1495" i="10" s="1"/>
  <c r="AD1495" i="10"/>
  <c r="AA1495" i="10"/>
  <c r="W1495" i="10"/>
  <c r="L1495" i="10"/>
  <c r="AZ1494" i="10"/>
  <c r="AS1494" i="10"/>
  <c r="AM1494" i="10"/>
  <c r="AD1494" i="10"/>
  <c r="AV1494" i="10" s="1"/>
  <c r="AA1494" i="10"/>
  <c r="W1494" i="10"/>
  <c r="L1494" i="10"/>
  <c r="AZ1493" i="10"/>
  <c r="AS1493" i="10"/>
  <c r="AM1493" i="10"/>
  <c r="AJ1493" i="10"/>
  <c r="AD1493" i="10"/>
  <c r="AA1493" i="10" s="1"/>
  <c r="W1493" i="10"/>
  <c r="L1493" i="10"/>
  <c r="AZ1492" i="10"/>
  <c r="AS1492" i="10"/>
  <c r="AO1492" i="10" s="1"/>
  <c r="AM1492" i="10"/>
  <c r="AD1492" i="10"/>
  <c r="AV1492" i="10" s="1"/>
  <c r="AA1492" i="10"/>
  <c r="W1492" i="10"/>
  <c r="L1492" i="10"/>
  <c r="AZ1491" i="10"/>
  <c r="AS1491" i="10"/>
  <c r="AM1491" i="10"/>
  <c r="AD1491" i="10"/>
  <c r="W1491" i="10"/>
  <c r="L1491" i="10"/>
  <c r="AZ1490" i="10"/>
  <c r="AS1490" i="10"/>
  <c r="AM1490" i="10"/>
  <c r="AD1490" i="10"/>
  <c r="AV1490" i="10" s="1"/>
  <c r="AA1490" i="10"/>
  <c r="W1490" i="10"/>
  <c r="L1490" i="10"/>
  <c r="AZ1489" i="10"/>
  <c r="AS1489" i="10"/>
  <c r="AM1489" i="10"/>
  <c r="AD1489" i="10"/>
  <c r="W1489" i="10"/>
  <c r="L1489" i="10"/>
  <c r="AZ1488" i="10"/>
  <c r="AS1488" i="10"/>
  <c r="AO1488" i="10" s="1"/>
  <c r="AM1488" i="10"/>
  <c r="AD1488" i="10"/>
  <c r="AV1488" i="10" s="1"/>
  <c r="AA1488" i="10"/>
  <c r="W1488" i="10"/>
  <c r="L1488" i="10"/>
  <c r="AZ1487" i="10"/>
  <c r="AS1487" i="10"/>
  <c r="AM1487" i="10"/>
  <c r="AJ1487" i="10" s="1"/>
  <c r="AD1487" i="10"/>
  <c r="AV1487" i="10" s="1"/>
  <c r="AA1487" i="10"/>
  <c r="W1487" i="10"/>
  <c r="L1487" i="10"/>
  <c r="AZ1486" i="10"/>
  <c r="AS1486" i="10"/>
  <c r="AO1486" i="10" s="1"/>
  <c r="AM1486" i="10"/>
  <c r="AJ1486" i="10" s="1"/>
  <c r="AD1486" i="10"/>
  <c r="AA1486" i="10" s="1"/>
  <c r="W1486" i="10"/>
  <c r="L1486" i="10"/>
  <c r="AZ1485" i="10"/>
  <c r="AS1485" i="10"/>
  <c r="AM1485" i="10"/>
  <c r="AJ1485" i="10" s="1"/>
  <c r="AD1485" i="10"/>
  <c r="AA1485" i="10" s="1"/>
  <c r="W1485" i="10"/>
  <c r="L1485" i="10"/>
  <c r="AZ1484" i="10"/>
  <c r="AS1484" i="10"/>
  <c r="BH1484" i="10" s="1"/>
  <c r="BM1484" i="10" s="1"/>
  <c r="AM1484" i="10"/>
  <c r="AD1484" i="10"/>
  <c r="AV1484" i="10" s="1"/>
  <c r="AA1484" i="10"/>
  <c r="W1484" i="10"/>
  <c r="L1484" i="10"/>
  <c r="AZ1483" i="10"/>
  <c r="AS1483" i="10"/>
  <c r="AM1483" i="10"/>
  <c r="AD1483" i="10"/>
  <c r="AV1483" i="10" s="1"/>
  <c r="AA1483" i="10"/>
  <c r="W1483" i="10"/>
  <c r="L1483" i="10"/>
  <c r="AZ1482" i="10"/>
  <c r="AS1482" i="10"/>
  <c r="AM1482" i="10"/>
  <c r="AD1482" i="10"/>
  <c r="W1482" i="10"/>
  <c r="L1482" i="10"/>
  <c r="AZ1481" i="10"/>
  <c r="AS1481" i="10"/>
  <c r="AO1481" i="10" s="1"/>
  <c r="AM1481" i="10"/>
  <c r="AD1481" i="10"/>
  <c r="W1481" i="10"/>
  <c r="L1481" i="10"/>
  <c r="AZ1480" i="10"/>
  <c r="AS1480" i="10"/>
  <c r="AM1480" i="10"/>
  <c r="AJ1480" i="10" s="1"/>
  <c r="AD1480" i="10"/>
  <c r="AV1480" i="10" s="1"/>
  <c r="AA1480" i="10"/>
  <c r="W1480" i="10"/>
  <c r="L1480" i="10"/>
  <c r="AZ1479" i="10"/>
  <c r="AS1479" i="10"/>
  <c r="AM1479" i="10"/>
  <c r="AJ1479" i="10"/>
  <c r="AD1479" i="10"/>
  <c r="W1479" i="10"/>
  <c r="L1479" i="10"/>
  <c r="AZ1478" i="10"/>
  <c r="AS1478" i="10"/>
  <c r="AM1478" i="10"/>
  <c r="AD1478" i="10"/>
  <c r="AV1478" i="10" s="1"/>
  <c r="AA1478" i="10"/>
  <c r="W1478" i="10"/>
  <c r="L1478" i="10"/>
  <c r="AZ1477" i="10"/>
  <c r="AS1477" i="10"/>
  <c r="AM1477" i="10"/>
  <c r="AD1477" i="10"/>
  <c r="AV1477" i="10" s="1"/>
  <c r="AA1477" i="10"/>
  <c r="W1477" i="10"/>
  <c r="L1477" i="10"/>
  <c r="AZ1476" i="10"/>
  <c r="AS1476" i="10"/>
  <c r="AM1476" i="10"/>
  <c r="AD1476" i="10"/>
  <c r="AV1476" i="10" s="1"/>
  <c r="AA1476" i="10"/>
  <c r="W1476" i="10"/>
  <c r="L1476" i="10"/>
  <c r="AZ1475" i="10"/>
  <c r="AM1475" i="10"/>
  <c r="AD1475" i="10"/>
  <c r="AA1475" i="10" s="1"/>
  <c r="L1475" i="10"/>
  <c r="AZ1474" i="10"/>
  <c r="AS1474" i="10"/>
  <c r="BH1474" i="10" s="1"/>
  <c r="BM1474" i="10" s="1"/>
  <c r="AM1474" i="10"/>
  <c r="AJ1474" i="10" s="1"/>
  <c r="AD1474" i="10"/>
  <c r="AA1474" i="10"/>
  <c r="W1474" i="10"/>
  <c r="L1474" i="10"/>
  <c r="BA1473" i="10"/>
  <c r="AR1473" i="10"/>
  <c r="V1473" i="10"/>
  <c r="K1473" i="10"/>
  <c r="J1473" i="10"/>
  <c r="AZ1472" i="10"/>
  <c r="AS1472" i="10"/>
  <c r="AO1472" i="10" s="1"/>
  <c r="AM1472" i="10"/>
  <c r="AD1472" i="10"/>
  <c r="AV1472" i="10" s="1"/>
  <c r="AA1472" i="10"/>
  <c r="V1472" i="10"/>
  <c r="V1449" i="10" s="1"/>
  <c r="W1472" i="10"/>
  <c r="L1472" i="10"/>
  <c r="AZ1471" i="10"/>
  <c r="AS1471" i="10"/>
  <c r="AO1471" i="10" s="1"/>
  <c r="AM1471" i="10"/>
  <c r="AD1471" i="10"/>
  <c r="AV1471" i="10" s="1"/>
  <c r="AA1471" i="10"/>
  <c r="W1471" i="10"/>
  <c r="L1471" i="10"/>
  <c r="AZ1470" i="10"/>
  <c r="AS1470" i="10"/>
  <c r="AO1470" i="10" s="1"/>
  <c r="AM1470" i="10"/>
  <c r="AJ1470" i="10" s="1"/>
  <c r="AD1470" i="10"/>
  <c r="AA1470" i="10" s="1"/>
  <c r="W1470" i="10"/>
  <c r="L1470" i="10"/>
  <c r="AZ1469" i="10"/>
  <c r="AS1469" i="10"/>
  <c r="AM1469" i="10"/>
  <c r="AJ1469" i="10"/>
  <c r="AD1469" i="10"/>
  <c r="AA1469" i="10"/>
  <c r="W1469" i="10"/>
  <c r="L1469" i="10"/>
  <c r="AZ1468" i="10"/>
  <c r="AS1468" i="10"/>
  <c r="AM1468" i="10"/>
  <c r="AD1468" i="10"/>
  <c r="W1468" i="10"/>
  <c r="L1468" i="10"/>
  <c r="AZ1467" i="10"/>
  <c r="AS1467" i="10"/>
  <c r="AM1467" i="10"/>
  <c r="AJ1467" i="10" s="1"/>
  <c r="AD1467" i="10"/>
  <c r="W1467" i="10"/>
  <c r="L1467" i="10"/>
  <c r="AZ1466" i="10"/>
  <c r="AS1466" i="10"/>
  <c r="AO1466" i="10" s="1"/>
  <c r="AM1466" i="10"/>
  <c r="AJ1466" i="10" s="1"/>
  <c r="AD1466" i="10"/>
  <c r="W1466" i="10"/>
  <c r="L1466" i="10"/>
  <c r="AZ1465" i="10"/>
  <c r="AS1465" i="10"/>
  <c r="AO1465" i="10" s="1"/>
  <c r="AM1465" i="10"/>
  <c r="AD1465" i="10"/>
  <c r="AV1465" i="10" s="1"/>
  <c r="AA1465" i="10"/>
  <c r="W1465" i="10"/>
  <c r="L1465" i="10"/>
  <c r="AZ1464" i="10"/>
  <c r="AS1464" i="10"/>
  <c r="AM1464" i="10"/>
  <c r="AJ1464" i="10"/>
  <c r="AD1464" i="10"/>
  <c r="W1464" i="10"/>
  <c r="L1464" i="10"/>
  <c r="AZ1463" i="10"/>
  <c r="AS1463" i="10"/>
  <c r="AO1463" i="10" s="1"/>
  <c r="AM1463" i="10"/>
  <c r="AJ1463" i="10"/>
  <c r="AD1463" i="10"/>
  <c r="AV1463" i="10" s="1"/>
  <c r="AA1463" i="10"/>
  <c r="W1463" i="10"/>
  <c r="L1463" i="10"/>
  <c r="AZ1462" i="10"/>
  <c r="AS1462" i="10"/>
  <c r="AO1462" i="10" s="1"/>
  <c r="AM1462" i="10"/>
  <c r="AD1462" i="10"/>
  <c r="W1462" i="10"/>
  <c r="L1462" i="10"/>
  <c r="AZ1461" i="10"/>
  <c r="AS1461" i="10"/>
  <c r="AO1461" i="10"/>
  <c r="AM1461" i="10"/>
  <c r="AD1461" i="10"/>
  <c r="W1461" i="10"/>
  <c r="L1461" i="10"/>
  <c r="AZ1460" i="10"/>
  <c r="AS1460" i="10"/>
  <c r="AM1460" i="10"/>
  <c r="AD1460" i="10"/>
  <c r="W1460" i="10"/>
  <c r="L1460" i="10"/>
  <c r="AZ1459" i="10"/>
  <c r="AS1459" i="10"/>
  <c r="BH1459" i="10" s="1"/>
  <c r="BM1459" i="10" s="1"/>
  <c r="BO1459" i="10" s="1"/>
  <c r="AM1459" i="10"/>
  <c r="AJ1459" i="10" s="1"/>
  <c r="AD1459" i="10"/>
  <c r="W1459" i="10"/>
  <c r="L1459" i="10"/>
  <c r="AZ1458" i="10"/>
  <c r="AS1458" i="10"/>
  <c r="AM1458" i="10"/>
  <c r="AD1458" i="10"/>
  <c r="AV1458" i="10" s="1"/>
  <c r="W1458" i="10"/>
  <c r="L1458" i="10"/>
  <c r="AZ1457" i="10"/>
  <c r="AS1457" i="10"/>
  <c r="AM1457" i="10"/>
  <c r="AJ1457" i="10"/>
  <c r="AD1457" i="10"/>
  <c r="W1457" i="10"/>
  <c r="L1457" i="10"/>
  <c r="AZ1456" i="10"/>
  <c r="AS1456" i="10"/>
  <c r="AM1456" i="10"/>
  <c r="AD1456" i="10"/>
  <c r="W1456" i="10"/>
  <c r="L1456" i="10"/>
  <c r="AZ1455" i="10"/>
  <c r="AS1455" i="10"/>
  <c r="AM1455" i="10"/>
  <c r="AD1455" i="10"/>
  <c r="W1455" i="10"/>
  <c r="L1455" i="10"/>
  <c r="AZ1454" i="10"/>
  <c r="AS1454" i="10"/>
  <c r="AM1454" i="10"/>
  <c r="AD1454" i="10"/>
  <c r="AV1454" i="10" s="1"/>
  <c r="AA1454" i="10"/>
  <c r="W1454" i="10"/>
  <c r="L1454" i="10"/>
  <c r="AZ1453" i="10"/>
  <c r="AS1453" i="10"/>
  <c r="AM1453" i="10"/>
  <c r="AJ1453" i="10" s="1"/>
  <c r="AD1453" i="10"/>
  <c r="W1453" i="10"/>
  <c r="L1453" i="10"/>
  <c r="AZ1452" i="10"/>
  <c r="AS1452" i="10"/>
  <c r="AM1452" i="10"/>
  <c r="AJ1452" i="10" s="1"/>
  <c r="AD1452" i="10"/>
  <c r="AV1452" i="10" s="1"/>
  <c r="AA1452" i="10"/>
  <c r="W1452" i="10"/>
  <c r="L1452" i="10"/>
  <c r="AZ1451" i="10"/>
  <c r="AS1451" i="10"/>
  <c r="AO1451" i="10" s="1"/>
  <c r="AM1451" i="10"/>
  <c r="AD1451" i="10"/>
  <c r="W1451" i="10"/>
  <c r="L1451" i="10"/>
  <c r="AS1450" i="10"/>
  <c r="AM1450" i="10"/>
  <c r="AJ1450" i="10"/>
  <c r="AD1450" i="10"/>
  <c r="W1450" i="10"/>
  <c r="L1450" i="10"/>
  <c r="BA1449" i="10"/>
  <c r="AR1449" i="10"/>
  <c r="K1449" i="10"/>
  <c r="J1449" i="10"/>
  <c r="L1449" i="10" s="1"/>
  <c r="AZ1447" i="10"/>
  <c r="AS1447" i="10"/>
  <c r="AM1447" i="10"/>
  <c r="AD1447" i="10"/>
  <c r="W1447" i="10"/>
  <c r="L1447" i="10"/>
  <c r="AZ1446" i="10"/>
  <c r="AS1446" i="10"/>
  <c r="AM1446" i="10"/>
  <c r="AJ1446" i="10" s="1"/>
  <c r="AD1446" i="10"/>
  <c r="W1446" i="10"/>
  <c r="L1446" i="10"/>
  <c r="AZ1445" i="10"/>
  <c r="AS1445" i="10"/>
  <c r="AM1445" i="10"/>
  <c r="AD1445" i="10"/>
  <c r="W1445" i="10"/>
  <c r="L1445" i="10"/>
  <c r="AZ1444" i="10"/>
  <c r="AS1444" i="10"/>
  <c r="AM1444" i="10"/>
  <c r="AJ1444" i="10" s="1"/>
  <c r="AD1444" i="10"/>
  <c r="AA1444" i="10" s="1"/>
  <c r="W1444" i="10"/>
  <c r="L1444" i="10"/>
  <c r="AZ1443" i="10"/>
  <c r="AS1443" i="10"/>
  <c r="AM1443" i="10"/>
  <c r="AJ1443" i="10" s="1"/>
  <c r="AD1443" i="10"/>
  <c r="W1443" i="10"/>
  <c r="L1443" i="10"/>
  <c r="AZ1442" i="10"/>
  <c r="AS1442" i="10"/>
  <c r="BO1442" i="10" s="1"/>
  <c r="AO1442" i="10"/>
  <c r="AM1442" i="10"/>
  <c r="AD1442" i="10"/>
  <c r="W1442" i="10"/>
  <c r="L1442" i="10"/>
  <c r="AZ1441" i="10"/>
  <c r="AS1441" i="10"/>
  <c r="BO1441" i="10" s="1"/>
  <c r="AM1441" i="10"/>
  <c r="AJ1441" i="10"/>
  <c r="AD1441" i="10"/>
  <c r="W1441" i="10"/>
  <c r="L1441" i="10"/>
  <c r="AZ1440" i="10"/>
  <c r="AS1440" i="10"/>
  <c r="AM1440" i="10"/>
  <c r="AJ1440" i="10" s="1"/>
  <c r="AD1440" i="10"/>
  <c r="AA1440" i="10"/>
  <c r="W1440" i="10"/>
  <c r="L1440" i="10"/>
  <c r="AZ1439" i="10"/>
  <c r="AS1439" i="10"/>
  <c r="AM1439" i="10"/>
  <c r="AD1439" i="10"/>
  <c r="AV1439" i="10" s="1"/>
  <c r="AA1439" i="10"/>
  <c r="W1439" i="10"/>
  <c r="L1439" i="10"/>
  <c r="AZ1438" i="10"/>
  <c r="AS1438" i="10"/>
  <c r="AO1438" i="10"/>
  <c r="AM1438" i="10"/>
  <c r="AJ1438" i="10" s="1"/>
  <c r="AD1438" i="10"/>
  <c r="W1438" i="10"/>
  <c r="L1438" i="10"/>
  <c r="AZ1437" i="10"/>
  <c r="AS1437" i="10"/>
  <c r="BO1437" i="10" s="1"/>
  <c r="AM1437" i="10"/>
  <c r="AJ1437" i="10" s="1"/>
  <c r="AD1437" i="10"/>
  <c r="AA1437" i="10"/>
  <c r="W1437" i="10"/>
  <c r="L1437" i="10"/>
  <c r="AZ1436" i="10"/>
  <c r="AS1436" i="10"/>
  <c r="AM1436" i="10"/>
  <c r="AD1436" i="10"/>
  <c r="AA1436" i="10" s="1"/>
  <c r="W1436" i="10"/>
  <c r="L1436" i="10"/>
  <c r="AZ1435" i="10"/>
  <c r="AS1435" i="10"/>
  <c r="AM1435" i="10"/>
  <c r="AJ1435" i="10"/>
  <c r="AD1435" i="10"/>
  <c r="W1435" i="10"/>
  <c r="L1435" i="10"/>
  <c r="AZ1434" i="10"/>
  <c r="AS1434" i="10"/>
  <c r="AM1434" i="10"/>
  <c r="AJ1434" i="10" s="1"/>
  <c r="AD1434" i="10"/>
  <c r="AV1434" i="10" s="1"/>
  <c r="W1434" i="10"/>
  <c r="L1434" i="10"/>
  <c r="AZ1433" i="10"/>
  <c r="AS1433" i="10"/>
  <c r="AM1433" i="10"/>
  <c r="AJ1433" i="10"/>
  <c r="AD1433" i="10"/>
  <c r="AV1433" i="10" s="1"/>
  <c r="AA1433" i="10"/>
  <c r="W1433" i="10"/>
  <c r="L1433" i="10"/>
  <c r="AZ1432" i="10"/>
  <c r="AS1432" i="10"/>
  <c r="BH1432" i="10" s="1"/>
  <c r="BM1432" i="10" s="1"/>
  <c r="BO1432" i="10" s="1"/>
  <c r="AM1432" i="10"/>
  <c r="AD1432" i="10"/>
  <c r="W1432" i="10"/>
  <c r="L1432" i="10"/>
  <c r="AZ1431" i="10"/>
  <c r="AS1431" i="10"/>
  <c r="AM1431" i="10"/>
  <c r="AJ1431" i="10"/>
  <c r="AD1431" i="10"/>
  <c r="AV1431" i="10" s="1"/>
  <c r="W1431" i="10"/>
  <c r="L1431" i="10"/>
  <c r="AZ1430" i="10"/>
  <c r="AS1430" i="10"/>
  <c r="BO1430" i="10" s="1"/>
  <c r="AM1430" i="10"/>
  <c r="AD1430" i="10"/>
  <c r="AV1430" i="10" s="1"/>
  <c r="AA1430" i="10"/>
  <c r="W1430" i="10"/>
  <c r="L1430" i="10"/>
  <c r="AZ1429" i="10"/>
  <c r="AS1429" i="10"/>
  <c r="AO1429" i="10"/>
  <c r="AM1429" i="10"/>
  <c r="AJ1429" i="10" s="1"/>
  <c r="AD1429" i="10"/>
  <c r="AA1429" i="10"/>
  <c r="W1429" i="10"/>
  <c r="L1429" i="10"/>
  <c r="AZ1428" i="10"/>
  <c r="AS1428" i="10"/>
  <c r="AM1428" i="10"/>
  <c r="AJ1428" i="10" s="1"/>
  <c r="AD1428" i="10"/>
  <c r="W1428" i="10"/>
  <c r="L1428" i="10"/>
  <c r="AZ1427" i="10"/>
  <c r="AS1427" i="10"/>
  <c r="AO1427" i="10" s="1"/>
  <c r="AM1427" i="10"/>
  <c r="AJ1427" i="10" s="1"/>
  <c r="AD1427" i="10"/>
  <c r="W1427" i="10"/>
  <c r="L1427" i="10"/>
  <c r="AZ1426" i="10"/>
  <c r="AS1426" i="10"/>
  <c r="AO1426" i="10" s="1"/>
  <c r="AM1426" i="10"/>
  <c r="AD1426" i="10"/>
  <c r="W1426" i="10"/>
  <c r="L1426" i="10"/>
  <c r="AZ1425" i="10"/>
  <c r="AS1425" i="10"/>
  <c r="AM1425" i="10"/>
  <c r="AJ1425" i="10"/>
  <c r="AD1425" i="10"/>
  <c r="AV1425" i="10" s="1"/>
  <c r="AA1425" i="10"/>
  <c r="W1425" i="10"/>
  <c r="L1425" i="10"/>
  <c r="AZ1424" i="10"/>
  <c r="AS1424" i="10"/>
  <c r="AM1424" i="10"/>
  <c r="AD1424" i="10"/>
  <c r="W1424" i="10"/>
  <c r="L1424" i="10"/>
  <c r="AZ1423" i="10"/>
  <c r="AS1423" i="10"/>
  <c r="AM1423" i="10"/>
  <c r="AD1423" i="10"/>
  <c r="W1423" i="10"/>
  <c r="L1423" i="10"/>
  <c r="AZ1422" i="10"/>
  <c r="AS1422" i="10"/>
  <c r="BH1422" i="10" s="1"/>
  <c r="BM1422" i="10" s="1"/>
  <c r="BO1422" i="10" s="1"/>
  <c r="AM1422" i="10"/>
  <c r="AJ1422" i="10" s="1"/>
  <c r="AD1422" i="10"/>
  <c r="W1422" i="10"/>
  <c r="L1422" i="10"/>
  <c r="AZ1421" i="10"/>
  <c r="AS1421" i="10"/>
  <c r="AM1421" i="10"/>
  <c r="AD1421" i="10"/>
  <c r="W1421" i="10"/>
  <c r="L1421" i="10"/>
  <c r="AZ1420" i="10"/>
  <c r="AS1420" i="10"/>
  <c r="AM1420" i="10"/>
  <c r="AD1420" i="10"/>
  <c r="W1420" i="10"/>
  <c r="L1420" i="10"/>
  <c r="AZ1419" i="10"/>
  <c r="AS1419" i="10"/>
  <c r="BH1419" i="10" s="1"/>
  <c r="BM1419" i="10" s="1"/>
  <c r="AM1419" i="10"/>
  <c r="AJ1419" i="10"/>
  <c r="AD1419" i="10"/>
  <c r="W1419" i="10"/>
  <c r="L1419" i="10"/>
  <c r="AZ1418" i="10"/>
  <c r="AS1418" i="10"/>
  <c r="AO1418" i="10" s="1"/>
  <c r="AM1418" i="10"/>
  <c r="AJ1418" i="10"/>
  <c r="AD1418" i="10"/>
  <c r="AV1418" i="10" s="1"/>
  <c r="AA1418" i="10"/>
  <c r="W1418" i="10"/>
  <c r="L1418" i="10"/>
  <c r="AZ1417" i="10"/>
  <c r="AS1417" i="10"/>
  <c r="AM1417" i="10"/>
  <c r="AD1417" i="10"/>
  <c r="AV1417" i="10" s="1"/>
  <c r="AA1417" i="10"/>
  <c r="W1417" i="10"/>
  <c r="L1417" i="10"/>
  <c r="AZ1416" i="10"/>
  <c r="AS1416" i="10"/>
  <c r="AO1416" i="10"/>
  <c r="AM1416" i="10"/>
  <c r="AJ1416" i="10"/>
  <c r="AD1416" i="10"/>
  <c r="W1416" i="10"/>
  <c r="L1416" i="10"/>
  <c r="AZ1415" i="10"/>
  <c r="AS1415" i="10"/>
  <c r="AM1415" i="10"/>
  <c r="AD1415" i="10"/>
  <c r="AA1415" i="10" s="1"/>
  <c r="W1415" i="10"/>
  <c r="L1415" i="10"/>
  <c r="AZ1414" i="10"/>
  <c r="AS1414" i="10"/>
  <c r="AO1414" i="10"/>
  <c r="AM1414" i="10"/>
  <c r="AD1414" i="10"/>
  <c r="W1414" i="10"/>
  <c r="L1414" i="10"/>
  <c r="AZ1413" i="10"/>
  <c r="AS1413" i="10"/>
  <c r="AM1413" i="10"/>
  <c r="AJ1413" i="10" s="1"/>
  <c r="AD1413" i="10"/>
  <c r="AV1413" i="10" s="1"/>
  <c r="W1413" i="10"/>
  <c r="L1413" i="10"/>
  <c r="AZ1412" i="10"/>
  <c r="AS1412" i="10"/>
  <c r="AM1412" i="10"/>
  <c r="AD1412" i="10"/>
  <c r="W1412" i="10"/>
  <c r="L1412" i="10"/>
  <c r="AZ1411" i="10"/>
  <c r="AS1411" i="10"/>
  <c r="AO1411" i="10" s="1"/>
  <c r="AM1411" i="10"/>
  <c r="AD1411" i="10"/>
  <c r="W1411" i="10"/>
  <c r="L1411" i="10"/>
  <c r="AZ1410" i="10"/>
  <c r="AS1410" i="10"/>
  <c r="AM1410" i="10"/>
  <c r="AJ1410" i="10"/>
  <c r="AD1410" i="10"/>
  <c r="AA1410" i="10" s="1"/>
  <c r="W1410" i="10"/>
  <c r="L1410" i="10"/>
  <c r="AZ1409" i="10"/>
  <c r="AS1409" i="10"/>
  <c r="AO1409" i="10" s="1"/>
  <c r="AM1409" i="10"/>
  <c r="AN1409" i="10" s="1"/>
  <c r="AJ1409" i="10"/>
  <c r="AD1409" i="10"/>
  <c r="AA1409" i="10" s="1"/>
  <c r="W1409" i="10"/>
  <c r="L1409" i="10"/>
  <c r="AZ1408" i="10"/>
  <c r="AS1408" i="10"/>
  <c r="AO1408" i="10"/>
  <c r="AM1408" i="10"/>
  <c r="AJ1408" i="10" s="1"/>
  <c r="AD1408" i="10"/>
  <c r="W1408" i="10"/>
  <c r="L1408" i="10"/>
  <c r="AZ1407" i="10"/>
  <c r="AS1407" i="10"/>
  <c r="AO1407" i="10" s="1"/>
  <c r="AM1407" i="10"/>
  <c r="AD1407" i="10"/>
  <c r="W1407" i="10"/>
  <c r="L1407" i="10"/>
  <c r="AZ1406" i="10"/>
  <c r="AS1406" i="10"/>
  <c r="AM1406" i="10"/>
  <c r="AJ1406" i="10" s="1"/>
  <c r="AD1406" i="10"/>
  <c r="AA1406" i="10"/>
  <c r="W1406" i="10"/>
  <c r="L1406" i="10"/>
  <c r="AZ1405" i="10"/>
  <c r="AS1405" i="10"/>
  <c r="AM1405" i="10"/>
  <c r="AD1405" i="10"/>
  <c r="W1405" i="10"/>
  <c r="L1405" i="10"/>
  <c r="AZ1404" i="10"/>
  <c r="AS1404" i="10"/>
  <c r="AM1404" i="10"/>
  <c r="AJ1404" i="10" s="1"/>
  <c r="AD1404" i="10"/>
  <c r="W1404" i="10"/>
  <c r="L1404" i="10"/>
  <c r="AZ1403" i="10"/>
  <c r="AS1403" i="10"/>
  <c r="AM1403" i="10"/>
  <c r="AJ1403" i="10" s="1"/>
  <c r="AD1403" i="10"/>
  <c r="AA1403" i="10" s="1"/>
  <c r="W1403" i="10"/>
  <c r="L1403" i="10"/>
  <c r="AZ1402" i="10"/>
  <c r="AS1402" i="10"/>
  <c r="AM1402" i="10"/>
  <c r="AD1402" i="10"/>
  <c r="AA1402" i="10" s="1"/>
  <c r="W1402" i="10"/>
  <c r="L1402" i="10"/>
  <c r="AZ1401" i="10"/>
  <c r="AS1401" i="10"/>
  <c r="AM1401" i="10"/>
  <c r="AJ1401" i="10" s="1"/>
  <c r="AD1401" i="10"/>
  <c r="AV1401" i="10" s="1"/>
  <c r="W1401" i="10"/>
  <c r="L1401" i="10"/>
  <c r="AS1400" i="10"/>
  <c r="BH1400" i="10" s="1"/>
  <c r="AM1400" i="10"/>
  <c r="AJ1400" i="10"/>
  <c r="AD1400" i="10"/>
  <c r="AA1400" i="10" s="1"/>
  <c r="W1400" i="10"/>
  <c r="L1400" i="10"/>
  <c r="BA1399" i="10"/>
  <c r="AR1399" i="10"/>
  <c r="V1399" i="10"/>
  <c r="K1399" i="10"/>
  <c r="J1399" i="10"/>
  <c r="L1399" i="10" s="1"/>
  <c r="AZ1398" i="10"/>
  <c r="AS1398" i="10"/>
  <c r="AM1398" i="10"/>
  <c r="AJ1398" i="10" s="1"/>
  <c r="AD1398" i="10"/>
  <c r="W1398" i="10"/>
  <c r="L1398" i="10"/>
  <c r="AZ1397" i="10"/>
  <c r="AS1397" i="10"/>
  <c r="AM1397" i="10"/>
  <c r="AJ1397" i="10" s="1"/>
  <c r="AD1397" i="10"/>
  <c r="AA1397" i="10" s="1"/>
  <c r="W1397" i="10"/>
  <c r="L1397" i="10"/>
  <c r="AZ1396" i="10"/>
  <c r="AS1396" i="10"/>
  <c r="AM1396" i="10"/>
  <c r="AD1396" i="10"/>
  <c r="W1396" i="10"/>
  <c r="L1396" i="10"/>
  <c r="AZ1395" i="10"/>
  <c r="AS1395" i="10"/>
  <c r="AO1395" i="10" s="1"/>
  <c r="AM1395" i="10"/>
  <c r="AJ1395" i="10" s="1"/>
  <c r="AD1395" i="10"/>
  <c r="W1395" i="10"/>
  <c r="L1395" i="10"/>
  <c r="AZ1394" i="10"/>
  <c r="AS1394" i="10"/>
  <c r="AO1394" i="10" s="1"/>
  <c r="AM1394" i="10"/>
  <c r="AD1394" i="10"/>
  <c r="AA1394" i="10"/>
  <c r="W1394" i="10"/>
  <c r="L1394" i="10"/>
  <c r="AZ1393" i="10"/>
  <c r="AS1393" i="10"/>
  <c r="AM1393" i="10"/>
  <c r="AD1393" i="10"/>
  <c r="W1393" i="10"/>
  <c r="L1393" i="10"/>
  <c r="AZ1392" i="10"/>
  <c r="AS1392" i="10"/>
  <c r="AO1392" i="10" s="1"/>
  <c r="AM1392" i="10"/>
  <c r="AJ1392" i="10" s="1"/>
  <c r="AD1392" i="10"/>
  <c r="AV1392" i="10" s="1"/>
  <c r="AA1392" i="10"/>
  <c r="W1392" i="10"/>
  <c r="L1392" i="10"/>
  <c r="AZ1391" i="10"/>
  <c r="AS1391" i="10"/>
  <c r="AO1391" i="10" s="1"/>
  <c r="AM1391" i="10"/>
  <c r="AJ1391" i="10"/>
  <c r="AD1391" i="10"/>
  <c r="W1391" i="10"/>
  <c r="L1391" i="10"/>
  <c r="AZ1390" i="10"/>
  <c r="AS1390" i="10"/>
  <c r="AM1390" i="10"/>
  <c r="AD1390" i="10"/>
  <c r="AV1390" i="10" s="1"/>
  <c r="W1390" i="10"/>
  <c r="L1390" i="10"/>
  <c r="AZ1389" i="10"/>
  <c r="AS1389" i="10"/>
  <c r="AO1389" i="10" s="1"/>
  <c r="AM1389" i="10"/>
  <c r="AD1389" i="10"/>
  <c r="W1389" i="10"/>
  <c r="L1389" i="10"/>
  <c r="AZ1388" i="10"/>
  <c r="AS1388" i="10"/>
  <c r="AM1388" i="10"/>
  <c r="AJ1388" i="10" s="1"/>
  <c r="AD1388" i="10"/>
  <c r="AV1388" i="10" s="1"/>
  <c r="AA1388" i="10"/>
  <c r="W1388" i="10"/>
  <c r="L1388" i="10"/>
  <c r="AZ1387" i="10"/>
  <c r="AS1387" i="10"/>
  <c r="AM1387" i="10"/>
  <c r="AD1387" i="10"/>
  <c r="W1387" i="10"/>
  <c r="L1387" i="10"/>
  <c r="AZ1386" i="10"/>
  <c r="AS1386" i="10"/>
  <c r="AO1386" i="10" s="1"/>
  <c r="AM1386" i="10"/>
  <c r="AJ1386" i="10" s="1"/>
  <c r="AD1386" i="10"/>
  <c r="AA1386" i="10" s="1"/>
  <c r="W1386" i="10"/>
  <c r="L1386" i="10"/>
  <c r="AZ1385" i="10"/>
  <c r="AS1385" i="10"/>
  <c r="AM1385" i="10"/>
  <c r="AD1385" i="10"/>
  <c r="W1385" i="10"/>
  <c r="L1385" i="10"/>
  <c r="AZ1384" i="10"/>
  <c r="AS1384" i="10"/>
  <c r="BH1384" i="10" s="1"/>
  <c r="BM1384" i="10" s="1"/>
  <c r="AO1384" i="10"/>
  <c r="AM1384" i="10"/>
  <c r="AJ1384" i="10"/>
  <c r="AD1384" i="10"/>
  <c r="W1384" i="10"/>
  <c r="L1384" i="10"/>
  <c r="AZ1383" i="10"/>
  <c r="AS1383" i="10"/>
  <c r="AM1383" i="10"/>
  <c r="AJ1383" i="10"/>
  <c r="AD1383" i="10"/>
  <c r="W1383" i="10"/>
  <c r="L1383" i="10"/>
  <c r="AZ1382" i="10"/>
  <c r="AS1382" i="10"/>
  <c r="AM1382" i="10"/>
  <c r="AJ1382" i="10" s="1"/>
  <c r="AD1382" i="10"/>
  <c r="W1382" i="10"/>
  <c r="L1382" i="10"/>
  <c r="AZ1381" i="10"/>
  <c r="AS1381" i="10"/>
  <c r="AO1381" i="10" s="1"/>
  <c r="AM1381" i="10"/>
  <c r="AD1381" i="10"/>
  <c r="W1381" i="10"/>
  <c r="L1381" i="10"/>
  <c r="AZ1380" i="10"/>
  <c r="AS1380" i="10"/>
  <c r="AM1380" i="10"/>
  <c r="AJ1380" i="10" s="1"/>
  <c r="AD1380" i="10"/>
  <c r="W1380" i="10"/>
  <c r="L1380" i="10"/>
  <c r="AZ1379" i="10"/>
  <c r="AS1379" i="10"/>
  <c r="AO1379" i="10" s="1"/>
  <c r="AM1379" i="10"/>
  <c r="AJ1379" i="10" s="1"/>
  <c r="AD1379" i="10"/>
  <c r="W1379" i="10"/>
  <c r="L1379" i="10"/>
  <c r="AZ1378" i="10"/>
  <c r="AS1378" i="10"/>
  <c r="AM1378" i="10"/>
  <c r="AD1378" i="10"/>
  <c r="AV1378" i="10" s="1"/>
  <c r="W1378" i="10"/>
  <c r="L1378" i="10"/>
  <c r="AZ1377" i="10"/>
  <c r="AS1377" i="10"/>
  <c r="AM1377" i="10"/>
  <c r="AD1377" i="10"/>
  <c r="W1377" i="10"/>
  <c r="L1377" i="10"/>
  <c r="AZ1376" i="10"/>
  <c r="AS1376" i="10"/>
  <c r="AO1376" i="10" s="1"/>
  <c r="AM1376" i="10"/>
  <c r="AD1376" i="10"/>
  <c r="W1376" i="10"/>
  <c r="L1376" i="10"/>
  <c r="AZ1375" i="10"/>
  <c r="AS1375" i="10"/>
  <c r="AM1375" i="10"/>
  <c r="AD1375" i="10"/>
  <c r="AV1375" i="10" s="1"/>
  <c r="AA1375" i="10"/>
  <c r="W1375" i="10"/>
  <c r="L1375" i="10"/>
  <c r="AZ1374" i="10"/>
  <c r="AS1374" i="10"/>
  <c r="AM1374" i="10"/>
  <c r="AD1374" i="10"/>
  <c r="W1374" i="10"/>
  <c r="L1374" i="10"/>
  <c r="AZ1373" i="10"/>
  <c r="AS1373" i="10"/>
  <c r="BH1373" i="10" s="1"/>
  <c r="BM1373" i="10" s="1"/>
  <c r="BO1373" i="10" s="1"/>
  <c r="AM1373" i="10"/>
  <c r="AD1373" i="10"/>
  <c r="W1373" i="10"/>
  <c r="L1373" i="10"/>
  <c r="AZ1372" i="10"/>
  <c r="AS1372" i="10"/>
  <c r="AM1372" i="10"/>
  <c r="AD1372" i="10"/>
  <c r="AV1372" i="10" s="1"/>
  <c r="W1372" i="10"/>
  <c r="L1372" i="10"/>
  <c r="AZ1371" i="10"/>
  <c r="AS1371" i="10"/>
  <c r="AM1371" i="10"/>
  <c r="AD1371" i="10"/>
  <c r="W1371" i="10"/>
  <c r="L1371" i="10"/>
  <c r="AZ1370" i="10"/>
  <c r="AS1370" i="10"/>
  <c r="AM1370" i="10"/>
  <c r="AD1370" i="10"/>
  <c r="AV1370" i="10" s="1"/>
  <c r="W1370" i="10"/>
  <c r="L1370" i="10"/>
  <c r="AZ1369" i="10"/>
  <c r="AS1369" i="10"/>
  <c r="AM1369" i="10"/>
  <c r="AD1369" i="10"/>
  <c r="W1369" i="10"/>
  <c r="L1369" i="10"/>
  <c r="AZ1368" i="10"/>
  <c r="AS1368" i="10"/>
  <c r="AO1368" i="10" s="1"/>
  <c r="AM1368" i="10"/>
  <c r="AN1368" i="10" s="1"/>
  <c r="AJ1368" i="10"/>
  <c r="AD1368" i="10"/>
  <c r="W1368" i="10"/>
  <c r="L1368" i="10"/>
  <c r="AZ1367" i="10"/>
  <c r="AS1367" i="10"/>
  <c r="AO1367" i="10" s="1"/>
  <c r="AM1367" i="10"/>
  <c r="AJ1367" i="10" s="1"/>
  <c r="AD1367" i="10"/>
  <c r="AA1367" i="10" s="1"/>
  <c r="W1367" i="10"/>
  <c r="L1367" i="10"/>
  <c r="AZ1366" i="10"/>
  <c r="AS1366" i="10"/>
  <c r="AO1366" i="10" s="1"/>
  <c r="AM1366" i="10"/>
  <c r="AD1366" i="10"/>
  <c r="AV1366" i="10" s="1"/>
  <c r="W1366" i="10"/>
  <c r="L1366" i="10"/>
  <c r="AZ1365" i="10"/>
  <c r="AS1365" i="10"/>
  <c r="AM1365" i="10"/>
  <c r="AD1365" i="10"/>
  <c r="W1365" i="10"/>
  <c r="L1365" i="10"/>
  <c r="AZ1364" i="10"/>
  <c r="AS1364" i="10"/>
  <c r="AO1364" i="10" s="1"/>
  <c r="AM1364" i="10"/>
  <c r="AD1364" i="10"/>
  <c r="AV1364" i="10" s="1"/>
  <c r="AA1364" i="10"/>
  <c r="W1364" i="10"/>
  <c r="L1364" i="10"/>
  <c r="AZ1363" i="10"/>
  <c r="AS1363" i="10"/>
  <c r="AO1363" i="10" s="1"/>
  <c r="AM1363" i="10"/>
  <c r="AD1363" i="10"/>
  <c r="W1363" i="10"/>
  <c r="L1363" i="10"/>
  <c r="AZ1362" i="10"/>
  <c r="AS1362" i="10"/>
  <c r="AM1362" i="10"/>
  <c r="AD1362" i="10"/>
  <c r="W1362" i="10"/>
  <c r="L1362" i="10"/>
  <c r="AZ1361" i="10"/>
  <c r="AS1361" i="10"/>
  <c r="AM1361" i="10"/>
  <c r="AD1361" i="10"/>
  <c r="AV1361" i="10" s="1"/>
  <c r="W1361" i="10"/>
  <c r="L1361" i="10"/>
  <c r="AZ1360" i="10"/>
  <c r="AS1360" i="10"/>
  <c r="AM1360" i="10"/>
  <c r="AD1360" i="10"/>
  <c r="W1360" i="10"/>
  <c r="L1360" i="10"/>
  <c r="AZ1359" i="10"/>
  <c r="AS1359" i="10"/>
  <c r="AM1359" i="10"/>
  <c r="AJ1359" i="10" s="1"/>
  <c r="AD1359" i="10"/>
  <c r="W1359" i="10"/>
  <c r="L1359" i="10"/>
  <c r="AZ1358" i="10"/>
  <c r="AS1358" i="10"/>
  <c r="AM1358" i="10"/>
  <c r="AD1358" i="10"/>
  <c r="W1358" i="10"/>
  <c r="L1358" i="10"/>
  <c r="AZ1357" i="10"/>
  <c r="AS1357" i="10"/>
  <c r="AO1357" i="10"/>
  <c r="AM1357" i="10"/>
  <c r="AD1357" i="10"/>
  <c r="AV1357" i="10" s="1"/>
  <c r="W1357" i="10"/>
  <c r="L1357" i="10"/>
  <c r="AZ1356" i="10"/>
  <c r="AS1356" i="10"/>
  <c r="AM1356" i="10"/>
  <c r="AJ1356" i="10" s="1"/>
  <c r="AD1356" i="10"/>
  <c r="AA1356" i="10" s="1"/>
  <c r="W1356" i="10"/>
  <c r="L1356" i="10"/>
  <c r="AZ1355" i="10"/>
  <c r="AS1355" i="10"/>
  <c r="AM1355" i="10"/>
  <c r="AJ1355" i="10"/>
  <c r="AD1355" i="10"/>
  <c r="W1355" i="10"/>
  <c r="L1355" i="10"/>
  <c r="AZ1354" i="10"/>
  <c r="AS1354" i="10"/>
  <c r="AM1354" i="10"/>
  <c r="AD1354" i="10"/>
  <c r="W1354" i="10"/>
  <c r="L1354" i="10"/>
  <c r="AZ1353" i="10"/>
  <c r="AS1353" i="10"/>
  <c r="AM1353" i="10"/>
  <c r="AJ1353" i="10" s="1"/>
  <c r="AD1353" i="10"/>
  <c r="W1353" i="10"/>
  <c r="L1353" i="10"/>
  <c r="AS1352" i="10"/>
  <c r="AM1352" i="10"/>
  <c r="AD1352" i="10"/>
  <c r="W1352" i="10"/>
  <c r="L1352" i="10"/>
  <c r="AZ1351" i="10"/>
  <c r="AM1351" i="10"/>
  <c r="AJ1351" i="10" s="1"/>
  <c r="AD1351" i="10"/>
  <c r="W1351" i="10"/>
  <c r="S1351" i="10"/>
  <c r="L1351" i="10"/>
  <c r="BA1350" i="10"/>
  <c r="BA1349" i="10" s="1"/>
  <c r="AR1350" i="10"/>
  <c r="AR1349" i="10" s="1"/>
  <c r="V1350" i="10"/>
  <c r="V1349" i="10" s="1"/>
  <c r="K1350" i="10"/>
  <c r="J1350" i="10"/>
  <c r="BA1347" i="10"/>
  <c r="AS1347" i="10"/>
  <c r="AM1347" i="10"/>
  <c r="AJ1347" i="10" s="1"/>
  <c r="AD1347" i="10"/>
  <c r="AA1347" i="10" s="1"/>
  <c r="W1347" i="10"/>
  <c r="R1347" i="10"/>
  <c r="S1347" i="10" s="1"/>
  <c r="L1347" i="10"/>
  <c r="AS1346" i="10"/>
  <c r="AM1346" i="10"/>
  <c r="AD1346" i="10"/>
  <c r="R1346" i="10"/>
  <c r="S1346" i="10" s="1"/>
  <c r="L1346" i="10"/>
  <c r="AZ1345" i="10"/>
  <c r="AR1345" i="10"/>
  <c r="V1345" i="10"/>
  <c r="Q1345" i="10"/>
  <c r="Q1344" i="10" s="1"/>
  <c r="K1345" i="10"/>
  <c r="J1345" i="10"/>
  <c r="L1345" i="10" s="1"/>
  <c r="AZ1344" i="10"/>
  <c r="AR1344" i="10"/>
  <c r="V1344" i="10"/>
  <c r="K1344" i="10"/>
  <c r="J1344" i="10"/>
  <c r="L1344" i="10" s="1"/>
  <c r="AS1343" i="10"/>
  <c r="AM1343" i="10"/>
  <c r="AJ1343" i="10" s="1"/>
  <c r="AD1343" i="10"/>
  <c r="AA1343" i="10" s="1"/>
  <c r="L1343" i="10"/>
  <c r="AZ1342" i="10"/>
  <c r="AZ1341" i="10" s="1"/>
  <c r="AS1342" i="10"/>
  <c r="AR1342" i="10"/>
  <c r="V1342" i="10"/>
  <c r="Q1342" i="10"/>
  <c r="K1342" i="10"/>
  <c r="K1341" i="10" s="1"/>
  <c r="J1342" i="10"/>
  <c r="J1341" i="10" s="1"/>
  <c r="AR1341" i="10"/>
  <c r="V1341" i="10"/>
  <c r="Q1341" i="10"/>
  <c r="BA1340" i="10"/>
  <c r="AS1340" i="10"/>
  <c r="AM1340" i="10"/>
  <c r="AD1340" i="10"/>
  <c r="AV1340" i="10" s="1"/>
  <c r="W1340" i="10"/>
  <c r="R1340" i="10"/>
  <c r="S1340" i="10" s="1"/>
  <c r="L1340" i="10"/>
  <c r="BA1339" i="10"/>
  <c r="AS1339" i="10"/>
  <c r="AM1339" i="10"/>
  <c r="AJ1339" i="10" s="1"/>
  <c r="AD1339" i="10"/>
  <c r="W1339" i="10"/>
  <c r="R1339" i="10"/>
  <c r="S1339" i="10" s="1"/>
  <c r="L1339" i="10"/>
  <c r="BA1338" i="10"/>
  <c r="AS1338" i="10"/>
  <c r="AM1338" i="10"/>
  <c r="AN1338" i="10" s="1"/>
  <c r="AD1338" i="10"/>
  <c r="AV1338" i="10" s="1"/>
  <c r="AA1338" i="10"/>
  <c r="W1338" i="10"/>
  <c r="R1338" i="10"/>
  <c r="S1338" i="10" s="1"/>
  <c r="L1338" i="10"/>
  <c r="BA1337" i="10"/>
  <c r="AS1337" i="10"/>
  <c r="AM1337" i="10"/>
  <c r="AD1337" i="10"/>
  <c r="AV1337" i="10" s="1"/>
  <c r="W1337" i="10"/>
  <c r="R1337" i="10"/>
  <c r="S1337" i="10" s="1"/>
  <c r="L1337" i="10"/>
  <c r="BA1336" i="10"/>
  <c r="AS1336" i="10"/>
  <c r="AM1336" i="10"/>
  <c r="AJ1336" i="10" s="1"/>
  <c r="AD1336" i="10"/>
  <c r="W1336" i="10"/>
  <c r="R1336" i="10"/>
  <c r="S1336" i="10" s="1"/>
  <c r="L1336" i="10"/>
  <c r="BA1335" i="10"/>
  <c r="AS1335" i="10"/>
  <c r="AO1335" i="10" s="1"/>
  <c r="AM1335" i="10"/>
  <c r="AJ1335" i="10" s="1"/>
  <c r="AD1335" i="10"/>
  <c r="W1335" i="10"/>
  <c r="R1335" i="10"/>
  <c r="S1335" i="10" s="1"/>
  <c r="L1335" i="10"/>
  <c r="AS1334" i="10"/>
  <c r="AM1334" i="10"/>
  <c r="AJ1334" i="10" s="1"/>
  <c r="AD1334" i="10"/>
  <c r="AA1334" i="10" s="1"/>
  <c r="R1334" i="10"/>
  <c r="L1334" i="10"/>
  <c r="AZ1333" i="10"/>
  <c r="AR1333" i="10"/>
  <c r="V1333" i="10"/>
  <c r="Q1333" i="10"/>
  <c r="K1333" i="10"/>
  <c r="J1333" i="10"/>
  <c r="BA1332" i="10"/>
  <c r="AS1332" i="10"/>
  <c r="AM1332" i="10"/>
  <c r="AJ1332" i="10" s="1"/>
  <c r="AD1332" i="10"/>
  <c r="W1332" i="10"/>
  <c r="R1332" i="10"/>
  <c r="S1332" i="10" s="1"/>
  <c r="L1332" i="10"/>
  <c r="BA1331" i="10"/>
  <c r="AS1331" i="10"/>
  <c r="AM1331" i="10"/>
  <c r="AD1331" i="10"/>
  <c r="W1331" i="10"/>
  <c r="R1331" i="10"/>
  <c r="S1331" i="10" s="1"/>
  <c r="L1331" i="10"/>
  <c r="BA1330" i="10"/>
  <c r="AS1330" i="10"/>
  <c r="AM1330" i="10"/>
  <c r="AJ1330" i="10" s="1"/>
  <c r="AD1330" i="10"/>
  <c r="W1330" i="10"/>
  <c r="R1330" i="10"/>
  <c r="S1330" i="10" s="1"/>
  <c r="L1330" i="10"/>
  <c r="AS1329" i="10"/>
  <c r="AO1329" i="10" s="1"/>
  <c r="AM1329" i="10"/>
  <c r="AJ1329" i="10" s="1"/>
  <c r="AD1329" i="10"/>
  <c r="V1329" i="10"/>
  <c r="W1329" i="10" s="1"/>
  <c r="R1329" i="10"/>
  <c r="S1329" i="10" s="1"/>
  <c r="L1329" i="10"/>
  <c r="BA1328" i="10"/>
  <c r="AS1328" i="10"/>
  <c r="AM1328" i="10"/>
  <c r="AD1328" i="10"/>
  <c r="W1328" i="10"/>
  <c r="L1328" i="10"/>
  <c r="BA1327" i="10"/>
  <c r="AS1327" i="10"/>
  <c r="AM1327" i="10"/>
  <c r="AJ1327" i="10" s="1"/>
  <c r="AD1327" i="10"/>
  <c r="AV1327" i="10" s="1"/>
  <c r="W1327" i="10"/>
  <c r="R1327" i="10"/>
  <c r="S1327" i="10" s="1"/>
  <c r="L1327" i="10"/>
  <c r="BA1326" i="10"/>
  <c r="AS1326" i="10"/>
  <c r="AM1326" i="10"/>
  <c r="AD1326" i="10"/>
  <c r="W1326" i="10"/>
  <c r="R1326" i="10"/>
  <c r="S1326" i="10" s="1"/>
  <c r="L1326" i="10"/>
  <c r="BA1325" i="10"/>
  <c r="AS1325" i="10"/>
  <c r="AO1325" i="10" s="1"/>
  <c r="AM1325" i="10"/>
  <c r="AJ1325" i="10" s="1"/>
  <c r="AD1325" i="10"/>
  <c r="AA1325" i="10" s="1"/>
  <c r="W1325" i="10"/>
  <c r="R1325" i="10"/>
  <c r="S1325" i="10" s="1"/>
  <c r="L1325" i="10"/>
  <c r="AS1324" i="10"/>
  <c r="AM1324" i="10"/>
  <c r="AD1324" i="10"/>
  <c r="W1324" i="10"/>
  <c r="R1324" i="10"/>
  <c r="S1324" i="10" s="1"/>
  <c r="L1324" i="10"/>
  <c r="BA1323" i="10"/>
  <c r="AS1323" i="10"/>
  <c r="AM1323" i="10"/>
  <c r="AD1323" i="10"/>
  <c r="W1323" i="10"/>
  <c r="R1323" i="10"/>
  <c r="L1323" i="10"/>
  <c r="AR1322" i="10"/>
  <c r="V1322" i="10"/>
  <c r="Q1322" i="10"/>
  <c r="K1322" i="10"/>
  <c r="K1321" i="10" s="1"/>
  <c r="J1322" i="10"/>
  <c r="J1321" i="10" s="1"/>
  <c r="AR1321" i="10"/>
  <c r="BA1320" i="10"/>
  <c r="AS1320" i="10"/>
  <c r="AO1320" i="10" s="1"/>
  <c r="AM1320" i="10"/>
  <c r="AD1320" i="10"/>
  <c r="W1320" i="10"/>
  <c r="R1320" i="10"/>
  <c r="S1320" i="10" s="1"/>
  <c r="L1320" i="10"/>
  <c r="BA1319" i="10"/>
  <c r="AS1319" i="10"/>
  <c r="AM1319" i="10"/>
  <c r="AJ1319" i="10" s="1"/>
  <c r="AD1319" i="10"/>
  <c r="AA1319" i="10" s="1"/>
  <c r="W1319" i="10"/>
  <c r="R1319" i="10"/>
  <c r="S1319" i="10" s="1"/>
  <c r="L1319" i="10"/>
  <c r="BA1318" i="10"/>
  <c r="AS1318" i="10"/>
  <c r="AM1318" i="10"/>
  <c r="AJ1318" i="10" s="1"/>
  <c r="AD1318" i="10"/>
  <c r="W1318" i="10"/>
  <c r="R1318" i="10"/>
  <c r="S1318" i="10" s="1"/>
  <c r="L1318" i="10"/>
  <c r="BA1317" i="10"/>
  <c r="AS1317" i="10"/>
  <c r="AM1317" i="10"/>
  <c r="AD1317" i="10"/>
  <c r="AA1317" i="10" s="1"/>
  <c r="W1317" i="10"/>
  <c r="R1317" i="10"/>
  <c r="S1317" i="10" s="1"/>
  <c r="L1317" i="10"/>
  <c r="BA1316" i="10"/>
  <c r="AS1316" i="10"/>
  <c r="AO1316" i="10" s="1"/>
  <c r="AM1316" i="10"/>
  <c r="AJ1316" i="10" s="1"/>
  <c r="AD1316" i="10"/>
  <c r="W1316" i="10"/>
  <c r="R1316" i="10"/>
  <c r="S1316" i="10" s="1"/>
  <c r="L1316" i="10"/>
  <c r="AS1315" i="10"/>
  <c r="AM1315" i="10"/>
  <c r="AD1315" i="10"/>
  <c r="R1315" i="10"/>
  <c r="S1315" i="10" s="1"/>
  <c r="L1315" i="10"/>
  <c r="BA1314" i="10"/>
  <c r="AS1314" i="10"/>
  <c r="AO1314" i="10" s="1"/>
  <c r="AM1314" i="10"/>
  <c r="AJ1314" i="10" s="1"/>
  <c r="AD1314" i="10"/>
  <c r="W1314" i="10"/>
  <c r="R1314" i="10"/>
  <c r="S1314" i="10" s="1"/>
  <c r="L1314" i="10"/>
  <c r="AS1313" i="10"/>
  <c r="AM1313" i="10"/>
  <c r="AD1313" i="10"/>
  <c r="R1313" i="10"/>
  <c r="S1313" i="10" s="1"/>
  <c r="L1313" i="10"/>
  <c r="BA1312" i="10"/>
  <c r="AS1312" i="10"/>
  <c r="AM1312" i="10"/>
  <c r="AD1312" i="10"/>
  <c r="W1312" i="10"/>
  <c r="R1312" i="10"/>
  <c r="S1312" i="10" s="1"/>
  <c r="L1312" i="10"/>
  <c r="BA1311" i="10"/>
  <c r="AS1311" i="10"/>
  <c r="AM1311" i="10"/>
  <c r="AJ1311" i="10" s="1"/>
  <c r="AD1311" i="10"/>
  <c r="W1311" i="10"/>
  <c r="R1311" i="10"/>
  <c r="S1311" i="10" s="1"/>
  <c r="L1311" i="10"/>
  <c r="BA1310" i="10"/>
  <c r="AS1310" i="10"/>
  <c r="AM1310" i="10"/>
  <c r="AJ1310" i="10" s="1"/>
  <c r="AD1310" i="10"/>
  <c r="W1310" i="10"/>
  <c r="R1310" i="10"/>
  <c r="S1310" i="10" s="1"/>
  <c r="L1310" i="10"/>
  <c r="BA1309" i="10"/>
  <c r="AS1309" i="10"/>
  <c r="AM1309" i="10"/>
  <c r="AJ1309" i="10" s="1"/>
  <c r="AD1309" i="10"/>
  <c r="W1309" i="10"/>
  <c r="R1309" i="10"/>
  <c r="S1309" i="10" s="1"/>
  <c r="L1309" i="10"/>
  <c r="BA1308" i="10"/>
  <c r="AS1308" i="10"/>
  <c r="AM1308" i="10"/>
  <c r="AD1308" i="10"/>
  <c r="AV1308" i="10" s="1"/>
  <c r="AA1308" i="10"/>
  <c r="R1308" i="10"/>
  <c r="S1308" i="10" s="1"/>
  <c r="L1308" i="10"/>
  <c r="BA1307" i="10"/>
  <c r="AM1307" i="10"/>
  <c r="AJ1307" i="10" s="1"/>
  <c r="AD1307" i="10"/>
  <c r="AA1307" i="10" s="1"/>
  <c r="W1307" i="10"/>
  <c r="R1307" i="10"/>
  <c r="L1307" i="10"/>
  <c r="AR1306" i="10"/>
  <c r="Q1306" i="10"/>
  <c r="K1306" i="10"/>
  <c r="J1306" i="10"/>
  <c r="BA1305" i="10"/>
  <c r="AS1305" i="10"/>
  <c r="BO1305" i="10" s="1"/>
  <c r="AM1305" i="10"/>
  <c r="AJ1305" i="10" s="1"/>
  <c r="AD1305" i="10"/>
  <c r="W1305" i="10"/>
  <c r="R1305" i="10"/>
  <c r="S1305" i="10" s="1"/>
  <c r="L1305" i="10"/>
  <c r="AS1304" i="10"/>
  <c r="AO1304" i="10" s="1"/>
  <c r="AM1304" i="10"/>
  <c r="AJ1304" i="10" s="1"/>
  <c r="AD1304" i="10"/>
  <c r="AA1304" i="10" s="1"/>
  <c r="W1304" i="10"/>
  <c r="R1304" i="10"/>
  <c r="S1304" i="10" s="1"/>
  <c r="L1304" i="10"/>
  <c r="BA1303" i="10"/>
  <c r="AS1303" i="10"/>
  <c r="AM1303" i="10"/>
  <c r="AJ1303" i="10" s="1"/>
  <c r="AD1303" i="10"/>
  <c r="W1303" i="10"/>
  <c r="R1303" i="10"/>
  <c r="S1303" i="10" s="1"/>
  <c r="L1303" i="10"/>
  <c r="BA1302" i="10"/>
  <c r="AS1302" i="10"/>
  <c r="BO1302" i="10" s="1"/>
  <c r="AM1302" i="10"/>
  <c r="AD1302" i="10"/>
  <c r="AV1302" i="10" s="1"/>
  <c r="W1302" i="10"/>
  <c r="L1302" i="10"/>
  <c r="AZ1301" i="10"/>
  <c r="AZ1300" i="10" s="1"/>
  <c r="BA1301" i="10"/>
  <c r="AS1301" i="10"/>
  <c r="AM1301" i="10"/>
  <c r="AJ1301" i="10" s="1"/>
  <c r="AD1301" i="10"/>
  <c r="AA1301" i="10" s="1"/>
  <c r="R1301" i="10"/>
  <c r="S1301" i="10" s="1"/>
  <c r="L1301" i="10"/>
  <c r="AR1300" i="10"/>
  <c r="V1300" i="10"/>
  <c r="Q1300" i="10"/>
  <c r="K1300" i="10"/>
  <c r="J1300" i="10"/>
  <c r="L1300" i="10" s="1"/>
  <c r="BA1298" i="10"/>
  <c r="AS1298" i="10"/>
  <c r="AM1298" i="10"/>
  <c r="AJ1298" i="10" s="1"/>
  <c r="AD1298" i="10"/>
  <c r="AV1298" i="10" s="1"/>
  <c r="W1298" i="10"/>
  <c r="R1298" i="10"/>
  <c r="S1298" i="10" s="1"/>
  <c r="L1298" i="10"/>
  <c r="AZ1297" i="10"/>
  <c r="AZ1296" i="10" s="1"/>
  <c r="AS1297" i="10"/>
  <c r="AO1297" i="10" s="1"/>
  <c r="AM1297" i="10"/>
  <c r="AJ1297" i="10"/>
  <c r="AD1297" i="10"/>
  <c r="AV1297" i="10" s="1"/>
  <c r="L1297" i="10"/>
  <c r="AR1296" i="10"/>
  <c r="V1296" i="10"/>
  <c r="K1296" i="10"/>
  <c r="J1296" i="10"/>
  <c r="BA1295" i="10"/>
  <c r="BA1294" i="10" s="1"/>
  <c r="AS1295" i="10"/>
  <c r="BH1295" i="10" s="1"/>
  <c r="AM1295" i="10"/>
  <c r="AD1295" i="10"/>
  <c r="AV1295" i="10" s="1"/>
  <c r="W1295" i="10"/>
  <c r="W1294" i="10" s="1"/>
  <c r="L1295" i="10"/>
  <c r="AZ1294" i="10"/>
  <c r="AR1294" i="10"/>
  <c r="V1294" i="10"/>
  <c r="Q1294" i="10"/>
  <c r="K1294" i="10"/>
  <c r="J1294" i="10"/>
  <c r="AY1290" i="10"/>
  <c r="AY1289" i="10" s="1"/>
  <c r="AM1291" i="10"/>
  <c r="AD1291" i="10"/>
  <c r="AA1291" i="10" s="1"/>
  <c r="P1290" i="10"/>
  <c r="P1289" i="10" s="1"/>
  <c r="L1291" i="10"/>
  <c r="AZ1290" i="10"/>
  <c r="AZ1289" i="10" s="1"/>
  <c r="AR1290" i="10"/>
  <c r="AR1289" i="10" s="1"/>
  <c r="V1290" i="10"/>
  <c r="V1289" i="10" s="1"/>
  <c r="Q1290" i="10"/>
  <c r="Q1289" i="10" s="1"/>
  <c r="K1290" i="10"/>
  <c r="J1290" i="10"/>
  <c r="L1290" i="10" s="1"/>
  <c r="K1289" i="10"/>
  <c r="J1289" i="10"/>
  <c r="L1289" i="10" s="1"/>
  <c r="AY1287" i="10"/>
  <c r="AY1286" i="10" s="1"/>
  <c r="AS1288" i="10"/>
  <c r="AO1288" i="10" s="1"/>
  <c r="AM1288" i="10"/>
  <c r="AJ1288" i="10"/>
  <c r="AD1288" i="10"/>
  <c r="AD1287" i="10" s="1"/>
  <c r="AV1287" i="10" s="1"/>
  <c r="W1288" i="10"/>
  <c r="W1287" i="10" s="1"/>
  <c r="W1286" i="10" s="1"/>
  <c r="R1288" i="10"/>
  <c r="S1288" i="10" s="1"/>
  <c r="L1288" i="10"/>
  <c r="AZ1287" i="10"/>
  <c r="AZ1286" i="10" s="1"/>
  <c r="AR1287" i="10"/>
  <c r="AR1286" i="10" s="1"/>
  <c r="V1287" i="10"/>
  <c r="V1286" i="10" s="1"/>
  <c r="Q1287" i="10"/>
  <c r="K1287" i="10"/>
  <c r="J1287" i="10"/>
  <c r="Q1286" i="10"/>
  <c r="K1286" i="10"/>
  <c r="AS1285" i="10"/>
  <c r="AM1285" i="10"/>
  <c r="AD1285" i="10"/>
  <c r="W1285" i="10"/>
  <c r="L1285" i="10"/>
  <c r="AS1284" i="10"/>
  <c r="AM1284" i="10"/>
  <c r="AJ1284" i="10" s="1"/>
  <c r="AD1284" i="10"/>
  <c r="R1284" i="10"/>
  <c r="L1284" i="10"/>
  <c r="AR1283" i="10"/>
  <c r="AR1282" i="10" s="1"/>
  <c r="V1283" i="10"/>
  <c r="V1282" i="10" s="1"/>
  <c r="Q1283" i="10"/>
  <c r="Q1282" i="10" s="1"/>
  <c r="K1283" i="10"/>
  <c r="K1282" i="10" s="1"/>
  <c r="J1283" i="10"/>
  <c r="J1282" i="10" s="1"/>
  <c r="AM1281" i="10"/>
  <c r="AM1280" i="10" s="1"/>
  <c r="AM1279" i="10" s="1"/>
  <c r="AJ1279" i="10" s="1"/>
  <c r="AD1281" i="10"/>
  <c r="P1280" i="10"/>
  <c r="P1279" i="10" s="1"/>
  <c r="L1281" i="10"/>
  <c r="AZ1280" i="10"/>
  <c r="AZ1279" i="10" s="1"/>
  <c r="AR1280" i="10"/>
  <c r="AR1279" i="10" s="1"/>
  <c r="V1280" i="10"/>
  <c r="V1279" i="10" s="1"/>
  <c r="Q1280" i="10"/>
  <c r="Q1279" i="10" s="1"/>
  <c r="K1280" i="10"/>
  <c r="J1280" i="10"/>
  <c r="K1279" i="10"/>
  <c r="BA1278" i="10"/>
  <c r="AS1278" i="10"/>
  <c r="AM1278" i="10"/>
  <c r="AJ1278" i="10" s="1"/>
  <c r="AD1278" i="10"/>
  <c r="W1278" i="10"/>
  <c r="R1278" i="10"/>
  <c r="S1278" i="10" s="1"/>
  <c r="L1278" i="10"/>
  <c r="BA1277" i="10"/>
  <c r="AS1277" i="10"/>
  <c r="BO1277" i="10" s="1"/>
  <c r="AM1277" i="10"/>
  <c r="AJ1277" i="10" s="1"/>
  <c r="AD1277" i="10"/>
  <c r="W1277" i="10"/>
  <c r="R1277" i="10"/>
  <c r="S1277" i="10" s="1"/>
  <c r="L1277" i="10"/>
  <c r="BA1276" i="10"/>
  <c r="AS1276" i="10"/>
  <c r="AO1276" i="10" s="1"/>
  <c r="AM1276" i="10"/>
  <c r="AD1276" i="10"/>
  <c r="W1276" i="10"/>
  <c r="R1276" i="10"/>
  <c r="S1276" i="10" s="1"/>
  <c r="L1276" i="10"/>
  <c r="BA1275" i="10"/>
  <c r="AS1275" i="10"/>
  <c r="AM1275" i="10"/>
  <c r="AD1275" i="10"/>
  <c r="W1275" i="10"/>
  <c r="R1275" i="10"/>
  <c r="S1275" i="10" s="1"/>
  <c r="L1275" i="10"/>
  <c r="AM1274" i="10"/>
  <c r="AD1274" i="10"/>
  <c r="V1273" i="10"/>
  <c r="V1272" i="10" s="1"/>
  <c r="R1274" i="10"/>
  <c r="L1274" i="10"/>
  <c r="AR1273" i="10"/>
  <c r="AR1272" i="10" s="1"/>
  <c r="Q1273" i="10"/>
  <c r="Q1272" i="10" s="1"/>
  <c r="K1273" i="10"/>
  <c r="K1272" i="10" s="1"/>
  <c r="J1273" i="10"/>
  <c r="J1272" i="10" s="1"/>
  <c r="BA1271" i="10"/>
  <c r="AS1271" i="10"/>
  <c r="AM1271" i="10"/>
  <c r="AD1271" i="10"/>
  <c r="AV1271" i="10" s="1"/>
  <c r="W1271" i="10"/>
  <c r="R1271" i="10"/>
  <c r="S1271" i="10" s="1"/>
  <c r="L1271" i="10"/>
  <c r="BA1270" i="10"/>
  <c r="AS1270" i="10"/>
  <c r="AM1270" i="10"/>
  <c r="AJ1270" i="10" s="1"/>
  <c r="AD1270" i="10"/>
  <c r="W1270" i="10"/>
  <c r="R1270" i="10"/>
  <c r="S1270" i="10" s="1"/>
  <c r="L1270" i="10"/>
  <c r="BA1269" i="10"/>
  <c r="AM1269" i="10"/>
  <c r="AD1269" i="10"/>
  <c r="W1269" i="10"/>
  <c r="R1269" i="10"/>
  <c r="S1269" i="10" s="1"/>
  <c r="L1269" i="10"/>
  <c r="AS1268" i="10"/>
  <c r="AM1268" i="10"/>
  <c r="AJ1268" i="10" s="1"/>
  <c r="AD1268" i="10"/>
  <c r="V1266" i="10"/>
  <c r="V1265" i="10" s="1"/>
  <c r="R1268" i="10"/>
  <c r="S1268" i="10" s="1"/>
  <c r="L1268" i="10"/>
  <c r="BA1267" i="10"/>
  <c r="AS1267" i="10"/>
  <c r="AO1267" i="10" s="1"/>
  <c r="AM1267" i="10"/>
  <c r="AD1267" i="10"/>
  <c r="L1267" i="10"/>
  <c r="AR1266" i="10"/>
  <c r="AR1265" i="10" s="1"/>
  <c r="Q1266" i="10"/>
  <c r="Q1265" i="10" s="1"/>
  <c r="K1266" i="10"/>
  <c r="J1266" i="10"/>
  <c r="J1265" i="10"/>
  <c r="AS1264" i="10"/>
  <c r="AM1264" i="10"/>
  <c r="AJ1264" i="10" s="1"/>
  <c r="AD1264" i="10"/>
  <c r="AA1264" i="10" s="1"/>
  <c r="W1264" i="10"/>
  <c r="R1264" i="10"/>
  <c r="S1264" i="10" s="1"/>
  <c r="L1264" i="10"/>
  <c r="BA1263" i="10"/>
  <c r="AS1263" i="10"/>
  <c r="AO1263" i="10" s="1"/>
  <c r="AM1263" i="10"/>
  <c r="AJ1263" i="10" s="1"/>
  <c r="AD1263" i="10"/>
  <c r="W1263" i="10"/>
  <c r="R1263" i="10"/>
  <c r="S1263" i="10" s="1"/>
  <c r="L1263" i="10"/>
  <c r="AS1262" i="10"/>
  <c r="AM1262" i="10"/>
  <c r="AJ1262" i="10" s="1"/>
  <c r="AD1262" i="10"/>
  <c r="R1262" i="10"/>
  <c r="S1262" i="10" s="1"/>
  <c r="L1262" i="10"/>
  <c r="BA1261" i="10"/>
  <c r="AS1261" i="10"/>
  <c r="AM1261" i="10"/>
  <c r="AD1261" i="10"/>
  <c r="W1261" i="10"/>
  <c r="L1261" i="10"/>
  <c r="AR1260" i="10"/>
  <c r="AR1259" i="10" s="1"/>
  <c r="V1260" i="10"/>
  <c r="Q1260" i="10"/>
  <c r="Q1259" i="10" s="1"/>
  <c r="K1260" i="10"/>
  <c r="J1260" i="10"/>
  <c r="J1259" i="10" s="1"/>
  <c r="V1259" i="10"/>
  <c r="BA1257" i="10"/>
  <c r="AS1257" i="10"/>
  <c r="AM1257" i="10"/>
  <c r="AJ1257" i="10" s="1"/>
  <c r="AD1257" i="10"/>
  <c r="W1257" i="10"/>
  <c r="R1257" i="10"/>
  <c r="S1257" i="10" s="1"/>
  <c r="L1257" i="10"/>
  <c r="BA1256" i="10"/>
  <c r="AS1256" i="10"/>
  <c r="AO1256" i="10" s="1"/>
  <c r="AM1256" i="10"/>
  <c r="AD1256" i="10"/>
  <c r="W1256" i="10"/>
  <c r="R1256" i="10"/>
  <c r="S1256" i="10" s="1"/>
  <c r="L1256" i="10"/>
  <c r="BA1255" i="10"/>
  <c r="AS1255" i="10"/>
  <c r="AM1255" i="10"/>
  <c r="AJ1255" i="10" s="1"/>
  <c r="AD1255" i="10"/>
  <c r="W1255" i="10"/>
  <c r="R1255" i="10"/>
  <c r="S1255" i="10" s="1"/>
  <c r="L1255" i="10"/>
  <c r="BA1254" i="10"/>
  <c r="AS1254" i="10"/>
  <c r="AM1254" i="10"/>
  <c r="AJ1254" i="10" s="1"/>
  <c r="AD1254" i="10"/>
  <c r="W1254" i="10"/>
  <c r="R1254" i="10"/>
  <c r="S1254" i="10" s="1"/>
  <c r="L1254" i="10"/>
  <c r="BA1253" i="10"/>
  <c r="AS1253" i="10"/>
  <c r="AM1253" i="10"/>
  <c r="AJ1253" i="10" s="1"/>
  <c r="AD1253" i="10"/>
  <c r="W1253" i="10"/>
  <c r="R1253" i="10"/>
  <c r="S1253" i="10" s="1"/>
  <c r="L1253" i="10"/>
  <c r="BA1252" i="10"/>
  <c r="AS1252" i="10"/>
  <c r="AM1252" i="10"/>
  <c r="AD1252" i="10"/>
  <c r="W1252" i="10"/>
  <c r="R1252" i="10"/>
  <c r="S1252" i="10" s="1"/>
  <c r="L1252" i="10"/>
  <c r="BA1251" i="10"/>
  <c r="AS1251" i="10"/>
  <c r="AO1251" i="10" s="1"/>
  <c r="AM1251" i="10"/>
  <c r="AJ1251" i="10" s="1"/>
  <c r="AD1251" i="10"/>
  <c r="W1251" i="10"/>
  <c r="R1251" i="10"/>
  <c r="S1251" i="10" s="1"/>
  <c r="L1251" i="10"/>
  <c r="BA1250" i="10"/>
  <c r="AS1250" i="10"/>
  <c r="AO1250" i="10" s="1"/>
  <c r="AM1250" i="10"/>
  <c r="AJ1250" i="10" s="1"/>
  <c r="AD1250" i="10"/>
  <c r="AA1250" i="10"/>
  <c r="W1250" i="10"/>
  <c r="R1250" i="10"/>
  <c r="S1250" i="10" s="1"/>
  <c r="L1250" i="10"/>
  <c r="BA1249" i="10"/>
  <c r="AS1249" i="10"/>
  <c r="AM1249" i="10"/>
  <c r="AD1249" i="10"/>
  <c r="W1249" i="10"/>
  <c r="R1249" i="10"/>
  <c r="S1249" i="10" s="1"/>
  <c r="L1249" i="10"/>
  <c r="BA1248" i="10"/>
  <c r="AS1248" i="10"/>
  <c r="AM1248" i="10"/>
  <c r="AJ1248" i="10" s="1"/>
  <c r="AD1248" i="10"/>
  <c r="W1248" i="10"/>
  <c r="R1248" i="10"/>
  <c r="S1248" i="10" s="1"/>
  <c r="L1248" i="10"/>
  <c r="BA1247" i="10"/>
  <c r="AS1247" i="10"/>
  <c r="AM1247" i="10"/>
  <c r="AJ1247" i="10" s="1"/>
  <c r="AD1247" i="10"/>
  <c r="AV1247" i="10" s="1"/>
  <c r="W1247" i="10"/>
  <c r="R1247" i="10"/>
  <c r="S1247" i="10" s="1"/>
  <c r="L1247" i="10"/>
  <c r="BA1246" i="10"/>
  <c r="AS1246" i="10"/>
  <c r="AM1246" i="10"/>
  <c r="AD1246" i="10"/>
  <c r="W1246" i="10"/>
  <c r="R1246" i="10"/>
  <c r="S1246" i="10" s="1"/>
  <c r="L1246" i="10"/>
  <c r="BA1245" i="10"/>
  <c r="AS1245" i="10"/>
  <c r="AO1245" i="10" s="1"/>
  <c r="AM1245" i="10"/>
  <c r="AJ1245" i="10" s="1"/>
  <c r="AD1245" i="10"/>
  <c r="W1245" i="10"/>
  <c r="R1245" i="10"/>
  <c r="S1245" i="10" s="1"/>
  <c r="L1245" i="10"/>
  <c r="BA1244" i="10"/>
  <c r="AS1244" i="10"/>
  <c r="AO1244" i="10" s="1"/>
  <c r="AM1244" i="10"/>
  <c r="AD1244" i="10"/>
  <c r="R1244" i="10"/>
  <c r="S1244" i="10" s="1"/>
  <c r="L1244" i="10"/>
  <c r="BA1243" i="10"/>
  <c r="AS1243" i="10"/>
  <c r="AO1243" i="10" s="1"/>
  <c r="AM1243" i="10"/>
  <c r="AD1243" i="10"/>
  <c r="W1243" i="10"/>
  <c r="R1243" i="10"/>
  <c r="S1243" i="10" s="1"/>
  <c r="L1243" i="10"/>
  <c r="BA1242" i="10"/>
  <c r="AS1242" i="10"/>
  <c r="AM1242" i="10"/>
  <c r="AD1242" i="10"/>
  <c r="W1242" i="10"/>
  <c r="R1242" i="10"/>
  <c r="S1242" i="10" s="1"/>
  <c r="L1242" i="10"/>
  <c r="BA1241" i="10"/>
  <c r="AS1241" i="10"/>
  <c r="AM1241" i="10"/>
  <c r="AD1241" i="10"/>
  <c r="AV1241" i="10" s="1"/>
  <c r="AA1241" i="10"/>
  <c r="W1241" i="10"/>
  <c r="R1241" i="10"/>
  <c r="S1241" i="10" s="1"/>
  <c r="L1241" i="10"/>
  <c r="BA1240" i="10"/>
  <c r="AS1240" i="10"/>
  <c r="AM1240" i="10"/>
  <c r="AD1240" i="10"/>
  <c r="R1240" i="10"/>
  <c r="S1240" i="10" s="1"/>
  <c r="L1240" i="10"/>
  <c r="BA1239" i="10"/>
  <c r="AS1239" i="10"/>
  <c r="AM1239" i="10"/>
  <c r="AD1239" i="10"/>
  <c r="W1239" i="10"/>
  <c r="R1239" i="10"/>
  <c r="S1239" i="10" s="1"/>
  <c r="L1239" i="10"/>
  <c r="AM1238" i="10"/>
  <c r="AJ1238" i="10" s="1"/>
  <c r="AD1238" i="10"/>
  <c r="L1238" i="10"/>
  <c r="AZ1237" i="10"/>
  <c r="Q1237" i="10"/>
  <c r="K1237" i="10"/>
  <c r="J1237" i="10"/>
  <c r="AZ1236" i="10"/>
  <c r="AS1236" i="10"/>
  <c r="AM1236" i="10"/>
  <c r="AD1236" i="10"/>
  <c r="W1236" i="10"/>
  <c r="L1236" i="10"/>
  <c r="AZ1235" i="10"/>
  <c r="AS1235" i="10"/>
  <c r="AM1235" i="10"/>
  <c r="AJ1235" i="10" s="1"/>
  <c r="AD1235" i="10"/>
  <c r="W1235" i="10"/>
  <c r="L1235" i="10"/>
  <c r="AZ1234" i="10"/>
  <c r="AS1234" i="10"/>
  <c r="AO1234" i="10" s="1"/>
  <c r="AM1234" i="10"/>
  <c r="AD1234" i="10"/>
  <c r="AV1234" i="10" s="1"/>
  <c r="W1234" i="10"/>
  <c r="L1234" i="10"/>
  <c r="AZ1233" i="10"/>
  <c r="AS1233" i="10"/>
  <c r="AO1233" i="10" s="1"/>
  <c r="AM1233" i="10"/>
  <c r="AJ1233" i="10" s="1"/>
  <c r="AD1233" i="10"/>
  <c r="W1233" i="10"/>
  <c r="L1233" i="10"/>
  <c r="AZ1232" i="10"/>
  <c r="AS1232" i="10"/>
  <c r="AO1232" i="10" s="1"/>
  <c r="AM1232" i="10"/>
  <c r="AD1232" i="10"/>
  <c r="W1232" i="10"/>
  <c r="L1232" i="10"/>
  <c r="AZ1231" i="10"/>
  <c r="AS1231" i="10"/>
  <c r="AM1231" i="10"/>
  <c r="AJ1231" i="10" s="1"/>
  <c r="AD1231" i="10"/>
  <c r="W1231" i="10"/>
  <c r="L1231" i="10"/>
  <c r="AZ1230" i="10"/>
  <c r="AS1230" i="10"/>
  <c r="AM1230" i="10"/>
  <c r="AJ1230" i="10" s="1"/>
  <c r="AD1230" i="10"/>
  <c r="W1230" i="10"/>
  <c r="L1230" i="10"/>
  <c r="AZ1229" i="10"/>
  <c r="AS1229" i="10"/>
  <c r="AO1229" i="10" s="1"/>
  <c r="AM1229" i="10"/>
  <c r="AJ1229" i="10" s="1"/>
  <c r="AD1229" i="10"/>
  <c r="W1229" i="10"/>
  <c r="L1229" i="10"/>
  <c r="AZ1228" i="10"/>
  <c r="AS1228" i="10"/>
  <c r="AM1228" i="10"/>
  <c r="AJ1228" i="10" s="1"/>
  <c r="AD1228" i="10"/>
  <c r="W1228" i="10"/>
  <c r="L1228" i="10"/>
  <c r="AZ1227" i="10"/>
  <c r="AS1227" i="10"/>
  <c r="AO1227" i="10" s="1"/>
  <c r="AM1227" i="10"/>
  <c r="AJ1227" i="10" s="1"/>
  <c r="AD1227" i="10"/>
  <c r="AA1227" i="10" s="1"/>
  <c r="W1227" i="10"/>
  <c r="L1227" i="10"/>
  <c r="AZ1226" i="10"/>
  <c r="AS1226" i="10"/>
  <c r="AO1226" i="10" s="1"/>
  <c r="AM1226" i="10"/>
  <c r="AD1226" i="10"/>
  <c r="AV1226" i="10" s="1"/>
  <c r="AA1226" i="10"/>
  <c r="W1226" i="10"/>
  <c r="L1226" i="10"/>
  <c r="AZ1225" i="10"/>
  <c r="AS1225" i="10"/>
  <c r="AO1225" i="10" s="1"/>
  <c r="AM1225" i="10"/>
  <c r="AD1225" i="10"/>
  <c r="W1225" i="10"/>
  <c r="L1225" i="10"/>
  <c r="AZ1224" i="10"/>
  <c r="AS1224" i="10"/>
  <c r="AM1224" i="10"/>
  <c r="AJ1224" i="10" s="1"/>
  <c r="AD1224" i="10"/>
  <c r="W1224" i="10"/>
  <c r="L1224" i="10"/>
  <c r="AZ1223" i="10"/>
  <c r="AS1223" i="10"/>
  <c r="AM1223" i="10"/>
  <c r="AJ1223" i="10" s="1"/>
  <c r="AD1223" i="10"/>
  <c r="W1223" i="10"/>
  <c r="L1223" i="10"/>
  <c r="AZ1222" i="10"/>
  <c r="AS1222" i="10"/>
  <c r="AM1222" i="10"/>
  <c r="AD1222" i="10"/>
  <c r="W1222" i="10"/>
  <c r="L1222" i="10"/>
  <c r="AZ1221" i="10"/>
  <c r="AS1221" i="10"/>
  <c r="AM1221" i="10"/>
  <c r="AJ1221" i="10" s="1"/>
  <c r="AD1221" i="10"/>
  <c r="AA1221" i="10" s="1"/>
  <c r="W1221" i="10"/>
  <c r="L1221" i="10"/>
  <c r="AZ1220" i="10"/>
  <c r="AS1220" i="10"/>
  <c r="AM1220" i="10"/>
  <c r="AD1220" i="10"/>
  <c r="W1220" i="10"/>
  <c r="L1220" i="10"/>
  <c r="AZ1219" i="10"/>
  <c r="AS1219" i="10"/>
  <c r="AM1219" i="10"/>
  <c r="AJ1219" i="10" s="1"/>
  <c r="AD1219" i="10"/>
  <c r="AA1219" i="10" s="1"/>
  <c r="W1219" i="10"/>
  <c r="L1219" i="10"/>
  <c r="AZ1218" i="10"/>
  <c r="AS1218" i="10"/>
  <c r="AM1218" i="10"/>
  <c r="AJ1218" i="10" s="1"/>
  <c r="AD1218" i="10"/>
  <c r="W1218" i="10"/>
  <c r="L1218" i="10"/>
  <c r="AZ1217" i="10"/>
  <c r="AS1217" i="10"/>
  <c r="AO1217" i="10" s="1"/>
  <c r="AM1217" i="10"/>
  <c r="AD1217" i="10"/>
  <c r="W1217" i="10"/>
  <c r="L1217" i="10"/>
  <c r="AZ1216" i="10"/>
  <c r="AS1216" i="10"/>
  <c r="AM1216" i="10"/>
  <c r="AD1216" i="10"/>
  <c r="W1216" i="10"/>
  <c r="L1216" i="10"/>
  <c r="AZ1215" i="10"/>
  <c r="AS1215" i="10"/>
  <c r="AO1215" i="10" s="1"/>
  <c r="AM1215" i="10"/>
  <c r="AJ1215" i="10" s="1"/>
  <c r="AD1215" i="10"/>
  <c r="W1215" i="10"/>
  <c r="L1215" i="10"/>
  <c r="AZ1214" i="10"/>
  <c r="AS1214" i="10"/>
  <c r="AM1214" i="10"/>
  <c r="AJ1214" i="10" s="1"/>
  <c r="AD1214" i="10"/>
  <c r="W1214" i="10"/>
  <c r="L1214" i="10"/>
  <c r="AZ1213" i="10"/>
  <c r="AS1213" i="10"/>
  <c r="AM1213" i="10"/>
  <c r="AJ1213" i="10" s="1"/>
  <c r="AD1213" i="10"/>
  <c r="AV1213" i="10" s="1"/>
  <c r="W1213" i="10"/>
  <c r="L1213" i="10"/>
  <c r="AZ1212" i="10"/>
  <c r="AS1212" i="10"/>
  <c r="AM1212" i="10"/>
  <c r="AJ1212" i="10" s="1"/>
  <c r="AD1212" i="10"/>
  <c r="W1212" i="10"/>
  <c r="L1212" i="10"/>
  <c r="AZ1211" i="10"/>
  <c r="AS1211" i="10"/>
  <c r="AM1211" i="10"/>
  <c r="AD1211" i="10"/>
  <c r="W1211" i="10"/>
  <c r="L1211" i="10"/>
  <c r="AZ1210" i="10"/>
  <c r="AS1210" i="10"/>
  <c r="AM1210" i="10"/>
  <c r="AD1210" i="10"/>
  <c r="AV1210" i="10" s="1"/>
  <c r="AA1210" i="10"/>
  <c r="V1210" i="10"/>
  <c r="W1210" i="10" s="1"/>
  <c r="L1210" i="10"/>
  <c r="AZ1209" i="10"/>
  <c r="AS1209" i="10"/>
  <c r="AO1209" i="10" s="1"/>
  <c r="AM1209" i="10"/>
  <c r="AD1209" i="10"/>
  <c r="AV1209" i="10" s="1"/>
  <c r="W1209" i="10"/>
  <c r="L1209" i="10"/>
  <c r="AZ1208" i="10"/>
  <c r="AS1208" i="10"/>
  <c r="AM1208" i="10"/>
  <c r="AJ1208" i="10" s="1"/>
  <c r="AD1208" i="10"/>
  <c r="AA1208" i="10" s="1"/>
  <c r="W1208" i="10"/>
  <c r="L1208" i="10"/>
  <c r="AZ1207" i="10"/>
  <c r="AS1207" i="10"/>
  <c r="AO1207" i="10"/>
  <c r="AM1207" i="10"/>
  <c r="AJ1207" i="10" s="1"/>
  <c r="AD1207" i="10"/>
  <c r="W1207" i="10"/>
  <c r="L1207" i="10"/>
  <c r="AZ1206" i="10"/>
  <c r="AS1206" i="10"/>
  <c r="AM1206" i="10"/>
  <c r="AJ1206" i="10" s="1"/>
  <c r="AD1206" i="10"/>
  <c r="W1206" i="10"/>
  <c r="L1206" i="10"/>
  <c r="AZ1205" i="10"/>
  <c r="AS1205" i="10"/>
  <c r="AO1205" i="10" s="1"/>
  <c r="AM1205" i="10"/>
  <c r="AD1205" i="10"/>
  <c r="W1205" i="10"/>
  <c r="L1205" i="10"/>
  <c r="AZ1204" i="10"/>
  <c r="AS1204" i="10"/>
  <c r="AM1204" i="10"/>
  <c r="AJ1204" i="10" s="1"/>
  <c r="AD1204" i="10"/>
  <c r="W1204" i="10"/>
  <c r="L1204" i="10"/>
  <c r="AZ1203" i="10"/>
  <c r="AS1203" i="10"/>
  <c r="AM1203" i="10"/>
  <c r="AD1203" i="10"/>
  <c r="W1203" i="10"/>
  <c r="L1203" i="10"/>
  <c r="AZ1202" i="10"/>
  <c r="AS1202" i="10"/>
  <c r="AM1202" i="10"/>
  <c r="AJ1202" i="10" s="1"/>
  <c r="AD1202" i="10"/>
  <c r="AV1202" i="10" s="1"/>
  <c r="AA1202" i="10"/>
  <c r="W1202" i="10"/>
  <c r="L1202" i="10"/>
  <c r="AZ1201" i="10"/>
  <c r="AS1201" i="10"/>
  <c r="AM1201" i="10"/>
  <c r="AD1201" i="10"/>
  <c r="W1201" i="10"/>
  <c r="L1201" i="10"/>
  <c r="AZ1200" i="10"/>
  <c r="AS1200" i="10"/>
  <c r="AO1200" i="10" s="1"/>
  <c r="AM1200" i="10"/>
  <c r="AJ1200" i="10" s="1"/>
  <c r="AD1200" i="10"/>
  <c r="W1200" i="10"/>
  <c r="L1200" i="10"/>
  <c r="AZ1199" i="10"/>
  <c r="AS1199" i="10"/>
  <c r="AM1199" i="10"/>
  <c r="AD1199" i="10"/>
  <c r="W1199" i="10"/>
  <c r="L1199" i="10"/>
  <c r="AZ1198" i="10"/>
  <c r="AS1198" i="10"/>
  <c r="AO1198" i="10"/>
  <c r="AM1198" i="10"/>
  <c r="AJ1198" i="10" s="1"/>
  <c r="AD1198" i="10"/>
  <c r="AA1198" i="10" s="1"/>
  <c r="W1198" i="10"/>
  <c r="L1198" i="10"/>
  <c r="AZ1197" i="10"/>
  <c r="AS1197" i="10"/>
  <c r="AO1197" i="10" s="1"/>
  <c r="AM1197" i="10"/>
  <c r="AD1197" i="10"/>
  <c r="W1197" i="10"/>
  <c r="L1197" i="10"/>
  <c r="AZ1196" i="10"/>
  <c r="AS1196" i="10"/>
  <c r="AO1196" i="10" s="1"/>
  <c r="AM1196" i="10"/>
  <c r="AD1196" i="10"/>
  <c r="W1196" i="10"/>
  <c r="L1196" i="10"/>
  <c r="AZ1195" i="10"/>
  <c r="AS1195" i="10"/>
  <c r="AM1195" i="10"/>
  <c r="AJ1195" i="10" s="1"/>
  <c r="AD1195" i="10"/>
  <c r="W1195" i="10"/>
  <c r="L1195" i="10"/>
  <c r="AZ1194" i="10"/>
  <c r="AS1194" i="10"/>
  <c r="AM1194" i="10"/>
  <c r="AJ1194" i="10" s="1"/>
  <c r="AD1194" i="10"/>
  <c r="AA1194" i="10" s="1"/>
  <c r="W1194" i="10"/>
  <c r="L1194" i="10"/>
  <c r="AZ1193" i="10"/>
  <c r="AS1193" i="10"/>
  <c r="AO1193" i="10"/>
  <c r="AM1193" i="10"/>
  <c r="AJ1193" i="10" s="1"/>
  <c r="AD1193" i="10"/>
  <c r="W1193" i="10"/>
  <c r="L1193" i="10"/>
  <c r="AZ1192" i="10"/>
  <c r="AS1192" i="10"/>
  <c r="AM1192" i="10"/>
  <c r="AJ1192" i="10" s="1"/>
  <c r="AD1192" i="10"/>
  <c r="W1192" i="10"/>
  <c r="L1192" i="10"/>
  <c r="AZ1191" i="10"/>
  <c r="AS1191" i="10"/>
  <c r="AM1191" i="10"/>
  <c r="AJ1191" i="10" s="1"/>
  <c r="AD1191" i="10"/>
  <c r="AV1191" i="10" s="1"/>
  <c r="W1191" i="10"/>
  <c r="L1191" i="10"/>
  <c r="AZ1190" i="10"/>
  <c r="AS1190" i="10"/>
  <c r="AO1190" i="10" s="1"/>
  <c r="AM1190" i="10"/>
  <c r="AD1190" i="10"/>
  <c r="W1190" i="10"/>
  <c r="L1190" i="10"/>
  <c r="AZ1189" i="10"/>
  <c r="AS1189" i="10"/>
  <c r="AO1189" i="10" s="1"/>
  <c r="AM1189" i="10"/>
  <c r="AN1189" i="10" s="1"/>
  <c r="AD1189" i="10"/>
  <c r="AV1189" i="10" s="1"/>
  <c r="W1189" i="10"/>
  <c r="L1189" i="10"/>
  <c r="AZ1188" i="10"/>
  <c r="AS1188" i="10"/>
  <c r="AO1188" i="10" s="1"/>
  <c r="AM1188" i="10"/>
  <c r="AJ1188" i="10" s="1"/>
  <c r="AD1188" i="10"/>
  <c r="W1188" i="10"/>
  <c r="L1188" i="10"/>
  <c r="AZ1187" i="10"/>
  <c r="AS1187" i="10"/>
  <c r="AM1187" i="10"/>
  <c r="AJ1187" i="10" s="1"/>
  <c r="AD1187" i="10"/>
  <c r="AA1187" i="10" s="1"/>
  <c r="W1187" i="10"/>
  <c r="L1187" i="10"/>
  <c r="AZ1186" i="10"/>
  <c r="AS1186" i="10"/>
  <c r="AM1186" i="10"/>
  <c r="AJ1186" i="10" s="1"/>
  <c r="AD1186" i="10"/>
  <c r="AV1186" i="10" s="1"/>
  <c r="W1186" i="10"/>
  <c r="L1186" i="10"/>
  <c r="AZ1185" i="10"/>
  <c r="AS1185" i="10"/>
  <c r="AM1185" i="10"/>
  <c r="AJ1185" i="10" s="1"/>
  <c r="AD1185" i="10"/>
  <c r="AV1185" i="10" s="1"/>
  <c r="W1185" i="10"/>
  <c r="L1185" i="10"/>
  <c r="AZ1184" i="10"/>
  <c r="AS1184" i="10"/>
  <c r="AO1184" i="10" s="1"/>
  <c r="AM1184" i="10"/>
  <c r="AJ1184" i="10" s="1"/>
  <c r="AD1184" i="10"/>
  <c r="W1184" i="10"/>
  <c r="L1184" i="10"/>
  <c r="AZ1183" i="10"/>
  <c r="AS1183" i="10"/>
  <c r="AM1183" i="10"/>
  <c r="AD1183" i="10"/>
  <c r="W1183" i="10"/>
  <c r="L1183" i="10"/>
  <c r="AZ1182" i="10"/>
  <c r="AS1182" i="10"/>
  <c r="AO1182" i="10" s="1"/>
  <c r="AM1182" i="10"/>
  <c r="AD1182" i="10"/>
  <c r="AV1182" i="10" s="1"/>
  <c r="W1182" i="10"/>
  <c r="L1182" i="10"/>
  <c r="AZ1181" i="10"/>
  <c r="AS1181" i="10"/>
  <c r="AM1181" i="10"/>
  <c r="AJ1181" i="10" s="1"/>
  <c r="AD1181" i="10"/>
  <c r="W1181" i="10"/>
  <c r="L1181" i="10"/>
  <c r="AZ1180" i="10"/>
  <c r="AS1180" i="10"/>
  <c r="AO1180" i="10" s="1"/>
  <c r="AM1180" i="10"/>
  <c r="AJ1180" i="10" s="1"/>
  <c r="AD1180" i="10"/>
  <c r="W1180" i="10"/>
  <c r="L1180" i="10"/>
  <c r="AZ1179" i="10"/>
  <c r="AS1179" i="10"/>
  <c r="AM1179" i="10"/>
  <c r="AJ1179" i="10" s="1"/>
  <c r="AD1179" i="10"/>
  <c r="W1179" i="10"/>
  <c r="L1179" i="10"/>
  <c r="AZ1178" i="10"/>
  <c r="AS1178" i="10"/>
  <c r="AM1178" i="10"/>
  <c r="AJ1178" i="10"/>
  <c r="AD1178" i="10"/>
  <c r="W1178" i="10"/>
  <c r="L1178" i="10"/>
  <c r="AZ1177" i="10"/>
  <c r="AS1177" i="10"/>
  <c r="AO1177" i="10" s="1"/>
  <c r="AM1177" i="10"/>
  <c r="AJ1177" i="10"/>
  <c r="AD1177" i="10"/>
  <c r="W1177" i="10"/>
  <c r="L1177" i="10"/>
  <c r="AZ1176" i="10"/>
  <c r="AS1176" i="10"/>
  <c r="AM1176" i="10"/>
  <c r="AJ1176" i="10" s="1"/>
  <c r="AD1176" i="10"/>
  <c r="AV1176" i="10" s="1"/>
  <c r="W1176" i="10"/>
  <c r="L1176" i="10"/>
  <c r="AZ1175" i="10"/>
  <c r="AS1175" i="10"/>
  <c r="AO1175" i="10" s="1"/>
  <c r="AM1175" i="10"/>
  <c r="AJ1175" i="10" s="1"/>
  <c r="AD1175" i="10"/>
  <c r="AV1175" i="10" s="1"/>
  <c r="AA1175" i="10"/>
  <c r="W1175" i="10"/>
  <c r="L1175" i="10"/>
  <c r="AZ1174" i="10"/>
  <c r="AS1174" i="10"/>
  <c r="AM1174" i="10"/>
  <c r="AD1174" i="10"/>
  <c r="W1174" i="10"/>
  <c r="L1174" i="10"/>
  <c r="AZ1173" i="10"/>
  <c r="AS1173" i="10"/>
  <c r="AM1173" i="10"/>
  <c r="AJ1173" i="10"/>
  <c r="AD1173" i="10"/>
  <c r="AA1173" i="10" s="1"/>
  <c r="W1173" i="10"/>
  <c r="L1173" i="10"/>
  <c r="AZ1172" i="10"/>
  <c r="AS1172" i="10"/>
  <c r="AO1172" i="10" s="1"/>
  <c r="AM1172" i="10"/>
  <c r="AD1172" i="10"/>
  <c r="W1172" i="10"/>
  <c r="L1172" i="10"/>
  <c r="AZ1171" i="10"/>
  <c r="AS1171" i="10"/>
  <c r="AM1171" i="10"/>
  <c r="AD1171" i="10"/>
  <c r="W1171" i="10"/>
  <c r="L1171" i="10"/>
  <c r="AZ1170" i="10"/>
  <c r="AS1170" i="10"/>
  <c r="AM1170" i="10"/>
  <c r="AJ1170" i="10" s="1"/>
  <c r="AD1170" i="10"/>
  <c r="W1170" i="10"/>
  <c r="L1170" i="10"/>
  <c r="AZ1169" i="10"/>
  <c r="AS1169" i="10"/>
  <c r="AM1169" i="10"/>
  <c r="AJ1169" i="10" s="1"/>
  <c r="AD1169" i="10"/>
  <c r="AA1169" i="10" s="1"/>
  <c r="W1169" i="10"/>
  <c r="L1169" i="10"/>
  <c r="AZ1168" i="10"/>
  <c r="AS1168" i="10"/>
  <c r="AO1168" i="10" s="1"/>
  <c r="AM1168" i="10"/>
  <c r="AD1168" i="10"/>
  <c r="AV1168" i="10" s="1"/>
  <c r="W1168" i="10"/>
  <c r="L1168" i="10"/>
  <c r="AZ1167" i="10"/>
  <c r="AS1167" i="10"/>
  <c r="AM1167" i="10"/>
  <c r="AD1167" i="10"/>
  <c r="W1167" i="10"/>
  <c r="L1167" i="10"/>
  <c r="AZ1166" i="10"/>
  <c r="AS1166" i="10"/>
  <c r="AM1166" i="10"/>
  <c r="AJ1166" i="10" s="1"/>
  <c r="AD1166" i="10"/>
  <c r="W1166" i="10"/>
  <c r="L1166" i="10"/>
  <c r="AZ1165" i="10"/>
  <c r="AS1165" i="10"/>
  <c r="AO1165" i="10" s="1"/>
  <c r="AM1165" i="10"/>
  <c r="AJ1165" i="10" s="1"/>
  <c r="AD1165" i="10"/>
  <c r="W1165" i="10"/>
  <c r="L1165" i="10"/>
  <c r="AZ1164" i="10"/>
  <c r="AS1164" i="10"/>
  <c r="AO1164" i="10"/>
  <c r="AM1164" i="10"/>
  <c r="AD1164" i="10"/>
  <c r="W1164" i="10"/>
  <c r="L1164" i="10"/>
  <c r="AZ1163" i="10"/>
  <c r="AS1163" i="10"/>
  <c r="AM1163" i="10"/>
  <c r="AJ1163" i="10" s="1"/>
  <c r="AD1163" i="10"/>
  <c r="W1163" i="10"/>
  <c r="L1163" i="10"/>
  <c r="AZ1162" i="10"/>
  <c r="AS1162" i="10"/>
  <c r="AM1162" i="10"/>
  <c r="AD1162" i="10"/>
  <c r="W1162" i="10"/>
  <c r="L1162" i="10"/>
  <c r="AZ1161" i="10"/>
  <c r="AS1161" i="10"/>
  <c r="AM1161" i="10"/>
  <c r="AJ1161" i="10" s="1"/>
  <c r="AD1161" i="10"/>
  <c r="W1161" i="10"/>
  <c r="L1161" i="10"/>
  <c r="AZ1160" i="10"/>
  <c r="AS1160" i="10"/>
  <c r="AM1160" i="10"/>
  <c r="AD1160" i="10"/>
  <c r="W1160" i="10"/>
  <c r="L1160" i="10"/>
  <c r="AZ1159" i="10"/>
  <c r="AS1159" i="10"/>
  <c r="AO1159" i="10" s="1"/>
  <c r="AM1159" i="10"/>
  <c r="AJ1159" i="10" s="1"/>
  <c r="AD1159" i="10"/>
  <c r="W1159" i="10"/>
  <c r="L1159" i="10"/>
  <c r="AZ1158" i="10"/>
  <c r="AS1158" i="10"/>
  <c r="AM1158" i="10"/>
  <c r="AD1158" i="10"/>
  <c r="W1158" i="10"/>
  <c r="L1158" i="10"/>
  <c r="AZ1157" i="10"/>
  <c r="AS1157" i="10"/>
  <c r="AM1157" i="10"/>
  <c r="AJ1157" i="10" s="1"/>
  <c r="AD1157" i="10"/>
  <c r="W1157" i="10"/>
  <c r="L1157" i="10"/>
  <c r="AZ1156" i="10"/>
  <c r="AS1156" i="10"/>
  <c r="AM1156" i="10"/>
  <c r="AD1156" i="10"/>
  <c r="W1156" i="10"/>
  <c r="L1156" i="10"/>
  <c r="AZ1155" i="10"/>
  <c r="AS1155" i="10"/>
  <c r="AM1155" i="10"/>
  <c r="AD1155" i="10"/>
  <c r="W1155" i="10"/>
  <c r="L1155" i="10"/>
  <c r="AZ1154" i="10"/>
  <c r="AS1154" i="10"/>
  <c r="AM1154" i="10"/>
  <c r="AJ1154" i="10" s="1"/>
  <c r="AD1154" i="10"/>
  <c r="AV1154" i="10" s="1"/>
  <c r="AA1154" i="10"/>
  <c r="W1154" i="10"/>
  <c r="L1154" i="10"/>
  <c r="AZ1153" i="10"/>
  <c r="AS1153" i="10"/>
  <c r="AM1153" i="10"/>
  <c r="AD1153" i="10"/>
  <c r="W1153" i="10"/>
  <c r="L1153" i="10"/>
  <c r="AZ1152" i="10"/>
  <c r="AS1152" i="10"/>
  <c r="AM1152" i="10"/>
  <c r="AD1152" i="10"/>
  <c r="W1152" i="10"/>
  <c r="L1152" i="10"/>
  <c r="AZ1151" i="10"/>
  <c r="AS1151" i="10"/>
  <c r="AM1151" i="10"/>
  <c r="AJ1151" i="10" s="1"/>
  <c r="AD1151" i="10"/>
  <c r="W1151" i="10"/>
  <c r="L1151" i="10"/>
  <c r="AZ1150" i="10"/>
  <c r="AS1150" i="10"/>
  <c r="AM1150" i="10"/>
  <c r="AD1150" i="10"/>
  <c r="W1150" i="10"/>
  <c r="L1150" i="10"/>
  <c r="AZ1149" i="10"/>
  <c r="AS1149" i="10"/>
  <c r="AO1149" i="10" s="1"/>
  <c r="AM1149" i="10"/>
  <c r="AD1149" i="10"/>
  <c r="AV1149" i="10" s="1"/>
  <c r="AA1149" i="10"/>
  <c r="W1149" i="10"/>
  <c r="L1149" i="10"/>
  <c r="AZ1148" i="10"/>
  <c r="AS1148" i="10"/>
  <c r="AM1148" i="10"/>
  <c r="AJ1148" i="10"/>
  <c r="AD1148" i="10"/>
  <c r="W1148" i="10"/>
  <c r="L1148" i="10"/>
  <c r="AZ1147" i="10"/>
  <c r="AS1147" i="10"/>
  <c r="AM1147" i="10"/>
  <c r="AD1147" i="10"/>
  <c r="AA1147" i="10" s="1"/>
  <c r="W1147" i="10"/>
  <c r="L1147" i="10"/>
  <c r="AZ1146" i="10"/>
  <c r="AS1146" i="10"/>
  <c r="AM1146" i="10"/>
  <c r="AJ1146" i="10" s="1"/>
  <c r="AD1146" i="10"/>
  <c r="AA1146" i="10" s="1"/>
  <c r="W1146" i="10"/>
  <c r="L1146" i="10"/>
  <c r="AZ1145" i="10"/>
  <c r="AS1145" i="10"/>
  <c r="AM1145" i="10"/>
  <c r="AJ1145" i="10" s="1"/>
  <c r="AD1145" i="10"/>
  <c r="W1145" i="10"/>
  <c r="L1145" i="10"/>
  <c r="AZ1144" i="10"/>
  <c r="AS1144" i="10"/>
  <c r="AO1144" i="10" s="1"/>
  <c r="AM1144" i="10"/>
  <c r="AJ1144" i="10" s="1"/>
  <c r="AD1144" i="10"/>
  <c r="W1144" i="10"/>
  <c r="L1144" i="10"/>
  <c r="AZ1143" i="10"/>
  <c r="AS1143" i="10"/>
  <c r="AM1143" i="10"/>
  <c r="AD1143" i="10"/>
  <c r="W1143" i="10"/>
  <c r="L1143" i="10"/>
  <c r="AZ1142" i="10"/>
  <c r="AS1142" i="10"/>
  <c r="AO1142" i="10" s="1"/>
  <c r="AM1142" i="10"/>
  <c r="AJ1142" i="10" s="1"/>
  <c r="AD1142" i="10"/>
  <c r="W1142" i="10"/>
  <c r="L1142" i="10"/>
  <c r="AZ1141" i="10"/>
  <c r="AS1141" i="10"/>
  <c r="AM1141" i="10"/>
  <c r="AD1141" i="10"/>
  <c r="AV1141" i="10" s="1"/>
  <c r="W1141" i="10"/>
  <c r="L1141" i="10"/>
  <c r="AZ1140" i="10"/>
  <c r="AS1140" i="10"/>
  <c r="AM1140" i="10"/>
  <c r="AJ1140" i="10" s="1"/>
  <c r="AD1140" i="10"/>
  <c r="W1140" i="10"/>
  <c r="L1140" i="10"/>
  <c r="AZ1139" i="10"/>
  <c r="AS1139" i="10"/>
  <c r="AM1139" i="10"/>
  <c r="AD1139" i="10"/>
  <c r="AV1139" i="10" s="1"/>
  <c r="AA1139" i="10"/>
  <c r="W1139" i="10"/>
  <c r="L1139" i="10"/>
  <c r="AZ1138" i="10"/>
  <c r="AS1138" i="10"/>
  <c r="AM1138" i="10"/>
  <c r="AD1138" i="10"/>
  <c r="W1138" i="10"/>
  <c r="L1138" i="10"/>
  <c r="AZ1137" i="10"/>
  <c r="AS1137" i="10"/>
  <c r="AO1137" i="10" s="1"/>
  <c r="AM1137" i="10"/>
  <c r="AD1137" i="10"/>
  <c r="W1137" i="10"/>
  <c r="L1137" i="10"/>
  <c r="AZ1136" i="10"/>
  <c r="AS1136" i="10"/>
  <c r="AM1136" i="10"/>
  <c r="AJ1136" i="10" s="1"/>
  <c r="AD1136" i="10"/>
  <c r="W1136" i="10"/>
  <c r="L1136" i="10"/>
  <c r="AZ1135" i="10"/>
  <c r="AS1135" i="10"/>
  <c r="AM1135" i="10"/>
  <c r="AJ1135" i="10" s="1"/>
  <c r="AD1135" i="10"/>
  <c r="AV1135" i="10" s="1"/>
  <c r="W1135" i="10"/>
  <c r="L1135" i="10"/>
  <c r="AZ1134" i="10"/>
  <c r="AS1134" i="10"/>
  <c r="AM1134" i="10"/>
  <c r="AJ1134" i="10" s="1"/>
  <c r="AD1134" i="10"/>
  <c r="W1134" i="10"/>
  <c r="L1134" i="10"/>
  <c r="AZ1133" i="10"/>
  <c r="AS1133" i="10"/>
  <c r="AM1133" i="10"/>
  <c r="AJ1133" i="10" s="1"/>
  <c r="AD1133" i="10"/>
  <c r="W1133" i="10"/>
  <c r="L1133" i="10"/>
  <c r="AZ1132" i="10"/>
  <c r="AS1132" i="10"/>
  <c r="AM1132" i="10"/>
  <c r="AD1132" i="10"/>
  <c r="W1132" i="10"/>
  <c r="L1132" i="10"/>
  <c r="AZ1131" i="10"/>
  <c r="AS1131" i="10"/>
  <c r="AM1131" i="10"/>
  <c r="AD1131" i="10"/>
  <c r="W1131" i="10"/>
  <c r="L1131" i="10"/>
  <c r="AZ1130" i="10"/>
  <c r="AS1130" i="10"/>
  <c r="AO1130" i="10" s="1"/>
  <c r="AM1130" i="10"/>
  <c r="AD1130" i="10"/>
  <c r="AV1130" i="10" s="1"/>
  <c r="W1130" i="10"/>
  <c r="L1130" i="10"/>
  <c r="AZ1129" i="10"/>
  <c r="AS1129" i="10"/>
  <c r="AO1129" i="10" s="1"/>
  <c r="AM1129" i="10"/>
  <c r="AD1129" i="10"/>
  <c r="W1129" i="10"/>
  <c r="L1129" i="10"/>
  <c r="AZ1128" i="10"/>
  <c r="AS1128" i="10"/>
  <c r="AM1128" i="10"/>
  <c r="AD1128" i="10"/>
  <c r="W1128" i="10"/>
  <c r="L1128" i="10"/>
  <c r="AZ1127" i="10"/>
  <c r="AS1127" i="10"/>
  <c r="BO1127" i="10" s="1"/>
  <c r="AM1127" i="10"/>
  <c r="AJ1127" i="10"/>
  <c r="AD1127" i="10"/>
  <c r="AV1127" i="10" s="1"/>
  <c r="W1127" i="10"/>
  <c r="L1127" i="10"/>
  <c r="AZ1126" i="10"/>
  <c r="AS1126" i="10"/>
  <c r="AM1126" i="10"/>
  <c r="AJ1126" i="10" s="1"/>
  <c r="AD1126" i="10"/>
  <c r="W1126" i="10"/>
  <c r="L1126" i="10"/>
  <c r="AZ1125" i="10"/>
  <c r="AS1125" i="10"/>
  <c r="AM1125" i="10"/>
  <c r="AJ1125" i="10"/>
  <c r="AD1125" i="10"/>
  <c r="W1125" i="10"/>
  <c r="L1125" i="10"/>
  <c r="AZ1124" i="10"/>
  <c r="AS1124" i="10"/>
  <c r="BO1124" i="10" s="1"/>
  <c r="AM1124" i="10"/>
  <c r="AD1124" i="10"/>
  <c r="W1124" i="10"/>
  <c r="L1124" i="10"/>
  <c r="AZ1123" i="10"/>
  <c r="AS1123" i="10"/>
  <c r="AO1123" i="10" s="1"/>
  <c r="AM1123" i="10"/>
  <c r="AJ1123" i="10" s="1"/>
  <c r="AD1123" i="10"/>
  <c r="AA1123" i="10" s="1"/>
  <c r="W1123" i="10"/>
  <c r="L1123" i="10"/>
  <c r="AZ1122" i="10"/>
  <c r="AS1122" i="10"/>
  <c r="AO1122" i="10" s="1"/>
  <c r="AM1122" i="10"/>
  <c r="AD1122" i="10"/>
  <c r="W1122" i="10"/>
  <c r="L1122" i="10"/>
  <c r="AZ1121" i="10"/>
  <c r="AS1121" i="10"/>
  <c r="AM1121" i="10"/>
  <c r="AJ1121" i="10" s="1"/>
  <c r="AD1121" i="10"/>
  <c r="W1121" i="10"/>
  <c r="L1121" i="10"/>
  <c r="AZ1120" i="10"/>
  <c r="AS1120" i="10"/>
  <c r="AM1120" i="10"/>
  <c r="AD1120" i="10"/>
  <c r="W1120" i="10"/>
  <c r="L1120" i="10"/>
  <c r="AZ1119" i="10"/>
  <c r="AS1119" i="10"/>
  <c r="AM1119" i="10"/>
  <c r="AD1119" i="10"/>
  <c r="W1119" i="10"/>
  <c r="L1119" i="10"/>
  <c r="AZ1118" i="10"/>
  <c r="AS1118" i="10"/>
  <c r="BO1118" i="10" s="1"/>
  <c r="AM1118" i="10"/>
  <c r="AJ1118" i="10" s="1"/>
  <c r="AD1118" i="10"/>
  <c r="W1118" i="10"/>
  <c r="L1118" i="10"/>
  <c r="AZ1117" i="10"/>
  <c r="AS1117" i="10"/>
  <c r="AM1117" i="10"/>
  <c r="AJ1117" i="10" s="1"/>
  <c r="AD1117" i="10"/>
  <c r="W1117" i="10"/>
  <c r="L1117" i="10"/>
  <c r="AZ1116" i="10"/>
  <c r="AS1116" i="10"/>
  <c r="BO1116" i="10" s="1"/>
  <c r="AM1116" i="10"/>
  <c r="AJ1116" i="10"/>
  <c r="AD1116" i="10"/>
  <c r="W1116" i="10"/>
  <c r="L1116" i="10"/>
  <c r="AZ1115" i="10"/>
  <c r="AS1115" i="10"/>
  <c r="AM1115" i="10"/>
  <c r="AD1115" i="10"/>
  <c r="W1115" i="10"/>
  <c r="L1115" i="10"/>
  <c r="AZ1114" i="10"/>
  <c r="AS1114" i="10"/>
  <c r="AM1114" i="10"/>
  <c r="AJ1114" i="10" s="1"/>
  <c r="AD1114" i="10"/>
  <c r="W1114" i="10"/>
  <c r="L1114" i="10"/>
  <c r="AZ1113" i="10"/>
  <c r="AS1113" i="10"/>
  <c r="AM1113" i="10"/>
  <c r="AJ1113" i="10"/>
  <c r="AD1113" i="10"/>
  <c r="W1113" i="10"/>
  <c r="L1113" i="10"/>
  <c r="AZ1112" i="10"/>
  <c r="AS1112" i="10"/>
  <c r="AM1112" i="10"/>
  <c r="AD1112" i="10"/>
  <c r="W1112" i="10"/>
  <c r="L1112" i="10"/>
  <c r="AZ1111" i="10"/>
  <c r="AS1111" i="10"/>
  <c r="AM1111" i="10"/>
  <c r="AD1111" i="10"/>
  <c r="AV1111" i="10" s="1"/>
  <c r="AA1111" i="10"/>
  <c r="W1111" i="10"/>
  <c r="L1111" i="10"/>
  <c r="AZ1110" i="10"/>
  <c r="AS1110" i="10"/>
  <c r="AM1110" i="10"/>
  <c r="AD1110" i="10"/>
  <c r="AA1110" i="10" s="1"/>
  <c r="W1110" i="10"/>
  <c r="L1110" i="10"/>
  <c r="AZ1109" i="10"/>
  <c r="AS1109" i="10"/>
  <c r="BO1109" i="10" s="1"/>
  <c r="AO1109" i="10"/>
  <c r="AM1109" i="10"/>
  <c r="AJ1109" i="10"/>
  <c r="AD1109" i="10"/>
  <c r="W1109" i="10"/>
  <c r="L1109" i="10"/>
  <c r="AZ1108" i="10"/>
  <c r="AS1108" i="10"/>
  <c r="AM1108" i="10"/>
  <c r="AD1108" i="10"/>
  <c r="W1108" i="10"/>
  <c r="L1108" i="10"/>
  <c r="AZ1107" i="10"/>
  <c r="AS1107" i="10"/>
  <c r="BO1107" i="10" s="1"/>
  <c r="AM1107" i="10"/>
  <c r="AJ1107" i="10" s="1"/>
  <c r="AD1107" i="10"/>
  <c r="AV1107" i="10" s="1"/>
  <c r="AA1107" i="10"/>
  <c r="W1107" i="10"/>
  <c r="L1107" i="10"/>
  <c r="AZ1106" i="10"/>
  <c r="AS1106" i="10"/>
  <c r="AM1106" i="10"/>
  <c r="AD1106" i="10"/>
  <c r="AV1106" i="10" s="1"/>
  <c r="W1106" i="10"/>
  <c r="L1106" i="10"/>
  <c r="AZ1105" i="10"/>
  <c r="AS1105" i="10"/>
  <c r="AM1105" i="10"/>
  <c r="AJ1105" i="10" s="1"/>
  <c r="AD1105" i="10"/>
  <c r="W1105" i="10"/>
  <c r="L1105" i="10"/>
  <c r="AZ1104" i="10"/>
  <c r="AS1104" i="10"/>
  <c r="AO1104" i="10" s="1"/>
  <c r="AM1104" i="10"/>
  <c r="AJ1104" i="10" s="1"/>
  <c r="AD1104" i="10"/>
  <c r="W1104" i="10"/>
  <c r="L1104" i="10"/>
  <c r="AZ1103" i="10"/>
  <c r="AS1103" i="10"/>
  <c r="AM1103" i="10"/>
  <c r="AD1103" i="10"/>
  <c r="W1103" i="10"/>
  <c r="L1103" i="10"/>
  <c r="AZ1102" i="10"/>
  <c r="AS1102" i="10"/>
  <c r="AO1102" i="10" s="1"/>
  <c r="AM1102" i="10"/>
  <c r="AJ1102" i="10" s="1"/>
  <c r="AD1102" i="10"/>
  <c r="W1102" i="10"/>
  <c r="L1102" i="10"/>
  <c r="AZ1101" i="10"/>
  <c r="AS1101" i="10"/>
  <c r="AM1101" i="10"/>
  <c r="AJ1101" i="10" s="1"/>
  <c r="AD1101" i="10"/>
  <c r="W1101" i="10"/>
  <c r="L1101" i="10"/>
  <c r="AZ1100" i="10"/>
  <c r="AS1100" i="10"/>
  <c r="AM1100" i="10"/>
  <c r="AJ1100" i="10" s="1"/>
  <c r="AD1100" i="10"/>
  <c r="W1100" i="10"/>
  <c r="L1100" i="10"/>
  <c r="AZ1099" i="10"/>
  <c r="AS1099" i="10"/>
  <c r="AM1099" i="10"/>
  <c r="AJ1099" i="10" s="1"/>
  <c r="AD1099" i="10"/>
  <c r="AV1099" i="10" s="1"/>
  <c r="AA1099" i="10"/>
  <c r="W1099" i="10"/>
  <c r="L1099" i="10"/>
  <c r="AZ1098" i="10"/>
  <c r="AS1098" i="10"/>
  <c r="AO1098" i="10" s="1"/>
  <c r="AM1098" i="10"/>
  <c r="AD1098" i="10"/>
  <c r="W1098" i="10"/>
  <c r="L1098" i="10"/>
  <c r="AZ1097" i="10"/>
  <c r="AS1097" i="10"/>
  <c r="AM1097" i="10"/>
  <c r="AJ1097" i="10" s="1"/>
  <c r="AD1097" i="10"/>
  <c r="W1097" i="10"/>
  <c r="L1097" i="10"/>
  <c r="AZ1096" i="10"/>
  <c r="AS1096" i="10"/>
  <c r="AM1096" i="10"/>
  <c r="AD1096" i="10"/>
  <c r="W1096" i="10"/>
  <c r="L1096" i="10"/>
  <c r="AZ1095" i="10"/>
  <c r="AS1095" i="10"/>
  <c r="AO1095" i="10" s="1"/>
  <c r="AM1095" i="10"/>
  <c r="AD1095" i="10"/>
  <c r="AA1095" i="10" s="1"/>
  <c r="W1095" i="10"/>
  <c r="L1095" i="10"/>
  <c r="AZ1094" i="10"/>
  <c r="AS1094" i="10"/>
  <c r="AM1094" i="10"/>
  <c r="AJ1094" i="10" s="1"/>
  <c r="AD1094" i="10"/>
  <c r="W1094" i="10"/>
  <c r="L1094" i="10"/>
  <c r="AZ1093" i="10"/>
  <c r="AS1093" i="10"/>
  <c r="AM1093" i="10"/>
  <c r="AJ1093" i="10" s="1"/>
  <c r="AD1093" i="10"/>
  <c r="W1093" i="10"/>
  <c r="L1093" i="10"/>
  <c r="AZ1092" i="10"/>
  <c r="AS1092" i="10"/>
  <c r="AM1092" i="10"/>
  <c r="AJ1092" i="10" s="1"/>
  <c r="AD1092" i="10"/>
  <c r="AA1092" i="10" s="1"/>
  <c r="W1092" i="10"/>
  <c r="L1092" i="10"/>
  <c r="AZ1091" i="10"/>
  <c r="AS1091" i="10"/>
  <c r="AM1091" i="10"/>
  <c r="AD1091" i="10"/>
  <c r="W1091" i="10"/>
  <c r="L1091" i="10"/>
  <c r="AM1090" i="10"/>
  <c r="AD1090" i="10"/>
  <c r="AV1090" i="10" s="1"/>
  <c r="AA1090" i="10"/>
  <c r="W1090" i="10"/>
  <c r="L1090" i="10"/>
  <c r="BA1089" i="10"/>
  <c r="AR1089" i="10"/>
  <c r="V1089" i="10"/>
  <c r="K1089" i="10"/>
  <c r="J1089" i="10"/>
  <c r="BA1088" i="10"/>
  <c r="AS1088" i="10"/>
  <c r="AM1088" i="10"/>
  <c r="AJ1088" i="10" s="1"/>
  <c r="AD1088" i="10"/>
  <c r="AA1088" i="10" s="1"/>
  <c r="W1088" i="10"/>
  <c r="R1088" i="10"/>
  <c r="S1088" i="10" s="1"/>
  <c r="L1088" i="10"/>
  <c r="BA1087" i="10"/>
  <c r="AS1087" i="10"/>
  <c r="AO1087" i="10" s="1"/>
  <c r="AM1087" i="10"/>
  <c r="AD1087" i="10"/>
  <c r="W1087" i="10"/>
  <c r="R1087" i="10"/>
  <c r="S1087" i="10" s="1"/>
  <c r="L1087" i="10"/>
  <c r="BA1086" i="10"/>
  <c r="AS1086" i="10"/>
  <c r="AM1086" i="10"/>
  <c r="AJ1086" i="10" s="1"/>
  <c r="AD1086" i="10"/>
  <c r="W1086" i="10"/>
  <c r="R1086" i="10"/>
  <c r="S1086" i="10" s="1"/>
  <c r="L1086" i="10"/>
  <c r="BA1085" i="10"/>
  <c r="AS1085" i="10"/>
  <c r="AM1085" i="10"/>
  <c r="AJ1085" i="10"/>
  <c r="AD1085" i="10"/>
  <c r="W1085" i="10"/>
  <c r="R1085" i="10"/>
  <c r="S1085" i="10" s="1"/>
  <c r="L1085" i="10"/>
  <c r="BA1084" i="10"/>
  <c r="AS1084" i="10"/>
  <c r="AM1084" i="10"/>
  <c r="AD1084" i="10"/>
  <c r="W1084" i="10"/>
  <c r="R1084" i="10"/>
  <c r="S1084" i="10" s="1"/>
  <c r="L1084" i="10"/>
  <c r="BA1083" i="10"/>
  <c r="AS1083" i="10"/>
  <c r="AM1083" i="10"/>
  <c r="AJ1083" i="10" s="1"/>
  <c r="AD1083" i="10"/>
  <c r="W1083" i="10"/>
  <c r="R1083" i="10"/>
  <c r="S1083" i="10" s="1"/>
  <c r="L1083" i="10"/>
  <c r="BA1082" i="10"/>
  <c r="AS1082" i="10"/>
  <c r="AM1082" i="10"/>
  <c r="AJ1082" i="10" s="1"/>
  <c r="AD1082" i="10"/>
  <c r="W1082" i="10"/>
  <c r="R1082" i="10"/>
  <c r="S1082" i="10" s="1"/>
  <c r="L1082" i="10"/>
  <c r="BA1081" i="10"/>
  <c r="AS1081" i="10"/>
  <c r="AM1081" i="10"/>
  <c r="AJ1081" i="10" s="1"/>
  <c r="AD1081" i="10"/>
  <c r="W1081" i="10"/>
  <c r="R1081" i="10"/>
  <c r="S1081" i="10" s="1"/>
  <c r="L1081" i="10"/>
  <c r="BA1080" i="10"/>
  <c r="AS1080" i="10"/>
  <c r="AM1080" i="10"/>
  <c r="AJ1080" i="10" s="1"/>
  <c r="AD1080" i="10"/>
  <c r="W1080" i="10"/>
  <c r="R1080" i="10"/>
  <c r="S1080" i="10" s="1"/>
  <c r="L1080" i="10"/>
  <c r="BA1079" i="10"/>
  <c r="AS1079" i="10"/>
  <c r="AO1079" i="10" s="1"/>
  <c r="AM1079" i="10"/>
  <c r="AN1079" i="10" s="1"/>
  <c r="AD1079" i="10"/>
  <c r="W1079" i="10"/>
  <c r="R1079" i="10"/>
  <c r="S1079" i="10" s="1"/>
  <c r="L1079" i="10"/>
  <c r="BA1078" i="10"/>
  <c r="AS1078" i="10"/>
  <c r="AO1078" i="10" s="1"/>
  <c r="AM1078" i="10"/>
  <c r="AJ1078" i="10" s="1"/>
  <c r="AD1078" i="10"/>
  <c r="AA1078" i="10" s="1"/>
  <c r="W1078" i="10"/>
  <c r="R1078" i="10"/>
  <c r="S1078" i="10" s="1"/>
  <c r="L1078" i="10"/>
  <c r="BA1077" i="10"/>
  <c r="AS1077" i="10"/>
  <c r="AM1077" i="10"/>
  <c r="AJ1077" i="10" s="1"/>
  <c r="AD1077" i="10"/>
  <c r="W1077" i="10"/>
  <c r="R1077" i="10"/>
  <c r="S1077" i="10" s="1"/>
  <c r="L1077" i="10"/>
  <c r="BA1076" i="10"/>
  <c r="AS1076" i="10"/>
  <c r="BH1076" i="10" s="1"/>
  <c r="BM1076" i="10" s="1"/>
  <c r="AM1076" i="10"/>
  <c r="AJ1076" i="10"/>
  <c r="AD1076" i="10"/>
  <c r="W1076" i="10"/>
  <c r="R1076" i="10"/>
  <c r="S1076" i="10" s="1"/>
  <c r="L1076" i="10"/>
  <c r="BA1075" i="10"/>
  <c r="AS1075" i="10"/>
  <c r="AM1075" i="10"/>
  <c r="AJ1075" i="10" s="1"/>
  <c r="AD1075" i="10"/>
  <c r="AA1075" i="10" s="1"/>
  <c r="V1068" i="10"/>
  <c r="R1075" i="10"/>
  <c r="S1075" i="10" s="1"/>
  <c r="L1075" i="10"/>
  <c r="BA1074" i="10"/>
  <c r="AS1074" i="10"/>
  <c r="AM1074" i="10"/>
  <c r="AJ1074" i="10" s="1"/>
  <c r="AD1074" i="10"/>
  <c r="W1074" i="10"/>
  <c r="R1074" i="10"/>
  <c r="S1074" i="10" s="1"/>
  <c r="L1074" i="10"/>
  <c r="BA1073" i="10"/>
  <c r="AS1073" i="10"/>
  <c r="AM1073" i="10"/>
  <c r="AD1073" i="10"/>
  <c r="W1073" i="10"/>
  <c r="R1073" i="10"/>
  <c r="S1073" i="10" s="1"/>
  <c r="L1073" i="10"/>
  <c r="BA1072" i="10"/>
  <c r="AS1072" i="10"/>
  <c r="AM1072" i="10"/>
  <c r="AD1072" i="10"/>
  <c r="W1072" i="10"/>
  <c r="R1072" i="10"/>
  <c r="S1072" i="10" s="1"/>
  <c r="L1072" i="10"/>
  <c r="BA1071" i="10"/>
  <c r="AS1071" i="10"/>
  <c r="AM1071" i="10"/>
  <c r="AJ1071" i="10" s="1"/>
  <c r="AD1071" i="10"/>
  <c r="W1071" i="10"/>
  <c r="R1071" i="10"/>
  <c r="S1071" i="10" s="1"/>
  <c r="L1071" i="10"/>
  <c r="BA1070" i="10"/>
  <c r="AS1070" i="10"/>
  <c r="AM1070" i="10"/>
  <c r="AD1070" i="10"/>
  <c r="W1070" i="10"/>
  <c r="R1070" i="10"/>
  <c r="S1070" i="10" s="1"/>
  <c r="L1070" i="10"/>
  <c r="AM1069" i="10"/>
  <c r="AJ1069" i="10" s="1"/>
  <c r="AD1069" i="10"/>
  <c r="AU1069" i="10" s="1"/>
  <c r="L1069" i="10"/>
  <c r="AZ1068" i="10"/>
  <c r="AR1068" i="10"/>
  <c r="Q1068" i="10"/>
  <c r="K1068" i="10"/>
  <c r="J1068" i="10"/>
  <c r="L1068" i="10" s="1"/>
  <c r="AZ1067" i="10"/>
  <c r="AS1067" i="10"/>
  <c r="AO1067" i="10" s="1"/>
  <c r="AM1067" i="10"/>
  <c r="AD1067" i="10"/>
  <c r="AV1067" i="10" s="1"/>
  <c r="W1067" i="10"/>
  <c r="R1067" i="10"/>
  <c r="S1067" i="10" s="1"/>
  <c r="L1067" i="10"/>
  <c r="BA1066" i="10"/>
  <c r="AS1066" i="10"/>
  <c r="AM1066" i="10"/>
  <c r="AD1066" i="10"/>
  <c r="W1066" i="10"/>
  <c r="R1066" i="10"/>
  <c r="S1066" i="10" s="1"/>
  <c r="L1066" i="10"/>
  <c r="BA1065" i="10"/>
  <c r="AS1065" i="10"/>
  <c r="AO1065" i="10" s="1"/>
  <c r="AM1065" i="10"/>
  <c r="AJ1065" i="10" s="1"/>
  <c r="AD1065" i="10"/>
  <c r="W1065" i="10"/>
  <c r="R1065" i="10"/>
  <c r="S1065" i="10" s="1"/>
  <c r="L1065" i="10"/>
  <c r="AZ1064" i="10"/>
  <c r="BA1064" i="10" s="1"/>
  <c r="AS1064" i="10"/>
  <c r="AM1064" i="10"/>
  <c r="AD1064" i="10"/>
  <c r="Q1064" i="10"/>
  <c r="R1064" i="10" s="1"/>
  <c r="S1064" i="10" s="1"/>
  <c r="L1064" i="10"/>
  <c r="BA1063" i="10"/>
  <c r="AS1063" i="10"/>
  <c r="AM1063" i="10"/>
  <c r="AD1063" i="10"/>
  <c r="AA1063" i="10" s="1"/>
  <c r="W1063" i="10"/>
  <c r="R1063" i="10"/>
  <c r="S1063" i="10" s="1"/>
  <c r="L1063" i="10"/>
  <c r="BA1062" i="10"/>
  <c r="AS1062" i="10"/>
  <c r="AM1062" i="10"/>
  <c r="AJ1062" i="10" s="1"/>
  <c r="AD1062" i="10"/>
  <c r="AA1062" i="10" s="1"/>
  <c r="R1062" i="10"/>
  <c r="S1062" i="10" s="1"/>
  <c r="L1062" i="10"/>
  <c r="BA1061" i="10"/>
  <c r="AS1061" i="10"/>
  <c r="AM1061" i="10"/>
  <c r="AD1061" i="10"/>
  <c r="W1061" i="10"/>
  <c r="R1061" i="10"/>
  <c r="S1061" i="10" s="1"/>
  <c r="L1061" i="10"/>
  <c r="BA1060" i="10"/>
  <c r="AS1060" i="10"/>
  <c r="AM1060" i="10"/>
  <c r="AJ1060" i="10" s="1"/>
  <c r="AD1060" i="10"/>
  <c r="AU1060" i="10" s="1"/>
  <c r="W1060" i="10"/>
  <c r="R1060" i="10"/>
  <c r="S1060" i="10" s="1"/>
  <c r="L1060" i="10"/>
  <c r="BA1059" i="10"/>
  <c r="AS1059" i="10"/>
  <c r="AO1059" i="10" s="1"/>
  <c r="AM1059" i="10"/>
  <c r="AJ1059" i="10" s="1"/>
  <c r="AD1059" i="10"/>
  <c r="W1059" i="10"/>
  <c r="Q1059" i="10"/>
  <c r="R1059" i="10" s="1"/>
  <c r="S1059" i="10" s="1"/>
  <c r="L1059" i="10"/>
  <c r="BA1058" i="10"/>
  <c r="AS1058" i="10"/>
  <c r="AM1058" i="10"/>
  <c r="AD1058" i="10"/>
  <c r="AA1058" i="10" s="1"/>
  <c r="W1058" i="10"/>
  <c r="R1058" i="10"/>
  <c r="S1058" i="10" s="1"/>
  <c r="L1058" i="10"/>
  <c r="BA1057" i="10"/>
  <c r="AS1057" i="10"/>
  <c r="AM1057" i="10"/>
  <c r="AD1057" i="10"/>
  <c r="W1057" i="10"/>
  <c r="R1057" i="10"/>
  <c r="S1057" i="10" s="1"/>
  <c r="L1057" i="10"/>
  <c r="BA1056" i="10"/>
  <c r="AS1056" i="10"/>
  <c r="AM1056" i="10"/>
  <c r="AJ1056" i="10" s="1"/>
  <c r="AD1056" i="10"/>
  <c r="W1056" i="10"/>
  <c r="L1056" i="10"/>
  <c r="BA1055" i="10"/>
  <c r="AS1055" i="10"/>
  <c r="AM1055" i="10"/>
  <c r="AJ1055" i="10" s="1"/>
  <c r="AD1055" i="10"/>
  <c r="W1055" i="10"/>
  <c r="R1055" i="10"/>
  <c r="S1055" i="10" s="1"/>
  <c r="L1055" i="10"/>
  <c r="BA1054" i="10"/>
  <c r="AS1054" i="10"/>
  <c r="AM1054" i="10"/>
  <c r="AJ1054" i="10" s="1"/>
  <c r="AD1054" i="10"/>
  <c r="W1054" i="10"/>
  <c r="R1054" i="10"/>
  <c r="S1054" i="10" s="1"/>
  <c r="L1054" i="10"/>
  <c r="BA1053" i="10"/>
  <c r="AS1053" i="10"/>
  <c r="AM1053" i="10"/>
  <c r="AJ1053" i="10" s="1"/>
  <c r="AD1053" i="10"/>
  <c r="W1053" i="10"/>
  <c r="R1053" i="10"/>
  <c r="S1053" i="10" s="1"/>
  <c r="L1053" i="10"/>
  <c r="BA1052" i="10"/>
  <c r="AS1052" i="10"/>
  <c r="AM1052" i="10"/>
  <c r="AJ1052" i="10" s="1"/>
  <c r="AD1052" i="10"/>
  <c r="AV1052" i="10" s="1"/>
  <c r="W1052" i="10"/>
  <c r="R1052" i="10"/>
  <c r="S1052" i="10" s="1"/>
  <c r="L1052" i="10"/>
  <c r="BA1051" i="10"/>
  <c r="AS1051" i="10"/>
  <c r="BO1051" i="10" s="1"/>
  <c r="AM1051" i="10"/>
  <c r="AJ1051" i="10" s="1"/>
  <c r="AD1051" i="10"/>
  <c r="AA1051" i="10" s="1"/>
  <c r="W1051" i="10"/>
  <c r="R1051" i="10"/>
  <c r="S1051" i="10" s="1"/>
  <c r="L1051" i="10"/>
  <c r="BA1050" i="10"/>
  <c r="AS1050" i="10"/>
  <c r="AM1050" i="10"/>
  <c r="AD1050" i="10"/>
  <c r="AV1050" i="10" s="1"/>
  <c r="W1050" i="10"/>
  <c r="R1050" i="10"/>
  <c r="S1050" i="10" s="1"/>
  <c r="L1050" i="10"/>
  <c r="BA1049" i="10"/>
  <c r="AS1049" i="10"/>
  <c r="BH1049" i="10" s="1"/>
  <c r="BM1049" i="10" s="1"/>
  <c r="AM1049" i="10"/>
  <c r="AJ1049" i="10" s="1"/>
  <c r="AD1049" i="10"/>
  <c r="AA1049" i="10" s="1"/>
  <c r="W1049" i="10"/>
  <c r="R1049" i="10"/>
  <c r="S1049" i="10" s="1"/>
  <c r="L1049" i="10"/>
  <c r="BA1048" i="10"/>
  <c r="AS1048" i="10"/>
  <c r="AO1048" i="10" s="1"/>
  <c r="AM1048" i="10"/>
  <c r="AJ1048" i="10" s="1"/>
  <c r="AD1048" i="10"/>
  <c r="AV1048" i="10" s="1"/>
  <c r="W1048" i="10"/>
  <c r="R1048" i="10"/>
  <c r="S1048" i="10" s="1"/>
  <c r="L1048" i="10"/>
  <c r="BA1047" i="10"/>
  <c r="AS1047" i="10"/>
  <c r="AM1047" i="10"/>
  <c r="AJ1047" i="10" s="1"/>
  <c r="AD1047" i="10"/>
  <c r="W1047" i="10"/>
  <c r="R1047" i="10"/>
  <c r="S1047" i="10" s="1"/>
  <c r="L1047" i="10"/>
  <c r="BA1046" i="10"/>
  <c r="AS1046" i="10"/>
  <c r="AM1046" i="10"/>
  <c r="AD1046" i="10"/>
  <c r="W1046" i="10"/>
  <c r="R1046" i="10"/>
  <c r="S1046" i="10" s="1"/>
  <c r="L1046" i="10"/>
  <c r="BA1045" i="10"/>
  <c r="AS1045" i="10"/>
  <c r="AM1045" i="10"/>
  <c r="AJ1045" i="10" s="1"/>
  <c r="AD1045" i="10"/>
  <c r="AA1045" i="10" s="1"/>
  <c r="W1045" i="10"/>
  <c r="R1045" i="10"/>
  <c r="S1045" i="10" s="1"/>
  <c r="L1045" i="10"/>
  <c r="BA1044" i="10"/>
  <c r="AS1044" i="10"/>
  <c r="AM1044" i="10"/>
  <c r="AD1044" i="10"/>
  <c r="W1044" i="10"/>
  <c r="R1044" i="10"/>
  <c r="S1044" i="10" s="1"/>
  <c r="L1044" i="10"/>
  <c r="AS1043" i="10"/>
  <c r="AM1043" i="10"/>
  <c r="AN1043" i="10" s="1"/>
  <c r="AD1043" i="10"/>
  <c r="W1043" i="10"/>
  <c r="L1043" i="10"/>
  <c r="AS1042" i="10"/>
  <c r="AM1042" i="10"/>
  <c r="AJ1042" i="10" s="1"/>
  <c r="AD1042" i="10"/>
  <c r="R1042" i="10"/>
  <c r="S1042" i="10" s="1"/>
  <c r="L1042" i="10"/>
  <c r="BA1041" i="10"/>
  <c r="AS1041" i="10"/>
  <c r="AM1041" i="10"/>
  <c r="AJ1041" i="10" s="1"/>
  <c r="AD1041" i="10"/>
  <c r="R1041" i="10"/>
  <c r="S1041" i="10" s="1"/>
  <c r="L1041" i="10"/>
  <c r="AS1040" i="10"/>
  <c r="AM1040" i="10"/>
  <c r="AJ1040" i="10" s="1"/>
  <c r="AD1040" i="10"/>
  <c r="R1040" i="10"/>
  <c r="S1040" i="10" s="1"/>
  <c r="L1040" i="10"/>
  <c r="AS1039" i="10"/>
  <c r="AM1039" i="10"/>
  <c r="AJ1039" i="10" s="1"/>
  <c r="AD1039" i="10"/>
  <c r="W1039" i="10"/>
  <c r="R1039" i="10"/>
  <c r="S1039" i="10" s="1"/>
  <c r="L1039" i="10"/>
  <c r="AS1038" i="10"/>
  <c r="AM1038" i="10"/>
  <c r="AD1038" i="10"/>
  <c r="W1038" i="10"/>
  <c r="L1038" i="10"/>
  <c r="BA1037" i="10"/>
  <c r="AS1037" i="10"/>
  <c r="AM1037" i="10"/>
  <c r="AJ1037" i="10" s="1"/>
  <c r="AD1037" i="10"/>
  <c r="AA1037" i="10" s="1"/>
  <c r="W1037" i="10"/>
  <c r="R1037" i="10"/>
  <c r="S1037" i="10" s="1"/>
  <c r="L1037" i="10"/>
  <c r="AZ1036" i="10"/>
  <c r="AS1036" i="10"/>
  <c r="AO1036" i="10" s="1"/>
  <c r="AM1036" i="10"/>
  <c r="AJ1036" i="10" s="1"/>
  <c r="AD1036" i="10"/>
  <c r="R1036" i="10"/>
  <c r="S1036" i="10" s="1"/>
  <c r="L1036" i="10"/>
  <c r="AS1035" i="10"/>
  <c r="AO1035" i="10" s="1"/>
  <c r="AM1035" i="10"/>
  <c r="AD1035" i="10"/>
  <c r="R1035" i="10"/>
  <c r="S1035" i="10" s="1"/>
  <c r="L1035" i="10"/>
  <c r="BA1034" i="10"/>
  <c r="AS1034" i="10"/>
  <c r="AM1034" i="10"/>
  <c r="AJ1034" i="10" s="1"/>
  <c r="AD1034" i="10"/>
  <c r="W1034" i="10"/>
  <c r="R1034" i="10"/>
  <c r="S1034" i="10" s="1"/>
  <c r="L1034" i="10"/>
  <c r="AZ1033" i="10"/>
  <c r="AS1033" i="10"/>
  <c r="AO1033" i="10" s="1"/>
  <c r="AM1033" i="10"/>
  <c r="AD1033" i="10"/>
  <c r="W1033" i="10"/>
  <c r="R1033" i="10"/>
  <c r="S1033" i="10" s="1"/>
  <c r="L1033" i="10"/>
  <c r="AS1032" i="10"/>
  <c r="AM1032" i="10"/>
  <c r="AJ1032" i="10" s="1"/>
  <c r="AD1032" i="10"/>
  <c r="AV1032" i="10" s="1"/>
  <c r="W1032" i="10"/>
  <c r="R1032" i="10"/>
  <c r="S1032" i="10" s="1"/>
  <c r="L1032" i="10"/>
  <c r="AZ1031" i="10"/>
  <c r="AS1031" i="10"/>
  <c r="AM1031" i="10"/>
  <c r="AJ1031" i="10" s="1"/>
  <c r="AD1031" i="10"/>
  <c r="L1031" i="10"/>
  <c r="AZ1030" i="10"/>
  <c r="BA1030" i="10" s="1"/>
  <c r="AS1030" i="10"/>
  <c r="BH1030" i="10" s="1"/>
  <c r="AM1030" i="10"/>
  <c r="AJ1030" i="10" s="1"/>
  <c r="AD1030" i="10"/>
  <c r="W1030" i="10"/>
  <c r="L1030" i="10"/>
  <c r="AR1029" i="10"/>
  <c r="K1029" i="10"/>
  <c r="J1029" i="10"/>
  <c r="J1028" i="10" s="1"/>
  <c r="AY1026" i="10"/>
  <c r="AS1027" i="10"/>
  <c r="AM1027" i="10"/>
  <c r="AD1027" i="10"/>
  <c r="AA1027" i="10" s="1"/>
  <c r="P1026" i="10"/>
  <c r="L1027" i="10"/>
  <c r="AZ1026" i="10"/>
  <c r="AR1026" i="10"/>
  <c r="AM1026" i="10"/>
  <c r="AJ1026" i="10" s="1"/>
  <c r="V1026" i="10"/>
  <c r="Q1026" i="10"/>
  <c r="K1026" i="10"/>
  <c r="J1026" i="10"/>
  <c r="L1026" i="10" s="1"/>
  <c r="BH1025" i="10"/>
  <c r="BM1025" i="10" s="1"/>
  <c r="BA1025" i="10"/>
  <c r="AS1025" i="10"/>
  <c r="AM1025" i="10"/>
  <c r="AJ1025" i="10" s="1"/>
  <c r="AD1025" i="10"/>
  <c r="W1025" i="10"/>
  <c r="R1025" i="10"/>
  <c r="S1025" i="10" s="1"/>
  <c r="L1025" i="10"/>
  <c r="BA1024" i="10"/>
  <c r="AS1024" i="10"/>
  <c r="AM1024" i="10"/>
  <c r="AJ1024" i="10" s="1"/>
  <c r="AD1024" i="10"/>
  <c r="AA1024" i="10" s="1"/>
  <c r="W1024" i="10"/>
  <c r="R1024" i="10"/>
  <c r="S1024" i="10" s="1"/>
  <c r="L1024" i="10"/>
  <c r="BA1023" i="10"/>
  <c r="AS1023" i="10"/>
  <c r="BH1023" i="10" s="1"/>
  <c r="BM1023" i="10" s="1"/>
  <c r="E303" i="11" s="1"/>
  <c r="F303" i="11" s="1"/>
  <c r="AM1023" i="10"/>
  <c r="AD1023" i="10"/>
  <c r="W1023" i="10"/>
  <c r="R1023" i="10"/>
  <c r="S1023" i="10" s="1"/>
  <c r="L1023" i="10"/>
  <c r="BA1022" i="10"/>
  <c r="AS1022" i="10"/>
  <c r="AM1022" i="10"/>
  <c r="AJ1022" i="10" s="1"/>
  <c r="AD1022" i="10"/>
  <c r="W1022" i="10"/>
  <c r="R1022" i="10"/>
  <c r="S1022" i="10" s="1"/>
  <c r="L1022" i="10"/>
  <c r="BA1021" i="10"/>
  <c r="AS1021" i="10"/>
  <c r="AO1021" i="10" s="1"/>
  <c r="AM1021" i="10"/>
  <c r="AJ1021" i="10" s="1"/>
  <c r="AD1021" i="10"/>
  <c r="W1021" i="10"/>
  <c r="R1021" i="10"/>
  <c r="S1021" i="10" s="1"/>
  <c r="L1021" i="10"/>
  <c r="BA1020" i="10"/>
  <c r="AS1020" i="10"/>
  <c r="AM1020" i="10"/>
  <c r="AJ1020" i="10" s="1"/>
  <c r="AD1020" i="10"/>
  <c r="W1020" i="10"/>
  <c r="R1020" i="10"/>
  <c r="S1020" i="10" s="1"/>
  <c r="L1020" i="10"/>
  <c r="BA1019" i="10"/>
  <c r="AS1019" i="10"/>
  <c r="AM1019" i="10"/>
  <c r="AJ1019" i="10" s="1"/>
  <c r="AD1019" i="10"/>
  <c r="W1019" i="10"/>
  <c r="R1019" i="10"/>
  <c r="S1019" i="10" s="1"/>
  <c r="L1019" i="10"/>
  <c r="BA1018" i="10"/>
  <c r="AS1018" i="10"/>
  <c r="AM1018" i="10"/>
  <c r="AD1018" i="10"/>
  <c r="AV1018" i="10" s="1"/>
  <c r="W1018" i="10"/>
  <c r="R1018" i="10"/>
  <c r="S1018" i="10" s="1"/>
  <c r="L1018" i="10"/>
  <c r="BA1017" i="10"/>
  <c r="AS1017" i="10"/>
  <c r="AO1017" i="10" s="1"/>
  <c r="AM1017" i="10"/>
  <c r="AJ1017" i="10" s="1"/>
  <c r="AD1017" i="10"/>
  <c r="W1017" i="10"/>
  <c r="R1017" i="10"/>
  <c r="S1017" i="10" s="1"/>
  <c r="L1017" i="10"/>
  <c r="BA1016" i="10"/>
  <c r="AS1016" i="10"/>
  <c r="AM1016" i="10"/>
  <c r="AD1016" i="10"/>
  <c r="W1016" i="10"/>
  <c r="R1016" i="10"/>
  <c r="S1016" i="10" s="1"/>
  <c r="L1016" i="10"/>
  <c r="BA1015" i="10"/>
  <c r="AS1015" i="10"/>
  <c r="AO1015" i="10" s="1"/>
  <c r="AM1015" i="10"/>
  <c r="AJ1015" i="10" s="1"/>
  <c r="AD1015" i="10"/>
  <c r="W1015" i="10"/>
  <c r="R1015" i="10"/>
  <c r="S1015" i="10" s="1"/>
  <c r="L1015" i="10"/>
  <c r="BA1014" i="10"/>
  <c r="AS1014" i="10"/>
  <c r="AO1014" i="10" s="1"/>
  <c r="AM1014" i="10"/>
  <c r="AD1014" i="10"/>
  <c r="W1014" i="10"/>
  <c r="R1014" i="10"/>
  <c r="S1014" i="10" s="1"/>
  <c r="L1014" i="10"/>
  <c r="BA1013" i="10"/>
  <c r="AS1013" i="10"/>
  <c r="AO1013" i="10" s="1"/>
  <c r="AM1013" i="10"/>
  <c r="AJ1013" i="10" s="1"/>
  <c r="AD1013" i="10"/>
  <c r="W1013" i="10"/>
  <c r="R1013" i="10"/>
  <c r="S1013" i="10" s="1"/>
  <c r="L1013" i="10"/>
  <c r="BA1012" i="10"/>
  <c r="AS1012" i="10"/>
  <c r="AM1012" i="10"/>
  <c r="AJ1012" i="10" s="1"/>
  <c r="AD1012" i="10"/>
  <c r="W1012" i="10"/>
  <c r="R1012" i="10"/>
  <c r="S1012" i="10" s="1"/>
  <c r="L1012" i="10"/>
  <c r="BA1011" i="10"/>
  <c r="AS1011" i="10"/>
  <c r="AO1011" i="10" s="1"/>
  <c r="AM1011" i="10"/>
  <c r="AJ1011" i="10"/>
  <c r="AD1011" i="10"/>
  <c r="AV1011" i="10" s="1"/>
  <c r="W1011" i="10"/>
  <c r="R1011" i="10"/>
  <c r="S1011" i="10" s="1"/>
  <c r="L1011" i="10"/>
  <c r="BA1010" i="10"/>
  <c r="AS1010" i="10"/>
  <c r="AM1010" i="10"/>
  <c r="AJ1010" i="10" s="1"/>
  <c r="AD1010" i="10"/>
  <c r="AV1010" i="10" s="1"/>
  <c r="W1010" i="10"/>
  <c r="R1010" i="10"/>
  <c r="S1010" i="10" s="1"/>
  <c r="L1010" i="10"/>
  <c r="BA1009" i="10"/>
  <c r="AS1009" i="10"/>
  <c r="AM1009" i="10"/>
  <c r="AD1009" i="10"/>
  <c r="W1009" i="10"/>
  <c r="R1009" i="10"/>
  <c r="S1009" i="10" s="1"/>
  <c r="L1009" i="10"/>
  <c r="BA1008" i="10"/>
  <c r="AS1008" i="10"/>
  <c r="AO1008" i="10" s="1"/>
  <c r="AM1008" i="10"/>
  <c r="AJ1008" i="10"/>
  <c r="AD1008" i="10"/>
  <c r="AA1008" i="10" s="1"/>
  <c r="W1008" i="10"/>
  <c r="R1008" i="10"/>
  <c r="S1008" i="10" s="1"/>
  <c r="L1008" i="10"/>
  <c r="BA1007" i="10"/>
  <c r="AS1007" i="10"/>
  <c r="AO1007" i="10" s="1"/>
  <c r="AM1007" i="10"/>
  <c r="AJ1007" i="10" s="1"/>
  <c r="AD1007" i="10"/>
  <c r="W1007" i="10"/>
  <c r="R1007" i="10"/>
  <c r="S1007" i="10" s="1"/>
  <c r="L1007" i="10"/>
  <c r="BA1006" i="10"/>
  <c r="AS1006" i="10"/>
  <c r="AM1006" i="10"/>
  <c r="AJ1006" i="10"/>
  <c r="AD1006" i="10"/>
  <c r="W1006" i="10"/>
  <c r="R1006" i="10"/>
  <c r="S1006" i="10" s="1"/>
  <c r="L1006" i="10"/>
  <c r="BA1005" i="10"/>
  <c r="AS1005" i="10"/>
  <c r="AO1005" i="10" s="1"/>
  <c r="AM1005" i="10"/>
  <c r="AD1005" i="10"/>
  <c r="W1005" i="10"/>
  <c r="R1005" i="10"/>
  <c r="S1005" i="10" s="1"/>
  <c r="L1005" i="10"/>
  <c r="BA1004" i="10"/>
  <c r="AS1004" i="10"/>
  <c r="AO1004" i="10" s="1"/>
  <c r="AM1004" i="10"/>
  <c r="AJ1004" i="10"/>
  <c r="AD1004" i="10"/>
  <c r="AA1004" i="10" s="1"/>
  <c r="W1004" i="10"/>
  <c r="R1004" i="10"/>
  <c r="S1004" i="10" s="1"/>
  <c r="L1004" i="10"/>
  <c r="BA1003" i="10"/>
  <c r="AS1003" i="10"/>
  <c r="AO1003" i="10" s="1"/>
  <c r="AM1003" i="10"/>
  <c r="AJ1003" i="10" s="1"/>
  <c r="AD1003" i="10"/>
  <c r="AV1003" i="10" s="1"/>
  <c r="AA1003" i="10"/>
  <c r="W1003" i="10"/>
  <c r="R1003" i="10"/>
  <c r="S1003" i="10" s="1"/>
  <c r="L1003" i="10"/>
  <c r="BA1002" i="10"/>
  <c r="AS1002" i="10"/>
  <c r="AM1002" i="10"/>
  <c r="AD1002" i="10"/>
  <c r="AV1002" i="10" s="1"/>
  <c r="AA1002" i="10"/>
  <c r="R1002" i="10"/>
  <c r="S1002" i="10" s="1"/>
  <c r="L1002" i="10"/>
  <c r="BA1001" i="10"/>
  <c r="AS1001" i="10"/>
  <c r="AO1001" i="10"/>
  <c r="AM1001" i="10"/>
  <c r="AJ1001" i="10"/>
  <c r="AD1001" i="10"/>
  <c r="W1001" i="10"/>
  <c r="R1001" i="10"/>
  <c r="S1001" i="10" s="1"/>
  <c r="L1001" i="10"/>
  <c r="BA1000" i="10"/>
  <c r="AS1000" i="10"/>
  <c r="AM1000" i="10"/>
  <c r="AD1000" i="10"/>
  <c r="V995" i="10"/>
  <c r="R1000" i="10"/>
  <c r="S1000" i="10" s="1"/>
  <c r="L1000" i="10"/>
  <c r="BA999" i="10"/>
  <c r="AS999" i="10"/>
  <c r="AM999" i="10"/>
  <c r="AJ999" i="10" s="1"/>
  <c r="AD999" i="10"/>
  <c r="W999" i="10"/>
  <c r="R999" i="10"/>
  <c r="S999" i="10" s="1"/>
  <c r="L999" i="10"/>
  <c r="BA998" i="10"/>
  <c r="AS998" i="10"/>
  <c r="BH998" i="10" s="1"/>
  <c r="BM998" i="10" s="1"/>
  <c r="AM998" i="10"/>
  <c r="AD998" i="10"/>
  <c r="W998" i="10"/>
  <c r="R998" i="10"/>
  <c r="S998" i="10" s="1"/>
  <c r="L998" i="10"/>
  <c r="BA997" i="10"/>
  <c r="AS997" i="10"/>
  <c r="BH997" i="10" s="1"/>
  <c r="BM997" i="10" s="1"/>
  <c r="AO997" i="10"/>
  <c r="AM997" i="10"/>
  <c r="AJ997" i="10"/>
  <c r="AD997" i="10"/>
  <c r="AA997" i="10" s="1"/>
  <c r="W997" i="10"/>
  <c r="R997" i="10"/>
  <c r="S997" i="10" s="1"/>
  <c r="L997" i="10"/>
  <c r="AM996" i="10"/>
  <c r="AJ996" i="10"/>
  <c r="AD996" i="10"/>
  <c r="W996" i="10"/>
  <c r="R996" i="10"/>
  <c r="L996" i="10"/>
  <c r="AZ995" i="10"/>
  <c r="AR995" i="10"/>
  <c r="Q995" i="10"/>
  <c r="K995" i="10"/>
  <c r="J995" i="10"/>
  <c r="L995" i="10" s="1"/>
  <c r="AZ994" i="10"/>
  <c r="AS994" i="10"/>
  <c r="AO994" i="10" s="1"/>
  <c r="AM994" i="10"/>
  <c r="AJ994" i="10" s="1"/>
  <c r="AD994" i="10"/>
  <c r="W994" i="10"/>
  <c r="L994" i="10"/>
  <c r="AZ993" i="10"/>
  <c r="AS993" i="10"/>
  <c r="AM993" i="10"/>
  <c r="AJ993" i="10" s="1"/>
  <c r="AD993" i="10"/>
  <c r="W993" i="10"/>
  <c r="L993" i="10"/>
  <c r="AZ992" i="10"/>
  <c r="AS992" i="10"/>
  <c r="AO992" i="10" s="1"/>
  <c r="AM992" i="10"/>
  <c r="AJ992" i="10" s="1"/>
  <c r="AD992" i="10"/>
  <c r="AV992" i="10" s="1"/>
  <c r="W992" i="10"/>
  <c r="L992" i="10"/>
  <c r="AZ991" i="10"/>
  <c r="AS991" i="10"/>
  <c r="AM991" i="10"/>
  <c r="AD991" i="10"/>
  <c r="AV991" i="10" s="1"/>
  <c r="W991" i="10"/>
  <c r="L991" i="10"/>
  <c r="AZ990" i="10"/>
  <c r="AS990" i="10"/>
  <c r="AM990" i="10"/>
  <c r="AD990" i="10"/>
  <c r="W990" i="10"/>
  <c r="L990" i="10"/>
  <c r="AZ989" i="10"/>
  <c r="AS989" i="10"/>
  <c r="AM989" i="10"/>
  <c r="AD989" i="10"/>
  <c r="AV989" i="10" s="1"/>
  <c r="W989" i="10"/>
  <c r="L989" i="10"/>
  <c r="AZ988" i="10"/>
  <c r="AS988" i="10"/>
  <c r="AO988" i="10" s="1"/>
  <c r="AM988" i="10"/>
  <c r="AJ988" i="10" s="1"/>
  <c r="AD988" i="10"/>
  <c r="AA988" i="10" s="1"/>
  <c r="W988" i="10"/>
  <c r="L988" i="10"/>
  <c r="AZ987" i="10"/>
  <c r="AS987" i="10"/>
  <c r="AM987" i="10"/>
  <c r="AD987" i="10"/>
  <c r="W987" i="10"/>
  <c r="L987" i="10"/>
  <c r="AZ986" i="10"/>
  <c r="AS986" i="10"/>
  <c r="AM986" i="10"/>
  <c r="AD986" i="10"/>
  <c r="AA986" i="10" s="1"/>
  <c r="W986" i="10"/>
  <c r="L986" i="10"/>
  <c r="AZ985" i="10"/>
  <c r="AS985" i="10"/>
  <c r="BO985" i="10" s="1"/>
  <c r="AM985" i="10"/>
  <c r="AJ985" i="10" s="1"/>
  <c r="AD985" i="10"/>
  <c r="AV985" i="10" s="1"/>
  <c r="W985" i="10"/>
  <c r="L985" i="10"/>
  <c r="AZ984" i="10"/>
  <c r="AS984" i="10"/>
  <c r="AM984" i="10"/>
  <c r="AJ984" i="10" s="1"/>
  <c r="AD984" i="10"/>
  <c r="W984" i="10"/>
  <c r="L984" i="10"/>
  <c r="AZ983" i="10"/>
  <c r="AS983" i="10"/>
  <c r="BH983" i="10" s="1"/>
  <c r="BM983" i="10" s="1"/>
  <c r="BO983" i="10" s="1"/>
  <c r="AM983" i="10"/>
  <c r="AD983" i="10"/>
  <c r="AV983" i="10" s="1"/>
  <c r="AA983" i="10"/>
  <c r="W983" i="10"/>
  <c r="L983" i="10"/>
  <c r="AZ982" i="10"/>
  <c r="AS982" i="10"/>
  <c r="AM982" i="10"/>
  <c r="AJ982" i="10" s="1"/>
  <c r="AD982" i="10"/>
  <c r="AV982" i="10" s="1"/>
  <c r="AA982" i="10"/>
  <c r="W982" i="10"/>
  <c r="L982" i="10"/>
  <c r="AZ981" i="10"/>
  <c r="AS981" i="10"/>
  <c r="AO981" i="10" s="1"/>
  <c r="AM981" i="10"/>
  <c r="AD981" i="10"/>
  <c r="W981" i="10"/>
  <c r="L981" i="10"/>
  <c r="AZ980" i="10"/>
  <c r="AS980" i="10"/>
  <c r="AO980" i="10" s="1"/>
  <c r="AM980" i="10"/>
  <c r="AD980" i="10"/>
  <c r="W980" i="10"/>
  <c r="L980" i="10"/>
  <c r="AZ979" i="10"/>
  <c r="AS979" i="10"/>
  <c r="AO979" i="10" s="1"/>
  <c r="AM979" i="10"/>
  <c r="AJ979" i="10" s="1"/>
  <c r="AD979" i="10"/>
  <c r="AV979" i="10" s="1"/>
  <c r="AA979" i="10"/>
  <c r="W979" i="10"/>
  <c r="L979" i="10"/>
  <c r="AZ978" i="10"/>
  <c r="AS978" i="10"/>
  <c r="AO978" i="10" s="1"/>
  <c r="AM978" i="10"/>
  <c r="AJ978" i="10" s="1"/>
  <c r="AD978" i="10"/>
  <c r="AA978" i="10" s="1"/>
  <c r="W978" i="10"/>
  <c r="L978" i="10"/>
  <c r="AZ977" i="10"/>
  <c r="AS977" i="10"/>
  <c r="AM977" i="10"/>
  <c r="AD977" i="10"/>
  <c r="AV977" i="10" s="1"/>
  <c r="AA977" i="10"/>
  <c r="W977" i="10"/>
  <c r="L977" i="10"/>
  <c r="AZ976" i="10"/>
  <c r="AS976" i="10"/>
  <c r="AM976" i="10"/>
  <c r="AD976" i="10"/>
  <c r="AV976" i="10" s="1"/>
  <c r="AA976" i="10"/>
  <c r="W976" i="10"/>
  <c r="L976" i="10"/>
  <c r="AZ975" i="10"/>
  <c r="AS975" i="10"/>
  <c r="AM975" i="10"/>
  <c r="AJ975" i="10" s="1"/>
  <c r="AD975" i="10"/>
  <c r="W975" i="10"/>
  <c r="L975" i="10"/>
  <c r="AZ974" i="10"/>
  <c r="AS974" i="10"/>
  <c r="AO974" i="10" s="1"/>
  <c r="AM974" i="10"/>
  <c r="AN974" i="10" s="1"/>
  <c r="AD974" i="10"/>
  <c r="W974" i="10"/>
  <c r="L974" i="10"/>
  <c r="AZ973" i="10"/>
  <c r="AS973" i="10"/>
  <c r="AM973" i="10"/>
  <c r="AJ973" i="10" s="1"/>
  <c r="AD973" i="10"/>
  <c r="AU973" i="10" s="1"/>
  <c r="AA973" i="10"/>
  <c r="W973" i="10"/>
  <c r="L973" i="10"/>
  <c r="AZ972" i="10"/>
  <c r="AS972" i="10"/>
  <c r="AM972" i="10"/>
  <c r="AJ972" i="10" s="1"/>
  <c r="AD972" i="10"/>
  <c r="W972" i="10"/>
  <c r="L972" i="10"/>
  <c r="AZ971" i="10"/>
  <c r="AS971" i="10"/>
  <c r="AM971" i="10"/>
  <c r="AD971" i="10"/>
  <c r="W971" i="10"/>
  <c r="L971" i="10"/>
  <c r="AZ970" i="10"/>
  <c r="AS970" i="10"/>
  <c r="BH970" i="10" s="1"/>
  <c r="BM970" i="10" s="1"/>
  <c r="AM970" i="10"/>
  <c r="AD970" i="10"/>
  <c r="W970" i="10"/>
  <c r="L970" i="10"/>
  <c r="AZ969" i="10"/>
  <c r="AS969" i="10"/>
  <c r="AM969" i="10"/>
  <c r="AJ969" i="10"/>
  <c r="AD969" i="10"/>
  <c r="AV969" i="10" s="1"/>
  <c r="W969" i="10"/>
  <c r="L969" i="10"/>
  <c r="AZ968" i="10"/>
  <c r="AS968" i="10"/>
  <c r="AO968" i="10" s="1"/>
  <c r="AM968" i="10"/>
  <c r="AJ968" i="10" s="1"/>
  <c r="AD968" i="10"/>
  <c r="W968" i="10"/>
  <c r="L968" i="10"/>
  <c r="AZ967" i="10"/>
  <c r="AS967" i="10"/>
  <c r="AM967" i="10"/>
  <c r="AJ967" i="10"/>
  <c r="AD967" i="10"/>
  <c r="AA967" i="10" s="1"/>
  <c r="W967" i="10"/>
  <c r="L967" i="10"/>
  <c r="AZ966" i="10"/>
  <c r="AS966" i="10"/>
  <c r="AO966" i="10"/>
  <c r="AM966" i="10"/>
  <c r="AJ966" i="10" s="1"/>
  <c r="AD966" i="10"/>
  <c r="W966" i="10"/>
  <c r="L966" i="10"/>
  <c r="AZ965" i="10"/>
  <c r="AS965" i="10"/>
  <c r="AO965" i="10" s="1"/>
  <c r="AM965" i="10"/>
  <c r="AJ965" i="10"/>
  <c r="AD965" i="10"/>
  <c r="AV965" i="10" s="1"/>
  <c r="AA965" i="10"/>
  <c r="W965" i="10"/>
  <c r="L965" i="10"/>
  <c r="AZ964" i="10"/>
  <c r="AS964" i="10"/>
  <c r="AM964" i="10"/>
  <c r="AD964" i="10"/>
  <c r="W964" i="10"/>
  <c r="L964" i="10"/>
  <c r="AZ963" i="10"/>
  <c r="AS963" i="10"/>
  <c r="AM963" i="10"/>
  <c r="AJ963" i="10"/>
  <c r="AD963" i="10"/>
  <c r="W963" i="10"/>
  <c r="L963" i="10"/>
  <c r="AZ962" i="10"/>
  <c r="AS962" i="10"/>
  <c r="AM962" i="10"/>
  <c r="AJ962" i="10" s="1"/>
  <c r="AD962" i="10"/>
  <c r="AV962" i="10" s="1"/>
  <c r="W962" i="10"/>
  <c r="L962" i="10"/>
  <c r="AZ961" i="10"/>
  <c r="AS961" i="10"/>
  <c r="AO961" i="10"/>
  <c r="AM961" i="10"/>
  <c r="AD961" i="10"/>
  <c r="AV961" i="10" s="1"/>
  <c r="AA961" i="10"/>
  <c r="W961" i="10"/>
  <c r="L961" i="10"/>
  <c r="AZ960" i="10"/>
  <c r="AS960" i="10"/>
  <c r="AM960" i="10"/>
  <c r="AJ960" i="10" s="1"/>
  <c r="AD960" i="10"/>
  <c r="W960" i="10"/>
  <c r="L960" i="10"/>
  <c r="AZ959" i="10"/>
  <c r="AS959" i="10"/>
  <c r="AM959" i="10"/>
  <c r="AD959" i="10"/>
  <c r="AV959" i="10" s="1"/>
  <c r="AA959" i="10"/>
  <c r="W959" i="10"/>
  <c r="L959" i="10"/>
  <c r="AZ958" i="10"/>
  <c r="AS958" i="10"/>
  <c r="AM958" i="10"/>
  <c r="AD958" i="10"/>
  <c r="W958" i="10"/>
  <c r="L958" i="10"/>
  <c r="AZ957" i="10"/>
  <c r="AS957" i="10"/>
  <c r="AO957" i="10" s="1"/>
  <c r="AM957" i="10"/>
  <c r="AJ957" i="10"/>
  <c r="AD957" i="10"/>
  <c r="AA957" i="10" s="1"/>
  <c r="W957" i="10"/>
  <c r="L957" i="10"/>
  <c r="AZ956" i="10"/>
  <c r="AS956" i="10"/>
  <c r="AO956" i="10" s="1"/>
  <c r="AM956" i="10"/>
  <c r="AJ956" i="10" s="1"/>
  <c r="AD956" i="10"/>
  <c r="AV956" i="10" s="1"/>
  <c r="AA956" i="10"/>
  <c r="W956" i="10"/>
  <c r="L956" i="10"/>
  <c r="AZ955" i="10"/>
  <c r="AS955" i="10"/>
  <c r="AM955" i="10"/>
  <c r="AJ955" i="10"/>
  <c r="AD955" i="10"/>
  <c r="W955" i="10"/>
  <c r="L955" i="10"/>
  <c r="AZ954" i="10"/>
  <c r="AS954" i="10"/>
  <c r="AO954" i="10" s="1"/>
  <c r="AM954" i="10"/>
  <c r="AJ954" i="10" s="1"/>
  <c r="AD954" i="10"/>
  <c r="W954" i="10"/>
  <c r="L954" i="10"/>
  <c r="AZ953" i="10"/>
  <c r="AS953" i="10"/>
  <c r="AM953" i="10"/>
  <c r="AJ953" i="10" s="1"/>
  <c r="AD953" i="10"/>
  <c r="AA953" i="10" s="1"/>
  <c r="W953" i="10"/>
  <c r="L953" i="10"/>
  <c r="AZ952" i="10"/>
  <c r="AS952" i="10"/>
  <c r="BH952" i="10" s="1"/>
  <c r="BM952" i="10" s="1"/>
  <c r="AM952" i="10"/>
  <c r="AD952" i="10"/>
  <c r="AV952" i="10" s="1"/>
  <c r="AA952" i="10"/>
  <c r="W952" i="10"/>
  <c r="L952" i="10"/>
  <c r="AZ951" i="10"/>
  <c r="AS951" i="10"/>
  <c r="BH951" i="10" s="1"/>
  <c r="BM951" i="10" s="1"/>
  <c r="AO951" i="10"/>
  <c r="AM951" i="10"/>
  <c r="AJ951" i="10" s="1"/>
  <c r="AD951" i="10"/>
  <c r="W951" i="10"/>
  <c r="L951" i="10"/>
  <c r="AZ950" i="10"/>
  <c r="AS950" i="10"/>
  <c r="BH950" i="10" s="1"/>
  <c r="BM950" i="10" s="1"/>
  <c r="AM950" i="10"/>
  <c r="AD950" i="10"/>
  <c r="AV950" i="10" s="1"/>
  <c r="AA950" i="10"/>
  <c r="W950" i="10"/>
  <c r="L950" i="10"/>
  <c r="AZ949" i="10"/>
  <c r="AS949" i="10"/>
  <c r="AM949" i="10"/>
  <c r="AJ949" i="10" s="1"/>
  <c r="AD949" i="10"/>
  <c r="W949" i="10"/>
  <c r="L949" i="10"/>
  <c r="AZ948" i="10"/>
  <c r="AS948" i="10"/>
  <c r="AM948" i="10"/>
  <c r="AD948" i="10"/>
  <c r="W948" i="10"/>
  <c r="L948" i="10"/>
  <c r="AZ947" i="10"/>
  <c r="AS947" i="10"/>
  <c r="AO947" i="10" s="1"/>
  <c r="AM947" i="10"/>
  <c r="AJ947" i="10" s="1"/>
  <c r="AD947" i="10"/>
  <c r="AV947" i="10" s="1"/>
  <c r="W947" i="10"/>
  <c r="L947" i="10"/>
  <c r="AZ946" i="10"/>
  <c r="AS946" i="10"/>
  <c r="AO946" i="10"/>
  <c r="AM946" i="10"/>
  <c r="AJ946" i="10" s="1"/>
  <c r="AD946" i="10"/>
  <c r="AV946" i="10" s="1"/>
  <c r="W946" i="10"/>
  <c r="L946" i="10"/>
  <c r="AZ945" i="10"/>
  <c r="AS945" i="10"/>
  <c r="AM945" i="10"/>
  <c r="AJ945" i="10" s="1"/>
  <c r="AD945" i="10"/>
  <c r="W945" i="10"/>
  <c r="L945" i="10"/>
  <c r="AZ944" i="10"/>
  <c r="AS944" i="10"/>
  <c r="AM944" i="10"/>
  <c r="AD944" i="10"/>
  <c r="AV944" i="10" s="1"/>
  <c r="AA944" i="10"/>
  <c r="W944" i="10"/>
  <c r="L944" i="10"/>
  <c r="AZ943" i="10"/>
  <c r="AS943" i="10"/>
  <c r="AO943" i="10" s="1"/>
  <c r="AM943" i="10"/>
  <c r="AJ943" i="10" s="1"/>
  <c r="AD943" i="10"/>
  <c r="W943" i="10"/>
  <c r="L943" i="10"/>
  <c r="AZ942" i="10"/>
  <c r="AS942" i="10"/>
  <c r="AM942" i="10"/>
  <c r="AD942" i="10"/>
  <c r="AV942" i="10" s="1"/>
  <c r="AA942" i="10"/>
  <c r="W942" i="10"/>
  <c r="L942" i="10"/>
  <c r="AZ941" i="10"/>
  <c r="AS941" i="10"/>
  <c r="AM941" i="10"/>
  <c r="AJ941" i="10"/>
  <c r="AD941" i="10"/>
  <c r="W941" i="10"/>
  <c r="L941" i="10"/>
  <c r="BA940" i="10"/>
  <c r="AR940" i="10"/>
  <c r="V940" i="10"/>
  <c r="K940" i="10"/>
  <c r="J940" i="10"/>
  <c r="L940" i="10" s="1"/>
  <c r="BA939" i="10"/>
  <c r="AS939" i="10"/>
  <c r="BH939" i="10" s="1"/>
  <c r="BM939" i="10" s="1"/>
  <c r="AM939" i="10"/>
  <c r="AJ939" i="10" s="1"/>
  <c r="AD939" i="10"/>
  <c r="W939" i="10"/>
  <c r="R939" i="10"/>
  <c r="S939" i="10" s="1"/>
  <c r="L939" i="10"/>
  <c r="BA938" i="10"/>
  <c r="AS938" i="10"/>
  <c r="AM938" i="10"/>
  <c r="AD938" i="10"/>
  <c r="W938" i="10"/>
  <c r="R938" i="10"/>
  <c r="S938" i="10" s="1"/>
  <c r="L938" i="10"/>
  <c r="BA937" i="10"/>
  <c r="AS937" i="10"/>
  <c r="AM937" i="10"/>
  <c r="AD937" i="10"/>
  <c r="W937" i="10"/>
  <c r="R937" i="10"/>
  <c r="S937" i="10" s="1"/>
  <c r="L937" i="10"/>
  <c r="BA936" i="10"/>
  <c r="AS936" i="10"/>
  <c r="BO936" i="10" s="1"/>
  <c r="AM936" i="10"/>
  <c r="AJ936" i="10" s="1"/>
  <c r="AD936" i="10"/>
  <c r="AU936" i="10" s="1"/>
  <c r="AA936" i="10"/>
  <c r="W936" i="10"/>
  <c r="R936" i="10"/>
  <c r="S936" i="10" s="1"/>
  <c r="L936" i="10"/>
  <c r="BA935" i="10"/>
  <c r="AS935" i="10"/>
  <c r="AM935" i="10"/>
  <c r="AJ935" i="10" s="1"/>
  <c r="AD935" i="10"/>
  <c r="W935" i="10"/>
  <c r="R935" i="10"/>
  <c r="S935" i="10" s="1"/>
  <c r="L935" i="10"/>
  <c r="BA934" i="10"/>
  <c r="AS934" i="10"/>
  <c r="AO934" i="10" s="1"/>
  <c r="AM934" i="10"/>
  <c r="AJ934" i="10"/>
  <c r="AD934" i="10"/>
  <c r="AV934" i="10" s="1"/>
  <c r="W934" i="10"/>
  <c r="R934" i="10"/>
  <c r="S934" i="10" s="1"/>
  <c r="L934" i="10"/>
  <c r="BA933" i="10"/>
  <c r="AS933" i="10"/>
  <c r="AM933" i="10"/>
  <c r="AD933" i="10"/>
  <c r="W933" i="10"/>
  <c r="R933" i="10"/>
  <c r="S933" i="10" s="1"/>
  <c r="L933" i="10"/>
  <c r="BA932" i="10"/>
  <c r="AS932" i="10"/>
  <c r="AM932" i="10"/>
  <c r="AD932" i="10"/>
  <c r="AV932" i="10" s="1"/>
  <c r="W932" i="10"/>
  <c r="R932" i="10"/>
  <c r="S932" i="10" s="1"/>
  <c r="L932" i="10"/>
  <c r="AS931" i="10"/>
  <c r="AM931" i="10"/>
  <c r="AJ931" i="10" s="1"/>
  <c r="AD931" i="10"/>
  <c r="AV931" i="10" s="1"/>
  <c r="AA931" i="10"/>
  <c r="W931" i="10"/>
  <c r="BA930" i="10"/>
  <c r="AS930" i="10"/>
  <c r="AM930" i="10"/>
  <c r="AD930" i="10"/>
  <c r="AV930" i="10" s="1"/>
  <c r="AA930" i="10"/>
  <c r="W930" i="10"/>
  <c r="R930" i="10"/>
  <c r="S930" i="10" s="1"/>
  <c r="L930" i="10"/>
  <c r="BA929" i="10"/>
  <c r="AS929" i="10"/>
  <c r="AM929" i="10"/>
  <c r="AD929" i="10"/>
  <c r="W929" i="10"/>
  <c r="R929" i="10"/>
  <c r="S929" i="10" s="1"/>
  <c r="L929" i="10"/>
  <c r="BA928" i="10"/>
  <c r="AS928" i="10"/>
  <c r="AO928" i="10" s="1"/>
  <c r="AM928" i="10"/>
  <c r="AN928" i="10" s="1"/>
  <c r="AJ928" i="10"/>
  <c r="AD928" i="10"/>
  <c r="AV928" i="10" s="1"/>
  <c r="W928" i="10"/>
  <c r="R928" i="10"/>
  <c r="S928" i="10" s="1"/>
  <c r="L928" i="10"/>
  <c r="BA927" i="10"/>
  <c r="AS927" i="10"/>
  <c r="AM927" i="10"/>
  <c r="AJ927" i="10" s="1"/>
  <c r="AD927" i="10"/>
  <c r="AV927" i="10" s="1"/>
  <c r="W927" i="10"/>
  <c r="R927" i="10"/>
  <c r="S927" i="10" s="1"/>
  <c r="L927" i="10"/>
  <c r="BA926" i="10"/>
  <c r="AS926" i="10"/>
  <c r="AO926" i="10" s="1"/>
  <c r="AM926" i="10"/>
  <c r="AJ926" i="10"/>
  <c r="AD926" i="10"/>
  <c r="AV926" i="10" s="1"/>
  <c r="W926" i="10"/>
  <c r="R926" i="10"/>
  <c r="S926" i="10" s="1"/>
  <c r="L926" i="10"/>
  <c r="BA925" i="10"/>
  <c r="AS925" i="10"/>
  <c r="AM925" i="10"/>
  <c r="AJ925" i="10"/>
  <c r="AD925" i="10"/>
  <c r="AV925" i="10" s="1"/>
  <c r="W925" i="10"/>
  <c r="R925" i="10"/>
  <c r="S925" i="10" s="1"/>
  <c r="L925" i="10"/>
  <c r="BA924" i="10"/>
  <c r="AS924" i="10"/>
  <c r="AM924" i="10"/>
  <c r="AJ924" i="10" s="1"/>
  <c r="AD924" i="10"/>
  <c r="W924" i="10"/>
  <c r="R924" i="10"/>
  <c r="S924" i="10" s="1"/>
  <c r="L924" i="10"/>
  <c r="BA923" i="10"/>
  <c r="AS923" i="10"/>
  <c r="AM923" i="10"/>
  <c r="AJ923" i="10" s="1"/>
  <c r="AD923" i="10"/>
  <c r="AV923" i="10" s="1"/>
  <c r="W923" i="10"/>
  <c r="R923" i="10"/>
  <c r="S923" i="10" s="1"/>
  <c r="L923" i="10"/>
  <c r="BA922" i="10"/>
  <c r="AS922" i="10"/>
  <c r="AO922" i="10" s="1"/>
  <c r="AM922" i="10"/>
  <c r="AJ922" i="10" s="1"/>
  <c r="AD922" i="10"/>
  <c r="AA922" i="10" s="1"/>
  <c r="W922" i="10"/>
  <c r="R922" i="10"/>
  <c r="S922" i="10" s="1"/>
  <c r="L922" i="10"/>
  <c r="BA921" i="10"/>
  <c r="AS921" i="10"/>
  <c r="AM921" i="10"/>
  <c r="AD921" i="10"/>
  <c r="AV921" i="10" s="1"/>
  <c r="AA921" i="10"/>
  <c r="W921" i="10"/>
  <c r="R921" i="10"/>
  <c r="S921" i="10" s="1"/>
  <c r="L921" i="10"/>
  <c r="BA920" i="10"/>
  <c r="AS920" i="10"/>
  <c r="AM920" i="10"/>
  <c r="AD920" i="10"/>
  <c r="W920" i="10"/>
  <c r="R920" i="10"/>
  <c r="S920" i="10" s="1"/>
  <c r="L920" i="10"/>
  <c r="BA919" i="10"/>
  <c r="AS919" i="10"/>
  <c r="AM919" i="10"/>
  <c r="AJ919" i="10" s="1"/>
  <c r="AD919" i="10"/>
  <c r="W919" i="10"/>
  <c r="R919" i="10"/>
  <c r="S919" i="10" s="1"/>
  <c r="L919" i="10"/>
  <c r="BA918" i="10"/>
  <c r="AS918" i="10"/>
  <c r="AO918" i="10"/>
  <c r="AM918" i="10"/>
  <c r="AN918" i="10" s="1"/>
  <c r="AD918" i="10"/>
  <c r="W918" i="10"/>
  <c r="R918" i="10"/>
  <c r="S918" i="10" s="1"/>
  <c r="L918" i="10"/>
  <c r="BA917" i="10"/>
  <c r="AS917" i="10"/>
  <c r="AO917" i="10"/>
  <c r="AM917" i="10"/>
  <c r="AD917" i="10"/>
  <c r="AV917" i="10" s="1"/>
  <c r="W917" i="10"/>
  <c r="R917" i="10"/>
  <c r="S917" i="10" s="1"/>
  <c r="L917" i="10"/>
  <c r="BA916" i="10"/>
  <c r="AS916" i="10"/>
  <c r="AM916" i="10"/>
  <c r="AJ916" i="10" s="1"/>
  <c r="AD916" i="10"/>
  <c r="W916" i="10"/>
  <c r="R916" i="10"/>
  <c r="S916" i="10" s="1"/>
  <c r="L916" i="10"/>
  <c r="BA915" i="10"/>
  <c r="AS915" i="10"/>
  <c r="AM915" i="10"/>
  <c r="AJ915" i="10" s="1"/>
  <c r="AD915" i="10"/>
  <c r="W915" i="10"/>
  <c r="R915" i="10"/>
  <c r="S915" i="10" s="1"/>
  <c r="L915" i="10"/>
  <c r="BA914" i="10"/>
  <c r="AS914" i="10"/>
  <c r="AM914" i="10"/>
  <c r="AJ914" i="10"/>
  <c r="AD914" i="10"/>
  <c r="AA914" i="10" s="1"/>
  <c r="W914" i="10"/>
  <c r="R914" i="10"/>
  <c r="S914" i="10" s="1"/>
  <c r="L914" i="10"/>
  <c r="BA913" i="10"/>
  <c r="AS913" i="10"/>
  <c r="AO913" i="10" s="1"/>
  <c r="AM913" i="10"/>
  <c r="AJ913" i="10"/>
  <c r="AD913" i="10"/>
  <c r="AV913" i="10" s="1"/>
  <c r="W913" i="10"/>
  <c r="R913" i="10"/>
  <c r="S913" i="10" s="1"/>
  <c r="L913" i="10"/>
  <c r="BA912" i="10"/>
  <c r="AS912" i="10"/>
  <c r="AM912" i="10"/>
  <c r="AJ912" i="10" s="1"/>
  <c r="AD912" i="10"/>
  <c r="AA912" i="10"/>
  <c r="W912" i="10"/>
  <c r="R912" i="10"/>
  <c r="S912" i="10" s="1"/>
  <c r="L912" i="10"/>
  <c r="BA911" i="10"/>
  <c r="AS911" i="10"/>
  <c r="AO911" i="10" s="1"/>
  <c r="AM911" i="10"/>
  <c r="AJ911" i="10" s="1"/>
  <c r="AD911" i="10"/>
  <c r="AV911" i="10" s="1"/>
  <c r="W911" i="10"/>
  <c r="R911" i="10"/>
  <c r="S911" i="10" s="1"/>
  <c r="L911" i="10"/>
  <c r="BA910" i="10"/>
  <c r="AS910" i="10"/>
  <c r="AM910" i="10"/>
  <c r="AJ910" i="10" s="1"/>
  <c r="AD910" i="10"/>
  <c r="AA910" i="10" s="1"/>
  <c r="W910" i="10"/>
  <c r="R910" i="10"/>
  <c r="S910" i="10" s="1"/>
  <c r="L910" i="10"/>
  <c r="BA909" i="10"/>
  <c r="AS909" i="10"/>
  <c r="AM909" i="10"/>
  <c r="AD909" i="10"/>
  <c r="AV909" i="10" s="1"/>
  <c r="W909" i="10"/>
  <c r="R909" i="10"/>
  <c r="S909" i="10" s="1"/>
  <c r="L909" i="10"/>
  <c r="BA908" i="10"/>
  <c r="AS908" i="10"/>
  <c r="AO908" i="10"/>
  <c r="AM908" i="10"/>
  <c r="AJ908" i="10" s="1"/>
  <c r="AD908" i="10"/>
  <c r="AA908" i="10" s="1"/>
  <c r="W908" i="10"/>
  <c r="R908" i="10"/>
  <c r="S908" i="10" s="1"/>
  <c r="L908" i="10"/>
  <c r="BA907" i="10"/>
  <c r="AS907" i="10"/>
  <c r="AM907" i="10"/>
  <c r="AJ907" i="10" s="1"/>
  <c r="AD907" i="10"/>
  <c r="W907" i="10"/>
  <c r="R907" i="10"/>
  <c r="S907" i="10" s="1"/>
  <c r="L907" i="10"/>
  <c r="BA906" i="10"/>
  <c r="AS906" i="10"/>
  <c r="AM906" i="10"/>
  <c r="AJ906" i="10" s="1"/>
  <c r="AD906" i="10"/>
  <c r="AV906" i="10" s="1"/>
  <c r="W906" i="10"/>
  <c r="R906" i="10"/>
  <c r="S906" i="10" s="1"/>
  <c r="L906" i="10"/>
  <c r="BA905" i="10"/>
  <c r="AS905" i="10"/>
  <c r="AM905" i="10"/>
  <c r="AD905" i="10"/>
  <c r="AV905" i="10" s="1"/>
  <c r="AA905" i="10"/>
  <c r="W905" i="10"/>
  <c r="R905" i="10"/>
  <c r="S905" i="10" s="1"/>
  <c r="L905" i="10"/>
  <c r="BA904" i="10"/>
  <c r="AS904" i="10"/>
  <c r="AM904" i="10"/>
  <c r="AD904" i="10"/>
  <c r="AV904" i="10" s="1"/>
  <c r="W904" i="10"/>
  <c r="R904" i="10"/>
  <c r="S904" i="10" s="1"/>
  <c r="L904" i="10"/>
  <c r="BA903" i="10"/>
  <c r="AS903" i="10"/>
  <c r="AO903" i="10" s="1"/>
  <c r="AM903" i="10"/>
  <c r="AJ903" i="10"/>
  <c r="AD903" i="10"/>
  <c r="AV903" i="10" s="1"/>
  <c r="W903" i="10"/>
  <c r="R903" i="10"/>
  <c r="S903" i="10" s="1"/>
  <c r="L903" i="10"/>
  <c r="BA902" i="10"/>
  <c r="AS902" i="10"/>
  <c r="AM902" i="10"/>
  <c r="AJ902" i="10" s="1"/>
  <c r="AD902" i="10"/>
  <c r="AV902" i="10" s="1"/>
  <c r="W902" i="10"/>
  <c r="R902" i="10"/>
  <c r="S902" i="10" s="1"/>
  <c r="L902" i="10"/>
  <c r="BA901" i="10"/>
  <c r="AS901" i="10"/>
  <c r="AO901" i="10" s="1"/>
  <c r="AM901" i="10"/>
  <c r="AJ901" i="10" s="1"/>
  <c r="AD901" i="10"/>
  <c r="AV901" i="10" s="1"/>
  <c r="AA901" i="10"/>
  <c r="W901" i="10"/>
  <c r="R901" i="10"/>
  <c r="S901" i="10" s="1"/>
  <c r="L901" i="10"/>
  <c r="BA900" i="10"/>
  <c r="AS900" i="10"/>
  <c r="AM900" i="10"/>
  <c r="AJ900" i="10" s="1"/>
  <c r="AD900" i="10"/>
  <c r="W900" i="10"/>
  <c r="R900" i="10"/>
  <c r="S900" i="10" s="1"/>
  <c r="L900" i="10"/>
  <c r="BA899" i="10"/>
  <c r="AS899" i="10"/>
  <c r="BH899" i="10" s="1"/>
  <c r="BM899" i="10" s="1"/>
  <c r="E288" i="11" s="1"/>
  <c r="F288" i="11" s="1"/>
  <c r="AM899" i="10"/>
  <c r="AN899" i="10" s="1"/>
  <c r="AJ899" i="10"/>
  <c r="AD899" i="10"/>
  <c r="AV899" i="10" s="1"/>
  <c r="W899" i="10"/>
  <c r="R899" i="10"/>
  <c r="S899" i="10" s="1"/>
  <c r="L899" i="10"/>
  <c r="BA898" i="10"/>
  <c r="AS898" i="10"/>
  <c r="AM898" i="10"/>
  <c r="AJ898" i="10" s="1"/>
  <c r="AD898" i="10"/>
  <c r="W898" i="10"/>
  <c r="R898" i="10"/>
  <c r="S898" i="10" s="1"/>
  <c r="L898" i="10"/>
  <c r="BA897" i="10"/>
  <c r="AS897" i="10"/>
  <c r="AM897" i="10"/>
  <c r="AJ897" i="10" s="1"/>
  <c r="AD897" i="10"/>
  <c r="W897" i="10"/>
  <c r="R897" i="10"/>
  <c r="S897" i="10" s="1"/>
  <c r="L897" i="10"/>
  <c r="BA896" i="10"/>
  <c r="AS896" i="10"/>
  <c r="AM896" i="10"/>
  <c r="AD896" i="10"/>
  <c r="AV896" i="10" s="1"/>
  <c r="AA896" i="10"/>
  <c r="W896" i="10"/>
  <c r="R896" i="10"/>
  <c r="S896" i="10" s="1"/>
  <c r="L896" i="10"/>
  <c r="BA895" i="10"/>
  <c r="AS895" i="10"/>
  <c r="AM895" i="10"/>
  <c r="AJ895" i="10"/>
  <c r="AD895" i="10"/>
  <c r="W895" i="10"/>
  <c r="R895" i="10"/>
  <c r="S895" i="10" s="1"/>
  <c r="L895" i="10"/>
  <c r="BA894" i="10"/>
  <c r="AS894" i="10"/>
  <c r="AM894" i="10"/>
  <c r="AJ894" i="10"/>
  <c r="AD894" i="10"/>
  <c r="W894" i="10"/>
  <c r="R894" i="10"/>
  <c r="S894" i="10" s="1"/>
  <c r="L894" i="10"/>
  <c r="BA893" i="10"/>
  <c r="AS893" i="10"/>
  <c r="BO893" i="10" s="1"/>
  <c r="AO893" i="10"/>
  <c r="AM893" i="10"/>
  <c r="AD893" i="10"/>
  <c r="AA893" i="10" s="1"/>
  <c r="W893" i="10"/>
  <c r="R893" i="10"/>
  <c r="S893" i="10" s="1"/>
  <c r="L893" i="10"/>
  <c r="AS892" i="10"/>
  <c r="AM892" i="10"/>
  <c r="AJ892" i="10" s="1"/>
  <c r="AD892" i="10"/>
  <c r="R892" i="10"/>
  <c r="S892" i="10" s="1"/>
  <c r="L892" i="10"/>
  <c r="AZ891" i="10"/>
  <c r="AR891" i="10"/>
  <c r="V891" i="10"/>
  <c r="Q891" i="10"/>
  <c r="K891" i="10"/>
  <c r="J891" i="10"/>
  <c r="L891" i="10" s="1"/>
  <c r="BA890" i="10"/>
  <c r="AS890" i="10"/>
  <c r="AM890" i="10"/>
  <c r="AJ890" i="10" s="1"/>
  <c r="AD890" i="10"/>
  <c r="AV890" i="10" s="1"/>
  <c r="W890" i="10"/>
  <c r="R890" i="10"/>
  <c r="S890" i="10" s="1"/>
  <c r="L890" i="10"/>
  <c r="BA889" i="10"/>
  <c r="AS889" i="10"/>
  <c r="BH889" i="10" s="1"/>
  <c r="BM889" i="10" s="1"/>
  <c r="E282" i="11" s="1"/>
  <c r="F282" i="11" s="1"/>
  <c r="AM889" i="10"/>
  <c r="AJ889" i="10" s="1"/>
  <c r="AD889" i="10"/>
  <c r="AV889" i="10" s="1"/>
  <c r="AA889" i="10"/>
  <c r="W889" i="10"/>
  <c r="R889" i="10"/>
  <c r="S889" i="10" s="1"/>
  <c r="L889" i="10"/>
  <c r="BA888" i="10"/>
  <c r="AS888" i="10"/>
  <c r="AM888" i="10"/>
  <c r="AJ888" i="10"/>
  <c r="AD888" i="10"/>
  <c r="AV888" i="10" s="1"/>
  <c r="W888" i="10"/>
  <c r="R888" i="10"/>
  <c r="S888" i="10" s="1"/>
  <c r="L888" i="10"/>
  <c r="BA887" i="10"/>
  <c r="AS887" i="10"/>
  <c r="AM887" i="10"/>
  <c r="AJ887" i="10"/>
  <c r="AD887" i="10"/>
  <c r="AA887" i="10" s="1"/>
  <c r="W887" i="10"/>
  <c r="R887" i="10"/>
  <c r="S887" i="10" s="1"/>
  <c r="L887" i="10"/>
  <c r="BA886" i="10"/>
  <c r="AS886" i="10"/>
  <c r="AM886" i="10"/>
  <c r="AJ886" i="10" s="1"/>
  <c r="AD886" i="10"/>
  <c r="W886" i="10"/>
  <c r="R886" i="10"/>
  <c r="S886" i="10" s="1"/>
  <c r="L886" i="10"/>
  <c r="BA885" i="10"/>
  <c r="AS885" i="10"/>
  <c r="AM885" i="10"/>
  <c r="AJ885" i="10" s="1"/>
  <c r="AD885" i="10"/>
  <c r="W885" i="10"/>
  <c r="R885" i="10"/>
  <c r="S885" i="10" s="1"/>
  <c r="L885" i="10"/>
  <c r="BA884" i="10"/>
  <c r="AS884" i="10"/>
  <c r="AM884" i="10"/>
  <c r="AJ884" i="10" s="1"/>
  <c r="AD884" i="10"/>
  <c r="AA884" i="10" s="1"/>
  <c r="W884" i="10"/>
  <c r="R884" i="10"/>
  <c r="S884" i="10" s="1"/>
  <c r="L884" i="10"/>
  <c r="BA883" i="10"/>
  <c r="AS883" i="10"/>
  <c r="AO883" i="10" s="1"/>
  <c r="AM883" i="10"/>
  <c r="AJ883" i="10" s="1"/>
  <c r="AD883" i="10"/>
  <c r="AV883" i="10" s="1"/>
  <c r="W883" i="10"/>
  <c r="R883" i="10"/>
  <c r="S883" i="10" s="1"/>
  <c r="L883" i="10"/>
  <c r="BA882" i="10"/>
  <c r="AS882" i="10"/>
  <c r="BH882" i="10" s="1"/>
  <c r="BM882" i="10" s="1"/>
  <c r="AM882" i="10"/>
  <c r="AD882" i="10"/>
  <c r="W882" i="10"/>
  <c r="R882" i="10"/>
  <c r="S882" i="10" s="1"/>
  <c r="L882" i="10"/>
  <c r="BA881" i="10"/>
  <c r="AS881" i="10"/>
  <c r="AO881" i="10" s="1"/>
  <c r="AM881" i="10"/>
  <c r="AD881" i="10"/>
  <c r="W881" i="10"/>
  <c r="R881" i="10"/>
  <c r="S881" i="10" s="1"/>
  <c r="L881" i="10"/>
  <c r="BA880" i="10"/>
  <c r="AS880" i="10"/>
  <c r="BH880" i="10" s="1"/>
  <c r="BM880" i="10" s="1"/>
  <c r="AO880" i="10"/>
  <c r="AM880" i="10"/>
  <c r="AD880" i="10"/>
  <c r="AA880" i="10" s="1"/>
  <c r="W880" i="10"/>
  <c r="R880" i="10"/>
  <c r="S880" i="10" s="1"/>
  <c r="L880" i="10"/>
  <c r="BA879" i="10"/>
  <c r="AS879" i="10"/>
  <c r="AM879" i="10"/>
  <c r="AJ879" i="10" s="1"/>
  <c r="AD879" i="10"/>
  <c r="AV879" i="10" s="1"/>
  <c r="W879" i="10"/>
  <c r="R879" i="10"/>
  <c r="S879" i="10" s="1"/>
  <c r="L879" i="10"/>
  <c r="AS878" i="10"/>
  <c r="AM878" i="10"/>
  <c r="AJ878" i="10" s="1"/>
  <c r="AD878" i="10"/>
  <c r="AA878" i="10" s="1"/>
  <c r="W878" i="10"/>
  <c r="L878" i="10"/>
  <c r="AZ877" i="10"/>
  <c r="AR877" i="10"/>
  <c r="V877" i="10"/>
  <c r="Q877" i="10"/>
  <c r="K877" i="10"/>
  <c r="J877" i="10"/>
  <c r="L877" i="10" s="1"/>
  <c r="BA876" i="10"/>
  <c r="AS876" i="10"/>
  <c r="BH876" i="10" s="1"/>
  <c r="BM876" i="10" s="1"/>
  <c r="AM876" i="10"/>
  <c r="AD876" i="10"/>
  <c r="W876" i="10"/>
  <c r="R876" i="10"/>
  <c r="S876" i="10" s="1"/>
  <c r="L876" i="10"/>
  <c r="BA875" i="10"/>
  <c r="AS875" i="10"/>
  <c r="AM875" i="10"/>
  <c r="AJ875" i="10" s="1"/>
  <c r="AD875" i="10"/>
  <c r="W875" i="10"/>
  <c r="R875" i="10"/>
  <c r="S875" i="10" s="1"/>
  <c r="L875" i="10"/>
  <c r="BA874" i="10"/>
  <c r="AS874" i="10"/>
  <c r="AO874" i="10" s="1"/>
  <c r="AM874" i="10"/>
  <c r="AD874" i="10"/>
  <c r="AV874" i="10" s="1"/>
  <c r="W874" i="10"/>
  <c r="R874" i="10"/>
  <c r="S874" i="10" s="1"/>
  <c r="L874" i="10"/>
  <c r="BA873" i="10"/>
  <c r="AS873" i="10"/>
  <c r="AM873" i="10"/>
  <c r="AJ873" i="10" s="1"/>
  <c r="AD873" i="10"/>
  <c r="W873" i="10"/>
  <c r="R873" i="10"/>
  <c r="S873" i="10" s="1"/>
  <c r="L873" i="10"/>
  <c r="BA872" i="10"/>
  <c r="AS872" i="10"/>
  <c r="BH872" i="10" s="1"/>
  <c r="BM872" i="10" s="1"/>
  <c r="BO872" i="10" s="1"/>
  <c r="AM872" i="10"/>
  <c r="AD872" i="10"/>
  <c r="W872" i="10"/>
  <c r="R872" i="10"/>
  <c r="S872" i="10" s="1"/>
  <c r="L872" i="10"/>
  <c r="BA871" i="10"/>
  <c r="AS871" i="10"/>
  <c r="AM871" i="10"/>
  <c r="AJ871" i="10"/>
  <c r="AD871" i="10"/>
  <c r="AV871" i="10" s="1"/>
  <c r="W871" i="10"/>
  <c r="R871" i="10"/>
  <c r="S871" i="10" s="1"/>
  <c r="L871" i="10"/>
  <c r="BA870" i="10"/>
  <c r="AS870" i="10"/>
  <c r="AM870" i="10"/>
  <c r="AJ870" i="10"/>
  <c r="AD870" i="10"/>
  <c r="W870" i="10"/>
  <c r="R870" i="10"/>
  <c r="S870" i="10" s="1"/>
  <c r="L870" i="10"/>
  <c r="BA869" i="10"/>
  <c r="AS869" i="10"/>
  <c r="AM869" i="10"/>
  <c r="AD869" i="10"/>
  <c r="W869" i="10"/>
  <c r="R869" i="10"/>
  <c r="S869" i="10" s="1"/>
  <c r="L869" i="10"/>
  <c r="BA868" i="10"/>
  <c r="AS868" i="10"/>
  <c r="AM868" i="10"/>
  <c r="AJ868" i="10" s="1"/>
  <c r="AD868" i="10"/>
  <c r="AA868" i="10" s="1"/>
  <c r="W868" i="10"/>
  <c r="R868" i="10"/>
  <c r="S868" i="10" s="1"/>
  <c r="L868" i="10"/>
  <c r="BA867" i="10"/>
  <c r="AS867" i="10"/>
  <c r="AO867" i="10" s="1"/>
  <c r="AM867" i="10"/>
  <c r="AJ867" i="10" s="1"/>
  <c r="AD867" i="10"/>
  <c r="W867" i="10"/>
  <c r="R867" i="10"/>
  <c r="S867" i="10" s="1"/>
  <c r="L867" i="10"/>
  <c r="BA866" i="10"/>
  <c r="AS866" i="10"/>
  <c r="BH866" i="10" s="1"/>
  <c r="BM866" i="10" s="1"/>
  <c r="BO866" i="10" s="1"/>
  <c r="AM866" i="10"/>
  <c r="AJ866" i="10" s="1"/>
  <c r="AD866" i="10"/>
  <c r="AV866" i="10" s="1"/>
  <c r="W866" i="10"/>
  <c r="R866" i="10"/>
  <c r="S866" i="10" s="1"/>
  <c r="L866" i="10"/>
  <c r="BA865" i="10"/>
  <c r="AS865" i="10"/>
  <c r="AM865" i="10"/>
  <c r="AJ865" i="10"/>
  <c r="AD865" i="10"/>
  <c r="AV865" i="10" s="1"/>
  <c r="AA865" i="10"/>
  <c r="W865" i="10"/>
  <c r="R865" i="10"/>
  <c r="S865" i="10" s="1"/>
  <c r="L865" i="10"/>
  <c r="BA864" i="10"/>
  <c r="AS864" i="10"/>
  <c r="BO864" i="10" s="1"/>
  <c r="AM864" i="10"/>
  <c r="AJ864" i="10" s="1"/>
  <c r="AD864" i="10"/>
  <c r="AV864" i="10" s="1"/>
  <c r="W864" i="10"/>
  <c r="R864" i="10"/>
  <c r="S864" i="10" s="1"/>
  <c r="L864" i="10"/>
  <c r="BA863" i="10"/>
  <c r="AS863" i="10"/>
  <c r="AO863" i="10" s="1"/>
  <c r="AM863" i="10"/>
  <c r="AD863" i="10"/>
  <c r="W863" i="10"/>
  <c r="R863" i="10"/>
  <c r="S863" i="10" s="1"/>
  <c r="L863" i="10"/>
  <c r="BA862" i="10"/>
  <c r="AS862" i="10"/>
  <c r="AM862" i="10"/>
  <c r="AD862" i="10"/>
  <c r="AV862" i="10" s="1"/>
  <c r="AA862" i="10"/>
  <c r="W862" i="10"/>
  <c r="R862" i="10"/>
  <c r="S862" i="10" s="1"/>
  <c r="L862" i="10"/>
  <c r="BA861" i="10"/>
  <c r="AS861" i="10"/>
  <c r="AM861" i="10"/>
  <c r="AJ861" i="10"/>
  <c r="AD861" i="10"/>
  <c r="W861" i="10"/>
  <c r="R861" i="10"/>
  <c r="S861" i="10" s="1"/>
  <c r="L861" i="10"/>
  <c r="BA860" i="10"/>
  <c r="AS860" i="10"/>
  <c r="AO860" i="10" s="1"/>
  <c r="AM860" i="10"/>
  <c r="AD860" i="10"/>
  <c r="W860" i="10"/>
  <c r="R860" i="10"/>
  <c r="S860" i="10" s="1"/>
  <c r="L860" i="10"/>
  <c r="BA859" i="10"/>
  <c r="AS859" i="10"/>
  <c r="AM859" i="10"/>
  <c r="AD859" i="10"/>
  <c r="W859" i="10"/>
  <c r="R859" i="10"/>
  <c r="S859" i="10" s="1"/>
  <c r="L859" i="10"/>
  <c r="BA858" i="10"/>
  <c r="AS858" i="10"/>
  <c r="AM858" i="10"/>
  <c r="AD858" i="10"/>
  <c r="W858" i="10"/>
  <c r="R858" i="10"/>
  <c r="S858" i="10" s="1"/>
  <c r="L858" i="10"/>
  <c r="BA857" i="10"/>
  <c r="AS857" i="10"/>
  <c r="BO857" i="10" s="1"/>
  <c r="AO857" i="10"/>
  <c r="AM857" i="10"/>
  <c r="AD857" i="10"/>
  <c r="AV857" i="10" s="1"/>
  <c r="AA857" i="10"/>
  <c r="W857" i="10"/>
  <c r="R857" i="10"/>
  <c r="S857" i="10" s="1"/>
  <c r="L857" i="10"/>
  <c r="BA856" i="10"/>
  <c r="AS856" i="10"/>
  <c r="AM856" i="10"/>
  <c r="AJ856" i="10" s="1"/>
  <c r="AD856" i="10"/>
  <c r="AV856" i="10" s="1"/>
  <c r="W856" i="10"/>
  <c r="R856" i="10"/>
  <c r="S856" i="10" s="1"/>
  <c r="L856" i="10"/>
  <c r="BA855" i="10"/>
  <c r="AS855" i="10"/>
  <c r="AM855" i="10"/>
  <c r="AJ855" i="10" s="1"/>
  <c r="AD855" i="10"/>
  <c r="AA855" i="10" s="1"/>
  <c r="W855" i="10"/>
  <c r="R855" i="10"/>
  <c r="S855" i="10" s="1"/>
  <c r="L855" i="10"/>
  <c r="BA854" i="10"/>
  <c r="AS854" i="10"/>
  <c r="AM854" i="10"/>
  <c r="AJ854" i="10" s="1"/>
  <c r="AD854" i="10"/>
  <c r="AA854" i="10" s="1"/>
  <c r="W854" i="10"/>
  <c r="R854" i="10"/>
  <c r="S854" i="10" s="1"/>
  <c r="L854" i="10"/>
  <c r="BA853" i="10"/>
  <c r="AS853" i="10"/>
  <c r="BO853" i="10" s="1"/>
  <c r="AM853" i="10"/>
  <c r="AD853" i="10"/>
  <c r="W853" i="10"/>
  <c r="R853" i="10"/>
  <c r="S853" i="10" s="1"/>
  <c r="L853" i="10"/>
  <c r="BA852" i="10"/>
  <c r="AS852" i="10"/>
  <c r="AM852" i="10"/>
  <c r="AD852" i="10"/>
  <c r="W852" i="10"/>
  <c r="R852" i="10"/>
  <c r="S852" i="10" s="1"/>
  <c r="L852" i="10"/>
  <c r="BA851" i="10"/>
  <c r="AS851" i="10"/>
  <c r="AM851" i="10"/>
  <c r="AJ851" i="10" s="1"/>
  <c r="AD851" i="10"/>
  <c r="AV851" i="10" s="1"/>
  <c r="W851" i="10"/>
  <c r="R851" i="10"/>
  <c r="S851" i="10" s="1"/>
  <c r="L851" i="10"/>
  <c r="BA850" i="10"/>
  <c r="AS850" i="10"/>
  <c r="AM850" i="10"/>
  <c r="AJ850" i="10" s="1"/>
  <c r="AD850" i="10"/>
  <c r="AV850" i="10" s="1"/>
  <c r="AA850" i="10"/>
  <c r="W850" i="10"/>
  <c r="R850" i="10"/>
  <c r="S850" i="10" s="1"/>
  <c r="L850" i="10"/>
  <c r="BA849" i="10"/>
  <c r="AS849" i="10"/>
  <c r="AM849" i="10"/>
  <c r="AJ849" i="10" s="1"/>
  <c r="AD849" i="10"/>
  <c r="W849" i="10"/>
  <c r="R849" i="10"/>
  <c r="S849" i="10" s="1"/>
  <c r="L849" i="10"/>
  <c r="BA848" i="10"/>
  <c r="AS848" i="10"/>
  <c r="BH848" i="10" s="1"/>
  <c r="BM848" i="10" s="1"/>
  <c r="BO848" i="10" s="1"/>
  <c r="AM848" i="10"/>
  <c r="AJ848" i="10" s="1"/>
  <c r="AD848" i="10"/>
  <c r="W848" i="10"/>
  <c r="R848" i="10"/>
  <c r="S848" i="10" s="1"/>
  <c r="L848" i="10"/>
  <c r="BA847" i="10"/>
  <c r="AS847" i="10"/>
  <c r="BH847" i="10" s="1"/>
  <c r="BM847" i="10" s="1"/>
  <c r="BO847" i="10" s="1"/>
  <c r="AO847" i="10"/>
  <c r="AM847" i="10"/>
  <c r="AJ847" i="10" s="1"/>
  <c r="AD847" i="10"/>
  <c r="AV847" i="10" s="1"/>
  <c r="W847" i="10"/>
  <c r="R847" i="10"/>
  <c r="S847" i="10" s="1"/>
  <c r="L847" i="10"/>
  <c r="BA846" i="10"/>
  <c r="AS846" i="10"/>
  <c r="AM846" i="10"/>
  <c r="AJ846" i="10" s="1"/>
  <c r="AD846" i="10"/>
  <c r="AA846" i="10" s="1"/>
  <c r="W846" i="10"/>
  <c r="R846" i="10"/>
  <c r="S846" i="10" s="1"/>
  <c r="L846" i="10"/>
  <c r="BA845" i="10"/>
  <c r="AS845" i="10"/>
  <c r="AM845" i="10"/>
  <c r="AJ845" i="10"/>
  <c r="AD845" i="10"/>
  <c r="AV845" i="10" s="1"/>
  <c r="W845" i="10"/>
  <c r="R845" i="10"/>
  <c r="S845" i="10" s="1"/>
  <c r="L845" i="10"/>
  <c r="BA844" i="10"/>
  <c r="AS844" i="10"/>
  <c r="AM844" i="10"/>
  <c r="AD844" i="10"/>
  <c r="AV844" i="10" s="1"/>
  <c r="AA844" i="10"/>
  <c r="W844" i="10"/>
  <c r="R844" i="10"/>
  <c r="S844" i="10" s="1"/>
  <c r="L844" i="10"/>
  <c r="BA843" i="10"/>
  <c r="AS843" i="10"/>
  <c r="AO843" i="10" s="1"/>
  <c r="AM843" i="10"/>
  <c r="AD843" i="10"/>
  <c r="W843" i="10"/>
  <c r="R843" i="10"/>
  <c r="S843" i="10" s="1"/>
  <c r="L843" i="10"/>
  <c r="BA842" i="10"/>
  <c r="AS842" i="10"/>
  <c r="AM842" i="10"/>
  <c r="AJ842" i="10" s="1"/>
  <c r="AD842" i="10"/>
  <c r="W842" i="10"/>
  <c r="R842" i="10"/>
  <c r="S842" i="10" s="1"/>
  <c r="L842" i="10"/>
  <c r="BA841" i="10"/>
  <c r="AS841" i="10"/>
  <c r="AM841" i="10"/>
  <c r="AJ841" i="10" s="1"/>
  <c r="AD841" i="10"/>
  <c r="AV841" i="10" s="1"/>
  <c r="W841" i="10"/>
  <c r="R841" i="10"/>
  <c r="S841" i="10" s="1"/>
  <c r="L841" i="10"/>
  <c r="BA840" i="10"/>
  <c r="AS840" i="10"/>
  <c r="AO840" i="10" s="1"/>
  <c r="AM840" i="10"/>
  <c r="AD840" i="10"/>
  <c r="AV840" i="10" s="1"/>
  <c r="W840" i="10"/>
  <c r="R840" i="10"/>
  <c r="S840" i="10" s="1"/>
  <c r="L840" i="10"/>
  <c r="BA839" i="10"/>
  <c r="AS839" i="10"/>
  <c r="AM839" i="10"/>
  <c r="AJ839" i="10"/>
  <c r="AD839" i="10"/>
  <c r="AA839" i="10" s="1"/>
  <c r="W839" i="10"/>
  <c r="R839" i="10"/>
  <c r="S839" i="10" s="1"/>
  <c r="L839" i="10"/>
  <c r="BA838" i="10"/>
  <c r="AS838" i="10"/>
  <c r="AM838" i="10"/>
  <c r="AD838" i="10"/>
  <c r="W838" i="10"/>
  <c r="R838" i="10"/>
  <c r="S838" i="10" s="1"/>
  <c r="L838" i="10"/>
  <c r="BA837" i="10"/>
  <c r="AS837" i="10"/>
  <c r="AO837" i="10" s="1"/>
  <c r="AM837" i="10"/>
  <c r="AJ837" i="10" s="1"/>
  <c r="AD837" i="10"/>
  <c r="W837" i="10"/>
  <c r="R837" i="10"/>
  <c r="S837" i="10" s="1"/>
  <c r="L837" i="10"/>
  <c r="BA836" i="10"/>
  <c r="AS836" i="10"/>
  <c r="AM836" i="10"/>
  <c r="AJ836" i="10" s="1"/>
  <c r="AD836" i="10"/>
  <c r="W836" i="10"/>
  <c r="R836" i="10"/>
  <c r="S836" i="10" s="1"/>
  <c r="L836" i="10"/>
  <c r="BA835" i="10"/>
  <c r="AS835" i="10"/>
  <c r="AM835" i="10"/>
  <c r="AJ835" i="10" s="1"/>
  <c r="AD835" i="10"/>
  <c r="AV835" i="10" s="1"/>
  <c r="AA835" i="10"/>
  <c r="W835" i="10"/>
  <c r="R835" i="10"/>
  <c r="S835" i="10" s="1"/>
  <c r="L835" i="10"/>
  <c r="BA834" i="10"/>
  <c r="AS834" i="10"/>
  <c r="AO834" i="10"/>
  <c r="AM834" i="10"/>
  <c r="AJ834" i="10" s="1"/>
  <c r="AD834" i="10"/>
  <c r="W834" i="10"/>
  <c r="R834" i="10"/>
  <c r="S834" i="10" s="1"/>
  <c r="L834" i="10"/>
  <c r="BA833" i="10"/>
  <c r="AS833" i="10"/>
  <c r="AM833" i="10"/>
  <c r="AD833" i="10"/>
  <c r="W833" i="10"/>
  <c r="R833" i="10"/>
  <c r="S833" i="10" s="1"/>
  <c r="L833" i="10"/>
  <c r="BA832" i="10"/>
  <c r="AS832" i="10"/>
  <c r="AM832" i="10"/>
  <c r="AJ832" i="10" s="1"/>
  <c r="AD832" i="10"/>
  <c r="W832" i="10"/>
  <c r="R832" i="10"/>
  <c r="S832" i="10" s="1"/>
  <c r="L832" i="10"/>
  <c r="BA831" i="10"/>
  <c r="AS831" i="10"/>
  <c r="AM831" i="10"/>
  <c r="AJ831" i="10" s="1"/>
  <c r="AD831" i="10"/>
  <c r="W831" i="10"/>
  <c r="R831" i="10"/>
  <c r="S831" i="10" s="1"/>
  <c r="L831" i="10"/>
  <c r="BA830" i="10"/>
  <c r="AS830" i="10"/>
  <c r="AM830" i="10"/>
  <c r="AJ830" i="10" s="1"/>
  <c r="AD830" i="10"/>
  <c r="W830" i="10"/>
  <c r="R830" i="10"/>
  <c r="S830" i="10" s="1"/>
  <c r="L830" i="10"/>
  <c r="BA829" i="10"/>
  <c r="AS829" i="10"/>
  <c r="AM829" i="10"/>
  <c r="AJ829" i="10" s="1"/>
  <c r="AD829" i="10"/>
  <c r="AU829" i="10" s="1"/>
  <c r="W829" i="10"/>
  <c r="R829" i="10"/>
  <c r="S829" i="10" s="1"/>
  <c r="L829" i="10"/>
  <c r="BA828" i="10"/>
  <c r="AS828" i="10"/>
  <c r="AM828" i="10"/>
  <c r="AJ828" i="10" s="1"/>
  <c r="AD828" i="10"/>
  <c r="AA828" i="10" s="1"/>
  <c r="W828" i="10"/>
  <c r="R828" i="10"/>
  <c r="S828" i="10" s="1"/>
  <c r="L828" i="10"/>
  <c r="BA827" i="10"/>
  <c r="AS827" i="10"/>
  <c r="AO827" i="10" s="1"/>
  <c r="AM827" i="10"/>
  <c r="AJ827" i="10" s="1"/>
  <c r="AD827" i="10"/>
  <c r="AV827" i="10" s="1"/>
  <c r="AA827" i="10"/>
  <c r="W827" i="10"/>
  <c r="R827" i="10"/>
  <c r="S827" i="10" s="1"/>
  <c r="L827" i="10"/>
  <c r="BA826" i="10"/>
  <c r="AS826" i="10"/>
  <c r="AO826" i="10" s="1"/>
  <c r="AM826" i="10"/>
  <c r="AD826" i="10"/>
  <c r="AV826" i="10" s="1"/>
  <c r="W826" i="10"/>
  <c r="R826" i="10"/>
  <c r="S826" i="10" s="1"/>
  <c r="L826" i="10"/>
  <c r="BA825" i="10"/>
  <c r="AS825" i="10"/>
  <c r="AO825" i="10" s="1"/>
  <c r="AM825" i="10"/>
  <c r="AJ825" i="10" s="1"/>
  <c r="AD825" i="10"/>
  <c r="W825" i="10"/>
  <c r="R825" i="10"/>
  <c r="S825" i="10" s="1"/>
  <c r="L825" i="10"/>
  <c r="BA824" i="10"/>
  <c r="AS824" i="10"/>
  <c r="AM824" i="10"/>
  <c r="AJ824" i="10" s="1"/>
  <c r="AD824" i="10"/>
  <c r="W824" i="10"/>
  <c r="R824" i="10"/>
  <c r="S824" i="10" s="1"/>
  <c r="L824" i="10"/>
  <c r="BA823" i="10"/>
  <c r="AS823" i="10"/>
  <c r="AO823" i="10" s="1"/>
  <c r="AM823" i="10"/>
  <c r="AD823" i="10"/>
  <c r="AV823" i="10" s="1"/>
  <c r="W823" i="10"/>
  <c r="R823" i="10"/>
  <c r="S823" i="10" s="1"/>
  <c r="L823" i="10"/>
  <c r="BA822" i="10"/>
  <c r="AS822" i="10"/>
  <c r="AM822" i="10"/>
  <c r="AD822" i="10"/>
  <c r="W822" i="10"/>
  <c r="R822" i="10"/>
  <c r="S822" i="10" s="1"/>
  <c r="L822" i="10"/>
  <c r="BA821" i="10"/>
  <c r="AS821" i="10"/>
  <c r="AO821" i="10"/>
  <c r="AM821" i="10"/>
  <c r="AJ821" i="10" s="1"/>
  <c r="AD821" i="10"/>
  <c r="W821" i="10"/>
  <c r="R821" i="10"/>
  <c r="S821" i="10" s="1"/>
  <c r="L821" i="10"/>
  <c r="BA820" i="10"/>
  <c r="AS820" i="10"/>
  <c r="AM820" i="10"/>
  <c r="AD820" i="10"/>
  <c r="W820" i="10"/>
  <c r="R820" i="10"/>
  <c r="S820" i="10" s="1"/>
  <c r="L820" i="10"/>
  <c r="BA819" i="10"/>
  <c r="AS819" i="10"/>
  <c r="AO819" i="10" s="1"/>
  <c r="AM819" i="10"/>
  <c r="AD819" i="10"/>
  <c r="W819" i="10"/>
  <c r="R819" i="10"/>
  <c r="S819" i="10" s="1"/>
  <c r="L819" i="10"/>
  <c r="BA818" i="10"/>
  <c r="AS818" i="10"/>
  <c r="AO818" i="10" s="1"/>
  <c r="AM818" i="10"/>
  <c r="AD818" i="10"/>
  <c r="W818" i="10"/>
  <c r="R818" i="10"/>
  <c r="S818" i="10" s="1"/>
  <c r="L818" i="10"/>
  <c r="BA817" i="10"/>
  <c r="AS817" i="10"/>
  <c r="AM817" i="10"/>
  <c r="AD817" i="10"/>
  <c r="W817" i="10"/>
  <c r="R817" i="10"/>
  <c r="S817" i="10" s="1"/>
  <c r="L817" i="10"/>
  <c r="BA816" i="10"/>
  <c r="AS816" i="10"/>
  <c r="AM816" i="10"/>
  <c r="AD816" i="10"/>
  <c r="AV816" i="10" s="1"/>
  <c r="AA816" i="10"/>
  <c r="W816" i="10"/>
  <c r="R816" i="10"/>
  <c r="S816" i="10" s="1"/>
  <c r="L816" i="10"/>
  <c r="BA815" i="10"/>
  <c r="AS815" i="10"/>
  <c r="BO815" i="10" s="1"/>
  <c r="AO815" i="10"/>
  <c r="AM815" i="10"/>
  <c r="AN815" i="10" s="1"/>
  <c r="AD815" i="10"/>
  <c r="W815" i="10"/>
  <c r="R815" i="10"/>
  <c r="S815" i="10" s="1"/>
  <c r="L815" i="10"/>
  <c r="BA814" i="10"/>
  <c r="AS814" i="10"/>
  <c r="AO814" i="10" s="1"/>
  <c r="AM814" i="10"/>
  <c r="AJ814" i="10"/>
  <c r="AD814" i="10"/>
  <c r="AA814" i="10" s="1"/>
  <c r="W814" i="10"/>
  <c r="R814" i="10"/>
  <c r="S814" i="10" s="1"/>
  <c r="L814" i="10"/>
  <c r="BA813" i="10"/>
  <c r="AS813" i="10"/>
  <c r="AO813" i="10" s="1"/>
  <c r="AM813" i="10"/>
  <c r="AJ813" i="10"/>
  <c r="AD813" i="10"/>
  <c r="AA813" i="10" s="1"/>
  <c r="W813" i="10"/>
  <c r="R813" i="10"/>
  <c r="S813" i="10" s="1"/>
  <c r="L813" i="10"/>
  <c r="BA812" i="10"/>
  <c r="AS812" i="10"/>
  <c r="AM812" i="10"/>
  <c r="AJ812" i="10" s="1"/>
  <c r="AD812" i="10"/>
  <c r="AA812" i="10" s="1"/>
  <c r="W812" i="10"/>
  <c r="R812" i="10"/>
  <c r="S812" i="10" s="1"/>
  <c r="L812" i="10"/>
  <c r="BA811" i="10"/>
  <c r="AS811" i="10"/>
  <c r="AO811" i="10" s="1"/>
  <c r="AM811" i="10"/>
  <c r="AJ811" i="10" s="1"/>
  <c r="AD811" i="10"/>
  <c r="AV811" i="10" s="1"/>
  <c r="AA811" i="10"/>
  <c r="W811" i="10"/>
  <c r="R811" i="10"/>
  <c r="S811" i="10" s="1"/>
  <c r="L811" i="10"/>
  <c r="BA810" i="10"/>
  <c r="AS810" i="10"/>
  <c r="AM810" i="10"/>
  <c r="AD810" i="10"/>
  <c r="AV810" i="10" s="1"/>
  <c r="AA810" i="10"/>
  <c r="W810" i="10"/>
  <c r="R810" i="10"/>
  <c r="S810" i="10" s="1"/>
  <c r="L810" i="10"/>
  <c r="BA809" i="10"/>
  <c r="AS809" i="10"/>
  <c r="AM809" i="10"/>
  <c r="AD809" i="10"/>
  <c r="AA809" i="10" s="1"/>
  <c r="W809" i="10"/>
  <c r="R809" i="10"/>
  <c r="S809" i="10" s="1"/>
  <c r="L809" i="10"/>
  <c r="BA808" i="10"/>
  <c r="AS808" i="10"/>
  <c r="AM808" i="10"/>
  <c r="AD808" i="10"/>
  <c r="W808" i="10"/>
  <c r="R808" i="10"/>
  <c r="S808" i="10" s="1"/>
  <c r="L808" i="10"/>
  <c r="BA807" i="10"/>
  <c r="AS807" i="10"/>
  <c r="AM807" i="10"/>
  <c r="AJ807" i="10"/>
  <c r="AD807" i="10"/>
  <c r="W807" i="10"/>
  <c r="R807" i="10"/>
  <c r="S807" i="10" s="1"/>
  <c r="L807" i="10"/>
  <c r="BA806" i="10"/>
  <c r="AS806" i="10"/>
  <c r="AM806" i="10"/>
  <c r="AD806" i="10"/>
  <c r="W806" i="10"/>
  <c r="R806" i="10"/>
  <c r="S806" i="10" s="1"/>
  <c r="L806" i="10"/>
  <c r="BA805" i="10"/>
  <c r="AS805" i="10"/>
  <c r="AM805" i="10"/>
  <c r="AJ805" i="10"/>
  <c r="AD805" i="10"/>
  <c r="AV805" i="10" s="1"/>
  <c r="W805" i="10"/>
  <c r="R805" i="10"/>
  <c r="S805" i="10" s="1"/>
  <c r="L805" i="10"/>
  <c r="BA804" i="10"/>
  <c r="AS804" i="10"/>
  <c r="AM804" i="10"/>
  <c r="AJ804" i="10" s="1"/>
  <c r="AD804" i="10"/>
  <c r="W804" i="10"/>
  <c r="R804" i="10"/>
  <c r="S804" i="10" s="1"/>
  <c r="L804" i="10"/>
  <c r="BA803" i="10"/>
  <c r="AS803" i="10"/>
  <c r="BO803" i="10" s="1"/>
  <c r="AM803" i="10"/>
  <c r="AJ803" i="10" s="1"/>
  <c r="AD803" i="10"/>
  <c r="W803" i="10"/>
  <c r="R803" i="10"/>
  <c r="S803" i="10" s="1"/>
  <c r="L803" i="10"/>
  <c r="BA802" i="10"/>
  <c r="AS802" i="10"/>
  <c r="AO802" i="10" s="1"/>
  <c r="AM802" i="10"/>
  <c r="AJ802" i="10" s="1"/>
  <c r="AD802" i="10"/>
  <c r="W802" i="10"/>
  <c r="R802" i="10"/>
  <c r="S802" i="10" s="1"/>
  <c r="L802" i="10"/>
  <c r="BA801" i="10"/>
  <c r="AS801" i="10"/>
  <c r="AM801" i="10"/>
  <c r="AD801" i="10"/>
  <c r="W801" i="10"/>
  <c r="R801" i="10"/>
  <c r="S801" i="10" s="1"/>
  <c r="L801" i="10"/>
  <c r="BA800" i="10"/>
  <c r="AS800" i="10"/>
  <c r="AO800" i="10"/>
  <c r="AM800" i="10"/>
  <c r="AJ800" i="10" s="1"/>
  <c r="AD800" i="10"/>
  <c r="AV800" i="10" s="1"/>
  <c r="AA800" i="10"/>
  <c r="W800" i="10"/>
  <c r="R800" i="10"/>
  <c r="S800" i="10" s="1"/>
  <c r="L800" i="10"/>
  <c r="BA799" i="10"/>
  <c r="AS799" i="10"/>
  <c r="BO799" i="10" s="1"/>
  <c r="AM799" i="10"/>
  <c r="AJ799" i="10"/>
  <c r="AD799" i="10"/>
  <c r="AV799" i="10" s="1"/>
  <c r="W799" i="10"/>
  <c r="R799" i="10"/>
  <c r="S799" i="10" s="1"/>
  <c r="L799" i="10"/>
  <c r="BA798" i="10"/>
  <c r="AS798" i="10"/>
  <c r="BO798" i="10" s="1"/>
  <c r="AM798" i="10"/>
  <c r="AJ798" i="10"/>
  <c r="AD798" i="10"/>
  <c r="AV798" i="10" s="1"/>
  <c r="W798" i="10"/>
  <c r="R798" i="10"/>
  <c r="S798" i="10" s="1"/>
  <c r="L798" i="10"/>
  <c r="BA797" i="10"/>
  <c r="AS797" i="10"/>
  <c r="AM797" i="10"/>
  <c r="AD797" i="10"/>
  <c r="W797" i="10"/>
  <c r="R797" i="10"/>
  <c r="S797" i="10" s="1"/>
  <c r="L797" i="10"/>
  <c r="BA796" i="10"/>
  <c r="AS796" i="10"/>
  <c r="AM796" i="10"/>
  <c r="AJ796" i="10" s="1"/>
  <c r="AD796" i="10"/>
  <c r="W796" i="10"/>
  <c r="R796" i="10"/>
  <c r="S796" i="10" s="1"/>
  <c r="L796" i="10"/>
  <c r="BA795" i="10"/>
  <c r="AS795" i="10"/>
  <c r="AO795" i="10" s="1"/>
  <c r="AM795" i="10"/>
  <c r="AD795" i="10"/>
  <c r="W795" i="10"/>
  <c r="R795" i="10"/>
  <c r="S795" i="10" s="1"/>
  <c r="L795" i="10"/>
  <c r="BA794" i="10"/>
  <c r="AS794" i="10"/>
  <c r="AM794" i="10"/>
  <c r="AD794" i="10"/>
  <c r="W794" i="10"/>
  <c r="R794" i="10"/>
  <c r="S794" i="10" s="1"/>
  <c r="L794" i="10"/>
  <c r="BA793" i="10"/>
  <c r="AS793" i="10"/>
  <c r="AM793" i="10"/>
  <c r="AD793" i="10"/>
  <c r="AV793" i="10" s="1"/>
  <c r="W793" i="10"/>
  <c r="R793" i="10"/>
  <c r="S793" i="10" s="1"/>
  <c r="L793" i="10"/>
  <c r="BA792" i="10"/>
  <c r="AS792" i="10"/>
  <c r="AM792" i="10"/>
  <c r="AD792" i="10"/>
  <c r="W792" i="10"/>
  <c r="R792" i="10"/>
  <c r="S792" i="10" s="1"/>
  <c r="L792" i="10"/>
  <c r="BA791" i="10"/>
  <c r="AS791" i="10"/>
  <c r="AM791" i="10"/>
  <c r="AJ791" i="10" s="1"/>
  <c r="AD791" i="10"/>
  <c r="W791" i="10"/>
  <c r="R791" i="10"/>
  <c r="S791" i="10" s="1"/>
  <c r="L791" i="10"/>
  <c r="BA790" i="10"/>
  <c r="AS790" i="10"/>
  <c r="AO790" i="10" s="1"/>
  <c r="AM790" i="10"/>
  <c r="AJ790" i="10" s="1"/>
  <c r="AD790" i="10"/>
  <c r="AA790" i="10" s="1"/>
  <c r="W790" i="10"/>
  <c r="R790" i="10"/>
  <c r="S790" i="10" s="1"/>
  <c r="L790" i="10"/>
  <c r="AM789" i="10"/>
  <c r="AJ789" i="10" s="1"/>
  <c r="AD789" i="10"/>
  <c r="W789" i="10"/>
  <c r="R789" i="10"/>
  <c r="S789" i="10" s="1"/>
  <c r="L789" i="10"/>
  <c r="AZ788" i="10"/>
  <c r="AR788" i="10"/>
  <c r="V788" i="10"/>
  <c r="Q788" i="10"/>
  <c r="K788" i="10"/>
  <c r="J788" i="10"/>
  <c r="BA787" i="10"/>
  <c r="AS787" i="10"/>
  <c r="AM787" i="10"/>
  <c r="AJ787" i="10" s="1"/>
  <c r="AD787" i="10"/>
  <c r="AA787" i="10"/>
  <c r="W787" i="10"/>
  <c r="R787" i="10"/>
  <c r="S787" i="10" s="1"/>
  <c r="L787" i="10"/>
  <c r="BA786" i="10"/>
  <c r="AS786" i="10"/>
  <c r="AM786" i="10"/>
  <c r="AJ786" i="10" s="1"/>
  <c r="AD786" i="10"/>
  <c r="AA786" i="10" s="1"/>
  <c r="W786" i="10"/>
  <c r="R786" i="10"/>
  <c r="S786" i="10" s="1"/>
  <c r="L786" i="10"/>
  <c r="BA785" i="10"/>
  <c r="AS785" i="10"/>
  <c r="AO785" i="10" s="1"/>
  <c r="AM785" i="10"/>
  <c r="AD785" i="10"/>
  <c r="L785" i="10"/>
  <c r="BA784" i="10"/>
  <c r="AS784" i="10"/>
  <c r="AM784" i="10"/>
  <c r="AN784" i="10" s="1"/>
  <c r="AJ784" i="10"/>
  <c r="AD784" i="10"/>
  <c r="W784" i="10"/>
  <c r="R784" i="10"/>
  <c r="S784" i="10" s="1"/>
  <c r="L784" i="10"/>
  <c r="BA783" i="10"/>
  <c r="AS783" i="10"/>
  <c r="AM783" i="10"/>
  <c r="AD783" i="10"/>
  <c r="W783" i="10"/>
  <c r="R783" i="10"/>
  <c r="S783" i="10" s="1"/>
  <c r="L783" i="10"/>
  <c r="BA782" i="10"/>
  <c r="AS782" i="10"/>
  <c r="AM782" i="10"/>
  <c r="AD782" i="10"/>
  <c r="L782" i="10"/>
  <c r="BA781" i="10"/>
  <c r="AS781" i="10"/>
  <c r="AM781" i="10"/>
  <c r="AD781" i="10"/>
  <c r="AV781" i="10" s="1"/>
  <c r="W781" i="10"/>
  <c r="R781" i="10"/>
  <c r="S781" i="10" s="1"/>
  <c r="L781" i="10"/>
  <c r="BA780" i="10"/>
  <c r="AS780" i="10"/>
  <c r="AM780" i="10"/>
  <c r="AJ780" i="10" s="1"/>
  <c r="AD780" i="10"/>
  <c r="AA780" i="10" s="1"/>
  <c r="W780" i="10"/>
  <c r="R780" i="10"/>
  <c r="S780" i="10" s="1"/>
  <c r="L780" i="10"/>
  <c r="BA779" i="10"/>
  <c r="AS779" i="10"/>
  <c r="AM779" i="10"/>
  <c r="AD779" i="10"/>
  <c r="AV779" i="10" s="1"/>
  <c r="AA779" i="10"/>
  <c r="W779" i="10"/>
  <c r="R779" i="10"/>
  <c r="S779" i="10" s="1"/>
  <c r="L779" i="10"/>
  <c r="BA778" i="10"/>
  <c r="AS778" i="10"/>
  <c r="AM778" i="10"/>
  <c r="AJ778" i="10" s="1"/>
  <c r="AD778" i="10"/>
  <c r="W778" i="10"/>
  <c r="R778" i="10"/>
  <c r="S778" i="10" s="1"/>
  <c r="L778" i="10"/>
  <c r="BA777" i="10"/>
  <c r="AS777" i="10"/>
  <c r="AM777" i="10"/>
  <c r="AD777" i="10"/>
  <c r="W777" i="10"/>
  <c r="R777" i="10"/>
  <c r="S777" i="10" s="1"/>
  <c r="L777" i="10"/>
  <c r="BA776" i="10"/>
  <c r="AS776" i="10"/>
  <c r="AM776" i="10"/>
  <c r="AD776" i="10"/>
  <c r="AV776" i="10" s="1"/>
  <c r="W776" i="10"/>
  <c r="R776" i="10"/>
  <c r="S776" i="10" s="1"/>
  <c r="L776" i="10"/>
  <c r="BA775" i="10"/>
  <c r="AS775" i="10"/>
  <c r="AM775" i="10"/>
  <c r="AJ775" i="10" s="1"/>
  <c r="AD775" i="10"/>
  <c r="AA775" i="10" s="1"/>
  <c r="W775" i="10"/>
  <c r="R775" i="10"/>
  <c r="S775" i="10" s="1"/>
  <c r="L775" i="10"/>
  <c r="BA774" i="10"/>
  <c r="AS774" i="10"/>
  <c r="AM774" i="10"/>
  <c r="AJ774" i="10" s="1"/>
  <c r="AD774" i="10"/>
  <c r="AV774" i="10" s="1"/>
  <c r="AA774" i="10"/>
  <c r="W774" i="10"/>
  <c r="R774" i="10"/>
  <c r="S774" i="10" s="1"/>
  <c r="L774" i="10"/>
  <c r="BA773" i="10"/>
  <c r="AS773" i="10"/>
  <c r="AM773" i="10"/>
  <c r="AJ773" i="10" s="1"/>
  <c r="AD773" i="10"/>
  <c r="W773" i="10"/>
  <c r="R773" i="10"/>
  <c r="S773" i="10" s="1"/>
  <c r="L773" i="10"/>
  <c r="BA772" i="10"/>
  <c r="AS772" i="10"/>
  <c r="AM772" i="10"/>
  <c r="AD772" i="10"/>
  <c r="AA772" i="10" s="1"/>
  <c r="W772" i="10"/>
  <c r="R772" i="10"/>
  <c r="S772" i="10" s="1"/>
  <c r="L772" i="10"/>
  <c r="BA771" i="10"/>
  <c r="AS771" i="10"/>
  <c r="AO771" i="10" s="1"/>
  <c r="AM771" i="10"/>
  <c r="AJ771" i="10"/>
  <c r="AD771" i="10"/>
  <c r="AV771" i="10" s="1"/>
  <c r="AA771" i="10"/>
  <c r="W771" i="10"/>
  <c r="R771" i="10"/>
  <c r="S771" i="10" s="1"/>
  <c r="L771" i="10"/>
  <c r="BA770" i="10"/>
  <c r="AS770" i="10"/>
  <c r="BH770" i="10" s="1"/>
  <c r="BM770" i="10" s="1"/>
  <c r="BO770" i="10" s="1"/>
  <c r="AM770" i="10"/>
  <c r="AJ770" i="10"/>
  <c r="AD770" i="10"/>
  <c r="AV770" i="10" s="1"/>
  <c r="AA770" i="10"/>
  <c r="W770" i="10"/>
  <c r="R770" i="10"/>
  <c r="S770" i="10" s="1"/>
  <c r="L770" i="10"/>
  <c r="BA769" i="10"/>
  <c r="AS769" i="10"/>
  <c r="AM769" i="10"/>
  <c r="AJ769" i="10"/>
  <c r="AD769" i="10"/>
  <c r="W769" i="10"/>
  <c r="R769" i="10"/>
  <c r="S769" i="10" s="1"/>
  <c r="L769" i="10"/>
  <c r="BA768" i="10"/>
  <c r="AS768" i="10"/>
  <c r="AM768" i="10"/>
  <c r="AD768" i="10"/>
  <c r="W768" i="10"/>
  <c r="R768" i="10"/>
  <c r="S768" i="10" s="1"/>
  <c r="L768" i="10"/>
  <c r="BA767" i="10"/>
  <c r="AS767" i="10"/>
  <c r="BH767" i="10" s="1"/>
  <c r="BM767" i="10" s="1"/>
  <c r="BO767" i="10" s="1"/>
  <c r="AM767" i="10"/>
  <c r="AJ767" i="10"/>
  <c r="AD767" i="10"/>
  <c r="AV767" i="10" s="1"/>
  <c r="AA767" i="10"/>
  <c r="W767" i="10"/>
  <c r="R767" i="10"/>
  <c r="S767" i="10" s="1"/>
  <c r="L767" i="10"/>
  <c r="BA766" i="10"/>
  <c r="AS766" i="10"/>
  <c r="AO766" i="10" s="1"/>
  <c r="AM766" i="10"/>
  <c r="AD766" i="10"/>
  <c r="AV766" i="10" s="1"/>
  <c r="AA766" i="10"/>
  <c r="W766" i="10"/>
  <c r="R766" i="10"/>
  <c r="S766" i="10" s="1"/>
  <c r="L766" i="10"/>
  <c r="BA765" i="10"/>
  <c r="AS765" i="10"/>
  <c r="BH765" i="10" s="1"/>
  <c r="BM765" i="10" s="1"/>
  <c r="BO765" i="10" s="1"/>
  <c r="AM765" i="10"/>
  <c r="AJ765" i="10" s="1"/>
  <c r="AD765" i="10"/>
  <c r="W765" i="10"/>
  <c r="R765" i="10"/>
  <c r="S765" i="10" s="1"/>
  <c r="L765" i="10"/>
  <c r="BA764" i="10"/>
  <c r="AS764" i="10"/>
  <c r="AM764" i="10"/>
  <c r="AJ764" i="10" s="1"/>
  <c r="AD764" i="10"/>
  <c r="AV764" i="10" s="1"/>
  <c r="W764" i="10"/>
  <c r="R764" i="10"/>
  <c r="S764" i="10" s="1"/>
  <c r="L764" i="10"/>
  <c r="BA763" i="10"/>
  <c r="AS763" i="10"/>
  <c r="AM763" i="10"/>
  <c r="AJ763" i="10" s="1"/>
  <c r="AD763" i="10"/>
  <c r="AV763" i="10" s="1"/>
  <c r="W763" i="10"/>
  <c r="R763" i="10"/>
  <c r="S763" i="10" s="1"/>
  <c r="L763" i="10"/>
  <c r="BA762" i="10"/>
  <c r="AS762" i="10"/>
  <c r="AM762" i="10"/>
  <c r="AJ762" i="10" s="1"/>
  <c r="AD762" i="10"/>
  <c r="W762" i="10"/>
  <c r="R762" i="10"/>
  <c r="S762" i="10" s="1"/>
  <c r="L762" i="10"/>
  <c r="BA761" i="10"/>
  <c r="AS761" i="10"/>
  <c r="AO761" i="10" s="1"/>
  <c r="AM761" i="10"/>
  <c r="AD761" i="10"/>
  <c r="W761" i="10"/>
  <c r="R761" i="10"/>
  <c r="S761" i="10" s="1"/>
  <c r="L761" i="10"/>
  <c r="BA760" i="10"/>
  <c r="AS760" i="10"/>
  <c r="AO760" i="10" s="1"/>
  <c r="AM760" i="10"/>
  <c r="AD760" i="10"/>
  <c r="W760" i="10"/>
  <c r="R760" i="10"/>
  <c r="S760" i="10" s="1"/>
  <c r="L760" i="10"/>
  <c r="BA759" i="10"/>
  <c r="AS759" i="10"/>
  <c r="AO759" i="10"/>
  <c r="AM759" i="10"/>
  <c r="AJ759" i="10" s="1"/>
  <c r="AD759" i="10"/>
  <c r="W759" i="10"/>
  <c r="R759" i="10"/>
  <c r="L759" i="10"/>
  <c r="AZ758" i="10"/>
  <c r="AR758" i="10"/>
  <c r="K758" i="10"/>
  <c r="J758" i="10"/>
  <c r="BA757" i="10"/>
  <c r="AS757" i="10"/>
  <c r="AM757" i="10"/>
  <c r="AJ757" i="10"/>
  <c r="AD757" i="10"/>
  <c r="W757" i="10"/>
  <c r="R757" i="10"/>
  <c r="S757" i="10" s="1"/>
  <c r="L757" i="10"/>
  <c r="AZ749" i="10"/>
  <c r="AS756" i="10"/>
  <c r="AO756" i="10"/>
  <c r="AM756" i="10"/>
  <c r="AN756" i="10" s="1"/>
  <c r="AD756" i="10"/>
  <c r="AV756" i="10" s="1"/>
  <c r="AA756" i="10"/>
  <c r="V749" i="10"/>
  <c r="Q749" i="10"/>
  <c r="L756" i="10"/>
  <c r="BA755" i="10"/>
  <c r="AS755" i="10"/>
  <c r="BH755" i="10" s="1"/>
  <c r="BM755" i="10" s="1"/>
  <c r="BO755" i="10" s="1"/>
  <c r="AO755" i="10"/>
  <c r="AM755" i="10"/>
  <c r="AD755" i="10"/>
  <c r="W755" i="10"/>
  <c r="R755" i="10"/>
  <c r="S755" i="10" s="1"/>
  <c r="L755" i="10"/>
  <c r="BA754" i="10"/>
  <c r="AS754" i="10"/>
  <c r="BH754" i="10" s="1"/>
  <c r="BM754" i="10" s="1"/>
  <c r="BO754" i="10" s="1"/>
  <c r="AM754" i="10"/>
  <c r="AJ754" i="10" s="1"/>
  <c r="AD754" i="10"/>
  <c r="AA754" i="10"/>
  <c r="R754" i="10"/>
  <c r="S754" i="10" s="1"/>
  <c r="L754" i="10"/>
  <c r="BA753" i="10"/>
  <c r="AS753" i="10"/>
  <c r="AM753" i="10"/>
  <c r="AD753" i="10"/>
  <c r="W753" i="10"/>
  <c r="R753" i="10"/>
  <c r="S753" i="10" s="1"/>
  <c r="L753" i="10"/>
  <c r="BA752" i="10"/>
  <c r="AM752" i="10"/>
  <c r="AD752" i="10"/>
  <c r="AV752" i="10" s="1"/>
  <c r="AA752" i="10"/>
  <c r="W752" i="10"/>
  <c r="R752" i="10"/>
  <c r="S752" i="10" s="1"/>
  <c r="L752" i="10"/>
  <c r="BA751" i="10"/>
  <c r="AS751" i="10"/>
  <c r="BH751" i="10" s="1"/>
  <c r="BM751" i="10" s="1"/>
  <c r="AO751" i="10"/>
  <c r="AM751" i="10"/>
  <c r="AJ751" i="10" s="1"/>
  <c r="AD751" i="10"/>
  <c r="W751" i="10"/>
  <c r="R751" i="10"/>
  <c r="S751" i="10" s="1"/>
  <c r="L751" i="10"/>
  <c r="AS750" i="10"/>
  <c r="AO750" i="10"/>
  <c r="AM750" i="10"/>
  <c r="AJ750" i="10" s="1"/>
  <c r="AD750" i="10"/>
  <c r="W750" i="10"/>
  <c r="R750" i="10"/>
  <c r="S750" i="10" s="1"/>
  <c r="L750" i="10"/>
  <c r="AR749" i="10"/>
  <c r="K749" i="10"/>
  <c r="J749" i="10"/>
  <c r="BA748" i="10"/>
  <c r="AS748" i="10"/>
  <c r="AM748" i="10"/>
  <c r="AD748" i="10"/>
  <c r="W748" i="10"/>
  <c r="R748" i="10"/>
  <c r="S748" i="10" s="1"/>
  <c r="L748" i="10"/>
  <c r="BA747" i="10"/>
  <c r="AS747" i="10"/>
  <c r="AM747" i="10"/>
  <c r="AD747" i="10"/>
  <c r="W747" i="10"/>
  <c r="R747" i="10"/>
  <c r="S747" i="10" s="1"/>
  <c r="L747" i="10"/>
  <c r="BA746" i="10"/>
  <c r="AS746" i="10"/>
  <c r="AM746" i="10"/>
  <c r="AJ746" i="10"/>
  <c r="AD746" i="10"/>
  <c r="R746" i="10"/>
  <c r="S746" i="10" s="1"/>
  <c r="L746" i="10"/>
  <c r="BA745" i="10"/>
  <c r="AS745" i="10"/>
  <c r="AM745" i="10"/>
  <c r="AJ745" i="10"/>
  <c r="AD745" i="10"/>
  <c r="W745" i="10"/>
  <c r="R745" i="10"/>
  <c r="S745" i="10" s="1"/>
  <c r="L745" i="10"/>
  <c r="BA744" i="10"/>
  <c r="AM744" i="10"/>
  <c r="AD744" i="10"/>
  <c r="AV744" i="10" s="1"/>
  <c r="AA744" i="10"/>
  <c r="W744" i="10"/>
  <c r="L744" i="10"/>
  <c r="AZ743" i="10"/>
  <c r="AR743" i="10"/>
  <c r="AS743" i="10" s="1"/>
  <c r="AM743" i="10"/>
  <c r="AD743" i="10"/>
  <c r="AV743" i="10" s="1"/>
  <c r="V743" i="10"/>
  <c r="Q743" i="10"/>
  <c r="K743" i="10"/>
  <c r="J743" i="10"/>
  <c r="L743" i="10" s="1"/>
  <c r="BA742" i="10"/>
  <c r="AS742" i="10"/>
  <c r="AM742" i="10"/>
  <c r="AJ742" i="10"/>
  <c r="AD742" i="10"/>
  <c r="AA742" i="10" s="1"/>
  <c r="W742" i="10"/>
  <c r="R742" i="10"/>
  <c r="S742" i="10" s="1"/>
  <c r="L742" i="10"/>
  <c r="BA741" i="10"/>
  <c r="AS741" i="10"/>
  <c r="AM741" i="10"/>
  <c r="AJ741" i="10" s="1"/>
  <c r="AD741" i="10"/>
  <c r="W741" i="10"/>
  <c r="R741" i="10"/>
  <c r="S741" i="10" s="1"/>
  <c r="L741" i="10"/>
  <c r="BA740" i="10"/>
  <c r="AS740" i="10"/>
  <c r="BH740" i="10" s="1"/>
  <c r="BM740" i="10" s="1"/>
  <c r="BO740" i="10" s="1"/>
  <c r="AO740" i="10"/>
  <c r="AM740" i="10"/>
  <c r="AJ740" i="10" s="1"/>
  <c r="AD740" i="10"/>
  <c r="W740" i="10"/>
  <c r="R740" i="10"/>
  <c r="S740" i="10" s="1"/>
  <c r="L740" i="10"/>
  <c r="BA739" i="10"/>
  <c r="AS739" i="10"/>
  <c r="BH739" i="10" s="1"/>
  <c r="BM739" i="10" s="1"/>
  <c r="AM739" i="10"/>
  <c r="AN739" i="10" s="1"/>
  <c r="AD739" i="10"/>
  <c r="W739" i="10"/>
  <c r="R739" i="10"/>
  <c r="S739" i="10" s="1"/>
  <c r="L739" i="10"/>
  <c r="BA738" i="10"/>
  <c r="AS738" i="10"/>
  <c r="AM738" i="10"/>
  <c r="AD738" i="10"/>
  <c r="W738" i="10"/>
  <c r="R738" i="10"/>
  <c r="S738" i="10" s="1"/>
  <c r="L738" i="10"/>
  <c r="BA737" i="10"/>
  <c r="AM737" i="10"/>
  <c r="AJ737" i="10" s="1"/>
  <c r="AD737" i="10"/>
  <c r="W737" i="10"/>
  <c r="R737" i="10"/>
  <c r="S737" i="10" s="1"/>
  <c r="L737" i="10"/>
  <c r="BA736" i="10"/>
  <c r="AS736" i="10"/>
  <c r="BH736" i="10" s="1"/>
  <c r="BM736" i="10" s="1"/>
  <c r="AM736" i="10"/>
  <c r="AJ736" i="10"/>
  <c r="AD736" i="10"/>
  <c r="AV736" i="10" s="1"/>
  <c r="L736" i="10"/>
  <c r="AZ735" i="10"/>
  <c r="AR735" i="10"/>
  <c r="V735" i="10"/>
  <c r="Q735" i="10"/>
  <c r="K735" i="10"/>
  <c r="J735" i="10"/>
  <c r="L735" i="10" s="1"/>
  <c r="BA734" i="10"/>
  <c r="AS734" i="10"/>
  <c r="AM734" i="10"/>
  <c r="AJ734" i="10" s="1"/>
  <c r="AD734" i="10"/>
  <c r="AA734" i="10" s="1"/>
  <c r="W734" i="10"/>
  <c r="R734" i="10"/>
  <c r="S734" i="10" s="1"/>
  <c r="L734" i="10"/>
  <c r="BA733" i="10"/>
  <c r="AS733" i="10"/>
  <c r="BH733" i="10" s="1"/>
  <c r="BM733" i="10" s="1"/>
  <c r="E239" i="11" s="1"/>
  <c r="F239" i="11" s="1"/>
  <c r="AM733" i="10"/>
  <c r="AJ733" i="10" s="1"/>
  <c r="AD733" i="10"/>
  <c r="AA733" i="10" s="1"/>
  <c r="W733" i="10"/>
  <c r="R733" i="10"/>
  <c r="S733" i="10" s="1"/>
  <c r="L733" i="10"/>
  <c r="BA732" i="10"/>
  <c r="AS732" i="10"/>
  <c r="BH732" i="10" s="1"/>
  <c r="BM732" i="10" s="1"/>
  <c r="AM732" i="10"/>
  <c r="AJ732" i="10" s="1"/>
  <c r="AD732" i="10"/>
  <c r="W732" i="10"/>
  <c r="R732" i="10"/>
  <c r="S732" i="10" s="1"/>
  <c r="L732" i="10"/>
  <c r="AS731" i="10"/>
  <c r="AM731" i="10"/>
  <c r="AJ731" i="10" s="1"/>
  <c r="AD731" i="10"/>
  <c r="AA731" i="10" s="1"/>
  <c r="W731" i="10"/>
  <c r="L731" i="10"/>
  <c r="BA730" i="10"/>
  <c r="AS730" i="10"/>
  <c r="AO730" i="10" s="1"/>
  <c r="AM730" i="10"/>
  <c r="AJ730" i="10" s="1"/>
  <c r="AD730" i="10"/>
  <c r="W730" i="10"/>
  <c r="R730" i="10"/>
  <c r="L730" i="10"/>
  <c r="AZ729" i="10"/>
  <c r="AR729" i="10"/>
  <c r="V729" i="10"/>
  <c r="Q729" i="10"/>
  <c r="K729" i="10"/>
  <c r="J729" i="10"/>
  <c r="L729" i="10" s="1"/>
  <c r="BA728" i="10"/>
  <c r="AS728" i="10"/>
  <c r="AM728" i="10"/>
  <c r="AJ728" i="10" s="1"/>
  <c r="AD728" i="10"/>
  <c r="AV728" i="10" s="1"/>
  <c r="W728" i="10"/>
  <c r="R728" i="10"/>
  <c r="S728" i="10" s="1"/>
  <c r="L728" i="10"/>
  <c r="BA727" i="10"/>
  <c r="AS727" i="10"/>
  <c r="BH727" i="10" s="1"/>
  <c r="BM727" i="10" s="1"/>
  <c r="AM727" i="10"/>
  <c r="AD727" i="10"/>
  <c r="AA727" i="10" s="1"/>
  <c r="W727" i="10"/>
  <c r="R727" i="10"/>
  <c r="S727" i="10" s="1"/>
  <c r="L727" i="10"/>
  <c r="BA726" i="10"/>
  <c r="AS726" i="10"/>
  <c r="AM726" i="10"/>
  <c r="AJ726" i="10" s="1"/>
  <c r="AD726" i="10"/>
  <c r="AA726" i="10" s="1"/>
  <c r="W726" i="10"/>
  <c r="R726" i="10"/>
  <c r="S726" i="10" s="1"/>
  <c r="L726" i="10"/>
  <c r="BA725" i="10"/>
  <c r="AS725" i="10"/>
  <c r="BH725" i="10" s="1"/>
  <c r="BM725" i="10" s="1"/>
  <c r="E231" i="11" s="1"/>
  <c r="F231" i="11" s="1"/>
  <c r="AM725" i="10"/>
  <c r="AJ725" i="10" s="1"/>
  <c r="AD725" i="10"/>
  <c r="W725" i="10"/>
  <c r="R725" i="10"/>
  <c r="S725" i="10" s="1"/>
  <c r="L725" i="10"/>
  <c r="BA724" i="10"/>
  <c r="AS724" i="10"/>
  <c r="AM724" i="10"/>
  <c r="AN724" i="10" s="1"/>
  <c r="AJ724" i="10"/>
  <c r="AD724" i="10"/>
  <c r="W724" i="10"/>
  <c r="R724" i="10"/>
  <c r="S724" i="10" s="1"/>
  <c r="L724" i="10"/>
  <c r="BA723" i="10"/>
  <c r="AS723" i="10"/>
  <c r="AM723" i="10"/>
  <c r="AJ723" i="10" s="1"/>
  <c r="AD723" i="10"/>
  <c r="W723" i="10"/>
  <c r="R723" i="10"/>
  <c r="S723" i="10" s="1"/>
  <c r="L723" i="10"/>
  <c r="BA722" i="10"/>
  <c r="AM722" i="10"/>
  <c r="AJ722" i="10" s="1"/>
  <c r="AD722" i="10"/>
  <c r="R722" i="10"/>
  <c r="L722" i="10"/>
  <c r="BA721" i="10"/>
  <c r="AM721" i="10"/>
  <c r="AD721" i="10"/>
  <c r="Q720" i="10"/>
  <c r="L721" i="10"/>
  <c r="AZ720" i="10"/>
  <c r="K720" i="10"/>
  <c r="J720" i="10"/>
  <c r="L720" i="10" s="1"/>
  <c r="BA719" i="10"/>
  <c r="AS719" i="10"/>
  <c r="AM719" i="10"/>
  <c r="AJ719" i="10" s="1"/>
  <c r="AD719" i="10"/>
  <c r="AA719" i="10" s="1"/>
  <c r="W719" i="10"/>
  <c r="R719" i="10"/>
  <c r="S719" i="10" s="1"/>
  <c r="L719" i="10"/>
  <c r="BA718" i="10"/>
  <c r="AS718" i="10"/>
  <c r="AM718" i="10"/>
  <c r="AJ718" i="10" s="1"/>
  <c r="AD718" i="10"/>
  <c r="AA718" i="10" s="1"/>
  <c r="W718" i="10"/>
  <c r="R718" i="10"/>
  <c r="S718" i="10" s="1"/>
  <c r="L718" i="10"/>
  <c r="BA717" i="10"/>
  <c r="AS717" i="10"/>
  <c r="BH717" i="10" s="1"/>
  <c r="BM717" i="10" s="1"/>
  <c r="AM717" i="10"/>
  <c r="AD717" i="10"/>
  <c r="W717" i="10"/>
  <c r="L717" i="10"/>
  <c r="BA716" i="10"/>
  <c r="AM716" i="10"/>
  <c r="AJ716" i="10"/>
  <c r="AD716" i="10"/>
  <c r="AA716" i="10" s="1"/>
  <c r="W716" i="10"/>
  <c r="R716" i="10"/>
  <c r="S716" i="10" s="1"/>
  <c r="L716" i="10"/>
  <c r="AZ715" i="10"/>
  <c r="AR715" i="10"/>
  <c r="V715" i="10"/>
  <c r="Q715" i="10"/>
  <c r="K715" i="10"/>
  <c r="J715" i="10"/>
  <c r="L715" i="10" s="1"/>
  <c r="BA714" i="10"/>
  <c r="AS714" i="10"/>
  <c r="AM714" i="10"/>
  <c r="AJ714" i="10" s="1"/>
  <c r="AD714" i="10"/>
  <c r="AV714" i="10" s="1"/>
  <c r="W714" i="10"/>
  <c r="R714" i="10"/>
  <c r="S714" i="10" s="1"/>
  <c r="L714" i="10"/>
  <c r="BA713" i="10"/>
  <c r="AS713" i="10"/>
  <c r="AM713" i="10"/>
  <c r="AJ713" i="10" s="1"/>
  <c r="AD713" i="10"/>
  <c r="AA713" i="10" s="1"/>
  <c r="W713" i="10"/>
  <c r="R713" i="10"/>
  <c r="S713" i="10" s="1"/>
  <c r="L713" i="10"/>
  <c r="BA712" i="10"/>
  <c r="AS712" i="10"/>
  <c r="AM712" i="10"/>
  <c r="AJ712" i="10" s="1"/>
  <c r="AD712" i="10"/>
  <c r="AA712" i="10" s="1"/>
  <c r="W712" i="10"/>
  <c r="L712" i="10"/>
  <c r="BA711" i="10"/>
  <c r="AS711" i="10"/>
  <c r="AO711" i="10" s="1"/>
  <c r="AM711" i="10"/>
  <c r="AJ711" i="10" s="1"/>
  <c r="AD711" i="10"/>
  <c r="AV711" i="10" s="1"/>
  <c r="AA711" i="10"/>
  <c r="W711" i="10"/>
  <c r="R711" i="10"/>
  <c r="S711" i="10" s="1"/>
  <c r="L711" i="10"/>
  <c r="AZ710" i="10"/>
  <c r="AR710" i="10"/>
  <c r="V710" i="10"/>
  <c r="Q710" i="10"/>
  <c r="K710" i="10"/>
  <c r="J710" i="10"/>
  <c r="BA709" i="10"/>
  <c r="AS709" i="10"/>
  <c r="AO709" i="10" s="1"/>
  <c r="AM709" i="10"/>
  <c r="AJ709" i="10" s="1"/>
  <c r="AD709" i="10"/>
  <c r="W709" i="10"/>
  <c r="R709" i="10"/>
  <c r="S709" i="10" s="1"/>
  <c r="L709" i="10"/>
  <c r="BA708" i="10"/>
  <c r="AS708" i="10"/>
  <c r="BH708" i="10" s="1"/>
  <c r="BM708" i="10" s="1"/>
  <c r="AM708" i="10"/>
  <c r="AJ708" i="10"/>
  <c r="AD708" i="10"/>
  <c r="W708" i="10"/>
  <c r="R708" i="10"/>
  <c r="S708" i="10" s="1"/>
  <c r="L708" i="10"/>
  <c r="BA707" i="10"/>
  <c r="AS707" i="10"/>
  <c r="AM707" i="10"/>
  <c r="AD707" i="10"/>
  <c r="AA707" i="10" s="1"/>
  <c r="W707" i="10"/>
  <c r="R707" i="10"/>
  <c r="S707" i="10" s="1"/>
  <c r="L707" i="10"/>
  <c r="BA706" i="10"/>
  <c r="AS706" i="10"/>
  <c r="AM706" i="10"/>
  <c r="AJ706" i="10" s="1"/>
  <c r="AD706" i="10"/>
  <c r="R706" i="10"/>
  <c r="S706" i="10" s="1"/>
  <c r="L706" i="10"/>
  <c r="BA705" i="10"/>
  <c r="AM705" i="10"/>
  <c r="AJ705" i="10" s="1"/>
  <c r="AD705" i="10"/>
  <c r="AA705" i="10"/>
  <c r="W705" i="10"/>
  <c r="L705" i="10"/>
  <c r="AZ704" i="10"/>
  <c r="AR704" i="10"/>
  <c r="V704" i="10"/>
  <c r="Q704" i="10"/>
  <c r="K704" i="10"/>
  <c r="J704" i="10"/>
  <c r="L704" i="10" s="1"/>
  <c r="BA703" i="10"/>
  <c r="AS703" i="10"/>
  <c r="AM703" i="10"/>
  <c r="AD703" i="10"/>
  <c r="W703" i="10"/>
  <c r="R703" i="10"/>
  <c r="S703" i="10" s="1"/>
  <c r="L703" i="10"/>
  <c r="BA702" i="10"/>
  <c r="AS702" i="10"/>
  <c r="AM702" i="10"/>
  <c r="AJ702" i="10"/>
  <c r="AD702" i="10"/>
  <c r="AV702" i="10" s="1"/>
  <c r="W702" i="10"/>
  <c r="R702" i="10"/>
  <c r="S702" i="10" s="1"/>
  <c r="L702" i="10"/>
  <c r="BA701" i="10"/>
  <c r="AS701" i="10"/>
  <c r="AM701" i="10"/>
  <c r="AJ701" i="10"/>
  <c r="AD701" i="10"/>
  <c r="W701" i="10"/>
  <c r="R701" i="10"/>
  <c r="S701" i="10" s="1"/>
  <c r="L701" i="10"/>
  <c r="BA700" i="10"/>
  <c r="AS700" i="10"/>
  <c r="AO700" i="10" s="1"/>
  <c r="AM700" i="10"/>
  <c r="AD700" i="10"/>
  <c r="W700" i="10"/>
  <c r="R700" i="10"/>
  <c r="S700" i="10" s="1"/>
  <c r="L700" i="10"/>
  <c r="BA699" i="10"/>
  <c r="AS699" i="10"/>
  <c r="AO699" i="10" s="1"/>
  <c r="AM699" i="10"/>
  <c r="AJ699" i="10" s="1"/>
  <c r="AD699" i="10"/>
  <c r="AV699" i="10" s="1"/>
  <c r="W699" i="10"/>
  <c r="R699" i="10"/>
  <c r="S699" i="10" s="1"/>
  <c r="L699" i="10"/>
  <c r="BA698" i="10"/>
  <c r="AS698" i="10"/>
  <c r="BH698" i="10" s="1"/>
  <c r="BM698" i="10" s="1"/>
  <c r="AM698" i="10"/>
  <c r="AJ698" i="10" s="1"/>
  <c r="AD698" i="10"/>
  <c r="W698" i="10"/>
  <c r="R698" i="10"/>
  <c r="S698" i="10" s="1"/>
  <c r="L698" i="10"/>
  <c r="BA697" i="10"/>
  <c r="AS697" i="10"/>
  <c r="AM697" i="10"/>
  <c r="AJ697" i="10" s="1"/>
  <c r="AD697" i="10"/>
  <c r="W697" i="10"/>
  <c r="R697" i="10"/>
  <c r="S697" i="10" s="1"/>
  <c r="L697" i="10"/>
  <c r="BA696" i="10"/>
  <c r="AS696" i="10"/>
  <c r="AM696" i="10"/>
  <c r="AJ696" i="10" s="1"/>
  <c r="AD696" i="10"/>
  <c r="W696" i="10"/>
  <c r="R696" i="10"/>
  <c r="S696" i="10" s="1"/>
  <c r="L696" i="10"/>
  <c r="BA695" i="10"/>
  <c r="AS695" i="10"/>
  <c r="AM695" i="10"/>
  <c r="AJ695" i="10" s="1"/>
  <c r="AD695" i="10"/>
  <c r="W695" i="10"/>
  <c r="R695" i="10"/>
  <c r="S695" i="10" s="1"/>
  <c r="L695" i="10"/>
  <c r="BA694" i="10"/>
  <c r="AS694" i="10"/>
  <c r="AM694" i="10"/>
  <c r="AD694" i="10"/>
  <c r="W694" i="10"/>
  <c r="R694" i="10"/>
  <c r="S694" i="10" s="1"/>
  <c r="L694" i="10"/>
  <c r="BA693" i="10"/>
  <c r="AS693" i="10"/>
  <c r="AM693" i="10"/>
  <c r="AD693" i="10"/>
  <c r="W693" i="10"/>
  <c r="R693" i="10"/>
  <c r="S693" i="10" s="1"/>
  <c r="L693" i="10"/>
  <c r="BA692" i="10"/>
  <c r="AS692" i="10"/>
  <c r="AM692" i="10"/>
  <c r="AJ692" i="10" s="1"/>
  <c r="AD692" i="10"/>
  <c r="W692" i="10"/>
  <c r="R692" i="10"/>
  <c r="S692" i="10" s="1"/>
  <c r="L692" i="10"/>
  <c r="BA691" i="10"/>
  <c r="AS691" i="10"/>
  <c r="AM691" i="10"/>
  <c r="AJ691" i="10"/>
  <c r="AD691" i="10"/>
  <c r="AV691" i="10" s="1"/>
  <c r="AA691" i="10"/>
  <c r="W691" i="10"/>
  <c r="R691" i="10"/>
  <c r="S691" i="10" s="1"/>
  <c r="L691" i="10"/>
  <c r="BA690" i="10"/>
  <c r="AS690" i="10"/>
  <c r="AM690" i="10"/>
  <c r="AJ690" i="10" s="1"/>
  <c r="AD690" i="10"/>
  <c r="AV690" i="10" s="1"/>
  <c r="W690" i="10"/>
  <c r="R690" i="10"/>
  <c r="S690" i="10" s="1"/>
  <c r="L690" i="10"/>
  <c r="BA689" i="10"/>
  <c r="AS689" i="10"/>
  <c r="AM689" i="10"/>
  <c r="AJ689" i="10" s="1"/>
  <c r="AD689" i="10"/>
  <c r="AA689" i="10" s="1"/>
  <c r="W689" i="10"/>
  <c r="R689" i="10"/>
  <c r="S689" i="10" s="1"/>
  <c r="L689" i="10"/>
  <c r="BA688" i="10"/>
  <c r="AS688" i="10"/>
  <c r="AM688" i="10"/>
  <c r="AD688" i="10"/>
  <c r="W688" i="10"/>
  <c r="R688" i="10"/>
  <c r="S688" i="10" s="1"/>
  <c r="L688" i="10"/>
  <c r="BA687" i="10"/>
  <c r="AS687" i="10"/>
  <c r="BH687" i="10" s="1"/>
  <c r="BM687" i="10" s="1"/>
  <c r="AM687" i="10"/>
  <c r="AJ687" i="10"/>
  <c r="AD687" i="10"/>
  <c r="W687" i="10"/>
  <c r="R687" i="10"/>
  <c r="S687" i="10" s="1"/>
  <c r="L687" i="10"/>
  <c r="BA686" i="10"/>
  <c r="AS686" i="10"/>
  <c r="BH686" i="10" s="1"/>
  <c r="BM686" i="10" s="1"/>
  <c r="AM686" i="10"/>
  <c r="AJ686" i="10"/>
  <c r="AD686" i="10"/>
  <c r="W686" i="10"/>
  <c r="R686" i="10"/>
  <c r="S686" i="10" s="1"/>
  <c r="L686" i="10"/>
  <c r="BA685" i="10"/>
  <c r="AS685" i="10"/>
  <c r="AM685" i="10"/>
  <c r="AJ685" i="10"/>
  <c r="AD685" i="10"/>
  <c r="AV685" i="10" s="1"/>
  <c r="AA685" i="10"/>
  <c r="W685" i="10"/>
  <c r="R685" i="10"/>
  <c r="S685" i="10" s="1"/>
  <c r="L685" i="10"/>
  <c r="BA684" i="10"/>
  <c r="AS684" i="10"/>
  <c r="AM684" i="10"/>
  <c r="AD684" i="10"/>
  <c r="W684" i="10"/>
  <c r="R684" i="10"/>
  <c r="S684" i="10" s="1"/>
  <c r="L684" i="10"/>
  <c r="BA683" i="10"/>
  <c r="AS683" i="10"/>
  <c r="AM683" i="10"/>
  <c r="AD683" i="10"/>
  <c r="AA683" i="10" s="1"/>
  <c r="W683" i="10"/>
  <c r="R683" i="10"/>
  <c r="S683" i="10" s="1"/>
  <c r="L683" i="10"/>
  <c r="AS682" i="10"/>
  <c r="AO682" i="10" s="1"/>
  <c r="AM682" i="10"/>
  <c r="AJ682" i="10" s="1"/>
  <c r="AD682" i="10"/>
  <c r="R682" i="10"/>
  <c r="L682" i="10"/>
  <c r="AZ681" i="10"/>
  <c r="AR681" i="10"/>
  <c r="V681" i="10"/>
  <c r="Q681" i="10"/>
  <c r="K681" i="10"/>
  <c r="J681" i="10"/>
  <c r="L681" i="10" s="1"/>
  <c r="BA680" i="10"/>
  <c r="AS680" i="10"/>
  <c r="BH680" i="10" s="1"/>
  <c r="BM680" i="10" s="1"/>
  <c r="E189" i="11" s="1"/>
  <c r="F189" i="11" s="1"/>
  <c r="AM680" i="10"/>
  <c r="AJ680" i="10" s="1"/>
  <c r="AD680" i="10"/>
  <c r="AV680" i="10" s="1"/>
  <c r="AA680" i="10"/>
  <c r="W680" i="10"/>
  <c r="R680" i="10"/>
  <c r="S680" i="10" s="1"/>
  <c r="L680" i="10"/>
  <c r="BA679" i="10"/>
  <c r="AS679" i="10"/>
  <c r="BH679" i="10" s="1"/>
  <c r="BM679" i="10" s="1"/>
  <c r="E188" i="11" s="1"/>
  <c r="F188" i="11" s="1"/>
  <c r="AM679" i="10"/>
  <c r="AJ679" i="10" s="1"/>
  <c r="AD679" i="10"/>
  <c r="AA679" i="10" s="1"/>
  <c r="R679" i="10"/>
  <c r="S679" i="10" s="1"/>
  <c r="L679" i="10"/>
  <c r="BA678" i="10"/>
  <c r="AS678" i="10"/>
  <c r="AM678" i="10"/>
  <c r="AD678" i="10"/>
  <c r="W678" i="10"/>
  <c r="R678" i="10"/>
  <c r="S678" i="10" s="1"/>
  <c r="L678" i="10"/>
  <c r="AM677" i="10"/>
  <c r="AJ677" i="10" s="1"/>
  <c r="AD677" i="10"/>
  <c r="AV677" i="10" s="1"/>
  <c r="W677" i="10"/>
  <c r="R677" i="10"/>
  <c r="S677" i="10" s="1"/>
  <c r="L677" i="10"/>
  <c r="BA676" i="10"/>
  <c r="AS676" i="10"/>
  <c r="AM676" i="10"/>
  <c r="AJ676" i="10" s="1"/>
  <c r="AD676" i="10"/>
  <c r="AV676" i="10" s="1"/>
  <c r="W676" i="10"/>
  <c r="R676" i="10"/>
  <c r="L676" i="10"/>
  <c r="AZ675" i="10"/>
  <c r="AR675" i="10"/>
  <c r="V675" i="10"/>
  <c r="Q675" i="10"/>
  <c r="K675" i="10"/>
  <c r="J675" i="10"/>
  <c r="L675" i="10" s="1"/>
  <c r="BA674" i="10"/>
  <c r="AS674" i="10"/>
  <c r="BH674" i="10" s="1"/>
  <c r="BM674" i="10" s="1"/>
  <c r="BO674" i="10" s="1"/>
  <c r="AM674" i="10"/>
  <c r="AJ674" i="10" s="1"/>
  <c r="AD674" i="10"/>
  <c r="W674" i="10"/>
  <c r="R674" i="10"/>
  <c r="S674" i="10" s="1"/>
  <c r="L674" i="10"/>
  <c r="BA673" i="10"/>
  <c r="AS673" i="10"/>
  <c r="BH673" i="10" s="1"/>
  <c r="BM673" i="10" s="1"/>
  <c r="BO673" i="10" s="1"/>
  <c r="AM673" i="10"/>
  <c r="AD673" i="10"/>
  <c r="AV673" i="10" s="1"/>
  <c r="AA673" i="10"/>
  <c r="W673" i="10"/>
  <c r="R673" i="10"/>
  <c r="S673" i="10" s="1"/>
  <c r="L673" i="10"/>
  <c r="BA672" i="10"/>
  <c r="AS672" i="10"/>
  <c r="AM672" i="10"/>
  <c r="AJ672" i="10" s="1"/>
  <c r="AD672" i="10"/>
  <c r="W672" i="10"/>
  <c r="R672" i="10"/>
  <c r="S672" i="10" s="1"/>
  <c r="L672" i="10"/>
  <c r="BA671" i="10"/>
  <c r="AS671" i="10"/>
  <c r="AM671" i="10"/>
  <c r="AJ671" i="10" s="1"/>
  <c r="AD671" i="10"/>
  <c r="AV671" i="10" s="1"/>
  <c r="W671" i="10"/>
  <c r="R671" i="10"/>
  <c r="S671" i="10" s="1"/>
  <c r="L671" i="10"/>
  <c r="BA670" i="10"/>
  <c r="AS670" i="10"/>
  <c r="AM670" i="10"/>
  <c r="AD670" i="10"/>
  <c r="W670" i="10"/>
  <c r="R670" i="10"/>
  <c r="S670" i="10" s="1"/>
  <c r="L670" i="10"/>
  <c r="BA669" i="10"/>
  <c r="AS669" i="10"/>
  <c r="AM669" i="10"/>
  <c r="AJ669" i="10" s="1"/>
  <c r="AD669" i="10"/>
  <c r="AV669" i="10" s="1"/>
  <c r="W669" i="10"/>
  <c r="R669" i="10"/>
  <c r="L669" i="10"/>
  <c r="BA668" i="10"/>
  <c r="AS668" i="10"/>
  <c r="AM668" i="10"/>
  <c r="AJ668" i="10" s="1"/>
  <c r="AD668" i="10"/>
  <c r="W668" i="10"/>
  <c r="R668" i="10"/>
  <c r="S668" i="10" s="1"/>
  <c r="L668" i="10"/>
  <c r="AM667" i="10"/>
  <c r="AJ667" i="10" s="1"/>
  <c r="AD667" i="10"/>
  <c r="AV667" i="10" s="1"/>
  <c r="AA667" i="10"/>
  <c r="W667" i="10"/>
  <c r="R667" i="10"/>
  <c r="S667" i="10" s="1"/>
  <c r="L667" i="10"/>
  <c r="AZ666" i="10"/>
  <c r="AR666" i="10"/>
  <c r="V666" i="10"/>
  <c r="Q666" i="10"/>
  <c r="K666" i="10"/>
  <c r="J666" i="10"/>
  <c r="L666" i="10" s="1"/>
  <c r="BA663" i="10"/>
  <c r="AS663" i="10"/>
  <c r="AO663" i="10" s="1"/>
  <c r="AM663" i="10"/>
  <c r="AJ663" i="10" s="1"/>
  <c r="AD663" i="10"/>
  <c r="AA663" i="10" s="1"/>
  <c r="W663" i="10"/>
  <c r="R663" i="10"/>
  <c r="S663" i="10" s="1"/>
  <c r="L663" i="10"/>
  <c r="BA662" i="10"/>
  <c r="AS662" i="10"/>
  <c r="AM662" i="10"/>
  <c r="AJ662" i="10" s="1"/>
  <c r="AD662" i="10"/>
  <c r="W662" i="10"/>
  <c r="R662" i="10"/>
  <c r="S662" i="10" s="1"/>
  <c r="L662" i="10"/>
  <c r="BA661" i="10"/>
  <c r="AS661" i="10"/>
  <c r="AM661" i="10"/>
  <c r="AJ661" i="10" s="1"/>
  <c r="AD661" i="10"/>
  <c r="W661" i="10"/>
  <c r="R661" i="10"/>
  <c r="S661" i="10" s="1"/>
  <c r="L661" i="10"/>
  <c r="BA660" i="10"/>
  <c r="AS660" i="10"/>
  <c r="AO660" i="10" s="1"/>
  <c r="AM660" i="10"/>
  <c r="AD660" i="10"/>
  <c r="W660" i="10"/>
  <c r="R660" i="10"/>
  <c r="S660" i="10" s="1"/>
  <c r="L660" i="10"/>
  <c r="BA659" i="10"/>
  <c r="AS659" i="10"/>
  <c r="AM659" i="10"/>
  <c r="AD659" i="10"/>
  <c r="AA659" i="10" s="1"/>
  <c r="W659" i="10"/>
  <c r="R659" i="10"/>
  <c r="S659" i="10" s="1"/>
  <c r="L659" i="10"/>
  <c r="BA658" i="10"/>
  <c r="AS658" i="10"/>
  <c r="AM658" i="10"/>
  <c r="AJ658" i="10" s="1"/>
  <c r="AD658" i="10"/>
  <c r="AV658" i="10" s="1"/>
  <c r="AA658" i="10"/>
  <c r="W658" i="10"/>
  <c r="L658" i="10"/>
  <c r="BA657" i="10"/>
  <c r="AS657" i="10"/>
  <c r="AM657" i="10"/>
  <c r="AD657" i="10"/>
  <c r="AV657" i="10" s="1"/>
  <c r="W657" i="10"/>
  <c r="R657" i="10"/>
  <c r="S657" i="10" s="1"/>
  <c r="L657" i="10"/>
  <c r="BA656" i="10"/>
  <c r="AS656" i="10"/>
  <c r="AM656" i="10"/>
  <c r="AJ656" i="10" s="1"/>
  <c r="AD656" i="10"/>
  <c r="W656" i="10"/>
  <c r="R656" i="10"/>
  <c r="S656" i="10" s="1"/>
  <c r="L656" i="10"/>
  <c r="BA655" i="10"/>
  <c r="AS655" i="10"/>
  <c r="AM655" i="10"/>
  <c r="AJ655" i="10" s="1"/>
  <c r="AD655" i="10"/>
  <c r="W655" i="10"/>
  <c r="R655" i="10"/>
  <c r="S655" i="10" s="1"/>
  <c r="L655" i="10"/>
  <c r="BA654" i="10"/>
  <c r="AS654" i="10"/>
  <c r="AM654" i="10"/>
  <c r="AJ654" i="10" s="1"/>
  <c r="AD654" i="10"/>
  <c r="W654" i="10"/>
  <c r="R654" i="10"/>
  <c r="S654" i="10" s="1"/>
  <c r="L654" i="10"/>
  <c r="BA653" i="10"/>
  <c r="AS653" i="10"/>
  <c r="AO653" i="10" s="1"/>
  <c r="AM653" i="10"/>
  <c r="AJ653" i="10" s="1"/>
  <c r="AD653" i="10"/>
  <c r="W653" i="10"/>
  <c r="R653" i="10"/>
  <c r="S653" i="10" s="1"/>
  <c r="L653" i="10"/>
  <c r="BA652" i="10"/>
  <c r="AS652" i="10"/>
  <c r="AO652" i="10" s="1"/>
  <c r="AM652" i="10"/>
  <c r="AJ652" i="10" s="1"/>
  <c r="AD652" i="10"/>
  <c r="AA652" i="10" s="1"/>
  <c r="W652" i="10"/>
  <c r="R652" i="10"/>
  <c r="S652" i="10" s="1"/>
  <c r="L652" i="10"/>
  <c r="AS651" i="10"/>
  <c r="AM651" i="10"/>
  <c r="AJ651" i="10" s="1"/>
  <c r="AD651" i="10"/>
  <c r="AA651" i="10" s="1"/>
  <c r="L651" i="10"/>
  <c r="AS650" i="10"/>
  <c r="AM650" i="10"/>
  <c r="AJ650" i="10" s="1"/>
  <c r="AD650" i="10"/>
  <c r="AA650" i="10" s="1"/>
  <c r="R650" i="10"/>
  <c r="S650" i="10" s="1"/>
  <c r="L650" i="10"/>
  <c r="BA649" i="10"/>
  <c r="AS649" i="10"/>
  <c r="BH649" i="10" s="1"/>
  <c r="BM649" i="10" s="1"/>
  <c r="AM649" i="10"/>
  <c r="AD649" i="10"/>
  <c r="AV649" i="10" s="1"/>
  <c r="AA649" i="10"/>
  <c r="R649" i="10"/>
  <c r="S649" i="10" s="1"/>
  <c r="L649" i="10"/>
  <c r="BA648" i="10"/>
  <c r="AS648" i="10"/>
  <c r="AO648" i="10" s="1"/>
  <c r="AM648" i="10"/>
  <c r="AJ648" i="10" s="1"/>
  <c r="AD648" i="10"/>
  <c r="AV648" i="10" s="1"/>
  <c r="AA648" i="10"/>
  <c r="W648" i="10"/>
  <c r="R648" i="10"/>
  <c r="S648" i="10" s="1"/>
  <c r="L648" i="10"/>
  <c r="BA647" i="10"/>
  <c r="AS647" i="10"/>
  <c r="AM647" i="10"/>
  <c r="AJ647" i="10" s="1"/>
  <c r="AD647" i="10"/>
  <c r="W647" i="10"/>
  <c r="R647" i="10"/>
  <c r="S647" i="10" s="1"/>
  <c r="L647" i="10"/>
  <c r="AS646" i="10"/>
  <c r="AM646" i="10"/>
  <c r="AD646" i="10"/>
  <c r="W646" i="10"/>
  <c r="R646" i="10"/>
  <c r="S646" i="10" s="1"/>
  <c r="L646" i="10"/>
  <c r="AM645" i="10"/>
  <c r="AD645" i="10"/>
  <c r="AV645" i="10" s="1"/>
  <c r="W645" i="10"/>
  <c r="R645" i="10"/>
  <c r="L645" i="10"/>
  <c r="AR644" i="10"/>
  <c r="AR643" i="10" s="1"/>
  <c r="K644" i="10"/>
  <c r="K643" i="10" s="1"/>
  <c r="J644" i="10"/>
  <c r="J643" i="10" s="1"/>
  <c r="BH642" i="10"/>
  <c r="BM642" i="10" s="1"/>
  <c r="E167" i="11" s="1"/>
  <c r="F167" i="11" s="1"/>
  <c r="J167" i="11" s="1"/>
  <c r="BA642" i="10"/>
  <c r="AS642" i="10"/>
  <c r="AM642" i="10"/>
  <c r="AJ642" i="10"/>
  <c r="AD642" i="10"/>
  <c r="AV642" i="10" s="1"/>
  <c r="W642" i="10"/>
  <c r="R642" i="10"/>
  <c r="S642" i="10" s="1"/>
  <c r="L642" i="10"/>
  <c r="BA641" i="10"/>
  <c r="AS641" i="10"/>
  <c r="AM641" i="10"/>
  <c r="AJ641" i="10" s="1"/>
  <c r="AD641" i="10"/>
  <c r="W641" i="10"/>
  <c r="R641" i="10"/>
  <c r="S641" i="10" s="1"/>
  <c r="L641" i="10"/>
  <c r="BA640" i="10"/>
  <c r="AS640" i="10"/>
  <c r="AM640" i="10"/>
  <c r="AJ640" i="10" s="1"/>
  <c r="AD640" i="10"/>
  <c r="AA640" i="10"/>
  <c r="W640" i="10"/>
  <c r="R640" i="10"/>
  <c r="S640" i="10" s="1"/>
  <c r="L640" i="10"/>
  <c r="BA639" i="10"/>
  <c r="AS639" i="10"/>
  <c r="AM639" i="10"/>
  <c r="AJ639" i="10" s="1"/>
  <c r="AD639" i="10"/>
  <c r="W639" i="10"/>
  <c r="R639" i="10"/>
  <c r="S639" i="10" s="1"/>
  <c r="L639" i="10"/>
  <c r="BA638" i="10"/>
  <c r="AS638" i="10"/>
  <c r="AM638" i="10"/>
  <c r="AJ638" i="10" s="1"/>
  <c r="AD638" i="10"/>
  <c r="AA638" i="10" s="1"/>
  <c r="W638" i="10"/>
  <c r="R638" i="10"/>
  <c r="S638" i="10" s="1"/>
  <c r="L638" i="10"/>
  <c r="BH637" i="10"/>
  <c r="BM637" i="10" s="1"/>
  <c r="E162" i="11" s="1"/>
  <c r="F162" i="11" s="1"/>
  <c r="AS637" i="10"/>
  <c r="AM637" i="10"/>
  <c r="AJ637" i="10" s="1"/>
  <c r="AD637" i="10"/>
  <c r="AA637" i="10" s="1"/>
  <c r="W637" i="10"/>
  <c r="R637" i="10"/>
  <c r="S637" i="10" s="1"/>
  <c r="L637" i="10"/>
  <c r="AM636" i="10"/>
  <c r="AD636" i="10"/>
  <c r="AA636" i="10" s="1"/>
  <c r="V635" i="10"/>
  <c r="L636" i="10"/>
  <c r="AR635" i="10"/>
  <c r="AM635" i="10"/>
  <c r="AJ635" i="10" s="1"/>
  <c r="Q635" i="10"/>
  <c r="K635" i="10"/>
  <c r="J635" i="10"/>
  <c r="BA634" i="10"/>
  <c r="AS634" i="10"/>
  <c r="AO634" i="10" s="1"/>
  <c r="AM634" i="10"/>
  <c r="AJ634" i="10" s="1"/>
  <c r="AD634" i="10"/>
  <c r="AU634" i="10" s="1"/>
  <c r="W634" i="10"/>
  <c r="R634" i="10"/>
  <c r="S634" i="10" s="1"/>
  <c r="L634" i="10"/>
  <c r="AS633" i="10"/>
  <c r="AO633" i="10" s="1"/>
  <c r="AM633" i="10"/>
  <c r="AJ633" i="10" s="1"/>
  <c r="AD633" i="10"/>
  <c r="L633" i="10"/>
  <c r="BA632" i="10"/>
  <c r="AS632" i="10"/>
  <c r="AM632" i="10"/>
  <c r="AJ632" i="10" s="1"/>
  <c r="AD632" i="10"/>
  <c r="W632" i="10"/>
  <c r="R632" i="10"/>
  <c r="S632" i="10" s="1"/>
  <c r="L632" i="10"/>
  <c r="BA631" i="10"/>
  <c r="AS631" i="10"/>
  <c r="AM631" i="10"/>
  <c r="AJ631" i="10" s="1"/>
  <c r="AD631" i="10"/>
  <c r="W631" i="10"/>
  <c r="R631" i="10"/>
  <c r="L631" i="10"/>
  <c r="AM630" i="10"/>
  <c r="AJ630" i="10" s="1"/>
  <c r="AD630" i="10"/>
  <c r="R630" i="10"/>
  <c r="S630" i="10" s="1"/>
  <c r="L630" i="10"/>
  <c r="AR629" i="10"/>
  <c r="Q629" i="10"/>
  <c r="K629" i="10"/>
  <c r="J629" i="10"/>
  <c r="BA628" i="10"/>
  <c r="AS628" i="10"/>
  <c r="AM628" i="10"/>
  <c r="AD628" i="10"/>
  <c r="R628" i="10"/>
  <c r="S628" i="10" s="1"/>
  <c r="L628" i="10"/>
  <c r="BA627" i="10"/>
  <c r="AS627" i="10"/>
  <c r="AM627" i="10"/>
  <c r="AJ627" i="10" s="1"/>
  <c r="AD627" i="10"/>
  <c r="AV627" i="10" s="1"/>
  <c r="W627" i="10"/>
  <c r="L627" i="10"/>
  <c r="AZ626" i="10"/>
  <c r="AR626" i="10"/>
  <c r="AM626" i="10"/>
  <c r="AJ626" i="10" s="1"/>
  <c r="AD626" i="10"/>
  <c r="V626" i="10"/>
  <c r="Q626" i="10"/>
  <c r="K626" i="10"/>
  <c r="J626" i="10"/>
  <c r="AY624" i="10"/>
  <c r="AS625" i="10"/>
  <c r="AO625" i="10" s="1"/>
  <c r="AM625" i="10"/>
  <c r="AD625" i="10"/>
  <c r="W625" i="10"/>
  <c r="L625" i="10"/>
  <c r="AZ624" i="10"/>
  <c r="AR624" i="10"/>
  <c r="AS624" i="10" s="1"/>
  <c r="AM624" i="10"/>
  <c r="AD624" i="10"/>
  <c r="V624" i="10"/>
  <c r="Q624" i="10"/>
  <c r="K624" i="10"/>
  <c r="J624" i="10"/>
  <c r="BA623" i="10"/>
  <c r="AS623" i="10"/>
  <c r="AM623" i="10"/>
  <c r="AJ623" i="10" s="1"/>
  <c r="AD623" i="10"/>
  <c r="AA623" i="10" s="1"/>
  <c r="W623" i="10"/>
  <c r="R623" i="10"/>
  <c r="S623" i="10" s="1"/>
  <c r="L623" i="10"/>
  <c r="AM622" i="10"/>
  <c r="AJ622" i="10" s="1"/>
  <c r="AD622" i="10"/>
  <c r="W622" i="10"/>
  <c r="L622" i="10"/>
  <c r="AZ621" i="10"/>
  <c r="AR621" i="10"/>
  <c r="AM621" i="10"/>
  <c r="V621" i="10"/>
  <c r="Q621" i="10"/>
  <c r="K621" i="10"/>
  <c r="J621" i="10"/>
  <c r="AS620" i="10"/>
  <c r="BH620" i="10" s="1"/>
  <c r="BH619" i="10" s="1"/>
  <c r="AM620" i="10"/>
  <c r="AM619" i="10" s="1"/>
  <c r="AD620" i="10"/>
  <c r="AA620" i="10" s="1"/>
  <c r="V619" i="10"/>
  <c r="U619" i="10"/>
  <c r="R620" i="10"/>
  <c r="L620" i="10"/>
  <c r="AR619" i="10"/>
  <c r="Q619" i="10"/>
  <c r="K619" i="10"/>
  <c r="J619" i="10"/>
  <c r="L619" i="10" s="1"/>
  <c r="AS618" i="10"/>
  <c r="AM618" i="10"/>
  <c r="AJ618" i="10" s="1"/>
  <c r="AD618" i="10"/>
  <c r="Q611" i="10"/>
  <c r="L618" i="10"/>
  <c r="BA617" i="10"/>
  <c r="AS617" i="10"/>
  <c r="AM617" i="10"/>
  <c r="AJ617" i="10" s="1"/>
  <c r="AD617" i="10"/>
  <c r="W617" i="10"/>
  <c r="R617" i="10"/>
  <c r="S617" i="10" s="1"/>
  <c r="L617" i="10"/>
  <c r="BA616" i="10"/>
  <c r="AS616" i="10"/>
  <c r="AM616" i="10"/>
  <c r="AJ616" i="10" s="1"/>
  <c r="AD616" i="10"/>
  <c r="W616" i="10"/>
  <c r="R616" i="10"/>
  <c r="S616" i="10" s="1"/>
  <c r="L616" i="10"/>
  <c r="BA615" i="10"/>
  <c r="AS615" i="10"/>
  <c r="AO615" i="10" s="1"/>
  <c r="AM615" i="10"/>
  <c r="AJ615" i="10" s="1"/>
  <c r="AD615" i="10"/>
  <c r="AV615" i="10" s="1"/>
  <c r="W615" i="10"/>
  <c r="R615" i="10"/>
  <c r="S615" i="10" s="1"/>
  <c r="L615" i="10"/>
  <c r="BA614" i="10"/>
  <c r="AS614" i="10"/>
  <c r="AM614" i="10"/>
  <c r="AD614" i="10"/>
  <c r="AV614" i="10" s="1"/>
  <c r="W614" i="10"/>
  <c r="R614" i="10"/>
  <c r="S614" i="10" s="1"/>
  <c r="L614" i="10"/>
  <c r="BA613" i="10"/>
  <c r="AM613" i="10"/>
  <c r="AJ613" i="10" s="1"/>
  <c r="AD613" i="10"/>
  <c r="W613" i="10"/>
  <c r="R613" i="10"/>
  <c r="S613" i="10" s="1"/>
  <c r="L613" i="10"/>
  <c r="BA612" i="10"/>
  <c r="AS612" i="10"/>
  <c r="AO612" i="10" s="1"/>
  <c r="AM612" i="10"/>
  <c r="AJ612" i="10" s="1"/>
  <c r="AD612" i="10"/>
  <c r="AA612" i="10" s="1"/>
  <c r="R612" i="10"/>
  <c r="L612" i="10"/>
  <c r="AR611" i="10"/>
  <c r="K611" i="10"/>
  <c r="J611" i="10"/>
  <c r="AS610" i="10"/>
  <c r="AO610" i="10" s="1"/>
  <c r="AM610" i="10"/>
  <c r="AJ610" i="10" s="1"/>
  <c r="AD610" i="10"/>
  <c r="R610" i="10"/>
  <c r="S610" i="10" s="1"/>
  <c r="L610" i="10"/>
  <c r="AM609" i="10"/>
  <c r="AJ609" i="10" s="1"/>
  <c r="AD609" i="10"/>
  <c r="AA609" i="10" s="1"/>
  <c r="R609" i="10"/>
  <c r="S609" i="10" s="1"/>
  <c r="L609" i="10"/>
  <c r="AR608" i="10"/>
  <c r="Q608" i="10"/>
  <c r="K608" i="10"/>
  <c r="J608" i="10"/>
  <c r="L608" i="10" s="1"/>
  <c r="AS607" i="10"/>
  <c r="BO607" i="10" s="1"/>
  <c r="AM607" i="10"/>
  <c r="AD607" i="10"/>
  <c r="R607" i="10"/>
  <c r="S607" i="10" s="1"/>
  <c r="L607" i="10"/>
  <c r="AS606" i="10"/>
  <c r="AM606" i="10"/>
  <c r="AJ606" i="10" s="1"/>
  <c r="AD606" i="10"/>
  <c r="L606" i="10"/>
  <c r="BA605" i="10"/>
  <c r="AS605" i="10"/>
  <c r="AM605" i="10"/>
  <c r="AD605" i="10"/>
  <c r="W605" i="10"/>
  <c r="R605" i="10"/>
  <c r="S605" i="10" s="1"/>
  <c r="L605" i="10"/>
  <c r="BA604" i="10"/>
  <c r="AS604" i="10"/>
  <c r="AM604" i="10"/>
  <c r="AJ604" i="10" s="1"/>
  <c r="AD604" i="10"/>
  <c r="AA604" i="10" s="1"/>
  <c r="W604" i="10"/>
  <c r="R604" i="10"/>
  <c r="S604" i="10" s="1"/>
  <c r="L604" i="10"/>
  <c r="BA603" i="10"/>
  <c r="AS603" i="10"/>
  <c r="AO603" i="10" s="1"/>
  <c r="AM603" i="10"/>
  <c r="AJ603" i="10" s="1"/>
  <c r="AD603" i="10"/>
  <c r="AV603" i="10" s="1"/>
  <c r="W603" i="10"/>
  <c r="R603" i="10"/>
  <c r="S603" i="10" s="1"/>
  <c r="L603" i="10"/>
  <c r="BA602" i="10"/>
  <c r="AS602" i="10"/>
  <c r="AM602" i="10"/>
  <c r="AJ602" i="10" s="1"/>
  <c r="AD602" i="10"/>
  <c r="W602" i="10"/>
  <c r="R602" i="10"/>
  <c r="S602" i="10" s="1"/>
  <c r="L602" i="10"/>
  <c r="BA601" i="10"/>
  <c r="AS601" i="10"/>
  <c r="AO601" i="10" s="1"/>
  <c r="AM601" i="10"/>
  <c r="AN601" i="10" s="1"/>
  <c r="AD601" i="10"/>
  <c r="W601" i="10"/>
  <c r="R601" i="10"/>
  <c r="S601" i="10" s="1"/>
  <c r="L601" i="10"/>
  <c r="BA600" i="10"/>
  <c r="AS600" i="10"/>
  <c r="AM600" i="10"/>
  <c r="AJ600" i="10" s="1"/>
  <c r="AD600" i="10"/>
  <c r="W600" i="10"/>
  <c r="R600" i="10"/>
  <c r="S600" i="10" s="1"/>
  <c r="L600" i="10"/>
  <c r="BA599" i="10"/>
  <c r="AS599" i="10"/>
  <c r="AO599" i="10" s="1"/>
  <c r="AM599" i="10"/>
  <c r="AJ599" i="10" s="1"/>
  <c r="AD599" i="10"/>
  <c r="W599" i="10"/>
  <c r="R599" i="10"/>
  <c r="S599" i="10" s="1"/>
  <c r="L599" i="10"/>
  <c r="BA598" i="10"/>
  <c r="AS598" i="10"/>
  <c r="AM598" i="10"/>
  <c r="AD598" i="10"/>
  <c r="W598" i="10"/>
  <c r="R598" i="10"/>
  <c r="S598" i="10" s="1"/>
  <c r="L598" i="10"/>
  <c r="BA597" i="10"/>
  <c r="AS597" i="10"/>
  <c r="AO597" i="10" s="1"/>
  <c r="AM597" i="10"/>
  <c r="AD597" i="10"/>
  <c r="W597" i="10"/>
  <c r="R597" i="10"/>
  <c r="S597" i="10" s="1"/>
  <c r="L597" i="10"/>
  <c r="BA596" i="10"/>
  <c r="AS596" i="10"/>
  <c r="AO596" i="10" s="1"/>
  <c r="AM596" i="10"/>
  <c r="AD596" i="10"/>
  <c r="AA596" i="10" s="1"/>
  <c r="W596" i="10"/>
  <c r="R596" i="10"/>
  <c r="S596" i="10" s="1"/>
  <c r="L596" i="10"/>
  <c r="AS595" i="10"/>
  <c r="AO595" i="10" s="1"/>
  <c r="AM595" i="10"/>
  <c r="AD595" i="10"/>
  <c r="W595" i="10"/>
  <c r="R595" i="10"/>
  <c r="S595" i="10" s="1"/>
  <c r="L595" i="10"/>
  <c r="BA594" i="10"/>
  <c r="AS594" i="10"/>
  <c r="AM594" i="10"/>
  <c r="AJ594" i="10" s="1"/>
  <c r="AD594" i="10"/>
  <c r="W594" i="10"/>
  <c r="R594" i="10"/>
  <c r="S594" i="10" s="1"/>
  <c r="L594" i="10"/>
  <c r="BA593" i="10"/>
  <c r="AS593" i="10"/>
  <c r="AM593" i="10"/>
  <c r="AJ593" i="10" s="1"/>
  <c r="AD593" i="10"/>
  <c r="AV593" i="10" s="1"/>
  <c r="W593" i="10"/>
  <c r="R593" i="10"/>
  <c r="S593" i="10" s="1"/>
  <c r="L593" i="10"/>
  <c r="BA592" i="10"/>
  <c r="AS592" i="10"/>
  <c r="AO592" i="10" s="1"/>
  <c r="AM592" i="10"/>
  <c r="AJ592" i="10" s="1"/>
  <c r="AD592" i="10"/>
  <c r="W592" i="10"/>
  <c r="R592" i="10"/>
  <c r="S592" i="10" s="1"/>
  <c r="L592" i="10"/>
  <c r="BA591" i="10"/>
  <c r="AS591" i="10"/>
  <c r="AO591" i="10" s="1"/>
  <c r="AM591" i="10"/>
  <c r="AJ591" i="10" s="1"/>
  <c r="AD591" i="10"/>
  <c r="W591" i="10"/>
  <c r="R591" i="10"/>
  <c r="S591" i="10" s="1"/>
  <c r="L591" i="10"/>
  <c r="AS590" i="10"/>
  <c r="AM590" i="10"/>
  <c r="AD590" i="10"/>
  <c r="W590" i="10"/>
  <c r="R590" i="10"/>
  <c r="S590" i="10" s="1"/>
  <c r="L590" i="10"/>
  <c r="BA589" i="10"/>
  <c r="AS589" i="10"/>
  <c r="AM589" i="10"/>
  <c r="AJ589" i="10" s="1"/>
  <c r="AD589" i="10"/>
  <c r="AA589" i="10" s="1"/>
  <c r="W589" i="10"/>
  <c r="R589" i="10"/>
  <c r="S589" i="10" s="1"/>
  <c r="L589" i="10"/>
  <c r="BA588" i="10"/>
  <c r="AS588" i="10"/>
  <c r="AM588" i="10"/>
  <c r="AD588" i="10"/>
  <c r="W588" i="10"/>
  <c r="R588" i="10"/>
  <c r="S588" i="10" s="1"/>
  <c r="L588" i="10"/>
  <c r="BA587" i="10"/>
  <c r="AS587" i="10"/>
  <c r="AO587" i="10" s="1"/>
  <c r="AM587" i="10"/>
  <c r="AJ587" i="10" s="1"/>
  <c r="AD587" i="10"/>
  <c r="W587" i="10"/>
  <c r="R587" i="10"/>
  <c r="S587" i="10" s="1"/>
  <c r="L587" i="10"/>
  <c r="BA586" i="10"/>
  <c r="AS586" i="10"/>
  <c r="AM586" i="10"/>
  <c r="AD586" i="10"/>
  <c r="W586" i="10"/>
  <c r="R586" i="10"/>
  <c r="S586" i="10" s="1"/>
  <c r="L586" i="10"/>
  <c r="BA585" i="10"/>
  <c r="AS585" i="10"/>
  <c r="AO585" i="10" s="1"/>
  <c r="AM585" i="10"/>
  <c r="AJ585" i="10" s="1"/>
  <c r="AD585" i="10"/>
  <c r="R585" i="10"/>
  <c r="S585" i="10" s="1"/>
  <c r="L585" i="10"/>
  <c r="BA584" i="10"/>
  <c r="AS584" i="10"/>
  <c r="AM584" i="10"/>
  <c r="AJ584" i="10" s="1"/>
  <c r="AD584" i="10"/>
  <c r="W584" i="10"/>
  <c r="R584" i="10"/>
  <c r="S584" i="10" s="1"/>
  <c r="L584" i="10"/>
  <c r="BA583" i="10"/>
  <c r="AS583" i="10"/>
  <c r="AO583" i="10" s="1"/>
  <c r="AM583" i="10"/>
  <c r="AJ583" i="10" s="1"/>
  <c r="AD583" i="10"/>
  <c r="W583" i="10"/>
  <c r="R583" i="10"/>
  <c r="S583" i="10" s="1"/>
  <c r="L583" i="10"/>
  <c r="BA582" i="10"/>
  <c r="AS582" i="10"/>
  <c r="AO582" i="10" s="1"/>
  <c r="AM582" i="10"/>
  <c r="AD582" i="10"/>
  <c r="W582" i="10"/>
  <c r="R582" i="10"/>
  <c r="S582" i="10" s="1"/>
  <c r="L582" i="10"/>
  <c r="BA581" i="10"/>
  <c r="AS581" i="10"/>
  <c r="AM581" i="10"/>
  <c r="AJ581" i="10" s="1"/>
  <c r="AD581" i="10"/>
  <c r="AV581" i="10" s="1"/>
  <c r="W581" i="10"/>
  <c r="R581" i="10"/>
  <c r="S581" i="10" s="1"/>
  <c r="L581" i="10"/>
  <c r="AS580" i="10"/>
  <c r="AO580" i="10" s="1"/>
  <c r="AM580" i="10"/>
  <c r="AJ580" i="10" s="1"/>
  <c r="AD580" i="10"/>
  <c r="R580" i="10"/>
  <c r="S580" i="10" s="1"/>
  <c r="L580" i="10"/>
  <c r="BA579" i="10"/>
  <c r="AS579" i="10"/>
  <c r="AO579" i="10" s="1"/>
  <c r="AM579" i="10"/>
  <c r="AJ579" i="10" s="1"/>
  <c r="AD579" i="10"/>
  <c r="W579" i="10"/>
  <c r="R579" i="10"/>
  <c r="S579" i="10" s="1"/>
  <c r="L579" i="10"/>
  <c r="BA578" i="10"/>
  <c r="AS578" i="10"/>
  <c r="AM578" i="10"/>
  <c r="AJ578" i="10" s="1"/>
  <c r="AD578" i="10"/>
  <c r="AA578" i="10" s="1"/>
  <c r="W578" i="10"/>
  <c r="R578" i="10"/>
  <c r="S578" i="10" s="1"/>
  <c r="L578" i="10"/>
  <c r="BA577" i="10"/>
  <c r="AS577" i="10"/>
  <c r="AM577" i="10"/>
  <c r="AJ577" i="10" s="1"/>
  <c r="AD577" i="10"/>
  <c r="W577" i="10"/>
  <c r="R577" i="10"/>
  <c r="S577" i="10" s="1"/>
  <c r="L577" i="10"/>
  <c r="BA576" i="10"/>
  <c r="AS576" i="10"/>
  <c r="AM576" i="10"/>
  <c r="AJ576" i="10" s="1"/>
  <c r="AD576" i="10"/>
  <c r="W576" i="10"/>
  <c r="R576" i="10"/>
  <c r="S576" i="10" s="1"/>
  <c r="L576" i="10"/>
  <c r="AS575" i="10"/>
  <c r="AO575" i="10" s="1"/>
  <c r="AM575" i="10"/>
  <c r="AD575" i="10"/>
  <c r="L575" i="10"/>
  <c r="AS574" i="10"/>
  <c r="AM574" i="10"/>
  <c r="AJ574" i="10" s="1"/>
  <c r="AD574" i="10"/>
  <c r="L574" i="10"/>
  <c r="AZ573" i="10"/>
  <c r="BA573" i="10" s="1"/>
  <c r="AS573" i="10"/>
  <c r="AM573" i="10"/>
  <c r="AJ573" i="10" s="1"/>
  <c r="AD573" i="10"/>
  <c r="W573" i="10"/>
  <c r="L573" i="10"/>
  <c r="AZ572" i="10"/>
  <c r="AS572" i="10"/>
  <c r="AM572" i="10"/>
  <c r="AJ572" i="10" s="1"/>
  <c r="AD572" i="10"/>
  <c r="AA572" i="10" s="1"/>
  <c r="W572" i="10"/>
  <c r="R572" i="10"/>
  <c r="S572" i="10" s="1"/>
  <c r="L572" i="10"/>
  <c r="BA571" i="10"/>
  <c r="AS571" i="10"/>
  <c r="AO571" i="10" s="1"/>
  <c r="AM571" i="10"/>
  <c r="AD571" i="10"/>
  <c r="W571" i="10"/>
  <c r="R571" i="10"/>
  <c r="S571" i="10" s="1"/>
  <c r="L571" i="10"/>
  <c r="BA570" i="10"/>
  <c r="AS570" i="10"/>
  <c r="BO570" i="10" s="1"/>
  <c r="AM570" i="10"/>
  <c r="AD570" i="10"/>
  <c r="W570" i="10"/>
  <c r="R570" i="10"/>
  <c r="S570" i="10" s="1"/>
  <c r="L570" i="10"/>
  <c r="BA569" i="10"/>
  <c r="AS569" i="10"/>
  <c r="AM569" i="10"/>
  <c r="AD569" i="10"/>
  <c r="W569" i="10"/>
  <c r="R569" i="10"/>
  <c r="S569" i="10" s="1"/>
  <c r="L569" i="10"/>
  <c r="BA568" i="10"/>
  <c r="AS568" i="10"/>
  <c r="AM568" i="10"/>
  <c r="AJ568" i="10" s="1"/>
  <c r="AD568" i="10"/>
  <c r="W568" i="10"/>
  <c r="R568" i="10"/>
  <c r="S568" i="10" s="1"/>
  <c r="L568" i="10"/>
  <c r="BA567" i="10"/>
  <c r="AS567" i="10"/>
  <c r="AM567" i="10"/>
  <c r="AJ567" i="10" s="1"/>
  <c r="AD567" i="10"/>
  <c r="W567" i="10"/>
  <c r="R567" i="10"/>
  <c r="S567" i="10" s="1"/>
  <c r="L567" i="10"/>
  <c r="AZ566" i="10"/>
  <c r="BA566" i="10" s="1"/>
  <c r="AS566" i="10"/>
  <c r="AM566" i="10"/>
  <c r="AJ566" i="10" s="1"/>
  <c r="AD566" i="10"/>
  <c r="AA566" i="10" s="1"/>
  <c r="W566" i="10"/>
  <c r="R566" i="10"/>
  <c r="S566" i="10" s="1"/>
  <c r="J566" i="10"/>
  <c r="L566" i="10" s="1"/>
  <c r="BA565" i="10"/>
  <c r="AS565" i="10"/>
  <c r="AO565" i="10" s="1"/>
  <c r="AM565" i="10"/>
  <c r="AJ565" i="10" s="1"/>
  <c r="AD565" i="10"/>
  <c r="W565" i="10"/>
  <c r="R565" i="10"/>
  <c r="S565" i="10" s="1"/>
  <c r="L565" i="10"/>
  <c r="BA564" i="10"/>
  <c r="AS564" i="10"/>
  <c r="AM564" i="10"/>
  <c r="AJ564" i="10" s="1"/>
  <c r="AD564" i="10"/>
  <c r="W564" i="10"/>
  <c r="R564" i="10"/>
  <c r="S564" i="10" s="1"/>
  <c r="L564" i="10"/>
  <c r="BA563" i="10"/>
  <c r="AS563" i="10"/>
  <c r="AM563" i="10"/>
  <c r="AJ563" i="10" s="1"/>
  <c r="AD563" i="10"/>
  <c r="W563" i="10"/>
  <c r="R563" i="10"/>
  <c r="S563" i="10" s="1"/>
  <c r="L563" i="10"/>
  <c r="BA562" i="10"/>
  <c r="AS562" i="10"/>
  <c r="AM562" i="10"/>
  <c r="AJ562" i="10" s="1"/>
  <c r="AD562" i="10"/>
  <c r="W562" i="10"/>
  <c r="R562" i="10"/>
  <c r="S562" i="10" s="1"/>
  <c r="L562" i="10"/>
  <c r="BA561" i="10"/>
  <c r="AS561" i="10"/>
  <c r="AM561" i="10"/>
  <c r="AD561" i="10"/>
  <c r="W561" i="10"/>
  <c r="R561" i="10"/>
  <c r="S561" i="10" s="1"/>
  <c r="L561" i="10"/>
  <c r="BA560" i="10"/>
  <c r="AS560" i="10"/>
  <c r="AM560" i="10"/>
  <c r="AJ560" i="10" s="1"/>
  <c r="AD560" i="10"/>
  <c r="AV560" i="10" s="1"/>
  <c r="W560" i="10"/>
  <c r="R560" i="10"/>
  <c r="S560" i="10" s="1"/>
  <c r="L560" i="10"/>
  <c r="AS559" i="10"/>
  <c r="AM559" i="10"/>
  <c r="AD559" i="10"/>
  <c r="R559" i="10"/>
  <c r="S559" i="10" s="1"/>
  <c r="L559" i="10"/>
  <c r="BA558" i="10"/>
  <c r="AS558" i="10"/>
  <c r="AM558" i="10"/>
  <c r="AJ558" i="10" s="1"/>
  <c r="AD558" i="10"/>
  <c r="AV558" i="10" s="1"/>
  <c r="W558" i="10"/>
  <c r="R558" i="10"/>
  <c r="S558" i="10" s="1"/>
  <c r="L558" i="10"/>
  <c r="AZ557" i="10"/>
  <c r="BA557" i="10" s="1"/>
  <c r="AS557" i="10"/>
  <c r="AO557" i="10" s="1"/>
  <c r="AM557" i="10"/>
  <c r="AD557" i="10"/>
  <c r="AV557" i="10" s="1"/>
  <c r="W557" i="10"/>
  <c r="R557" i="10"/>
  <c r="S557" i="10" s="1"/>
  <c r="L557" i="10"/>
  <c r="AS556" i="10"/>
  <c r="AM556" i="10"/>
  <c r="AD556" i="10"/>
  <c r="AA556" i="10" s="1"/>
  <c r="L556" i="10"/>
  <c r="AZ555" i="10"/>
  <c r="AS555" i="10"/>
  <c r="AM555" i="10"/>
  <c r="AJ555" i="10" s="1"/>
  <c r="AD555" i="10"/>
  <c r="R555" i="10"/>
  <c r="S555" i="10" s="1"/>
  <c r="L555" i="10"/>
  <c r="BA554" i="10"/>
  <c r="AS554" i="10"/>
  <c r="AO554" i="10" s="1"/>
  <c r="AM554" i="10"/>
  <c r="AJ554" i="10" s="1"/>
  <c r="AD554" i="10"/>
  <c r="W554" i="10"/>
  <c r="R554" i="10"/>
  <c r="S554" i="10" s="1"/>
  <c r="L554" i="10"/>
  <c r="BA553" i="10"/>
  <c r="AS553" i="10"/>
  <c r="AM553" i="10"/>
  <c r="AD553" i="10"/>
  <c r="W553" i="10"/>
  <c r="R553" i="10"/>
  <c r="S553" i="10" s="1"/>
  <c r="L553" i="10"/>
  <c r="BA552" i="10"/>
  <c r="AS552" i="10"/>
  <c r="AM552" i="10"/>
  <c r="AJ552" i="10" s="1"/>
  <c r="AD552" i="10"/>
  <c r="W552" i="10"/>
  <c r="R552" i="10"/>
  <c r="S552" i="10" s="1"/>
  <c r="L552" i="10"/>
  <c r="BA551" i="10"/>
  <c r="AS551" i="10"/>
  <c r="AM551" i="10"/>
  <c r="AD551" i="10"/>
  <c r="AV551" i="10" s="1"/>
  <c r="W551" i="10"/>
  <c r="R551" i="10"/>
  <c r="S551" i="10" s="1"/>
  <c r="L551" i="10"/>
  <c r="BA550" i="10"/>
  <c r="AS550" i="10"/>
  <c r="AO550" i="10" s="1"/>
  <c r="AM550" i="10"/>
  <c r="AD550" i="10"/>
  <c r="AV550" i="10" s="1"/>
  <c r="W550" i="10"/>
  <c r="R550" i="10"/>
  <c r="S550" i="10" s="1"/>
  <c r="L550" i="10"/>
  <c r="AS549" i="10"/>
  <c r="AO549" i="10" s="1"/>
  <c r="AM549" i="10"/>
  <c r="AD549" i="10"/>
  <c r="R549" i="10"/>
  <c r="S549" i="10" s="1"/>
  <c r="L549" i="10"/>
  <c r="AS548" i="10"/>
  <c r="AO548" i="10" s="1"/>
  <c r="AM548" i="10"/>
  <c r="AJ548" i="10" s="1"/>
  <c r="AD548" i="10"/>
  <c r="AA548" i="10" s="1"/>
  <c r="L548" i="10"/>
  <c r="BA547" i="10"/>
  <c r="AS547" i="10"/>
  <c r="AM547" i="10"/>
  <c r="AJ547" i="10" s="1"/>
  <c r="AD547" i="10"/>
  <c r="AV547" i="10" s="1"/>
  <c r="W547" i="10"/>
  <c r="R547" i="10"/>
  <c r="S547" i="10" s="1"/>
  <c r="L547" i="10"/>
  <c r="BA546" i="10"/>
  <c r="AS546" i="10"/>
  <c r="BO546" i="10" s="1"/>
  <c r="AM546" i="10"/>
  <c r="AD546" i="10"/>
  <c r="W546" i="10"/>
  <c r="R546" i="10"/>
  <c r="S546" i="10" s="1"/>
  <c r="L546" i="10"/>
  <c r="BA545" i="10"/>
  <c r="AS545" i="10"/>
  <c r="AM545" i="10"/>
  <c r="AJ545" i="10" s="1"/>
  <c r="AD545" i="10"/>
  <c r="W545" i="10"/>
  <c r="R545" i="10"/>
  <c r="S545" i="10" s="1"/>
  <c r="L545" i="10"/>
  <c r="BA544" i="10"/>
  <c r="AS544" i="10"/>
  <c r="AM544" i="10"/>
  <c r="AJ544" i="10" s="1"/>
  <c r="AD544" i="10"/>
  <c r="W544" i="10"/>
  <c r="R544" i="10"/>
  <c r="S544" i="10" s="1"/>
  <c r="L544" i="10"/>
  <c r="BA543" i="10"/>
  <c r="AS543" i="10"/>
  <c r="AM543" i="10"/>
  <c r="AJ543" i="10" s="1"/>
  <c r="AD543" i="10"/>
  <c r="AV543" i="10" s="1"/>
  <c r="W543" i="10"/>
  <c r="R543" i="10"/>
  <c r="S543" i="10" s="1"/>
  <c r="L543" i="10"/>
  <c r="AZ542" i="10"/>
  <c r="AS542" i="10"/>
  <c r="AO542" i="10" s="1"/>
  <c r="AM542" i="10"/>
  <c r="AJ542" i="10" s="1"/>
  <c r="AD542" i="10"/>
  <c r="R542" i="10"/>
  <c r="S542" i="10" s="1"/>
  <c r="L542" i="10"/>
  <c r="AZ541" i="10"/>
  <c r="AM541" i="10"/>
  <c r="AJ541" i="10" s="1"/>
  <c r="AD541" i="10"/>
  <c r="AA541" i="10" s="1"/>
  <c r="L541" i="10"/>
  <c r="AR540" i="10"/>
  <c r="K540" i="10"/>
  <c r="J540" i="10"/>
  <c r="BA539" i="10"/>
  <c r="AS539" i="10"/>
  <c r="AO539" i="10" s="1"/>
  <c r="AM539" i="10"/>
  <c r="AJ539" i="10" s="1"/>
  <c r="AD539" i="10"/>
  <c r="R539" i="10"/>
  <c r="S539" i="10" s="1"/>
  <c r="L539" i="10"/>
  <c r="BA538" i="10"/>
  <c r="AS538" i="10"/>
  <c r="AM538" i="10"/>
  <c r="AJ538" i="10" s="1"/>
  <c r="AD538" i="10"/>
  <c r="AA538" i="10" s="1"/>
  <c r="V535" i="10"/>
  <c r="Q535" i="10"/>
  <c r="L538" i="10"/>
  <c r="BA537" i="10"/>
  <c r="AS537" i="10"/>
  <c r="AO537" i="10" s="1"/>
  <c r="AM537" i="10"/>
  <c r="AD537" i="10"/>
  <c r="W537" i="10"/>
  <c r="R537" i="10"/>
  <c r="S537" i="10" s="1"/>
  <c r="L537" i="10"/>
  <c r="AS536" i="10"/>
  <c r="AM536" i="10"/>
  <c r="AJ536" i="10" s="1"/>
  <c r="AD536" i="10"/>
  <c r="W536" i="10"/>
  <c r="L536" i="10"/>
  <c r="AZ535" i="10"/>
  <c r="AR535" i="10"/>
  <c r="K535" i="10"/>
  <c r="J535" i="10"/>
  <c r="L535" i="10" s="1"/>
  <c r="AZ531" i="10"/>
  <c r="AS534" i="10"/>
  <c r="AM534" i="10"/>
  <c r="AJ534" i="10" s="1"/>
  <c r="AD534" i="10"/>
  <c r="W534" i="10"/>
  <c r="Q531" i="10"/>
  <c r="L534" i="10"/>
  <c r="BA533" i="10"/>
  <c r="AS533" i="10"/>
  <c r="AM533" i="10"/>
  <c r="AJ533" i="10" s="1"/>
  <c r="AD533" i="10"/>
  <c r="W533" i="10"/>
  <c r="R533" i="10"/>
  <c r="S533" i="10" s="1"/>
  <c r="L533" i="10"/>
  <c r="BA532" i="10"/>
  <c r="AS532" i="10"/>
  <c r="BH532" i="10" s="1"/>
  <c r="AM532" i="10"/>
  <c r="AJ532" i="10" s="1"/>
  <c r="AD532" i="10"/>
  <c r="AA532" i="10" s="1"/>
  <c r="W532" i="10"/>
  <c r="R532" i="10"/>
  <c r="L532" i="10"/>
  <c r="AR531" i="10"/>
  <c r="V531" i="10"/>
  <c r="K531" i="10"/>
  <c r="J531" i="10"/>
  <c r="AM530" i="10"/>
  <c r="AD530" i="10"/>
  <c r="AA530" i="10" s="1"/>
  <c r="V529" i="10"/>
  <c r="U529" i="10"/>
  <c r="L530" i="10"/>
  <c r="AR529" i="10"/>
  <c r="Q529" i="10"/>
  <c r="K529" i="10"/>
  <c r="J529" i="10"/>
  <c r="AS528" i="10"/>
  <c r="AM528" i="10"/>
  <c r="AD528" i="10"/>
  <c r="L528" i="10"/>
  <c r="AZ527" i="10"/>
  <c r="BA527" i="10" s="1"/>
  <c r="AS527" i="10"/>
  <c r="AM527" i="10"/>
  <c r="AD527" i="10"/>
  <c r="L527" i="10"/>
  <c r="BA526" i="10"/>
  <c r="AS526" i="10"/>
  <c r="AM526" i="10"/>
  <c r="AJ526" i="10" s="1"/>
  <c r="AD526" i="10"/>
  <c r="AA526" i="10" s="1"/>
  <c r="W526" i="10"/>
  <c r="R526" i="10"/>
  <c r="S526" i="10" s="1"/>
  <c r="L526" i="10"/>
  <c r="BA525" i="10"/>
  <c r="AS525" i="10"/>
  <c r="AM525" i="10"/>
  <c r="AJ525" i="10" s="1"/>
  <c r="AD525" i="10"/>
  <c r="W525" i="10"/>
  <c r="R525" i="10"/>
  <c r="S525" i="10" s="1"/>
  <c r="L525" i="10"/>
  <c r="AM524" i="10"/>
  <c r="AD524" i="10"/>
  <c r="L524" i="10"/>
  <c r="AR523" i="10"/>
  <c r="K523" i="10"/>
  <c r="J523" i="10"/>
  <c r="BA522" i="10"/>
  <c r="AS522" i="10"/>
  <c r="AM522" i="10"/>
  <c r="AJ522" i="10" s="1"/>
  <c r="AD522" i="10"/>
  <c r="AA522" i="10" s="1"/>
  <c r="W522" i="10"/>
  <c r="R522" i="10"/>
  <c r="S522" i="10" s="1"/>
  <c r="L522" i="10"/>
  <c r="BA521" i="10"/>
  <c r="AS521" i="10"/>
  <c r="AM521" i="10"/>
  <c r="AJ521" i="10" s="1"/>
  <c r="AD521" i="10"/>
  <c r="AA521" i="10" s="1"/>
  <c r="W521" i="10"/>
  <c r="R521" i="10"/>
  <c r="S521" i="10" s="1"/>
  <c r="L521" i="10"/>
  <c r="AZ520" i="10"/>
  <c r="BA520" i="10" s="1"/>
  <c r="AS520" i="10"/>
  <c r="BH520" i="10" s="1"/>
  <c r="BM520" i="10" s="1"/>
  <c r="AM520" i="10"/>
  <c r="AD520" i="10"/>
  <c r="L520" i="10"/>
  <c r="BA519" i="10"/>
  <c r="AS519" i="10"/>
  <c r="AO519" i="10" s="1"/>
  <c r="AM519" i="10"/>
  <c r="AJ519" i="10" s="1"/>
  <c r="AD519" i="10"/>
  <c r="W519" i="10"/>
  <c r="R519" i="10"/>
  <c r="S519" i="10" s="1"/>
  <c r="L519" i="10"/>
  <c r="BA518" i="10"/>
  <c r="AS518" i="10"/>
  <c r="AO518" i="10" s="1"/>
  <c r="AM518" i="10"/>
  <c r="AD518" i="10"/>
  <c r="AV518" i="10" s="1"/>
  <c r="W518" i="10"/>
  <c r="R518" i="10"/>
  <c r="S518" i="10" s="1"/>
  <c r="L518" i="10"/>
  <c r="BA517" i="10"/>
  <c r="AS517" i="10"/>
  <c r="AO517" i="10" s="1"/>
  <c r="AM517" i="10"/>
  <c r="AJ517" i="10" s="1"/>
  <c r="AD517" i="10"/>
  <c r="AV517" i="10" s="1"/>
  <c r="W517" i="10"/>
  <c r="R517" i="10"/>
  <c r="S517" i="10" s="1"/>
  <c r="L517" i="10"/>
  <c r="BA516" i="10"/>
  <c r="AS516" i="10"/>
  <c r="AM516" i="10"/>
  <c r="AJ516" i="10" s="1"/>
  <c r="AD516" i="10"/>
  <c r="W516" i="10"/>
  <c r="R516" i="10"/>
  <c r="S516" i="10" s="1"/>
  <c r="L516" i="10"/>
  <c r="BA515" i="10"/>
  <c r="AS515" i="10"/>
  <c r="AM515" i="10"/>
  <c r="AJ515" i="10" s="1"/>
  <c r="AD515" i="10"/>
  <c r="W515" i="10"/>
  <c r="R515" i="10"/>
  <c r="S515" i="10" s="1"/>
  <c r="L515" i="10"/>
  <c r="AS514" i="10"/>
  <c r="AM514" i="10"/>
  <c r="AJ514" i="10" s="1"/>
  <c r="AD514" i="10"/>
  <c r="L514" i="10"/>
  <c r="BA513" i="10"/>
  <c r="AS513" i="10"/>
  <c r="AO513" i="10" s="1"/>
  <c r="AM513" i="10"/>
  <c r="AJ513" i="10"/>
  <c r="AD513" i="10"/>
  <c r="AV513" i="10" s="1"/>
  <c r="W513" i="10"/>
  <c r="R513" i="10"/>
  <c r="S513" i="10" s="1"/>
  <c r="L513" i="10"/>
  <c r="AZ512" i="10"/>
  <c r="AS512" i="10"/>
  <c r="AO512" i="10" s="1"/>
  <c r="AM512" i="10"/>
  <c r="AD512" i="10"/>
  <c r="R512" i="10"/>
  <c r="S512" i="10" s="1"/>
  <c r="L512" i="10"/>
  <c r="BA511" i="10"/>
  <c r="AS511" i="10"/>
  <c r="AO511" i="10" s="1"/>
  <c r="AM511" i="10"/>
  <c r="AN511" i="10" s="1"/>
  <c r="AJ511" i="10"/>
  <c r="AD511" i="10"/>
  <c r="AV511" i="10" s="1"/>
  <c r="W511" i="10"/>
  <c r="R511" i="10"/>
  <c r="S511" i="10" s="1"/>
  <c r="L511" i="10"/>
  <c r="AS510" i="10"/>
  <c r="AO510" i="10" s="1"/>
  <c r="AM510" i="10"/>
  <c r="AD510" i="10"/>
  <c r="AV510" i="10" s="1"/>
  <c r="L510" i="10"/>
  <c r="AZ509" i="10"/>
  <c r="AS509" i="10"/>
  <c r="AO509" i="10" s="1"/>
  <c r="AM509" i="10"/>
  <c r="AJ509" i="10"/>
  <c r="AD509" i="10"/>
  <c r="R509" i="10"/>
  <c r="S509" i="10" s="1"/>
  <c r="L509" i="10"/>
  <c r="BA508" i="10"/>
  <c r="AM508" i="10"/>
  <c r="AD508" i="10"/>
  <c r="AV508" i="10" s="1"/>
  <c r="AA508" i="10"/>
  <c r="W508" i="10"/>
  <c r="R508" i="10"/>
  <c r="S508" i="10" s="1"/>
  <c r="L508" i="10"/>
  <c r="BA507" i="10"/>
  <c r="AS507" i="10"/>
  <c r="AM507" i="10"/>
  <c r="AJ507" i="10" s="1"/>
  <c r="AD507" i="10"/>
  <c r="W507" i="10"/>
  <c r="R507" i="10"/>
  <c r="S507" i="10" s="1"/>
  <c r="L507" i="10"/>
  <c r="BA506" i="10"/>
  <c r="AS506" i="10"/>
  <c r="AO506" i="10" s="1"/>
  <c r="AM506" i="10"/>
  <c r="AJ506" i="10"/>
  <c r="AD506" i="10"/>
  <c r="AV506" i="10" s="1"/>
  <c r="W506" i="10"/>
  <c r="R506" i="10"/>
  <c r="S506" i="10" s="1"/>
  <c r="L506" i="10"/>
  <c r="BA505" i="10"/>
  <c r="AS505" i="10"/>
  <c r="AM505" i="10"/>
  <c r="AJ505" i="10" s="1"/>
  <c r="AD505" i="10"/>
  <c r="AV505" i="10" s="1"/>
  <c r="AA505" i="10"/>
  <c r="W505" i="10"/>
  <c r="R505" i="10"/>
  <c r="S505" i="10" s="1"/>
  <c r="L505" i="10"/>
  <c r="AZ504" i="10"/>
  <c r="BA504" i="10" s="1"/>
  <c r="AS504" i="10"/>
  <c r="AO504" i="10" s="1"/>
  <c r="AM504" i="10"/>
  <c r="AJ504" i="10"/>
  <c r="AD504" i="10"/>
  <c r="AV504" i="10" s="1"/>
  <c r="L504" i="10"/>
  <c r="AS503" i="10"/>
  <c r="AM503" i="10"/>
  <c r="AJ503" i="10" s="1"/>
  <c r="AD503" i="10"/>
  <c r="AA503" i="10" s="1"/>
  <c r="R503" i="10"/>
  <c r="L503" i="10"/>
  <c r="AR502" i="10"/>
  <c r="K502" i="10"/>
  <c r="J502" i="10"/>
  <c r="BO498" i="10"/>
  <c r="AV498" i="10"/>
  <c r="AU498" i="10"/>
  <c r="AO498" i="10"/>
  <c r="AN498" i="10"/>
  <c r="AJ498" i="10"/>
  <c r="AA498" i="10"/>
  <c r="S498" i="10"/>
  <c r="BA497" i="10"/>
  <c r="AS497" i="10"/>
  <c r="AM497" i="10"/>
  <c r="AJ497" i="10" s="1"/>
  <c r="AD497" i="10"/>
  <c r="AV497" i="10" s="1"/>
  <c r="W497" i="10"/>
  <c r="R497" i="10"/>
  <c r="S497" i="10" s="1"/>
  <c r="L497" i="10"/>
  <c r="BA496" i="10"/>
  <c r="AS496" i="10"/>
  <c r="AO496" i="10" s="1"/>
  <c r="AM496" i="10"/>
  <c r="AJ496" i="10" s="1"/>
  <c r="AD496" i="10"/>
  <c r="AV496" i="10" s="1"/>
  <c r="W496" i="10"/>
  <c r="R496" i="10"/>
  <c r="S496" i="10" s="1"/>
  <c r="L496" i="10"/>
  <c r="BA495" i="10"/>
  <c r="AS495" i="10"/>
  <c r="AM495" i="10"/>
  <c r="AD495" i="10"/>
  <c r="AV495" i="10" s="1"/>
  <c r="AA495" i="10"/>
  <c r="W495" i="10"/>
  <c r="L495" i="10"/>
  <c r="BA494" i="10"/>
  <c r="AS494" i="10"/>
  <c r="BH494" i="10" s="1"/>
  <c r="BM494" i="10" s="1"/>
  <c r="BO494" i="10" s="1"/>
  <c r="AM494" i="10"/>
  <c r="AD494" i="10"/>
  <c r="AV494" i="10" s="1"/>
  <c r="AA494" i="10"/>
  <c r="W494" i="10"/>
  <c r="L494" i="10"/>
  <c r="BA493" i="10"/>
  <c r="AS493" i="10"/>
  <c r="AM493" i="10"/>
  <c r="AD493" i="10"/>
  <c r="AV493" i="10" s="1"/>
  <c r="AA493" i="10"/>
  <c r="W493" i="10"/>
  <c r="R493" i="10"/>
  <c r="S493" i="10" s="1"/>
  <c r="L493" i="10"/>
  <c r="BA492" i="10"/>
  <c r="AS492" i="10"/>
  <c r="AM492" i="10"/>
  <c r="AJ492" i="10"/>
  <c r="AD492" i="10"/>
  <c r="AA492" i="10" s="1"/>
  <c r="W492" i="10"/>
  <c r="R492" i="10"/>
  <c r="S492" i="10" s="1"/>
  <c r="L492" i="10"/>
  <c r="BA491" i="10"/>
  <c r="AS491" i="10"/>
  <c r="AO491" i="10" s="1"/>
  <c r="AM491" i="10"/>
  <c r="AJ491" i="10" s="1"/>
  <c r="AD491" i="10"/>
  <c r="AA491" i="10" s="1"/>
  <c r="W491" i="10"/>
  <c r="L491" i="10"/>
  <c r="AM490" i="10"/>
  <c r="AJ490" i="10" s="1"/>
  <c r="AD490" i="10"/>
  <c r="AV490" i="10" s="1"/>
  <c r="AA490" i="10"/>
  <c r="W490" i="10"/>
  <c r="L490" i="10"/>
  <c r="AZ489" i="10"/>
  <c r="AZ488" i="10" s="1"/>
  <c r="AR489" i="10"/>
  <c r="AR488" i="10" s="1"/>
  <c r="V489" i="10"/>
  <c r="K489" i="10"/>
  <c r="K488" i="10" s="1"/>
  <c r="J489" i="10"/>
  <c r="J488" i="10" s="1"/>
  <c r="V488" i="10"/>
  <c r="AZ438" i="10"/>
  <c r="AZ437" i="10" s="1"/>
  <c r="AS487" i="10"/>
  <c r="AM487" i="10"/>
  <c r="AJ487" i="10" s="1"/>
  <c r="AD487" i="10"/>
  <c r="AV487" i="10" s="1"/>
  <c r="V487" i="10"/>
  <c r="L487" i="10"/>
  <c r="BA486" i="10"/>
  <c r="AS486" i="10"/>
  <c r="AO486" i="10" s="1"/>
  <c r="AM486" i="10"/>
  <c r="AJ486" i="10" s="1"/>
  <c r="AD486" i="10"/>
  <c r="AV486" i="10" s="1"/>
  <c r="AA486" i="10"/>
  <c r="W486" i="10"/>
  <c r="R486" i="10"/>
  <c r="S486" i="10" s="1"/>
  <c r="L486" i="10"/>
  <c r="BA485" i="10"/>
  <c r="AS485" i="10"/>
  <c r="AM485" i="10"/>
  <c r="AD485" i="10"/>
  <c r="W485" i="10"/>
  <c r="R485" i="10"/>
  <c r="S485" i="10" s="1"/>
  <c r="L485" i="10"/>
  <c r="BA484" i="10"/>
  <c r="AS484" i="10"/>
  <c r="AM484" i="10"/>
  <c r="AD484" i="10"/>
  <c r="AV484" i="10" s="1"/>
  <c r="AA484" i="10"/>
  <c r="W484" i="10"/>
  <c r="R484" i="10"/>
  <c r="S484" i="10" s="1"/>
  <c r="L484" i="10"/>
  <c r="BA483" i="10"/>
  <c r="AS483" i="10"/>
  <c r="BH483" i="10" s="1"/>
  <c r="BM483" i="10" s="1"/>
  <c r="BO483" i="10" s="1"/>
  <c r="AM483" i="10"/>
  <c r="AJ483" i="10" s="1"/>
  <c r="AD483" i="10"/>
  <c r="W483" i="10"/>
  <c r="R483" i="10"/>
  <c r="S483" i="10" s="1"/>
  <c r="L483" i="10"/>
  <c r="BA482" i="10"/>
  <c r="AS482" i="10"/>
  <c r="AM482" i="10"/>
  <c r="AD482" i="10"/>
  <c r="W482" i="10"/>
  <c r="R482" i="10"/>
  <c r="S482" i="10" s="1"/>
  <c r="L482" i="10"/>
  <c r="BA481" i="10"/>
  <c r="AS481" i="10"/>
  <c r="AM481" i="10"/>
  <c r="AJ481" i="10" s="1"/>
  <c r="AD481" i="10"/>
  <c r="W481" i="10"/>
  <c r="R481" i="10"/>
  <c r="S481" i="10" s="1"/>
  <c r="L481" i="10"/>
  <c r="BA480" i="10"/>
  <c r="AS480" i="10"/>
  <c r="AM480" i="10"/>
  <c r="AD480" i="10"/>
  <c r="V480" i="10"/>
  <c r="W480" i="10" s="1"/>
  <c r="L480" i="10"/>
  <c r="BA479" i="10"/>
  <c r="AS479" i="10"/>
  <c r="AM479" i="10"/>
  <c r="AD479" i="10"/>
  <c r="AV479" i="10" s="1"/>
  <c r="V479" i="10"/>
  <c r="L479" i="10"/>
  <c r="BA478" i="10"/>
  <c r="AS478" i="10"/>
  <c r="AM478" i="10"/>
  <c r="AJ478" i="10" s="1"/>
  <c r="AD478" i="10"/>
  <c r="V478" i="10"/>
  <c r="L478" i="10"/>
  <c r="BA477" i="10"/>
  <c r="AS477" i="10"/>
  <c r="AM477" i="10"/>
  <c r="AD477" i="10"/>
  <c r="W477" i="10"/>
  <c r="L477" i="10"/>
  <c r="BA476" i="10"/>
  <c r="AS476" i="10"/>
  <c r="BH476" i="10" s="1"/>
  <c r="BM476" i="10" s="1"/>
  <c r="BO476" i="10" s="1"/>
  <c r="AM476" i="10"/>
  <c r="AJ476" i="10"/>
  <c r="AD476" i="10"/>
  <c r="AV476" i="10" s="1"/>
  <c r="AA476" i="10"/>
  <c r="V476" i="10"/>
  <c r="L476" i="10"/>
  <c r="BA475" i="10"/>
  <c r="AS475" i="10"/>
  <c r="AO475" i="10" s="1"/>
  <c r="AM475" i="10"/>
  <c r="AJ475" i="10"/>
  <c r="AD475" i="10"/>
  <c r="W475" i="10"/>
  <c r="R475" i="10"/>
  <c r="S475" i="10" s="1"/>
  <c r="L475" i="10"/>
  <c r="BA474" i="10"/>
  <c r="AS474" i="10"/>
  <c r="AM474" i="10"/>
  <c r="AD474" i="10"/>
  <c r="W474" i="10"/>
  <c r="L474" i="10"/>
  <c r="BA473" i="10"/>
  <c r="AS473" i="10"/>
  <c r="AM473" i="10"/>
  <c r="AJ473" i="10" s="1"/>
  <c r="AD473" i="10"/>
  <c r="W473" i="10"/>
  <c r="L473" i="10"/>
  <c r="BA472" i="10"/>
  <c r="AS472" i="10"/>
  <c r="AO472" i="10" s="1"/>
  <c r="AM472" i="10"/>
  <c r="AJ472" i="10"/>
  <c r="AD472" i="10"/>
  <c r="AA472" i="10" s="1"/>
  <c r="W472" i="10"/>
  <c r="L472" i="10"/>
  <c r="BA471" i="10"/>
  <c r="AS471" i="10"/>
  <c r="AM471" i="10"/>
  <c r="AJ471" i="10" s="1"/>
  <c r="AD471" i="10"/>
  <c r="W471" i="10"/>
  <c r="L471" i="10"/>
  <c r="BA470" i="10"/>
  <c r="AS470" i="10"/>
  <c r="AO470" i="10" s="1"/>
  <c r="AM470" i="10"/>
  <c r="AJ470" i="10" s="1"/>
  <c r="AD470" i="10"/>
  <c r="AV470" i="10" s="1"/>
  <c r="W470" i="10"/>
  <c r="L470" i="10"/>
  <c r="BA469" i="10"/>
  <c r="AS469" i="10"/>
  <c r="AM469" i="10"/>
  <c r="AD469" i="10"/>
  <c r="AV469" i="10" s="1"/>
  <c r="W469" i="10"/>
  <c r="L469" i="10"/>
  <c r="BA468" i="10"/>
  <c r="AS468" i="10"/>
  <c r="AM468" i="10"/>
  <c r="AJ468" i="10" s="1"/>
  <c r="AD468" i="10"/>
  <c r="AV468" i="10" s="1"/>
  <c r="AA468" i="10"/>
  <c r="V468" i="10"/>
  <c r="W468" i="10"/>
  <c r="L468" i="10"/>
  <c r="BA467" i="10"/>
  <c r="AS467" i="10"/>
  <c r="AM467" i="10"/>
  <c r="AJ467" i="10" s="1"/>
  <c r="AD467" i="10"/>
  <c r="AA467" i="10" s="1"/>
  <c r="V467" i="10"/>
  <c r="W467" i="10"/>
  <c r="L467" i="10"/>
  <c r="BA466" i="10"/>
  <c r="AS466" i="10"/>
  <c r="AM466" i="10"/>
  <c r="AJ466" i="10" s="1"/>
  <c r="AD466" i="10"/>
  <c r="V466" i="10"/>
  <c r="W466" i="10"/>
  <c r="L466" i="10"/>
  <c r="BA465" i="10"/>
  <c r="AS465" i="10"/>
  <c r="BH465" i="10" s="1"/>
  <c r="BM465" i="10" s="1"/>
  <c r="BO465" i="10" s="1"/>
  <c r="AM465" i="10"/>
  <c r="AJ465" i="10" s="1"/>
  <c r="AD465" i="10"/>
  <c r="V465" i="10"/>
  <c r="L465" i="10"/>
  <c r="BA464" i="10"/>
  <c r="AS464" i="10"/>
  <c r="AM464" i="10"/>
  <c r="AD464" i="10"/>
  <c r="AV464" i="10" s="1"/>
  <c r="V464" i="10"/>
  <c r="W464" i="10"/>
  <c r="L464" i="10"/>
  <c r="BA463" i="10"/>
  <c r="AS463" i="10"/>
  <c r="AM463" i="10"/>
  <c r="AJ463" i="10" s="1"/>
  <c r="AD463" i="10"/>
  <c r="V463" i="10"/>
  <c r="W463" i="10" s="1"/>
  <c r="L463" i="10"/>
  <c r="BA462" i="10"/>
  <c r="AS462" i="10"/>
  <c r="AM462" i="10"/>
  <c r="AJ462" i="10" s="1"/>
  <c r="AD462" i="10"/>
  <c r="V462" i="10"/>
  <c r="W462" i="10"/>
  <c r="L462" i="10"/>
  <c r="BA461" i="10"/>
  <c r="AS461" i="10"/>
  <c r="AM461" i="10"/>
  <c r="AD461" i="10"/>
  <c r="AV461" i="10" s="1"/>
  <c r="AA461" i="10"/>
  <c r="V461" i="10"/>
  <c r="L461" i="10"/>
  <c r="BA460" i="10"/>
  <c r="AS460" i="10"/>
  <c r="AM460" i="10"/>
  <c r="AJ460" i="10" s="1"/>
  <c r="AD460" i="10"/>
  <c r="AV460" i="10" s="1"/>
  <c r="V460" i="10"/>
  <c r="W460" i="10"/>
  <c r="L460" i="10"/>
  <c r="BA459" i="10"/>
  <c r="AS459" i="10"/>
  <c r="AO459" i="10" s="1"/>
  <c r="AM459" i="10"/>
  <c r="AJ459" i="10" s="1"/>
  <c r="AD459" i="10"/>
  <c r="W459" i="10"/>
  <c r="R459" i="10"/>
  <c r="S459" i="10" s="1"/>
  <c r="L459" i="10"/>
  <c r="BA458" i="10"/>
  <c r="AS458" i="10"/>
  <c r="AM458" i="10"/>
  <c r="AJ458" i="10" s="1"/>
  <c r="AD458" i="10"/>
  <c r="W458" i="10"/>
  <c r="R458" i="10"/>
  <c r="S458" i="10" s="1"/>
  <c r="L458" i="10"/>
  <c r="BA457" i="10"/>
  <c r="AS457" i="10"/>
  <c r="BH457" i="10" s="1"/>
  <c r="BM457" i="10" s="1"/>
  <c r="BO457" i="10" s="1"/>
  <c r="AO457" i="10"/>
  <c r="AM457" i="10"/>
  <c r="AJ457" i="10" s="1"/>
  <c r="AD457" i="10"/>
  <c r="AV457" i="10" s="1"/>
  <c r="AA457" i="10"/>
  <c r="W457" i="10"/>
  <c r="R457" i="10"/>
  <c r="S457" i="10" s="1"/>
  <c r="L457" i="10"/>
  <c r="BA456" i="10"/>
  <c r="AS456" i="10"/>
  <c r="AM456" i="10"/>
  <c r="AJ456" i="10" s="1"/>
  <c r="AD456" i="10"/>
  <c r="AV456" i="10" s="1"/>
  <c r="W456" i="10"/>
  <c r="R456" i="10"/>
  <c r="S456" i="10" s="1"/>
  <c r="L456" i="10"/>
  <c r="BA455" i="10"/>
  <c r="AS455" i="10"/>
  <c r="AM455" i="10"/>
  <c r="AJ455" i="10" s="1"/>
  <c r="AD455" i="10"/>
  <c r="AA455" i="10" s="1"/>
  <c r="W455" i="10"/>
  <c r="R455" i="10"/>
  <c r="S455" i="10" s="1"/>
  <c r="L455" i="10"/>
  <c r="BA454" i="10"/>
  <c r="AS454" i="10"/>
  <c r="AM454" i="10"/>
  <c r="AJ454" i="10" s="1"/>
  <c r="AD454" i="10"/>
  <c r="AV454" i="10" s="1"/>
  <c r="AA454" i="10"/>
  <c r="W454" i="10"/>
  <c r="R454" i="10"/>
  <c r="S454" i="10" s="1"/>
  <c r="L454" i="10"/>
  <c r="BA453" i="10"/>
  <c r="AS453" i="10"/>
  <c r="AO453" i="10" s="1"/>
  <c r="AM453" i="10"/>
  <c r="AD453" i="10"/>
  <c r="AA453" i="10" s="1"/>
  <c r="V453" i="10"/>
  <c r="W453" i="10"/>
  <c r="L453" i="10"/>
  <c r="BA452" i="10"/>
  <c r="AS452" i="10"/>
  <c r="AO452" i="10" s="1"/>
  <c r="AM452" i="10"/>
  <c r="AJ452" i="10" s="1"/>
  <c r="AD452" i="10"/>
  <c r="W452" i="10"/>
  <c r="L452" i="10"/>
  <c r="BA451" i="10"/>
  <c r="AS451" i="10"/>
  <c r="BH451" i="10" s="1"/>
  <c r="BM451" i="10" s="1"/>
  <c r="BO451" i="10" s="1"/>
  <c r="AO451" i="10"/>
  <c r="AM451" i="10"/>
  <c r="AD451" i="10"/>
  <c r="AV451" i="10" s="1"/>
  <c r="W451" i="10"/>
  <c r="L451" i="10"/>
  <c r="BA450" i="10"/>
  <c r="AS450" i="10"/>
  <c r="AM450" i="10"/>
  <c r="AD450" i="10"/>
  <c r="AV450" i="10" s="1"/>
  <c r="AA450" i="10"/>
  <c r="W450" i="10"/>
  <c r="R450" i="10"/>
  <c r="S450" i="10" s="1"/>
  <c r="L450" i="10"/>
  <c r="BA449" i="10"/>
  <c r="AS449" i="10"/>
  <c r="AM449" i="10"/>
  <c r="AJ449" i="10" s="1"/>
  <c r="AD449" i="10"/>
  <c r="W449" i="10"/>
  <c r="R449" i="10"/>
  <c r="S449" i="10" s="1"/>
  <c r="L449" i="10"/>
  <c r="BA448" i="10"/>
  <c r="AS448" i="10"/>
  <c r="AM448" i="10"/>
  <c r="AD448" i="10"/>
  <c r="V448" i="10"/>
  <c r="L448" i="10"/>
  <c r="BA447" i="10"/>
  <c r="AS447" i="10"/>
  <c r="AM447" i="10"/>
  <c r="AJ447" i="10" s="1"/>
  <c r="AD447" i="10"/>
  <c r="W447" i="10"/>
  <c r="R447" i="10"/>
  <c r="S447" i="10" s="1"/>
  <c r="L447" i="10"/>
  <c r="BA446" i="10"/>
  <c r="AS446" i="10"/>
  <c r="BH446" i="10" s="1"/>
  <c r="BM446" i="10" s="1"/>
  <c r="BO446" i="10" s="1"/>
  <c r="AM446" i="10"/>
  <c r="AJ446" i="10" s="1"/>
  <c r="AD446" i="10"/>
  <c r="V446" i="10"/>
  <c r="W446" i="10"/>
  <c r="L446" i="10"/>
  <c r="BA445" i="10"/>
  <c r="AS445" i="10"/>
  <c r="AM445" i="10"/>
  <c r="AJ445" i="10"/>
  <c r="AD445" i="10"/>
  <c r="V445" i="10"/>
  <c r="W445" i="10"/>
  <c r="L445" i="10"/>
  <c r="BA444" i="10"/>
  <c r="AS444" i="10"/>
  <c r="AM444" i="10"/>
  <c r="AD444" i="10"/>
  <c r="V444" i="10"/>
  <c r="L444" i="10"/>
  <c r="BA443" i="10"/>
  <c r="AS443" i="10"/>
  <c r="AO443" i="10" s="1"/>
  <c r="AM443" i="10"/>
  <c r="AJ443" i="10" s="1"/>
  <c r="AD443" i="10"/>
  <c r="AV443" i="10" s="1"/>
  <c r="AA443" i="10"/>
  <c r="V443" i="10"/>
  <c r="L443" i="10"/>
  <c r="BA442" i="10"/>
  <c r="AS442" i="10"/>
  <c r="AO442" i="10"/>
  <c r="AM442" i="10"/>
  <c r="AJ442" i="10" s="1"/>
  <c r="AD442" i="10"/>
  <c r="W442" i="10"/>
  <c r="L442" i="10"/>
  <c r="BA441" i="10"/>
  <c r="AS441" i="10"/>
  <c r="AM441" i="10"/>
  <c r="AJ441" i="10" s="1"/>
  <c r="AD441" i="10"/>
  <c r="V441" i="10"/>
  <c r="L441" i="10"/>
  <c r="BA440" i="10"/>
  <c r="AS440" i="10"/>
  <c r="AO440" i="10" s="1"/>
  <c r="AM440" i="10"/>
  <c r="AJ440" i="10"/>
  <c r="AD440" i="10"/>
  <c r="V440" i="10"/>
  <c r="L440" i="10"/>
  <c r="AS439" i="10"/>
  <c r="AM439" i="10"/>
  <c r="AJ439" i="10"/>
  <c r="AD439" i="10"/>
  <c r="AA439" i="10" s="1"/>
  <c r="V439" i="10"/>
  <c r="L439" i="10"/>
  <c r="AR438" i="10"/>
  <c r="AR437" i="10" s="1"/>
  <c r="AR436" i="10" s="1"/>
  <c r="K438" i="10"/>
  <c r="K437" i="10" s="1"/>
  <c r="J438" i="10"/>
  <c r="J437" i="10" s="1"/>
  <c r="L437" i="10" s="1"/>
  <c r="BA435" i="10"/>
  <c r="AS435" i="10"/>
  <c r="AM435" i="10"/>
  <c r="AJ435" i="10" s="1"/>
  <c r="AD435" i="10"/>
  <c r="W435" i="10"/>
  <c r="R435" i="10"/>
  <c r="S435" i="10" s="1"/>
  <c r="L435" i="10"/>
  <c r="BA434" i="10"/>
  <c r="AS434" i="10"/>
  <c r="AM434" i="10"/>
  <c r="AJ434" i="10" s="1"/>
  <c r="AD434" i="10"/>
  <c r="AV434" i="10" s="1"/>
  <c r="W434" i="10"/>
  <c r="R434" i="10"/>
  <c r="S434" i="10" s="1"/>
  <c r="L434" i="10"/>
  <c r="BA433" i="10"/>
  <c r="AS433" i="10"/>
  <c r="AO433" i="10"/>
  <c r="AM433" i="10"/>
  <c r="AD433" i="10"/>
  <c r="AV433" i="10" s="1"/>
  <c r="W433" i="10"/>
  <c r="R433" i="10"/>
  <c r="S433" i="10" s="1"/>
  <c r="L433" i="10"/>
  <c r="BA432" i="10"/>
  <c r="AS432" i="10"/>
  <c r="AM432" i="10"/>
  <c r="AD432" i="10"/>
  <c r="AA432" i="10" s="1"/>
  <c r="W432" i="10"/>
  <c r="R432" i="10"/>
  <c r="S432" i="10" s="1"/>
  <c r="L432" i="10"/>
  <c r="BA431" i="10"/>
  <c r="AS431" i="10"/>
  <c r="BH431" i="10" s="1"/>
  <c r="BM431" i="10" s="1"/>
  <c r="BO431" i="10" s="1"/>
  <c r="AM431" i="10"/>
  <c r="AD431" i="10"/>
  <c r="AV431" i="10" s="1"/>
  <c r="AA431" i="10"/>
  <c r="W431" i="10"/>
  <c r="R431" i="10"/>
  <c r="S431" i="10" s="1"/>
  <c r="L431" i="10"/>
  <c r="BA430" i="10"/>
  <c r="AS430" i="10"/>
  <c r="AM430" i="10"/>
  <c r="AJ430" i="10"/>
  <c r="AD430" i="10"/>
  <c r="W430" i="10"/>
  <c r="R430" i="10"/>
  <c r="S430" i="10" s="1"/>
  <c r="L430" i="10"/>
  <c r="BA429" i="10"/>
  <c r="AS429" i="10"/>
  <c r="AM429" i="10"/>
  <c r="AJ429" i="10" s="1"/>
  <c r="AD429" i="10"/>
  <c r="AA429" i="10" s="1"/>
  <c r="W429" i="10"/>
  <c r="R429" i="10"/>
  <c r="S429" i="10" s="1"/>
  <c r="L429" i="10"/>
  <c r="BA428" i="10"/>
  <c r="AS428" i="10"/>
  <c r="AM428" i="10"/>
  <c r="AJ428" i="10"/>
  <c r="AD428" i="10"/>
  <c r="AV428" i="10" s="1"/>
  <c r="W428" i="10"/>
  <c r="R428" i="10"/>
  <c r="S428" i="10" s="1"/>
  <c r="L428" i="10"/>
  <c r="BA427" i="10"/>
  <c r="AS427" i="10"/>
  <c r="AM427" i="10"/>
  <c r="AD427" i="10"/>
  <c r="W427" i="10"/>
  <c r="R427" i="10"/>
  <c r="S427" i="10" s="1"/>
  <c r="L427" i="10"/>
  <c r="BA426" i="10"/>
  <c r="AS426" i="10"/>
  <c r="BO426" i="10" s="1"/>
  <c r="AM426" i="10"/>
  <c r="AJ426" i="10" s="1"/>
  <c r="AD426" i="10"/>
  <c r="W426" i="10"/>
  <c r="R426" i="10"/>
  <c r="S426" i="10" s="1"/>
  <c r="L426" i="10"/>
  <c r="BA425" i="10"/>
  <c r="AS425" i="10"/>
  <c r="BO425" i="10" s="1"/>
  <c r="AM425" i="10"/>
  <c r="AJ425" i="10" s="1"/>
  <c r="AD425" i="10"/>
  <c r="AA425" i="10"/>
  <c r="W425" i="10"/>
  <c r="R425" i="10"/>
  <c r="S425" i="10" s="1"/>
  <c r="L425" i="10"/>
  <c r="BA424" i="10"/>
  <c r="AS424" i="10"/>
  <c r="AO424" i="10" s="1"/>
  <c r="AM424" i="10"/>
  <c r="AJ424" i="10" s="1"/>
  <c r="AD424" i="10"/>
  <c r="AA424" i="10"/>
  <c r="W424" i="10"/>
  <c r="R424" i="10"/>
  <c r="S424" i="10" s="1"/>
  <c r="L424" i="10"/>
  <c r="BA423" i="10"/>
  <c r="AS423" i="10"/>
  <c r="AM423" i="10"/>
  <c r="AD423" i="10"/>
  <c r="AV423" i="10" s="1"/>
  <c r="AA423" i="10"/>
  <c r="W423" i="10"/>
  <c r="R423" i="10"/>
  <c r="S423" i="10" s="1"/>
  <c r="L423" i="10"/>
  <c r="BA422" i="10"/>
  <c r="AS422" i="10"/>
  <c r="AO422" i="10" s="1"/>
  <c r="AM422" i="10"/>
  <c r="AD422" i="10"/>
  <c r="W422" i="10"/>
  <c r="R422" i="10"/>
  <c r="S422" i="10" s="1"/>
  <c r="L422" i="10"/>
  <c r="BA421" i="10"/>
  <c r="AS421" i="10"/>
  <c r="BO421" i="10" s="1"/>
  <c r="AM421" i="10"/>
  <c r="AJ421" i="10" s="1"/>
  <c r="AD421" i="10"/>
  <c r="AA421" i="10" s="1"/>
  <c r="R421" i="10"/>
  <c r="S421" i="10" s="1"/>
  <c r="L421" i="10"/>
  <c r="BA420" i="10"/>
  <c r="AS420" i="10"/>
  <c r="AO420" i="10" s="1"/>
  <c r="AM420" i="10"/>
  <c r="AJ420" i="10"/>
  <c r="AD420" i="10"/>
  <c r="W420" i="10"/>
  <c r="R420" i="10"/>
  <c r="S420" i="10" s="1"/>
  <c r="L420" i="10"/>
  <c r="BA419" i="10"/>
  <c r="AS419" i="10"/>
  <c r="AM419" i="10"/>
  <c r="AJ419" i="10" s="1"/>
  <c r="AD419" i="10"/>
  <c r="AV419" i="10" s="1"/>
  <c r="AA419" i="10"/>
  <c r="W419" i="10"/>
  <c r="R419" i="10"/>
  <c r="S419" i="10" s="1"/>
  <c r="L419" i="10"/>
  <c r="BA418" i="10"/>
  <c r="AS418" i="10"/>
  <c r="AM418" i="10"/>
  <c r="AJ418" i="10"/>
  <c r="AD418" i="10"/>
  <c r="W418" i="10"/>
  <c r="R418" i="10"/>
  <c r="L418" i="10"/>
  <c r="BA417" i="10"/>
  <c r="AM417" i="10"/>
  <c r="AJ417" i="10" s="1"/>
  <c r="AD417" i="10"/>
  <c r="W417" i="10"/>
  <c r="R417" i="10"/>
  <c r="S417" i="10" s="1"/>
  <c r="L417" i="10"/>
  <c r="AZ416" i="10"/>
  <c r="AZ415" i="10" s="1"/>
  <c r="AR416" i="10"/>
  <c r="AR415" i="10" s="1"/>
  <c r="V416" i="10"/>
  <c r="V415" i="10" s="1"/>
  <c r="Q416" i="10"/>
  <c r="Q415" i="10" s="1"/>
  <c r="K416" i="10"/>
  <c r="K415" i="10" s="1"/>
  <c r="J416" i="10"/>
  <c r="J415" i="10" s="1"/>
  <c r="BA414" i="10"/>
  <c r="AS414" i="10"/>
  <c r="AM414" i="10"/>
  <c r="AJ414" i="10" s="1"/>
  <c r="AD414" i="10"/>
  <c r="W414" i="10"/>
  <c r="R414" i="10"/>
  <c r="S414" i="10" s="1"/>
  <c r="L414" i="10"/>
  <c r="BA413" i="10"/>
  <c r="AS413" i="10"/>
  <c r="BO413" i="10" s="1"/>
  <c r="AO413" i="10"/>
  <c r="AM413" i="10"/>
  <c r="AN413" i="10" s="1"/>
  <c r="AD413" i="10"/>
  <c r="W413" i="10"/>
  <c r="R413" i="10"/>
  <c r="S413" i="10" s="1"/>
  <c r="L413" i="10"/>
  <c r="AS412" i="10"/>
  <c r="BO412" i="10" s="1"/>
  <c r="AM412" i="10"/>
  <c r="AD412" i="10"/>
  <c r="W412" i="10"/>
  <c r="R412" i="10"/>
  <c r="S412" i="10" s="1"/>
  <c r="L412" i="10"/>
  <c r="BA411" i="10"/>
  <c r="AS411" i="10"/>
  <c r="AM411" i="10"/>
  <c r="AJ411" i="10" s="1"/>
  <c r="AD411" i="10"/>
  <c r="AA411" i="10" s="1"/>
  <c r="R411" i="10"/>
  <c r="L411" i="10"/>
  <c r="AZ410" i="10"/>
  <c r="AZ409" i="10" s="1"/>
  <c r="AR410" i="10"/>
  <c r="AR409" i="10" s="1"/>
  <c r="V410" i="10"/>
  <c r="Q410" i="10"/>
  <c r="Q409" i="10" s="1"/>
  <c r="K410" i="10"/>
  <c r="K409" i="10" s="1"/>
  <c r="J410" i="10"/>
  <c r="L410" i="10" s="1"/>
  <c r="V409" i="10"/>
  <c r="BA408" i="10"/>
  <c r="AS408" i="10"/>
  <c r="AM408" i="10"/>
  <c r="AJ408" i="10" s="1"/>
  <c r="AD408" i="10"/>
  <c r="AA408" i="10" s="1"/>
  <c r="W408" i="10"/>
  <c r="R408" i="10"/>
  <c r="S408" i="10" s="1"/>
  <c r="L408" i="10"/>
  <c r="BA407" i="10"/>
  <c r="AS407" i="10"/>
  <c r="AO407" i="10" s="1"/>
  <c r="AM407" i="10"/>
  <c r="AJ407" i="10" s="1"/>
  <c r="AD407" i="10"/>
  <c r="W407" i="10"/>
  <c r="R407" i="10"/>
  <c r="S407" i="10" s="1"/>
  <c r="L407" i="10"/>
  <c r="BA406" i="10"/>
  <c r="AS406" i="10"/>
  <c r="AM406" i="10"/>
  <c r="AD406" i="10"/>
  <c r="AA406" i="10" s="1"/>
  <c r="W406" i="10"/>
  <c r="R406" i="10"/>
  <c r="S406" i="10" s="1"/>
  <c r="L406" i="10"/>
  <c r="BA405" i="10"/>
  <c r="AS405" i="10"/>
  <c r="BH405" i="10" s="1"/>
  <c r="BM405" i="10" s="1"/>
  <c r="BO405" i="10" s="1"/>
  <c r="AM405" i="10"/>
  <c r="AJ405" i="10" s="1"/>
  <c r="AD405" i="10"/>
  <c r="AV405" i="10" s="1"/>
  <c r="AA405" i="10"/>
  <c r="W405" i="10"/>
  <c r="R405" i="10"/>
  <c r="S405" i="10" s="1"/>
  <c r="L405" i="10"/>
  <c r="BA404" i="10"/>
  <c r="AS404" i="10"/>
  <c r="AM404" i="10"/>
  <c r="AJ404" i="10"/>
  <c r="AD404" i="10"/>
  <c r="AA404" i="10" s="1"/>
  <c r="W404" i="10"/>
  <c r="R404" i="10"/>
  <c r="S404" i="10" s="1"/>
  <c r="L404" i="10"/>
  <c r="AS403" i="10"/>
  <c r="AO403" i="10" s="1"/>
  <c r="AM403" i="10"/>
  <c r="AD403" i="10"/>
  <c r="L403" i="10"/>
  <c r="AZ402" i="10"/>
  <c r="AZ401" i="10" s="1"/>
  <c r="AR402" i="10"/>
  <c r="AR401" i="10" s="1"/>
  <c r="AM402" i="10"/>
  <c r="V402" i="10"/>
  <c r="V401" i="10" s="1"/>
  <c r="Q402" i="10"/>
  <c r="Q401" i="10" s="1"/>
  <c r="Q400" i="10" s="1"/>
  <c r="K402" i="10"/>
  <c r="J402" i="10"/>
  <c r="J401" i="10" s="1"/>
  <c r="V400" i="10"/>
  <c r="BA399" i="10"/>
  <c r="BA398" i="10" s="1"/>
  <c r="BA397" i="10" s="1"/>
  <c r="BA396" i="10" s="1"/>
  <c r="AM399" i="10"/>
  <c r="AD399" i="10"/>
  <c r="W399" i="10"/>
  <c r="W398" i="10" s="1"/>
  <c r="W397" i="10" s="1"/>
  <c r="W396" i="10" s="1"/>
  <c r="R399" i="10"/>
  <c r="L399" i="10"/>
  <c r="AZ398" i="10"/>
  <c r="AR398" i="10"/>
  <c r="V398" i="10"/>
  <c r="Q398" i="10"/>
  <c r="Q397" i="10" s="1"/>
  <c r="Q396" i="10" s="1"/>
  <c r="K398" i="10"/>
  <c r="K397" i="10" s="1"/>
  <c r="K396" i="10" s="1"/>
  <c r="J398" i="10"/>
  <c r="J397" i="10" s="1"/>
  <c r="J396" i="10" s="1"/>
  <c r="AZ397" i="10"/>
  <c r="AZ396" i="10" s="1"/>
  <c r="AR397" i="10"/>
  <c r="AR396" i="10" s="1"/>
  <c r="V397" i="10"/>
  <c r="V396" i="10" s="1"/>
  <c r="AY394" i="10"/>
  <c r="AY393" i="10" s="1"/>
  <c r="AS395" i="10"/>
  <c r="AM395" i="10"/>
  <c r="AJ395" i="10"/>
  <c r="AD395" i="10"/>
  <c r="U394" i="10"/>
  <c r="U393" i="10" s="1"/>
  <c r="R395" i="10"/>
  <c r="L395" i="10"/>
  <c r="AZ394" i="10"/>
  <c r="AZ393" i="10" s="1"/>
  <c r="AS394" i="10"/>
  <c r="AO394" i="10" s="1"/>
  <c r="AR394" i="10"/>
  <c r="AR393" i="10" s="1"/>
  <c r="AM394" i="10"/>
  <c r="AJ394" i="10" s="1"/>
  <c r="AD394" i="10"/>
  <c r="AV394" i="10" s="1"/>
  <c r="V394" i="10"/>
  <c r="Q394" i="10"/>
  <c r="Q393" i="10" s="1"/>
  <c r="K394" i="10"/>
  <c r="K393" i="10" s="1"/>
  <c r="J394" i="10"/>
  <c r="V393" i="10"/>
  <c r="J393" i="10"/>
  <c r="AS392" i="10"/>
  <c r="AO392" i="10"/>
  <c r="AM392" i="10"/>
  <c r="AD392" i="10"/>
  <c r="AD391" i="10" s="1"/>
  <c r="AA391" i="10" s="1"/>
  <c r="P391" i="10"/>
  <c r="P390" i="10" s="1"/>
  <c r="L392" i="10"/>
  <c r="AZ391" i="10"/>
  <c r="AZ390" i="10" s="1"/>
  <c r="AR391" i="10"/>
  <c r="AR390" i="10" s="1"/>
  <c r="V391" i="10"/>
  <c r="V390" i="10" s="1"/>
  <c r="Q391" i="10"/>
  <c r="Q390" i="10" s="1"/>
  <c r="K391" i="10"/>
  <c r="K390" i="10" s="1"/>
  <c r="J391" i="10"/>
  <c r="J390" i="10" s="1"/>
  <c r="BA389" i="10"/>
  <c r="AS389" i="10"/>
  <c r="AO389" i="10" s="1"/>
  <c r="AM389" i="10"/>
  <c r="AD389" i="10"/>
  <c r="W389" i="10"/>
  <c r="R389" i="10"/>
  <c r="S389" i="10" s="1"/>
  <c r="L389" i="10"/>
  <c r="BA388" i="10"/>
  <c r="AS388" i="10"/>
  <c r="AM388" i="10"/>
  <c r="AJ388" i="10" s="1"/>
  <c r="AD388" i="10"/>
  <c r="AV388" i="10" s="1"/>
  <c r="W388" i="10"/>
  <c r="R388" i="10"/>
  <c r="S388" i="10" s="1"/>
  <c r="L388" i="10"/>
  <c r="BA387" i="10"/>
  <c r="AS387" i="10"/>
  <c r="BO387" i="10" s="1"/>
  <c r="AM387" i="10"/>
  <c r="AJ387" i="10" s="1"/>
  <c r="AD387" i="10"/>
  <c r="AV387" i="10" s="1"/>
  <c r="W387" i="10"/>
  <c r="R387" i="10"/>
  <c r="S387" i="10" s="1"/>
  <c r="L387" i="10"/>
  <c r="BA386" i="10"/>
  <c r="AS386" i="10"/>
  <c r="AM386" i="10"/>
  <c r="AJ386" i="10" s="1"/>
  <c r="AD386" i="10"/>
  <c r="W386" i="10"/>
  <c r="R386" i="10"/>
  <c r="S386" i="10" s="1"/>
  <c r="L386" i="10"/>
  <c r="BA385" i="10"/>
  <c r="AS385" i="10"/>
  <c r="BO385" i="10" s="1"/>
  <c r="AM385" i="10"/>
  <c r="AJ385" i="10" s="1"/>
  <c r="AD385" i="10"/>
  <c r="AA385" i="10" s="1"/>
  <c r="W385" i="10"/>
  <c r="R385" i="10"/>
  <c r="S385" i="10" s="1"/>
  <c r="L385" i="10"/>
  <c r="BA384" i="10"/>
  <c r="AS384" i="10"/>
  <c r="BO384" i="10" s="1"/>
  <c r="AO384" i="10"/>
  <c r="AM384" i="10"/>
  <c r="AJ384" i="10" s="1"/>
  <c r="AD384" i="10"/>
  <c r="AV384" i="10" s="1"/>
  <c r="AA384" i="10"/>
  <c r="W384" i="10"/>
  <c r="R384" i="10"/>
  <c r="S384" i="10" s="1"/>
  <c r="L384" i="10"/>
  <c r="BA383" i="10"/>
  <c r="AS383" i="10"/>
  <c r="BO383" i="10" s="1"/>
  <c r="AM383" i="10"/>
  <c r="AD383" i="10"/>
  <c r="W383" i="10"/>
  <c r="R383" i="10"/>
  <c r="S383" i="10" s="1"/>
  <c r="L383" i="10"/>
  <c r="BA382" i="10"/>
  <c r="AS382" i="10"/>
  <c r="AM382" i="10"/>
  <c r="AD382" i="10"/>
  <c r="W382" i="10"/>
  <c r="R382" i="10"/>
  <c r="S382" i="10" s="1"/>
  <c r="L382" i="10"/>
  <c r="BA381" i="10"/>
  <c r="AS381" i="10"/>
  <c r="BO381" i="10" s="1"/>
  <c r="AM381" i="10"/>
  <c r="AN381" i="10" s="1"/>
  <c r="AD381" i="10"/>
  <c r="W381" i="10"/>
  <c r="R381" i="10"/>
  <c r="S381" i="10" s="1"/>
  <c r="L381" i="10"/>
  <c r="BA380" i="10"/>
  <c r="AS380" i="10"/>
  <c r="AM380" i="10"/>
  <c r="AJ380" i="10"/>
  <c r="AD380" i="10"/>
  <c r="W380" i="10"/>
  <c r="R380" i="10"/>
  <c r="S380" i="10" s="1"/>
  <c r="L380" i="10"/>
  <c r="BA379" i="10"/>
  <c r="AS379" i="10"/>
  <c r="AM379" i="10"/>
  <c r="AJ379" i="10" s="1"/>
  <c r="AD379" i="10"/>
  <c r="W379" i="10"/>
  <c r="R379" i="10"/>
  <c r="S379" i="10" s="1"/>
  <c r="L379" i="10"/>
  <c r="BA378" i="10"/>
  <c r="AS378" i="10"/>
  <c r="BO378" i="10" s="1"/>
  <c r="AO378" i="10"/>
  <c r="AM378" i="10"/>
  <c r="AD378" i="10"/>
  <c r="W378" i="10"/>
  <c r="R378" i="10"/>
  <c r="S378" i="10" s="1"/>
  <c r="L378" i="10"/>
  <c r="BA377" i="10"/>
  <c r="AS377" i="10"/>
  <c r="AO377" i="10" s="1"/>
  <c r="AM377" i="10"/>
  <c r="AJ377" i="10"/>
  <c r="AD377" i="10"/>
  <c r="AV377" i="10" s="1"/>
  <c r="W377" i="10"/>
  <c r="R377" i="10"/>
  <c r="S377" i="10" s="1"/>
  <c r="L377" i="10"/>
  <c r="BA376" i="10"/>
  <c r="AS376" i="10"/>
  <c r="AM376" i="10"/>
  <c r="AJ376" i="10" s="1"/>
  <c r="AD376" i="10"/>
  <c r="AV376" i="10" s="1"/>
  <c r="AA376" i="10"/>
  <c r="W376" i="10"/>
  <c r="R376" i="10"/>
  <c r="S376" i="10" s="1"/>
  <c r="L376" i="10"/>
  <c r="BA375" i="10"/>
  <c r="AS375" i="10"/>
  <c r="BO375" i="10" s="1"/>
  <c r="AM375" i="10"/>
  <c r="AD375" i="10"/>
  <c r="AV375" i="10" s="1"/>
  <c r="AA375" i="10"/>
  <c r="R375" i="10"/>
  <c r="S375" i="10" s="1"/>
  <c r="L375" i="10"/>
  <c r="BA374" i="10"/>
  <c r="AS374" i="10"/>
  <c r="BO374" i="10" s="1"/>
  <c r="AM374" i="10"/>
  <c r="AJ374" i="10" s="1"/>
  <c r="AD374" i="10"/>
  <c r="AV374" i="10" s="1"/>
  <c r="W374" i="10"/>
  <c r="R374" i="10"/>
  <c r="S374" i="10" s="1"/>
  <c r="L374" i="10"/>
  <c r="BA373" i="10"/>
  <c r="AS373" i="10"/>
  <c r="BO373" i="10" s="1"/>
  <c r="AM373" i="10"/>
  <c r="AD373" i="10"/>
  <c r="W373" i="10"/>
  <c r="R373" i="10"/>
  <c r="L373" i="10"/>
  <c r="AS372" i="10"/>
  <c r="AO372" i="10" s="1"/>
  <c r="AM372" i="10"/>
  <c r="AJ372" i="10" s="1"/>
  <c r="AD372" i="10"/>
  <c r="AA372" i="10" s="1"/>
  <c r="V372" i="10"/>
  <c r="V371" i="10" s="1"/>
  <c r="V370" i="10" s="1"/>
  <c r="Q372" i="10"/>
  <c r="Q371" i="10" s="1"/>
  <c r="Q370" i="10" s="1"/>
  <c r="L372" i="10"/>
  <c r="AR371" i="10"/>
  <c r="AR370" i="10" s="1"/>
  <c r="K371" i="10"/>
  <c r="K370" i="10" s="1"/>
  <c r="J371" i="10"/>
  <c r="J370" i="10" s="1"/>
  <c r="L370" i="10" s="1"/>
  <c r="BA369" i="10"/>
  <c r="AS369" i="10"/>
  <c r="BO369" i="10" s="1"/>
  <c r="AM369" i="10"/>
  <c r="AD369" i="10"/>
  <c r="R369" i="10"/>
  <c r="S369" i="10" s="1"/>
  <c r="L369" i="10"/>
  <c r="AS368" i="10"/>
  <c r="AO368" i="10" s="1"/>
  <c r="AM368" i="10"/>
  <c r="AD368" i="10"/>
  <c r="AV368" i="10" s="1"/>
  <c r="W368" i="10"/>
  <c r="L368" i="10"/>
  <c r="AZ367" i="10"/>
  <c r="AZ366" i="10" s="1"/>
  <c r="AR367" i="10"/>
  <c r="AR366" i="10" s="1"/>
  <c r="V367" i="10"/>
  <c r="V366" i="10" s="1"/>
  <c r="Q367" i="10"/>
  <c r="Q366" i="10" s="1"/>
  <c r="K367" i="10"/>
  <c r="J367" i="10"/>
  <c r="K366" i="10"/>
  <c r="AZ365" i="10"/>
  <c r="BA365" i="10" s="1"/>
  <c r="AS365" i="10"/>
  <c r="AO365" i="10" s="1"/>
  <c r="AM365" i="10"/>
  <c r="AN365" i="10" s="1"/>
  <c r="AD365" i="10"/>
  <c r="AV365" i="10" s="1"/>
  <c r="W365" i="10"/>
  <c r="R365" i="10"/>
  <c r="S365" i="10" s="1"/>
  <c r="L365" i="10"/>
  <c r="AZ364" i="10"/>
  <c r="BA364" i="10" s="1"/>
  <c r="AS364" i="10"/>
  <c r="AO364" i="10" s="1"/>
  <c r="AM364" i="10"/>
  <c r="AD364" i="10"/>
  <c r="W364" i="10"/>
  <c r="R364" i="10"/>
  <c r="S364" i="10" s="1"/>
  <c r="L364" i="10"/>
  <c r="BA363" i="10"/>
  <c r="AS363" i="10"/>
  <c r="AM363" i="10"/>
  <c r="AJ363" i="10" s="1"/>
  <c r="AD363" i="10"/>
  <c r="W363" i="10"/>
  <c r="R363" i="10"/>
  <c r="S363" i="10" s="1"/>
  <c r="L363" i="10"/>
  <c r="BA362" i="10"/>
  <c r="AS362" i="10"/>
  <c r="AM362" i="10"/>
  <c r="AJ362" i="10"/>
  <c r="AD362" i="10"/>
  <c r="AV362" i="10" s="1"/>
  <c r="W362" i="10"/>
  <c r="R362" i="10"/>
  <c r="S362" i="10" s="1"/>
  <c r="L362" i="10"/>
  <c r="BA361" i="10"/>
  <c r="AS361" i="10"/>
  <c r="AM361" i="10"/>
  <c r="AJ361" i="10" s="1"/>
  <c r="AD361" i="10"/>
  <c r="W361" i="10"/>
  <c r="R361" i="10"/>
  <c r="S361" i="10" s="1"/>
  <c r="L361" i="10"/>
  <c r="AZ360" i="10"/>
  <c r="BA360" i="10" s="1"/>
  <c r="AS360" i="10"/>
  <c r="AM360" i="10"/>
  <c r="AJ360" i="10" s="1"/>
  <c r="AD360" i="10"/>
  <c r="W360" i="10"/>
  <c r="R360" i="10"/>
  <c r="S360" i="10" s="1"/>
  <c r="L360" i="10"/>
  <c r="AZ359" i="10"/>
  <c r="BA359" i="10" s="1"/>
  <c r="AS359" i="10"/>
  <c r="AO359" i="10"/>
  <c r="AM359" i="10"/>
  <c r="AJ359" i="10" s="1"/>
  <c r="AD359" i="10"/>
  <c r="AV359" i="10" s="1"/>
  <c r="W359" i="10"/>
  <c r="R359" i="10"/>
  <c r="S359" i="10" s="1"/>
  <c r="L359" i="10"/>
  <c r="BA358" i="10"/>
  <c r="AS358" i="10"/>
  <c r="AO358" i="10" s="1"/>
  <c r="AM358" i="10"/>
  <c r="AD358" i="10"/>
  <c r="W358" i="10"/>
  <c r="R358" i="10"/>
  <c r="S358" i="10" s="1"/>
  <c r="L358" i="10"/>
  <c r="AZ357" i="10"/>
  <c r="BA357" i="10" s="1"/>
  <c r="AS357" i="10"/>
  <c r="AM357" i="10"/>
  <c r="AJ357" i="10"/>
  <c r="AD357" i="10"/>
  <c r="AV357" i="10" s="1"/>
  <c r="W357" i="10"/>
  <c r="R357" i="10"/>
  <c r="S357" i="10" s="1"/>
  <c r="L357" i="10"/>
  <c r="AZ356" i="10"/>
  <c r="BA356" i="10" s="1"/>
  <c r="AS356" i="10"/>
  <c r="AO356" i="10"/>
  <c r="AM356" i="10"/>
  <c r="AJ356" i="10" s="1"/>
  <c r="AD356" i="10"/>
  <c r="AA356" i="10" s="1"/>
  <c r="W356" i="10"/>
  <c r="R356" i="10"/>
  <c r="S356" i="10" s="1"/>
  <c r="L356" i="10"/>
  <c r="AY355" i="10"/>
  <c r="AZ355" i="10" s="1"/>
  <c r="BA355" i="10" s="1"/>
  <c r="AS355" i="10"/>
  <c r="AO355" i="10" s="1"/>
  <c r="AM355" i="10"/>
  <c r="AJ355" i="10" s="1"/>
  <c r="AD355" i="10"/>
  <c r="AV355" i="10" s="1"/>
  <c r="V355" i="10"/>
  <c r="W355" i="10"/>
  <c r="Q355" i="10"/>
  <c r="L355" i="10"/>
  <c r="BA354" i="10"/>
  <c r="AS354" i="10"/>
  <c r="AO354" i="10" s="1"/>
  <c r="AM354" i="10"/>
  <c r="AN354" i="10" s="1"/>
  <c r="AD354" i="10"/>
  <c r="W354" i="10"/>
  <c r="R354" i="10"/>
  <c r="S354" i="10" s="1"/>
  <c r="L354" i="10"/>
  <c r="AZ353" i="10"/>
  <c r="BA353" i="10" s="1"/>
  <c r="AS353" i="10"/>
  <c r="AO353" i="10"/>
  <c r="AM353" i="10"/>
  <c r="AN353" i="10" s="1"/>
  <c r="AD353" i="10"/>
  <c r="AA353" i="10" s="1"/>
  <c r="W353" i="10"/>
  <c r="R353" i="10"/>
  <c r="S353" i="10" s="1"/>
  <c r="L353" i="10"/>
  <c r="BA352" i="10"/>
  <c r="AS352" i="10"/>
  <c r="AM352" i="10"/>
  <c r="AJ352" i="10"/>
  <c r="AD352" i="10"/>
  <c r="W352" i="10"/>
  <c r="R352" i="10"/>
  <c r="S352" i="10" s="1"/>
  <c r="L352" i="10"/>
  <c r="BA351" i="10"/>
  <c r="AS351" i="10"/>
  <c r="AO351" i="10"/>
  <c r="AM351" i="10"/>
  <c r="AJ351" i="10" s="1"/>
  <c r="AD351" i="10"/>
  <c r="W351" i="10"/>
  <c r="R351" i="10"/>
  <c r="S351" i="10" s="1"/>
  <c r="L351" i="10"/>
  <c r="AZ350" i="10"/>
  <c r="BA350" i="10" s="1"/>
  <c r="AS350" i="10"/>
  <c r="AO350" i="10" s="1"/>
  <c r="AM350" i="10"/>
  <c r="AN350" i="10" s="1"/>
  <c r="AD350" i="10"/>
  <c r="W350" i="10"/>
  <c r="R350" i="10"/>
  <c r="S350" i="10" s="1"/>
  <c r="L350" i="10"/>
  <c r="BA349" i="10"/>
  <c r="AS349" i="10"/>
  <c r="AO349" i="10" s="1"/>
  <c r="AM349" i="10"/>
  <c r="AJ349" i="10"/>
  <c r="AD349" i="10"/>
  <c r="W349" i="10"/>
  <c r="R349" i="10"/>
  <c r="S349" i="10" s="1"/>
  <c r="L349" i="10"/>
  <c r="BA348" i="10"/>
  <c r="AS348" i="10"/>
  <c r="AO348" i="10" s="1"/>
  <c r="AM348" i="10"/>
  <c r="AD348" i="10"/>
  <c r="W348" i="10"/>
  <c r="R348" i="10"/>
  <c r="S348" i="10" s="1"/>
  <c r="L348" i="10"/>
  <c r="AZ347" i="10"/>
  <c r="BA347" i="10" s="1"/>
  <c r="AS347" i="10"/>
  <c r="AM347" i="10"/>
  <c r="AJ347" i="10"/>
  <c r="AD347" i="10"/>
  <c r="AA347" i="10" s="1"/>
  <c r="W347" i="10"/>
  <c r="R347" i="10"/>
  <c r="S347" i="10" s="1"/>
  <c r="L347" i="10"/>
  <c r="BA346" i="10"/>
  <c r="AS346" i="10"/>
  <c r="AM346" i="10"/>
  <c r="AJ346" i="10" s="1"/>
  <c r="AD346" i="10"/>
  <c r="AV346" i="10" s="1"/>
  <c r="W346" i="10"/>
  <c r="R346" i="10"/>
  <c r="S346" i="10" s="1"/>
  <c r="L346" i="10"/>
  <c r="BA345" i="10"/>
  <c r="AS345" i="10"/>
  <c r="AM345" i="10"/>
  <c r="AJ345" i="10" s="1"/>
  <c r="AD345" i="10"/>
  <c r="W345" i="10"/>
  <c r="R345" i="10"/>
  <c r="S345" i="10" s="1"/>
  <c r="L345" i="10"/>
  <c r="AZ344" i="10"/>
  <c r="BA344" i="10" s="1"/>
  <c r="AS344" i="10"/>
  <c r="AO344" i="10" s="1"/>
  <c r="AM344" i="10"/>
  <c r="AJ344" i="10"/>
  <c r="AD344" i="10"/>
  <c r="W344" i="10"/>
  <c r="R344" i="10"/>
  <c r="S344" i="10" s="1"/>
  <c r="L344" i="10"/>
  <c r="BA343" i="10"/>
  <c r="AS343" i="10"/>
  <c r="AM343" i="10"/>
  <c r="AJ343" i="10"/>
  <c r="AD343" i="10"/>
  <c r="W343" i="10"/>
  <c r="R343" i="10"/>
  <c r="S343" i="10" s="1"/>
  <c r="L343" i="10"/>
  <c r="BA342" i="10"/>
  <c r="AS342" i="10"/>
  <c r="AO342" i="10" s="1"/>
  <c r="AM342" i="10"/>
  <c r="AD342" i="10"/>
  <c r="AV342" i="10" s="1"/>
  <c r="W342" i="10"/>
  <c r="R342" i="10"/>
  <c r="S342" i="10" s="1"/>
  <c r="L342" i="10"/>
  <c r="AZ341" i="10"/>
  <c r="BA341" i="10" s="1"/>
  <c r="AS341" i="10"/>
  <c r="AM341" i="10"/>
  <c r="AD341" i="10"/>
  <c r="W341" i="10"/>
  <c r="R341" i="10"/>
  <c r="S341" i="10" s="1"/>
  <c r="L341" i="10"/>
  <c r="BA340" i="10"/>
  <c r="AS340" i="10"/>
  <c r="AO340" i="10"/>
  <c r="AM340" i="10"/>
  <c r="AN340" i="10" s="1"/>
  <c r="AD340" i="10"/>
  <c r="W340" i="10"/>
  <c r="R340" i="10"/>
  <c r="S340" i="10" s="1"/>
  <c r="L340" i="10"/>
  <c r="BA339" i="10"/>
  <c r="AS339" i="10"/>
  <c r="AO339" i="10" s="1"/>
  <c r="AM339" i="10"/>
  <c r="AJ339" i="10"/>
  <c r="AD339" i="10"/>
  <c r="W339" i="10"/>
  <c r="R339" i="10"/>
  <c r="S339" i="10" s="1"/>
  <c r="L339" i="10"/>
  <c r="AZ338" i="10"/>
  <c r="BA338" i="10" s="1"/>
  <c r="AS338" i="10"/>
  <c r="AO338" i="10" s="1"/>
  <c r="AM338" i="10"/>
  <c r="AD338" i="10"/>
  <c r="W338" i="10"/>
  <c r="R338" i="10"/>
  <c r="S338" i="10" s="1"/>
  <c r="L338" i="10"/>
  <c r="BA337" i="10"/>
  <c r="AS337" i="10"/>
  <c r="AO337" i="10" s="1"/>
  <c r="AM337" i="10"/>
  <c r="AJ337" i="10" s="1"/>
  <c r="AD337" i="10"/>
  <c r="W337" i="10"/>
  <c r="R337" i="10"/>
  <c r="S337" i="10" s="1"/>
  <c r="L337" i="10"/>
  <c r="BA336" i="10"/>
  <c r="AS336" i="10"/>
  <c r="AM336" i="10"/>
  <c r="AJ336" i="10" s="1"/>
  <c r="AD336" i="10"/>
  <c r="AV336" i="10" s="1"/>
  <c r="W336" i="10"/>
  <c r="R336" i="10"/>
  <c r="S336" i="10" s="1"/>
  <c r="L336" i="10"/>
  <c r="AZ335" i="10"/>
  <c r="BA335" i="10" s="1"/>
  <c r="AS335" i="10"/>
  <c r="AM335" i="10"/>
  <c r="AD335" i="10"/>
  <c r="W335" i="10"/>
  <c r="R335" i="10"/>
  <c r="S335" i="10" s="1"/>
  <c r="L335" i="10"/>
  <c r="BA334" i="10"/>
  <c r="AS334" i="10"/>
  <c r="AM334" i="10"/>
  <c r="AJ334" i="10" s="1"/>
  <c r="AD334" i="10"/>
  <c r="W334" i="10"/>
  <c r="R334" i="10"/>
  <c r="S334" i="10" s="1"/>
  <c r="L334" i="10"/>
  <c r="AZ333" i="10"/>
  <c r="BA333" i="10" s="1"/>
  <c r="AS333" i="10"/>
  <c r="AM333" i="10"/>
  <c r="AD333" i="10"/>
  <c r="W333" i="10"/>
  <c r="R333" i="10"/>
  <c r="S333" i="10" s="1"/>
  <c r="L333" i="10"/>
  <c r="BA332" i="10"/>
  <c r="AS332" i="10"/>
  <c r="AM332" i="10"/>
  <c r="AJ332" i="10" s="1"/>
  <c r="AD332" i="10"/>
  <c r="W332" i="10"/>
  <c r="R332" i="10"/>
  <c r="S332" i="10" s="1"/>
  <c r="L332" i="10"/>
  <c r="BA331" i="10"/>
  <c r="AS331" i="10"/>
  <c r="AM331" i="10"/>
  <c r="AJ331" i="10"/>
  <c r="AD331" i="10"/>
  <c r="W331" i="10"/>
  <c r="R331" i="10"/>
  <c r="S331" i="10" s="1"/>
  <c r="L331" i="10"/>
  <c r="BA330" i="10"/>
  <c r="AS330" i="10"/>
  <c r="AO330" i="10" s="1"/>
  <c r="AM330" i="10"/>
  <c r="AD330" i="10"/>
  <c r="AV330" i="10" s="1"/>
  <c r="AA330" i="10"/>
  <c r="W330" i="10"/>
  <c r="R330" i="10"/>
  <c r="S330" i="10" s="1"/>
  <c r="L330" i="10"/>
  <c r="BA329" i="10"/>
  <c r="AS329" i="10"/>
  <c r="AO329" i="10" s="1"/>
  <c r="AM329" i="10"/>
  <c r="AJ329" i="10"/>
  <c r="AD329" i="10"/>
  <c r="W329" i="10"/>
  <c r="R329" i="10"/>
  <c r="S329" i="10" s="1"/>
  <c r="L329" i="10"/>
  <c r="BA328" i="10"/>
  <c r="AS328" i="10"/>
  <c r="AM328" i="10"/>
  <c r="AJ328" i="10" s="1"/>
  <c r="AD328" i="10"/>
  <c r="AV328" i="10" s="1"/>
  <c r="AA328" i="10"/>
  <c r="W328" i="10"/>
  <c r="R328" i="10"/>
  <c r="S328" i="10" s="1"/>
  <c r="L328" i="10"/>
  <c r="BA327" i="10"/>
  <c r="AM327" i="10"/>
  <c r="AJ327" i="10" s="1"/>
  <c r="AD327" i="10"/>
  <c r="W327" i="10"/>
  <c r="R327" i="10"/>
  <c r="S327" i="10" s="1"/>
  <c r="L327" i="10"/>
  <c r="AR326" i="10"/>
  <c r="AR325" i="10" s="1"/>
  <c r="V326" i="10"/>
  <c r="Q326" i="10"/>
  <c r="Q325" i="10" s="1"/>
  <c r="K326" i="10"/>
  <c r="K325" i="10" s="1"/>
  <c r="J326" i="10"/>
  <c r="J325" i="10" s="1"/>
  <c r="L325" i="10" s="1"/>
  <c r="V325" i="10"/>
  <c r="BA324" i="10"/>
  <c r="AS324" i="10"/>
  <c r="AO324" i="10" s="1"/>
  <c r="AM324" i="10"/>
  <c r="AD324" i="10"/>
  <c r="W324" i="10"/>
  <c r="R324" i="10"/>
  <c r="S324" i="10" s="1"/>
  <c r="L324" i="10"/>
  <c r="BA323" i="10"/>
  <c r="AS323" i="10"/>
  <c r="AM323" i="10"/>
  <c r="AJ323" i="10" s="1"/>
  <c r="AD323" i="10"/>
  <c r="W323" i="10"/>
  <c r="R323" i="10"/>
  <c r="S323" i="10" s="1"/>
  <c r="L323" i="10"/>
  <c r="BA322" i="10"/>
  <c r="AS322" i="10"/>
  <c r="AO322" i="10"/>
  <c r="AM322" i="10"/>
  <c r="AJ322" i="10" s="1"/>
  <c r="AD322" i="10"/>
  <c r="AA322" i="10"/>
  <c r="W322" i="10"/>
  <c r="R322" i="10"/>
  <c r="S322" i="10" s="1"/>
  <c r="L322" i="10"/>
  <c r="BA321" i="10"/>
  <c r="AS321" i="10"/>
  <c r="AO321" i="10" s="1"/>
  <c r="AM321" i="10"/>
  <c r="AJ321" i="10" s="1"/>
  <c r="AD321" i="10"/>
  <c r="W321" i="10"/>
  <c r="R321" i="10"/>
  <c r="S321" i="10" s="1"/>
  <c r="L321" i="10"/>
  <c r="AZ281" i="10"/>
  <c r="AZ280" i="10" s="1"/>
  <c r="AS320" i="10"/>
  <c r="AM320" i="10"/>
  <c r="AJ320" i="10" s="1"/>
  <c r="AD320" i="10"/>
  <c r="W320" i="10"/>
  <c r="Q281" i="10"/>
  <c r="Q280" i="10" s="1"/>
  <c r="L320" i="10"/>
  <c r="BA319" i="10"/>
  <c r="AS319" i="10"/>
  <c r="AO319" i="10" s="1"/>
  <c r="AM319" i="10"/>
  <c r="AD319" i="10"/>
  <c r="W319" i="10"/>
  <c r="R319" i="10"/>
  <c r="S319" i="10" s="1"/>
  <c r="L319" i="10"/>
  <c r="BA318" i="10"/>
  <c r="AS318" i="10"/>
  <c r="AM318" i="10"/>
  <c r="AD318" i="10"/>
  <c r="AA318" i="10" s="1"/>
  <c r="W318" i="10"/>
  <c r="R318" i="10"/>
  <c r="S318" i="10" s="1"/>
  <c r="L318" i="10"/>
  <c r="BA317" i="10"/>
  <c r="AS317" i="10"/>
  <c r="AO317" i="10" s="1"/>
  <c r="AM317" i="10"/>
  <c r="AJ317" i="10" s="1"/>
  <c r="AD317" i="10"/>
  <c r="AV317" i="10" s="1"/>
  <c r="AA317" i="10"/>
  <c r="W317" i="10"/>
  <c r="R317" i="10"/>
  <c r="S317" i="10" s="1"/>
  <c r="L317" i="10"/>
  <c r="BA316" i="10"/>
  <c r="AS316" i="10"/>
  <c r="AM316" i="10"/>
  <c r="AJ316" i="10"/>
  <c r="AD316" i="10"/>
  <c r="AV316" i="10" s="1"/>
  <c r="AA316" i="10"/>
  <c r="W316" i="10"/>
  <c r="R316" i="10"/>
  <c r="S316" i="10" s="1"/>
  <c r="L316" i="10"/>
  <c r="BA315" i="10"/>
  <c r="AS315" i="10"/>
  <c r="AM315" i="10"/>
  <c r="AJ315" i="10" s="1"/>
  <c r="AD315" i="10"/>
  <c r="W315" i="10"/>
  <c r="R315" i="10"/>
  <c r="S315" i="10" s="1"/>
  <c r="L315" i="10"/>
  <c r="BA314" i="10"/>
  <c r="AS314" i="10"/>
  <c r="AM314" i="10"/>
  <c r="AD314" i="10"/>
  <c r="AV314" i="10" s="1"/>
  <c r="W314" i="10"/>
  <c r="R314" i="10"/>
  <c r="S314" i="10" s="1"/>
  <c r="L314" i="10"/>
  <c r="BA313" i="10"/>
  <c r="AS313" i="10"/>
  <c r="AM313" i="10"/>
  <c r="AJ313" i="10" s="1"/>
  <c r="AD313" i="10"/>
  <c r="W313" i="10"/>
  <c r="R313" i="10"/>
  <c r="S313" i="10" s="1"/>
  <c r="L313" i="10"/>
  <c r="BA312" i="10"/>
  <c r="AS312" i="10"/>
  <c r="AM312" i="10"/>
  <c r="AJ312" i="10" s="1"/>
  <c r="AD312" i="10"/>
  <c r="W312" i="10"/>
  <c r="R312" i="10"/>
  <c r="S312" i="10" s="1"/>
  <c r="L312" i="10"/>
  <c r="BA311" i="10"/>
  <c r="AS311" i="10"/>
  <c r="AO311" i="10" s="1"/>
  <c r="AM311" i="10"/>
  <c r="AN311" i="10" s="1"/>
  <c r="AD311" i="10"/>
  <c r="AV311" i="10" s="1"/>
  <c r="AA311" i="10"/>
  <c r="W311" i="10"/>
  <c r="R311" i="10"/>
  <c r="S311" i="10" s="1"/>
  <c r="L311" i="10"/>
  <c r="BA310" i="10"/>
  <c r="AS310" i="10"/>
  <c r="AM310" i="10"/>
  <c r="AJ310" i="10" s="1"/>
  <c r="AD310" i="10"/>
  <c r="AV310" i="10" s="1"/>
  <c r="W310" i="10"/>
  <c r="R310" i="10"/>
  <c r="S310" i="10" s="1"/>
  <c r="L310" i="10"/>
  <c r="BA309" i="10"/>
  <c r="AS309" i="10"/>
  <c r="AM309" i="10"/>
  <c r="AD309" i="10"/>
  <c r="AA309" i="10" s="1"/>
  <c r="W309" i="10"/>
  <c r="R309" i="10"/>
  <c r="S309" i="10" s="1"/>
  <c r="L309" i="10"/>
  <c r="BA308" i="10"/>
  <c r="AS308" i="10"/>
  <c r="AM308" i="10"/>
  <c r="AJ308" i="10" s="1"/>
  <c r="AD308" i="10"/>
  <c r="AV308" i="10" s="1"/>
  <c r="W308" i="10"/>
  <c r="R308" i="10"/>
  <c r="S308" i="10" s="1"/>
  <c r="L308" i="10"/>
  <c r="BA307" i="10"/>
  <c r="AS307" i="10"/>
  <c r="AM307" i="10"/>
  <c r="AJ307" i="10" s="1"/>
  <c r="AD307" i="10"/>
  <c r="AA307" i="10" s="1"/>
  <c r="W307" i="10"/>
  <c r="R307" i="10"/>
  <c r="S307" i="10" s="1"/>
  <c r="L307" i="10"/>
  <c r="BA306" i="10"/>
  <c r="AS306" i="10"/>
  <c r="AO306" i="10" s="1"/>
  <c r="AM306" i="10"/>
  <c r="AJ306" i="10" s="1"/>
  <c r="AD306" i="10"/>
  <c r="W306" i="10"/>
  <c r="R306" i="10"/>
  <c r="S306" i="10" s="1"/>
  <c r="L306" i="10"/>
  <c r="BA305" i="10"/>
  <c r="AS305" i="10"/>
  <c r="AO305" i="10" s="1"/>
  <c r="AM305" i="10"/>
  <c r="AD305" i="10"/>
  <c r="W305" i="10"/>
  <c r="R305" i="10"/>
  <c r="S305" i="10" s="1"/>
  <c r="L305" i="10"/>
  <c r="BA304" i="10"/>
  <c r="AS304" i="10"/>
  <c r="AM304" i="10"/>
  <c r="AD304" i="10"/>
  <c r="W304" i="10"/>
  <c r="R304" i="10"/>
  <c r="S304" i="10" s="1"/>
  <c r="L304" i="10"/>
  <c r="BA303" i="10"/>
  <c r="AS303" i="10"/>
  <c r="AM303" i="10"/>
  <c r="AJ303" i="10" s="1"/>
  <c r="AD303" i="10"/>
  <c r="W303" i="10"/>
  <c r="R303" i="10"/>
  <c r="S303" i="10" s="1"/>
  <c r="L303" i="10"/>
  <c r="BA302" i="10"/>
  <c r="AS302" i="10"/>
  <c r="AM302" i="10"/>
  <c r="AJ302" i="10"/>
  <c r="AD302" i="10"/>
  <c r="W302" i="10"/>
  <c r="R302" i="10"/>
  <c r="S302" i="10" s="1"/>
  <c r="L302" i="10"/>
  <c r="BA301" i="10"/>
  <c r="AS301" i="10"/>
  <c r="AO301" i="10"/>
  <c r="AM301" i="10"/>
  <c r="AN301" i="10" s="1"/>
  <c r="AD301" i="10"/>
  <c r="AV301" i="10" s="1"/>
  <c r="W301" i="10"/>
  <c r="R301" i="10"/>
  <c r="S301" i="10" s="1"/>
  <c r="L301" i="10"/>
  <c r="BA300" i="10"/>
  <c r="AS300" i="10"/>
  <c r="AM300" i="10"/>
  <c r="AJ300" i="10" s="1"/>
  <c r="AD300" i="10"/>
  <c r="W300" i="10"/>
  <c r="R300" i="10"/>
  <c r="S300" i="10" s="1"/>
  <c r="L300" i="10"/>
  <c r="BA299" i="10"/>
  <c r="AS299" i="10"/>
  <c r="AM299" i="10"/>
  <c r="AJ299" i="10" s="1"/>
  <c r="AD299" i="10"/>
  <c r="W299" i="10"/>
  <c r="R299" i="10"/>
  <c r="S299" i="10" s="1"/>
  <c r="L299" i="10"/>
  <c r="BA298" i="10"/>
  <c r="AS298" i="10"/>
  <c r="AO298" i="10"/>
  <c r="AM298" i="10"/>
  <c r="AD298" i="10"/>
  <c r="W298" i="10"/>
  <c r="R298" i="10"/>
  <c r="S298" i="10" s="1"/>
  <c r="L298" i="10"/>
  <c r="BA297" i="10"/>
  <c r="AS297" i="10"/>
  <c r="AO297" i="10" s="1"/>
  <c r="AM297" i="10"/>
  <c r="AD297" i="10"/>
  <c r="W297" i="10"/>
  <c r="R297" i="10"/>
  <c r="S297" i="10" s="1"/>
  <c r="L297" i="10"/>
  <c r="BA296" i="10"/>
  <c r="AS296" i="10"/>
  <c r="AM296" i="10"/>
  <c r="AJ296" i="10" s="1"/>
  <c r="AD296" i="10"/>
  <c r="AV296" i="10" s="1"/>
  <c r="W296" i="10"/>
  <c r="R296" i="10"/>
  <c r="S296" i="10" s="1"/>
  <c r="L296" i="10"/>
  <c r="BA295" i="10"/>
  <c r="AS295" i="10"/>
  <c r="AO295" i="10" s="1"/>
  <c r="AM295" i="10"/>
  <c r="AJ295" i="10" s="1"/>
  <c r="AD295" i="10"/>
  <c r="W295" i="10"/>
  <c r="R295" i="10"/>
  <c r="S295" i="10" s="1"/>
  <c r="L295" i="10"/>
  <c r="BA294" i="10"/>
  <c r="AS294" i="10"/>
  <c r="AM294" i="10"/>
  <c r="AJ294" i="10"/>
  <c r="AD294" i="10"/>
  <c r="W294" i="10"/>
  <c r="R294" i="10"/>
  <c r="S294" i="10" s="1"/>
  <c r="L294" i="10"/>
  <c r="BA293" i="10"/>
  <c r="AS293" i="10"/>
  <c r="AM293" i="10"/>
  <c r="AJ293" i="10" s="1"/>
  <c r="AD293" i="10"/>
  <c r="AA293" i="10" s="1"/>
  <c r="W293" i="10"/>
  <c r="R293" i="10"/>
  <c r="S293" i="10" s="1"/>
  <c r="L293" i="10"/>
  <c r="BA292" i="10"/>
  <c r="AS292" i="10"/>
  <c r="AO292" i="10" s="1"/>
  <c r="AM292" i="10"/>
  <c r="AJ292" i="10" s="1"/>
  <c r="AD292" i="10"/>
  <c r="W292" i="10"/>
  <c r="R292" i="10"/>
  <c r="S292" i="10" s="1"/>
  <c r="L292" i="10"/>
  <c r="BA291" i="10"/>
  <c r="AS291" i="10"/>
  <c r="AM291" i="10"/>
  <c r="AD291" i="10"/>
  <c r="W291" i="10"/>
  <c r="R291" i="10"/>
  <c r="S291" i="10" s="1"/>
  <c r="L291" i="10"/>
  <c r="BA290" i="10"/>
  <c r="AS290" i="10"/>
  <c r="AM290" i="10"/>
  <c r="AJ290" i="10" s="1"/>
  <c r="AD290" i="10"/>
  <c r="W290" i="10"/>
  <c r="R290" i="10"/>
  <c r="S290" i="10" s="1"/>
  <c r="L290" i="10"/>
  <c r="BA289" i="10"/>
  <c r="AS289" i="10"/>
  <c r="AO289" i="10" s="1"/>
  <c r="AM289" i="10"/>
  <c r="AJ289" i="10" s="1"/>
  <c r="AD289" i="10"/>
  <c r="AA289" i="10" s="1"/>
  <c r="W289" i="10"/>
  <c r="R289" i="10"/>
  <c r="S289" i="10" s="1"/>
  <c r="L289" i="10"/>
  <c r="BA288" i="10"/>
  <c r="AS288" i="10"/>
  <c r="AO288" i="10" s="1"/>
  <c r="AM288" i="10"/>
  <c r="AJ288" i="10" s="1"/>
  <c r="AD288" i="10"/>
  <c r="W288" i="10"/>
  <c r="R288" i="10"/>
  <c r="S288" i="10" s="1"/>
  <c r="L288" i="10"/>
  <c r="BA287" i="10"/>
  <c r="AS287" i="10"/>
  <c r="AM287" i="10"/>
  <c r="AJ287" i="10" s="1"/>
  <c r="AD287" i="10"/>
  <c r="W287" i="10"/>
  <c r="R287" i="10"/>
  <c r="S287" i="10" s="1"/>
  <c r="L287" i="10"/>
  <c r="BA286" i="10"/>
  <c r="AS286" i="10"/>
  <c r="AM286" i="10"/>
  <c r="AJ286" i="10" s="1"/>
  <c r="AD286" i="10"/>
  <c r="W286" i="10"/>
  <c r="R286" i="10"/>
  <c r="S286" i="10" s="1"/>
  <c r="L286" i="10"/>
  <c r="BA285" i="10"/>
  <c r="AS285" i="10"/>
  <c r="AM285" i="10"/>
  <c r="AJ285" i="10" s="1"/>
  <c r="AD285" i="10"/>
  <c r="W285" i="10"/>
  <c r="R285" i="10"/>
  <c r="S285" i="10" s="1"/>
  <c r="L285" i="10"/>
  <c r="BA284" i="10"/>
  <c r="AS284" i="10"/>
  <c r="AO284" i="10" s="1"/>
  <c r="AM284" i="10"/>
  <c r="AD284" i="10"/>
  <c r="W284" i="10"/>
  <c r="R284" i="10"/>
  <c r="S284" i="10" s="1"/>
  <c r="L284" i="10"/>
  <c r="BA283" i="10"/>
  <c r="AS283" i="10"/>
  <c r="AO283" i="10" s="1"/>
  <c r="AM283" i="10"/>
  <c r="AJ283" i="10" s="1"/>
  <c r="AD283" i="10"/>
  <c r="W283" i="10"/>
  <c r="R283" i="10"/>
  <c r="S283" i="10" s="1"/>
  <c r="L283" i="10"/>
  <c r="AS282" i="10"/>
  <c r="AM282" i="10"/>
  <c r="AJ282" i="10" s="1"/>
  <c r="AD282" i="10"/>
  <c r="W282" i="10"/>
  <c r="L282" i="10"/>
  <c r="AR281" i="10"/>
  <c r="AR280" i="10" s="1"/>
  <c r="V281" i="10"/>
  <c r="K281" i="10"/>
  <c r="J281" i="10"/>
  <c r="AY277" i="10"/>
  <c r="AY276" i="10" s="1"/>
  <c r="AM278" i="10"/>
  <c r="AJ278" i="10" s="1"/>
  <c r="AD278" i="10"/>
  <c r="U277" i="10"/>
  <c r="U276" i="10" s="1"/>
  <c r="R278" i="10"/>
  <c r="S278" i="10" s="1"/>
  <c r="L278" i="10"/>
  <c r="AZ277" i="10"/>
  <c r="AZ276" i="10" s="1"/>
  <c r="AR277" i="10"/>
  <c r="V277" i="10"/>
  <c r="V276" i="10" s="1"/>
  <c r="Q277" i="10"/>
  <c r="Q276" i="10" s="1"/>
  <c r="K277" i="10"/>
  <c r="K276" i="10" s="1"/>
  <c r="J277" i="10"/>
  <c r="AR276" i="10"/>
  <c r="AZ275" i="10"/>
  <c r="AZ274" i="10" s="1"/>
  <c r="AZ273" i="10" s="1"/>
  <c r="AS275" i="10"/>
  <c r="AM275" i="10"/>
  <c r="AD275" i="10"/>
  <c r="AA275" i="10" s="1"/>
  <c r="W275" i="10"/>
  <c r="W274" i="10" s="1"/>
  <c r="W273" i="10" s="1"/>
  <c r="R275" i="10"/>
  <c r="S275" i="10" s="1"/>
  <c r="L275" i="10"/>
  <c r="AR274" i="10"/>
  <c r="AR273" i="10" s="1"/>
  <c r="V274" i="10"/>
  <c r="V273" i="10" s="1"/>
  <c r="Q274" i="10"/>
  <c r="Q273" i="10" s="1"/>
  <c r="K274" i="10"/>
  <c r="J274" i="10"/>
  <c r="K273" i="10"/>
  <c r="AZ272" i="10"/>
  <c r="BA272" i="10"/>
  <c r="AS272" i="10"/>
  <c r="AM272" i="10"/>
  <c r="AD272" i="10"/>
  <c r="AV272" i="10" s="1"/>
  <c r="AA272" i="10"/>
  <c r="W272" i="10"/>
  <c r="R272" i="10"/>
  <c r="S272" i="10" s="1"/>
  <c r="L272" i="10"/>
  <c r="AZ271" i="10"/>
  <c r="BA271" i="10"/>
  <c r="AS271" i="10"/>
  <c r="AM271" i="10"/>
  <c r="AJ271" i="10"/>
  <c r="AD271" i="10"/>
  <c r="W271" i="10"/>
  <c r="R271" i="10"/>
  <c r="S271" i="10" s="1"/>
  <c r="L271" i="10"/>
  <c r="AZ270" i="10"/>
  <c r="AS270" i="10"/>
  <c r="AO270" i="10" s="1"/>
  <c r="AM270" i="10"/>
  <c r="AJ270" i="10"/>
  <c r="AD270" i="10"/>
  <c r="W270" i="10"/>
  <c r="R270" i="10"/>
  <c r="S270" i="10" s="1"/>
  <c r="L270" i="10"/>
  <c r="AZ269" i="10"/>
  <c r="AM269" i="10"/>
  <c r="AJ269" i="10" s="1"/>
  <c r="AD269" i="10"/>
  <c r="AV269" i="10" s="1"/>
  <c r="AA269" i="10"/>
  <c r="W269" i="10"/>
  <c r="R269" i="10"/>
  <c r="L269" i="10"/>
  <c r="AR268" i="10"/>
  <c r="AR267" i="10" s="1"/>
  <c r="V268" i="10"/>
  <c r="V267" i="10" s="1"/>
  <c r="Q268" i="10"/>
  <c r="Q267" i="10" s="1"/>
  <c r="K268" i="10"/>
  <c r="K267" i="10" s="1"/>
  <c r="J268" i="10"/>
  <c r="BA265" i="10"/>
  <c r="AS265" i="10"/>
  <c r="BO265" i="10" s="1"/>
  <c r="AM265" i="10"/>
  <c r="AJ265" i="10" s="1"/>
  <c r="AD265" i="10"/>
  <c r="AV265" i="10" s="1"/>
  <c r="W265" i="10"/>
  <c r="R265" i="10"/>
  <c r="S265" i="10" s="1"/>
  <c r="L265" i="10"/>
  <c r="BA264" i="10"/>
  <c r="AS264" i="10"/>
  <c r="AM264" i="10"/>
  <c r="AJ264" i="10" s="1"/>
  <c r="AD264" i="10"/>
  <c r="W264" i="10"/>
  <c r="R264" i="10"/>
  <c r="S264" i="10" s="1"/>
  <c r="L264" i="10"/>
  <c r="BA263" i="10"/>
  <c r="AS263" i="10"/>
  <c r="AM263" i="10"/>
  <c r="AJ263" i="10" s="1"/>
  <c r="AD263" i="10"/>
  <c r="AA263" i="10" s="1"/>
  <c r="W263" i="10"/>
  <c r="R263" i="10"/>
  <c r="S263" i="10" s="1"/>
  <c r="L263" i="10"/>
  <c r="AZ262" i="10"/>
  <c r="AS262" i="10"/>
  <c r="AM262" i="10"/>
  <c r="AJ262" i="10" s="1"/>
  <c r="AD262" i="10"/>
  <c r="W262" i="10"/>
  <c r="R262" i="10"/>
  <c r="S262" i="10" s="1"/>
  <c r="L262" i="10"/>
  <c r="BA261" i="10"/>
  <c r="AS261" i="10"/>
  <c r="BO261" i="10" s="1"/>
  <c r="AM261" i="10"/>
  <c r="AJ261" i="10"/>
  <c r="AD261" i="10"/>
  <c r="AA261" i="10" s="1"/>
  <c r="W261" i="10"/>
  <c r="R261" i="10"/>
  <c r="S261" i="10" s="1"/>
  <c r="L261" i="10"/>
  <c r="BA260" i="10"/>
  <c r="AS260" i="10"/>
  <c r="AM260" i="10"/>
  <c r="AJ260" i="10" s="1"/>
  <c r="AD260" i="10"/>
  <c r="AA260" i="10" s="1"/>
  <c r="W260" i="10"/>
  <c r="R260" i="10"/>
  <c r="S260" i="10" s="1"/>
  <c r="L260" i="10"/>
  <c r="AZ259" i="10"/>
  <c r="BA259" i="10"/>
  <c r="AS259" i="10"/>
  <c r="AO259" i="10" s="1"/>
  <c r="AM259" i="10"/>
  <c r="AJ259" i="10"/>
  <c r="AD259" i="10"/>
  <c r="W259" i="10"/>
  <c r="R259" i="10"/>
  <c r="S259" i="10" s="1"/>
  <c r="L259" i="10"/>
  <c r="AM258" i="10"/>
  <c r="AD258" i="10"/>
  <c r="AA258" i="10"/>
  <c r="W258" i="10"/>
  <c r="R258" i="10"/>
  <c r="S258" i="10" s="1"/>
  <c r="L258" i="10"/>
  <c r="AR257" i="10"/>
  <c r="V257" i="10"/>
  <c r="Q257" i="10"/>
  <c r="K257" i="10"/>
  <c r="J257" i="10"/>
  <c r="AM256" i="10"/>
  <c r="AJ256" i="10"/>
  <c r="AD256" i="10"/>
  <c r="W256" i="10"/>
  <c r="W255" i="10" s="1"/>
  <c r="L256" i="10"/>
  <c r="AZ255" i="10"/>
  <c r="AR255" i="10"/>
  <c r="AM255" i="10"/>
  <c r="AJ255" i="10" s="1"/>
  <c r="V255" i="10"/>
  <c r="Q255" i="10"/>
  <c r="K255" i="10"/>
  <c r="J255" i="10"/>
  <c r="L255" i="10" s="1"/>
  <c r="BA254" i="10"/>
  <c r="AS254" i="10"/>
  <c r="AM254" i="10"/>
  <c r="AJ254" i="10" s="1"/>
  <c r="AD254" i="10"/>
  <c r="AA254" i="10" s="1"/>
  <c r="W254" i="10"/>
  <c r="R254" i="10"/>
  <c r="S254" i="10" s="1"/>
  <c r="L254" i="10"/>
  <c r="BA253" i="10"/>
  <c r="AS253" i="10"/>
  <c r="AO253" i="10" s="1"/>
  <c r="AM253" i="10"/>
  <c r="AD253" i="10"/>
  <c r="AV253" i="10" s="1"/>
  <c r="R253" i="10"/>
  <c r="S253" i="10" s="1"/>
  <c r="L253" i="10"/>
  <c r="BA252" i="10"/>
  <c r="AS252" i="10"/>
  <c r="AO252" i="10" s="1"/>
  <c r="AM252" i="10"/>
  <c r="AJ252" i="10"/>
  <c r="AD252" i="10"/>
  <c r="W252" i="10"/>
  <c r="R252" i="10"/>
  <c r="L252" i="10"/>
  <c r="AZ251" i="10"/>
  <c r="AR251" i="10"/>
  <c r="V251" i="10"/>
  <c r="Q251" i="10"/>
  <c r="K251" i="10"/>
  <c r="K250" i="10" s="1"/>
  <c r="J251" i="10"/>
  <c r="V250" i="10"/>
  <c r="BA249" i="10"/>
  <c r="AS249" i="10"/>
  <c r="BO249" i="10" s="1"/>
  <c r="AO249" i="10"/>
  <c r="AM249" i="10"/>
  <c r="AJ249" i="10" s="1"/>
  <c r="AD249" i="10"/>
  <c r="AA249" i="10" s="1"/>
  <c r="W249" i="10"/>
  <c r="R249" i="10"/>
  <c r="S249" i="10" s="1"/>
  <c r="L249" i="10"/>
  <c r="AZ248" i="10"/>
  <c r="AZ247" i="10" s="1"/>
  <c r="AM248" i="10"/>
  <c r="AM247" i="10" s="1"/>
  <c r="AJ248" i="10"/>
  <c r="AD248" i="10"/>
  <c r="AA248" i="10" s="1"/>
  <c r="W248" i="10"/>
  <c r="R248" i="10"/>
  <c r="S248" i="10" s="1"/>
  <c r="L248" i="10"/>
  <c r="AR247" i="10"/>
  <c r="V247" i="10"/>
  <c r="Q247" i="10"/>
  <c r="K247" i="10"/>
  <c r="J247" i="10"/>
  <c r="L247" i="10" s="1"/>
  <c r="BA246" i="10"/>
  <c r="BA245" i="10" s="1"/>
  <c r="AS246" i="10"/>
  <c r="AM246" i="10"/>
  <c r="AM245" i="10" s="1"/>
  <c r="AJ245" i="10" s="1"/>
  <c r="AD246" i="10"/>
  <c r="AV246" i="10" s="1"/>
  <c r="W246" i="10"/>
  <c r="W245" i="10" s="1"/>
  <c r="L246" i="10"/>
  <c r="AZ245" i="10"/>
  <c r="AR245" i="10"/>
  <c r="V245" i="10"/>
  <c r="Q245" i="10"/>
  <c r="K245" i="10"/>
  <c r="J245" i="10"/>
  <c r="AY243" i="10"/>
  <c r="AS244" i="10"/>
  <c r="AS243" i="10" s="1"/>
  <c r="AO243" i="10" s="1"/>
  <c r="AM244" i="10"/>
  <c r="AM243" i="10" s="1"/>
  <c r="AJ244" i="10"/>
  <c r="AD244" i="10"/>
  <c r="AV244" i="10" s="1"/>
  <c r="AA244" i="10"/>
  <c r="P243" i="10"/>
  <c r="L244" i="10"/>
  <c r="AZ243" i="10"/>
  <c r="AR243" i="10"/>
  <c r="AD243" i="10"/>
  <c r="V243" i="10"/>
  <c r="Q243" i="10"/>
  <c r="K243" i="10"/>
  <c r="J243" i="10"/>
  <c r="L243" i="10" s="1"/>
  <c r="AS241" i="10"/>
  <c r="AO241" i="10" s="1"/>
  <c r="AM241" i="10"/>
  <c r="AD241" i="10"/>
  <c r="AA241" i="10" s="1"/>
  <c r="W241" i="10"/>
  <c r="W240" i="10" s="1"/>
  <c r="L241" i="10"/>
  <c r="AZ240" i="10"/>
  <c r="AR240" i="10"/>
  <c r="V240" i="10"/>
  <c r="Q240" i="10"/>
  <c r="K240" i="10"/>
  <c r="J240" i="10"/>
  <c r="BA239" i="10"/>
  <c r="BA238" i="10" s="1"/>
  <c r="AS239" i="10"/>
  <c r="AM239" i="10"/>
  <c r="AJ239" i="10" s="1"/>
  <c r="AD239" i="10"/>
  <c r="AV239" i="10" s="1"/>
  <c r="L239" i="10"/>
  <c r="AZ238" i="10"/>
  <c r="AR238" i="10"/>
  <c r="V238" i="10"/>
  <c r="Q238" i="10"/>
  <c r="K238" i="10"/>
  <c r="J238" i="10"/>
  <c r="L238" i="10" s="1"/>
  <c r="AS237" i="10"/>
  <c r="AM237" i="10"/>
  <c r="AJ237" i="10" s="1"/>
  <c r="AD237" i="10"/>
  <c r="AA237" i="10" s="1"/>
  <c r="P236" i="10"/>
  <c r="L237" i="10"/>
  <c r="AZ236" i="10"/>
  <c r="AR236" i="10"/>
  <c r="AM236" i="10"/>
  <c r="AJ236" i="10" s="1"/>
  <c r="AD236" i="10"/>
  <c r="V236" i="10"/>
  <c r="Q236" i="10"/>
  <c r="K236" i="10"/>
  <c r="J236" i="10"/>
  <c r="AZ235" i="10"/>
  <c r="AZ234" i="10" s="1"/>
  <c r="AS235" i="10"/>
  <c r="AM235" i="10"/>
  <c r="AJ235" i="10" s="1"/>
  <c r="AD235" i="10"/>
  <c r="AA235" i="10"/>
  <c r="W235" i="10"/>
  <c r="W234" i="10" s="1"/>
  <c r="L235" i="10"/>
  <c r="AR234" i="10"/>
  <c r="V234" i="10"/>
  <c r="Q234" i="10"/>
  <c r="Q233" i="10" s="1"/>
  <c r="K234" i="10"/>
  <c r="J234" i="10"/>
  <c r="L234" i="10" s="1"/>
  <c r="BA232" i="10"/>
  <c r="BA231" i="10" s="1"/>
  <c r="AM232" i="10"/>
  <c r="AJ232" i="10" s="1"/>
  <c r="AD232" i="10"/>
  <c r="AA232" i="10"/>
  <c r="U231" i="10"/>
  <c r="P231" i="10"/>
  <c r="L232" i="10"/>
  <c r="AZ231" i="10"/>
  <c r="AR231" i="10"/>
  <c r="V231" i="10"/>
  <c r="Q231" i="10"/>
  <c r="K231" i="10"/>
  <c r="J231" i="10"/>
  <c r="L231" i="10" s="1"/>
  <c r="AY229" i="10"/>
  <c r="AM230" i="10"/>
  <c r="AD230" i="10"/>
  <c r="AV230" i="10" s="1"/>
  <c r="U229" i="10"/>
  <c r="P229" i="10"/>
  <c r="L230" i="10"/>
  <c r="AZ229" i="10"/>
  <c r="AR229" i="10"/>
  <c r="AR228" i="10" s="1"/>
  <c r="V229" i="10"/>
  <c r="Q229" i="10"/>
  <c r="K229" i="10"/>
  <c r="K228" i="10" s="1"/>
  <c r="J229" i="10"/>
  <c r="AZ227" i="10"/>
  <c r="AS227" i="10"/>
  <c r="AM227" i="10"/>
  <c r="AJ227" i="10" s="1"/>
  <c r="AD227" i="10"/>
  <c r="AA227" i="10" s="1"/>
  <c r="W227" i="10"/>
  <c r="R227" i="10"/>
  <c r="L227" i="10"/>
  <c r="BA226" i="10"/>
  <c r="AS226" i="10"/>
  <c r="AO226" i="10" s="1"/>
  <c r="AM226" i="10"/>
  <c r="AD226" i="10"/>
  <c r="W226" i="10"/>
  <c r="R226" i="10"/>
  <c r="S226" i="10" s="1"/>
  <c r="L226" i="10"/>
  <c r="AR225" i="10"/>
  <c r="V225" i="10"/>
  <c r="V224" i="10" s="1"/>
  <c r="Q225" i="10"/>
  <c r="Q224" i="10" s="1"/>
  <c r="K225" i="10"/>
  <c r="K224" i="10" s="1"/>
  <c r="J225" i="10"/>
  <c r="AR224" i="10"/>
  <c r="AZ222" i="10"/>
  <c r="AM222" i="10"/>
  <c r="AD222" i="10"/>
  <c r="AA222" i="10" s="1"/>
  <c r="W222" i="10"/>
  <c r="W221" i="10" s="1"/>
  <c r="R222" i="10"/>
  <c r="L222" i="10"/>
  <c r="AR221" i="10"/>
  <c r="V221" i="10"/>
  <c r="Q221" i="10"/>
  <c r="K221" i="10"/>
  <c r="J221" i="10"/>
  <c r="BA220" i="10"/>
  <c r="AS220" i="10"/>
  <c r="BO220" i="10" s="1"/>
  <c r="AM220" i="10"/>
  <c r="AJ220" i="10" s="1"/>
  <c r="AD220" i="10"/>
  <c r="AV220" i="10" s="1"/>
  <c r="AA220" i="10"/>
  <c r="W220" i="10"/>
  <c r="R220" i="10"/>
  <c r="S220" i="10" s="1"/>
  <c r="L220" i="10"/>
  <c r="AS219" i="10"/>
  <c r="AO219" i="10" s="1"/>
  <c r="AM219" i="10"/>
  <c r="AJ219" i="10" s="1"/>
  <c r="AD219" i="10"/>
  <c r="AV219" i="10" s="1"/>
  <c r="R219" i="10"/>
  <c r="S219" i="10" s="1"/>
  <c r="L219" i="10"/>
  <c r="BA218" i="10"/>
  <c r="AS218" i="10"/>
  <c r="AM218" i="10"/>
  <c r="AJ218" i="10" s="1"/>
  <c r="AD218" i="10"/>
  <c r="W218" i="10"/>
  <c r="L218" i="10"/>
  <c r="AR217" i="10"/>
  <c r="V217" i="10"/>
  <c r="Q217" i="10"/>
  <c r="K217" i="10"/>
  <c r="J217" i="10"/>
  <c r="L217" i="10" s="1"/>
  <c r="BA216" i="10"/>
  <c r="BA215" i="10" s="1"/>
  <c r="AS216" i="10"/>
  <c r="AM216" i="10"/>
  <c r="AJ216" i="10"/>
  <c r="AD216" i="10"/>
  <c r="AA216" i="10" s="1"/>
  <c r="W216" i="10"/>
  <c r="W215" i="10" s="1"/>
  <c r="P215" i="10"/>
  <c r="L216" i="10"/>
  <c r="AZ215" i="10"/>
  <c r="AR215" i="10"/>
  <c r="AM215" i="10"/>
  <c r="V215" i="10"/>
  <c r="Q215" i="10"/>
  <c r="K215" i="10"/>
  <c r="J215" i="10"/>
  <c r="AM214" i="10"/>
  <c r="AJ214" i="10" s="1"/>
  <c r="AD214" i="10"/>
  <c r="AA214" i="10" s="1"/>
  <c r="L214" i="10"/>
  <c r="AR213" i="10"/>
  <c r="AM213" i="10"/>
  <c r="V213" i="10"/>
  <c r="Q213" i="10"/>
  <c r="K213" i="10"/>
  <c r="J213" i="10"/>
  <c r="L213" i="10" s="1"/>
  <c r="AS212" i="10"/>
  <c r="AS211" i="10" s="1"/>
  <c r="AO211" i="10" s="1"/>
  <c r="AM212" i="10"/>
  <c r="AD212" i="10"/>
  <c r="P211" i="10"/>
  <c r="L212" i="10"/>
  <c r="AZ211" i="10"/>
  <c r="AR211" i="10"/>
  <c r="AD211" i="10"/>
  <c r="AA211" i="10" s="1"/>
  <c r="V211" i="10"/>
  <c r="Q211" i="10"/>
  <c r="K211" i="10"/>
  <c r="J211" i="10"/>
  <c r="L211" i="10" s="1"/>
  <c r="AZ210" i="10"/>
  <c r="AZ208" i="10" s="1"/>
  <c r="AS210" i="10"/>
  <c r="BH210" i="10" s="1"/>
  <c r="BM210" i="10" s="1"/>
  <c r="BO210" i="10" s="1"/>
  <c r="AM210" i="10"/>
  <c r="AJ210" i="10" s="1"/>
  <c r="AD210" i="10"/>
  <c r="W210" i="10"/>
  <c r="R210" i="10"/>
  <c r="S210" i="10" s="1"/>
  <c r="L210" i="10"/>
  <c r="BA209" i="10"/>
  <c r="AS209" i="10"/>
  <c r="AM209" i="10"/>
  <c r="AJ209" i="10" s="1"/>
  <c r="AD209" i="10"/>
  <c r="R209" i="10"/>
  <c r="L209" i="10"/>
  <c r="AR208" i="10"/>
  <c r="V208" i="10"/>
  <c r="Q208" i="10"/>
  <c r="K208" i="10"/>
  <c r="J208" i="10"/>
  <c r="L208" i="10" s="1"/>
  <c r="AY206" i="10"/>
  <c r="AS207" i="10"/>
  <c r="AM207" i="10"/>
  <c r="AJ207" i="10" s="1"/>
  <c r="AD207" i="10"/>
  <c r="W207" i="10"/>
  <c r="W206" i="10" s="1"/>
  <c r="L207" i="10"/>
  <c r="AR206" i="10"/>
  <c r="V206" i="10"/>
  <c r="V205" i="10" s="1"/>
  <c r="Q206" i="10"/>
  <c r="K206" i="10"/>
  <c r="J206" i="10"/>
  <c r="BA204" i="10"/>
  <c r="AS204" i="10"/>
  <c r="AM204" i="10"/>
  <c r="AD204" i="10"/>
  <c r="AA204" i="10" s="1"/>
  <c r="W204" i="10"/>
  <c r="R204" i="10"/>
  <c r="S204" i="10" s="1"/>
  <c r="L204" i="10"/>
  <c r="BA203" i="10"/>
  <c r="AS203" i="10"/>
  <c r="AM203" i="10"/>
  <c r="AJ203" i="10" s="1"/>
  <c r="AD203" i="10"/>
  <c r="AV203" i="10" s="1"/>
  <c r="W203" i="10"/>
  <c r="R203" i="10"/>
  <c r="S203" i="10" s="1"/>
  <c r="L203" i="10"/>
  <c r="BA202" i="10"/>
  <c r="AS202" i="10"/>
  <c r="AM202" i="10"/>
  <c r="AN202" i="10" s="1"/>
  <c r="AD202" i="10"/>
  <c r="W202" i="10"/>
  <c r="R202" i="10"/>
  <c r="S202" i="10" s="1"/>
  <c r="L202" i="10"/>
  <c r="BA201" i="10"/>
  <c r="AS201" i="10"/>
  <c r="AM201" i="10"/>
  <c r="AJ201" i="10" s="1"/>
  <c r="AD201" i="10"/>
  <c r="W201" i="10"/>
  <c r="R201" i="10"/>
  <c r="S201" i="10" s="1"/>
  <c r="L201" i="10"/>
  <c r="BA200" i="10"/>
  <c r="AS200" i="10"/>
  <c r="AM200" i="10"/>
  <c r="AJ200" i="10" s="1"/>
  <c r="AD200" i="10"/>
  <c r="AV200" i="10" s="1"/>
  <c r="W200" i="10"/>
  <c r="R200" i="10"/>
  <c r="S200" i="10" s="1"/>
  <c r="L200" i="10"/>
  <c r="BA199" i="10"/>
  <c r="AS199" i="10"/>
  <c r="AM199" i="10"/>
  <c r="AJ199" i="10" s="1"/>
  <c r="AD199" i="10"/>
  <c r="AA199" i="10" s="1"/>
  <c r="W199" i="10"/>
  <c r="R199" i="10"/>
  <c r="S199" i="10" s="1"/>
  <c r="BA198" i="10"/>
  <c r="AS198" i="10"/>
  <c r="AM198" i="10"/>
  <c r="AD198" i="10"/>
  <c r="W198" i="10"/>
  <c r="R198" i="10"/>
  <c r="S198" i="10" s="1"/>
  <c r="L198" i="10"/>
  <c r="BA197" i="10"/>
  <c r="AS197" i="10"/>
  <c r="AO197" i="10" s="1"/>
  <c r="AM197" i="10"/>
  <c r="AJ197" i="10"/>
  <c r="AD197" i="10"/>
  <c r="AV197" i="10" s="1"/>
  <c r="W197" i="10"/>
  <c r="R197" i="10"/>
  <c r="S197" i="10" s="1"/>
  <c r="L197" i="10"/>
  <c r="BA196" i="10"/>
  <c r="AS196" i="10"/>
  <c r="AM196" i="10"/>
  <c r="AJ196" i="10" s="1"/>
  <c r="AD196" i="10"/>
  <c r="AA196" i="10" s="1"/>
  <c r="W196" i="10"/>
  <c r="R196" i="10"/>
  <c r="S196" i="10" s="1"/>
  <c r="L196" i="10"/>
  <c r="BA195" i="10"/>
  <c r="AS195" i="10"/>
  <c r="AO195" i="10" s="1"/>
  <c r="AM195" i="10"/>
  <c r="AJ195" i="10" s="1"/>
  <c r="AD195" i="10"/>
  <c r="AV195" i="10" s="1"/>
  <c r="W195" i="10"/>
  <c r="R195" i="10"/>
  <c r="S195" i="10" s="1"/>
  <c r="L195" i="10"/>
  <c r="AS194" i="10"/>
  <c r="AM194" i="10"/>
  <c r="AJ194" i="10"/>
  <c r="AD194" i="10"/>
  <c r="AV194" i="10" s="1"/>
  <c r="AA194" i="10"/>
  <c r="W194" i="10"/>
  <c r="L194" i="10"/>
  <c r="AZ193" i="10"/>
  <c r="AZ192" i="10" s="1"/>
  <c r="AR193" i="10"/>
  <c r="V193" i="10"/>
  <c r="V192" i="10" s="1"/>
  <c r="Q193" i="10"/>
  <c r="Q192" i="10" s="1"/>
  <c r="K193" i="10"/>
  <c r="K192" i="10" s="1"/>
  <c r="J193" i="10"/>
  <c r="J192" i="10" s="1"/>
  <c r="L192" i="10" s="1"/>
  <c r="AR192" i="10"/>
  <c r="BA191" i="10"/>
  <c r="AS191" i="10"/>
  <c r="AO191" i="10" s="1"/>
  <c r="AM191" i="10"/>
  <c r="AJ191" i="10"/>
  <c r="AD191" i="10"/>
  <c r="AV191" i="10" s="1"/>
  <c r="W191" i="10"/>
  <c r="R191" i="10"/>
  <c r="S191" i="10" s="1"/>
  <c r="L191" i="10"/>
  <c r="AM190" i="10"/>
  <c r="AD190" i="10"/>
  <c r="AV190" i="10" s="1"/>
  <c r="W190" i="10"/>
  <c r="L190" i="10"/>
  <c r="AZ189" i="10"/>
  <c r="AR189" i="10"/>
  <c r="V189" i="10"/>
  <c r="Q189" i="10"/>
  <c r="K189" i="10"/>
  <c r="J189" i="10"/>
  <c r="L189" i="10" s="1"/>
  <c r="AY187" i="10"/>
  <c r="AS188" i="10"/>
  <c r="AM188" i="10"/>
  <c r="AM187" i="10" s="1"/>
  <c r="AJ187" i="10" s="1"/>
  <c r="AD188" i="10"/>
  <c r="W188" i="10"/>
  <c r="W187" i="10" s="1"/>
  <c r="P187" i="10"/>
  <c r="L188" i="10"/>
  <c r="AZ187" i="10"/>
  <c r="AR187" i="10"/>
  <c r="V187" i="10"/>
  <c r="Q187" i="10"/>
  <c r="K187" i="10"/>
  <c r="J187" i="10"/>
  <c r="L187" i="10" s="1"/>
  <c r="AS186" i="10"/>
  <c r="AO186" i="10" s="1"/>
  <c r="AM186" i="10"/>
  <c r="AM185" i="10" s="1"/>
  <c r="AJ185" i="10" s="1"/>
  <c r="AD186" i="10"/>
  <c r="W186" i="10"/>
  <c r="W185" i="10" s="1"/>
  <c r="P185" i="10"/>
  <c r="L186" i="10"/>
  <c r="AZ185" i="10"/>
  <c r="AR185" i="10"/>
  <c r="AD185" i="10"/>
  <c r="V185" i="10"/>
  <c r="Q185" i="10"/>
  <c r="K185" i="10"/>
  <c r="J185" i="10"/>
  <c r="AY183" i="10"/>
  <c r="AS184" i="10"/>
  <c r="AO184" i="10" s="1"/>
  <c r="AM184" i="10"/>
  <c r="AM183" i="10" s="1"/>
  <c r="AJ183" i="10" s="1"/>
  <c r="AD184" i="10"/>
  <c r="P183" i="10"/>
  <c r="L184" i="10"/>
  <c r="AZ183" i="10"/>
  <c r="AR183" i="10"/>
  <c r="AD183" i="10"/>
  <c r="AV183" i="10" s="1"/>
  <c r="V183" i="10"/>
  <c r="Q183" i="10"/>
  <c r="K183" i="10"/>
  <c r="J183" i="10"/>
  <c r="AS182" i="10"/>
  <c r="AM182" i="10"/>
  <c r="AM181" i="10" s="1"/>
  <c r="AJ181" i="10" s="1"/>
  <c r="AD182" i="10"/>
  <c r="AV182" i="10" s="1"/>
  <c r="AA182" i="10"/>
  <c r="L182" i="10"/>
  <c r="AZ181" i="10"/>
  <c r="AR181" i="10"/>
  <c r="AD181" i="10"/>
  <c r="AA181" i="10" s="1"/>
  <c r="V181" i="10"/>
  <c r="Q181" i="10"/>
  <c r="K181" i="10"/>
  <c r="J181" i="10"/>
  <c r="L181" i="10" s="1"/>
  <c r="K180" i="10"/>
  <c r="J180" i="10"/>
  <c r="BA179" i="10"/>
  <c r="AS179" i="10"/>
  <c r="AM179" i="10"/>
  <c r="AJ179" i="10" s="1"/>
  <c r="AD179" i="10"/>
  <c r="AV179" i="10" s="1"/>
  <c r="W179" i="10"/>
  <c r="R179" i="10"/>
  <c r="S179" i="10" s="1"/>
  <c r="L179" i="10"/>
  <c r="BA178" i="10"/>
  <c r="AS178" i="10"/>
  <c r="AM178" i="10"/>
  <c r="AD178" i="10"/>
  <c r="W178" i="10"/>
  <c r="R178" i="10"/>
  <c r="S178" i="10" s="1"/>
  <c r="L178" i="10"/>
  <c r="AZ177" i="10"/>
  <c r="BA177" i="10" s="1"/>
  <c r="AS177" i="10"/>
  <c r="BH177" i="10" s="1"/>
  <c r="BM177" i="10" s="1"/>
  <c r="AM177" i="10"/>
  <c r="AD177" i="10"/>
  <c r="W177" i="10"/>
  <c r="R177" i="10"/>
  <c r="S177" i="10" s="1"/>
  <c r="L177" i="10"/>
  <c r="BA176" i="10"/>
  <c r="AS176" i="10"/>
  <c r="BH176" i="10" s="1"/>
  <c r="BM176" i="10" s="1"/>
  <c r="AM176" i="10"/>
  <c r="AJ176" i="10" s="1"/>
  <c r="AD176" i="10"/>
  <c r="W176" i="10"/>
  <c r="R176" i="10"/>
  <c r="S176" i="10" s="1"/>
  <c r="L176" i="10"/>
  <c r="BA175" i="10"/>
  <c r="AS175" i="10"/>
  <c r="AM175" i="10"/>
  <c r="AD175" i="10"/>
  <c r="W175" i="10"/>
  <c r="R175" i="10"/>
  <c r="S175" i="10" s="1"/>
  <c r="L175" i="10"/>
  <c r="BA174" i="10"/>
  <c r="AS174" i="10"/>
  <c r="AM174" i="10"/>
  <c r="AJ174" i="10" s="1"/>
  <c r="AD174" i="10"/>
  <c r="AV174" i="10" s="1"/>
  <c r="AA174" i="10"/>
  <c r="W174" i="10"/>
  <c r="R174" i="10"/>
  <c r="S174" i="10" s="1"/>
  <c r="L174" i="10"/>
  <c r="BA173" i="10"/>
  <c r="AS173" i="10"/>
  <c r="BH173" i="10" s="1"/>
  <c r="BM173" i="10" s="1"/>
  <c r="BO173" i="10" s="1"/>
  <c r="AM173" i="10"/>
  <c r="AD173" i="10"/>
  <c r="AV173" i="10" s="1"/>
  <c r="W173" i="10"/>
  <c r="R173" i="10"/>
  <c r="S173" i="10" s="1"/>
  <c r="L173" i="10"/>
  <c r="BA172" i="10"/>
  <c r="AS172" i="10"/>
  <c r="AM172" i="10"/>
  <c r="AJ172" i="10" s="1"/>
  <c r="AD172" i="10"/>
  <c r="W172" i="10"/>
  <c r="R172" i="10"/>
  <c r="S172" i="10" s="1"/>
  <c r="L172" i="10"/>
  <c r="BA171" i="10"/>
  <c r="AS171" i="10"/>
  <c r="AM171" i="10"/>
  <c r="AJ171" i="10"/>
  <c r="AD171" i="10"/>
  <c r="AV171" i="10" s="1"/>
  <c r="W171" i="10"/>
  <c r="R171" i="10"/>
  <c r="S171" i="10" s="1"/>
  <c r="L171" i="10"/>
  <c r="BA170" i="10"/>
  <c r="AS170" i="10"/>
  <c r="AM170" i="10"/>
  <c r="AJ170" i="10" s="1"/>
  <c r="AD170" i="10"/>
  <c r="AV170" i="10" s="1"/>
  <c r="W170" i="10"/>
  <c r="R170" i="10"/>
  <c r="S170" i="10" s="1"/>
  <c r="L170" i="10"/>
  <c r="BA169" i="10"/>
  <c r="AS169" i="10"/>
  <c r="AM169" i="10"/>
  <c r="AJ169" i="10" s="1"/>
  <c r="AD169" i="10"/>
  <c r="W169" i="10"/>
  <c r="R169" i="10"/>
  <c r="S169" i="10" s="1"/>
  <c r="L169" i="10"/>
  <c r="BA168" i="10"/>
  <c r="AS168" i="10"/>
  <c r="AM168" i="10"/>
  <c r="AJ168" i="10" s="1"/>
  <c r="AD168" i="10"/>
  <c r="W168" i="10"/>
  <c r="R168" i="10"/>
  <c r="S168" i="10" s="1"/>
  <c r="L168" i="10"/>
  <c r="BA167" i="10"/>
  <c r="AS167" i="10"/>
  <c r="BH167" i="10" s="1"/>
  <c r="BM167" i="10" s="1"/>
  <c r="AM167" i="10"/>
  <c r="AJ167" i="10" s="1"/>
  <c r="AD167" i="10"/>
  <c r="W167" i="10"/>
  <c r="R167" i="10"/>
  <c r="S167" i="10" s="1"/>
  <c r="L167" i="10"/>
  <c r="BA166" i="10"/>
  <c r="AS166" i="10"/>
  <c r="AM166" i="10"/>
  <c r="AJ166" i="10" s="1"/>
  <c r="AD166" i="10"/>
  <c r="AA166" i="10" s="1"/>
  <c r="W166" i="10"/>
  <c r="R166" i="10"/>
  <c r="S166" i="10" s="1"/>
  <c r="L166" i="10"/>
  <c r="BA165" i="10"/>
  <c r="AS165" i="10"/>
  <c r="AM165" i="10"/>
  <c r="AD165" i="10"/>
  <c r="W165" i="10"/>
  <c r="R165" i="10"/>
  <c r="S165" i="10" s="1"/>
  <c r="L165" i="10"/>
  <c r="BA164" i="10"/>
  <c r="AS164" i="10"/>
  <c r="AM164" i="10"/>
  <c r="AJ164" i="10" s="1"/>
  <c r="AD164" i="10"/>
  <c r="AV164" i="10" s="1"/>
  <c r="W164" i="10"/>
  <c r="R164" i="10"/>
  <c r="S164" i="10" s="1"/>
  <c r="L164" i="10"/>
  <c r="BA163" i="10"/>
  <c r="AS163" i="10"/>
  <c r="AM163" i="10"/>
  <c r="AD163" i="10"/>
  <c r="W163" i="10"/>
  <c r="R163" i="10"/>
  <c r="S163" i="10" s="1"/>
  <c r="L163" i="10"/>
  <c r="BA162" i="10"/>
  <c r="AS162" i="10"/>
  <c r="AM162" i="10"/>
  <c r="AD162" i="10"/>
  <c r="W162" i="10"/>
  <c r="R162" i="10"/>
  <c r="S162" i="10" s="1"/>
  <c r="L162" i="10"/>
  <c r="BA161" i="10"/>
  <c r="AS161" i="10"/>
  <c r="AM161" i="10"/>
  <c r="AD161" i="10"/>
  <c r="W161" i="10"/>
  <c r="R161" i="10"/>
  <c r="S161" i="10" s="1"/>
  <c r="L161" i="10"/>
  <c r="BA160" i="10"/>
  <c r="AS160" i="10"/>
  <c r="AM160" i="10"/>
  <c r="AJ160" i="10" s="1"/>
  <c r="AD160" i="10"/>
  <c r="W160" i="10"/>
  <c r="R160" i="10"/>
  <c r="S160" i="10" s="1"/>
  <c r="L160" i="10"/>
  <c r="BA159" i="10"/>
  <c r="AS159" i="10"/>
  <c r="AO159" i="10" s="1"/>
  <c r="AM159" i="10"/>
  <c r="AJ159" i="10" s="1"/>
  <c r="AD159" i="10"/>
  <c r="L159" i="10"/>
  <c r="BA158" i="10"/>
  <c r="AS158" i="10"/>
  <c r="BH158" i="10" s="1"/>
  <c r="BM158" i="10" s="1"/>
  <c r="AM158" i="10"/>
  <c r="AD158" i="10"/>
  <c r="L158" i="10"/>
  <c r="BA157" i="10"/>
  <c r="AS157" i="10"/>
  <c r="AM157" i="10"/>
  <c r="AD157" i="10"/>
  <c r="AV157" i="10" s="1"/>
  <c r="W157" i="10"/>
  <c r="L157" i="10"/>
  <c r="BA156" i="10"/>
  <c r="AS156" i="10"/>
  <c r="AM156" i="10"/>
  <c r="AD156" i="10"/>
  <c r="L156" i="10"/>
  <c r="BA155" i="10"/>
  <c r="AS155" i="10"/>
  <c r="BH155" i="10" s="1"/>
  <c r="BM155" i="10" s="1"/>
  <c r="AM155" i="10"/>
  <c r="AD155" i="10"/>
  <c r="AA155" i="10" s="1"/>
  <c r="L155" i="10"/>
  <c r="BA154" i="10"/>
  <c r="AS154" i="10"/>
  <c r="AO154" i="10" s="1"/>
  <c r="AM154" i="10"/>
  <c r="AN154" i="10" s="1"/>
  <c r="AD154" i="10"/>
  <c r="L154" i="10"/>
  <c r="AZ153" i="10"/>
  <c r="AR153" i="10"/>
  <c r="K153" i="10"/>
  <c r="J153" i="10"/>
  <c r="L153" i="10" s="1"/>
  <c r="BA152" i="10"/>
  <c r="AS152" i="10"/>
  <c r="AM152" i="10"/>
  <c r="AD152" i="10"/>
  <c r="AA152" i="10" s="1"/>
  <c r="W152" i="10"/>
  <c r="R152" i="10"/>
  <c r="S152" i="10" s="1"/>
  <c r="L152" i="10"/>
  <c r="AS151" i="10"/>
  <c r="AM151" i="10"/>
  <c r="AJ151" i="10" s="1"/>
  <c r="AD151" i="10"/>
  <c r="W151" i="10"/>
  <c r="R151" i="10"/>
  <c r="S151" i="10" s="1"/>
  <c r="L151" i="10"/>
  <c r="BA150" i="10"/>
  <c r="AS150" i="10"/>
  <c r="AO150" i="10" s="1"/>
  <c r="AM150" i="10"/>
  <c r="AJ150" i="10" s="1"/>
  <c r="AD150" i="10"/>
  <c r="W150" i="10"/>
  <c r="R150" i="10"/>
  <c r="S150" i="10" s="1"/>
  <c r="L150" i="10"/>
  <c r="BA149" i="10"/>
  <c r="AS149" i="10"/>
  <c r="AM149" i="10"/>
  <c r="AJ149" i="10" s="1"/>
  <c r="AD149" i="10"/>
  <c r="AV149" i="10" s="1"/>
  <c r="W149" i="10"/>
  <c r="R149" i="10"/>
  <c r="S149" i="10" s="1"/>
  <c r="L149" i="10"/>
  <c r="BA148" i="10"/>
  <c r="AS148" i="10"/>
  <c r="AM148" i="10"/>
  <c r="AJ148" i="10" s="1"/>
  <c r="AD148" i="10"/>
  <c r="AV148" i="10" s="1"/>
  <c r="W148" i="10"/>
  <c r="R148" i="10"/>
  <c r="S148" i="10" s="1"/>
  <c r="L148" i="10"/>
  <c r="AS147" i="10"/>
  <c r="AM147" i="10"/>
  <c r="AD147" i="10"/>
  <c r="W147" i="10"/>
  <c r="R147" i="10"/>
  <c r="S147" i="10" s="1"/>
  <c r="L147" i="10"/>
  <c r="BA146" i="10"/>
  <c r="AM146" i="10"/>
  <c r="AD146" i="10"/>
  <c r="W146" i="10"/>
  <c r="R146" i="10"/>
  <c r="L146" i="10"/>
  <c r="AR145" i="10"/>
  <c r="V145" i="10"/>
  <c r="Q145" i="10"/>
  <c r="K145" i="10"/>
  <c r="J145" i="10"/>
  <c r="L145" i="10" s="1"/>
  <c r="AZ144" i="10"/>
  <c r="BA144" i="10" s="1"/>
  <c r="AS144" i="10"/>
  <c r="AM144" i="10"/>
  <c r="AJ144" i="10" s="1"/>
  <c r="AD144" i="10"/>
  <c r="AV144" i="10" s="1"/>
  <c r="W144" i="10"/>
  <c r="L144" i="10"/>
  <c r="Q144" i="10" s="1"/>
  <c r="BA143" i="10"/>
  <c r="AS143" i="10"/>
  <c r="AM143" i="10"/>
  <c r="AJ143" i="10" s="1"/>
  <c r="AD143" i="10"/>
  <c r="W143" i="10"/>
  <c r="R143" i="10"/>
  <c r="S143" i="10" s="1"/>
  <c r="L143" i="10"/>
  <c r="AZ142" i="10"/>
  <c r="AS142" i="10"/>
  <c r="AM142" i="10"/>
  <c r="AD142" i="10"/>
  <c r="W142" i="10"/>
  <c r="L142" i="10"/>
  <c r="Q142" i="10" s="1"/>
  <c r="BA141" i="10"/>
  <c r="AS141" i="10"/>
  <c r="AM141" i="10"/>
  <c r="AD141" i="10"/>
  <c r="W141" i="10"/>
  <c r="R141" i="10"/>
  <c r="S141" i="10" s="1"/>
  <c r="L141" i="10"/>
  <c r="BA140" i="10"/>
  <c r="AS140" i="10"/>
  <c r="AM140" i="10"/>
  <c r="AJ140" i="10" s="1"/>
  <c r="AD140" i="10"/>
  <c r="AV140" i="10" s="1"/>
  <c r="W140" i="10"/>
  <c r="R140" i="10"/>
  <c r="S140" i="10" s="1"/>
  <c r="L140" i="10"/>
  <c r="BA139" i="10"/>
  <c r="AS139" i="10"/>
  <c r="AM139" i="10"/>
  <c r="AJ139" i="10" s="1"/>
  <c r="AD139" i="10"/>
  <c r="AA139" i="10" s="1"/>
  <c r="W139" i="10"/>
  <c r="R139" i="10"/>
  <c r="S139" i="10" s="1"/>
  <c r="L139" i="10"/>
  <c r="BA138" i="10"/>
  <c r="AS138" i="10"/>
  <c r="BH138" i="10" s="1"/>
  <c r="BM138" i="10" s="1"/>
  <c r="AM138" i="10"/>
  <c r="AJ138" i="10" s="1"/>
  <c r="AD138" i="10"/>
  <c r="W138" i="10"/>
  <c r="R138" i="10"/>
  <c r="S138" i="10" s="1"/>
  <c r="L138" i="10"/>
  <c r="BA137" i="10"/>
  <c r="AS137" i="10"/>
  <c r="AM137" i="10"/>
  <c r="AJ137" i="10" s="1"/>
  <c r="AD137" i="10"/>
  <c r="W137" i="10"/>
  <c r="R137" i="10"/>
  <c r="S137" i="10" s="1"/>
  <c r="L137" i="10"/>
  <c r="BA136" i="10"/>
  <c r="AS136" i="10"/>
  <c r="AM136" i="10"/>
  <c r="AN136" i="10" s="1"/>
  <c r="AD136" i="10"/>
  <c r="W136" i="10"/>
  <c r="R136" i="10"/>
  <c r="S136" i="10" s="1"/>
  <c r="L136" i="10"/>
  <c r="BA135" i="10"/>
  <c r="AS135" i="10"/>
  <c r="AM135" i="10"/>
  <c r="AJ135" i="10" s="1"/>
  <c r="AD135" i="10"/>
  <c r="AV135" i="10" s="1"/>
  <c r="W135" i="10"/>
  <c r="R135" i="10"/>
  <c r="S135" i="10" s="1"/>
  <c r="L135" i="10"/>
  <c r="BA134" i="10"/>
  <c r="AS134" i="10"/>
  <c r="AM134" i="10"/>
  <c r="AD134" i="10"/>
  <c r="W134" i="10"/>
  <c r="R134" i="10"/>
  <c r="S134" i="10" s="1"/>
  <c r="L134" i="10"/>
  <c r="BA133" i="10"/>
  <c r="AS133" i="10"/>
  <c r="BH133" i="10" s="1"/>
  <c r="BM133" i="10" s="1"/>
  <c r="AM133" i="10"/>
  <c r="AJ133" i="10" s="1"/>
  <c r="AD133" i="10"/>
  <c r="AA133" i="10" s="1"/>
  <c r="W133" i="10"/>
  <c r="R133" i="10"/>
  <c r="S133" i="10" s="1"/>
  <c r="L133" i="10"/>
  <c r="BA132" i="10"/>
  <c r="AS132" i="10"/>
  <c r="AM132" i="10"/>
  <c r="AJ132" i="10" s="1"/>
  <c r="AD132" i="10"/>
  <c r="W132" i="10"/>
  <c r="R132" i="10"/>
  <c r="S132" i="10" s="1"/>
  <c r="L132" i="10"/>
  <c r="BA131" i="10"/>
  <c r="AS131" i="10"/>
  <c r="AM131" i="10"/>
  <c r="AD131" i="10"/>
  <c r="W131" i="10"/>
  <c r="R131" i="10"/>
  <c r="S131" i="10" s="1"/>
  <c r="L131" i="10"/>
  <c r="BA130" i="10"/>
  <c r="AS130" i="10"/>
  <c r="AM130" i="10"/>
  <c r="AD130" i="10"/>
  <c r="W130" i="10"/>
  <c r="R130" i="10"/>
  <c r="S130" i="10" s="1"/>
  <c r="L130" i="10"/>
  <c r="BA129" i="10"/>
  <c r="AS129" i="10"/>
  <c r="AM129" i="10"/>
  <c r="AD129" i="10"/>
  <c r="W129" i="10"/>
  <c r="R129" i="10"/>
  <c r="S129" i="10" s="1"/>
  <c r="L129" i="10"/>
  <c r="BA128" i="10"/>
  <c r="AS128" i="10"/>
  <c r="AO128" i="10" s="1"/>
  <c r="AM128" i="10"/>
  <c r="AD128" i="10"/>
  <c r="AA128" i="10" s="1"/>
  <c r="L128" i="10"/>
  <c r="BA127" i="10"/>
  <c r="AS127" i="10"/>
  <c r="AO127" i="10" s="1"/>
  <c r="AM127" i="10"/>
  <c r="AD127" i="10"/>
  <c r="L127" i="10"/>
  <c r="BA126" i="10"/>
  <c r="AS126" i="10"/>
  <c r="AM126" i="10"/>
  <c r="AJ126" i="10" s="1"/>
  <c r="AD126" i="10"/>
  <c r="W126" i="10"/>
  <c r="R126" i="10"/>
  <c r="S126" i="10" s="1"/>
  <c r="L126" i="10"/>
  <c r="BA125" i="10"/>
  <c r="AS125" i="10"/>
  <c r="BH125" i="10" s="1"/>
  <c r="BM125" i="10" s="1"/>
  <c r="AM125" i="10"/>
  <c r="AJ125" i="10" s="1"/>
  <c r="AD125" i="10"/>
  <c r="L125" i="10"/>
  <c r="BA124" i="10"/>
  <c r="AS124" i="10"/>
  <c r="AM124" i="10"/>
  <c r="AD124" i="10"/>
  <c r="R124" i="10"/>
  <c r="S124" i="10" s="1"/>
  <c r="L124" i="10"/>
  <c r="BA123" i="10"/>
  <c r="AS123" i="10"/>
  <c r="AM123" i="10"/>
  <c r="AJ123" i="10" s="1"/>
  <c r="AD123" i="10"/>
  <c r="AV123" i="10" s="1"/>
  <c r="L123" i="10"/>
  <c r="BA122" i="10"/>
  <c r="AS122" i="10"/>
  <c r="AO122" i="10" s="1"/>
  <c r="AM122" i="10"/>
  <c r="AJ122" i="10" s="1"/>
  <c r="AD122" i="10"/>
  <c r="W122" i="10"/>
  <c r="R122" i="10"/>
  <c r="S122" i="10" s="1"/>
  <c r="L122" i="10"/>
  <c r="AM121" i="10"/>
  <c r="AD121" i="10"/>
  <c r="L121" i="10"/>
  <c r="AR120" i="10"/>
  <c r="AR119" i="10" s="1"/>
  <c r="K120" i="10"/>
  <c r="J120" i="10"/>
  <c r="O118" i="10"/>
  <c r="N118" i="10"/>
  <c r="M118" i="10"/>
  <c r="F118" i="10"/>
  <c r="AY116" i="10"/>
  <c r="AY115" i="10" s="1"/>
  <c r="AM117" i="10"/>
  <c r="AJ117" i="10" s="1"/>
  <c r="AD117" i="10"/>
  <c r="U116" i="10"/>
  <c r="U115" i="10" s="1"/>
  <c r="L117" i="10"/>
  <c r="AZ116" i="10"/>
  <c r="AR116" i="10"/>
  <c r="AR115" i="10" s="1"/>
  <c r="AD116" i="10"/>
  <c r="AD115" i="10" s="1"/>
  <c r="AA115" i="10" s="1"/>
  <c r="V116" i="10"/>
  <c r="V115" i="10" s="1"/>
  <c r="Q116" i="10"/>
  <c r="Q115" i="10" s="1"/>
  <c r="K116" i="10"/>
  <c r="K115" i="10" s="1"/>
  <c r="J116" i="10"/>
  <c r="J115" i="10" s="1"/>
  <c r="L115" i="10" s="1"/>
  <c r="AZ115" i="10"/>
  <c r="BA114" i="10"/>
  <c r="BA113" i="10" s="1"/>
  <c r="BA112" i="10" s="1"/>
  <c r="AM114" i="10"/>
  <c r="AJ114" i="10" s="1"/>
  <c r="AD114" i="10"/>
  <c r="AV114" i="10" s="1"/>
  <c r="W114" i="10"/>
  <c r="W113" i="10" s="1"/>
  <c r="W112" i="10" s="1"/>
  <c r="R114" i="10"/>
  <c r="R113" i="10" s="1"/>
  <c r="R112" i="10" s="1"/>
  <c r="S112" i="10" s="1"/>
  <c r="L114" i="10"/>
  <c r="AZ113" i="10"/>
  <c r="AZ112" i="10" s="1"/>
  <c r="AR113" i="10"/>
  <c r="AR112" i="10" s="1"/>
  <c r="V113" i="10"/>
  <c r="V112" i="10" s="1"/>
  <c r="Q113" i="10"/>
  <c r="Q112" i="10" s="1"/>
  <c r="K113" i="10"/>
  <c r="J113" i="10"/>
  <c r="J112" i="10" s="1"/>
  <c r="BA111" i="10"/>
  <c r="BA110" i="10" s="1"/>
  <c r="BA109" i="10" s="1"/>
  <c r="AS111" i="10"/>
  <c r="AM111" i="10"/>
  <c r="AD111" i="10"/>
  <c r="W111" i="10"/>
  <c r="W110" i="10" s="1"/>
  <c r="W109" i="10" s="1"/>
  <c r="R111" i="10"/>
  <c r="R110" i="10" s="1"/>
  <c r="L111" i="10"/>
  <c r="AZ110" i="10"/>
  <c r="AZ109" i="10" s="1"/>
  <c r="AS110" i="10"/>
  <c r="AR110" i="10"/>
  <c r="AR109" i="10" s="1"/>
  <c r="AD110" i="10"/>
  <c r="AD109" i="10" s="1"/>
  <c r="V110" i="10"/>
  <c r="V109" i="10" s="1"/>
  <c r="Q110" i="10"/>
  <c r="Q109" i="10" s="1"/>
  <c r="K110" i="10"/>
  <c r="K109" i="10" s="1"/>
  <c r="J110" i="10"/>
  <c r="BA108" i="10"/>
  <c r="AS108" i="10"/>
  <c r="AM108" i="10"/>
  <c r="AJ108" i="10" s="1"/>
  <c r="AD108" i="10"/>
  <c r="W108" i="10"/>
  <c r="R108" i="10"/>
  <c r="S108" i="10" s="1"/>
  <c r="L108" i="10"/>
  <c r="BA107" i="10"/>
  <c r="AS107" i="10"/>
  <c r="AM107" i="10"/>
  <c r="AJ107" i="10" s="1"/>
  <c r="AD107" i="10"/>
  <c r="AA107" i="10" s="1"/>
  <c r="W107" i="10"/>
  <c r="R107" i="10"/>
  <c r="S107" i="10" s="1"/>
  <c r="L107" i="10"/>
  <c r="BA106" i="10"/>
  <c r="AS106" i="10"/>
  <c r="AM106" i="10"/>
  <c r="AD106" i="10"/>
  <c r="W106" i="10"/>
  <c r="R106" i="10"/>
  <c r="S106" i="10" s="1"/>
  <c r="L106" i="10"/>
  <c r="BA105" i="10"/>
  <c r="AS105" i="10"/>
  <c r="AM105" i="10"/>
  <c r="AD105" i="10"/>
  <c r="W105" i="10"/>
  <c r="R105" i="10"/>
  <c r="S105" i="10" s="1"/>
  <c r="L105" i="10"/>
  <c r="BA104" i="10"/>
  <c r="AS104" i="10"/>
  <c r="AM104" i="10"/>
  <c r="AJ104" i="10" s="1"/>
  <c r="AD104" i="10"/>
  <c r="AV104" i="10" s="1"/>
  <c r="W104" i="10"/>
  <c r="R104" i="10"/>
  <c r="S104" i="10" s="1"/>
  <c r="L104" i="10"/>
  <c r="BA103" i="10"/>
  <c r="AS103" i="10"/>
  <c r="BH103" i="10" s="1"/>
  <c r="BM103" i="10" s="1"/>
  <c r="BO103" i="10" s="1"/>
  <c r="AM103" i="10"/>
  <c r="AJ103" i="10" s="1"/>
  <c r="AD103" i="10"/>
  <c r="AA103" i="10" s="1"/>
  <c r="W103" i="10"/>
  <c r="R103" i="10"/>
  <c r="S103" i="10" s="1"/>
  <c r="L103" i="10"/>
  <c r="BA102" i="10"/>
  <c r="AS102" i="10"/>
  <c r="AM102" i="10"/>
  <c r="AD102" i="10"/>
  <c r="AA102" i="10" s="1"/>
  <c r="W102" i="10"/>
  <c r="R102" i="10"/>
  <c r="S102" i="10" s="1"/>
  <c r="L102" i="10"/>
  <c r="BA101" i="10"/>
  <c r="AS101" i="10"/>
  <c r="AO101" i="10" s="1"/>
  <c r="AM101" i="10"/>
  <c r="AJ101" i="10" s="1"/>
  <c r="AD101" i="10"/>
  <c r="AA101" i="10" s="1"/>
  <c r="W101" i="10"/>
  <c r="R101" i="10"/>
  <c r="S101" i="10" s="1"/>
  <c r="L101" i="10"/>
  <c r="BA100" i="10"/>
  <c r="AS100" i="10"/>
  <c r="AM100" i="10"/>
  <c r="AJ100" i="10" s="1"/>
  <c r="AD100" i="10"/>
  <c r="W100" i="10"/>
  <c r="R100" i="10"/>
  <c r="S100" i="10" s="1"/>
  <c r="L100" i="10"/>
  <c r="BA99" i="10"/>
  <c r="AS99" i="10"/>
  <c r="AO99" i="10" s="1"/>
  <c r="AM99" i="10"/>
  <c r="AD99" i="10"/>
  <c r="AV99" i="10" s="1"/>
  <c r="W99" i="10"/>
  <c r="R99" i="10"/>
  <c r="S99" i="10" s="1"/>
  <c r="L99" i="10"/>
  <c r="BA98" i="10"/>
  <c r="AS98" i="10"/>
  <c r="BO98" i="10" s="1"/>
  <c r="AM98" i="10"/>
  <c r="AN98" i="10" s="1"/>
  <c r="AD98" i="10"/>
  <c r="W98" i="10"/>
  <c r="R98" i="10"/>
  <c r="S98" i="10" s="1"/>
  <c r="L98" i="10"/>
  <c r="BA97" i="10"/>
  <c r="AS97" i="10"/>
  <c r="AO97" i="10" s="1"/>
  <c r="AM97" i="10"/>
  <c r="AD97" i="10"/>
  <c r="W97" i="10"/>
  <c r="R97" i="10"/>
  <c r="S97" i="10" s="1"/>
  <c r="L97" i="10"/>
  <c r="BA96" i="10"/>
  <c r="AS96" i="10"/>
  <c r="AM96" i="10"/>
  <c r="AJ96" i="10" s="1"/>
  <c r="AD96" i="10"/>
  <c r="AA96" i="10" s="1"/>
  <c r="W96" i="10"/>
  <c r="R96" i="10"/>
  <c r="S96" i="10" s="1"/>
  <c r="L96" i="10"/>
  <c r="BA95" i="10"/>
  <c r="AS95" i="10"/>
  <c r="BO95" i="10" s="1"/>
  <c r="AM95" i="10"/>
  <c r="AJ95" i="10" s="1"/>
  <c r="AD95" i="10"/>
  <c r="W95" i="10"/>
  <c r="R95" i="10"/>
  <c r="S95" i="10" s="1"/>
  <c r="L95" i="10"/>
  <c r="BA94" i="10"/>
  <c r="AS94" i="10"/>
  <c r="AM94" i="10"/>
  <c r="AD94" i="10"/>
  <c r="W94" i="10"/>
  <c r="R94" i="10"/>
  <c r="S94" i="10" s="1"/>
  <c r="L94" i="10"/>
  <c r="BA93" i="10"/>
  <c r="AS93" i="10"/>
  <c r="AM93" i="10"/>
  <c r="AJ93" i="10" s="1"/>
  <c r="AD93" i="10"/>
  <c r="AV93" i="10" s="1"/>
  <c r="W93" i="10"/>
  <c r="R93" i="10"/>
  <c r="S93" i="10" s="1"/>
  <c r="L93" i="10"/>
  <c r="BA92" i="10"/>
  <c r="AS92" i="10"/>
  <c r="AM92" i="10"/>
  <c r="AJ92" i="10" s="1"/>
  <c r="AD92" i="10"/>
  <c r="W92" i="10"/>
  <c r="R92" i="10"/>
  <c r="S92" i="10" s="1"/>
  <c r="L92" i="10"/>
  <c r="BA91" i="10"/>
  <c r="AS91" i="10"/>
  <c r="AM91" i="10"/>
  <c r="AJ91" i="10" s="1"/>
  <c r="AD91" i="10"/>
  <c r="W91" i="10"/>
  <c r="R91" i="10"/>
  <c r="S91" i="10" s="1"/>
  <c r="L91" i="10"/>
  <c r="BA90" i="10"/>
  <c r="AS90" i="10"/>
  <c r="AM90" i="10"/>
  <c r="AD90" i="10"/>
  <c r="W90" i="10"/>
  <c r="R90" i="10"/>
  <c r="S90" i="10" s="1"/>
  <c r="L90" i="10"/>
  <c r="BA89" i="10"/>
  <c r="AS89" i="10"/>
  <c r="BO89" i="10" s="1"/>
  <c r="AM89" i="10"/>
  <c r="AN89" i="10" s="1"/>
  <c r="AD89" i="10"/>
  <c r="AA89" i="10" s="1"/>
  <c r="W89" i="10"/>
  <c r="R89" i="10"/>
  <c r="S89" i="10" s="1"/>
  <c r="L89" i="10"/>
  <c r="BA88" i="10"/>
  <c r="AS88" i="10"/>
  <c r="AO88" i="10" s="1"/>
  <c r="AM88" i="10"/>
  <c r="AJ88" i="10" s="1"/>
  <c r="AD88" i="10"/>
  <c r="AV88" i="10" s="1"/>
  <c r="W88" i="10"/>
  <c r="R88" i="10"/>
  <c r="S88" i="10" s="1"/>
  <c r="L88" i="10"/>
  <c r="BA87" i="10"/>
  <c r="AS87" i="10"/>
  <c r="AM87" i="10"/>
  <c r="AD87" i="10"/>
  <c r="W87" i="10"/>
  <c r="R87" i="10"/>
  <c r="S87" i="10" s="1"/>
  <c r="L87" i="10"/>
  <c r="BA86" i="10"/>
  <c r="AS86" i="10"/>
  <c r="AM86" i="10"/>
  <c r="AJ86" i="10" s="1"/>
  <c r="AD86" i="10"/>
  <c r="AA86" i="10" s="1"/>
  <c r="W86" i="10"/>
  <c r="R86" i="10"/>
  <c r="S86" i="10" s="1"/>
  <c r="L86" i="10"/>
  <c r="BA85" i="10"/>
  <c r="AS85" i="10"/>
  <c r="AM85" i="10"/>
  <c r="AJ85" i="10" s="1"/>
  <c r="AD85" i="10"/>
  <c r="AA85" i="10" s="1"/>
  <c r="W85" i="10"/>
  <c r="R85" i="10"/>
  <c r="S85" i="10" s="1"/>
  <c r="L85" i="10"/>
  <c r="BA84" i="10"/>
  <c r="AM84" i="10"/>
  <c r="AJ84" i="10" s="1"/>
  <c r="AD84" i="10"/>
  <c r="W84" i="10"/>
  <c r="R84" i="10"/>
  <c r="S84" i="10" s="1"/>
  <c r="L84" i="10"/>
  <c r="BA83" i="10"/>
  <c r="AS83" i="10"/>
  <c r="BO83" i="10" s="1"/>
  <c r="AM83" i="10"/>
  <c r="AJ83" i="10" s="1"/>
  <c r="AD83" i="10"/>
  <c r="AA83" i="10" s="1"/>
  <c r="W83" i="10"/>
  <c r="R83" i="10"/>
  <c r="S83" i="10" s="1"/>
  <c r="L83" i="10"/>
  <c r="BA82" i="10"/>
  <c r="AS82" i="10"/>
  <c r="AM82" i="10"/>
  <c r="AJ82" i="10" s="1"/>
  <c r="AD82" i="10"/>
  <c r="W82" i="10"/>
  <c r="R82" i="10"/>
  <c r="S82" i="10" s="1"/>
  <c r="L82" i="10"/>
  <c r="AZ81" i="10"/>
  <c r="AZ80" i="10" s="1"/>
  <c r="AR81" i="10"/>
  <c r="AR80" i="10" s="1"/>
  <c r="V81" i="10"/>
  <c r="V80" i="10" s="1"/>
  <c r="Q81" i="10"/>
  <c r="Q80" i="10" s="1"/>
  <c r="K81" i="10"/>
  <c r="K80" i="10" s="1"/>
  <c r="J81" i="10"/>
  <c r="J80" i="10" s="1"/>
  <c r="AZ79" i="10"/>
  <c r="AS79" i="10"/>
  <c r="AM79" i="10"/>
  <c r="AM78" i="10" s="1"/>
  <c r="AD79" i="10"/>
  <c r="W79" i="10"/>
  <c r="W78" i="10" s="1"/>
  <c r="W77" i="10" s="1"/>
  <c r="P78" i="10"/>
  <c r="P77" i="10" s="1"/>
  <c r="L79" i="10"/>
  <c r="AZ78" i="10"/>
  <c r="AZ77" i="10" s="1"/>
  <c r="AR78" i="10"/>
  <c r="AR77" i="10" s="1"/>
  <c r="AD78" i="10"/>
  <c r="V78" i="10"/>
  <c r="V77" i="10" s="1"/>
  <c r="Q78" i="10"/>
  <c r="Q77" i="10" s="1"/>
  <c r="K78" i="10"/>
  <c r="K77" i="10" s="1"/>
  <c r="J78" i="10"/>
  <c r="AY74" i="10"/>
  <c r="AY73" i="10" s="1"/>
  <c r="AM75" i="10"/>
  <c r="AM74" i="10" s="1"/>
  <c r="AJ74" i="10" s="1"/>
  <c r="AD75" i="10"/>
  <c r="U74" i="10"/>
  <c r="U73" i="10" s="1"/>
  <c r="P74" i="10"/>
  <c r="P73" i="10" s="1"/>
  <c r="L75" i="10"/>
  <c r="AZ74" i="10"/>
  <c r="AZ73" i="10" s="1"/>
  <c r="AR74" i="10"/>
  <c r="AR73" i="10" s="1"/>
  <c r="V74" i="10"/>
  <c r="V73" i="10" s="1"/>
  <c r="Q74" i="10"/>
  <c r="Q73" i="10" s="1"/>
  <c r="K74" i="10"/>
  <c r="K73" i="10" s="1"/>
  <c r="J74" i="10"/>
  <c r="J73" i="10" s="1"/>
  <c r="L73" i="10" s="1"/>
  <c r="BA72" i="10"/>
  <c r="BH72" i="10" s="1"/>
  <c r="BM72" i="10" s="1"/>
  <c r="AS72" i="10"/>
  <c r="AO72" i="10" s="1"/>
  <c r="AM72" i="10"/>
  <c r="AJ72" i="10" s="1"/>
  <c r="AD72" i="10"/>
  <c r="W72" i="10"/>
  <c r="L72" i="10"/>
  <c r="AZ71" i="10"/>
  <c r="AS71" i="10"/>
  <c r="AM71" i="10"/>
  <c r="AD71" i="10"/>
  <c r="R71" i="10"/>
  <c r="S71" i="10" s="1"/>
  <c r="L71" i="10"/>
  <c r="AZ70" i="10"/>
  <c r="AZ69" i="10" s="1"/>
  <c r="AZ68" i="10" s="1"/>
  <c r="AR70" i="10"/>
  <c r="AR69" i="10" s="1"/>
  <c r="V70" i="10"/>
  <c r="V69" i="10" s="1"/>
  <c r="V68" i="10" s="1"/>
  <c r="Q70" i="10"/>
  <c r="Q69" i="10" s="1"/>
  <c r="Q68" i="10" s="1"/>
  <c r="K70" i="10"/>
  <c r="K69" i="10" s="1"/>
  <c r="J70" i="10"/>
  <c r="BA67" i="10"/>
  <c r="BA66" i="10" s="1"/>
  <c r="BA65" i="10" s="1"/>
  <c r="AM67" i="10"/>
  <c r="AJ67" i="10" s="1"/>
  <c r="AD67" i="10"/>
  <c r="W67" i="10"/>
  <c r="W66" i="10" s="1"/>
  <c r="W65" i="10" s="1"/>
  <c r="L67" i="10"/>
  <c r="AZ66" i="10"/>
  <c r="AZ65" i="10" s="1"/>
  <c r="AR66" i="10"/>
  <c r="AR65" i="10" s="1"/>
  <c r="V66" i="10"/>
  <c r="V65" i="10" s="1"/>
  <c r="Q66" i="10"/>
  <c r="Q65" i="10" s="1"/>
  <c r="K66" i="10"/>
  <c r="K65" i="10" s="1"/>
  <c r="J66" i="10"/>
  <c r="J65" i="10" s="1"/>
  <c r="L65" i="10" s="1"/>
  <c r="AY63" i="10"/>
  <c r="AS64" i="10"/>
  <c r="AO64" i="10" s="1"/>
  <c r="AM64" i="10"/>
  <c r="AD64" i="10"/>
  <c r="AD63" i="10" s="1"/>
  <c r="AA63" i="10" s="1"/>
  <c r="U63" i="10"/>
  <c r="L64" i="10"/>
  <c r="AZ63" i="10"/>
  <c r="AR63" i="10"/>
  <c r="V63" i="10"/>
  <c r="Q63" i="10"/>
  <c r="K63" i="10"/>
  <c r="J63" i="10"/>
  <c r="L63" i="10" s="1"/>
  <c r="BA62" i="10"/>
  <c r="AS62" i="10"/>
  <c r="AM62" i="10"/>
  <c r="AJ62" i="10" s="1"/>
  <c r="AD62" i="10"/>
  <c r="W62" i="10"/>
  <c r="R62" i="10"/>
  <c r="S62" i="10" s="1"/>
  <c r="L62" i="10"/>
  <c r="AS61" i="10"/>
  <c r="BO61" i="10" s="1"/>
  <c r="AM61" i="10"/>
  <c r="AD61" i="10"/>
  <c r="AV61" i="10" s="1"/>
  <c r="R61" i="10"/>
  <c r="S61" i="10" s="1"/>
  <c r="L61" i="10"/>
  <c r="BA60" i="10"/>
  <c r="AS60" i="10"/>
  <c r="AM60" i="10"/>
  <c r="AD60" i="10"/>
  <c r="W60" i="10"/>
  <c r="L60" i="10"/>
  <c r="AZ59" i="10"/>
  <c r="AR59" i="10"/>
  <c r="V59" i="10"/>
  <c r="Q59" i="10"/>
  <c r="K59" i="10"/>
  <c r="J59" i="10"/>
  <c r="AY57" i="10"/>
  <c r="AM58" i="10"/>
  <c r="AJ58" i="10" s="1"/>
  <c r="AD58" i="10"/>
  <c r="U57" i="10"/>
  <c r="L58" i="10"/>
  <c r="AZ57" i="10"/>
  <c r="AR57" i="10"/>
  <c r="AD57" i="10"/>
  <c r="V57" i="10"/>
  <c r="Q57" i="10"/>
  <c r="K57" i="10"/>
  <c r="J57" i="10"/>
  <c r="BA56" i="10"/>
  <c r="BA55" i="10" s="1"/>
  <c r="AS56" i="10"/>
  <c r="AM56" i="10"/>
  <c r="AD56" i="10"/>
  <c r="W56" i="10"/>
  <c r="W55" i="10" s="1"/>
  <c r="R56" i="10"/>
  <c r="L56" i="10"/>
  <c r="AZ55" i="10"/>
  <c r="AR55" i="10"/>
  <c r="V55" i="10"/>
  <c r="V54" i="10" s="1"/>
  <c r="Q55" i="10"/>
  <c r="Q54" i="10" s="1"/>
  <c r="K55" i="10"/>
  <c r="J55" i="10"/>
  <c r="L55" i="10" s="1"/>
  <c r="BA53" i="10"/>
  <c r="AS53" i="10"/>
  <c r="BH53" i="10" s="1"/>
  <c r="BM53" i="10" s="1"/>
  <c r="AM53" i="10"/>
  <c r="AJ53" i="10" s="1"/>
  <c r="AD53" i="10"/>
  <c r="AA53" i="10" s="1"/>
  <c r="W53" i="10"/>
  <c r="R53" i="10"/>
  <c r="S53" i="10" s="1"/>
  <c r="L53" i="10"/>
  <c r="BA52" i="10"/>
  <c r="AS52" i="10"/>
  <c r="AM52" i="10"/>
  <c r="AJ52" i="10" s="1"/>
  <c r="AD52" i="10"/>
  <c r="W52" i="10"/>
  <c r="R52" i="10"/>
  <c r="S52" i="10" s="1"/>
  <c r="L52" i="10"/>
  <c r="BA51" i="10"/>
  <c r="AS51" i="10"/>
  <c r="AO51" i="10" s="1"/>
  <c r="AM51" i="10"/>
  <c r="AD51" i="10"/>
  <c r="W51" i="10"/>
  <c r="R51" i="10"/>
  <c r="S51" i="10" s="1"/>
  <c r="L51" i="10"/>
  <c r="BA50" i="10"/>
  <c r="AS50" i="10"/>
  <c r="AM50" i="10"/>
  <c r="AD50" i="10"/>
  <c r="W50" i="10"/>
  <c r="R50" i="10"/>
  <c r="S50" i="10" s="1"/>
  <c r="L50" i="10"/>
  <c r="BA49" i="10"/>
  <c r="AS49" i="10"/>
  <c r="AM49" i="10"/>
  <c r="AD49" i="10"/>
  <c r="W49" i="10"/>
  <c r="R49" i="10"/>
  <c r="S49" i="10" s="1"/>
  <c r="L49" i="10"/>
  <c r="BA48" i="10"/>
  <c r="AS48" i="10"/>
  <c r="AM48" i="10"/>
  <c r="AD48" i="10"/>
  <c r="W48" i="10"/>
  <c r="R48" i="10"/>
  <c r="S48" i="10" s="1"/>
  <c r="L48" i="10"/>
  <c r="BA47" i="10"/>
  <c r="AS47" i="10"/>
  <c r="AM47" i="10"/>
  <c r="AJ47" i="10" s="1"/>
  <c r="AD47" i="10"/>
  <c r="W47" i="10"/>
  <c r="R47" i="10"/>
  <c r="S47" i="10" s="1"/>
  <c r="L47" i="10"/>
  <c r="BA46" i="10"/>
  <c r="AM46" i="10"/>
  <c r="AD46" i="10"/>
  <c r="W46" i="10"/>
  <c r="R46" i="10"/>
  <c r="S46" i="10" s="1"/>
  <c r="L46" i="10"/>
  <c r="BA45" i="10"/>
  <c r="AS45" i="10"/>
  <c r="AM45" i="10"/>
  <c r="AJ45" i="10" s="1"/>
  <c r="AD45" i="10"/>
  <c r="AV45" i="10" s="1"/>
  <c r="W45" i="10"/>
  <c r="R45" i="10"/>
  <c r="S45" i="10" s="1"/>
  <c r="L45" i="10"/>
  <c r="BA44" i="10"/>
  <c r="AS44" i="10"/>
  <c r="AM44" i="10"/>
  <c r="AJ44" i="10" s="1"/>
  <c r="AD44" i="10"/>
  <c r="W44" i="10"/>
  <c r="R44" i="10"/>
  <c r="S44" i="10" s="1"/>
  <c r="L44" i="10"/>
  <c r="BA43" i="10"/>
  <c r="AS43" i="10"/>
  <c r="AO43" i="10" s="1"/>
  <c r="AM43" i="10"/>
  <c r="AD43" i="10"/>
  <c r="W43" i="10"/>
  <c r="R43" i="10"/>
  <c r="S43" i="10" s="1"/>
  <c r="L43" i="10"/>
  <c r="BA42" i="10"/>
  <c r="AS42" i="10"/>
  <c r="BH42" i="10" s="1"/>
  <c r="BM42" i="10" s="1"/>
  <c r="AM42" i="10"/>
  <c r="AD42" i="10"/>
  <c r="AA42" i="10" s="1"/>
  <c r="W42" i="10"/>
  <c r="R42" i="10"/>
  <c r="S42" i="10" s="1"/>
  <c r="L42" i="10"/>
  <c r="BA41" i="10"/>
  <c r="AS41" i="10"/>
  <c r="AO41" i="10" s="1"/>
  <c r="AM41" i="10"/>
  <c r="AD41" i="10"/>
  <c r="W41" i="10"/>
  <c r="R41" i="10"/>
  <c r="S41" i="10" s="1"/>
  <c r="L41" i="10"/>
  <c r="AS40" i="10"/>
  <c r="AM40" i="10"/>
  <c r="AJ40" i="10" s="1"/>
  <c r="AD40" i="10"/>
  <c r="AV40" i="10" s="1"/>
  <c r="W40" i="10"/>
  <c r="R40" i="10"/>
  <c r="S40" i="10" s="1"/>
  <c r="L40" i="10"/>
  <c r="AZ39" i="10"/>
  <c r="AR39" i="10"/>
  <c r="V39" i="10"/>
  <c r="Q39" i="10"/>
  <c r="K39" i="10"/>
  <c r="J39" i="10"/>
  <c r="BA38" i="10"/>
  <c r="AS38" i="10"/>
  <c r="BH38" i="10" s="1"/>
  <c r="BM38" i="10" s="1"/>
  <c r="E22" i="11" s="1"/>
  <c r="F22" i="11" s="1"/>
  <c r="AM38" i="10"/>
  <c r="AJ38" i="10" s="1"/>
  <c r="AD38" i="10"/>
  <c r="W38" i="10"/>
  <c r="R38" i="10"/>
  <c r="S38" i="10" s="1"/>
  <c r="L38" i="10"/>
  <c r="AS37" i="10"/>
  <c r="AM37" i="10"/>
  <c r="AJ37" i="10" s="1"/>
  <c r="AD37" i="10"/>
  <c r="AA37" i="10" s="1"/>
  <c r="R37" i="10"/>
  <c r="L37" i="10"/>
  <c r="AZ36" i="10"/>
  <c r="AR36" i="10"/>
  <c r="V36" i="10"/>
  <c r="Q36" i="10"/>
  <c r="K36" i="10"/>
  <c r="J36" i="10"/>
  <c r="BA35" i="10"/>
  <c r="AS35" i="10"/>
  <c r="AO35" i="10" s="1"/>
  <c r="AM35" i="10"/>
  <c r="AJ35" i="10" s="1"/>
  <c r="AD35" i="10"/>
  <c r="W35" i="10"/>
  <c r="R35" i="10"/>
  <c r="S35" i="10" s="1"/>
  <c r="L35" i="10"/>
  <c r="BA34" i="10"/>
  <c r="AS34" i="10"/>
  <c r="AM34" i="10"/>
  <c r="AJ34" i="10" s="1"/>
  <c r="AD34" i="10"/>
  <c r="W34" i="10"/>
  <c r="R34" i="10"/>
  <c r="S34" i="10" s="1"/>
  <c r="L34" i="10"/>
  <c r="BA33" i="10"/>
  <c r="AS33" i="10"/>
  <c r="AM33" i="10"/>
  <c r="AJ33" i="10" s="1"/>
  <c r="AD33" i="10"/>
  <c r="AV33" i="10" s="1"/>
  <c r="W33" i="10"/>
  <c r="R33" i="10"/>
  <c r="S33" i="10" s="1"/>
  <c r="L33" i="10"/>
  <c r="AS32" i="10"/>
  <c r="AM32" i="10"/>
  <c r="AD32" i="10"/>
  <c r="W32" i="10"/>
  <c r="R32" i="10"/>
  <c r="S32" i="10" s="1"/>
  <c r="L32" i="10"/>
  <c r="BA31" i="10"/>
  <c r="AS31" i="10"/>
  <c r="AM31" i="10"/>
  <c r="AJ31" i="10" s="1"/>
  <c r="AD31" i="10"/>
  <c r="R31" i="10"/>
  <c r="S31" i="10" s="1"/>
  <c r="L31" i="10"/>
  <c r="BA30" i="10"/>
  <c r="AS30" i="10"/>
  <c r="AM30" i="10"/>
  <c r="AJ30" i="10" s="1"/>
  <c r="AD30" i="10"/>
  <c r="W30" i="10"/>
  <c r="L30" i="10"/>
  <c r="AZ29" i="10"/>
  <c r="AR29" i="10"/>
  <c r="V29" i="10"/>
  <c r="Q29" i="10"/>
  <c r="Q28" i="10" s="1"/>
  <c r="K29" i="10"/>
  <c r="J29" i="10"/>
  <c r="AS27" i="10"/>
  <c r="AM27" i="10"/>
  <c r="AD27" i="10"/>
  <c r="L27" i="10"/>
  <c r="BA26" i="10"/>
  <c r="AS26" i="10"/>
  <c r="AM26" i="10"/>
  <c r="AJ26" i="10" s="1"/>
  <c r="AD26" i="10"/>
  <c r="AV26" i="10" s="1"/>
  <c r="W26" i="10"/>
  <c r="R26" i="10"/>
  <c r="S26" i="10" s="1"/>
  <c r="L26" i="10"/>
  <c r="BA25" i="10"/>
  <c r="AS25" i="10"/>
  <c r="AM25" i="10"/>
  <c r="AJ25" i="10" s="1"/>
  <c r="AD25" i="10"/>
  <c r="W25" i="10"/>
  <c r="R25" i="10"/>
  <c r="S25" i="10" s="1"/>
  <c r="L25" i="10"/>
  <c r="AS24" i="10"/>
  <c r="AM24" i="10"/>
  <c r="AJ24" i="10" s="1"/>
  <c r="AD24" i="10"/>
  <c r="L24" i="10"/>
  <c r="BA23" i="10"/>
  <c r="AS23" i="10"/>
  <c r="AM23" i="10"/>
  <c r="AJ23" i="10" s="1"/>
  <c r="AD23" i="10"/>
  <c r="W23" i="10"/>
  <c r="R23" i="10"/>
  <c r="S23" i="10" s="1"/>
  <c r="L23" i="10"/>
  <c r="BA22" i="10"/>
  <c r="AS22" i="10"/>
  <c r="AM22" i="10"/>
  <c r="AD22" i="10"/>
  <c r="AA22" i="10" s="1"/>
  <c r="W22" i="10"/>
  <c r="R22" i="10"/>
  <c r="S22" i="10" s="1"/>
  <c r="L22" i="10"/>
  <c r="BA21" i="10"/>
  <c r="AS21" i="10"/>
  <c r="AM21" i="10"/>
  <c r="AJ21" i="10" s="1"/>
  <c r="AD21" i="10"/>
  <c r="AV21" i="10" s="1"/>
  <c r="W21" i="10"/>
  <c r="R21" i="10"/>
  <c r="S21" i="10" s="1"/>
  <c r="L21" i="10"/>
  <c r="BA20" i="10"/>
  <c r="AS20" i="10"/>
  <c r="AM20" i="10"/>
  <c r="AJ20" i="10" s="1"/>
  <c r="AD20" i="10"/>
  <c r="W20" i="10"/>
  <c r="R20" i="10"/>
  <c r="S20" i="10" s="1"/>
  <c r="L20" i="10"/>
  <c r="BA19" i="10"/>
  <c r="AS19" i="10"/>
  <c r="AO19" i="10" s="1"/>
  <c r="AM19" i="10"/>
  <c r="AJ19" i="10" s="1"/>
  <c r="AD19" i="10"/>
  <c r="W19" i="10"/>
  <c r="R19" i="10"/>
  <c r="S19" i="10" s="1"/>
  <c r="L19" i="10"/>
  <c r="BA18" i="10"/>
  <c r="AS18" i="10"/>
  <c r="BH18" i="10" s="1"/>
  <c r="BM18" i="10" s="1"/>
  <c r="BO18" i="10" s="1"/>
  <c r="AM18" i="10"/>
  <c r="AJ18" i="10" s="1"/>
  <c r="AD18" i="10"/>
  <c r="AA18" i="10" s="1"/>
  <c r="W18" i="10"/>
  <c r="R18" i="10"/>
  <c r="S18" i="10" s="1"/>
  <c r="L18" i="10"/>
  <c r="BA17" i="10"/>
  <c r="AS17" i="10"/>
  <c r="BH17" i="10" s="1"/>
  <c r="BM17" i="10" s="1"/>
  <c r="BO17" i="10" s="1"/>
  <c r="AM17" i="10"/>
  <c r="AJ17" i="10" s="1"/>
  <c r="AD17" i="10"/>
  <c r="AA17" i="10" s="1"/>
  <c r="W17" i="10"/>
  <c r="R17" i="10"/>
  <c r="S17" i="10" s="1"/>
  <c r="L17" i="10"/>
  <c r="BA16" i="10"/>
  <c r="AS16" i="10"/>
  <c r="BH16" i="10" s="1"/>
  <c r="BM16" i="10" s="1"/>
  <c r="BO16" i="10" s="1"/>
  <c r="AM16" i="10"/>
  <c r="AJ16" i="10" s="1"/>
  <c r="AD16" i="10"/>
  <c r="W16" i="10"/>
  <c r="R16" i="10"/>
  <c r="S16" i="10" s="1"/>
  <c r="L16" i="10"/>
  <c r="BA15" i="10"/>
  <c r="AS15" i="10"/>
  <c r="AM15" i="10"/>
  <c r="AD15" i="10"/>
  <c r="AV15" i="10" s="1"/>
  <c r="W15" i="10"/>
  <c r="R15" i="10"/>
  <c r="L15" i="10"/>
  <c r="BA14" i="10"/>
  <c r="AS14" i="10"/>
  <c r="AM14" i="10"/>
  <c r="AJ14" i="10" s="1"/>
  <c r="AD14" i="10"/>
  <c r="AD13" i="10" s="1"/>
  <c r="W14" i="10"/>
  <c r="R14" i="10"/>
  <c r="S14" i="10" s="1"/>
  <c r="L14" i="10"/>
  <c r="AR13" i="10"/>
  <c r="K13" i="10"/>
  <c r="J13" i="10"/>
  <c r="BA12" i="10"/>
  <c r="AS12" i="10"/>
  <c r="BH12" i="10" s="1"/>
  <c r="BM12" i="10" s="1"/>
  <c r="AM12" i="10"/>
  <c r="AJ12" i="10" s="1"/>
  <c r="AD12" i="10"/>
  <c r="AA12" i="10" s="1"/>
  <c r="W12" i="10"/>
  <c r="R12" i="10"/>
  <c r="S12" i="10" s="1"/>
  <c r="L12" i="10"/>
  <c r="AS11" i="10"/>
  <c r="AO11" i="10" s="1"/>
  <c r="AM11" i="10"/>
  <c r="AD11" i="10"/>
  <c r="AA11" i="10" s="1"/>
  <c r="L11" i="10"/>
  <c r="AS10" i="10"/>
  <c r="AM10" i="10"/>
  <c r="AJ10" i="10" s="1"/>
  <c r="AD10" i="10"/>
  <c r="AV10" i="10" s="1"/>
  <c r="L10" i="10"/>
  <c r="BA9" i="10"/>
  <c r="AS9" i="10"/>
  <c r="AO9" i="10" s="1"/>
  <c r="AM9" i="10"/>
  <c r="AJ9" i="10" s="1"/>
  <c r="AD9" i="10"/>
  <c r="AA9" i="10" s="1"/>
  <c r="W9" i="10"/>
  <c r="R9" i="10"/>
  <c r="S9" i="10" s="1"/>
  <c r="L9" i="10"/>
  <c r="BA8" i="10"/>
  <c r="AS8" i="10"/>
  <c r="AM8" i="10"/>
  <c r="AD8" i="10"/>
  <c r="AV8" i="10" s="1"/>
  <c r="W8" i="10"/>
  <c r="R8" i="10"/>
  <c r="S8" i="10" s="1"/>
  <c r="L8" i="10"/>
  <c r="AS7" i="10"/>
  <c r="AO7" i="10" s="1"/>
  <c r="AM7" i="10"/>
  <c r="AN7" i="10" s="1"/>
  <c r="AD7" i="10"/>
  <c r="L7" i="10"/>
  <c r="AM6" i="10"/>
  <c r="AJ6" i="10" s="1"/>
  <c r="AD6" i="10"/>
  <c r="AV6" i="10" s="1"/>
  <c r="W6" i="10"/>
  <c r="R6" i="10"/>
  <c r="S6" i="10" s="1"/>
  <c r="L6" i="10"/>
  <c r="AR5" i="10"/>
  <c r="AR4" i="10" s="1"/>
  <c r="K5" i="10"/>
  <c r="K4" i="10" s="1"/>
  <c r="J5" i="10"/>
  <c r="J4" i="10" s="1"/>
  <c r="AT2" i="10"/>
  <c r="BO1819" i="10" l="1"/>
  <c r="AO1819" i="10"/>
  <c r="AV1771" i="10"/>
  <c r="AA1771" i="10"/>
  <c r="AN1763" i="10"/>
  <c r="AJ1763" i="10"/>
  <c r="AV1719" i="10"/>
  <c r="AA1719" i="10"/>
  <c r="AV1648" i="10"/>
  <c r="AA1648" i="10"/>
  <c r="BO1630" i="10"/>
  <c r="AO1630" i="10"/>
  <c r="AV1585" i="10"/>
  <c r="AA1585" i="10"/>
  <c r="AV1569" i="10"/>
  <c r="AA1569" i="10"/>
  <c r="BH1561" i="10"/>
  <c r="BM1561" i="10" s="1"/>
  <c r="AO1561" i="10"/>
  <c r="AV1553" i="10"/>
  <c r="AA1553" i="10"/>
  <c r="AV1546" i="10"/>
  <c r="AA1546" i="10"/>
  <c r="AV1528" i="10"/>
  <c r="AA1528" i="10"/>
  <c r="AV1527" i="10"/>
  <c r="AA1527" i="10"/>
  <c r="AV1526" i="10"/>
  <c r="AA1526" i="10"/>
  <c r="AV1525" i="10"/>
  <c r="AA1525" i="10"/>
  <c r="AV1521" i="10"/>
  <c r="AA1521" i="10"/>
  <c r="AV1515" i="10"/>
  <c r="AA1515" i="10"/>
  <c r="AV1514" i="10"/>
  <c r="AA1514" i="10"/>
  <c r="BO1506" i="10"/>
  <c r="AO1506" i="10"/>
  <c r="AV1496" i="10"/>
  <c r="AA1496" i="10"/>
  <c r="AV1491" i="10"/>
  <c r="AA1491" i="10"/>
  <c r="AV1482" i="10"/>
  <c r="AA1482" i="10"/>
  <c r="AV1468" i="10"/>
  <c r="AA1468" i="10"/>
  <c r="AV1462" i="10"/>
  <c r="AA1462" i="10"/>
  <c r="AV1460" i="10"/>
  <c r="AA1460" i="10"/>
  <c r="AV1459" i="10"/>
  <c r="AA1459" i="10"/>
  <c r="AV1455" i="10"/>
  <c r="AA1455" i="10"/>
  <c r="AV1453" i="10"/>
  <c r="AA1453" i="10"/>
  <c r="AV1426" i="10"/>
  <c r="AA1426" i="10"/>
  <c r="AV1423" i="10"/>
  <c r="AA1423" i="10"/>
  <c r="BH1398" i="10"/>
  <c r="BM1398" i="10" s="1"/>
  <c r="E369" i="11" s="1"/>
  <c r="F369" i="11" s="1"/>
  <c r="AO1398" i="10"/>
  <c r="AV1396" i="10"/>
  <c r="AA1396" i="10"/>
  <c r="AN1394" i="10"/>
  <c r="AJ1394" i="10"/>
  <c r="AV1382" i="10"/>
  <c r="AA1382" i="10"/>
  <c r="AV1379" i="10"/>
  <c r="AA1379" i="10"/>
  <c r="AV1374" i="10"/>
  <c r="AA1374" i="10"/>
  <c r="BH1360" i="10"/>
  <c r="BM1360" i="10" s="1"/>
  <c r="BO1360" i="10" s="1"/>
  <c r="AO1360" i="10"/>
  <c r="BH1353" i="10"/>
  <c r="BM1353" i="10" s="1"/>
  <c r="BO1353" i="10" s="1"/>
  <c r="AO1353" i="10"/>
  <c r="AM1294" i="10"/>
  <c r="AJ1295" i="10"/>
  <c r="AV1274" i="10"/>
  <c r="AA1274" i="10"/>
  <c r="AV1161" i="10"/>
  <c r="AA1161" i="10"/>
  <c r="AV1157" i="10"/>
  <c r="AA1157" i="10"/>
  <c r="AV1144" i="10"/>
  <c r="AA1144" i="10"/>
  <c r="AV1143" i="10"/>
  <c r="AA1143" i="10"/>
  <c r="AV1140" i="10"/>
  <c r="AA1140" i="10"/>
  <c r="AV1138" i="10"/>
  <c r="AA1138" i="10"/>
  <c r="AV1137" i="10"/>
  <c r="AA1137" i="10"/>
  <c r="AV1101" i="10"/>
  <c r="AA1101" i="10"/>
  <c r="AV1094" i="10"/>
  <c r="AA1094" i="10"/>
  <c r="BH670" i="10"/>
  <c r="BM670" i="10" s="1"/>
  <c r="E183" i="11" s="1"/>
  <c r="F183" i="11" s="1"/>
  <c r="AO670" i="10"/>
  <c r="AV656" i="10"/>
  <c r="AA656" i="10"/>
  <c r="BO1919" i="10"/>
  <c r="AO1919" i="10"/>
  <c r="AV1055" i="10"/>
  <c r="AA1055" i="10"/>
  <c r="BO1275" i="10"/>
  <c r="AO1275" i="10"/>
  <c r="AV1261" i="10"/>
  <c r="AA1261" i="10"/>
  <c r="AV1252" i="10"/>
  <c r="AA1252" i="10"/>
  <c r="BO1242" i="10"/>
  <c r="AO1242" i="10"/>
  <c r="AV1228" i="10"/>
  <c r="AA1228" i="10"/>
  <c r="AV1222" i="10"/>
  <c r="AA1222" i="10"/>
  <c r="AV1155" i="10"/>
  <c r="AA1155" i="10"/>
  <c r="AV1116" i="10"/>
  <c r="AA1116" i="10"/>
  <c r="AV1073" i="10"/>
  <c r="AA1073" i="10"/>
  <c r="AV125" i="10"/>
  <c r="AA125" i="10"/>
  <c r="L1913" i="10"/>
  <c r="AV1368" i="10"/>
  <c r="AA1368" i="10"/>
  <c r="AV1360" i="10"/>
  <c r="AA1360" i="10"/>
  <c r="AV1355" i="10"/>
  <c r="AA1355" i="10"/>
  <c r="AU11" i="10"/>
  <c r="BH493" i="10"/>
  <c r="BM493" i="10" s="1"/>
  <c r="BO493" i="10" s="1"/>
  <c r="AO493" i="10"/>
  <c r="AV483" i="10"/>
  <c r="AA483" i="10"/>
  <c r="AV465" i="10"/>
  <c r="AA465" i="10"/>
  <c r="BH461" i="10"/>
  <c r="BM461" i="10" s="1"/>
  <c r="BO461" i="10" s="1"/>
  <c r="AO461" i="10"/>
  <c r="AV458" i="10"/>
  <c r="AA458" i="10"/>
  <c r="BH456" i="10"/>
  <c r="BM456" i="10" s="1"/>
  <c r="BO456" i="10" s="1"/>
  <c r="AO456" i="10"/>
  <c r="AV452" i="10"/>
  <c r="AA452" i="10"/>
  <c r="BH449" i="10"/>
  <c r="BM449" i="10" s="1"/>
  <c r="BO449" i="10" s="1"/>
  <c r="AO449" i="10"/>
  <c r="BH448" i="10"/>
  <c r="BM448" i="10" s="1"/>
  <c r="BO448" i="10" s="1"/>
  <c r="AO448" i="10"/>
  <c r="AV448" i="10"/>
  <c r="AA448" i="10"/>
  <c r="AV444" i="10"/>
  <c r="AA444" i="10"/>
  <c r="AV442" i="10"/>
  <c r="AA442" i="10"/>
  <c r="AV440" i="10"/>
  <c r="AA440" i="10"/>
  <c r="AV427" i="10"/>
  <c r="AA427" i="10"/>
  <c r="AV420" i="10"/>
  <c r="AA420" i="10"/>
  <c r="BH414" i="10"/>
  <c r="BM414" i="10" s="1"/>
  <c r="BO414" i="10" s="1"/>
  <c r="AO414" i="10"/>
  <c r="AV412" i="10"/>
  <c r="AA412" i="10"/>
  <c r="AV389" i="10"/>
  <c r="AA389" i="10"/>
  <c r="AV379" i="10"/>
  <c r="AA379" i="10"/>
  <c r="AV361" i="10"/>
  <c r="AA361" i="10"/>
  <c r="AV348" i="10"/>
  <c r="AA348" i="10"/>
  <c r="AV2398" i="10"/>
  <c r="AA2398" i="10"/>
  <c r="AV2374" i="10"/>
  <c r="AA2374" i="10"/>
  <c r="AV2367" i="10"/>
  <c r="AA2367" i="10"/>
  <c r="AV2361" i="10"/>
  <c r="AA2361" i="10"/>
  <c r="AV2352" i="10"/>
  <c r="AA2352" i="10"/>
  <c r="L2348" i="10"/>
  <c r="J2347" i="10"/>
  <c r="AM2213" i="10"/>
  <c r="AJ2213" i="10" s="1"/>
  <c r="AJ2214" i="10"/>
  <c r="AV2494" i="10"/>
  <c r="AA2494" i="10"/>
  <c r="AV760" i="10"/>
  <c r="AA760" i="10"/>
  <c r="AV757" i="10"/>
  <c r="AA757" i="10"/>
  <c r="AV748" i="10"/>
  <c r="AA748" i="10"/>
  <c r="AV745" i="10"/>
  <c r="AA745" i="10"/>
  <c r="AV739" i="10"/>
  <c r="AA739" i="10"/>
  <c r="AV730" i="10"/>
  <c r="AA730" i="10"/>
  <c r="AN727" i="10"/>
  <c r="AJ727" i="10"/>
  <c r="AV723" i="10"/>
  <c r="AA723" i="10"/>
  <c r="AV709" i="10"/>
  <c r="AA709" i="10"/>
  <c r="AV703" i="10"/>
  <c r="AA703" i="10"/>
  <c r="AV697" i="10"/>
  <c r="AA697" i="10"/>
  <c r="AV695" i="10"/>
  <c r="AA695" i="10"/>
  <c r="BH676" i="10"/>
  <c r="BM676" i="10" s="1"/>
  <c r="BO676" i="10" s="1"/>
  <c r="AO676" i="10"/>
  <c r="AV660" i="10"/>
  <c r="AA660" i="10"/>
  <c r="AV654" i="10"/>
  <c r="AA654" i="10"/>
  <c r="AV646" i="10"/>
  <c r="AA646" i="10"/>
  <c r="AV2167" i="10"/>
  <c r="AA2167" i="10"/>
  <c r="AV2150" i="10"/>
  <c r="AA2150" i="10"/>
  <c r="AV2142" i="10"/>
  <c r="AA2142" i="10"/>
  <c r="AV2130" i="10"/>
  <c r="AA2130" i="10"/>
  <c r="AV2022" i="10"/>
  <c r="AA2022" i="10"/>
  <c r="BH1763" i="10"/>
  <c r="BM1763" i="10" s="1"/>
  <c r="BO1763" i="10" s="1"/>
  <c r="AO1763" i="10"/>
  <c r="AV1752" i="10"/>
  <c r="AA1752" i="10"/>
  <c r="AV1751" i="10"/>
  <c r="AA1751" i="10"/>
  <c r="AV1750" i="10"/>
  <c r="AA1750" i="10"/>
  <c r="AN1712" i="10"/>
  <c r="AJ1712" i="10"/>
  <c r="AV1675" i="10"/>
  <c r="AA1675" i="10"/>
  <c r="AV1658" i="10"/>
  <c r="AA1658" i="10"/>
  <c r="AV1649" i="10"/>
  <c r="AA1649" i="10"/>
  <c r="AV1645" i="10"/>
  <c r="AA1645" i="10"/>
  <c r="AR1880" i="10"/>
  <c r="AV1887" i="10"/>
  <c r="AA1887" i="10"/>
  <c r="AV1885" i="10"/>
  <c r="AA1885" i="10"/>
  <c r="AV1883" i="10"/>
  <c r="AA1883" i="10"/>
  <c r="AV1862" i="10"/>
  <c r="AA1862" i="10"/>
  <c r="AV1795" i="10"/>
  <c r="AA1795" i="10"/>
  <c r="BO1770" i="10"/>
  <c r="AO1770" i="10"/>
  <c r="AV1760" i="10"/>
  <c r="AA1760" i="10"/>
  <c r="AV1745" i="10"/>
  <c r="AA1745" i="10"/>
  <c r="AV1741" i="10"/>
  <c r="AA1741" i="10"/>
  <c r="AV1732" i="10"/>
  <c r="AA1732" i="10"/>
  <c r="AV1702" i="10"/>
  <c r="AA1702" i="10"/>
  <c r="AV1701" i="10"/>
  <c r="AA1701" i="10"/>
  <c r="AV1696" i="10"/>
  <c r="AA1696" i="10"/>
  <c r="AV1680" i="10"/>
  <c r="AA1680" i="10"/>
  <c r="AV1651" i="10"/>
  <c r="AA1651" i="10"/>
  <c r="AV1635" i="10"/>
  <c r="AA1635" i="10"/>
  <c r="AV2529" i="10"/>
  <c r="AA2529" i="10"/>
  <c r="AV304" i="10"/>
  <c r="AA304" i="10"/>
  <c r="L257" i="10"/>
  <c r="BO204" i="10"/>
  <c r="AO204" i="10"/>
  <c r="AV186" i="10"/>
  <c r="AA186" i="10"/>
  <c r="AV136" i="10"/>
  <c r="AA136" i="10"/>
  <c r="AV1992" i="10"/>
  <c r="AA1992" i="10"/>
  <c r="L531" i="10"/>
  <c r="BH780" i="10"/>
  <c r="BM780" i="10" s="1"/>
  <c r="BO780" i="10" s="1"/>
  <c r="AO780" i="10"/>
  <c r="AN2056" i="10"/>
  <c r="V2166" i="10"/>
  <c r="R2166" i="10"/>
  <c r="S2166" i="10" s="1"/>
  <c r="AV2156" i="10"/>
  <c r="AA2156" i="10"/>
  <c r="BH2141" i="10"/>
  <c r="BM2141" i="10" s="1"/>
  <c r="AO2141" i="10"/>
  <c r="AV2124" i="10"/>
  <c r="AA2124" i="10"/>
  <c r="AN2116" i="10"/>
  <c r="AJ2116" i="10"/>
  <c r="AV2111" i="10"/>
  <c r="AA2111" i="10"/>
  <c r="BH2107" i="10"/>
  <c r="BM2107" i="10" s="1"/>
  <c r="BO2107" i="10" s="1"/>
  <c r="AO2107" i="10"/>
  <c r="AV2101" i="10"/>
  <c r="AA2101" i="10"/>
  <c r="AV2075" i="10"/>
  <c r="AA2075" i="10"/>
  <c r="AV2072" i="10"/>
  <c r="AA2072" i="10"/>
  <c r="AV2063" i="10"/>
  <c r="AA2063" i="10"/>
  <c r="AV2062" i="10"/>
  <c r="AA2062" i="10"/>
  <c r="BO2040" i="10"/>
  <c r="AO2040" i="10"/>
  <c r="AV2023" i="10"/>
  <c r="AA2023" i="10"/>
  <c r="AV2020" i="10"/>
  <c r="AA2020" i="10"/>
  <c r="AV2004" i="10"/>
  <c r="AA2004" i="10"/>
  <c r="AV1996" i="10"/>
  <c r="AA1996" i="10"/>
  <c r="AV1957" i="10"/>
  <c r="AA1957" i="10"/>
  <c r="AV1931" i="10"/>
  <c r="AA1931" i="10"/>
  <c r="AV1928" i="10"/>
  <c r="AA1928" i="10"/>
  <c r="AV1911" i="10"/>
  <c r="AA1911" i="10"/>
  <c r="AV163" i="10"/>
  <c r="AA163" i="10"/>
  <c r="AV159" i="10"/>
  <c r="AA159" i="10"/>
  <c r="AV283" i="10"/>
  <c r="AA283" i="10"/>
  <c r="V2447" i="10"/>
  <c r="V2435" i="10" s="1"/>
  <c r="V2386" i="10" s="1"/>
  <c r="AR2178" i="10"/>
  <c r="V2178" i="10"/>
  <c r="AV1000" i="10"/>
  <c r="AA1000" i="10"/>
  <c r="AV996" i="10"/>
  <c r="AA996" i="10"/>
  <c r="AV994" i="10"/>
  <c r="AA994" i="10"/>
  <c r="AV990" i="10"/>
  <c r="AA990" i="10"/>
  <c r="AV974" i="10"/>
  <c r="AA974" i="10"/>
  <c r="AV966" i="10"/>
  <c r="AA966" i="10"/>
  <c r="AV955" i="10"/>
  <c r="AA955" i="10"/>
  <c r="AV951" i="10"/>
  <c r="AA951" i="10"/>
  <c r="AV939" i="10"/>
  <c r="AA939" i="10"/>
  <c r="AV938" i="10"/>
  <c r="AA938" i="10"/>
  <c r="AV935" i="10"/>
  <c r="AA935" i="10"/>
  <c r="AV933" i="10"/>
  <c r="AA933" i="10"/>
  <c r="AV924" i="10"/>
  <c r="AA924" i="10"/>
  <c r="AV920" i="10"/>
  <c r="AA920" i="10"/>
  <c r="AV919" i="10"/>
  <c r="AA919" i="10"/>
  <c r="AV895" i="10"/>
  <c r="AA895" i="10"/>
  <c r="AV886" i="10"/>
  <c r="AA886" i="10"/>
  <c r="AV876" i="10"/>
  <c r="AA876" i="10"/>
  <c r="AV873" i="10"/>
  <c r="AA873" i="10"/>
  <c r="AV872" i="10"/>
  <c r="AA872" i="10"/>
  <c r="AV869" i="10"/>
  <c r="AA869" i="10"/>
  <c r="AV863" i="10"/>
  <c r="AA863" i="10"/>
  <c r="AV859" i="10"/>
  <c r="AA859" i="10"/>
  <c r="AN857" i="10"/>
  <c r="AJ857" i="10"/>
  <c r="AV852" i="10"/>
  <c r="AA852" i="10"/>
  <c r="AV849" i="10"/>
  <c r="AA849" i="10"/>
  <c r="AV848" i="10"/>
  <c r="AA848" i="10"/>
  <c r="AV843" i="10"/>
  <c r="AA843" i="10"/>
  <c r="AV842" i="10"/>
  <c r="AA842" i="10"/>
  <c r="AV837" i="10"/>
  <c r="AA837" i="10"/>
  <c r="AV832" i="10"/>
  <c r="AA832" i="10"/>
  <c r="AV824" i="10"/>
  <c r="AA824" i="10"/>
  <c r="AV822" i="10"/>
  <c r="AA822" i="10"/>
  <c r="AV820" i="10"/>
  <c r="AA820" i="10"/>
  <c r="AV818" i="10"/>
  <c r="AA818" i="10"/>
  <c r="L540" i="10"/>
  <c r="L36" i="10"/>
  <c r="AV312" i="10"/>
  <c r="AA312" i="10"/>
  <c r="AV306" i="10"/>
  <c r="AA306" i="10"/>
  <c r="AV299" i="10"/>
  <c r="AA299" i="10"/>
  <c r="AV298" i="10"/>
  <c r="AA298" i="10"/>
  <c r="AV297" i="10"/>
  <c r="AA297" i="10"/>
  <c r="AV1624" i="10"/>
  <c r="AA1624" i="10"/>
  <c r="AV291" i="10"/>
  <c r="AA291" i="10"/>
  <c r="AV1393" i="10"/>
  <c r="AA1393" i="10"/>
  <c r="AV1381" i="10"/>
  <c r="AA1381" i="10"/>
  <c r="AN1366" i="10"/>
  <c r="AJ1366" i="10"/>
  <c r="AV1358" i="10"/>
  <c r="AA1358" i="10"/>
  <c r="AV1354" i="10"/>
  <c r="AA1354" i="10"/>
  <c r="AV1353" i="10"/>
  <c r="AA1353" i="10"/>
  <c r="L13" i="10"/>
  <c r="BO1671" i="10"/>
  <c r="AO1671" i="10"/>
  <c r="AV1655" i="10"/>
  <c r="AA1655" i="10"/>
  <c r="V522" i="11"/>
  <c r="BO1347" i="10"/>
  <c r="AO1347" i="10"/>
  <c r="AV2106" i="10"/>
  <c r="AA2106" i="10"/>
  <c r="AV2073" i="10"/>
  <c r="AA2073" i="10"/>
  <c r="AV2066" i="10"/>
  <c r="AA2066" i="10"/>
  <c r="AV2036" i="10"/>
  <c r="AA2036" i="10"/>
  <c r="AV2026" i="10"/>
  <c r="AA2026" i="10"/>
  <c r="AV2024" i="10"/>
  <c r="AA2024" i="10"/>
  <c r="AV2006" i="10"/>
  <c r="AA2006" i="10"/>
  <c r="AV2001" i="10"/>
  <c r="AA2001" i="10"/>
  <c r="Q1974" i="10"/>
  <c r="Q1973" i="10" s="1"/>
  <c r="R1976" i="10"/>
  <c r="S1976" i="10" s="1"/>
  <c r="AV1969" i="10"/>
  <c r="AA1969" i="10"/>
  <c r="AV1927" i="10"/>
  <c r="AA1927" i="10"/>
  <c r="BH1924" i="10"/>
  <c r="BM1924" i="10" s="1"/>
  <c r="BO1924" i="10" s="1"/>
  <c r="AO1924" i="10"/>
  <c r="BO1920" i="10"/>
  <c r="AO1920" i="10"/>
  <c r="AN49" i="10"/>
  <c r="AV838" i="10"/>
  <c r="AA838" i="10"/>
  <c r="AV819" i="10"/>
  <c r="AA819" i="10"/>
  <c r="AV807" i="10"/>
  <c r="AA807" i="10"/>
  <c r="AV803" i="10"/>
  <c r="AA803" i="10"/>
  <c r="AV801" i="10"/>
  <c r="AA801" i="10"/>
  <c r="AV580" i="10"/>
  <c r="AA580" i="10"/>
  <c r="AV150" i="10"/>
  <c r="AA150" i="10"/>
  <c r="AV295" i="10"/>
  <c r="AA295" i="10"/>
  <c r="AJ521" i="11"/>
  <c r="AJ518" i="11" s="1"/>
  <c r="AJ516" i="11" s="1"/>
  <c r="AI521" i="11"/>
  <c r="AI518" i="11" s="1"/>
  <c r="AI516" i="11" s="1"/>
  <c r="L4" i="10"/>
  <c r="AV2427" i="10"/>
  <c r="AA2427" i="10"/>
  <c r="AV2413" i="10"/>
  <c r="AA2413" i="10"/>
  <c r="AN2389" i="10"/>
  <c r="AJ2389" i="10"/>
  <c r="AV2385" i="10"/>
  <c r="AA2385" i="10"/>
  <c r="AV2381" i="10"/>
  <c r="AA2381" i="10"/>
  <c r="AV2375" i="10"/>
  <c r="AA2375" i="10"/>
  <c r="BO2361" i="10"/>
  <c r="AO2361" i="10"/>
  <c r="AV2359" i="10"/>
  <c r="AA2359" i="10"/>
  <c r="AV2341" i="10"/>
  <c r="AA2341" i="10"/>
  <c r="AV2334" i="10"/>
  <c r="AA2334" i="10"/>
  <c r="AV2314" i="10"/>
  <c r="AA2314" i="10"/>
  <c r="AV2312" i="10"/>
  <c r="AA2312" i="10"/>
  <c r="AV2297" i="10"/>
  <c r="AA2297" i="10"/>
  <c r="AV2281" i="10"/>
  <c r="AA2281" i="10"/>
  <c r="AV2250" i="10"/>
  <c r="AA2250" i="10"/>
  <c r="BO2240" i="10"/>
  <c r="AO2240" i="10"/>
  <c r="AV2231" i="10"/>
  <c r="AA2231" i="10"/>
  <c r="AV2226" i="10"/>
  <c r="AA2226" i="10"/>
  <c r="BH2220" i="10"/>
  <c r="AO2220" i="10"/>
  <c r="AV1313" i="10"/>
  <c r="AA1313" i="10"/>
  <c r="AV740" i="10"/>
  <c r="AA740" i="10"/>
  <c r="AV721" i="10"/>
  <c r="AA721" i="10"/>
  <c r="AV717" i="10"/>
  <c r="AA717" i="10"/>
  <c r="BH714" i="10"/>
  <c r="BM714" i="10" s="1"/>
  <c r="AO714" i="10"/>
  <c r="AV708" i="10"/>
  <c r="AA708" i="10"/>
  <c r="AV698" i="10"/>
  <c r="AA698" i="10"/>
  <c r="AV693" i="10"/>
  <c r="AA693" i="10"/>
  <c r="AV686" i="10"/>
  <c r="AA686" i="10"/>
  <c r="AV682" i="10"/>
  <c r="AA682" i="10"/>
  <c r="AV674" i="10"/>
  <c r="AA674" i="10"/>
  <c r="AV670" i="10"/>
  <c r="AA670" i="10"/>
  <c r="AV662" i="10"/>
  <c r="AA662" i="10"/>
  <c r="AV626" i="10"/>
  <c r="AA626" i="10"/>
  <c r="AV617" i="10"/>
  <c r="AA617" i="10"/>
  <c r="AV613" i="10"/>
  <c r="AA613" i="10"/>
  <c r="AV1257" i="10"/>
  <c r="AA1257" i="10"/>
  <c r="AV1243" i="10"/>
  <c r="AA1243" i="10"/>
  <c r="AV1223" i="10"/>
  <c r="AA1223" i="10"/>
  <c r="AV1207" i="10"/>
  <c r="AA1207" i="10"/>
  <c r="AV1199" i="10"/>
  <c r="AA1199" i="10"/>
  <c r="AV1164" i="10"/>
  <c r="AA1164" i="10"/>
  <c r="AV1152" i="10"/>
  <c r="AA1152" i="10"/>
  <c r="AV1115" i="10"/>
  <c r="AA1115" i="10"/>
  <c r="AV1098" i="10"/>
  <c r="AA1098" i="10"/>
  <c r="AV1083" i="10"/>
  <c r="AA1083" i="10"/>
  <c r="AV1081" i="10"/>
  <c r="AA1081" i="10"/>
  <c r="AV1076" i="10"/>
  <c r="AA1076" i="10"/>
  <c r="AV1070" i="10"/>
  <c r="AA1070" i="10"/>
  <c r="AV1041" i="10"/>
  <c r="AA1041" i="10"/>
  <c r="AN1038" i="10"/>
  <c r="AJ1038" i="10"/>
  <c r="AV1034" i="10"/>
  <c r="AA1034" i="10"/>
  <c r="BH130" i="10"/>
  <c r="BM130" i="10" s="1"/>
  <c r="AO130" i="10"/>
  <c r="AC521" i="11"/>
  <c r="AC518" i="11" s="1"/>
  <c r="AC516" i="11" s="1"/>
  <c r="V209" i="11"/>
  <c r="K1299" i="10"/>
  <c r="AB521" i="11"/>
  <c r="AB518" i="11" s="1"/>
  <c r="AB516" i="11" s="1"/>
  <c r="AN2498" i="10"/>
  <c r="AJ2498" i="10"/>
  <c r="AV1328" i="10"/>
  <c r="AA1328" i="10"/>
  <c r="AV633" i="10"/>
  <c r="AA633" i="10"/>
  <c r="AV243" i="10"/>
  <c r="AA243" i="10"/>
  <c r="AM240" i="10"/>
  <c r="AJ240" i="10" s="1"/>
  <c r="AJ241" i="10"/>
  <c r="AM229" i="10"/>
  <c r="AJ229" i="10" s="1"/>
  <c r="AJ230" i="10"/>
  <c r="L225" i="10"/>
  <c r="J224" i="10"/>
  <c r="L224" i="10" s="1"/>
  <c r="AM221" i="10"/>
  <c r="AJ221" i="10" s="1"/>
  <c r="AJ222" i="10"/>
  <c r="AV218" i="10"/>
  <c r="AA218" i="10"/>
  <c r="AM211" i="10"/>
  <c r="AJ212" i="10"/>
  <c r="AV198" i="10"/>
  <c r="AA198" i="10"/>
  <c r="AS187" i="10"/>
  <c r="AO188" i="10"/>
  <c r="AV168" i="10"/>
  <c r="AA168" i="10"/>
  <c r="AV161" i="10"/>
  <c r="AA161" i="10"/>
  <c r="AV156" i="10"/>
  <c r="AA156" i="10"/>
  <c r="AV622" i="10"/>
  <c r="AA622" i="10"/>
  <c r="AV202" i="10"/>
  <c r="AA202" i="10"/>
  <c r="AV188" i="10"/>
  <c r="AA188" i="10"/>
  <c r="BH179" i="10"/>
  <c r="BM179" i="10" s="1"/>
  <c r="AO179" i="10"/>
  <c r="AV175" i="10"/>
  <c r="AA175" i="10"/>
  <c r="AV169" i="10"/>
  <c r="AA169" i="10"/>
  <c r="AV165" i="10"/>
  <c r="AA165" i="10"/>
  <c r="BO152" i="10"/>
  <c r="AO152" i="10"/>
  <c r="AN152" i="10"/>
  <c r="AJ152" i="10"/>
  <c r="AV151" i="10"/>
  <c r="AA151" i="10"/>
  <c r="AV147" i="10"/>
  <c r="AA147" i="10"/>
  <c r="AV146" i="10"/>
  <c r="AA146" i="10"/>
  <c r="AV143" i="10"/>
  <c r="AA143" i="10"/>
  <c r="AV132" i="10"/>
  <c r="AA132" i="10"/>
  <c r="BH126" i="10"/>
  <c r="BM126" i="10" s="1"/>
  <c r="AO126" i="10"/>
  <c r="AJ78" i="10"/>
  <c r="AM77" i="10"/>
  <c r="AJ77" i="10" s="1"/>
  <c r="AU43" i="10"/>
  <c r="AV1596" i="10"/>
  <c r="AA1596" i="10"/>
  <c r="AV1331" i="10"/>
  <c r="AA1331" i="10"/>
  <c r="AV1310" i="10"/>
  <c r="AA1310" i="10"/>
  <c r="AV2474" i="10"/>
  <c r="AA2474" i="10"/>
  <c r="AV287" i="10"/>
  <c r="AA287" i="10"/>
  <c r="AV286" i="10"/>
  <c r="AA286" i="10"/>
  <c r="AV126" i="10"/>
  <c r="AA126" i="10"/>
  <c r="L2489" i="10"/>
  <c r="L57" i="10"/>
  <c r="AV575" i="10"/>
  <c r="AA575" i="10"/>
  <c r="AV2184" i="10"/>
  <c r="AA2184" i="10"/>
  <c r="AV1902" i="10"/>
  <c r="AA1902" i="10"/>
  <c r="L59" i="10"/>
  <c r="AU2171" i="10"/>
  <c r="AV49" i="10"/>
  <c r="AA49" i="10"/>
  <c r="AV1031" i="10"/>
  <c r="AA1031" i="10"/>
  <c r="AV583" i="10"/>
  <c r="AA583" i="10"/>
  <c r="BH572" i="10"/>
  <c r="BM572" i="10" s="1"/>
  <c r="BO572" i="10" s="1"/>
  <c r="AO572" i="10"/>
  <c r="AV562" i="10"/>
  <c r="AA562" i="10"/>
  <c r="AV561" i="10"/>
  <c r="AA561" i="10"/>
  <c r="AU528" i="10"/>
  <c r="AV2485" i="10"/>
  <c r="AA2485" i="10"/>
  <c r="AV2464" i="10"/>
  <c r="AA2464" i="10"/>
  <c r="AV582" i="10"/>
  <c r="AA582" i="10"/>
  <c r="AV1320" i="10"/>
  <c r="AA1320" i="10"/>
  <c r="AV1316" i="10"/>
  <c r="AA1316" i="10"/>
  <c r="AR1592" i="10"/>
  <c r="AV591" i="10"/>
  <c r="AA591" i="10"/>
  <c r="AV111" i="10"/>
  <c r="AA111" i="10"/>
  <c r="AU2478" i="10"/>
  <c r="BO2442" i="10"/>
  <c r="AO2442" i="10"/>
  <c r="AV1326" i="10"/>
  <c r="AA1326" i="10"/>
  <c r="AV1323" i="10"/>
  <c r="AA1323" i="10"/>
  <c r="L1306" i="10"/>
  <c r="J1299" i="10"/>
  <c r="L1299" i="10" s="1"/>
  <c r="AV282" i="10"/>
  <c r="AA282" i="10"/>
  <c r="AV127" i="10"/>
  <c r="AA127" i="10"/>
  <c r="BH111" i="10"/>
  <c r="AO111" i="10"/>
  <c r="K1293" i="10"/>
  <c r="K1292" i="10" s="1"/>
  <c r="AR1293" i="10"/>
  <c r="AN132" i="10"/>
  <c r="AV1586" i="10"/>
  <c r="AA1586" i="10"/>
  <c r="AV1312" i="10"/>
  <c r="AA1312" i="10"/>
  <c r="AV1267" i="10"/>
  <c r="AA1267" i="10"/>
  <c r="AV1256" i="10"/>
  <c r="AA1256" i="10"/>
  <c r="AV1255" i="10"/>
  <c r="AA1255" i="10"/>
  <c r="AV1249" i="10"/>
  <c r="AA1249" i="10"/>
  <c r="BO1248" i="10"/>
  <c r="AO1248" i="10"/>
  <c r="AV1246" i="10"/>
  <c r="AA1246" i="10"/>
  <c r="AV1240" i="10"/>
  <c r="AA1240" i="10"/>
  <c r="AV1236" i="10"/>
  <c r="AA1236" i="10"/>
  <c r="AV1224" i="10"/>
  <c r="AA1224" i="10"/>
  <c r="AV1217" i="10"/>
  <c r="AA1217" i="10"/>
  <c r="AV1211" i="10"/>
  <c r="AA1211" i="10"/>
  <c r="AV1204" i="10"/>
  <c r="AA1204" i="10"/>
  <c r="AV1183" i="10"/>
  <c r="AA1183" i="10"/>
  <c r="AV1172" i="10"/>
  <c r="AA1172" i="10"/>
  <c r="AV1171" i="10"/>
  <c r="AA1171" i="10"/>
  <c r="AV1167" i="10"/>
  <c r="AA1167" i="10"/>
  <c r="AV1160" i="10"/>
  <c r="AA1160" i="10"/>
  <c r="AV1158" i="10"/>
  <c r="AA1158" i="10"/>
  <c r="AV1156" i="10"/>
  <c r="AA1156" i="10"/>
  <c r="BO1155" i="10"/>
  <c r="AO1155" i="10"/>
  <c r="AN1155" i="10"/>
  <c r="AJ1155" i="10"/>
  <c r="AV1150" i="10"/>
  <c r="AA1150" i="10"/>
  <c r="AV1142" i="10"/>
  <c r="AA1142" i="10"/>
  <c r="AV1128" i="10"/>
  <c r="AA1128" i="10"/>
  <c r="AV1126" i="10"/>
  <c r="AA1126" i="10"/>
  <c r="AV1120" i="10"/>
  <c r="AA1120" i="10"/>
  <c r="AV1119" i="10"/>
  <c r="AA1119" i="10"/>
  <c r="AV1108" i="10"/>
  <c r="AA1108" i="10"/>
  <c r="AV1103" i="10"/>
  <c r="AA1103" i="10"/>
  <c r="AV1097" i="10"/>
  <c r="AA1097" i="10"/>
  <c r="AV1096" i="10"/>
  <c r="AA1096" i="10"/>
  <c r="AV1085" i="10"/>
  <c r="AA1085" i="10"/>
  <c r="AV1084" i="10"/>
  <c r="AA1084" i="10"/>
  <c r="AV1074" i="10"/>
  <c r="AA1074" i="10"/>
  <c r="AV1066" i="10"/>
  <c r="AA1066" i="10"/>
  <c r="AV1065" i="10"/>
  <c r="AA1065" i="10"/>
  <c r="AV1064" i="10"/>
  <c r="AA1064" i="10"/>
  <c r="AV1057" i="10"/>
  <c r="AA1057" i="10"/>
  <c r="BH1043" i="10"/>
  <c r="BM1043" i="10" s="1"/>
  <c r="BO1043" i="10" s="1"/>
  <c r="AO1043" i="10"/>
  <c r="AV1040" i="10"/>
  <c r="AA1040" i="10"/>
  <c r="BH1038" i="10"/>
  <c r="BM1038" i="10" s="1"/>
  <c r="AO1038" i="10"/>
  <c r="AV1038" i="10"/>
  <c r="AA1038" i="10"/>
  <c r="AV1035" i="10"/>
  <c r="AA1035" i="10"/>
  <c r="AV1022" i="10"/>
  <c r="AA1022" i="10"/>
  <c r="AV1021" i="10"/>
  <c r="AA1021" i="10"/>
  <c r="AV1020" i="10"/>
  <c r="AA1020" i="10"/>
  <c r="AV618" i="10"/>
  <c r="AA618" i="10"/>
  <c r="AV571" i="10"/>
  <c r="AA571" i="10"/>
  <c r="AZ120" i="10"/>
  <c r="BA142" i="10"/>
  <c r="AV71" i="10"/>
  <c r="AA71" i="10"/>
  <c r="K2435" i="10"/>
  <c r="K2386" i="10" s="1"/>
  <c r="K2298" i="10" s="1"/>
  <c r="V1293" i="10"/>
  <c r="AN596" i="10"/>
  <c r="K266" i="10"/>
  <c r="AV2516" i="10"/>
  <c r="AA2516" i="10"/>
  <c r="BO2513" i="10"/>
  <c r="AO2513" i="10"/>
  <c r="AV2472" i="10"/>
  <c r="AA2472" i="10"/>
  <c r="AV2460" i="10"/>
  <c r="AA2460" i="10"/>
  <c r="AV1731" i="10"/>
  <c r="AA1731" i="10"/>
  <c r="AV1723" i="10"/>
  <c r="AA1723" i="10"/>
  <c r="BO1712" i="10"/>
  <c r="AO1712" i="10"/>
  <c r="BO1707" i="10"/>
  <c r="AO1707" i="10"/>
  <c r="AV1703" i="10"/>
  <c r="AA1703" i="10"/>
  <c r="BH1688" i="10"/>
  <c r="BM1688" i="10" s="1"/>
  <c r="BO1688" i="10" s="1"/>
  <c r="AO1688" i="10"/>
  <c r="AV1621" i="10"/>
  <c r="AA1621" i="10"/>
  <c r="BO1604" i="10"/>
  <c r="AO1604" i="10"/>
  <c r="AV1597" i="10"/>
  <c r="AA1597" i="10"/>
  <c r="AV1594" i="10"/>
  <c r="AA1594" i="10"/>
  <c r="L1296" i="10"/>
  <c r="J1293" i="10"/>
  <c r="AV624" i="10"/>
  <c r="AA624" i="10"/>
  <c r="BO616" i="10"/>
  <c r="AO616" i="10"/>
  <c r="AV605" i="10"/>
  <c r="AA605" i="10"/>
  <c r="AN595" i="10"/>
  <c r="AJ595" i="10"/>
  <c r="AV527" i="10"/>
  <c r="AA527" i="10"/>
  <c r="AM110" i="10"/>
  <c r="AN110" i="10" s="1"/>
  <c r="AJ111" i="10"/>
  <c r="AV57" i="10"/>
  <c r="AA57" i="10"/>
  <c r="AV43" i="10"/>
  <c r="AA43" i="10"/>
  <c r="BH136" i="10"/>
  <c r="BM136" i="10" s="1"/>
  <c r="AO136" i="10"/>
  <c r="AV134" i="10"/>
  <c r="AA134" i="10"/>
  <c r="AV124" i="10"/>
  <c r="AA124" i="10"/>
  <c r="AV121" i="10"/>
  <c r="AA121" i="10"/>
  <c r="AV117" i="10"/>
  <c r="AA117" i="10"/>
  <c r="AV108" i="10"/>
  <c r="AA108" i="10"/>
  <c r="AV19" i="10"/>
  <c r="AA19" i="10"/>
  <c r="AN560" i="10"/>
  <c r="AM523" i="10"/>
  <c r="AJ523" i="10" s="1"/>
  <c r="L80" i="10"/>
  <c r="BO2439" i="10"/>
  <c r="AO2439" i="10"/>
  <c r="AJ1291" i="10"/>
  <c r="AM1290" i="10"/>
  <c r="AV1019" i="10"/>
  <c r="AA1019" i="10"/>
  <c r="AV1015" i="10"/>
  <c r="AA1015" i="10"/>
  <c r="AV1014" i="10"/>
  <c r="AA1014" i="10"/>
  <c r="AV549" i="10"/>
  <c r="AA549" i="10"/>
  <c r="AV544" i="10"/>
  <c r="AA544" i="10"/>
  <c r="L2436" i="10"/>
  <c r="L626" i="10"/>
  <c r="AV2459" i="10"/>
  <c r="AA2459" i="10"/>
  <c r="AV1016" i="10"/>
  <c r="AA1016" i="10"/>
  <c r="AV628" i="10"/>
  <c r="AA628" i="10"/>
  <c r="BO605" i="10"/>
  <c r="AO605" i="10"/>
  <c r="AV599" i="10"/>
  <c r="AA599" i="10"/>
  <c r="AV594" i="10"/>
  <c r="AA594" i="10"/>
  <c r="AV592" i="10"/>
  <c r="AA592" i="10"/>
  <c r="BO564" i="10"/>
  <c r="AO564" i="10"/>
  <c r="AV553" i="10"/>
  <c r="AA553" i="10"/>
  <c r="BH107" i="10"/>
  <c r="BM107" i="10" s="1"/>
  <c r="BO107" i="10" s="1"/>
  <c r="AO107" i="10"/>
  <c r="BH105" i="10"/>
  <c r="BM105" i="10" s="1"/>
  <c r="BO105" i="10" s="1"/>
  <c r="AO105" i="10"/>
  <c r="BH102" i="10"/>
  <c r="BM102" i="10" s="1"/>
  <c r="BO102" i="10" s="1"/>
  <c r="AO102" i="10"/>
  <c r="AV97" i="10"/>
  <c r="AA97" i="10"/>
  <c r="BO91" i="10"/>
  <c r="AO91" i="10"/>
  <c r="AU1588" i="10"/>
  <c r="AU60" i="10"/>
  <c r="AN521" i="10"/>
  <c r="AV2458" i="10"/>
  <c r="AA2458" i="10"/>
  <c r="BH782" i="10"/>
  <c r="BM782" i="10" s="1"/>
  <c r="BO782" i="10" s="1"/>
  <c r="AO782" i="10"/>
  <c r="AV577" i="10"/>
  <c r="AA577" i="10"/>
  <c r="AV563" i="10"/>
  <c r="AA563" i="10"/>
  <c r="AV552" i="10"/>
  <c r="AA552" i="10"/>
  <c r="AV528" i="10"/>
  <c r="AA528" i="10"/>
  <c r="AV48" i="10"/>
  <c r="AA48" i="10"/>
  <c r="BH32" i="10"/>
  <c r="BM32" i="10" s="1"/>
  <c r="AO32" i="10"/>
  <c r="AV32" i="10"/>
  <c r="AA32" i="10"/>
  <c r="V507" i="11"/>
  <c r="V505" i="11" s="1"/>
  <c r="AU2437" i="10"/>
  <c r="AU2434" i="10"/>
  <c r="AU2417" i="10"/>
  <c r="AU2413" i="10"/>
  <c r="AU2404" i="10"/>
  <c r="AU2370" i="10"/>
  <c r="AU2354" i="10"/>
  <c r="AU2336" i="10"/>
  <c r="AU2316" i="10"/>
  <c r="AU2291" i="10"/>
  <c r="AU2289" i="10"/>
  <c r="AU2189" i="10"/>
  <c r="AU2166" i="10"/>
  <c r="AU20" i="10"/>
  <c r="V2090" i="10"/>
  <c r="AU2003" i="10"/>
  <c r="AU1936" i="10"/>
  <c r="AU1917" i="10"/>
  <c r="K1880" i="10"/>
  <c r="AU1855" i="10"/>
  <c r="L1851" i="10"/>
  <c r="AU1850" i="10"/>
  <c r="AU1824" i="10"/>
  <c r="AU1817" i="10"/>
  <c r="AU1803" i="10"/>
  <c r="AU1738" i="10"/>
  <c r="AU1722" i="10"/>
  <c r="AU1638" i="10"/>
  <c r="AU1607" i="10"/>
  <c r="AU1597" i="10"/>
  <c r="AU1297" i="10"/>
  <c r="AU23" i="10"/>
  <c r="K1533" i="10"/>
  <c r="AU1549" i="10"/>
  <c r="AU1453" i="10"/>
  <c r="AU1433" i="10"/>
  <c r="AU1425" i="10"/>
  <c r="AU1400" i="10"/>
  <c r="AU1388" i="10"/>
  <c r="AU1359" i="10"/>
  <c r="AU1355" i="10"/>
  <c r="AU1335" i="10"/>
  <c r="L1282" i="10"/>
  <c r="AU1257" i="10"/>
  <c r="AU1231" i="10"/>
  <c r="AU1213" i="10"/>
  <c r="AU1169" i="10"/>
  <c r="AU1154" i="10"/>
  <c r="AU1113" i="10"/>
  <c r="AU1105" i="10"/>
  <c r="AU1085" i="10"/>
  <c r="AU1082" i="10"/>
  <c r="AU1041" i="10"/>
  <c r="AU996" i="10"/>
  <c r="AU966" i="10"/>
  <c r="AU955" i="10"/>
  <c r="AU895" i="10"/>
  <c r="AU889" i="10"/>
  <c r="AU887" i="10"/>
  <c r="AU878" i="10"/>
  <c r="AU814" i="10"/>
  <c r="AU785" i="10"/>
  <c r="AU594" i="10"/>
  <c r="AU584" i="10"/>
  <c r="AU559" i="10"/>
  <c r="AU545" i="10"/>
  <c r="AU745" i="10"/>
  <c r="AU718" i="10"/>
  <c r="AU701" i="10"/>
  <c r="AU697" i="10"/>
  <c r="AU686" i="10"/>
  <c r="AU685" i="10"/>
  <c r="AU682" i="10"/>
  <c r="AU680" i="10"/>
  <c r="AU672" i="10"/>
  <c r="AU652" i="10"/>
  <c r="AU631" i="10"/>
  <c r="AU623" i="10"/>
  <c r="AU581" i="10"/>
  <c r="AU517" i="10"/>
  <c r="AU507" i="10"/>
  <c r="AU487" i="10"/>
  <c r="AU472" i="10"/>
  <c r="AU445" i="10"/>
  <c r="AU385" i="10"/>
  <c r="AU357" i="10"/>
  <c r="AU352" i="10"/>
  <c r="AU347" i="10"/>
  <c r="AU346" i="10"/>
  <c r="AU320" i="10"/>
  <c r="AU287" i="10"/>
  <c r="AU103" i="10"/>
  <c r="AU100" i="10"/>
  <c r="AZ257" i="10"/>
  <c r="AZ250" i="10" s="1"/>
  <c r="AU237" i="10"/>
  <c r="AU203" i="10"/>
  <c r="AU125" i="10"/>
  <c r="AV2452" i="10"/>
  <c r="AA2452" i="10"/>
  <c r="AV2451" i="10"/>
  <c r="AA2451" i="10"/>
  <c r="AU2441" i="10"/>
  <c r="AJ2441" i="10"/>
  <c r="AV2440" i="10"/>
  <c r="AA2440" i="10"/>
  <c r="AV1582" i="10"/>
  <c r="AA1582" i="10"/>
  <c r="AV1580" i="10"/>
  <c r="AA1580" i="10"/>
  <c r="AV1578" i="10"/>
  <c r="AA1578" i="10"/>
  <c r="AV588" i="10"/>
  <c r="AA588" i="10"/>
  <c r="AV586" i="10"/>
  <c r="AA586" i="10"/>
  <c r="AV584" i="10"/>
  <c r="AA584" i="10"/>
  <c r="AV94" i="10"/>
  <c r="AA94" i="10"/>
  <c r="BO85" i="10"/>
  <c r="AO85" i="10"/>
  <c r="AV78" i="10"/>
  <c r="AA78" i="10"/>
  <c r="AV72" i="10"/>
  <c r="AA72" i="10"/>
  <c r="AZ372" i="10"/>
  <c r="BA71" i="10"/>
  <c r="BA70" i="10" s="1"/>
  <c r="BA69" i="10" s="1"/>
  <c r="AM70" i="10"/>
  <c r="AJ71" i="10"/>
  <c r="AV62" i="10"/>
  <c r="AA62" i="10"/>
  <c r="AV41" i="10"/>
  <c r="AA41" i="10"/>
  <c r="AV23" i="10"/>
  <c r="AA23" i="10"/>
  <c r="AV20" i="10"/>
  <c r="AA20" i="10"/>
  <c r="AB569" i="11"/>
  <c r="AB576" i="11" s="1"/>
  <c r="AK555" i="11"/>
  <c r="AM489" i="11"/>
  <c r="AL401" i="11"/>
  <c r="AL396" i="11" s="1"/>
  <c r="V392" i="11"/>
  <c r="V387" i="11" s="1"/>
  <c r="AK294" i="11"/>
  <c r="AF260" i="11"/>
  <c r="AF259" i="11" s="1"/>
  <c r="AL186" i="11"/>
  <c r="AK186" i="11"/>
  <c r="AU2416" i="10"/>
  <c r="V147" i="11"/>
  <c r="AI137" i="11"/>
  <c r="AG137" i="11"/>
  <c r="AK38" i="11"/>
  <c r="AU2526" i="10"/>
  <c r="AU2516" i="10"/>
  <c r="L2499" i="10"/>
  <c r="AU2472" i="10"/>
  <c r="AN2468" i="10"/>
  <c r="AU2466" i="10"/>
  <c r="AN2463" i="10"/>
  <c r="AU2463" i="10"/>
  <c r="AU2457" i="10"/>
  <c r="AR2435" i="10"/>
  <c r="AR2386" i="10" s="1"/>
  <c r="AN2441" i="10"/>
  <c r="AN2429" i="10"/>
  <c r="AU2424" i="10"/>
  <c r="AU2400" i="10"/>
  <c r="AU2387" i="10"/>
  <c r="AU2374" i="10"/>
  <c r="AN2370" i="10"/>
  <c r="AU2359" i="10"/>
  <c r="AU2356" i="10"/>
  <c r="AU2352" i="10"/>
  <c r="AU2341" i="10"/>
  <c r="AU2335" i="10"/>
  <c r="AN2334" i="10"/>
  <c r="AN2322" i="10"/>
  <c r="AU2321" i="10"/>
  <c r="AU2314" i="10"/>
  <c r="AU2309" i="10"/>
  <c r="AU2295" i="10"/>
  <c r="AR2285" i="10"/>
  <c r="AN2275" i="10"/>
  <c r="AU2250" i="10"/>
  <c r="AU2229" i="10"/>
  <c r="AU2212" i="10"/>
  <c r="AR2204" i="10"/>
  <c r="AR2160" i="10" s="1"/>
  <c r="L2209" i="10"/>
  <c r="L2196" i="10"/>
  <c r="AU2191" i="10"/>
  <c r="AU2187" i="10"/>
  <c r="AU2185" i="10"/>
  <c r="L2181" i="10"/>
  <c r="AU2156" i="10"/>
  <c r="AN2150" i="10"/>
  <c r="AU2141" i="10"/>
  <c r="AU2139" i="10"/>
  <c r="AU2137" i="10"/>
  <c r="AU2110" i="10"/>
  <c r="AU2106" i="10"/>
  <c r="BH2101" i="10"/>
  <c r="BM2101" i="10" s="1"/>
  <c r="BO2101" i="10" s="1"/>
  <c r="AU2094" i="10"/>
  <c r="AU2081" i="10"/>
  <c r="AN2073" i="10"/>
  <c r="AU2072" i="10"/>
  <c r="AN2066" i="10"/>
  <c r="AU2064" i="10"/>
  <c r="AU2062" i="10"/>
  <c r="AU2061" i="10"/>
  <c r="AN2057" i="10"/>
  <c r="Q2043" i="10"/>
  <c r="AU2035" i="10"/>
  <c r="AN2027" i="10"/>
  <c r="AU2027" i="10"/>
  <c r="AU2025" i="10"/>
  <c r="AU2010" i="10"/>
  <c r="AU1997" i="10"/>
  <c r="AU1996" i="10"/>
  <c r="AN1994" i="10"/>
  <c r="AZ1984" i="10"/>
  <c r="AR1984" i="10"/>
  <c r="AR1972" i="10" s="1"/>
  <c r="AU1986" i="10"/>
  <c r="AU1977" i="10"/>
  <c r="AU1976" i="10"/>
  <c r="AU1963" i="10"/>
  <c r="AN1954" i="10"/>
  <c r="AU1954" i="10"/>
  <c r="AU1952" i="10"/>
  <c r="AN1951" i="10"/>
  <c r="AN1944" i="10"/>
  <c r="AU1940" i="10"/>
  <c r="AU1921" i="10"/>
  <c r="AU1916" i="10"/>
  <c r="AU1915" i="10"/>
  <c r="AU1904" i="10"/>
  <c r="AN1903" i="10"/>
  <c r="AN1896" i="10"/>
  <c r="AN1862" i="10"/>
  <c r="AU1856" i="10"/>
  <c r="AU1581" i="10"/>
  <c r="AN1573" i="10"/>
  <c r="AU45" i="10"/>
  <c r="AU35" i="10"/>
  <c r="AU1846" i="10"/>
  <c r="AU1831" i="10"/>
  <c r="AU1830" i="10"/>
  <c r="AN1827" i="10"/>
  <c r="AR1822" i="10"/>
  <c r="AR1821" i="10" s="1"/>
  <c r="K1822" i="10"/>
  <c r="K1821" i="10" s="1"/>
  <c r="AU1814" i="10"/>
  <c r="AU1809" i="10"/>
  <c r="AN1806" i="10"/>
  <c r="AU1790" i="10"/>
  <c r="AU1780" i="10"/>
  <c r="AU1777" i="10"/>
  <c r="AU1774" i="10"/>
  <c r="L1765" i="10"/>
  <c r="AU1758" i="10"/>
  <c r="AU1752" i="10"/>
  <c r="AN1750" i="10"/>
  <c r="AU1745" i="10"/>
  <c r="AN1701" i="10"/>
  <c r="AU1680" i="10"/>
  <c r="AU1667" i="10"/>
  <c r="AU1665" i="10"/>
  <c r="AU1646" i="10"/>
  <c r="AN1641" i="10"/>
  <c r="AU1640" i="10"/>
  <c r="K1592" i="10"/>
  <c r="K1532" i="10" s="1"/>
  <c r="AU1627" i="10"/>
  <c r="AU1620" i="10"/>
  <c r="AD1610" i="10"/>
  <c r="AN1611" i="10"/>
  <c r="V1592" i="10"/>
  <c r="AN1608" i="10"/>
  <c r="AM1273" i="10"/>
  <c r="AU1547" i="10"/>
  <c r="AU1509" i="10"/>
  <c r="K1448" i="10"/>
  <c r="AN1490" i="10"/>
  <c r="AU1458" i="10"/>
  <c r="AU1456" i="10"/>
  <c r="AN1452" i="10"/>
  <c r="AU1445" i="10"/>
  <c r="AU1443" i="10"/>
  <c r="AU1442" i="10"/>
  <c r="AU1432" i="10"/>
  <c r="AN1429" i="10"/>
  <c r="AU1424" i="10"/>
  <c r="AU1420" i="10"/>
  <c r="AU1419" i="10"/>
  <c r="AN1416" i="10"/>
  <c r="AU1410" i="10"/>
  <c r="AU1402" i="10"/>
  <c r="AN1395" i="10"/>
  <c r="AU1358" i="10"/>
  <c r="AU1357" i="10"/>
  <c r="AU1353" i="10"/>
  <c r="AU1339" i="10"/>
  <c r="L1321" i="10"/>
  <c r="AN1319" i="10"/>
  <c r="AU1291" i="10"/>
  <c r="Q1258" i="10"/>
  <c r="AU1241" i="10"/>
  <c r="AU1239" i="10"/>
  <c r="AU1236" i="10"/>
  <c r="AN1230" i="10"/>
  <c r="AU1223" i="10"/>
  <c r="AN1207" i="10"/>
  <c r="AN1193" i="10"/>
  <c r="AN1191" i="10"/>
  <c r="AU1183" i="10"/>
  <c r="AN1172" i="10"/>
  <c r="AN1164" i="10"/>
  <c r="AN1160" i="10"/>
  <c r="AN1156" i="10"/>
  <c r="AN1152" i="10"/>
  <c r="AU1150" i="10"/>
  <c r="AN1136" i="10"/>
  <c r="AU1133" i="10"/>
  <c r="AU1101" i="10"/>
  <c r="AN1097" i="10"/>
  <c r="AU1095" i="10"/>
  <c r="AU1080" i="10"/>
  <c r="AN1078" i="10"/>
  <c r="AU1076" i="10"/>
  <c r="AU1055" i="10"/>
  <c r="AU1053" i="10"/>
  <c r="AU1035" i="10"/>
  <c r="AU1031" i="10"/>
  <c r="L1029" i="10"/>
  <c r="AU1020" i="10"/>
  <c r="AU1009" i="10"/>
  <c r="AU1006" i="10"/>
  <c r="AU1002" i="10"/>
  <c r="AU1000" i="10"/>
  <c r="AN990" i="10"/>
  <c r="AU990" i="10"/>
  <c r="AU977" i="10"/>
  <c r="AN976" i="10"/>
  <c r="AU963" i="10"/>
  <c r="AU957" i="10"/>
  <c r="AU948" i="10"/>
  <c r="AU930" i="10"/>
  <c r="AN929" i="10"/>
  <c r="AU929" i="10"/>
  <c r="AU925" i="10"/>
  <c r="AU918" i="10"/>
  <c r="AU910" i="10"/>
  <c r="AU903" i="10"/>
  <c r="AN897" i="10"/>
  <c r="AN895" i="10"/>
  <c r="AU890" i="10"/>
  <c r="AU876" i="10"/>
  <c r="AU874" i="10"/>
  <c r="AU870" i="10"/>
  <c r="AN868" i="10"/>
  <c r="AU862" i="10"/>
  <c r="AU852" i="10"/>
  <c r="AU845" i="10"/>
  <c r="AU843" i="10"/>
  <c r="AN834" i="10"/>
  <c r="AU828" i="10"/>
  <c r="AU819" i="10"/>
  <c r="AN817" i="10"/>
  <c r="AU812" i="10"/>
  <c r="AU810" i="10"/>
  <c r="AU808" i="10"/>
  <c r="AU807" i="10"/>
  <c r="AU804" i="10"/>
  <c r="AU799" i="10"/>
  <c r="AU797" i="10"/>
  <c r="AU773" i="10"/>
  <c r="AU551" i="10"/>
  <c r="L758" i="10"/>
  <c r="L749" i="10"/>
  <c r="AN742" i="10"/>
  <c r="AU740" i="10"/>
  <c r="AU731" i="10"/>
  <c r="AU703" i="10"/>
  <c r="AN701" i="10"/>
  <c r="AU694" i="10"/>
  <c r="AN691" i="10"/>
  <c r="AN689" i="10"/>
  <c r="AU689" i="10"/>
  <c r="AU677" i="10"/>
  <c r="AU671" i="10"/>
  <c r="AU670" i="10"/>
  <c r="AU669" i="10"/>
  <c r="AU645" i="10"/>
  <c r="AU642" i="10"/>
  <c r="AU633" i="10"/>
  <c r="AU628" i="10"/>
  <c r="AU627" i="10"/>
  <c r="AU625" i="10"/>
  <c r="AN623" i="10"/>
  <c r="AD621" i="10"/>
  <c r="AU622" i="10"/>
  <c r="AU615" i="10"/>
  <c r="AU605" i="10"/>
  <c r="AU600" i="10"/>
  <c r="AU596" i="10"/>
  <c r="AN590" i="10"/>
  <c r="AU582" i="10"/>
  <c r="AU537" i="10"/>
  <c r="AU21" i="10"/>
  <c r="AU508" i="10"/>
  <c r="AN507" i="10"/>
  <c r="AU506" i="10"/>
  <c r="L502" i="10"/>
  <c r="AU495" i="10"/>
  <c r="AU494" i="10"/>
  <c r="AU493" i="10"/>
  <c r="AU491" i="10"/>
  <c r="AU485" i="10"/>
  <c r="AU475" i="10"/>
  <c r="AU474" i="10"/>
  <c r="AU473" i="10"/>
  <c r="AU469" i="10"/>
  <c r="AN460" i="10"/>
  <c r="AN456" i="10"/>
  <c r="AU453" i="10"/>
  <c r="AU439" i="10"/>
  <c r="L416" i="10"/>
  <c r="AU412" i="10"/>
  <c r="AR400" i="10"/>
  <c r="AU403" i="10"/>
  <c r="AU395" i="10"/>
  <c r="AU380" i="10"/>
  <c r="AU374" i="10"/>
  <c r="AU368" i="10"/>
  <c r="AN363" i="10"/>
  <c r="AU362" i="10"/>
  <c r="AU350" i="10"/>
  <c r="AU348" i="10"/>
  <c r="AN330" i="10"/>
  <c r="AN320" i="10"/>
  <c r="AU318" i="10"/>
  <c r="AU313" i="10"/>
  <c r="AU301" i="10"/>
  <c r="AU290" i="10"/>
  <c r="AU284" i="10"/>
  <c r="AU282" i="10"/>
  <c r="AU272" i="10"/>
  <c r="AZ268" i="10"/>
  <c r="AZ267" i="10" s="1"/>
  <c r="AZ266" i="10" s="1"/>
  <c r="AU252" i="10"/>
  <c r="AN227" i="10"/>
  <c r="L221" i="10"/>
  <c r="AU216" i="10"/>
  <c r="Q205" i="10"/>
  <c r="AU202" i="10"/>
  <c r="AN201" i="10"/>
  <c r="AR180" i="10"/>
  <c r="AU178" i="10"/>
  <c r="AU176" i="10"/>
  <c r="AN171" i="10"/>
  <c r="AU162" i="10"/>
  <c r="AU160" i="10"/>
  <c r="AU157" i="10"/>
  <c r="AU156" i="10"/>
  <c r="AU151" i="10"/>
  <c r="AN149" i="10"/>
  <c r="AN142" i="10"/>
  <c r="AU142" i="10"/>
  <c r="AU128" i="10"/>
  <c r="AU121" i="10"/>
  <c r="Q76" i="10"/>
  <c r="L113" i="10"/>
  <c r="AU106" i="10"/>
  <c r="AU105" i="10"/>
  <c r="AU102" i="10"/>
  <c r="AU99" i="10"/>
  <c r="AU97" i="10"/>
  <c r="AU94" i="10"/>
  <c r="AU87" i="10"/>
  <c r="AU86" i="10"/>
  <c r="K54" i="10"/>
  <c r="AU31" i="10"/>
  <c r="AA2522" i="10"/>
  <c r="AV2522" i="10"/>
  <c r="AV2508" i="10"/>
  <c r="AU2508" i="10"/>
  <c r="AA2505" i="10"/>
  <c r="AU2505" i="10"/>
  <c r="AV2505" i="10"/>
  <c r="AA2500" i="10"/>
  <c r="AV2500" i="10"/>
  <c r="AO2498" i="10"/>
  <c r="BH2498" i="10"/>
  <c r="BM2498" i="10" s="1"/>
  <c r="AO2493" i="10"/>
  <c r="BH2493" i="10"/>
  <c r="BM2493" i="10" s="1"/>
  <c r="AJ2492" i="10"/>
  <c r="AU2492" i="10"/>
  <c r="AA2490" i="10"/>
  <c r="AV2490" i="10"/>
  <c r="AA2484" i="10"/>
  <c r="AV2484" i="10"/>
  <c r="AJ2477" i="10"/>
  <c r="AU2477" i="10"/>
  <c r="AA2477" i="10"/>
  <c r="AV2477" i="10"/>
  <c r="AJ2471" i="10"/>
  <c r="AU2471" i="10"/>
  <c r="AA2471" i="10"/>
  <c r="AV2471" i="10"/>
  <c r="AA2467" i="10"/>
  <c r="AV2467" i="10"/>
  <c r="AJ2464" i="10"/>
  <c r="AU2464" i="10"/>
  <c r="AU2462" i="10"/>
  <c r="AV2462" i="10"/>
  <c r="AA2461" i="10"/>
  <c r="AV2461" i="10"/>
  <c r="AA2457" i="10"/>
  <c r="AV2457" i="10"/>
  <c r="AO2450" i="10"/>
  <c r="BH2450" i="10"/>
  <c r="BM2450" i="10" s="1"/>
  <c r="AA2441" i="10"/>
  <c r="AV2441" i="10"/>
  <c r="AJ2440" i="10"/>
  <c r="AU2440" i="10"/>
  <c r="AA2439" i="10"/>
  <c r="AV2439" i="10"/>
  <c r="AA2422" i="10"/>
  <c r="AV2422" i="10"/>
  <c r="AJ2421" i="10"/>
  <c r="AN2421" i="10"/>
  <c r="AA2420" i="10"/>
  <c r="AV2420" i="10"/>
  <c r="AA2411" i="10"/>
  <c r="AV2411" i="10"/>
  <c r="BO2410" i="10"/>
  <c r="AO2410" i="10"/>
  <c r="AN2410" i="10"/>
  <c r="AJ2410" i="10"/>
  <c r="AU2410" i="10"/>
  <c r="AV2410" i="10"/>
  <c r="AA2410" i="10"/>
  <c r="AA2400" i="10"/>
  <c r="AV2400" i="10"/>
  <c r="AO2396" i="10"/>
  <c r="BO2396" i="10"/>
  <c r="AU2394" i="10"/>
  <c r="AV2394" i="10"/>
  <c r="AA2377" i="10"/>
  <c r="AV2377" i="10"/>
  <c r="AJ2376" i="10"/>
  <c r="AU2376" i="10"/>
  <c r="AA2376" i="10"/>
  <c r="AV2376" i="10"/>
  <c r="AA2371" i="10"/>
  <c r="AV2371" i="10"/>
  <c r="AA2360" i="10"/>
  <c r="AV2360" i="10"/>
  <c r="AA2358" i="10"/>
  <c r="AV2358" i="10"/>
  <c r="AA2356" i="10"/>
  <c r="AV2356" i="10"/>
  <c r="AA2354" i="10"/>
  <c r="AV2354" i="10"/>
  <c r="AJ2345" i="10"/>
  <c r="AN2345" i="10"/>
  <c r="AA2333" i="10"/>
  <c r="AV2333" i="10"/>
  <c r="AO2332" i="10"/>
  <c r="BO2332" i="10"/>
  <c r="AA2331" i="10"/>
  <c r="AV2331" i="10"/>
  <c r="AA2326" i="10"/>
  <c r="AV2326" i="10"/>
  <c r="AA2325" i="10"/>
  <c r="AV2325" i="10"/>
  <c r="AA2324" i="10"/>
  <c r="AV2324" i="10"/>
  <c r="AA2322" i="10"/>
  <c r="AV2322" i="10"/>
  <c r="AA2321" i="10"/>
  <c r="AV2321" i="10"/>
  <c r="AO2320" i="10"/>
  <c r="BO2320" i="10"/>
  <c r="AJ2312" i="10"/>
  <c r="AU2312" i="10"/>
  <c r="AJ2303" i="10"/>
  <c r="AU2303" i="10"/>
  <c r="AD2294" i="10"/>
  <c r="AV2295" i="10"/>
  <c r="AJ2257" i="10"/>
  <c r="AU2257" i="10"/>
  <c r="AM2253" i="10"/>
  <c r="AU2254" i="10"/>
  <c r="J2245" i="10"/>
  <c r="L2245" i="10" s="1"/>
  <c r="L2246" i="10"/>
  <c r="AA2229" i="10"/>
  <c r="AV2229" i="10"/>
  <c r="AJ2226" i="10"/>
  <c r="AU2226" i="10"/>
  <c r="AA2225" i="10"/>
  <c r="AV2225" i="10"/>
  <c r="AA2212" i="10"/>
  <c r="AV2212" i="10"/>
  <c r="AS2202" i="10"/>
  <c r="AO2202" i="10" s="1"/>
  <c r="BH2203" i="10"/>
  <c r="AD2196" i="10"/>
  <c r="AV2197" i="10"/>
  <c r="AA2189" i="10"/>
  <c r="AV2189" i="10"/>
  <c r="AA2185" i="10"/>
  <c r="AV2185" i="10"/>
  <c r="AA2173" i="10"/>
  <c r="AV2173" i="10"/>
  <c r="AA2168" i="10"/>
  <c r="AV2168" i="10"/>
  <c r="AA2166" i="10"/>
  <c r="AV2166" i="10"/>
  <c r="AJ2165" i="10"/>
  <c r="AU2165" i="10"/>
  <c r="AO2159" i="10"/>
  <c r="BH2159" i="10"/>
  <c r="BM2159" i="10" s="1"/>
  <c r="AA2159" i="10"/>
  <c r="AV2159" i="10"/>
  <c r="AJ2150" i="10"/>
  <c r="AU2150" i="10"/>
  <c r="AA2148" i="10"/>
  <c r="AV2148" i="10"/>
  <c r="AJ2143" i="10"/>
  <c r="AU2143" i="10"/>
  <c r="AA2143" i="10"/>
  <c r="AV2143" i="10"/>
  <c r="AU2134" i="10"/>
  <c r="AV2134" i="10"/>
  <c r="AJ2133" i="10"/>
  <c r="AU2133" i="10"/>
  <c r="AA2133" i="10"/>
  <c r="AV2133" i="10"/>
  <c r="AU2121" i="10"/>
  <c r="AV2121" i="10"/>
  <c r="AA2120" i="10"/>
  <c r="AV2120" i="10"/>
  <c r="AJ2109" i="10"/>
  <c r="AU2109" i="10"/>
  <c r="AJ2100" i="10"/>
  <c r="AU2100" i="10"/>
  <c r="AA2100" i="10"/>
  <c r="AV2100" i="10"/>
  <c r="AJ2099" i="10"/>
  <c r="AU2099" i="10"/>
  <c r="AJ2095" i="10"/>
  <c r="AU2095" i="10"/>
  <c r="AA2095" i="10"/>
  <c r="AV2095" i="10"/>
  <c r="AA2094" i="10"/>
  <c r="AV2094" i="10"/>
  <c r="AD2088" i="10"/>
  <c r="AV2089" i="10"/>
  <c r="AA2080" i="10"/>
  <c r="AV2080" i="10"/>
  <c r="AJ2078" i="10"/>
  <c r="AU2078" i="10"/>
  <c r="AA2078" i="10"/>
  <c r="AV2078" i="10"/>
  <c r="AJ2073" i="10"/>
  <c r="AU2073" i="10"/>
  <c r="AJ2066" i="10"/>
  <c r="AU2066" i="10"/>
  <c r="AA2064" i="10"/>
  <c r="AV2064" i="10"/>
  <c r="AA2061" i="10"/>
  <c r="AV2061" i="10"/>
  <c r="AJ2060" i="10"/>
  <c r="AU2060" i="10"/>
  <c r="AA2053" i="10"/>
  <c r="AV2053" i="10"/>
  <c r="AD2045" i="10"/>
  <c r="AU2045" i="10" s="1"/>
  <c r="AV2046" i="10"/>
  <c r="AA2042" i="10"/>
  <c r="AV2042" i="10"/>
  <c r="AA2033" i="10"/>
  <c r="AV2033" i="10"/>
  <c r="AA2027" i="10"/>
  <c r="AV2027" i="10"/>
  <c r="AJ2022" i="10"/>
  <c r="AU2022" i="10"/>
  <c r="AA2021" i="10"/>
  <c r="AV2021" i="10"/>
  <c r="AJ2017" i="10"/>
  <c r="AU2017" i="10"/>
  <c r="AA2014" i="10"/>
  <c r="AV2014" i="10"/>
  <c r="AU1990" i="10"/>
  <c r="AV1990" i="10"/>
  <c r="AA1980" i="10"/>
  <c r="AV1980" i="10"/>
  <c r="AA1979" i="10"/>
  <c r="AV1979" i="10"/>
  <c r="AA1976" i="10"/>
  <c r="AV1976" i="10"/>
  <c r="AJ1969" i="10"/>
  <c r="AU1969" i="10"/>
  <c r="AA1967" i="10"/>
  <c r="AV1967" i="10"/>
  <c r="AA1964" i="10"/>
  <c r="AV1964" i="10"/>
  <c r="AJ1962" i="10"/>
  <c r="AU1962" i="10"/>
  <c r="AA1962" i="10"/>
  <c r="AV1962" i="10"/>
  <c r="AA1960" i="10"/>
  <c r="AV1960" i="10"/>
  <c r="AA1953" i="10"/>
  <c r="AV1953" i="10"/>
  <c r="AJ1951" i="10"/>
  <c r="AU1951" i="10"/>
  <c r="AA1951" i="10"/>
  <c r="AV1951" i="10"/>
  <c r="AA1940" i="10"/>
  <c r="AV1940" i="10"/>
  <c r="AA1939" i="10"/>
  <c r="AV1939" i="10"/>
  <c r="AA1936" i="10"/>
  <c r="AV1936" i="10"/>
  <c r="AJ1933" i="10"/>
  <c r="AU1933" i="10"/>
  <c r="AA1933" i="10"/>
  <c r="AV1933" i="10"/>
  <c r="AJ1931" i="10"/>
  <c r="AU1931" i="10"/>
  <c r="AJ1930" i="10"/>
  <c r="AU1930" i="10"/>
  <c r="AJ1927" i="10"/>
  <c r="AU1927" i="10"/>
  <c r="AA1921" i="10"/>
  <c r="AV1921" i="10"/>
  <c r="AA1917" i="10"/>
  <c r="AV1917" i="10"/>
  <c r="AA1916" i="10"/>
  <c r="AV1916" i="10"/>
  <c r="AJ1914" i="10"/>
  <c r="AU1914" i="10"/>
  <c r="AA1912" i="10"/>
  <c r="AV1912" i="10"/>
  <c r="AJ1911" i="10"/>
  <c r="AU1911" i="10"/>
  <c r="AA1905" i="10"/>
  <c r="AV1905" i="10"/>
  <c r="AA1903" i="10"/>
  <c r="AV1903" i="10"/>
  <c r="AJ1902" i="10"/>
  <c r="AU1902" i="10"/>
  <c r="AA1898" i="10"/>
  <c r="AV1898" i="10"/>
  <c r="AJ1893" i="10"/>
  <c r="AU1893" i="10"/>
  <c r="AA1893" i="10"/>
  <c r="AV1893" i="10"/>
  <c r="AA1888" i="10"/>
  <c r="AV1888" i="10"/>
  <c r="AJ1885" i="10"/>
  <c r="AN1885" i="10"/>
  <c r="AU1885" i="10"/>
  <c r="AS1878" i="10"/>
  <c r="AO1878" i="10" s="1"/>
  <c r="BH1879" i="10"/>
  <c r="AA1874" i="10"/>
  <c r="AV1874" i="10"/>
  <c r="AJ1872" i="10"/>
  <c r="AU1872" i="10"/>
  <c r="AA1872" i="10"/>
  <c r="AV1872" i="10"/>
  <c r="AJ1871" i="10"/>
  <c r="AU1871" i="10"/>
  <c r="AA1871" i="10"/>
  <c r="AV1871" i="10"/>
  <c r="AJ1870" i="10"/>
  <c r="AN1870" i="10"/>
  <c r="AA1870" i="10"/>
  <c r="AV1870" i="10"/>
  <c r="AJ1867" i="10"/>
  <c r="AU1867" i="10"/>
  <c r="AA1867" i="10"/>
  <c r="AV1867" i="10"/>
  <c r="AJ1865" i="10"/>
  <c r="AN1865" i="10"/>
  <c r="AJ1861" i="10"/>
  <c r="AU1861" i="10"/>
  <c r="AA1850" i="10"/>
  <c r="AV1850" i="10"/>
  <c r="AJ1849" i="10"/>
  <c r="AN1849" i="10"/>
  <c r="AA1846" i="10"/>
  <c r="AV1846" i="10"/>
  <c r="AJ1843" i="10"/>
  <c r="AU1843" i="10"/>
  <c r="AJ1842" i="10"/>
  <c r="AN1842" i="10"/>
  <c r="AA1841" i="10"/>
  <c r="AV1841" i="10"/>
  <c r="AJ1834" i="10"/>
  <c r="AU1834" i="10"/>
  <c r="AA1834" i="10"/>
  <c r="AV1834" i="10"/>
  <c r="AA1832" i="10"/>
  <c r="AV1832" i="10"/>
  <c r="AA1830" i="10"/>
  <c r="AV1830" i="10"/>
  <c r="AA1827" i="10"/>
  <c r="AV1827" i="10"/>
  <c r="AA1824" i="10"/>
  <c r="AV1824" i="10"/>
  <c r="AJ1813" i="10"/>
  <c r="AN1813" i="10"/>
  <c r="AU1810" i="10"/>
  <c r="AV1810" i="10"/>
  <c r="AA1803" i="10"/>
  <c r="AV1803" i="10"/>
  <c r="AA1801" i="10"/>
  <c r="AV1801" i="10"/>
  <c r="AA1800" i="10"/>
  <c r="AV1800" i="10"/>
  <c r="AA1792" i="10"/>
  <c r="AV1792" i="10"/>
  <c r="AA1788" i="10"/>
  <c r="AV1788" i="10"/>
  <c r="AU1784" i="10"/>
  <c r="AV1784" i="10"/>
  <c r="AJ1783" i="10"/>
  <c r="AU1783" i="10"/>
  <c r="AA1783" i="10"/>
  <c r="AV1783" i="10"/>
  <c r="AJ1778" i="10"/>
  <c r="AU1778" i="10"/>
  <c r="AN1778" i="10"/>
  <c r="AA1776" i="10"/>
  <c r="AV1776" i="10"/>
  <c r="AJ1775" i="10"/>
  <c r="AU1775" i="10"/>
  <c r="AA1773" i="10"/>
  <c r="AV1773" i="10"/>
  <c r="AA1767" i="10"/>
  <c r="AV1767" i="10"/>
  <c r="AJ1753" i="10"/>
  <c r="AU1753" i="10"/>
  <c r="AJ1751" i="10"/>
  <c r="AN1751" i="10"/>
  <c r="AJ1750" i="10"/>
  <c r="AU1750" i="10"/>
  <c r="AA1749" i="10"/>
  <c r="AV1749" i="10"/>
  <c r="AA1738" i="10"/>
  <c r="AV1738" i="10"/>
  <c r="AA1726" i="10"/>
  <c r="AV1726" i="10"/>
  <c r="AO1725" i="10"/>
  <c r="BO1725" i="10"/>
  <c r="AJ1724" i="10"/>
  <c r="AU1724" i="10"/>
  <c r="AA1724" i="10"/>
  <c r="AV1724" i="10"/>
  <c r="AA1715" i="10"/>
  <c r="AV1715" i="10"/>
  <c r="AA1711" i="10"/>
  <c r="AV1711" i="10"/>
  <c r="AJ1702" i="10"/>
  <c r="AU1702" i="10"/>
  <c r="AJ1701" i="10"/>
  <c r="AU1701" i="10"/>
  <c r="AJ1691" i="10"/>
  <c r="AU1691" i="10"/>
  <c r="AA1686" i="10"/>
  <c r="AV1686" i="10"/>
  <c r="AO1673" i="10"/>
  <c r="BO1673" i="10"/>
  <c r="AA1673" i="10"/>
  <c r="AV1673" i="10"/>
  <c r="AJ1672" i="10"/>
  <c r="AU1672" i="10"/>
  <c r="AA1672" i="10"/>
  <c r="AV1672" i="10"/>
  <c r="AJ1670" i="10"/>
  <c r="AU1670" i="10"/>
  <c r="AA1667" i="10"/>
  <c r="AV1667" i="10"/>
  <c r="AA1663" i="10"/>
  <c r="AV1663" i="10"/>
  <c r="AJ1659" i="10"/>
  <c r="AU1659" i="10"/>
  <c r="AA1659" i="10"/>
  <c r="AV1659" i="10"/>
  <c r="AJ1657" i="10"/>
  <c r="AU1657" i="10"/>
  <c r="AA1657" i="10"/>
  <c r="AV1657" i="10"/>
  <c r="AA1656" i="10"/>
  <c r="AV1656" i="10"/>
  <c r="AA1654" i="10"/>
  <c r="AV1654" i="10"/>
  <c r="AU1650" i="10"/>
  <c r="AV1650" i="10"/>
  <c r="AJ1645" i="10"/>
  <c r="AN1645" i="10"/>
  <c r="AA1640" i="10"/>
  <c r="AV1640" i="10"/>
  <c r="AA1639" i="10"/>
  <c r="AV1639" i="10"/>
  <c r="AA1637" i="10"/>
  <c r="AV1637" i="10"/>
  <c r="AJ1635" i="10"/>
  <c r="AU1635" i="10"/>
  <c r="AJ1634" i="10"/>
  <c r="AU1634" i="10"/>
  <c r="AA1634" i="10"/>
  <c r="AV1634" i="10"/>
  <c r="AJ1632" i="10"/>
  <c r="AU1632" i="10"/>
  <c r="AA1631" i="10"/>
  <c r="AV1631" i="10"/>
  <c r="AJ1630" i="10"/>
  <c r="AN1630" i="10"/>
  <c r="AA1629" i="10"/>
  <c r="AV1629" i="10"/>
  <c r="AA1627" i="10"/>
  <c r="AV1627" i="10"/>
  <c r="AJ1596" i="10"/>
  <c r="AU1596" i="10"/>
  <c r="AO1580" i="10"/>
  <c r="BO1580" i="10"/>
  <c r="AA1579" i="10"/>
  <c r="AV1579" i="10"/>
  <c r="BO1578" i="10"/>
  <c r="AO1578" i="10"/>
  <c r="AV1577" i="10"/>
  <c r="AA1577" i="10"/>
  <c r="AJ1571" i="10"/>
  <c r="AU1571" i="10"/>
  <c r="AJ1569" i="10"/>
  <c r="AU1569" i="10"/>
  <c r="AV1559" i="10"/>
  <c r="AA1559" i="10"/>
  <c r="AV1557" i="10"/>
  <c r="AA1557" i="10"/>
  <c r="AA1550" i="10"/>
  <c r="AV1550" i="10"/>
  <c r="AJ1542" i="10"/>
  <c r="AU1542" i="10"/>
  <c r="AJ1538" i="10"/>
  <c r="AN1538" i="10"/>
  <c r="AU1538" i="10"/>
  <c r="AO1529" i="10"/>
  <c r="BO1529" i="10"/>
  <c r="AA1529" i="10"/>
  <c r="AV1529" i="10"/>
  <c r="AO1526" i="10"/>
  <c r="BO1526" i="10"/>
  <c r="AA1523" i="10"/>
  <c r="AV1523" i="10"/>
  <c r="AJ1514" i="10"/>
  <c r="AU1514" i="10"/>
  <c r="AJ1510" i="10"/>
  <c r="AU1510" i="10"/>
  <c r="AA1510" i="10"/>
  <c r="AV1510" i="10"/>
  <c r="AA1509" i="10"/>
  <c r="AV1509" i="10"/>
  <c r="AA1507" i="10"/>
  <c r="AV1507" i="10"/>
  <c r="AA1506" i="10"/>
  <c r="AV1506" i="10"/>
  <c r="AA1501" i="10"/>
  <c r="AV1501" i="10"/>
  <c r="AJ1494" i="10"/>
  <c r="AU1494" i="10"/>
  <c r="AJ1490" i="10"/>
  <c r="AU1490" i="10"/>
  <c r="AJ1484" i="10"/>
  <c r="AU1484" i="10"/>
  <c r="AJ1478" i="10"/>
  <c r="AU1478" i="10"/>
  <c r="AJ1477" i="10"/>
  <c r="AU1477" i="10"/>
  <c r="AJ1472" i="10"/>
  <c r="AU1472" i="10"/>
  <c r="AA1466" i="10"/>
  <c r="AV1466" i="10"/>
  <c r="AA1456" i="10"/>
  <c r="AV1456" i="10"/>
  <c r="AA1447" i="10"/>
  <c r="AV1447" i="10"/>
  <c r="AA1445" i="10"/>
  <c r="AV1445" i="10"/>
  <c r="AA1443" i="10"/>
  <c r="AV1443" i="10"/>
  <c r="AU1440" i="10"/>
  <c r="AV1440" i="10"/>
  <c r="AJ1436" i="10"/>
  <c r="AU1436" i="10"/>
  <c r="AA1427" i="10"/>
  <c r="AV1427" i="10"/>
  <c r="AJ1426" i="10"/>
  <c r="AU1426" i="10"/>
  <c r="AJ1423" i="10"/>
  <c r="AU1423" i="10"/>
  <c r="AA1421" i="10"/>
  <c r="AV1421" i="10"/>
  <c r="AJ1417" i="10"/>
  <c r="AU1417" i="10"/>
  <c r="AA1414" i="10"/>
  <c r="AV1414" i="10"/>
  <c r="AA1405" i="10"/>
  <c r="AV1405" i="10"/>
  <c r="AJ1393" i="10"/>
  <c r="AU1393" i="10"/>
  <c r="AJ1390" i="10"/>
  <c r="AU1390" i="10"/>
  <c r="AJ1385" i="10"/>
  <c r="AU1385" i="10"/>
  <c r="AA1385" i="10"/>
  <c r="AV1385" i="10"/>
  <c r="AJ1376" i="10"/>
  <c r="AN1376" i="10"/>
  <c r="AJ1375" i="10"/>
  <c r="AU1375" i="10"/>
  <c r="AJ1374" i="10"/>
  <c r="AU1374" i="10"/>
  <c r="AA1373" i="10"/>
  <c r="AV1373" i="10"/>
  <c r="AO1362" i="10"/>
  <c r="BH1362" i="10"/>
  <c r="BM1362" i="10" s="1"/>
  <c r="BO1362" i="10" s="1"/>
  <c r="AJ1362" i="10"/>
  <c r="AU1362" i="10"/>
  <c r="AJ1361" i="10"/>
  <c r="AU1361" i="10"/>
  <c r="AJ1360" i="10"/>
  <c r="AN1360" i="10"/>
  <c r="AA1359" i="10"/>
  <c r="AV1359" i="10"/>
  <c r="AJ1354" i="10"/>
  <c r="AU1354" i="10"/>
  <c r="AO1343" i="10"/>
  <c r="BH1343" i="10"/>
  <c r="AA1339" i="10"/>
  <c r="AV1339" i="10"/>
  <c r="AA1335" i="10"/>
  <c r="AV1335" i="10"/>
  <c r="AJ1331" i="10"/>
  <c r="AU1331" i="10"/>
  <c r="AA1315" i="10"/>
  <c r="AV1315" i="10"/>
  <c r="AJ1313" i="10"/>
  <c r="AU1313" i="10"/>
  <c r="AJ1312" i="10"/>
  <c r="AU1312" i="10"/>
  <c r="AA1309" i="10"/>
  <c r="AV1309" i="10"/>
  <c r="AJ1302" i="10"/>
  <c r="AU1302" i="10"/>
  <c r="AA1288" i="10"/>
  <c r="AV1288" i="10"/>
  <c r="AA1285" i="10"/>
  <c r="AV1285" i="10"/>
  <c r="AV1284" i="10"/>
  <c r="AA1284" i="10"/>
  <c r="AV1278" i="10"/>
  <c r="AA1278" i="10"/>
  <c r="AA1277" i="10"/>
  <c r="AV1277" i="10"/>
  <c r="AJ1276" i="10"/>
  <c r="AU1276" i="10"/>
  <c r="AV1275" i="10"/>
  <c r="AA1275" i="10"/>
  <c r="AA1268" i="10"/>
  <c r="AV1268" i="10"/>
  <c r="K1265" i="10"/>
  <c r="L1265" i="10" s="1"/>
  <c r="L1266" i="10"/>
  <c r="AJ1261" i="10"/>
  <c r="AU1261" i="10"/>
  <c r="AJ1252" i="10"/>
  <c r="AU1252" i="10"/>
  <c r="AJ1249" i="10"/>
  <c r="AU1249" i="10"/>
  <c r="AA1244" i="10"/>
  <c r="AV1244" i="10"/>
  <c r="AO1241" i="10"/>
  <c r="BO1241" i="10"/>
  <c r="AA1231" i="10"/>
  <c r="AV1231" i="10"/>
  <c r="AN1229" i="10"/>
  <c r="AU1229" i="10"/>
  <c r="AA1229" i="10"/>
  <c r="AV1229" i="10"/>
  <c r="AA1225" i="10"/>
  <c r="AV1225" i="10"/>
  <c r="AJ1217" i="10"/>
  <c r="AU1217" i="10"/>
  <c r="AJ1203" i="10"/>
  <c r="AU1203" i="10"/>
  <c r="AA1203" i="10"/>
  <c r="AV1203" i="10"/>
  <c r="AJ1201" i="10"/>
  <c r="AU1201" i="10"/>
  <c r="AA1201" i="10"/>
  <c r="AV1201" i="10"/>
  <c r="AU1198" i="10"/>
  <c r="AV1198" i="10"/>
  <c r="AA1197" i="10"/>
  <c r="AV1197" i="10"/>
  <c r="AJ1190" i="10"/>
  <c r="AN1190" i="10"/>
  <c r="AA1190" i="10"/>
  <c r="AV1190" i="10"/>
  <c r="AA1184" i="10"/>
  <c r="AV1184" i="10"/>
  <c r="AA1179" i="10"/>
  <c r="AV1179" i="10"/>
  <c r="AA1178" i="10"/>
  <c r="AV1178" i="10"/>
  <c r="AJ1172" i="10"/>
  <c r="AU1172" i="10"/>
  <c r="AJ1171" i="10"/>
  <c r="AU1171" i="10"/>
  <c r="AJ1167" i="10"/>
  <c r="AU1167" i="10"/>
  <c r="AA1165" i="10"/>
  <c r="AV1165" i="10"/>
  <c r="AA1162" i="10"/>
  <c r="AV1162" i="10"/>
  <c r="AJ1156" i="10"/>
  <c r="AU1156" i="10"/>
  <c r="AA1153" i="10"/>
  <c r="AV1153" i="10"/>
  <c r="AJ1152" i="10"/>
  <c r="AU1152" i="10"/>
  <c r="AJ1147" i="10"/>
  <c r="AU1147" i="10"/>
  <c r="AJ1138" i="10"/>
  <c r="AU1138" i="10"/>
  <c r="AJ1137" i="10"/>
  <c r="AN1137" i="10"/>
  <c r="AO1132" i="10"/>
  <c r="BO1132" i="10"/>
  <c r="AA1132" i="10"/>
  <c r="AV1132" i="10"/>
  <c r="AA1131" i="10"/>
  <c r="AV1131" i="10"/>
  <c r="AA1129" i="10"/>
  <c r="AV1129" i="10"/>
  <c r="AO1125" i="10"/>
  <c r="BO1125" i="10"/>
  <c r="AA1122" i="10"/>
  <c r="AV1122" i="10"/>
  <c r="AJ1120" i="10"/>
  <c r="AU1120" i="10"/>
  <c r="AJ1119" i="10"/>
  <c r="AU1119" i="10"/>
  <c r="AJ1115" i="10"/>
  <c r="AU1115" i="10"/>
  <c r="AA1113" i="10"/>
  <c r="AV1113" i="10"/>
  <c r="AA1105" i="10"/>
  <c r="AV1105" i="10"/>
  <c r="AA1104" i="10"/>
  <c r="AV1104" i="10"/>
  <c r="AJ1103" i="10"/>
  <c r="AU1103" i="10"/>
  <c r="AJ1096" i="10"/>
  <c r="AU1096" i="10"/>
  <c r="AJ1087" i="10"/>
  <c r="AU1087" i="10"/>
  <c r="AA1082" i="10"/>
  <c r="AV1082" i="10"/>
  <c r="AA1080" i="10"/>
  <c r="AV1080" i="10"/>
  <c r="AO1070" i="10"/>
  <c r="BO1070" i="10"/>
  <c r="AJ1066" i="10"/>
  <c r="AU1066" i="10"/>
  <c r="AJ1063" i="10"/>
  <c r="AU1063" i="10"/>
  <c r="AA1061" i="10"/>
  <c r="AV1061" i="10"/>
  <c r="AJ1057" i="10"/>
  <c r="AU1057" i="10"/>
  <c r="AA1044" i="10"/>
  <c r="AV1044" i="10"/>
  <c r="AA1033" i="10"/>
  <c r="AV1033" i="10"/>
  <c r="AJ1027" i="10"/>
  <c r="AU1027" i="10"/>
  <c r="AD1026" i="10"/>
  <c r="AV1027" i="10"/>
  <c r="AJ1016" i="10"/>
  <c r="AU1016" i="10"/>
  <c r="AA1012" i="10"/>
  <c r="AV1012" i="10"/>
  <c r="AA1006" i="10"/>
  <c r="AV1006" i="10"/>
  <c r="AJ1005" i="10"/>
  <c r="AU1005" i="10"/>
  <c r="AA1005" i="10"/>
  <c r="AV1005" i="10"/>
  <c r="AJ991" i="10"/>
  <c r="AU991" i="10"/>
  <c r="AJ987" i="10"/>
  <c r="AU987" i="10"/>
  <c r="AA987" i="10"/>
  <c r="AV987" i="10"/>
  <c r="AA981" i="10"/>
  <c r="AV981" i="10"/>
  <c r="AA975" i="10"/>
  <c r="AV975" i="10"/>
  <c r="AA971" i="10"/>
  <c r="AV971" i="10"/>
  <c r="AJ961" i="10"/>
  <c r="AU961" i="10"/>
  <c r="AA958" i="10"/>
  <c r="AV958" i="10"/>
  <c r="AA954" i="10"/>
  <c r="AV954" i="10"/>
  <c r="AJ952" i="10"/>
  <c r="AU952" i="10"/>
  <c r="AJ944" i="10"/>
  <c r="AU944" i="10"/>
  <c r="AJ942" i="10"/>
  <c r="AU942" i="10"/>
  <c r="AA937" i="10"/>
  <c r="AV937" i="10"/>
  <c r="AN926" i="10"/>
  <c r="AU926" i="10"/>
  <c r="AN913" i="10"/>
  <c r="AU913" i="10"/>
  <c r="AA907" i="10"/>
  <c r="AV907" i="10"/>
  <c r="AA898" i="10"/>
  <c r="AV898" i="10"/>
  <c r="AA892" i="10"/>
  <c r="AV892" i="10"/>
  <c r="AJ881" i="10"/>
  <c r="AN881" i="10"/>
  <c r="AA870" i="10"/>
  <c r="AV870" i="10"/>
  <c r="AO865" i="10"/>
  <c r="BO865" i="10"/>
  <c r="AJ863" i="10"/>
  <c r="AN863" i="10"/>
  <c r="AJ858" i="10"/>
  <c r="AU858" i="10"/>
  <c r="AA858" i="10"/>
  <c r="AV858" i="10"/>
  <c r="AJ838" i="10"/>
  <c r="AU838" i="10"/>
  <c r="AA817" i="10"/>
  <c r="AV817" i="10"/>
  <c r="AA815" i="10"/>
  <c r="AV815" i="10"/>
  <c r="AA808" i="10"/>
  <c r="AV808" i="10"/>
  <c r="AA806" i="10"/>
  <c r="AV806" i="10"/>
  <c r="AA804" i="10"/>
  <c r="AV804" i="10"/>
  <c r="AA797" i="10"/>
  <c r="AV797" i="10"/>
  <c r="BO794" i="10"/>
  <c r="AO794" i="10"/>
  <c r="AU792" i="10"/>
  <c r="AJ792" i="10"/>
  <c r="AA791" i="10"/>
  <c r="AV791" i="10"/>
  <c r="AV789" i="10"/>
  <c r="AA789" i="10"/>
  <c r="AA785" i="10"/>
  <c r="AV785" i="10"/>
  <c r="AJ783" i="10"/>
  <c r="AU783" i="10"/>
  <c r="AO781" i="10"/>
  <c r="BH781" i="10"/>
  <c r="BM781" i="10" s="1"/>
  <c r="BO781" i="10" s="1"/>
  <c r="AN781" i="10"/>
  <c r="AJ781" i="10"/>
  <c r="AJ779" i="10"/>
  <c r="AU779" i="10"/>
  <c r="AA778" i="10"/>
  <c r="AV778" i="10"/>
  <c r="AU777" i="10"/>
  <c r="AJ777" i="10"/>
  <c r="BH774" i="10"/>
  <c r="BM774" i="10" s="1"/>
  <c r="BO774" i="10" s="1"/>
  <c r="AO774" i="10"/>
  <c r="AA773" i="10"/>
  <c r="AV773" i="10"/>
  <c r="AJ772" i="10"/>
  <c r="AU772" i="10"/>
  <c r="AA768" i="10"/>
  <c r="AV768" i="10"/>
  <c r="AV762" i="10"/>
  <c r="AA762" i="10"/>
  <c r="AJ753" i="10"/>
  <c r="AU753" i="10"/>
  <c r="AA753" i="10"/>
  <c r="AV753" i="10"/>
  <c r="AJ748" i="10"/>
  <c r="AU748" i="10"/>
  <c r="AJ747" i="10"/>
  <c r="AU747" i="10"/>
  <c r="AJ744" i="10"/>
  <c r="AU744" i="10"/>
  <c r="AJ738" i="10"/>
  <c r="AU738" i="10"/>
  <c r="AU732" i="10"/>
  <c r="AV732" i="10"/>
  <c r="AJ707" i="10"/>
  <c r="AU707" i="10"/>
  <c r="AO702" i="10"/>
  <c r="BH702" i="10"/>
  <c r="BM702" i="10" s="1"/>
  <c r="AA701" i="10"/>
  <c r="AV701" i="10"/>
  <c r="AA700" i="10"/>
  <c r="AV700" i="10"/>
  <c r="AA694" i="10"/>
  <c r="AV694" i="10"/>
  <c r="AJ684" i="10"/>
  <c r="AN684" i="10"/>
  <c r="AA678" i="10"/>
  <c r="AV678" i="10"/>
  <c r="AJ673" i="10"/>
  <c r="AN673" i="10"/>
  <c r="AU663" i="10"/>
  <c r="AV663" i="10"/>
  <c r="AA661" i="10"/>
  <c r="AV661" i="10"/>
  <c r="AA653" i="10"/>
  <c r="AV653" i="10"/>
  <c r="AJ636" i="10"/>
  <c r="AU636" i="10"/>
  <c r="AA631" i="10"/>
  <c r="AV631" i="10"/>
  <c r="AA625" i="10"/>
  <c r="AV625" i="10"/>
  <c r="AO614" i="10"/>
  <c r="BO614" i="10"/>
  <c r="AA600" i="10"/>
  <c r="AV600" i="10"/>
  <c r="AA598" i="10"/>
  <c r="AV598" i="10"/>
  <c r="AA595" i="10"/>
  <c r="AV595" i="10"/>
  <c r="AA579" i="10"/>
  <c r="AV579" i="10"/>
  <c r="AA576" i="10"/>
  <c r="AV576" i="10"/>
  <c r="AA569" i="10"/>
  <c r="AV569" i="10"/>
  <c r="BO562" i="10"/>
  <c r="AO562" i="10"/>
  <c r="AV559" i="10"/>
  <c r="AA559" i="10"/>
  <c r="AJ556" i="10"/>
  <c r="AU556" i="10"/>
  <c r="AA555" i="10"/>
  <c r="AV555" i="10"/>
  <c r="AA554" i="10"/>
  <c r="AV554" i="10"/>
  <c r="AJ550" i="10"/>
  <c r="AU550" i="10"/>
  <c r="AJ549" i="10"/>
  <c r="AU549" i="10"/>
  <c r="AV546" i="10"/>
  <c r="AA546" i="10"/>
  <c r="AA545" i="10"/>
  <c r="AV545" i="10"/>
  <c r="BO544" i="10"/>
  <c r="AO544" i="10"/>
  <c r="AV542" i="10"/>
  <c r="AA542" i="10"/>
  <c r="AV539" i="10"/>
  <c r="AA539" i="10"/>
  <c r="AV537" i="10"/>
  <c r="AA537" i="10"/>
  <c r="AA536" i="10"/>
  <c r="AV536" i="10"/>
  <c r="AA534" i="10"/>
  <c r="AV534" i="10"/>
  <c r="AM529" i="10"/>
  <c r="AJ529" i="10" s="1"/>
  <c r="AJ530" i="10"/>
  <c r="AJ527" i="10"/>
  <c r="AU527" i="10"/>
  <c r="AJ518" i="10"/>
  <c r="AU518" i="10"/>
  <c r="AJ512" i="10"/>
  <c r="AU512" i="10"/>
  <c r="AV512" i="10"/>
  <c r="AA512" i="10"/>
  <c r="AA509" i="10"/>
  <c r="AV509" i="10"/>
  <c r="AA507" i="10"/>
  <c r="AV507" i="10"/>
  <c r="AA485" i="10"/>
  <c r="AV485" i="10"/>
  <c r="AJ484" i="10"/>
  <c r="AU484" i="10"/>
  <c r="AJ480" i="10"/>
  <c r="AU480" i="10"/>
  <c r="AA480" i="10"/>
  <c r="AV480" i="10"/>
  <c r="AA475" i="10"/>
  <c r="AV475" i="10"/>
  <c r="AA473" i="10"/>
  <c r="AV473" i="10"/>
  <c r="AA463" i="10"/>
  <c r="AV463" i="10"/>
  <c r="AA449" i="10"/>
  <c r="AV449" i="10"/>
  <c r="AA447" i="10"/>
  <c r="AV447" i="10"/>
  <c r="AA445" i="10"/>
  <c r="AV445" i="10"/>
  <c r="AA435" i="10"/>
  <c r="AV435" i="10"/>
  <c r="AJ432" i="10"/>
  <c r="AU432" i="10"/>
  <c r="AJ423" i="10"/>
  <c r="AU423" i="10"/>
  <c r="AJ422" i="10"/>
  <c r="AU422" i="10"/>
  <c r="AN422" i="10"/>
  <c r="AA422" i="10"/>
  <c r="AV422" i="10"/>
  <c r="AA413" i="10"/>
  <c r="AV413" i="10"/>
  <c r="AJ406" i="10"/>
  <c r="AU406" i="10"/>
  <c r="AO404" i="10"/>
  <c r="BH404" i="10"/>
  <c r="BM404" i="10" s="1"/>
  <c r="BO404" i="10" s="1"/>
  <c r="AA403" i="10"/>
  <c r="AV403" i="10"/>
  <c r="AA395" i="10"/>
  <c r="AV395" i="10"/>
  <c r="AA386" i="10"/>
  <c r="AV386" i="10"/>
  <c r="AA383" i="10"/>
  <c r="AV383" i="10"/>
  <c r="AA382" i="10"/>
  <c r="AV382" i="10"/>
  <c r="AA381" i="10"/>
  <c r="AV381" i="10"/>
  <c r="AA380" i="10"/>
  <c r="AV380" i="10"/>
  <c r="AJ378" i="10"/>
  <c r="AN378" i="10"/>
  <c r="AA378" i="10"/>
  <c r="AV378" i="10"/>
  <c r="AJ373" i="10"/>
  <c r="AU373" i="10"/>
  <c r="AA373" i="10"/>
  <c r="AV373" i="10"/>
  <c r="AA369" i="10"/>
  <c r="AV369" i="10"/>
  <c r="AN364" i="10"/>
  <c r="AU364" i="10"/>
  <c r="AA364" i="10"/>
  <c r="AV364" i="10"/>
  <c r="AN358" i="10"/>
  <c r="AU358" i="10"/>
  <c r="AA358" i="10"/>
  <c r="AV358" i="10"/>
  <c r="AA354" i="10"/>
  <c r="AV354" i="10"/>
  <c r="AA352" i="10"/>
  <c r="AV352" i="10"/>
  <c r="AA350" i="10"/>
  <c r="AV350" i="10"/>
  <c r="AA349" i="10"/>
  <c r="AV349" i="10"/>
  <c r="AJ341" i="10"/>
  <c r="AU341" i="10"/>
  <c r="AA341" i="10"/>
  <c r="AV341" i="10"/>
  <c r="AA340" i="10"/>
  <c r="AV340" i="10"/>
  <c r="AA339" i="10"/>
  <c r="AV339" i="10"/>
  <c r="AA337" i="10"/>
  <c r="AV337" i="10"/>
  <c r="AJ335" i="10"/>
  <c r="AU335" i="10"/>
  <c r="AA335" i="10"/>
  <c r="AV335" i="10"/>
  <c r="AA329" i="10"/>
  <c r="AV329" i="10"/>
  <c r="AA324" i="10"/>
  <c r="AV324" i="10"/>
  <c r="AA320" i="10"/>
  <c r="AV320" i="10"/>
  <c r="AA313" i="10"/>
  <c r="AV313" i="10"/>
  <c r="AJ305" i="10"/>
  <c r="AN305" i="10"/>
  <c r="AA305" i="10"/>
  <c r="AV305" i="10"/>
  <c r="AJ291" i="10"/>
  <c r="AU291" i="10"/>
  <c r="AA290" i="10"/>
  <c r="AV290" i="10"/>
  <c r="AA285" i="10"/>
  <c r="AV285" i="10"/>
  <c r="J273" i="10"/>
  <c r="L273" i="10" s="1"/>
  <c r="L274" i="10"/>
  <c r="AV262" i="10"/>
  <c r="AA262" i="10"/>
  <c r="AA259" i="10"/>
  <c r="AV259" i="10"/>
  <c r="AA252" i="10"/>
  <c r="AV252" i="10"/>
  <c r="AS234" i="10"/>
  <c r="BH235" i="10"/>
  <c r="AU227" i="10"/>
  <c r="AV227" i="10"/>
  <c r="AA212" i="10"/>
  <c r="AV212" i="10"/>
  <c r="AJ204" i="10"/>
  <c r="AN204" i="10"/>
  <c r="AA201" i="10"/>
  <c r="AV201" i="10"/>
  <c r="AJ190" i="10"/>
  <c r="AU190" i="10"/>
  <c r="AA184" i="10"/>
  <c r="AV184" i="10"/>
  <c r="AA178" i="10"/>
  <c r="AV178" i="10"/>
  <c r="AA176" i="10"/>
  <c r="AV176" i="10"/>
  <c r="AJ165" i="10"/>
  <c r="AU165" i="10"/>
  <c r="AA162" i="10"/>
  <c r="AV162" i="10"/>
  <c r="AA160" i="10"/>
  <c r="AV160" i="10"/>
  <c r="AA158" i="10"/>
  <c r="AV158" i="10"/>
  <c r="AJ155" i="10"/>
  <c r="AU155" i="10"/>
  <c r="AA154" i="10"/>
  <c r="AV154" i="10"/>
  <c r="AJ147" i="10"/>
  <c r="AU147" i="10"/>
  <c r="AA142" i="10"/>
  <c r="AV142" i="10"/>
  <c r="AJ141" i="10"/>
  <c r="AU141" i="10"/>
  <c r="AA141" i="10"/>
  <c r="AV141" i="10"/>
  <c r="AA137" i="10"/>
  <c r="AV137" i="10"/>
  <c r="AO132" i="10"/>
  <c r="BH132" i="10"/>
  <c r="BM132" i="10" s="1"/>
  <c r="AJ131" i="10"/>
  <c r="AU131" i="10"/>
  <c r="AA131" i="10"/>
  <c r="AV131" i="10"/>
  <c r="AJ129" i="10"/>
  <c r="AU129" i="10"/>
  <c r="AA129" i="10"/>
  <c r="AV129" i="10"/>
  <c r="AJ127" i="10"/>
  <c r="AU127" i="10"/>
  <c r="AJ124" i="10"/>
  <c r="AU124" i="10"/>
  <c r="AA122" i="10"/>
  <c r="AV122" i="10"/>
  <c r="AA106" i="10"/>
  <c r="AV106" i="10"/>
  <c r="AA105" i="10"/>
  <c r="AV105" i="10"/>
  <c r="AA100" i="10"/>
  <c r="AV100" i="10"/>
  <c r="AA98" i="10"/>
  <c r="AV98" i="10"/>
  <c r="AU95" i="10"/>
  <c r="AV95" i="10"/>
  <c r="AA92" i="10"/>
  <c r="AV92" i="10"/>
  <c r="AJ90" i="10"/>
  <c r="AU90" i="10"/>
  <c r="AA90" i="10"/>
  <c r="AV90" i="10"/>
  <c r="AA87" i="10"/>
  <c r="AV87" i="10"/>
  <c r="AA84" i="10"/>
  <c r="AV84" i="10"/>
  <c r="AA79" i="10"/>
  <c r="AV79" i="10"/>
  <c r="AM63" i="10"/>
  <c r="AJ64" i="10"/>
  <c r="BO62" i="10"/>
  <c r="AO62" i="10"/>
  <c r="AU61" i="10"/>
  <c r="AJ61" i="10"/>
  <c r="AA60" i="10"/>
  <c r="AV60" i="10"/>
  <c r="AA58" i="10"/>
  <c r="AV58" i="10"/>
  <c r="AA56" i="10"/>
  <c r="AV56" i="10"/>
  <c r="AV52" i="10"/>
  <c r="AA52" i="10"/>
  <c r="AA51" i="10"/>
  <c r="AV51" i="10"/>
  <c r="AU50" i="10"/>
  <c r="AJ50" i="10"/>
  <c r="AU48" i="10"/>
  <c r="AJ48" i="10"/>
  <c r="AV47" i="10"/>
  <c r="AA47" i="10"/>
  <c r="AJ46" i="10"/>
  <c r="AU46" i="10"/>
  <c r="AA46" i="10"/>
  <c r="AV46" i="10"/>
  <c r="AV35" i="10"/>
  <c r="AA35" i="10"/>
  <c r="AJ32" i="10"/>
  <c r="AU32" i="10"/>
  <c r="AN32" i="10"/>
  <c r="BO31" i="10"/>
  <c r="AO31" i="10"/>
  <c r="AA31" i="10"/>
  <c r="AV31" i="10"/>
  <c r="AV30" i="10"/>
  <c r="AA30" i="10"/>
  <c r="AV25" i="10"/>
  <c r="AA25" i="10"/>
  <c r="AN24" i="10"/>
  <c r="AO24" i="10"/>
  <c r="AV24" i="10"/>
  <c r="AA24" i="10"/>
  <c r="AA16" i="10"/>
  <c r="AV16" i="10"/>
  <c r="AN15" i="10"/>
  <c r="AJ15" i="10"/>
  <c r="AU15" i="10"/>
  <c r="BH10" i="10"/>
  <c r="BM10" i="10" s="1"/>
  <c r="AO10" i="10"/>
  <c r="BO8" i="10"/>
  <c r="AO8" i="10"/>
  <c r="AJ8" i="10"/>
  <c r="AU8" i="10"/>
  <c r="AV13" i="10"/>
  <c r="AA13" i="10"/>
  <c r="K68" i="10"/>
  <c r="AV109" i="10"/>
  <c r="AA109" i="10"/>
  <c r="V180" i="10"/>
  <c r="AU26" i="10"/>
  <c r="AU53" i="10"/>
  <c r="AN64" i="10"/>
  <c r="AZ76" i="10"/>
  <c r="AA95" i="10"/>
  <c r="AV103" i="10"/>
  <c r="AU107" i="10"/>
  <c r="AU108" i="10"/>
  <c r="AV116" i="10"/>
  <c r="AV128" i="10"/>
  <c r="AU133" i="10"/>
  <c r="AA183" i="10"/>
  <c r="AU184" i="10"/>
  <c r="AJ188" i="10"/>
  <c r="AD189" i="10"/>
  <c r="AU195" i="10"/>
  <c r="AA203" i="10"/>
  <c r="AR205" i="10"/>
  <c r="AU218" i="10"/>
  <c r="Q228" i="10"/>
  <c r="AV237" i="10"/>
  <c r="K242" i="10"/>
  <c r="J250" i="10"/>
  <c r="L250" i="10" s="1"/>
  <c r="AN252" i="10"/>
  <c r="AN309" i="10"/>
  <c r="AO309" i="10"/>
  <c r="AV315" i="10"/>
  <c r="AA315" i="10"/>
  <c r="AU334" i="10"/>
  <c r="AA334" i="10"/>
  <c r="AJ399" i="10"/>
  <c r="AM398" i="10"/>
  <c r="AU417" i="10"/>
  <c r="AA417" i="10"/>
  <c r="AV417" i="10"/>
  <c r="AN43" i="10"/>
  <c r="AU546" i="10"/>
  <c r="AJ546" i="10"/>
  <c r="AJ649" i="10"/>
  <c r="AU649" i="10"/>
  <c r="AA8" i="10"/>
  <c r="AA10" i="10"/>
  <c r="AA15" i="10"/>
  <c r="AU47" i="10"/>
  <c r="AO53" i="10"/>
  <c r="AD55" i="10"/>
  <c r="L78" i="10"/>
  <c r="AV102" i="10"/>
  <c r="AJ106" i="10"/>
  <c r="AJ121" i="10"/>
  <c r="AO133" i="10"/>
  <c r="AU138" i="10"/>
  <c r="AA149" i="10"/>
  <c r="AV152" i="10"/>
  <c r="AA157" i="10"/>
  <c r="BH212" i="10"/>
  <c r="J228" i="10"/>
  <c r="L228" i="10" s="1"/>
  <c r="AR233" i="10"/>
  <c r="AN243" i="10"/>
  <c r="AU244" i="10"/>
  <c r="AN290" i="10"/>
  <c r="AV309" i="10"/>
  <c r="AJ427" i="10"/>
  <c r="AU427" i="10"/>
  <c r="AJ444" i="10"/>
  <c r="AU444" i="10"/>
  <c r="BH492" i="10"/>
  <c r="BM492" i="10" s="1"/>
  <c r="BO492" i="10" s="1"/>
  <c r="AO492" i="10"/>
  <c r="AA688" i="10"/>
  <c r="AV688" i="10"/>
  <c r="AU17" i="10"/>
  <c r="AV86" i="10"/>
  <c r="AD113" i="10"/>
  <c r="AV113" i="10" s="1"/>
  <c r="BH128" i="10"/>
  <c r="BM128" i="10" s="1"/>
  <c r="BO128" i="10" s="1"/>
  <c r="AJ142" i="10"/>
  <c r="AD240" i="10"/>
  <c r="BH253" i="10"/>
  <c r="BM253" i="10" s="1"/>
  <c r="K280" i="10"/>
  <c r="K279" i="10"/>
  <c r="AJ569" i="10"/>
  <c r="AU569" i="10"/>
  <c r="AV22" i="10"/>
  <c r="AN35" i="10"/>
  <c r="AV42" i="10"/>
  <c r="BH43" i="10"/>
  <c r="BM43" i="10" s="1"/>
  <c r="BO43" i="10" s="1"/>
  <c r="AA45" i="10"/>
  <c r="AV53" i="10"/>
  <c r="AZ54" i="10"/>
  <c r="AA61" i="10"/>
  <c r="AS63" i="10"/>
  <c r="BH64" i="10"/>
  <c r="AJ79" i="10"/>
  <c r="AV85" i="10"/>
  <c r="AV96" i="10"/>
  <c r="AA99" i="10"/>
  <c r="AJ105" i="10"/>
  <c r="AV107" i="10"/>
  <c r="AV115" i="10"/>
  <c r="AV133" i="10"/>
  <c r="AU137" i="10"/>
  <c r="AA140" i="10"/>
  <c r="J119" i="10"/>
  <c r="AJ154" i="10"/>
  <c r="AJ157" i="10"/>
  <c r="AN167" i="10"/>
  <c r="AA170" i="10"/>
  <c r="AA179" i="10"/>
  <c r="AJ182" i="10"/>
  <c r="L185" i="10"/>
  <c r="AA191" i="10"/>
  <c r="AA197" i="10"/>
  <c r="AJ202" i="10"/>
  <c r="L229" i="10"/>
  <c r="AA230" i="10"/>
  <c r="AZ228" i="10"/>
  <c r="AU235" i="10"/>
  <c r="AA239" i="10"/>
  <c r="AU241" i="10"/>
  <c r="AR242" i="10"/>
  <c r="AJ272" i="10"/>
  <c r="AD274" i="10"/>
  <c r="AV275" i="10"/>
  <c r="AA284" i="10"/>
  <c r="AV284" i="10"/>
  <c r="AA296" i="10"/>
  <c r="AU297" i="10"/>
  <c r="AV321" i="10"/>
  <c r="AA321" i="10"/>
  <c r="L396" i="10"/>
  <c r="L415" i="10"/>
  <c r="AA520" i="10"/>
  <c r="AV520" i="10"/>
  <c r="AJ621" i="10"/>
  <c r="L5" i="10"/>
  <c r="L240" i="10"/>
  <c r="AV477" i="10"/>
  <c r="AA477" i="10"/>
  <c r="AJ7" i="10"/>
  <c r="AN8" i="10"/>
  <c r="AV17" i="10"/>
  <c r="AO38" i="10"/>
  <c r="AA40" i="10"/>
  <c r="L74" i="10"/>
  <c r="AJ75" i="10"/>
  <c r="AR76" i="10"/>
  <c r="AA88" i="10"/>
  <c r="AJ89" i="10"/>
  <c r="AA93" i="10"/>
  <c r="AJ94" i="10"/>
  <c r="AA135" i="10"/>
  <c r="AJ136" i="10"/>
  <c r="AJ156" i="10"/>
  <c r="AJ162" i="10"/>
  <c r="AO167" i="10"/>
  <c r="AO171" i="10"/>
  <c r="AJ186" i="10"/>
  <c r="AD187" i="10"/>
  <c r="AU188" i="10"/>
  <c r="AU204" i="10"/>
  <c r="L215" i="10"/>
  <c r="AZ233" i="10"/>
  <c r="AV241" i="10"/>
  <c r="L245" i="10"/>
  <c r="AA246" i="10"/>
  <c r="AR250" i="10"/>
  <c r="AA265" i="10"/>
  <c r="AJ284" i="10"/>
  <c r="AU311" i="10"/>
  <c r="AJ311" i="10"/>
  <c r="AV334" i="10"/>
  <c r="AA426" i="10"/>
  <c r="AV426" i="10"/>
  <c r="BH462" i="10"/>
  <c r="BM462" i="10" s="1"/>
  <c r="BO462" i="10" s="1"/>
  <c r="AO462" i="10"/>
  <c r="AA524" i="10"/>
  <c r="AV524" i="10"/>
  <c r="AU524" i="10"/>
  <c r="AJ683" i="10"/>
  <c r="AM681" i="10"/>
  <c r="AJ681" i="10" s="1"/>
  <c r="AU683" i="10"/>
  <c r="AV446" i="10"/>
  <c r="AA446" i="10"/>
  <c r="AJ553" i="10"/>
  <c r="AU553" i="10"/>
  <c r="AA573" i="10"/>
  <c r="AV573" i="10"/>
  <c r="BO428" i="10"/>
  <c r="AO428" i="10"/>
  <c r="AU24" i="10"/>
  <c r="V233" i="10"/>
  <c r="AA300" i="10"/>
  <c r="AV300" i="10"/>
  <c r="AA327" i="10"/>
  <c r="AV327" i="10"/>
  <c r="AU333" i="10"/>
  <c r="AJ333" i="10"/>
  <c r="AV360" i="10"/>
  <c r="AA360" i="10"/>
  <c r="AV610" i="10"/>
  <c r="AA610" i="10"/>
  <c r="AA647" i="10"/>
  <c r="AV647" i="10"/>
  <c r="AJ693" i="10"/>
  <c r="AU693" i="10"/>
  <c r="AA737" i="10"/>
  <c r="AV737" i="10"/>
  <c r="AU737" i="10"/>
  <c r="AU755" i="10"/>
  <c r="AJ755" i="10"/>
  <c r="AR28" i="10"/>
  <c r="AJ60" i="10"/>
  <c r="AU79" i="10"/>
  <c r="AJ98" i="10"/>
  <c r="AN99" i="10"/>
  <c r="K112" i="10"/>
  <c r="AU149" i="10"/>
  <c r="AV155" i="10"/>
  <c r="AN166" i="10"/>
  <c r="AA173" i="10"/>
  <c r="AU174" i="10"/>
  <c r="AJ178" i="10"/>
  <c r="AU182" i="10"/>
  <c r="AA190" i="10"/>
  <c r="AA200" i="10"/>
  <c r="AO220" i="10"/>
  <c r="V228" i="10"/>
  <c r="AM234" i="10"/>
  <c r="J233" i="10"/>
  <c r="AD238" i="10"/>
  <c r="AU249" i="10"/>
  <c r="BA262" i="10"/>
  <c r="AD281" i="10"/>
  <c r="AU314" i="10"/>
  <c r="AJ314" i="10"/>
  <c r="AA568" i="10"/>
  <c r="AV568" i="10"/>
  <c r="AU568" i="10"/>
  <c r="AV590" i="10"/>
  <c r="AA590" i="10"/>
  <c r="AJ752" i="10"/>
  <c r="AU752" i="10"/>
  <c r="J28" i="10"/>
  <c r="AO89" i="10"/>
  <c r="AU148" i="10"/>
  <c r="AU170" i="10"/>
  <c r="AU186" i="10"/>
  <c r="J205" i="10"/>
  <c r="AD229" i="10"/>
  <c r="AU230" i="10"/>
  <c r="K233" i="10"/>
  <c r="AU239" i="10"/>
  <c r="V242" i="10"/>
  <c r="AU307" i="10"/>
  <c r="AA323" i="10"/>
  <c r="AV323" i="10"/>
  <c r="AA482" i="10"/>
  <c r="AV482" i="10"/>
  <c r="AJ575" i="10"/>
  <c r="AU575" i="10"/>
  <c r="AJ717" i="10"/>
  <c r="AM715" i="10"/>
  <c r="AJ715" i="10" s="1"/>
  <c r="AV746" i="10"/>
  <c r="AA746" i="10"/>
  <c r="AU746" i="10"/>
  <c r="AV11" i="10"/>
  <c r="AV37" i="10"/>
  <c r="BH41" i="10"/>
  <c r="BM41" i="10" s="1"/>
  <c r="BO41" i="10" s="1"/>
  <c r="AU56" i="10"/>
  <c r="AA64" i="10"/>
  <c r="AJ87" i="10"/>
  <c r="AU104" i="10"/>
  <c r="AU135" i="10"/>
  <c r="AA144" i="10"/>
  <c r="AV166" i="10"/>
  <c r="L183" i="10"/>
  <c r="K205" i="10"/>
  <c r="AD215" i="10"/>
  <c r="AM238" i="10"/>
  <c r="AU246" i="10"/>
  <c r="AU296" i="10"/>
  <c r="AA319" i="10"/>
  <c r="AV319" i="10"/>
  <c r="AU319" i="10"/>
  <c r="AU342" i="10"/>
  <c r="AJ342" i="10"/>
  <c r="BH395" i="10"/>
  <c r="AO395" i="10"/>
  <c r="AN395" i="10"/>
  <c r="BH522" i="10"/>
  <c r="BM522" i="10" s="1"/>
  <c r="BO522" i="10" s="1"/>
  <c r="AO522" i="10"/>
  <c r="AA597" i="10"/>
  <c r="AV597" i="10"/>
  <c r="AJ678" i="10"/>
  <c r="AM675" i="10"/>
  <c r="AU678" i="10"/>
  <c r="V76" i="10"/>
  <c r="AV204" i="10"/>
  <c r="AU7" i="10"/>
  <c r="AU19" i="10"/>
  <c r="AA26" i="10"/>
  <c r="AU33" i="10"/>
  <c r="AU49" i="10"/>
  <c r="AU72" i="10"/>
  <c r="AU92" i="10"/>
  <c r="AU98" i="10"/>
  <c r="AJ102" i="10"/>
  <c r="AA116" i="10"/>
  <c r="AA123" i="10"/>
  <c r="AN126" i="10"/>
  <c r="AJ128" i="10"/>
  <c r="R142" i="10"/>
  <c r="S142" i="10" s="1"/>
  <c r="AU152" i="10"/>
  <c r="AA164" i="10"/>
  <c r="AO177" i="10"/>
  <c r="AJ184" i="10"/>
  <c r="AA195" i="10"/>
  <c r="AU200" i="10"/>
  <c r="AO212" i="10"/>
  <c r="AJ215" i="10"/>
  <c r="AV216" i="10"/>
  <c r="AO227" i="10"/>
  <c r="Q242" i="10"/>
  <c r="AD245" i="10"/>
  <c r="AU245" i="10" s="1"/>
  <c r="AV249" i="10"/>
  <c r="AA253" i="10"/>
  <c r="AV254" i="10"/>
  <c r="AU259" i="10"/>
  <c r="AA294" i="10"/>
  <c r="AV294" i="10"/>
  <c r="AU300" i="10"/>
  <c r="AV307" i="10"/>
  <c r="AO323" i="10"/>
  <c r="AN323" i="10"/>
  <c r="AA332" i="10"/>
  <c r="AV332" i="10"/>
  <c r="AU332" i="10"/>
  <c r="AV338" i="10"/>
  <c r="AA338" i="10"/>
  <c r="AU369" i="10"/>
  <c r="AJ369" i="10"/>
  <c r="AZ400" i="10"/>
  <c r="AN418" i="10"/>
  <c r="AO418" i="10"/>
  <c r="AJ431" i="10"/>
  <c r="AU431" i="10"/>
  <c r="AV607" i="10"/>
  <c r="AA607" i="10"/>
  <c r="AN812" i="10"/>
  <c r="AO812" i="10"/>
  <c r="AO886" i="10"/>
  <c r="BO886" i="10"/>
  <c r="AJ938" i="10"/>
  <c r="AU938" i="10"/>
  <c r="AA949" i="10"/>
  <c r="AV949" i="10"/>
  <c r="AN289" i="10"/>
  <c r="AA308" i="10"/>
  <c r="AA314" i="10"/>
  <c r="AN319" i="10"/>
  <c r="AN322" i="10"/>
  <c r="AU323" i="10"/>
  <c r="AU328" i="10"/>
  <c r="AU337" i="10"/>
  <c r="AN342" i="10"/>
  <c r="AV347" i="10"/>
  <c r="AU361" i="10"/>
  <c r="AO369" i="10"/>
  <c r="R372" i="10"/>
  <c r="AU376" i="10"/>
  <c r="AO383" i="10"/>
  <c r="AV385" i="10"/>
  <c r="AU394" i="10"/>
  <c r="AV432" i="10"/>
  <c r="AU435" i="10"/>
  <c r="AN443" i="10"/>
  <c r="AU447" i="10"/>
  <c r="AA451" i="10"/>
  <c r="AA469" i="10"/>
  <c r="AA470" i="10"/>
  <c r="AV472" i="10"/>
  <c r="AU477" i="10"/>
  <c r="AU483" i="10"/>
  <c r="AA497" i="10"/>
  <c r="AU505" i="10"/>
  <c r="AN520" i="10"/>
  <c r="AU521" i="10"/>
  <c r="AV522" i="10"/>
  <c r="AJ524" i="10"/>
  <c r="L529" i="10"/>
  <c r="AN537" i="10"/>
  <c r="AO546" i="10"/>
  <c r="AA551" i="10"/>
  <c r="AV556" i="10"/>
  <c r="AU574" i="10"/>
  <c r="AU579" i="10"/>
  <c r="AN591" i="10"/>
  <c r="AA615" i="10"/>
  <c r="AU617" i="10"/>
  <c r="L624" i="10"/>
  <c r="AA627" i="10"/>
  <c r="L635" i="10"/>
  <c r="AA642" i="10"/>
  <c r="AN648" i="10"/>
  <c r="AO649" i="10"/>
  <c r="AU651" i="10"/>
  <c r="AV652" i="10"/>
  <c r="AA671" i="10"/>
  <c r="AO673" i="10"/>
  <c r="AA677" i="10"/>
  <c r="AV707" i="10"/>
  <c r="AV718" i="10"/>
  <c r="AU765" i="10"/>
  <c r="AJ768" i="10"/>
  <c r="AU768" i="10"/>
  <c r="AV780" i="10"/>
  <c r="AV783" i="10"/>
  <c r="AA783" i="10"/>
  <c r="AA792" i="10"/>
  <c r="AV792" i="10"/>
  <c r="AA795" i="10"/>
  <c r="AV795" i="10"/>
  <c r="AA821" i="10"/>
  <c r="AV821" i="10"/>
  <c r="AJ896" i="10"/>
  <c r="AU896" i="10"/>
  <c r="AO320" i="10"/>
  <c r="AN321" i="10"/>
  <c r="AA336" i="10"/>
  <c r="AJ350" i="10"/>
  <c r="AV353" i="10"/>
  <c r="AA365" i="10"/>
  <c r="AJ368" i="10"/>
  <c r="AA374" i="10"/>
  <c r="AU381" i="10"/>
  <c r="AA388" i="10"/>
  <c r="AM393" i="10"/>
  <c r="AJ393" i="10" s="1"/>
  <c r="AN407" i="10"/>
  <c r="AV491" i="10"/>
  <c r="AA517" i="10"/>
  <c r="AO520" i="10"/>
  <c r="AV521" i="10"/>
  <c r="AA543" i="10"/>
  <c r="BO554" i="10"/>
  <c r="AA558" i="10"/>
  <c r="AJ559" i="10"/>
  <c r="AO560" i="10"/>
  <c r="AN568" i="10"/>
  <c r="AO590" i="10"/>
  <c r="AU591" i="10"/>
  <c r="AJ601" i="10"/>
  <c r="AJ605" i="10"/>
  <c r="AO607" i="10"/>
  <c r="AU612" i="10"/>
  <c r="AJ620" i="10"/>
  <c r="AJ625" i="10"/>
  <c r="AJ628" i="10"/>
  <c r="AU647" i="10"/>
  <c r="AV651" i="10"/>
  <c r="AN660" i="10"/>
  <c r="AA669" i="10"/>
  <c r="AJ670" i="10"/>
  <c r="AA676" i="10"/>
  <c r="AV689" i="10"/>
  <c r="AA702" i="10"/>
  <c r="AJ703" i="10"/>
  <c r="AA736" i="10"/>
  <c r="AV751" i="10"/>
  <c r="AA751" i="10"/>
  <c r="AV761" i="10"/>
  <c r="AA761" i="10"/>
  <c r="AA764" i="10"/>
  <c r="AA867" i="10"/>
  <c r="AV867" i="10"/>
  <c r="AU867" i="10"/>
  <c r="AA885" i="10"/>
  <c r="AV885" i="10"/>
  <c r="AN1019" i="10"/>
  <c r="AO1019" i="10"/>
  <c r="AU1050" i="10"/>
  <c r="AJ1050" i="10"/>
  <c r="AV1698" i="10"/>
  <c r="AA1698" i="10"/>
  <c r="AJ318" i="10"/>
  <c r="AJ340" i="10"/>
  <c r="AN351" i="10"/>
  <c r="R355" i="10"/>
  <c r="AA357" i="10"/>
  <c r="AJ358" i="10"/>
  <c r="AJ364" i="10"/>
  <c r="W372" i="10"/>
  <c r="AO375" i="10"/>
  <c r="AJ381" i="10"/>
  <c r="AO446" i="10"/>
  <c r="AV453" i="10"/>
  <c r="AA456" i="10"/>
  <c r="W465" i="10"/>
  <c r="AJ469" i="10"/>
  <c r="AA487" i="10"/>
  <c r="AA496" i="10"/>
  <c r="AV503" i="10"/>
  <c r="AU509" i="10"/>
  <c r="AA518" i="10"/>
  <c r="AO532" i="10"/>
  <c r="AU536" i="10"/>
  <c r="AA550" i="10"/>
  <c r="AJ551" i="10"/>
  <c r="AU673" i="10"/>
  <c r="AN761" i="10"/>
  <c r="AJ761" i="10"/>
  <c r="AV1677" i="10"/>
  <c r="AU1677" i="10"/>
  <c r="K501" i="10"/>
  <c r="K500" i="10" s="1"/>
  <c r="AA614" i="10"/>
  <c r="BO648" i="10"/>
  <c r="AN670" i="10"/>
  <c r="AN723" i="10"/>
  <c r="AO723" i="10"/>
  <c r="AU726" i="10"/>
  <c r="BH745" i="10"/>
  <c r="BM745" i="10" s="1"/>
  <c r="AO745" i="10"/>
  <c r="AN745" i="10"/>
  <c r="AU775" i="10"/>
  <c r="AJ801" i="10"/>
  <c r="AU801" i="10"/>
  <c r="AA860" i="10"/>
  <c r="AV860" i="10"/>
  <c r="AV882" i="10"/>
  <c r="AA882" i="10"/>
  <c r="AO910" i="10"/>
  <c r="AN910" i="10"/>
  <c r="AA918" i="10"/>
  <c r="AV918" i="10"/>
  <c r="AA948" i="10"/>
  <c r="AV948" i="10"/>
  <c r="AA980" i="10"/>
  <c r="AV980" i="10"/>
  <c r="AN1161" i="10"/>
  <c r="AO1161" i="10"/>
  <c r="AV1623" i="10"/>
  <c r="AA1623" i="10"/>
  <c r="AN308" i="10"/>
  <c r="AN373" i="10"/>
  <c r="AU513" i="10"/>
  <c r="AV659" i="10"/>
  <c r="AV722" i="10"/>
  <c r="AA722" i="10"/>
  <c r="AV782" i="10"/>
  <c r="AA782" i="10"/>
  <c r="AN854" i="10"/>
  <c r="AO854" i="10"/>
  <c r="AO925" i="10"/>
  <c r="AN925" i="10"/>
  <c r="AA998" i="10"/>
  <c r="AV998" i="10"/>
  <c r="AA1622" i="10"/>
  <c r="AV1622" i="10"/>
  <c r="AA301" i="10"/>
  <c r="AV318" i="10"/>
  <c r="AU339" i="10"/>
  <c r="AA362" i="10"/>
  <c r="AO373" i="10"/>
  <c r="AO381" i="10"/>
  <c r="AU388" i="10"/>
  <c r="AN404" i="10"/>
  <c r="AV406" i="10"/>
  <c r="W443" i="10"/>
  <c r="AU450" i="10"/>
  <c r="AU458" i="10"/>
  <c r="AU467" i="10"/>
  <c r="AU468" i="10"/>
  <c r="AA511" i="10"/>
  <c r="AN517" i="10"/>
  <c r="AU543" i="10"/>
  <c r="AN550" i="10"/>
  <c r="AA557" i="10"/>
  <c r="AV589" i="10"/>
  <c r="AA593" i="10"/>
  <c r="AV596" i="10"/>
  <c r="AU604" i="10"/>
  <c r="L611" i="10"/>
  <c r="AU654" i="10"/>
  <c r="AO687" i="10"/>
  <c r="AU691" i="10"/>
  <c r="AV726" i="10"/>
  <c r="AN740" i="10"/>
  <c r="AA750" i="10"/>
  <c r="AV750" i="10"/>
  <c r="AJ760" i="10"/>
  <c r="AU760" i="10"/>
  <c r="AV775" i="10"/>
  <c r="AA777" i="10"/>
  <c r="AV777" i="10"/>
  <c r="AA1540" i="10"/>
  <c r="AV1540" i="10"/>
  <c r="BA275" i="10"/>
  <c r="BA274" i="10" s="1"/>
  <c r="BA273" i="10" s="1"/>
  <c r="AN292" i="10"/>
  <c r="AU340" i="10"/>
  <c r="AA355" i="10"/>
  <c r="AO363" i="10"/>
  <c r="AD367" i="10"/>
  <c r="AA377" i="10"/>
  <c r="AO387" i="10"/>
  <c r="AA394" i="10"/>
  <c r="AJ403" i="10"/>
  <c r="W444" i="10"/>
  <c r="W448" i="10"/>
  <c r="W461" i="10"/>
  <c r="AA464" i="10"/>
  <c r="W478" i="10"/>
  <c r="AA479" i="10"/>
  <c r="AJ485" i="10"/>
  <c r="AJ493" i="10"/>
  <c r="AJ494" i="10"/>
  <c r="AJ495" i="10"/>
  <c r="AN518" i="10"/>
  <c r="AJ528" i="10"/>
  <c r="AR501" i="10"/>
  <c r="AR500" i="10" s="1"/>
  <c r="AA547" i="10"/>
  <c r="AU563" i="10"/>
  <c r="AJ582" i="10"/>
  <c r="AU595" i="10"/>
  <c r="AA603" i="10"/>
  <c r="L621" i="10"/>
  <c r="L629" i="10"/>
  <c r="AJ645" i="10"/>
  <c r="AA657" i="10"/>
  <c r="AN663" i="10"/>
  <c r="AN680" i="10"/>
  <c r="AA690" i="10"/>
  <c r="AA699" i="10"/>
  <c r="BH700" i="10"/>
  <c r="BM700" i="10" s="1"/>
  <c r="AN700" i="10"/>
  <c r="AU705" i="10"/>
  <c r="AM704" i="10"/>
  <c r="AJ704" i="10" s="1"/>
  <c r="AU709" i="10"/>
  <c r="AO732" i="10"/>
  <c r="AJ739" i="10"/>
  <c r="AA743" i="10"/>
  <c r="AV759" i="10"/>
  <c r="AA759" i="10"/>
  <c r="AJ909" i="10"/>
  <c r="AU909" i="10"/>
  <c r="AO680" i="10"/>
  <c r="AJ694" i="10"/>
  <c r="AA714" i="10"/>
  <c r="AO725" i="10"/>
  <c r="BH748" i="10"/>
  <c r="BM748" i="10" s="1"/>
  <c r="AO748" i="10"/>
  <c r="AU766" i="10"/>
  <c r="AJ766" i="10"/>
  <c r="AU853" i="10"/>
  <c r="AJ853" i="10"/>
  <c r="AU881" i="10"/>
  <c r="AA881" i="10"/>
  <c r="AV881" i="10"/>
  <c r="AA900" i="10"/>
  <c r="AV900" i="10"/>
  <c r="AU900" i="10"/>
  <c r="AV1125" i="10"/>
  <c r="AU1125" i="10"/>
  <c r="AA1125" i="10"/>
  <c r="AN348" i="10"/>
  <c r="AU404" i="10"/>
  <c r="AU570" i="10"/>
  <c r="AN582" i="10"/>
  <c r="BA624" i="10"/>
  <c r="AV724" i="10"/>
  <c r="AA724" i="10"/>
  <c r="AU742" i="10"/>
  <c r="AV742" i="10"/>
  <c r="AN750" i="10"/>
  <c r="BH750" i="10"/>
  <c r="BM750" i="10" s="1"/>
  <c r="AN759" i="10"/>
  <c r="AJ872" i="10"/>
  <c r="AU872" i="10"/>
  <c r="AU1033" i="10"/>
  <c r="AJ1033" i="10"/>
  <c r="AV1121" i="10"/>
  <c r="AA1121" i="10"/>
  <c r="AU1317" i="10"/>
  <c r="AJ1317" i="10"/>
  <c r="AU304" i="10"/>
  <c r="AA346" i="10"/>
  <c r="AU353" i="10"/>
  <c r="AN356" i="10"/>
  <c r="AU386" i="10"/>
  <c r="AV404" i="10"/>
  <c r="AU428" i="10"/>
  <c r="AA460" i="10"/>
  <c r="AA504" i="10"/>
  <c r="AU522" i="10"/>
  <c r="AU534" i="10"/>
  <c r="AN539" i="10"/>
  <c r="AN554" i="10"/>
  <c r="AU555" i="10"/>
  <c r="AA560" i="10"/>
  <c r="AO570" i="10"/>
  <c r="AU576" i="10"/>
  <c r="AU580" i="10"/>
  <c r="AV623" i="10"/>
  <c r="L643" i="10"/>
  <c r="AU656" i="10"/>
  <c r="AU661" i="10"/>
  <c r="AU699" i="10"/>
  <c r="AV755" i="10"/>
  <c r="AA755" i="10"/>
  <c r="AV765" i="10"/>
  <c r="AA765" i="10"/>
  <c r="BH766" i="10"/>
  <c r="BM766" i="10" s="1"/>
  <c r="BO766" i="10" s="1"/>
  <c r="AN766" i="10"/>
  <c r="AJ806" i="10"/>
  <c r="AU806" i="10"/>
  <c r="AA929" i="10"/>
  <c r="AV929" i="10"/>
  <c r="AA970" i="10"/>
  <c r="AV970" i="10"/>
  <c r="AU294" i="10"/>
  <c r="AN300" i="10"/>
  <c r="AU305" i="10"/>
  <c r="AU378" i="10"/>
  <c r="AU384" i="10"/>
  <c r="L398" i="10"/>
  <c r="W441" i="10"/>
  <c r="AU443" i="10"/>
  <c r="AU454" i="10"/>
  <c r="J436" i="10"/>
  <c r="AU547" i="10"/>
  <c r="AU592" i="10"/>
  <c r="AU613" i="10"/>
  <c r="BH663" i="10"/>
  <c r="BM663" i="10" s="1"/>
  <c r="AU684" i="10"/>
  <c r="L710" i="10"/>
  <c r="AU724" i="10"/>
  <c r="AU728" i="10"/>
  <c r="AJ793" i="10"/>
  <c r="AU793" i="10"/>
  <c r="AJ822" i="10"/>
  <c r="AU822" i="10"/>
  <c r="AA836" i="10"/>
  <c r="AV836" i="10"/>
  <c r="AU905" i="10"/>
  <c r="AJ905" i="10"/>
  <c r="AJ920" i="10"/>
  <c r="AU920" i="10"/>
  <c r="AJ1271" i="10"/>
  <c r="AU1271" i="10"/>
  <c r="AV1200" i="10"/>
  <c r="AA1200" i="10"/>
  <c r="AV1214" i="10"/>
  <c r="AA1214" i="10"/>
  <c r="AV772" i="10"/>
  <c r="AA781" i="10"/>
  <c r="AU791" i="10"/>
  <c r="AA799" i="10"/>
  <c r="AN801" i="10"/>
  <c r="AA805" i="10"/>
  <c r="AV813" i="10"/>
  <c r="AV814" i="10"/>
  <c r="AU848" i="10"/>
  <c r="AO853" i="10"/>
  <c r="AA866" i="10"/>
  <c r="AA871" i="10"/>
  <c r="AN872" i="10"/>
  <c r="AV878" i="10"/>
  <c r="AV887" i="10"/>
  <c r="AA904" i="10"/>
  <c r="AJ918" i="10"/>
  <c r="AA923" i="10"/>
  <c r="AA928" i="10"/>
  <c r="AJ929" i="10"/>
  <c r="AA932" i="10"/>
  <c r="AA946" i="10"/>
  <c r="AA947" i="10"/>
  <c r="AJ948" i="10"/>
  <c r="AO950" i="10"/>
  <c r="AU964" i="10"/>
  <c r="AA969" i="10"/>
  <c r="AU975" i="10"/>
  <c r="AU980" i="10"/>
  <c r="AJ980" i="10"/>
  <c r="AO985" i="10"/>
  <c r="AA989" i="10"/>
  <c r="AV1004" i="10"/>
  <c r="AV1008" i="10"/>
  <c r="AA1018" i="10"/>
  <c r="AU1019" i="10"/>
  <c r="AV1025" i="10"/>
  <c r="AA1025" i="10"/>
  <c r="AA1032" i="10"/>
  <c r="BO1050" i="10"/>
  <c r="AO1050" i="10"/>
  <c r="AV1086" i="10"/>
  <c r="AA1086" i="10"/>
  <c r="AJ1111" i="10"/>
  <c r="AU1111" i="10"/>
  <c r="AV1159" i="10"/>
  <c r="AA1159" i="10"/>
  <c r="AO1160" i="10"/>
  <c r="AJ1183" i="10"/>
  <c r="AU1210" i="10"/>
  <c r="AJ1210" i="10"/>
  <c r="AU1233" i="10"/>
  <c r="AA1233" i="10"/>
  <c r="AA1242" i="10"/>
  <c r="AV1242" i="10"/>
  <c r="AJ1369" i="10"/>
  <c r="AU1369" i="10"/>
  <c r="AA1387" i="10"/>
  <c r="AV1387" i="10"/>
  <c r="AV1505" i="10"/>
  <c r="AA1505" i="10"/>
  <c r="AJ1540" i="10"/>
  <c r="AU1540" i="10"/>
  <c r="AJ1655" i="10"/>
  <c r="AU1655" i="10"/>
  <c r="AA1713" i="10"/>
  <c r="AV1713" i="10"/>
  <c r="AA1721" i="10"/>
  <c r="AV1721" i="10"/>
  <c r="AN776" i="10"/>
  <c r="AJ810" i="10"/>
  <c r="AV812" i="10"/>
  <c r="AJ843" i="10"/>
  <c r="AA851" i="10"/>
  <c r="AJ852" i="10"/>
  <c r="AA864" i="10"/>
  <c r="AJ876" i="10"/>
  <c r="AD877" i="10"/>
  <c r="AU885" i="10"/>
  <c r="AA890" i="10"/>
  <c r="AA899" i="10"/>
  <c r="AA903" i="10"/>
  <c r="AV910" i="10"/>
  <c r="AA917" i="10"/>
  <c r="AJ974" i="10"/>
  <c r="AU974" i="10"/>
  <c r="AO998" i="10"/>
  <c r="AJ1002" i="10"/>
  <c r="AA1010" i="10"/>
  <c r="AU1049" i="10"/>
  <c r="AA1052" i="10"/>
  <c r="AA1071" i="10"/>
  <c r="AV1071" i="10"/>
  <c r="AO1111" i="10"/>
  <c r="BO1111" i="10"/>
  <c r="AA1174" i="10"/>
  <c r="AV1174" i="10"/>
  <c r="AA1182" i="10"/>
  <c r="AU1209" i="10"/>
  <c r="AJ1209" i="10"/>
  <c r="AJ1242" i="10"/>
  <c r="AN1242" i="10"/>
  <c r="AU1256" i="10"/>
  <c r="AJ1256" i="10"/>
  <c r="AJ1285" i="10"/>
  <c r="AU1285" i="10"/>
  <c r="AN1312" i="10"/>
  <c r="AO1312" i="10"/>
  <c r="AV1380" i="10"/>
  <c r="AA1380" i="10"/>
  <c r="AA1407" i="10"/>
  <c r="AV1407" i="10"/>
  <c r="AJ1468" i="10"/>
  <c r="AU1468" i="10"/>
  <c r="AU1629" i="10"/>
  <c r="AJ1629" i="10"/>
  <c r="AA1668" i="10"/>
  <c r="AV1668" i="10"/>
  <c r="AA1697" i="10"/>
  <c r="AJ1788" i="10"/>
  <c r="AU1788" i="10"/>
  <c r="AA1798" i="10"/>
  <c r="AV1798" i="10"/>
  <c r="AU1798" i="10"/>
  <c r="AA1001" i="10"/>
  <c r="AV1001" i="10"/>
  <c r="AU1018" i="10"/>
  <c r="AJ1018" i="10"/>
  <c r="AU1046" i="10"/>
  <c r="AJ1046" i="10"/>
  <c r="BO1121" i="10"/>
  <c r="AO1121" i="10"/>
  <c r="BO1253" i="10"/>
  <c r="AO1253" i="10"/>
  <c r="AA1412" i="10"/>
  <c r="AV1412" i="10"/>
  <c r="AJ1502" i="10"/>
  <c r="AU1502" i="10"/>
  <c r="AJ1511" i="10"/>
  <c r="AU1511" i="10"/>
  <c r="AA1517" i="10"/>
  <c r="AV1517" i="10"/>
  <c r="AU1517" i="10"/>
  <c r="AN1552" i="10"/>
  <c r="AO1552" i="10"/>
  <c r="AU1595" i="10"/>
  <c r="AJ1595" i="10"/>
  <c r="AJ1668" i="10"/>
  <c r="AU1668" i="10"/>
  <c r="AU1759" i="10"/>
  <c r="AJ1759" i="10"/>
  <c r="AN787" i="10"/>
  <c r="AN821" i="10"/>
  <c r="AU832" i="10"/>
  <c r="AU871" i="10"/>
  <c r="AU917" i="10"/>
  <c r="AU947" i="10"/>
  <c r="AU969" i="10"/>
  <c r="AU978" i="10"/>
  <c r="AU979" i="10"/>
  <c r="AO984" i="10"/>
  <c r="BH984" i="10"/>
  <c r="BM984" i="10" s="1"/>
  <c r="BO984" i="10" s="1"/>
  <c r="AA993" i="10"/>
  <c r="AV993" i="10"/>
  <c r="AA1013" i="10"/>
  <c r="AV1013" i="10"/>
  <c r="AU1025" i="10"/>
  <c r="BO1086" i="10"/>
  <c r="AO1086" i="10"/>
  <c r="AJ1110" i="10"/>
  <c r="AU1110" i="10"/>
  <c r="AV1114" i="10"/>
  <c r="AA1114" i="10"/>
  <c r="AV1177" i="10"/>
  <c r="AA1177" i="10"/>
  <c r="AO1191" i="10"/>
  <c r="AV1233" i="10"/>
  <c r="AU1412" i="10"/>
  <c r="AJ1412" i="10"/>
  <c r="AU1434" i="10"/>
  <c r="AA1434" i="10"/>
  <c r="AJ1550" i="10"/>
  <c r="AU1550" i="10"/>
  <c r="AA1566" i="10"/>
  <c r="AV1566" i="10"/>
  <c r="AA1628" i="10"/>
  <c r="AV1628" i="10"/>
  <c r="AU1687" i="10"/>
  <c r="AJ1687" i="10"/>
  <c r="AA1690" i="10"/>
  <c r="AV1690" i="10"/>
  <c r="AD1689" i="10"/>
  <c r="AJ1758" i="10"/>
  <c r="BO795" i="10"/>
  <c r="AU839" i="10"/>
  <c r="BO860" i="10"/>
  <c r="AU866" i="10"/>
  <c r="AN908" i="10"/>
  <c r="AN946" i="10"/>
  <c r="AJ983" i="10"/>
  <c r="AU983" i="10"/>
  <c r="AN994" i="10"/>
  <c r="AV1017" i="10"/>
  <c r="AA1017" i="10"/>
  <c r="AV1024" i="10"/>
  <c r="AU1024" i="10"/>
  <c r="AV1049" i="10"/>
  <c r="AU1071" i="10"/>
  <c r="AN1074" i="10"/>
  <c r="AO1074" i="10"/>
  <c r="AV1109" i="10"/>
  <c r="AA1109" i="10"/>
  <c r="BH1372" i="10"/>
  <c r="BM1372" i="10" s="1"/>
  <c r="AO1372" i="10"/>
  <c r="AO1510" i="10"/>
  <c r="AN1510" i="10"/>
  <c r="BO1510" i="10"/>
  <c r="AU1557" i="10"/>
  <c r="AN1557" i="10"/>
  <c r="AJ1557" i="10"/>
  <c r="AJ1606" i="10"/>
  <c r="AU1606" i="10"/>
  <c r="AU1653" i="10"/>
  <c r="AJ1653" i="10"/>
  <c r="AU1686" i="10"/>
  <c r="AJ1686" i="10"/>
  <c r="AD710" i="10"/>
  <c r="AO727" i="10"/>
  <c r="AV731" i="10"/>
  <c r="AO739" i="10"/>
  <c r="AA763" i="10"/>
  <c r="BH787" i="10"/>
  <c r="BM787" i="10" s="1"/>
  <c r="BO787" i="10" s="1"/>
  <c r="AA793" i="10"/>
  <c r="AU798" i="10"/>
  <c r="AU846" i="10"/>
  <c r="AN864" i="10"/>
  <c r="AN865" i="10"/>
  <c r="AA874" i="10"/>
  <c r="AU875" i="10"/>
  <c r="AA879" i="10"/>
  <c r="AV880" i="10"/>
  <c r="AA888" i="10"/>
  <c r="AA902" i="10"/>
  <c r="AU912" i="10"/>
  <c r="AA926" i="10"/>
  <c r="AU946" i="10"/>
  <c r="AN956" i="10"/>
  <c r="AV978" i="10"/>
  <c r="AA992" i="10"/>
  <c r="AA1009" i="10"/>
  <c r="AV1009" i="10"/>
  <c r="AU1010" i="10"/>
  <c r="AU1048" i="10"/>
  <c r="AU1052" i="10"/>
  <c r="AA1141" i="10"/>
  <c r="AV1216" i="10"/>
  <c r="AA1216" i="10"/>
  <c r="AU1232" i="10"/>
  <c r="AJ1232" i="10"/>
  <c r="AA1247" i="10"/>
  <c r="AU1247" i="10"/>
  <c r="L1260" i="10"/>
  <c r="K1259" i="10"/>
  <c r="AA1297" i="10"/>
  <c r="AD1296" i="10"/>
  <c r="AV1371" i="10"/>
  <c r="AA1371" i="10"/>
  <c r="AJ1627" i="10"/>
  <c r="AA1743" i="10"/>
  <c r="AU1743" i="10"/>
  <c r="AV1772" i="10"/>
  <c r="AA1772" i="10"/>
  <c r="AU780" i="10"/>
  <c r="AV786" i="10"/>
  <c r="L788" i="10"/>
  <c r="AJ797" i="10"/>
  <c r="AO798" i="10"/>
  <c r="AJ808" i="10"/>
  <c r="AV809" i="10"/>
  <c r="AJ815" i="10"/>
  <c r="AJ819" i="10"/>
  <c r="AA823" i="10"/>
  <c r="AU824" i="10"/>
  <c r="AV828" i="10"/>
  <c r="AV839" i="10"/>
  <c r="AV846" i="10"/>
  <c r="AJ862" i="10"/>
  <c r="AO864" i="10"/>
  <c r="BH881" i="10"/>
  <c r="BM881" i="10" s="1"/>
  <c r="AA883" i="10"/>
  <c r="AV884" i="10"/>
  <c r="AA906" i="10"/>
  <c r="AU907" i="10"/>
  <c r="AA911" i="10"/>
  <c r="AA925" i="10"/>
  <c r="AA934" i="10"/>
  <c r="AU935" i="10"/>
  <c r="AV936" i="10"/>
  <c r="AV957" i="10"/>
  <c r="AU962" i="10"/>
  <c r="AU993" i="10"/>
  <c r="AJ1000" i="10"/>
  <c r="AJ1009" i="10"/>
  <c r="AJ1035" i="10"/>
  <c r="AU1061" i="10"/>
  <c r="AJ1061" i="10"/>
  <c r="AU1073" i="10"/>
  <c r="AJ1073" i="10"/>
  <c r="AV1118" i="10"/>
  <c r="AA1118" i="10"/>
  <c r="AA1135" i="10"/>
  <c r="AO1136" i="10"/>
  <c r="AJ1162" i="10"/>
  <c r="AU1162" i="10"/>
  <c r="AU1185" i="10"/>
  <c r="AA1185" i="10"/>
  <c r="AJ1189" i="10"/>
  <c r="AD1260" i="10"/>
  <c r="AU1447" i="10"/>
  <c r="AJ1447" i="10"/>
  <c r="AV1451" i="10"/>
  <c r="AA1451" i="10"/>
  <c r="AA1499" i="10"/>
  <c r="AA1652" i="10"/>
  <c r="AV1652" i="10"/>
  <c r="AJ1726" i="10"/>
  <c r="AU1726" i="10"/>
  <c r="BH852" i="10"/>
  <c r="AA991" i="10"/>
  <c r="AN1005" i="10"/>
  <c r="BO1077" i="10"/>
  <c r="AO1077" i="10"/>
  <c r="AJ1084" i="10"/>
  <c r="AU1084" i="10"/>
  <c r="AO1088" i="10"/>
  <c r="BH1088" i="10"/>
  <c r="BM1088" i="10" s="1"/>
  <c r="AV1093" i="10"/>
  <c r="AA1093" i="10"/>
  <c r="AU1131" i="10"/>
  <c r="AJ1131" i="10"/>
  <c r="AU1220" i="10"/>
  <c r="AJ1220" i="10"/>
  <c r="AU1244" i="10"/>
  <c r="AN1244" i="10"/>
  <c r="AJ1280" i="10"/>
  <c r="AJ1337" i="10"/>
  <c r="AU1337" i="10"/>
  <c r="AV1446" i="10"/>
  <c r="AA1446" i="10"/>
  <c r="AA1684" i="10"/>
  <c r="AV1684" i="10"/>
  <c r="AN1744" i="10"/>
  <c r="AO1744" i="10"/>
  <c r="AA826" i="10"/>
  <c r="AN862" i="10"/>
  <c r="AU864" i="10"/>
  <c r="AA1023" i="10"/>
  <c r="AV1023" i="10"/>
  <c r="AA1039" i="10"/>
  <c r="AV1039" i="10"/>
  <c r="AV1047" i="10"/>
  <c r="AA1047" i="10"/>
  <c r="AA1060" i="10"/>
  <c r="AV1060" i="10"/>
  <c r="AA1087" i="10"/>
  <c r="AV1087" i="10"/>
  <c r="AJ1098" i="10"/>
  <c r="AU1098" i="10"/>
  <c r="AV1269" i="10"/>
  <c r="AA1269" i="10"/>
  <c r="AV1324" i="10"/>
  <c r="AA1324" i="10"/>
  <c r="AN1355" i="10"/>
  <c r="AO1355" i="10"/>
  <c r="AA1457" i="10"/>
  <c r="AV1457" i="10"/>
  <c r="AU1457" i="10"/>
  <c r="AV1489" i="10"/>
  <c r="AA1489" i="10"/>
  <c r="AV1541" i="10"/>
  <c r="AA1541" i="10"/>
  <c r="AV1575" i="10"/>
  <c r="AU1575" i="10"/>
  <c r="AA1575" i="10"/>
  <c r="AV1625" i="10"/>
  <c r="AU1625" i="10"/>
  <c r="AA1708" i="10"/>
  <c r="AV1708" i="10"/>
  <c r="AV1718" i="10"/>
  <c r="AA1718" i="10"/>
  <c r="AJ1719" i="10"/>
  <c r="AU1719" i="10"/>
  <c r="BO1807" i="10"/>
  <c r="AN1807" i="10"/>
  <c r="AU813" i="10"/>
  <c r="AN874" i="10"/>
  <c r="AU911" i="10"/>
  <c r="AU924" i="10"/>
  <c r="AU1023" i="10"/>
  <c r="AJ1023" i="10"/>
  <c r="AJ1044" i="10"/>
  <c r="AU1044" i="10"/>
  <c r="AO1076" i="10"/>
  <c r="AN1076" i="10"/>
  <c r="AV1102" i="10"/>
  <c r="AA1102" i="10"/>
  <c r="AU1112" i="10"/>
  <c r="AJ1112" i="10"/>
  <c r="AJ1122" i="10"/>
  <c r="AU1122" i="10"/>
  <c r="AN1122" i="10"/>
  <c r="AO1157" i="10"/>
  <c r="AN1157" i="10"/>
  <c r="AA1188" i="10"/>
  <c r="AV1188" i="10"/>
  <c r="AU1188" i="10"/>
  <c r="AJ1415" i="10"/>
  <c r="AU1415" i="10"/>
  <c r="AU1482" i="10"/>
  <c r="AJ1482" i="10"/>
  <c r="AV1613" i="10"/>
  <c r="AA1613" i="10"/>
  <c r="AA1692" i="10"/>
  <c r="AV1692" i="10"/>
  <c r="AV1761" i="10"/>
  <c r="AA1761" i="10"/>
  <c r="AU762" i="10"/>
  <c r="AU767" i="10"/>
  <c r="AU815" i="10"/>
  <c r="AU833" i="10"/>
  <c r="BO834" i="10"/>
  <c r="AU861" i="10"/>
  <c r="AU892" i="10"/>
  <c r="AU939" i="10"/>
  <c r="AN966" i="10"/>
  <c r="AV986" i="10"/>
  <c r="AN991" i="10"/>
  <c r="AO991" i="10"/>
  <c r="AU1039" i="10"/>
  <c r="AU1067" i="10"/>
  <c r="AJ1067" i="10"/>
  <c r="AV1079" i="10"/>
  <c r="AA1079" i="10"/>
  <c r="AU1153" i="10"/>
  <c r="AJ1153" i="10"/>
  <c r="AV1192" i="10"/>
  <c r="AA1192" i="10"/>
  <c r="AU1192" i="10"/>
  <c r="AN1202" i="10"/>
  <c r="AO1202" i="10"/>
  <c r="AU1211" i="10"/>
  <c r="AJ1211" i="10"/>
  <c r="AA1336" i="10"/>
  <c r="AU1336" i="10"/>
  <c r="AV1336" i="10"/>
  <c r="AM1345" i="10"/>
  <c r="AU1346" i="10"/>
  <c r="AJ1346" i="10"/>
  <c r="AV1481" i="10"/>
  <c r="AA1481" i="10"/>
  <c r="AV1678" i="10"/>
  <c r="AU1678" i="10"/>
  <c r="AA1678" i="10"/>
  <c r="AD1913" i="10"/>
  <c r="AN1095" i="10"/>
  <c r="AU1136" i="10"/>
  <c r="AV1147" i="10"/>
  <c r="AU1159" i="10"/>
  <c r="AU1190" i="10"/>
  <c r="AA1205" i="10"/>
  <c r="AV1205" i="10"/>
  <c r="AU1207" i="10"/>
  <c r="BO1340" i="10"/>
  <c r="AO1340" i="10"/>
  <c r="AV1429" i="10"/>
  <c r="AU1429" i="10"/>
  <c r="AJ1442" i="10"/>
  <c r="AJ1456" i="10"/>
  <c r="AR1533" i="10"/>
  <c r="AU1555" i="10"/>
  <c r="BO1586" i="10"/>
  <c r="AN1586" i="10"/>
  <c r="AA1599" i="10"/>
  <c r="AV1599" i="10"/>
  <c r="AA1604" i="10"/>
  <c r="AV1604" i="10"/>
  <c r="AV1666" i="10"/>
  <c r="AA1666" i="10"/>
  <c r="AU1690" i="10"/>
  <c r="AJ1697" i="10"/>
  <c r="AU1697" i="10"/>
  <c r="AU1698" i="10"/>
  <c r="AV1700" i="10"/>
  <c r="AO1723" i="10"/>
  <c r="BO1723" i="10"/>
  <c r="AO1780" i="10"/>
  <c r="BO1780" i="10"/>
  <c r="AN1799" i="10"/>
  <c r="AJ1812" i="10"/>
  <c r="AU1812" i="10"/>
  <c r="AV1817" i="10"/>
  <c r="AA1817" i="10"/>
  <c r="AA1894" i="10"/>
  <c r="AU1894" i="10"/>
  <c r="AN997" i="10"/>
  <c r="AU1001" i="10"/>
  <c r="AU1013" i="10"/>
  <c r="AU1032" i="10"/>
  <c r="AU1043" i="10"/>
  <c r="AV1095" i="10"/>
  <c r="AJ1108" i="10"/>
  <c r="AU1108" i="10"/>
  <c r="AV1110" i="10"/>
  <c r="AU1135" i="10"/>
  <c r="AV1170" i="10"/>
  <c r="AA1170" i="10"/>
  <c r="AA1176" i="10"/>
  <c r="AJ1205" i="10"/>
  <c r="AN1205" i="10"/>
  <c r="AA1235" i="10"/>
  <c r="AV1235" i="10"/>
  <c r="AJ1241" i="10"/>
  <c r="AA1295" i="10"/>
  <c r="AD1294" i="10"/>
  <c r="AU1294" i="10" s="1"/>
  <c r="AN1301" i="10"/>
  <c r="AO1301" i="10"/>
  <c r="AU1304" i="10"/>
  <c r="AV1304" i="10"/>
  <c r="AV1318" i="10"/>
  <c r="AA1318" i="10"/>
  <c r="AO1319" i="10"/>
  <c r="AA1383" i="10"/>
  <c r="AV1383" i="10"/>
  <c r="AA1401" i="10"/>
  <c r="AJ1402" i="10"/>
  <c r="AV1419" i="10"/>
  <c r="AA1419" i="10"/>
  <c r="AJ1420" i="10"/>
  <c r="AA1497" i="10"/>
  <c r="AV1516" i="10"/>
  <c r="AA1516" i="10"/>
  <c r="AA1561" i="10"/>
  <c r="AU1566" i="10"/>
  <c r="AJ1599" i="10"/>
  <c r="AU1599" i="10"/>
  <c r="AA1603" i="10"/>
  <c r="AV1616" i="10"/>
  <c r="AA1616" i="10"/>
  <c r="AN1697" i="10"/>
  <c r="AA1706" i="10"/>
  <c r="AU1708" i="10"/>
  <c r="AA1720" i="10"/>
  <c r="AA1734" i="10"/>
  <c r="AJ1741" i="10"/>
  <c r="AU1741" i="10"/>
  <c r="AA1763" i="10"/>
  <c r="AV1763" i="10"/>
  <c r="AA1764" i="10"/>
  <c r="AJ1777" i="10"/>
  <c r="AN1798" i="10"/>
  <c r="AO1798" i="10"/>
  <c r="AO1818" i="10"/>
  <c r="BO1818" i="10"/>
  <c r="AV1854" i="10"/>
  <c r="AA1854" i="10"/>
  <c r="AV1910" i="10"/>
  <c r="AA1910" i="10"/>
  <c r="AV1124" i="10"/>
  <c r="AA1124" i="10"/>
  <c r="AV1212" i="10"/>
  <c r="AA1212" i="10"/>
  <c r="AA1352" i="10"/>
  <c r="AV1352" i="10"/>
  <c r="AN1396" i="10"/>
  <c r="AO1396" i="10"/>
  <c r="AO1524" i="10"/>
  <c r="BO1524" i="10"/>
  <c r="AA1583" i="10"/>
  <c r="AV1583" i="10"/>
  <c r="AN1604" i="10"/>
  <c r="AU1604" i="10"/>
  <c r="AU1621" i="10"/>
  <c r="AJ1621" i="10"/>
  <c r="AA1756" i="10"/>
  <c r="AV1756" i="10"/>
  <c r="AO1806" i="10"/>
  <c r="BO1806" i="10"/>
  <c r="AV1879" i="10"/>
  <c r="AD1878" i="10"/>
  <c r="AU1910" i="10"/>
  <c r="AU1075" i="10"/>
  <c r="L1089" i="10"/>
  <c r="AU1100" i="10"/>
  <c r="AU1205" i="10"/>
  <c r="AV1248" i="10"/>
  <c r="AA1248" i="10"/>
  <c r="AU1288" i="10"/>
  <c r="AM1287" i="10"/>
  <c r="AA1332" i="10"/>
  <c r="AV1332" i="10"/>
  <c r="AN1347" i="10"/>
  <c r="AJ1352" i="10"/>
  <c r="AU1352" i="10"/>
  <c r="AV1367" i="10"/>
  <c r="AU1383" i="10"/>
  <c r="AV1416" i="10"/>
  <c r="AA1416" i="10"/>
  <c r="AN1420" i="10"/>
  <c r="AU1455" i="10"/>
  <c r="AU1464" i="10"/>
  <c r="AU1475" i="10"/>
  <c r="AV1537" i="10"/>
  <c r="AA1537" i="10"/>
  <c r="AA1560" i="10"/>
  <c r="AV1560" i="10"/>
  <c r="AN1565" i="10"/>
  <c r="AU1565" i="10"/>
  <c r="AJ1583" i="10"/>
  <c r="AU1583" i="10"/>
  <c r="AA1614" i="10"/>
  <c r="AU1614" i="10"/>
  <c r="AJ1620" i="10"/>
  <c r="AV1642" i="10"/>
  <c r="AA1664" i="10"/>
  <c r="AA1681" i="10"/>
  <c r="AV1682" i="10"/>
  <c r="AA1682" i="10"/>
  <c r="AU1695" i="10"/>
  <c r="AJ1720" i="10"/>
  <c r="AU1720" i="10"/>
  <c r="AV1727" i="10"/>
  <c r="AA1727" i="10"/>
  <c r="AA1733" i="10"/>
  <c r="AV1733" i="10"/>
  <c r="AJ1734" i="10"/>
  <c r="AU1734" i="10"/>
  <c r="AU1748" i="10"/>
  <c r="AA1755" i="10"/>
  <c r="AJ1756" i="10"/>
  <c r="AU1756" i="10"/>
  <c r="AU1763" i="10"/>
  <c r="AJ1764" i="10"/>
  <c r="AU1764" i="10"/>
  <c r="AN1764" i="10"/>
  <c r="AJ1774" i="10"/>
  <c r="AU1776" i="10"/>
  <c r="AA1796" i="10"/>
  <c r="AV1796" i="10"/>
  <c r="AU1796" i="10"/>
  <c r="AA1804" i="10"/>
  <c r="AA1853" i="10"/>
  <c r="AV1894" i="10"/>
  <c r="AU1905" i="10"/>
  <c r="AJ1905" i="10"/>
  <c r="AA1909" i="10"/>
  <c r="AV1909" i="10"/>
  <c r="AU989" i="10"/>
  <c r="AO1000" i="10"/>
  <c r="AN1000" i="10"/>
  <c r="AA1011" i="10"/>
  <c r="AU1012" i="10"/>
  <c r="AV1046" i="10"/>
  <c r="AA1046" i="10"/>
  <c r="AN1070" i="10"/>
  <c r="AV1075" i="10"/>
  <c r="AA1168" i="10"/>
  <c r="AA1186" i="10"/>
  <c r="AU1235" i="10"/>
  <c r="AA1262" i="10"/>
  <c r="AV1262" i="10"/>
  <c r="AA1276" i="10"/>
  <c r="AV1276" i="10"/>
  <c r="AO1277" i="10"/>
  <c r="AA1298" i="10"/>
  <c r="AN1325" i="10"/>
  <c r="AA1346" i="10"/>
  <c r="AV1346" i="10"/>
  <c r="AA1365" i="10"/>
  <c r="AV1365" i="10"/>
  <c r="AN1391" i="10"/>
  <c r="AV1403" i="10"/>
  <c r="AA1408" i="10"/>
  <c r="AV1408" i="10"/>
  <c r="AN1410" i="10"/>
  <c r="BH1410" i="10"/>
  <c r="BM1410" i="10" s="1"/>
  <c r="AA1461" i="10"/>
  <c r="AU1461" i="10"/>
  <c r="AV1475" i="10"/>
  <c r="AV1486" i="10"/>
  <c r="AU1487" i="10"/>
  <c r="AA1544" i="10"/>
  <c r="AV1544" i="10"/>
  <c r="AU1572" i="10"/>
  <c r="AA1602" i="10"/>
  <c r="AV1602" i="10"/>
  <c r="AU1649" i="10"/>
  <c r="AA1693" i="10"/>
  <c r="AV1693" i="10"/>
  <c r="AV1714" i="10"/>
  <c r="AA1714" i="10"/>
  <c r="AA1746" i="10"/>
  <c r="AV1746" i="10"/>
  <c r="BH1792" i="10"/>
  <c r="BM1792" i="10" s="1"/>
  <c r="BO1792" i="10" s="1"/>
  <c r="AN1792" i="10"/>
  <c r="AA1809" i="10"/>
  <c r="AV1809" i="10"/>
  <c r="AN1007" i="10"/>
  <c r="AU1176" i="10"/>
  <c r="AU1212" i="10"/>
  <c r="AU1234" i="10"/>
  <c r="AJ1234" i="10"/>
  <c r="AD1273" i="10"/>
  <c r="AU1295" i="10"/>
  <c r="AN1313" i="10"/>
  <c r="AO1313" i="10"/>
  <c r="AV1325" i="10"/>
  <c r="AJ1328" i="10"/>
  <c r="AU1328" i="10"/>
  <c r="AU1365" i="10"/>
  <c r="AJ1365" i="10"/>
  <c r="AU1382" i="10"/>
  <c r="AV1402" i="10"/>
  <c r="AU1439" i="10"/>
  <c r="AJ1439" i="10"/>
  <c r="AV1485" i="10"/>
  <c r="AV1497" i="10"/>
  <c r="AU1531" i="10"/>
  <c r="AV1531" i="10"/>
  <c r="AU1560" i="10"/>
  <c r="AJ1602" i="10"/>
  <c r="AU1602" i="10"/>
  <c r="AV1608" i="10"/>
  <c r="AA1608" i="10"/>
  <c r="AN1609" i="10"/>
  <c r="BO1623" i="10"/>
  <c r="AA1646" i="10"/>
  <c r="AV1646" i="10"/>
  <c r="AU1656" i="10"/>
  <c r="AJ1656" i="10"/>
  <c r="AO1682" i="10"/>
  <c r="BO1682" i="10"/>
  <c r="AJ1693" i="10"/>
  <c r="AU1693" i="10"/>
  <c r="AU1694" i="10"/>
  <c r="AN1694" i="10"/>
  <c r="AU1715" i="10"/>
  <c r="AN1762" i="10"/>
  <c r="AO1774" i="10"/>
  <c r="BO1774" i="10"/>
  <c r="AO1790" i="10"/>
  <c r="AN1790" i="10"/>
  <c r="BH1791" i="10"/>
  <c r="BM1791" i="10" s="1"/>
  <c r="BO1791" i="10" s="1"/>
  <c r="AN1791" i="10"/>
  <c r="AU1792" i="10"/>
  <c r="AA1859" i="10"/>
  <c r="AV1859" i="10"/>
  <c r="AN1886" i="10"/>
  <c r="AU1892" i="10"/>
  <c r="AV1858" i="10"/>
  <c r="AA1858" i="10"/>
  <c r="AA1865" i="10"/>
  <c r="AV1865" i="10"/>
  <c r="V1822" i="10"/>
  <c r="AN1084" i="10"/>
  <c r="AA1091" i="10"/>
  <c r="AV1091" i="10"/>
  <c r="AV1169" i="10"/>
  <c r="AU1174" i="10"/>
  <c r="AJ1174" i="10"/>
  <c r="AU1191" i="10"/>
  <c r="AA1191" i="10"/>
  <c r="AA1239" i="10"/>
  <c r="AV1239" i="10"/>
  <c r="AA1363" i="10"/>
  <c r="AV1363" i="10"/>
  <c r="AJ1371" i="10"/>
  <c r="AU1371" i="10"/>
  <c r="AJ1387" i="10"/>
  <c r="AU1387" i="10"/>
  <c r="AN1437" i="10"/>
  <c r="BO1438" i="10"/>
  <c r="AN1438" i="10"/>
  <c r="AV1467" i="10"/>
  <c r="AA1467" i="10"/>
  <c r="AN1482" i="10"/>
  <c r="AO1495" i="10"/>
  <c r="AN1495" i="10"/>
  <c r="BO1521" i="10"/>
  <c r="AN1521" i="10"/>
  <c r="AN1594" i="10"/>
  <c r="AU1746" i="10"/>
  <c r="AJ1761" i="10"/>
  <c r="AU1761" i="10"/>
  <c r="AJ1772" i="10"/>
  <c r="AU1772" i="10"/>
  <c r="AN1788" i="10"/>
  <c r="AO1802" i="10"/>
  <c r="AN1802" i="10"/>
  <c r="AN988" i="10"/>
  <c r="AU1004" i="10"/>
  <c r="AV1058" i="10"/>
  <c r="AV1063" i="10"/>
  <c r="BA1067" i="10"/>
  <c r="BO1098" i="10"/>
  <c r="AN1098" i="10"/>
  <c r="AU1104" i="10"/>
  <c r="AU1121" i="10"/>
  <c r="AA1127" i="10"/>
  <c r="AJ1132" i="10"/>
  <c r="AU1132" i="10"/>
  <c r="AN1138" i="10"/>
  <c r="AU1179" i="10"/>
  <c r="AU1196" i="10"/>
  <c r="AJ1196" i="10"/>
  <c r="AA1220" i="10"/>
  <c r="AV1220" i="10"/>
  <c r="AJ1239" i="10"/>
  <c r="AN1256" i="10"/>
  <c r="BO1256" i="10"/>
  <c r="L1333" i="10"/>
  <c r="AA1337" i="10"/>
  <c r="AA1370" i="10"/>
  <c r="AA1378" i="10"/>
  <c r="AV1415" i="10"/>
  <c r="AA1431" i="10"/>
  <c r="AV1436" i="10"/>
  <c r="AO1437" i="10"/>
  <c r="AU1438" i="10"/>
  <c r="AJ1445" i="10"/>
  <c r="AA1450" i="10"/>
  <c r="AV1450" i="10"/>
  <c r="AV1461" i="10"/>
  <c r="AN1493" i="10"/>
  <c r="AO1493" i="10"/>
  <c r="BO1513" i="10"/>
  <c r="AN1513" i="10"/>
  <c r="AA1518" i="10"/>
  <c r="AA1556" i="10"/>
  <c r="AU1558" i="10"/>
  <c r="AJ1588" i="10"/>
  <c r="AN1588" i="10"/>
  <c r="AO1594" i="10"/>
  <c r="AN1633" i="10"/>
  <c r="AV1644" i="10"/>
  <c r="AU1644" i="10"/>
  <c r="AV1669" i="10"/>
  <c r="AA1669" i="10"/>
  <c r="AU1681" i="10"/>
  <c r="AA1691" i="10"/>
  <c r="AV1691" i="10"/>
  <c r="AU1692" i="10"/>
  <c r="AA1700" i="10"/>
  <c r="AA1710" i="10"/>
  <c r="AJ1731" i="10"/>
  <c r="AU1731" i="10"/>
  <c r="AN1731" i="10"/>
  <c r="AA1769" i="10"/>
  <c r="AU1781" i="10"/>
  <c r="AJ1781" i="10"/>
  <c r="AO1827" i="10"/>
  <c r="AU1859" i="10"/>
  <c r="AJ1160" i="10"/>
  <c r="AU1160" i="10"/>
  <c r="AU1243" i="10"/>
  <c r="AJ1243" i="10"/>
  <c r="AU1379" i="10"/>
  <c r="AN1379" i="10"/>
  <c r="AO1491" i="10"/>
  <c r="AN1491" i="10"/>
  <c r="L1503" i="10"/>
  <c r="AV1699" i="10"/>
  <c r="AU1699" i="10"/>
  <c r="AO1703" i="10"/>
  <c r="AN1703" i="10"/>
  <c r="AU1711" i="10"/>
  <c r="AU1713" i="10"/>
  <c r="AA1758" i="10"/>
  <c r="AV1758" i="10"/>
  <c r="AR1735" i="10"/>
  <c r="AU1799" i="10"/>
  <c r="AA1799" i="10"/>
  <c r="AV1799" i="10"/>
  <c r="AJ1814" i="10"/>
  <c r="BO1820" i="10"/>
  <c r="AN1820" i="10"/>
  <c r="AV1839" i="10"/>
  <c r="AU1839" i="10"/>
  <c r="AA1857" i="10"/>
  <c r="AV1857" i="10"/>
  <c r="AA1825" i="10"/>
  <c r="AV1825" i="10"/>
  <c r="AJ1841" i="10"/>
  <c r="AU1841" i="10"/>
  <c r="BH1893" i="10"/>
  <c r="BM1893" i="10" s="1"/>
  <c r="BO1893" i="10" s="1"/>
  <c r="AO1893" i="10"/>
  <c r="AN1932" i="10"/>
  <c r="BO1932" i="10"/>
  <c r="AJ1953" i="10"/>
  <c r="AU1953" i="10"/>
  <c r="AO2020" i="10"/>
  <c r="AN2020" i="10"/>
  <c r="AJ2102" i="10"/>
  <c r="AU2102" i="10"/>
  <c r="AU2173" i="10"/>
  <c r="AJ2173" i="10"/>
  <c r="AU1964" i="10"/>
  <c r="AN1964" i="10"/>
  <c r="AO2027" i="10"/>
  <c r="AJ2040" i="10"/>
  <c r="AN2040" i="10"/>
  <c r="J2047" i="10"/>
  <c r="L2048" i="10"/>
  <c r="AO2148" i="10"/>
  <c r="BH2148" i="10"/>
  <c r="BM2148" i="10" s="1"/>
  <c r="BO2148" i="10" s="1"/>
  <c r="AA2164" i="10"/>
  <c r="AV2164" i="10"/>
  <c r="AU1947" i="10"/>
  <c r="AJ1947" i="10"/>
  <c r="L1973" i="10"/>
  <c r="AU1255" i="10"/>
  <c r="AN1263" i="10"/>
  <c r="AR1299" i="10"/>
  <c r="AV1317" i="10"/>
  <c r="AU1366" i="10"/>
  <c r="AV1410" i="10"/>
  <c r="V1533" i="10"/>
  <c r="AN1605" i="10"/>
  <c r="AN1759" i="10"/>
  <c r="AU1760" i="10"/>
  <c r="AU1785" i="10"/>
  <c r="AV1794" i="10"/>
  <c r="AA1794" i="10"/>
  <c r="BO1842" i="10"/>
  <c r="AA1847" i="10"/>
  <c r="AV1847" i="10"/>
  <c r="AU1848" i="10"/>
  <c r="AJ1853" i="10"/>
  <c r="AU1853" i="10"/>
  <c r="AJ1874" i="10"/>
  <c r="AU1874" i="10"/>
  <c r="AV1897" i="10"/>
  <c r="AA1897" i="10"/>
  <c r="AJ1928" i="10"/>
  <c r="AU1928" i="10"/>
  <c r="AV1946" i="10"/>
  <c r="AA1946" i="10"/>
  <c r="AU2036" i="10"/>
  <c r="AJ2036" i="10"/>
  <c r="AO2156" i="10"/>
  <c r="BO2156" i="10"/>
  <c r="AN2156" i="10"/>
  <c r="AN2170" i="10"/>
  <c r="AJ2170" i="10"/>
  <c r="AA1136" i="10"/>
  <c r="AV1136" i="10"/>
  <c r="AU1186" i="10"/>
  <c r="AN1233" i="10"/>
  <c r="AU1262" i="10"/>
  <c r="AU1332" i="10"/>
  <c r="AN1381" i="10"/>
  <c r="AV1424" i="10"/>
  <c r="AA1424" i="10"/>
  <c r="AN1497" i="10"/>
  <c r="AN1545" i="10"/>
  <c r="AV1573" i="10"/>
  <c r="AA1573" i="10"/>
  <c r="AN1642" i="10"/>
  <c r="AN1700" i="10"/>
  <c r="AJ1703" i="10"/>
  <c r="AU1703" i="10"/>
  <c r="BO1731" i="10"/>
  <c r="AO1731" i="10"/>
  <c r="AU1755" i="10"/>
  <c r="AN1760" i="10"/>
  <c r="AU1769" i="10"/>
  <c r="AN1810" i="10"/>
  <c r="AV1812" i="10"/>
  <c r="AJ1883" i="10"/>
  <c r="AU1883" i="10"/>
  <c r="AO2119" i="10"/>
  <c r="BH2119" i="10"/>
  <c r="BM2119" i="10" s="1"/>
  <c r="BO2119" i="10" s="1"/>
  <c r="AN989" i="10"/>
  <c r="AN1056" i="10"/>
  <c r="AU1107" i="10"/>
  <c r="AJ1143" i="10"/>
  <c r="AU1143" i="10"/>
  <c r="AN1198" i="10"/>
  <c r="AN1227" i="10"/>
  <c r="AJ1281" i="10"/>
  <c r="AA1302" i="10"/>
  <c r="AU1310" i="10"/>
  <c r="AN1316" i="10"/>
  <c r="J1349" i="10"/>
  <c r="AJ1357" i="10"/>
  <c r="AJ1358" i="10"/>
  <c r="AA1372" i="10"/>
  <c r="AU1380" i="10"/>
  <c r="AA1390" i="10"/>
  <c r="AU1396" i="10"/>
  <c r="AJ1424" i="10"/>
  <c r="AN1426" i="10"/>
  <c r="AU1428" i="10"/>
  <c r="AJ1509" i="10"/>
  <c r="AA1511" i="10"/>
  <c r="J1533" i="10"/>
  <c r="AN1535" i="10"/>
  <c r="AJ1553" i="10"/>
  <c r="AU1553" i="10"/>
  <c r="AV1572" i="10"/>
  <c r="AA1572" i="10"/>
  <c r="AU1573" i="10"/>
  <c r="AU1579" i="10"/>
  <c r="AN1582" i="10"/>
  <c r="AU1618" i="10"/>
  <c r="AA1665" i="10"/>
  <c r="AA1670" i="10"/>
  <c r="AU1673" i="10"/>
  <c r="AO1674" i="10"/>
  <c r="AU1675" i="10"/>
  <c r="AA1688" i="10"/>
  <c r="AR1661" i="10"/>
  <c r="AN1702" i="10"/>
  <c r="L1716" i="10"/>
  <c r="AU1717" i="10"/>
  <c r="AV1728" i="10"/>
  <c r="AA1728" i="10"/>
  <c r="AJ1752" i="10"/>
  <c r="AU1754" i="10"/>
  <c r="AU1795" i="10"/>
  <c r="AU1807" i="10"/>
  <c r="AN1808" i="10"/>
  <c r="AV1814" i="10"/>
  <c r="AV1828" i="10"/>
  <c r="AA1828" i="10"/>
  <c r="AU1837" i="10"/>
  <c r="AJ1846" i="10"/>
  <c r="AJ1852" i="10"/>
  <c r="AU1852" i="10"/>
  <c r="AA1896" i="10"/>
  <c r="AV1896" i="10"/>
  <c r="AU1896" i="10"/>
  <c r="AU1898" i="10"/>
  <c r="AU1920" i="10"/>
  <c r="AA2118" i="10"/>
  <c r="AR2090" i="10"/>
  <c r="K1349" i="10"/>
  <c r="AR1448" i="10"/>
  <c r="AR1348" i="10" s="1"/>
  <c r="AJ1471" i="10"/>
  <c r="AU1471" i="10"/>
  <c r="AU1476" i="10"/>
  <c r="AJ1476" i="10"/>
  <c r="AO1701" i="10"/>
  <c r="BO1701" i="10"/>
  <c r="AA1818" i="10"/>
  <c r="AV1818" i="10"/>
  <c r="AU1827" i="10"/>
  <c r="AJ1827" i="10"/>
  <c r="AO1862" i="10"/>
  <c r="AA1877" i="10"/>
  <c r="AO1904" i="10"/>
  <c r="AN1904" i="10"/>
  <c r="AA1941" i="10"/>
  <c r="AV1941" i="10"/>
  <c r="AN2010" i="10"/>
  <c r="AO2060" i="10"/>
  <c r="AN2060" i="10"/>
  <c r="AA2077" i="10"/>
  <c r="AV2077" i="10"/>
  <c r="AV1961" i="10"/>
  <c r="AA1961" i="10"/>
  <c r="AU2129" i="10"/>
  <c r="AA2129" i="10"/>
  <c r="AJ2183" i="10"/>
  <c r="AU2183" i="10"/>
  <c r="AA1895" i="10"/>
  <c r="AV1895" i="10"/>
  <c r="AJ1940" i="10"/>
  <c r="AU1941" i="10"/>
  <c r="AN2003" i="10"/>
  <c r="AO2003" i="10"/>
  <c r="AA2009" i="10"/>
  <c r="AV2009" i="10"/>
  <c r="AJ2033" i="10"/>
  <c r="AU2033" i="10"/>
  <c r="AA2055" i="10"/>
  <c r="AV2055" i="10"/>
  <c r="AU2132" i="10"/>
  <c r="AJ2132" i="10"/>
  <c r="AA2152" i="10"/>
  <c r="AV2152" i="10"/>
  <c r="AU2152" i="10"/>
  <c r="AU1971" i="10"/>
  <c r="AJ1971" i="10"/>
  <c r="AO2077" i="10"/>
  <c r="AN2077" i="10"/>
  <c r="AU2097" i="10"/>
  <c r="AJ2097" i="10"/>
  <c r="BO2169" i="10"/>
  <c r="AO2169" i="10"/>
  <c r="AV2220" i="10"/>
  <c r="AD2219" i="10"/>
  <c r="AA2220" i="10"/>
  <c r="AU1278" i="10"/>
  <c r="L1294" i="10"/>
  <c r="AM1300" i="10"/>
  <c r="AJ1300" i="10" s="1"/>
  <c r="AN1314" i="10"/>
  <c r="AU1318" i="10"/>
  <c r="Q1321" i="10"/>
  <c r="AV1384" i="10"/>
  <c r="AA1384" i="10"/>
  <c r="AN1389" i="10"/>
  <c r="AU1418" i="10"/>
  <c r="AO1455" i="10"/>
  <c r="AN1455" i="10"/>
  <c r="L1473" i="10"/>
  <c r="AU1486" i="10"/>
  <c r="AO1541" i="10"/>
  <c r="AN1541" i="10"/>
  <c r="AN1550" i="10"/>
  <c r="AV1571" i="10"/>
  <c r="L1610" i="10"/>
  <c r="AU1623" i="10"/>
  <c r="L1636" i="10"/>
  <c r="AV1653" i="10"/>
  <c r="AU1684" i="10"/>
  <c r="AN1776" i="10"/>
  <c r="AO1804" i="10"/>
  <c r="AN1804" i="10"/>
  <c r="AA1855" i="10"/>
  <c r="AV1855" i="10"/>
  <c r="AU1869" i="10"/>
  <c r="AU1939" i="10"/>
  <c r="AN1939" i="10"/>
  <c r="AU1978" i="10"/>
  <c r="AV1978" i="10"/>
  <c r="AA1978" i="10"/>
  <c r="AU2009" i="10"/>
  <c r="AV2129" i="10"/>
  <c r="AU2210" i="10"/>
  <c r="AM2209" i="10"/>
  <c r="AJ2209" i="10" s="1"/>
  <c r="AJ2210" i="10"/>
  <c r="AV1988" i="10"/>
  <c r="AA1988" i="10"/>
  <c r="AU2068" i="10"/>
  <c r="AJ2068" i="10"/>
  <c r="AJ2108" i="10"/>
  <c r="AU2108" i="10"/>
  <c r="AJ2177" i="10"/>
  <c r="AM2176" i="10"/>
  <c r="AU2177" i="10"/>
  <c r="BH2356" i="10"/>
  <c r="BM2356" i="10" s="1"/>
  <c r="AO2356" i="10"/>
  <c r="AU1946" i="10"/>
  <c r="AU1992" i="10"/>
  <c r="AJ1992" i="10"/>
  <c r="AO2006" i="10"/>
  <c r="AN2006" i="10"/>
  <c r="AN2013" i="10"/>
  <c r="AO2013" i="10"/>
  <c r="AV2065" i="10"/>
  <c r="AA2065" i="10"/>
  <c r="AO2095" i="10"/>
  <c r="AN2095" i="10"/>
  <c r="AN2147" i="10"/>
  <c r="AU2154" i="10"/>
  <c r="AJ2154" i="10"/>
  <c r="AA2157" i="10"/>
  <c r="AN2158" i="10"/>
  <c r="AU2164" i="10"/>
  <c r="AV2169" i="10"/>
  <c r="BH2188" i="10"/>
  <c r="BM2188" i="10" s="1"/>
  <c r="BO2188" i="10" s="1"/>
  <c r="AO2188" i="10"/>
  <c r="AN2191" i="10"/>
  <c r="BH2191" i="10"/>
  <c r="BM2191" i="10" s="1"/>
  <c r="BO2191" i="10" s="1"/>
  <c r="AM2221" i="10"/>
  <c r="AJ2222" i="10"/>
  <c r="AN2274" i="10"/>
  <c r="BO2338" i="10"/>
  <c r="AO2338" i="10"/>
  <c r="AN2338" i="10"/>
  <c r="AV2445" i="10"/>
  <c r="AA2445" i="10"/>
  <c r="AJ2451" i="10"/>
  <c r="AU2451" i="10"/>
  <c r="AU1845" i="10"/>
  <c r="AN1868" i="10"/>
  <c r="V1880" i="10"/>
  <c r="AO1938" i="10"/>
  <c r="AN1952" i="10"/>
  <c r="AU1960" i="10"/>
  <c r="J1984" i="10"/>
  <c r="J1972" i="10" s="1"/>
  <c r="AJ1986" i="10"/>
  <c r="AV2012" i="10"/>
  <c r="AA2012" i="10"/>
  <c r="AN2021" i="10"/>
  <c r="AA2069" i="10"/>
  <c r="AN2070" i="10"/>
  <c r="AA2074" i="10"/>
  <c r="AJ2075" i="10"/>
  <c r="AU2075" i="10"/>
  <c r="AV2107" i="10"/>
  <c r="AA2107" i="10"/>
  <c r="AV2108" i="10"/>
  <c r="AA2121" i="10"/>
  <c r="AA2134" i="10"/>
  <c r="AO2158" i="10"/>
  <c r="AA2171" i="10"/>
  <c r="J2178" i="10"/>
  <c r="AV2201" i="10"/>
  <c r="L2207" i="10"/>
  <c r="AD2215" i="10"/>
  <c r="AA2216" i="10"/>
  <c r="AJ2267" i="10"/>
  <c r="AU2267" i="10"/>
  <c r="AA1935" i="10"/>
  <c r="L1974" i="10"/>
  <c r="AU2026" i="10"/>
  <c r="AA2114" i="10"/>
  <c r="AV2114" i="10"/>
  <c r="AV2117" i="10"/>
  <c r="AA2117" i="10"/>
  <c r="AU2118" i="10"/>
  <c r="BH2163" i="10"/>
  <c r="BM2163" i="10" s="1"/>
  <c r="AO2163" i="10"/>
  <c r="BH2164" i="10"/>
  <c r="BM2164" i="10" s="1"/>
  <c r="AN2164" i="10"/>
  <c r="AU2168" i="10"/>
  <c r="AO2205" i="10"/>
  <c r="AN2205" i="10"/>
  <c r="L2213" i="10"/>
  <c r="AA2284" i="10"/>
  <c r="AD2283" i="10"/>
  <c r="AV2284" i="10"/>
  <c r="AU2324" i="10"/>
  <c r="AJ2324" i="10"/>
  <c r="AN2001" i="10"/>
  <c r="AO2001" i="10"/>
  <c r="AN2025" i="10"/>
  <c r="AJ2042" i="10"/>
  <c r="AU2042" i="10"/>
  <c r="AN2141" i="10"/>
  <c r="AV2227" i="10"/>
  <c r="AA2227" i="10"/>
  <c r="K2244" i="10"/>
  <c r="AJ2284" i="10"/>
  <c r="AU2284" i="10"/>
  <c r="AM2283" i="10"/>
  <c r="AV2305" i="10"/>
  <c r="AA2305" i="10"/>
  <c r="AU1175" i="10"/>
  <c r="AU1368" i="10"/>
  <c r="AN1477" i="10"/>
  <c r="AU1496" i="10"/>
  <c r="L1562" i="10"/>
  <c r="AN1607" i="10"/>
  <c r="AU1642" i="10"/>
  <c r="AU1730" i="10"/>
  <c r="AN1733" i="10"/>
  <c r="AU1740" i="10"/>
  <c r="AU1767" i="10"/>
  <c r="AN1831" i="10"/>
  <c r="L1878" i="10"/>
  <c r="AU1897" i="10"/>
  <c r="AN1898" i="10"/>
  <c r="AU1912" i="10"/>
  <c r="AU1925" i="10"/>
  <c r="AO1943" i="10"/>
  <c r="AN1943" i="10"/>
  <c r="AU1944" i="10"/>
  <c r="AV1958" i="10"/>
  <c r="AA1971" i="10"/>
  <c r="AV1971" i="10"/>
  <c r="AU2001" i="10"/>
  <c r="AU2008" i="10"/>
  <c r="AU2029" i="10"/>
  <c r="AA2068" i="10"/>
  <c r="AV2068" i="10"/>
  <c r="AN2069" i="10"/>
  <c r="AN2079" i="10"/>
  <c r="AN2094" i="10"/>
  <c r="AA2097" i="10"/>
  <c r="AV2097" i="10"/>
  <c r="AU2111" i="10"/>
  <c r="AV2216" i="10"/>
  <c r="AU2227" i="10"/>
  <c r="AN2249" i="10"/>
  <c r="L2255" i="10"/>
  <c r="AM2272" i="10"/>
  <c r="AU2318" i="10"/>
  <c r="AJ2318" i="10"/>
  <c r="AV1944" i="10"/>
  <c r="AJ1957" i="10"/>
  <c r="AU1957" i="10"/>
  <c r="AU1966" i="10"/>
  <c r="AV1986" i="10"/>
  <c r="AU2020" i="10"/>
  <c r="AV2029" i="10"/>
  <c r="AA2035" i="10"/>
  <c r="AV2035" i="10"/>
  <c r="AV2041" i="10"/>
  <c r="AA2041" i="10"/>
  <c r="V2043" i="10"/>
  <c r="AU2046" i="10"/>
  <c r="AU2069" i="10"/>
  <c r="AM2088" i="10"/>
  <c r="AU2089" i="10"/>
  <c r="AV2149" i="10"/>
  <c r="AA2149" i="10"/>
  <c r="AV2157" i="10"/>
  <c r="AJ2167" i="10"/>
  <c r="AU2167" i="10"/>
  <c r="AV2177" i="10"/>
  <c r="AD2176" i="10"/>
  <c r="AA2192" i="10"/>
  <c r="AV2192" i="10"/>
  <c r="AU2195" i="10"/>
  <c r="AV2315" i="10"/>
  <c r="AU1934" i="10"/>
  <c r="AV1993" i="10"/>
  <c r="AA1993" i="10"/>
  <c r="AV2007" i="10"/>
  <c r="AU2007" i="10"/>
  <c r="AA2060" i="10"/>
  <c r="AV2060" i="10"/>
  <c r="L2082" i="10"/>
  <c r="AM2084" i="10"/>
  <c r="AJ2085" i="10"/>
  <c r="AA2132" i="10"/>
  <c r="AO2170" i="10"/>
  <c r="AN2173" i="10"/>
  <c r="AR2244" i="10"/>
  <c r="L2288" i="10"/>
  <c r="K2287" i="10"/>
  <c r="AU1873" i="10"/>
  <c r="AA1947" i="10"/>
  <c r="AV1947" i="10"/>
  <c r="AJ1963" i="10"/>
  <c r="AN1997" i="10"/>
  <c r="AJ2027" i="10"/>
  <c r="AM2044" i="10"/>
  <c r="AU2077" i="10"/>
  <c r="L2083" i="10"/>
  <c r="BO2103" i="10"/>
  <c r="AN2103" i="10"/>
  <c r="AD2205" i="10"/>
  <c r="AU2205" i="10" s="1"/>
  <c r="AV2206" i="10"/>
  <c r="AU2119" i="10"/>
  <c r="AJ2119" i="10"/>
  <c r="AV2200" i="10"/>
  <c r="AA2200" i="10"/>
  <c r="AA2243" i="10"/>
  <c r="AD2242" i="10"/>
  <c r="AV2243" i="10"/>
  <c r="K2277" i="10"/>
  <c r="AJ2304" i="10"/>
  <c r="AU2304" i="10"/>
  <c r="AV2228" i="10"/>
  <c r="AA2228" i="10"/>
  <c r="AA2506" i="10"/>
  <c r="AV2506" i="10"/>
  <c r="AU2506" i="10"/>
  <c r="L2221" i="10"/>
  <c r="AD2261" i="10"/>
  <c r="AA2262" i="10"/>
  <c r="AV2270" i="10"/>
  <c r="AJ2297" i="10"/>
  <c r="AU2297" i="10"/>
  <c r="AV2310" i="10"/>
  <c r="AA2310" i="10"/>
  <c r="AJ2381" i="10"/>
  <c r="AU2381" i="10"/>
  <c r="AA2493" i="10"/>
  <c r="AV2493" i="10"/>
  <c r="AN1978" i="10"/>
  <c r="AV2003" i="10"/>
  <c r="AN2015" i="10"/>
  <c r="AA2017" i="10"/>
  <c r="AN2024" i="10"/>
  <c r="AN2033" i="10"/>
  <c r="W2041" i="10"/>
  <c r="K2090" i="10"/>
  <c r="AA2110" i="10"/>
  <c r="AO2116" i="10"/>
  <c r="AU2136" i="10"/>
  <c r="AN2167" i="10"/>
  <c r="AA2197" i="10"/>
  <c r="AA2203" i="10"/>
  <c r="J2237" i="10"/>
  <c r="J2241" i="10"/>
  <c r="L2241" i="10" s="1"/>
  <c r="AZ2244" i="10"/>
  <c r="AA2251" i="10"/>
  <c r="AD2253" i="10"/>
  <c r="AJ2273" i="10"/>
  <c r="AR2277" i="10"/>
  <c r="AA2409" i="10"/>
  <c r="AV2409" i="10"/>
  <c r="AN1876" i="10"/>
  <c r="AA1925" i="10"/>
  <c r="AA1929" i="10"/>
  <c r="AU1935" i="10"/>
  <c r="J1880" i="10"/>
  <c r="AU1945" i="10"/>
  <c r="AA1952" i="10"/>
  <c r="AA1954" i="10"/>
  <c r="AU1955" i="10"/>
  <c r="AA1966" i="10"/>
  <c r="AJ1977" i="10"/>
  <c r="AA1987" i="10"/>
  <c r="AU2021" i="10"/>
  <c r="AJ2072" i="10"/>
  <c r="AO2073" i="10"/>
  <c r="AU2074" i="10"/>
  <c r="AA2089" i="10"/>
  <c r="Q2090" i="10"/>
  <c r="AN2096" i="10"/>
  <c r="AN2111" i="10"/>
  <c r="AA2127" i="10"/>
  <c r="AA2154" i="10"/>
  <c r="AA2180" i="10"/>
  <c r="AA2187" i="10"/>
  <c r="AU2188" i="10"/>
  <c r="AA2191" i="10"/>
  <c r="AU2218" i="10"/>
  <c r="AJ2231" i="10"/>
  <c r="AU2231" i="10"/>
  <c r="J2261" i="10"/>
  <c r="L2261" i="10" s="1"/>
  <c r="L2262" i="10"/>
  <c r="J2265" i="10"/>
  <c r="L2265" i="10" s="1"/>
  <c r="AJ2309" i="10"/>
  <c r="AA2323" i="10"/>
  <c r="AJ2327" i="10"/>
  <c r="AU2327" i="10"/>
  <c r="AO2337" i="10"/>
  <c r="AN2337" i="10"/>
  <c r="BO2337" i="10"/>
  <c r="AV2468" i="10"/>
  <c r="AA2468" i="10"/>
  <c r="AN1927" i="10"/>
  <c r="L2223" i="10"/>
  <c r="AA2275" i="10"/>
  <c r="AV2275" i="10"/>
  <c r="AV2302" i="10"/>
  <c r="AA2302" i="10"/>
  <c r="AA2308" i="10"/>
  <c r="AV2308" i="10"/>
  <c r="AA2524" i="10"/>
  <c r="AV2524" i="10"/>
  <c r="AZ2264" i="10"/>
  <c r="AA2291" i="10"/>
  <c r="AV2291" i="10"/>
  <c r="AU2305" i="10"/>
  <c r="AV2313" i="10"/>
  <c r="AM2217" i="10"/>
  <c r="V2244" i="10"/>
  <c r="AV2260" i="10"/>
  <c r="AD2259" i="10"/>
  <c r="AJ2474" i="10"/>
  <c r="AU2474" i="10"/>
  <c r="AA2486" i="10"/>
  <c r="AV2486" i="10"/>
  <c r="AU2486" i="10"/>
  <c r="AN1900" i="10"/>
  <c r="AN1909" i="10"/>
  <c r="AN1929" i="10"/>
  <c r="K1984" i="10"/>
  <c r="K1972" i="10" s="1"/>
  <c r="BH2029" i="10"/>
  <c r="BM2029" i="10" s="1"/>
  <c r="E412" i="11" s="1"/>
  <c r="F412" i="11" s="1"/>
  <c r="W2035" i="10"/>
  <c r="AN2081" i="10"/>
  <c r="AV2099" i="10"/>
  <c r="AV2109" i="10"/>
  <c r="BH2111" i="10"/>
  <c r="BM2111" i="10" s="1"/>
  <c r="BO2111" i="10" s="1"/>
  <c r="AV2119" i="10"/>
  <c r="AN2123" i="10"/>
  <c r="AD2179" i="10"/>
  <c r="AV2183" i="10"/>
  <c r="AD2202" i="10"/>
  <c r="AZ2204" i="10"/>
  <c r="BO2230" i="10"/>
  <c r="AN2230" i="10"/>
  <c r="AA2240" i="10"/>
  <c r="AN2247" i="10"/>
  <c r="AA2254" i="10"/>
  <c r="Q2264" i="10"/>
  <c r="AA2270" i="10"/>
  <c r="AU2275" i="10"/>
  <c r="V2285" i="10"/>
  <c r="L2301" i="10"/>
  <c r="AU2308" i="10"/>
  <c r="AV2311" i="10"/>
  <c r="AA2311" i="10"/>
  <c r="AJ2319" i="10"/>
  <c r="AU2319" i="10"/>
  <c r="Q2277" i="10"/>
  <c r="AU2529" i="10"/>
  <c r="AJ2529" i="10"/>
  <c r="AM2528" i="10"/>
  <c r="AU2338" i="10"/>
  <c r="AV2370" i="10"/>
  <c r="AU2378" i="10"/>
  <c r="AV2388" i="10"/>
  <c r="AU2411" i="10"/>
  <c r="AU2419" i="10"/>
  <c r="AV2437" i="10"/>
  <c r="X177" i="11"/>
  <c r="AM311" i="11"/>
  <c r="V374" i="11"/>
  <c r="V497" i="11"/>
  <c r="V494" i="11" s="1"/>
  <c r="BO2326" i="10"/>
  <c r="AV2338" i="10"/>
  <c r="AJ2341" i="10"/>
  <c r="AO2342" i="10"/>
  <c r="AU2361" i="10"/>
  <c r="AN2373" i="10"/>
  <c r="L2383" i="10"/>
  <c r="AA2391" i="10"/>
  <c r="AV2397" i="10"/>
  <c r="AA2404" i="10"/>
  <c r="AV2424" i="10"/>
  <c r="L2447" i="10"/>
  <c r="AA2492" i="10"/>
  <c r="AO2506" i="10"/>
  <c r="AN2507" i="10"/>
  <c r="AJ2516" i="10"/>
  <c r="L2520" i="10"/>
  <c r="AA2526" i="10"/>
  <c r="AK151" i="11"/>
  <c r="V355" i="11"/>
  <c r="V353" i="11" s="1"/>
  <c r="AJ387" i="11"/>
  <c r="AA2332" i="10"/>
  <c r="AU2355" i="10"/>
  <c r="AJ2359" i="10"/>
  <c r="AV2387" i="10"/>
  <c r="AA2394" i="10"/>
  <c r="AV2396" i="10"/>
  <c r="AJ2400" i="10"/>
  <c r="AV2469" i="10"/>
  <c r="AJ2472" i="10"/>
  <c r="AN2473" i="10"/>
  <c r="AC45" i="11"/>
  <c r="AC44" i="11" s="1"/>
  <c r="AC138" i="11"/>
  <c r="AC137" i="11" s="1"/>
  <c r="AD284" i="11"/>
  <c r="AD177" i="11" s="1"/>
  <c r="V294" i="11"/>
  <c r="AI308" i="11"/>
  <c r="AI307" i="11" s="1"/>
  <c r="V469" i="11"/>
  <c r="AV2482" i="10"/>
  <c r="L2521" i="10"/>
  <c r="AU2533" i="10"/>
  <c r="W14" i="11"/>
  <c r="W4" i="11" s="1"/>
  <c r="AD45" i="11"/>
  <c r="AD44" i="11" s="1"/>
  <c r="S179" i="11"/>
  <c r="AK342" i="11"/>
  <c r="S469" i="11"/>
  <c r="AM527" i="11"/>
  <c r="AM525" i="11" s="1"/>
  <c r="L2215" i="10"/>
  <c r="AU2230" i="10"/>
  <c r="AA2249" i="10"/>
  <c r="AO2314" i="10"/>
  <c r="AN2358" i="10"/>
  <c r="AN2359" i="10"/>
  <c r="AN2360" i="10"/>
  <c r="AU2377" i="10"/>
  <c r="BH2381" i="10"/>
  <c r="BM2381" i="10" s="1"/>
  <c r="L2388" i="10"/>
  <c r="AU2391" i="10"/>
  <c r="AO2485" i="10"/>
  <c r="AA2498" i="10"/>
  <c r="AO2500" i="10"/>
  <c r="AA2514" i="10"/>
  <c r="AU2522" i="10"/>
  <c r="AV2533" i="10"/>
  <c r="X14" i="11"/>
  <c r="AD14" i="11"/>
  <c r="AB99" i="11"/>
  <c r="X328" i="11"/>
  <c r="X423" i="11"/>
  <c r="AK507" i="11"/>
  <c r="AK505" i="11" s="1"/>
  <c r="AU2159" i="10"/>
  <c r="W2164" i="10"/>
  <c r="L2198" i="10"/>
  <c r="L2279" i="10"/>
  <c r="AU2313" i="10"/>
  <c r="AJ2321" i="10"/>
  <c r="AA2327" i="10"/>
  <c r="AN2332" i="10"/>
  <c r="AU2345" i="10"/>
  <c r="AV2350" i="10"/>
  <c r="AO2358" i="10"/>
  <c r="AO2359" i="10"/>
  <c r="AA2383" i="10"/>
  <c r="AA2389" i="10"/>
  <c r="AN2404" i="10"/>
  <c r="AJ2413" i="10"/>
  <c r="AA2416" i="10"/>
  <c r="AU2427" i="10"/>
  <c r="AU2433" i="10"/>
  <c r="AU2444" i="10"/>
  <c r="AA2453" i="10"/>
  <c r="AA2462" i="10"/>
  <c r="AV2526" i="10"/>
  <c r="AI45" i="11"/>
  <c r="AI44" i="11" s="1"/>
  <c r="AL209" i="11"/>
  <c r="AK241" i="11"/>
  <c r="AK248" i="11"/>
  <c r="AJ308" i="11"/>
  <c r="AJ307" i="11" s="1"/>
  <c r="W396" i="11"/>
  <c r="AJ2371" i="10"/>
  <c r="AA2412" i="10"/>
  <c r="AA2448" i="10"/>
  <c r="AJ2457" i="10"/>
  <c r="AJ2466" i="10"/>
  <c r="AG14" i="11"/>
  <c r="AK397" i="11"/>
  <c r="X396" i="11"/>
  <c r="W521" i="11"/>
  <c r="W518" i="11" s="1"/>
  <c r="W516" i="11" s="1"/>
  <c r="AU2514" i="10"/>
  <c r="AL35" i="11"/>
  <c r="AJ99" i="11"/>
  <c r="V220" i="11"/>
  <c r="AB396" i="11"/>
  <c r="X521" i="11"/>
  <c r="X518" i="11" s="1"/>
  <c r="X516" i="11" s="1"/>
  <c r="AU2311" i="10"/>
  <c r="AN2312" i="10"/>
  <c r="AU2326" i="10"/>
  <c r="AU2332" i="10"/>
  <c r="AU2337" i="10"/>
  <c r="AU2363" i="10"/>
  <c r="BO2463" i="10"/>
  <c r="BH2500" i="10"/>
  <c r="AV2525" i="10"/>
  <c r="V168" i="11"/>
  <c r="W353" i="11"/>
  <c r="AV2393" i="10"/>
  <c r="AA2396" i="10"/>
  <c r="L2445" i="10"/>
  <c r="AU2453" i="10"/>
  <c r="AA2469" i="10"/>
  <c r="AA2487" i="10"/>
  <c r="AM104" i="11"/>
  <c r="V379" i="11"/>
  <c r="W378" i="11"/>
  <c r="AD521" i="11"/>
  <c r="AD518" i="11" s="1"/>
  <c r="AD516" i="11" s="1"/>
  <c r="AD548" i="11" s="1"/>
  <c r="AM2256" i="10"/>
  <c r="AU2310" i="10"/>
  <c r="V2347" i="10"/>
  <c r="V2299" i="10" s="1"/>
  <c r="AV2363" i="10"/>
  <c r="AV2366" i="10"/>
  <c r="AU2371" i="10"/>
  <c r="AU2420" i="10"/>
  <c r="L2532" i="10"/>
  <c r="S78" i="11"/>
  <c r="AM298" i="11"/>
  <c r="AK331" i="11"/>
  <c r="AJ365" i="11"/>
  <c r="AJ364" i="11" s="1"/>
  <c r="AI440" i="11"/>
  <c r="V151" i="11"/>
  <c r="AB378" i="11"/>
  <c r="R1882" i="10"/>
  <c r="S1882" i="10" s="1"/>
  <c r="R440" i="10"/>
  <c r="S440" i="10" s="1"/>
  <c r="R469" i="10"/>
  <c r="S469" i="10" s="1"/>
  <c r="R1447" i="10"/>
  <c r="S1447" i="10" s="1"/>
  <c r="R1464" i="10"/>
  <c r="S1464" i="10" s="1"/>
  <c r="R1605" i="10"/>
  <c r="S1605" i="10" s="1"/>
  <c r="R1620" i="10"/>
  <c r="S1620" i="10" s="1"/>
  <c r="R1654" i="10"/>
  <c r="S1654" i="10" s="1"/>
  <c r="R1707" i="10"/>
  <c r="S1707" i="10" s="1"/>
  <c r="R1708" i="10"/>
  <c r="S1708" i="10" s="1"/>
  <c r="R1714" i="10"/>
  <c r="S1714" i="10" s="1"/>
  <c r="R1791" i="10"/>
  <c r="S1791" i="10" s="1"/>
  <c r="R1889" i="10"/>
  <c r="S1889" i="10" s="1"/>
  <c r="W607" i="10"/>
  <c r="R941" i="10"/>
  <c r="S941" i="10" s="1"/>
  <c r="R1103" i="10"/>
  <c r="S1103" i="10" s="1"/>
  <c r="R1166" i="10"/>
  <c r="S1166" i="10" s="1"/>
  <c r="R1181" i="10"/>
  <c r="S1181" i="10" s="1"/>
  <c r="R1188" i="10"/>
  <c r="S1188" i="10" s="1"/>
  <c r="R1365" i="10"/>
  <c r="S1365" i="10" s="1"/>
  <c r="R1469" i="10"/>
  <c r="S1469" i="10" s="1"/>
  <c r="R1582" i="10"/>
  <c r="S1582" i="10" s="1"/>
  <c r="R1583" i="10"/>
  <c r="S1583" i="10" s="1"/>
  <c r="R1584" i="10"/>
  <c r="S1584" i="10" s="1"/>
  <c r="R1101" i="10"/>
  <c r="S1101" i="10" s="1"/>
  <c r="R1102" i="10"/>
  <c r="S1102" i="10" s="1"/>
  <c r="R1153" i="10"/>
  <c r="S1153" i="10" s="1"/>
  <c r="R1956" i="10"/>
  <c r="S1956" i="10" s="1"/>
  <c r="R2024" i="10"/>
  <c r="S2024" i="10" s="1"/>
  <c r="W633" i="10"/>
  <c r="R1481" i="10"/>
  <c r="S1481" i="10" s="1"/>
  <c r="R1522" i="10"/>
  <c r="S1522" i="10" s="1"/>
  <c r="R1555" i="10"/>
  <c r="S1555" i="10" s="1"/>
  <c r="R1601" i="10"/>
  <c r="S1601" i="10" s="1"/>
  <c r="R980" i="10"/>
  <c r="S980" i="10" s="1"/>
  <c r="R1097" i="10"/>
  <c r="S1097" i="10" s="1"/>
  <c r="R1544" i="10"/>
  <c r="S1544" i="10" s="1"/>
  <c r="R1557" i="10"/>
  <c r="S1557" i="10" s="1"/>
  <c r="R1561" i="10"/>
  <c r="S1561" i="10" s="1"/>
  <c r="R1619" i="10"/>
  <c r="S1619" i="10" s="1"/>
  <c r="R1652" i="10"/>
  <c r="S1652" i="10" s="1"/>
  <c r="R1847" i="10"/>
  <c r="S1847" i="10" s="1"/>
  <c r="R1853" i="10"/>
  <c r="S1853" i="10" s="1"/>
  <c r="R1888" i="10"/>
  <c r="S1888" i="10" s="1"/>
  <c r="R986" i="10"/>
  <c r="S986" i="10" s="1"/>
  <c r="R1500" i="10"/>
  <c r="S1500" i="10" s="1"/>
  <c r="R1734" i="10"/>
  <c r="S1734" i="10" s="1"/>
  <c r="R1802" i="10"/>
  <c r="S1802" i="10" s="1"/>
  <c r="R1948" i="10"/>
  <c r="S1948" i="10" s="1"/>
  <c r="U535" i="10"/>
  <c r="R1834" i="10"/>
  <c r="S1834" i="10" s="1"/>
  <c r="BA10" i="10"/>
  <c r="R445" i="10"/>
  <c r="S445" i="10" s="1"/>
  <c r="R504" i="10"/>
  <c r="S504" i="10" s="1"/>
  <c r="W556" i="10"/>
  <c r="R618" i="10"/>
  <c r="W1268" i="10"/>
  <c r="R1717" i="10"/>
  <c r="S1717" i="10" s="1"/>
  <c r="R1719" i="10"/>
  <c r="S1719" i="10" s="1"/>
  <c r="R1885" i="10"/>
  <c r="S1885" i="10" s="1"/>
  <c r="R1898" i="10"/>
  <c r="S1898" i="10" s="1"/>
  <c r="R1921" i="10"/>
  <c r="S1921" i="10" s="1"/>
  <c r="R1923" i="10"/>
  <c r="S1923" i="10" s="1"/>
  <c r="R154" i="10"/>
  <c r="S154" i="10" s="1"/>
  <c r="R320" i="10"/>
  <c r="S320" i="10" s="1"/>
  <c r="R476" i="10"/>
  <c r="S476" i="10" s="1"/>
  <c r="W618" i="10"/>
  <c r="W636" i="10"/>
  <c r="W635" i="10" s="1"/>
  <c r="R27" i="10"/>
  <c r="S27" i="10" s="1"/>
  <c r="W125" i="10"/>
  <c r="W127" i="10"/>
  <c r="R1602" i="10"/>
  <c r="S1602" i="10" s="1"/>
  <c r="R1700" i="10"/>
  <c r="S1700" i="10" s="1"/>
  <c r="R1915" i="10"/>
  <c r="S1915" i="10" s="1"/>
  <c r="R1962" i="10"/>
  <c r="S1962" i="10" s="1"/>
  <c r="R1963" i="10"/>
  <c r="S1963" i="10" s="1"/>
  <c r="R1965" i="10"/>
  <c r="S1965" i="10" s="1"/>
  <c r="R1896" i="10"/>
  <c r="S1896" i="10" s="1"/>
  <c r="R1899" i="10"/>
  <c r="S1899" i="10" s="1"/>
  <c r="Q502" i="10"/>
  <c r="W538" i="10"/>
  <c r="R965" i="10"/>
  <c r="S965" i="10" s="1"/>
  <c r="R1398" i="10"/>
  <c r="S1398" i="10" s="1"/>
  <c r="R1542" i="10"/>
  <c r="S1542" i="10" s="1"/>
  <c r="R1495" i="10"/>
  <c r="S1495" i="10" s="1"/>
  <c r="R1578" i="10"/>
  <c r="S1578" i="10" s="1"/>
  <c r="R1682" i="10"/>
  <c r="S1682" i="10" s="1"/>
  <c r="R1745" i="10"/>
  <c r="S1745" i="10" s="1"/>
  <c r="R1801" i="10"/>
  <c r="S1801" i="10" s="1"/>
  <c r="R1817" i="10"/>
  <c r="S1817" i="10" s="1"/>
  <c r="R1818" i="10"/>
  <c r="S1818" i="10" s="1"/>
  <c r="R1830" i="10"/>
  <c r="S1830" i="10" s="1"/>
  <c r="R1865" i="10"/>
  <c r="S1865" i="10" s="1"/>
  <c r="R1868" i="10"/>
  <c r="S1868" i="10" s="1"/>
  <c r="R441" i="10"/>
  <c r="S441" i="10" s="1"/>
  <c r="W510" i="10"/>
  <c r="W520" i="10"/>
  <c r="R1113" i="10"/>
  <c r="S1113" i="10" s="1"/>
  <c r="R1121" i="10"/>
  <c r="S1121" i="10" s="1"/>
  <c r="R1130" i="10"/>
  <c r="S1130" i="10" s="1"/>
  <c r="R1175" i="10"/>
  <c r="S1175" i="10" s="1"/>
  <c r="R1192" i="10"/>
  <c r="S1192" i="10" s="1"/>
  <c r="R1387" i="10"/>
  <c r="S1387" i="10" s="1"/>
  <c r="R1390" i="10"/>
  <c r="S1390" i="10" s="1"/>
  <c r="R1391" i="10"/>
  <c r="S1391" i="10" s="1"/>
  <c r="R1395" i="10"/>
  <c r="S1395" i="10" s="1"/>
  <c r="R1452" i="10"/>
  <c r="S1452" i="10" s="1"/>
  <c r="R1458" i="10"/>
  <c r="S1458" i="10" s="1"/>
  <c r="R1492" i="10"/>
  <c r="S1492" i="10" s="1"/>
  <c r="R1587" i="10"/>
  <c r="S1587" i="10" s="1"/>
  <c r="R1615" i="10"/>
  <c r="S1615" i="10" s="1"/>
  <c r="R1616" i="10"/>
  <c r="S1616" i="10" s="1"/>
  <c r="R1741" i="10"/>
  <c r="S1741" i="10" s="1"/>
  <c r="R1797" i="10"/>
  <c r="S1797" i="10" s="1"/>
  <c r="R1799" i="10"/>
  <c r="S1799" i="10" s="1"/>
  <c r="R1839" i="10"/>
  <c r="S1839" i="10" s="1"/>
  <c r="R1840" i="10"/>
  <c r="S1840" i="10" s="1"/>
  <c r="R1843" i="10"/>
  <c r="S1843" i="10" s="1"/>
  <c r="R1844" i="10"/>
  <c r="S1844" i="10" s="1"/>
  <c r="R1864" i="10"/>
  <c r="S1864" i="10" s="1"/>
  <c r="R1892" i="10"/>
  <c r="S1892" i="10" s="1"/>
  <c r="R964" i="10"/>
  <c r="S964" i="10" s="1"/>
  <c r="R1129" i="10"/>
  <c r="S1129" i="10" s="1"/>
  <c r="R1156" i="10"/>
  <c r="S1156" i="10" s="1"/>
  <c r="R1234" i="10"/>
  <c r="S1234" i="10" s="1"/>
  <c r="W1313" i="10"/>
  <c r="R1384" i="10"/>
  <c r="S1384" i="10" s="1"/>
  <c r="R1424" i="10"/>
  <c r="S1424" i="10" s="1"/>
  <c r="AY110" i="10"/>
  <c r="AY109" i="10" s="1"/>
  <c r="R963" i="10"/>
  <c r="S963" i="10" s="1"/>
  <c r="R969" i="10"/>
  <c r="S969" i="10" s="1"/>
  <c r="R974" i="10"/>
  <c r="S974" i="10" s="1"/>
  <c r="R1954" i="10"/>
  <c r="S1954" i="10" s="1"/>
  <c r="R1433" i="10"/>
  <c r="S1433" i="10" s="1"/>
  <c r="W487" i="10"/>
  <c r="R1109" i="10"/>
  <c r="S1109" i="10" s="1"/>
  <c r="R1363" i="10"/>
  <c r="S1363" i="10" s="1"/>
  <c r="R1404" i="10"/>
  <c r="S1404" i="10" s="1"/>
  <c r="R1529" i="10"/>
  <c r="S1529" i="10" s="1"/>
  <c r="R1629" i="10"/>
  <c r="S1629" i="10" s="1"/>
  <c r="R1631" i="10"/>
  <c r="S1631" i="10" s="1"/>
  <c r="R1633" i="10"/>
  <c r="S1633" i="10" s="1"/>
  <c r="R1641" i="10"/>
  <c r="S1641" i="10" s="1"/>
  <c r="R1863" i="10"/>
  <c r="S1863" i="10" s="1"/>
  <c r="R1904" i="10"/>
  <c r="S1904" i="10" s="1"/>
  <c r="R1918" i="10"/>
  <c r="S1918" i="10" s="1"/>
  <c r="R1945" i="10"/>
  <c r="S1945" i="10" s="1"/>
  <c r="AY2213" i="10"/>
  <c r="R945" i="10"/>
  <c r="S945" i="10" s="1"/>
  <c r="R961" i="10"/>
  <c r="S961" i="10" s="1"/>
  <c r="W1000" i="10"/>
  <c r="R1217" i="10"/>
  <c r="S1217" i="10" s="1"/>
  <c r="R1231" i="10"/>
  <c r="S1231" i="10" s="1"/>
  <c r="R1415" i="10"/>
  <c r="S1415" i="10" s="1"/>
  <c r="AY238" i="10"/>
  <c r="U234" i="10"/>
  <c r="R158" i="10"/>
  <c r="S158" i="10" s="1"/>
  <c r="AY1294" i="10"/>
  <c r="U240" i="10"/>
  <c r="W1041" i="10"/>
  <c r="R1194" i="10"/>
  <c r="S1194" i="10" s="1"/>
  <c r="R1199" i="10"/>
  <c r="S1199" i="10" s="1"/>
  <c r="R1230" i="10"/>
  <c r="S1230" i="10" s="1"/>
  <c r="R1356" i="10"/>
  <c r="S1356" i="10" s="1"/>
  <c r="R1378" i="10"/>
  <c r="S1378" i="10" s="1"/>
  <c r="R1417" i="10"/>
  <c r="S1417" i="10" s="1"/>
  <c r="R1607" i="10"/>
  <c r="S1607" i="10" s="1"/>
  <c r="R1675" i="10"/>
  <c r="S1675" i="10" s="1"/>
  <c r="R1729" i="10"/>
  <c r="S1729" i="10" s="1"/>
  <c r="R1766" i="10"/>
  <c r="S1766" i="10" s="1"/>
  <c r="R1783" i="10"/>
  <c r="S1783" i="10" s="1"/>
  <c r="R1784" i="10"/>
  <c r="S1784" i="10" s="1"/>
  <c r="R1795" i="10"/>
  <c r="S1795" i="10" s="1"/>
  <c r="R1876" i="10"/>
  <c r="S1876" i="10" s="1"/>
  <c r="R1947" i="10"/>
  <c r="S1947" i="10" s="1"/>
  <c r="R1949" i="10"/>
  <c r="S1949" i="10" s="1"/>
  <c r="W225" i="10"/>
  <c r="W224" i="10" s="1"/>
  <c r="R606" i="10"/>
  <c r="S606" i="10" s="1"/>
  <c r="R992" i="10"/>
  <c r="S992" i="10" s="1"/>
  <c r="Q2446" i="10"/>
  <c r="R2446" i="10" s="1"/>
  <c r="S2446" i="10" s="1"/>
  <c r="W549" i="10"/>
  <c r="R977" i="10"/>
  <c r="S977" i="10" s="1"/>
  <c r="R1161" i="10"/>
  <c r="S1161" i="10" s="1"/>
  <c r="R1193" i="10"/>
  <c r="S1193" i="10" s="1"/>
  <c r="R1205" i="10"/>
  <c r="S1205" i="10" s="1"/>
  <c r="V1258" i="10"/>
  <c r="R1606" i="10"/>
  <c r="S1606" i="10" s="1"/>
  <c r="R1621" i="10"/>
  <c r="S1621" i="10" s="1"/>
  <c r="R1623" i="10"/>
  <c r="S1623" i="10" s="1"/>
  <c r="R1627" i="10"/>
  <c r="S1627" i="10" s="1"/>
  <c r="R1628" i="10"/>
  <c r="S1628" i="10" s="1"/>
  <c r="R1693" i="10"/>
  <c r="S1693" i="10" s="1"/>
  <c r="R1739" i="10"/>
  <c r="S1739" i="10" s="1"/>
  <c r="W155" i="10"/>
  <c r="P221" i="10"/>
  <c r="R950" i="10"/>
  <c r="S950" i="10" s="1"/>
  <c r="R959" i="10"/>
  <c r="S959" i="10" s="1"/>
  <c r="R1094" i="10"/>
  <c r="S1094" i="10" s="1"/>
  <c r="R1104" i="10"/>
  <c r="S1104" i="10" s="1"/>
  <c r="R1105" i="10"/>
  <c r="S1105" i="10" s="1"/>
  <c r="R1122" i="10"/>
  <c r="S1122" i="10" s="1"/>
  <c r="R1197" i="10"/>
  <c r="S1197" i="10" s="1"/>
  <c r="R1375" i="10"/>
  <c r="S1375" i="10" s="1"/>
  <c r="R1437" i="10"/>
  <c r="S1437" i="10" s="1"/>
  <c r="R1502" i="10"/>
  <c r="S1502" i="10" s="1"/>
  <c r="R1671" i="10"/>
  <c r="S1671" i="10" s="1"/>
  <c r="R1697" i="10"/>
  <c r="S1697" i="10" s="1"/>
  <c r="R1698" i="10"/>
  <c r="S1698" i="10" s="1"/>
  <c r="R1711" i="10"/>
  <c r="S1711" i="10" s="1"/>
  <c r="R1712" i="10"/>
  <c r="S1712" i="10" s="1"/>
  <c r="R1715" i="10"/>
  <c r="S1715" i="10" s="1"/>
  <c r="R1737" i="10"/>
  <c r="S1737" i="10" s="1"/>
  <c r="R1763" i="10"/>
  <c r="S1763" i="10" s="1"/>
  <c r="R1837" i="10"/>
  <c r="S1837" i="10" s="1"/>
  <c r="R1925" i="10"/>
  <c r="S1925" i="10" s="1"/>
  <c r="R1926" i="10"/>
  <c r="S1926" i="10" s="1"/>
  <c r="R1478" i="10"/>
  <c r="S1478" i="10" s="1"/>
  <c r="P1287" i="10"/>
  <c r="P1286" i="10" s="1"/>
  <c r="BA2523" i="10"/>
  <c r="BA58" i="10"/>
  <c r="BA57" i="10" s="1"/>
  <c r="R128" i="10"/>
  <c r="S128" i="10" s="1"/>
  <c r="U221" i="10"/>
  <c r="V608" i="10"/>
  <c r="R1125" i="10"/>
  <c r="S1125" i="10" s="1"/>
  <c r="R1152" i="10"/>
  <c r="S1152" i="10" s="1"/>
  <c r="R1202" i="10"/>
  <c r="S1202" i="10" s="1"/>
  <c r="R1530" i="10"/>
  <c r="S1530" i="10" s="1"/>
  <c r="R1577" i="10"/>
  <c r="S1577" i="10" s="1"/>
  <c r="AY2288" i="10"/>
  <c r="AY2287" i="10" s="1"/>
  <c r="AY2286" i="10" s="1"/>
  <c r="P2348" i="10"/>
  <c r="R1043" i="10"/>
  <c r="S1043" i="10" s="1"/>
  <c r="R943" i="10"/>
  <c r="S943" i="10" s="1"/>
  <c r="R1558" i="10"/>
  <c r="S1558" i="10" s="1"/>
  <c r="R1110" i="10"/>
  <c r="S1110" i="10" s="1"/>
  <c r="V13" i="10"/>
  <c r="U78" i="10"/>
  <c r="U77" i="10" s="1"/>
  <c r="R2508" i="10"/>
  <c r="S2508" i="10" s="1"/>
  <c r="U1287" i="10"/>
  <c r="U1286" i="10" s="1"/>
  <c r="R1551" i="10"/>
  <c r="S1551" i="10" s="1"/>
  <c r="R1599" i="10"/>
  <c r="S1599" i="10" s="1"/>
  <c r="U2283" i="10"/>
  <c r="U2282" i="10" s="1"/>
  <c r="BA2514" i="10"/>
  <c r="R2516" i="10"/>
  <c r="S2516" i="10" s="1"/>
  <c r="R1560" i="10"/>
  <c r="S1560" i="10" s="1"/>
  <c r="Q13" i="10"/>
  <c r="R1351" i="10"/>
  <c r="V611" i="10"/>
  <c r="R2512" i="10"/>
  <c r="S2512" i="10" s="1"/>
  <c r="R951" i="10"/>
  <c r="S951" i="10" s="1"/>
  <c r="U55" i="10"/>
  <c r="W128" i="10"/>
  <c r="R465" i="10"/>
  <c r="S465" i="10" s="1"/>
  <c r="R1096" i="10"/>
  <c r="S1096" i="10" s="1"/>
  <c r="R1371" i="10"/>
  <c r="S1371" i="10" s="1"/>
  <c r="R1442" i="10"/>
  <c r="S1442" i="10" s="1"/>
  <c r="R1528" i="10"/>
  <c r="S1528" i="10" s="1"/>
  <c r="R1617" i="10"/>
  <c r="S1617" i="10" s="1"/>
  <c r="R1750" i="10"/>
  <c r="S1750" i="10" s="1"/>
  <c r="R1777" i="10"/>
  <c r="S1777" i="10" s="1"/>
  <c r="R1778" i="10"/>
  <c r="S1778" i="10" s="1"/>
  <c r="R1813" i="10"/>
  <c r="S1813" i="10" s="1"/>
  <c r="R1861" i="10"/>
  <c r="S1861" i="10" s="1"/>
  <c r="R1872" i="10"/>
  <c r="S1872" i="10" s="1"/>
  <c r="R1934" i="10"/>
  <c r="S1934" i="10" s="1"/>
  <c r="W621" i="10"/>
  <c r="R443" i="10"/>
  <c r="S443" i="10" s="1"/>
  <c r="R573" i="10"/>
  <c r="S573" i="10" s="1"/>
  <c r="R955" i="10"/>
  <c r="S955" i="10" s="1"/>
  <c r="R956" i="10"/>
  <c r="S956" i="10" s="1"/>
  <c r="R1151" i="10"/>
  <c r="S1151" i="10" s="1"/>
  <c r="R1162" i="10"/>
  <c r="S1162" i="10" s="1"/>
  <c r="R1170" i="10"/>
  <c r="S1170" i="10" s="1"/>
  <c r="R1200" i="10"/>
  <c r="S1200" i="10" s="1"/>
  <c r="R1368" i="10"/>
  <c r="S1368" i="10" s="1"/>
  <c r="R1411" i="10"/>
  <c r="S1411" i="10" s="1"/>
  <c r="R1438" i="10"/>
  <c r="S1438" i="10" s="1"/>
  <c r="R1441" i="10"/>
  <c r="S1441" i="10" s="1"/>
  <c r="R1460" i="10"/>
  <c r="S1460" i="10" s="1"/>
  <c r="R1525" i="10"/>
  <c r="S1525" i="10" s="1"/>
  <c r="R1614" i="10"/>
  <c r="S1614" i="10" s="1"/>
  <c r="R1632" i="10"/>
  <c r="S1632" i="10" s="1"/>
  <c r="R1678" i="10"/>
  <c r="S1678" i="10" s="1"/>
  <c r="R1731" i="10"/>
  <c r="S1731" i="10" s="1"/>
  <c r="R1747" i="10"/>
  <c r="S1747" i="10" s="1"/>
  <c r="R1773" i="10"/>
  <c r="S1773" i="10" s="1"/>
  <c r="R1810" i="10"/>
  <c r="S1810" i="10" s="1"/>
  <c r="R1814" i="10"/>
  <c r="S1814" i="10" s="1"/>
  <c r="R1903" i="10"/>
  <c r="S1903" i="10" s="1"/>
  <c r="AY2205" i="10"/>
  <c r="S2222" i="10"/>
  <c r="P2198" i="10"/>
  <c r="U2205" i="10"/>
  <c r="W527" i="10"/>
  <c r="R1159" i="10"/>
  <c r="S1159" i="10" s="1"/>
  <c r="R1236" i="10"/>
  <c r="S1236" i="10" s="1"/>
  <c r="R1465" i="10"/>
  <c r="S1465" i="10" s="1"/>
  <c r="AY2215" i="10"/>
  <c r="BA2220" i="10"/>
  <c r="BA2219" i="10" s="1"/>
  <c r="BA2289" i="10"/>
  <c r="BA2288" i="10" s="1"/>
  <c r="BA2287" i="10" s="1"/>
  <c r="BA2286" i="10" s="1"/>
  <c r="R1207" i="10"/>
  <c r="S1207" i="10" s="1"/>
  <c r="R1489" i="10"/>
  <c r="S1489" i="10" s="1"/>
  <c r="AY2196" i="10"/>
  <c r="P394" i="10"/>
  <c r="P393" i="10" s="1"/>
  <c r="AY215" i="10"/>
  <c r="U185" i="10"/>
  <c r="AY234" i="10"/>
  <c r="R1090" i="10"/>
  <c r="S1090" i="10" s="1"/>
  <c r="R1405" i="10"/>
  <c r="S1405" i="10" s="1"/>
  <c r="R985" i="10"/>
  <c r="S985" i="10" s="1"/>
  <c r="R1427" i="10"/>
  <c r="S1427" i="10" s="1"/>
  <c r="AY66" i="10"/>
  <c r="AY65" i="10" s="1"/>
  <c r="AY743" i="10"/>
  <c r="BA743" i="10" s="1"/>
  <c r="R970" i="10"/>
  <c r="S970" i="10" s="1"/>
  <c r="R994" i="10"/>
  <c r="S994" i="10" s="1"/>
  <c r="R1848" i="10"/>
  <c r="S1848" i="10" s="1"/>
  <c r="R1917" i="10"/>
  <c r="S1917" i="10" s="1"/>
  <c r="R1919" i="10"/>
  <c r="S1919" i="10" s="1"/>
  <c r="AY1982" i="10"/>
  <c r="AY1981" i="10" s="1"/>
  <c r="R2198" i="10"/>
  <c r="S2198" i="10" s="1"/>
  <c r="P2221" i="10"/>
  <c r="BA2348" i="10"/>
  <c r="R127" i="10"/>
  <c r="S127" i="10" s="1"/>
  <c r="AZ611" i="10"/>
  <c r="Q644" i="10"/>
  <c r="Q643" i="10" s="1"/>
  <c r="R782" i="10"/>
  <c r="S782" i="10" s="1"/>
  <c r="R1352" i="10"/>
  <c r="S1352" i="10" s="1"/>
  <c r="R1353" i="10"/>
  <c r="S1353" i="10" s="1"/>
  <c r="R1367" i="10"/>
  <c r="S1367" i="10" s="1"/>
  <c r="R1409" i="10"/>
  <c r="S1409" i="10" s="1"/>
  <c r="R1456" i="10"/>
  <c r="S1456" i="10" s="1"/>
  <c r="R1517" i="10"/>
  <c r="S1517" i="10" s="1"/>
  <c r="R1518" i="10"/>
  <c r="S1518" i="10" s="1"/>
  <c r="R1531" i="10"/>
  <c r="S1531" i="10" s="1"/>
  <c r="R1685" i="10"/>
  <c r="S1685" i="10" s="1"/>
  <c r="R1686" i="10"/>
  <c r="S1686" i="10" s="1"/>
  <c r="R1749" i="10"/>
  <c r="S1749" i="10" s="1"/>
  <c r="R1752" i="10"/>
  <c r="S1752" i="10" s="1"/>
  <c r="R1753" i="10"/>
  <c r="S1753" i="10" s="1"/>
  <c r="R1755" i="10"/>
  <c r="S1755" i="10" s="1"/>
  <c r="R1760" i="10"/>
  <c r="S1760" i="10" s="1"/>
  <c r="R1782" i="10"/>
  <c r="S1782" i="10" s="1"/>
  <c r="R1894" i="10"/>
  <c r="S1894" i="10" s="1"/>
  <c r="R1910" i="10"/>
  <c r="S1910" i="10" s="1"/>
  <c r="R2025" i="10"/>
  <c r="S2025" i="10" s="1"/>
  <c r="AZ2243" i="10"/>
  <c r="AZ2242" i="10" s="1"/>
  <c r="AZ2241" i="10" s="1"/>
  <c r="AZ2233" i="10" s="1"/>
  <c r="AY2256" i="10"/>
  <c r="AY2255" i="10" s="1"/>
  <c r="U2266" i="10"/>
  <c r="U2265" i="10" s="1"/>
  <c r="BA2500" i="10"/>
  <c r="BA2499" i="10" s="1"/>
  <c r="R2506" i="10"/>
  <c r="S2506" i="10" s="1"/>
  <c r="R2507" i="10"/>
  <c r="S2507" i="10" s="1"/>
  <c r="R1815" i="10"/>
  <c r="S1815" i="10" s="1"/>
  <c r="R1383" i="10"/>
  <c r="S1383" i="10" s="1"/>
  <c r="R1446" i="10"/>
  <c r="S1446" i="10" s="1"/>
  <c r="BA1031" i="10"/>
  <c r="R1920" i="10"/>
  <c r="S1920" i="10" s="1"/>
  <c r="R993" i="10"/>
  <c r="S993" i="10" s="1"/>
  <c r="R1701" i="10"/>
  <c r="S1701" i="10" s="1"/>
  <c r="AY608" i="10"/>
  <c r="AY2217" i="10"/>
  <c r="P2279" i="10"/>
  <c r="P2278" i="10" s="1"/>
  <c r="W541" i="10"/>
  <c r="R1635" i="10"/>
  <c r="S1635" i="10" s="1"/>
  <c r="P2235" i="10"/>
  <c r="P2234" i="10" s="1"/>
  <c r="P274" i="10"/>
  <c r="P273" i="10" s="1"/>
  <c r="P29" i="10"/>
  <c r="P110" i="10"/>
  <c r="P109" i="10" s="1"/>
  <c r="W154" i="10"/>
  <c r="W156" i="10"/>
  <c r="R448" i="10"/>
  <c r="S448" i="10" s="1"/>
  <c r="R464" i="10"/>
  <c r="S464" i="10" s="1"/>
  <c r="R495" i="10"/>
  <c r="S495" i="10" s="1"/>
  <c r="W514" i="10"/>
  <c r="W585" i="10"/>
  <c r="W782" i="10"/>
  <c r="R973" i="10"/>
  <c r="S973" i="10" s="1"/>
  <c r="R1118" i="10"/>
  <c r="S1118" i="10" s="1"/>
  <c r="R1144" i="10"/>
  <c r="S1144" i="10" s="1"/>
  <c r="R1179" i="10"/>
  <c r="S1179" i="10" s="1"/>
  <c r="R1187" i="10"/>
  <c r="S1187" i="10" s="1"/>
  <c r="R1354" i="10"/>
  <c r="S1354" i="10" s="1"/>
  <c r="R1776" i="10"/>
  <c r="S1776" i="10" s="1"/>
  <c r="R1789" i="10"/>
  <c r="S1789" i="10" s="1"/>
  <c r="W232" i="10"/>
  <c r="W231" i="10" s="1"/>
  <c r="R1382" i="10"/>
  <c r="S1382" i="10" s="1"/>
  <c r="BA590" i="10"/>
  <c r="BA650" i="10"/>
  <c r="R1401" i="10"/>
  <c r="S1401" i="10" s="1"/>
  <c r="R1214" i="10"/>
  <c r="S1214" i="10" s="1"/>
  <c r="R30" i="10"/>
  <c r="S30" i="10" s="1"/>
  <c r="U274" i="10"/>
  <c r="U273" i="10" s="1"/>
  <c r="R1509" i="10"/>
  <c r="S1509" i="10" s="1"/>
  <c r="R1513" i="10"/>
  <c r="S1513" i="10" s="1"/>
  <c r="R1515" i="10"/>
  <c r="S1515" i="10" s="1"/>
  <c r="R1565" i="10"/>
  <c r="S1565" i="10" s="1"/>
  <c r="R1665" i="10"/>
  <c r="S1665" i="10" s="1"/>
  <c r="R1679" i="10"/>
  <c r="S1679" i="10" s="1"/>
  <c r="R1958" i="10"/>
  <c r="S1958" i="10" s="1"/>
  <c r="R2085" i="10"/>
  <c r="S2085" i="10" s="1"/>
  <c r="BA235" i="10"/>
  <c r="BA234" i="10" s="1"/>
  <c r="AY626" i="10"/>
  <c r="BA626" i="10" s="1"/>
  <c r="AY2445" i="10"/>
  <c r="R1485" i="10"/>
  <c r="S1485" i="10" s="1"/>
  <c r="AY70" i="10"/>
  <c r="AY69" i="10" s="1"/>
  <c r="AY68" i="10" s="1"/>
  <c r="U206" i="10"/>
  <c r="Q489" i="10"/>
  <c r="Q488" i="10" s="1"/>
  <c r="W512" i="10"/>
  <c r="W610" i="10"/>
  <c r="R978" i="10"/>
  <c r="S978" i="10" s="1"/>
  <c r="R979" i="10"/>
  <c r="S979" i="10" s="1"/>
  <c r="R1095" i="10"/>
  <c r="S1095" i="10" s="1"/>
  <c r="R1168" i="10"/>
  <c r="S1168" i="10" s="1"/>
  <c r="R1185" i="10"/>
  <c r="S1185" i="10" s="1"/>
  <c r="R1450" i="10"/>
  <c r="S1450" i="10" s="1"/>
  <c r="R1476" i="10"/>
  <c r="S1476" i="10" s="1"/>
  <c r="R1491" i="10"/>
  <c r="S1491" i="10" s="1"/>
  <c r="R1511" i="10"/>
  <c r="S1511" i="10" s="1"/>
  <c r="R1512" i="10"/>
  <c r="S1512" i="10" s="1"/>
  <c r="R1649" i="10"/>
  <c r="S1649" i="10" s="1"/>
  <c r="R1650" i="10"/>
  <c r="S1650" i="10" s="1"/>
  <c r="R1651" i="10"/>
  <c r="S1651" i="10" s="1"/>
  <c r="R1666" i="10"/>
  <c r="S1666" i="10" s="1"/>
  <c r="R1720" i="10"/>
  <c r="S1720" i="10" s="1"/>
  <c r="R1870" i="10"/>
  <c r="S1870" i="10" s="1"/>
  <c r="R1871" i="10"/>
  <c r="S1871" i="10" s="1"/>
  <c r="R1874" i="10"/>
  <c r="S1874" i="10" s="1"/>
  <c r="R1914" i="10"/>
  <c r="S1914" i="10" s="1"/>
  <c r="R1936" i="10"/>
  <c r="S1936" i="10" s="1"/>
  <c r="U2196" i="10"/>
  <c r="U2262" i="10"/>
  <c r="U2261" i="10" s="1"/>
  <c r="AY55" i="10"/>
  <c r="AY59" i="10"/>
  <c r="AY208" i="10"/>
  <c r="U228" i="10"/>
  <c r="AY398" i="10"/>
  <c r="AY397" i="10" s="1"/>
  <c r="AY396" i="10" s="1"/>
  <c r="R472" i="10"/>
  <c r="S472" i="10" s="1"/>
  <c r="BA1343" i="10"/>
  <c r="BA1342" i="10" s="1"/>
  <c r="BA1341" i="10" s="1"/>
  <c r="AY1342" i="10"/>
  <c r="AY1341" i="10" s="1"/>
  <c r="P36" i="10"/>
  <c r="U110" i="10"/>
  <c r="U109" i="10" s="1"/>
  <c r="W58" i="10"/>
  <c r="W57" i="10" s="1"/>
  <c r="W75" i="10"/>
  <c r="W74" i="10" s="1"/>
  <c r="W73" i="10" s="1"/>
  <c r="S114" i="10"/>
  <c r="R125" i="10"/>
  <c r="S125" i="10" s="1"/>
  <c r="U225" i="10"/>
  <c r="U224" i="10" s="1"/>
  <c r="R225" i="10"/>
  <c r="R224" i="10" s="1"/>
  <c r="AY247" i="10"/>
  <c r="W548" i="10"/>
  <c r="AY629" i="10"/>
  <c r="P1294" i="10"/>
  <c r="R1295" i="10"/>
  <c r="R1294" i="10" s="1"/>
  <c r="S1294" i="10" s="1"/>
  <c r="W1315" i="10"/>
  <c r="AY231" i="10"/>
  <c r="AY228" i="10" s="1"/>
  <c r="BA625" i="10"/>
  <c r="AZ5" i="10"/>
  <c r="BA24" i="10"/>
  <c r="R123" i="10"/>
  <c r="S123" i="10" s="1"/>
  <c r="W268" i="10"/>
  <c r="W267" i="10" s="1"/>
  <c r="W530" i="10"/>
  <c r="W529" i="10" s="1"/>
  <c r="R952" i="10"/>
  <c r="S952" i="10" s="1"/>
  <c r="R982" i="10"/>
  <c r="S982" i="10" s="1"/>
  <c r="P5" i="10"/>
  <c r="R10" i="10"/>
  <c r="S10" i="10" s="1"/>
  <c r="BA11" i="10"/>
  <c r="W24" i="10"/>
  <c r="AZ13" i="10"/>
  <c r="W27" i="10"/>
  <c r="V153" i="10"/>
  <c r="AY225" i="10"/>
  <c r="AY224" i="10" s="1"/>
  <c r="W247" i="10"/>
  <c r="R446" i="10"/>
  <c r="S446" i="10" s="1"/>
  <c r="R490" i="10"/>
  <c r="S490" i="10" s="1"/>
  <c r="P489" i="10"/>
  <c r="P488" i="10" s="1"/>
  <c r="W1040" i="10"/>
  <c r="R1163" i="10"/>
  <c r="S1163" i="10" s="1"/>
  <c r="BA1288" i="10"/>
  <c r="BA1287" i="10" s="1"/>
  <c r="BA1286" i="10" s="1"/>
  <c r="R1638" i="10"/>
  <c r="S1638" i="10" s="1"/>
  <c r="R1655" i="10"/>
  <c r="S1655" i="10" s="1"/>
  <c r="BA75" i="10"/>
  <c r="BA74" i="10" s="1"/>
  <c r="BA73" i="10" s="1"/>
  <c r="W121" i="10"/>
  <c r="R1418" i="10"/>
  <c r="S1418" i="10" s="1"/>
  <c r="U5" i="10"/>
  <c r="W10" i="10"/>
  <c r="R11" i="10"/>
  <c r="S11" i="10" s="1"/>
  <c r="U215" i="10"/>
  <c r="P621" i="10"/>
  <c r="R622" i="10"/>
  <c r="R621" i="10" s="1"/>
  <c r="S621" i="10" s="1"/>
  <c r="W650" i="10"/>
  <c r="W651" i="10"/>
  <c r="W785" i="10"/>
  <c r="BA1042" i="10"/>
  <c r="AZ1322" i="10"/>
  <c r="AZ1321" i="10" s="1"/>
  <c r="AZ2117" i="10"/>
  <c r="BA2117" i="10" s="1"/>
  <c r="AZ635" i="10"/>
  <c r="AY113" i="10"/>
  <c r="AY112" i="10" s="1"/>
  <c r="R155" i="10"/>
  <c r="S155" i="10" s="1"/>
  <c r="W159" i="10"/>
  <c r="U410" i="10"/>
  <c r="U409" i="10" s="1"/>
  <c r="V629" i="10"/>
  <c r="R756" i="10"/>
  <c r="S756" i="10" s="1"/>
  <c r="R1225" i="10"/>
  <c r="S1225" i="10" s="1"/>
  <c r="R1523" i="10"/>
  <c r="S1523" i="10" s="1"/>
  <c r="BA530" i="10"/>
  <c r="BA529" i="10" s="1"/>
  <c r="AZ529" i="10"/>
  <c r="P70" i="10"/>
  <c r="P69" i="10" s="1"/>
  <c r="P68" i="10" s="1"/>
  <c r="R1216" i="10"/>
  <c r="S1216" i="10" s="1"/>
  <c r="R1223" i="10"/>
  <c r="S1223" i="10" s="1"/>
  <c r="Q1823" i="10"/>
  <c r="R1547" i="10"/>
  <c r="S1547" i="10" s="1"/>
  <c r="R1572" i="10"/>
  <c r="S1572" i="10" s="1"/>
  <c r="R1574" i="10"/>
  <c r="S1574" i="10" s="1"/>
  <c r="R1659" i="10"/>
  <c r="S1659" i="10" s="1"/>
  <c r="R1680" i="10"/>
  <c r="S1680" i="10" s="1"/>
  <c r="R1771" i="10"/>
  <c r="S1771" i="10" s="1"/>
  <c r="P2196" i="10"/>
  <c r="R2197" i="10"/>
  <c r="R461" i="10"/>
  <c r="S461" i="10" s="1"/>
  <c r="R467" i="10"/>
  <c r="S467" i="10" s="1"/>
  <c r="R470" i="10"/>
  <c r="S470" i="10" s="1"/>
  <c r="AY529" i="10"/>
  <c r="P729" i="10"/>
  <c r="R946" i="10"/>
  <c r="S946" i="10" s="1"/>
  <c r="R1134" i="10"/>
  <c r="S1134" i="10" s="1"/>
  <c r="U1333" i="10"/>
  <c r="R1385" i="10"/>
  <c r="S1385" i="10" s="1"/>
  <c r="R1386" i="10"/>
  <c r="S1386" i="10" s="1"/>
  <c r="R1389" i="10"/>
  <c r="S1389" i="10" s="1"/>
  <c r="R1461" i="10"/>
  <c r="S1461" i="10" s="1"/>
  <c r="R1462" i="10"/>
  <c r="S1462" i="10" s="1"/>
  <c r="R1463" i="10"/>
  <c r="S1463" i="10" s="1"/>
  <c r="R1545" i="10"/>
  <c r="S1545" i="10" s="1"/>
  <c r="R1566" i="10"/>
  <c r="S1566" i="10" s="1"/>
  <c r="R1573" i="10"/>
  <c r="S1573" i="10" s="1"/>
  <c r="R1611" i="10"/>
  <c r="S1611" i="10" s="1"/>
  <c r="R1613" i="10"/>
  <c r="S1613" i="10" s="1"/>
  <c r="R1780" i="10"/>
  <c r="S1780" i="10" s="1"/>
  <c r="R1820" i="10"/>
  <c r="S1820" i="10" s="1"/>
  <c r="R1836" i="10"/>
  <c r="S1836" i="10" s="1"/>
  <c r="R1901" i="10"/>
  <c r="S1901" i="10" s="1"/>
  <c r="R1911" i="10"/>
  <c r="S1911" i="10" s="1"/>
  <c r="R466" i="10"/>
  <c r="S466" i="10" s="1"/>
  <c r="W559" i="10"/>
  <c r="R575" i="10"/>
  <c r="S575" i="10" s="1"/>
  <c r="R958" i="10"/>
  <c r="S958" i="10" s="1"/>
  <c r="R971" i="10"/>
  <c r="S971" i="10" s="1"/>
  <c r="R988" i="10"/>
  <c r="S988" i="10" s="1"/>
  <c r="W1064" i="10"/>
  <c r="R1157" i="10"/>
  <c r="S1157" i="10" s="1"/>
  <c r="R1177" i="10"/>
  <c r="S1177" i="10" s="1"/>
  <c r="R1195" i="10"/>
  <c r="S1195" i="10" s="1"/>
  <c r="R1210" i="10"/>
  <c r="S1210" i="10" s="1"/>
  <c r="R1219" i="10"/>
  <c r="S1219" i="10" s="1"/>
  <c r="P1283" i="10"/>
  <c r="P1282" i="10" s="1"/>
  <c r="R1474" i="10"/>
  <c r="S1474" i="10" s="1"/>
  <c r="R1543" i="10"/>
  <c r="S1543" i="10" s="1"/>
  <c r="R1579" i="10"/>
  <c r="S1579" i="10" s="1"/>
  <c r="R1580" i="10"/>
  <c r="S1580" i="10" s="1"/>
  <c r="R1674" i="10"/>
  <c r="S1674" i="10" s="1"/>
  <c r="R1767" i="10"/>
  <c r="S1767" i="10" s="1"/>
  <c r="R2260" i="10"/>
  <c r="P2259" i="10"/>
  <c r="P2258" i="10" s="1"/>
  <c r="R451" i="10"/>
  <c r="S451" i="10" s="1"/>
  <c r="BA487" i="10"/>
  <c r="R954" i="10"/>
  <c r="S954" i="10" s="1"/>
  <c r="R1112" i="10"/>
  <c r="S1112" i="10" s="1"/>
  <c r="R1143" i="10"/>
  <c r="S1143" i="10" s="1"/>
  <c r="R1165" i="10"/>
  <c r="S1165" i="10" s="1"/>
  <c r="R1184" i="10"/>
  <c r="S1184" i="10" s="1"/>
  <c r="R1366" i="10"/>
  <c r="S1366" i="10" s="1"/>
  <c r="R1374" i="10"/>
  <c r="S1374" i="10" s="1"/>
  <c r="R1403" i="10"/>
  <c r="S1403" i="10" s="1"/>
  <c r="R1493" i="10"/>
  <c r="S1493" i="10" s="1"/>
  <c r="R1538" i="10"/>
  <c r="S1538" i="10" s="1"/>
  <c r="R1541" i="10"/>
  <c r="S1541" i="10" s="1"/>
  <c r="R1589" i="10"/>
  <c r="S1589" i="10" s="1"/>
  <c r="R1624" i="10"/>
  <c r="S1624" i="10" s="1"/>
  <c r="R1625" i="10"/>
  <c r="S1625" i="10" s="1"/>
  <c r="R1626" i="10"/>
  <c r="S1626" i="10" s="1"/>
  <c r="R1704" i="10"/>
  <c r="S1704" i="10" s="1"/>
  <c r="R1705" i="10"/>
  <c r="S1705" i="10" s="1"/>
  <c r="R1713" i="10"/>
  <c r="S1713" i="10" s="1"/>
  <c r="R1891" i="10"/>
  <c r="S1891" i="10" s="1"/>
  <c r="P2219" i="10"/>
  <c r="W2239" i="10"/>
  <c r="W2238" i="10" s="1"/>
  <c r="W2237" i="10" s="1"/>
  <c r="U2238" i="10"/>
  <c r="U2237" i="10" s="1"/>
  <c r="U2233" i="10" s="1"/>
  <c r="R480" i="10"/>
  <c r="S480" i="10" s="1"/>
  <c r="R527" i="10"/>
  <c r="S527" i="10" s="1"/>
  <c r="R548" i="10"/>
  <c r="S548" i="10" s="1"/>
  <c r="W574" i="10"/>
  <c r="W580" i="10"/>
  <c r="W649" i="10"/>
  <c r="R651" i="10"/>
  <c r="S651" i="10" s="1"/>
  <c r="R785" i="10"/>
  <c r="S785" i="10" s="1"/>
  <c r="R942" i="10"/>
  <c r="S942" i="10" s="1"/>
  <c r="R953" i="10"/>
  <c r="S953" i="10" s="1"/>
  <c r="R962" i="10"/>
  <c r="S962" i="10" s="1"/>
  <c r="R984" i="10"/>
  <c r="S984" i="10" s="1"/>
  <c r="R1093" i="10"/>
  <c r="S1093" i="10" s="1"/>
  <c r="R1107" i="10"/>
  <c r="S1107" i="10" s="1"/>
  <c r="R1108" i="10"/>
  <c r="S1108" i="10" s="1"/>
  <c r="R1164" i="10"/>
  <c r="S1164" i="10" s="1"/>
  <c r="R1189" i="10"/>
  <c r="S1189" i="10" s="1"/>
  <c r="R1190" i="10"/>
  <c r="S1190" i="10" s="1"/>
  <c r="R1191" i="10"/>
  <c r="S1191" i="10" s="1"/>
  <c r="R1208" i="10"/>
  <c r="S1208" i="10" s="1"/>
  <c r="R1226" i="10"/>
  <c r="S1226" i="10" s="1"/>
  <c r="P1345" i="10"/>
  <c r="P1344" i="10" s="1"/>
  <c r="R1364" i="10"/>
  <c r="S1364" i="10" s="1"/>
  <c r="R1369" i="10"/>
  <c r="S1369" i="10" s="1"/>
  <c r="R1376" i="10"/>
  <c r="S1376" i="10" s="1"/>
  <c r="R1377" i="10"/>
  <c r="S1377" i="10" s="1"/>
  <c r="R1414" i="10"/>
  <c r="S1414" i="10" s="1"/>
  <c r="R1430" i="10"/>
  <c r="S1430" i="10" s="1"/>
  <c r="R1443" i="10"/>
  <c r="S1443" i="10" s="1"/>
  <c r="R1454" i="10"/>
  <c r="S1454" i="10" s="1"/>
  <c r="R1487" i="10"/>
  <c r="S1487" i="10" s="1"/>
  <c r="R1494" i="10"/>
  <c r="S1494" i="10" s="1"/>
  <c r="R1506" i="10"/>
  <c r="S1506" i="10" s="1"/>
  <c r="R1510" i="10"/>
  <c r="S1510" i="10" s="1"/>
  <c r="R1537" i="10"/>
  <c r="S1537" i="10" s="1"/>
  <c r="R1762" i="10"/>
  <c r="S1762" i="10" s="1"/>
  <c r="R1785" i="10"/>
  <c r="S1785" i="10" s="1"/>
  <c r="R1854" i="10"/>
  <c r="S1854" i="10" s="1"/>
  <c r="R1858" i="10"/>
  <c r="S1858" i="10" s="1"/>
  <c r="R1867" i="10"/>
  <c r="S1867" i="10" s="1"/>
  <c r="R1959" i="10"/>
  <c r="S1959" i="10" s="1"/>
  <c r="R2206" i="10"/>
  <c r="S2206" i="10" s="1"/>
  <c r="P2205" i="10"/>
  <c r="R2263" i="10"/>
  <c r="R2262" i="10" s="1"/>
  <c r="P2262" i="10"/>
  <c r="P2261" i="10" s="1"/>
  <c r="R1483" i="10"/>
  <c r="S1483" i="10" s="1"/>
  <c r="R1496" i="10"/>
  <c r="S1496" i="10" s="1"/>
  <c r="R1501" i="10"/>
  <c r="S1501" i="10" s="1"/>
  <c r="R1556" i="10"/>
  <c r="S1556" i="10" s="1"/>
  <c r="R1724" i="10"/>
  <c r="S1724" i="10" s="1"/>
  <c r="R1809" i="10"/>
  <c r="S1809" i="10" s="1"/>
  <c r="R1841" i="10"/>
  <c r="S1841" i="10" s="1"/>
  <c r="R1859" i="10"/>
  <c r="S1859" i="10" s="1"/>
  <c r="R1860" i="10"/>
  <c r="S1860" i="10" s="1"/>
  <c r="T1851" i="10"/>
  <c r="U2179" i="10"/>
  <c r="W2210" i="10"/>
  <c r="W2209" i="10" s="1"/>
  <c r="U2209" i="10"/>
  <c r="AY2211" i="10"/>
  <c r="BA2212" i="10"/>
  <c r="BA2211" i="10" s="1"/>
  <c r="R1857" i="10"/>
  <c r="S1857" i="10" s="1"/>
  <c r="AY2200" i="10"/>
  <c r="W479" i="10"/>
  <c r="W504" i="10"/>
  <c r="R510" i="10"/>
  <c r="S510" i="10" s="1"/>
  <c r="R520" i="10"/>
  <c r="S520" i="10" s="1"/>
  <c r="W555" i="10"/>
  <c r="W606" i="10"/>
  <c r="R967" i="10"/>
  <c r="S967" i="10" s="1"/>
  <c r="R981" i="10"/>
  <c r="S981" i="10" s="1"/>
  <c r="R1091" i="10"/>
  <c r="S1091" i="10" s="1"/>
  <c r="R1106" i="10"/>
  <c r="S1106" i="10" s="1"/>
  <c r="R1116" i="10"/>
  <c r="S1116" i="10" s="1"/>
  <c r="R1117" i="10"/>
  <c r="S1117" i="10" s="1"/>
  <c r="R1169" i="10"/>
  <c r="S1169" i="10" s="1"/>
  <c r="R1180" i="10"/>
  <c r="S1180" i="10" s="1"/>
  <c r="R1203" i="10"/>
  <c r="S1203" i="10" s="1"/>
  <c r="R1215" i="10"/>
  <c r="S1215" i="10" s="1"/>
  <c r="R1222" i="10"/>
  <c r="S1222" i="10" s="1"/>
  <c r="R1224" i="10"/>
  <c r="S1224" i="10" s="1"/>
  <c r="R1233" i="10"/>
  <c r="S1233" i="10" s="1"/>
  <c r="R1357" i="10"/>
  <c r="S1357" i="10" s="1"/>
  <c r="R1361" i="10"/>
  <c r="S1361" i="10" s="1"/>
  <c r="R1392" i="10"/>
  <c r="S1392" i="10" s="1"/>
  <c r="R1394" i="10"/>
  <c r="S1394" i="10" s="1"/>
  <c r="R1397" i="10"/>
  <c r="S1397" i="10" s="1"/>
  <c r="R1407" i="10"/>
  <c r="S1407" i="10" s="1"/>
  <c r="R1466" i="10"/>
  <c r="S1466" i="10" s="1"/>
  <c r="R1480" i="10"/>
  <c r="S1480" i="10" s="1"/>
  <c r="R1498" i="10"/>
  <c r="S1498" i="10" s="1"/>
  <c r="R1504" i="10"/>
  <c r="S1504" i="10" s="1"/>
  <c r="R1559" i="10"/>
  <c r="S1559" i="10" s="1"/>
  <c r="R1569" i="10"/>
  <c r="S1569" i="10" s="1"/>
  <c r="R1570" i="10"/>
  <c r="S1570" i="10" s="1"/>
  <c r="R1609" i="10"/>
  <c r="S1609" i="10" s="1"/>
  <c r="R1653" i="10"/>
  <c r="S1653" i="10" s="1"/>
  <c r="R1656" i="10"/>
  <c r="S1656" i="10" s="1"/>
  <c r="R1657" i="10"/>
  <c r="S1657" i="10" s="1"/>
  <c r="R1658" i="10"/>
  <c r="S1658" i="10" s="1"/>
  <c r="R1775" i="10"/>
  <c r="S1775" i="10" s="1"/>
  <c r="R1798" i="10"/>
  <c r="S1798" i="10" s="1"/>
  <c r="R1828" i="10"/>
  <c r="S1828" i="10" s="1"/>
  <c r="R1943" i="10"/>
  <c r="S1943" i="10" s="1"/>
  <c r="R1944" i="10"/>
  <c r="S1944" i="10" s="1"/>
  <c r="W2236" i="10"/>
  <c r="W2235" i="10" s="1"/>
  <c r="W2234" i="10" s="1"/>
  <c r="R1748" i="10"/>
  <c r="S1748" i="10" s="1"/>
  <c r="R1781" i="10"/>
  <c r="S1781" i="10" s="1"/>
  <c r="R1806" i="10"/>
  <c r="S1806" i="10" s="1"/>
  <c r="R1808" i="10"/>
  <c r="S1808" i="10" s="1"/>
  <c r="R1850" i="10"/>
  <c r="S1850" i="10" s="1"/>
  <c r="T1593" i="10"/>
  <c r="R1595" i="10"/>
  <c r="S1595" i="10" s="1"/>
  <c r="R1596" i="10"/>
  <c r="S1596" i="10" s="1"/>
  <c r="R1597" i="10"/>
  <c r="S1597" i="10" s="1"/>
  <c r="R1598" i="10"/>
  <c r="S1598" i="10" s="1"/>
  <c r="R1634" i="10"/>
  <c r="S1634" i="10" s="1"/>
  <c r="R1644" i="10"/>
  <c r="S1644" i="10" s="1"/>
  <c r="R1664" i="10"/>
  <c r="S1664" i="10" s="1"/>
  <c r="R1667" i="10"/>
  <c r="S1667" i="10" s="1"/>
  <c r="R1668" i="10"/>
  <c r="S1668" i="10" s="1"/>
  <c r="R1669" i="10"/>
  <c r="S1669" i="10" s="1"/>
  <c r="R1673" i="10"/>
  <c r="S1673" i="10" s="1"/>
  <c r="R1677" i="10"/>
  <c r="S1677" i="10" s="1"/>
  <c r="R1681" i="10"/>
  <c r="S1681" i="10" s="1"/>
  <c r="R1684" i="10"/>
  <c r="S1684" i="10" s="1"/>
  <c r="R1718" i="10"/>
  <c r="S1718" i="10" s="1"/>
  <c r="R1746" i="10"/>
  <c r="S1746" i="10" s="1"/>
  <c r="R1751" i="10"/>
  <c r="S1751" i="10" s="1"/>
  <c r="R1787" i="10"/>
  <c r="S1787" i="10" s="1"/>
  <c r="R1788" i="10"/>
  <c r="S1788" i="10" s="1"/>
  <c r="R1790" i="10"/>
  <c r="S1790" i="10" s="1"/>
  <c r="R1803" i="10"/>
  <c r="S1803" i="10" s="1"/>
  <c r="R1804" i="10"/>
  <c r="S1804" i="10" s="1"/>
  <c r="R1805" i="10"/>
  <c r="S1805" i="10" s="1"/>
  <c r="R1816" i="10"/>
  <c r="S1816" i="10" s="1"/>
  <c r="R1831" i="10"/>
  <c r="S1831" i="10" s="1"/>
  <c r="R1833" i="10"/>
  <c r="S1833" i="10" s="1"/>
  <c r="R1849" i="10"/>
  <c r="S1849" i="10" s="1"/>
  <c r="R1887" i="10"/>
  <c r="S1887" i="10" s="1"/>
  <c r="R1940" i="10"/>
  <c r="S1940" i="10" s="1"/>
  <c r="R1941" i="10"/>
  <c r="S1941" i="10" s="1"/>
  <c r="R1950" i="10"/>
  <c r="S1950" i="10" s="1"/>
  <c r="R1953" i="10"/>
  <c r="S1953" i="10" s="1"/>
  <c r="R1955" i="10"/>
  <c r="S1955" i="10" s="1"/>
  <c r="AY2084" i="10"/>
  <c r="AY2083" i="10" s="1"/>
  <c r="AY2082" i="10" s="1"/>
  <c r="BA2222" i="10"/>
  <c r="BA2221" i="10" s="1"/>
  <c r="BA2276" i="10"/>
  <c r="BA2272" i="10" s="1"/>
  <c r="BA2271" i="10" s="1"/>
  <c r="Q2504" i="10"/>
  <c r="Q2503" i="10" s="1"/>
  <c r="BA2516" i="10"/>
  <c r="W2519" i="10"/>
  <c r="W2518" i="10" s="1"/>
  <c r="W2517" i="10" s="1"/>
  <c r="R1099" i="10"/>
  <c r="S1099" i="10" s="1"/>
  <c r="R1146" i="10"/>
  <c r="S1146" i="10" s="1"/>
  <c r="R1167" i="10"/>
  <c r="S1167" i="10" s="1"/>
  <c r="R1178" i="10"/>
  <c r="S1178" i="10" s="1"/>
  <c r="R1358" i="10"/>
  <c r="S1358" i="10" s="1"/>
  <c r="R1360" i="10"/>
  <c r="S1360" i="10" s="1"/>
  <c r="R1362" i="10"/>
  <c r="S1362" i="10" s="1"/>
  <c r="R1429" i="10"/>
  <c r="S1429" i="10" s="1"/>
  <c r="R1477" i="10"/>
  <c r="S1477" i="10" s="1"/>
  <c r="R1479" i="10"/>
  <c r="S1479" i="10" s="1"/>
  <c r="R1550" i="10"/>
  <c r="S1550" i="10" s="1"/>
  <c r="R1643" i="10"/>
  <c r="S1643" i="10" s="1"/>
  <c r="R1709" i="10"/>
  <c r="S1709" i="10" s="1"/>
  <c r="R1764" i="10"/>
  <c r="S1764" i="10" s="1"/>
  <c r="R1786" i="10"/>
  <c r="S1786" i="10" s="1"/>
  <c r="R1846" i="10"/>
  <c r="S1846" i="10" s="1"/>
  <c r="R1862" i="10"/>
  <c r="S1862" i="10" s="1"/>
  <c r="R1883" i="10"/>
  <c r="S1883" i="10" s="1"/>
  <c r="R1886" i="10"/>
  <c r="S1886" i="10" s="1"/>
  <c r="R1907" i="10"/>
  <c r="S1907" i="10" s="1"/>
  <c r="R1927" i="10"/>
  <c r="S1927" i="10" s="1"/>
  <c r="R1969" i="10"/>
  <c r="S1969" i="10" s="1"/>
  <c r="R1971" i="10"/>
  <c r="S1971" i="10" s="1"/>
  <c r="AY1974" i="10"/>
  <c r="AY1973" i="10" s="1"/>
  <c r="AZ2180" i="10"/>
  <c r="AZ2179" i="10" s="1"/>
  <c r="AZ2178" i="10" s="1"/>
  <c r="P2213" i="10"/>
  <c r="AY2528" i="10"/>
  <c r="AY2527" i="10" s="1"/>
  <c r="R1428" i="10"/>
  <c r="S1428" i="10" s="1"/>
  <c r="R1435" i="10"/>
  <c r="S1435" i="10" s="1"/>
  <c r="R1453" i="10"/>
  <c r="S1453" i="10" s="1"/>
  <c r="R1455" i="10"/>
  <c r="S1455" i="10" s="1"/>
  <c r="R1554" i="10"/>
  <c r="S1554" i="10" s="1"/>
  <c r="R1575" i="10"/>
  <c r="S1575" i="10" s="1"/>
  <c r="R1640" i="10"/>
  <c r="S1640" i="10" s="1"/>
  <c r="R1702" i="10"/>
  <c r="S1702" i="10" s="1"/>
  <c r="R1703" i="10"/>
  <c r="S1703" i="10" s="1"/>
  <c r="R1706" i="10"/>
  <c r="S1706" i="10" s="1"/>
  <c r="R1829" i="10"/>
  <c r="S1829" i="10" s="1"/>
  <c r="R1842" i="10"/>
  <c r="S1842" i="10" s="1"/>
  <c r="R1884" i="10"/>
  <c r="S1884" i="10" s="1"/>
  <c r="R1905" i="10"/>
  <c r="S1905" i="10" s="1"/>
  <c r="R1935" i="10"/>
  <c r="S1935" i="10" s="1"/>
  <c r="R1966" i="10"/>
  <c r="S1966" i="10" s="1"/>
  <c r="R1967" i="10"/>
  <c r="S1967" i="10" s="1"/>
  <c r="R1968" i="10"/>
  <c r="S1968" i="10" s="1"/>
  <c r="R1970" i="10"/>
  <c r="S1970" i="10" s="1"/>
  <c r="Q1989" i="10"/>
  <c r="Q1984" i="10" s="1"/>
  <c r="W2023" i="10"/>
  <c r="AY2235" i="10"/>
  <c r="AY2234" i="10" s="1"/>
  <c r="BA2513" i="10"/>
  <c r="R1929" i="10"/>
  <c r="S1929" i="10" s="1"/>
  <c r="R1930" i="10"/>
  <c r="S1930" i="10" s="1"/>
  <c r="R1932" i="10"/>
  <c r="S1932" i="10" s="1"/>
  <c r="R1937" i="10"/>
  <c r="S1937" i="10" s="1"/>
  <c r="R2515" i="10"/>
  <c r="S2515" i="10" s="1"/>
  <c r="P2518" i="10"/>
  <c r="P2517" i="10" s="1"/>
  <c r="AY2521" i="10"/>
  <c r="AY2520" i="10" s="1"/>
  <c r="R1912" i="10"/>
  <c r="S1912" i="10" s="1"/>
  <c r="R1922" i="10"/>
  <c r="S1922" i="10" s="1"/>
  <c r="R1924" i="10"/>
  <c r="S1924" i="10" s="1"/>
  <c r="R1960" i="10"/>
  <c r="S1960" i="10" s="1"/>
  <c r="U2207" i="10"/>
  <c r="BA2279" i="10"/>
  <c r="BA2278" i="10" s="1"/>
  <c r="R2509" i="10"/>
  <c r="S2509" i="10" s="1"/>
  <c r="R1866" i="10"/>
  <c r="S1866" i="10" s="1"/>
  <c r="W2446" i="10"/>
  <c r="W2445" i="10" s="1"/>
  <c r="W2526" i="10"/>
  <c r="W2525" i="10" s="1"/>
  <c r="W2524" i="10" s="1"/>
  <c r="R1982" i="10"/>
  <c r="S1983" i="10"/>
  <c r="S395" i="10"/>
  <c r="R394" i="10"/>
  <c r="BA704" i="10"/>
  <c r="S222" i="10"/>
  <c r="R221" i="10"/>
  <c r="S221" i="10" s="1"/>
  <c r="S37" i="10"/>
  <c r="R36" i="10"/>
  <c r="S36" i="10" s="1"/>
  <c r="R2146" i="10"/>
  <c r="R2145" i="10" s="1"/>
  <c r="BA2284" i="10"/>
  <c r="BA2283" i="10" s="1"/>
  <c r="BA2282" i="10" s="1"/>
  <c r="AY2283" i="10"/>
  <c r="AY2282" i="10" s="1"/>
  <c r="P2238" i="10"/>
  <c r="P2237" i="10" s="1"/>
  <c r="R2239" i="10"/>
  <c r="S2239" i="10" s="1"/>
  <c r="P2253" i="10"/>
  <c r="P2252" i="10" s="1"/>
  <c r="R2254" i="10"/>
  <c r="R2253" i="10" s="1"/>
  <c r="R2252" i="10" s="1"/>
  <c r="S2252" i="10" s="1"/>
  <c r="R2437" i="10"/>
  <c r="S2437" i="10" s="1"/>
  <c r="P2436" i="10"/>
  <c r="W2201" i="10"/>
  <c r="W2200" i="10" s="1"/>
  <c r="U2200" i="10"/>
  <c r="AY2088" i="10"/>
  <c r="AY2087" i="10" s="1"/>
  <c r="AY2086" i="10" s="1"/>
  <c r="BA2089" i="10"/>
  <c r="BA2088" i="10" s="1"/>
  <c r="BA2087" i="10" s="1"/>
  <c r="BA2086" i="10" s="1"/>
  <c r="S2236" i="10"/>
  <c r="R2235" i="10"/>
  <c r="BA758" i="10"/>
  <c r="U2256" i="10"/>
  <c r="U2255" i="10" s="1"/>
  <c r="R117" i="10"/>
  <c r="P116" i="10"/>
  <c r="P115" i="10" s="1"/>
  <c r="AZ2127" i="10"/>
  <c r="BA2127" i="10" s="1"/>
  <c r="R2203" i="10"/>
  <c r="R2202" i="10" s="1"/>
  <c r="S2202" i="10" s="1"/>
  <c r="P2202" i="10"/>
  <c r="BA2210" i="10"/>
  <c r="BA2209" i="10" s="1"/>
  <c r="AY2209" i="10"/>
  <c r="BA416" i="10"/>
  <c r="BA415" i="10" s="1"/>
  <c r="W2199" i="10"/>
  <c r="W2198" i="10" s="1"/>
  <c r="U2198" i="10"/>
  <c r="W2203" i="10"/>
  <c r="W2202" i="10" s="1"/>
  <c r="U2202" i="10"/>
  <c r="R1420" i="10"/>
  <c r="S1420" i="10" s="1"/>
  <c r="R1132" i="10"/>
  <c r="S1132" i="10" s="1"/>
  <c r="R1758" i="10"/>
  <c r="S1758" i="10" s="1"/>
  <c r="BA1879" i="10"/>
  <c r="BA1878" i="10" s="1"/>
  <c r="BA1822" i="10" s="1"/>
  <c r="R1902" i="10"/>
  <c r="S1902" i="10" s="1"/>
  <c r="P2045" i="10"/>
  <c r="P2044" i="10" s="1"/>
  <c r="S2046" i="10"/>
  <c r="W239" i="10"/>
  <c r="W238" i="10" s="1"/>
  <c r="U238" i="10"/>
  <c r="AY274" i="10"/>
  <c r="AY273" i="10" s="1"/>
  <c r="AY720" i="10"/>
  <c r="R983" i="10"/>
  <c r="S983" i="10" s="1"/>
  <c r="W1334" i="10"/>
  <c r="W1333" i="10" s="1"/>
  <c r="BA1346" i="10"/>
  <c r="BA1345" i="10" s="1"/>
  <c r="BA1344" i="10" s="1"/>
  <c r="AY1345" i="10"/>
  <c r="AY1344" i="10" s="1"/>
  <c r="R1507" i="10"/>
  <c r="S1507" i="10" s="1"/>
  <c r="U1716" i="10"/>
  <c r="R1838" i="10"/>
  <c r="S1838" i="10" s="1"/>
  <c r="U59" i="10"/>
  <c r="W61" i="10"/>
  <c r="W59" i="10" s="1"/>
  <c r="U113" i="10"/>
  <c r="U112" i="10" s="1"/>
  <c r="U255" i="10"/>
  <c r="P398" i="10"/>
  <c r="P397" i="10" s="1"/>
  <c r="P396" i="10" s="1"/>
  <c r="V523" i="10"/>
  <c r="AY715" i="10"/>
  <c r="R972" i="10"/>
  <c r="S972" i="10" s="1"/>
  <c r="R1131" i="10"/>
  <c r="S1131" i="10" s="1"/>
  <c r="R1472" i="10"/>
  <c r="S1472" i="10" s="1"/>
  <c r="R67" i="10"/>
  <c r="S67" i="10" s="1"/>
  <c r="P66" i="10"/>
  <c r="P65" i="10" s="1"/>
  <c r="AY145" i="10"/>
  <c r="AY245" i="10"/>
  <c r="BA256" i="10"/>
  <c r="BA255" i="10" s="1"/>
  <c r="AY255" i="10"/>
  <c r="AR1237" i="10"/>
  <c r="AR1028" i="10" s="1"/>
  <c r="AS1238" i="10"/>
  <c r="AN1238" i="10" s="1"/>
  <c r="R1343" i="10"/>
  <c r="P1342" i="10"/>
  <c r="P1341" i="10" s="1"/>
  <c r="R1396" i="10"/>
  <c r="S1396" i="10" s="1"/>
  <c r="R109" i="10"/>
  <c r="S109" i="10" s="1"/>
  <c r="S110" i="10"/>
  <c r="AY193" i="10"/>
  <c r="AY192" i="10" s="1"/>
  <c r="AZ207" i="10"/>
  <c r="U398" i="10"/>
  <c r="U397" i="10" s="1"/>
  <c r="U396" i="10" s="1"/>
  <c r="R524" i="10"/>
  <c r="P523" i="10"/>
  <c r="BA1291" i="10"/>
  <c r="BA1290" i="10" s="1"/>
  <c r="BA1289" i="10" s="1"/>
  <c r="W1736" i="10"/>
  <c r="W2085" i="10"/>
  <c r="W2084" i="10" s="1"/>
  <c r="W2083" i="10" s="1"/>
  <c r="W2082" i="10" s="1"/>
  <c r="U2084" i="10"/>
  <c r="U2083" i="10" s="1"/>
  <c r="U2082" i="10" s="1"/>
  <c r="BA2162" i="10"/>
  <c r="BA2161" i="10" s="1"/>
  <c r="R2208" i="10"/>
  <c r="P2207" i="10"/>
  <c r="R7" i="10"/>
  <c r="S7" i="10" s="1"/>
  <c r="S111" i="10"/>
  <c r="BA241" i="10"/>
  <c r="BA240" i="10" s="1"/>
  <c r="AY240" i="10"/>
  <c r="BA244" i="10"/>
  <c r="BA243" i="10" s="1"/>
  <c r="W503" i="10"/>
  <c r="U502" i="10"/>
  <c r="P619" i="10"/>
  <c r="AY1306" i="10"/>
  <c r="R1939" i="10"/>
  <c r="S1939" i="10" s="1"/>
  <c r="AZ1976" i="10"/>
  <c r="BA1976" i="10" s="1"/>
  <c r="P1982" i="10"/>
  <c r="P1981" i="10" s="1"/>
  <c r="W117" i="10"/>
  <c r="W116" i="10" s="1"/>
  <c r="W115" i="10" s="1"/>
  <c r="P145" i="10"/>
  <c r="AZ214" i="10"/>
  <c r="AZ213" i="10" s="1"/>
  <c r="AY213" i="10"/>
  <c r="AY221" i="10"/>
  <c r="R235" i="10"/>
  <c r="S235" i="10" s="1"/>
  <c r="P234" i="10"/>
  <c r="V502" i="10"/>
  <c r="U704" i="10"/>
  <c r="P749" i="10"/>
  <c r="BA750" i="10"/>
  <c r="AY749" i="10"/>
  <c r="R1092" i="10"/>
  <c r="S1092" i="10" s="1"/>
  <c r="R1232" i="10"/>
  <c r="S1232" i="10" s="1"/>
  <c r="R1287" i="10"/>
  <c r="R1286" i="10" s="1"/>
  <c r="S1286" i="10" s="1"/>
  <c r="R1359" i="10"/>
  <c r="S1359" i="10" s="1"/>
  <c r="R1938" i="10"/>
  <c r="S1938" i="10" s="1"/>
  <c r="V5" i="10"/>
  <c r="P153" i="10"/>
  <c r="U189" i="10"/>
  <c r="P208" i="10"/>
  <c r="R439" i="10"/>
  <c r="S439" i="10" s="1"/>
  <c r="R468" i="10"/>
  <c r="S468" i="10" s="1"/>
  <c r="R474" i="10"/>
  <c r="S474" i="10" s="1"/>
  <c r="R494" i="10"/>
  <c r="S494" i="10" s="1"/>
  <c r="AZ619" i="10"/>
  <c r="AY619" i="10"/>
  <c r="BA637" i="10"/>
  <c r="AY635" i="10"/>
  <c r="AR720" i="10"/>
  <c r="AR665" i="10" s="1"/>
  <c r="AS722" i="10"/>
  <c r="BH722" i="10" s="1"/>
  <c r="BM722" i="10" s="1"/>
  <c r="E227" i="11" s="1"/>
  <c r="F227" i="11" s="1"/>
  <c r="AY729" i="10"/>
  <c r="R1038" i="10"/>
  <c r="S1038" i="10" s="1"/>
  <c r="R1098" i="10"/>
  <c r="S1098" i="10" s="1"/>
  <c r="R1581" i="10"/>
  <c r="S1581" i="10" s="1"/>
  <c r="R1608" i="10"/>
  <c r="S1608" i="10" s="1"/>
  <c r="R1618" i="10"/>
  <c r="S1618" i="10" s="1"/>
  <c r="R1645" i="10"/>
  <c r="S1645" i="10" s="1"/>
  <c r="R1646" i="10"/>
  <c r="S1646" i="10" s="1"/>
  <c r="R1647" i="10"/>
  <c r="S1647" i="10" s="1"/>
  <c r="R1699" i="10"/>
  <c r="S1699" i="10" s="1"/>
  <c r="R1740" i="10"/>
  <c r="S1740" i="10" s="1"/>
  <c r="R1824" i="10"/>
  <c r="S1824" i="10" s="1"/>
  <c r="W2372" i="10"/>
  <c r="R2219" i="10"/>
  <c r="S2219" i="10" s="1"/>
  <c r="S2220" i="10"/>
  <c r="Q1881" i="10"/>
  <c r="S399" i="10"/>
  <c r="R398" i="10"/>
  <c r="S398" i="10" s="1"/>
  <c r="AY877" i="10"/>
  <c r="R1457" i="10"/>
  <c r="S1457" i="10" s="1"/>
  <c r="U1593" i="10"/>
  <c r="R2048" i="10"/>
  <c r="S2049" i="10"/>
  <c r="R1380" i="10"/>
  <c r="S1380" i="10" s="1"/>
  <c r="R1568" i="10"/>
  <c r="S1568" i="10" s="1"/>
  <c r="P217" i="10"/>
  <c r="BA222" i="10"/>
  <c r="BA221" i="10" s="1"/>
  <c r="AZ221" i="10"/>
  <c r="AY251" i="10"/>
  <c r="P367" i="10"/>
  <c r="P366" i="10" s="1"/>
  <c r="R368" i="10"/>
  <c r="S368" i="10" s="1"/>
  <c r="P1068" i="10"/>
  <c r="W1244" i="10"/>
  <c r="P1266" i="10"/>
  <c r="P1265" i="10" s="1"/>
  <c r="AY1322" i="10"/>
  <c r="R1388" i="10"/>
  <c r="S1388" i="10" s="1"/>
  <c r="R1957" i="10"/>
  <c r="S1957" i="10" s="1"/>
  <c r="BA182" i="10"/>
  <c r="BA181" i="10" s="1"/>
  <c r="AY181" i="10"/>
  <c r="R1393" i="10"/>
  <c r="S1393" i="10" s="1"/>
  <c r="R1553" i="10"/>
  <c r="S1553" i="10" s="1"/>
  <c r="R1819" i="10"/>
  <c r="S1819" i="10" s="1"/>
  <c r="V644" i="10"/>
  <c r="V643" i="10" s="1"/>
  <c r="R1160" i="10"/>
  <c r="S1160" i="10" s="1"/>
  <c r="W1343" i="10"/>
  <c r="W1342" i="10" s="1"/>
  <c r="W1341" i="10" s="1"/>
  <c r="U1342" i="10"/>
  <c r="U1341" i="10" s="1"/>
  <c r="P2048" i="10"/>
  <c r="P2047" i="10" s="1"/>
  <c r="U66" i="10"/>
  <c r="U65" i="10" s="1"/>
  <c r="W182" i="10"/>
  <c r="W181" i="10" s="1"/>
  <c r="U181" i="10"/>
  <c r="P206" i="10"/>
  <c r="R207" i="10"/>
  <c r="S207" i="10" s="1"/>
  <c r="W244" i="10"/>
  <c r="W243" i="10" s="1"/>
  <c r="U243" i="10"/>
  <c r="P277" i="10"/>
  <c r="P276" i="10" s="1"/>
  <c r="P608" i="10"/>
  <c r="U877" i="10"/>
  <c r="AZ1306" i="10"/>
  <c r="AZ1299" i="10" s="1"/>
  <c r="AZ1473" i="10"/>
  <c r="AZ1593" i="10"/>
  <c r="U2215" i="10"/>
  <c r="W2216" i="10"/>
  <c r="W2215" i="10" s="1"/>
  <c r="BA2260" i="10"/>
  <c r="BA2259" i="10" s="1"/>
  <c r="BA2258" i="10" s="1"/>
  <c r="AY2259" i="10"/>
  <c r="AY2258" i="10" s="1"/>
  <c r="AY189" i="10"/>
  <c r="AY217" i="10"/>
  <c r="P225" i="10"/>
  <c r="P224" i="10" s="1"/>
  <c r="R232" i="10"/>
  <c r="U245" i="10"/>
  <c r="P255" i="10"/>
  <c r="R256" i="10"/>
  <c r="P402" i="10"/>
  <c r="P401" i="10" s="1"/>
  <c r="R473" i="10"/>
  <c r="S473" i="10" s="1"/>
  <c r="P531" i="10"/>
  <c r="P629" i="10"/>
  <c r="U635" i="10"/>
  <c r="U715" i="10"/>
  <c r="P735" i="10"/>
  <c r="AY891" i="10"/>
  <c r="U995" i="10"/>
  <c r="R1147" i="10"/>
  <c r="S1147" i="10" s="1"/>
  <c r="P1300" i="10"/>
  <c r="R1439" i="10"/>
  <c r="S1439" i="10" s="1"/>
  <c r="R1440" i="10"/>
  <c r="S1440" i="10" s="1"/>
  <c r="BA1503" i="10"/>
  <c r="BA1448" i="10" s="1"/>
  <c r="BA1348" i="10" s="1"/>
  <c r="R1527" i="10"/>
  <c r="S1527" i="10" s="1"/>
  <c r="R1604" i="10"/>
  <c r="S1604" i="10" s="1"/>
  <c r="R1728" i="10"/>
  <c r="S1728" i="10" s="1"/>
  <c r="P2052" i="10"/>
  <c r="P2051" i="10" s="1"/>
  <c r="P2050" i="10" s="1"/>
  <c r="R24" i="10"/>
  <c r="S24" i="10" s="1"/>
  <c r="BA190" i="10"/>
  <c r="BA189" i="10" s="1"/>
  <c r="BA227" i="10"/>
  <c r="BA225" i="10" s="1"/>
  <c r="BA224" i="10" s="1"/>
  <c r="AZ225" i="10"/>
  <c r="AZ224" i="10" s="1"/>
  <c r="U268" i="10"/>
  <c r="U267" i="10" s="1"/>
  <c r="R277" i="10"/>
  <c r="R276" i="10" s="1"/>
  <c r="S276" i="10" s="1"/>
  <c r="W403" i="10"/>
  <c r="W402" i="10" s="1"/>
  <c r="W401" i="10" s="1"/>
  <c r="U402" i="10"/>
  <c r="U401" i="10" s="1"/>
  <c r="R463" i="10"/>
  <c r="S463" i="10" s="1"/>
  <c r="R478" i="10"/>
  <c r="S478" i="10" s="1"/>
  <c r="R487" i="10"/>
  <c r="S487" i="10" s="1"/>
  <c r="U608" i="10"/>
  <c r="P611" i="10"/>
  <c r="U624" i="10"/>
  <c r="W624" i="10" s="1"/>
  <c r="U735" i="10"/>
  <c r="Q758" i="10"/>
  <c r="R987" i="10"/>
  <c r="S987" i="10" s="1"/>
  <c r="R1133" i="10"/>
  <c r="S1133" i="10" s="1"/>
  <c r="R1139" i="10"/>
  <c r="S1139" i="10" s="1"/>
  <c r="R1196" i="10"/>
  <c r="S1196" i="10" s="1"/>
  <c r="R1206" i="10"/>
  <c r="S1206" i="10" s="1"/>
  <c r="R1209" i="10"/>
  <c r="S1209" i="10" s="1"/>
  <c r="W1291" i="10"/>
  <c r="W1290" i="10" s="1"/>
  <c r="W1289" i="10" s="1"/>
  <c r="U1290" i="10"/>
  <c r="U1289" i="10" s="1"/>
  <c r="R1419" i="10"/>
  <c r="S1419" i="10" s="1"/>
  <c r="R1422" i="10"/>
  <c r="S1422" i="10" s="1"/>
  <c r="R1425" i="10"/>
  <c r="S1425" i="10" s="1"/>
  <c r="R1426" i="10"/>
  <c r="S1426" i="10" s="1"/>
  <c r="AY1590" i="10"/>
  <c r="BA1591" i="10"/>
  <c r="BA1590" i="10" s="1"/>
  <c r="BA1533" i="10" s="1"/>
  <c r="R1603" i="10"/>
  <c r="S1603" i="10" s="1"/>
  <c r="R1692" i="10"/>
  <c r="S1692" i="10" s="1"/>
  <c r="R1721" i="10"/>
  <c r="S1721" i="10" s="1"/>
  <c r="R1726" i="10"/>
  <c r="S1726" i="10" s="1"/>
  <c r="R1727" i="10"/>
  <c r="S1727" i="10" s="1"/>
  <c r="P1793" i="10"/>
  <c r="R1807" i="10"/>
  <c r="S1807" i="10" s="1"/>
  <c r="R1869" i="10"/>
  <c r="S1869" i="10" s="1"/>
  <c r="R1873" i="10"/>
  <c r="S1873" i="10" s="1"/>
  <c r="U1974" i="10"/>
  <c r="U1973" i="10" s="1"/>
  <c r="R2022" i="10"/>
  <c r="S2022" i="10" s="1"/>
  <c r="BA2130" i="10"/>
  <c r="U2146" i="10"/>
  <c r="U2145" i="10" s="1"/>
  <c r="AY2262" i="10"/>
  <c r="AY2261" i="10" s="1"/>
  <c r="BA2263" i="10"/>
  <c r="BA2262" i="10" s="1"/>
  <c r="BA2261" i="10" s="1"/>
  <c r="W2270" i="10"/>
  <c r="W2269" i="10" s="1"/>
  <c r="W2268" i="10" s="1"/>
  <c r="U2269" i="10"/>
  <c r="U2268" i="10" s="1"/>
  <c r="W2488" i="10"/>
  <c r="AY2238" i="10"/>
  <c r="AY2237" i="10" s="1"/>
  <c r="BA2239" i="10"/>
  <c r="BA2238" i="10" s="1"/>
  <c r="BA2237" i="10" s="1"/>
  <c r="W2295" i="10"/>
  <c r="W2294" i="10" s="1"/>
  <c r="W2293" i="10" s="1"/>
  <c r="W2292" i="10" s="1"/>
  <c r="U2294" i="10"/>
  <c r="U2293" i="10" s="1"/>
  <c r="U2292" i="10" s="1"/>
  <c r="R2518" i="10"/>
  <c r="R2517" i="10" s="1"/>
  <c r="S2517" i="10" s="1"/>
  <c r="P2504" i="10"/>
  <c r="P2503" i="10" s="1"/>
  <c r="R2505" i="10"/>
  <c r="S2505" i="10" s="1"/>
  <c r="W2500" i="10"/>
  <c r="W2499" i="10" s="1"/>
  <c r="AY2525" i="10"/>
  <c r="AY2524" i="10" s="1"/>
  <c r="R2529" i="10"/>
  <c r="S2529" i="10" s="1"/>
  <c r="R1564" i="10"/>
  <c r="S1564" i="10" s="1"/>
  <c r="R1672" i="10"/>
  <c r="S1672" i="10" s="1"/>
  <c r="R1779" i="10"/>
  <c r="S1779" i="10" s="1"/>
  <c r="AY1985" i="10"/>
  <c r="U2219" i="10"/>
  <c r="AY29" i="10"/>
  <c r="AY36" i="10"/>
  <c r="P59" i="10"/>
  <c r="R156" i="10"/>
  <c r="S156" i="10" s="1"/>
  <c r="R159" i="10"/>
  <c r="S159" i="10" s="1"/>
  <c r="W212" i="10"/>
  <c r="W211" i="10" s="1"/>
  <c r="U211" i="10"/>
  <c r="BA258" i="10"/>
  <c r="AY257" i="10"/>
  <c r="AY367" i="10"/>
  <c r="AY366" i="10" s="1"/>
  <c r="U371" i="10"/>
  <c r="U370" i="10" s="1"/>
  <c r="U416" i="10"/>
  <c r="U415" i="10" s="1"/>
  <c r="R453" i="10"/>
  <c r="S453" i="10" s="1"/>
  <c r="R574" i="10"/>
  <c r="S574" i="10" s="1"/>
  <c r="W575" i="10"/>
  <c r="U626" i="10"/>
  <c r="W626" i="10" s="1"/>
  <c r="R658" i="10"/>
  <c r="S658" i="10" s="1"/>
  <c r="P710" i="10"/>
  <c r="W722" i="10"/>
  <c r="W729" i="10"/>
  <c r="R944" i="10"/>
  <c r="S944" i="10" s="1"/>
  <c r="R947" i="10"/>
  <c r="S947" i="10" s="1"/>
  <c r="R948" i="10"/>
  <c r="S948" i="10" s="1"/>
  <c r="R949" i="10"/>
  <c r="S949" i="10" s="1"/>
  <c r="R1119" i="10"/>
  <c r="S1119" i="10" s="1"/>
  <c r="R1136" i="10"/>
  <c r="S1136" i="10" s="1"/>
  <c r="R1141" i="10"/>
  <c r="S1141" i="10" s="1"/>
  <c r="R1186" i="10"/>
  <c r="S1186" i="10" s="1"/>
  <c r="R1201" i="10"/>
  <c r="S1201" i="10" s="1"/>
  <c r="R1204" i="10"/>
  <c r="S1204" i="10" s="1"/>
  <c r="P1260" i="10"/>
  <c r="P1259" i="10" s="1"/>
  <c r="R1431" i="10"/>
  <c r="S1431" i="10" s="1"/>
  <c r="R1432" i="10"/>
  <c r="S1432" i="10" s="1"/>
  <c r="R1434" i="10"/>
  <c r="S1434" i="10" s="1"/>
  <c r="R1436" i="10"/>
  <c r="S1436" i="10" s="1"/>
  <c r="T1449" i="10"/>
  <c r="R1488" i="10"/>
  <c r="S1488" i="10" s="1"/>
  <c r="R1490" i="10"/>
  <c r="S1490" i="10" s="1"/>
  <c r="R1514" i="10"/>
  <c r="S1514" i="10" s="1"/>
  <c r="R1536" i="10"/>
  <c r="S1536" i="10" s="1"/>
  <c r="R1563" i="10"/>
  <c r="S1563" i="10" s="1"/>
  <c r="Q1562" i="10"/>
  <c r="R1571" i="10"/>
  <c r="S1571" i="10" s="1"/>
  <c r="R1585" i="10"/>
  <c r="S1585" i="10" s="1"/>
  <c r="R1588" i="10"/>
  <c r="S1588" i="10" s="1"/>
  <c r="R1637" i="10"/>
  <c r="S1637" i="10" s="1"/>
  <c r="R1676" i="10"/>
  <c r="S1676" i="10" s="1"/>
  <c r="R1710" i="10"/>
  <c r="S1710" i="10" s="1"/>
  <c r="R1732" i="10"/>
  <c r="S1732" i="10" s="1"/>
  <c r="R1770" i="10"/>
  <c r="S1770" i="10" s="1"/>
  <c r="R1772" i="10"/>
  <c r="S1772" i="10" s="1"/>
  <c r="R1825" i="10"/>
  <c r="S1825" i="10" s="1"/>
  <c r="R1931" i="10"/>
  <c r="S1931" i="10" s="1"/>
  <c r="R2089" i="10"/>
  <c r="R2088" i="10" s="1"/>
  <c r="R2087" i="10" s="1"/>
  <c r="BA2093" i="10"/>
  <c r="S2216" i="10"/>
  <c r="W2218" i="10"/>
  <c r="W2217" i="10" s="1"/>
  <c r="AY2223" i="10"/>
  <c r="BA2226" i="10"/>
  <c r="BA2223" i="10" s="1"/>
  <c r="P2288" i="10"/>
  <c r="P2287" i="10" s="1"/>
  <c r="P2286" i="10" s="1"/>
  <c r="W2522" i="10"/>
  <c r="W2521" i="10" s="1"/>
  <c r="W2520" i="10" s="1"/>
  <c r="P2521" i="10"/>
  <c r="P2520" i="10" s="1"/>
  <c r="W189" i="10"/>
  <c r="U251" i="10"/>
  <c r="AY402" i="10"/>
  <c r="AY401" i="10" s="1"/>
  <c r="R452" i="10"/>
  <c r="S452" i="10" s="1"/>
  <c r="W476" i="10"/>
  <c r="Q523" i="10"/>
  <c r="W612" i="10"/>
  <c r="R960" i="10"/>
  <c r="S960" i="10" s="1"/>
  <c r="R966" i="10"/>
  <c r="S966" i="10" s="1"/>
  <c r="R991" i="10"/>
  <c r="S991" i="10" s="1"/>
  <c r="R1126" i="10"/>
  <c r="S1126" i="10" s="1"/>
  <c r="R1211" i="10"/>
  <c r="S1211" i="10" s="1"/>
  <c r="R1212" i="10"/>
  <c r="S1212" i="10" s="1"/>
  <c r="R1792" i="10"/>
  <c r="S1792" i="10" s="1"/>
  <c r="R1893" i="10"/>
  <c r="S1893" i="10" s="1"/>
  <c r="AZ2121" i="10"/>
  <c r="BA2121" i="10" s="1"/>
  <c r="U2176" i="10"/>
  <c r="U2175" i="10" s="1"/>
  <c r="R2373" i="10"/>
  <c r="R2372" i="10" s="1"/>
  <c r="S2372" i="10" s="1"/>
  <c r="P2372" i="10"/>
  <c r="AY39" i="10"/>
  <c r="BA320" i="10"/>
  <c r="Q279" i="10"/>
  <c r="R444" i="10"/>
  <c r="S444" i="10" s="1"/>
  <c r="R491" i="10"/>
  <c r="S491" i="10" s="1"/>
  <c r="R514" i="10"/>
  <c r="S514" i="10" s="1"/>
  <c r="R528" i="10"/>
  <c r="S528" i="10" s="1"/>
  <c r="W756" i="10"/>
  <c r="R990" i="10"/>
  <c r="S990" i="10" s="1"/>
  <c r="V1029" i="10"/>
  <c r="W1062" i="10"/>
  <c r="R1123" i="10"/>
  <c r="S1123" i="10" s="1"/>
  <c r="R1138" i="10"/>
  <c r="S1138" i="10" s="1"/>
  <c r="R1150" i="10"/>
  <c r="S1150" i="10" s="1"/>
  <c r="R1158" i="10"/>
  <c r="S1158" i="10" s="1"/>
  <c r="R1182" i="10"/>
  <c r="S1182" i="10" s="1"/>
  <c r="R1183" i="10"/>
  <c r="S1183" i="10" s="1"/>
  <c r="R1198" i="10"/>
  <c r="S1198" i="10" s="1"/>
  <c r="R1220" i="10"/>
  <c r="S1220" i="10" s="1"/>
  <c r="V1237" i="10"/>
  <c r="U1296" i="10"/>
  <c r="R1373" i="10"/>
  <c r="S1373" i="10" s="1"/>
  <c r="R1379" i="10"/>
  <c r="S1379" i="10" s="1"/>
  <c r="R1468" i="10"/>
  <c r="S1468" i="10" s="1"/>
  <c r="R1499" i="10"/>
  <c r="S1499" i="10" s="1"/>
  <c r="R1508" i="10"/>
  <c r="S1508" i="10" s="1"/>
  <c r="R1519" i="10"/>
  <c r="S1519" i="10" s="1"/>
  <c r="R1526" i="10"/>
  <c r="S1526" i="10" s="1"/>
  <c r="R1687" i="10"/>
  <c r="S1687" i="10" s="1"/>
  <c r="R1695" i="10"/>
  <c r="S1695" i="10" s="1"/>
  <c r="R1800" i="10"/>
  <c r="S1800" i="10" s="1"/>
  <c r="R1811" i="10"/>
  <c r="S1811" i="10" s="1"/>
  <c r="R1890" i="10"/>
  <c r="S1890" i="10" s="1"/>
  <c r="R1933" i="10"/>
  <c r="S1933" i="10" s="1"/>
  <c r="R1951" i="10"/>
  <c r="S1951" i="10" s="1"/>
  <c r="AZ2119" i="10"/>
  <c r="BA2119" i="10" s="1"/>
  <c r="P2209" i="10"/>
  <c r="P2215" i="10"/>
  <c r="AZ2453" i="10"/>
  <c r="BA2453" i="10" s="1"/>
  <c r="AY2489" i="10"/>
  <c r="P2511" i="10"/>
  <c r="P2510" i="10" s="1"/>
  <c r="W2348" i="10"/>
  <c r="U2351" i="10"/>
  <c r="W2351" i="10" s="1"/>
  <c r="W11" i="10"/>
  <c r="BA27" i="10"/>
  <c r="W158" i="10"/>
  <c r="P228" i="10"/>
  <c r="Q438" i="10"/>
  <c r="Q437" i="10" s="1"/>
  <c r="R477" i="10"/>
  <c r="S477" i="10" s="1"/>
  <c r="W509" i="10"/>
  <c r="R538" i="10"/>
  <c r="S538" i="10" s="1"/>
  <c r="W666" i="10"/>
  <c r="U675" i="10"/>
  <c r="BA710" i="10"/>
  <c r="R721" i="10"/>
  <c r="S721" i="10" s="1"/>
  <c r="U749" i="10"/>
  <c r="W1075" i="10"/>
  <c r="R1120" i="10"/>
  <c r="S1120" i="10" s="1"/>
  <c r="R1127" i="10"/>
  <c r="S1127" i="10" s="1"/>
  <c r="R1128" i="10"/>
  <c r="S1128" i="10" s="1"/>
  <c r="R1145" i="10"/>
  <c r="S1145" i="10" s="1"/>
  <c r="R1174" i="10"/>
  <c r="S1174" i="10" s="1"/>
  <c r="R1229" i="10"/>
  <c r="S1229" i="10" s="1"/>
  <c r="R1235" i="10"/>
  <c r="S1235" i="10" s="1"/>
  <c r="U1266" i="10"/>
  <c r="U1265" i="10" s="1"/>
  <c r="R1372" i="10"/>
  <c r="S1372" i="10" s="1"/>
  <c r="R1546" i="10"/>
  <c r="S1546" i="10" s="1"/>
  <c r="R1548" i="10"/>
  <c r="S1548" i="10" s="1"/>
  <c r="R1549" i="10"/>
  <c r="S1549" i="10" s="1"/>
  <c r="R1576" i="10"/>
  <c r="S1576" i="10" s="1"/>
  <c r="R1622" i="10"/>
  <c r="S1622" i="10" s="1"/>
  <c r="R1670" i="10"/>
  <c r="S1670" i="10" s="1"/>
  <c r="R1742" i="10"/>
  <c r="S1742" i="10" s="1"/>
  <c r="R1743" i="10"/>
  <c r="S1743" i="10" s="1"/>
  <c r="R1744" i="10"/>
  <c r="S1744" i="10" s="1"/>
  <c r="R1754" i="10"/>
  <c r="S1754" i="10" s="1"/>
  <c r="R1826" i="10"/>
  <c r="S1826" i="10" s="1"/>
  <c r="R1845" i="10"/>
  <c r="S1845" i="10" s="1"/>
  <c r="Q1851" i="10"/>
  <c r="R1855" i="10"/>
  <c r="S1855" i="10" s="1"/>
  <c r="R1856" i="10"/>
  <c r="S1856" i="10" s="1"/>
  <c r="R1875" i="10"/>
  <c r="S1875" i="10" s="1"/>
  <c r="R1877" i="10"/>
  <c r="S1877" i="10" s="1"/>
  <c r="U2383" i="10"/>
  <c r="P2532" i="10"/>
  <c r="P2531" i="10" s="1"/>
  <c r="P2530" i="10" s="1"/>
  <c r="P193" i="10"/>
  <c r="P192" i="10" s="1"/>
  <c r="U247" i="10"/>
  <c r="AY281" i="10"/>
  <c r="AY280" i="10" s="1"/>
  <c r="R460" i="10"/>
  <c r="S460" i="10" s="1"/>
  <c r="R556" i="10"/>
  <c r="S556" i="10" s="1"/>
  <c r="W609" i="10"/>
  <c r="R957" i="10"/>
  <c r="S957" i="10" s="1"/>
  <c r="R975" i="10"/>
  <c r="S975" i="10" s="1"/>
  <c r="W1036" i="10"/>
  <c r="R1100" i="10"/>
  <c r="S1100" i="10" s="1"/>
  <c r="R1111" i="10"/>
  <c r="S1111" i="10" s="1"/>
  <c r="R1114" i="10"/>
  <c r="S1114" i="10" s="1"/>
  <c r="R1115" i="10"/>
  <c r="S1115" i="10" s="1"/>
  <c r="R1124" i="10"/>
  <c r="S1124" i="10" s="1"/>
  <c r="R1137" i="10"/>
  <c r="S1137" i="10" s="1"/>
  <c r="R1140" i="10"/>
  <c r="S1140" i="10" s="1"/>
  <c r="R1154" i="10"/>
  <c r="S1154" i="10" s="1"/>
  <c r="R1171" i="10"/>
  <c r="S1171" i="10" s="1"/>
  <c r="R1172" i="10"/>
  <c r="S1172" i="10" s="1"/>
  <c r="R1173" i="10"/>
  <c r="S1173" i="10" s="1"/>
  <c r="R1221" i="10"/>
  <c r="S1221" i="10" s="1"/>
  <c r="R1228" i="10"/>
  <c r="S1228" i="10" s="1"/>
  <c r="P1296" i="10"/>
  <c r="R1355" i="10"/>
  <c r="S1355" i="10" s="1"/>
  <c r="R1381" i="10"/>
  <c r="S1381" i="10" s="1"/>
  <c r="R1406" i="10"/>
  <c r="S1406" i="10" s="1"/>
  <c r="R1408" i="10"/>
  <c r="S1408" i="10" s="1"/>
  <c r="R1410" i="10"/>
  <c r="S1410" i="10" s="1"/>
  <c r="R1412" i="10"/>
  <c r="S1412" i="10" s="1"/>
  <c r="R1413" i="10"/>
  <c r="S1413" i="10" s="1"/>
  <c r="R1445" i="10"/>
  <c r="S1445" i="10" s="1"/>
  <c r="Q1449" i="10"/>
  <c r="R1470" i="10"/>
  <c r="S1470" i="10" s="1"/>
  <c r="R1471" i="10"/>
  <c r="S1471" i="10" s="1"/>
  <c r="R1497" i="10"/>
  <c r="S1497" i="10" s="1"/>
  <c r="R1540" i="10"/>
  <c r="S1540" i="10" s="1"/>
  <c r="Q1593" i="10"/>
  <c r="W1662" i="10"/>
  <c r="R1696" i="10"/>
  <c r="S1696" i="10" s="1"/>
  <c r="R1722" i="10"/>
  <c r="S1722" i="10" s="1"/>
  <c r="R1723" i="10"/>
  <c r="S1723" i="10" s="1"/>
  <c r="Q1736" i="10"/>
  <c r="R1756" i="10"/>
  <c r="S1756" i="10" s="1"/>
  <c r="R1757" i="10"/>
  <c r="S1757" i="10" s="1"/>
  <c r="R1796" i="10"/>
  <c r="S1796" i="10" s="1"/>
  <c r="R1895" i="10"/>
  <c r="S1895" i="10" s="1"/>
  <c r="R1916" i="10"/>
  <c r="S1916" i="10" s="1"/>
  <c r="R1928" i="10"/>
  <c r="S1928" i="10" s="1"/>
  <c r="Q2511" i="10"/>
  <c r="Q2510" i="10" s="1"/>
  <c r="R2513" i="10"/>
  <c r="S2513" i="10" s="1"/>
  <c r="E213" i="11"/>
  <c r="F213" i="11" s="1"/>
  <c r="BO708" i="10"/>
  <c r="E203" i="11"/>
  <c r="F203" i="11" s="1"/>
  <c r="BO698" i="10"/>
  <c r="E500" i="11"/>
  <c r="F500" i="11" s="1"/>
  <c r="BO2363" i="10"/>
  <c r="AO2221" i="10"/>
  <c r="AO1139" i="10"/>
  <c r="AN1139" i="10"/>
  <c r="AO1167" i="10"/>
  <c r="AN1167" i="10"/>
  <c r="AN1747" i="10"/>
  <c r="BH1747" i="10"/>
  <c r="BM1747" i="10" s="1"/>
  <c r="BO1747" i="10" s="1"/>
  <c r="BO1783" i="10"/>
  <c r="AN1783" i="10"/>
  <c r="BO2416" i="10"/>
  <c r="AN2416" i="10"/>
  <c r="AN491" i="10"/>
  <c r="BH491" i="10"/>
  <c r="BM491" i="10" s="1"/>
  <c r="BO491" i="10" s="1"/>
  <c r="AO879" i="10"/>
  <c r="AN879" i="10"/>
  <c r="BO1781" i="10"/>
  <c r="AO1781" i="10"/>
  <c r="BO94" i="10"/>
  <c r="AO94" i="10"/>
  <c r="BO2098" i="10"/>
  <c r="BO2465" i="10"/>
  <c r="AO52" i="10"/>
  <c r="BH52" i="10"/>
  <c r="BM52" i="10" s="1"/>
  <c r="BO52" i="10" s="1"/>
  <c r="BO551" i="10"/>
  <c r="AO551" i="10"/>
  <c r="AN551" i="10"/>
  <c r="BH761" i="10"/>
  <c r="BM761" i="10" s="1"/>
  <c r="BO761" i="10" s="1"/>
  <c r="BO1152" i="10"/>
  <c r="AO1330" i="10"/>
  <c r="AN1330" i="10"/>
  <c r="BO1528" i="10"/>
  <c r="AO841" i="10"/>
  <c r="AN841" i="10"/>
  <c r="AO1081" i="10"/>
  <c r="BO1081" i="10"/>
  <c r="BO1782" i="10"/>
  <c r="AO1782" i="10"/>
  <c r="BH2142" i="10"/>
  <c r="BM2142" i="10" s="1"/>
  <c r="AO2142" i="10"/>
  <c r="BH11" i="10"/>
  <c r="BM11" i="10" s="1"/>
  <c r="AN11" i="10"/>
  <c r="BH453" i="10"/>
  <c r="BM453" i="10" s="1"/>
  <c r="BO453" i="10" s="1"/>
  <c r="AN453" i="10"/>
  <c r="AO779" i="10"/>
  <c r="BH779" i="10"/>
  <c r="BM779" i="10" s="1"/>
  <c r="BO779" i="10" s="1"/>
  <c r="AO1154" i="10"/>
  <c r="AN1154" i="10"/>
  <c r="BO2405" i="10"/>
  <c r="AN2405" i="10"/>
  <c r="AO137" i="10"/>
  <c r="BH137" i="10"/>
  <c r="BM137" i="10" s="1"/>
  <c r="BH756" i="10"/>
  <c r="BM756" i="10" s="1"/>
  <c r="BO756" i="10" s="1"/>
  <c r="BO1153" i="10"/>
  <c r="AO1153" i="10"/>
  <c r="BH1986" i="10"/>
  <c r="BM1986" i="10" s="1"/>
  <c r="BM1985" i="10" s="1"/>
  <c r="AN1987" i="10"/>
  <c r="AN2110" i="10"/>
  <c r="BH2110" i="10"/>
  <c r="BM2110" i="10" s="1"/>
  <c r="BO2110" i="10" s="1"/>
  <c r="AO776" i="10"/>
  <c r="BH776" i="10"/>
  <c r="BM776" i="10" s="1"/>
  <c r="BO776" i="10" s="1"/>
  <c r="AO977" i="10"/>
  <c r="AN977" i="10"/>
  <c r="AN1962" i="10"/>
  <c r="AO1962" i="10"/>
  <c r="AN2140" i="10"/>
  <c r="BH2140" i="10"/>
  <c r="BM2140" i="10" s="1"/>
  <c r="BO2140" i="10" s="1"/>
  <c r="AS2242" i="10"/>
  <c r="BH2243" i="10"/>
  <c r="BH2242" i="10" s="1"/>
  <c r="BH2241" i="10" s="1"/>
  <c r="BH696" i="10"/>
  <c r="BM696" i="10" s="1"/>
  <c r="E201" i="11" s="1"/>
  <c r="F201" i="11" s="1"/>
  <c r="AO696" i="10"/>
  <c r="BH709" i="10"/>
  <c r="BM709" i="10" s="1"/>
  <c r="AO728" i="10"/>
  <c r="BH728" i="10"/>
  <c r="BM728" i="10" s="1"/>
  <c r="AO1415" i="10"/>
  <c r="AN1415" i="10"/>
  <c r="BH2127" i="10"/>
  <c r="BM2127" i="10" s="1"/>
  <c r="AN2214" i="10"/>
  <c r="AO2214" i="10"/>
  <c r="AN2390" i="10"/>
  <c r="BO2390" i="10"/>
  <c r="AN2401" i="10"/>
  <c r="BO2401" i="10"/>
  <c r="BH188" i="10"/>
  <c r="BO859" i="10"/>
  <c r="AO859" i="10"/>
  <c r="AO1516" i="10"/>
  <c r="BO1516" i="10"/>
  <c r="AN1681" i="10"/>
  <c r="BO1681" i="10"/>
  <c r="BO2102" i="10"/>
  <c r="AO2102" i="10"/>
  <c r="AN2102" i="10"/>
  <c r="AN197" i="10"/>
  <c r="BH197" i="10"/>
  <c r="BM197" i="10" s="1"/>
  <c r="BO197" i="10" s="1"/>
  <c r="AO568" i="10"/>
  <c r="BO568" i="10"/>
  <c r="BH699" i="10"/>
  <c r="BM699" i="10" s="1"/>
  <c r="BH1500" i="10"/>
  <c r="BM1500" i="10" s="1"/>
  <c r="BO1500" i="10" s="1"/>
  <c r="AO1509" i="10"/>
  <c r="BO1509" i="10"/>
  <c r="BO1760" i="10"/>
  <c r="AO1868" i="10"/>
  <c r="BO1868" i="10"/>
  <c r="BH2192" i="10"/>
  <c r="BM2192" i="10" s="1"/>
  <c r="BO2192" i="10" s="1"/>
  <c r="AO2192" i="10"/>
  <c r="AS2213" i="10"/>
  <c r="BO2310" i="10"/>
  <c r="AN2310" i="10"/>
  <c r="BH2384" i="10"/>
  <c r="AO465" i="10"/>
  <c r="AN465" i="10"/>
  <c r="BO670" i="10"/>
  <c r="AN814" i="10"/>
  <c r="BO814" i="10"/>
  <c r="AO971" i="10"/>
  <c r="BH971" i="10"/>
  <c r="BM971" i="10" s="1"/>
  <c r="BO1095" i="10"/>
  <c r="AO1097" i="10"/>
  <c r="BO1097" i="10"/>
  <c r="BO1276" i="10"/>
  <c r="AN1276" i="10"/>
  <c r="BO1718" i="10"/>
  <c r="BO1871" i="10"/>
  <c r="AO1871" i="10"/>
  <c r="AN1871" i="10"/>
  <c r="BH2270" i="10"/>
  <c r="AO2270" i="10"/>
  <c r="AO2451" i="10"/>
  <c r="BH2451" i="10"/>
  <c r="BM2451" i="10" s="1"/>
  <c r="BO2451" i="10" s="1"/>
  <c r="AN2451" i="10"/>
  <c r="BH2112" i="10"/>
  <c r="BM2112" i="10" s="1"/>
  <c r="BO2112" i="10" s="1"/>
  <c r="AN2112" i="10"/>
  <c r="AO1696" i="10"/>
  <c r="BO1696" i="10"/>
  <c r="AO1734" i="10"/>
  <c r="AN1734" i="10"/>
  <c r="BO1866" i="10"/>
  <c r="AO1866" i="10"/>
  <c r="AO1937" i="10"/>
  <c r="BO1937" i="10"/>
  <c r="BO2404" i="10"/>
  <c r="AN2408" i="10"/>
  <c r="BO2408" i="10"/>
  <c r="AO906" i="10"/>
  <c r="BH906" i="10"/>
  <c r="BM906" i="10" s="1"/>
  <c r="BO906" i="10" s="1"/>
  <c r="AO1406" i="10"/>
  <c r="AN1406" i="10"/>
  <c r="BO1845" i="10"/>
  <c r="AO1845" i="10"/>
  <c r="BH2529" i="10"/>
  <c r="AS2528" i="10"/>
  <c r="AN380" i="10"/>
  <c r="BO380" i="10"/>
  <c r="BO539" i="10"/>
  <c r="BH1941" i="10"/>
  <c r="BM1941" i="10" s="1"/>
  <c r="BO1941" i="10" s="1"/>
  <c r="AO1941" i="10"/>
  <c r="BH2214" i="10"/>
  <c r="AO79" i="10"/>
  <c r="AS78" i="10"/>
  <c r="AN158" i="10"/>
  <c r="AN178" i="10"/>
  <c r="BH178" i="10"/>
  <c r="BM178" i="10" s="1"/>
  <c r="BH244" i="10"/>
  <c r="BO324" i="10"/>
  <c r="BH537" i="10"/>
  <c r="BM537" i="10" s="1"/>
  <c r="BO634" i="10"/>
  <c r="AN634" i="10"/>
  <c r="AN652" i="10"/>
  <c r="BH851" i="10"/>
  <c r="AO851" i="10"/>
  <c r="AN932" i="10"/>
  <c r="AO932" i="10"/>
  <c r="AN968" i="10"/>
  <c r="AO989" i="10"/>
  <c r="AN1212" i="10"/>
  <c r="AO1212" i="10"/>
  <c r="AO1246" i="10"/>
  <c r="BO1246" i="10"/>
  <c r="AO1403" i="10"/>
  <c r="BH1403" i="10"/>
  <c r="BM1403" i="10" s="1"/>
  <c r="BO1403" i="10" s="1"/>
  <c r="AN1459" i="10"/>
  <c r="AN1462" i="10"/>
  <c r="BH1600" i="10"/>
  <c r="BM1600" i="10" s="1"/>
  <c r="AO1600" i="10"/>
  <c r="AN1600" i="10"/>
  <c r="AO1633" i="10"/>
  <c r="AO1653" i="10"/>
  <c r="AO1666" i="10"/>
  <c r="AN1677" i="10"/>
  <c r="BO1677" i="10"/>
  <c r="AN1710" i="10"/>
  <c r="BO1734" i="10"/>
  <c r="AN1830" i="10"/>
  <c r="AN1875" i="10"/>
  <c r="AN1910" i="10"/>
  <c r="AO2070" i="10"/>
  <c r="AO2275" i="10"/>
  <c r="AO2463" i="10"/>
  <c r="BH2174" i="10"/>
  <c r="BM2174" i="10" s="1"/>
  <c r="AS2217" i="10"/>
  <c r="AO2218" i="10"/>
  <c r="AN2218" i="10"/>
  <c r="AO134" i="10"/>
  <c r="BH134" i="10"/>
  <c r="BM134" i="10" s="1"/>
  <c r="E57" i="11" s="1"/>
  <c r="F57" i="11" s="1"/>
  <c r="BH452" i="10"/>
  <c r="BM452" i="10" s="1"/>
  <c r="BO452" i="10" s="1"/>
  <c r="BH706" i="10"/>
  <c r="BM706" i="10" s="1"/>
  <c r="E211" i="11" s="1"/>
  <c r="F211" i="11" s="1"/>
  <c r="AO706" i="10"/>
  <c r="AO1037" i="10"/>
  <c r="BH1037" i="10"/>
  <c r="BM1037" i="10" s="1"/>
  <c r="AO1148" i="10"/>
  <c r="AN1148" i="10"/>
  <c r="AO1236" i="10"/>
  <c r="AN1236" i="10"/>
  <c r="BO1530" i="10"/>
  <c r="BO1582" i="10"/>
  <c r="BO1602" i="10"/>
  <c r="BO1787" i="10"/>
  <c r="AO1840" i="10"/>
  <c r="BO1840" i="10"/>
  <c r="E444" i="11"/>
  <c r="F444" i="11" s="1"/>
  <c r="BO2165" i="10"/>
  <c r="BO35" i="10"/>
  <c r="AO45" i="10"/>
  <c r="BO45" i="10"/>
  <c r="BH101" i="10"/>
  <c r="BM101" i="10" s="1"/>
  <c r="BO101" i="10" s="1"/>
  <c r="BO191" i="10"/>
  <c r="AO332" i="10"/>
  <c r="AN332" i="10"/>
  <c r="BO389" i="10"/>
  <c r="BH742" i="10"/>
  <c r="BM742" i="10" s="1"/>
  <c r="E247" i="11" s="1"/>
  <c r="F247" i="11" s="1"/>
  <c r="AO949" i="10"/>
  <c r="AN949" i="10"/>
  <c r="AO1057" i="10"/>
  <c r="BH1057" i="10"/>
  <c r="BM1057" i="10" s="1"/>
  <c r="BO1057" i="10" s="1"/>
  <c r="AN1057" i="10"/>
  <c r="BO1154" i="10"/>
  <c r="AO71" i="10"/>
  <c r="BH71" i="10"/>
  <c r="BH70" i="10" s="1"/>
  <c r="BH69" i="10" s="1"/>
  <c r="AO158" i="10"/>
  <c r="AN372" i="10"/>
  <c r="AO374" i="10"/>
  <c r="AN470" i="10"/>
  <c r="AO588" i="10"/>
  <c r="AN588" i="10"/>
  <c r="AN653" i="10"/>
  <c r="AN748" i="10"/>
  <c r="AN755" i="10"/>
  <c r="AN780" i="10"/>
  <c r="BH986" i="10"/>
  <c r="BM986" i="10" s="1"/>
  <c r="BO986" i="10" s="1"/>
  <c r="AO986" i="10"/>
  <c r="AN1064" i="10"/>
  <c r="AO1152" i="10"/>
  <c r="BO1431" i="10"/>
  <c r="AO1431" i="10"/>
  <c r="AN1431" i="10"/>
  <c r="AO1459" i="10"/>
  <c r="AO1477" i="10"/>
  <c r="AO1485" i="10"/>
  <c r="BH1485" i="10"/>
  <c r="BM1485" i="10" s="1"/>
  <c r="AN1602" i="10"/>
  <c r="BO1652" i="10"/>
  <c r="AO1678" i="10"/>
  <c r="AO1690" i="10"/>
  <c r="AN1690" i="10"/>
  <c r="AO1710" i="10"/>
  <c r="AO1747" i="10"/>
  <c r="AO1783" i="10"/>
  <c r="AN1832" i="10"/>
  <c r="BO1847" i="10"/>
  <c r="AO1875" i="10"/>
  <c r="AN1893" i="10"/>
  <c r="AO1910" i="10"/>
  <c r="AO2057" i="10"/>
  <c r="AN2099" i="10"/>
  <c r="BH2099" i="10"/>
  <c r="BM2099" i="10" s="1"/>
  <c r="BO2099" i="10" s="1"/>
  <c r="AO2143" i="10"/>
  <c r="AN2143" i="10"/>
  <c r="AO2185" i="10"/>
  <c r="AO2186" i="10"/>
  <c r="AN2188" i="10"/>
  <c r="AN2318" i="10"/>
  <c r="BO2318" i="10"/>
  <c r="AO2416" i="10"/>
  <c r="AN2446" i="10"/>
  <c r="AO2461" i="10"/>
  <c r="AN2461" i="10"/>
  <c r="AN2494" i="10"/>
  <c r="AO2515" i="10"/>
  <c r="AS367" i="10"/>
  <c r="AS366" i="10" s="1"/>
  <c r="BH407" i="10"/>
  <c r="BM407" i="10" s="1"/>
  <c r="BO407" i="10" s="1"/>
  <c r="BH439" i="10"/>
  <c r="BM439" i="10" s="1"/>
  <c r="AN706" i="10"/>
  <c r="AO933" i="10"/>
  <c r="AN933" i="10"/>
  <c r="AN1213" i="10"/>
  <c r="AO1213" i="10"/>
  <c r="BH1261" i="10"/>
  <c r="AO1369" i="10"/>
  <c r="AN1369" i="10"/>
  <c r="AN1451" i="10"/>
  <c r="AO1700" i="10"/>
  <c r="BO1700" i="10"/>
  <c r="BO1929" i="10"/>
  <c r="AN1956" i="10"/>
  <c r="AN2192" i="10"/>
  <c r="BO2249" i="10"/>
  <c r="BH2497" i="10"/>
  <c r="BM2497" i="10" s="1"/>
  <c r="AO2438" i="10"/>
  <c r="AN2438" i="10"/>
  <c r="AO1099" i="10"/>
  <c r="BO1099" i="10"/>
  <c r="AO1216" i="10"/>
  <c r="AN1216" i="10"/>
  <c r="AO1390" i="10"/>
  <c r="AN1390" i="10"/>
  <c r="AO2028" i="10"/>
  <c r="BH2028" i="10"/>
  <c r="BM2028" i="10" s="1"/>
  <c r="E411" i="11" s="1"/>
  <c r="F411" i="11" s="1"/>
  <c r="AO2316" i="10"/>
  <c r="BO2316" i="10"/>
  <c r="BH194" i="10"/>
  <c r="BM194" i="10" s="1"/>
  <c r="AN1647" i="10"/>
  <c r="AO1647" i="10"/>
  <c r="AN2038" i="10"/>
  <c r="AO2038" i="10"/>
  <c r="BO2485" i="10"/>
  <c r="AO2519" i="10"/>
  <c r="BH2519" i="10"/>
  <c r="BO9" i="10"/>
  <c r="AN91" i="10"/>
  <c r="BH159" i="10"/>
  <c r="BM159" i="10" s="1"/>
  <c r="BO159" i="10" s="1"/>
  <c r="AN349" i="10"/>
  <c r="BH459" i="10"/>
  <c r="BM459" i="10" s="1"/>
  <c r="BO459" i="10" s="1"/>
  <c r="AN794" i="10"/>
  <c r="AN961" i="10"/>
  <c r="BH1058" i="10"/>
  <c r="BM1058" i="10" s="1"/>
  <c r="AN1200" i="10"/>
  <c r="AO1338" i="10"/>
  <c r="BO1338" i="10"/>
  <c r="BH1620" i="10"/>
  <c r="BM1620" i="10" s="1"/>
  <c r="BO1620" i="10" s="1"/>
  <c r="AO1632" i="10"/>
  <c r="AN1632" i="10"/>
  <c r="AN1674" i="10"/>
  <c r="BO1679" i="10"/>
  <c r="AN2124" i="10"/>
  <c r="BH2124" i="10"/>
  <c r="BM2124" i="10" s="1"/>
  <c r="BO2124" i="10" s="1"/>
  <c r="AN851" i="10"/>
  <c r="AO868" i="10"/>
  <c r="AN1088" i="10"/>
  <c r="AO1116" i="10"/>
  <c r="AN1125" i="10"/>
  <c r="AN1197" i="10"/>
  <c r="AN1343" i="10"/>
  <c r="AN1362" i="10"/>
  <c r="AN1363" i="10"/>
  <c r="AN1411" i="10"/>
  <c r="AN1481" i="10"/>
  <c r="AO1607" i="10"/>
  <c r="AO1609" i="10"/>
  <c r="AN1895" i="10"/>
  <c r="AN1961" i="10"/>
  <c r="AN1988" i="10"/>
  <c r="AO2033" i="10"/>
  <c r="AO2274" i="10"/>
  <c r="AN847" i="10"/>
  <c r="AN998" i="10"/>
  <c r="AN1023" i="10"/>
  <c r="AN1401" i="10"/>
  <c r="AN1814" i="10"/>
  <c r="AN2035" i="10"/>
  <c r="AN2480" i="10"/>
  <c r="AL104" i="11"/>
  <c r="Q225" i="11"/>
  <c r="S225" i="11" s="1"/>
  <c r="S229" i="11"/>
  <c r="Q505" i="11"/>
  <c r="S505" i="11" s="1"/>
  <c r="V276" i="11"/>
  <c r="S365" i="11"/>
  <c r="AF15" i="11"/>
  <c r="AL16" i="11"/>
  <c r="AL15" i="11" s="1"/>
  <c r="AK209" i="11"/>
  <c r="AM370" i="11"/>
  <c r="Q396" i="11"/>
  <c r="S396" i="11" s="1"/>
  <c r="S401" i="11"/>
  <c r="AC568" i="11"/>
  <c r="X486" i="11"/>
  <c r="V104" i="11"/>
  <c r="AL312" i="11"/>
  <c r="AL311" i="11" s="1"/>
  <c r="AF311" i="11"/>
  <c r="AD440" i="11"/>
  <c r="V450" i="11"/>
  <c r="AI14" i="11"/>
  <c r="AC353" i="11"/>
  <c r="AL366" i="11"/>
  <c r="S539" i="11"/>
  <c r="Q536" i="11"/>
  <c r="S536" i="11" s="1"/>
  <c r="V139" i="11"/>
  <c r="X308" i="11"/>
  <c r="V383" i="11"/>
  <c r="AD486" i="11"/>
  <c r="AM15" i="11"/>
  <c r="AF168" i="11"/>
  <c r="AM259" i="11"/>
  <c r="AL262" i="11"/>
  <c r="AL260" i="11" s="1"/>
  <c r="AL259" i="11" s="1"/>
  <c r="AB307" i="11"/>
  <c r="AJ396" i="11"/>
  <c r="S424" i="11"/>
  <c r="Q423" i="11"/>
  <c r="S423" i="11" s="1"/>
  <c r="AM6" i="11"/>
  <c r="AM5" i="11" s="1"/>
  <c r="AF91" i="11"/>
  <c r="V91" i="11"/>
  <c r="AC307" i="11"/>
  <c r="Q440" i="11"/>
  <c r="S440" i="11" s="1"/>
  <c r="S441" i="11"/>
  <c r="AM160" i="11"/>
  <c r="S15" i="11"/>
  <c r="AD99" i="11"/>
  <c r="S260" i="11"/>
  <c r="Q259" i="11"/>
  <c r="S259" i="11" s="1"/>
  <c r="AD307" i="11"/>
  <c r="AJ440" i="11"/>
  <c r="AK473" i="11"/>
  <c r="S9" i="11"/>
  <c r="AK46" i="11"/>
  <c r="V84" i="11"/>
  <c r="AI177" i="11"/>
  <c r="V178" i="11"/>
  <c r="AM338" i="11"/>
  <c r="X365" i="11"/>
  <c r="X364" i="11" s="1"/>
  <c r="W364" i="11"/>
  <c r="AL379" i="11"/>
  <c r="AM416" i="11"/>
  <c r="AM415" i="11" s="1"/>
  <c r="AM413" i="11" s="1"/>
  <c r="AL420" i="11"/>
  <c r="AC486" i="11"/>
  <c r="AF507" i="11"/>
  <c r="AF505" i="11" s="1"/>
  <c r="V29" i="11"/>
  <c r="V35" i="11"/>
  <c r="V78" i="11"/>
  <c r="V63" i="11" s="1"/>
  <c r="W138" i="11"/>
  <c r="W137" i="11" s="1"/>
  <c r="AL215" i="11"/>
  <c r="AM229" i="11"/>
  <c r="AM225" i="11" s="1"/>
  <c r="AM294" i="11"/>
  <c r="AK298" i="11"/>
  <c r="V331" i="11"/>
  <c r="AB365" i="11"/>
  <c r="AB364" i="11" s="1"/>
  <c r="AM522" i="11"/>
  <c r="V20" i="11"/>
  <c r="V109" i="11"/>
  <c r="AC387" i="11"/>
  <c r="V441" i="11"/>
  <c r="AG486" i="11"/>
  <c r="V6" i="11"/>
  <c r="V5" i="11" s="1"/>
  <c r="AL20" i="11"/>
  <c r="AK101" i="11"/>
  <c r="AK104" i="11"/>
  <c r="AF109" i="11"/>
  <c r="AL110" i="11"/>
  <c r="AL109" i="11" s="1"/>
  <c r="AK168" i="11"/>
  <c r="AK220" i="11"/>
  <c r="AM284" i="11"/>
  <c r="V345" i="11"/>
  <c r="S408" i="11"/>
  <c r="Q405" i="11"/>
  <c r="S405" i="11" s="1"/>
  <c r="V408" i="11"/>
  <c r="V405" i="11" s="1"/>
  <c r="V457" i="11"/>
  <c r="AB486" i="11"/>
  <c r="AL487" i="11"/>
  <c r="AL489" i="11" s="1"/>
  <c r="AF489" i="11"/>
  <c r="V527" i="11"/>
  <c r="V525" i="11" s="1"/>
  <c r="AF550" i="11"/>
  <c r="AF555" i="11"/>
  <c r="V38" i="11"/>
  <c r="AJ45" i="11"/>
  <c r="AJ44" i="11" s="1"/>
  <c r="AK124" i="11"/>
  <c r="AL144" i="11"/>
  <c r="AL143" i="11" s="1"/>
  <c r="AF151" i="11"/>
  <c r="AL325" i="11"/>
  <c r="AL324" i="11" s="1"/>
  <c r="AF324" i="11"/>
  <c r="AC365" i="11"/>
  <c r="AC364" i="11" s="1"/>
  <c r="AC440" i="11"/>
  <c r="V479" i="11"/>
  <c r="V539" i="11"/>
  <c r="V536" i="11" s="1"/>
  <c r="AM550" i="11"/>
  <c r="AF20" i="11"/>
  <c r="V23" i="11"/>
  <c r="Q99" i="11"/>
  <c r="S99" i="11" s="1"/>
  <c r="AL114" i="11"/>
  <c r="AL113" i="11" s="1"/>
  <c r="AK114" i="11"/>
  <c r="AK113" i="11" s="1"/>
  <c r="AL124" i="11"/>
  <c r="AB138" i="11"/>
  <c r="AB137" i="11" s="1"/>
  <c r="AM143" i="11"/>
  <c r="AM139" i="11" s="1"/>
  <c r="V235" i="11"/>
  <c r="AF287" i="11"/>
  <c r="AL288" i="11"/>
  <c r="AL287" i="11" s="1"/>
  <c r="AL355" i="11"/>
  <c r="AD365" i="11"/>
  <c r="AD364" i="11" s="1"/>
  <c r="AD363" i="11" s="1"/>
  <c r="V397" i="11"/>
  <c r="V396" i="11" s="1"/>
  <c r="AF225" i="11"/>
  <c r="AL235" i="11"/>
  <c r="AF254" i="11"/>
  <c r="AM342" i="11"/>
  <c r="V489" i="11"/>
  <c r="X492" i="11"/>
  <c r="X490" i="11" s="1"/>
  <c r="AM555" i="11"/>
  <c r="AC99" i="11"/>
  <c r="AM151" i="11"/>
  <c r="AM179" i="11"/>
  <c r="AM178" i="11" s="1"/>
  <c r="AF294" i="11"/>
  <c r="AK379" i="11"/>
  <c r="AK23" i="11"/>
  <c r="X99" i="11"/>
  <c r="V260" i="11"/>
  <c r="V259" i="11" s="1"/>
  <c r="W284" i="11"/>
  <c r="W177" i="11" s="1"/>
  <c r="W440" i="11"/>
  <c r="AJ492" i="11"/>
  <c r="AJ490" i="11" s="1"/>
  <c r="AM23" i="11"/>
  <c r="AM29" i="11"/>
  <c r="AK109" i="11"/>
  <c r="AJ138" i="11"/>
  <c r="AJ137" i="11" s="1"/>
  <c r="AK198" i="11"/>
  <c r="AK190" i="11" s="1"/>
  <c r="AL226" i="11"/>
  <c r="AL256" i="11"/>
  <c r="AL254" i="11" s="1"/>
  <c r="V338" i="11"/>
  <c r="AI353" i="11"/>
  <c r="V370" i="11"/>
  <c r="V365" i="11" s="1"/>
  <c r="AB423" i="11"/>
  <c r="AM457" i="11"/>
  <c r="AM114" i="11"/>
  <c r="AM113" i="11" s="1"/>
  <c r="AK324" i="11"/>
  <c r="AK308" i="11" s="1"/>
  <c r="AF457" i="11"/>
  <c r="AM473" i="11"/>
  <c r="AI492" i="11"/>
  <c r="AI490" i="11" s="1"/>
  <c r="AK20" i="11"/>
  <c r="AK78" i="11"/>
  <c r="AK63" i="11" s="1"/>
  <c r="AL248" i="11"/>
  <c r="AM374" i="11"/>
  <c r="AK408" i="11"/>
  <c r="AK405" i="11" s="1"/>
  <c r="AK450" i="11"/>
  <c r="AM78" i="11"/>
  <c r="AM63" i="11" s="1"/>
  <c r="AM84" i="11"/>
  <c r="V101" i="11"/>
  <c r="AF114" i="11"/>
  <c r="AF113" i="11" s="1"/>
  <c r="AM124" i="11"/>
  <c r="V215" i="11"/>
  <c r="AM254" i="11"/>
  <c r="AK260" i="11"/>
  <c r="AK259" i="11" s="1"/>
  <c r="AL295" i="11"/>
  <c r="AL294" i="11" s="1"/>
  <c r="V321" i="11"/>
  <c r="W328" i="11"/>
  <c r="W307" i="11" s="1"/>
  <c r="AK338" i="11"/>
  <c r="AK358" i="11"/>
  <c r="AK392" i="11"/>
  <c r="AK387" i="11" s="1"/>
  <c r="AM397" i="11"/>
  <c r="AM396" i="11" s="1"/>
  <c r="AM408" i="11"/>
  <c r="AM405" i="11" s="1"/>
  <c r="AC423" i="11"/>
  <c r="AK433" i="11"/>
  <c r="V433" i="11"/>
  <c r="AB440" i="11"/>
  <c r="AM450" i="11"/>
  <c r="AM483" i="11"/>
  <c r="AM536" i="11"/>
  <c r="BH14" i="10"/>
  <c r="AO14" i="10"/>
  <c r="AS13" i="10"/>
  <c r="AN14" i="10"/>
  <c r="BO96" i="10"/>
  <c r="AN96" i="10"/>
  <c r="AO96" i="10"/>
  <c r="AO163" i="10"/>
  <c r="AN163" i="10"/>
  <c r="BH163" i="10"/>
  <c r="BM163" i="10" s="1"/>
  <c r="AO527" i="10"/>
  <c r="BH527" i="10"/>
  <c r="BM527" i="10" s="1"/>
  <c r="BO527" i="10" s="1"/>
  <c r="BH606" i="10"/>
  <c r="BM606" i="10" s="1"/>
  <c r="BO606" i="10" s="1"/>
  <c r="AO606" i="10"/>
  <c r="AO822" i="10"/>
  <c r="AN822" i="10"/>
  <c r="AN1010" i="10"/>
  <c r="AO1010" i="10"/>
  <c r="AN1016" i="10"/>
  <c r="AO1016" i="10"/>
  <c r="E325" i="11"/>
  <c r="F325" i="11" s="1"/>
  <c r="BO1049" i="10"/>
  <c r="AO1066" i="10"/>
  <c r="AN1066" i="10"/>
  <c r="AN1326" i="10"/>
  <c r="AO1326" i="10"/>
  <c r="BH726" i="10"/>
  <c r="BM726" i="10" s="1"/>
  <c r="AN726" i="10"/>
  <c r="AO726" i="10"/>
  <c r="AN839" i="10"/>
  <c r="AO839" i="10"/>
  <c r="AO873" i="10"/>
  <c r="AN873" i="10"/>
  <c r="BH873" i="10"/>
  <c r="BM873" i="10" s="1"/>
  <c r="BO873" i="10" s="1"/>
  <c r="AO896" i="10"/>
  <c r="AN896" i="10"/>
  <c r="BO896" i="10"/>
  <c r="BH1119" i="10"/>
  <c r="BM1119" i="10" s="1"/>
  <c r="AN1119" i="10"/>
  <c r="AO1119" i="10"/>
  <c r="BA153" i="10"/>
  <c r="AN651" i="10"/>
  <c r="AO651" i="10"/>
  <c r="BH651" i="10"/>
  <c r="BM651" i="10" s="1"/>
  <c r="BH669" i="10"/>
  <c r="BM669" i="10" s="1"/>
  <c r="AO669" i="10"/>
  <c r="AN669" i="10"/>
  <c r="AO1428" i="10"/>
  <c r="AN1428" i="10"/>
  <c r="AN143" i="10"/>
  <c r="AO143" i="10"/>
  <c r="AO485" i="10"/>
  <c r="AN485" i="10"/>
  <c r="BH485" i="10"/>
  <c r="BM485" i="10" s="1"/>
  <c r="BO485" i="10" s="1"/>
  <c r="E256" i="11"/>
  <c r="F256" i="11" s="1"/>
  <c r="BO751" i="10"/>
  <c r="AN844" i="10"/>
  <c r="AO844" i="10"/>
  <c r="AO909" i="10"/>
  <c r="AN909" i="10"/>
  <c r="AO1073" i="10"/>
  <c r="AN1073" i="10"/>
  <c r="BH1073" i="10"/>
  <c r="BM1073" i="10" s="1"/>
  <c r="AO1468" i="10"/>
  <c r="AN1468" i="10"/>
  <c r="BH1940" i="10"/>
  <c r="BM1940" i="10" s="1"/>
  <c r="BO1940" i="10" s="1"/>
  <c r="AO1940" i="10"/>
  <c r="AN1940" i="10"/>
  <c r="W39" i="10"/>
  <c r="BH140" i="10"/>
  <c r="BM140" i="10" s="1"/>
  <c r="BO140" i="10" s="1"/>
  <c r="AO140" i="10"/>
  <c r="AN140" i="10"/>
  <c r="BH262" i="10"/>
  <c r="BM262" i="10" s="1"/>
  <c r="BO262" i="10" s="1"/>
  <c r="AN262" i="10"/>
  <c r="AO262" i="10"/>
  <c r="W281" i="10"/>
  <c r="AO335" i="10"/>
  <c r="AN335" i="10"/>
  <c r="AO361" i="10"/>
  <c r="AN361" i="10"/>
  <c r="BH559" i="10"/>
  <c r="BM559" i="10" s="1"/>
  <c r="BO559" i="10" s="1"/>
  <c r="AO559" i="10"/>
  <c r="AO600" i="10"/>
  <c r="AN600" i="10"/>
  <c r="AO829" i="10"/>
  <c r="BO829" i="10"/>
  <c r="AN829" i="10"/>
  <c r="BO1072" i="10"/>
  <c r="AN1072" i="10"/>
  <c r="AO1072" i="10"/>
  <c r="AO1101" i="10"/>
  <c r="AN1101" i="10"/>
  <c r="BO1101" i="10"/>
  <c r="AN1218" i="10"/>
  <c r="AO1218" i="10"/>
  <c r="BO1708" i="10"/>
  <c r="AN1708" i="10"/>
  <c r="AO1708" i="10"/>
  <c r="AN576" i="10"/>
  <c r="AO576" i="10"/>
  <c r="E242" i="11"/>
  <c r="F242" i="11" s="1"/>
  <c r="BO736" i="10"/>
  <c r="BH753" i="10"/>
  <c r="BM753" i="10" s="1"/>
  <c r="AN753" i="10"/>
  <c r="AO753" i="10"/>
  <c r="AO833" i="10"/>
  <c r="AN833" i="10"/>
  <c r="AO937" i="10"/>
  <c r="AN937" i="10"/>
  <c r="BO937" i="10"/>
  <c r="BH963" i="10"/>
  <c r="BM963" i="10" s="1"/>
  <c r="AO963" i="10"/>
  <c r="AN963" i="10"/>
  <c r="BH1044" i="10"/>
  <c r="BM1044" i="10" s="1"/>
  <c r="AN1044" i="10"/>
  <c r="AO1044" i="10"/>
  <c r="AN1158" i="10"/>
  <c r="AO1158" i="10"/>
  <c r="BH1157" i="10"/>
  <c r="BM1157" i="10" s="1"/>
  <c r="BO1249" i="10"/>
  <c r="AN1249" i="10"/>
  <c r="AO1249" i="10"/>
  <c r="AO2412" i="10"/>
  <c r="AN2412" i="10"/>
  <c r="BO2412" i="10"/>
  <c r="BH124" i="10"/>
  <c r="BM124" i="10" s="1"/>
  <c r="BO124" i="10" s="1"/>
  <c r="AN124" i="10"/>
  <c r="AO124" i="10"/>
  <c r="BH458" i="10"/>
  <c r="BM458" i="10" s="1"/>
  <c r="BO458" i="10" s="1"/>
  <c r="AO458" i="10"/>
  <c r="AN458" i="10"/>
  <c r="BH556" i="10"/>
  <c r="BM556" i="10" s="1"/>
  <c r="BO556" i="10" s="1"/>
  <c r="AO556" i="10"/>
  <c r="BH718" i="10"/>
  <c r="BM718" i="10" s="1"/>
  <c r="AO718" i="10"/>
  <c r="AN718" i="10"/>
  <c r="AO1006" i="10"/>
  <c r="AN1006" i="10"/>
  <c r="AO1203" i="10"/>
  <c r="AN1203" i="10"/>
  <c r="BH160" i="10"/>
  <c r="BM160" i="10" s="1"/>
  <c r="AO160" i="10"/>
  <c r="AN160" i="10"/>
  <c r="AO362" i="10"/>
  <c r="AN362" i="10"/>
  <c r="AO474" i="10"/>
  <c r="AN474" i="10"/>
  <c r="BH703" i="10"/>
  <c r="BM703" i="10" s="1"/>
  <c r="AN703" i="10"/>
  <c r="AO703" i="10"/>
  <c r="BH713" i="10"/>
  <c r="BM713" i="10" s="1"/>
  <c r="AN713" i="10"/>
  <c r="AO713" i="10"/>
  <c r="AN920" i="10"/>
  <c r="AO920" i="10"/>
  <c r="AO1192" i="10"/>
  <c r="AN1192" i="10"/>
  <c r="AO1359" i="10"/>
  <c r="AN1359" i="10"/>
  <c r="BH1355" i="10"/>
  <c r="BM1355" i="10" s="1"/>
  <c r="AN1979" i="10"/>
  <c r="AO1979" i="10"/>
  <c r="AM2241" i="10"/>
  <c r="AJ2242" i="10"/>
  <c r="AO106" i="10"/>
  <c r="AN106" i="10"/>
  <c r="BH106" i="10"/>
  <c r="BM106" i="10" s="1"/>
  <c r="BO106" i="10" s="1"/>
  <c r="AN386" i="10"/>
  <c r="BO386" i="10"/>
  <c r="AO386" i="10"/>
  <c r="AO495" i="10"/>
  <c r="AN495" i="10"/>
  <c r="BH495" i="10"/>
  <c r="BM495" i="10" s="1"/>
  <c r="BO495" i="10" s="1"/>
  <c r="BO543" i="10"/>
  <c r="AN543" i="10"/>
  <c r="BH542" i="10"/>
  <c r="BM542" i="10" s="1"/>
  <c r="BO542" i="10" s="1"/>
  <c r="AO543" i="10"/>
  <c r="E233" i="11"/>
  <c r="F233" i="11" s="1"/>
  <c r="BO727" i="10"/>
  <c r="AN1385" i="10"/>
  <c r="AO1385" i="10"/>
  <c r="BH1385" i="10"/>
  <c r="BM1385" i="10" s="1"/>
  <c r="BO1385" i="10" s="1"/>
  <c r="BH1537" i="10"/>
  <c r="BM1537" i="10" s="1"/>
  <c r="BO1537" i="10" s="1"/>
  <c r="AO1537" i="10"/>
  <c r="AN1537" i="10"/>
  <c r="AN1549" i="10"/>
  <c r="AO1549" i="10"/>
  <c r="BH1548" i="10"/>
  <c r="BM1548" i="10" s="1"/>
  <c r="BO1758" i="10"/>
  <c r="AO1758" i="10"/>
  <c r="AN1758" i="10"/>
  <c r="AN1796" i="10"/>
  <c r="AO1796" i="10"/>
  <c r="AN1899" i="10"/>
  <c r="BH1895" i="10"/>
  <c r="BM1895" i="10" s="1"/>
  <c r="AO1899" i="10"/>
  <c r="AO135" i="10"/>
  <c r="AN135" i="10"/>
  <c r="BH135" i="10"/>
  <c r="BM135" i="10" s="1"/>
  <c r="AO170" i="10"/>
  <c r="AN170" i="10"/>
  <c r="BH170" i="10"/>
  <c r="BM170" i="10" s="1"/>
  <c r="BO170" i="10" s="1"/>
  <c r="BA326" i="10"/>
  <c r="BA325" i="10" s="1"/>
  <c r="BO545" i="10"/>
  <c r="AN545" i="10"/>
  <c r="AO545" i="10"/>
  <c r="AN569" i="10"/>
  <c r="BO569" i="10"/>
  <c r="AO569" i="10"/>
  <c r="BH638" i="10"/>
  <c r="BM638" i="10" s="1"/>
  <c r="AO638" i="10"/>
  <c r="AN638" i="10"/>
  <c r="AN900" i="10"/>
  <c r="BH900" i="10"/>
  <c r="BM900" i="10" s="1"/>
  <c r="AO900" i="10"/>
  <c r="AO930" i="10"/>
  <c r="AN930" i="10"/>
  <c r="AO964" i="10"/>
  <c r="AN964" i="10"/>
  <c r="AO1091" i="10"/>
  <c r="AN1091" i="10"/>
  <c r="AN1303" i="10"/>
  <c r="BO1303" i="10"/>
  <c r="AO1303" i="10"/>
  <c r="AS1300" i="10"/>
  <c r="AO1555" i="10"/>
  <c r="AN1555" i="10"/>
  <c r="AN1976" i="10"/>
  <c r="AS1974" i="10"/>
  <c r="AO1976" i="10"/>
  <c r="AO2478" i="10"/>
  <c r="BO2478" i="10"/>
  <c r="AN2478" i="10"/>
  <c r="AO33" i="10"/>
  <c r="BH33" i="10"/>
  <c r="BM33" i="10" s="1"/>
  <c r="AN33" i="10"/>
  <c r="AO331" i="10"/>
  <c r="AN331" i="10"/>
  <c r="AO432" i="10"/>
  <c r="AN432" i="10"/>
  <c r="BH432" i="10"/>
  <c r="BM432" i="10" s="1"/>
  <c r="BH463" i="10"/>
  <c r="BM463" i="10" s="1"/>
  <c r="BO463" i="10" s="1"/>
  <c r="AO463" i="10"/>
  <c r="AN463" i="10"/>
  <c r="W877" i="10"/>
  <c r="E297" i="11"/>
  <c r="F297" i="11" s="1"/>
  <c r="BO939" i="10"/>
  <c r="BH198" i="10"/>
  <c r="BM198" i="10" s="1"/>
  <c r="AO198" i="10"/>
  <c r="AN198" i="10"/>
  <c r="BH478" i="10"/>
  <c r="BM478" i="10" s="1"/>
  <c r="BO478" i="10" s="1"/>
  <c r="AO478" i="10"/>
  <c r="AN478" i="10"/>
  <c r="AO573" i="10"/>
  <c r="AN573" i="10"/>
  <c r="BH573" i="10"/>
  <c r="BM573" i="10" s="1"/>
  <c r="BO573" i="10" s="1"/>
  <c r="AO846" i="10"/>
  <c r="AN846" i="10"/>
  <c r="BO846" i="10"/>
  <c r="AO1020" i="10"/>
  <c r="AN1020" i="10"/>
  <c r="AO1375" i="10"/>
  <c r="AN1375" i="10"/>
  <c r="BH1375" i="10"/>
  <c r="BM1375" i="10" s="1"/>
  <c r="BO1375" i="10" s="1"/>
  <c r="BH1761" i="10"/>
  <c r="BM1761" i="10" s="1"/>
  <c r="BO1761" i="10" s="1"/>
  <c r="AN1761" i="10"/>
  <c r="AO1761" i="10"/>
  <c r="AO2365" i="10"/>
  <c r="BH2365" i="10"/>
  <c r="BM2365" i="10" s="1"/>
  <c r="AN2365" i="10"/>
  <c r="AN20" i="10"/>
  <c r="BO20" i="10"/>
  <c r="AO20" i="10"/>
  <c r="BH19" i="10"/>
  <c r="BM19" i="10" s="1"/>
  <c r="BO19" i="10" s="1"/>
  <c r="W145" i="10"/>
  <c r="AN314" i="10"/>
  <c r="AO314" i="10"/>
  <c r="AO657" i="10"/>
  <c r="AN657" i="10"/>
  <c r="BH678" i="10"/>
  <c r="BM678" i="10" s="1"/>
  <c r="BO678" i="10" s="1"/>
  <c r="AN678" i="10"/>
  <c r="AO678" i="10"/>
  <c r="AO849" i="10"/>
  <c r="AN849" i="10"/>
  <c r="BH849" i="10"/>
  <c r="BM849" i="10" s="1"/>
  <c r="BO849" i="10" s="1"/>
  <c r="AO870" i="10"/>
  <c r="AN870" i="10"/>
  <c r="BH870" i="10"/>
  <c r="BM870" i="10" s="1"/>
  <c r="BO870" i="10" s="1"/>
  <c r="AO959" i="10"/>
  <c r="AN959" i="10"/>
  <c r="AN1162" i="10"/>
  <c r="AO1162" i="10"/>
  <c r="BO1579" i="10"/>
  <c r="AO1579" i="10"/>
  <c r="AN1579" i="10"/>
  <c r="AO1967" i="10"/>
  <c r="AN1967" i="10"/>
  <c r="AN2022" i="10"/>
  <c r="AO2022" i="10"/>
  <c r="BH477" i="10"/>
  <c r="BM477" i="10" s="1"/>
  <c r="BO477" i="10" s="1"/>
  <c r="AO477" i="10"/>
  <c r="AN477" i="10"/>
  <c r="E222" i="11"/>
  <c r="F222" i="11" s="1"/>
  <c r="BO717" i="10"/>
  <c r="AO734" i="10"/>
  <c r="AN734" i="10"/>
  <c r="BH734" i="10"/>
  <c r="BM734" i="10" s="1"/>
  <c r="AN809" i="10"/>
  <c r="AO809" i="10"/>
  <c r="AN824" i="10"/>
  <c r="AO824" i="10"/>
  <c r="AN1143" i="10"/>
  <c r="AO1143" i="10"/>
  <c r="E80" i="11"/>
  <c r="F80" i="11" s="1"/>
  <c r="BO176" i="10"/>
  <c r="AN287" i="10"/>
  <c r="AO287" i="10"/>
  <c r="AN584" i="10"/>
  <c r="AO584" i="10"/>
  <c r="BH707" i="10"/>
  <c r="BM707" i="10" s="1"/>
  <c r="AN707" i="10"/>
  <c r="AO707" i="10"/>
  <c r="AN786" i="10"/>
  <c r="BH786" i="10"/>
  <c r="BM786" i="10" s="1"/>
  <c r="BO786" i="10" s="1"/>
  <c r="AO786" i="10"/>
  <c r="AO793" i="10"/>
  <c r="AN793" i="10"/>
  <c r="BO793" i="10"/>
  <c r="AO1128" i="10"/>
  <c r="AN1128" i="10"/>
  <c r="BO1128" i="10"/>
  <c r="AO1223" i="10"/>
  <c r="AN1223" i="10"/>
  <c r="AN1453" i="10"/>
  <c r="AO1453" i="10"/>
  <c r="BO2426" i="10"/>
  <c r="AO2426" i="10"/>
  <c r="AN2426" i="10"/>
  <c r="BH1850" i="10"/>
  <c r="BM1850" i="10" s="1"/>
  <c r="BO1850" i="10" s="1"/>
  <c r="AN1850" i="10"/>
  <c r="AO1850" i="10"/>
  <c r="AN1670" i="10"/>
  <c r="AO1670" i="10"/>
  <c r="BH1715" i="10"/>
  <c r="BM1715" i="10" s="1"/>
  <c r="BO1715" i="10" s="1"/>
  <c r="AO1715" i="10"/>
  <c r="AN1715" i="10"/>
  <c r="BH468" i="10"/>
  <c r="BM468" i="10" s="1"/>
  <c r="BO468" i="10" s="1"/>
  <c r="AN468" i="10"/>
  <c r="AO468" i="10"/>
  <c r="BH697" i="10"/>
  <c r="BM697" i="10" s="1"/>
  <c r="AO697" i="10"/>
  <c r="AN697" i="10"/>
  <c r="BH1323" i="10"/>
  <c r="BO27" i="10"/>
  <c r="AN27" i="10"/>
  <c r="AO27" i="10"/>
  <c r="AO87" i="10"/>
  <c r="BO87" i="10"/>
  <c r="AN87" i="10"/>
  <c r="AN310" i="10"/>
  <c r="AO310" i="10"/>
  <c r="AO797" i="10"/>
  <c r="BO797" i="10"/>
  <c r="AN797" i="10"/>
  <c r="AN921" i="10"/>
  <c r="AO921" i="10"/>
  <c r="AO1599" i="10"/>
  <c r="AN1599" i="10"/>
  <c r="E12" i="11"/>
  <c r="F12" i="11" s="1"/>
  <c r="BO12" i="10"/>
  <c r="AN100" i="10"/>
  <c r="BH100" i="10"/>
  <c r="BM100" i="10" s="1"/>
  <c r="BO100" i="10" s="1"/>
  <c r="AO100" i="10"/>
  <c r="AO141" i="10"/>
  <c r="AN141" i="10"/>
  <c r="BH141" i="10"/>
  <c r="BM141" i="10" s="1"/>
  <c r="BO141" i="10" s="1"/>
  <c r="BH693" i="10"/>
  <c r="BM693" i="10" s="1"/>
  <c r="BO693" i="10" s="1"/>
  <c r="AN693" i="10"/>
  <c r="AO693" i="10"/>
  <c r="AN914" i="10"/>
  <c r="AO914" i="10"/>
  <c r="AN931" i="10"/>
  <c r="AO931" i="10"/>
  <c r="AO1080" i="10"/>
  <c r="BO1080" i="10"/>
  <c r="AN1080" i="10"/>
  <c r="BH1079" i="10"/>
  <c r="BM1079" i="10" s="1"/>
  <c r="AN1846" i="10"/>
  <c r="AO1846" i="10"/>
  <c r="BO1846" i="10"/>
  <c r="BO42" i="10"/>
  <c r="AO174" i="10"/>
  <c r="AN174" i="10"/>
  <c r="BH174" i="10"/>
  <c r="BM174" i="10" s="1"/>
  <c r="BO174" i="10" s="1"/>
  <c r="AN296" i="10"/>
  <c r="AO296" i="10"/>
  <c r="AN642" i="10"/>
  <c r="BO642" i="10"/>
  <c r="AO642" i="10"/>
  <c r="AO683" i="10"/>
  <c r="AN683" i="10"/>
  <c r="BH683" i="10"/>
  <c r="BM683" i="10" s="1"/>
  <c r="AS681" i="10"/>
  <c r="E245" i="11"/>
  <c r="F245" i="11" s="1"/>
  <c r="BO739" i="10"/>
  <c r="BH762" i="10"/>
  <c r="BM762" i="10" s="1"/>
  <c r="AN762" i="10"/>
  <c r="AO762" i="10"/>
  <c r="AO775" i="10"/>
  <c r="BH775" i="10"/>
  <c r="BM775" i="10" s="1"/>
  <c r="BO775" i="10" s="1"/>
  <c r="AN775" i="10"/>
  <c r="AN890" i="10"/>
  <c r="BH890" i="10"/>
  <c r="BM890" i="10" s="1"/>
  <c r="AO890" i="10"/>
  <c r="AO916" i="10"/>
  <c r="AN916" i="10"/>
  <c r="AN938" i="10"/>
  <c r="BH938" i="10"/>
  <c r="BM938" i="10" s="1"/>
  <c r="AO938" i="10"/>
  <c r="AO967" i="10"/>
  <c r="AN967" i="10"/>
  <c r="BH987" i="10"/>
  <c r="BM987" i="10" s="1"/>
  <c r="AO987" i="10"/>
  <c r="AN987" i="10"/>
  <c r="AO1235" i="10"/>
  <c r="AN1235" i="10"/>
  <c r="AN1464" i="10"/>
  <c r="AO1464" i="10"/>
  <c r="BO1684" i="10"/>
  <c r="AN1684" i="10"/>
  <c r="AO1684" i="10"/>
  <c r="AO1318" i="10"/>
  <c r="AN1318" i="10"/>
  <c r="AO1317" i="10"/>
  <c r="AN1317" i="10"/>
  <c r="AO869" i="10"/>
  <c r="AN869" i="10"/>
  <c r="AN285" i="10"/>
  <c r="AO285" i="10"/>
  <c r="AO40" i="10"/>
  <c r="AN40" i="10"/>
  <c r="W81" i="10"/>
  <c r="W80" i="10" s="1"/>
  <c r="AN104" i="10"/>
  <c r="BH104" i="10"/>
  <c r="BM104" i="10" s="1"/>
  <c r="BO104" i="10" s="1"/>
  <c r="AO129" i="10"/>
  <c r="AN129" i="10"/>
  <c r="AO131" i="10"/>
  <c r="AN131" i="10"/>
  <c r="AO148" i="10"/>
  <c r="BO148" i="10"/>
  <c r="BH172" i="10"/>
  <c r="BM172" i="10" s="1"/>
  <c r="BO172" i="10" s="1"/>
  <c r="AO172" i="10"/>
  <c r="AN172" i="10"/>
  <c r="AO291" i="10"/>
  <c r="AN291" i="10"/>
  <c r="AJ433" i="10"/>
  <c r="AU433" i="10"/>
  <c r="AJ561" i="10"/>
  <c r="AU561" i="10"/>
  <c r="Y162" i="11"/>
  <c r="I162" i="11"/>
  <c r="AH162" i="11"/>
  <c r="J162" i="11"/>
  <c r="M162" i="11"/>
  <c r="AA655" i="10"/>
  <c r="AV655" i="10"/>
  <c r="AJ721" i="10"/>
  <c r="AM720" i="10"/>
  <c r="AU721" i="10"/>
  <c r="AO769" i="10"/>
  <c r="BH769" i="10"/>
  <c r="BM769" i="10" s="1"/>
  <c r="BO769" i="10" s="1"/>
  <c r="AO773" i="10"/>
  <c r="AN773" i="10"/>
  <c r="BH773" i="10"/>
  <c r="BM773" i="10" s="1"/>
  <c r="BO773" i="10" s="1"/>
  <c r="AV794" i="10"/>
  <c r="AA794" i="10"/>
  <c r="AN804" i="10"/>
  <c r="BH804" i="10"/>
  <c r="E280" i="11"/>
  <c r="F280" i="11" s="1"/>
  <c r="BO882" i="10"/>
  <c r="AA916" i="10"/>
  <c r="AV916" i="10"/>
  <c r="AU916" i="10"/>
  <c r="AO955" i="10"/>
  <c r="AN955" i="10"/>
  <c r="AV960" i="10"/>
  <c r="AU960" i="10"/>
  <c r="AO975" i="10"/>
  <c r="AN975" i="10"/>
  <c r="AO1147" i="10"/>
  <c r="AN1147" i="10"/>
  <c r="AN1423" i="10"/>
  <c r="BH1423" i="10"/>
  <c r="BM1423" i="10" s="1"/>
  <c r="AN1458" i="10"/>
  <c r="AO1458" i="10"/>
  <c r="BH1458" i="10"/>
  <c r="BM1458" i="10" s="1"/>
  <c r="BO1458" i="10" s="1"/>
  <c r="AV1479" i="10"/>
  <c r="AU1479" i="10"/>
  <c r="AN1570" i="10"/>
  <c r="AU1570" i="10"/>
  <c r="AV1884" i="10"/>
  <c r="AU1884" i="10"/>
  <c r="AA1884" i="10"/>
  <c r="W2224" i="10"/>
  <c r="W2223" i="10" s="1"/>
  <c r="U2223" i="10"/>
  <c r="R2491" i="10"/>
  <c r="S2491" i="10" s="1"/>
  <c r="P2489" i="10"/>
  <c r="E81" i="11"/>
  <c r="F81" i="11" s="1"/>
  <c r="BO177" i="10"/>
  <c r="AV214" i="10"/>
  <c r="AD213" i="10"/>
  <c r="AU213" i="10" s="1"/>
  <c r="AA270" i="10"/>
  <c r="AV270" i="10"/>
  <c r="AD268" i="10"/>
  <c r="AA303" i="10"/>
  <c r="AV303" i="10"/>
  <c r="S503" i="10"/>
  <c r="AA514" i="10"/>
  <c r="AV514" i="10"/>
  <c r="AU514" i="10"/>
  <c r="AZ940" i="10"/>
  <c r="AZ665" i="10" s="1"/>
  <c r="AO958" i="10"/>
  <c r="AN958" i="10"/>
  <c r="AO976" i="10"/>
  <c r="BH976" i="10"/>
  <c r="BM976" i="10" s="1"/>
  <c r="BH1294" i="10"/>
  <c r="BM1295" i="10"/>
  <c r="BO38" i="10"/>
  <c r="AN51" i="10"/>
  <c r="BH51" i="10"/>
  <c r="BM51" i="10" s="1"/>
  <c r="BO51" i="10" s="1"/>
  <c r="AV211" i="10"/>
  <c r="AN249" i="10"/>
  <c r="AO505" i="10"/>
  <c r="AN505" i="10"/>
  <c r="BA595" i="10"/>
  <c r="AS737" i="10"/>
  <c r="AO791" i="10"/>
  <c r="AN791" i="10"/>
  <c r="AV834" i="10"/>
  <c r="AU834" i="10"/>
  <c r="AA834" i="10"/>
  <c r="AU921" i="10"/>
  <c r="AJ921" i="10"/>
  <c r="E305" i="11"/>
  <c r="F305" i="11" s="1"/>
  <c r="BO1025" i="10"/>
  <c r="AU1180" i="10"/>
  <c r="AZ1569" i="10"/>
  <c r="AZ1562" i="10" s="1"/>
  <c r="AY1562" i="10"/>
  <c r="AU1598" i="10"/>
  <c r="AJ1598" i="10"/>
  <c r="BH1702" i="10"/>
  <c r="BM1702" i="10" s="1"/>
  <c r="BO1702" i="10" s="1"/>
  <c r="AO1702" i="10"/>
  <c r="AU1800" i="10"/>
  <c r="AJ1800" i="10"/>
  <c r="AU1818" i="10"/>
  <c r="AJ1818" i="10"/>
  <c r="BH1911" i="10"/>
  <c r="BM1911" i="10" s="1"/>
  <c r="BO1911" i="10" s="1"/>
  <c r="AO1911" i="10"/>
  <c r="AN1911" i="10"/>
  <c r="AO1934" i="10"/>
  <c r="AN1934" i="10"/>
  <c r="BO1934" i="10"/>
  <c r="AN2005" i="10"/>
  <c r="AO2005" i="10"/>
  <c r="AO2007" i="10"/>
  <c r="AN2007" i="10"/>
  <c r="AN2061" i="10"/>
  <c r="E49" i="11"/>
  <c r="F49" i="11" s="1"/>
  <c r="BO125" i="10"/>
  <c r="R157" i="10"/>
  <c r="S157" i="10" s="1"/>
  <c r="AU270" i="10"/>
  <c r="BH497" i="10"/>
  <c r="BM497" i="10" s="1"/>
  <c r="BO497" i="10" s="1"/>
  <c r="AN497" i="10"/>
  <c r="AO497" i="10"/>
  <c r="AN522" i="10"/>
  <c r="P535" i="10"/>
  <c r="R536" i="10"/>
  <c r="AU578" i="10"/>
  <c r="AV578" i="10"/>
  <c r="AS645" i="10"/>
  <c r="S669" i="10"/>
  <c r="R666" i="10"/>
  <c r="R675" i="10"/>
  <c r="S675" i="10" s="1"/>
  <c r="S676" i="10"/>
  <c r="AU708" i="10"/>
  <c r="BA735" i="10"/>
  <c r="AA802" i="10"/>
  <c r="AV802" i="10"/>
  <c r="AO904" i="10"/>
  <c r="AN904" i="10"/>
  <c r="AV915" i="10"/>
  <c r="AA915" i="10"/>
  <c r="E301" i="11"/>
  <c r="F301" i="11" s="1"/>
  <c r="BO998" i="10"/>
  <c r="BO1110" i="10"/>
  <c r="AO1110" i="10"/>
  <c r="AN1110" i="10"/>
  <c r="AN1180" i="10"/>
  <c r="AD1342" i="10"/>
  <c r="AV1343" i="10"/>
  <c r="W1475" i="10"/>
  <c r="W1473" i="10" s="1"/>
  <c r="U1473" i="10"/>
  <c r="BH1664" i="10"/>
  <c r="BM1664" i="10" s="1"/>
  <c r="BO1664" i="10" s="1"/>
  <c r="AO1664" i="10"/>
  <c r="AN1664" i="10"/>
  <c r="AU1906" i="10"/>
  <c r="AV2058" i="10"/>
  <c r="AA2058" i="10"/>
  <c r="AD2092" i="10"/>
  <c r="AA2093" i="10"/>
  <c r="AD2489" i="10"/>
  <c r="AV2491" i="10"/>
  <c r="Q5" i="10"/>
  <c r="AU44" i="10"/>
  <c r="AS84" i="10"/>
  <c r="BH82" i="10" s="1"/>
  <c r="AU88" i="10"/>
  <c r="AS114" i="10"/>
  <c r="BA186" i="10"/>
  <c r="BA185" i="10" s="1"/>
  <c r="AY185" i="10"/>
  <c r="BH202" i="10"/>
  <c r="BM202" i="10" s="1"/>
  <c r="BO202" i="10" s="1"/>
  <c r="AO202" i="10"/>
  <c r="S227" i="10"/>
  <c r="U257" i="10"/>
  <c r="AM274" i="10"/>
  <c r="AJ275" i="10"/>
  <c r="AM281" i="10"/>
  <c r="AU283" i="10"/>
  <c r="AN303" i="10"/>
  <c r="AO303" i="10"/>
  <c r="AO388" i="10"/>
  <c r="AN388" i="10"/>
  <c r="AN513" i="10"/>
  <c r="S532" i="10"/>
  <c r="W539" i="10"/>
  <c r="AV541" i="10"/>
  <c r="AD540" i="10"/>
  <c r="BH628" i="10"/>
  <c r="BM628" i="10" s="1"/>
  <c r="BO628" i="10" s="1"/>
  <c r="AO628" i="10"/>
  <c r="AN628" i="10"/>
  <c r="AV640" i="10"/>
  <c r="AU640" i="10"/>
  <c r="BO679" i="10"/>
  <c r="AU695" i="10"/>
  <c r="S722" i="10"/>
  <c r="BH724" i="10"/>
  <c r="BM724" i="10" s="1"/>
  <c r="AO724" i="10"/>
  <c r="BA731" i="10"/>
  <c r="BA729" i="10" s="1"/>
  <c r="AN1033" i="10"/>
  <c r="BH1033" i="10"/>
  <c r="BM1032" i="10" s="1"/>
  <c r="E312" i="11" s="1"/>
  <c r="F312" i="11" s="1"/>
  <c r="AV1092" i="10"/>
  <c r="AD1089" i="10"/>
  <c r="U1294" i="10"/>
  <c r="BH1404" i="10"/>
  <c r="BM1404" i="10" s="1"/>
  <c r="AO1404" i="10"/>
  <c r="AN1404" i="10"/>
  <c r="AN1417" i="10"/>
  <c r="AO1417" i="10"/>
  <c r="BO1785" i="10"/>
  <c r="AO1785" i="10"/>
  <c r="AN1785" i="10"/>
  <c r="BO1935" i="10"/>
  <c r="AO1935" i="10"/>
  <c r="AN1935" i="10"/>
  <c r="AU2053" i="10"/>
  <c r="AM2052" i="10"/>
  <c r="AJ2053" i="10"/>
  <c r="AO2216" i="10"/>
  <c r="AN2216" i="10"/>
  <c r="BH2216" i="10"/>
  <c r="AS2215" i="10"/>
  <c r="AU25" i="10"/>
  <c r="BO99" i="10"/>
  <c r="S113" i="10"/>
  <c r="E56" i="11"/>
  <c r="F56" i="11" s="1"/>
  <c r="BO133" i="10"/>
  <c r="AU263" i="10"/>
  <c r="AV263" i="10"/>
  <c r="AV288" i="10"/>
  <c r="AA288" i="10"/>
  <c r="J409" i="10"/>
  <c r="R416" i="10"/>
  <c r="S418" i="10"/>
  <c r="AJ464" i="10"/>
  <c r="AU464" i="10"/>
  <c r="AZ548" i="10"/>
  <c r="BA548" i="10" s="1"/>
  <c r="AZ559" i="10"/>
  <c r="BA559" i="10" s="1"/>
  <c r="AU587" i="10"/>
  <c r="AZ629" i="10"/>
  <c r="AN650" i="10"/>
  <c r="AO650" i="10"/>
  <c r="AA668" i="10"/>
  <c r="AU668" i="10"/>
  <c r="AV668" i="10"/>
  <c r="AD666" i="10"/>
  <c r="U758" i="10"/>
  <c r="BH792" i="10"/>
  <c r="AO792" i="10"/>
  <c r="AN792" i="10"/>
  <c r="AU802" i="10"/>
  <c r="AN813" i="10"/>
  <c r="BH869" i="10"/>
  <c r="BM869" i="10" s="1"/>
  <c r="BO869" i="10" s="1"/>
  <c r="AO1055" i="10"/>
  <c r="AN1055" i="10"/>
  <c r="BO1055" i="10"/>
  <c r="R1069" i="10"/>
  <c r="AU1165" i="10"/>
  <c r="AN1165" i="10"/>
  <c r="S1307" i="10"/>
  <c r="R1306" i="10"/>
  <c r="S1306" i="10" s="1"/>
  <c r="AO1383" i="10"/>
  <c r="AN1383" i="10"/>
  <c r="AO2018" i="10"/>
  <c r="AN2018" i="10"/>
  <c r="AV2135" i="10"/>
  <c r="AU2135" i="10"/>
  <c r="AA2135" i="10"/>
  <c r="E436" i="11"/>
  <c r="F436" i="11" s="1"/>
  <c r="BO2150" i="10"/>
  <c r="AN25" i="10"/>
  <c r="P39" i="10"/>
  <c r="AR54" i="10"/>
  <c r="AM145" i="10"/>
  <c r="AU146" i="10"/>
  <c r="AJ146" i="10"/>
  <c r="E76" i="11"/>
  <c r="F76" i="11" s="1"/>
  <c r="BO167" i="10"/>
  <c r="AO376" i="10"/>
  <c r="AN376" i="10"/>
  <c r="AY438" i="10"/>
  <c r="AY437" i="10" s="1"/>
  <c r="AM438" i="10"/>
  <c r="AU440" i="10"/>
  <c r="AO464" i="10"/>
  <c r="AN464" i="10"/>
  <c r="BH464" i="10"/>
  <c r="BM464" i="10" s="1"/>
  <c r="BO464" i="10" s="1"/>
  <c r="AO469" i="10"/>
  <c r="AN469" i="10"/>
  <c r="AN479" i="10"/>
  <c r="AO479" i="10"/>
  <c r="AS490" i="10"/>
  <c r="AS524" i="10"/>
  <c r="W531" i="10"/>
  <c r="AO581" i="10"/>
  <c r="AN581" i="10"/>
  <c r="AN587" i="10"/>
  <c r="AA825" i="10"/>
  <c r="AV825" i="10"/>
  <c r="BH831" i="10"/>
  <c r="AO831" i="10"/>
  <c r="AN831" i="10"/>
  <c r="AO1071" i="10"/>
  <c r="AN1071" i="10"/>
  <c r="BO1071" i="10"/>
  <c r="W7" i="10"/>
  <c r="AU10" i="10"/>
  <c r="AN21" i="10"/>
  <c r="AJ27" i="10"/>
  <c r="AU27" i="10"/>
  <c r="AO30" i="10"/>
  <c r="AN30" i="10"/>
  <c r="AS29" i="10"/>
  <c r="AS70" i="10"/>
  <c r="AN182" i="10"/>
  <c r="AO182" i="10"/>
  <c r="AS181" i="10"/>
  <c r="AN260" i="10"/>
  <c r="AO260" i="10"/>
  <c r="AU275" i="10"/>
  <c r="AU289" i="10"/>
  <c r="AV289" i="10"/>
  <c r="AU379" i="10"/>
  <c r="AO480" i="10"/>
  <c r="AN480" i="10"/>
  <c r="BH480" i="10"/>
  <c r="BM480" i="10" s="1"/>
  <c r="BO480" i="10" s="1"/>
  <c r="AV519" i="10"/>
  <c r="AU519" i="10"/>
  <c r="AA519" i="10"/>
  <c r="AD535" i="10"/>
  <c r="AV538" i="10"/>
  <c r="BA575" i="10"/>
  <c r="AU585" i="10"/>
  <c r="R681" i="10"/>
  <c r="S681" i="10" s="1"/>
  <c r="U743" i="10"/>
  <c r="W743" i="10" s="1"/>
  <c r="W746" i="10"/>
  <c r="BO899" i="10"/>
  <c r="BH1063" i="10"/>
  <c r="BM1063" i="10" s="1"/>
  <c r="AO1063" i="10"/>
  <c r="AN1063" i="10"/>
  <c r="AS1090" i="10"/>
  <c r="AO1113" i="10"/>
  <c r="AN1113" i="10"/>
  <c r="BO1113" i="10"/>
  <c r="AV1163" i="10"/>
  <c r="AA1163" i="10"/>
  <c r="AA1195" i="10"/>
  <c r="AU1195" i="10"/>
  <c r="AV1195" i="10"/>
  <c r="J1279" i="10"/>
  <c r="L1280" i="10"/>
  <c r="AN1304" i="10"/>
  <c r="BO1304" i="10"/>
  <c r="AO1337" i="10"/>
  <c r="AN1337" i="10"/>
  <c r="BO1337" i="10"/>
  <c r="AV1504" i="10"/>
  <c r="AD1503" i="10"/>
  <c r="AA1504" i="10"/>
  <c r="AO1525" i="10"/>
  <c r="BO1525" i="10"/>
  <c r="AN1525" i="10"/>
  <c r="AN1566" i="10"/>
  <c r="BH1566" i="10"/>
  <c r="BM1566" i="10" s="1"/>
  <c r="BO1566" i="10" s="1"/>
  <c r="AY1736" i="10"/>
  <c r="AA1950" i="10"/>
  <c r="AV1950" i="10"/>
  <c r="AA1959" i="10"/>
  <c r="AV1959" i="10"/>
  <c r="BA2052" i="10"/>
  <c r="BA2051" i="10" s="1"/>
  <c r="BA2050" i="10" s="1"/>
  <c r="AO26" i="10"/>
  <c r="AN26" i="10"/>
  <c r="BH24" i="10"/>
  <c r="BM24" i="10" s="1"/>
  <c r="BO24" i="10" s="1"/>
  <c r="AN94" i="10"/>
  <c r="L110" i="10"/>
  <c r="J109" i="10"/>
  <c r="L109" i="10" s="1"/>
  <c r="AO162" i="10"/>
  <c r="BH162" i="10"/>
  <c r="BM162" i="10" s="1"/>
  <c r="AN162" i="10"/>
  <c r="R247" i="10"/>
  <c r="S247" i="10" s="1"/>
  <c r="AS258" i="10"/>
  <c r="AU293" i="10"/>
  <c r="AV293" i="10"/>
  <c r="AN313" i="10"/>
  <c r="AO313" i="10"/>
  <c r="AN318" i="10"/>
  <c r="AO318" i="10"/>
  <c r="AA343" i="10"/>
  <c r="AU343" i="10"/>
  <c r="AV343" i="10"/>
  <c r="AM367" i="10"/>
  <c r="AN368" i="10"/>
  <c r="AO379" i="10"/>
  <c r="AN379" i="10"/>
  <c r="BO379" i="10"/>
  <c r="BH392" i="10"/>
  <c r="AS391" i="10"/>
  <c r="AS410" i="10"/>
  <c r="AA414" i="10"/>
  <c r="AV414" i="10"/>
  <c r="AM416" i="10"/>
  <c r="AU419" i="10"/>
  <c r="AV430" i="10"/>
  <c r="AA430" i="10"/>
  <c r="BH447" i="10"/>
  <c r="BM447" i="10" s="1"/>
  <c r="BO447" i="10" s="1"/>
  <c r="AN447" i="10"/>
  <c r="AO447" i="10"/>
  <c r="AU466" i="10"/>
  <c r="AO481" i="10"/>
  <c r="BH481" i="10"/>
  <c r="BM481" i="10" s="1"/>
  <c r="BO481" i="10" s="1"/>
  <c r="BH484" i="10"/>
  <c r="BM484" i="10" s="1"/>
  <c r="BO484" i="10" s="1"/>
  <c r="AO484" i="10"/>
  <c r="AN484" i="10"/>
  <c r="AO528" i="10"/>
  <c r="BH528" i="10"/>
  <c r="BM528" i="10" s="1"/>
  <c r="BO528" i="10" s="1"/>
  <c r="AV530" i="10"/>
  <c r="AD529" i="10"/>
  <c r="AV532" i="10"/>
  <c r="AD531" i="10"/>
  <c r="AU532" i="10"/>
  <c r="AU533" i="10"/>
  <c r="AN534" i="10"/>
  <c r="AO534" i="10"/>
  <c r="BH534" i="10"/>
  <c r="AN544" i="10"/>
  <c r="AU544" i="10"/>
  <c r="AZ549" i="10"/>
  <c r="BA549" i="10" s="1"/>
  <c r="BO553" i="10"/>
  <c r="AO553" i="10"/>
  <c r="AN553" i="10"/>
  <c r="AU554" i="10"/>
  <c r="AO586" i="10"/>
  <c r="AN586" i="10"/>
  <c r="AJ597" i="10"/>
  <c r="AU597" i="10"/>
  <c r="AV601" i="10"/>
  <c r="AA601" i="10"/>
  <c r="AA602" i="10"/>
  <c r="AU602" i="10"/>
  <c r="AV602" i="10"/>
  <c r="AS609" i="10"/>
  <c r="AM608" i="10"/>
  <c r="AU610" i="10"/>
  <c r="AN610" i="10"/>
  <c r="AJ619" i="10"/>
  <c r="P626" i="10"/>
  <c r="R626" i="10" s="1"/>
  <c r="S626" i="10" s="1"/>
  <c r="R627" i="10"/>
  <c r="S627" i="10" s="1"/>
  <c r="R633" i="10"/>
  <c r="S633" i="10" s="1"/>
  <c r="S645" i="10"/>
  <c r="BH660" i="10"/>
  <c r="BM660" i="10" s="1"/>
  <c r="AD675" i="10"/>
  <c r="AU676" i="10"/>
  <c r="K665" i="10"/>
  <c r="S682" i="10"/>
  <c r="AY681" i="10"/>
  <c r="AU687" i="10"/>
  <c r="AA706" i="10"/>
  <c r="AV706" i="10"/>
  <c r="W715" i="10"/>
  <c r="P720" i="10"/>
  <c r="V720" i="10"/>
  <c r="AH231" i="11"/>
  <c r="Y231" i="11"/>
  <c r="M231" i="11"/>
  <c r="I231" i="11"/>
  <c r="J231" i="11"/>
  <c r="AV733" i="10"/>
  <c r="AU733" i="10"/>
  <c r="W736" i="10"/>
  <c r="W735" i="10" s="1"/>
  <c r="AS744" i="10"/>
  <c r="AU763" i="10"/>
  <c r="AA769" i="10"/>
  <c r="AV769" i="10"/>
  <c r="AU825" i="10"/>
  <c r="AO830" i="10"/>
  <c r="AN830" i="10"/>
  <c r="BO830" i="10"/>
  <c r="AU849" i="10"/>
  <c r="AN850" i="10"/>
  <c r="AO850" i="10"/>
  <c r="BH850" i="10"/>
  <c r="BM850" i="10" s="1"/>
  <c r="BO850" i="10" s="1"/>
  <c r="AO852" i="10"/>
  <c r="AN852" i="10"/>
  <c r="AU882" i="10"/>
  <c r="AJ882" i="10"/>
  <c r="AU886" i="10"/>
  <c r="BO887" i="10"/>
  <c r="AO887" i="10"/>
  <c r="AN887" i="10"/>
  <c r="P891" i="10"/>
  <c r="AN970" i="10"/>
  <c r="AO970" i="10"/>
  <c r="AU971" i="10"/>
  <c r="AJ971" i="10"/>
  <c r="AU972" i="10"/>
  <c r="AU984" i="10"/>
  <c r="AU992" i="10"/>
  <c r="BM1030" i="10"/>
  <c r="AY1029" i="10"/>
  <c r="AZ1032" i="10"/>
  <c r="AZ1035" i="10"/>
  <c r="BA1035" i="10" s="1"/>
  <c r="AA1042" i="10"/>
  <c r="AV1042" i="10"/>
  <c r="AN1061" i="10"/>
  <c r="AO1061" i="10"/>
  <c r="AY1089" i="10"/>
  <c r="AO1094" i="10"/>
  <c r="AN1094" i="10"/>
  <c r="BO1112" i="10"/>
  <c r="AO1112" i="10"/>
  <c r="AU1144" i="10"/>
  <c r="AN1144" i="10"/>
  <c r="AN1169" i="10"/>
  <c r="AO1169" i="10"/>
  <c r="AV1194" i="10"/>
  <c r="AU1194" i="10"/>
  <c r="BA1262" i="10"/>
  <c r="AY1260" i="10"/>
  <c r="AY1259" i="10" s="1"/>
  <c r="R1267" i="10"/>
  <c r="AS1291" i="10"/>
  <c r="AO1309" i="10"/>
  <c r="AN1309" i="10"/>
  <c r="W1322" i="10"/>
  <c r="AA1329" i="10"/>
  <c r="AV1329" i="10"/>
  <c r="BO1336" i="10"/>
  <c r="AO1336" i="10"/>
  <c r="AN1336" i="10"/>
  <c r="AS1333" i="10"/>
  <c r="AN1339" i="10"/>
  <c r="BO1339" i="10"/>
  <c r="AO1339" i="10"/>
  <c r="AY1399" i="10"/>
  <c r="J1448" i="10"/>
  <c r="AO1456" i="10"/>
  <c r="AN1456" i="10"/>
  <c r="AJ1488" i="10"/>
  <c r="AU1488" i="10"/>
  <c r="BO1517" i="10"/>
  <c r="AO1517" i="10"/>
  <c r="AN1517" i="10"/>
  <c r="AJ1518" i="10"/>
  <c r="AU1518" i="10"/>
  <c r="AZ1534" i="10"/>
  <c r="AO1538" i="10"/>
  <c r="BH1538" i="10"/>
  <c r="BM1538" i="10" s="1"/>
  <c r="BO1538" i="10" s="1"/>
  <c r="AO1540" i="10"/>
  <c r="AN1540" i="10"/>
  <c r="AJ1556" i="10"/>
  <c r="AU1556" i="10"/>
  <c r="AJ1559" i="10"/>
  <c r="AU1559" i="10"/>
  <c r="BO1574" i="10"/>
  <c r="AO1574" i="10"/>
  <c r="AN1574" i="10"/>
  <c r="BO1615" i="10"/>
  <c r="AN1615" i="10"/>
  <c r="BO1618" i="10"/>
  <c r="AN1618" i="10"/>
  <c r="AO1618" i="10"/>
  <c r="AO1657" i="10"/>
  <c r="AN1657" i="10"/>
  <c r="BO1657" i="10"/>
  <c r="Q1689" i="10"/>
  <c r="AU1704" i="10"/>
  <c r="AV1704" i="10"/>
  <c r="AN1722" i="10"/>
  <c r="BO1722" i="10"/>
  <c r="AO1722" i="10"/>
  <c r="AZ1738" i="10"/>
  <c r="AZ1736" i="10" s="1"/>
  <c r="AA1782" i="10"/>
  <c r="AV1782" i="10"/>
  <c r="R1794" i="10"/>
  <c r="Q1793" i="10"/>
  <c r="AU1797" i="10"/>
  <c r="BO1812" i="10"/>
  <c r="AO1812" i="10"/>
  <c r="AN1812" i="10"/>
  <c r="AU1829" i="10"/>
  <c r="AJ1829" i="10"/>
  <c r="AU1901" i="10"/>
  <c r="AN1901" i="10"/>
  <c r="AO1958" i="10"/>
  <c r="AN1958" i="10"/>
  <c r="AA1968" i="10"/>
  <c r="AV1968" i="10"/>
  <c r="AJ1980" i="10"/>
  <c r="AU1980" i="10"/>
  <c r="AU1987" i="10"/>
  <c r="AJ1987" i="10"/>
  <c r="AJ1988" i="10"/>
  <c r="AU1988" i="10"/>
  <c r="AJ1998" i="10"/>
  <c r="AU1998" i="10"/>
  <c r="AO2078" i="10"/>
  <c r="AN2078" i="10"/>
  <c r="AN2106" i="10"/>
  <c r="BH2106" i="10"/>
  <c r="BM2106" i="10" s="1"/>
  <c r="BO2106" i="10" s="1"/>
  <c r="AO2106" i="10"/>
  <c r="AO2135" i="10"/>
  <c r="AN2135" i="10"/>
  <c r="BH2135" i="10"/>
  <c r="BM2135" i="10" s="1"/>
  <c r="BO2135" i="10" s="1"/>
  <c r="BH2136" i="10"/>
  <c r="BM2136" i="10" s="1"/>
  <c r="BO2136" i="10" s="1"/>
  <c r="AN2136" i="10"/>
  <c r="P2176" i="10"/>
  <c r="P2175" i="10" s="1"/>
  <c r="R2177" i="10"/>
  <c r="J2204" i="10"/>
  <c r="L2205" i="10"/>
  <c r="R2267" i="10"/>
  <c r="AU2281" i="10"/>
  <c r="AM2279" i="10"/>
  <c r="AN2281" i="10"/>
  <c r="L2387" i="10"/>
  <c r="M22" i="11"/>
  <c r="J22" i="11"/>
  <c r="AH22" i="11"/>
  <c r="Y22" i="11"/>
  <c r="I22" i="11"/>
  <c r="AA67" i="10"/>
  <c r="AV67" i="10"/>
  <c r="AD66" i="10"/>
  <c r="R182" i="10"/>
  <c r="P181" i="10"/>
  <c r="AS208" i="10"/>
  <c r="BH209" i="10"/>
  <c r="AS215" i="10"/>
  <c r="BH216" i="10"/>
  <c r="AO216" i="10"/>
  <c r="AN216" i="10"/>
  <c r="AA236" i="10"/>
  <c r="AV236" i="10"/>
  <c r="AS238" i="10"/>
  <c r="AN239" i="10"/>
  <c r="BH239" i="10"/>
  <c r="AO246" i="10"/>
  <c r="BH246" i="10"/>
  <c r="AS245" i="10"/>
  <c r="R251" i="10"/>
  <c r="S252" i="10"/>
  <c r="AN427" i="10"/>
  <c r="BO427" i="10"/>
  <c r="AN471" i="10"/>
  <c r="AO471" i="10"/>
  <c r="BH470" i="10"/>
  <c r="BM470" i="10" s="1"/>
  <c r="W489" i="10"/>
  <c r="W488" i="10" s="1"/>
  <c r="AA515" i="10"/>
  <c r="AV515" i="10"/>
  <c r="AU515" i="10"/>
  <c r="BH731" i="10"/>
  <c r="BM731" i="10" s="1"/>
  <c r="AN731" i="10"/>
  <c r="AO731" i="10"/>
  <c r="AN738" i="10"/>
  <c r="AO738" i="10"/>
  <c r="BH738" i="10"/>
  <c r="BM738" i="10" s="1"/>
  <c r="S759" i="10"/>
  <c r="BH772" i="10"/>
  <c r="BM772" i="10" s="1"/>
  <c r="BO772" i="10" s="1"/>
  <c r="AO772" i="10"/>
  <c r="AN820" i="10"/>
  <c r="AO820" i="10"/>
  <c r="AN893" i="10"/>
  <c r="AU893" i="10"/>
  <c r="AO1108" i="10"/>
  <c r="AN1108" i="10"/>
  <c r="BO1108" i="10"/>
  <c r="AN1176" i="10"/>
  <c r="AO1176" i="10"/>
  <c r="AV1180" i="10"/>
  <c r="AA1180" i="10"/>
  <c r="BH1199" i="10"/>
  <c r="BM1199" i="10" s="1"/>
  <c r="AO1199" i="10"/>
  <c r="AO1388" i="10"/>
  <c r="AN1388" i="10"/>
  <c r="AA1391" i="10"/>
  <c r="AV1391" i="10"/>
  <c r="AU1391" i="10"/>
  <c r="W1399" i="10"/>
  <c r="AJ1405" i="10"/>
  <c r="AU1405" i="10"/>
  <c r="BH2152" i="10"/>
  <c r="BM2152" i="10" s="1"/>
  <c r="AO2152" i="10"/>
  <c r="AN2152" i="10"/>
  <c r="BO195" i="10"/>
  <c r="AS193" i="10"/>
  <c r="AV199" i="10"/>
  <c r="AU199" i="10"/>
  <c r="AN219" i="10"/>
  <c r="L367" i="10"/>
  <c r="J366" i="10"/>
  <c r="BA395" i="10"/>
  <c r="BA394" i="10" s="1"/>
  <c r="BA393" i="10" s="1"/>
  <c r="BH406" i="10"/>
  <c r="BM406" i="10" s="1"/>
  <c r="BO406" i="10" s="1"/>
  <c r="AN406" i="10"/>
  <c r="AO406" i="10"/>
  <c r="AS508" i="10"/>
  <c r="BH503" i="10" s="1"/>
  <c r="L523" i="10"/>
  <c r="BA536" i="10"/>
  <c r="BA535" i="10" s="1"/>
  <c r="AY535" i="10"/>
  <c r="AO953" i="10"/>
  <c r="AN953" i="10"/>
  <c r="BH953" i="10"/>
  <c r="BM953" i="10" s="1"/>
  <c r="AZ1038" i="10"/>
  <c r="BA1038" i="10" s="1"/>
  <c r="L1322" i="10"/>
  <c r="AN1370" i="10"/>
  <c r="AO1370" i="10"/>
  <c r="AV1404" i="10"/>
  <c r="AA1404" i="10"/>
  <c r="U1590" i="10"/>
  <c r="W1591" i="10"/>
  <c r="W1590" i="10" s="1"/>
  <c r="AO1640" i="10"/>
  <c r="AN1640" i="10"/>
  <c r="AV1906" i="10"/>
  <c r="AA1906" i="10"/>
  <c r="AN1915" i="10"/>
  <c r="W1945" i="10"/>
  <c r="W1942" i="10" s="1"/>
  <c r="U1942" i="10"/>
  <c r="AA2483" i="10"/>
  <c r="AV2483" i="10"/>
  <c r="AV89" i="10"/>
  <c r="AU89" i="10"/>
  <c r="R184" i="10"/>
  <c r="R194" i="10"/>
  <c r="AU236" i="10"/>
  <c r="W257" i="10"/>
  <c r="W411" i="10"/>
  <c r="W410" i="10" s="1"/>
  <c r="W409" i="10" s="1"/>
  <c r="AV455" i="10"/>
  <c r="AU455" i="10"/>
  <c r="AN566" i="10"/>
  <c r="AO566" i="10"/>
  <c r="BH566" i="10"/>
  <c r="BM566" i="10" s="1"/>
  <c r="BO566" i="10" s="1"/>
  <c r="BH574" i="10"/>
  <c r="BM574" i="10" s="1"/>
  <c r="AO574" i="10"/>
  <c r="AV650" i="10"/>
  <c r="AU650" i="10"/>
  <c r="W754" i="10"/>
  <c r="AM788" i="10"/>
  <c r="AN808" i="10"/>
  <c r="AO808" i="10"/>
  <c r="AO856" i="10"/>
  <c r="AN856" i="10"/>
  <c r="BO856" i="10"/>
  <c r="AJ859" i="10"/>
  <c r="AU859" i="10"/>
  <c r="E333" i="11"/>
  <c r="F333" i="11" s="1"/>
  <c r="BO1076" i="10"/>
  <c r="AO1134" i="10"/>
  <c r="AN1134" i="10"/>
  <c r="AO1179" i="10"/>
  <c r="AN1179" i="10"/>
  <c r="AU1250" i="10"/>
  <c r="AV1250" i="10"/>
  <c r="R1285" i="10"/>
  <c r="S1285" i="10" s="1"/>
  <c r="AN1587" i="10"/>
  <c r="AO1587" i="10"/>
  <c r="BO2374" i="10"/>
  <c r="AN2374" i="10"/>
  <c r="BH2376" i="10"/>
  <c r="BM2376" i="10" s="1"/>
  <c r="AO2376" i="10"/>
  <c r="AN2376" i="10"/>
  <c r="AO2411" i="10"/>
  <c r="AN2411" i="10"/>
  <c r="BO2411" i="10"/>
  <c r="AU2480" i="10"/>
  <c r="AO2492" i="10"/>
  <c r="BH2492" i="10"/>
  <c r="BM2492" i="10" s="1"/>
  <c r="AN2492" i="10"/>
  <c r="AN19" i="10"/>
  <c r="AA34" i="10"/>
  <c r="AV34" i="10"/>
  <c r="AU34" i="10"/>
  <c r="AO42" i="10"/>
  <c r="AN42" i="10"/>
  <c r="AO82" i="10"/>
  <c r="AN82" i="10"/>
  <c r="R121" i="10"/>
  <c r="P120" i="10"/>
  <c r="AN169" i="10"/>
  <c r="AO169" i="10"/>
  <c r="L180" i="10"/>
  <c r="R403" i="10"/>
  <c r="W421" i="10"/>
  <c r="W416" i="10" s="1"/>
  <c r="W415" i="10" s="1"/>
  <c r="AO494" i="10"/>
  <c r="AN494" i="10"/>
  <c r="AO515" i="10"/>
  <c r="AN515" i="10"/>
  <c r="AO547" i="10"/>
  <c r="AN547" i="10"/>
  <c r="BO547" i="10"/>
  <c r="AA587" i="10"/>
  <c r="AV587" i="10"/>
  <c r="P624" i="10"/>
  <c r="R624" i="10" s="1"/>
  <c r="S624" i="10" s="1"/>
  <c r="R625" i="10"/>
  <c r="S625" i="10" s="1"/>
  <c r="P758" i="10"/>
  <c r="AN807" i="10"/>
  <c r="AO807" i="10"/>
  <c r="AA831" i="10"/>
  <c r="AV831" i="10"/>
  <c r="AU831" i="10"/>
  <c r="AN836" i="10"/>
  <c r="AO836" i="10"/>
  <c r="AJ860" i="10"/>
  <c r="AU860" i="10"/>
  <c r="AN860" i="10"/>
  <c r="BO889" i="10"/>
  <c r="AO923" i="10"/>
  <c r="AN923" i="10"/>
  <c r="AA968" i="10"/>
  <c r="AV968" i="10"/>
  <c r="AN1050" i="10"/>
  <c r="BH1133" i="10"/>
  <c r="BM1133" i="10" s="1"/>
  <c r="AO1133" i="10"/>
  <c r="AA1238" i="10"/>
  <c r="AD1237" i="10"/>
  <c r="AV1238" i="10"/>
  <c r="BO1245" i="10"/>
  <c r="AN1245" i="10"/>
  <c r="AU1446" i="10"/>
  <c r="BH1460" i="10"/>
  <c r="BM1460" i="10" s="1"/>
  <c r="BO1460" i="10" s="1"/>
  <c r="AN1460" i="10"/>
  <c r="AO1460" i="10"/>
  <c r="AN1699" i="10"/>
  <c r="BO1699" i="10"/>
  <c r="AN1815" i="10"/>
  <c r="AO1815" i="10"/>
  <c r="BO1815" i="10"/>
  <c r="AN1818" i="10"/>
  <c r="AV1819" i="10"/>
  <c r="AA1819" i="10"/>
  <c r="BH2488" i="10"/>
  <c r="BM2488" i="10" s="1"/>
  <c r="AN2488" i="10"/>
  <c r="AJ22" i="10"/>
  <c r="AU22" i="10"/>
  <c r="BH40" i="10"/>
  <c r="AS67" i="10"/>
  <c r="AV181" i="10"/>
  <c r="AU181" i="10"/>
  <c r="P238" i="10"/>
  <c r="R239" i="10"/>
  <c r="W253" i="10"/>
  <c r="W251" i="10" s="1"/>
  <c r="V266" i="10"/>
  <c r="AO272" i="10"/>
  <c r="AN272" i="10"/>
  <c r="AS281" i="10"/>
  <c r="AO282" i="10"/>
  <c r="AN282" i="10"/>
  <c r="AM391" i="10"/>
  <c r="AU392" i="10"/>
  <c r="AJ392" i="10"/>
  <c r="AM489" i="10"/>
  <c r="AU490" i="10"/>
  <c r="AS630" i="10"/>
  <c r="AU662" i="10"/>
  <c r="AN662" i="10"/>
  <c r="BH672" i="10"/>
  <c r="BM672" i="10" s="1"/>
  <c r="AO672" i="10"/>
  <c r="AN672" i="10"/>
  <c r="BH741" i="10"/>
  <c r="BM741" i="10" s="1"/>
  <c r="AN741" i="10"/>
  <c r="AO741" i="10"/>
  <c r="AS752" i="10"/>
  <c r="AN785" i="10"/>
  <c r="BH785" i="10"/>
  <c r="BM785" i="10" s="1"/>
  <c r="BO785" i="10" s="1"/>
  <c r="AU786" i="10"/>
  <c r="AN798" i="10"/>
  <c r="AA830" i="10"/>
  <c r="AV830" i="10"/>
  <c r="AU830" i="10"/>
  <c r="AU901" i="10"/>
  <c r="AN901" i="10"/>
  <c r="AN935" i="10"/>
  <c r="AN948" i="10"/>
  <c r="AO948" i="10"/>
  <c r="AJ981" i="10"/>
  <c r="AU981" i="10"/>
  <c r="AY995" i="10"/>
  <c r="BA996" i="10"/>
  <c r="BA995" i="10" s="1"/>
  <c r="AO1046" i="10"/>
  <c r="AN1046" i="10"/>
  <c r="BH1045" i="10"/>
  <c r="BM1045" i="10" s="1"/>
  <c r="E323" i="11" s="1"/>
  <c r="F323" i="11" s="1"/>
  <c r="AN1085" i="10"/>
  <c r="AO1085" i="10"/>
  <c r="BH1085" i="10"/>
  <c r="BM1085" i="10" s="1"/>
  <c r="AJ1091" i="10"/>
  <c r="AM1089" i="10"/>
  <c r="AU1091" i="10"/>
  <c r="AO1315" i="10"/>
  <c r="AN1315" i="10"/>
  <c r="BH1447" i="10"/>
  <c r="BM1447" i="10" s="1"/>
  <c r="AN1447" i="10"/>
  <c r="AO1447" i="10"/>
  <c r="AN1471" i="10"/>
  <c r="BH1471" i="10"/>
  <c r="BM1471" i="10" s="1"/>
  <c r="BO1471" i="10" s="1"/>
  <c r="AV1474" i="10"/>
  <c r="AD1473" i="10"/>
  <c r="BH1992" i="10"/>
  <c r="BM1992" i="10" s="1"/>
  <c r="AS1989" i="10"/>
  <c r="AO1992" i="10"/>
  <c r="AN1992" i="10"/>
  <c r="AJ2093" i="10"/>
  <c r="AU2093" i="10"/>
  <c r="AM2092" i="10"/>
  <c r="AU2098" i="10"/>
  <c r="AN2098" i="10"/>
  <c r="AJ2098" i="10"/>
  <c r="W2260" i="10"/>
  <c r="W2259" i="10" s="1"/>
  <c r="W2258" i="10" s="1"/>
  <c r="U2259" i="10"/>
  <c r="U2258" i="10" s="1"/>
  <c r="AN22" i="10"/>
  <c r="L39" i="10"/>
  <c r="BH44" i="10"/>
  <c r="BM44" i="10" s="1"/>
  <c r="BO44" i="10" s="1"/>
  <c r="AO44" i="10"/>
  <c r="AN44" i="10"/>
  <c r="U145" i="10"/>
  <c r="AU179" i="10"/>
  <c r="R186" i="10"/>
  <c r="L206" i="10"/>
  <c r="S209" i="10"/>
  <c r="R208" i="10"/>
  <c r="S208" i="10" s="1"/>
  <c r="AS222" i="10"/>
  <c r="AN302" i="10"/>
  <c r="AO302" i="10"/>
  <c r="AS371" i="10"/>
  <c r="AU389" i="10"/>
  <c r="AJ389" i="10"/>
  <c r="AA459" i="10"/>
  <c r="AV459" i="10"/>
  <c r="J501" i="10"/>
  <c r="BM620" i="10"/>
  <c r="AO661" i="10"/>
  <c r="BO661" i="10"/>
  <c r="AN661" i="10"/>
  <c r="BH684" i="10"/>
  <c r="BM684" i="10" s="1"/>
  <c r="AO684" i="10"/>
  <c r="AO695" i="10"/>
  <c r="AN695" i="10"/>
  <c r="BH695" i="10"/>
  <c r="BM695" i="10" s="1"/>
  <c r="AO842" i="10"/>
  <c r="AN842" i="10"/>
  <c r="AN855" i="10"/>
  <c r="AO855" i="10"/>
  <c r="BO855" i="10"/>
  <c r="AU915" i="10"/>
  <c r="BO935" i="10"/>
  <c r="AO935" i="10"/>
  <c r="R995" i="10"/>
  <c r="S995" i="10" s="1"/>
  <c r="W1002" i="10"/>
  <c r="AU1036" i="10"/>
  <c r="AU1168" i="10"/>
  <c r="AJ1168" i="10"/>
  <c r="AN1393" i="10"/>
  <c r="AO1393" i="10"/>
  <c r="AA1395" i="10"/>
  <c r="AU1395" i="10"/>
  <c r="AV1395" i="10"/>
  <c r="P1534" i="10"/>
  <c r="AS1719" i="10"/>
  <c r="AS1716" i="10" s="1"/>
  <c r="BO1786" i="10"/>
  <c r="AN1786" i="10"/>
  <c r="AO1795" i="10"/>
  <c r="AN1795" i="10"/>
  <c r="AS1793" i="10"/>
  <c r="AA1808" i="10"/>
  <c r="AU1808" i="10"/>
  <c r="AV1808" i="10"/>
  <c r="AN1844" i="10"/>
  <c r="BO1844" i="10"/>
  <c r="AO1844" i="10"/>
  <c r="BH1855" i="10"/>
  <c r="BM1855" i="10" s="1"/>
  <c r="BO1855" i="10" s="1"/>
  <c r="AO1855" i="10"/>
  <c r="AN1855" i="10"/>
  <c r="BH15" i="10"/>
  <c r="BM15" i="10" s="1"/>
  <c r="BO15" i="10" s="1"/>
  <c r="AO15" i="10"/>
  <c r="BH22" i="10"/>
  <c r="BM22" i="10" s="1"/>
  <c r="BO22" i="10" s="1"/>
  <c r="AO22" i="10"/>
  <c r="U39" i="10"/>
  <c r="BH169" i="10"/>
  <c r="BM169" i="10" s="1"/>
  <c r="BO169" i="10" s="1"/>
  <c r="AN179" i="10"/>
  <c r="AO307" i="10"/>
  <c r="AN307" i="10"/>
  <c r="AN394" i="10"/>
  <c r="AS393" i="10"/>
  <c r="AU481" i="10"/>
  <c r="AU486" i="10"/>
  <c r="AN496" i="10"/>
  <c r="BH496" i="10"/>
  <c r="BM496" i="10" s="1"/>
  <c r="BO496" i="10" s="1"/>
  <c r="AO525" i="10"/>
  <c r="BH525" i="10"/>
  <c r="BM525" i="10" s="1"/>
  <c r="BO525" i="10" s="1"/>
  <c r="AA533" i="10"/>
  <c r="AV533" i="10"/>
  <c r="AJ607" i="10"/>
  <c r="AU607" i="10"/>
  <c r="AU616" i="10"/>
  <c r="AU667" i="10"/>
  <c r="AM666" i="10"/>
  <c r="AH288" i="11"/>
  <c r="Y288" i="11"/>
  <c r="I288" i="11"/>
  <c r="M288" i="11"/>
  <c r="J288" i="11"/>
  <c r="BH904" i="10"/>
  <c r="BM904" i="10" s="1"/>
  <c r="BH934" i="10"/>
  <c r="BM934" i="10" s="1"/>
  <c r="AO969" i="10"/>
  <c r="AN969" i="10"/>
  <c r="AA972" i="10"/>
  <c r="AV972" i="10"/>
  <c r="AN981" i="10"/>
  <c r="E300" i="11"/>
  <c r="F300" i="11" s="1"/>
  <c r="BO997" i="10"/>
  <c r="BH1032" i="10"/>
  <c r="BM1033" i="10" s="1"/>
  <c r="E313" i="11" s="1"/>
  <c r="F313" i="11" s="1"/>
  <c r="AO1032" i="10"/>
  <c r="AN1032" i="10"/>
  <c r="AS1029" i="10"/>
  <c r="AN1035" i="10"/>
  <c r="BH1035" i="10"/>
  <c r="BM1035" i="10" s="1"/>
  <c r="E315" i="11" s="1"/>
  <c r="F315" i="11" s="1"/>
  <c r="BO1054" i="10"/>
  <c r="AO1054" i="10"/>
  <c r="AN1054" i="10"/>
  <c r="AU1059" i="10"/>
  <c r="AN1208" i="10"/>
  <c r="AO1208" i="10"/>
  <c r="BH1208" i="10"/>
  <c r="BM1208" i="10" s="1"/>
  <c r="AZ1264" i="10"/>
  <c r="AZ1260" i="10" s="1"/>
  <c r="AZ1259" i="10" s="1"/>
  <c r="S1323" i="10"/>
  <c r="BA1324" i="10"/>
  <c r="BH1352" i="10"/>
  <c r="BM1352" i="10" s="1"/>
  <c r="BO1352" i="10" s="1"/>
  <c r="AO1352" i="10"/>
  <c r="AN1352" i="10"/>
  <c r="AY1473" i="10"/>
  <c r="AU1474" i="10"/>
  <c r="AN1474" i="10"/>
  <c r="AM1473" i="10"/>
  <c r="AO1480" i="10"/>
  <c r="AN1480" i="10"/>
  <c r="AA1539" i="10"/>
  <c r="AV1539" i="10"/>
  <c r="AU1567" i="10"/>
  <c r="BO1654" i="10"/>
  <c r="AO1654" i="10"/>
  <c r="AN1654" i="10"/>
  <c r="BH1694" i="10"/>
  <c r="BM1694" i="10" s="1"/>
  <c r="BO1694" i="10" s="1"/>
  <c r="AV1709" i="10"/>
  <c r="AU1709" i="10"/>
  <c r="L1823" i="10"/>
  <c r="J1822" i="10"/>
  <c r="AO1872" i="10"/>
  <c r="AN1872" i="10"/>
  <c r="BO1872" i="10"/>
  <c r="BH1865" i="10"/>
  <c r="BM1865" i="10" s="1"/>
  <c r="BO1865" i="10" s="1"/>
  <c r="L1881" i="10"/>
  <c r="AA1901" i="10"/>
  <c r="AV1901" i="10"/>
  <c r="AA1949" i="10"/>
  <c r="AV1949" i="10"/>
  <c r="AO2134" i="10"/>
  <c r="AN2134" i="10"/>
  <c r="BH2134" i="10"/>
  <c r="BM2134" i="10" s="1"/>
  <c r="BO2134" i="10" s="1"/>
  <c r="AU2220" i="10"/>
  <c r="AM2219" i="10"/>
  <c r="AN2219" i="10" s="1"/>
  <c r="AN2220" i="10"/>
  <c r="BH56" i="10"/>
  <c r="AO56" i="10"/>
  <c r="AS55" i="10"/>
  <c r="R60" i="10"/>
  <c r="AO93" i="10"/>
  <c r="AN93" i="10"/>
  <c r="AN127" i="10"/>
  <c r="BH127" i="10"/>
  <c r="BM127" i="10" s="1"/>
  <c r="AU144" i="10"/>
  <c r="AU164" i="10"/>
  <c r="AD193" i="10"/>
  <c r="BA212" i="10"/>
  <c r="BA211" i="10" s="1"/>
  <c r="AY211" i="10"/>
  <c r="AJ226" i="10"/>
  <c r="AM225" i="10"/>
  <c r="AU226" i="10"/>
  <c r="AY268" i="10"/>
  <c r="AY267" i="10" s="1"/>
  <c r="BA269" i="10"/>
  <c r="AU288" i="10"/>
  <c r="AJ324" i="10"/>
  <c r="AU324" i="10"/>
  <c r="AN324" i="10"/>
  <c r="L394" i="10"/>
  <c r="AJ413" i="10"/>
  <c r="AM410" i="10"/>
  <c r="AU413" i="10"/>
  <c r="AV424" i="10"/>
  <c r="AU424" i="10"/>
  <c r="AN486" i="10"/>
  <c r="AN503" i="10"/>
  <c r="AO503" i="10"/>
  <c r="BO615" i="10"/>
  <c r="AN615" i="10"/>
  <c r="S631" i="10"/>
  <c r="AO743" i="10"/>
  <c r="AN743" i="10"/>
  <c r="AY758" i="10"/>
  <c r="AU850" i="10"/>
  <c r="AN853" i="10"/>
  <c r="E275" i="11"/>
  <c r="F275" i="11" s="1"/>
  <c r="BO876" i="10"/>
  <c r="AV1193" i="10"/>
  <c r="AU1193" i="10"/>
  <c r="AA1193" i="10"/>
  <c r="AO1220" i="10"/>
  <c r="AN1220" i="10"/>
  <c r="AO1222" i="10"/>
  <c r="AN1222" i="10"/>
  <c r="AV1227" i="10"/>
  <c r="AU1227" i="10"/>
  <c r="AJ1451" i="10"/>
  <c r="AM1449" i="10"/>
  <c r="AU1451" i="10"/>
  <c r="AO1558" i="10"/>
  <c r="AN1558" i="10"/>
  <c r="AO1757" i="10"/>
  <c r="AN1757" i="10"/>
  <c r="AU2107" i="10"/>
  <c r="AN2107" i="10"/>
  <c r="AJ2107" i="10"/>
  <c r="AV2138" i="10"/>
  <c r="AU2138" i="10"/>
  <c r="AA2138" i="10"/>
  <c r="AO2394" i="10"/>
  <c r="AN2394" i="10"/>
  <c r="BO2394" i="10"/>
  <c r="AA38" i="10"/>
  <c r="AV38" i="10"/>
  <c r="AD36" i="10"/>
  <c r="AA185" i="10"/>
  <c r="AU185" i="10"/>
  <c r="AV185" i="10"/>
  <c r="R244" i="10"/>
  <c r="AS6" i="10"/>
  <c r="AN31" i="10"/>
  <c r="AD77" i="10"/>
  <c r="Q153" i="10"/>
  <c r="AO156" i="10"/>
  <c r="AN156" i="10"/>
  <c r="BH156" i="10"/>
  <c r="BM156" i="10" s="1"/>
  <c r="AN288" i="10"/>
  <c r="AV292" i="10"/>
  <c r="AA292" i="10"/>
  <c r="AU315" i="10"/>
  <c r="AN339" i="10"/>
  <c r="AO347" i="10"/>
  <c r="AN347" i="10"/>
  <c r="AU349" i="10"/>
  <c r="AU383" i="10"/>
  <c r="AJ383" i="10"/>
  <c r="AY502" i="10"/>
  <c r="BH533" i="10"/>
  <c r="BM533" i="10" s="1"/>
  <c r="AO533" i="10"/>
  <c r="AN533" i="10"/>
  <c r="AY540" i="10"/>
  <c r="AN592" i="10"/>
  <c r="AN597" i="10"/>
  <c r="BO604" i="10"/>
  <c r="AO604" i="10"/>
  <c r="AN604" i="10"/>
  <c r="BH650" i="10"/>
  <c r="BM650" i="10" s="1"/>
  <c r="BO650" i="10" s="1"/>
  <c r="W679" i="10"/>
  <c r="W675" i="10" s="1"/>
  <c r="U681" i="10"/>
  <c r="BA682" i="10"/>
  <c r="BA681" i="10" s="1"/>
  <c r="AN687" i="10"/>
  <c r="AJ688" i="10"/>
  <c r="AN688" i="10"/>
  <c r="AU688" i="10"/>
  <c r="AA692" i="10"/>
  <c r="AV692" i="10"/>
  <c r="W721" i="10"/>
  <c r="BO725" i="10"/>
  <c r="AA738" i="10"/>
  <c r="AV738" i="10"/>
  <c r="AN763" i="10"/>
  <c r="AO764" i="10"/>
  <c r="AN764" i="10"/>
  <c r="P788" i="10"/>
  <c r="BO800" i="10"/>
  <c r="AN800" i="10"/>
  <c r="AU817" i="10"/>
  <c r="AJ817" i="10"/>
  <c r="AJ818" i="10"/>
  <c r="AU818" i="10"/>
  <c r="AU823" i="10"/>
  <c r="AJ823" i="10"/>
  <c r="AN825" i="10"/>
  <c r="BO863" i="10"/>
  <c r="P877" i="10"/>
  <c r="BH879" i="10"/>
  <c r="BM879" i="10" s="1"/>
  <c r="AN882" i="10"/>
  <c r="AU883" i="10"/>
  <c r="AN883" i="10"/>
  <c r="AO888" i="10"/>
  <c r="AN888" i="10"/>
  <c r="AU943" i="10"/>
  <c r="AN972" i="10"/>
  <c r="AO1024" i="10"/>
  <c r="AN1024" i="10"/>
  <c r="BH1024" i="10"/>
  <c r="BM1024" i="10" s="1"/>
  <c r="AO1062" i="10"/>
  <c r="AN1062" i="10"/>
  <c r="AO1064" i="10"/>
  <c r="BH1064" i="10"/>
  <c r="BM1064" i="10" s="1"/>
  <c r="AU1077" i="10"/>
  <c r="AM1068" i="10"/>
  <c r="AZ1090" i="10"/>
  <c r="AZ1089" i="10" s="1"/>
  <c r="AN1093" i="10"/>
  <c r="AO1093" i="10"/>
  <c r="AU1102" i="10"/>
  <c r="AN1102" i="10"/>
  <c r="AU1116" i="10"/>
  <c r="AN1116" i="10"/>
  <c r="AO1156" i="10"/>
  <c r="BO1156" i="10"/>
  <c r="AU1163" i="10"/>
  <c r="AN1221" i="10"/>
  <c r="AO1221" i="10"/>
  <c r="AJ1225" i="10"/>
  <c r="AU1225" i="10"/>
  <c r="AN1225" i="10"/>
  <c r="L1283" i="10"/>
  <c r="AN1285" i="10"/>
  <c r="AO1285" i="10"/>
  <c r="BA1304" i="10"/>
  <c r="BA1300" i="10" s="1"/>
  <c r="AY1300" i="10"/>
  <c r="AV1319" i="10"/>
  <c r="AU1319" i="10"/>
  <c r="AD1306" i="10"/>
  <c r="AA1376" i="10"/>
  <c r="AV1376" i="10"/>
  <c r="AU1376" i="10"/>
  <c r="AN1397" i="10"/>
  <c r="AO1397" i="10"/>
  <c r="Q1399" i="10"/>
  <c r="R1400" i="10"/>
  <c r="AZ1400" i="10"/>
  <c r="AZ1399" i="10" s="1"/>
  <c r="AN1419" i="10"/>
  <c r="AO1419" i="10"/>
  <c r="BH1435" i="10"/>
  <c r="BM1435" i="10" s="1"/>
  <c r="BO1435" i="10" s="1"/>
  <c r="AO1435" i="10"/>
  <c r="AN1435" i="10"/>
  <c r="AN1436" i="10"/>
  <c r="BO1436" i="10"/>
  <c r="AO1436" i="10"/>
  <c r="AN1442" i="10"/>
  <c r="AO1467" i="10"/>
  <c r="AN1467" i="10"/>
  <c r="AN1488" i="10"/>
  <c r="AJ1527" i="10"/>
  <c r="AU1527" i="10"/>
  <c r="AN1546" i="10"/>
  <c r="AO1546" i="10"/>
  <c r="AN1556" i="10"/>
  <c r="AN1559" i="10"/>
  <c r="AN1575" i="10"/>
  <c r="BH1575" i="10"/>
  <c r="BM1575" i="10" s="1"/>
  <c r="BO1575" i="10" s="1"/>
  <c r="AV1633" i="10"/>
  <c r="AU1633" i="10"/>
  <c r="AA1633" i="10"/>
  <c r="T1636" i="10"/>
  <c r="BO1656" i="10"/>
  <c r="AO1656" i="10"/>
  <c r="AN1656" i="10"/>
  <c r="R1690" i="10"/>
  <c r="R1738" i="10"/>
  <c r="S1738" i="10" s="1"/>
  <c r="P1736" i="10"/>
  <c r="AO1772" i="10"/>
  <c r="AN1772" i="10"/>
  <c r="BO1772" i="10"/>
  <c r="AN1781" i="10"/>
  <c r="AN1829" i="10"/>
  <c r="AN1834" i="10"/>
  <c r="AO1834" i="10"/>
  <c r="BH1829" i="10"/>
  <c r="BM1829" i="10" s="1"/>
  <c r="AN1837" i="10"/>
  <c r="AO1837" i="10"/>
  <c r="BH1837" i="10"/>
  <c r="BM1837" i="10" s="1"/>
  <c r="BO1837" i="10" s="1"/>
  <c r="AO1861" i="10"/>
  <c r="AN1861" i="10"/>
  <c r="AA1866" i="10"/>
  <c r="AV1866" i="10"/>
  <c r="AU1879" i="10"/>
  <c r="AJ1879" i="10"/>
  <c r="AM1878" i="10"/>
  <c r="Q1913" i="10"/>
  <c r="L1942" i="10"/>
  <c r="R1946" i="10"/>
  <c r="S1946" i="10" s="1"/>
  <c r="P1942" i="10"/>
  <c r="AO1949" i="10"/>
  <c r="AN1949" i="10"/>
  <c r="AN2085" i="10"/>
  <c r="AO2085" i="10"/>
  <c r="BH2085" i="10"/>
  <c r="AS2084" i="10"/>
  <c r="AZ2129" i="10"/>
  <c r="BA2129" i="10" s="1"/>
  <c r="BO2157" i="10"/>
  <c r="AN2157" i="10"/>
  <c r="AJ2203" i="10"/>
  <c r="AU2203" i="10"/>
  <c r="E501" i="11"/>
  <c r="F501" i="11" s="1"/>
  <c r="BO2364" i="10"/>
  <c r="AO37" i="10"/>
  <c r="AS36" i="10"/>
  <c r="BH37" i="10"/>
  <c r="AU41" i="10"/>
  <c r="AJ41" i="10"/>
  <c r="AM39" i="10"/>
  <c r="AJ51" i="10"/>
  <c r="AU51" i="10"/>
  <c r="R55" i="10"/>
  <c r="S56" i="10"/>
  <c r="L70" i="10"/>
  <c r="J69" i="10"/>
  <c r="AO151" i="10"/>
  <c r="AN151" i="10"/>
  <c r="AJ247" i="10"/>
  <c r="AM242" i="10"/>
  <c r="AO341" i="10"/>
  <c r="AN341" i="10"/>
  <c r="S411" i="10"/>
  <c r="R410" i="10"/>
  <c r="AJ510" i="10"/>
  <c r="AU510" i="10"/>
  <c r="AO516" i="10"/>
  <c r="AN516" i="10"/>
  <c r="BM532" i="10"/>
  <c r="AJ557" i="10"/>
  <c r="AN557" i="10"/>
  <c r="AU557" i="10"/>
  <c r="AA565" i="10"/>
  <c r="AV565" i="10"/>
  <c r="AU565" i="10"/>
  <c r="BA618" i="10"/>
  <c r="BA611" i="10" s="1"/>
  <c r="P644" i="10"/>
  <c r="P643" i="10" s="1"/>
  <c r="AO690" i="10"/>
  <c r="AN690" i="10"/>
  <c r="AA696" i="10"/>
  <c r="AV696" i="10"/>
  <c r="P743" i="10"/>
  <c r="R743" i="10" s="1"/>
  <c r="S743" i="10" s="1"/>
  <c r="R744" i="10"/>
  <c r="S744" i="10" s="1"/>
  <c r="AJ809" i="10"/>
  <c r="AU809" i="10"/>
  <c r="AO838" i="10"/>
  <c r="AN838" i="10"/>
  <c r="AV999" i="10"/>
  <c r="AU999" i="10"/>
  <c r="AD1029" i="10"/>
  <c r="AV1030" i="10"/>
  <c r="AU1030" i="10"/>
  <c r="AO1042" i="10"/>
  <c r="AN1042" i="10"/>
  <c r="BH1042" i="10"/>
  <c r="BM1042" i="10" s="1"/>
  <c r="BO1042" i="10" s="1"/>
  <c r="AO1105" i="10"/>
  <c r="BO1105" i="10"/>
  <c r="AN1105" i="10"/>
  <c r="AO1478" i="10"/>
  <c r="AN1478" i="10"/>
  <c r="AN1484" i="10"/>
  <c r="AO1484" i="10"/>
  <c r="BH1502" i="10"/>
  <c r="BM1502" i="10" s="1"/>
  <c r="BO1502" i="10" s="1"/>
  <c r="AO1502" i="10"/>
  <c r="AN1502" i="10"/>
  <c r="AJ1507" i="10"/>
  <c r="AU1507" i="10"/>
  <c r="W1611" i="10"/>
  <c r="W1610" i="10" s="1"/>
  <c r="U1610" i="10"/>
  <c r="AU1805" i="10"/>
  <c r="AV1805" i="10"/>
  <c r="AD2032" i="10"/>
  <c r="AA2034" i="10"/>
  <c r="AV2034" i="10"/>
  <c r="AU2034" i="10"/>
  <c r="AO2071" i="10"/>
  <c r="AN2071" i="10"/>
  <c r="BH2071" i="10"/>
  <c r="BM2071" i="10" s="1"/>
  <c r="AN2377" i="10"/>
  <c r="BH2377" i="10"/>
  <c r="BM2377" i="10" s="1"/>
  <c r="AO2377" i="10"/>
  <c r="BA147" i="10"/>
  <c r="AY153" i="10"/>
  <c r="AA167" i="10"/>
  <c r="AV167" i="10"/>
  <c r="BA184" i="10"/>
  <c r="BA194" i="10"/>
  <c r="BA193" i="10" s="1"/>
  <c r="BA192" i="10" s="1"/>
  <c r="AU198" i="10"/>
  <c r="AJ198" i="10"/>
  <c r="AA271" i="10"/>
  <c r="AU271" i="10"/>
  <c r="AV271" i="10"/>
  <c r="AN297" i="10"/>
  <c r="S373" i="10"/>
  <c r="BA412" i="10"/>
  <c r="BA410" i="10" s="1"/>
  <c r="BA409" i="10" s="1"/>
  <c r="AY410" i="10"/>
  <c r="AY409" i="10" s="1"/>
  <c r="P438" i="10"/>
  <c r="P437" i="10" s="1"/>
  <c r="AN558" i="10"/>
  <c r="AO558" i="10"/>
  <c r="AN561" i="10"/>
  <c r="BO561" i="10"/>
  <c r="AO561" i="10"/>
  <c r="AN564" i="10"/>
  <c r="AN570" i="10"/>
  <c r="BO637" i="10"/>
  <c r="AS677" i="10"/>
  <c r="E195" i="11"/>
  <c r="F195" i="11" s="1"/>
  <c r="BO686" i="10"/>
  <c r="BH691" i="10"/>
  <c r="BM691" i="10" s="1"/>
  <c r="BO691" i="10" s="1"/>
  <c r="AO691" i="10"/>
  <c r="E238" i="11"/>
  <c r="F238" i="11" s="1"/>
  <c r="BO732" i="10"/>
  <c r="AU782" i="10"/>
  <c r="AJ782" i="10"/>
  <c r="AJ794" i="10"/>
  <c r="AU794" i="10"/>
  <c r="AN871" i="10"/>
  <c r="BH871" i="10"/>
  <c r="BM871" i="10" s="1"/>
  <c r="BO871" i="10" s="1"/>
  <c r="AO871" i="10"/>
  <c r="AV897" i="10"/>
  <c r="AA897" i="10"/>
  <c r="AU897" i="10"/>
  <c r="AN917" i="10"/>
  <c r="AV922" i="10"/>
  <c r="AU922" i="10"/>
  <c r="AV1056" i="10"/>
  <c r="AA1056" i="10"/>
  <c r="AO1877" i="10"/>
  <c r="AN1877" i="10"/>
  <c r="BH1877" i="10"/>
  <c r="BM1877" i="10" s="1"/>
  <c r="BO1877" i="10" s="1"/>
  <c r="AJ213" i="10"/>
  <c r="AN241" i="10"/>
  <c r="AS240" i="10"/>
  <c r="BH241" i="10"/>
  <c r="R257" i="10"/>
  <c r="S257" i="10" s="1"/>
  <c r="AO333" i="10"/>
  <c r="AN333" i="10"/>
  <c r="AO336" i="10"/>
  <c r="AN336" i="10"/>
  <c r="AU387" i="10"/>
  <c r="AN387" i="10"/>
  <c r="R534" i="10"/>
  <c r="S534" i="10" s="1"/>
  <c r="AN563" i="10"/>
  <c r="AO563" i="10"/>
  <c r="BO563" i="10"/>
  <c r="AM629" i="10"/>
  <c r="AU630" i="10"/>
  <c r="AU632" i="10"/>
  <c r="M188" i="11"/>
  <c r="J188" i="11"/>
  <c r="AH188" i="11"/>
  <c r="I188" i="11"/>
  <c r="Y188" i="11"/>
  <c r="AO777" i="10"/>
  <c r="BH777" i="10"/>
  <c r="BM777" i="10" s="1"/>
  <c r="AN777" i="10"/>
  <c r="AN782" i="10"/>
  <c r="AO810" i="10"/>
  <c r="AN810" i="10"/>
  <c r="M282" i="11"/>
  <c r="J282" i="11"/>
  <c r="AH282" i="11"/>
  <c r="T282" i="11"/>
  <c r="I282" i="11"/>
  <c r="Y282" i="11"/>
  <c r="AV1045" i="10"/>
  <c r="AU1045" i="10"/>
  <c r="AA1181" i="10"/>
  <c r="AU1181" i="10"/>
  <c r="AV1181" i="10"/>
  <c r="AO1206" i="10"/>
  <c r="AN1206" i="10"/>
  <c r="AJ1465" i="10"/>
  <c r="AU1465" i="10"/>
  <c r="AU1563" i="10"/>
  <c r="AJ1563" i="10"/>
  <c r="AA1770" i="10"/>
  <c r="AV1770" i="10"/>
  <c r="BA2199" i="10"/>
  <c r="BA2198" i="10" s="1"/>
  <c r="AY2198" i="10"/>
  <c r="AM13" i="10"/>
  <c r="BA40" i="10"/>
  <c r="BA39" i="10" s="1"/>
  <c r="AN53" i="10"/>
  <c r="AS75" i="10"/>
  <c r="AN122" i="10"/>
  <c r="BH122" i="10"/>
  <c r="BM122" i="10" s="1"/>
  <c r="BO122" i="10" s="1"/>
  <c r="AN133" i="10"/>
  <c r="AZ151" i="10"/>
  <c r="AZ145" i="10" s="1"/>
  <c r="AU167" i="10"/>
  <c r="R190" i="10"/>
  <c r="P189" i="10"/>
  <c r="BH200" i="10"/>
  <c r="BM200" i="10" s="1"/>
  <c r="BO200" i="10" s="1"/>
  <c r="AN200" i="10"/>
  <c r="AO200" i="10"/>
  <c r="AU336" i="10"/>
  <c r="AO445" i="10"/>
  <c r="AN445" i="10"/>
  <c r="BH445" i="10"/>
  <c r="BM445" i="10" s="1"/>
  <c r="BO445" i="10" s="1"/>
  <c r="AO521" i="10"/>
  <c r="BH521" i="10"/>
  <c r="BM521" i="10" s="1"/>
  <c r="BO521" i="10" s="1"/>
  <c r="BO567" i="10"/>
  <c r="AO567" i="10"/>
  <c r="AN567" i="10"/>
  <c r="R608" i="10"/>
  <c r="S608" i="10" s="1"/>
  <c r="AV855" i="10"/>
  <c r="AU855" i="10"/>
  <c r="AN859" i="10"/>
  <c r="AJ880" i="10"/>
  <c r="AU880" i="10"/>
  <c r="AN905" i="10"/>
  <c r="AO927" i="10"/>
  <c r="AN927" i="10"/>
  <c r="BH927" i="10"/>
  <c r="BM927" i="10" s="1"/>
  <c r="AO945" i="10"/>
  <c r="AN945" i="10"/>
  <c r="AN999" i="10"/>
  <c r="BH999" i="10"/>
  <c r="BM999" i="10" s="1"/>
  <c r="E302" i="11" s="1"/>
  <c r="F302" i="11" s="1"/>
  <c r="AO999" i="10"/>
  <c r="AN1081" i="10"/>
  <c r="AU1081" i="10"/>
  <c r="AU1372" i="10"/>
  <c r="AJ1372" i="10"/>
  <c r="AN1372" i="10"/>
  <c r="R1402" i="10"/>
  <c r="S1402" i="10" s="1"/>
  <c r="P1399" i="10"/>
  <c r="AU1411" i="10"/>
  <c r="AJ1411" i="10"/>
  <c r="AM1562" i="10"/>
  <c r="AN1634" i="10"/>
  <c r="BH1634" i="10"/>
  <c r="BM1634" i="10" s="1"/>
  <c r="BO1634" i="10" s="1"/>
  <c r="AO1634" i="10"/>
  <c r="AJ1637" i="10"/>
  <c r="AM1636" i="10"/>
  <c r="AU1637" i="10"/>
  <c r="AU1676" i="10"/>
  <c r="AV1676" i="10"/>
  <c r="AA1676" i="10"/>
  <c r="AN1800" i="10"/>
  <c r="AS1890" i="10"/>
  <c r="AS1881" i="10" s="1"/>
  <c r="AN1905" i="10"/>
  <c r="AO1905" i="10"/>
  <c r="BA1913" i="10"/>
  <c r="BA1880" i="10" s="1"/>
  <c r="AU1924" i="10"/>
  <c r="AJ1924" i="10"/>
  <c r="L2300" i="10"/>
  <c r="AO2486" i="10"/>
  <c r="AN2486" i="10"/>
  <c r="BH2486" i="10"/>
  <c r="BM2486" i="10" s="1"/>
  <c r="AU62" i="10"/>
  <c r="Q120" i="10"/>
  <c r="AN123" i="10"/>
  <c r="AO123" i="10"/>
  <c r="BH129" i="10"/>
  <c r="BM129" i="10" s="1"/>
  <c r="AU219" i="10"/>
  <c r="AN270" i="10"/>
  <c r="AO299" i="10"/>
  <c r="AN299" i="10"/>
  <c r="AU306" i="10"/>
  <c r="W369" i="10"/>
  <c r="W367" i="10" s="1"/>
  <c r="W366" i="10" s="1"/>
  <c r="U367" i="10"/>
  <c r="U366" i="10" s="1"/>
  <c r="AD410" i="10"/>
  <c r="AV411" i="10"/>
  <c r="AU411" i="10"/>
  <c r="BO558" i="10"/>
  <c r="AU564" i="10"/>
  <c r="AA616" i="10"/>
  <c r="AV616" i="10"/>
  <c r="AO627" i="10"/>
  <c r="AN627" i="10"/>
  <c r="BH627" i="10"/>
  <c r="BO649" i="10"/>
  <c r="AV727" i="10"/>
  <c r="AU727" i="10"/>
  <c r="AN783" i="10"/>
  <c r="BH783" i="10"/>
  <c r="BM783" i="10" s="1"/>
  <c r="BO783" i="10" s="1"/>
  <c r="AO783" i="10"/>
  <c r="AO845" i="10"/>
  <c r="AN845" i="10"/>
  <c r="AV854" i="10"/>
  <c r="AU854" i="10"/>
  <c r="BO861" i="10"/>
  <c r="AN861" i="10"/>
  <c r="AO861" i="10"/>
  <c r="AJ950" i="10"/>
  <c r="AU950" i="10"/>
  <c r="AA1059" i="10"/>
  <c r="AV1059" i="10"/>
  <c r="AO1126" i="10"/>
  <c r="BO1126" i="10"/>
  <c r="AN1126" i="10"/>
  <c r="AJ1129" i="10"/>
  <c r="AU1129" i="10"/>
  <c r="AN1129" i="10"/>
  <c r="AN1185" i="10"/>
  <c r="AO1185" i="10"/>
  <c r="AN1264" i="10"/>
  <c r="AO1264" i="10"/>
  <c r="AA1398" i="10"/>
  <c r="AV1398" i="10"/>
  <c r="AO1514" i="10"/>
  <c r="AN1514" i="10"/>
  <c r="BO1514" i="10"/>
  <c r="AU1523" i="10"/>
  <c r="AJ1523" i="10"/>
  <c r="AA1567" i="10"/>
  <c r="AV1567" i="10"/>
  <c r="BO1587" i="10"/>
  <c r="AO1588" i="10"/>
  <c r="BO1588" i="10"/>
  <c r="BO1624" i="10"/>
  <c r="AO1624" i="10"/>
  <c r="AN1624" i="10"/>
  <c r="BH1621" i="10"/>
  <c r="BM1621" i="10" s="1"/>
  <c r="BO1621" i="10" s="1"/>
  <c r="AN1644" i="10"/>
  <c r="AO1644" i="10"/>
  <c r="AV1739" i="10"/>
  <c r="AU1739" i="10"/>
  <c r="AA1739" i="10"/>
  <c r="AA1762" i="10"/>
  <c r="AV1762" i="10"/>
  <c r="AU1762" i="10"/>
  <c r="AU1832" i="10"/>
  <c r="AJ1832" i="10"/>
  <c r="AV1868" i="10"/>
  <c r="AA1868" i="10"/>
  <c r="AA1907" i="10"/>
  <c r="AV1907" i="10"/>
  <c r="AU1907" i="10"/>
  <c r="R2184" i="10"/>
  <c r="S2184" i="10" s="1"/>
  <c r="P2181" i="10"/>
  <c r="AD2207" i="10"/>
  <c r="AV2208" i="10"/>
  <c r="AL140" i="11"/>
  <c r="AF139" i="11"/>
  <c r="BH34" i="10"/>
  <c r="BM34" i="10" s="1"/>
  <c r="AO34" i="10"/>
  <c r="AN34" i="10"/>
  <c r="AS46" i="10"/>
  <c r="U193" i="10"/>
  <c r="U192" i="10" s="1"/>
  <c r="AU258" i="10"/>
  <c r="AM257" i="10"/>
  <c r="AJ258" i="10"/>
  <c r="AN283" i="10"/>
  <c r="AY326" i="10"/>
  <c r="AY325" i="10" s="1"/>
  <c r="AV421" i="10"/>
  <c r="AU421" i="10"/>
  <c r="AN455" i="10"/>
  <c r="BH455" i="10"/>
  <c r="BM455" i="10" s="1"/>
  <c r="BO455" i="10" s="1"/>
  <c r="AO455" i="10"/>
  <c r="BA622" i="10"/>
  <c r="BA621" i="10" s="1"/>
  <c r="AY621" i="10"/>
  <c r="AS636" i="10"/>
  <c r="AU653" i="10"/>
  <c r="S730" i="10"/>
  <c r="BH907" i="10"/>
  <c r="BM907" i="10" s="1"/>
  <c r="AO907" i="10"/>
  <c r="AN907" i="10"/>
  <c r="AN950" i="10"/>
  <c r="BA1027" i="10"/>
  <c r="BA1026" i="10" s="1"/>
  <c r="BH1056" i="10"/>
  <c r="BM1056" i="10" s="1"/>
  <c r="AO1056" i="10"/>
  <c r="BH1084" i="10"/>
  <c r="BM1084" i="10" s="1"/>
  <c r="AO1084" i="10"/>
  <c r="U1089" i="10"/>
  <c r="AN1186" i="10"/>
  <c r="AO1186" i="10"/>
  <c r="U1283" i="10"/>
  <c r="U1282" i="10" s="1"/>
  <c r="W1284" i="10"/>
  <c r="W1283" i="10" s="1"/>
  <c r="W1282" i="10" s="1"/>
  <c r="AO1380" i="10"/>
  <c r="AN1380" i="10"/>
  <c r="U1449" i="10"/>
  <c r="J1592" i="10"/>
  <c r="L1593" i="10"/>
  <c r="AA1833" i="10"/>
  <c r="AV1833" i="10"/>
  <c r="L2031" i="10"/>
  <c r="J2030" i="10"/>
  <c r="L2030" i="10" s="1"/>
  <c r="BH2180" i="10"/>
  <c r="AS2179" i="10"/>
  <c r="AO2180" i="10"/>
  <c r="AN2180" i="10"/>
  <c r="AJ2393" i="10"/>
  <c r="AU2393" i="10"/>
  <c r="AO90" i="10"/>
  <c r="AN90" i="10"/>
  <c r="BO92" i="10"/>
  <c r="AN92" i="10"/>
  <c r="AO92" i="10"/>
  <c r="AU117" i="10"/>
  <c r="AM116" i="10"/>
  <c r="BH123" i="10"/>
  <c r="BM123" i="10" s="1"/>
  <c r="AO165" i="10"/>
  <c r="AN165" i="10"/>
  <c r="AD225" i="10"/>
  <c r="AV226" i="10"/>
  <c r="AA226" i="10"/>
  <c r="AD255" i="10"/>
  <c r="AA256" i="10"/>
  <c r="AV256" i="10"/>
  <c r="AU256" i="10"/>
  <c r="AS269" i="10"/>
  <c r="AN389" i="10"/>
  <c r="AA441" i="10"/>
  <c r="AV441" i="10"/>
  <c r="AU441" i="10"/>
  <c r="BO680" i="10"/>
  <c r="BH723" i="10"/>
  <c r="BM723" i="10" s="1"/>
  <c r="AN760" i="10"/>
  <c r="BH760" i="10"/>
  <c r="BM760" i="10" s="1"/>
  <c r="AO801" i="10"/>
  <c r="BO801" i="10"/>
  <c r="AN802" i="10"/>
  <c r="AN835" i="10"/>
  <c r="AO835" i="10"/>
  <c r="BH835" i="10"/>
  <c r="BO880" i="10"/>
  <c r="BH2036" i="10"/>
  <c r="BM2036" i="10" s="1"/>
  <c r="AS2032" i="10"/>
  <c r="AO2036" i="10"/>
  <c r="AN2036" i="10"/>
  <c r="AV2093" i="10"/>
  <c r="BH2105" i="10"/>
  <c r="BM2105" i="10" s="1"/>
  <c r="BO2105" i="10" s="1"/>
  <c r="AO2105" i="10"/>
  <c r="AN2105" i="10"/>
  <c r="AN2133" i="10"/>
  <c r="BH2133" i="10"/>
  <c r="BM2133" i="10" s="1"/>
  <c r="BO2133" i="10" s="1"/>
  <c r="AO2133" i="10"/>
  <c r="W2369" i="10"/>
  <c r="AU6" i="10"/>
  <c r="AM5" i="10"/>
  <c r="BA32" i="10"/>
  <c r="BA29" i="10" s="1"/>
  <c r="AN86" i="10"/>
  <c r="AO86" i="10"/>
  <c r="BO86" i="10"/>
  <c r="AN108" i="10"/>
  <c r="AO108" i="10"/>
  <c r="BH108" i="10"/>
  <c r="BM108" i="10" s="1"/>
  <c r="BO108" i="10" s="1"/>
  <c r="AO166" i="10"/>
  <c r="BH166" i="10"/>
  <c r="BM166" i="10" s="1"/>
  <c r="P240" i="10"/>
  <c r="R241" i="10"/>
  <c r="AS251" i="10"/>
  <c r="BH252" i="10"/>
  <c r="AO254" i="10"/>
  <c r="BH254" i="10"/>
  <c r="BM254" i="10" s="1"/>
  <c r="AN254" i="10"/>
  <c r="BH259" i="10"/>
  <c r="BM259" i="10" s="1"/>
  <c r="BO259" i="10" s="1"/>
  <c r="AN259" i="10"/>
  <c r="BO264" i="10"/>
  <c r="AO264" i="10"/>
  <c r="AN264" i="10"/>
  <c r="AV322" i="10"/>
  <c r="AU322" i="10"/>
  <c r="AN440" i="10"/>
  <c r="AO482" i="10"/>
  <c r="AN482" i="10"/>
  <c r="AS541" i="10"/>
  <c r="AM611" i="10"/>
  <c r="AN612" i="10"/>
  <c r="W620" i="10"/>
  <c r="W619" i="10" s="1"/>
  <c r="AO659" i="10"/>
  <c r="AN659" i="10"/>
  <c r="R705" i="10"/>
  <c r="P704" i="10"/>
  <c r="AV941" i="10"/>
  <c r="AA941" i="10"/>
  <c r="AD940" i="10"/>
  <c r="AU941" i="10"/>
  <c r="AN983" i="10"/>
  <c r="AO983" i="10"/>
  <c r="AN1001" i="10"/>
  <c r="AU1021" i="10"/>
  <c r="AO1060" i="10"/>
  <c r="AN1060" i="10"/>
  <c r="AJ1064" i="10"/>
  <c r="AU1064" i="10"/>
  <c r="AV1077" i="10"/>
  <c r="AA1077" i="10"/>
  <c r="AO1083" i="10"/>
  <c r="AN1083" i="10"/>
  <c r="BO1083" i="10"/>
  <c r="AN1112" i="10"/>
  <c r="BO1278" i="10"/>
  <c r="AO1278" i="10"/>
  <c r="AN1278" i="10"/>
  <c r="AS1351" i="10"/>
  <c r="T1350" i="10"/>
  <c r="BH1567" i="10"/>
  <c r="BM1567" i="10" s="1"/>
  <c r="AO1567" i="10"/>
  <c r="AN1567" i="10"/>
  <c r="AV1617" i="10"/>
  <c r="AA1617" i="10"/>
  <c r="AN1619" i="10"/>
  <c r="AO1619" i="10"/>
  <c r="BO1619" i="10"/>
  <c r="AO1646" i="10"/>
  <c r="AN1646" i="10"/>
  <c r="BH1692" i="10"/>
  <c r="BM1692" i="10" s="1"/>
  <c r="BO1692" i="10" s="1"/>
  <c r="AO1692" i="10"/>
  <c r="AN1692" i="10"/>
  <c r="BO1697" i="10"/>
  <c r="AO1697" i="10"/>
  <c r="W1716" i="10"/>
  <c r="AU2079" i="10"/>
  <c r="AJ2079" i="10"/>
  <c r="AO21" i="10"/>
  <c r="BH21" i="10"/>
  <c r="BM21" i="10" s="1"/>
  <c r="BO21" i="10" s="1"/>
  <c r="AN226" i="10"/>
  <c r="AO23" i="10"/>
  <c r="AN23" i="10"/>
  <c r="BH23" i="10"/>
  <c r="BM23" i="10" s="1"/>
  <c r="BO23" i="10" s="1"/>
  <c r="AU37" i="10"/>
  <c r="AM36" i="10"/>
  <c r="BA79" i="10"/>
  <c r="BA78" i="10" s="1"/>
  <c r="BA77" i="10" s="1"/>
  <c r="AY78" i="10"/>
  <c r="AY77" i="10" s="1"/>
  <c r="L81" i="10"/>
  <c r="AV139" i="10"/>
  <c r="AU139" i="10"/>
  <c r="AU143" i="10"/>
  <c r="AA172" i="10"/>
  <c r="AV172" i="10"/>
  <c r="AU175" i="10"/>
  <c r="AJ175" i="10"/>
  <c r="AV177" i="10"/>
  <c r="AA177" i="10"/>
  <c r="AV207" i="10"/>
  <c r="AA207" i="10"/>
  <c r="AD206" i="10"/>
  <c r="AU209" i="10"/>
  <c r="AM208" i="10"/>
  <c r="AA210" i="10"/>
  <c r="AV210" i="10"/>
  <c r="AU210" i="10"/>
  <c r="AY236" i="10"/>
  <c r="BA237" i="10"/>
  <c r="BA236" i="10" s="1"/>
  <c r="W326" i="10"/>
  <c r="W325" i="10" s="1"/>
  <c r="AJ338" i="10"/>
  <c r="AU338" i="10"/>
  <c r="AN345" i="10"/>
  <c r="AO345" i="10"/>
  <c r="AN377" i="10"/>
  <c r="BO377" i="10"/>
  <c r="AJ402" i="10"/>
  <c r="AM401" i="10"/>
  <c r="AO419" i="10"/>
  <c r="AN419" i="10"/>
  <c r="BO419" i="10"/>
  <c r="AA471" i="10"/>
  <c r="AV471" i="10"/>
  <c r="AY523" i="10"/>
  <c r="AZ524" i="10"/>
  <c r="BA524" i="10" s="1"/>
  <c r="BO828" i="10"/>
  <c r="AO828" i="10"/>
  <c r="AN828" i="10"/>
  <c r="S15" i="10"/>
  <c r="AN17" i="10"/>
  <c r="AV18" i="10"/>
  <c r="AU18" i="10"/>
  <c r="BH30" i="10"/>
  <c r="AN37" i="10"/>
  <c r="AO48" i="10"/>
  <c r="BH48" i="10"/>
  <c r="BM48" i="10" s="1"/>
  <c r="BO48" i="10" s="1"/>
  <c r="AN48" i="10"/>
  <c r="P81" i="10"/>
  <c r="P80" i="10" s="1"/>
  <c r="BO90" i="10"/>
  <c r="AN103" i="10"/>
  <c r="AO103" i="10"/>
  <c r="AO104" i="10"/>
  <c r="AD120" i="10"/>
  <c r="AJ130" i="10"/>
  <c r="AU130" i="10"/>
  <c r="AO138" i="10"/>
  <c r="AS146" i="10"/>
  <c r="U153" i="10"/>
  <c r="BO155" i="10"/>
  <c r="E65" i="11"/>
  <c r="F65" i="11" s="1"/>
  <c r="BH165" i="10"/>
  <c r="BM165" i="10" s="1"/>
  <c r="AN175" i="10"/>
  <c r="AJ177" i="10"/>
  <c r="AU177" i="10"/>
  <c r="R188" i="10"/>
  <c r="BA188" i="10"/>
  <c r="BA187" i="10" s="1"/>
  <c r="AS190" i="10"/>
  <c r="AN191" i="10"/>
  <c r="AU191" i="10"/>
  <c r="AV196" i="10"/>
  <c r="AU196" i="10"/>
  <c r="AN209" i="10"/>
  <c r="R212" i="10"/>
  <c r="R214" i="10"/>
  <c r="P213" i="10"/>
  <c r="AS225" i="10"/>
  <c r="BH226" i="10"/>
  <c r="AS230" i="10"/>
  <c r="R237" i="10"/>
  <c r="AO239" i="10"/>
  <c r="AN246" i="10"/>
  <c r="BO260" i="10"/>
  <c r="R274" i="10"/>
  <c r="V280" i="10"/>
  <c r="V279" i="10"/>
  <c r="AN294" i="10"/>
  <c r="AO294" i="10"/>
  <c r="AO315" i="10"/>
  <c r="AN315" i="10"/>
  <c r="AN337" i="10"/>
  <c r="AN338" i="10"/>
  <c r="AR279" i="10"/>
  <c r="BH372" i="10"/>
  <c r="BO376" i="10"/>
  <c r="AU382" i="10"/>
  <c r="AJ382" i="10"/>
  <c r="AN383" i="10"/>
  <c r="L391" i="10"/>
  <c r="L393" i="10"/>
  <c r="AU407" i="10"/>
  <c r="AA407" i="10"/>
  <c r="AV407" i="10"/>
  <c r="AN412" i="10"/>
  <c r="AU414" i="10"/>
  <c r="AO423" i="10"/>
  <c r="AN423" i="10"/>
  <c r="BO423" i="10"/>
  <c r="AN425" i="10"/>
  <c r="AO425" i="10"/>
  <c r="AO427" i="10"/>
  <c r="AN428" i="10"/>
  <c r="AU430" i="10"/>
  <c r="AA433" i="10"/>
  <c r="AA434" i="10"/>
  <c r="U438" i="10"/>
  <c r="U437" i="10" s="1"/>
  <c r="AJ448" i="10"/>
  <c r="AU448" i="10"/>
  <c r="AN448" i="10"/>
  <c r="AJ451" i="10"/>
  <c r="AU451" i="10"/>
  <c r="AJ461" i="10"/>
  <c r="AU461" i="10"/>
  <c r="AO466" i="10"/>
  <c r="BH466" i="10"/>
  <c r="BM466" i="10" s="1"/>
  <c r="BO466" i="10" s="1"/>
  <c r="AA474" i="10"/>
  <c r="AV474" i="10"/>
  <c r="AN475" i="10"/>
  <c r="BH479" i="10"/>
  <c r="BM479" i="10" s="1"/>
  <c r="BO479" i="10" s="1"/>
  <c r="BH487" i="10"/>
  <c r="BM487" i="10" s="1"/>
  <c r="AO487" i="10"/>
  <c r="AN487" i="10"/>
  <c r="BA503" i="10"/>
  <c r="AM502" i="10"/>
  <c r="AU504" i="10"/>
  <c r="AA510" i="10"/>
  <c r="AN519" i="10"/>
  <c r="AO536" i="10"/>
  <c r="AN536" i="10"/>
  <c r="AS535" i="10"/>
  <c r="BH536" i="10"/>
  <c r="AO538" i="10"/>
  <c r="BH538" i="10"/>
  <c r="BM538" i="10" s="1"/>
  <c r="AN538" i="10"/>
  <c r="AV570" i="10"/>
  <c r="AA570" i="10"/>
  <c r="BA580" i="10"/>
  <c r="AO589" i="10"/>
  <c r="AN589" i="10"/>
  <c r="AN598" i="10"/>
  <c r="AO598" i="10"/>
  <c r="AU601" i="10"/>
  <c r="BA606" i="10"/>
  <c r="BA609" i="10"/>
  <c r="AY611" i="10"/>
  <c r="AO624" i="10"/>
  <c r="AN624" i="10"/>
  <c r="W682" i="10"/>
  <c r="W681" i="10" s="1"/>
  <c r="AV705" i="10"/>
  <c r="AD704" i="10"/>
  <c r="AD715" i="10"/>
  <c r="AV716" i="10"/>
  <c r="AU716" i="10"/>
  <c r="AD720" i="10"/>
  <c r="AD729" i="10"/>
  <c r="AO757" i="10"/>
  <c r="AN757" i="10"/>
  <c r="BO757" i="10"/>
  <c r="AO765" i="10"/>
  <c r="AN765" i="10"/>
  <c r="AU769" i="10"/>
  <c r="AO804" i="10"/>
  <c r="AN818" i="10"/>
  <c r="AN823" i="10"/>
  <c r="AU868" i="10"/>
  <c r="AV868" i="10"/>
  <c r="R878" i="10"/>
  <c r="BA878" i="10"/>
  <c r="BA877" i="10" s="1"/>
  <c r="AO882" i="10"/>
  <c r="R891" i="10"/>
  <c r="S891" i="10" s="1"/>
  <c r="AV893" i="10"/>
  <c r="AD891" i="10"/>
  <c r="AA894" i="10"/>
  <c r="AV894" i="10"/>
  <c r="AN939" i="10"/>
  <c r="AO939" i="10"/>
  <c r="AS940" i="10"/>
  <c r="BH941" i="10"/>
  <c r="AO941" i="10"/>
  <c r="AN941" i="10"/>
  <c r="AN942" i="10"/>
  <c r="AO942" i="10"/>
  <c r="AN943" i="10"/>
  <c r="AO952" i="10"/>
  <c r="AV953" i="10"/>
  <c r="AU953" i="10"/>
  <c r="AA964" i="10"/>
  <c r="AV964" i="10"/>
  <c r="BH969" i="10"/>
  <c r="BM969" i="10" s="1"/>
  <c r="BH972" i="10"/>
  <c r="BM972" i="10" s="1"/>
  <c r="AO972" i="10"/>
  <c r="AN993" i="10"/>
  <c r="AO993" i="10"/>
  <c r="AA1007" i="10"/>
  <c r="AV1007" i="10"/>
  <c r="AU1007" i="10"/>
  <c r="AO1025" i="10"/>
  <c r="AN1025" i="10"/>
  <c r="Q1031" i="10"/>
  <c r="R1031" i="10" s="1"/>
  <c r="S1031" i="10" s="1"/>
  <c r="P1029" i="10"/>
  <c r="BH1040" i="10"/>
  <c r="BM1040" i="10" s="1"/>
  <c r="AO1040" i="10"/>
  <c r="AN1040" i="10"/>
  <c r="AU1042" i="10"/>
  <c r="BH1053" i="10"/>
  <c r="BM1053" i="10" s="1"/>
  <c r="AN1067" i="10"/>
  <c r="AN1077" i="10"/>
  <c r="AV1078" i="10"/>
  <c r="AU1078" i="10"/>
  <c r="AO1103" i="10"/>
  <c r="AN1103" i="10"/>
  <c r="BO1103" i="10"/>
  <c r="AJ1106" i="10"/>
  <c r="AU1106" i="10"/>
  <c r="AN1140" i="10"/>
  <c r="AO1140" i="10"/>
  <c r="AN1141" i="10"/>
  <c r="AO1141" i="10"/>
  <c r="AO1163" i="10"/>
  <c r="AN1163" i="10"/>
  <c r="AN1171" i="10"/>
  <c r="AO1171" i="10"/>
  <c r="AV1173" i="10"/>
  <c r="AU1173" i="10"/>
  <c r="AU1199" i="10"/>
  <c r="AJ1199" i="10"/>
  <c r="AA1253" i="10"/>
  <c r="AV1253" i="10"/>
  <c r="R1261" i="10"/>
  <c r="AV1270" i="10"/>
  <c r="AU1270" i="10"/>
  <c r="AA1270" i="10"/>
  <c r="J1286" i="10"/>
  <c r="L1286" i="10" s="1"/>
  <c r="L1287" i="10"/>
  <c r="AO1298" i="10"/>
  <c r="AN1298" i="10"/>
  <c r="BO1298" i="10"/>
  <c r="R1302" i="10"/>
  <c r="AN1329" i="10"/>
  <c r="AU1329" i="10"/>
  <c r="AV1406" i="10"/>
  <c r="AU1406" i="10"/>
  <c r="AS1449" i="10"/>
  <c r="AV1469" i="10"/>
  <c r="AU1469" i="10"/>
  <c r="BO1474" i="10"/>
  <c r="Q1473" i="10"/>
  <c r="AN1499" i="10"/>
  <c r="AO1499" i="10"/>
  <c r="BH1499" i="10"/>
  <c r="BM1499" i="10" s="1"/>
  <c r="BO1499" i="10" s="1"/>
  <c r="AO1527" i="10"/>
  <c r="AN1527" i="10"/>
  <c r="BO1527" i="10"/>
  <c r="AU1552" i="10"/>
  <c r="AJ1552" i="10"/>
  <c r="AM1534" i="10"/>
  <c r="AV1570" i="10"/>
  <c r="AA1570" i="10"/>
  <c r="BO1573" i="10"/>
  <c r="AO1573" i="10"/>
  <c r="AO1581" i="10"/>
  <c r="AN1581" i="10"/>
  <c r="BO1581" i="10"/>
  <c r="AU1622" i="10"/>
  <c r="AJ1622" i="10"/>
  <c r="AN1622" i="10"/>
  <c r="AO1668" i="10"/>
  <c r="AN1668" i="10"/>
  <c r="R1691" i="10"/>
  <c r="S1691" i="10" s="1"/>
  <c r="P1689" i="10"/>
  <c r="AJ1727" i="10"/>
  <c r="AU1727" i="10"/>
  <c r="AN1754" i="10"/>
  <c r="AO1789" i="10"/>
  <c r="AN1789" i="10"/>
  <c r="BH1789" i="10"/>
  <c r="BM1789" i="10" s="1"/>
  <c r="BO1789" i="10" s="1"/>
  <c r="AO1836" i="10"/>
  <c r="AN1836" i="10"/>
  <c r="AO1887" i="10"/>
  <c r="AN1887" i="10"/>
  <c r="AJ1888" i="10"/>
  <c r="AU1888" i="10"/>
  <c r="AN1888" i="10"/>
  <c r="U1913" i="10"/>
  <c r="BO1930" i="10"/>
  <c r="AO1930" i="10"/>
  <c r="AN1930" i="10"/>
  <c r="Q1942" i="10"/>
  <c r="AN1960" i="10"/>
  <c r="AO1960" i="10"/>
  <c r="AU1968" i="10"/>
  <c r="AM1985" i="10"/>
  <c r="AO1987" i="10"/>
  <c r="W2049" i="10"/>
  <c r="W2048" i="10" s="1"/>
  <c r="W2047" i="10" s="1"/>
  <c r="U2048" i="10"/>
  <c r="U2047" i="10" s="1"/>
  <c r="AU2067" i="10"/>
  <c r="AN2067" i="10"/>
  <c r="AJ2067" i="10"/>
  <c r="AO2069" i="10"/>
  <c r="AJ2122" i="10"/>
  <c r="AU2122" i="10"/>
  <c r="AZ2123" i="10"/>
  <c r="BA2123" i="10" s="1"/>
  <c r="BA2125" i="10"/>
  <c r="AU2153" i="10"/>
  <c r="AN2153" i="10"/>
  <c r="AJ2153" i="10"/>
  <c r="BO2172" i="10"/>
  <c r="AO2172" i="10"/>
  <c r="AN2172" i="10"/>
  <c r="AN2203" i="10"/>
  <c r="S2303" i="10"/>
  <c r="R2301" i="10"/>
  <c r="AN2432" i="10"/>
  <c r="BO2432" i="10"/>
  <c r="AO2432" i="10"/>
  <c r="AV2496" i="10"/>
  <c r="AU2496" i="10"/>
  <c r="AA2496" i="10"/>
  <c r="AN50" i="10"/>
  <c r="AO50" i="10"/>
  <c r="BO138" i="10"/>
  <c r="AN196" i="10"/>
  <c r="BO196" i="10"/>
  <c r="AO196" i="10"/>
  <c r="AS206" i="10"/>
  <c r="BH207" i="10"/>
  <c r="AN207" i="10"/>
  <c r="AO207" i="10"/>
  <c r="AA278" i="10"/>
  <c r="AV278" i="10"/>
  <c r="AD277" i="10"/>
  <c r="AO382" i="10"/>
  <c r="BO382" i="10"/>
  <c r="AS417" i="10"/>
  <c r="AN435" i="10"/>
  <c r="AO435" i="10"/>
  <c r="AO450" i="10"/>
  <c r="BH450" i="10"/>
  <c r="BM450" i="10" s="1"/>
  <c r="BO450" i="10" s="1"/>
  <c r="AA632" i="10"/>
  <c r="AV632" i="10"/>
  <c r="W710" i="10"/>
  <c r="M239" i="11"/>
  <c r="J239" i="11"/>
  <c r="I239" i="11"/>
  <c r="Y239" i="11"/>
  <c r="AH239" i="11"/>
  <c r="BH816" i="10"/>
  <c r="AJ998" i="10"/>
  <c r="AU998" i="10"/>
  <c r="AO1106" i="10"/>
  <c r="AN1106" i="10"/>
  <c r="BO1106" i="10"/>
  <c r="AO1124" i="10"/>
  <c r="AN1124" i="10"/>
  <c r="BH1122" i="10"/>
  <c r="BM1122" i="10" s="1"/>
  <c r="AU1240" i="10"/>
  <c r="AN1240" i="10"/>
  <c r="AU1246" i="10"/>
  <c r="AN1246" i="10"/>
  <c r="AU1275" i="10"/>
  <c r="AN1275" i="10"/>
  <c r="AO1430" i="10"/>
  <c r="AN1430" i="10"/>
  <c r="AJ1530" i="10"/>
  <c r="AU1530" i="10"/>
  <c r="AN1530" i="10"/>
  <c r="AO1584" i="10"/>
  <c r="AN1584" i="10"/>
  <c r="BO1584" i="10"/>
  <c r="AU1600" i="10"/>
  <c r="AV1600" i="10"/>
  <c r="AA1600" i="10"/>
  <c r="AN1717" i="10"/>
  <c r="AO1717" i="10"/>
  <c r="AO1727" i="10"/>
  <c r="AN1727" i="10"/>
  <c r="BO1727" i="10"/>
  <c r="AO1746" i="10"/>
  <c r="AN1746" i="10"/>
  <c r="AO1773" i="10"/>
  <c r="AN1773" i="10"/>
  <c r="BO1773" i="10"/>
  <c r="AO2121" i="10"/>
  <c r="AN2121" i="10"/>
  <c r="BH2121" i="10"/>
  <c r="BM2121" i="10" s="1"/>
  <c r="BO2121" i="10" s="1"/>
  <c r="AU2144" i="10"/>
  <c r="AJ2144" i="10"/>
  <c r="AN2144" i="10"/>
  <c r="AU2414" i="10"/>
  <c r="AJ2414" i="10"/>
  <c r="AN2414" i="10"/>
  <c r="AV2428" i="10"/>
  <c r="AA2428" i="10"/>
  <c r="AN2431" i="10"/>
  <c r="AO2431" i="10"/>
  <c r="BO2431" i="10"/>
  <c r="AA2480" i="10"/>
  <c r="AV2480" i="10"/>
  <c r="AA2495" i="10"/>
  <c r="AV2495" i="10"/>
  <c r="AN18" i="10"/>
  <c r="AO18" i="10"/>
  <c r="AN41" i="10"/>
  <c r="AA82" i="10"/>
  <c r="AD81" i="10"/>
  <c r="AV82" i="10"/>
  <c r="AN97" i="10"/>
  <c r="AU114" i="10"/>
  <c r="AM113" i="10"/>
  <c r="AO176" i="10"/>
  <c r="AN176" i="10"/>
  <c r="AU232" i="10"/>
  <c r="AM231" i="10"/>
  <c r="AA302" i="10"/>
  <c r="AV302" i="10"/>
  <c r="AU302" i="10"/>
  <c r="AU327" i="10"/>
  <c r="AM326" i="10"/>
  <c r="AO357" i="10"/>
  <c r="AN357" i="10"/>
  <c r="AN385" i="10"/>
  <c r="AO385" i="10"/>
  <c r="AN433" i="10"/>
  <c r="AV526" i="10"/>
  <c r="AU526" i="10"/>
  <c r="BA572" i="10"/>
  <c r="AJ657" i="10"/>
  <c r="AU657" i="10"/>
  <c r="AA741" i="10"/>
  <c r="AV741" i="10"/>
  <c r="AU741" i="10"/>
  <c r="BH747" i="10"/>
  <c r="BM747" i="10" s="1"/>
  <c r="AO747" i="10"/>
  <c r="AN747" i="10"/>
  <c r="AJ776" i="10"/>
  <c r="AU776" i="10"/>
  <c r="AU787" i="10"/>
  <c r="AV787" i="10"/>
  <c r="AV790" i="10"/>
  <c r="AD788" i="10"/>
  <c r="AO806" i="10"/>
  <c r="AN806" i="10"/>
  <c r="AJ840" i="10"/>
  <c r="AU840" i="10"/>
  <c r="BH1027" i="10"/>
  <c r="AS1026" i="10"/>
  <c r="AO1027" i="10"/>
  <c r="AN1027" i="10"/>
  <c r="AO1096" i="10"/>
  <c r="BO1096" i="10"/>
  <c r="AN1096" i="10"/>
  <c r="BO1104" i="10"/>
  <c r="AN1104" i="10"/>
  <c r="AN1247" i="10"/>
  <c r="BO1247" i="10"/>
  <c r="AO1247" i="10"/>
  <c r="BO1254" i="10"/>
  <c r="AO1254" i="10"/>
  <c r="AN1254" i="10"/>
  <c r="BO1257" i="10"/>
  <c r="AO1257" i="10"/>
  <c r="AN1257" i="10"/>
  <c r="AJ1269" i="10"/>
  <c r="AU1269" i="10"/>
  <c r="AM1266" i="10"/>
  <c r="AO1271" i="10"/>
  <c r="AN1271" i="10"/>
  <c r="BO1271" i="10"/>
  <c r="AS1274" i="10"/>
  <c r="AZ1285" i="10"/>
  <c r="AZ1283" i="10" s="1"/>
  <c r="AZ1282" i="10" s="1"/>
  <c r="AO1405" i="10"/>
  <c r="AN1405" i="10"/>
  <c r="AN1432" i="10"/>
  <c r="BO1445" i="10"/>
  <c r="AO1445" i="10"/>
  <c r="AN1445" i="10"/>
  <c r="BO1594" i="10"/>
  <c r="AO1596" i="10"/>
  <c r="AN1596" i="10"/>
  <c r="BH1595" i="10"/>
  <c r="AV1630" i="10"/>
  <c r="AA1630" i="10"/>
  <c r="AU1674" i="10"/>
  <c r="AJ1674" i="10"/>
  <c r="AO1839" i="10"/>
  <c r="BO1839" i="10"/>
  <c r="AA2059" i="10"/>
  <c r="AV2059" i="10"/>
  <c r="R2064" i="10"/>
  <c r="S2064" i="10" s="1"/>
  <c r="BH2064" i="10"/>
  <c r="BM2064" i="10" s="1"/>
  <c r="BH2088" i="10"/>
  <c r="BH2087" i="10" s="1"/>
  <c r="BH2086" i="10" s="1"/>
  <c r="BM2089" i="10"/>
  <c r="L2278" i="10"/>
  <c r="AU2342" i="10"/>
  <c r="AN2342" i="10"/>
  <c r="AU2412" i="10"/>
  <c r="AJ2412" i="10"/>
  <c r="AU2481" i="10"/>
  <c r="AV2481" i="10"/>
  <c r="AN12" i="10"/>
  <c r="AO12" i="10"/>
  <c r="AJ42" i="10"/>
  <c r="AU42" i="10"/>
  <c r="AA44" i="10"/>
  <c r="AV44" i="10"/>
  <c r="W64" i="10"/>
  <c r="W63" i="10" s="1"/>
  <c r="AM66" i="10"/>
  <c r="AU67" i="10"/>
  <c r="AU85" i="10"/>
  <c r="AN85" i="10"/>
  <c r="BH147" i="10"/>
  <c r="BM147" i="10" s="1"/>
  <c r="BO147" i="10" s="1"/>
  <c r="AU154" i="10"/>
  <c r="AM153" i="10"/>
  <c r="R230" i="10"/>
  <c r="L251" i="10"/>
  <c r="Q250" i="10"/>
  <c r="AU278" i="10"/>
  <c r="AM277" i="10"/>
  <c r="W395" i="10"/>
  <c r="W394" i="10" s="1"/>
  <c r="W393" i="10" s="1"/>
  <c r="AV399" i="10"/>
  <c r="AA399" i="10"/>
  <c r="AU399" i="10"/>
  <c r="AD398" i="10"/>
  <c r="BA403" i="10"/>
  <c r="BA402" i="10" s="1"/>
  <c r="BA401" i="10" s="1"/>
  <c r="AN429" i="10"/>
  <c r="AO429" i="10"/>
  <c r="R442" i="10"/>
  <c r="S442" i="10" s="1"/>
  <c r="AO473" i="10"/>
  <c r="AN473" i="10"/>
  <c r="AA525" i="10"/>
  <c r="AV525" i="10"/>
  <c r="AU525" i="10"/>
  <c r="AD523" i="10"/>
  <c r="AN647" i="10"/>
  <c r="BO647" i="10"/>
  <c r="AO647" i="10"/>
  <c r="AN719" i="10"/>
  <c r="AO719" i="10"/>
  <c r="BH719" i="10"/>
  <c r="BM719" i="10" s="1"/>
  <c r="BO733" i="10"/>
  <c r="BH771" i="10"/>
  <c r="BM771" i="10" s="1"/>
  <c r="BO771" i="10" s="1"/>
  <c r="AN771" i="10"/>
  <c r="AN840" i="10"/>
  <c r="AN875" i="10"/>
  <c r="BH875" i="10"/>
  <c r="AO875" i="10"/>
  <c r="BH902" i="10"/>
  <c r="BM902" i="10" s="1"/>
  <c r="BO902" i="10" s="1"/>
  <c r="AN902" i="10"/>
  <c r="AO902" i="10"/>
  <c r="AU927" i="10"/>
  <c r="AN1133" i="10"/>
  <c r="W1238" i="10"/>
  <c r="AJ1373" i="10"/>
  <c r="AU1373" i="10"/>
  <c r="AN1373" i="10"/>
  <c r="AU1663" i="10"/>
  <c r="AJ1663" i="10"/>
  <c r="AU1688" i="10"/>
  <c r="AJ1688" i="10"/>
  <c r="AN1817" i="10"/>
  <c r="AO1817" i="10"/>
  <c r="BO1817" i="10"/>
  <c r="BH1912" i="10"/>
  <c r="BM1912" i="10" s="1"/>
  <c r="BO1912" i="10" s="1"/>
  <c r="AN1912" i="10"/>
  <c r="AO1912" i="10"/>
  <c r="U2088" i="10"/>
  <c r="U2087" i="10" s="1"/>
  <c r="U2086" i="10" s="1"/>
  <c r="AU2428" i="10"/>
  <c r="AV2479" i="10"/>
  <c r="AU2479" i="10"/>
  <c r="W71" i="10"/>
  <c r="W70" i="10" s="1"/>
  <c r="W69" i="10" s="1"/>
  <c r="U70" i="10"/>
  <c r="U69" i="10" s="1"/>
  <c r="U68" i="10" s="1"/>
  <c r="AA91" i="10"/>
  <c r="AU91" i="10"/>
  <c r="AV91" i="10"/>
  <c r="BH218" i="10"/>
  <c r="AO218" i="10"/>
  <c r="AN218" i="10"/>
  <c r="AS217" i="10"/>
  <c r="AU303" i="10"/>
  <c r="AA478" i="10"/>
  <c r="AV478" i="10"/>
  <c r="AU478" i="10"/>
  <c r="AN632" i="10"/>
  <c r="AO632" i="10"/>
  <c r="AN655" i="10"/>
  <c r="AO655" i="10"/>
  <c r="P666" i="10"/>
  <c r="BA677" i="10"/>
  <c r="BA675" i="10" s="1"/>
  <c r="AY675" i="10"/>
  <c r="BH690" i="10"/>
  <c r="BM690" i="10" s="1"/>
  <c r="BO690" i="10" s="1"/>
  <c r="AU790" i="10"/>
  <c r="AN790" i="10"/>
  <c r="BA892" i="10"/>
  <c r="BA891" i="10" s="1"/>
  <c r="AO924" i="10"/>
  <c r="AN924" i="10"/>
  <c r="Q940" i="10"/>
  <c r="AA1036" i="10"/>
  <c r="AV1036" i="10"/>
  <c r="AV1037" i="10"/>
  <c r="AU1037" i="10"/>
  <c r="AU1051" i="10"/>
  <c r="AV1051" i="10"/>
  <c r="AU1056" i="10"/>
  <c r="W1089" i="10"/>
  <c r="AO1268" i="10"/>
  <c r="AN1268" i="10"/>
  <c r="AJ1315" i="10"/>
  <c r="AU1315" i="10"/>
  <c r="AM1306" i="10"/>
  <c r="AN1324" i="10"/>
  <c r="AO1324" i="10"/>
  <c r="L1350" i="10"/>
  <c r="AU1356" i="10"/>
  <c r="AV1356" i="10"/>
  <c r="Q1636" i="10"/>
  <c r="AM1662" i="10"/>
  <c r="AO1953" i="10"/>
  <c r="AN1953" i="10"/>
  <c r="AU2055" i="10"/>
  <c r="AJ2055" i="10"/>
  <c r="AS2284" i="10"/>
  <c r="BH7" i="10"/>
  <c r="BM7" i="10" s="1"/>
  <c r="BH50" i="10"/>
  <c r="BM50" i="10" s="1"/>
  <c r="BO50" i="10" s="1"/>
  <c r="AM55" i="10"/>
  <c r="AJ56" i="10"/>
  <c r="BH60" i="10"/>
  <c r="AS59" i="10"/>
  <c r="AO60" i="10"/>
  <c r="AN60" i="10"/>
  <c r="BO72" i="10"/>
  <c r="AO83" i="10"/>
  <c r="AN83" i="10"/>
  <c r="BA121" i="10"/>
  <c r="AY120" i="10"/>
  <c r="W193" i="10"/>
  <c r="W192" i="10" s="1"/>
  <c r="R216" i="10"/>
  <c r="P245" i="10"/>
  <c r="R246" i="10"/>
  <c r="BA248" i="10"/>
  <c r="BA247" i="10" s="1"/>
  <c r="AA264" i="10"/>
  <c r="AV264" i="10"/>
  <c r="AU264" i="10"/>
  <c r="AO360" i="10"/>
  <c r="AN360" i="10"/>
  <c r="W375" i="10"/>
  <c r="BO429" i="10"/>
  <c r="AO439" i="10"/>
  <c r="AN439" i="10"/>
  <c r="AS438" i="10"/>
  <c r="AV481" i="10"/>
  <c r="AA481" i="10"/>
  <c r="AU754" i="10"/>
  <c r="AV754" i="10"/>
  <c r="AU873" i="10"/>
  <c r="AN880" i="10"/>
  <c r="AN898" i="10"/>
  <c r="BH898" i="10"/>
  <c r="BM898" i="10" s="1"/>
  <c r="AO898" i="10"/>
  <c r="AO905" i="10"/>
  <c r="BH905" i="10"/>
  <c r="BM905" i="10" s="1"/>
  <c r="AN980" i="10"/>
  <c r="AO1131" i="10"/>
  <c r="AN1131" i="10"/>
  <c r="AN1209" i="10"/>
  <c r="AV1219" i="10"/>
  <c r="AU1219" i="10"/>
  <c r="AU1363" i="10"/>
  <c r="AJ1363" i="10"/>
  <c r="R1484" i="10"/>
  <c r="S1484" i="10" s="1"/>
  <c r="P1473" i="10"/>
  <c r="L1534" i="10"/>
  <c r="AV1589" i="10"/>
  <c r="AU1589" i="10"/>
  <c r="AN1597" i="10"/>
  <c r="AO1597" i="10"/>
  <c r="AU1609" i="10"/>
  <c r="AJ1609" i="10"/>
  <c r="AN1637" i="10"/>
  <c r="AU1801" i="10"/>
  <c r="AN1801" i="10"/>
  <c r="AN1906" i="10"/>
  <c r="BM1914" i="10"/>
  <c r="BH1923" i="10"/>
  <c r="BM1923" i="10" s="1"/>
  <c r="BO1923" i="10" s="1"/>
  <c r="AN1923" i="10"/>
  <c r="AO1923" i="10"/>
  <c r="AN1924" i="10"/>
  <c r="AO2477" i="10"/>
  <c r="AN2477" i="10"/>
  <c r="BO2477" i="10"/>
  <c r="E28" i="11"/>
  <c r="F28" i="11" s="1"/>
  <c r="BO53" i="10"/>
  <c r="AN56" i="10"/>
  <c r="BH131" i="10"/>
  <c r="BM131" i="10" s="1"/>
  <c r="BO158" i="10"/>
  <c r="AO168" i="10"/>
  <c r="AN168" i="10"/>
  <c r="BH168" i="10"/>
  <c r="BM168" i="10" s="1"/>
  <c r="AV344" i="10"/>
  <c r="AA344" i="10"/>
  <c r="AA351" i="10"/>
  <c r="AV351" i="10"/>
  <c r="AN392" i="10"/>
  <c r="AV585" i="10"/>
  <c r="AA585" i="10"/>
  <c r="U611" i="10"/>
  <c r="AO623" i="10"/>
  <c r="BH623" i="10"/>
  <c r="BM623" i="10" s="1"/>
  <c r="BO623" i="10" s="1"/>
  <c r="M189" i="11"/>
  <c r="J189" i="11"/>
  <c r="AH189" i="11"/>
  <c r="I189" i="11"/>
  <c r="Y189" i="11"/>
  <c r="BH685" i="10"/>
  <c r="BM685" i="10" s="1"/>
  <c r="AO685" i="10"/>
  <c r="AN685" i="10"/>
  <c r="U720" i="10"/>
  <c r="AJ743" i="10"/>
  <c r="AU743" i="10"/>
  <c r="AU789" i="10"/>
  <c r="AN799" i="10"/>
  <c r="AO799" i="10"/>
  <c r="AO897" i="10"/>
  <c r="BO897" i="10"/>
  <c r="W940" i="10"/>
  <c r="BO1082" i="10"/>
  <c r="AN1082" i="10"/>
  <c r="AO1082" i="10"/>
  <c r="BH1130" i="10"/>
  <c r="BM1130" i="10" s="1"/>
  <c r="AN1243" i="10"/>
  <c r="BO1243" i="10"/>
  <c r="AO1262" i="10"/>
  <c r="AN1262" i="10"/>
  <c r="AZ1268" i="10"/>
  <c r="AZ1266" i="10" s="1"/>
  <c r="AZ1265" i="10" s="1"/>
  <c r="AU1340" i="10"/>
  <c r="AJ1340" i="10"/>
  <c r="BH1433" i="10"/>
  <c r="BM1433" i="10" s="1"/>
  <c r="BO1433" i="10" s="1"/>
  <c r="AO1433" i="10"/>
  <c r="AN1433" i="10"/>
  <c r="AJ1462" i="10"/>
  <c r="AU1462" i="10"/>
  <c r="AN1522" i="10"/>
  <c r="BO1522" i="10"/>
  <c r="AO1522" i="10"/>
  <c r="AU1813" i="10"/>
  <c r="AV1813" i="10"/>
  <c r="AA1813" i="10"/>
  <c r="AN1892" i="10"/>
  <c r="AO1892" i="10"/>
  <c r="BH1892" i="10"/>
  <c r="BM1892" i="10" s="1"/>
  <c r="AN1955" i="10"/>
  <c r="AO1955" i="10"/>
  <c r="W1983" i="10"/>
  <c r="W1982" i="10" s="1"/>
  <c r="W1981" i="10" s="1"/>
  <c r="AS2053" i="10"/>
  <c r="U2221" i="10"/>
  <c r="W2222" i="10"/>
  <c r="W2221" i="10" s="1"/>
  <c r="AV2276" i="10"/>
  <c r="AA2276" i="10"/>
  <c r="AN2479" i="10"/>
  <c r="AO2479" i="10"/>
  <c r="BO2479" i="10"/>
  <c r="AR68" i="10"/>
  <c r="AN102" i="10"/>
  <c r="AO110" i="10"/>
  <c r="AS109" i="10"/>
  <c r="R218" i="10"/>
  <c r="AU222" i="10"/>
  <c r="BH237" i="10"/>
  <c r="AN237" i="10"/>
  <c r="AS236" i="10"/>
  <c r="AO237" i="10"/>
  <c r="AN275" i="10"/>
  <c r="AO275" i="10"/>
  <c r="BH275" i="10"/>
  <c r="AS274" i="10"/>
  <c r="BA282" i="10"/>
  <c r="AN312" i="10"/>
  <c r="AO312" i="10"/>
  <c r="AJ354" i="10"/>
  <c r="AU354" i="10"/>
  <c r="AO454" i="10"/>
  <c r="AN454" i="10"/>
  <c r="BH454" i="10"/>
  <c r="BM454" i="10" s="1"/>
  <c r="BO454" i="10" s="1"/>
  <c r="AV466" i="10"/>
  <c r="AA466" i="10"/>
  <c r="P502" i="10"/>
  <c r="BA512" i="10"/>
  <c r="AN578" i="10"/>
  <c r="AO578" i="10"/>
  <c r="AA639" i="10"/>
  <c r="AU639" i="10"/>
  <c r="AV639" i="10"/>
  <c r="BH652" i="10"/>
  <c r="BM652" i="10" s="1"/>
  <c r="E173" i="11" s="1"/>
  <c r="F173" i="11" s="1"/>
  <c r="AV687" i="10"/>
  <c r="AA687" i="10"/>
  <c r="BA720" i="10"/>
  <c r="R731" i="10"/>
  <c r="S731" i="10" s="1"/>
  <c r="R736" i="10"/>
  <c r="AV984" i="10"/>
  <c r="AA984" i="10"/>
  <c r="S996" i="10"/>
  <c r="R1027" i="10"/>
  <c r="AN1036" i="10"/>
  <c r="AN1052" i="10"/>
  <c r="BO1052" i="10"/>
  <c r="AO1052" i="10"/>
  <c r="AO1058" i="10"/>
  <c r="AN1058" i="10"/>
  <c r="AN1166" i="10"/>
  <c r="AO1166" i="10"/>
  <c r="AN1168" i="10"/>
  <c r="AO1183" i="10"/>
  <c r="AN1183" i="10"/>
  <c r="AN1340" i="10"/>
  <c r="AO1382" i="10"/>
  <c r="AN1382" i="10"/>
  <c r="AV1397" i="10"/>
  <c r="AU1397" i="10"/>
  <c r="AU1435" i="10"/>
  <c r="AV1435" i="10"/>
  <c r="AA1435" i="10"/>
  <c r="AV1500" i="10"/>
  <c r="AA1500" i="10"/>
  <c r="AO1515" i="10"/>
  <c r="AN1515" i="10"/>
  <c r="BO1515" i="10"/>
  <c r="AJ1671" i="10"/>
  <c r="AU1671" i="10"/>
  <c r="AN1671" i="10"/>
  <c r="BH1676" i="10"/>
  <c r="BM1676" i="10" s="1"/>
  <c r="BO1676" i="10" s="1"/>
  <c r="AV1685" i="10"/>
  <c r="AU1685" i="10"/>
  <c r="AN1752" i="10"/>
  <c r="AO1752" i="10"/>
  <c r="AV1797" i="10"/>
  <c r="AD1793" i="10"/>
  <c r="BO1841" i="10"/>
  <c r="AN1841" i="10"/>
  <c r="AO1841" i="10"/>
  <c r="AU1868" i="10"/>
  <c r="AA1900" i="10"/>
  <c r="AV1900" i="10"/>
  <c r="AN2026" i="10"/>
  <c r="AO2026" i="10"/>
  <c r="AU163" i="10"/>
  <c r="AJ163" i="10"/>
  <c r="AV209" i="10"/>
  <c r="AA209" i="10"/>
  <c r="AD208" i="10"/>
  <c r="BH282" i="10"/>
  <c r="AY371" i="10"/>
  <c r="AY370" i="10" s="1"/>
  <c r="AA418" i="10"/>
  <c r="AD416" i="10"/>
  <c r="AU418" i="10"/>
  <c r="AV418" i="10"/>
  <c r="BA439" i="10"/>
  <c r="AN481" i="10"/>
  <c r="AJ586" i="10"/>
  <c r="AU586" i="10"/>
  <c r="AN616" i="10"/>
  <c r="AN640" i="10"/>
  <c r="BH640" i="10"/>
  <c r="BM640" i="10" s="1"/>
  <c r="AO640" i="10"/>
  <c r="AU698" i="10"/>
  <c r="W706" i="10"/>
  <c r="W704" i="10" s="1"/>
  <c r="AJ756" i="10"/>
  <c r="AU756" i="10"/>
  <c r="BO791" i="10"/>
  <c r="AO885" i="10"/>
  <c r="BO885" i="10"/>
  <c r="AN885" i="10"/>
  <c r="AV943" i="10"/>
  <c r="AA943" i="10"/>
  <c r="AU985" i="10"/>
  <c r="AN985" i="10"/>
  <c r="AU1011" i="10"/>
  <c r="AN1059" i="10"/>
  <c r="BH1075" i="10"/>
  <c r="BM1075" i="10" s="1"/>
  <c r="AO1075" i="10"/>
  <c r="AN1075" i="10"/>
  <c r="AO1115" i="10"/>
  <c r="AN1115" i="10"/>
  <c r="BO1115" i="10"/>
  <c r="AM1237" i="10"/>
  <c r="AN1418" i="10"/>
  <c r="AO1434" i="10"/>
  <c r="AN1434" i="10"/>
  <c r="BH1434" i="10"/>
  <c r="BM1434" i="10" s="1"/>
  <c r="BO1434" i="10" s="1"/>
  <c r="AO1536" i="10"/>
  <c r="AN1536" i="10"/>
  <c r="BH1536" i="10"/>
  <c r="BM1536" i="10" s="1"/>
  <c r="BO1536" i="10" s="1"/>
  <c r="Q1765" i="10"/>
  <c r="R1769" i="10"/>
  <c r="S1769" i="10" s="1"/>
  <c r="AZ1793" i="10"/>
  <c r="AA2280" i="10"/>
  <c r="AV2280" i="10"/>
  <c r="AD2279" i="10"/>
  <c r="AU2280" i="10"/>
  <c r="AN10" i="10"/>
  <c r="AO144" i="10"/>
  <c r="AN144" i="10"/>
  <c r="AO164" i="10"/>
  <c r="AN164" i="10"/>
  <c r="BH164" i="10"/>
  <c r="BM164" i="10" s="1"/>
  <c r="R81" i="10"/>
  <c r="AA130" i="10"/>
  <c r="AV130" i="10"/>
  <c r="AN138" i="10"/>
  <c r="AO147" i="10"/>
  <c r="AN147" i="10"/>
  <c r="P281" i="10"/>
  <c r="R282" i="10"/>
  <c r="AU316" i="10"/>
  <c r="U326" i="10"/>
  <c r="U325" i="10" s="1"/>
  <c r="BO388" i="10"/>
  <c r="AU459" i="10"/>
  <c r="AN466" i="10"/>
  <c r="AV516" i="10"/>
  <c r="AA516" i="10"/>
  <c r="AU538" i="10"/>
  <c r="AD619" i="10"/>
  <c r="AU619" i="10" s="1"/>
  <c r="AV620" i="10"/>
  <c r="AV12" i="10"/>
  <c r="AU12" i="10"/>
  <c r="AO17" i="10"/>
  <c r="BO26" i="10"/>
  <c r="K28" i="10"/>
  <c r="L29" i="10"/>
  <c r="BH49" i="10"/>
  <c r="BM49" i="10" s="1"/>
  <c r="BO49" i="10" s="1"/>
  <c r="AO49" i="10"/>
  <c r="AU58" i="10"/>
  <c r="AM57" i="10"/>
  <c r="AM59" i="10"/>
  <c r="R64" i="10"/>
  <c r="P63" i="10"/>
  <c r="BA64" i="10"/>
  <c r="BA63" i="10" s="1"/>
  <c r="AN72" i="10"/>
  <c r="AD74" i="10"/>
  <c r="AU74" i="10" s="1"/>
  <c r="AA75" i="10"/>
  <c r="AU75" i="10"/>
  <c r="AV75" i="10"/>
  <c r="R79" i="10"/>
  <c r="U81" i="10"/>
  <c r="U80" i="10" s="1"/>
  <c r="BO93" i="10"/>
  <c r="AJ97" i="10"/>
  <c r="V120" i="10"/>
  <c r="U120" i="10"/>
  <c r="AU126" i="10"/>
  <c r="AN130" i="10"/>
  <c r="AN148" i="10"/>
  <c r="BH149" i="10"/>
  <c r="BM149" i="10" s="1"/>
  <c r="AO149" i="10"/>
  <c r="AU158" i="10"/>
  <c r="AJ158" i="10"/>
  <c r="AA171" i="10"/>
  <c r="AU172" i="10"/>
  <c r="BH175" i="10"/>
  <c r="BM175" i="10" s="1"/>
  <c r="AO175" i="10"/>
  <c r="AN177" i="10"/>
  <c r="BH182" i="10"/>
  <c r="U187" i="10"/>
  <c r="AN195" i="10"/>
  <c r="AM206" i="10"/>
  <c r="AU207" i="10"/>
  <c r="AO209" i="10"/>
  <c r="W214" i="10"/>
  <c r="W213" i="10" s="1"/>
  <c r="U213" i="10"/>
  <c r="AM217" i="10"/>
  <c r="AD231" i="10"/>
  <c r="AV232" i="10"/>
  <c r="W278" i="10"/>
  <c r="W277" i="10" s="1"/>
  <c r="W276" i="10" s="1"/>
  <c r="AU292" i="10"/>
  <c r="AJ297" i="10"/>
  <c r="AA333" i="10"/>
  <c r="AV333" i="10"/>
  <c r="AN343" i="10"/>
  <c r="AO343" i="10"/>
  <c r="AA359" i="10"/>
  <c r="AJ365" i="10"/>
  <c r="AU365" i="10"/>
  <c r="AN382" i="10"/>
  <c r="AA387" i="10"/>
  <c r="L390" i="10"/>
  <c r="AU408" i="10"/>
  <c r="AV408" i="10"/>
  <c r="BH411" i="10"/>
  <c r="AO412" i="10"/>
  <c r="AN424" i="10"/>
  <c r="BO424" i="10"/>
  <c r="AV429" i="10"/>
  <c r="AU429" i="10"/>
  <c r="AN430" i="10"/>
  <c r="BH430" i="10"/>
  <c r="BM430" i="10" s="1"/>
  <c r="BO430" i="10" s="1"/>
  <c r="AO430" i="10"/>
  <c r="AO444" i="10"/>
  <c r="AN444" i="10"/>
  <c r="BH444" i="10"/>
  <c r="BM444" i="10" s="1"/>
  <c r="BO444" i="10" s="1"/>
  <c r="AN450" i="10"/>
  <c r="AN451" i="10"/>
  <c r="AN461" i="10"/>
  <c r="AA462" i="10"/>
  <c r="AV462" i="10"/>
  <c r="BH469" i="10"/>
  <c r="BM469" i="10" s="1"/>
  <c r="BO469" i="10" s="1"/>
  <c r="AU470" i="10"/>
  <c r="AJ474" i="10"/>
  <c r="BH482" i="10"/>
  <c r="BM482" i="10" s="1"/>
  <c r="BO482" i="10" s="1"/>
  <c r="AN493" i="10"/>
  <c r="AU516" i="10"/>
  <c r="BA534" i="10"/>
  <c r="BA531" i="10" s="1"/>
  <c r="BH555" i="10"/>
  <c r="BM555" i="10" s="1"/>
  <c r="BO555" i="10" s="1"/>
  <c r="AO555" i="10"/>
  <c r="AV566" i="10"/>
  <c r="AU566" i="10"/>
  <c r="AJ570" i="10"/>
  <c r="AJ571" i="10"/>
  <c r="AN571" i="10"/>
  <c r="AU571" i="10"/>
  <c r="AV574" i="10"/>
  <c r="AA574" i="10"/>
  <c r="AO594" i="10"/>
  <c r="AN594" i="10"/>
  <c r="BH618" i="10"/>
  <c r="BM618" i="10" s="1"/>
  <c r="BO618" i="10" s="1"/>
  <c r="AO618" i="10"/>
  <c r="AN625" i="10"/>
  <c r="BH625" i="10"/>
  <c r="U644" i="10"/>
  <c r="U643" i="10" s="1"/>
  <c r="AU679" i="10"/>
  <c r="AV679" i="10"/>
  <c r="E196" i="11"/>
  <c r="F196" i="11" s="1"/>
  <c r="BO687" i="10"/>
  <c r="U710" i="10"/>
  <c r="R712" i="10"/>
  <c r="AU719" i="10"/>
  <c r="AV719" i="10"/>
  <c r="AN732" i="10"/>
  <c r="AD735" i="10"/>
  <c r="BH764" i="10"/>
  <c r="BM764" i="10" s="1"/>
  <c r="AN767" i="10"/>
  <c r="AO767" i="10"/>
  <c r="AO768" i="10"/>
  <c r="AN768" i="10"/>
  <c r="BH768" i="10"/>
  <c r="BM768" i="10" s="1"/>
  <c r="BO768" i="10" s="1"/>
  <c r="AN769" i="10"/>
  <c r="AO770" i="10"/>
  <c r="AN770" i="10"/>
  <c r="AN772" i="10"/>
  <c r="AA776" i="10"/>
  <c r="AA784" i="10"/>
  <c r="AV784" i="10"/>
  <c r="U788" i="10"/>
  <c r="W788" i="10"/>
  <c r="AN803" i="10"/>
  <c r="BH802" i="10"/>
  <c r="AO803" i="10"/>
  <c r="AU816" i="10"/>
  <c r="AJ816" i="10"/>
  <c r="AO817" i="10"/>
  <c r="AA840" i="10"/>
  <c r="AA841" i="10"/>
  <c r="AA847" i="10"/>
  <c r="AA856" i="10"/>
  <c r="AN867" i="10"/>
  <c r="BH867" i="10"/>
  <c r="BM867" i="10" s="1"/>
  <c r="AA875" i="10"/>
  <c r="AV875" i="10"/>
  <c r="BO888" i="10"/>
  <c r="AN892" i="10"/>
  <c r="AO892" i="10"/>
  <c r="AS891" i="10"/>
  <c r="BH892" i="10"/>
  <c r="AJ893" i="10"/>
  <c r="AJ917" i="10"/>
  <c r="AA927" i="10"/>
  <c r="AU932" i="10"/>
  <c r="AJ932" i="10"/>
  <c r="AJ933" i="10"/>
  <c r="AU933" i="10"/>
  <c r="AY940" i="10"/>
  <c r="AU959" i="10"/>
  <c r="AJ959" i="10"/>
  <c r="AA960" i="10"/>
  <c r="AJ964" i="10"/>
  <c r="AU976" i="10"/>
  <c r="AJ976" i="10"/>
  <c r="AV988" i="10"/>
  <c r="AU988" i="10"/>
  <c r="AM995" i="10"/>
  <c r="AA999" i="10"/>
  <c r="AU1008" i="10"/>
  <c r="AN1008" i="10"/>
  <c r="AA1030" i="10"/>
  <c r="BH1039" i="10"/>
  <c r="BM1039" i="10" s="1"/>
  <c r="AO1039" i="10"/>
  <c r="AN1039" i="10"/>
  <c r="AN1041" i="10"/>
  <c r="AO1041" i="10"/>
  <c r="BH1041" i="10"/>
  <c r="BM1041" i="10" s="1"/>
  <c r="BA1069" i="10"/>
  <c r="BA1068" i="10" s="1"/>
  <c r="AY1068" i="10"/>
  <c r="P1089" i="10"/>
  <c r="AO1107" i="10"/>
  <c r="AN1107" i="10"/>
  <c r="AA1134" i="10"/>
  <c r="AV1134" i="10"/>
  <c r="AU1134" i="10"/>
  <c r="AU1149" i="10"/>
  <c r="AJ1149" i="10"/>
  <c r="AN1149" i="10"/>
  <c r="AN1150" i="10"/>
  <c r="AO1150" i="10"/>
  <c r="BO1150" i="10"/>
  <c r="AN1174" i="10"/>
  <c r="AO1174" i="10"/>
  <c r="AN1199" i="10"/>
  <c r="AN1201" i="10"/>
  <c r="AO1201" i="10"/>
  <c r="AA1206" i="10"/>
  <c r="AV1206" i="10"/>
  <c r="AO1211" i="10"/>
  <c r="AN1211" i="10"/>
  <c r="BH1211" i="10"/>
  <c r="BM1211" i="10" s="1"/>
  <c r="AV1215" i="10"/>
  <c r="AA1215" i="10"/>
  <c r="AO1230" i="10"/>
  <c r="AO1231" i="10"/>
  <c r="AN1231" i="10"/>
  <c r="AN1232" i="10"/>
  <c r="AJ1240" i="10"/>
  <c r="AA1245" i="10"/>
  <c r="AV1245" i="10"/>
  <c r="AU1245" i="10"/>
  <c r="AJ1246" i="10"/>
  <c r="AV1251" i="10"/>
  <c r="AA1251" i="10"/>
  <c r="AJ1275" i="10"/>
  <c r="AY1296" i="10"/>
  <c r="BA1297" i="10"/>
  <c r="BA1296" i="10" s="1"/>
  <c r="BA1293" i="10" s="1"/>
  <c r="AV1301" i="10"/>
  <c r="AU1301" i="10"/>
  <c r="AD1300" i="10"/>
  <c r="AN1308" i="10"/>
  <c r="AO1308" i="10"/>
  <c r="AN1328" i="10"/>
  <c r="AO1328" i="10"/>
  <c r="AN1332" i="10"/>
  <c r="AO1332" i="10"/>
  <c r="BH1354" i="10"/>
  <c r="BM1354" i="10" s="1"/>
  <c r="BO1354" i="10" s="1"/>
  <c r="AN1354" i="10"/>
  <c r="AO1354" i="10"/>
  <c r="AO1422" i="10"/>
  <c r="AN1422" i="10"/>
  <c r="AO1423" i="10"/>
  <c r="AJ1432" i="10"/>
  <c r="BO1443" i="10"/>
  <c r="AN1443" i="10"/>
  <c r="AO1443" i="10"/>
  <c r="AY1449" i="10"/>
  <c r="AZ1450" i="10"/>
  <c r="AZ1449" i="10" s="1"/>
  <c r="AA1479" i="10"/>
  <c r="AN1483" i="10"/>
  <c r="BH1483" i="10"/>
  <c r="BM1483" i="10" s="1"/>
  <c r="AO1483" i="10"/>
  <c r="AN1494" i="10"/>
  <c r="AO1494" i="10"/>
  <c r="AO1542" i="10"/>
  <c r="AN1542" i="10"/>
  <c r="AO1551" i="10"/>
  <c r="AN1551" i="10"/>
  <c r="U1562" i="10"/>
  <c r="W1563" i="10"/>
  <c r="W1562" i="10" s="1"/>
  <c r="AO1569" i="10"/>
  <c r="AN1569" i="10"/>
  <c r="AJ1570" i="10"/>
  <c r="R1591" i="10"/>
  <c r="BM1591" i="10"/>
  <c r="P1636" i="10"/>
  <c r="AO1639" i="10"/>
  <c r="AN1639" i="10"/>
  <c r="AJ1640" i="10"/>
  <c r="AN1650" i="10"/>
  <c r="BO1650" i="10"/>
  <c r="AO1650" i="10"/>
  <c r="AN1678" i="10"/>
  <c r="BO1711" i="10"/>
  <c r="AO1711" i="10"/>
  <c r="AN1711" i="10"/>
  <c r="AJ1773" i="10"/>
  <c r="AU1773" i="10"/>
  <c r="W1793" i="10"/>
  <c r="AU1804" i="10"/>
  <c r="AJ1804" i="10"/>
  <c r="AA1805" i="10"/>
  <c r="AO1824" i="10"/>
  <c r="AN1824" i="10"/>
  <c r="AO1828" i="10"/>
  <c r="AN1828" i="10"/>
  <c r="BH1828" i="10"/>
  <c r="BM1828" i="10" s="1"/>
  <c r="BO1828" i="10" s="1"/>
  <c r="AN1839" i="10"/>
  <c r="AU1866" i="10"/>
  <c r="AN1866" i="10"/>
  <c r="BH1894" i="10"/>
  <c r="BM1894" i="10" s="1"/>
  <c r="BO1894" i="10" s="1"/>
  <c r="AO1894" i="10"/>
  <c r="AN1894" i="10"/>
  <c r="AJ1895" i="10"/>
  <c r="AU1895" i="10"/>
  <c r="AJ1915" i="10"/>
  <c r="AJ1916" i="10"/>
  <c r="BO1931" i="10"/>
  <c r="AN1931" i="10"/>
  <c r="AO1931" i="10"/>
  <c r="AA1995" i="10"/>
  <c r="AV1995" i="10"/>
  <c r="AU1995" i="10"/>
  <c r="AV2013" i="10"/>
  <c r="AU2013" i="10"/>
  <c r="AA2013" i="10"/>
  <c r="AV2019" i="10"/>
  <c r="AU2019" i="10"/>
  <c r="AO2065" i="10"/>
  <c r="AN2065" i="10"/>
  <c r="AO2066" i="10"/>
  <c r="AN2122" i="10"/>
  <c r="BA2124" i="10"/>
  <c r="AU2186" i="10"/>
  <c r="AN2186" i="10"/>
  <c r="AJ2186" i="10"/>
  <c r="AM2202" i="10"/>
  <c r="AJ2243" i="10"/>
  <c r="AU2243" i="10"/>
  <c r="AN2243" i="10"/>
  <c r="P2256" i="10"/>
  <c r="P2255" i="10" s="1"/>
  <c r="R2257" i="10"/>
  <c r="P2301" i="10"/>
  <c r="P2300" i="10" s="1"/>
  <c r="U2301" i="10"/>
  <c r="U2300" i="10" s="1"/>
  <c r="W2303" i="10"/>
  <c r="W2301" i="10" s="1"/>
  <c r="W2300" i="10" s="1"/>
  <c r="AO2309" i="10"/>
  <c r="AN2309" i="10"/>
  <c r="BO2309" i="10"/>
  <c r="AV2328" i="10"/>
  <c r="AA2328" i="10"/>
  <c r="AD2301" i="10"/>
  <c r="AN2329" i="10"/>
  <c r="BO2329" i="10"/>
  <c r="AO2329" i="10"/>
  <c r="AV2343" i="10"/>
  <c r="AU2343" i="10"/>
  <c r="AV2344" i="10"/>
  <c r="AU2344" i="10"/>
  <c r="AN2354" i="10"/>
  <c r="AO2354" i="10"/>
  <c r="AO2378" i="10"/>
  <c r="BH2378" i="10"/>
  <c r="BM2378" i="10" s="1"/>
  <c r="AN2378" i="10"/>
  <c r="AA1117" i="10"/>
  <c r="AV1117" i="10"/>
  <c r="BO1252" i="10"/>
  <c r="AO1252" i="10"/>
  <c r="AN1252" i="10"/>
  <c r="P1350" i="10"/>
  <c r="AJ1492" i="10"/>
  <c r="AU1492" i="10"/>
  <c r="AO1496" i="10"/>
  <c r="AN1496" i="10"/>
  <c r="AJ1519" i="10"/>
  <c r="AU1519" i="10"/>
  <c r="AJ1658" i="10"/>
  <c r="AU1658" i="10"/>
  <c r="BO1239" i="10"/>
  <c r="AO1239" i="10"/>
  <c r="W1267" i="10"/>
  <c r="AU1320" i="10"/>
  <c r="AJ1320" i="10"/>
  <c r="AD1322" i="10"/>
  <c r="U1350" i="10"/>
  <c r="AJ1370" i="10"/>
  <c r="AU1370" i="10"/>
  <c r="AO1377" i="10"/>
  <c r="AN1377" i="10"/>
  <c r="AS1475" i="10"/>
  <c r="AS1473" i="10" s="1"/>
  <c r="AU1508" i="10"/>
  <c r="AO1577" i="10"/>
  <c r="AN1577" i="10"/>
  <c r="BO1577" i="10"/>
  <c r="AM1593" i="10"/>
  <c r="W1594" i="10"/>
  <c r="W1593" i="10" s="1"/>
  <c r="AA1956" i="10"/>
  <c r="AV1956" i="10"/>
  <c r="AA1975" i="10"/>
  <c r="AV1975" i="10"/>
  <c r="AD1974" i="10"/>
  <c r="BA1978" i="10"/>
  <c r="AN1983" i="10"/>
  <c r="AS1982" i="10"/>
  <c r="AO1983" i="10"/>
  <c r="BH1983" i="10"/>
  <c r="AO2041" i="10"/>
  <c r="AN2041" i="10"/>
  <c r="BO2041" i="10"/>
  <c r="AJ2148" i="10"/>
  <c r="AM2146" i="10"/>
  <c r="AU2148" i="10"/>
  <c r="L2162" i="10"/>
  <c r="AJ2169" i="10"/>
  <c r="AU2169" i="10"/>
  <c r="BA2208" i="10"/>
  <c r="BA2207" i="10" s="1"/>
  <c r="AY2207" i="10"/>
  <c r="BM2218" i="10"/>
  <c r="BH2217" i="10"/>
  <c r="AM2259" i="10"/>
  <c r="AU2260" i="10"/>
  <c r="AV2320" i="10"/>
  <c r="AA2320" i="10"/>
  <c r="BH2455" i="10"/>
  <c r="BM2455" i="10" s="1"/>
  <c r="AN2455" i="10"/>
  <c r="AN2462" i="10"/>
  <c r="BO2462" i="10"/>
  <c r="P13" i="10"/>
  <c r="AA14" i="10"/>
  <c r="AV14" i="10"/>
  <c r="AN62" i="10"/>
  <c r="AV63" i="10"/>
  <c r="R75" i="10"/>
  <c r="AN128" i="10"/>
  <c r="AJ134" i="10"/>
  <c r="AU134" i="10"/>
  <c r="AD145" i="10"/>
  <c r="AN150" i="10"/>
  <c r="AZ219" i="10"/>
  <c r="AZ217" i="10" s="1"/>
  <c r="W230" i="10"/>
  <c r="W229" i="10" s="1"/>
  <c r="L236" i="10"/>
  <c r="AV248" i="10"/>
  <c r="AD247" i="10"/>
  <c r="AU247" i="10" s="1"/>
  <c r="AV261" i="10"/>
  <c r="AU261" i="10"/>
  <c r="AN284" i="10"/>
  <c r="AN306" i="10"/>
  <c r="AS327" i="10"/>
  <c r="AO408" i="10"/>
  <c r="AN408" i="10"/>
  <c r="AO411" i="10"/>
  <c r="AN411" i="10"/>
  <c r="AN449" i="10"/>
  <c r="AU452" i="10"/>
  <c r="AV492" i="10"/>
  <c r="AD489" i="10"/>
  <c r="U523" i="10"/>
  <c r="W524" i="10"/>
  <c r="BH526" i="10"/>
  <c r="BM526" i="10" s="1"/>
  <c r="BO526" i="10" s="1"/>
  <c r="AO526" i="10"/>
  <c r="AU562" i="10"/>
  <c r="AU583" i="10"/>
  <c r="AV2038" i="10"/>
  <c r="AA2038" i="10"/>
  <c r="AU2038" i="10"/>
  <c r="BO2042" i="10"/>
  <c r="AN2042" i="10"/>
  <c r="AO2075" i="10"/>
  <c r="AN2075" i="10"/>
  <c r="BH2074" i="10"/>
  <c r="BM2074" i="10" s="1"/>
  <c r="AD2084" i="10"/>
  <c r="AV2085" i="10"/>
  <c r="AU2085" i="10"/>
  <c r="AJ2126" i="10"/>
  <c r="AU2126" i="10"/>
  <c r="AN2126" i="10"/>
  <c r="AJ2149" i="10"/>
  <c r="AU2149" i="10"/>
  <c r="AN2149" i="10"/>
  <c r="AV2193" i="10"/>
  <c r="AU2193" i="10"/>
  <c r="AJ2197" i="10"/>
  <c r="AM2196" i="10"/>
  <c r="AU2197" i="10"/>
  <c r="BO2227" i="10"/>
  <c r="AO2227" i="10"/>
  <c r="AN2227" i="10"/>
  <c r="AO2228" i="10"/>
  <c r="AN2228" i="10"/>
  <c r="BO2228" i="10"/>
  <c r="AO2231" i="10"/>
  <c r="AN2231" i="10"/>
  <c r="BA2267" i="10"/>
  <c r="BA2266" i="10" s="1"/>
  <c r="BA2265" i="10" s="1"/>
  <c r="AY2266" i="10"/>
  <c r="AY2265" i="10" s="1"/>
  <c r="AO2313" i="10"/>
  <c r="AN2313" i="10"/>
  <c r="BO2313" i="10"/>
  <c r="AN2320" i="10"/>
  <c r="AU2320" i="10"/>
  <c r="AU2323" i="10"/>
  <c r="AN2323" i="10"/>
  <c r="I514" i="11"/>
  <c r="M514" i="11"/>
  <c r="Y514" i="11"/>
  <c r="T514" i="11"/>
  <c r="AH514" i="11"/>
  <c r="J514" i="11"/>
  <c r="AE514" i="11"/>
  <c r="AS2440" i="10"/>
  <c r="AU2442" i="10"/>
  <c r="AN2442" i="10"/>
  <c r="BO2452" i="10"/>
  <c r="AN2452" i="10"/>
  <c r="AM2503" i="10"/>
  <c r="AU1109" i="10"/>
  <c r="AA1166" i="10"/>
  <c r="AV1166" i="10"/>
  <c r="AN1251" i="10"/>
  <c r="BO1251" i="10"/>
  <c r="S1334" i="10"/>
  <c r="R1333" i="10"/>
  <c r="S1333" i="10" s="1"/>
  <c r="AV1377" i="10"/>
  <c r="AA1377" i="10"/>
  <c r="AU1378" i="10"/>
  <c r="AJ1378" i="10"/>
  <c r="T1399" i="10"/>
  <c r="AN1446" i="10"/>
  <c r="AU1500" i="10"/>
  <c r="AS1563" i="10"/>
  <c r="AV1619" i="10"/>
  <c r="AU1619" i="10"/>
  <c r="AA1619" i="10"/>
  <c r="AV1641" i="10"/>
  <c r="AU1641" i="10"/>
  <c r="BH1693" i="10"/>
  <c r="BM1693" i="10" s="1"/>
  <c r="BO1693" i="10" s="1"/>
  <c r="AO1693" i="10"/>
  <c r="BH1739" i="10"/>
  <c r="BM1739" i="10" s="1"/>
  <c r="AA1742" i="10"/>
  <c r="AV1742" i="10"/>
  <c r="AU1770" i="10"/>
  <c r="AN1367" i="10"/>
  <c r="AN1392" i="10"/>
  <c r="AU1392" i="10"/>
  <c r="AU1398" i="10"/>
  <c r="AU1407" i="10"/>
  <c r="AJ1407" i="10"/>
  <c r="AO1507" i="10"/>
  <c r="AN1507" i="10"/>
  <c r="BO1507" i="10"/>
  <c r="AJ1568" i="10"/>
  <c r="AU1568" i="10"/>
  <c r="AN1568" i="10"/>
  <c r="AJ1577" i="10"/>
  <c r="AU1577" i="10"/>
  <c r="AO1625" i="10"/>
  <c r="AN1625" i="10"/>
  <c r="BO1625" i="10"/>
  <c r="BH1703" i="10"/>
  <c r="BM1703" i="10" s="1"/>
  <c r="BO1703" i="10" s="1"/>
  <c r="AO1720" i="10"/>
  <c r="AN1720" i="10"/>
  <c r="BO1720" i="10"/>
  <c r="AN1797" i="10"/>
  <c r="AU1819" i="10"/>
  <c r="AN1819" i="10"/>
  <c r="AZ1823" i="10"/>
  <c r="AS1852" i="10"/>
  <c r="AV1860" i="10"/>
  <c r="AA1860" i="10"/>
  <c r="AN1941" i="10"/>
  <c r="AN1969" i="10"/>
  <c r="AO1969" i="10"/>
  <c r="AU2101" i="10"/>
  <c r="AN2101" i="10"/>
  <c r="AJ2101" i="10"/>
  <c r="AO552" i="10"/>
  <c r="AN552" i="10"/>
  <c r="AU572" i="10"/>
  <c r="BA633" i="10"/>
  <c r="AU641" i="10"/>
  <c r="AY644" i="10"/>
  <c r="AY643" i="10" s="1"/>
  <c r="AN676" i="10"/>
  <c r="AA725" i="10"/>
  <c r="AV725" i="10"/>
  <c r="AU730" i="10"/>
  <c r="AM729" i="10"/>
  <c r="L1273" i="10"/>
  <c r="AD1283" i="10"/>
  <c r="AN1295" i="10"/>
  <c r="AS1294" i="10"/>
  <c r="AO1295" i="10"/>
  <c r="AV1362" i="10"/>
  <c r="AA1362" i="10"/>
  <c r="AM1399" i="10"/>
  <c r="BH1412" i="10"/>
  <c r="BM1412" i="10" s="1"/>
  <c r="BO1412" i="10" s="1"/>
  <c r="AO1412" i="10"/>
  <c r="AN1412" i="10"/>
  <c r="W1449" i="10"/>
  <c r="AO1476" i="10"/>
  <c r="AN1476" i="10"/>
  <c r="AN1508" i="10"/>
  <c r="AA1512" i="10"/>
  <c r="AV1512" i="10"/>
  <c r="AU1528" i="10"/>
  <c r="AN1571" i="10"/>
  <c r="AO1571" i="10"/>
  <c r="AU1584" i="10"/>
  <c r="AU1601" i="10"/>
  <c r="AS1610" i="10"/>
  <c r="BH1611" i="10"/>
  <c r="AN1617" i="10"/>
  <c r="AO1617" i="10"/>
  <c r="AO1705" i="10"/>
  <c r="AN1705" i="10"/>
  <c r="BO1705" i="10"/>
  <c r="U1765" i="10"/>
  <c r="AN1908" i="10"/>
  <c r="AO1908" i="10"/>
  <c r="W1913" i="10"/>
  <c r="AU1926" i="10"/>
  <c r="AJ1926" i="10"/>
  <c r="AV1932" i="10"/>
  <c r="AU1932" i="10"/>
  <c r="AA2115" i="10"/>
  <c r="AV2115" i="10"/>
  <c r="AU2115" i="10"/>
  <c r="AN2169" i="10"/>
  <c r="U29" i="10"/>
  <c r="AN155" i="10"/>
  <c r="AO210" i="10"/>
  <c r="AN210" i="10"/>
  <c r="AN212" i="10"/>
  <c r="AN235" i="10"/>
  <c r="AV356" i="10"/>
  <c r="AU356" i="10"/>
  <c r="AN420" i="10"/>
  <c r="BO420" i="10"/>
  <c r="AZ436" i="10"/>
  <c r="AN441" i="10"/>
  <c r="AO441" i="10"/>
  <c r="AU460" i="10"/>
  <c r="AU530" i="10"/>
  <c r="BA541" i="10"/>
  <c r="J183" i="11"/>
  <c r="I183" i="11"/>
  <c r="AH183" i="11"/>
  <c r="Y183" i="11"/>
  <c r="M183" i="11"/>
  <c r="AN699" i="10"/>
  <c r="AO717" i="10"/>
  <c r="AN717" i="10"/>
  <c r="AN730" i="10"/>
  <c r="BO884" i="10"/>
  <c r="AO884" i="10"/>
  <c r="AU888" i="10"/>
  <c r="AU954" i="10"/>
  <c r="AO1034" i="10"/>
  <c r="AN1034" i="10"/>
  <c r="AU1114" i="10"/>
  <c r="AN1121" i="10"/>
  <c r="AU1151" i="10"/>
  <c r="S1274" i="10"/>
  <c r="R1273" i="10"/>
  <c r="AU1307" i="10"/>
  <c r="AV1307" i="10"/>
  <c r="AD1333" i="10"/>
  <c r="AU1334" i="10"/>
  <c r="AV1334" i="10"/>
  <c r="AD1345" i="10"/>
  <c r="AA1351" i="10"/>
  <c r="AV1351" i="10"/>
  <c r="AD1350" i="10"/>
  <c r="AN1357" i="10"/>
  <c r="BH1411" i="10"/>
  <c r="BM1411" i="10" s="1"/>
  <c r="BH1413" i="10"/>
  <c r="BM1413" i="10" s="1"/>
  <c r="AO1413" i="10"/>
  <c r="AN1413" i="10"/>
  <c r="AJ1414" i="10"/>
  <c r="AU1414" i="10"/>
  <c r="AJ1461" i="10"/>
  <c r="AN1461" i="10"/>
  <c r="AN1466" i="10"/>
  <c r="AO1560" i="10"/>
  <c r="AN1560" i="10"/>
  <c r="AO380" i="10"/>
  <c r="W392" i="10"/>
  <c r="W391" i="10" s="1"/>
  <c r="W390" i="10" s="1"/>
  <c r="U391" i="10"/>
  <c r="U390" i="10" s="1"/>
  <c r="K401" i="10"/>
  <c r="L402" i="10"/>
  <c r="AO405" i="10"/>
  <c r="BO418" i="10"/>
  <c r="BH467" i="10"/>
  <c r="BM467" i="10" s="1"/>
  <c r="BO467" i="10" s="1"/>
  <c r="AN467" i="10"/>
  <c r="AO467" i="10"/>
  <c r="AN472" i="10"/>
  <c r="AO476" i="10"/>
  <c r="AN476" i="10"/>
  <c r="AN483" i="10"/>
  <c r="AU492" i="10"/>
  <c r="AN506" i="10"/>
  <c r="AO507" i="10"/>
  <c r="AO593" i="10"/>
  <c r="AN593" i="10"/>
  <c r="AN605" i="10"/>
  <c r="AD608" i="10"/>
  <c r="AV609" i="10"/>
  <c r="AU609" i="10"/>
  <c r="AS613" i="10"/>
  <c r="AS611" i="10" s="1"/>
  <c r="AS622" i="10"/>
  <c r="AS626" i="10"/>
  <c r="W630" i="10"/>
  <c r="U629" i="10"/>
  <c r="AO637" i="10"/>
  <c r="AN637" i="10"/>
  <c r="BH641" i="10"/>
  <c r="BM641" i="10" s="1"/>
  <c r="AO641" i="10"/>
  <c r="AN641" i="10"/>
  <c r="BA646" i="10"/>
  <c r="AO658" i="10"/>
  <c r="AN658" i="10"/>
  <c r="AO674" i="10"/>
  <c r="AN674" i="10"/>
  <c r="AV683" i="10"/>
  <c r="AD681" i="10"/>
  <c r="AA684" i="10"/>
  <c r="AV684" i="10"/>
  <c r="BH712" i="10"/>
  <c r="BM712" i="10" s="1"/>
  <c r="AO712" i="10"/>
  <c r="AN712" i="10"/>
  <c r="BA715" i="10"/>
  <c r="AU725" i="10"/>
  <c r="AN728" i="10"/>
  <c r="AY735" i="10"/>
  <c r="AO736" i="10"/>
  <c r="AN736" i="10"/>
  <c r="AA747" i="10"/>
  <c r="AV747" i="10"/>
  <c r="BA756" i="10"/>
  <c r="AD758" i="10"/>
  <c r="AU764" i="10"/>
  <c r="AU778" i="10"/>
  <c r="BH784" i="10"/>
  <c r="BM784" i="10" s="1"/>
  <c r="BO784" i="10" s="1"/>
  <c r="AO784" i="10"/>
  <c r="BO790" i="10"/>
  <c r="BO827" i="10"/>
  <c r="AN827" i="10"/>
  <c r="AA829" i="10"/>
  <c r="AV829" i="10"/>
  <c r="AU837" i="10"/>
  <c r="AN843" i="10"/>
  <c r="AU847" i="10"/>
  <c r="BO854" i="10"/>
  <c r="AM877" i="10"/>
  <c r="AU884" i="10"/>
  <c r="BH901" i="10"/>
  <c r="BM901" i="10" s="1"/>
  <c r="BO901" i="10" s="1"/>
  <c r="AV912" i="10"/>
  <c r="AV914" i="10"/>
  <c r="AU914" i="10"/>
  <c r="AU928" i="10"/>
  <c r="AU934" i="10"/>
  <c r="AU937" i="10"/>
  <c r="AJ937" i="10"/>
  <c r="AU945" i="10"/>
  <c r="AN951" i="10"/>
  <c r="AN954" i="10"/>
  <c r="AU956" i="10"/>
  <c r="AV967" i="10"/>
  <c r="AU967" i="10"/>
  <c r="AJ970" i="10"/>
  <c r="AU970" i="10"/>
  <c r="AJ986" i="10"/>
  <c r="AU986" i="10"/>
  <c r="AV997" i="10"/>
  <c r="AD995" i="10"/>
  <c r="AU1003" i="10"/>
  <c r="AO1009" i="10"/>
  <c r="AN1009" i="10"/>
  <c r="AU1022" i="10"/>
  <c r="AM1029" i="10"/>
  <c r="AU1034" i="10"/>
  <c r="AO1047" i="10"/>
  <c r="AN1047" i="10"/>
  <c r="AU1054" i="10"/>
  <c r="AJ1058" i="10"/>
  <c r="AU1058" i="10"/>
  <c r="AS1069" i="10"/>
  <c r="BO1074" i="10"/>
  <c r="AN1114" i="10"/>
  <c r="AU1118" i="10"/>
  <c r="AN1123" i="10"/>
  <c r="AO1127" i="10"/>
  <c r="AN1127" i="10"/>
  <c r="AU1128" i="10"/>
  <c r="AJ1128" i="10"/>
  <c r="BO1129" i="10"/>
  <c r="AJ1141" i="10"/>
  <c r="AU1141" i="10"/>
  <c r="AO1146" i="10"/>
  <c r="AN1146" i="10"/>
  <c r="AN1151" i="10"/>
  <c r="AN1177" i="10"/>
  <c r="AU1200" i="10"/>
  <c r="AA1218" i="10"/>
  <c r="AV1218" i="10"/>
  <c r="AV1221" i="10"/>
  <c r="AU1221" i="10"/>
  <c r="AU1228" i="10"/>
  <c r="AN1234" i="10"/>
  <c r="AJ1267" i="10"/>
  <c r="AU1267" i="10"/>
  <c r="U1273" i="10"/>
  <c r="U1272" i="10" s="1"/>
  <c r="W1274" i="10"/>
  <c r="W1273" i="10" s="1"/>
  <c r="W1272" i="10" s="1"/>
  <c r="BH1288" i="10"/>
  <c r="AS1287" i="10"/>
  <c r="AN1288" i="10"/>
  <c r="R1291" i="10"/>
  <c r="AZ1293" i="10"/>
  <c r="AO1302" i="10"/>
  <c r="AN1302" i="10"/>
  <c r="AU1305" i="10"/>
  <c r="U1306" i="10"/>
  <c r="W1308" i="10"/>
  <c r="AU1323" i="10"/>
  <c r="BH1361" i="10"/>
  <c r="BM1361" i="10" s="1"/>
  <c r="BO1361" i="10" s="1"/>
  <c r="AO1361" i="10"/>
  <c r="AN1361" i="10"/>
  <c r="AU1384" i="10"/>
  <c r="AV1386" i="10"/>
  <c r="BH1387" i="10"/>
  <c r="BM1387" i="10" s="1"/>
  <c r="AO1387" i="10"/>
  <c r="AN1387" i="10"/>
  <c r="AN1414" i="10"/>
  <c r="AJ1421" i="10"/>
  <c r="AU1421" i="10"/>
  <c r="AA1422" i="10"/>
  <c r="AV1422" i="10"/>
  <c r="AU1422" i="10"/>
  <c r="AU1437" i="10"/>
  <c r="AV1437" i="10"/>
  <c r="BO1439" i="10"/>
  <c r="AO1439" i="10"/>
  <c r="AN1444" i="10"/>
  <c r="AO1444" i="10"/>
  <c r="BH1470" i="10"/>
  <c r="BM1470" i="10" s="1"/>
  <c r="AN1470" i="10"/>
  <c r="AU1498" i="10"/>
  <c r="BH1501" i="10"/>
  <c r="BM1501" i="10" s="1"/>
  <c r="BO1501" i="10" s="1"/>
  <c r="AO1501" i="10"/>
  <c r="AS1505" i="10"/>
  <c r="AS1503" i="10" s="1"/>
  <c r="AU1512" i="10"/>
  <c r="AJ1526" i="10"/>
  <c r="AU1526" i="10"/>
  <c r="AJ1544" i="10"/>
  <c r="AU1544" i="10"/>
  <c r="AO1547" i="10"/>
  <c r="AN1547" i="10"/>
  <c r="BH1547" i="10"/>
  <c r="BM1547" i="10" s="1"/>
  <c r="AU1548" i="10"/>
  <c r="AU1554" i="10"/>
  <c r="AJ1554" i="10"/>
  <c r="AV1558" i="10"/>
  <c r="AA1558" i="10"/>
  <c r="P1562" i="10"/>
  <c r="AO1585" i="10"/>
  <c r="AN1585" i="10"/>
  <c r="BO1585" i="10"/>
  <c r="AA1607" i="10"/>
  <c r="AV1607" i="10"/>
  <c r="AJ1628" i="10"/>
  <c r="AU1628" i="10"/>
  <c r="AN1643" i="10"/>
  <c r="AO1643" i="10"/>
  <c r="AU1683" i="10"/>
  <c r="BH1690" i="10"/>
  <c r="AU1714" i="10"/>
  <c r="BA1716" i="10"/>
  <c r="AM1716" i="10"/>
  <c r="AU1718" i="10"/>
  <c r="AN1718" i="10"/>
  <c r="AV1725" i="10"/>
  <c r="AA1725" i="10"/>
  <c r="BO1733" i="10"/>
  <c r="AS1768" i="10"/>
  <c r="BH1767" i="10" s="1"/>
  <c r="AU1838" i="10"/>
  <c r="AV1844" i="10"/>
  <c r="AA1844" i="10"/>
  <c r="BH1853" i="10"/>
  <c r="BM1853" i="10" s="1"/>
  <c r="BO1853" i="10" s="1"/>
  <c r="AO1853" i="10"/>
  <c r="AN1853" i="10"/>
  <c r="AJ1857" i="10"/>
  <c r="AU1857" i="10"/>
  <c r="AO1867" i="10"/>
  <c r="AN1867" i="10"/>
  <c r="AJ1890" i="10"/>
  <c r="AU1890" i="10"/>
  <c r="AU1919" i="10"/>
  <c r="AJ1919" i="10"/>
  <c r="AY1942" i="10"/>
  <c r="AV2015" i="10"/>
  <c r="AU2015" i="10"/>
  <c r="AN2017" i="10"/>
  <c r="AO2017" i="10"/>
  <c r="AO2064" i="10"/>
  <c r="AN2064" i="10"/>
  <c r="U2092" i="10"/>
  <c r="U2091" i="10" s="1"/>
  <c r="AZ2096" i="10"/>
  <c r="BA2096" i="10" s="1"/>
  <c r="AZ2099" i="10"/>
  <c r="BA2099" i="10" s="1"/>
  <c r="AA2113" i="10"/>
  <c r="AV2113" i="10"/>
  <c r="AU2113" i="10"/>
  <c r="AU2114" i="10"/>
  <c r="AJ2114" i="10"/>
  <c r="AA2123" i="10"/>
  <c r="AV2123" i="10"/>
  <c r="AV2151" i="10"/>
  <c r="AA2151" i="10"/>
  <c r="AY2162" i="10"/>
  <c r="AY2161" i="10" s="1"/>
  <c r="AV2174" i="10"/>
  <c r="AA2174" i="10"/>
  <c r="BO2195" i="10"/>
  <c r="AN2195" i="10"/>
  <c r="BH2194" i="10"/>
  <c r="BM2194" i="10" s="1"/>
  <c r="BO2194" i="10" s="1"/>
  <c r="AO2197" i="10"/>
  <c r="AN2197" i="10"/>
  <c r="AS2196" i="10"/>
  <c r="BH2197" i="10"/>
  <c r="Q2204" i="10"/>
  <c r="BM2210" i="10"/>
  <c r="AU2211" i="10"/>
  <c r="AD2235" i="10"/>
  <c r="AU2235" i="10" s="1"/>
  <c r="AV2236" i="10"/>
  <c r="AU2236" i="10"/>
  <c r="AN2250" i="10"/>
  <c r="BO2250" i="10"/>
  <c r="AO2250" i="10"/>
  <c r="L2259" i="10"/>
  <c r="J2258" i="10"/>
  <c r="L2258" i="10" s="1"/>
  <c r="AJ2270" i="10"/>
  <c r="AU2270" i="10"/>
  <c r="AM2269" i="10"/>
  <c r="BO2321" i="10"/>
  <c r="AO2321" i="10"/>
  <c r="AN2321" i="10"/>
  <c r="AO2322" i="10"/>
  <c r="BO2322" i="10"/>
  <c r="AN2379" i="10"/>
  <c r="AO2379" i="10"/>
  <c r="BH2379" i="10"/>
  <c r="BM2379" i="10" s="1"/>
  <c r="BO2382" i="10"/>
  <c r="R2384" i="10"/>
  <c r="P2383" i="10"/>
  <c r="AU2408" i="10"/>
  <c r="AA2408" i="10"/>
  <c r="AV2431" i="10"/>
  <c r="AA2431" i="10"/>
  <c r="BO2454" i="10"/>
  <c r="AN2454" i="10"/>
  <c r="AU2497" i="10"/>
  <c r="AJ2497" i="10"/>
  <c r="AV1835" i="10"/>
  <c r="AA1835" i="10"/>
  <c r="AV1837" i="10"/>
  <c r="AA1837" i="10"/>
  <c r="AU1847" i="10"/>
  <c r="AN1847" i="10"/>
  <c r="AV1970" i="10"/>
  <c r="AA1970" i="10"/>
  <c r="AV2011" i="10"/>
  <c r="AU2011" i="10"/>
  <c r="AV2190" i="10"/>
  <c r="AU2190" i="10"/>
  <c r="AA2190" i="10"/>
  <c r="AO2207" i="10"/>
  <c r="AN2207" i="10"/>
  <c r="AN2341" i="10"/>
  <c r="BO2341" i="10"/>
  <c r="AO2341" i="10"/>
  <c r="AS2448" i="10"/>
  <c r="AF433" i="11"/>
  <c r="AL434" i="11"/>
  <c r="AL433" i="11" s="1"/>
  <c r="AY5" i="10"/>
  <c r="AA7" i="10"/>
  <c r="AV7" i="10"/>
  <c r="AU38" i="10"/>
  <c r="AS153" i="10"/>
  <c r="AJ161" i="10"/>
  <c r="AU161" i="10"/>
  <c r="AU214" i="10"/>
  <c r="U236" i="10"/>
  <c r="W237" i="10"/>
  <c r="W236" i="10" s="1"/>
  <c r="AV260" i="10"/>
  <c r="AU260" i="10"/>
  <c r="AO263" i="10"/>
  <c r="AN263" i="10"/>
  <c r="R268" i="10"/>
  <c r="AO271" i="10"/>
  <c r="AN271" i="10"/>
  <c r="AU344" i="10"/>
  <c r="AU359" i="10"/>
  <c r="AU425" i="10"/>
  <c r="AV425" i="10"/>
  <c r="AU457" i="10"/>
  <c r="AU462" i="10"/>
  <c r="AJ479" i="10"/>
  <c r="AU479" i="10"/>
  <c r="AY489" i="10"/>
  <c r="AY488" i="10" s="1"/>
  <c r="P635" i="10"/>
  <c r="BH639" i="10"/>
  <c r="BM639" i="10" s="1"/>
  <c r="AO639" i="10"/>
  <c r="AN639" i="10"/>
  <c r="AA641" i="10"/>
  <c r="AV641" i="10"/>
  <c r="AU655" i="10"/>
  <c r="AO1012" i="10"/>
  <c r="AN1012" i="10"/>
  <c r="U1026" i="10"/>
  <c r="W1027" i="10"/>
  <c r="W1026" i="10" s="1"/>
  <c r="W1031" i="10"/>
  <c r="U1029" i="10"/>
  <c r="AZ1039" i="10"/>
  <c r="BA1039" i="10" s="1"/>
  <c r="AN1109" i="10"/>
  <c r="AN1153" i="10"/>
  <c r="AN1159" i="10"/>
  <c r="AO1204" i="10"/>
  <c r="AN1204" i="10"/>
  <c r="AU1214" i="10"/>
  <c r="AS1269" i="10"/>
  <c r="AZ1274" i="10"/>
  <c r="AZ1273" i="10" s="1"/>
  <c r="AZ1272" i="10" s="1"/>
  <c r="R1345" i="10"/>
  <c r="AJ1377" i="10"/>
  <c r="AU1377" i="10"/>
  <c r="BH1451" i="10"/>
  <c r="BM1451" i="10" s="1"/>
  <c r="AN1500" i="10"/>
  <c r="AU1505" i="10"/>
  <c r="AJ1505" i="10"/>
  <c r="AU1515" i="10"/>
  <c r="AO1519" i="10"/>
  <c r="AN1519" i="10"/>
  <c r="AU1564" i="10"/>
  <c r="AJ1564" i="10"/>
  <c r="AA1601" i="10"/>
  <c r="AV1601" i="10"/>
  <c r="AO1603" i="10"/>
  <c r="AN1603" i="10"/>
  <c r="BO1603" i="10"/>
  <c r="AA1605" i="10"/>
  <c r="AV1605" i="10"/>
  <c r="AU1605" i="10"/>
  <c r="AN1658" i="10"/>
  <c r="AU1679" i="10"/>
  <c r="AJ1679" i="10"/>
  <c r="AN1741" i="10"/>
  <c r="AO1741" i="10"/>
  <c r="AO1767" i="10"/>
  <c r="AN1767" i="10"/>
  <c r="AJ1768" i="10"/>
  <c r="AU1768" i="10"/>
  <c r="AN1770" i="10"/>
  <c r="AS1825" i="10"/>
  <c r="AS1823" i="10" s="1"/>
  <c r="AV1826" i="10"/>
  <c r="AD1823" i="10"/>
  <c r="AU1959" i="10"/>
  <c r="W1975" i="10"/>
  <c r="W1974" i="10" s="1"/>
  <c r="W1973" i="10" s="1"/>
  <c r="AA2170" i="10"/>
  <c r="AV2170" i="10"/>
  <c r="U2181" i="10"/>
  <c r="S2183" i="10"/>
  <c r="BO2476" i="10"/>
  <c r="AN2476" i="10"/>
  <c r="BA6" i="10"/>
  <c r="AV9" i="10"/>
  <c r="AU9" i="10"/>
  <c r="AO25" i="10"/>
  <c r="BO25" i="10"/>
  <c r="AN38" i="10"/>
  <c r="AV101" i="10"/>
  <c r="AU101" i="10"/>
  <c r="AS117" i="10"/>
  <c r="AU123" i="10"/>
  <c r="AO139" i="10"/>
  <c r="AN139" i="10"/>
  <c r="AO161" i="10"/>
  <c r="AN161" i="10"/>
  <c r="AO199" i="10"/>
  <c r="AN199" i="10"/>
  <c r="AJ253" i="10"/>
  <c r="AU253" i="10"/>
  <c r="AN253" i="10"/>
  <c r="AS256" i="10"/>
  <c r="S269" i="10"/>
  <c r="AJ298" i="10"/>
  <c r="AU298" i="10"/>
  <c r="AU321" i="10"/>
  <c r="AN359" i="10"/>
  <c r="AN369" i="10"/>
  <c r="L371" i="10"/>
  <c r="AV372" i="10"/>
  <c r="AD371" i="10"/>
  <c r="AS399" i="10"/>
  <c r="AN414" i="10"/>
  <c r="AU420" i="10"/>
  <c r="AO434" i="10"/>
  <c r="AN434" i="10"/>
  <c r="K436" i="10"/>
  <c r="AU446" i="10"/>
  <c r="AN462" i="10"/>
  <c r="BA490" i="10"/>
  <c r="BA489" i="10" s="1"/>
  <c r="BA488" i="10" s="1"/>
  <c r="AA1281" i="10"/>
  <c r="AD1280" i="10"/>
  <c r="AV1281" i="10"/>
  <c r="P1306" i="10"/>
  <c r="L1342" i="10"/>
  <c r="AO1356" i="10"/>
  <c r="AN1356" i="10"/>
  <c r="AO1378" i="10"/>
  <c r="AN1378" i="10"/>
  <c r="AU1386" i="10"/>
  <c r="AU1401" i="10"/>
  <c r="AN1407" i="10"/>
  <c r="AA1420" i="10"/>
  <c r="AV1420" i="10"/>
  <c r="AV1444" i="10"/>
  <c r="AU1444" i="10"/>
  <c r="AN1463" i="10"/>
  <c r="AU1463" i="10"/>
  <c r="AO1469" i="10"/>
  <c r="AN1469" i="10"/>
  <c r="BH1469" i="10"/>
  <c r="BM1469" i="10" s="1"/>
  <c r="U1503" i="10"/>
  <c r="AV1535" i="10"/>
  <c r="AA1535" i="10"/>
  <c r="AD1534" i="10"/>
  <c r="BH1539" i="10"/>
  <c r="BM1539" i="10" s="1"/>
  <c r="AO1539" i="10"/>
  <c r="AN1539" i="10"/>
  <c r="AJ1543" i="10"/>
  <c r="AU1543" i="10"/>
  <c r="AO1553" i="10"/>
  <c r="AN1553" i="10"/>
  <c r="AN1564" i="10"/>
  <c r="AU1626" i="10"/>
  <c r="AJ1631" i="10"/>
  <c r="AU1631" i="10"/>
  <c r="AA1643" i="10"/>
  <c r="AV1643" i="10"/>
  <c r="AY1662" i="10"/>
  <c r="AZ1664" i="10"/>
  <c r="AZ1662" i="10" s="1"/>
  <c r="AZ1661" i="10" s="1"/>
  <c r="AO1676" i="10"/>
  <c r="AN1676" i="10"/>
  <c r="AN1679" i="10"/>
  <c r="AN1685" i="10"/>
  <c r="BO1685" i="10"/>
  <c r="AU1706" i="10"/>
  <c r="AJ1706" i="10"/>
  <c r="AO1713" i="10"/>
  <c r="BO1713" i="10"/>
  <c r="AN1713" i="10"/>
  <c r="BO1721" i="10"/>
  <c r="AO1721" i="10"/>
  <c r="AN1721" i="10"/>
  <c r="AO1730" i="10"/>
  <c r="AN1730" i="10"/>
  <c r="AS1736" i="10"/>
  <c r="AV1737" i="10"/>
  <c r="AD1736" i="10"/>
  <c r="AN1856" i="10"/>
  <c r="BH1856" i="10"/>
  <c r="BM1856" i="10" s="1"/>
  <c r="BO1873" i="10"/>
  <c r="AO1873" i="10"/>
  <c r="AN1873" i="10"/>
  <c r="AV1889" i="10"/>
  <c r="AA1889" i="10"/>
  <c r="AN1907" i="10"/>
  <c r="AO1907" i="10"/>
  <c r="AU1938" i="10"/>
  <c r="AJ1938" i="10"/>
  <c r="AN1959" i="10"/>
  <c r="U1989" i="10"/>
  <c r="U2045" i="10"/>
  <c r="U2044" i="10" s="1"/>
  <c r="W2046" i="10"/>
  <c r="W2045" i="10" s="1"/>
  <c r="W2044" i="10" s="1"/>
  <c r="AS2049" i="10"/>
  <c r="BH2100" i="10"/>
  <c r="BM2100" i="10" s="1"/>
  <c r="BO2100" i="10" s="1"/>
  <c r="AO2100" i="10"/>
  <c r="AN2100" i="10"/>
  <c r="AN2168" i="10"/>
  <c r="AO2168" i="10"/>
  <c r="AS2177" i="10"/>
  <c r="W2182" i="10"/>
  <c r="W2181" i="10" s="1"/>
  <c r="AD2221" i="10"/>
  <c r="AV2222" i="10"/>
  <c r="AJ2227" i="10"/>
  <c r="AM2223" i="10"/>
  <c r="AU2240" i="10"/>
  <c r="AM2238" i="10"/>
  <c r="AJ2240" i="10"/>
  <c r="AO2254" i="10"/>
  <c r="BH2254" i="10"/>
  <c r="AN2254" i="10"/>
  <c r="AV2330" i="10"/>
  <c r="AA2330" i="10"/>
  <c r="AN2380" i="10"/>
  <c r="AU2380" i="10"/>
  <c r="AJ2380" i="10"/>
  <c r="AU2392" i="10"/>
  <c r="AN2392" i="10"/>
  <c r="AV2442" i="10"/>
  <c r="AA2442" i="10"/>
  <c r="AD2436" i="10"/>
  <c r="R2531" i="10"/>
  <c r="S2532" i="10"/>
  <c r="BA37" i="10"/>
  <c r="BA36" i="10" s="1"/>
  <c r="AA50" i="10"/>
  <c r="AV50" i="10"/>
  <c r="AU71" i="10"/>
  <c r="AV83" i="10"/>
  <c r="AU83" i="10"/>
  <c r="S146" i="10"/>
  <c r="R145" i="10"/>
  <c r="S145" i="10" s="1"/>
  <c r="AD153" i="10"/>
  <c r="AD251" i="10"/>
  <c r="AS278" i="10"/>
  <c r="AU312" i="10"/>
  <c r="AN317" i="10"/>
  <c r="AN355" i="10"/>
  <c r="BA368" i="10"/>
  <c r="BA367" i="10" s="1"/>
  <c r="BA366" i="10" s="1"/>
  <c r="P371" i="10"/>
  <c r="P370" i="10" s="1"/>
  <c r="AN384" i="10"/>
  <c r="AU405" i="10"/>
  <c r="L438" i="10"/>
  <c r="AN446" i="10"/>
  <c r="BA509" i="10"/>
  <c r="AS530" i="10"/>
  <c r="AU542" i="10"/>
  <c r="AA1838" i="10"/>
  <c r="AV1838" i="10"/>
  <c r="AU1840" i="10"/>
  <c r="AU1860" i="10"/>
  <c r="AN1938" i="10"/>
  <c r="AA1965" i="10"/>
  <c r="AV1965" i="10"/>
  <c r="V1990" i="10"/>
  <c r="V1989" i="10" s="1"/>
  <c r="V1984" i="10" s="1"/>
  <c r="V1972" i="10" s="1"/>
  <c r="AN2011" i="10"/>
  <c r="AO2011" i="10"/>
  <c r="AV2016" i="10"/>
  <c r="AA2016" i="10"/>
  <c r="R2035" i="10"/>
  <c r="P2032" i="10"/>
  <c r="P2031" i="10" s="1"/>
  <c r="P2030" i="10" s="1"/>
  <c r="AV2076" i="10"/>
  <c r="AA2076" i="10"/>
  <c r="AV2116" i="10"/>
  <c r="AU2116" i="10"/>
  <c r="AN2148" i="10"/>
  <c r="AU2170" i="10"/>
  <c r="Q2178" i="10"/>
  <c r="AS2189" i="10"/>
  <c r="AU2192" i="10"/>
  <c r="AJ2192" i="10"/>
  <c r="AU2194" i="10"/>
  <c r="AJ2194" i="10"/>
  <c r="AN2194" i="10"/>
  <c r="AD2198" i="10"/>
  <c r="AA2199" i="10"/>
  <c r="AS2211" i="10"/>
  <c r="BH2212" i="10"/>
  <c r="AO2212" i="10"/>
  <c r="AN2212" i="10"/>
  <c r="R2218" i="10"/>
  <c r="P2217" i="10"/>
  <c r="AN2240" i="10"/>
  <c r="AS2253" i="10"/>
  <c r="AN2260" i="10"/>
  <c r="AN2314" i="10"/>
  <c r="AA2316" i="10"/>
  <c r="AV2316" i="10"/>
  <c r="AU2388" i="10"/>
  <c r="AU2443" i="10"/>
  <c r="AV2443" i="10"/>
  <c r="S2533" i="10"/>
  <c r="AZ28" i="10"/>
  <c r="AU52" i="10"/>
  <c r="AN71" i="10"/>
  <c r="AU78" i="10"/>
  <c r="AU82" i="10"/>
  <c r="AN105" i="10"/>
  <c r="AN107" i="10"/>
  <c r="BA117" i="10"/>
  <c r="BA116" i="10" s="1"/>
  <c r="BA115" i="10" s="1"/>
  <c r="W124" i="10"/>
  <c r="AN134" i="10"/>
  <c r="R144" i="10"/>
  <c r="S144" i="10" s="1"/>
  <c r="AU159" i="10"/>
  <c r="L193" i="10"/>
  <c r="AU329" i="10"/>
  <c r="BH368" i="10"/>
  <c r="AN405" i="10"/>
  <c r="AO421" i="10"/>
  <c r="AN421" i="10"/>
  <c r="BH486" i="10"/>
  <c r="BM486" i="10" s="1"/>
  <c r="BO486" i="10" s="1"/>
  <c r="L488" i="10"/>
  <c r="AD502" i="10"/>
  <c r="AU503" i="10"/>
  <c r="R541" i="10"/>
  <c r="P540" i="10"/>
  <c r="AU548" i="10"/>
  <c r="AN562" i="10"/>
  <c r="AU567" i="10"/>
  <c r="AN572" i="10"/>
  <c r="AN579" i="10"/>
  <c r="AA672" i="10"/>
  <c r="AV672" i="10"/>
  <c r="AY704" i="10"/>
  <c r="AN709" i="10"/>
  <c r="AU761" i="10"/>
  <c r="AU857" i="10"/>
  <c r="AJ869" i="10"/>
  <c r="AU869" i="10"/>
  <c r="AO982" i="10"/>
  <c r="AN982" i="10"/>
  <c r="P995" i="10"/>
  <c r="AO1022" i="10"/>
  <c r="AN1022" i="10"/>
  <c r="AN1030" i="10"/>
  <c r="AO1030" i="10"/>
  <c r="AN1048" i="10"/>
  <c r="AJ1070" i="10"/>
  <c r="AU1070" i="10"/>
  <c r="AJ1079" i="10"/>
  <c r="AU1079" i="10"/>
  <c r="AV1303" i="10"/>
  <c r="AA1303" i="10"/>
  <c r="AV1441" i="10"/>
  <c r="AA1441" i="10"/>
  <c r="R1451" i="10"/>
  <c r="S1451" i="10" s="1"/>
  <c r="P1449" i="10"/>
  <c r="AV1464" i="10"/>
  <c r="AA1464" i="10"/>
  <c r="AN1501" i="10"/>
  <c r="AU1525" i="10"/>
  <c r="AN1528" i="10"/>
  <c r="AU1535" i="10"/>
  <c r="AO1543" i="10"/>
  <c r="AN1543" i="10"/>
  <c r="AV1565" i="10"/>
  <c r="AA1565" i="10"/>
  <c r="AU1585" i="10"/>
  <c r="BO1631" i="10"/>
  <c r="AO1631" i="10"/>
  <c r="K1661" i="10"/>
  <c r="K1660" i="10" s="1"/>
  <c r="P1716" i="10"/>
  <c r="BH1775" i="10"/>
  <c r="BM1775" i="10" s="1"/>
  <c r="BO1775" i="10" s="1"/>
  <c r="AN1775" i="10"/>
  <c r="BO1809" i="10"/>
  <c r="AO1809" i="10"/>
  <c r="AN1809" i="10"/>
  <c r="U1823" i="10"/>
  <c r="W1824" i="10"/>
  <c r="W1823" i="10" s="1"/>
  <c r="AN1840" i="10"/>
  <c r="BO1848" i="10"/>
  <c r="AO1848" i="10"/>
  <c r="AN1848" i="10"/>
  <c r="P1851" i="10"/>
  <c r="AZ1852" i="10"/>
  <c r="AZ1851" i="10" s="1"/>
  <c r="AY1851" i="10"/>
  <c r="AN1860" i="10"/>
  <c r="AA1876" i="10"/>
  <c r="AV1876" i="10"/>
  <c r="R1879" i="10"/>
  <c r="P1878" i="10"/>
  <c r="AN1889" i="10"/>
  <c r="AU1889" i="10"/>
  <c r="AN1926" i="10"/>
  <c r="AN1928" i="10"/>
  <c r="AO1928" i="10"/>
  <c r="BO1928" i="10"/>
  <c r="AA1943" i="10"/>
  <c r="AD1942" i="10"/>
  <c r="AS1945" i="10"/>
  <c r="AS1942" i="10" s="1"/>
  <c r="AU1956" i="10"/>
  <c r="AU1975" i="10"/>
  <c r="AM1974" i="10"/>
  <c r="AN9" i="10"/>
  <c r="AU14" i="10"/>
  <c r="AU16" i="10"/>
  <c r="W31" i="10"/>
  <c r="W29" i="10" s="1"/>
  <c r="U36" i="10"/>
  <c r="AN45" i="10"/>
  <c r="AN52" i="10"/>
  <c r="P55" i="10"/>
  <c r="BA61" i="10"/>
  <c r="BA59" i="10" s="1"/>
  <c r="AO98" i="10"/>
  <c r="AN101" i="10"/>
  <c r="AA110" i="10"/>
  <c r="AV110" i="10"/>
  <c r="AU111" i="10"/>
  <c r="L116" i="10"/>
  <c r="AM120" i="10"/>
  <c r="AN137" i="10"/>
  <c r="AU140" i="10"/>
  <c r="BH154" i="10"/>
  <c r="AO155" i="10"/>
  <c r="AO157" i="10"/>
  <c r="AN157" i="10"/>
  <c r="BH157" i="10"/>
  <c r="BM157" i="10" s="1"/>
  <c r="AN159" i="10"/>
  <c r="BH171" i="10"/>
  <c r="BM171" i="10" s="1"/>
  <c r="BO171" i="10" s="1"/>
  <c r="AJ173" i="10"/>
  <c r="AU173" i="10"/>
  <c r="AO178" i="10"/>
  <c r="AZ180" i="10"/>
  <c r="AM193" i="10"/>
  <c r="AU194" i="10"/>
  <c r="AO235" i="10"/>
  <c r="J242" i="10"/>
  <c r="AU248" i="10"/>
  <c r="AM251" i="10"/>
  <c r="BA251" i="10"/>
  <c r="AU265" i="10"/>
  <c r="L281" i="10"/>
  <c r="J280" i="10"/>
  <c r="AO290" i="10"/>
  <c r="AU295" i="10"/>
  <c r="AO300" i="10"/>
  <c r="AU308" i="10"/>
  <c r="AO328" i="10"/>
  <c r="AN328" i="10"/>
  <c r="AN329" i="10"/>
  <c r="AU351" i="10"/>
  <c r="AJ11" i="10"/>
  <c r="U13" i="10"/>
  <c r="AY13" i="10"/>
  <c r="AA21" i="10"/>
  <c r="V28" i="10"/>
  <c r="AU30" i="10"/>
  <c r="AA33" i="10"/>
  <c r="W37" i="10"/>
  <c r="W36" i="10" s="1"/>
  <c r="AJ43" i="10"/>
  <c r="J54" i="10"/>
  <c r="R58" i="10"/>
  <c r="P57" i="10"/>
  <c r="AM73" i="10"/>
  <c r="AY81" i="10"/>
  <c r="AY80" i="10" s="1"/>
  <c r="AU93" i="10"/>
  <c r="AO95" i="10"/>
  <c r="AN95" i="10"/>
  <c r="AU96" i="10"/>
  <c r="AJ99" i="10"/>
  <c r="AA104" i="10"/>
  <c r="AA114" i="10"/>
  <c r="AU132" i="10"/>
  <c r="AA138" i="10"/>
  <c r="AV138" i="10"/>
  <c r="AA148" i="10"/>
  <c r="AU150" i="10"/>
  <c r="BH161" i="10"/>
  <c r="BM161" i="10" s="1"/>
  <c r="AO173" i="10"/>
  <c r="AN173" i="10"/>
  <c r="AM189" i="10"/>
  <c r="AU201" i="10"/>
  <c r="U217" i="10"/>
  <c r="W219" i="10"/>
  <c r="W217" i="10" s="1"/>
  <c r="AJ246" i="10"/>
  <c r="AV258" i="10"/>
  <c r="AD257" i="10"/>
  <c r="BO263" i="10"/>
  <c r="AO265" i="10"/>
  <c r="AN265" i="10"/>
  <c r="AR266" i="10"/>
  <c r="AU285" i="10"/>
  <c r="AU286" i="10"/>
  <c r="AN295" i="10"/>
  <c r="AJ301" i="10"/>
  <c r="AJ304" i="10"/>
  <c r="AO308" i="10"/>
  <c r="AJ309" i="10"/>
  <c r="AU309" i="10"/>
  <c r="AA310" i="10"/>
  <c r="AU317" i="10"/>
  <c r="AJ319" i="10"/>
  <c r="AD326" i="10"/>
  <c r="AJ330" i="10"/>
  <c r="AU330" i="10"/>
  <c r="AN334" i="10"/>
  <c r="AO334" i="10"/>
  <c r="AA342" i="10"/>
  <c r="AJ348" i="10"/>
  <c r="AJ353" i="10"/>
  <c r="AU355" i="10"/>
  <c r="AU360" i="10"/>
  <c r="AU363" i="10"/>
  <c r="AA392" i="10"/>
  <c r="AV392" i="10"/>
  <c r="AJ412" i="10"/>
  <c r="AY416" i="10"/>
  <c r="AY415" i="10" s="1"/>
  <c r="AA428" i="10"/>
  <c r="AU449" i="10"/>
  <c r="AJ450" i="10"/>
  <c r="AJ453" i="10"/>
  <c r="R462" i="10"/>
  <c r="S462" i="10" s="1"/>
  <c r="AU465" i="10"/>
  <c r="AU476" i="10"/>
  <c r="AJ477" i="10"/>
  <c r="R479" i="10"/>
  <c r="S479" i="10" s="1"/>
  <c r="AO483" i="10"/>
  <c r="AN492" i="10"/>
  <c r="AU497" i="10"/>
  <c r="AJ508" i="10"/>
  <c r="AA513" i="10"/>
  <c r="AZ514" i="10"/>
  <c r="BA514" i="10" s="1"/>
  <c r="AZ528" i="10"/>
  <c r="BA528" i="10" s="1"/>
  <c r="P529" i="10"/>
  <c r="R530" i="10"/>
  <c r="AM535" i="10"/>
  <c r="AJ537" i="10"/>
  <c r="AM540" i="10"/>
  <c r="V540" i="10"/>
  <c r="BH548" i="10"/>
  <c r="BM548" i="10" s="1"/>
  <c r="AV564" i="10"/>
  <c r="AA564" i="10"/>
  <c r="AA581" i="10"/>
  <c r="AJ590" i="10"/>
  <c r="AU590" i="10"/>
  <c r="AJ596" i="10"/>
  <c r="AU603" i="10"/>
  <c r="AA606" i="10"/>
  <c r="AV606" i="10"/>
  <c r="AU618" i="10"/>
  <c r="AU637" i="10"/>
  <c r="AV638" i="10"/>
  <c r="AU638" i="10"/>
  <c r="AM644" i="10"/>
  <c r="AU648" i="10"/>
  <c r="AN656" i="10"/>
  <c r="AO656" i="10"/>
  <c r="AU658" i="10"/>
  <c r="AU674" i="10"/>
  <c r="BH682" i="10"/>
  <c r="AN682" i="10"/>
  <c r="AJ700" i="10"/>
  <c r="AU700" i="10"/>
  <c r="AU712" i="10"/>
  <c r="AV713" i="10"/>
  <c r="AU713" i="10"/>
  <c r="AU723" i="10"/>
  <c r="AN725" i="10"/>
  <c r="U729" i="10"/>
  <c r="AA732" i="10"/>
  <c r="AU736" i="10"/>
  <c r="AO742" i="10"/>
  <c r="AU771" i="10"/>
  <c r="AN779" i="10"/>
  <c r="AU784" i="10"/>
  <c r="AA798" i="10"/>
  <c r="AU800" i="10"/>
  <c r="AU827" i="10"/>
  <c r="AJ833" i="10"/>
  <c r="AN837" i="10"/>
  <c r="AU842" i="10"/>
  <c r="AJ844" i="10"/>
  <c r="AU844" i="10"/>
  <c r="AA845" i="10"/>
  <c r="AU851" i="10"/>
  <c r="BH868" i="10"/>
  <c r="BM868" i="10" s="1"/>
  <c r="BO868" i="10" s="1"/>
  <c r="AO872" i="10"/>
  <c r="BH874" i="10"/>
  <c r="BM874" i="10" s="1"/>
  <c r="BO874" i="10" s="1"/>
  <c r="BH883" i="10"/>
  <c r="BM883" i="10" s="1"/>
  <c r="AO899" i="10"/>
  <c r="AA909" i="10"/>
  <c r="AU923" i="10"/>
  <c r="AO929" i="10"/>
  <c r="AJ930" i="10"/>
  <c r="AU931" i="10"/>
  <c r="AN934" i="10"/>
  <c r="AN936" i="10"/>
  <c r="AO936" i="10"/>
  <c r="P940" i="10"/>
  <c r="AU951" i="10"/>
  <c r="AN957" i="10"/>
  <c r="AU958" i="10"/>
  <c r="AJ958" i="10"/>
  <c r="AA962" i="10"/>
  <c r="AV973" i="10"/>
  <c r="AN979" i="10"/>
  <c r="AN986" i="10"/>
  <c r="AO990" i="10"/>
  <c r="AS996" i="10"/>
  <c r="AN1018" i="10"/>
  <c r="AO1018" i="10"/>
  <c r="AO1023" i="10"/>
  <c r="Q1030" i="10"/>
  <c r="R1030" i="10" s="1"/>
  <c r="AU1038" i="10"/>
  <c r="AU1040" i="10"/>
  <c r="AU1047" i="10"/>
  <c r="AA1050" i="10"/>
  <c r="AO1053" i="10"/>
  <c r="AN1053" i="10"/>
  <c r="Q1056" i="10"/>
  <c r="R1056" i="10" s="1"/>
  <c r="S1056" i="10" s="1"/>
  <c r="AV1062" i="10"/>
  <c r="AU1062" i="10"/>
  <c r="AA1067" i="10"/>
  <c r="AU1072" i="10"/>
  <c r="AJ1072" i="10"/>
  <c r="BH1078" i="10"/>
  <c r="BM1078" i="10" s="1"/>
  <c r="AU1083" i="10"/>
  <c r="AU1093" i="10"/>
  <c r="AJ1095" i="10"/>
  <c r="AU1097" i="10"/>
  <c r="AV1123" i="10"/>
  <c r="AU1127" i="10"/>
  <c r="AU1142" i="10"/>
  <c r="AN1142" i="10"/>
  <c r="AU1146" i="10"/>
  <c r="AU1158" i="10"/>
  <c r="AJ1158" i="10"/>
  <c r="R1176" i="10"/>
  <c r="S1176" i="10" s="1"/>
  <c r="AN1188" i="10"/>
  <c r="AU1189" i="10"/>
  <c r="AA1189" i="10"/>
  <c r="AU1202" i="10"/>
  <c r="AV1208" i="10"/>
  <c r="AU1208" i="10"/>
  <c r="AU1222" i="10"/>
  <c r="AJ1222" i="10"/>
  <c r="AU1230" i="10"/>
  <c r="AU1263" i="10"/>
  <c r="AV1264" i="10"/>
  <c r="AU1264" i="10"/>
  <c r="U1300" i="10"/>
  <c r="BH1301" i="10"/>
  <c r="AU1303" i="10"/>
  <c r="AU1311" i="10"/>
  <c r="AU1314" i="10"/>
  <c r="AJ1326" i="10"/>
  <c r="AU1326" i="10"/>
  <c r="AA1327" i="10"/>
  <c r="AU1347" i="10"/>
  <c r="AV1347" i="10"/>
  <c r="AM1350" i="10"/>
  <c r="AU1351" i="10"/>
  <c r="AO1365" i="10"/>
  <c r="AN1365" i="10"/>
  <c r="AA1366" i="10"/>
  <c r="AU1381" i="10"/>
  <c r="AJ1381" i="10"/>
  <c r="AN1384" i="10"/>
  <c r="AV1394" i="10"/>
  <c r="AU1394" i="10"/>
  <c r="BH1402" i="10"/>
  <c r="BM1402" i="10" s="1"/>
  <c r="BO1402" i="10" s="1"/>
  <c r="AN1402" i="10"/>
  <c r="AO1402" i="10"/>
  <c r="AV1409" i="10"/>
  <c r="AU1409" i="10"/>
  <c r="AU1441" i="10"/>
  <c r="AJ1458" i="10"/>
  <c r="AV1470" i="10"/>
  <c r="AU1480" i="10"/>
  <c r="AO1490" i="10"/>
  <c r="AV1495" i="10"/>
  <c r="AU1495" i="10"/>
  <c r="AN1498" i="10"/>
  <c r="AU1501" i="10"/>
  <c r="W1503" i="10"/>
  <c r="R1505" i="10"/>
  <c r="S1505" i="10" s="1"/>
  <c r="P1503" i="10"/>
  <c r="AJ1506" i="10"/>
  <c r="AU1506" i="10"/>
  <c r="AO1511" i="10"/>
  <c r="AN1511" i="10"/>
  <c r="BO1511" i="10"/>
  <c r="AN1526" i="10"/>
  <c r="AJ1529" i="10"/>
  <c r="AU1529" i="10"/>
  <c r="AN1544" i="10"/>
  <c r="AN1554" i="10"/>
  <c r="AU1561" i="10"/>
  <c r="AA1574" i="10"/>
  <c r="AV1574" i="10"/>
  <c r="AU1582" i="10"/>
  <c r="AS1590" i="10"/>
  <c r="AO1591" i="10"/>
  <c r="AN1591" i="10"/>
  <c r="AJ1607" i="10"/>
  <c r="R1612" i="10"/>
  <c r="S1612" i="10" s="1"/>
  <c r="P1610" i="10"/>
  <c r="AO1613" i="10"/>
  <c r="AN1613" i="10"/>
  <c r="BO1617" i="10"/>
  <c r="AN1620" i="10"/>
  <c r="AN1623" i="10"/>
  <c r="U1636" i="10"/>
  <c r="AZ1643" i="10"/>
  <c r="AZ1636" i="10" s="1"/>
  <c r="AY1636" i="10"/>
  <c r="AU1654" i="10"/>
  <c r="AA1674" i="10"/>
  <c r="AV1674" i="10"/>
  <c r="AS1691" i="10"/>
  <c r="AV1712" i="10"/>
  <c r="AU1712" i="10"/>
  <c r="R1730" i="10"/>
  <c r="S1730" i="10" s="1"/>
  <c r="AU1747" i="10"/>
  <c r="AV1747" i="10"/>
  <c r="AO1749" i="10"/>
  <c r="BH1749" i="10"/>
  <c r="BM1749" i="10" s="1"/>
  <c r="BO1749" i="10" s="1"/>
  <c r="AN1749" i="10"/>
  <c r="AA1786" i="10"/>
  <c r="AV1786" i="10"/>
  <c r="AU1786" i="10"/>
  <c r="AV1787" i="10"/>
  <c r="AU1787" i="10"/>
  <c r="R1812" i="10"/>
  <c r="S1812" i="10" s="1"/>
  <c r="R1852" i="10"/>
  <c r="AJ1854" i="10"/>
  <c r="AU1854" i="10"/>
  <c r="AM1851" i="10"/>
  <c r="AU1876" i="10"/>
  <c r="AU1882" i="10"/>
  <c r="AM1881" i="10"/>
  <c r="T1881" i="10"/>
  <c r="AV1886" i="10"/>
  <c r="AU1886" i="10"/>
  <c r="AO1903" i="10"/>
  <c r="AJ1904" i="10"/>
  <c r="BH1909" i="10"/>
  <c r="BM1909" i="10" s="1"/>
  <c r="AO1918" i="10"/>
  <c r="AN1918" i="10"/>
  <c r="BO1918" i="10"/>
  <c r="AN1919" i="10"/>
  <c r="AU1943" i="10"/>
  <c r="AM1942" i="10"/>
  <c r="AZ1944" i="10"/>
  <c r="AZ1942" i="10" s="1"/>
  <c r="AO1946" i="10"/>
  <c r="AN1946" i="10"/>
  <c r="AU2000" i="10"/>
  <c r="AJ2000" i="10"/>
  <c r="AV2002" i="10"/>
  <c r="AA2002" i="10"/>
  <c r="AN2009" i="10"/>
  <c r="AO2009" i="10"/>
  <c r="AV2037" i="10"/>
  <c r="AU2037" i="10"/>
  <c r="AV2039" i="10"/>
  <c r="AU2039" i="10"/>
  <c r="AR2043" i="10"/>
  <c r="AS2046" i="10"/>
  <c r="J2051" i="10"/>
  <c r="L2052" i="10"/>
  <c r="AU2065" i="10"/>
  <c r="AJ2065" i="10"/>
  <c r="BO2076" i="10"/>
  <c r="AO2076" i="10"/>
  <c r="AN2076" i="10"/>
  <c r="W2094" i="10"/>
  <c r="W2092" i="10" s="1"/>
  <c r="W2091" i="10" s="1"/>
  <c r="AN2114" i="10"/>
  <c r="AJ2142" i="10"/>
  <c r="AU2142" i="10"/>
  <c r="BH2168" i="10"/>
  <c r="BM2168" i="10" s="1"/>
  <c r="BH2182" i="10"/>
  <c r="AO2182" i="10"/>
  <c r="AN2182" i="10"/>
  <c r="BO2183" i="10"/>
  <c r="AN2183" i="10"/>
  <c r="AO2183" i="10"/>
  <c r="AO2184" i="10"/>
  <c r="BO2184" i="10"/>
  <c r="AN2184" i="10"/>
  <c r="AA2186" i="10"/>
  <c r="AV2186" i="10"/>
  <c r="AJ2200" i="10"/>
  <c r="AU2200" i="10"/>
  <c r="AJ2201" i="10"/>
  <c r="AU2201" i="10"/>
  <c r="R2209" i="10"/>
  <c r="S2209" i="10" s="1"/>
  <c r="S2210" i="10"/>
  <c r="P2246" i="10"/>
  <c r="P2245" i="10" s="1"/>
  <c r="AN2270" i="10"/>
  <c r="R2291" i="10"/>
  <c r="S2291" i="10" s="1"/>
  <c r="AM2293" i="10"/>
  <c r="AV2296" i="10"/>
  <c r="AU2296" i="10"/>
  <c r="AA2296" i="10"/>
  <c r="BA2301" i="10"/>
  <c r="BA2300" i="10" s="1"/>
  <c r="AO2325" i="10"/>
  <c r="AN2325" i="10"/>
  <c r="BO2325" i="10"/>
  <c r="BO2333" i="10"/>
  <c r="AO2333" i="10"/>
  <c r="AN2333" i="10"/>
  <c r="AA2421" i="10"/>
  <c r="AV2421" i="10"/>
  <c r="AA2430" i="10"/>
  <c r="AV2430" i="10"/>
  <c r="AO2516" i="10"/>
  <c r="AN2516" i="10"/>
  <c r="BO2516" i="10"/>
  <c r="AA2519" i="10"/>
  <c r="AV2519" i="10"/>
  <c r="AD2518" i="10"/>
  <c r="AU1092" i="10"/>
  <c r="AV1196" i="10"/>
  <c r="AA1196" i="10"/>
  <c r="AY1273" i="10"/>
  <c r="AY1272" i="10" s="1"/>
  <c r="AJ1454" i="10"/>
  <c r="AU1454" i="10"/>
  <c r="AA1820" i="10"/>
  <c r="AU1820" i="10"/>
  <c r="P1881" i="10"/>
  <c r="BO1883" i="10"/>
  <c r="AN1883" i="10"/>
  <c r="AO1883" i="10"/>
  <c r="BH1915" i="10"/>
  <c r="BM1915" i="10" s="1"/>
  <c r="BO1915" i="10" s="1"/>
  <c r="AS1913" i="10"/>
  <c r="AN1925" i="10"/>
  <c r="AO1925" i="10"/>
  <c r="AN1936" i="10"/>
  <c r="BO1936" i="10"/>
  <c r="AU1994" i="10"/>
  <c r="AV1994" i="10"/>
  <c r="AU2058" i="10"/>
  <c r="AZ2122" i="10"/>
  <c r="BA2122" i="10" s="1"/>
  <c r="AO2355" i="10"/>
  <c r="AN2355" i="10"/>
  <c r="BO2393" i="10"/>
  <c r="AO2393" i="10"/>
  <c r="AO61" i="10"/>
  <c r="AN61" i="10"/>
  <c r="U183" i="10"/>
  <c r="W184" i="10"/>
  <c r="W183" i="10" s="1"/>
  <c r="AU220" i="10"/>
  <c r="AS232" i="10"/>
  <c r="AO293" i="10"/>
  <c r="AN293" i="10"/>
  <c r="AA345" i="10"/>
  <c r="AV345" i="10"/>
  <c r="AU345" i="10"/>
  <c r="AN374" i="10"/>
  <c r="AU375" i="10"/>
  <c r="AJ375" i="10"/>
  <c r="P410" i="10"/>
  <c r="P409" i="10" s="1"/>
  <c r="V438" i="10"/>
  <c r="V437" i="10" s="1"/>
  <c r="V436" i="10" s="1"/>
  <c r="Q540" i="10"/>
  <c r="BO565" i="10"/>
  <c r="AN565" i="10"/>
  <c r="AU577" i="10"/>
  <c r="AJ598" i="10"/>
  <c r="AU598" i="10"/>
  <c r="AN602" i="10"/>
  <c r="AO602" i="10"/>
  <c r="AN631" i="10"/>
  <c r="AO631" i="10"/>
  <c r="AU711" i="10"/>
  <c r="AM710" i="10"/>
  <c r="AU774" i="10"/>
  <c r="AJ826" i="10"/>
  <c r="AU826" i="10"/>
  <c r="AU1017" i="10"/>
  <c r="AD1068" i="10"/>
  <c r="AA1069" i="10"/>
  <c r="AU1130" i="10"/>
  <c r="AJ1130" i="10"/>
  <c r="AA1145" i="10"/>
  <c r="AV1145" i="10"/>
  <c r="AU1145" i="10"/>
  <c r="AU1206" i="10"/>
  <c r="AO1224" i="10"/>
  <c r="AN1224" i="10"/>
  <c r="AJ1226" i="10"/>
  <c r="AU1226" i="10"/>
  <c r="AN1239" i="10"/>
  <c r="W1281" i="10"/>
  <c r="W1280" i="10" s="1"/>
  <c r="W1279" i="10" s="1"/>
  <c r="U1280" i="10"/>
  <c r="U1279" i="10" s="1"/>
  <c r="W1297" i="10"/>
  <c r="W1296" i="10" s="1"/>
  <c r="W1293" i="10" s="1"/>
  <c r="BA1315" i="10"/>
  <c r="AU1343" i="10"/>
  <c r="AM1342" i="10"/>
  <c r="U1399" i="10"/>
  <c r="BM1400" i="10"/>
  <c r="AA1413" i="10"/>
  <c r="AU1413" i="10"/>
  <c r="AJ1460" i="10"/>
  <c r="AU1460" i="10"/>
  <c r="AN1486" i="10"/>
  <c r="AN1492" i="10"/>
  <c r="AV1493" i="10"/>
  <c r="AU1493" i="10"/>
  <c r="U1534" i="10"/>
  <c r="W1535" i="10"/>
  <c r="W1534" i="10" s="1"/>
  <c r="AA1547" i="10"/>
  <c r="AV1547" i="10"/>
  <c r="AN1576" i="10"/>
  <c r="BH1576" i="10"/>
  <c r="BM1576" i="10" s="1"/>
  <c r="BO1576" i="10" s="1"/>
  <c r="AN1595" i="10"/>
  <c r="AN1653" i="10"/>
  <c r="AN1686" i="10"/>
  <c r="AY1765" i="10"/>
  <c r="AO1788" i="10"/>
  <c r="BO1788" i="10"/>
  <c r="AA1802" i="10"/>
  <c r="AU1802" i="10"/>
  <c r="AA1863" i="10"/>
  <c r="AV1863" i="10"/>
  <c r="AU1863" i="10"/>
  <c r="BO1921" i="10"/>
  <c r="AO1921" i="10"/>
  <c r="AN1921" i="10"/>
  <c r="AU1937" i="10"/>
  <c r="AJ1937" i="10"/>
  <c r="BA1986" i="10"/>
  <c r="BA1985" i="10" s="1"/>
  <c r="AV2131" i="10"/>
  <c r="AU2131" i="10"/>
  <c r="R2180" i="10"/>
  <c r="P2179" i="10"/>
  <c r="W2214" i="10"/>
  <c r="W2213" i="10" s="1"/>
  <c r="AO2219" i="10"/>
  <c r="AS2280" i="10"/>
  <c r="AN2350" i="10"/>
  <c r="BO2350" i="10"/>
  <c r="AO47" i="10"/>
  <c r="AN47" i="10"/>
  <c r="AN88" i="10"/>
  <c r="BO88" i="10"/>
  <c r="AN111" i="10"/>
  <c r="AU168" i="10"/>
  <c r="AN220" i="10"/>
  <c r="BA230" i="10"/>
  <c r="BA229" i="10" s="1"/>
  <c r="BA228" i="10" s="1"/>
  <c r="AD234" i="10"/>
  <c r="AV235" i="10"/>
  <c r="AN316" i="10"/>
  <c r="AO316" i="10"/>
  <c r="AN344" i="10"/>
  <c r="AN375" i="10"/>
  <c r="W439" i="10"/>
  <c r="AN457" i="10"/>
  <c r="AU511" i="10"/>
  <c r="BH514" i="10"/>
  <c r="BM514" i="10" s="1"/>
  <c r="AO514" i="10"/>
  <c r="AJ520" i="10"/>
  <c r="AU520" i="10"/>
  <c r="AS531" i="10"/>
  <c r="AN532" i="10"/>
  <c r="AA567" i="10"/>
  <c r="AV567" i="10"/>
  <c r="AO577" i="10"/>
  <c r="AN577" i="10"/>
  <c r="AN603" i="10"/>
  <c r="S612" i="10"/>
  <c r="AO617" i="10"/>
  <c r="AN617" i="10"/>
  <c r="AU624" i="10"/>
  <c r="AJ624" i="10"/>
  <c r="R636" i="10"/>
  <c r="AO646" i="10"/>
  <c r="AN646" i="10"/>
  <c r="BA651" i="10"/>
  <c r="AN654" i="10"/>
  <c r="AO654" i="10"/>
  <c r="AS667" i="10"/>
  <c r="AO679" i="10"/>
  <c r="AN679" i="10"/>
  <c r="BH688" i="10"/>
  <c r="BM688" i="10" s="1"/>
  <c r="AO688" i="10"/>
  <c r="AU692" i="10"/>
  <c r="BH694" i="10"/>
  <c r="BM694" i="10" s="1"/>
  <c r="AO694" i="10"/>
  <c r="AN694" i="10"/>
  <c r="AU696" i="10"/>
  <c r="AO701" i="10"/>
  <c r="BH701" i="10"/>
  <c r="BM701" i="10" s="1"/>
  <c r="AU702" i="10"/>
  <c r="AU706" i="10"/>
  <c r="AN711" i="10"/>
  <c r="AS716" i="10"/>
  <c r="AS721" i="10"/>
  <c r="AO733" i="10"/>
  <c r="AN733" i="10"/>
  <c r="AM749" i="10"/>
  <c r="AO754" i="10"/>
  <c r="AN754" i="10"/>
  <c r="AU757" i="10"/>
  <c r="AO763" i="10"/>
  <c r="BH763" i="10"/>
  <c r="BM763" i="10" s="1"/>
  <c r="AN774" i="10"/>
  <c r="AY788" i="10"/>
  <c r="AJ795" i="10"/>
  <c r="AU795" i="10"/>
  <c r="AN805" i="10"/>
  <c r="AO805" i="10"/>
  <c r="AU811" i="10"/>
  <c r="AN826" i="10"/>
  <c r="AN884" i="10"/>
  <c r="AU894" i="10"/>
  <c r="AU906" i="10"/>
  <c r="AN911" i="10"/>
  <c r="AO960" i="10"/>
  <c r="AN960" i="10"/>
  <c r="AU965" i="10"/>
  <c r="AN992" i="10"/>
  <c r="AO1002" i="10"/>
  <c r="AN1002" i="10"/>
  <c r="AN1003" i="10"/>
  <c r="AN1013" i="10"/>
  <c r="AN1017" i="10"/>
  <c r="AN1021" i="10"/>
  <c r="W1035" i="10"/>
  <c r="AV1053" i="10"/>
  <c r="AA1053" i="10"/>
  <c r="AO1092" i="10"/>
  <c r="AN1092" i="10"/>
  <c r="AU1117" i="10"/>
  <c r="AN1120" i="10"/>
  <c r="AO1120" i="10"/>
  <c r="AU1126" i="10"/>
  <c r="AN1130" i="10"/>
  <c r="AA1151" i="10"/>
  <c r="AV1151" i="10"/>
  <c r="AU1166" i="10"/>
  <c r="AN1175" i="10"/>
  <c r="AU1182" i="10"/>
  <c r="AJ1182" i="10"/>
  <c r="AO1194" i="10"/>
  <c r="AN1194" i="10"/>
  <c r="AO1195" i="10"/>
  <c r="BH1195" i="10"/>
  <c r="BM1195" i="10" s="1"/>
  <c r="AN1195" i="10"/>
  <c r="AO662" i="10"/>
  <c r="BO662" i="10"/>
  <c r="J665" i="10"/>
  <c r="BH668" i="10"/>
  <c r="BM668" i="10" s="1"/>
  <c r="AO668" i="10"/>
  <c r="AN668" i="10"/>
  <c r="AN692" i="10"/>
  <c r="AN696" i="10"/>
  <c r="AN702" i="10"/>
  <c r="AN714" i="10"/>
  <c r="AV734" i="10"/>
  <c r="AU734" i="10"/>
  <c r="AN751" i="10"/>
  <c r="R788" i="10"/>
  <c r="S788" i="10" s="1"/>
  <c r="BA789" i="10"/>
  <c r="BA788" i="10" s="1"/>
  <c r="AN795" i="10"/>
  <c r="AA796" i="10"/>
  <c r="AV796" i="10"/>
  <c r="AN819" i="10"/>
  <c r="AU865" i="10"/>
  <c r="U891" i="10"/>
  <c r="AN906" i="10"/>
  <c r="U940" i="10"/>
  <c r="AV945" i="10"/>
  <c r="AA945" i="10"/>
  <c r="AN965" i="10"/>
  <c r="AN978" i="10"/>
  <c r="AJ1014" i="10"/>
  <c r="AU1014" i="10"/>
  <c r="K1028" i="10"/>
  <c r="L1028" i="10" s="1"/>
  <c r="AA1054" i="10"/>
  <c r="AV1054" i="10"/>
  <c r="AU1065" i="10"/>
  <c r="AN1065" i="10"/>
  <c r="AU1086" i="10"/>
  <c r="AN1086" i="10"/>
  <c r="Q1089" i="10"/>
  <c r="AV1100" i="10"/>
  <c r="AA1100" i="10"/>
  <c r="AN1117" i="10"/>
  <c r="AU1123" i="10"/>
  <c r="AO1135" i="10"/>
  <c r="AN1135" i="10"/>
  <c r="AU1177" i="10"/>
  <c r="AO1181" i="10"/>
  <c r="AN1181" i="10"/>
  <c r="AN1182" i="10"/>
  <c r="AJ1197" i="10"/>
  <c r="AU1197" i="10"/>
  <c r="AN1226" i="10"/>
  <c r="AV1305" i="10"/>
  <c r="AA1305" i="10"/>
  <c r="AN1320" i="10"/>
  <c r="AO1331" i="10"/>
  <c r="AN1331" i="10"/>
  <c r="BH1376" i="10"/>
  <c r="BM1376" i="10" s="1"/>
  <c r="AN1408" i="10"/>
  <c r="AN1439" i="10"/>
  <c r="BH1486" i="10"/>
  <c r="BM1486" i="10" s="1"/>
  <c r="AJ1489" i="10"/>
  <c r="AU1489" i="10"/>
  <c r="BO1520" i="10"/>
  <c r="AN1520" i="10"/>
  <c r="AN1631" i="10"/>
  <c r="R1663" i="10"/>
  <c r="P1662" i="10"/>
  <c r="AU1669" i="10"/>
  <c r="AN1669" i="10"/>
  <c r="AU1682" i="10"/>
  <c r="AJ1682" i="10"/>
  <c r="AV1683" i="10"/>
  <c r="AA1683" i="10"/>
  <c r="AA1695" i="10"/>
  <c r="AV1695" i="10"/>
  <c r="Q1716" i="10"/>
  <c r="AJ1723" i="10"/>
  <c r="AU1723" i="10"/>
  <c r="BH1778" i="10"/>
  <c r="BM1778" i="10" s="1"/>
  <c r="BO1778" i="10" s="1"/>
  <c r="AO1778" i="10"/>
  <c r="T1823" i="10"/>
  <c r="AO1835" i="10"/>
  <c r="AN1835" i="10"/>
  <c r="BA1990" i="10"/>
  <c r="BA1989" i="10" s="1"/>
  <c r="AS58" i="10"/>
  <c r="R72" i="10"/>
  <c r="J77" i="10"/>
  <c r="AS214" i="10"/>
  <c r="P251" i="10"/>
  <c r="AN298" i="10"/>
  <c r="AV363" i="10"/>
  <c r="AA363" i="10"/>
  <c r="AV391" i="10"/>
  <c r="AD390" i="10"/>
  <c r="L397" i="10"/>
  <c r="AV439" i="10"/>
  <c r="AD438" i="10"/>
  <c r="AN442" i="10"/>
  <c r="AN452" i="10"/>
  <c r="U489" i="10"/>
  <c r="U488" i="10" s="1"/>
  <c r="AY531" i="10"/>
  <c r="AN542" i="10"/>
  <c r="AZ556" i="10"/>
  <c r="BA556" i="10" s="1"/>
  <c r="BO560" i="10"/>
  <c r="AN583" i="10"/>
  <c r="AU593" i="10"/>
  <c r="AJ614" i="10"/>
  <c r="AU614" i="10"/>
  <c r="AN614" i="10"/>
  <c r="AS619" i="10"/>
  <c r="AO620" i="10"/>
  <c r="AU659" i="10"/>
  <c r="AJ659" i="10"/>
  <c r="AS705" i="10"/>
  <c r="AS710" i="10"/>
  <c r="AU739" i="10"/>
  <c r="AU856" i="10"/>
  <c r="W892" i="10"/>
  <c r="W891" i="10" s="1"/>
  <c r="AU899" i="10"/>
  <c r="AO912" i="10"/>
  <c r="AN912" i="10"/>
  <c r="AN944" i="10"/>
  <c r="AO944" i="10"/>
  <c r="AN1004" i="10"/>
  <c r="AN1014" i="10"/>
  <c r="BA1033" i="10"/>
  <c r="AU1099" i="10"/>
  <c r="BO1102" i="10"/>
  <c r="AO1117" i="10"/>
  <c r="BO1117" i="10"/>
  <c r="AO1118" i="10"/>
  <c r="AN1118" i="10"/>
  <c r="AJ1124" i="10"/>
  <c r="AU1124" i="10"/>
  <c r="AO1170" i="10"/>
  <c r="AN1170" i="10"/>
  <c r="AV1187" i="10"/>
  <c r="AU1187" i="10"/>
  <c r="AA1230" i="10"/>
  <c r="AV1230" i="10"/>
  <c r="AO1255" i="10"/>
  <c r="AN1255" i="10"/>
  <c r="BO1255" i="10"/>
  <c r="AR1258" i="10"/>
  <c r="AV1263" i="10"/>
  <c r="AA1263" i="10"/>
  <c r="P1273" i="10"/>
  <c r="P1272" i="10" s="1"/>
  <c r="AU1281" i="10"/>
  <c r="AV1311" i="10"/>
  <c r="AA1311" i="10"/>
  <c r="AA1314" i="10"/>
  <c r="AV1314" i="10"/>
  <c r="AU1367" i="10"/>
  <c r="BH1386" i="10"/>
  <c r="BM1386" i="10" s="1"/>
  <c r="BO1386" i="10" s="1"/>
  <c r="AN1386" i="10"/>
  <c r="AO1424" i="10"/>
  <c r="AN1424" i="10"/>
  <c r="BO1519" i="10"/>
  <c r="BO1706" i="10"/>
  <c r="AO1706" i="10"/>
  <c r="AN1706" i="10"/>
  <c r="BO1730" i="10"/>
  <c r="W1769" i="10"/>
  <c r="W1765" i="10" s="1"/>
  <c r="AA6" i="10"/>
  <c r="AD5" i="10"/>
  <c r="AN16" i="10"/>
  <c r="AO16" i="10"/>
  <c r="AA27" i="10"/>
  <c r="AV27" i="10"/>
  <c r="AD29" i="10"/>
  <c r="R39" i="10"/>
  <c r="S39" i="10" s="1"/>
  <c r="BH47" i="10"/>
  <c r="BM47" i="10" s="1"/>
  <c r="AV64" i="10"/>
  <c r="AD70" i="10"/>
  <c r="AN79" i="10"/>
  <c r="BH79" i="10"/>
  <c r="AM81" i="10"/>
  <c r="BA81" i="10"/>
  <c r="BA80" i="10" s="1"/>
  <c r="BO97" i="10"/>
  <c r="AS121" i="10"/>
  <c r="BH139" i="10"/>
  <c r="BM139" i="10" s="1"/>
  <c r="BO139" i="10" s="1"/>
  <c r="BH142" i="10"/>
  <c r="BM142" i="10" s="1"/>
  <c r="AO142" i="10"/>
  <c r="AU169" i="10"/>
  <c r="AN184" i="10"/>
  <c r="AS183" i="10"/>
  <c r="AN186" i="10"/>
  <c r="BH186" i="10"/>
  <c r="AS185" i="10"/>
  <c r="AU197" i="10"/>
  <c r="BO203" i="10"/>
  <c r="AO203" i="10"/>
  <c r="AN203" i="10"/>
  <c r="U208" i="10"/>
  <c r="W209" i="10"/>
  <c r="W208" i="10" s="1"/>
  <c r="BA210" i="10"/>
  <c r="BA208" i="10" s="1"/>
  <c r="AU212" i="10"/>
  <c r="AA219" i="10"/>
  <c r="AD217" i="10"/>
  <c r="AV222" i="10"/>
  <c r="AD221" i="10"/>
  <c r="AO244" i="10"/>
  <c r="AN244" i="10"/>
  <c r="AU254" i="10"/>
  <c r="AO261" i="10"/>
  <c r="AN261" i="10"/>
  <c r="L268" i="10"/>
  <c r="J267" i="10"/>
  <c r="AM268" i="10"/>
  <c r="AU269" i="10"/>
  <c r="U281" i="10"/>
  <c r="AN286" i="10"/>
  <c r="AO286" i="10"/>
  <c r="AA331" i="10"/>
  <c r="AV331" i="10"/>
  <c r="AO346" i="10"/>
  <c r="AN346" i="10"/>
  <c r="AO352" i="10"/>
  <c r="AN352" i="10"/>
  <c r="AU372" i="10"/>
  <c r="AM371" i="10"/>
  <c r="AN403" i="10"/>
  <c r="AS402" i="10"/>
  <c r="BH403" i="10"/>
  <c r="BO408" i="10"/>
  <c r="BH422" i="10"/>
  <c r="BM422" i="10" s="1"/>
  <c r="BO422" i="10" s="1"/>
  <c r="AO426" i="10"/>
  <c r="AN426" i="10"/>
  <c r="AO431" i="10"/>
  <c r="AN431" i="10"/>
  <c r="AU442" i="10"/>
  <c r="AO460" i="10"/>
  <c r="BH460" i="10"/>
  <c r="BM460" i="10" s="1"/>
  <c r="BO460" i="10" s="1"/>
  <c r="AV467" i="10"/>
  <c r="R471" i="10"/>
  <c r="S471" i="10" s="1"/>
  <c r="L489" i="10"/>
  <c r="W528" i="10"/>
  <c r="U531" i="10"/>
  <c r="AV548" i="10"/>
  <c r="BO552" i="10"/>
  <c r="BH557" i="10"/>
  <c r="BM557" i="10" s="1"/>
  <c r="BO557" i="10" s="1"/>
  <c r="AU558" i="10"/>
  <c r="BO571" i="10"/>
  <c r="AV572" i="10"/>
  <c r="AV604" i="10"/>
  <c r="AV612" i="10"/>
  <c r="AD611" i="10"/>
  <c r="BO617" i="10"/>
  <c r="R619" i="10"/>
  <c r="S619" i="10" s="1"/>
  <c r="S620" i="10"/>
  <c r="AA630" i="10"/>
  <c r="AV630" i="10"/>
  <c r="AD629" i="10"/>
  <c r="AD635" i="10"/>
  <c r="AV636" i="10"/>
  <c r="AV637" i="10"/>
  <c r="AA645" i="10"/>
  <c r="AD644" i="10"/>
  <c r="BH646" i="10"/>
  <c r="BM646" i="10" s="1"/>
  <c r="AJ660" i="10"/>
  <c r="AU660" i="10"/>
  <c r="AO671" i="10"/>
  <c r="AN671" i="10"/>
  <c r="BH671" i="10"/>
  <c r="BM671" i="10" s="1"/>
  <c r="P681" i="10"/>
  <c r="AO689" i="10"/>
  <c r="BH689" i="10"/>
  <c r="BM689" i="10" s="1"/>
  <c r="BO689" i="10" s="1"/>
  <c r="AU690" i="10"/>
  <c r="BH711" i="10"/>
  <c r="AV712" i="10"/>
  <c r="AU714" i="10"/>
  <c r="AS729" i="10"/>
  <c r="BH730" i="10"/>
  <c r="AO746" i="10"/>
  <c r="AN746" i="10"/>
  <c r="BH746" i="10"/>
  <c r="BM746" i="10" s="1"/>
  <c r="AD749" i="10"/>
  <c r="AU750" i="10"/>
  <c r="AU751" i="10"/>
  <c r="AU759" i="10"/>
  <c r="AM758" i="10"/>
  <c r="AO778" i="10"/>
  <c r="AN778" i="10"/>
  <c r="BH778" i="10"/>
  <c r="BM778" i="10" s="1"/>
  <c r="BO778" i="10" s="1"/>
  <c r="BO796" i="10"/>
  <c r="AO796" i="10"/>
  <c r="AN796" i="10"/>
  <c r="BO826" i="10"/>
  <c r="AO832" i="10"/>
  <c r="AN832" i="10"/>
  <c r="AU836" i="10"/>
  <c r="AO848" i="10"/>
  <c r="AN848" i="10"/>
  <c r="AV853" i="10"/>
  <c r="AA853" i="10"/>
  <c r="BH858" i="10"/>
  <c r="AO858" i="10"/>
  <c r="AN858" i="10"/>
  <c r="AO862" i="10"/>
  <c r="BO862" i="10"/>
  <c r="AU863" i="10"/>
  <c r="AO866" i="10"/>
  <c r="AN866" i="10"/>
  <c r="AO876" i="10"/>
  <c r="AN876" i="10"/>
  <c r="AO878" i="10"/>
  <c r="AN878" i="10"/>
  <c r="AS877" i="10"/>
  <c r="BH878" i="10"/>
  <c r="AU879" i="10"/>
  <c r="AO889" i="10"/>
  <c r="AN889" i="10"/>
  <c r="AO895" i="10"/>
  <c r="BO895" i="10"/>
  <c r="AN903" i="10"/>
  <c r="BH903" i="10"/>
  <c r="BM903" i="10" s="1"/>
  <c r="AJ904" i="10"/>
  <c r="AU904" i="10"/>
  <c r="AV908" i="10"/>
  <c r="AU908" i="10"/>
  <c r="AO919" i="10"/>
  <c r="AN919" i="10"/>
  <c r="AV963" i="10"/>
  <c r="AA963" i="10"/>
  <c r="AU994" i="10"/>
  <c r="I303" i="11"/>
  <c r="M303" i="11"/>
  <c r="J303" i="11"/>
  <c r="AH303" i="11"/>
  <c r="Y303" i="11"/>
  <c r="AO1031" i="10"/>
  <c r="AN1031" i="10"/>
  <c r="BH1031" i="10"/>
  <c r="BM1031" i="10" s="1"/>
  <c r="BH1034" i="10"/>
  <c r="BM1034" i="10" s="1"/>
  <c r="AZ1040" i="10"/>
  <c r="BA1040" i="10" s="1"/>
  <c r="BA1043" i="10"/>
  <c r="AO1049" i="10"/>
  <c r="AN1049" i="10"/>
  <c r="AV1069" i="10"/>
  <c r="BH1087" i="10"/>
  <c r="BM1087" i="10" s="1"/>
  <c r="AN1087" i="10"/>
  <c r="AV1088" i="10"/>
  <c r="AU1088" i="10"/>
  <c r="BO1100" i="10"/>
  <c r="AO1100" i="10"/>
  <c r="AN1100" i="10"/>
  <c r="AV1112" i="10"/>
  <c r="AA1112" i="10"/>
  <c r="AO1114" i="10"/>
  <c r="BO1114" i="10"/>
  <c r="R1135" i="10"/>
  <c r="S1135" i="10" s="1"/>
  <c r="AV1146" i="10"/>
  <c r="AU1148" i="10"/>
  <c r="AA1148" i="10"/>
  <c r="AV1148" i="10"/>
  <c r="AO1151" i="10"/>
  <c r="BO1151" i="10"/>
  <c r="AU1161" i="10"/>
  <c r="AU1178" i="10"/>
  <c r="AN1217" i="10"/>
  <c r="AU1218" i="10"/>
  <c r="AV1232" i="10"/>
  <c r="AA1232" i="10"/>
  <c r="L1237" i="10"/>
  <c r="W1240" i="10"/>
  <c r="U1237" i="10"/>
  <c r="AU1242" i="10"/>
  <c r="AN1297" i="10"/>
  <c r="BH1297" i="10"/>
  <c r="AS1296" i="10"/>
  <c r="W1301" i="10"/>
  <c r="W1300" i="10" s="1"/>
  <c r="AO1305" i="10"/>
  <c r="AN1305" i="10"/>
  <c r="AO1310" i="10"/>
  <c r="AN1310" i="10"/>
  <c r="AO1311" i="10"/>
  <c r="AN1311" i="10"/>
  <c r="AU1338" i="10"/>
  <c r="AJ1338" i="10"/>
  <c r="AN1346" i="10"/>
  <c r="BH1346" i="10"/>
  <c r="AS1345" i="10"/>
  <c r="AO1346" i="10"/>
  <c r="AU1389" i="10"/>
  <c r="AJ1389" i="10"/>
  <c r="T369" i="11"/>
  <c r="M369" i="11"/>
  <c r="AH369" i="11"/>
  <c r="Y369" i="11"/>
  <c r="AE369" i="11"/>
  <c r="J369" i="11"/>
  <c r="I369" i="11"/>
  <c r="AU1403" i="10"/>
  <c r="AU1408" i="10"/>
  <c r="BH1420" i="10"/>
  <c r="BM1420" i="10" s="1"/>
  <c r="AO1420" i="10"/>
  <c r="BH1421" i="10"/>
  <c r="BM1421" i="10" s="1"/>
  <c r="BO1421" i="10" s="1"/>
  <c r="AO1421" i="10"/>
  <c r="AN1421" i="10"/>
  <c r="AA1432" i="10"/>
  <c r="AV1432" i="10"/>
  <c r="BO1444" i="10"/>
  <c r="AU1466" i="10"/>
  <c r="AU1467" i="10"/>
  <c r="AN1472" i="10"/>
  <c r="BH1472" i="10"/>
  <c r="BM1472" i="10" s="1"/>
  <c r="BO1472" i="10" s="1"/>
  <c r="AJ1481" i="10"/>
  <c r="AU1481" i="10"/>
  <c r="AJ1491" i="10"/>
  <c r="AU1491" i="10"/>
  <c r="AN1506" i="10"/>
  <c r="R1516" i="10"/>
  <c r="S1516" i="10" s="1"/>
  <c r="AN1529" i="10"/>
  <c r="AS1534" i="10"/>
  <c r="BH1535" i="10"/>
  <c r="AU1541" i="10"/>
  <c r="AN1561" i="10"/>
  <c r="T1562" i="10"/>
  <c r="AO1572" i="10"/>
  <c r="AN1572" i="10"/>
  <c r="BO1572" i="10"/>
  <c r="AO1606" i="10"/>
  <c r="AN1606" i="10"/>
  <c r="BH1606" i="10"/>
  <c r="BM1606" i="10" s="1"/>
  <c r="BO1606" i="10" s="1"/>
  <c r="Q1610" i="10"/>
  <c r="BO1614" i="10"/>
  <c r="AO1614" i="10"/>
  <c r="AN1614" i="10"/>
  <c r="BO1628" i="10"/>
  <c r="AO1628" i="10"/>
  <c r="AN1628" i="10"/>
  <c r="AO1635" i="10"/>
  <c r="AN1635" i="10"/>
  <c r="BH1635" i="10"/>
  <c r="BM1635" i="10" s="1"/>
  <c r="BO1635" i="10" s="1"/>
  <c r="W1636" i="10"/>
  <c r="R1642" i="10"/>
  <c r="S1642" i="10" s="1"/>
  <c r="AV1647" i="10"/>
  <c r="AA1647" i="10"/>
  <c r="AU1647" i="10"/>
  <c r="BO1680" i="10"/>
  <c r="AO1680" i="10"/>
  <c r="AN1680" i="10"/>
  <c r="BO1683" i="10"/>
  <c r="AO1683" i="10"/>
  <c r="AN1683" i="10"/>
  <c r="AN1695" i="10"/>
  <c r="AO1695" i="10"/>
  <c r="BO1695" i="10"/>
  <c r="AO1714" i="10"/>
  <c r="AN1714" i="10"/>
  <c r="BO1714" i="10"/>
  <c r="AO1724" i="10"/>
  <c r="AN1724" i="10"/>
  <c r="BO1724" i="10"/>
  <c r="AU1725" i="10"/>
  <c r="AN1725" i="10"/>
  <c r="BO1726" i="10"/>
  <c r="AO1726" i="10"/>
  <c r="AN1726" i="10"/>
  <c r="J1735" i="10"/>
  <c r="L1735" i="10" s="1"/>
  <c r="L1736" i="10"/>
  <c r="BO1738" i="10"/>
  <c r="AO1738" i="10"/>
  <c r="AN1738" i="10"/>
  <c r="BH1737" i="10"/>
  <c r="AU1749" i="10"/>
  <c r="AO1803" i="10"/>
  <c r="AN1803" i="10"/>
  <c r="AU1806" i="10"/>
  <c r="AV1815" i="10"/>
  <c r="AA1815" i="10"/>
  <c r="BO1816" i="10"/>
  <c r="AN1816" i="10"/>
  <c r="AO1816" i="10"/>
  <c r="U1881" i="10"/>
  <c r="W1883" i="10"/>
  <c r="W1881" i="10" s="1"/>
  <c r="R1909" i="10"/>
  <c r="S1909" i="10" s="1"/>
  <c r="AV1915" i="10"/>
  <c r="AA1915" i="10"/>
  <c r="T1942" i="10"/>
  <c r="AN1947" i="10"/>
  <c r="AN1966" i="10"/>
  <c r="AO1966" i="10"/>
  <c r="AU1967" i="10"/>
  <c r="AJ1967" i="10"/>
  <c r="AO1971" i="10"/>
  <c r="AN1971" i="10"/>
  <c r="AJ2014" i="10"/>
  <c r="AU2014" i="10"/>
  <c r="AV2028" i="10"/>
  <c r="AU2028" i="10"/>
  <c r="BA2035" i="10"/>
  <c r="BA2032" i="10" s="1"/>
  <c r="BA2031" i="10" s="1"/>
  <c r="BA2030" i="10" s="1"/>
  <c r="AV2071" i="10"/>
  <c r="AA2071" i="10"/>
  <c r="AU2071" i="10"/>
  <c r="L2092" i="10"/>
  <c r="J2091" i="10"/>
  <c r="AN2142" i="10"/>
  <c r="L2161" i="10"/>
  <c r="AV2171" i="10"/>
  <c r="AN2185" i="10"/>
  <c r="AS2199" i="10"/>
  <c r="L2211" i="10"/>
  <c r="Q2244" i="10"/>
  <c r="L2253" i="10"/>
  <c r="J2252" i="10"/>
  <c r="R2273" i="10"/>
  <c r="P2272" i="10"/>
  <c r="P2271" i="10" s="1"/>
  <c r="U2272" i="10"/>
  <c r="U2271" i="10" s="1"/>
  <c r="W2274" i="10"/>
  <c r="S2289" i="10"/>
  <c r="AN2317" i="10"/>
  <c r="BO2317" i="10"/>
  <c r="BO2319" i="10"/>
  <c r="AN2319" i="10"/>
  <c r="AO2334" i="10"/>
  <c r="BO2334" i="10"/>
  <c r="AJ2346" i="10"/>
  <c r="AU2346" i="10"/>
  <c r="BA2372" i="10"/>
  <c r="AV2414" i="10"/>
  <c r="AA2414" i="10"/>
  <c r="AA2429" i="10"/>
  <c r="AV2429" i="10"/>
  <c r="BO2434" i="10"/>
  <c r="AO2434" i="10"/>
  <c r="AN2434" i="10"/>
  <c r="AU2500" i="10"/>
  <c r="AM2499" i="10"/>
  <c r="AN2499" i="10" s="1"/>
  <c r="AJ2500" i="10"/>
  <c r="AN2500" i="10"/>
  <c r="AJ2519" i="10"/>
  <c r="AU2519" i="10"/>
  <c r="AM2518" i="10"/>
  <c r="AN2518" i="10" s="1"/>
  <c r="AN2519" i="10"/>
  <c r="P2351" i="10"/>
  <c r="R2351" i="10" s="1"/>
  <c r="S2351" i="10" s="1"/>
  <c r="AN2368" i="10"/>
  <c r="BO2368" i="10"/>
  <c r="AO2368" i="10"/>
  <c r="BO2424" i="10"/>
  <c r="AO2424" i="10"/>
  <c r="AN2424" i="10"/>
  <c r="AN2427" i="10"/>
  <c r="BO2427" i="10"/>
  <c r="AA2449" i="10"/>
  <c r="AV2449" i="10"/>
  <c r="AD2447" i="10"/>
  <c r="AV2450" i="10"/>
  <c r="AU2450" i="10"/>
  <c r="V2523" i="10"/>
  <c r="L2530" i="10"/>
  <c r="AU331" i="10"/>
  <c r="AU482" i="10"/>
  <c r="AJ482" i="10"/>
  <c r="AN546" i="10"/>
  <c r="AU573" i="10"/>
  <c r="AU599" i="10"/>
  <c r="AU620" i="10"/>
  <c r="AV634" i="10"/>
  <c r="AA634" i="10"/>
  <c r="AJ646" i="10"/>
  <c r="AU646" i="10"/>
  <c r="AU717" i="10"/>
  <c r="AA728" i="10"/>
  <c r="AM735" i="10"/>
  <c r="AU781" i="10"/>
  <c r="AJ785" i="10"/>
  <c r="AO787" i="10"/>
  <c r="AU796" i="10"/>
  <c r="AU805" i="10"/>
  <c r="AO816" i="10"/>
  <c r="AN816" i="10"/>
  <c r="AA861" i="10"/>
  <c r="AV861" i="10"/>
  <c r="AJ874" i="10"/>
  <c r="AN886" i="10"/>
  <c r="AA913" i="10"/>
  <c r="AU919" i="10"/>
  <c r="AN922" i="10"/>
  <c r="AU949" i="10"/>
  <c r="AN962" i="10"/>
  <c r="AO962" i="10"/>
  <c r="AU982" i="10"/>
  <c r="AJ990" i="10"/>
  <c r="AU997" i="10"/>
  <c r="AA1043" i="10"/>
  <c r="AV1043" i="10"/>
  <c r="AO1045" i="10"/>
  <c r="AN1045" i="10"/>
  <c r="AJ1090" i="10"/>
  <c r="AU1090" i="10"/>
  <c r="AA1106" i="10"/>
  <c r="AA1130" i="10"/>
  <c r="AO1138" i="10"/>
  <c r="AN1145" i="10"/>
  <c r="AO1145" i="10"/>
  <c r="AU1170" i="10"/>
  <c r="AO1173" i="10"/>
  <c r="AN1173" i="10"/>
  <c r="AU1184" i="10"/>
  <c r="AO1187" i="10"/>
  <c r="AN1187" i="10"/>
  <c r="AU1204" i="10"/>
  <c r="AO1210" i="10"/>
  <c r="AN1210" i="10"/>
  <c r="AU1215" i="10"/>
  <c r="P1237" i="10"/>
  <c r="AO1240" i="10"/>
  <c r="BO1240" i="10"/>
  <c r="AN1250" i="10"/>
  <c r="BO1250" i="10"/>
  <c r="AU1253" i="10"/>
  <c r="AA1254" i="10"/>
  <c r="AV1254" i="10"/>
  <c r="AU1254" i="10"/>
  <c r="AU1274" i="10"/>
  <c r="AJ1274" i="10"/>
  <c r="AU1277" i="10"/>
  <c r="Q1299" i="10"/>
  <c r="AJ1323" i="10"/>
  <c r="AM1322" i="10"/>
  <c r="AA1330" i="10"/>
  <c r="AV1330" i="10"/>
  <c r="AN1334" i="10"/>
  <c r="BH1334" i="10"/>
  <c r="AO1334" i="10"/>
  <c r="AZ1352" i="10"/>
  <c r="AZ1350" i="10" s="1"/>
  <c r="AY1350" i="10"/>
  <c r="BH1363" i="10"/>
  <c r="BM1363" i="10" s="1"/>
  <c r="AV1400" i="10"/>
  <c r="AD1399" i="10"/>
  <c r="AU1416" i="10"/>
  <c r="R1421" i="10"/>
  <c r="S1421" i="10" s="1"/>
  <c r="AD1449" i="10"/>
  <c r="T1473" i="10"/>
  <c r="AO1482" i="10"/>
  <c r="R1486" i="10"/>
  <c r="S1486" i="10" s="1"/>
  <c r="AU1504" i="10"/>
  <c r="AM1503" i="10"/>
  <c r="AO1512" i="10"/>
  <c r="AN1512" i="10"/>
  <c r="AJ1537" i="10"/>
  <c r="AU1537" i="10"/>
  <c r="AU1539" i="10"/>
  <c r="AV1549" i="10"/>
  <c r="AA1549" i="10"/>
  <c r="AU1574" i="10"/>
  <c r="AJ1580" i="10"/>
  <c r="AU1580" i="10"/>
  <c r="AV1591" i="10"/>
  <c r="AU1591" i="10"/>
  <c r="AD1590" i="10"/>
  <c r="AY1610" i="10"/>
  <c r="AU1616" i="10"/>
  <c r="AO1659" i="10"/>
  <c r="AN1659" i="10"/>
  <c r="AU1664" i="10"/>
  <c r="AJ1664" i="10"/>
  <c r="AU1666" i="10"/>
  <c r="AU1696" i="10"/>
  <c r="AU1737" i="10"/>
  <c r="AM1736" i="10"/>
  <c r="AV1748" i="10"/>
  <c r="AA1748" i="10"/>
  <c r="AU1771" i="10"/>
  <c r="AV1791" i="10"/>
  <c r="AA1791" i="10"/>
  <c r="AA1816" i="10"/>
  <c r="AV1816" i="10"/>
  <c r="AU1816" i="10"/>
  <c r="AU1833" i="10"/>
  <c r="AO1843" i="10"/>
  <c r="BO1843" i="10"/>
  <c r="AN1843" i="10"/>
  <c r="BH1854" i="10"/>
  <c r="BM1854" i="10" s="1"/>
  <c r="BO1854" i="10" s="1"/>
  <c r="AO1854" i="10"/>
  <c r="AN1854" i="10"/>
  <c r="AO1863" i="10"/>
  <c r="AN1863" i="10"/>
  <c r="AN1902" i="10"/>
  <c r="AO1902" i="10"/>
  <c r="AV1908" i="10"/>
  <c r="AU1908" i="10"/>
  <c r="AO1917" i="10"/>
  <c r="AN1917" i="10"/>
  <c r="BO1917" i="10"/>
  <c r="AU1970" i="10"/>
  <c r="AM1989" i="10"/>
  <c r="AJ1991" i="10"/>
  <c r="AJ1999" i="10"/>
  <c r="AU1999" i="10"/>
  <c r="AU2023" i="10"/>
  <c r="AN2023" i="10"/>
  <c r="BO2097" i="10"/>
  <c r="AN2097" i="10"/>
  <c r="AO2097" i="10"/>
  <c r="AU2120" i="10"/>
  <c r="AJ2120" i="10"/>
  <c r="AN2137" i="10"/>
  <c r="BH2137" i="10"/>
  <c r="BM2137" i="10" s="1"/>
  <c r="AO2137" i="10"/>
  <c r="L2146" i="10"/>
  <c r="J2145" i="10"/>
  <c r="L2145" i="10" s="1"/>
  <c r="AU2174" i="10"/>
  <c r="AA2182" i="10"/>
  <c r="AV2182" i="10"/>
  <c r="AD2181" i="10"/>
  <c r="AU2182" i="10"/>
  <c r="BA2203" i="10"/>
  <c r="BA2202" i="10" s="1"/>
  <c r="AY2202" i="10"/>
  <c r="V2264" i="10"/>
  <c r="P2283" i="10"/>
  <c r="P2282" i="10" s="1"/>
  <c r="R2284" i="10"/>
  <c r="BH2289" i="10"/>
  <c r="AS2288" i="10"/>
  <c r="AO2289" i="10"/>
  <c r="AN2289" i="10"/>
  <c r="AU2330" i="10"/>
  <c r="R2353" i="10"/>
  <c r="S2353" i="10" s="1"/>
  <c r="AO2375" i="10"/>
  <c r="AN2375" i="10"/>
  <c r="BO2375" i="10"/>
  <c r="AS2391" i="10"/>
  <c r="BO2402" i="10"/>
  <c r="AO2402" i="10"/>
  <c r="AN2402" i="10"/>
  <c r="AK91" i="11"/>
  <c r="AU299" i="10"/>
  <c r="AU552" i="10"/>
  <c r="AM29" i="10"/>
  <c r="AD39" i="10"/>
  <c r="AJ49" i="10"/>
  <c r="AD59" i="10"/>
  <c r="AU84" i="10"/>
  <c r="K119" i="10"/>
  <c r="AU122" i="10"/>
  <c r="AU171" i="10"/>
  <c r="AO194" i="10"/>
  <c r="AN194" i="10"/>
  <c r="BH201" i="10"/>
  <c r="BM201" i="10" s="1"/>
  <c r="BO201" i="10" s="1"/>
  <c r="AO201" i="10"/>
  <c r="AZ242" i="10"/>
  <c r="AU243" i="10"/>
  <c r="AJ243" i="10"/>
  <c r="AS248" i="10"/>
  <c r="Q266" i="10"/>
  <c r="J276" i="10"/>
  <c r="L276" i="10" s="1"/>
  <c r="L277" i="10"/>
  <c r="BA278" i="10"/>
  <c r="BA277" i="10" s="1"/>
  <c r="BA276" i="10" s="1"/>
  <c r="AN304" i="10"/>
  <c r="AO304" i="10"/>
  <c r="AU310" i="10"/>
  <c r="AA368" i="10"/>
  <c r="AU377" i="10"/>
  <c r="AD393" i="10"/>
  <c r="AU434" i="10"/>
  <c r="AU471" i="10"/>
  <c r="AU496" i="10"/>
  <c r="AA506" i="10"/>
  <c r="AZ510" i="10"/>
  <c r="AM531" i="10"/>
  <c r="AU541" i="10"/>
  <c r="AU560" i="10"/>
  <c r="AZ574" i="10"/>
  <c r="BA574" i="10" s="1"/>
  <c r="AN599" i="10"/>
  <c r="AU606" i="10"/>
  <c r="BA607" i="10"/>
  <c r="BA610" i="10"/>
  <c r="AY666" i="10"/>
  <c r="BH692" i="10"/>
  <c r="BM692" i="10" s="1"/>
  <c r="BO692" i="10" s="1"/>
  <c r="AO692" i="10"/>
  <c r="AO698" i="10"/>
  <c r="AN698" i="10"/>
  <c r="AO708" i="10"/>
  <c r="AN708" i="10"/>
  <c r="AU722" i="10"/>
  <c r="BH759" i="10"/>
  <c r="AS758" i="10"/>
  <c r="AU803" i="10"/>
  <c r="AN811" i="10"/>
  <c r="BH811" i="10"/>
  <c r="AJ820" i="10"/>
  <c r="AU820" i="10"/>
  <c r="AU835" i="10"/>
  <c r="AM891" i="10"/>
  <c r="BO894" i="10"/>
  <c r="AO894" i="10"/>
  <c r="AN894" i="10"/>
  <c r="AU902" i="10"/>
  <c r="AO915" i="10"/>
  <c r="AN915" i="10"/>
  <c r="AM940" i="10"/>
  <c r="AO973" i="10"/>
  <c r="AN973" i="10"/>
  <c r="AN984" i="10"/>
  <c r="AA985" i="10"/>
  <c r="AU1015" i="10"/>
  <c r="AJ1043" i="10"/>
  <c r="AO1051" i="10"/>
  <c r="AN1051" i="10"/>
  <c r="W1069" i="10"/>
  <c r="U1068" i="10"/>
  <c r="AA1072" i="10"/>
  <c r="AV1072" i="10"/>
  <c r="AU1074" i="10"/>
  <c r="AJ1164" i="10"/>
  <c r="AU1164" i="10"/>
  <c r="AN1184" i="10"/>
  <c r="AN1214" i="10"/>
  <c r="AO1214" i="10"/>
  <c r="R1238" i="10"/>
  <c r="AY1237" i="10"/>
  <c r="AU1248" i="10"/>
  <c r="AU1268" i="10"/>
  <c r="L1272" i="10"/>
  <c r="AN1277" i="10"/>
  <c r="AS1283" i="10"/>
  <c r="BH1284" i="10"/>
  <c r="AO1284" i="10"/>
  <c r="AN1284" i="10"/>
  <c r="Q1297" i="10"/>
  <c r="Q1296" i="10" s="1"/>
  <c r="Q1293" i="10" s="1"/>
  <c r="AM1296" i="10"/>
  <c r="AU1298" i="10"/>
  <c r="P1322" i="10"/>
  <c r="L1341" i="10"/>
  <c r="AN1353" i="10"/>
  <c r="AJ1364" i="10"/>
  <c r="AU1364" i="10"/>
  <c r="AV1369" i="10"/>
  <c r="AA1369" i="10"/>
  <c r="AO1371" i="10"/>
  <c r="AN1371" i="10"/>
  <c r="AA1389" i="10"/>
  <c r="AV1389" i="10"/>
  <c r="AO1401" i="10"/>
  <c r="BH1401" i="10"/>
  <c r="BM1401" i="10" s="1"/>
  <c r="BO1401" i="10" s="1"/>
  <c r="AV1411" i="10"/>
  <c r="AA1411" i="10"/>
  <c r="AU1430" i="10"/>
  <c r="AJ1430" i="10"/>
  <c r="AN1440" i="10"/>
  <c r="BO1440" i="10"/>
  <c r="AO1440" i="10"/>
  <c r="AO1441" i="10"/>
  <c r="AN1441" i="10"/>
  <c r="AO1446" i="10"/>
  <c r="BO1446" i="10"/>
  <c r="AN1479" i="10"/>
  <c r="AO1479" i="10"/>
  <c r="AJ1483" i="10"/>
  <c r="AU1483" i="10"/>
  <c r="AN1504" i="10"/>
  <c r="AU1516" i="10"/>
  <c r="AU1520" i="10"/>
  <c r="AJ1520" i="10"/>
  <c r="AO1523" i="10"/>
  <c r="AN1523" i="10"/>
  <c r="BO1523" i="10"/>
  <c r="Q1534" i="10"/>
  <c r="AU1551" i="10"/>
  <c r="AJ1551" i="10"/>
  <c r="AN1580" i="10"/>
  <c r="BA1611" i="10"/>
  <c r="BA1610" i="10" s="1"/>
  <c r="BA1592" i="10" s="1"/>
  <c r="AS1638" i="10"/>
  <c r="AN1666" i="10"/>
  <c r="AV1679" i="10"/>
  <c r="AA1679" i="10"/>
  <c r="AV1687" i="10"/>
  <c r="AA1687" i="10"/>
  <c r="W1691" i="10"/>
  <c r="W1689" i="10" s="1"/>
  <c r="U1689" i="10"/>
  <c r="AN1696" i="10"/>
  <c r="BO1698" i="10"/>
  <c r="AO1698" i="10"/>
  <c r="AN1698" i="10"/>
  <c r="AA1707" i="10"/>
  <c r="AV1707" i="10"/>
  <c r="AU1728" i="10"/>
  <c r="AU1733" i="10"/>
  <c r="AJ1733" i="10"/>
  <c r="AN1737" i="10"/>
  <c r="AO1742" i="10"/>
  <c r="AN1742" i="10"/>
  <c r="AV1744" i="10"/>
  <c r="AU1744" i="10"/>
  <c r="AM1765" i="10"/>
  <c r="AU1766" i="10"/>
  <c r="P1765" i="10"/>
  <c r="R1768" i="10"/>
  <c r="S1768" i="10" s="1"/>
  <c r="T1793" i="10"/>
  <c r="AO1826" i="10"/>
  <c r="AN1826" i="10"/>
  <c r="AN1833" i="10"/>
  <c r="AU1842" i="10"/>
  <c r="AA1842" i="10"/>
  <c r="AN1845" i="10"/>
  <c r="AA1849" i="10"/>
  <c r="AV1849" i="10"/>
  <c r="AU1858" i="10"/>
  <c r="AV1864" i="10"/>
  <c r="AU1864" i="10"/>
  <c r="W1879" i="10"/>
  <c r="W1878" i="10" s="1"/>
  <c r="AU1891" i="10"/>
  <c r="AV1891" i="10"/>
  <c r="AU1903" i="10"/>
  <c r="P1913" i="10"/>
  <c r="AU1950" i="10"/>
  <c r="P1985" i="10"/>
  <c r="R1986" i="10"/>
  <c r="AO1991" i="10"/>
  <c r="AN1991" i="10"/>
  <c r="AO2000" i="10"/>
  <c r="AN2000" i="10"/>
  <c r="AU2002" i="10"/>
  <c r="AV2018" i="10"/>
  <c r="AA2018" i="10"/>
  <c r="AO2081" i="10"/>
  <c r="AV2103" i="10"/>
  <c r="AA2103" i="10"/>
  <c r="AU2103" i="10"/>
  <c r="AV2104" i="10"/>
  <c r="AU2104" i="10"/>
  <c r="AN2120" i="10"/>
  <c r="AA2122" i="10"/>
  <c r="AU2123" i="10"/>
  <c r="AO2126" i="10"/>
  <c r="AO2144" i="10"/>
  <c r="P2146" i="10"/>
  <c r="P2145" i="10" s="1"/>
  <c r="AO2151" i="10"/>
  <c r="AN2151" i="10"/>
  <c r="AA2153" i="10"/>
  <c r="U2162" i="10"/>
  <c r="U2161" i="10" s="1"/>
  <c r="AO2173" i="10"/>
  <c r="BO2173" i="10"/>
  <c r="AU2199" i="10"/>
  <c r="AM2198" i="10"/>
  <c r="R2201" i="10"/>
  <c r="AN2229" i="10"/>
  <c r="AS2259" i="10"/>
  <c r="BH2260" i="10"/>
  <c r="AS2263" i="10"/>
  <c r="J2286" i="10"/>
  <c r="AO2290" i="10"/>
  <c r="AN2290" i="10"/>
  <c r="BO2290" i="10"/>
  <c r="AO2291" i="10"/>
  <c r="AN2291" i="10"/>
  <c r="AO2295" i="10"/>
  <c r="AN2295" i="10"/>
  <c r="AZ2299" i="10"/>
  <c r="AM2301" i="10"/>
  <c r="AU2302" i="10"/>
  <c r="AN2326" i="10"/>
  <c r="AV2329" i="10"/>
  <c r="AU2329" i="10"/>
  <c r="AN2330" i="10"/>
  <c r="AO2340" i="10"/>
  <c r="AN2340" i="10"/>
  <c r="BO2340" i="10"/>
  <c r="AV2365" i="10"/>
  <c r="AA2365" i="10"/>
  <c r="AO2367" i="10"/>
  <c r="BH2367" i="10"/>
  <c r="BM2367" i="10" s="1"/>
  <c r="AN2367" i="10"/>
  <c r="AJ2382" i="10"/>
  <c r="AU2382" i="10"/>
  <c r="AJ2448" i="10"/>
  <c r="AM2447" i="10"/>
  <c r="AU2448" i="10"/>
  <c r="AU2449" i="10"/>
  <c r="L2531" i="10"/>
  <c r="AU426" i="10"/>
  <c r="BA7" i="10"/>
  <c r="L120" i="10"/>
  <c r="AO125" i="10"/>
  <c r="AN125" i="10"/>
  <c r="AU166" i="10"/>
  <c r="AU183" i="10"/>
  <c r="AN188" i="10"/>
  <c r="BA270" i="10"/>
  <c r="L326" i="10"/>
  <c r="R392" i="10"/>
  <c r="AY391" i="10"/>
  <c r="AY390" i="10" s="1"/>
  <c r="BA392" i="10"/>
  <c r="BA391" i="10" s="1"/>
  <c r="BA390" i="10" s="1"/>
  <c r="AD402" i="10"/>
  <c r="AU402" i="10" s="1"/>
  <c r="W440" i="10"/>
  <c r="AU456" i="10"/>
  <c r="AN459" i="10"/>
  <c r="AJ588" i="10"/>
  <c r="AU588" i="10"/>
  <c r="W628" i="10"/>
  <c r="Y167" i="11"/>
  <c r="M167" i="11"/>
  <c r="I167" i="11"/>
  <c r="AH167" i="11"/>
  <c r="L644" i="10"/>
  <c r="U666" i="10"/>
  <c r="BA667" i="10"/>
  <c r="BA666" i="10" s="1"/>
  <c r="AO686" i="10"/>
  <c r="AN686" i="10"/>
  <c r="AY710" i="10"/>
  <c r="V758" i="10"/>
  <c r="AA833" i="10"/>
  <c r="AV833" i="10"/>
  <c r="R968" i="10"/>
  <c r="S968" i="10" s="1"/>
  <c r="R976" i="10"/>
  <c r="S976" i="10" s="1"/>
  <c r="R989" i="10"/>
  <c r="S989" i="10" s="1"/>
  <c r="AN1015" i="10"/>
  <c r="W1042" i="10"/>
  <c r="AV1133" i="10"/>
  <c r="AA1133" i="10"/>
  <c r="AJ1139" i="10"/>
  <c r="AU1139" i="10"/>
  <c r="R1148" i="10"/>
  <c r="S1148" i="10" s="1"/>
  <c r="AU1155" i="10"/>
  <c r="AU1157" i="10"/>
  <c r="AO1178" i="10"/>
  <c r="AN1178" i="10"/>
  <c r="R1213" i="10"/>
  <c r="S1213" i="10" s="1"/>
  <c r="AN1215" i="10"/>
  <c r="AO1228" i="10"/>
  <c r="AN1228" i="10"/>
  <c r="BA1238" i="10"/>
  <c r="BA1237" i="10" s="1"/>
  <c r="BH1244" i="10"/>
  <c r="BM1244" i="10" s="1"/>
  <c r="AN1248" i="10"/>
  <c r="AO1261" i="10"/>
  <c r="AN1261" i="10"/>
  <c r="AS1260" i="10"/>
  <c r="AY1266" i="10"/>
  <c r="AY1265" i="10" s="1"/>
  <c r="R1281" i="10"/>
  <c r="BA1284" i="10"/>
  <c r="AY1283" i="10"/>
  <c r="AY1282" i="10" s="1"/>
  <c r="AS1322" i="10"/>
  <c r="AO1323" i="10"/>
  <c r="AN1323" i="10"/>
  <c r="R1328" i="10"/>
  <c r="S1328" i="10" s="1"/>
  <c r="AU1330" i="10"/>
  <c r="BA1334" i="10"/>
  <c r="BA1333" i="10" s="1"/>
  <c r="AY1333" i="10"/>
  <c r="BO1335" i="10"/>
  <c r="AN1335" i="10"/>
  <c r="AO1342" i="10"/>
  <c r="AS1341" i="10"/>
  <c r="AN1358" i="10"/>
  <c r="AO1358" i="10"/>
  <c r="AN1364" i="10"/>
  <c r="BH1374" i="10"/>
  <c r="BM1374" i="10" s="1"/>
  <c r="BO1374" i="10" s="1"/>
  <c r="AO1374" i="10"/>
  <c r="AN1374" i="10"/>
  <c r="AV1442" i="10"/>
  <c r="AA1442" i="10"/>
  <c r="AU1459" i="10"/>
  <c r="R1475" i="10"/>
  <c r="R1482" i="10"/>
  <c r="S1482" i="10" s="1"/>
  <c r="AA1502" i="10"/>
  <c r="AV1502" i="10"/>
  <c r="AO1504" i="10"/>
  <c r="AJ1513" i="10"/>
  <c r="AU1513" i="10"/>
  <c r="AU1524" i="10"/>
  <c r="T1534" i="10"/>
  <c r="AV1545" i="10"/>
  <c r="AU1545" i="10"/>
  <c r="AV1552" i="10"/>
  <c r="AA1552" i="10"/>
  <c r="AD1562" i="10"/>
  <c r="AV1563" i="10"/>
  <c r="R1594" i="10"/>
  <c r="P1593" i="10"/>
  <c r="AY1593" i="10"/>
  <c r="AV1595" i="10"/>
  <c r="AD1593" i="10"/>
  <c r="AN1612" i="10"/>
  <c r="BH1612" i="10"/>
  <c r="BM1612" i="10" s="1"/>
  <c r="BO1612" i="10" s="1"/>
  <c r="AN1621" i="10"/>
  <c r="AO1655" i="10"/>
  <c r="AN1655" i="10"/>
  <c r="BO1655" i="10"/>
  <c r="AO1672" i="10"/>
  <c r="AN1672" i="10"/>
  <c r="BO1672" i="10"/>
  <c r="AM1689" i="10"/>
  <c r="AJ1690" i="10"/>
  <c r="AO1728" i="10"/>
  <c r="AN1728" i="10"/>
  <c r="BO1728" i="10"/>
  <c r="AN1729" i="10"/>
  <c r="AO1729" i="10"/>
  <c r="AO1743" i="10"/>
  <c r="AN1743" i="10"/>
  <c r="R1759" i="10"/>
  <c r="S1759" i="10" s="1"/>
  <c r="AN1766" i="10"/>
  <c r="AV1779" i="10"/>
  <c r="AU1779" i="10"/>
  <c r="AU1791" i="10"/>
  <c r="AY1793" i="10"/>
  <c r="AU1794" i="10"/>
  <c r="AM1793" i="10"/>
  <c r="AO1814" i="10"/>
  <c r="BO1814" i="10"/>
  <c r="AN1858" i="10"/>
  <c r="AN1884" i="10"/>
  <c r="AA1904" i="10"/>
  <c r="AV1904" i="10"/>
  <c r="AO1914" i="10"/>
  <c r="AN1914" i="10"/>
  <c r="AV1922" i="10"/>
  <c r="AU1922" i="10"/>
  <c r="AN1950" i="10"/>
  <c r="AO1970" i="10"/>
  <c r="AN1970" i="10"/>
  <c r="AV1977" i="10"/>
  <c r="AA1977" i="10"/>
  <c r="S1990" i="10"/>
  <c r="AY1989" i="10"/>
  <c r="AU1991" i="10"/>
  <c r="AO1999" i="10"/>
  <c r="AN1999" i="10"/>
  <c r="AO2004" i="10"/>
  <c r="AN2004" i="10"/>
  <c r="AO2008" i="10"/>
  <c r="AN2008" i="10"/>
  <c r="AN2019" i="10"/>
  <c r="AO2019" i="10"/>
  <c r="AD2052" i="10"/>
  <c r="AV2054" i="10"/>
  <c r="AU2054" i="10"/>
  <c r="AA2054" i="10"/>
  <c r="AY2092" i="10"/>
  <c r="AY2091" i="10" s="1"/>
  <c r="AZ2118" i="10"/>
  <c r="BA2118" i="10" s="1"/>
  <c r="AN2125" i="10"/>
  <c r="BH2125" i="10"/>
  <c r="BM2125" i="10" s="1"/>
  <c r="BO2125" i="10" s="1"/>
  <c r="BO2144" i="10"/>
  <c r="AV2155" i="10"/>
  <c r="AU2155" i="10"/>
  <c r="BH2208" i="10"/>
  <c r="AO2208" i="10"/>
  <c r="AN2208" i="10"/>
  <c r="AU2216" i="10"/>
  <c r="AM2215" i="10"/>
  <c r="AJ2228" i="10"/>
  <c r="AU2228" i="10"/>
  <c r="W2248" i="10"/>
  <c r="W2246" i="10" s="1"/>
  <c r="W2245" i="10" s="1"/>
  <c r="U2246" i="10"/>
  <c r="U2245" i="10" s="1"/>
  <c r="BH2256" i="10"/>
  <c r="BH2255" i="10" s="1"/>
  <c r="BM2257" i="10"/>
  <c r="AD2272" i="10"/>
  <c r="AV2273" i="10"/>
  <c r="AS2297" i="10"/>
  <c r="BH2295" i="10" s="1"/>
  <c r="U2348" i="10"/>
  <c r="AU2349" i="10"/>
  <c r="AD2348" i="10"/>
  <c r="AV2349" i="10"/>
  <c r="BO2366" i="10"/>
  <c r="AO2366" i="10"/>
  <c r="AN2366" i="10"/>
  <c r="BO2398" i="10"/>
  <c r="AO2398" i="10"/>
  <c r="AN2398" i="10"/>
  <c r="AO2399" i="10"/>
  <c r="AN2399" i="10"/>
  <c r="BO2399" i="10"/>
  <c r="L2511" i="10"/>
  <c r="J2510" i="10"/>
  <c r="L2510" i="10" s="1"/>
  <c r="AV2512" i="10"/>
  <c r="AU2512" i="10"/>
  <c r="AD2511" i="10"/>
  <c r="I362" i="11"/>
  <c r="J362" i="11"/>
  <c r="M362" i="11"/>
  <c r="AH362" i="11"/>
  <c r="Y362" i="11"/>
  <c r="BH2039" i="10"/>
  <c r="BM2039" i="10" s="1"/>
  <c r="AN2039" i="10"/>
  <c r="AO2039" i="10"/>
  <c r="W2053" i="10"/>
  <c r="W2052" i="10" s="1"/>
  <c r="W2051" i="10" s="1"/>
  <c r="W2050" i="10" s="1"/>
  <c r="U2052" i="10"/>
  <c r="U2051" i="10" s="1"/>
  <c r="U2050" i="10" s="1"/>
  <c r="BH2108" i="10"/>
  <c r="BM2108" i="10" s="1"/>
  <c r="BO2108" i="10" s="1"/>
  <c r="AO2108" i="10"/>
  <c r="AN2108" i="10"/>
  <c r="AO2115" i="10"/>
  <c r="AN2115" i="10"/>
  <c r="AU2117" i="10"/>
  <c r="AZ2144" i="10"/>
  <c r="BA2144" i="10" s="1"/>
  <c r="BH2147" i="10"/>
  <c r="AS2146" i="10"/>
  <c r="AN2201" i="10"/>
  <c r="K2204" i="10"/>
  <c r="AA2224" i="10"/>
  <c r="AD2223" i="10"/>
  <c r="AA2247" i="10"/>
  <c r="AD2246" i="10"/>
  <c r="AV2247" i="10"/>
  <c r="AA2248" i="10"/>
  <c r="AU2248" i="10"/>
  <c r="AV2248" i="10"/>
  <c r="AV2263" i="10"/>
  <c r="AA2263" i="10"/>
  <c r="AR2264" i="10"/>
  <c r="AO2269" i="10"/>
  <c r="AS2268" i="10"/>
  <c r="AA2306" i="10"/>
  <c r="AV2306" i="10"/>
  <c r="AO2343" i="10"/>
  <c r="AN2343" i="10"/>
  <c r="BO2343" i="10"/>
  <c r="AO2346" i="10"/>
  <c r="BO2346" i="10"/>
  <c r="AO2392" i="10"/>
  <c r="BO2392" i="10"/>
  <c r="AV2406" i="10"/>
  <c r="AA2406" i="10"/>
  <c r="AJ2407" i="10"/>
  <c r="AU2407" i="10"/>
  <c r="AJ2467" i="10"/>
  <c r="AU2467" i="10"/>
  <c r="AN2467" i="10"/>
  <c r="AR2502" i="10"/>
  <c r="AR2501" i="10" s="1"/>
  <c r="AU2507" i="10"/>
  <c r="AV2507" i="10"/>
  <c r="AD2504" i="10"/>
  <c r="AL148" i="11"/>
  <c r="AL147" i="11" s="1"/>
  <c r="AF147" i="11"/>
  <c r="AU539" i="10"/>
  <c r="W542" i="10"/>
  <c r="U540" i="10"/>
  <c r="AU626" i="10"/>
  <c r="P715" i="10"/>
  <c r="AU821" i="10"/>
  <c r="AU898" i="10"/>
  <c r="AN1011" i="10"/>
  <c r="AU1094" i="10"/>
  <c r="AN1099" i="10"/>
  <c r="AN1111" i="10"/>
  <c r="AN1132" i="10"/>
  <c r="AN1196" i="10"/>
  <c r="AU1224" i="10"/>
  <c r="AN1241" i="10"/>
  <c r="AN1267" i="10"/>
  <c r="AN1270" i="10"/>
  <c r="AO1270" i="10"/>
  <c r="AS1281" i="10"/>
  <c r="AU1284" i="10"/>
  <c r="AM1283" i="10"/>
  <c r="AU1327" i="10"/>
  <c r="P1333" i="10"/>
  <c r="AO1373" i="10"/>
  <c r="AU1404" i="10"/>
  <c r="AN1427" i="10"/>
  <c r="AO1432" i="10"/>
  <c r="AV1438" i="10"/>
  <c r="AA1438" i="10"/>
  <c r="V1448" i="10"/>
  <c r="V1348" i="10" s="1"/>
  <c r="AU1450" i="10"/>
  <c r="AO1452" i="10"/>
  <c r="AN1465" i="10"/>
  <c r="AU1485" i="10"/>
  <c r="AO1489" i="10"/>
  <c r="AN1489" i="10"/>
  <c r="AN1509" i="10"/>
  <c r="AA1519" i="10"/>
  <c r="AN1524" i="10"/>
  <c r="AY1534" i="10"/>
  <c r="AA1542" i="10"/>
  <c r="AN1548" i="10"/>
  <c r="R1552" i="10"/>
  <c r="S1552" i="10" s="1"/>
  <c r="AA1564" i="10"/>
  <c r="AO1565" i="10"/>
  <c r="AU1578" i="10"/>
  <c r="AO1598" i="10"/>
  <c r="AN1598" i="10"/>
  <c r="AU1603" i="10"/>
  <c r="AO1605" i="10"/>
  <c r="BO1605" i="10"/>
  <c r="AA1606" i="10"/>
  <c r="AA1609" i="10"/>
  <c r="AA1611" i="10"/>
  <c r="AV1611" i="10"/>
  <c r="AU1613" i="10"/>
  <c r="AJ1624" i="10"/>
  <c r="AU1624" i="10"/>
  <c r="AN1626" i="10"/>
  <c r="AV1638" i="10"/>
  <c r="AD1636" i="10"/>
  <c r="AO1648" i="10"/>
  <c r="AN1648" i="10"/>
  <c r="BO1648" i="10"/>
  <c r="AN1652" i="10"/>
  <c r="Q1662" i="10"/>
  <c r="R1683" i="10"/>
  <c r="S1683" i="10" s="1"/>
  <c r="BA1691" i="10"/>
  <c r="BA1689" i="10" s="1"/>
  <c r="AY1689" i="10"/>
  <c r="AU1707" i="10"/>
  <c r="AU1721" i="10"/>
  <c r="AJ1721" i="10"/>
  <c r="BH1750" i="10"/>
  <c r="BM1750" i="10" s="1"/>
  <c r="AO1759" i="10"/>
  <c r="R1761" i="10"/>
  <c r="S1761" i="10" s="1"/>
  <c r="AO1764" i="10"/>
  <c r="AN1774" i="10"/>
  <c r="AN1777" i="10"/>
  <c r="AO1779" i="10"/>
  <c r="AN1779" i="10"/>
  <c r="AV1780" i="10"/>
  <c r="AA1780" i="10"/>
  <c r="AO1807" i="10"/>
  <c r="AO1810" i="10"/>
  <c r="BO1810" i="10"/>
  <c r="AA1811" i="10"/>
  <c r="AU1835" i="10"/>
  <c r="AU1849" i="10"/>
  <c r="AJ1862" i="10"/>
  <c r="AU1862" i="10"/>
  <c r="AN1879" i="10"/>
  <c r="AO1886" i="10"/>
  <c r="AJ1892" i="10"/>
  <c r="AA1914" i="10"/>
  <c r="BO1916" i="10"/>
  <c r="AO1916" i="10"/>
  <c r="AN1916" i="10"/>
  <c r="AA1920" i="10"/>
  <c r="AV1920" i="10"/>
  <c r="AA1923" i="10"/>
  <c r="AO1927" i="10"/>
  <c r="AU1929" i="10"/>
  <c r="AA1937" i="10"/>
  <c r="AO1944" i="10"/>
  <c r="AN1957" i="10"/>
  <c r="AO1957" i="10"/>
  <c r="AU1961" i="10"/>
  <c r="BH1975" i="10"/>
  <c r="AO1975" i="10"/>
  <c r="AN1975" i="10"/>
  <c r="AN1996" i="10"/>
  <c r="AO1997" i="10"/>
  <c r="AN1998" i="10"/>
  <c r="AN2002" i="10"/>
  <c r="AV2005" i="10"/>
  <c r="AU2005" i="10"/>
  <c r="AV2010" i="10"/>
  <c r="AA2010" i="10"/>
  <c r="AO2016" i="10"/>
  <c r="AN2016" i="10"/>
  <c r="BM2033" i="10"/>
  <c r="AY2043" i="10"/>
  <c r="AD2048" i="10"/>
  <c r="AV2049" i="10"/>
  <c r="AN2074" i="10"/>
  <c r="AA2098" i="10"/>
  <c r="AO2109" i="10"/>
  <c r="AN2109" i="10"/>
  <c r="AJ2110" i="10"/>
  <c r="BH2113" i="10"/>
  <c r="BM2113" i="10" s="1"/>
  <c r="BO2113" i="10" s="1"/>
  <c r="AN2113" i="10"/>
  <c r="AJ2128" i="10"/>
  <c r="AU2128" i="10"/>
  <c r="AA2139" i="10"/>
  <c r="AV2139" i="10"/>
  <c r="AV2140" i="10"/>
  <c r="AU2140" i="10"/>
  <c r="AY2146" i="10"/>
  <c r="AY2145" i="10" s="1"/>
  <c r="BA2147" i="10"/>
  <c r="AO2149" i="10"/>
  <c r="AZ2152" i="10"/>
  <c r="AV2158" i="10"/>
  <c r="AA2158" i="10"/>
  <c r="AU2158" i="10"/>
  <c r="AN2165" i="10"/>
  <c r="AU2172" i="10"/>
  <c r="AJ2172" i="10"/>
  <c r="AN2190" i="10"/>
  <c r="BH2190" i="10"/>
  <c r="BM2190" i="10" s="1"/>
  <c r="BO2190" i="10" s="1"/>
  <c r="AO2190" i="10"/>
  <c r="AU2225" i="10"/>
  <c r="AJ2225" i="10"/>
  <c r="AM2246" i="10"/>
  <c r="AM2265" i="10"/>
  <c r="AV2290" i="10"/>
  <c r="AU2290" i="10"/>
  <c r="P2294" i="10"/>
  <c r="P2293" i="10" s="1"/>
  <c r="P2292" i="10" s="1"/>
  <c r="AO2323" i="10"/>
  <c r="AO2327" i="10"/>
  <c r="AN2327" i="10"/>
  <c r="AU2328" i="10"/>
  <c r="AN2335" i="10"/>
  <c r="BO2345" i="10"/>
  <c r="AO2345" i="10"/>
  <c r="AS2351" i="10"/>
  <c r="AJ2356" i="10"/>
  <c r="AJ2361" i="10"/>
  <c r="W2384" i="10"/>
  <c r="W2383" i="10" s="1"/>
  <c r="BA2389" i="10"/>
  <c r="AY2388" i="10"/>
  <c r="AU2398" i="10"/>
  <c r="AJ2398" i="10"/>
  <c r="AN2403" i="10"/>
  <c r="AA2405" i="10"/>
  <c r="AV2405" i="10"/>
  <c r="AN2407" i="10"/>
  <c r="AO2441" i="10"/>
  <c r="BO2441" i="10"/>
  <c r="BO2444" i="10"/>
  <c r="AN2444" i="10"/>
  <c r="AN2457" i="10"/>
  <c r="BO2457" i="10"/>
  <c r="AO2457" i="10"/>
  <c r="BO2458" i="10"/>
  <c r="AN2458" i="10"/>
  <c r="AA2466" i="10"/>
  <c r="AV2466" i="10"/>
  <c r="AO2472" i="10"/>
  <c r="AN2472" i="10"/>
  <c r="BH2472" i="10"/>
  <c r="BM2472" i="10" s="1"/>
  <c r="P113" i="10"/>
  <c r="P112" i="10" s="1"/>
  <c r="AU40" i="10"/>
  <c r="AU64" i="10"/>
  <c r="L66" i="10"/>
  <c r="W123" i="10"/>
  <c r="AU136" i="10"/>
  <c r="Q180" i="10"/>
  <c r="P247" i="10"/>
  <c r="P257" i="10"/>
  <c r="AU262" i="10"/>
  <c r="P268" i="10"/>
  <c r="P267" i="10" s="1"/>
  <c r="P326" i="10"/>
  <c r="P325" i="10" s="1"/>
  <c r="AZ326" i="10"/>
  <c r="AZ325" i="10" s="1"/>
  <c r="P416" i="10"/>
  <c r="P415" i="10" s="1"/>
  <c r="AU463" i="10"/>
  <c r="BA542" i="10"/>
  <c r="BA555" i="10"/>
  <c r="AU589" i="10"/>
  <c r="U621" i="10"/>
  <c r="P675" i="10"/>
  <c r="R717" i="10"/>
  <c r="AU770" i="10"/>
  <c r="AS789" i="10"/>
  <c r="AU841" i="10"/>
  <c r="AU968" i="10"/>
  <c r="AJ977" i="10"/>
  <c r="AJ989" i="10"/>
  <c r="BA1036" i="10"/>
  <c r="AA1048" i="10"/>
  <c r="AU1140" i="10"/>
  <c r="AJ1150" i="10"/>
  <c r="R1155" i="10"/>
  <c r="S1155" i="10" s="1"/>
  <c r="AA1213" i="10"/>
  <c r="R1218" i="10"/>
  <c r="S1218" i="10" s="1"/>
  <c r="AA1234" i="10"/>
  <c r="AJ1236" i="10"/>
  <c r="AJ1244" i="10"/>
  <c r="AS1307" i="10"/>
  <c r="AU1316" i="10"/>
  <c r="U1322" i="10"/>
  <c r="AO1327" i="10"/>
  <c r="AN1327" i="10"/>
  <c r="AA1340" i="10"/>
  <c r="W1346" i="10"/>
  <c r="W1345" i="10" s="1"/>
  <c r="W1344" i="10" s="1"/>
  <c r="U1345" i="10"/>
  <c r="U1344" i="10" s="1"/>
  <c r="Q1350" i="10"/>
  <c r="AA1361" i="10"/>
  <c r="R1370" i="10"/>
  <c r="S1370" i="10" s="1"/>
  <c r="AJ1396" i="10"/>
  <c r="AN1398" i="10"/>
  <c r="AO1410" i="10"/>
  <c r="R1416" i="10"/>
  <c r="S1416" i="10" s="1"/>
  <c r="AV1428" i="10"/>
  <c r="AA1428" i="10"/>
  <c r="R1444" i="10"/>
  <c r="S1444" i="10" s="1"/>
  <c r="AN1450" i="10"/>
  <c r="AO1454" i="10"/>
  <c r="AN1454" i="10"/>
  <c r="AJ1455" i="10"/>
  <c r="AA1458" i="10"/>
  <c r="R1459" i="10"/>
  <c r="S1459" i="10" s="1"/>
  <c r="R1467" i="10"/>
  <c r="S1467" i="10" s="1"/>
  <c r="AU1470" i="10"/>
  <c r="AO1474" i="10"/>
  <c r="AJ1475" i="10"/>
  <c r="AN1485" i="10"/>
  <c r="AO1498" i="10"/>
  <c r="BO1498" i="10"/>
  <c r="AJ1522" i="10"/>
  <c r="AU1522" i="10"/>
  <c r="AU1536" i="10"/>
  <c r="AJ1546" i="10"/>
  <c r="AU1546" i="10"/>
  <c r="R1567" i="10"/>
  <c r="S1567" i="10" s="1"/>
  <c r="AJ1573" i="10"/>
  <c r="AA1576" i="10"/>
  <c r="AU1576" i="10"/>
  <c r="AU1587" i="10"/>
  <c r="AO1601" i="10"/>
  <c r="AN1601" i="10"/>
  <c r="BH1601" i="10"/>
  <c r="BM1601" i="10" s="1"/>
  <c r="BO1601" i="10" s="1"/>
  <c r="AO1616" i="10"/>
  <c r="BO1616" i="10"/>
  <c r="AN1616" i="10"/>
  <c r="AA1618" i="10"/>
  <c r="AV1618" i="10"/>
  <c r="AA1620" i="10"/>
  <c r="AO1626" i="10"/>
  <c r="AJ1642" i="10"/>
  <c r="AU1645" i="10"/>
  <c r="AD1662" i="10"/>
  <c r="AA1705" i="10"/>
  <c r="AU1732" i="10"/>
  <c r="T1736" i="10"/>
  <c r="AA1757" i="10"/>
  <c r="AJ1767" i="10"/>
  <c r="AO1777" i="10"/>
  <c r="AJ1780" i="10"/>
  <c r="AA1784" i="10"/>
  <c r="AO1794" i="10"/>
  <c r="AN1794" i="10"/>
  <c r="BH1794" i="10"/>
  <c r="AA1836" i="10"/>
  <c r="AV1836" i="10"/>
  <c r="AU1836" i="10"/>
  <c r="AO1838" i="10"/>
  <c r="AN1838" i="10"/>
  <c r="BH1838" i="10"/>
  <c r="BM1838" i="10" s="1"/>
  <c r="BO1838" i="10" s="1"/>
  <c r="AO1859" i="10"/>
  <c r="AN1859" i="10"/>
  <c r="AO1864" i="10"/>
  <c r="AN1864" i="10"/>
  <c r="BH1864" i="10"/>
  <c r="BM1864" i="10" s="1"/>
  <c r="BO1864" i="10" s="1"/>
  <c r="AO1869" i="10"/>
  <c r="AN1869" i="10"/>
  <c r="AU1870" i="10"/>
  <c r="AJ1873" i="10"/>
  <c r="AO1879" i="10"/>
  <c r="AJ1887" i="10"/>
  <c r="AU1887" i="10"/>
  <c r="AJ1897" i="10"/>
  <c r="R1900" i="10"/>
  <c r="S1900" i="10" s="1"/>
  <c r="R1908" i="10"/>
  <c r="S1908" i="10" s="1"/>
  <c r="AJ1910" i="10"/>
  <c r="AJ1920" i="10"/>
  <c r="AO1922" i="10"/>
  <c r="AN1922" i="10"/>
  <c r="AA1926" i="10"/>
  <c r="AV1926" i="10"/>
  <c r="AA1934" i="10"/>
  <c r="AA1945" i="10"/>
  <c r="AO1951" i="10"/>
  <c r="AO1954" i="10"/>
  <c r="AU1958" i="10"/>
  <c r="R1964" i="10"/>
  <c r="S1964" i="10" s="1"/>
  <c r="P1989" i="10"/>
  <c r="AU2004" i="10"/>
  <c r="AJ2006" i="10"/>
  <c r="AU2006" i="10"/>
  <c r="AJ2008" i="10"/>
  <c r="AJ2010" i="10"/>
  <c r="AJ2024" i="10"/>
  <c r="AU2024" i="10"/>
  <c r="AN2034" i="10"/>
  <c r="AO2034" i="10"/>
  <c r="BH2034" i="10"/>
  <c r="BM2034" i="10" s="1"/>
  <c r="AV2040" i="10"/>
  <c r="AU2040" i="10"/>
  <c r="AU2070" i="10"/>
  <c r="AV2070" i="10"/>
  <c r="AU2096" i="10"/>
  <c r="AO2104" i="10"/>
  <c r="AN2104" i="10"/>
  <c r="BH2118" i="10"/>
  <c r="BM2118" i="10" s="1"/>
  <c r="BO2118" i="10" s="1"/>
  <c r="AO2118" i="10"/>
  <c r="AN2118" i="10"/>
  <c r="AO2127" i="10"/>
  <c r="AN2127" i="10"/>
  <c r="AO2130" i="10"/>
  <c r="AN2130" i="10"/>
  <c r="AJ2139" i="10"/>
  <c r="BO2154" i="10"/>
  <c r="BH2153" i="10"/>
  <c r="BM2153" i="10" s="1"/>
  <c r="AO2154" i="10"/>
  <c r="AN2154" i="10"/>
  <c r="AO2155" i="10"/>
  <c r="BO2155" i="10"/>
  <c r="AN2155" i="10"/>
  <c r="AD2162" i="10"/>
  <c r="AV2163" i="10"/>
  <c r="AO2171" i="10"/>
  <c r="AN2171" i="10"/>
  <c r="BA2177" i="10"/>
  <c r="BA2176" i="10" s="1"/>
  <c r="BA2175" i="10" s="1"/>
  <c r="AY2176" i="10"/>
  <c r="AY2175" i="10" s="1"/>
  <c r="AN2187" i="10"/>
  <c r="AO2187" i="10"/>
  <c r="AO2191" i="10"/>
  <c r="AN2206" i="10"/>
  <c r="BH2206" i="10"/>
  <c r="AV2211" i="10"/>
  <c r="AA2211" i="10"/>
  <c r="W2212" i="10"/>
  <c r="W2211" i="10" s="1"/>
  <c r="U2211" i="10"/>
  <c r="AU2247" i="10"/>
  <c r="AU2263" i="10"/>
  <c r="AM2262" i="10"/>
  <c r="L2269" i="10"/>
  <c r="J2268" i="10"/>
  <c r="L2268" i="10" s="1"/>
  <c r="AO2276" i="10"/>
  <c r="AN2276" i="10"/>
  <c r="S2295" i="10"/>
  <c r="R2294" i="10"/>
  <c r="BA2294" i="10"/>
  <c r="BA2293" i="10" s="1"/>
  <c r="BA2292" i="10" s="1"/>
  <c r="AR2299" i="10"/>
  <c r="AJ2305" i="10"/>
  <c r="BO2308" i="10"/>
  <c r="AO2308" i="10"/>
  <c r="AN2308" i="10"/>
  <c r="AJ2310" i="10"/>
  <c r="AO2328" i="10"/>
  <c r="BO2328" i="10"/>
  <c r="AN2328" i="10"/>
  <c r="AO2335" i="10"/>
  <c r="AO2339" i="10"/>
  <c r="AN2339" i="10"/>
  <c r="BH2352" i="10"/>
  <c r="AN2352" i="10"/>
  <c r="BH2353" i="10"/>
  <c r="BM2353" i="10" s="1"/>
  <c r="E496" i="11" s="1"/>
  <c r="F496" i="11" s="1"/>
  <c r="AO2353" i="10"/>
  <c r="AN2353" i="10"/>
  <c r="BO2360" i="10"/>
  <c r="BH2357" i="10"/>
  <c r="BM2357" i="10" s="1"/>
  <c r="AA2362" i="10"/>
  <c r="AV2362" i="10"/>
  <c r="AA2378" i="10"/>
  <c r="AA2379" i="10"/>
  <c r="AV2380" i="10"/>
  <c r="AA2380" i="10"/>
  <c r="AN2397" i="10"/>
  <c r="AO2397" i="10"/>
  <c r="AO2403" i="10"/>
  <c r="AJ2405" i="10"/>
  <c r="AU2405" i="10"/>
  <c r="AU2406" i="10"/>
  <c r="AN2443" i="10"/>
  <c r="AO2443" i="10"/>
  <c r="BO2443" i="10"/>
  <c r="AU2454" i="10"/>
  <c r="AV2454" i="10"/>
  <c r="AA2454" i="10"/>
  <c r="AJ2463" i="10"/>
  <c r="AA2497" i="10"/>
  <c r="AV2497" i="10"/>
  <c r="AU2521" i="10"/>
  <c r="AM2520" i="10"/>
  <c r="AJ2521" i="10"/>
  <c r="S5" i="11"/>
  <c r="Q4" i="11"/>
  <c r="S4" i="11" s="1"/>
  <c r="S63" i="11"/>
  <c r="Q45" i="11"/>
  <c r="AL319" i="11"/>
  <c r="AF392" i="11"/>
  <c r="AL393" i="11"/>
  <c r="AL392" i="11" s="1"/>
  <c r="AN1037" i="10"/>
  <c r="R1142" i="10"/>
  <c r="S1142" i="10" s="1"/>
  <c r="R1149" i="10"/>
  <c r="S1149" i="10" s="1"/>
  <c r="AJ1216" i="10"/>
  <c r="AU1216" i="10"/>
  <c r="AO1219" i="10"/>
  <c r="AN1219" i="10"/>
  <c r="R1227" i="10"/>
  <c r="S1227" i="10" s="1"/>
  <c r="AM1260" i="10"/>
  <c r="AY1280" i="10"/>
  <c r="AY1279" i="10" s="1"/>
  <c r="BA1281" i="10"/>
  <c r="BA1280" i="10" s="1"/>
  <c r="BA1279" i="10" s="1"/>
  <c r="AV1291" i="10"/>
  <c r="AD1290" i="10"/>
  <c r="AJ1294" i="10"/>
  <c r="AO1400" i="10"/>
  <c r="AN1400" i="10"/>
  <c r="AS1399" i="10"/>
  <c r="R1423" i="10"/>
  <c r="S1423" i="10" s="1"/>
  <c r="AO1425" i="10"/>
  <c r="AN1425" i="10"/>
  <c r="AO1457" i="10"/>
  <c r="AN1457" i="10"/>
  <c r="AN1487" i="10"/>
  <c r="AO1487" i="10"/>
  <c r="Q1503" i="10"/>
  <c r="R1521" i="10"/>
  <c r="S1521" i="10" s="1"/>
  <c r="AO1531" i="10"/>
  <c r="AN1531" i="10"/>
  <c r="BO1531" i="10"/>
  <c r="BO1583" i="10"/>
  <c r="AO1583" i="10"/>
  <c r="AN1583" i="10"/>
  <c r="R1586" i="10"/>
  <c r="S1586" i="10" s="1"/>
  <c r="AU1594" i="10"/>
  <c r="AJ1594" i="10"/>
  <c r="AU1611" i="10"/>
  <c r="AM1610" i="10"/>
  <c r="AU1615" i="10"/>
  <c r="AA1615" i="10"/>
  <c r="AO1629" i="10"/>
  <c r="AN1629" i="10"/>
  <c r="BO1649" i="10"/>
  <c r="AO1649" i="10"/>
  <c r="AN1649" i="10"/>
  <c r="J1661" i="10"/>
  <c r="L1662" i="10"/>
  <c r="BH1667" i="10"/>
  <c r="BM1667" i="10" s="1"/>
  <c r="AO1667" i="10"/>
  <c r="AN1667" i="10"/>
  <c r="AO1675" i="10"/>
  <c r="AN1675" i="10"/>
  <c r="AO1687" i="10"/>
  <c r="AN1687" i="10"/>
  <c r="R1694" i="10"/>
  <c r="S1694" i="10" s="1"/>
  <c r="AO1704" i="10"/>
  <c r="AN1704" i="10"/>
  <c r="BO1704" i="10"/>
  <c r="AO1709" i="10"/>
  <c r="AN1709" i="10"/>
  <c r="AU1710" i="10"/>
  <c r="AJ1710" i="10"/>
  <c r="U1736" i="10"/>
  <c r="AO1748" i="10"/>
  <c r="AN1748" i="10"/>
  <c r="AO1756" i="10"/>
  <c r="AN1756" i="10"/>
  <c r="BA1765" i="10"/>
  <c r="BA1735" i="10" s="1"/>
  <c r="AN1805" i="10"/>
  <c r="AO1805" i="10"/>
  <c r="AY1823" i="10"/>
  <c r="R1827" i="10"/>
  <c r="AA1845" i="10"/>
  <c r="AV1845" i="10"/>
  <c r="AO1876" i="10"/>
  <c r="BO1876" i="10"/>
  <c r="AZ1882" i="10"/>
  <c r="AZ1881" i="10" s="1"/>
  <c r="AY1881" i="10"/>
  <c r="AV1930" i="10"/>
  <c r="AA1930" i="10"/>
  <c r="BO1933" i="10"/>
  <c r="AN1933" i="10"/>
  <c r="AV1948" i="10"/>
  <c r="AU1948" i="10"/>
  <c r="AO1965" i="10"/>
  <c r="AN1965" i="10"/>
  <c r="U1985" i="10"/>
  <c r="W1986" i="10"/>
  <c r="W1985" i="10" s="1"/>
  <c r="L2032" i="10"/>
  <c r="S2045" i="10"/>
  <c r="R2044" i="10"/>
  <c r="K2043" i="10"/>
  <c r="AU2049" i="10"/>
  <c r="AM2048" i="10"/>
  <c r="AO2068" i="10"/>
  <c r="AN2068" i="10"/>
  <c r="AU2080" i="10"/>
  <c r="AN2080" i="10"/>
  <c r="J2087" i="10"/>
  <c r="L2088" i="10"/>
  <c r="AN2089" i="10"/>
  <c r="AO2089" i="10"/>
  <c r="AS2088" i="10"/>
  <c r="AU2127" i="10"/>
  <c r="AO2128" i="10"/>
  <c r="AN2128" i="10"/>
  <c r="AN2132" i="10"/>
  <c r="AO2132" i="10"/>
  <c r="AZ2153" i="10"/>
  <c r="BA2153" i="10" s="1"/>
  <c r="AN2222" i="10"/>
  <c r="AO2222" i="10"/>
  <c r="BH2222" i="10"/>
  <c r="AS2223" i="10"/>
  <c r="BH2224" i="10"/>
  <c r="AN2224" i="10"/>
  <c r="AN2226" i="10"/>
  <c r="AO2226" i="10"/>
  <c r="AV2262" i="10"/>
  <c r="K2264" i="10"/>
  <c r="AS2272" i="10"/>
  <c r="AO2303" i="10"/>
  <c r="AN2303" i="10"/>
  <c r="BO2303" i="10"/>
  <c r="BO2304" i="10"/>
  <c r="AN2304" i="10"/>
  <c r="BO2306" i="10"/>
  <c r="AN2306" i="10"/>
  <c r="AO2306" i="10"/>
  <c r="AU2358" i="10"/>
  <c r="AJ2358" i="10"/>
  <c r="BO2400" i="10"/>
  <c r="AO2400" i="10"/>
  <c r="AN2400" i="10"/>
  <c r="BH2453" i="10"/>
  <c r="BM2453" i="10" s="1"/>
  <c r="BO2453" i="10" s="1"/>
  <c r="AO2453" i="10"/>
  <c r="AN2453" i="10"/>
  <c r="AO2522" i="10"/>
  <c r="AN2522" i="10"/>
  <c r="AS2521" i="10"/>
  <c r="BH2522" i="10"/>
  <c r="AV2465" i="10"/>
  <c r="AA2465" i="10"/>
  <c r="AV2473" i="10"/>
  <c r="AU2473" i="10"/>
  <c r="AO2487" i="10"/>
  <c r="BH2487" i="10"/>
  <c r="BM2487" i="10" s="1"/>
  <c r="AN2487" i="10"/>
  <c r="AA2515" i="10"/>
  <c r="AV2515" i="10"/>
  <c r="L2528" i="10"/>
  <c r="J2527" i="10"/>
  <c r="L2527" i="10" s="1"/>
  <c r="AV1717" i="10"/>
  <c r="AD1716" i="10"/>
  <c r="AN1723" i="10"/>
  <c r="AA1740" i="10"/>
  <c r="AV1740" i="10"/>
  <c r="AU1742" i="10"/>
  <c r="AO1755" i="10"/>
  <c r="AN1755" i="10"/>
  <c r="AO1771" i="10"/>
  <c r="AN1771" i="10"/>
  <c r="AJ1776" i="10"/>
  <c r="AN1787" i="10"/>
  <c r="AV1807" i="10"/>
  <c r="AA1807" i="10"/>
  <c r="AM1823" i="10"/>
  <c r="AU1826" i="10"/>
  <c r="AA1829" i="10"/>
  <c r="R1832" i="10"/>
  <c r="S1832" i="10" s="1"/>
  <c r="AA1879" i="10"/>
  <c r="AO1898" i="10"/>
  <c r="AO1932" i="10"/>
  <c r="AA1938" i="10"/>
  <c r="AO1939" i="10"/>
  <c r="AN1948" i="10"/>
  <c r="AO1948" i="10"/>
  <c r="AU1965" i="10"/>
  <c r="AO1968" i="10"/>
  <c r="AN1968" i="10"/>
  <c r="AN1977" i="10"/>
  <c r="AA1997" i="10"/>
  <c r="AA1999" i="10"/>
  <c r="AU2012" i="10"/>
  <c r="AO2015" i="10"/>
  <c r="AV2025" i="10"/>
  <c r="AA2025" i="10"/>
  <c r="AN2029" i="10"/>
  <c r="AY2032" i="10"/>
  <c r="AY2031" i="10" s="1"/>
  <c r="AY2030" i="10" s="1"/>
  <c r="AN2055" i="10"/>
  <c r="AU2063" i="10"/>
  <c r="AJ2063" i="10"/>
  <c r="AN2072" i="10"/>
  <c r="AU2076" i="10"/>
  <c r="AO2103" i="10"/>
  <c r="AO2117" i="10"/>
  <c r="AN2117" i="10"/>
  <c r="AO2122" i="10"/>
  <c r="AN2129" i="10"/>
  <c r="AJ2130" i="10"/>
  <c r="AU2130" i="10"/>
  <c r="AO2138" i="10"/>
  <c r="AN2138" i="10"/>
  <c r="BH2138" i="10"/>
  <c r="BM2138" i="10" s="1"/>
  <c r="AO2139" i="10"/>
  <c r="AV2141" i="10"/>
  <c r="AA2141" i="10"/>
  <c r="AV2147" i="10"/>
  <c r="AU2147" i="10"/>
  <c r="AD2146" i="10"/>
  <c r="AN2166" i="10"/>
  <c r="AU2180" i="10"/>
  <c r="AM2179" i="10"/>
  <c r="AA2188" i="10"/>
  <c r="AV2188" i="10"/>
  <c r="AO2193" i="10"/>
  <c r="AN2193" i="10"/>
  <c r="AV2195" i="10"/>
  <c r="AA2195" i="10"/>
  <c r="AD2209" i="10"/>
  <c r="AV2210" i="10"/>
  <c r="AD2213" i="10"/>
  <c r="AV2214" i="10"/>
  <c r="AA2218" i="10"/>
  <c r="AV2218" i="10"/>
  <c r="AD2217" i="10"/>
  <c r="AO2249" i="10"/>
  <c r="AN2273" i="10"/>
  <c r="BH2273" i="10"/>
  <c r="AO2273" i="10"/>
  <c r="AU2276" i="10"/>
  <c r="AO2305" i="10"/>
  <c r="AN2305" i="10"/>
  <c r="BO2330" i="10"/>
  <c r="AO2330" i="10"/>
  <c r="AO2331" i="10"/>
  <c r="AV2351" i="10"/>
  <c r="AU2351" i="10"/>
  <c r="AO2364" i="10"/>
  <c r="AN2364" i="10"/>
  <c r="AU2366" i="10"/>
  <c r="AJ2366" i="10"/>
  <c r="AU2367" i="10"/>
  <c r="AJ2367" i="10"/>
  <c r="AA2368" i="10"/>
  <c r="AV2368" i="10"/>
  <c r="AO2382" i="10"/>
  <c r="AN2382" i="10"/>
  <c r="AV2386" i="10"/>
  <c r="AA2386" i="10"/>
  <c r="AU2395" i="10"/>
  <c r="AO2419" i="10"/>
  <c r="AN2419" i="10"/>
  <c r="AU2421" i="10"/>
  <c r="BM2446" i="10"/>
  <c r="AO2464" i="10"/>
  <c r="AN2464" i="10"/>
  <c r="BO2464" i="10"/>
  <c r="AU2491" i="10"/>
  <c r="AJ2515" i="10"/>
  <c r="AU2515" i="10"/>
  <c r="AA1209" i="10"/>
  <c r="AU1238" i="10"/>
  <c r="AN1253" i="10"/>
  <c r="U1260" i="10"/>
  <c r="U1259" i="10" s="1"/>
  <c r="AA1271" i="10"/>
  <c r="AJ1308" i="10"/>
  <c r="AU1308" i="10"/>
  <c r="AJ1324" i="10"/>
  <c r="AU1324" i="10"/>
  <c r="AM1333" i="10"/>
  <c r="AA1357" i="10"/>
  <c r="AN1403" i="10"/>
  <c r="AO1450" i="10"/>
  <c r="BH1450" i="10"/>
  <c r="AU1452" i="10"/>
  <c r="AN1516" i="10"/>
  <c r="AA1555" i="10"/>
  <c r="AS1593" i="10"/>
  <c r="R1600" i="10"/>
  <c r="S1600" i="10" s="1"/>
  <c r="AO1608" i="10"/>
  <c r="AU1643" i="10"/>
  <c r="R1648" i="10"/>
  <c r="S1648" i="10" s="1"/>
  <c r="AU1651" i="10"/>
  <c r="AA1677" i="10"/>
  <c r="R1688" i="10"/>
  <c r="S1688" i="10" s="1"/>
  <c r="AU1705" i="10"/>
  <c r="AA1730" i="10"/>
  <c r="AO1739" i="10"/>
  <c r="AN1739" i="10"/>
  <c r="AJ1740" i="10"/>
  <c r="AJ1745" i="10"/>
  <c r="AU1751" i="10"/>
  <c r="AJ1760" i="10"/>
  <c r="AU1782" i="10"/>
  <c r="AO1784" i="10"/>
  <c r="AN1784" i="10"/>
  <c r="AA1785" i="10"/>
  <c r="AJ1790" i="10"/>
  <c r="AJ1807" i="10"/>
  <c r="AU1811" i="10"/>
  <c r="AU1865" i="10"/>
  <c r="AV1875" i="10"/>
  <c r="AU1875" i="10"/>
  <c r="BH1882" i="10"/>
  <c r="AO1891" i="10"/>
  <c r="AN1891" i="10"/>
  <c r="AA1892" i="10"/>
  <c r="AV1899" i="10"/>
  <c r="AU1899" i="10"/>
  <c r="AM1913" i="10"/>
  <c r="AU1918" i="10"/>
  <c r="AU1923" i="10"/>
  <c r="AU1949" i="10"/>
  <c r="AJ1952" i="10"/>
  <c r="AJ1954" i="10"/>
  <c r="AA1963" i="10"/>
  <c r="AD1982" i="10"/>
  <c r="AV1983" i="10"/>
  <c r="AU1983" i="10"/>
  <c r="AJ1996" i="10"/>
  <c r="AN2012" i="10"/>
  <c r="AU2016" i="10"/>
  <c r="AU2018" i="10"/>
  <c r="AJ2020" i="10"/>
  <c r="AJ2025" i="10"/>
  <c r="AA2057" i="10"/>
  <c r="AV2057" i="10"/>
  <c r="AU2057" i="10"/>
  <c r="AO2123" i="10"/>
  <c r="BH2123" i="10"/>
  <c r="BM2123" i="10" s="1"/>
  <c r="BO2123" i="10" s="1"/>
  <c r="AU2125" i="10"/>
  <c r="AJ2125" i="10"/>
  <c r="BA2128" i="10"/>
  <c r="AJ2141" i="10"/>
  <c r="AU2151" i="10"/>
  <c r="AJ2156" i="10"/>
  <c r="AM2162" i="10"/>
  <c r="AJ2164" i="10"/>
  <c r="AO2166" i="10"/>
  <c r="K2178" i="10"/>
  <c r="AU2224" i="10"/>
  <c r="AS2239" i="10"/>
  <c r="R2243" i="10"/>
  <c r="P2242" i="10"/>
  <c r="P2241" i="10" s="1"/>
  <c r="BH2247" i="10"/>
  <c r="AS2246" i="10"/>
  <c r="AO2247" i="10"/>
  <c r="AU2251" i="10"/>
  <c r="J2271" i="10"/>
  <c r="L2271" i="10" s="1"/>
  <c r="L2272" i="10"/>
  <c r="AU2307" i="10"/>
  <c r="AJ2315" i="10"/>
  <c r="AU2315" i="10"/>
  <c r="AO2324" i="10"/>
  <c r="AN2324" i="10"/>
  <c r="AJ2368" i="10"/>
  <c r="AU2368" i="10"/>
  <c r="BH2373" i="10"/>
  <c r="AO2373" i="10"/>
  <c r="AS2372" i="10"/>
  <c r="AM2383" i="10"/>
  <c r="AJ2384" i="10"/>
  <c r="AU2384" i="10"/>
  <c r="AN2420" i="10"/>
  <c r="AO2420" i="10"/>
  <c r="BO2420" i="10"/>
  <c r="AA2432" i="10"/>
  <c r="AV2432" i="10"/>
  <c r="AA2456" i="10"/>
  <c r="AV2456" i="10"/>
  <c r="AU2458" i="10"/>
  <c r="AJ2458" i="10"/>
  <c r="AS2514" i="10"/>
  <c r="AN2515" i="10"/>
  <c r="R2521" i="10"/>
  <c r="S2522" i="10"/>
  <c r="AF104" i="11"/>
  <c r="AJ177" i="11"/>
  <c r="W1262" i="10"/>
  <c r="W1260" i="10" s="1"/>
  <c r="W1259" i="10" s="1"/>
  <c r="S1284" i="10"/>
  <c r="AA1287" i="10"/>
  <c r="AD1286" i="10"/>
  <c r="BA1313" i="10"/>
  <c r="AU1427" i="10"/>
  <c r="BH1461" i="10"/>
  <c r="BM1461" i="10" s="1"/>
  <c r="AU1499" i="10"/>
  <c r="AN1518" i="10"/>
  <c r="R1520" i="10"/>
  <c r="S1520" i="10" s="1"/>
  <c r="AU1521" i="10"/>
  <c r="R1524" i="10"/>
  <c r="S1524" i="10" s="1"/>
  <c r="R1539" i="10"/>
  <c r="S1539" i="10" s="1"/>
  <c r="AO1627" i="10"/>
  <c r="AN1627" i="10"/>
  <c r="AU1630" i="10"/>
  <c r="R1639" i="10"/>
  <c r="S1639" i="10" s="1"/>
  <c r="AO1651" i="10"/>
  <c r="AN1651" i="10"/>
  <c r="AU1652" i="10"/>
  <c r="AJ1652" i="10"/>
  <c r="AS1663" i="10"/>
  <c r="AO1665" i="10"/>
  <c r="AN1665" i="10"/>
  <c r="R1733" i="10"/>
  <c r="S1733" i="10" s="1"/>
  <c r="AV1754" i="10"/>
  <c r="AA1754" i="10"/>
  <c r="AA1766" i="10"/>
  <c r="AD1765" i="10"/>
  <c r="AN1782" i="10"/>
  <c r="U1793" i="10"/>
  <c r="AN1811" i="10"/>
  <c r="P1823" i="10"/>
  <c r="AV1848" i="10"/>
  <c r="AA1848" i="10"/>
  <c r="W1852" i="10"/>
  <c r="W1851" i="10" s="1"/>
  <c r="U1851" i="10"/>
  <c r="BO1874" i="10"/>
  <c r="AN1874" i="10"/>
  <c r="AN1986" i="10"/>
  <c r="AO1986" i="10"/>
  <c r="AS1985" i="10"/>
  <c r="AA1991" i="10"/>
  <c r="AD1989" i="10"/>
  <c r="AO1995" i="10"/>
  <c r="AN1995" i="10"/>
  <c r="W2033" i="10"/>
  <c r="U2032" i="10"/>
  <c r="U2031" i="10" s="1"/>
  <c r="U2030" i="10" s="1"/>
  <c r="AO2037" i="10"/>
  <c r="AN2037" i="10"/>
  <c r="AU2056" i="10"/>
  <c r="AJ2056" i="10"/>
  <c r="AO2062" i="10"/>
  <c r="AN2062" i="10"/>
  <c r="AS2093" i="10"/>
  <c r="AA2105" i="10"/>
  <c r="AV2105" i="10"/>
  <c r="BO2166" i="10"/>
  <c r="E445" i="11"/>
  <c r="F445" i="11" s="1"/>
  <c r="L2179" i="10"/>
  <c r="AU2184" i="10"/>
  <c r="AM2181" i="10"/>
  <c r="BH2201" i="10"/>
  <c r="AS2200" i="10"/>
  <c r="AJ2205" i="10"/>
  <c r="R2212" i="10"/>
  <c r="P2211" i="10"/>
  <c r="AS2236" i="10"/>
  <c r="V2243" i="10"/>
  <c r="Q2242" i="10"/>
  <c r="Q2241" i="10" s="1"/>
  <c r="Q2233" i="10" s="1"/>
  <c r="AN2251" i="10"/>
  <c r="AY2253" i="10"/>
  <c r="AY2252" i="10" s="1"/>
  <c r="BA2254" i="10"/>
  <c r="BA2253" i="10" s="1"/>
  <c r="BA2252" i="10" s="1"/>
  <c r="AO2257" i="10"/>
  <c r="AN2257" i="10"/>
  <c r="AS2256" i="10"/>
  <c r="AS2267" i="10"/>
  <c r="AY2272" i="10"/>
  <c r="AY2271" i="10" s="1"/>
  <c r="W2280" i="10"/>
  <c r="W2279" i="10" s="1"/>
  <c r="W2278" i="10" s="1"/>
  <c r="W2277" i="10" s="1"/>
  <c r="U2279" i="10"/>
  <c r="U2278" i="10" s="1"/>
  <c r="J2282" i="10"/>
  <c r="L2282" i="10" s="1"/>
  <c r="L2283" i="10"/>
  <c r="AN2307" i="10"/>
  <c r="AU2317" i="10"/>
  <c r="AJ2317" i="10"/>
  <c r="AA2319" i="10"/>
  <c r="AV2319" i="10"/>
  <c r="AU2333" i="10"/>
  <c r="AJ2333" i="10"/>
  <c r="AU2334" i="10"/>
  <c r="AJ2334" i="10"/>
  <c r="R2349" i="10"/>
  <c r="AA2355" i="10"/>
  <c r="AV2355" i="10"/>
  <c r="AO2384" i="10"/>
  <c r="AN2384" i="10"/>
  <c r="AS2383" i="10"/>
  <c r="U2388" i="10"/>
  <c r="AV2399" i="10"/>
  <c r="AU2399" i="10"/>
  <c r="AA2401" i="10"/>
  <c r="AV2401" i="10"/>
  <c r="AV2402" i="10"/>
  <c r="AA2402" i="10"/>
  <c r="AJ2403" i="10"/>
  <c r="AU2403" i="10"/>
  <c r="AN2425" i="10"/>
  <c r="AO2425" i="10"/>
  <c r="AV2433" i="10"/>
  <c r="AA2433" i="10"/>
  <c r="AU2465" i="10"/>
  <c r="AS2517" i="10"/>
  <c r="K2523" i="10"/>
  <c r="AA2274" i="10"/>
  <c r="AV2274" i="10"/>
  <c r="L2294" i="10"/>
  <c r="J2293" i="10"/>
  <c r="AO2307" i="10"/>
  <c r="BO2307" i="10"/>
  <c r="AV2340" i="10"/>
  <c r="AA2340" i="10"/>
  <c r="AU2362" i="10"/>
  <c r="AA2364" i="10"/>
  <c r="AV2364" i="10"/>
  <c r="AU2369" i="10"/>
  <c r="AN2395" i="10"/>
  <c r="BO2395" i="10"/>
  <c r="AO2395" i="10"/>
  <c r="AO2406" i="10"/>
  <c r="AN2406" i="10"/>
  <c r="BO2406" i="10"/>
  <c r="AN2422" i="10"/>
  <c r="AU2422" i="10"/>
  <c r="BO2433" i="10"/>
  <c r="AN2433" i="10"/>
  <c r="AN2437" i="10"/>
  <c r="AU2438" i="10"/>
  <c r="AA2438" i="10"/>
  <c r="AV2438" i="10"/>
  <c r="AU2445" i="10"/>
  <c r="AJ2445" i="10"/>
  <c r="BO2456" i="10"/>
  <c r="AN2456" i="10"/>
  <c r="AU2490" i="10"/>
  <c r="AM2489" i="10"/>
  <c r="AJ2490" i="10"/>
  <c r="BH2509" i="10"/>
  <c r="BM2509" i="10" s="1"/>
  <c r="BO2509" i="10" s="1"/>
  <c r="AO2509" i="10"/>
  <c r="AN2509" i="10"/>
  <c r="AZ2523" i="10"/>
  <c r="AG45" i="11"/>
  <c r="AL495" i="11"/>
  <c r="AU1639" i="10"/>
  <c r="AO1641" i="10"/>
  <c r="AU1648" i="10"/>
  <c r="AN1673" i="10"/>
  <c r="AN1745" i="10"/>
  <c r="AU1757" i="10"/>
  <c r="AO1762" i="10"/>
  <c r="AO1766" i="10"/>
  <c r="R1774" i="10"/>
  <c r="S1774" i="10" s="1"/>
  <c r="AO1776" i="10"/>
  <c r="AU1789" i="10"/>
  <c r="AO1808" i="10"/>
  <c r="AO1820" i="10"/>
  <c r="AU1828" i="10"/>
  <c r="AO1831" i="10"/>
  <c r="R1835" i="10"/>
  <c r="S1835" i="10" s="1"/>
  <c r="AO1849" i="10"/>
  <c r="AA1852" i="10"/>
  <c r="AD1851" i="10"/>
  <c r="AN1857" i="10"/>
  <c r="AA1861" i="10"/>
  <c r="AU1877" i="10"/>
  <c r="AA1919" i="10"/>
  <c r="AN1937" i="10"/>
  <c r="AJ1955" i="10"/>
  <c r="AN1963" i="10"/>
  <c r="L1981" i="10"/>
  <c r="AU1993" i="10"/>
  <c r="AA2000" i="10"/>
  <c r="AN2014" i="10"/>
  <c r="AO2021" i="10"/>
  <c r="AN2028" i="10"/>
  <c r="AJ2041" i="10"/>
  <c r="AU2041" i="10"/>
  <c r="AN2058" i="10"/>
  <c r="AO2094" i="10"/>
  <c r="BA2100" i="10"/>
  <c r="AA2102" i="10"/>
  <c r="AO2120" i="10"/>
  <c r="AO2124" i="10"/>
  <c r="AA2125" i="10"/>
  <c r="AN2131" i="10"/>
  <c r="AA2144" i="10"/>
  <c r="AN2159" i="10"/>
  <c r="AO2165" i="10"/>
  <c r="AN2174" i="10"/>
  <c r="AJ2191" i="10"/>
  <c r="AA2194" i="10"/>
  <c r="AA2201" i="10"/>
  <c r="V2204" i="10"/>
  <c r="AU2208" i="10"/>
  <c r="AO2225" i="10"/>
  <c r="AO2229" i="10"/>
  <c r="AA2230" i="10"/>
  <c r="AV2230" i="10"/>
  <c r="AO2243" i="10"/>
  <c r="AD2256" i="10"/>
  <c r="AA2257" i="10"/>
  <c r="AY2279" i="10"/>
  <c r="AY2278" i="10" s="1"/>
  <c r="U2288" i="10"/>
  <c r="U2287" i="10" s="1"/>
  <c r="U2286" i="10" s="1"/>
  <c r="W2289" i="10"/>
  <c r="W2288" i="10" s="1"/>
  <c r="W2287" i="10" s="1"/>
  <c r="W2286" i="10" s="1"/>
  <c r="AO2296" i="10"/>
  <c r="AN2296" i="10"/>
  <c r="AO2311" i="10"/>
  <c r="AN2311" i="10"/>
  <c r="AO2315" i="10"/>
  <c r="AN2315" i="10"/>
  <c r="AN2316" i="10"/>
  <c r="AA2317" i="10"/>
  <c r="AA2337" i="10"/>
  <c r="AV2337" i="10"/>
  <c r="AN2344" i="10"/>
  <c r="AA2345" i="10"/>
  <c r="AV2345" i="10"/>
  <c r="AN2349" i="10"/>
  <c r="BH2349" i="10"/>
  <c r="AS2348" i="10"/>
  <c r="AO2349" i="10"/>
  <c r="AJ2352" i="10"/>
  <c r="AO2363" i="10"/>
  <c r="AN2363" i="10"/>
  <c r="AN2369" i="10"/>
  <c r="AO2380" i="10"/>
  <c r="AU2385" i="10"/>
  <c r="AU2389" i="10"/>
  <c r="AO2408" i="10"/>
  <c r="AN2409" i="10"/>
  <c r="AN2413" i="10"/>
  <c r="AO2413" i="10"/>
  <c r="AO2414" i="10"/>
  <c r="AA2426" i="10"/>
  <c r="AJ2446" i="10"/>
  <c r="AU2446" i="10"/>
  <c r="R2454" i="10"/>
  <c r="S2454" i="10" s="1"/>
  <c r="AA2475" i="10"/>
  <c r="AU2475" i="10"/>
  <c r="BH2482" i="10"/>
  <c r="BM2482" i="10" s="1"/>
  <c r="BO2482" i="10" s="1"/>
  <c r="AN2482" i="10"/>
  <c r="BA2489" i="10"/>
  <c r="AO2494" i="10"/>
  <c r="AN2495" i="10"/>
  <c r="AO2496" i="10"/>
  <c r="AN2496" i="10"/>
  <c r="BH2496" i="10"/>
  <c r="BM2496" i="10" s="1"/>
  <c r="AA2520" i="10"/>
  <c r="AV2520" i="10"/>
  <c r="W2529" i="10"/>
  <c r="W2528" i="10" s="1"/>
  <c r="W2527" i="10" s="1"/>
  <c r="U2528" i="10"/>
  <c r="U2527" i="10" s="1"/>
  <c r="U2523" i="10" s="1"/>
  <c r="AL38" i="11"/>
  <c r="AU1137" i="10"/>
  <c r="AU1251" i="10"/>
  <c r="AD1266" i="10"/>
  <c r="AU1309" i="10"/>
  <c r="V1306" i="10"/>
  <c r="V1299" i="10" s="1"/>
  <c r="V1321" i="10"/>
  <c r="AU1325" i="10"/>
  <c r="W1350" i="10"/>
  <c r="AU1360" i="10"/>
  <c r="AU1431" i="10"/>
  <c r="R1535" i="10"/>
  <c r="AU1608" i="10"/>
  <c r="AU1612" i="10"/>
  <c r="AU1617" i="10"/>
  <c r="R1630" i="10"/>
  <c r="S1630" i="10" s="1"/>
  <c r="T1662" i="10"/>
  <c r="T1661" i="10" s="1"/>
  <c r="AU1729" i="10"/>
  <c r="AO1732" i="10"/>
  <c r="AN1732" i="10"/>
  <c r="AA1781" i="10"/>
  <c r="AU1815" i="10"/>
  <c r="AU1844" i="10"/>
  <c r="AA1869" i="10"/>
  <c r="R1897" i="10"/>
  <c r="S1897" i="10" s="1"/>
  <c r="AU1900" i="10"/>
  <c r="R1906" i="10"/>
  <c r="S1906" i="10" s="1"/>
  <c r="AU1909" i="10"/>
  <c r="AA1924" i="10"/>
  <c r="BH1926" i="10"/>
  <c r="BM1926" i="10" s="1"/>
  <c r="BO1926" i="10" s="1"/>
  <c r="R1952" i="10"/>
  <c r="S1952" i="10" s="1"/>
  <c r="AJ1964" i="10"/>
  <c r="AU1979" i="10"/>
  <c r="AO1993" i="10"/>
  <c r="AN1993" i="10"/>
  <c r="AA2008" i="10"/>
  <c r="AJ2081" i="10"/>
  <c r="AO2114" i="10"/>
  <c r="BH2114" i="10"/>
  <c r="BM2114" i="10" s="1"/>
  <c r="AV2128" i="10"/>
  <c r="AA2128" i="10"/>
  <c r="AO2140" i="10"/>
  <c r="AS2162" i="10"/>
  <c r="AA2172" i="10"/>
  <c r="L2176" i="10"/>
  <c r="J2175" i="10"/>
  <c r="L2175" i="10" s="1"/>
  <c r="AY2181" i="10"/>
  <c r="AS2209" i="10"/>
  <c r="AO2210" i="10"/>
  <c r="AN2210" i="10"/>
  <c r="AJ2230" i="10"/>
  <c r="AY2246" i="10"/>
  <c r="AY2245" i="10" s="1"/>
  <c r="BA2247" i="10"/>
  <c r="BA2246" i="10" s="1"/>
  <c r="BA2245" i="10" s="1"/>
  <c r="AN2248" i="10"/>
  <c r="BO2248" i="10"/>
  <c r="AU2249" i="10"/>
  <c r="L2256" i="10"/>
  <c r="AD2266" i="10"/>
  <c r="AU2266" i="10" s="1"/>
  <c r="AA2267" i="10"/>
  <c r="AV2269" i="10"/>
  <c r="AD2268" i="10"/>
  <c r="AU2274" i="10"/>
  <c r="R2279" i="10"/>
  <c r="AD2288" i="10"/>
  <c r="AA2289" i="10"/>
  <c r="AV2289" i="10"/>
  <c r="AA2318" i="10"/>
  <c r="AJ2337" i="10"/>
  <c r="AA2342" i="10"/>
  <c r="AO2344" i="10"/>
  <c r="AA2346" i="10"/>
  <c r="AN2356" i="10"/>
  <c r="AA2357" i="10"/>
  <c r="BO2362" i="10"/>
  <c r="AO2362" i="10"/>
  <c r="AN2362" i="10"/>
  <c r="AY2372" i="10"/>
  <c r="AN2381" i="10"/>
  <c r="AV2382" i="10"/>
  <c r="AA2382" i="10"/>
  <c r="AN2396" i="10"/>
  <c r="AO2409" i="10"/>
  <c r="AJ2416" i="10"/>
  <c r="AN2423" i="10"/>
  <c r="U2447" i="10"/>
  <c r="W2449" i="10"/>
  <c r="AA2463" i="10"/>
  <c r="AO2474" i="10"/>
  <c r="AN2474" i="10"/>
  <c r="AU2487" i="10"/>
  <c r="AU2488" i="10"/>
  <c r="AJ2488" i="10"/>
  <c r="E542" i="11"/>
  <c r="F542" i="11" s="1"/>
  <c r="BO2494" i="10"/>
  <c r="AO2495" i="10"/>
  <c r="R2526" i="10"/>
  <c r="P2525" i="10"/>
  <c r="P2524" i="10" s="1"/>
  <c r="AK15" i="11"/>
  <c r="AL51" i="11"/>
  <c r="AL46" i="11" s="1"/>
  <c r="AF46" i="11"/>
  <c r="AF132" i="11"/>
  <c r="AL133" i="11"/>
  <c r="AL132" i="11" s="1"/>
  <c r="AF160" i="11"/>
  <c r="AL162" i="11"/>
  <c r="AL160" i="11" s="1"/>
  <c r="AG328" i="11"/>
  <c r="AU1586" i="10"/>
  <c r="AO1589" i="10"/>
  <c r="AN1589" i="10"/>
  <c r="U1662" i="10"/>
  <c r="R1725" i="10"/>
  <c r="S1725" i="10" s="1"/>
  <c r="V1735" i="10"/>
  <c r="V1660" i="10" s="1"/>
  <c r="AO1753" i="10"/>
  <c r="AN1753" i="10"/>
  <c r="AO1769" i="10"/>
  <c r="AN1769" i="10"/>
  <c r="AA1882" i="10"/>
  <c r="AD1881" i="10"/>
  <c r="R1961" i="10"/>
  <c r="S1961" i="10" s="1"/>
  <c r="R1975" i="10"/>
  <c r="P1974" i="10"/>
  <c r="P1973" i="10" s="1"/>
  <c r="AJ1982" i="10"/>
  <c r="AM1981" i="10"/>
  <c r="AD1985" i="10"/>
  <c r="AN1990" i="10"/>
  <c r="BH1990" i="10"/>
  <c r="AM2032" i="10"/>
  <c r="AY2052" i="10"/>
  <c r="AY2051" i="10" s="1"/>
  <c r="AY2050" i="10" s="1"/>
  <c r="AO2054" i="10"/>
  <c r="AN2054" i="10"/>
  <c r="AO2059" i="10"/>
  <c r="AN2059" i="10"/>
  <c r="BH2077" i="10"/>
  <c r="BM2077" i="10" s="1"/>
  <c r="P2092" i="10"/>
  <c r="P2091" i="10" s="1"/>
  <c r="R2093" i="10"/>
  <c r="R2092" i="10" s="1"/>
  <c r="R2091" i="10" s="1"/>
  <c r="AU2112" i="10"/>
  <c r="AV2112" i="10"/>
  <c r="W2146" i="10"/>
  <c r="W2145" i="10" s="1"/>
  <c r="AO2167" i="10"/>
  <c r="BH2167" i="10"/>
  <c r="BM2167" i="10" s="1"/>
  <c r="AY2179" i="10"/>
  <c r="BA2181" i="10"/>
  <c r="R2224" i="10"/>
  <c r="P2223" i="10"/>
  <c r="AJ2235" i="10"/>
  <c r="AM2234" i="10"/>
  <c r="AD2238" i="10"/>
  <c r="AV2239" i="10"/>
  <c r="AU2239" i="10"/>
  <c r="R2246" i="10"/>
  <c r="P2269" i="10"/>
  <c r="P2268" i="10" s="1"/>
  <c r="R2270" i="10"/>
  <c r="AJ2289" i="10"/>
  <c r="AM2288" i="10"/>
  <c r="AY2301" i="10"/>
  <c r="AY2300" i="10" s="1"/>
  <c r="AU2325" i="10"/>
  <c r="AJ2325" i="10"/>
  <c r="AO2336" i="10"/>
  <c r="AN2336" i="10"/>
  <c r="AY2348" i="10"/>
  <c r="AA2353" i="10"/>
  <c r="AV2353" i="10"/>
  <c r="AU2353" i="10"/>
  <c r="AM2372" i="10"/>
  <c r="U2372" i="10"/>
  <c r="E512" i="11"/>
  <c r="F512" i="11" s="1"/>
  <c r="BO2380" i="10"/>
  <c r="AO2385" i="10"/>
  <c r="AN2385" i="10"/>
  <c r="AV2392" i="10"/>
  <c r="AA2392" i="10"/>
  <c r="BO2415" i="10"/>
  <c r="AN2415" i="10"/>
  <c r="AA2417" i="10"/>
  <c r="AV2417" i="10"/>
  <c r="AA2418" i="10"/>
  <c r="AV2418" i="10"/>
  <c r="AV2419" i="10"/>
  <c r="AA2419" i="10"/>
  <c r="AU2423" i="10"/>
  <c r="E543" i="11"/>
  <c r="F543" i="11" s="1"/>
  <c r="BO2495" i="10"/>
  <c r="AL7" i="11"/>
  <c r="AF6" i="11"/>
  <c r="AF5" i="11" s="1"/>
  <c r="AL31" i="11"/>
  <c r="AL29" i="11" s="1"/>
  <c r="AF29" i="11"/>
  <c r="AG99" i="11"/>
  <c r="AF469" i="11"/>
  <c r="AL471" i="11"/>
  <c r="AL469" i="11" s="1"/>
  <c r="AJ2459" i="10"/>
  <c r="AU2459" i="10"/>
  <c r="AA2476" i="10"/>
  <c r="AV2476" i="10"/>
  <c r="BH2480" i="10"/>
  <c r="BM2480" i="10" s="1"/>
  <c r="AO2480" i="10"/>
  <c r="AO2491" i="10"/>
  <c r="AN2491" i="10"/>
  <c r="AU2509" i="10"/>
  <c r="AV2509" i="10"/>
  <c r="AA2509" i="10"/>
  <c r="AV2532" i="10"/>
  <c r="AD2531" i="10"/>
  <c r="AM38" i="11"/>
  <c r="W99" i="11"/>
  <c r="AK143" i="11"/>
  <c r="AK139" i="11" s="1"/>
  <c r="AF268" i="11"/>
  <c r="AL269" i="11"/>
  <c r="AL268" i="11" s="1"/>
  <c r="Q525" i="11"/>
  <c r="S525" i="11" s="1"/>
  <c r="S527" i="11"/>
  <c r="AU2163" i="10"/>
  <c r="AV2165" i="10"/>
  <c r="AA2165" i="10"/>
  <c r="K2233" i="10"/>
  <c r="BA2270" i="10"/>
  <c r="BA2269" i="10" s="1"/>
  <c r="BA2268" i="10" s="1"/>
  <c r="AY2269" i="10"/>
  <c r="AY2268" i="10" s="1"/>
  <c r="AS2302" i="10"/>
  <c r="AV2339" i="10"/>
  <c r="AU2339" i="10"/>
  <c r="BH2369" i="10"/>
  <c r="BM2369" i="10" s="1"/>
  <c r="E504" i="11" s="1"/>
  <c r="F504" i="11" s="1"/>
  <c r="AU2386" i="10"/>
  <c r="AN2417" i="10"/>
  <c r="AN2428" i="10"/>
  <c r="AJ2430" i="10"/>
  <c r="AU2430" i="10"/>
  <c r="AY2436" i="10"/>
  <c r="BA2437" i="10"/>
  <c r="BA2436" i="10" s="1"/>
  <c r="AU2439" i="10"/>
  <c r="AJ2439" i="10"/>
  <c r="AO2446" i="10"/>
  <c r="AS2445" i="10"/>
  <c r="P2447" i="10"/>
  <c r="AN2450" i="10"/>
  <c r="AN2465" i="10"/>
  <c r="AA2470" i="10"/>
  <c r="AV2470" i="10"/>
  <c r="AU2470" i="10"/>
  <c r="AO2481" i="10"/>
  <c r="AN2481" i="10"/>
  <c r="AU2483" i="10"/>
  <c r="AU2484" i="10"/>
  <c r="AJ2484" i="10"/>
  <c r="AU2485" i="10"/>
  <c r="AJ2493" i="10"/>
  <c r="AU2493" i="10"/>
  <c r="AY2511" i="10"/>
  <c r="AY2510" i="10" s="1"/>
  <c r="AU2532" i="10"/>
  <c r="AM2531" i="10"/>
  <c r="AK9" i="11"/>
  <c r="AK6" i="11" s="1"/>
  <c r="AK5" i="11" s="1"/>
  <c r="V46" i="11"/>
  <c r="AL298" i="11"/>
  <c r="AY1503" i="10"/>
  <c r="AY1716" i="10"/>
  <c r="AY1913" i="10"/>
  <c r="L2084" i="10"/>
  <c r="AN2163" i="10"/>
  <c r="R2164" i="10"/>
  <c r="S2164" i="10" s="1"/>
  <c r="P2162" i="10"/>
  <c r="P2161" i="10" s="1"/>
  <c r="S2214" i="10"/>
  <c r="L2235" i="10"/>
  <c r="W2254" i="10"/>
  <c r="W2253" i="10" s="1"/>
  <c r="W2252" i="10" s="1"/>
  <c r="AZ2277" i="10"/>
  <c r="AY2294" i="10"/>
  <c r="AY2293" i="10" s="1"/>
  <c r="AY2292" i="10" s="1"/>
  <c r="AU2322" i="10"/>
  <c r="AJ2331" i="10"/>
  <c r="AU2331" i="10"/>
  <c r="AU2357" i="10"/>
  <c r="AA2373" i="10"/>
  <c r="AD2372" i="10"/>
  <c r="AV2373" i="10"/>
  <c r="AY2383" i="10"/>
  <c r="BA2384" i="10"/>
  <c r="BA2383" i="10" s="1"/>
  <c r="AU2409" i="10"/>
  <c r="AJ2409" i="10"/>
  <c r="AO2417" i="10"/>
  <c r="AJ2424" i="10"/>
  <c r="AO2428" i="10"/>
  <c r="AU2429" i="10"/>
  <c r="AO2430" i="10"/>
  <c r="AN2430" i="10"/>
  <c r="AM2436" i="10"/>
  <c r="AN2439" i="10"/>
  <c r="R2448" i="10"/>
  <c r="AA2455" i="10"/>
  <c r="AV2455" i="10"/>
  <c r="AU2460" i="10"/>
  <c r="BO2466" i="10"/>
  <c r="AO2466" i="10"/>
  <c r="AN2466" i="10"/>
  <c r="AO2467" i="10"/>
  <c r="BO2467" i="10"/>
  <c r="AU2468" i="10"/>
  <c r="AV2478" i="10"/>
  <c r="AA2478" i="10"/>
  <c r="AJ2482" i="10"/>
  <c r="AU2482" i="10"/>
  <c r="AN2483" i="10"/>
  <c r="AN2485" i="10"/>
  <c r="AS2490" i="10"/>
  <c r="AN2493" i="10"/>
  <c r="AV2499" i="10"/>
  <c r="AA2499" i="10"/>
  <c r="V2502" i="10"/>
  <c r="AZ2512" i="10"/>
  <c r="AZ2511" i="10" s="1"/>
  <c r="AZ2510" i="10" s="1"/>
  <c r="AM220" i="11"/>
  <c r="AO2418" i="10"/>
  <c r="AN2418" i="10"/>
  <c r="AO2423" i="10"/>
  <c r="BO2423" i="10"/>
  <c r="AA2425" i="10"/>
  <c r="AU2425" i="10"/>
  <c r="W2437" i="10"/>
  <c r="W2436" i="10" s="1"/>
  <c r="U2436" i="10"/>
  <c r="AN2459" i="10"/>
  <c r="BH2459" i="10"/>
  <c r="BM2459" i="10" s="1"/>
  <c r="BO2459" i="10" s="1"/>
  <c r="AO2470" i="10"/>
  <c r="BO2470" i="10"/>
  <c r="AN2470" i="10"/>
  <c r="AO2471" i="10"/>
  <c r="BO2471" i="10"/>
  <c r="AN2471" i="10"/>
  <c r="AO2484" i="10"/>
  <c r="AN2484" i="10"/>
  <c r="BH2484" i="10"/>
  <c r="BM2484" i="10" s="1"/>
  <c r="BO2484" i="10" s="1"/>
  <c r="BH2491" i="10"/>
  <c r="BM2491" i="10" s="1"/>
  <c r="AN2508" i="10"/>
  <c r="AO2508" i="10"/>
  <c r="AS2526" i="10"/>
  <c r="AS2533" i="10"/>
  <c r="AB45" i="11"/>
  <c r="AB44" i="11" s="1"/>
  <c r="AL91" i="11"/>
  <c r="W2490" i="10"/>
  <c r="W2489" i="10" s="1"/>
  <c r="U2489" i="10"/>
  <c r="AN2497" i="10"/>
  <c r="K2502" i="10"/>
  <c r="AN2512" i="10"/>
  <c r="AO2512" i="10"/>
  <c r="AA2513" i="10"/>
  <c r="R2514" i="10"/>
  <c r="S2514" i="10" s="1"/>
  <c r="AJ14" i="11"/>
  <c r="AL25" i="11"/>
  <c r="AL23" i="11" s="1"/>
  <c r="AF23" i="11"/>
  <c r="S416" i="11"/>
  <c r="Q415" i="11"/>
  <c r="AU2124" i="10"/>
  <c r="Q2162" i="10"/>
  <c r="Q2161" i="10" s="1"/>
  <c r="AU2206" i="10"/>
  <c r="AU2214" i="10"/>
  <c r="AU2222" i="10"/>
  <c r="AU2273" i="10"/>
  <c r="AN2357" i="10"/>
  <c r="AO2389" i="10"/>
  <c r="AJ2415" i="10"/>
  <c r="AU2415" i="10"/>
  <c r="BO2429" i="10"/>
  <c r="AO2429" i="10"/>
  <c r="AU2431" i="10"/>
  <c r="AJ2431" i="10"/>
  <c r="J2435" i="10"/>
  <c r="AV2446" i="10"/>
  <c r="AA2446" i="10"/>
  <c r="BA2449" i="10"/>
  <c r="AY2447" i="10"/>
  <c r="AU2456" i="10"/>
  <c r="AO2460" i="10"/>
  <c r="AN2460" i="10"/>
  <c r="BO2460" i="10"/>
  <c r="AH532" i="11"/>
  <c r="M532" i="11"/>
  <c r="J532" i="11"/>
  <c r="I532" i="11"/>
  <c r="Y532" i="11"/>
  <c r="AE532" i="11"/>
  <c r="Q2523" i="10"/>
  <c r="AK84" i="11"/>
  <c r="AL102" i="11"/>
  <c r="AL101" i="11" s="1"/>
  <c r="AF101" i="11"/>
  <c r="AD138" i="11"/>
  <c r="AD137" i="11" s="1"/>
  <c r="AL179" i="11"/>
  <c r="AL178" i="11" s="1"/>
  <c r="S355" i="11"/>
  <c r="Q353" i="11"/>
  <c r="S353" i="11" s="1"/>
  <c r="AZ2095" i="10"/>
  <c r="BA2095" i="10" s="1"/>
  <c r="BA2105" i="10"/>
  <c r="R2163" i="10"/>
  <c r="W2276" i="10"/>
  <c r="AY2351" i="10"/>
  <c r="BA2351" i="10" s="1"/>
  <c r="AU2360" i="10"/>
  <c r="AU2365" i="10"/>
  <c r="AU2379" i="10"/>
  <c r="P2388" i="10"/>
  <c r="AU2390" i="10"/>
  <c r="AU2397" i="10"/>
  <c r="BO2422" i="10"/>
  <c r="AO2422" i="10"/>
  <c r="AU2426" i="10"/>
  <c r="AU2461" i="10"/>
  <c r="AN2475" i="10"/>
  <c r="BO2475" i="10"/>
  <c r="AU2476" i="10"/>
  <c r="J2503" i="10"/>
  <c r="L2504" i="10"/>
  <c r="AL66" i="11"/>
  <c r="AL84" i="11"/>
  <c r="AF124" i="11"/>
  <c r="AL425" i="11"/>
  <c r="AL424" i="11" s="1"/>
  <c r="AF424" i="11"/>
  <c r="Q559" i="11"/>
  <c r="S559" i="11" s="1"/>
  <c r="S555" i="11"/>
  <c r="U2511" i="10"/>
  <c r="U2510" i="10" s="1"/>
  <c r="AU2513" i="10"/>
  <c r="AL9" i="11"/>
  <c r="AB34" i="11"/>
  <c r="AC34" i="11" s="1"/>
  <c r="AD34" i="11" s="1"/>
  <c r="AF34" i="11" s="1"/>
  <c r="AG34" i="11" s="1"/>
  <c r="X34" i="11"/>
  <c r="X4" i="11" s="1"/>
  <c r="V248" i="11"/>
  <c r="AL348" i="11"/>
  <c r="AL345" i="11" s="1"/>
  <c r="AF345" i="11"/>
  <c r="Q2347" i="10"/>
  <c r="Q2299" i="10" s="1"/>
  <c r="AU2350" i="10"/>
  <c r="AU2375" i="10"/>
  <c r="AU2402" i="10"/>
  <c r="AJ2402" i="10"/>
  <c r="AV2444" i="10"/>
  <c r="AA2444" i="10"/>
  <c r="BH2449" i="10"/>
  <c r="BM2449" i="10" s="1"/>
  <c r="AN2449" i="10"/>
  <c r="AU2452" i="10"/>
  <c r="AU2455" i="10"/>
  <c r="AJ2455" i="10"/>
  <c r="BH2468" i="10"/>
  <c r="BM2468" i="10" s="1"/>
  <c r="AO2469" i="10"/>
  <c r="AN2469" i="10"/>
  <c r="AU2495" i="10"/>
  <c r="R2500" i="10"/>
  <c r="P2499" i="10"/>
  <c r="AS2505" i="10"/>
  <c r="AM2511" i="10"/>
  <c r="W2512" i="10"/>
  <c r="W2511" i="10" s="1"/>
  <c r="W2510" i="10" s="1"/>
  <c r="AN2513" i="10"/>
  <c r="L2518" i="10"/>
  <c r="BA2519" i="10"/>
  <c r="BA2518" i="10" s="1"/>
  <c r="BA2517" i="10" s="1"/>
  <c r="AO2529" i="10"/>
  <c r="AN2529" i="10"/>
  <c r="AM46" i="11"/>
  <c r="V120" i="11"/>
  <c r="V124" i="11"/>
  <c r="V287" i="11"/>
  <c r="AF479" i="11"/>
  <c r="AL480" i="11"/>
  <c r="AL479" i="11" s="1"/>
  <c r="V298" i="11"/>
  <c r="S311" i="11"/>
  <c r="Q308" i="11"/>
  <c r="AF78" i="11"/>
  <c r="AF63" i="11" s="1"/>
  <c r="AL79" i="11"/>
  <c r="AL78" i="11" s="1"/>
  <c r="AF84" i="11"/>
  <c r="AM109" i="11"/>
  <c r="V114" i="11"/>
  <c r="V113" i="11" s="1"/>
  <c r="AL168" i="11"/>
  <c r="AL198" i="11"/>
  <c r="AL190" i="11" s="1"/>
  <c r="V324" i="11"/>
  <c r="AG353" i="11"/>
  <c r="AM147" i="11"/>
  <c r="AK160" i="11"/>
  <c r="AL276" i="11"/>
  <c r="AK287" i="11"/>
  <c r="AL322" i="11"/>
  <c r="AL321" i="11" s="1"/>
  <c r="AF321" i="11"/>
  <c r="AF358" i="11"/>
  <c r="AF353" i="11" s="1"/>
  <c r="AL359" i="11"/>
  <c r="AL358" i="11" s="1"/>
  <c r="AK370" i="11"/>
  <c r="AL390" i="11"/>
  <c r="AL388" i="11" s="1"/>
  <c r="AF388" i="11"/>
  <c r="AG423" i="11"/>
  <c r="AK479" i="11"/>
  <c r="AA2488" i="10"/>
  <c r="W2505" i="10"/>
  <c r="W2504" i="10" s="1"/>
  <c r="W2503" i="10" s="1"/>
  <c r="U2504" i="10"/>
  <c r="U2503" i="10" s="1"/>
  <c r="L2525" i="10"/>
  <c r="J2524" i="10"/>
  <c r="AF35" i="11"/>
  <c r="AF120" i="11"/>
  <c r="AL121" i="11"/>
  <c r="AL120" i="11" s="1"/>
  <c r="AM209" i="11"/>
  <c r="AF331" i="11"/>
  <c r="AF328" i="11" s="1"/>
  <c r="AL332" i="11"/>
  <c r="AL331" i="11" s="1"/>
  <c r="AL328" i="11" s="1"/>
  <c r="AM441" i="11"/>
  <c r="AO2483" i="10"/>
  <c r="BH2483" i="10"/>
  <c r="BM2483" i="10" s="1"/>
  <c r="BO2483" i="10" s="1"/>
  <c r="AA2521" i="10"/>
  <c r="W2533" i="10"/>
  <c r="W2532" i="10" s="1"/>
  <c r="W2531" i="10" s="1"/>
  <c r="W2530" i="10" s="1"/>
  <c r="AK29" i="11"/>
  <c r="W45" i="11"/>
  <c r="W44" i="11" s="1"/>
  <c r="AM132" i="11"/>
  <c r="AM168" i="11"/>
  <c r="AG284" i="11"/>
  <c r="AG177" i="11" s="1"/>
  <c r="AK457" i="11"/>
  <c r="AL484" i="11"/>
  <c r="AL483" i="11" s="1"/>
  <c r="AF483" i="11"/>
  <c r="AM2348" i="10"/>
  <c r="S2490" i="10"/>
  <c r="AU2494" i="10"/>
  <c r="BA2515" i="10"/>
  <c r="AM2525" i="10"/>
  <c r="AJ2526" i="10"/>
  <c r="X45" i="11"/>
  <c r="X44" i="11" s="1"/>
  <c r="AI99" i="11"/>
  <c r="S113" i="11"/>
  <c r="AK120" i="11"/>
  <c r="Q138" i="11"/>
  <c r="AM198" i="11"/>
  <c r="AM241" i="11"/>
  <c r="S294" i="11"/>
  <c r="Q284" i="11"/>
  <c r="S284" i="11" s="1"/>
  <c r="AK355" i="11"/>
  <c r="Q378" i="11"/>
  <c r="S379" i="11"/>
  <c r="AL458" i="11"/>
  <c r="AL457" i="11" s="1"/>
  <c r="AL503" i="11"/>
  <c r="AL497" i="11" s="1"/>
  <c r="AF497" i="11"/>
  <c r="AF494" i="11" s="1"/>
  <c r="AF276" i="11"/>
  <c r="AC284" i="11"/>
  <c r="AC177" i="11" s="1"/>
  <c r="AL343" i="11"/>
  <c r="AL342" i="11" s="1"/>
  <c r="AF342" i="11"/>
  <c r="AF383" i="11"/>
  <c r="AF378" i="11" s="1"/>
  <c r="AL384" i="11"/>
  <c r="AL383" i="11" s="1"/>
  <c r="AJ486" i="11"/>
  <c r="AY2504" i="10"/>
  <c r="AY2503" i="10" s="1"/>
  <c r="AA2528" i="10"/>
  <c r="AV2528" i="10"/>
  <c r="AD2527" i="10"/>
  <c r="AF38" i="11"/>
  <c r="AM190" i="11"/>
  <c r="AM215" i="11"/>
  <c r="AL418" i="11"/>
  <c r="AL416" i="11" s="1"/>
  <c r="AL415" i="11" s="1"/>
  <c r="AF416" i="11"/>
  <c r="AF415" i="11" s="1"/>
  <c r="AF413" i="11" s="1"/>
  <c r="AK424" i="11"/>
  <c r="AK483" i="11"/>
  <c r="AU2498" i="10"/>
  <c r="AZ2506" i="10"/>
  <c r="AZ2504" i="10" s="1"/>
  <c r="AZ2503" i="10" s="1"/>
  <c r="AK147" i="11"/>
  <c r="AL229" i="11"/>
  <c r="AM248" i="11"/>
  <c r="AM321" i="11"/>
  <c r="AM331" i="11"/>
  <c r="V416" i="11"/>
  <c r="V415" i="11" s="1"/>
  <c r="V413" i="11" s="1"/>
  <c r="AM479" i="11"/>
  <c r="AF522" i="11"/>
  <c r="AL524" i="11"/>
  <c r="AL522" i="11" s="1"/>
  <c r="V198" i="11"/>
  <c r="V190" i="11" s="1"/>
  <c r="AM268" i="11"/>
  <c r="AM379" i="11"/>
  <c r="AM378" i="11" s="1"/>
  <c r="AM433" i="11"/>
  <c r="AL452" i="11"/>
  <c r="AL450" i="11" s="1"/>
  <c r="AF450" i="11"/>
  <c r="S497" i="11"/>
  <c r="Q494" i="11"/>
  <c r="V132" i="11"/>
  <c r="AB284" i="11"/>
  <c r="AB177" i="11" s="1"/>
  <c r="AF298" i="11"/>
  <c r="AG308" i="11"/>
  <c r="AM324" i="11"/>
  <c r="S388" i="11"/>
  <c r="Q387" i="11"/>
  <c r="S387" i="11" s="1"/>
  <c r="AL406" i="11"/>
  <c r="AL414" i="11"/>
  <c r="V424" i="11"/>
  <c r="AM424" i="11"/>
  <c r="X440" i="11"/>
  <c r="V229" i="11"/>
  <c r="V225" i="11" s="1"/>
  <c r="AK229" i="11"/>
  <c r="AK225" i="11" s="1"/>
  <c r="Q328" i="11"/>
  <c r="S328" i="11" s="1"/>
  <c r="S338" i="11"/>
  <c r="AI365" i="11"/>
  <c r="AI364" i="11" s="1"/>
  <c r="AI363" i="11" s="1"/>
  <c r="AK366" i="11"/>
  <c r="AL220" i="11"/>
  <c r="AL241" i="11"/>
  <c r="AK254" i="11"/>
  <c r="AM353" i="11"/>
  <c r="AM366" i="11"/>
  <c r="AM365" i="11" s="1"/>
  <c r="AF370" i="11"/>
  <c r="AL371" i="11"/>
  <c r="AL370" i="11" s="1"/>
  <c r="AL365" i="11" s="1"/>
  <c r="AG378" i="11"/>
  <c r="AC396" i="11"/>
  <c r="AK401" i="11"/>
  <c r="AK396" i="11" s="1"/>
  <c r="AG505" i="11"/>
  <c r="AK383" i="11"/>
  <c r="AL410" i="11"/>
  <c r="AL408" i="11" s="1"/>
  <c r="AF408" i="11"/>
  <c r="AF405" i="11" s="1"/>
  <c r="AL540" i="11"/>
  <c r="AL539" i="11" s="1"/>
  <c r="AL536" i="11" s="1"/>
  <c r="AF539" i="11"/>
  <c r="AF536" i="11" s="1"/>
  <c r="AL550" i="11"/>
  <c r="AK522" i="11"/>
  <c r="AK539" i="11"/>
  <c r="AK536" i="11" s="1"/>
  <c r="AG364" i="11"/>
  <c r="AG387" i="11"/>
  <c r="AI486" i="11"/>
  <c r="W486" i="11"/>
  <c r="AK497" i="11"/>
  <c r="AK494" i="11" s="1"/>
  <c r="AK492" i="11" s="1"/>
  <c r="AK490" i="11" s="1"/>
  <c r="AI559" i="11"/>
  <c r="X138" i="11"/>
  <c r="X137" i="11" s="1"/>
  <c r="V160" i="11"/>
  <c r="V268" i="11"/>
  <c r="W387" i="11"/>
  <c r="W363" i="11" s="1"/>
  <c r="AL474" i="11"/>
  <c r="AL473" i="11" s="1"/>
  <c r="AF473" i="11"/>
  <c r="AB492" i="11"/>
  <c r="AB490" i="11" s="1"/>
  <c r="AL506" i="11"/>
  <c r="AF527" i="11"/>
  <c r="AF525" i="11" s="1"/>
  <c r="AK215" i="11"/>
  <c r="AK268" i="11"/>
  <c r="W423" i="11"/>
  <c r="AC492" i="11"/>
  <c r="AC490" i="11" s="1"/>
  <c r="AL376" i="11"/>
  <c r="AL374" i="11" s="1"/>
  <c r="AF374" i="11"/>
  <c r="AG525" i="11"/>
  <c r="AG521" i="11" s="1"/>
  <c r="AK550" i="11"/>
  <c r="AF366" i="11"/>
  <c r="AF401" i="11"/>
  <c r="AK413" i="11"/>
  <c r="AL442" i="11"/>
  <c r="AL441" i="11" s="1"/>
  <c r="AF441" i="11"/>
  <c r="AF440" i="11" s="1"/>
  <c r="S522" i="11"/>
  <c r="AL507" i="11"/>
  <c r="AK525" i="11"/>
  <c r="V550" i="11"/>
  <c r="V559" i="11" s="1"/>
  <c r="AF397" i="11"/>
  <c r="AL525" i="11"/>
  <c r="AG559" i="11"/>
  <c r="AM494" i="11"/>
  <c r="AJ559" i="11"/>
  <c r="W492" i="11"/>
  <c r="W490" i="11" s="1"/>
  <c r="W548" i="11" s="1"/>
  <c r="AM507" i="11"/>
  <c r="AM505" i="11" s="1"/>
  <c r="AL555" i="11"/>
  <c r="K223" i="10" l="1"/>
  <c r="AC548" i="11"/>
  <c r="AB548" i="11"/>
  <c r="K76" i="10"/>
  <c r="L112" i="10"/>
  <c r="AU240" i="10"/>
  <c r="AU77" i="10"/>
  <c r="AR1292" i="10"/>
  <c r="L1533" i="10"/>
  <c r="AR1660" i="10"/>
  <c r="Q1972" i="10"/>
  <c r="V521" i="11"/>
  <c r="V518" i="11" s="1"/>
  <c r="V516" i="11" s="1"/>
  <c r="AJ548" i="11"/>
  <c r="AI548" i="11"/>
  <c r="AU523" i="10"/>
  <c r="BA120" i="10"/>
  <c r="AU70" i="10"/>
  <c r="AU221" i="10"/>
  <c r="AR2298" i="10"/>
  <c r="AU1290" i="10"/>
  <c r="L2435" i="10"/>
  <c r="AK284" i="11"/>
  <c r="AK177" i="11" s="1"/>
  <c r="V138" i="11"/>
  <c r="V137" i="11" s="1"/>
  <c r="AK559" i="11"/>
  <c r="J2299" i="10"/>
  <c r="L2299" i="10" s="1"/>
  <c r="L2347" i="10"/>
  <c r="W2166" i="10"/>
  <c r="V2162" i="10"/>
  <c r="V2161" i="10" s="1"/>
  <c r="V2160" i="10" s="1"/>
  <c r="E430" i="11"/>
  <c r="F430" i="11" s="1"/>
  <c r="BO2141" i="10"/>
  <c r="BM2220" i="10"/>
  <c r="BH2219" i="10"/>
  <c r="E219" i="11"/>
  <c r="F219" i="11" s="1"/>
  <c r="BO714" i="10"/>
  <c r="E317" i="11"/>
  <c r="F317" i="11" s="1"/>
  <c r="BO1038" i="10"/>
  <c r="J1292" i="10"/>
  <c r="L1292" i="10" s="1"/>
  <c r="L1293" i="10"/>
  <c r="E53" i="11"/>
  <c r="F53" i="11" s="1"/>
  <c r="BO130" i="10"/>
  <c r="AV1273" i="10"/>
  <c r="AD1272" i="10"/>
  <c r="AA1273" i="10"/>
  <c r="X363" i="11"/>
  <c r="AJ211" i="10"/>
  <c r="AU211" i="10"/>
  <c r="AN211" i="10"/>
  <c r="V1821" i="10"/>
  <c r="AN187" i="10"/>
  <c r="AO187" i="10"/>
  <c r="E83" i="11"/>
  <c r="F83" i="11" s="1"/>
  <c r="BO179" i="10"/>
  <c r="X307" i="11"/>
  <c r="V378" i="11"/>
  <c r="AJ1290" i="10"/>
  <c r="AM1289" i="10"/>
  <c r="AJ1289" i="10" s="1"/>
  <c r="J2043" i="10"/>
  <c r="L2043" i="10" s="1"/>
  <c r="L2047" i="10"/>
  <c r="AM99" i="11"/>
  <c r="V308" i="11"/>
  <c r="AF308" i="11"/>
  <c r="AF307" i="11" s="1"/>
  <c r="AK353" i="11"/>
  <c r="AC176" i="11"/>
  <c r="AL378" i="11"/>
  <c r="AK423" i="11"/>
  <c r="AL225" i="11"/>
  <c r="AB176" i="11"/>
  <c r="V423" i="11"/>
  <c r="AM364" i="11"/>
  <c r="AM363" i="11" s="1"/>
  <c r="AK378" i="11"/>
  <c r="AJ1273" i="10"/>
  <c r="AM1272" i="10"/>
  <c r="AU1273" i="10"/>
  <c r="BH1878" i="10"/>
  <c r="BM1879" i="10"/>
  <c r="E50" i="11"/>
  <c r="F50" i="11" s="1"/>
  <c r="BO126" i="10"/>
  <c r="AM2175" i="10"/>
  <c r="AJ2175" i="10" s="1"/>
  <c r="AU2176" i="10"/>
  <c r="AJ2176" i="10"/>
  <c r="AJ2084" i="10"/>
  <c r="AM2083" i="10"/>
  <c r="AV2242" i="10"/>
  <c r="AA2242" i="10"/>
  <c r="L1880" i="10"/>
  <c r="AJ2272" i="10"/>
  <c r="AM2271" i="10"/>
  <c r="AJ2271" i="10" s="1"/>
  <c r="AZ119" i="10"/>
  <c r="BO487" i="10"/>
  <c r="E432" i="11"/>
  <c r="F432" i="11" s="1"/>
  <c r="BA749" i="10"/>
  <c r="BA665" i="10" s="1"/>
  <c r="L2237" i="10"/>
  <c r="J2233" i="10"/>
  <c r="L2233" i="10" s="1"/>
  <c r="AD2252" i="10"/>
  <c r="AA2253" i="10"/>
  <c r="AR1532" i="10"/>
  <c r="V1532" i="10"/>
  <c r="K1348" i="10"/>
  <c r="AM109" i="10"/>
  <c r="AN109" i="10" s="1"/>
  <c r="AU110" i="10"/>
  <c r="AJ110" i="10"/>
  <c r="E59" i="11"/>
  <c r="F59" i="11" s="1"/>
  <c r="BO136" i="10"/>
  <c r="E17" i="11"/>
  <c r="F17" i="11" s="1"/>
  <c r="BO32" i="10"/>
  <c r="E546" i="11"/>
  <c r="F546" i="11" s="1"/>
  <c r="BO2498" i="10"/>
  <c r="AM2252" i="10"/>
  <c r="AJ2253" i="10"/>
  <c r="AV2196" i="10"/>
  <c r="AA2196" i="10"/>
  <c r="E541" i="11"/>
  <c r="F541" i="11" s="1"/>
  <c r="BO2493" i="10"/>
  <c r="AZ371" i="10"/>
  <c r="AZ370" i="10" s="1"/>
  <c r="AZ279" i="10" s="1"/>
  <c r="BA372" i="10"/>
  <c r="BA371" i="10" s="1"/>
  <c r="BA370" i="10" s="1"/>
  <c r="BO699" i="10"/>
  <c r="E204" i="11"/>
  <c r="F204" i="11" s="1"/>
  <c r="AH213" i="11"/>
  <c r="Y213" i="11"/>
  <c r="I213" i="11"/>
  <c r="J213" i="11"/>
  <c r="M213" i="11"/>
  <c r="AH203" i="11"/>
  <c r="Y203" i="11"/>
  <c r="BH2383" i="10"/>
  <c r="BM2384" i="10"/>
  <c r="BM2383" i="10" s="1"/>
  <c r="BM111" i="10"/>
  <c r="BH110" i="10"/>
  <c r="BH109" i="10" s="1"/>
  <c r="AR223" i="10"/>
  <c r="AD176" i="11"/>
  <c r="AD468" i="11" s="1"/>
  <c r="K3" i="10"/>
  <c r="AK14" i="11"/>
  <c r="AM69" i="10"/>
  <c r="AJ70" i="10"/>
  <c r="AV1610" i="10"/>
  <c r="AA1610" i="10"/>
  <c r="AJ2283" i="10"/>
  <c r="AU2283" i="10"/>
  <c r="AM2282" i="10"/>
  <c r="AJ2282" i="10" s="1"/>
  <c r="R2196" i="10"/>
  <c r="S2196" i="10" s="1"/>
  <c r="S2197" i="10"/>
  <c r="BH187" i="10"/>
  <c r="BM188" i="10"/>
  <c r="E82" i="11"/>
  <c r="F82" i="11" s="1"/>
  <c r="BO178" i="10"/>
  <c r="AR118" i="10"/>
  <c r="W2162" i="10"/>
  <c r="W2161" i="10" s="1"/>
  <c r="AN2528" i="10"/>
  <c r="AR3" i="10"/>
  <c r="AR2" i="10" s="1"/>
  <c r="BA257" i="10"/>
  <c r="BA250" i="10" s="1"/>
  <c r="Q223" i="10"/>
  <c r="W371" i="10"/>
  <c r="W370" i="10" s="1"/>
  <c r="W279" i="10" s="1"/>
  <c r="AD228" i="10"/>
  <c r="AU681" i="10"/>
  <c r="L436" i="10"/>
  <c r="V284" i="11"/>
  <c r="V177" i="11" s="1"/>
  <c r="X176" i="11"/>
  <c r="X468" i="11" s="1"/>
  <c r="V364" i="11"/>
  <c r="V363" i="11" s="1"/>
  <c r="AO234" i="10"/>
  <c r="AN234" i="10"/>
  <c r="BH234" i="10"/>
  <c r="BM235" i="10"/>
  <c r="BO132" i="10"/>
  <c r="E55" i="11"/>
  <c r="F55" i="11" s="1"/>
  <c r="AJ63" i="10"/>
  <c r="AU63" i="10"/>
  <c r="E10" i="11"/>
  <c r="F10" i="11" s="1"/>
  <c r="BO10" i="10"/>
  <c r="BM212" i="10"/>
  <c r="BH211" i="10"/>
  <c r="BO253" i="10"/>
  <c r="E116" i="11"/>
  <c r="F116" i="11" s="1"/>
  <c r="AO63" i="10"/>
  <c r="AN63" i="10"/>
  <c r="AA187" i="10"/>
  <c r="AV187" i="10"/>
  <c r="AD180" i="10"/>
  <c r="AU187" i="10"/>
  <c r="AJ234" i="10"/>
  <c r="AM233" i="10"/>
  <c r="AJ233" i="10" s="1"/>
  <c r="AA281" i="10"/>
  <c r="AD280" i="10"/>
  <c r="AV281" i="10"/>
  <c r="AU229" i="10"/>
  <c r="AA229" i="10"/>
  <c r="AV229" i="10"/>
  <c r="S372" i="10"/>
  <c r="R371" i="10"/>
  <c r="E250" i="11"/>
  <c r="F250" i="11" s="1"/>
  <c r="M250" i="11" s="1"/>
  <c r="BO745" i="10"/>
  <c r="E175" i="11"/>
  <c r="F175" i="11" s="1"/>
  <c r="BO663" i="10"/>
  <c r="AV1689" i="10"/>
  <c r="AA1689" i="10"/>
  <c r="AA1294" i="10"/>
  <c r="AV1294" i="10"/>
  <c r="AJ2221" i="10"/>
  <c r="AN2221" i="10"/>
  <c r="AV2253" i="10"/>
  <c r="AU2253" i="10"/>
  <c r="AV2202" i="10"/>
  <c r="AA2202" i="10"/>
  <c r="Y83" i="11"/>
  <c r="J83" i="11"/>
  <c r="AH83" i="11"/>
  <c r="I83" i="11"/>
  <c r="M83" i="11"/>
  <c r="E530" i="11"/>
  <c r="F530" i="11" s="1"/>
  <c r="E205" i="11"/>
  <c r="F205" i="11" s="1"/>
  <c r="BO700" i="10"/>
  <c r="E253" i="11"/>
  <c r="F253" i="11" s="1"/>
  <c r="BO748" i="10"/>
  <c r="M50" i="11"/>
  <c r="AH50" i="11"/>
  <c r="J50" i="11"/>
  <c r="I50" i="11"/>
  <c r="Y50" i="11"/>
  <c r="AV2219" i="10"/>
  <c r="AA2219" i="10"/>
  <c r="AZ2160" i="10"/>
  <c r="AL387" i="11"/>
  <c r="AF387" i="11"/>
  <c r="BM2203" i="10"/>
  <c r="BH2202" i="10"/>
  <c r="AV2261" i="10"/>
  <c r="AA2261" i="10"/>
  <c r="L1349" i="10"/>
  <c r="V2298" i="10"/>
  <c r="AM14" i="11"/>
  <c r="AI176" i="11"/>
  <c r="AI468" i="11" s="1"/>
  <c r="V328" i="11"/>
  <c r="V307" i="11" s="1"/>
  <c r="AB363" i="11"/>
  <c r="AB468" i="11" s="1"/>
  <c r="V14" i="11"/>
  <c r="V4" i="11" s="1"/>
  <c r="L1448" i="10"/>
  <c r="AS233" i="10"/>
  <c r="L1592" i="10"/>
  <c r="L242" i="10"/>
  <c r="L280" i="10"/>
  <c r="L54" i="10"/>
  <c r="AA2294" i="10"/>
  <c r="AV2294" i="10"/>
  <c r="AD2293" i="10"/>
  <c r="AU2293" i="10" s="1"/>
  <c r="AU2294" i="10"/>
  <c r="AA2088" i="10"/>
  <c r="AV2088" i="10"/>
  <c r="AD2087" i="10"/>
  <c r="AV2045" i="10"/>
  <c r="AD2044" i="10"/>
  <c r="AA2044" i="10" s="1"/>
  <c r="AA2045" i="10"/>
  <c r="AA1026" i="10"/>
  <c r="AV1026" i="10"/>
  <c r="AU1026" i="10"/>
  <c r="E207" i="11"/>
  <c r="F207" i="11" s="1"/>
  <c r="BO702" i="10"/>
  <c r="E255" i="11"/>
  <c r="F255" i="11" s="1"/>
  <c r="BO750" i="10"/>
  <c r="BO881" i="10"/>
  <c r="E279" i="11"/>
  <c r="F279" i="11" s="1"/>
  <c r="L1279" i="10"/>
  <c r="J1258" i="10"/>
  <c r="BH1342" i="10"/>
  <c r="BH1341" i="10" s="1"/>
  <c r="BM1343" i="10"/>
  <c r="AK45" i="11"/>
  <c r="AK44" i="11" s="1"/>
  <c r="J118" i="10"/>
  <c r="V223" i="10"/>
  <c r="L205" i="10"/>
  <c r="AL505" i="11"/>
  <c r="V486" i="11"/>
  <c r="AM559" i="11"/>
  <c r="AK328" i="11"/>
  <c r="AK307" i="11" s="1"/>
  <c r="W535" i="10"/>
  <c r="AU1300" i="10"/>
  <c r="W1266" i="10"/>
  <c r="W1265" i="10" s="1"/>
  <c r="W1258" i="10" s="1"/>
  <c r="AD242" i="10"/>
  <c r="AU2084" i="10"/>
  <c r="Q501" i="10"/>
  <c r="Q500" i="10" s="1"/>
  <c r="Q1533" i="10"/>
  <c r="AU2272" i="10"/>
  <c r="AR2232" i="10"/>
  <c r="L2178" i="10"/>
  <c r="Q2232" i="10"/>
  <c r="BM2162" i="10"/>
  <c r="AL14" i="11"/>
  <c r="AK521" i="11"/>
  <c r="AK518" i="11" s="1"/>
  <c r="AK516" i="11" s="1"/>
  <c r="AK548" i="11" s="1"/>
  <c r="AU621" i="10"/>
  <c r="AV621" i="10"/>
  <c r="AA621" i="10"/>
  <c r="BO2450" i="10"/>
  <c r="E526" i="11"/>
  <c r="F526" i="11" s="1"/>
  <c r="E439" i="11"/>
  <c r="F439" i="11" s="1"/>
  <c r="BO2159" i="10"/>
  <c r="BH63" i="10"/>
  <c r="BM64" i="10"/>
  <c r="AV215" i="10"/>
  <c r="AA215" i="10"/>
  <c r="BH394" i="10"/>
  <c r="BH393" i="10" s="1"/>
  <c r="BM395" i="10"/>
  <c r="AJ675" i="10"/>
  <c r="AU675" i="10"/>
  <c r="S355" i="10"/>
  <c r="R326" i="10"/>
  <c r="AV710" i="10"/>
  <c r="AA710" i="10"/>
  <c r="L1259" i="10"/>
  <c r="K1258" i="10"/>
  <c r="AA1296" i="10"/>
  <c r="AV1296" i="10"/>
  <c r="AD1293" i="10"/>
  <c r="AD1259" i="10"/>
  <c r="AA1260" i="10"/>
  <c r="AV1260" i="10"/>
  <c r="BI852" i="10"/>
  <c r="BM852" i="10"/>
  <c r="BO852" i="10" s="1"/>
  <c r="E341" i="11"/>
  <c r="F341" i="11" s="1"/>
  <c r="BO1088" i="10"/>
  <c r="AA1913" i="10"/>
  <c r="AV1913" i="10"/>
  <c r="E498" i="11"/>
  <c r="F498" i="11" s="1"/>
  <c r="BO2356" i="10"/>
  <c r="E442" i="11"/>
  <c r="F442" i="11" s="1"/>
  <c r="BO2163" i="10"/>
  <c r="E443" i="11"/>
  <c r="F443" i="11" s="1"/>
  <c r="AE443" i="11" s="1"/>
  <c r="BO2164" i="10"/>
  <c r="AD2282" i="10"/>
  <c r="AV2283" i="10"/>
  <c r="AA2283" i="10"/>
  <c r="AA2176" i="10"/>
  <c r="AD2175" i="10"/>
  <c r="AV2176" i="10"/>
  <c r="K2286" i="10"/>
  <c r="L2287" i="10"/>
  <c r="AJ2044" i="10"/>
  <c r="AD2241" i="10"/>
  <c r="AU2241" i="10" s="1"/>
  <c r="AU2242" i="10"/>
  <c r="AU2217" i="10"/>
  <c r="AJ2217" i="10"/>
  <c r="AA2259" i="10"/>
  <c r="AV2259" i="10"/>
  <c r="AD2258" i="10"/>
  <c r="I412" i="11"/>
  <c r="AE412" i="11"/>
  <c r="Y412" i="11"/>
  <c r="AH412" i="11"/>
  <c r="J412" i="11"/>
  <c r="M412" i="11"/>
  <c r="AM2527" i="10"/>
  <c r="AJ2528" i="10"/>
  <c r="AU2528" i="10"/>
  <c r="BO2381" i="10"/>
  <c r="E513" i="11"/>
  <c r="F513" i="11" s="1"/>
  <c r="BH2499" i="10"/>
  <c r="BM2500" i="10"/>
  <c r="AM2255" i="10"/>
  <c r="AJ2255" i="10" s="1"/>
  <c r="AJ2256" i="10"/>
  <c r="S618" i="10"/>
  <c r="R611" i="10"/>
  <c r="S611" i="10" s="1"/>
  <c r="S2208" i="10"/>
  <c r="R2207" i="10"/>
  <c r="S2207" i="10" s="1"/>
  <c r="J500" i="11"/>
  <c r="I500" i="11"/>
  <c r="E431" i="11"/>
  <c r="F431" i="11" s="1"/>
  <c r="BO2142" i="10"/>
  <c r="BO11" i="10"/>
  <c r="E11" i="11"/>
  <c r="F11" i="11" s="1"/>
  <c r="BO137" i="10"/>
  <c r="E60" i="11"/>
  <c r="F60" i="11" s="1"/>
  <c r="E214" i="11"/>
  <c r="F214" i="11" s="1"/>
  <c r="BO709" i="10"/>
  <c r="E234" i="11"/>
  <c r="F234" i="11" s="1"/>
  <c r="BO728" i="10"/>
  <c r="AO2213" i="10"/>
  <c r="AN2213" i="10"/>
  <c r="BH2528" i="10"/>
  <c r="BH2527" i="10" s="1"/>
  <c r="BM2529" i="10"/>
  <c r="BM244" i="10"/>
  <c r="BH243" i="10"/>
  <c r="BO537" i="10"/>
  <c r="E149" i="11"/>
  <c r="F149" i="11" s="1"/>
  <c r="BM851" i="10"/>
  <c r="BI851" i="10"/>
  <c r="E448" i="11"/>
  <c r="F448" i="11" s="1"/>
  <c r="BO2174" i="10"/>
  <c r="AO2217" i="10"/>
  <c r="AN2217" i="10"/>
  <c r="E316" i="11"/>
  <c r="F316" i="11" s="1"/>
  <c r="BO1037" i="10"/>
  <c r="AE444" i="11"/>
  <c r="Y444" i="11"/>
  <c r="AH444" i="11"/>
  <c r="I444" i="11"/>
  <c r="BH1260" i="10"/>
  <c r="BH1259" i="10" s="1"/>
  <c r="BM1261" i="10"/>
  <c r="BM1260" i="10" s="1"/>
  <c r="E545" i="11"/>
  <c r="F545" i="11" s="1"/>
  <c r="BO2497" i="10"/>
  <c r="AH411" i="11"/>
  <c r="M411" i="11"/>
  <c r="I411" i="11"/>
  <c r="AE411" i="11"/>
  <c r="BM2519" i="10"/>
  <c r="BH2518" i="10"/>
  <c r="BH2517" i="10" s="1"/>
  <c r="BM534" i="10"/>
  <c r="BH531" i="10"/>
  <c r="L2252" i="10"/>
  <c r="J2244" i="10"/>
  <c r="L2244" i="10" s="1"/>
  <c r="W629" i="10"/>
  <c r="W2032" i="10"/>
  <c r="W2031" i="10" s="1"/>
  <c r="W2030" i="10" s="1"/>
  <c r="S1295" i="10"/>
  <c r="V1292" i="10"/>
  <c r="W136" i="11"/>
  <c r="K2160" i="10"/>
  <c r="Y201" i="11"/>
  <c r="J3" i="10"/>
  <c r="AM2087" i="10"/>
  <c r="AU2088" i="10"/>
  <c r="AJ2088" i="10"/>
  <c r="AD273" i="10"/>
  <c r="AA274" i="10"/>
  <c r="AV274" i="10"/>
  <c r="AD112" i="10"/>
  <c r="AA113" i="10"/>
  <c r="AV189" i="10"/>
  <c r="AA189" i="10"/>
  <c r="L1972" i="10"/>
  <c r="L28" i="10"/>
  <c r="AK440" i="11"/>
  <c r="AA2215" i="10"/>
  <c r="AV2215" i="10"/>
  <c r="J2277" i="10"/>
  <c r="AA1878" i="10"/>
  <c r="AV1878" i="10"/>
  <c r="AU215" i="10"/>
  <c r="AJ1345" i="10"/>
  <c r="AM1344" i="10"/>
  <c r="AJ1344" i="10" s="1"/>
  <c r="AV55" i="10"/>
  <c r="AA55" i="10"/>
  <c r="J1532" i="10"/>
  <c r="L1532" i="10" s="1"/>
  <c r="V99" i="11"/>
  <c r="AZ2232" i="10"/>
  <c r="AJ1287" i="10"/>
  <c r="AU1287" i="10"/>
  <c r="AM1286" i="10"/>
  <c r="AM492" i="11"/>
  <c r="AM490" i="11" s="1"/>
  <c r="AM308" i="11"/>
  <c r="AL423" i="11"/>
  <c r="V2501" i="10"/>
  <c r="J223" i="10"/>
  <c r="AV2179" i="10"/>
  <c r="AA2179" i="10"/>
  <c r="AV2205" i="10"/>
  <c r="AA2205" i="10"/>
  <c r="AM397" i="10"/>
  <c r="AJ398" i="10"/>
  <c r="AU238" i="10"/>
  <c r="AJ238" i="10"/>
  <c r="AK99" i="11"/>
  <c r="AL284" i="11"/>
  <c r="AF559" i="11"/>
  <c r="AV877" i="10"/>
  <c r="AA877" i="10"/>
  <c r="AV367" i="10"/>
  <c r="AA367" i="10"/>
  <c r="AD366" i="10"/>
  <c r="AA240" i="10"/>
  <c r="AV240" i="10"/>
  <c r="AL63" i="11"/>
  <c r="AL45" i="11" s="1"/>
  <c r="AL44" i="11" s="1"/>
  <c r="Q1292" i="10"/>
  <c r="AV245" i="10"/>
  <c r="AA245" i="10"/>
  <c r="AA238" i="10"/>
  <c r="AV238" i="10"/>
  <c r="AK138" i="11"/>
  <c r="AK137" i="11" s="1"/>
  <c r="J2386" i="10"/>
  <c r="X548" i="11"/>
  <c r="L1984" i="10"/>
  <c r="L233" i="10"/>
  <c r="P4" i="10"/>
  <c r="U2090" i="10"/>
  <c r="P436" i="10"/>
  <c r="V665" i="10"/>
  <c r="T1448" i="10"/>
  <c r="W266" i="10"/>
  <c r="R2489" i="10"/>
  <c r="S2489" i="10" s="1"/>
  <c r="BA438" i="10"/>
  <c r="BA437" i="10" s="1"/>
  <c r="BA436" i="10" s="1"/>
  <c r="V4" i="10"/>
  <c r="V3" i="10" s="1"/>
  <c r="AZ1974" i="10"/>
  <c r="AZ1973" i="10" s="1"/>
  <c r="AZ1972" i="10" s="1"/>
  <c r="U266" i="10"/>
  <c r="S2089" i="10"/>
  <c r="S2373" i="10"/>
  <c r="P2090" i="10"/>
  <c r="R2084" i="10"/>
  <c r="S2084" i="10" s="1"/>
  <c r="S2253" i="10"/>
  <c r="AY1293" i="10"/>
  <c r="AY242" i="10"/>
  <c r="S2254" i="10"/>
  <c r="W995" i="10"/>
  <c r="P1293" i="10"/>
  <c r="W611" i="10"/>
  <c r="R66" i="10"/>
  <c r="S277" i="10"/>
  <c r="AZ4" i="10"/>
  <c r="AZ3" i="10" s="1"/>
  <c r="S2088" i="10"/>
  <c r="W5" i="10"/>
  <c r="R2205" i="10"/>
  <c r="S2205" i="10" s="1"/>
  <c r="BA2243" i="10"/>
  <c r="BA2242" i="10" s="1"/>
  <c r="BA2241" i="10" s="1"/>
  <c r="BA2233" i="10" s="1"/>
  <c r="R2181" i="10"/>
  <c r="S2181" i="10" s="1"/>
  <c r="W749" i="10"/>
  <c r="U2277" i="10"/>
  <c r="R13" i="10"/>
  <c r="S13" i="10" s="1"/>
  <c r="W242" i="10"/>
  <c r="AY2285" i="10"/>
  <c r="U4" i="10"/>
  <c r="S225" i="10"/>
  <c r="R2238" i="10"/>
  <c r="S2238" i="10" s="1"/>
  <c r="Q2502" i="10"/>
  <c r="Q2501" i="10" s="1"/>
  <c r="W758" i="10"/>
  <c r="P2233" i="10"/>
  <c r="R206" i="10"/>
  <c r="S206" i="10" s="1"/>
  <c r="P1880" i="10"/>
  <c r="U250" i="10"/>
  <c r="P2264" i="10"/>
  <c r="AZ1880" i="10"/>
  <c r="AY266" i="10"/>
  <c r="U233" i="10"/>
  <c r="R2445" i="10"/>
  <c r="S2445" i="10" s="1"/>
  <c r="Q2445" i="10"/>
  <c r="Q2435" i="10" s="1"/>
  <c r="Q2386" i="10" s="1"/>
  <c r="Q2298" i="10" s="1"/>
  <c r="P28" i="10"/>
  <c r="U1293" i="10"/>
  <c r="W76" i="10"/>
  <c r="W2502" i="10"/>
  <c r="R758" i="10"/>
  <c r="S758" i="10" s="1"/>
  <c r="R234" i="10"/>
  <c r="S234" i="10" s="1"/>
  <c r="R523" i="10"/>
  <c r="S523" i="10" s="1"/>
  <c r="W644" i="10"/>
  <c r="W643" i="10" s="1"/>
  <c r="W153" i="10"/>
  <c r="R2436" i="10"/>
  <c r="S2436" i="10" s="1"/>
  <c r="R397" i="10"/>
  <c r="S397" i="10" s="1"/>
  <c r="W250" i="10"/>
  <c r="Q4" i="10"/>
  <c r="Q3" i="10" s="1"/>
  <c r="S2263" i="10"/>
  <c r="R1283" i="10"/>
  <c r="S1283" i="10" s="1"/>
  <c r="S1287" i="10"/>
  <c r="P2043" i="10"/>
  <c r="P1299" i="10"/>
  <c r="AZ1448" i="10"/>
  <c r="R29" i="10"/>
  <c r="S29" i="10" s="1"/>
  <c r="AY1321" i="10"/>
  <c r="BA242" i="10"/>
  <c r="BA233" i="10"/>
  <c r="W13" i="10"/>
  <c r="W540" i="10"/>
  <c r="U76" i="10"/>
  <c r="W2447" i="10"/>
  <c r="W2435" i="10" s="1"/>
  <c r="P2523" i="10"/>
  <c r="BA1661" i="10"/>
  <c r="BA1660" i="10" s="1"/>
  <c r="W1306" i="10"/>
  <c r="W1299" i="10" s="1"/>
  <c r="AY233" i="10"/>
  <c r="P2502" i="10"/>
  <c r="U54" i="10"/>
  <c r="BA13" i="10"/>
  <c r="BA2285" i="10"/>
  <c r="S2518" i="10"/>
  <c r="U2204" i="10"/>
  <c r="U1321" i="10"/>
  <c r="U2244" i="10"/>
  <c r="S2203" i="10"/>
  <c r="AY1984" i="10"/>
  <c r="AY1972" i="10" s="1"/>
  <c r="T1822" i="10"/>
  <c r="AY2204" i="10"/>
  <c r="BA281" i="10"/>
  <c r="BA280" i="10" s="1"/>
  <c r="P205" i="10"/>
  <c r="AS1237" i="10"/>
  <c r="AO1237" i="10" s="1"/>
  <c r="AY54" i="10"/>
  <c r="W68" i="10"/>
  <c r="R2052" i="10"/>
  <c r="R2051" i="10" s="1"/>
  <c r="R2090" i="10"/>
  <c r="AZ223" i="10"/>
  <c r="W228" i="10"/>
  <c r="W1661" i="10"/>
  <c r="W1068" i="10"/>
  <c r="AZ1349" i="10"/>
  <c r="U1533" i="10"/>
  <c r="AZ1292" i="10"/>
  <c r="W608" i="10"/>
  <c r="P2277" i="10"/>
  <c r="Q436" i="10"/>
  <c r="R2504" i="10"/>
  <c r="R2503" i="10" s="1"/>
  <c r="R1989" i="10"/>
  <c r="S1989" i="10" s="1"/>
  <c r="BA2511" i="10"/>
  <c r="BA2510" i="10" s="1"/>
  <c r="BA2502" i="10" s="1"/>
  <c r="BA2501" i="10" s="1"/>
  <c r="U2264" i="10"/>
  <c r="BA2180" i="10"/>
  <c r="BA2179" i="10" s="1"/>
  <c r="BA2178" i="10" s="1"/>
  <c r="W2523" i="10"/>
  <c r="U2285" i="10"/>
  <c r="P266" i="10"/>
  <c r="AN722" i="10"/>
  <c r="V119" i="10"/>
  <c r="V118" i="10" s="1"/>
  <c r="Q1822" i="10"/>
  <c r="AY2523" i="10"/>
  <c r="AY205" i="10"/>
  <c r="W120" i="10"/>
  <c r="R749" i="10"/>
  <c r="S749" i="10" s="1"/>
  <c r="BH1238" i="10"/>
  <c r="BM1238" i="10" s="1"/>
  <c r="R644" i="10"/>
  <c r="S644" i="10" s="1"/>
  <c r="S524" i="10"/>
  <c r="W502" i="10"/>
  <c r="W1735" i="10"/>
  <c r="P2285" i="10"/>
  <c r="BA1821" i="10"/>
  <c r="S622" i="10"/>
  <c r="Q665" i="10"/>
  <c r="U2178" i="10"/>
  <c r="Q1735" i="10"/>
  <c r="P2204" i="10"/>
  <c r="W2347" i="10"/>
  <c r="W2299" i="10" s="1"/>
  <c r="AZ1592" i="10"/>
  <c r="BA2277" i="10"/>
  <c r="W2043" i="10"/>
  <c r="W1029" i="10"/>
  <c r="BA68" i="10"/>
  <c r="BA1329" i="10"/>
  <c r="BA1322" i="10" s="1"/>
  <c r="BA1321" i="10" s="1"/>
  <c r="V1028" i="10"/>
  <c r="W1349" i="10"/>
  <c r="R2528" i="10"/>
  <c r="R2527" i="10" s="1"/>
  <c r="S2527" i="10" s="1"/>
  <c r="P180" i="10"/>
  <c r="U242" i="10"/>
  <c r="AY250" i="10"/>
  <c r="P1258" i="10"/>
  <c r="AO1238" i="10"/>
  <c r="U1258" i="10"/>
  <c r="R5" i="10"/>
  <c r="W720" i="10"/>
  <c r="U400" i="10"/>
  <c r="T1592" i="10"/>
  <c r="AZ2502" i="10"/>
  <c r="AZ2501" i="10" s="1"/>
  <c r="W180" i="10"/>
  <c r="W54" i="10"/>
  <c r="U180" i="10"/>
  <c r="AY1299" i="10"/>
  <c r="V501" i="10"/>
  <c r="V500" i="10" s="1"/>
  <c r="R502" i="10"/>
  <c r="S502" i="10" s="1"/>
  <c r="AZ2447" i="10"/>
  <c r="AZ2435" i="10" s="1"/>
  <c r="AZ2386" i="10" s="1"/>
  <c r="AZ2298" i="10" s="1"/>
  <c r="W2204" i="10"/>
  <c r="AO722" i="10"/>
  <c r="W438" i="10"/>
  <c r="W437" i="10" s="1"/>
  <c r="W436" i="10" s="1"/>
  <c r="W1533" i="10"/>
  <c r="P1349" i="10"/>
  <c r="BA636" i="10"/>
  <c r="BA635" i="10" s="1"/>
  <c r="AY1592" i="10"/>
  <c r="P1592" i="10"/>
  <c r="BA2347" i="10"/>
  <c r="BA2299" i="10" s="1"/>
  <c r="BA1306" i="10"/>
  <c r="BA1299" i="10" s="1"/>
  <c r="R2288" i="10"/>
  <c r="S2288" i="10" s="1"/>
  <c r="R367" i="10"/>
  <c r="S367" i="10" s="1"/>
  <c r="BA219" i="10"/>
  <c r="BA217" i="10" s="1"/>
  <c r="W2178" i="10"/>
  <c r="R629" i="10"/>
  <c r="S629" i="10" s="1"/>
  <c r="AY180" i="10"/>
  <c r="W233" i="10"/>
  <c r="AR664" i="10"/>
  <c r="R1913" i="10"/>
  <c r="S1913" i="10" s="1"/>
  <c r="AY400" i="10"/>
  <c r="BO722" i="10"/>
  <c r="R2259" i="10"/>
  <c r="S2260" i="10"/>
  <c r="R153" i="10"/>
  <c r="S153" i="10" s="1"/>
  <c r="Q119" i="10"/>
  <c r="Q118" i="10" s="1"/>
  <c r="R489" i="10"/>
  <c r="R488" i="10" s="1"/>
  <c r="S488" i="10" s="1"/>
  <c r="BA620" i="10"/>
  <c r="BA619" i="10" s="1"/>
  <c r="BA214" i="10"/>
  <c r="BA213" i="10" s="1"/>
  <c r="Q1592" i="10"/>
  <c r="W28" i="10"/>
  <c r="AY2277" i="10"/>
  <c r="BA2244" i="10"/>
  <c r="P119" i="10"/>
  <c r="AY2233" i="10"/>
  <c r="R2261" i="10"/>
  <c r="S2261" i="10" s="1"/>
  <c r="S2262" i="10"/>
  <c r="U501" i="10"/>
  <c r="U500" i="10" s="1"/>
  <c r="R1881" i="10"/>
  <c r="S1881" i="10" s="1"/>
  <c r="BA2204" i="10"/>
  <c r="BA523" i="10"/>
  <c r="U2347" i="10"/>
  <c r="U2299" i="10" s="1"/>
  <c r="S2048" i="10"/>
  <c r="R2047" i="10"/>
  <c r="S2047" i="10" s="1"/>
  <c r="AY2178" i="10"/>
  <c r="P242" i="10"/>
  <c r="Q1448" i="10"/>
  <c r="W400" i="10"/>
  <c r="AZ2146" i="10"/>
  <c r="AZ2145" i="10" s="1"/>
  <c r="U436" i="10"/>
  <c r="AY279" i="10"/>
  <c r="R1322" i="10"/>
  <c r="S1322" i="10" s="1"/>
  <c r="AY28" i="10"/>
  <c r="P400" i="10"/>
  <c r="AZ1822" i="10"/>
  <c r="P1735" i="10"/>
  <c r="AY436" i="10"/>
  <c r="BA207" i="10"/>
  <c r="BA206" i="10" s="1"/>
  <c r="AZ206" i="10"/>
  <c r="AZ205" i="10" s="1"/>
  <c r="S117" i="10"/>
  <c r="R116" i="10"/>
  <c r="AZ2092" i="10"/>
  <c r="AZ2091" i="10" s="1"/>
  <c r="R940" i="10"/>
  <c r="S940" i="10" s="1"/>
  <c r="BA1974" i="10"/>
  <c r="BA1973" i="10" s="1"/>
  <c r="P1448" i="10"/>
  <c r="W523" i="10"/>
  <c r="S256" i="10"/>
  <c r="R255" i="10"/>
  <c r="S255" i="10" s="1"/>
  <c r="AY2244" i="10"/>
  <c r="AY665" i="10"/>
  <c r="AY2264" i="10"/>
  <c r="AY1448" i="10"/>
  <c r="BA400" i="10"/>
  <c r="R2234" i="10"/>
  <c r="S2234" i="10" s="1"/>
  <c r="S2235" i="10"/>
  <c r="BA2447" i="10"/>
  <c r="BA2435" i="10" s="1"/>
  <c r="T1735" i="10"/>
  <c r="T1660" i="10" s="1"/>
  <c r="W1822" i="10"/>
  <c r="U28" i="10"/>
  <c r="BA2264" i="10"/>
  <c r="P76" i="10"/>
  <c r="S394" i="10"/>
  <c r="R393" i="10"/>
  <c r="S393" i="10" s="1"/>
  <c r="R1610" i="10"/>
  <c r="S1610" i="10" s="1"/>
  <c r="BA1984" i="10"/>
  <c r="U1592" i="10"/>
  <c r="Q1880" i="10"/>
  <c r="S232" i="10"/>
  <c r="R231" i="10"/>
  <c r="S231" i="10" s="1"/>
  <c r="R1297" i="10"/>
  <c r="R1296" i="10" s="1"/>
  <c r="W1880" i="10"/>
  <c r="AZ1029" i="10"/>
  <c r="AZ1028" i="10" s="1"/>
  <c r="AZ664" i="10" s="1"/>
  <c r="S1343" i="10"/>
  <c r="R1342" i="10"/>
  <c r="P2435" i="10"/>
  <c r="AY1822" i="10"/>
  <c r="P1321" i="10"/>
  <c r="U1299" i="10"/>
  <c r="BA54" i="10"/>
  <c r="AY4" i="10"/>
  <c r="BA1274" i="10"/>
  <c r="BA1273" i="10" s="1"/>
  <c r="BA1272" i="10" s="1"/>
  <c r="W1321" i="10"/>
  <c r="AY1735" i="10"/>
  <c r="R720" i="10"/>
  <c r="S720" i="10" s="1"/>
  <c r="R1981" i="10"/>
  <c r="S1981" i="10" s="1"/>
  <c r="S1982" i="10"/>
  <c r="BM2270" i="10"/>
  <c r="BH2269" i="10"/>
  <c r="BH2268" i="10" s="1"/>
  <c r="BM2243" i="10"/>
  <c r="AO367" i="10"/>
  <c r="Y211" i="11"/>
  <c r="BO742" i="10"/>
  <c r="AS77" i="10"/>
  <c r="AO78" i="10"/>
  <c r="AN78" i="10"/>
  <c r="AO2242" i="10"/>
  <c r="AS2241" i="10"/>
  <c r="AH211" i="11"/>
  <c r="AH500" i="11"/>
  <c r="AN2242" i="10"/>
  <c r="Y500" i="11"/>
  <c r="BH1943" i="10"/>
  <c r="BH1942" i="10" s="1"/>
  <c r="J411" i="11"/>
  <c r="BH1985" i="10"/>
  <c r="BM71" i="10"/>
  <c r="J201" i="11"/>
  <c r="BO134" i="10"/>
  <c r="AH201" i="11"/>
  <c r="M211" i="11"/>
  <c r="BO706" i="10"/>
  <c r="BO696" i="10"/>
  <c r="BH2213" i="10"/>
  <c r="BM2214" i="10"/>
  <c r="BH1824" i="10"/>
  <c r="E68" i="11"/>
  <c r="F68" i="11" s="1"/>
  <c r="I211" i="11"/>
  <c r="AS81" i="10"/>
  <c r="AS80" i="10" s="1"/>
  <c r="BH1717" i="10"/>
  <c r="BH1716" i="10" s="1"/>
  <c r="BH1884" i="10"/>
  <c r="BM1884" i="10" s="1"/>
  <c r="AE500" i="11"/>
  <c r="I201" i="11"/>
  <c r="E25" i="11"/>
  <c r="F25" i="11" s="1"/>
  <c r="AS2527" i="10"/>
  <c r="AO2527" i="10" s="1"/>
  <c r="AO2528" i="10"/>
  <c r="J203" i="11"/>
  <c r="M203" i="11"/>
  <c r="J211" i="11"/>
  <c r="BH2162" i="10"/>
  <c r="BH2161" i="10" s="1"/>
  <c r="Y411" i="11"/>
  <c r="BH1913" i="10"/>
  <c r="M500" i="11"/>
  <c r="E435" i="11"/>
  <c r="F435" i="11" s="1"/>
  <c r="I203" i="11"/>
  <c r="M201" i="11"/>
  <c r="M444" i="11"/>
  <c r="J444" i="11"/>
  <c r="W176" i="11"/>
  <c r="W468" i="11" s="1"/>
  <c r="AL440" i="11"/>
  <c r="AM177" i="11"/>
  <c r="AL413" i="11"/>
  <c r="X136" i="11"/>
  <c r="AM45" i="11"/>
  <c r="AM44" i="11" s="1"/>
  <c r="AM328" i="11"/>
  <c r="AJ363" i="11"/>
  <c r="AL353" i="11"/>
  <c r="AF14" i="11"/>
  <c r="AF4" i="11" s="1"/>
  <c r="AF284" i="11"/>
  <c r="AF177" i="11" s="1"/>
  <c r="AF396" i="11"/>
  <c r="AL486" i="11"/>
  <c r="V492" i="11"/>
  <c r="V490" i="11" s="1"/>
  <c r="AF492" i="11"/>
  <c r="AF490" i="11" s="1"/>
  <c r="AM440" i="11"/>
  <c r="AM521" i="11"/>
  <c r="AM518" i="11" s="1"/>
  <c r="AM516" i="11" s="1"/>
  <c r="AK365" i="11"/>
  <c r="AK364" i="11" s="1"/>
  <c r="AM138" i="11"/>
  <c r="AM137" i="11" s="1"/>
  <c r="AF99" i="11"/>
  <c r="AC363" i="11"/>
  <c r="AM486" i="11"/>
  <c r="AK486" i="11"/>
  <c r="AL99" i="11"/>
  <c r="AJ176" i="11"/>
  <c r="AL308" i="11"/>
  <c r="AL307" i="11" s="1"/>
  <c r="V440" i="11"/>
  <c r="BA2092" i="10"/>
  <c r="BA2091" i="10" s="1"/>
  <c r="AO1716" i="10"/>
  <c r="AN1716" i="10"/>
  <c r="BM1767" i="10"/>
  <c r="BH1765" i="10"/>
  <c r="BH81" i="10"/>
  <c r="BH80" i="10" s="1"/>
  <c r="BM82" i="10"/>
  <c r="E72" i="11"/>
  <c r="F72" i="11" s="1"/>
  <c r="BO163" i="10"/>
  <c r="J325" i="11"/>
  <c r="I325" i="11"/>
  <c r="AH325" i="11"/>
  <c r="M325" i="11"/>
  <c r="T325" i="11"/>
  <c r="Y325" i="11"/>
  <c r="E232" i="11"/>
  <c r="F232" i="11" s="1"/>
  <c r="BO726" i="10"/>
  <c r="AI34" i="11"/>
  <c r="AG363" i="11"/>
  <c r="BH2505" i="10"/>
  <c r="AO2505" i="10"/>
  <c r="AN2505" i="10"/>
  <c r="AS2504" i="10"/>
  <c r="AO2533" i="10"/>
  <c r="AS2532" i="10"/>
  <c r="AN2533" i="10"/>
  <c r="BH2533" i="10"/>
  <c r="AJ2032" i="10"/>
  <c r="AM2031" i="10"/>
  <c r="AU2032" i="10"/>
  <c r="AU1610" i="10"/>
  <c r="AJ1610" i="10"/>
  <c r="BM1794" i="10"/>
  <c r="BM1793" i="10" s="1"/>
  <c r="BH1793" i="10"/>
  <c r="AN2259" i="10"/>
  <c r="AS2258" i="10"/>
  <c r="AO2259" i="10"/>
  <c r="AO1345" i="10"/>
  <c r="AN1345" i="10"/>
  <c r="AS1344" i="10"/>
  <c r="E290" i="11"/>
  <c r="F290" i="11" s="1"/>
  <c r="BO903" i="10"/>
  <c r="S1663" i="10"/>
  <c r="R1662" i="10"/>
  <c r="AD233" i="10"/>
  <c r="AV234" i="10"/>
  <c r="AA234" i="10"/>
  <c r="AN1590" i="10"/>
  <c r="AO1590" i="10"/>
  <c r="AO1269" i="10"/>
  <c r="AN1269" i="10"/>
  <c r="AV1283" i="10"/>
  <c r="AD1282" i="10"/>
  <c r="AA1283" i="10"/>
  <c r="BM237" i="10"/>
  <c r="BH236" i="10"/>
  <c r="BM1913" i="10"/>
  <c r="BO1914" i="10"/>
  <c r="AU1306" i="10"/>
  <c r="AJ1306" i="10"/>
  <c r="AJ502" i="10"/>
  <c r="AF502" i="10"/>
  <c r="AM501" i="10"/>
  <c r="AU502" i="10"/>
  <c r="S241" i="10"/>
  <c r="R240" i="10"/>
  <c r="S240" i="10" s="1"/>
  <c r="AJ257" i="10"/>
  <c r="AU257" i="10"/>
  <c r="E330" i="11"/>
  <c r="F330" i="11" s="1"/>
  <c r="BO1073" i="10"/>
  <c r="AA2209" i="10"/>
  <c r="AV2209" i="10"/>
  <c r="AO2223" i="10"/>
  <c r="AN2223" i="10"/>
  <c r="AJ2048" i="10"/>
  <c r="AM2047" i="10"/>
  <c r="AU2048" i="10"/>
  <c r="E499" i="11"/>
  <c r="F499" i="11" s="1"/>
  <c r="BO2357" i="10"/>
  <c r="S1986" i="10"/>
  <c r="R1985" i="10"/>
  <c r="AM2292" i="10"/>
  <c r="AJ2293" i="10"/>
  <c r="BM154" i="10"/>
  <c r="BH153" i="10"/>
  <c r="AS116" i="10"/>
  <c r="BH117" i="10"/>
  <c r="AO117" i="10"/>
  <c r="AN117" i="10"/>
  <c r="S1291" i="10"/>
  <c r="R1290" i="10"/>
  <c r="E224" i="11"/>
  <c r="F224" i="11" s="1"/>
  <c r="BO719" i="10"/>
  <c r="E319" i="11"/>
  <c r="F319" i="11" s="1"/>
  <c r="BO1040" i="10"/>
  <c r="AJ1636" i="10"/>
  <c r="AU1636" i="10"/>
  <c r="BM37" i="10"/>
  <c r="BH36" i="10"/>
  <c r="E246" i="11"/>
  <c r="F246" i="11" s="1"/>
  <c r="BO741" i="10"/>
  <c r="R193" i="10"/>
  <c r="S194" i="10"/>
  <c r="AN245" i="10"/>
  <c r="AO245" i="10"/>
  <c r="E174" i="11"/>
  <c r="F174" i="11" s="1"/>
  <c r="BO660" i="10"/>
  <c r="R415" i="10"/>
  <c r="S415" i="10" s="1"/>
  <c r="S416" i="10"/>
  <c r="AV2489" i="10"/>
  <c r="AA2489" i="10"/>
  <c r="T49" i="11"/>
  <c r="AH49" i="11"/>
  <c r="M49" i="11"/>
  <c r="J49" i="11"/>
  <c r="I49" i="11"/>
  <c r="Y49" i="11"/>
  <c r="BA1285" i="10"/>
  <c r="BA1283" i="10" s="1"/>
  <c r="BA1282" i="10" s="1"/>
  <c r="E163" i="11"/>
  <c r="F163" i="11" s="1"/>
  <c r="BO638" i="10"/>
  <c r="AL364" i="11"/>
  <c r="R2499" i="10"/>
  <c r="S2499" i="10" s="1"/>
  <c r="S2500" i="10"/>
  <c r="AU2372" i="10"/>
  <c r="AJ2372" i="10"/>
  <c r="AA2268" i="10"/>
  <c r="AV2268" i="10"/>
  <c r="AC4" i="11"/>
  <c r="AC136" i="11" s="1"/>
  <c r="AV1286" i="10"/>
  <c r="AA1286" i="10"/>
  <c r="BH2221" i="10"/>
  <c r="BM2222" i="10"/>
  <c r="AV2048" i="10"/>
  <c r="AD2047" i="10"/>
  <c r="AA2048" i="10"/>
  <c r="AA2052" i="10"/>
  <c r="AV2052" i="10"/>
  <c r="AD2051" i="10"/>
  <c r="BH1852" i="10"/>
  <c r="AS1851" i="10"/>
  <c r="AS1822" i="10" s="1"/>
  <c r="AN1852" i="10"/>
  <c r="AO1852" i="10"/>
  <c r="E73" i="11"/>
  <c r="F73" i="11" s="1"/>
  <c r="BO164" i="10"/>
  <c r="AA720" i="10"/>
  <c r="AV720" i="10"/>
  <c r="S214" i="10"/>
  <c r="R213" i="10"/>
  <c r="S213" i="10" s="1"/>
  <c r="BH2084" i="10"/>
  <c r="BH2083" i="10" s="1"/>
  <c r="BH2082" i="10" s="1"/>
  <c r="BM2085" i="10"/>
  <c r="AM665" i="10"/>
  <c r="AJ666" i="10"/>
  <c r="AU666" i="10"/>
  <c r="BM246" i="10"/>
  <c r="BH245" i="10"/>
  <c r="AN29" i="10"/>
  <c r="AO29" i="10"/>
  <c r="J400" i="10"/>
  <c r="L409" i="10"/>
  <c r="AD1341" i="10"/>
  <c r="AA1342" i="10"/>
  <c r="AV1342" i="10"/>
  <c r="M245" i="11"/>
  <c r="J245" i="11"/>
  <c r="I245" i="11"/>
  <c r="AH245" i="11"/>
  <c r="Y245" i="11"/>
  <c r="AJ2215" i="10"/>
  <c r="AU2215" i="10"/>
  <c r="AA1562" i="10"/>
  <c r="AV1562" i="10"/>
  <c r="E344" i="11"/>
  <c r="F344" i="11" s="1"/>
  <c r="BO1244" i="10"/>
  <c r="AU735" i="10"/>
  <c r="AJ735" i="10"/>
  <c r="U1880" i="10"/>
  <c r="BM1535" i="10"/>
  <c r="BH1534" i="10"/>
  <c r="AA749" i="10"/>
  <c r="AV749" i="10"/>
  <c r="AO185" i="10"/>
  <c r="AN185" i="10"/>
  <c r="AA2518" i="10"/>
  <c r="AD2517" i="10"/>
  <c r="AV2518" i="10"/>
  <c r="AN996" i="10"/>
  <c r="BH996" i="10"/>
  <c r="AS995" i="10"/>
  <c r="AO996" i="10"/>
  <c r="AS1286" i="10"/>
  <c r="AO1287" i="10"/>
  <c r="AN1287" i="10"/>
  <c r="AJ401" i="10"/>
  <c r="M323" i="11"/>
  <c r="AH323" i="11"/>
  <c r="T323" i="11"/>
  <c r="J323" i="11"/>
  <c r="I323" i="11"/>
  <c r="Y323" i="11"/>
  <c r="AO193" i="10"/>
  <c r="AS192" i="10"/>
  <c r="AN193" i="10"/>
  <c r="AZ1533" i="10"/>
  <c r="BA1032" i="10"/>
  <c r="BA1029" i="10" s="1"/>
  <c r="BA1028" i="10" s="1"/>
  <c r="AO681" i="10"/>
  <c r="AN681" i="10"/>
  <c r="Y12" i="11"/>
  <c r="M12" i="11"/>
  <c r="J12" i="11"/>
  <c r="I12" i="11"/>
  <c r="AH12" i="11"/>
  <c r="E212" i="11"/>
  <c r="F212" i="11" s="1"/>
  <c r="BO707" i="10"/>
  <c r="AV2372" i="10"/>
  <c r="AA2372" i="10"/>
  <c r="AN2445" i="10"/>
  <c r="AO2445" i="10"/>
  <c r="AJ1981" i="10"/>
  <c r="BH2093" i="10"/>
  <c r="AO2093" i="10"/>
  <c r="AN2093" i="10"/>
  <c r="AS2092" i="10"/>
  <c r="BH2032" i="10"/>
  <c r="BH2031" i="10" s="1"/>
  <c r="BH2030" i="10" s="1"/>
  <c r="AO1341" i="10"/>
  <c r="BM759" i="10"/>
  <c r="BH758" i="10"/>
  <c r="BH185" i="10"/>
  <c r="BM186" i="10"/>
  <c r="BO2440" i="10"/>
  <c r="AO2440" i="10"/>
  <c r="AN2440" i="10"/>
  <c r="S75" i="10"/>
  <c r="R74" i="10"/>
  <c r="P501" i="10"/>
  <c r="P500" i="10" s="1"/>
  <c r="Y28" i="11"/>
  <c r="J28" i="11"/>
  <c r="I28" i="11"/>
  <c r="AH28" i="11"/>
  <c r="M28" i="11"/>
  <c r="AN438" i="10"/>
  <c r="AS437" i="10"/>
  <c r="AO438" i="10"/>
  <c r="AS1266" i="10"/>
  <c r="E252" i="11"/>
  <c r="F252" i="11" s="1"/>
  <c r="BO747" i="10"/>
  <c r="AU113" i="10"/>
  <c r="AJ113" i="10"/>
  <c r="AM112" i="10"/>
  <c r="BH371" i="10"/>
  <c r="BH370" i="10" s="1"/>
  <c r="BM372" i="10"/>
  <c r="BM2180" i="10"/>
  <c r="BH2179" i="10"/>
  <c r="AN46" i="10"/>
  <c r="BH46" i="10"/>
  <c r="BM46" i="10" s="1"/>
  <c r="AO46" i="10"/>
  <c r="J68" i="10"/>
  <c r="L68" i="10" s="1"/>
  <c r="L69" i="10"/>
  <c r="E373" i="11"/>
  <c r="F373" i="11" s="1"/>
  <c r="BO1447" i="10"/>
  <c r="AO281" i="10"/>
  <c r="AS280" i="10"/>
  <c r="AN281" i="10"/>
  <c r="S182" i="10"/>
  <c r="R181" i="10"/>
  <c r="AY1028" i="10"/>
  <c r="BA630" i="10"/>
  <c r="BA629" i="10" s="1"/>
  <c r="AS113" i="10"/>
  <c r="BH114" i="10"/>
  <c r="AN114" i="10"/>
  <c r="AO114" i="10"/>
  <c r="E192" i="11"/>
  <c r="F192" i="11" s="1"/>
  <c r="BO683" i="10"/>
  <c r="AG492" i="11"/>
  <c r="AV1974" i="10"/>
  <c r="AA1974" i="10"/>
  <c r="AD1973" i="10"/>
  <c r="AO274" i="10"/>
  <c r="AN274" i="10"/>
  <c r="AS273" i="10"/>
  <c r="BH2053" i="10"/>
  <c r="AO2053" i="10"/>
  <c r="AN2053" i="10"/>
  <c r="AS2052" i="10"/>
  <c r="AU1662" i="10"/>
  <c r="AM1661" i="10"/>
  <c r="AJ1662" i="10"/>
  <c r="BI875" i="10"/>
  <c r="BM875" i="10"/>
  <c r="AO541" i="10"/>
  <c r="BH541" i="10"/>
  <c r="AS540" i="10"/>
  <c r="AN269" i="10"/>
  <c r="AS268" i="10"/>
  <c r="BH269" i="10"/>
  <c r="AO269" i="10"/>
  <c r="AN75" i="10"/>
  <c r="BH75" i="10"/>
  <c r="AS74" i="10"/>
  <c r="AO75" i="10"/>
  <c r="AA2527" i="10"/>
  <c r="AV2527" i="10"/>
  <c r="AD2523" i="10"/>
  <c r="Y542" i="11"/>
  <c r="J542" i="11"/>
  <c r="I542" i="11"/>
  <c r="AE542" i="11"/>
  <c r="M542" i="11"/>
  <c r="AH542" i="11"/>
  <c r="AO2209" i="10"/>
  <c r="AN2209" i="10"/>
  <c r="R2511" i="10"/>
  <c r="AU1793" i="10"/>
  <c r="AJ1793" i="10"/>
  <c r="AU1322" i="10"/>
  <c r="AM1321" i="10"/>
  <c r="AJ1322" i="10"/>
  <c r="AO183" i="10"/>
  <c r="AN183" i="10"/>
  <c r="E271" i="11"/>
  <c r="F271" i="11" s="1"/>
  <c r="AJ1716" i="10"/>
  <c r="AU1716" i="10"/>
  <c r="AJ877" i="10"/>
  <c r="AU877" i="10"/>
  <c r="S2257" i="10"/>
  <c r="R2256" i="10"/>
  <c r="AM2347" i="10"/>
  <c r="AU2348" i="10"/>
  <c r="AJ2348" i="10"/>
  <c r="U2502" i="10"/>
  <c r="U2501" i="10" s="1"/>
  <c r="AU1260" i="10"/>
  <c r="AM1259" i="10"/>
  <c r="AJ1260" i="10"/>
  <c r="AM2300" i="10"/>
  <c r="AJ2301" i="10"/>
  <c r="AU2301" i="10"/>
  <c r="AJ2198" i="10"/>
  <c r="AU2198" i="10"/>
  <c r="E310" i="11"/>
  <c r="F310" i="11" s="1"/>
  <c r="BO1031" i="10"/>
  <c r="BM878" i="10"/>
  <c r="BH877" i="10"/>
  <c r="BM730" i="10"/>
  <c r="BH729" i="10"/>
  <c r="W205" i="10"/>
  <c r="BO47" i="10"/>
  <c r="E27" i="11"/>
  <c r="F27" i="11" s="1"/>
  <c r="R1449" i="10"/>
  <c r="BH367" i="10"/>
  <c r="BH366" i="10" s="1"/>
  <c r="BM368" i="10"/>
  <c r="S2531" i="10"/>
  <c r="R2530" i="10"/>
  <c r="S2530" i="10" s="1"/>
  <c r="BM2254" i="10"/>
  <c r="BH2253" i="10"/>
  <c r="BH2252" i="10" s="1"/>
  <c r="AO1736" i="10"/>
  <c r="AN1736" i="10"/>
  <c r="AO1069" i="10"/>
  <c r="AN1069" i="10"/>
  <c r="AS1068" i="10"/>
  <c r="BH1069" i="10"/>
  <c r="E77" i="11"/>
  <c r="F77" i="11" s="1"/>
  <c r="BO168" i="10"/>
  <c r="R1636" i="10"/>
  <c r="S1636" i="10" s="1"/>
  <c r="AM325" i="10"/>
  <c r="AJ326" i="10"/>
  <c r="AU326" i="10"/>
  <c r="AV120" i="10"/>
  <c r="AD119" i="10"/>
  <c r="AA120" i="10"/>
  <c r="AV940" i="10"/>
  <c r="AA940" i="10"/>
  <c r="R729" i="10"/>
  <c r="S729" i="10" s="1"/>
  <c r="E19" i="11"/>
  <c r="F19" i="11" s="1"/>
  <c r="BO34" i="10"/>
  <c r="R409" i="10"/>
  <c r="S409" i="10" s="1"/>
  <c r="S410" i="10"/>
  <c r="AU1068" i="10"/>
  <c r="AJ1068" i="10"/>
  <c r="AJ1473" i="10"/>
  <c r="AU1473" i="10"/>
  <c r="E292" i="11"/>
  <c r="F292" i="11" s="1"/>
  <c r="BO904" i="10"/>
  <c r="AO1333" i="10"/>
  <c r="AN1333" i="10"/>
  <c r="AJ416" i="10"/>
  <c r="AM415" i="10"/>
  <c r="AU416" i="10"/>
  <c r="AU281" i="10"/>
  <c r="AM280" i="10"/>
  <c r="AJ281" i="10"/>
  <c r="R1089" i="10"/>
  <c r="S1089" i="10" s="1"/>
  <c r="E264" i="11"/>
  <c r="F264" i="11" s="1"/>
  <c r="E223" i="11"/>
  <c r="F223" i="11" s="1"/>
  <c r="BO718" i="10"/>
  <c r="AG518" i="11"/>
  <c r="AS2436" i="10"/>
  <c r="AA2238" i="10"/>
  <c r="AV2238" i="10"/>
  <c r="AD2237" i="10"/>
  <c r="S1535" i="10"/>
  <c r="R1534" i="10"/>
  <c r="AS2347" i="10"/>
  <c r="AO2348" i="10"/>
  <c r="AN2348" i="10"/>
  <c r="AL494" i="11"/>
  <c r="U2387" i="10"/>
  <c r="W2388" i="10"/>
  <c r="R2348" i="10"/>
  <c r="S2349" i="10"/>
  <c r="AJ2181" i="10"/>
  <c r="AU2181" i="10"/>
  <c r="AA1982" i="10"/>
  <c r="AU1982" i="10"/>
  <c r="AV1982" i="10"/>
  <c r="AD1981" i="10"/>
  <c r="AM1822" i="10"/>
  <c r="AU1823" i="10"/>
  <c r="AJ1823" i="10"/>
  <c r="E534" i="11"/>
  <c r="F534" i="11" s="1"/>
  <c r="BO2487" i="10"/>
  <c r="AO1399" i="10"/>
  <c r="AN1399" i="10"/>
  <c r="S45" i="11"/>
  <c r="Q44" i="11"/>
  <c r="BA2152" i="10"/>
  <c r="BA2146" i="10" s="1"/>
  <c r="BA2145" i="10" s="1"/>
  <c r="R1736" i="10"/>
  <c r="AV1636" i="10"/>
  <c r="AA1636" i="10"/>
  <c r="T1533" i="10"/>
  <c r="S1281" i="10"/>
  <c r="R1280" i="10"/>
  <c r="AJ891" i="10"/>
  <c r="AU891" i="10"/>
  <c r="AU531" i="10"/>
  <c r="AJ531" i="10"/>
  <c r="E428" i="11"/>
  <c r="F428" i="11" s="1"/>
  <c r="BO2137" i="10"/>
  <c r="AA1399" i="10"/>
  <c r="AV1399" i="10"/>
  <c r="AO877" i="10"/>
  <c r="AN877" i="10"/>
  <c r="BM858" i="10"/>
  <c r="BO858" i="10" s="1"/>
  <c r="BI858" i="10"/>
  <c r="AO729" i="10"/>
  <c r="AN729" i="10"/>
  <c r="AD643" i="10"/>
  <c r="AA644" i="10"/>
  <c r="AV644" i="10"/>
  <c r="AA611" i="10"/>
  <c r="AV611" i="10"/>
  <c r="U205" i="10"/>
  <c r="AN710" i="10"/>
  <c r="AO710" i="10"/>
  <c r="E199" i="11"/>
  <c r="F199" i="11" s="1"/>
  <c r="BO694" i="10"/>
  <c r="BH1399" i="10"/>
  <c r="P2244" i="10"/>
  <c r="T1880" i="10"/>
  <c r="AU540" i="10"/>
  <c r="AJ540" i="10"/>
  <c r="BM2212" i="10"/>
  <c r="BH2211" i="10"/>
  <c r="AV2436" i="10"/>
  <c r="AD2435" i="10"/>
  <c r="AA2436" i="10"/>
  <c r="E368" i="11"/>
  <c r="F368" i="11" s="1"/>
  <c r="R1344" i="10"/>
  <c r="S1344" i="10" s="1"/>
  <c r="S1345" i="10"/>
  <c r="E164" i="11"/>
  <c r="F164" i="11" s="1"/>
  <c r="BO639" i="10"/>
  <c r="AA995" i="10"/>
  <c r="AV995" i="10"/>
  <c r="BO613" i="10"/>
  <c r="AN613" i="10"/>
  <c r="AO613" i="10"/>
  <c r="BH612" i="10"/>
  <c r="AZ644" i="10"/>
  <c r="AZ643" i="10" s="1"/>
  <c r="AD2300" i="10"/>
  <c r="AV2301" i="10"/>
  <c r="AA2301" i="10"/>
  <c r="AN891" i="10"/>
  <c r="AO891" i="10"/>
  <c r="AD80" i="10"/>
  <c r="AA81" i="10"/>
  <c r="AV81" i="10"/>
  <c r="E61" i="11"/>
  <c r="F61" i="11" s="1"/>
  <c r="AA891" i="10"/>
  <c r="AV891" i="10"/>
  <c r="AV704" i="10"/>
  <c r="AA704" i="10"/>
  <c r="BH29" i="10"/>
  <c r="BM30" i="10"/>
  <c r="AV206" i="10"/>
  <c r="AA206" i="10"/>
  <c r="AD205" i="10"/>
  <c r="T1349" i="10"/>
  <c r="E117" i="11"/>
  <c r="F117" i="11" s="1"/>
  <c r="BO254" i="10"/>
  <c r="E337" i="11"/>
  <c r="F337" i="11" s="1"/>
  <c r="BO1084" i="10"/>
  <c r="BH626" i="10"/>
  <c r="BM627" i="10"/>
  <c r="AU13" i="10"/>
  <c r="AJ13" i="10"/>
  <c r="AN1989" i="10"/>
  <c r="AO1989" i="10"/>
  <c r="BH630" i="10"/>
  <c r="AO630" i="10"/>
  <c r="AS629" i="10"/>
  <c r="E535" i="11"/>
  <c r="F535" i="11" s="1"/>
  <c r="BO2488" i="10"/>
  <c r="L366" i="10"/>
  <c r="J279" i="10"/>
  <c r="L279" i="10" s="1"/>
  <c r="S1794" i="10"/>
  <c r="R1793" i="10"/>
  <c r="S1793" i="10" s="1"/>
  <c r="AJ145" i="10"/>
  <c r="AU145" i="10"/>
  <c r="AV666" i="10"/>
  <c r="AD665" i="10"/>
  <c r="AA666" i="10"/>
  <c r="E230" i="11"/>
  <c r="F230" i="11" s="1"/>
  <c r="BO724" i="10"/>
  <c r="AA540" i="10"/>
  <c r="AV540" i="10"/>
  <c r="S666" i="10"/>
  <c r="BM1294" i="10"/>
  <c r="BO1295" i="10"/>
  <c r="BH1322" i="10"/>
  <c r="BM1323" i="10"/>
  <c r="BM1322" i="10" s="1"/>
  <c r="BM193" i="10"/>
  <c r="BO194" i="10"/>
  <c r="E258" i="11"/>
  <c r="F258" i="11" s="1"/>
  <c r="BO753" i="10"/>
  <c r="W280" i="10"/>
  <c r="Y256" i="11"/>
  <c r="AH256" i="11"/>
  <c r="M256" i="11"/>
  <c r="I256" i="11"/>
  <c r="J256" i="11"/>
  <c r="E182" i="11"/>
  <c r="F182" i="11" s="1"/>
  <c r="BO669" i="10"/>
  <c r="I57" i="11"/>
  <c r="M57" i="11"/>
  <c r="J57" i="11"/>
  <c r="AH57" i="11"/>
  <c r="Y57" i="11"/>
  <c r="AN2351" i="10"/>
  <c r="AO2351" i="10"/>
  <c r="AN1503" i="10"/>
  <c r="AO1503" i="10"/>
  <c r="AU1765" i="10"/>
  <c r="AJ1765" i="10"/>
  <c r="BI811" i="10"/>
  <c r="BM811" i="10"/>
  <c r="BM2289" i="10"/>
  <c r="BH2288" i="10"/>
  <c r="BH2287" i="10" s="1"/>
  <c r="BH2286" i="10" s="1"/>
  <c r="AJ1503" i="10"/>
  <c r="AU1503" i="10"/>
  <c r="AV635" i="10"/>
  <c r="AA635" i="10"/>
  <c r="AU1851" i="10"/>
  <c r="AJ1851" i="10"/>
  <c r="AU189" i="10"/>
  <c r="AJ189" i="10"/>
  <c r="AM180" i="10"/>
  <c r="AO2049" i="10"/>
  <c r="AN2049" i="10"/>
  <c r="BH2049" i="10"/>
  <c r="AS2048" i="10"/>
  <c r="E217" i="11"/>
  <c r="F217" i="11" s="1"/>
  <c r="BO712" i="10"/>
  <c r="BH327" i="10"/>
  <c r="AO327" i="10"/>
  <c r="AN327" i="10"/>
  <c r="AS326" i="10"/>
  <c r="BH1982" i="10"/>
  <c r="BH1981" i="10" s="1"/>
  <c r="BM1983" i="10"/>
  <c r="BM1982" i="10" s="1"/>
  <c r="BH410" i="10"/>
  <c r="BH409" i="10" s="1"/>
  <c r="BM411" i="10"/>
  <c r="AV1793" i="10"/>
  <c r="AA1793" i="10"/>
  <c r="E54" i="11"/>
  <c r="F54" i="11" s="1"/>
  <c r="BO131" i="10"/>
  <c r="S1302" i="10"/>
  <c r="R1300" i="10"/>
  <c r="AN225" i="10"/>
  <c r="AO225" i="10"/>
  <c r="AS224" i="10"/>
  <c r="R2223" i="10"/>
  <c r="S2223" i="10" s="1"/>
  <c r="S2224" i="10"/>
  <c r="AS2161" i="10"/>
  <c r="AN2162" i="10"/>
  <c r="AO2162" i="10"/>
  <c r="W2285" i="10"/>
  <c r="AN611" i="10"/>
  <c r="AO611" i="10"/>
  <c r="S2284" i="10"/>
  <c r="R2283" i="10"/>
  <c r="BH1345" i="10"/>
  <c r="BH1344" i="10" s="1"/>
  <c r="BM1346" i="10"/>
  <c r="AJ371" i="10"/>
  <c r="AM370" i="10"/>
  <c r="AU371" i="10"/>
  <c r="L77" i="10"/>
  <c r="J76" i="10"/>
  <c r="AJ1342" i="10"/>
  <c r="AM1341" i="10"/>
  <c r="AN1341" i="10" s="1"/>
  <c r="AN1342" i="10"/>
  <c r="AU1342" i="10"/>
  <c r="BM2182" i="10"/>
  <c r="AN2253" i="10"/>
  <c r="AS2252" i="10"/>
  <c r="AO2253" i="10"/>
  <c r="AD1344" i="10"/>
  <c r="AA1345" i="10"/>
  <c r="AV1345" i="10"/>
  <c r="E79" i="11"/>
  <c r="F79" i="11" s="1"/>
  <c r="BO175" i="10"/>
  <c r="E52" i="11"/>
  <c r="F52" i="11" s="1"/>
  <c r="BO129" i="10"/>
  <c r="AU629" i="10"/>
  <c r="AJ629" i="10"/>
  <c r="E304" i="11"/>
  <c r="F304" i="11" s="1"/>
  <c r="BO1024" i="10"/>
  <c r="R185" i="10"/>
  <c r="S185" i="10" s="1"/>
  <c r="S186" i="10"/>
  <c r="S224" i="10"/>
  <c r="S2448" i="10"/>
  <c r="R2447" i="10"/>
  <c r="S2447" i="10" s="1"/>
  <c r="AU2246" i="10"/>
  <c r="AJ2246" i="10"/>
  <c r="AM2245" i="10"/>
  <c r="AJ1283" i="10"/>
  <c r="AM1282" i="10"/>
  <c r="AU1283" i="10"/>
  <c r="AS1321" i="10"/>
  <c r="AN1322" i="10"/>
  <c r="AO1322" i="10"/>
  <c r="P1984" i="10"/>
  <c r="P1972" i="10" s="1"/>
  <c r="BH1333" i="10"/>
  <c r="BM1334" i="10"/>
  <c r="AJ2518" i="10"/>
  <c r="AM2517" i="10"/>
  <c r="AN2517" i="10" s="1"/>
  <c r="AU2518" i="10"/>
  <c r="L267" i="10"/>
  <c r="J266" i="10"/>
  <c r="L266" i="10" s="1"/>
  <c r="AV438" i="10"/>
  <c r="AD437" i="10"/>
  <c r="AA438" i="10"/>
  <c r="AS666" i="10"/>
  <c r="BH667" i="10"/>
  <c r="AN667" i="10"/>
  <c r="AO667" i="10"/>
  <c r="AJ193" i="10"/>
  <c r="AM192" i="10"/>
  <c r="AU193" i="10"/>
  <c r="P54" i="10"/>
  <c r="R1878" i="10"/>
  <c r="S1878" i="10" s="1"/>
  <c r="S1879" i="10"/>
  <c r="AV1280" i="10"/>
  <c r="AD1279" i="10"/>
  <c r="AA1280" i="10"/>
  <c r="AU1280" i="10"/>
  <c r="BM1611" i="10"/>
  <c r="BH1610" i="10"/>
  <c r="AU729" i="10"/>
  <c r="AJ729" i="10"/>
  <c r="W2244" i="10"/>
  <c r="AS1981" i="10"/>
  <c r="AO1982" i="10"/>
  <c r="AN1982" i="10"/>
  <c r="AU995" i="10"/>
  <c r="AJ995" i="10"/>
  <c r="E273" i="11"/>
  <c r="F273" i="11" s="1"/>
  <c r="BO867" i="10"/>
  <c r="BH502" i="10"/>
  <c r="BM503" i="10"/>
  <c r="BM502" i="10" s="1"/>
  <c r="S282" i="10"/>
  <c r="R281" i="10"/>
  <c r="AN59" i="10"/>
  <c r="AO59" i="10"/>
  <c r="P665" i="10"/>
  <c r="AS1880" i="10"/>
  <c r="AN1881" i="10"/>
  <c r="AO1881" i="10"/>
  <c r="BM1027" i="10"/>
  <c r="BH1026" i="10"/>
  <c r="P1028" i="10"/>
  <c r="E75" i="11"/>
  <c r="F75" i="11" s="1"/>
  <c r="BO166" i="10"/>
  <c r="BM241" i="10"/>
  <c r="BH240" i="10"/>
  <c r="E144" i="11"/>
  <c r="F144" i="11" s="1"/>
  <c r="BO532" i="10"/>
  <c r="AE504" i="11"/>
  <c r="Y504" i="11"/>
  <c r="AH504" i="11"/>
  <c r="T504" i="11"/>
  <c r="M504" i="11"/>
  <c r="J504" i="11"/>
  <c r="I504" i="11"/>
  <c r="AL6" i="11"/>
  <c r="AL5" i="11" s="1"/>
  <c r="AA2162" i="10"/>
  <c r="AD2161" i="10"/>
  <c r="AV2162" i="10"/>
  <c r="AN758" i="10"/>
  <c r="AO758" i="10"/>
  <c r="AA393" i="10"/>
  <c r="AV393" i="10"/>
  <c r="AU1345" i="10"/>
  <c r="AO58" i="10"/>
  <c r="AN58" i="10"/>
  <c r="AS57" i="10"/>
  <c r="AS54" i="10" s="1"/>
  <c r="BH58" i="10"/>
  <c r="BH2280" i="10"/>
  <c r="AO2280" i="10"/>
  <c r="AS2279" i="10"/>
  <c r="AN2280" i="10"/>
  <c r="P280" i="10"/>
  <c r="P279" i="10"/>
  <c r="S246" i="10"/>
  <c r="R245" i="10"/>
  <c r="S245" i="10" s="1"/>
  <c r="AO217" i="10"/>
  <c r="AN217" i="10"/>
  <c r="AZ608" i="10"/>
  <c r="AO2179" i="10"/>
  <c r="AN2179" i="10"/>
  <c r="AO240" i="10"/>
  <c r="AN240" i="10"/>
  <c r="AV2032" i="10"/>
  <c r="AD2031" i="10"/>
  <c r="AA2032" i="10"/>
  <c r="E145" i="11"/>
  <c r="F145" i="11" s="1"/>
  <c r="BO533" i="10"/>
  <c r="AO371" i="10"/>
  <c r="AN371" i="10"/>
  <c r="AS370" i="10"/>
  <c r="AJ2436" i="10"/>
  <c r="AU2436" i="10"/>
  <c r="AM2435" i="10"/>
  <c r="AV2531" i="10"/>
  <c r="AA2531" i="10"/>
  <c r="AD2530" i="10"/>
  <c r="AN2239" i="10"/>
  <c r="AS2238" i="10"/>
  <c r="AO2239" i="10"/>
  <c r="BH2239" i="10"/>
  <c r="BM2522" i="10"/>
  <c r="BH2521" i="10"/>
  <c r="BH2520" i="10" s="1"/>
  <c r="AD2271" i="10"/>
  <c r="AV2272" i="10"/>
  <c r="AA2272" i="10"/>
  <c r="AJ749" i="10"/>
  <c r="AU749" i="10"/>
  <c r="E267" i="11"/>
  <c r="F267" i="11" s="1"/>
  <c r="BO764" i="10"/>
  <c r="AJ1985" i="10"/>
  <c r="AM1984" i="10"/>
  <c r="AU1985" i="10"/>
  <c r="E538" i="11"/>
  <c r="F538" i="11" s="1"/>
  <c r="BO2491" i="10"/>
  <c r="AU2531" i="10"/>
  <c r="AJ2531" i="10"/>
  <c r="AM2530" i="10"/>
  <c r="M543" i="11"/>
  <c r="I543" i="11"/>
  <c r="AH543" i="11"/>
  <c r="Y543" i="11"/>
  <c r="AE543" i="11"/>
  <c r="J543" i="11"/>
  <c r="E446" i="11"/>
  <c r="F446" i="11" s="1"/>
  <c r="BO2167" i="10"/>
  <c r="U1661" i="10"/>
  <c r="E426" i="11"/>
  <c r="F426" i="11" s="1"/>
  <c r="BO2114" i="10"/>
  <c r="E544" i="11"/>
  <c r="F544" i="11" s="1"/>
  <c r="BO2496" i="10"/>
  <c r="AA2256" i="10"/>
  <c r="AD2255" i="10"/>
  <c r="AV2256" i="10"/>
  <c r="AS1662" i="10"/>
  <c r="BH1663" i="10"/>
  <c r="AO1663" i="10"/>
  <c r="AN1663" i="10"/>
  <c r="Y496" i="11"/>
  <c r="AE496" i="11"/>
  <c r="AH496" i="11"/>
  <c r="T496" i="11"/>
  <c r="I496" i="11"/>
  <c r="M496" i="11"/>
  <c r="J496" i="11"/>
  <c r="BO2033" i="10"/>
  <c r="BM2032" i="10"/>
  <c r="BO2257" i="10"/>
  <c r="BM2256" i="10"/>
  <c r="S1238" i="10"/>
  <c r="R1237" i="10"/>
  <c r="S1237" i="10" s="1"/>
  <c r="AV2084" i="10"/>
  <c r="AD2083" i="10"/>
  <c r="AA2084" i="10"/>
  <c r="R217" i="10"/>
  <c r="S217" i="10" s="1"/>
  <c r="S218" i="10"/>
  <c r="R215" i="10"/>
  <c r="S215" i="10" s="1"/>
  <c r="S216" i="10"/>
  <c r="AU55" i="10"/>
  <c r="AJ55" i="10"/>
  <c r="AM54" i="10"/>
  <c r="AA398" i="10"/>
  <c r="AD397" i="10"/>
  <c r="AU398" i="10"/>
  <c r="AV398" i="10"/>
  <c r="R2300" i="10"/>
  <c r="S2301" i="10"/>
  <c r="Y65" i="11"/>
  <c r="M65" i="11"/>
  <c r="T65" i="11"/>
  <c r="J65" i="11"/>
  <c r="AH65" i="11"/>
  <c r="I65" i="11"/>
  <c r="M238" i="11"/>
  <c r="I238" i="11"/>
  <c r="J238" i="11"/>
  <c r="AH238" i="11"/>
  <c r="Y238" i="11"/>
  <c r="R120" i="10"/>
  <c r="S121" i="10"/>
  <c r="AL559" i="11"/>
  <c r="Q2160" i="10"/>
  <c r="U2435" i="10"/>
  <c r="AF486" i="11"/>
  <c r="AO2200" i="10"/>
  <c r="AN2200" i="10"/>
  <c r="BM1975" i="10"/>
  <c r="BH1974" i="10"/>
  <c r="U665" i="10"/>
  <c r="S2201" i="10"/>
  <c r="R2200" i="10"/>
  <c r="S2200" i="10" s="1"/>
  <c r="E314" i="11"/>
  <c r="F314" i="11" s="1"/>
  <c r="BO1034" i="10"/>
  <c r="BH1691" i="10"/>
  <c r="BM1691" i="10" s="1"/>
  <c r="BO1691" i="10" s="1"/>
  <c r="AO1691" i="10"/>
  <c r="AN1691" i="10"/>
  <c r="BM682" i="10"/>
  <c r="BH681" i="10"/>
  <c r="AO2177" i="10"/>
  <c r="BH2177" i="10"/>
  <c r="AS2176" i="10"/>
  <c r="AN2177" i="10"/>
  <c r="AA247" i="10"/>
  <c r="AV247" i="10"/>
  <c r="E409" i="11"/>
  <c r="F409" i="11" s="1"/>
  <c r="BH624" i="10"/>
  <c r="BM625" i="10"/>
  <c r="R1029" i="10"/>
  <c r="S1030" i="10"/>
  <c r="AO109" i="10"/>
  <c r="BA1268" i="10"/>
  <c r="BA1266" i="10" s="1"/>
  <c r="BA1265" i="10" s="1"/>
  <c r="BH2302" i="10"/>
  <c r="AS2301" i="10"/>
  <c r="AO2302" i="10"/>
  <c r="AN2302" i="10"/>
  <c r="S1975" i="10"/>
  <c r="R1974" i="10"/>
  <c r="BH2200" i="10"/>
  <c r="BM2201" i="10"/>
  <c r="BH2372" i="10"/>
  <c r="BM2373" i="10"/>
  <c r="BM2352" i="10"/>
  <c r="BH2351" i="10"/>
  <c r="BA2388" i="10"/>
  <c r="AY2387" i="10"/>
  <c r="BM2208" i="10"/>
  <c r="BH2207" i="10"/>
  <c r="AA402" i="10"/>
  <c r="AV402" i="10"/>
  <c r="AD401" i="10"/>
  <c r="AU401" i="10" s="1"/>
  <c r="E503" i="11"/>
  <c r="F503" i="11" s="1"/>
  <c r="BO2367" i="10"/>
  <c r="E170" i="11"/>
  <c r="F170" i="11" s="1"/>
  <c r="BO646" i="10"/>
  <c r="AO721" i="10"/>
  <c r="AN721" i="10"/>
  <c r="BH721" i="10"/>
  <c r="AS720" i="10"/>
  <c r="BA1532" i="10"/>
  <c r="S138" i="11"/>
  <c r="Q137" i="11"/>
  <c r="S137" i="11" s="1"/>
  <c r="AY2435" i="10"/>
  <c r="BH2437" i="10"/>
  <c r="AJ2234" i="10"/>
  <c r="AA1881" i="10"/>
  <c r="AV1881" i="10"/>
  <c r="AD1880" i="10"/>
  <c r="BH2348" i="10"/>
  <c r="BM2349" i="10"/>
  <c r="AG44" i="11"/>
  <c r="J2292" i="10"/>
  <c r="L2292" i="10" s="1"/>
  <c r="L2293" i="10"/>
  <c r="AN2383" i="10"/>
  <c r="AO2383" i="10"/>
  <c r="V2242" i="10"/>
  <c r="V2241" i="10" s="1"/>
  <c r="V2233" i="10" s="1"/>
  <c r="V2232" i="10" s="1"/>
  <c r="W2243" i="10"/>
  <c r="W2242" i="10" s="1"/>
  <c r="W2241" i="10" s="1"/>
  <c r="W2233" i="10" s="1"/>
  <c r="AA1765" i="10"/>
  <c r="AV1765" i="10"/>
  <c r="AJ1333" i="10"/>
  <c r="AU1333" i="10"/>
  <c r="BM2445" i="10"/>
  <c r="BO2446" i="10"/>
  <c r="S2294" i="10"/>
  <c r="R2293" i="10"/>
  <c r="E438" i="11"/>
  <c r="F438" i="11" s="1"/>
  <c r="BO2153" i="10"/>
  <c r="Q1349" i="10"/>
  <c r="AO789" i="10"/>
  <c r="BH789" i="10"/>
  <c r="AS788" i="10"/>
  <c r="AN789" i="10"/>
  <c r="AN2146" i="10"/>
  <c r="AO2146" i="10"/>
  <c r="AS2145" i="10"/>
  <c r="E427" i="11"/>
  <c r="F427" i="11" s="1"/>
  <c r="AD1592" i="10"/>
  <c r="AV1593" i="10"/>
  <c r="AA1593" i="10"/>
  <c r="AS2262" i="10"/>
  <c r="BH2263" i="10"/>
  <c r="AN2263" i="10"/>
  <c r="AO2263" i="10"/>
  <c r="BM1284" i="10"/>
  <c r="BM1283" i="10" s="1"/>
  <c r="BH1283" i="10"/>
  <c r="BH1282" i="10" s="1"/>
  <c r="AZ502" i="10"/>
  <c r="AJ1989" i="10"/>
  <c r="AU1989" i="10"/>
  <c r="AA29" i="10"/>
  <c r="AV29" i="10"/>
  <c r="AD28" i="10"/>
  <c r="AS704" i="10"/>
  <c r="AO705" i="10"/>
  <c r="AN705" i="10"/>
  <c r="BH705" i="10"/>
  <c r="E181" i="11"/>
  <c r="F181" i="11" s="1"/>
  <c r="BO668" i="10"/>
  <c r="AN716" i="10"/>
  <c r="BH716" i="10"/>
  <c r="AO716" i="10"/>
  <c r="AS715" i="10"/>
  <c r="S636" i="10"/>
  <c r="R635" i="10"/>
  <c r="S635" i="10" s="1"/>
  <c r="AO232" i="10"/>
  <c r="BH232" i="10"/>
  <c r="AS231" i="10"/>
  <c r="AN232" i="10"/>
  <c r="W2090" i="10"/>
  <c r="AU1942" i="10"/>
  <c r="AJ1942" i="10"/>
  <c r="AU1881" i="10"/>
  <c r="AJ1881" i="10"/>
  <c r="AM1880" i="10"/>
  <c r="AU251" i="10"/>
  <c r="AJ251" i="10"/>
  <c r="AM250" i="10"/>
  <c r="E67" i="11"/>
  <c r="F67" i="11" s="1"/>
  <c r="BO157" i="10"/>
  <c r="AN2211" i="10"/>
  <c r="AO2211" i="10"/>
  <c r="AO530" i="10"/>
  <c r="AN530" i="10"/>
  <c r="AS529" i="10"/>
  <c r="BH530" i="10"/>
  <c r="AA1823" i="10"/>
  <c r="AD1822" i="10"/>
  <c r="AV1823" i="10"/>
  <c r="U1028" i="10"/>
  <c r="AA2235" i="10"/>
  <c r="AD2234" i="10"/>
  <c r="AU2234" i="10" s="1"/>
  <c r="AV2235" i="10"/>
  <c r="BA540" i="10"/>
  <c r="AJ2503" i="10"/>
  <c r="E510" i="11"/>
  <c r="F510" i="11" s="1"/>
  <c r="BO2378" i="10"/>
  <c r="BO1591" i="10"/>
  <c r="BM1590" i="10"/>
  <c r="AA1300" i="10"/>
  <c r="AD1299" i="10"/>
  <c r="AV1300" i="10"/>
  <c r="E318" i="11"/>
  <c r="F318" i="11" s="1"/>
  <c r="BO1039" i="10"/>
  <c r="AV74" i="10"/>
  <c r="AA74" i="10"/>
  <c r="AD73" i="10"/>
  <c r="R80" i="10"/>
  <c r="S80" i="10" s="1"/>
  <c r="S81" i="10"/>
  <c r="AV2279" i="10"/>
  <c r="AA2279" i="10"/>
  <c r="AD2278" i="10"/>
  <c r="E165" i="11"/>
  <c r="F165" i="11" s="1"/>
  <c r="BO640" i="10"/>
  <c r="BM282" i="10"/>
  <c r="BM281" i="10" s="1"/>
  <c r="BH281" i="10"/>
  <c r="T173" i="11"/>
  <c r="I173" i="11"/>
  <c r="AH173" i="11"/>
  <c r="Y173" i="11"/>
  <c r="J173" i="11"/>
  <c r="M173" i="11"/>
  <c r="BH2284" i="10"/>
  <c r="AS2283" i="10"/>
  <c r="AN2284" i="10"/>
  <c r="AO2284" i="10"/>
  <c r="AD276" i="10"/>
  <c r="AA277" i="10"/>
  <c r="AV277" i="10"/>
  <c r="S1261" i="10"/>
  <c r="R1260" i="10"/>
  <c r="E326" i="11"/>
  <c r="F326" i="11" s="1"/>
  <c r="BO1053" i="10"/>
  <c r="R236" i="10"/>
  <c r="S236" i="10" s="1"/>
  <c r="S237" i="10"/>
  <c r="AN190" i="10"/>
  <c r="AS189" i="10"/>
  <c r="AS180" i="10" s="1"/>
  <c r="AO190" i="10"/>
  <c r="BH190" i="10"/>
  <c r="AS145" i="10"/>
  <c r="BH146" i="10"/>
  <c r="AO146" i="10"/>
  <c r="AN146" i="10"/>
  <c r="AY76" i="10"/>
  <c r="E263" i="11"/>
  <c r="F263" i="11" s="1"/>
  <c r="BO760" i="10"/>
  <c r="AA255" i="10"/>
  <c r="AV255" i="10"/>
  <c r="AF138" i="11"/>
  <c r="AF137" i="11" s="1"/>
  <c r="BA151" i="10"/>
  <c r="BA145" i="10" s="1"/>
  <c r="AH195" i="11"/>
  <c r="Y195" i="11"/>
  <c r="M195" i="11"/>
  <c r="I195" i="11"/>
  <c r="J195" i="11"/>
  <c r="AM224" i="10"/>
  <c r="AJ225" i="10"/>
  <c r="AU225" i="10"/>
  <c r="R59" i="10"/>
  <c r="S59" i="10" s="1"/>
  <c r="S60" i="10"/>
  <c r="BM619" i="10"/>
  <c r="BO620" i="10"/>
  <c r="AS221" i="10"/>
  <c r="AO222" i="10"/>
  <c r="AN222" i="10"/>
  <c r="BH222" i="10"/>
  <c r="S239" i="10"/>
  <c r="R238" i="10"/>
  <c r="S238" i="10" s="1"/>
  <c r="AU704" i="10"/>
  <c r="K664" i="10"/>
  <c r="AV1503" i="10"/>
  <c r="AA1503" i="10"/>
  <c r="S1069" i="10"/>
  <c r="R1068" i="10"/>
  <c r="S1068" i="10" s="1"/>
  <c r="AJ274" i="10"/>
  <c r="AM273" i="10"/>
  <c r="AU274" i="10"/>
  <c r="AH301" i="11"/>
  <c r="M301" i="11"/>
  <c r="I301" i="11"/>
  <c r="Y301" i="11"/>
  <c r="J301" i="11"/>
  <c r="AV268" i="10"/>
  <c r="AA268" i="10"/>
  <c r="AD267" i="10"/>
  <c r="AU234" i="10"/>
  <c r="E336" i="11"/>
  <c r="F336" i="11" s="1"/>
  <c r="BO1079" i="10"/>
  <c r="AN1300" i="10"/>
  <c r="AO1300" i="10"/>
  <c r="E289" i="11"/>
  <c r="F289" i="11" s="1"/>
  <c r="BO900" i="10"/>
  <c r="BM438" i="10"/>
  <c r="J227" i="11"/>
  <c r="I227" i="11"/>
  <c r="Y227" i="11"/>
  <c r="T227" i="11"/>
  <c r="AH227" i="11"/>
  <c r="M227" i="11"/>
  <c r="BH193" i="10"/>
  <c r="BH192" i="10" s="1"/>
  <c r="E322" i="11"/>
  <c r="F322" i="11" s="1"/>
  <c r="BO1044" i="10"/>
  <c r="E172" i="11"/>
  <c r="F172" i="11" s="1"/>
  <c r="BO651" i="10"/>
  <c r="AO13" i="10"/>
  <c r="AN13" i="10"/>
  <c r="AH512" i="11"/>
  <c r="AE512" i="11"/>
  <c r="Y512" i="11"/>
  <c r="J512" i="11"/>
  <c r="M512" i="11"/>
  <c r="I512" i="11"/>
  <c r="S2279" i="10"/>
  <c r="R2278" i="10"/>
  <c r="AO2256" i="10"/>
  <c r="AN2256" i="10"/>
  <c r="AS2255" i="10"/>
  <c r="R2520" i="10"/>
  <c r="S2520" i="10" s="1"/>
  <c r="S2521" i="10"/>
  <c r="BM2224" i="10"/>
  <c r="BH2223" i="10"/>
  <c r="BM2295" i="10"/>
  <c r="BH2294" i="10"/>
  <c r="BH2293" i="10" s="1"/>
  <c r="BH2292" i="10" s="1"/>
  <c r="L119" i="10"/>
  <c r="K118" i="10"/>
  <c r="BH2199" i="10"/>
  <c r="AS2198" i="10"/>
  <c r="AN2199" i="10"/>
  <c r="AO2199" i="10"/>
  <c r="AJ1974" i="10"/>
  <c r="AU1974" i="10"/>
  <c r="AM1973" i="10"/>
  <c r="AY1661" i="10"/>
  <c r="E166" i="11"/>
  <c r="F166" i="11" s="1"/>
  <c r="BO641" i="10"/>
  <c r="AV145" i="10"/>
  <c r="AA145" i="10"/>
  <c r="AU2202" i="10"/>
  <c r="AJ2202" i="10"/>
  <c r="AN2202" i="10"/>
  <c r="AJ231" i="10"/>
  <c r="AU231" i="10"/>
  <c r="AJ36" i="10"/>
  <c r="AU36" i="10"/>
  <c r="BH184" i="10"/>
  <c r="BA183" i="10"/>
  <c r="BA180" i="10" s="1"/>
  <c r="BM56" i="10"/>
  <c r="BH55" i="10"/>
  <c r="AN1793" i="10"/>
  <c r="AO1793" i="10"/>
  <c r="AA1237" i="10"/>
  <c r="AV1237" i="10"/>
  <c r="S251" i="10"/>
  <c r="BM392" i="10"/>
  <c r="BH391" i="10"/>
  <c r="BH390" i="10" s="1"/>
  <c r="AJ438" i="10"/>
  <c r="AM437" i="10"/>
  <c r="AU438" i="10"/>
  <c r="R2086" i="10"/>
  <c r="S2086" i="10" s="1"/>
  <c r="S2087" i="10"/>
  <c r="E296" i="11"/>
  <c r="F296" i="11" s="1"/>
  <c r="BO938" i="10"/>
  <c r="BO697" i="10"/>
  <c r="E202" i="11"/>
  <c r="F202" i="11" s="1"/>
  <c r="AH233" i="11"/>
  <c r="I233" i="11"/>
  <c r="Y233" i="11"/>
  <c r="M233" i="11"/>
  <c r="J233" i="11"/>
  <c r="E69" i="11"/>
  <c r="F69" i="11" s="1"/>
  <c r="BO160" i="10"/>
  <c r="AD2145" i="10"/>
  <c r="AA2146" i="10"/>
  <c r="AV2146" i="10"/>
  <c r="S1827" i="10"/>
  <c r="R1823" i="10"/>
  <c r="BO2297" i="10"/>
  <c r="AO2297" i="10"/>
  <c r="AN2297" i="10"/>
  <c r="AU940" i="10"/>
  <c r="AJ940" i="10"/>
  <c r="BO2391" i="10"/>
  <c r="AO2391" i="10"/>
  <c r="AN2391" i="10"/>
  <c r="AU635" i="10"/>
  <c r="AA221" i="10"/>
  <c r="AV221" i="10"/>
  <c r="AO619" i="10"/>
  <c r="AN619" i="10"/>
  <c r="AV153" i="10"/>
  <c r="AA153" i="10"/>
  <c r="AO1026" i="10"/>
  <c r="AN1026" i="10"/>
  <c r="AA2207" i="10"/>
  <c r="AU2207" i="10"/>
  <c r="AV2207" i="10"/>
  <c r="AD2204" i="10"/>
  <c r="AO2084" i="10"/>
  <c r="AS2083" i="10"/>
  <c r="AN2084" i="10"/>
  <c r="BH6" i="10"/>
  <c r="AN6" i="10"/>
  <c r="AS5" i="10"/>
  <c r="AO6" i="10"/>
  <c r="AA193" i="10"/>
  <c r="AV193" i="10"/>
  <c r="AD192" i="10"/>
  <c r="E200" i="11"/>
  <c r="F200" i="11" s="1"/>
  <c r="BO695" i="10"/>
  <c r="AJ391" i="10"/>
  <c r="AM390" i="10"/>
  <c r="AU391" i="10"/>
  <c r="E508" i="11"/>
  <c r="F508" i="11" s="1"/>
  <c r="BO2376" i="10"/>
  <c r="AM1299" i="10"/>
  <c r="BM209" i="10"/>
  <c r="BH208" i="10"/>
  <c r="AA531" i="10"/>
  <c r="AV531" i="10"/>
  <c r="AO70" i="10"/>
  <c r="AN70" i="10"/>
  <c r="AS69" i="10"/>
  <c r="S536" i="10"/>
  <c r="R535" i="10"/>
  <c r="S535" i="10" s="1"/>
  <c r="AJ720" i="10"/>
  <c r="AU720" i="10"/>
  <c r="BH1267" i="10"/>
  <c r="BA608" i="10"/>
  <c r="R2211" i="10"/>
  <c r="S2211" i="10" s="1"/>
  <c r="S2212" i="10"/>
  <c r="BO2514" i="10"/>
  <c r="AN2514" i="10"/>
  <c r="AS2511" i="10"/>
  <c r="AO2514" i="10"/>
  <c r="R2242" i="10"/>
  <c r="S2243" i="10"/>
  <c r="AO2088" i="10"/>
  <c r="AS2087" i="10"/>
  <c r="AN2088" i="10"/>
  <c r="AA2504" i="10"/>
  <c r="AD2503" i="10"/>
  <c r="AU2503" i="10" s="1"/>
  <c r="AV2504" i="10"/>
  <c r="AV59" i="10"/>
  <c r="AA59" i="10"/>
  <c r="AU81" i="10"/>
  <c r="AJ81" i="10"/>
  <c r="AM80" i="10"/>
  <c r="AV1029" i="10"/>
  <c r="AD1028" i="10"/>
  <c r="AA1029" i="10"/>
  <c r="R243" i="10"/>
  <c r="S244" i="10"/>
  <c r="AJ2219" i="10"/>
  <c r="AU2219" i="10"/>
  <c r="R183" i="10"/>
  <c r="S183" i="10" s="1"/>
  <c r="S184" i="10"/>
  <c r="AN208" i="10"/>
  <c r="AO208" i="10"/>
  <c r="BH609" i="10"/>
  <c r="AS608" i="10"/>
  <c r="AO609" i="10"/>
  <c r="AO1090" i="10"/>
  <c r="AN1090" i="10"/>
  <c r="AS1089" i="10"/>
  <c r="BH1090" i="10"/>
  <c r="AA1089" i="10"/>
  <c r="AV1089" i="10"/>
  <c r="BH737" i="10"/>
  <c r="AO737" i="10"/>
  <c r="AN737" i="10"/>
  <c r="AH280" i="11"/>
  <c r="Y280" i="11"/>
  <c r="I280" i="11"/>
  <c r="M280" i="11"/>
  <c r="J280" i="11"/>
  <c r="AL405" i="11"/>
  <c r="AM2524" i="10"/>
  <c r="AU2525" i="10"/>
  <c r="AJ2525" i="10"/>
  <c r="AD1289" i="10"/>
  <c r="AV1290" i="10"/>
  <c r="AA1290" i="10"/>
  <c r="Q1661" i="10"/>
  <c r="AS2204" i="10"/>
  <c r="S1852" i="10"/>
  <c r="R1851" i="10"/>
  <c r="S1851" i="10" s="1"/>
  <c r="BO161" i="10"/>
  <c r="E70" i="11"/>
  <c r="F70" i="11" s="1"/>
  <c r="AO1505" i="10"/>
  <c r="AN1505" i="10"/>
  <c r="BH1504" i="10"/>
  <c r="BO1505" i="10"/>
  <c r="AJ1029" i="10"/>
  <c r="AM1028" i="10"/>
  <c r="AU1029" i="10"/>
  <c r="AA681" i="10"/>
  <c r="AV681" i="10"/>
  <c r="AN1610" i="10"/>
  <c r="AO1610" i="10"/>
  <c r="AV489" i="10"/>
  <c r="AD488" i="10"/>
  <c r="AA489" i="10"/>
  <c r="AU57" i="10"/>
  <c r="AJ57" i="10"/>
  <c r="S736" i="10"/>
  <c r="R735" i="10"/>
  <c r="S735" i="10" s="1"/>
  <c r="AO940" i="10"/>
  <c r="AN940" i="10"/>
  <c r="R211" i="10"/>
  <c r="S211" i="10" s="1"/>
  <c r="S212" i="10"/>
  <c r="BM835" i="10"/>
  <c r="BI835" i="10"/>
  <c r="AO393" i="10"/>
  <c r="AN393" i="10"/>
  <c r="AO508" i="10"/>
  <c r="AN508" i="10"/>
  <c r="Q177" i="11"/>
  <c r="AA1989" i="10"/>
  <c r="AV1989" i="10"/>
  <c r="AJ2383" i="10"/>
  <c r="AU2383" i="10"/>
  <c r="BH2272" i="10"/>
  <c r="BH2271" i="10" s="1"/>
  <c r="BM2273" i="10"/>
  <c r="BM2272" i="10" s="1"/>
  <c r="AO2272" i="10"/>
  <c r="AN2272" i="10"/>
  <c r="AS2271" i="10"/>
  <c r="L1661" i="10"/>
  <c r="J1660" i="10"/>
  <c r="L1660" i="10" s="1"/>
  <c r="BH1281" i="10"/>
  <c r="AO1281" i="10"/>
  <c r="AN1281" i="10"/>
  <c r="AS1280" i="10"/>
  <c r="AV39" i="10"/>
  <c r="AA39" i="10"/>
  <c r="AN1534" i="10"/>
  <c r="AO1534" i="10"/>
  <c r="L2051" i="10"/>
  <c r="J2050" i="10"/>
  <c r="L2050" i="10" s="1"/>
  <c r="AV257" i="10"/>
  <c r="AA257" i="10"/>
  <c r="AN1945" i="10"/>
  <c r="AO1945" i="10"/>
  <c r="AA2221" i="10"/>
  <c r="AV2221" i="10"/>
  <c r="AU2221" i="10"/>
  <c r="S308" i="11"/>
  <c r="Q307" i="11"/>
  <c r="S307" i="11" s="1"/>
  <c r="S2246" i="10"/>
  <c r="R2245" i="10"/>
  <c r="AV2266" i="10"/>
  <c r="AA2266" i="10"/>
  <c r="AD2265" i="10"/>
  <c r="AU2265" i="10" s="1"/>
  <c r="AA1266" i="10"/>
  <c r="AV1266" i="10"/>
  <c r="AD1265" i="10"/>
  <c r="AU2489" i="10"/>
  <c r="AJ2489" i="10"/>
  <c r="P1822" i="10"/>
  <c r="AN2372" i="10"/>
  <c r="AO2372" i="10"/>
  <c r="BM1450" i="10"/>
  <c r="BH1449" i="10"/>
  <c r="AO2521" i="10"/>
  <c r="AN2521" i="10"/>
  <c r="AS2520" i="10"/>
  <c r="S2044" i="10"/>
  <c r="AM2261" i="10"/>
  <c r="AJ2262" i="10"/>
  <c r="AU2262" i="10"/>
  <c r="AN1307" i="10"/>
  <c r="AO1307" i="10"/>
  <c r="BH1307" i="10"/>
  <c r="AS1306" i="10"/>
  <c r="AS1299" i="10" s="1"/>
  <c r="AY1533" i="10"/>
  <c r="AA2511" i="10"/>
  <c r="AV2511" i="10"/>
  <c r="AD2510" i="10"/>
  <c r="AJ1296" i="10"/>
  <c r="AU1296" i="10"/>
  <c r="AM1293" i="10"/>
  <c r="AU29" i="10"/>
  <c r="AM28" i="10"/>
  <c r="AJ29" i="10"/>
  <c r="AV70" i="10"/>
  <c r="AD69" i="10"/>
  <c r="AA70" i="10"/>
  <c r="AA390" i="10"/>
  <c r="AV390" i="10"/>
  <c r="AU2256" i="10"/>
  <c r="R2217" i="10"/>
  <c r="S2217" i="10" s="1"/>
  <c r="S2218" i="10"/>
  <c r="AO366" i="10"/>
  <c r="AS735" i="10"/>
  <c r="BH1475" i="10"/>
  <c r="AN1475" i="10"/>
  <c r="AO1475" i="10"/>
  <c r="BH417" i="10"/>
  <c r="AN417" i="10"/>
  <c r="AS416" i="10"/>
  <c r="AO417" i="10"/>
  <c r="BM536" i="10"/>
  <c r="BH535" i="10"/>
  <c r="AA410" i="10"/>
  <c r="AD409" i="10"/>
  <c r="AV410" i="10"/>
  <c r="AS39" i="10"/>
  <c r="E66" i="11"/>
  <c r="F66" i="11" s="1"/>
  <c r="BO156" i="10"/>
  <c r="AM1448" i="10"/>
  <c r="AU1449" i="10"/>
  <c r="AJ1449" i="10"/>
  <c r="AH315" i="11"/>
  <c r="T315" i="11"/>
  <c r="J315" i="11"/>
  <c r="M315" i="11"/>
  <c r="I315" i="11"/>
  <c r="Y315" i="11"/>
  <c r="E540" i="11"/>
  <c r="F540" i="11" s="1"/>
  <c r="BO2492" i="10"/>
  <c r="AV66" i="10"/>
  <c r="AA66" i="10"/>
  <c r="AD65" i="10"/>
  <c r="AU367" i="10"/>
  <c r="AJ367" i="10"/>
  <c r="AM366" i="10"/>
  <c r="BI831" i="10"/>
  <c r="BM831" i="10"/>
  <c r="Y76" i="11"/>
  <c r="J76" i="11"/>
  <c r="I76" i="11"/>
  <c r="AH76" i="11"/>
  <c r="M76" i="11"/>
  <c r="BH2215" i="10"/>
  <c r="BM2216" i="10"/>
  <c r="E283" i="11"/>
  <c r="F283" i="11" s="1"/>
  <c r="BO890" i="10"/>
  <c r="E502" i="11"/>
  <c r="F502" i="11" s="1"/>
  <c r="BO2365" i="10"/>
  <c r="AY2347" i="10"/>
  <c r="AY2299" i="10" s="1"/>
  <c r="J2264" i="10"/>
  <c r="L2264" i="10" s="1"/>
  <c r="J2086" i="10"/>
  <c r="L2086" i="10" s="1"/>
  <c r="L2087" i="10"/>
  <c r="AN367" i="10"/>
  <c r="K400" i="10"/>
  <c r="L401" i="10"/>
  <c r="AU2259" i="10"/>
  <c r="AJ2259" i="10"/>
  <c r="AM2258" i="10"/>
  <c r="AV735" i="10"/>
  <c r="AA735" i="10"/>
  <c r="AD415" i="10"/>
  <c r="AV416" i="10"/>
  <c r="AA416" i="10"/>
  <c r="BH274" i="10"/>
  <c r="BH273" i="10" s="1"/>
  <c r="BM275" i="10"/>
  <c r="AM1265" i="10"/>
  <c r="AJ1266" i="10"/>
  <c r="AU1266" i="10"/>
  <c r="AN535" i="10"/>
  <c r="AO535" i="10"/>
  <c r="AZ523" i="10"/>
  <c r="AO1890" i="10"/>
  <c r="AN1890" i="10"/>
  <c r="AU1562" i="10"/>
  <c r="AJ1562" i="10"/>
  <c r="AV36" i="10"/>
  <c r="AA36" i="10"/>
  <c r="BA268" i="10"/>
  <c r="BA267" i="10" s="1"/>
  <c r="BA266" i="10" s="1"/>
  <c r="E295" i="11"/>
  <c r="F295" i="11" s="1"/>
  <c r="BO934" i="10"/>
  <c r="P1533" i="10"/>
  <c r="E244" i="11"/>
  <c r="F244" i="11" s="1"/>
  <c r="BO738" i="10"/>
  <c r="R1266" i="10"/>
  <c r="S1267" i="10"/>
  <c r="E309" i="11"/>
  <c r="F309" i="11" s="1"/>
  <c r="BO1030" i="10"/>
  <c r="BM1029" i="10"/>
  <c r="BI792" i="10"/>
  <c r="BM792" i="10"/>
  <c r="BO792" i="10" s="1"/>
  <c r="AF365" i="11"/>
  <c r="AF364" i="11" s="1"/>
  <c r="S494" i="11"/>
  <c r="Q492" i="11"/>
  <c r="BH2512" i="10"/>
  <c r="AF45" i="11"/>
  <c r="AF44" i="11" s="1"/>
  <c r="E429" i="11"/>
  <c r="F429" i="11" s="1"/>
  <c r="BO2138" i="10"/>
  <c r="AU2499" i="10"/>
  <c r="AJ2499" i="10"/>
  <c r="AO1913" i="10"/>
  <c r="AN1913" i="10"/>
  <c r="R2032" i="10"/>
  <c r="S2035" i="10"/>
  <c r="BH622" i="10"/>
  <c r="AS621" i="10"/>
  <c r="AO622" i="10"/>
  <c r="AN622" i="10"/>
  <c r="S1273" i="10"/>
  <c r="R1272" i="10"/>
  <c r="S1272" i="10" s="1"/>
  <c r="AJ2146" i="10"/>
  <c r="AU2146" i="10"/>
  <c r="AM2145" i="10"/>
  <c r="BM892" i="10"/>
  <c r="BH891" i="10"/>
  <c r="AY119" i="10"/>
  <c r="E8" i="11"/>
  <c r="F8" i="11" s="1"/>
  <c r="BO7" i="10"/>
  <c r="AA523" i="10"/>
  <c r="AV523" i="10"/>
  <c r="BM2088" i="10"/>
  <c r="BO2089" i="10"/>
  <c r="AV788" i="10"/>
  <c r="AA788" i="10"/>
  <c r="AO1449" i="10"/>
  <c r="AN1449" i="10"/>
  <c r="AS1448" i="10"/>
  <c r="E171" i="11"/>
  <c r="F171" i="11" s="1"/>
  <c r="BO2377" i="10"/>
  <c r="E509" i="11"/>
  <c r="F509" i="11" s="1"/>
  <c r="S55" i="10"/>
  <c r="S1690" i="10"/>
  <c r="R1689" i="10"/>
  <c r="S1689" i="10" s="1"/>
  <c r="AV1306" i="10"/>
  <c r="AA1306" i="10"/>
  <c r="AN1029" i="10"/>
  <c r="AO1029" i="10"/>
  <c r="AY1258" i="10"/>
  <c r="AM228" i="10"/>
  <c r="AN84" i="10"/>
  <c r="BO84" i="10"/>
  <c r="AO84" i="10"/>
  <c r="AJ2241" i="10"/>
  <c r="AG307" i="11"/>
  <c r="AG176" i="11" s="1"/>
  <c r="AY2502" i="10"/>
  <c r="AM423" i="11"/>
  <c r="AL521" i="11"/>
  <c r="AL518" i="11" s="1"/>
  <c r="AL516" i="11" s="1"/>
  <c r="R2388" i="10"/>
  <c r="S2388" i="10" s="1"/>
  <c r="P2387" i="10"/>
  <c r="S415" i="11"/>
  <c r="Q413" i="11"/>
  <c r="K2501" i="10"/>
  <c r="BH2490" i="10"/>
  <c r="AO2490" i="10"/>
  <c r="AS2489" i="10"/>
  <c r="AN2490" i="10"/>
  <c r="K2232" i="10"/>
  <c r="AN2236" i="10"/>
  <c r="AO2236" i="10"/>
  <c r="BH2236" i="10"/>
  <c r="AS2235" i="10"/>
  <c r="R1942" i="10"/>
  <c r="S1942" i="10" s="1"/>
  <c r="P2347" i="10"/>
  <c r="P2299" i="10" s="1"/>
  <c r="AS2245" i="10"/>
  <c r="AO2246" i="10"/>
  <c r="AN2246" i="10"/>
  <c r="AU2179" i="10"/>
  <c r="AM2178" i="10"/>
  <c r="AJ2179" i="10"/>
  <c r="AV1716" i="10"/>
  <c r="AA1716" i="10"/>
  <c r="U1984" i="10"/>
  <c r="U1972" i="10" s="1"/>
  <c r="AD4" i="11"/>
  <c r="AD136" i="11" s="1"/>
  <c r="AO2268" i="10"/>
  <c r="BM2147" i="10"/>
  <c r="BH2146" i="10"/>
  <c r="BH2145" i="10" s="1"/>
  <c r="AA2348" i="10"/>
  <c r="AV2348" i="10"/>
  <c r="AD2347" i="10"/>
  <c r="J2160" i="10"/>
  <c r="AY2090" i="10"/>
  <c r="AJ1689" i="10"/>
  <c r="AU1689" i="10"/>
  <c r="AO1260" i="10"/>
  <c r="AN1260" i="10"/>
  <c r="AS1259" i="10"/>
  <c r="S392" i="10"/>
  <c r="R391" i="10"/>
  <c r="AN1283" i="10"/>
  <c r="AO1283" i="10"/>
  <c r="AS1282" i="10"/>
  <c r="BA510" i="10"/>
  <c r="BA502" i="10" s="1"/>
  <c r="BH402" i="10"/>
  <c r="BH401" i="10" s="1"/>
  <c r="BM403" i="10"/>
  <c r="P250" i="10"/>
  <c r="J664" i="10"/>
  <c r="L665" i="10"/>
  <c r="AN531" i="10"/>
  <c r="AO531" i="10"/>
  <c r="P2178" i="10"/>
  <c r="AA1068" i="10"/>
  <c r="AV1068" i="10"/>
  <c r="AJ710" i="10"/>
  <c r="AU710" i="10"/>
  <c r="E528" i="11"/>
  <c r="F528" i="11" s="1"/>
  <c r="E335" i="11"/>
  <c r="F335" i="11" s="1"/>
  <c r="BO1078" i="10"/>
  <c r="AJ535" i="10"/>
  <c r="AU535" i="10"/>
  <c r="S58" i="10"/>
  <c r="R57" i="10"/>
  <c r="S57" i="10" s="1"/>
  <c r="W1990" i="10"/>
  <c r="W1989" i="10" s="1"/>
  <c r="W1984" i="10" s="1"/>
  <c r="W1972" i="10" s="1"/>
  <c r="BH278" i="10"/>
  <c r="AO278" i="10"/>
  <c r="AN278" i="10"/>
  <c r="AS277" i="10"/>
  <c r="AJ2238" i="10"/>
  <c r="AM2237" i="10"/>
  <c r="AM2233" i="10" s="1"/>
  <c r="AU2238" i="10"/>
  <c r="AO153" i="10"/>
  <c r="AN153" i="10"/>
  <c r="R2383" i="10"/>
  <c r="S2383" i="10" s="1"/>
  <c r="S2384" i="10"/>
  <c r="AS1689" i="10"/>
  <c r="AV758" i="10"/>
  <c r="AA758" i="10"/>
  <c r="AA1350" i="10"/>
  <c r="AV1350" i="10"/>
  <c r="AD1349" i="10"/>
  <c r="AO1294" i="10"/>
  <c r="AN1294" i="10"/>
  <c r="AS1293" i="10"/>
  <c r="BA645" i="10"/>
  <c r="BA644" i="10" s="1"/>
  <c r="BA643" i="10" s="1"/>
  <c r="AU2504" i="10"/>
  <c r="AZ540" i="10"/>
  <c r="BO2218" i="10"/>
  <c r="BM2217" i="10"/>
  <c r="W1592" i="10"/>
  <c r="U1349" i="10"/>
  <c r="R1590" i="10"/>
  <c r="S1590" i="10" s="1"/>
  <c r="S1591" i="10"/>
  <c r="R710" i="10"/>
  <c r="S710" i="10" s="1"/>
  <c r="S712" i="10"/>
  <c r="AA231" i="10"/>
  <c r="AV231" i="10"/>
  <c r="BM182" i="10"/>
  <c r="BH181" i="10"/>
  <c r="BA28" i="10"/>
  <c r="AU1237" i="10"/>
  <c r="AJ1237" i="10"/>
  <c r="AO236" i="10"/>
  <c r="AN236" i="10"/>
  <c r="AU393" i="10"/>
  <c r="W1237" i="10"/>
  <c r="AM276" i="10"/>
  <c r="AJ277" i="10"/>
  <c r="AU277" i="10"/>
  <c r="AO230" i="10"/>
  <c r="AS229" i="10"/>
  <c r="BH230" i="10"/>
  <c r="AN230" i="10"/>
  <c r="BA76" i="10"/>
  <c r="BH1351" i="10"/>
  <c r="AS1350" i="10"/>
  <c r="AN1351" i="10"/>
  <c r="AO1351" i="10"/>
  <c r="R438" i="10"/>
  <c r="BM252" i="10"/>
  <c r="BH251" i="10"/>
  <c r="BO1056" i="10"/>
  <c r="E327" i="11"/>
  <c r="AL139" i="11"/>
  <c r="AL138" i="11" s="1"/>
  <c r="AL137" i="11" s="1"/>
  <c r="S190" i="10"/>
  <c r="R189" i="10"/>
  <c r="S189" i="10" s="1"/>
  <c r="BH677" i="10"/>
  <c r="AN677" i="10"/>
  <c r="AS675" i="10"/>
  <c r="AO677" i="10"/>
  <c r="AJ39" i="10"/>
  <c r="AU39" i="10"/>
  <c r="AV77" i="10"/>
  <c r="AA77" i="10"/>
  <c r="AO55" i="10"/>
  <c r="AN55" i="10"/>
  <c r="M313" i="11"/>
  <c r="J313" i="11"/>
  <c r="Y313" i="11"/>
  <c r="AH313" i="11"/>
  <c r="T313" i="11"/>
  <c r="I313" i="11"/>
  <c r="L501" i="10"/>
  <c r="J500" i="10"/>
  <c r="AA1473" i="10"/>
  <c r="AV1473" i="10"/>
  <c r="AJ1089" i="10"/>
  <c r="AU1089" i="10"/>
  <c r="BH752" i="10"/>
  <c r="AN752" i="10"/>
  <c r="AO752" i="10"/>
  <c r="AS749" i="10"/>
  <c r="AJ489" i="10"/>
  <c r="AM488" i="10"/>
  <c r="AU489" i="10"/>
  <c r="P233" i="10"/>
  <c r="J1348" i="10"/>
  <c r="E437" i="11"/>
  <c r="F437" i="11" s="1"/>
  <c r="BO2152" i="10"/>
  <c r="L2204" i="10"/>
  <c r="AN410" i="10"/>
  <c r="AS409" i="10"/>
  <c r="AO410" i="10"/>
  <c r="E71" i="11"/>
  <c r="F71" i="11" s="1"/>
  <c r="BO162" i="10"/>
  <c r="AO181" i="10"/>
  <c r="AN181" i="10"/>
  <c r="AN645" i="10"/>
  <c r="BH645" i="10"/>
  <c r="AO645" i="10"/>
  <c r="AS644" i="10"/>
  <c r="M297" i="11"/>
  <c r="J297" i="11"/>
  <c r="Y297" i="11"/>
  <c r="AH297" i="11"/>
  <c r="I297" i="11"/>
  <c r="BH438" i="10"/>
  <c r="BH437" i="10" s="1"/>
  <c r="M242" i="11"/>
  <c r="J242" i="11"/>
  <c r="AH242" i="11"/>
  <c r="I242" i="11"/>
  <c r="Y242" i="11"/>
  <c r="J247" i="11"/>
  <c r="I247" i="11"/>
  <c r="Y247" i="11"/>
  <c r="AH247" i="11"/>
  <c r="M247" i="11"/>
  <c r="E531" i="11"/>
  <c r="F531" i="11" s="1"/>
  <c r="BO2480" i="10"/>
  <c r="AU2288" i="10"/>
  <c r="AJ2288" i="10"/>
  <c r="AM2287" i="10"/>
  <c r="AV2447" i="10"/>
  <c r="AA2447" i="10"/>
  <c r="AA326" i="10"/>
  <c r="AD325" i="10"/>
  <c r="AV326" i="10"/>
  <c r="R267" i="10"/>
  <c r="S268" i="10"/>
  <c r="BO1768" i="10"/>
  <c r="AO1768" i="10"/>
  <c r="AN1768" i="10"/>
  <c r="AN1823" i="10"/>
  <c r="AO1823" i="10"/>
  <c r="BM802" i="10"/>
  <c r="BO802" i="10" s="1"/>
  <c r="BI802" i="10"/>
  <c r="AD224" i="10"/>
  <c r="AA225" i="10"/>
  <c r="AV225" i="10"/>
  <c r="R1399" i="10"/>
  <c r="S1399" i="10" s="1"/>
  <c r="S1400" i="10"/>
  <c r="J300" i="11"/>
  <c r="AH300" i="11"/>
  <c r="Y300" i="11"/>
  <c r="M300" i="11"/>
  <c r="I300" i="11"/>
  <c r="E339" i="11"/>
  <c r="F339" i="11" s="1"/>
  <c r="BO1085" i="10"/>
  <c r="AN215" i="10"/>
  <c r="AO215" i="10"/>
  <c r="AJ608" i="10"/>
  <c r="AU608" i="10"/>
  <c r="BH524" i="10"/>
  <c r="AO524" i="10"/>
  <c r="AS523" i="10"/>
  <c r="AV213" i="10"/>
  <c r="AA213" i="10"/>
  <c r="E265" i="11"/>
  <c r="F265" i="11" s="1"/>
  <c r="BO762" i="10"/>
  <c r="E218" i="11"/>
  <c r="F218" i="11" s="1"/>
  <c r="BO713" i="10"/>
  <c r="AN2526" i="10"/>
  <c r="AS2525" i="10"/>
  <c r="AO2526" i="10"/>
  <c r="BH2526" i="10"/>
  <c r="BM1990" i="10"/>
  <c r="BH1989" i="10"/>
  <c r="AO1942" i="10"/>
  <c r="AN1942" i="10"/>
  <c r="AO1593" i="10"/>
  <c r="AN1593" i="10"/>
  <c r="AU2520" i="10"/>
  <c r="AJ2520" i="10"/>
  <c r="AA2223" i="10"/>
  <c r="AV2223" i="10"/>
  <c r="S1594" i="10"/>
  <c r="R1593" i="10"/>
  <c r="AO248" i="10"/>
  <c r="AN248" i="10"/>
  <c r="AS247" i="10"/>
  <c r="BH248" i="10"/>
  <c r="BM1737" i="10"/>
  <c r="BH1736" i="10"/>
  <c r="AU268" i="10"/>
  <c r="AM267" i="10"/>
  <c r="AJ268" i="10"/>
  <c r="E206" i="11"/>
  <c r="F206" i="11" s="1"/>
  <c r="BO701" i="10"/>
  <c r="AD501" i="10"/>
  <c r="AA502" i="10"/>
  <c r="AV502" i="10"/>
  <c r="AU2223" i="10"/>
  <c r="AJ2223" i="10"/>
  <c r="AS398" i="10"/>
  <c r="BH399" i="10"/>
  <c r="AN399" i="10"/>
  <c r="AO399" i="10"/>
  <c r="Y196" i="11"/>
  <c r="AH196" i="11"/>
  <c r="I196" i="11"/>
  <c r="M196" i="11"/>
  <c r="J196" i="11"/>
  <c r="R63" i="10"/>
  <c r="S63" i="10" s="1"/>
  <c r="S64" i="10"/>
  <c r="R877" i="10"/>
  <c r="S877" i="10" s="1"/>
  <c r="S878" i="10"/>
  <c r="AV729" i="10"/>
  <c r="AA729" i="10"/>
  <c r="AU2447" i="10"/>
  <c r="AJ2447" i="10"/>
  <c r="AS2388" i="10"/>
  <c r="AO1296" i="10"/>
  <c r="AN1296" i="10"/>
  <c r="E184" i="11"/>
  <c r="F184" i="11" s="1"/>
  <c r="BO671" i="10"/>
  <c r="AA629" i="10"/>
  <c r="AV629" i="10"/>
  <c r="AD4" i="10"/>
  <c r="AA5" i="10"/>
  <c r="AV5" i="10"/>
  <c r="S72" i="10"/>
  <c r="R70" i="10"/>
  <c r="AM643" i="10"/>
  <c r="AJ644" i="10"/>
  <c r="AU644" i="10"/>
  <c r="U1822" i="10"/>
  <c r="U2043" i="10"/>
  <c r="AD1533" i="10"/>
  <c r="AV1534" i="10"/>
  <c r="AA1534" i="10"/>
  <c r="AV371" i="10"/>
  <c r="AD370" i="10"/>
  <c r="AA371" i="10"/>
  <c r="E511" i="11"/>
  <c r="F511" i="11" s="1"/>
  <c r="BO2379" i="10"/>
  <c r="BH2196" i="10"/>
  <c r="BM2197" i="10"/>
  <c r="W1448" i="10"/>
  <c r="AJ2196" i="10"/>
  <c r="AU2196" i="10"/>
  <c r="BO2455" i="10"/>
  <c r="E529" i="11"/>
  <c r="F529" i="11" s="1"/>
  <c r="AU59" i="10"/>
  <c r="AJ59" i="10"/>
  <c r="E194" i="11"/>
  <c r="F194" i="11" s="1"/>
  <c r="BO685" i="10"/>
  <c r="E286" i="11"/>
  <c r="F286" i="11" s="1"/>
  <c r="BO898" i="10"/>
  <c r="S230" i="10"/>
  <c r="R229" i="10"/>
  <c r="AS1273" i="10"/>
  <c r="BH1274" i="10"/>
  <c r="AO1274" i="10"/>
  <c r="AN1274" i="10"/>
  <c r="BH206" i="10"/>
  <c r="BM207" i="10"/>
  <c r="BM941" i="10"/>
  <c r="BM940" i="10" s="1"/>
  <c r="BH940" i="10"/>
  <c r="R273" i="10"/>
  <c r="S273" i="10" s="1"/>
  <c r="S274" i="10"/>
  <c r="E261" i="11"/>
  <c r="F261" i="11" s="1"/>
  <c r="BO777" i="10"/>
  <c r="AN36" i="10"/>
  <c r="AO36" i="10"/>
  <c r="V45" i="11"/>
  <c r="V44" i="11" s="1"/>
  <c r="S2270" i="10"/>
  <c r="R2269" i="10"/>
  <c r="AD1984" i="10"/>
  <c r="AV1985" i="10"/>
  <c r="AA1985" i="10"/>
  <c r="S2526" i="10"/>
  <c r="R2525" i="10"/>
  <c r="AN1473" i="10"/>
  <c r="AO1473" i="10"/>
  <c r="W2272" i="10"/>
  <c r="W2271" i="10" s="1"/>
  <c r="W2264" i="10" s="1"/>
  <c r="BM1297" i="10"/>
  <c r="BH1296" i="10"/>
  <c r="BH1293" i="10" s="1"/>
  <c r="AV217" i="10"/>
  <c r="AA217" i="10"/>
  <c r="BH78" i="10"/>
  <c r="BH77" i="10" s="1"/>
  <c r="BM79" i="10"/>
  <c r="AB4" i="11"/>
  <c r="AB136" i="11" s="1"/>
  <c r="E447" i="11"/>
  <c r="F447" i="11" s="1"/>
  <c r="BO2168" i="10"/>
  <c r="AS1765" i="10"/>
  <c r="AO2196" i="10"/>
  <c r="AN2196" i="10"/>
  <c r="BH59" i="10"/>
  <c r="BM60" i="10"/>
  <c r="AN206" i="10"/>
  <c r="AO206" i="10"/>
  <c r="E150" i="11"/>
  <c r="F150" i="11" s="1"/>
  <c r="BO538" i="10"/>
  <c r="E48" i="11"/>
  <c r="F48" i="11" s="1"/>
  <c r="BO123" i="10"/>
  <c r="AJ2092" i="10"/>
  <c r="AU2092" i="10"/>
  <c r="AM2091" i="10"/>
  <c r="AO67" i="10"/>
  <c r="BH67" i="10"/>
  <c r="AS66" i="10"/>
  <c r="AN67" i="10"/>
  <c r="I333" i="11"/>
  <c r="AH333" i="11"/>
  <c r="Y333" i="11"/>
  <c r="T333" i="11"/>
  <c r="J333" i="11"/>
  <c r="M333" i="11"/>
  <c r="AV529" i="10"/>
  <c r="AA529" i="10"/>
  <c r="AU529" i="10"/>
  <c r="AO258" i="10"/>
  <c r="BH258" i="10"/>
  <c r="AS257" i="10"/>
  <c r="AN258" i="10"/>
  <c r="AA535" i="10"/>
  <c r="AV535" i="10"/>
  <c r="AO490" i="10"/>
  <c r="AS489" i="10"/>
  <c r="BH490" i="10"/>
  <c r="AN490" i="10"/>
  <c r="AA2092" i="10"/>
  <c r="AV2092" i="10"/>
  <c r="AD2091" i="10"/>
  <c r="BI804" i="10"/>
  <c r="BM804" i="10"/>
  <c r="E58" i="11"/>
  <c r="F58" i="11" s="1"/>
  <c r="BO135" i="10"/>
  <c r="E208" i="11"/>
  <c r="F208" i="11" s="1"/>
  <c r="BO703" i="10"/>
  <c r="AM2204" i="10"/>
  <c r="BH2205" i="10"/>
  <c r="BM2206" i="10"/>
  <c r="AU2209" i="10"/>
  <c r="E251" i="11"/>
  <c r="F251" i="11" s="1"/>
  <c r="BO746" i="10"/>
  <c r="R1503" i="10"/>
  <c r="S1503" i="10" s="1"/>
  <c r="BM1288" i="10"/>
  <c r="BH1287" i="10"/>
  <c r="BH1286" i="10" s="1"/>
  <c r="AV1333" i="10"/>
  <c r="AA1333" i="10"/>
  <c r="E320" i="11"/>
  <c r="F320" i="11" s="1"/>
  <c r="BO1041" i="10"/>
  <c r="AU206" i="10"/>
  <c r="AJ206" i="10"/>
  <c r="AM205" i="10"/>
  <c r="S79" i="10"/>
  <c r="R78" i="10"/>
  <c r="AA619" i="10"/>
  <c r="AV619" i="10"/>
  <c r="E332" i="11"/>
  <c r="F332" i="11" s="1"/>
  <c r="BO1075" i="10"/>
  <c r="R1716" i="10"/>
  <c r="S1716" i="10" s="1"/>
  <c r="AU1534" i="10"/>
  <c r="AJ1534" i="10"/>
  <c r="AM1533" i="10"/>
  <c r="E74" i="11"/>
  <c r="F74" i="11" s="1"/>
  <c r="BO165" i="10"/>
  <c r="AJ611" i="10"/>
  <c r="AU611" i="10"/>
  <c r="AU116" i="10"/>
  <c r="AJ116" i="10"/>
  <c r="AM115" i="10"/>
  <c r="AS502" i="10"/>
  <c r="E51" i="11"/>
  <c r="F51" i="11" s="1"/>
  <c r="BO127" i="10"/>
  <c r="E185" i="11"/>
  <c r="F185" i="11" s="1"/>
  <c r="BO672" i="10"/>
  <c r="BM40" i="10"/>
  <c r="BM239" i="10"/>
  <c r="BH238" i="10"/>
  <c r="AU2279" i="10"/>
  <c r="AJ2279" i="10"/>
  <c r="AM2278" i="10"/>
  <c r="AS1290" i="10"/>
  <c r="AO1291" i="10"/>
  <c r="AN1291" i="10"/>
  <c r="BH1291" i="10"/>
  <c r="AO2215" i="10"/>
  <c r="AN2215" i="10"/>
  <c r="T312" i="11"/>
  <c r="Y312" i="11"/>
  <c r="I312" i="11"/>
  <c r="AH312" i="11"/>
  <c r="F311" i="11"/>
  <c r="M312" i="11"/>
  <c r="J312" i="11"/>
  <c r="I81" i="11"/>
  <c r="M81" i="11"/>
  <c r="AH81" i="11"/>
  <c r="J81" i="11"/>
  <c r="Y81" i="11"/>
  <c r="T81" i="11"/>
  <c r="M80" i="11"/>
  <c r="J80" i="11"/>
  <c r="I80" i="11"/>
  <c r="Y80" i="11"/>
  <c r="AH80" i="11"/>
  <c r="L2524" i="10"/>
  <c r="J2523" i="10"/>
  <c r="L2523" i="10" s="1"/>
  <c r="R2162" i="10"/>
  <c r="S2163" i="10"/>
  <c r="AO2517" i="10"/>
  <c r="AU1913" i="10"/>
  <c r="AJ1913" i="10"/>
  <c r="S1475" i="10"/>
  <c r="R1473" i="10"/>
  <c r="S1473" i="10" s="1"/>
  <c r="AA1449" i="10"/>
  <c r="AV1449" i="10"/>
  <c r="AD1448" i="10"/>
  <c r="L2091" i="10"/>
  <c r="J2090" i="10"/>
  <c r="L2090" i="10" s="1"/>
  <c r="BH1300" i="10"/>
  <c r="BM1301" i="10"/>
  <c r="AJ120" i="10"/>
  <c r="AM119" i="10"/>
  <c r="AU120" i="10"/>
  <c r="AA1942" i="10"/>
  <c r="AV1942" i="10"/>
  <c r="BH2189" i="10"/>
  <c r="BM2189" i="10" s="1"/>
  <c r="BO2189" i="10" s="1"/>
  <c r="AO2189" i="10"/>
  <c r="AN2189" i="10"/>
  <c r="AS2181" i="10"/>
  <c r="AV1736" i="10"/>
  <c r="AD1735" i="10"/>
  <c r="AA1736" i="10"/>
  <c r="AD54" i="10"/>
  <c r="AS2447" i="10"/>
  <c r="BH2448" i="10"/>
  <c r="AN2448" i="10"/>
  <c r="AO2448" i="10"/>
  <c r="AN626" i="10"/>
  <c r="AO626" i="10"/>
  <c r="AS1562" i="10"/>
  <c r="AS1533" i="10" s="1"/>
  <c r="AO1563" i="10"/>
  <c r="AN1563" i="10"/>
  <c r="BH1563" i="10"/>
  <c r="AJ153" i="10"/>
  <c r="AU153" i="10"/>
  <c r="AA715" i="10"/>
  <c r="AV715" i="10"/>
  <c r="AU715" i="10"/>
  <c r="AY501" i="10"/>
  <c r="AY500" i="10" s="1"/>
  <c r="AZ1258" i="10"/>
  <c r="BO1719" i="10"/>
  <c r="AO1719" i="10"/>
  <c r="AN1719" i="10"/>
  <c r="E193" i="11"/>
  <c r="F193" i="11" s="1"/>
  <c r="BO684" i="10"/>
  <c r="E372" i="11"/>
  <c r="F372" i="11" s="1"/>
  <c r="BH1029" i="10"/>
  <c r="M436" i="11"/>
  <c r="AH436" i="11"/>
  <c r="J436" i="11"/>
  <c r="AE436" i="11"/>
  <c r="Y436" i="11"/>
  <c r="I436" i="11"/>
  <c r="AH222" i="11"/>
  <c r="Y222" i="11"/>
  <c r="M222" i="11"/>
  <c r="J222" i="11"/>
  <c r="I222" i="11"/>
  <c r="AO1974" i="10"/>
  <c r="AN1974" i="10"/>
  <c r="AS1973" i="10"/>
  <c r="AS1984" i="10"/>
  <c r="AN1985" i="10"/>
  <c r="AO1985" i="10"/>
  <c r="R2272" i="10"/>
  <c r="S2273" i="10"/>
  <c r="AO2046" i="10"/>
  <c r="AN2046" i="10"/>
  <c r="BH2046" i="10"/>
  <c r="AS2045" i="10"/>
  <c r="AM1349" i="10"/>
  <c r="AU1350" i="10"/>
  <c r="AJ1350" i="10"/>
  <c r="AU1399" i="10"/>
  <c r="AJ1399" i="10"/>
  <c r="BM218" i="10"/>
  <c r="BM217" i="10" s="1"/>
  <c r="BH217" i="10"/>
  <c r="AU208" i="10"/>
  <c r="AJ208" i="10"/>
  <c r="E533" i="11"/>
  <c r="F533" i="11" s="1"/>
  <c r="BO2486" i="10"/>
  <c r="Y302" i="11"/>
  <c r="M302" i="11"/>
  <c r="J302" i="11"/>
  <c r="I302" i="11"/>
  <c r="AH302" i="11"/>
  <c r="T302" i="11"/>
  <c r="M501" i="11"/>
  <c r="J501" i="11"/>
  <c r="AE501" i="11"/>
  <c r="I501" i="11"/>
  <c r="AH501" i="11"/>
  <c r="Y501" i="11"/>
  <c r="M275" i="11"/>
  <c r="J275" i="11"/>
  <c r="I275" i="11"/>
  <c r="Y275" i="11"/>
  <c r="AH275" i="11"/>
  <c r="L1822" i="10"/>
  <c r="J1821" i="10"/>
  <c r="L1821" i="10" s="1"/>
  <c r="AO238" i="10"/>
  <c r="AN238" i="10"/>
  <c r="R2266" i="10"/>
  <c r="S2267" i="10"/>
  <c r="BA1264" i="10"/>
  <c r="BA1260" i="10" s="1"/>
  <c r="BA1259" i="10" s="1"/>
  <c r="I305" i="11"/>
  <c r="Y305" i="11"/>
  <c r="M305" i="11"/>
  <c r="J305" i="11"/>
  <c r="AH305" i="11"/>
  <c r="AA2217" i="10"/>
  <c r="AV2217" i="10"/>
  <c r="AY1880" i="10"/>
  <c r="AA2181" i="10"/>
  <c r="AV2181" i="10"/>
  <c r="AD2178" i="10"/>
  <c r="AJ73" i="10"/>
  <c r="Q521" i="11"/>
  <c r="AF521" i="11"/>
  <c r="AF518" i="11" s="1"/>
  <c r="AF516" i="11" s="1"/>
  <c r="Q363" i="11"/>
  <c r="S363" i="11" s="1"/>
  <c r="S378" i="11"/>
  <c r="AJ2511" i="10"/>
  <c r="AM2510" i="10"/>
  <c r="AU2511" i="10"/>
  <c r="E524" i="11"/>
  <c r="F524" i="11" s="1"/>
  <c r="BO2449" i="10"/>
  <c r="AF423" i="11"/>
  <c r="L2503" i="10"/>
  <c r="J2502" i="10"/>
  <c r="BH2389" i="10"/>
  <c r="AV2288" i="10"/>
  <c r="AD2287" i="10"/>
  <c r="AA2288" i="10"/>
  <c r="AA1851" i="10"/>
  <c r="AV1851" i="10"/>
  <c r="BH2267" i="10"/>
  <c r="AS2266" i="10"/>
  <c r="AO2267" i="10"/>
  <c r="AN2267" i="10"/>
  <c r="J445" i="11"/>
  <c r="AE445" i="11"/>
  <c r="T445" i="11"/>
  <c r="Y445" i="11"/>
  <c r="AH445" i="11"/>
  <c r="M445" i="11"/>
  <c r="I445" i="11"/>
  <c r="BM2247" i="10"/>
  <c r="BH2246" i="10"/>
  <c r="BH2245" i="10" s="1"/>
  <c r="AJ2162" i="10"/>
  <c r="AM2161" i="10"/>
  <c r="AU2162" i="10"/>
  <c r="BM1882" i="10"/>
  <c r="AV2213" i="10"/>
  <c r="AA2213" i="10"/>
  <c r="U1735" i="10"/>
  <c r="R1350" i="10"/>
  <c r="AD1661" i="10"/>
  <c r="AA1662" i="10"/>
  <c r="AV1662" i="10"/>
  <c r="R715" i="10"/>
  <c r="S715" i="10" s="1"/>
  <c r="S717" i="10"/>
  <c r="AJ2265" i="10"/>
  <c r="AA2246" i="10"/>
  <c r="AV2246" i="10"/>
  <c r="AD2245" i="10"/>
  <c r="AS2294" i="10"/>
  <c r="BM2260" i="10"/>
  <c r="BH2259" i="10"/>
  <c r="BH2258" i="10" s="1"/>
  <c r="AN1638" i="10"/>
  <c r="AS1636" i="10"/>
  <c r="AS1592" i="10" s="1"/>
  <c r="AO1638" i="10"/>
  <c r="BH1637" i="10"/>
  <c r="AO2288" i="10"/>
  <c r="AN2288" i="10"/>
  <c r="AS2287" i="10"/>
  <c r="AU1736" i="10"/>
  <c r="AJ1736" i="10"/>
  <c r="AM1735" i="10"/>
  <c r="AA1590" i="10"/>
  <c r="AV1590" i="10"/>
  <c r="AU1590" i="10"/>
  <c r="AY1349" i="10"/>
  <c r="E340" i="11"/>
  <c r="F340" i="11" s="1"/>
  <c r="BO1087" i="10"/>
  <c r="AJ758" i="10"/>
  <c r="AU758" i="10"/>
  <c r="BM711" i="10"/>
  <c r="BH710" i="10"/>
  <c r="AN402" i="10"/>
  <c r="AO402" i="10"/>
  <c r="AS401" i="10"/>
  <c r="U280" i="10"/>
  <c r="U279" i="10"/>
  <c r="AS120" i="10"/>
  <c r="AN121" i="10"/>
  <c r="BH121" i="10"/>
  <c r="AO121" i="10"/>
  <c r="BH214" i="10"/>
  <c r="AS213" i="10"/>
  <c r="AN214" i="10"/>
  <c r="AO214" i="10"/>
  <c r="P1661" i="10"/>
  <c r="E266" i="11"/>
  <c r="F266" i="11" s="1"/>
  <c r="BO763" i="10"/>
  <c r="E197" i="11"/>
  <c r="F197" i="11" s="1"/>
  <c r="BO688" i="10"/>
  <c r="AG4" i="11"/>
  <c r="R2179" i="10"/>
  <c r="S2180" i="10"/>
  <c r="E371" i="11"/>
  <c r="F371" i="11" s="1"/>
  <c r="BM1399" i="10"/>
  <c r="BO1399" i="10" s="1"/>
  <c r="BO1400" i="10"/>
  <c r="Q1029" i="10"/>
  <c r="Q1028" i="10" s="1"/>
  <c r="E281" i="11"/>
  <c r="F281" i="11" s="1"/>
  <c r="BO883" i="10"/>
  <c r="S530" i="10"/>
  <c r="R529" i="10"/>
  <c r="S529" i="10" s="1"/>
  <c r="S541" i="10"/>
  <c r="R540" i="10"/>
  <c r="S540" i="10" s="1"/>
  <c r="AV2198" i="10"/>
  <c r="AA2198" i="10"/>
  <c r="AV251" i="10"/>
  <c r="AD250" i="10"/>
  <c r="AA251" i="10"/>
  <c r="AO256" i="10"/>
  <c r="AN256" i="10"/>
  <c r="AS255" i="10"/>
  <c r="BH256" i="10"/>
  <c r="BA5" i="10"/>
  <c r="AN1825" i="10"/>
  <c r="AO1825" i="10"/>
  <c r="BO1825" i="10"/>
  <c r="AJ2269" i="10"/>
  <c r="AU2269" i="10"/>
  <c r="AM2268" i="10"/>
  <c r="AN2269" i="10"/>
  <c r="BM2209" i="10"/>
  <c r="BO2210" i="10"/>
  <c r="BM1690" i="10"/>
  <c r="R1562" i="10"/>
  <c r="S1562" i="10" s="1"/>
  <c r="AA608" i="10"/>
  <c r="AV608" i="10"/>
  <c r="AU2213" i="10"/>
  <c r="AU1593" i="10"/>
  <c r="AJ1593" i="10"/>
  <c r="AM1592" i="10"/>
  <c r="AD1321" i="10"/>
  <c r="AA1322" i="10"/>
  <c r="AV1322" i="10"/>
  <c r="AU217" i="10"/>
  <c r="AJ217" i="10"/>
  <c r="U119" i="10"/>
  <c r="AV208" i="10"/>
  <c r="AA208" i="10"/>
  <c r="R1026" i="10"/>
  <c r="S1026" i="10" s="1"/>
  <c r="S1027" i="10"/>
  <c r="E293" i="11"/>
  <c r="BO905" i="10"/>
  <c r="AU66" i="10"/>
  <c r="AJ66" i="10"/>
  <c r="AM65" i="10"/>
  <c r="BM1595" i="10"/>
  <c r="BM1593" i="10" s="1"/>
  <c r="BH1593" i="10"/>
  <c r="BM816" i="10"/>
  <c r="BI816" i="10"/>
  <c r="BM226" i="10"/>
  <c r="BM225" i="10" s="1"/>
  <c r="BH225" i="10"/>
  <c r="BH224" i="10" s="1"/>
  <c r="R187" i="10"/>
  <c r="S187" i="10" s="1"/>
  <c r="S188" i="10"/>
  <c r="S705" i="10"/>
  <c r="R704" i="10"/>
  <c r="S704" i="10" s="1"/>
  <c r="AO251" i="10"/>
  <c r="AN251" i="10"/>
  <c r="AJ5" i="10"/>
  <c r="AM4" i="10"/>
  <c r="AU5" i="10"/>
  <c r="AN2032" i="10"/>
  <c r="AS2031" i="10"/>
  <c r="AO2032" i="10"/>
  <c r="E228" i="11"/>
  <c r="F228" i="11" s="1"/>
  <c r="BO723" i="10"/>
  <c r="U1448" i="10"/>
  <c r="AS635" i="10"/>
  <c r="BH636" i="10"/>
  <c r="AN636" i="10"/>
  <c r="AO636" i="10"/>
  <c r="AJ242" i="10"/>
  <c r="AU1878" i="10"/>
  <c r="AN1878" i="10"/>
  <c r="AJ1878" i="10"/>
  <c r="E278" i="11"/>
  <c r="F278" i="11" s="1"/>
  <c r="BO879" i="10"/>
  <c r="AJ410" i="10"/>
  <c r="AM409" i="10"/>
  <c r="AU410" i="10"/>
  <c r="R402" i="10"/>
  <c r="S403" i="10"/>
  <c r="AU788" i="10"/>
  <c r="AJ788" i="10"/>
  <c r="E237" i="11"/>
  <c r="F237" i="11" s="1"/>
  <c r="BO731" i="10"/>
  <c r="BM216" i="10"/>
  <c r="BH215" i="10"/>
  <c r="R2176" i="10"/>
  <c r="S2177" i="10"/>
  <c r="AZ1735" i="10"/>
  <c r="AZ1660" i="10" s="1"/>
  <c r="BH744" i="10"/>
  <c r="AO744" i="10"/>
  <c r="AN744" i="10"/>
  <c r="AV675" i="10"/>
  <c r="AA675" i="10"/>
  <c r="AO391" i="10"/>
  <c r="AS390" i="10"/>
  <c r="AN391" i="10"/>
  <c r="R1765" i="10"/>
  <c r="S1765" i="10" s="1"/>
  <c r="M56" i="11"/>
  <c r="J56" i="11"/>
  <c r="I56" i="11"/>
  <c r="AH56" i="11"/>
  <c r="Y56" i="11"/>
  <c r="AJ2052" i="10"/>
  <c r="AM2051" i="10"/>
  <c r="AU2052" i="10"/>
  <c r="R531" i="10"/>
  <c r="S531" i="10" s="1"/>
  <c r="E240" i="11"/>
  <c r="F240" i="11" s="1"/>
  <c r="BO734" i="10"/>
  <c r="E18" i="11"/>
  <c r="F18" i="11" s="1"/>
  <c r="BO33" i="10"/>
  <c r="AU255" i="10"/>
  <c r="BH13" i="10"/>
  <c r="BM14" i="10"/>
  <c r="L223" i="10" l="1"/>
  <c r="L76" i="10"/>
  <c r="Y219" i="11"/>
  <c r="M219" i="11"/>
  <c r="I219" i="11"/>
  <c r="J219" i="11"/>
  <c r="AH219" i="11"/>
  <c r="BA119" i="10"/>
  <c r="AE430" i="11"/>
  <c r="AH430" i="11"/>
  <c r="J430" i="11"/>
  <c r="I430" i="11"/>
  <c r="M430" i="11"/>
  <c r="Y430" i="11"/>
  <c r="BO2220" i="10"/>
  <c r="BM2219" i="10"/>
  <c r="Y317" i="11"/>
  <c r="AH317" i="11"/>
  <c r="T317" i="11"/>
  <c r="I317" i="11"/>
  <c r="J317" i="11"/>
  <c r="M317" i="11"/>
  <c r="AJ69" i="10"/>
  <c r="AM68" i="10"/>
  <c r="AJ68" i="10" s="1"/>
  <c r="AL177" i="11"/>
  <c r="AL176" i="11" s="1"/>
  <c r="AZ118" i="10"/>
  <c r="AZ2" i="10" s="1"/>
  <c r="AR499" i="10"/>
  <c r="AU1289" i="10"/>
  <c r="L1348" i="10"/>
  <c r="Y53" i="11"/>
  <c r="J53" i="11"/>
  <c r="I53" i="11"/>
  <c r="M53" i="11"/>
  <c r="AH53" i="11"/>
  <c r="AU1272" i="10"/>
  <c r="AJ1272" i="10"/>
  <c r="BM1878" i="10"/>
  <c r="BO1879" i="10"/>
  <c r="AM2082" i="10"/>
  <c r="AJ2083" i="10"/>
  <c r="AA2252" i="10"/>
  <c r="AV2252" i="10"/>
  <c r="E515" i="11"/>
  <c r="F515" i="11" s="1"/>
  <c r="BO2383" i="10"/>
  <c r="M55" i="11"/>
  <c r="AH55" i="11"/>
  <c r="Y55" i="11"/>
  <c r="J55" i="11"/>
  <c r="I55" i="11"/>
  <c r="I250" i="11"/>
  <c r="J250" i="11"/>
  <c r="AV1272" i="10"/>
  <c r="AA1272" i="10"/>
  <c r="AK363" i="11"/>
  <c r="AC468" i="11"/>
  <c r="AC549" i="11" s="1"/>
  <c r="AC560" i="11" s="1"/>
  <c r="AA228" i="10"/>
  <c r="AV228" i="10"/>
  <c r="M175" i="11"/>
  <c r="I175" i="11"/>
  <c r="AU2271" i="10"/>
  <c r="T546" i="11"/>
  <c r="AE546" i="11"/>
  <c r="Y546" i="11"/>
  <c r="J546" i="11"/>
  <c r="I546" i="11"/>
  <c r="M546" i="11"/>
  <c r="AH546" i="11"/>
  <c r="J175" i="11"/>
  <c r="AH175" i="11"/>
  <c r="Y175" i="11"/>
  <c r="AJ2252" i="10"/>
  <c r="AU2252" i="10"/>
  <c r="AA180" i="10"/>
  <c r="AV180" i="10"/>
  <c r="AA280" i="10"/>
  <c r="AV280" i="10"/>
  <c r="J530" i="11"/>
  <c r="AE530" i="11"/>
  <c r="Y530" i="11"/>
  <c r="M530" i="11"/>
  <c r="I530" i="11"/>
  <c r="AH530" i="11"/>
  <c r="T530" i="11"/>
  <c r="AH250" i="11"/>
  <c r="Y250" i="11"/>
  <c r="AH82" i="11"/>
  <c r="I82" i="11"/>
  <c r="J82" i="11"/>
  <c r="M82" i="11"/>
  <c r="Y82" i="11"/>
  <c r="J204" i="11"/>
  <c r="I204" i="11"/>
  <c r="M204" i="11"/>
  <c r="AH204" i="11"/>
  <c r="Y204" i="11"/>
  <c r="AU2282" i="10"/>
  <c r="AU109" i="10"/>
  <c r="AJ109" i="10"/>
  <c r="J432" i="11"/>
  <c r="M432" i="11"/>
  <c r="I432" i="11"/>
  <c r="Y432" i="11"/>
  <c r="T432" i="11"/>
  <c r="AH432" i="11"/>
  <c r="AE432" i="11"/>
  <c r="AU2044" i="10"/>
  <c r="AV2044" i="10"/>
  <c r="Y253" i="11"/>
  <c r="J253" i="11"/>
  <c r="AH253" i="11"/>
  <c r="M253" i="11"/>
  <c r="I253" i="11"/>
  <c r="AZ1348" i="10"/>
  <c r="L3" i="10"/>
  <c r="I17" i="11"/>
  <c r="Y17" i="11"/>
  <c r="J17" i="11"/>
  <c r="AH17" i="11"/>
  <c r="M17" i="11"/>
  <c r="AH541" i="11"/>
  <c r="M541" i="11"/>
  <c r="Y541" i="11"/>
  <c r="AE541" i="11"/>
  <c r="J541" i="11"/>
  <c r="I541" i="11"/>
  <c r="J59" i="11"/>
  <c r="T59" i="11"/>
  <c r="AH59" i="11"/>
  <c r="I59" i="11"/>
  <c r="M59" i="11"/>
  <c r="Y59" i="11"/>
  <c r="BO212" i="10"/>
  <c r="BM211" i="10"/>
  <c r="BM110" i="10"/>
  <c r="BO111" i="10"/>
  <c r="BM187" i="10"/>
  <c r="BO188" i="10"/>
  <c r="AU233" i="10"/>
  <c r="BM234" i="10"/>
  <c r="BO235" i="10"/>
  <c r="S371" i="10"/>
  <c r="R370" i="10"/>
  <c r="S370" i="10" s="1"/>
  <c r="I205" i="11"/>
  <c r="M205" i="11"/>
  <c r="J205" i="11"/>
  <c r="AH205" i="11"/>
  <c r="Y205" i="11"/>
  <c r="Y10" i="11"/>
  <c r="J10" i="11"/>
  <c r="M10" i="11"/>
  <c r="AH10" i="11"/>
  <c r="T10" i="11"/>
  <c r="I10" i="11"/>
  <c r="L1258" i="10"/>
  <c r="AR2534" i="10"/>
  <c r="M116" i="11"/>
  <c r="I116" i="11"/>
  <c r="J116" i="11"/>
  <c r="Y116" i="11"/>
  <c r="AH116" i="11"/>
  <c r="V176" i="11"/>
  <c r="V468" i="11" s="1"/>
  <c r="AK176" i="11"/>
  <c r="AM548" i="11"/>
  <c r="Q1532" i="10"/>
  <c r="BH1984" i="10"/>
  <c r="BO71" i="10"/>
  <c r="BM70" i="10"/>
  <c r="E36" i="11"/>
  <c r="F36" i="11" s="1"/>
  <c r="M36" i="11" s="1"/>
  <c r="J68" i="11"/>
  <c r="I68" i="11"/>
  <c r="M68" i="11"/>
  <c r="AH68" i="11"/>
  <c r="AB549" i="11"/>
  <c r="AB560" i="11" s="1"/>
  <c r="AO233" i="10"/>
  <c r="AN233" i="10"/>
  <c r="AA2293" i="10"/>
  <c r="AD2292" i="10"/>
  <c r="AV2293" i="10"/>
  <c r="I207" i="11"/>
  <c r="M207" i="11"/>
  <c r="Y207" i="11"/>
  <c r="J207" i="11"/>
  <c r="AH207" i="11"/>
  <c r="M255" i="11"/>
  <c r="I255" i="11"/>
  <c r="J255" i="11"/>
  <c r="AH255" i="11"/>
  <c r="Y255" i="11"/>
  <c r="I279" i="11"/>
  <c r="J279" i="11"/>
  <c r="M279" i="11"/>
  <c r="AH279" i="11"/>
  <c r="Y279" i="11"/>
  <c r="AU242" i="10"/>
  <c r="AA242" i="10"/>
  <c r="AV242" i="10"/>
  <c r="BO2162" i="10"/>
  <c r="BM2161" i="10"/>
  <c r="BO2161" i="10" s="1"/>
  <c r="Y439" i="11"/>
  <c r="AE439" i="11"/>
  <c r="M439" i="11"/>
  <c r="AH439" i="11"/>
  <c r="I439" i="11"/>
  <c r="J439" i="11"/>
  <c r="E33" i="11"/>
  <c r="F33" i="11" s="1"/>
  <c r="BM63" i="10"/>
  <c r="BO63" i="10" s="1"/>
  <c r="BO64" i="10"/>
  <c r="S326" i="10"/>
  <c r="R325" i="10"/>
  <c r="S325" i="10" s="1"/>
  <c r="J341" i="11"/>
  <c r="M341" i="11"/>
  <c r="Y341" i="11"/>
  <c r="I341" i="11"/>
  <c r="AH341" i="11"/>
  <c r="K2285" i="10"/>
  <c r="L2286" i="10"/>
  <c r="I513" i="11"/>
  <c r="J513" i="11"/>
  <c r="BM2499" i="10"/>
  <c r="BO2500" i="10"/>
  <c r="BM2242" i="10"/>
  <c r="BO2243" i="10"/>
  <c r="AL363" i="11"/>
  <c r="BO2203" i="10"/>
  <c r="BM2202" i="10"/>
  <c r="Y513" i="11"/>
  <c r="M513" i="11"/>
  <c r="AE513" i="11"/>
  <c r="AH513" i="11"/>
  <c r="Y316" i="11"/>
  <c r="M316" i="11"/>
  <c r="I316" i="11"/>
  <c r="J316" i="11"/>
  <c r="AH316" i="11"/>
  <c r="AN81" i="10"/>
  <c r="AO81" i="10"/>
  <c r="M443" i="11"/>
  <c r="J443" i="11"/>
  <c r="Y443" i="11"/>
  <c r="AH443" i="11"/>
  <c r="I443" i="11"/>
  <c r="T443" i="11"/>
  <c r="AA2087" i="10"/>
  <c r="AV2087" i="10"/>
  <c r="AD2086" i="10"/>
  <c r="AM307" i="11"/>
  <c r="AM176" i="11" s="1"/>
  <c r="AM468" i="11" s="1"/>
  <c r="W549" i="11"/>
  <c r="W560" i="11" s="1"/>
  <c r="AL492" i="11"/>
  <c r="AL490" i="11" s="1"/>
  <c r="AL548" i="11" s="1"/>
  <c r="AD76" i="10"/>
  <c r="K499" i="10"/>
  <c r="L118" i="10"/>
  <c r="L2160" i="10"/>
  <c r="V136" i="11"/>
  <c r="M526" i="11"/>
  <c r="AH526" i="11"/>
  <c r="I526" i="11"/>
  <c r="Y526" i="11"/>
  <c r="AE526" i="11"/>
  <c r="J526" i="11"/>
  <c r="BM394" i="10"/>
  <c r="BO395" i="10"/>
  <c r="AA1293" i="10"/>
  <c r="AV1293" i="10"/>
  <c r="AV1259" i="10"/>
  <c r="AA1259" i="10"/>
  <c r="M498" i="11"/>
  <c r="AH498" i="11"/>
  <c r="Y498" i="11"/>
  <c r="AE498" i="11"/>
  <c r="I498" i="11"/>
  <c r="J498" i="11"/>
  <c r="Y442" i="11"/>
  <c r="I442" i="11"/>
  <c r="T442" i="11"/>
  <c r="AE442" i="11"/>
  <c r="AH442" i="11"/>
  <c r="M442" i="11"/>
  <c r="J442" i="11"/>
  <c r="AV2282" i="10"/>
  <c r="AA2282" i="10"/>
  <c r="AA2258" i="10"/>
  <c r="AV2258" i="10"/>
  <c r="AU2527" i="10"/>
  <c r="AN2527" i="10"/>
  <c r="AJ2527" i="10"/>
  <c r="F9" i="11"/>
  <c r="AH11" i="11"/>
  <c r="T11" i="11"/>
  <c r="M11" i="11"/>
  <c r="I11" i="11"/>
  <c r="Y11" i="11"/>
  <c r="J11" i="11"/>
  <c r="I60" i="11"/>
  <c r="J60" i="11"/>
  <c r="AH60" i="11"/>
  <c r="Y60" i="11"/>
  <c r="M60" i="11"/>
  <c r="Y214" i="11"/>
  <c r="J214" i="11"/>
  <c r="I214" i="11"/>
  <c r="M214" i="11"/>
  <c r="AH214" i="11"/>
  <c r="M234" i="11"/>
  <c r="AH234" i="11"/>
  <c r="Y234" i="11"/>
  <c r="I234" i="11"/>
  <c r="J234" i="11"/>
  <c r="BM2528" i="10"/>
  <c r="BO2529" i="10"/>
  <c r="BO244" i="10"/>
  <c r="BM243" i="10"/>
  <c r="M149" i="11"/>
  <c r="I149" i="11"/>
  <c r="J149" i="11"/>
  <c r="AH149" i="11"/>
  <c r="Y149" i="11"/>
  <c r="BO851" i="10"/>
  <c r="E272" i="11"/>
  <c r="F272" i="11" s="1"/>
  <c r="J448" i="11"/>
  <c r="AE448" i="11"/>
  <c r="Y448" i="11"/>
  <c r="M448" i="11"/>
  <c r="AH448" i="11"/>
  <c r="I448" i="11"/>
  <c r="BO1260" i="10"/>
  <c r="BM1259" i="10"/>
  <c r="BO1259" i="10" s="1"/>
  <c r="E346" i="11"/>
  <c r="F346" i="11" s="1"/>
  <c r="AE545" i="11"/>
  <c r="J545" i="11"/>
  <c r="I545" i="11"/>
  <c r="M545" i="11"/>
  <c r="AH545" i="11"/>
  <c r="Y545" i="11"/>
  <c r="BO2519" i="10"/>
  <c r="BM2518" i="10"/>
  <c r="BM531" i="10"/>
  <c r="BO531" i="10" s="1"/>
  <c r="E146" i="11"/>
  <c r="F146" i="11" s="1"/>
  <c r="BO534" i="10"/>
  <c r="AJ1286" i="10"/>
  <c r="AU1286" i="10"/>
  <c r="J25" i="11"/>
  <c r="AH25" i="11"/>
  <c r="M25" i="11"/>
  <c r="Y25" i="11"/>
  <c r="I25" i="11"/>
  <c r="AH435" i="11"/>
  <c r="J435" i="11"/>
  <c r="M435" i="11"/>
  <c r="Y435" i="11"/>
  <c r="AE435" i="11"/>
  <c r="T435" i="11"/>
  <c r="I435" i="11"/>
  <c r="BO1343" i="10"/>
  <c r="BM1342" i="10"/>
  <c r="AA2241" i="10"/>
  <c r="AV2241" i="10"/>
  <c r="T1348" i="10"/>
  <c r="AD1258" i="10"/>
  <c r="AM279" i="10"/>
  <c r="AJ279" i="10" s="1"/>
  <c r="AF363" i="11"/>
  <c r="AF136" i="11"/>
  <c r="W1028" i="10"/>
  <c r="AU2175" i="10"/>
  <c r="AV2175" i="10"/>
  <c r="AA2175" i="10"/>
  <c r="Y431" i="11"/>
  <c r="M431" i="11"/>
  <c r="I431" i="11"/>
  <c r="J431" i="11"/>
  <c r="AH431" i="11"/>
  <c r="AE431" i="11"/>
  <c r="L2277" i="10"/>
  <c r="J2232" i="10"/>
  <c r="L2232" i="10" s="1"/>
  <c r="R65" i="10"/>
  <c r="S65" i="10" s="1"/>
  <c r="S66" i="10"/>
  <c r="BH1823" i="10"/>
  <c r="BM1824" i="10"/>
  <c r="AN2268" i="10"/>
  <c r="AM2264" i="10"/>
  <c r="AJ2264" i="10" s="1"/>
  <c r="BH1237" i="10"/>
  <c r="AJ468" i="11"/>
  <c r="V548" i="11"/>
  <c r="AJ397" i="10"/>
  <c r="AM396" i="10"/>
  <c r="AJ396" i="10" s="1"/>
  <c r="AA112" i="10"/>
  <c r="AV112" i="10"/>
  <c r="L2386" i="10"/>
  <c r="J2298" i="10"/>
  <c r="L2298" i="10" s="1"/>
  <c r="J2" i="10"/>
  <c r="AV273" i="10"/>
  <c r="AA273" i="10"/>
  <c r="AF176" i="11"/>
  <c r="AF468" i="11" s="1"/>
  <c r="AU2087" i="10"/>
  <c r="AJ2087" i="10"/>
  <c r="AM2086" i="10"/>
  <c r="BH2181" i="10"/>
  <c r="K2" i="10"/>
  <c r="AV366" i="10"/>
  <c r="AA366" i="10"/>
  <c r="P2160" i="10"/>
  <c r="V664" i="10"/>
  <c r="V499" i="10" s="1"/>
  <c r="P1821" i="10"/>
  <c r="AY2160" i="10"/>
  <c r="V2" i="10"/>
  <c r="BA4" i="10"/>
  <c r="BA3" i="10" s="1"/>
  <c r="S489" i="10"/>
  <c r="R2237" i="10"/>
  <c r="S2237" i="10" s="1"/>
  <c r="W4" i="10"/>
  <c r="W3" i="10" s="1"/>
  <c r="P1532" i="10"/>
  <c r="R1321" i="10"/>
  <c r="S1321" i="10" s="1"/>
  <c r="R2083" i="10"/>
  <c r="S2083" i="10" s="1"/>
  <c r="W665" i="10"/>
  <c r="R2287" i="10"/>
  <c r="R2286" i="10" s="1"/>
  <c r="P3" i="10"/>
  <c r="Q1660" i="10"/>
  <c r="AS1028" i="10"/>
  <c r="AO1028" i="10" s="1"/>
  <c r="R28" i="10"/>
  <c r="S28" i="10" s="1"/>
  <c r="W119" i="10"/>
  <c r="W118" i="10" s="1"/>
  <c r="R396" i="10"/>
  <c r="S396" i="10" s="1"/>
  <c r="R4" i="10"/>
  <c r="S4" i="10" s="1"/>
  <c r="Q1821" i="10"/>
  <c r="AY1292" i="10"/>
  <c r="AY223" i="10"/>
  <c r="W2160" i="10"/>
  <c r="P118" i="10"/>
  <c r="W2501" i="10"/>
  <c r="P2501" i="10"/>
  <c r="P1292" i="10"/>
  <c r="U1821" i="10"/>
  <c r="U223" i="10"/>
  <c r="Q664" i="10"/>
  <c r="AY1532" i="10"/>
  <c r="AZ1821" i="10"/>
  <c r="U2160" i="10"/>
  <c r="U2232" i="10"/>
  <c r="AY1821" i="10"/>
  <c r="S2052" i="10"/>
  <c r="T1532" i="10"/>
  <c r="Q2" i="10"/>
  <c r="R1282" i="10"/>
  <c r="S1282" i="10" s="1"/>
  <c r="AZ2090" i="10"/>
  <c r="BA223" i="10"/>
  <c r="W501" i="10"/>
  <c r="W500" i="10" s="1"/>
  <c r="S5" i="10"/>
  <c r="AY3" i="10"/>
  <c r="BA2160" i="10"/>
  <c r="BA1292" i="10"/>
  <c r="P2232" i="10"/>
  <c r="U1532" i="10"/>
  <c r="S2504" i="10"/>
  <c r="S2528" i="10"/>
  <c r="U1292" i="10"/>
  <c r="W1660" i="10"/>
  <c r="W223" i="10"/>
  <c r="W1348" i="10"/>
  <c r="AY2501" i="10"/>
  <c r="U3" i="10"/>
  <c r="AY118" i="10"/>
  <c r="T1821" i="10"/>
  <c r="S1297" i="10"/>
  <c r="AN1237" i="10"/>
  <c r="W1532" i="10"/>
  <c r="R366" i="10"/>
  <c r="S366" i="10" s="1"/>
  <c r="BA279" i="10"/>
  <c r="R643" i="10"/>
  <c r="S643" i="10" s="1"/>
  <c r="BA2232" i="10"/>
  <c r="W1821" i="10"/>
  <c r="AY1348" i="10"/>
  <c r="P1660" i="10"/>
  <c r="AY2232" i="10"/>
  <c r="R2043" i="10"/>
  <c r="S2043" i="10" s="1"/>
  <c r="AZ1532" i="10"/>
  <c r="AY664" i="10"/>
  <c r="U118" i="10"/>
  <c r="Q1348" i="10"/>
  <c r="BA205" i="10"/>
  <c r="BA118" i="10" s="1"/>
  <c r="R2258" i="10"/>
  <c r="S2258" i="10" s="1"/>
  <c r="S2259" i="10"/>
  <c r="W1292" i="10"/>
  <c r="R250" i="10"/>
  <c r="S250" i="10" s="1"/>
  <c r="AY1660" i="10"/>
  <c r="P1348" i="10"/>
  <c r="BA501" i="10"/>
  <c r="BA500" i="10" s="1"/>
  <c r="R115" i="10"/>
  <c r="S115" i="10" s="1"/>
  <c r="S116" i="10"/>
  <c r="P223" i="10"/>
  <c r="U1660" i="10"/>
  <c r="S1342" i="10"/>
  <c r="R1341" i="10"/>
  <c r="S1341" i="10" s="1"/>
  <c r="BA1972" i="10"/>
  <c r="BM1943" i="10"/>
  <c r="BM1942" i="10" s="1"/>
  <c r="T68" i="11"/>
  <c r="BM1717" i="10"/>
  <c r="BH1881" i="10"/>
  <c r="BH1880" i="10" s="1"/>
  <c r="AN77" i="10"/>
  <c r="AO77" i="10"/>
  <c r="BH233" i="10"/>
  <c r="AS205" i="10"/>
  <c r="Y68" i="11"/>
  <c r="BO2214" i="10"/>
  <c r="BM2213" i="10"/>
  <c r="AN2241" i="10"/>
  <c r="AO2241" i="10"/>
  <c r="BO2270" i="10"/>
  <c r="BM2269" i="10"/>
  <c r="X549" i="11"/>
  <c r="X560" i="11" s="1"/>
  <c r="AD549" i="11"/>
  <c r="AD560" i="11" s="1"/>
  <c r="F497" i="11"/>
  <c r="I497" i="11" s="1"/>
  <c r="AF548" i="11"/>
  <c r="AO180" i="10"/>
  <c r="AN180" i="10"/>
  <c r="AN1533" i="10"/>
  <c r="AS1532" i="10"/>
  <c r="AO1533" i="10"/>
  <c r="AO1299" i="10"/>
  <c r="AN1299" i="10"/>
  <c r="AG468" i="11"/>
  <c r="M246" i="11"/>
  <c r="J246" i="11"/>
  <c r="AH246" i="11"/>
  <c r="I246" i="11"/>
  <c r="Y246" i="11"/>
  <c r="F327" i="11"/>
  <c r="AN327" i="11"/>
  <c r="BM278" i="10"/>
  <c r="BH277" i="10"/>
  <c r="BH276" i="10" s="1"/>
  <c r="AJ1448" i="10"/>
  <c r="AU1448" i="10"/>
  <c r="AJ1293" i="10"/>
  <c r="AM1292" i="10"/>
  <c r="AU1293" i="10"/>
  <c r="BM1449" i="10"/>
  <c r="BO1450" i="10"/>
  <c r="BM2199" i="10"/>
  <c r="BH2198" i="10"/>
  <c r="T336" i="11"/>
  <c r="M336" i="11"/>
  <c r="Y336" i="11"/>
  <c r="J336" i="11"/>
  <c r="AH336" i="11"/>
  <c r="I336" i="11"/>
  <c r="AN529" i="10"/>
  <c r="AO529" i="10"/>
  <c r="BM2263" i="10"/>
  <c r="BH2262" i="10"/>
  <c r="BH2261" i="10" s="1"/>
  <c r="BH2244" i="10" s="1"/>
  <c r="E414" i="11"/>
  <c r="F414" i="11" s="1"/>
  <c r="BM2031" i="10"/>
  <c r="BO2032" i="10"/>
  <c r="BO2254" i="10"/>
  <c r="BM2253" i="10"/>
  <c r="AJ1592" i="10"/>
  <c r="AU1592" i="10"/>
  <c r="BM1637" i="10"/>
  <c r="BM1636" i="10" s="1"/>
  <c r="BH1636" i="10"/>
  <c r="BH1592" i="10" s="1"/>
  <c r="T533" i="11"/>
  <c r="AE533" i="11"/>
  <c r="M533" i="11"/>
  <c r="J533" i="11"/>
  <c r="I533" i="11"/>
  <c r="Y533" i="11"/>
  <c r="AH533" i="11"/>
  <c r="AS1972" i="10"/>
  <c r="AO1973" i="10"/>
  <c r="AN1973" i="10"/>
  <c r="BM490" i="10"/>
  <c r="E434" i="11" s="1"/>
  <c r="F434" i="11" s="1"/>
  <c r="BH489" i="10"/>
  <c r="BH488" i="10" s="1"/>
  <c r="BH436" i="10" s="1"/>
  <c r="AH286" i="11"/>
  <c r="Y286" i="11"/>
  <c r="M286" i="11"/>
  <c r="I286" i="11"/>
  <c r="J286" i="11"/>
  <c r="AH515" i="11"/>
  <c r="J515" i="11"/>
  <c r="I515" i="11"/>
  <c r="AE515" i="11"/>
  <c r="Y515" i="11"/>
  <c r="M515" i="11"/>
  <c r="M165" i="11"/>
  <c r="I165" i="11"/>
  <c r="J165" i="11"/>
  <c r="AH165" i="11"/>
  <c r="Y165" i="11"/>
  <c r="AO715" i="10"/>
  <c r="AN715" i="10"/>
  <c r="BO715" i="10"/>
  <c r="R1973" i="10"/>
  <c r="S1974" i="10"/>
  <c r="M304" i="11"/>
  <c r="J304" i="11"/>
  <c r="Y304" i="11"/>
  <c r="AH304" i="11"/>
  <c r="I304" i="11"/>
  <c r="AO2161" i="10"/>
  <c r="AN2161" i="10"/>
  <c r="E343" i="11"/>
  <c r="F343" i="11" s="1"/>
  <c r="BM1237" i="10"/>
  <c r="BO2212" i="10"/>
  <c r="BM2211" i="10"/>
  <c r="AU280" i="10"/>
  <c r="AJ280" i="10"/>
  <c r="R1984" i="10"/>
  <c r="S1984" i="10" s="1"/>
  <c r="S1985" i="10"/>
  <c r="AO1344" i="10"/>
  <c r="AN1344" i="10"/>
  <c r="AJ2031" i="10"/>
  <c r="AM2030" i="10"/>
  <c r="AU2031" i="10"/>
  <c r="I184" i="11"/>
  <c r="AH184" i="11"/>
  <c r="Y184" i="11"/>
  <c r="M184" i="11"/>
  <c r="J184" i="11"/>
  <c r="I531" i="11"/>
  <c r="Y531" i="11"/>
  <c r="M531" i="11"/>
  <c r="J531" i="11"/>
  <c r="AH531" i="11"/>
  <c r="AE531" i="11"/>
  <c r="AH66" i="11"/>
  <c r="Y66" i="11"/>
  <c r="T66" i="11"/>
  <c r="M66" i="11"/>
  <c r="J66" i="11"/>
  <c r="I66" i="11"/>
  <c r="BO392" i="10"/>
  <c r="BM391" i="10"/>
  <c r="Y263" i="11"/>
  <c r="J263" i="11"/>
  <c r="I263" i="11"/>
  <c r="M263" i="11"/>
  <c r="AH263" i="11"/>
  <c r="AO2283" i="10"/>
  <c r="AN2283" i="10"/>
  <c r="AS2282" i="10"/>
  <c r="W2232" i="10"/>
  <c r="AN720" i="10"/>
  <c r="AO720" i="10"/>
  <c r="AS2047" i="10"/>
  <c r="AO2048" i="10"/>
  <c r="AN2048" i="10"/>
  <c r="AA80" i="10"/>
  <c r="AV80" i="10"/>
  <c r="AN437" i="10"/>
  <c r="AO437" i="10"/>
  <c r="S1290" i="10"/>
  <c r="R1289" i="10"/>
  <c r="S1289" i="10" s="1"/>
  <c r="R401" i="10"/>
  <c r="S402" i="10"/>
  <c r="AN2031" i="10"/>
  <c r="AS2030" i="10"/>
  <c r="AO2031" i="10"/>
  <c r="AS119" i="10"/>
  <c r="AN120" i="10"/>
  <c r="AO120" i="10"/>
  <c r="AO1636" i="10"/>
  <c r="AN1636" i="10"/>
  <c r="AH48" i="11"/>
  <c r="I48" i="11"/>
  <c r="M48" i="11"/>
  <c r="Y48" i="11"/>
  <c r="T48" i="11"/>
  <c r="J48" i="11"/>
  <c r="AH194" i="11"/>
  <c r="Y194" i="11"/>
  <c r="M194" i="11"/>
  <c r="J194" i="11"/>
  <c r="I194" i="11"/>
  <c r="J206" i="11"/>
  <c r="Y206" i="11"/>
  <c r="AH206" i="11"/>
  <c r="M206" i="11"/>
  <c r="I206" i="11"/>
  <c r="AU488" i="10"/>
  <c r="AJ488" i="10"/>
  <c r="AJ2178" i="10"/>
  <c r="AU2178" i="10"/>
  <c r="AO2087" i="10"/>
  <c r="AN2087" i="10"/>
  <c r="AS2086" i="10"/>
  <c r="AA192" i="10"/>
  <c r="AV192" i="10"/>
  <c r="BH221" i="10"/>
  <c r="BM222" i="10"/>
  <c r="AM223" i="10"/>
  <c r="AU224" i="10"/>
  <c r="AJ224" i="10"/>
  <c r="BH715" i="10"/>
  <c r="BM716" i="10"/>
  <c r="Y438" i="11"/>
  <c r="M438" i="11"/>
  <c r="AE438" i="11"/>
  <c r="AH438" i="11"/>
  <c r="J438" i="11"/>
  <c r="I438" i="11"/>
  <c r="T438" i="11"/>
  <c r="AY2386" i="10"/>
  <c r="BA2386" i="10" s="1"/>
  <c r="BA2298" i="10" s="1"/>
  <c r="BA2387" i="10"/>
  <c r="BM1333" i="10"/>
  <c r="BO1334" i="10"/>
  <c r="S2283" i="10"/>
  <c r="R2282" i="10"/>
  <c r="S2282" i="10" s="1"/>
  <c r="I164" i="11"/>
  <c r="Y164" i="11"/>
  <c r="M164" i="11"/>
  <c r="AH164" i="11"/>
  <c r="J164" i="11"/>
  <c r="BO368" i="10"/>
  <c r="BM367" i="10"/>
  <c r="AG490" i="11"/>
  <c r="BM185" i="10"/>
  <c r="BO186" i="10"/>
  <c r="AU1349" i="10"/>
  <c r="AM1348" i="10"/>
  <c r="AJ1349" i="10"/>
  <c r="AO2181" i="10"/>
  <c r="AN2181" i="10"/>
  <c r="AH218" i="11"/>
  <c r="Y218" i="11"/>
  <c r="J218" i="11"/>
  <c r="M218" i="11"/>
  <c r="I218" i="11"/>
  <c r="S438" i="10"/>
  <c r="R437" i="10"/>
  <c r="AO621" i="10"/>
  <c r="AN621" i="10"/>
  <c r="AO39" i="10"/>
  <c r="AN39" i="10"/>
  <c r="BM410" i="10"/>
  <c r="BO411" i="10"/>
  <c r="BH1321" i="10"/>
  <c r="BM81" i="10"/>
  <c r="BO82" i="10"/>
  <c r="J2501" i="10"/>
  <c r="L2501" i="10" s="1"/>
  <c r="L2502" i="10"/>
  <c r="AO2045" i="10"/>
  <c r="AN2045" i="10"/>
  <c r="AS2044" i="10"/>
  <c r="AV1448" i="10"/>
  <c r="AA1448" i="10"/>
  <c r="AS2387" i="10"/>
  <c r="AS2386" i="10"/>
  <c r="AM266" i="10"/>
  <c r="AJ267" i="10"/>
  <c r="AU267" i="10"/>
  <c r="AO749" i="10"/>
  <c r="AN749" i="10"/>
  <c r="BH621" i="10"/>
  <c r="BM622" i="10"/>
  <c r="J502" i="11"/>
  <c r="I502" i="11"/>
  <c r="AH502" i="11"/>
  <c r="Y502" i="11"/>
  <c r="AE502" i="11"/>
  <c r="M502" i="11"/>
  <c r="AV2510" i="10"/>
  <c r="AA2510" i="10"/>
  <c r="T427" i="11"/>
  <c r="AE427" i="11"/>
  <c r="J427" i="11"/>
  <c r="I427" i="11"/>
  <c r="AH427" i="11"/>
  <c r="Y427" i="11"/>
  <c r="M427" i="11"/>
  <c r="AE409" i="11"/>
  <c r="T409" i="11"/>
  <c r="AH409" i="11"/>
  <c r="Y409" i="11"/>
  <c r="M409" i="11"/>
  <c r="J409" i="11"/>
  <c r="I409" i="11"/>
  <c r="AS267" i="10"/>
  <c r="AO268" i="10"/>
  <c r="AN268" i="10"/>
  <c r="BO225" i="10"/>
  <c r="BM224" i="10"/>
  <c r="AO401" i="10"/>
  <c r="AN401" i="10"/>
  <c r="M208" i="11"/>
  <c r="I208" i="11"/>
  <c r="AH208" i="11"/>
  <c r="Y208" i="11"/>
  <c r="J208" i="11"/>
  <c r="BM399" i="10"/>
  <c r="BH398" i="10"/>
  <c r="BH397" i="10" s="1"/>
  <c r="BH396" i="10" s="1"/>
  <c r="AO2489" i="10"/>
  <c r="AN2489" i="10"/>
  <c r="AO2204" i="10"/>
  <c r="AN2204" i="10"/>
  <c r="S2242" i="10"/>
  <c r="R2241" i="10"/>
  <c r="S2241" i="10" s="1"/>
  <c r="BO2224" i="10"/>
  <c r="BM2223" i="10"/>
  <c r="AH510" i="11"/>
  <c r="AE510" i="11"/>
  <c r="Y510" i="11"/>
  <c r="M510" i="11"/>
  <c r="J510" i="11"/>
  <c r="I510" i="11"/>
  <c r="BM2302" i="10"/>
  <c r="BH2301" i="10"/>
  <c r="BH2300" i="10" s="1"/>
  <c r="AA2083" i="10"/>
  <c r="AD2082" i="10"/>
  <c r="AV2083" i="10"/>
  <c r="BO2522" i="10"/>
  <c r="BM2521" i="10"/>
  <c r="E407" i="11"/>
  <c r="F407" i="11" s="1"/>
  <c r="BM1981" i="10"/>
  <c r="BO2289" i="10"/>
  <c r="BM2288" i="10"/>
  <c r="Y19" i="11"/>
  <c r="AH19" i="11"/>
  <c r="M19" i="11"/>
  <c r="J19" i="11"/>
  <c r="I19" i="11"/>
  <c r="Y232" i="11"/>
  <c r="I232" i="11"/>
  <c r="M232" i="11"/>
  <c r="J232" i="11"/>
  <c r="AH232" i="11"/>
  <c r="Y281" i="11"/>
  <c r="M281" i="11"/>
  <c r="AH281" i="11"/>
  <c r="J281" i="11"/>
  <c r="I281" i="11"/>
  <c r="BO2260" i="10"/>
  <c r="BM2259" i="10"/>
  <c r="AU2161" i="10"/>
  <c r="AJ2161" i="10"/>
  <c r="AM2160" i="10"/>
  <c r="AN257" i="10"/>
  <c r="AO257" i="10"/>
  <c r="BM1274" i="10"/>
  <c r="BH1273" i="10"/>
  <c r="BH1272" i="10" s="1"/>
  <c r="BH1735" i="10"/>
  <c r="AO409" i="10"/>
  <c r="AN409" i="10"/>
  <c r="AS1349" i="10"/>
  <c r="AO1350" i="10"/>
  <c r="AN1350" i="10"/>
  <c r="AU2237" i="10"/>
  <c r="AJ2237" i="10"/>
  <c r="R54" i="10"/>
  <c r="S54" i="10" s="1"/>
  <c r="R233" i="10"/>
  <c r="S233" i="10" s="1"/>
  <c r="AD68" i="10"/>
  <c r="AV69" i="10"/>
  <c r="AA69" i="10"/>
  <c r="AU69" i="10"/>
  <c r="AO1280" i="10"/>
  <c r="AS1279" i="10"/>
  <c r="AN1280" i="10"/>
  <c r="S243" i="10"/>
  <c r="R242" i="10"/>
  <c r="S242" i="10" s="1"/>
  <c r="AO5" i="10"/>
  <c r="AN5" i="10"/>
  <c r="AS4" i="10"/>
  <c r="Y172" i="11"/>
  <c r="M172" i="11"/>
  <c r="J172" i="11"/>
  <c r="AH172" i="11"/>
  <c r="T172" i="11"/>
  <c r="I172" i="11"/>
  <c r="R1259" i="10"/>
  <c r="S1260" i="10"/>
  <c r="AA73" i="10"/>
  <c r="AV73" i="10"/>
  <c r="AZ501" i="10"/>
  <c r="AZ500" i="10" s="1"/>
  <c r="M170" i="11"/>
  <c r="J170" i="11"/>
  <c r="T170" i="11"/>
  <c r="Y170" i="11"/>
  <c r="I170" i="11"/>
  <c r="AH170" i="11"/>
  <c r="S120" i="10"/>
  <c r="R119" i="10"/>
  <c r="AO1662" i="10"/>
  <c r="AS1661" i="10"/>
  <c r="AN1662" i="10"/>
  <c r="AS2278" i="10"/>
  <c r="AN2279" i="10"/>
  <c r="AO2279" i="10"/>
  <c r="I258" i="11"/>
  <c r="T258" i="11"/>
  <c r="AH258" i="11"/>
  <c r="Y258" i="11"/>
  <c r="M258" i="11"/>
  <c r="J258" i="11"/>
  <c r="AN540" i="10"/>
  <c r="AO540" i="10"/>
  <c r="AO995" i="10"/>
  <c r="AN995" i="10"/>
  <c r="AJ665" i="10"/>
  <c r="AM664" i="10"/>
  <c r="AU665" i="10"/>
  <c r="AS115" i="10"/>
  <c r="AO116" i="10"/>
  <c r="AN116" i="10"/>
  <c r="AO2504" i="10"/>
  <c r="AS2503" i="10"/>
  <c r="AN2504" i="10"/>
  <c r="AO2266" i="10"/>
  <c r="AN2266" i="10"/>
  <c r="AS2265" i="10"/>
  <c r="BA664" i="10"/>
  <c r="AH185" i="11"/>
  <c r="J185" i="11"/>
  <c r="M185" i="11"/>
  <c r="Y185" i="11"/>
  <c r="I185" i="11"/>
  <c r="J74" i="11"/>
  <c r="AH74" i="11"/>
  <c r="Y74" i="11"/>
  <c r="M74" i="11"/>
  <c r="I74" i="11"/>
  <c r="J58" i="11"/>
  <c r="M58" i="11"/>
  <c r="Y58" i="11"/>
  <c r="I58" i="11"/>
  <c r="AH58" i="11"/>
  <c r="BM258" i="10"/>
  <c r="BH257" i="10"/>
  <c r="AN66" i="10"/>
  <c r="AO66" i="10"/>
  <c r="AS65" i="10"/>
  <c r="AO1273" i="10"/>
  <c r="AN1273" i="10"/>
  <c r="AS1272" i="10"/>
  <c r="AA370" i="10"/>
  <c r="AV370" i="10"/>
  <c r="BM1736" i="10"/>
  <c r="BO1737" i="10"/>
  <c r="E410" i="11"/>
  <c r="F410" i="11" s="1"/>
  <c r="BM1989" i="10"/>
  <c r="BM1984" i="10" s="1"/>
  <c r="AO644" i="10"/>
  <c r="AN644" i="10"/>
  <c r="AS643" i="10"/>
  <c r="BM752" i="10"/>
  <c r="BH749" i="10"/>
  <c r="BM677" i="10"/>
  <c r="BH675" i="10"/>
  <c r="BM1351" i="10"/>
  <c r="BH1350" i="10"/>
  <c r="BH1349" i="10" s="1"/>
  <c r="U1348" i="10"/>
  <c r="L664" i="10"/>
  <c r="BM2490" i="10"/>
  <c r="BH2489" i="10"/>
  <c r="AU228" i="10"/>
  <c r="AJ228" i="10"/>
  <c r="S2032" i="10"/>
  <c r="R2031" i="10"/>
  <c r="BH2511" i="10"/>
  <c r="BH2510" i="10" s="1"/>
  <c r="BM2512" i="10"/>
  <c r="J283" i="11"/>
  <c r="I283" i="11"/>
  <c r="AH283" i="11"/>
  <c r="M283" i="11"/>
  <c r="Y283" i="11"/>
  <c r="AJ366" i="10"/>
  <c r="AU366" i="10"/>
  <c r="AN2520" i="10"/>
  <c r="AO2520" i="10"/>
  <c r="AN2511" i="10"/>
  <c r="AS2510" i="10"/>
  <c r="AO2511" i="10"/>
  <c r="AH69" i="11"/>
  <c r="Y69" i="11"/>
  <c r="J69" i="11"/>
  <c r="I69" i="11"/>
  <c r="M69" i="11"/>
  <c r="E155" i="11"/>
  <c r="F155" i="11" s="1"/>
  <c r="BO619" i="10"/>
  <c r="J67" i="11"/>
  <c r="I67" i="11"/>
  <c r="AH67" i="11"/>
  <c r="Y67" i="11"/>
  <c r="M67" i="11"/>
  <c r="AN231" i="10"/>
  <c r="AO231" i="10"/>
  <c r="BH704" i="10"/>
  <c r="BM705" i="10"/>
  <c r="E520" i="11"/>
  <c r="F520" i="11" s="1"/>
  <c r="BO2445" i="10"/>
  <c r="AJ1984" i="10"/>
  <c r="AU1984" i="10"/>
  <c r="AN370" i="10"/>
  <c r="AO370" i="10"/>
  <c r="AV2161" i="10"/>
  <c r="AD2160" i="10"/>
  <c r="AA2161" i="10"/>
  <c r="P664" i="10"/>
  <c r="AA437" i="10"/>
  <c r="AD436" i="10"/>
  <c r="AV437" i="10"/>
  <c r="AO1321" i="10"/>
  <c r="AN1321" i="10"/>
  <c r="AJ2082" i="10"/>
  <c r="AO326" i="10"/>
  <c r="AN326" i="10"/>
  <c r="AS325" i="10"/>
  <c r="BO1294" i="10"/>
  <c r="AO629" i="10"/>
  <c r="AN629" i="10"/>
  <c r="BH611" i="10"/>
  <c r="BM612" i="10"/>
  <c r="AV2435" i="10"/>
  <c r="AA2435" i="10"/>
  <c r="M534" i="11"/>
  <c r="J534" i="11"/>
  <c r="Y534" i="11"/>
  <c r="I534" i="11"/>
  <c r="AH534" i="11"/>
  <c r="T534" i="11"/>
  <c r="AE534" i="11"/>
  <c r="AU2300" i="10"/>
  <c r="AJ2300" i="10"/>
  <c r="AM2299" i="10"/>
  <c r="J2285" i="10"/>
  <c r="AA2523" i="10"/>
  <c r="AV2523" i="10"/>
  <c r="BH540" i="10"/>
  <c r="BM541" i="10"/>
  <c r="BM2053" i="10"/>
  <c r="BM2052" i="10" s="1"/>
  <c r="BH2052" i="10"/>
  <c r="BH2051" i="10" s="1"/>
  <c r="BH2050" i="10" s="1"/>
  <c r="Y373" i="11"/>
  <c r="I373" i="11"/>
  <c r="M373" i="11"/>
  <c r="AH373" i="11"/>
  <c r="AE373" i="11"/>
  <c r="J373" i="11"/>
  <c r="BM996" i="10"/>
  <c r="BH995" i="10"/>
  <c r="L400" i="10"/>
  <c r="BM2084" i="10"/>
  <c r="BO2085" i="10"/>
  <c r="AV2047" i="10"/>
  <c r="AA2047" i="10"/>
  <c r="AD2043" i="10"/>
  <c r="M174" i="11"/>
  <c r="J174" i="11"/>
  <c r="AH174" i="11"/>
  <c r="I174" i="11"/>
  <c r="Y174" i="11"/>
  <c r="AH319" i="11"/>
  <c r="M319" i="11"/>
  <c r="I319" i="11"/>
  <c r="Y319" i="11"/>
  <c r="T319" i="11"/>
  <c r="J319" i="11"/>
  <c r="AV1282" i="10"/>
  <c r="AA1282" i="10"/>
  <c r="AA1533" i="10"/>
  <c r="AV1533" i="10"/>
  <c r="AD1532" i="10"/>
  <c r="AA325" i="10"/>
  <c r="AV325" i="10"/>
  <c r="AD279" i="10"/>
  <c r="AH171" i="11"/>
  <c r="Y171" i="11"/>
  <c r="M171" i="11"/>
  <c r="J171" i="11"/>
  <c r="I171" i="11"/>
  <c r="T171" i="11"/>
  <c r="S1823" i="10"/>
  <c r="R1822" i="10"/>
  <c r="S2278" i="10"/>
  <c r="J145" i="11"/>
  <c r="I145" i="11"/>
  <c r="AH145" i="11"/>
  <c r="M145" i="11"/>
  <c r="Y145" i="11"/>
  <c r="AU1822" i="10"/>
  <c r="AJ1822" i="10"/>
  <c r="AM1821" i="10"/>
  <c r="E274" i="11"/>
  <c r="F274" i="11" s="1"/>
  <c r="BO875" i="10"/>
  <c r="AA1973" i="10"/>
  <c r="AD1972" i="10"/>
  <c r="AV1973" i="10"/>
  <c r="AS1265" i="10"/>
  <c r="AO1266" i="10"/>
  <c r="AN1266" i="10"/>
  <c r="AH212" i="11"/>
  <c r="I212" i="11"/>
  <c r="M212" i="11"/>
  <c r="J212" i="11"/>
  <c r="Y212" i="11"/>
  <c r="S193" i="10"/>
  <c r="R192" i="10"/>
  <c r="S192" i="10" s="1"/>
  <c r="AJ2292" i="10"/>
  <c r="M290" i="11"/>
  <c r="Y290" i="11"/>
  <c r="AH290" i="11"/>
  <c r="I290" i="11"/>
  <c r="J290" i="11"/>
  <c r="AJ2051" i="10"/>
  <c r="AU2051" i="10"/>
  <c r="AM2050" i="10"/>
  <c r="E460" i="11"/>
  <c r="F460" i="11" s="1"/>
  <c r="BO2209" i="10"/>
  <c r="S2179" i="10"/>
  <c r="R2178" i="10"/>
  <c r="S2178" i="10" s="1"/>
  <c r="AA2178" i="10"/>
  <c r="AV2178" i="10"/>
  <c r="Y320" i="11"/>
  <c r="AH320" i="11"/>
  <c r="J320" i="11"/>
  <c r="M320" i="11"/>
  <c r="I320" i="11"/>
  <c r="T320" i="11"/>
  <c r="E465" i="11"/>
  <c r="F465" i="11" s="1"/>
  <c r="BO2219" i="10"/>
  <c r="S177" i="11"/>
  <c r="Q176" i="11"/>
  <c r="BM737" i="10"/>
  <c r="BH735" i="10"/>
  <c r="AV2204" i="10"/>
  <c r="AA2204" i="10"/>
  <c r="AO189" i="10"/>
  <c r="AN189" i="10"/>
  <c r="AA1299" i="10"/>
  <c r="AV1299" i="10"/>
  <c r="AV1880" i="10"/>
  <c r="AA1880" i="10"/>
  <c r="I544" i="11"/>
  <c r="J544" i="11"/>
  <c r="AH544" i="11"/>
  <c r="AE544" i="11"/>
  <c r="M544" i="11"/>
  <c r="Y544" i="11"/>
  <c r="Y217" i="11"/>
  <c r="AH217" i="11"/>
  <c r="I217" i="11"/>
  <c r="M217" i="11"/>
  <c r="J217" i="11"/>
  <c r="BH74" i="10"/>
  <c r="BH73" i="10" s="1"/>
  <c r="BH68" i="10" s="1"/>
  <c r="BM75" i="10"/>
  <c r="BM13" i="10"/>
  <c r="BO14" i="10"/>
  <c r="I340" i="11"/>
  <c r="Y340" i="11"/>
  <c r="M340" i="11"/>
  <c r="AH340" i="11"/>
  <c r="J340" i="11"/>
  <c r="AV1735" i="10"/>
  <c r="AA1735" i="10"/>
  <c r="AO1765" i="10"/>
  <c r="AN1765" i="10"/>
  <c r="AN523" i="10"/>
  <c r="AO523" i="10"/>
  <c r="Y70" i="11"/>
  <c r="J70" i="11"/>
  <c r="I70" i="11"/>
  <c r="AH70" i="11"/>
  <c r="M70" i="11"/>
  <c r="BH743" i="10"/>
  <c r="BM744" i="10"/>
  <c r="Y447" i="11"/>
  <c r="AH447" i="11"/>
  <c r="AE447" i="11"/>
  <c r="I447" i="11"/>
  <c r="M447" i="11"/>
  <c r="J447" i="11"/>
  <c r="BM524" i="10"/>
  <c r="BH523" i="10"/>
  <c r="AJ276" i="10"/>
  <c r="AU276" i="10"/>
  <c r="E482" i="11"/>
  <c r="F482" i="11" s="1"/>
  <c r="BM2271" i="10"/>
  <c r="BO2271" i="10" s="1"/>
  <c r="BO2272" i="10"/>
  <c r="AA2145" i="10"/>
  <c r="AV2145" i="10"/>
  <c r="AA1592" i="10"/>
  <c r="AV1592" i="10"/>
  <c r="AJ2435" i="10"/>
  <c r="AU2435" i="10"/>
  <c r="BO1027" i="10"/>
  <c r="BM1026" i="10"/>
  <c r="AU1341" i="10"/>
  <c r="AJ1341" i="10"/>
  <c r="AV665" i="10"/>
  <c r="AD664" i="10"/>
  <c r="AA665" i="10"/>
  <c r="Y199" i="11"/>
  <c r="F198" i="11"/>
  <c r="M199" i="11"/>
  <c r="AH199" i="11"/>
  <c r="I199" i="11"/>
  <c r="J199" i="11"/>
  <c r="AJ2347" i="10"/>
  <c r="AU2347" i="10"/>
  <c r="BM269" i="10"/>
  <c r="BM268" i="10" s="1"/>
  <c r="BH268" i="10"/>
  <c r="BH267" i="10" s="1"/>
  <c r="AV2051" i="10"/>
  <c r="AD2050" i="10"/>
  <c r="AA2051" i="10"/>
  <c r="E21" i="11"/>
  <c r="F21" i="11" s="1"/>
  <c r="BO37" i="10"/>
  <c r="BM36" i="10"/>
  <c r="BO36" i="10" s="1"/>
  <c r="M330" i="11"/>
  <c r="AH330" i="11"/>
  <c r="I330" i="11"/>
  <c r="J330" i="11"/>
  <c r="Y330" i="11"/>
  <c r="AO1562" i="10"/>
  <c r="AN1562" i="10"/>
  <c r="J261" i="11"/>
  <c r="I261" i="11"/>
  <c r="AH261" i="11"/>
  <c r="Y261" i="11"/>
  <c r="M261" i="11"/>
  <c r="AJ643" i="10"/>
  <c r="AU643" i="10"/>
  <c r="AO1089" i="10"/>
  <c r="AN1089" i="10"/>
  <c r="AA2234" i="10"/>
  <c r="AD2233" i="10"/>
  <c r="AU2233" i="10" s="1"/>
  <c r="AV2234" i="10"/>
  <c r="M538" i="11"/>
  <c r="J538" i="11"/>
  <c r="AH538" i="11"/>
  <c r="AE538" i="11"/>
  <c r="I538" i="11"/>
  <c r="Y538" i="11"/>
  <c r="BH2285" i="10"/>
  <c r="BM626" i="10"/>
  <c r="BO627" i="10"/>
  <c r="S1280" i="10"/>
  <c r="R1279" i="10"/>
  <c r="S1279" i="10" s="1"/>
  <c r="W2387" i="10"/>
  <c r="U2386" i="10"/>
  <c r="W2386" i="10" s="1"/>
  <c r="W2298" i="10" s="1"/>
  <c r="AJ415" i="10"/>
  <c r="AU415" i="10"/>
  <c r="S1449" i="10"/>
  <c r="R1448" i="10"/>
  <c r="S1448" i="10" s="1"/>
  <c r="R2255" i="10"/>
  <c r="S2255" i="10" s="1"/>
  <c r="S2256" i="10"/>
  <c r="R2050" i="10"/>
  <c r="S2050" i="10" s="1"/>
  <c r="S2051" i="10"/>
  <c r="AH266" i="11"/>
  <c r="M266" i="11"/>
  <c r="J266" i="11"/>
  <c r="Y266" i="11"/>
  <c r="I266" i="11"/>
  <c r="AO2388" i="10"/>
  <c r="AN2388" i="10"/>
  <c r="BO2147" i="10"/>
  <c r="BM2146" i="10"/>
  <c r="AO1448" i="10"/>
  <c r="AN1448" i="10"/>
  <c r="I244" i="11"/>
  <c r="J244" i="11"/>
  <c r="M244" i="11"/>
  <c r="Y244" i="11"/>
  <c r="AH244" i="11"/>
  <c r="AO221" i="10"/>
  <c r="AN221" i="10"/>
  <c r="M181" i="11"/>
  <c r="I181" i="11"/>
  <c r="J181" i="11"/>
  <c r="AH181" i="11"/>
  <c r="Y181" i="11"/>
  <c r="Y314" i="11"/>
  <c r="J314" i="11"/>
  <c r="AH314" i="11"/>
  <c r="I314" i="11"/>
  <c r="M314" i="11"/>
  <c r="AH446" i="11"/>
  <c r="Y446" i="11"/>
  <c r="AE446" i="11"/>
  <c r="M446" i="11"/>
  <c r="J446" i="11"/>
  <c r="I446" i="11"/>
  <c r="AO666" i="10"/>
  <c r="AN666" i="10"/>
  <c r="AS665" i="10"/>
  <c r="AH368" i="11"/>
  <c r="T368" i="11"/>
  <c r="Y368" i="11"/>
  <c r="AE368" i="11"/>
  <c r="I368" i="11"/>
  <c r="M368" i="11"/>
  <c r="J368" i="11"/>
  <c r="I77" i="11"/>
  <c r="M77" i="11"/>
  <c r="J77" i="11"/>
  <c r="AH77" i="11"/>
  <c r="Y77" i="11"/>
  <c r="AH27" i="11"/>
  <c r="J27" i="11"/>
  <c r="I27" i="11"/>
  <c r="Y27" i="11"/>
  <c r="M27" i="11"/>
  <c r="AH192" i="11"/>
  <c r="Y192" i="11"/>
  <c r="J192" i="11"/>
  <c r="M192" i="11"/>
  <c r="I192" i="11"/>
  <c r="E262" i="11"/>
  <c r="F262" i="11" s="1"/>
  <c r="F260" i="11" s="1"/>
  <c r="BM758" i="10"/>
  <c r="BO758" i="10" s="1"/>
  <c r="BO759" i="10"/>
  <c r="BO1535" i="10"/>
  <c r="BM1534" i="10"/>
  <c r="R2204" i="10"/>
  <c r="S2204" i="10" s="1"/>
  <c r="AA1341" i="10"/>
  <c r="AV1341" i="10"/>
  <c r="AO1851" i="10"/>
  <c r="AN1851" i="10"/>
  <c r="M163" i="11"/>
  <c r="J163" i="11"/>
  <c r="Y163" i="11"/>
  <c r="I163" i="11"/>
  <c r="AH163" i="11"/>
  <c r="BM117" i="10"/>
  <c r="BH116" i="10"/>
  <c r="BH115" i="10" s="1"/>
  <c r="BM236" i="10"/>
  <c r="BO237" i="10"/>
  <c r="AA233" i="10"/>
  <c r="AV233" i="10"/>
  <c r="AO2258" i="10"/>
  <c r="AN2258" i="10"/>
  <c r="AH18" i="11"/>
  <c r="Y18" i="11"/>
  <c r="M18" i="11"/>
  <c r="J18" i="11"/>
  <c r="I18" i="11"/>
  <c r="F293" i="11"/>
  <c r="AO293" i="11"/>
  <c r="AO2294" i="10"/>
  <c r="AS2293" i="10"/>
  <c r="AN2294" i="10"/>
  <c r="BA1258" i="10"/>
  <c r="BO216" i="10"/>
  <c r="BM215" i="10"/>
  <c r="BM636" i="10"/>
  <c r="BH635" i="10"/>
  <c r="BH1689" i="10"/>
  <c r="AV2245" i="10"/>
  <c r="AA2245" i="10"/>
  <c r="AD2244" i="10"/>
  <c r="BH2266" i="10"/>
  <c r="BH2265" i="10" s="1"/>
  <c r="BH2264" i="10" s="1"/>
  <c r="BM2267" i="10"/>
  <c r="Y524" i="11"/>
  <c r="T524" i="11"/>
  <c r="M524" i="11"/>
  <c r="J524" i="11"/>
  <c r="AE524" i="11"/>
  <c r="AH524" i="11"/>
  <c r="I524" i="11"/>
  <c r="AM1532" i="10"/>
  <c r="AU1533" i="10"/>
  <c r="AJ1533" i="10"/>
  <c r="AU205" i="10"/>
  <c r="AJ205" i="10"/>
  <c r="AH251" i="11"/>
  <c r="M251" i="11"/>
  <c r="I251" i="11"/>
  <c r="Y251" i="11"/>
  <c r="J251" i="11"/>
  <c r="AV2091" i="10"/>
  <c r="AD2090" i="10"/>
  <c r="AA2091" i="10"/>
  <c r="BM67" i="10"/>
  <c r="BH66" i="10"/>
  <c r="BH65" i="10" s="1"/>
  <c r="E32" i="11"/>
  <c r="F32" i="11" s="1"/>
  <c r="BO60" i="10"/>
  <c r="BM59" i="10"/>
  <c r="BO59" i="10" s="1"/>
  <c r="R228" i="10"/>
  <c r="S229" i="10"/>
  <c r="AE529" i="11"/>
  <c r="Y529" i="11"/>
  <c r="AH529" i="11"/>
  <c r="M529" i="11"/>
  <c r="J529" i="11"/>
  <c r="T529" i="11"/>
  <c r="I529" i="11"/>
  <c r="R2435" i="10"/>
  <c r="S2435" i="10" s="1"/>
  <c r="BH2525" i="10"/>
  <c r="BH2524" i="10" s="1"/>
  <c r="BH2523" i="10" s="1"/>
  <c r="BM2526" i="10"/>
  <c r="AA224" i="10"/>
  <c r="AV224" i="10"/>
  <c r="AD223" i="10"/>
  <c r="AO277" i="10"/>
  <c r="AN277" i="10"/>
  <c r="AS276" i="10"/>
  <c r="S2503" i="10"/>
  <c r="Y509" i="11"/>
  <c r="AH509" i="11"/>
  <c r="AE509" i="11"/>
  <c r="M509" i="11"/>
  <c r="J509" i="11"/>
  <c r="I509" i="11"/>
  <c r="AU2145" i="10"/>
  <c r="AJ2145" i="10"/>
  <c r="S492" i="11"/>
  <c r="Q490" i="11"/>
  <c r="Y295" i="11"/>
  <c r="M295" i="11"/>
  <c r="J295" i="11"/>
  <c r="F294" i="11"/>
  <c r="AH295" i="11"/>
  <c r="I295" i="11"/>
  <c r="BM2215" i="10"/>
  <c r="BO2216" i="10"/>
  <c r="BM1475" i="10"/>
  <c r="BM1473" i="10" s="1"/>
  <c r="BH1473" i="10"/>
  <c r="AV2265" i="10"/>
  <c r="AA2265" i="10"/>
  <c r="AD2264" i="10"/>
  <c r="BM1504" i="10"/>
  <c r="BH1503" i="10"/>
  <c r="BH1448" i="10" s="1"/>
  <c r="AO608" i="10"/>
  <c r="AN608" i="10"/>
  <c r="AA1028" i="10"/>
  <c r="AV1028" i="10"/>
  <c r="AH508" i="11"/>
  <c r="J508" i="11"/>
  <c r="Y508" i="11"/>
  <c r="AE508" i="11"/>
  <c r="F507" i="11"/>
  <c r="I508" i="11"/>
  <c r="M508" i="11"/>
  <c r="BH5" i="10"/>
  <c r="BH4" i="10" s="1"/>
  <c r="BM6" i="10"/>
  <c r="AN2255" i="10"/>
  <c r="AO2255" i="10"/>
  <c r="F321" i="11"/>
  <c r="M322" i="11"/>
  <c r="J322" i="11"/>
  <c r="AH322" i="11"/>
  <c r="I322" i="11"/>
  <c r="Y322" i="11"/>
  <c r="BM146" i="10"/>
  <c r="BH145" i="10"/>
  <c r="AD1821" i="10"/>
  <c r="AV1822" i="10"/>
  <c r="AA1822" i="10"/>
  <c r="AJ250" i="10"/>
  <c r="AU250" i="10"/>
  <c r="BH231" i="10"/>
  <c r="BM232" i="10"/>
  <c r="E350" i="11"/>
  <c r="F350" i="11" s="1"/>
  <c r="BO1283" i="10"/>
  <c r="BM1282" i="10"/>
  <c r="BO1282" i="10" s="1"/>
  <c r="AE503" i="11"/>
  <c r="I503" i="11"/>
  <c r="AH503" i="11"/>
  <c r="Y503" i="11"/>
  <c r="T503" i="11"/>
  <c r="J503" i="11"/>
  <c r="M503" i="11"/>
  <c r="E506" i="11"/>
  <c r="F506" i="11" s="1"/>
  <c r="BM2372" i="10"/>
  <c r="BO2372" i="10" s="1"/>
  <c r="BO2373" i="10"/>
  <c r="AN2176" i="10"/>
  <c r="AS2175" i="10"/>
  <c r="AO2176" i="10"/>
  <c r="U664" i="10"/>
  <c r="S2300" i="10"/>
  <c r="AS2237" i="10"/>
  <c r="AO2238" i="10"/>
  <c r="AN2238" i="10"/>
  <c r="BM2280" i="10"/>
  <c r="BM2279" i="10" s="1"/>
  <c r="BH2279" i="10"/>
  <c r="BH2278" i="10" s="1"/>
  <c r="M144" i="11"/>
  <c r="Y144" i="11"/>
  <c r="J144" i="11"/>
  <c r="AH144" i="11"/>
  <c r="I144" i="11"/>
  <c r="AN1981" i="10"/>
  <c r="AO1981" i="10"/>
  <c r="AJ370" i="10"/>
  <c r="AU370" i="10"/>
  <c r="BO193" i="10"/>
  <c r="BM192" i="10"/>
  <c r="R665" i="10"/>
  <c r="AN2347" i="10"/>
  <c r="AO2347" i="10"/>
  <c r="M223" i="11"/>
  <c r="AH223" i="11"/>
  <c r="Y223" i="11"/>
  <c r="I223" i="11"/>
  <c r="J223" i="11"/>
  <c r="AN273" i="10"/>
  <c r="AO273" i="10"/>
  <c r="BM114" i="10"/>
  <c r="BH113" i="10"/>
  <c r="BH112" i="10" s="1"/>
  <c r="F441" i="11"/>
  <c r="E64" i="11"/>
  <c r="F64" i="11" s="1"/>
  <c r="BO154" i="10"/>
  <c r="BM153" i="10"/>
  <c r="BO153" i="10" s="1"/>
  <c r="AU2047" i="10"/>
  <c r="AJ2047" i="10"/>
  <c r="AM2043" i="10"/>
  <c r="E395" i="11"/>
  <c r="F395" i="11" s="1"/>
  <c r="BO1793" i="10"/>
  <c r="AV1321" i="10"/>
  <c r="AA1321" i="10"/>
  <c r="BM2205" i="10"/>
  <c r="BO2206" i="10"/>
  <c r="AA501" i="10"/>
  <c r="AD500" i="10"/>
  <c r="AV501" i="10"/>
  <c r="E422" i="11"/>
  <c r="F422" i="11" s="1"/>
  <c r="BM2087" i="10"/>
  <c r="BO2088" i="10"/>
  <c r="BM274" i="10"/>
  <c r="BO275" i="10"/>
  <c r="AJ273" i="10"/>
  <c r="AU273" i="10"/>
  <c r="AU1880" i="10"/>
  <c r="AJ1880" i="10"/>
  <c r="BO2182" i="10"/>
  <c r="BM2181" i="10"/>
  <c r="AA2237" i="10"/>
  <c r="AV2237" i="10"/>
  <c r="AS2091" i="10"/>
  <c r="AO2092" i="10"/>
  <c r="AN2092" i="10"/>
  <c r="AV2287" i="10"/>
  <c r="AA2287" i="10"/>
  <c r="AD2286" i="10"/>
  <c r="AN1984" i="10"/>
  <c r="AO1984" i="10"/>
  <c r="BH2204" i="10"/>
  <c r="AO1592" i="10"/>
  <c r="AN1592" i="10"/>
  <c r="J499" i="10"/>
  <c r="L500" i="10"/>
  <c r="BM181" i="10"/>
  <c r="BO182" i="10"/>
  <c r="S2245" i="10"/>
  <c r="AN2271" i="10"/>
  <c r="AO2271" i="10"/>
  <c r="AS2261" i="10"/>
  <c r="AN2262" i="10"/>
  <c r="AO2262" i="10"/>
  <c r="S1029" i="10"/>
  <c r="R1028" i="10"/>
  <c r="S1028" i="10" s="1"/>
  <c r="AA2530" i="10"/>
  <c r="AV2530" i="10"/>
  <c r="E140" i="11"/>
  <c r="F140" i="11" s="1"/>
  <c r="BO502" i="10"/>
  <c r="AJ2245" i="10"/>
  <c r="AU2245" i="10"/>
  <c r="AM2244" i="10"/>
  <c r="E26" i="11"/>
  <c r="F26" i="11" s="1"/>
  <c r="BO46" i="10"/>
  <c r="AN80" i="10"/>
  <c r="AO80" i="10"/>
  <c r="BM2196" i="10"/>
  <c r="BO2197" i="10"/>
  <c r="AO1282" i="10"/>
  <c r="AN1282" i="10"/>
  <c r="AH309" i="11"/>
  <c r="Y309" i="11"/>
  <c r="J309" i="11"/>
  <c r="I309" i="11"/>
  <c r="M309" i="11"/>
  <c r="T309" i="11"/>
  <c r="E148" i="11"/>
  <c r="F148" i="11" s="1"/>
  <c r="BM535" i="10"/>
  <c r="BO535" i="10" s="1"/>
  <c r="BO536" i="10"/>
  <c r="BM1267" i="10"/>
  <c r="BM1266" i="10" s="1"/>
  <c r="BH1266" i="10"/>
  <c r="BH1265" i="10" s="1"/>
  <c r="AH200" i="11"/>
  <c r="M200" i="11"/>
  <c r="Y200" i="11"/>
  <c r="I200" i="11"/>
  <c r="J200" i="11"/>
  <c r="BM184" i="10"/>
  <c r="BH183" i="10"/>
  <c r="AD266" i="10"/>
  <c r="AV267" i="10"/>
  <c r="AA267" i="10"/>
  <c r="AA2278" i="10"/>
  <c r="AD2277" i="10"/>
  <c r="AV2278" i="10"/>
  <c r="BO2208" i="10"/>
  <c r="BM2207" i="10"/>
  <c r="BM624" i="10"/>
  <c r="BO625" i="10"/>
  <c r="AD396" i="10"/>
  <c r="AA397" i="10"/>
  <c r="AV397" i="10"/>
  <c r="AU397" i="10"/>
  <c r="AA2031" i="10"/>
  <c r="AV2031" i="10"/>
  <c r="AD2030" i="10"/>
  <c r="BO1611" i="10"/>
  <c r="BM1610" i="10"/>
  <c r="M79" i="11"/>
  <c r="F78" i="11"/>
  <c r="I79" i="11"/>
  <c r="J79" i="11"/>
  <c r="AH79" i="11"/>
  <c r="Y79" i="11"/>
  <c r="AH230" i="11"/>
  <c r="F229" i="11"/>
  <c r="M230" i="11"/>
  <c r="Y230" i="11"/>
  <c r="J230" i="11"/>
  <c r="I230" i="11"/>
  <c r="AA205" i="10"/>
  <c r="AV205" i="10"/>
  <c r="Y310" i="11"/>
  <c r="T310" i="11"/>
  <c r="I310" i="11"/>
  <c r="AH310" i="11"/>
  <c r="J310" i="11"/>
  <c r="M310" i="11"/>
  <c r="AU2268" i="10"/>
  <c r="AJ2268" i="10"/>
  <c r="Y193" i="11"/>
  <c r="AH193" i="11"/>
  <c r="M193" i="11"/>
  <c r="J193" i="11"/>
  <c r="I193" i="11"/>
  <c r="BO239" i="10"/>
  <c r="BM238" i="10"/>
  <c r="BM206" i="10"/>
  <c r="BO207" i="10"/>
  <c r="R1592" i="10"/>
  <c r="S1592" i="10" s="1"/>
  <c r="S1593" i="10"/>
  <c r="E115" i="11"/>
  <c r="F115" i="11" s="1"/>
  <c r="BO252" i="10"/>
  <c r="BM251" i="10"/>
  <c r="AO1293" i="10"/>
  <c r="AS1292" i="10"/>
  <c r="AN1293" i="10"/>
  <c r="I540" i="11"/>
  <c r="J540" i="11"/>
  <c r="AH540" i="11"/>
  <c r="F539" i="11"/>
  <c r="M540" i="11"/>
  <c r="AE540" i="11"/>
  <c r="Y540" i="11"/>
  <c r="AM1972" i="10"/>
  <c r="AU1973" i="10"/>
  <c r="AJ1973" i="10"/>
  <c r="BH2283" i="10"/>
  <c r="BH2282" i="10" s="1"/>
  <c r="BM2284" i="10"/>
  <c r="E382" i="11"/>
  <c r="F382" i="11" s="1"/>
  <c r="BO1590" i="10"/>
  <c r="R205" i="10"/>
  <c r="S205" i="10" s="1"/>
  <c r="BM721" i="10"/>
  <c r="BH720" i="10"/>
  <c r="AH426" i="11"/>
  <c r="AE426" i="11"/>
  <c r="Y426" i="11"/>
  <c r="I426" i="11"/>
  <c r="M426" i="11"/>
  <c r="J426" i="11"/>
  <c r="BH2048" i="10"/>
  <c r="BH2047" i="10" s="1"/>
  <c r="BM2049" i="10"/>
  <c r="E359" i="11"/>
  <c r="F359" i="11" s="1"/>
  <c r="BO1322" i="10"/>
  <c r="Q136" i="11"/>
  <c r="S44" i="11"/>
  <c r="R2347" i="10"/>
  <c r="S2347" i="10" s="1"/>
  <c r="S2348" i="10"/>
  <c r="AS2435" i="10"/>
  <c r="AN2436" i="10"/>
  <c r="AO2436" i="10"/>
  <c r="AJ325" i="10"/>
  <c r="AU325" i="10"/>
  <c r="AM1660" i="10"/>
  <c r="AU1661" i="10"/>
  <c r="AJ1661" i="10"/>
  <c r="BM2093" i="10"/>
  <c r="BH2092" i="10"/>
  <c r="BH2091" i="10" s="1"/>
  <c r="BH2090" i="10" s="1"/>
  <c r="AO1286" i="10"/>
  <c r="AN1286" i="10"/>
  <c r="BO246" i="10"/>
  <c r="BM245" i="10"/>
  <c r="I73" i="11"/>
  <c r="M73" i="11"/>
  <c r="AH73" i="11"/>
  <c r="Y73" i="11"/>
  <c r="J73" i="11"/>
  <c r="BH2532" i="10"/>
  <c r="BH2531" i="10" s="1"/>
  <c r="BH2530" i="10" s="1"/>
  <c r="BM2533" i="10"/>
  <c r="M72" i="11"/>
  <c r="J72" i="11"/>
  <c r="I72" i="11"/>
  <c r="Y72" i="11"/>
  <c r="AH72" i="11"/>
  <c r="Y197" i="11"/>
  <c r="M197" i="11"/>
  <c r="J197" i="11"/>
  <c r="I197" i="11"/>
  <c r="AH197" i="11"/>
  <c r="BM2389" i="10"/>
  <c r="BH2388" i="10"/>
  <c r="BH2387" i="10" s="1"/>
  <c r="R2161" i="10"/>
  <c r="S2162" i="10"/>
  <c r="Y429" i="11"/>
  <c r="M429" i="11"/>
  <c r="J429" i="11"/>
  <c r="AH429" i="11"/>
  <c r="AE429" i="11"/>
  <c r="I429" i="11"/>
  <c r="AA415" i="10"/>
  <c r="AV415" i="10"/>
  <c r="AS415" i="10"/>
  <c r="AO416" i="10"/>
  <c r="AN416" i="10"/>
  <c r="M202" i="11"/>
  <c r="AH202" i="11"/>
  <c r="Y202" i="11"/>
  <c r="J202" i="11"/>
  <c r="I202" i="11"/>
  <c r="BO2295" i="10"/>
  <c r="BM2294" i="10"/>
  <c r="BA2090" i="10"/>
  <c r="AA250" i="10"/>
  <c r="AV250" i="10"/>
  <c r="BO1882" i="10"/>
  <c r="BM1881" i="10"/>
  <c r="Q518" i="11"/>
  <c r="S521" i="11"/>
  <c r="E24" i="11"/>
  <c r="F24" i="11" s="1"/>
  <c r="BO40" i="10"/>
  <c r="BM39" i="10"/>
  <c r="BO39" i="10" s="1"/>
  <c r="I511" i="11"/>
  <c r="AE511" i="11"/>
  <c r="Y511" i="11"/>
  <c r="AH511" i="11"/>
  <c r="J511" i="11"/>
  <c r="M511" i="11"/>
  <c r="M71" i="11"/>
  <c r="Y71" i="11"/>
  <c r="I71" i="11"/>
  <c r="AH71" i="11"/>
  <c r="J71" i="11"/>
  <c r="R390" i="10"/>
  <c r="S390" i="10" s="1"/>
  <c r="S391" i="10"/>
  <c r="AJ2261" i="10"/>
  <c r="AU2261" i="10"/>
  <c r="AN2301" i="10"/>
  <c r="AO2301" i="10"/>
  <c r="AS2300" i="10"/>
  <c r="AA1279" i="10"/>
  <c r="AV1279" i="10"/>
  <c r="AU1279" i="10"/>
  <c r="BM667" i="10"/>
  <c r="BH666" i="10"/>
  <c r="AA1344" i="10"/>
  <c r="AV1344" i="10"/>
  <c r="AU1344" i="10"/>
  <c r="AO1068" i="10"/>
  <c r="AN1068" i="10"/>
  <c r="BO372" i="10"/>
  <c r="BM371" i="10"/>
  <c r="BM1287" i="10"/>
  <c r="BO1288" i="10"/>
  <c r="S2525" i="10"/>
  <c r="R2524" i="10"/>
  <c r="R69" i="10"/>
  <c r="S70" i="10"/>
  <c r="AD1348" i="10"/>
  <c r="AV1349" i="10"/>
  <c r="AA1349" i="10"/>
  <c r="AG136" i="11"/>
  <c r="AA1265" i="10"/>
  <c r="AV1265" i="10"/>
  <c r="AO2145" i="10"/>
  <c r="AN2145" i="10"/>
  <c r="AJ2233" i="10"/>
  <c r="E495" i="11"/>
  <c r="F495" i="11" s="1"/>
  <c r="BO2352" i="10"/>
  <c r="BM2351" i="10"/>
  <c r="BO2351" i="10" s="1"/>
  <c r="AU2083" i="10"/>
  <c r="AU180" i="10"/>
  <c r="AJ180" i="10"/>
  <c r="AA2300" i="10"/>
  <c r="AD2299" i="10"/>
  <c r="AV2300" i="10"/>
  <c r="AU409" i="10"/>
  <c r="AJ409" i="10"/>
  <c r="AA1661" i="10"/>
  <c r="AV1661" i="10"/>
  <c r="AD1660" i="10"/>
  <c r="BM1291" i="10"/>
  <c r="BH1290" i="10"/>
  <c r="BH1289" i="10" s="1"/>
  <c r="S78" i="10"/>
  <c r="R77" i="10"/>
  <c r="AO398" i="10"/>
  <c r="AN398" i="10"/>
  <c r="AS397" i="10"/>
  <c r="Y335" i="11"/>
  <c r="AH335" i="11"/>
  <c r="J335" i="11"/>
  <c r="M335" i="11"/>
  <c r="I335" i="11"/>
  <c r="AN1259" i="10"/>
  <c r="AO1259" i="10"/>
  <c r="AO2245" i="10"/>
  <c r="AN2245" i="10"/>
  <c r="E285" i="11"/>
  <c r="F285" i="11" s="1"/>
  <c r="BM891" i="10"/>
  <c r="BO891" i="10" s="1"/>
  <c r="BO892" i="10"/>
  <c r="AJ2258" i="10"/>
  <c r="AU2258" i="10"/>
  <c r="AO69" i="10"/>
  <c r="AN69" i="10"/>
  <c r="AU1299" i="10"/>
  <c r="AJ1299" i="10"/>
  <c r="J296" i="11"/>
  <c r="I296" i="11"/>
  <c r="AH296" i="11"/>
  <c r="M296" i="11"/>
  <c r="Y296" i="11"/>
  <c r="T289" i="11"/>
  <c r="Y289" i="11"/>
  <c r="I289" i="11"/>
  <c r="AH289" i="11"/>
  <c r="M289" i="11"/>
  <c r="J289" i="11"/>
  <c r="BM2437" i="10"/>
  <c r="BH2436" i="10"/>
  <c r="BH2238" i="10"/>
  <c r="BH2237" i="10" s="1"/>
  <c r="BM2239" i="10"/>
  <c r="AO1880" i="10"/>
  <c r="AN1880" i="10"/>
  <c r="AN224" i="10"/>
  <c r="AO224" i="10"/>
  <c r="E270" i="11"/>
  <c r="F270" i="11" s="1"/>
  <c r="AH535" i="11"/>
  <c r="I535" i="11"/>
  <c r="M535" i="11"/>
  <c r="J535" i="11"/>
  <c r="T535" i="11"/>
  <c r="Y535" i="11"/>
  <c r="AE535" i="11"/>
  <c r="AG516" i="11"/>
  <c r="AJ112" i="10"/>
  <c r="AU112" i="10"/>
  <c r="BH1851" i="10"/>
  <c r="BM1852" i="10"/>
  <c r="AE499" i="11"/>
  <c r="Y499" i="11"/>
  <c r="J499" i="11"/>
  <c r="I499" i="11"/>
  <c r="AH499" i="11"/>
  <c r="M499" i="11"/>
  <c r="R1661" i="10"/>
  <c r="S1662" i="10"/>
  <c r="E384" i="11"/>
  <c r="F384" i="11" s="1"/>
  <c r="BO1593" i="10"/>
  <c r="E216" i="11"/>
  <c r="F216" i="11" s="1"/>
  <c r="BO711" i="10"/>
  <c r="BM710" i="10"/>
  <c r="BO710" i="10" s="1"/>
  <c r="S2272" i="10"/>
  <c r="R2271" i="10"/>
  <c r="S2271" i="10" s="1"/>
  <c r="AH372" i="11"/>
  <c r="M372" i="11"/>
  <c r="J372" i="11"/>
  <c r="I372" i="11"/>
  <c r="AE372" i="11"/>
  <c r="Y372" i="11"/>
  <c r="T372" i="11"/>
  <c r="BM2448" i="10"/>
  <c r="BH2447" i="10"/>
  <c r="AS1289" i="10"/>
  <c r="AN1290" i="10"/>
  <c r="AO1290" i="10"/>
  <c r="J51" i="11"/>
  <c r="I51" i="11"/>
  <c r="AH51" i="11"/>
  <c r="Y51" i="11"/>
  <c r="T51" i="11"/>
  <c r="M51" i="11"/>
  <c r="AV1984" i="10"/>
  <c r="AA1984" i="10"/>
  <c r="AA4" i="10"/>
  <c r="AV4" i="10"/>
  <c r="AD3" i="10"/>
  <c r="AD1292" i="10"/>
  <c r="R266" i="10"/>
  <c r="S266" i="10" s="1"/>
  <c r="S267" i="10"/>
  <c r="AM2286" i="10"/>
  <c r="AJ2287" i="10"/>
  <c r="AU2287" i="10"/>
  <c r="BH644" i="10"/>
  <c r="BH643" i="10" s="1"/>
  <c r="BM645" i="10"/>
  <c r="E464" i="11"/>
  <c r="F464" i="11" s="1"/>
  <c r="BO2217" i="10"/>
  <c r="AO2235" i="10"/>
  <c r="AS2234" i="10"/>
  <c r="AN2235" i="10"/>
  <c r="S413" i="11"/>
  <c r="AN735" i="10"/>
  <c r="AO735" i="10"/>
  <c r="AU28" i="10"/>
  <c r="AJ28" i="10"/>
  <c r="BM1281" i="10"/>
  <c r="BH1280" i="10"/>
  <c r="BH1279" i="10" s="1"/>
  <c r="AA488" i="10"/>
  <c r="AV488" i="10"/>
  <c r="AA1289" i="10"/>
  <c r="AV1289" i="10"/>
  <c r="BH608" i="10"/>
  <c r="BM609" i="10"/>
  <c r="BM608" i="10" s="1"/>
  <c r="AO145" i="10"/>
  <c r="AN145" i="10"/>
  <c r="BH280" i="10"/>
  <c r="AN788" i="10"/>
  <c r="AO788" i="10"/>
  <c r="BM2348" i="10"/>
  <c r="BO2349" i="10"/>
  <c r="AD400" i="10"/>
  <c r="AA401" i="10"/>
  <c r="AV401" i="10"/>
  <c r="BM2177" i="10"/>
  <c r="BH2176" i="10"/>
  <c r="BH2175" i="10" s="1"/>
  <c r="BH1973" i="10"/>
  <c r="BM1974" i="10"/>
  <c r="E476" i="11"/>
  <c r="F476" i="11" s="1"/>
  <c r="BM2255" i="10"/>
  <c r="BO2255" i="10" s="1"/>
  <c r="BO2256" i="10"/>
  <c r="AV2255" i="10"/>
  <c r="AA2255" i="10"/>
  <c r="AS2178" i="10"/>
  <c r="BM58" i="10"/>
  <c r="BH57" i="10"/>
  <c r="BH54" i="10" s="1"/>
  <c r="AN2252" i="10"/>
  <c r="AO2252" i="10"/>
  <c r="S1300" i="10"/>
  <c r="R1299" i="10"/>
  <c r="S1299" i="10" s="1"/>
  <c r="M182" i="11"/>
  <c r="J182" i="11"/>
  <c r="Y182" i="11"/>
  <c r="I182" i="11"/>
  <c r="AH182" i="11"/>
  <c r="BM630" i="10"/>
  <c r="BM629" i="10" s="1"/>
  <c r="BH629" i="10"/>
  <c r="J337" i="11"/>
  <c r="I337" i="11"/>
  <c r="M337" i="11"/>
  <c r="AH337" i="11"/>
  <c r="Y337" i="11"/>
  <c r="R1533" i="10"/>
  <c r="S1534" i="10"/>
  <c r="AH264" i="11"/>
  <c r="M264" i="11"/>
  <c r="J264" i="11"/>
  <c r="I264" i="11"/>
  <c r="Y264" i="11"/>
  <c r="M292" i="11"/>
  <c r="I292" i="11"/>
  <c r="AH292" i="11"/>
  <c r="Y292" i="11"/>
  <c r="J292" i="11"/>
  <c r="AS1735" i="10"/>
  <c r="E236" i="11"/>
  <c r="F236" i="11" s="1"/>
  <c r="BM729" i="10"/>
  <c r="BO729" i="10" s="1"/>
  <c r="BO730" i="10"/>
  <c r="AS112" i="10"/>
  <c r="AO113" i="10"/>
  <c r="AN113" i="10"/>
  <c r="R73" i="10"/>
  <c r="S73" i="10" s="1"/>
  <c r="S74" i="10"/>
  <c r="R501" i="10"/>
  <c r="BM2221" i="10"/>
  <c r="BO2222" i="10"/>
  <c r="M224" i="11"/>
  <c r="J224" i="11"/>
  <c r="AH224" i="11"/>
  <c r="I224" i="11"/>
  <c r="Y224" i="11"/>
  <c r="AJ501" i="10"/>
  <c r="AM500" i="10"/>
  <c r="AF501" i="10"/>
  <c r="AU501" i="10"/>
  <c r="BH2504" i="10"/>
  <c r="BH2503" i="10" s="1"/>
  <c r="BM2505" i="10"/>
  <c r="BM2504" i="10" s="1"/>
  <c r="AA54" i="10"/>
  <c r="AV54" i="10"/>
  <c r="T311" i="11"/>
  <c r="Y311" i="11"/>
  <c r="I311" i="11"/>
  <c r="M311" i="11"/>
  <c r="J311" i="11"/>
  <c r="AH311" i="11"/>
  <c r="AO247" i="10"/>
  <c r="AN247" i="10"/>
  <c r="AN229" i="10"/>
  <c r="AS228" i="10"/>
  <c r="AO229" i="10"/>
  <c r="R2387" i="10"/>
  <c r="S2387" i="10" s="1"/>
  <c r="P2386" i="10"/>
  <c r="R2386" i="10" s="1"/>
  <c r="S2386" i="10" s="1"/>
  <c r="BO1029" i="10"/>
  <c r="BH1306" i="10"/>
  <c r="BH1299" i="10" s="1"/>
  <c r="BM1307" i="10"/>
  <c r="BM1306" i="10" s="1"/>
  <c r="AA2503" i="10"/>
  <c r="AV2503" i="10"/>
  <c r="AD2502" i="10"/>
  <c r="AA28" i="10"/>
  <c r="AV28" i="10"/>
  <c r="AH117" i="11"/>
  <c r="M117" i="11"/>
  <c r="J117" i="11"/>
  <c r="I117" i="11"/>
  <c r="Y117" i="11"/>
  <c r="E277" i="11"/>
  <c r="F277" i="11" s="1"/>
  <c r="BM877" i="10"/>
  <c r="BO877" i="10" s="1"/>
  <c r="BO878" i="10"/>
  <c r="AN74" i="10"/>
  <c r="AO74" i="10"/>
  <c r="AS73" i="10"/>
  <c r="AS68" i="10" s="1"/>
  <c r="AH228" i="11"/>
  <c r="J228" i="11"/>
  <c r="Y228" i="11"/>
  <c r="M228" i="11"/>
  <c r="I228" i="11"/>
  <c r="BH120" i="10"/>
  <c r="BM121" i="10"/>
  <c r="BM1300" i="10"/>
  <c r="BO1301" i="10"/>
  <c r="BO209" i="10"/>
  <c r="BM208" i="10"/>
  <c r="AH166" i="11"/>
  <c r="J166" i="11"/>
  <c r="Y166" i="11"/>
  <c r="I166" i="11"/>
  <c r="M166" i="11"/>
  <c r="E191" i="11"/>
  <c r="F191" i="11" s="1"/>
  <c r="BM681" i="10"/>
  <c r="BO681" i="10" s="1"/>
  <c r="BO682" i="10"/>
  <c r="AJ2530" i="10"/>
  <c r="AU2530" i="10"/>
  <c r="AH75" i="11"/>
  <c r="M75" i="11"/>
  <c r="I75" i="11"/>
  <c r="J75" i="11"/>
  <c r="Y75" i="11"/>
  <c r="AJ2517" i="10"/>
  <c r="AU2517" i="10"/>
  <c r="Y54" i="11"/>
  <c r="AH54" i="11"/>
  <c r="J54" i="11"/>
  <c r="I54" i="11"/>
  <c r="M54" i="11"/>
  <c r="AA643" i="10"/>
  <c r="AV643" i="10"/>
  <c r="AV1981" i="10"/>
  <c r="AA1981" i="10"/>
  <c r="J271" i="11"/>
  <c r="I271" i="11"/>
  <c r="Y271" i="11"/>
  <c r="AH271" i="11"/>
  <c r="M271" i="11"/>
  <c r="R180" i="10"/>
  <c r="S180" i="10" s="1"/>
  <c r="S181" i="10"/>
  <c r="BH1562" i="10"/>
  <c r="BH1533" i="10" s="1"/>
  <c r="BM1563" i="10"/>
  <c r="AU115" i="10"/>
  <c r="AJ115" i="10"/>
  <c r="AJ2204" i="10"/>
  <c r="AU2204" i="10"/>
  <c r="AN489" i="10"/>
  <c r="AO489" i="10"/>
  <c r="AS488" i="10"/>
  <c r="AS436" i="10" s="1"/>
  <c r="E291" i="11"/>
  <c r="F291" i="11" s="1"/>
  <c r="BO940" i="10"/>
  <c r="AA2347" i="10"/>
  <c r="AV2347" i="10"/>
  <c r="AM2523" i="10"/>
  <c r="AJ2524" i="10"/>
  <c r="AU2524" i="10"/>
  <c r="BO1767" i="10"/>
  <c r="BM1765" i="10"/>
  <c r="M332" i="11"/>
  <c r="Y332" i="11"/>
  <c r="T332" i="11"/>
  <c r="AH332" i="11"/>
  <c r="J332" i="11"/>
  <c r="I332" i="11"/>
  <c r="AO1822" i="10"/>
  <c r="AS1821" i="10"/>
  <c r="AN1822" i="10"/>
  <c r="AH8" i="11"/>
  <c r="Y8" i="11"/>
  <c r="T8" i="11"/>
  <c r="M8" i="11"/>
  <c r="J8" i="11"/>
  <c r="I8" i="11"/>
  <c r="S1266" i="10"/>
  <c r="R1265" i="10"/>
  <c r="S1265" i="10" s="1"/>
  <c r="S1296" i="10"/>
  <c r="R1293" i="10"/>
  <c r="BH1089" i="10"/>
  <c r="BM1090" i="10"/>
  <c r="BM1089" i="10" s="1"/>
  <c r="S2293" i="10"/>
  <c r="R2292" i="10"/>
  <c r="S2292" i="10" s="1"/>
  <c r="AJ54" i="10"/>
  <c r="AU54" i="10"/>
  <c r="AV2271" i="10"/>
  <c r="AA2271" i="10"/>
  <c r="AH273" i="11"/>
  <c r="J273" i="11"/>
  <c r="M273" i="11"/>
  <c r="I273" i="11"/>
  <c r="Y273" i="11"/>
  <c r="BH1068" i="10"/>
  <c r="BM1069" i="10"/>
  <c r="BO2180" i="10"/>
  <c r="BM2179" i="10"/>
  <c r="E403" i="11"/>
  <c r="F403" i="11" s="1"/>
  <c r="BO1913" i="10"/>
  <c r="AJ34" i="11"/>
  <c r="AI4" i="11"/>
  <c r="AI136" i="11" s="1"/>
  <c r="AI549" i="11" s="1"/>
  <c r="AI560" i="11" s="1"/>
  <c r="T150" i="11"/>
  <c r="J150" i="11"/>
  <c r="Y150" i="11"/>
  <c r="M150" i="11"/>
  <c r="I150" i="11"/>
  <c r="AH150" i="11"/>
  <c r="BO438" i="10"/>
  <c r="BM437" i="10"/>
  <c r="AH52" i="11"/>
  <c r="Y52" i="11"/>
  <c r="I52" i="11"/>
  <c r="M52" i="11"/>
  <c r="J52" i="11"/>
  <c r="E16" i="11"/>
  <c r="F16" i="11" s="1"/>
  <c r="BM29" i="10"/>
  <c r="BO30" i="10"/>
  <c r="AJ1321" i="10"/>
  <c r="AU1321" i="10"/>
  <c r="AS2051" i="10"/>
  <c r="AO2052" i="10"/>
  <c r="AN2052" i="10"/>
  <c r="AO280" i="10"/>
  <c r="AN280" i="10"/>
  <c r="AU1981" i="10"/>
  <c r="AN192" i="10"/>
  <c r="AO192" i="10"/>
  <c r="AM400" i="10"/>
  <c r="AN2532" i="10"/>
  <c r="AO2532" i="10"/>
  <c r="AS2531" i="10"/>
  <c r="AJ4" i="10"/>
  <c r="AU4" i="10"/>
  <c r="AM3" i="10"/>
  <c r="BH2045" i="10"/>
  <c r="BH2044" i="10" s="1"/>
  <c r="BM2046" i="10"/>
  <c r="BH39" i="10"/>
  <c r="BH28" i="10" s="1"/>
  <c r="E39" i="11"/>
  <c r="F39" i="11" s="1"/>
  <c r="BM78" i="10"/>
  <c r="BO79" i="10"/>
  <c r="AO675" i="10"/>
  <c r="AN675" i="10"/>
  <c r="BH416" i="10"/>
  <c r="BH415" i="10" s="1"/>
  <c r="BH400" i="10" s="1"/>
  <c r="BM417" i="10"/>
  <c r="AJ1028" i="10"/>
  <c r="AU1028" i="10"/>
  <c r="AH326" i="11"/>
  <c r="Y326" i="11"/>
  <c r="I326" i="11"/>
  <c r="M326" i="11"/>
  <c r="J326" i="11"/>
  <c r="T326" i="11"/>
  <c r="BH1662" i="10"/>
  <c r="BM1663" i="10"/>
  <c r="R2175" i="10"/>
  <c r="S2175" i="10" s="1"/>
  <c r="S2176" i="10"/>
  <c r="AU1735" i="10"/>
  <c r="AJ1735" i="10"/>
  <c r="AS250" i="10"/>
  <c r="J240" i="11"/>
  <c r="I240" i="11"/>
  <c r="Y240" i="11"/>
  <c r="AH240" i="11"/>
  <c r="M240" i="11"/>
  <c r="AN390" i="10"/>
  <c r="AO390" i="10"/>
  <c r="I278" i="11"/>
  <c r="Y278" i="11"/>
  <c r="M278" i="11"/>
  <c r="J278" i="11"/>
  <c r="AH278" i="11"/>
  <c r="AN635" i="10"/>
  <c r="AO635" i="10"/>
  <c r="BO1690" i="10"/>
  <c r="BM1689" i="10"/>
  <c r="BH255" i="10"/>
  <c r="BM256" i="10"/>
  <c r="AO213" i="10"/>
  <c r="AN213" i="10"/>
  <c r="AN2287" i="10"/>
  <c r="AS2286" i="10"/>
  <c r="AO2287" i="10"/>
  <c r="S1350" i="10"/>
  <c r="R1349" i="10"/>
  <c r="BM2246" i="10"/>
  <c r="BO2247" i="10"/>
  <c r="S2266" i="10"/>
  <c r="R2265" i="10"/>
  <c r="M237" i="11"/>
  <c r="I237" i="11"/>
  <c r="AH237" i="11"/>
  <c r="Y237" i="11"/>
  <c r="J237" i="11"/>
  <c r="AU65" i="10"/>
  <c r="AJ65" i="10"/>
  <c r="AN255" i="10"/>
  <c r="AO255" i="10"/>
  <c r="M371" i="11"/>
  <c r="J371" i="11"/>
  <c r="T371" i="11"/>
  <c r="Y371" i="11"/>
  <c r="I371" i="11"/>
  <c r="AE371" i="11"/>
  <c r="AH371" i="11"/>
  <c r="F370" i="11"/>
  <c r="BH213" i="10"/>
  <c r="BM214" i="10"/>
  <c r="AU2510" i="10"/>
  <c r="AJ2510" i="10"/>
  <c r="AU73" i="10"/>
  <c r="E97" i="11"/>
  <c r="F97" i="11" s="1"/>
  <c r="BO217" i="10"/>
  <c r="AN2447" i="10"/>
  <c r="AO2447" i="10"/>
  <c r="AJ119" i="10"/>
  <c r="AU119" i="10"/>
  <c r="AM118" i="10"/>
  <c r="AU2278" i="10"/>
  <c r="AM2277" i="10"/>
  <c r="AJ2278" i="10"/>
  <c r="AO502" i="10"/>
  <c r="AN502" i="10"/>
  <c r="AS501" i="10"/>
  <c r="AJ2091" i="10"/>
  <c r="AU2091" i="10"/>
  <c r="AM2090" i="10"/>
  <c r="BO1297" i="10"/>
  <c r="BM1296" i="10"/>
  <c r="BO1296" i="10" s="1"/>
  <c r="R2268" i="10"/>
  <c r="S2268" i="10" s="1"/>
  <c r="S2269" i="10"/>
  <c r="AS242" i="10"/>
  <c r="BH247" i="10"/>
  <c r="BH242" i="10" s="1"/>
  <c r="BM248" i="10"/>
  <c r="AO2525" i="10"/>
  <c r="AN2525" i="10"/>
  <c r="AS2524" i="10"/>
  <c r="M265" i="11"/>
  <c r="J265" i="11"/>
  <c r="AH265" i="11"/>
  <c r="I265" i="11"/>
  <c r="T265" i="11"/>
  <c r="Y265" i="11"/>
  <c r="J339" i="11"/>
  <c r="I339" i="11"/>
  <c r="F338" i="11"/>
  <c r="AH339" i="11"/>
  <c r="M339" i="11"/>
  <c r="Y339" i="11"/>
  <c r="Y437" i="11"/>
  <c r="M437" i="11"/>
  <c r="J437" i="11"/>
  <c r="AE437" i="11"/>
  <c r="AH437" i="11"/>
  <c r="I437" i="11"/>
  <c r="T437" i="11"/>
  <c r="AN54" i="10"/>
  <c r="AO54" i="10"/>
  <c r="BM230" i="10"/>
  <c r="BH229" i="10"/>
  <c r="AO1689" i="10"/>
  <c r="AN1689" i="10"/>
  <c r="I528" i="11"/>
  <c r="T528" i="11"/>
  <c r="AH528" i="11"/>
  <c r="F527" i="11"/>
  <c r="AE528" i="11"/>
  <c r="Y528" i="11"/>
  <c r="M528" i="11"/>
  <c r="J528" i="11"/>
  <c r="BM402" i="10"/>
  <c r="BO403" i="10"/>
  <c r="BH2235" i="10"/>
  <c r="BH2234" i="10" s="1"/>
  <c r="BM2236" i="10"/>
  <c r="AU1265" i="10"/>
  <c r="AJ1265" i="10"/>
  <c r="AV65" i="10"/>
  <c r="AA65" i="10"/>
  <c r="AA409" i="10"/>
  <c r="AV409" i="10"/>
  <c r="AN366" i="10"/>
  <c r="AO1306" i="10"/>
  <c r="AN1306" i="10"/>
  <c r="AJ80" i="10"/>
  <c r="AU80" i="10"/>
  <c r="AM76" i="10"/>
  <c r="AJ390" i="10"/>
  <c r="AU390" i="10"/>
  <c r="AN2083" i="10"/>
  <c r="AO2083" i="10"/>
  <c r="AS2082" i="10"/>
  <c r="AM436" i="10"/>
  <c r="AJ437" i="10"/>
  <c r="AU437" i="10"/>
  <c r="E30" i="11"/>
  <c r="F30" i="11" s="1"/>
  <c r="BM55" i="10"/>
  <c r="BO56" i="10"/>
  <c r="AO2198" i="10"/>
  <c r="AN2198" i="10"/>
  <c r="BM190" i="10"/>
  <c r="BH189" i="10"/>
  <c r="AA276" i="10"/>
  <c r="AV276" i="10"/>
  <c r="BM280" i="10"/>
  <c r="BO281" i="10"/>
  <c r="J318" i="11"/>
  <c r="I318" i="11"/>
  <c r="T318" i="11"/>
  <c r="Y318" i="11"/>
  <c r="AH318" i="11"/>
  <c r="M318" i="11"/>
  <c r="AM2502" i="10"/>
  <c r="BH529" i="10"/>
  <c r="BM530" i="10"/>
  <c r="AO704" i="10"/>
  <c r="AN704" i="10"/>
  <c r="BM789" i="10"/>
  <c r="BI789" i="10"/>
  <c r="BH788" i="10"/>
  <c r="BH2347" i="10"/>
  <c r="BM2200" i="10"/>
  <c r="BO2201" i="10"/>
  <c r="AH267" i="11"/>
  <c r="Y267" i="11"/>
  <c r="M267" i="11"/>
  <c r="I267" i="11"/>
  <c r="J267" i="11"/>
  <c r="AO57" i="10"/>
  <c r="AN57" i="10"/>
  <c r="BM240" i="10"/>
  <c r="BO241" i="10"/>
  <c r="R280" i="10"/>
  <c r="S280" i="10" s="1"/>
  <c r="S281" i="10"/>
  <c r="AJ192" i="10"/>
  <c r="AU192" i="10"/>
  <c r="AJ1282" i="10"/>
  <c r="AU1282" i="10"/>
  <c r="BM1345" i="10"/>
  <c r="BO1346" i="10"/>
  <c r="BM327" i="10"/>
  <c r="BM326" i="10" s="1"/>
  <c r="BH326" i="10"/>
  <c r="BH325" i="10" s="1"/>
  <c r="BH279" i="10" s="1"/>
  <c r="R1880" i="10"/>
  <c r="S1880" i="10" s="1"/>
  <c r="M61" i="11"/>
  <c r="AH61" i="11"/>
  <c r="J61" i="11"/>
  <c r="I61" i="11"/>
  <c r="T61" i="11"/>
  <c r="Y61" i="11"/>
  <c r="M428" i="11"/>
  <c r="J428" i="11"/>
  <c r="I428" i="11"/>
  <c r="AE428" i="11"/>
  <c r="Y428" i="11"/>
  <c r="AH428" i="11"/>
  <c r="T428" i="11"/>
  <c r="S1736" i="10"/>
  <c r="R1735" i="10"/>
  <c r="S1735" i="10" s="1"/>
  <c r="AV119" i="10"/>
  <c r="AA119" i="10"/>
  <c r="AD118" i="10"/>
  <c r="AM1258" i="10"/>
  <c r="AJ1259" i="10"/>
  <c r="AU1259" i="10"/>
  <c r="AU2255" i="10"/>
  <c r="R2510" i="10"/>
  <c r="S2510" i="10" s="1"/>
  <c r="S2511" i="10"/>
  <c r="AH252" i="11"/>
  <c r="Y252" i="11"/>
  <c r="M252" i="11"/>
  <c r="J252" i="11"/>
  <c r="I252" i="11"/>
  <c r="AV2517" i="10"/>
  <c r="AA2517" i="10"/>
  <c r="Y344" i="11"/>
  <c r="I344" i="11"/>
  <c r="M344" i="11"/>
  <c r="J344" i="11"/>
  <c r="AH344" i="11"/>
  <c r="T344" i="11"/>
  <c r="AS28" i="10"/>
  <c r="E400" i="11" l="1"/>
  <c r="F400" i="11" s="1"/>
  <c r="BO1878" i="10"/>
  <c r="AK468" i="11"/>
  <c r="BH1292" i="10"/>
  <c r="E94" i="11"/>
  <c r="F94" i="11" s="1"/>
  <c r="BO211" i="10"/>
  <c r="BO187" i="10"/>
  <c r="E88" i="11"/>
  <c r="F88" i="11" s="1"/>
  <c r="J33" i="11"/>
  <c r="I33" i="11"/>
  <c r="AH33" i="11"/>
  <c r="M33" i="11"/>
  <c r="Y33" i="11"/>
  <c r="BO2499" i="10"/>
  <c r="E547" i="11"/>
  <c r="F547" i="11" s="1"/>
  <c r="L2285" i="10"/>
  <c r="BH1972" i="10"/>
  <c r="E105" i="11"/>
  <c r="F105" i="11" s="1"/>
  <c r="BO234" i="10"/>
  <c r="E472" i="11"/>
  <c r="F472" i="11" s="1"/>
  <c r="BO2242" i="10"/>
  <c r="BM2241" i="10"/>
  <c r="BO2241" i="10" s="1"/>
  <c r="BO110" i="10"/>
  <c r="BM109" i="10"/>
  <c r="AU2292" i="10"/>
  <c r="AA2292" i="10"/>
  <c r="AV2292" i="10"/>
  <c r="K2534" i="10"/>
  <c r="BO70" i="10"/>
  <c r="BM69" i="10"/>
  <c r="BO69" i="10" s="1"/>
  <c r="BO243" i="10"/>
  <c r="E110" i="11"/>
  <c r="F110" i="11" s="1"/>
  <c r="AS76" i="10"/>
  <c r="BH119" i="10"/>
  <c r="BH1661" i="10"/>
  <c r="BH1660" i="10" s="1"/>
  <c r="AA76" i="10"/>
  <c r="AV76" i="10"/>
  <c r="F143" i="11"/>
  <c r="I146" i="11"/>
  <c r="AH146" i="11"/>
  <c r="M146" i="11"/>
  <c r="J146" i="11"/>
  <c r="Y146" i="11"/>
  <c r="T146" i="11"/>
  <c r="BO2202" i="10"/>
  <c r="E456" i="11"/>
  <c r="F456" i="11" s="1"/>
  <c r="L2" i="10"/>
  <c r="W664" i="10"/>
  <c r="W499" i="10" s="1"/>
  <c r="BH1822" i="10"/>
  <c r="BH1821" i="10" s="1"/>
  <c r="AL468" i="11"/>
  <c r="BM393" i="10"/>
  <c r="BO394" i="10"/>
  <c r="T272" i="11"/>
  <c r="M272" i="11"/>
  <c r="J272" i="11"/>
  <c r="I272" i="11"/>
  <c r="AH272" i="11"/>
  <c r="Y272" i="11"/>
  <c r="BM2517" i="10"/>
  <c r="BO2517" i="10" s="1"/>
  <c r="E553" i="11"/>
  <c r="F553" i="11" s="1"/>
  <c r="BO2518" i="10"/>
  <c r="AA1258" i="10"/>
  <c r="AV1258" i="10"/>
  <c r="BO1824" i="10"/>
  <c r="BM1823" i="10"/>
  <c r="E557" i="11"/>
  <c r="F557" i="11" s="1"/>
  <c r="BM2527" i="10"/>
  <c r="BO2527" i="10" s="1"/>
  <c r="BO2528" i="10"/>
  <c r="AV2086" i="10"/>
  <c r="AA2086" i="10"/>
  <c r="Y9" i="11"/>
  <c r="I9" i="11"/>
  <c r="J9" i="11"/>
  <c r="T9" i="11"/>
  <c r="M9" i="11"/>
  <c r="AH9" i="11"/>
  <c r="V549" i="11"/>
  <c r="V560" i="11" s="1"/>
  <c r="BH266" i="10"/>
  <c r="T346" i="11"/>
  <c r="J346" i="11"/>
  <c r="I346" i="11"/>
  <c r="AH346" i="11"/>
  <c r="Y346" i="11"/>
  <c r="M346" i="11"/>
  <c r="E360" i="11"/>
  <c r="F360" i="11" s="1"/>
  <c r="F358" i="11" s="1"/>
  <c r="BM1321" i="10"/>
  <c r="S176" i="11"/>
  <c r="Q468" i="11"/>
  <c r="S468" i="11" s="1"/>
  <c r="BM1341" i="10"/>
  <c r="BO1341" i="10" s="1"/>
  <c r="BO1342" i="10"/>
  <c r="E361" i="11"/>
  <c r="F361" i="11" s="1"/>
  <c r="BH2178" i="10"/>
  <c r="BH2160" i="10" s="1"/>
  <c r="AU279" i="10"/>
  <c r="AU2264" i="10"/>
  <c r="BH2502" i="10"/>
  <c r="BH2501" i="10" s="1"/>
  <c r="BH2233" i="10"/>
  <c r="BO1942" i="10"/>
  <c r="E404" i="11"/>
  <c r="F404" i="11" s="1"/>
  <c r="BM1716" i="10"/>
  <c r="BO1717" i="10"/>
  <c r="AO205" i="10"/>
  <c r="AN205" i="10"/>
  <c r="L499" i="10"/>
  <c r="J2534" i="10"/>
  <c r="AN1028" i="10"/>
  <c r="BH205" i="10"/>
  <c r="AS223" i="10"/>
  <c r="BH501" i="10"/>
  <c r="BH500" i="10" s="1"/>
  <c r="BM1293" i="10"/>
  <c r="BO1293" i="10" s="1"/>
  <c r="AF549" i="11"/>
  <c r="AF560" i="11" s="1"/>
  <c r="E354" i="11"/>
  <c r="F354" i="11" s="1"/>
  <c r="AU2086" i="10"/>
  <c r="AJ2086" i="10"/>
  <c r="AH497" i="11"/>
  <c r="V2534" i="10"/>
  <c r="R2082" i="10"/>
  <c r="S2082" i="10" s="1"/>
  <c r="S2287" i="10"/>
  <c r="P2" i="10"/>
  <c r="Q499" i="10"/>
  <c r="Q2534" i="10" s="1"/>
  <c r="U2" i="10"/>
  <c r="I36" i="11"/>
  <c r="W2" i="10"/>
  <c r="AY2" i="10"/>
  <c r="U2298" i="10"/>
  <c r="J36" i="11"/>
  <c r="P499" i="10"/>
  <c r="AY499" i="10"/>
  <c r="T36" i="11"/>
  <c r="Y36" i="11"/>
  <c r="AH36" i="11"/>
  <c r="AZ499" i="10"/>
  <c r="AZ2534" i="10" s="1"/>
  <c r="BA2" i="10"/>
  <c r="AY2298" i="10"/>
  <c r="R279" i="10"/>
  <c r="S279" i="10" s="1"/>
  <c r="P2298" i="10"/>
  <c r="BA499" i="10"/>
  <c r="R2502" i="10"/>
  <c r="S2502" i="10" s="1"/>
  <c r="R3" i="10"/>
  <c r="S3" i="10" s="1"/>
  <c r="R2244" i="10"/>
  <c r="S2244" i="10" s="1"/>
  <c r="E462" i="11"/>
  <c r="F462" i="11" s="1"/>
  <c r="BO2213" i="10"/>
  <c r="J497" i="11"/>
  <c r="BH2277" i="10"/>
  <c r="BH180" i="10"/>
  <c r="E481" i="11"/>
  <c r="F481" i="11" s="1"/>
  <c r="BO2269" i="10"/>
  <c r="BM2268" i="10"/>
  <c r="BO2268" i="10" s="1"/>
  <c r="BM233" i="10"/>
  <c r="BO233" i="10" s="1"/>
  <c r="AE497" i="11"/>
  <c r="BH76" i="10"/>
  <c r="BH1258" i="10"/>
  <c r="BH250" i="10"/>
  <c r="F287" i="11"/>
  <c r="M497" i="11"/>
  <c r="BH1028" i="10"/>
  <c r="T497" i="11"/>
  <c r="Y497" i="11"/>
  <c r="BH1532" i="10"/>
  <c r="AH434" i="11"/>
  <c r="M434" i="11"/>
  <c r="J434" i="11"/>
  <c r="F433" i="11"/>
  <c r="AE434" i="11"/>
  <c r="Y434" i="11"/>
  <c r="I434" i="11"/>
  <c r="AN1289" i="10"/>
  <c r="AO1289" i="10"/>
  <c r="AA396" i="10"/>
  <c r="AV396" i="10"/>
  <c r="AU396" i="10"/>
  <c r="AA2286" i="10"/>
  <c r="AD2285" i="10"/>
  <c r="AV2286" i="10"/>
  <c r="I94" i="11"/>
  <c r="AH94" i="11"/>
  <c r="M94" i="11"/>
  <c r="Y94" i="11"/>
  <c r="J94" i="11"/>
  <c r="M464" i="11"/>
  <c r="AH464" i="11"/>
  <c r="J464" i="11"/>
  <c r="I464" i="11"/>
  <c r="AE464" i="11"/>
  <c r="Y464" i="11"/>
  <c r="I115" i="11"/>
  <c r="F114" i="11"/>
  <c r="M115" i="11"/>
  <c r="AH115" i="11"/>
  <c r="Y115" i="11"/>
  <c r="J115" i="11"/>
  <c r="I506" i="11"/>
  <c r="M506" i="11"/>
  <c r="AH506" i="11"/>
  <c r="Y506" i="11"/>
  <c r="AE506" i="11"/>
  <c r="F505" i="11"/>
  <c r="J506" i="11"/>
  <c r="Y260" i="11"/>
  <c r="T260" i="11"/>
  <c r="I260" i="11"/>
  <c r="F259" i="11"/>
  <c r="M260" i="11"/>
  <c r="J260" i="11"/>
  <c r="AH260" i="11"/>
  <c r="I460" i="11"/>
  <c r="M460" i="11"/>
  <c r="J460" i="11"/>
  <c r="AE460" i="11"/>
  <c r="AH460" i="11"/>
  <c r="Y460" i="11"/>
  <c r="E537" i="11"/>
  <c r="F537" i="11" s="1"/>
  <c r="BO2490" i="10"/>
  <c r="BM2489" i="10"/>
  <c r="BO2489" i="10" s="1"/>
  <c r="BO55" i="10"/>
  <c r="R2160" i="10"/>
  <c r="S2160" i="10" s="1"/>
  <c r="S2161" i="10"/>
  <c r="AJ2050" i="10"/>
  <c r="AU2050" i="10"/>
  <c r="T410" i="11"/>
  <c r="I410" i="11"/>
  <c r="AE410" i="11"/>
  <c r="Y410" i="11"/>
  <c r="AH410" i="11"/>
  <c r="J410" i="11"/>
  <c r="M410" i="11"/>
  <c r="S1259" i="10"/>
  <c r="R1258" i="10"/>
  <c r="S1258" i="10" s="1"/>
  <c r="E477" i="11"/>
  <c r="F477" i="11" s="1"/>
  <c r="BO2259" i="10"/>
  <c r="BM2258" i="10"/>
  <c r="BO2258" i="10" s="1"/>
  <c r="BM1344" i="10"/>
  <c r="BO1344" i="10" s="1"/>
  <c r="BO1345" i="10"/>
  <c r="BO2533" i="10"/>
  <c r="BM2532" i="10"/>
  <c r="M359" i="11"/>
  <c r="J359" i="11"/>
  <c r="AH359" i="11"/>
  <c r="I359" i="11"/>
  <c r="Y359" i="11"/>
  <c r="T359" i="11"/>
  <c r="E459" i="11"/>
  <c r="F459" i="11" s="1"/>
  <c r="BO2207" i="10"/>
  <c r="E13" i="11"/>
  <c r="F13" i="11" s="1"/>
  <c r="BO13" i="10"/>
  <c r="E269" i="11"/>
  <c r="F269" i="11" s="1"/>
  <c r="BO789" i="10"/>
  <c r="BM788" i="10"/>
  <c r="BO788" i="10" s="1"/>
  <c r="BO230" i="10"/>
  <c r="BM229" i="10"/>
  <c r="BO256" i="10"/>
  <c r="BM255" i="10"/>
  <c r="AK34" i="11"/>
  <c r="AJ4" i="11"/>
  <c r="AJ136" i="11" s="1"/>
  <c r="AJ549" i="11" s="1"/>
  <c r="AJ560" i="11" s="1"/>
  <c r="E159" i="11"/>
  <c r="F159" i="11" s="1"/>
  <c r="BO629" i="10"/>
  <c r="BM2048" i="10"/>
  <c r="BO2049" i="10"/>
  <c r="E385" i="11"/>
  <c r="F385" i="11" s="1"/>
  <c r="BO1610" i="10"/>
  <c r="AU2043" i="10"/>
  <c r="AJ2043" i="10"/>
  <c r="AN2237" i="10"/>
  <c r="AO2237" i="10"/>
  <c r="AV664" i="10"/>
  <c r="AA664" i="10"/>
  <c r="AA2160" i="10"/>
  <c r="AV2160" i="10"/>
  <c r="E393" i="11"/>
  <c r="F393" i="11" s="1"/>
  <c r="BM1735" i="10"/>
  <c r="BO1735" i="10" s="1"/>
  <c r="BO1736" i="10"/>
  <c r="BH2299" i="10"/>
  <c r="AU266" i="10"/>
  <c r="AJ266" i="10"/>
  <c r="I338" i="11"/>
  <c r="Y338" i="11"/>
  <c r="M338" i="11"/>
  <c r="J338" i="11"/>
  <c r="AH338" i="11"/>
  <c r="AN112" i="10"/>
  <c r="AO112" i="10"/>
  <c r="AN2234" i="10"/>
  <c r="AO2234" i="10"/>
  <c r="AS2233" i="10"/>
  <c r="AH384" i="11"/>
  <c r="M384" i="11"/>
  <c r="J384" i="11"/>
  <c r="I384" i="11"/>
  <c r="Y384" i="11"/>
  <c r="T384" i="11"/>
  <c r="AE384" i="11"/>
  <c r="AN68" i="10"/>
  <c r="AO68" i="10"/>
  <c r="E425" i="11"/>
  <c r="F425" i="11" s="1"/>
  <c r="BM2092" i="10"/>
  <c r="E92" i="11"/>
  <c r="F92" i="11" s="1"/>
  <c r="BO206" i="10"/>
  <c r="AS2090" i="10"/>
  <c r="AO2091" i="10"/>
  <c r="AN2091" i="10"/>
  <c r="BO2087" i="10"/>
  <c r="BM2086" i="10"/>
  <c r="BO2086" i="10" s="1"/>
  <c r="BM611" i="10"/>
  <c r="BO612" i="10"/>
  <c r="E367" i="11"/>
  <c r="F367" i="11" s="1"/>
  <c r="BO1351" i="10"/>
  <c r="BM1350" i="10"/>
  <c r="F408" i="11"/>
  <c r="AN2386" i="10"/>
  <c r="AO2386" i="10"/>
  <c r="AJ436" i="10"/>
  <c r="AU436" i="10"/>
  <c r="E390" i="11"/>
  <c r="F390" i="11" s="1"/>
  <c r="BO1689" i="10"/>
  <c r="BO78" i="10"/>
  <c r="BM77" i="10"/>
  <c r="S136" i="11"/>
  <c r="E107" i="11"/>
  <c r="F107" i="11" s="1"/>
  <c r="BO238" i="10"/>
  <c r="AA2277" i="10"/>
  <c r="AV2277" i="10"/>
  <c r="BO6" i="10"/>
  <c r="E7" i="11"/>
  <c r="F7" i="11" s="1"/>
  <c r="BM5" i="10"/>
  <c r="AA2090" i="10"/>
  <c r="AV2090" i="10"/>
  <c r="M482" i="11"/>
  <c r="J482" i="11"/>
  <c r="T482" i="11"/>
  <c r="I482" i="11"/>
  <c r="AE482" i="11"/>
  <c r="AH482" i="11"/>
  <c r="Y482" i="11"/>
  <c r="AO242" i="10"/>
  <c r="AN242" i="10"/>
  <c r="S1661" i="10"/>
  <c r="R1660" i="10"/>
  <c r="S1660" i="10" s="1"/>
  <c r="E488" i="11"/>
  <c r="F488" i="11" s="1"/>
  <c r="BO2294" i="10"/>
  <c r="BM2293" i="10"/>
  <c r="BH3" i="10"/>
  <c r="E376" i="11"/>
  <c r="F376" i="11" s="1"/>
  <c r="BO1473" i="10"/>
  <c r="AO1272" i="10"/>
  <c r="AN1272" i="10"/>
  <c r="AJ2277" i="10"/>
  <c r="AU2277" i="10"/>
  <c r="E474" i="11"/>
  <c r="F474" i="11" s="1"/>
  <c r="BO2246" i="10"/>
  <c r="BM2245" i="10"/>
  <c r="AO2051" i="10"/>
  <c r="AN2051" i="10"/>
  <c r="AS2050" i="10"/>
  <c r="J291" i="11"/>
  <c r="I291" i="11"/>
  <c r="T291" i="11"/>
  <c r="AH291" i="11"/>
  <c r="M291" i="11"/>
  <c r="Y291" i="11"/>
  <c r="I236" i="11"/>
  <c r="M236" i="11"/>
  <c r="AH236" i="11"/>
  <c r="F235" i="11"/>
  <c r="Y236" i="11"/>
  <c r="J236" i="11"/>
  <c r="Y495" i="11"/>
  <c r="AH495" i="11"/>
  <c r="AE495" i="11"/>
  <c r="M495" i="11"/>
  <c r="J495" i="11"/>
  <c r="I495" i="11"/>
  <c r="F494" i="11"/>
  <c r="AA1348" i="10"/>
  <c r="AV1348" i="10"/>
  <c r="M229" i="11"/>
  <c r="I229" i="11"/>
  <c r="J229" i="11"/>
  <c r="Y229" i="11"/>
  <c r="AH229" i="11"/>
  <c r="E452" i="11"/>
  <c r="F452" i="11" s="1"/>
  <c r="BO2181" i="10"/>
  <c r="AV500" i="10"/>
  <c r="AD499" i="10"/>
  <c r="AA500" i="10"/>
  <c r="BM1503" i="10"/>
  <c r="BO1504" i="10"/>
  <c r="BO215" i="10"/>
  <c r="E96" i="11"/>
  <c r="F96" i="11" s="1"/>
  <c r="E306" i="11"/>
  <c r="F306" i="11" s="1"/>
  <c r="BO1026" i="10"/>
  <c r="AV2043" i="10"/>
  <c r="AA2043" i="10"/>
  <c r="R2030" i="10"/>
  <c r="S2030" i="10" s="1"/>
  <c r="S2031" i="10"/>
  <c r="AN2278" i="10"/>
  <c r="AS2277" i="10"/>
  <c r="AO2278" i="10"/>
  <c r="AA68" i="10"/>
  <c r="AV68" i="10"/>
  <c r="AU68" i="10"/>
  <c r="E348" i="11"/>
  <c r="F348" i="11" s="1"/>
  <c r="BO1274" i="10"/>
  <c r="BM1273" i="10"/>
  <c r="AN2086" i="10"/>
  <c r="AO2086" i="10"/>
  <c r="AO1532" i="10"/>
  <c r="AN1532" i="10"/>
  <c r="E108" i="11"/>
  <c r="F108" i="11" s="1"/>
  <c r="BO240" i="10"/>
  <c r="AU76" i="10"/>
  <c r="AJ76" i="10"/>
  <c r="AO2286" i="10"/>
  <c r="AN2286" i="10"/>
  <c r="E334" i="11"/>
  <c r="F334" i="11" s="1"/>
  <c r="BO1089" i="10"/>
  <c r="M277" i="11"/>
  <c r="J277" i="11"/>
  <c r="Y277" i="11"/>
  <c r="I277" i="11"/>
  <c r="AH277" i="11"/>
  <c r="F276" i="11"/>
  <c r="BM2436" i="10"/>
  <c r="BO2437" i="10"/>
  <c r="AA2299" i="10"/>
  <c r="AD2298" i="10"/>
  <c r="AV2299" i="10"/>
  <c r="Y350" i="11"/>
  <c r="AH350" i="11"/>
  <c r="J350" i="11"/>
  <c r="I350" i="11"/>
  <c r="T350" i="11"/>
  <c r="M350" i="11"/>
  <c r="AV2244" i="10"/>
  <c r="AA2244" i="10"/>
  <c r="BO541" i="10"/>
  <c r="BM540" i="10"/>
  <c r="T155" i="11"/>
  <c r="AH155" i="11"/>
  <c r="Y155" i="11"/>
  <c r="M155" i="11"/>
  <c r="I155" i="11"/>
  <c r="J155" i="11"/>
  <c r="AN2503" i="10"/>
  <c r="AS2502" i="10"/>
  <c r="AO2503" i="10"/>
  <c r="R118" i="10"/>
  <c r="S118" i="10" s="1"/>
  <c r="S119" i="10"/>
  <c r="BM325" i="10"/>
  <c r="BO326" i="10"/>
  <c r="J16" i="11"/>
  <c r="I16" i="11"/>
  <c r="F15" i="11"/>
  <c r="Y16" i="11"/>
  <c r="M16" i="11"/>
  <c r="AH16" i="11"/>
  <c r="S518" i="11"/>
  <c r="Q516" i="11"/>
  <c r="S516" i="11" s="1"/>
  <c r="E226" i="11"/>
  <c r="F226" i="11" s="1"/>
  <c r="BO721" i="10"/>
  <c r="BM720" i="10"/>
  <c r="BO720" i="10" s="1"/>
  <c r="E158" i="11"/>
  <c r="F158" i="11" s="1"/>
  <c r="BO626" i="10"/>
  <c r="AN2524" i="10"/>
  <c r="AO2524" i="10"/>
  <c r="AS2523" i="10"/>
  <c r="AS2530" i="10"/>
  <c r="AN2531" i="10"/>
  <c r="AO2531" i="10"/>
  <c r="E169" i="11"/>
  <c r="F169" i="11" s="1"/>
  <c r="BO645" i="10"/>
  <c r="BM644" i="10"/>
  <c r="E523" i="11"/>
  <c r="F523" i="11" s="1"/>
  <c r="BO2448" i="10"/>
  <c r="BM2447" i="10"/>
  <c r="BO2447" i="10" s="1"/>
  <c r="BO2146" i="10"/>
  <c r="BM2145" i="10"/>
  <c r="BO2145" i="10" s="1"/>
  <c r="Y30" i="11"/>
  <c r="I30" i="11"/>
  <c r="AH30" i="11"/>
  <c r="M30" i="11"/>
  <c r="J30" i="11"/>
  <c r="BM1662" i="10"/>
  <c r="BO1663" i="10"/>
  <c r="AU2523" i="10"/>
  <c r="AJ2523" i="10"/>
  <c r="AF500" i="10"/>
  <c r="AJ500" i="10"/>
  <c r="AU500" i="10"/>
  <c r="AM499" i="10"/>
  <c r="AN2300" i="10"/>
  <c r="AS2299" i="10"/>
  <c r="AO2300" i="10"/>
  <c r="J321" i="11"/>
  <c r="Y321" i="11"/>
  <c r="M321" i="11"/>
  <c r="I321" i="11"/>
  <c r="T321" i="11"/>
  <c r="AH321" i="11"/>
  <c r="AO2293" i="10"/>
  <c r="AN2293" i="10"/>
  <c r="AS2292" i="10"/>
  <c r="AS2285" i="10" s="1"/>
  <c r="AO1279" i="10"/>
  <c r="AN1279" i="10"/>
  <c r="R436" i="10"/>
  <c r="S436" i="10" s="1"/>
  <c r="S437" i="10"/>
  <c r="AN436" i="10"/>
  <c r="AO436" i="10"/>
  <c r="E386" i="11"/>
  <c r="F386" i="11" s="1"/>
  <c r="BO1636" i="10"/>
  <c r="BO2389" i="10"/>
  <c r="BM2388" i="10"/>
  <c r="E380" i="11"/>
  <c r="F380" i="11" s="1"/>
  <c r="BO1534" i="10"/>
  <c r="AJ664" i="10"/>
  <c r="AU664" i="10"/>
  <c r="AO2387" i="10"/>
  <c r="AN2387" i="10"/>
  <c r="AG548" i="11"/>
  <c r="F342" i="11"/>
  <c r="M343" i="11"/>
  <c r="J343" i="11"/>
  <c r="I343" i="11"/>
  <c r="T343" i="11"/>
  <c r="AH343" i="11"/>
  <c r="Y343" i="11"/>
  <c r="E475" i="11"/>
  <c r="F475" i="11" s="1"/>
  <c r="BO2253" i="10"/>
  <c r="BM2252" i="10"/>
  <c r="BO2252" i="10" s="1"/>
  <c r="AH39" i="11"/>
  <c r="Y39" i="11"/>
  <c r="J39" i="11"/>
  <c r="M39" i="11"/>
  <c r="I39" i="11"/>
  <c r="AA223" i="10"/>
  <c r="AV223" i="10"/>
  <c r="AN2265" i="10"/>
  <c r="AS2264" i="10"/>
  <c r="AO2265" i="10"/>
  <c r="E487" i="11"/>
  <c r="F487" i="11" s="1"/>
  <c r="BM2287" i="10"/>
  <c r="BO2288" i="10"/>
  <c r="BO367" i="10"/>
  <c r="BM366" i="10"/>
  <c r="AN2030" i="10"/>
  <c r="AO2030" i="10"/>
  <c r="AU2030" i="10"/>
  <c r="AJ2030" i="10"/>
  <c r="R2233" i="10"/>
  <c r="AU2502" i="10"/>
  <c r="AM2501" i="10"/>
  <c r="AJ2502" i="10"/>
  <c r="J527" i="11"/>
  <c r="I527" i="11"/>
  <c r="Y527" i="11"/>
  <c r="AE527" i="11"/>
  <c r="M527" i="11"/>
  <c r="T527" i="11"/>
  <c r="AH527" i="11"/>
  <c r="F525" i="11"/>
  <c r="S1349" i="10"/>
  <c r="R1348" i="10"/>
  <c r="S1348" i="10" s="1"/>
  <c r="BO2046" i="10"/>
  <c r="BM2045" i="10"/>
  <c r="E329" i="11"/>
  <c r="F329" i="11" s="1"/>
  <c r="BO1069" i="10"/>
  <c r="BM1068" i="10"/>
  <c r="BM1028" i="10" s="1"/>
  <c r="BO1028" i="10" s="1"/>
  <c r="AO488" i="10"/>
  <c r="AN488" i="10"/>
  <c r="E356" i="11"/>
  <c r="F356" i="11" s="1"/>
  <c r="BO1300" i="10"/>
  <c r="BM1299" i="10"/>
  <c r="BO1299" i="10" s="1"/>
  <c r="AO1735" i="10"/>
  <c r="AN1735" i="10"/>
  <c r="R1532" i="10"/>
  <c r="S1532" i="10" s="1"/>
  <c r="S1533" i="10"/>
  <c r="AH476" i="11"/>
  <c r="M476" i="11"/>
  <c r="J476" i="11"/>
  <c r="I476" i="11"/>
  <c r="AE476" i="11"/>
  <c r="Y476" i="11"/>
  <c r="BM1280" i="10"/>
  <c r="BO1281" i="10"/>
  <c r="AV1292" i="10"/>
  <c r="AA1292" i="10"/>
  <c r="BM2238" i="10"/>
  <c r="BO2239" i="10"/>
  <c r="AU1660" i="10"/>
  <c r="AJ1660" i="10"/>
  <c r="AO1292" i="10"/>
  <c r="AN1292" i="10"/>
  <c r="R2285" i="10"/>
  <c r="S2285" i="10" s="1"/>
  <c r="S2286" i="10"/>
  <c r="AH64" i="11"/>
  <c r="J64" i="11"/>
  <c r="Y64" i="11"/>
  <c r="F63" i="11"/>
  <c r="M64" i="11"/>
  <c r="T64" i="11"/>
  <c r="I64" i="11"/>
  <c r="AO2175" i="10"/>
  <c r="AN2175" i="10"/>
  <c r="BO146" i="10"/>
  <c r="BM145" i="10"/>
  <c r="AV2264" i="10"/>
  <c r="AA2264" i="10"/>
  <c r="E463" i="11"/>
  <c r="F463" i="11" s="1"/>
  <c r="BO2215" i="10"/>
  <c r="BO2267" i="10"/>
  <c r="BM2266" i="10"/>
  <c r="AN1265" i="10"/>
  <c r="AO1265" i="10"/>
  <c r="E257" i="11"/>
  <c r="F257" i="11" s="1"/>
  <c r="BO752" i="10"/>
  <c r="BM749" i="10"/>
  <c r="BO749" i="10" s="1"/>
  <c r="AS3" i="10"/>
  <c r="AO4" i="10"/>
  <c r="AN4" i="10"/>
  <c r="BM398" i="10"/>
  <c r="BO399" i="10"/>
  <c r="AS2160" i="10"/>
  <c r="BO278" i="10"/>
  <c r="BM277" i="10"/>
  <c r="AJ400" i="10"/>
  <c r="AU400" i="10"/>
  <c r="BM183" i="10"/>
  <c r="BO184" i="10"/>
  <c r="I294" i="11"/>
  <c r="J294" i="11"/>
  <c r="M294" i="11"/>
  <c r="Y294" i="11"/>
  <c r="AH294" i="11"/>
  <c r="Y21" i="11"/>
  <c r="I21" i="11"/>
  <c r="M21" i="11"/>
  <c r="J21" i="11"/>
  <c r="F20" i="11"/>
  <c r="AH21" i="11"/>
  <c r="E210" i="11"/>
  <c r="F210" i="11" s="1"/>
  <c r="BM704" i="10"/>
  <c r="BO704" i="10" s="1"/>
  <c r="BO705" i="10"/>
  <c r="AS2043" i="10"/>
  <c r="AN2044" i="10"/>
  <c r="AO2044" i="10"/>
  <c r="AU2090" i="10"/>
  <c r="AJ2090" i="10"/>
  <c r="BO417" i="10"/>
  <c r="BM416" i="10"/>
  <c r="AO1821" i="10"/>
  <c r="AN1821" i="10"/>
  <c r="BO2177" i="10"/>
  <c r="BM2176" i="10"/>
  <c r="BO114" i="10"/>
  <c r="BM113" i="10"/>
  <c r="BM231" i="10"/>
  <c r="BO232" i="10"/>
  <c r="BO1852" i="10"/>
  <c r="BM1851" i="10"/>
  <c r="E402" i="11"/>
  <c r="F402" i="11" s="1"/>
  <c r="BO1881" i="10"/>
  <c r="BM1880" i="10"/>
  <c r="BO1880" i="10" s="1"/>
  <c r="AO2435" i="10"/>
  <c r="AN2435" i="10"/>
  <c r="J539" i="11"/>
  <c r="I539" i="11"/>
  <c r="AE539" i="11"/>
  <c r="M539" i="11"/>
  <c r="Y539" i="11"/>
  <c r="AH539" i="11"/>
  <c r="T539" i="11"/>
  <c r="E157" i="11"/>
  <c r="F157" i="11" s="1"/>
  <c r="BO624" i="10"/>
  <c r="M32" i="11"/>
  <c r="AH32" i="11"/>
  <c r="I32" i="11"/>
  <c r="J32" i="11"/>
  <c r="Y32" i="11"/>
  <c r="T274" i="11"/>
  <c r="M274" i="11"/>
  <c r="I274" i="11"/>
  <c r="J274" i="11"/>
  <c r="Y274" i="11"/>
  <c r="AH274" i="11"/>
  <c r="BO258" i="10"/>
  <c r="BM257" i="10"/>
  <c r="AA2082" i="10"/>
  <c r="AV2082" i="10"/>
  <c r="Y270" i="11"/>
  <c r="J270" i="11"/>
  <c r="M270" i="11"/>
  <c r="I270" i="11"/>
  <c r="AH270" i="11"/>
  <c r="T270" i="11"/>
  <c r="M140" i="11"/>
  <c r="J140" i="11"/>
  <c r="AH140" i="11"/>
  <c r="I140" i="11"/>
  <c r="Y140" i="11"/>
  <c r="T140" i="11"/>
  <c r="AH395" i="11"/>
  <c r="M395" i="11"/>
  <c r="I395" i="11"/>
  <c r="AE395" i="11"/>
  <c r="Y395" i="11"/>
  <c r="J395" i="11"/>
  <c r="T395" i="11"/>
  <c r="AU1821" i="10"/>
  <c r="AJ1821" i="10"/>
  <c r="BM401" i="10"/>
  <c r="BO402" i="10"/>
  <c r="AN2178" i="10"/>
  <c r="AO2178" i="10"/>
  <c r="AS1258" i="10"/>
  <c r="AO415" i="10"/>
  <c r="AN415" i="10"/>
  <c r="J382" i="11"/>
  <c r="M382" i="11"/>
  <c r="I382" i="11"/>
  <c r="Y382" i="11"/>
  <c r="AH382" i="11"/>
  <c r="AE382" i="11"/>
  <c r="S490" i="11"/>
  <c r="AO276" i="10"/>
  <c r="AN276" i="10"/>
  <c r="E34" i="11"/>
  <c r="F34" i="11" s="1"/>
  <c r="BO67" i="10"/>
  <c r="BM66" i="10"/>
  <c r="BH1348" i="10"/>
  <c r="AO115" i="10"/>
  <c r="AN115" i="10"/>
  <c r="AS400" i="10"/>
  <c r="BM247" i="10"/>
  <c r="BO248" i="10"/>
  <c r="R2264" i="10"/>
  <c r="S2264" i="10" s="1"/>
  <c r="S2265" i="10"/>
  <c r="BM1562" i="10"/>
  <c r="BM1533" i="10" s="1"/>
  <c r="BO1563" i="10"/>
  <c r="E93" i="11"/>
  <c r="F93" i="11" s="1"/>
  <c r="BO208" i="10"/>
  <c r="BM1290" i="10"/>
  <c r="BO1291" i="10"/>
  <c r="BO2284" i="10"/>
  <c r="BM2283" i="10"/>
  <c r="R2299" i="10"/>
  <c r="AJ1532" i="10"/>
  <c r="AU1532" i="10"/>
  <c r="E106" i="11"/>
  <c r="F106" i="11" s="1"/>
  <c r="BO236" i="10"/>
  <c r="AM2298" i="10"/>
  <c r="AJ2299" i="10"/>
  <c r="AU2299" i="10"/>
  <c r="BO2302" i="10"/>
  <c r="BM2301" i="10"/>
  <c r="E221" i="11"/>
  <c r="F221" i="11" s="1"/>
  <c r="BO716" i="10"/>
  <c r="E125" i="11"/>
  <c r="F125" i="11" s="1"/>
  <c r="BO280" i="10"/>
  <c r="AH97" i="11"/>
  <c r="T97" i="11"/>
  <c r="I97" i="11"/>
  <c r="M97" i="11"/>
  <c r="J97" i="11"/>
  <c r="Y97" i="11"/>
  <c r="AE403" i="11"/>
  <c r="Y403" i="11"/>
  <c r="I403" i="11"/>
  <c r="M403" i="11"/>
  <c r="AH403" i="11"/>
  <c r="J403" i="11"/>
  <c r="BM2347" i="10"/>
  <c r="BO2347" i="10" s="1"/>
  <c r="E493" i="11"/>
  <c r="F493" i="11" s="1"/>
  <c r="BO2348" i="10"/>
  <c r="AU2286" i="10"/>
  <c r="AJ2286" i="10"/>
  <c r="AM2285" i="10"/>
  <c r="AA1660" i="10"/>
  <c r="AV1660" i="10"/>
  <c r="AA2030" i="10"/>
  <c r="AV2030" i="10"/>
  <c r="AH422" i="11"/>
  <c r="AE422" i="11"/>
  <c r="Y422" i="11"/>
  <c r="M422" i="11"/>
  <c r="J422" i="11"/>
  <c r="I422" i="11"/>
  <c r="Y293" i="11"/>
  <c r="M293" i="11"/>
  <c r="J293" i="11"/>
  <c r="I293" i="11"/>
  <c r="T293" i="11"/>
  <c r="AH293" i="11"/>
  <c r="BM267" i="10"/>
  <c r="BO268" i="10"/>
  <c r="E249" i="11"/>
  <c r="F249" i="11" s="1"/>
  <c r="BO744" i="10"/>
  <c r="BM743" i="10"/>
  <c r="BO743" i="10" s="1"/>
  <c r="I465" i="11"/>
  <c r="AH465" i="11"/>
  <c r="AE465" i="11"/>
  <c r="M465" i="11"/>
  <c r="J465" i="11"/>
  <c r="Y465" i="11"/>
  <c r="BM2511" i="10"/>
  <c r="BO2512" i="10"/>
  <c r="BM529" i="10"/>
  <c r="BO530" i="10"/>
  <c r="BO437" i="10"/>
  <c r="E451" i="11"/>
  <c r="F451" i="11" s="1"/>
  <c r="BO2179" i="10"/>
  <c r="AN73" i="10"/>
  <c r="AO73" i="10"/>
  <c r="E347" i="11"/>
  <c r="F347" i="11" s="1"/>
  <c r="BM1265" i="10"/>
  <c r="BO1266" i="10"/>
  <c r="AH26" i="11"/>
  <c r="J26" i="11"/>
  <c r="I26" i="11"/>
  <c r="M26" i="11"/>
  <c r="Y26" i="11"/>
  <c r="U499" i="10"/>
  <c r="AA1821" i="10"/>
  <c r="AV1821" i="10"/>
  <c r="E161" i="11"/>
  <c r="F161" i="11" s="1"/>
  <c r="BO636" i="10"/>
  <c r="BM635" i="10"/>
  <c r="BO635" i="10" s="1"/>
  <c r="BO117" i="10"/>
  <c r="BM116" i="10"/>
  <c r="AU2082" i="10"/>
  <c r="AO2510" i="10"/>
  <c r="AN2510" i="10"/>
  <c r="AU1258" i="10"/>
  <c r="AJ1258" i="10"/>
  <c r="BM189" i="10"/>
  <c r="BO190" i="10"/>
  <c r="AJ118" i="10"/>
  <c r="AU118" i="10"/>
  <c r="BM213" i="10"/>
  <c r="BO214" i="10"/>
  <c r="AO250" i="10"/>
  <c r="AN250" i="10"/>
  <c r="BH2043" i="10"/>
  <c r="E47" i="11"/>
  <c r="F47" i="11" s="1"/>
  <c r="BM120" i="10"/>
  <c r="BO121" i="10"/>
  <c r="AV2502" i="10"/>
  <c r="AD2501" i="10"/>
  <c r="AA2502" i="10"/>
  <c r="E406" i="11"/>
  <c r="F406" i="11" s="1"/>
  <c r="BM1973" i="10"/>
  <c r="BM1972" i="10" s="1"/>
  <c r="I285" i="11"/>
  <c r="T285" i="11"/>
  <c r="AH285" i="11"/>
  <c r="M285" i="11"/>
  <c r="J285" i="11"/>
  <c r="Y285" i="11"/>
  <c r="AN397" i="10"/>
  <c r="AO397" i="10"/>
  <c r="AS396" i="10"/>
  <c r="AM2232" i="10"/>
  <c r="R68" i="10"/>
  <c r="S68" i="10" s="1"/>
  <c r="S69" i="10"/>
  <c r="BH665" i="10"/>
  <c r="E111" i="11"/>
  <c r="F111" i="11" s="1"/>
  <c r="BO245" i="10"/>
  <c r="AJ1972" i="10"/>
  <c r="AU1972" i="10"/>
  <c r="AA266" i="10"/>
  <c r="AV266" i="10"/>
  <c r="AH148" i="11"/>
  <c r="J148" i="11"/>
  <c r="F147" i="11"/>
  <c r="I148" i="11"/>
  <c r="Y148" i="11"/>
  <c r="M148" i="11"/>
  <c r="AJ2244" i="10"/>
  <c r="AU2244" i="10"/>
  <c r="AN2261" i="10"/>
  <c r="AO2261" i="10"/>
  <c r="J441" i="11"/>
  <c r="T441" i="11"/>
  <c r="Y441" i="11"/>
  <c r="M441" i="11"/>
  <c r="AH441" i="11"/>
  <c r="I441" i="11"/>
  <c r="AE441" i="11"/>
  <c r="Y507" i="11"/>
  <c r="I507" i="11"/>
  <c r="T507" i="11"/>
  <c r="AE507" i="11"/>
  <c r="M507" i="11"/>
  <c r="J507" i="11"/>
  <c r="AH507" i="11"/>
  <c r="BM2525" i="10"/>
  <c r="BO2526" i="10"/>
  <c r="AH262" i="11"/>
  <c r="I262" i="11"/>
  <c r="M262" i="11"/>
  <c r="J262" i="11"/>
  <c r="T262" i="11"/>
  <c r="Y262" i="11"/>
  <c r="AO665" i="10"/>
  <c r="AN665" i="10"/>
  <c r="AS664" i="10"/>
  <c r="AA2233" i="10"/>
  <c r="AD2232" i="10"/>
  <c r="AV2233" i="10"/>
  <c r="BO524" i="10"/>
  <c r="BM523" i="10"/>
  <c r="AN643" i="10"/>
  <c r="AO643" i="10"/>
  <c r="AN65" i="10"/>
  <c r="AO65" i="10"/>
  <c r="AO1661" i="10"/>
  <c r="AS1660" i="10"/>
  <c r="AN1661" i="10"/>
  <c r="I407" i="11"/>
  <c r="AE407" i="11"/>
  <c r="Y407" i="11"/>
  <c r="AH407" i="11"/>
  <c r="M407" i="11"/>
  <c r="J407" i="11"/>
  <c r="AS266" i="10"/>
  <c r="AO267" i="10"/>
  <c r="AN267" i="10"/>
  <c r="BO622" i="10"/>
  <c r="BM621" i="10"/>
  <c r="BO410" i="10"/>
  <c r="BM409" i="10"/>
  <c r="S401" i="10"/>
  <c r="R400" i="10"/>
  <c r="S400" i="10" s="1"/>
  <c r="AN2047" i="10"/>
  <c r="AO2047" i="10"/>
  <c r="BO2031" i="10"/>
  <c r="BM2030" i="10"/>
  <c r="BO2030" i="10" s="1"/>
  <c r="E455" i="11"/>
  <c r="F455" i="11" s="1"/>
  <c r="BO2200" i="10"/>
  <c r="AE370" i="11"/>
  <c r="M370" i="11"/>
  <c r="J370" i="11"/>
  <c r="I370" i="11"/>
  <c r="Y370" i="11"/>
  <c r="T370" i="11"/>
  <c r="AH370" i="11"/>
  <c r="BO29" i="10"/>
  <c r="BM28" i="10"/>
  <c r="BO28" i="10" s="1"/>
  <c r="S501" i="10"/>
  <c r="R500" i="10"/>
  <c r="E90" i="11"/>
  <c r="F90" i="11" s="1"/>
  <c r="BO192" i="10"/>
  <c r="E421" i="11"/>
  <c r="F421" i="11" s="1"/>
  <c r="BO2084" i="10"/>
  <c r="BM2083" i="10"/>
  <c r="AV436" i="10"/>
  <c r="AA436" i="10"/>
  <c r="E467" i="11"/>
  <c r="F467" i="11" s="1"/>
  <c r="BO2223" i="10"/>
  <c r="Y327" i="11"/>
  <c r="T327" i="11"/>
  <c r="AH327" i="11"/>
  <c r="M327" i="11"/>
  <c r="J327" i="11"/>
  <c r="I327" i="11"/>
  <c r="BM2235" i="10"/>
  <c r="BO2236" i="10"/>
  <c r="E484" i="11"/>
  <c r="F484" i="11" s="1"/>
  <c r="BM2278" i="10"/>
  <c r="BO2279" i="10"/>
  <c r="M198" i="11"/>
  <c r="J198" i="11"/>
  <c r="I198" i="11"/>
  <c r="Y198" i="11"/>
  <c r="AH198" i="11"/>
  <c r="S1822" i="10"/>
  <c r="R1821" i="10"/>
  <c r="S1821" i="10" s="1"/>
  <c r="AU1348" i="10"/>
  <c r="AJ1348" i="10"/>
  <c r="BO2263" i="10"/>
  <c r="BM2262" i="10"/>
  <c r="S1293" i="10"/>
  <c r="R1292" i="10"/>
  <c r="S1292" i="10" s="1"/>
  <c r="E153" i="11"/>
  <c r="F153" i="11" s="1"/>
  <c r="BO608" i="10"/>
  <c r="AH216" i="11"/>
  <c r="Y216" i="11"/>
  <c r="F215" i="11"/>
  <c r="J216" i="11"/>
  <c r="I216" i="11"/>
  <c r="M216" i="11"/>
  <c r="R76" i="10"/>
  <c r="S76" i="10" s="1"/>
  <c r="S77" i="10"/>
  <c r="E351" i="11"/>
  <c r="F351" i="11" s="1"/>
  <c r="BM1286" i="10"/>
  <c r="BO1287" i="10"/>
  <c r="M78" i="11"/>
  <c r="I78" i="11"/>
  <c r="Y78" i="11"/>
  <c r="J78" i="11"/>
  <c r="AH78" i="11"/>
  <c r="AV2050" i="10"/>
  <c r="AA2050" i="10"/>
  <c r="E243" i="11"/>
  <c r="F243" i="11" s="1"/>
  <c r="BO737" i="10"/>
  <c r="BM735" i="10"/>
  <c r="BO735" i="10" s="1"/>
  <c r="AA1532" i="10"/>
  <c r="AV1532" i="10"/>
  <c r="E375" i="11"/>
  <c r="F375" i="11" s="1"/>
  <c r="BO1449" i="10"/>
  <c r="BH228" i="10"/>
  <c r="E31" i="11"/>
  <c r="F31" i="11" s="1"/>
  <c r="BM57" i="10"/>
  <c r="BO57" i="10" s="1"/>
  <c r="BO58" i="10"/>
  <c r="BO371" i="10"/>
  <c r="BM370" i="10"/>
  <c r="BO274" i="10"/>
  <c r="BM273" i="10"/>
  <c r="E299" i="11"/>
  <c r="F299" i="11" s="1"/>
  <c r="BO996" i="10"/>
  <c r="BM995" i="10"/>
  <c r="AN1349" i="10"/>
  <c r="AS1348" i="10"/>
  <c r="AO1349" i="10"/>
  <c r="AU223" i="10"/>
  <c r="AJ223" i="10"/>
  <c r="AN119" i="10"/>
  <c r="AO119" i="10"/>
  <c r="AS118" i="10"/>
  <c r="AO2282" i="10"/>
  <c r="AN2282" i="10"/>
  <c r="E461" i="11"/>
  <c r="F461" i="11" s="1"/>
  <c r="BO2211" i="10"/>
  <c r="BO490" i="10"/>
  <c r="BM489" i="10"/>
  <c r="AN501" i="10"/>
  <c r="AS500" i="10"/>
  <c r="AO501" i="10"/>
  <c r="E357" i="11"/>
  <c r="F357" i="11" s="1"/>
  <c r="BO1306" i="10"/>
  <c r="AA400" i="10"/>
  <c r="AV400" i="10"/>
  <c r="BM1592" i="10"/>
  <c r="BO1592" i="10" s="1"/>
  <c r="E85" i="11"/>
  <c r="F85" i="11" s="1"/>
  <c r="BO181" i="10"/>
  <c r="E37" i="11"/>
  <c r="F37" i="11" s="1"/>
  <c r="BM74" i="10"/>
  <c r="BO75" i="10"/>
  <c r="AN325" i="10"/>
  <c r="AO325" i="10"/>
  <c r="AS279" i="10"/>
  <c r="E87" i="11"/>
  <c r="F87" i="11" s="1"/>
  <c r="BO185" i="10"/>
  <c r="BM221" i="10"/>
  <c r="BO222" i="10"/>
  <c r="S1973" i="10"/>
  <c r="R1972" i="10"/>
  <c r="S1972" i="10" s="1"/>
  <c r="AU1292" i="10"/>
  <c r="AJ1292" i="10"/>
  <c r="BO224" i="10"/>
  <c r="E100" i="11"/>
  <c r="F100" i="11" s="1"/>
  <c r="AO1972" i="10"/>
  <c r="AN1972" i="10"/>
  <c r="AO2082" i="10"/>
  <c r="AN2082" i="10"/>
  <c r="BO677" i="10"/>
  <c r="E187" i="11"/>
  <c r="F187" i="11" s="1"/>
  <c r="BM675" i="10"/>
  <c r="BO675" i="10" s="1"/>
  <c r="BM80" i="10"/>
  <c r="BO81" i="10"/>
  <c r="AN28" i="10"/>
  <c r="AO28" i="10"/>
  <c r="AA118" i="10"/>
  <c r="AV118" i="10"/>
  <c r="AJ3" i="10"/>
  <c r="AU3" i="10"/>
  <c r="AM2" i="10"/>
  <c r="E394" i="11"/>
  <c r="F394" i="11" s="1"/>
  <c r="BO1765" i="10"/>
  <c r="AH191" i="11"/>
  <c r="Y191" i="11"/>
  <c r="J191" i="11"/>
  <c r="M191" i="11"/>
  <c r="F190" i="11"/>
  <c r="I191" i="11"/>
  <c r="AN228" i="10"/>
  <c r="AO228" i="10"/>
  <c r="E551" i="11"/>
  <c r="F551" i="11" s="1"/>
  <c r="BM2503" i="10"/>
  <c r="BO2504" i="10"/>
  <c r="E466" i="11"/>
  <c r="F466" i="11" s="1"/>
  <c r="BO2221" i="10"/>
  <c r="AD2" i="10"/>
  <c r="AV3" i="10"/>
  <c r="AA3" i="10"/>
  <c r="BH2435" i="10"/>
  <c r="BH2386" i="10" s="1"/>
  <c r="AS2244" i="10"/>
  <c r="R2523" i="10"/>
  <c r="S2523" i="10" s="1"/>
  <c r="S2524" i="10"/>
  <c r="E180" i="11"/>
  <c r="F180" i="11" s="1"/>
  <c r="BO667" i="10"/>
  <c r="BM666" i="10"/>
  <c r="AH24" i="11"/>
  <c r="M24" i="11"/>
  <c r="J24" i="11"/>
  <c r="Y24" i="11"/>
  <c r="F23" i="11"/>
  <c r="T24" i="11"/>
  <c r="I24" i="11"/>
  <c r="BO251" i="10"/>
  <c r="E453" i="11"/>
  <c r="F453" i="11" s="1"/>
  <c r="BO2196" i="10"/>
  <c r="E458" i="11"/>
  <c r="F458" i="11" s="1"/>
  <c r="BM2204" i="10"/>
  <c r="BO2204" i="10" s="1"/>
  <c r="BO2205" i="10"/>
  <c r="R664" i="10"/>
  <c r="S664" i="10" s="1"/>
  <c r="S665" i="10"/>
  <c r="S228" i="10"/>
  <c r="R223" i="10"/>
  <c r="S223" i="10" s="1"/>
  <c r="AA1972" i="10"/>
  <c r="AV1972" i="10"/>
  <c r="R2277" i="10"/>
  <c r="S2277" i="10" s="1"/>
  <c r="AV279" i="10"/>
  <c r="AA279" i="10"/>
  <c r="E419" i="11"/>
  <c r="F419" i="11" s="1"/>
  <c r="BM2051" i="10"/>
  <c r="BO2052" i="10"/>
  <c r="J520" i="11"/>
  <c r="Y520" i="11"/>
  <c r="T520" i="11"/>
  <c r="M520" i="11"/>
  <c r="I520" i="11"/>
  <c r="AH520" i="11"/>
  <c r="AE520" i="11"/>
  <c r="AU2160" i="10"/>
  <c r="AJ2160" i="10"/>
  <c r="E554" i="11"/>
  <c r="F554" i="11" s="1"/>
  <c r="BM2520" i="10"/>
  <c r="BO2520" i="10" s="1"/>
  <c r="BO2521" i="10"/>
  <c r="BM390" i="10"/>
  <c r="BO391" i="10"/>
  <c r="Y414" i="11"/>
  <c r="AE414" i="11"/>
  <c r="AH414" i="11"/>
  <c r="J414" i="11"/>
  <c r="I414" i="11"/>
  <c r="T414" i="11"/>
  <c r="M414" i="11"/>
  <c r="BO2199" i="10"/>
  <c r="BM2198" i="10"/>
  <c r="BM2178" i="10" s="1"/>
  <c r="BO2178" i="10" s="1"/>
  <c r="F324" i="11"/>
  <c r="Y400" i="11" l="1"/>
  <c r="AE400" i="11"/>
  <c r="I400" i="11"/>
  <c r="M400" i="11"/>
  <c r="AH400" i="11"/>
  <c r="J400" i="11"/>
  <c r="J88" i="11"/>
  <c r="I88" i="11"/>
  <c r="Y88" i="11"/>
  <c r="AH88" i="11"/>
  <c r="M88" i="11"/>
  <c r="M547" i="11"/>
  <c r="J547" i="11"/>
  <c r="Y547" i="11"/>
  <c r="I547" i="11"/>
  <c r="AE547" i="11"/>
  <c r="AH547" i="11"/>
  <c r="L2534" i="10"/>
  <c r="J105" i="11"/>
  <c r="I105" i="11"/>
  <c r="M105" i="11"/>
  <c r="Y105" i="11"/>
  <c r="AH105" i="11"/>
  <c r="T105" i="11"/>
  <c r="M472" i="11"/>
  <c r="AH472" i="11"/>
  <c r="Y472" i="11"/>
  <c r="J472" i="11"/>
  <c r="I472" i="11"/>
  <c r="AE472" i="11"/>
  <c r="T472" i="11"/>
  <c r="BO109" i="10"/>
  <c r="E41" i="11"/>
  <c r="F41" i="11" s="1"/>
  <c r="AH110" i="11"/>
  <c r="Y110" i="11"/>
  <c r="I110" i="11"/>
  <c r="J110" i="11"/>
  <c r="M110" i="11"/>
  <c r="AO76" i="10"/>
  <c r="AN76" i="10"/>
  <c r="M143" i="11"/>
  <c r="Y143" i="11"/>
  <c r="I143" i="11"/>
  <c r="T143" i="11"/>
  <c r="AH143" i="11"/>
  <c r="J143" i="11"/>
  <c r="M553" i="11"/>
  <c r="AH553" i="11"/>
  <c r="AE553" i="11"/>
  <c r="Y553" i="11"/>
  <c r="T553" i="11"/>
  <c r="J553" i="11"/>
  <c r="I553" i="11"/>
  <c r="E398" i="11"/>
  <c r="F398" i="11" s="1"/>
  <c r="BO1823" i="10"/>
  <c r="Y456" i="11"/>
  <c r="AE456" i="11"/>
  <c r="I456" i="11"/>
  <c r="J456" i="11"/>
  <c r="AH456" i="11"/>
  <c r="M456" i="11"/>
  <c r="BH2232" i="10"/>
  <c r="BH118" i="10"/>
  <c r="E130" i="11"/>
  <c r="F130" i="11" s="1"/>
  <c r="BO393" i="10"/>
  <c r="Y557" i="11"/>
  <c r="AH557" i="11"/>
  <c r="AE557" i="11"/>
  <c r="I557" i="11"/>
  <c r="M557" i="11"/>
  <c r="J557" i="11"/>
  <c r="I360" i="11"/>
  <c r="M360" i="11"/>
  <c r="Y360" i="11"/>
  <c r="J360" i="11"/>
  <c r="AH360" i="11"/>
  <c r="AO223" i="10"/>
  <c r="AN223" i="10"/>
  <c r="J354" i="11"/>
  <c r="T354" i="11"/>
  <c r="Y354" i="11"/>
  <c r="AH354" i="11"/>
  <c r="I354" i="11"/>
  <c r="M354" i="11"/>
  <c r="Y404" i="11"/>
  <c r="AE404" i="11"/>
  <c r="AH404" i="11"/>
  <c r="T404" i="11"/>
  <c r="I404" i="11"/>
  <c r="J404" i="11"/>
  <c r="M404" i="11"/>
  <c r="E391" i="11"/>
  <c r="F391" i="11" s="1"/>
  <c r="BO1716" i="10"/>
  <c r="Y287" i="11"/>
  <c r="J287" i="11"/>
  <c r="I361" i="11"/>
  <c r="J361" i="11"/>
  <c r="Y361" i="11"/>
  <c r="AH361" i="11"/>
  <c r="M361" i="11"/>
  <c r="BH223" i="10"/>
  <c r="BA2534" i="10"/>
  <c r="BM205" i="10"/>
  <c r="AH287" i="11"/>
  <c r="M287" i="11"/>
  <c r="I287" i="11"/>
  <c r="T287" i="11"/>
  <c r="W2534" i="10"/>
  <c r="U2534" i="10"/>
  <c r="P2534" i="10"/>
  <c r="AY2534" i="10"/>
  <c r="R2501" i="10"/>
  <c r="S2501" i="10" s="1"/>
  <c r="BM250" i="10"/>
  <c r="BO250" i="10" s="1"/>
  <c r="Y462" i="11"/>
  <c r="I462" i="11"/>
  <c r="M462" i="11"/>
  <c r="AE462" i="11"/>
  <c r="AH462" i="11"/>
  <c r="J462" i="11"/>
  <c r="M481" i="11"/>
  <c r="AH481" i="11"/>
  <c r="AE481" i="11"/>
  <c r="I481" i="11"/>
  <c r="Y481" i="11"/>
  <c r="J481" i="11"/>
  <c r="BH664" i="10"/>
  <c r="BH499" i="10" s="1"/>
  <c r="F284" i="11"/>
  <c r="M284" i="11" s="1"/>
  <c r="AO2285" i="10"/>
  <c r="AN2285" i="10"/>
  <c r="T100" i="11"/>
  <c r="AH100" i="11"/>
  <c r="M100" i="11"/>
  <c r="I100" i="11"/>
  <c r="J100" i="11"/>
  <c r="Y100" i="11"/>
  <c r="J243" i="11"/>
  <c r="I243" i="11"/>
  <c r="AH243" i="11"/>
  <c r="Y243" i="11"/>
  <c r="M243" i="11"/>
  <c r="F241" i="11"/>
  <c r="M276" i="11"/>
  <c r="J276" i="11"/>
  <c r="I276" i="11"/>
  <c r="T276" i="11"/>
  <c r="Y276" i="11"/>
  <c r="AH276" i="11"/>
  <c r="BO77" i="10"/>
  <c r="AH31" i="11"/>
  <c r="I31" i="11"/>
  <c r="J31" i="11"/>
  <c r="M31" i="11"/>
  <c r="Y31" i="11"/>
  <c r="I106" i="11"/>
  <c r="J106" i="11"/>
  <c r="AH106" i="11"/>
  <c r="M106" i="11"/>
  <c r="Y106" i="11"/>
  <c r="AH329" i="11"/>
  <c r="I329" i="11"/>
  <c r="Y329" i="11"/>
  <c r="M329" i="11"/>
  <c r="J329" i="11"/>
  <c r="E377" i="11"/>
  <c r="F377" i="11" s="1"/>
  <c r="BO1503" i="10"/>
  <c r="M398" i="11"/>
  <c r="AH398" i="11"/>
  <c r="J398" i="11"/>
  <c r="I398" i="11"/>
  <c r="Y398" i="11"/>
  <c r="T398" i="11"/>
  <c r="AE398" i="11"/>
  <c r="BO2051" i="10"/>
  <c r="BM2050" i="10"/>
  <c r="BO2050" i="10" s="1"/>
  <c r="E417" i="11"/>
  <c r="F417" i="11" s="1"/>
  <c r="BM2044" i="10"/>
  <c r="BO2045" i="10"/>
  <c r="E389" i="11"/>
  <c r="F389" i="11" s="1"/>
  <c r="BO1662" i="10"/>
  <c r="BM1661" i="10"/>
  <c r="AO2277" i="10"/>
  <c r="AN2277" i="10"/>
  <c r="BM4" i="10"/>
  <c r="BO5" i="10"/>
  <c r="Y408" i="11"/>
  <c r="M408" i="11"/>
  <c r="T408" i="11"/>
  <c r="AE408" i="11"/>
  <c r="I408" i="11"/>
  <c r="AH408" i="11"/>
  <c r="J408" i="11"/>
  <c r="AH159" i="11"/>
  <c r="T159" i="11"/>
  <c r="Y159" i="11"/>
  <c r="I159" i="11"/>
  <c r="M159" i="11"/>
  <c r="J159" i="11"/>
  <c r="AE554" i="11"/>
  <c r="Y554" i="11"/>
  <c r="AH554" i="11"/>
  <c r="I554" i="11"/>
  <c r="M554" i="11"/>
  <c r="J554" i="11"/>
  <c r="M37" i="11"/>
  <c r="J37" i="11"/>
  <c r="I37" i="11"/>
  <c r="Y37" i="11"/>
  <c r="AH37" i="11"/>
  <c r="F35" i="11"/>
  <c r="Y259" i="11"/>
  <c r="I259" i="11"/>
  <c r="T259" i="11"/>
  <c r="M259" i="11"/>
  <c r="J259" i="11"/>
  <c r="AH259" i="11"/>
  <c r="BM643" i="10"/>
  <c r="BO643" i="10" s="1"/>
  <c r="BO644" i="10"/>
  <c r="AA2298" i="10"/>
  <c r="AV2298" i="10"/>
  <c r="T376" i="11"/>
  <c r="I376" i="11"/>
  <c r="AH376" i="11"/>
  <c r="M376" i="11"/>
  <c r="Y376" i="11"/>
  <c r="AE376" i="11"/>
  <c r="J376" i="11"/>
  <c r="Y107" i="11"/>
  <c r="M107" i="11"/>
  <c r="J107" i="11"/>
  <c r="AH107" i="11"/>
  <c r="T107" i="11"/>
  <c r="I107" i="11"/>
  <c r="J505" i="11"/>
  <c r="AE505" i="11"/>
  <c r="I505" i="11"/>
  <c r="T505" i="11"/>
  <c r="Y505" i="11"/>
  <c r="M505" i="11"/>
  <c r="AH505" i="11"/>
  <c r="AV2285" i="10"/>
  <c r="AA2285" i="10"/>
  <c r="AA2501" i="10"/>
  <c r="AV2501" i="10"/>
  <c r="E485" i="11"/>
  <c r="F485" i="11" s="1"/>
  <c r="F483" i="11" s="1"/>
  <c r="BM2282" i="10"/>
  <c r="BO2282" i="10" s="1"/>
  <c r="BO2283" i="10"/>
  <c r="M488" i="11"/>
  <c r="J488" i="11"/>
  <c r="I488" i="11"/>
  <c r="AH488" i="11"/>
  <c r="AE488" i="11"/>
  <c r="Y488" i="11"/>
  <c r="AN2090" i="10"/>
  <c r="AO2090" i="10"/>
  <c r="E418" i="11"/>
  <c r="F418" i="11" s="1"/>
  <c r="BO2048" i="10"/>
  <c r="BM2047" i="10"/>
  <c r="BO2047" i="10" s="1"/>
  <c r="AS499" i="10"/>
  <c r="AO500" i="10"/>
  <c r="AN500" i="10"/>
  <c r="AU2285" i="10"/>
  <c r="AJ2285" i="10"/>
  <c r="BO277" i="10"/>
  <c r="BM276" i="10"/>
  <c r="BM266" i="10" s="1"/>
  <c r="BO266" i="10" s="1"/>
  <c r="AO2502" i="10"/>
  <c r="AS2501" i="10"/>
  <c r="AN2502" i="10"/>
  <c r="BM54" i="10"/>
  <c r="BO54" i="10" s="1"/>
  <c r="E156" i="11"/>
  <c r="F156" i="11" s="1"/>
  <c r="BO621" i="10"/>
  <c r="AH108" i="11"/>
  <c r="M108" i="11"/>
  <c r="I108" i="11"/>
  <c r="J108" i="11"/>
  <c r="Y108" i="11"/>
  <c r="T494" i="11"/>
  <c r="M494" i="11"/>
  <c r="Y494" i="11"/>
  <c r="AE494" i="11"/>
  <c r="I494" i="11"/>
  <c r="J494" i="11"/>
  <c r="AH494" i="11"/>
  <c r="M474" i="11"/>
  <c r="J474" i="11"/>
  <c r="I474" i="11"/>
  <c r="AH474" i="11"/>
  <c r="AE474" i="11"/>
  <c r="Y474" i="11"/>
  <c r="E91" i="11"/>
  <c r="BO205" i="10"/>
  <c r="BM665" i="10"/>
  <c r="BO666" i="10"/>
  <c r="AO3" i="10"/>
  <c r="AN3" i="10"/>
  <c r="AS2" i="10"/>
  <c r="J180" i="11"/>
  <c r="F179" i="11"/>
  <c r="AH180" i="11"/>
  <c r="M180" i="11"/>
  <c r="I180" i="11"/>
  <c r="Y180" i="11"/>
  <c r="BO489" i="10"/>
  <c r="BM488" i="10"/>
  <c r="E399" i="11"/>
  <c r="F399" i="11" s="1"/>
  <c r="BO1851" i="10"/>
  <c r="I15" i="11"/>
  <c r="F14" i="11"/>
  <c r="Y15" i="11"/>
  <c r="AH15" i="11"/>
  <c r="J15" i="11"/>
  <c r="M15" i="11"/>
  <c r="J425" i="11"/>
  <c r="AH425" i="11"/>
  <c r="M425" i="11"/>
  <c r="I425" i="11"/>
  <c r="T425" i="11"/>
  <c r="F424" i="11"/>
  <c r="AE425" i="11"/>
  <c r="Y425" i="11"/>
  <c r="J114" i="11"/>
  <c r="I114" i="11"/>
  <c r="M114" i="11"/>
  <c r="Y114" i="11"/>
  <c r="AH114" i="11"/>
  <c r="J324" i="11"/>
  <c r="I324" i="11"/>
  <c r="T324" i="11"/>
  <c r="M324" i="11"/>
  <c r="Y324" i="11"/>
  <c r="AH324" i="11"/>
  <c r="F308" i="11"/>
  <c r="E98" i="11"/>
  <c r="F98" i="11" s="1"/>
  <c r="BO221" i="10"/>
  <c r="BM1292" i="10"/>
  <c r="BO1292" i="10" s="1"/>
  <c r="BO116" i="10"/>
  <c r="BM115" i="10"/>
  <c r="E154" i="11"/>
  <c r="F154" i="11" s="1"/>
  <c r="BO611" i="10"/>
  <c r="AG549" i="11"/>
  <c r="E102" i="11"/>
  <c r="F102" i="11" s="1"/>
  <c r="BO229" i="10"/>
  <c r="BM228" i="10"/>
  <c r="AH13" i="11"/>
  <c r="Y13" i="11"/>
  <c r="M13" i="11"/>
  <c r="J13" i="11"/>
  <c r="I13" i="11"/>
  <c r="T13" i="11"/>
  <c r="I187" i="11"/>
  <c r="F186" i="11"/>
  <c r="J187" i="11"/>
  <c r="M187" i="11"/>
  <c r="AH187" i="11"/>
  <c r="Y187" i="11"/>
  <c r="M87" i="11"/>
  <c r="I87" i="11"/>
  <c r="Y87" i="11"/>
  <c r="J87" i="11"/>
  <c r="AH87" i="11"/>
  <c r="E128" i="11"/>
  <c r="F128" i="11" s="1"/>
  <c r="BO370" i="10"/>
  <c r="E95" i="11"/>
  <c r="F95" i="11" s="1"/>
  <c r="BO213" i="10"/>
  <c r="BO1265" i="10"/>
  <c r="E552" i="11"/>
  <c r="F552" i="11" s="1"/>
  <c r="F550" i="11" s="1"/>
  <c r="BO2511" i="10"/>
  <c r="BM2510" i="10"/>
  <c r="BO2510" i="10" s="1"/>
  <c r="Y20" i="11"/>
  <c r="M20" i="11"/>
  <c r="J20" i="11"/>
  <c r="I20" i="11"/>
  <c r="AH20" i="11"/>
  <c r="E480" i="11"/>
  <c r="F480" i="11" s="1"/>
  <c r="BM2265" i="10"/>
  <c r="BO2266" i="10"/>
  <c r="E517" i="11"/>
  <c r="F517" i="11" s="1"/>
  <c r="BO2388" i="10"/>
  <c r="BM2387" i="10"/>
  <c r="AO2530" i="10"/>
  <c r="AN2530" i="10"/>
  <c r="E126" i="11"/>
  <c r="F126" i="11" s="1"/>
  <c r="BO325" i="10"/>
  <c r="BM279" i="10"/>
  <c r="BO279" i="10" s="1"/>
  <c r="E152" i="11"/>
  <c r="F152" i="11" s="1"/>
  <c r="BO540" i="10"/>
  <c r="I348" i="11"/>
  <c r="AH348" i="11"/>
  <c r="M348" i="11"/>
  <c r="J348" i="11"/>
  <c r="T348" i="11"/>
  <c r="Y348" i="11"/>
  <c r="Y306" i="11"/>
  <c r="M306" i="11"/>
  <c r="J306" i="11"/>
  <c r="I306" i="11"/>
  <c r="AH306" i="11"/>
  <c r="AO2050" i="10"/>
  <c r="AN2050" i="10"/>
  <c r="BH2298" i="10"/>
  <c r="M459" i="11"/>
  <c r="J459" i="11"/>
  <c r="I459" i="11"/>
  <c r="Y459" i="11"/>
  <c r="AH459" i="11"/>
  <c r="AE459" i="11"/>
  <c r="AH463" i="11"/>
  <c r="M463" i="11"/>
  <c r="AE463" i="11"/>
  <c r="I463" i="11"/>
  <c r="Y463" i="11"/>
  <c r="J463" i="11"/>
  <c r="BO2245" i="10"/>
  <c r="J393" i="11"/>
  <c r="T393" i="11"/>
  <c r="M393" i="11"/>
  <c r="I393" i="11"/>
  <c r="Y393" i="11"/>
  <c r="F392" i="11"/>
  <c r="AE393" i="11"/>
  <c r="AH393" i="11"/>
  <c r="AN664" i="10"/>
  <c r="AO664" i="10"/>
  <c r="E89" i="11"/>
  <c r="F89" i="11" s="1"/>
  <c r="BO189" i="10"/>
  <c r="E133" i="11"/>
  <c r="F133" i="11" s="1"/>
  <c r="BO401" i="10"/>
  <c r="BM73" i="10"/>
  <c r="BO74" i="10"/>
  <c r="E478" i="11"/>
  <c r="F478" i="11" s="1"/>
  <c r="F473" i="11" s="1"/>
  <c r="BO2262" i="10"/>
  <c r="BM2261" i="10"/>
  <c r="F489" i="11"/>
  <c r="AH487" i="11"/>
  <c r="AE487" i="11"/>
  <c r="J487" i="11"/>
  <c r="I487" i="11"/>
  <c r="M487" i="11"/>
  <c r="Y487" i="11"/>
  <c r="Y158" i="11"/>
  <c r="AH158" i="11"/>
  <c r="M158" i="11"/>
  <c r="J158" i="11"/>
  <c r="I158" i="11"/>
  <c r="M458" i="11"/>
  <c r="J458" i="11"/>
  <c r="I458" i="11"/>
  <c r="AE458" i="11"/>
  <c r="F457" i="11"/>
  <c r="Y458" i="11"/>
  <c r="AH458" i="11"/>
  <c r="BO120" i="10"/>
  <c r="BM119" i="10"/>
  <c r="T451" i="11"/>
  <c r="Y451" i="11"/>
  <c r="M451" i="11"/>
  <c r="J451" i="11"/>
  <c r="I451" i="11"/>
  <c r="AH451" i="11"/>
  <c r="AE451" i="11"/>
  <c r="E62" i="11"/>
  <c r="F62" i="11" s="1"/>
  <c r="BO145" i="10"/>
  <c r="AU2501" i="10"/>
  <c r="AJ2501" i="10"/>
  <c r="AH523" i="11"/>
  <c r="Y523" i="11"/>
  <c r="AE523" i="11"/>
  <c r="M523" i="11"/>
  <c r="F522" i="11"/>
  <c r="J523" i="11"/>
  <c r="I523" i="11"/>
  <c r="AV499" i="10"/>
  <c r="AA499" i="10"/>
  <c r="AH7" i="11"/>
  <c r="Y7" i="11"/>
  <c r="J7" i="11"/>
  <c r="I7" i="11"/>
  <c r="M7" i="11"/>
  <c r="F6" i="11"/>
  <c r="AE390" i="11"/>
  <c r="Y390" i="11"/>
  <c r="I390" i="11"/>
  <c r="M390" i="11"/>
  <c r="J390" i="11"/>
  <c r="AH390" i="11"/>
  <c r="T92" i="11"/>
  <c r="I92" i="11"/>
  <c r="J92" i="11"/>
  <c r="M92" i="11"/>
  <c r="Y92" i="11"/>
  <c r="AH92" i="11"/>
  <c r="AH394" i="11"/>
  <c r="I394" i="11"/>
  <c r="J394" i="11"/>
  <c r="AE394" i="11"/>
  <c r="Y394" i="11"/>
  <c r="M394" i="11"/>
  <c r="J299" i="11"/>
  <c r="I299" i="11"/>
  <c r="F298" i="11"/>
  <c r="Y299" i="11"/>
  <c r="M299" i="11"/>
  <c r="AH299" i="11"/>
  <c r="I47" i="11"/>
  <c r="F46" i="11"/>
  <c r="M47" i="11"/>
  <c r="AH47" i="11"/>
  <c r="J47" i="11"/>
  <c r="T47" i="11"/>
  <c r="Y47" i="11"/>
  <c r="S2299" i="10"/>
  <c r="R2298" i="10"/>
  <c r="S2298" i="10" s="1"/>
  <c r="BO66" i="10"/>
  <c r="BM65" i="10"/>
  <c r="BO65" i="10" s="1"/>
  <c r="M402" i="11"/>
  <c r="J402" i="11"/>
  <c r="AE402" i="11"/>
  <c r="T402" i="11"/>
  <c r="F401" i="11"/>
  <c r="AH402" i="11"/>
  <c r="I402" i="11"/>
  <c r="Y402" i="11"/>
  <c r="BM112" i="10"/>
  <c r="BO113" i="10"/>
  <c r="J475" i="11"/>
  <c r="I475" i="11"/>
  <c r="M475" i="11"/>
  <c r="AE475" i="11"/>
  <c r="Y475" i="11"/>
  <c r="AH475" i="11"/>
  <c r="BO2092" i="10"/>
  <c r="BM2091" i="10"/>
  <c r="AL34" i="11"/>
  <c r="AK4" i="11"/>
  <c r="AK136" i="11" s="1"/>
  <c r="AK549" i="11" s="1"/>
  <c r="AK560" i="11" s="1"/>
  <c r="AM2534" i="10"/>
  <c r="AF2" i="10"/>
  <c r="AJ2" i="10"/>
  <c r="AU2" i="10"/>
  <c r="AN1348" i="10"/>
  <c r="AO1348" i="10"/>
  <c r="BM1448" i="10"/>
  <c r="BO1448" i="10" s="1"/>
  <c r="I484" i="11"/>
  <c r="M484" i="11"/>
  <c r="T484" i="11"/>
  <c r="Y484" i="11"/>
  <c r="J484" i="11"/>
  <c r="AH484" i="11"/>
  <c r="AE484" i="11"/>
  <c r="AH493" i="11"/>
  <c r="AE493" i="11"/>
  <c r="M493" i="11"/>
  <c r="Y493" i="11"/>
  <c r="J493" i="11"/>
  <c r="I493" i="11"/>
  <c r="F492" i="11"/>
  <c r="M93" i="11"/>
  <c r="AH93" i="11"/>
  <c r="J93" i="11"/>
  <c r="I93" i="11"/>
  <c r="T93" i="11"/>
  <c r="Y93" i="11"/>
  <c r="AS2298" i="10"/>
  <c r="AN2299" i="10"/>
  <c r="AO2299" i="10"/>
  <c r="M367" i="11"/>
  <c r="J367" i="11"/>
  <c r="AE367" i="11"/>
  <c r="Y367" i="11"/>
  <c r="T367" i="11"/>
  <c r="AH367" i="11"/>
  <c r="I367" i="11"/>
  <c r="F366" i="11"/>
  <c r="E558" i="11"/>
  <c r="F558" i="11" s="1"/>
  <c r="BO2532" i="10"/>
  <c r="BM2531" i="10"/>
  <c r="Y537" i="11"/>
  <c r="AH537" i="11"/>
  <c r="AE537" i="11"/>
  <c r="I537" i="11"/>
  <c r="F536" i="11"/>
  <c r="M537" i="11"/>
  <c r="J537" i="11"/>
  <c r="E122" i="11"/>
  <c r="F122" i="11" s="1"/>
  <c r="BO273" i="10"/>
  <c r="AO266" i="10"/>
  <c r="AN266" i="10"/>
  <c r="M111" i="11"/>
  <c r="J111" i="11"/>
  <c r="AH111" i="11"/>
  <c r="Y111" i="11"/>
  <c r="I111" i="11"/>
  <c r="M34" i="11"/>
  <c r="J34" i="11"/>
  <c r="Y34" i="11"/>
  <c r="I34" i="11"/>
  <c r="AH34" i="11"/>
  <c r="BO2176" i="10"/>
  <c r="E449" i="11"/>
  <c r="F449" i="11" s="1"/>
  <c r="BM2175" i="10"/>
  <c r="M257" i="11"/>
  <c r="J257" i="11"/>
  <c r="Y257" i="11"/>
  <c r="AH257" i="11"/>
  <c r="I257" i="11"/>
  <c r="F254" i="11"/>
  <c r="M525" i="11"/>
  <c r="T525" i="11"/>
  <c r="J525" i="11"/>
  <c r="I525" i="11"/>
  <c r="Y525" i="11"/>
  <c r="AE525" i="11"/>
  <c r="AH525" i="11"/>
  <c r="BM1532" i="10"/>
  <c r="BO1532" i="10" s="1"/>
  <c r="BO1533" i="10"/>
  <c r="T169" i="11"/>
  <c r="Y169" i="11"/>
  <c r="F168" i="11"/>
  <c r="J169" i="11"/>
  <c r="I169" i="11"/>
  <c r="AH169" i="11"/>
  <c r="M169" i="11"/>
  <c r="AO2233" i="10"/>
  <c r="AN2233" i="10"/>
  <c r="AS2232" i="10"/>
  <c r="AH375" i="11"/>
  <c r="AE375" i="11"/>
  <c r="Y375" i="11"/>
  <c r="T375" i="11"/>
  <c r="J375" i="11"/>
  <c r="I375" i="11"/>
  <c r="M375" i="11"/>
  <c r="I284" i="11"/>
  <c r="AN1258" i="10"/>
  <c r="AO1258" i="10"/>
  <c r="M210" i="11"/>
  <c r="J210" i="11"/>
  <c r="Y210" i="11"/>
  <c r="F209" i="11"/>
  <c r="AH210" i="11"/>
  <c r="I210" i="11"/>
  <c r="E349" i="11"/>
  <c r="F349" i="11" s="1"/>
  <c r="BO1280" i="10"/>
  <c r="BM1279" i="10"/>
  <c r="BO1279" i="10" s="1"/>
  <c r="AJ499" i="10"/>
  <c r="AU499" i="10"/>
  <c r="BM1272" i="10"/>
  <c r="BO1272" i="10" s="1"/>
  <c r="BO1273" i="10"/>
  <c r="AH461" i="11"/>
  <c r="I461" i="11"/>
  <c r="AE461" i="11"/>
  <c r="J461" i="11"/>
  <c r="M461" i="11"/>
  <c r="Y461" i="11"/>
  <c r="E141" i="11"/>
  <c r="F141" i="11" s="1"/>
  <c r="BO523" i="10"/>
  <c r="BM501" i="10"/>
  <c r="E121" i="11"/>
  <c r="F121" i="11" s="1"/>
  <c r="BO267" i="10"/>
  <c r="E86" i="11"/>
  <c r="F86" i="11" s="1"/>
  <c r="BO183" i="10"/>
  <c r="Y23" i="11"/>
  <c r="M23" i="11"/>
  <c r="J23" i="11"/>
  <c r="T23" i="11"/>
  <c r="I23" i="11"/>
  <c r="AH23" i="11"/>
  <c r="Y190" i="11"/>
  <c r="M190" i="11"/>
  <c r="J190" i="11"/>
  <c r="I190" i="11"/>
  <c r="AH190" i="11"/>
  <c r="AN279" i="10"/>
  <c r="AO279" i="10"/>
  <c r="I153" i="11"/>
  <c r="AH153" i="11"/>
  <c r="Y153" i="11"/>
  <c r="T153" i="11"/>
  <c r="M153" i="11"/>
  <c r="J153" i="11"/>
  <c r="AH90" i="11"/>
  <c r="I90" i="11"/>
  <c r="Y90" i="11"/>
  <c r="T90" i="11"/>
  <c r="M90" i="11"/>
  <c r="J90" i="11"/>
  <c r="Y147" i="11"/>
  <c r="T147" i="11"/>
  <c r="M147" i="11"/>
  <c r="J147" i="11"/>
  <c r="I147" i="11"/>
  <c r="AH147" i="11"/>
  <c r="AJ2232" i="10"/>
  <c r="AU2232" i="10"/>
  <c r="AE406" i="11"/>
  <c r="Y406" i="11"/>
  <c r="AH406" i="11"/>
  <c r="I406" i="11"/>
  <c r="F405" i="11"/>
  <c r="J406" i="11"/>
  <c r="T406" i="11"/>
  <c r="M406" i="11"/>
  <c r="M347" i="11"/>
  <c r="AH347" i="11"/>
  <c r="Y347" i="11"/>
  <c r="I347" i="11"/>
  <c r="T347" i="11"/>
  <c r="J347" i="11"/>
  <c r="Q548" i="11"/>
  <c r="BM415" i="10"/>
  <c r="BM400" i="10" s="1"/>
  <c r="BO400" i="10" s="1"/>
  <c r="BO416" i="10"/>
  <c r="Y130" i="11"/>
  <c r="I130" i="11"/>
  <c r="AH130" i="11"/>
  <c r="M130" i="11"/>
  <c r="J130" i="11"/>
  <c r="E127" i="11"/>
  <c r="F127" i="11" s="1"/>
  <c r="BO366" i="10"/>
  <c r="AN2523" i="10"/>
  <c r="AO2523" i="10"/>
  <c r="I96" i="11"/>
  <c r="AH96" i="11"/>
  <c r="J96" i="11"/>
  <c r="M96" i="11"/>
  <c r="Y96" i="11"/>
  <c r="BO2293" i="10"/>
  <c r="BM2292" i="10"/>
  <c r="BO2292" i="10" s="1"/>
  <c r="Y385" i="11"/>
  <c r="I385" i="11"/>
  <c r="J385" i="11"/>
  <c r="M385" i="11"/>
  <c r="AH385" i="11"/>
  <c r="AE385" i="11"/>
  <c r="AD2534" i="10"/>
  <c r="AA2" i="10"/>
  <c r="AV2" i="10"/>
  <c r="T351" i="11"/>
  <c r="Y351" i="11"/>
  <c r="J351" i="11"/>
  <c r="I351" i="11"/>
  <c r="AH351" i="11"/>
  <c r="M351" i="11"/>
  <c r="E134" i="11"/>
  <c r="F134" i="11" s="1"/>
  <c r="BO409" i="10"/>
  <c r="E491" i="11"/>
  <c r="F491" i="11" s="1"/>
  <c r="BO2301" i="10"/>
  <c r="BM2300" i="10"/>
  <c r="AN400" i="10"/>
  <c r="AO400" i="10"/>
  <c r="BO398" i="10"/>
  <c r="BM397" i="10"/>
  <c r="AH386" i="11"/>
  <c r="I386" i="11"/>
  <c r="J386" i="11"/>
  <c r="M386" i="11"/>
  <c r="AE386" i="11"/>
  <c r="T386" i="11"/>
  <c r="Y386" i="11"/>
  <c r="BO2287" i="10"/>
  <c r="BM2286" i="10"/>
  <c r="M466" i="11"/>
  <c r="AH466" i="11"/>
  <c r="AE466" i="11"/>
  <c r="Y466" i="11"/>
  <c r="I466" i="11"/>
  <c r="J466" i="11"/>
  <c r="AO1660" i="10"/>
  <c r="AN1660" i="10"/>
  <c r="E119" i="11"/>
  <c r="F119" i="11" s="1"/>
  <c r="BO257" i="10"/>
  <c r="AE419" i="11"/>
  <c r="AH419" i="11"/>
  <c r="I419" i="11"/>
  <c r="T419" i="11"/>
  <c r="M419" i="11"/>
  <c r="J419" i="11"/>
  <c r="Y419" i="11"/>
  <c r="AE467" i="11"/>
  <c r="Y467" i="11"/>
  <c r="I467" i="11"/>
  <c r="AH467" i="11"/>
  <c r="M467" i="11"/>
  <c r="J467" i="11"/>
  <c r="E352" i="11"/>
  <c r="F352" i="11" s="1"/>
  <c r="BM1289" i="10"/>
  <c r="BO1289" i="10" s="1"/>
  <c r="BO1290" i="10"/>
  <c r="E103" i="11"/>
  <c r="F103" i="11" s="1"/>
  <c r="BO231" i="10"/>
  <c r="AO2160" i="10"/>
  <c r="AN2160" i="10"/>
  <c r="E471" i="11"/>
  <c r="F471" i="11" s="1"/>
  <c r="BM2237" i="10"/>
  <c r="BO2237" i="10" s="1"/>
  <c r="BO2238" i="10"/>
  <c r="BM1349" i="10"/>
  <c r="BO1350" i="10"/>
  <c r="T358" i="11"/>
  <c r="M358" i="11"/>
  <c r="J358" i="11"/>
  <c r="AH358" i="11"/>
  <c r="I358" i="11"/>
  <c r="Y358" i="11"/>
  <c r="BO2503" i="10"/>
  <c r="BM180" i="10"/>
  <c r="BO180" i="10" s="1"/>
  <c r="BO2278" i="10"/>
  <c r="AJ2298" i="10"/>
  <c r="AU2298" i="10"/>
  <c r="J157" i="11"/>
  <c r="I157" i="11"/>
  <c r="Y157" i="11"/>
  <c r="AH157" i="11"/>
  <c r="M157" i="11"/>
  <c r="AO2043" i="10"/>
  <c r="AN2043" i="10"/>
  <c r="Y63" i="11"/>
  <c r="I63" i="11"/>
  <c r="T63" i="11"/>
  <c r="M63" i="11"/>
  <c r="J63" i="11"/>
  <c r="AH63" i="11"/>
  <c r="AO2264" i="10"/>
  <c r="AN2264" i="10"/>
  <c r="F383" i="11"/>
  <c r="M453" i="11"/>
  <c r="AH453" i="11"/>
  <c r="J453" i="11"/>
  <c r="I453" i="11"/>
  <c r="AE453" i="11"/>
  <c r="Y453" i="11"/>
  <c r="AH551" i="11"/>
  <c r="M551" i="11"/>
  <c r="AE551" i="11"/>
  <c r="Y551" i="11"/>
  <c r="T551" i="11"/>
  <c r="I551" i="11"/>
  <c r="J551" i="11"/>
  <c r="R2232" i="10"/>
  <c r="S2232" i="10" s="1"/>
  <c r="S2233" i="10"/>
  <c r="F29" i="11"/>
  <c r="M226" i="11"/>
  <c r="J226" i="11"/>
  <c r="I226" i="11"/>
  <c r="T226" i="11"/>
  <c r="F225" i="11"/>
  <c r="AH226" i="11"/>
  <c r="Y226" i="11"/>
  <c r="E118" i="11"/>
  <c r="F118" i="11" s="1"/>
  <c r="BO255" i="10"/>
  <c r="Y85" i="11"/>
  <c r="J85" i="11"/>
  <c r="I85" i="11"/>
  <c r="AH85" i="11"/>
  <c r="M85" i="11"/>
  <c r="M215" i="11"/>
  <c r="J215" i="11"/>
  <c r="I215" i="11"/>
  <c r="Y215" i="11"/>
  <c r="AH215" i="11"/>
  <c r="BM2082" i="10"/>
  <c r="BO2082" i="10" s="1"/>
  <c r="BO2083" i="10"/>
  <c r="M249" i="11"/>
  <c r="I249" i="11"/>
  <c r="J249" i="11"/>
  <c r="AH249" i="11"/>
  <c r="Y249" i="11"/>
  <c r="F248" i="11"/>
  <c r="F104" i="11"/>
  <c r="I452" i="11"/>
  <c r="M452" i="11"/>
  <c r="Y452" i="11"/>
  <c r="J452" i="11"/>
  <c r="AH452" i="11"/>
  <c r="AE452" i="11"/>
  <c r="Y433" i="11"/>
  <c r="AE433" i="11"/>
  <c r="J433" i="11"/>
  <c r="I433" i="11"/>
  <c r="M433" i="11"/>
  <c r="T433" i="11"/>
  <c r="AH433" i="11"/>
  <c r="E129" i="11"/>
  <c r="F129" i="11" s="1"/>
  <c r="BO390" i="10"/>
  <c r="E40" i="11"/>
  <c r="F40" i="11" s="1"/>
  <c r="BO80" i="10"/>
  <c r="E470" i="11"/>
  <c r="F470" i="11" s="1"/>
  <c r="BO2235" i="10"/>
  <c r="BM2234" i="10"/>
  <c r="E142" i="11"/>
  <c r="F142" i="11" s="1"/>
  <c r="BO529" i="10"/>
  <c r="E381" i="11"/>
  <c r="F381" i="11" s="1"/>
  <c r="BO1562" i="10"/>
  <c r="AN2292" i="10"/>
  <c r="AO2292" i="10"/>
  <c r="AH334" i="11"/>
  <c r="Y334" i="11"/>
  <c r="I334" i="11"/>
  <c r="M334" i="11"/>
  <c r="J334" i="11"/>
  <c r="T334" i="11"/>
  <c r="F331" i="11"/>
  <c r="E454" i="11"/>
  <c r="F454" i="11" s="1"/>
  <c r="BO2198" i="10"/>
  <c r="AO2244" i="10"/>
  <c r="AN2244" i="10"/>
  <c r="J421" i="11"/>
  <c r="I421" i="11"/>
  <c r="Y421" i="11"/>
  <c r="F420" i="11"/>
  <c r="M421" i="11"/>
  <c r="AE421" i="11"/>
  <c r="AH421" i="11"/>
  <c r="Y125" i="11"/>
  <c r="M125" i="11"/>
  <c r="I125" i="11"/>
  <c r="J125" i="11"/>
  <c r="T125" i="11"/>
  <c r="AH125" i="11"/>
  <c r="F355" i="11"/>
  <c r="T356" i="11"/>
  <c r="M356" i="11"/>
  <c r="J356" i="11"/>
  <c r="Y356" i="11"/>
  <c r="I356" i="11"/>
  <c r="AH356" i="11"/>
  <c r="AH380" i="11"/>
  <c r="M380" i="11"/>
  <c r="T380" i="11"/>
  <c r="J380" i="11"/>
  <c r="Y380" i="11"/>
  <c r="I380" i="11"/>
  <c r="AE380" i="11"/>
  <c r="R2" i="10"/>
  <c r="J357" i="11"/>
  <c r="I357" i="11"/>
  <c r="AH357" i="11"/>
  <c r="Y357" i="11"/>
  <c r="T357" i="11"/>
  <c r="M357" i="11"/>
  <c r="AO118" i="10"/>
  <c r="AN118" i="10"/>
  <c r="R499" i="10"/>
  <c r="S499" i="10" s="1"/>
  <c r="S500" i="10"/>
  <c r="AE455" i="11"/>
  <c r="T455" i="11"/>
  <c r="I455" i="11"/>
  <c r="AH455" i="11"/>
  <c r="Y455" i="11"/>
  <c r="M455" i="11"/>
  <c r="J455" i="11"/>
  <c r="AV2232" i="10"/>
  <c r="AA2232" i="10"/>
  <c r="E556" i="11"/>
  <c r="F556" i="11" s="1"/>
  <c r="BM2524" i="10"/>
  <c r="BO2525" i="10"/>
  <c r="AN396" i="10"/>
  <c r="AO396" i="10"/>
  <c r="Y161" i="11"/>
  <c r="AH161" i="11"/>
  <c r="J161" i="11"/>
  <c r="F160" i="11"/>
  <c r="I161" i="11"/>
  <c r="T161" i="11"/>
  <c r="M161" i="11"/>
  <c r="AH221" i="11"/>
  <c r="Y221" i="11"/>
  <c r="F220" i="11"/>
  <c r="J221" i="11"/>
  <c r="I221" i="11"/>
  <c r="M221" i="11"/>
  <c r="E112" i="11"/>
  <c r="F112" i="11" s="1"/>
  <c r="BO247" i="10"/>
  <c r="BM242" i="10"/>
  <c r="BO242" i="10" s="1"/>
  <c r="Y342" i="11"/>
  <c r="J342" i="11"/>
  <c r="I342" i="11"/>
  <c r="AH342" i="11"/>
  <c r="M342" i="11"/>
  <c r="T342" i="11"/>
  <c r="E519" i="11"/>
  <c r="F519" i="11" s="1"/>
  <c r="BM2435" i="10"/>
  <c r="BO2435" i="10" s="1"/>
  <c r="BO2436" i="10"/>
  <c r="M235" i="11"/>
  <c r="J235" i="11"/>
  <c r="I235" i="11"/>
  <c r="Y235" i="11"/>
  <c r="AH235" i="11"/>
  <c r="BM1822" i="10"/>
  <c r="Y269" i="11"/>
  <c r="AH269" i="11"/>
  <c r="M269" i="11"/>
  <c r="J269" i="11"/>
  <c r="F268" i="11"/>
  <c r="T269" i="11"/>
  <c r="I269" i="11"/>
  <c r="M477" i="11"/>
  <c r="AE477" i="11"/>
  <c r="I477" i="11"/>
  <c r="Y477" i="11"/>
  <c r="J477" i="11"/>
  <c r="AH477" i="11"/>
  <c r="F113" i="11" l="1"/>
  <c r="I41" i="11"/>
  <c r="AH41" i="11"/>
  <c r="J41" i="11"/>
  <c r="Y41" i="11"/>
  <c r="T41" i="11"/>
  <c r="M41" i="11"/>
  <c r="BH2" i="10"/>
  <c r="BH2534" i="10" s="1"/>
  <c r="F124" i="11"/>
  <c r="AH391" i="11"/>
  <c r="M391" i="11"/>
  <c r="AE391" i="11"/>
  <c r="Y391" i="11"/>
  <c r="J391" i="11"/>
  <c r="I391" i="11"/>
  <c r="BO2261" i="10"/>
  <c r="BM2244" i="10"/>
  <c r="BO2244" i="10" s="1"/>
  <c r="F450" i="11"/>
  <c r="BM1258" i="10"/>
  <c r="BO1258" i="10" s="1"/>
  <c r="F379" i="11"/>
  <c r="Y450" i="11"/>
  <c r="BM2277" i="10"/>
  <c r="BO2277" i="10" s="1"/>
  <c r="T284" i="11"/>
  <c r="Y284" i="11"/>
  <c r="J284" i="11"/>
  <c r="F84" i="11"/>
  <c r="AH84" i="11" s="1"/>
  <c r="AH284" i="11"/>
  <c r="F91" i="11"/>
  <c r="I91" i="11"/>
  <c r="AE450" i="11"/>
  <c r="T450" i="11"/>
  <c r="Y379" i="11"/>
  <c r="I379" i="11"/>
  <c r="AE379" i="11"/>
  <c r="J379" i="11"/>
  <c r="M379" i="11"/>
  <c r="AH379" i="11"/>
  <c r="I128" i="11"/>
  <c r="M128" i="11"/>
  <c r="T128" i="11"/>
  <c r="AH128" i="11"/>
  <c r="Y128" i="11"/>
  <c r="J128" i="11"/>
  <c r="E43" i="11"/>
  <c r="F43" i="11" s="1"/>
  <c r="BO115" i="10"/>
  <c r="BO2175" i="10"/>
  <c r="BM2160" i="10"/>
  <c r="BO2160" i="10" s="1"/>
  <c r="BM76" i="10"/>
  <c r="BO76" i="10" s="1"/>
  <c r="I112" i="11"/>
  <c r="AH112" i="11"/>
  <c r="Y112" i="11"/>
  <c r="M112" i="11"/>
  <c r="T112" i="11"/>
  <c r="J112" i="11"/>
  <c r="F109" i="11"/>
  <c r="AA2534" i="10"/>
  <c r="I449" i="11"/>
  <c r="M449" i="11"/>
  <c r="AH449" i="11"/>
  <c r="AE449" i="11"/>
  <c r="Y449" i="11"/>
  <c r="J449" i="11"/>
  <c r="F440" i="11"/>
  <c r="AO2298" i="10"/>
  <c r="AN2298" i="10"/>
  <c r="BM2233" i="10"/>
  <c r="BO2234" i="10"/>
  <c r="BO1349" i="10"/>
  <c r="BM1348" i="10"/>
  <c r="BO1348" i="10" s="1"/>
  <c r="T405" i="11"/>
  <c r="I405" i="11"/>
  <c r="AE405" i="11"/>
  <c r="J405" i="11"/>
  <c r="Y405" i="11"/>
  <c r="M405" i="11"/>
  <c r="AH405" i="11"/>
  <c r="M558" i="11"/>
  <c r="AE558" i="11"/>
  <c r="Y558" i="11"/>
  <c r="AH558" i="11"/>
  <c r="J558" i="11"/>
  <c r="I558" i="11"/>
  <c r="I62" i="11"/>
  <c r="J62" i="11"/>
  <c r="T62" i="11"/>
  <c r="M62" i="11"/>
  <c r="AH62" i="11"/>
  <c r="Y62" i="11"/>
  <c r="J29" i="11"/>
  <c r="I29" i="11"/>
  <c r="M29" i="11"/>
  <c r="Y29" i="11"/>
  <c r="AH29" i="11"/>
  <c r="J298" i="11"/>
  <c r="I298" i="11"/>
  <c r="M298" i="11"/>
  <c r="Y298" i="11"/>
  <c r="T298" i="11"/>
  <c r="AH298" i="11"/>
  <c r="BM2386" i="10"/>
  <c r="BO2386" i="10" s="1"/>
  <c r="BO2387" i="10"/>
  <c r="Y308" i="11"/>
  <c r="M308" i="11"/>
  <c r="I308" i="11"/>
  <c r="J308" i="11"/>
  <c r="T308" i="11"/>
  <c r="AH308" i="11"/>
  <c r="Y471" i="11"/>
  <c r="J471" i="11"/>
  <c r="I471" i="11"/>
  <c r="AE471" i="11"/>
  <c r="AH471" i="11"/>
  <c r="M471" i="11"/>
  <c r="Y552" i="11"/>
  <c r="I552" i="11"/>
  <c r="AH552" i="11"/>
  <c r="AE552" i="11"/>
  <c r="T552" i="11"/>
  <c r="J552" i="11"/>
  <c r="M552" i="11"/>
  <c r="AH417" i="11"/>
  <c r="M417" i="11"/>
  <c r="J417" i="11"/>
  <c r="I417" i="11"/>
  <c r="Y417" i="11"/>
  <c r="T417" i="11"/>
  <c r="AE417" i="11"/>
  <c r="F416" i="11"/>
  <c r="AH556" i="11"/>
  <c r="J556" i="11"/>
  <c r="I556" i="11"/>
  <c r="AE556" i="11"/>
  <c r="Y556" i="11"/>
  <c r="F555" i="11"/>
  <c r="M556" i="11"/>
  <c r="Y118" i="11"/>
  <c r="J118" i="11"/>
  <c r="I118" i="11"/>
  <c r="M118" i="11"/>
  <c r="AH118" i="11"/>
  <c r="J127" i="11"/>
  <c r="I127" i="11"/>
  <c r="M127" i="11"/>
  <c r="AH127" i="11"/>
  <c r="Y127" i="11"/>
  <c r="T536" i="11"/>
  <c r="M536" i="11"/>
  <c r="J536" i="11"/>
  <c r="AE536" i="11"/>
  <c r="I536" i="11"/>
  <c r="Y536" i="11"/>
  <c r="AH536" i="11"/>
  <c r="AM34" i="11"/>
  <c r="AM4" i="11" s="1"/>
  <c r="AM136" i="11" s="1"/>
  <c r="AM549" i="11" s="1"/>
  <c r="AM560" i="11" s="1"/>
  <c r="AL4" i="11"/>
  <c r="AL136" i="11" s="1"/>
  <c r="AL549" i="11" s="1"/>
  <c r="AL560" i="11" s="1"/>
  <c r="I489" i="11"/>
  <c r="AE489" i="11"/>
  <c r="J489" i="11"/>
  <c r="M489" i="11"/>
  <c r="Y489" i="11"/>
  <c r="AH489" i="11"/>
  <c r="AH102" i="11"/>
  <c r="Y102" i="11"/>
  <c r="F101" i="11"/>
  <c r="M102" i="11"/>
  <c r="I102" i="11"/>
  <c r="J102" i="11"/>
  <c r="AE424" i="11"/>
  <c r="M424" i="11"/>
  <c r="Y424" i="11"/>
  <c r="T424" i="11"/>
  <c r="F423" i="11"/>
  <c r="J424" i="11"/>
  <c r="I424" i="11"/>
  <c r="AH424" i="11"/>
  <c r="AN499" i="10"/>
  <c r="AO499" i="10"/>
  <c r="T160" i="11"/>
  <c r="I160" i="11"/>
  <c r="M160" i="11"/>
  <c r="J160" i="11"/>
  <c r="AH160" i="11"/>
  <c r="Y160" i="11"/>
  <c r="Y248" i="11"/>
  <c r="J248" i="11"/>
  <c r="I248" i="11"/>
  <c r="AH248" i="11"/>
  <c r="M248" i="11"/>
  <c r="Y141" i="11"/>
  <c r="I141" i="11"/>
  <c r="J141" i="11"/>
  <c r="M141" i="11"/>
  <c r="T141" i="11"/>
  <c r="AH141" i="11"/>
  <c r="F139" i="11"/>
  <c r="AO2232" i="10"/>
  <c r="AN2232" i="10"/>
  <c r="I46" i="11"/>
  <c r="F45" i="11"/>
  <c r="Y46" i="11"/>
  <c r="M46" i="11"/>
  <c r="T46" i="11"/>
  <c r="J46" i="11"/>
  <c r="AH46" i="11"/>
  <c r="BO119" i="10"/>
  <c r="BM118" i="10"/>
  <c r="BO118" i="10" s="1"/>
  <c r="AO2501" i="10"/>
  <c r="AN2501" i="10"/>
  <c r="BO73" i="10"/>
  <c r="BM68" i="10"/>
  <c r="BO68" i="10" s="1"/>
  <c r="M331" i="11"/>
  <c r="AH331" i="11"/>
  <c r="I331" i="11"/>
  <c r="Y331" i="11"/>
  <c r="J331" i="11"/>
  <c r="T331" i="11"/>
  <c r="J126" i="11"/>
  <c r="I126" i="11"/>
  <c r="T126" i="11"/>
  <c r="AH126" i="11"/>
  <c r="M126" i="11"/>
  <c r="Y126" i="11"/>
  <c r="AV2534" i="10"/>
  <c r="AU2534" i="10"/>
  <c r="E135" i="11"/>
  <c r="F135" i="11" s="1"/>
  <c r="BO415" i="10"/>
  <c r="T268" i="11"/>
  <c r="I268" i="11"/>
  <c r="M268" i="11"/>
  <c r="J268" i="11"/>
  <c r="Y268" i="11"/>
  <c r="AH268" i="11"/>
  <c r="I119" i="11"/>
  <c r="T119" i="11"/>
  <c r="AH119" i="11"/>
  <c r="Y119" i="11"/>
  <c r="M119" i="11"/>
  <c r="J119" i="11"/>
  <c r="Y209" i="11"/>
  <c r="M209" i="11"/>
  <c r="I209" i="11"/>
  <c r="J209" i="11"/>
  <c r="AH209" i="11"/>
  <c r="AE366" i="11"/>
  <c r="T366" i="11"/>
  <c r="I366" i="11"/>
  <c r="M366" i="11"/>
  <c r="F365" i="11"/>
  <c r="Y366" i="11"/>
  <c r="AH366" i="11"/>
  <c r="J366" i="11"/>
  <c r="M122" i="11"/>
  <c r="J122" i="11"/>
  <c r="AH122" i="11"/>
  <c r="T122" i="11"/>
  <c r="I122" i="11"/>
  <c r="Y122" i="11"/>
  <c r="J220" i="11"/>
  <c r="M220" i="11"/>
  <c r="I220" i="11"/>
  <c r="Y220" i="11"/>
  <c r="AH220" i="11"/>
  <c r="Y420" i="11"/>
  <c r="I420" i="11"/>
  <c r="AE420" i="11"/>
  <c r="M420" i="11"/>
  <c r="J420" i="11"/>
  <c r="AH420" i="11"/>
  <c r="I134" i="11"/>
  <c r="AH134" i="11"/>
  <c r="Y134" i="11"/>
  <c r="M134" i="11"/>
  <c r="J134" i="11"/>
  <c r="M86" i="11"/>
  <c r="I86" i="11"/>
  <c r="J86" i="11"/>
  <c r="Y86" i="11"/>
  <c r="AH86" i="11"/>
  <c r="E42" i="11"/>
  <c r="F42" i="11" s="1"/>
  <c r="BO112" i="10"/>
  <c r="BO2524" i="10"/>
  <c r="BM2523" i="10"/>
  <c r="BO2523" i="10" s="1"/>
  <c r="T355" i="11"/>
  <c r="I355" i="11"/>
  <c r="Y355" i="11"/>
  <c r="M355" i="11"/>
  <c r="J355" i="11"/>
  <c r="AH355" i="11"/>
  <c r="F353" i="11"/>
  <c r="M168" i="11"/>
  <c r="J168" i="11"/>
  <c r="Y168" i="11"/>
  <c r="I168" i="11"/>
  <c r="T168" i="11"/>
  <c r="AH168" i="11"/>
  <c r="J483" i="11"/>
  <c r="AE483" i="11"/>
  <c r="M483" i="11"/>
  <c r="I483" i="11"/>
  <c r="AH483" i="11"/>
  <c r="T483" i="11"/>
  <c r="Y483" i="11"/>
  <c r="Y522" i="11"/>
  <c r="T522" i="11"/>
  <c r="I522" i="11"/>
  <c r="AE522" i="11"/>
  <c r="M522" i="11"/>
  <c r="F521" i="11"/>
  <c r="J522" i="11"/>
  <c r="AH522" i="11"/>
  <c r="AH517" i="11"/>
  <c r="M517" i="11"/>
  <c r="J517" i="11"/>
  <c r="I517" i="11"/>
  <c r="Y517" i="11"/>
  <c r="AE517" i="11"/>
  <c r="M473" i="11"/>
  <c r="AE473" i="11"/>
  <c r="J473" i="11"/>
  <c r="Y473" i="11"/>
  <c r="I473" i="11"/>
  <c r="AH473" i="11"/>
  <c r="J377" i="11"/>
  <c r="AH377" i="11"/>
  <c r="AE377" i="11"/>
  <c r="Y377" i="11"/>
  <c r="M377" i="11"/>
  <c r="T377" i="11"/>
  <c r="I377" i="11"/>
  <c r="BM1821" i="10"/>
  <c r="BO1821" i="10" s="1"/>
  <c r="BO1822" i="10"/>
  <c r="AH129" i="11"/>
  <c r="J129" i="11"/>
  <c r="Y129" i="11"/>
  <c r="I129" i="11"/>
  <c r="M129" i="11"/>
  <c r="AE383" i="11"/>
  <c r="M383" i="11"/>
  <c r="Y383" i="11"/>
  <c r="J383" i="11"/>
  <c r="T383" i="11"/>
  <c r="I383" i="11"/>
  <c r="AH383" i="11"/>
  <c r="M121" i="11"/>
  <c r="J121" i="11"/>
  <c r="I121" i="11"/>
  <c r="T121" i="11"/>
  <c r="AH121" i="11"/>
  <c r="Y121" i="11"/>
  <c r="Y492" i="11"/>
  <c r="AE492" i="11"/>
  <c r="T492" i="11"/>
  <c r="J492" i="11"/>
  <c r="I492" i="11"/>
  <c r="M492" i="11"/>
  <c r="AH492" i="11"/>
  <c r="BM2090" i="10"/>
  <c r="BO2090" i="10" s="1"/>
  <c r="BO2091" i="10"/>
  <c r="T6" i="11"/>
  <c r="F5" i="11"/>
  <c r="M6" i="11"/>
  <c r="J6" i="11"/>
  <c r="Y6" i="11"/>
  <c r="I6" i="11"/>
  <c r="AH6" i="11"/>
  <c r="BO2265" i="10"/>
  <c r="BM2264" i="10"/>
  <c r="BO2264" i="10" s="1"/>
  <c r="AG560" i="11"/>
  <c r="AH399" i="11"/>
  <c r="Y399" i="11"/>
  <c r="AE399" i="11"/>
  <c r="J399" i="11"/>
  <c r="I399" i="11"/>
  <c r="M399" i="11"/>
  <c r="T399" i="11"/>
  <c r="M156" i="11"/>
  <c r="Y156" i="11"/>
  <c r="AH156" i="11"/>
  <c r="J156" i="11"/>
  <c r="I156" i="11"/>
  <c r="J35" i="11"/>
  <c r="I35" i="11"/>
  <c r="M35" i="11"/>
  <c r="Y35" i="11"/>
  <c r="T35" i="11"/>
  <c r="AH35" i="11"/>
  <c r="J241" i="11"/>
  <c r="I241" i="11"/>
  <c r="M241" i="11"/>
  <c r="Y241" i="11"/>
  <c r="AH241" i="11"/>
  <c r="I550" i="11"/>
  <c r="AE550" i="11"/>
  <c r="M550" i="11"/>
  <c r="J550" i="11"/>
  <c r="T550" i="11"/>
  <c r="Y550" i="11"/>
  <c r="AH550" i="11"/>
  <c r="M352" i="11"/>
  <c r="Y352" i="11"/>
  <c r="I352" i="11"/>
  <c r="J352" i="11"/>
  <c r="AH352" i="11"/>
  <c r="BM2285" i="10"/>
  <c r="BO2285" i="10" s="1"/>
  <c r="BO2286" i="10"/>
  <c r="AH349" i="11"/>
  <c r="J349" i="11"/>
  <c r="Y349" i="11"/>
  <c r="I349" i="11"/>
  <c r="M349" i="11"/>
  <c r="BM2530" i="10"/>
  <c r="BO2530" i="10" s="1"/>
  <c r="BO2531" i="10"/>
  <c r="T142" i="11"/>
  <c r="I142" i="11"/>
  <c r="M142" i="11"/>
  <c r="J142" i="11"/>
  <c r="Y142" i="11"/>
  <c r="AH142" i="11"/>
  <c r="BM2299" i="10"/>
  <c r="BO2300" i="10"/>
  <c r="R2534" i="10"/>
  <c r="S2534" i="10" s="1"/>
  <c r="S2" i="10"/>
  <c r="S548" i="11"/>
  <c r="Q549" i="11"/>
  <c r="M179" i="11"/>
  <c r="J179" i="11"/>
  <c r="Y179" i="11"/>
  <c r="F178" i="11"/>
  <c r="I179" i="11"/>
  <c r="AH179" i="11"/>
  <c r="AH389" i="11"/>
  <c r="AE389" i="11"/>
  <c r="Y389" i="11"/>
  <c r="J389" i="11"/>
  <c r="I389" i="11"/>
  <c r="F388" i="11"/>
  <c r="T389" i="11"/>
  <c r="M389" i="11"/>
  <c r="F345" i="11"/>
  <c r="J89" i="11"/>
  <c r="AH89" i="11"/>
  <c r="Y89" i="11"/>
  <c r="M89" i="11"/>
  <c r="I89" i="11"/>
  <c r="T14" i="11"/>
  <c r="M14" i="11"/>
  <c r="J14" i="11"/>
  <c r="Y14" i="11"/>
  <c r="I14" i="11"/>
  <c r="AH14" i="11"/>
  <c r="BM2502" i="10"/>
  <c r="T254" i="11"/>
  <c r="M254" i="11"/>
  <c r="I254" i="11"/>
  <c r="J254" i="11"/>
  <c r="Y254" i="11"/>
  <c r="AH254" i="11"/>
  <c r="M103" i="11"/>
  <c r="J103" i="11"/>
  <c r="I103" i="11"/>
  <c r="AH103" i="11"/>
  <c r="Y103" i="11"/>
  <c r="BM396" i="10"/>
  <c r="BO397" i="10"/>
  <c r="BO501" i="10"/>
  <c r="BM500" i="10"/>
  <c r="F374" i="11"/>
  <c r="AE401" i="11"/>
  <c r="M401" i="11"/>
  <c r="T401" i="11"/>
  <c r="I401" i="11"/>
  <c r="AH401" i="11"/>
  <c r="J401" i="11"/>
  <c r="Y401" i="11"/>
  <c r="AH480" i="11"/>
  <c r="AE480" i="11"/>
  <c r="Y480" i="11"/>
  <c r="T480" i="11"/>
  <c r="F479" i="11"/>
  <c r="M480" i="11"/>
  <c r="J480" i="11"/>
  <c r="I480" i="11"/>
  <c r="M95" i="11"/>
  <c r="T95" i="11"/>
  <c r="AH95" i="11"/>
  <c r="I95" i="11"/>
  <c r="Y95" i="11"/>
  <c r="J95" i="11"/>
  <c r="Y186" i="11"/>
  <c r="J186" i="11"/>
  <c r="AH186" i="11"/>
  <c r="M186" i="11"/>
  <c r="I186" i="11"/>
  <c r="BO488" i="10"/>
  <c r="BM436" i="10"/>
  <c r="BO436" i="10" s="1"/>
  <c r="BM664" i="10"/>
  <c r="BO664" i="10" s="1"/>
  <c r="BO665" i="10"/>
  <c r="M485" i="11"/>
  <c r="Y485" i="11"/>
  <c r="J485" i="11"/>
  <c r="AE485" i="11"/>
  <c r="I485" i="11"/>
  <c r="AH485" i="11"/>
  <c r="F397" i="11"/>
  <c r="F328" i="11"/>
  <c r="F307" i="11" s="1"/>
  <c r="T381" i="11"/>
  <c r="Y381" i="11"/>
  <c r="I381" i="11"/>
  <c r="M381" i="11"/>
  <c r="J381" i="11"/>
  <c r="AE381" i="11"/>
  <c r="AH381" i="11"/>
  <c r="AE454" i="11"/>
  <c r="J454" i="11"/>
  <c r="I454" i="11"/>
  <c r="AH454" i="11"/>
  <c r="M454" i="11"/>
  <c r="Y454" i="11"/>
  <c r="E123" i="11"/>
  <c r="F123" i="11" s="1"/>
  <c r="F120" i="11" s="1"/>
  <c r="BO276" i="10"/>
  <c r="BM1660" i="10"/>
  <c r="BO1660" i="10" s="1"/>
  <c r="BO1661" i="10"/>
  <c r="I491" i="11"/>
  <c r="AE491" i="11"/>
  <c r="Y491" i="11"/>
  <c r="F490" i="11"/>
  <c r="AH491" i="11"/>
  <c r="J491" i="11"/>
  <c r="M491" i="11"/>
  <c r="M457" i="11"/>
  <c r="J457" i="11"/>
  <c r="AE457" i="11"/>
  <c r="I457" i="11"/>
  <c r="AH457" i="11"/>
  <c r="Y457" i="11"/>
  <c r="M133" i="11"/>
  <c r="AH133" i="11"/>
  <c r="Y133" i="11"/>
  <c r="T133" i="11"/>
  <c r="J133" i="11"/>
  <c r="I133" i="11"/>
  <c r="Y98" i="11"/>
  <c r="AH98" i="11"/>
  <c r="T98" i="11"/>
  <c r="M98" i="11"/>
  <c r="J98" i="11"/>
  <c r="I98" i="11"/>
  <c r="T519" i="11"/>
  <c r="Y519" i="11"/>
  <c r="AH519" i="11"/>
  <c r="AE519" i="11"/>
  <c r="J519" i="11"/>
  <c r="I519" i="11"/>
  <c r="M519" i="11"/>
  <c r="AH470" i="11"/>
  <c r="M470" i="11"/>
  <c r="J470" i="11"/>
  <c r="F469" i="11"/>
  <c r="AE470" i="11"/>
  <c r="Y470" i="11"/>
  <c r="I470" i="11"/>
  <c r="BO228" i="10"/>
  <c r="BM223" i="10"/>
  <c r="BO223" i="10" s="1"/>
  <c r="AS2534" i="10"/>
  <c r="AO2" i="10"/>
  <c r="AN2" i="10"/>
  <c r="BM2043" i="10"/>
  <c r="BO2043" i="10" s="1"/>
  <c r="BO2044" i="10"/>
  <c r="Y40" i="11"/>
  <c r="T40" i="11"/>
  <c r="AH40" i="11"/>
  <c r="J40" i="11"/>
  <c r="M40" i="11"/>
  <c r="I40" i="11"/>
  <c r="J104" i="11"/>
  <c r="I104" i="11"/>
  <c r="M104" i="11"/>
  <c r="AH104" i="11"/>
  <c r="Y104" i="11"/>
  <c r="T104" i="11"/>
  <c r="M225" i="11"/>
  <c r="J225" i="11"/>
  <c r="Y225" i="11"/>
  <c r="I225" i="11"/>
  <c r="T225" i="11"/>
  <c r="AH225" i="11"/>
  <c r="Y478" i="11"/>
  <c r="I478" i="11"/>
  <c r="AE478" i="11"/>
  <c r="J478" i="11"/>
  <c r="AH478" i="11"/>
  <c r="M478" i="11"/>
  <c r="AE392" i="11"/>
  <c r="M392" i="11"/>
  <c r="J392" i="11"/>
  <c r="AH392" i="11"/>
  <c r="Y392" i="11"/>
  <c r="T392" i="11"/>
  <c r="I392" i="11"/>
  <c r="M152" i="11"/>
  <c r="I152" i="11"/>
  <c r="AH152" i="11"/>
  <c r="Y152" i="11"/>
  <c r="T152" i="11"/>
  <c r="J152" i="11"/>
  <c r="F151" i="11"/>
  <c r="AH154" i="11"/>
  <c r="Y154" i="11"/>
  <c r="T154" i="11"/>
  <c r="I154" i="11"/>
  <c r="M154" i="11"/>
  <c r="J154" i="11"/>
  <c r="J418" i="11"/>
  <c r="I418" i="11"/>
  <c r="AH418" i="11"/>
  <c r="M418" i="11"/>
  <c r="AE418" i="11"/>
  <c r="Y418" i="11"/>
  <c r="BM3" i="10"/>
  <c r="BO4" i="10"/>
  <c r="T91" i="11" l="1"/>
  <c r="Y91" i="11"/>
  <c r="J113" i="11"/>
  <c r="AH113" i="11"/>
  <c r="Y113" i="11"/>
  <c r="T113" i="11"/>
  <c r="I113" i="11"/>
  <c r="M113" i="11"/>
  <c r="T124" i="11"/>
  <c r="I124" i="11"/>
  <c r="Y124" i="11"/>
  <c r="M124" i="11"/>
  <c r="AH124" i="11"/>
  <c r="J124" i="11"/>
  <c r="F38" i="11"/>
  <c r="AH91" i="11"/>
  <c r="J91" i="11"/>
  <c r="M91" i="11"/>
  <c r="I84" i="11"/>
  <c r="M84" i="11"/>
  <c r="Y84" i="11"/>
  <c r="J84" i="11"/>
  <c r="AH450" i="11"/>
  <c r="F378" i="11"/>
  <c r="M450" i="11"/>
  <c r="I450" i="11"/>
  <c r="J450" i="11"/>
  <c r="T379" i="11"/>
  <c r="T307" i="11"/>
  <c r="I307" i="11"/>
  <c r="M307" i="11"/>
  <c r="Y307" i="11"/>
  <c r="J307" i="11"/>
  <c r="AH307" i="11"/>
  <c r="M120" i="11"/>
  <c r="J120" i="11"/>
  <c r="T120" i="11"/>
  <c r="AH120" i="11"/>
  <c r="Y120" i="11"/>
  <c r="I120" i="11"/>
  <c r="T397" i="11"/>
  <c r="F396" i="11"/>
  <c r="Y397" i="11"/>
  <c r="I397" i="11"/>
  <c r="AE397" i="11"/>
  <c r="M397" i="11"/>
  <c r="J397" i="11"/>
  <c r="AH397" i="11"/>
  <c r="AH135" i="11"/>
  <c r="Y135" i="11"/>
  <c r="T135" i="11"/>
  <c r="J135" i="11"/>
  <c r="I135" i="11"/>
  <c r="M135" i="11"/>
  <c r="BM499" i="10"/>
  <c r="BO499" i="10" s="1"/>
  <c r="BO500" i="10"/>
  <c r="Y45" i="11"/>
  <c r="F44" i="11"/>
  <c r="I45" i="11"/>
  <c r="M45" i="11"/>
  <c r="J45" i="11"/>
  <c r="T45" i="11"/>
  <c r="AH45" i="11"/>
  <c r="BM2298" i="10"/>
  <c r="BO2298" i="10" s="1"/>
  <c r="BO2299" i="10"/>
  <c r="BM2" i="10"/>
  <c r="BO3" i="10"/>
  <c r="F132" i="11"/>
  <c r="J490" i="11"/>
  <c r="M490" i="11"/>
  <c r="Y490" i="11"/>
  <c r="T490" i="11"/>
  <c r="I490" i="11"/>
  <c r="AE490" i="11"/>
  <c r="AH490" i="11"/>
  <c r="J353" i="11"/>
  <c r="T353" i="11"/>
  <c r="Y353" i="11"/>
  <c r="M353" i="11"/>
  <c r="I353" i="11"/>
  <c r="AH353" i="11"/>
  <c r="M43" i="11"/>
  <c r="I43" i="11"/>
  <c r="Y43" i="11"/>
  <c r="AH43" i="11"/>
  <c r="J43" i="11"/>
  <c r="I479" i="11"/>
  <c r="Y479" i="11"/>
  <c r="T479" i="11"/>
  <c r="J479" i="11"/>
  <c r="AE479" i="11"/>
  <c r="AH479" i="11"/>
  <c r="M479" i="11"/>
  <c r="Y555" i="11"/>
  <c r="M555" i="11"/>
  <c r="J555" i="11"/>
  <c r="AE555" i="11"/>
  <c r="I555" i="11"/>
  <c r="AH555" i="11"/>
  <c r="J440" i="11"/>
  <c r="AE440" i="11"/>
  <c r="Y440" i="11"/>
  <c r="M440" i="11"/>
  <c r="I440" i="11"/>
  <c r="T440" i="11"/>
  <c r="AH440" i="11"/>
  <c r="AO2534" i="10"/>
  <c r="AN2534" i="10"/>
  <c r="BM2501" i="10"/>
  <c r="BO2501" i="10" s="1"/>
  <c r="BO2502" i="10"/>
  <c r="F559" i="11"/>
  <c r="Y5" i="11"/>
  <c r="F4" i="11"/>
  <c r="T5" i="11"/>
  <c r="J5" i="11"/>
  <c r="I5" i="11"/>
  <c r="M5" i="11"/>
  <c r="AH5" i="11"/>
  <c r="AH416" i="11"/>
  <c r="Y416" i="11"/>
  <c r="T416" i="11"/>
  <c r="I416" i="11"/>
  <c r="AE416" i="11"/>
  <c r="F415" i="11"/>
  <c r="J416" i="11"/>
  <c r="M416" i="11"/>
  <c r="M151" i="11"/>
  <c r="Y151" i="11"/>
  <c r="AH151" i="11"/>
  <c r="J151" i="11"/>
  <c r="T151" i="11"/>
  <c r="I151" i="11"/>
  <c r="J178" i="11"/>
  <c r="I178" i="11"/>
  <c r="F177" i="11"/>
  <c r="Y178" i="11"/>
  <c r="M178" i="11"/>
  <c r="AH178" i="11"/>
  <c r="M109" i="11"/>
  <c r="I109" i="11"/>
  <c r="T109" i="11"/>
  <c r="J109" i="11"/>
  <c r="Y109" i="11"/>
  <c r="AH109" i="11"/>
  <c r="I388" i="11"/>
  <c r="Y388" i="11"/>
  <c r="F387" i="11"/>
  <c r="M388" i="11"/>
  <c r="J388" i="11"/>
  <c r="AE388" i="11"/>
  <c r="T388" i="11"/>
  <c r="AH388" i="11"/>
  <c r="Y521" i="11"/>
  <c r="J521" i="11"/>
  <c r="AE521" i="11"/>
  <c r="I521" i="11"/>
  <c r="T521" i="11"/>
  <c r="M521" i="11"/>
  <c r="AH521" i="11"/>
  <c r="E131" i="11"/>
  <c r="F131" i="11" s="1"/>
  <c r="BO396" i="10"/>
  <c r="J469" i="11"/>
  <c r="I469" i="11"/>
  <c r="F486" i="11"/>
  <c r="AE469" i="11"/>
  <c r="M469" i="11"/>
  <c r="Y469" i="11"/>
  <c r="T469" i="11"/>
  <c r="AH469" i="11"/>
  <c r="BO2233" i="10"/>
  <c r="BM2232" i="10"/>
  <c r="BO2232" i="10" s="1"/>
  <c r="Y374" i="11"/>
  <c r="I374" i="11"/>
  <c r="M374" i="11"/>
  <c r="AH374" i="11"/>
  <c r="AE374" i="11"/>
  <c r="J374" i="11"/>
  <c r="T374" i="11"/>
  <c r="S549" i="11"/>
  <c r="Q560" i="11"/>
  <c r="S560" i="11" s="1"/>
  <c r="T365" i="11"/>
  <c r="J365" i="11"/>
  <c r="I365" i="11"/>
  <c r="AE365" i="11"/>
  <c r="F364" i="11"/>
  <c r="Y365" i="11"/>
  <c r="M365" i="11"/>
  <c r="AH365" i="11"/>
  <c r="AH123" i="11"/>
  <c r="I123" i="11"/>
  <c r="Y123" i="11"/>
  <c r="J123" i="11"/>
  <c r="M123" i="11"/>
  <c r="F518" i="11"/>
  <c r="T345" i="11"/>
  <c r="AH345" i="11"/>
  <c r="M345" i="11"/>
  <c r="J345" i="11"/>
  <c r="I345" i="11"/>
  <c r="Y345" i="11"/>
  <c r="J42" i="11"/>
  <c r="I42" i="11"/>
  <c r="M42" i="11"/>
  <c r="AH42" i="11"/>
  <c r="Y42" i="11"/>
  <c r="Y139" i="11"/>
  <c r="T139" i="11"/>
  <c r="I139" i="11"/>
  <c r="M139" i="11"/>
  <c r="J139" i="11"/>
  <c r="F138" i="11"/>
  <c r="AH139" i="11"/>
  <c r="M101" i="11"/>
  <c r="Y101" i="11"/>
  <c r="I101" i="11"/>
  <c r="J101" i="11"/>
  <c r="AH101" i="11"/>
  <c r="F99" i="11"/>
  <c r="T328" i="11"/>
  <c r="Y328" i="11"/>
  <c r="M328" i="11"/>
  <c r="J328" i="11"/>
  <c r="I328" i="11"/>
  <c r="AH328" i="11"/>
  <c r="AE423" i="11"/>
  <c r="M423" i="11"/>
  <c r="I423" i="11"/>
  <c r="Y423" i="11"/>
  <c r="T423" i="11"/>
  <c r="J423" i="11"/>
  <c r="AH423" i="11"/>
  <c r="M38" i="11" l="1"/>
  <c r="J38" i="11"/>
  <c r="T38" i="11"/>
  <c r="I38" i="11"/>
  <c r="Y38" i="11"/>
  <c r="AH38" i="11"/>
  <c r="Y378" i="11"/>
  <c r="T378" i="11"/>
  <c r="J378" i="11"/>
  <c r="AH378" i="11"/>
  <c r="I378" i="11"/>
  <c r="AE378" i="11"/>
  <c r="M378" i="11"/>
  <c r="J364" i="11"/>
  <c r="I364" i="11"/>
  <c r="M364" i="11"/>
  <c r="AE364" i="11"/>
  <c r="F363" i="11"/>
  <c r="T364" i="11"/>
  <c r="Y364" i="11"/>
  <c r="AH364" i="11"/>
  <c r="T4" i="11"/>
  <c r="I4" i="11"/>
  <c r="Y4" i="11"/>
  <c r="M4" i="11"/>
  <c r="J4" i="11"/>
  <c r="AH4" i="11"/>
  <c r="M132" i="11"/>
  <c r="I132" i="11"/>
  <c r="T132" i="11"/>
  <c r="J132" i="11"/>
  <c r="AH132" i="11"/>
  <c r="Y132" i="11"/>
  <c r="F136" i="11"/>
  <c r="T486" i="11"/>
  <c r="Y486" i="11"/>
  <c r="J486" i="11"/>
  <c r="AE486" i="11"/>
  <c r="I486" i="11"/>
  <c r="M486" i="11"/>
  <c r="AH486" i="11"/>
  <c r="AH131" i="11"/>
  <c r="I131" i="11"/>
  <c r="M131" i="11"/>
  <c r="Y131" i="11"/>
  <c r="J131" i="11"/>
  <c r="AH415" i="11"/>
  <c r="J415" i="11"/>
  <c r="I415" i="11"/>
  <c r="AE415" i="11"/>
  <c r="T415" i="11"/>
  <c r="M415" i="11"/>
  <c r="Y415" i="11"/>
  <c r="F413" i="11"/>
  <c r="Y138" i="11"/>
  <c r="F137" i="11"/>
  <c r="M138" i="11"/>
  <c r="J138" i="11"/>
  <c r="I138" i="11"/>
  <c r="T138" i="11"/>
  <c r="AH138" i="11"/>
  <c r="Y44" i="11"/>
  <c r="M44" i="11"/>
  <c r="I44" i="11"/>
  <c r="T44" i="11"/>
  <c r="J44" i="11"/>
  <c r="AH44" i="11"/>
  <c r="T99" i="11"/>
  <c r="Y99" i="11"/>
  <c r="J99" i="11"/>
  <c r="I99" i="11"/>
  <c r="M99" i="11"/>
  <c r="AH99" i="11"/>
  <c r="T518" i="11"/>
  <c r="M518" i="11"/>
  <c r="J518" i="11"/>
  <c r="I518" i="11"/>
  <c r="Y518" i="11"/>
  <c r="AE518" i="11"/>
  <c r="AH518" i="11"/>
  <c r="F516" i="11"/>
  <c r="I387" i="11"/>
  <c r="AE387" i="11"/>
  <c r="M387" i="11"/>
  <c r="J387" i="11"/>
  <c r="Y387" i="11"/>
  <c r="T387" i="11"/>
  <c r="AH387" i="11"/>
  <c r="I177" i="11"/>
  <c r="F176" i="11"/>
  <c r="T177" i="11"/>
  <c r="M177" i="11"/>
  <c r="J177" i="11"/>
  <c r="Y177" i="11"/>
  <c r="AH177" i="11"/>
  <c r="J559" i="11"/>
  <c r="I559" i="11"/>
  <c r="T559" i="11"/>
  <c r="Y559" i="11"/>
  <c r="AE559" i="11"/>
  <c r="M559" i="11"/>
  <c r="AH559" i="11"/>
  <c r="BM2534" i="10"/>
  <c r="BO2" i="10"/>
  <c r="J396" i="11"/>
  <c r="I396" i="11"/>
  <c r="Y396" i="11"/>
  <c r="M396" i="11"/>
  <c r="T396" i="11"/>
  <c r="AE396" i="11"/>
  <c r="AH396" i="11"/>
  <c r="J516" i="11" l="1"/>
  <c r="AE516" i="11"/>
  <c r="I516" i="11"/>
  <c r="Y516" i="11"/>
  <c r="M516" i="11"/>
  <c r="T516" i="11"/>
  <c r="AH516" i="11"/>
  <c r="F548" i="11"/>
  <c r="Y176" i="11"/>
  <c r="I176" i="11"/>
  <c r="J176" i="11"/>
  <c r="M176" i="11"/>
  <c r="T176" i="11"/>
  <c r="AH176" i="11"/>
  <c r="I137" i="11"/>
  <c r="J137" i="11"/>
  <c r="M137" i="11"/>
  <c r="Y137" i="11"/>
  <c r="T137" i="11"/>
  <c r="AH137" i="11"/>
  <c r="T413" i="11"/>
  <c r="AE413" i="11"/>
  <c r="Y413" i="11"/>
  <c r="M413" i="11"/>
  <c r="AH413" i="11"/>
  <c r="J413" i="11"/>
  <c r="I413" i="11"/>
  <c r="F468" i="11"/>
  <c r="T136" i="11"/>
  <c r="Y136" i="11"/>
  <c r="M136" i="11"/>
  <c r="J136" i="11"/>
  <c r="I136" i="11"/>
  <c r="AH136" i="11"/>
  <c r="BO2534" i="10"/>
  <c r="M363" i="11"/>
  <c r="AE363" i="11"/>
  <c r="J363" i="11"/>
  <c r="Y363" i="11"/>
  <c r="I363" i="11"/>
  <c r="T363" i="11"/>
  <c r="AH363" i="11"/>
  <c r="F549" i="11" l="1"/>
  <c r="AH549" i="11" s="1"/>
  <c r="I548" i="11"/>
  <c r="T548" i="11"/>
  <c r="M548" i="11"/>
  <c r="AE548" i="11"/>
  <c r="J548" i="11"/>
  <c r="Y548" i="11"/>
  <c r="AH548" i="11"/>
  <c r="T468" i="11"/>
  <c r="Y468" i="11"/>
  <c r="J468" i="11"/>
  <c r="I468" i="11"/>
  <c r="M468" i="11"/>
  <c r="AE468" i="11"/>
  <c r="AH468" i="11"/>
  <c r="J549" i="11" l="1"/>
  <c r="T549" i="11"/>
  <c r="M549" i="11"/>
  <c r="AE549" i="11"/>
  <c r="F560" i="11"/>
  <c r="AH560" i="11" s="1"/>
  <c r="Y549" i="11"/>
  <c r="I549" i="11"/>
  <c r="F570" i="11" l="1"/>
  <c r="AH562" i="11" s="1"/>
  <c r="P562" i="11"/>
  <c r="M560" i="11"/>
  <c r="Y560" i="11"/>
  <c r="I560" i="11"/>
  <c r="J560" i="11"/>
  <c r="H565" i="11"/>
  <c r="AE560" i="11"/>
  <c r="P571" i="11"/>
  <c r="T560" i="11"/>
  <c r="BM2538" i="10"/>
  <c r="BO2538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Nadia Bilello</author>
  </authors>
  <commentList>
    <comment ref="Q7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SCHEDA DI ASSEGNAZIONE PROVV 2024</t>
        </r>
      </text>
    </comment>
    <comment ref="V7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Nadia Bilello</t>
        </r>
        <r>
          <rPr>
            <sz val="9"/>
            <color indexed="81"/>
            <rFont val="Tahoma"/>
            <family val="2"/>
          </rPr>
          <t xml:space="preserve">
DA 20/2025 PS E DA 21/2025 INCREMENTO TARIFFARIO PRESTAZIONI AGG.VE</t>
        </r>
      </text>
    </comment>
    <comment ref="AC7" authorId="0" shapeId="0" xr:uid="{00000000-0006-0000-1000-000003000000}">
      <text>
        <r>
          <rPr>
            <b/>
            <sz val="9"/>
            <color indexed="81"/>
            <rFont val="Tahoma"/>
            <family val="2"/>
          </rPr>
          <t>Nadia Bilello</t>
        </r>
        <r>
          <rPr>
            <sz val="9"/>
            <color indexed="81"/>
            <rFont val="Tahoma"/>
            <family val="2"/>
          </rPr>
          <t xml:space="preserve">
DA 20/2025 PS NON INSERITO DA 21/2025 INCREMENTO TARIFFARIO PRESTAZIONI AGG.VE</t>
        </r>
      </text>
    </comment>
    <comment ref="F40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ASSEGNAZIONE CONTRIBUTI STP ANTICIP.PROVVIS.2023</t>
        </r>
      </text>
    </comment>
    <comment ref="V40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quota contributo stp</t>
        </r>
      </text>
    </comment>
    <comment ref="AC40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quota contributo stp</t>
        </r>
      </text>
    </comment>
    <comment ref="F44" authorId="0" shapeId="0" xr:uid="{00000000-0006-0000-1000-000007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DELIB. 301 DEL 16/03/2023 PROGETTI PNRR RICERCA</t>
        </r>
      </text>
    </comment>
    <comment ref="F45" authorId="0" shapeId="0" xr:uid="{00000000-0006-0000-1000-000008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AZ. OSP. MEYER</t>
        </r>
      </text>
    </comment>
    <comment ref="V71" authorId="0" shapeId="0" xr:uid="{00000000-0006-0000-1000-000009000000}">
      <text>
        <r>
          <rPr>
            <b/>
            <sz val="9"/>
            <color indexed="81"/>
            <rFont val="Tahoma"/>
            <family val="2"/>
          </rPr>
          <t>Nadia Bilello verifica mporto immob. Al 31/12/2024 solo fonte bilancio deve tendere al negoziato</t>
        </r>
      </text>
    </comment>
    <comment ref="AC71" authorId="0" shapeId="0" xr:uid="{00000000-0006-0000-1000-00000A000000}">
      <text>
        <r>
          <rPr>
            <b/>
            <sz val="9"/>
            <color indexed="81"/>
            <rFont val="Tahoma"/>
            <family val="2"/>
          </rPr>
          <t>Nadia Bilello verifica mporto immob. Al 31/12/2024 solo fonte bilancio deve tendere al negoziato</t>
        </r>
      </text>
    </comment>
    <comment ref="AZ79" authorId="0" shapeId="0" xr:uid="{00000000-0006-0000-1000-00000B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UTILIZZO FONDO LISTE D'ATTESA - MANZELLA EMAIL 09/09/2024</t>
        </r>
      </text>
    </comment>
    <comment ref="V82" authorId="0" shapeId="0" xr:uid="{00000000-0006-0000-1000-00000C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verificare costi PSN troppo basso rispetto al trend</t>
        </r>
      </text>
    </comment>
    <comment ref="AC82" authorId="0" shapeId="0" xr:uid="{00000000-0006-0000-1000-00000D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verificare costi PSN troppo basso rispetto al trend</t>
        </r>
      </text>
    </comment>
    <comment ref="F108" authorId="0" shapeId="0" xr:uid="{00000000-0006-0000-1000-00000E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RILEVAZIONE UTILIZZO SOMME PROGETTO FARMACOVIGILANZA</t>
        </r>
      </text>
    </comment>
    <comment ref="F111" authorId="0" shapeId="0" xr:uid="{00000000-0006-0000-1000-00000F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RILEVAZIONE UTILIZZO ECONOMIE DA PSN 2018 PER PNRR + RILEVAZIONE CONTABILE COMPETENZE STIPENDIALI</t>
        </r>
      </text>
    </comment>
    <comment ref="Q111" authorId="0" shapeId="0" xr:uid="{00000000-0006-0000-1000-000010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PSN ECONOMIE</t>
        </r>
      </text>
    </comment>
    <comment ref="F114" authorId="0" shapeId="0" xr:uid="{00000000-0006-0000-1000-000011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PROGETTI VARI </t>
        </r>
      </text>
    </comment>
    <comment ref="Q121" authorId="0" shapeId="0" xr:uid="{00000000-0006-0000-1000-000012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 - FLUSSI</t>
        </r>
      </text>
    </comment>
    <comment ref="V121" authorId="0" shapeId="0" xr:uid="{00000000-0006-0000-1000-000013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CDG</t>
        </r>
      </text>
    </comment>
    <comment ref="AC121" authorId="0" shapeId="0" xr:uid="{00000000-0006-0000-1000-000014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CDG</t>
        </r>
      </text>
    </comment>
    <comment ref="AZ121" authorId="0" shapeId="0" xr:uid="{00000000-0006-0000-1000-000015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CDG</t>
        </r>
      </text>
    </comment>
    <comment ref="Q123" authorId="0" shapeId="0" xr:uid="{00000000-0006-0000-1000-000016000000}">
      <text>
        <r>
          <rPr>
            <b/>
            <sz val="9"/>
            <color indexed="81"/>
            <rFont val="Tahoma"/>
            <family val="2"/>
          </rPr>
          <t>Nadia Bilello:
ALESSI - FLUSSI</t>
        </r>
      </text>
    </comment>
    <comment ref="V123" authorId="0" shapeId="0" xr:uid="{00000000-0006-0000-1000-000017000000}">
      <text>
        <r>
          <rPr>
            <b/>
            <sz val="9"/>
            <color indexed="81"/>
            <rFont val="Tahoma"/>
            <family val="2"/>
          </rPr>
          <t>Nadia Bilello:
ALESSI - FLUSSI</t>
        </r>
      </text>
    </comment>
    <comment ref="AC123" authorId="0" shapeId="0" xr:uid="{00000000-0006-0000-1000-000018000000}">
      <text>
        <r>
          <rPr>
            <b/>
            <sz val="9"/>
            <color indexed="81"/>
            <rFont val="Tahoma"/>
            <family val="2"/>
          </rPr>
          <t>Nadia Bilello:
ALESSI - FLUSSI</t>
        </r>
      </text>
    </comment>
    <comment ref="Q125" authorId="0" shapeId="0" xr:uid="{00000000-0006-0000-1000-000019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 - FLUSSI
</t>
        </r>
      </text>
    </comment>
    <comment ref="V125" authorId="0" shapeId="0" xr:uid="{00000000-0006-0000-1000-00001A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 - FLUSSI
</t>
        </r>
      </text>
    </comment>
    <comment ref="AC125" authorId="0" shapeId="0" xr:uid="{00000000-0006-0000-1000-00001B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 - FLUSSI
</t>
        </r>
      </text>
    </comment>
    <comment ref="Q127" authorId="0" shapeId="0" xr:uid="{00000000-0006-0000-1000-00001C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V127" authorId="0" shapeId="0" xr:uid="{00000000-0006-0000-1000-00001D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AC127" authorId="0" shapeId="0" xr:uid="{00000000-0006-0000-1000-00001E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Q136" authorId="0" shapeId="0" xr:uid="{00000000-0006-0000-1000-00001F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MOSCA</t>
        </r>
      </text>
    </comment>
    <comment ref="V136" authorId="0" shapeId="0" xr:uid="{00000000-0006-0000-1000-000020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MOSCA</t>
        </r>
      </text>
    </comment>
    <comment ref="AC136" authorId="0" shapeId="0" xr:uid="{00000000-0006-0000-1000-000021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MOSCA</t>
        </r>
      </text>
    </comment>
    <comment ref="Q151" authorId="0" shapeId="0" xr:uid="{00000000-0006-0000-1000-000022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SARA MOSCA</t>
        </r>
      </text>
    </comment>
    <comment ref="V151" authorId="0" shapeId="0" xr:uid="{00000000-0006-0000-1000-000023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SARA MOSCA</t>
        </r>
      </text>
    </comment>
    <comment ref="AC151" authorId="0" shapeId="0" xr:uid="{00000000-0006-0000-1000-000024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SARA MOSCA</t>
        </r>
      </text>
    </comment>
    <comment ref="Q154" authorId="0" shapeId="0" xr:uid="{00000000-0006-0000-1000-000025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 - FLUSSI</t>
        </r>
      </text>
    </comment>
    <comment ref="V154" authorId="0" shapeId="0" xr:uid="{00000000-0006-0000-1000-000026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CDG</t>
        </r>
      </text>
    </comment>
    <comment ref="AC154" authorId="0" shapeId="0" xr:uid="{00000000-0006-0000-1000-000027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CDG</t>
        </r>
      </text>
    </comment>
    <comment ref="AZ154" authorId="0" shapeId="0" xr:uid="{00000000-0006-0000-1000-000028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CDG</t>
        </r>
      </text>
    </comment>
    <comment ref="Q155" authorId="0" shapeId="0" xr:uid="{00000000-0006-0000-1000-000029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V155" authorId="0" shapeId="0" xr:uid="{00000000-0006-0000-1000-00002A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AC155" authorId="0" shapeId="0" xr:uid="{00000000-0006-0000-1000-00002B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AZ155" authorId="0" shapeId="0" xr:uid="{00000000-0006-0000-1000-00002C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Q158" authorId="0" shapeId="0" xr:uid="{00000000-0006-0000-1000-00002D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V158" authorId="0" shapeId="0" xr:uid="{00000000-0006-0000-1000-00002E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AC158" authorId="0" shapeId="0" xr:uid="{00000000-0006-0000-1000-00002F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AZ158" authorId="0" shapeId="0" xr:uid="{00000000-0006-0000-1000-000030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Q159" authorId="0" shapeId="0" xr:uid="{00000000-0006-0000-1000-000031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V159" authorId="0" shapeId="0" xr:uid="{00000000-0006-0000-1000-000032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AC159" authorId="0" shapeId="0" xr:uid="{00000000-0006-0000-1000-000033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AZ159" authorId="0" shapeId="0" xr:uid="{00000000-0006-0000-1000-000034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</t>
        </r>
      </text>
    </comment>
    <comment ref="Q177" authorId="0" shapeId="0" xr:uid="{00000000-0006-0000-1000-000035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 - NOTE</t>
        </r>
      </text>
    </comment>
    <comment ref="V177" authorId="0" shapeId="0" xr:uid="{00000000-0006-0000-1000-000036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 - NOTE</t>
        </r>
      </text>
    </comment>
    <comment ref="AC177" authorId="0" shapeId="0" xr:uid="{00000000-0006-0000-1000-000037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ALESSI - NOTE</t>
        </r>
      </text>
    </comment>
    <comment ref="Q222" authorId="0" shapeId="0" xr:uid="{00000000-0006-0000-1000-000038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MOSCA</t>
        </r>
      </text>
    </comment>
    <comment ref="V222" authorId="0" shapeId="0" xr:uid="{00000000-0006-0000-1000-000039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MOSCA</t>
        </r>
      </text>
    </comment>
    <comment ref="AC222" authorId="0" shapeId="0" xr:uid="{00000000-0006-0000-1000-00003A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MOSCA</t>
        </r>
      </text>
    </comment>
    <comment ref="Q235" authorId="0" shapeId="0" xr:uid="{00000000-0006-0000-1000-00003B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mosca</t>
        </r>
      </text>
    </comment>
    <comment ref="V235" authorId="0" shapeId="0" xr:uid="{00000000-0006-0000-1000-00003C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mosca</t>
        </r>
      </text>
    </comment>
    <comment ref="AC235" authorId="0" shapeId="0" xr:uid="{00000000-0006-0000-1000-00003D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mosca</t>
        </r>
      </text>
    </comment>
    <comment ref="Q320" authorId="0" shapeId="0" xr:uid="{00000000-0006-0000-1000-00003E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PNRR - FORESTA</t>
        </r>
      </text>
    </comment>
    <comment ref="V372" authorId="0" shapeId="0" xr:uid="{00000000-0006-0000-1000-00003F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rivedere deve tendere al negoziato</t>
        </r>
      </text>
    </comment>
    <comment ref="AC372" authorId="0" shapeId="0" xr:uid="{00000000-0006-0000-1000-000040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rivedere deve tendere al negoziato</t>
        </r>
      </text>
    </comment>
    <comment ref="Q432" authorId="0" shapeId="0" xr:uid="{00000000-0006-0000-1000-000041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mosca</t>
        </r>
      </text>
    </comment>
    <comment ref="V432" authorId="0" shapeId="0" xr:uid="{00000000-0006-0000-1000-000042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mosca</t>
        </r>
      </text>
    </comment>
    <comment ref="V534" authorId="0" shapeId="0" xr:uid="{00000000-0006-0000-1000-000043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IMPORTO ASSEGNAZIONE</t>
        </r>
      </text>
    </comment>
    <comment ref="M609" authorId="0" shapeId="0" xr:uid="{00000000-0006-0000-1000-000044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aumento spropositato rispetto all'attività erogata</t>
        </r>
      </text>
    </comment>
    <comment ref="U1351" authorId="0" shapeId="0" xr:uid="{00000000-0006-0000-1000-000045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COSTO DIMINUITO PER € 140,728,98 PRESTAZIONI AGGIUNTIVE</t>
        </r>
      </text>
    </comment>
    <comment ref="W1636" authorId="0" shapeId="0" xr:uid="{00000000-0006-0000-1000-000046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personale religioso spostato</t>
        </r>
      </text>
    </comment>
    <comment ref="V2488" authorId="0" shapeId="0" xr:uid="{00000000-0006-0000-1000-000047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stp - comunicazione Ass.to</t>
        </r>
      </text>
    </comment>
    <comment ref="AC2488" authorId="0" shapeId="0" xr:uid="{00000000-0006-0000-1000-000048000000}">
      <text>
        <r>
          <rPr>
            <b/>
            <sz val="9"/>
            <color indexed="81"/>
            <rFont val="Tahoma"/>
            <family val="2"/>
          </rPr>
          <t>Nadia Bilello:</t>
        </r>
        <r>
          <rPr>
            <sz val="9"/>
            <color indexed="81"/>
            <rFont val="Tahoma"/>
            <family val="2"/>
          </rPr>
          <t xml:space="preserve">
stp - comunicazione Ass.to</t>
        </r>
      </text>
    </comment>
  </commentList>
</comments>
</file>

<file path=xl/sharedStrings.xml><?xml version="1.0" encoding="utf-8"?>
<sst xmlns="http://schemas.openxmlformats.org/spreadsheetml/2006/main" count="78483" uniqueCount="13607">
  <si>
    <t>Importo</t>
  </si>
  <si>
    <t>Incrementi</t>
  </si>
  <si>
    <t>Rivalutazioni</t>
  </si>
  <si>
    <t>Svalutazioni</t>
  </si>
  <si>
    <t>IMMOBILIZZAZIONI IMMATERIALI</t>
  </si>
  <si>
    <t>RIMANENZE</t>
  </si>
  <si>
    <t>B.1.B.1)  Prodotti alimentari</t>
  </si>
  <si>
    <t>B.1.B.2)  Materiali di guardaroba, di pulizia e di convivenza in genere</t>
  </si>
  <si>
    <t>B.1.B.3)  Combustibili, carburanti e lubrificanti</t>
  </si>
  <si>
    <t>B.1.B.4)  Supporti informatici e cancelleria</t>
  </si>
  <si>
    <t>B.1.B.5)  Materiale per la manutenzione</t>
  </si>
  <si>
    <t>FONDO SVALUTAZIONE CREDITI</t>
  </si>
  <si>
    <t>ATTIVITA' FINANZIARIE CHE NON COSTITUISCONO IMMOBILIZZAZIONI</t>
  </si>
  <si>
    <t>DISPONIBILITA' LIQUIDE</t>
  </si>
  <si>
    <t>RATEI ATTIVI</t>
  </si>
  <si>
    <t>RISCONTI ATTIVI</t>
  </si>
  <si>
    <t/>
  </si>
  <si>
    <t>PATRIMONIO NETTO</t>
  </si>
  <si>
    <t>DEBITI</t>
  </si>
  <si>
    <t>RATEI PASSIVI</t>
  </si>
  <si>
    <t>RISCONTI PASSIVI</t>
  </si>
  <si>
    <t>CONTI D'ORDINE</t>
  </si>
  <si>
    <t>Beni in contenzioso</t>
  </si>
  <si>
    <t>Altri impegni assunti</t>
  </si>
  <si>
    <t>IMMOBILIZZAZIONI MATERIALI</t>
  </si>
  <si>
    <t>Terreni indisponibili</t>
  </si>
  <si>
    <t>Oggetti d'arte</t>
  </si>
  <si>
    <t>Depositi cauzionali</t>
  </si>
  <si>
    <t>Pubblicità</t>
  </si>
  <si>
    <t>Debiti verso altri fornitori</t>
  </si>
  <si>
    <t>Valore
iniziale</t>
  </si>
  <si>
    <t>Valore finale</t>
  </si>
  <si>
    <t>FONDI PER IMPOSTE, ANCHE DIFFERITE</t>
  </si>
  <si>
    <t>Ammortamenti</t>
  </si>
  <si>
    <t>Decrementi</t>
  </si>
  <si>
    <t>CONTRIBUTI IN C/ESERCIZIO</t>
  </si>
  <si>
    <t>Altro</t>
  </si>
  <si>
    <t>Prestazioni di psichiatria residenziale e semiresidenziale</t>
  </si>
  <si>
    <t>Prestazioni di File F</t>
  </si>
  <si>
    <t>Prestazioni servizi farmaceutica convenzionata</t>
  </si>
  <si>
    <t>Prestazioni termali</t>
  </si>
  <si>
    <t>Prestazioni trasporto ambulanze ed elisoccorso</t>
  </si>
  <si>
    <t>Variazioni
%</t>
  </si>
  <si>
    <t>Ricavi per prestazioni sanitarie intramoenia - Altro</t>
  </si>
  <si>
    <t>Ricavi per prestazioni sanitarie intramoenia - Altro (Aziende sanitarie pubbliche della Regione)</t>
  </si>
  <si>
    <t>Emoderivati di produzione regionale</t>
  </si>
  <si>
    <t>Acquisti servizi sanitari per medicina di base</t>
  </si>
  <si>
    <t>Acquisti servizi sanitari per farmaceutica</t>
  </si>
  <si>
    <t>Acquisti servizi sanitari per assistenza specialistica ambulatoriale</t>
  </si>
  <si>
    <t>Acquisti servizi sanitari per assistenza riabilitativa</t>
  </si>
  <si>
    <t>Acquisti servizi sanitari per assistenza integrativa</t>
  </si>
  <si>
    <t>Acquisti servizi sanitari per assistenza protesica</t>
  </si>
  <si>
    <t>Acquisti servizi sanitari per assistenza ospedaliera</t>
  </si>
  <si>
    <t>Acquisto prestazioni di psichiatria residenziale e semiresidenziale</t>
  </si>
  <si>
    <t>Acquisto prestazioni termali in convenzione</t>
  </si>
  <si>
    <t>Acquisto prestazioni Socio-Sanitarie a rilevanza sanitaria</t>
  </si>
  <si>
    <t>Servizi sanitari per assistenza specialistica da Ospedali Classificati privati</t>
  </si>
  <si>
    <t>Servizi sanitari per assistenza specialistica da Case di Cura private</t>
  </si>
  <si>
    <t>Servizi sanitari per assistenza ospedaliera da IRCCS privati e Policlinici privati</t>
  </si>
  <si>
    <t>Servizi sanitari per assistenza ospedaliera da Ospedali Classificati privati</t>
  </si>
  <si>
    <t>Servizi sanitari per assistenza ospedaliera da Case di Cura private</t>
  </si>
  <si>
    <t>IRAP relativa ad attività di libera professione (intramoenia)</t>
  </si>
  <si>
    <t>Lavanderia</t>
  </si>
  <si>
    <t>Pulizia</t>
  </si>
  <si>
    <t>Riscaldamento</t>
  </si>
  <si>
    <t>Servizi trasporti (non sanitari)</t>
  </si>
  <si>
    <t>Utenze telefoniche</t>
  </si>
  <si>
    <t>Utenze elettricità</t>
  </si>
  <si>
    <t>Altre utenze</t>
  </si>
  <si>
    <t>Formazione (esternalizzata e non) da pubblico</t>
  </si>
  <si>
    <t>Formazione (esternalizzata e non) da privato</t>
  </si>
  <si>
    <t>Manutenzione e riparazione ai fabbricati e loro pertinenze</t>
  </si>
  <si>
    <t>Manutenzione e riparazione alle attrezzature sanitarie e scientifiche</t>
  </si>
  <si>
    <t>Manutenzione e riparazione ai mobili e arredi</t>
  </si>
  <si>
    <t>Altre manutenzioni e riparazioni</t>
  </si>
  <si>
    <t>Manutenzioni e riparazioni da Aziende sanitarie pubbliche della Regione</t>
  </si>
  <si>
    <t>PERSONALE DEL RUOLO SANITARIO</t>
  </si>
  <si>
    <t>Costo del personale dirigente ruolo sanitario</t>
  </si>
  <si>
    <t>Costo del personale dirigente medico</t>
  </si>
  <si>
    <t>Costo del personale dirigente non medico</t>
  </si>
  <si>
    <t>Costo del personale dirigente non medico - altro</t>
  </si>
  <si>
    <t>Costo del personale comparto ruolo sanitario</t>
  </si>
  <si>
    <t>Costo del personale comparto ruolo sanitario - tempo indeterminato</t>
  </si>
  <si>
    <t>Costo del personale comparto ruolo sanitario - tempo determinato</t>
  </si>
  <si>
    <t>Costo del personale comparto ruolo sanitario - altro</t>
  </si>
  <si>
    <t>PERSONALE DEL RUOLO PROFESSIONALE</t>
  </si>
  <si>
    <t>Costo del personale dirigente ruolo professionale</t>
  </si>
  <si>
    <t>Costo del personale dirigente ruolo professionale - tempo indeterminato</t>
  </si>
  <si>
    <t>Costo del personale dirigente ruolo professionale - tempo determinato</t>
  </si>
  <si>
    <t>Costo del personale dirigente ruolo professionale - altro</t>
  </si>
  <si>
    <t>Costo del personale comparto ruolo professionale</t>
  </si>
  <si>
    <t>Costo del personale comparto ruolo professionale - tempo indeterminato</t>
  </si>
  <si>
    <t>Costo del personale comparto ruolo professionale - tempo determinato</t>
  </si>
  <si>
    <t>Costo del personale comparto ruolo professionale - altro</t>
  </si>
  <si>
    <t>PERSONALE DEL RUOLO TECNICO</t>
  </si>
  <si>
    <t>Costo del personale dirigente ruolo tecnico</t>
  </si>
  <si>
    <t>Costo del personale dirigente ruolo tecnico - tempo indeterminato</t>
  </si>
  <si>
    <t>Costo del personale dirigente ruolo tecnico - tempo determinato</t>
  </si>
  <si>
    <t>Costo del personale dirigente ruolo tecnico - altro</t>
  </si>
  <si>
    <t>Costo del personale comparto ruolo tecnico</t>
  </si>
  <si>
    <t>Costo del personale comparto ruolo tecnico - tempo indeterminato</t>
  </si>
  <si>
    <t>Costo del personale comparto ruolo tecnico - tempo determinato</t>
  </si>
  <si>
    <t>Costo del personale comparto ruolo tecnico - altro</t>
  </si>
  <si>
    <t>PERSONALE DEL RUOLO AMMINISTRATIVO</t>
  </si>
  <si>
    <t>Costo del personale dirigente ruolo amministrativo</t>
  </si>
  <si>
    <t>Costo del personale dirigente ruolo amministrativo - tempo indeterminato</t>
  </si>
  <si>
    <t>Costo del personale dirigente ruolo amministrativo - tempo determinato</t>
  </si>
  <si>
    <t>Costo del personale dirigente ruolo amministrativo - altro</t>
  </si>
  <si>
    <t>Costo del personale comparto ruolo amministrativo</t>
  </si>
  <si>
    <t>Costo del personale comparto ruolo amministrativo - tempo indeterminato</t>
  </si>
  <si>
    <t>Costo del personale comparto ruolo amministrativo - tempo determinato</t>
  </si>
  <si>
    <t>Costo del personale comparto ruolo amministrativo - altro</t>
  </si>
  <si>
    <t>Accantonamenti per cause civili ed oneri processuali</t>
  </si>
  <si>
    <t>Accantonamenti per contenzioso personale dipendente</t>
  </si>
  <si>
    <t>Accantonamenti per rischi connessi all'acquisto di prestazioni sanitarie da privato</t>
  </si>
  <si>
    <t>Accantonamenti per copertura diretta dei rischi (autoassicurazione)</t>
  </si>
  <si>
    <t>Altri accantonamenti per rischi</t>
  </si>
  <si>
    <t>Accantonamenti per premio di operosità (SUMAI)</t>
  </si>
  <si>
    <t>Accantonamenti per quote inutilizzate contributi da soggetti pubblici (extra fondo) vincolati</t>
  </si>
  <si>
    <t>Accantonamenti per quote inutilizzate contributi da soggetti pubblici per ricerca</t>
  </si>
  <si>
    <t>Imposte e tasse (escluso IRAP e IRES)</t>
  </si>
  <si>
    <t>Perdite su crediti</t>
  </si>
  <si>
    <t>Accantonamenti</t>
  </si>
  <si>
    <t>CREDITI</t>
  </si>
  <si>
    <t>Sangue ed emocomponenti</t>
  </si>
  <si>
    <t>Prodotti dietetici</t>
  </si>
  <si>
    <t>Materiali per la profilassi (vaccini)</t>
  </si>
  <si>
    <t>Prodotti chimici</t>
  </si>
  <si>
    <t>Materiali e prodotti per uso veterinario</t>
  </si>
  <si>
    <t>Prodotti alimentari</t>
  </si>
  <si>
    <t>Materiali di guardaroba, di pulizia e di convivenza in genere</t>
  </si>
  <si>
    <t>Combustibili, carburanti e lubrificanti</t>
  </si>
  <si>
    <t>Supporti informatici e cancelleria</t>
  </si>
  <si>
    <t>Materiale per la manutenzione</t>
  </si>
  <si>
    <t>Terreni disponibili</t>
  </si>
  <si>
    <t>Debiti verso erogatori (privati accreditati e convenzionati) di prestazioni sanitarie</t>
  </si>
  <si>
    <t>Ricavi per cessione di emocomponenti e cellule staminali</t>
  </si>
  <si>
    <t>Dispositivi medici</t>
  </si>
  <si>
    <t>Servizi di assistenza informatica</t>
  </si>
  <si>
    <t>Accantonamenti per quote inutilizzate contributi vincolati da privati</t>
  </si>
  <si>
    <t>AAA010</t>
  </si>
  <si>
    <t>AAA040</t>
  </si>
  <si>
    <t>AAA070</t>
  </si>
  <si>
    <t>AAA120</t>
  </si>
  <si>
    <t>AAA130</t>
  </si>
  <si>
    <t>AAA140</t>
  </si>
  <si>
    <t>AAA160</t>
  </si>
  <si>
    <t>AAA180</t>
  </si>
  <si>
    <t>AAA290</t>
  </si>
  <si>
    <t>AAA300</t>
  </si>
  <si>
    <t>AAA320</t>
  </si>
  <si>
    <t>AAA350</t>
  </si>
  <si>
    <t>AAA380</t>
  </si>
  <si>
    <t>AAA440</t>
  </si>
  <si>
    <t>AAA470</t>
  </si>
  <si>
    <t>AAA500</t>
  </si>
  <si>
    <t>AAA510</t>
  </si>
  <si>
    <t>AAA540</t>
  </si>
  <si>
    <t>AAA660</t>
  </si>
  <si>
    <t>AAA670</t>
  </si>
  <si>
    <t>AAA680</t>
  </si>
  <si>
    <t>AAA690</t>
  </si>
  <si>
    <t>AAA730</t>
  </si>
  <si>
    <t>AAA740</t>
  </si>
  <si>
    <t>AAA750</t>
  </si>
  <si>
    <t>AAA760</t>
  </si>
  <si>
    <t>AAA710</t>
  </si>
  <si>
    <t>AAA720</t>
  </si>
  <si>
    <t>ABA020</t>
  </si>
  <si>
    <t>ABA030</t>
  </si>
  <si>
    <t>ABA040</t>
  </si>
  <si>
    <t>ABA050</t>
  </si>
  <si>
    <t>ABA060</t>
  </si>
  <si>
    <t>ABA070</t>
  </si>
  <si>
    <t>ABA080</t>
  </si>
  <si>
    <t>ABA090</t>
  </si>
  <si>
    <t>ABA100</t>
  </si>
  <si>
    <t>ABA120</t>
  </si>
  <si>
    <t>ABA130</t>
  </si>
  <si>
    <t>ABA140</t>
  </si>
  <si>
    <t>ABA150</t>
  </si>
  <si>
    <t>ABA160</t>
  </si>
  <si>
    <t>ABA170</t>
  </si>
  <si>
    <t>ABA180</t>
  </si>
  <si>
    <t>ABA220</t>
  </si>
  <si>
    <t>ABA230</t>
  </si>
  <si>
    <t>ABA240</t>
  </si>
  <si>
    <t>ABA250</t>
  </si>
  <si>
    <t>ABA260</t>
  </si>
  <si>
    <t>ABA270</t>
  </si>
  <si>
    <t>ABA280</t>
  </si>
  <si>
    <t>ABA300</t>
  </si>
  <si>
    <t>ABA310</t>
  </si>
  <si>
    <t>ABA320</t>
  </si>
  <si>
    <t>ABA330</t>
  </si>
  <si>
    <t>ABA340</t>
  </si>
  <si>
    <t>ABA390</t>
  </si>
  <si>
    <t>ABA400</t>
  </si>
  <si>
    <t>ABA410</t>
  </si>
  <si>
    <t>ABA420</t>
  </si>
  <si>
    <t>ABA430</t>
  </si>
  <si>
    <t>ABA440</t>
  </si>
  <si>
    <t>ABA450</t>
  </si>
  <si>
    <t>ABA460</t>
  </si>
  <si>
    <t>ABA480</t>
  </si>
  <si>
    <t>ABA490</t>
  </si>
  <si>
    <t>ABA500</t>
  </si>
  <si>
    <t>ABA510</t>
  </si>
  <si>
    <t>ABA520</t>
  </si>
  <si>
    <t>ABA530</t>
  </si>
  <si>
    <t>ABA570</t>
  </si>
  <si>
    <t>ABA580</t>
  </si>
  <si>
    <t>ABA590</t>
  </si>
  <si>
    <t>ABA600</t>
  </si>
  <si>
    <t>ABA620</t>
  </si>
  <si>
    <t>ABA630</t>
  </si>
  <si>
    <t>ABA640</t>
  </si>
  <si>
    <t>ABA650</t>
  </si>
  <si>
    <t>ABA670</t>
  </si>
  <si>
    <t>ABA680</t>
  </si>
  <si>
    <t>ABA690</t>
  </si>
  <si>
    <t>ABA700</t>
  </si>
  <si>
    <t>ABA710</t>
  </si>
  <si>
    <t>ABA560</t>
  </si>
  <si>
    <t>ABA740</t>
  </si>
  <si>
    <t>ABA730</t>
  </si>
  <si>
    <t>ABA760</t>
  </si>
  <si>
    <t>ABA770</t>
  </si>
  <si>
    <t>ABA780</t>
  </si>
  <si>
    <t>ABA790</t>
  </si>
  <si>
    <t>PAA000</t>
  </si>
  <si>
    <t>PAA010</t>
  </si>
  <si>
    <t>PAA020</t>
  </si>
  <si>
    <t>PAA030</t>
  </si>
  <si>
    <t>PAA040</t>
  </si>
  <si>
    <t>PAA050</t>
  </si>
  <si>
    <t>PAA060</t>
  </si>
  <si>
    <t>PAA070</t>
  </si>
  <si>
    <t>PAA080</t>
  </si>
  <si>
    <t>PAA090</t>
  </si>
  <si>
    <t>PAA100</t>
  </si>
  <si>
    <t>PAA110</t>
  </si>
  <si>
    <t>PAA120</t>
  </si>
  <si>
    <t>PAA130</t>
  </si>
  <si>
    <t>PAA140</t>
  </si>
  <si>
    <t>PAA150</t>
  </si>
  <si>
    <t>PAA160</t>
  </si>
  <si>
    <t>PAA170</t>
  </si>
  <si>
    <t>PAA180</t>
  </si>
  <si>
    <t>PAA190</t>
  </si>
  <si>
    <t>PAA200</t>
  </si>
  <si>
    <t>PAA210</t>
  </si>
  <si>
    <t>PAA220</t>
  </si>
  <si>
    <t>PBA000</t>
  </si>
  <si>
    <t>PBA020</t>
  </si>
  <si>
    <t>PBA010</t>
  </si>
  <si>
    <t>PBA030</t>
  </si>
  <si>
    <t>PBA040</t>
  </si>
  <si>
    <t>PBA050</t>
  </si>
  <si>
    <t>PBA060</t>
  </si>
  <si>
    <t>PBA070</t>
  </si>
  <si>
    <t>PBA080</t>
  </si>
  <si>
    <t>PBA090</t>
  </si>
  <si>
    <t>PBA100</t>
  </si>
  <si>
    <t>PBA110</t>
  </si>
  <si>
    <t>PBA120</t>
  </si>
  <si>
    <t>PBA130</t>
  </si>
  <si>
    <t>PBA140</t>
  </si>
  <si>
    <t>PBA150</t>
  </si>
  <si>
    <t>PBA160</t>
  </si>
  <si>
    <t>PBA170</t>
  </si>
  <si>
    <t>PBA180</t>
  </si>
  <si>
    <t>PBA190</t>
  </si>
  <si>
    <t>PBA210</t>
  </si>
  <si>
    <t>PBA200</t>
  </si>
  <si>
    <t>PBA250</t>
  </si>
  <si>
    <t>PCA010</t>
  </si>
  <si>
    <t>PDA000</t>
  </si>
  <si>
    <t>PDA310</t>
  </si>
  <si>
    <t>PDA350</t>
  </si>
  <si>
    <t>PDA020</t>
  </si>
  <si>
    <t>PDA030</t>
  </si>
  <si>
    <t>PDA040</t>
  </si>
  <si>
    <t>PDA060</t>
  </si>
  <si>
    <t>PDA050</t>
  </si>
  <si>
    <t>PDA080</t>
  </si>
  <si>
    <t>PDA090</t>
  </si>
  <si>
    <t>PDA100</t>
  </si>
  <si>
    <t>PDA110</t>
  </si>
  <si>
    <t>PDA120</t>
  </si>
  <si>
    <t>PDA160</t>
  </si>
  <si>
    <t>PDA170</t>
  </si>
  <si>
    <t>PDA180</t>
  </si>
  <si>
    <t>PDA190</t>
  </si>
  <si>
    <t>PDA200</t>
  </si>
  <si>
    <t>PDA210</t>
  </si>
  <si>
    <t>PDA220</t>
  </si>
  <si>
    <t>PDA230</t>
  </si>
  <si>
    <t>PDA130</t>
  </si>
  <si>
    <t>PDA280</t>
  </si>
  <si>
    <t>PDA290</t>
  </si>
  <si>
    <t>PDA300</t>
  </si>
  <si>
    <t>PDA320</t>
  </si>
  <si>
    <t>PDA330</t>
  </si>
  <si>
    <t>PDA250</t>
  </si>
  <si>
    <t>PDA260</t>
  </si>
  <si>
    <t>PDA270</t>
  </si>
  <si>
    <t>PBA230</t>
  </si>
  <si>
    <t>PBA240</t>
  </si>
  <si>
    <t>PBA260</t>
  </si>
  <si>
    <t>Acquisto prestazioni di distribuzione farmaci File F</t>
  </si>
  <si>
    <t>ALTRI SERVIZI SANITARI E SOCIOSANITARI A RILEVANZA SANITARIA</t>
  </si>
  <si>
    <t>BA0420</t>
  </si>
  <si>
    <t>BA0430</t>
  </si>
  <si>
    <t>Costi per assistenza MMG</t>
  </si>
  <si>
    <t>BA0440</t>
  </si>
  <si>
    <t>Costi per assistenza PLS</t>
  </si>
  <si>
    <t>BA0450</t>
  </si>
  <si>
    <t>Costi per assistenza Continuità assistenziale</t>
  </si>
  <si>
    <t>BA0460</t>
  </si>
  <si>
    <t>BA0470</t>
  </si>
  <si>
    <t>BA0480</t>
  </si>
  <si>
    <t>BA0500</t>
  </si>
  <si>
    <t>BA0510</t>
  </si>
  <si>
    <t>BA0520</t>
  </si>
  <si>
    <t>BA0540</t>
  </si>
  <si>
    <t>BA0550</t>
  </si>
  <si>
    <t>BA0560</t>
  </si>
  <si>
    <t>BA0570</t>
  </si>
  <si>
    <t>BA0580</t>
  </si>
  <si>
    <t>BA0590</t>
  </si>
  <si>
    <t>Servizi sanitari per assistenza specialistica da IRCCS privati e Policlinici privati</t>
  </si>
  <si>
    <t>BA0600</t>
  </si>
  <si>
    <t>BA0610</t>
  </si>
  <si>
    <t>BA0620</t>
  </si>
  <si>
    <t>Servizi sanitari per assistenza specialistica da altri privati</t>
  </si>
  <si>
    <t>BA0630</t>
  </si>
  <si>
    <t>BA0650</t>
  </si>
  <si>
    <t>BA0660</t>
  </si>
  <si>
    <t>BA0670</t>
  </si>
  <si>
    <t>BA0680</t>
  </si>
  <si>
    <t>BA0690</t>
  </si>
  <si>
    <t>BA0710</t>
  </si>
  <si>
    <t>BA0720</t>
  </si>
  <si>
    <t>BA0730</t>
  </si>
  <si>
    <t>BA0740</t>
  </si>
  <si>
    <t>BA0760</t>
  </si>
  <si>
    <t>BA0770</t>
  </si>
  <si>
    <t>BA0780</t>
  </si>
  <si>
    <t>BA0790</t>
  </si>
  <si>
    <t>BA0810</t>
  </si>
  <si>
    <t>BA0820</t>
  </si>
  <si>
    <t>BA0830</t>
  </si>
  <si>
    <t>BA0840</t>
  </si>
  <si>
    <t>BA0850</t>
  </si>
  <si>
    <t>BA0860</t>
  </si>
  <si>
    <t>BA0870</t>
  </si>
  <si>
    <t>BA0880</t>
  </si>
  <si>
    <t>Servizi sanitari per assistenza ospedaliera da altri privati</t>
  </si>
  <si>
    <t>BA0890</t>
  </si>
  <si>
    <t>BA0910</t>
  </si>
  <si>
    <t>BA0920</t>
  </si>
  <si>
    <t>BA0930</t>
  </si>
  <si>
    <t>BA0940</t>
  </si>
  <si>
    <t>BA0950</t>
  </si>
  <si>
    <t>BA0970</t>
  </si>
  <si>
    <t>BA0980</t>
  </si>
  <si>
    <t>BA0990</t>
  </si>
  <si>
    <t>BA1000</t>
  </si>
  <si>
    <t>BA1010</t>
  </si>
  <si>
    <t>BA1020</t>
  </si>
  <si>
    <t>BA1040</t>
  </si>
  <si>
    <t>BA1050</t>
  </si>
  <si>
    <t>BA1060</t>
  </si>
  <si>
    <t>BA1070</t>
  </si>
  <si>
    <t>BA1080</t>
  </si>
  <si>
    <t>BA1100</t>
  </si>
  <si>
    <t>BA1110</t>
  </si>
  <si>
    <t>BA1120</t>
  </si>
  <si>
    <t>BA1130</t>
  </si>
  <si>
    <t>BA1150</t>
  </si>
  <si>
    <t>BA1160</t>
  </si>
  <si>
    <t>BA1170</t>
  </si>
  <si>
    <t>BA1180</t>
  </si>
  <si>
    <t>BA1190</t>
  </si>
  <si>
    <t>BA1290</t>
  </si>
  <si>
    <t>Contributi ad associazioni di volontariato</t>
  </si>
  <si>
    <t>BA1300</t>
  </si>
  <si>
    <t>Rimborsi per cure all'estero</t>
  </si>
  <si>
    <t>BA1310</t>
  </si>
  <si>
    <t>Contributi a società partecipate e/o enti dipendenti della Regione</t>
  </si>
  <si>
    <t>BA1320</t>
  </si>
  <si>
    <t>Contributo Legge 210/92</t>
  </si>
  <si>
    <t>BA1330</t>
  </si>
  <si>
    <t>Altri rimborsi, assegni e contributi</t>
  </si>
  <si>
    <t>BA1340</t>
  </si>
  <si>
    <t>Rimborsi, assegni e contributi v/Aziende sanitarie pubbliche della Regione</t>
  </si>
  <si>
    <t>BA1360</t>
  </si>
  <si>
    <t>BA1370</t>
  </si>
  <si>
    <t>BA1380</t>
  </si>
  <si>
    <t>BA1390</t>
  </si>
  <si>
    <t>Consulenze sanitarie da privato - articolo 55, comma 2, CCNL 8 giugno 2000</t>
  </si>
  <si>
    <t>BA1400</t>
  </si>
  <si>
    <t>Altre consulenze sanitarie e sociosanitarie da privato</t>
  </si>
  <si>
    <t>BA1410</t>
  </si>
  <si>
    <t>BA1420</t>
  </si>
  <si>
    <t>BA1430</t>
  </si>
  <si>
    <t>BA1440</t>
  </si>
  <si>
    <t>BA1450</t>
  </si>
  <si>
    <t>BA1460</t>
  </si>
  <si>
    <t>Rimborso oneri stipendiali personale sanitario in comando da Aziende sanitarie pubbliche della Regione</t>
  </si>
  <si>
    <t>BA1470</t>
  </si>
  <si>
    <t>Rimborso oneri stipendiali personale sanitario in comando da Regioni, soggetti pubblici e da Università</t>
  </si>
  <si>
    <t>BA1480</t>
  </si>
  <si>
    <t>Rimborso oneri stipendiali personale sanitario in comando da aziende di altre Regioni (Extraregione)</t>
  </si>
  <si>
    <t>BA1500</t>
  </si>
  <si>
    <t>Altri servizi sanitari e sociosanitari a rilevanza sanitaria da pubblico - Aziende sanitarie pubbliche della Regione</t>
  </si>
  <si>
    <t>BA1510</t>
  </si>
  <si>
    <t>Altri servizi sanitari e sociosanitari a rilevanza sanitaria da pubblico - Altri soggetti pubblici della Regione</t>
  </si>
  <si>
    <t>BA1520</t>
  </si>
  <si>
    <t>Altri servizi sanitari e sociosanitari a rilevanza sanitaria da pubblico (Extraregione)</t>
  </si>
  <si>
    <t>BA1530</t>
  </si>
  <si>
    <t>BA1540</t>
  </si>
  <si>
    <t>Costi per servizi sanitari - Mobilità internazionale passiva</t>
  </si>
  <si>
    <t>BA1550</t>
  </si>
  <si>
    <t>BA1580</t>
  </si>
  <si>
    <t>BA1590</t>
  </si>
  <si>
    <t>BA1600</t>
  </si>
  <si>
    <t>BA1610</t>
  </si>
  <si>
    <t>BA1620</t>
  </si>
  <si>
    <t>BA1630</t>
  </si>
  <si>
    <t>BA1640</t>
  </si>
  <si>
    <t>BA1650</t>
  </si>
  <si>
    <t>BA1660</t>
  </si>
  <si>
    <t>BA1670</t>
  </si>
  <si>
    <t>BA1680</t>
  </si>
  <si>
    <t>BA1720</t>
  </si>
  <si>
    <t>Altri servizi non sanitari da pubblico (Aziende sanitarie pubbliche della Regione)</t>
  </si>
  <si>
    <t>BA1730</t>
  </si>
  <si>
    <t>Altri servizi non sanitari da altri soggetti pubblici</t>
  </si>
  <si>
    <t>BA1740</t>
  </si>
  <si>
    <t>Altri servizi non sanitari da privato</t>
  </si>
  <si>
    <t>SERVIZI NON SANITARI</t>
  </si>
  <si>
    <t>BA1760</t>
  </si>
  <si>
    <t>Consulenze non sanitarie da Aziende sanitarie pubbliche della Regione</t>
  </si>
  <si>
    <t>BA1770</t>
  </si>
  <si>
    <t>Consulenze non sanitarie da Terzi - Altri soggetti pubblici</t>
  </si>
  <si>
    <t>BA1780</t>
  </si>
  <si>
    <t>BA1790</t>
  </si>
  <si>
    <t>Consulenze non sanitarie da privato</t>
  </si>
  <si>
    <t>BA1800</t>
  </si>
  <si>
    <t>Collaborazioni coordinate e continuative non sanitarie da privato</t>
  </si>
  <si>
    <t>BA1810</t>
  </si>
  <si>
    <t>BA1820</t>
  </si>
  <si>
    <t>BA1830</t>
  </si>
  <si>
    <t>BA1840</t>
  </si>
  <si>
    <t>BA1850</t>
  </si>
  <si>
    <t>Rimborso oneri stipendiali personale non sanitario in comando da Aziende sanitarie pubbliche della Regione</t>
  </si>
  <si>
    <t>BA1860</t>
  </si>
  <si>
    <t>Rimborso oneri stipendiali personale non sanitario in comando da Regione, soggetti pubblici e da Università</t>
  </si>
  <si>
    <t>BA1870</t>
  </si>
  <si>
    <t>Rimborso oneri stipendiali personale non sanitario in comando da aziende di altre Regioni (Extraregione)</t>
  </si>
  <si>
    <t>BA1890</t>
  </si>
  <si>
    <t>BA1900</t>
  </si>
  <si>
    <t>BA1920</t>
  </si>
  <si>
    <t>BA1930</t>
  </si>
  <si>
    <t>BA1940</t>
  </si>
  <si>
    <t>BA1950</t>
  </si>
  <si>
    <t>BA1960</t>
  </si>
  <si>
    <t>BA1970</t>
  </si>
  <si>
    <t>BA1980</t>
  </si>
  <si>
    <t>BA2710</t>
  </si>
  <si>
    <t>BA2720</t>
  </si>
  <si>
    <t>BA2730</t>
  </si>
  <si>
    <t>BA2740</t>
  </si>
  <si>
    <t>BA2750</t>
  </si>
  <si>
    <t>BA2780</t>
  </si>
  <si>
    <t>BA2790</t>
  </si>
  <si>
    <t>BA2800</t>
  </si>
  <si>
    <t>BA2810</t>
  </si>
  <si>
    <t>BA2840</t>
  </si>
  <si>
    <t>BA2850</t>
  </si>
  <si>
    <t>BA2860</t>
  </si>
  <si>
    <t>BA2870</t>
  </si>
  <si>
    <t>BA2880</t>
  </si>
  <si>
    <t>BA2890</t>
  </si>
  <si>
    <t>Altri accantonamenti</t>
  </si>
  <si>
    <t>BA2510</t>
  </si>
  <si>
    <t>BA2520</t>
  </si>
  <si>
    <t>BA2540</t>
  </si>
  <si>
    <t>Indennità, rimborso spese e oneri sociali per gli Organi Direttivi e Collegio Sindacale</t>
  </si>
  <si>
    <t>BA2550</t>
  </si>
  <si>
    <t>Altri oneri diversi di gestione</t>
  </si>
  <si>
    <t>AA0030</t>
  </si>
  <si>
    <t>AA0080</t>
  </si>
  <si>
    <t>AA0090</t>
  </si>
  <si>
    <t>AA0020</t>
  </si>
  <si>
    <t>AA0040</t>
  </si>
  <si>
    <t>AA0050</t>
  </si>
  <si>
    <t>AA0070</t>
  </si>
  <si>
    <t>AA0100</t>
  </si>
  <si>
    <t>AA0120</t>
  </si>
  <si>
    <t>AA0130</t>
  </si>
  <si>
    <t>AA0150</t>
  </si>
  <si>
    <t>AA0160</t>
  </si>
  <si>
    <t>AA0170</t>
  </si>
  <si>
    <t>AA0180</t>
  </si>
  <si>
    <t>AA0190</t>
  </si>
  <si>
    <t>AA0200</t>
  </si>
  <si>
    <t>AA0210</t>
  </si>
  <si>
    <t>AA0220</t>
  </si>
  <si>
    <t>AA0230</t>
  </si>
  <si>
    <t>AA0110</t>
  </si>
  <si>
    <t>AA0350</t>
  </si>
  <si>
    <t>AA0360</t>
  </si>
  <si>
    <t>AA0370</t>
  </si>
  <si>
    <t>AA0380</t>
  </si>
  <si>
    <t>AA0390</t>
  </si>
  <si>
    <t>AA0400</t>
  </si>
  <si>
    <t>AA0410</t>
  </si>
  <si>
    <t>AA0420</t>
  </si>
  <si>
    <t>AA0430</t>
  </si>
  <si>
    <t>AA0460</t>
  </si>
  <si>
    <t>AA0470</t>
  </si>
  <si>
    <t>AA0480</t>
  </si>
  <si>
    <t>AA0490</t>
  </si>
  <si>
    <t>AA0500</t>
  </si>
  <si>
    <t>AA0510</t>
  </si>
  <si>
    <t>AA0520</t>
  </si>
  <si>
    <t>AA0530</t>
  </si>
  <si>
    <t>AA0550</t>
  </si>
  <si>
    <t>AA0560</t>
  </si>
  <si>
    <t>AA0680</t>
  </si>
  <si>
    <t>AA0690</t>
  </si>
  <si>
    <t>AA0700</t>
  </si>
  <si>
    <t>AA0710</t>
  </si>
  <si>
    <t>AA0720</t>
  </si>
  <si>
    <t>AA0730</t>
  </si>
  <si>
    <t>AA0740</t>
  </si>
  <si>
    <t>BA1210</t>
  </si>
  <si>
    <t>BA1220</t>
  </si>
  <si>
    <t>BA1230</t>
  </si>
  <si>
    <t>BA1240</t>
  </si>
  <si>
    <t>BA1260</t>
  </si>
  <si>
    <t>BA1270</t>
  </si>
  <si>
    <t>BA0030</t>
  </si>
  <si>
    <t>BA0040</t>
  </si>
  <si>
    <t>BA0050</t>
  </si>
  <si>
    <t>BA0060</t>
  </si>
  <si>
    <t>BA0070</t>
  </si>
  <si>
    <t>BA0220</t>
  </si>
  <si>
    <t>BA0210</t>
  </si>
  <si>
    <t>BA0230</t>
  </si>
  <si>
    <t>BA0240</t>
  </si>
  <si>
    <t>BA0250</t>
  </si>
  <si>
    <t>BA0260</t>
  </si>
  <si>
    <t>BA0270</t>
  </si>
  <si>
    <t>BA0280</t>
  </si>
  <si>
    <t>BA0290</t>
  </si>
  <si>
    <t>BA0320</t>
  </si>
  <si>
    <t>BA0330</t>
  </si>
  <si>
    <t>BA0340</t>
  </si>
  <si>
    <t>BA0350</t>
  </si>
  <si>
    <t>BA0360</t>
  </si>
  <si>
    <t>BA0370</t>
  </si>
  <si>
    <t>BA1910</t>
  </si>
  <si>
    <t>BA2090</t>
  </si>
  <si>
    <t>BA2100</t>
  </si>
  <si>
    <t>BA2110</t>
  </si>
  <si>
    <t>BA2120</t>
  </si>
  <si>
    <t>BA2130</t>
  </si>
  <si>
    <t>BA2140</t>
  </si>
  <si>
    <t>BA2150</t>
  </si>
  <si>
    <t>BA2160</t>
  </si>
  <si>
    <t>BA2170</t>
  </si>
  <si>
    <t>BA2180</t>
  </si>
  <si>
    <t>BA2190</t>
  </si>
  <si>
    <t>BA2200</t>
  </si>
  <si>
    <t>BA2210</t>
  </si>
  <si>
    <t>BA2220</t>
  </si>
  <si>
    <t>BA2230</t>
  </si>
  <si>
    <t>BA2240</t>
  </si>
  <si>
    <t>BA2250</t>
  </si>
  <si>
    <t>BA2260</t>
  </si>
  <si>
    <t>BA2270</t>
  </si>
  <si>
    <t>BA2280</t>
  </si>
  <si>
    <t>BA2290</t>
  </si>
  <si>
    <t>BA2300</t>
  </si>
  <si>
    <t>BA2310</t>
  </si>
  <si>
    <t>BA2320</t>
  </si>
  <si>
    <t>BA2330</t>
  </si>
  <si>
    <t>BA2340</t>
  </si>
  <si>
    <t>BA2350</t>
  </si>
  <si>
    <t>BA2360</t>
  </si>
  <si>
    <t>BA2370</t>
  </si>
  <si>
    <t>BA2380</t>
  </si>
  <si>
    <t>BA2390</t>
  </si>
  <si>
    <t>BA2400</t>
  </si>
  <si>
    <t>BA2410</t>
  </si>
  <si>
    <t>BA2420</t>
  </si>
  <si>
    <t>BA2430</t>
  </si>
  <si>
    <t>BA2440</t>
  </si>
  <si>
    <t>BA2450</t>
  </si>
  <si>
    <t>BA2460</t>
  </si>
  <si>
    <t>BA2470</t>
  </si>
  <si>
    <t>BA2480</t>
  </si>
  <si>
    <t>BA2490</t>
  </si>
  <si>
    <t>PDA360</t>
  </si>
  <si>
    <t>PDA370</t>
  </si>
  <si>
    <t>PDA380</t>
  </si>
  <si>
    <t>PFA000</t>
  </si>
  <si>
    <t>PFA010</t>
  </si>
  <si>
    <t>PFA020</t>
  </si>
  <si>
    <t>PFA030</t>
  </si>
  <si>
    <t>AA0060</t>
  </si>
  <si>
    <t>AAA410</t>
  </si>
  <si>
    <t>PDA340</t>
  </si>
  <si>
    <t>PIANO DEI CONTI DELLA CONTABILITA' GENERALE DELL'AZIENDA OSPEDALIERA UNIVERSITARIO POLICLINICO DI PALERMO</t>
  </si>
  <si>
    <t>CHECK</t>
  </si>
  <si>
    <t>SERIE</t>
  </si>
  <si>
    <t>GRUPPO</t>
  </si>
  <si>
    <t xml:space="preserve">MASTRO </t>
  </si>
  <si>
    <t>CONTO</t>
  </si>
  <si>
    <t>SOTTO
CONTO</t>
  </si>
  <si>
    <t>PIANO DEI CONTI DELLA CONTABILITA' GENERALE DELLE AZIENDE SANITARIE DELLA REGIONE SICILIA</t>
  </si>
  <si>
    <t>COD. CONSOLID.</t>
  </si>
  <si>
    <t>RIF. SP</t>
  </si>
  <si>
    <t xml:space="preserve">COD. MECCANOGRAF. SP </t>
  </si>
  <si>
    <t>VOCE MODELLO SP DM 2019</t>
  </si>
  <si>
    <t>ATTIVO</t>
  </si>
  <si>
    <t>00</t>
  </si>
  <si>
    <t>IMMOBILIZZAZIONI</t>
  </si>
  <si>
    <t>01</t>
  </si>
  <si>
    <t>AAZ999</t>
  </si>
  <si>
    <t>A) IMMOBILIZZAZIONI</t>
  </si>
  <si>
    <t>AAA000</t>
  </si>
  <si>
    <t>A.I) IMMOBILIZZAZIONI IMMATERIALI</t>
  </si>
  <si>
    <t>CHECK CONTI</t>
  </si>
  <si>
    <t>Costi di impianto e di ampliamento (al netto del F.do Amm.to)</t>
  </si>
  <si>
    <t>A.I.1) Costi di impianto e di ampliamento</t>
  </si>
  <si>
    <t>1.01.01.01.0101</t>
  </si>
  <si>
    <t>COSTI DI IMPIANTO E DI AMPLIAMENTO</t>
  </si>
  <si>
    <t>Costi di impianto e di ampliamento</t>
  </si>
  <si>
    <t>AAA020</t>
  </si>
  <si>
    <t>A.I.1.a) Costi di impianto e di ampliamento</t>
  </si>
  <si>
    <t>1.01.01.01.0201</t>
  </si>
  <si>
    <t>F.DO AMM.TO COSTI DI IMPIANTO E DI AMPLIAMENTO</t>
  </si>
  <si>
    <t>02</t>
  </si>
  <si>
    <t>F.do Amm.to costi di impianto e di ampliamento</t>
  </si>
  <si>
    <t>AAA030</t>
  </si>
  <si>
    <t>A.I.1.b) F.do Amm.to costi di impianto e di ampliamento</t>
  </si>
  <si>
    <t>COSTI DI RICERCA E SVILUPPO (AL NETTO DEL F.DO AMM.TO)</t>
  </si>
  <si>
    <t>Costi di ricerca e sviluppo (al netto del F.do Amm.to)</t>
  </si>
  <si>
    <t xml:space="preserve">A.I.2 </t>
  </si>
  <si>
    <t>A.I.2) Costi di ricerca e sviluppo</t>
  </si>
  <si>
    <t>1.01.01.02.0101</t>
  </si>
  <si>
    <t>COSTI DI RICERCA</t>
  </si>
  <si>
    <t>Costi di ricerca e sviluppo</t>
  </si>
  <si>
    <t>AAA050</t>
  </si>
  <si>
    <t>A.I.2.a) Costi di ricerca e sviluppo</t>
  </si>
  <si>
    <t>1.01.01.02.0102</t>
  </si>
  <si>
    <t>COSTI DI SVILUPPO PUBBLICO PLURIENNALE</t>
  </si>
  <si>
    <t>1.01.01.02.0201</t>
  </si>
  <si>
    <t>FONDO AMM COSTI DI RICERCA</t>
  </si>
  <si>
    <t>F.do Amm.to costi di ricerca e sviluppo</t>
  </si>
  <si>
    <t>AAA060</t>
  </si>
  <si>
    <t>A.I.2.b) F.do Amm.to costi di ricerca e sviluppo</t>
  </si>
  <si>
    <t>1.01.01.02.0202</t>
  </si>
  <si>
    <t>FONDO AMM COSTI DI SVILUPPO PUBBLICO PLURIENNALE</t>
  </si>
  <si>
    <t>DIRITTI DI BREVETTO E DIRITTI DI UTILIZZAZIONE DELLE OPERE D'INGEGNO - DERIVANTI DALL'ATTIVITA' DI RICERCA (AL NETTO DEL F.DO AMM.TO)</t>
  </si>
  <si>
    <t>Diritti di brevetto e diritti di utilizzazione delle opere d'ingegno - derivanti dall'attività di ricerca (al netto del F.do Amm.to)</t>
  </si>
  <si>
    <t>03</t>
  </si>
  <si>
    <t>A.I.3)</t>
  </si>
  <si>
    <t>A.I.3) Diritti di brevetto e diritti di utilizzazione delle opere d'ingegno</t>
  </si>
  <si>
    <t>1.01.01.03.0101</t>
  </si>
  <si>
    <t>DIRITTI DI BREVETTO</t>
  </si>
  <si>
    <t>Diritti di brevetto e diritti di utilizzazione delle opere d'ingegno - derivanti dall'attività di ricerca</t>
  </si>
  <si>
    <t>AAA080</t>
  </si>
  <si>
    <t>1.01.01.03.0102</t>
  </si>
  <si>
    <t>DIRITTI DI UTILIZZAZIONE DELLE OPERE DI INGEGNO</t>
  </si>
  <si>
    <t>1.01.01.03.0201</t>
  </si>
  <si>
    <t>FONDO AMM DIRITTI DI BREVETTO</t>
  </si>
  <si>
    <t>F.do Amm.to diritti di brevetto e diritti di utilizzazione delle opere d'ingegno - derivanti dall'attività di ricerca</t>
  </si>
  <si>
    <t>AAA090</t>
  </si>
  <si>
    <t>1.01.01.03.0202</t>
  </si>
  <si>
    <t>FONDO AMM DIRITTI DI UTILIZZAZIONE DELLE OPERE DI INGEGNO</t>
  </si>
  <si>
    <t>1.01.01.03.0301</t>
  </si>
  <si>
    <t>DIRITTI DI BREVETTO E DIRITTI DI UTILIZZAZIONE DELLE OPERE D'INGEGNO - ALTRI</t>
  </si>
  <si>
    <t>Diritti di brevetto e diritti di utilizzazione delle opere d'ingegno - altri</t>
  </si>
  <si>
    <t>AAA100</t>
  </si>
  <si>
    <t>A.I.3.c) Diritti di brevetto e diritti di utilizzazione delle opere d'ingegno - altri</t>
  </si>
  <si>
    <t>1.01.01.03.0401</t>
  </si>
  <si>
    <t>F.DO AMM.TO DIRITTI DI BREVETTO E DIRITTI DI UTILIZZAZIONE DELLE OPERE D'INGEGNO - ALTRI</t>
  </si>
  <si>
    <t>04</t>
  </si>
  <si>
    <t>F.do Amm.to diritti di brevetto e diritti di utilizzazione delle opere d'ingegno - altri</t>
  </si>
  <si>
    <t>AAA110</t>
  </si>
  <si>
    <t>IMMOBILIZZAZIONI IMMATERIALI IN CORSO E ACCONTI</t>
  </si>
  <si>
    <t>Immobilizzazioni immateriali in corso e acconti</t>
  </si>
  <si>
    <t>A.I.4</t>
  </si>
  <si>
    <t>A.I.4) Immobilizzazioni immateriali in corso e acconti</t>
  </si>
  <si>
    <t>1.01.01.04.0101</t>
  </si>
  <si>
    <t>IMMOBILIZZAZIONI IMMATERIALI IN CORSO</t>
  </si>
  <si>
    <t>1.01.01.04.0102</t>
  </si>
  <si>
    <t>ACCONTI AI FORNITORI PER ACQUISTI DI IMMOBILIZZAZIONI IMMATERIALI</t>
  </si>
  <si>
    <t>1.01.01.04.0103</t>
  </si>
  <si>
    <t>PROG.JESSICA-IMM.in CORSOMIGLIOR.EFFICIENZA ENERGETICACLINICA MEDICA I</t>
  </si>
  <si>
    <t>1.01.01.04.0104</t>
  </si>
  <si>
    <t>IMMOBILIZZAZIONI IMMATERIALI IN CORSO PNRR MISSIONE 6 C2 - 1.1.2 GRANDI APPARECCHIATURE</t>
  </si>
  <si>
    <t>1.01.01.04.0105</t>
  </si>
  <si>
    <t>IMMOBILIZZAZIONI IMMATERIALI IN CORSO PNRR MISSIONE 6 C2 - 1.1.1 - DIGITALIZZAZIONE DEA</t>
  </si>
  <si>
    <t>1.01.01.04.0106</t>
  </si>
  <si>
    <t>IMMOBILIZZAZIONI IMMATERIALI IN CORSO PNRR MISSIONE 6 C2 - 1.2.1 - OSPEDALE SICURO E SOSTENIBILE</t>
  </si>
  <si>
    <t>CONCESSIONI, LICENZE, MARCHI E DIRITTI SIMILI (AL NETTO DEL F.DO AMM.TO)</t>
  </si>
  <si>
    <t>Concessioni, licenze, marchi e diritti simili (al netto del F.do Amm.to)</t>
  </si>
  <si>
    <t>05</t>
  </si>
  <si>
    <t>A.I.5) Altre immobilizzazioni immateriali</t>
  </si>
  <si>
    <t>1.01.01.05.0101</t>
  </si>
  <si>
    <t>SOFTWARE</t>
  </si>
  <si>
    <t>Concessioni, licenze, marchi e diritti simili</t>
  </si>
  <si>
    <t>A.I.5.a) Concessioni, licenze, marchi e diritti simili</t>
  </si>
  <si>
    <t>1.01.01.05.0102</t>
  </si>
  <si>
    <t>CONCESSIONI</t>
  </si>
  <si>
    <t>1.01.01.05.0103</t>
  </si>
  <si>
    <t>LICENZE</t>
  </si>
  <si>
    <t>1.01.01.05.0104</t>
  </si>
  <si>
    <t>MARCHI</t>
  </si>
  <si>
    <t>1.01.01.05.0201</t>
  </si>
  <si>
    <t>FONDO AMM SOFTWARE</t>
  </si>
  <si>
    <t>F.do Amm.to concessioni, licenze, marchi e diritti simili</t>
  </si>
  <si>
    <t>AAA150</t>
  </si>
  <si>
    <t>A.I.5.b) F.do Amm.to concessioni, licenze, marchi e diritti simili</t>
  </si>
  <si>
    <t>1.01.01.05.0202</t>
  </si>
  <si>
    <t>FONDO AMM CONCESSIONI</t>
  </si>
  <si>
    <t>1.01.01.05.0203</t>
  </si>
  <si>
    <t>FONDO AMM LICENZE</t>
  </si>
  <si>
    <t>1.01.01.05.0204</t>
  </si>
  <si>
    <t>FONDO AMM MARCHI</t>
  </si>
  <si>
    <t>MIGLIORIE SU BENI DI TERZI (AL NETTO DEL F.DO AMM.TO)</t>
  </si>
  <si>
    <t>Migliorie su beni di terzi (al netto del F.do Amm.to)</t>
  </si>
  <si>
    <t>06</t>
  </si>
  <si>
    <t>1.01.01.06.0101</t>
  </si>
  <si>
    <t>MIGLIORIE SU BENI DI TERZI</t>
  </si>
  <si>
    <t>Migliorie su beni di terzi</t>
  </si>
  <si>
    <t>A.I.5.c) Migliorie su beni di terzi</t>
  </si>
  <si>
    <t>1.01.01.06.0102</t>
  </si>
  <si>
    <t>MIGLIORIE SU BENI DI TERZI. INTERVENTO  1.2.1 PNRR (Adeguamento Sismico)</t>
  </si>
  <si>
    <t>1.01.01.06.0103</t>
  </si>
  <si>
    <t>MIGLIORIE SU BENI DI TERZI. INTERVENTO  1.2.2 PNRR</t>
  </si>
  <si>
    <t>1.01.01.06.0201</t>
  </si>
  <si>
    <t>FDO AMMTO MIGLIORIE SU BENI DI TERZI</t>
  </si>
  <si>
    <t>F.do Amm.to migliorie su beni di terzi</t>
  </si>
  <si>
    <t>AAA170</t>
  </si>
  <si>
    <t>A.I.5.d) F.do Amm.to migliorie su beni di terzi</t>
  </si>
  <si>
    <t>PUBBLICITA' (AL NETTO DEL F.DO AMM.TO)</t>
  </si>
  <si>
    <t>Pubblicità (al netto del F.do Amm.to)</t>
  </si>
  <si>
    <t>07</t>
  </si>
  <si>
    <t>1.01.01.07.0101</t>
  </si>
  <si>
    <t>PUBBLICITA</t>
  </si>
  <si>
    <t>A.I.5.e) Pubblicità</t>
  </si>
  <si>
    <t>1.01.01.07.0201</t>
  </si>
  <si>
    <t>F.DO AMM.TO PUBBLICITA</t>
  </si>
  <si>
    <t>F.do Amm.to pubblicità</t>
  </si>
  <si>
    <t>AAA190</t>
  </si>
  <si>
    <t>A.I.5.f) F.do Amm.to pubblicità</t>
  </si>
  <si>
    <t>ALTRE IMMOBILIZZAZIONI IMMATERIALI (AL NETTO DEL F.DO AMM.TO)</t>
  </si>
  <si>
    <t>Altre immobilizzazioni immateriali (al netto del F.do Amm.to)</t>
  </si>
  <si>
    <t>08</t>
  </si>
  <si>
    <t>1.01.01.08.0101</t>
  </si>
  <si>
    <t>ALTRE IMMOBILIZZAZIONI IMMATERIALI</t>
  </si>
  <si>
    <t>Altre immobilizzazioni immateriali</t>
  </si>
  <si>
    <t>AAA200</t>
  </si>
  <si>
    <t>A.I.5.g) Altre immobilizzazioni immateriali</t>
  </si>
  <si>
    <t>1.01.01.08.0201</t>
  </si>
  <si>
    <t>FDO AMM ALTRE IMMOBILIZZAZIONI IMMATERIALI</t>
  </si>
  <si>
    <t>F.do Amm.to altre immobilizzazioni immateriali</t>
  </si>
  <si>
    <t>AAA210</t>
  </si>
  <si>
    <t>A.I.5.h) F.do Amm.to altre immobilizzazioni immateriali</t>
  </si>
  <si>
    <t>F.DO SVALUT. IMMOBILIZZAZIONI IMMATERALI</t>
  </si>
  <si>
    <t>F.do Svalut. Immobilizzazioni immaterali</t>
  </si>
  <si>
    <t>09</t>
  </si>
  <si>
    <t>AAA260</t>
  </si>
  <si>
    <t>A.I.6.d) F.do Svalut. Altre immobilizzazioni immateriali</t>
  </si>
  <si>
    <t>1.01.01.09.0101</t>
  </si>
  <si>
    <t>F.DO SVALUT. COSTI DI IMPIANTO E DI AMPLIAMENTO</t>
  </si>
  <si>
    <t>F.do Svalut. Costi di impianto e di ampliamento</t>
  </si>
  <si>
    <t>AAA230</t>
  </si>
  <si>
    <t>A.I.6.a) F.do Svalut. Costi di impianto e di ampliamento</t>
  </si>
  <si>
    <t>1.01.01.09.0201</t>
  </si>
  <si>
    <t>F.DO SVALUT. COSTI DI RICERCA E SVILUPPO</t>
  </si>
  <si>
    <t>F.do Svalut. Costi di ricerca e sviluppo</t>
  </si>
  <si>
    <t>AAA240</t>
  </si>
  <si>
    <t>A.I.6.b) F.do Svalut. Costi di ricerca e sviluppo</t>
  </si>
  <si>
    <t>1.01.01.09.0301</t>
  </si>
  <si>
    <t>F.DO SVALUT. DIRITTI DI BREVETTO E DIRITTI DI UTILIZZAZIONE DELLE OPERE D'INGEGNO</t>
  </si>
  <si>
    <t>F.do Svalut. Diritti di brevetto e diritti di utilizzazione delle opere d'ingegno</t>
  </si>
  <si>
    <t>AAA250</t>
  </si>
  <si>
    <t>A.I.6.c) F.do Svalut. Diritti di brevetto e diritti di utilizzazione delle opere d'ingegno</t>
  </si>
  <si>
    <t>1.01.01.09.0401</t>
  </si>
  <si>
    <t>F.DO SVALUT. ALTRE IMMOBILIZZAZIONI IMMATERIALI</t>
  </si>
  <si>
    <t>F.do Svalut. Altre immobilizzazioni immateriali</t>
  </si>
  <si>
    <t xml:space="preserve">A.II) </t>
  </si>
  <si>
    <t>AAA270</t>
  </si>
  <si>
    <t>A.II)  IMMOBILIZZAZIONI MATERIALI</t>
  </si>
  <si>
    <t>TERRENI</t>
  </si>
  <si>
    <t>Terreni</t>
  </si>
  <si>
    <t>AAA280</t>
  </si>
  <si>
    <t>1.01.02.01.0101</t>
  </si>
  <si>
    <t>TERRENI AGRICOLI</t>
  </si>
  <si>
    <t>A.II.1.a) Terreni disponibili</t>
  </si>
  <si>
    <t>1.01.02.01.0102</t>
  </si>
  <si>
    <t>TERRENI EDIFICABILI</t>
  </si>
  <si>
    <t>1.01.02.01.0103</t>
  </si>
  <si>
    <t>AREE, STAND, VERDE E ASSIMILATI</t>
  </si>
  <si>
    <t>1.01.02.01.0201</t>
  </si>
  <si>
    <t>TERRENI INDISPONIBILI</t>
  </si>
  <si>
    <t>A.II.1.b) Terreni indisponibili</t>
  </si>
  <si>
    <t>FABBRICATI DISPONIBILI NON STRUMENTALI (AL NETTO DEL F.DO AMM.TO)</t>
  </si>
  <si>
    <t>Fabbricati disponibili non strumentali (al netto del F.do Amm.to)</t>
  </si>
  <si>
    <t>A.II.2.a) Fabbricati non strumentali (disponibili)</t>
  </si>
  <si>
    <t>1.01.02.02.0101</t>
  </si>
  <si>
    <t>FABBRICATI NON STRUMENTALI (DISPONIBILI)</t>
  </si>
  <si>
    <t>Fabbricati non strumentali (disponibili)</t>
  </si>
  <si>
    <t>AAA330</t>
  </si>
  <si>
    <t>A.II.2.a.1) Fabbricati non strumentali (disponibili)</t>
  </si>
  <si>
    <t>1.01.02.02.0102</t>
  </si>
  <si>
    <t>MANUTENZIONE STRAORD FABBRICATI (DISPONIBILI)</t>
  </si>
  <si>
    <t>1.01.02.02.0201</t>
  </si>
  <si>
    <t>FONDO AMM FABBRICATI NON STRUMENTALI (DISPONIBILI)</t>
  </si>
  <si>
    <t>F.do Amm.to Fabbricati non strumentali (disponibili)</t>
  </si>
  <si>
    <t>AAA340</t>
  </si>
  <si>
    <t>A.II.2.a.2) F.do Amm.to Fabbricati non strumentali (disponibili)</t>
  </si>
  <si>
    <t>1.01.02.02.0202</t>
  </si>
  <si>
    <t>FONDO AMM MANUTENZ STRAORD FABBRICATI NON STRUMENTALI (DISPONIBILI)</t>
  </si>
  <si>
    <t>FABBRICATI INDISPONIBILI STRUMENTALI (AL NETTO DEL F.DO AMM.TO)</t>
  </si>
  <si>
    <t>Fabbricati indisponibili strumentali (al netto del F.do Amm.to)</t>
  </si>
  <si>
    <t>A.II.2.b.1) Fabbricati strumentali (indisponibili)</t>
  </si>
  <si>
    <t>1.01.02.03.0101</t>
  </si>
  <si>
    <t>FABBRICATI STRUMENTALI (INDISPONIBILI)</t>
  </si>
  <si>
    <t>Fabbricati strumentali (indisponibili)</t>
  </si>
  <si>
    <t>AAA360</t>
  </si>
  <si>
    <t>1.01.02.03.0201</t>
  </si>
  <si>
    <t>FONDO AMM FABBRICATI ATT ISTITUZ (INDISPONIBILI)</t>
  </si>
  <si>
    <t>F.do Amm.to Fabbricati strumentali (indisponibili)</t>
  </si>
  <si>
    <t>AAA370</t>
  </si>
  <si>
    <t>A.II.2.b.2) F.do Amm.to Fabbricati strumentali (indisponibili)</t>
  </si>
  <si>
    <t>1.01.02.03.0202</t>
  </si>
  <si>
    <t>FONDO AMMCOMPL FABBRICATI ATT ISTITUZ  POST //</t>
  </si>
  <si>
    <t>1.01.02.03.0203</t>
  </si>
  <si>
    <t>FONDO AMMMANSTRAORD FABBRATTIST ( COMPLESSIVO)</t>
  </si>
  <si>
    <t>1.01.02.03.0204</t>
  </si>
  <si>
    <t>FONDO AMMPADIGLIONE ISMETT</t>
  </si>
  <si>
    <t>1.01.02.03.0205</t>
  </si>
  <si>
    <t>FONDO AMMTO PADIGLIONE EMERGENZE</t>
  </si>
  <si>
    <t>IMPIANTI E MACCHINARI (AL NETTO DEL F.DO AMM.TO)</t>
  </si>
  <si>
    <t>Impianti e macchinari (al netto del F.do Amm.to)</t>
  </si>
  <si>
    <t>A.II.3) Impianti e macchinari</t>
  </si>
  <si>
    <t>1.01.02.04.0101</t>
  </si>
  <si>
    <t>IMPIANTI SANITARI</t>
  </si>
  <si>
    <t>Impianti e Macchinari</t>
  </si>
  <si>
    <t>AAA390</t>
  </si>
  <si>
    <t>A.II.3.a) Impianti e macchinari</t>
  </si>
  <si>
    <t>1.01.02.04.0102</t>
  </si>
  <si>
    <t>IMPIANTI SANITARI AD ALTA TECNOLOGIA</t>
  </si>
  <si>
    <t>1.01.02.04.0103</t>
  </si>
  <si>
    <t>MACCHINARI SANITARI AD ALTA TECNOLOGIA</t>
  </si>
  <si>
    <t>1.01.02.04.0104</t>
  </si>
  <si>
    <t>MANUTENZ STRAORDIMPIANTI E MACCHINARI SANITARI</t>
  </si>
  <si>
    <t>1.01.02.04.0105</t>
  </si>
  <si>
    <t>MACCHINARI SANITARI</t>
  </si>
  <si>
    <t>1.01.02.04.0106</t>
  </si>
  <si>
    <t>ELABORATORI ELETTRONICI, TERMINALI E STAMPANTI</t>
  </si>
  <si>
    <t>1.01.02.04.0107</t>
  </si>
  <si>
    <t>IMPIANTI ELETTRICI</t>
  </si>
  <si>
    <t>1.01.02.04.0108</t>
  </si>
  <si>
    <t>IMPIANTI IDRAULICI E DI RISCALDAMENTO</t>
  </si>
  <si>
    <t>1.01.02.04.0109</t>
  </si>
  <si>
    <t>IMPIANTI TELEFONICI E DI RETE</t>
  </si>
  <si>
    <t>1.01.02.04.0110</t>
  </si>
  <si>
    <t>IMPIANTI DI ALLARME E SICUREZZA</t>
  </si>
  <si>
    <t>1.01.02.04.0111</t>
  </si>
  <si>
    <t>ALTRI IMPIANTI</t>
  </si>
  <si>
    <t>1.01.02.04.0112</t>
  </si>
  <si>
    <t>MACCHINARI ELETTRICI</t>
  </si>
  <si>
    <t>1.01.02.04.0113</t>
  </si>
  <si>
    <t>ALTRI MACCHINARI</t>
  </si>
  <si>
    <t>1.01.02.04.0114</t>
  </si>
  <si>
    <t>MANUTENZIONE STRAORD IMPIANTI E MACCHINARI NON SANITARI</t>
  </si>
  <si>
    <t>1.01.02.04.0201</t>
  </si>
  <si>
    <t>FONDO AMM IMPIANTI SANITARI</t>
  </si>
  <si>
    <t>Fondo ammortamento impianti e macchinari</t>
  </si>
  <si>
    <t>AAA400</t>
  </si>
  <si>
    <t>A.II.3.b) F.do Amm.to Impianti e macchinari</t>
  </si>
  <si>
    <t>1.01.02.04.0202</t>
  </si>
  <si>
    <t>FONDO AMM IMPIANTI SANITARI AD ALTA TECNOLOGIA</t>
  </si>
  <si>
    <t>1.01.02.04.0203</t>
  </si>
  <si>
    <t>FONDO AMM MACCHINARI SANITARI AD ALTA TECNOLOGIA</t>
  </si>
  <si>
    <t>1.01.02.04.0204</t>
  </si>
  <si>
    <t>FONDO AMM MANUTENZ STRAORDE MACCHINARI SANITARI</t>
  </si>
  <si>
    <t>1.01.02.04.0205</t>
  </si>
  <si>
    <t>FONDO AMM MACCHINARI SANITARI</t>
  </si>
  <si>
    <t>1.01.02.04.0206</t>
  </si>
  <si>
    <t>FONDO AMM ELABORATORI ELETTRONICI, TERMINALI E STAMPANTI</t>
  </si>
  <si>
    <t>1.01.02.04.0207</t>
  </si>
  <si>
    <t>FONDO AMM IMPIANTI ELETTRICI</t>
  </si>
  <si>
    <t>1.01.02.04.0208</t>
  </si>
  <si>
    <t>FONDO AMMIMPIANTI IDRAULICI E DI RISCALDAMENTO</t>
  </si>
  <si>
    <t>1.01.02.04.0209</t>
  </si>
  <si>
    <t>FONDO AMM IMPIANTI TELEFONICI E DI RETE</t>
  </si>
  <si>
    <t>1.01.02.04.0210</t>
  </si>
  <si>
    <t>FONDO AMM ALTRI IMPIANTI</t>
  </si>
  <si>
    <t>1.01.02.04.0211</t>
  </si>
  <si>
    <t>FONDO AMM MACCHINARI ELETTRICI</t>
  </si>
  <si>
    <t>1.01.02.04.0212</t>
  </si>
  <si>
    <t>FONDO AMM ALTRI MACCHINARI</t>
  </si>
  <si>
    <t>1.01.02.04.0213</t>
  </si>
  <si>
    <t>FONDO AMM MANUTENZIONE STRAORD IMPIANTI E MACCHINARI NON SANITARI</t>
  </si>
  <si>
    <t>1.01.02.04.0214</t>
  </si>
  <si>
    <t>FONDO AMM IMPIANTI DI ALLARME E SICUREZZA</t>
  </si>
  <si>
    <t>ATTREZZATURE SANITARIE E SCIENTIFICHE (AL NETTO DEL F.DO AMM.TO)</t>
  </si>
  <si>
    <t>Attrezzature sanitarie e scientifiche (al netto del F.do Amm.to)</t>
  </si>
  <si>
    <t>A.II.4) Attrezzature sanitarie e scientifiche</t>
  </si>
  <si>
    <t>1.01.02.05.0101</t>
  </si>
  <si>
    <t>ATTREZZATURE SANITARIE</t>
  </si>
  <si>
    <t>Attrezzature sanitarie e scientifiche</t>
  </si>
  <si>
    <t>AAA420</t>
  </si>
  <si>
    <t>A.II.4.a) Attrezzature sanitarie e scientifiche</t>
  </si>
  <si>
    <t>1.01.02.05.0102</t>
  </si>
  <si>
    <t>ATTREZZATURE SANITARIE AD ALTA TECNOLOGIA</t>
  </si>
  <si>
    <t>1.01.02.05.0103</t>
  </si>
  <si>
    <t>ATTREZZATURE PER LABORATORI DI ANALISI</t>
  </si>
  <si>
    <t>1.01.02.05.0104</t>
  </si>
  <si>
    <t>ATTREZZATURE SANITARIE DIVERSE</t>
  </si>
  <si>
    <t>1.01.02.05.0105</t>
  </si>
  <si>
    <t>MANUTENZIONE STRAORD ATTREZZATURE</t>
  </si>
  <si>
    <t>1.01.02.05.0106</t>
  </si>
  <si>
    <t>APPARECCHIATURE ELETROMEDICALI</t>
  </si>
  <si>
    <t>1.01.02.05.0107</t>
  </si>
  <si>
    <t>STRUMENTARIO CHIRURGICO</t>
  </si>
  <si>
    <t>1.01.02.05.0201</t>
  </si>
  <si>
    <t>FONDO AMM ATTREZZATURE SANITARIE</t>
  </si>
  <si>
    <t>F.do Amm.to Attrezzature sanitarie e scientifiche</t>
  </si>
  <si>
    <t>AAA430</t>
  </si>
  <si>
    <t>A.II.4.b) F.do Amm.to Attrezzature sanitarie e scientifiche</t>
  </si>
  <si>
    <t>1.01.02.05.0202</t>
  </si>
  <si>
    <t>FONDO AMM ATTREZZATURE SANITARIE AD ALTA TECNOLOGIA</t>
  </si>
  <si>
    <t>1.01.02.05.0203</t>
  </si>
  <si>
    <t>FONDO AMM ATTREZZATURE PER LABORATORI DI ANALISI</t>
  </si>
  <si>
    <t>1.01.02.05.0204</t>
  </si>
  <si>
    <t>FONDO AMM ATTREZZATURE SANITARIE DIVERSE</t>
  </si>
  <si>
    <t>1.01.02.05.0205</t>
  </si>
  <si>
    <t>FONDO AMM MANUTENZIONE STRAORD ATTREZZATURE</t>
  </si>
  <si>
    <t>1.01.02.05.0206</t>
  </si>
  <si>
    <t>FONDO AMM  STRUMENTARIO CHIRURGICO</t>
  </si>
  <si>
    <t>1.01.02.05.0207</t>
  </si>
  <si>
    <t>FONDO AMM  APPARECCHIATURE ELETTROMEDICALI</t>
  </si>
  <si>
    <t>MOBILI E ARREDI (AL NETTO DEL F.DO AMM.TO)</t>
  </si>
  <si>
    <t>Mobili e arredi (al netto del F.do Amm.to)</t>
  </si>
  <si>
    <t>A.II.5.a) Mobili e arredi</t>
  </si>
  <si>
    <t>1.01.02.06.0101</t>
  </si>
  <si>
    <t>MOBILI E ARREDI SANITARI</t>
  </si>
  <si>
    <t>Mobili e arredi</t>
  </si>
  <si>
    <t>AAA450</t>
  </si>
  <si>
    <t>1.01.02.06.0102</t>
  </si>
  <si>
    <t>MOBILI E ARREDI D'UFFICIO</t>
  </si>
  <si>
    <t>1.01.02.06.0103</t>
  </si>
  <si>
    <t>ALTRI MOBILI E ARREDI</t>
  </si>
  <si>
    <t>1.01.02.06.0104</t>
  </si>
  <si>
    <t>ALTRI MOBILI E ARREDI SANITARI IN USO ISMETT</t>
  </si>
  <si>
    <t>1.01.02.06.0105</t>
  </si>
  <si>
    <t>ALTRI MOBILI E ARREDI UFFICIO ISMETT</t>
  </si>
  <si>
    <t>1.01.02.06.0201</t>
  </si>
  <si>
    <t>FONDO AMM MOBILI E ARREDI SANITARI</t>
  </si>
  <si>
    <t>F.do Amm.to Mobili e arredi</t>
  </si>
  <si>
    <t>AAA460</t>
  </si>
  <si>
    <t>A.II.5.b) F.do Amm.to Mobili e arredi</t>
  </si>
  <si>
    <t>1.01.02.06.0202</t>
  </si>
  <si>
    <t>FONDO AMM MOBILI E ARREDI D'UFFICIO</t>
  </si>
  <si>
    <t>1.01.02.06.0203</t>
  </si>
  <si>
    <t>FONDO AMM ALTRI MOBILI E ARREDI</t>
  </si>
  <si>
    <t>AUTOMEZZI E ALTRI MEZZI DI TRASPORTO (AL NETTO DEL F.DO AMM.TO)</t>
  </si>
  <si>
    <t>Automezzi e altri mezzi di trasporto (al netto del F.do Amm.to)</t>
  </si>
  <si>
    <t>A.II.6) Automezzi</t>
  </si>
  <si>
    <t>1.01.02.07.0101</t>
  </si>
  <si>
    <t>AMBULANZE</t>
  </si>
  <si>
    <t>Automezzi</t>
  </si>
  <si>
    <t>AAA480</t>
  </si>
  <si>
    <t>A.II.6.a) Automezzi</t>
  </si>
  <si>
    <t>1.01.02.07.0102</t>
  </si>
  <si>
    <t>AUTOMEZZI</t>
  </si>
  <si>
    <t>1.01.02.07.0103</t>
  </si>
  <si>
    <t>ALTRI MEZZI DI TRASPORTO</t>
  </si>
  <si>
    <t>1.01.02.07.0201</t>
  </si>
  <si>
    <t>FONDO AMMORTAMENTO AMBULANZE</t>
  </si>
  <si>
    <t>F.do Amm.to Automezzi</t>
  </si>
  <si>
    <t>AAA490</t>
  </si>
  <si>
    <t>A.II.6.b) F.do Amm.to Automezzi</t>
  </si>
  <si>
    <t>1.01.02.07.0202</t>
  </si>
  <si>
    <t>FONDO AMMORTAMENTO AUTOMEZZI</t>
  </si>
  <si>
    <t>1.01.02.07.0203</t>
  </si>
  <si>
    <t>FONDO AMMORTAMENTO ALTRI MEZZI DI TRASPORTO</t>
  </si>
  <si>
    <t>OGGETTI D'ARTE</t>
  </si>
  <si>
    <t>A.II.7) Oggetti d'arte</t>
  </si>
  <si>
    <t>1.01.02.08.0101</t>
  </si>
  <si>
    <t>MOBILI E ARREDI AD ELEVATO VALORE ARTISTICO</t>
  </si>
  <si>
    <t>ALTRE IMMOBILIZZAZIONI MATERIALI (AL NETTO DEL F.DO AMM.TO)</t>
  </si>
  <si>
    <t>Altre immobilizzazioni materiali (al netto del F.do Amm.to)</t>
  </si>
  <si>
    <t>A.II.8) Altre immobilizzazioni materiali</t>
  </si>
  <si>
    <t>1.01.02.09.0101</t>
  </si>
  <si>
    <t>ATTREZZATURE TECNICO-ECONOMALI</t>
  </si>
  <si>
    <t>Altre immobilizzazioni materiali</t>
  </si>
  <si>
    <t>AAA520</t>
  </si>
  <si>
    <t>A.II.8.a) Altre immobilizzazioni materiali</t>
  </si>
  <si>
    <t>1.01.02.09.0102</t>
  </si>
  <si>
    <t>BENI DIVERSI</t>
  </si>
  <si>
    <t>1.01.02.09.0103</t>
  </si>
  <si>
    <t>MACCHINE ELETTRICHE UFFICIO</t>
  </si>
  <si>
    <t>1.01.02.09.0104</t>
  </si>
  <si>
    <t>BIBLIOTECA</t>
  </si>
  <si>
    <t>1.01.02.09.0201</t>
  </si>
  <si>
    <t>FONDO AMM ATTREZZATURE TECNICO-ECONOMALI</t>
  </si>
  <si>
    <t>F.do Amm.to Altre immobilizzazioni materiali</t>
  </si>
  <si>
    <t>AAA530</t>
  </si>
  <si>
    <t>A.II.8.b) F.do Amm.to Altre immobilizzazioni materiali</t>
  </si>
  <si>
    <t>1.01.02.09.0202</t>
  </si>
  <si>
    <t>FONDO AMM BENI DIVERSI</t>
  </si>
  <si>
    <t>1.01.02.09.0203</t>
  </si>
  <si>
    <t>FONDO AMMORTAMENTO BIBLIOTECA</t>
  </si>
  <si>
    <t>1.01.02.09.0204</t>
  </si>
  <si>
    <t>FONDO AMMORTAMENTO MACCHINE ELETTRICHE D'UFFICIO</t>
  </si>
  <si>
    <t>IMMOBILIZZAZIONI MATERIALI IN CORSO E ACCONTI</t>
  </si>
  <si>
    <t>Immobilizzazioni materiali in corso e acconti</t>
  </si>
  <si>
    <t>A.II.9</t>
  </si>
  <si>
    <t>A.II.9) Immobilizzazioni materiali in corso e acconti</t>
  </si>
  <si>
    <t>1.01.02.10.0101</t>
  </si>
  <si>
    <t>F.DO SVALUT. IMMOBILIZZAZIONI MATERALI</t>
  </si>
  <si>
    <t>F.do Svalut. Immobilizzazioni materali</t>
  </si>
  <si>
    <t>AAA550</t>
  </si>
  <si>
    <t>A.II.10) Fondo Svalutazione immobilizzazioni materiali</t>
  </si>
  <si>
    <t>1.01.02.11.0101</t>
  </si>
  <si>
    <t>F.DO SVALUT. TERRENI</t>
  </si>
  <si>
    <t>F.do Svalut. Terreni</t>
  </si>
  <si>
    <t>AAA560</t>
  </si>
  <si>
    <t>A.II.10.a) F.do Svalut. Terreni</t>
  </si>
  <si>
    <t>1.01.02.11.0201</t>
  </si>
  <si>
    <t>F.DO SVALUT. FABBRICATI</t>
  </si>
  <si>
    <t>F.do Svalut. Fabbricati</t>
  </si>
  <si>
    <t>AAA570</t>
  </si>
  <si>
    <t>A.II.10.b) F.do Svalut. Fabbricati</t>
  </si>
  <si>
    <t>1.01.02.11.0301</t>
  </si>
  <si>
    <t>F.DO SVALUT. IMPIANTI E MACCHINARI</t>
  </si>
  <si>
    <t>F.do Svalut. Impianti e macchinari</t>
  </si>
  <si>
    <t>AAA580</t>
  </si>
  <si>
    <t>A.II.10.c) F.do Svalut. Impianti e macchinari</t>
  </si>
  <si>
    <t>1.01.02.11.0401</t>
  </si>
  <si>
    <t>F.DO SVALUT. ATTREZZATURE SANITARIE E SCIENTIFICHE</t>
  </si>
  <si>
    <t>F.do Svalut. Attrezzature sanitarie e scientifiche</t>
  </si>
  <si>
    <t>AAA590</t>
  </si>
  <si>
    <t>A.II.10.d) F.do Svalut. Attrezzature sanitarie e scientifiche</t>
  </si>
  <si>
    <t>1.01.02.11.0501</t>
  </si>
  <si>
    <t>F.DO SVALUT. MOBILI E ARREDI</t>
  </si>
  <si>
    <t>F.do Svalut. Mobili e arredi</t>
  </si>
  <si>
    <t>AAA600</t>
  </si>
  <si>
    <t>A.II.10.e) F.do Svalut. Mobili e arredi</t>
  </si>
  <si>
    <t>1.01.02.11.0601</t>
  </si>
  <si>
    <t>F.DO SVALUT. AUTOMEZZI</t>
  </si>
  <si>
    <t>F.do Svalut. Automezzi</t>
  </si>
  <si>
    <t>AAA610</t>
  </si>
  <si>
    <t>A.II.10.f) F.do Svalut. Automezzi</t>
  </si>
  <si>
    <t>1.01.02.11.0701</t>
  </si>
  <si>
    <t>F.DO SVALUT. OGGETTI D'ARTE</t>
  </si>
  <si>
    <t>F.do Svalut. Oggetti d'arte</t>
  </si>
  <si>
    <t>AAA620</t>
  </si>
  <si>
    <t>A.II.10.g) F.do Svalut. Oggetti d'arte</t>
  </si>
  <si>
    <t>1.01.02.11.0801</t>
  </si>
  <si>
    <t>F.DO SVALUT. ALTRE IMMOBILIZZAZIONI MATERIALI</t>
  </si>
  <si>
    <t>F.do Svalut. Altre immobilizzazioni materiali</t>
  </si>
  <si>
    <t>AAA630</t>
  </si>
  <si>
    <t>A.II.10.h) F.do Svalut. Altre immobilizzazioni materiali</t>
  </si>
  <si>
    <t>IMMOBILIZZAZIONI FINANZIARIE</t>
  </si>
  <si>
    <t>AAA640</t>
  </si>
  <si>
    <t>CREDITI FINANZIARI V/STATO</t>
  </si>
  <si>
    <t>Crediti finanziari v/Stato</t>
  </si>
  <si>
    <t>A.III.1.a) Crediti finanziari v/Stato</t>
  </si>
  <si>
    <t>1.01.03.01.0101</t>
  </si>
  <si>
    <t>A.III.1.b) Crediti finanziari v/Regione</t>
  </si>
  <si>
    <t>CREDITI FINANZIARI V/REGIONE</t>
  </si>
  <si>
    <t>Crediti finanziari v/Regione</t>
  </si>
  <si>
    <t>1.01.03.02.0101</t>
  </si>
  <si>
    <t>CREDITI FINANZIARI V/PARTECIPATE</t>
  </si>
  <si>
    <t>Crediti finanziari v/partecipate</t>
  </si>
  <si>
    <t>A.III.1.c) Crediti finanziari v/partecipate</t>
  </si>
  <si>
    <t>1.01.03.03.0101</t>
  </si>
  <si>
    <t>CREDITI FINANZIARI VERSO IMPRESE CONTROLLATE</t>
  </si>
  <si>
    <t>Crediti finanziari v/imprese controllate</t>
  </si>
  <si>
    <t>1.01.03.03.0201</t>
  </si>
  <si>
    <t>CREDITI FINANZIARI VERSO IMPRESE COLLEGATE</t>
  </si>
  <si>
    <t>Crediti finanziari v/imprese collegate</t>
  </si>
  <si>
    <t>CREDITI FINANZIARI V/ALTRI</t>
  </si>
  <si>
    <t>Crediti finanziari v/altri</t>
  </si>
  <si>
    <t>A.III.1.d) Crediti finanziari v/altri</t>
  </si>
  <si>
    <t>1.01.03.04.0101</t>
  </si>
  <si>
    <t>CREDITI FINANZIARI V/PROVINCIA</t>
  </si>
  <si>
    <t>Crediti finanziari v/Provincia</t>
  </si>
  <si>
    <t>1.01.03.04.0201</t>
  </si>
  <si>
    <t>CREDITI FINANZIARI V/COMUNI</t>
  </si>
  <si>
    <t>Crediti finanziari v/Comuni</t>
  </si>
  <si>
    <t>1.01.03.04.0301</t>
  </si>
  <si>
    <t>1.01.03.04.0401</t>
  </si>
  <si>
    <t>DEPOSITI CAUZIONALI</t>
  </si>
  <si>
    <t>1.01.03.04.0501</t>
  </si>
  <si>
    <t>Fondo svalutazione crediti</t>
  </si>
  <si>
    <t>PARTECIPAZIONI</t>
  </si>
  <si>
    <t>Partecipazioni</t>
  </si>
  <si>
    <t>A.III.2.a) Partecipazioni</t>
  </si>
  <si>
    <t>1.01.03.05.0101</t>
  </si>
  <si>
    <t>PARTECIPAZIONI IN IMPRESE CONTROLLATE E COLLEGATE</t>
  </si>
  <si>
    <t>Partecipazioni in imprese controllate</t>
  </si>
  <si>
    <t>1.01.03.05.0102</t>
  </si>
  <si>
    <t>SOCIETA SICILIA EMERGENZA-URGENZA SANITARIA SOCIETA CONSORTILE PER AZIONI</t>
  </si>
  <si>
    <t>1.01.03.05.0201</t>
  </si>
  <si>
    <t>PARTECIPAZIONI IN IMPRESE COLLEGATE</t>
  </si>
  <si>
    <t>Partecipazioni in imprese collegate</t>
  </si>
  <si>
    <t>1.01.03.05.9901</t>
  </si>
  <si>
    <t>PARTECIPAZIONI IN ALTRE IMPRESE</t>
  </si>
  <si>
    <t>99</t>
  </si>
  <si>
    <t>Partecipazioni in altre imprese</t>
  </si>
  <si>
    <t>ALTRI TITOLI</t>
  </si>
  <si>
    <t>Altri titoli</t>
  </si>
  <si>
    <t>A.III.2.b) Altri titoli</t>
  </si>
  <si>
    <t>1.01.03.06.0101</t>
  </si>
  <si>
    <t>TITOLI DI STATO</t>
  </si>
  <si>
    <t>Titoli di Stato</t>
  </si>
  <si>
    <t>A.III.2.b.1) Titoli di Stato</t>
  </si>
  <si>
    <t>1.01.03.06.0201</t>
  </si>
  <si>
    <t>TITOLI OBBLIGAZIONARI</t>
  </si>
  <si>
    <t>Altre Obbligazioni</t>
  </si>
  <si>
    <t>A.III.2.b.2) Altre Obbligazioni</t>
  </si>
  <si>
    <t>1.01.03.06.0301</t>
  </si>
  <si>
    <t>TITOLI AZIONARI</t>
  </si>
  <si>
    <t>Titoli azionari quotati in Borsa</t>
  </si>
  <si>
    <t>A.III.2.b.3) Titoli azionari quotati in Borsa</t>
  </si>
  <si>
    <t>1.01.03.06.0401</t>
  </si>
  <si>
    <t>Titoli diversi</t>
  </si>
  <si>
    <t>A.III.2.b.4) Titoli diversi</t>
  </si>
  <si>
    <t>ATTIVO CIRCOLANTE</t>
  </si>
  <si>
    <t xml:space="preserve">B  </t>
  </si>
  <si>
    <t>ABZ999</t>
  </si>
  <si>
    <t>B.I</t>
  </si>
  <si>
    <t>ABA000</t>
  </si>
  <si>
    <t>PRODOTTI FARMACEUTICI ED EMODERIVATI</t>
  </si>
  <si>
    <t>Prodotti farmaceutici ed emoderivati</t>
  </si>
  <si>
    <t>1.02.01.01.0101</t>
  </si>
  <si>
    <t>RIMANENZE FINALI DI  FARMACI</t>
  </si>
  <si>
    <t>Rimanenze Finali Medicinali - con AIC- eccetto vaccini, emoderivati, ossigeno e mezzi di contrasto</t>
  </si>
  <si>
    <t>B.I.1.a) Prodotti farmaceutici ed emoderivati</t>
  </si>
  <si>
    <t>1.02.01.01.0102</t>
  </si>
  <si>
    <t>RIMANENZE FINALI DI     FARMACI RIENTRANTI NEL FLUSSO F</t>
  </si>
  <si>
    <t>1.02.01.01.0103</t>
  </si>
  <si>
    <t>RIMANENZE FINALI DI  FARMACI RIENTRANTI NEL FLUSSO T</t>
  </si>
  <si>
    <t>1.02.01.01.0104</t>
  </si>
  <si>
    <t>RIMANENZE FINALI DI   FARMACI ° CICLO TERAPIA</t>
  </si>
  <si>
    <t>1.02.01.01.0105</t>
  </si>
  <si>
    <t>RIMANENZE FINALI DI    SOLUZIONI FISIOLOGICHE</t>
  </si>
  <si>
    <t>1.02.01.01.0106</t>
  </si>
  <si>
    <t>RIMANENZE DI FARMACI INCLUSI NEL PHT</t>
  </si>
  <si>
    <t>1.02.01.01.0201</t>
  </si>
  <si>
    <t>RIMANENZE FINALI MEZZI DI CONTRASTO PER RADIOLOGIA</t>
  </si>
  <si>
    <t>Rimanenze Finali Mezzi di contrasto per radiologia</t>
  </si>
  <si>
    <t>1.02.01.01.0301</t>
  </si>
  <si>
    <t>RIMANENZE FINALI OSSIGENO - CON AIC</t>
  </si>
  <si>
    <t>Rimanenze Finali Ossigeno - con AIC</t>
  </si>
  <si>
    <t>1.02.01.01.0401</t>
  </si>
  <si>
    <t>RIMANENZE FINALI EMODERIVATI CON AIC- AD ECCEZIONE DI PRODUZIONE REGIONALE</t>
  </si>
  <si>
    <t>Rimanenze Finali Emoderivati con AIC- ad eccezione di produzione regionale</t>
  </si>
  <si>
    <t>1.02.01.01.0501</t>
  </si>
  <si>
    <t>RIMANENZE FINALI OSSIGENO - SENZA AIC</t>
  </si>
  <si>
    <t>Rimanenze Finali Ossigeno - senza AIC</t>
  </si>
  <si>
    <t>1.02.01.01.0601</t>
  </si>
  <si>
    <t>RIMANENZE FINALI MEDICINALI - SENZA AIC- ECCETTO OSSIGENO</t>
  </si>
  <si>
    <t>Rimanenze Finali Medicinali - senza AIC- eccetto ossigeno</t>
  </si>
  <si>
    <t>1.02.01.01.0701</t>
  </si>
  <si>
    <t>RIMANENZE FINALI EMODERIVATI DI PRODUZIONE REGIONALE</t>
  </si>
  <si>
    <t>Rimanenze Finali Emoderivati di produzione regionale</t>
  </si>
  <si>
    <t>SANGUE ED EMOCOMPONENTI</t>
  </si>
  <si>
    <t>1.02.01.02.0101</t>
  </si>
  <si>
    <t>RIMANENZE FINALI SANGUE ED EMOCOMPONENTI DA PUBBLICO (AZIENDE SANITARIE PUBBLICHE DELLA REGIONE)  - MOBILITA INTRAREGIONALE</t>
  </si>
  <si>
    <t>Rimanenze Finali Sangue ed emocomponenti da pubblico (Aziende sanitarie pubbliche della Regione)  - Mobilità intraregionale</t>
  </si>
  <si>
    <t>B.I.1.b) Sangue ed emocomponenti</t>
  </si>
  <si>
    <t>1.02.01.02.0201</t>
  </si>
  <si>
    <t>RIMANENZE FINALI SANGUE ED EMOCOMPONENTI DA PUBBLICO (AZIENDE SANITARIE PUBBLICHE DELLA REGIONE)  - MOBILITA EXTRA REGIONE</t>
  </si>
  <si>
    <t>Rimanenze Finali Sangue ed emocomponenti da pubblico (Aziende sanitarie pubbliche della Regione)  - Mobilità etrra Regione</t>
  </si>
  <si>
    <t>1.02.01.02.0301</t>
  </si>
  <si>
    <t>RIMANENZE FINALI SANGUE ED EMOCOMPONENTI DA ALTRI SOGGETTI</t>
  </si>
  <si>
    <t xml:space="preserve">Rimanenze Finali Sangue ed emocomponenti da altri soggetti </t>
  </si>
  <si>
    <t>DISPOSITIVI MEDICI</t>
  </si>
  <si>
    <t>1.02.01.03.0101</t>
  </si>
  <si>
    <t>RIMANENZE FINALI DISPOSITIVI DA SOMMINISTRAZIONE, PRELIEVO E RACCOLTA (A)</t>
  </si>
  <si>
    <t>Rimanenze Finali Dispositivi da somministrazione, prelievo e raccolta (A)</t>
  </si>
  <si>
    <t>B.I.1.c) Dispositivi medici</t>
  </si>
  <si>
    <t>1.02.01.03.0201</t>
  </si>
  <si>
    <t>RIMANENZE FINALI PRESIDI MEDICO-CHIRURGICI SPECIALISTICI (B, G, N, Q, R, U)</t>
  </si>
  <si>
    <t>Rimanenze Finali Presidi medico-chirurgici specialistici (B, G, N, Q, R, U)</t>
  </si>
  <si>
    <t>1.02.01.03.0301</t>
  </si>
  <si>
    <t>RIMANENZE FINALI PRESIDI MEDICO-CHIRURGICI GENERICI (H, M, T01, T02, T03)</t>
  </si>
  <si>
    <t>Rimanenze Finali Presidi medico-chirurgici generici (H, M, T01, T02, T03)</t>
  </si>
  <si>
    <t>1.02.01.03.0401</t>
  </si>
  <si>
    <t>RIMANENZE FINALI DISPOSITIVI PER APPARATO CARDIOCIRCOLATORIO (C)</t>
  </si>
  <si>
    <t>Rimanenze Finali Dispositivi per apparato cardiocircolatorio (C)</t>
  </si>
  <si>
    <t>1.02.01.03.0501</t>
  </si>
  <si>
    <t>RIMANENZE FINALI DISINFETTANTI E PRODOTTI PER STERILIZZAZIONE E DISPOSITIVI VARI (D, S)</t>
  </si>
  <si>
    <t>Rimanenze Finali Disinfettanti e prodotti per sterilizzazione e dispositivi vari (D, S)</t>
  </si>
  <si>
    <t>1.02.01.03.0601</t>
  </si>
  <si>
    <t>RIMANENZE FINALI MATERIALE PER DIALISI (F)</t>
  </si>
  <si>
    <t>Rimanenze Finali Materiale per dialisi (F)</t>
  </si>
  <si>
    <t>1.02.01.03.0701</t>
  </si>
  <si>
    <t>RIMANENZE FINALI STRUMENTARIO CHIRURGICO (K, L)</t>
  </si>
  <si>
    <t>Rimanenze Finali Strumentario chirurgico (K, L)</t>
  </si>
  <si>
    <t>1.02.01.03.0801</t>
  </si>
  <si>
    <t>RIMANENZE FINALI MATERIALE RADIOGRAFICO (Z 13)</t>
  </si>
  <si>
    <t>Rimanenze Finali Materiale radiografico (Z 13)</t>
  </si>
  <si>
    <t>1.02.01.03.0901</t>
  </si>
  <si>
    <t>RIMANENZE FINALI SUPPORTI O AUSILI TECNICI PER PERSONE DISABILI (Y)</t>
  </si>
  <si>
    <t>Rimanenze Finali Supporti o ausili tecnici per persone disabili (Y)</t>
  </si>
  <si>
    <t>1.02.01.03.1001</t>
  </si>
  <si>
    <t>RIMANENZE FINALI AUSILI PER INCONTINENZA (T04)</t>
  </si>
  <si>
    <t>10</t>
  </si>
  <si>
    <t>Rimanenze Finali Ausili per incontinenza (T04)</t>
  </si>
  <si>
    <t>1.02.01.03.1101</t>
  </si>
  <si>
    <t>RIMANENZE FINALI DISPOSITIVI PROTESICI IMPIANTABILI E PRODOTTI PER OSTEOSINTESI (P) - PROTESI VARIE</t>
  </si>
  <si>
    <t>11</t>
  </si>
  <si>
    <t>Rimanenze Finali Dispositivi protesici impiantabili e prodotti per osteosintesi (P)</t>
  </si>
  <si>
    <t>1.02.01.03.1102</t>
  </si>
  <si>
    <t>RIMANENZE FINALI DISPOSITIVI PROTESICI IMPIANTABILI E PRODOTTI PER OSTEOSINTESI (P)- PROTESI ORTOPEDICHE</t>
  </si>
  <si>
    <t>1.02.01.03.1103</t>
  </si>
  <si>
    <t>RIMANENZE FINALI DISPOSITIVI PROTESICI IMPIANTABILI E PRODOTTI PER OSTEOSINTESI (P)- PROTESI PER CHIRURGIA</t>
  </si>
  <si>
    <t>1.02.01.03.1104</t>
  </si>
  <si>
    <t>RIMANENZE FINALI DISPOSITIVI PROTESICI IMPIANTABILI E PRODOTTI PER OSTEOSINTESI (P) - PROTESI PER EMODINAMICA</t>
  </si>
  <si>
    <t>1.02.01.03.1105</t>
  </si>
  <si>
    <t>RIMANENZE FINALI DISPOSITIVI PROTESICI IMPIANTABILI E PRODOTTI PER OSTEOSINTESI (P) - PROTESI PER UROLOGIA</t>
  </si>
  <si>
    <t>1.02.01.03.1106</t>
  </si>
  <si>
    <t>RIMANENZE FINALI DISPOSITIVI PROTESICI IMPIANTABILI E PRODOTTI PER OSTEOSINTESI (P) - PROTESI PER OCULISTICA</t>
  </si>
  <si>
    <t>1.02.01.03.1201</t>
  </si>
  <si>
    <t>RIMANENZE FINALI DISPOSITIVI VARI (V)</t>
  </si>
  <si>
    <t>12</t>
  </si>
  <si>
    <t>Rimanenze Finali Dispositivi vari (V)</t>
  </si>
  <si>
    <t>1.02.01.03.1301</t>
  </si>
  <si>
    <t>RIMANENZE FINALI DISPOSITIVI IMPIANTABILI ATTIVI (J) - PACEMAKER</t>
  </si>
  <si>
    <t>13</t>
  </si>
  <si>
    <t>Rimanenze Finali Dispositivi impiantabili attivi (J)</t>
  </si>
  <si>
    <t>1.02.01.03.1302</t>
  </si>
  <si>
    <t>RIMANENZE FINALI DISPOSITIVI IMPIANTABILI ATTIVI (J) VARI</t>
  </si>
  <si>
    <t>1.02.01.03.1401</t>
  </si>
  <si>
    <t>RIMANENZE FINALI REAGENTI DIAGNOSTICI (W1)</t>
  </si>
  <si>
    <t>14</t>
  </si>
  <si>
    <t>Rimanenze Finali Reagenti Diagnostici (W1)</t>
  </si>
  <si>
    <t>1.02.01.03.1501</t>
  </si>
  <si>
    <t>RIMANENZE FINALI DISPOSITIVI MEDICO DIAGNOSTICI IN VITRO (IVD) (W2, W3)</t>
  </si>
  <si>
    <t>15</t>
  </si>
  <si>
    <t>Rimanenze Finali Dispositivi medico diagnostici in vitro (IVD) (W2, W3)</t>
  </si>
  <si>
    <t>PRODOTTI DIETETICI</t>
  </si>
  <si>
    <t>1.02.01.04.0101</t>
  </si>
  <si>
    <t>RIMANENZE FINALI PRODOTTI DIETETICI</t>
  </si>
  <si>
    <t>Rimanenze Finali Prodotti dietetici</t>
  </si>
  <si>
    <t>B.I.1.d) Prodotti dietetici</t>
  </si>
  <si>
    <t>MATERIALI PER LA PROFILASSI (VACCINI)</t>
  </si>
  <si>
    <t>1.02.01.05.0101</t>
  </si>
  <si>
    <t>RIMANENZE FINALI MATERIALI PER LA PROFILASSI (VACCINI)</t>
  </si>
  <si>
    <t>Rimanenze Finali Materiali per la profilassi (vaccini)</t>
  </si>
  <si>
    <t>B.I.1.e) Materiali per la profilassi (vaccini)</t>
  </si>
  <si>
    <t>PRODOTTI CHIMICI</t>
  </si>
  <si>
    <t>1.02.01.06.0101</t>
  </si>
  <si>
    <t>RIMANENZE FINALI PRODOTTI CHIMICI</t>
  </si>
  <si>
    <t>Rimanenze Finali Prodotti chimici</t>
  </si>
  <si>
    <t>B.I.1.f) Prodotti chimici</t>
  </si>
  <si>
    <t>MATERIALI E PRODOTTI PER USO VETERINARIO</t>
  </si>
  <si>
    <t>1.02.01.07.0101</t>
  </si>
  <si>
    <t>RIMANENZE FINALI FARMACI PER USO VETERINARIO</t>
  </si>
  <si>
    <t>Rimanenze Finali Farmaci per uso veterinario</t>
  </si>
  <si>
    <t>B.I.1.g) Materiali e prodotti per uso veterinario</t>
  </si>
  <si>
    <t>1.02.01.07.0201</t>
  </si>
  <si>
    <t>RIMANENZE FINALI ALTRI MATERIALI E PRODOTTI PER USO VETERINARIO</t>
  </si>
  <si>
    <t>Rimanenze Finali Altri materiali e prodotti per uso veterinario</t>
  </si>
  <si>
    <t>ALTRI BENI E PRODOTTI SANITARI</t>
  </si>
  <si>
    <t>Altri beni e prodotti sanitari</t>
  </si>
  <si>
    <t>1.02.01.08.0101</t>
  </si>
  <si>
    <t>RIMANENZE FINALI ALTRI BENI E PRODOTTI SANITARI - GAS MEDICALI SENZA AIC</t>
  </si>
  <si>
    <t>Rimanenze Finali Altri beni e prodotti sanitari</t>
  </si>
  <si>
    <t>B.I.1.h) Altri beni e prodotti sanitari</t>
  </si>
  <si>
    <t>1.02.01.08.0102</t>
  </si>
  <si>
    <t>RIMANENZE FINALI ALTRI BENI E PRODOTTI SANITARI</t>
  </si>
  <si>
    <t>1.02.01.08.0103</t>
  </si>
  <si>
    <t>RIMANENZE FINALI ALTRI BENI E PRODOTTI SANITARI - LABORATORIO</t>
  </si>
  <si>
    <t>1.02.01.08.0104</t>
  </si>
  <si>
    <t>RIMANENZE FINALI ALTRI BENI E PRODOTTI SANITARI - GAS MEDICALI CON AIC</t>
  </si>
  <si>
    <t>ACCONTI PER ACQUISTO DI BENI E PRODOTTI SANITARI</t>
  </si>
  <si>
    <t>Acconti per acquisto di beni e prodotti sanitari</t>
  </si>
  <si>
    <t>1.02.01.09.0101</t>
  </si>
  <si>
    <t>B.I.1.i) Acconti per acquisto di beni e prodotti sanitari</t>
  </si>
  <si>
    <t>PRODOTTI ALIMENTARI</t>
  </si>
  <si>
    <t>1.02.01.10.0101</t>
  </si>
  <si>
    <t>RIMANENZE FINALI PRODOTTI ALIMENTARI</t>
  </si>
  <si>
    <t>Rimanenze Finali Prodotti alimentari</t>
  </si>
  <si>
    <t>B.I.2.a) Prodotti alimentari</t>
  </si>
  <si>
    <t>MATERIALI DI GUARDAROBA, DI PULIZIA, E DI CONVIVENZA IN GENERE</t>
  </si>
  <si>
    <t>Materiali di guardaroba, di pulizia, e di convivenza in genere</t>
  </si>
  <si>
    <t>B.I.2.b) Materiali di guardaroba, di pulizia, e di convivenza in genere</t>
  </si>
  <si>
    <t>1.02.01.11.0101</t>
  </si>
  <si>
    <t>RIMANENZE FINALI MATERIALI DI GUARDAROBA, DI PULIZIA E DI CONVIVENZA IN GENERE</t>
  </si>
  <si>
    <t>Rimanenze Finali Materiali di guardaroba, di pulizia e di convivenza in genere</t>
  </si>
  <si>
    <t>COMBUSTIBILI, CARBURANTI E LUBRIFICANTI</t>
  </si>
  <si>
    <t>B.I.2.c) Combustibili, carburanti e lubrificanti</t>
  </si>
  <si>
    <t>1.02.01.12.0101</t>
  </si>
  <si>
    <t>RIMANENZE FINALI COMBUSTIBILI CARBURANTI E LUBRIFICANTI</t>
  </si>
  <si>
    <t>Rimanenze Finali Combustibili carburanti e lubrificanti</t>
  </si>
  <si>
    <t>SUPPORTI INFORMATICI E CANCELLERIA</t>
  </si>
  <si>
    <t>B.I.2.d) Supporti informatici e cancelleria</t>
  </si>
  <si>
    <t>1.02.01.13.0101</t>
  </si>
  <si>
    <t>RIMANENZE FINALI SUPPORTI INFORMATICI E CANCELLERIA</t>
  </si>
  <si>
    <t>Rimanenze Finali Supporti informatici e cancelleria</t>
  </si>
  <si>
    <t>MATERIALE PER LA MANUTENZIONE</t>
  </si>
  <si>
    <t>B.I.2.e) Materiale per la manutenzione</t>
  </si>
  <si>
    <t>1.02.01.14.0101</t>
  </si>
  <si>
    <t>RIMANENZE FINALI MATERIALE PER LA MANUTENZIONE</t>
  </si>
  <si>
    <t>Rimanenze Finali Materiale per la manutenzione</t>
  </si>
  <si>
    <t>ALTRI BENI E PRODOTTI NON SANITARI</t>
  </si>
  <si>
    <t>Altri beni e prodotti non sanitari</t>
  </si>
  <si>
    <t>B.I.2.f) Altri beni e prodotti non sanitari</t>
  </si>
  <si>
    <t>1.02.01.15.0101</t>
  </si>
  <si>
    <t>RIMANENZE FINALI ALTRI BENI E PRODOTTI NON SANITARI</t>
  </si>
  <si>
    <t>Rimanenze Finali Altri beni e prodotti non sanitari</t>
  </si>
  <si>
    <t>ACCONTI PER ACQUISTO DI BENI E PRODOTTI NON SANITARI</t>
  </si>
  <si>
    <t>Acconti per acquisto di beni e prodotti non sanitari</t>
  </si>
  <si>
    <t>16</t>
  </si>
  <si>
    <t>1.02.01.16.0101</t>
  </si>
  <si>
    <t>B.I.2.g) Acconti per acquisto di beni e prodotti non sanitari</t>
  </si>
  <si>
    <t>ABA200</t>
  </si>
  <si>
    <t>CREDITI V/STATO PER SPESA CORRENTE - INTEGRAZIONE A NORMA DEL D.L.VO 56/2000</t>
  </si>
  <si>
    <t>Crediti v/Stato per spesa corrente - FSN indistinto</t>
  </si>
  <si>
    <t>27</t>
  </si>
  <si>
    <t>B.II.1.a) Crediti v/Stato per spesa corrente - FSN indistinto</t>
  </si>
  <si>
    <t>SS</t>
  </si>
  <si>
    <t>ABA201</t>
  </si>
  <si>
    <t>1.02.02.01.0101</t>
  </si>
  <si>
    <t>1.02.02.27.0101</t>
  </si>
  <si>
    <t>Crediti v/Stato per spesa corrente - FSN vincolato</t>
  </si>
  <si>
    <t>B.II.1.b) Crediti v/Stato per spesa corrente - FSN vincolato</t>
  </si>
  <si>
    <t>1.02.02.02.0101</t>
  </si>
  <si>
    <t>CREDITI V/STATO PER MOBILITA' ATTIVA EXTRAREGIONALE</t>
  </si>
  <si>
    <t>Crediti v/Stato per mobilità attiva extraregionale</t>
  </si>
  <si>
    <t>S</t>
  </si>
  <si>
    <t>B.II.1.c) Crediti v/Stato per mobilità attiva extraregionale</t>
  </si>
  <si>
    <t>1.02.02.03.0101</t>
  </si>
  <si>
    <t>CREDITI V/STATO PER MOBILITA' ATTIVA INTERNAZIONALE</t>
  </si>
  <si>
    <t>Crediti v/Stato per mobilità attiva internazionale</t>
  </si>
  <si>
    <t>B.II.1.d) Crediti v/Stato per mobilità attiva internazionale</t>
  </si>
  <si>
    <t>1.02.02.04.0101</t>
  </si>
  <si>
    <t>CREDITI V/STATO PER MOBILITA ATTIVA INTERNAZIONALE</t>
  </si>
  <si>
    <t>CREDITI V/STATO PER ACCONTO QUOTA FABBISOGNO SANITARIO REGIONALE STANDARD</t>
  </si>
  <si>
    <t>Crediti v/Stato per acconto quota fabbisogno sanitario regionale standard</t>
  </si>
  <si>
    <t>B.II.1.e) Crediti v/Stato per acconto quota fabbisogno sanitario regionale standard</t>
  </si>
  <si>
    <t>1.02.02.05.0101</t>
  </si>
  <si>
    <t>CREDITI V/STATO PER FINANZIAMENTO SANITARIO AGGIUNTIVO CORRENTE</t>
  </si>
  <si>
    <t>Crediti v/Stato per finanziamento sanitario aggiuntivo corrente</t>
  </si>
  <si>
    <t>B.II.1.f) Crediti v/Stato per finanziamento sanitario aggiuntivo corrente</t>
  </si>
  <si>
    <t>1.02.02.06.0101</t>
  </si>
  <si>
    <t>CREDITI V/STATO PER SPESA CORRENTE - ALTRO</t>
  </si>
  <si>
    <t>Crediti v/Stato per spesa corrente - altro</t>
  </si>
  <si>
    <t>B.II.1.g) Crediti v/Stato per spesa corrente - altro</t>
  </si>
  <si>
    <t>1.02.02.07.0101</t>
  </si>
  <si>
    <t>1.02.02.07.0102</t>
  </si>
  <si>
    <t>CREDITI V/ STATO PER PROGETTI SANITARI</t>
  </si>
  <si>
    <t>Crediti v/Stato per spesa corrente per STP (ex D.lgs. 286/98)</t>
  </si>
  <si>
    <t>28</t>
  </si>
  <si>
    <t>ABA271</t>
  </si>
  <si>
    <t>B.II.1.h) Crediti v/Stato per spesa corrente per STP (ex D.lgs. 286/98)</t>
  </si>
  <si>
    <t>1.02.02.28.0101</t>
  </si>
  <si>
    <t>CREDITI V/STATO PER FINANZIAMENTI PER INVESTIMENTI</t>
  </si>
  <si>
    <t>Crediti v/Stato per finanziamenti per investimenti</t>
  </si>
  <si>
    <t>B.II.1.i) Crediti v/Stato per finanziamenti per investimenti</t>
  </si>
  <si>
    <t>1.02.02.08.0101</t>
  </si>
  <si>
    <t>CREDITI V/ STATO PER FINANZIAMENTI IN CONTO CAPITALE EX ART  L /</t>
  </si>
  <si>
    <t>1.02.02.08.0102</t>
  </si>
  <si>
    <t>CREDITI V/ STATO PER FINANZIAMENTI  UE IN CONTO CAPITALE</t>
  </si>
  <si>
    <t>1.02.02.08.0103</t>
  </si>
  <si>
    <t>CREDITI V/ STATO PER ALTRI FINANZIAMENTI IN CONTO CAPITALE</t>
  </si>
  <si>
    <t>1.02.02.08.0104</t>
  </si>
  <si>
    <t>CREDITI V/ STATO X FINANZIAMENTI IN C/CAPITALE EX ART.71 L.448/98 REALIZZAZIONE RETE FOGNARIA</t>
  </si>
  <si>
    <t>1.02.02.08.0105</t>
  </si>
  <si>
    <t>CREDITI V/ STATO X FINANZIAMENTI IN C/CAPITALE PNRR MISSIONE 1.1 INFRASTRUTTURE DIGITALI</t>
  </si>
  <si>
    <t>1.02.02.08.0106</t>
  </si>
  <si>
    <t>CREDITI V/ REGIONE PER FINANZIAMENTI IN CONTO CAPITALE PNRR - INFORMATIZZAZIONE APP IO SPID</t>
  </si>
  <si>
    <t>CREDITI V/STATO PER RICERCA</t>
  </si>
  <si>
    <t>Crediti v/Stato per ricerca</t>
  </si>
  <si>
    <t>ABA290</t>
  </si>
  <si>
    <t>1.02.02.09.0101</t>
  </si>
  <si>
    <t>CREDITI V/STATO PER RICERCA CORRENTE - MINISTERO DELLA SALUTE</t>
  </si>
  <si>
    <t>Crediti v/Stato per ricerca corrente - Ministero della Salute</t>
  </si>
  <si>
    <t>B.II.1.j.1) Crediti v/Stato per ricerca corrente - Ministero della Salute</t>
  </si>
  <si>
    <t>1.02.02.09.0201</t>
  </si>
  <si>
    <t>CREDITI V/STATO PER RICERCA FINALIZZATA - MINISTERO DELLA SALUTE</t>
  </si>
  <si>
    <t>Crediti v/Stato per ricerca finalizzata - Ministero della Salute</t>
  </si>
  <si>
    <t>B.II.1.j.2) Crediti v/Stato per ricerca finalizzata - Ministero della Salute</t>
  </si>
  <si>
    <t>1.02.02.09.0202</t>
  </si>
  <si>
    <t>CREDITI V/STATO PER RICERCA FINALIZZATA - MINISTERO DELLA SALUTE PNRR RICERCA</t>
  </si>
  <si>
    <t>1.02.02.09.0301</t>
  </si>
  <si>
    <t>CREDITI V/STATO PER RICERCA - ALTRE AMMINISTRAZIONI CENTRALI</t>
  </si>
  <si>
    <t>Crediti v/Stato per ricerca - altre Amministrazioni centrali</t>
  </si>
  <si>
    <t>1.02.02.09.0401</t>
  </si>
  <si>
    <t>CREDITI V/STATO PER RICERCA - FINANZIAMENTI PER INVESTIMENTI</t>
  </si>
  <si>
    <t>Crediti v/Stato per ricerca - finanziamenti per investimenti</t>
  </si>
  <si>
    <t>B.II.1.j.4) Crediti v/Stato per ricerca - finanziamenti per investimenti</t>
  </si>
  <si>
    <t>CREDITI V/PREFETTURE</t>
  </si>
  <si>
    <t>Crediti v/prefetture</t>
  </si>
  <si>
    <t>B.II.1.k) Crediti v/prefetture</t>
  </si>
  <si>
    <t>1.02.02.10.0101</t>
  </si>
  <si>
    <t>CREDITI V/REGIONE O PROVINCIA AUTONOMA PER SPESA CORRENTE</t>
  </si>
  <si>
    <t>Crediti v/Regione o Provincia Autonoma per spesa corrente</t>
  </si>
  <si>
    <t>B.II.2.a)</t>
  </si>
  <si>
    <t>ABA360</t>
  </si>
  <si>
    <t>B.II.2.a)  Crediti v/Regione o Provincia Autonoma per spesa corrente</t>
  </si>
  <si>
    <t>1.02.02.11.0101</t>
  </si>
  <si>
    <t>Crediti v/Regione o Provincia Autonoma per quota FSR</t>
  </si>
  <si>
    <t>RR</t>
  </si>
  <si>
    <t>B.II.2.a.1) Crediti v/Regione o Provincia Autonoma per quota FSR</t>
  </si>
  <si>
    <t>1.02.02.11.0201</t>
  </si>
  <si>
    <t>CREDITI V/REGIONE O PROVINCIA AUTONOMA PER SPESA CORRENTE - ADDIZIONALE IRPEF</t>
  </si>
  <si>
    <t>1.02.02.11.0301</t>
  </si>
  <si>
    <t>CREDITI V/ REGIONE PER  QUOTE DI FSN ANNO CORRENTE</t>
  </si>
  <si>
    <t>1.02.02.11.0302</t>
  </si>
  <si>
    <t>CREDITI V/REGIONE PER QUOTE DI FSN ANNI PREGRESSI ANNO 2012</t>
  </si>
  <si>
    <t>1.02.02.11.0303</t>
  </si>
  <si>
    <t>CREDITI V/REGIONE PER QUOTE DI FSN ANNI PREGRESSI ANNO 2013</t>
  </si>
  <si>
    <t>1.02.02.11.0304</t>
  </si>
  <si>
    <t>CREDITI V/REGIONE PER QUOTE DI FSN ANNI PREGRESSI ANNO 2014</t>
  </si>
  <si>
    <t>1.02.02.11.0305</t>
  </si>
  <si>
    <t>CREDITI V/REGIONE PER QUOTE FSN-FSRANNI PREGRESSI ANNO 2015</t>
  </si>
  <si>
    <t>1.02.02.11.0306</t>
  </si>
  <si>
    <t>CREDITI V/REGIONE PER QUOTE FSN-FSR ANNI PREGRESSI 2016</t>
  </si>
  <si>
    <t>1.02.02.11.0307</t>
  </si>
  <si>
    <t>CREDITI V/REGIONE PER QUOTE FSN-FSR ANNI PREGRESSI 2017</t>
  </si>
  <si>
    <t>1.02.02.11.0308</t>
  </si>
  <si>
    <t>CREDITI V/REGIONE PER QUOTE FSN-FSR ANNI PREGRESSI 2018</t>
  </si>
  <si>
    <t>1.02.02.11.0309</t>
  </si>
  <si>
    <t>CREDITI V/REGIONE PER QUOTE FSN-FSR ANNI PREGRESSI 2019</t>
  </si>
  <si>
    <t>1.02.02.11.0310</t>
  </si>
  <si>
    <t>CREDITI V/REGIONE PER FINANZIAMENTO PROGETTI PSN 2013</t>
  </si>
  <si>
    <t>1.02.02.11.0311</t>
  </si>
  <si>
    <t>CREDITI V/REGIONE PSN 2014</t>
  </si>
  <si>
    <t>1.02.02.11.0312</t>
  </si>
  <si>
    <t>CREDITI V/REGIONE PER  PROGETTI PSN 2015</t>
  </si>
  <si>
    <t>1.02.02.11.0313</t>
  </si>
  <si>
    <t>CREDITI V/REGIONE PER PROGETTI PSN 2015 LINEA PROGETTUALE 5 E 6</t>
  </si>
  <si>
    <t>1.02.02.11.0314</t>
  </si>
  <si>
    <t>CREDITI VS REGIONE PER PROGETTI PSN 2016 LP 2</t>
  </si>
  <si>
    <t>1.02.02.11.0315</t>
  </si>
  <si>
    <t>CREDITI VS REGIONE PER PROGETTI PSN 2016 LP 1, 5, 6</t>
  </si>
  <si>
    <t>1.02.02.11.0316</t>
  </si>
  <si>
    <t>CREDITI VS REGIONE PROGETTI OBIETTIVI LINEA 2016 LP 4</t>
  </si>
  <si>
    <t>1.02.02.11.0317</t>
  </si>
  <si>
    <t>CREDITI V/REGIONE O PROVINCIA AUTONOMA PER QUOTA FSR VINCOLATO - PROGETTI OBIETTIVO PSN ANNO 2017 LINEA PROGETTUALE 2. SVILUPPO DEI PROCESSI DI UMANIZZAZIONE</t>
  </si>
  <si>
    <t>1.02.02.11.0318</t>
  </si>
  <si>
    <t>CREDITI V/REGIONE P.O. PSN ANNO 2017 LP 4 PREVENZIONE AZ. 4.1.15 - IDENTIFICAZIONE E VALUTAZIONE BIOMARCATORI</t>
  </si>
  <si>
    <t>1.02.02.11.0319</t>
  </si>
  <si>
    <t>CREDITI V/REGIONE P.O. PSN ANNO 2017 LP 4 PREVENZIONE AZ. 4.1.26 - VALUTAZIONE NON INVASIVA STRESS LAVORO CORRELATO</t>
  </si>
  <si>
    <t>1.02.02.11.0320</t>
  </si>
  <si>
    <t>CREDITI V/REGIONE P.O. PSN ANNO 2017 LP 4 PREVENZIONE AZ. 4.1.27 - INDIVIDUAZIONE PRECOCE DI DETER. RESIST. FARMACI ANTITUBERC.</t>
  </si>
  <si>
    <t>1.02.02.11.0321</t>
  </si>
  <si>
    <t>CREDITI V/REGIONE P.O. PSN ANNO 2017 LP 4 PREVENZIONE AZ. 4.1.28 - INCREMENTO COPERTURE VACCINALI PAZIENTI UNIPA</t>
  </si>
  <si>
    <t>1.02.02.11.0322</t>
  </si>
  <si>
    <t>CREDITI V/REGIONE P.O. PSN ANNO 2017 LP 4 PREVENZIONE AZ. 4.1.29 - SORVEGLIANZA,CONTROLLO E PREVENZ.DELLE INFEZIONI DA LEISHMANIA</t>
  </si>
  <si>
    <t>1.02.02.11.0323</t>
  </si>
  <si>
    <t>CREDITI V/REGIONE P.O. PSN ANNO 2017 LP 4 PREVENZIONE AZ. 4.1.44 - LIFE FOOD DIET</t>
  </si>
  <si>
    <t>1.02.02.11.0324</t>
  </si>
  <si>
    <t>CREDITI V/REGIONE P.O. PSN ANNO 2017 LP 4 PREVENZIONE AZ. 4.1.45 - MONITORAGGIO ALLATTAMENTO</t>
  </si>
  <si>
    <t>1.02.02.11.0325</t>
  </si>
  <si>
    <t>CREDITI V/REGIONE P.O. PSN ANNO 2017 LP 4 PREVENZIONE AZ. 4.2.1 - INCIDENTI DOMESTICI</t>
  </si>
  <si>
    <t>1.02.02.11.0326</t>
  </si>
  <si>
    <t>CREDITI V/REGIONE P.O. PSN ANNO 2017 LP 5 GEST. DELLA CRONICITA' AZ. 5.37 - PERCORSI ASSIST.LI PER NEONATI-LATTANTI CON PATOLOGIE GENETICHE</t>
  </si>
  <si>
    <t>1.02.02.11.0327</t>
  </si>
  <si>
    <t>CREDITI V/REGIONE P.O. PSN ANNO 2017 LP 5 GEST.DELLA CRONICITA' AZ. 5.38 - SPASTICITA' E CHIRURGIA FUNZIONALE DELL'ARTO SUPERIORE NEI PAZIENTI COLPITI DA STROKE CEREBRALE</t>
  </si>
  <si>
    <t>1.02.02.11.0328</t>
  </si>
  <si>
    <t>CREDITI V/REGIONE P.O. PSN ANNO 2017 LP 6 RETI ONCOLOGICHE AZ. 6.25 - STRUMENTI DI SUPPORTO ALLA SFERA PSICOLOGICA E FISICA DEL PAZIENTE ONCOLOGICO</t>
  </si>
  <si>
    <t>1.02.02.11.0329</t>
  </si>
  <si>
    <t>CREDITI V/REGIONE P.O. PSN ANNO 2017 LP 6 RETI ONCOLOGICHE AZ. 6.26 - IMPLEMENTAZ.E DIGITAZ.DELLA RETE TUMORI RARI ED EREDOFAMILIARI NELLA REG.SICILIANA</t>
  </si>
  <si>
    <t>1.02.02.11.0330</t>
  </si>
  <si>
    <t>CREDITI V/REGIONE P.O. PSN ANNO 2017 LP 6 RETI ONCOLOGICHE AZ. 6.27 - SVILUPPO DI UN PERCORSO DI TRATTAM.DEI PAZIENTI CON METASTASI OSSEE DA CARCINOMA MAMMARIO</t>
  </si>
  <si>
    <t>1.02.02.11.0331</t>
  </si>
  <si>
    <t>CREDITI V/REGIONE P.O. PSN ANNO 2017 LP 6 RETI ONCOLOGICHE AZ. 6.28 - RETE MULTIDISCIPLINARE PER LA DIAGNOSI DEI TUMORI PRIMITIVI DEL FEGATO</t>
  </si>
  <si>
    <t>1.02.02.11.0332</t>
  </si>
  <si>
    <t>CREDITI VS/REGIONE P.O. per PSN 2018 LP 4 AZ. 4.06 PREVENZIONE RADIOLOGICA DEL TUMORE AL COLON-RETTO</t>
  </si>
  <si>
    <t>1.02.02.11.0333</t>
  </si>
  <si>
    <t>CREDITI VS/REGIONE P.O. per PSN 2018 LP 4 AZ.4.07 SORVEGLIANZA MALATT. ONCOL. RISCHIO EREDO-FAMILIARE</t>
  </si>
  <si>
    <t>1.02.02.11.0334</t>
  </si>
  <si>
    <t>CREDITI VS/REGIONE P.O. per PSN 2018 LP 4 AZ.4.21 RETE DI SORVEGLIANZA EPIDEM. MOLECOLARE MORBILLO ROSOLIA</t>
  </si>
  <si>
    <t>1.02.02.11.0335</t>
  </si>
  <si>
    <t>CREDITI VS/REGIONE P.O. per PSN 2018 LP 4 AZ. 4.22 MST DIAGNOSI E PREVENZIONE. PERCORSO ASSIST.</t>
  </si>
  <si>
    <t>1.02.02.11.0336</t>
  </si>
  <si>
    <t>CREDITI VS/REGIONE P.O. per PSN 2018 LP 4 AZ. 4.23 MICROBIOTA VAGINALE IN CONDIZ.FISIOLOGICHE E PATOLOGIE CON PARTICOLARE RIFER. ALLE INFEZIONI DA HPV</t>
  </si>
  <si>
    <t>1.02.02.11.0337</t>
  </si>
  <si>
    <t>CREDITI VS/REGIONE P.O. per PSN 2018 LP 4 AZ. 4.24 LEGIONELLA PNEUMOPHILA NEGLI STUDI ODONTOIATRICI</t>
  </si>
  <si>
    <t>1.02.02.11.0338</t>
  </si>
  <si>
    <t>CREDITI VS/REGIONE P.O. per PSN 2018 LP 1 PERCORSO DIAGNOSTICO TERAPEUTICO CONDIVISO E PERSONALIZZATO PER PAZIENTI CON MULTICRONICITA'</t>
  </si>
  <si>
    <t>1.02.02.11.0339</t>
  </si>
  <si>
    <t>CREDITI VS/REGIONE P.O. per PSN 2019 LP 5 LA TECNOLOGIA SANITARIA OPERATIVA COME STRUMENTO DI INTEGRAZIONE OSPEDALE-TERRITORIO</t>
  </si>
  <si>
    <t>1.02.02.11.0340</t>
  </si>
  <si>
    <t>CREDITI V/REGIONE PER QUOTE FSN-FSR ANNI PREGRESSI 2020</t>
  </si>
  <si>
    <t>1.02.02.11.0341</t>
  </si>
  <si>
    <t>CREDITI VS/REGIONE P.O. PSN 2019 LP 4 (AZ. 4.3 e 4.4) - PIANO NAZIONALE DELLA PREVENZIONE E SUPPORTO AL PIANO NAZ.DELLA PREVENZ.</t>
  </si>
  <si>
    <t>1.02.02.11.0342</t>
  </si>
  <si>
    <t>CREDITI V/REGIONE PER QUOTE FSN-FSR ANNI PREGRESSI 2021</t>
  </si>
  <si>
    <t>1.02.02.11.0343</t>
  </si>
  <si>
    <t>CREDITI V/REGIONE P.O. di PSN ANNO 2020 LP 4 "CALL FOR ACTION"</t>
  </si>
  <si>
    <t>1.02.02.11.0344</t>
  </si>
  <si>
    <t>CREDITI V/REGIONE PER QUOTE FSN-FSR ANNI PREGRESSI 2022</t>
  </si>
  <si>
    <t>1.02.02.11.0345</t>
  </si>
  <si>
    <t>CREDITI V/REGIONE PER QUOTE FSN-FSR ANNI PREGRESSI 2023</t>
  </si>
  <si>
    <t>1.02.02.11.0401</t>
  </si>
  <si>
    <t>CREDITI V/REGIONE O PROVINCIA AUTONOMA PER MOBILITA ATTIVA INTRAREGIONALE</t>
  </si>
  <si>
    <t>Crediti v/Regione o Provincia Autonoma per mobilità attiva intraregionale</t>
  </si>
  <si>
    <t>R</t>
  </si>
  <si>
    <t>1.02.02.11.0501</t>
  </si>
  <si>
    <t>CREDITI V/REGIONE O PROVINCIA AUTONOMA PER MOBILITA ATTIVA EXTRAREGIONALE</t>
  </si>
  <si>
    <t>Crediti v/Regione o Provincia Autonoma per mobilità attiva extraregionale</t>
  </si>
  <si>
    <t>1.02.02.11.0601</t>
  </si>
  <si>
    <t>CREDITI V/REGIONE O PROVINCIA AUTONOMA PER ACCONTO QUOTA FSR</t>
  </si>
  <si>
    <t>Crediti v/Regione o Provincia Autonoma per acconto quota FSR</t>
  </si>
  <si>
    <t>B.II.2.a.4) Crediti v/Regione o Provincia Autonoma per acconto quota FSR</t>
  </si>
  <si>
    <t>1.02.02.11.0701</t>
  </si>
  <si>
    <t>CREDITI V/REGIONE O PROVINCIA AUTONOMA PER FINANZIAMENTO SANITARIO AGGIUNTIVO CORRENTE LEA</t>
  </si>
  <si>
    <t>Crediti v/Regione o Provincia Autonoma per finanziamento sanitario aggiuntivo corrente LEA</t>
  </si>
  <si>
    <t>1.02.02.11.0801</t>
  </si>
  <si>
    <t>CREDITI V/REGIONE O PROVINCIA AUTONOMA PER FINANZIAMENTO SANITARIO AGGIUNTIVO CORRENTE EXTRA LEA</t>
  </si>
  <si>
    <t>Crediti v/Regione o Provincia Autonoma per finanziamento sanitario aggiuntivo corrente extra LEA</t>
  </si>
  <si>
    <t>1.02.02.11.0901</t>
  </si>
  <si>
    <t>CREDITI V/REGIONE O PROVINCIA AUTONOMA PER SPESA CORRENTE - ALTRO</t>
  </si>
  <si>
    <t>Crediti v/Regione o Provincia Autonoma per spesa corrente - altro</t>
  </si>
  <si>
    <t>B.II.2.a.7) Crediti v/Regione o Provincia Autonoma per spesa corrente - altro</t>
  </si>
  <si>
    <t>1.02.02.11.0902</t>
  </si>
  <si>
    <t>CREDITI V/REGIONE D.A. 1839/2018 FINANZ. SICUREZZA P.S.</t>
  </si>
  <si>
    <t>1.02.02.11.0903</t>
  </si>
  <si>
    <t>CREDITI V/REGIONE PER PROGETTO DI FARMACOVIGILANZA ATTIVA SUGLI EVENTI AVVERSIDA FARMACI OFF-LABEL UTILIZZATI NEONATOLOGIA</t>
  </si>
  <si>
    <t>1.02.02.11.0904</t>
  </si>
  <si>
    <t>PROGETTO FARMACOVIGILANZA E ALTRI</t>
  </si>
  <si>
    <t>1.02.02.11.0905</t>
  </si>
  <si>
    <t>CREDITI V/REGIONE PER PROGETTO DI FARMACOVIGILANZA "ADR IN ODONTOIATRIA NELL'ERA INFORMATICA"</t>
  </si>
  <si>
    <t>1.02.02.11.0906</t>
  </si>
  <si>
    <t>CREDITI V/REGIONE PER INVESTIMENTI EX D.L. 34/2020</t>
  </si>
  <si>
    <t>1.02.02.11.1101</t>
  </si>
  <si>
    <t>Crediti v/Regione o Provincia Autonoma per spesa corrente - STP (ex D.lgs. 286/98)</t>
  </si>
  <si>
    <t>ABA451</t>
  </si>
  <si>
    <t>B.II.2.a.8) Crediti v/Regione o Provincia Autonoma per spesa corrente - STP (ex D.lgs. 286/98)</t>
  </si>
  <si>
    <t>1.02.02.11.1001</t>
  </si>
  <si>
    <t>CREDITI V/ REGIONE PER PROGETTI SANITARI</t>
  </si>
  <si>
    <t>Crediti v/Regione o Provincia Autonoma per ricerca</t>
  </si>
  <si>
    <t>B.II.2.a.9) Crediti v/Regione o Provincia Autonoma per ricerca</t>
  </si>
  <si>
    <t>1.02.02.11.1002</t>
  </si>
  <si>
    <t>1.02.02.11.1003</t>
  </si>
  <si>
    <t>1.02.02.11.1004</t>
  </si>
  <si>
    <t>CREDITI V/REGIONE PER PROGETTO DIAGNOSI PRECOCE CARCINOMA PANCREATICO (SOTT /)</t>
  </si>
  <si>
    <t>1.02.02.11.1005</t>
  </si>
  <si>
    <t>CREDITI V/REGIONE PER PROGETTO FORMAZIONE FARMACISTI AREA ONCOLOGICA      (SOTT /)</t>
  </si>
  <si>
    <t>1.02.02.11.1006</t>
  </si>
  <si>
    <t>CREDITI V/REGIONE PER PROGETTO PREVENZIONE HANDICAP NEUROLOGICI IN BAMBINI (SOTT /)</t>
  </si>
  <si>
    <t>1.02.02.11.1007</t>
  </si>
  <si>
    <t>CREDITI V/REGIONE PER PROGETTO MALOCCLUSIONI DENTARIE (SOTT /)</t>
  </si>
  <si>
    <t>1.02.02.11.1008</t>
  </si>
  <si>
    <t>CREDITI V/REGIONE PER PROGETTO STUDIO MICROMETASTASI (SOTT /)</t>
  </si>
  <si>
    <t>1.02.02.11.1009</t>
  </si>
  <si>
    <t>CREDITI V/REGIONE PER PROGETTO TECNOLOGIE PER SOSTITUTI CUTANEI AUTOLOGHI         (SOTT /)</t>
  </si>
  <si>
    <t>1.02.02.11.1010</t>
  </si>
  <si>
    <t>CREDITI V/REGIONE PER PROGETTO DI RICERCA "ISTIOCITOSI E TUMORI" (SOTT /)</t>
  </si>
  <si>
    <t>1.02.02.11.1011</t>
  </si>
  <si>
    <t>CREDITI V/REGIONE PER PROGETTO FIBROSI CISTICA</t>
  </si>
  <si>
    <t>1.02.02.11.1012</t>
  </si>
  <si>
    <t>CREDITI V/REGIONE PER PROGETTO CENTRO REGIONALE TRAPIANTI</t>
  </si>
  <si>
    <t>1.02.02.11.1013</t>
  </si>
  <si>
    <t>CREDITI V/REGIONE PER PROGETTO TALASSEMIA (SOTT /-/-/)</t>
  </si>
  <si>
    <t>1.02.02.11.1014</t>
  </si>
  <si>
    <t>CREDITI V/REGIONE PER PROGETTO ATTIVITA DI ESPIANTO DA /</t>
  </si>
  <si>
    <t>1.02.02.11.1015</t>
  </si>
  <si>
    <t>CREDITI V/REGIONE PER PROGETTO OTTIMIZZAZIONE EVENTO NASCITA</t>
  </si>
  <si>
    <t>1.02.02.11.1016</t>
  </si>
  <si>
    <t>CREDITI V/REGIONE PER PROGETTO RIDUZIONE LISTE DI ATTESA PER PRESTAZIONI      AMBULATORIALI E SPECIALISTICHE</t>
  </si>
  <si>
    <t>1.02.02.11.1017</t>
  </si>
  <si>
    <t>CREDITI V/REGIONE PER PROGETTO PROGRAMMA SCREENING NELLA SICILIA   OCCIDENTALE IN MALATTIE METABOLICHE</t>
  </si>
  <si>
    <t>1.02.02.11.1018</t>
  </si>
  <si>
    <t>CREDITI V/REGIONE PER PROGETTO FUNZIONE STROKE UNIT</t>
  </si>
  <si>
    <t>1.02.02.11.1019</t>
  </si>
  <si>
    <t>CREDITI V/REGIONE PER PROGETTO ACCERTAMENTO E PRELIEVO ORGANI  DA  / (SOTT /)</t>
  </si>
  <si>
    <t>1.02.02.11.1020</t>
  </si>
  <si>
    <t>CREDITO V/REGIONE PER PROGETTO MOLECULAR</t>
  </si>
  <si>
    <t>1.02.02.11.1021</t>
  </si>
  <si>
    <t>CREDITI C/REGIONE PER PROGETTO CURE PALLIATIVE</t>
  </si>
  <si>
    <t>1.02.02.11.1022</t>
  </si>
  <si>
    <t>CREDITI V/ REGIONE PER MOBILITA ATTIVA DA ASL-AO INTRAREGIONALE</t>
  </si>
  <si>
    <t>1.02.02.11.1023</t>
  </si>
  <si>
    <t>CREDITI V/ REGIONE PER MOBILITA ATTIVA DA ASL-AO EXTRAREGIONE</t>
  </si>
  <si>
    <t>1.02.02.11.1024</t>
  </si>
  <si>
    <t>CREDITI V/ REGIONE PER MOBILITA ATTIVA DA PRIVATO</t>
  </si>
  <si>
    <t>1.02.02.11.1025</t>
  </si>
  <si>
    <t>1.02.02.11.1026</t>
  </si>
  <si>
    <t>1.02.02.11.1027</t>
  </si>
  <si>
    <t>CREDITO V/REG PER PROGETTO TALASSEMIA</t>
  </si>
  <si>
    <t>1.02.02.11.1028</t>
  </si>
  <si>
    <t>ALTRI CREDITI VERSO REGIONE</t>
  </si>
  <si>
    <t>1.02.02.11.1029</t>
  </si>
  <si>
    <t>CREDITI V/REGIONE C/PROGETTO STUDIO LATTE D'ASINA IN PAZIENTI APLV</t>
  </si>
  <si>
    <t>1.02.02.11.1030</t>
  </si>
  <si>
    <t>CREDITI V/REGIONE C/PROGETTO TALASSEMIA T /</t>
  </si>
  <si>
    <t>1.02.02.11.1031</t>
  </si>
  <si>
    <t>1.02.02.11.1032</t>
  </si>
  <si>
    <t>1.02.02.11.1033</t>
  </si>
  <si>
    <t>CREDITI V/REGIONE C/PROGETTO T /</t>
  </si>
  <si>
    <t>1.02.02.11.1035</t>
  </si>
  <si>
    <t>CREDITI V/REGIONE C/PROGETTO ONCOLOGIA RUOLO FATTORI DISCRIMINANTI</t>
  </si>
  <si>
    <t>1.02.02.11.1036</t>
  </si>
  <si>
    <t>CREDITI V/REGIONE C/PROGETTO ONCOLOGIA PROPSETTIVE CURE ALTERNATIVE</t>
  </si>
  <si>
    <t>1.02.02.11.1038</t>
  </si>
  <si>
    <t>CREDITI V/REGIONE PER QUOTE FSR</t>
  </si>
  <si>
    <t>1.02.02.11.1039</t>
  </si>
  <si>
    <t>CREDITI V/REGIONE PER PROGETTO MALATTIE RARE</t>
  </si>
  <si>
    <t>1.02.02.11.1040</t>
  </si>
  <si>
    <t>CREDITI V/REGIONE PER PROGETTO DI SORVEGLIANZA SISTEMATICA DEL SARS-COV-2 E DELLE SUE VARIANTI NELLE ACQUE REFLUE (PROGETTO SARI)</t>
  </si>
  <si>
    <t>CREDITI V/REGIONE PER PROGETTO SUPPORTO PSICOLOGICO</t>
  </si>
  <si>
    <t>1.02.02.11.1041</t>
  </si>
  <si>
    <t>CREDITI V/REGIONE PROGETTO STROKE UNIT</t>
  </si>
  <si>
    <t>1.02.02.11.1042</t>
  </si>
  <si>
    <t>CREDITI VS REGIONE PROGETTO IDENTIFICATION OF BIOLOGICAL</t>
  </si>
  <si>
    <t>1.02.02.11.1043</t>
  </si>
  <si>
    <t>CREDITI VS REGIONE PROGETTO STEM CELLS IN DIFFERENT ¿</t>
  </si>
  <si>
    <t>1.02.02.11.1044</t>
  </si>
  <si>
    <t>1.02.02.11.1045</t>
  </si>
  <si>
    <t>1.02.02.11.1046</t>
  </si>
  <si>
    <t>CREDITI V/REGIONE PER PROGETTO DI RICERCA SANITARIA FINALIZZATA "DEVELOPMENT OF AN ITALIANA CLINICAL/DIAGNOSTIC"</t>
  </si>
  <si>
    <t>1.02.02.11.1047</t>
  </si>
  <si>
    <t>CREDITI V/REGIONE PER PROGETTO DI RICERCA SANITARIA FINALIZZATA ROLE OF HUMAN SPHEROIDS FROM ADIPOSE-DERIVED STEM CELLS</t>
  </si>
  <si>
    <t>1.02.02.11.1048</t>
  </si>
  <si>
    <t>CREDITI V/REGIONE PER PROGETTO DI RICERCA SANITARIA FINALIZZATA TRANS-CRANIAL MrgFUS FOR THE TREATMENT OF MEDICATION REFRACTORY ESSENTIAL TREMOR:ITALIAN AND WORLD-FIRST TRIAL USING A 1,5T MR UNIT</t>
  </si>
  <si>
    <t>1.02.02.11.1049</t>
  </si>
  <si>
    <t>CREDITI V/REGIONE PER PROGETTO DI RICERCA FINALIZZATA NON CELIAC GLUTEN SENSITIVITY (NCGS)</t>
  </si>
  <si>
    <t>1.02.02.11.1050</t>
  </si>
  <si>
    <t>CREDITI V/REGIONE PER PROGETTO DI FARMACOVIGILANZA ATTIVA SUGLI EVENTI AVVERSI DA FARMACI OFF-LABEL UTILIZZATI NEONATOLOGIA</t>
  </si>
  <si>
    <t>1.02.02.11.1051</t>
  </si>
  <si>
    <t>CREDITI VS/REGIONE PROGETTI PSN 2017 LINEA  LP 4 PREVENZIONE</t>
  </si>
  <si>
    <t>CREDITI VS REGIONE PROGETTI PSN 2017 LINEA  LP 4 PREVENZIONE</t>
  </si>
  <si>
    <t>1.02.02.11.1052</t>
  </si>
  <si>
    <t>CREDITI VS/REGIONE PROGETTI OBIETTIVO PSN 2018 LP 4 AZ. 4.06 PREVENZIONE RADIOLOGICA DEL TUMORE AL COLON-RETTO</t>
  </si>
  <si>
    <t>1.02.02.11.1201</t>
  </si>
  <si>
    <t>Crediti v/Regione o Provincia Autonoma per mobilita' attiva internazionale</t>
  </si>
  <si>
    <t>Crediti v/Regione o Provincia Autonoma per mobilità attiva internazionale</t>
  </si>
  <si>
    <t>ABA461</t>
  </si>
  <si>
    <t>B.II.2.a.10) Crediti v/Regione o Provincia Autonoma per mobilità attiva internazionale</t>
  </si>
  <si>
    <t>1.02.02.11.1053</t>
  </si>
  <si>
    <t>CREDITI VS/REGIONE PROGETTI OBIETTIVO PSN 2018 LP 4 AZ.4.07 SORVEGLIANZA MALATT.ONCOL.RISCHIO EREDO-FAMILIARE</t>
  </si>
  <si>
    <t>1.02.02.11.1054</t>
  </si>
  <si>
    <t>CREDITI VS/REGIONE PROGETTI OBIETTIVO PSN 2018 LP 4 AZ.4.21 RETE DI SORVEGLIANZA EPIDEM. MOLECOLARE MORBILLO ROSOLIA</t>
  </si>
  <si>
    <t>1.02.02.11.1055</t>
  </si>
  <si>
    <t>CREDITI VS/REGIONE PROGETTI OBIETTIVO PSN 2018 LP 4 AZ. 4.22 MST DIAGNOSI E PREVENZIONE. PERCORSO ASSIST.</t>
  </si>
  <si>
    <t>1.02.02.11.1056</t>
  </si>
  <si>
    <t>CREDITI VS/REGIONE PROGETTI OBIETTIVO PSN 2018 LP 4 AZ. 4.23 MICROBIOTA VAGINALE IN CONDIZ.FISIOLOGICHE E PATOLOGIE CON PARTICOLARE RIFER. ALLE INFEZIONI DA HPV</t>
  </si>
  <si>
    <t>1.02.02.11.1057</t>
  </si>
  <si>
    <t>CREDITI VS/REGIONE PROGETTI OBIETTIVO PSN 2018 LP 4 AZ. 4.24 LEGIONELLA PNEUMOPHILA NEGLI STUDI ODONTOIATRICI</t>
  </si>
  <si>
    <t>1.02.02.11.1058</t>
  </si>
  <si>
    <t>CREDITI V/REGIONE PER PROGETTO DI RICERCA FINALIZZATA ALLA CONOSCENZA DEL FENOMENO DEL GAP (GIOCO D'AZZARDO PATOLOGICO) L. 208/2015 (art.1, comma 946)</t>
  </si>
  <si>
    <t>1.02.02.11.1059</t>
  </si>
  <si>
    <t>CREDITI V/REGIONE PER PROGETTO DI RICERCA FINALIZZATA RF-2021-12372399 "PORTAL HIPERTENSION IMPATIENTS WITH NAFLD: CLINICAL IMPLICATION"</t>
  </si>
  <si>
    <t>1.02.02.11.1060</t>
  </si>
  <si>
    <t>CREDITI V/REGIONE PER PIANO ONCOLOGICO NAZIONALE 2023-2027 D.A. 295/2024</t>
  </si>
  <si>
    <t>1.02.02.11.2014</t>
  </si>
  <si>
    <t>CREDITI V/ REG.  QUOTE  FSN 2014</t>
  </si>
  <si>
    <t>1.02.02.11.2015</t>
  </si>
  <si>
    <t>CREDITI V/ REG.  QUOTE  FSN 2015</t>
  </si>
  <si>
    <t>CREDITI V/REGIONE O PROVINCIA AUTONOMA PER VERSAMENTI A PATRIMONIO NETTO</t>
  </si>
  <si>
    <t>Crediti v/Regione o Provincia Autonoma per versamenti a patrimonio netto</t>
  </si>
  <si>
    <t>ABA470</t>
  </si>
  <si>
    <t>B.II.2.b) Crediti v/Regione o Provincia Autonoma per versamenti a patrimonio netto</t>
  </si>
  <si>
    <t>1.02.02.12.0101</t>
  </si>
  <si>
    <t>CREDITI V/ REGIONE PER FINANZIAMENTI POR 2000-2006 DOTAZIONE APPARECCHI X DIAGNOSI PRECOCE</t>
  </si>
  <si>
    <t>Crediti v/Regione o Provincia Autonoma per finanziamenti per investimenti</t>
  </si>
  <si>
    <t>B.II.2.b.1</t>
  </si>
  <si>
    <t>B.II.2.b.1) Crediti v/Regione o Provincia Autonoma per finanziamenti per 
 investimenti</t>
  </si>
  <si>
    <t>1.02.02.12.0102</t>
  </si>
  <si>
    <t>CREDITI V/ REGIONE PER FINANZIAMENTI UE IN CONTO CAPITALE</t>
  </si>
  <si>
    <t>1.02.02.12.0103</t>
  </si>
  <si>
    <t>CREDITI V/ REGIONE PER ALTRI FINANZIAMENTI IN CONTO CAPITALE</t>
  </si>
  <si>
    <t>1.02.02.12.0104</t>
  </si>
  <si>
    <t>CREDITI V/REGIONE PER FINANZIAMENTI IN CONTO CAPITALE EX ART  L /   ANNI PREGRESSI</t>
  </si>
  <si>
    <t>1.02.02.12.0105</t>
  </si>
  <si>
    <t>CREDITI V/REGIONE PER AUMENTO FONDO DOTAZIONE</t>
  </si>
  <si>
    <t>1.02.02.12.0106</t>
  </si>
  <si>
    <t>CREDITI V/ REGIONE PER FINANZIAMENTI IN CONTO CAPITALE EX ART. 20 L. 67/88 (RISTRUTTURAZIONI)</t>
  </si>
  <si>
    <t>1.02.02.12.0107</t>
  </si>
  <si>
    <t>CREDITI V/REGIONE PER FINANZIAMENTI IN C/CAPITALEEX ART.20 L.67/88 (ATTREZZATURE)</t>
  </si>
  <si>
    <t>1.02.02.12.0108</t>
  </si>
  <si>
    <t>CREDITI V/ REGIONE PER FINANZIAMENTI IN CONTO CAPITALE EX ART.20 L.67/88 (IMPIANTI CLIMATIZZ.)</t>
  </si>
  <si>
    <t>1.02.02.12.0109</t>
  </si>
  <si>
    <t>CREDITI V/REGIONE PER FINANZIAMENTI IN C/CAPITALE EX ART.20 L.67/88 (DIAGNOSTICA X IMMAGINI)</t>
  </si>
  <si>
    <t>1.02.02.12.0110</t>
  </si>
  <si>
    <t>CREDITI V/REGIONE  PER FINANZIAMENTI IN C/CAPITALE DA FONDI PO-FESR 2011</t>
  </si>
  <si>
    <t>1.02.02.12.0111</t>
  </si>
  <si>
    <t>CREDITI V/REGIONE PER FINANZIAMENTI IN C/CAPITALE EX ART. ART.69 LR..32/00 (IMPIANTI FOTOVOLTAICI)</t>
  </si>
  <si>
    <t>1.02.02.12.0112</t>
  </si>
  <si>
    <t>CREDITI V/REGIONE PER FINANZIAMENTI IN C/CAPITALE DA FONDI PO-FESR 2007-2013</t>
  </si>
  <si>
    <t>1.02.02.12.0113</t>
  </si>
  <si>
    <t>CREDITI V/REGIONE PER FINANZIAMENTI IN C/CAPITALE EX ART.20 L.67/88 (CHIRURGIA PLASTICA E RICOSTRUTTIVA)</t>
  </si>
  <si>
    <t>1.02.02.12.0114</t>
  </si>
  <si>
    <t>CREDITI V/REGIONE PER FINANZIAMENTI IN C/CAPITALE EX ART.20 L.67/88(SERVIZIO EMODIALISI)</t>
  </si>
  <si>
    <t>1.02.02.12.0115</t>
  </si>
  <si>
    <t>CREDITI V/REGIONE PER FINANZIAMENTI IN C/CAPITALE EX ART.20 L.67/88(ISTIT.MATERNO INFANTILE)</t>
  </si>
  <si>
    <t>1.02.02.12.0116</t>
  </si>
  <si>
    <t>CREDITI V/REGIONE PER FINANZIAMENTI IN C/CAPITALE DA FONDI PO-FESR 2007-2013 - LINEA 4.1.2.A</t>
  </si>
  <si>
    <t>1.02.02.12.0117</t>
  </si>
  <si>
    <t>CREDITI V/REGIONE PER FINANZIAMENTI IN C/CAPITALE EX ART.20 L.67/88(LABORATORIO CENTRALIZZATO)</t>
  </si>
  <si>
    <t>1.02.02.12.0118</t>
  </si>
  <si>
    <t>CREDITI V/REGIONE PER FINANZIAMENTI IN C/CAPITALE ART.26, COMMA 1, L.R. 2/2007</t>
  </si>
  <si>
    <t>1.02.02.12.0119</t>
  </si>
  <si>
    <t>CREDITI V/REGIONE X FINANZIAMENTI IN C/CAPITALE EX ART.20 L.67/88 SU ANNO 2014</t>
  </si>
  <si>
    <t>1.02.02.12.0120</t>
  </si>
  <si>
    <t>CREDITI V/REGIONE X FINANZIAMENTI IN C/CAPITALE DA FONDI PO-FESR SU ANNO 2014</t>
  </si>
  <si>
    <t>1.02.02.12.0121</t>
  </si>
  <si>
    <t>CREDITI V/ REGIONE X FINANZIAMENTI IN C/CAPITALE EX ART.71 L.448/98 REALIZZAZIONE RETE FOGNARIA</t>
  </si>
  <si>
    <t>1.02.02.12.0122</t>
  </si>
  <si>
    <t>CREDITI V/REGIONE X FINANZIAMENTI IN C/CAPITALE EX ART.38 L.R. 30/97 SU ANNO 2014</t>
  </si>
  <si>
    <t>1.02.02.12.0123</t>
  </si>
  <si>
    <t>CRED.V/REG. PO-FESR 2007/13 LINEA 2.1.1.2.2</t>
  </si>
  <si>
    <t>1.02.02.12.0124</t>
  </si>
  <si>
    <t>CREDITI V/ REGIONE PER FINANZIAMENTI IN CONTO CAPITALE FORNITURA E POSA SISTEMA TC/PET  EX ART. 20 L. 67/88</t>
  </si>
  <si>
    <t>1.02.02.12.0125</t>
  </si>
  <si>
    <t>CREDITI V/ REGIONE PER FINANZIAMENTI PER INTERVENTI VOLTI A RIDURRE LE LISTE D'ATTESA E FASCICOLO SANITARIO ELETTRONICO (FSE)</t>
  </si>
  <si>
    <t>CREDITI V/ REGIONE PER FINANZIAMENTI IN CONTO CAPITALE recupero liste di attesa e fascicolo elettronico</t>
  </si>
  <si>
    <t>1.02.02.12.9501</t>
  </si>
  <si>
    <t>CREDITI V/ REGIONE PER FINANZIAMENTI IN CONTO CAPITALE PNRR - MISSIONE 6 C2 - 1.1.1 DIGITALIZZAZIONE DEA I E II LIVELLO</t>
  </si>
  <si>
    <t>1.02.02.12.9601</t>
  </si>
  <si>
    <t>CREDITI V/ REGIONE PER FINANZIAMENTI IN CONTO CAPITALE PNRR - MISSIONE 6 C2 - 1.1.2 GRANDI APPARECCHIATURE</t>
  </si>
  <si>
    <t>1.02.02.12.9602</t>
  </si>
  <si>
    <t>CREDITI V/ REGIONE PER FINANZIAMENTI IN CONTO CAPITALE PNRR - MISSIONE 6 C2 - 1.1.2 LAVORI X GRANDI APPARECCHIATURE</t>
  </si>
  <si>
    <t>1.02.02.12.9701</t>
  </si>
  <si>
    <t>CREDITI V/ REGIONE PER FINANZIAMENTI IN CONTO CAPITALE PNRR - MISSIONE 6 C2 - 1.2.1 OSPEDALI SICURI E SOSTENIBILI</t>
  </si>
  <si>
    <t>1.02.02.12.9801</t>
  </si>
  <si>
    <t>CREDITI V/ REGIONE PER FINANZIAMENTI IN CONTO CAPITALE PNC - MISSIONE 6 C2 - 1.2.1 OSPEDALI SICURI E SOSTENIBILI</t>
  </si>
  <si>
    <t>1.02.02.12.9802</t>
  </si>
  <si>
    <t>CREDITI V/ REGIONE PER FINANZIAMENTI IN CONTO CAPITALE PNRR M 1 C 1 MISURE 1.4.3 E 1.4.4</t>
  </si>
  <si>
    <t>1.02.02.12.9803</t>
  </si>
  <si>
    <t>CREDITI V/ REGIONE PER FINANZIAMENTI IN CONTO CAPITALE PNRR - ADOZIONE E UTILIZZO FASCICOLO ELETTRONICO</t>
  </si>
  <si>
    <t>1.02.02.12.9804</t>
  </si>
  <si>
    <t>CREDITI V/REGIONE PER FINANZIAMENTI IN CONTO CAPITALE D.L. 34/2020</t>
  </si>
  <si>
    <t>1.02.02.12.0201</t>
  </si>
  <si>
    <t>CREDITI V/REGIONE O PROVINCIA AUTONOMA PER INCREMENTO FONDO DOTAZIONE</t>
  </si>
  <si>
    <t>Crediti v/Regione o Provincia Autonoma per incremento fondo dotazione</t>
  </si>
  <si>
    <t>1.02.02.12.0301</t>
  </si>
  <si>
    <t>CREDITI VERSO REGIONE PER RIPIANO PERDITE</t>
  </si>
  <si>
    <t>Crediti v/Regione o Provincia Autonoma per ripiano perdite</t>
  </si>
  <si>
    <t>B.II.2.b.3) Crediti v/Regione o Provincia Autonoma per ripiano perdite</t>
  </si>
  <si>
    <t>1.02.02.12.0601</t>
  </si>
  <si>
    <t>Crediti v/Regione o Provincia Autonoma per anticipazione ripiano disavanzo programmato dai Piani aziendali di cui all'art. 1, comma 528, L. 208/2015</t>
  </si>
  <si>
    <t>ABA501</t>
  </si>
  <si>
    <t>B.II.2.b.4) Crediti v/Regione o Provincia Autonoma per anticipazione ripiano disavanzo programmato dai Piani aziendali di cui all'art. 1, comma 528, L. 208/2015</t>
  </si>
  <si>
    <t>1.02.02.12.0401</t>
  </si>
  <si>
    <t>CREDITI V/REGIONE PER COPERTURA DEBITI AL 31/12/2005</t>
  </si>
  <si>
    <t>Crediti v/Regione per copertura debiti al 31/12/2005</t>
  </si>
  <si>
    <t>B.II.2.b.5) Crediti v/Regione per copertura debiti al 31/12/2005</t>
  </si>
  <si>
    <t>1.02.02.12.0501</t>
  </si>
  <si>
    <t>CREDITI V/REGIONE O PROVINCIA AUTONOMA PER RICOSTITUZIONE RISORSE DA INVESTIMENTI ESERCIZI PRECEDENTI</t>
  </si>
  <si>
    <t>Crediti v/Regione o Provincia Autonoma per ricostituzione risorse da investimenti esercizi precedenti</t>
  </si>
  <si>
    <t>Crediti v/Regione o Provincia Autonoma per contributi L. 210/92</t>
  </si>
  <si>
    <t>29</t>
  </si>
  <si>
    <t>ABA521</t>
  </si>
  <si>
    <t>B.II.2.c)  Crediti v/Regione o Provincia Autonoma per contributi L. 210/92</t>
  </si>
  <si>
    <t>1.02.02.29.0101</t>
  </si>
  <si>
    <t>Crediti v/Regione o Provincia Autonoma per contributi L. 210/92 – aziende sanitarie</t>
  </si>
  <si>
    <t>30</t>
  </si>
  <si>
    <t>ABA522</t>
  </si>
  <si>
    <t>B.II.2.d) Crediti v/Regione o Provincia Autonoma per contributi L. 210/92 – aziende sanitarie</t>
  </si>
  <si>
    <t>1.02.02.30.0101</t>
  </si>
  <si>
    <t>Crediti v/Regione o Provincia Autonoma per contributi L. 210/92 - aziende sanitarie</t>
  </si>
  <si>
    <t>CREDITI V/COMUNI</t>
  </si>
  <si>
    <t>Crediti v/Comuni</t>
  </si>
  <si>
    <t>1.02.02.13.0101</t>
  </si>
  <si>
    <t>B.II.3) Crediti v/Comuni</t>
  </si>
  <si>
    <t>1.02.02.13.0102</t>
  </si>
  <si>
    <t>CREDITI V/ COMUNI PER PROGETTI SANITARI</t>
  </si>
  <si>
    <t>1.02.02.13.0103</t>
  </si>
  <si>
    <t>ALTRI CREDITI V/ COMUNI</t>
  </si>
  <si>
    <t>CREDITI V/AZIENDE SANITARIE PUBBLICHE DELLA REGIONE</t>
  </si>
  <si>
    <t>Crediti v/Aziende sanitarie pubbliche della Regione</t>
  </si>
  <si>
    <t>ABA550</t>
  </si>
  <si>
    <t>B.II.4.a) Crediti v/Aziende sanitarie pubbliche della Regione</t>
  </si>
  <si>
    <t>1.02.02.14.0101</t>
  </si>
  <si>
    <t>CREDITI V/AZIENDE SANITARIE PUBBLICHE DELLA REGIONE - PER MOBILITA IN  COMPENSAZIONE</t>
  </si>
  <si>
    <t>Crediti v/Aziende sanitarie pubbliche della Regione - per mobilità in  compensazione</t>
  </si>
  <si>
    <t>1.02.02.14.0201</t>
  </si>
  <si>
    <t>CREDITI V/ASP AG - PER MOBILITA NON IN COMPENSAZIONE</t>
  </si>
  <si>
    <t>Crediti v/ASP AG - per mobilità non in compensazione</t>
  </si>
  <si>
    <t>B.II.4.a.2) Crediti v/Aziende sanitarie pubbliche della Regione - per mobilità non in compensazione</t>
  </si>
  <si>
    <t>1.02.02.14.0301</t>
  </si>
  <si>
    <t>CREDITI V/ASP CL - PER MOBILITA NON IN COMPENSAZIONE</t>
  </si>
  <si>
    <t>Crediti v/ASP CL - per mobilità non in compensazione</t>
  </si>
  <si>
    <t>1.02.02.14.0401</t>
  </si>
  <si>
    <t>CREDITI V/ASP CT - PER MOBILITA NON IN COMPENSAZIONE</t>
  </si>
  <si>
    <t>Crediti v/ASP CT - per mobilità non in compensazione</t>
  </si>
  <si>
    <t>1.02.02.14.0501</t>
  </si>
  <si>
    <t>CREDITI V/ASP EN - PER MOBILITA NON IN COMPENSAZIONE</t>
  </si>
  <si>
    <t>Crediti v/ASP EN - per mobilità non in compensazione</t>
  </si>
  <si>
    <t>1.02.02.14.0601</t>
  </si>
  <si>
    <t>CREDITI V/ASP ME - PER MOBILITA NON IN COMPENSAZIONE</t>
  </si>
  <si>
    <t>Crediti v/ASP ME - per mobilità non in compensazione</t>
  </si>
  <si>
    <t>1.02.02.14.0701</t>
  </si>
  <si>
    <t>CREDITI V/ASP PA - PER MOBILITA NON IN COMPENSAZIONE</t>
  </si>
  <si>
    <t>Crediti v/ASP PA - per mobilità non in compensazione</t>
  </si>
  <si>
    <t>1.02.02.14.0801</t>
  </si>
  <si>
    <t>CREDITI V/ASP RG - PER MOBILITA NON IN COMPENSAZIONE</t>
  </si>
  <si>
    <t>Crediti v/ASP RG - per mobilità non in compensazione</t>
  </si>
  <si>
    <t>1.02.02.14.0901</t>
  </si>
  <si>
    <t>CREDITI V/ASP SR - PER MOBILITA NON IN COMPENSAZIONE</t>
  </si>
  <si>
    <t>Crediti v/ASP SR - per mobilità non in compensazione</t>
  </si>
  <si>
    <t>1.02.02.14.1001</t>
  </si>
  <si>
    <t>CREDITI V/ASP TP - PER MOBILITA NON IN COMPENSAZIONE</t>
  </si>
  <si>
    <t>Crediti v/ASP TP - per mobilità non in compensazione</t>
  </si>
  <si>
    <t>1.02.02.14.1101</t>
  </si>
  <si>
    <t>CREDITI V/AO CANNIZZARO CT - PER MOBILITA NON IN COMPENSAZIONE</t>
  </si>
  <si>
    <t>Crediti v/AO CANNIZZARO CT - per mobilità non in compensazione</t>
  </si>
  <si>
    <t>1.02.02.14.1201</t>
  </si>
  <si>
    <t>CREDITI V/AO GARIBALDI CT - PER MOBILITA NON IN COMPENSAZIONE</t>
  </si>
  <si>
    <t>Crediti v/AO GARIBALDI CT - per mobilità non in compensazione</t>
  </si>
  <si>
    <t>1.02.02.14.1301</t>
  </si>
  <si>
    <t>CREDITI V/AOU POLICLINICO CT - PER MOBILITA NON IN COMPENSAZIONE</t>
  </si>
  <si>
    <t>Crediti v/AOU POLICLINICO CT - per mobilità non in compensazione</t>
  </si>
  <si>
    <t>1.02.02.14.1401</t>
  </si>
  <si>
    <t>CREDITI V/AO PAPARDO PIEMONTE - PER MOBILITA NON IN COMPENSAZIONE</t>
  </si>
  <si>
    <t>Crediti v/AO PAPARDO - per mobilità non in compensazione</t>
  </si>
  <si>
    <t>1.02.02.14.1501</t>
  </si>
  <si>
    <t>CREDITI V/AOU POLICLINICO ME - PER MOBILITA NON IN COMPENSAZIONE</t>
  </si>
  <si>
    <t>Crediti v/AOU POLICLINICO ME - per mobilità non in compensazione</t>
  </si>
  <si>
    <t>1.02.02.14.1601</t>
  </si>
  <si>
    <t>CREDITI V/AO VILLA SOFIA CERVELLO - PER MOBILITA NON IN COMPENSAZIONE</t>
  </si>
  <si>
    <t>Crediti v/AO VILLA SOFIA CERVELLO - per mobilità non in compensazione</t>
  </si>
  <si>
    <t>1.02.02.14.1701</t>
  </si>
  <si>
    <t>CREDITI V/AO CIVICO PA - PER MOBILITA NON IN COMPENSAZIONE</t>
  </si>
  <si>
    <t>17</t>
  </si>
  <si>
    <t>Crediti v/AO CIVICO PA - per mobilità non in compensazione</t>
  </si>
  <si>
    <t>1.02.02.14.1801</t>
  </si>
  <si>
    <t>CREDITI V/AOU POLICLINICO PA - PER MOBILITA NON IN COMPENSAZIONE</t>
  </si>
  <si>
    <t>18</t>
  </si>
  <si>
    <t>Crediti v/AOU POLICLINICO PA - per mobilità non in compensazione</t>
  </si>
  <si>
    <t>1.02.02.14.1901</t>
  </si>
  <si>
    <t>CREDITI V/IRCCS BONINO PULEJO ME - PER MOBILITA NON IN COMPENSAZIONE</t>
  </si>
  <si>
    <t>19</t>
  </si>
  <si>
    <t>Crediti v/IRCCS BONINO PULEJO ME - per mobilità non in compensazione</t>
  </si>
  <si>
    <t>1.02.02.14.2001</t>
  </si>
  <si>
    <t>CREDITI V/ASP AG - PER ALTRE PRESTAZIONI</t>
  </si>
  <si>
    <t>20</t>
  </si>
  <si>
    <t>Crediti v/ASP AG - per altre prestazioni</t>
  </si>
  <si>
    <t>B.II.4.a.3) Crediti v/Aziende sanitarie pubbliche della Regione - per altre prestazioni</t>
  </si>
  <si>
    <t>1.02.02.14.2101</t>
  </si>
  <si>
    <t>CREDITI V/ASP CL - PER ALTRE PRESTAZIONI</t>
  </si>
  <si>
    <t>21</t>
  </si>
  <si>
    <t>Crediti v/ASP CL - per altre prestazioni</t>
  </si>
  <si>
    <t>1.02.02.14.2201</t>
  </si>
  <si>
    <t>CREDITI V/ASP CT - PER ALTRE PRESTAZIONI</t>
  </si>
  <si>
    <t>22</t>
  </si>
  <si>
    <t>Crediti v/ASP CT - per altre prestazioni</t>
  </si>
  <si>
    <t>1.02.02.14.2301</t>
  </si>
  <si>
    <t>CREDITI V/ASP EN - PER ALTRE PRESTAZIONI</t>
  </si>
  <si>
    <t>23</t>
  </si>
  <si>
    <t>Crediti v/ASP EN - per altre prestazioni</t>
  </si>
  <si>
    <t>1.02.02.14.2401</t>
  </si>
  <si>
    <t>CREDITI V/ASP ME - PER ALTRE PRESTAZIONI</t>
  </si>
  <si>
    <t>24</t>
  </si>
  <si>
    <t>Crediti v/ASP ME - per altre prestazioni</t>
  </si>
  <si>
    <t>1.02.02.14.2501</t>
  </si>
  <si>
    <t>CREDITI V/ASP PA - PER ALTRE PRESTAZIONI</t>
  </si>
  <si>
    <t>25</t>
  </si>
  <si>
    <t>Crediti v/ASP PA - per altre prestazioni</t>
  </si>
  <si>
    <t>1.02.02.14.2601</t>
  </si>
  <si>
    <t>CREDITI V/ASP RG - PER ALTRE PRESTAZIONI</t>
  </si>
  <si>
    <t>26</t>
  </si>
  <si>
    <t>Crediti v/ASP RG - per altre prestazioni</t>
  </si>
  <si>
    <t>1.02.02.14.2701</t>
  </si>
  <si>
    <t>CREDITI V/ASP SR - PER ALTRE PRESTAZIONI</t>
  </si>
  <si>
    <t>Crediti v/ASP SR - per altre prestazioni</t>
  </si>
  <si>
    <t>1.02.02.14.2801</t>
  </si>
  <si>
    <t>CREDITI V/ASP TP - PER ALTRE PRESTAZIONI</t>
  </si>
  <si>
    <t>Crediti v/ASP TP - per altre prestazioni</t>
  </si>
  <si>
    <t>1.02.02.14.2901</t>
  </si>
  <si>
    <t>CREDITI V/AO CANNIZZARO CT - PER ALTRE PRESTAZIONI</t>
  </si>
  <si>
    <t>Crediti v/AO CANNIZZARO CT - per altre prestazioni</t>
  </si>
  <si>
    <t>1.02.02.14.3001</t>
  </si>
  <si>
    <t>CREDITI V/AO GARIBALDI CT - PER ALTRE PRESTAZIONI</t>
  </si>
  <si>
    <t>Crediti v/AO GARIBALDI CT - per altre prestazioni</t>
  </si>
  <si>
    <t>1.02.02.14.3101</t>
  </si>
  <si>
    <t>CREDITI V/AOU POLICLINICO CT - PER ALTRE PRESTAZIONI.</t>
  </si>
  <si>
    <t>CREDITI V/AOU POLICLINICO CT - PER ALTRE PRESTAZIONI</t>
  </si>
  <si>
    <t>31</t>
  </si>
  <si>
    <t>Crediti v/AOU POLICLINICO CT - per altre prestazioni</t>
  </si>
  <si>
    <t>1.02.02.14.3201</t>
  </si>
  <si>
    <t>CREDITI V/AO PAPARDO PIEMONTE - PER ALTRE PRESTAZIONI</t>
  </si>
  <si>
    <t>32</t>
  </si>
  <si>
    <t>Crediti v/AO PAPARDO - per altre prestazioni</t>
  </si>
  <si>
    <t>1.02.02.14.3301</t>
  </si>
  <si>
    <t>CREDITI V/AOU POLICLINICO ME - PER ALTRE PRESTAZIONI</t>
  </si>
  <si>
    <t>33</t>
  </si>
  <si>
    <t>Crediti v/AOU POLICLINICO ME - per altre prestazioni</t>
  </si>
  <si>
    <t>1.02.02.14.3401</t>
  </si>
  <si>
    <t>CREDITI V/AO VILLA SOFIA CERVELLO- PER ALTRE PRESTAZIONI</t>
  </si>
  <si>
    <t>34</t>
  </si>
  <si>
    <t>Crediti v/AO VILLA SOFIA CERVELLO - per altre prestazioni</t>
  </si>
  <si>
    <t>1.02.02.14.3501</t>
  </si>
  <si>
    <t>CREDITI V/AO CIVICO PA - PER ALTRE PRESTAZIONI</t>
  </si>
  <si>
    <t>35</t>
  </si>
  <si>
    <t>Crediti v/AO CIVICO PA - per altre prestazioni</t>
  </si>
  <si>
    <t>1.02.02.14.3601</t>
  </si>
  <si>
    <t>CREDITI V/AOU POLICLINICO PA - PER ALTRE PRESTAZIONI</t>
  </si>
  <si>
    <t>36</t>
  </si>
  <si>
    <t>Crediti v/AOU POLICLINICO PA - per altre prestazioni</t>
  </si>
  <si>
    <t>1.02.02.14.3701</t>
  </si>
  <si>
    <t>CREDITI V/IRCCS BONINO PULEJO ME - PER ALTRE PRESTAZIONI</t>
  </si>
  <si>
    <t>37</t>
  </si>
  <si>
    <t>Crediti v/IRCCS BONINO PULEJO ME - per altre prestazioni</t>
  </si>
  <si>
    <t>1.02.02.14.3801</t>
  </si>
  <si>
    <t>Fondo svalutazione Crediti</t>
  </si>
  <si>
    <t>38</t>
  </si>
  <si>
    <t>ACCONTO QUOTA FSR DA DISTRIBUIRE</t>
  </si>
  <si>
    <t>Acconto quota FSR da distribuire</t>
  </si>
  <si>
    <t>1.02.02.15.0101</t>
  </si>
  <si>
    <t>CREDITI V/AZIENDA X - PER ACCONTO QUOTA FSR DA DISTRIBUIRE</t>
  </si>
  <si>
    <t>Crediti v/azienda X - per acconto quota FSR da distribuire</t>
  </si>
  <si>
    <t>B.II.4.b) Acconto quota FSR da distribuire</t>
  </si>
  <si>
    <t>Crediti v/Aziende sanitarie pubbliche della Regione per anticipazione ripiano disavanzo programmato dai Piani aziendali di cui all'art. 1, comma 528, L. 208/2015</t>
  </si>
  <si>
    <t>ABA591</t>
  </si>
  <si>
    <t>B.II.4.c) Crediti v/Aziende sanitarie pubbliche della Regione per anticipazione ripiano disavanzo programmato dai Piani aziendali di cui all'art. 1, comma 528, L. 208/2015</t>
  </si>
  <si>
    <t>1.02.02.31.0101</t>
  </si>
  <si>
    <t>CREDITI V/AZIENDE SANITARIE PUBBLICHE EXTRAREGIONE</t>
  </si>
  <si>
    <t>Crediti v/Aziende sanitarie pubbliche Extraregione</t>
  </si>
  <si>
    <t>B.II.4.d) Crediti v/Aziende sanitarie pubbliche Extraregione</t>
  </si>
  <si>
    <t>1.02.02.16.0101</t>
  </si>
  <si>
    <t>1.02.02.16.0102</t>
  </si>
  <si>
    <t>CREDITI V/AZIENDE SANITARIE PUBBLICHE EXTRAREGIONE - PROGETTI DI RICERCA PNRR</t>
  </si>
  <si>
    <t xml:space="preserve">Crediti v/Aziende sanitarie pubbliche della Regione - per Contributi da Aziende sanitarie pubbliche della Regione o Prov. Aut. (extra fondo) </t>
  </si>
  <si>
    <t>ABA601</t>
  </si>
  <si>
    <t xml:space="preserve">B.II.4.e)  Crediti v/Aziende sanitarie pubbliche della Regione - per Contributi da Aziende sanitarie pubbliche della Regione o Prov. Aut. (extra fondo) </t>
  </si>
  <si>
    <t>1.02.02.32.0101</t>
  </si>
  <si>
    <t>Crediti v/Aziende sanitarie pubbliche della Regione - per Contributi da Aziende sanitarie pubbliche della Regione o Prov. Aut. (extra fondo)</t>
  </si>
  <si>
    <t>CREDITI V/ENTI REGIONALI</t>
  </si>
  <si>
    <t>Crediti v/enti regionali</t>
  </si>
  <si>
    <t>B.II.5.a) Crediti v/enti regionali</t>
  </si>
  <si>
    <t>1.02.02.17.0101</t>
  </si>
  <si>
    <t>CREDITI V/ARPA</t>
  </si>
  <si>
    <t>Crediti v/ARPA</t>
  </si>
  <si>
    <t>1.02.02.17.0201</t>
  </si>
  <si>
    <t>CREDITI V/SPERIMENTAZIONI GESTIONALI</t>
  </si>
  <si>
    <t>Crediti v/sperimentazioni gestionali</t>
  </si>
  <si>
    <t>B.II.5.b) Crediti v/sperimentazioni gestionali</t>
  </si>
  <si>
    <t>1.02.02.18.0101</t>
  </si>
  <si>
    <t>CREDITI V/ALTRE PARTECIPATE</t>
  </si>
  <si>
    <t>Crediti v/altre partecipate</t>
  </si>
  <si>
    <t>B.II.5.c) Crediti v/altre partecipate</t>
  </si>
  <si>
    <t>1.02.02.19.0101</t>
  </si>
  <si>
    <t>CREDITI V/SOCIETA CONTROLLATE E COLLEGATE</t>
  </si>
  <si>
    <t>Crediti v/società controllate e collegate</t>
  </si>
  <si>
    <t>1.02.02.19.0201</t>
  </si>
  <si>
    <t>CREDITI V/ERARIO</t>
  </si>
  <si>
    <t>Crediti v/Erario</t>
  </si>
  <si>
    <t>B.II.6) Crediti v/Erario</t>
  </si>
  <si>
    <t>1.02.02.20.0101</t>
  </si>
  <si>
    <t>CREDITI PER ERARIO C/IRES</t>
  </si>
  <si>
    <t>Crediti per Erario c/Ires</t>
  </si>
  <si>
    <t>1.02.02.20.0201</t>
  </si>
  <si>
    <t>CREDITI PER IRAP - ATTIVITA ISTITUZIONALE</t>
  </si>
  <si>
    <t>Crediti per  Erario c/IRAP</t>
  </si>
  <si>
    <t>1.02.02.20.0202</t>
  </si>
  <si>
    <t>CREDITI PER IRAP - ATTIVITA COMMERCIALE</t>
  </si>
  <si>
    <t>1.02.02.20.0203</t>
  </si>
  <si>
    <t>CREDITI PER IRAP - ATTIVITA PER PROGETTI FINALIZZATI</t>
  </si>
  <si>
    <t>1.02.02.20.0301</t>
  </si>
  <si>
    <t>CREDITI PER  ERARIO C/RITENUTE</t>
  </si>
  <si>
    <t>Crediti per  Erario c/ritenute</t>
  </si>
  <si>
    <t>1.02.02.20.0401</t>
  </si>
  <si>
    <t>CREDITI PER  ERARIO C/IVA</t>
  </si>
  <si>
    <t xml:space="preserve">Crediti per  Erario c/Iva </t>
  </si>
  <si>
    <t>1.02.02.20.0402</t>
  </si>
  <si>
    <t>CREDITI PER  ERARIO C/IVA  SPLIT</t>
  </si>
  <si>
    <t>1.02.02.20.0501</t>
  </si>
  <si>
    <t>CREDITO  VERSO ERARIO PER IMPOSTE ANTICIPATE</t>
  </si>
  <si>
    <t>Credito  verso Erario per imposte anticipate</t>
  </si>
  <si>
    <t>1.02.02.20.0502</t>
  </si>
  <si>
    <t>CREDITI FINANZIARI V/ ERARIO</t>
  </si>
  <si>
    <t>1.02.02.20.0503</t>
  </si>
  <si>
    <t>CREDITO  VERSO ALTRE IMPOSTE E TASSE</t>
  </si>
  <si>
    <t>1.02.02.20.0504</t>
  </si>
  <si>
    <t>CREDITI V/ INPS LAVORATORI DIPENDENTI</t>
  </si>
  <si>
    <t>1.02.02.20.0506</t>
  </si>
  <si>
    <t>CREDITI V/ INPDAP - CPS</t>
  </si>
  <si>
    <t>1.02.02.20.0507</t>
  </si>
  <si>
    <t>CREDITI V/  INPDAP - CPDEL</t>
  </si>
  <si>
    <t>1.02.02.20.0508</t>
  </si>
  <si>
    <t>CREDITI V/  INPDAP - INADEL</t>
  </si>
  <si>
    <t>1.02.02.20.0509</t>
  </si>
  <si>
    <t>CREDITI V/  INAIL</t>
  </si>
  <si>
    <t>1.02.02.20.0510</t>
  </si>
  <si>
    <t>CREDITI V/ ENPAM</t>
  </si>
  <si>
    <t>1.02.02.20.0511</t>
  </si>
  <si>
    <t>CREDITI V/  ONAOSI</t>
  </si>
  <si>
    <t>1.02.02.20.0512</t>
  </si>
  <si>
    <t>CREDITI V/  ALTRI ENTI PREVIDENZIALI</t>
  </si>
  <si>
    <t>1.02.02.20.0513</t>
  </si>
  <si>
    <t>CREDITI DA INPDAP - ENPDEP</t>
  </si>
  <si>
    <t>1.02.02.20.0514</t>
  </si>
  <si>
    <t>CREDITI DA INPDAP - TESORO</t>
  </si>
  <si>
    <t>CREDITI V/CLIENTI PRIVATI</t>
  </si>
  <si>
    <t>Crediti v/clienti privati</t>
  </si>
  <si>
    <t>B.II.7.a) Crediti v/clienti privati</t>
  </si>
  <si>
    <t>1.02.02.21.0101</t>
  </si>
  <si>
    <t>CREDITI V/CLIENTI PRIVATI PER PRESTAZIONI RESE IN ATTIVITA COMMERCIALI DIVERSE</t>
  </si>
  <si>
    <t>1.02.02.21.0102</t>
  </si>
  <si>
    <t>CREDITI V/CLIENTI PRIVATI PER PRESTAZIONI RESE IN ATTIVITA NON SANITARIE DIVERSE</t>
  </si>
  <si>
    <t>1.02.02.21.0103</t>
  </si>
  <si>
    <t>PER PRESTAZIONI RESE IN ATTIVITA LIBERO-PROFESSIONALE</t>
  </si>
  <si>
    <t>1.02.02.21.0104</t>
  </si>
  <si>
    <t>CREDITI V/CLIENTI PRIVATI PER PRESTAZIONI RESE IN ATTIVITA SANITARIA ORDINARIA</t>
  </si>
  <si>
    <t>CREDITI V/CLIENTI PRIVATI PER PRESTAZIONI RESE IN ATTIVITA SANITARIAORDINARIA</t>
  </si>
  <si>
    <t>1.02.02.21.0105</t>
  </si>
  <si>
    <t>CREDITI V/CLIENTI PRIVATI PER PRESTAZIONI RESE IN PROGETTI SANITARI</t>
  </si>
  <si>
    <t>1.02.02.21.0106</t>
  </si>
  <si>
    <t>CREDITI V/OSPEDALI CLASSIFICATI E CASE DI CURA</t>
  </si>
  <si>
    <t>CREDITI V/OSPEDALI CLASSIFICATIE CASE DI CURA</t>
  </si>
  <si>
    <t>1.02.02.21.0107</t>
  </si>
  <si>
    <t>CREDITI V/CLIENTI PRIVATI PER RIMBORSI DA CONTENZIOSO LEGALE</t>
  </si>
  <si>
    <t>1.02.02.21.0108</t>
  </si>
  <si>
    <t>CREDITI V/CLIENTI PRIVATI PER RIMBORSI VARI</t>
  </si>
  <si>
    <t>1.02.02.21.0109</t>
  </si>
  <si>
    <t>CREDITI PER ASSICURAZIONI PER FURTO E INCENDI</t>
  </si>
  <si>
    <t>1.02.02.21.0110</t>
  </si>
  <si>
    <t>ALTRI CREDITI PER ALTRE ASSICURAZIONI</t>
  </si>
  <si>
    <t>1.02.02.21.0111</t>
  </si>
  <si>
    <t>CREDITI V/ ANTICIPI DA ECONOMO</t>
  </si>
  <si>
    <t>1.02.02.21.0112</t>
  </si>
  <si>
    <t>CREDITI V/ TESORIERE PER MANDATI NON A BUON FINE</t>
  </si>
  <si>
    <t>1.02.02.21.0113</t>
  </si>
  <si>
    <t>ALTRI CREDITI DI NATURA DIVERSA</t>
  </si>
  <si>
    <t>1.02.02.21.0114</t>
  </si>
  <si>
    <t>CONTO TRANSITORIO INCASSI DA BANCO POSTA PER CQRC</t>
  </si>
  <si>
    <t>1.02.02.21.0115</t>
  </si>
  <si>
    <t>CREDITI PER ANTICIP. FUNZIONARIO DELEGATO</t>
  </si>
  <si>
    <t>1.02.02.21.0201</t>
  </si>
  <si>
    <t>CREDITI V/UTENZA PER PROVENTI DA TICKET</t>
  </si>
  <si>
    <t>Crediti v/utenza per proventi da ticket</t>
  </si>
  <si>
    <t>1.02.02.21.0301</t>
  </si>
  <si>
    <t>Crediti v/clienti privati per anticipi mobilità attiva</t>
  </si>
  <si>
    <t>1.02.02.21.0302</t>
  </si>
  <si>
    <t>1.02.02.21.0303</t>
  </si>
  <si>
    <t>CREDITI V/CLIENTI PRIVATI PERRIMBORSI VARI</t>
  </si>
  <si>
    <t>CREDITI V/GESTIONI LIQUIDATORIE</t>
  </si>
  <si>
    <t>Crediti v/gestioni liquidatorie</t>
  </si>
  <si>
    <t>B.II.7.b) Crediti v/gestioni liquidatorie</t>
  </si>
  <si>
    <t>1.02.02.22.0101</t>
  </si>
  <si>
    <t>CREDITI V/ALTRI SOGGETTI PUBBLICI</t>
  </si>
  <si>
    <t>Crediti v/altri soggetti pubblici</t>
  </si>
  <si>
    <t>B.II.7.c) Crediti v/altri soggetti pubblici</t>
  </si>
  <si>
    <t>1.02.02.23.0101</t>
  </si>
  <si>
    <t>1.02.02.23.0102</t>
  </si>
  <si>
    <t>CREDITI VERSO UNIVERSITA'</t>
  </si>
  <si>
    <t>1.02.02.23.0103</t>
  </si>
  <si>
    <t>CREDITI DA ALTRI ENTI PUBBLICI PER PROGETTI</t>
  </si>
  <si>
    <t>1.02.02.23.0104</t>
  </si>
  <si>
    <t>CREDITI VERSO UNIVERSITA' PER PARTECIPAZIONE</t>
  </si>
  <si>
    <t>1.02.02.23.0105</t>
  </si>
  <si>
    <t>CREDITI VERSO OSPEDALI CLASSIFICATI E CASE DI CURA</t>
  </si>
  <si>
    <t>1.02.02.23.0106</t>
  </si>
  <si>
    <t>PROGETTO JACARDI - Joint Action on Cardiovascular diseases and Diabetes</t>
  </si>
  <si>
    <t>CREDITI V/ALTRI SOGGETTI PUBBLICI PER RICERCA</t>
  </si>
  <si>
    <t>Crediti v/altri soggetti pubblici per ricerca</t>
  </si>
  <si>
    <t>B.II.7.d) Crediti v/altri soggetti pubblici per ricerca</t>
  </si>
  <si>
    <t>1.02.02.24.0101</t>
  </si>
  <si>
    <t>ALTRI CREDITI DIVERSI</t>
  </si>
  <si>
    <t>Altri Crediti diversi</t>
  </si>
  <si>
    <t>B.II.7.e</t>
  </si>
  <si>
    <t>B.II.7.e) Altri crediti diversi</t>
  </si>
  <si>
    <t>1.02.02.25.0101</t>
  </si>
  <si>
    <t>CREDITI PER FATTURE DA EMETTERE</t>
  </si>
  <si>
    <t>Crediti per fatture da emettere</t>
  </si>
  <si>
    <t>ABA711</t>
  </si>
  <si>
    <t xml:space="preserve">B.II.7.e.1) Altri Crediti  diversi </t>
  </si>
  <si>
    <t>1.02.02.25.0102</t>
  </si>
  <si>
    <t>CREDITI PER FATT. DA EMETTERE 2015</t>
  </si>
  <si>
    <t>1.02.02.25.0103</t>
  </si>
  <si>
    <t>CREDITI PER FATTURE DA EMETTERE ANNO 2016</t>
  </si>
  <si>
    <t>1.02.02.25.0104</t>
  </si>
  <si>
    <t>CREDITI PER FATTURE DA EMETTERE ANNO 2017</t>
  </si>
  <si>
    <t>1.02.02.25.0105</t>
  </si>
  <si>
    <t>CREDITI PER FATTURE DA EMETTERE ANNO 2018</t>
  </si>
  <si>
    <t>1.02.02.25.0106</t>
  </si>
  <si>
    <t>CREDITI PER FATTURE DA EMETTERE ANNO 2019</t>
  </si>
  <si>
    <t>1.02.02.25.0107</t>
  </si>
  <si>
    <t>CREDITI PER FATTURE DA EMETTERE ANNO 2020</t>
  </si>
  <si>
    <t>1.02.02.25.0108</t>
  </si>
  <si>
    <t>CREDITI PER FATTURE DA EMETTERE ANNO 2021</t>
  </si>
  <si>
    <t>1.02.02.25.0109</t>
  </si>
  <si>
    <t>CREDITI PER FATTURE DA EMETTERE ANNO 2022</t>
  </si>
  <si>
    <t>1.02.02.25.0110</t>
  </si>
  <si>
    <t>CREDITI PER FATTURE DA EMETTERE ANNO 2023</t>
  </si>
  <si>
    <t>1.02.02.25.0111</t>
  </si>
  <si>
    <t>CREDITI PER FATTURE DA EMETTERE ANNO 2024</t>
  </si>
  <si>
    <t>1.02.02.25.0301</t>
  </si>
  <si>
    <t>ACCONTI VERSO ALTRI FORNITORI</t>
  </si>
  <si>
    <t>Acconti verso altri fornitori</t>
  </si>
  <si>
    <t>1.02.02.25.0302</t>
  </si>
  <si>
    <t>ANTICIPI VERSO FORNITORI PER REGISTRAZ VERBALI DI GARA</t>
  </si>
  <si>
    <t>1.02.02.25.0303</t>
  </si>
  <si>
    <t>ANTICIPI VERSO FORNITORI</t>
  </si>
  <si>
    <t>1.02.02.25.0401</t>
  </si>
  <si>
    <t>CREDITI V/DIPENDENTI PER ANTICIPI E RECUPERI</t>
  </si>
  <si>
    <t>CREDITI V/DIPENDENTI PER ANTICI ERECUPERI</t>
  </si>
  <si>
    <t>Crediti v/dipendenti</t>
  </si>
  <si>
    <t>1.02.02.25.0402</t>
  </si>
  <si>
    <t>ALTRI CREDITI V/DIPENDENTI - CREDITI PERSONALE DIPENDENTE (ART.13 P.INTESA)</t>
  </si>
  <si>
    <t>1.02.02.25.0403</t>
  </si>
  <si>
    <t>CREDITI VERSO PERSONALE PER ATTIVITA INTRAMOENIA</t>
  </si>
  <si>
    <t>1.02.02.25.0404</t>
  </si>
  <si>
    <t>ALTRI CREDITI V/DIPENDENTI - CREDITI X RECUPERO INDENNITA' DI ATENEO ANNI PRECEDENTI</t>
  </si>
  <si>
    <t>1.02.02.25.0405</t>
  </si>
  <si>
    <t>ALTRI CREDITI V/DIPENDENTI -CREDITI PERSONALE DIPENDENTE CESSATO (ART.13 PROT. INTESA)</t>
  </si>
  <si>
    <t>1.02.02.25.0406</t>
  </si>
  <si>
    <t>ALTRI CREDITI V/DIPENDENTI - CREDITI PERSONALE DIPENDENTE PER ADDIZIONALI</t>
  </si>
  <si>
    <t>1.02.02.25.0407</t>
  </si>
  <si>
    <t>CREDITI PER PAY BACK</t>
  </si>
  <si>
    <t>1.02.02.25.0501</t>
  </si>
  <si>
    <t>CREDITI PER NOTE CREDITO DA RICEVERE PER PRESTAZIONI OSPEDALIERE DA PRIVATO</t>
  </si>
  <si>
    <t>1.02.02.25.0601</t>
  </si>
  <si>
    <t>CREDITI PER NOTE CREDITO DA RICEVERE PER PRESTAZIONI AMBULATORIALI DA PRIVATO</t>
  </si>
  <si>
    <t>1.02.02.25.0701</t>
  </si>
  <si>
    <t>CREDITI PER NOTE CREDITO DA RICEVERE PER ALTRE PRESTAZIONI SANITARIE DA PRIVATO</t>
  </si>
  <si>
    <t>1.02.02.25.0801</t>
  </si>
  <si>
    <t>CREDITI PER NOTE DI CREDITO DA RICEVERE</t>
  </si>
  <si>
    <t>1.02.02.25.0802</t>
  </si>
  <si>
    <t>CREDITI V/ FORNITORI PER NOTE DI CREDITO DA RICEVERE</t>
  </si>
  <si>
    <t>1.02.02.25.0803</t>
  </si>
  <si>
    <t>CREDITI PER NOTA CREDITO DA RICEVERE ANNO 2016</t>
  </si>
  <si>
    <t>1.02.02.25.0804</t>
  </si>
  <si>
    <t>CREDITI PER NOTA CREDITO DA RICEVERE ANNO 2017</t>
  </si>
  <si>
    <t>1.02.02.25.0805</t>
  </si>
  <si>
    <t>CREDITI PER NOTA CREDITO DA RICEVERE ANNO 2018</t>
  </si>
  <si>
    <t>1.02.02.25.0901</t>
  </si>
  <si>
    <t>CREDITI FINANZIARI VERSO ALTRI</t>
  </si>
  <si>
    <t>1.02.02.25.0902</t>
  </si>
  <si>
    <t>1.02.02.25.0903</t>
  </si>
  <si>
    <t>CREDITI PER ASSICURAZIONI INAIL CONTRO INFORTUNI</t>
  </si>
  <si>
    <t>1.02.02.25.0904</t>
  </si>
  <si>
    <t>CREDITI PER ASSICURAZIONI AUTOMEZZI</t>
  </si>
  <si>
    <t>1.02.02.25.0905</t>
  </si>
  <si>
    <t>1.02.02.25.0906</t>
  </si>
  <si>
    <t>1.02.02.25.0907</t>
  </si>
  <si>
    <t>1.02.02.25.0908</t>
  </si>
  <si>
    <t>1.02.02.25.0909</t>
  </si>
  <si>
    <t>CONTO TRANSITORIO INCASSI DABANCOPOSTA PER CQRC</t>
  </si>
  <si>
    <t>1.02.02.25.0910</t>
  </si>
  <si>
    <t>1.02.02.25.0911</t>
  </si>
  <si>
    <t>Note di credito da emettere (diversi)</t>
  </si>
  <si>
    <t xml:space="preserve"> Note di credito da emettere (diversi)</t>
  </si>
  <si>
    <t>ABA712</t>
  </si>
  <si>
    <t>B.II.7.e.2) Note di credito da emettere (diversi)</t>
  </si>
  <si>
    <t>1.02.02.25.0201</t>
  </si>
  <si>
    <t>ACCONTI VERSO EROGATORI (PRIVATI ACCREDITATI E CONVENZIONATI) DI PRESTAZIONI SANITARIE</t>
  </si>
  <si>
    <t>Altri Crediti verso erogatori (privati accreditati e convenzionati) di prestazioni sanitarie</t>
  </si>
  <si>
    <t>ABA714</t>
  </si>
  <si>
    <t>B.II.7.f.1) Altri Crediti verso erogatori (privati accreditati e convenzionati) di prestazioni sanitarie</t>
  </si>
  <si>
    <t>1.02.02.25.1001</t>
  </si>
  <si>
    <t>Crediti per Note credito da emettere</t>
  </si>
  <si>
    <t xml:space="preserve">Crediti per Note credito da emettere </t>
  </si>
  <si>
    <t>ABA715</t>
  </si>
  <si>
    <t>B.II.7.f.2) Note di credito da emettere  (privati accreditati e convenzionati)</t>
  </si>
  <si>
    <t>1.02.02.25.1002</t>
  </si>
  <si>
    <t>Crediti per Note credito da emettere ANNO 2016</t>
  </si>
  <si>
    <t>1.02.02.25.1003</t>
  </si>
  <si>
    <t>Crediti per Note credito da emettere ANNO 2017</t>
  </si>
  <si>
    <t>1.02.02.25.1004</t>
  </si>
  <si>
    <t>Crediti per Note credito da emettere anno 2018</t>
  </si>
  <si>
    <t>1.02.02.25.1005</t>
  </si>
  <si>
    <t>Crediti per Note credito da emettere ANNO 2020</t>
  </si>
  <si>
    <t>Crediti per Note credito da emettere anno 2020</t>
  </si>
  <si>
    <t>1.02.02.25.1006</t>
  </si>
  <si>
    <t>Crediti per Note credito da emettere ANNO 2021</t>
  </si>
  <si>
    <t>Crediti per Note credito da emettere anno 2021</t>
  </si>
  <si>
    <t>1.02.02.25.1007</t>
  </si>
  <si>
    <t>Crediti per Note credito da emettere anno 2022</t>
  </si>
  <si>
    <t>1.02.02.25.1008</t>
  </si>
  <si>
    <t>Crediti per Note credito da emettere anno 2023</t>
  </si>
  <si>
    <t>1.02.02.25.1009</t>
  </si>
  <si>
    <t>Crediti per Note credito da emettere anno 2024</t>
  </si>
  <si>
    <t>1.02.02.26.0101</t>
  </si>
  <si>
    <t>FONDO SVALUTAZIONE - CREDITI V/CLIENTI PRIVATI</t>
  </si>
  <si>
    <t>Fondo svalutazione - Crediti v/clienti privati</t>
  </si>
  <si>
    <t>1.02.02.26.0201</t>
  </si>
  <si>
    <t>FONDO SVALUTAZIONE - CREDITI V/GESTIONI LIQUIDATORIE</t>
  </si>
  <si>
    <t>Fondo svalutazione - Crediti v/gestioni liquidatorie</t>
  </si>
  <si>
    <t>1.02.02.26.0301</t>
  </si>
  <si>
    <t>FONDO SVALUTAZIONE - CREDITI V/ALTRI SOGGETTI PUBBLICI</t>
  </si>
  <si>
    <t>Fondo svalutazione - Crediti v/altri soggetti pubblici</t>
  </si>
  <si>
    <t>1.02.02.26.0401</t>
  </si>
  <si>
    <t>FONDO SVALUTAZIONE - CREDITI V/ALTRI SOGGETTI PUBBLICI PER RICERCA</t>
  </si>
  <si>
    <t>Fondo svalutazione - Crediti v/altri soggetti pubblici per ricerca</t>
  </si>
  <si>
    <t>1.02.02.26.0501</t>
  </si>
  <si>
    <t>FONDO SVALUTAZIONE - ALTRI CREDITI DIVERSI</t>
  </si>
  <si>
    <t>Fondo svalutazione - Altri Crediti diversi</t>
  </si>
  <si>
    <t>1.02.02.26.0601</t>
  </si>
  <si>
    <t>Fondo svalutazione -Altri Crediti verso erogatori (privati accreditati e convenzionati) di prestazioni sanitarie</t>
  </si>
  <si>
    <t>ABA713</t>
  </si>
  <si>
    <t>B.II.7.f) Altri Crediti verso erogatori (privati accreditati e convenzionati) di prestazioni sanitarie</t>
  </si>
  <si>
    <t>1.02.02.32.0102</t>
  </si>
  <si>
    <t>Crediti v/Aziende sanitarie pubbliche della Regione - per Contributi da Aziende sanitarie pubbliche della Regione o Prov. Aut. (extra fondo) progetti di ricerca PNRR</t>
  </si>
  <si>
    <t>ABA720</t>
  </si>
  <si>
    <t>Partecipazioni che non costituiscono immobilizzazioni</t>
  </si>
  <si>
    <t>1.02.03.01.0101</t>
  </si>
  <si>
    <t>PARTECIPAZIONI IN IMPRESE CONTROLLATE</t>
  </si>
  <si>
    <t>B.III.1) Partecipazioni che non costituiscono immobilizzazioni</t>
  </si>
  <si>
    <t>1.02.03.01.0201</t>
  </si>
  <si>
    <t>1.02.03.01.9901</t>
  </si>
  <si>
    <t>ALTRI TITOLI CHE NON COSTITUISCONO IMMOBILIZZAZIONI</t>
  </si>
  <si>
    <t>Altri titoli che non costituiscono immobilizzazioni</t>
  </si>
  <si>
    <t>1.02.03.02.0101</t>
  </si>
  <si>
    <t>B.III.2) Altri titoli che non costituiscono immobilizzazioni</t>
  </si>
  <si>
    <t>ABA750</t>
  </si>
  <si>
    <t>CASSA</t>
  </si>
  <si>
    <t>Cassa</t>
  </si>
  <si>
    <t>1.02.04.01.0101</t>
  </si>
  <si>
    <t>CASSA CONTANTE</t>
  </si>
  <si>
    <t>Cassa principale</t>
  </si>
  <si>
    <t>B.IV.1) Cassa</t>
  </si>
  <si>
    <t>1.02.04.01.0102</t>
  </si>
  <si>
    <t>CASSA VALORI BOLLATI</t>
  </si>
  <si>
    <t>1.02.04.01.0103</t>
  </si>
  <si>
    <t>CASSA ASSEGNI</t>
  </si>
  <si>
    <t>1.02.04.01.0104</t>
  </si>
  <si>
    <t>CASSA TICKETS</t>
  </si>
  <si>
    <t>1.02.04.01.0105</t>
  </si>
  <si>
    <t>ENTRATE TICKETS IN ATTESA DI REVERSALE</t>
  </si>
  <si>
    <t>1.02.04.01.0106</t>
  </si>
  <si>
    <t>ENTRATE POS TICKETS</t>
  </si>
  <si>
    <t>1.02.04.01.0107</t>
  </si>
  <si>
    <t>CASSA TICKET LOTTOMATICA</t>
  </si>
  <si>
    <t>1.02.04.01.0108</t>
  </si>
  <si>
    <t>TICKET LOTTOMATICA IN ATTESA REVERSALE</t>
  </si>
  <si>
    <t>1.02.04.01.0201</t>
  </si>
  <si>
    <t>CASSA ECONOMALE C/C POSTALE</t>
  </si>
  <si>
    <t>Cassa economale</t>
  </si>
  <si>
    <t>1.02.04.01.0202</t>
  </si>
  <si>
    <t>CASSA ECONOMALE C/C</t>
  </si>
  <si>
    <t>1.02.04.01.0203</t>
  </si>
  <si>
    <t>CASSA ECONOMALE</t>
  </si>
  <si>
    <t>1.02.04.01.0204</t>
  </si>
  <si>
    <t>CASSA ECONOMO PUBBLICAZIONI</t>
  </si>
  <si>
    <t>1.02.04.01.0205</t>
  </si>
  <si>
    <t>CARTA PREPAGATA BNL</t>
  </si>
  <si>
    <t>1.02.04.01.0206</t>
  </si>
  <si>
    <t>CASSA PUBBLICAZIONI CONTANTI</t>
  </si>
  <si>
    <t>1.02.04.01.0207</t>
  </si>
  <si>
    <t>CASSA IN GESTIONE CRT</t>
  </si>
  <si>
    <t>1.02.04.01.0208</t>
  </si>
  <si>
    <t>CASSA AFFRANCATRICE VALORI BOLLATI</t>
  </si>
  <si>
    <t>1.02.04.01.0209</t>
  </si>
  <si>
    <t>CASSA ECONOMO ECM C/CORRENTE</t>
  </si>
  <si>
    <t>1.02.04.01.0210</t>
  </si>
  <si>
    <t>CASSA ECONOMO ECM CONTANTE</t>
  </si>
  <si>
    <t>1.02.04.01.0301</t>
  </si>
  <si>
    <t>CASSA ALPI</t>
  </si>
  <si>
    <t>Cassa ALPI</t>
  </si>
  <si>
    <t>1.02.04.01.0302</t>
  </si>
  <si>
    <t>CASSA ALPI P.O. CIVICO "ASSEGNI"</t>
  </si>
  <si>
    <t>1.02.04.01.0303</t>
  </si>
  <si>
    <t>CASSA ALPI P.O. CIVICO "BANCOMAT"</t>
  </si>
  <si>
    <t>ISTITUTO TESORIERE</t>
  </si>
  <si>
    <t>Istituto Tesoriere</t>
  </si>
  <si>
    <t>B.IV.2</t>
  </si>
  <si>
    <t>B.IV.2) Istituto Tesoriere</t>
  </si>
  <si>
    <t>1.02.04.02.0101</t>
  </si>
  <si>
    <t>CREDITI V/ ISTITUTO TESORIERE PER INTERESSI MATURATI SU C/C</t>
  </si>
  <si>
    <t>1.02.04.02.0102</t>
  </si>
  <si>
    <t>CREDITI PER INTERESSI V/ ISTITUTOTESORIERE</t>
  </si>
  <si>
    <t>1.02.04.02.0103</t>
  </si>
  <si>
    <t>CREDITI V/ ALTRE BANCHE</t>
  </si>
  <si>
    <t>1.02.04.02.0104</t>
  </si>
  <si>
    <t>1.02.04.02.0105</t>
  </si>
  <si>
    <t>DEPOSITO BANCARIO C/C PARTE CORRENTE</t>
  </si>
  <si>
    <t>1.02.04.02.0106</t>
  </si>
  <si>
    <t>DEPOSITO BANCARIO C/C CONTO CAPITALE</t>
  </si>
  <si>
    <t>1.02.04.02.0107</t>
  </si>
  <si>
    <t>DEPOSITO PER PIGNORAMENTI C/O LA CASSA REGIONALE</t>
  </si>
  <si>
    <t>1.02.04.02.0108</t>
  </si>
  <si>
    <t>CREDITO V/TES.PER ANTICIPAZIONE</t>
  </si>
  <si>
    <t>TESORERIA UNICA</t>
  </si>
  <si>
    <t>Tesoreria Unica</t>
  </si>
  <si>
    <t>B.IV.3) Tesoreria Unica</t>
  </si>
  <si>
    <t>1.02.04.03.0101</t>
  </si>
  <si>
    <t>CONTO CORRENTE POSTALE</t>
  </si>
  <si>
    <t>Conto corrente postale</t>
  </si>
  <si>
    <t>B.IV.4) Conto corrente postale</t>
  </si>
  <si>
    <t>1.02.04.04.0101</t>
  </si>
  <si>
    <t>CONTI CORRENTI POSTALI</t>
  </si>
  <si>
    <t>RATEI E RISCONTI ATTIVI</t>
  </si>
  <si>
    <t>C</t>
  </si>
  <si>
    <t>ACZ999</t>
  </si>
  <si>
    <t>ACA000</t>
  </si>
  <si>
    <t>C.I) RATEI ATTIVI</t>
  </si>
  <si>
    <t>Ratei attivi</t>
  </si>
  <si>
    <t>ACA010</t>
  </si>
  <si>
    <t>1.03.01.01.0101</t>
  </si>
  <si>
    <t>C.I.1) Ratei attivi</t>
  </si>
  <si>
    <t>1.03.01.01.0103</t>
  </si>
  <si>
    <t>RATEI ATTIVI PER AFFITTI ATTIVI</t>
  </si>
  <si>
    <t>1.03.01.01.0104</t>
  </si>
  <si>
    <t>RATEI ATTIVI PER INTERESSI ATTIVI</t>
  </si>
  <si>
    <t>1.03.01.01.0105</t>
  </si>
  <si>
    <t>RATEI ATTIVI SU CEDOLE E TITOLI</t>
  </si>
  <si>
    <t>1.03.01.01.0106</t>
  </si>
  <si>
    <t>ALTRI RATEI ATTIVI</t>
  </si>
  <si>
    <t>RATEI ATTIVI V/AZIENDE SANITARIE PUBBLICHE DELLA REGIONE</t>
  </si>
  <si>
    <t>Ratei attivi v/Aziende sanitarie pubbliche della Regione</t>
  </si>
  <si>
    <t>ACA020</t>
  </si>
  <si>
    <t>C.I.2) Ratei attivi v/Aziende sanitarie pubbliche della Regione</t>
  </si>
  <si>
    <t>1.03.01.02.0101</t>
  </si>
  <si>
    <t>RATEI ATTIVI PER DEGENZE IN CORSO FUORI REGIONE</t>
  </si>
  <si>
    <t>1.03.01.02.0102</t>
  </si>
  <si>
    <t>RATEI ATTIVI PER DEGENZE IN CORSO V/ ASL-AO DELLA REGIONE</t>
  </si>
  <si>
    <t>1.03.01.02.0103</t>
  </si>
  <si>
    <t>RATEI ATTIVI V/ASL-AO DELLA REGIONE</t>
  </si>
  <si>
    <t>ACA030</t>
  </si>
  <si>
    <t>Risconti attivi</t>
  </si>
  <si>
    <t>ACA040</t>
  </si>
  <si>
    <t>1.03.02.01.0101</t>
  </si>
  <si>
    <t>RISCONTI ATTIVI PER AFFITTI PASSIVI</t>
  </si>
  <si>
    <t>C.II.1) Risconti attivi</t>
  </si>
  <si>
    <t>1.03.02.01.0102</t>
  </si>
  <si>
    <t>RISCONTI ATTIVI PER ASSICURAZIONI</t>
  </si>
  <si>
    <t>1.03.02.01.0103</t>
  </si>
  <si>
    <t>RISCONTI ATTIVI PER CANONI DI LEASING</t>
  </si>
  <si>
    <t>1.03.02.01.0104</t>
  </si>
  <si>
    <t>RISCONTI ATTIVI PER NOLEGGI</t>
  </si>
  <si>
    <t>1.03.02.01.0105</t>
  </si>
  <si>
    <t>ALTRI RISCONTI ATTIVI</t>
  </si>
  <si>
    <t>RISCONTI ATTIVI V/AZIENDE SANITARIE PUBBLICHE DELLA REGIONE</t>
  </si>
  <si>
    <t>Risconti attivi v/Aziende sanitarie pubbliche della Regione</t>
  </si>
  <si>
    <t>ACA050</t>
  </si>
  <si>
    <t>C.II.2) Risconti attivi v/Aziende sanitarie pubbliche della Regione</t>
  </si>
  <si>
    <t>1.03.02.02.0101</t>
  </si>
  <si>
    <t>RISCONTI ATTIVI V/ASL- DELLA REGIONE</t>
  </si>
  <si>
    <t>1.03.02.02.0102</t>
  </si>
  <si>
    <t>RISCONTI ATTIVI V/AO DELLA REGIONE</t>
  </si>
  <si>
    <t>1.03.02.02.0103</t>
  </si>
  <si>
    <t>RISCONTI ATTIVI V/IRCS E FONDAZIONI DELLA REGIONE</t>
  </si>
  <si>
    <t>1.03.02.02.0104</t>
  </si>
  <si>
    <t>RISCONTI ATTIVI V/SPERIMENTAZIONI GESTIONALI</t>
  </si>
  <si>
    <t>PASSIVO</t>
  </si>
  <si>
    <t>E</t>
  </si>
  <si>
    <t>ADZ999</t>
  </si>
  <si>
    <t>CANONI DI LEASING ANCORA DA PAGARE</t>
  </si>
  <si>
    <t>ADA000</t>
  </si>
  <si>
    <t>E.I) CANONI DI LEASING ANCORA DA PAGARE</t>
  </si>
  <si>
    <t>Canoni di leasing ancora da pagare</t>
  </si>
  <si>
    <t>3.01.01.01.0101</t>
  </si>
  <si>
    <t>ADA010</t>
  </si>
  <si>
    <t>E.II) DEPOSITI CAUZIONALI</t>
  </si>
  <si>
    <t>3.01.02.01.0101</t>
  </si>
  <si>
    <t>BENI IN COMODATO</t>
  </si>
  <si>
    <t>ADA020</t>
  </si>
  <si>
    <t>E.III) BENI IN COMODATO</t>
  </si>
  <si>
    <t>Beni in comodato</t>
  </si>
  <si>
    <t>3.01.03.01.0101</t>
  </si>
  <si>
    <t>CANONI DI PROJECT FINANCING ANCORA DA PAGARE</t>
  </si>
  <si>
    <t>ADA021</t>
  </si>
  <si>
    <t>E.IV) CANONI DI PROJECT FINANCING ANCORA DA PAGARE</t>
  </si>
  <si>
    <t>3.01.05.01.0101</t>
  </si>
  <si>
    <t>ALTRI CONTI D'ORDINE</t>
  </si>
  <si>
    <t>ADA030</t>
  </si>
  <si>
    <t>E.V) ALTRI CONTI D'ORDINE</t>
  </si>
  <si>
    <t>Altri conti d'ordine</t>
  </si>
  <si>
    <t>3.01.04.01.0101</t>
  </si>
  <si>
    <t>GARANZIE REALI PRESTATE</t>
  </si>
  <si>
    <t>3.01.04.01.0102</t>
  </si>
  <si>
    <t>FIDEJUSSIONI E ALTRE GARANZIE PRESTATE</t>
  </si>
  <si>
    <t>3.01.04.01.0103</t>
  </si>
  <si>
    <t>RATE DI AFFITTO A SCADERE</t>
  </si>
  <si>
    <t>3.01.04.01.0104</t>
  </si>
  <si>
    <t>CONTRATTI DI APPALTO IN CORSO DI ESECUZIONE</t>
  </si>
  <si>
    <t>3.01.04.01.0105</t>
  </si>
  <si>
    <t>IMPEGNI DI ESERCIZI PREGRESSI</t>
  </si>
  <si>
    <t>3.01.04.01.0106</t>
  </si>
  <si>
    <t>BENI IN DEPOSITO</t>
  </si>
  <si>
    <t>0.00.00.00.0001</t>
  </si>
  <si>
    <t>BILANCIO DI CHIUSURA</t>
  </si>
  <si>
    <t>0.00.00.00.0002</t>
  </si>
  <si>
    <t>BILANCIO DI APERTURA</t>
  </si>
  <si>
    <t>PAZ999</t>
  </si>
  <si>
    <t>UTILI (PERDITE) PORTATI A NUOVO</t>
  </si>
  <si>
    <t>FONDO DI DOTAZIONE</t>
  </si>
  <si>
    <t>A.I) FONDO DI DOTAZIONE</t>
  </si>
  <si>
    <t>Fondo di dotazione</t>
  </si>
  <si>
    <t>2.01.01.01.0101</t>
  </si>
  <si>
    <t>FONDO DI DOTAZIONE INIZIALE</t>
  </si>
  <si>
    <t>2.01.01.01.0102</t>
  </si>
  <si>
    <t>VARIAZIONE AL FONDO DI DOTAZIONE</t>
  </si>
  <si>
    <t>FINANZIAMENTI PER INVESTIMENTI</t>
  </si>
  <si>
    <t>A.II) FINANZIAMENTI PER INVESTIMENTI</t>
  </si>
  <si>
    <t>Finanziamenti per beni di prima dotazione</t>
  </si>
  <si>
    <t>A.II.1) Finanziamenti per beni di prima dotazione</t>
  </si>
  <si>
    <t>2.01.02.01.0101</t>
  </si>
  <si>
    <t>Finanziamenti da Stato per investimenti - ex art. 20 legge 67/88</t>
  </si>
  <si>
    <t>A.II.2.a) Finanziamenti da Stato per investimenti - ex art. 20 legge 67/88</t>
  </si>
  <si>
    <t>2.01.02.02.0101</t>
  </si>
  <si>
    <t>CONTRIBUTI IN C/C PER LA RISTRUTTURAZIONE DI IMMOBILI D.H. X AIDS -2003</t>
  </si>
  <si>
    <t>2.01.02.02.0102</t>
  </si>
  <si>
    <t>CONTRIBUTI IN C/C PER PROGETTI FINALIZZATI-ALTRI ENTI-2003 - MIUR</t>
  </si>
  <si>
    <t>2.01.02.02.0103</t>
  </si>
  <si>
    <t>FINANZIAMENTI PER BENI DI PRIMA DOTAZIONE</t>
  </si>
  <si>
    <t>Finanziamenti da Stato per investimenti - ricerca</t>
  </si>
  <si>
    <t>A.II.2.b) Finanziamenti da Stato per investimenti - ricerca</t>
  </si>
  <si>
    <t>2.01.02.03.0101</t>
  </si>
  <si>
    <t>FINANZIAMENTI DA STATO PER INVESTIMENTI - RICERCA</t>
  </si>
  <si>
    <t>FINANZIAMENTI DA STATO PER INVESTIMENTI - EX ART. 20 LEGGE 67/88</t>
  </si>
  <si>
    <t>Finanziamenti da Stato per investimenti - altro</t>
  </si>
  <si>
    <t>A.II.2.c</t>
  </si>
  <si>
    <t>A.II.2.c) Finanziamenti da Stato per investimenti - altro</t>
  </si>
  <si>
    <t>2.01.02.04.0101</t>
  </si>
  <si>
    <t>FINANZIAMENTI DA STATO PER INVESTIMENTI - ALTRO</t>
  </si>
  <si>
    <t>2.01.02.04.0102</t>
  </si>
  <si>
    <t>CONTRIBUTO DA STATO X FINANZIAMENTI IN C/CAPITALE EX ART.71 L.448/98 REALIZZAZIONE RETE FOGNARIA (D.D.G. N. 2153/2018)</t>
  </si>
  <si>
    <t>2.01.02.04.0103</t>
  </si>
  <si>
    <t>CONTRIBUTO DA STATO X FINANZIAMENTI IN C/CAPITALE SOVRACUP  PER RIDUZIONE LISTA DI ATTESA</t>
  </si>
  <si>
    <t>2.01.02.04.9501</t>
  </si>
  <si>
    <t>CONTRIBUTO DA STATO X FINANZIAMENTI IN C/CAPITALE PNRR MISSIONE 6 C2 - 1.1.1 DIGITALIZZAZIONE DEA I E II LIVELLO</t>
  </si>
  <si>
    <t>2.01.02.04.9601</t>
  </si>
  <si>
    <t>CONTRIBUTO DA STATO X FINANZIAMENTI IN C/CAPITALE PNRR MISSIONE 6 C2 - 1.1.2 GRANDI APPARECCHIATURE</t>
  </si>
  <si>
    <t>2.01.02.04.9602</t>
  </si>
  <si>
    <t>CONTRIBUTO DA STATO X FINANZIAMENTI IN C/CAPITALE PNRR MISSIONE 6 C2 - 1.1.2  PER LAVORI GRANDI APPARECCHIATURE</t>
  </si>
  <si>
    <t>2.01.02.04.9701</t>
  </si>
  <si>
    <t>CONTRIBUTO DA STATO X FINANZIAMENTI IN C/CAPITALE PNRR  MISSIONE 6 C2 - 1.2.1 OSPEDALI SICURI E SOSTENIBILI</t>
  </si>
  <si>
    <t>2.01.02.04.9801</t>
  </si>
  <si>
    <t>CONTRIBUTO DA STATO X FINANZIAMENTI IN C/CAPITALE PNC - MISSIONE 6 C2 - 1.2.1 OSPEDALI SICURI E SOSTENIBILI</t>
  </si>
  <si>
    <t>2.01.02.04.9802</t>
  </si>
  <si>
    <t>CONTRIBUTO DA STATO X FINANZIAMENTI IN C/CAPITALE PNRR INFORMATIZZAZIONE APP IO SPID</t>
  </si>
  <si>
    <t>2.01.02.04.9803</t>
  </si>
  <si>
    <t>CONTRIBUTO DA STATO X FINANZIAMENTI IN C/CAPITALE PNRR MISSIONE 1.1 INFRASTR. DIGITALI</t>
  </si>
  <si>
    <t>2.01.02.04.9804</t>
  </si>
  <si>
    <t>CONTRIBUTO DA STATO X FINANZIAMENTI IN C/CAPITALE PNRR PNRR - ADOZIONE E UTILIZZO FASCICOLO ELETTRONICO</t>
  </si>
  <si>
    <t>Finanziamenti da Regione per investimenti</t>
  </si>
  <si>
    <t>A.II.3</t>
  </si>
  <si>
    <t>A.II.3) Finanziamenti da Regione per investimenti</t>
  </si>
  <si>
    <t>2.01.02.05.0101</t>
  </si>
  <si>
    <t>CONTRIBUTI IN C/C REGIONE-EX ART.20 2002  RISTRUTTURAZIONE (MALATTIE INFETTIVE)</t>
  </si>
  <si>
    <t>2.01.02.05.0102</t>
  </si>
  <si>
    <t>CONTRIBUTI IN C/C PROGETTI FINALIZZATI-REGIONE-2003</t>
  </si>
  <si>
    <t>2.01.02.05.0103</t>
  </si>
  <si>
    <t>CONTRIBUTI IN C/C PROGETTI FINALIZZATI-REGIONE CRRT 2004</t>
  </si>
  <si>
    <t>2.01.02.05.0104</t>
  </si>
  <si>
    <t>CONTRIBUTI IN C/C PER RISTRUTTURAZIONE IMMOBILI-2004</t>
  </si>
  <si>
    <t>2.01.02.05.0105</t>
  </si>
  <si>
    <t>CONTRIBUTI IN C/C PER RISTRUTTURAZIONE IMMOBILI EX ART.20 2005 (FARMACIA)</t>
  </si>
  <si>
    <t>2.01.02.05.0106</t>
  </si>
  <si>
    <t>CONTRIBUTI IN C/C PER RISTRUTTURAZ. EX ART.20 2005 (IMPIANTI DI CLIMATIZZ.)</t>
  </si>
  <si>
    <t>2.01.02.05.0107</t>
  </si>
  <si>
    <t>CONTRIBUTI IN C/C PER ATTREZZ.EX ART.20 2005</t>
  </si>
  <si>
    <t>2.01.02.05.0108</t>
  </si>
  <si>
    <t>CONTRIBUTI IN C/C PROGETTI FINALIZZATI-REGIONE-2005</t>
  </si>
  <si>
    <t>2.01.02.05.0109</t>
  </si>
  <si>
    <t>CONTRIBUTI C/C PER RISTRUTTUR.EX ART.20 2006 (DIAGNOSTICA PER IMMAGINI)</t>
  </si>
  <si>
    <t>2.01.02.05.0110</t>
  </si>
  <si>
    <t>CONTRIBUTI C/C PER REALIZZ.EX ART.20 2006 (REPARTO CHIRURGIA PLASTICA E RICOSTRUTTIVA)</t>
  </si>
  <si>
    <t>2.01.02.05.0111</t>
  </si>
  <si>
    <t>CONTRIBUTI C/C PER LA REALIZZ. EX ART.20 2006 (SERVIZIO EMODIALISI)</t>
  </si>
  <si>
    <t>2.01.02.05.0112</t>
  </si>
  <si>
    <t>CONTRIBUTI C/C PER LA RISTRUTTUR. EX ART.20 2006 (IMI)</t>
  </si>
  <si>
    <t>2.01.02.05.0113</t>
  </si>
  <si>
    <t>CONTRIBUTI C/C PER IMPIANTI ART.69 2006 (IMPIANTI FOTOVOLTAICI)</t>
  </si>
  <si>
    <t>2.01.02.05.0114</t>
  </si>
  <si>
    <t>CONTRIBUTI IN C/C INDISTINTI</t>
  </si>
  <si>
    <t>2.01.02.05.0115</t>
  </si>
  <si>
    <t>CONTRIBUTI IN C/C PER L'ACQUISIZIONE DI BENI MOBILI-A.P.</t>
  </si>
  <si>
    <t>2.01.02.05.0116</t>
  </si>
  <si>
    <t>CONTRIBUTI IN C/C PROGETTI FINALIZZATI REGIONE - 2006</t>
  </si>
  <si>
    <t>2.01.02.05.0117</t>
  </si>
  <si>
    <t>CONTRIBUTI C/C PER VERIFICHE SISMICHE - 2007</t>
  </si>
  <si>
    <t>2.01.02.05.0118</t>
  </si>
  <si>
    <t>CONTRIBUTI PROGETTI FSR - 2007</t>
  </si>
  <si>
    <t>2.01.02.05.0119</t>
  </si>
  <si>
    <t>CONTRIBUTI C/C APPARECCHIATURE X DIAGNOSI PRECOCI-2008</t>
  </si>
  <si>
    <t>2.01.02.05.0120</t>
  </si>
  <si>
    <t>CONTRIBUTI C/C PER REALIZZ.EX ART.20 2009 (LABORATORIO CENTRALIZZATO)</t>
  </si>
  <si>
    <t>2.01.02.05.0121</t>
  </si>
  <si>
    <t>CONTRIBUTI PER PROGETTI PSN</t>
  </si>
  <si>
    <t>2.01.02.05.0122</t>
  </si>
  <si>
    <t>CONTRIBUTI C/C PO-FESR SICILIA 2007/2013</t>
  </si>
  <si>
    <t>2.01.02.05.0123</t>
  </si>
  <si>
    <t>CONTRIBUTI C/C PO-FESR 2007-2013 - LINEA 4.1.2.A</t>
  </si>
  <si>
    <t>2.01.02.05.0124</t>
  </si>
  <si>
    <t>CONTRIBUTO IN C/C PROGETTO STALKING</t>
  </si>
  <si>
    <t>2.01.02.05.0125</t>
  </si>
  <si>
    <t>CONTRIBUTO C/C PROGETTI REG EXTRA FONDO VINCOLATI</t>
  </si>
  <si>
    <t>2.01.02.05.0126</t>
  </si>
  <si>
    <t>CONTRIBUTI IN C/C DA UNIVERSITA' PER L'ACQUISIZIONE DI BENI MOBILI</t>
  </si>
  <si>
    <t>2.01.02.05.0127</t>
  </si>
  <si>
    <t>CONTRIBUTI IN C/C DA UNIVERSITA' PER LA REALIZZAZIONE DI BENI IMMOBILI</t>
  </si>
  <si>
    <t>2.01.02.05.0128</t>
  </si>
  <si>
    <t>CONTRIBUTI IN C/C PER LA REALIZZAZIONE DI PROGETTI FINALIZZATI-UNIVERSITA'</t>
  </si>
  <si>
    <t>2.01.02.05.0129</t>
  </si>
  <si>
    <t>CONTRIBUTI IN C/C INDISTINTI - UNIVERSITA'</t>
  </si>
  <si>
    <t>2.01.02.05.0130</t>
  </si>
  <si>
    <t>CONTRIBUTI IN C/C DA COMUNE O A.P.</t>
  </si>
  <si>
    <t>2.01.02.05.0131</t>
  </si>
  <si>
    <t>CONTRIBUTI IN C/C PER PROGETTI FINALIZZATI-COMUNE</t>
  </si>
  <si>
    <t>2.01.02.05.0132</t>
  </si>
  <si>
    <t>CONTRIB PO-FESR 07/13 L 2.1.1.2.2</t>
  </si>
  <si>
    <t>2.01.02.05.0133</t>
  </si>
  <si>
    <t>CONTRIBUTI IN C/C FORNITURA E POSA IN OPERA TC/PET ART. 20 L.N. 67/88. D.A. N. 36699 DEL 18/12/2001</t>
  </si>
  <si>
    <t>2.01.02.05.0134</t>
  </si>
  <si>
    <t>CONTRIBUTO DA REGIONE X FINANZIAMENTI IN C/CAPITALE EX ART.71 L.448/98 REALIZZAZIONE RETE FOGNARIA (D.D.G. N. 2153/2018)</t>
  </si>
  <si>
    <t>2.01.02.05.0135</t>
  </si>
  <si>
    <t>CONTRIBUTO DA FONDO LISTE DI ATTESA PER ACQUISTO ED ISTALLAZIONE RMN</t>
  </si>
  <si>
    <t>2.01.02.05.0136</t>
  </si>
  <si>
    <t>CONTRIBUTO DA FONDO LISTE DI ATTESA 2019</t>
  </si>
  <si>
    <t>2.01.02.05.0137</t>
  </si>
  <si>
    <t>CONTRIBUTO DA ECONOMIE SU PROGETTI PSN 2013 -2014</t>
  </si>
  <si>
    <t>2.01.02.05.0999</t>
  </si>
  <si>
    <t>CONTRIBUTI IN C/CAP DA RETTIFICHE COMP 2014 DA D.LGS.118/2011</t>
  </si>
  <si>
    <t>Finanziamenti da altri soggetti pubblici per investimenti</t>
  </si>
  <si>
    <t>A.II.4) Finanziamenti da altri soggetti pubblici per investimenti</t>
  </si>
  <si>
    <t>2.01.02.06.0101</t>
  </si>
  <si>
    <t>FINANZIAMENTI DA ALTRI SOGGETTI PUBBLICI PER INVESTIMENTI</t>
  </si>
  <si>
    <t>2.01.02.06.0102</t>
  </si>
  <si>
    <t>FINANZIAMENTI DA ALTRI SOGGETTI PUBBLICI PER INVESTIMENTI PNNR</t>
  </si>
  <si>
    <t>2.01.02.06.0103</t>
  </si>
  <si>
    <t>FINANZIAMENTI DA ALTRI SOGGETTI PUBBLICI PER INVESTIMENTI D.L. 34/2020</t>
  </si>
  <si>
    <t>Finanziamenti per investimenti da rettifica contributi in conto esercizio</t>
  </si>
  <si>
    <t>A.II.5) Finanziamenti per investimenti da rettifica contributi in conto esercizio</t>
  </si>
  <si>
    <t>2.01.02.07.0101</t>
  </si>
  <si>
    <t>FINANZIAMENTI PER INVESTIMENTI DA RETTIFICA CONTRIBUTI IN CONTO ESERCIZIO - DA STATO</t>
  </si>
  <si>
    <t>Finanziamenti per investimenti da rettifica contributi in conto esercizio - da Stato</t>
  </si>
  <si>
    <t>2.01.02.07.0201</t>
  </si>
  <si>
    <t>FINANZIAMENTI PER INVESTIMENTI DA RETTIFICA CONTRIBUTI IN CONTO ESERCIZIO - DA REGIONE</t>
  </si>
  <si>
    <t>Finanziamenti per investimenti da rettifica contributi in conto esercizio - da Regione</t>
  </si>
  <si>
    <t>2.01.02.07.0202</t>
  </si>
  <si>
    <t>FINANZIAMENTI PER INVESTIMENTI DA RETTIFICA CONTRIBUTI P.O.PSN.2013</t>
  </si>
  <si>
    <t>2.01.02.07.0301</t>
  </si>
  <si>
    <t>FINANZIAMENTI PER INVESTIMENTI DA RETTIFICA CONTRIBUTI IN CONTO ESERCIZIO - DA ALTRI SOGGETTI</t>
  </si>
  <si>
    <t>Finanziamenti per investimenti da rettifica contributi in conto esercizio - da altri soggetti</t>
  </si>
  <si>
    <t>2.01.02.07.0401</t>
  </si>
  <si>
    <t>FINANZIAMENTI PER INVESTIMENTI DA RETTIFICA CONTRIBUTI IN CONTO ESERCIZIO - FS "FINALIZZATO"</t>
  </si>
  <si>
    <t>Finanziamenti per investimenti da rettifica contributi in conto esercizio - da Regione - investimenti futuri</t>
  </si>
  <si>
    <t>2.01.02.07.0402</t>
  </si>
  <si>
    <t>FINANZIAMENTI PER INVESTIMENTI DA RETTIFICA CONTRIBUTI IN CONTO ESERCIZIO - PSN 2011</t>
  </si>
  <si>
    <t>2.01.02.07.0403</t>
  </si>
  <si>
    <t>FINANZIAMENTI PER INVESTIMENTI DA RETTIFICA CONTRIBUTI IN CONTO ESERCIZIO - PSN 2012</t>
  </si>
  <si>
    <t>2.01.02.07.0404</t>
  </si>
  <si>
    <t>FINANZIAMENTI PER INVESTIMENTI DA RETTIFICA CONTRIBUTI IN CONTO ESERCIZIO -  PSN 2013</t>
  </si>
  <si>
    <t>2.01.02.07.0405</t>
  </si>
  <si>
    <t>FINANZIAMENTI PER INVESTIMENTI DA RETTIFICA CONTRIBUTI IN CONTO ESERCIZIO - PSN 2014 LINEA 2 AZIONE 2.36</t>
  </si>
  <si>
    <t>2.01.02.07.0406</t>
  </si>
  <si>
    <t>FINANZIAMENTI PER INVESTIMENTI DA RETTIFICA CONTRIBUTI IN CONTO ESERCIZIO - PSN 2014 LINEA 4 AZIONE 4.2.1</t>
  </si>
  <si>
    <t>2.01.02.07.0407</t>
  </si>
  <si>
    <t>FINANZIAMENTI PER INVESTIMENTI DA RETTIFICA CONTRIBUTI IN CONTO ESERCIZIO - PSN 2014 LINEA 4 AZIONE 4.9.3</t>
  </si>
  <si>
    <t>2.01.02.07.0408</t>
  </si>
  <si>
    <t>FINANZIAMENTI PER INVESTIMENTI DA RETTIFICA CONTRIBUTI IN CONTO ESERCIZIO - PSN 2014 LINEA 4 AZIONE 4.9.4</t>
  </si>
  <si>
    <t>2.01.02.07.0409</t>
  </si>
  <si>
    <t>FINANZIAMENTI PER INVESTIMENTI DA RETTIFICA CONTRIBUTI IN CONTO ESERCIZIO - PSN 2014 LINEA 4 AZIONE 4.9.5</t>
  </si>
  <si>
    <t>2.01.02.07.0410</t>
  </si>
  <si>
    <t>FINANZIAMENTI PER INVESTIMENTI DA RETTIFICA CONTRIBUTI IN CONTO ESERCIZIO - PSN 2014 LINEA 4 AZIONE 4.9.6</t>
  </si>
  <si>
    <t>2.01.02.07.0411</t>
  </si>
  <si>
    <t>FINANZIAMENTI PER INVESTIMENTI DA RETTIFICA CONTRIBUTI IN CONTO ESERCIZIO - PSN 2014 LINEA AZIONE 4.9.7</t>
  </si>
  <si>
    <t>2.01.02.07.0412</t>
  </si>
  <si>
    <t>FINANZIAMENTI PER INVESTIMENTI DA RETTIFICA CONTRIBUTI IN CONTO ESERCIZIO -  PROGETTO DI FARMACOVIGILANZA PROF.SSA LICATA</t>
  </si>
  <si>
    <t>2.01.02.07.0413</t>
  </si>
  <si>
    <t>FINANZIAMENTI PER INVESTIMENTI DA RETTIFICA CONTRIBUTI IN CONTO ESERCIZIO - PSN 2014 LINEA AZIONE 1.14</t>
  </si>
  <si>
    <t>2.01.02.07.0414</t>
  </si>
  <si>
    <t>FINANZIAMENTI PER INVESTIMENTI DA RETTIFICA CONTRIBUTI IN CONTO ESERCIZIO - PSN 2014 LINEA AZIONE 1.15</t>
  </si>
  <si>
    <t>2.01.02.07.0415</t>
  </si>
  <si>
    <t>FINANZIAMENTI PER INVESTIMENTI DA RETTIFICA CONTRIBUTI IN CONTO ESERCIZIO - PSN 2014 LINEA AZIONE 5.33</t>
  </si>
  <si>
    <t>2.01.02.07.0416</t>
  </si>
  <si>
    <t>FINANZIAMENTI PER INVESTIMENTI DA RETTIFICA CONTRIBUTI IN CONTO ESERCIZIO - PSN 2014 LINEA AZIONE 5.34</t>
  </si>
  <si>
    <t>2.01.02.07.0417</t>
  </si>
  <si>
    <t>FINANZIAMENTI PER INVESTIMENTI DA RETTIFICA CONTRIBUTI IN CONTO ESERCIZIO - PSN 2014 LINEA AZIONE 5.35</t>
  </si>
  <si>
    <t>2.01.02.07.0418</t>
  </si>
  <si>
    <t>FINANZIAMENTI PER INVESTIMENTI DA RETTIFICA CONTRIBUTI IN CONTO ESERCIZIO - PSN 2014 LINEA AZIONE 5.36</t>
  </si>
  <si>
    <t>2.01.02.07.0419</t>
  </si>
  <si>
    <t>FINANZIAMENTI PER INVESTIMENTI DA RETTIFICA CONTRIBUTI IN CONTO ESERCIZIO - PSN 2014 LINEA AZIONE 5.37</t>
  </si>
  <si>
    <t>2.01.02.07.0420</t>
  </si>
  <si>
    <t>FINANZIAMENTI PER INVESTIMENTI DA RETTIFICA CONTRIBUTI IN CONTO ESERCIZIO - PSN 2014 LINEA AZIONE 6.15</t>
  </si>
  <si>
    <t>2.01.02.07.0421</t>
  </si>
  <si>
    <t>FINANZIAMENTI PER INVESTIMENTI DA RETTIFICA CONTRIBUTI IN CONTO ESERCIZIO - PSN 2014 LINEA AZIONE 6.16</t>
  </si>
  <si>
    <t>2.01.02.07.0422</t>
  </si>
  <si>
    <t>FINANZIAMENTI PER INVESTIMENTI DA RETTIFICA CONTRIBUTI IN CONTO ESERCIZIO - PSN 2015 LINEA AZIONE 4</t>
  </si>
  <si>
    <t>2.01.02.07.0423</t>
  </si>
  <si>
    <t>FINANZIAMENTI PER INVESTIMENTI DA RETTIFICA CONTRIBUTI IN CONTO ESERCIZIO - PSN 2014 LINEA AZIONE 5 e 6</t>
  </si>
  <si>
    <t>2.01.02.07.0424</t>
  </si>
  <si>
    <t>FINANZIAMENTI PER INVESTIMENTI DA RETTIFICA CONTRIBUTI IN CONTO ESERCIZIO - PROGETTO  PSN 2016  L.P. 2</t>
  </si>
  <si>
    <t>2.01.02.07.0425</t>
  </si>
  <si>
    <t>FINANZIAMENTI PER INVESTIMENTI DA RETTIFICA CONTRIBUTI IN CONTO ESERCIZIO - PROGETTO PSN 2016 L.P. 1, 5, 6.</t>
  </si>
  <si>
    <t>2.01.02.07.0426</t>
  </si>
  <si>
    <t>FINANZIAMENTI PER INVESTIMENTI DA RETTIFICA CONTRIBUTI IN CONTO ESERCIZIO - PSN 2016 L.P. 4</t>
  </si>
  <si>
    <t>2.01.02.07.0427</t>
  </si>
  <si>
    <t>FINANZIAMENTI PER INVESTIMENTI DA RETTIFICA CONTRIBUTI IN CONTO ESERCIZIO - FONDO INVESTIMENT. ex D.A. 2726/2017</t>
  </si>
  <si>
    <t>2.01.02.07.0428</t>
  </si>
  <si>
    <t>FINANZIAMENTI PER INVESTIMENTI DA RETTIFICA CONTRIBUTI IN CONTO ESERCIZIO - EX D.A. 1839/2018</t>
  </si>
  <si>
    <t>2.01.02.07.0429</t>
  </si>
  <si>
    <t>FINANZ.PER INVEST.DA RETTIF. CONTRIB. IN C/ESERCIZIO - P.O. PSN 2019 LP 5.LA TECNOLOGIA SANITARIA OPERATIVA COME STRUMENTO DI INTEGRAZIONE OSPEDALE-TERRITORIO</t>
  </si>
  <si>
    <t>2.01.02.07.0430</t>
  </si>
  <si>
    <t>FINANZIAMENTI PER INVESTIMENTI DA RETTIFICA CONTRIBUTI IN CONTO ESERCIZIO  - PROGETTO PSN 2017</t>
  </si>
  <si>
    <t>2.01.02.07.0431</t>
  </si>
  <si>
    <t>FINANZIAMENTI PER INVESTIMENTI DA RETTIFICA CONTRIBUTI IN CONTO ESERCIZIO  - PROGETTO PSN 2018</t>
  </si>
  <si>
    <t>2.01.02.07.0432</t>
  </si>
  <si>
    <t>FINANZIAMENTI PER INVESTIMENTI DA RETTIFICA CONTRIBUTI IN CONTO ESERCIZIO  - PROGETTO PSN 2019</t>
  </si>
  <si>
    <t>RISERVE DA DONAZIONI E LASCITI VINCOLATI AD INVESTIMENTI</t>
  </si>
  <si>
    <t>A.III) RISERVE DA DONAZIONI E LASCITI VINCOLATI AD INVESTIMENTI</t>
  </si>
  <si>
    <t>Riserve da donazioni e lasciti vincolati ad investimenti</t>
  </si>
  <si>
    <t>2.01.03.01.0101</t>
  </si>
  <si>
    <t>RISERVE DA DONAZIONI E LASCITI VINCOLATI AD INVESTIMENTI ANNO 2002</t>
  </si>
  <si>
    <t>2.01.03.01.0102</t>
  </si>
  <si>
    <t>RISERVE DA DONAZIONI E LASCITI VINCOLATI AD INVESTIMENTI ANNO 2003</t>
  </si>
  <si>
    <t>2.01.03.01.0103</t>
  </si>
  <si>
    <t>RISERVE DA DONAZIONI E LASCITI VINCOLATI AD INVESTIMENTI ANNO 2004</t>
  </si>
  <si>
    <t>2.01.03.01.0104</t>
  </si>
  <si>
    <t>RISERVE DA DONAZIONI E LASCITI VINCOLATI AD INVESTIMENTI ANNO 2005</t>
  </si>
  <si>
    <t>2.01.03.01.0105</t>
  </si>
  <si>
    <t>RISERVE DA DONAZIONI E LASCITI VINCOLATI AD INVESTIMENTI ANNO 2006</t>
  </si>
  <si>
    <t>2.01.03.01.0106</t>
  </si>
  <si>
    <t>RISERVE DA DONAZIONI E LASCITI VINCOLATI AD INVESTIMENTI ANNO 2007</t>
  </si>
  <si>
    <t>2.01.03.01.0107</t>
  </si>
  <si>
    <t>RISERVE DA DONAZIONI E LASCITI VINCOLATI AD INVESTIMENTI ANNO 2008</t>
  </si>
  <si>
    <t>2.01.03.01.0108</t>
  </si>
  <si>
    <t>RISERVE DA DONAZIONI E LASCITI VINCOLATI AD INVESTIMENTI ANNO 2009</t>
  </si>
  <si>
    <t>2.01.03.01.0109</t>
  </si>
  <si>
    <t>RISERVE DA DONAZIONI E LASCITI VINCOLATI AD INVESTIMENTI ANNO 2010</t>
  </si>
  <si>
    <t>2.01.03.01.0110</t>
  </si>
  <si>
    <t>RISERVE DA DONAZIONI E LASCITI VINCOLATI AD INVESTIMENTI ANNO 2011</t>
  </si>
  <si>
    <t>2.01.03.01.0111</t>
  </si>
  <si>
    <t>RISERVE DA DONAZIONI E LASCITI VINCOLATI AD INVESTIMENTI ANNO 2012</t>
  </si>
  <si>
    <t>2.01.03.01.0112</t>
  </si>
  <si>
    <t>RISERVE DA DONAZIONI E LASCITI VINCOLATI AD INVESTIMENTI ANNO 2013</t>
  </si>
  <si>
    <t>2.01.03.01.0113</t>
  </si>
  <si>
    <t>RISERVE DA DONAZIONI E LASCITI VINCOLATI AD INVESTIMENTI ANNO 2015</t>
  </si>
  <si>
    <t>2.01.03.01.0114</t>
  </si>
  <si>
    <t>RISERVE DA DONAZIONI E LASCITI VINCOLATI AD INVESTIMENTOI ANNO 2016</t>
  </si>
  <si>
    <t>2.01.03.01.0115</t>
  </si>
  <si>
    <t>RISERVE DA DONAZIONI E LASCITIVINCOLATI AD INVESTIMENTI ANNO 2017</t>
  </si>
  <si>
    <t>2.01.03.01.0116</t>
  </si>
  <si>
    <t>RISERVE DA DONAZIONI E LASCITI VINCOLATI AD INVESTIMENTI ANNO 2018</t>
  </si>
  <si>
    <t>2.01.03.01.0117</t>
  </si>
  <si>
    <t>RISERVE DA DONAZIONI E LASCITI VINCOLATI AD INVESTIMENTI ANNO 2019</t>
  </si>
  <si>
    <t>2.01.03.01.0118</t>
  </si>
  <si>
    <t>RISERVE DA DONAZIONI E LASCITI VINCOLATI AD INVESTIMENTI ANNO 2020</t>
  </si>
  <si>
    <t>2.01.03.01.0119</t>
  </si>
  <si>
    <t>RISERVE DA DONAZIONI E LASCITI VINCOLATI PER ESIGENZA COVID-19</t>
  </si>
  <si>
    <t>2.01.03.01.0120</t>
  </si>
  <si>
    <t>RISERVE DA DONAZIONI E LASCITI VINCOLATI AD INVESTIMENTI ANNO 2021</t>
  </si>
  <si>
    <t>2.01.03.01.0121</t>
  </si>
  <si>
    <t>RISERVE DA DONAZIONI E LASCITI VINCOLATI AD INVESTIMENTI ANNO 2022</t>
  </si>
  <si>
    <t>2.01.03.01.0122</t>
  </si>
  <si>
    <t>RISERVE DA DONAZIONI E LASCITI VINCOLATI AD INVESTIMENTI ANNO 2023</t>
  </si>
  <si>
    <t>2.01.03.01.0123</t>
  </si>
  <si>
    <t>RISERVE DA DONAZIONI E LASCITI VINCOLATI AD INVESTIMENTI ANNO 2024</t>
  </si>
  <si>
    <t>ALTRE RISERVE</t>
  </si>
  <si>
    <t>A.IV) ALTRE RISERVE</t>
  </si>
  <si>
    <t>Riserve da rivalutazioni</t>
  </si>
  <si>
    <t>A.IV.1) Riserve da rivalutazioni</t>
  </si>
  <si>
    <t>2.01.04.01.0101</t>
  </si>
  <si>
    <t>RISERVE DA RIVALUTAZIONI</t>
  </si>
  <si>
    <t>Riserve da plusvalenze da reinvestire</t>
  </si>
  <si>
    <t>A.IV.2) Riserve da plusvalenze da reinvestire</t>
  </si>
  <si>
    <t>2.01.04.02.0101</t>
  </si>
  <si>
    <t>RISERVE DA PLUSVALENZE DA REINVESTIRE</t>
  </si>
  <si>
    <t>Contributi da reinvestire</t>
  </si>
  <si>
    <t>A.IV.3) Contributi da reinvestire</t>
  </si>
  <si>
    <t>2.01.04.03.0101</t>
  </si>
  <si>
    <t>CONTRIBUTI DA REINVESTIRE</t>
  </si>
  <si>
    <t>Riserve da utili di esercizio destinati ad investimenti</t>
  </si>
  <si>
    <t>A.IV.4) Riserve da utili di esercizio destinati ad investimenti</t>
  </si>
  <si>
    <t>2.01.04.04.0101</t>
  </si>
  <si>
    <t>RISERVE DA UTILI DI ESERCIZIO DESTINATI AD INVESTIMENTI</t>
  </si>
  <si>
    <t>Riserve diverse</t>
  </si>
  <si>
    <t>A.IV.5) Riserve diverse</t>
  </si>
  <si>
    <t>2.01.04.05.0101</t>
  </si>
  <si>
    <t>RISERVA PER SPESA IN CONTO ESERCIZIO</t>
  </si>
  <si>
    <t>2.01.04.05.0102</t>
  </si>
  <si>
    <t>RISERVA PER INCENTIVAZIONE AL PERSONALE</t>
  </si>
  <si>
    <t>2.01.04.05.0103</t>
  </si>
  <si>
    <t>RISERVA PER RIPIANO PERDITE D'ESERCIZIO</t>
  </si>
  <si>
    <t>CONTRIBUTI PER RIPIANO PERDITE</t>
  </si>
  <si>
    <t>A.V) CONTRIBUTI PER RIPIANO PERDITE</t>
  </si>
  <si>
    <t>Contributi per copertura debiti al 31/12/2005</t>
  </si>
  <si>
    <t>A.V.1) Contributi per copertura debiti al 31/12/2005</t>
  </si>
  <si>
    <t>2.01.05.01.0101</t>
  </si>
  <si>
    <t>CONTRIBUTI PER COPERTURA DEBITI AL 31/12/2005</t>
  </si>
  <si>
    <t>Contributi per ricostituzione risorse da investimenti esercizi precedenti</t>
  </si>
  <si>
    <t>A.V.2) Contributi per ricostituzione risorse da investimenti esercizi precedenti</t>
  </si>
  <si>
    <t>2.01.05.02.0101</t>
  </si>
  <si>
    <t>CONTRIBUTI PER RICOSTITUZIONE RISORSE DA INVESTIMENTI ESERCIZI PRECEDENTI</t>
  </si>
  <si>
    <t>RISERVE DIVERSE</t>
  </si>
  <si>
    <t>A.V.3) Altro</t>
  </si>
  <si>
    <t>2.01.05.03.0101</t>
  </si>
  <si>
    <t>CONTRIBUTI PER RIPIANO PERDITE ANNI PRECEDENTI 2001</t>
  </si>
  <si>
    <t>Contributi per ripiano perdite anni precedenti</t>
  </si>
  <si>
    <t>2.01.05.03.0102</t>
  </si>
  <si>
    <t>CONTRIBUTI PER RIPIANO PERDITE ANNI PRECEDENTI 2002</t>
  </si>
  <si>
    <t>2.01.05.03.0103</t>
  </si>
  <si>
    <t>CONTRIBUTI PER RIPIANO PERDITE ANNI PRECEDENTI 2003</t>
  </si>
  <si>
    <t>2.01.05.03.0104</t>
  </si>
  <si>
    <t>CONTRIBUTI PER RIPIANO PERDITE ANNI PRECEDENTI  2004</t>
  </si>
  <si>
    <t>2.01.05.03.0105</t>
  </si>
  <si>
    <t>CONTRIBUTI PER RIPIANO PERDITE ANNI PRECEDENTI  2005</t>
  </si>
  <si>
    <t>2.01.05.03.0106</t>
  </si>
  <si>
    <t>CONTRIBUTI PER RIPIANO PERDITE ANNI PRECEDENTI  2006</t>
  </si>
  <si>
    <t>2.01.05.03.0107</t>
  </si>
  <si>
    <t>CONTRIBUTI PER RIPIANO PERDITE ANNI PRECEDENTI 2007</t>
  </si>
  <si>
    <t>2.01.05.03.0108</t>
  </si>
  <si>
    <t>CONTRIBUTI PER RIPIANO PERDITE ANNI PRECEDENTI 2008</t>
  </si>
  <si>
    <t>2.01.05.03.0109</t>
  </si>
  <si>
    <t>CONTRIBUTI PER RIPIANO PERDITE ANNI PRECEDENTI 2009</t>
  </si>
  <si>
    <t>2.01.05.03.0110</t>
  </si>
  <si>
    <t>CONTRIBUTI PER RIPIANO PERDITE ANNI PRECEDENTI 2010</t>
  </si>
  <si>
    <t>2.01.05.03.0111</t>
  </si>
  <si>
    <t>CONTRIBUTI PER RIPIANO PERDITE ANNI PRECEDENTI 2011</t>
  </si>
  <si>
    <t>2.01.05.03.0112</t>
  </si>
  <si>
    <t>CONTRIBUTI PER RIPIANO PERDITE ANNIPRECEDENTI 2012</t>
  </si>
  <si>
    <t>A.VI) UTILI (PERDITE) PORTATI A NUOVO</t>
  </si>
  <si>
    <t>Utili (Perdite) portati a nuovo</t>
  </si>
  <si>
    <t>2.01.06.01.0101</t>
  </si>
  <si>
    <t>UTILE/PERDITE PORTATE A NUOVO</t>
  </si>
  <si>
    <t>UTILI PORTATI A NUOVO</t>
  </si>
  <si>
    <t>2.01.06.01.0102</t>
  </si>
  <si>
    <t>PERDITE PORTATE A NUOVO</t>
  </si>
  <si>
    <t>2.01.06.01.0201</t>
  </si>
  <si>
    <t>PERDITE PORTATE A NUOVO DA APPLICAZ.D.LGS 118/11</t>
  </si>
  <si>
    <t>2.01.06.01.0202</t>
  </si>
  <si>
    <t>PERDITE PORTATE A NUOVO 2002</t>
  </si>
  <si>
    <t>2.01.06.01.0203</t>
  </si>
  <si>
    <t>PERDITE PORTATE A NUOVO 2003</t>
  </si>
  <si>
    <t>2.01.06.01.0204</t>
  </si>
  <si>
    <t>PERDITE PORTATE A NUOVO 2004</t>
  </si>
  <si>
    <t>2.01.06.01.0205</t>
  </si>
  <si>
    <t>UTILE/PERDITE PORTATE A NUOVO 2005</t>
  </si>
  <si>
    <t>2.01.06.01.0206</t>
  </si>
  <si>
    <t>PERDITE PORTATE A NUOVO 2006</t>
  </si>
  <si>
    <t>2.01.06.01.0207</t>
  </si>
  <si>
    <t>PERDITE PORTATE A NUOVO 2007</t>
  </si>
  <si>
    <t>2.01.06.01.0208</t>
  </si>
  <si>
    <t>PERDITE PORTATE A NUOVO 2008</t>
  </si>
  <si>
    <t>2.01.06.01.0209</t>
  </si>
  <si>
    <t>PERDITE PORTATE A NUOVO 2009</t>
  </si>
  <si>
    <t>2.01.06.01.0210</t>
  </si>
  <si>
    <t>UTILE/PERDITE PORTATE A NUOVO 2010</t>
  </si>
  <si>
    <t>2.01.06.01.0211</t>
  </si>
  <si>
    <t>UTILE/PERDITE PORTATE A NUOVO 2011</t>
  </si>
  <si>
    <t>2.01.06.01.0212</t>
  </si>
  <si>
    <t>UTILE/PERDITE PORTATE A NUOVO 2012</t>
  </si>
  <si>
    <t>2.01.06.01.0213</t>
  </si>
  <si>
    <t>UTILE/PERDITE PORTATE A NUOVO 2013</t>
  </si>
  <si>
    <t>2.01.06.01.0214</t>
  </si>
  <si>
    <t>UTILE/PERDITE PORTATE A NUOVO 2014</t>
  </si>
  <si>
    <t>2.01.06.01.0215</t>
  </si>
  <si>
    <t>UTILE/PERDITE PORTATE A NUOVO 2015</t>
  </si>
  <si>
    <t>UTILE (PERDITA) D'ESERCIZIO</t>
  </si>
  <si>
    <t>A.VII) UTILE (PERDITA) D'ESERCIZIO</t>
  </si>
  <si>
    <t>Utile (Perdita) d'esercizio</t>
  </si>
  <si>
    <t>2.01.07.01.0101</t>
  </si>
  <si>
    <t>FONDI PER RISCHI E ONERI</t>
  </si>
  <si>
    <t>B</t>
  </si>
  <si>
    <t>PBZ999</t>
  </si>
  <si>
    <t>Fondi per imposte, anche differite</t>
  </si>
  <si>
    <t>B.I) FONDI PER IMPOSTE, ANCHE DIFFERITE</t>
  </si>
  <si>
    <t>2.02.01.01.0101</t>
  </si>
  <si>
    <t>FONDI PER RISCHI</t>
  </si>
  <si>
    <t>Fondo rischi per cause civili ed oneri processuali</t>
  </si>
  <si>
    <t>B.II.1) Fondo rischi per cause civili ed oneri processuali</t>
  </si>
  <si>
    <t>2.02.02.01.0101</t>
  </si>
  <si>
    <t>FONDO RISCHI PER CAUSE CIVILI ED ONERI PROCESSUALI</t>
  </si>
  <si>
    <t>Fondo rischi per contenzioso personale dipendente</t>
  </si>
  <si>
    <t>B.II.2) Fondo rischi per contenzioso personale dipendente</t>
  </si>
  <si>
    <t>2.02.02.02.0101</t>
  </si>
  <si>
    <t>FONDO RISCHI PER CONTENZIOSO PERSONALE DIPENDENTE</t>
  </si>
  <si>
    <t>2.02.02.02.0102</t>
  </si>
  <si>
    <t>FONDO PER LITI E ARBITRATI</t>
  </si>
  <si>
    <t>Fondo rischi connessi all'acquisto di prestazioni sanitarie da privato</t>
  </si>
  <si>
    <t>B.II.3) Fondo rischi connessi all'acquisto di prestazioni sanitarie da privato</t>
  </si>
  <si>
    <t>2.02.02.03.0101</t>
  </si>
  <si>
    <t>FONDO RISCHI CONNESSI ALL'ACQUISTO DI PRESTAZIONI SANITARIE DA PRIVATO</t>
  </si>
  <si>
    <t>Fondo rischi per copertura diretta dei rischi (autoassicurazione)</t>
  </si>
  <si>
    <t>B.II.4) Fondo rischi per copertura diretta dei rischi (autoassicurazione)</t>
  </si>
  <si>
    <t>2.02.02.04.0101</t>
  </si>
  <si>
    <t>FONDO RISCHI PER COPERTURA DIRETTA DEI RISCHI (AUTOASSICURAZIONE)</t>
  </si>
  <si>
    <t xml:space="preserve"> Fondo rischi per franchigia assicurativa</t>
  </si>
  <si>
    <t>PBA051</t>
  </si>
  <si>
    <t>B.II.5) Fondo rischi per franchigia assicurativa</t>
  </si>
  <si>
    <t>2.02.02.06.0101</t>
  </si>
  <si>
    <t>Fondo rischi per franchigia assicurativa</t>
  </si>
  <si>
    <t>Fondo rischi per interessi di mora</t>
  </si>
  <si>
    <t>PBA052</t>
  </si>
  <si>
    <t>B.II.6) Fondo rischi per interessi di mora</t>
  </si>
  <si>
    <t>2.02.02.07.0101</t>
  </si>
  <si>
    <t>Altri fondi rischi</t>
  </si>
  <si>
    <t>B.II.7) Altri fondi rischi</t>
  </si>
  <si>
    <t>2.02.02.05.0101</t>
  </si>
  <si>
    <t>ALTRI FONDI RISCHI</t>
  </si>
  <si>
    <t>2.02.02.05.0102</t>
  </si>
  <si>
    <t>FONDO SVALUTAZIONE CREDITI V/CLIENTI PRIVATI</t>
  </si>
  <si>
    <t>2.02.02.05.0103</t>
  </si>
  <si>
    <t>FONDO SVALUTAZIONE CREDITI V/GESTIONI LIQUIDATORIE</t>
  </si>
  <si>
    <t>2.02.02.05.0104</t>
  </si>
  <si>
    <t>FONDO SVALUTAZIONE CREDITI V/PREFETTURE</t>
  </si>
  <si>
    <t>2.02.02.05.0105</t>
  </si>
  <si>
    <t>FONDO SVALUTAZIONE CREDITI V/ALTRI SOGGETTI PUBBLICI</t>
  </si>
  <si>
    <t>2.02.02.05.0106</t>
  </si>
  <si>
    <t>FONDO SVALUTAZIONE CREDITI - ALTRI CREDITI DIVERSI</t>
  </si>
  <si>
    <t>FONDI DA DISTRIBUIRE</t>
  </si>
  <si>
    <t>B.III) FONDI DA DISTRIBUIRE</t>
  </si>
  <si>
    <t>FSR indistinto da distribuire</t>
  </si>
  <si>
    <t>B.III.1) FSR indistinto da distribuire</t>
  </si>
  <si>
    <t>2.02.03.01.0101</t>
  </si>
  <si>
    <t>FSR INDISTINTO DA DISTRIBUIRE</t>
  </si>
  <si>
    <t>FSR vincolato da distribuire</t>
  </si>
  <si>
    <t>B.III.2) FSR vincolato da distribuire</t>
  </si>
  <si>
    <t>2.02.03.02.0101</t>
  </si>
  <si>
    <t>FSR VINCOLATO DA DISTRIBUIRE</t>
  </si>
  <si>
    <t>Fondo per ripiano disavanzi pregressi</t>
  </si>
  <si>
    <t>B.III.3) Fondo per ripiano disavanzi pregressi</t>
  </si>
  <si>
    <t>2.02.03.03.0101</t>
  </si>
  <si>
    <t>FONDO PER RIPIANO DISAVANZI PREGRESSI</t>
  </si>
  <si>
    <t>Fondo finanziamento sanitario aggiuntivo corrente LEA</t>
  </si>
  <si>
    <t>B.III.4) Fondo finanziamento sanitario aggiuntivo corrente LEA</t>
  </si>
  <si>
    <t>2.02.03.04.0101</t>
  </si>
  <si>
    <t>FONDO FINANZIAMENTO SANITARIO AGGIUNTIVO CORRENTE LEA</t>
  </si>
  <si>
    <t xml:space="preserve">Fondo finanziamento sanitario aggiuntivo corrente LEA </t>
  </si>
  <si>
    <t>Fondo finanziamento sanitario aggiuntivo corrente extra LEA</t>
  </si>
  <si>
    <t>B.III.5) Fondo finanziamento sanitario aggiuntivo corrente extra LEA</t>
  </si>
  <si>
    <t>2.02.03.05.0101</t>
  </si>
  <si>
    <t>FONDO FINANZIAMENTO SANITARIO AGGIUNTIVO CORRENTE EXTRA LEA</t>
  </si>
  <si>
    <t xml:space="preserve">Fondo finanziamento sanitario aggiuntivo corrente extra LEA </t>
  </si>
  <si>
    <t>Fondo finanziamento per ricerca</t>
  </si>
  <si>
    <t>B.III.6) Fondo finanziamento per ricerca</t>
  </si>
  <si>
    <t>2.02.03.06.0101</t>
  </si>
  <si>
    <t>FONDO FINANZIAMENTO PER RICERCA</t>
  </si>
  <si>
    <t xml:space="preserve">Fondo finanziamento per ricerca </t>
  </si>
  <si>
    <t>Fondo finanziamento per investimenti</t>
  </si>
  <si>
    <t>B.III.7) Fondo finanziamento per investimenti</t>
  </si>
  <si>
    <t>2.02.03.07.0101</t>
  </si>
  <si>
    <t>FONDO FINANZIAMENTO PER INVESTIMENTI</t>
  </si>
  <si>
    <t xml:space="preserve">Fondo finanziamento per investimenti </t>
  </si>
  <si>
    <t>Fondo finanziamento sanitario aggiuntivo corrente (extra fondo) - Risorse aggiuntive da bilancio regionale a titolo di copertura extra LEA</t>
  </si>
  <si>
    <t>PBA141</t>
  </si>
  <si>
    <t>B.III.8) Fondo finanziamento sanitario aggiuntivo corrente (extra fondo) - Risorse aggiuntive da bilancio regionale a titolo di copertura extra LEA</t>
  </si>
  <si>
    <t>2.02.03.08.0101</t>
  </si>
  <si>
    <t>QUOTE INUTILIZZATE CONTRIBUTI</t>
  </si>
  <si>
    <t>B.IV) QUOTE INUTILIZZATE CONTRIBUTI</t>
  </si>
  <si>
    <t>Quote inutilizzate contributi da Regione o Prov. Aut. per quota F.S. indistinto finalizzato</t>
  </si>
  <si>
    <t>PBA151</t>
  </si>
  <si>
    <t>B.IV.1) Quote inutilizzate contributi da Regione o Prov. Aut. per quota F.S. indistinto finalizzato</t>
  </si>
  <si>
    <t>2.02.04.05.0101</t>
  </si>
  <si>
    <t>QUOTE INUTILIZZATE CONTRIBUTI DA REGIONE PER FS "FINALIZZATO"</t>
  </si>
  <si>
    <t>Quote inutilizzate contributi da Regione per FS "finalizzato"</t>
  </si>
  <si>
    <t>2.02.04.05.0102</t>
  </si>
  <si>
    <t>QUOTE INUTILIZZATE PER INTERVENTI EX D.L. 34/2020</t>
  </si>
  <si>
    <t>Quote inutilizzate contributi da Regione o Prov. Aut. per quota F.S. vincolato</t>
  </si>
  <si>
    <t>B.IV.2) Quote inutilizzate contributi da Regione o Prov. Aut. per quota F.S. 
 vincolato</t>
  </si>
  <si>
    <t>2.02.04.01.0201</t>
  </si>
  <si>
    <t>FONDO PER CONTRIBUTI VINCOLATI DA REGIONE - PSN 2010</t>
  </si>
  <si>
    <t>Quote inutilizzate contributi da Regione per Progetti Obiettivo di PSN</t>
  </si>
  <si>
    <t>2.02.04.01.0202</t>
  </si>
  <si>
    <t>FONDO PER CONTRIBUTI VINCOLATI DA REGIONE - PSN 2011</t>
  </si>
  <si>
    <t>2.02.04.01.0203</t>
  </si>
  <si>
    <t>FONDO PER CONTRIBUTI VINCOLATI DA REGIONE - PSN 2012</t>
  </si>
  <si>
    <t>2.02.04.01.0204</t>
  </si>
  <si>
    <t>FONDO PER QUOTA F.S.VINCOLATI INUTILIZZATA CONTRIB.DA REGIONE-PSN 2013</t>
  </si>
  <si>
    <t>2.02.04.01.0205</t>
  </si>
  <si>
    <t>FONDO PER QUOTA INUTILIZZATA F.S.VINCOLATO CONTRIB.DA REGIONE-PSN 2014 LINEA 2 AZIONE 2.36</t>
  </si>
  <si>
    <t>2.02.04.01.0206</t>
  </si>
  <si>
    <t>FONDO PER QUOTA INUTIL. CONTRIB. DA REGIONE PER QUOTA F.S. VINCOLATO PSN 2014 LINEA 4 AZIONE 4.2.1</t>
  </si>
  <si>
    <t>2.02.04.01.0207</t>
  </si>
  <si>
    <t>FONDO PER QUOTA INUTIL. CONTRIB. DA REGIONE PER QUOTA F.S. VINCOLATO PSN 2014 LINEA 4 AZIONE 4.9.3</t>
  </si>
  <si>
    <t>2.02.04.01.0208</t>
  </si>
  <si>
    <t>FONDO PER QUOTA INUTIL. CONTRIB. DA REGIONE PER QUOTA F.S. VINCOLATO PSN 2014 LINEA 4 AZIONE 4.9.4</t>
  </si>
  <si>
    <t>2.02.04.01.0209</t>
  </si>
  <si>
    <t>FONDO PER QUOTA INUTIL. CONTRIB. DA REGIONE PER QUOTA F.S. VINCOLATO PSN 2014 LINEA 4 AZIONE 4.9.5</t>
  </si>
  <si>
    <t>2.02.04.01.0210</t>
  </si>
  <si>
    <t>FONDO PER QUOTA INUTIL. CONTRIB. DA REGIONE PER QUOTA F.S. VINCOLATO PSN 2014 LINEA 4 AZIONE 4.9.6</t>
  </si>
  <si>
    <t>2.02.04.01.0211</t>
  </si>
  <si>
    <t>FONDO PER QUOTA INUTIL. CONTRIB. DA REGIONE PER QUOTA F.S. VINCOLATO PSN 2014 LINEA AZIONE 4.9.7</t>
  </si>
  <si>
    <t>2.02.04.01.0212</t>
  </si>
  <si>
    <t>FONDO PER QUOTA INUTIL. CONTRIB. DA REGIONE PER PROGETTO DI FARMACOVIGILANZA  PROF.SSA LICATA</t>
  </si>
  <si>
    <t>2.02.04.01.0213</t>
  </si>
  <si>
    <t>FONDO PER QUOTA INUTIL. CONTRIB. DA REGIONE PER QUOTA F.S. VINCOLATO PSN 2014 LINEA AZIONE 1.14</t>
  </si>
  <si>
    <t>2.02.04.01.0214</t>
  </si>
  <si>
    <t>FONDO PER QUOTA INUTIL. CONTRIB. DA REGIONE PER QUOTA F.S. VINCOLATO PSN 2014 LINEA AZIONE 1.15</t>
  </si>
  <si>
    <t>2.02.04.01.0215</t>
  </si>
  <si>
    <t>FONDO PER QUOTA INUTIL. CONTRIB. DA REGIONE PER QUOTA F.S. VINCOLATO PSN 2014 LINEA AZIONE 5.33</t>
  </si>
  <si>
    <t>2.02.04.01.0216</t>
  </si>
  <si>
    <t>FONDO PER QUOTA INUTIL. CONTRIB. DA REGIONE PER QUOTA F.S. VINCOLATO PSN 2014 LINEA AZIONE 5.34</t>
  </si>
  <si>
    <t>2.02.04.01.0217</t>
  </si>
  <si>
    <t>FONDO PER QUOTA INUTIL. CONTRIB. DA REGIONE PER QUOTA F.S. VINCOLATO PSN 2014 LINEA AZIONE 5.35</t>
  </si>
  <si>
    <t>2.02.04.01.0218</t>
  </si>
  <si>
    <t>FONDO PER QUOTA INUTIL. CONTRIB. DA REGIONE PER QUOTA F.S. VINCOLATO PSN 2014 LINEA AZIONE 5.36</t>
  </si>
  <si>
    <t>2.02.04.01.0219</t>
  </si>
  <si>
    <t>FONDO PER QUOTA INUTIL. CONTRIB. DA REGIONE PER QUOTA F.S. VINCOLATO PSN 2014 LINEA AZIONE 5.37</t>
  </si>
  <si>
    <t>2.02.04.01.0220</t>
  </si>
  <si>
    <t>FONDO PER QUOTA INUTIL. CONTRIB. DA REGIONE PER QUOTA F.S. VINCOLATO PSN 2014 LINEA AZIONE 6.15</t>
  </si>
  <si>
    <t>2.02.04.01.0221</t>
  </si>
  <si>
    <t>FONDO PER QUOTA INUTIL. CONTRIB. DA REGIONE PER QUOTA F.S. VINCOLATO PSN 2014 LINEA AZIONE 6.16</t>
  </si>
  <si>
    <t>2.02.04.01.0222</t>
  </si>
  <si>
    <t>FONDO PER QUOTA INUTIL. CONTRIB. DAREGIONE PER QUOTA F.S. VINCOLATO PSN 2015 LINEA AZIONE 4</t>
  </si>
  <si>
    <t>2.02.04.01.0223</t>
  </si>
  <si>
    <t>FONDO PER QUOTA INUTIL. CONTRIB. DA REGIONE PER QUOTA F.S. VINCOLATO PSN 2015 LINEA AZIONE 5 e 6</t>
  </si>
  <si>
    <t>FONDO PER QUOTA INUTIL. CONTRIB. DAREGIONE PER QUOTA F.S. VINCOLATO PSN 2015 LINEA AZIONE 5 e 6</t>
  </si>
  <si>
    <t>2.02.04.01.0224</t>
  </si>
  <si>
    <t>FONDO PER QUOTE INUTIL. CONTRIBUTI DA REGIONE O PROV. AUTONOME PER QUOTA F.S. VINCOLATO. PROGETTO  PSN 2016  L.P. 2</t>
  </si>
  <si>
    <t>2.02.04.01.0225</t>
  </si>
  <si>
    <t>FONDO PER QUOTE INUTIL. CONTRIBUTI DA REGIONE O PROV. AUT. PER QUOTA F.S. VINCOLATO. PROGETTO PSN 2016 L.P. 1, 5, 6.</t>
  </si>
  <si>
    <t>2.02.04.01.0226</t>
  </si>
  <si>
    <t>FONDO PER QUOTE INUTIL. CONTRIBUTI DA REGIONE O PROV. AUT. PER QUOTA FS VINCOLATO PSN 2016 L.P. 4</t>
  </si>
  <si>
    <t>FONDO PER QUOTE INUTIL. CONTRIBUTIDA REGIONE O PROV. AUT. PER QUOTA FS VINCOLATO PSN 2016 L.P. 4</t>
  </si>
  <si>
    <t>2.02.04.01.0227</t>
  </si>
  <si>
    <t>FONDO PER QUOTE INUTIL. CONTRIBUTIDA REGIONE O PROV. AUT. PER PROGETTO DI RICERCA RF-2016-02362422 "DEVELOPMENT OF AN ITALIAN CLINICAL RESPONSABILE SCIENTIFICO PROF. V. DI MARCO</t>
  </si>
  <si>
    <t>2.02.04.01.0228</t>
  </si>
  <si>
    <t>QUOTE INUTIL. CONTRIBUTI DA REGIONE O PROV. AUT. PER P.O. di PSN 2017 LP 2  SVILUPPO DEI PROCESSI DI UMANIZZAZIONE ALL'INTERNO DEI PERCORSI ASSISTENZIALI</t>
  </si>
  <si>
    <t>FONDO PER QUOTE INUTIL. CONTRIBUTIDA REGIONE O PROV. AUT. PER QUOTA FS VINCOLATO PSN 2017 L.P. 2  SVILUPPO DEI PROCESSI DI UMANIZZAZIONE ALL'INTERNO DEI PERCORSI ASSISTENZIALI</t>
  </si>
  <si>
    <t>2.02.04.01.0229</t>
  </si>
  <si>
    <t>FONDO PER QUOTE INUTIL. CONTRIBUTI DA REGIONE O PROV. AUT. PER PROGETTO DI RICERCA GR-2016-02364931 U.O. CLADIBIOR</t>
  </si>
  <si>
    <t>FONDO PER QUOTE INUTIL. CONTRIBUTIDA REGIONE O PROV. AUT. PER PROGETTO DI RICERCA GR-2016-02364931 U.O. CLADIBIOR</t>
  </si>
  <si>
    <t>2.02.04.01.0230</t>
  </si>
  <si>
    <t>FONDO PER QUOTE INUTIL. CONTRIBUTI DA REGIONE O PROV. AUT. PER PROGETTO DI RICERCA GR-2016-02364931 U.O. CH. PLASTICA</t>
  </si>
  <si>
    <t>FONDO PER QUOTE INUTIL. CONTRIBUTIDA REGIONE O PROV. AUT. PER PROGETTO DI RICERCA GR-2016-02364931 U.O. CH. PLASTICA</t>
  </si>
  <si>
    <t>2.02.04.01.0231</t>
  </si>
  <si>
    <t>QUOTE INUTIL. CONTRIBUTI DA REGIONE O PROV. AUT. PER P.O. di PSN 2017 LP 4 PREVENZIONE</t>
  </si>
  <si>
    <t>2.02.04.01.0232</t>
  </si>
  <si>
    <t>QUOTE INUTIL. CONTRIBUTI DA REGIONE O PROV. AUT. PER P.O. di PSN 2018 LP 4 PREVENZIONE</t>
  </si>
  <si>
    <t>2.02.04.01.0233</t>
  </si>
  <si>
    <t>QUOTE INUTIL. CONTRIBUTI DA REGIONE O PROV. AUT. PER P.O. di PSN 2017 LP 5 GESTIONE DELLA CRONICITA'</t>
  </si>
  <si>
    <t>2.02.04.01.0234</t>
  </si>
  <si>
    <t>QUOTE INUTIL. CONTRIBUTI DA REGIONE O PROV. AUT. PER P.O. di PSN 2017 LP 6 RETI ONCOLOGICHE</t>
  </si>
  <si>
    <t>2.02.04.01.0235</t>
  </si>
  <si>
    <t>QUOTE INUTIL. CONTRIBUTI DA REGIONE O PROV. AUT. PER P.O. di PSN 2018 LP 1 MULTICRONICITA'</t>
  </si>
  <si>
    <t>2.02.04.01.0236</t>
  </si>
  <si>
    <t>QUOTE INUTIL. CONTRIBUTI DA REGIONE O PROV. AUT. PER P.O. di PSN 2019 LP 5 LA TECNOLOGIA SANITARIA OPERATIVACOME STRUMENTO DI INTEGRAZIONE OSPEDALE-TERRITORIO</t>
  </si>
  <si>
    <t>2.02.04.01.0237</t>
  </si>
  <si>
    <t>QUOTE INUTIL. CONTRIBUTI DA REGIONE O PROV. AUT. PER P.O. di PSN 2019 LP 4 (AZ. 4.3 e 4.4) - PIANO NAZIONALE DELLA PREVENZIONE E SUPPORTO AL PIANO NAZ.DELLA PREVENZ.</t>
  </si>
  <si>
    <t>2.02.04.01.0238</t>
  </si>
  <si>
    <t>QUOTE INUTIL. CONTRIBUTI DA REGIONE O PROV. AUT. PER P.O. di PSN 2020 LP 4 "CALL FOR ACTION"</t>
  </si>
  <si>
    <t>2.02.04.01.0239</t>
  </si>
  <si>
    <t>QUOTE INUTIL. CONTRIBUTI DA REGIONE O PROV. AUT. PER FONDO PER L'IMPLEMENTAZIONE DEL PIANO ONCOLOGICO 2023-2027 D.A. 295/2024</t>
  </si>
  <si>
    <t>2.02.04.01.0301</t>
  </si>
  <si>
    <t>QUOTE INUTILIZZATE CONTRIBUTI DA REGIONE PER RINNOVO CONVENZIONI L 133/08</t>
  </si>
  <si>
    <t>Quote inutilizzate contributi da Regione per rinnovo convenzioni L 133/08</t>
  </si>
  <si>
    <t>2.02.04.01.0401</t>
  </si>
  <si>
    <t>QUOTE INUTILIZZATE CONTRIBUTI DA REGIONE PER EMERSIONE EXTRACOMUNITARI L 102/09</t>
  </si>
  <si>
    <t>Quote inutilizzate contributi da Regione per emersione extracomunitari L 102/09</t>
  </si>
  <si>
    <t>2.02.04.01.0501</t>
  </si>
  <si>
    <t>QUOTE INUTILIZZATE CONTRIBUTI DA REGIONE PER MEDICINA PENITENZIARIA DLVO 230/99</t>
  </si>
  <si>
    <t>Quote inutilizzate contributi da Regione per medicina Penitenziaria Dlvo 230/99</t>
  </si>
  <si>
    <t>2.02.04.01.0601</t>
  </si>
  <si>
    <t>QUOTE INUTILIZZATE CONTRIBUTI DA REGIONE PER HANSENIANI L 31/86</t>
  </si>
  <si>
    <t>Quote inutilizzate contributi da Regione per hanseniani L 31/86</t>
  </si>
  <si>
    <t>2.02.04.01.0701</t>
  </si>
  <si>
    <t>QUOTE INUTILIZZATE CONTRIBUTI DA REGIONE PER FIBROSI CISTICA L 362/98</t>
  </si>
  <si>
    <t>Quote inutilizzate contributi da Regione per Fibrosi Cistica L 362/98</t>
  </si>
  <si>
    <t>2.02.04.01.0801</t>
  </si>
  <si>
    <t>QUOTE INUTILIZZATE CONTRIBUTI DA REGIONE PER EXTRACOMUNITARI IRREGOLARI L 40/98</t>
  </si>
  <si>
    <t>2.02.04.01.0901</t>
  </si>
  <si>
    <t>QUOTE INUTILIZZATE CONTRIBUTI DA REGIONE PER FONDO ESCLUSIVITA L 488/99</t>
  </si>
  <si>
    <t>2.02.04.01.1001</t>
  </si>
  <si>
    <t>QUOTE INUTILIZZATE CONTRIBUTI DA REGIONE PER BORSE STUDIO MG L 109/88</t>
  </si>
  <si>
    <t>Quote inutilizzate contributi da Regione per Borse studio MG L 109/88</t>
  </si>
  <si>
    <t>2.02.04.01.1101</t>
  </si>
  <si>
    <t>QUOTE INUTILIZZATE CONTRIBUTI DA REGIONE PER VETERINARIA L 218/88</t>
  </si>
  <si>
    <t>Quote inutilizzate contributi da Regione per Veterinaria L 218/88</t>
  </si>
  <si>
    <t>2.02.04.01.1201</t>
  </si>
  <si>
    <t>QUOTE INUTILIZZATE CONTRIBUTI DA REGIONE PER AIDS L 135/90</t>
  </si>
  <si>
    <t>Quote inutilizzate contributi da Regione per Aids L 135/90</t>
  </si>
  <si>
    <t>2.02.04.01.9701</t>
  </si>
  <si>
    <t>Quote inutilizzate contributi PSN - economie anni precedenti</t>
  </si>
  <si>
    <t>QUOTE INUTILIZZATE CONTRIBUTI PSN - ECONOMIE ANNI PRECEDENTI</t>
  </si>
  <si>
    <t>2.02.04.01.9901</t>
  </si>
  <si>
    <t>ALTRE QUOTE INUTILIZZATE DI CONTRIBUTI DA REGIONE PER FSR VINCOLATO</t>
  </si>
  <si>
    <t>Altre quote inutilizzate di contributi da Regione per FSR vincolato</t>
  </si>
  <si>
    <t xml:space="preserve"> </t>
  </si>
  <si>
    <t>2.02.04.01.9902</t>
  </si>
  <si>
    <t>ALTRE QUOTE INUTILIZZATE DI CONTRIBUTI DA REGIONE PER FSR VINCOLATO ¿SUES 118¿</t>
  </si>
  <si>
    <t>2.02.04.01.9903</t>
  </si>
  <si>
    <t>ALTRE QUOTE INUTILIZZATE DI CONTRIBUTI DA REGIONE PER FSR VINCOLATO ¿CRT¿</t>
  </si>
  <si>
    <t>2.02.04.01.9904</t>
  </si>
  <si>
    <t>FONDO IVESTIMENT. ex D.A. 2726/2017F.do Invest. ex D.A. 2726/2017¿</t>
  </si>
  <si>
    <t>2.02.04.01.9905</t>
  </si>
  <si>
    <t>FONDO PER INVESTIMENTI FINANZIATI EX D.A. 1839/2018</t>
  </si>
  <si>
    <t>2.02.04.01.9906</t>
  </si>
  <si>
    <t>ALTRE QUOTE INUTILIZZATE DI CONTRIBUTI DA REGIONE PER FSR VINCOLATO (PROGETTO PROMIS)</t>
  </si>
  <si>
    <t>2.02.04.01.9907</t>
  </si>
  <si>
    <t>ALTRE QUOTE INUTILIZZATE DI CONTRIBUTI DA REGIONE PER FSR VINCOLATO (FARMACOVIGILANZA)</t>
  </si>
  <si>
    <t>2.02.04.01.9908</t>
  </si>
  <si>
    <t>ALTRE QUOTE INUTILIZZATE DI CONTRIBUTI DA REGIONE PER SORVEGLIANZA SISTEMATICA DEL SARS-COV-2 E DELLE SUE VARIANTI NELLE ACQUE REFLUE (PROGETTO SARI)</t>
  </si>
  <si>
    <t>ALTRE QUOTE INUTILIZZATE DI CONTRIBUTI DA REGIONE PER FSR VINCOLATO (COVID)</t>
  </si>
  <si>
    <t>2.02.04.01.9909</t>
  </si>
  <si>
    <t>QUOTE INUTILIZZATE DI CONTRIBUTI DA REGIONE PER FSE (FASCICOLO SANITARIO ELETTRONICO)</t>
  </si>
  <si>
    <t>2.02.04.01.9910</t>
  </si>
  <si>
    <t>QUOTE INUTILIZZ. DI CONTRIBUTI DA REGIONE PER IL FINANZ. DI PROGETTI DI FORMAZIONE IN SIMULAZIONE</t>
  </si>
  <si>
    <t>Quote inutilizzate contributi vincolati da soggetti pubblici (extra fondo)</t>
  </si>
  <si>
    <t>B.IV.3) Quote inutilizzate contributi vincolati da soggetti pubblici (extra fondo)</t>
  </si>
  <si>
    <t>2.02.04.02.0101</t>
  </si>
  <si>
    <t>QUOTE INUTILIZZATE CONTRIBUTI VINCOLATI DA SOGGETTI PUBBLICI (EXTRA FONDO)</t>
  </si>
  <si>
    <t>2.02.04.02.0102</t>
  </si>
  <si>
    <t>QUOTE INUTILIZZATE CONTRIBUTI VINCOLATI DA F.C. UNIONE EUROPEA PROGETTO 3031 COOPERA</t>
  </si>
  <si>
    <t>QUOTE INUTILIZZATE CONTRIBUTI VINCOLATI DA F.C. UNIONE EUROPEA PROGETTO 3031</t>
  </si>
  <si>
    <t>2.02.04.02.0103</t>
  </si>
  <si>
    <t>QUOTE INUTILIZZATE CONTRIBUTI VINCOLATI DA SOGGETTI PUBBLICI (EXTRA FONDO) PER RICERCA PNRR</t>
  </si>
  <si>
    <t>Quote inutilizzate contributi per ricerca</t>
  </si>
  <si>
    <t>B.IV.4) Quote inutilizzate contributi per ricerca</t>
  </si>
  <si>
    <t>2.02.04.03.0101</t>
  </si>
  <si>
    <t>QUOTE INUTILIZZATE CONTRIBUTI PER RICERCA</t>
  </si>
  <si>
    <t>2.02.04.03.0102</t>
  </si>
  <si>
    <t>QUOTE INUTILIZZ.CONTRIB.PER RICERCA FINALIZZATA "DEVELOPMENT OF ITALIAN  CLINICAL/DIAGNOSTIC"</t>
  </si>
  <si>
    <t>CONTRIBUTO QUOTE INUTILIZZATE CONTRIBUTI PER RICERCA FINALIZZATA "DEVELOPMENT OF ITALIAN  CLINICAL/DIAGNOSTIC"</t>
  </si>
  <si>
    <t>2.02.04.03.0103</t>
  </si>
  <si>
    <t>QUOTE INUTILIZZ.CONTRIB.PER RICERCA FINALIZZATA "NON CELIAC GLUTEN SENSITIVITY (NCGS)"</t>
  </si>
  <si>
    <t>CONTRIBUTO QUOTE INUTILIZZATE CONTRIBUTI PER RICERCA FINALIZZATA "NON CELIAC GLUTEN SENSITIVITY (NCGS)"</t>
  </si>
  <si>
    <t>2.02.04.03.0104</t>
  </si>
  <si>
    <t>QUOTE INUTILIZZ.CONTRIB.PER RICERCA FINALIZZATA "TRANS-CRANIAL MrgFUS" GR-2016-02364526 DIP.DIAGN.PER IMMAG.E NEUROSC.INTERV.</t>
  </si>
  <si>
    <t>CONTRIBUTO QUOTE INUTILIZZATE CONTRIBUTI PER RICERCA FINALIZZATA "TRANS-CRANIAL MrgFUS" GR-2016-02364526 DIP.DIAGN.PER IMMAG.E NEUROSC.INTERV.</t>
  </si>
  <si>
    <t>2.02.04.03.0105</t>
  </si>
  <si>
    <t>QUOTE INUTILIZZ.CONTRIB.PER RICERCA FINALIZZATA "TRANS-CRANIAL MrgFUS" GR-2016-02364526 U.O.C. NEUROL.E NEUROFISIOPAT. CON STROKE UNIT</t>
  </si>
  <si>
    <t>CONTRIBUTO QUOTE INUTILIZZATE CONTRIBUTI PER RICERCA FINALIZZATA "TRANS-CRANIAL MrgFUS" GR-2016-02364526 U.O.C. NEUROL.E NEUROFISIOPAT. CON STROKE UNIT</t>
  </si>
  <si>
    <t>2.02.04.03.0106</t>
  </si>
  <si>
    <t>QUOTE INUTIL. CONTRIB.RICERCA 2016-02364358 "IMPACT OF WHOLE EXOME SEQUENCING ON THE CLINICAL MANAGEMENT..."</t>
  </si>
  <si>
    <t>CONTRIBUTO QUOTE INUTILIZZATE CONTRIBUTI PER RICERCA FINALIZZATA " IMPACT OF WHOLE
EXOME SEQUENCING ON THE CLINICAL MANAGEMENT…"</t>
  </si>
  <si>
    <t>2.02.04.03.0107</t>
  </si>
  <si>
    <t>QUOTE INUTIL. PROGETTO ISOLDA "IMPROVED VACCINATION STRATEGIES FOR OLDER ADULTS" (HORIZON 2020)</t>
  </si>
  <si>
    <t>2.02.04.03.0108</t>
  </si>
  <si>
    <t>QUOTE INUTILIZZ.CONTRIB.PER RICERCA FINALIZZATA "ISOLAM.E CARATTERIZZ.CELLULE STAMINALI DI CANCRO METASTATICO PER IL TRATT.DEL CANCRO COLORETTALE" RF-2018-12367044</t>
  </si>
  <si>
    <t>2.02.04.03.0109</t>
  </si>
  <si>
    <t>QUOTE INUTIL. "PROGETTO ONCOTEST - PROGETTO REVERT" N.848098 (HORIZON 2020)</t>
  </si>
  <si>
    <t>2.02.04.03.0110</t>
  </si>
  <si>
    <t>QUOTE INUTILIZZ.CONTRIB.PER RICERCA FINALIZZATA "CHARACTERIZATION OF THE IMMUNE RESPONSE TO M.TUBERCULOSIS" GR-2018-12367178</t>
  </si>
  <si>
    <t>2.02.04.03.0111</t>
  </si>
  <si>
    <t>QUOTE INUTIL. CONTRIBUTIDA REGIONE O PROV. AUT. PER PROGETTO DI RICERCA GR-2016-02364931 U.O. CLADIBIOR</t>
  </si>
  <si>
    <t>2.02.04.03.0112</t>
  </si>
  <si>
    <t>QUOTE INUTIL. CONTRIBUTIDA REGIONE O PROV. AUT. PER PROGETTO DI RICERCA GR-2016-02364931 U.O. CH. PLASTICA</t>
  </si>
  <si>
    <t>2.02.04.03.0113</t>
  </si>
  <si>
    <t>QUOTE INUTILIZZ.CONTRIB.PER RICERCA FINALIZZATA ALLA CONOSCENZA DEL FENOMENO DEL GAP (GIOCO D'AZZARDO PATOLOGICO) L. 208/2015 (art.1, comma 946)</t>
  </si>
  <si>
    <t>2.02.04.03.0114</t>
  </si>
  <si>
    <t>QUOTE INUTILIZZ.CONTRIB.PER RICERCA  "INNOVATIVE APPROACHES AND PARAMETERS IN THE DIAGNOSIS AND EPIDEMIOLOGICAL SURVEILLANCE OF THE ANISAKIS" RF-2018-12367986</t>
  </si>
  <si>
    <t>2.02.04.03.0115</t>
  </si>
  <si>
    <t>QUOTE INUTILIZZ.CONTRIB.PER RICERCA  "LEISHMANIASIS IN AG, CL e PA: HUMAN OUTBREAKS AND ANIMAL RESERVOIRS" GR-2019-12369134</t>
  </si>
  <si>
    <t>QUOTE INUTILIZZ.CONTRIB.PER RICERCA "LEISHMANIASIS IN AG, CL e PA: HUMAN</t>
  </si>
  <si>
    <t>2.02.04.03.0116</t>
  </si>
  <si>
    <t>QUOTE INUTILIZZATE CONTRIB. SCREENING NEONATALE UNIVERSALE (SNU) PER LA PREVENZ. DEI DEFICIT PERMATENTI DELL'UDITO IN ETA' EVOLUTIVA</t>
  </si>
  <si>
    <t>2.02.04.03.0117</t>
  </si>
  <si>
    <t>QUOTE INUTILIZZ.CONTRIB.PER RICERCA  RF-2021-12372399 "PORTAL HIPERTENSION IMPATIENTS WITH NAFLD: CLINICAL IMPLICATION"</t>
  </si>
  <si>
    <t>2.02.04.03.0118</t>
  </si>
  <si>
    <t>QUOTE INUTILIZZATE CONTRIB. DA SOGGETTI PUBBLICI PER PNRR RICERCA</t>
  </si>
  <si>
    <t>da utilizzare</t>
  </si>
  <si>
    <t>2.02.04.03.0119</t>
  </si>
  <si>
    <t>QUOTE INUTILIZZATE CONTRIBUTI - PROGETTO JACARDI</t>
  </si>
  <si>
    <t>2.02.04.03.0120</t>
  </si>
  <si>
    <t>QUOTE INUTIL. PROGETTO ELISAH "EUROPEAN LINKAGE OF INITIATIVE FROM SCIENCE TO ACTION IN HEALTH" (HORIZON EUROPE)</t>
  </si>
  <si>
    <t xml:space="preserve">QUOTE INUTILIZZATE CONTRIBUTI VINCOLATI DA PRIVATI </t>
  </si>
  <si>
    <t>Quote inutilizzate contributi vincolati da privati</t>
  </si>
  <si>
    <t>B.IV.5) Quote inutilizzate contributi vincolati da privati</t>
  </si>
  <si>
    <t>2.02.04.04.0101</t>
  </si>
  <si>
    <t>QUOTE INUTILIZZATE CONTRIBUTI VINCOLATI DA PRIVATI</t>
  </si>
  <si>
    <t>2.02.04.04.0102</t>
  </si>
  <si>
    <t>QUOTE INUTILIZZATE CONTRIBUTI VINCOLATI DA PRIVATI "ROCHE A SUPPORTO DELLE PERSONE CON SCLEROSI MULTIPLA"</t>
  </si>
  <si>
    <t>2.02.04.04.0103</t>
  </si>
  <si>
    <t>CONTRIBUTO PRO.M.I.S. PER ATTIVITA' DI STUDIO PER L'IMPLEMENTAZIONE DI BUONE PRATICHE NAZIONALI ED EUROPEE.</t>
  </si>
  <si>
    <t>ALTRI FONDI PER ONERI E SPESE</t>
  </si>
  <si>
    <t>Fondi integrativi pensione</t>
  </si>
  <si>
    <t>B.V.1) Fondi integrativi pensione</t>
  </si>
  <si>
    <t>2.02.05.01.0101</t>
  </si>
  <si>
    <t>FONDI INTEGRATIVI PENSIONE</t>
  </si>
  <si>
    <t>Fondo rinnovi contrattuali personale dipendente</t>
  </si>
  <si>
    <t>2.02.05.02.0101</t>
  </si>
  <si>
    <t>FONDO RINNOVI CONTRATTUALI PERSONALE IN CONVENZIONE</t>
  </si>
  <si>
    <t>2.02.05.02.0102</t>
  </si>
  <si>
    <t>FONDO PER CONTRATTO DIRIGENZA SANITARIA MEDICA</t>
  </si>
  <si>
    <t>2.02.05.02.0103</t>
  </si>
  <si>
    <t>FONDO PER CONTRATTO DIRIGENZA SANITARIA NON MEDICA</t>
  </si>
  <si>
    <t>2.02.05.02.0104</t>
  </si>
  <si>
    <t>FONDO PER CONTRATTO COMPARTO SANITARIO</t>
  </si>
  <si>
    <t>2.02.05.02.0105</t>
  </si>
  <si>
    <t>FONDO PER CONTRATTO DIRIGENZA PROFESSIONALE</t>
  </si>
  <si>
    <t>2.02.05.02.0106</t>
  </si>
  <si>
    <t>FONDO PER CONTRATTO COMPARTO PROFESSIONALE</t>
  </si>
  <si>
    <t>2.02.05.02.0107</t>
  </si>
  <si>
    <t>FONDO PER CONTRATTO DIRIGENZA TECNICA</t>
  </si>
  <si>
    <t>2.02.05.02.0108</t>
  </si>
  <si>
    <t>FONDO PER CONTRATTO COMPARTO TECNICO</t>
  </si>
  <si>
    <t>2.02.05.02.0109</t>
  </si>
  <si>
    <t>FONDO PER CONTRATTO DIRIGENZA AMMINISTRATIVA</t>
  </si>
  <si>
    <t>2.02.05.02.0110</t>
  </si>
  <si>
    <t>FONDO PER CONTRATTO COMPARTO AMMINISTRATIVO</t>
  </si>
  <si>
    <t>Fondo rinnovi convenzioni MMG/PLS/MCA</t>
  </si>
  <si>
    <t>B.V.2.b) Fondo rinnovi convenzioni MMG/PLS/MCA</t>
  </si>
  <si>
    <t>2.02.05.03.0101</t>
  </si>
  <si>
    <t>FONDO RINNOVI CONVENZIONI MMG/PLS/MCA</t>
  </si>
  <si>
    <t>FONDO RINNOVI CONTRATTUALI PERSONALE DIPENDENTE</t>
  </si>
  <si>
    <t>Fondo rinnovi convenzioni medici Sumai</t>
  </si>
  <si>
    <t>B.V.2.c) Fondo rinnovi convenzioni medici Sumai</t>
  </si>
  <si>
    <t>2.02.05.04.0101</t>
  </si>
  <si>
    <t>FONDO RINNOVI CONVENZIONI MEDICI SUMAI</t>
  </si>
  <si>
    <t>Altri fondi per oneri e spese</t>
  </si>
  <si>
    <t>B.V.3) Altri fondi per oneri e spese</t>
  </si>
  <si>
    <t>2.02.05.05.0101</t>
  </si>
  <si>
    <t>FONDO PER REGOLAZIONE PREMI ASSICURATIVI</t>
  </si>
  <si>
    <t>2.02.05.05.0102</t>
  </si>
  <si>
    <t>FONDO PER FERIE MATURATE E NON GODUTE</t>
  </si>
  <si>
    <t>2.02.05.05.0103</t>
  </si>
  <si>
    <t>FONDO PER CAUSE DI SERVIZIO</t>
  </si>
  <si>
    <t>2.02.05.05.0104</t>
  </si>
  <si>
    <t>FONDO PER MANCATO PREAVVISO</t>
  </si>
  <si>
    <t>2.02.05.05.0105</t>
  </si>
  <si>
    <t>ALTRI FONDI PER RISCHI</t>
  </si>
  <si>
    <t>2.02.05.05.0106</t>
  </si>
  <si>
    <t>2.02.05.05.0107</t>
  </si>
  <si>
    <t>2.02.05.05.0108</t>
  </si>
  <si>
    <t>FONDO ACCANTONAMENTO PROVENTI DA SPERIMENTAZIONE</t>
  </si>
  <si>
    <t>2.02.05.05.0109</t>
  </si>
  <si>
    <t>FONDO PER SPESE FUTURE</t>
  </si>
  <si>
    <t>2.02.05.05.0110</t>
  </si>
  <si>
    <t>FONDO ACCANTONAMENTO GESTIONE SERVIZIO TRASFORMAZIONE PLASMO DA //</t>
  </si>
  <si>
    <t>2.02.05.05.0112</t>
  </si>
  <si>
    <t>FONDO PEREQUAZIONE ALPI</t>
  </si>
  <si>
    <t>2.02.05.05.0113</t>
  </si>
  <si>
    <t>FONDO ACC.TO ALPI COMPARTO SANITARIO</t>
  </si>
  <si>
    <t>2.02.05.05.0114</t>
  </si>
  <si>
    <t>FONDO ACC.TO ALPI COMPARTO AMM.VO</t>
  </si>
  <si>
    <t>2.02.05.05.0115</t>
  </si>
  <si>
    <t>FONDO ACC.TO ALPI COMPARTO TECNICO</t>
  </si>
  <si>
    <t>2.02.05.05.0116</t>
  </si>
  <si>
    <t>FONDO PER IL FUNZIONAMENTO DEL COMITATO ETICO LOCALE</t>
  </si>
  <si>
    <t>FONDO PER PAGAMENTO GETTONI AL COMITATO ETICO</t>
  </si>
  <si>
    <t>2.02.05.05.0117</t>
  </si>
  <si>
    <t>FONDO PER COMPENSI COMITATO ETICO X VALUTAZ.TECN.SCIENTIFICHE</t>
  </si>
  <si>
    <t>2.02.05.05.0118</t>
  </si>
  <si>
    <t>FONDO X SPESE FORMAZIONE E AGGIOR.TO COMITATO ETICO</t>
  </si>
  <si>
    <t>2.02.05.05.0119</t>
  </si>
  <si>
    <t>FONDO X QUOTA SPETTANTE AZIENDA PROPONENTE</t>
  </si>
  <si>
    <t>2.02.05.05.0120</t>
  </si>
  <si>
    <t>F.DO ACC. PROVENTI SPERIMENTAZIONEPER SERV.DIAGNOSTICA PER IMMAGINI</t>
  </si>
  <si>
    <t>2.02.05.05.0121</t>
  </si>
  <si>
    <t>FONDO DESTINATO ALLA PREVENZIONE E RIDUZIONE LISTE DI ATTESA</t>
  </si>
  <si>
    <t>2.02.05.05.0122</t>
  </si>
  <si>
    <t>FONDO DESTINATO AGLI INTERVENTI A FAVORE DEL PERSONALE A TITOLO DI CONTRIBUTI E SUSSIDI</t>
  </si>
  <si>
    <t>2.02.05.05.0123</t>
  </si>
  <si>
    <t>FONDO ACCANTONAMENTO FARMACIA</t>
  </si>
  <si>
    <t>2.02.05.05.0124</t>
  </si>
  <si>
    <t>FONDO ACCANTONAMENTO DIAGNOSTICA DI LABORATORIO</t>
  </si>
  <si>
    <t>Altri fondi  incentivi funzioni tecniche Art. 113 D.Lgs 50/2016</t>
  </si>
  <si>
    <t>PBA270</t>
  </si>
  <si>
    <t>B.V.4) Altri Fondi incentivi funzioni tecniche Art. 113 D.Lgs 50/2016</t>
  </si>
  <si>
    <t>2.02.05.06.0101</t>
  </si>
  <si>
    <t>TRATTAMENTO FINE RAPPORTO</t>
  </si>
  <si>
    <t>PCZ999</t>
  </si>
  <si>
    <t>FONDO PER PREMI OPEROSITA' MEDICI SUMAI</t>
  </si>
  <si>
    <t>PCA000</t>
  </si>
  <si>
    <t>Fondo per premi operosità medici SUMAI</t>
  </si>
  <si>
    <t>C.I) FONDO PER PREMI OPEROSITA' MEDICI SUMAI</t>
  </si>
  <si>
    <t>2.03.01.01.0101</t>
  </si>
  <si>
    <t>FONDO PER PREMI OPEROSITA MEDICI SUMAI</t>
  </si>
  <si>
    <t>FONDO PER TRATTAMENTO DI FINE RAPPORTO DIPENDENTI</t>
  </si>
  <si>
    <t>C.II) FONDO PER TRATTAMENTO DI FINE RAPPORTO DIPENDENTI</t>
  </si>
  <si>
    <t>Fondo per trattamento di fine rapporto dipendenti</t>
  </si>
  <si>
    <t>2.03.02.01.0101</t>
  </si>
  <si>
    <t>FONDO PER TRATTAMENTI DI QUIESCENZA E SIMILI</t>
  </si>
  <si>
    <t>PCA020</t>
  </si>
  <si>
    <t>C.III) FONDO PER TRATTAMENTI DI QUIESCENZA E SIMILI</t>
  </si>
  <si>
    <t>2.03.03.01.0101</t>
  </si>
  <si>
    <t>D</t>
  </si>
  <si>
    <t>PDZ999</t>
  </si>
  <si>
    <t>DEBITI PER MUTUI PASSIVI</t>
  </si>
  <si>
    <t>D.I) DEBITI PER MUTUI PASSIVI</t>
  </si>
  <si>
    <t>Debiti per mutui passivi</t>
  </si>
  <si>
    <t>2.04.01.01.0101</t>
  </si>
  <si>
    <t>DEBITI PER MUTUI V/ ISTITUTO TESORIERE</t>
  </si>
  <si>
    <t>2.04.01.01.0102</t>
  </si>
  <si>
    <t>DEBITI PER MUTUI V/ ALTRE BANCHE</t>
  </si>
  <si>
    <t>DEBITI V/STATO</t>
  </si>
  <si>
    <t>PDA010</t>
  </si>
  <si>
    <t>D.II) DEBITI V/STATO</t>
  </si>
  <si>
    <t>Debiti v/Stato per mobilità passiva extraregionale</t>
  </si>
  <si>
    <t>D.II.1) Debiti v/Stato per mobilità passiva extraregionale</t>
  </si>
  <si>
    <t>2.04.02.01.0101</t>
  </si>
  <si>
    <t>DEBITI V/ STATO PER MOBILITA PASSIVA PUBBLICA</t>
  </si>
  <si>
    <t>2.04.02.01.0102</t>
  </si>
  <si>
    <t>DEBITI V/ STATO PER MOBILITA PASSIVA PRIVATA</t>
  </si>
  <si>
    <t>Debiti v/Stato per mobilità passiva internazionale</t>
  </si>
  <si>
    <t>D.II.2) Debiti v/Stato per mobilità passiva internazionale</t>
  </si>
  <si>
    <t>2.04.02.02.0101</t>
  </si>
  <si>
    <t>DEBITI V/STATO PER MOBILITA PASSIVA INTERNAZIONALE</t>
  </si>
  <si>
    <t>Acconto quota FSR v/Stato</t>
  </si>
  <si>
    <t>D.II.3) Acconto quota FSR v/Stato</t>
  </si>
  <si>
    <t>2.04.02.03.0101</t>
  </si>
  <si>
    <t>ACCONTO QUOTA FSR V/STATO</t>
  </si>
  <si>
    <t>Debiti v/Stato per restituzione finanziamenti - per ricerca</t>
  </si>
  <si>
    <t>D.II.4) Debiti v/Stato per restituzione finanziamenti - per ricerca</t>
  </si>
  <si>
    <t>2.04.02.04.0101</t>
  </si>
  <si>
    <t>DEBITI V/STATO PER RESTITUZIONE FINANZIAMENTI - PER RICERCA</t>
  </si>
  <si>
    <t>Altri debiti v/Stato</t>
  </si>
  <si>
    <t>D.II.5) Altri debiti v/Stato</t>
  </si>
  <si>
    <t>2.04.02.05.0101</t>
  </si>
  <si>
    <t>ALTRI DEBITI V/STATO</t>
  </si>
  <si>
    <t>DEBITI V/REGIONE O PROVINCIA AUTONOMA</t>
  </si>
  <si>
    <t>PDA070</t>
  </si>
  <si>
    <t>D.III) DEBITI V/REGIONE O PROVINCIA AUTONOMA</t>
  </si>
  <si>
    <t>Debiti v/Regione o Provincia Autonoma per finanziamenti</t>
  </si>
  <si>
    <t>D.III.1) Debiti v/Regione o Provincia Autonoma per finanziamenti - GSA</t>
  </si>
  <si>
    <t>2.04.03.01.0101</t>
  </si>
  <si>
    <t>DEBITI PER FINANZIAMENTI PER SPESA CORRENTE PER QUOTE DI FSR</t>
  </si>
  <si>
    <t>2.04.03.01.0102</t>
  </si>
  <si>
    <t>DEBITI PER FINANZIAMENTI PER SPESA CORRENTE PER PROGETTI SANITARI</t>
  </si>
  <si>
    <t>2.04.03.01.0103</t>
  </si>
  <si>
    <t>DEBITI PER FINANZIAMENTI PER SPESA CORRENTE PER ALTRI CONTRIBUTI IN         C/ESERCIZIO</t>
  </si>
  <si>
    <t>2.04.03.01.0104</t>
  </si>
  <si>
    <t>DEBITI PER FINANZIAMENTI PER VERSAMENTI A PATRIMONIO NETTO PER INVESTIMENTI IN CONTO CAPITALE EX ART  L /</t>
  </si>
  <si>
    <t>2.04.03.01.0105</t>
  </si>
  <si>
    <t>DEBITI PER FINANZIAMENTI PER VERSAMENTI A PATRIMONIO NETTO PER ALTRI  INVESTIMENTI IN CONTO CAPITALE</t>
  </si>
  <si>
    <t>2.04.03.01.0106</t>
  </si>
  <si>
    <t>DEBITI PER FINANZIAMENTI PER VERSAMENTI A PATRIMONIO NETTO PER RIPIANO   PERDITE</t>
  </si>
  <si>
    <t>PDA081</t>
  </si>
  <si>
    <t>D.III.2) Debiti v/Regione o Provincia Autonoma per finanziamenti</t>
  </si>
  <si>
    <t>2.04.03.06.0101</t>
  </si>
  <si>
    <t>Debiti v/Regione o Provincia Autonoma per mobilità passiva intraregionale</t>
  </si>
  <si>
    <t>D.III.3) Debiti v/Regione o Provincia Autonoma per mobilità passiva intraregionale</t>
  </si>
  <si>
    <t>2.04.03.02.0101</t>
  </si>
  <si>
    <t>DEBITI V/REGIONE O PROVINCIA AUTONOMA PER MOBILITA PASSIVA INTRAREGIONALE</t>
  </si>
  <si>
    <t>Debiti v/Regione o Provincia Autonoma per mobilità passiva extraregionale</t>
  </si>
  <si>
    <t>D.III.4) Debiti v/Regione o Provincia Autonoma per mobilità passiva extraregionale</t>
  </si>
  <si>
    <t>2.04.03.03.0101</t>
  </si>
  <si>
    <t>DEBITI V/REGIONE PER MOBILITA PASSIVA EXTRAREGIONE</t>
  </si>
  <si>
    <t>ACCONTO QUOTA FSR DA REGIONE O PROVINCIA AUTONOMA</t>
  </si>
  <si>
    <t>Debiti v/Regione o Provincia Autonoma per mobilità passiva  internazionale</t>
  </si>
  <si>
    <t>PDA101</t>
  </si>
  <si>
    <t>D.III.5) Debiti v/Regione o Provincia Autonoma per mobilità passiva internazionale</t>
  </si>
  <si>
    <t>2.04.03.07.0101</t>
  </si>
  <si>
    <t>Debiti v/Regione o Provincia Autonoma per mobilita passiva  internazionale</t>
  </si>
  <si>
    <t>Acconto quota FSR da Regione o Provincia Autonoma</t>
  </si>
  <si>
    <t>D.III.6) Acconto quota FSR da Regione o Provincia Autonoma</t>
  </si>
  <si>
    <t>2.04.03.04.0101</t>
  </si>
  <si>
    <t>Acconto da Regione o Provincia Autonoma per anticipazione ripiano disavanzo programmato dai Piani aziendali di cui all'art. 1, comma 528, L. 208/2015</t>
  </si>
  <si>
    <t>PDA111</t>
  </si>
  <si>
    <t>D.III.7) Acconto da Regione o Provincia Autonoma per anticipazione ripiano disavanzo programmato dai Piani aziendali di cui all'art. 1, comma 528, L. 208/2015</t>
  </si>
  <si>
    <t>2.04.03.08.0101</t>
  </si>
  <si>
    <t xml:space="preserve">Debiti v/Regione o Provincia Autonoma per contributi L. 210/92 </t>
  </si>
  <si>
    <t>PDA112</t>
  </si>
  <si>
    <t xml:space="preserve">D.III.8) Debiti v/Regione o Provincia Autonoma per contributi L. 210/92 </t>
  </si>
  <si>
    <t>2.04.03.09.0101</t>
  </si>
  <si>
    <t>Debiti v/Regione o Provincia Autonoma per contributi L. 210/92</t>
  </si>
  <si>
    <t>Altri debiti v/Regione o Provincia Autonoma – GSA</t>
  </si>
  <si>
    <t>D.III.9) Altri debiti v/Regione o Provincia Autonoma – GSA</t>
  </si>
  <si>
    <t>2.04.03.10.0101</t>
  </si>
  <si>
    <t>Altri debiti v/Regione o Provincia Autonoma - GSA</t>
  </si>
  <si>
    <t>Altri debiti v/Regione o Provincia Autonoma</t>
  </si>
  <si>
    <t>D.III.10</t>
  </si>
  <si>
    <t>PDA121</t>
  </si>
  <si>
    <t>D.III.10) Altri debiti v/Regione o Provincia Autonoma</t>
  </si>
  <si>
    <t>2.04.03.11.0101</t>
  </si>
  <si>
    <t>2.04.03.05.0101</t>
  </si>
  <si>
    <t>ALTRI DEBITI V/REGIONE O PROVINCIA AUTONOMA</t>
  </si>
  <si>
    <t>DEBITI V/COMUNI</t>
  </si>
  <si>
    <t>D.IV) DEBITI V/COMUNI</t>
  </si>
  <si>
    <t>Debiti v/Comuni</t>
  </si>
  <si>
    <t>2.04.04.01.0101</t>
  </si>
  <si>
    <t>DEBITI V/AZIENDE SANITARIE PUBBLICHE</t>
  </si>
  <si>
    <t>PDA140</t>
  </si>
  <si>
    <t>D.V) DEBITI V/AZIENDE SANITARIE PUBBLICHE</t>
  </si>
  <si>
    <t>Debiti v/Aziende sanitarie pubbliche della Regione - per quota FSR</t>
  </si>
  <si>
    <t>D.V.1.a) Debiti v/Aziende sanitarie pubbliche della Regione - per quota FSR</t>
  </si>
  <si>
    <t>2.04.05.01.0101</t>
  </si>
  <si>
    <t>DEBITI V/AZIENDE SANITARIE PUBBLICHE DELLA REGIONE - PER QUOTA FSR</t>
  </si>
  <si>
    <t>DEBITI V/AZIENDE SANITARIE PUBBLICHE DELLA REGIONE - PER FINANZIAMENTO SANITARIO AGGIUNTIVO CORRENTE LEA</t>
  </si>
  <si>
    <t>Debiti v/Aziende sanitarie pubbliche della Regione - per finanziamento sanitario aggiuntivo corrente LEA</t>
  </si>
  <si>
    <t>2.04.05.02.0101</t>
  </si>
  <si>
    <t>D.V.1.b) Debiti v/Aziende sanitarie pubbliche della Regione - per finanziamento sanitario aggiuntivo corrente LEA</t>
  </si>
  <si>
    <t>DEBITI V/AZIENDE SANITARIE PUBBLICHE DELLA REGIONE - PER FINANZIAMENTO SANITARIO AGGIUNTIVO CORRENTE EXTRA LEA</t>
  </si>
  <si>
    <t>Debiti v/Aziende sanitarie pubbliche della Regione - per finanziamento sanitario aggiuntivo corrente extra LEA</t>
  </si>
  <si>
    <t>2.04.05.03.0101</t>
  </si>
  <si>
    <t>D.V.1.c) Debiti v/Aziende sanitarie pubbliche della Regione - per finanziamento sanitario aggiuntivo corrente extra LEA</t>
  </si>
  <si>
    <t>DEBITI V/AZIENDE SANITARIE PUBBLICHE DELLA REGIONE - PER MOBILITA' IN COMPENSAZIONE</t>
  </si>
  <si>
    <t>Debiti v/Aziende sanitarie pubbliche della Regione - per mobilità in compensazione</t>
  </si>
  <si>
    <t>D.V.1.d) Debiti v/Aziende sanitarie pubbliche della Regione - per mobilità in compensazione</t>
  </si>
  <si>
    <t>2.04.05.04.0101</t>
  </si>
  <si>
    <t>DEBITI V/AZIENDE SANITARIE PUBBLICHE DELLA REGIONE - PER MOBILITA IN COMPENSAZIONE</t>
  </si>
  <si>
    <t>DEBITI V/AZIENDE SANITARIE PUBBLICHE DELLA REGIONE - PER MOBILITA' NON IN COMPENSAZIONE</t>
  </si>
  <si>
    <t>Debiti v/Aziende sanitarie pubbliche della Regione - per mobilità non in compensazione</t>
  </si>
  <si>
    <t>2.04.05.05.0101</t>
  </si>
  <si>
    <t>DEBITI V/ASP AG - PER MOBILITA NONIN COMPENSAZIONE</t>
  </si>
  <si>
    <t>debiti v/ASP AG - per mobilità non in compensazione</t>
  </si>
  <si>
    <t>D.V.1.e) Debiti v/Aziende sanitarie pubbliche della Regione - per mobilità non in compensazione</t>
  </si>
  <si>
    <t>2.04.05.05.0201</t>
  </si>
  <si>
    <t>DEBITI V/ASP CL - PER MOBILITA NONIN COMPENSAZIONE</t>
  </si>
  <si>
    <t>debiti v/ASP CL - per mobilità non in compensazione</t>
  </si>
  <si>
    <t>2.04.05.05.0301</t>
  </si>
  <si>
    <t>DEBITI V/ASP CT - PER MOBILITA NONIN COMPENSAZIONE</t>
  </si>
  <si>
    <t>debiti v/ASP CT - per mobilità non in compensazione</t>
  </si>
  <si>
    <t>2.04.05.05.0401</t>
  </si>
  <si>
    <t>DEBITI V/ASP EN - PER MOBILITA NONIN COMPENSAZIONE</t>
  </si>
  <si>
    <t>debiti v/ASP EN - per mobilità non in compensazione</t>
  </si>
  <si>
    <t>2.04.05.05.0501</t>
  </si>
  <si>
    <t>DEBITI V/ASP ME - PER MOBILITA NONIN COMPENSAZIONE</t>
  </si>
  <si>
    <t>debiti v/ASP ME - per mobilità non in compensazione</t>
  </si>
  <si>
    <t>2.04.05.05.0601</t>
  </si>
  <si>
    <t>DEBITI V/ASP PA - PER MOBILITA NONIN COMPENSAZIONE</t>
  </si>
  <si>
    <t>debiti v/ASP PA - per mobilità non in compensazione</t>
  </si>
  <si>
    <t>2.04.05.05.0701</t>
  </si>
  <si>
    <t>DEBITI V/ASP RG - PER MOBILITA NONIN COMPENSAZIONE</t>
  </si>
  <si>
    <t>debiti v/ASP RG - per mobilità non in compensazione</t>
  </si>
  <si>
    <t>2.04.05.05.0801</t>
  </si>
  <si>
    <t>DEBITI V/ASP SR - PER MOBILITA NONIN COMPENSAZIONE</t>
  </si>
  <si>
    <t>debiti v/ASP SR - per mobilità non in compensazione</t>
  </si>
  <si>
    <t>2.04.05.05.0901</t>
  </si>
  <si>
    <t>DEBITI V/ASP TP - PER MOBILITA NONIN COMPENSAZIONE</t>
  </si>
  <si>
    <t>debiti v/ASP TP - per mobilità non in compensazione</t>
  </si>
  <si>
    <t>2.04.05.05.1001</t>
  </si>
  <si>
    <t>DEBITI V/AO CANNIZZARO CT - PER MOBILITA NON IN COMPENSAZIONE</t>
  </si>
  <si>
    <t>debiti v/AO CANNIZZARO CT - per mobilità non in compensazione</t>
  </si>
  <si>
    <t>2.04.05.05.1101</t>
  </si>
  <si>
    <t>DEBITI V/AO GARIBALDI CT - PER MOBILITA NON IN COMPENSAZIONE</t>
  </si>
  <si>
    <t>debiti v/AO GARIBALDI CT - per mobilità non in compensazione</t>
  </si>
  <si>
    <t>2.04.05.05.1201</t>
  </si>
  <si>
    <t>DEBITI V/AOU POLICLINICO CT - PER MOBILITA NON IN COMPENSAZIONE</t>
  </si>
  <si>
    <t>debiti v/AOU POLICLINICO CT - per mobilità non in compensazione</t>
  </si>
  <si>
    <t>2.04.05.05.1301</t>
  </si>
  <si>
    <t>DEBITI V/AO PAPARDO PIEMONTE - PER MOBILITA NON IN COMPENSAZIONE</t>
  </si>
  <si>
    <t>debiti v/AO PAPARDO - per mobilità non in compensazione</t>
  </si>
  <si>
    <t>2.04.05.05.1401</t>
  </si>
  <si>
    <t>DEBITI V/AOU POLICLINICO ME - PER MOBILITA NON IN COMPENSAZIONE</t>
  </si>
  <si>
    <t>debiti v/AOU POLICLINICO ME - per mobilità non in compensazione</t>
  </si>
  <si>
    <t>2.04.05.05.1501</t>
  </si>
  <si>
    <t>DEBITI V/AO VILLA SOFIA CERVELLO - PER MOBILITA NON IN COMPENSAZIONE</t>
  </si>
  <si>
    <t>debiti v/AO VILLA SOFIA CERVELLO - per mobilità non in compensazione</t>
  </si>
  <si>
    <t>2.04.05.05.1601</t>
  </si>
  <si>
    <t>DEBITI V/AO CIVICO PA - PER MOBILITA NON IN COMPENSAZIONE</t>
  </si>
  <si>
    <t>debiti v/AO CIVICO PA - per mobilità non in compensazione</t>
  </si>
  <si>
    <t>2.04.05.05.1701</t>
  </si>
  <si>
    <t>DEBITI V/AOU POLICLINICO PA - PER MOBILITA NON IN COMPENSAZIONE</t>
  </si>
  <si>
    <t>debiti v/AOU POLICLINICO PA - per mobilità non in compensazione</t>
  </si>
  <si>
    <t>2.04.05.05.1801</t>
  </si>
  <si>
    <t>DEBITI V/IRCCS BONINO PULEJO ME - PER MOBILITA NON IN COMPENSAZIONE</t>
  </si>
  <si>
    <t>debiti v/IRCCS BONINO PULEJO ME - per mobilità non in compensazione</t>
  </si>
  <si>
    <t>DEBITI V/AZIENDE SANITARIE PUBBLICHE DELLA REGIONE - PER ALTRE PRESTAZIONI</t>
  </si>
  <si>
    <t>Debiti v/Aziende sanitarie pubbliche della Regione - per altre prestazioni</t>
  </si>
  <si>
    <t>D.V.1.f) Debiti v/Aziende sanitarie pubbliche della Regione - per altre prestazioni</t>
  </si>
  <si>
    <t>2.04.05.06.0101</t>
  </si>
  <si>
    <t>DEBITI V/ASP AG - PER ALTRE PRESTAZIONI</t>
  </si>
  <si>
    <t>debiti v/ASP AG - per altre prestazioni</t>
  </si>
  <si>
    <t>2.04.05.06.0201</t>
  </si>
  <si>
    <t>DEBITI V/ASP CL - PER ALTRE PRESTAZIONI</t>
  </si>
  <si>
    <t>debiti v/ASP CL - per altre prestazioni</t>
  </si>
  <si>
    <t>2.04.05.06.0301</t>
  </si>
  <si>
    <t>DEBITI V/ASP CT - PER ALTRE PRESTAZIONI</t>
  </si>
  <si>
    <t>debiti v/ASP CT - per altre prestazioni</t>
  </si>
  <si>
    <t>2.04.05.06.0401</t>
  </si>
  <si>
    <t>DEBITI V/ASP EN - PER ALTRE PRESTAZIONI</t>
  </si>
  <si>
    <t>debiti v/ASP EN - per altre prestazioni</t>
  </si>
  <si>
    <t>2.04.05.06.0501</t>
  </si>
  <si>
    <t>DEBITI V/ASP ME - PER ALTRE PRESTAZIONI</t>
  </si>
  <si>
    <t>debiti v/ASP ME - per altre prestazioni</t>
  </si>
  <si>
    <t>2.04.05.06.0601</t>
  </si>
  <si>
    <t>DEBITI V/ASP PA - PER ALTRE PRESTAZIONI</t>
  </si>
  <si>
    <t>debiti v/ASP PA - per altre prestazioni</t>
  </si>
  <si>
    <t>2.04.05.06.0701</t>
  </si>
  <si>
    <t>DEBITI V/ASP RG - PER ALTRE PRESTAZIONI</t>
  </si>
  <si>
    <t>debiti v/ASP RG - per altre prestazioni</t>
  </si>
  <si>
    <t>2.04.05.06.0801</t>
  </si>
  <si>
    <t>DEBITI V/ASP SR - PER ALTRE PRESTAZIONI</t>
  </si>
  <si>
    <t>debiti v/ASP SR - per altre prestazioni</t>
  </si>
  <si>
    <t>2.04.05.06.0901</t>
  </si>
  <si>
    <t>DEBITI V/ASP TP - PER ALTRE PRESTAZIONI</t>
  </si>
  <si>
    <t>debiti v/ASP TP - per altre prestazioni</t>
  </si>
  <si>
    <t>2.04.05.06.1001</t>
  </si>
  <si>
    <t>DEBITI V/AO CANNIZZARO CT - PER ALTRE PRESTAZIONI</t>
  </si>
  <si>
    <t>debiti v/AO CANNIZZARO CT - per altre prestazioni</t>
  </si>
  <si>
    <t>2.04.05.06.1101</t>
  </si>
  <si>
    <t>DEBITI V/AO GARIBALDI CT - PER ALTRE PRESTAZIONI</t>
  </si>
  <si>
    <t>debiti v/AO GARIBALDI CT - per altre prestazioni</t>
  </si>
  <si>
    <t>2.04.05.06.1201</t>
  </si>
  <si>
    <t>DEBITI V/AOU POLICLINICO CT - PER ALTRE PRESTAZIONI</t>
  </si>
  <si>
    <t>debiti v/AOU POLICLINICO CT - per altre prestazioni</t>
  </si>
  <si>
    <t>2.04.05.06.1301</t>
  </si>
  <si>
    <t>DEBITI V/AO PAPARDO PIEMONTE - PER ALTRE PRESTAZIONI</t>
  </si>
  <si>
    <t>debiti v/AO PAPARDO - per altre prestazioni</t>
  </si>
  <si>
    <t>2.04.05.06.1401</t>
  </si>
  <si>
    <t>DEBITI V/AOU POLICLINICO ME - PER ALTRE PRESTAZIONI</t>
  </si>
  <si>
    <t>debiti v/AOU POLICLINICO ME - per altre prestazioni</t>
  </si>
  <si>
    <t>2.04.05.06.1501</t>
  </si>
  <si>
    <t>DEBITI V/AO VILLA SOFIA CERVELLO - PER ALTRE PRESTAZIONI</t>
  </si>
  <si>
    <t>debiti v/AO VILLA SOFIA CERVELLO - per altre prestazioni</t>
  </si>
  <si>
    <t>2.04.05.06.1601</t>
  </si>
  <si>
    <t>DEBITI V/AO CIVICO PA - PER ALTREPRESTAZIONI</t>
  </si>
  <si>
    <t>debiti v/AO CIVICO PA - per altre prestazioni</t>
  </si>
  <si>
    <t>2.04.05.06.1701</t>
  </si>
  <si>
    <t>DEBITI V/AOU POLICLINICO PA - PER ALTRE PRESTAZIONI</t>
  </si>
  <si>
    <t>debiti v/AOU POLICLINICO PA - per altre prestazioni</t>
  </si>
  <si>
    <t>2.04.05.06.1801</t>
  </si>
  <si>
    <t>DEBITI V/IRCCS BONINO PULEJO ME -PER ALTRE PRESTAZIONI</t>
  </si>
  <si>
    <t>debiti v/IRCCS BONINO PULEJO ME - per altre prestazioni</t>
  </si>
  <si>
    <t>Debiti v/Aziende sanitarie pubbliche della Regione - altre prestazioni per STP</t>
  </si>
  <si>
    <t>PDA211</t>
  </si>
  <si>
    <t>2.04.05.09.0101</t>
  </si>
  <si>
    <t>debiti v/ASP AG - altre prestazioni per STP</t>
  </si>
  <si>
    <t>2.04.05.09.0102</t>
  </si>
  <si>
    <t>debiti v/ASP CL - altre prestazioni per STP</t>
  </si>
  <si>
    <t>2.04.05.09.0103</t>
  </si>
  <si>
    <t>debiti v/ASP CT - altre prestazioni per STP</t>
  </si>
  <si>
    <t>2.04.05.09.0104</t>
  </si>
  <si>
    <t>debiti v/ASP EN - altre prestazioni per STP</t>
  </si>
  <si>
    <t>2.04.05.09.0105</t>
  </si>
  <si>
    <t>debiti v/ASP ME - altre prestazioni per STP</t>
  </si>
  <si>
    <t>2.04.05.09.0106</t>
  </si>
  <si>
    <t>debiti v/ASP PA - altre prestazioni per STP</t>
  </si>
  <si>
    <t>2.04.05.09.0107</t>
  </si>
  <si>
    <t>debiti v/ASP RG - altre prestazioni per STP</t>
  </si>
  <si>
    <t>2.04.05.09.0108</t>
  </si>
  <si>
    <t>debiti v/ASP SR - altre prestazioni per STP</t>
  </si>
  <si>
    <t>2.04.05.09.0109</t>
  </si>
  <si>
    <t>debiti v/ASP TP - altre prestazioni per STP</t>
  </si>
  <si>
    <t>2.04.05.09.0110</t>
  </si>
  <si>
    <t>debiti v/AO CANNIZZARO CT - altre prestazioni per STP</t>
  </si>
  <si>
    <t>2.04.05.09.0111</t>
  </si>
  <si>
    <t>debiti v/AO GARIBALDI CT - altre prestazioni per STP</t>
  </si>
  <si>
    <t>2.04.05.09.0112</t>
  </si>
  <si>
    <t>debiti v/AOU POLICLINICO CT - altre prestazioni per STP</t>
  </si>
  <si>
    <t>2.04.05.09.0113</t>
  </si>
  <si>
    <t>debiti v/AO PAPARDO - altre prestazioni per STP</t>
  </si>
  <si>
    <t>2.04.05.09.0114</t>
  </si>
  <si>
    <t>debiti v/AOU POLICLINICO ME - altre prestazioni per STP</t>
  </si>
  <si>
    <t>2.04.05.09.0115</t>
  </si>
  <si>
    <t>debiti v/AO VILLA SOFIA CERVELLO - altre prestazioni per STP</t>
  </si>
  <si>
    <t>2.04.05.09.0116</t>
  </si>
  <si>
    <t>debiti v/AO CIVICO PA - altre prestazioni per STP</t>
  </si>
  <si>
    <t>2.04.05.09.0117</t>
  </si>
  <si>
    <t>debiti v/AOU POLICLINICO PA - altre prestazioni per STP</t>
  </si>
  <si>
    <t>2.04.05.09.0118</t>
  </si>
  <si>
    <t>debiti v/IRCCS BONINO PULEJO ME - altre prestazioni per STP</t>
  </si>
  <si>
    <t>Debiti v/Aziende sanitarie pubbliche della Regione - per Contributi da Aziende sanitarie pubbliche della Regione o Prov. Aut. (extra fondo)</t>
  </si>
  <si>
    <t xml:space="preserve">Debiti v/Aziende sanitarie pubbliche della Regione - per Contributi da Aziende sanitarie pubbliche della Regione o Prov. Aut. (extra fondo) </t>
  </si>
  <si>
    <t>PDA212</t>
  </si>
  <si>
    <t xml:space="preserve">D.V.1.h) Debiti v/Aziende sanitarie pubbliche della Regione - per Contributi da Aziende sanitarie pubbliche della Regione o Prov. Aut. (extra fondo) </t>
  </si>
  <si>
    <t>2.04.05.10.0101</t>
  </si>
  <si>
    <t>debiti v/ASP AG - per Contributi da Aziende sanitarie pubbliche della Regione o Prov. Aut. (extra fondo)</t>
  </si>
  <si>
    <t xml:space="preserve">debiti v/ASP AG - per Contributi da Aziende sanitarie pubbliche della Regione o Prov. Aut. (extra fondo) </t>
  </si>
  <si>
    <t>2.04.05.10.0102</t>
  </si>
  <si>
    <t>debiti v/ASP CL - per Contributi da Aziende sanitarie pubbliche della Regione o Prov. Aut. (extra fondo)</t>
  </si>
  <si>
    <t xml:space="preserve">debiti v/ASP CL - per Contributi da Aziende sanitarie pubbliche della Regione o Prov. Aut. (extra fondo) </t>
  </si>
  <si>
    <t>2.04.05.10.0103</t>
  </si>
  <si>
    <t>debiti v/ASP CT - per Contributi da Aziende sanitarie pubbliche della Regione o Prov. Aut. (extra fondo)</t>
  </si>
  <si>
    <t xml:space="preserve">debiti v/ASP CT - per Contributi da Aziende sanitarie pubbliche della Regione o Prov. Aut. (extra fondo) </t>
  </si>
  <si>
    <t>2.04.05.10.0104</t>
  </si>
  <si>
    <t>debiti v/ASP EN - per Contributi da Aziende sanitarie pubbliche della Regione o Prov. Aut. (extra fondo)</t>
  </si>
  <si>
    <t xml:space="preserve">debiti v/ASP EN - per Contributi da Aziende sanitarie pubbliche della Regione o Prov. Aut. (extra fondo) </t>
  </si>
  <si>
    <t>2.04.05.10.0105</t>
  </si>
  <si>
    <t>debiti v/ASP ME - per Contributi da Aziende sanitarie pubbliche della Regione o Prov. Aut. (extra fondo)</t>
  </si>
  <si>
    <t xml:space="preserve">debiti v/ASP ME - per Contributi da Aziende sanitarie pubbliche della Regione o Prov. Aut. (extra fondo) </t>
  </si>
  <si>
    <t>2.04.05.10.0106</t>
  </si>
  <si>
    <t>debiti v/ASP PA - per Contributi da Aziende sanitarie pubbliche della Regione o Prov. Aut. (extra fondo)</t>
  </si>
  <si>
    <t xml:space="preserve">debiti v/ASP PA - per Contributi da Aziende sanitarie pubbliche della Regione o Prov. Aut. (extra fondo) </t>
  </si>
  <si>
    <t>2.04.05.10.0107</t>
  </si>
  <si>
    <t>debiti v/ASP RG - per Contributi da Aziende sanitarie pubbliche della Regione o Prov. Aut. (extra fondo)</t>
  </si>
  <si>
    <t xml:space="preserve">debiti v/ASP RG - per Contributi da Aziende sanitarie pubbliche della Regione o Prov. Aut. (extra fondo) </t>
  </si>
  <si>
    <t>2.04.05.10.0108</t>
  </si>
  <si>
    <t>debiti v/ASP SR - per Contributi da Aziende sanitarie pubbliche della Regione o Prov. Aut. (extra fondo)</t>
  </si>
  <si>
    <t xml:space="preserve">debiti v/ASP SR - per Contributi da Aziende sanitarie pubbliche della Regione o Prov. Aut. (extra fondo) </t>
  </si>
  <si>
    <t>2.04.05.10.0109</t>
  </si>
  <si>
    <t>debiti v/ASP TP - per Contributi da Aziende sanitarie pubbliche della Regione o Prov. Aut. (extra fondo)</t>
  </si>
  <si>
    <t xml:space="preserve">debiti v/ASP TP - per Contributi da Aziende sanitarie pubbliche della Regione o Prov. Aut. (extra fondo) </t>
  </si>
  <si>
    <t>2.04.05.10.0110</t>
  </si>
  <si>
    <t>debiti v/AO CANNIZZARO CT - per Contributi da Aziende sanitarie pubbliche della Regione o Prov. Aut. (extra fondo)</t>
  </si>
  <si>
    <t xml:space="preserve">debiti v/AO CANNIZZARO CT - per Contributi da Aziende sanitarie pubbliche della Regione o Prov. Aut. (extra fondo) </t>
  </si>
  <si>
    <t>2.04.05.10.0111</t>
  </si>
  <si>
    <t>debiti v/AO GARIBALDI CT - per Contributi da Aziende sanitarie pubbliche della Regione o Prov. Aut. (extra fondo)</t>
  </si>
  <si>
    <t xml:space="preserve">debiti v/AO GARIBALDI CT - per Contributi da Aziende sanitarie pubbliche della Regione o Prov. Aut. (extra fondo) </t>
  </si>
  <si>
    <t>2.04.05.10.0112</t>
  </si>
  <si>
    <t>debiti v/AOU POLICLINICO CT - per Contributi da Aziende sanitarie pubbliche della Regione o Prov. Aut. (extra fondo)</t>
  </si>
  <si>
    <t xml:space="preserve">debiti v/AOU POLICLINICO CT - per Contributi da Aziende sanitarie pubbliche della Regione o Prov. Aut. (extra fondo) </t>
  </si>
  <si>
    <t>2.04.05.10.0113</t>
  </si>
  <si>
    <t>debiti v/AO PAPARDO - per Contributi da Aziende sanitarie pubbliche della Regione o Prov. Aut. (extra fondo)</t>
  </si>
  <si>
    <t xml:space="preserve">debiti v/AO PAPARDO - per Contributi da Aziende sanitarie pubbliche della Regione o Prov. Aut. (extra fondo) </t>
  </si>
  <si>
    <t>2.04.05.10.0114</t>
  </si>
  <si>
    <t>debiti v/AOU POLICLINICO ME - per Contributi da Aziende sanitarie pubbliche della Regione o Prov. Aut. (extra fondo)</t>
  </si>
  <si>
    <t xml:space="preserve">debiti v/AOU POLICLINICO ME - per Contributi da Aziende sanitarie pubbliche della Regione o Prov. Aut. (extra fondo) </t>
  </si>
  <si>
    <t>2.04.05.10.0115</t>
  </si>
  <si>
    <t>debiti v/AO VILLA SOFIA CERVELLO - per Contributi da Aziende sanitarie pubbliche della Regione o Prov. Aut. (extra fondo)</t>
  </si>
  <si>
    <t xml:space="preserve">debiti v/AO VILLA SOFIA CERVELLO - per Contributi da Aziende sanitarie pubbliche della Regione o Prov. Aut. (extra fondo) </t>
  </si>
  <si>
    <t>2.04.05.10.0116</t>
  </si>
  <si>
    <t>debiti v/AO CIVICO PA - per Contributi da Aziende sanitarie pubbliche della Regione o Prov. Aut. (extra fondo)</t>
  </si>
  <si>
    <t xml:space="preserve">debiti v/AO CIVICO PA - per Contributi da Aziende sanitarie pubbliche della Regione o Prov. Aut. (extra fondo) </t>
  </si>
  <si>
    <t>2.04.05.10.0117</t>
  </si>
  <si>
    <t xml:space="preserve">debiti v/AOU POLICLINICO PA - per Contributi da Aziende sanitarie pubbliche della Regione o Prov. Aut. (extra fondo) </t>
  </si>
  <si>
    <t>2.04.05.10.0118</t>
  </si>
  <si>
    <t>debiti v/IRCCS BONINO PULEJO ME - per Contributi da Aziende sanitarie pubbliche della Regione o Prov. Aut. (extra fondo)</t>
  </si>
  <si>
    <t xml:space="preserve">debiti v/IRCCS BONINO PULEJO ME - per Contributi da Aziende sanitarie pubbliche della Regione o Prov. Aut. (extra fondo) </t>
  </si>
  <si>
    <t xml:space="preserve"> Debiti v/Aziende sanitarie pubbliche della Regione - per contributi L. 210/92 </t>
  </si>
  <si>
    <t>PDA213</t>
  </si>
  <si>
    <t xml:space="preserve">D.V.1.i) Debiti v/Aziende sanitarie pubbliche della Regione - per contributi L. 210/92 </t>
  </si>
  <si>
    <t>2.04.05.11.0101</t>
  </si>
  <si>
    <t>Debiti v/Aziende sanitarie pubbliche della Regione - per contributi L. 210/92</t>
  </si>
  <si>
    <t>Debiti v/Aziende sanitarie pubbliche Extraregione</t>
  </si>
  <si>
    <t>2.04.05.07.0101</t>
  </si>
  <si>
    <t>DEBITI V/AZIENDE SANITARIE PUBBLICHE EXTRAREGIONE</t>
  </si>
  <si>
    <t>Debiti v/Aziende sanitarie pubbliche della Regione per versamenti c/patrimonio netto</t>
  </si>
  <si>
    <t>2.04.05.08.0201</t>
  </si>
  <si>
    <t>Debiti v/Aziende sanitarie pubbliche della Regione per versamenti c/patrimonio netto - finanziamenti per investimenti</t>
  </si>
  <si>
    <t>PDA231</t>
  </si>
  <si>
    <t>D.V.3.a) Debiti v/Aziende sanitarie pubbliche della Regione per versamenti c/patrimonio netto - finanziamenti per investimenti</t>
  </si>
  <si>
    <t>2.04.05.08.0301</t>
  </si>
  <si>
    <t>Debiti v/Aziende sanitarie pubbliche della Regione per versamenti c/patrimonio netto - incremento fondo di dotazione</t>
  </si>
  <si>
    <t>PDA232</t>
  </si>
  <si>
    <t>D.V.3.b) Debiti v/Aziende sanitarie pubbliche della Regione per versamenti c/patrimonio netto - incremento fondo dotazione</t>
  </si>
  <si>
    <t>2.04.05.08.0401</t>
  </si>
  <si>
    <t>Debiti v/Aziende sanitarie pubbliche della Regione per versamenti c/patrimonio netto - ripiano perdite</t>
  </si>
  <si>
    <t>PDA233</t>
  </si>
  <si>
    <t>D.V.3.c) Debiti v/Aziende sanitarie pubbliche della Regione per versamenti c/patrimonio netto - ripiano perdite</t>
  </si>
  <si>
    <t>2.04.05.08.0501</t>
  </si>
  <si>
    <t>Debiti v/Aziende sanitarie pubbliche della Regione per anticipazione ripiano disavanzo programmato dai Piani aziendali di cui all'art. 1, comma 528, L. 208/2015</t>
  </si>
  <si>
    <t>PDA234</t>
  </si>
  <si>
    <t>D.V.3.d) Debiti v/Aziende sanitarie pubbliche della Regione per anticipazione ripiano disavanzo programmato dai Piani aziendali di cui all'art. 1, comma 528, L. 208/2015</t>
  </si>
  <si>
    <t>2.04.05.08.0601</t>
  </si>
  <si>
    <t>Debiti v/Aziende sanitarie pubbliche della Regione per versamenti c/patrimonio netto - altro</t>
  </si>
  <si>
    <t>PDA235</t>
  </si>
  <si>
    <t>D.V.3.e) Debiti v/Aziende sanitarie pubbliche della Regione per versamenti c/patrimonio netto - altro</t>
  </si>
  <si>
    <t>DEBITI V/SOCIETA' PARTECIPATE E/O ENTI DIPENDENTI DELLA REGIONE</t>
  </si>
  <si>
    <t>PDA240</t>
  </si>
  <si>
    <t>D.VI) DEBITI V/ SOCIETA' PARTECIPATE E/O ENTI DIPENDENTI DELLA REGIONE</t>
  </si>
  <si>
    <t>Debiti v/enti regionali</t>
  </si>
  <si>
    <t>D.VI.1) Debiti v/enti regionali</t>
  </si>
  <si>
    <t>2.04.06.01.0101</t>
  </si>
  <si>
    <t>DEBITI V/ARPA</t>
  </si>
  <si>
    <t>Debiti v/ARPA</t>
  </si>
  <si>
    <t>D.VI.3) Debiti v/altre partecipate</t>
  </si>
  <si>
    <t>2.04.06.01.0201</t>
  </si>
  <si>
    <t>DEBITI V/ENTI REGIONALI</t>
  </si>
  <si>
    <t>Debiti v/sperimentazioni gestionali</t>
  </si>
  <si>
    <t>D.VI.2) Debiti v/sperimentazioni gestionali</t>
  </si>
  <si>
    <t>2.04.06.02.0101</t>
  </si>
  <si>
    <t>DEBITI V/SPERIMENTAZIONI GESTIONALI</t>
  </si>
  <si>
    <t>Debiti v/altre partecipate</t>
  </si>
  <si>
    <t>2.04.06.03.0101</t>
  </si>
  <si>
    <t>DEBITI V/SOCIETA CONTROLLATE E COLLEGATE</t>
  </si>
  <si>
    <t>Debiti v/società controllate e collegate</t>
  </si>
  <si>
    <t>2.04.06.03.0201</t>
  </si>
  <si>
    <t>DEBITI V/ALTRE PARTECIPATE</t>
  </si>
  <si>
    <t>DEBITI V/FORNITORI</t>
  </si>
  <si>
    <t>D.VII) DEBITI V/FORNITORI</t>
  </si>
  <si>
    <t>2.04.07.01.0101</t>
  </si>
  <si>
    <t>DEBITI V/FARMACIE CONVENZIONATE</t>
  </si>
  <si>
    <t>Debiti v/farmacie convenzionate</t>
  </si>
  <si>
    <t>PDA291</t>
  </si>
  <si>
    <t xml:space="preserve">D.VII.1.a) Debiti verso erogatori (privati accreditati e convenzionati) di prestazioni sanitarie </t>
  </si>
  <si>
    <t>2.04.07.01.0201</t>
  </si>
  <si>
    <t>DEBITI V/CASE DI CURA CONVENZIONATE</t>
  </si>
  <si>
    <t>Debiti v/Case di Cura convenzionate</t>
  </si>
  <si>
    <t>2.04.07.01.0301</t>
  </si>
  <si>
    <t>DEBITI V/SPECIALISTI CONVENZIONATI ESTERNI CONVENZIONATI</t>
  </si>
  <si>
    <t>Debiti v/specialisti convenzionati esterni</t>
  </si>
  <si>
    <t>2.04.07.01.0401</t>
  </si>
  <si>
    <t>DEBITI V/ALTRE STRUTTURE ACCREDITATE E CONVENZIONATE</t>
  </si>
  <si>
    <t xml:space="preserve">Debiti v/altre strutture accreditate e convenzionate </t>
  </si>
  <si>
    <t>2.04.07.01.0501</t>
  </si>
  <si>
    <t>DEBITI V/IRCCS PRIVATI E POLICLINICI</t>
  </si>
  <si>
    <t xml:space="preserve">Debiti v/IRCCS e Policlinici privati </t>
  </si>
  <si>
    <t>2.04.07.01.0601</t>
  </si>
  <si>
    <t>DEBITI V/OSPEDALI CLASSIFICATI</t>
  </si>
  <si>
    <t>Debiti v/Ospedali Classificati</t>
  </si>
  <si>
    <t>2.04.07.01.0701</t>
  </si>
  <si>
    <t>DEBITI VERSO EROGATORI PRIVATI - EXTRAREGIONE</t>
  </si>
  <si>
    <t>Debiti verso erogatori privati - extraregione</t>
  </si>
  <si>
    <t>2.04.07.01.9901</t>
  </si>
  <si>
    <t>Debiti per fatture da ricevere da erogatori (privati accreditati e convenzionati) di prestazioni sanitarie</t>
  </si>
  <si>
    <t>2.04.07.01.0801</t>
  </si>
  <si>
    <t>Note di credito da ricevere da farmacie convenzionate</t>
  </si>
  <si>
    <t>PDA292</t>
  </si>
  <si>
    <t>D.VII.1.b) Note di credito da ricevere (privati accreditati e convenzionati)</t>
  </si>
  <si>
    <t>2.04.07.01.0901</t>
  </si>
  <si>
    <t>Note di credito da ricevere da Case di Cura convenzionate</t>
  </si>
  <si>
    <t>2.04.07.01.1001</t>
  </si>
  <si>
    <t>Note di credito da ricevere da specialisti convenzionati esterni</t>
  </si>
  <si>
    <t>2.04.07.01.1101</t>
  </si>
  <si>
    <t>Note di credito da ricevere da altre strutture accreditate e convenzionate</t>
  </si>
  <si>
    <t>2.04.07.01.1201</t>
  </si>
  <si>
    <t>Note di credito da ricevere da IRCCS e Policlinici privati</t>
  </si>
  <si>
    <t xml:space="preserve">Note di credito da ricevere da IRCCS e Policlinici privati </t>
  </si>
  <si>
    <t>2.04.07.01.1301</t>
  </si>
  <si>
    <t>Note di credito da ricevere da Ospedali classificati</t>
  </si>
  <si>
    <t>2.04.07.01.1401</t>
  </si>
  <si>
    <t>Note di credito da ricevere da erogatori privati - extraregione</t>
  </si>
  <si>
    <t>2.04.07.01.1501</t>
  </si>
  <si>
    <t>Note di credito da ricevere da altri privati accreditati e convenzionati</t>
  </si>
  <si>
    <t>D.VII.2</t>
  </si>
  <si>
    <t>D.VII.2) Debiti verso altri fornitori</t>
  </si>
  <si>
    <t>2.04.07.02.0101</t>
  </si>
  <si>
    <t>DEBITI VERSO ALTRI FORNITORI NAZIONALI</t>
  </si>
  <si>
    <t>Debiti verso altri fornitori nazionali</t>
  </si>
  <si>
    <t>PDA301</t>
  </si>
  <si>
    <t>D.VII.2.a) Debiti verso altri fornitori</t>
  </si>
  <si>
    <t>2.04.07.02.0201</t>
  </si>
  <si>
    <t>DEBITI VERSO ALTRI FORNITORI ESTERI</t>
  </si>
  <si>
    <t>Debiti verso altri fornitori esteri</t>
  </si>
  <si>
    <t>2.04.07.02.0301</t>
  </si>
  <si>
    <t>DEBITI VERSO PROFESSIONISTI E COLLABORATORI (AD ESCLUSIONE DEGLI ORGANI DIRETTIVI)</t>
  </si>
  <si>
    <t>Debiti verso professionisti e collaboratori (ad esclusione degli organi direttivi)</t>
  </si>
  <si>
    <t>2.04.07.02.0302</t>
  </si>
  <si>
    <t>DEBITI VERSO COLLABORAZIONI COORDINATE E CONTINUATIVE (PERS RELIG, CRT, COCOCO)</t>
  </si>
  <si>
    <t>2.04.07.02.0303</t>
  </si>
  <si>
    <t>DEBITI VERSO ALTRE COLLABORAZIONI (PROGETTI, LAV OCCASIONALE)</t>
  </si>
  <si>
    <t>2.04.07.02.0401</t>
  </si>
  <si>
    <t>DEBITI VERSO COLLABORAZIONI COORDINATE E CONTINUATIVE (PERS RELIG, CRT,         COCOCO)</t>
  </si>
  <si>
    <t>2.04.07.02.0501</t>
  </si>
  <si>
    <t>2.04.07.02.9901</t>
  </si>
  <si>
    <t>DEBITI PER FATTURE DA RICEVERE DA ALTRI FORNITORI</t>
  </si>
  <si>
    <t>Debiti per fatture da ricevere da altri fornitori</t>
  </si>
  <si>
    <t>2.04.07.02.9902</t>
  </si>
  <si>
    <t>DEBITI PER FATTURE DA RICEVERE DA PROFESSIONISTI</t>
  </si>
  <si>
    <t>2.04.07.02.9903</t>
  </si>
  <si>
    <t>DEBITI PER FATTURE DA RICEVERE DA FORNITORI 2013</t>
  </si>
  <si>
    <t>2.04.07.02.9904</t>
  </si>
  <si>
    <t>DEBITI X FATT. DA RICEVERE FORNITORI - 2014</t>
  </si>
  <si>
    <t>2.04.07.02.9905</t>
  </si>
  <si>
    <t>DEBITI PER FATTURE DA RICEVERE</t>
  </si>
  <si>
    <t>2.04.07.02.9906</t>
  </si>
  <si>
    <t>DEBITI PER FATTURE DA RICEVEREFORNITORI - 2015</t>
  </si>
  <si>
    <t>2.04.07.02.9907</t>
  </si>
  <si>
    <t>DEBITI PER FATTURE DA RICEVERE FORNITORI ANNO 2016</t>
  </si>
  <si>
    <t>2.04.07.02.9908</t>
  </si>
  <si>
    <t>DEBITI PER FATTURE DA RICEVERE FORNITORI ANNO 2017</t>
  </si>
  <si>
    <t>2.04.07.02.9909</t>
  </si>
  <si>
    <t>DEBITI PER FATTURE DA RICEVERE FORNITORI ANNO 2018</t>
  </si>
  <si>
    <t>2.04.07.02.9910</t>
  </si>
  <si>
    <t>DEBITI PER FATTURE DA RICEVERE FORNITORI ANNO 2019</t>
  </si>
  <si>
    <t>2.04.07.02.9911</t>
  </si>
  <si>
    <t>DEBITI PER FATTURE DA RICEVERE FORNITORI ANNO 2020</t>
  </si>
  <si>
    <t>2.04.07.02.9912</t>
  </si>
  <si>
    <t>DEBITI PER FATTURE DA RICEVERE FORNITORI ANNO 2021</t>
  </si>
  <si>
    <t>2.04.07.02.9913</t>
  </si>
  <si>
    <t>DEBITI PER FATTURE DA RICEVERE FORNITORI ANNO 2022</t>
  </si>
  <si>
    <t>2.04.07.02.9914</t>
  </si>
  <si>
    <t>DEBITI PER FATTURE DA RICEVERE FORNITORI ANNO 2023</t>
  </si>
  <si>
    <t>2.04.07.02.9915</t>
  </si>
  <si>
    <t>DEBITI PER FATTURE DA RICEVERE FORNITORI ANNO 2024</t>
  </si>
  <si>
    <t>2.04.07.04.0401</t>
  </si>
  <si>
    <t>Note di credito da ricevere (altri fornitori)</t>
  </si>
  <si>
    <t>PDA302</t>
  </si>
  <si>
    <t>2.04.07.04.0402</t>
  </si>
  <si>
    <t>Note di credito da ricevere (altri fornitori)Anno 2019</t>
  </si>
  <si>
    <t>2.04.07.04.0403</t>
  </si>
  <si>
    <t>Debiti per Note di credito da ricevere (altri fornitori)Anno 2020</t>
  </si>
  <si>
    <t>Note di credito da ricevere (altri fornitori)Anno 2020</t>
  </si>
  <si>
    <t>2.04.07.04.0404</t>
  </si>
  <si>
    <t>Debiti per Note di credito da ricevere (altri fornitori)Anno 2021</t>
  </si>
  <si>
    <t>Note di credito da ricevere (altri fornitori)Anno 2021</t>
  </si>
  <si>
    <t>2.04.07.04.0405</t>
  </si>
  <si>
    <t>Note di credito da ricevere (altri fornitori)Anno 2022</t>
  </si>
  <si>
    <t>2.04.07.04.0406</t>
  </si>
  <si>
    <t>Note di credito da ricevere (altri fornitori)Anno 2023</t>
  </si>
  <si>
    <t>2.04.07.04.0407</t>
  </si>
  <si>
    <t>Note di credito da ricevere (altri fornitori)Anno 2024</t>
  </si>
  <si>
    <t>DEBITI V/ISTITUTO TESORIERE</t>
  </si>
  <si>
    <t>Debiti v/istituto tesoriere</t>
  </si>
  <si>
    <t>2.04.08.01.0101</t>
  </si>
  <si>
    <t>2.04.08.01.0102</t>
  </si>
  <si>
    <t>DEBITI V/ ISTITUTO TESORIERE PER INTERESSI PASSIVI</t>
  </si>
  <si>
    <t>2.04.08.01.0103</t>
  </si>
  <si>
    <t>DEBITI V/ALTRE BANCHE PER INTERESSI PASSIVI</t>
  </si>
  <si>
    <t>2.04.08.01.0104</t>
  </si>
  <si>
    <t>CONTO TRANSITORIO INCASSI TRAMITE CASSIERE</t>
  </si>
  <si>
    <t>2.04.08.01.0105</t>
  </si>
  <si>
    <t>CONTO TRANSITORIO PAGAMENTI TRAMITE CASSIERE</t>
  </si>
  <si>
    <t>2.04.08.01.0106</t>
  </si>
  <si>
    <t>DEBITI V/ISTITUTO TESORIERE PER ANTICIPAZIONE</t>
  </si>
  <si>
    <t>2.04.08.01.0107</t>
  </si>
  <si>
    <t>DEBITI PER PIGNORAMENTI A FORNITORE</t>
  </si>
  <si>
    <t>2.04.08.01.0108</t>
  </si>
  <si>
    <t>CONTO TRANSITORIO PAGAMENTI A COPERTURA</t>
  </si>
  <si>
    <t>DEBITI TRIBUTARI</t>
  </si>
  <si>
    <t>D.IX) DEBITI TRIBUTARI</t>
  </si>
  <si>
    <t>Debiti tributari</t>
  </si>
  <si>
    <t>2.04.09.01.0101</t>
  </si>
  <si>
    <t>DEBITI PER ERARIO C/IRES</t>
  </si>
  <si>
    <t>Debiti per Erario c/Ires</t>
  </si>
  <si>
    <t>2.04.09.01.0201</t>
  </si>
  <si>
    <t>DEBITI PER ERARIO C/RITENUTE SU LAVORO AUTONOMO</t>
  </si>
  <si>
    <t>Debiti per Erario c/ritenute su lavoro autonomo</t>
  </si>
  <si>
    <t>2.04.09.01.0301</t>
  </si>
  <si>
    <t>DEBITI PER ERARIO C/RITENUTE SU LAVORO DIPENDENTE</t>
  </si>
  <si>
    <t>Debiti per Erario c/ritenute su lavoro dipendente</t>
  </si>
  <si>
    <t>2.04.09.01.0302</t>
  </si>
  <si>
    <t>DEBITI PER ERARIO C/RITENUTE SU LAVORO  COLLABORAZIONI COORDINATE E CONTINUATIVE</t>
  </si>
  <si>
    <t>2.04.09.01.0401</t>
  </si>
  <si>
    <t>DEBITI PER ERARIO C/ I.V.A.</t>
  </si>
  <si>
    <t>Debiti per Erario c/ I.V.A.</t>
  </si>
  <si>
    <t>2.04.09.01.0402</t>
  </si>
  <si>
    <t>DEBITI PER ERARIO C/ I.V.A. A ESIGIBILITA DIFFERITA</t>
  </si>
  <si>
    <t>2.04.09.01.0403</t>
  </si>
  <si>
    <t>DEBITI PER ERARIO C/ I.V.A. SPLIT PAYMENT</t>
  </si>
  <si>
    <t>2.04.09.01.0404</t>
  </si>
  <si>
    <t>IVA PER ACQUISTI CEE</t>
  </si>
  <si>
    <t>2.04.09.01.0405</t>
  </si>
  <si>
    <t>IVA PER ACQUISTI DEDUCIBILI</t>
  </si>
  <si>
    <t>2.04.09.01.0501</t>
  </si>
  <si>
    <t>DEBITI PER ERARIO C/IRAP</t>
  </si>
  <si>
    <t>Debiti per Erario c/Irap</t>
  </si>
  <si>
    <t>2.04.09.01.0502</t>
  </si>
  <si>
    <t>DEBITI PER ERARIO C/IRAP ESERCIZIO PRECEDENTE</t>
  </si>
  <si>
    <t>2.04.09.01.9901</t>
  </si>
  <si>
    <t>ALTRI DEBITI PER IMPOSTE E TASSE</t>
  </si>
  <si>
    <t>Altri debiti per imposte e tasse</t>
  </si>
  <si>
    <t>2.04.09.01.9902</t>
  </si>
  <si>
    <t>ALTRI DEBITI PER ADDIZIONALE COMUNALE</t>
  </si>
  <si>
    <t>2.04.09.01.9903</t>
  </si>
  <si>
    <t>ALTRI DEBITI PER ADDIZIONALE REGIONALE</t>
  </si>
  <si>
    <t>DEBITI V/ISTITUTI PREVIDENZIALI, ASSISTENZIALI E SICUREZZA SOCIALE</t>
  </si>
  <si>
    <t>D.X</t>
  </si>
  <si>
    <t>D.X) DEBITI V/ISTITUTI PREVIDENZIALI, ASSISTENZIALI E SICUREZZA SOCIALE</t>
  </si>
  <si>
    <t>Debiti v/istituti previdenziali, assistenziali e sicurezza sociale</t>
  </si>
  <si>
    <t>2.04.10.01.0101</t>
  </si>
  <si>
    <t>DEBITI  V/ INPDAP - CPS</t>
  </si>
  <si>
    <t>Debiti verso INPDAP</t>
  </si>
  <si>
    <t>2.04.10.01.0102</t>
  </si>
  <si>
    <t>DEBITI  V/  INPDAP - CPDEL</t>
  </si>
  <si>
    <t>2.04.10.01.0103</t>
  </si>
  <si>
    <t>DEBITI V/  INPDAP - INADEL</t>
  </si>
  <si>
    <t>2.04.10.01.0104</t>
  </si>
  <si>
    <t>DEBITI V/  INPDAP - OPERA PREVIDENZA</t>
  </si>
  <si>
    <t>2.04.10.01.0105</t>
  </si>
  <si>
    <t>DEBITI V/  INPDAP - TESORO</t>
  </si>
  <si>
    <t>2.04.10.01.0106</t>
  </si>
  <si>
    <t>DEBITI V/  INPDAP - ENPDEP</t>
  </si>
  <si>
    <t>2.04.10.01.0107</t>
  </si>
  <si>
    <t>DEBITI V/S FONDO CREDITO</t>
  </si>
  <si>
    <t>2.04.10.01.0201</t>
  </si>
  <si>
    <t>DEBITI VERSO INPS PER LAV DIPENDENTI</t>
  </si>
  <si>
    <t>Debiti verso INPS lavoratori dipendenti</t>
  </si>
  <si>
    <t>2.04.10.01.0202</t>
  </si>
  <si>
    <t>DEBITI VERSO INPS PER LAV ASSIMILATI</t>
  </si>
  <si>
    <t>2.04.10.01.0301</t>
  </si>
  <si>
    <t>DEBITI VERSO INPS LAVORATORI AUTONOMI</t>
  </si>
  <si>
    <t>Debiti verso INPS lavoratori autonomi</t>
  </si>
  <si>
    <t>2.04.10.01.0401</t>
  </si>
  <si>
    <t>DEBITI VERSO INAIL</t>
  </si>
  <si>
    <t>Debiti verso INAIL</t>
  </si>
  <si>
    <t>2.04.10.01.0501</t>
  </si>
  <si>
    <t>DEBITI VERSO ENPAM</t>
  </si>
  <si>
    <t>Debiti verso ENPAM</t>
  </si>
  <si>
    <t>2.04.10.01.0601</t>
  </si>
  <si>
    <t>DEBITI VERSO ONAOSI</t>
  </si>
  <si>
    <t>Debiti verso ONAOSI</t>
  </si>
  <si>
    <t>2.04.10.01.0701</t>
  </si>
  <si>
    <t>2.04.10.01.9901</t>
  </si>
  <si>
    <t>DEBITI V/ ALTRI ENTI PREVIDENZIALI</t>
  </si>
  <si>
    <t>Debiti verso altri Istituti Previdenziali</t>
  </si>
  <si>
    <t>DEBITI V/ALTRI</t>
  </si>
  <si>
    <t>DEBITI V/ALTRI FINANZIATORI</t>
  </si>
  <si>
    <t>Debiti v/altri finanziatori</t>
  </si>
  <si>
    <t>D.XI.1</t>
  </si>
  <si>
    <t>D.XI.1) Debiti v/altri finanziatori</t>
  </si>
  <si>
    <t>2.04.11.01.0101</t>
  </si>
  <si>
    <t>DEBITI V/DIPENDENTI RETRIBUZIONI ESERCIZIO IN CORSO</t>
  </si>
  <si>
    <t>Debiti v/dipendenti retribuzioni esercizio in corso</t>
  </si>
  <si>
    <t>D.XI.2</t>
  </si>
  <si>
    <t>D.XI.2) Debiti v/dipendenti</t>
  </si>
  <si>
    <t>2.04.11.02.0101</t>
  </si>
  <si>
    <t>DEBITI VERSO PERSONALE DIRIGENTE MEDICO - COMPETENZE FISSE ESERCIZIO IN CORSO</t>
  </si>
  <si>
    <t>Debiti verso personale dirigente medico - Competenze fisse esercizio in corso</t>
  </si>
  <si>
    <t>2.04.11.02.0201</t>
  </si>
  <si>
    <t>Debiti per retribuzione personale dipendente</t>
  </si>
  <si>
    <t>Debiti verso personale dirigente medico  - Retribuzione di posizione esercizio in corso</t>
  </si>
  <si>
    <t>Debiti verso personale dirigente medico  - Retribuzione degli incarichi esercizio in corso</t>
  </si>
  <si>
    <t>2.04.11.02.0301</t>
  </si>
  <si>
    <t>DEBITI VERSO PERSONALE DIRIGENTE MEDICO - INDENNITA DA PARTICOLARI CONDIZIONI DI LAVORO ESERCIZIO IN CORSO</t>
  </si>
  <si>
    <t>Debiti verso personale dirigente medico - Indennità da particolari condizioni di lavoro esercizio in corso</t>
  </si>
  <si>
    <t>2.04.11.02.0401</t>
  </si>
  <si>
    <t>DEBITI VERSO PERSONALE DIRIGENTE MEDICO - RETRIBUZIONE DI RISULTATO ESERCIZIO IN CORSO</t>
  </si>
  <si>
    <t>Debiti verso personale dirigente medico - Retribuzione di risultato esercizio in corso</t>
  </si>
  <si>
    <t>2.04.11.02.0501</t>
  </si>
  <si>
    <t>DEBITI VERSO PERSONALE DIRIGENTE MEDICO - ALTRI COSTI DEL PERSONALE ESERCIZIO IN CORSO</t>
  </si>
  <si>
    <t>Debiti verso personale dirigente medico - Altri costi del personale esercizio in corso</t>
  </si>
  <si>
    <t>2.04.11.02.0601</t>
  </si>
  <si>
    <t>DEBITI VERSO PERSONALE  DIRIGENTE SANITARIO NON MEDICO - COMPETENZE FISSE ESERCIZIO IN CORSO</t>
  </si>
  <si>
    <t>Debiti verso personale  dirigente non medico - Competenze fisse esercizio in corso</t>
  </si>
  <si>
    <t>2.04.11.02.0602</t>
  </si>
  <si>
    <t>DEBITI VERSO PERSONALE  DIRIGENTE RUOLO PROFESSIONALE - COMPETENZE FISSE ESERCIZIO IN CORSO</t>
  </si>
  <si>
    <t>2.04.11.02.0603</t>
  </si>
  <si>
    <t>DEBITI VERSO PERSONALE  DIRIGENTE RUOLO TECNICO - COMPETENZE FISSE ESERCIZIO IN CORSO</t>
  </si>
  <si>
    <t>2.04.11.02.0604</t>
  </si>
  <si>
    <t>DEBITI VERSO PERSONALE  DIRIGENTE RUOLO AMMIISTRATIVO - COMPETENZE FISSE ESERCIZIO IN CORSO</t>
  </si>
  <si>
    <t>2.04.11.02.0701</t>
  </si>
  <si>
    <t>DEBITI VERSO PERSONALE DIRIGENTE SANITARIO NON MEDICO  - RETRIBUZIONE DI POSIZIONE ESERCIZIO IN CORSO</t>
  </si>
  <si>
    <t>Debiti verso personale dirigente non medico  - Retribuzione degli incarichi esercizio in corso</t>
  </si>
  <si>
    <t>2.04.11.02.0702</t>
  </si>
  <si>
    <t>DEBITI VERSO PERSONALE DIRIGENTE RUOLO PROFESSIONALE  - RETRIBUZIONE DI POSIZIONE ESERCIZIO IN CORSO</t>
  </si>
  <si>
    <t>2.04.11.02.0703</t>
  </si>
  <si>
    <t>DEBITI VERSO PERSONALE DIRIGENTE RUOLO TECNICO  - RETRIBUZIONE DI POSIZIONE ESERCIZIO IN CORSO</t>
  </si>
  <si>
    <t>2.04.11.02.0704</t>
  </si>
  <si>
    <t>DEBITI VERSO PERSONALE DIRIGENTE RUOLO AMMINISTRATIVO  - RETRIBUZIONE DI POSIZIONE ESERCIZIO IN CORSO</t>
  </si>
  <si>
    <t>2.04.11.02.0801</t>
  </si>
  <si>
    <t>DEBITI VERSO PERSONALE DIRIGENTE SANITARIO NON MEDICO - INDENNITA DA PARTICOLARI CONDIZIONI DI LAVORO ESERCIZIO IN CORSO</t>
  </si>
  <si>
    <t>Debiti verso personale dirigente non medico - Indennità da particolari condizioni di lavoro esercizio in corso</t>
  </si>
  <si>
    <t>2.04.11.02.0802</t>
  </si>
  <si>
    <t>DEBITI VERSO PERSONALE DIRIGENTE RUOLO PROFESSIONALE  - INDENNITA DA PARTICOLARI CONDIZIONI DI LAVORO ESERCIZIO IN CORSO</t>
  </si>
  <si>
    <t>2.04.11.02.0803</t>
  </si>
  <si>
    <t>DEBITI VERSO PERSONALE DIRIGENTE RUOLO TECNICO - INDENNITA DA PARTICOLARI CONDIZIONI DI LAVORO ESERCIZIO IN CORSO</t>
  </si>
  <si>
    <t>2.04.11.02.0804</t>
  </si>
  <si>
    <t>DEBITI VERSO PERSONALE DIRIGENTE RUOLO AMMINISTRATIVO  - INDENNITA DAPARTICOLARI CONDIZIONI DI LAVORO ESERCIZIO IN CORSO</t>
  </si>
  <si>
    <t>2.04.11.02.0901</t>
  </si>
  <si>
    <t>DEBITI VERSO PERSONALE DIRIGENTE SANITARIO NON MEDICO - RETRIBUZIONE DI RISULTATO ESERCIZIO IN CORSO</t>
  </si>
  <si>
    <t>Debiti verso personale dirigente non medico - Retribuzione di risultato esercizio in corso</t>
  </si>
  <si>
    <t>2.04.11.02.0902</t>
  </si>
  <si>
    <t>DEBITI VERSO PERSONALE DIRIGENTE RUOLO PROFESSIONALE  - RETRIBUZIONE DI RISULTATO ESERCIZIO IN CORSO</t>
  </si>
  <si>
    <t>2.04.11.02.0903</t>
  </si>
  <si>
    <t>DEBITI VERSO PERSONALE DIRIGENTE RUOLO TECNICO  - RETRIBUZIONE DI RISULTATO ESERCIZIO IN CORSO</t>
  </si>
  <si>
    <t>2.04.11.02.0904</t>
  </si>
  <si>
    <t>DEBITI VERSO PERSONALE DIRIGENTE RUOLO AMMINISTRATIVO  - RETRIBUZIONE DI RISULTATO ESERCIZIO IN CORSO</t>
  </si>
  <si>
    <t>2.04.11.02.1001</t>
  </si>
  <si>
    <t>DEBITI VERSO PERSONALE DIRIGENTE SANITARIO NON MEDICO - ALTRI COSTI DEL PERSONALE ESERCIZIO IN CORSO</t>
  </si>
  <si>
    <t>Debiti verso personale dirigente non medico - Altri costi del personale esercizio in corso</t>
  </si>
  <si>
    <t>2.04.11.02.1002</t>
  </si>
  <si>
    <t>DEBITI VERSO PERSONALE DIRIGENTE RUOLO PROFESSIONALE NON MEDICO - ALTRI COSTI DEL PERSONALE ESERCIZIO IN CORSO</t>
  </si>
  <si>
    <t>2.04.11.02.1003</t>
  </si>
  <si>
    <t>DEBITI VERSO PERSONALE DIRIGENTE RUOLO TECNICO NON MEDICO - ALTRI COSTI DEL PERSONALE ESERCIZIO IN CORSO</t>
  </si>
  <si>
    <t>2.04.11.02.1004</t>
  </si>
  <si>
    <t>DEBITI VERSO PERSONALE DIRIGENTE RUOLO AMMINISTRATIVO  - ALTRI COSTI DEL PERSONALE ESERCIZIO IN CORSO</t>
  </si>
  <si>
    <t>2.04.11.02.1101</t>
  </si>
  <si>
    <t>DEBITI VERSO PERSONALE COMPARTO SANITARIO - COMPETENZE FISSE ESERCIZIO IN CORSO</t>
  </si>
  <si>
    <t>Debiti verso personale comparto - Competenze fisse esercizio in corso</t>
  </si>
  <si>
    <t>2.04.11.02.1102</t>
  </si>
  <si>
    <t>DEBITI VERSO PERSONALE COMPARTO PROFESSIONALE - COMPETENZE FISSE ESERCIZIO IN CORSO</t>
  </si>
  <si>
    <t>2.04.11.02.1103</t>
  </si>
  <si>
    <t>DEBITI VERSO PERSONALE COMPARTO TECNICO - COMPETENZE FISSE ESERCIZIO IN CORSO</t>
  </si>
  <si>
    <t>2.04.11.02.1104</t>
  </si>
  <si>
    <t>DEBITI VERSO PERSONALE COMPARTO AMMINISTRATIVO - COMPETENZE FISSE ESERCIZIO IN CORSO</t>
  </si>
  <si>
    <t>2.04.11.02.1201</t>
  </si>
  <si>
    <t>DEBITI VERSO PERSONALE COMPARTO SANTARIO - RETRIBUZIONE DI POSIZIONE ESERCIZIO IN CORSO</t>
  </si>
  <si>
    <t>Debiti verso personale comparto  - Retribuzione di posizione esercizio in corso</t>
  </si>
  <si>
    <t>2.04.11.02.1202</t>
  </si>
  <si>
    <t>DEBITI VERSO PERSONALE COMPARTO PROFESSIONALE - RETRIBUZIONE DI POSIZIONE ESERCIZIO IN CORSO</t>
  </si>
  <si>
    <t>2.04.11.02.1203</t>
  </si>
  <si>
    <t>DEBITI VERSO PERSONALE COMPARTO TECNICO - RETRIBUZIONE DI POSIZIONE ESERCIZIO IN CORSO</t>
  </si>
  <si>
    <t>2.04.11.02.1204</t>
  </si>
  <si>
    <t>DEBITI VERSO PERSONALE COMPARTO AMMINISTRATIVO - RETRIBUZIONE DI POSIZIONE ESERCIZIO IN CORSO</t>
  </si>
  <si>
    <t>2.04.11.02.1301</t>
  </si>
  <si>
    <t>DEBITI VERSO PERSONALE COMPARTO SANITARIO - INDENNITA DA PARTICOLARI CONDIZIONI DI LAVORO ESERCIZIO IN CORSO</t>
  </si>
  <si>
    <t>Debiti verso personale comparto - Indennità da particolari condizioni di lavoro esercizio in corso</t>
  </si>
  <si>
    <t>2.04.11.02.1302</t>
  </si>
  <si>
    <t>DEBITI VERSO PERSONALE COMPARTO PROFESSIONALE- INDENNITA DA PARTICOLARI CONDIZIONI DI LAVORO ESERCIZIO IN CORSO</t>
  </si>
  <si>
    <t>2.04.11.02.1303</t>
  </si>
  <si>
    <t>DEBITI VERSO PERSONALE COMPARTO TECNICO- INDENNITA DA PARTICOLARI CONDIZIONI DI LAVORO ESERCIZIO IN CORSO</t>
  </si>
  <si>
    <t>2.04.11.02.1304</t>
  </si>
  <si>
    <t>DEBITI VERSO PERSONALE COMPARTO AMMINISTRATIVO- INDENNITA DA PARTICOLARI CONDIZIONI DI LAVORO ESERCIZIO IN CORSO</t>
  </si>
  <si>
    <t>2.04.11.02.1401</t>
  </si>
  <si>
    <t>DEBITI VERSO PERSONALE COMPARTO SANIATIO - RETRIBUZIONE DI RISULTATO ESERCIZIO IN CORSO</t>
  </si>
  <si>
    <t>Debiti verso personale comparto - Retribuzione di risultato esercizio in corso</t>
  </si>
  <si>
    <t>2.04.11.02.1402</t>
  </si>
  <si>
    <t>DEBITI VERSO PERSONALE COMPARTO PROFESSIONALE- RETRIBUZIONE DI RISULTATO ESERCIZIO IN CORSO</t>
  </si>
  <si>
    <t>2.04.11.02.1403</t>
  </si>
  <si>
    <t>DEBITI VERSO PERSONALE COMPARTO TECNICO- RETRIBUZIONE DI RISULTATO ESERCIZIO IN CORSO</t>
  </si>
  <si>
    <t>2.04.11.02.1404</t>
  </si>
  <si>
    <t>DEBITI VERSO PERSONALE COMPARTO AMMINISTRATIVO- RETRIBUZIONE DI RISULTATO ESERCIZIO IN CORSO</t>
  </si>
  <si>
    <t>2.04.11.02.1501</t>
  </si>
  <si>
    <t>DEBITI VERSO PERSONALE COMPARTO SANITARIO- ALTRI COSTI DEL PERSONALE ESERCIZIO IN CORSO</t>
  </si>
  <si>
    <t>Debiti verso personale comparto - Altri costi del personale esercizio in corso</t>
  </si>
  <si>
    <t>2.04.11.02.1502</t>
  </si>
  <si>
    <t>DEBITI VERSO PERSONALE COMPARTO PROFESSIONALE - ALTRI COSTI DEL PERSONALE ESERCIZIO IN CORSO</t>
  </si>
  <si>
    <t>2.04.11.02.1503</t>
  </si>
  <si>
    <t>DEBITI VERSO PERSONALE COMPARTO TECNICO- ALTRI COSTI DEL PERSONALE ESERCIZIO IN CORSO</t>
  </si>
  <si>
    <t>2.04.11.02.1504</t>
  </si>
  <si>
    <t>DEBITI VERSO PERSONALE COMPARTO AMMINISTRATIVO  - ALTRI COSTI DEL PERSONALE ESERCIZIO IN CORSO</t>
  </si>
  <si>
    <t>2.04.11.02.1601</t>
  </si>
  <si>
    <t>Debiti verso personale comparto - Condizioni di lavoro e incarichi in corso</t>
  </si>
  <si>
    <t>2.04.11.02.1701</t>
  </si>
  <si>
    <t>Debiti verso personale comparto - Premialità e fasce in corso</t>
  </si>
  <si>
    <t>2.04.11.02.1801</t>
  </si>
  <si>
    <t>DEBITI VERSO PERSONALE DIRIGENTE PTA  - RETRIBUZIONE DI POSIZIONE ESERCIZIO IN CORSO</t>
  </si>
  <si>
    <t>2.04.11.02.1901</t>
  </si>
  <si>
    <t>DEBITI VERSO PERSONALE DIRIGENTE PTA  - RETRIBUZIONE DI RISULTATO ESERCIZIO IN CORSO</t>
  </si>
  <si>
    <t>2.04.11.02.2001</t>
  </si>
  <si>
    <t>DEBITI VERSO PERSONALE COMPARTO   - RETRIBUZIONE DEGLI INCARICHI PROGRESSIONI ECONOMICHE E INDENNITA' PROFESSIONALI  ESERCIZIO IN CORSO</t>
  </si>
  <si>
    <t>2.04.11.02.2101</t>
  </si>
  <si>
    <t>DEBITI VERSO PERSONALE COMPARTO   - RETRIBUZIONE PREMIALITA' E CONDIZIONI DI LAVORO  ESERCIZIO IN CORSO</t>
  </si>
  <si>
    <t>DEBITI VERSO PERSONALE RETRIBUZIONI ESERCIZI PRECEDENTI</t>
  </si>
  <si>
    <t>Debiti verso personale retribuzioni esercizi precedenti</t>
  </si>
  <si>
    <t>2.04.11.03.0101</t>
  </si>
  <si>
    <t>DEBITI VERSO PERSONALE DIRIGENTE MEDICO - COMPETENZE FISSE ESERCIZI 2007 E PREGRESSI</t>
  </si>
  <si>
    <t>Debiti verso personale dirigente medico - Competenze fisse esercizi precedenti</t>
  </si>
  <si>
    <t>2.04.11.03.0102</t>
  </si>
  <si>
    <t>DEBITI VERSO PERSONALE DIRIGENTE MEDICO - COMPETENZE FISSE ESERCIZIO 2008</t>
  </si>
  <si>
    <t>2.04.11.03.0103</t>
  </si>
  <si>
    <t>DEBITI VERSO PERSONALE DIRIGENTE MEDICO - COMPETENZE FISSE ESERCIZIO 2009 PRECEDENTI</t>
  </si>
  <si>
    <t>2.04.11.03.0104</t>
  </si>
  <si>
    <t>DEBITI VERSO PERSONALE DIRIGENTE MEDICO - COMPETENZE FISSE ESERCIZIO 2010</t>
  </si>
  <si>
    <t>2.04.11.03.0105</t>
  </si>
  <si>
    <t>DEBITI VERSO PERSONALE DIRIGENTE MEDICO - COMPETENZE FISSE ESERCIZIO 2011</t>
  </si>
  <si>
    <t>2.04.11.03.0106</t>
  </si>
  <si>
    <t>DEBITI VERSO PERSONALE DIRIGENTE MEDICO - COMPETENZE FISSE ESERCIZIO 2012</t>
  </si>
  <si>
    <t>2.04.11.03.0107</t>
  </si>
  <si>
    <t>DEBITI VERSO PERSONALE DIRIGENTE MEDICO - COMPETENZE FISSE ESERCIZIO 2013</t>
  </si>
  <si>
    <t>2.04.11.03.0201</t>
  </si>
  <si>
    <t>DEBITI VERSO PERSONALE DIRIGENTE MEDICO  - RETRIBUZIONE DI POSIZIONE ESERCIZIO 2008</t>
  </si>
  <si>
    <t>Debiti verso personale dirigente medico  - Retribuzione degli incarichi esercizi precedenti</t>
  </si>
  <si>
    <t>2.04.11.03.0202</t>
  </si>
  <si>
    <t>DEBITI VERSO PERSONALE DIRIGENTE MEDICO  - RETRIBUZIONE DI POSIZIONE ESERCIZIO 2009</t>
  </si>
  <si>
    <t>2.04.11.03.0203</t>
  </si>
  <si>
    <t>DEBITI VERSO PERSONALE DIRIGENTE MEDICO  - RETRIBUZIONE DI POSIZIONE ESERCIZIO 2010</t>
  </si>
  <si>
    <t>2.04.11.03.0204</t>
  </si>
  <si>
    <t>DEBITI PER RETRIB FONDI DIR. MEDICA ANNO 2011 ED ANTE</t>
  </si>
  <si>
    <t>2.04.11.03.0205</t>
  </si>
  <si>
    <t>DEBITI PER RETRIB FONDI DIR. MEDICA ANNO 2012</t>
  </si>
  <si>
    <t>2.04.11.03.0206</t>
  </si>
  <si>
    <t>DEBITI PER RETRIB FONDI DIR. MEDICA ANNO 2013</t>
  </si>
  <si>
    <t>2.04.11.03.0207</t>
  </si>
  <si>
    <t>DEBITI PER RETRIB FONDI DIR. MEDICA ANNO 2014</t>
  </si>
  <si>
    <t>2.04.11.03.0208</t>
  </si>
  <si>
    <t>DEBITI PER RETRIB FONDI DIR. MEDICA ANNO 2015</t>
  </si>
  <si>
    <t>2.04.11.03.0209</t>
  </si>
  <si>
    <t>DEBITI PER RETRIB FONDI DIR. MEDICA ANNO 2016</t>
  </si>
  <si>
    <t>2.04.11.03.0210</t>
  </si>
  <si>
    <t>DEBITI PER RETRIB FONDI DIR. MEDICA ANNO 2017</t>
  </si>
  <si>
    <t>2.04.11.03.0211</t>
  </si>
  <si>
    <t>DEBITI PER RETRIB FONDI DIR. MEDICA ANNO 2018</t>
  </si>
  <si>
    <t>2.04.11.03.0212</t>
  </si>
  <si>
    <t>DEBITI PER RETRIB FONDI DIR. MEDICA ANNO 2019</t>
  </si>
  <si>
    <t>2.04.11.03.0213</t>
  </si>
  <si>
    <t>DEBITI PER RETRIB FONDI DIR. MEDICA ANNO 2020</t>
  </si>
  <si>
    <t>2.04.11.03.0214</t>
  </si>
  <si>
    <t>DEBITI PER RETRIB FONDI DIR. MEDICA ANNO 2021</t>
  </si>
  <si>
    <t>2.04.11.03.0215</t>
  </si>
  <si>
    <t>DEBITI PER RETRIB FONDI DIR. MEDICA ANNO 2022</t>
  </si>
  <si>
    <t>2.04.11.03.0216</t>
  </si>
  <si>
    <t>DEBITI PER RETRIB FONDI DIR. MEDICA ANNO 2023</t>
  </si>
  <si>
    <t>2.04.11.03.0301</t>
  </si>
  <si>
    <t>DEBITI VERSO PERSONALE DIRIGENTE MEDICO - INDENNITA DA PARTICOLARI CONDIZIONI DI LAVORO ESERCIZIO 2008</t>
  </si>
  <si>
    <t>Debiti verso personale dirigente medico - Indennità da particolari condizioni di lavoro esercizi precedenti</t>
  </si>
  <si>
    <t>2.04.11.03.0302</t>
  </si>
  <si>
    <t>DEBITI VERSO PERSONALE DIRIGENTE MEDICO - INDENNITA DA PARTICOLARI CONDIZIONI DI LAVORO ESERCIZIO 2009</t>
  </si>
  <si>
    <t>2.04.11.03.0303</t>
  </si>
  <si>
    <t>DEBITI VERSO PERSONALE DIRIGENTE MEDICO - INDENNITA DA PARTICOLARI CONDIZIONI DI LAVORO ESERCIZIO 2010</t>
  </si>
  <si>
    <t>2.04.11.03.0304</t>
  </si>
  <si>
    <t>DEBITI VERSO PERSONALE DIRIGENTE MEDICO - INDENNITA DA PARTICOLARI CONDIZIONI DI LAVORO ESERCIZIO 2011</t>
  </si>
  <si>
    <t>2.04.11.03.0305</t>
  </si>
  <si>
    <t>DEBITI VERSO PERSONALE DIRIGENTE MEDICO - INDENNITA DA PARTICOLARI CONDIZIONI DI LAVORO ESERCIZI 2012</t>
  </si>
  <si>
    <t>2.04.11.03.0401</t>
  </si>
  <si>
    <t>DEBITI VERSO PERSONALE DIRIGENTE MEDICO - RETRIBUZIONE DI RISULTATO ESERCIZIO 2008</t>
  </si>
  <si>
    <t>Debiti verso personale dirigente medico - Retribuzione di risultato esercizi precedenti</t>
  </si>
  <si>
    <t>2.04.11.03.0402</t>
  </si>
  <si>
    <t>DEBITI VERSO PERSONALE DIRIGENTE MEDICO - RETRIBUZIONE DI RISULTATO ESERCIZIO 2009</t>
  </si>
  <si>
    <t>2.04.11.03.0403</t>
  </si>
  <si>
    <t>DEBITI VERSO PERSONALE DIRIGENTE MEDICO - RETRIBUZIONE DI RISULTATO ESERCIZIO 2010</t>
  </si>
  <si>
    <t>2.04.11.03.0404</t>
  </si>
  <si>
    <t>DEBITI VERSO PERSONALE DIRIGENTE MEDICO - RETRIBUZIONE DI RISULTATO ESERCIZIO 2011</t>
  </si>
  <si>
    <t>2.04.11.03.0405</t>
  </si>
  <si>
    <t>DEBITI VERSO PERSONALE DIRIGENTE MEDICO - RETRIBUZIONE DI RISULTATO ESERCIZIO 2012</t>
  </si>
  <si>
    <t>2.04.11.03.0501</t>
  </si>
  <si>
    <t>DEBITI VERSO PERSONALE DIRIGENTE MEDICO - ALTRI COSTI DEL PERSONALE ESERCIZIO 2008</t>
  </si>
  <si>
    <t>Debiti verso personale dirigente medico - Altri costi del personale esercizi precedenti</t>
  </si>
  <si>
    <t>2.04.11.03.0502</t>
  </si>
  <si>
    <t>DEBITI VERSO PERSONALE DIRIGENTE MEDICO - ALTRI COSTI DEL PERSONALE ESERCIZIO 2009</t>
  </si>
  <si>
    <t>2.04.11.03.0503</t>
  </si>
  <si>
    <t>DEBITI VERSO PERSONALE DIRIGENTE MEDICO - ALTRI COSTI DEL PERSONALE ESERCIZIO 2010</t>
  </si>
  <si>
    <t>2.04.11.03.0504</t>
  </si>
  <si>
    <t>DEBITI VERSO PERSONALE DIRIGENTE MEDICO - ALTRI COSTI DEL PERSONALE ESERCIZIO 2011</t>
  </si>
  <si>
    <t>2.04.11.03.0505</t>
  </si>
  <si>
    <t>DEBITI VERSO PERSONALE DIRIGENTE MEDICO - ALTRI COSTI DEL PERSONALE ESERCIZIO 2012</t>
  </si>
  <si>
    <t>2.04.11.03.0601</t>
  </si>
  <si>
    <t>DEBITI VERSO PERSONALE  DIRIGENTE SANITARIO NON MEDICO - COMPETENZE FISSE ESERCIZI 2008</t>
  </si>
  <si>
    <t>Debiti verso personale  dirigente non medico - Competenze fisse esercizi precedenti</t>
  </si>
  <si>
    <t>2.04.11.03.0602</t>
  </si>
  <si>
    <t>DEBITI VERSO PERSONALE  DIRIGENTE SANITARIO NON MEDICO - COMPETENZE FISSE ESERCIZI 2009</t>
  </si>
  <si>
    <t>2.04.11.03.0603</t>
  </si>
  <si>
    <t>DEBITI VERSO PERSONALE  DIRIGENTE SANITARIO NON MEDICO - COMPETENZE FISSE ESERCIZI 2010</t>
  </si>
  <si>
    <t>2.04.11.03.0604</t>
  </si>
  <si>
    <t>DEBITI VERSO PERSONALE  DIRIGENTE SANITARIO NON MEDICO - COMPETENZE FISSE ESERCIZI 2011</t>
  </si>
  <si>
    <t>2.04.11.03.0605</t>
  </si>
  <si>
    <t>DEBITI VERSO PERSONALE  DIRIGENTE SANITARIO NON MEDICO - COMPETENZE FISSE ESERCIZI 2012</t>
  </si>
  <si>
    <t>2.04.11.03.0606</t>
  </si>
  <si>
    <t>DEBITI VERSO PERSONALE  DIRIGENTE RUOLO PROFESSIONALE - COMPETENZE FISSE ESERCIZIO 2008</t>
  </si>
  <si>
    <t>2.04.11.03.0607</t>
  </si>
  <si>
    <t>DEBITI VERSO PERSONALE  DIRIGENTE RUOLO PROFESSIONALE - COMPETENZE FISSE ESERCIZIO 2009</t>
  </si>
  <si>
    <t>2.04.11.03.0608</t>
  </si>
  <si>
    <t>DEBITI VERSO PERSONALE  DIRIGENTE RUOLO PROFESSIONALE - COMPETENZE FISSE ESERCIZIO 2010</t>
  </si>
  <si>
    <t>2.04.11.03.0609</t>
  </si>
  <si>
    <t>DEBITI VERSO PERSONALE  DIRIGENTE RUOLO PROFESSIONALE - COMPETENZE FISSE ESERCIZIO 2011</t>
  </si>
  <si>
    <t>2.04.11.03.0610</t>
  </si>
  <si>
    <t>DEBITI VERSO PERSONALE  DIRIGENTE RUOLO PROFESSIONALE - COMPETENZE FISSE ESERCIZIO 2012</t>
  </si>
  <si>
    <t>2.04.11.03.0611</t>
  </si>
  <si>
    <t>DEBITI VERSO PERSONALE  DIRIGENTE RUOLO TECNICO - COMPETENZE FISSE ESERCIZIO 2008</t>
  </si>
  <si>
    <t>2.04.11.03.0612</t>
  </si>
  <si>
    <t>DEBITI VERSO PERSONALE  DIRIGENTE RUOLO TECNICO - COMPETENZE FISSE ESERCIZIO 2009</t>
  </si>
  <si>
    <t>2.04.11.03.0613</t>
  </si>
  <si>
    <t>DEBITI VERSO PERSONALE  DIRIGENTE RUOLO TECNICO - COMPETENZE FISSE ESERCIZIO 2010</t>
  </si>
  <si>
    <t>2.04.11.03.0614</t>
  </si>
  <si>
    <t>DEBITI VERSO PERSONALE  DIRIGENTE RUOLO TECNICO - COMPETENZE FISSE ESERCIZIO 2011</t>
  </si>
  <si>
    <t>2.04.11.03.0615</t>
  </si>
  <si>
    <t>DEBITI VERSO PERSONALE  DIRIGENTE RUOLO TECNICO - COMPETENZE FISSE ESERCIZIO 2012</t>
  </si>
  <si>
    <t>2.04.11.03.0616</t>
  </si>
  <si>
    <t>DEBITI VERSO PERSONALE  DIRIGENTE NON MEDICO - COMPETENZE FISSE ESERCIZIO 2008</t>
  </si>
  <si>
    <t>2.04.11.03.0617</t>
  </si>
  <si>
    <t>DEBITI VERSO PERSONALE  DIRIGENTE NON MEDICO - COMPETENZE FISSE ESERCIZIO 2009</t>
  </si>
  <si>
    <t>2.04.11.03.0618</t>
  </si>
  <si>
    <t>DEBITI VERSO PERSONALE  DIRIGENTE NON MEDICO - COMPETENZE FISSE ESERCIZIO 2010</t>
  </si>
  <si>
    <t>2.04.11.03.0619</t>
  </si>
  <si>
    <t>DEBITI VERSO PERSONALE  DIRIGENTE NON MEDICO - COMPETENZE FISSE ESERCIZIO 2011</t>
  </si>
  <si>
    <t>2.04.11.03.0620</t>
  </si>
  <si>
    <t>DEBITI VERSO PERSONALE  DIRIGENTE NON MEDICO - COMPETENZE FISSE ESERCIZIO 2012</t>
  </si>
  <si>
    <t>2.04.11.03.0621</t>
  </si>
  <si>
    <t>DEBITI VERSO PERSONALE  DIRIGENTE SANITARIO NON MEDICO - COMPETENZE FISSE ESERCIZI 2013</t>
  </si>
  <si>
    <t>2.04.11.03.0622</t>
  </si>
  <si>
    <t>DEBITI VERSO PERSONALE  DIRIGENTE RUOLO PROFESSIONALE - COMPETENZE FISSE ESERCIZIO 2013</t>
  </si>
  <si>
    <t>2.04.11.03.0623</t>
  </si>
  <si>
    <t>DEBITI VERSO PERSONALE  DIRIGENTE RUOLO TECNICO - COMPETENZE FISSE ESERCIZIO 2013</t>
  </si>
  <si>
    <t>2.04.11.03.0624</t>
  </si>
  <si>
    <t>DEBITI VERSO PERSONALE  DIRIGENTE NON MEDICO - COMPETENZE FISSE ESERCIZIO 2013</t>
  </si>
  <si>
    <t>2.04.11.03.0701</t>
  </si>
  <si>
    <t>DEBITI VERSO PERSONALE  DIRIGENTE SANITARIO NON MEDICO - RETRIBUZIONE DI POSIZIONE ESERCIZIO 2008</t>
  </si>
  <si>
    <t>Debiti verso personale dirigente non medico  - Retribuzione degli incarichi esercizi precedenti</t>
  </si>
  <si>
    <t>2.04.11.03.0702</t>
  </si>
  <si>
    <t>DEBITI VERSO PERSONALE  DIRIGENTE SANITARIO NON MEDICO - RETRIBUZIONE DI POSIZIONE ESERCIZIO 2009</t>
  </si>
  <si>
    <t>2.04.11.03.0703</t>
  </si>
  <si>
    <t>DEBITI VERSO PERSONALE  DIRIGENTE SANITARIO NON MEDICO - RETRIBUZIONE DI POSIZIONE ESERCIZIO 2010</t>
  </si>
  <si>
    <t>2.04.11.03.0704</t>
  </si>
  <si>
    <t>DEBITI VERSO PERSONALE  DIRIGENTE SANITARIO NON MEDICO - RETRIBUZIONE DI POSIZIONE ESERCIZIO 2011</t>
  </si>
  <si>
    <t>2.04.11.03.0705</t>
  </si>
  <si>
    <t>DEBITI VERSO PERSONALE  DIRIGENTE SANITARIO NON MEDICO - RETRIBUZIONE DI POSIZIONE ESERCIZIO 2012</t>
  </si>
  <si>
    <t>2.04.11.03.0706</t>
  </si>
  <si>
    <t>DEBITI VERSO PERSONALE  DIRIGENTE RUOLO PROFESSIONALE -RETRIBUZIONE DI POSIZIONE ESERCIZIO 2008</t>
  </si>
  <si>
    <t>2.04.11.03.0707</t>
  </si>
  <si>
    <t>DEBITI VERSO PERSONALE  DIRIGENTE RUOLO PROFESSIONALE - RETRIBUZIONE DI POSIZIONE ESERCIZIO 2009</t>
  </si>
  <si>
    <t>2.04.11.03.0708</t>
  </si>
  <si>
    <t>DEBITI VERSO PERSONALE  DIRIGENTE RUOLO PROFESSIONALE - RETRIBUZIONE DI POSIZIONE ESERCIZIO 2010</t>
  </si>
  <si>
    <t>2.04.11.03.0709</t>
  </si>
  <si>
    <t>DEBITI VERSO PERSONALE  DIRIGENTE RUOLO PROFESSIONALE - RETRIBUZIONE DI POSIZIONE ESERCIZIO 2011</t>
  </si>
  <si>
    <t>2.04.11.03.0710</t>
  </si>
  <si>
    <t>DEBITI VERSO PERSONALE  DIRIGENTE RUOLO PROFESSIONALE - RETRIBUZIONE DI POSIZIONE ESERCIZIO 2012</t>
  </si>
  <si>
    <t>2.04.11.03.0711</t>
  </si>
  <si>
    <t>DEBITI VERSO PERSONALE  DIRIGENTE RUOLO TECNICO - RETRIBUZIONE DI POSIZIONE ESERCIZIO 2008</t>
  </si>
  <si>
    <t>2.04.11.03.0712</t>
  </si>
  <si>
    <t>DEBITI VERSO PERSONALE  DIRIGENTE RUOLO TECNICO - RETRIBUZIONE DI POSIZIONE ESERCIZIO 2009</t>
  </si>
  <si>
    <t>2.04.11.03.0713</t>
  </si>
  <si>
    <t>DEBITI VERSO PERSONALE  DIRIGENTE RUOLO TECNICO - RETRIBUZIONE DI POSIZIONE ESERCIZIO 2010</t>
  </si>
  <si>
    <t>2.04.11.03.0714</t>
  </si>
  <si>
    <t>DEBITI VERSO PERSONALE  DIRIGENTE RUOLO TECNICO - RETRIBUZIONE DI POSIZIONE ESERCIZIO 2011</t>
  </si>
  <si>
    <t>2.04.11.03.0715</t>
  </si>
  <si>
    <t>DEBITI VERSO PERSONALE  DIRIGENTE RUOLO TECNICO - RETRIBUZIONE DI POSIZIONE ESERCIZIO 2012</t>
  </si>
  <si>
    <t>2.04.11.03.0716</t>
  </si>
  <si>
    <t>DEBITI VERSO PERSONALE  DIRIGENTE RUOLO AMMINISTRATIVO  - RETRIBUZIONE DI POSIZIONE ESERCIZIO 2008</t>
  </si>
  <si>
    <t>2.04.11.03.0717</t>
  </si>
  <si>
    <t>DEBITI VERSO PERSONALE  DIRIGENTE RUOLO AMMINISTRATIVO - RETRIBUZIONE DI POSIZIONE ESERCIZIO 2009</t>
  </si>
  <si>
    <t>2.04.11.03.0718</t>
  </si>
  <si>
    <t>DEBITI VERSO PERSONALE  DIRIGENTE RUOLO AMMINISTRATIVO - RETRIBUZIONE DI POSIZIONE ESERCIZIO 2010</t>
  </si>
  <si>
    <t>2.04.11.03.0719</t>
  </si>
  <si>
    <t>DEBITI VERSO PERSONALE  DIRIGENTE RUOLO AMMINISTRATIVO - RETRIBUZIONE DI POSIZIONE ESERCIZIO 2011</t>
  </si>
  <si>
    <t>2.04.11.03.0720</t>
  </si>
  <si>
    <t>DEBITI VERSO PERSONALE  DIRIGENTE RUOLO AMMINISTRATIVO - RETRIBUZIONE DI POSIZIONE ESERCIZIO 2012</t>
  </si>
  <si>
    <t>2.04.11.03.0801</t>
  </si>
  <si>
    <t>DEBITI VERSO PERSONALE  DIRIGENTE SANITARIO NON MEDICO -INDENNITA DA PARTICOLARI CONDIZIONI DI LAVORO ESERCIZIO 2008</t>
  </si>
  <si>
    <t>Debiti verso personale dirigente non medico - Indennità da particolari condizioni di lavoro esercizi precedenti</t>
  </si>
  <si>
    <t>2.04.11.03.0802</t>
  </si>
  <si>
    <t>DEBITI VERSO PERSONALE  DIRIGENTE SANITARIO NON MEDICO - INDENNITA DAPARTICOLARI CONDIZIONI DI LAVORO ESERCIZIO 2009</t>
  </si>
  <si>
    <t>2.04.11.03.0803</t>
  </si>
  <si>
    <t>DEBITI VERSO PERSONALE  DIRIGENTE SANITARIO NON MEDICO - INDENNITA DAPARTICOLARI CONDIZIONI DI LAVORO ESERCIZIO 2010</t>
  </si>
  <si>
    <t>2.04.11.03.0804</t>
  </si>
  <si>
    <t>DEBITI VERSO PERSONALE  DIRIGENTE SANITARIO NON MEDICO - INDENNITA DAPARTICOLARI CONDIZIONI DI LAVORO ESERCIZIO 2011</t>
  </si>
  <si>
    <t>2.04.11.03.0805</t>
  </si>
  <si>
    <t>DEBITI VERSO PERSONALE  DIRIGENTE SANITARIO NON MEDICO - INDENNITA DAPARTICOLARI CONDIZIONI DI LAVORO ESERCIZIO 2012</t>
  </si>
  <si>
    <t>2.04.11.03.0806</t>
  </si>
  <si>
    <t>DEBITI VERSO PERSONALE  DIRIGENTE RUOLO PROFESSIONALE -INDENNITA DA PARTICOLARI CONDIZIONI DI LAVORO ESERCIZIO 2008</t>
  </si>
  <si>
    <t>2.04.11.03.0807</t>
  </si>
  <si>
    <t>DEBITI VERSO PERSONALE  DIRIGENTE RUOLO PROFESSIONALE - INDENNITA DA PARTICOLARI CONDIZIONI DI LAVORO ESERCIZIO 2009</t>
  </si>
  <si>
    <t>2.04.11.03.0808</t>
  </si>
  <si>
    <t>DEBITI VERSO PERSONALE  DIRIGENTE RUOLO PROFESSIONALE - INDENNITA DA PARTICOLARI CONDIZIONI DI LAVORO ESERCIZIO 2010</t>
  </si>
  <si>
    <t>2.04.11.03.0809</t>
  </si>
  <si>
    <t>DEBITI VERSO PERSONALE  DIRIGENTE RUOLO PROFESSIONALE - INDENNITA DA PARTICOLARI CONDIZIONI DI LAVORO ESERCIZIO 2011</t>
  </si>
  <si>
    <t>2.04.11.03.0810</t>
  </si>
  <si>
    <t>DEBITI VERSO PERSONALE  DIRIGENTE RUOLO PROFESSIONALE - INDENNITA DA PARTICOLARI CONDIZIONI DI LAVORO ESERCIZIO 2012</t>
  </si>
  <si>
    <t>2.04.11.03.0811</t>
  </si>
  <si>
    <t>DEBITI VERSO PERSONALE  DIRIGENTE RUOLO TECNICO - INDENNITA DA PARTICOLARI CONDIZIONI DI LAVORO ESERCIZIO 2008</t>
  </si>
  <si>
    <t>2.04.11.03.0812</t>
  </si>
  <si>
    <t>DEBITI VERSO PERSONALE  DIRIGENTE RUOLO TECNICO - INDENNITA DA PARTICOLARI CONDIZIONI DI LAVORO ESERCIZIO 2009</t>
  </si>
  <si>
    <t>2.04.11.03.0813</t>
  </si>
  <si>
    <t>DEBITI VERSO PERSONALE  DIRIGENTE RUOLO TECNICO - INDENNITA DA PARTICOLARI CONDIZIONI DI LAVORO ESERCIZIO 2010</t>
  </si>
  <si>
    <t>2.04.11.03.0814</t>
  </si>
  <si>
    <t>DEBITI VERSO PERSONALE  DIRIGENTE RUOLO TECNICO - INDENNITA DA PARTICOLARI CONDIZIONI DI LAVORO ESERCIZIO 2011</t>
  </si>
  <si>
    <t>2.04.11.03.0815</t>
  </si>
  <si>
    <t>DEBITI VERSO PERSONALE  DIRIGENTE RUOLO TECNICO - INDENNITA DA PARTICOLARI CONDIZIONI DI LAVORO ESERCIZIO 2012</t>
  </si>
  <si>
    <t>2.04.11.03.0816</t>
  </si>
  <si>
    <t>DEBITI VERSO PERSONALE  DIRIGENTE RUOLO AMMINISTRATIVO  - INDENNITA DA PARTICOLARI CONDIZIONI DI LAVORO ESERCIZIO 2008</t>
  </si>
  <si>
    <t>2.04.11.03.0817</t>
  </si>
  <si>
    <t>DEBITI VERSO PERSONALE  DIRIGENTE RUOLO AMMINISTRATIVO - INDENNITA DAPARTICOLARI CONDIZIONI DI LAVORO ESERCIZIO 2009</t>
  </si>
  <si>
    <t>2.04.11.03.0818</t>
  </si>
  <si>
    <t>DEBITI VERSO PERSONALE  DIRIGENTE RUOLO AMMINISTRATIVO - INDENNITA DAPARTICOLARI CONDIZIONI DI LAVORO ESERCIZIO 2010</t>
  </si>
  <si>
    <t>2.04.11.03.0819</t>
  </si>
  <si>
    <t>DEBITI VERSO PERSONALE  DIRIGENTE RUOLO AMMINISTRATIVO - INDENNITA DAPARTICOLARI CONDIZIONI DI LAVORO ESERCIZIO 2011</t>
  </si>
  <si>
    <t>2.04.11.03.0820</t>
  </si>
  <si>
    <t>DEBITI VERSO PERSONALE  DIRIGENTE RUOLO AMMINISTRATIVO - INDENNITA DAPARTICOLARI CONDIZIONI DI LAVORO ESERCIZIO 2012</t>
  </si>
  <si>
    <t>2.04.11.03.0901</t>
  </si>
  <si>
    <t>DEBITI VERSO PERSONALE  DIRIGENTE SANITARIO NON MEDICO -RETRIBUZIONE DI RISULTATO ESERCIZIO 2008</t>
  </si>
  <si>
    <t>Debiti verso personale dirigente non medico - Retribuzione di risultato esercizi precedenti</t>
  </si>
  <si>
    <t>2.04.11.03.0902</t>
  </si>
  <si>
    <t>DEBITI VERSO PERSONALE  DIRIGENTE SANITARIO NON MEDICO -RETRIBUZIONE DI RISULTATO ESERCIZIO 2009</t>
  </si>
  <si>
    <t>2.04.11.03.0903</t>
  </si>
  <si>
    <t>DEBITI VERSO PERSONALE  DIRIGENTE SANITARIO NON MEDICO - RETRIBUZIONE DI RISULTATO ESERCIZIO 2010</t>
  </si>
  <si>
    <t>2.04.11.03.0904</t>
  </si>
  <si>
    <t>DEBITI VERSO PERSONALE  DIRIGENTE SANITARIO NON MEDICO -RETRIBUZIONE DI RISULTATO ESERCIZIO 2011</t>
  </si>
  <si>
    <t>2.04.11.03.0905</t>
  </si>
  <si>
    <t>DEBITI VERSO PERSONALE  DIRIGENTE SANITARIO NON MEDICO - RETRIBUZIONE DI RISULTATO ESERCIZIO 2012</t>
  </si>
  <si>
    <t>2.04.11.03.0906</t>
  </si>
  <si>
    <t>DEBITI VERSO PERSONALE  DIRIGENTE RUOLO PROFESSIONALE -RETRIBUZIONE DI RISULTATO ESERCIZIO 2008</t>
  </si>
  <si>
    <t>2.04.11.03.0907</t>
  </si>
  <si>
    <t>DEBITI VERSO PERSONALE  DIRIGENTE RUOLO PROFESSIONALE - RETRIBUZIONE DI RISULTATO ESERCIZIO 2009</t>
  </si>
  <si>
    <t>2.04.11.03.0908</t>
  </si>
  <si>
    <t>DEBITI VERSO PERSONALE  DIRIGENTE RUOLO PROFESSIONALE - RETRIBUZIONE DI RISULTATO ESERCIZIO 2010</t>
  </si>
  <si>
    <t>2.04.11.03.0909</t>
  </si>
  <si>
    <t>DEBITI VERSO PERSONALE  DIRIGENTE RUOLO PROFESSIONALE - RETRIBUZIONE DI RISULTATO ESERCIZIO 2011</t>
  </si>
  <si>
    <t>2.04.11.03.0910</t>
  </si>
  <si>
    <t>DEBITI VERSO PERSONALE  DIRIGENTE RUOLO PROFESSIONALE - RETRIBUZIONE DI RISULTATO ESERCIZIO 2012</t>
  </si>
  <si>
    <t>2.04.11.03.0911</t>
  </si>
  <si>
    <t>DEBITI VERSO PERSONALE  DIRIGENTE RUOLO TECNICO - RETRIBUZIONE DI RISULTATO ESERCIZIO 2008</t>
  </si>
  <si>
    <t>2.04.11.03.0912</t>
  </si>
  <si>
    <t>DEBITI VERSO PERSONALE  DIRIGENTE RUOLO TECNICO - RETRIBUZIONE DI RISULTATO ESERCIZIO 2009</t>
  </si>
  <si>
    <t>2.04.11.03.0913</t>
  </si>
  <si>
    <t>DEBITI VERSO PERSONALE  DIRIGENTE RUOLO TECNICO - RETRIBUZIONE DI RISULTATO ESERCIZIO 2010</t>
  </si>
  <si>
    <t>2.04.11.03.0914</t>
  </si>
  <si>
    <t>DEBITI VERSO PERSONALE  DIRIGENTE RUOLO TECNICO - RETRIBUZIONE DI RISULTATO ESERCIZIO 2011</t>
  </si>
  <si>
    <t>2.04.11.03.0915</t>
  </si>
  <si>
    <t>DEBITI VERSO PERSONALE  DIRIGENTE RUOLO TECNICO - RETRIBUZIONE DI RISULTATO ESERCIZIO 2012</t>
  </si>
  <si>
    <t>2.04.11.03.0916</t>
  </si>
  <si>
    <t>DEBITI VERSO PERSONALE  DIRIGENTE RUOLO AMMINISTRATIVO  - RETRIBUZIONE DI RISULTATO ESERCIZIO 2008</t>
  </si>
  <si>
    <t>2.04.11.03.0917</t>
  </si>
  <si>
    <t>DEBITI VERSO PERSONALE  DIRIGENTE RUOLO AMMINISTRATIVO - RETRIBUZIONE DI RISULTATO ESERCIZIO 2009</t>
  </si>
  <si>
    <t>2.04.11.03.0918</t>
  </si>
  <si>
    <t>DEBITI VERSO PERSONALE  DIRIGENTE RUOLO AMMINISTRATIVO - RETRIBUZIONE DI RISULTATO ESERCIZIO 2010</t>
  </si>
  <si>
    <t>2.04.11.03.0919</t>
  </si>
  <si>
    <t>DEBITI VERSO PERSONALE  DIRIGENTE RUOLO AMMINISTRATIVO - RETRIBUZIONE DI RISULTATO ESERCIZIO 2011</t>
  </si>
  <si>
    <t>2.04.11.03.0920</t>
  </si>
  <si>
    <t>DEBITI VERSO PERSONALE  DIRIGENTE RUOLO AMMINISTRATIVO - RETRIBUZIONE DI RISULTATO ESERCIZIO 2012</t>
  </si>
  <si>
    <t>2.04.11.03.1001</t>
  </si>
  <si>
    <t>DEBITI VERSO PERSONALE  DIRIGENTE SANITARIO NON MEDICO -ALTRI COSTI DEL PERSONALE ESERCIZIO 2008</t>
  </si>
  <si>
    <t>Debiti verso personale dirigente non medico - Altri costi del personale esercizi precedenti</t>
  </si>
  <si>
    <t>2.04.11.03.1002</t>
  </si>
  <si>
    <t>DEBITI VERSO PERSONALE  DIRIGENTE SANITARIO NON MEDICO -ALTRI COSTI DEL PERSONALE ESERCIZIO 2009</t>
  </si>
  <si>
    <t>2.04.11.03.1003</t>
  </si>
  <si>
    <t>DEBITI VERSO PERSONALE  DIRIGENTE SANITARIO NON MEDICO - ALTRI COSTI DEL PERSONALE ESERCIZIO 2010</t>
  </si>
  <si>
    <t>2.04.11.03.1004</t>
  </si>
  <si>
    <t>DEBITI VERSO PERSONALE  DIRIGENTE SANITARIO NON MEDICO -ALTRI COSTI DEL PERSONALE ESERCIZIO 2011</t>
  </si>
  <si>
    <t>2.04.11.03.1005</t>
  </si>
  <si>
    <t>DEBITI VERSO PERSONALE  DIRIGENTE SANITARIO NON MEDICO - ALTRI COSTI DEL PERSONALE ESERCIZIO 2012</t>
  </si>
  <si>
    <t>2.04.11.03.1006</t>
  </si>
  <si>
    <t>DEBITI VERSO PERSONALE  DIRIGENTE RUOLO PROFESSIONALE -ALTRI COSTI DEL PERSONALE ESERCIZIO 2008</t>
  </si>
  <si>
    <t>2.04.11.03.1007</t>
  </si>
  <si>
    <t>DEBITI VERSO PERSONALE  DIRIGENTE RUOLO PROFESSIONALE - ALTRI COSTI DEL PERSONALE ESERCIZIO 2009</t>
  </si>
  <si>
    <t>2.04.11.03.1008</t>
  </si>
  <si>
    <t>DEBITI VERSO PERSONALE  DIRIGENTE RUOLO PROFESSIONALE - ALTRI COSTI DEL PERSONALE ESERCIZIO 2010</t>
  </si>
  <si>
    <t>2.04.11.03.1009</t>
  </si>
  <si>
    <t>DEBITI VERSO PERSONALE  DIRIGENTE RUOLO PROFESSIONALE - ALTRI COSTI DEL PERSONALE ESERCIZIO 2011</t>
  </si>
  <si>
    <t>2.04.11.03.1010</t>
  </si>
  <si>
    <t>DEBITI VERSO PERSONALE  DIRIGENTE RUOLO PROFESSIONALE - ALTRI COSTI DEL PERSONALE ESERCIZIO 2012</t>
  </si>
  <si>
    <t>2.04.11.03.1011</t>
  </si>
  <si>
    <t>DEBITI VERSO PERSONALE  DIRIGENTE RUOLO TECNICO - ALTRI COSTI DEL PERSONALE ESERCIZIO 2008</t>
  </si>
  <si>
    <t>2.04.11.03.1012</t>
  </si>
  <si>
    <t>DEBITI VERSO PERSONALE  DIRIGENTE RUOLO TECNICO - ALTRI COSTI DEL PERSONALE ESERCIZIO 2009</t>
  </si>
  <si>
    <t>2.04.11.03.1013</t>
  </si>
  <si>
    <t>DEBITI VERSO PERSONALE  DIRIGENTE RUOLO TECNICO - ALTRI COSTI DEL PERSONALE ESERCIZIO 2010</t>
  </si>
  <si>
    <t>2.04.11.03.1014</t>
  </si>
  <si>
    <t>DEBITI VERSO PERSONALE  DIRIGENTE RUOLO TECNICO - ALTRI COSTI DEL PERSONALE ESERCIZIO 2011</t>
  </si>
  <si>
    <t>2.04.11.03.1015</t>
  </si>
  <si>
    <t>DEBITI VERSO PERSONALE  DIRIGENTE RUOLO TECNICO - ALTRI COSTI DEL PERSONALE ESERCIZIO 2012</t>
  </si>
  <si>
    <t>2.04.11.03.1016</t>
  </si>
  <si>
    <t>DEBITI VERSO PERSONALE  DIRIGENTE RUOLO AMMINISTRATIVO  - ALTRI COSTI DEL PERSONALE ESERCIZIO 2008</t>
  </si>
  <si>
    <t>2.04.11.03.1017</t>
  </si>
  <si>
    <t>DEBITI VERSO PERSONALE  DIRIGENTE RUOLO AMMINISTRATIVO - ALTRI COSTI DEL PERSONALE ESERCIZIO 2009</t>
  </si>
  <si>
    <t>2.04.11.03.1018</t>
  </si>
  <si>
    <t>DEBITI VERSO PERSONALE  DIRIGENTE RUOLO AMMINISTRATIVO - ALTRI COSTI DEL PERSONALE ESERCIZIO 2010</t>
  </si>
  <si>
    <t>2.04.11.03.1019</t>
  </si>
  <si>
    <t>DEBITI PER RETRIB FONDI DIR. SANITARIA ANNO 2011 ED ANTE</t>
  </si>
  <si>
    <t>2.04.11.03.1020</t>
  </si>
  <si>
    <t>DEBITI PER RETRIB FONDI DIR. SANITARIA ANNO 2012</t>
  </si>
  <si>
    <t>2.04.11.03.1021</t>
  </si>
  <si>
    <t>DEBITI PER RETRIB FONDI DIR. SANITARIA ANNO 2013</t>
  </si>
  <si>
    <t>2.04.11.03.1022</t>
  </si>
  <si>
    <t>DEBITI PER RETRIB FONDI DIR. SANITARIA ANNO 2014</t>
  </si>
  <si>
    <t>2.04.11.03.1023</t>
  </si>
  <si>
    <t>DEBITI PER RETRIB FONDI DIR. SANITARIA ANNO 2015</t>
  </si>
  <si>
    <t>2.04.11.03.1024</t>
  </si>
  <si>
    <t>DEBITI PER RETRIB FONDI DIR. A.T.P.ANNO 2011 ED ANTE</t>
  </si>
  <si>
    <t>2.04.11.03.1025</t>
  </si>
  <si>
    <t>DEBITI PER RETRIB FONDI DIR. A.T.P. ANNO 2012</t>
  </si>
  <si>
    <t>2.04.11.03.1026</t>
  </si>
  <si>
    <t>DEBITI PER RETRIB FONDI DIR. A.T.P. ANNO 2013</t>
  </si>
  <si>
    <t>2.04.11.03.1027</t>
  </si>
  <si>
    <t>DEBITI PER RETRIB FONDI DIR. A.T.P. ANNO 2014</t>
  </si>
  <si>
    <t>2.04.11.03.1028</t>
  </si>
  <si>
    <t>DEBITI PER RETRIB FONDI DIR. A.T.P.  ANNO 2015</t>
  </si>
  <si>
    <t>2.04.11.03.1029</t>
  </si>
  <si>
    <t>DEBITI PER RETRIB FONDI COMPARTO A.T.P.S. ANNO 2011 ED ANTE</t>
  </si>
  <si>
    <t>2.04.11.03.1030</t>
  </si>
  <si>
    <t>DEBITI PER RETRIB FONDI COMPARTO A.T.P.S. ANNO 2012</t>
  </si>
  <si>
    <t>2.04.11.03.1031</t>
  </si>
  <si>
    <t>DEBITI PER RETRIB FONDI COMPARTO A.T.P.S. ANNO 2013</t>
  </si>
  <si>
    <t>2.04.11.03.1032</t>
  </si>
  <si>
    <t>DEBITI PER RETRIB FONDI COMPARTO A.T.P.S. ANNO 2014</t>
  </si>
  <si>
    <t>2.04.11.03.1033</t>
  </si>
  <si>
    <t>DEBITI PER RETRIB FONDI COMPARTO A.T.P.S. ANNO 2015</t>
  </si>
  <si>
    <t>2.04.11.03.1034</t>
  </si>
  <si>
    <t>DEBITI PER RETRIB FONDI DIR. SANITARIA ANNO 2016</t>
  </si>
  <si>
    <t>2.04.11.03.1035</t>
  </si>
  <si>
    <t>DEBITI PER RETRIB FONDI DIR. A.T.P. ANNO 2016</t>
  </si>
  <si>
    <t>2.04.11.03.1036</t>
  </si>
  <si>
    <t>DEBITI PER RETRIB FONDI COMPARTO A.T.P.S. ANNO 2016</t>
  </si>
  <si>
    <t>2.04.11.03.1037</t>
  </si>
  <si>
    <t>DEBITI PER FONDI DIR. SANITARIA ANN0 2017</t>
  </si>
  <si>
    <t>2.04.11.03.1038</t>
  </si>
  <si>
    <t>DEBITI PER FONDI DIR. SANITARIA ANN0 2018</t>
  </si>
  <si>
    <t>2.04.11.03.1039</t>
  </si>
  <si>
    <t>DEBITI PER RETRIB FONDI DIR. A.T.P. ANNO 2018</t>
  </si>
  <si>
    <t>2.04.11.03.1040</t>
  </si>
  <si>
    <t>DEBITI PER RETRIB FONDI COMPARTO A.T.P.S ANNO 2018</t>
  </si>
  <si>
    <t>DEBITI PER RETRIB FONDI COMPARTOA.T.P.S ANNO 2018</t>
  </si>
  <si>
    <t>2.04.11.03.1041</t>
  </si>
  <si>
    <t>DEBITI PER RETRIB FONDI DIR. A.T.P. ANNO 2017</t>
  </si>
  <si>
    <t>2.04.11.03.1042</t>
  </si>
  <si>
    <t>DEBITI PER FONDI DIR. SANITARIA ANN0 2019</t>
  </si>
  <si>
    <t>2.04.11.03.1043</t>
  </si>
  <si>
    <t>DEBITI PER RETRIB FONDI DIR. A.T.P. ANNO 2019</t>
  </si>
  <si>
    <t>2.04.11.03.1044</t>
  </si>
  <si>
    <t>DEBITI PER RETRIB FONDI DIR. A.T.P. ANNO 2020</t>
  </si>
  <si>
    <t>2.04.11.03.1045</t>
  </si>
  <si>
    <t>DEBITI PER FONDI DIR. SANITARIA ANN0 2020</t>
  </si>
  <si>
    <t>2.04.11.03.1046</t>
  </si>
  <si>
    <t>DEBITI PER FONDI DIR. SANITARIA ANN0 2021</t>
  </si>
  <si>
    <t>2.04.11.03.1047</t>
  </si>
  <si>
    <t>DEBITI PER RETRIB FONDI DIR. A.T.P. ANNO 2021</t>
  </si>
  <si>
    <t>DEBITI PER FONDI DIR. A.T.P. ANN0 2021</t>
  </si>
  <si>
    <t>2.04.11.03.1048</t>
  </si>
  <si>
    <t>DEBITI PER FONDI DIR. SANITARIA ANN0 2022</t>
  </si>
  <si>
    <t>2.04.11.03.1049</t>
  </si>
  <si>
    <t>DEBITI PER FONDI DIR. A.T.P. ANNO 2022</t>
  </si>
  <si>
    <t>2.04.11.03.1050</t>
  </si>
  <si>
    <t>DEBITI PER FONDI DIR. SANITARIA ANN0 2023</t>
  </si>
  <si>
    <t>2.04.11.03.1051</t>
  </si>
  <si>
    <t>DEBITI PER FONDI DIR. A.T.P. ANNO 2023</t>
  </si>
  <si>
    <t>2.04.11.03.1101</t>
  </si>
  <si>
    <t>Debiti verso personale comparto - Competenze fisse esercizi precedenti</t>
  </si>
  <si>
    <t>2.04.11.03.1102</t>
  </si>
  <si>
    <t>DEBITI PER RETRIB FONDI COMPARTOA.T.P.S ANNO 2017</t>
  </si>
  <si>
    <t>2.04.11.03.1103</t>
  </si>
  <si>
    <t>DEBITI VERSO PERSONALE COMPARTO TECNICO - COMPETENZE FISSE ESERCIZIO 2008</t>
  </si>
  <si>
    <t>2.04.11.03.1104</t>
  </si>
  <si>
    <t>DEBITI VERSO PERSONALE COMPARTO AMINISTRATIVO - COMPETENZE FISSE ESERCIZIO 2008</t>
  </si>
  <si>
    <t>2.04.11.03.1105</t>
  </si>
  <si>
    <t>DEBITI VERSO PERSONALE COMPARTO SANITARIO - COMPETENZE FISSE ESERCIZIO 2009</t>
  </si>
  <si>
    <t>2.04.11.03.1106</t>
  </si>
  <si>
    <t>DEBITI VERSO PERSONALE COMPARTO PROFESSIONALE  - COMPETENZE FISSE ESERCIZIO 2009</t>
  </si>
  <si>
    <t>2.04.11.03.1107</t>
  </si>
  <si>
    <t>DEBITI VERSO PERSONALE COMPARTO TECNICO - COMPETENZE FISSE ESERCIZIO 2009</t>
  </si>
  <si>
    <t>2.04.11.03.1108</t>
  </si>
  <si>
    <t>DEBITI VERSO PERSONALE COMPARTO AMINISTRATIVO - COMPETENZE FISSE ESERCIZIO 2009</t>
  </si>
  <si>
    <t>2.04.11.03.1109</t>
  </si>
  <si>
    <t>DEBITI VERSO PERSONALE COMPARTO SANITARIO - COMPETENZE FISSE ESERCIZIO 2010</t>
  </si>
  <si>
    <t>2.04.11.03.1110</t>
  </si>
  <si>
    <t>DEBITI VERSO PERSONALE COMPARTO PROFESSIONALE  - COMPETENZE FISSE ESERCIZIO 2010</t>
  </si>
  <si>
    <t>2.04.11.03.1111</t>
  </si>
  <si>
    <t>DEBITI VERSO PERSONALE COMPARTO TECNICO - COMPETENZE FISSE ESERCIZIO 2010</t>
  </si>
  <si>
    <t>2.04.11.03.1112</t>
  </si>
  <si>
    <t>DEBITI VERSO PERSONALE COMPARTO AMINISTRATIVO - COMPETENZE FISSE ESERCIZIO 2010</t>
  </si>
  <si>
    <t>2.04.11.03.1113</t>
  </si>
  <si>
    <t>DEBITI VERSO PERSONALE COMPARTO SANITARIO - COMPETENZE FISSE ESERCIZIO 2011</t>
  </si>
  <si>
    <t>2.04.11.03.1114</t>
  </si>
  <si>
    <t>DEBITI VERSO PERSONALE COMPARTO PROFESSIONALE  - COMPETENZE FISSE ESERCIZIO 2011</t>
  </si>
  <si>
    <t>2.04.11.03.1115</t>
  </si>
  <si>
    <t>DEBITI VERSO PERSONALE COMPARTO TECNICO - COMPETENZE FISSE ESERCIZIO 2011</t>
  </si>
  <si>
    <t>2.04.11.03.1116</t>
  </si>
  <si>
    <t>DEBITI VERSO PERSONALE COMPARTO AMINISTRATIVO - COMPETENZE FISSE ESERCIZIO 2011</t>
  </si>
  <si>
    <t>2.04.11.03.1117</t>
  </si>
  <si>
    <t>DEBITI VERSO PERSONALE COMPARTO SANITARIO - COMPETENZE FISSE ESERCIZIO 2012</t>
  </si>
  <si>
    <t>2.04.11.03.1118</t>
  </si>
  <si>
    <t>DEBITI VERSO PERSONALE COMPARTO PROFESSIONALE  - COMPETENZE FISSE ESERCIZIO 2012</t>
  </si>
  <si>
    <t>2.04.11.03.1119</t>
  </si>
  <si>
    <t>DEBITI VERSO PERSONALE COMPARTO TECNICO - COMPETENZE FISSE ESERCIZIO 2012</t>
  </si>
  <si>
    <t>2.04.11.03.1120</t>
  </si>
  <si>
    <t>DEBITI VERSO PERSONALE COMPARTO AMINISTRATIVO - COMPETENZE FISSE ESERCIZIO 2012</t>
  </si>
  <si>
    <t>2.04.11.03.1121</t>
  </si>
  <si>
    <t>DEBITI VERSO PERSONALE COMPARTO SANITARIO - COMPETENZE FISSE ESERCIZIO 2013</t>
  </si>
  <si>
    <t>2.04.11.03.1122</t>
  </si>
  <si>
    <t>DEBITI VERSO PERSONALE COMPARTO PROFESSIONALE - COMPETENZE FISSE ESERCIZIO 2013</t>
  </si>
  <si>
    <t>2.04.11.03.1123</t>
  </si>
  <si>
    <t>DEBITI VERSO PERSONALE COMPARTO TECNICO - COMPETENZE FISSE ESERCIZIO 2013</t>
  </si>
  <si>
    <t>2.04.11.03.1124</t>
  </si>
  <si>
    <t>DEBITI VERSO PERSONALE COMPARTO AMMINISTRATIVO - COMPETENZE FISSE ESERCIZIO 2013</t>
  </si>
  <si>
    <t>2.04.11.03.1201</t>
  </si>
  <si>
    <t>Debiti verso personale comparto  - Retribuzione di posizione esercizi precedenti</t>
  </si>
  <si>
    <t>2.04.11.03.1202</t>
  </si>
  <si>
    <t>2.04.11.03.1203</t>
  </si>
  <si>
    <t>2.04.11.03.1204</t>
  </si>
  <si>
    <t>2.04.11.03.1205</t>
  </si>
  <si>
    <t>2.04.11.03.1206</t>
  </si>
  <si>
    <t>2.04.11.03.1207</t>
  </si>
  <si>
    <t>DEBITI PER RETRIB FONDI COMPARTOA.T.P.S ANNO 2019</t>
  </si>
  <si>
    <t>2.04.11.03.1208</t>
  </si>
  <si>
    <t>DEBITI PER RETRIB FONDI COMPARTOA.T.P.S ANNO 2020</t>
  </si>
  <si>
    <t>2.04.11.03.1209</t>
  </si>
  <si>
    <t>DEBITI PER RETRIB FONDI COMPARTOA.T.P.S ANNO 2021</t>
  </si>
  <si>
    <t>2.04.11.03.1210</t>
  </si>
  <si>
    <t>DEBITI PER RETRIB FONDI COMPARTO A.T.P.S ANNO 2022</t>
  </si>
  <si>
    <t>2.04.11.03.1211</t>
  </si>
  <si>
    <t>DEBITI PER RETRIB FONDI COMPARTO A.T.P.S ANNO 2023</t>
  </si>
  <si>
    <t>DEBITI VERSO PERSONALE COMPARTO TECNICO - RETRIBUZIONE DI POSIZIONE ESERCIZIO 2010</t>
  </si>
  <si>
    <t>2.04.11.03.1212</t>
  </si>
  <si>
    <t>DEBITI VERSO PERSONALE COMPARTO AMINISTRATIVO - RETRIBUZIONE DI POSIZIONE ESERCIZIO 2010</t>
  </si>
  <si>
    <t>2.04.11.03.1213</t>
  </si>
  <si>
    <t>DEBITI VERSO PERSONALE COMPARTO SANITARIO - RETRIBUZIONE DI POSIZIONE ESERCIZIO 2011</t>
  </si>
  <si>
    <t>2.04.11.03.1214</t>
  </si>
  <si>
    <t>DEBITI VERSO PERSONALE COMPARTO PROFESSIONALE  - RETRIBUZIONE DI POSIZIONE ESERCIZIO 2011</t>
  </si>
  <si>
    <t>2.04.11.03.1215</t>
  </si>
  <si>
    <t>DEBITI VERSO PERSONALE COMPARTO TECNICO - RETRIBUZIONE DI POSIZIONE ESERCIZIO 2011</t>
  </si>
  <si>
    <t>2.04.11.03.1216</t>
  </si>
  <si>
    <t>DEBITI VERSO PERSONALE COMPARTO AMINISTRATIVO - RETRIBUZIONE DI POSIZIONE ESERCIZIO 2011</t>
  </si>
  <si>
    <t>2.04.11.03.1217</t>
  </si>
  <si>
    <t>DEBITI VERSO PERSONALE COMPARTO SANITARIO - RETRIBUZIONE DI POSIZIONE ESERCIZIO 2012</t>
  </si>
  <si>
    <t>2.04.11.03.1218</t>
  </si>
  <si>
    <t>DEBITI VERSO PERSONALE COMPARTO PROFESSIONALE  - RETRIBUZIONE DI POSIZIONE ESERCIZIO 2012</t>
  </si>
  <si>
    <t>2.04.11.03.1219</t>
  </si>
  <si>
    <t>DEBITI VERSO PERSONALE COMPARTO TECNICO - RETRIBUZIONE DI POSIZIONE ESERCIZIO 2012</t>
  </si>
  <si>
    <t>2.04.11.03.1220</t>
  </si>
  <si>
    <t>DEBITI VERSO PERSONALE COMPARTO AMINISTRATIVO - RETRIBUZIONE DI POSIZIONE ESERCIZIO 2012</t>
  </si>
  <si>
    <t>2.04.11.03.1301</t>
  </si>
  <si>
    <t>DEBITI VERSO PERSONALE COMPARTO SANITARIO - INDENNITA DA PARTICOLARI CONDIZIONI DI LAVORO  ESERCIZIO 2008</t>
  </si>
  <si>
    <t>Debiti verso personale comparto - Indennità da particolari condizioni di lavoro esercizi precedenti</t>
  </si>
  <si>
    <t>2.04.11.03.1302</t>
  </si>
  <si>
    <t>DEBITI VERSO PERSONALE COMPARTO PROFESSIONALE  - INDENNITA DA PARTICOLARI CONDIZIONI DI LAVORO  ESERCIZIO 2008</t>
  </si>
  <si>
    <t>2.04.11.03.1303</t>
  </si>
  <si>
    <t>DEBITI VERSO PERSONALE COMPARTO TECNICO - INDENNITA DA PARTICOLARI CONDIZIONI DI LAVORO  ESERCIZIO 2008</t>
  </si>
  <si>
    <t>2.04.11.03.1304</t>
  </si>
  <si>
    <t>DEBITI VERSO PERSONALE COMPARTO AMINISTRATIVO - INDENNITA DA PARTICOLARI CONDIZIONI DI LAVORO  ESERCIZIO 2008</t>
  </si>
  <si>
    <t>2.04.11.03.1305</t>
  </si>
  <si>
    <t>DEBITI VERSO PERSONALE COMPARTO SANITARIO - INDENNITA DA PARTICOLARI CONDIZIONI DI LAVORO  ESERCIZIO 2009</t>
  </si>
  <si>
    <t>2.04.11.03.1306</t>
  </si>
  <si>
    <t>DEBITI VERSO PERSONALE COMPARTO PROFESSIONALE  - INDENNITA DA PARTICOLARI CONDIZIONI DI LAVORO  ESERCIZIO 2009</t>
  </si>
  <si>
    <t>2.04.11.03.1307</t>
  </si>
  <si>
    <t>DEBITI VERSO PERSONALE COMPARTO TECNICO - INDENNITA DA PARTICOLARI CONDIZIONI DI LAVORO  ESERCIZIO 2009</t>
  </si>
  <si>
    <t>2.04.11.03.1308</t>
  </si>
  <si>
    <t>DEBITI VERSO PERSONALE COMPARTO AMINISTRATIVO - INDENNITA DA PARTICOLARI CONDIZIONI DI LAVORO  ESERCIZIO 2009</t>
  </si>
  <si>
    <t>2.04.11.03.1309</t>
  </si>
  <si>
    <t>DEBITI VERSO PERSONALE COMPARTO SANITARIO - INDENNITA DA PARTICOLARI CONDIZIONI DI LAVORO  ESERCIZIO 2010</t>
  </si>
  <si>
    <t>2.04.11.03.1310</t>
  </si>
  <si>
    <t>DEBITI VERSO PERSONALE COMPARTO PROFESSIONALE  - INDENNITA DA PARTICOLARI CONDIZIONI DI LAVORO  ESERCIZIO 2010</t>
  </si>
  <si>
    <t>2.04.11.03.1311</t>
  </si>
  <si>
    <t>DEBITI VERSO PERSONALE COMPARTO TECNICO - INDENNITA DA PARTICOLARI CONDIZIONI DI LAVORO  ESERCIZIO 2010</t>
  </si>
  <si>
    <t>2.04.11.03.1312</t>
  </si>
  <si>
    <t>DEBITI VERSO PERSONALE COMPARTO AMINISTRATIVO - INDENNITA DA PARTICOLARI CONDIZIONI DI LAVORO  ESERCIZIO 2010</t>
  </si>
  <si>
    <t>2.04.11.03.1313</t>
  </si>
  <si>
    <t>DEBITI VERSO PERSONALE COMPARTO SANITARIO - INDENNITA DA PARTICOLARI CONDIZIONI DI LAVORO  ESERCIZIO 2011</t>
  </si>
  <si>
    <t>2.04.11.03.1314</t>
  </si>
  <si>
    <t>DEBITI VERSO PERSONALE COMPARTO PROFESSIONALE  - INDENNITA DA PARTICOLARI CONDIZIONI DI LAVORO  ESERCIZIO 2011</t>
  </si>
  <si>
    <t>2.04.11.03.1315</t>
  </si>
  <si>
    <t>DEBITI VERSO PERSONALE COMPARTO TECNICO - INDENNITA DA PARTICOLARI CONDIZIONI DI LAVORO  ESERCIZIO 2011</t>
  </si>
  <si>
    <t>2.04.11.03.1316</t>
  </si>
  <si>
    <t>DEBITI VERSO PERSONALE COMPARTO AMINISTRATIVO - INDENNITA DA PARTICOLARI CONDIZIONI DI LAVORO  ESERCIZIO 2011</t>
  </si>
  <si>
    <t>2.04.11.03.1317</t>
  </si>
  <si>
    <t>DEBITI VERSO PERSONALE COMPARTO SANITARIO - INDENNITA DA PARTICOLARI CONDIZIONI DI LAVORO  ESERCIZIO 2012&amp;#10</t>
  </si>
  <si>
    <t>2.04.11.03.1318</t>
  </si>
  <si>
    <t>DEBITI VERSO PERSONALE COMPARTO PROFESSIONALE  - INDENNITA DA PARTICOLARI CONDIZIONI DI LAVORO  ESERCIZIO 2012&amp;#10</t>
  </si>
  <si>
    <t>2.04.11.03.1319</t>
  </si>
  <si>
    <t>DEBITI VERSO PERSONALE COMPARTO TECNICO - INDENNITA DA PARTICOLARI CONDIZIONI DI LAVORO  ESERCIZIO 2012&amp;#10</t>
  </si>
  <si>
    <t>2.04.11.03.1320</t>
  </si>
  <si>
    <t>DEBITI VERSO PERSONALE COMPARTO AMINISTRATIVO - INDENNITA DA PARTICOLARI CONDIZIONI DI LAVORO  ESERCIZIO 2012&amp;#10</t>
  </si>
  <si>
    <t>2.04.11.03.1401</t>
  </si>
  <si>
    <t>DEBITI VERSO PERSONALE COMPARTO SANITARIO - RETRIBUZIONE DI RISULTATO  ESERCIZIO 2008</t>
  </si>
  <si>
    <t>Debiti verso personale comparto - Retribuzione di risultato esercizi precedenti</t>
  </si>
  <si>
    <t>2.04.11.03.1402</t>
  </si>
  <si>
    <t>DEBITI VERSO PERSONALE COMPARTO PROFESSIONALE  - RETRIBUZIONE DI RISULTATO  ESERCIZIO 2008</t>
  </si>
  <si>
    <t>2.04.11.03.1404</t>
  </si>
  <si>
    <t>DEBITI VERSO PERSONALE COMPARTO AMINISTRATIVO - RETRIBUZIONE DI RISULTATO  ESERCIZIO 2008</t>
  </si>
  <si>
    <t>2.04.11.03.1406</t>
  </si>
  <si>
    <t>DEBITI VERSO PERSONALE COMPARTO PROFESSIONALE  - RETRIBUZIONE DI RISULTATO  ESERCIZIO 2009</t>
  </si>
  <si>
    <t>2.04.11.03.1407</t>
  </si>
  <si>
    <t>DEBITI VERSO PERSONALE COMPARTO TECNICO - RETRIBUZIONE DI RISULTATO  ESERCIZIO 2009</t>
  </si>
  <si>
    <t>2.04.11.03.1408</t>
  </si>
  <si>
    <t>DEBITI VERSO PERSONALE COMPARTO AMINISTRATIVO - RETRIBUZIONE DI RISULTATO  ESERCIZIO 2009</t>
  </si>
  <si>
    <t>2.04.11.03.1409</t>
  </si>
  <si>
    <t>DEBITI VERSO PERSONALE COMPARTO SANITARIO - RETRIBUZIONE DI RISULTATO  ESERCIZIO 2010</t>
  </si>
  <si>
    <t>2.04.11.03.1410</t>
  </si>
  <si>
    <t>DEBITI VERSO PERSONALE COMPARTO PROFESSIONALE  - RETRIBUZIONE DI RISULTATO  ESERCIZIO 2010</t>
  </si>
  <si>
    <t>2.04.11.03.1411</t>
  </si>
  <si>
    <t>DEBITI VERSO PERSONALE COMPARTO TECNICO - RETRIBUZIONE DI RISULTATO  ESERCIZIO 2010</t>
  </si>
  <si>
    <t>2.04.11.03.1412</t>
  </si>
  <si>
    <t>DEBITI VERSO PERSONALE COMPARTO AMINISTRATIVO - RETRIBUZIONE DI RISULTATO  ESERCIZIO 2010</t>
  </si>
  <si>
    <t>2.04.11.03.1413</t>
  </si>
  <si>
    <t>DEBITI VERSO PERSONALE COMPARTO SANITARIO - RETRIBUZIONE DI RISULTATO  ESERCIZIO 2011</t>
  </si>
  <si>
    <t>2.04.11.03.1414</t>
  </si>
  <si>
    <t>DEBITI VERSO PERSONALE COMPARTO PROFESSIONALE  - RETRIBUZIONE DI RISULTATO  ESERCIZIO 2011</t>
  </si>
  <si>
    <t>2.04.11.03.1415</t>
  </si>
  <si>
    <t>DEBITI VERSO PERSONALE COMPARTO TECNICO - RETRIBUZIONE DI RISULTATO  ESERCIZIO 2011</t>
  </si>
  <si>
    <t>2.04.11.03.1416</t>
  </si>
  <si>
    <t>DEBITI VERSO PERSONALE COMPARTO AMINISTRATIVO - RETRIBUZIONE DI RISULTATO  ESERCIZIO 2011</t>
  </si>
  <si>
    <t>2.04.11.03.1417</t>
  </si>
  <si>
    <t>DEBITI VERSO PERSONALE COMPARTO SANITARIO - RETRIBUZIONE DI RISULTATO  ESERCIZIO 2012</t>
  </si>
  <si>
    <t>2.04.11.03.1418</t>
  </si>
  <si>
    <t>DEBITI VERSO PERSONALE COMPARTO PROFESSIONALE  - RETRIBUZIONE DI RISULTATO  ESERCIZIO 2012</t>
  </si>
  <si>
    <t>2.04.11.03.1419</t>
  </si>
  <si>
    <t>DEBITI VERSO PERSONALE COMPARTO TECNICO - RETRIBUZIONE DI RISULTATO  ESERCIZIO 2012</t>
  </si>
  <si>
    <t>2.04.11.03.1420</t>
  </si>
  <si>
    <t>DEBITI VERSO PERSONALE COMPARTO AMINISTRATIVO - RETRIBUZIONE DI RISULTATO  ESERCIZIO 2012</t>
  </si>
  <si>
    <t>2.04.11.03.1501</t>
  </si>
  <si>
    <t>DEBITI VERSO PERSONALE COMPARTO SANITARIO - ALTRI COSTI DEL PERSONALE  ESERCIZIO 2008</t>
  </si>
  <si>
    <t>Debiti verso personale comparto - Altri costi del personale esercizi precedenti</t>
  </si>
  <si>
    <t>2.04.11.03.1502</t>
  </si>
  <si>
    <t>DEBITI VERSO PERSONALE COMPARTO PROFESSIONALE  - ALTRI COSTI DEL PERSONALE  ESERCIZIO 2008</t>
  </si>
  <si>
    <t>2.04.11.03.1503</t>
  </si>
  <si>
    <t>DEBITI VERSO PERSONALE COMPARTO TECNICO - ALTRI COSTI DEL PERSONALE  ESERCIZIO 2008</t>
  </si>
  <si>
    <t>2.04.11.03.1504</t>
  </si>
  <si>
    <t>DEBITI VERSO PERSONALE COMPARTO AMINISTRATIVO - ALTRI COSTI DEL PERSONALE  ESERCIZIO 2008</t>
  </si>
  <si>
    <t>2.04.11.03.1505</t>
  </si>
  <si>
    <t>DEBITI VERSO PERSONALE COMPARTO SANITARIO - ALTRI COSTI DEL PERSONALE ESERCIZIO 2009</t>
  </si>
  <si>
    <t>2.04.11.03.1506</t>
  </si>
  <si>
    <t>DEBITI VERSO PERSONALE COMPARTO PROFESSIONALE  - ALTRI COSTI DEL PERSONALE  ESERCIZIO 2009</t>
  </si>
  <si>
    <t>2.04.11.03.1507</t>
  </si>
  <si>
    <t>DEBITI VERSO PERSONALE COMPARTO TECNICO - ALTRI COSTI DEL PERSONALE  ESERCIZIO 2009</t>
  </si>
  <si>
    <t>2.04.11.03.1508</t>
  </si>
  <si>
    <t>DEBITI VERSO PERSONALE COMPARTO AMINISTRATIVO - ALTRI COSTI DEL PERSONALE  ESERCIZIO 2009</t>
  </si>
  <si>
    <t>2.04.11.03.1509</t>
  </si>
  <si>
    <t>DEBITI VERSO PERSONALE COMPARTO SANITARIO - ALTRI COSTI DEL PERSONALE  ESERCIZIO 2010</t>
  </si>
  <si>
    <t>2.04.11.03.1510</t>
  </si>
  <si>
    <t>DEBITI VERSO PERSONALE COMPARTO PROFESSIONALE  - ALTRI COSTI DEL PERSONALE  ESERCIZIO 2010</t>
  </si>
  <si>
    <t>2.04.11.03.1511</t>
  </si>
  <si>
    <t>DEBITI VERSO PERSONALE COMPARTO TECNICO - ALTRI COSTI DEL PERSONALE  ESERCIZIO 2010</t>
  </si>
  <si>
    <t>2.04.11.03.1512</t>
  </si>
  <si>
    <t>DEBITI VERSO PERSONALE COMPARTO AMINISTRATIVO - ALTRI COSTI DEL PERSONALE  ESERCIZIO 2010</t>
  </si>
  <si>
    <t>2.04.11.03.1513</t>
  </si>
  <si>
    <t>DEBITI VERSO PERSONALE COMPARTO SANITARIO - ALTRI COSTI DEL PERSONALE  ESERCIZIO 2011</t>
  </si>
  <si>
    <t>2.04.11.03.1514</t>
  </si>
  <si>
    <t>DEBITI VERSO PERSONALE COMPARTO PROFESSIONALE  - ALTRI COSTI DEL PERSONALE  ESERCIZIO 2011</t>
  </si>
  <si>
    <t>2.04.11.03.1515</t>
  </si>
  <si>
    <t>DEBITI VERSO PERSONALE COMPARTO TECNICO - ALTRI COSTI DEL PERSONALE  ESERCIZIO 2011</t>
  </si>
  <si>
    <t>2.04.11.03.1516</t>
  </si>
  <si>
    <t>DEBITI VERSO PERSONALE COMPARTO AMINISTRATIVO - ALTRI COSTI DEL PERSONALE  ESERCIZIO 2011</t>
  </si>
  <si>
    <t>2.04.11.03.1517</t>
  </si>
  <si>
    <t>DEBITI VERSO PERSONALE COMPARTO SANITARIO - ALTRI COSTI DEL PERSONALE  ESERCIZIO 2012</t>
  </si>
  <si>
    <t>2.04.11.03.1518</t>
  </si>
  <si>
    <t>DEBITI VERSO PERSONALE COMPARTO PROFESSIONALE  - ALTRI COSTI DEL PERSONALE  ESERCIZIO 2012</t>
  </si>
  <si>
    <t>2.04.11.03.1519</t>
  </si>
  <si>
    <t>DEBITI VERSO PERSONALE COMPARTO TECNICO - ALTRI COSTI DEL PERSONALE  ESERCIZIO 2012</t>
  </si>
  <si>
    <t>2.04.11.03.1520</t>
  </si>
  <si>
    <t>DEBITI VERSO PERSONALE COMPARTO AMINISTRATIVO - ALTRI COSTI DEL PERSONALE  ESERCIZIO 2012</t>
  </si>
  <si>
    <t>2.04.11.03.1601</t>
  </si>
  <si>
    <t>Debiti verso personale comparto - Condizioni di lavoro e incarichi esercizi precedenti</t>
  </si>
  <si>
    <t>2.04.11.03.1701</t>
  </si>
  <si>
    <t>Debiti verso personale comparto - Premialita e fasce esercizi precedenti</t>
  </si>
  <si>
    <t>Debiti verso personale comparto - Premialità e fasce esercizi precedenti</t>
  </si>
  <si>
    <t>2.04.11.03.1801</t>
  </si>
  <si>
    <t>DEBITI VERSO PERSONALE  DIRIGENTE PTA - RETRIBUZIONE DI POSIZIONE ESERCIZI PRECEDENTI</t>
  </si>
  <si>
    <t xml:space="preserve">DEBITI VERSO PERSONALE  DIRIGENTE PTA - RETRIBUZIONE DI POSIZIONE </t>
  </si>
  <si>
    <t>2.04.11.03.1901</t>
  </si>
  <si>
    <t>DEBITI VERSO PERSONALE  DIRIGENTE PTA - RETRIBUZIONE DI RISULTATO ESERCIZI PRECEDENTI</t>
  </si>
  <si>
    <t>2.04.11.03.2001</t>
  </si>
  <si>
    <t>DEBITI VERSO PERSONALE COMPARTO   - RETRIBUZIONE DEGLI INCARICHI PROGRESSIONI ECONOMICHE E INDENNITA' PROFESSIONALI  ESERCIZI PRECEDENTI</t>
  </si>
  <si>
    <t>2.04.11.03.2101</t>
  </si>
  <si>
    <t>DEBITI VERSO PERSONALE COMPARTO   - RETRIBUZIONE PREMIALITA' E CONDIZIONI DI LAVORO  ESERCIZI PRECEDENTI</t>
  </si>
  <si>
    <t>DEBITI V/GESTIONI LIQUIDATORIE</t>
  </si>
  <si>
    <t>Debiti v/gestioni liquidatorie</t>
  </si>
  <si>
    <t>D.XI.3) Debiti v/gestioni liquidatorie</t>
  </si>
  <si>
    <t>2.04.11.04.0101</t>
  </si>
  <si>
    <t>ALTRI DEBITI DIVERSI</t>
  </si>
  <si>
    <t>Altri debiti diversi</t>
  </si>
  <si>
    <t>D.XI.4) Altri debiti diversi</t>
  </si>
  <si>
    <t>2.04.11.05.0101</t>
  </si>
  <si>
    <t>DEBITI V/MEDICI DI MEDICINA GENERALE</t>
  </si>
  <si>
    <t>Debiti v/medici di base</t>
  </si>
  <si>
    <t>2.04.11.05.0102</t>
  </si>
  <si>
    <t>DEBITI V/PEDIATRI DI LIBERA SCELTA</t>
  </si>
  <si>
    <t>2.04.11.05.0201</t>
  </si>
  <si>
    <t>DEBITI V/SPECIALISTI CONVENZIONATI INTERNI</t>
  </si>
  <si>
    <t>Debiti v/specialisti convenzionati interni</t>
  </si>
  <si>
    <t>2.04.11.05.0401</t>
  </si>
  <si>
    <t>DEBITI VERSO ORGANI DIRETTIVI ED ISTITUZIONALI</t>
  </si>
  <si>
    <t>Debiti vs. Terzi su emolumenti stipendiali (organizzazioni sindacali, cessionari diversi, pignoramenti e trattenute varie)</t>
  </si>
  <si>
    <t>2.04.11.05.0402</t>
  </si>
  <si>
    <t>ALTRI ENTI PER CONTRIBUTI DIRETTORE GENERALE</t>
  </si>
  <si>
    <t>2.04.11.05.0403</t>
  </si>
  <si>
    <t>ALTRI ENTI PER CONTRIBUTI DIRETTORE SANITARIO</t>
  </si>
  <si>
    <t>2.04.11.05.0404</t>
  </si>
  <si>
    <t>ALTRI ENTI PER CONTRIBUTI DIRETTORE AMMINISTRATIVO</t>
  </si>
  <si>
    <t>2.04.11.05.0405</t>
  </si>
  <si>
    <t>DEBITI VERSO ORGANI DI CONTROLLO</t>
  </si>
  <si>
    <t>2.04.11.05.0406</t>
  </si>
  <si>
    <t>DEBITI VERSO ALTRI ORGANISMI AZIENDALI</t>
  </si>
  <si>
    <t>2.04.11.05.0407</t>
  </si>
  <si>
    <t>DEBITI VS TERZI SU EMOLUMENTI STIPENDIALI (ORGANIZZAZIONI SINDACALI)</t>
  </si>
  <si>
    <t>2.04.11.05.0408</t>
  </si>
  <si>
    <t>DEBITI VS TERZI SU EMOLUMENTI STIPENDIALI (CESSIONARI DIVERSI)</t>
  </si>
  <si>
    <t>2.04.11.05.0409</t>
  </si>
  <si>
    <t>DEBITI VS TERZI SU EMOLUMENTI STIPENDIALI (PIGNORAMENTI)</t>
  </si>
  <si>
    <t>2.04.11.05.0410</t>
  </si>
  <si>
    <t>DEBITI VS TERZI SU EMOLUMENTI STIPENDIALI (RISCATT. CONTRIB.)</t>
  </si>
  <si>
    <t>2.04.11.05.0411</t>
  </si>
  <si>
    <t>ALTRI DEBITI VERSO PERSONALE</t>
  </si>
  <si>
    <t>2.04.11.05.0501</t>
  </si>
  <si>
    <t>DEBITI VERSO ASSISTITI</t>
  </si>
  <si>
    <t>2.04.11.05.0502</t>
  </si>
  <si>
    <t>Debiti verso organi direttivi ed istituzionali</t>
  </si>
  <si>
    <t>2.04.11.05.0503</t>
  </si>
  <si>
    <t>DEBITI PER RETRIBUZIONE ORGANI DI DIREZIONE</t>
  </si>
  <si>
    <t>2.04.11.05.0504</t>
  </si>
  <si>
    <t>2.04.11.05.0505</t>
  </si>
  <si>
    <t>2.04.11.05.0506</t>
  </si>
  <si>
    <t>2.04.11.05.0507</t>
  </si>
  <si>
    <t>2.04.11.05.0605</t>
  </si>
  <si>
    <t>2.04.11.05.9901</t>
  </si>
  <si>
    <t>DEBITI PER DEPOSITI CAUZIONALI</t>
  </si>
  <si>
    <t>2.04.11.05.9902</t>
  </si>
  <si>
    <t>ALTRI DEBITI PER DEPOSITI CAUZIONALI</t>
  </si>
  <si>
    <t>2.04.11.05.9903</t>
  </si>
  <si>
    <t>ALTRI DEBITI PER DEPOSITI CAUZIONALI PER CONTRATTI DI LOCAZIONEFITTI</t>
  </si>
  <si>
    <t>2.04.11.05.9904</t>
  </si>
  <si>
    <t>DEBITI V/TESORIERE PER MANDATI E INCASSI NON A BUON FINE</t>
  </si>
  <si>
    <t>DEBITI V/TESORIERE PER MANDATI EINCASSI NON A BUON FINE</t>
  </si>
  <si>
    <t>2.04.11.05.9905</t>
  </si>
  <si>
    <t>DEBITI DI FORMAZIONE ANNO</t>
  </si>
  <si>
    <t>2.04.11.05.9906</t>
  </si>
  <si>
    <t>DEBITI V/ ECONOMO</t>
  </si>
  <si>
    <t>2.04.11.05.9907</t>
  </si>
  <si>
    <t>DEBITI V/ TERZI</t>
  </si>
  <si>
    <t>2.04.11.05.9908</t>
  </si>
  <si>
    <t>2.04.11.05.9909</t>
  </si>
  <si>
    <t>DEBITI V/ASSICURAZIONI</t>
  </si>
  <si>
    <t>2.04.11.05.9910</t>
  </si>
  <si>
    <t>DEBITI VS PERSONALE DIPENDENTE PER FONDI ALP</t>
  </si>
  <si>
    <t>2.04.11.05.9911</t>
  </si>
  <si>
    <t>DEBITI PER ALTRI ACCANTONAMENTI</t>
  </si>
  <si>
    <t>2.04.11.05.9912</t>
  </si>
  <si>
    <t>DEBITI PER PROTOCOLLI COMITATO ETICO IN SOSPESO</t>
  </si>
  <si>
    <t>2.04.11.05.9913</t>
  </si>
  <si>
    <t>ACCONTI VERSO CLIENTI</t>
  </si>
  <si>
    <t>RATEI E RISCONTI PASSIVI</t>
  </si>
  <si>
    <t>PEZ999</t>
  </si>
  <si>
    <t>PEA000</t>
  </si>
  <si>
    <t>E.I) RATEI PASSIVI</t>
  </si>
  <si>
    <t>Ratei passivi</t>
  </si>
  <si>
    <t>E.I.1) Ratei passivi</t>
  </si>
  <si>
    <t>2.05.01.01.0101</t>
  </si>
  <si>
    <t>RATEI PASSIVI - FITTI PASSIVI</t>
  </si>
  <si>
    <t>2.05.01.01.0102</t>
  </si>
  <si>
    <t>RATEI PASSIVI - INTERESSI PASSIVI</t>
  </si>
  <si>
    <t>2.05.01.01.0103</t>
  </si>
  <si>
    <t>RATEI PASSIVI - ALTRI</t>
  </si>
  <si>
    <t>Ratei passivi v/Aziende sanitarie pubbliche della Regione</t>
  </si>
  <si>
    <t>PEA020</t>
  </si>
  <si>
    <t>E.I.2) Ratei passivi v/Aziende sanitarie pubbliche della Regione</t>
  </si>
  <si>
    <t>2.05.01.02.0101</t>
  </si>
  <si>
    <t>PEA030</t>
  </si>
  <si>
    <t>E.II) RISCONTI PASSIVI</t>
  </si>
  <si>
    <t>Risconti passivi</t>
  </si>
  <si>
    <t>PEA040</t>
  </si>
  <si>
    <t>E.II.1) Risconti passivi</t>
  </si>
  <si>
    <t>2.05.02.01.0101</t>
  </si>
  <si>
    <t>RISCONTI PASSIVI SU FSR PER FUNZIONI</t>
  </si>
  <si>
    <t>2.05.02.01.0102</t>
  </si>
  <si>
    <t>RISCONTI PASSIVI SU ALTRI CONTRIBUTI VINCOLATI ASSI DA FSR</t>
  </si>
  <si>
    <t>2.05.02.01.0103</t>
  </si>
  <si>
    <t>RISCONTI PASSIVI OBIETTIVI PSN (PARTE CORRENTE)</t>
  </si>
  <si>
    <t>2.05.02.01.0104</t>
  </si>
  <si>
    <t>RISCONTI PASSIVI ALTRI CONTRIBUTI FSR C/ESERCIZIO</t>
  </si>
  <si>
    <t>2.05.02.01.0105</t>
  </si>
  <si>
    <t>RISCONTI PASSIVI ALTRI CONTRIBUTI FSR VINCOLATI</t>
  </si>
  <si>
    <t>2.05.02.01.0106</t>
  </si>
  <si>
    <t>RISCONTI PASSIVI SU ALTRI CONTRIBUTI DA REGIONE</t>
  </si>
  <si>
    <t>2.05.02.01.0107</t>
  </si>
  <si>
    <t>RISCONTI PASSIVI CONTRIB SAN REGIONALI EXTRA FSR</t>
  </si>
  <si>
    <t>2.05.02.01.0108</t>
  </si>
  <si>
    <t>RISCONTI PASSIVI CONTRIB ALTRI FIN REGLI EXTRA FSR</t>
  </si>
  <si>
    <t>2.05.02.01.0109</t>
  </si>
  <si>
    <t>RISCONTI PASSIVI SU ALTRI CONTRIBUTI VINCOLATI DA ALTRI SOGGETTI</t>
  </si>
  <si>
    <t>2.05.02.01.0110</t>
  </si>
  <si>
    <t>RISCONTI PASSIVI V/SPERIMENTAZIONI GESTIONALI</t>
  </si>
  <si>
    <t>2.05.02.01.0111</t>
  </si>
  <si>
    <t>RISCONTI PASSIVI - FITTI ATTIVI</t>
  </si>
  <si>
    <t>2.05.02.01.0112</t>
  </si>
  <si>
    <t>RISCONTI PASSIVI - ASSICURAZIONI</t>
  </si>
  <si>
    <t>2.05.02.01.0113</t>
  </si>
  <si>
    <t>RISCONTI PASSIVI - CANONI LEASING</t>
  </si>
  <si>
    <t>2.05.02.01.0114</t>
  </si>
  <si>
    <t>RISCONTI PASSIVI - CANONI NOLEGGIO</t>
  </si>
  <si>
    <t>2.05.02.01.0115</t>
  </si>
  <si>
    <t>RISCONTI PASSIVI - SPERIMENTAZIONE CLINICA</t>
  </si>
  <si>
    <t>2.05.02.01.0116</t>
  </si>
  <si>
    <t>RISCONTI PASSIVI - ALTRO</t>
  </si>
  <si>
    <t>Risconti passivi v/Aziende sanitarie pubbliche della Regione</t>
  </si>
  <si>
    <t>PEA050</t>
  </si>
  <si>
    <t>E.II.2) Risconti passivi v/Aziende sanitarie pubbliche della Regione</t>
  </si>
  <si>
    <t>2.05.02.02.0101</t>
  </si>
  <si>
    <t>RISCONTI PASSIVI V/ASL- DELLA REGIONE</t>
  </si>
  <si>
    <t>2.05.02.02.0102</t>
  </si>
  <si>
    <t>RISCONTI PASSIVI V/AO DELLA REGIONE</t>
  </si>
  <si>
    <t>2.05.02.02.0103</t>
  </si>
  <si>
    <t>RISCONTI PASSIVIV/IRCS E FONDAZIONI DELLA REGIONE</t>
  </si>
  <si>
    <t>Risconti passivi - in attuazione dell’art.79, comma 1 sexies lettera c), del D.L. 112/2008, convertito con legge 133/2008 e della legge 23 dicembre 2009 n. 191.</t>
  </si>
  <si>
    <t>PEA060</t>
  </si>
  <si>
    <t>E.II.3) Risconti passivi - in attuazione dell’art.79, comma 1 sexies lettera c), del D.L. 112/2008, convertito con legge 133/2008 e della legge 23 dicembre 2009 n. 191.</t>
  </si>
  <si>
    <t>2.05.02.03.0101</t>
  </si>
  <si>
    <t>Risconti passivi - in attuazione dell'art.79, comma 1 sexies lettera c), del D.L. 112/2008, convertito con legge 133/2008 e della legge 23 dicembre 2009 n. 191.</t>
  </si>
  <si>
    <t>PFZ999</t>
  </si>
  <si>
    <t>G.I) CANONI DI LEASING ANCORA DA PAGARE</t>
  </si>
  <si>
    <t>3.02.01.01.0101</t>
  </si>
  <si>
    <t>G.II) DEPOSITI CAUZIONALI</t>
  </si>
  <si>
    <t>3.02.02.01.0101</t>
  </si>
  <si>
    <t>G.III) BENI IN COMODATO</t>
  </si>
  <si>
    <t>3.02.03.01.0101</t>
  </si>
  <si>
    <t>PFA021</t>
  </si>
  <si>
    <t>G.IV) CANONI DI PROJECT FINANCING ANCORA DA PAGARE</t>
  </si>
  <si>
    <t>Canoni di Project Financing ancora da pagare</t>
  </si>
  <si>
    <t>3.02.05.01.0101</t>
  </si>
  <si>
    <t>G.V) ALTRI CONTI D'ORDINE</t>
  </si>
  <si>
    <t>Altri contri d'ordine</t>
  </si>
  <si>
    <t>3.02.04.01.0101</t>
  </si>
  <si>
    <t>GARANZIE PRESTATE</t>
  </si>
  <si>
    <t>Garanzie prestate</t>
  </si>
  <si>
    <t>3.02.04.01.0201</t>
  </si>
  <si>
    <t>GARANZIE RICEVUTE</t>
  </si>
  <si>
    <t>Garanzie ricevute</t>
  </si>
  <si>
    <t>3.02.04.01.0301</t>
  </si>
  <si>
    <t>BENI PRESSO TERZI</t>
  </si>
  <si>
    <t>Beni presso terzi</t>
  </si>
  <si>
    <t>3.02.04.01.0401</t>
  </si>
  <si>
    <t>BENI IN CONTENZIOSO</t>
  </si>
  <si>
    <t>3.02.04.01.0501</t>
  </si>
  <si>
    <t>ALTRI IMPEGNI ASSUNTI</t>
  </si>
  <si>
    <t>3.02.04.01.0502</t>
  </si>
  <si>
    <t>3.02.04.01.9901</t>
  </si>
  <si>
    <t>CODICE CE</t>
  </si>
  <si>
    <t>CONTO_DESCRIZIONE</t>
  </si>
  <si>
    <t>PIANO DEI CONTI DELLA CONTABILITA' GENERALE DELL'AZIENDA OSPEDALIERA UNIVERSITARIA POLICLINICO DI PALERMO</t>
  </si>
  <si>
    <t>CNS 2023_V.26062024</t>
  </si>
  <si>
    <t>COGE AL 31/12/2023</t>
  </si>
  <si>
    <t>Integrazioni</t>
  </si>
  <si>
    <t>CE al 31/12/2023</t>
  </si>
  <si>
    <t>COGE AL 31/03/2024</t>
  </si>
  <si>
    <t>Integrazioni al 31/03/2024</t>
  </si>
  <si>
    <t>CE al 31/03/2024</t>
  </si>
  <si>
    <t>COGE AL 30/06/2024</t>
  </si>
  <si>
    <t>Integrazioni al 30/062024</t>
  </si>
  <si>
    <t>CE al 30/06/2024</t>
  </si>
  <si>
    <t>COGE AL 30/09/2024</t>
  </si>
  <si>
    <t>Integrazioni al 30/09/2024</t>
  </si>
  <si>
    <t>CE al 30/09/2024</t>
  </si>
  <si>
    <t>PROIEZIONE A FINIRE (settembre)</t>
  </si>
  <si>
    <t>COGE AL 31/12/2024 (TOLA)</t>
  </si>
  <si>
    <t>Integrazioni (TOLA)</t>
  </si>
  <si>
    <t>CE al 31/12/2024 (TOLA)</t>
  </si>
  <si>
    <t>COGE AL 31/12/2024</t>
  </si>
  <si>
    <t>CE al 31/12/2024</t>
  </si>
  <si>
    <t>DELTA IV - PRE CNS</t>
  </si>
  <si>
    <t>COGE AL 31/12/2024
(PRE CNS)</t>
  </si>
  <si>
    <t>Integrazioni (PRE CNS)</t>
  </si>
  <si>
    <t>CE al 31/12/2024 (PRE CNS)</t>
  </si>
  <si>
    <t>CNS (+R.F. NEW - F.DO SOSTEGNO)</t>
  </si>
  <si>
    <t>CHECK (30.05.2025)</t>
  </si>
  <si>
    <t>COGE AL 31/12/2024
(CNS v.30052025)</t>
  </si>
  <si>
    <t>Integrazioni (CNS v.04062025)</t>
  </si>
  <si>
    <t>CE al 31/12/2024 (CNS v.30052025)</t>
  </si>
  <si>
    <t>CHECK (30.05/05.06)</t>
  </si>
  <si>
    <t>COGE AL 31/12/2024
(CNS v.12062025)</t>
  </si>
  <si>
    <t>Integrazioni (CNS v.12062025)</t>
  </si>
  <si>
    <t>CE al 31/12/2024 (CNS v.12062025)</t>
  </si>
  <si>
    <t>CHECK (12.06/25.06)</t>
  </si>
  <si>
    <t>CHECK (19.06/26.06)</t>
  </si>
  <si>
    <t>CE al 31/12/2024 (CNS v.19062025)</t>
  </si>
  <si>
    <t>COGE AL 31/12/2024
(CNS v.26062025)</t>
  </si>
  <si>
    <t>Integrazioni (CNS v.26062025)</t>
  </si>
  <si>
    <t>CE al 31/12/2024 (CNS v.26062025)</t>
  </si>
  <si>
    <t>NOTE</t>
  </si>
  <si>
    <t>CNS/PRE CNS</t>
  </si>
  <si>
    <t>PRE CNS-IV TRIM 2024</t>
  </si>
  <si>
    <t>CE al 31/12/2024 (invio 4 trim 2024)</t>
  </si>
  <si>
    <t>COGE AL 31/08/2024</t>
  </si>
  <si>
    <t>STIMA A FINIRE (DATI AGOSTO) CE al 31/12/2024</t>
  </si>
  <si>
    <t>MASTRO</t>
  </si>
  <si>
    <t>CNS 2024 (v.19062025)</t>
  </si>
  <si>
    <t>RIF. CE</t>
  </si>
  <si>
    <t>COD. MECCANOGRAF. CE</t>
  </si>
  <si>
    <t>VOCE MODELLO CE DM 2019</t>
  </si>
  <si>
    <t>CNS 2024 (v.05062025)</t>
  </si>
  <si>
    <t>A</t>
  </si>
  <si>
    <t>VALORE DELLA PRODUZIONE</t>
  </si>
  <si>
    <t>A)  Valore della produzione</t>
  </si>
  <si>
    <t>AA0010</t>
  </si>
  <si>
    <t>Contributi in c/esercizio</t>
  </si>
  <si>
    <t>OK</t>
  </si>
  <si>
    <t xml:space="preserve">A.1 </t>
  </si>
  <si>
    <t>A.1) Contributi in c/esercizio</t>
  </si>
  <si>
    <t>Contributi da Regione per quota F.S. regionale</t>
  </si>
  <si>
    <t>A.1.A</t>
  </si>
  <si>
    <t>A.1.A)  Contributi da Regione o Prov. Aut. per quota F.S. regionale.</t>
  </si>
  <si>
    <t>Contributi da Regione per quota F.S. regionale indistinto</t>
  </si>
  <si>
    <t xml:space="preserve">A.1.A.1  </t>
  </si>
  <si>
    <t>A.1.A.1)  da Regione o Prov. Aut. per quota F.S. regionale indistinto</t>
  </si>
  <si>
    <t>AA0031</t>
  </si>
  <si>
    <t>4.01.01.01.0101</t>
  </si>
  <si>
    <t>Quota F.S. regionale indistinto - quota capitaria</t>
  </si>
  <si>
    <t>CE</t>
  </si>
  <si>
    <t>INSERITO FONDO DI SOSTEGNO COME DA ASSEGNAZIONE</t>
  </si>
  <si>
    <t>A.1.A.1.1</t>
  </si>
  <si>
    <t>A.1.A.1.1) Finanziamento indistinto</t>
  </si>
  <si>
    <t>AA0032</t>
  </si>
  <si>
    <t>4.01.01.01.0301</t>
  </si>
  <si>
    <t>Quota F.S. regionale indistinto - quote "finalizzate"</t>
  </si>
  <si>
    <t>NON COMPRENDE DA 21/2025</t>
  </si>
  <si>
    <t>VERIFICARE CORRETTA IMPUTAZIONE CONTRIBUTI</t>
  </si>
  <si>
    <t>A.1.A.1.2</t>
  </si>
  <si>
    <t>A.1.A.1.2) Finanziamento indistinto finalizzato da Regione</t>
  </si>
  <si>
    <t>4.01.01.01.0309</t>
  </si>
  <si>
    <t>QUOTA F.S. REGIONALE INDISTINTO - ALTRE FUNZIONI FONDO DI SOSTEGNO</t>
  </si>
  <si>
    <t>FONDO DI SOSTEGNO</t>
  </si>
  <si>
    <t>4.01.01.01.0310</t>
  </si>
  <si>
    <t>Variazione in esito alle procedure di riparto definitivo</t>
  </si>
  <si>
    <t xml:space="preserve">Variazione in esito alle procedure di riparto definitivo </t>
  </si>
  <si>
    <t>AA0034</t>
  </si>
  <si>
    <t>4.01.01.01.0401</t>
  </si>
  <si>
    <t>Quota F.S. regionale indistinto - Funzioni pronto soccorso</t>
  </si>
  <si>
    <t>SCHEDA ASSEGNAZIONE</t>
  </si>
  <si>
    <t>A.1.A.1.3.A</t>
  </si>
  <si>
    <t>A.1.A.1.3.A) Funzioni - Pronto Soccorso</t>
  </si>
  <si>
    <t>AA0035</t>
  </si>
  <si>
    <t>4.01.01.01.0501</t>
  </si>
  <si>
    <t>Quota F.S. regionale indistinto - Funzioni Altro</t>
  </si>
  <si>
    <t xml:space="preserve">Quota F.S. regionale indistinto - Funzioni Altro </t>
  </si>
  <si>
    <t>A.1.A.1.3.B</t>
  </si>
  <si>
    <t>A.1.A.1.3.B) Funzioni - Altro</t>
  </si>
  <si>
    <t>AA0036</t>
  </si>
  <si>
    <t>4.01.01.01.0601</t>
  </si>
  <si>
    <t>Quota F.S. regionale indistinto finalizzata al Piano Aziendale ex art.1, c.528, L.208/2015</t>
  </si>
  <si>
    <t>A.1.A.1.4</t>
  </si>
  <si>
    <t>A.1.A.1.4) Quota finalizzata per il Piano aziendale di cui all'art. 1, comma 528, L. 208/2015</t>
  </si>
  <si>
    <t>Contributi da Regione per quota F.S. regionale vincolato</t>
  </si>
  <si>
    <t xml:space="preserve">A.1.A.2  </t>
  </si>
  <si>
    <t>A.1.A.2)  da Regione o Prov. Aut. per quota F.S. regionale vincolato</t>
  </si>
  <si>
    <t>4.01.01.02.0101</t>
  </si>
  <si>
    <t>Quota per progetti obiettivo di PSN</t>
  </si>
  <si>
    <t xml:space="preserve">Quota per progetti obiettivo di PSN </t>
  </si>
  <si>
    <t>A.1.A.2) da Regione o Prov. Aut. per quota F.S. regionale vincolato</t>
  </si>
  <si>
    <t>4.01.01.02.0201</t>
  </si>
  <si>
    <t>Quota per rinnovo convenzioni L 133/08</t>
  </si>
  <si>
    <t>4.01.01.02.0301</t>
  </si>
  <si>
    <t>Quota per emersione extracomunitari L 102/09</t>
  </si>
  <si>
    <t>4.01.01.02.0401</t>
  </si>
  <si>
    <t>Quota per medicina Penitenziaria Dlvo 230/99</t>
  </si>
  <si>
    <t>4.01.01.02.0501</t>
  </si>
  <si>
    <t>Quota per hanseniani L 31/86</t>
  </si>
  <si>
    <t>4.01.01.02.0601</t>
  </si>
  <si>
    <t>PROCURAMENT ORGANI</t>
  </si>
  <si>
    <t>Quota per fibrosi Cistica L 362/98</t>
  </si>
  <si>
    <t>4.01.01.02.0602</t>
  </si>
  <si>
    <t>4.01.01.02.0901</t>
  </si>
  <si>
    <t>Quota per borse studio MMG L 109/88</t>
  </si>
  <si>
    <t>4.01.01.02.1001</t>
  </si>
  <si>
    <t>Quota per veterinaria L 218/88</t>
  </si>
  <si>
    <t>4.01.01.02.1101</t>
  </si>
  <si>
    <t>Quota per Aids L 135/90</t>
  </si>
  <si>
    <t>4.01.01.02.9901</t>
  </si>
  <si>
    <t>Altre quote FSR vincolato</t>
  </si>
  <si>
    <r>
      <t xml:space="preserve">RIMBORSO UNITA' DI SANGUE TRASFUSE IN REGIME DI D.H.EX D.A. 6 GIUGNO 2003 - </t>
    </r>
    <r>
      <rPr>
        <i/>
        <sz val="10"/>
        <rFont val="Calibri"/>
        <family val="2"/>
        <scheme val="minor"/>
      </rPr>
      <t>stima 2020</t>
    </r>
  </si>
  <si>
    <t>4.01.01.02.9902</t>
  </si>
  <si>
    <t>Contributo per la riorganizzazione dei laboratori</t>
  </si>
  <si>
    <t xml:space="preserve">Contributo per la riorganizzazione dei laboratori </t>
  </si>
  <si>
    <t>4.01.01.02.9904</t>
  </si>
  <si>
    <t>CONTRIBUTO SAS</t>
  </si>
  <si>
    <t>CONTRIBUTO COVID</t>
  </si>
  <si>
    <t>4.01.01.02.9905</t>
  </si>
  <si>
    <t>QUOTA F.S. REGIONALE - QUOTE "FINALIZZATE" SUES 118</t>
  </si>
  <si>
    <t>SPOSTATO IN AA032</t>
  </si>
  <si>
    <t>Contributi c/esercizio (extra fondo)</t>
  </si>
  <si>
    <t>A.1.B</t>
  </si>
  <si>
    <t>A.1.B)  Contributi c/esercizio (extra fondo)</t>
  </si>
  <si>
    <t>Contributi da Regione (extra fondo)</t>
  </si>
  <si>
    <t>A.1.B.1</t>
  </si>
  <si>
    <t xml:space="preserve">A.1.B.1)  da Regione o Prov. Aut. (extra fondo) </t>
  </si>
  <si>
    <t>4.01.02.01.0101</t>
  </si>
  <si>
    <t>Contributi da Regione (extra fondo) vincolati</t>
  </si>
  <si>
    <t>A.1.B.1.1</t>
  </si>
  <si>
    <t>A.1.B.1.1) Contributi da Regione o Prov. Aut. (extra fondo) vincolati</t>
  </si>
  <si>
    <t>4.01.02.01.0102</t>
  </si>
  <si>
    <t>CONTRIBUTI PER PROGETTI FINALIZZATI DA REGIONE EXTRA FONDO VINCOLATI</t>
  </si>
  <si>
    <t>4.01.02.01.0201</t>
  </si>
  <si>
    <t>Contributi da Regione (extra fondo) - Risorse aggiuntive da bilancio regionale a titolo di copertura LEA</t>
  </si>
  <si>
    <t>Contributi da Regione (extra fondo) - Risorse AFgiuntive da bilancio regionale a titolo di copertura LEA</t>
  </si>
  <si>
    <t>A.1.B.1.2</t>
  </si>
  <si>
    <t>A.1.B.1.2) Contributi da Regione o Prov. Aut. (extra fondo) - Risorse AFgiuntive da bilancio regionale a titolo di copertura LEA</t>
  </si>
  <si>
    <t>4.01.02.01.0301</t>
  </si>
  <si>
    <t>Contributi da Regione (extra fondo) - Risorse aggiuntive da bilancio regionale a titolo di copertura extra LEA</t>
  </si>
  <si>
    <t>Contributi da Regione (extra fondo) - Risorse AFgiuntive da bilancio regionale a titolo di copertura extra LEA</t>
  </si>
  <si>
    <t>A.1.B.1.3</t>
  </si>
  <si>
    <t>A.1.B.1.3) Contributi da Regione o Prov. Aut. (extra fondo) - Risorse AFgiuntive da bilancio regionale a titolo di copertura extra LEA</t>
  </si>
  <si>
    <t>4.01.02.01.0401</t>
  </si>
  <si>
    <t>Contributi da Regione (extra fondo) - Altro</t>
  </si>
  <si>
    <t>A.1.B.1.4</t>
  </si>
  <si>
    <t>A.1.B.1.4) Contributi da Regione o Prov. Aut. (extra fondo) - Altro</t>
  </si>
  <si>
    <t>4.01.02.01.0402</t>
  </si>
  <si>
    <t>CONTRIBUTI DA REGIONE (EXTRA FONDO) - PUC</t>
  </si>
  <si>
    <t>Contributi da Aziende sanitarie pubbliche della Regione o Prov. Aut. (extra fondo)</t>
  </si>
  <si>
    <t>A.1.B.2</t>
  </si>
  <si>
    <t>A.1.B.2) Contributi da Aziende sanitarie pubbliche della Regione o Prov. Aut. (extra fondo)</t>
  </si>
  <si>
    <t>4.01.02.02.0101</t>
  </si>
  <si>
    <t>Contributi da Aziende sanitarie pubbliche della Regione (extra fondo) vincolati</t>
  </si>
  <si>
    <t>INTERCOMPANY</t>
  </si>
  <si>
    <t>A.1.B.2.1</t>
  </si>
  <si>
    <t>A.1.B.2.1) Contributi da Aziende sanitarie pubbliche della Regione o Prov. Aut. (extra fondo) vincolati</t>
  </si>
  <si>
    <t>4.01.02.02.0201</t>
  </si>
  <si>
    <t>Contributi da Aziende sanitarie pubbliche della Regione (extra fondo) altro</t>
  </si>
  <si>
    <t>40% ANTICIPAZIONE PNRR RICERCA DA -MAD-2022-12375656 (DA AOUP MESSINA) IMPUTATO NEL 2023</t>
  </si>
  <si>
    <t>A.1.B.2.2</t>
  </si>
  <si>
    <t>A.1.B.2.2) Contributi da Aziende sanitarie pubbliche della Regione o Prov. Aut. (extra fondo) altro</t>
  </si>
  <si>
    <t>AA0140</t>
  </si>
  <si>
    <t xml:space="preserve">Contributi da Ministero della Salute e da altri soggetti pubblici (extra fondo) </t>
  </si>
  <si>
    <t>A.1.B.3</t>
  </si>
  <si>
    <t xml:space="preserve">A.1.B.3)  Contributi da Ministero della Salute e da altri soggetti pubblici (extra fondo) </t>
  </si>
  <si>
    <t>AA0141</t>
  </si>
  <si>
    <t>4.01.02.03.1301</t>
  </si>
  <si>
    <t>CONTRIBUTI DA MINISTERO DELLA SALUTE (EXTRA FONDO)</t>
  </si>
  <si>
    <t>CONTRIBUTI DA DIRETTIVA (STP E PIANO ONCOLOGICO)</t>
  </si>
  <si>
    <t xml:space="preserve"> Contributi da Ministero della Salute (extra fondo)</t>
  </si>
  <si>
    <t>A.1.B.3.1</t>
  </si>
  <si>
    <t>A.1.B.3.1)  Contributi da Ministero della Salute (extra fondo)</t>
  </si>
  <si>
    <t>4.01.02.03.0101</t>
  </si>
  <si>
    <t>Contributi da Provincia (extra fondo) vincolati</t>
  </si>
  <si>
    <t>A.1.B.3.2</t>
  </si>
  <si>
    <t>A.1.B.3.2) Contributi da altri soggetti pubblici (extra fondo) vincolati</t>
  </si>
  <si>
    <t>4.01.02.03.0201</t>
  </si>
  <si>
    <t>CONTRIBUTI DA COMUNE (EXTRA FONDO) VINCOLATI</t>
  </si>
  <si>
    <t>Contributi da Comune (extra fondo) vincolati</t>
  </si>
  <si>
    <t>4.01.02.03.0301</t>
  </si>
  <si>
    <t>CONTRIBUTI DA UNIVERSITA (EXTRA FONDO) VINCOLATI</t>
  </si>
  <si>
    <t>Contributi da Università (extra fondo) vincolati</t>
  </si>
  <si>
    <t>4.01.02.03.0401</t>
  </si>
  <si>
    <t>CONTRIBUTI DA ALTRI SOGGETTI PUBBLICI (EXTRA FONDO) VINCOLATI</t>
  </si>
  <si>
    <t>VERIFICARE DELIBERE PNRR E PNRR RICERCA - VEDI ANCHE ACCANTONAMENTO  BA2790/2800</t>
  </si>
  <si>
    <t>VERIFICARE DELIBERE PNRR E PNRR RICERCA - VEDI ANCHE ACCANTONAMENTO  BA2800</t>
  </si>
  <si>
    <t>Contributi da altri soggetti pubblici (extra fondo) vincolati</t>
  </si>
  <si>
    <t>4.01.02.03.0402</t>
  </si>
  <si>
    <t>CONTRIBUTI DA ALTRI SOGGETTI PUBBLICI (EXTRA FONDO) VINCOLATI PNNR</t>
  </si>
  <si>
    <t>VERIFICARE DELIBERE PNRR E PNRR RICERCA</t>
  </si>
  <si>
    <t>4.01.02.03.0501</t>
  </si>
  <si>
    <t>CONTRIBUTI DA ALTRI SOGGETTI PUBBLICI (EXTRA FONDO) L. 210/92</t>
  </si>
  <si>
    <t>Contributi da altri soggetti pubblici (extra fondo) L. 210/92</t>
  </si>
  <si>
    <t>A.1.B.3.3</t>
  </si>
  <si>
    <t>A.1.B.3.3) Contributi da altri soggetti pubblici (extra fondo) L. 210/92</t>
  </si>
  <si>
    <t>4.01.02.03.0601</t>
  </si>
  <si>
    <t>CONTRIBUTI DA PROVINCIA (EXTRA FONDO) - ALTRO</t>
  </si>
  <si>
    <t>Contributi da Provincia (extra fondo) - altro</t>
  </si>
  <si>
    <t>A.1.B.3.4</t>
  </si>
  <si>
    <t>A.1.B.3.4) Contributi da altri soggetti pubblici (extra fondo) altro</t>
  </si>
  <si>
    <t>4.01.02.03.0701</t>
  </si>
  <si>
    <t>CONTRIBUTI DA COMUNE (EXTRA FONDO) - ALTRO</t>
  </si>
  <si>
    <t>Contributi da Comune (extra fondo) - altro</t>
  </si>
  <si>
    <t>4.01.02.03.0801</t>
  </si>
  <si>
    <t>CONTRIBUTI DA UNIVERSITA (EXTRA FONDO) - ALTRO</t>
  </si>
  <si>
    <t>Contributi da Università (extra fondo) - altro</t>
  </si>
  <si>
    <t>4.01.02.03.0901</t>
  </si>
  <si>
    <t>CONTRIBUTI E TRASFERIMENTI CORRENTI DA UNIONE EUROPEA</t>
  </si>
  <si>
    <t>Contributi e trasferimenti correnti da Unione Europea</t>
  </si>
  <si>
    <t>4.01.02.03.1001</t>
  </si>
  <si>
    <t>CONTRIBUTI E TRASFERIMENTI CORRENTI DA ALTRE ISTITUZIONI ESTERE</t>
  </si>
  <si>
    <t>Contributi e trasferimenti correnti da altre istituzioni estere</t>
  </si>
  <si>
    <t>4.01.02.03.1101</t>
  </si>
  <si>
    <t>CONTRIBUTI DA ALTRI SOGGETTI PUBBLICI (EXTRA FONDO) - ALTRO</t>
  </si>
  <si>
    <t>Contributi da altri soggetti pubblici (extra fondo) - altro</t>
  </si>
  <si>
    <t>AA0171</t>
  </si>
  <si>
    <t>4.01.02.03.1201</t>
  </si>
  <si>
    <t>Contributi da altri soggetti pubblici (extra fondo) -  in attuazione dell'art.79, comma 1 sexies lettera c), del D.L. 112/2008, convertito con legge 133/2008 e della legge 23 dicembre 2009 n. 191</t>
  </si>
  <si>
    <t>Contributi da altri soggetti pubblici (extra fondo) -  in attuazione dell’art.79, comma 1 sexies lettera c), del D.L. 112/2008, convertito con legge 133/2008 e della legge 23 dicembre 2009 n. 191</t>
  </si>
  <si>
    <t>A.1.B.3.5</t>
  </si>
  <si>
    <t>A.1.B.3.5) Contibuti da altri soggetti pubblici (extra fondo) - in attuazione dell’art.79, comma 1 sexies lettera c), del D.L. 112/2008, convertito con legge 133/2008 e della legge 23 dicembre 2009 n. 191</t>
  </si>
  <si>
    <t>Contributi c/esercizio per ricerca</t>
  </si>
  <si>
    <t>A.1.C</t>
  </si>
  <si>
    <t>A.1.C)  Contributi c/esercizio per ricerca</t>
  </si>
  <si>
    <t>Contributi da Ministero della Salute per ricerca corrente</t>
  </si>
  <si>
    <t>A.1.C.1</t>
  </si>
  <si>
    <t>A.1.C.1) Contributi da Ministero della Salute per ricerca corrente</t>
  </si>
  <si>
    <t>4.01.03.01.0101</t>
  </si>
  <si>
    <t>CONTRIBUTI DA MINISTERO DELLA SALUTE PER RICERCA CORRENTE</t>
  </si>
  <si>
    <t>Contributi da Ministero della Salute per ricerca finalizzata</t>
  </si>
  <si>
    <t>A.1.C.2</t>
  </si>
  <si>
    <t>A.1.C.2) Contributi da Ministero della Salute per ricerca finalizzata</t>
  </si>
  <si>
    <t>4.01.03.02.0101</t>
  </si>
  <si>
    <t>CONTRIBUTI DA MINISTERO DELLA SALUTE PER RICERCA FINALIZZATA</t>
  </si>
  <si>
    <t>Contributi da Regione ed altri soggetti pubblici per ricerca</t>
  </si>
  <si>
    <t>A.1.C.3</t>
  </si>
  <si>
    <t>A.1.C.3) Contributi da Regione ed altri soggetti pubblici per ricerca</t>
  </si>
  <si>
    <t>4.01.03.03.0101</t>
  </si>
  <si>
    <t>CONTRIBUTI DA REGIONE ED ALTRI SOGGETTI PUBBLICI PER RICERCA</t>
  </si>
  <si>
    <t>4.01.03.03.0102</t>
  </si>
  <si>
    <t>CONTRIBUTI C/ESERCIZIO (EXTRA FONDO) PER RICERCA FINALIZZATA</t>
  </si>
  <si>
    <t>4.01.03.03.0103</t>
  </si>
  <si>
    <t>CONTRIBUTI DA IRCS PER "PROGETTO DIANA"</t>
  </si>
  <si>
    <t>Contributi da privati per ricerca</t>
  </si>
  <si>
    <t>A.1.C.4</t>
  </si>
  <si>
    <t>A.1.C.4) Contributi da privati per ricerca</t>
  </si>
  <si>
    <t>4.01.03.04.0101</t>
  </si>
  <si>
    <t>CONTRIBUTI DA PRIVATI PER RICERCA</t>
  </si>
  <si>
    <t>Contributi c/esercizio da privati</t>
  </si>
  <si>
    <t xml:space="preserve">A.1.D  </t>
  </si>
  <si>
    <t>A.1.D)  Contributi c/esercizio da privati</t>
  </si>
  <si>
    <t>4.01.04.01.0101</t>
  </si>
  <si>
    <t>CONTRIBUTI C/ESERCIZIO DA PRIVATI</t>
  </si>
  <si>
    <t>A.1.D) Contributi c/esercizio da privati</t>
  </si>
  <si>
    <t>AA0240</t>
  </si>
  <si>
    <t>Rettifica contributi c/esercizio per destinazione ad investimenti</t>
  </si>
  <si>
    <t xml:space="preserve">A.2  </t>
  </si>
  <si>
    <t>A.2) Rettifica contributi c/esercizio per destinazione ad investimenti</t>
  </si>
  <si>
    <t>AA0250</t>
  </si>
  <si>
    <t>Rettifica contributi in c/esercizio per destinazione ad investimenti - da Regione per quota F.S. regionale</t>
  </si>
  <si>
    <t xml:space="preserve">A.2.A  </t>
  </si>
  <si>
    <t xml:space="preserve">A.2.A)  Rettifica contributi in c/esercizio per destinazione ad investimenti - da Regione o Prov. Aut. per quota F.S. regionale </t>
  </si>
  <si>
    <t>4.02.01.01.0101</t>
  </si>
  <si>
    <t>Rettifica contributi in c/esercizio per destinazione ad investimenti - da Regione per quota F.S. regionale - investimenti realizzati</t>
  </si>
  <si>
    <t>VERIFICARE DELIBERE INVESTIMENTI</t>
  </si>
  <si>
    <t>A.2.A) Rettifica contributi in c/esercizio per destinazione ad investimenti - da Regione o Prov. Aut. per quota F.S. regionale</t>
  </si>
  <si>
    <t>4.02.01.01.0201</t>
  </si>
  <si>
    <t>Rettifica contributi in c/esercizio per destinazione ad investimenti - da Regione per quota F.S. regionale - investimenti futuri</t>
  </si>
  <si>
    <t>AA0260</t>
  </si>
  <si>
    <t>Rettifica contributi in c/esercizio per destinazione ad investimenti - altri contributi</t>
  </si>
  <si>
    <t xml:space="preserve">A.2.B  </t>
  </si>
  <si>
    <t>A.2.B) Rettifica contributi in c/esercizio per destinazione ad investimenti - altri contributi</t>
  </si>
  <si>
    <t>4.02.02.01.0101</t>
  </si>
  <si>
    <t>RETTIFICA CONTRIBUTI IN C/ESERCIZIO PER DESTINAZIONE AD INVESTIMENTI - ALTRI CONTRIBUTI</t>
  </si>
  <si>
    <t>AA0270</t>
  </si>
  <si>
    <t>Utilizzo fondi per quote inutilizzate contributi vincolati di esercizi precedenti</t>
  </si>
  <si>
    <t xml:space="preserve">A.3 </t>
  </si>
  <si>
    <t>A.3) Utilizzo fondi per quote inutilizzate contributi vincolati di esercizi precedenti</t>
  </si>
  <si>
    <t>AA0271</t>
  </si>
  <si>
    <t>Utilizzo fondi per quote inutilizzate contributi di esercizi precedenti da Regione per quota F.S. regionale vincolato</t>
  </si>
  <si>
    <t xml:space="preserve">A.3.A  </t>
  </si>
  <si>
    <t>A.3.A) Utilizzo fondi per quote inutilizzate contributi di esercizi precedenti da Regione o Prov. Aut. per quota F.S. regionale vincolato</t>
  </si>
  <si>
    <t>4.03.05.01.0101</t>
  </si>
  <si>
    <t>Utilizzo fondi per quote inutilizzate contributi di esercizi precedenti da Regione per Fondo Sanitario "finalizzato"</t>
  </si>
  <si>
    <t>VERIFICARE UTILIZZO FONDO LISTE D'ATTESA</t>
  </si>
  <si>
    <t>A.3.A)  Utilizzo fondi per quote inutilizzate contributi di esercizi precedenti da Regione o Prov. Aut. per quota F.S. regionale indistinto finalizzato</t>
  </si>
  <si>
    <t>AA0280</t>
  </si>
  <si>
    <t>A.3.B</t>
  </si>
  <si>
    <t>A.3.B) Utilizzo fondi per quote inutilizzate contributi di esercizi precedenti da Regione o Prov. Aut. per quota F.S. regionale vincolato</t>
  </si>
  <si>
    <t>4.03.01.01.0201</t>
  </si>
  <si>
    <t>UTILIZZO FONDI PER QUOTE INUTILIZZATE CONTRIBUTI DI ESERCIZI PRECEDENTI DA REGIONE PER QUOTA PROGETTI OBIETTIVO DI PSN</t>
  </si>
  <si>
    <t>INSERITO PSN (COSTI PSN - SUSANNA)</t>
  </si>
  <si>
    <t>RIVEDERE PSN</t>
  </si>
  <si>
    <t xml:space="preserve">Utilizzo fondi per quote inutilizzate contributi di esercizi precedenti da Regione per quota Progetti obiettivo di PSN </t>
  </si>
  <si>
    <t>4.03.01.01.0202</t>
  </si>
  <si>
    <t>UTILIZZO FONDI P.O.PSN.2013.L.P.1.6</t>
  </si>
  <si>
    <t>4.03.01.01.0203</t>
  </si>
  <si>
    <t>UTILIZZO FONDI P.O.PSN.2013.L.P.2.4</t>
  </si>
  <si>
    <t>4.03.01.01.0204</t>
  </si>
  <si>
    <t>UTILIZZO FONDI  P.O.PSN.2013.L.P.2.6</t>
  </si>
  <si>
    <t>4.03.01.01.0205</t>
  </si>
  <si>
    <t>UTILIZZO FONDI P.O.PSN.2013.L.P.3.3</t>
  </si>
  <si>
    <t>4.03.01.01.0206</t>
  </si>
  <si>
    <t>UTILIZZO FONDI P.O.PSN.2013.L.P.4.1</t>
  </si>
  <si>
    <t>4.03.01.01.0207</t>
  </si>
  <si>
    <t>UTILIZZO FONDI P.O.PSN.2013.L.P.7.4</t>
  </si>
  <si>
    <t>4.03.01.01.0208</t>
  </si>
  <si>
    <t>UTILIZZO FONDI P.O.PSN.2013.L.P.8.1</t>
  </si>
  <si>
    <t>4.03.01.01.0209</t>
  </si>
  <si>
    <t>UTILIZZO FONDI P.O.PSN.2013.L.P.8.3</t>
  </si>
  <si>
    <t>4.03.01.01.0210</t>
  </si>
  <si>
    <t>UTILIZZO FONDI P.O.PSN.2013.L.P.8.4</t>
  </si>
  <si>
    <t>4.03.01.01.0211</t>
  </si>
  <si>
    <t>UTILIZZO FONDI P.O.PSN.2013.L.P.8.7</t>
  </si>
  <si>
    <t>4.03.01.01.0212</t>
  </si>
  <si>
    <t>UTILIZZO FONDI  P.O.PSN.2013.L.P.9.6</t>
  </si>
  <si>
    <t>4.03.01.01.0213</t>
  </si>
  <si>
    <t>UTILIZZO FONDI P.O.PSN.2013.L.P.10.6</t>
  </si>
  <si>
    <t>4.03.01.01.0214</t>
  </si>
  <si>
    <t>UTILIZZO FONDI P.O.PSN.2013.L.P.12.AZ.12.4</t>
  </si>
  <si>
    <t>4.03.01.01.0215</t>
  </si>
  <si>
    <t>UTILIZZO FONDI  P.O.PSN.2013.L.P.16.2</t>
  </si>
  <si>
    <t>4.03.01.01.0216</t>
  </si>
  <si>
    <t>UTILIZZO FONDI  P.O.PSN.2013.L.P.17.1</t>
  </si>
  <si>
    <t>4.03.01.01.0217</t>
  </si>
  <si>
    <t>UTILIZZO FONDI  P.O.PSN.2013.L.P.18.17</t>
  </si>
  <si>
    <t>4.03.01.01.0218</t>
  </si>
  <si>
    <t>UTILIZZO FONDI  P.O.PSN.2013.L.P.18.18</t>
  </si>
  <si>
    <t>4.03.01.01.0301</t>
  </si>
  <si>
    <t>Utilizzo fondi per quote inutilizzate contributi di esercizi precedenti da Regione per quota rinnovo convenzioni L 133/08</t>
  </si>
  <si>
    <t>4.03.01.01.0401</t>
  </si>
  <si>
    <t>Utilizzo fondi per quote inutilizzate contributi di esercizi precedenti da Regione per quota emersione extracomunitari L 102/09</t>
  </si>
  <si>
    <t>4.03.01.01.0501</t>
  </si>
  <si>
    <t>Utilizzo fondi per quote inutilizzate contributi di esercizi precedenti da Regione per quota medicina Penitenziaria Dlvo 230/99</t>
  </si>
  <si>
    <t>4.03.01.01.0601</t>
  </si>
  <si>
    <t>Utilizzo fondi per quote inutilizzate contributi di esercizi precedenti da Regione per quota hanseniani L 31/86</t>
  </si>
  <si>
    <t>4.03.01.01.0701</t>
  </si>
  <si>
    <t>Utilizzo fondi per quote inutilizzate contributi di esercizi precedenti da Regione per quota Fibrosi Cistica L 362/98</t>
  </si>
  <si>
    <t>4.03.01.01.1001</t>
  </si>
  <si>
    <t>Utilizzo fondi per quote inutilizzate contributi di esercizi precedenti da Regione per quota Borse studio MMG L 109/88</t>
  </si>
  <si>
    <t>4.03.01.01.1101</t>
  </si>
  <si>
    <t>Utilizzo fondi per quote inutilizzate contributi di esercizi precedenti da Regione per quota Veterinaria L 218/88</t>
  </si>
  <si>
    <t>4.03.01.01.1201</t>
  </si>
  <si>
    <t>Utilizzo fondi per quote inutilizzate contributi di esercizi precedenti da Regione per quota Aids L 135/90</t>
  </si>
  <si>
    <t>4.03.01.01.9901</t>
  </si>
  <si>
    <t>UTILIZZO FONDI PER QUOTE INUTILIZZATE DI CONTRIBUTI DI ESERCIZI PRECEDENTI DA REGIONE PER ALTRE QUOTE FSR VINCOLATO</t>
  </si>
  <si>
    <t>RILEVAZIONE UTILIZZO SOMME PROGETTO FARMACOVIGILANZA</t>
  </si>
  <si>
    <t>Utilizzo fondi per quote inutilizzate di contributi di esercizi precedenti da Regione per altre quote FSR vincolato</t>
  </si>
  <si>
    <t>AA0290</t>
  </si>
  <si>
    <t>Utilizzo fondi per quote inutilizzate contributi di esercizi precedenti da soggetti pubblici (extra fondo) vincolati</t>
  </si>
  <si>
    <t>A.3.C</t>
  </si>
  <si>
    <t>A.3.C) Utilizzo fondi per quote inutilizzate contributi di esercizi precedenti da soggetti pubblici (extra fondo) vincolati</t>
  </si>
  <si>
    <t>4.03.02.01.0101</t>
  </si>
  <si>
    <t>UTILIZZO FONDI PER QUOTE INUTILIZZATE CONTRIBUTI DI ESERCIZI PRECEDENTI DA SOGGETTI PUBBLICI (EXTRA FONDO) VINCOLATI</t>
  </si>
  <si>
    <t>ALLINEATO CON UTLIZZI PNRR (RISCONTRO PROT 18802/2025)</t>
  </si>
  <si>
    <t>VERIFICARE INSERIMENTO PNRR-RICERCA</t>
  </si>
  <si>
    <t>AA0300</t>
  </si>
  <si>
    <t>Utilizzo fondi per quote inutilizzate contributi di esercizi precedenti per ricerca</t>
  </si>
  <si>
    <t xml:space="preserve">A.3.D  </t>
  </si>
  <si>
    <t>A.3.D) Utilizzo fondi per quote inutilizzate contributi di esercizi precedenti per ricerca</t>
  </si>
  <si>
    <t>4.03.03.01.0101</t>
  </si>
  <si>
    <t>UTILIZZO FONDI PER QUOTE INUTILIZZATE CONTRIBUTI DI ESERCIZI PRECEDENTI PER RICERCA</t>
  </si>
  <si>
    <t>VERIFICA UTILIZZO SOMME</t>
  </si>
  <si>
    <t>AA0310</t>
  </si>
  <si>
    <t>Utilizzo fondi per quote inutilizzate contributi vincolati di esercizi precedenti da privati</t>
  </si>
  <si>
    <t>A.3.E</t>
  </si>
  <si>
    <t>A.3.E) Utilizzo fondi per quote inutilizzate contributi vincolati di esercizi precedenti da privati</t>
  </si>
  <si>
    <t>4.03.04.01.0101</t>
  </si>
  <si>
    <t>UTILIZZO FONDI PER QUOTE INUTILIZZATE CONTRIBUTI VINCOLATI DI ESERCIZI PRECEDENTI DA PRIVATI</t>
  </si>
  <si>
    <t>AA0320</t>
  </si>
  <si>
    <t>Ricavi per prestazioni sanitarie e sociosanitarie a rilevanza sanitaria</t>
  </si>
  <si>
    <t xml:space="preserve">A.4 </t>
  </si>
  <si>
    <t>A.4)  Ricavi per prestazioni sanitarie e sociosanitarie a rilevanza sanitaria</t>
  </si>
  <si>
    <t>AA0330</t>
  </si>
  <si>
    <t>Ricavi per prestazioni sanitarie e sociosanitarie a rilevanza sanitaria erogate a soggetti pubblici</t>
  </si>
  <si>
    <t>A.4.A</t>
  </si>
  <si>
    <t xml:space="preserve">A.4.A)  Ricavi per prestazioni sanitarie e sociosanitarie a rilevanza sanitaria erogate a soggetti pubblici </t>
  </si>
  <si>
    <t>AA0340</t>
  </si>
  <si>
    <t>Prestazioni. sanitarie e sociosanitarie a rilevanza sanitaria erogate ad Aziende sanitarie pubbliche della Regione</t>
  </si>
  <si>
    <t>A.4.A.1</t>
  </si>
  <si>
    <t>A.4.A.1)  Ricavi per prestaz. sanitarie  e sociosanitarie a rilevanza sanitaria erogate ad Aziende sanitarie pubbliche della Regione</t>
  </si>
  <si>
    <t>4.04.01.01.0101</t>
  </si>
  <si>
    <t>PRESTAZIONI DI RICOVERO AD ASSISTITI DI ASP REGIONE</t>
  </si>
  <si>
    <t>VALORIZZAZIONE TAB A 05/06/2025</t>
  </si>
  <si>
    <t>VALORIZZAZIONE AL 15/05/2025 - INTERCOMPANY</t>
  </si>
  <si>
    <t>Prestazioni di ricovero ad Assistiti di ASP Regione</t>
  </si>
  <si>
    <t>A.4.A.1.1</t>
  </si>
  <si>
    <t>A.4.A.1.1) Prestazioni di ricovero</t>
  </si>
  <si>
    <t>4.04.01.01.0201</t>
  </si>
  <si>
    <t>PRESTAZIONI DI RICOVERO DA PRIVATI ACCREDITATI AD ASSISTITI DI ASP REGIONE</t>
  </si>
  <si>
    <t>Prestazioni di ricovero da privati accreditati ad Assistiti di ASP Regione</t>
  </si>
  <si>
    <t>4.04.01.01.0301</t>
  </si>
  <si>
    <t>PRESTAZIONI DI SPECIALISTICA AMBULATORIALE AD ASSISTITI DI ASP REGIONE</t>
  </si>
  <si>
    <t>Prestazioni di specialistica ambulatoriale ad Assistiti di ASP Regione</t>
  </si>
  <si>
    <t>A.4.A.1.2</t>
  </si>
  <si>
    <t>A.4.A.1.2) Prestazioni di specialistica ambulatoriale</t>
  </si>
  <si>
    <t>4.04.01.01.0401</t>
  </si>
  <si>
    <t>PRESTAZIONI DI SPECIALISTICA AMBULATORIALE DA PRIVATI ACCREDITATI AD ASSISTITI DI ASP REGIONE</t>
  </si>
  <si>
    <t>Prestazioni di specialistica ambulatoriale da privati accreditati ad Assistiti di ASP Regione</t>
  </si>
  <si>
    <t>AA0361</t>
  </si>
  <si>
    <t>4.04.01.01.2101</t>
  </si>
  <si>
    <t>Prestazioni di pronto soccorso non seguite da ricovero</t>
  </si>
  <si>
    <t>A.4.A.1.3</t>
  </si>
  <si>
    <t>A.4.A.1.3) Prestazioni di pronto soccorso non seguite da ricovero</t>
  </si>
  <si>
    <t>4.04.01.01.0501</t>
  </si>
  <si>
    <t>PRESTAZIONI DI PSICHIATRIA RESIDENZIALE E SEMIRESIDENZIALE</t>
  </si>
  <si>
    <t>A.4.A.1.4</t>
  </si>
  <si>
    <t>A.4.A.1.4) Prestazioni di psichiatria residenziale e semiresidenziale</t>
  </si>
  <si>
    <t>4.04.01.01.0601</t>
  </si>
  <si>
    <t>PRESTAZIONI DI FILE F</t>
  </si>
  <si>
    <t>A.4.A.1.5</t>
  </si>
  <si>
    <t>A.4.A.1.5) Prestazioni di File F</t>
  </si>
  <si>
    <t>4.04.01.01.2001</t>
  </si>
  <si>
    <t>Prestazioni di File T</t>
  </si>
  <si>
    <t>A.4.A.1.5) Prestazioni di File T</t>
  </si>
  <si>
    <t>4.04.01.01.0701</t>
  </si>
  <si>
    <t>PRESTAZIONI SERVIZI MMG, PLS, CONTINUITA. ASSISTENZIALE</t>
  </si>
  <si>
    <t>Prestazioni servizi MMG, PLS, Continuità. assistenziale</t>
  </si>
  <si>
    <t>A.4.A.1.6</t>
  </si>
  <si>
    <t>A.4.A.1.6) Prestazioni servizi MMG, PLS, Contin. assistenziale</t>
  </si>
  <si>
    <t>4.04.01.01.0801</t>
  </si>
  <si>
    <t>PRESTAZIONI SERVIZI FARMACEUTICA CONVENZIONATA</t>
  </si>
  <si>
    <t>A.4.A.1.7</t>
  </si>
  <si>
    <t>A.4.A.1.7) Prestazioni servizi farmaceutica convenzionata</t>
  </si>
  <si>
    <t>4.04.01.01.0901</t>
  </si>
  <si>
    <t>PRESTAZIONI TERMALI</t>
  </si>
  <si>
    <t>A.4.A.1.8</t>
  </si>
  <si>
    <t>A.4.A.1.8) Prestazioni termali</t>
  </si>
  <si>
    <t>4.04.01.01.1001</t>
  </si>
  <si>
    <t>PRESTAZIONI TRASPORTO AMBULANZE ED ELISOCCORSO</t>
  </si>
  <si>
    <t>A.4.A.1.9</t>
  </si>
  <si>
    <t>A.4.A.1.9) Prestazioni trasporto ambulanze ed elisoccorso</t>
  </si>
  <si>
    <t>AA0421</t>
  </si>
  <si>
    <t>4.04.01.01.1801</t>
  </si>
  <si>
    <t>Prestazioni assistenza integrativa</t>
  </si>
  <si>
    <t xml:space="preserve"> Prestazioni assistenza integrativa</t>
  </si>
  <si>
    <t>A.4.A.1.10</t>
  </si>
  <si>
    <t>A.4.A.1.10) Prestazioni assistenza integrativa</t>
  </si>
  <si>
    <t>AA0422</t>
  </si>
  <si>
    <t>4.04.01.01.1901</t>
  </si>
  <si>
    <t>Prestazioni assistenza protesica</t>
  </si>
  <si>
    <t xml:space="preserve"> Prestazioni assistenza protesica</t>
  </si>
  <si>
    <t>A.4.A.1.11</t>
  </si>
  <si>
    <t>A.4.A.1.11) Prestazioni assistenza protesica</t>
  </si>
  <si>
    <t>AA0423</t>
  </si>
  <si>
    <t>4.04.01.01.1401</t>
  </si>
  <si>
    <t>Prestazioni assistenza riabilitativa extra-ospedaliera</t>
  </si>
  <si>
    <t>Prestazioni assistenza riabilitativa extraospedaliera</t>
  </si>
  <si>
    <t>A.4.A.1.12</t>
  </si>
  <si>
    <t>A.4.A.1.12) Prestazioni assistenza riabilitativa extraospedaliera</t>
  </si>
  <si>
    <t>AA0424</t>
  </si>
  <si>
    <t>4.04.01.01.1101</t>
  </si>
  <si>
    <t>A.4.A.1.13</t>
  </si>
  <si>
    <t>A.4.A.1.13) Ricavi per cessione di emocomponenti e cellule staminali</t>
  </si>
  <si>
    <t>AA0425</t>
  </si>
  <si>
    <t>4.04.01.01.1301</t>
  </si>
  <si>
    <t>Prestazioni assistenza domiciliare integrata (ADI)</t>
  </si>
  <si>
    <t>A.4.A.1.14</t>
  </si>
  <si>
    <t>A.4.A.1.14) Prestazioni assistenza domiciliare integrata (ADI)</t>
  </si>
  <si>
    <t>4.04.01.01.1201</t>
  </si>
  <si>
    <t>Proventi da accertamenti su visite fiscali - Aziende sanitarie pubbliche della Regione</t>
  </si>
  <si>
    <t>A.4.A.1.15</t>
  </si>
  <si>
    <t>A.4.A.1.15) Altre prestazioni sanitarie e socio-sanitarie a rilevanza sanitaria</t>
  </si>
  <si>
    <t>4.04.01.01.1501</t>
  </si>
  <si>
    <t>Assistenza RSA - Aziende sanitarie pubbliche della Regione</t>
  </si>
  <si>
    <t>4.04.01.01.1601</t>
  </si>
  <si>
    <t>Assistenza in Hospice - Aziende sanitarie pubbliche della Regione</t>
  </si>
  <si>
    <t>4.04.01.01.1701</t>
  </si>
  <si>
    <t>ASSISTENZA DIPENDENZE - AZIENDE SANITARIE PUBBLICHE DELLA REGIONE</t>
  </si>
  <si>
    <t>Assistenza dipendenze - Aziende sanitarie pubbliche della Regione</t>
  </si>
  <si>
    <t>4.04.01.01.9901</t>
  </si>
  <si>
    <t>Altre prestazioni sanitarie e socio-sanitarie a rilevanza sanitaria - Aziende sanitarie pubbliche della Regione</t>
  </si>
  <si>
    <t>4.04.01.01.9902</t>
  </si>
  <si>
    <t>Altre prestazioni sanitarie e socio-sanitarie a rilevanza sanitaria "COVID"- Aziende sanitarie pubbliche della Regione</t>
  </si>
  <si>
    <t>Altre prestazioni sanitarie e socio-sanitarie a rilevanza sanitaria "COVID"- Aziende sanitarie pubbliche</t>
  </si>
  <si>
    <t>4.04.01.01.9903</t>
  </si>
  <si>
    <t>RICAVI PER ATTIVITA' PERITALE ISTITUZIONALE - Aziende sanitarie pubbliche della Regione</t>
  </si>
  <si>
    <t xml:space="preserve">RICAVI PER ATTIVITA' PERITALE ISTITUZIONALE - Aziende sanitarie pubbliche della Regione </t>
  </si>
  <si>
    <t>AA0440</t>
  </si>
  <si>
    <t>Prestazioni sanitarie e sociosanitarie a rilevanza sanitaria erogate ad altri soggetti pubblici</t>
  </si>
  <si>
    <t xml:space="preserve">A.4.A.2  </t>
  </si>
  <si>
    <t>A.4.A.2)  Ricavi per prestaz. sanitarie e sociosanitarie a rilevanza sanitaria erogate ad altri soggetti pubblici</t>
  </si>
  <si>
    <t>4.04.01.02.0101</t>
  </si>
  <si>
    <t>PROVENTI DA ACCERTAMENTI SU VISITE FISCALI - ALTRI SOGGETTI PUBBLICI</t>
  </si>
  <si>
    <t>Proventi da accertamenti su visite fiscali - Altri soggetti pubblici</t>
  </si>
  <si>
    <t>A.4.A.2) Ricavi per prestaz. sanitarie e sociosanitarie a rilevanza sanitaria erogate ad altri soggetti pubblici</t>
  </si>
  <si>
    <t>4.04.01.02.0201</t>
  </si>
  <si>
    <t>Proventi per cessione sangue ed emoderivati - - Altri soggetti pubblici</t>
  </si>
  <si>
    <t>4.04.01.02.0202</t>
  </si>
  <si>
    <t>RICAVI PER PRESTAZ. SANITARIE E SOCIOSANITARIE EROGATE AD ALTRI SOGGETTI PUBBLICI DELLA REGIONE</t>
  </si>
  <si>
    <t>4.04.01.02.0301</t>
  </si>
  <si>
    <t>RICAVI PER ALTRI SERVIZI SANITARI - ALTRI SOGGETTI PUBBLICI</t>
  </si>
  <si>
    <t>RICAVI PER ALTRI SERVIZI SANITARI ALTRI SOGGETTI PUBBLICI</t>
  </si>
  <si>
    <t>Altri Ricavi per prestaz. sanitarie e sociosanitarie a rilevanza sanitaria erogate ad altri soggetti pubblici</t>
  </si>
  <si>
    <t>4.04.01.02.0302</t>
  </si>
  <si>
    <t>RICAVI PER SERVIZI AD AMMINISTRAZIONI STATALI</t>
  </si>
  <si>
    <t>4.04.01.02.0303</t>
  </si>
  <si>
    <t>4.04.01.02.0304</t>
  </si>
  <si>
    <t>Altri Ricavi per prestaz. sanitarie e sociosanitarie a rilevanza sanitaria "COVID" erogate ad altri soggetti pubblici</t>
  </si>
  <si>
    <t>AA0450</t>
  </si>
  <si>
    <t>Prestazioni sanitarie e sociosanitarie a rilevanza sanitaria erogate a soggetti pubblici Extraregione</t>
  </si>
  <si>
    <t xml:space="preserve">A.4.A.3  </t>
  </si>
  <si>
    <t>A.4.A.3)   Ricavi per prestaz. sanitarie e sociosanitarie a rilevanza sanitaria erogate a soggetti pubblici Extraregione</t>
  </si>
  <si>
    <t>4.04.01.03.0101</t>
  </si>
  <si>
    <t>PRESTAZIONI DI RICOVERO - EXTRAREGIONE</t>
  </si>
  <si>
    <t>VALORIZZAZIONE AL 15/05/2025</t>
  </si>
  <si>
    <t>Prestazioni di ricovero - ExtraRegione</t>
  </si>
  <si>
    <t>A.4.A.3.1</t>
  </si>
  <si>
    <t>A.4.A.3.1) Prestazioni di ricovero</t>
  </si>
  <si>
    <t>4.04.01.03.0201</t>
  </si>
  <si>
    <t>PRESTAZIONI AMBULATORIALI - EXTRAREGIONE</t>
  </si>
  <si>
    <t>Prestazioni ambulatoriali - ExtraRegione</t>
  </si>
  <si>
    <t>A.4.A.3.2</t>
  </si>
  <si>
    <t>A.4.A.3.2) Prestazioni ambulatoriali</t>
  </si>
  <si>
    <t>AA0471</t>
  </si>
  <si>
    <t>4.04.01.03.2401</t>
  </si>
  <si>
    <t>Prestazioni pronto soccorso non seguite da ricovero - ExtraRegione</t>
  </si>
  <si>
    <t xml:space="preserve"> Prestazioni pronto soccorso non seguite da ricovero - ExtraRegione</t>
  </si>
  <si>
    <t>A.4.A.3.3</t>
  </si>
  <si>
    <t>A.4.A.3.3) Prestazioni pronto soccorso non seguite da ricovero</t>
  </si>
  <si>
    <t>4.04.01.03.0301</t>
  </si>
  <si>
    <t>PRESTAZIONI DI PSICHIATRIA NON SOGGETTA A COMPENSAZIONE (RESIDENZIALE E SEMIRESIDENZIALE) - EXTRAREGIONE</t>
  </si>
  <si>
    <t>Prestazioni di psichiatria non soggetta a compensazione (residenziale e semiresidenziale) - ExtraRegione</t>
  </si>
  <si>
    <t>A.4.A.3.4</t>
  </si>
  <si>
    <t>A.4.A.3.4) Prestazioni di psichiatria non soggetta a compensazione (resid. e semiresid.)</t>
  </si>
  <si>
    <t>4.04.01.03.0401</t>
  </si>
  <si>
    <t>Prestazioni di File F - Extra-Regione</t>
  </si>
  <si>
    <t>Prestazioni di File F - ExtraRegione</t>
  </si>
  <si>
    <t>A.4.A.3.5</t>
  </si>
  <si>
    <t>A.4.A.3.5) Prestazioni di File F</t>
  </si>
  <si>
    <t>4.04.01.03.2301</t>
  </si>
  <si>
    <t>Prestazioni di File T - ExtraRegione</t>
  </si>
  <si>
    <t>A.4.A.3.5) Prestazioni di File T</t>
  </si>
  <si>
    <t>4.04.01.03.0501</t>
  </si>
  <si>
    <t>PRESTAZIONI SERVIZI MMG, PLS, CONTINUITA' ASSISTENZIALE EXTRAREGIONE</t>
  </si>
  <si>
    <t>Prestazioni servizi MMG, PLS, Continuità assistenziale Extraregione</t>
  </si>
  <si>
    <t>A.4.A.3.6</t>
  </si>
  <si>
    <t>A.4.A.3.6) Prestazioni servizi MMG, PLS, Contin. assistenziale Extraregione</t>
  </si>
  <si>
    <t>4.04.01.03.0601</t>
  </si>
  <si>
    <t>PRESTAZIONI SERVIZI FARMACEUTICA CONVENZIONATA EXTRAREGIONE</t>
  </si>
  <si>
    <t>Prestazioni servizi farmaceutica convenzionata Extraregione</t>
  </si>
  <si>
    <t>A.4.A.3.7</t>
  </si>
  <si>
    <t>A.4.A.3.7) Prestazioni servizi farmaceutica convenzionata Extraregione</t>
  </si>
  <si>
    <t>4.04.01.03.0701</t>
  </si>
  <si>
    <t>PRESTAZIONI TERMALI EXTRAREGIONE</t>
  </si>
  <si>
    <t>Prestazioni termali Extraregione</t>
  </si>
  <si>
    <t>A.4.A.3.8</t>
  </si>
  <si>
    <t>A.4.A.3.8) Prestazioni termali Extraregione</t>
  </si>
  <si>
    <t>4.04.01.03.0801</t>
  </si>
  <si>
    <t>PRESTAZIONI TRASPORTO AMBULANZE ED ELISOCCORSO EXTRAREGIONE</t>
  </si>
  <si>
    <t>Prestazioni trasporto ambulanze ed elisoccorso Extraregione</t>
  </si>
  <si>
    <t>A.4.A.3.9</t>
  </si>
  <si>
    <t>A.4.A.3.9) Prestazioni trasporto ambulanze ed elisoccorso Extraregione</t>
  </si>
  <si>
    <t>AA0541</t>
  </si>
  <si>
    <t>4.04.01.03.1601</t>
  </si>
  <si>
    <t>Assistenza integrativa -  ExtraRegione</t>
  </si>
  <si>
    <t>A.4.A.3.10</t>
  </si>
  <si>
    <t>A.4.A.3.10) Prestazioni assistenza integrativa da pubblico (extraregione)</t>
  </si>
  <si>
    <t>AA0542</t>
  </si>
  <si>
    <t>4.04.01.03.1701</t>
  </si>
  <si>
    <t>Assistenza protesica -  ExtraRegione</t>
  </si>
  <si>
    <t>A.4.A.3.11</t>
  </si>
  <si>
    <t>A.4.A.3.11) Prestazioni assistenza protesica da pubblico (extraregione)</t>
  </si>
  <si>
    <t>4.04.01.03.1901</t>
  </si>
  <si>
    <t>Ricavi per cessione di emocomponenti e cellule staminali Extraregione</t>
  </si>
  <si>
    <t>A.4.A.3.12</t>
  </si>
  <si>
    <t>A.4.A.3.12) Ricavi per cessione di emocomponenti e cellule staminali Extraregione</t>
  </si>
  <si>
    <t>4.04.01.03.2001</t>
  </si>
  <si>
    <t>Ricavi GSA per differenziale saldo mobilità interregionale</t>
  </si>
  <si>
    <t xml:space="preserve"> Ricavi GSA per differenziale saldo mobilità interregionale</t>
  </si>
  <si>
    <t>A.4.A.3.13</t>
  </si>
  <si>
    <t>A.4.A.3.13) Ricavi GSA per differenziale saldo mobilità interregionale</t>
  </si>
  <si>
    <t>AA0561</t>
  </si>
  <si>
    <t>4.04.01.03.1001</t>
  </si>
  <si>
    <t>PROVENTI DA ACCERTAMENTI SU VISITE FISCALI -  EXTRAREGIONE</t>
  </si>
  <si>
    <t>Proventi da accertamenti su visite fiscali -  ExtraRegione</t>
  </si>
  <si>
    <t>A.4.A.3.14</t>
  </si>
  <si>
    <t>A.4.A.3.14) Altre prestazioni sanitarie e sociosanitarie a rilevanza sanitaria erogate a soggetti pubblici Extraregione</t>
  </si>
  <si>
    <t>4.04.01.03.1101</t>
  </si>
  <si>
    <t>PRESTAZIONI PER ADI -  EXTRAREGIONE</t>
  </si>
  <si>
    <t>Prestazioni per ADI -  ExtraRegione</t>
  </si>
  <si>
    <t>4.04.01.03.1201</t>
  </si>
  <si>
    <t>ASSISTENZA RIABILITATIVA EX ART. 26 -  EXTRAREGIONE</t>
  </si>
  <si>
    <t>Assistenza riabilitativa ex art. 26 -  ExtraRegione</t>
  </si>
  <si>
    <t>4.04.01.03.1301</t>
  </si>
  <si>
    <t>Assistenza RSA - ExtraRegione</t>
  </si>
  <si>
    <t>4.04.01.03.1401</t>
  </si>
  <si>
    <t>ASSISTENZA IN HOSPICE -  EXTRAREGIONE</t>
  </si>
  <si>
    <t>Assistenza in Hospice -  ExtraRegione</t>
  </si>
  <si>
    <t>4.04.01.03.1501</t>
  </si>
  <si>
    <t>ASSISTENZA DIPENDENZE -  EXTRAREGIONE</t>
  </si>
  <si>
    <t>Assistenza dipendenze -  ExtraRegione</t>
  </si>
  <si>
    <t>4.04.01.03.1801</t>
  </si>
  <si>
    <t>ALTRE PRESTAZIONI SANITARIE E SOCIOSANITARIE A RILEVANZA SANITARIA EXTRAREGIONE</t>
  </si>
  <si>
    <t>Altre prestazioni sanitarie e sociosanitarie a rilevanza sanitaria Extraregione</t>
  </si>
  <si>
    <t>AA0580</t>
  </si>
  <si>
    <t>4.04.01.03.2101</t>
  </si>
  <si>
    <t>PRESTAZIONI DI ASSISTENZA RIABILITATIVA NON SOGGETTE A COMPENSAZIONE EXTRAREGIONE</t>
  </si>
  <si>
    <t>Prestazioni di assistenza riabilitativa non soggette a compensazione Extraregione</t>
  </si>
  <si>
    <t xml:space="preserve">A.4.A.3.15.A </t>
  </si>
  <si>
    <t>A.4.A.3.15.A) Prestazioni di assistenza riabilitativa non soggette a compensazione Extraregione</t>
  </si>
  <si>
    <t>AA0590</t>
  </si>
  <si>
    <t>4.04.01.03.2201</t>
  </si>
  <si>
    <t>ALTRE PRESTAZIONI SANITARIE E SOCIO-SANITARIE A RILEVANZA SANITARIA NON SOGGETTE A COMPENSAZIONE EXTRAREGIONE</t>
  </si>
  <si>
    <t>Altre prestazioni sanitarie e socio-sanitarie a rilevanza sanitaria non soggette a compensazione Extraregione</t>
  </si>
  <si>
    <t>A.4.A.3.15.B</t>
  </si>
  <si>
    <t>A.4.A.3.15.B) Altre prestazioni sanitarie e socio-sanitarie a rilevanza sanitaria non soggette a compensazione Extraregione</t>
  </si>
  <si>
    <t>AA0600</t>
  </si>
  <si>
    <t>4.04.01.03.9901</t>
  </si>
  <si>
    <t>ALTRE PRESTAZIONI SANITARIE A RILEVANZA SANITARIA - MOBILITA' ATTIVA INTERNAZIONALE</t>
  </si>
  <si>
    <t>TAB A</t>
  </si>
  <si>
    <t>Altre prestazioni sanitarie a rilevanza sanitaria - Mobilità attiva Internazionale</t>
  </si>
  <si>
    <t>A.4.A.3.16</t>
  </si>
  <si>
    <t>A.4.A.3.16) Altre prestazioni sanitarie a rilevanza sanitaria - Mobilità attiva Internazionale</t>
  </si>
  <si>
    <t>AA0601</t>
  </si>
  <si>
    <t>4.04.01.03.2501</t>
  </si>
  <si>
    <t>Altre prestazioni sanitarie a rilevanza sanitaria - Mobilità attiva Internazionale  rilevata dalle AO, AOU, IRCCS.</t>
  </si>
  <si>
    <t>A.4.A.3.17</t>
  </si>
  <si>
    <t>A.4.A.3.17) Altre prestazioni sanitarie a rilevanza sanitaria - Mobilità attiva Internazionale rilevata dalle AO, AOU, IRCCS.</t>
  </si>
  <si>
    <t>AA0602</t>
  </si>
  <si>
    <t>4.04.01.03.2601</t>
  </si>
  <si>
    <t>Altre prestazioni sanitarie a rilevanza sanitaria - Mobilita attiva Internazionale ad Aziende sanitarie e casse mutua estera - (fatturate direttamente)</t>
  </si>
  <si>
    <t>Altre prestazioni sanitarie a rilevanza sanitaria - Mobilità attiva Internazionale ad Aziende sanitarie e casse mutua estera - (fatturate direttamente)</t>
  </si>
  <si>
    <t>A.4.A.3.18</t>
  </si>
  <si>
    <t>A.4.A.3.18) Altre prestazioni sanitarie e sociosanitarie a rilevanza sanitaria ad Aziende sanitarie e casse mutua estera - (fatturate direttamente)</t>
  </si>
  <si>
    <t>AA0610</t>
  </si>
  <si>
    <t>Ricavi per prestazioni sanitarie e sociosanitarie a rilevanza sanitaria erogate da privati v/residenti Extraregione in compensazione (mobilità attiva)</t>
  </si>
  <si>
    <t xml:space="preserve">A.4.B  </t>
  </si>
  <si>
    <t>A.4.B)  Ricavi per prestazioni sanitarie e sociosanitarie a rilevanza sanitaria erogate da privati v/residenti Extraregione in compensazione (mobilità attiva)</t>
  </si>
  <si>
    <t>AA0620</t>
  </si>
  <si>
    <t>Prestazioni di ricovero da privati Extraregione in compensazione (mobilità attiva)</t>
  </si>
  <si>
    <t xml:space="preserve">A.4.B.1  </t>
  </si>
  <si>
    <t>A.4.B.1)  Prestazioni di ricovero da priv. Extraregione in compensazione (mobilità attiva)</t>
  </si>
  <si>
    <t>4.04.02.01.0101</t>
  </si>
  <si>
    <t>PRESTAZIONI DI RICOVERO DA PRIVATI EXTRAREGIONE IN COMPENSAZIONE (MOBILITA' ATTIVA)</t>
  </si>
  <si>
    <t>A.4.B.1) Prestazioni di ricovero da priv. Extraregione in compensazione (mobilità attiva)</t>
  </si>
  <si>
    <t>AA0630</t>
  </si>
  <si>
    <t>Prestazioni ambulatoriali da privati Extraregione in compensazione (mobilità attiva)</t>
  </si>
  <si>
    <t xml:space="preserve">A.4.B.2  </t>
  </si>
  <si>
    <t>A.4.B.2)  Prestazioni ambulatoriali da priv. Extraregione in compensazione  (mobilità attiva)</t>
  </si>
  <si>
    <t>4.04.02.02.0101</t>
  </si>
  <si>
    <t>PRESTAZIONI AMBULATORIALI DA PRIVATI EXTRAREGIONE IN COMPENSAZIONE (MOBILITA' ATTIVA)</t>
  </si>
  <si>
    <t>A.4.B.2) Prestazioni ambulatoriali da priv. Extraregione in compensazione (mobilità attiva)</t>
  </si>
  <si>
    <t>AA0631</t>
  </si>
  <si>
    <t>Prestazioni  di pronto soccorso non segute da ricovero da priv. Extraregione in compensazione  (mobilità attiva)</t>
  </si>
  <si>
    <t>A.4.B.3</t>
  </si>
  <si>
    <t>A.4.B.3)  Prestazioni  di pronto soccorso non segute da ricovero da priv. Extraregione in compensazione  (mobilità attiva)</t>
  </si>
  <si>
    <t>4.04.02.05.0101</t>
  </si>
  <si>
    <t>Prestazioni  di pronto soccorso non seguite da ricovero da priv. Extraregione in compensazione  (mobilità attiva)</t>
  </si>
  <si>
    <t>AA0640</t>
  </si>
  <si>
    <t>Prestazioni di File F da privati Extraregione in compensazione (mobilità attiva)</t>
  </si>
  <si>
    <t>A.4.B.4</t>
  </si>
  <si>
    <t>A.4.B.4)  Prestazioni di File F da priv. Extraregione in compensazione (mobilità attiva)</t>
  </si>
  <si>
    <t>4.04.02.03.0101</t>
  </si>
  <si>
    <t>PRESTAZIONI DI FILE F DA PRIVATI EXTRAREGIONE IN COMPENSAZIONE (MOBILITA' ATTIVA)</t>
  </si>
  <si>
    <t>AA0650</t>
  </si>
  <si>
    <t>Altre prestazioni sanitarie e sociosanitarie a rilevanza sanitaria erogate da privati v/residenti Extraregione in compensazione (mobilità attiva)</t>
  </si>
  <si>
    <t>A.4.B.5</t>
  </si>
  <si>
    <t>A.4.B.5) Altre prestazioni sanitarie e sociosanitarie a rilevanza sanitaria erogate da privati v/residenti Extraregione in compensazione (mobilità attiva)</t>
  </si>
  <si>
    <t>4.04.02.04.0101</t>
  </si>
  <si>
    <t>ALTRE PRESTAZIONI SANITARIE E SOCIOSANITARIE A RILEVANZA SANITARIA EROGATE DA PRIVATI V/RESIDENTI EXTRAREGIONE IN COMPENSAZIONE (MOBILIT</t>
  </si>
  <si>
    <t>4.04.02.04.0102</t>
  </si>
  <si>
    <t>ALTRE PRESTAZIONE SANITARIE CRT EXTRA REGIONE</t>
  </si>
  <si>
    <t>AA0660</t>
  </si>
  <si>
    <t>Ricavi per prestazioni sanitarie e sociosanitarie a rilevanza sanitaria erogate a privati</t>
  </si>
  <si>
    <t xml:space="preserve">A.4.C  </t>
  </si>
  <si>
    <t>A.4.C) Ricavi per prestazioni sanitarie e sociosanitarie a rilevanza sanitaria erogate a privati</t>
  </si>
  <si>
    <t>Prestazioni sanitarie e sociosanitarie a rilevanza sanitaria erogate a privati</t>
  </si>
  <si>
    <t>4.04.03.01.0101</t>
  </si>
  <si>
    <t>PROVENTI PER RILASCIO CARTELLE CLINICHE, RADIOGRAFIE E CERTIFICATI</t>
  </si>
  <si>
    <t>Proventi per rilascio cartelle cliniche, radiografie e certificati</t>
  </si>
  <si>
    <t>4.04.03.01.0102</t>
  </si>
  <si>
    <t>PROVENTI PER RILASCIO FOTOCOPIE CARTELLE CLINICHE</t>
  </si>
  <si>
    <t>4.04.03.01.0103</t>
  </si>
  <si>
    <t>PROVENTI PER RILASCIO CERTIFICAZIONI PRESTAZIONI SUES 118</t>
  </si>
  <si>
    <t>4.04.03.01.0201</t>
  </si>
  <si>
    <t>PROVENTI PER SANZIONI, MULTE, AMMENDE E CONTRAVVENZIONI DI VIGILI SANITARI</t>
  </si>
  <si>
    <t>Proventi per sanzioni, multe, ammende e contravvenzioni di vigili sanitari</t>
  </si>
  <si>
    <t>4.04.03.01.0301</t>
  </si>
  <si>
    <t>PROVENTI SPERIMENTAZIONI FARMACI E CLINICHE</t>
  </si>
  <si>
    <t>Proventi sperimentazioni farmaci e cliniche</t>
  </si>
  <si>
    <t>4.04.03.01.0302</t>
  </si>
  <si>
    <t>PROVENTI FARMACIA DA SPERIMENTAZIONI</t>
  </si>
  <si>
    <t>4.04.03.01.0401</t>
  </si>
  <si>
    <t>PROVENTI DA ACCERTAMENTI SU VISITE FISCALI - PRIVATI</t>
  </si>
  <si>
    <t>Proventi da accertamenti su visite fiscali - privati</t>
  </si>
  <si>
    <t>4.04.03.01.0501</t>
  </si>
  <si>
    <t>CESSIONE, FARMACI, EMODERIVATI ED EMOCOMPONENTI  - PRIVATI</t>
  </si>
  <si>
    <t>Cessione, Farmaci, emoderivati ed emocomponenti  - privati</t>
  </si>
  <si>
    <t>4.04.03.01.9901</t>
  </si>
  <si>
    <t>ALTRI RICAVI PER PRESTAZIONI SANITARIE EROGATE A SOGGETTI PRIVATI</t>
  </si>
  <si>
    <t>Altri ricavi per prestazioni sanitarie erogate a soggetti privati</t>
  </si>
  <si>
    <t>4.04.03.01.9902</t>
  </si>
  <si>
    <t>PROVENTI SPERIMENTAZIONI ESTERNE</t>
  </si>
  <si>
    <t>4.04.03.01.9903</t>
  </si>
  <si>
    <t>ALTRI RICAVI PER PRESTAZIONI SANITARIE "COVID" EROGATE A SOGGETTI PRIVATI</t>
  </si>
  <si>
    <t>AA0670</t>
  </si>
  <si>
    <t>Ricavi per prestazioni sanitarie erogate in regime di intramoenia</t>
  </si>
  <si>
    <t xml:space="preserve">A.4.D  </t>
  </si>
  <si>
    <t>A.4.D)  Ricavi per prestazioni sanitarie erogate in regime di intramoenia</t>
  </si>
  <si>
    <t>Prestazioni sanitarie intramoenia - Area ospedaliera</t>
  </si>
  <si>
    <t xml:space="preserve">A.4.D.1  </t>
  </si>
  <si>
    <t>A.4.D.1)  Ricavi per prestazioni sanitarie intramoenia - Area ospedaliera</t>
  </si>
  <si>
    <t>4.04.04.01.0101</t>
  </si>
  <si>
    <t>RICAVI PER PRESTAZIONI SANITARIE  IN REGIME DI RICOVERO IN  INTRAMOENIA - (ALPI)</t>
  </si>
  <si>
    <t>Ricavi per prestazioni sanitarie  in regime di ricovero in  intramoenia - (ALPI)</t>
  </si>
  <si>
    <t>A.4.D.1) Ricavi per prestazioni sanitarie intramoenia - Area ospedaliera</t>
  </si>
  <si>
    <t>Prestazioni sanitarie intramoenia - Area specialistica</t>
  </si>
  <si>
    <t xml:space="preserve">A.4.D.2  </t>
  </si>
  <si>
    <t>A.4.D.2) Ricavi per prestazioni sanitarie intramoenia - Area specialistica</t>
  </si>
  <si>
    <t>4.04.04.02.0101</t>
  </si>
  <si>
    <t>RICAVI PER PRESTAZIONI SANITARIE SPECIALISTICHE AMBULATORIALI  IN  INTRAMOENIA  - PRESSO SPAZI ESTERNI ALL'AZIENDA (STUDI PROFESSIONALI)</t>
  </si>
  <si>
    <t>Ricavi per prestazioni sanitarie specialistiche ambulatoriali  in  intramoenia - (ALPI) - presso spazi interni all'Azienda</t>
  </si>
  <si>
    <t>4.04.04.02.0201</t>
  </si>
  <si>
    <t>RICAVI PER PRESTAZIONI SANITARIE SPECIALISTICHE AMBULATORIALI  IN  INTRAMOENIA - (ALPI) - PRESSO SPAZI INTERNI ALL'AZIENDA</t>
  </si>
  <si>
    <t>Ricavi per prestazioni sanitarie specialistiche ambulatoriali  in  intramoenia  - presso spazi esterni all'Azienda (Studi professionali)</t>
  </si>
  <si>
    <t>Prestazioni sanitarie intramoenia - Area sanità pubblica</t>
  </si>
  <si>
    <t xml:space="preserve">A.4.D.3  </t>
  </si>
  <si>
    <t>A.4.D.3) Ricavi per prestazioni sanitarie intramoenia - Area sanità pubblica</t>
  </si>
  <si>
    <t>4.04.04.03.0101</t>
  </si>
  <si>
    <t>RICAVI PER PRESTAZIONI SANITARIE DI SANITA' PUBBLICA IN  INTRAMOENIA -(ALPI)</t>
  </si>
  <si>
    <t>Ricavi per prestazioni sanitarie di sanità pubblica in  intramoenia - (ALPI)</t>
  </si>
  <si>
    <t>Prestazioni sanitarie intramoenia - Consulenze (ex art. 55 c. 1 lett. c), d) ed ex art. 57-58)</t>
  </si>
  <si>
    <t xml:space="preserve">A.4.D.4  </t>
  </si>
  <si>
    <t>A.4.D.4) Ricavi per prestazioni sanitarie intramoenia - Consulenze (ex art. 55 c. 1 lett. c), d) ed ex art. 57-58)</t>
  </si>
  <si>
    <t>4.04.04.04.0101</t>
  </si>
  <si>
    <t>RICAVI PER PRESTAZIONI SANITARIE INTRAMOENIA - CONSULENZE (EX ART. 55 C. 1 LETT. C), D) ED EX ART. 57-58)</t>
  </si>
  <si>
    <t>Ricavi per prestazioni sanitarie intramoenia - Consulenze (ex art. 55 c. 1 lett. c), d) ed ex art. 57-58)</t>
  </si>
  <si>
    <t>Prestazioni sanitarie intramoenia - Consulenze (ex art. 55 c. 1 lett. c), d) ed ex art. 57-58) (Aziende sanitarie pubbliche della Regione)</t>
  </si>
  <si>
    <t xml:space="preserve">A.4.D.5  </t>
  </si>
  <si>
    <t>A.4.D.5) Ricavi per prestazioni sanitarie intramoenia - Consulenze (ex art. 55 c. 1 lett. c), d) ed ex art. 57-58) (Aziende sanitarie pubbliche della Regione)</t>
  </si>
  <si>
    <t>4.04.04.05.0101</t>
  </si>
  <si>
    <t>RICAVI PER PRESTAZIONI SANITARIE INTRAMOENIA - CONSULENZE (EX ART. 55C. 1 LETT. C), D) ED EX ART. 57-58) (AZIENDE SANITARIE PUBBLICHE DE</t>
  </si>
  <si>
    <t>Ricavi per prestazioni sanitarie intramoenia - Consulenze (ex art. 55 c. 1 lett. c), d) ed ex art. 57-58) (Aziende sanitarie pubbliche della Regione)</t>
  </si>
  <si>
    <t>Prestazioni sanitarie intramoenia - Altro</t>
  </si>
  <si>
    <t xml:space="preserve">A.4.D.6  </t>
  </si>
  <si>
    <t>A.4.D.6) Ricavi per prestazioni sanitarie intramoenia - Altro</t>
  </si>
  <si>
    <t>4.04.04.06.0101</t>
  </si>
  <si>
    <t>RICAVI PER PRESTAZIONI SANITARIE INTRAMOENIA - ALTRO</t>
  </si>
  <si>
    <t>4.04.04.06.0102</t>
  </si>
  <si>
    <t>RICAVI PER ATTIVITA' PERITALE</t>
  </si>
  <si>
    <t>4.04.04.06.0103</t>
  </si>
  <si>
    <t>RICAVI PER ALTRE ATTIVITA'</t>
  </si>
  <si>
    <t>A.4.D.7) Ricavi per prestazioni sanitarie intramoenia - Altro (Aziende sanitarie pubbliche della Regione)</t>
  </si>
  <si>
    <t>Prestazioni sanitarie intramoenia - Altro (Aziende sanitarie pubbliche della Regione)</t>
  </si>
  <si>
    <t xml:space="preserve">A.4.D.7  </t>
  </si>
  <si>
    <t>4.04.04.07.0101</t>
  </si>
  <si>
    <t>RICAVI PER PRESTAZIONI SANITARIE INTRAMOENIA - ALTRO (AZIENDE SANITARIE PUBBLICHE DELLA REGIONE)</t>
  </si>
  <si>
    <t>AA0750</t>
  </si>
  <si>
    <t>Concorsi, recuperi e rimborsi</t>
  </si>
  <si>
    <t xml:space="preserve">A.5 </t>
  </si>
  <si>
    <t>A.5) Concorsi, recuperi e rimborsi</t>
  </si>
  <si>
    <t>AA0760</t>
  </si>
  <si>
    <t>Rimborsi assicurativi</t>
  </si>
  <si>
    <t xml:space="preserve">A.5.A </t>
  </si>
  <si>
    <t>A.5.A) Rimborsi assicurativi</t>
  </si>
  <si>
    <t>4.05.01.01.0101</t>
  </si>
  <si>
    <t>RIMBORSI ASSICURATIVI</t>
  </si>
  <si>
    <t>4.05.01.01.0102</t>
  </si>
  <si>
    <t>RIMBORSI PER INFORTUNI DA INAIL</t>
  </si>
  <si>
    <t>AA0770</t>
  </si>
  <si>
    <t>Concorsi, recuperi e rimborsi da Regione</t>
  </si>
  <si>
    <t xml:space="preserve">A.5.B </t>
  </si>
  <si>
    <t>A.5.B) Concorsi, recuperi e rimborsi da Regione</t>
  </si>
  <si>
    <t>AA0780</t>
  </si>
  <si>
    <t>Rimborso degli oneri stipendiali del personale dell'azienda in posizione di comando presso la Regione</t>
  </si>
  <si>
    <t xml:space="preserve">A.5.B.1 </t>
  </si>
  <si>
    <t>A.5.B.1) Rimborso degli oneri stipendiali del personale dell'azienda in posizione di comando presso la Regione</t>
  </si>
  <si>
    <t>4.05.02.01.0101</t>
  </si>
  <si>
    <t>RIMBORSO DEGLI ONERI STIPENDIALI DEL PERSONALE DELL'AZIENDA IN POSIZIONE DI COMANDO PRESSO LA REGIONE</t>
  </si>
  <si>
    <t>AA0790</t>
  </si>
  <si>
    <t>Altri concorsi, recuperi e rimborsi da parte della Regione</t>
  </si>
  <si>
    <t xml:space="preserve">A.5.B.2 </t>
  </si>
  <si>
    <t>A.5.B.2) Altri concorsi, recuperi e rimborsi da parte della Regione</t>
  </si>
  <si>
    <t>4.05.02.02.0101</t>
  </si>
  <si>
    <t>ALTRI CONCORSI, RECUPERI E RIMBORSI DA PARTE DELLA REGIONE</t>
  </si>
  <si>
    <t>AA0800</t>
  </si>
  <si>
    <t>Concorsi, recuperi e rimborsi da Aziende sanitarie pubbliche della Regione</t>
  </si>
  <si>
    <t xml:space="preserve">A.5.C </t>
  </si>
  <si>
    <t>A.5.C) Concorsi, recuperi e rimborsi da Aziende sanitarie pubbliche della Regione</t>
  </si>
  <si>
    <t>AA0810</t>
  </si>
  <si>
    <t>Rimborso degli oneri stipendiali del personale dipendente dell'azienda in posizione di comando presso Aziende sanitarie pubbliche della Regione</t>
  </si>
  <si>
    <t xml:space="preserve">A.5.C.1 </t>
  </si>
  <si>
    <t>A.5.C.1) Rimborso degli oneri stipendiali del personale dipendente dell'azienda in posizione di comando presso Aziende sanitarie pubbliche della Regione</t>
  </si>
  <si>
    <t>4.05.03.01.0101</t>
  </si>
  <si>
    <t>RIMBORSO DEGLI ONERI STIPENDIALI DEL PERSONALE DIPENDENTE DELL'AZIENDA IN POSIZIONE DI COMANDO PRESSO AZIENDE SANITARIE PUBBLICHE DELLA</t>
  </si>
  <si>
    <t>AA0820</t>
  </si>
  <si>
    <t>Rimborsi per acquisto beni da parte di Aziende sanitarie pubbliche della Regione</t>
  </si>
  <si>
    <t xml:space="preserve">A.5.C.2 </t>
  </si>
  <si>
    <t>A.5.C.2) Rimborsi per acquisto beni da parte di Aziende sanitarie pubbliche della Regione</t>
  </si>
  <si>
    <t>4.05.03.02.0101</t>
  </si>
  <si>
    <t>RIMBORSI PER ACQUISTO BENI DA PARTE DI AZIENDE SANITARIE PUBBLICHE DELLA REGIONE</t>
  </si>
  <si>
    <t>AA0830</t>
  </si>
  <si>
    <t>Altri concorsi, recuperi e rimborsi da parte di Aziende sanitarie pubbliche della Regione</t>
  </si>
  <si>
    <t xml:space="preserve">A.5.C.3 </t>
  </si>
  <si>
    <t>A.5.C.3) Altri concorsi, recuperi e rimborsi da parte di Aziende sanitarie pubbliche della Regione</t>
  </si>
  <si>
    <t>4.05.03.03.0101</t>
  </si>
  <si>
    <t>ALTRI CONCORSI, RECUPERI E RIMBORSI DA PARTE DI AZIENDE SANITARIE PUBBLICHE DELLA REGIONE</t>
  </si>
  <si>
    <t>INTERCOMPANY+ CONTRIBUTO FARMACI SCLEROSI MULTIPLA 2024</t>
  </si>
  <si>
    <t>AA0831</t>
  </si>
  <si>
    <t>A.5.C.4</t>
  </si>
  <si>
    <t>A.5.C.4) Altri concorsi, recuperi e rimborsi da parte della Regione - GSA</t>
  </si>
  <si>
    <t>4.05.03.04.0101</t>
  </si>
  <si>
    <t>Altri concorsi, recuperi e rimborsi da parte della Regione - GSA</t>
  </si>
  <si>
    <t>AA0840</t>
  </si>
  <si>
    <t>Concorsi, recuperi e rimborsi da altri soggetti pubblici</t>
  </si>
  <si>
    <t xml:space="preserve">A.5.D </t>
  </si>
  <si>
    <t>A.5.D) Concorsi, recuperi e rimborsi da altri soggetti pubblici</t>
  </si>
  <si>
    <t>AA0850</t>
  </si>
  <si>
    <t>Rimborso degli oneri stipendiali del personale dipendente dell'azienda in posizione di comando presso altri soggetti pubblici</t>
  </si>
  <si>
    <t xml:space="preserve">A.5.D.1 </t>
  </si>
  <si>
    <t>A.5.D.1) Rimborso degli oneri stipendiali del personale dipendente dell'azienda in posizione di comando presso altri soggetti pubblici</t>
  </si>
  <si>
    <t>4.05.04.01.0101</t>
  </si>
  <si>
    <t>RIMBORSO DEGLI ONERI STIPENDIALI DEL PERSONALE DIPENDENTE DELL'AZIENDA IN POSIZIONE DI COMANDO PRESSO ALTRI SOGGETTI PUBBLICI</t>
  </si>
  <si>
    <t>AA0860</t>
  </si>
  <si>
    <t>Rimborsi per acquisto beni da parte di altri soggetti pubblici</t>
  </si>
  <si>
    <t xml:space="preserve">A.5.D.2 </t>
  </si>
  <si>
    <t>A.5.D.2) Rimborsi per acquisto beni da parte di altri soggetti pubblici</t>
  </si>
  <si>
    <t>4.05.04.02.0101</t>
  </si>
  <si>
    <t>RIMBORSI PER ACQUISTO BENI DA PARTE DI ALTRI SOGGETTI PUBBLICI</t>
  </si>
  <si>
    <t>AA0870</t>
  </si>
  <si>
    <t>Altri concorsi, recuperi e rimborsi da parte di altri soggetti pubblici</t>
  </si>
  <si>
    <t xml:space="preserve">A.5.D.3 </t>
  </si>
  <si>
    <t>A.5.D.3) Altri concorsi, recuperi e rimborsi da parte di altri soggetti pubblici</t>
  </si>
  <si>
    <t>4.05.04.03.0101</t>
  </si>
  <si>
    <t>ALTRI CONCORSI, RECUPERI E RIMBORSI DA PARTE DI ALTRI SOGGETTI PUBBLICI</t>
  </si>
  <si>
    <t>4.05.04.03.0102</t>
  </si>
  <si>
    <t>RIMBORSO CTU DA PARTE DI ALTRI SOGGETTI PUBBLICI</t>
  </si>
  <si>
    <t>ALTRI CONCORSI, RECUPERI E RIMBORSI DA PARTE DI ALTRI SOGGETTI PUBBLICI CTU</t>
  </si>
  <si>
    <t>AA0880</t>
  </si>
  <si>
    <t>Concorsi, recuperi e rimborsi da privati</t>
  </si>
  <si>
    <t xml:space="preserve">A.5.E </t>
  </si>
  <si>
    <t>A.5.E) Concorsi, recuperi e rimborsi da privati</t>
  </si>
  <si>
    <t>AA0890</t>
  </si>
  <si>
    <t>Rimborso da aziende farmaceutiche per Pay back</t>
  </si>
  <si>
    <t>A.5.E.1</t>
  </si>
  <si>
    <t>A.5.E.1) Rimborso da aziende farmaceutiche per Pay back</t>
  </si>
  <si>
    <t>AA0900</t>
  </si>
  <si>
    <t>4.05.05.01.0101</t>
  </si>
  <si>
    <t>PAY-BACK PER IL SUPERAMENTO DEL TETTO DELLA SPESA FARMACEUTICA TERRITORIALE</t>
  </si>
  <si>
    <t>Pay-back per il superamento del tetto della spesa farmaceutica territoriale</t>
  </si>
  <si>
    <t>A.5.E.1.1</t>
  </si>
  <si>
    <t>A.5.E.1.1) Pay-back per il superamento del tetto della spesa farmaceutica territoriale</t>
  </si>
  <si>
    <t>AA0910</t>
  </si>
  <si>
    <t>4.05.05.01.0201</t>
  </si>
  <si>
    <t>Pay-back per il superamento del tetto della spesa farmaceutica ospedaliera</t>
  </si>
  <si>
    <t>ASSEGNAZIONE</t>
  </si>
  <si>
    <t>A.5.E.1.2</t>
  </si>
  <si>
    <t>A.5.E.1.2) Pay-back per superamento del tetto della spesa farmaceutica ospedaliera</t>
  </si>
  <si>
    <t>AA0920</t>
  </si>
  <si>
    <t>4.05.05.01.0301</t>
  </si>
  <si>
    <t>Ulteriore Pay-back</t>
  </si>
  <si>
    <t>A.5.E.1.3</t>
  </si>
  <si>
    <t>A.5.E.1.3) Ulteriore Pay-back</t>
  </si>
  <si>
    <t>AA0921</t>
  </si>
  <si>
    <t xml:space="preserve">A.5.E.2 </t>
  </si>
  <si>
    <t>A.5.E.2) Rimborso per Pay back sui dispositivi medici</t>
  </si>
  <si>
    <t>4.05.05.03.0101</t>
  </si>
  <si>
    <t>Pay-back sui dispositivi medici</t>
  </si>
  <si>
    <t>A.5.E.2</t>
  </si>
  <si>
    <t>AA0930</t>
  </si>
  <si>
    <t>Altri concorsi, recuperi e rimborsi da privati</t>
  </si>
  <si>
    <t>A.5.E.3</t>
  </si>
  <si>
    <t>A.5.E.3) Altri concorsi, recuperi e rimborsi da privati</t>
  </si>
  <si>
    <t>4.05.05.02.0101</t>
  </si>
  <si>
    <t>RIMBORSI PER SERVIZIO MENSA DA DIPENDENTI</t>
  </si>
  <si>
    <t>Rimborsi per servizio mensa da dipendenti</t>
  </si>
  <si>
    <t>4.05.05.02.0201</t>
  </si>
  <si>
    <t>ALTRI RIMBORSI DA DIPENDENTI</t>
  </si>
  <si>
    <t>Altri rimborsi da dipendenti</t>
  </si>
  <si>
    <t>4.05.05.02.0202</t>
  </si>
  <si>
    <t>ALTRI RECUPERI  V/DIPENDENTI PER APPLICAZIONE DECRETO BRUNETTA</t>
  </si>
  <si>
    <t>4.05.05.02.0203</t>
  </si>
  <si>
    <t>RIMBORSO DA ACC. TFR</t>
  </si>
  <si>
    <t>4.05.05.02.9901</t>
  </si>
  <si>
    <t>ALTRI CONCORSI, RECUPERI E RIMBORSI V/PRIVATI</t>
  </si>
  <si>
    <t>Altri concorsi, recuperi e rimborsi v/privati</t>
  </si>
  <si>
    <t>4.05.05.02.9902</t>
  </si>
  <si>
    <t>RECUPERI PER PRESTAZIONI NON SANITARIE</t>
  </si>
  <si>
    <t>RECUPERI PER PERSTAZIONI NON SANITARIE</t>
  </si>
  <si>
    <t>4.05.05.02.9903</t>
  </si>
  <si>
    <t>RIMBORSO CTU DA PRIVATI</t>
  </si>
  <si>
    <t>4.05.05.02.9904</t>
  </si>
  <si>
    <t>RIMBORSO DEGLI ONERI STIPENDIALI DEL PERSONALE DIPENDENTE DELL'AZIENDA IN POSIZIONE DI COMANDO PRESSO ALTRI Ospedali classificati privati e Case di Cura private</t>
  </si>
  <si>
    <t>AA0940</t>
  </si>
  <si>
    <t>Compartecipazione alla spesa per prestazioni sanitarie (Ticket)</t>
  </si>
  <si>
    <t xml:space="preserve">A.6 </t>
  </si>
  <si>
    <t>A.6)  Compartecipazione alla spesa per prestazioni sanitarie (Ticket)</t>
  </si>
  <si>
    <t>AA0950</t>
  </si>
  <si>
    <t>Compartecipazione alla spesa per prestazioni sanitarie - Ticket sulle prestazioni di specialistica ambulatoriale e APA-PAC</t>
  </si>
  <si>
    <t>A.6.A</t>
  </si>
  <si>
    <t>A.6.A)  Compartecipazione alla spesa per prestazioni sanitarie - Ticket sulle prestazioni di specialistica ambulatoriale e APA-PAC</t>
  </si>
  <si>
    <t>4.06.01.01.0101</t>
  </si>
  <si>
    <t>4.06.01.01.0102</t>
  </si>
  <si>
    <t>COMPARTECIPAZIONE ALLA SPESA PER PRESTAZIONI SANITARIE - TICKET SULLE PRESTAZIONI DI SPECIALISTICA AMBULATORIALE - DIAGNOSTICA STRUMENTA</t>
  </si>
  <si>
    <t>COMPARTECIPAZIONE ALLA SPESA PER PRESTAZIONI SANITARIE - TICKET SULLE PRESTAZIONI DI SPECIALISTICA AMBULATORIALE - DIAFNOSTICA STRUMENTA</t>
  </si>
  <si>
    <t>4.06.01.01.0103</t>
  </si>
  <si>
    <t>COMPARTECIPAZIONE ALLA SPESA PER PRESTAZIONI SANITARIE - TICKET SULLE PRESTAZIONI DI SPECIALISTICA AMBULATORIALE - ANALISI LABORATORIO</t>
  </si>
  <si>
    <t>4.06.01.01.0104</t>
  </si>
  <si>
    <t>COMPARTECIPAZIONE ALLA SPESA PER PRESTAZIONI SANITARIE - TICKET SULLE PRESTAZIONI DI SPECIALISTICA AMBULATORIALE - DAY SERVICE</t>
  </si>
  <si>
    <t>AA0960</t>
  </si>
  <si>
    <t>Compartecipazione alla spesa per prestazioni sanitarie - Ticket sul pronto soccorso</t>
  </si>
  <si>
    <t>A.6.B</t>
  </si>
  <si>
    <t>A.6.B) Compartecipazione alla spesa per prestazioni sanitarie - Ticket sul pronto soccorso</t>
  </si>
  <si>
    <t>4.06.02.01.0101</t>
  </si>
  <si>
    <t>COMPARTECIPAZIONE ALLA SPESA PER PRESTAZIONI SANITARIE - TICKET SUL PRONTO SOCCORSO</t>
  </si>
  <si>
    <t>AA0970</t>
  </si>
  <si>
    <t>Compartecipazione alla spesa per prestazioni sanitarie (Ticket) - Altro</t>
  </si>
  <si>
    <t>A.6.C</t>
  </si>
  <si>
    <t>A.6.C) Compartecipazione alla spesa per prestazioni sanitarie (Ticket) - Altro</t>
  </si>
  <si>
    <t>COMPARTECIPAZIONE ALLA SPESA PER PRESTAZIONI SANITARIE (TICKET) - ALTRO</t>
  </si>
  <si>
    <t>4.06.03.01.0101</t>
  </si>
  <si>
    <t>AA0980</t>
  </si>
  <si>
    <t>Quota contributi c/capitale imputata all'esercizio</t>
  </si>
  <si>
    <t xml:space="preserve">A.7 </t>
  </si>
  <si>
    <t>A.7)  Quota contributi c/capitale imputata all'esercizio</t>
  </si>
  <si>
    <t>AA0990</t>
  </si>
  <si>
    <t>Quota imputata all'esercizio dei finanziamenti per investimenti dallo Stato</t>
  </si>
  <si>
    <t xml:space="preserve">A.7.A </t>
  </si>
  <si>
    <t>A.7.A) Quota imputata all'esercizio dei finanziamenti per investimenti dallo Stato</t>
  </si>
  <si>
    <t>4.07.01.01.0101</t>
  </si>
  <si>
    <t>QUOTA IMPUTATA ALL'ESERCIZIO DEI FINANZIAMENTI PER INVESTIMENTI DALLO STATO</t>
  </si>
  <si>
    <t>4.07.01.01.0102</t>
  </si>
  <si>
    <t>UTILIZZO COSTI DI IMPIANTO E AMPLIAMENTO</t>
  </si>
  <si>
    <t>4.07.01.01.0103</t>
  </si>
  <si>
    <t>UTILIZZO COSTI DI RICERCA</t>
  </si>
  <si>
    <t>4.07.01.01.0104</t>
  </si>
  <si>
    <t>UTILIZZO COSTI DI SVILUPPO PUBBLICO PLURIENNALE</t>
  </si>
  <si>
    <t>4.07.01.01.0105</t>
  </si>
  <si>
    <t>UTILIZZO DIRITTI DI BREVETTO</t>
  </si>
  <si>
    <t>4.07.01.01.0106</t>
  </si>
  <si>
    <t>UTILIZZO DIRITTI DI UTILIZZAZIONE DELLE OPERE DI INGEGNO</t>
  </si>
  <si>
    <t>4.07.01.01.0107</t>
  </si>
  <si>
    <t>UTILIZZO DEI SOFTWARE</t>
  </si>
  <si>
    <t>4.07.01.01.0108</t>
  </si>
  <si>
    <t>UTILIZZO DELLE CONCESSIONI</t>
  </si>
  <si>
    <t>4.07.01.01.0109</t>
  </si>
  <si>
    <t>UTILIZZO DELLE LICENZE</t>
  </si>
  <si>
    <t>4.07.01.01.0110</t>
  </si>
  <si>
    <t>UTILIZZO DEI MARCHI</t>
  </si>
  <si>
    <t>4.07.01.01.0111</t>
  </si>
  <si>
    <t>UTILIZZO DI ALTRE IMMOBILIZZAZIONI IMMATERIALI</t>
  </si>
  <si>
    <t>4.07.01.01.0112</t>
  </si>
  <si>
    <t>COSTI CAPITALIZZATI DA UTILIZZO FABBRICATI DISPONIBILI</t>
  </si>
  <si>
    <t>4.07.01.01.0113</t>
  </si>
  <si>
    <t>COSTI CAPITALIZZATI DA UTILIZZO FABBRICATI INDISPONIBILI</t>
  </si>
  <si>
    <t>4.07.01.01.0114</t>
  </si>
  <si>
    <t>UTILIZZO IMPIANTI SANITARI</t>
  </si>
  <si>
    <t>4.07.01.01.0115</t>
  </si>
  <si>
    <t>UTILIZZO IMPIANTI SANITARI AD ALTA TECNOLOGIA</t>
  </si>
  <si>
    <t>4.07.01.01.0116</t>
  </si>
  <si>
    <t>UTILIZZO IMPIANTI ELETTRICI</t>
  </si>
  <si>
    <t>4.07.01.01.0117</t>
  </si>
  <si>
    <t>UTILIZZO IMPIANTI IDRAULICI E DI RISCALDAMENTO</t>
  </si>
  <si>
    <t>4.07.01.01.0118</t>
  </si>
  <si>
    <t>UTILIZZO IMPIANTI TELEFONICIE E DI RETE</t>
  </si>
  <si>
    <t>4.07.01.01.0119</t>
  </si>
  <si>
    <t>UTILIZZO IMPIANTI DI ALLARME E SICUREZZA</t>
  </si>
  <si>
    <t>4.07.01.01.0120</t>
  </si>
  <si>
    <t>UTILIZZO DI ALTRI IMPIANTI</t>
  </si>
  <si>
    <t>4.07.01.01.0121</t>
  </si>
  <si>
    <t>UTILIZZO MACCHINARI SANITARI</t>
  </si>
  <si>
    <t>4.07.01.01.0122</t>
  </si>
  <si>
    <t>UTILIZZO MACCHINARI SANITARI AD ALTA TECNOLOGIA</t>
  </si>
  <si>
    <t>4.07.01.01.0123</t>
  </si>
  <si>
    <t>UTILIZZO MACCHINARI ELETTRICI</t>
  </si>
  <si>
    <t>4.07.01.01.0124</t>
  </si>
  <si>
    <t>UTILIZZO ALTRI MACCHINARI</t>
  </si>
  <si>
    <t>4.07.01.01.0125</t>
  </si>
  <si>
    <t>UTILIZZO ATTREZZATURE SANITARIE</t>
  </si>
  <si>
    <t>4.07.01.01.0126</t>
  </si>
  <si>
    <t>UTILIZZO ATTREZZATURE SANITARIE AD ALTA TECNOLOGIA</t>
  </si>
  <si>
    <t>4.07.01.01.0127</t>
  </si>
  <si>
    <t>UTILIZZO ATTREZZATURE PER LABORATORI DI ANALISI</t>
  </si>
  <si>
    <t>4.07.01.01.0128</t>
  </si>
  <si>
    <t>UTILIZZO ATTREZZATURE SANITARIE DIVERSE</t>
  </si>
  <si>
    <t>4.07.01.01.0129</t>
  </si>
  <si>
    <t>UTILIZZO DEI MOBILI  E ARREDI SANITARI</t>
  </si>
  <si>
    <t>4.07.01.01.0130</t>
  </si>
  <si>
    <t>UTILIZZO DEI MOBILI  E ARREDI D'UFFICIO</t>
  </si>
  <si>
    <t>4.07.01.01.0131</t>
  </si>
  <si>
    <t>UTILIZZO DI ALTRI MOBILI  E ARREDI</t>
  </si>
  <si>
    <t>4.07.01.01.0132</t>
  </si>
  <si>
    <t>UTILIZZO AMBULANZE</t>
  </si>
  <si>
    <t>4.07.01.01.0133</t>
  </si>
  <si>
    <t>UTILIZZO AUTOMEZZI</t>
  </si>
  <si>
    <t>4.07.01.01.0134</t>
  </si>
  <si>
    <t>UTILIZZO ALTRI MEZZI DI TRASPORTO</t>
  </si>
  <si>
    <t>4.07.01.01.0135</t>
  </si>
  <si>
    <t>UTILIZZO ATTREZZATURE TECNICO-ECONOMALI</t>
  </si>
  <si>
    <t>4.07.01.01.0136</t>
  </si>
  <si>
    <t>UTILIZZO ELABORATORI ELETTRONICI, TERMINALI E STAMPANTI</t>
  </si>
  <si>
    <t>4.07.01.01.0137</t>
  </si>
  <si>
    <t>UTILIZZO BENI DIVERSI</t>
  </si>
  <si>
    <t>4.07.01.01.0138</t>
  </si>
  <si>
    <t>COSTI CAPITALIZZATI DA LAVORI STRAORDINARI SU BENI DI TERZI</t>
  </si>
  <si>
    <t>4.07.01.01.9501</t>
  </si>
  <si>
    <t>Quota imputata all'esercizio dei finanziamenti per investimenti PNRR - MISSIONE 6 C2 - 1.1.1 DIGITALIZZAZIONE DEA I E II LIVELLO</t>
  </si>
  <si>
    <t>IMPORTO SIA - RENDICONTATO AL 31.12.2024</t>
  </si>
  <si>
    <t>VERIFICA UTILIZZO SOMME PNRR</t>
  </si>
  <si>
    <t>4.07.01.01.9701</t>
  </si>
  <si>
    <t>Quota imputata all'esercizio dei finanziamenti per investimenti   PNRR - MISSIONE 6 C2 - 1.2.1 OSPEDALI SICURI E SOSTENIBILI</t>
  </si>
  <si>
    <t>AA1000</t>
  </si>
  <si>
    <t>Quota imputata all'esercizio dei finanziamenti per investimenti da Regione</t>
  </si>
  <si>
    <t xml:space="preserve">A.7.B  </t>
  </si>
  <si>
    <t>A.7.B) Quota imputata all'esercizio dei finanziamenti per investimenti da Regione</t>
  </si>
  <si>
    <t>4.07.02.01.0101</t>
  </si>
  <si>
    <t>QUOTA IMPUTATA ALL'ESERCIZIO DEI FINANZIAMENTI PER INVESTIMENTI DA REGIONE</t>
  </si>
  <si>
    <t>4.07.02.01.0102</t>
  </si>
  <si>
    <t>4.07.02.01.0103</t>
  </si>
  <si>
    <t>4.07.02.01.0104</t>
  </si>
  <si>
    <t>4.07.02.01.0105</t>
  </si>
  <si>
    <t>4.07.02.01.0106</t>
  </si>
  <si>
    <t>4.07.02.01.0107</t>
  </si>
  <si>
    <t>4.07.02.01.0108</t>
  </si>
  <si>
    <t>4.07.02.01.0109</t>
  </si>
  <si>
    <t>4.07.02.01.0110</t>
  </si>
  <si>
    <t>4.07.02.01.0111</t>
  </si>
  <si>
    <t>4.07.02.01.0113</t>
  </si>
  <si>
    <t>UTILIZZO APPARECCHIATURE ELETTROMEDICALI</t>
  </si>
  <si>
    <t>4.07.02.01.0114</t>
  </si>
  <si>
    <t>COSTI CAPITALIZZATI DA UTILIZZO FABBRICATI ISMETT</t>
  </si>
  <si>
    <t>4.07.02.01.0115</t>
  </si>
  <si>
    <t>COSTI CAPITALIZZATI DA UTILIZZO FABBRICATI PAD. EMERGENZE</t>
  </si>
  <si>
    <t>4.07.02.01.0116</t>
  </si>
  <si>
    <t>COSTI CAPITALIZZATI DA UTILIZZO M AN. STRAORD.FABBRICATI</t>
  </si>
  <si>
    <t>4.07.02.01.0117</t>
  </si>
  <si>
    <t>4.07.02.01.0118</t>
  </si>
  <si>
    <t>4.07.02.01.0119</t>
  </si>
  <si>
    <t>4.07.02.01.0120</t>
  </si>
  <si>
    <t>4.07.02.01.0121</t>
  </si>
  <si>
    <t>UTILIZZO IMPIANTI TELEFONICI E DI RETE</t>
  </si>
  <si>
    <t>4.07.02.01.0122</t>
  </si>
  <si>
    <t>4.07.02.01.0123</t>
  </si>
  <si>
    <t>4.07.02.01.0124</t>
  </si>
  <si>
    <t>4.07.02.01.0125</t>
  </si>
  <si>
    <t>4.07.02.01.0126</t>
  </si>
  <si>
    <t>4.07.02.01.0127</t>
  </si>
  <si>
    <t>4.07.02.01.0128</t>
  </si>
  <si>
    <t>VERIFICARE RIDUZIONE IMPORTO</t>
  </si>
  <si>
    <t>4.07.02.01.0129</t>
  </si>
  <si>
    <t>4.07.02.01.0130</t>
  </si>
  <si>
    <t>4.07.02.01.0131</t>
  </si>
  <si>
    <t>4.07.02.01.0132</t>
  </si>
  <si>
    <t>4.07.02.01.0133</t>
  </si>
  <si>
    <t>4.07.02.01.0134</t>
  </si>
  <si>
    <t>4.07.02.01.0135</t>
  </si>
  <si>
    <t>4.07.02.01.0136</t>
  </si>
  <si>
    <t>4.07.02.01.0137</t>
  </si>
  <si>
    <t>4.07.02.01.0138</t>
  </si>
  <si>
    <t>4.07.02.01.0139</t>
  </si>
  <si>
    <t>4.07.02.01.0140</t>
  </si>
  <si>
    <t>AA1010</t>
  </si>
  <si>
    <t>Quota imputata all'esercizio dei finanziamenti per beni di prima dotazione</t>
  </si>
  <si>
    <t xml:space="preserve">A.7.C  </t>
  </si>
  <si>
    <t>A.7.C) Quota imputata all'esercizio dei finanziamenti per beni di prima dotazione</t>
  </si>
  <si>
    <t>4.07.03.01.0101</t>
  </si>
  <si>
    <t>QUOTA IMPUTATA ALL'ESERCIZIO DEI FINANZIAMENTI PER BENI DI PRIMA DOTAZIONE</t>
  </si>
  <si>
    <t>4.07.03.01.0103</t>
  </si>
  <si>
    <t>AA1020</t>
  </si>
  <si>
    <t>Quota imputata all'esercizio dei contributi in c/esercizio FSR destinati ad investimenti</t>
  </si>
  <si>
    <t xml:space="preserve">A.7.D </t>
  </si>
  <si>
    <t>A.7.D) Quota imputata all'esercizio dei contributi in c/ esercizio FSR destinati ad investimenti</t>
  </si>
  <si>
    <t>RIVEDERE VALORI PATRIMONIO</t>
  </si>
  <si>
    <t>4.07.04.01.0101</t>
  </si>
  <si>
    <t>QUOTA IMPUTATA ALL'ESERCIZIO DEI CONTRIBUTI IN C/ESERCIZIO FSR DESTINATI AD INVESTIMENTI</t>
  </si>
  <si>
    <t>DA PATRIMONIO(Scritture fine anno)</t>
  </si>
  <si>
    <t>4.07.04.01.0102</t>
  </si>
  <si>
    <t>QUOTA IMPUTATA ALL'ESERCIZIO DEI CONTRIBUTI IN C/ESERCIZIO FSR. P.O.PSN.2013.L.P.1.6 DESTINATI AD INVESTIMENTI</t>
  </si>
  <si>
    <t>4.07.04.01.0103</t>
  </si>
  <si>
    <t>QUOTA IMPUTATA ALL'ESERCIZIO DEI CONTRIBUTI IN C/ESERCIZIO FSR. P.O.PSN.2013.L.P.2.4 DESTINATI AD INVESTIMENTI</t>
  </si>
  <si>
    <t>4.07.04.01.0104</t>
  </si>
  <si>
    <t>QUOTA IMPUTATA ALL'ESERCIZIO DEI CONTRIBUTI IN C/ESERCIZIO FSR. P.O.PSN.2013.L.P.2.6 DESTINATI AD INVESTIMENTI</t>
  </si>
  <si>
    <t>4.07.04.01.0105</t>
  </si>
  <si>
    <t>QUOTA IMPUTATA ALL'ESERCIZIO DEI CONTRIBUTI IN C/ESERCIZIO FSR. P.O.PSN.2013.L.P.3.3 DESTINATI AD INVESTIMENTI</t>
  </si>
  <si>
    <t>4.07.04.01.0106</t>
  </si>
  <si>
    <t>QUOTA IMPUTATA ALL'ESERCIZIO DEI CONTRIBUTI IN C/ESERCIZIO FSR. P.O.PSN.2013.L.P.4.1 DESTINATI AD INVESTIMENTI</t>
  </si>
  <si>
    <t>4.07.04.01.0107</t>
  </si>
  <si>
    <t>QUOTA IMPUTATA ALL'ESERCIZIO DEI CONTRIBUTI IN C/ESERCIZIO FSR. P.O.PSN.2013.L.P.7.4 DESTINATI AD INVESTIMENTI</t>
  </si>
  <si>
    <t>4.07.04.01.0108</t>
  </si>
  <si>
    <t>QUOTA IMPUTATA ALL'ESERCIZIO DEI CONTRIBUTI IN C/ESERCIZIO FSR. P.O.PSN.2013.L.P.8.1 DESTINATI AD INVESTIMENTI</t>
  </si>
  <si>
    <t>4.07.04.01.0109</t>
  </si>
  <si>
    <t>QUOTA IMPUTATA ALL'ESERCIZIO DEI CONTRIBUTI IN C/ESERCIZIO FSR. P.O.PSN.2013.L.P.8.3 DESTINATI AD INVESTIMENTI</t>
  </si>
  <si>
    <t>4.07.04.01.0110</t>
  </si>
  <si>
    <t>QUOTA IMPUTATA ALL'ESERCIZIO DEI CONTRIBUTI IN C/ESERCIZIO FSR. P.O.PSN.2013.L.P.8.4 DESTINATI AD INVESTIMENTI</t>
  </si>
  <si>
    <t>4.07.04.01.0111</t>
  </si>
  <si>
    <t>QUOTA IMPUTATA ALL'ESERCIZIO DEI CONTRIBUTI IN C/ESERCIZIO FSR. P.O.PSN.2013.L.P.8.7 DESTINATI AD INVESTIMENTI</t>
  </si>
  <si>
    <t>4.07.04.01.0112</t>
  </si>
  <si>
    <t>QUOTA IMPUTATA ALL'ESERCIZIO DEI CONTRIBUTI IN C/ESERCIZIO FSR. P.O.PSN.2013.L.P.9.6 DESTINATI AD INVESTIMENTI</t>
  </si>
  <si>
    <t>4.07.04.01.0113</t>
  </si>
  <si>
    <t>QUOTA IMPUTATA ALL'ESERCIZIO DEI CONTRIBUTI IN C/ESERCIZIO FSR. P.O.PSN.2013.L.P.10.6 DESTINATI AD INVESTIMENTI</t>
  </si>
  <si>
    <t>4.07.04.01.0114</t>
  </si>
  <si>
    <t>QUOTA IMPUTATA ALL'ESERCIZIO DEI CONTRIBUTI IN C/ESERCIZIO FSR. P.O.PSN.2013.L.P.12.4 DESTINATI AD INVESTIMENTI</t>
  </si>
  <si>
    <t>4.07.04.01.0115</t>
  </si>
  <si>
    <t>QUOTA IMPUTATA ALL'ESERCIZIO DEI CONTRIBUTI IN C/ESERCIZIO FSR. P.O.PSN.2013.L.P.16.2 DESTINATI AD INVESTIMENTI</t>
  </si>
  <si>
    <t>4.07.04.01.0116</t>
  </si>
  <si>
    <t>QUOTA IMPUTATA ALL'ESERCIZIO DEI CONTRIBUTI IN C/ESERCIZIO FSR. P.O.PSN.2013.L.P.17.1 DESTINATI AD INVESTIMENTI</t>
  </si>
  <si>
    <t>4.07.04.01.0117</t>
  </si>
  <si>
    <t>QUOTA IMPUTATA ALL'ESERCIZIO DEI CONTRIBUTI IN C/ESERCIZIO FSR. P.O.PSN.2013.L.P.18.17 DESTINATI AD INVESTIMENTI</t>
  </si>
  <si>
    <t>4.07.04.01.0118</t>
  </si>
  <si>
    <t>QUOTA IMPUTATA ALL'ESERCIZIO DEI CONTRIBUTI IN C/ESERCIZIO FSR. P.O.PSN.2013.L.P.18.18 DESTINATI AD INVESTIMENTI</t>
  </si>
  <si>
    <t>AA1030</t>
  </si>
  <si>
    <t>Quota imputata all'esercizio degli altri contributi in c/esercizio destinati ad investimenti</t>
  </si>
  <si>
    <t xml:space="preserve">A.7.E </t>
  </si>
  <si>
    <t>A.7.E) Quota imputata all'esercizio degli altri contributi in c/ esercizio destinati ad investimenti</t>
  </si>
  <si>
    <t>4.07.05.01.0101</t>
  </si>
  <si>
    <t>QUOTA IMPUTATA ALL'ESERCIZIO DEGLI ALTRI CONTRIBUTI IN C/ESERCIZIO DESTINATI AD INVESTIMENTI</t>
  </si>
  <si>
    <t>AA1040</t>
  </si>
  <si>
    <t>Quota imputata all'esercizio di altre poste del patrimonio netto</t>
  </si>
  <si>
    <t xml:space="preserve">A.7.F </t>
  </si>
  <si>
    <t>A.7.F) Quota imputata all'esercizio di altre poste del patrimonio netto</t>
  </si>
  <si>
    <t>4.07.06.01.0101</t>
  </si>
  <si>
    <t>QUOTA IMPUTATA ALL'ESERCIZIO DI ALTRE POSTE DEL PATRIMONIO NETTO</t>
  </si>
  <si>
    <t>AA1050</t>
  </si>
  <si>
    <t>Incrementi delle immobilizzazioni per lavori interni</t>
  </si>
  <si>
    <t xml:space="preserve">A.8  </t>
  </si>
  <si>
    <t>A.8)  Incrementi delle immobilizzazioni per lavori interni</t>
  </si>
  <si>
    <t>4.08.01.01.0101</t>
  </si>
  <si>
    <t>INCREMENTI DELLE IMMOBILIZZAZIONI IMMATERIALI PER LAVORI INTERNI</t>
  </si>
  <si>
    <t>Incrementi delle immobilizzazioni immateriali per lavori interni</t>
  </si>
  <si>
    <t>A.8) Incrementi delle immobilizzazioni per lavori interni</t>
  </si>
  <si>
    <t>AA1060</t>
  </si>
  <si>
    <t>Altri ricavi e proventi</t>
  </si>
  <si>
    <t>A.9</t>
  </si>
  <si>
    <t>A.9) Altri ricavi e proventi</t>
  </si>
  <si>
    <t>AA1070</t>
  </si>
  <si>
    <t>Ricavi per prestazioni non sanitarie</t>
  </si>
  <si>
    <t xml:space="preserve">A.9.A </t>
  </si>
  <si>
    <t>A.9.A) Ricavi per prestazioni non sanitarie</t>
  </si>
  <si>
    <t>4.09.01.01.0101</t>
  </si>
  <si>
    <t>RICAVI PER CONSULENZE IN APPLICAZIONE DELLA NORMATIVA IN MATERIA DI SICUREZZA NEI LUOGHI DI LAVORO</t>
  </si>
  <si>
    <t>Ricavi per consulenze in applicazione della normativa in materia di sicurezza nei luoghi di lavoro</t>
  </si>
  <si>
    <t>4.09.01.01.0201</t>
  </si>
  <si>
    <t>RICAVI PER CONSULENZE, CERTIFICAZIONI E ATTESTAZIONI NON SANITARIE</t>
  </si>
  <si>
    <t>Ricavi per consulenze, certificazioni e attestazioni non sanitarie</t>
  </si>
  <si>
    <t>4.09.01.01.0301</t>
  </si>
  <si>
    <t>RICAVI PER MAGGIOR CONFORT ALBERGHIERO</t>
  </si>
  <si>
    <t>RICAVI PER MAFGIOR CONFORT ALBERGHIERO</t>
  </si>
  <si>
    <t>Ricavi per mAFgior confort alberghiero</t>
  </si>
  <si>
    <t>4.09.01.01.0401</t>
  </si>
  <si>
    <t>RICAVI PER PARERI COMITATO ETICO SU PROPOSTE DI SPERIMENTAZIONI CLINICHE E FARMACOLOGICHE</t>
  </si>
  <si>
    <t>Ricavi per pareri comitato etico su proposte di sperimentazioni cliniche e farmacologiche</t>
  </si>
  <si>
    <t>4.09.01.01.9901</t>
  </si>
  <si>
    <t>ALTRI RICAVI PER PRESTAZIONI NON SANITARIE</t>
  </si>
  <si>
    <t>Altri ricavi per prestazioni non sanitarie</t>
  </si>
  <si>
    <t>4.09.01.01.9902</t>
  </si>
  <si>
    <t>ALTRI RICAVI PER PRESTAZIONI VEQ</t>
  </si>
  <si>
    <t>AA1080</t>
  </si>
  <si>
    <t>Fitti attivi ed altri proventi da attività immobiliari</t>
  </si>
  <si>
    <t xml:space="preserve">A.9.B </t>
  </si>
  <si>
    <t>A.9.B) Fitti attivi ed altri proventi da attività immobiliari</t>
  </si>
  <si>
    <t>A.9.B) Fitti attivi ed altri proventi da attività  immobiliari</t>
  </si>
  <si>
    <t>4.09.02.01.0101</t>
  </si>
  <si>
    <t>AFFITTI ATTIVI</t>
  </si>
  <si>
    <t xml:space="preserve">Affitti attivi </t>
  </si>
  <si>
    <t>4.09.02.01.0102</t>
  </si>
  <si>
    <t>AFFITTI ATTIVI V/ASL-AO, IRCCS E POLICLINICI</t>
  </si>
  <si>
    <t>4.09.02.01.0103</t>
  </si>
  <si>
    <t>AFFITTI ATTIVI V/ALTRI</t>
  </si>
  <si>
    <t>4.09.02.01.0201</t>
  </si>
  <si>
    <t>ALTRI PROVENTI DA ATTIVITA' IMMOBILIARE</t>
  </si>
  <si>
    <t>Altri proventi da attività immobiliare</t>
  </si>
  <si>
    <t>AA1090</t>
  </si>
  <si>
    <t>Altri proventi diversi</t>
  </si>
  <si>
    <t xml:space="preserve">A.9.C </t>
  </si>
  <si>
    <t>A.9.C) Altri proventi diversi</t>
  </si>
  <si>
    <t>4.09.03.01.0101</t>
  </si>
  <si>
    <t>PROVENTI PER SERVIZIO MENSA A TERZI</t>
  </si>
  <si>
    <t>Proventi per servizio mensa a terzi</t>
  </si>
  <si>
    <t>4.09.03.01.0102</t>
  </si>
  <si>
    <t>PROVENTI PER SERVIZIO MENSA AL PERSONALE RELIGIOSO (ATTIVITA' COMMERCIALE)</t>
  </si>
  <si>
    <t>4.09.03.01.0103</t>
  </si>
  <si>
    <t>PROVENTI PER SERVIZIO MENSA AGLI ALLIEVI INFERMIERI (ATTIVITA' COMMERCIALE)</t>
  </si>
  <si>
    <t>PROVENTI PER SERVIZIO MENSA AFLI ALLIEVI INFERMIERI (ATTIVITA' COMMERCIALE)</t>
  </si>
  <si>
    <t>4.09.03.01.0104</t>
  </si>
  <si>
    <t>PROVENTI PER SERVIZIO MENSA AI PARENTI DEI DEGENTI RICOVERATI</t>
  </si>
  <si>
    <t>4.09.03.01.0105</t>
  </si>
  <si>
    <t>PROVENTI PER SERVIZIO MENSA A FAVORE DI TERZI PAGANTI (ATTIVITA' COMMERCIALE)</t>
  </si>
  <si>
    <t>PROVENTI PER SERVIZIO MENSA A FAVORE DI TERZI PAFANTI (ATTIVITA' COMMERCIALE)</t>
  </si>
  <si>
    <t>4.09.03.01.0201</t>
  </si>
  <si>
    <t>PROVENTI PER CONCESSIONE SPAZI INTERNI</t>
  </si>
  <si>
    <t>Proventi per concessione spazi interni</t>
  </si>
  <si>
    <t>4.09.03.01.0202</t>
  </si>
  <si>
    <t>PROVENTI PER GESTIONE BAR</t>
  </si>
  <si>
    <t>4.09.03.01.0203</t>
  </si>
  <si>
    <t>PROVENTI PER GESTIONE PARRUCCHERIA</t>
  </si>
  <si>
    <t>4.09.03.01.0204</t>
  </si>
  <si>
    <t>PROVENTI PER GESTIONE DISTRIBUTORI AUTOMATICI</t>
  </si>
  <si>
    <t>4.09.03.01.0205</t>
  </si>
  <si>
    <t>PROVENTI PER GESTIONE AREA DI PARCHEGGIO</t>
  </si>
  <si>
    <t>4.09.03.01.0206</t>
  </si>
  <si>
    <t>PROVENTI PER GESTIONE SPAZI PUBBLICITARI</t>
  </si>
  <si>
    <t>4.09.03.01.0207</t>
  </si>
  <si>
    <t>PROVENTI PER GESTIONE EDICOLA</t>
  </si>
  <si>
    <t>4.09.03.01.0208</t>
  </si>
  <si>
    <t>PROVENTI PER GESTIONE LOCALI CRAL</t>
  </si>
  <si>
    <t>4.09.03.01.0301</t>
  </si>
  <si>
    <t>PROVENTI PER SPONSORIZZAZIONI</t>
  </si>
  <si>
    <t>Proventi per sponsorizzazioni</t>
  </si>
  <si>
    <t>4.09.03.01.0401</t>
  </si>
  <si>
    <t>PROVENTI PER CORSI DI FORMAZIONE</t>
  </si>
  <si>
    <t>Proventi per corsi di formazione</t>
  </si>
  <si>
    <t>4.09.03.01.9901</t>
  </si>
  <si>
    <t>ALTRI PROVENTI NON SANITARI</t>
  </si>
  <si>
    <t>Altri proventi non sanitari</t>
  </si>
  <si>
    <t>4.09.03.01.9902</t>
  </si>
  <si>
    <t>PROVENTI PER TASSE DI CONCORSO</t>
  </si>
  <si>
    <t>4.09.03.01.9903</t>
  </si>
  <si>
    <t>PROVENTI PER GESTIONE TELEFONI PUBBLICI</t>
  </si>
  <si>
    <t>4.09.03.01.9904</t>
  </si>
  <si>
    <t>PER RILASCIO FOTOCOPIE DOCUMENTI</t>
  </si>
  <si>
    <t>BA2660</t>
  </si>
  <si>
    <t>Rimanenze finali</t>
  </si>
  <si>
    <t>RIMANENZE NEW</t>
  </si>
  <si>
    <t>RIVEDERE VALORI RIMANENZE</t>
  </si>
  <si>
    <t>B.13</t>
  </si>
  <si>
    <t xml:space="preserve">B.13)Variazione Rimanenze </t>
  </si>
  <si>
    <t>BA2670</t>
  </si>
  <si>
    <t>Rimanenze sanitarie finali</t>
  </si>
  <si>
    <t xml:space="preserve">B.13.A </t>
  </si>
  <si>
    <t>B.13.A) Variazione rimanenze sanitarie</t>
  </si>
  <si>
    <t>BA2671</t>
  </si>
  <si>
    <t>4.10.01.01.0101</t>
  </si>
  <si>
    <t>RIMANENZE FINALI MEDICINALI - CON AIC- ECCETTO VACCINI, EMODERIVATI, OSSIGENO E MEZZI DI CONTRASTO</t>
  </si>
  <si>
    <t>B.13.A.1</t>
  </si>
  <si>
    <t>B.13.A.1) Prodotti farmaceutici ed emoderivati</t>
  </si>
  <si>
    <t>4.10.01.01.0102</t>
  </si>
  <si>
    <t>RIMANENZE FINALI MEDICINALI   FILE F - CON AIC- ECCETTO VACCINI, EMODERIVATI, OSSIGENO E MEZZI DI CONTRASTO</t>
  </si>
  <si>
    <t>4.10.01.01.0103</t>
  </si>
  <si>
    <t>RIMANENZE FINALI MEDICINALI FILE T  - CON AIC- ECCETTO VACCINI, EMODERIVATI, OSSIGENO E MEZZI DI CONTRASTO</t>
  </si>
  <si>
    <t>4.10.01.01.0104</t>
  </si>
  <si>
    <t>RIMANENZE FINALI MEDICINALI 1° CICLO TERAPEUTICO  - CON AIC- ECCETTO VACCINI, EMODERIVATI, OSSIGENO E MEZZI DI CONTRASTO</t>
  </si>
  <si>
    <t>4.10.01.01.0105</t>
  </si>
  <si>
    <t>RIMANENZE FINALI MEDICINALI SOLUZIONI FISIOLOGICHE - CON AIC- ECCETTO VACCINI, EMODERIVATI, OSSIGENO E MEZZI DI CONTRASTO</t>
  </si>
  <si>
    <t>4.10.01.01.0201</t>
  </si>
  <si>
    <t>4.10.01.01.0301</t>
  </si>
  <si>
    <t>4.10.01.01.0401</t>
  </si>
  <si>
    <t>4.10.01.01.0501</t>
  </si>
  <si>
    <t>4.10.01.01.0601</t>
  </si>
  <si>
    <t>4.10.01.01.3201</t>
  </si>
  <si>
    <t>Rimanenze Finali Radiofarmaci con AIC</t>
  </si>
  <si>
    <t>4.10.01.01.3301</t>
  </si>
  <si>
    <t>Rimanenze Finali Farmaci PHT - per la Distribuzione Per Conto (DPC)</t>
  </si>
  <si>
    <t>4.10.01.01.3401</t>
  </si>
  <si>
    <t>Rimanenze Finali Medicinali esteri</t>
  </si>
  <si>
    <t>4.10.01.01.3501</t>
  </si>
  <si>
    <t>Rimanenze Finali Formule magistrali ed officinali, compresi i farmaci galenici ed i radio farmaci senza AIC</t>
  </si>
  <si>
    <t>Rimanenze Finali Formule mAFistrali ed officinali, compresi i farmaci galenici ed i radio farmaci &amp;#8211</t>
  </si>
  <si>
    <t>Rimanenze Finali Formule mAFistrali ed officinali, compresi i farmaci galenici ed i radio farmaci – senza AIC</t>
  </si>
  <si>
    <t>4.10.01.01.3601</t>
  </si>
  <si>
    <t>Rimanenze Finali Altri gas medicali - senza AIC</t>
  </si>
  <si>
    <t>4.10.01.01.3801</t>
  </si>
  <si>
    <t>Rimanenze Finali Emoderivati di produzione regionale (Aziende sanitarie pubbliche della Regione)  - Mobilità intraregionale</t>
  </si>
  <si>
    <t>4.10.01.01.3901</t>
  </si>
  <si>
    <t>Rimanenze Finali Emoderivati di produzione regionale (Aziende sanitarie pubbliche della Regione)  - Mobilità extra Regione</t>
  </si>
  <si>
    <t>39</t>
  </si>
  <si>
    <t>4.10.01.01.4001</t>
  </si>
  <si>
    <t>Rimanenze Finali Emoderivati di produzione regionale da altri soggetti</t>
  </si>
  <si>
    <t>40</t>
  </si>
  <si>
    <t>BA2672</t>
  </si>
  <si>
    <t>4.10.01.01.0801</t>
  </si>
  <si>
    <t>B.13.A.2</t>
  </si>
  <si>
    <t>B.13.A.2) Sangue ed emocomponenti</t>
  </si>
  <si>
    <t>4.10.01.01.0901</t>
  </si>
  <si>
    <t>RIMANENZE FINALI SANGUE ED EMOCOMPONENTI DA PUBBLICO (AZIENDE SANITARIE PUBBLICHE DELLA REGIONE)  - MOBILITA ETRRA REGIONE</t>
  </si>
  <si>
    <t>Rimanenze Finali Sangue ed emocomponenti da pubblico (Aziende sanitarie pubbliche della Regione)  - Mobilità extra Regione</t>
  </si>
  <si>
    <t>4.10.01.01.1001</t>
  </si>
  <si>
    <t>BA2673</t>
  </si>
  <si>
    <t>4.10.01.01.1101</t>
  </si>
  <si>
    <t>B.13.A.3</t>
  </si>
  <si>
    <t>B.13.A.3) Dispositivi medici</t>
  </si>
  <si>
    <t>4.10.01.01.1201</t>
  </si>
  <si>
    <t>4.10.01.01.1301</t>
  </si>
  <si>
    <t>4.10.01.01.1401</t>
  </si>
  <si>
    <t>4.10.01.01.1501</t>
  </si>
  <si>
    <t>4.10.01.01.1601</t>
  </si>
  <si>
    <t>4.10.01.01.1701</t>
  </si>
  <si>
    <t>4.10.01.01.1801</t>
  </si>
  <si>
    <t>4.10.01.01.1901</t>
  </si>
  <si>
    <t>4.10.01.01.2001</t>
  </si>
  <si>
    <t>4.10.01.01.2101</t>
  </si>
  <si>
    <t>RIMANENZE FINALI DISPOSITIVI PROTESICI IMPIANTABILI E PRODOTTI PER OSTEOSINTESI (P)</t>
  </si>
  <si>
    <t>4.10.01.01.2102</t>
  </si>
  <si>
    <t>RIMANENZE FINALI DISPOSITIVI PROTESICI IMPIANTABILI 'DISPOSITIVI IMPIANTABILI-CHIRURGICHE PER ATTIVITA SANITARIA ORDIN</t>
  </si>
  <si>
    <t>4.10.01.01.2103</t>
  </si>
  <si>
    <t>RIMANENZE FINALI DISPOSITIVI PROTESICI IMPIANTABILI 'DISPOSITIVI IMPIANTABILI-PER EMODINAMICA PER ATTIVITA SANITARIA O</t>
  </si>
  <si>
    <t>4.10.01.01.2104</t>
  </si>
  <si>
    <t>RIMANENZE FINALI DISPOSITIVI PROTESICI IMPIANTABILI'DISPOSITIVI IMPIANTABILI-PER UROLOGIA  PER ATTIVITA SANITARIA ORD</t>
  </si>
  <si>
    <t>4.10.01.01.2105</t>
  </si>
  <si>
    <t>RIMANENZE FINALI DISPOSITIVI PROTESICI IMPIANTABILI'DISPOSITIVI IMPIANTABILI-PER OCULISTICA  PER ATTIVITA SANITARIA O</t>
  </si>
  <si>
    <t>4.10.01.01.2106</t>
  </si>
  <si>
    <t>RIMANENZE FINALI DISPOSITIVI PROTESICI IMPIANTABILI'DISPOSITIVI IMPIANTABILI-PER ORTOPEDIA  PER ATTIVITA SANITARIA O</t>
  </si>
  <si>
    <t>4.10.01.01.2201</t>
  </si>
  <si>
    <t>4.10.01.01.2301</t>
  </si>
  <si>
    <t>RIMANENZE FINALI DISPOSITIVI IMPIANTABILI ATTIVI (J)</t>
  </si>
  <si>
    <t>4.10.01.01.2401</t>
  </si>
  <si>
    <t>RIMANENZE FINALI REAFENTI DIAFNOSTICI (W1)</t>
  </si>
  <si>
    <t>Rimanenze Finali ReAFenti DiAFnostici (W1)</t>
  </si>
  <si>
    <t>4.10.01.01.2501</t>
  </si>
  <si>
    <t>RIMANENZE FINALI DISPOSITIVI MEDICO DIAFNOSTICI IN VITRO (IVD) (W2, W3)</t>
  </si>
  <si>
    <t>Rimanenze Finali Dispositivi medico diAFnostici in vitro (IVD) (W2, W5)</t>
  </si>
  <si>
    <t>BA2674</t>
  </si>
  <si>
    <t>4.10.01.01.2601</t>
  </si>
  <si>
    <t>B.13.A.4</t>
  </si>
  <si>
    <t>B.13.A.4) Prodotti dietetici</t>
  </si>
  <si>
    <t>BA2675</t>
  </si>
  <si>
    <t>4.10.01.01.2701</t>
  </si>
  <si>
    <t>B.13.A.5</t>
  </si>
  <si>
    <t>B.13.A.5) Materiali per la profilassi (vaccini)</t>
  </si>
  <si>
    <t>4.10.01.01.3701</t>
  </si>
  <si>
    <t>Rimanenze Finali Vaccini - senza AIC</t>
  </si>
  <si>
    <t>BA2676</t>
  </si>
  <si>
    <t>4.10.01.01.2801</t>
  </si>
  <si>
    <t>B.13.A.6</t>
  </si>
  <si>
    <t>B.13.A.6) Prodotti chimici</t>
  </si>
  <si>
    <t>BA2677</t>
  </si>
  <si>
    <t>4.10.01.01.2901</t>
  </si>
  <si>
    <t>B.13.A.7</t>
  </si>
  <si>
    <t>B.13.A.7)  Materiali e prodotti per uso veterinario</t>
  </si>
  <si>
    <t>4.10.01.01.3001</t>
  </si>
  <si>
    <t>BA2678</t>
  </si>
  <si>
    <t>4.10.01.01.3101</t>
  </si>
  <si>
    <t>RIMANENZE FINALI BENI E PRODOTTI SANITARI DA AZIENDE SANITARIE PUBBLICHE DELLA REGIONE</t>
  </si>
  <si>
    <t>Rimanenze Finali Beni e prodotti sanitari da Aziende sanitarie pubbliche della Regione</t>
  </si>
  <si>
    <t>B.13.A.8</t>
  </si>
  <si>
    <t>B.13.A.8)  Altri beni e prodotti sanitari</t>
  </si>
  <si>
    <t>4.10.01.01.9901</t>
  </si>
  <si>
    <t>BA2680</t>
  </si>
  <si>
    <t>Rimanenze non sanitarie finali</t>
  </si>
  <si>
    <t xml:space="preserve">B.13.B </t>
  </si>
  <si>
    <t>B.13.B) Variazione rimanenze non sanitarie</t>
  </si>
  <si>
    <t>BA2681</t>
  </si>
  <si>
    <t>4.10.02.01.0101</t>
  </si>
  <si>
    <t>B.13.B.1</t>
  </si>
  <si>
    <t>B.13.B.1) Prodotti alimentari</t>
  </si>
  <si>
    <t>BA2682</t>
  </si>
  <si>
    <t>4.10.02.01.0201</t>
  </si>
  <si>
    <t>B.13.B.2</t>
  </si>
  <si>
    <t>B.13.B.2) Materiali di guardaroba, di pulizia, e di convivenza in genere</t>
  </si>
  <si>
    <t>BA2683</t>
  </si>
  <si>
    <t>4.10.02.01.0301</t>
  </si>
  <si>
    <t>Rimanenze Finali Combustibili carburanti e lubrificanti ad uso riscaldamento/cucina</t>
  </si>
  <si>
    <t>B.13.B.3</t>
  </si>
  <si>
    <t>B.13.B.3) Combustibili, carburanti e lubrificanti</t>
  </si>
  <si>
    <t>4.10.02.01.0701</t>
  </si>
  <si>
    <t>Rimanenze Finali Carburanti e lubrificanti ad uso trasporto</t>
  </si>
  <si>
    <t>BA2684</t>
  </si>
  <si>
    <t>4.10.02.01.0401</t>
  </si>
  <si>
    <t xml:space="preserve">B.13.B.4 </t>
  </si>
  <si>
    <t>B.13.B.4) Supporti informatici e cancelleria</t>
  </si>
  <si>
    <t>BA2685</t>
  </si>
  <si>
    <t>4.10.02.01.0501</t>
  </si>
  <si>
    <t>B.13.B.5</t>
  </si>
  <si>
    <t>B.13.B.5) Materiale per la manutenzione</t>
  </si>
  <si>
    <t>BA2686</t>
  </si>
  <si>
    <t>4.10.02.01.0601</t>
  </si>
  <si>
    <t>B.13.B.6</t>
  </si>
  <si>
    <t>B.13.B.6) Altri beni e prodotti non sanitari</t>
  </si>
  <si>
    <t>4.10.02.01.9901</t>
  </si>
  <si>
    <t>COSTI DELLA PRODUZIONE</t>
  </si>
  <si>
    <t>B)  Costi della produzione</t>
  </si>
  <si>
    <t>BA0010</t>
  </si>
  <si>
    <t>Acquisti di beni</t>
  </si>
  <si>
    <t xml:space="preserve">B.1 </t>
  </si>
  <si>
    <t>B.1)  Acquisti di beni</t>
  </si>
  <si>
    <t>BA0020</t>
  </si>
  <si>
    <t>Acquisti di beni sanitari</t>
  </si>
  <si>
    <t>B.1.A</t>
  </si>
  <si>
    <t>B.1.A)  Acquisti di beni sanitari</t>
  </si>
  <si>
    <t>Medicinali con AIC - eccetto vaccini, emoderivati di produzione regionale</t>
  </si>
  <si>
    <t>B.1.A.1.1</t>
  </si>
  <si>
    <t>B.1.A.1.1) Medicinali con AIC, ad eccezione di vaccini, emoderivati di produzione regionale, ossigeno e altri gas medicali</t>
  </si>
  <si>
    <t>5.01.01.01.0101</t>
  </si>
  <si>
    <t>MEDICINALI - CON AIC - ECCETTO VACCINI, EMODERIVATI, OSSIGENO E MEZZI DI CONTRASTO</t>
  </si>
  <si>
    <t>Medicinali - con AIC - eccetto vaccini, emoderivati, ossigeno e mezzi di contrasto</t>
  </si>
  <si>
    <t>5.01.01.01.0102</t>
  </si>
  <si>
    <t>FARMACI PER ATTIVITA SANITARIA ORDINARIA- CON AIC - ECCETTO VACCINI, EMODERIVATI, OSSIGENO E MEZZI DI CONTRASTO</t>
  </si>
  <si>
    <t>VERIFICATI ORDINI E FATTURE DA RICEVERE</t>
  </si>
  <si>
    <t>VERIFICARE ORDINI E FATTURE DA RICEVERE</t>
  </si>
  <si>
    <t>5.01.01.01.0103</t>
  </si>
  <si>
    <t>FARMACI PER PROGETTI SANITARI- CON AIC - ECCETTO VACCINI, EMODERIVATI, OSSIGENO E MEZZI DI CONTRASTO</t>
  </si>
  <si>
    <t>5.01.01.01.0104</t>
  </si>
  <si>
    <t>FARMACI PER SPERIMENTAZIONI CLINICHE - CON AIC - ECCETTO VACCINI, EMODERIVATI, OSSIGENO E MEZZI DI CONTRASTO</t>
  </si>
  <si>
    <t>5.01.01.01.0105</t>
  </si>
  <si>
    <t>FARMACI PER ATTIVITA' LIBERO-PROFESSIONALE - CON AIC - ECCETTO VACCINI, EMODERIVATI, OSSIGENO E MEZZI DI CONTRASTO</t>
  </si>
  <si>
    <t>5.01.01.01.0106</t>
  </si>
  <si>
    <t>FARMACI PER ATTIVITA' COMMERCIALI DIVERSE - CON AIC - ECCETTO VACCINI, EMODERIVATI, OSSIGENO E MEZZI DI CONTRASTO</t>
  </si>
  <si>
    <t>5.01.01.01.0107</t>
  </si>
  <si>
    <t>FARMACI RIENTRANTI NEL FLUSSO F - CON AIC - ECCETTO VACCINI, EMODERIVATI, OSSIGENO E MEZZI DI CONTRASTO</t>
  </si>
  <si>
    <t>5.01.01.01.0108</t>
  </si>
  <si>
    <t>FARMACI RIENTRANTI NEL FLUSSO T- CON AIC - ECCETTO VACCINI, EMODERIVATI, OSSIGENO E MEZZI DI CONTRASTO</t>
  </si>
  <si>
    <t>5.01.01.01.0109</t>
  </si>
  <si>
    <t>FARMACI RIENTRANTI NEL 1° CICLO DITERAPIA - CON AIC - ECCETTO VACCINI, EMODERIVATI, OSSIGENO E MEZZI DI CONTRASTO</t>
  </si>
  <si>
    <t>5.01.01.01.0110</t>
  </si>
  <si>
    <t>SOLUZIONI FISIOLOGICHE - CON AIC - ECCETTO VACCINI, EMODERIVATI, OSSIGENO E MEZZI DI CONTRASTO</t>
  </si>
  <si>
    <t>5.01.01.01.0111</t>
  </si>
  <si>
    <t>FARMACI INCLUSI NEL PHT - CON AIC - ECCETTO VACCINI, EMODERIVATI, OSSIGENO E MEZZI DI CONTRASTO</t>
  </si>
  <si>
    <t>5.01.01.01.0301</t>
  </si>
  <si>
    <t>MEZZI DI CONTRASTO PER RADIOLOGIA - CON AIC</t>
  </si>
  <si>
    <t>Mezzi di contrasto per radiologia - con AIC</t>
  </si>
  <si>
    <t>5.01.01.01.0302</t>
  </si>
  <si>
    <t>MEZZI DI CONTRASTO PER RADIOLOGIA - CON AIC PER ATTIVITA' SANITARIA ORDINARIA</t>
  </si>
  <si>
    <t>5.01.01.01.0303</t>
  </si>
  <si>
    <t>MEZZI DI CONTRASTO PER RADIOLOGIA - CON AIC PER PROGETTI SANITARI</t>
  </si>
  <si>
    <t>5.01.01.01.0304</t>
  </si>
  <si>
    <t>MEZZI DI CONTRASTO PER RADIOLOGIA - CON AIC PER SPERIMENTAZIONI CLINICHE</t>
  </si>
  <si>
    <t>5.01.01.01.0305</t>
  </si>
  <si>
    <t>MEZZI DI CONTRASTO PER RADIOLOGIA - CON AIC PER ATTIVITA' LIBERO-PROFESSIONALE</t>
  </si>
  <si>
    <t>5.01.01.01.0306</t>
  </si>
  <si>
    <t>MEZZI DI CONTRASTO PER RADIOLOGIA - CON AIC PER ATTIVITA' COMMERCIALI DIVERSE</t>
  </si>
  <si>
    <t>5.01.01.01.0401</t>
  </si>
  <si>
    <t>EMODERIVATI CON AIC - AD ECCEZIONE DI PRODUZIONE REGIONALE</t>
  </si>
  <si>
    <t>Emoderivati con AIC - ad eccezione di produzione regionale</t>
  </si>
  <si>
    <t>5.01.01.01.0501</t>
  </si>
  <si>
    <t>Radiofarmaci con AIC</t>
  </si>
  <si>
    <t xml:space="preserve">Radiofarmaci con AIC </t>
  </si>
  <si>
    <t>5.01.01.01.0601</t>
  </si>
  <si>
    <t>Farmaci PHT - per la Distribuzione Per Conto (DPC)</t>
  </si>
  <si>
    <t>Medicinali - senza AIC</t>
  </si>
  <si>
    <t>B.1.A.1.2</t>
  </si>
  <si>
    <t>B.1.A.1.2) Medicinali senza AIC</t>
  </si>
  <si>
    <t>5.01.01.02.0101</t>
  </si>
  <si>
    <t>MEDICINALI - SENZA AIC, ECCETTO OSSIGENO</t>
  </si>
  <si>
    <t>Medicinali - senza AIC, eccetto Ossigeno</t>
  </si>
  <si>
    <t>5.01.01.02.0201</t>
  </si>
  <si>
    <t>OSSIGENO - SENZA AIC</t>
  </si>
  <si>
    <t>VERIFICARE ASSENZA COGE</t>
  </si>
  <si>
    <t>Ossigeno - senza AIC</t>
  </si>
  <si>
    <t>5.01.01.02.0301</t>
  </si>
  <si>
    <t>MEDICINALI ESTERI</t>
  </si>
  <si>
    <t>Medicinali esteri</t>
  </si>
  <si>
    <t>5.01.01.02.0401</t>
  </si>
  <si>
    <t>FORMULE MAGISTRALI ED OFFICINALI, COMPRESI FARMACI GALENICI ED I RADIO FARMACI - SENZA AIC</t>
  </si>
  <si>
    <t>FORMULE MAFISTRALI ED OFFICINALI, COMPRESI FARMACI GALENICI ED I RADIO FARMACI - SENZA AIC</t>
  </si>
  <si>
    <t>Formule mAFistrali ed officinali, compresi i farmaci galenici ed i radio farmaci – senza AIC</t>
  </si>
  <si>
    <t>5.01.01.02.0501</t>
  </si>
  <si>
    <t>ALTRI GAS MEDICALI - SENZA AIC</t>
  </si>
  <si>
    <t>Altri gas medicali - senza AIC</t>
  </si>
  <si>
    <t>BA0051</t>
  </si>
  <si>
    <t>Ossigeno e altri gas medicali</t>
  </si>
  <si>
    <t>B.1.A.1.3</t>
  </si>
  <si>
    <t>B.1.A.1.3) Ossigeno e altri gas medicali</t>
  </si>
  <si>
    <t>5.01.01.14.0101</t>
  </si>
  <si>
    <t>Ossigeno e altri gas medicali con AIC</t>
  </si>
  <si>
    <t>B.1.A.1.4</t>
  </si>
  <si>
    <t>B.1.A.1.4) Emoderivati di produzione regionale</t>
  </si>
  <si>
    <t>BA0061</t>
  </si>
  <si>
    <t>5.01.01.03.0101</t>
  </si>
  <si>
    <t>Emoderivati di produzione regionale - Mobilità intraregionale</t>
  </si>
  <si>
    <t>B.1.A.1.4.1</t>
  </si>
  <si>
    <t>B.1.A.1.4.1) Emoderivati di produzione regionale da pubblico (Aziende sanitarie pubbliche della Regione) - Mobilità intraregionale</t>
  </si>
  <si>
    <t>BA0062</t>
  </si>
  <si>
    <t>5.01.01.03.0201</t>
  </si>
  <si>
    <t>Emoderivati di produzione regionale - Mobilità extraregionale</t>
  </si>
  <si>
    <t>B.1.A.1.4.2</t>
  </si>
  <si>
    <t>B.1.A.1.4.2) Emoderivati di produzione regionale da pubblico (Aziende sanitarie pubbliche della Regione) - Mobilità extraregionale</t>
  </si>
  <si>
    <t>BA0063</t>
  </si>
  <si>
    <t>5.01.01.03.0301</t>
  </si>
  <si>
    <t>Emoderivati di produzione regionale - da altri soggetti</t>
  </si>
  <si>
    <t>B.1.A.1.4.3</t>
  </si>
  <si>
    <t>B.1.A.1.4.3) Emoderivati di produzione regionale da altri soggetti</t>
  </si>
  <si>
    <t>B.1.A.2</t>
  </si>
  <si>
    <t>B.1.A.2)  Sangue ed emocomponenti</t>
  </si>
  <si>
    <t>BA0080</t>
  </si>
  <si>
    <t>5.01.01.04.0101</t>
  </si>
  <si>
    <t>SANGUE ED EMOCOMPONENTI DA PUBBLICO (AZIENDE SANITARIE PUBBLICHE DELLA REGIONE)  - MOBILITA INTRAREGIONALE</t>
  </si>
  <si>
    <t>sangue ed emocomponenti da pubblico (Aziende sanitarie pubbliche della Regione)  - Mobilità intraregionale</t>
  </si>
  <si>
    <t>B.1.A.2.1</t>
  </si>
  <si>
    <t>B.1.A.2.1) da pubblico (Aziende sanitarie pubbliche della Regione) – Mobilità intraregionale</t>
  </si>
  <si>
    <t>BA0090</t>
  </si>
  <si>
    <t>5.01.01.04.0201</t>
  </si>
  <si>
    <t>SANGUE ED EMOCOMPONENTI DA PUBBLICO (AZIENDE SANITARIE PUBBLICHE EXTRA REGIONE)  - MOBILITA EXTRA REGIONE</t>
  </si>
  <si>
    <t>sangue ed emocomponenti da pubblico (Aziende sanitarie pubbliche extra Regione)  - Mobilità extra regione</t>
  </si>
  <si>
    <t>B.1.A.2.2</t>
  </si>
  <si>
    <t>B.1.A.2.2) da pubblico (Aziende sanitarie pubbliche extra Regione) – Mobilità extraregionale</t>
  </si>
  <si>
    <t>BA0100</t>
  </si>
  <si>
    <t>5.01.01.04.0301</t>
  </si>
  <si>
    <t>SANGUE ED EMOCOMPONENTI DA ALTRI SOGGETTI</t>
  </si>
  <si>
    <t xml:space="preserve">sangue ed emocomponenti da altri soggetti </t>
  </si>
  <si>
    <t>B.1.A.2.3</t>
  </si>
  <si>
    <t>B.1.A.2.3) da altri soggetti</t>
  </si>
  <si>
    <t>5.01.01.04.0302</t>
  </si>
  <si>
    <t>SANGUE ED EMOCOMPONENTI IN REGIME DH - PAZIENTI CRONICI</t>
  </si>
  <si>
    <t>B.1.A.3.1</t>
  </si>
  <si>
    <t>B.1.A.3.1) Dispositivi medici</t>
  </si>
  <si>
    <t>5.01.01.05.0101</t>
  </si>
  <si>
    <t>DISPOSITIVI DA SOMMINISTRAZIONE, PRELIEVO E RACCOLTA (A)</t>
  </si>
  <si>
    <t>Dispositivi da somministrazione, prelievo e raccolta (A)</t>
  </si>
  <si>
    <t>5.01.01.05.0201</t>
  </si>
  <si>
    <t>PRESIDI MEDICO-CHIRURGICI SPECIALISTICI (B, G, N, Q, R, U)</t>
  </si>
  <si>
    <t>Presidi medico-chirurgici specialistici (B, G, N, Q, R, U)</t>
  </si>
  <si>
    <t>5.01.01.05.0202</t>
  </si>
  <si>
    <t>PRESIDI MEDICO-CHIRURGICI SPECIALISTICI (B, G, N, Q, R, U) PER ATTIVITA' SANITARIA ORDINARIA</t>
  </si>
  <si>
    <t>5.01.01.05.0203</t>
  </si>
  <si>
    <t>PRESIDI MEDICO-CHIRURGICI SPECIALISTICI (B, G, N, Q, R, U) PER PROGETTI SANITARI</t>
  </si>
  <si>
    <t>5.01.01.05.0204</t>
  </si>
  <si>
    <t>PRESIDI MEDICO-CHIRURGICI SPECIALISTICI (B, G, N, Q, R, U) PER SPERIMENTAZIONI CLINICHE</t>
  </si>
  <si>
    <t>5.01.01.05.0205</t>
  </si>
  <si>
    <t>PRESIDI MEDICO-CHIRURGICI SPECIALISTICI (B, G, N, Q, R, U)  PER ATTIVITA' LIBERO-PROFESSIONALE</t>
  </si>
  <si>
    <t>5.01.01.05.0206</t>
  </si>
  <si>
    <t>PRESIDI MEDICO-CHIRURGICI SPECIALISTICI (B, G, N, Q, R, U) PER ATTIVITA' COMMERCIALI DIVERSE</t>
  </si>
  <si>
    <t>5.01.01.05.0301</t>
  </si>
  <si>
    <t>PRESIDI MEDICO-CHIRURGICI GENERICI (H, M, T01, T02, T03)  PER ATTIVITA' SANITARIA ORDINARIA</t>
  </si>
  <si>
    <t>Presidi medico-chirurgici generici (H, M, T01, T02, T03)</t>
  </si>
  <si>
    <t>5.01.01.05.0302</t>
  </si>
  <si>
    <t>PRESIDI MEDICO-CHIRURGICI GENERICI (H, M, T01, T02, T03) PER ATTIVITASANITARIA ORDINARIA -DISPOSITIVI PER SUTURA (H)</t>
  </si>
  <si>
    <t>5.01.01.05.0303</t>
  </si>
  <si>
    <t>PRESIDI MEDICO-CHIRURGICI GENERICI (H, M, T01, T02, T03) PER  PROGETTI SANITARI</t>
  </si>
  <si>
    <t>5.01.01.05.0304</t>
  </si>
  <si>
    <t>PRESIDI MEDICO-CHIRURGICI GENERICI (H, M, T01, T02, T03) PER SPERIMENTAZIONI CLINICHE</t>
  </si>
  <si>
    <t>5.01.01.05.0305</t>
  </si>
  <si>
    <t>PRESIDI MEDICO-CHIRURGICI GENERICI (H, M, T01, T02, T03)  PER ATTIVITA' LIBERO-PROFESSIONALE</t>
  </si>
  <si>
    <t>5.01.01.05.0306</t>
  </si>
  <si>
    <t>PRESIDI MEDICO-CHIRURGICI GENERICI (H, M, T01, T02, T03) PER ATTIVITA' COMMERCIALI DIVERSE</t>
  </si>
  <si>
    <t>5.01.01.05.0307</t>
  </si>
  <si>
    <t>PRESIDI MEDICO-CHIRURGICI GENERICI (H, M, T01, T02, T03)  PER ATTIVITA' SANITARIA ORDINARIA PROTEZIONE CIVILE</t>
  </si>
  <si>
    <t xml:space="preserve">PRESIDI MEDICO-CHIRURGICI GENERICI (H, M, T01, T02, T03)  PER ATTIVITA' SANITARIA ORDINARIA PROTEZIONE CIVILE </t>
  </si>
  <si>
    <t>5.01.01.05.0401</t>
  </si>
  <si>
    <t>DISPOSITIVI PER APPARATO CARDIOCIRCOLATORIO (C)</t>
  </si>
  <si>
    <t>Dispositivi per apparato cardiocircolatorio (C)</t>
  </si>
  <si>
    <t>5.01.01.05.0501</t>
  </si>
  <si>
    <t>DISINFETTANTI E PRODOTTI PER STERILIZZAZIONE E DISPOSITIVI VARI (D, S)</t>
  </si>
  <si>
    <t>Disinfettanti e prodotti per sterilizzazione e dispositivi vari (D, S)</t>
  </si>
  <si>
    <t>5.01.01.05.0601</t>
  </si>
  <si>
    <t>MATERIALE PER DIALISI (F)</t>
  </si>
  <si>
    <t>Materiale per dialisi (F)</t>
  </si>
  <si>
    <t>5.01.01.05.0602</t>
  </si>
  <si>
    <t>MATERIALI PER DIALISI DOMICILIARE</t>
  </si>
  <si>
    <t>5.01.01.05.0701</t>
  </si>
  <si>
    <t>STRUMENTARIO CHIRURGICO (K, L)</t>
  </si>
  <si>
    <t>Strumentario chirurgico (K, L)</t>
  </si>
  <si>
    <t>5.01.01.05.0702</t>
  </si>
  <si>
    <t>STRUMENTARIO CHIRURGICO (K, L) PER ATTIVITA' SANITARIA ORDINARIA</t>
  </si>
  <si>
    <t>5.01.01.05.0703</t>
  </si>
  <si>
    <t>STRUMENTARIO CHIRURGICO (K, L) PER PROGETTI SANITARI</t>
  </si>
  <si>
    <t>5.01.01.05.0704</t>
  </si>
  <si>
    <t>STRUMENTARIO CHIRURGICO (K, L) PER SPERIMENTAZIONI CLINICHE</t>
  </si>
  <si>
    <t>5.01.01.05.0705</t>
  </si>
  <si>
    <t>STRUMENTARIO CHIRURGICO (K, L) PER ATTIVITA' LIBERO-PROFESSIONALE</t>
  </si>
  <si>
    <t>5.01.01.05.0706</t>
  </si>
  <si>
    <t>STRUMENTARIO CHIRURGICO (K, L) PER ATTIVITA' COMMERCIALI DIVERSE</t>
  </si>
  <si>
    <t>5.01.01.05.0707</t>
  </si>
  <si>
    <t>STRUMENTARIO CHIRURGICO PER SEUS 118</t>
  </si>
  <si>
    <t>5.01.01.05.0801</t>
  </si>
  <si>
    <t>MATERIALE RADIOGRAFICO (Z 13)</t>
  </si>
  <si>
    <t>Materiale radiografico (Z 13)</t>
  </si>
  <si>
    <t>5.01.01.05.0802</t>
  </si>
  <si>
    <t>MATERIALE RADIOGRAFICO (Z 13) PER ATTIVITA' SANITARIA ORDINARIA</t>
  </si>
  <si>
    <t>5.01.01.05.0803</t>
  </si>
  <si>
    <t>MATERIALE RADIOGRAFICO (Z 13) PER PROGETTI SANITARI</t>
  </si>
  <si>
    <t>5.01.01.05.0804</t>
  </si>
  <si>
    <t>MATERIALE RADIOGRAFICO (Z 13) PER SPERIMENTAZIONI CLINICHE</t>
  </si>
  <si>
    <t>5.01.01.05.0805</t>
  </si>
  <si>
    <t>MATERIALE RADIOGRAFICO (Z 13) PER ATTIVITA' LIBERO PROFESSIONALE</t>
  </si>
  <si>
    <t>5.01.01.05.0806</t>
  </si>
  <si>
    <t>MATERIALE RADIOGRAFICO (Z 13) PER ATTIVITA' COMMERCIALI DIVERSE</t>
  </si>
  <si>
    <t>5.01.01.05.0901</t>
  </si>
  <si>
    <t>SUPPORTI O AUSILI TECNICI PER PERSONE DISABILI (Y)</t>
  </si>
  <si>
    <t>Supporti o ausili tecnici per persone disabili (Y)</t>
  </si>
  <si>
    <t>5.01.01.05.1010</t>
  </si>
  <si>
    <t>AUSILI PER INCONTINENZA (T04)</t>
  </si>
  <si>
    <t>Ausili per incontinenza (T04)</t>
  </si>
  <si>
    <t>5.01.01.05.1101</t>
  </si>
  <si>
    <t>DISPOSITIVI PROTESICI IMPIANTABILI E PRODOTTI PER OSTEOSINTESI (P)</t>
  </si>
  <si>
    <t>Dispositivi protesici impiantabili e prodotti per osteosintesi (P)</t>
  </si>
  <si>
    <t>5.01.01.05.1102</t>
  </si>
  <si>
    <t>DISPOSITIVI PROTESICI IMPIANTABILI E PRODOTTI PER OSTEOSINTESI (P)-ORTOPEDICHE PER ATTIVITA SANITARIA ORDINARIA</t>
  </si>
  <si>
    <t>5.01.01.05.1103</t>
  </si>
  <si>
    <t>DISPOSITIVI PROTESICI IMPIANTABILI E PRODOTTI PER OSTEOSINTESI (P)-ORTOPEDICHE PER PROGETTI SANITARI</t>
  </si>
  <si>
    <t>5.01.01.05.1104</t>
  </si>
  <si>
    <t>DISPOSITIVI PROTESICI IMPIANTABILI E PRODOTTI PER OSTEOSINTESI (P)-ORTOPEDICHE PER SPERIMENTAZIONI CLINICHE</t>
  </si>
  <si>
    <t>5.01.01.05.1105</t>
  </si>
  <si>
    <t>DISPOSITIVI PROTESICI IMPIANTABILI E PRODOTTI PER OSTEOSINTESI (P)-ORTOPEDICHE PER ATTIVITA LIBERO-PROFESSIONALE</t>
  </si>
  <si>
    <t>5.01.01.05.1106</t>
  </si>
  <si>
    <t>DISPOSITIVI PROTESICI IMPIANTABILI E PRODOTTI PER OSTEOSINTESI (P)-ORTOPEDICHE PER ATTIVITA COMMERCIALI DIVERSE</t>
  </si>
  <si>
    <t>5.01.01.05.1107</t>
  </si>
  <si>
    <t>DISPOSITIVI PROTESICI IMPIANTABILI E PRODOTTI PER OSTEOSINTESI (P)-CHIRURGICHE PER ATTIVITA SANITARIA ORDINARIA</t>
  </si>
  <si>
    <t>5.01.01.05.1108</t>
  </si>
  <si>
    <t>DISPOSITIVI PROTESICI IMPIANTABILI E PRODOTTI PER OSTEOSINTESI (P)-CHIRURGICHE PER PROGETTI SANITARI</t>
  </si>
  <si>
    <t>5.01.01.05.1109</t>
  </si>
  <si>
    <t>DISPOSITIVI PROTESICI IMPIANTABILI E PRODOTTI PER OSTEOSINTESI (P)-CHIRURGICHE PER SPERIMENTAZIONI CLINICHE</t>
  </si>
  <si>
    <t>5.01.01.05.1110</t>
  </si>
  <si>
    <t>DISPOSITIVI PROTESICI IMPIANTABILI E PRODOTTI PER OSTEOSINTESI (P)-CHIRURGICHE PER ATTIVITA LIBERO-PROFESSIONALE</t>
  </si>
  <si>
    <t>5.01.01.05.1111</t>
  </si>
  <si>
    <t>DISPOSITIVI PROTESICI IMPIANTABILI E PRODOTTI PER OSTEOSINTESI (P)-CHIRURGICHE PER ATTIVITA COMMERCIALI DIVERSE</t>
  </si>
  <si>
    <t>5.01.01.05.1112</t>
  </si>
  <si>
    <t>DISPOSITIVI PROTESICI IMPIANTABILI E PRODOTTI PER OSTEOSINTESI (P)-PER EMODINAMICA PER ATTIVITA SANITARIA ORDINARIA</t>
  </si>
  <si>
    <t>5.01.01.05.1113</t>
  </si>
  <si>
    <t>DISPOSITIVI PROTESICI IMPIANTABILI E PRODOTTI PER OSTEOSINTESI (P)-PER EMODINAMICA PER PROGETTI SANITARI</t>
  </si>
  <si>
    <t>5.01.01.05.1114</t>
  </si>
  <si>
    <t>DISPOSITIVI PROTESICI IMPIANTABILI E PRODOTTI PER OSTEOSINTESI (P)-PER EMODINAMICA PER SPERIMENTAZIONI CLINICHE</t>
  </si>
  <si>
    <t>5.01.01.05.1115</t>
  </si>
  <si>
    <t>DISPOSITIVI PROTESICI IMPIANTABILI E PRODOTTI PER OSTEOSINTESI (P)-PER EMODINAMICA PER ATTIVITA LIBERO-PROFESSIONALE</t>
  </si>
  <si>
    <t>5.01.01.05.1116</t>
  </si>
  <si>
    <t>DISPOSITIVI PROTESICI IMPIANTABILI E PRODOTTI PER OSTEOSINTESI (P)-PER EMODINAMICA PER ATTIVITA COMMERCIALI DIVERSE</t>
  </si>
  <si>
    <t>5.01.01.05.1117</t>
  </si>
  <si>
    <t>DISPOSITIVI PROTESICI IMPIANTABILI E PRODOTTI PER OSTEOSINTESI (P)-PER UROLOGIA  PER ATTIVITA SANITARIA ORDINARIA</t>
  </si>
  <si>
    <t>5.01.01.05.1118</t>
  </si>
  <si>
    <t>DISPOSITIVI PROTESICI IMPIANTABILI E PRODOTTI PER OSTEOSINTESI (P)-PER UROLOGIA PER PROGETTI SANITARI</t>
  </si>
  <si>
    <t>5.01.01.05.1119</t>
  </si>
  <si>
    <t>DISPOSITIVI PROTESICI IMPIANTABILI E PRODOTTI PER OSTEOSINTESI (P)-PER UROLOGIA PER SPERIMENTAZIONI CLINICHE</t>
  </si>
  <si>
    <t>5.01.01.05.1120</t>
  </si>
  <si>
    <t>DISPOSITIVI PROTESICI IMPIANTABILI E PRODOTTI PER OSTEOSINTESI (P)-PER UROLOGIA PER ATTIVITA LIBERO-PROFESSIONALE</t>
  </si>
  <si>
    <t>5.01.01.05.1121</t>
  </si>
  <si>
    <t>DISPOSITIVI PROTESICI IMPIANTABILI E PRODOTTI PER OSTEOSINTESI (P)-PER UROLOGIA PER ATTIVITA COMMERCIALI DIVERSE</t>
  </si>
  <si>
    <t>5.01.01.05.1122</t>
  </si>
  <si>
    <t>DISPOSITIVI PROTESICI IMPIANTABILI E PRODOTTI PER OSTEOSINTESI (P)-PER OCULISTICA  PER ATTIVITA SANITARIA ORDINARIA</t>
  </si>
  <si>
    <t>5.01.01.05.1123</t>
  </si>
  <si>
    <t>DISPOSITIVI PROTESICI IMPIANTABILI E PRODOTTI PER OSTEOSINTESI (P)-PER OCULISTICA PER PROGETTI SANITARI</t>
  </si>
  <si>
    <t>5.01.01.05.1124</t>
  </si>
  <si>
    <t>DISPOSITIVI PROTESICI IMPIANTABILI E PRODOTTI PER OSTEOSINTESI (P)-PER OCULISTICA PER SPERIMENTAZIONI CLINICHE</t>
  </si>
  <si>
    <t>5.01.01.05.1125</t>
  </si>
  <si>
    <t>DISPOSITIVI PROTESICI IMPIANTABILI E PRODOTTI PER OSTEOSINTESI (P)-PER OCULISTICA PER ATTIVITA LIBERO-PROFESSIONALE</t>
  </si>
  <si>
    <t>5.01.01.05.1126</t>
  </si>
  <si>
    <t>DISPOSITIVI PROTESICI IMPIANTABILI E PRODOTTI PER OSTEOSINTESI (P)-PER OCULISTICA PER ATTIVITA COMMERCIALI DIVERSE</t>
  </si>
  <si>
    <t>5.01.01.05.1127</t>
  </si>
  <si>
    <t>ALTRE DISPOSITIVI PROTESICI IMPIANTABILI E PRODOTTI PER OSTEOSINTESI (P)- PER ATTIVITA SANITARIA ORDINARIA</t>
  </si>
  <si>
    <t>5.01.01.05.1128</t>
  </si>
  <si>
    <t>ALTRE DISPOSITIVI PROTESICI IMPIANTABILI E PRODOTTI PER OSTEOSINTESI (P)-PER PROGETTI SANITARI</t>
  </si>
  <si>
    <t>5.01.01.05.1129</t>
  </si>
  <si>
    <t>ALTRE DISPOSITIVI PROTESICI IMPIANTABILI E PRODOTTI PER OSTEOSINTESI (P)-PER SPERIMENTAZIONI CLINICHE</t>
  </si>
  <si>
    <t>5.01.01.05.1130</t>
  </si>
  <si>
    <t>ALTRE DISPOSITIVI PROTESICI IMPIANTABILI E PRODOTTI PER OSTEOSINTESI (P)-PER ATTIVITA LIBERO-PROFESSIONALE</t>
  </si>
  <si>
    <t>5.01.01.05.1131</t>
  </si>
  <si>
    <t>ALTRE DISPOSITIVI PROTESICI IMPIANTABILI E PRODOTTI PER OSTEOSINTESI (P)-PER ATTIVITA COMMERCIALI DIVERSE</t>
  </si>
  <si>
    <t>5.01.01.05.1201</t>
  </si>
  <si>
    <t>DISPOSITIVI VARI (V)</t>
  </si>
  <si>
    <t>Dispositivi vari (V) e Altro Materiale di consumo (Z11 e Z12)</t>
  </si>
  <si>
    <t>5.01.01.05.1202</t>
  </si>
  <si>
    <t>ALTRO MATERIALE DI CONS.(Z11 Z12)</t>
  </si>
  <si>
    <t>Dispositivi Medici Impiantabili attivi</t>
  </si>
  <si>
    <t>B.1.A.3.2</t>
  </si>
  <si>
    <t>B.1.A.3.2) Dispositivi medici impiantabili attivi</t>
  </si>
  <si>
    <t>5.01.01.06.0101</t>
  </si>
  <si>
    <t>DISPOSITIVI IMPIANTABILI ATTIVI (J)</t>
  </si>
  <si>
    <t>Dispositivi impiantabili attivi (J)</t>
  </si>
  <si>
    <t>5.01.01.06.0102</t>
  </si>
  <si>
    <t>PACE MAKER</t>
  </si>
  <si>
    <t>Dispositivi medico diAFnostici in vitro (IVD)</t>
  </si>
  <si>
    <t>B.1.A.3.3</t>
  </si>
  <si>
    <t>B.1.A.3.3) Dispositivi medico diAFnostici in vitro (IVD)</t>
  </si>
  <si>
    <t>5.01.01.07.0101</t>
  </si>
  <si>
    <t>REAGENTI DIAGNOSTICI (W1)</t>
  </si>
  <si>
    <t>REAFENTI DIAFNOSTICI (W1)</t>
  </si>
  <si>
    <t>ReAFenti DiAFnostici (W1)</t>
  </si>
  <si>
    <t>5.01.01.07.0102</t>
  </si>
  <si>
    <t>REAGENTI   DIAGNOSTICI,PRODOTTI CHIMICI PER ATTIVITA SANITARIA ORDINARIA</t>
  </si>
  <si>
    <t>REAFENTI   DIAFNOSTICI,PRODOTTI CHIMICI PER ATTIVITA SANITARIA ORDINARIA</t>
  </si>
  <si>
    <t>5.01.01.07.0103</t>
  </si>
  <si>
    <t>REAGENTI   DIAGNOSTICI,PRODOTTI CHIMICI PER PROGETTI SANITARI</t>
  </si>
  <si>
    <t>REAFENTI   DIAFNOSTICI,PRODOTTI CHIMICI PER PROGETTI SANITARI</t>
  </si>
  <si>
    <t>5.01.01.07.0104</t>
  </si>
  <si>
    <t>REAGENTI   DIAGNOSTICI,PRODOTTI CHIMICI PER SPERIMENTAZIONI  CLINICHE</t>
  </si>
  <si>
    <t>REAFENTI   DIAFNOSTICI,PRODOTTI CHIMICI PER SPERIMENTAZIONI  CLINICHE</t>
  </si>
  <si>
    <t>5.01.01.07.0105</t>
  </si>
  <si>
    <t>REAGENTI   DIAGNOSTICI,PRODOTTI CHIMICI PER ATTIVITA LIBERO-PROFESSIONALE</t>
  </si>
  <si>
    <t>REAFENTI   DIAFNOSTICI,PRODOTTI CHIMICI PER ATTIVITA LIBERO-PROFESSIONALE</t>
  </si>
  <si>
    <t>5.01.01.07.0106</t>
  </si>
  <si>
    <t>REAGENTI   DIAGNOSTICI,PRODOTTI CHIMICI PER ATTIVITA COMMERCIALI DIVERSE</t>
  </si>
  <si>
    <t>REAFENTI   DIAFNOSTICI,PRODOTTI CHIMICI PER ATTIVITA COMMERCIALI DIVERSE</t>
  </si>
  <si>
    <t>5.01.01.07.0201</t>
  </si>
  <si>
    <t>DISPOSITIVI MEDICO DIAGNOSTICI IN VITRO (IVD) (W2, W3)</t>
  </si>
  <si>
    <t>DISPOSITIVI MEDICO DIAFNOSTICI IN VITRO (IVD) (W2, W3)</t>
  </si>
  <si>
    <t>Dispositivi medico diAFnostici in vitro (IVD) (W2, W3)</t>
  </si>
  <si>
    <t xml:space="preserve">B.1.A.4  </t>
  </si>
  <si>
    <t>B.1.A.4)  Prodotti dietetici</t>
  </si>
  <si>
    <t>5.01.01.08.0101</t>
  </si>
  <si>
    <t xml:space="preserve">B.1.A.5  </t>
  </si>
  <si>
    <t>B.1.A.5)  Materiali per la profilassi (vaccini)</t>
  </si>
  <si>
    <t>5.01.01.09.0101</t>
  </si>
  <si>
    <t>5.01.01.09.0201</t>
  </si>
  <si>
    <t>Materiali per la profilassi (vaccini senza AIC)</t>
  </si>
  <si>
    <t xml:space="preserve">B.1.A.6  </t>
  </si>
  <si>
    <t>B.1.A.6)  Prodotti chimici</t>
  </si>
  <si>
    <t>5.01.01.10.0101</t>
  </si>
  <si>
    <t xml:space="preserve">B.1.A.7  </t>
  </si>
  <si>
    <t>B.1.A.7)  Materiali e prodotti per uso veterinario</t>
  </si>
  <si>
    <t>5.01.01.11.0101</t>
  </si>
  <si>
    <t>FARMACI PER USO VETERINARIO</t>
  </si>
  <si>
    <t>farmaci per uso veterinario</t>
  </si>
  <si>
    <t>B.1.A.7) Materiali e prodotti per uso veterinario</t>
  </si>
  <si>
    <t>5.01.01.11.0201</t>
  </si>
  <si>
    <t>ALTRI MATERIALI E PRODOTTI PER USO VETERINARIO</t>
  </si>
  <si>
    <t>altri materiali e prodotti per uso veterinario</t>
  </si>
  <si>
    <t xml:space="preserve">B.1.A.8  </t>
  </si>
  <si>
    <t>B.1.A.8) Altri beni e prodotti sanitari</t>
  </si>
  <si>
    <t>5.01.01.12.0101</t>
  </si>
  <si>
    <t>5.01.01.12.0102</t>
  </si>
  <si>
    <t>GAS MEDICALI</t>
  </si>
  <si>
    <t>5.01.01.12.0103</t>
  </si>
  <si>
    <t>MATERIALE SANITARIO PER PROGETTI FINALIZZATI</t>
  </si>
  <si>
    <t>5.01.01.12.0104</t>
  </si>
  <si>
    <t>ALTRI BENI E PRODOTTI DI LABORATORIO</t>
  </si>
  <si>
    <t>5.01.01.12.0105</t>
  </si>
  <si>
    <t>ALTRI BENI E PRODOTTI SANITARI ACQUISTATI DAL DPC</t>
  </si>
  <si>
    <t>BA0300</t>
  </si>
  <si>
    <t>Beni e prodotti sanitari da Aziende sanitarie pubbliche della Regione</t>
  </si>
  <si>
    <t xml:space="preserve">B.1.A.9  </t>
  </si>
  <si>
    <t>B.1.A.9) Beni e prodotti sanitari da Aziende sanitarie pubbliche della Regione</t>
  </si>
  <si>
    <t>BA0301</t>
  </si>
  <si>
    <t>5.01.01.13.0201</t>
  </si>
  <si>
    <t>Prodotti farmaceutici ed emoderivati - da Aziende sanitarie pubbliche della Regione</t>
  </si>
  <si>
    <t>B.1.A.9.1</t>
  </si>
  <si>
    <t>B.1.A.9.1)  Prodotti farmaceutici ed emoderivati</t>
  </si>
  <si>
    <t>BA0303</t>
  </si>
  <si>
    <t>5.01.01.13.0301</t>
  </si>
  <si>
    <t>Dispositivi medici - da Aziende sanitarie pubbliche della Regione</t>
  </si>
  <si>
    <t>B.1.A.9.3</t>
  </si>
  <si>
    <t>B.1.A.9.3) Dispositivi medici</t>
  </si>
  <si>
    <t>BA0304</t>
  </si>
  <si>
    <t>5.01.01.13.0401</t>
  </si>
  <si>
    <t>Prodotti dietetici - da Aziende sanitarie pubbliche della Regione</t>
  </si>
  <si>
    <t>B.1.A.9.4</t>
  </si>
  <si>
    <t>B.1.A.9.4)  Prodotti dietetici</t>
  </si>
  <si>
    <t>BA0305</t>
  </si>
  <si>
    <t>5.01.01.13.0501</t>
  </si>
  <si>
    <t>Materiali per la profilassi (vaccini) - da Aziende sanitarie pubbliche della Regione</t>
  </si>
  <si>
    <t>B.1.A.9.5</t>
  </si>
  <si>
    <t>B.1.A.9.5)  Materiali per la profilassi (vaccini)</t>
  </si>
  <si>
    <t>BA0306</t>
  </si>
  <si>
    <t>5.01.01.13.0601</t>
  </si>
  <si>
    <t>Prodotti chimici - da Aziende sanitarie pubbliche della Regione</t>
  </si>
  <si>
    <t>B.1.A.9.6</t>
  </si>
  <si>
    <t>B.1.A.9.6)  Prodotti chimici</t>
  </si>
  <si>
    <t>BA0307</t>
  </si>
  <si>
    <t>5.01.01.13.0701</t>
  </si>
  <si>
    <t>Materiali e prodotti per uso veterinario - da Aziende sanitarie pubbliche della Regione</t>
  </si>
  <si>
    <t>B.1.A.9.7</t>
  </si>
  <si>
    <t>B.1.A.9.7)  Materiali e prodotti per uso veterinario</t>
  </si>
  <si>
    <t>BA0308</t>
  </si>
  <si>
    <t>5.01.01.13.0801</t>
  </si>
  <si>
    <t>Altri beni e prodotti sanitari - da Aziende sanitarie pubbliche della Regione</t>
  </si>
  <si>
    <t>B.1.A.9.8</t>
  </si>
  <si>
    <t>B.1.A.9.8)  Altri beni e prodotti sanitari</t>
  </si>
  <si>
    <t>BA0310</t>
  </si>
  <si>
    <t>Acquisti di beni non sanitari</t>
  </si>
  <si>
    <t>B.1.B</t>
  </si>
  <si>
    <t>B.1.B)  Acquisti di beni non sanitari</t>
  </si>
  <si>
    <t>5.01.02.01.0101</t>
  </si>
  <si>
    <t xml:space="preserve">B.1.B.1  </t>
  </si>
  <si>
    <t>B.1.B.1) Prodotti alimentari</t>
  </si>
  <si>
    <t>5.01.02.01.0201</t>
  </si>
  <si>
    <t>MATERIALI DI GUARDAROBA, DI PULIZIA E DI CONVIVENZA IN GENERE</t>
  </si>
  <si>
    <t xml:space="preserve">B.1.B.2  </t>
  </si>
  <si>
    <t>B.1.B.2) Materiali di guardaroba, di pulizia e di convivenza in genere</t>
  </si>
  <si>
    <t>5.01.02.01.0202</t>
  </si>
  <si>
    <t>MATERIALI DI GUARDAROBA, DI PULIZIA E DI CONVIVENZA IN GENERE- DIVISE PER IL PERSONALE</t>
  </si>
  <si>
    <t>MATERIALI DI GUARDAROBA, DI PULIZIA E DI CONVIVENZA IN GENERE- DIVISE PER IL PEROSNALE</t>
  </si>
  <si>
    <t>5.01.02.01.0203</t>
  </si>
  <si>
    <t>MATERIALI DI GUARDAROBA, DI PULIZIA E DI CONVIVENZA IN GENERE - ARTICOLI DI GUARDAROBA</t>
  </si>
  <si>
    <t>5.01.02.01.0301</t>
  </si>
  <si>
    <t>Combustibili, carburanti e lubrificanti uso riscaldamento</t>
  </si>
  <si>
    <t xml:space="preserve">B.1.B.3  </t>
  </si>
  <si>
    <t>B.1.B.3) Combustibili, carburanti e lubrificanti</t>
  </si>
  <si>
    <t>5.01.02.01.0801</t>
  </si>
  <si>
    <t>Carburanti e lubrificanti (uso trasporto)</t>
  </si>
  <si>
    <t>Carburanti e lubrificanti</t>
  </si>
  <si>
    <t>5.01.02.01.0401</t>
  </si>
  <si>
    <t xml:space="preserve">B.1.B.4  </t>
  </si>
  <si>
    <t>B.1.B.4) Supporti informatici e cancelleria</t>
  </si>
  <si>
    <t>5.01.02.01.0501</t>
  </si>
  <si>
    <t>MATERIALE PER LA MANUTENZIONE PER IMMOBILI ISTITUZIONALI</t>
  </si>
  <si>
    <t xml:space="preserve">B.1.B.5  </t>
  </si>
  <si>
    <t>B.1.B.5) Materiale per la manutenzione</t>
  </si>
  <si>
    <t>5.01.02.01.0502</t>
  </si>
  <si>
    <t>MATERIALE PER LA MANUTENZIONE PER IMMOBILI PATRIMONIO ESTERNO</t>
  </si>
  <si>
    <t>5.01.02.01.0503</t>
  </si>
  <si>
    <t>MATERIALE PER LA MANUTENZIONE PER ATTREZZATURE TECNICO-SCIENTIFICHE SANITARIE</t>
  </si>
  <si>
    <t>5.01.02.01.0504</t>
  </si>
  <si>
    <t>MATERIALE PER LA MANUTENZIONE PER AUTOMEZZI</t>
  </si>
  <si>
    <t>5.01.02.01.0505</t>
  </si>
  <si>
    <t>MATERIALE PER LA MANUTENZIONE PER MOBILI E MACCHINE</t>
  </si>
  <si>
    <t>5.01.02.01.0506</t>
  </si>
  <si>
    <t>MATERIALE PER LA MANUTENZIONE VARIO DI CONSUMO PER MANUTENZIONE</t>
  </si>
  <si>
    <t>5.01.02.01.0507</t>
  </si>
  <si>
    <t>MATERIALE PER LA MANUTENZIONE VARIO DI CONSUMO NON SANITARIO</t>
  </si>
  <si>
    <t>5.01.02.01.0508</t>
  </si>
  <si>
    <t>MATERIALE PER LA MANUTENZIONE PER  PROGETTI FINALIZZATI</t>
  </si>
  <si>
    <t>5.01.02.01.0601</t>
  </si>
  <si>
    <t xml:space="preserve">B.1.B.6  </t>
  </si>
  <si>
    <t>B.1.B.6) Altri beni e prodotti non sanitari</t>
  </si>
  <si>
    <t>5.01.02.01.0602</t>
  </si>
  <si>
    <t>ALTRI BENI NON SANITARI</t>
  </si>
  <si>
    <t>5.01.02.01.0603</t>
  </si>
  <si>
    <t>ACQUISTO DI BENI NON SANITARI PER PROGETTI</t>
  </si>
  <si>
    <t>BA0380</t>
  </si>
  <si>
    <t>5.01.02.01.0701</t>
  </si>
  <si>
    <t>BENI E PRODOTTI NON SANITARI DA AZIENDE SANITARIE PUBBLICHE DELLA REGIONE</t>
  </si>
  <si>
    <t>Beni e prodotti non sanitari da Aziende sanitarie pubbliche della Regione</t>
  </si>
  <si>
    <t xml:space="preserve">B.1.B.7  </t>
  </si>
  <si>
    <t>B.1.B.7) Beni e prodotti non sanitari da Aziende sanitarie pubbliche della Regione</t>
  </si>
  <si>
    <t>BA0390</t>
  </si>
  <si>
    <t>Acquisti di servizi</t>
  </si>
  <si>
    <t xml:space="preserve">B.2 </t>
  </si>
  <si>
    <t>B.2)  Acquisti di servizi</t>
  </si>
  <si>
    <t>BA0400</t>
  </si>
  <si>
    <t>Acquisti servizi sanitari</t>
  </si>
  <si>
    <t>B.2.A</t>
  </si>
  <si>
    <t>B.2.A)   Acquisti servizi sanitari</t>
  </si>
  <si>
    <t>BA0410</t>
  </si>
  <si>
    <t xml:space="preserve">B.2.A.1  </t>
  </si>
  <si>
    <t>B.2.A.1)   Acquisti servizi sanitari per medicina di base</t>
  </si>
  <si>
    <t>5.02.01.01.0101</t>
  </si>
  <si>
    <t>COSTI PER ASSISTENZA MMG</t>
  </si>
  <si>
    <t xml:space="preserve">B.2.A.1.1.A </t>
  </si>
  <si>
    <t>B.2.A.1.1.A) Costi per assistenza MMG</t>
  </si>
  <si>
    <t>5.02.01.01.0201</t>
  </si>
  <si>
    <t>COSTI PER ASSISTENZA PLS</t>
  </si>
  <si>
    <t xml:space="preserve">B.2.A.1.1.B </t>
  </si>
  <si>
    <t>B.2.A.1.1.B) Costi per assistenza PLS</t>
  </si>
  <si>
    <t>5.02.01.01.0301</t>
  </si>
  <si>
    <t>COSTI PER ASSISTENZA CONTINUITA ASSISTENZIALE</t>
  </si>
  <si>
    <t xml:space="preserve">B.2.A.1.1.C </t>
  </si>
  <si>
    <t>B.2.A.1.1.C) Costi per assistenza Continuità assistenziale</t>
  </si>
  <si>
    <t>5.02.01.01.0401</t>
  </si>
  <si>
    <t>COSTI PER MEDICINA DEI SERVIZI</t>
  </si>
  <si>
    <t>Costi per Medicina dei servizi</t>
  </si>
  <si>
    <t xml:space="preserve">B.2.A.1.1.D </t>
  </si>
  <si>
    <t>B.2.A.1.1.D) Altro (medicina dei servizi, psicologi, medici 118, ecc)</t>
  </si>
  <si>
    <t>5.02.01.01.0501</t>
  </si>
  <si>
    <t>COSTI PER EMERGENZA SANITARIA TERRITORIALE</t>
  </si>
  <si>
    <t>Costi per Emergenza Sanitaria Territoriale</t>
  </si>
  <si>
    <t>5.02.01.01.0601</t>
  </si>
  <si>
    <t>ALTRI COSTI DI MEDICINA DI BASE</t>
  </si>
  <si>
    <t>Altri costi di medicina di base</t>
  </si>
  <si>
    <t>5.02.01.01.0701</t>
  </si>
  <si>
    <t>ALTRI COSTI DI MEDICINA DI BASE DA PUBBLICO (AZIENDE SANITARIE PUBBLICHE DELLA REGIONE) - MOBILITA INTRAREGIONALE</t>
  </si>
  <si>
    <t>da pubblico (Aziende sanitarie pubbliche della Regione) - Mobilità intraregionale</t>
  </si>
  <si>
    <t xml:space="preserve">B.2.A.1.2 </t>
  </si>
  <si>
    <t>B.2.A.1.2) - da pubblico (Aziende sanitarie pubbliche della Regione) - Mobilità intraregionale</t>
  </si>
  <si>
    <t>5.02.01.01.0801</t>
  </si>
  <si>
    <t>ALTRI COSTI DI MEDICINA DI BASE DA PUBBLICO (AZIENDE SANITARIE PUBBLICHE EXTRAREGIONE) - MOBILITA EXTRAREGIONALE</t>
  </si>
  <si>
    <t>da pubblico (Aziende sanitarie pubbliche Extraregione) - Mobilità extraregionale</t>
  </si>
  <si>
    <t>B.2.A.1.3</t>
  </si>
  <si>
    <t>B.2.A.1.3) - da pubblico (Aziende sanitarie pubbliche Extraregione) - Mobilità extraregionale</t>
  </si>
  <si>
    <t>BA0490</t>
  </si>
  <si>
    <t xml:space="preserve">B.2.A.2  </t>
  </si>
  <si>
    <t>B.2.A.2)   Acquisti servizi sanitari per farmaceutica</t>
  </si>
  <si>
    <t>5.02.01.02.0101</t>
  </si>
  <si>
    <t>COSTI PER ASSISTENZA FARMACEUTICA- DA CONVENZIONE</t>
  </si>
  <si>
    <t>costi per assistenza farmaceutica- da convenzione</t>
  </si>
  <si>
    <t>B.2.A.2.1</t>
  </si>
  <si>
    <t>B.2.A.2.1) - da convenzione</t>
  </si>
  <si>
    <t>5.02.01.02.0201</t>
  </si>
  <si>
    <t>SUSSIDI PER FARMACIE RURALI</t>
  </si>
  <si>
    <t>sussidi per farmacie rurali</t>
  </si>
  <si>
    <t>5.02.01.02.0301</t>
  </si>
  <si>
    <t>ONERI CONTRIBUTIVI ENPAF-FARMACEUTICA DA CONVENZIONE</t>
  </si>
  <si>
    <t>oneri contributivi ENPAF-farmaceutica da convenzione</t>
  </si>
  <si>
    <t>5.02.01.02.0401</t>
  </si>
  <si>
    <t>ACQUISTI SERVIZI SANITARI PER FARMACEUTICA DA PUBBLICO (AZIENDE SANITARIE PUBBLICHE DELLA REGIONE)- MOBILITA INTRAREGIONALE</t>
  </si>
  <si>
    <t>da pubblico (Aziende sanitarie pubbliche della Regione)- Mobilità intraregionale</t>
  </si>
  <si>
    <t>B.2.A.2.2</t>
  </si>
  <si>
    <t>B.2.A.2.2) - da pubblico (Aziende sanitarie pubbliche della Regione)- Mobilità intraregionale</t>
  </si>
  <si>
    <t>5.02.01.02.0501</t>
  </si>
  <si>
    <t>ONERI CONTRIBUTIVI ENPAF-FARMACEUTICA DA CONVENZIONE DA PUBBLICO (EXTRAREGIONE)</t>
  </si>
  <si>
    <t>da pubblico (Extraregione)</t>
  </si>
  <si>
    <t>B.2.A.2.3</t>
  </si>
  <si>
    <t>B.2.A.2.3) - da pubblico (Extraregione)</t>
  </si>
  <si>
    <t>BA0530</t>
  </si>
  <si>
    <t xml:space="preserve">B.2.A.3  </t>
  </si>
  <si>
    <t>B.2.A.3)   Acquisti servizi sanitari per assistenza specialistica ambulatoriale</t>
  </si>
  <si>
    <t>5.02.01.03.0101</t>
  </si>
  <si>
    <t>ACQUISTI SERVIZI SANITARI PER ASSISTENZA SPECIALISTICA AMBULATORIALE DA PUBBLICO (AZIENDE SANITARIE PUBBLICHE DELLA REGIONE)</t>
  </si>
  <si>
    <t>da pubblico (Aziende sanitarie pubbliche della Regione)</t>
  </si>
  <si>
    <t>B.2.A.3.1</t>
  </si>
  <si>
    <t>B.2.A.3.1) - da pubblico (Aziende sanitarie pubbliche della Regione)</t>
  </si>
  <si>
    <t>BA0541</t>
  </si>
  <si>
    <t>5.02.01.03.1501</t>
  </si>
  <si>
    <t>prestazioni di pronto soccorso non seguite da ricovero - da pubblico (Aziende sanitarie pubbliche della Regione)</t>
  </si>
  <si>
    <t xml:space="preserve"> prestazioni di pronto soccorso non seguite da ricovero - da pubblico (Aziende sanitarie pubbliche della Regione)</t>
  </si>
  <si>
    <t>B.2.A.3.2</t>
  </si>
  <si>
    <t>B.2.A.3.2) - prestazioni di pronto soccorso non seguite da ricovero - da pubblico (Aziende sanitarie pubbliche della Regione)</t>
  </si>
  <si>
    <t>5.02.01.03.0201</t>
  </si>
  <si>
    <t>ACQUISTI SERVIZI SANITARI PER ASSISTENZA SPECIALISTICA AMBULATORIALE DA PUBBLICO (ALTRI SOGGETTI PUBBLICI DELLA REGIONE)</t>
  </si>
  <si>
    <t>da pubblico (altri soggetti pubblici della Regione)</t>
  </si>
  <si>
    <t>B.2.A.3.3</t>
  </si>
  <si>
    <t>B.2.A.3.3) - da pubblico (altri soggetti pubbl. della Regione)</t>
  </si>
  <si>
    <t>BA0551</t>
  </si>
  <si>
    <t>5.02.01.03.1601</t>
  </si>
  <si>
    <t>prestazioni di pronto soccorso non seguite da ricovero - da pubblico (altri soggetti pubbl. della Regione)</t>
  </si>
  <si>
    <t xml:space="preserve"> prestazioni di pronto soccorso non seguite da ricovero - da pubblico (altri soggetti pubbl. della Regione)</t>
  </si>
  <si>
    <t>B.2.A.3.4</t>
  </si>
  <si>
    <t>B.2.A.3.4) - prestazioni di pronto soccorso non seguite da ricovero - da pubblico (altri soggetti pubbl. della Regione)</t>
  </si>
  <si>
    <t>5.02.01.03.0301</t>
  </si>
  <si>
    <t>ACQUISTI SERVIZI SANITARI PER ASSISTENZA SPECIALISTICA AMBULATORIALE DA PUBBLICO (EXTRAREGIONE)</t>
  </si>
  <si>
    <t>B.2.A.3.5</t>
  </si>
  <si>
    <t>B.2.A.3.5) - da pubblico (Extraregione)</t>
  </si>
  <si>
    <t>BA0561</t>
  </si>
  <si>
    <t>5.02.01.03.1701</t>
  </si>
  <si>
    <t>prestazioni di pronto soccorso non seguite da ricovero - da pubblico (Extraregione)</t>
  </si>
  <si>
    <t xml:space="preserve"> prestazioni di pronto soccorso non seguite da ricovero - da pubblico (Extraregione)</t>
  </si>
  <si>
    <t>B.2.A.3.6</t>
  </si>
  <si>
    <t>B.2.A.3.4) - prestazioni di pronto soccorso non seguite da ricovero - da pubblico (Extraregione)</t>
  </si>
  <si>
    <t>5.02.01.03.0401</t>
  </si>
  <si>
    <t>MEDICI SPECIALISTI AMBULATORIALI INTERNI</t>
  </si>
  <si>
    <t>Medici specialisti ambulatoriali interni</t>
  </si>
  <si>
    <t>B.2.A.3.7</t>
  </si>
  <si>
    <t>B.2.A.3.7) - da privato - Medici SUMAI</t>
  </si>
  <si>
    <t>5.02.01.03.0501</t>
  </si>
  <si>
    <t>VETERINARI IN RAPPORTO DI CONVENZIONE</t>
  </si>
  <si>
    <t xml:space="preserve">Veterinari in rapporto di convenzione </t>
  </si>
  <si>
    <t>5.02.01.03.0601</t>
  </si>
  <si>
    <t>Biologi</t>
  </si>
  <si>
    <t xml:space="preserve">Biologi </t>
  </si>
  <si>
    <t>5.02.01.03.1201</t>
  </si>
  <si>
    <t>Chimici</t>
  </si>
  <si>
    <t>5.02.01.03.1301</t>
  </si>
  <si>
    <t>Psicologi</t>
  </si>
  <si>
    <t>5.02.01.03.1401</t>
  </si>
  <si>
    <t>Altri Professionisti</t>
  </si>
  <si>
    <t xml:space="preserve">Altri Professionisti </t>
  </si>
  <si>
    <t>5.02.01.03.0701</t>
  </si>
  <si>
    <t>SERVIZI SANITARI PER ASSISTENZA SPECIALISTICA DA IRCCS PRIVATI E POLICLINICI PRIVATI</t>
  </si>
  <si>
    <t>B.2.A.3.8.A)</t>
  </si>
  <si>
    <t>B.2.A.3.8.A) Servizi sanitari per assistenza specialistica da IRCCS privati e Policlinici privati</t>
  </si>
  <si>
    <t>BA0591</t>
  </si>
  <si>
    <t>5.02.01.03.1801</t>
  </si>
  <si>
    <t>Servizi sanitari per prestazioni di pronto soccorso non seguite da ricovero - da IRCCS privati e Policlinici privati</t>
  </si>
  <si>
    <t>B.2.A.3.8.B)</t>
  </si>
  <si>
    <t>B.2.A.3.8.B) Servizi sanitari per prestazioni di pronto soccorso non seguite da ricovero - da IRCCS privati e Policlinici privati</t>
  </si>
  <si>
    <t>5.02.01.03.0801</t>
  </si>
  <si>
    <t>SERVIZI SANITARI PER ASSISTENZA SPECIALISTICA DA OSPEDALI CLASSIFICATI PRIVATI</t>
  </si>
  <si>
    <t>B.2.A.3.5.C</t>
  </si>
  <si>
    <t>B.2.A.3.5.C) Servizi sanitari per assistenza specialistica da Ospedali Classificati privati</t>
  </si>
  <si>
    <t>BA0601</t>
  </si>
  <si>
    <t>5.02.01.03.1901</t>
  </si>
  <si>
    <t>Servizi sanitari per prestazioni di pronto soccorso non seguite da ricovero - da Ospedali Classificati come privati</t>
  </si>
  <si>
    <t>B.2.A.3.8.D)</t>
  </si>
  <si>
    <t>B.2.A.3.8.D) Servizi sanitari per prestazioni di pronto soccorso non seguite da ricovero - da Ospedali Classificati privati</t>
  </si>
  <si>
    <t>5.02.01.03.0901</t>
  </si>
  <si>
    <t>SERVIZI SANITARI PER ASSISTENZA SPECIALISTICA DA CASE DI CURA PRIVATE</t>
  </si>
  <si>
    <t>B.2.A.3.8.E</t>
  </si>
  <si>
    <t>B.2.A.3.8.E) Servizi sanitari per assistenza specialistica da Case di Cura private</t>
  </si>
  <si>
    <t>BA0611</t>
  </si>
  <si>
    <t>5.02.01.03.2001</t>
  </si>
  <si>
    <t>Servizi sanitari per prestazioni di pronto soccorso non seguite da ricovero - da Case di cura private</t>
  </si>
  <si>
    <t>B.2.A.3.8.F</t>
  </si>
  <si>
    <t>B.2.A.3.8.F) Servizi sanitari per prestazioni di pronto soccorso non seguite da ricovero - da Case di Cura private</t>
  </si>
  <si>
    <t>5.02.01.03.1001</t>
  </si>
  <si>
    <t>SERVIZI SANITARI PER ASSISTENZA SPECIALISTICA DA ALTRI PRIVATI</t>
  </si>
  <si>
    <t>B.2.A.3.5.G</t>
  </si>
  <si>
    <t>B.2.A.3.5.G) Servizi sanitari per assistenza specialistica da altri privati</t>
  </si>
  <si>
    <t>BA0621</t>
  </si>
  <si>
    <t>5.02.01.03.2101</t>
  </si>
  <si>
    <t>Servizi sanitari per prestazioni di pronto soccorso non seguite da ricovero - da altri privati</t>
  </si>
  <si>
    <t xml:space="preserve"> Servizi sanitari per prestazioni di pronto soccorso non seguite da ricovero - da altri privati</t>
  </si>
  <si>
    <t>B.2.A.3.8.H</t>
  </si>
  <si>
    <t>B.2.A.3.8.H) Servizi sanitari per prestazioni di pronto soccorso non seguite da ricovero - da altri privati</t>
  </si>
  <si>
    <t>5.02.01.03.1101</t>
  </si>
  <si>
    <t>SERVIZI SANITARI PER ASSISTENZA SPECIALISTICA DA PRIVATO PER CITTADINI NON RESIDENTI - EXTRAREGIONE (MOBILITA ATTIVA IN COMPENSAZIONE)</t>
  </si>
  <si>
    <t>da privato per cittadini non residenti - Extraregione (mobilità attiva in compensazione)</t>
  </si>
  <si>
    <t>B.2.A.3.9</t>
  </si>
  <si>
    <t>B.2.A.3.9) - da privato per cittadini non residenti - Extraregione (mobilità attiva in compensazione)</t>
  </si>
  <si>
    <t>BA0631</t>
  </si>
  <si>
    <t>5.02.01.03.2201</t>
  </si>
  <si>
    <t>Servizi sanitari per prestazioni di pronto soccorso non seguite da ricovero - da privato per cittadini non residenti - Extraregione (mobilità attiva in compensazione)</t>
  </si>
  <si>
    <t>B.2.A.3.10</t>
  </si>
  <si>
    <t>B.2.A.3.10) Servizi sanitari per prestazioni di pronto soccorso non seguite da ricovero - da privato per cittadini non residenti - Extraregione (mobilità attiva in compensazione)</t>
  </si>
  <si>
    <t>BA0640</t>
  </si>
  <si>
    <t xml:space="preserve">B.2.A.4  </t>
  </si>
  <si>
    <t>B.2.A.4)   Acquisti servizi sanitari per assistenza riabilitativa</t>
  </si>
  <si>
    <t>5.02.01.04.0101</t>
  </si>
  <si>
    <t>ACQUISTI SERVIZI SANITARI PER ASSISTENZA RIABILITATIVA DA PUBBLICO (AZIENDE SANITARIE PUBBLICHE DELLA REGIONE)</t>
  </si>
  <si>
    <t>B.2.A.4.1</t>
  </si>
  <si>
    <t>B.2.A.4.1) - da pubblico (Aziende sanitarie pubbliche della Regione)</t>
  </si>
  <si>
    <t>5.02.01.04.0201</t>
  </si>
  <si>
    <t>ACQUISTI SERVIZI SANITARI PER ASSISTENZA RIABILITATIVA DA PUBBLICO (ALTRI SOGGETTI PUBBLICI DELLA REGIONE)</t>
  </si>
  <si>
    <t>B.2.A.4.2</t>
  </si>
  <si>
    <t>B.2.A.4.2) - da pubblico (altri soggetti pubbl. della Regione)</t>
  </si>
  <si>
    <t>5.02.01.04.0301</t>
  </si>
  <si>
    <t>ACQUISTI SERVIZI SANITARI PER ASSISTENZA RIABILITATIVA DA PUBBLICO (EXTRAREGIONE) NON SOGGETTI A COMPENSAZIONE</t>
  </si>
  <si>
    <t>da pubblico (Extraregione) non soggetti a compensazione</t>
  </si>
  <si>
    <t>B.2.A.4.3</t>
  </si>
  <si>
    <t>B.2.A.4.3) - da pubblico (Extraregione) non soggetti a compensazione</t>
  </si>
  <si>
    <t>5.02.01.04.0401</t>
  </si>
  <si>
    <t>ACQUISTI SERVIZI SANITARI PER ASSISTENZA RIABILITATIVA DA PRIVATO - EX ART.26 (INTRAREGIONALE)</t>
  </si>
  <si>
    <t>da privato - ex art.26 (intraregionale)</t>
  </si>
  <si>
    <t>B.2.A.4.4</t>
  </si>
  <si>
    <t>B.2.A.4.4) - da privato (intraregionale)</t>
  </si>
  <si>
    <t>5.02.01.04.0501</t>
  </si>
  <si>
    <t>ACQUISTI SERVIZI SANITARI PER ASSISTENZA RIABILITATIVA DA PRIVATO - EX ART.26 (EXTRAREGIONALE)</t>
  </si>
  <si>
    <t>da privato - ex art.26 (extraregionale)</t>
  </si>
  <si>
    <t>B.2.A.4.5</t>
  </si>
  <si>
    <t>B.2.A.4.5) - da privato (extraregionale)</t>
  </si>
  <si>
    <t>BA0700</t>
  </si>
  <si>
    <t>B.2.A.5</t>
  </si>
  <si>
    <t>B.2.A.5)   Acquisti servizi sanitari per assistenza integrativa</t>
  </si>
  <si>
    <t>5.02.01.05.0101</t>
  </si>
  <si>
    <t>ACQUISTI SERVIZI SANITARI PER ASSISTENZA INTEGRATIVA DA PUBBLICO (AZIENDE SANITARIE PUBBLICHE DELLA REGIONE)</t>
  </si>
  <si>
    <t>B.2.A.5.1</t>
  </si>
  <si>
    <t>B.2.A.5.1) - da pubblico (Aziende sanitarie pubbliche della Regione)</t>
  </si>
  <si>
    <t>5.02.01.05.0201</t>
  </si>
  <si>
    <t>DEBITI VERSO PERSONALE COMPARTO - DA PUBBLICO (ALTRI SOGGETTI PUBBLICI DELLA REGIONE)</t>
  </si>
  <si>
    <t>B.2.A.5.2</t>
  </si>
  <si>
    <t>B.2.A.5.2) - da pubblico (altri soggetti pubbl. della Regione)</t>
  </si>
  <si>
    <t>5.02.01.05.0301</t>
  </si>
  <si>
    <t>ACQUISTI SERVIZI SANITARI PER ASSISTENZA INTEGRATIVA DA PUBBLICO (EXTRAREGIONE)</t>
  </si>
  <si>
    <t>B.2.A.5.3</t>
  </si>
  <si>
    <t>B.2.A.5.3) - da pubblico (Extraregione)</t>
  </si>
  <si>
    <t>5.02.01.05.0401</t>
  </si>
  <si>
    <t>ACQUISTI SERVIZI SANITARI PER ASSISTENZA INTEGRATIVA DA PRIVATO</t>
  </si>
  <si>
    <t>da privato</t>
  </si>
  <si>
    <t>B.2.A.5.4</t>
  </si>
  <si>
    <t>B.2.A.5.4) - da privato</t>
  </si>
  <si>
    <t>BA0750</t>
  </si>
  <si>
    <t>B.2.A.6</t>
  </si>
  <si>
    <t>B.2.A.6)   Acquisti servizi sanitari per assistenza protesica</t>
  </si>
  <si>
    <t>5.02.01.06.0101</t>
  </si>
  <si>
    <t>ACQUISTI SERVIZI SANITARI PER ASSISTENZA PROTESICA DA PUBBLICO (AZIENDE SANITARIE PUBBLICHE DELLA REGIONE)</t>
  </si>
  <si>
    <t>B.2.A.6.1</t>
  </si>
  <si>
    <t>B.2.A.6.1) - da pubblico (Aziende sanitarie pubbliche della Regione)</t>
  </si>
  <si>
    <t>5.02.01.06.0201</t>
  </si>
  <si>
    <t>ACQUISTI SERVIZI SANITARI PER ASSISTENZA PROTESICA DA PUBBLICO (ALTRI SOGGETTI PUBBLICI DELLA REGIONE)</t>
  </si>
  <si>
    <t>B.2.A.6.2</t>
  </si>
  <si>
    <t>B.2.A.6.2) - da pubblico (altri soggetti pubbl. della Regione)</t>
  </si>
  <si>
    <t>5.02.01.06.0301</t>
  </si>
  <si>
    <t>ACQUISTI SERVIZI SANITARI PER ASSISTENZA PROTESICA DA PUBBLICO (EXTRAREGIONE)</t>
  </si>
  <si>
    <t>B.2.A.6.3</t>
  </si>
  <si>
    <t>B.2.A.6.3) - da pubblico (Extraregione)</t>
  </si>
  <si>
    <t>5.02.01.06.0401</t>
  </si>
  <si>
    <t>ACQUISTI SERVIZI SANITARI PER ASSISTENZA PROTESICA DA PRIVATO</t>
  </si>
  <si>
    <t>B.2.A.6.4</t>
  </si>
  <si>
    <t>B.2.A.6.4) - da privato</t>
  </si>
  <si>
    <t>BA0800</t>
  </si>
  <si>
    <t xml:space="preserve">B.2.A.7  </t>
  </si>
  <si>
    <t>B.2.A.7)   Acquisti servizi sanitari per assistenza ospedaliera</t>
  </si>
  <si>
    <t>5.02.01.07.0101</t>
  </si>
  <si>
    <t>ACQUISTI SERVIZI SANITARI PER ASSISTENZA OSPEDALIERA DA PUBBLICO (AZIENDE SANITARIE PUBBLICHE DELLA REGIONE)</t>
  </si>
  <si>
    <t>B.2.A.7.1</t>
  </si>
  <si>
    <t>B.2.A.7.1) - da pubblico (Aziende sanitarie pubbliche della Regione)</t>
  </si>
  <si>
    <t>5.02.01.07.0201</t>
  </si>
  <si>
    <t>VERIFICARE CORRETTA CONTABILIZZAZIONE</t>
  </si>
  <si>
    <t>B.2.A.7.2</t>
  </si>
  <si>
    <t>B.2.A.7.2) - da pubblico (altri soggetti pubbl. della Regione)</t>
  </si>
  <si>
    <t>5.02.01.07.0301</t>
  </si>
  <si>
    <t>B.2.A.7.3</t>
  </si>
  <si>
    <t>B.2.A.7.3) - da pubblico (Extraregione)</t>
  </si>
  <si>
    <t>5.02.01.07.0401</t>
  </si>
  <si>
    <t>SERVIZI SANITARI PER ASSISTENZA OSPEDALIERA DA IRCCS PRIVATI E POLICLINICI PRIVATI</t>
  </si>
  <si>
    <t>B.2.A.7.4.A</t>
  </si>
  <si>
    <t>B.2.A.7.4.A) Servizi sanitari per assistenza ospedaliera da IRCCS privati e Policlinici privati</t>
  </si>
  <si>
    <t>5.02.01.07.0501</t>
  </si>
  <si>
    <t>SERVIZI SANITARI PER ASSISTENZA OSPEDALIERA DA OSPEDALI CLASSIFICATI PRIVATI</t>
  </si>
  <si>
    <t>B.2.A.7.4.B</t>
  </si>
  <si>
    <t>B.2.A.7.4.B) Servizi sanitari per assistenza ospedaliera da Ospedali Classificati privati</t>
  </si>
  <si>
    <t>5.02.01.07.0601</t>
  </si>
  <si>
    <t>SERVIZI SANITARI PER ASSISTENZA OSPEDALIERA DA CASE DI CURA PRIVATE</t>
  </si>
  <si>
    <t>B.2.A.7.4.C</t>
  </si>
  <si>
    <t>B.2.A.7.4.C) Servizi sanitari per assistenza ospedaliera da Case di Cura private</t>
  </si>
  <si>
    <t>5.02.01.07.0701</t>
  </si>
  <si>
    <t>SERVIZI SANITARI PER ASSISTENZA OSPEDALIERA DA ALTRI PRIVATI</t>
  </si>
  <si>
    <t>B.2.A.7.4.D</t>
  </si>
  <si>
    <t>B.2.A.7.4.D) Servizi sanitari per assistenza ospedaliera da altri privati</t>
  </si>
  <si>
    <t>5.02.01.07.0801</t>
  </si>
  <si>
    <t>SERVIZI SANITARI PER ASSISTENZA OSPEDALIERA DA PRIVATO PER CITTADINI NON RESIDENTI - EXTRAREGIONE (MOBILITA ATTIVA IN COMPENSAZIONE)</t>
  </si>
  <si>
    <t>B.2.A.7.5</t>
  </si>
  <si>
    <t>B.2.A.7.5) - da privato per cittadini non residenti - Extraregione (mobilità attiva in compensazione)</t>
  </si>
  <si>
    <t>BA0900</t>
  </si>
  <si>
    <t xml:space="preserve">B.2.A.8  </t>
  </si>
  <si>
    <t>B.2.A.8)   Acquisto prestazioni di psichiatria residenziale e semiresidenziale</t>
  </si>
  <si>
    <t>5.02.01.08.0101</t>
  </si>
  <si>
    <t>ACQUISTO PRESTAZIONI DI PSICHIATRIA RESIDENZIALE E SEMIRESIDENZIALE DA PUBBLICO (AZIENDE SANITARIE PUBBLICHE DELLA REGIONE) - CTA</t>
  </si>
  <si>
    <t>da pubblico (Aziende sanitarie pubbliche della Regione) - CTA</t>
  </si>
  <si>
    <t>B.2.A.8.1</t>
  </si>
  <si>
    <t>B.2.A.8.1) - da pubblico (Aziende sanitarie pubbliche della Regione)</t>
  </si>
  <si>
    <t>5.02.01.08.0201</t>
  </si>
  <si>
    <t>ACQUISTO PRESTAZIONI DI PSICHIATRIA RESIDENZIALE E SEMIRESIDENZIALE DA PUBBLICO (ALTRI SOGGETTI PUBBLICI DELLA REGIONE)- CTA</t>
  </si>
  <si>
    <t>da pubblico (altri soggetti pubblici della Regione)- CTA</t>
  </si>
  <si>
    <t>B.2.A.8.2</t>
  </si>
  <si>
    <t>B.2.A.8.2) - da pubblico (altri soggetti pubbl. della Regione)</t>
  </si>
  <si>
    <t>5.02.01.08.0301</t>
  </si>
  <si>
    <t>ACQUISTO PRESTAZIONI DI PSICHIATRIA RESIDENZIALE E SEMIRESIDENZIALE DA PUBBLICO (EXTRAREGIONE) - - CTA NON SOGGETTE A COMPENSAZIONE</t>
  </si>
  <si>
    <t>da pubblico (Extraregione) - - CTA non soggette a compensazione</t>
  </si>
  <si>
    <t>B.2.A.8.3</t>
  </si>
  <si>
    <t>B.2.A.8.3) - da pubblico (Extraregione) - non soggette a compensazione</t>
  </si>
  <si>
    <t>5.02.01.08.0401</t>
  </si>
  <si>
    <t>ACQUISTO PRESTAZIONI DI PSICHIATRIA RESIDENZIALE E SEMIRESIDENZIALE DA PRIVATO (INTRAREGIONALE)</t>
  </si>
  <si>
    <t>da privato (intraregionale)</t>
  </si>
  <si>
    <t>B.2.A.8.4</t>
  </si>
  <si>
    <t>B.2.A.8.4) - da privato (intraregionale)</t>
  </si>
  <si>
    <t>5.02.01.08.0501</t>
  </si>
  <si>
    <t>ACQUISTO PRESTAZIONI DI PSICHIATRIA RESIDENZIALE E SEMIRESIDENZIALE DA PRIVATO (EXTRAREGIONALE)</t>
  </si>
  <si>
    <t>da privato (extraregionale)</t>
  </si>
  <si>
    <t>B.2.A.8.5</t>
  </si>
  <si>
    <t>B.2.A.8.5) - da privato (extraregionale)</t>
  </si>
  <si>
    <t>BA0960</t>
  </si>
  <si>
    <t xml:space="preserve">B.2.A.9  </t>
  </si>
  <si>
    <t>B.2.A.9)   Acquisto prestazioni di distribuzione farmaci File F</t>
  </si>
  <si>
    <t>5.02.01.09.0101</t>
  </si>
  <si>
    <t>ACQUISTO PRESTAZIONI DI DISTRIBUZIONE FARMACI FILE F DA PUBBLICO (AZIENDE SANITARIE PUBBLICHE DELLA REGIONE) - MOBILITA INTRAREGIONALE</t>
  </si>
  <si>
    <t>B.2.A.9.1</t>
  </si>
  <si>
    <t>B.2.A.9.1) - da pubblico (Aziende sanitarie pubbliche della Regione) - Mobilità intraregionale</t>
  </si>
  <si>
    <t>5.02.01.09.0201</t>
  </si>
  <si>
    <t>ACQUISTO PRESTAZIONI DI DISTRIBUZIONE FARMACI FILE F DA PUBBLICO (ALTRI SOGGETTI PUBBLICI DELLA REGIONE)</t>
  </si>
  <si>
    <t>B.2.A.9.2</t>
  </si>
  <si>
    <t>B.2.A.9.2) - da pubblico (altri soggetti pubbl. della Regione)</t>
  </si>
  <si>
    <t>5.02.01.09.0301</t>
  </si>
  <si>
    <t>ACQUISTO PRESTAZIONI DI DISTRIBUZIONE FARMACI FILE F DA PUBBLICO (EXTRAREGIONE)</t>
  </si>
  <si>
    <t>B.2.A.9.3</t>
  </si>
  <si>
    <t>B.2.A.9.3) - da pubblico (Extraregione)</t>
  </si>
  <si>
    <t>5.02.01.09.0401</t>
  </si>
  <si>
    <t>ACQUISTO PRESTAZIONI DI DISTRIBUZIONE FARMACI FILE F DA PRIVATO (INTRAREGIONALE)</t>
  </si>
  <si>
    <t>B.2.A.9.4</t>
  </si>
  <si>
    <t>B.2.A.9.4) - da privato (intraregionale)</t>
  </si>
  <si>
    <t>5.02.01.09.0501</t>
  </si>
  <si>
    <t>ACQUISTO PRESTAZIONI DI DISTRIBUZIONE FARMACI FILE F DA PRIVATO (INTRAREGIONALE) - SERVIZIO DI DISTRIBUZIONE FARMACI PHT (DPC)</t>
  </si>
  <si>
    <t>da privato (intraregionale) - Servizio di distribuzione farmaci PHT (DPC)</t>
  </si>
  <si>
    <t>5.02.01.09.0601</t>
  </si>
  <si>
    <t>ACQUISTO PRESTAZIONI DI DISTRIBUZIONE FARMACI FILE F DA PRIVATO (EXTRAREGIONALE)</t>
  </si>
  <si>
    <t>B.2.A.9.5</t>
  </si>
  <si>
    <t>B.2.A.9.5) - da privato (extraregionale)</t>
  </si>
  <si>
    <t>5.02.01.09.0701</t>
  </si>
  <si>
    <t>ACQUISTO PRESTAZIONI DI DISTRIBUZIONE FARMACI FILE F DA PRIVATO PER CITTADINI NON RESIDENTI - EXTRAREGIONE (MOBILITA ATTIVA IN COMPENSAZ</t>
  </si>
  <si>
    <t>B.2.A.9.6</t>
  </si>
  <si>
    <t>B.2.A.9.6) - da privato per cittadini non residenti - Extraregione (mobilità attiva in compensazione)</t>
  </si>
  <si>
    <t>BA1030</t>
  </si>
  <si>
    <t xml:space="preserve">B.2.A.10 </t>
  </si>
  <si>
    <t>B.2.A.10)   Acquisto prestazioni termali in convenzione</t>
  </si>
  <si>
    <t>5.02.01.10.0101</t>
  </si>
  <si>
    <t>ACQUISTO PRESTAZIONI TERMALI IN CONVENZIONE DA PUBBLICO (AZIENDE SANITARIE PUBBLICHE DELLA REGIONE) - MOBILITA INTRAREGIONALE</t>
  </si>
  <si>
    <t>B.2.A.10.1</t>
  </si>
  <si>
    <t>B.2.A.10.1) - da pubblico (Aziende sanitarie pubbliche della Regione) - Mobilità intraregionale</t>
  </si>
  <si>
    <t>5.02.01.10.0201</t>
  </si>
  <si>
    <t>ACQUISTO PRESTAZIONI TERMALI IN CONVENZIONE DA PUBBLICO (ALTRI SOGGETTI PUBBLICI DELLA REGIONE)</t>
  </si>
  <si>
    <t>B.2.A.10.2</t>
  </si>
  <si>
    <t>B.2.A.10.2) - da pubblico (altri soggetti pubbl. della Regione)</t>
  </si>
  <si>
    <t>5.02.01.10.0301</t>
  </si>
  <si>
    <t>ACQUISTO PRESTAZIONI TERMALI IN CONVENZIONE DA PUBBLICO (EXTRAREGIONE)</t>
  </si>
  <si>
    <t>B.2.A.10.3</t>
  </si>
  <si>
    <t>B.2.A.10.3) - da pubblico (Extraregione)</t>
  </si>
  <si>
    <t>5.02.01.10.0401</t>
  </si>
  <si>
    <t>ACQUISTO PRESTAZIONI TERMALI IN CONVENZIONE DA PRIVATO</t>
  </si>
  <si>
    <t>B.2.A.10.4</t>
  </si>
  <si>
    <t>B.2.A.10.4) - da privato</t>
  </si>
  <si>
    <t>5.02.01.10.0501</t>
  </si>
  <si>
    <t>ACQUISTO PRESTAZIONI TERMALI IN CONVENZIONE DA PRIVATO PER CITTADINI NON RESIDENTI - EXTRAREGIONE (MOBILITA ATTIVA IN COMPENSAZIONE)</t>
  </si>
  <si>
    <t>B.2.A.10.5</t>
  </si>
  <si>
    <t>B.2.A.10.5) - da privato per cittadini non residenti - Extraregione (mobilità attiva in compensazione)</t>
  </si>
  <si>
    <t>BA1090</t>
  </si>
  <si>
    <t>Acquisto prestazioni di trasporto sanitario</t>
  </si>
  <si>
    <t xml:space="preserve">B.2.A.11 </t>
  </si>
  <si>
    <t>B.2.A.11)   Acquisto prestazioni di trasporto sanitario</t>
  </si>
  <si>
    <t>5.02.01.11.0101</t>
  </si>
  <si>
    <t>ACQUISTO PRESTAZIONI DI TRASPORTO SANITARIO DA PUBBLICO (AZIENDE SANITARIE PUBBLICHE DELLA REGIONE) - MOBILITA INTRAREGIONALE</t>
  </si>
  <si>
    <t>B.2.A.11.1</t>
  </si>
  <si>
    <t>B.2.A.11.1) - da pubblico (Aziende sanitarie pubbliche della Regione) - Mobilità intraregionale</t>
  </si>
  <si>
    <t>5.02.01.11.0201</t>
  </si>
  <si>
    <t>ACQUISTO PRESTAZIONI DI TRASPORTO SANITARIO DA PUBBLICO (ALTRI SOGGETTI PUBBLICI DELLA REGIONE)</t>
  </si>
  <si>
    <t>B.2.A.11.2</t>
  </si>
  <si>
    <t>B.2.A.11.2) - da pubblico (altri soggetti pubbl. della Regione)</t>
  </si>
  <si>
    <t>5.02.01.11.0301</t>
  </si>
  <si>
    <t>ACQUISTO PRESTAZIONI DI TRASPORTO SANITARIO DA PUBBLICO (EXTRAREGIONE)</t>
  </si>
  <si>
    <t>B.2.A.11.3</t>
  </si>
  <si>
    <t>B.2.A.11.3) - da pubblico (Extraregione)</t>
  </si>
  <si>
    <t>5.02.01.11.0401</t>
  </si>
  <si>
    <t>TRASPORTI EMODIALIZZATI DA PRIVATO</t>
  </si>
  <si>
    <t>Trasporti emodializzati da privato</t>
  </si>
  <si>
    <t>B.2.A.11.4</t>
  </si>
  <si>
    <t>B.2.A.11.4) - da privato</t>
  </si>
  <si>
    <t>5.02.01.11.0501</t>
  </si>
  <si>
    <t>TRASPORTO DI INFERMI</t>
  </si>
  <si>
    <t>Trasporto di infermi</t>
  </si>
  <si>
    <t>5.02.01.11.0601</t>
  </si>
  <si>
    <t>TRASPORTO DI ORGANI/SANGUE</t>
  </si>
  <si>
    <t>Trasporto di organi/sangue</t>
  </si>
  <si>
    <t>5.02.01.11.0701</t>
  </si>
  <si>
    <t>ALTRI TRASPORTI SANITARI DA PRIVATO</t>
  </si>
  <si>
    <t>Altri trasporti sanitari da privato</t>
  </si>
  <si>
    <t>5.02.01.11.0702</t>
  </si>
  <si>
    <t>C.O. SEUS 118 ECCEDENZE TRASPORTI</t>
  </si>
  <si>
    <t>BA1140</t>
  </si>
  <si>
    <t xml:space="preserve">B.2.A.12 </t>
  </si>
  <si>
    <t>B.2.A.12)   Acquisto prestazioni Socio-Sanitarie a rilevanza sanitaria</t>
  </si>
  <si>
    <t>BA1152</t>
  </si>
  <si>
    <t>5.02.01.12.0101</t>
  </si>
  <si>
    <t>Assistenza RSA da pubblico (Aziende sanitarie pubbliche della Regione) - Mobilità intraregionale</t>
  </si>
  <si>
    <t>B.2.A.12.1.B</t>
  </si>
  <si>
    <t>B.2.A.12.1.B) Altre prestazioni socio-sanitarie a rilevanza sanitaria</t>
  </si>
  <si>
    <t>5.02.01.12.0201</t>
  </si>
  <si>
    <t>Assistenza RSA da pubblico (altri soggetti pubblici della Regione)</t>
  </si>
  <si>
    <t>B.2.A.12.2</t>
  </si>
  <si>
    <t>B.2.A.12.2) - da pubblico (altri soggetti pubblici della Regione)</t>
  </si>
  <si>
    <t>BA1161</t>
  </si>
  <si>
    <t>5.02.01.12.2501</t>
  </si>
  <si>
    <t>Assistenza RSA da pubblico (extraregione)</t>
  </si>
  <si>
    <t>B.2.A.12.3</t>
  </si>
  <si>
    <t>B.2.A.12.3) - da pubblico  (Extraregione) - Acquisto di Altre prestazioni sociosanitarie a rilevanza sanitaria erogate a soggetti pubblici Extraregione</t>
  </si>
  <si>
    <t>5.02.01.12.0301</t>
  </si>
  <si>
    <t>Assistenza RSA da pubblico (extra Regione) non soggetta a compensazione</t>
  </si>
  <si>
    <t>B.2.A.12.4</t>
  </si>
  <si>
    <t>B.2.A.12.4) - da pubblico (Extraregione) non soggette a compensazione</t>
  </si>
  <si>
    <t>5.02.01.12.0401</t>
  </si>
  <si>
    <t>Assistenza RSA da privato intraregionale</t>
  </si>
  <si>
    <t>B.2.A.12.5</t>
  </si>
  <si>
    <t>B.2.A.12.5) - da privato (intraregionale)</t>
  </si>
  <si>
    <t>5.02.01.12.0501</t>
  </si>
  <si>
    <t>Assistenza RSA da privato extraregionale</t>
  </si>
  <si>
    <t>B.2.A.12.6</t>
  </si>
  <si>
    <t>B.2.A.12.6) - da privato (extraregionale)</t>
  </si>
  <si>
    <t>5.02.01.12.0601</t>
  </si>
  <si>
    <t>Assistenza tossicodipendenti e alcolisti da pubblico (Aziende sanitarie pubbliche della Regione) - Mobilità intraregionale</t>
  </si>
  <si>
    <t>5.02.01.12.0701</t>
  </si>
  <si>
    <t>Assistenza tossicodipendenti e alcolisti da pubblico (altri soggetti pubblici della Regione)</t>
  </si>
  <si>
    <t>5.02.01.12.2601</t>
  </si>
  <si>
    <t>Assistenza tossicodipendenti e alcolisti da pubblico (extraregione)</t>
  </si>
  <si>
    <t>5.02.01.12.0801</t>
  </si>
  <si>
    <t>ASSISTENZA TOSSICODIPENDENTI E ALCOLISTI DA PUBBLICO (EXTRA REGIONE) NON SOGGETTO A COMPENSAZIONE</t>
  </si>
  <si>
    <t>Assistenza tossicodipendenti e alcolisti da pubblico (extra Regione) non soggetto a compensazione</t>
  </si>
  <si>
    <t>5.02.01.12.0901</t>
  </si>
  <si>
    <t>ASSISTENZA TOSSICODIPENDENTI E ALCOLISTI DA PRIVATO INTRAREGIONALE</t>
  </si>
  <si>
    <t>Assistenza tossicodipendenti e alcolisti da privato intraregionale</t>
  </si>
  <si>
    <t>5.02.01.12.1001</t>
  </si>
  <si>
    <t>ASSISTENZA TOSSICODIPENDENTI E ALCOLISTI DA PRIVATO EXTRAREGIONALE</t>
  </si>
  <si>
    <t>Assistenza tossicodipendenti e alcolisti da privato extraregionale</t>
  </si>
  <si>
    <t>5.02.01.12.1101</t>
  </si>
  <si>
    <t>Assistenza in Hospice da pubblico (Aziende sanitarie pubbliche della Regione) - Mobilità intraregionale</t>
  </si>
  <si>
    <t>5.02.01.12.1201</t>
  </si>
  <si>
    <t>Assistenza in Hospice da pubblico (altri soggetti pubblici della Regione)</t>
  </si>
  <si>
    <t>5.02.01.12.2701</t>
  </si>
  <si>
    <t>Assistenza in Hospice da pubblico (extraregione)</t>
  </si>
  <si>
    <t>5.02.01.12.1301</t>
  </si>
  <si>
    <t>ASSISTENZA IN HOSPICE DA PUBBLICO (EXTRA REGIONE) NON SOGGETTO A COMPENSAZIONE</t>
  </si>
  <si>
    <t>Assistenza in Hospice da pubblico (extra Regione) non soggetto a compensazione</t>
  </si>
  <si>
    <t>5.02.01.12.1401</t>
  </si>
  <si>
    <t>ASSISTENZA IN HOSPICE DA PRIVATO INTRAREGIONALE</t>
  </si>
  <si>
    <t>Assistenza in Hospice da privato intraregionale</t>
  </si>
  <si>
    <t>5.02.01.12.1501</t>
  </si>
  <si>
    <t>ASSISTENZA IN HOSPICE DA PRIVATO EXTRAREGIONALE</t>
  </si>
  <si>
    <t>Assistenza in Hospice da privato extraregionale</t>
  </si>
  <si>
    <t>BA1151</t>
  </si>
  <si>
    <t>5.02.01.12.1601</t>
  </si>
  <si>
    <t>Assistenza Domiciliare Integrata (ADI) da Aziende pubbliche della Regione - Mobilità intraregionale</t>
  </si>
  <si>
    <t>B.2.A.12.1.A</t>
  </si>
  <si>
    <t>B.2.A.12.1.A) Assistenza domiciliare integrata (ADI)</t>
  </si>
  <si>
    <t>5.02.01.12.1701</t>
  </si>
  <si>
    <t>Assistenza Domiciliare Integrata da pubblico (altri soggetti pubblici della Regione)</t>
  </si>
  <si>
    <t>5.02.01.12.1801</t>
  </si>
  <si>
    <t>ASSISTENZA DOMICILIARE INTEGRATA DA PUBBLICO (EXTRA REGIONE) NON SOGGETTO A COMPENSAZIONE</t>
  </si>
  <si>
    <t>Assistenza Domiciliare Integrata da pubblico (extra Regione) non soggetta a compensazione</t>
  </si>
  <si>
    <t>5.02.01.12.1901</t>
  </si>
  <si>
    <t>ASSISTENZA DOMICILIARE INTEGRATA DA PRIVATO (INTRAREGIONALE)</t>
  </si>
  <si>
    <t>Assistenza Domiciliare Integrata da privato (intraregionale)</t>
  </si>
  <si>
    <t>5.02.01.12.2001</t>
  </si>
  <si>
    <t>ASSISTENZA DOMICILIARE INTEGRATA A PRIVATO (EXTRAREGIONALE)</t>
  </si>
  <si>
    <t>Assistenza Domiciliare Integrata a privato (extraregionale)</t>
  </si>
  <si>
    <t>5.02.01.12.2101</t>
  </si>
  <si>
    <t>Altre prestazioni socio sanitarie a rilevanza sanitaria da pubblico (Aziende sanitarie pubbliche della Regione) - Mobilità intraregionale</t>
  </si>
  <si>
    <t>ERRATA CONTABILIZZAZIONE - INTERCOMPANY</t>
  </si>
  <si>
    <t>VERIFICARE CORRETTA CONTABILIZZAZIONE - INTERCOMPANY</t>
  </si>
  <si>
    <t>B.2.A.12.1.b</t>
  </si>
  <si>
    <t>5.02.01.12.2201</t>
  </si>
  <si>
    <t>ALTRE PRESTAZIONI SOCIO SANITARIEA RILEVANZA SANITARIA DA PUBBLICO(ALTRI SOGGETTI PUBBLICI)</t>
  </si>
  <si>
    <t>VERIFICATA CORRETTA CONTABILIZZAZIONE</t>
  </si>
  <si>
    <t>Altre prestazioni socio sanitarie a rilevanza sanitaria da pubblico (altri soggetti pubblici)</t>
  </si>
  <si>
    <t>5.02.01.12.2801</t>
  </si>
  <si>
    <t>Altre prestazioni socio sanitarie a rilevanza sanitaria da pubblico (extraregione)</t>
  </si>
  <si>
    <t>5.02.01.12.2301</t>
  </si>
  <si>
    <t>Altre prestazioni socio sanitarie a rilevanza sanitaria da pubblico (extra Regione) non soggette a compensazione</t>
  </si>
  <si>
    <t>5.02.01.12.2401</t>
  </si>
  <si>
    <t>Altre prestazioni socio sanitarie a rilevanza sanitaria da privato (intraregionale)</t>
  </si>
  <si>
    <t>5.02.01.12.2901</t>
  </si>
  <si>
    <t>Altre prestazioni socio sanitarie a rilevanza sanitaria da privato (extraregione)</t>
  </si>
  <si>
    <t>BA1200</t>
  </si>
  <si>
    <t>Compartecipazione al personale per attività libero-professionale (intramoenia)</t>
  </si>
  <si>
    <t>REGISTRARE DICEMBRE 2024</t>
  </si>
  <si>
    <t xml:space="preserve">B.2.A.13 </t>
  </si>
  <si>
    <t>B.2.A.13)  Compartecipazione al personale per att. libero-prof. (intramoenia)</t>
  </si>
  <si>
    <t>5.02.01.13.0101</t>
  </si>
  <si>
    <t>COMPARTECIPAZIONE AL PERSONALE PER ALPI - AREA OSPEDALIERA - DIRIGENZA MEDICA E VETERINARIA AZIENDALE</t>
  </si>
  <si>
    <t>Compartecipazione al personale per ALPI - Area ospedaliera - Dirigenza Medica e Veterinaria</t>
  </si>
  <si>
    <t>B.2.A.13.1</t>
  </si>
  <si>
    <t>B.2.A.13.1) Compartecipazione al personale per att. libero professionale intramoenia - Area ospedaliera</t>
  </si>
  <si>
    <t>5.02.01.13.0102</t>
  </si>
  <si>
    <t>COMPARTECIPAZIONE AL PERSONALE PER ALPI - AREA OSPEDALIERA - DIRIGENZA MEDICA E VETERINARIA UNIVERSITARIA</t>
  </si>
  <si>
    <t>5.02.01.13.0103</t>
  </si>
  <si>
    <t>COMPARTECIPAZIONE AL PERSONALE PER ALPI - AREA OSPEDALIERA - DIRIGENZA MEDICA E VETERINARIA T.D.</t>
  </si>
  <si>
    <t>5.02.01.13.0201</t>
  </si>
  <si>
    <t>COMPARTECIPAZIONE AL PERSONALE PER ALPI - AREA OSPEDALIERA - ALTRA DIRIGENZA</t>
  </si>
  <si>
    <t>Compartecipazione al personale per ALPI - Area ospedaliera - Altra Dirigenza</t>
  </si>
  <si>
    <t>5.02.01.13.0202</t>
  </si>
  <si>
    <t>COMPARTECIPAZIONE AL PERSONALE PER A.L.P.I. IN REGIME DI RICOVERO DIRIGENTE NON MEDICO AZIENDALE</t>
  </si>
  <si>
    <t>5.02.01.13.0203</t>
  </si>
  <si>
    <t>COMPARTECIPAZIONE AL PERSONALE PER A.L.P.I. IN REGIME DI RICOVERO DIRIGENTE PROFESSIONALE AZIENDALE</t>
  </si>
  <si>
    <t>5.02.01.13.0204</t>
  </si>
  <si>
    <t>COMPARTECIPAZIONE AL PERSONALE PER A.L.P.I. IN REGIME DI RICOVERO DIRIGENTE TECNICO AZIENDALE</t>
  </si>
  <si>
    <t>5.02.01.13.0205</t>
  </si>
  <si>
    <t>COMPARTECIPAZIONE AL PERSONALE PER A.L.P.I. IN REGIME DI RICOVERO DIRIGENTE AMMINISTRATIVO AZIENDALE</t>
  </si>
  <si>
    <t>5.02.01.13.0206</t>
  </si>
  <si>
    <t>COMPARTECIPAZIONE AL PERSONALE PER ALPI - AREA OSPEDALIERA - ALTRA DIRIGENZA UNIVERSITARIA</t>
  </si>
  <si>
    <t>5.02.01.13.0207</t>
  </si>
  <si>
    <t>COMPARTECIPAZIONE AL PERSONALE PER A.L.P.I. IN REGIME DI RICOVERO DIRIGENTE NON MEDICO UNIVERSITARIA</t>
  </si>
  <si>
    <t>5.02.01.13.0208</t>
  </si>
  <si>
    <t>COMPARTECIPAZIONE AL PERSONALE PER A.L.P.I. IN REGIME DI RICOVERO DIRIGENTE PROFESSIONALE UNIVERSITARIA</t>
  </si>
  <si>
    <t>5.02.01.13.0209</t>
  </si>
  <si>
    <t>COMPARTECIPAZIONE AL PERSONALE PER A.L.P.I. IN REGIME DI RICOVERO DIRIGENTE TECNICO UNIVERSITARIA</t>
  </si>
  <si>
    <t>5.02.01.13.0210</t>
  </si>
  <si>
    <t>COMPARTECIPAZIONE AL PERSONALE PER A.L.P.I. IN REGIME DI RICOVERO DIRIGENTE AMMINISTRATIVO UNIVERSITARIA</t>
  </si>
  <si>
    <t>5.02.01.13.0301</t>
  </si>
  <si>
    <t>COMPARTECIPAZIONE AL PERSONALE PER ALPI - AREA OSPEDALIERA - COMPARTO SANITARIO AZIENDALE</t>
  </si>
  <si>
    <t>Compartecipazione al personale per ALPI - Area ospedaliera - Comparto sanitario</t>
  </si>
  <si>
    <t>5.02.01.13.0302</t>
  </si>
  <si>
    <t>COMPARTECIPAZIONE AL PERSONALE PER ALPI - AREA OSPEDALIERA - COMPARTO SANITARIO UNIVERSITARIO</t>
  </si>
  <si>
    <t>5.02.01.13.0401</t>
  </si>
  <si>
    <t>COMPARTECIPAZIONE AL PERSONALE PER ALPI - AREA OSPEDALIERA - COMPARTO NON SANITARIO</t>
  </si>
  <si>
    <t>Compartecipazione al personale per ALPI - Area ospedaliera - Comparto non Sanitario</t>
  </si>
  <si>
    <t>5.02.01.13.0402</t>
  </si>
  <si>
    <t>COMPARTECIPAZIONE AL PERSONALE PER A.L.P.I. IN REGIME DI RICOVERO COMPARTO PROFESSIONALE AZIENDALE</t>
  </si>
  <si>
    <t>5.02.01.13.0403</t>
  </si>
  <si>
    <t>COMPARTECIPAZIONE AL PERSONALE PER A.L.P.I. IN REGIME DI RICOVERO COMPARTO TECNICO AZIENDALE</t>
  </si>
  <si>
    <t>5.02.01.13.0404</t>
  </si>
  <si>
    <t>COMPARTECIPAZIONE AL PERSONALE PER A.L.P.I. IN REGIME DI RICOVERO COMPARTO AMMINISTRATIVO AZIENDALE</t>
  </si>
  <si>
    <t>5.02.01.13.0405</t>
  </si>
  <si>
    <t>COMPARTECIPAZIONE AL PERSONALE PER A.L.P.I. IN REGIME DI RICOVERO COMPARTO PROFESSIONALE UNIVERSITARIO</t>
  </si>
  <si>
    <t>5.02.01.13.0406</t>
  </si>
  <si>
    <t>COMPARTECIPAZIONE AL PERSONALE PER A.L.P.I. IN REGIME DI RICOVERO COMPARTO TECNICO UNIVERSITARIO</t>
  </si>
  <si>
    <t>5.02.01.13.0407</t>
  </si>
  <si>
    <t>COMPARTECIPAZIONE AL PERSONALE PER A.L.P.I. IN REGIME DI RICOVERO COMPARTO AMMINISTRATIVO UNIVERSITARIO</t>
  </si>
  <si>
    <t>5.02.01.13.0501</t>
  </si>
  <si>
    <t>COMPARTECIPAZIONE AL PERSONALE PER A.L.P.I. IN REGIME AMBULATORIALE E IN SPAZI INTERNI DIRIGENTE MEDICO AZIENDALE</t>
  </si>
  <si>
    <t>Compartecipazione al personale per ALPI - Area Specialistica - Dirigenza Medica e Veterinaria</t>
  </si>
  <si>
    <t>B.2.A.13.2</t>
  </si>
  <si>
    <t>B.2.A.13.2) Compartecipazione al personale per att. libero professionale intramoenia - Area specialistica</t>
  </si>
  <si>
    <t>5.02.01.13.0502</t>
  </si>
  <si>
    <t>COMPARTECIPAZIONE AL PERSONALE PER A.L.P.I. IN REGIME AMBULATORIALE E IN SPAZI ESTERNI (ALLARGATA) DIRIGENTE NON MEDICO AZIENDALE</t>
  </si>
  <si>
    <t>5.02.01.13.0503</t>
  </si>
  <si>
    <t>COMPARTECIPAZIONE AL PERSONALE PER A.L.P.I. IN REGIME AMBULATORIALE E IN SPAZI INTERNI DIRIGENTE MEDICO UNIVERSITARIO</t>
  </si>
  <si>
    <t>5.02.01.13.0504</t>
  </si>
  <si>
    <t>COMPARTECIPAZIONE AL PERSONALE PER A.L.P.I. IN REGIME AMBULATORIALE E IN SPAZI ESTERNI (ALLARGATA) DIRIGENTE MEDICO UNIVERSITARIO</t>
  </si>
  <si>
    <t>5.02.01.13.0505</t>
  </si>
  <si>
    <t>COMPARTECIPAZIONE AL PERSONALE PER A.L.P.I. IN REGIME AMBULATORIALE E IN SPAZI ESTERNI (ALLARGATA) DIRIGENTE  MEDICO AZIENDALE</t>
  </si>
  <si>
    <t>5.02.01.13.0601</t>
  </si>
  <si>
    <t>COMPARTECIPAZIONE AL PERSONALE PER A.L.P.I. IN REGIME AMBULATORIALE E IN SPAZI INTERNI DIRIGENTE NON MEDICO AZIENDALE</t>
  </si>
  <si>
    <t>Compartecipazione al personale per ALPI - Area Specialistica - Altra Dirigenza</t>
  </si>
  <si>
    <t>5.02.01.13.0602</t>
  </si>
  <si>
    <t>COMPARTECIPAZIONE AL PERSONALE PER A.L.P.I. IN REGIME AMBULATORIALE E IN SPAZI INTERNI DIRIGENTE PROFESSIONALE AZIENDALE</t>
  </si>
  <si>
    <t>5.02.01.13.0603</t>
  </si>
  <si>
    <t>COMPARTECIPAZIONE AL PERSONALE PER A.L.P.I. IN REGIME AMBULATORIALE E IN SPAZI INTERNI DIRIGENTE TECNICO AZIENDALE</t>
  </si>
  <si>
    <t>5.02.01.13.0604</t>
  </si>
  <si>
    <t>COMPARTECIPAZIONE AL PERSONALE PER A.L.P.I. IN REGIME AMBULATORIALE E IN SPAZI INTERNI DIRIGENTE AMMINISTRATIVO AZIENDALE</t>
  </si>
  <si>
    <t>5.02.01.13.0606</t>
  </si>
  <si>
    <t>COMPARTECIPAZIONE AL PERSONALE PER A.L.P.I. IN REGIME AMBULATORIALE E IN SPAZI ESTERNI (ALLARGATA) DIRIGENTE PROFESSIONALE AZIENDALE</t>
  </si>
  <si>
    <t>5.02.01.13.0607</t>
  </si>
  <si>
    <t>COMPARTECIPAZIONE AL PERSONALE PER A.L.P.I. IN REGIME AMBULATORIALE E IN SPAZI  ESTERNI (ALLARGATA) DIRIGENTE TECNICO AZIENDALE</t>
  </si>
  <si>
    <t>5.02.01.13.0608</t>
  </si>
  <si>
    <t>COMPARTECIPAZIONE AL PERSONALE PER A.L.P.I. IN REGIME AMBULATORIALE E IN SPAZI ESTERNI (ALLARGATA) DIRIGENTE AMMINISTRATIVO AZIENDALE</t>
  </si>
  <si>
    <t>5.02.01.13.0609</t>
  </si>
  <si>
    <t>COMPARTECIPAZIONE AL PERSONALE PER A.L.P.I. IN REGIME AMBULATORIALE E IN SPAZI INTERNI DIRIGENTE NON MEDICO UNIVERSITARIO</t>
  </si>
  <si>
    <t>5.02.01.13.0610</t>
  </si>
  <si>
    <t>COMPARTECIPAZIONE AL PERSONALE PER A.L.P.I. IN REGIME AMBULATORIALE E IN SPAZI INTERNI DIRIGENTE PROFESSIONALE UNIVERSITARIO</t>
  </si>
  <si>
    <t>5.02.01.13.0611</t>
  </si>
  <si>
    <t>COMPARTECIPAZIONE AL PERSONALE PER A.L.P.I. IN REGIME AMBULATORIALE E IN SPAZI INTERNI DIRIGENTE TECNICO UNIVERSITARIO</t>
  </si>
  <si>
    <t>5.02.01.13.0612</t>
  </si>
  <si>
    <t>COMPARTECIPAZIONE AL PERSONALE PER A.L.P.I. IN REGIME AMBULATORIALE E IN SPAZI INTERNI DIRIGENTE AMMINISTRATIVO UNIVERSITARIO</t>
  </si>
  <si>
    <t>5.02.01.13.0613</t>
  </si>
  <si>
    <t>COMPARTECIPAZIONE AL PERSONALE PER A.L.P.I. IN REGIME AMBULATORIALE E IN SPAZI ESTERNI (ALLARGATA) DIRIGENTE NON MEDICO UNIVERSITARIO</t>
  </si>
  <si>
    <t>5.02.01.13.0614</t>
  </si>
  <si>
    <t>COMPARTECIPAZIONE AL PERSONALE PER A.L.P.I. IN REGIME AMBULATORIALE E IN SPAZI ESTERNI (ALLARGATA) DIRIGENTE PROFESSIONALE UNIVERSITARIO</t>
  </si>
  <si>
    <t>5.02.01.13.0615</t>
  </si>
  <si>
    <t>COMPARTECIPAZIONE AL PERSONALE PER A.L.P.I. IN REGIME AMBULATORIALE E IN SPAZI  ESTERNI (ALLARGATA) DIRIGENTE TECNICO UNIVERSITARIO</t>
  </si>
  <si>
    <t>5.02.01.13.0616</t>
  </si>
  <si>
    <t>COMPARTECIPAZIONE AL PERSONALE PER A.L.P.I. IN REGIME AMBULATORIALE E IN SPAZI ESTERNI (ALLARGATA) DIRIGENTE AMMINISTRATIVO UNIVERSITARI</t>
  </si>
  <si>
    <t>5.02.01.13.0701</t>
  </si>
  <si>
    <t>COMPARTECIPAZIONE AL PERSONALE PER A.L.P.I. IN REGIME AMBULATORIALE E IN SPAZI INTERNI COMPARTO SANITARIO AZIENDALE</t>
  </si>
  <si>
    <t>Compartecipazione al personale per ALPI - Area Specialistica - Comparto sanitario</t>
  </si>
  <si>
    <t>5.02.01.13.0702</t>
  </si>
  <si>
    <t>COMPARTECIPAZIONE AL PERSONALE PER A.L.P.I. IN REGIME AMBULATORIALE E IN SPAZI ESTERNI (ALLARGATA) COMPARTO SANITARIO AZIENDALE</t>
  </si>
  <si>
    <t>5.02.01.13.0703</t>
  </si>
  <si>
    <t>COMPARTECIPAZIONE AL PERSONALE PER A.L.P.I. IN REGIME AMBULATORIALE E IN SPAZI INTERNI COMPARTO SANITARIO UNIVERSITARIO</t>
  </si>
  <si>
    <t>5.02.01.13.0704</t>
  </si>
  <si>
    <t>COMPARTECIPAZIONE AL PERSONALE PER A.L.P.I. IN REGIME AMBULATORIALE E IN SPAZI ESTERNI (ALLARGATA) COMPARTO SANITARIO UNIVERSITARIO</t>
  </si>
  <si>
    <t>5.02.01.13.0801</t>
  </si>
  <si>
    <t>COMPARTECIPAZIONE AL PERSONALE PER A.L.P.I. IN REGIME AMBULATORIALE E IN SPAZI INTERNI COMPARTO PROFESSIONALE AZIENDALE</t>
  </si>
  <si>
    <t>Compartecipazione al personale per ALPI - Area Specialistica - Comparto non sanitario</t>
  </si>
  <si>
    <t>5.02.01.13.0802</t>
  </si>
  <si>
    <t>COMPARTECIPAZIONE AL PERSONALE PER A.L.P.I. IN REGIME AMBULATORIALE E IN SPAZI INTERNI IN REGIME AMBULATORIALE E IN SPAZI ESTERNI (ALLAR</t>
  </si>
  <si>
    <t>5.02.01.13.0803</t>
  </si>
  <si>
    <t>COMPARTECIPAZIONE AL PERSONALE PER A.L.P.I. IN REGIME AMBULATORIALE E IN SPAZI INTERNI COMPARTO TECNICO AZIENDALE</t>
  </si>
  <si>
    <t>5.02.01.13.0804</t>
  </si>
  <si>
    <t>5.02.01.13.0805</t>
  </si>
  <si>
    <t>COMPARTECIPAZIONE AL PERSONALE PER A.L.P.I. IN REGIME AMBULATORIALE E IN SPAZI INTERNI COMPARTO AMMINISTRATIVO AZIENDALE</t>
  </si>
  <si>
    <t>5.02.01.13.0806</t>
  </si>
  <si>
    <t>5.02.01.13.0807</t>
  </si>
  <si>
    <t>COMPARTECIPAZIONE AL PERSONALE PER A.L.P.I. IN REGIME AMBULATORIALE E IN SPAZI INTERNI COMPARTO PROFESSIONALE UNIVERSITARIO</t>
  </si>
  <si>
    <t>5.02.01.13.0808</t>
  </si>
  <si>
    <t>5.02.01.13.0809</t>
  </si>
  <si>
    <t>COMPARTECIPAZIONE AL PERSONALE PER A.L.P.I. IN REGIME AMBULATORIALE E IN SPAZI INTERNI COMPARTO TECNICO UNIVERSITARIO</t>
  </si>
  <si>
    <t>5.02.01.13.0810</t>
  </si>
  <si>
    <t>5.02.01.13.0811</t>
  </si>
  <si>
    <t>COMPARTECIPAZIONE AL PERSONALE PER A.L.P.I. IN REGIME AMBULATORIALE E IN SPAZI INTERNI COMPARTO AMMINISTRATIVO UNIVERSITARIO</t>
  </si>
  <si>
    <t>5.02.01.13.0812</t>
  </si>
  <si>
    <t>5.02.01.13.0901</t>
  </si>
  <si>
    <t>COMPARTECIPAZIONE AL PERSONALE PER ALPI - AREA SANITA PUBBLICA - DIRIGENZA MEDICA E VETERINARIA</t>
  </si>
  <si>
    <t>Compartecipazione al personale per ALPI - Area Sanità Pubblica - Dirigenza Medica e Veterinaria</t>
  </si>
  <si>
    <t>B.2.A.13.3</t>
  </si>
  <si>
    <t>B.2.A.13.3) Compartecipazione al personale per att. libero professionale intramoenia - Area sanità pubblica</t>
  </si>
  <si>
    <t>5.02.01.13.1001</t>
  </si>
  <si>
    <t>COMPARTECIPAZIONE AL PERSONALE PER ALPI - AREA SANITA PUBBLICA - ALTRA DIRIGENZA</t>
  </si>
  <si>
    <t>Compartecipazione al personale per ALPI - Area Sanità Pubblica - Altra Dirigenza</t>
  </si>
  <si>
    <t>5.02.01.13.1101</t>
  </si>
  <si>
    <t>COMPARTECIPAZIONE AL PERSONALE PER ALPI - AREA SANITA PUBBLICA - COMPARTO SANITARIO</t>
  </si>
  <si>
    <t>Compartecipazione al personale per ALPI - Area Sanità Pubblica - Comparto sanitario</t>
  </si>
  <si>
    <t>5.02.01.13.1201</t>
  </si>
  <si>
    <t>COMPARTECIPAZIONE AL PERSONALE PER ALPI - AREA SANITA PUBBLICA - COMPARTO NON SANITARIO</t>
  </si>
  <si>
    <t>Compartecipazione al personale per ALPI - Area Sanità Pubblica - Comparto non sanitario</t>
  </si>
  <si>
    <t>5.02.01.13.1301</t>
  </si>
  <si>
    <t>COMPARTECIPAZIONE AL PERSONALE PER A.L.P.I. RESA IN CONVENZIONE DIRIGENTE MEDICO UNIVERSITARIO</t>
  </si>
  <si>
    <t xml:space="preserve">Compartecipazione al personale per ALPI - Consulenze (ex art. 55 c. 1 lett. c), d) ed ex art. 57-58) - Dirigenza Medica e Veterinaria - </t>
  </si>
  <si>
    <t>B.2.A.13.4</t>
  </si>
  <si>
    <t>B.2.A.13.4) Compartecipazione al personale per att. libero professionale intramoenia - Consulenze (ex art. 55 c. 1 lett. c), d) ed ex art. 57-58)</t>
  </si>
  <si>
    <t>5.02.01.13.1401</t>
  </si>
  <si>
    <t>COMPARTECIPAZIONE AL PERSONALE PER A.L.P.I. RESA IN CONVENZIONE DIRIGENTE NON MEDICO AZIENDALE</t>
  </si>
  <si>
    <t>Compartecipazione al personale per ALPI - Consulenze (ex art. 55 c. 1 lett. c), d) ed ex art. 57-58) - Altra Dirigenza</t>
  </si>
  <si>
    <t>5.02.01.13.1402</t>
  </si>
  <si>
    <t>COMPARTECIPAZIONE AL PERSONALE PER A.L.P.I. RESA IN CONVENZIONE DIRIGENTE PROFESSIONALE AZIENDALE</t>
  </si>
  <si>
    <t>5.02.01.13.1403</t>
  </si>
  <si>
    <t>COMPARTECIPAZIONE AL PERSONALE PER A.L.P.I. RESA IN CONVENZIONE DIRIGENTE TECNICO UNIVERSITARIO</t>
  </si>
  <si>
    <t>5.02.01.13.1404</t>
  </si>
  <si>
    <t>COMPARTECIPAZIONE AL PERSONALE PER A.L.P.I. RESA IN CONVENZIONE DIRIGENTE AMMINISTRATIVO UNIVERSITARIO</t>
  </si>
  <si>
    <t>5.02.01.13.1405</t>
  </si>
  <si>
    <t>COMPARTECIPAZIONE AL PERSONALE PER A.L.P.I. RESA IN CONVENZIONE DIRIGENTE NON MEDICO UNIVERSITARIO</t>
  </si>
  <si>
    <t>5.02.01.13.1406</t>
  </si>
  <si>
    <t>COMPARTECIPAZIONE AL PERSONALE PER A.L.P.I. RESA IN CONVENZIONE DIRIGENTE PROFESSIONALE UNIVERSITARIO</t>
  </si>
  <si>
    <t>5.02.01.13.1501</t>
  </si>
  <si>
    <t>COMPARTECIPAZIONE AL PERSONALE PER A.L.P.I. RESA IN CONVENZIONE COMPARTO SANITARIO AZIENDALE</t>
  </si>
  <si>
    <t>Compartecipazione al personale per ALPI - Consulenze (ex art. 55 c. 1 lett. c), d) ed ex art. 57-58) - Comparto sanitario</t>
  </si>
  <si>
    <t>5.02.01.13.1502</t>
  </si>
  <si>
    <t>COMPARTECIPAZIONE AL PERSONALE PER A.L.P.I. RESA IN CONVENZIONE COMPARTO PROFESSIONALE AZIENDALE</t>
  </si>
  <si>
    <t>5.02.01.13.1503</t>
  </si>
  <si>
    <t>COMPARTECIPAZIONE AL PERSONALE PER A.L.P.I. RESA IN CONVENZIONE COM PARTO TECNICO AZIENDALE</t>
  </si>
  <si>
    <t>5.02.01.13.1504</t>
  </si>
  <si>
    <t>COMPARTECIPAZIONE AL PERSONALE PER A.L.P.I. RESA IN CONVENZIONE COMPARTO AMMINISTRATIVO AZIENDALE</t>
  </si>
  <si>
    <t>5.02.01.13.1505</t>
  </si>
  <si>
    <t>COMPARTECIPAZIONE AL PERSONALE PER A.L.P.I. RESA IN CONVENZIONE COMPARTO SANITARIO UNIVERSITARIO</t>
  </si>
  <si>
    <t>5.02.01.13.1506</t>
  </si>
  <si>
    <t>COMPARTECIPAZIONE AL PERSONALE PER A.L.P.I. RESA IN CONVENZIONE COMPARTO PROFESSIONALE UNIVERSITARIO</t>
  </si>
  <si>
    <t>5.02.01.13.1507</t>
  </si>
  <si>
    <t>COMPARTECIPAZIONE AL PERSONALE PER A.L.P.I. RESA IN CONVENZIONE COM PARTO TECNICO UNIVERSITARIO</t>
  </si>
  <si>
    <t>5.02.01.13.1508</t>
  </si>
  <si>
    <t>COMPARTECIPAZIONE AL PERSONALE PER A.L.P.I. RESA IN CONVENZIONE COMPARTO AMMINISTRATIVO UNIVERSITARIO</t>
  </si>
  <si>
    <t>5.02.01.13.1601</t>
  </si>
  <si>
    <t>COMPARTECIPAZIONE AL PERSONALE PER ALPI - CONSULENZE (EX ART. 55 C. 1 LETT. C), D) ED EX ART. 57-58) - COMPARTO NON SANITARIO</t>
  </si>
  <si>
    <t>Compartecipazione al personale per ALPI - Consulenze (ex art. 55 c. 1 lett. c), d) ed ex art. 57-58) - Comparto non sanitario</t>
  </si>
  <si>
    <t>BA1250</t>
  </si>
  <si>
    <t>5.02.01.13.1701</t>
  </si>
  <si>
    <t>COMPARTECIPAZIONE AL PERSONALE PER ALPI - CONSULENZE (EX ART. 55 C. 1 LETT. C), D) ED EX ART. 57-58) (AZIENDE SANITARIE PUBBLICHE DELLA</t>
  </si>
  <si>
    <t>Compartecipazione al personale per ALPI - Consulenze (ex art. 55 c. 1 lett. c), d) ed ex art. 57-58) (Aziende sanitarie pubbliche della Regione) - Dirigenza Medica e Veterinaria</t>
  </si>
  <si>
    <t>B.2.A.13.5</t>
  </si>
  <si>
    <t>B.2.A.13.5) Compartecipazione al personale per att. libero professionale intramoenia - Consulenze (ex art. 55 c. 1 lett. c), d) ed ex art. 57-58) (Aziende sanitarie pubbliche della Regione)</t>
  </si>
  <si>
    <t>5.02.01.13.1801</t>
  </si>
  <si>
    <t>COMPARTECIPAZIONE AL PERSONALE PERALPI- CONSULENZE (EX ART. 55 C. 1 LETT. C), D) ED EX ART. 57-58) (AZIENDE SANITARIE PUBBLICHE DELLA RE</t>
  </si>
  <si>
    <t>Compartecipazione al personale perALPI- Consulenze (ex art. 55 c. 1 lett. c), d) ed ex art. 57-58) (Aziende sanitarie pubbliche della Regione) - Altra Dirigenza</t>
  </si>
  <si>
    <t>5.02.01.13.1901</t>
  </si>
  <si>
    <t>Compartecipazione al personale per ALPI - Consulenze (ex art. 55 c. 1 lett. c), d) ed ex art. 57-58) (Aziende sanitarie pubbliche della Regione) - comparto sanitario</t>
  </si>
  <si>
    <t>5.02.01.13.2001</t>
  </si>
  <si>
    <t>Compartecipazione al personale per ALPI - Consulenze (ex art. 55 c. 1 lett. c), d) ed ex art. 57-58) (Aziende sanitarie pubbliche della Regione) - Comparto non sanitario</t>
  </si>
  <si>
    <t>5.02.01.13.2101</t>
  </si>
  <si>
    <t>COMPARTECIPAZIONE AL PERSONALE PER ALPI - ALTRO - DIRIGENZA MEDICA E VETERINARIA</t>
  </si>
  <si>
    <t>Compartecipazione al personale per ALPI - Altro - Dirigenza Medica e Veterinaria</t>
  </si>
  <si>
    <t>B.2.A.13.6</t>
  </si>
  <si>
    <t>B.2.A.13.6) Compartecipazione al personale per att. libero professionale intramoenia - Altro</t>
  </si>
  <si>
    <t>5.02.01.13.2201</t>
  </si>
  <si>
    <t>COMPARTECIPAZIONE AL PERSONALE PER ALPI - ALTRO - ALTRA DIRIGENZA</t>
  </si>
  <si>
    <t>Compartecipazione al personale per ALPI - Altro - Altra Dirigenza</t>
  </si>
  <si>
    <t>5.02.01.13.2301</t>
  </si>
  <si>
    <t>COMPARTECIPAZIONE AL PERSONALE PER ALPI - ALTRO - COMPARTO SANITARIO</t>
  </si>
  <si>
    <t>Compartecipazione al personale per ALPI - Altro - Comparto Sanitario</t>
  </si>
  <si>
    <t>5.02.01.13.2401</t>
  </si>
  <si>
    <t>COMPARTECIPAZIONE AL PERSONALE PER ALPI - ALTRO - COMPARTO NON SANITARIO</t>
  </si>
  <si>
    <t>Compartecipazione al personale per ALPI - Altro - Comparto non Sanitario</t>
  </si>
  <si>
    <t>5.02.01.13.2501</t>
  </si>
  <si>
    <t>QUOTA PEREQUATIVA PER ATTIVITA LIBERO PROFESSIONALE INTRAMOENIA</t>
  </si>
  <si>
    <t>OK REGISTRAZIONI COGE GEN/DIC 2024</t>
  </si>
  <si>
    <t>CONTABILIZZARE DIC/2024</t>
  </si>
  <si>
    <t>Quota perequativa per attività libero professionale intramoenia</t>
  </si>
  <si>
    <t>5.02.01.13.2601</t>
  </si>
  <si>
    <t>COMPARTECIPAZIONE AL PERSONALE PER ATTIVITA LIBERO PROFESSIONALE INTRAMOENIA - ALTRO (AZIENDE SANITARIE PUBBLICHE DELLA REGIONE)</t>
  </si>
  <si>
    <t>Compartecipazione al personale per attività libero professionale intramoenia - Altro (Aziende sanitarie pubbliche della Regione)</t>
  </si>
  <si>
    <t>B.2.A.13.7</t>
  </si>
  <si>
    <t>B.2.A.13.7) Compartecipazione al personale per att. libero professionale intramoenia - Altro (Aziende sanitarie pubbliche della Regione)</t>
  </si>
  <si>
    <t>BA1280</t>
  </si>
  <si>
    <t>Rimborsi, assegni e contributi sanitari</t>
  </si>
  <si>
    <t xml:space="preserve">B.2.A.14 </t>
  </si>
  <si>
    <t>B.2.A.14)  Rimborsi, assegni e contributi sanitari</t>
  </si>
  <si>
    <t>5.02.01.14.0101</t>
  </si>
  <si>
    <t>CONTRIBUTI AD ASSOCIAZIONI DI VOLONTARIATO</t>
  </si>
  <si>
    <t>B.2.A.14.1</t>
  </si>
  <si>
    <t>B.2.A.14.1) Contributi ad associazioni di volontariato</t>
  </si>
  <si>
    <t>5.02.01.14.0201</t>
  </si>
  <si>
    <t>RIMBORSI PER CURE ALL'ESTERO</t>
  </si>
  <si>
    <t>B.2.A.14.2</t>
  </si>
  <si>
    <t>B.2.A.14.2) Rimborsi per cure all'estero</t>
  </si>
  <si>
    <t>5.02.01.14.0301</t>
  </si>
  <si>
    <t>CONTRIBUTI PER ARPA</t>
  </si>
  <si>
    <t>Contributi per ARPA</t>
  </si>
  <si>
    <t>B.2.A.14.3</t>
  </si>
  <si>
    <t>B.2.A.14.3) Contributi a società partecipate e/o enti dipendenti della Regione</t>
  </si>
  <si>
    <t>5.02.01.14.0401</t>
  </si>
  <si>
    <t>CONTRIBUTI A SOCIETA PARTECIPATE E/O ENTI DIPENDENTI DELLA REGIONE</t>
  </si>
  <si>
    <t>5.02.01.14.0501</t>
  </si>
  <si>
    <t>CONTRIBUTO LEGGE 210/92</t>
  </si>
  <si>
    <t>B.2.A.14.4</t>
  </si>
  <si>
    <t>B.2.A.14.4) Contributo Legge 210/92</t>
  </si>
  <si>
    <t>5.02.01.14.0601</t>
  </si>
  <si>
    <t>ALTRI RIMBORSI, ASSEGNI E CONTRIBUTI</t>
  </si>
  <si>
    <t>VERIFICARE CORRETTA CONTABILIZZAZIONE - Erogazione quote di finanziamento PNRR</t>
  </si>
  <si>
    <t>B.2.A.14.5</t>
  </si>
  <si>
    <t>B.2.A.14.5) Altri rimborsi, assegni e contributi</t>
  </si>
  <si>
    <t>5.02.01.14.0602</t>
  </si>
  <si>
    <t>RIMBORSI, ASSEGNI E CONTRIBUTI V/ASL</t>
  </si>
  <si>
    <t>5.02.01.14.0603</t>
  </si>
  <si>
    <t>RIMBORSI, ASSEGNI E CONTRIBUTI V/-AO-</t>
  </si>
  <si>
    <t>5.02.01.14.0604</t>
  </si>
  <si>
    <t>RIMBORSI, ASSEGNI E CONTRIBUTI V/IRCCS-</t>
  </si>
  <si>
    <t>5.02.01.14.0605</t>
  </si>
  <si>
    <t>RIMBORSI, ASSEGNI E CONTRIBUTI V/POLICLINICI DELLA REGIONE</t>
  </si>
  <si>
    <t>5.02.01.14.0606</t>
  </si>
  <si>
    <t>RIMBORSI, ASSEGNI E CONTRIBUTI V/SPERIMENTAZIONI GESTIONALI</t>
  </si>
  <si>
    <t>5.02.01.14.0701</t>
  </si>
  <si>
    <t>RIMBORSI, ASSEGNI E CONTRIBUTI V/AZIENDE SANITARIE PUBBLICHE DELLA REGIONE</t>
  </si>
  <si>
    <t>INTERCOMPANY+RIADDEBITO CENTRO QUALIFICAZIONE BIOLOGICA (DA 1179/2016)</t>
  </si>
  <si>
    <t>B.2.A.14.6</t>
  </si>
  <si>
    <t>B.2.A.14.6) Rimborsi, assegni e contributi v/Aziende sanitarie pubbliche della Regione</t>
  </si>
  <si>
    <t>BA1341</t>
  </si>
  <si>
    <t>5.02.01.14.0801</t>
  </si>
  <si>
    <t>Rimborsi, assegni e contributi v/Regione - GSA</t>
  </si>
  <si>
    <t>B.2.A.14.7</t>
  </si>
  <si>
    <t>B.2.A.14.6) Rimborsi, assegni e contributi v/Regione - GSA</t>
  </si>
  <si>
    <t>BA1350</t>
  </si>
  <si>
    <t>Consulenze, Collaborazioni, Interinale e altre prestazioni di lavoro sanitarie e sociosanitarie</t>
  </si>
  <si>
    <t xml:space="preserve">B.2.A.15 </t>
  </si>
  <si>
    <t>B.2.A.15)  Consulenze, Collaborazioni,  Interinale e altre prestazioni di lavoro sanitarie e sociosanitarie</t>
  </si>
  <si>
    <t>5.02.01.15.0101</t>
  </si>
  <si>
    <t>CONSULENZE SANITARIE E SOCIOSANITARIE DA AZIENDE SANITARIE PUBBLICHE DELLA REGIONE</t>
  </si>
  <si>
    <t>ERRATA CONTABILIZZAZIONE INTERCOMPANY</t>
  </si>
  <si>
    <t>Consulenze sanitarie e sociosanitarie da Aziende sanitarie pubbliche della Regione</t>
  </si>
  <si>
    <t>B.2.A.15.1</t>
  </si>
  <si>
    <t>B.2.A.15.1) Consulenze sanitarie e sociosan. da Aziende sanitarie pubbliche della Regione</t>
  </si>
  <si>
    <t>5.02.01.15.0102</t>
  </si>
  <si>
    <t>CONSULENZE SANITARIE E SOCIOSAN. DA ASL</t>
  </si>
  <si>
    <t>5.02.01.15.0103</t>
  </si>
  <si>
    <t>CONSULENZE SANITARIE E SOCIOSAN. DA -AO, I</t>
  </si>
  <si>
    <t>5.02.01.15.0104</t>
  </si>
  <si>
    <t>CONSULENZE SANITARIE E SOCIOSAN. DA  IRCCS,</t>
  </si>
  <si>
    <t>5.02.01.15.0105</t>
  </si>
  <si>
    <t>CONSULENZE SANITARIE E SOCIOSAN. DA , POLICLINICI DELLA REGIONE</t>
  </si>
  <si>
    <t>5.02.01.15.0106</t>
  </si>
  <si>
    <t>CONSULENZE SANITARIE E SOCIOSAN. DA PRIVATO FINANZ. DA SPERIMENTAZIONI</t>
  </si>
  <si>
    <t>CONSULENZE SANITARIE E SOCIOSAN. DA SPERIMENTAZIONI GESTIONALI</t>
  </si>
  <si>
    <t>5.02.01.15.0201</t>
  </si>
  <si>
    <t>CONSULENZE SANITARIE E SOCIOSANITARIE DA TERZI - ALTRI SOGGETTI PUBBLICI</t>
  </si>
  <si>
    <t>Consulenze sanitarie e sociosanitarie da terzi - Altri soggetti pubblici</t>
  </si>
  <si>
    <t>B.2.A.15.2</t>
  </si>
  <si>
    <t>B.2.A.15.2) Consulenze sanitarie e sociosanit. da terzi - Altri soggetti pubblici</t>
  </si>
  <si>
    <t>5.02.01.15.0301</t>
  </si>
  <si>
    <t>CONSULENZE SANITARIE DA PRIVATO - ARTICOLO 55, COMMA 2, CCNL 8 GIUGNO 2000</t>
  </si>
  <si>
    <t>B.2.A.15.3.A</t>
  </si>
  <si>
    <t>B.2.A.15.3.A) Consulenze sanitarie da privato - articolo 55, comma 2, CCNL 8 giugno 2000</t>
  </si>
  <si>
    <t>5.02.01.15.0401</t>
  </si>
  <si>
    <t>PRESTAZIONI LIBERA PROFESSIONE INFERMIERISTICA EX LEGGE 1/2002</t>
  </si>
  <si>
    <t>Prestazioni libera professione infermieristica ex legge 1/2002</t>
  </si>
  <si>
    <t>B.2.A.15.3.B</t>
  </si>
  <si>
    <t>B.2.A.15.3.B) Altre consulenze sanitarie e sociosanitarie da privato</t>
  </si>
  <si>
    <t>5.02.01.15.0501</t>
  </si>
  <si>
    <t>INCENTIVI PER IL PERSONALE DEL COMPARTO CHE COLLABORA ALL¿ATTIVITA DICONSULENZA SANITARIA</t>
  </si>
  <si>
    <t>Incentivi per il personale del comparto che collabora all’attività di consulenza sanitaria</t>
  </si>
  <si>
    <t>5.02.01.15.0601</t>
  </si>
  <si>
    <t>ALTRE CONSULENZE SANITARIE E SOCIOSANITARIE DA PRIVATO</t>
  </si>
  <si>
    <t>CONTABILIZZAZIONE PRESTAZIONI AGGIUNTIVE (IV TRIM 2024)</t>
  </si>
  <si>
    <t>PRESTAZIONI AGGIUNTIVE</t>
  </si>
  <si>
    <t>5.02.01.15.0701</t>
  </si>
  <si>
    <t>COLLABORAZIONI COORDINATE E CONTINUATIVE SANITARIE E SOCIOSANITARIE DA PRIVATO</t>
  </si>
  <si>
    <t>Collaborazioni coordinate e continuative sanitarie e sociosanitarie da privato</t>
  </si>
  <si>
    <t>B.2.A.15.3.C</t>
  </si>
  <si>
    <t>B.2.A.15.3.C) Collaborazioni coordinate e continuative sanitarie e socios. da privato</t>
  </si>
  <si>
    <t>5.02.01.15.0801</t>
  </si>
  <si>
    <t>LAVORO INTERINALE - AREA SANITARIA</t>
  </si>
  <si>
    <t>Lavoro interinale - area sanitaria</t>
  </si>
  <si>
    <t>B.2.A.15.3.E</t>
  </si>
  <si>
    <t>B.2.A.15.3.E) Lavoro interinale - area sanitaria</t>
  </si>
  <si>
    <t>5.02.01.15.0901</t>
  </si>
  <si>
    <t>COLLABORAZIONI RELATIVE A COMMISSIONI INVALIDI CIVILI</t>
  </si>
  <si>
    <t>Collaborazioni relative a commissioni invalidi civili</t>
  </si>
  <si>
    <t>B.2.A.15.3.F</t>
  </si>
  <si>
    <t>B.2.A.15.3.F) Altre collaborazioni e prestazioni di lavoro - area sanitaria</t>
  </si>
  <si>
    <t>5.02.01.15.1001</t>
  </si>
  <si>
    <t>COLLABORAZIONI RELATIVE A COMITATO ETICO AZIENDALE</t>
  </si>
  <si>
    <t>Collaborazioni relative a Comitato Etico aziendale</t>
  </si>
  <si>
    <t>5.02.01.15.1101</t>
  </si>
  <si>
    <t>COLLABORAZIONI RELATIVE AD ALTRE COMMISSIONI</t>
  </si>
  <si>
    <t>Collaborazioni relative ad altre commissioni</t>
  </si>
  <si>
    <t>5.02.01.15.1102</t>
  </si>
  <si>
    <t>COLLABORAZIONI DA PARTECIPAZIONE A COMMISSIONI ESTERNE</t>
  </si>
  <si>
    <t>5.02.01.15.1103</t>
  </si>
  <si>
    <t>COLLABORAZIONI DA PARTECIPAZIONE A COMMISSIONI INTERNE PERSONALE DIRIGENTE MEDICO AZIENDALE</t>
  </si>
  <si>
    <t>5.02.01.15.1104</t>
  </si>
  <si>
    <t>COLLABORAZIONI DA PARTECIPAZIONE A COMMISSIONI INTERNE PERSONALE DIRIGENTE NON MEDICO AZIENDALE</t>
  </si>
  <si>
    <t>5.02.01.15.1105</t>
  </si>
  <si>
    <t>COLLABORAZIONI DA PARTECIPAZIONE A COMMISSIONI INTERNE PERSONALE COMPARTO SANITARIO AZIENDALE</t>
  </si>
  <si>
    <t>5.02.01.15.1106</t>
  </si>
  <si>
    <t>COLLABORAZIONI DA PARTECIPAZIONE A COMMISSIONI INTERNE PERSONALE DIRIGENTE PROFESSIONALE AZIENDALE</t>
  </si>
  <si>
    <t>5.02.01.15.1107</t>
  </si>
  <si>
    <t>COLLABORAZIONI DA PARTECIPAZIONE A COMMISSIONI INTERNE PERSONALE COMPARTO PROFESSIONALE AZIENDALE</t>
  </si>
  <si>
    <t>5.02.01.15.1108</t>
  </si>
  <si>
    <t>COLLABORAZIONI DA PARTECIPAZIONE A COMMISSIONI INTERNE PERSONALE DIRIGENTE TECNICO AZIENDALE</t>
  </si>
  <si>
    <t>5.02.01.15.1109</t>
  </si>
  <si>
    <t>COLLABORAZIONI DA PARTECIPAZIONE A COMMISSIONI INTERNE PERSONALE COMPARTO TECNICO AZIENDALE</t>
  </si>
  <si>
    <t>5.02.01.15.1110</t>
  </si>
  <si>
    <t>COLLABORAZIONI DA PARTECIPAZIONE A COMMISSIONI INTERNE PERSONALE DIRIGENTE AMMINISTRATIVO AZIENDALE</t>
  </si>
  <si>
    <t>5.02.01.15.1111</t>
  </si>
  <si>
    <t>COLLABORAZIONI DA PARTECIPAZIONE A COMMISSIONI INTERNE PERSONALE COMPARTO AMMINISTRATIVO AZIENDALE</t>
  </si>
  <si>
    <t>5.02.01.15.1112</t>
  </si>
  <si>
    <t>COLLABORAZIONI DA PARTECIPAZIONE A COMMISSIONI INTERNE PERSONALE DIRIGENTE MEDICO UNIVERSITARIO</t>
  </si>
  <si>
    <t>5.02.01.15.1113</t>
  </si>
  <si>
    <t>COLLABORAZIONI DA PARTECIPAZIONE A COMMISSIONI INTERNE PERSONALE DIRIGENTE NON MEDICO UNIVERSITARIO</t>
  </si>
  <si>
    <t>5.02.01.15.1114</t>
  </si>
  <si>
    <t>COLLABORAZIONI DA PARTECIPAZIONE A COMMISSIONI INTERNE PERSONALE COMPARTO SANITARIO UNIVERSITARIO</t>
  </si>
  <si>
    <t>5.02.01.15.1115</t>
  </si>
  <si>
    <t>COLLABORAZIONI DA PARTECIPAZIONE A COMMISSIONI INTERNE PERSONALE DIRIGENTE PROFESSIONALE UNIVERSITARIO</t>
  </si>
  <si>
    <t>5.02.01.15.1116</t>
  </si>
  <si>
    <t>COLLABORAZIONI DA PARTECIPAZIONE A COMMISSIONI INTERNE PERSONALE COMPARTO PROFESSIONALE UNIVERSITARIO</t>
  </si>
  <si>
    <t>5.02.01.15.1117</t>
  </si>
  <si>
    <t>COLLABORAZIONI DA PARTECIPAZIONE A COMMISSIONI INTERNE PERSONALE DIRIGENTE TECNICO UNIVERSITARIO</t>
  </si>
  <si>
    <t>5.02.01.15.1118</t>
  </si>
  <si>
    <t>COLLABORAZIONI DA PARTECIPAZIONE A COMMISSIONI INTERNE PERSONALE COMPARTO TECNICO UNIVERSITARIO</t>
  </si>
  <si>
    <t>5.02.01.15.1119</t>
  </si>
  <si>
    <t>COLLABORAZIONI DA PARTECIPAZIONE A COMMISSIONI INTERNE PERSONALE DIRIGENTE AMMINISTRATIVO UNIVERSITARIO</t>
  </si>
  <si>
    <t>5.02.01.15.1120</t>
  </si>
  <si>
    <t>COLLABORAZIONI DA PARTECIPAZIONE A COMMISSIONI INTERNE PERSONALE COMPARTO AMMINISTRATIVO UNIVERSITARIO</t>
  </si>
  <si>
    <t>5.02.01.15.1201</t>
  </si>
  <si>
    <t>ALTRE COLLAB E PRESTAZ  AREA  SANIT- PERSONALE BORSISTA SENZA FINANZIAMENTO</t>
  </si>
  <si>
    <t>Altre collaborazioni e prestazioni di lavoro - area sanitaria</t>
  </si>
  <si>
    <t>5.02.01.15.1202</t>
  </si>
  <si>
    <t>ALTRE COLLABORAZIONI E PRESTAZIONI DI LAVORO -AREA SANITARIA- PERSONALE BORSISTA CON FINANZIAMENTO</t>
  </si>
  <si>
    <t>VERIFICARE ORDINI E FT</t>
  </si>
  <si>
    <t>5.02.01.15.1203</t>
  </si>
  <si>
    <t>ALTRE COLLABORAZIONI E PRESTAZIONI DI LAVORO -AREA SANITARIA -  PERSONALE BORSISTA SENZA FINANZIAMENTO</t>
  </si>
  <si>
    <t>5.02.01.15.1204</t>
  </si>
  <si>
    <t>ALTRI SERVIZI DA PERSONALE DI ASL-AO-IRCCS-POLICLINICI-DELLA REGIONE PER PROGETTI SANITARI</t>
  </si>
  <si>
    <t>5.02.01.15.1205</t>
  </si>
  <si>
    <t>ALTRE COLLABORAZIONI E PRESTAZIONI DI LAVORO -AREA SANITARIA -  INC.LIB.PROF (FINANZIATI DA DONAZIONI)</t>
  </si>
  <si>
    <t>5.02.01.15.1298</t>
  </si>
  <si>
    <t>ALTRI SERVIZI DI ASL-AO-IRCCS-POLICLINICI-DELLA REGIONEDA PERSONALE PER SPERIMENTAZIONI GESTIONALI</t>
  </si>
  <si>
    <t>5.02.01.15.1299</t>
  </si>
  <si>
    <t>ALTRI SERVIZI DA PERSONALE DI ASL-AO-IRCCS-POLICLINICI-DELLA REGIONE PER ATTIVITA COMMERCIALI</t>
  </si>
  <si>
    <t>5.02.01.15.1301</t>
  </si>
  <si>
    <t>RIMBORSO ONERI STIPENDIALI PERSONALE SANITARIO IN COMANDO DA AZIENDE SANITARIE PUBBLICHE DELLA REGIONE</t>
  </si>
  <si>
    <t>B.2.A.15.4.A</t>
  </si>
  <si>
    <t>B.2.A.15.4.A) Rimborso oneri stipendiali personale sanitario in comando da Aziende sanitarie pubbliche della Regione</t>
  </si>
  <si>
    <t>5.02.01.15.1302</t>
  </si>
  <si>
    <t>RIMBORSO ONERI STIPENDIALI PERSONALE SANITARIO IN COMANDO DA ASL</t>
  </si>
  <si>
    <t>ONERI STIPENDIALE PERSONALE SANITARIO IN COMANDO DA ASL</t>
  </si>
  <si>
    <t>5.02.01.15.1303</t>
  </si>
  <si>
    <t>RIMBORSO ONERI STIPENDIALI PERSONALE SANITARIO IN COMANDO DA AO,</t>
  </si>
  <si>
    <t>ONERI STIPENDIALE PERSONALE SANITARIO IN COMANDO DAAO,</t>
  </si>
  <si>
    <t>5.02.01.15.1304</t>
  </si>
  <si>
    <t>RIMBORSO ONERI STIPENDIALI PERSONALE SANITARIO IN COMANDO DA IRCCS,</t>
  </si>
  <si>
    <t>ONERI STIPENDIALE PERSONALE SANITARIO IN COMANDO DAIRCCS,</t>
  </si>
  <si>
    <t>5.02.01.15.1401</t>
  </si>
  <si>
    <t>RIMBORSO ONERI STIPENDIALI PERSONALE SANITARIO IN COMANDO DA REGIONI, SOGGETTI PUBBLICI E DA UNIVERSITA</t>
  </si>
  <si>
    <t>B.2.A.15.4.B</t>
  </si>
  <si>
    <t>B.2.A.15.4.B) Rimborso oneri stipendiali personale sanitario in comando da Regioni, soggetti pubblici e da Università</t>
  </si>
  <si>
    <t>5.02.01.15.1501</t>
  </si>
  <si>
    <t>RIMBORSO ONERI STIPENDIALI PERSONALE SANITARIO IN COMANDO DA AZIENDE DI ALTRE REGIONI (EXTRAREGIONE)</t>
  </si>
  <si>
    <t>B.2.A.15.4.C</t>
  </si>
  <si>
    <t>B.2.A.15.4.C) Rimborso oneri stipendiali personale sanitario in comando da aziende di altre Regioni (Extraregione)</t>
  </si>
  <si>
    <t>Indennità a personale universitario - area sanitaria</t>
  </si>
  <si>
    <t>B.2.A.15.3.D</t>
  </si>
  <si>
    <t>B.2.A.15.3.D) Indennità a personale universitario - area sanitaria</t>
  </si>
  <si>
    <t>5.02.01.16.0101</t>
  </si>
  <si>
    <t>INDENNITA A PERSONALE UNIVERSITARIO - DIRIGENTE MEDICO - TABELLARE ED ESCLUSIVITA' MEDICA UNIVERSITA</t>
  </si>
  <si>
    <t>COSTO RETTIFICATO (TOLA IV TRIM 2024)</t>
  </si>
  <si>
    <t>Indennità a personale universitario - Dirigente medico - Competenze fisse</t>
  </si>
  <si>
    <t>5.02.01.16.0102</t>
  </si>
  <si>
    <t>INDENNITA A PERSONALE UNIVERSITARIO - DIRIGENTE MEDICO -ASSEGNI NUCLEO FAMILIARE DM UNIVERSITA</t>
  </si>
  <si>
    <t>5.02.01.16.0103</t>
  </si>
  <si>
    <t>INDENNITA A PERSONALE UNIVERSITARIO - DIRIGENTE MEDICO -FERIE MATURATE E NON USUFRUITE UNIVERSITA</t>
  </si>
  <si>
    <t>5.02.01.16.0104</t>
  </si>
  <si>
    <t>INDENNITA A PERSONALE UNIVERSITARIO - DIRIGENTE MEDICO -CONGUAGLIO ART 31 UNIVERSITA</t>
  </si>
  <si>
    <t>INDENNITA A PERSONALE UNIVERSITARIO - DIRIGENTE MEDICO -CONGUAFLIO ART 31 UNIVERSITA</t>
  </si>
  <si>
    <t>5.02.01.16.0105</t>
  </si>
  <si>
    <t>INDENNITA A PERSONALE UNIVERSITARIO - DIRIGENTE MEDICO -COMPENSI PER SUES 118 DM</t>
  </si>
  <si>
    <t>5.02.01.16.0106</t>
  </si>
  <si>
    <t>INDENNITA A PERSONALE UNIVERSITARIO - DIRIGENTE MEDICO -INDENNITA DI ATENEO</t>
  </si>
  <si>
    <t>5.02.01.16.0107</t>
  </si>
  <si>
    <t>INDENNITA A PERSONALE UNIVERSITARIO - DIRIGENTE MEDICO -ASSEGNO AD PERSONAM ART.13/C PROT.INTESA</t>
  </si>
  <si>
    <t>5.02.01.16.0108</t>
  </si>
  <si>
    <t>EMOLUMENTI DERIVATI DA ENTI ESTERNI UNIVERSITA</t>
  </si>
  <si>
    <t>5.02.01.16.0194</t>
  </si>
  <si>
    <t>Cause di servizio</t>
  </si>
  <si>
    <t>5.02.01.16.0201</t>
  </si>
  <si>
    <t>INDENNITA A PERSONALE UNIVERSITARIO - DIRIGENTE MEDICO - FONDO DI POSIZIONE</t>
  </si>
  <si>
    <t>Indennità a personale universitario - Dirigente medico - Fondo di posizione</t>
  </si>
  <si>
    <t>5.02.01.16.0301</t>
  </si>
  <si>
    <t>INDENNITA A PERSONALE UNIVERSITARIO - DIRIGENTE MEDICO - FONDO PER PARTICOLARI CONDIZIONI DI LAVORO</t>
  </si>
  <si>
    <t>Indennità a personale universitario - Dirigente medico - Fondo per particolari condizioni di lavoro</t>
  </si>
  <si>
    <t>5.02.01.16.0401</t>
  </si>
  <si>
    <t>INDENNITA A PERSONALE UNIVERSITARIO - DIRIGENTE MEDICO - FONDO DI RISULTATO</t>
  </si>
  <si>
    <t>Indennità a personale universitario - Dirigente medico - Fondo di risultato</t>
  </si>
  <si>
    <t>5.02.01.16.0501</t>
  </si>
  <si>
    <t>INDENNITA A PERSONALE UNIVERSITARIO - DIRIGENTE MEDICO - INPDAP-CPS UNIVERSITA</t>
  </si>
  <si>
    <t>Indennità a personale universitario - Dirigente medico - Oneri</t>
  </si>
  <si>
    <t>5.02.01.16.0502</t>
  </si>
  <si>
    <t>INDENNITA A PERSONALE UNIVERSITARIO - DIRIGENTE MEDICO - INPDAP-INADEL UNIVERSITA</t>
  </si>
  <si>
    <t>5.02.01.16.0503</t>
  </si>
  <si>
    <t>INDENNITA A PERSONALE UNIVERSITARIO - DIRIGENTE MEDICO - INPDAP-TESORO UNIVERSITA</t>
  </si>
  <si>
    <t>5.02.01.16.0504</t>
  </si>
  <si>
    <t>INDENNITA A PERSONALE UNIVERSITARIO - DIRIGENTE MEDICO - INPDAP-ENPDEP UNIVERSITA</t>
  </si>
  <si>
    <t>5.02.01.16.0505</t>
  </si>
  <si>
    <t>INDENNITA A PERSONALE UNIVERSITARIO - DIRIGENTE MEDICO - INPS UNIVERSITA</t>
  </si>
  <si>
    <t>5.02.01.16.0506</t>
  </si>
  <si>
    <t>INDENNITA A PERSONALE UNIVERSITARIO - DIRIGENTE MEDICO - INAIL</t>
  </si>
  <si>
    <t>5.02.01.16.0507</t>
  </si>
  <si>
    <t>INDENNITA A PERSONALE UNIVERSITARIO - DIRIGENTE MEDICO - INPDAP-OPERA PREVIDENZA UNIVERSITA</t>
  </si>
  <si>
    <t>5.02.01.16.0508</t>
  </si>
  <si>
    <t>INDENNITA A PERSONALE UNIVERSITARIO - DIRIGENTE MEDICO - ALTRI ONERI CONTRIBUTIVI UNIVERSITA</t>
  </si>
  <si>
    <t>5.02.01.16.0509</t>
  </si>
  <si>
    <t>INDENNITA A PERSONALE UNIVERSITARIO - DIRIGENTE MEDICO - ONERI SOCIALI SU COMPENSI SUES 118</t>
  </si>
  <si>
    <t>5.02.01.16.0510</t>
  </si>
  <si>
    <t>INDENNITA ASSISTENZIALE AI DOTTORANDI DI RICERCA A PERSONALE UNIVERSITARIO</t>
  </si>
  <si>
    <t>5.02.01.16.0601</t>
  </si>
  <si>
    <t>INDENNITA A PERSONALE UNIVERSITARIO - DIRIGENTE SANITARIO NON MEDICO -TABELLARE ED ESCLUSIVITA UNIVERSITA</t>
  </si>
  <si>
    <t>Indennità a personale universitario - Dirigente sanitario non medico - Competenze Fisse</t>
  </si>
  <si>
    <t>5.02.01.16.0602</t>
  </si>
  <si>
    <t>INDENNITA A PERSONALE UNIVERSITARIO - DIRIGENTE SANITARIO NON MEDICO - ASSEGNI NUCLEO FAMILIARE</t>
  </si>
  <si>
    <t>5.02.01.16.0603</t>
  </si>
  <si>
    <t>INDENNITA A PERSONALE UNIVERSITARIO - DIRIGENTE SANITARIO NON MEDICO - CONGUAGLIO ART 31 UNIVERSITA</t>
  </si>
  <si>
    <t>INDENNITA A PERSONALE UNIVERSITARIO - DIRIGENTE SANITARIO NON MEDICO - CONGUAFLIO ART 31 UNIVERSITA</t>
  </si>
  <si>
    <t>5.02.01.16.0604</t>
  </si>
  <si>
    <t>INDENNITA A PERSONALE UNIVERSITARIO - DIRIGENTE SANITARIO NON MEDICO - INDENNITA DI ATENEO</t>
  </si>
  <si>
    <t>5.02.01.16.0605</t>
  </si>
  <si>
    <t>INDENNITA A PERSONALE UNIVERSITARIO - DIRIGENTE SANITARIO NON MEDICO - COMPENSO PER SUES 118</t>
  </si>
  <si>
    <t>5.02.01.16.0606</t>
  </si>
  <si>
    <t>INDENNITA A PERSONALE UNIVERSITARIO - DIRIGENTE SANITARIO NON MEDICO - ASSEGNO AD PERSONAM ART.13/C PROT.INTESA</t>
  </si>
  <si>
    <t>5.02.01.16.0701</t>
  </si>
  <si>
    <t>INDENNITA A PERSONALE UNIVERSITARIO - DIRIGENTE SANITARIO NON MEDICO - FONDO DI POSIZIONE</t>
  </si>
  <si>
    <t>Indennità a personale universitario - Dirigente sanitario non medico - Fondo di posizione</t>
  </si>
  <si>
    <t>5.02.01.16.0801</t>
  </si>
  <si>
    <t>INDENNITA A PERSONALE UNIVERSITARIO - DIRIGENTE SANITARIO NON MEDICO - FONDO PER PARTICOLARI CONDIZIONI DI LAVORO</t>
  </si>
  <si>
    <t>Indennità a personale universitario - Dirigente sanitario non medico - Fondo per particolari condizioni di lavoro</t>
  </si>
  <si>
    <t>5.02.01.16.0901</t>
  </si>
  <si>
    <t>INDENNITA A PERSONALE UNIVERSITARIO - DIRIGENTE SANITARIO NON MEDICO - FONDO DI RISULTATO</t>
  </si>
  <si>
    <t>Indennità a personale universitario - Dirigente sanitario non medico - Fondo di risultato</t>
  </si>
  <si>
    <t>5.02.01.16.1001</t>
  </si>
  <si>
    <t>INDENNITA A PERSONALE UNIVERSITARIO - DIRIGENTE SANITARIO NON MEDICO - INPS</t>
  </si>
  <si>
    <t>Indennità a personale universitario - Dirigente sanitario non medico - Oneri</t>
  </si>
  <si>
    <t>5.02.01.16.1002</t>
  </si>
  <si>
    <t>INDENNITA A PERSONALE UNIVERSITARIO - DIRIGENTE SANITARIO NON MEDICO - INPDAP-TESORO UNIVERSITA</t>
  </si>
  <si>
    <t>5.02.01.16.1003</t>
  </si>
  <si>
    <t>INDENNITA A PERSONALE UNIVERSITARIO - DIRIGENTE SANITARIO NON MEDICO -INPDAP-OPERA PREVIDENZA UNIVERSITA</t>
  </si>
  <si>
    <t>5.02.01.16.1004</t>
  </si>
  <si>
    <t>INDENNITA A PERSONALE UNIVERSITARIO - DIRIGENTE SANITARIO NON MEDICO - ALTRI ONERI CONTRIBUTIVI UNIVERSITA</t>
  </si>
  <si>
    <t>5.02.01.16.1101</t>
  </si>
  <si>
    <t>INDENNITA A PERSONALE UNIVERSITARIO - COMPARTO SANITARIO - TABELLARE UNIVERSITA</t>
  </si>
  <si>
    <t>Indennità a personale universitario - Comparto sanitario - Competenze fisse</t>
  </si>
  <si>
    <t>5.02.01.16.1102</t>
  </si>
  <si>
    <t>INDENNITA A PERSONALE UNIVERSITARIO - COMPARTO SANITARIO - ASSEGNI NUCLEO FAMILIARE</t>
  </si>
  <si>
    <t>5.02.01.16.1103</t>
  </si>
  <si>
    <t>INDENNITA A PERSONALE UNIVERSITARIO - COMPARTO SANITARIO - MANCATO PREAVVISO UNIVERSITA</t>
  </si>
  <si>
    <t>5.02.01.16.1104</t>
  </si>
  <si>
    <t>INDENNITA A PERSONALE UNIVERSITARIO - COMPARTO SANITARIO - CONGUAGLIO ART 31 UNIVERSITA</t>
  </si>
  <si>
    <t>INDENNITA A PERSONALE UNIVERSITARIO - COMPARTO SANITARIO - CONGUAFLIO ART 31 UNIVERSITA</t>
  </si>
  <si>
    <t>5.02.01.16.1105</t>
  </si>
  <si>
    <t>INDENNITA A PERSONALE UNIVERSITARIO - COMPARTO SANITARIO - INDENNITA' DI ATENEO</t>
  </si>
  <si>
    <t>5.02.01.16.1106</t>
  </si>
  <si>
    <t>EMOLUMENTI DERIVATI DA ENTI ESTERNI CS UNIVERSITA</t>
  </si>
  <si>
    <t>5.02.01.16.1107</t>
  </si>
  <si>
    <t>INDENNITA' MANEGGIO VALORI CS UNIVERSITA'</t>
  </si>
  <si>
    <t>5.02.01.16.1201</t>
  </si>
  <si>
    <t>INDENNITA A PERSONALE UNIVERSITARIO - COMPARTO SANITARIO - FONDO PER FASCE, POSIZIONI ORGANIZZATIVE E ALTRE INDENNITA</t>
  </si>
  <si>
    <t>Indennità a personale universitario - Comparto sanitario - Fondo per fascie, posizioni organizzative e altre indennità</t>
  </si>
  <si>
    <t>5.02.01.16.1301</t>
  </si>
  <si>
    <t>INDENNITA A PERSONALE UNIVERSITARIO - COMPARTO SANITARIO - FONDO PER LAVORO STRAORDINARIO E REMUNERAZIONE DI PARTICOLARI CONDIZIONI DI D</t>
  </si>
  <si>
    <t>Indennità a personale universitario - Comparto sanitario - Fondo per lavoro straordinario e remunerazione di particolari condizioni di disAFio, pericolo o danno</t>
  </si>
  <si>
    <t>5.02.01.16.1302</t>
  </si>
  <si>
    <t>INDENNITA A PERSONALE UNIVERSITARIO - COMPARTO SANITARIO - FONDO PER INTERVENTI SOCIO ASSISTENZIALI</t>
  </si>
  <si>
    <t>5.02.01.16.1401</t>
  </si>
  <si>
    <t>INDENNITA A PERSONALE UNIVERSITARIO - COMPARTO SANITARIO - FONDO PER PRODUTTIVITA COLLETTIVA PER IL MIGLIORAMENTO DEI SERVIZI E IL PREMI</t>
  </si>
  <si>
    <t>Indennità a personale universitario - Comparto sanitario - Fondo per Produttività collettiva per il miglioramento dei servizi e il premio della qualità delle prestazioni individuali</t>
  </si>
  <si>
    <t>5.02.01.16.1501</t>
  </si>
  <si>
    <t>INDENNITA A PERSONALE UNIVERSITARIO - COMPARTO SANITARIO - INPDAP-CPDEL</t>
  </si>
  <si>
    <t>Indennità a personale universitario - Comparto sanitario - Oneri</t>
  </si>
  <si>
    <t>5.02.01.16.1502</t>
  </si>
  <si>
    <t>INDENNITA A PERSONALE UNIVERSITARIO - COMPARTO SANITARIO - INPDAP-TESORO</t>
  </si>
  <si>
    <t>5.02.01.16.1503</t>
  </si>
  <si>
    <t>INDENNITA A PERSONALE UNIVERSITARIO - COMPARTO SANITARIO - INPS</t>
  </si>
  <si>
    <t>5.02.01.16.1504</t>
  </si>
  <si>
    <t>INDENNITA A PERSONALE UNIVERSITARIO - COMPARTO SANITARIO - INAIL</t>
  </si>
  <si>
    <t>5.02.01.16.1505</t>
  </si>
  <si>
    <t>INDENNITA A PERSONALE UNIVERSITARIO - COMPARTO SANITARIO - INPDAP-OPERA PREVIDENZA</t>
  </si>
  <si>
    <t>5.02.01.16.1506</t>
  </si>
  <si>
    <t>INDENNITA A PERSONALE UNIVERSITARIO - COMPARTO SANITARIO - ALTRI ONERI CONTRIBUTIVI</t>
  </si>
  <si>
    <t>5.02.01.16.1507</t>
  </si>
  <si>
    <t>INDENNITA A PERSONALE UNIVERSITARIO - COMPARTO SANITARIO - ONERI SOCIALI SU COMPENSI SUES 118</t>
  </si>
  <si>
    <t>5.02.01.16.1508</t>
  </si>
  <si>
    <t>INDENNITA A PERSONALE UNIVERSITARIO COMPARTO SANITARIO COMPENSO PERSUES 118</t>
  </si>
  <si>
    <t>BA1490</t>
  </si>
  <si>
    <t>Altri servizi sanitari e sociosanitari a rilevanza sanitaria</t>
  </si>
  <si>
    <t xml:space="preserve">B.2.A.16 </t>
  </si>
  <si>
    <t>B.2.A.16) Altri servizi sanitari e sociosanitari a rilevanza sanitaria</t>
  </si>
  <si>
    <t>5.02.01.17.0101</t>
  </si>
  <si>
    <t>ALTRI SERVIZI SANITARI E SOCIOSANITARI A RILEVANZA SANITARIA DA PUBBLICO - AZIENDE SANITARIE PUBBLICHE DELLA REGIONE</t>
  </si>
  <si>
    <t>VERIFICATO E ALLINEATO PER INTERCOMPANY</t>
  </si>
  <si>
    <t>B.2.A.16.1</t>
  </si>
  <si>
    <t>B.2.A.16.1) Altri servizi sanitari e sociosanitari a rilevanza sanitaria da pubblico - Aziende sanitarie pubbliche della Regione</t>
  </si>
  <si>
    <t>5.02.01.17.0201</t>
  </si>
  <si>
    <t>ALTRI SERVIZI SANITARI E SOCIOSANITARI A RILEVANZA SANITARIA DA PUBBLICO - ALTRI SOGGETTI PUBBLICI DELLA REGIONE</t>
  </si>
  <si>
    <t>B.2.A.16.2</t>
  </si>
  <si>
    <t>B.2.A.16.2) Altri servizi sanitari e sociosanitari a rilevanza sanitaria da pubblico - Altri soggetti pubblici della Regione</t>
  </si>
  <si>
    <t>5.02.01.17.0301</t>
  </si>
  <si>
    <t>ALTRI SERVIZI SANITARI E SOCIOSANITARI A RILEVANZA SANITARIA DA PUBBLICO (EXTRAREGIONE)</t>
  </si>
  <si>
    <t>B.2.A.16.3</t>
  </si>
  <si>
    <t>B.2.A.16.3) Altri servizi sanitari e sociosanitari a rilevanza sanitaria da pubblico (Extraregione)</t>
  </si>
  <si>
    <t>5.02.01.17.0401</t>
  </si>
  <si>
    <t>ALTRI SERVIZI SANITARI DA PRIVATO -SERVIZI PER PRESTAZIONI SANITARIE DA OSPEDALI CLASSIFICATI E CASE DI CURA</t>
  </si>
  <si>
    <t xml:space="preserve">Altri servizi sanitari da privato </t>
  </si>
  <si>
    <t>B.2.A.16.4</t>
  </si>
  <si>
    <t xml:space="preserve">B.2.A.16.4)  Altri servizi sanitari da privato </t>
  </si>
  <si>
    <t>5.02.01.17.0403</t>
  </si>
  <si>
    <t>ALTRI SERVIZI SANITARI DA PRIVATO -SERVIZI PER PRESTAZIONI SANITARIE DA ALTRI SOGGETTI PRIVATI</t>
  </si>
  <si>
    <t>5.02.01.17.0404</t>
  </si>
  <si>
    <t>ALTRI SERVIZI SANITARI DA PRIVATO -SERVIZI SANITARI PER PROGETTI FINALIZZATI DA PRIVATO</t>
  </si>
  <si>
    <t>5.02.01.17.0405</t>
  </si>
  <si>
    <t>COMPENSI DA SPERIMENTAZIONE CLINICA PERSONALE DIRIGENTE MEDICO AZIENDALE</t>
  </si>
  <si>
    <t>5.02.01.17.0406</t>
  </si>
  <si>
    <t>COMPENSI DA SPERIMENTAZIONE CLINICA PERSONALE DIRIGENTE NON MEDICO AZIENDALE</t>
  </si>
  <si>
    <t>5.02.01.17.0407</t>
  </si>
  <si>
    <t>COMPENSI DA SPERIMENTAZIONE CLINICA PERSONALE COMPARTO SANITARIO AZIENDALE</t>
  </si>
  <si>
    <t>5.02.01.17.0408</t>
  </si>
  <si>
    <t>COMPENSI DA SPERIMENTAZIONE CLINICA PERSONALE DIRIGENTE PROFESSIONALE AZIENDALE</t>
  </si>
  <si>
    <t>5.02.01.17.0409</t>
  </si>
  <si>
    <t>COMPENSI DA SPERIMENTAZIONE CLINICA PERSONALE COMPARTO PROFESSIONALE AZIENDALE</t>
  </si>
  <si>
    <t>5.02.01.17.0410</t>
  </si>
  <si>
    <t>COMPENSI DA SPERIMENTAZIONE CLINICA PERSONALE DIRIGENTE TECNICO AZIENDALE</t>
  </si>
  <si>
    <t>5.02.01.17.0411</t>
  </si>
  <si>
    <t>COMPENSI DA SPERIMENTAZIONE CLINICA PERSONALE COMPARTO TECNICO AZIENDALE</t>
  </si>
  <si>
    <t>5.02.01.17.0412</t>
  </si>
  <si>
    <t>COMPENSI DA SPERIMENTAZIONE CLINICA PERSONALE DIRIGENTE AMMINISTRATIVO AZIENDALE</t>
  </si>
  <si>
    <t>5.02.01.17.0413</t>
  </si>
  <si>
    <t>COMPENSI DA SPERIMENTAZIONE CLINICA PERSONALE COMPARTO AMMINISTRATIVO AZIENDALE</t>
  </si>
  <si>
    <t>5.02.01.17.0414</t>
  </si>
  <si>
    <t>COMPENSI DA SPERIMENTAZIONE CLINICA PERSONALE DIRIGENTE MEDICO UNIVERSITARIO</t>
  </si>
  <si>
    <t>5.02.01.17.0415</t>
  </si>
  <si>
    <t>COMPENSI DA SPERIMENTAZIONE CLINICA PERSONALE DIRIGENTE NON MEDICO UNIVERSITARIO</t>
  </si>
  <si>
    <t>5.02.01.17.0416</t>
  </si>
  <si>
    <t>COMPENSI DA SPERIMENTAZIONE CLINICA PERSONALE COMPARTO SANITARIO UNIVERSITARIO</t>
  </si>
  <si>
    <t>5.02.01.17.0417</t>
  </si>
  <si>
    <t>COMPENSI DA SPERIMENTAZIONE CLINICA PERSONALE DIRIGENTE PROFESSIONALE UNIVERSITARIO</t>
  </si>
  <si>
    <t>5.02.01.17.0418</t>
  </si>
  <si>
    <t>COMPENSI DA SPERIMENTAZIONE CLINICA PERSONALE COMPARTO PROFESSIONALE UNIVERSITARIO</t>
  </si>
  <si>
    <t>5.02.01.17.0419</t>
  </si>
  <si>
    <t>COMPENSI DA SPERIMENTAZIONE CLINICA PERSONALE DIRIGENTE TECNICO UNIVERSITARIO</t>
  </si>
  <si>
    <t>5.02.01.17.0420</t>
  </si>
  <si>
    <t>COMPENSI DA SPERIMENTAZIONE CLINICA PERSONALE COMPARTO TECNICO UNIVERSITARIO</t>
  </si>
  <si>
    <t>5.02.01.17.0421</t>
  </si>
  <si>
    <t>COMPENSI DA SPERIMENTAZIONE CLINICA PERSONALE DIRIGENTE AMMINISTRATIVO UNIVERSITARIO</t>
  </si>
  <si>
    <t>5.02.01.17.0422</t>
  </si>
  <si>
    <t>COMPENSI DA SPERIMENTAZIONE CLINICA PERSONALE COMPARTO AMMINISTRATIVO UNIVERSITARIO</t>
  </si>
  <si>
    <t>5.02.01.17.0423</t>
  </si>
  <si>
    <t>COMPENSI DA SPERIMENTAZIONE CLINICA PERSONALE COMPARTO AMMINISTRATIVO ALTRO</t>
  </si>
  <si>
    <t>5.02.01.17.0425</t>
  </si>
  <si>
    <t>ACQ PREST SANIT. DA STRUTT. PRIVATE</t>
  </si>
  <si>
    <t>5.02.01.17.0426</t>
  </si>
  <si>
    <t>SERVIZI DA PERSONALE PRIVATO PER PROGETTI SANITARI</t>
  </si>
  <si>
    <t>5.02.01.17.0501</t>
  </si>
  <si>
    <t>COSTI PER SERVIZI SANITARI - MOBILITA INTERNAZIONALE PASSIVA</t>
  </si>
  <si>
    <t>B.2.A.16.5</t>
  </si>
  <si>
    <t>B.2.A.16.5) Costi per servizi sanitari - Mobilità internazionale passiva</t>
  </si>
  <si>
    <t>BA1541</t>
  </si>
  <si>
    <t>5.02.01.17.0601</t>
  </si>
  <si>
    <t>Costi per servizi sanitari - Mobilità internazionale passiva rilevata dalle ASL</t>
  </si>
  <si>
    <t xml:space="preserve">Costi per servizi sanitari - Mobilità internazionale passiva rilevata dalle ASL </t>
  </si>
  <si>
    <t>B.2.A.16.6</t>
  </si>
  <si>
    <t>B.2.A.16.6)  Costi per servizi sanitari - Mobilità internazionale passiva rilevata dalle ASL</t>
  </si>
  <si>
    <t>BA1542</t>
  </si>
  <si>
    <t>5.02.01.17.0701</t>
  </si>
  <si>
    <t>Costi per prestazioni sanitarie erogate da aziende sanitarie estere (fatturate direttamente)</t>
  </si>
  <si>
    <t>B.2.A.16.7</t>
  </si>
  <si>
    <t>B.2.A.16.7) Costi per prestazioni sanitarie erogate da aziende sanitarie estere (fatturate direttamente)</t>
  </si>
  <si>
    <t>Costi GSA per differenziale saldo mobilità interregionale</t>
  </si>
  <si>
    <t xml:space="preserve">B.2.A.17 </t>
  </si>
  <si>
    <t>B.2.A.17) Costi GSA per differenziale saldo mobilità interregionale</t>
  </si>
  <si>
    <t>5.02.01.18.0101</t>
  </si>
  <si>
    <t>BA1560</t>
  </si>
  <si>
    <t>Acquisti di servizi non sanitari</t>
  </si>
  <si>
    <t>B.2.B</t>
  </si>
  <si>
    <t>B.2.B) Acquisti di servizi non sanitari</t>
  </si>
  <si>
    <t>BA1570</t>
  </si>
  <si>
    <t>Servizi non sanitari</t>
  </si>
  <si>
    <t xml:space="preserve">B.2.B.1 </t>
  </si>
  <si>
    <t xml:space="preserve">B.2.B.1) Servizi non sanitari </t>
  </si>
  <si>
    <t>5.02.02.01.0101</t>
  </si>
  <si>
    <t>LAVANDERIA</t>
  </si>
  <si>
    <t>VERIFICATI ORDINI E FT</t>
  </si>
  <si>
    <t>B.2.B.1.1</t>
  </si>
  <si>
    <t>B.2.B.1.1) Lavanderia</t>
  </si>
  <si>
    <t>5.02.02.01.0201</t>
  </si>
  <si>
    <t>PULIZIA</t>
  </si>
  <si>
    <t>B.2.B.1.2</t>
  </si>
  <si>
    <t>B.2.B.1.2) Pulizia</t>
  </si>
  <si>
    <t>BA1601</t>
  </si>
  <si>
    <t>5.02.02.01.0301</t>
  </si>
  <si>
    <t>MENSA - DEGENTI</t>
  </si>
  <si>
    <t>Mensa - degenti</t>
  </si>
  <si>
    <t>Mensa - Dipendenti</t>
  </si>
  <si>
    <t>B.2.B.1.3.A</t>
  </si>
  <si>
    <t>B.2.B.1.3.A)   Mensa dipendenti</t>
  </si>
  <si>
    <t>BA1602</t>
  </si>
  <si>
    <t>5.02.02.01.0401</t>
  </si>
  <si>
    <t>MENSA - DIPENDENTI</t>
  </si>
  <si>
    <t>Mensa - dipendenti</t>
  </si>
  <si>
    <t>Mensa - Degenti</t>
  </si>
  <si>
    <t>B.2.B.1.3.B</t>
  </si>
  <si>
    <t>B.2.B.1.3.B)   Mensa degenti</t>
  </si>
  <si>
    <t>5.02.02.01.0501</t>
  </si>
  <si>
    <t>RISCALDAMENTO</t>
  </si>
  <si>
    <t>B.2.B.1.4</t>
  </si>
  <si>
    <t>B.2.B.1.4) Riscaldamento</t>
  </si>
  <si>
    <t>5.02.02.01.0601</t>
  </si>
  <si>
    <t>SERVIZI DI ELABORAZIONE DATI</t>
  </si>
  <si>
    <t>VERIFICATI ORDINI E FT (comprende costi sostenuti e sterilizzati PNRR)</t>
  </si>
  <si>
    <t>VERIFICARE ORDINI E FT .- INDICARE DI CUOI PNRR</t>
  </si>
  <si>
    <t>B.2.B.1.5</t>
  </si>
  <si>
    <t>B.2.B.1.5) Servizi di assistenza informatica</t>
  </si>
  <si>
    <t>5.02.02.01.0602</t>
  </si>
  <si>
    <t>SERVIZI DI ASSISTENZA SW</t>
  </si>
  <si>
    <t>5.02.02.01.0701</t>
  </si>
  <si>
    <t>SERVIZI TRASPORTI (NON SANITARI)</t>
  </si>
  <si>
    <t>B.2.B.1.6</t>
  </si>
  <si>
    <t>B.2.B.1.6) Servizi trasporti (non sanitari)</t>
  </si>
  <si>
    <t>5.02.02.01.0801</t>
  </si>
  <si>
    <t>SMALTIMENTO RIFIUTI</t>
  </si>
  <si>
    <t xml:space="preserve">Smaltimento rifiuti </t>
  </si>
  <si>
    <t>B.2.B.1.7</t>
  </si>
  <si>
    <t>B.2.B.1.7) Smaltimento rifiuti</t>
  </si>
  <si>
    <t>5.02.02.01.0901</t>
  </si>
  <si>
    <t>UTENZE TELEFONICHE</t>
  </si>
  <si>
    <t>B.2.B.1.8</t>
  </si>
  <si>
    <t>B.2.B.1.8) Utenze telefoniche</t>
  </si>
  <si>
    <t>5.02.02.01.1001</t>
  </si>
  <si>
    <t>UTENZE ELETTRICITA</t>
  </si>
  <si>
    <t>B.2.B.1.9</t>
  </si>
  <si>
    <t>B.2.B.1.9) Utenze elettricità</t>
  </si>
  <si>
    <t>5.02.02.01.1101</t>
  </si>
  <si>
    <t>UTENZE ACQUA</t>
  </si>
  <si>
    <t>Utenze acqua</t>
  </si>
  <si>
    <t>B.2.B.1.10</t>
  </si>
  <si>
    <t>B.2.B.1.10) Altre utenze</t>
  </si>
  <si>
    <t>5.02.02.01.1201</t>
  </si>
  <si>
    <t>UTENZE GAS</t>
  </si>
  <si>
    <t>Utenze gas</t>
  </si>
  <si>
    <t>5.02.02.01.1301</t>
  </si>
  <si>
    <t>ALTRE UTENZE</t>
  </si>
  <si>
    <t>BA1690</t>
  </si>
  <si>
    <t>5.02.02.01.1401</t>
  </si>
  <si>
    <t>PREMI DI ASSICURAZIONE - R.C. PROFESSIONALE</t>
  </si>
  <si>
    <t>Premi di assicurazione - R.C. Professionale</t>
  </si>
  <si>
    <t>B.2.B.1.11.A</t>
  </si>
  <si>
    <t>B.2.B.1.11.A) Premi di assicurazione - R.C. Professionale</t>
  </si>
  <si>
    <t>BA1700</t>
  </si>
  <si>
    <t>5.02.02.01.1501</t>
  </si>
  <si>
    <t>PREMI DI ASSICURAZIONE - ALTRI PREMI ASSICURATIVI</t>
  </si>
  <si>
    <t>Premi di assicurazione - Altri premi assicurativi</t>
  </si>
  <si>
    <t>B.2.B.1.11.B</t>
  </si>
  <si>
    <t>B.2.B.1.11.B) Premi di assicurazione - Altri premi assicurativi</t>
  </si>
  <si>
    <t>5.02.02.01.1502</t>
  </si>
  <si>
    <t>ASSICURAZIONI PER FURTO E INCENDI</t>
  </si>
  <si>
    <t>5.02.02.01.1503</t>
  </si>
  <si>
    <t>ASSICURAZIONI INAIL CONTRO INFORTUNI</t>
  </si>
  <si>
    <t>VERIFICARE EVENTUALE INTEGRAZIONE</t>
  </si>
  <si>
    <t>5.02.02.01.1504</t>
  </si>
  <si>
    <t>ASSICURAZIONI AUTOMEZZI</t>
  </si>
  <si>
    <t>5.02.02.01.1601</t>
  </si>
  <si>
    <t>ALTRI SERVIZI NON SANITARI DA PUBBLICO (AZIENDE SANITARIE PUBBLICHE DELLA REGIONE)</t>
  </si>
  <si>
    <t>B.2.B.1.12.A</t>
  </si>
  <si>
    <t>B.2.B.1.12.A) Altri servizi non sanitari da pubblico (Aziende sanitarie pubbliche della Regione)</t>
  </si>
  <si>
    <t>5.02.02.01.1602</t>
  </si>
  <si>
    <t>ALTRI SERVIZI NON SANITARI DA PUBBLICO (AO, )</t>
  </si>
  <si>
    <t>5.02.02.01.1603</t>
  </si>
  <si>
    <t>ALTRI SERVIZI NON SANITARI DA PUBBLICO (IRCCS, )</t>
  </si>
  <si>
    <t>5.02.02.01.1604</t>
  </si>
  <si>
    <t>ALTRI SERVIZI NON SANITARI DA PUBBLICO ( POLICLINICI DELLA REGIONE)</t>
  </si>
  <si>
    <t>5.02.02.01.1701</t>
  </si>
  <si>
    <t>B.2.B.1.12.B</t>
  </si>
  <si>
    <t>B.2.B.1.12.B) Altri servizi non sanitari da altri soggetti pubblici</t>
  </si>
  <si>
    <t>5.02.02.01.1702</t>
  </si>
  <si>
    <t>SERVIZI NON SANITARI DA ATENEO</t>
  </si>
  <si>
    <t>5.02.02.01.1703</t>
  </si>
  <si>
    <t>SERVIZI NON SANITARI PER PROGETTI FINALIZZATI DA PUBBLICO</t>
  </si>
  <si>
    <t>5.02.02.01.1801</t>
  </si>
  <si>
    <t>SERVIZIO DI VIGILANZA E SICUREZZA</t>
  </si>
  <si>
    <t>Servizio di vigilanza e sicurezza</t>
  </si>
  <si>
    <t>B.2.B.1.12</t>
  </si>
  <si>
    <t>B.2.B.1.12.C) Altri servizi non sanitari da privato</t>
  </si>
  <si>
    <t>5.02.02.01.1901</t>
  </si>
  <si>
    <t>SERVIZIO DI TESORERIA</t>
  </si>
  <si>
    <t>Servizio di tesoreria</t>
  </si>
  <si>
    <t>5.02.02.01.2001</t>
  </si>
  <si>
    <t>ALTRI SERVIZI NON SANITARI ESTERNALIZZATI</t>
  </si>
  <si>
    <t>Altri servizi non sanitari esternalizzati</t>
  </si>
  <si>
    <t>5.02.02.01.2002</t>
  </si>
  <si>
    <t>GIARDINAGGIO</t>
  </si>
  <si>
    <t>GIARDINAFGIO</t>
  </si>
  <si>
    <t>5.02.02.01.2003</t>
  </si>
  <si>
    <t>SERVIZIO CENTRALE DI STERILIZZAZIONE</t>
  </si>
  <si>
    <t>5.02.02.01.2004</t>
  </si>
  <si>
    <t>ALTRI SERVIZI NON SANITARI DA PRIVATO - SAS</t>
  </si>
  <si>
    <t>5.02.02.01.2005</t>
  </si>
  <si>
    <t>ALTRI SERVIZI NON SANITARI DA PRIVATO PER PROGETTI</t>
  </si>
  <si>
    <t>VERIFICARE MANCATE FT</t>
  </si>
  <si>
    <t>5.02.02.01.2101</t>
  </si>
  <si>
    <t>RIMBORSI SPESE VIAGGI E SOGGIORNO</t>
  </si>
  <si>
    <t>RIMBORSI SPESE VIAFGI E SOGGIORNO</t>
  </si>
  <si>
    <t xml:space="preserve">Rimborsi spese viAFgi e soggiorno </t>
  </si>
  <si>
    <t>5.02.02.01.9901</t>
  </si>
  <si>
    <t>ALTRI SERVIZI NON SANITARI DA PRIVATO</t>
  </si>
  <si>
    <t>5.02.02.01.9902</t>
  </si>
  <si>
    <t>ALTRI SERVIZI NON SANITARI DA PRIVATO PER SUES 118</t>
  </si>
  <si>
    <t>5.02.02.01.9903</t>
  </si>
  <si>
    <t>ALTRI SERVIZI NON SANITARI RESI DA COOPERATIVE</t>
  </si>
  <si>
    <t>5.02.02.01.9904</t>
  </si>
  <si>
    <t>ALTRI SERVIZI NON SANITARI SERV. DI TESORERIA</t>
  </si>
  <si>
    <t>VERIFICARE REGITRAZIONE COSTO</t>
  </si>
  <si>
    <t>BA1750</t>
  </si>
  <si>
    <t>Consulenze, Collaborazioni, Interinale e altre prestazioni di lavoro non sanitarie</t>
  </si>
  <si>
    <t xml:space="preserve">B.2.B.2  </t>
  </si>
  <si>
    <t>B.2.B.2)  Consulenze, Collaborazioni, Interinale e altre prestazioni di lavoro non sanitarie</t>
  </si>
  <si>
    <t>5.02.02.02.0101</t>
  </si>
  <si>
    <t>CONSULENZE NON SANITARIE DA AZIENDE SANITARIE PUBBLICHE DELLA REGIONE</t>
  </si>
  <si>
    <t>B.2.B.2.1</t>
  </si>
  <si>
    <t>B.2.B.2.1) Consulenze non sanitarie da Aziende sanitarie pubbliche della Regione</t>
  </si>
  <si>
    <t>5.02.02.02.0102</t>
  </si>
  <si>
    <t>CONSULENZE NON SANITARIE V/AO,</t>
  </si>
  <si>
    <t>5.02.02.02.0103</t>
  </si>
  <si>
    <t>CONSULENZE NON SANITARIE V/IRCCS,</t>
  </si>
  <si>
    <t>5.02.02.02.0104</t>
  </si>
  <si>
    <t>CONSULENZE NON SANITARIE V/ POLICLINICI DELLA REGIONE</t>
  </si>
  <si>
    <t>5.02.02.02.0201</t>
  </si>
  <si>
    <t>CONSULENZE NON SANITARIE DA TERZI - ALTRI SOGGETTI PUBBLICI</t>
  </si>
  <si>
    <t>B.2.B.2.2</t>
  </si>
  <si>
    <t>B.2.B.2.2) Consulenze non sanitarie da Terzi - Altri soggetti pubblici</t>
  </si>
  <si>
    <t>5.02.02.02.0202</t>
  </si>
  <si>
    <t>CONSULENZE NON SANITARIE DA TERZI - ALTRI ENTI PUBBLICI</t>
  </si>
  <si>
    <t>5.02.02.02.0301</t>
  </si>
  <si>
    <t>CONSULENZE NON SANITARIE DA PRIVATO</t>
  </si>
  <si>
    <t>B.2.B.2.3.A</t>
  </si>
  <si>
    <t>B.2.B.2.3.A) Consulenze non sanitarie da privato</t>
  </si>
  <si>
    <t>5.02.02.02.0401</t>
  </si>
  <si>
    <t>COLLABORAZIONI COORDINATE E CONTINUATIVE  NON FINANZIATE</t>
  </si>
  <si>
    <t>B.2.B.2.3.B</t>
  </si>
  <si>
    <t>B.2.B.2.3.B) Collaborazioni coordinate e continuative non sanitarie da privato</t>
  </si>
  <si>
    <t>5.02.02.02.0402</t>
  </si>
  <si>
    <t>COLLABORAZIONI COORDINATE E CONTINUATIVE  FINANZIATE</t>
  </si>
  <si>
    <t>5.02.02.02.0501</t>
  </si>
  <si>
    <t>LAVORO INTERINALE - AREA NON SANITARIA</t>
  </si>
  <si>
    <t>Lavoro interinale - area non sanitaria</t>
  </si>
  <si>
    <t>B.2.B.2.3.D</t>
  </si>
  <si>
    <t>B.2.B.2.3.D) Lavoro interinale - area non sanitaria</t>
  </si>
  <si>
    <t>5.02.02.02.0903</t>
  </si>
  <si>
    <t>ALTRE COLLABORAZIONI E PRESTAZIONI DI LAVORO - AREA NON SANITARIA -SERVIZI RESI DA PERSONALE RELIGIOSO</t>
  </si>
  <si>
    <t>SPOSTATO COSTO PERSONALE RELIGIOSO DA COSTO DEL PERSONALE</t>
  </si>
  <si>
    <t>Altre collaborazioni e prestazioni di lavoro - area non sanitaria</t>
  </si>
  <si>
    <t>B.2.B.2.3.E</t>
  </si>
  <si>
    <t>B.2.B.2.3.E) Altre collaborazioni e prestazioni di lavoro - area non sanitaria</t>
  </si>
  <si>
    <t>5.02.02.02.0904</t>
  </si>
  <si>
    <t>ALTRE COLLABORAZIONI E PRESTAZIONI DI LAVORO - AREA NON SANITARIA - PERSONALE BORSISTA NON SANITARIO</t>
  </si>
  <si>
    <t>5.02.02.02.0905</t>
  </si>
  <si>
    <t>ALTRE COLLABORAZIONI E PRESTAZIONI DI LAVORO - AREA NON SANITARIA -PERSONALE BORSISTA NON SANITARIO CON FINANZIAMENTO</t>
  </si>
  <si>
    <t>5.02.02.02.0906</t>
  </si>
  <si>
    <t>ALTRE COLLABORAZIONI E PRESTAZIONI DI LAVORO - AREA NON SANITARIA - LAVORATORI SOCIALMENTE UTILI (INTEGRAZIONE ORARIA)</t>
  </si>
  <si>
    <t>5.02.02.02.0907</t>
  </si>
  <si>
    <t>ALTRE COLLABORAZIONI E PRESTAZIONI DI LAVORO - AREA NON SANITARIA - SERVIZI PER COLLABORAZIONI PER PROGETTI FINALIZZATI</t>
  </si>
  <si>
    <t>BA1831</t>
  </si>
  <si>
    <t>5.02.02.02.1301</t>
  </si>
  <si>
    <t xml:space="preserve"> Altre Consulenze non sanitarie da privato - in attuazione dell'art.79, comma 1 sexies lettera c), del D.L. 112/2008, convertito con legge 133/2008 e della legge 23 dicembre 2009 n. 191.</t>
  </si>
  <si>
    <t xml:space="preserve"> Altre Consulenze non sanitarie da privato - in attuazione dell&amp;#8217</t>
  </si>
  <si>
    <t xml:space="preserve"> Altre Consulenze non sanitarie da privato - in attuazione dell’art.79, comma 1 sexies lettera c), del D.L. 112/2008, convertito con legge 133/2008 e della legge 23 dicembre 2009 n. 191.</t>
  </si>
  <si>
    <t>B.2.B.2.3.F</t>
  </si>
  <si>
    <t>B.2.B.2.3.F) Altre Consulenze non sanitarie da privato - in attuazione dell’art.79, comma 1 sexies lettera c), del D.L. 112/2008, convertito con legge 133/2008 e della legge 23 dicembre 2009 n. 191.</t>
  </si>
  <si>
    <t>5.02.02.02.1001</t>
  </si>
  <si>
    <t>B.2.B.2.4.A</t>
  </si>
  <si>
    <t>B.2.B.2.4.A) Rimborso oneri stipendiali personale non sanitario in comando da Aziende sanitarie pubbliche della Regione</t>
  </si>
  <si>
    <t>5.02.02.02.1002</t>
  </si>
  <si>
    <t>ONERI STIPENDIALI PERSONALE NON SANITARIO IN COMANDO DA-AO,</t>
  </si>
  <si>
    <t>5.02.02.02.1101</t>
  </si>
  <si>
    <t>B.2.B.2.4.B</t>
  </si>
  <si>
    <t>B.2.B.2.4.B) Rimborso oneri stipendiali personale non sanitario in comando da Regione, soggetti pubblici e da Università</t>
  </si>
  <si>
    <t>5.02.02.02.1201</t>
  </si>
  <si>
    <t>B.2.B.2.4.C</t>
  </si>
  <si>
    <t>B.2.B.2.4.C) Rimborso oneri stipendiali personale non sanitario in comando da aziende di altre Regioni (Extraregione)</t>
  </si>
  <si>
    <t>Indennità a personale universitario - area non sanitaria</t>
  </si>
  <si>
    <t>B.2.B.2.3.C</t>
  </si>
  <si>
    <t>B.2.B.2.3.C) Indennità a personale universitario - area non sanitaria</t>
  </si>
  <si>
    <t>5.02.02.03.0101</t>
  </si>
  <si>
    <t>INDENNITA A PERSONALE UNIVERSITARIO - DIRIGENTE PROFESSIONALE - TABELLARE ED ESCLUSIVITA UNIVERSITA</t>
  </si>
  <si>
    <t>Indennità a personale universitario - Dirigente PTA - Competenze fisse</t>
  </si>
  <si>
    <t>5.02.02.03.0102</t>
  </si>
  <si>
    <t>INDENNITA A PERSONALE UNIVERSITARIO - DIRIGENTE TECNICO - TABELLARE ED ESCLUSIVITA UNIVERSITA</t>
  </si>
  <si>
    <t>5.02.02.03.0103</t>
  </si>
  <si>
    <t>INDENNITA A PERSONALE UNIVERSITARIO - DIRIGENTE AMMINISTRATIVO - TABELLARE ED ESCLUSIVITA UNIVERSITA</t>
  </si>
  <si>
    <t>5.02.02.03.0104</t>
  </si>
  <si>
    <t>INDENNITA A PERSONALE UNIVERSITARIO - DIRIGENTE PROFESSIONALE - CONGUAGLIO ART. 31 UNIVERSITA</t>
  </si>
  <si>
    <t>INDENNITA A PERSONALE UNIVERSITARIO - DIRIGENTE PROFESSIONALE - CONGUAFLIO ART. 31 UNIVERSITA</t>
  </si>
  <si>
    <t>5.02.02.03.0105</t>
  </si>
  <si>
    <t>INDENNITA A PERSONALE UNIVERSITARIO - DIRIGENTE TECNICO - CONGUAGLIO ART. 31 UNIVERSITA</t>
  </si>
  <si>
    <t>INDENNITA A PERSONALE UNIVERSITARIO - DIRIGENTE TECNICO - CONGUAFLIO ART. 31 UNIVERSITA</t>
  </si>
  <si>
    <t>5.02.02.03.0106</t>
  </si>
  <si>
    <t>INDENNITA A PERSONALE UNIVERSITARIO - DIRIGENTE AMMINISTRATIVO - CONGUAGLIO ART. 31 UNIVERSITA</t>
  </si>
  <si>
    <t>INDENNITA A PERSONALE UNIVERSITARIO - DIRIGENTE AMMINISTRATIVO - CONGUAFLIO ART. 31 UNIVERSITA</t>
  </si>
  <si>
    <t>5.02.02.03.0107</t>
  </si>
  <si>
    <t>INDENNITA A PERSONALE UNIVERSITARIO - DIRIGENTE PROFESSIONALE - MANCATO PREAVVISO</t>
  </si>
  <si>
    <t>5.02.02.03.0108</t>
  </si>
  <si>
    <t>INDENNITA A PERSONALE UNIVERSITARIO - DIRIGENTE TECNICO - MANCATO PREAVVISO</t>
  </si>
  <si>
    <t>5.02.02.03.0109</t>
  </si>
  <si>
    <t>INDENNITA A PERSONALE UNIVERSITARIO - DIRIGENTE AMMINISTRATIVO - MANCATO PREAVVISO</t>
  </si>
  <si>
    <t>5.02.02.03.0110</t>
  </si>
  <si>
    <t>INDENNITA A PERSONALE UNIVERSITARIO - DIRIGENTE PROFESSIONALE - ASSEGNI NUCLEO FAMILIARE</t>
  </si>
  <si>
    <t>5.02.02.03.0111</t>
  </si>
  <si>
    <t>INDENNITA A PERSONALE UNIVERSITARIO - DIRIGENTE TECNICO - ASSEGNI NUCLEO FAMILIARE</t>
  </si>
  <si>
    <t>5.02.02.03.0112</t>
  </si>
  <si>
    <t>INDENNITA A PERSONALE UNIVERSITARIO - DIRIGENTE AMMINISTRATIVO - ASSEGNI NUCLEO FAMILIARE</t>
  </si>
  <si>
    <t>5.02.02.03.0113</t>
  </si>
  <si>
    <t>INDENNITA A PERSONALE UNIVERSITARIO - DIRIGENTE PROFESSIONALE - LIQUIDAZIONE TFR</t>
  </si>
  <si>
    <t>5.02.02.03.0114</t>
  </si>
  <si>
    <t>INDENNITA A PERSONALE UNIVERSITARIO - DIRIGENTE TECNICO - LIQUIDAZIONE TFR</t>
  </si>
  <si>
    <t>5.02.02.03.0115</t>
  </si>
  <si>
    <t>INDENNITA A PERSONALE UNIVERSITARIO - DIRIGENTE AMMINISTRATIVO - LIQUIDAZIONE TFR</t>
  </si>
  <si>
    <t>5.02.02.03.0116</t>
  </si>
  <si>
    <t>INDENNITA A PERSONALE UNIVERSITARIO - DIRIGENTE PROFESSIONALE - FERIE MATURATE E NON USUFRUITE</t>
  </si>
  <si>
    <t>5.02.02.03.0117</t>
  </si>
  <si>
    <t>INDENNITA A PERSONALE UNIVERSITARIO - DIRIGENTE TECNICO - FERIE MATURATE E NON USUFRUITE</t>
  </si>
  <si>
    <t>5.02.02.03.0118</t>
  </si>
  <si>
    <t>INDENNITA A PERSONALE UNIVERSITARIO - DIRIGENTE AMMINISTRATIVO - FERIE MATURATE E NON USUFRUITE</t>
  </si>
  <si>
    <t>5.02.02.03.0120</t>
  </si>
  <si>
    <t>INDENNITA A PERSONALE UNIVERSITARIOINDENNITA DI ATENEO - DIRIGENZA TECNICA UNIVERSITA'</t>
  </si>
  <si>
    <t>5.02.02.03.0125</t>
  </si>
  <si>
    <t>INDENNITA A PERSONALE UNIVERSITARIO - DIRIGENTE PROFESSIONALE -PROGETTI A CARICO AZIENDA UNIVERSITA</t>
  </si>
  <si>
    <t>5.02.02.03.0126</t>
  </si>
  <si>
    <t>INDENNITA A PERSONALE UNIVERSITARIO - DIRIGENTE PROFESSIONALE - CONTRIBUTO AOUP X FORMAZIONE DP UNIVERSITA</t>
  </si>
  <si>
    <t>5.02.02.03.0127</t>
  </si>
  <si>
    <t>INDENNITA A PERSONALE UNIVERSITARIO - DIRIGENTE PROFESSIONALE - EMOLUMENTI DERIVATI DA ENTI ESTERNI DP UNIVERSITA</t>
  </si>
  <si>
    <t>5.02.02.03.0128</t>
  </si>
  <si>
    <t>INDENNITA A PERSONALE UNIVERSITARIO - DIRIGENTE PROFESSIONALE - COMPENSI DI CUI ALL'ART.52 CCNL 2.B DEL 08/06/2000 UNIVERSITA</t>
  </si>
  <si>
    <t>5.02.02.03.0129</t>
  </si>
  <si>
    <t>INDENNITA A PERSONALE UNIVERSITARIO - DIRIGENTE TECNICO - PROGETTI A CARICO AZIENDA UNIVERSITA</t>
  </si>
  <si>
    <t>5.02.02.03.0130</t>
  </si>
  <si>
    <t>INDENNITA A PERSONALE UNIVERSITARIO - DIRIGENTE TECNICO - CONTRIBUTO AOUP X FORMAZIONE DT UNIVERSITA</t>
  </si>
  <si>
    <t>5.02.02.03.0131</t>
  </si>
  <si>
    <t>INDENNITA A PERSONALE UNIVERSITARIO - DIRIGENTE TECNICO - EMOLUMENTI DERIVATI DA ENTI ESTERNI DT UNIVERSITA</t>
  </si>
  <si>
    <t>5.02.02.03.0132</t>
  </si>
  <si>
    <t>INDENNITA A PERSONALE UNIVERSITARIO - DIRIGENTE AMMINISTRATIVO - PROGETTI A CARICO AZIENDA UNIVERSITA</t>
  </si>
  <si>
    <t>5.02.02.03.0133</t>
  </si>
  <si>
    <t>INDENNITA A PERSONALE UNIVERSITARIO - DIRIGENTE AMMINISTRATIVO - CONTRIBUTO AOUP X FORMAZIONE DA UNIVERSITA</t>
  </si>
  <si>
    <t>5.02.02.03.0134</t>
  </si>
  <si>
    <t>INDENNITA A PERSONALE UNIVERSITARIO - DIRIGENTE AMMINISTRATIVO - EMOLUMENTI DERIVANTI DA ENTI ESTERNI (CORSI DI FORMAZ. AIDS E ALTRI)</t>
  </si>
  <si>
    <t>5.02.02.03.0201</t>
  </si>
  <si>
    <t>INDENNITA A PERSONALE UNIVERSITARIO - DIRIGENTE PROFESSIONALE - FONDO DI POSIZIONE</t>
  </si>
  <si>
    <t>Indennità a personale universitario - Dirigente PTA - Fondo di posizione</t>
  </si>
  <si>
    <t>5.02.02.03.0202</t>
  </si>
  <si>
    <t>INDENNITA A PERSONALE UNIVERSITARIO - DIRIGENTE TECNICO - FONDO DI POSIZIONE</t>
  </si>
  <si>
    <t>5.02.02.03.0203</t>
  </si>
  <si>
    <t>INDENNITA A PERSONALE UNIVERSITARIO - DIRIGENTE AMMINISTRATIVO - FONDO DI POSIZIONE</t>
  </si>
  <si>
    <t>5.02.02.03.0301</t>
  </si>
  <si>
    <t>INDENNITA A PERSONALE UNIVERSITARIO - DIRIGENTE PROFESSIONALE - FONDO PER PARTICOLARI CONDIZIONI DI LAVORO</t>
  </si>
  <si>
    <t>Indennità a personale universitario - Dirigente PTA - Fondo per particolari condizioni di lavoro</t>
  </si>
  <si>
    <t>5.02.02.03.0302</t>
  </si>
  <si>
    <t>INDENNITA A PERSONALE UNIVERSITARIO - DIRIGENTE TECNICO - FONDO PER PARTICOLARI CONDIZIONI DI LAVORO</t>
  </si>
  <si>
    <t>5.02.02.03.0303</t>
  </si>
  <si>
    <t>INDENNITA A PERSONALE UNIVERSITARIO - DIRIGENTE AMMINISTRATIVO- FONDO PER PARTICOLARI CONDIZIONI DI LAVORO</t>
  </si>
  <si>
    <t>5.02.02.03.0304</t>
  </si>
  <si>
    <t>INDENNITA A PERSONALE UNIVERSITARIO - DIRIGENTE PROFESSIONALE - INTERVENTI SOCIO ASSISTENZIALI</t>
  </si>
  <si>
    <t>5.02.02.03.0305</t>
  </si>
  <si>
    <t>INDENNITA A PERSONALE UNIVERSITARIO - DIRIGENTE TECNICO - INTERVENTI SOCIO ASSISTENZIALI</t>
  </si>
  <si>
    <t>5.02.02.03.0306</t>
  </si>
  <si>
    <t>INDENNITA A PERSONALE UNIVERSITARIO - DIRIGENTE AMMINISTRATIVO- INTERVENTI SOCIO ASSISTENZIALI</t>
  </si>
  <si>
    <t>5.02.02.03.0307</t>
  </si>
  <si>
    <t>INDENNITA A PERSONALE UNIVERSITARI FONDO TRATT. ACCESSORIO DIRIGENZAPTOF. UNIVERITARIA</t>
  </si>
  <si>
    <t>5.02.02.03.0309</t>
  </si>
  <si>
    <t>INDENNITA A PERSONALE UNIVERSITARIO - DIRIGENTE AMMINISTRATIVO- FONDO TRATTAMENTO ACCESSORIO</t>
  </si>
  <si>
    <t>5.02.02.03.0401</t>
  </si>
  <si>
    <t>INDENNITA A PERSONALE UNIVERSITARIO - DIRIGENTE PROFESSIONALE - FONDO DI RISULTATO</t>
  </si>
  <si>
    <t>Indennità a personale universitario - Dirigente PTA - Fondo di risultato</t>
  </si>
  <si>
    <t>5.02.02.03.0402</t>
  </si>
  <si>
    <t>INDENNITA A PERSONALE UNIVERSITARIO - DIRIGENTE TECNICO - FONDO DI RISULTATO</t>
  </si>
  <si>
    <t>5.02.02.03.0403</t>
  </si>
  <si>
    <t>INDENNITA A PERSONALE UNIVERSITARIO - DIRIGENTE AMMINISTRATIVO - FONDO DI RISULTATO</t>
  </si>
  <si>
    <t>5.02.02.03.0501</t>
  </si>
  <si>
    <t>INDENNITA A PERSONALE UNIVERSITARIO - DIRIGENTE PROFESSIONALE - INPDAP-CPDEL</t>
  </si>
  <si>
    <t>Indennità a personale universitario - Dirigente PTA - Oneri</t>
  </si>
  <si>
    <t>5.02.02.03.0502</t>
  </si>
  <si>
    <t>INDENNITA A PERSONALE UNIVERSITARIO - DIRIGENTE PROFESSIONALE - INPDAP-INADEL</t>
  </si>
  <si>
    <t>5.02.02.03.0503</t>
  </si>
  <si>
    <t>INDENNITA A PERSONALE UNIVERSITARIO - DIRIGENTE PROFESSIONALE - INPDAP-TESORO</t>
  </si>
  <si>
    <t>5.02.02.03.0504</t>
  </si>
  <si>
    <t>INDENNITA A PERSONALE UNIVERSITARIO - DIRIGENTE PROFESSIONALE - INPDAP-ENPEDEP</t>
  </si>
  <si>
    <t>5.02.02.03.0505</t>
  </si>
  <si>
    <t>INDENNITA A PERSONALE UNIVERSITARIO - DIRIGENTE PROFESSIONALE - INPS</t>
  </si>
  <si>
    <t>5.02.02.03.0506</t>
  </si>
  <si>
    <t>INDENNITA A PERSONALE UNIVERSITARIO - DIRIGENTE PROFESSIONALE - INAIL</t>
  </si>
  <si>
    <t>5.02.02.03.0507</t>
  </si>
  <si>
    <t>INDENNITA A PERSONALE UNIVERSITARIO - DIRIGENTE PROFESSIONALE - INPDAP-OPERA PREVIDENZA</t>
  </si>
  <si>
    <t>5.02.02.03.0508</t>
  </si>
  <si>
    <t>INDENNITA A PERSONALE UNIVERSITARIO - DIRIGENTE PROFESSIONALE - ALTRI ONERI CONTRIBUTIVI</t>
  </si>
  <si>
    <t>5.02.02.03.0509</t>
  </si>
  <si>
    <t>INDENNITA A PERSONALE UNIVERSITARIO - DIRIGENTE TECNICO - INPDAP-CPDEL</t>
  </si>
  <si>
    <t>5.02.02.03.0510</t>
  </si>
  <si>
    <t>INDENNITA A PERSONALE UNIVERSITARIO - DIRIGENTE TECNICO - INPDAP-INADEL</t>
  </si>
  <si>
    <t>5.02.02.03.0511</t>
  </si>
  <si>
    <t>INDENNITA A PERSONALE UNIVERSITARIO - DIRIGENTE TECNICO - INPDAP-TESORO</t>
  </si>
  <si>
    <t>5.02.02.03.0512</t>
  </si>
  <si>
    <t>INDENNITA A PERSONALE UNIVERSITARIO - DIRIGENTE TECNICO - INPDAP-ENPEDEP</t>
  </si>
  <si>
    <t>5.02.02.03.0513</t>
  </si>
  <si>
    <t>INDENNITA A PERSONALE UNIVERSITARIO - DIRIGENTE TECNICO - INPS</t>
  </si>
  <si>
    <t>5.02.02.03.0514</t>
  </si>
  <si>
    <t>INDENNITA A PERSONALE UNIVERSITARIO - DIRIGENTE TECNICO - INAIL</t>
  </si>
  <si>
    <t>5.02.02.03.0515</t>
  </si>
  <si>
    <t>INDENNITA A PERSONALE UNIVERSITARIO - DIRIGENTE TECNICO - INPDAP-OPERA PREVIDENZA</t>
  </si>
  <si>
    <t>5.02.02.03.0516</t>
  </si>
  <si>
    <t>INDENNITA A PERSONALE UNIVERSITARIO - DIRIGENTE TECNICO - ALTRI ONERI CONTRIBUTIVI</t>
  </si>
  <si>
    <t>5.02.02.03.0517</t>
  </si>
  <si>
    <t>INDENNITA A PERSONALE UNIVERSITARIO - DIRIGENTE AMMINISTRATIVO - INPDAP-CPDEL</t>
  </si>
  <si>
    <t>5.02.02.03.0518</t>
  </si>
  <si>
    <t>INDENNITA A PERSONALE UNIVERSITARIO - DIRIGENTE AMMINISTRATIVO - INPDAP-INADEL</t>
  </si>
  <si>
    <t>5.02.02.03.0519</t>
  </si>
  <si>
    <t>INDENNITA A PERSONALE UNIVERSITARIO - DIRIGENTE AMMINISTRATIVO - INPDAP-TESORO</t>
  </si>
  <si>
    <t>5.02.02.03.0520</t>
  </si>
  <si>
    <t>INDENNITA A PERSONALE UNIVERSITARIO - DIRIGENTE AMMINISTRATIVO - INPDAP-ENPEDEP</t>
  </si>
  <si>
    <t>5.02.02.03.0521</t>
  </si>
  <si>
    <t>INDENNITA A PERSONALE UNIVERSITARIO - DIRIGENTE AMMINISTRATIVO - INPS</t>
  </si>
  <si>
    <t>5.02.02.03.0522</t>
  </si>
  <si>
    <t>INDENNITA A PERSONALE UNIVERSITARIO - DIRIGENTE AMMINISTRATIVO - INAIL</t>
  </si>
  <si>
    <t>5.02.02.03.0523</t>
  </si>
  <si>
    <t>INDENNITA A PERSONALE UNIVERSITARIO - DIRIGENTE AMMINISTRATIVO - INPDAP-OPERA PREVIDENZA</t>
  </si>
  <si>
    <t>5.02.02.03.0524</t>
  </si>
  <si>
    <t>INDENNITA A PERSONALE UNIVERSITARIO - DIRIGENTE AMMINISTRATIVO - ALTRI ONERI CONTRIBUTIVI</t>
  </si>
  <si>
    <t>5.02.02.03.0601</t>
  </si>
  <si>
    <t>INDENNITA A PERSONALE UNIVERSITARIO - COMPARTO PROFESSIONALE- TABELLARE UNIVERSITARA</t>
  </si>
  <si>
    <t xml:space="preserve">Indennità a personale universitario - Comparto non sanitario - Competenze fisse </t>
  </si>
  <si>
    <t>5.02.02.03.0602</t>
  </si>
  <si>
    <t>INDENNITA A PERSONALE UNIVERSITARIO - COMPARTO TECNICO -TABELLARE UNIVERSITARA</t>
  </si>
  <si>
    <t>5.02.02.03.0603</t>
  </si>
  <si>
    <t>INDENNITA A PERSONALE UNIVERSITARIO - COMPARTO AMMINISTRATIVO - TABELLARE UNIVERSITARA</t>
  </si>
  <si>
    <t>5.02.02.03.0604</t>
  </si>
  <si>
    <t>INDENNITA A PERSONALE UNIVERSITARIO - COMPARTO PROFESSIONALE- MANCATO PREAVVISO UNIVERSITARIA</t>
  </si>
  <si>
    <t>5.02.02.03.0605</t>
  </si>
  <si>
    <t>INDENNITA A PERSONALE UNIVERSITARIO - COMPARTO TECNICO -MANCATO PREAVVISO UNIVERSITARIA</t>
  </si>
  <si>
    <t>5.02.02.03.0606</t>
  </si>
  <si>
    <t>INDENNITA A PERSONALE UNIVERSITARIO - COMPARTO AMMINISTRATIVO - MANCATO PREAVVISO UNIVERSITARIA</t>
  </si>
  <si>
    <t>5.02.02.03.0607</t>
  </si>
  <si>
    <t>INDENNITA A PERSONALE UNIVERSITARIO - COMPARTO PROFESSIONALE- LIQUIDAZIONE TFR UNIVERSITA</t>
  </si>
  <si>
    <t>5.02.02.03.0608</t>
  </si>
  <si>
    <t>INDENNITA A PERSONALE UNIVERSITARIO - COMPARTO TECNICO -LIQUIDAZIONE TFR UNIVERSITA</t>
  </si>
  <si>
    <t>5.02.02.03.0609</t>
  </si>
  <si>
    <t>INDENNITA A PERSONALE UNIVERSITARIO - COMPARTO AMMINISTRATIVO - LIQUIDAZIONE TFR UNIVERSITA</t>
  </si>
  <si>
    <t>5.02.02.03.0610</t>
  </si>
  <si>
    <t>INDENNITA A PERSONALE UNIVERSITARIO - COMPARTO PROFESSIONALE- FERIE MATURATE E NON USUFRUITE UNIVERSITA</t>
  </si>
  <si>
    <t>5.02.02.03.0611</t>
  </si>
  <si>
    <t>INDENNITA A PERSONALE UNIVERSITARIO - COMPARTO TECNICO -FERIE MATURATE E NON USUFRUITE UNIVERSITA</t>
  </si>
  <si>
    <t>5.02.02.03.0612</t>
  </si>
  <si>
    <t>INDENNITA A PERSONALE UNIVERSITARIO - COMPARTO AMMINISTRATIVO -FERIE MATURATE E NON USUFRUITE UNIVERSITA</t>
  </si>
  <si>
    <t>5.02.02.03.0613</t>
  </si>
  <si>
    <t>INDENNITA A PERSONALE UNIVERSITARIO - COMPARTO PROFESSIONALE- CONGUAGLIO ART. 31 UNIVERSITA</t>
  </si>
  <si>
    <t>INDENNITA A PERSONALE UNIVERSITARIO - COMPARTO PROFESSIONALE- CONGUAFLIO ART. 31 UNIVERSITA</t>
  </si>
  <si>
    <t>5.02.02.03.0614</t>
  </si>
  <si>
    <t>INDENNITA A PERSONALE UNIVERSITARIO - COMPARTO TECNICO -CONGUAGLIO ART. 31 UNIVERSITA</t>
  </si>
  <si>
    <t>INDENNITA A PERSONALE UNIVERSITARIO - COMPARTO TECNICO -CONGUAFLIO ART. 31 UNIVERSITA</t>
  </si>
  <si>
    <t>5.02.02.03.0615</t>
  </si>
  <si>
    <t>INDENNITA A PERSONALE UNIVERSITARIO - COMPARTO AMMINISTRATIVO - CONGUAGLIO ART. 31 UNIVERSITA</t>
  </si>
  <si>
    <t>INDENNITA A PERSONALE UNIVERSITARIO - COMPARTO AMMINISTRATIVO - CONGUAFLIO ART. 31 UNIVERSITA</t>
  </si>
  <si>
    <t>5.02.02.03.0616</t>
  </si>
  <si>
    <t>INDENNITA A PERSONALE UNIVERSITARIO - COMPARTO PROFESSIONALE- EREDI UNIVERSITA</t>
  </si>
  <si>
    <t>5.02.02.03.0617</t>
  </si>
  <si>
    <t>INDENNITA A PERSONALE UNIVERSITARIO - COMPARTO TECNICO -EREDI UNIVERSITA</t>
  </si>
  <si>
    <t>5.02.02.03.0618</t>
  </si>
  <si>
    <t>INDENNITA A PERSONALE UNIVERSITARIO - COMPARTO AMMINISTRATIVO - EREDI UNIVERSITA</t>
  </si>
  <si>
    <t>5.02.02.03.0619</t>
  </si>
  <si>
    <t>INDENNITA A PERSONALE UNIVERSITARIO - COMPARTO PROFESSIONALE- INDENNITA' DI ATENEO</t>
  </si>
  <si>
    <t>5.02.02.03.0620</t>
  </si>
  <si>
    <t>INDENNITA A PERSONALE UNIVERSITARIO - COMPARTO TECNICO -INDENNITA' DI ATENEO</t>
  </si>
  <si>
    <t>5.02.02.03.0621</t>
  </si>
  <si>
    <t>INDENNITA A PERSONALE UNIVERSITARIO - COMPARTO AMMINISTRATIVO - INDENNITA' DI ATENEO</t>
  </si>
  <si>
    <t>5.02.02.03.0622</t>
  </si>
  <si>
    <t>INDENNITA A PERSONALE UNIVERSITARIO - COMPARTO PROFESSIONALE- ASSEGNI NUCLEO FAMILIARE</t>
  </si>
  <si>
    <t>5.02.02.03.0623</t>
  </si>
  <si>
    <t>INDENNITA A PERSONALE UNIVERSITARIO - COMPARTO TECNICO -ASSEGNI NUCLEO FAMILIARE</t>
  </si>
  <si>
    <t>5.02.02.03.0624</t>
  </si>
  <si>
    <t>INDENNITA A PERSONALE UNIVERSITARIO - COMPARTO AMMINISTRATIVO - ASSEGNI NUCLEO FAMILIARE</t>
  </si>
  <si>
    <t>5.02.02.03.0625</t>
  </si>
  <si>
    <t>INDENNITA A PERSONALE UNIVERSITARIO - COMPARTO TECNICO -COMPENSI PER ATTIVITA' SUES 118 UNIVERSITA</t>
  </si>
  <si>
    <t>5.02.02.03.0626</t>
  </si>
  <si>
    <t>INDENNITA A PERSONALE UNIVERSITARIO - COMPARTO AMMINISTRATIVO - COMPENSI PER ATTIVITA' SUES 118 UNIVERSITA</t>
  </si>
  <si>
    <t>5.02.02.03.0627</t>
  </si>
  <si>
    <t>INDENNITA A PERSONALE UNIVERSITARIO - COMPARTO TECNICO -INDENNITA' MANEGGIO VALORI</t>
  </si>
  <si>
    <t>5.02.02.03.0628</t>
  </si>
  <si>
    <t>INDENNITA A PERSONALE UNIVERSITARIO - COMPARTO AMMINISTRATIVO - INDENNITA' MANEGGIO VALORI</t>
  </si>
  <si>
    <t>5.02.02.03.0629</t>
  </si>
  <si>
    <t>INDENNITA A PERSONALE UNIVERSITARIO - COMPARTO PROFESSIONALE - PROGETTI A CARICO AZIENDA UNIVERSITA</t>
  </si>
  <si>
    <t>5.02.02.03.0630</t>
  </si>
  <si>
    <t>INDENNITA A PERSONALE UNIVERSITARIO - COMPARTO PROFESSIONALE - MOLUMENTI DERIVATI DA ENTI ESTERNI CP UNIVERSITA</t>
  </si>
  <si>
    <t>5.02.02.03.0631</t>
  </si>
  <si>
    <t>INDENNITA A PERSONALE UNIVERSITARIO - COMPARTO TECNICO -PROGETTI A CARICO AZIENDA UNIVERSITA</t>
  </si>
  <si>
    <t>5.02.02.03.0632</t>
  </si>
  <si>
    <t>INDENNITA A PERSONALE UNIVERSITARIO - COMPARTO TECNICO -CONTRIBUTO AOUP X FORMAZIONE CT UNIVERSITA</t>
  </si>
  <si>
    <t>5.02.02.03.0633</t>
  </si>
  <si>
    <t>INDENNITA A PERSONALE UNIVERSITARIO - COMPARTO TECNICO -INDENNITA' DI RESPONS/COORDINAMENTO AOUP CT UNIVERSITA</t>
  </si>
  <si>
    <t>5.02.02.03.0634</t>
  </si>
  <si>
    <t>INDENNITA A PERSONALE UNIVERSITARIO - COMPARTO TECNICO -EMOLUMENTI DERIVATI DA ENTI ESTERNI CT UNIVERSITA</t>
  </si>
  <si>
    <t>5.02.02.03.0635</t>
  </si>
  <si>
    <t>INDENNITA A PERSONALE UNIVERSITARIO - COMPARTO AMMINISTRATIVO - PROGETTI A CARICO AZIENDA UNIVERSITA</t>
  </si>
  <si>
    <t>5.02.02.03.0636</t>
  </si>
  <si>
    <t>INDENNITA A PERSONALE UNIVERSITARIO - COMPARTO AMMINISTRATIVO - CONTRIBUTO AOUP X FORMAZIONE CA UNIVERSITA</t>
  </si>
  <si>
    <t>5.02.02.03.0637</t>
  </si>
  <si>
    <t>INDENNITA A PERSONALE UNIVERSITARIO - COMPARTO AMMINISTRATIVO - EMOLUMENTI DERIVATI DA ENTI ESTERNI CA UNIVERSITA</t>
  </si>
  <si>
    <t>5.02.02.03.0638</t>
  </si>
  <si>
    <t>INDENNITA' DI RESPONS/COORDINAMENTO AOUP CP UNIVERSITA</t>
  </si>
  <si>
    <t>5.02.02.03.0701</t>
  </si>
  <si>
    <t>INDENNITA A PERSONALE UNIVERSITARIO - COMPARTO PROFESSIONALE - SVILUPPO PROFESSIONALE E POSIZIONE ORGANIZZATIVA</t>
  </si>
  <si>
    <t>Indennità a personale universitario - Comparto non sanitario - Fondo per fascie, posizioni organizzative e altre indennità</t>
  </si>
  <si>
    <t>5.02.02.03.0702</t>
  </si>
  <si>
    <t>INDENNITA A PERSONALE UNIVERSITARIO - COMPARTO TECNICO - SVILUPPO PROFESSIONALE E POSIZIONE ORGANIZZATIVA</t>
  </si>
  <si>
    <t>5.02.02.03.0703</t>
  </si>
  <si>
    <t>INDENNITA A PERSONALE UNIVERSITARIO - COMPARTO AMMINISTRATIVO - SVILUPPO PROFESSIONALE E POSIZIONE ORGANIZZATIVA</t>
  </si>
  <si>
    <t>5.02.02.03.0704</t>
  </si>
  <si>
    <t>INDENNITA A PERSONALE UNIVERSITARIO - COMPARTO AMMINISTRATIVO - INDENNITA DI RESPONS/COORDINAMENTO AOUP CA UNIVERSITA</t>
  </si>
  <si>
    <t>5.02.02.03.0801</t>
  </si>
  <si>
    <t>INDENNITA A PERSONALE UNIVERSITARIO - COMPARTO PROFESSIONALE - FONDO PER LAVORO STRAORDINARIO E REMUNERAZIONE DI PARTICOLARI CONDIZIONI</t>
  </si>
  <si>
    <t>Indennità a personale universitario - Comparto non sanitario - Fondo per lavoro straordinario e remunerazione di particolari condizioni di disAFio, pericolo o danno</t>
  </si>
  <si>
    <t>5.02.02.03.0802</t>
  </si>
  <si>
    <t>INDENNITA A PERSONALE UNIVERSITARIO - COMPARTO TECNICO- FONDO PER LAVORO STRAORDINARIO E REMUNERAZIONE DI PARTICOLARI CONDIZIONI DI D</t>
  </si>
  <si>
    <t>5.02.02.03.0803</t>
  </si>
  <si>
    <t>INDENNITA A PERSONALE UNIVERSITARIO - COMPARTO AMMINISTRATIVO- FONDO PER LAVORO STRAORDINARIO E REMUNERAZIONE DI PARTICOLARI CONDIZIONI</t>
  </si>
  <si>
    <t>5.02.02.03.0804</t>
  </si>
  <si>
    <t>INDENNITA A PERSONALE UNIVERSITARIO - COMPARTO PROFESSIONALE - FONTI TRATT. ACCESSORIO CP UNIVERSITA</t>
  </si>
  <si>
    <t>5.02.02.03.0805</t>
  </si>
  <si>
    <t>INDENNITA A PERSONALE UNIVERSITARIO - COMPARTO TECNICO- FONTI TRATT. ACCESSORIO CP UNIVERSITA</t>
  </si>
  <si>
    <t>5.02.02.03.0806</t>
  </si>
  <si>
    <t>INDENNITA A PERSONALE UNIVERSITARIO - COMPARTO AMMINISTRATIVO- FONTI TRATT. ACCESSORIO CP UNIVERSITA</t>
  </si>
  <si>
    <t>5.02.02.03.0807</t>
  </si>
  <si>
    <t>INDENNITA A PERSONALE UNIVERSITARIO - COMPARTO PROFESSIONALE - INTERVENTI SOCIO ASSISTENZIALI AOUP UNIVERSITA</t>
  </si>
  <si>
    <t>5.02.02.03.0808</t>
  </si>
  <si>
    <t>INDENNITA A PERSONALE UNIVERSITARIO - COMPARTO TECNICO- INTERVENTI SOCIO ASSISTENZIALI AOUP UNIVERSITA</t>
  </si>
  <si>
    <t>5.02.02.03.0809</t>
  </si>
  <si>
    <t>INDENNITA A PERSONALE UNIVERSITARIO - COMPARTO AMMINISTRATIVO- INTERVENTI SOCIO ASSISTENZIALI AOUP UNIVERSITA</t>
  </si>
  <si>
    <t>5.02.02.03.0901</t>
  </si>
  <si>
    <t>INDENNITA A PERSONALE UNIVERSITARIO - COMPARTO PROFESSIONALE- FONDO PER PRODUTTIVITA COLLETTIVA PER IL MIGLIORAMENTO DEI SERVIZI E IL PR</t>
  </si>
  <si>
    <t>Indennità a personale universitario - Comparto non sanitario - Fondo per Produttività collettiva per il miglioramento dei servizi e il premio della qualità delle prestazioni individuali</t>
  </si>
  <si>
    <t>5.02.02.03.0902</t>
  </si>
  <si>
    <t>INDENNITA A PERSONALE UNIVERSITARIO - COMPARTO TECNICO - FONDO PER PRODUTTIVITA COLLETTIVA PER IL MIGLIORAMENTO DEI SERVIZI E IL PREMI</t>
  </si>
  <si>
    <t>5.02.02.03.0903</t>
  </si>
  <si>
    <t>INDENNITA A PERSONALE UNIVERSITARIO - COMPARTO AMMINISTRATIVO - FONDO PER PRODUTTIVITA COLLETTIVA PER IL MIGLIORAMENTO DEI SERVIZI E IL</t>
  </si>
  <si>
    <t>5.02.02.03.1001</t>
  </si>
  <si>
    <t>INDENNITA A PERSONALE UNIVERSITARIO - COMPARTO PROFESSIONALE -INPAD-CPDEL UNIVERSITA</t>
  </si>
  <si>
    <t>Indennità a personale universitario - Comparto non sanitario - Oneri</t>
  </si>
  <si>
    <t>5.02.02.03.1002</t>
  </si>
  <si>
    <t>INDENNITA A PERSONALE UNIVERSITARIO - COMPARTO PROFESSIONALE - INPDAP-INADEL UNIVERSITA</t>
  </si>
  <si>
    <t>5.02.02.03.1003</t>
  </si>
  <si>
    <t>INDENNITA A PERSONALE UNIVERSITARIO - COMPARTO PROFESSIONALE - INPDAP-TESORO UNIVERSITA</t>
  </si>
  <si>
    <t>5.02.02.03.1004</t>
  </si>
  <si>
    <t>INDENNITA A PERSONALE UNIVERSITARIO - COMPARTO PROFESSIONALE - INPDAP-ENPDEP UNIVERSITA</t>
  </si>
  <si>
    <t>5.02.02.03.1005</t>
  </si>
  <si>
    <t>INDENNITA A PERSONALE UNIVERSITARIO - COMPARTO PROFESSIONALE - INPS UNIVERSITA</t>
  </si>
  <si>
    <t>5.02.02.03.1006</t>
  </si>
  <si>
    <t>INDENNITA A PERSONALE UNIVERSITARIO - COMPARTO PROFESSIONALE - INAIL UNIVERSITA</t>
  </si>
  <si>
    <t>5.02.02.03.1007</t>
  </si>
  <si>
    <t>INDENNITA A PERSONALE UNIVERSITARIO - COMPARTO PROFESSIONALE - INPDAP-OPERA PREVIDENZA UNIVERSITA</t>
  </si>
  <si>
    <t>5.02.02.03.1008</t>
  </si>
  <si>
    <t>INDENNITA A PERSONALE UNIVERSITARIO - COMPARTO PROFESSIONALE - ALTRI ONERI CONTRIBUTIVI UNIVERSITA</t>
  </si>
  <si>
    <t>5.02.02.03.1009</t>
  </si>
  <si>
    <t>INDENNITA A PERSONALE UNIVERSITARIO - COMPARTO TECNICO-INPDAP-CPDEL UNIVERSITA</t>
  </si>
  <si>
    <t>5.02.02.03.1010</t>
  </si>
  <si>
    <t>INDENNITA A PERSONALE UNIVERSITARIO - COMPARTO TECNICO- INPDAP-INADEL UNIVERSITA</t>
  </si>
  <si>
    <t>5.02.02.03.1011</t>
  </si>
  <si>
    <t>INDENNITA A PERSONALE UNIVERSITARIO - COMPARTO TECNICO- INPDAP-TESOROO UNIVERSITA</t>
  </si>
  <si>
    <t>5.02.02.03.1012</t>
  </si>
  <si>
    <t>INDENNITA A PERSONALE UNIVERSITARIO - COMPARTO TECNICO- INPDAP-ENPDEPP UNIVERSITA</t>
  </si>
  <si>
    <t>5.02.02.03.1013</t>
  </si>
  <si>
    <t>INDENNITA A PERSONALE UNIVERSITARIO - COMPARTO TECNICO- INPS UNIVERSITA</t>
  </si>
  <si>
    <t>5.02.02.03.1014</t>
  </si>
  <si>
    <t>INDENNITA A PERSONALE UNIVERSITARIO - COMPARTO TECNICO- INAIL UNIVERSITA</t>
  </si>
  <si>
    <t>5.02.02.03.1015</t>
  </si>
  <si>
    <t>INDENNITA A PERSONALE UNIVERSITARIO - COMPARTO TECNICO- INPDAP-OPERA PREVIDENZA UNIVERSITA</t>
  </si>
  <si>
    <t>5.02.02.03.1016</t>
  </si>
  <si>
    <t>INDENNITA A PERSONALE UNIVERSITARIO - COMPARTO TECNICO- ALTRI ONERI CONTRIBUTIVI UNIVERSITA</t>
  </si>
  <si>
    <t>5.02.02.03.1017</t>
  </si>
  <si>
    <t>INDENNITA A PERSONALE UNIVERSITARIO - COMPARTO TECNICO- ONERI SOCIALI SU COMPENSI PER ATTIVITA' SUES 118 UNIVERSITA</t>
  </si>
  <si>
    <t>5.02.02.03.1018</t>
  </si>
  <si>
    <t>INDENNITA A PERSONALE UNIVERSITARIO - COMPARTO AMMINISTRATIVO- INPDAP-CPDEL UNIVERSITA</t>
  </si>
  <si>
    <t>5.02.02.03.1019</t>
  </si>
  <si>
    <t>INDENNITA A PERSONALE UNIVERSITARIO - COMPARTO AMMINISTRATIVO- INPDAP-INADEL UNIVERSITA</t>
  </si>
  <si>
    <t>5.02.02.03.1020</t>
  </si>
  <si>
    <t>INDENNITA A PERSONALE UNIVERSITARIO - COMPARTO AMMINISTRATIVO- INPDAP-TESORO UNIVERSITA</t>
  </si>
  <si>
    <t>5.02.02.03.1021</t>
  </si>
  <si>
    <t>INDENNITA A PERSONALE UNIVERSITARIO - COMPARTO AMMINISTRATIVO- INPDAP-ENPDEP UNIVERSITA</t>
  </si>
  <si>
    <t>5.02.02.03.1022</t>
  </si>
  <si>
    <t>INDENNITA A PERSONALE UNIVERSITARIO - COMPARTO AMMINISTRATIVO- INPS UNIVERSITA</t>
  </si>
  <si>
    <t>5.02.02.03.1023</t>
  </si>
  <si>
    <t>INDENNITA A PERSONALE UNIVERSITARIO - COMPARTO AMMINISTRATIVO- INAIL UNIVERSITA</t>
  </si>
  <si>
    <t>5.02.02.03.1024</t>
  </si>
  <si>
    <t>INDENNITA A PERSONALE UNIVERSITARIO - COMPARTO AMMINISTRATIVO- INPDAP-OPERA PREVIDENZA</t>
  </si>
  <si>
    <t>5.02.02.03.1025</t>
  </si>
  <si>
    <t>INDENNITA A PERSONALE UNIVERSITARIO - COMPARTO AMMINISTRATIVO- ALTRI ONERI CONTRIBUTIVI UNIVERSITA</t>
  </si>
  <si>
    <t>5.02.02.03.1026</t>
  </si>
  <si>
    <t>INDENNITA A PERSONALE UNIVERSITARIO - COMPARTO AMMINISTRATIVO-ONERI SOCIALI SU COMPENSI PER ATTIVITA' SUES 118 UNIVERSITA</t>
  </si>
  <si>
    <t>BA1880</t>
  </si>
  <si>
    <t>Formazione (esternalizzata e non)</t>
  </si>
  <si>
    <t xml:space="preserve">B.2.B.3 </t>
  </si>
  <si>
    <t>B.2.B.3) Formazione (esternalizzata e non)</t>
  </si>
  <si>
    <t>5.02.02.04.0101</t>
  </si>
  <si>
    <t>FORMAZIONE (ESTERNALIZZATA E NON) DA PUBBLICO</t>
  </si>
  <si>
    <t>B.2.B.3.1</t>
  </si>
  <si>
    <t>B.2.B.3.1) Formazione (esternalizzata e non) da pubblico</t>
  </si>
  <si>
    <t>5.02.02.04.0102</t>
  </si>
  <si>
    <t>FORMAZIONE (ESTERNALIZZATA E NON) DA PUBBLICO (ASL-)</t>
  </si>
  <si>
    <t>5.02.02.04.0103</t>
  </si>
  <si>
    <t>FORMAZIONE (ESTERNALIZZATA E NON) DA PUBBLICO (-AO, )</t>
  </si>
  <si>
    <t>5.02.02.04.0104</t>
  </si>
  <si>
    <t>FORMAZIONE (ESTERNALIZZATA E NON) DA PUBBLICO ( IRCCS</t>
  </si>
  <si>
    <t>5.02.02.04.0105</t>
  </si>
  <si>
    <t>FORMAZIONE (ESTERNALIZZATA E NON) DA PUBBLICO ( POLICLINICI DELLA REGIONE)</t>
  </si>
  <si>
    <t>5.02.02.04.0106</t>
  </si>
  <si>
    <t>FORMAZIONE (ESTERNALIZZATA E NON) DA PUBBLICO (SPERIMENTAZIONI GESTIONALI</t>
  </si>
  <si>
    <t>5.02.02.04.0201</t>
  </si>
  <si>
    <t>FORMAZIONE (ESTERNALIZZATA E NON) DA PRIVATO</t>
  </si>
  <si>
    <t>B.2.B.3.2</t>
  </si>
  <si>
    <t>B.2.B.3.2) Formazione (esternalizzata e non) da privato</t>
  </si>
  <si>
    <t>5.02.02.04.0202</t>
  </si>
  <si>
    <t>FORMAZIONE (ESTERNALIZZATA E NON) DA UNIVERSITA</t>
  </si>
  <si>
    <t>5.02.02.04.0203</t>
  </si>
  <si>
    <t>FORMAZIONE (ESTERNALIZZATA E NON) DA REGIONE</t>
  </si>
  <si>
    <t>5.02.02.04.0204</t>
  </si>
  <si>
    <t>FORMAZIONE (ESTERNALIZZATA E NON) DA ALTRI</t>
  </si>
  <si>
    <t>5.02.02.04.0205</t>
  </si>
  <si>
    <t>FORMAZIONE DA PRIVATO PER DOCENZE ESTERNE</t>
  </si>
  <si>
    <t>5.02.02.04.0206</t>
  </si>
  <si>
    <t>ALTRI ONERI - COMPENSI PER DOCENZE DEL PERSONALE DIRIGENTE MEDICO</t>
  </si>
  <si>
    <t>5.02.02.04.0207</t>
  </si>
  <si>
    <t>ALTRI ONERI - COMPENSI PER DOCENZE DEL PERSONALE DIRIGENTE NON MEDICO</t>
  </si>
  <si>
    <t>5.02.02.04.0208</t>
  </si>
  <si>
    <t>ALTRI ONERI - COMPENSI PER DOCENZE DEL PERSONALE COMPARTO RUOLO SANITARIO</t>
  </si>
  <si>
    <t>5.02.02.04.0209</t>
  </si>
  <si>
    <t>ALTRI ONERI - COMPENSI PER DOCENZE DEL PERSONALE DIRIGENTE RUOLO PROFESSIONALE</t>
  </si>
  <si>
    <t>5.02.02.04.0210</t>
  </si>
  <si>
    <t>ALTRI ONERI - COMPENSI PER DOCENZE DEL PERSONALE COMPARTO RUOLO PROFESSIONALE</t>
  </si>
  <si>
    <t>5.02.02.04.0211</t>
  </si>
  <si>
    <t>ALTRI ONERI - COMPENSI PER DOCENZE DEL PERSONALE DIRIGENTE RUOLO TECNICO</t>
  </si>
  <si>
    <t>5.02.02.04.0212</t>
  </si>
  <si>
    <t>ALTRI ONERI - COMPENSI PER DOCENZE DEL PERSONALE COMPARTO RUOLO TECNICO</t>
  </si>
  <si>
    <t>5.02.02.04.0213</t>
  </si>
  <si>
    <t>ALTRI ONERI - COMPENSI PER DOCENZE DEL PERSONALE DIRIGENTE RUOLO AMMINISTRATIVO</t>
  </si>
  <si>
    <t>5.02.02.04.0214</t>
  </si>
  <si>
    <t>ALTRI ONERI - COMPENSI PER DOCENZE DEL PERSONALE COMPARTO AMMINISTRATVIO</t>
  </si>
  <si>
    <t>Manutenzione e riparazione (ordinaria esternalizzata)</t>
  </si>
  <si>
    <t xml:space="preserve">B.3 </t>
  </si>
  <si>
    <t>B.3)  Manutenzione e riparazione (ordinaria esternalizzata)</t>
  </si>
  <si>
    <t xml:space="preserve">B.3.A  </t>
  </si>
  <si>
    <t>B.3.A) Manutenzione e riparazione ai fabbricati e loro pertinenze</t>
  </si>
  <si>
    <t>5.03.01.01.0101</t>
  </si>
  <si>
    <t>MANUTENZIONE E RIPARAZIONE AGLI IMPIANTI ELEVATORI</t>
  </si>
  <si>
    <t>MANUTENZIONE E RIPARAZIONE AFLI IMPIANTI ELEVATORI</t>
  </si>
  <si>
    <t>5.03.01.01.0102</t>
  </si>
  <si>
    <t>MANUTENZIONE E RIPARAZIONE AGLI IMMOBILI  ISTITUZIONALI O INDISPONIBILI</t>
  </si>
  <si>
    <t>MANUTENZIONE E RIPARAZIONE AFLI IMMOBILI  ISTITUZIONALI O INDISPONIBILI</t>
  </si>
  <si>
    <t>5.03.01.01.0103</t>
  </si>
  <si>
    <t>MANUTENZIONE E RIPARAZIONE AGLI IMMOBILI DA REDDITO O DISPONIBILI</t>
  </si>
  <si>
    <t>MANUTENZIONE E RIPARAZIONE AFLI IMMOBILI DA REDDITO O DISPONIBILI</t>
  </si>
  <si>
    <t>5.03.01.01.0104</t>
  </si>
  <si>
    <t>MANUTENZIONE E RIPARAZIONE AGLI IMMOBILI DI TERZI</t>
  </si>
  <si>
    <t>MANUTENZIONE E RIPARAZIONE AFLI IMMOBILI DI TERZI</t>
  </si>
  <si>
    <t>RETTIFICA A SEGUITO DI VERIFICA FT RIFERITE A SAL MANUTENZIONE - SPOSTATE IN 1.01.01.04.0101 IMMOB. IMMATERIALI IN CORSO</t>
  </si>
  <si>
    <t>VERIFICARE CORRETTA IMPUTAZIONE</t>
  </si>
  <si>
    <t>Manutenzione e riparazione AFli impianti e macchinari</t>
  </si>
  <si>
    <t xml:space="preserve">B.3.B  </t>
  </si>
  <si>
    <t>B.3.B) Manutenzione e riparazione AFli impianti e macchinari</t>
  </si>
  <si>
    <t>5.03.02.01.0101</t>
  </si>
  <si>
    <t>MANUTENZIONE E RIPARAZIONE MACCHINE</t>
  </si>
  <si>
    <t>5.03.02.01.0102</t>
  </si>
  <si>
    <t>MANUTENZIONE E RIPARAZIONE AGLI IMPIANTI E MACCHINARI</t>
  </si>
  <si>
    <t>MANUTENZIONE E RIPARAZIONE AFLI IMPIANTI E MACCHINARI</t>
  </si>
  <si>
    <t>VERIFICARE CORRETTA IMPUTAZIONE FT EDISON</t>
  </si>
  <si>
    <t>5.03.02.01.0103</t>
  </si>
  <si>
    <t>MANUTENZIONE E RIPARAZIONE AGLI ALTRI BENI MOBILI</t>
  </si>
  <si>
    <t>MANUTENZIONE E RIPARAZIONE AFLI ALTRI BENI MOBILI</t>
  </si>
  <si>
    <t>5.03.02.01.0104</t>
  </si>
  <si>
    <t>MANUTENZIONE E RIPARAZIONE APPARECCHIATURE INFORMATICHE</t>
  </si>
  <si>
    <t>5.03.02.01.0105</t>
  </si>
  <si>
    <t>MANUTENZIONE E RIPARAZIONE ORDINARIA IMPIANTI TELEFONICI</t>
  </si>
  <si>
    <t xml:space="preserve">B.3.C  </t>
  </si>
  <si>
    <t>B.3.C) Manutenzione e riparazione alle attrezzature sanitarie e scientifiche</t>
  </si>
  <si>
    <t>5.03.03.01.0101</t>
  </si>
  <si>
    <t>MANUTENZIONE E RIPARAZIONE ALLE ATTREZZATURE TECNICO-SCIENTICICHE SANITARIE PER ATTIVITA SANITARIA ORDINARIA</t>
  </si>
  <si>
    <t>5.03.03.01.0102</t>
  </si>
  <si>
    <t>MANUTENZIONE E RIPARAZIONE ALLE ATTREZZATURE TECNICO-SCIENTICICHE SANITARIE PER PROGETTI SANITARI</t>
  </si>
  <si>
    <t>5.03.03.01.0103</t>
  </si>
  <si>
    <t>MANUTENZIONE E RIPARAZIONE ALLE ATTREZZATURE TECNICO-SCIENTICICHE SANITARIE PER SPERIMENTAZIONI CLINICHE</t>
  </si>
  <si>
    <t>5.03.03.01.0104</t>
  </si>
  <si>
    <t>MANUTENZIONE E RIPARAZIONE ALLE ATTREZZATURE TECNICO-SCIENTICICHE SANITARIE PER ATTIVITA  LIBERO-PROFESSIONALE</t>
  </si>
  <si>
    <t>5.03.03.01.0105</t>
  </si>
  <si>
    <t>MANUTENZIONE E RIPARAZIONE ALLE ATTREZZATURE TECNICO-SCIENTICICHE SANITARIE PER ATTIVITA COMMERCIALI DIVERSE</t>
  </si>
  <si>
    <t xml:space="preserve">B.3.D  </t>
  </si>
  <si>
    <t>B.3.D) Manutenzione e riparazione ai mobili e arredi</t>
  </si>
  <si>
    <t>5.03.04.01.0101</t>
  </si>
  <si>
    <t>MANUTENZIONE E RIPARAZIONE AI MOBILI E ARREDI</t>
  </si>
  <si>
    <t>B.3.D) ManutenzOone e rOparazOone aO mobOlO e arredO</t>
  </si>
  <si>
    <t>Manutenzione e riparazione AFli automezzi</t>
  </si>
  <si>
    <t xml:space="preserve">B.3.E  </t>
  </si>
  <si>
    <t>B.3.E) Manutenzione e riparazione AFli automezzi</t>
  </si>
  <si>
    <t>5.03.05.01.0101</t>
  </si>
  <si>
    <t>MANUTENZIONE E RIPARAZIONE AGLI AUTOMEZZI SANITARI</t>
  </si>
  <si>
    <t>MANUTENZIONE E RIPARAZIONE AFLI AUTOMEZZI SANITARI</t>
  </si>
  <si>
    <t>5.03.05.01.0102</t>
  </si>
  <si>
    <t>MANUTENZIONE E RIPARAZIONE AGLI AUTOMEZZI NON SANITARI</t>
  </si>
  <si>
    <t>MANUTENZIONE E RIPARAZIONE AFLI AUTOMEZZI NON SANITARI</t>
  </si>
  <si>
    <t xml:space="preserve">B.3.F  </t>
  </si>
  <si>
    <t>B.3.F) Altre manutenzioni e riparazioni</t>
  </si>
  <si>
    <t>5.03.06.01.0101</t>
  </si>
  <si>
    <t>ALTRE MANUTENZIONI E RIPARAZIONI</t>
  </si>
  <si>
    <t xml:space="preserve">B.3.G  </t>
  </si>
  <si>
    <t>B.3.G) Manutenzioni e riparazioni da Aziende sanitarie pubbliche della Regione</t>
  </si>
  <si>
    <t>5.03.07.01.0101</t>
  </si>
  <si>
    <t>MANUTENZIONI E RIPARAZIONI DA AZIENDE SANITARIE PUBBLICHE DELLA REGIONE</t>
  </si>
  <si>
    <t>BA1990</t>
  </si>
  <si>
    <t>Godimento di beni di terzi</t>
  </si>
  <si>
    <t xml:space="preserve">B.4 </t>
  </si>
  <si>
    <t>B.4)   Godimento di beni di terzi</t>
  </si>
  <si>
    <t>BA2000</t>
  </si>
  <si>
    <t>Fitti passivi</t>
  </si>
  <si>
    <t xml:space="preserve">B.4.A  </t>
  </si>
  <si>
    <t>B.4.A)  Fitti passivi</t>
  </si>
  <si>
    <t>Fitti passivi - aresa sanitaria</t>
  </si>
  <si>
    <t>B.4.A) Fitti passivi</t>
  </si>
  <si>
    <t>5.04.01.01.0101</t>
  </si>
  <si>
    <t>FITTI PASSIVI - AREA SANITARIA</t>
  </si>
  <si>
    <t>Fitti passivi - area sanitaria</t>
  </si>
  <si>
    <t>Fitti passivi - area non sanitaria</t>
  </si>
  <si>
    <t>5.04.01.02.0101</t>
  </si>
  <si>
    <t>FITTI PASSIVI - AREA NON SANITARIA</t>
  </si>
  <si>
    <t>VERIFICARE IMPORTI AFFITTI</t>
  </si>
  <si>
    <t>5.04.01.02.0102</t>
  </si>
  <si>
    <t>FITTI PASSIVI - AREA NON SANITARIA -CRT</t>
  </si>
  <si>
    <t>BA2010</t>
  </si>
  <si>
    <t>Canoni di noleggio</t>
  </si>
  <si>
    <t>B.4.B</t>
  </si>
  <si>
    <t>B.4.B)  Canoni di noleggio</t>
  </si>
  <si>
    <t>BA2020</t>
  </si>
  <si>
    <t>Canoni di noleggio - area sanitaria</t>
  </si>
  <si>
    <t xml:space="preserve">B.4.B.1 </t>
  </si>
  <si>
    <t>B.4.B.1) Canoni di noleggio - area sanitaria</t>
  </si>
  <si>
    <t>5.04.02.01.0101</t>
  </si>
  <si>
    <t>CANONI DI NOLEGGIO DI  ATTREZZATURE E MACCHINARI SANITARI) PER ATTIVITA SANITARIA ORDINARIA</t>
  </si>
  <si>
    <t>VERIFICARE COMPETENZA CANONI</t>
  </si>
  <si>
    <t>5.04.02.01.0102</t>
  </si>
  <si>
    <t>CANONI DI NOLEGGIO DI ATTREZZATURE E MACCHINARI SANITARI PER PROGETTI SANITARI</t>
  </si>
  <si>
    <t>5.04.02.01.0103</t>
  </si>
  <si>
    <t>CANONI DI NOLEGGIO DI ATTREZZATURE E MACCHINARI SANITARI PER SPERIMENTAZIONI CLINICHE</t>
  </si>
  <si>
    <t>5.04.02.01.0104</t>
  </si>
  <si>
    <t>CANONI DI NOLEGGIO DI ATTREZZATURE E MACCHINARI SANITAR PER ATTIVITA LIBERO-PROFESSIONALE</t>
  </si>
  <si>
    <t>5.04.02.01.0105</t>
  </si>
  <si>
    <t>CANONI DI NOLEGGIO DI ATTREZZATURE E MACCHINARI SANITARI PER  ATTIVITA COMMERCIALI DIVERSE</t>
  </si>
  <si>
    <t>BA2030</t>
  </si>
  <si>
    <t>Canoni di noleggio - area non sanitaria</t>
  </si>
  <si>
    <t xml:space="preserve">B.4.B.2 </t>
  </si>
  <si>
    <t>B.4.B.2) Canoni di noleggio - area non sanitaria</t>
  </si>
  <si>
    <t>5.04.02.02.0101</t>
  </si>
  <si>
    <t>CANONI DI NOLEGGIO DI SOFTWARE SANITARI PER ATTIVITA SANITARIA ORDINARIA</t>
  </si>
  <si>
    <t>5.04.02.02.0102</t>
  </si>
  <si>
    <t>CANONI DI NOLEGGIO DI SOFTWARE SANITARI PER PROGETTI SANITARI</t>
  </si>
  <si>
    <t>5.04.02.02.0103</t>
  </si>
  <si>
    <t>CANONI DI NOLEGGIO DI SOFTWARE SANITARI PER SPERIMENTAZIONI CLINICHE</t>
  </si>
  <si>
    <t>5.04.02.02.0104</t>
  </si>
  <si>
    <t>CANONI DI NOLEGGIO DI  SOFTWARE SANITARI PER ATTIVITA LIBERO-PROFESSIONALE</t>
  </si>
  <si>
    <t>5.04.02.02.0105</t>
  </si>
  <si>
    <t>CANONI DI NOLEGGIO DI SOFTWARE SANITARI PER ATTIVITA COMMERCIALI DIVERSE</t>
  </si>
  <si>
    <t>5.04.02.02.0106</t>
  </si>
  <si>
    <t>CANONI DI NOLEGGIO DI MEZZI DI TRASPORTO SANITARI</t>
  </si>
  <si>
    <t>5.04.02.02.0107</t>
  </si>
  <si>
    <t>ALTRI CANONI DI NOLEGGIO</t>
  </si>
  <si>
    <t>5.04.02.02.0108</t>
  </si>
  <si>
    <t>CANONI DI NOLEGGIO DI ATTREZZATURE E MACCHINARI NON SANITARI</t>
  </si>
  <si>
    <t>5.04.02.02.0109</t>
  </si>
  <si>
    <t>CANONI DI NOLEGGIO DI SOFTWARE NON SANITARI</t>
  </si>
  <si>
    <t>5.04.02.02.0110</t>
  </si>
  <si>
    <t>CANONI DI NOLEGGIO DI FOTOCOPIATRICI</t>
  </si>
  <si>
    <t>5.04.02.02.0111</t>
  </si>
  <si>
    <t>CANONI DI NOLEGGIO DI MACCHINE EDP</t>
  </si>
  <si>
    <t>5.04.02.02.0112</t>
  </si>
  <si>
    <t>CANONI DI NOLEGGIO DI MEZZI DI TRASPORTO NON SANITARI</t>
  </si>
  <si>
    <t>5.04.02.02.0113</t>
  </si>
  <si>
    <t>ALTRI CANONI DI NOLEGGIO - AREA NON SANITARIA</t>
  </si>
  <si>
    <t>5.04.02.02.0114</t>
  </si>
  <si>
    <t>ALTRI CANONI DI NOLEGGIO - AREA NON SANITARIA INMP</t>
  </si>
  <si>
    <t>BA2040</t>
  </si>
  <si>
    <t>Canoni di leasing</t>
  </si>
  <si>
    <t>B.4.C</t>
  </si>
  <si>
    <t>B.4.C)  Canoni di leasing</t>
  </si>
  <si>
    <t>BA2050</t>
  </si>
  <si>
    <t>Canoni di leasing - area sanitaria</t>
  </si>
  <si>
    <t xml:space="preserve">B.4.C.1 </t>
  </si>
  <si>
    <t>B.4.C.1) Canoni di leasing - area sanitaria</t>
  </si>
  <si>
    <t>5.04.03.01.0101</t>
  </si>
  <si>
    <t>CANONI LEASING ATTREZZATURE E MACCHINARI SANITARI PER ATTIVITA SANITARIA ORDINARIA</t>
  </si>
  <si>
    <t>Canoni di leasing- area sanitaria</t>
  </si>
  <si>
    <t>5.04.03.01.0102</t>
  </si>
  <si>
    <t>CANONI LEASING ATTREZZATURE E MACCHINARI SANITARIPER PROGETTI SANITARI</t>
  </si>
  <si>
    <t>5.04.03.01.0103</t>
  </si>
  <si>
    <t>CANONI LEASING ATTREZZATURE E MACCHINARI SANITARI) PER SPERIMENTAZIONI CLINICHE</t>
  </si>
  <si>
    <t>5.04.03.01.0104</t>
  </si>
  <si>
    <t>CANONI LEASING ATTREZZATURE E MACCHINARI SANITARI PER ATTIVITA LIBERO-PROFESSIONALE</t>
  </si>
  <si>
    <t>5.04.03.01.0105</t>
  </si>
  <si>
    <t>CANONI LEASING ATTREZZATURE E MACCHINARI SANITARI PER ATTIVITA COMMERCIALI DIVERSE</t>
  </si>
  <si>
    <t>5.04.03.01.0106</t>
  </si>
  <si>
    <t>CANONI LEASING MEZZI DI TRASPORTO SANITARI</t>
  </si>
  <si>
    <t>5.04.03.01.0107</t>
  </si>
  <si>
    <t>SERVICE SANITARI PER ATTIVITA SANITARIA ORDINARIA</t>
  </si>
  <si>
    <t>5.04.03.01.0108</t>
  </si>
  <si>
    <t>SERVICE SANITARI PER PROGETTI SANITARI</t>
  </si>
  <si>
    <t>5.04.03.01.0109</t>
  </si>
  <si>
    <t>SERVICE SANITARI PER SPERIMENTAZIONI CLINICHE</t>
  </si>
  <si>
    <t>5.04.03.01.0110</t>
  </si>
  <si>
    <t>SERVICE SANITARI PER ATTIVITA LIBERO-PROFESSIONALE</t>
  </si>
  <si>
    <t>BA2060</t>
  </si>
  <si>
    <t>Canoni di leasing - area non sanitaria</t>
  </si>
  <si>
    <t xml:space="preserve">B.4.C.2 </t>
  </si>
  <si>
    <t>B.4.C.2) Canoni di leasing - area non sanitaria</t>
  </si>
  <si>
    <t>5.04.03.02.0101</t>
  </si>
  <si>
    <t>CANONI LEASING SOFTWARE</t>
  </si>
  <si>
    <t>5.04.03.02.0102</t>
  </si>
  <si>
    <t>ALTRI LEASING</t>
  </si>
  <si>
    <t>5.04.03.02.0103</t>
  </si>
  <si>
    <t>CANONI LEASING ATTREZZATURE E MACCHINARI NON SANITARI</t>
  </si>
  <si>
    <t>5.04.03.02.0104</t>
  </si>
  <si>
    <t>CANONI LEASING MACCHINE EDP</t>
  </si>
  <si>
    <t>5.04.03.02.0105</t>
  </si>
  <si>
    <t>CANONI LEASING MEZZI DI TRASPORTO NON SANITARI</t>
  </si>
  <si>
    <t>5.04.03.02.0106</t>
  </si>
  <si>
    <t>LEASING FINANZIARI</t>
  </si>
  <si>
    <t>5.04.03.02.0107</t>
  </si>
  <si>
    <t>ALTRI LEASING - AREA NON SANITARIA</t>
  </si>
  <si>
    <t>BA2061</t>
  </si>
  <si>
    <t>Canoni di project financing</t>
  </si>
  <si>
    <t xml:space="preserve">B.4.D  </t>
  </si>
  <si>
    <t>B.4.D)  Canoni di project financing</t>
  </si>
  <si>
    <t>5.04.05.01.0101</t>
  </si>
  <si>
    <t>BA2070</t>
  </si>
  <si>
    <t>Locazioni e noleggi da Aziende sanitarie pubbliche della Regione</t>
  </si>
  <si>
    <t>B.4.E</t>
  </si>
  <si>
    <t>B.4.E)  Locazioni e noleggi da Aziende sanitarie pubbliche della Regione</t>
  </si>
  <si>
    <t>B.4.E) Locazioni e noleggi da Aziende sanitarie pubbliche della Regione</t>
  </si>
  <si>
    <t>5.04.04.01.0101</t>
  </si>
  <si>
    <t>LOCAZIONI E NOLEGGI DA ASL-AO, IRCCS, POLICLINICI DELLA REGIONE - AREA SANITARIA</t>
  </si>
  <si>
    <t xml:space="preserve">Locazioni e noleggi da Aziende sanitarie pubbliche della Regione </t>
  </si>
  <si>
    <t>5.04.04.01.0102</t>
  </si>
  <si>
    <t>LOCAZIONI E NOLEGGI DA ASL-AO, IRCCS, POLICLINICI DELLA REGIONE - AREA NON SANITARIA</t>
  </si>
  <si>
    <t>Personale del ruolo sanitario</t>
  </si>
  <si>
    <t xml:space="preserve">B.5 </t>
  </si>
  <si>
    <t>B.5)   Personale del ruolo sanitario</t>
  </si>
  <si>
    <t>B.5.A</t>
  </si>
  <si>
    <t>B.5.A) Costo del personale dirigente ruolo sanitario</t>
  </si>
  <si>
    <t xml:space="preserve">B.5.A.1 </t>
  </si>
  <si>
    <t>B.5.A.1) Costo del personale dirigente medico</t>
  </si>
  <si>
    <t>5.05.01.01.0101</t>
  </si>
  <si>
    <t>COSTO DEL PERSONALE DIRIGENTE MEDICO - TEMPO INDETERMINATO - TABELLARE ED ESCLUSIVITA MEDICA</t>
  </si>
  <si>
    <t>OK SCRITTURE RETTIFICHE - DA DECURTARE COSTO DA PRESTAZIONI AGG.VE -140.768,98 DA SPOSTARE IN BA1400</t>
  </si>
  <si>
    <t>Costo del personale dirigente medico - tempo indeterminato - Competenze fisse</t>
  </si>
  <si>
    <t>B.5.A.1.1</t>
  </si>
  <si>
    <t>B.5.A.1.1) Costo del personale dirigente medico - tempo indeterminato</t>
  </si>
  <si>
    <t>5.05.01.01.0201</t>
  </si>
  <si>
    <t>COSTO DEL PERSONALE DIRIGENTE MEDICO - TEMPO INDETERMINATO - RETRIBUZIONE DI POSIZIONE</t>
  </si>
  <si>
    <t>COSTO DEL PERSONALE DIRIGENTE MEDICO - TEMPO INDETERMINATO - RETRIBUZIONE DEGLI INCARICHI</t>
  </si>
  <si>
    <t>Costo del personale dirigente medico - tempo indeterminato - Retribuzione degli incarichi</t>
  </si>
  <si>
    <t>5.05.01.01.0301</t>
  </si>
  <si>
    <t>COSTO DEL PERSONALE DIRIGENTE MEDICO - TEMPO INDETERMINATO - INDENNITA DA PARTICOLARI CONDIZIONI DI LAVORO</t>
  </si>
  <si>
    <t>Costo del personale dirigente medico - tempo indeterminato - Indennità da particolari condizioni di lavoro</t>
  </si>
  <si>
    <t>5.05.01.01.0401</t>
  </si>
  <si>
    <t>COSTO DEL PERSONALE DIRIGENTE MEDICO - TEMPO INDETERMINATO - RETRIBUZIONE DI RISULTATO</t>
  </si>
  <si>
    <t>Costo del personale dirigente medico - tempo indeterminato - Retribuzione di risultato</t>
  </si>
  <si>
    <t>5.05.01.01.0501</t>
  </si>
  <si>
    <t>INPDAP-CPS DEL PERSONALE DIRIGENTE MEDICO A TEMPO INDETERMINATO</t>
  </si>
  <si>
    <t>Costo del personale dirigente medico - tempo indeterminato - Oneri Sociali</t>
  </si>
  <si>
    <t>5.05.01.01.0502</t>
  </si>
  <si>
    <t>INPDAP - INADEL DEL PERSONALE DIRIGENTE MEDICO A TEMPO INDETERMINATO</t>
  </si>
  <si>
    <t>5.05.01.01.0503</t>
  </si>
  <si>
    <t>INPDAP-TESORO DEL PERSONALE DIRIGENTE MEDICO A TEMPO INDETERMINATO</t>
  </si>
  <si>
    <t>5.05.01.01.0504</t>
  </si>
  <si>
    <t>INAIL DEL PERSONALE DIRIGENTE MEDICO A TEMPO INDETERMINATO</t>
  </si>
  <si>
    <t>5.05.01.01.0505</t>
  </si>
  <si>
    <t>ALTRI ONERI CONTRIBUTIVI DEL PERSONALE DIRIGENTE MEDICO A TEMPO INDETERMINATO</t>
  </si>
  <si>
    <t>5.05.01.01.0601</t>
  </si>
  <si>
    <t>COSTO DEL PERSONALE DIRIGENTE MEDICO - TEMPO INDETERMINATO - ACCANTONAMENTO TFR</t>
  </si>
  <si>
    <t>Costo del personale dirigente medico - tempo indeterminato - Accantonamento TFR</t>
  </si>
  <si>
    <t>5.05.01.01.0701</t>
  </si>
  <si>
    <t>COSTO DEL PERSONALE DIRIGENTE MEDICO - TEMPO INDETERMINATO - COMPENSI  PER ATTIVITA SUES 118</t>
  </si>
  <si>
    <t>Costo del personale dirigente medico - tempo indeterminato - Compensi  per attività SUES 118</t>
  </si>
  <si>
    <t>5.05.01.01.0801</t>
  </si>
  <si>
    <t>COSTO DEL PERSONALE DIRIGENTE MEDICO - TEMPO INDETERMINATO - ONERI SOCIALI SU "COMPENSI  PER ATTIVITA SUES 118"</t>
  </si>
  <si>
    <t>Costo del personale dirigente medico - tempo indeterminato - Oneri sociali su "Compensi  per attività SUES 118"</t>
  </si>
  <si>
    <t>5.05.01.01.0901</t>
  </si>
  <si>
    <t>ALTRI ONERI - FERIE MATURATE E NON USUFRUITE DEL PERSONALE DIRIGENTE MEDICO A TEMPO INDETERMINATO</t>
  </si>
  <si>
    <t>Costo del personale dirigente medico - tempo indeterminato - Altri costi del personale</t>
  </si>
  <si>
    <t>5.05.01.01.0902</t>
  </si>
  <si>
    <t>ALTRI ONERI - MANCATO PREAVVISO DEL PERSONALE DIRIGENTE MEDICO A TEMPO INDETERMINATO</t>
  </si>
  <si>
    <t>5.05.01.01.0903</t>
  </si>
  <si>
    <t>ALTRI ONERI - CAWSE DI SERVIZIO E LIQUIDAZIONE EQUO INDENNIZZO DEL PERSONALE DIRIGENTE MEDICO A TEMPO INDETERMINATO</t>
  </si>
  <si>
    <t>5.05.01.01.0904</t>
  </si>
  <si>
    <t>ALTRI ONERI - EREDI DEL PERSONALE  DIRIGENTE MEDICO A TEMPO INDETERMINATO</t>
  </si>
  <si>
    <t>5.05.01.01.0905</t>
  </si>
  <si>
    <t>ALTRI ONERI - ATTIVITA' LIBERO PROFESSIONALE C/O ENTI ESTERNI DM DEL PERSONALE  DIRIGENTE MEDICO A TEMPO INDETERMINATO</t>
  </si>
  <si>
    <t>5.05.01.01.0906</t>
  </si>
  <si>
    <t>ALTRI ONERI - ASSEGNI FAMILIARI DEL PERSONALE  DIRIGENTE MEDICO A TEMPO INDETERMINATO</t>
  </si>
  <si>
    <t>5.05.01.01.0907</t>
  </si>
  <si>
    <t>ALTRI ONERI - FONDI TRATT.ACCESSORIO D.M. DEL PERSONALE  DIRIGENTE MEDICO A TEMPO INDETERMINATO -</t>
  </si>
  <si>
    <t>5.05.01.01.0908</t>
  </si>
  <si>
    <t>ALTRI ONERI -EMOLUMENTI DERIVANTI DA ENTI ESTERNI (CORSI FORMAZIONE AIDS E ALTRI RIMBORSI) DEL PERSONALE  DIRIGENTE MEDICO A TEMPO INDET</t>
  </si>
  <si>
    <t>5.05.01.01.0909</t>
  </si>
  <si>
    <t>ALTRI ONERI PERSONALE DIR. MEDICO A TEMPO INDETERMINATO</t>
  </si>
  <si>
    <t>5.05.01.01.1001</t>
  </si>
  <si>
    <t>COSTO DEL PERSONALE DIRIGENTE MEDICO - TEMPO DETERMINATO - TABELLARE ED ESCLUSIVITA' MEDICA</t>
  </si>
  <si>
    <t>Costo del personale dirigente medico - tempo determinato - Competenze fisse</t>
  </si>
  <si>
    <t>B.5.A.1.2</t>
  </si>
  <si>
    <t>B.5.A.1.2) Costo del personale dirigente medico - tempo determinato</t>
  </si>
  <si>
    <t>5.05.01.01.1101</t>
  </si>
  <si>
    <t>COSTO DEL PERSONALE DIRIGENTE MEDICO - TEMPO DETERMINATO - RETRIBUZIONE DI POSIZIONE</t>
  </si>
  <si>
    <t>Costo del personale dirigente medico - tempo determinato - Retribuzione degli incarichi</t>
  </si>
  <si>
    <t>5.05.01.01.1201</t>
  </si>
  <si>
    <t>COSTO DEL PERSONALE DIRIGENTE MEDICO - TEMPO DETERMINATO - INDENNITA DA PARTICOLARI CONDIZIONI DI LAVORO</t>
  </si>
  <si>
    <t>Costo del personale dirigente medico - tempo determinato - Indennità da particolari condizioni di lavoro</t>
  </si>
  <si>
    <t>5.05.01.01.1301</t>
  </si>
  <si>
    <t>COSTO DEL PERSONALE DIRIGENTE MEDICO - TEMPO DETERMINATO - RETRIBUZIONE DI RISULTATO</t>
  </si>
  <si>
    <t>Costo del personale dirigente medico - tempo determinato - Retribuzione di risultato</t>
  </si>
  <si>
    <t>5.05.01.01.1401</t>
  </si>
  <si>
    <t>INPDAP - CPS DEL PERSONALE DIRIGENTE MEDICO A TEMPO DETERMINATO</t>
  </si>
  <si>
    <t>Costo del personale dirigente medico - tempo determinato - Oneri Sociali</t>
  </si>
  <si>
    <t>5.05.01.01.1402</t>
  </si>
  <si>
    <t>INPDAP - INADEL DEL PERSONALE DIRIGENTE MEDICO A TEMPO DETERMINATO</t>
  </si>
  <si>
    <t>5.05.01.01.1403</t>
  </si>
  <si>
    <t>INPS DEL PERSONALE DIRIGENTE MEDICO A TEMPO DETERMINATO</t>
  </si>
  <si>
    <t>5.05.01.01.1404</t>
  </si>
  <si>
    <t>INPDAP-ENPDEP DEL PERSONALE DIRIGENTE MEDICO A TEMPO DETERMINATO</t>
  </si>
  <si>
    <t>5.05.01.01.1405</t>
  </si>
  <si>
    <t>INPDAP-TESORO DEL PERSONALE DIRIGENTE MEDICO A TEMPO DETERMINATO</t>
  </si>
  <si>
    <t>5.05.01.01.1406</t>
  </si>
  <si>
    <t>INAIL DEL PERSONALE DIRIGENTE MEDICO A TEMPO DETERMINATO</t>
  </si>
  <si>
    <t>5.05.01.01.1407</t>
  </si>
  <si>
    <t>INPDAP-OPERA PREVIDENZA DEL PERSONALE DIRIGENTE MEDICO A TEMPO DETERMINATO</t>
  </si>
  <si>
    <t>5.05.01.01.1408</t>
  </si>
  <si>
    <t>ALTRI ONERI CONTRIBUTIVI DEL PERSONALE DIRIGENTE MEDICO A TEMPO DETERMINATO</t>
  </si>
  <si>
    <t>5.05.01.01.1501</t>
  </si>
  <si>
    <t>COSTO DEL PERSONALE DIRIGENTE MEDICO - TEMPO DETERMINATO - ACCANTONAMENTO TFR</t>
  </si>
  <si>
    <t>Costo del personale dirigente medico - tempo determinato - Accantonamento TFR</t>
  </si>
  <si>
    <t>5.05.01.01.1601</t>
  </si>
  <si>
    <t>COSTO DEL PERSONALE DIRIGENTE MEDICO - TEMPO DETERMINATO - COMPENSI  PER ATTIVITA SUES 118</t>
  </si>
  <si>
    <t>Costo del personale dirigente medico - tempo determinato - Compensi  per attività SUES 118</t>
  </si>
  <si>
    <t>5.05.01.01.1701</t>
  </si>
  <si>
    <t>COSTO DEL PERSONALE DIRIGENTE MEDICO - TEMPO DETERMINATO - ONERI SOCIALI SU "COMPENSI  PER ATTIVITA SUES118"</t>
  </si>
  <si>
    <t>Costo del personale dirigente medico - tempo determinato - Oneri sociali su "Compensi  per attività SUES 118"</t>
  </si>
  <si>
    <t>5.05.01.01.1801</t>
  </si>
  <si>
    <t>ALTRI ONERI - FERIE MATURATE E NON USUFRUITE DEL PERSONALE DIRIGENTE MEDICO A TEMPO DETERMINATO</t>
  </si>
  <si>
    <t>Costo del personale dirigente medico - tempo determinato - Altri costi del personale</t>
  </si>
  <si>
    <t>5.05.01.01.1802</t>
  </si>
  <si>
    <t>ALTRI ONERI - MANCATO PREAVVISO DEL PERSONALE DIRIGENTE MEDICO A TEMPO DETERMINATO</t>
  </si>
  <si>
    <t>5.05.01.01.1803</t>
  </si>
  <si>
    <t>ALTRI ONERI - CAWSE DI SERVIZIO E LIQUIDAZIONE EQUO INDENNIZZO DEL PERSONALE DIRIGENTE MEDICO A TEMPO DETERMINATO</t>
  </si>
  <si>
    <t>5.05.01.01.1804</t>
  </si>
  <si>
    <t>ALTRI ONERI - EREDI DEL PERSONALE  DIRIGENTE MEDICO  A TEMPO DETERMINATO</t>
  </si>
  <si>
    <t>5.05.01.01.1805</t>
  </si>
  <si>
    <t>ALTRI ONERI - ASSEGNI NUCLEO FAMILIAREDEL PERSONALE  DIRIGENTE MEDICO  A TEMPO DETERMINATO</t>
  </si>
  <si>
    <t>5.05.01.01.1806</t>
  </si>
  <si>
    <t>ALTRI ONERI - SPETTANZE PERSONALE COMANDATO T.D. DEL PERSONALE  DIRIGENTE MEDICO  A TEMPO DETERMINATO</t>
  </si>
  <si>
    <t>5.05.01.01.1807</t>
  </si>
  <si>
    <t>ALTRI ONERI - FONDI TRATT. ACCESSORIO DM T.D. DEL PERSONALE  DIRIGENTE MEDICO  A TEMPO DETERMINATO</t>
  </si>
  <si>
    <t>5.05.01.01.1808</t>
  </si>
  <si>
    <t>ALTRI ONERI - INTERVENTI SOCIO ASSISTENZIALI AOUP DM T.D. DEL PERSONALE  DIRIGENTE MEDICO  A TEMPO DETERMINATO</t>
  </si>
  <si>
    <t>5.05.01.01.1809</t>
  </si>
  <si>
    <t>ALTRI ONERI - CONTRIBUTO AOUP X FORMAZIONE DM T.D. DEL PERSONALE  DIRIGENTE MEDICO  A TEMPO DETERMINATO</t>
  </si>
  <si>
    <t>5.05.01.01.1810</t>
  </si>
  <si>
    <t>ALTRI ONERI -INDENNITA' DI ATENEO DM T.D. DEL PERSONALE  DIRIGENTE MEDICO  A TEMPO DETERMINATO</t>
  </si>
  <si>
    <t>5.05.01.01.1811</t>
  </si>
  <si>
    <t>ALTRI ONERI - EMOLUMENTI DERIVATI DA ENTI ESTERNI (CORSI FORM. AIDS E ALTRI RIMBORSI) DM T.D. DEL PERSONALE  DIRIGENTE MEDICO  A TEMPO D</t>
  </si>
  <si>
    <t>5.05.01.01.1901</t>
  </si>
  <si>
    <t>COSTO DEL PERSONALE DIRIGENTE MEDICO  - ALTRO</t>
  </si>
  <si>
    <t>Costo del personale dirigente medico  - altro</t>
  </si>
  <si>
    <t>B.5.A.1.3</t>
  </si>
  <si>
    <t>B.5.A.1.3) Costo del personale dirigente medico - altro</t>
  </si>
  <si>
    <t xml:space="preserve">B.5.A.2 </t>
  </si>
  <si>
    <t>B.5.A.2) Costo del personale dirigente non medico</t>
  </si>
  <si>
    <t>5.05.01.02.0101</t>
  </si>
  <si>
    <t>COSTO DEL PERSONALE DIRIGENTE NON MEDICO - TEMPO INDETERMINATO - TABELLARE ED ESCLUSIVITA</t>
  </si>
  <si>
    <t>Costo del personale dirigente non medico - tempo indeterminato - Competenze fisse</t>
  </si>
  <si>
    <t>B.5.A.2.1</t>
  </si>
  <si>
    <t>B.5.A.2.1) Costo del personale dirigente non medico - tempo indeterminato</t>
  </si>
  <si>
    <t>5.05.01.02.0201</t>
  </si>
  <si>
    <t>COSTO DEL PERSONALE DIRIGENTE NON MEDICO - TEMPO INDETERMINATO - RETRIBUZIONE DI POSIZIONE</t>
  </si>
  <si>
    <t>Costo del personale dirigente non medico - tempo indeterminato - Retribuzione degli incarichi</t>
  </si>
  <si>
    <t>5.05.01.02.0301</t>
  </si>
  <si>
    <t>COSTO DEL PERSONALE DIRIGENTE NON MEDICO - TEMPO INDETERMINATO - INDENNITA DA PARTICOLARI CONDIZIONI DI LAVORO</t>
  </si>
  <si>
    <t>Costo del personale dirigente non medico - tempo indeterminato - Indennità da particolari condizioni di lavoro</t>
  </si>
  <si>
    <t>5.05.01.02.0401</t>
  </si>
  <si>
    <t>COSTO DEL PERSONALE DIRIGENTE NON MEDICO - TEMPO INDETERMINATO - RETRIBUZIONE DI RISULTATO</t>
  </si>
  <si>
    <t>Costo del personale dirigente non medico - tempo indeterminato - Retribuzione di risultato</t>
  </si>
  <si>
    <t>5.05.01.02.0501</t>
  </si>
  <si>
    <t>INPDAP - CPS DEL PERSONALE DIRIGENTE NON MEDICO A TEMPO INDETERMINATO</t>
  </si>
  <si>
    <t>Costo del personale dirigente non medico - tempo indeterminato - Oneri Sociali</t>
  </si>
  <si>
    <t>5.05.01.02.0502</t>
  </si>
  <si>
    <t>INPDAP - INADEL DEL PERSONALE DIRIGENTE NON MEDICO A TEMPO INDETERMINATO</t>
  </si>
  <si>
    <t>5.05.01.02.0503</t>
  </si>
  <si>
    <t>INPS DEL PERSONALE DIRIGENTE NON MEDICO A TEMPO INDETERMINATO</t>
  </si>
  <si>
    <t>5.05.01.02.0504</t>
  </si>
  <si>
    <t>ALTRI ONERI CONTRIBUTIVI DEL PERSONALE DIRIGENTE NON MEDICO A TEMPO INDETERMINATO</t>
  </si>
  <si>
    <t>5.05.01.02.0505</t>
  </si>
  <si>
    <t>INAIL DEL PERSONALE DIRIGENTE NON MEDICO A TEMPO INDETERMINATO</t>
  </si>
  <si>
    <t>5.05.01.02.0506</t>
  </si>
  <si>
    <t>INPDAP-CPDEL DEL PERSONALE DIRIGENTE NON MEDICO A TEMPO INDETERMINATO</t>
  </si>
  <si>
    <t>5.05.01.02.0601</t>
  </si>
  <si>
    <t>COSTO DEL PERSONALE DIRIGENTE NON MEDICO - TEMPO INDETERMINATO - ACCANTONAMENTO TFR</t>
  </si>
  <si>
    <t>Costo del personale dirigente non medico - tempo indeterminato - Accantonamento TFR</t>
  </si>
  <si>
    <t>5.05.01.02.0701</t>
  </si>
  <si>
    <t>COSTO DEL PERSONALE DIRIGENTE NON MEDICO - TEMPO INDETERMINATO - COMPENSI  PER ATTIVITA SUES 118</t>
  </si>
  <si>
    <t>Costo del personale dirigente non medico - tempo indeterminato - Compensi  per attività SUES 118</t>
  </si>
  <si>
    <t>5.05.01.02.0801</t>
  </si>
  <si>
    <t>COSTO DEL PERSONALE DIRIGENTE NON MEDICO - TEMPO INDETERMINATO - ONERI SOCIALI SU "COMPENSI  PER ATTIVITA SUES 118"</t>
  </si>
  <si>
    <t>Costo del personale dirigente non medico - tempo indeterminato - Oneri sociali su "Compensi  per attività SUES 118"</t>
  </si>
  <si>
    <t>5.05.01.02.0901</t>
  </si>
  <si>
    <t>ALTRI ONERI - FERIE MATURATE E NON USUFRUITE DEL DIRIGENTE NON MEDICO A TEMPO INDETERMINATO</t>
  </si>
  <si>
    <t>Costo del personale dirigente non medico - tempo indeterminato - Altri costi del personale</t>
  </si>
  <si>
    <t>5.05.01.02.0902</t>
  </si>
  <si>
    <t>ALTRI ONERI - MANCATO PREAVVISO  DEL PERSONALE DIRIGENTE NON MEDICO A TEMPO INDETERMINATO</t>
  </si>
  <si>
    <t>5.05.01.02.0903</t>
  </si>
  <si>
    <t>ALTRI ONERI - CAWSE DI SERVIZIO E LIQUIDAZIONE EQUO INDENNIZZO DEL PERSONALE DIRIGENTE NON MEDICO A TEMPO INDETERMINATO</t>
  </si>
  <si>
    <t>5.05.01.02.0904</t>
  </si>
  <si>
    <t>ALTRI ONERI - EREDI DEL PERSONALE DIRIGENTE NON MEDICO A TEMPO INDETERMINATO</t>
  </si>
  <si>
    <t>5.05.01.02.0905</t>
  </si>
  <si>
    <t>ALTRI ONERI -ASSEGNI FAMILIARI DEL PERSONALE DIRIGENTE NON MEDICO A TEMPO INDETERMINATO</t>
  </si>
  <si>
    <t>5.05.01.02.0906</t>
  </si>
  <si>
    <t>ALTRI ONERI -FONDI TRATT.ACCESSORIO D.S. DEL PERSONALE DIRIGENTE NON MEDICO A TEMPO INDETERMINATO</t>
  </si>
  <si>
    <t>5.05.01.02.1001</t>
  </si>
  <si>
    <t>COSTO DEL PERSONALE DIRIGENTE NON MEDICO - TEMPO DETERMINATO - TABELLARE ED SCLUSIVITA</t>
  </si>
  <si>
    <t>Costo del personale dirigente non medico - tempo determinato - Competenze fisse</t>
  </si>
  <si>
    <t>B.5.A.2.2</t>
  </si>
  <si>
    <t>B.5.A.2.2) Costo del personale dirigente non medico - tempo determinato</t>
  </si>
  <si>
    <t>5.05.01.02.1101</t>
  </si>
  <si>
    <t>COSTO DEL PERSONALE DIRIGENTE NON MEDICO - TEMPO DETERMINATO - RETRIBUZIONE DI POSIZIONE</t>
  </si>
  <si>
    <t>COSTO DEL PERSONALE DIRIGENTE NON MEDICO - TEMPO DETERMINATO - Retribuzione degli incarichi</t>
  </si>
  <si>
    <t>Costo del personale dirigente non medico - tempo determinato - Retribuzione degli incarichi</t>
  </si>
  <si>
    <t>5.05.01.02.1201</t>
  </si>
  <si>
    <t>COSTO DEL PERSONALE DIRIGENTE NON MEDICO - TEMPO DETERMINATO - INDENNITA DA PARTICOLARI CONDIZIONI DI LAVORO</t>
  </si>
  <si>
    <t>Costo del personale dirigente non medico - tempo determinato - Indennità da particolari condizioni di lavoro</t>
  </si>
  <si>
    <t>5.05.01.02.1301</t>
  </si>
  <si>
    <t>COSTO DEL PERSONALE DIRIGENTE NON MEDICO - TEMPO DETERMINATO - RETRIBUZIONE DI RISULTATO</t>
  </si>
  <si>
    <t>Costo del personale dirigente non medico - tempo determinato - Retribuzione di risultato</t>
  </si>
  <si>
    <t>5.05.01.02.1401</t>
  </si>
  <si>
    <t>INPDAP - CPS DEL PERSONALE DIRIGENTE NON MEDICO A TEMPO DETERMINATO</t>
  </si>
  <si>
    <t>Costo del personale dirigente non medico - tempo determinato - Oneri Sociali</t>
  </si>
  <si>
    <t>5.05.01.02.1402</t>
  </si>
  <si>
    <t>INPDAP - INADEL DEL PERSONALE DIRIGENTE NON MEDICO A TEMPO DETERMINATO</t>
  </si>
  <si>
    <t>5.05.01.02.1403</t>
  </si>
  <si>
    <t>INPS DEL PERSONALE DIRIGENTE NON MEDICO A TEMPO DETERMINATO</t>
  </si>
  <si>
    <t>5.05.01.02.1404</t>
  </si>
  <si>
    <t>INPADAP-TESORO DEL PERSONALE DIRIGENTE NON MEDICO A TEMPO DETERMINATO</t>
  </si>
  <si>
    <t>5.05.01.02.1405</t>
  </si>
  <si>
    <t>INPDAP-ENPDEP DEL PERSONALE DIRIGENTE NON MEDICO A TEMPO DETERMINATO</t>
  </si>
  <si>
    <t>5.05.01.02.1406</t>
  </si>
  <si>
    <t>INPDAP-CPDEL DEL PERSONALE DIRIGENTE NON MEDICO A TEMPO DETERMINATO</t>
  </si>
  <si>
    <t>5.05.01.02.1407</t>
  </si>
  <si>
    <t>INAIL DEL PERSONALE DIRIGENTE NON MEDICO A TEMPO DETERMINATO</t>
  </si>
  <si>
    <t>5.05.01.02.1408</t>
  </si>
  <si>
    <t>INPDAP-OPERA PREVIDENZA DEL PERSONALE DIRIGENTE NON MEDICO A TEMPO DETERMINATO</t>
  </si>
  <si>
    <t>5.05.01.02.1409</t>
  </si>
  <si>
    <t>ALTRI ONERI CONTRIBUTIVI DEL PERSONALE DIRIGENTE NON MEDICO A TEMPO DETERMINATO</t>
  </si>
  <si>
    <t>5.05.01.02.1501</t>
  </si>
  <si>
    <t>COSTO DEL PERSONALE DIRIGENTE NON MEDICO - TEMPO DETERMINATO - ACCANTONAMENTO TFR</t>
  </si>
  <si>
    <t>Costo del personale dirigente non medico - tempo determinato - Accantonamento TFR</t>
  </si>
  <si>
    <t>5.05.01.02.1601</t>
  </si>
  <si>
    <t>COSTO DEL PERSONALE DIRIGENTE NON MEDICO - TEMPO DETERMINATO - COMPENSI  PER ATTIVITA SUES 118</t>
  </si>
  <si>
    <t>Costo del personale dirigente non medico - tempo determinato - Compensi  per attività SUES 118</t>
  </si>
  <si>
    <t>5.05.01.02.1701</t>
  </si>
  <si>
    <t>COSTO DEL PERSONALE DIRIGENTE NON MEDICO - TEMPO DETERMINATO - ONERI SOCIALI SU "COMPENSI  PER ATTIVITA SUES 118"</t>
  </si>
  <si>
    <t>Costo del personale dirigente non medico - tempo determinato - Oneri sociali su "Compensi  per attività SUES 118"</t>
  </si>
  <si>
    <t>5.05.01.02.1801</t>
  </si>
  <si>
    <t>ALTRI ONERI - FERIE MATURATE E NON USUFRUITE DEL DIRIGENTE NON MEDICO A TEMPO DETERMINATO</t>
  </si>
  <si>
    <t>Costo del personale dirigente non medico - tempo determinato - Altri costi del personale</t>
  </si>
  <si>
    <t>5.05.01.02.1802</t>
  </si>
  <si>
    <t>ALTRI ONERI - MANCATO PREAVVISO  DEL PERSONALE DIRIGENTE NON MEDICO A TEMPO DETERMINATO</t>
  </si>
  <si>
    <t>5.05.01.02.1803</t>
  </si>
  <si>
    <t>ALTRI ONERI - CAWSE DI SERVIZIO E LIQUIDAZIONE EQUO INDENNIZZO DEL PERSONALE DIRIGENTE NON MEDICO A TEMPO DETERMINATO</t>
  </si>
  <si>
    <t>5.05.01.02.1804</t>
  </si>
  <si>
    <t>ALTRI ONERI - EREDI DEL PERSONALE DIRIGENTE NON MEDICO A TEMPO DETERMINATO</t>
  </si>
  <si>
    <t>5.05.01.02.1805</t>
  </si>
  <si>
    <t>ALTRI ONERI - ASSEGNI NUCLEO FAMILIARE DEL PERSONALE DIRIGENTE NON MEDICO A TEMPO DETERMINATO</t>
  </si>
  <si>
    <t>5.05.01.02.1806</t>
  </si>
  <si>
    <t>ALTRI ONERI -LIQUIDAZIONE TFR DS T.D.DEL PERSONALE DIRIGENTE NON MEDICO A TEMPO DETERMINATO</t>
  </si>
  <si>
    <t>5.05.01.02.1807</t>
  </si>
  <si>
    <t>ALTRI ONERI -SPETTANZE PERSONALE COMANDATO DS T.D. DEL PERSONALE DIRIGENTE NON MEDICO A TEMPO DETERMINATO</t>
  </si>
  <si>
    <t>5.05.01.02.1808</t>
  </si>
  <si>
    <t>ALTRI ONERI - FONDI TRATT. ACCESSORIO DS T.D.DEL PERSONALE DIRIGENTE NON MEDICO A TEMPO DETERMINATO</t>
  </si>
  <si>
    <t>5.05.01.02.1809</t>
  </si>
  <si>
    <t>ALTRI ONERI - INTERVENTI SOCIO ASSISTENZIALI AOUP DS T.D. DEL PERSONALE DIRIGENTE NON MEDICO A TEMPO DETERMINATO</t>
  </si>
  <si>
    <t>5.05.01.02.1810</t>
  </si>
  <si>
    <t>ALTRI ONERI - CONTRIBUTO AOUP X FORMAZIONE DS T.D. DEL PERSONALE DIRIGENTE NON MEDICO A TEMPO DETERMINATO</t>
  </si>
  <si>
    <t>5.05.01.02.1811</t>
  </si>
  <si>
    <t>ALTRI ONERI - INDENNITA' DI ATENEO DS T.D. DEL PERSONALE DIRIGENTE NON MEDICO A TEMPO DETERMINATO</t>
  </si>
  <si>
    <t>5.05.01.02.1812</t>
  </si>
  <si>
    <t>ALTRI ONERI - EMOLUMENTI DERIVATI DA ENTI ESTERNI (CORSI FORMAZIONE AIDS E ALTRI RIMBORSI) DS T.D.DEL PERSONALE DIRIGENTE NON MEDICO A T</t>
  </si>
  <si>
    <t>5.05.01.02.1901</t>
  </si>
  <si>
    <t>COSTO DEL PERSONALE DIRIGENTE NON MEDICO - ALTRO</t>
  </si>
  <si>
    <t>B.5.A.2.3</t>
  </si>
  <si>
    <t>B.5.A.2.3) Costo del personale dirigente non medico - altro</t>
  </si>
  <si>
    <t>B.5.B</t>
  </si>
  <si>
    <t>B.5.B) Costo del personale comparto ruolo sanitario</t>
  </si>
  <si>
    <t xml:space="preserve">B.5.B.1 </t>
  </si>
  <si>
    <t>B.5.B.1) Costo del personale comparto ruolo sanitario - tempo indeterminato</t>
  </si>
  <si>
    <t>5.05.02.01.0101</t>
  </si>
  <si>
    <t>COSTO DEL PERSONALE COMPARTO RUOLO SANITARIO - TEMPO INDETERMINATO - TABELLARE</t>
  </si>
  <si>
    <t>Costo del personale comparto ruolo sanitario - tempo indeterminato - Competenze fisse</t>
  </si>
  <si>
    <t>5.05.02.01.0501</t>
  </si>
  <si>
    <t>INPDAP - CPDEL DEL PERSONALE COMPARTO RUOLO SANITARIO A TEMPO INDETERMINATO</t>
  </si>
  <si>
    <t>Costo del personale comparto ruolo sanitario - tempo indeterminato - Oneri Sociali</t>
  </si>
  <si>
    <t>5.05.02.01.0502</t>
  </si>
  <si>
    <t>INPDAP - INADEL A TEMPO INDETERMINATO</t>
  </si>
  <si>
    <t>5.05.02.01.0503</t>
  </si>
  <si>
    <t>INPS DEL PERSONALE COMPARTO RUOLO SANITARIO A TEMPO INDETERMINATO</t>
  </si>
  <si>
    <t>5.05.02.01.0504</t>
  </si>
  <si>
    <t>INAIL DEL PERSONALE COMPARTO RUOLO SANITARIO A TEMPO INDETERMINATO</t>
  </si>
  <si>
    <t>5.05.02.01.0505</t>
  </si>
  <si>
    <t>INPDAP-OPERA PREVIDENZA DEL PERSONALE COMPARTO RUOLO SANITARIO A TEMPO INDETERMINATO</t>
  </si>
  <si>
    <t>5.05.02.01.0506</t>
  </si>
  <si>
    <t>ALTRI ONERI CONTRIBUTIVI DEL PERSONALE COMPARTO RUOLO SANITARIO A TEMPO INDETERMINATO</t>
  </si>
  <si>
    <t>5.05.02.01.0507</t>
  </si>
  <si>
    <t>INPDAP-TESORO DEL PERSONALE COMPARTO RUOLO SANITARIO A TEMPO INDETERMINATO</t>
  </si>
  <si>
    <t>5.05.02.01.0601</t>
  </si>
  <si>
    <t>COSTO DEL PERSONALE COMPARTO RUOLO SANITARIO - TEMPO INDETERMINATO - ACCANTONAMENTO TFR</t>
  </si>
  <si>
    <t>Costo del personale comparto ruolo sanitario - tempo indeterminato - Accantonamento TFR</t>
  </si>
  <si>
    <t>5.05.02.01.0701</t>
  </si>
  <si>
    <t>COSTO DEL PERSONALE COMPARTO RUOLO SANITARIO - TEMPO INDETERMINATO - COMPENSI  PER ATTIVITA SUES 118</t>
  </si>
  <si>
    <t>Costo del personale comparto ruolo sanitario - tempo indeterminato - Compensi per attività SUES 118</t>
  </si>
  <si>
    <t>5.05.02.01.0801</t>
  </si>
  <si>
    <t>COSTO DEL PERSONALE COMPARTO RUOLO SANITARIO - TEMPO INDETERMINATO - ONERI SOCIALI SU "COMPENSI  PER ATTIVITA SUES 118"</t>
  </si>
  <si>
    <t>Costo del personale comparto ruolo sanitario - tempo indeterminato - Oneri sociali su "Compensi  per attività SUES 118"</t>
  </si>
  <si>
    <t>5.05.02.01.0901</t>
  </si>
  <si>
    <t>ALTRI ONERI - CAWSE DI SERVIZIO E LIQUIDAZIONE EQUO INDENNIZZO DEL PERSONALE COMPARTO RUOLO SANITARIO A TEMPO INDETERMINATO</t>
  </si>
  <si>
    <t>Costo del personale comparto ruolo sanitario - tempo indeterminato - Altri costi del personale</t>
  </si>
  <si>
    <t>5.05.02.01.0902</t>
  </si>
  <si>
    <t>ALTRI ONERI - EREDI DEL PERSONALE COMPARTO RUOLO SANITARIO A TEMPO INDETERMINATO</t>
  </si>
  <si>
    <t>5.05.02.01.0903</t>
  </si>
  <si>
    <t>ALTRI ONERI - MANCATO PREAVVISO  DEL PERSONALE COMPARTO RUOLO SANITARIO A TEMPO INDETERMINATO</t>
  </si>
  <si>
    <t>5.05.02.01.0904</t>
  </si>
  <si>
    <t>ALTRI ONERI - ASSEGNI NUCLEO FAMILIAREDEL COMPARTO RUOLO SANITARIO A TEMPO INDETERMINATO</t>
  </si>
  <si>
    <t>5.05.02.01.0906</t>
  </si>
  <si>
    <t>ALTRI ONERI INTERVENTI SOCIO ASSISTENZIALI AOUP CS DEL COMPARTO RUOLO SANITARIO A TEMPO INDETERMINATO</t>
  </si>
  <si>
    <t>5.05.02.01.0908</t>
  </si>
  <si>
    <t>ALTRI ONERI CONTRIBUTO AOUP X FORMAZIONE CS DEL COMPARTO RUOLO SANITARIO A TEMPO INDETERMINATO</t>
  </si>
  <si>
    <t>5.05.02.01.0910</t>
  </si>
  <si>
    <t>ALTRI ONERI EMOLUMENTI DERIVANTI DA ENTI ESTERNI (CORSI DI FORMAZIONE AIDS E ALTRI RIMBORSI) CS DEL COMPARTO RUOLO SANITARIO A TEMPO IND</t>
  </si>
  <si>
    <t>5.05.02.01.0911</t>
  </si>
  <si>
    <t>INDENNITA' DI  COORD/RESPONSAB.PERSONALE DEL COMPARTO SANITA'TEMPO INDETERMILATO</t>
  </si>
  <si>
    <t>5.05.02.01.1001</t>
  </si>
  <si>
    <t>COSTO DEL PERSONALE COMPARTO RUOLO SANITARIO - TEMPO INDETERMINATO - compensi per condizioni di lavoro e incarichi</t>
  </si>
  <si>
    <t>Costo del personale comparto ruolo sanitario - tempo indeterminato - Compensi per condizioni di lavoro e incarichi</t>
  </si>
  <si>
    <t>5.05.02.01.1101</t>
  </si>
  <si>
    <t>COSTO DEL PERSONALE COMPARTO RUOLO SANITARIO - TEMPO INDETERMINATO - compensi per premialità e fasce</t>
  </si>
  <si>
    <t>Costo del personale comparto ruolo sanitario - tempo indeterminato - Compensi per premialità e fasce</t>
  </si>
  <si>
    <t>5.05.02.01.1201</t>
  </si>
  <si>
    <t>COSTO DEL PERSONALE COMPARTO RUOLO SANITARIO - TEMPO INDETERMINATO - RETRIBUZIONE DEGLI INCARICHI , PROGRESSIONI ECONOMICHE E INDENNITA' PROFESSIONALI</t>
  </si>
  <si>
    <t>5.05.02.01.1301</t>
  </si>
  <si>
    <t>COSTO DEL PERSONALE COMPARTO RUOLO SANITARIO - TEMPO INDETERMINATO - RETRIBUZIONE PREMIALITA' E CONDIZIONI DI LAVORO</t>
  </si>
  <si>
    <t xml:space="preserve">B.5.B.2 </t>
  </si>
  <si>
    <t>B.5.B.2) Costo del personale comparto ruolo sanitario - tempo determinato</t>
  </si>
  <si>
    <t>5.05.02.02.0101</t>
  </si>
  <si>
    <t>COSTO DEL PERSONALE COMPARTO RUOLO SANITARIO - TEMPO DETERMINATO - TABELLARE</t>
  </si>
  <si>
    <t>Costo del personale comparto ruolo sanitario - tempo determinato - Competenze fisse</t>
  </si>
  <si>
    <t>5.05.02.02.0501</t>
  </si>
  <si>
    <t>INPDAP - CPDEL DEL PERSONALE COMPARTO RUOLO SANITARIO A TEMPO DETERMINATO</t>
  </si>
  <si>
    <t>Costo del personale comparto ruolo sanitario - tempo determinato - Oneri Sociali</t>
  </si>
  <si>
    <t>5.05.02.02.0502</t>
  </si>
  <si>
    <t>INPDAP - INADEL A TEMPO DETERMINATO</t>
  </si>
  <si>
    <t>5.05.02.02.0503</t>
  </si>
  <si>
    <t>INPS DEL PERSONALE COMPARTO RUOLO SANITARIO A TEMPODETERMINATO</t>
  </si>
  <si>
    <t>5.05.02.02.0504</t>
  </si>
  <si>
    <t>INPDAP-TESORO DEL PERSONALE COMPARTO RUOLO SANITARIO A TEMPO DETERMINATO</t>
  </si>
  <si>
    <t>5.05.02.02.0505</t>
  </si>
  <si>
    <t>INPDAP-ENPDEP DEL PERSONALE COMPARTO RUOLO SANITARIO A TEMPO DETERMINATO</t>
  </si>
  <si>
    <t>INPDAP-CPDEL DEL PERSONALE COMPARTO RUOLO SANITARIO A TEMPO DETERMINATO</t>
  </si>
  <si>
    <t>5.05.02.02.0506</t>
  </si>
  <si>
    <t>INAIL DEL PERSONALE COMPARTO RUOLO SANITARIO A TEMPO DETERMINATO</t>
  </si>
  <si>
    <t>5.05.02.02.0507</t>
  </si>
  <si>
    <t>INPDAP-OPERA PREVIDENZA DEL PERSONALE COMPARTO RUOLO SANITARIO A TEMPO DETERMINATO</t>
  </si>
  <si>
    <t>5.05.02.02.0508</t>
  </si>
  <si>
    <t>ALTRI ONERI CONTRIBUTIVI DEL PERSONALE COMPARTO RUOLO SANITARIO A TEMPO DETERMINATO</t>
  </si>
  <si>
    <t>5.05.02.02.0601</t>
  </si>
  <si>
    <t>COSTO DEL PERSONALE COMPARTO RUOLO SANITARIO - TEMPO DETERMINATO - ACCANTONAMENTO TFR</t>
  </si>
  <si>
    <t>Costo del personale comparto ruolo sanitario - tempo determinato - Accantonamento TFR</t>
  </si>
  <si>
    <t>5.05.02.02.0701</t>
  </si>
  <si>
    <t>COSTO DEL PERSONALE COMPARTO RUOLO SANITARIO - TEMPO DETERMINATO - COMPENSI  PER ATTIVITA SUES 118</t>
  </si>
  <si>
    <t>Costo del personale comparto ruolo sanitario - tempo determinato - Compensi  per attività SUES 118</t>
  </si>
  <si>
    <t>5.05.02.02.0801</t>
  </si>
  <si>
    <t>COSTO DEL PERSONALE COMPARTO RUOLO SANITARIO - TEMPO DETERMINATO - ONERI SOCIALI SU "COMPENSI  PER ATTIVITA SUES 118"</t>
  </si>
  <si>
    <t>Costo del personale comparto ruolo sanitario - tempo determinato - Oneri sociali su "Compensi  per attività SUES 118"</t>
  </si>
  <si>
    <t>5.05.02.02.0901</t>
  </si>
  <si>
    <t>ALTRI ONERI - CAWSE DI SERVIZIO E LIQUIDAZIONE EQUO INDENNIZZO DEL PERSONALE COMPARTO RUOLO SANITARIO A TEMPO DETERMINATO</t>
  </si>
  <si>
    <t>Costo del personale comparto ruolo sanitario - tempo determinato - Altri costi del personale</t>
  </si>
  <si>
    <t>5.05.02.02.0902</t>
  </si>
  <si>
    <t>ALTRI ONERI - MANCATO PREAVVISO DEL PERSONALE COMPARTO RUOLO SANITARIO A TEMPO DETERMINATO</t>
  </si>
  <si>
    <t>5.05.02.02.0903</t>
  </si>
  <si>
    <t>ALTRI ONERI - EREDI DEL PERSONALE COMPARTO RUOLO SANITARIO A TEMPO DETERMINATO</t>
  </si>
  <si>
    <t>5.05.02.02.0904</t>
  </si>
  <si>
    <t>ALTRI ONERI FERIE MATURATE E NO USUFRUITE DEL COMPARTO RUOLO SANITARIO A TEMPO INDETERMINATO</t>
  </si>
  <si>
    <t>5.05.02.02.0905</t>
  </si>
  <si>
    <t>ALTRI ONERI - ASSEGNI NUCLEO FAMILIARE DEL COMPARTO RUOLO SANITARIO A TEMPO DETERMINATO</t>
  </si>
  <si>
    <t>5.05.02.02.0906</t>
  </si>
  <si>
    <t>ALTRI ONERI - INDENNITA' MANEGGIO VALORI DEL COMPARTO RUOLO SANITARIO A TEMPO DETERMINATO</t>
  </si>
  <si>
    <t>5.05.02.02.0907</t>
  </si>
  <si>
    <t>ALTRI ONERI -LIQUIDAZIONE TFR CS T.D.DEL COMPARTO RUOLO SANITARIO A TEMPO DETERMINATO</t>
  </si>
  <si>
    <t>5.05.02.02.0908</t>
  </si>
  <si>
    <t>ALTRI ONERI - SPETTANZE PERSONALE COMANDATO CS T.D.DEL COMPARTO RUOLO SANITARIO A TEMPO DETERMINATO</t>
  </si>
  <si>
    <t>5.05.02.02.0910</t>
  </si>
  <si>
    <t>ALTRI ONERI -INTERVENTI SOCIO ASSISTENZIALI  AOUP CS T.D.EL COMPARTO RUOLO SANITARIO A TEMPO DETERMINATO</t>
  </si>
  <si>
    <t>5.05.02.02.0911</t>
  </si>
  <si>
    <t>ALTRI ONERI - CONTRIBUTO AOUP X FORMAZIONE CS T.D. DEL COMPARTO RUOLO SANITARIO A TEMPO DETERMINATO</t>
  </si>
  <si>
    <t>5.05.02.02.0912</t>
  </si>
  <si>
    <t>ALTRI ONERI -INDENNITA' DI ATENEO CS T.D. DEL COMPARTO RUOLO SANITARIO A TEMPO DETERMINATO</t>
  </si>
  <si>
    <t>5.05.02.02.0913</t>
  </si>
  <si>
    <t>ALTRI ONERI - EMOLUMENTI DERIVANTI DA ESTERNI (CORSI DI FORMAZIONE AIDS E ALTRI RIMBORSI) CS DEL COMPARTO RUOLO SANITARIO A TEMPO DETERM</t>
  </si>
  <si>
    <t>5.05.02.02.0914</t>
  </si>
  <si>
    <t>ALTRI ONERI - ATTIVITA' LIBERO PROFESSIONALE C/O ENTI ESTERNI CS T.D.DEL COMPARTO RUOLO SANITARIO A TEMPO DETERMINATO</t>
  </si>
  <si>
    <t>5.05.02.02.1001</t>
  </si>
  <si>
    <t>COSTO DEL PERSONALE COMPARTO RUOLO SANITARIO - TEMPO DETERMINATO - compensi per condizioni di lavoro e incarichi</t>
  </si>
  <si>
    <t>Costo del personale comparto ruolo sanitario - tempo determinato - Compensi per condizioni di lavoro e incarichi</t>
  </si>
  <si>
    <t>5.05.02.02.1101</t>
  </si>
  <si>
    <t>COSTO DEL PERSONALE COMPARTO RUOLO SANITARIO - TEMPO DETERMINATO - compensi per premialità e fasce</t>
  </si>
  <si>
    <t>Costo del personale comparto ruolo sanitario - tempo determinato - Compensi per premialità e fasce</t>
  </si>
  <si>
    <t>5.05.02.02.1201</t>
  </si>
  <si>
    <t>COSTO DEL PERSONALE COMPARTO RUOLO SANITARIO - TEMPO DETERMINATO - RETRIBUZIONE DEGLI INCARICHI , PROGRESSIONI EONOMICHE E INDENNITA PROFESSIONALI</t>
  </si>
  <si>
    <t xml:space="preserve">COSTO DEL PERSONALE COMPARTO RUOLO SANITARIO - TEMPO DETERMINATO - RETRIBUZIONE DEGLI INCARICHI , PROGRESSIONI EONOMICHE E INDENNITA PROFESSIONALI </t>
  </si>
  <si>
    <t>5.05.02.02.1301</t>
  </si>
  <si>
    <t>COSTO DEL PERSONALE COMPARTO RUOLO SANITARIO - TEMPO DETERMINATO - RETRIBUZIONE PREMIALITA E CONDIZIONI DI LAVORO</t>
  </si>
  <si>
    <t xml:space="preserve">COSTO DEL PERSONALE COMPARTO RUOLO SANITARIO - TEMPO DETERMINATO - RETRIBUZIONE PREMIALITA E CONDIZIONI DI LAVORO </t>
  </si>
  <si>
    <t xml:space="preserve">B.5.B.3 </t>
  </si>
  <si>
    <t>B.5.B.3) Costo del personale comparto ruolo sanitario - altro</t>
  </si>
  <si>
    <t>5.05.02.03.0101</t>
  </si>
  <si>
    <t>COSTO DEL PERSONALE COMPARTO RUOLO SANITARIO- ALTRO  - TABELLARE</t>
  </si>
  <si>
    <t>5.05.02.03.0102</t>
  </si>
  <si>
    <t>COSTO DEL PERSONALE COMPARTO RUOLO SANITARIO -ALTRO - RETRIBUZIONE PER LE FASCE RETRIBUTIVE, POSIZIONI ORGANIZZATIVE, VALORE CO</t>
  </si>
  <si>
    <t>5.05.02.03.0103</t>
  </si>
  <si>
    <t>COSTO DEL PERSONALE COMPARTO RUOLO SANITARIO -ALTRO - COMPENSI PER LAVORO STRAORDINARIO E REMUNERAZIONE DI PARTICOLARI CONDIZIO</t>
  </si>
  <si>
    <t>5.05.02.03.0104</t>
  </si>
  <si>
    <t>COSTO DEL PERSONALE COMPARTO RUOLO SANITARIO -ALTRO - PRODUTTIVITA COLLETTIVA PER IL MIGLIORAMENTO DEI SERVIZI E IL PREMIO DELL</t>
  </si>
  <si>
    <t>5.05.02.03.0105</t>
  </si>
  <si>
    <t>INPDAP - CPDEL DEL PERSONALE COMPARTO RUOLO SANITARIO  ALTRO</t>
  </si>
  <si>
    <t>5.05.02.03.0106</t>
  </si>
  <si>
    <t>INPDAP - INADEL  DEL PERSONALE COMPARTO RUOLO SANITARIO  ALTRO</t>
  </si>
  <si>
    <t>5.05.02.03.0107</t>
  </si>
  <si>
    <t>INPS DEL PERSONALE COMPARTO RUOLO SANITARIO  ALTRO</t>
  </si>
  <si>
    <t>5.05.02.03.0108</t>
  </si>
  <si>
    <t>INPDAP-TESORO DEL PERSONALE COMPARTO RUOLO SANITARIO  ALTRO</t>
  </si>
  <si>
    <t>5.05.02.03.0109</t>
  </si>
  <si>
    <t>INPDAP-ENPDEP DEL PERSONALE COMPARTO RUOLO SANITARIO  ALTRO</t>
  </si>
  <si>
    <t>5.05.02.03.0110</t>
  </si>
  <si>
    <t>INAIL DEL PERSONALE COMPARTO RUOLO SANITARIO  ALTRO</t>
  </si>
  <si>
    <t>5.05.02.03.0111</t>
  </si>
  <si>
    <t>INPDAP-OPERA PREVIDENZA DEL PERSONALE COMPARTO RUOLO SANITARIO  ALTRO</t>
  </si>
  <si>
    <t>5.05.02.03.0112</t>
  </si>
  <si>
    <t>ALTRI ONERI CONTRIBUTIVI DEL PERSONALE COMPARTO RUOLO SANITARIO  ALTRO</t>
  </si>
  <si>
    <t>5.05.02.03.0113</t>
  </si>
  <si>
    <t>COSTO DEL PERSONALE COMPARTO RUOLO SANITARIO -ALTRO - COMPENSI  PER ATTIVITA SUES 118</t>
  </si>
  <si>
    <t>5.05.02.03.0114</t>
  </si>
  <si>
    <t>COSTO DEL PERSONALE COMPARTO RUOLO SANITARIO -ALTRO - ONERI SOCIALI SU "COMPENSI  PER ATTIVITA SUES 118"</t>
  </si>
  <si>
    <t>5.05.02.03.0115</t>
  </si>
  <si>
    <t>ALTRI ONERI - CAWSE DI SERVIZIO E LIQUIDAZIONE EQUO INDENNIZZO DEL PERSONALE COMPARTO RUOLO SANITARIO  ALTRO</t>
  </si>
  <si>
    <t>5.05.02.03.0116</t>
  </si>
  <si>
    <t>ALTRI ONERI - MANCATO PREAVVISO DEL PERSONALE COMPARTO RUOLO SANITARIO  ALTRO</t>
  </si>
  <si>
    <t>5.05.02.03.0117</t>
  </si>
  <si>
    <t>ALTRI ONERI - EREDI DEL PERSONALE COMPARTO RUOLO SANITARIO  ALTRO</t>
  </si>
  <si>
    <t>5.05.02.03.0118</t>
  </si>
  <si>
    <t>ALTRI ONERI FERIE MATURATE E NO USUFRUITE DEL PERSONALE COMPARTO RUOLO SANITARIO  ALTRO</t>
  </si>
  <si>
    <t>5.05.02.03.0119</t>
  </si>
  <si>
    <t>ALTRI ONERI - ASSEGNI NUCLEO FAMILIARE DEL PERSONALE COMPARTO RUOLO SANITARIO  ALTRO</t>
  </si>
  <si>
    <t>5.05.02.03.0121</t>
  </si>
  <si>
    <t>ALTRI ONERI - LIQUIDAZIONE TFR CS ALTRODEL PERSONALE COMPARTO RUOLO SANITARIO  ALTRO</t>
  </si>
  <si>
    <t>5.05.02.03.0122</t>
  </si>
  <si>
    <t>ALTRI ONERI - SPETTANZE PERSONALE COMANDATO DEL PERSONALE COMPARTO RUOLO SANITARIO  ALTRO</t>
  </si>
  <si>
    <t>5.05.02.03.0123</t>
  </si>
  <si>
    <t>ALTRI ONERI -FONDI TRATT. ACCESSORIO DEL PERSONALE COMPARTO RUOLO SANITARIO  ALTRO</t>
  </si>
  <si>
    <t>5.05.02.03.0124</t>
  </si>
  <si>
    <t>ALTRI ONERI - INTERVENTI SOCIO ASSISTENZIALI  DEL PERSONALE COMPARTO RUOLO SANITARIO  ALTRO</t>
  </si>
  <si>
    <t>5.05.02.03.0125</t>
  </si>
  <si>
    <t>ALTRI ONERI -CONTRIBUTI AOUP X FORMAZIONE DEL PERSONALE COMPARTO RUOLO SANITARIO  ALTRO</t>
  </si>
  <si>
    <t>5.05.02.03.0126</t>
  </si>
  <si>
    <t>ALTRI ONERI - INDENNITA' DI RESPONSABILITA' / COORDINAMENTO DEL PERSONALE COMPARTO RUOLO SANITARIO  ALTRO</t>
  </si>
  <si>
    <t>5.05.02.03.0127</t>
  </si>
  <si>
    <t>ALTRI ONERI - INDENNITA' DI ATENEO DEL PERSONALE COMPARTO RUOLO SANITARIO  ALTRO</t>
  </si>
  <si>
    <t>5.05.02.03.0128</t>
  </si>
  <si>
    <t>ALTRI ONERI -EMOLUMENTI DERIVATI DA ENTI ESTERNI( CORSI FORMAZIONE AIDS E ALTRI RIMBORSI) DEL PERSONALE COMPARTO RUOLO SANITARIO  ALTRO</t>
  </si>
  <si>
    <t>5.05.02.03.0129</t>
  </si>
  <si>
    <t>ALTRI ONERI - ATTIVITA' LIBERO PROFESSIONALE C/O ENTI ESTERNI DEL PERSONALE COMPARTO RUOLO SANITARIO  ALTRO</t>
  </si>
  <si>
    <t>Personale del ruolo professionale</t>
  </si>
  <si>
    <t xml:space="preserve">B.6 </t>
  </si>
  <si>
    <t>B.6)   Personale del ruolo professionale</t>
  </si>
  <si>
    <t>B.6.A</t>
  </si>
  <si>
    <t>B.6.A) Costo del personale dirigente ruolo professionale</t>
  </si>
  <si>
    <t xml:space="preserve">B.6.A.1 </t>
  </si>
  <si>
    <t>B.6.A.1) Costo del personale dirigente ruolo professionale - tempo indeterminato</t>
  </si>
  <si>
    <t>5.06.01.01.0101</t>
  </si>
  <si>
    <t>COSTO DEL PERSONALE DIRIGENTE PROFESSIONALE - TEMPO INDETERMINATO - TABELLARE ED ESCLUSIVITA</t>
  </si>
  <si>
    <t>Costo del personale dirigente professionale - tempo indeterminato - Competenze fisse</t>
  </si>
  <si>
    <t>5.06.01.01.0201</t>
  </si>
  <si>
    <t>COSTO DEL PERSONALE DIRIGENTE PROFESSIONALE - TEMPO INDETERMINATO - RETRIBUZIONE DI POSIZIONE</t>
  </si>
  <si>
    <t>Costo del personale dirigente professionale - tempo indeterminato - Retribuzione di posizione</t>
  </si>
  <si>
    <t>5.06.01.01.0301</t>
  </si>
  <si>
    <t>COSTO DEL PERSONALE DIRIGENTE PROFESSIONALE - TEMPO INDETERMINATO - INDENNITA DA PARTICOLARI CONDIZIONI DI LAVORO</t>
  </si>
  <si>
    <t>Costo del personale dirigente professionale - tempo indeterminato - Indennità da particolari condizioni di lavoro</t>
  </si>
  <si>
    <t>5.06.01.01.0401</t>
  </si>
  <si>
    <t>COSTO DEL PERSONALE DIRIGENTE PROFESSIONALE - TEMPO INDETERMINATO - RETRIBUZIONE DI RISULTATO</t>
  </si>
  <si>
    <t>Costo del personale dirigente professionale - tempo indeterminato - Retribuzione di risultato</t>
  </si>
  <si>
    <t>5.06.01.01.0501</t>
  </si>
  <si>
    <t>INPDAP - CPDEL DEL PERSONALE DIRIGENTE RUOLO PROFESSIONALE A TEMPO INDETERMINATO</t>
  </si>
  <si>
    <t>Costo del personale dirigente professionale - tempo indeterminato - Oneri Sociali</t>
  </si>
  <si>
    <t>5.06.01.01.0502</t>
  </si>
  <si>
    <t>INPDAP - INADEL DEL PERSONALE DIRIGENTE RUOLO PROFESSIONALE A TEMPO INDETERMINATO</t>
  </si>
  <si>
    <t>5.06.01.01.0503</t>
  </si>
  <si>
    <t>INPS DEL PERSONALE DIRIGENTE RUOLO PROFESSIONALE A TEMPO INDETERMINATO</t>
  </si>
  <si>
    <t>5.06.01.01.0504</t>
  </si>
  <si>
    <t>INPDAP-TESORO DEL PERSONALE DIRIGENTE RUOLO PROFESSIONALE A TEMPO INDETERMINATO</t>
  </si>
  <si>
    <t>5.06.01.01.0505</t>
  </si>
  <si>
    <t>INPDAP-ENPDEP DEL PERSONALE DIRIGENTE RUOLO PROFESSIONALE A TEMPO INDETERMINATO</t>
  </si>
  <si>
    <t>5.06.01.01.0506</t>
  </si>
  <si>
    <t>INAIL DEL PERSONALE DIRIGENTE RUOLO PROFESSIONALE A TEMPO INDETERMINATO</t>
  </si>
  <si>
    <t>5.06.01.01.0507</t>
  </si>
  <si>
    <t>INPDAP-OPERA PREVIDENZA DEL PERSONALE DIRIGENTE RUOLO PROFESSIONALE A TEMPO INDETERMINATO</t>
  </si>
  <si>
    <t>5.06.01.01.0508</t>
  </si>
  <si>
    <t>ALTRI ONERI CONTRIBUTIVI DEL PERSONALE DIRIGENTE RUOLO PROFESSIONALE A TEMPO INDETERMINATO</t>
  </si>
  <si>
    <t>5.06.01.01.0601</t>
  </si>
  <si>
    <t>COSTO DEL PERSONALE DIRIGENTE PROFESSIONALE - TEMPO INDETERMINATO - ACCANTONAMENTO TFR</t>
  </si>
  <si>
    <t>Costo del personale dirigente professionale - tempo indeterminato - Accantonamento TFR</t>
  </si>
  <si>
    <t>5.06.01.01.0701</t>
  </si>
  <si>
    <t>ALTRI ONERI - FERIE MATURATE E NON USUFRUTE DEL PERSONALE DIRIGENTE RUOLO PROFESSIONALE A TEMPO INDETERMINATO</t>
  </si>
  <si>
    <t>Costo del personale dirigente professionale - tempo indeterminato - Altri costi del personale</t>
  </si>
  <si>
    <t>5.06.01.01.0702</t>
  </si>
  <si>
    <t>ALTRI ONERI - MANCATO PREAVVISO DEL PERSONALE DIRIGENTE RUOLO PROFESSIONALE A TEMPO INDETERMINATO</t>
  </si>
  <si>
    <t>5.06.01.01.0703</t>
  </si>
  <si>
    <t>ALTRI ONERI - CAUSE DI SERVIZIO E LIQUIDAZIONE EQUO INDENNIZZO DEL PERSONALE DIRIGENTE RUOLO PROFESSIONALE A TEMPO INDETERMINATO</t>
  </si>
  <si>
    <t>5.06.01.01.0704</t>
  </si>
  <si>
    <t>ALTRI ONERI - EREDI DEL PERSONALE DIRIGENTE RUOLO PROFESSIONALE A TEMPO INDETERMINATO</t>
  </si>
  <si>
    <t>5.06.01.01.0705</t>
  </si>
  <si>
    <t>ASSEGNI NUCLEO FAMILIARE  DEL PERSONALE DIRIGENTE RUOLO PROFESSIONALE A TEMPO INDETERMINATO</t>
  </si>
  <si>
    <t>5.06.01.01.0706</t>
  </si>
  <si>
    <t>FONDI TRATT.ACCESSORIO D.P.DEL PERSONALE DIRIGENTE RUOLO PROFESSIONALE A TEMPO INDETERMINATO</t>
  </si>
  <si>
    <t>5.06.01.01.0707</t>
  </si>
  <si>
    <t>LIQUIDAZIONE TFR DEL PERSONALE DIRIGENTE RUOLO PROFESSIONALE A TEMPO INDETERMINATO</t>
  </si>
  <si>
    <t>5.06.01.01.0708</t>
  </si>
  <si>
    <t>SPETTANZE PERSONALE COMANDATO  DEL PERSONALE DIRIGENTE RUOLO PROFESSIONALE A TEMPO INDETERMINATO</t>
  </si>
  <si>
    <t>5.06.01.01.0709</t>
  </si>
  <si>
    <t>INTERVENTI SOCIO ASSISTENZIALI AOUP DP  DEL PERSONALE DIRIGENTE RUOLO PROFESSIONALE A TEMPO INDETERMINATO</t>
  </si>
  <si>
    <t>5.06.01.01.0710</t>
  </si>
  <si>
    <t>CONTRIBUTO AOUP X FORMAZIONE DP DEL PERSONALE DIRIGENTE RUOLO PROFESSIONALE A TEMPO INDETERMINATO</t>
  </si>
  <si>
    <t>5.06.01.01.0711</t>
  </si>
  <si>
    <t>INDENNITA' DI ATENEO DPDEL PERSONALE DIRIGENTE RUOLO PROFESSIONALE A TEMPO INDETERMINATO</t>
  </si>
  <si>
    <t>5.06.01.01.0712</t>
  </si>
  <si>
    <t>EMOLUMENTI DERIVANTI DA ENTI ESTERNI (CORSI DI FORMAZIONE AIDS E ALTRI RIMBORSI) D  DEL PERSONALE DIRIGENTE RUOLO PROFESSIONALE A TEMPO</t>
  </si>
  <si>
    <t>5.06.01.01.0713</t>
  </si>
  <si>
    <t>COMPENSI DI CUI ALL'ART.52 COMMA 2.B DEL 08/06/2000  DEL PERSONALE DIRIGENTE RUOLO PROFESSIONALE A TEMPO INDETERMINATO</t>
  </si>
  <si>
    <t>5.06.01.01.0801</t>
  </si>
  <si>
    <t>COSTO DEL PERSONALE DIRIGENTE PROFESSIONALE TEMPO INDETERMINATO RETRIBUZIONE DI RISULTATO E ALTRI TRATTAMENRTI ACCESSORI</t>
  </si>
  <si>
    <t xml:space="preserve">B.6.A.1 COSTO DEL PERSONALE DIRIGENTE PROFESSIONALE TEMPO INDETERMINATO </t>
  </si>
  <si>
    <t xml:space="preserve">B.6.A.2 </t>
  </si>
  <si>
    <t>B.6.A.2) Costo del personale dirigente ruolo professionale - tempo determinato</t>
  </si>
  <si>
    <t>5.06.01.02.0101</t>
  </si>
  <si>
    <t>COSTO DEL PERSONALE DIRIGENTE PROFESSIONALE - TEMPO DETERMINATO - TABELLARE ED ESCLUSIVITA</t>
  </si>
  <si>
    <t>Costo del personale dirigente professionale - tempo determinato - Competenze fisse</t>
  </si>
  <si>
    <t>5.06.01.02.0201</t>
  </si>
  <si>
    <t>COSTO DEL PERSONALE DIRIGENTE PROFESSIONALE - TEMPO DETERMINATO - RETRIBUZIONE DI POSIZIONE</t>
  </si>
  <si>
    <t>Costo del personale dirigente professionale - tempo determinato - Retribuzione di posizione</t>
  </si>
  <si>
    <t>5.06.01.02.0301</t>
  </si>
  <si>
    <t>COSTO DEL PERSONALE DIRIGENTE PROFESSIONALE - TEMPO DETERMINATO - INDENNITA DA PARTICOLARI CONDIZIONI DILAVORO</t>
  </si>
  <si>
    <t>Costo del personale dirigente professionale - tempo determinato - Indennità da particolari condizioni di lavoro</t>
  </si>
  <si>
    <t>5.06.01.02.0401</t>
  </si>
  <si>
    <t>COSTO DEL PERSONALE DIRIGENTE PROFESSIONALE - TEMPO DETERMINATO - RETRIBUZIONE DI RISULTATO</t>
  </si>
  <si>
    <t>Costo del personale dirigente professionale - tempo determinato - Retribuzione di risultato</t>
  </si>
  <si>
    <t>5.06.01.02.0501</t>
  </si>
  <si>
    <t>INPDAP - CPDEL DEL PERSONALE DIRIGENTE RUOLO PROFESSIONALE A TEMPO DETERMINATO</t>
  </si>
  <si>
    <t>Costo del personale dirigente professionale - tempo determinato - Oneri Sociali</t>
  </si>
  <si>
    <t>5.06.01.02.0502</t>
  </si>
  <si>
    <t>INPDAP - INADEL DEL PERSONALE DIRIGENTE RUOLO PROFESSIONALE A TEMPO DETERMINATO</t>
  </si>
  <si>
    <t>5.06.01.02.0503</t>
  </si>
  <si>
    <t>INPS DEL PERSONALE DIRIGENTE RUOLO PROFESSIONALE A TEMPO DETERMINATO</t>
  </si>
  <si>
    <t>5.06.01.02.0504</t>
  </si>
  <si>
    <t>INPDAP-TESORO DEL PERSONALE DIRIGENTE RUOLO PROFESSIONALE A TEMPO DETERMINATO</t>
  </si>
  <si>
    <t>5.06.01.02.0505</t>
  </si>
  <si>
    <t>INPDAP-OPERA PREVIDENZA DEL PERSONALE DIRIGENTE RUOLO PROFESSIONALE A TEMPO DETERMINATO</t>
  </si>
  <si>
    <t>5.06.01.02.0506</t>
  </si>
  <si>
    <t>INPDAP-ENPDEP DEL PERSONALE DIRIGENTE RUOLO PROFESSIONALE A TEMPO DETERMINATO</t>
  </si>
  <si>
    <t>5.06.01.02.0507</t>
  </si>
  <si>
    <t>ALTRI ONERI CONTRIBUTIVI DEL PERSONALE DIRIGENTE RUOLO PROFESSIONALE A TEMPO DETERMINATO</t>
  </si>
  <si>
    <t>5.06.01.02.0508</t>
  </si>
  <si>
    <t>INAIL - PERSONALE DIRIGENTE RUOLO PROFESSIONALE A TEMPO DETERMINATO</t>
  </si>
  <si>
    <t>5.06.01.02.0601</t>
  </si>
  <si>
    <t>COSTO DEL PERSONALE DIRIGENTE PROFESSIONALE - TEMPO DETERMINATO - ACCANTONAMENTO TFR</t>
  </si>
  <si>
    <t>Costo del personale dirigente professionale - tempo determinato - Accantonamento TFR</t>
  </si>
  <si>
    <t>5.06.01.02.0701</t>
  </si>
  <si>
    <t>ALTRI ONERI - FERIE MATURATE E NON USUFRUTE DEL PERSONALE DIRIGENTE RUOLO PROFESSIONALE A TEMPO DETERMINATO</t>
  </si>
  <si>
    <t>Costo del personale dirigente professionale - tempo determinato - Altri costi del personale</t>
  </si>
  <si>
    <t>5.06.01.02.0702</t>
  </si>
  <si>
    <t>ALTRI ONERI - MANCATO PREAVVISO DEL PERSONALE DIRIGENTE RUOLO PROFESSIONALE A TEMPO DETERMINATO</t>
  </si>
  <si>
    <t>5.06.01.02.0703</t>
  </si>
  <si>
    <t>ALTRI ONERI - CAWSE DI SERVIZIO E LIQUIDAZIONE EQUO INDENNIZZO DEL PERSONALE DIRIGENTE RUOLO PROFESSIONALE A TEMPO DETERMINATO</t>
  </si>
  <si>
    <t>5.06.01.02.0704</t>
  </si>
  <si>
    <t>ALTRI ONERI - EREDI DEL PERSONALE DIRIGENTE RUOLO PROFESSIONALE A TEMPO DETERMINATO</t>
  </si>
  <si>
    <t>5.06.01.02.0705</t>
  </si>
  <si>
    <t>ASSEGNI NUCLEO FAMILIARE DEL PERSONALE DIRIGENTE RUOLO PROFESSIONALE A TEMPO DETERMINATO</t>
  </si>
  <si>
    <t>5.06.01.02.0706</t>
  </si>
  <si>
    <t>LIQUIDAZIONE TFR DP T.D. DEL PERSONALE DIRIGENTE RUOLO PROFESSIONALE A TEMPO DETERMINATO</t>
  </si>
  <si>
    <t>5.06.01.02.0707</t>
  </si>
  <si>
    <t>SPETTANZE PERSONALE COMANDATO DP T.D. DEL PERSONALE DIRIGENTE RUOLO PROFESSIONALE A TEMPO DETERMINATO</t>
  </si>
  <si>
    <t>5.06.01.02.0708</t>
  </si>
  <si>
    <t>FONDI TRATT. ACCESSORIO D.P. DEL PERSONALE DIRIGENTE RUOLO PROFESSIONALE A TEMPO DETERMINATO</t>
  </si>
  <si>
    <t>5.06.01.02.0709</t>
  </si>
  <si>
    <t>INTERVENTI SOCIO ASSISTENZIALI AOUP DPDEL PERSONALE DIRIGENTE RUOLO PROFESSIONALE A TEMPO DETERMINATO</t>
  </si>
  <si>
    <t>5.06.01.02.0710</t>
  </si>
  <si>
    <t>CONTRIBUTO AOUP X FORMAZIONE DP DEL PERSONALE DIRIGENTE RUOLO PROFESSIONALE A TEMPO DETERMINATO</t>
  </si>
  <si>
    <t>5.06.01.02.0711</t>
  </si>
  <si>
    <t>INDENNITA' DI ATENEO DP DEL PERSONALE DIRIGENTE RUOLO PROFESSIONALE A TEMPO DETERMINATO</t>
  </si>
  <si>
    <t>5.06.01.02.0712</t>
  </si>
  <si>
    <t>EMOLUMENTI DERIVANTI DA ENTI ESTERNI (CORSI FORMAZIONE AIDS E ALTRI RIMBORSI) DP DEL PERSONALE DIRIGENTE RUOLO PROFESSIONALE A TEMPO DET</t>
  </si>
  <si>
    <t>5.06.01.02.0713</t>
  </si>
  <si>
    <t>COMPENSI DI CUI ALL'ART.52 CCNL COMMA 2.B DEL 08/06/200 DEL PERSONALE DIRIGENTE RUOLO PROFESSIONALE A TEMPO DETERMINATO</t>
  </si>
  <si>
    <t>5.06.01.02.0801</t>
  </si>
  <si>
    <t>COSTO DEL PERSONALE DIRIGENTE PROFESSIONALE TEMPO DETERMINATO RETRIBUZIONE DI RISULTATO E ALTRI TRATTAMENRTI ACCESSORI</t>
  </si>
  <si>
    <t xml:space="preserve">B.6.A.3 </t>
  </si>
  <si>
    <t>B.6.A.3) Costo del personale dirigente ruolo professionale - altro</t>
  </si>
  <si>
    <t>5.06.01.03.0101</t>
  </si>
  <si>
    <t>COSTO DEL PERSONALE DIRIGENTE RUOLO PROFESSIONALE - ALTRO</t>
  </si>
  <si>
    <t>B.6.B</t>
  </si>
  <si>
    <t>B.6.B) Costo del personale comparto ruolo professionale</t>
  </si>
  <si>
    <t xml:space="preserve">B.6.B.1 </t>
  </si>
  <si>
    <t>B.6.B.1) Costo del personale comparto ruolo professionale - tempo indeterminato</t>
  </si>
  <si>
    <t>5.06.02.01.0101</t>
  </si>
  <si>
    <t>COSTO DEL PERSONALE COMPARTO RUOLO PROFESSIONALE - TEMPO INDETERMINATO - COMPETENZE FISSE</t>
  </si>
  <si>
    <t>Costo del personale comparto ruolo professionale - tempo indeterminato - Competenze fisse</t>
  </si>
  <si>
    <t>5.06.02.01.0501</t>
  </si>
  <si>
    <t>INPDAP - CPDEL DEL PERSONALE COMPARTO RUOLO PROFESSIONALE A TEMPO INDETERMINATO</t>
  </si>
  <si>
    <t>Costo del personale comparto ruolo professionale - tempo indeterminato - Oneri Sociali</t>
  </si>
  <si>
    <t>5.06.02.01.0502</t>
  </si>
  <si>
    <t>INPDAP - INADEL DEL PERSONALE COMPARTO RUOLO PROFESSIONALE A TEMPO INDETERMINATO</t>
  </si>
  <si>
    <t>5.06.02.01.0503</t>
  </si>
  <si>
    <t>INPS DEL PERSONALE COMPARTO RUOLO PROFESSIONALE A TEMPO INDETERMINATO</t>
  </si>
  <si>
    <t>5.06.02.01.0504</t>
  </si>
  <si>
    <t>INPDAP-TESORO DEL PERSONALE COMPARTO RUOLO PROFESSIONALE A TEMPO INDETERMINATO</t>
  </si>
  <si>
    <t>5.06.02.01.0505</t>
  </si>
  <si>
    <t>INAIL DEL PERSONALE COMPARTO RUOLO PROFESSIONALE A TEMPO INDETERMINATO</t>
  </si>
  <si>
    <t>5.06.02.01.0601</t>
  </si>
  <si>
    <t>COSTO DEL PERSONALE COMPARTO RUOLO PROFESSIONALE - TEMPO INDETERMINATO - ACCANTONAMENTO TFR</t>
  </si>
  <si>
    <t>Costo del personale comparto ruolo professionale - tempo indeterminato - Accantonamento TFR</t>
  </si>
  <si>
    <t>5.06.02.01.0701</t>
  </si>
  <si>
    <t>ALTRI ONERI -FERIE MATURATE E NON USUFRUITE DEL PERSONALE COMPARTO RUOLO PROFESSIONALE A TEMPO INDETERMINATO</t>
  </si>
  <si>
    <t>Costo del personale comparto ruolo professionale - tempo indeterminato - Altri costi del personale</t>
  </si>
  <si>
    <t>5.06.02.01.0702</t>
  </si>
  <si>
    <t>ALTRI ONERI - MANCATO PREAVVISO DEL PERSONALE COMPARTO RUOLO PROFESSIONALE A TEMPO INDETERMINATO</t>
  </si>
  <si>
    <t>5.06.02.01.0703</t>
  </si>
  <si>
    <t>ALTRI ONERI - CAUSE DI SERVIZIO E LIQUIDAZIONE EQUO INDENNIZZO DEL PERSONALE COMPARTO RUOLO PROFESSIONALE A TEMPO INDETERMINATO</t>
  </si>
  <si>
    <t>5.06.02.01.0704</t>
  </si>
  <si>
    <t>ALTRI ONERI - EREDI DEL PERSONALE COMPARTO RUOLO PROFESSIONALE A TEMPO INDETERMINATO</t>
  </si>
  <si>
    <t>5.06.02.01.0705</t>
  </si>
  <si>
    <t>ALTRI ONERI - ASSEGNI FAMILIARI DEL PERSONALE COMPARTO RUOLO PROFESSIONALE A TEMPO INDETERMINATO</t>
  </si>
  <si>
    <t>5.06.02.01.0801</t>
  </si>
  <si>
    <t>COSTO DEL PERSONALE COMPARTO RUOLO PROFESSIONALE - TEMPO INDETERMINATO - compensi per condizioni di lavoro e incarichi</t>
  </si>
  <si>
    <t>Costo del personale comparto ruolo professionale - tempo indeterminato - Compensi per condizioni di lavoro e incarichi</t>
  </si>
  <si>
    <t>5.06.02.01.0901</t>
  </si>
  <si>
    <t>COSTO DEL PERSONALE COMPARTO RUOLO PROFESSIONALE - TEMPO INDETERMINATO - compensi per premialità e fasce</t>
  </si>
  <si>
    <t>Costo del personale comparto ruolo professionale - tempo indeterminato - Compensi per premialità e fasce</t>
  </si>
  <si>
    <t>5.06.02.01.1001</t>
  </si>
  <si>
    <t>COSTO DEL PERSONALE COMPARTO RUOLO PROFESSIONALE - TEMPO INDETERMINATO - Retribuzione degli incarichi, progressioni economiche e indennità professionali</t>
  </si>
  <si>
    <t>5.06.02.01.1101</t>
  </si>
  <si>
    <t>COSTO DEL PERSONALE COMPARTO RUOLO PROFESSIONALE - TEMPO INDDETERMINATO - RETRIBUZIONE PREMIALITA' E CONDIZIONI DI LAVORO</t>
  </si>
  <si>
    <t xml:space="preserve">B.6.B.2 </t>
  </si>
  <si>
    <t>B.6.B.2) Costo del personale comparto ruolo professionale - tempo determinato</t>
  </si>
  <si>
    <t>5.06.02.02.0101</t>
  </si>
  <si>
    <t>COSTO DEL PERSONALE COMPARTO RUOLO PROFESSIONALE - TEMPO DETERMINATO - TABELLARE</t>
  </si>
  <si>
    <t>Costo del personale comparto ruolo professionale - tempo determinato - Competenze fisse</t>
  </si>
  <si>
    <t>5.06.02.02.0501</t>
  </si>
  <si>
    <t>INPDAP - CPDEL DEL PERSONALE COMPARTO RUOLO PROFESSIONALE A TEMPO DETERMINATO</t>
  </si>
  <si>
    <t>Costo del personale comparto ruolo professionale - tempo determinato - Oneri Sociali</t>
  </si>
  <si>
    <t>5.06.02.02.0502</t>
  </si>
  <si>
    <t>INPDAP - INADEL DEL PERSONALE COMPARTO RUOLO PROFESSIONALE A TEMPO DETERMINATO</t>
  </si>
  <si>
    <t>5.06.02.02.0503</t>
  </si>
  <si>
    <t>INPS DEL PERSONALE COMPARTO RUOLO PROFESSIONALE A TEMPODETERMINATO</t>
  </si>
  <si>
    <t>5.06.02.02.0504</t>
  </si>
  <si>
    <t>INPDAP-TESORO DEL PERSONALE COMPARTO RUOLO PROFESSIONALE A TEMPO DETERMINATO</t>
  </si>
  <si>
    <t>5.06.02.02.0505</t>
  </si>
  <si>
    <t>INPDAP-ENPDEP DEL PERSONALE COMPARTO RUOLO PROFESSIONALE A TEMPO DETERMINATO</t>
  </si>
  <si>
    <t>5.06.02.02.0506</t>
  </si>
  <si>
    <t>INAIL DEL PERSONALE COMPARTO RUOLO PROFESSIONALE A TEMPO DETERMINATO</t>
  </si>
  <si>
    <t>5.06.02.02.0507</t>
  </si>
  <si>
    <t>INPDAP-OPERA  DEL PERSONALE COMPARTO RUOLO PROFESSIONALE A TEMPO DETERMINATO</t>
  </si>
  <si>
    <t>5.06.02.02.0508</t>
  </si>
  <si>
    <t>ALTRI ONERI CONTRIBUTIVI DEL PERSONALE COMPARTO RUOLO PROFESSIONALE A TEMPO DETERMINATO</t>
  </si>
  <si>
    <t>5.06.02.02.0601</t>
  </si>
  <si>
    <t>COSTO DEL PERSONALE COMPARTO RUOLO PROFESSIONALE - TEMPO DETERMINATO - ACCANTONAMENTO TFR</t>
  </si>
  <si>
    <t>Costo del personale comparto ruolo professionale - tempo determinato - Accantonamento TFR</t>
  </si>
  <si>
    <t>5.06.02.02.0701</t>
  </si>
  <si>
    <t>ALTRI ONERI -FERIE MATURATE E NON USUFRUITE DEL PERSONALE COMPARTO RUOLO PROFESSIONALE A TEMPO DETERMINATO</t>
  </si>
  <si>
    <t>Costo del personale comparto ruolo professionale - tempo determinato - Altri costi del personale</t>
  </si>
  <si>
    <t>5.06.02.02.0702</t>
  </si>
  <si>
    <t>ALTRI ONERI - MANCATO PREAVVISO DEL PERSONALE COMPARTO RUOLO PROFESSIONALE A TEMPO DETERMINATO</t>
  </si>
  <si>
    <t>5.06.02.02.0703</t>
  </si>
  <si>
    <t>ALTRI ONERI - CAWSE DI SERVIZIO E LIQUIDAZIONE EQUO INDENNIZZO DEL PERSONALE COMPARTO RUOLO PROFESSIONALE A TEMPO DETERMINATO</t>
  </si>
  <si>
    <t>5.06.02.02.0704</t>
  </si>
  <si>
    <t>ALTRI ONERI - EREDI DEL PERSONALE COMPARTO RUOLO PROFESSIONALE A TEMPO DETERMINATO</t>
  </si>
  <si>
    <t>5.06.02.02.0705</t>
  </si>
  <si>
    <t>ALTRI ONERI - ASSEGNI NUCLEO   FAMILIARE DEL PERSONALE COMPARTO RUOLO PROFESSIONALE A TEMPO DETERMINATO</t>
  </si>
  <si>
    <t>5.06.02.02.0707</t>
  </si>
  <si>
    <t>ALTRI ONERI - LIQUIDAZIONE TFR CP T.D.DEL PERSONALE COMPARTO RUOLO PROFESSIONALE A TEMPO DETERMINATO</t>
  </si>
  <si>
    <t>5.06.02.02.0708</t>
  </si>
  <si>
    <t>ALTRI ONERI - SPETTANZE PERSONALE COMANDO CO T.D. DEL PERSONALE COMPARTO RUOLO PROFESSIONALE A TEMPO DETERMINATO</t>
  </si>
  <si>
    <t>5.06.02.02.0709</t>
  </si>
  <si>
    <t>ALTRI ONERI - FONDI TRA. ACCESSORIO CP T.D.  DEL PERSONALE COMPARTO RUOLO PROFESSIONALE A TEMPO DETERMINATO</t>
  </si>
  <si>
    <t>5.06.02.02.0710</t>
  </si>
  <si>
    <t>ALTRI ONERI - INTERVENTI SOCIO ASSISTENZIALI AOUP CP T.D.  DEL PERSONALE COMPARTO RUOLO PROFESSIONALE A TEMPO DETERMINATO</t>
  </si>
  <si>
    <t>5.06.02.02.0711</t>
  </si>
  <si>
    <t>ALTRI ONERI -INDENNITA' DI ATENEO CP T.D. DEL PERSONALE COMPARTO RUOLO PROFESSIONALE A TEMPO DETERMINATO</t>
  </si>
  <si>
    <t>5.06.02.02.0712</t>
  </si>
  <si>
    <t>ALTRI ONERI - MOLUMENTI DERIVANTI DA ENTI ESTERNI(CORSI FORMAZIONE AIDS E ALTRI RIMBORSI) CP T.D. DEL PERSONALE COMPARTO RUOLO PROFESSIO</t>
  </si>
  <si>
    <t>5.06.02.02.0801</t>
  </si>
  <si>
    <t>COSTO DEL PERSONALE COMPARTO RUOLO PROFESSIONALE - TEMPO DETERMINATO - compensi per condizioni di lavoro e incarichi</t>
  </si>
  <si>
    <t>Costo del personale comparto ruolo professionale - tempo determinato - Compensi per condizioni di lavoro e incarichi</t>
  </si>
  <si>
    <t>5.06.02.02.0901</t>
  </si>
  <si>
    <t>COSTO DEL PERSONALE COMPARTO RUOLO PROFESSIONALE - TEMPO DETERMINATO - compensi per premialità e fasce</t>
  </si>
  <si>
    <t>Costo del personale comparto ruolo professionale - tempo determinato - Compensi per premialità e fasce</t>
  </si>
  <si>
    <t>5.06.02.02.1001</t>
  </si>
  <si>
    <t>COSTO DEL PERSONALE COMPARTO RUOLO PROFESSIONALE - TEMPO DETERMINATO - RETRIBUZIONE DEGLI INCARICHI, PROGRESSIONI ECONOMICHE E INDENNITA' PROFESSIONALI</t>
  </si>
  <si>
    <t>5</t>
  </si>
  <si>
    <t>5.06.02.02.1101</t>
  </si>
  <si>
    <t>COSTO DEL PERSONALE COMPARTO RUOLO PROFESSIONALE - TEMPO DETERMINATO - RETRIBUZIONE PREMIALITA' E CONDIZIONI DI LAVORO</t>
  </si>
  <si>
    <t xml:space="preserve">B.6.B.3 </t>
  </si>
  <si>
    <t>B.6.B.3) Costo del personale comparto ruolo professionale - altro</t>
  </si>
  <si>
    <t>5.06.02.03.0101</t>
  </si>
  <si>
    <t>COSTO DEL PERSONALE COMPARTO RUOLO PROFESSIONALE - ALTRO -TABELLARE</t>
  </si>
  <si>
    <t>5.06.02.03.0102</t>
  </si>
  <si>
    <t>COSTO DEL PERSONALE COMPARTO RUOLO PROFESSIONALE - ALTRO - RETRIBUZIONE PER LE FASCE RETRIBUTIVE, POSIZIONI ORGANIZZATIVE, VALOR</t>
  </si>
  <si>
    <t>5.06.02.03.0103</t>
  </si>
  <si>
    <t>COSTO DEL PERSONALE COMPARTO RUOLO PROFESSIONALE - ALTRO - COMPENSI PER LAVORO STRAORDINARIO E REMUNERAZIONE DI PARTICOLARI COND</t>
  </si>
  <si>
    <t>5.06.02.03.0104</t>
  </si>
  <si>
    <t>COSTO DEL PERSONALE COMPARTO RUOLO PROFESSIONALE - ALTRO - PRODUTTIVITA COLLETTIVA PER IL MIGLIORAMENTO DEI SERVIZI E IL PREMIO</t>
  </si>
  <si>
    <t>5.06.02.03.0105</t>
  </si>
  <si>
    <t>INPDAP - CPDEL DEL PERSONALE COMPARTO RUOLO PROFESSIONALE ALTRO</t>
  </si>
  <si>
    <t>5.06.02.03.0106</t>
  </si>
  <si>
    <t>INPDAP - INADEL DEL PERSONALE COMPARTO RUOLO PROFESSIONALE ALTRO</t>
  </si>
  <si>
    <t>5.06.02.03.0107</t>
  </si>
  <si>
    <t>INPS DEL PERSONALE COMPARTO RUOLO PROFESSIONALE-  ALTRO</t>
  </si>
  <si>
    <t>5.06.02.03.0108</t>
  </si>
  <si>
    <t>INPDAP-TESORO DEL PERSONALE COMPARTO RUOLO PROFESSIONALE - ALTRO</t>
  </si>
  <si>
    <t>5.06.02.03.0109</t>
  </si>
  <si>
    <t>INPDAP-ENPDEP DEL PERSONALE COMPARTO RUOLO PROFESSIONALE -  ALTRO</t>
  </si>
  <si>
    <t>5.06.02.03.0110</t>
  </si>
  <si>
    <t>INAIL DEL PERSONALE COMPARTO RUOLO PROFESSIONALE  - ALTRO</t>
  </si>
  <si>
    <t>5.06.02.03.0111</t>
  </si>
  <si>
    <t>INPDAP-OPERA  DEL PERSONALE COMPARTO RUOLO PROFESSIONALE -  ALTRO</t>
  </si>
  <si>
    <t>5.06.02.03.0112</t>
  </si>
  <si>
    <t>ALTRI ONERI CONTRIBUTIVI  DEL PERSONALE COMPARTO RUOLO PROFESSIONALE -ALTRO</t>
  </si>
  <si>
    <t>5.06.02.03.0113</t>
  </si>
  <si>
    <t>ALTRI ONERI -FERIE MATURATE E NON USUFRUITE DEL PERSONALE COMPARTO RUOLO PROFESSIONALE - ALTRO</t>
  </si>
  <si>
    <t>5.06.02.03.0114</t>
  </si>
  <si>
    <t>ALTRI ONERI - MANCATO PREAVVISO DEL PERSONALE COMPARTO RUOLO PROFESSIONALE -  ALTRO</t>
  </si>
  <si>
    <t>5.06.02.03.0115</t>
  </si>
  <si>
    <t>ALTRI ONERI - CAWSE DI SERVIZIO E LIQUIDAZIONE EQUO INDENNIZZO DEL PERSONALE COMPARTO RUOLO PROFESSIONALE A- ALTRO</t>
  </si>
  <si>
    <t>5.06.02.03.0116</t>
  </si>
  <si>
    <t>ALTRI ONERI - EREDI DEL PERSONALE COMPARTO RUOLO PROFESSIONALE - ALTRO</t>
  </si>
  <si>
    <t>5.06.02.03.0117</t>
  </si>
  <si>
    <t>ALTRI ONERI - ASSEGNI NUCLEO FAMILIARE  DEL PERSONALE COMPARTO RUOLO PROFESSIONALE -  ALTRO</t>
  </si>
  <si>
    <t>5.06.02.03.0119</t>
  </si>
  <si>
    <t>ALTRI ONERI - LIQUIDAZIONE TFR DEL PERSONALE COMPARTO RUOLO PROFESSIONALE - ALTRO</t>
  </si>
  <si>
    <t>5.06.02.03.0120</t>
  </si>
  <si>
    <t>ALTRI ONERI - SPETTANZE PERSONALE COMANDATO  DEL PERSONALE COMPARTO RUOLO PROFESSIONALE - ALTRO</t>
  </si>
  <si>
    <t>5.06.02.03.0122</t>
  </si>
  <si>
    <t>ALTRI ONERI - INTERVENTI SOCIO ASSISTENZIALI AOUP DEL PERSONALE COMPARTO RUOLO PROFESSIONALE - ALTRO</t>
  </si>
  <si>
    <t>5.06.02.03.0123</t>
  </si>
  <si>
    <t>ALTRI ONERI -INDENNITA' DI ATENEOI  DEL PERSONALE COMPARTO RUOLO PROFESSIONALE - ALTRO</t>
  </si>
  <si>
    <t>5.06.02.03.0124</t>
  </si>
  <si>
    <t>ALTRI ONERI - EMOLUMENTI DERIVATI DA ENTI ESTERNI (CORSI FORMAZIONE AIDS E ALTRI RIMBORSI) C  DEL PERSONALE COMPARTO RUOLO PROFESSIONALE</t>
  </si>
  <si>
    <t>5.06.02.03.0125</t>
  </si>
  <si>
    <t>INDENNITA' DI RESPONSABILITA'/COORDINAMENTO AOUP CP ALTRI</t>
  </si>
  <si>
    <t>Personale del ruolo tecnico</t>
  </si>
  <si>
    <t xml:space="preserve">B.7 </t>
  </si>
  <si>
    <t>B.7)   Personale del ruolo tecnico</t>
  </si>
  <si>
    <t>B.7.A</t>
  </si>
  <si>
    <t>B.7.A) Costo del personale dirigente ruolo tecnico</t>
  </si>
  <si>
    <t xml:space="preserve">B.7.A.1 </t>
  </si>
  <si>
    <t>B.7.A.1) Costo del personale dirigente ruolo tecnico - tempo indeterminato</t>
  </si>
  <si>
    <t>5.07.01.01.0101</t>
  </si>
  <si>
    <t>COSTO DEL PERSONALE DIRIGENTE TECNICO - TEMPO INDETERMINATO - COMPETENZE FISSE</t>
  </si>
  <si>
    <t>Costo del personale dirigente tecnico - tempo indeterminato - Competenze fisse</t>
  </si>
  <si>
    <t>5.07.01.01.0201</t>
  </si>
  <si>
    <t>COSTO DEL PERSONALE DIRIGENTE TECNICO - TEMPO INDETERMINATO - RETRIBUZIONE DI POSIZIONE</t>
  </si>
  <si>
    <t>Costo del personale dirigente tecnico - tempo indeterminato - Retribuzione di posizione</t>
  </si>
  <si>
    <t>5.07.01.01.0301</t>
  </si>
  <si>
    <t>COSTO DEL PERSONALE DIRIGENTE TECNICO - TEMPO INDETERMINATO - INDENNITA DA PARTICOLARI CONDIZIONI DI LAVORO</t>
  </si>
  <si>
    <t>Costo del personale dirigente tecnico - tempo indeterminato - Indennità da particolari condizioni di lavoro</t>
  </si>
  <si>
    <t>5.07.01.01.0401</t>
  </si>
  <si>
    <t>COSTO DEL PERSONALE DIRIGENTE TECNICO - TEMPO INDETERMINATO - RETRIBUZIONE DI RISULTATO</t>
  </si>
  <si>
    <t>Costo del personale dirigente tecnico - tempo indeterminato - Retribuzione di risultato</t>
  </si>
  <si>
    <t>5.07.01.01.0501</t>
  </si>
  <si>
    <t>INPDAP - CPDEL DEL PERSONALE DIRIGENTE RUOLO TECNICO A TEMPO INDETERMINATO</t>
  </si>
  <si>
    <t>Costo del personale dirigente tecnico - tempo indeterminato - Oneri Sociali</t>
  </si>
  <si>
    <t>5.07.01.01.0502</t>
  </si>
  <si>
    <t>INPDAP - INADEL DEL PERSONALE DIRIGENTE RUOLO TECNICO A TEMPO INDETERMINATO</t>
  </si>
  <si>
    <t>5.07.01.01.0503</t>
  </si>
  <si>
    <t>INPS DEL PERSONALE DIRIGENTE RUOLO TECNICO A TEMPO INDETERMINATO</t>
  </si>
  <si>
    <t>5.07.01.01.0504</t>
  </si>
  <si>
    <t>INAIL DEL PERSONALE DIRIGENTE RUOLO TECNICO A TEMPO INDETERMINATO</t>
  </si>
  <si>
    <t>5.07.01.01.0505</t>
  </si>
  <si>
    <t>INPDAP-TESORO DEL PERSONALE DIRIGENTE RUOLO TECNICO A TEMPO INDETERMINATO</t>
  </si>
  <si>
    <t>5.07.01.01.0506</t>
  </si>
  <si>
    <t>INPDAP-ENPDEP DEL PERSONALE DIRIGENTE RUOLO TECNICO A TEMPO INDETERMINATO</t>
  </si>
  <si>
    <t>5.07.01.01.0507</t>
  </si>
  <si>
    <t>INPDAP-OPERA PREVIDENZADEL PERSONALE DIRIGENTE RUOLO TECNICO A TEMPO INDETERMINATO</t>
  </si>
  <si>
    <t>5.07.01.01.0508</t>
  </si>
  <si>
    <t>ALTRI ONERI CONTRIBUTIVI DEL PERSONALE DIRIGENTE RUOLO TECNICO A TEMPO INDETERMINATO</t>
  </si>
  <si>
    <t>5.07.01.01.0601</t>
  </si>
  <si>
    <t>COSTO DEL PERSONALE DIRIGENTE TECNICO - TEMPO INDETERMINATO - ACCANTONAMENTO TFR</t>
  </si>
  <si>
    <t>Costo del personale dirigente tecnico - tempo indeterminato - Accantonamento TFR</t>
  </si>
  <si>
    <t>5.07.01.01.0701</t>
  </si>
  <si>
    <t>ALTRI ONERI -FERIE MATURATE E NON USUFRUITE DEL PERSONALE DIRIGENTE RUOLO TECNICO A TEMPO INDETERMINATO</t>
  </si>
  <si>
    <t>Costo del personale dirigente ruolo tecnico - tempo indeterminato - Altri costi del personale</t>
  </si>
  <si>
    <t>5.07.01.01.0702</t>
  </si>
  <si>
    <t>ALTRI ONERI - MANCATO PREAVVISO DEL PERSONALE DIRIGENTE RUOLO TECNICO A TEMPO INDETERMINATO</t>
  </si>
  <si>
    <t>5.07.01.01.0703</t>
  </si>
  <si>
    <t>ALTRI ONERI - CAUSE DI SERVIZIO E LIQUIDAZIONE EQUO INDENNIZZO DEL PERSONALE DIRIGENTE RUOLO TECNICO A TEMPO INDETERMINATO</t>
  </si>
  <si>
    <t>5.07.01.01.0704</t>
  </si>
  <si>
    <t>ALTRI ONERI - EREDI DEL PERSONALE DIRIGENTE RUOLO TECNICO A TEMPO INDETERMINATO</t>
  </si>
  <si>
    <t>5.07.01.01.0705</t>
  </si>
  <si>
    <t>ALTRI ONERI -ASSEGNI NUCLEO FAMILIARE DEL PERSONALE DIRIGENTE RUOLO TECNICO A TEMPO INDETERMINATO</t>
  </si>
  <si>
    <t>5.07.01.01.0707</t>
  </si>
  <si>
    <t>ALTRI ONERI - FONDI TRATT.ACCESSORIO T.D.DEL PERSONALE DIRIGENTE RUOLO TECNICO A TEMPO INDETERMINATO</t>
  </si>
  <si>
    <t>5.07.01.01.0708</t>
  </si>
  <si>
    <t>ALTRI ONERI - LIQUIDAZIONE TFR DEL PERSONALE DIRIGENTE RUOLO TECNICO A TEMPO INDETERMINATO</t>
  </si>
  <si>
    <t>5.07.01.01.0709</t>
  </si>
  <si>
    <t>ALTRI ONERI -EMOLUMENTI DERIVANTI DA ENTI ESTERNI (CORSI FORMAZIONE AIDS E ALTRI RIMBORSI) DDEL PERSONALE DIRIGENTE RUOLO TECNICO A TEMP</t>
  </si>
  <si>
    <t>5.07.01.01.0710</t>
  </si>
  <si>
    <t>ALTRI ONERI - SPETTANZE PERSONALE COMANDATO DEL PERSONALE DIRIGENTE RUOLO TECNICO A TEMPO INDETERMINATO</t>
  </si>
  <si>
    <t>5.07.01.01.0711</t>
  </si>
  <si>
    <t>ALTRI ONERI - INTERVENTI SOCIO ASSISTENZIALI AOUP DEL PERSONALE DIRIGENTE RUOLO TECNICO A TEMPO INDETERMINATO</t>
  </si>
  <si>
    <t>5.07.01.01.0712</t>
  </si>
  <si>
    <t>ALTRI ONERI - CONTRIBUTO AOUP X FORMAZIONE DEL PERSONALE DIRIGENTE RUOLO TECNICO A TEMPO INDETERMINATO</t>
  </si>
  <si>
    <t>5.07.01.01.0713</t>
  </si>
  <si>
    <t>ALTRI ONERI -INDENNITA' DI ATENEO   DEL PERSONALE DIRIGENTE RUOLO TECNICO A TEMPO INDETERMINATO</t>
  </si>
  <si>
    <t>5.07.01.01.0801</t>
  </si>
  <si>
    <t>COSTO DEL PERSONALE DIRIGENTE TECNICO TEMPO INDETERMINATO RETRIBUZIONE DI RISULTATO E ALTRI TRATTAMENRTI ACCESSORI</t>
  </si>
  <si>
    <t xml:space="preserve">B.7.A.2 </t>
  </si>
  <si>
    <t>B.7.A.2) Costo del personale dirigente ruolo tecnico - tempo determinato</t>
  </si>
  <si>
    <t>5.07.01.02.0101</t>
  </si>
  <si>
    <t>COSTO DEL PERSONALE DIRIGENTE TECNICO - TEMPO DETERMINATO - TABELLARE ED ESCLUSIVITA'</t>
  </si>
  <si>
    <t>Costo del personale dirigente tecnico - tempo determinato - Competenze fisse</t>
  </si>
  <si>
    <t>5.07.01.02.0201</t>
  </si>
  <si>
    <t>COSTO DEL PERSONALE DIRIGENTE TECNICO - TEMPO DETERMINATO - RETRIBUZIONE DI POSIZIONE</t>
  </si>
  <si>
    <t>Costo del personale dirigente tecnico - tempo determinato - Retribuzione di posizione</t>
  </si>
  <si>
    <t>5.07.01.02.0301</t>
  </si>
  <si>
    <t>COSTO DEL PERSONALE DIRIGENTE TECNICO - TEMPO DETERMINATO - INDENNITA' DA PARTICOLARI CONDIZIONI DI LAVORO</t>
  </si>
  <si>
    <t>Costo del personale dirigente tecnico - tempo determinato - Indennità da particolari condizioni di lavoro</t>
  </si>
  <si>
    <t>5.07.01.02.0401</t>
  </si>
  <si>
    <t>COSTO DEL PERSONALE DIRIGENTE TECNICO - TEMPO DETERMINATO - RETRIBUZIONE DI RISULTATO</t>
  </si>
  <si>
    <t>Costo del personale dirigente tecnico - tempo determinato - Retribuzione di risultato</t>
  </si>
  <si>
    <t>5.07.01.02.0501</t>
  </si>
  <si>
    <t>INPDAP - CPDEL DEL PERSONALE DIRIGENTE RUOLO TECNICO A TEMPO DETERMINATO</t>
  </si>
  <si>
    <t>Costo del personale dirigente tecnico - tempo determinato - Oneri Sociali</t>
  </si>
  <si>
    <t>5.07.01.02.0502</t>
  </si>
  <si>
    <t>INPDAP - INADEL DEL PERSONALE DIRIGENTE RUOLO TECNICO A TEMPO DETERMINATO</t>
  </si>
  <si>
    <t>5.07.01.02.0503</t>
  </si>
  <si>
    <t>INPS DEL PERSONALE DIRIGENTE RUOLO TECNICO A TEMPO DETERMINATO</t>
  </si>
  <si>
    <t>5.07.01.02.0504</t>
  </si>
  <si>
    <t>INPDAP-TESORO ALTRI ONERI CONTRIBUTIVI DEL PERSONALE DIRIGENTE RUOLO TECNICO A TEMPO DETERMINATO</t>
  </si>
  <si>
    <t>5.07.01.02.0505</t>
  </si>
  <si>
    <t>INPDAP-ENPDEP DEL PERSONALE DIRIGENTE RUOLO TECNICO A TEMPO DETERMINATO</t>
  </si>
  <si>
    <t>5.07.01.02.0506</t>
  </si>
  <si>
    <t>INAIL DEL PERSONALE DIRIGENTE RUOLO TECNICO A TEMPO DETERMINATO</t>
  </si>
  <si>
    <t>5.07.01.02.0507</t>
  </si>
  <si>
    <t>INPDAP-OPERA PREVIDENZADEL PERSONALE DIRIGENTE RUOLO TECNICO A TEMPO DETERMINATO</t>
  </si>
  <si>
    <t>5.07.01.02.0508</t>
  </si>
  <si>
    <t>ALTRI ONERI CONTRIBUTIVI DEL PERSONALE DIRIGENTE RUOLO TECNICO A TEMPO DETERMINATO</t>
  </si>
  <si>
    <t>5.07.01.02.0601</t>
  </si>
  <si>
    <t>COSTO DEL PERSONALE DIRIGENTE TECNICO - TEMPO DETERMINATO - ACCANTONAMENTO TFR</t>
  </si>
  <si>
    <t>Costo del personale dirigente tecnico - tempo determinato - Accantonamento TFR</t>
  </si>
  <si>
    <t>5.07.01.02.0701</t>
  </si>
  <si>
    <t>ALTRI ONERI -FERIE MATURATE E NOPN USUFRUTE DEL PERSONALE DIRIGENTE RUOLO TECNICO A TEMPO DETERMINATO</t>
  </si>
  <si>
    <t>Costo del personale dirigente ruolo tecnico - tempo determinato - Altri costi del personale</t>
  </si>
  <si>
    <t>5.07.01.02.0702</t>
  </si>
  <si>
    <t>ALTRI ONERI - MANCATO PREAVVISO DEL PERSONALE DIRIGENTE RUOLO TECNICO A TEMPO DETERMINATO</t>
  </si>
  <si>
    <t>5.07.01.02.0703</t>
  </si>
  <si>
    <t>ALTRI ONERI - CAUSE DI SERVIZIO E LIQUIDAZIONE EQUO INDENNIZZO DEL PERSONALE DIRIGENTE RUOLO TECNICO A TEMPO DETERMINATO</t>
  </si>
  <si>
    <t>5.07.01.02.0704</t>
  </si>
  <si>
    <t>ALTRI ONERI - EREDI DEL PERSONALE DIRIGENTE RUOLO TECNICO A TEMPO DETERMINATO</t>
  </si>
  <si>
    <t>5.07.01.02.0705</t>
  </si>
  <si>
    <t>ALTRI ONERI - ASSEGNI NUCLEO FAMILIARE DEL PERSONALE DIRIGENTE RUOLO TECNICO A TEMPO DETERMINATO</t>
  </si>
  <si>
    <t>5.07.01.02.0706</t>
  </si>
  <si>
    <t>ALTRI ONERI - LIQUIDAZIONE TFRDEL PERSONALE DIRIGENTE RUOLO TECNICO A TEMPO DETERMINATO</t>
  </si>
  <si>
    <t>5.07.01.02.0707</t>
  </si>
  <si>
    <t>ALTRI ONERI - SPETTANZE PERSONALE COMANDATO DEL PERSONALE DIRIGENTE RUOLO TECNICO A TEMPO DETERMINATO</t>
  </si>
  <si>
    <t>5.07.01.02.0708</t>
  </si>
  <si>
    <t>ALTRI ONERI -FONDI TRATT. ACCESSORIO D DEL PERSONALE DIRIGENTE RUOLO TECNICO A TEMPO DETERMINATO</t>
  </si>
  <si>
    <t>5.07.01.02.0709</t>
  </si>
  <si>
    <t>ALTRI ONERI - INTERVENTI SOCIO ASSISTENZIALI AOUP  DEL PERSONALE DIRIGENTE RUOLO TECNICO A TEMPO DETERMINATO</t>
  </si>
  <si>
    <t>5.07.01.02.0710</t>
  </si>
  <si>
    <t>ALTRI ONERI - CONTRIBUTO AOUP X FORMAZIONE DEL PERSONALE DIRIGENTE RUOLO TECNICO A TEMPO DETERMINATO</t>
  </si>
  <si>
    <t>5.07.01.02.0711</t>
  </si>
  <si>
    <t>ALTRI ONERI - INDENNITA' DI ATENEO DEL PERSONALE DIRIGENTE RUOLO TECNICO A TEMPO DETERMINATO</t>
  </si>
  <si>
    <t>5.07.01.02.0712</t>
  </si>
  <si>
    <t>ALTRI ONERI - EMOLUMENTI DERIVATI DA ENTI ESTERNI ( CORSI FORMAZIONE AIDS E ALTRI RIMBORSI) DT T.D. DEL PERSONALE DIRIGENTE RUOLO TECNIC</t>
  </si>
  <si>
    <t>5.07.01.02.0801</t>
  </si>
  <si>
    <t>COSTO DEL PERSONALE DIRIGENTE TECNICO TEMPO DETERMINATO RETRIBUZIONE DI RISULTATO E ALTRI TRATTAMENRTI ACCESSORI</t>
  </si>
  <si>
    <t xml:space="preserve">B.7.A.3 </t>
  </si>
  <si>
    <t>B.7.A.3) Costo del personale dirigente ruolo tecnico - altro</t>
  </si>
  <si>
    <t>5.07.01.03.0101</t>
  </si>
  <si>
    <t>COSTO DEL PERSONALE DIRIGENTE RUOLO TECNICO - ALTRO</t>
  </si>
  <si>
    <t>5.07.01.03.0102</t>
  </si>
  <si>
    <t>COSTO DEL PERSONALE DIRIGENTE RUOLO TECNICO - ALTRO - RETRIBUZIONE PER LE FASCE RETRIBUTIVE, POSIZIONI ORGANIZZATIVE- ALTRO</t>
  </si>
  <si>
    <t>5.07.01.03.0103</t>
  </si>
  <si>
    <t>COSTO DEL PERSONALE DIRIGENTE RUOLO TECNICO - ALTRO - COMPENSI PER LAVORO STRAORDINARIO E REMUNERAZIONE DI PARTICOLARI COND.- ALTRO</t>
  </si>
  <si>
    <t>5.07.01.03.0104</t>
  </si>
  <si>
    <t>COSTO DEL PERSONALE DIRIGENTE RUOLO TECNICO - ALTRO - PRODUTTIVITA COLLETTIVA PER IL MIGLIORAMENTO DEI SERVIZI E IL PREMIO - ALTRO</t>
  </si>
  <si>
    <t>5.07.01.03.0105</t>
  </si>
  <si>
    <t>INPDAP - CPDEL DEL PERSONALE DIRIGENTE RUOLO TECNICO -ALTRO</t>
  </si>
  <si>
    <t>5.07.01.03.0106</t>
  </si>
  <si>
    <t>INPDAP - INADEL DEL PERSONALE DIRIGENTE RUOLO TECNICO - ALTRO</t>
  </si>
  <si>
    <t>5.07.01.03.0107</t>
  </si>
  <si>
    <t>INPS DEL PERSONALE DIRIGENTE RUOLO TECNICO- ALTRO</t>
  </si>
  <si>
    <t>5.07.01.03.0108</t>
  </si>
  <si>
    <t>INPDAP-TESORO DEL PERSONALE DIRIGENTE RUOLO TECNICO - ALTRO</t>
  </si>
  <si>
    <t>5.07.01.03.0109</t>
  </si>
  <si>
    <t>INPDAP-ENPDEP DEL PERSONALE DIRIGENTE RUOLO TECNICO - ALTRO</t>
  </si>
  <si>
    <t>5.07.01.03.0110</t>
  </si>
  <si>
    <t>INAIL DEL PERSONALE DIRIGENTE RUOLO TECNICO-ALTRO</t>
  </si>
  <si>
    <t>5.07.01.03.0111</t>
  </si>
  <si>
    <t>INPDAP-OPERA  DEL PERSONALE DIRIGENTE RUOLO TECNICO - ALTRO</t>
  </si>
  <si>
    <t>5.07.01.03.0112</t>
  </si>
  <si>
    <t>ALTRI ONERI CONTRIBUTIVI  DEL PERSONALE DIRIGENTE RUOLO TECNICO- ALTRO</t>
  </si>
  <si>
    <t>5.07.01.03.0113</t>
  </si>
  <si>
    <t>ALTRI ONERI -FERIE MATURATE E NON USUFRUITE DEL PERSONALE DIRIGENTE RUOLO TECNICO -ALTRO</t>
  </si>
  <si>
    <t>5.07.01.03.0114</t>
  </si>
  <si>
    <t>ALTRI ONERI - MANCATO PREAVVISO DEL PERSONALE DIRIGENTE RUOLO TECNICO - ALTRO</t>
  </si>
  <si>
    <t>5.07.01.03.0115</t>
  </si>
  <si>
    <t>ALTRI ONERI - CAUSE DI SERVIZIO E LIQUIDAZIONE EQUO INDENNIZZO DEL PERSONALE DIRIGENTE RUOLO TECNICO - ALTRO</t>
  </si>
  <si>
    <t>5.07.01.03.0116</t>
  </si>
  <si>
    <t>ALTRI ONERI - EREDI DEL PERSONALE DIRIGENTE RUOLO TECNICO -ALTRO</t>
  </si>
  <si>
    <t>5.07.01.03.0117</t>
  </si>
  <si>
    <t>ALTRI ONERI - ASSEGNI NUCLEO FAMILIARE  DEL PERSONALE DIRIGENTE RUOLO TECNICO - ALTRO</t>
  </si>
  <si>
    <t>5.07.01.03.0118</t>
  </si>
  <si>
    <t>ALTRI ONERI - INDENNITA' MANEGGIO VALORI  DEL PERSONALE DIRIGENTE RUOLO TECNICO - ALTRO</t>
  </si>
  <si>
    <t>B.7.B</t>
  </si>
  <si>
    <t>B.7.B) Costo del personale comparto ruolo tecnico</t>
  </si>
  <si>
    <t xml:space="preserve">B.7.B.1 </t>
  </si>
  <si>
    <t>B.7.B.1) Costo del personale comparto ruolo tecnico - tempo indeterminato</t>
  </si>
  <si>
    <t>5.07.02.01.0101</t>
  </si>
  <si>
    <t>COSTO DEL PERSONALE COMPARTO RUOLO TECNICO - TEMPO INDETERMINATO - TABELLARE</t>
  </si>
  <si>
    <t>Costo del personale comparto ruolo tecnico - tempo indeterminato - Competenze fisse</t>
  </si>
  <si>
    <t>5.07.02.01.0102</t>
  </si>
  <si>
    <t>COSTO DEL PERSONALE COMPARTO RUOLO TECNICO - TEMPO INDETERMINATO - CONGUAGLIO ART.31</t>
  </si>
  <si>
    <t>COSTO DEL PERSONALE COMPARTO RUOLO TECNICO - TEMPO INDETERMINATO - CONGUAFLIO ART.31</t>
  </si>
  <si>
    <t>5.07.02.01.0501</t>
  </si>
  <si>
    <t>INPDAP - CPDEL DEL PERSONALE COMPARTO RUOLO TECNICO A TEMPO INDETERMINATO</t>
  </si>
  <si>
    <t>Costo del personale comparto ruolo tecnico - tempo indeterminato - Oneri Sociali</t>
  </si>
  <si>
    <t>5.07.02.01.0502</t>
  </si>
  <si>
    <t>INPDAP - INADEL DEL PERSONALE COMPARTO RUOLO TECNICO A TEMPO INDETERMINATO</t>
  </si>
  <si>
    <t>5.07.02.01.0503</t>
  </si>
  <si>
    <t>INPS DEL PERSONALE COMPARTO RUOLO TECNICO A TEMPO INDETERMINATO</t>
  </si>
  <si>
    <t>5.07.02.01.0504</t>
  </si>
  <si>
    <t>INPDAP-ENPDEP DEL PERSONALE COMPARTO RUOLO TECNICO A TEMPO INDETERMINATO</t>
  </si>
  <si>
    <t>5.07.02.01.0505</t>
  </si>
  <si>
    <t>INPDAP-TESORODEL PERSONALE COMPARTO RUOLO TECNICO A TEMPO INDETERMINATO</t>
  </si>
  <si>
    <t>5.07.02.01.0506</t>
  </si>
  <si>
    <t>INAIL DEL PERSONALE COMPARTO RUOLO TECNICO A TEMPO INDETERMINATO</t>
  </si>
  <si>
    <t>5.07.02.01.0507</t>
  </si>
  <si>
    <t>INPDAP-OPERA PREVIDENZA DEL PERSONALE COMPARTO RUOLO TECNICO A TEMPO INDETERMINATO</t>
  </si>
  <si>
    <t>5.07.02.01.0508</t>
  </si>
  <si>
    <t>ALTRI ONERI CONTRIBUTIVI DEL PERSONALE COMPARTO RUOLO TECNICO A TEMPO INDETERMINATO</t>
  </si>
  <si>
    <t>5.07.02.01.0601</t>
  </si>
  <si>
    <t>COSTO DEL PERSONALE COMPARTO RUOLO TECNICO - TEMPO INDETERMINATO - ACCANTONAMENTO TFR</t>
  </si>
  <si>
    <t>Costo del personale comparto ruolo tecnico - tempo indeterminato - Accantonamento TFR</t>
  </si>
  <si>
    <t>5.07.02.01.0701</t>
  </si>
  <si>
    <t>COSTO DEL PERSONALE COMPARTO RUOLO TECNICO - TEMPO INDETERMINATO - COMPENSI  PER ATTIVITA SUES 118</t>
  </si>
  <si>
    <t>Costo del personale comparto ruolo tecnico - tempo indeterminato - Compensi  per attività SUES 118</t>
  </si>
  <si>
    <t>5.07.02.01.0801</t>
  </si>
  <si>
    <t>COSTO DEL PERSONALE COMPARTO RUOLO TECNICO - TEMPO INDETERMINATO - ONERI SOCIALI SU "COMPENSI  PER ATTIVITA SUES 118"</t>
  </si>
  <si>
    <t>Costo del personale comparto ruolo tecnico - tempo indeterminato - Oneri sociali su "Compensi  per attività SUES 118"</t>
  </si>
  <si>
    <t>5.07.02.01.0901</t>
  </si>
  <si>
    <t>ALTRI ONERI -FERIE MATURATE E NON USUFRUITE DEL PERSONALE COMPARTO RUOLO TECNICO A TEMPO INDETERMINATO</t>
  </si>
  <si>
    <t>Costo del personale comparto ruolo tecnico - tempo indeterminato - Altri costi del personale</t>
  </si>
  <si>
    <t>5.07.02.01.0902</t>
  </si>
  <si>
    <t>ALTRI ONERI - MANCATO PREAVVISO DEL PERSONALE COMPARTO RUOLO TECNICO A TEMPO INDETERMINATO</t>
  </si>
  <si>
    <t>5.07.02.01.0903</t>
  </si>
  <si>
    <t>ALTRI ONERI - CAWSE DI SERVIZIO E LIQUIDAZIONE EQUO INDENNIZZO DEL PERSONALE COMPARTO RUOLO TECNICO A TEMPO INDETERMINATO</t>
  </si>
  <si>
    <t>5.07.02.01.0904</t>
  </si>
  <si>
    <t>ALTRI ONERI - EREDI DEL PERSONALE COMPARTO RUOLO TECNICO A TEMPO INDETERMINATO</t>
  </si>
  <si>
    <t>5.07.02.01.0905</t>
  </si>
  <si>
    <t>ALTRI ONERI - ASSEGNI NUCLEO FAMILIARE DEL PERSONALE COMPARTO RUOLO TECNICO A TEMPO INDETERMINATO</t>
  </si>
  <si>
    <t>5.07.02.01.0908</t>
  </si>
  <si>
    <t>ALTRI ONERI - LIQUIDAZIONE TFR DEL PERSONALE COMPARTO RUOLO TECNICO A TEMPO INDETERMINATO</t>
  </si>
  <si>
    <t>5.07.02.01.0909</t>
  </si>
  <si>
    <t>ALTRI ONERI -INTERVENTI SOCIO ASSISTENZIALI AOUP DEL PERSONALE COMPARTO RUOLO TECNICO A TEMPO INDETERMINATO</t>
  </si>
  <si>
    <t>5.07.02.01.0910</t>
  </si>
  <si>
    <t>ALTRI ONERI - SPETTANZE PERSONALE COMANDATODEL PERSONALE COMPARTO RUOLO TECNICO A TEMPO INDETERMINATO</t>
  </si>
  <si>
    <t>5.07.02.01.0911</t>
  </si>
  <si>
    <t>ALTRI ONERI -CONTRIBUTO AOUP X FORMAZIONE DEL PERSONALE COMPARTO RUOLO TECNICO A TEMPO INDETERMINATO</t>
  </si>
  <si>
    <t>5.07.02.01.0912</t>
  </si>
  <si>
    <t>ALTRI ONERI - NDENNITA' DI ATENEODEL PERSONALE COMPARTO RUOLO TECNICO A TEMPO INDETERMINATO</t>
  </si>
  <si>
    <t>5.07.02.01.0913</t>
  </si>
  <si>
    <t>ALTRI ONERI - EMOLUMENTI DERIVANTI DA ENTI ESTERNI (CORSI FORMAZIONE AIDS E ALTRI RIMBORSI)  DEL PERSONALE COMPARTO RUOLO TECNICO A TEMP</t>
  </si>
  <si>
    <t>5.07.02.01.1001</t>
  </si>
  <si>
    <t>COSTO DEL PERSONALE COMPARTO RUOLO TECNICO - TEMPO INDETERMINATO - compensi per condizioni di lavoro e incarichi</t>
  </si>
  <si>
    <t>Costo del personale comparto ruolo tecnico - tempo indeterminato - Compensi per condizioni di lavoro e incarichi</t>
  </si>
  <si>
    <t>5.07.02.01.1101</t>
  </si>
  <si>
    <t>COSTO DEL PERSONALE COMPARTO RUOLO TECNICO - TEMPO INDETERMINATO - compensi per premialità e fasce</t>
  </si>
  <si>
    <t>Costo del personale comparto ruolo tecnico - tempo indeterminato - Compensi per premialità e fasce</t>
  </si>
  <si>
    <t>5.07.02.01.1201</t>
  </si>
  <si>
    <t>COSTO DEL PERSONALE COMPARTO RUOLO TECNICO - TEMPO INDETERMINATO - RETRIBUZUONE DEGLI INCARICHI, PROGRESSIONI ECONOMICHE E INDEMMITA' PROFESSIONALI</t>
  </si>
  <si>
    <t>5.07.02.01.1301</t>
  </si>
  <si>
    <t>COSTO DEL PERSONALE COMPARTO RUOLO TECNICO - TEMPO INDETERMINATO - RETRIBUZUONE PREMIALITA' E CONDIZIONI DI LAVORO</t>
  </si>
  <si>
    <t xml:space="preserve">B.7.B.2 </t>
  </si>
  <si>
    <t>B.7.B.2) Costo del personale comparto ruolo tecnico - tempo determinato</t>
  </si>
  <si>
    <t>5.07.02.02.0101</t>
  </si>
  <si>
    <t>COSTO DEL PERSONALE COMPARTO RUOLO TECNICO - TEMPO DETERMINATO -TABELLARE</t>
  </si>
  <si>
    <t>Costo del personale comparto ruolo tecnico - tempo determinato - Competenze fisse</t>
  </si>
  <si>
    <t>5.07.02.02.0501</t>
  </si>
  <si>
    <t>INPDAP - CPDEL DEL PERSONALE COMPARTO RUOLO TECNICO A TEMPO DETERMINATO</t>
  </si>
  <si>
    <t>Costo del personale comparto ruolo tecnico - tempo determinato - Oneri Sociali</t>
  </si>
  <si>
    <t>5.07.02.02.0502</t>
  </si>
  <si>
    <t>INPDAP - INADEL DEL PERSONALE COMPARTO RUOLO TECNICO A TEMPO DETERMINATO</t>
  </si>
  <si>
    <t>5.07.02.02.0503</t>
  </si>
  <si>
    <t>INPS DEL PERSONALE COMPARTO RUOLO TECNICO A TEMPO DETERMINATO</t>
  </si>
  <si>
    <t>5.07.02.02.0504</t>
  </si>
  <si>
    <t>INAIL I DEL PERSONALE COMPARTO RUOLO TECNICO A TEMPO DETERMINATO</t>
  </si>
  <si>
    <t>5.07.02.02.0505</t>
  </si>
  <si>
    <t>INPDAP-TESORO ALTRI ONERI CONTRIBUTIVI DEL PERSONALE COMPARTO RUOLO TECNICO A TEMPO DETERMINATO</t>
  </si>
  <si>
    <t>5.07.02.02.0506</t>
  </si>
  <si>
    <t>INPDAP-ENPEDEP DEL PERSONALE COMPARTO RUOLO TECNICO A TEMPO DETERMINATO</t>
  </si>
  <si>
    <t>5.07.02.02.0507</t>
  </si>
  <si>
    <t>INPDAP-OPERA PREVIDENZA  DEL PERSONALE COMPARTO RUOLO TECNICO A TEMPO DETERMINATO</t>
  </si>
  <si>
    <t>5.07.02.02.0508</t>
  </si>
  <si>
    <t>ALTRI ONERI CONTRIBUTIVI DEL PERSONALE COMPARTO RUOLO TECNICO A TEMPO DETERMINATO</t>
  </si>
  <si>
    <t>5.07.02.02.0601</t>
  </si>
  <si>
    <t>COSTO DEL PERSONALE COMPARTO RUOLO TECNICO - TEMPO DETERMINATO - ACCANTONAMENTO TFR</t>
  </si>
  <si>
    <t>Costo del personale comparto ruolo tecnico - tempo determinato - Accantonamento TFR</t>
  </si>
  <si>
    <t>5.07.02.02.0701</t>
  </si>
  <si>
    <t>COSTO DEL PERSONALE COMPARTO RUOLO TECNICO - TEMPO DETERMINATO - COMPENSI  PER ATTIVITA SUES 118</t>
  </si>
  <si>
    <t>Costo del personale comparto ruolo tecnico - tempo determinato - Compensi  per attività SUES 118</t>
  </si>
  <si>
    <t>5.07.02.02.0801</t>
  </si>
  <si>
    <t>COSTO DEL PERSONALE COMPARTO RUOLO TECNICO - TEMPO DETERMINATO - ONERI SOCIALI SU "COMPENSI  PER ATTIVITA SUES 118"</t>
  </si>
  <si>
    <t>Costo del personale comparto ruolo tecnico - tempo determinato - Oneri sociali su "Compensi  per attività SUES 118"</t>
  </si>
  <si>
    <t>5.07.02.02.0901</t>
  </si>
  <si>
    <t>ALTRI ONERI -FERIE MATURATE E NON USUFRUITE DEL PERSONALE COMPARTO RUOLO TECNICO A TEMPO DETERMINATO</t>
  </si>
  <si>
    <t>Costo del personale comparto ruolo tecnico - tempo determinato - Altri costi del personale</t>
  </si>
  <si>
    <t>5.07.02.02.0902</t>
  </si>
  <si>
    <t>ALTRI ONERI - MANCATO PREAVVISO DEL PERSONALE COMPARTO RUOLO TECNICO A TEMPO DETERMINATO</t>
  </si>
  <si>
    <t>5.07.02.02.0903</t>
  </si>
  <si>
    <t>ALTRI ONERI - CAWSE DI SERVIZIO E LIQUIDAZIONE EQUO INDENNIZZO DEL PERSONALE COMPARTO RUOLO TECNICO A TEMPO DETERMINATO</t>
  </si>
  <si>
    <t>5.07.02.02.0904</t>
  </si>
  <si>
    <t>ALTRI ONERI - EREDI DEL PERSONALE COMPARTO RUOLO TECNICO A TEMPO DETERMINATO</t>
  </si>
  <si>
    <t>5.07.02.02.0905</t>
  </si>
  <si>
    <t>ALTRI ONERI - ASSEGNI NUCLEO FAMILIARE DEL PERSONALE COMPARTO RUOLO TECNICO A TEMPO DETERMINATO</t>
  </si>
  <si>
    <t>5.07.02.02.0908</t>
  </si>
  <si>
    <t>ALTRI ONERI - LIQUIDAZIONE TFR DEL PERSONALE COMPARTO RUOLO TECNICO A TEMPO DETERMINATO</t>
  </si>
  <si>
    <t>5.07.02.02.0909</t>
  </si>
  <si>
    <t>ALTRI ONERI - SPETTANZE PERSONALE COMANDATO DEL PERSONALE COMPARTO RUOLO TECNICO A TEMPO DETERMINATO</t>
  </si>
  <si>
    <t>5.07.02.02.0910</t>
  </si>
  <si>
    <t>ALTRI ONERI - INTERVENTI SOCIO ASSISTENZIALI DEL PERSONALE COMPARTO RUOLO TECNICO A TEMPO DETERMINATO</t>
  </si>
  <si>
    <t>5.07.02.02.0912</t>
  </si>
  <si>
    <t>ALTRI ONERI -CONTRIBUTO AOUP DEL PERSONALE COMPARTO RUOLO TECNICO A TEMPO DETERMINATO</t>
  </si>
  <si>
    <t>5.07.02.02.0913</t>
  </si>
  <si>
    <t>ALTRI ONERI - INDENNITA' DI ATENEO  DEL PERSONALE COMPARTO RUOLO TECNICO A TEMPO DETERMINATO</t>
  </si>
  <si>
    <t>5.07.02.02.0914</t>
  </si>
  <si>
    <t>ALTRI ONERI -EMOLUMENTI DERIVANTI DA ENTI ESTERNI (CORSI FORMAZIONE AIDS E ALTRI RIMBORSIDEL PERSONALE COMPARTO RUOLO TECNICO A TEMPO DE</t>
  </si>
  <si>
    <t>5.07.02.02.1001</t>
  </si>
  <si>
    <t>COSTO DEL PERSONALE COMPARTO RUOLO TECNICO - TEMPO DETERMINATO - compensi per condizioni di lavoro e incarichi</t>
  </si>
  <si>
    <t>Costo del personale comparto ruolo tecnico - tempo determinato - Compensi per condizioni di lavoro e incarichi</t>
  </si>
  <si>
    <t>5.07.02.02.1101</t>
  </si>
  <si>
    <t>COSTO DEL PERSONALE COMPARTO RUOLO TECNICO - TEMPO DETERMINATO - compensi per premialità e fasce</t>
  </si>
  <si>
    <t>Costo del personale comparto ruolo tecnico - tempo determinato - Compensi per premialità e fasce</t>
  </si>
  <si>
    <t>5.07.02.02.1201</t>
  </si>
  <si>
    <t>COSTO DEL PERSONALE COMPARTO RUOLO TECNICO - TEMPO DETERMINATO - Retribuzione degli incarichi,progressioni economiche e indennità professionali</t>
  </si>
  <si>
    <t>5.07.02.02.1301</t>
  </si>
  <si>
    <t>COSTO DEL PERSONALE COMPARTO RUOLO TECNICO - TEMPO DETERMINATO - Retribuzione premialità e condizioni di lavoro</t>
  </si>
  <si>
    <t xml:space="preserve">B.7.B.3 </t>
  </si>
  <si>
    <t>B.7.B.3) Costo del personale comparto ruolo tecnico - altro</t>
  </si>
  <si>
    <t>5.07.02.03.0101</t>
  </si>
  <si>
    <t>COSTO DEL PERSONALE COMPARTO RUOLO TECNICO -TABELLARE - ALTRO</t>
  </si>
  <si>
    <t>5.07.02.03.0102</t>
  </si>
  <si>
    <t>COSTO DEL PERSONALE CO MPARTO RUOLO TECNICO - TEMPO DETERMINATO - RETRIBUZIONE PER LE FASCE RETRIBUTIVE, POSIZIONI ORGANIZZATIVE, VALOR</t>
  </si>
  <si>
    <t>5.07.02.03.0103</t>
  </si>
  <si>
    <t>COSTO DEL PERSONALE CO MPARTO RUOLO TECNICO - TEMPO DETERMINATO - COMPENSI PER LAVORO STRAORDINARIO E REMUNERAZIONE DI PARTICOLARI COND</t>
  </si>
  <si>
    <t>5.07.02.03.0104</t>
  </si>
  <si>
    <t>COSTO DEL PERSONALE CO MPARTO RUOLO TECNICO - TEMPO DETERMINATO - PRODUTTIVITA COLLETTIVA PER IL MIGLIORAMENTO DEI SERVIZI E IL PREMIO</t>
  </si>
  <si>
    <t>5.07.02.03.0105</t>
  </si>
  <si>
    <t>INPDAP - CPDEL DEL PERSONALE CO MPARTO RUOLO TECNICO A TEMPO DETERMINATO</t>
  </si>
  <si>
    <t>5.07.02.03.0106</t>
  </si>
  <si>
    <t>INPDAP - INADEL DEL PERSONALE CO MPARTO RUOLO TECNICO A TEMPO DETERMINATO</t>
  </si>
  <si>
    <t>5.07.02.03.0107</t>
  </si>
  <si>
    <t>INPS DEL PERSONALE CO MPARTO RUOLO TECNICO A TEMPO DETERMINATO</t>
  </si>
  <si>
    <t>5.07.02.03.0108</t>
  </si>
  <si>
    <t>INPDAP-TESORO DEL PERSONALE CO MPARTO RUOLO TECNICO A TEMPO DETERMINATO</t>
  </si>
  <si>
    <t>5.07.02.03.0109</t>
  </si>
  <si>
    <t>INPDAP-ENPDEP DEL PERSONALE CO MPARTO RUOLO TECNICO A TEMPO DETERMINATO</t>
  </si>
  <si>
    <t>5.07.02.03.0110</t>
  </si>
  <si>
    <t>INAIL DEL PERSONALE CO MPARTO RUOLO TECNICO A TEMPO DETERMINATO</t>
  </si>
  <si>
    <t>5.07.02.03.0111</t>
  </si>
  <si>
    <t>INPDAP-OPERA  DEL PERSONALE CO MPARTO RUOLO TECNICO A TEMPO DETERMINATO</t>
  </si>
  <si>
    <t>5.07.02.03.0112</t>
  </si>
  <si>
    <t>ALTRI ONERI CONTRIBUTIVI  DEL PERSONALE CO MPARTO RUOLO TECNICO A TEMPO DETERMINATO</t>
  </si>
  <si>
    <t>5.07.02.03.0113</t>
  </si>
  <si>
    <t>ALTRI ONERI -FERIE MATURATE E NON USUFRUITE DEL PERSONALE CO MPARTO RUOLO TECNICO A TEMPO DETERMINATO</t>
  </si>
  <si>
    <t>5.07.02.03.0114</t>
  </si>
  <si>
    <t>ALTRI ONERI - MANCATO PREAVVISO DEL PERSONALE CO MPARTO RUOLO TECNICO A TEMPO DETERMINATO</t>
  </si>
  <si>
    <t>5.07.02.03.0115</t>
  </si>
  <si>
    <t>ALTRI ONERI - CAWSE DI SERVIZIO E LIQUIDAZIONE EQUO INDENNIZZO DEL PERSONALE CO MPARTO RUOLO TECNICO A TEMPO DETERMINATO</t>
  </si>
  <si>
    <t>5.07.02.03.0116</t>
  </si>
  <si>
    <t>ALTRI ONERI - EREDI DEL PERSONALE CO MPARTO RUOLO TECNICO A TEMPO DETERMINATO</t>
  </si>
  <si>
    <t>5.07.02.03.0117</t>
  </si>
  <si>
    <t>ALTRI ONERI - ASSEGNI NUCLEO FAMILIARE  DEL PERSONALE CO MPARTO RUOLO TECNICO A TEMPO DETERMINATO</t>
  </si>
  <si>
    <t>5.07.02.03.0119</t>
  </si>
  <si>
    <t>COSTO DEL PERSONALE COMPARTO RUOLO TECNICO - ALTRO - COMPENSI  PER ATTIVITA SUES 118</t>
  </si>
  <si>
    <t>5.07.02.03.0120</t>
  </si>
  <si>
    <t>COSTO DEL PERSONALE COMPARTO RUOLO TECNICO - ALTRO- ONERI SOCIALI SU "COMPENSI  PER ATTIVITA SUES 118"</t>
  </si>
  <si>
    <t>5.07.02.03.0121</t>
  </si>
  <si>
    <t>COSTO DEL PERSONALE COMPARTO RUOLO TECNICO - ALTRO- LIQUIDAZIONE TFR</t>
  </si>
  <si>
    <t>5.07.02.03.0122</t>
  </si>
  <si>
    <t>COSTO DEL PERSONALE COMPARTO RUOLO TECNICO - ALTRO- SPETTANZE PERSONALE COMANDATO</t>
  </si>
  <si>
    <t>5.07.02.03.0123</t>
  </si>
  <si>
    <t>COSTO DEL PERSONALE COMPARTO RUOLO TECNICO - ALTRO-FONDI TRATT. ACCESSORIO</t>
  </si>
  <si>
    <t>5.07.02.03.0124</t>
  </si>
  <si>
    <t>COSTO DEL PERSONALE COMPARTO RUOLO TECNICO - ALTRO- INTERVENTI SOCIO ASSISTENZIALI AOUP</t>
  </si>
  <si>
    <t>5.07.02.03.0125</t>
  </si>
  <si>
    <t>COSTO DEL PERSONALE COMPARTO RUOLO TECNICO - ALTRO- CONTRIBUTO AOUP X FORMAZIONE</t>
  </si>
  <si>
    <t>5.07.02.03.0126</t>
  </si>
  <si>
    <t>COSTO DEL PERSONALE COMPARTO RUOLO TECNICO - ALTRO- INDENNITA' DI RESPONSABILITA'/COORDINAMENTO AOUP C</t>
  </si>
  <si>
    <t>5.07.02.03.0127</t>
  </si>
  <si>
    <t>COSTO DEL PERSONALE COMPARTO RUOLO TECNICO - ALTRO- INDENNITA' DI ATENEO</t>
  </si>
  <si>
    <t>5.07.02.03.0128</t>
  </si>
  <si>
    <t>COSTO DEL PERSONALE COMPARTO RUOLO TECNICO - ALTRO- EMOLUMENTI DERIVATI DAENTI ESTERNI (CORSI FORMAZIONE AIDS E ALTRI RIMBORSI)</t>
  </si>
  <si>
    <t>Personale del ruolo amministrativo</t>
  </si>
  <si>
    <t xml:space="preserve">B.8 </t>
  </si>
  <si>
    <t>B.8)   Personale del ruolo amministrativo</t>
  </si>
  <si>
    <t>B.8.A</t>
  </si>
  <si>
    <t>B.8.A) Costo del personale dirigente ruolo amministrativo</t>
  </si>
  <si>
    <t xml:space="preserve">B.8.A.1 </t>
  </si>
  <si>
    <t>B.8.A.1) Costo del personale dirigente ruolo amministrativo - tempo indeterminato</t>
  </si>
  <si>
    <t>5.08.01.01.0101</t>
  </si>
  <si>
    <t>COSTO DEL PERSONALE DIRIGENTE AMMINISTRATIVO - TEMPO INDETERMINATO - TABELLARE ED ESCLUSIVITA</t>
  </si>
  <si>
    <t>Costo del personale dirigente amministrativo - tempo indeterminato - Competenze fisse</t>
  </si>
  <si>
    <t>5.08.01.01.0102</t>
  </si>
  <si>
    <t>COSTO DEL PERSONALE DIRIGENTE AMMINISTRATIVO - TEMPO INDETERMINATO -CONGUAGLIO ART. 31</t>
  </si>
  <si>
    <t>COSTO DEL PERSONALE DIRIGENTE AMMINISTRATIVO - TEMPO INDETERMINATO -CONGUAFLIO ART. 31</t>
  </si>
  <si>
    <t>5.08.01.01.0201</t>
  </si>
  <si>
    <t>COSTO DEL PERSONALE DIRIGENTE AMMINISTRATIVO - TEMPO INDETERMINATO - RETRIBUZIONE DI POSIZIONE</t>
  </si>
  <si>
    <t>Costo del personale dirigente amministrativo - tempo indeterminato - Retribuzione di posizione</t>
  </si>
  <si>
    <t>5.08.01.01.0301</t>
  </si>
  <si>
    <t>COSTO DEL PERSONALE DIRIGENTE AMMINISTRATIVO - TEMPO INDETERMINATO - INDENNITA DA PARTICOLARI CONDIZIONIDI LAVORO</t>
  </si>
  <si>
    <t>Costo del personale dirigente amministrativo - tempo indeterminato - Indennità da particolari condizioni di lavoro</t>
  </si>
  <si>
    <t>5.08.01.01.0401</t>
  </si>
  <si>
    <t>COSTO DEL PERSONALE DIRIGENTE AMMINISTRATIVO - TEMPO INDETERMINATO - RETRIBUZIONE DI RISULTATO</t>
  </si>
  <si>
    <t>Costo del personale dirigente amministrativo - tempo indeterminato - Retribuzione di risultato</t>
  </si>
  <si>
    <t>5.08.01.01.0501</t>
  </si>
  <si>
    <t>INPDAP - CPDEL DEL PERSONALE DIRIGENTE RUOLO AMMINISTRATIVO A TEMPO INDETERMINATO</t>
  </si>
  <si>
    <t>Costo del personale dirigente amministrativo - tempo indeterminato - Oneri Sociali</t>
  </si>
  <si>
    <t>5.08.01.01.0502</t>
  </si>
  <si>
    <t>INPDAP - INADEL DEL PERSONALE DIRIGENTE RUOLO AMMINISTRATIVO A TEMPO INDETERMINATO</t>
  </si>
  <si>
    <t>5.08.01.01.0503</t>
  </si>
  <si>
    <t>INPS DEL PERSONALE DIRIGENTE RUOLO AMMINISTRATIVO A TEMPO INDETERMINATO</t>
  </si>
  <si>
    <t>5.08.01.01.0504</t>
  </si>
  <si>
    <t>INAIL DEL PERSONALE DIRIGENTE RUOLO AMMINISTRATIVO A TEMPO INDETERMINATO</t>
  </si>
  <si>
    <t>5.08.01.01.0505</t>
  </si>
  <si>
    <t>INPDAP-TESORO DEL PERSONALE DIRIGENTE RUOLO AMMINISTRATIVO A TEMPO INDETERMINATO</t>
  </si>
  <si>
    <t>5.08.01.01.0506</t>
  </si>
  <si>
    <t>INPDAP-OPERA PREVIDENZA DEL PERSONALE DIRIGENTE RUOLO AMMINISTRATIVO A TEMPO INDETERMINATO</t>
  </si>
  <si>
    <t>5.08.01.01.0507</t>
  </si>
  <si>
    <t>INPDAP-ENPDEP DEL PERSONALE DIRIGENTE RUOLO AMMINISTRATIVO A TEMPO INDETERMINATO</t>
  </si>
  <si>
    <t>5.08.01.01.0508</t>
  </si>
  <si>
    <t>ALTRI ONERI CONTRIBUTIVI DEL PERSONALE DIRIGENTE RUOLO AMMINISTRATIVO A TEMPO INDETERMINATO</t>
  </si>
  <si>
    <t>5.08.01.01.0601</t>
  </si>
  <si>
    <t>COSTO DEL PERSONALE DIRIGENTE AMMINISTRATIVO - TEMPO INDETERMINATO - ACCANTONAMENTO TFR</t>
  </si>
  <si>
    <t>Costo del personale dirigente amministrativo - tempo indeterminato - Accantonamento TFR</t>
  </si>
  <si>
    <t>5.08.01.01.0701</t>
  </si>
  <si>
    <t>ALTRI ONERI -FERIE MATURATE E NON USUFRUITE DEL PERSONALE DIRIGENTE RUOLO AMMINISTRATIVO A TEMPO INDETERMINATO</t>
  </si>
  <si>
    <t>Costo del personale dirigente ruolo amministrativo - tempo indeterminato - Altri costi del personale</t>
  </si>
  <si>
    <t>5.08.01.01.0702</t>
  </si>
  <si>
    <t>ALTRI ONERI  MANCATO PREAVVISO DEL PERSONALE DIRIGENTE RUOLO AMMINISTRATIVO A TEMPO INDETERMINATO</t>
  </si>
  <si>
    <t>5.08.01.01.0703</t>
  </si>
  <si>
    <t>ALTRI ONERI  CAWSE DI SERVIZIO E LIQUIDAZIONE EQUO INDENNIZZO DEL PERSONALE A TEMPO INDETERMINATO</t>
  </si>
  <si>
    <t>5.08.01.01.0704</t>
  </si>
  <si>
    <t>ALTRI ONERI  EREDI  DEL PERSONALE DIRIGENTE RUOLO AMMINISTRATIVO A TEMPO INDETERMINATO</t>
  </si>
  <si>
    <t>5.08.01.01.0705</t>
  </si>
  <si>
    <t>ASSEGNI NUCLEO FAMILIARE  DEL PERSONALE DIRIGENTE RUOLO AMMINISTRATIVO A TEMPO INDETERMINATO</t>
  </si>
  <si>
    <t>5.08.01.01.0706</t>
  </si>
  <si>
    <t>LIQUIDAZIONE TFR DEL PERSONALE DIRIGENTE RUOLO AMMINISTRATIVO A TEMPO INDETERMINATO</t>
  </si>
  <si>
    <t>5.08.01.01.0707</t>
  </si>
  <si>
    <t>PETTANZE PERSONALE COMANDATO  DEL PERSONALE DIRIGENTE RUOLO AMMINISTRATIVO A TEMPO INDETERMINATO</t>
  </si>
  <si>
    <t>5.08.01.01.0708</t>
  </si>
  <si>
    <t>FONDI TRATT.ACCESSORIO  DEL PERSONALE DIRIGENTE RUOLO AMMINISTRATIVO A TEMPO INDETERMINATO</t>
  </si>
  <si>
    <t>5.08.01.01.0709</t>
  </si>
  <si>
    <t>INTERVENTI SOCIO ASSISTENZIALI AOUP  DEL PERSONALE DIRIGENTE RUOLO AMMINISTRATIVO A TEMPO INDETERMINATO</t>
  </si>
  <si>
    <t>5.08.01.01.0710</t>
  </si>
  <si>
    <t>CONTRIBUTO AOUP X FORMAZIONE   DEL PERSONALE DIRIGENTE RUOLO AMMINISTRATIVO A TEMPO INDETERMINATO</t>
  </si>
  <si>
    <t>5.08.01.01.0711</t>
  </si>
  <si>
    <t>INDENNITA' DI ATENEO  DEL PERSONALE DIRIGENTE RUOLO AMMINISTRATIVO A TEMPO INDETERMINATO</t>
  </si>
  <si>
    <t>5.08.01.01.0712</t>
  </si>
  <si>
    <t>EMOLUMENTI DERIVANTI DA ENTI ESTERNI (CORSI FORMAZIONE AIDS E ALTRI RIMBORSI)  DEL PERSONALE DIRIGENTE RUOLO AMMINISTRATIVO A TEMPO INDE</t>
  </si>
  <si>
    <t>5.08.01.01.0801</t>
  </si>
  <si>
    <t>COSTO DELMPERSONALE DIRIGENTE AMMINISTRATIVO-TEMPO  INDETERMINATO - RETRIBUZIONI DI RISULTATO E ALTRI TRATTAMENTI ACCESSORI</t>
  </si>
  <si>
    <t xml:space="preserve">B.8.A.2 </t>
  </si>
  <si>
    <t>B.8.A.2) Costo del personale dirigente ruolo amministrativo - tempo determinato</t>
  </si>
  <si>
    <t>5.08.01.02.0101</t>
  </si>
  <si>
    <t>COSTO DEL PERSONALE DIRIGENTE AMMINISTRATIVO - TEMPO DETERMINATO - TABELLARE ED ESCLUSIVITA'</t>
  </si>
  <si>
    <t>Costo del personale dirigente amministrativo - tempo determinato - Competenze fisse</t>
  </si>
  <si>
    <t>5.08.01.02.0201</t>
  </si>
  <si>
    <t>COSTO DEL PERSONALE DIRIGENTE AMMINISTRATIVO - TEMPO DETERMINATO - RETRIBUZIONE DI POSIZIONE</t>
  </si>
  <si>
    <t>Costo del personale dirigente amministrativo - tempo determinato - Retribuzione di posizione</t>
  </si>
  <si>
    <t>5.08.01.02.0301</t>
  </si>
  <si>
    <t>COSTO DEL PERSONALE DIRIGENTE AMMINISTRATIVO - TEMPO DETERMINATO - INDENNITA DA PARTICOLARI CONDIZIONI DI LAVORO</t>
  </si>
  <si>
    <t>Costo del personale dirigente amministrativo - tempo determinato - Indennità da particolari condizioni di lavoro</t>
  </si>
  <si>
    <t>5.08.01.02.0401</t>
  </si>
  <si>
    <t>COSTO DEL PERSONALE DIRIGENTE AMMINISTRATIVO - TEMPO DETERMINATO - RETRIBUZIONE DI RISULTATO</t>
  </si>
  <si>
    <t>Costo del personale dirigente amministrativo - tempo determinato - Retribuzione di risultato</t>
  </si>
  <si>
    <t>5.08.01.02.0501</t>
  </si>
  <si>
    <t>INPDAP - CPDEL DEL PERSONALE DIRIGENTE RUOLO AMMINISTRATIVO A TEMPO DETERMINATO</t>
  </si>
  <si>
    <t>Costo del personale dirigente amministrativo - tempo determinato - Oneri Sociali</t>
  </si>
  <si>
    <t>5.08.01.02.0502</t>
  </si>
  <si>
    <t>INPDAP - INADEL DEL PERSONALE DIRIGENTE RUOLO AMMINISTRATIVO A TEMPO DETERMINATO</t>
  </si>
  <si>
    <t>5.08.01.02.0503</t>
  </si>
  <si>
    <t>INPS DEL PERSONALE DIRIGENTE RUOLO AMMINISTRATIVO A TEMPO DETERMINATO</t>
  </si>
  <si>
    <t>5.08.01.02.0504</t>
  </si>
  <si>
    <t>INPDAP-TESORO DEL PERSONALE DIRIGENTE RUOLO AMMINISTRATIVO A TEMPO DETERMINATO</t>
  </si>
  <si>
    <t>5.08.01.02.0505</t>
  </si>
  <si>
    <t>INPDAP-ENPDEPI DEL PERSONALE DIRIGENTE RUOLO AMMINISTRATIVO A TEMPO DETERMINATO</t>
  </si>
  <si>
    <t>5.08.01.02.0506</t>
  </si>
  <si>
    <t>INAIL DEL PERSONALE DIRIGENTE RUOLO AMMINISTRATIVO A TEMPO DETERMINATO</t>
  </si>
  <si>
    <t>5.08.01.02.0507</t>
  </si>
  <si>
    <t>INPDAP-OPERA PREVIDENZA DEL PERSONALE DIRIGENTE RUOLO AMMINISTRATIVO A TEMPO DETERMINATO</t>
  </si>
  <si>
    <t>5.08.01.02.0508</t>
  </si>
  <si>
    <t>ALTRI ONERI CONTRIBUTIVI DEL PERSONALE DIRIGENTE RUOLO AMMINISTRATIVO A TEMPO DETERMINATO</t>
  </si>
  <si>
    <t>5.08.01.02.0601</t>
  </si>
  <si>
    <t>COSTO DEL PERSONALE DIRIGENTE AMMINISTRATIVO - TEMPO DETERMINATO - ACCANTONAMENTO TFR</t>
  </si>
  <si>
    <t>Costo del personale dirigente amministrativo - tempo determinato - Accantonamento TFR</t>
  </si>
  <si>
    <t>5.08.01.02.0701</t>
  </si>
  <si>
    <t>ALTRI ONERI -FERIE MATURATE E NON USUFRUITE DEL PERSONALE DIRIGENTE RUOLO AMMINISTRATIVO A TEMPO DETERMINATO</t>
  </si>
  <si>
    <t>Costo del personale dirigente ruolo amministrativo - tempo determinato - Altri costi del personale</t>
  </si>
  <si>
    <t>5.08.01.02.0702</t>
  </si>
  <si>
    <t>ALTRI ONERI  MANCATO PREAVVISO DEL PERSONALE DIRIGENTE RUOLO AMMINISTRATIVO A TEMPODETERMINATO</t>
  </si>
  <si>
    <t>5.08.01.02.0703</t>
  </si>
  <si>
    <t>ALTRI ONERI  CAWSE DI SERVIZIO E LIQUIDAZIONE EQUO INDENNIZZO DEL PERSONALE A TEMPO DETERMINATO</t>
  </si>
  <si>
    <t>5.08.01.02.0704</t>
  </si>
  <si>
    <t>ALTRI ONERI  EREDI  DEL PERSONALE DIRIGENTE RUOLO AMMINISTRATIVO A TEMPO DETERMINATO</t>
  </si>
  <si>
    <t>5.08.01.02.0705</t>
  </si>
  <si>
    <t>LIQUIDAZIONE TFR   DEL PERSONALE DIRIGENTE RUOLO AMMINISTRATIVO A TEMPO DETERMINATO</t>
  </si>
  <si>
    <t>5.08.01.02.0706</t>
  </si>
  <si>
    <t>ASSEGNI NUCLEO FAMILIARE   DEL PERSONALE DIRIGENTE RUOLO AMMINISTRATIVO A TEMPO DETERMINATO</t>
  </si>
  <si>
    <t>5.08.01.02.0707</t>
  </si>
  <si>
    <t>SPETTANZE PERSONALE COMANDATO   DEL PERSONALE DIRIGENTE RUOLO AMMINISTRATIVO A TEMPO DETERMINATO</t>
  </si>
  <si>
    <t>5.08.01.02.0708</t>
  </si>
  <si>
    <t>FONDI TRATT. ACCESSORIO   DEL PERSONALE DIRIGENTE RUOLO AMMINISTRATIVO A TEMPO DETERMINATO</t>
  </si>
  <si>
    <t>5.08.01.02.0709</t>
  </si>
  <si>
    <t>INTERVENTI SOCIO ASSISTENZIALI DEL PERSONALE DIRIGENTE RUOLO AMMINISTRATIVO A TEMPO DETERMINATO</t>
  </si>
  <si>
    <t>5.08.01.02.0710</t>
  </si>
  <si>
    <t>CONTRIBUTO AOUP X FORMAZIONE   DEL PERSONALE DIRIGENTE RUOLO AMMINISTRATIVO A TEMPO DETERMINATO</t>
  </si>
  <si>
    <t>5.08.01.02.0711</t>
  </si>
  <si>
    <t>INDENNITA' DI ATENEO   DEL PERSONALE DIRIGENTE RUOLO AMMINISTRATIVO A TEMPO DETERMINATO</t>
  </si>
  <si>
    <t>5.08.01.02.0712</t>
  </si>
  <si>
    <t>CONTRIBUTO AOUP   DEL PERSONALE DIRIGENTE RUOLO AMMINISTRATIVO A TEMPO DETERMINATO</t>
  </si>
  <si>
    <t>5.08.01.02.0801</t>
  </si>
  <si>
    <t>CONTRIBUTO AOUP   DEL PERSONALE DIRIGENTE RUOLO AMMINISTRATIVO A TEMPO DETERMINATO- RETRIBUZIONI DI RISULTATO  E ALTRI TRATTAMENTI ACCESORI</t>
  </si>
  <si>
    <t xml:space="preserve">B.8.A.3 </t>
  </si>
  <si>
    <t>B.8.A.3) Costo del personale dirigente ruolo amministrativo - altro</t>
  </si>
  <si>
    <t>5.08.01.03.0101</t>
  </si>
  <si>
    <t>COSTO DEL PERSONALE DIRIGENTE RUOLO AMMINISTRATIVO - ALTRO</t>
  </si>
  <si>
    <t>B.8.B</t>
  </si>
  <si>
    <t>B.8.B) Costo del personale comparto ruolo amministrativo</t>
  </si>
  <si>
    <t>B.8.B.1</t>
  </si>
  <si>
    <t>B.8.B.1) Costo del personale comparto ruolo amministrativo - tempo indeterminato</t>
  </si>
  <si>
    <t>5.08.02.01.0101</t>
  </si>
  <si>
    <t>COSTO DEL PERSONALE COMPARTO RUOLO AMMINISTRATIVO - TEMPO INDETERMINATO - TABELLARE</t>
  </si>
  <si>
    <t>Costo del personale comparto ruolo amministrativo - tempo indeterminato - Competenze fisse</t>
  </si>
  <si>
    <t>5.08.02.01.0102</t>
  </si>
  <si>
    <t>COSTO DEL PERSONALE COMPARTO RUOLO AMMINISTRATIVO - TEMPO INDETERMINATO - CONGUAGLIO ART.31</t>
  </si>
  <si>
    <t>COSTO DEL PERSONALE COMPARTO RUOLO AMMINISTRATIVO - TEMPO INDETERMINATO - CONGUAFLIO ART.31</t>
  </si>
  <si>
    <t>5.08.02.01.0501</t>
  </si>
  <si>
    <t>INPDAP - CPDEL  DEL PERSONALE COMPARTO RUOLO AMMINISTRATIVO A TEMPO INDETERMINATO</t>
  </si>
  <si>
    <t>Costo del personale comparto ruolo amministrativo - tempo indeterminato - Oneri Sociali</t>
  </si>
  <si>
    <t>5.08.02.01.0502</t>
  </si>
  <si>
    <t>INPDAP - INADEL  DEL PERSONALE COMPARTO RUOLO AMMINISTRATIVO A TEMPO INDETERMINATO</t>
  </si>
  <si>
    <t>5.08.02.01.0503</t>
  </si>
  <si>
    <t>INPS  DEL PERSONALE COMPARTO RUOLO AMMINISTRATIVO A TEMPO INDETERMINATO</t>
  </si>
  <si>
    <t>5.08.02.01.0504</t>
  </si>
  <si>
    <t>INPDAP-TESORO  DEL PERSONALE COMPARTO RUOLO AMMINISTRATIVO A TEMPO INDETERMINATO</t>
  </si>
  <si>
    <t>5.08.02.01.0505</t>
  </si>
  <si>
    <t>INAIL  DEL PERSONALE COMPARTO RUOLO AMMINISTRATIVO A TEMPO INDETERMINATO</t>
  </si>
  <si>
    <t>5.08.02.01.0506</t>
  </si>
  <si>
    <t>INPDAP-OPERA PREVIDENZA  DEL PERSONALE COMPARTO RUOLO AMMINISTRATIVO A TEMPO INDETERMINATO</t>
  </si>
  <si>
    <t>5.08.02.01.0507</t>
  </si>
  <si>
    <t>INPDAP-ENPDEP DEL PERSONALE COMPARTO RUOLO AMMINISTRATIVO A TEMPO INDETERMINATO</t>
  </si>
  <si>
    <t>5.08.02.01.0508</t>
  </si>
  <si>
    <t>ALTRI ONERI CONTRIBUTIVI  DEL PERSONALE COMPARTO RUOLO AMMINISTRATIVO A TEMPO INDETERMINATO</t>
  </si>
  <si>
    <t>5.08.02.01.0601</t>
  </si>
  <si>
    <t>COSTO DEL PERSONALE COMPARTO RUOLO AMMINISTRATIVO - TEMPO INDETERMINATO - ACCANTONAMENTO TFR</t>
  </si>
  <si>
    <t>Costo del personale comparto ruolo amministrativo - tempo indeterminato - Accantonamento TFR</t>
  </si>
  <si>
    <t>5.08.02.01.0701</t>
  </si>
  <si>
    <t>COSTO DEL PERSONALE COMPARTO RUOLO AMMINISTRATIVO - TEMPO INDETERMINATO - COMPENSI  PER ATTIVITA SUES 118</t>
  </si>
  <si>
    <t>Costo del personale comparto ruolo amministrativo - tempo indeterminato - Compensi  per attività SUES 118</t>
  </si>
  <si>
    <t>5.08.02.01.0801</t>
  </si>
  <si>
    <t>COSTO DEL PERSONALE COMPARTO RUOLO AMMINISTRATIVO - TEMPO INDETERMINATO - ONERI SOCIALI SU "COMPENSI  PER ATTIVITA SUES 118"</t>
  </si>
  <si>
    <t>Costo del personale comparto ruolo amministrativo - tempo indeterminato - Oneri sociali su "Compensi  per attività SUES 118"</t>
  </si>
  <si>
    <t>5.08.02.01.0901</t>
  </si>
  <si>
    <t>ALTRI ONERI - FERIE MATURATE E NON USUFRUITE DEL PERSONALE COMPARTO RUOLO AMMINISTRATIVO A TEMPO INDETERMINATO</t>
  </si>
  <si>
    <t>Costo del personale comparto ruolo amministrativo - tempo indeterminato - Altri costi del personale</t>
  </si>
  <si>
    <t>5.08.02.01.0902</t>
  </si>
  <si>
    <t>ALTRI ONERI - MANCATO PREAVVISO DEL PERSONALE COMPARTO RUOLO AMMINISTRATIVO A TEMPO INDETERMINATO</t>
  </si>
  <si>
    <t>5.08.02.01.0903</t>
  </si>
  <si>
    <t>ALTRI ONERI - CAWSE DI SERVIZIO E LIQUIDAZIONE EQUO INDENNIZZO DEL PERSONALE COMPARTO RUOLO AMMINISTRATIVO A TEMPO INDETERMINATO</t>
  </si>
  <si>
    <t>5.08.02.01.0904</t>
  </si>
  <si>
    <t>ALTRI ONERI - EREDI DEL PERSONALE COMPARTO RUOLO AMMINISTRATIVO A TEMPO INDETERMINATO</t>
  </si>
  <si>
    <t>5.08.02.01.0905</t>
  </si>
  <si>
    <t>ALTRI ONERI - ASSEGNI NUCLEO FAMILIARE DEL PERSONALE COMPARTO RUOLO AMMINISTRATIVO A TEMPO INDETERMINATO</t>
  </si>
  <si>
    <t>5.08.02.01.0906</t>
  </si>
  <si>
    <t>ALTRI ONERI - INDENNITA' MANEGGIO VALORI DEL PERSONALE COMPARTO RUOLO AMMINISTRATIVO A TEMPO INDETERMINATO</t>
  </si>
  <si>
    <t>5.08.02.01.0907</t>
  </si>
  <si>
    <t>INDENNITA' DI RESP./COORD. AOUPCOMPARTO AMM.VO TEMPO INDETERMINATO</t>
  </si>
  <si>
    <t>5.08.02.01.0908</t>
  </si>
  <si>
    <t>ALTRI ONERI -LIQUIDAZIONE TFR DEL PERSONALE COMPARTO RUOLO AMMINISTRATIVO A TEMPO INDETERMINATO</t>
  </si>
  <si>
    <t>5.08.02.01.0909</t>
  </si>
  <si>
    <t>ALTRI ONERI -EMOLUMENTI DERIVANTI DA ENTI ESTERNI DEL PERSONALE COMPARTO RUOLO AMMINISTRATIVO A TEMPO INDETERMINATO</t>
  </si>
  <si>
    <t>5.08.02.01.0910</t>
  </si>
  <si>
    <t>ALTRI ONERI -INTERVENTI SOCIO ASSISTENZIALI AOUP DEL PERSONALE COMPARTO RUOLO AMMINISTRATIVO A TEMPO INDETERMINATO</t>
  </si>
  <si>
    <t>5.08.02.01.0911</t>
  </si>
  <si>
    <t>ALTRI ONERI -SPETTANZE PERSONALE COMANDATO DEL PERSONALE COMPARTO RUOLO AMMINISTRATIVO A TEMPO INDETERMINATO</t>
  </si>
  <si>
    <t>5.08.02.01.0912</t>
  </si>
  <si>
    <t>ALTRI ONERI - FONDI TRATT.ACCESSORIOI DEL PERSONALE COMPARTO RUOLO AMMINISTRATIVO A TEMPO INDETERMINATO</t>
  </si>
  <si>
    <t>5.08.02.01.0913</t>
  </si>
  <si>
    <t>ALTRI ONERI - CONTRIBUTO AOUP X FORMAZIONE  DEL PERSONALE COMPARTO RUOLO AMMINISTRATIVO A TEMPO INDETERMINATO</t>
  </si>
  <si>
    <t>5.08.02.01.0914</t>
  </si>
  <si>
    <t>ALTRI ONERI -INDENNITA' DI ATENEO  DEL PERSONALE COMPARTO RUOLO AMMINISTRATIVO A TEMPO INDETERMINATO</t>
  </si>
  <si>
    <t>5.08.02.01.1001</t>
  </si>
  <si>
    <t>COSTO DEL PERSONALE COMPARTO RUOLO AMMINISTRATIVO - TEMPO INDETERMINATO - compensi per condizioni di lavoro e incarichi</t>
  </si>
  <si>
    <t>Costo del personale comparto ruolo amministrativo - tempo indeterminato - Compensi per condizioni di lavoro e incarichi</t>
  </si>
  <si>
    <t>5.08.02.01.1101</t>
  </si>
  <si>
    <t>COSTO DEL PERSONALE COMPARTO RUOLO AMMINISTRATIVO - TEMPO INDETERMINATO - compensi per premialità e fasce</t>
  </si>
  <si>
    <t>Costo del personale comparto ruolo amministrativo - tempo indeterminato - Compensi per premialità e fasce</t>
  </si>
  <si>
    <t>5.08.02.01.1201</t>
  </si>
  <si>
    <t>COSTO DEL PERSONALE COMPARTO RUOLO AMMINISTRATIVO - TEMPO INDETERMINATO - Retribuzione degli incarichi, progressioni economiche e indennità professionali</t>
  </si>
  <si>
    <t>5.08.02.01.1301</t>
  </si>
  <si>
    <t>COSTO DEL PERSONALE COMPARTO RUOLO AMMINISTRATIVO - TEMPO INDETERMINATO - Retribuzioni premialità e condizioni di lavoro</t>
  </si>
  <si>
    <t>B.8.B.2</t>
  </si>
  <si>
    <t>B.8.B.2) Costo del personale comparto ruolo amministrativo - tempo determinato</t>
  </si>
  <si>
    <t>5.08.02.02.0101</t>
  </si>
  <si>
    <t>COSTO DEL PERSONALE COMPARTO RUOLO AMMINISTRATIVO - TEMPO DETERMINATO - TABELLARE</t>
  </si>
  <si>
    <t>Costo del personale comparto ruolo amministrativo - tempo determinato - Competenze fisse</t>
  </si>
  <si>
    <t>5.08.02.02.0501</t>
  </si>
  <si>
    <t>INPDAP - CPDEL  DEL PERSONALE COMPARTO RUOLO AMMINISTRATIVO A TEMPO DETERMINATO</t>
  </si>
  <si>
    <t>Costo del personale comparto ruolo amministrativo - tempo determinato - Oneri Sociali</t>
  </si>
  <si>
    <t>5.08.02.02.0502</t>
  </si>
  <si>
    <t>INPDAP - INADEL  DEL PERSONALE COMPARTO RUOLO AMMINISTRATIVO A TEMPO DETERMINATO</t>
  </si>
  <si>
    <t>5.08.02.02.0503</t>
  </si>
  <si>
    <t>INPS  DEL PERSONALE COMPARTO RUOLO AMMINISTRATIVO A TEMPODETERMINATO</t>
  </si>
  <si>
    <t>5.08.02.02.0504</t>
  </si>
  <si>
    <t>INPDAP-TESORO  DEL PERSONALE COMPARTO RUOLO AMMINISTRATIVO A TEMPO DETERMINATO</t>
  </si>
  <si>
    <t>5.08.02.02.0505</t>
  </si>
  <si>
    <t>INPDAP-ENPEDEP DEL PERSONALE COMPARTO RUOLO AMMINISTRATIVO A TEMPO DETERMINATO</t>
  </si>
  <si>
    <t>5.08.02.02.0506</t>
  </si>
  <si>
    <t>INAIL  DEL PERSONALE COMPARTO RUOLO AMMINISTRATIVO A TEMPO DETERMINATO</t>
  </si>
  <si>
    <t>5.08.02.02.0507</t>
  </si>
  <si>
    <t>INPADAP-OPERA PREVIDENZA DEL PERSONALE COMPARTO RUOLO AMMINISTRATIVO A TEMPO DETERMINATO</t>
  </si>
  <si>
    <t>5.08.02.02.0508</t>
  </si>
  <si>
    <t>ALTRI ONERI CONTRIBUTIVI  DEL PERSONALE COMPARTO RUOLO AMMINISTRATIVO A TEMPO DETERMINATO</t>
  </si>
  <si>
    <t>5.08.02.02.0601</t>
  </si>
  <si>
    <t>COSTO DEL PERSONALE COMPARTO RUOLO AMMINISTRATIVO - TEMPO DETERMINATO - ACCANTONAMENTO TFR</t>
  </si>
  <si>
    <t>Costo del personale comparto ruolo amministrativo - tempo determinato - Accantonamento TFR</t>
  </si>
  <si>
    <t>5.08.02.02.0701</t>
  </si>
  <si>
    <t>COSTO DEL PERSONALE COMPARTO RUOLO AMMINISTRATIVO - TEMPO DETERMINATO - COMPENSI  PER ATTIVITA SUES 118</t>
  </si>
  <si>
    <t>Costo del personale comparto ruolo amministrativo - tempo determinato - Compensi  per attività SUES 118</t>
  </si>
  <si>
    <t>5.08.02.02.0801</t>
  </si>
  <si>
    <t>COSTO DEL PERSONALE COMPARTO RUOLO AMMINISTRATIVO - TEMPO DETERMINATO - ONERI SOCIALI SU "COMPENSI  PER ATTIVITA SUES 118"</t>
  </si>
  <si>
    <t>Costo del personale comparto ruolo amministrativo - tempo determinato - Oneri sociali su "Compensi  per attività SUES 118"</t>
  </si>
  <si>
    <t>5.08.02.02.0901</t>
  </si>
  <si>
    <t>ALTRI ONERI - FERIE MATURATE E NON USUFRUITE DEL PERSONALE COMPARTO RUOLO AMMINISTRATIVO A TEMPO DETERMINATO</t>
  </si>
  <si>
    <t>Costo del personale comparto ruolo amministrativo - tempo determinato - Altri costi del personale</t>
  </si>
  <si>
    <t>5.08.02.02.0902</t>
  </si>
  <si>
    <t>ALTRI ONERI - MANCATO PREAVVISO DEL PERSONALE COMPARTO RUOLO AMMINISTRATIVO A TEMPO DETERMINATO</t>
  </si>
  <si>
    <t>5.08.02.02.0903</t>
  </si>
  <si>
    <t>ALTRI ONERI - CAWSE DI SERVIZIO E LIQUIDAZIONE EQUO INDENNIZZO DEL PERSONALE COMPARTO RUOLO AMMINISTRATIVO A TEMPO DETERMINATO</t>
  </si>
  <si>
    <t>5.08.02.02.0904</t>
  </si>
  <si>
    <t>ALTRI ONERI - EREDI DEL PERSONALE COMPARTO RUOLO AMMINISTRATIVO A TEMPO DETERMINATO</t>
  </si>
  <si>
    <t>5.08.02.02.0905</t>
  </si>
  <si>
    <t>ALTRI ONERI - ASSEGNI NUCLEO FAMILIARE DEL PERSONALE COMPARTO RUOLO AMMINISTRATIVO A TEMPO DETERMINATO</t>
  </si>
  <si>
    <t>5.08.02.02.0907</t>
  </si>
  <si>
    <t>ALTRI ONERI - LIQUIDAZIONI TFR  DEL PERSONALE COMPARTO RUOLO AMMINISTRATIVO A TEMPO DETERMINATO</t>
  </si>
  <si>
    <t>5.08.02.02.0908</t>
  </si>
  <si>
    <t>ALTRI ONERI - SPETTANZE PERSONALE COMANDATODEL PERSONALE COMPARTO RUOLO AMMINISTRATIVO A TEMPO DETERMINATO</t>
  </si>
  <si>
    <t>5.08.02.02.0909</t>
  </si>
  <si>
    <t>ALTRI ONERI -FONDI TRATT. ACCESSORIO DEL PERSONALE COMPARTO RUOLO AMMINISTRATIVO A TEMPO DETERMINATO</t>
  </si>
  <si>
    <t>5.08.02.02.0910</t>
  </si>
  <si>
    <t>ALTRI ONERI - INTERVENTI SOCIO ASSISTENZIALI  DEL PERSONALE COMPARTO RUOLO AMMINISTRATIVO A TEMPO DETERMINATO</t>
  </si>
  <si>
    <t>5.08.02.02.0911</t>
  </si>
  <si>
    <t>ALTRI ONERI - CONTRIBUTO AOUP X FORMAZION DEL PERSONALE COMPARTO RUOLO AMMINISTRATIVO A TEMPO DETERMINATO</t>
  </si>
  <si>
    <t>5.08.02.02.0912</t>
  </si>
  <si>
    <t>ALTRI ONERI -INDENNITA' DI ATENEO  DEL PERSONALE COMPARTO RUOLO AMMINISTRATIVO A TEMPO DETERMINATO</t>
  </si>
  <si>
    <t>5.08.02.02.0913</t>
  </si>
  <si>
    <t>ALTRI ONERI - EMOLUMENTI DERIVATI DA ENTI ESTERNI (CORSI FORMAZIONE AIDS E ALTRI RIMBORSI) DEL PERSONALE COMPARTO RUOLO AMMINISTRATIVO A</t>
  </si>
  <si>
    <t>5.08.02.02.1001</t>
  </si>
  <si>
    <t>COSTO DEL PERSONALE COMPARTO RUOLO AMMINISTRATIVO - TEMPO DETERMINATO - compensi per condizioni di lavoro e incarichi</t>
  </si>
  <si>
    <t>Costo del personale comparto ruolo amministrativo - tempo determinato - Compensi per condizioni di lavoro e incarichi</t>
  </si>
  <si>
    <t>5.08.02.02.1101</t>
  </si>
  <si>
    <t>COSTO DEL PERSONALE COMPARTO RUOLO AMMINISTRATIVO - TEMPO DETERMINATO - compensi per premialità e fasce</t>
  </si>
  <si>
    <t>Costo del personale comparto ruolo amministrativo - tempo determinato - Compensi per premialità e fasce</t>
  </si>
  <si>
    <t>5.08.02.02.1201</t>
  </si>
  <si>
    <t>COSTO DEL PERSONALE COMPARTO RUOLO AMMINISTRATIVO - TEMPO DETERMINATO - Retribuzione degli incarichi, progressioni economiche e indennità professionali</t>
  </si>
  <si>
    <t>5.08.02.02.1301</t>
  </si>
  <si>
    <t>COSTO DEL PERSONALE COMPARTO RUOLO AMMINISTRATIVO - TEMPO DETERMINATO - Retribuzione premialità e condizioni di lavoro</t>
  </si>
  <si>
    <t>B.8.B.3</t>
  </si>
  <si>
    <t>B.8.B.3) Costo del personale comparto ruolo amministrativo - altro</t>
  </si>
  <si>
    <t>5.08.02.03.0101</t>
  </si>
  <si>
    <t>COSTO DEL PERSONALE COMPARTO RUOLO AMMINISTRATIVO - ALTRO -TABELLARE</t>
  </si>
  <si>
    <t>5.08.02.03.0102</t>
  </si>
  <si>
    <t>COSTO DEL PERSONALE COMPARTO RUOLO AMMINISTRATIVO - ALTRO - RETRIBUZIONE PER LE FASCE RETRIBUTIVE, POSIZIONI ORGANIZZATIVE, VALOR</t>
  </si>
  <si>
    <t>5.08.02.03.0103</t>
  </si>
  <si>
    <t>COSTO DEL PERSONALE COMPARTO RUOLO AMMINISTRATIVO - ALTRO - COMPENSI PER LAVORO STRAORDINARIO E REMUNERAZIONE DI PARTICOLARI COND</t>
  </si>
  <si>
    <t>5.08.02.03.0104</t>
  </si>
  <si>
    <t>COSTO DEL PERSONALE COMPARTO RUOLO AMMINISTRATIVO - ALTRO - PRODUTTIVITA COLLETTIVA PER IL MIGLIORAMENTO DEI SERVIZI E IL PREMIO</t>
  </si>
  <si>
    <t>5.08.02.03.0105</t>
  </si>
  <si>
    <t>INPDAP - CPDEL DEL PERSONALE COMPARTO RUOLO AMMINISTRATIVO - ALTRO</t>
  </si>
  <si>
    <t>5.08.02.03.0106</t>
  </si>
  <si>
    <t>INPDAP - INADEL DEL PERSONALE</t>
  </si>
  <si>
    <t>5.08.02.03.0107</t>
  </si>
  <si>
    <t>INPS DEL PERSONALE COMPARTO RUOLO AMMINISTRATIVO - ALTRO</t>
  </si>
  <si>
    <t>5.08.02.03.0108</t>
  </si>
  <si>
    <t>INPDAP-TESORO DEL PERSONALE COMPARTO RUOLO AMMINISTRATIVO - ALTRO</t>
  </si>
  <si>
    <t>5.08.02.03.0109</t>
  </si>
  <si>
    <t>INPDAP-ENPDEP DEL PERSONALE COMPARTO RUOLO AMMINISTRATIVO - ALTRO</t>
  </si>
  <si>
    <t>5.08.02.03.0110</t>
  </si>
  <si>
    <t>INAIL DEL PERSONALE COMPARTO RUOLO AMMINISTRATIVO - ALTRO</t>
  </si>
  <si>
    <t>5.08.02.03.0111</t>
  </si>
  <si>
    <t>INPDAP-OPERA  DEL PERSONALE COMPARTO RUOLO AMMINISTRATIVO - ALTRO</t>
  </si>
  <si>
    <t>5.08.02.03.0112</t>
  </si>
  <si>
    <t>ALTRI ONERI CONTRIBUTIVI  DEL PERSONALE COMPARTO RUOLO AMMINISTRATIVO - ALTRO</t>
  </si>
  <si>
    <t>5.08.02.03.0113</t>
  </si>
  <si>
    <t>ALTRI ONERI -FERIE MATURATE E NON USUFRUITE DEL PERSONALE COMPARTO RUOLO AMMINISTRATIVO - ALTRO</t>
  </si>
  <si>
    <t>5.08.02.03.0114</t>
  </si>
  <si>
    <t>ALTRI ONERI - MANCATO PREAVVISO DEL PERSONALE COMPARTO RUOLO AMMINISTRATIVO - ALTRO</t>
  </si>
  <si>
    <t>5.08.02.03.0115</t>
  </si>
  <si>
    <t>ALTRI ONERI - CAWSE DI SERVIZIO E LIQUIDAZIONE EQUO INDENNIZZO DEL PERSONALE COMPARTO RUOLO AMMINISTRATIVO - ALTRO</t>
  </si>
  <si>
    <t>5.08.02.03.0116</t>
  </si>
  <si>
    <t>ALTRI ONERI - EREDI DEL PERSONALE COMPARTO RUOLO AMMINISTRATIVO - ALTRO</t>
  </si>
  <si>
    <t>5.08.02.03.0117</t>
  </si>
  <si>
    <t>ALTRI ONERI - ASSEGNI NUCLEO FAMILIARE  DEL PERSONALE COMPARTO RUOLO AMMINISTRATIVO - ALTRO</t>
  </si>
  <si>
    <t>5.08.02.03.0118</t>
  </si>
  <si>
    <t>ALTRI ONERI - INDENNITA' MANEGGIO VALRI  DEL PERSONALE COMPARTO RUOLO AMMINISTRATIVO - ALTRO</t>
  </si>
  <si>
    <t>5.08.02.03.0119</t>
  </si>
  <si>
    <t>COSTO DEL PERSONALE COMPARTO RUOLO AMMINISTRATIVO - ALTRO - COMPENSI  PER ATTIVITA SUES 118</t>
  </si>
  <si>
    <t>5.08.02.03.0120</t>
  </si>
  <si>
    <t>COSTO DEL PERSONALE COMPARTO RUOLO AMMINISTRATIVO - ALTRO- ONERI SOCIALI SU "COMPENSI  PER ATTIVITA SUES 118"</t>
  </si>
  <si>
    <t>5.08.02.03.0121</t>
  </si>
  <si>
    <t>COSTO DEL PERSONALE COMPARTO RUOLO AMMINISTRATIVO - ALTRO- LIQUIDAZIONE TFR</t>
  </si>
  <si>
    <t>5.08.02.03.0122</t>
  </si>
  <si>
    <t>COSTO DEL PERSONALE COMPARTO RUOLO AMMINISTRATIVO - ALTRO- SPETTANZE PERSONALE COMANDATO CA ALTRO</t>
  </si>
  <si>
    <t>5.08.02.03.0123</t>
  </si>
  <si>
    <t>COSTO DEL PERSONALE COMPARTO RUOLO AMMINISTRATIVO - ALTRO- FONDI TRATT. ACCESSORIO CA ALTRO</t>
  </si>
  <si>
    <t>5.08.02.03.0124</t>
  </si>
  <si>
    <t>COSTO DEL PERSONALE COMPARTO RUOLO AMMINISTRATIVO - ALTRO- INTERVENTI SOCIO ASSISTENZIALE AOUP CA ALTRO</t>
  </si>
  <si>
    <t>5.08.02.03.0125</t>
  </si>
  <si>
    <t>COSTO DEL PERSONALE COMPARTO RUOLO AMMINISTRATIVO - ALTRO- CONTRIBUTO AOUP X FORMAZIONE CA ALTRO</t>
  </si>
  <si>
    <t>5.08.02.03.0127</t>
  </si>
  <si>
    <t>COSTO DEL PERSONALE COMPARTO RUOLO AMMINISTRATIVO - ALTRO- INDENNITA' DI RESPONSABILITA' / COORDINAMENTO AOUP CA ALTRO</t>
  </si>
  <si>
    <t>5.08.02.03.0128</t>
  </si>
  <si>
    <t>COSTO DEL PERSONALE COMPARTO RUOLO AMMINISTRATIVO - ALTRO- EMOLUMENTI DERIVANTI DA ENTI ESTERNI (CORSI FORMAZIONE AIDS E ALTRI RIMBORSI)</t>
  </si>
  <si>
    <t>5.08.02.03.0129</t>
  </si>
  <si>
    <t>COSTO DEL PERSONALE COMPARTO RUOLO AMMINISTRATIVO - ALTRO - compensi per condizioni di lavoro e incarichi</t>
  </si>
  <si>
    <t>5.08.02.03.0130</t>
  </si>
  <si>
    <t>COSTO DEL PERSONALE COMPARTO RUOLO AMMINISTRATIVO - ALTRO - compensi per premialità e fasce</t>
  </si>
  <si>
    <t>BA2500</t>
  </si>
  <si>
    <t>Oneri diversi di gestione</t>
  </si>
  <si>
    <t xml:space="preserve">B.9 </t>
  </si>
  <si>
    <t>B.9)   Oneri diversi di gestione</t>
  </si>
  <si>
    <t xml:space="preserve">B.9.A) </t>
  </si>
  <si>
    <t>B.9.A)  Imposte e tasse (escluso IRAP e IRES)</t>
  </si>
  <si>
    <t>B.9.A) Imposte e tasse (escluso IRAP e IRES)</t>
  </si>
  <si>
    <t>5.09.01.01.0101</t>
  </si>
  <si>
    <t>ICI</t>
  </si>
  <si>
    <t>5.09.01.01.0102</t>
  </si>
  <si>
    <t>TASSA RIFIUTI URBANI</t>
  </si>
  <si>
    <t>5.09.01.01.0103</t>
  </si>
  <si>
    <t>MULTE E AMMENDE</t>
  </si>
  <si>
    <t>5.09.01.01.0104</t>
  </si>
  <si>
    <t>IVA PER CONDONO</t>
  </si>
  <si>
    <t>5.09.01.01.0105</t>
  </si>
  <si>
    <t>ALTRE IMPOSTE PER CONDONO</t>
  </si>
  <si>
    <t>5.09.01.01.0106</t>
  </si>
  <si>
    <t>ALTRE IMPOSTE E TASSE</t>
  </si>
  <si>
    <t xml:space="preserve">B.9.B) </t>
  </si>
  <si>
    <t>B.9.B)  Perdite su crediti</t>
  </si>
  <si>
    <t>B.9.B) Perdite su crediti</t>
  </si>
  <si>
    <t>5.09.02.01.0101</t>
  </si>
  <si>
    <t>PERDITE SU CREDITI</t>
  </si>
  <si>
    <t>BA2530</t>
  </si>
  <si>
    <t>B.9.C</t>
  </si>
  <si>
    <t>B.9.C) Altri oneri diversi di gestione</t>
  </si>
  <si>
    <t xml:space="preserve">B.9.C.1  </t>
  </si>
  <si>
    <t>B.9.C.1) Indennità, rimborso spese e oneri sociali per gli Organi Direttivi e Collegio Sindacale</t>
  </si>
  <si>
    <t>5.09.03.01.0101</t>
  </si>
  <si>
    <t>Indennita, rimborso spese e oneri sociali per gli Organi Direttivi e Collegio Sindacale</t>
  </si>
  <si>
    <t>5.09.03.01.0102</t>
  </si>
  <si>
    <t>INDENNITA, RIMBORSO SPESE E ONERI SOCIALI PER COLLEGIO SINDACALE</t>
  </si>
  <si>
    <t>5.09.03.01.0103</t>
  </si>
  <si>
    <t>INDENNITA, RIMBORSO SPESE E ONERI SOCIALI PER ALTRI ORGANISMI AZIENDALI</t>
  </si>
  <si>
    <t xml:space="preserve">B.9.C.2  </t>
  </si>
  <si>
    <t>B.9.C.2) Altri oneri diversi di gestione</t>
  </si>
  <si>
    <t>5.09.03.02.0101</t>
  </si>
  <si>
    <t>SPESE LEGALI PER CONTENZIOSI</t>
  </si>
  <si>
    <t>RETTIFICA PER ERRATA CONTABILIZZAZIONE (MODIFICA IN UTILIZZO FONDO)</t>
  </si>
  <si>
    <t>VERIFICARE ORDINI E FT DA RICEVERE</t>
  </si>
  <si>
    <t>Spese legali da decreti ingiuntivi, liti, arbitrAFgi, risarcimenti e transazioni</t>
  </si>
  <si>
    <t>5.09.03.02.0102</t>
  </si>
  <si>
    <t>SPESE LEGALI PER TRANSAZIONI</t>
  </si>
  <si>
    <t>5.09.03.02.9901</t>
  </si>
  <si>
    <t>SPESE POSTALI</t>
  </si>
  <si>
    <t>5.09.03.02.9902</t>
  </si>
  <si>
    <t>SPESE DI PUBBLICITA</t>
  </si>
  <si>
    <t>5.09.03.02.9903</t>
  </si>
  <si>
    <t>ARROTONDAMENTI</t>
  </si>
  <si>
    <t>5.09.03.02.9904</t>
  </si>
  <si>
    <t>ACCREDITAMENTO ECM</t>
  </si>
  <si>
    <t>5.09.03.02.9905</t>
  </si>
  <si>
    <t>SPESE PER VALORI BOLLATI</t>
  </si>
  <si>
    <t>5.09.03.02.9906</t>
  </si>
  <si>
    <t>SPESE PER BOLLI AUTOMEZZI</t>
  </si>
  <si>
    <t>5.09.03.02.9907</t>
  </si>
  <si>
    <t>SPESE PER COMITATO ETICO</t>
  </si>
  <si>
    <t>RETTIFICATO PER CORREZIONE CONTABILE INTERCOMPANY</t>
  </si>
  <si>
    <t>5.09.03.02.9908</t>
  </si>
  <si>
    <t>SPESE DIVERSE</t>
  </si>
  <si>
    <t>RETTIFICA PER ERRATA CONTABILIZZAZIONE (MODIFICA IN UTILIZZO FONDO - SENTENZA DIP.TI) - VERIFICARE PRESENZA DI ALTRE SOMME NON PERTINENTI IN CONTO</t>
  </si>
  <si>
    <t>5.09.03.02.9909</t>
  </si>
  <si>
    <t>SPESE DI RAPPRESENTANZA</t>
  </si>
  <si>
    <t>5.09.03.02.9910</t>
  </si>
  <si>
    <t>ALTRI ONERI  - TRASFERTE, RIMBORSI VARIE - DIRIGENTE MEDICO</t>
  </si>
  <si>
    <t>5.09.03.02.9911</t>
  </si>
  <si>
    <t>ALTRI ONERI  - TRASFERTE, RIMBORSI VARIE - DIRIGENTE SANITARIO NON MEDICO</t>
  </si>
  <si>
    <t>5.09.03.02.9912</t>
  </si>
  <si>
    <t>ALTRI ONERI  - TRASFERTE, RIMBORSI VARIE - COMPARTO RUOLO SANITARIO</t>
  </si>
  <si>
    <t>5.09.03.02.9913</t>
  </si>
  <si>
    <t>ALTRI ONERI  - TRASFERTE, RIMBORSI VARIE - DIRIGENTE RUOLO PROFESSIONALE</t>
  </si>
  <si>
    <t>5.09.03.02.9914</t>
  </si>
  <si>
    <t>ALTRI ONERI  - TRASFERTE, RIMBORSI VARIE - COMPARTO RUOLO PROFESSIONALE</t>
  </si>
  <si>
    <t>5.09.03.02.9915</t>
  </si>
  <si>
    <t>ALTRI ONERI  - TRASFERTE, RIMBORSI VARIE - DIRIGENTE RUOLO TECNICO</t>
  </si>
  <si>
    <t>5.09.03.02.9916</t>
  </si>
  <si>
    <t>ALTRI ONERI  - TRASFERTE, RIMBORSI VARIE - COMPARTO RUOLO TECNICO</t>
  </si>
  <si>
    <t>5.09.03.02.9917</t>
  </si>
  <si>
    <t>ALTRI ONERI  - TRASFERTE, RIMBORSI VARIE - DIRIGENTE RUOLO AMMINISTRATIVO</t>
  </si>
  <si>
    <t>5.09.03.02.9918</t>
  </si>
  <si>
    <t>ALTRI ONERI  - TRASFERTE, RIMBORSI VARIE - COMPARTO RUOLO AMMINISTRATIVO</t>
  </si>
  <si>
    <t>5.09.03.02.9919</t>
  </si>
  <si>
    <t>SPESE CONDOMINIALI</t>
  </si>
  <si>
    <t>5.09.03.02.9920</t>
  </si>
  <si>
    <t>SPESE PER CONTRIBUTI ASSOCIATIVI</t>
  </si>
  <si>
    <t>5.09.03.02.9921</t>
  </si>
  <si>
    <t>SPESE X RIPARTIZIONE SPERIMENTAZIONE CLINICA</t>
  </si>
  <si>
    <t>TRASFERIMENTO FONDI SPERIMENTAZIONE A?</t>
  </si>
  <si>
    <t>RIVEDERE ORDINI E FATTURE REGISTRATE</t>
  </si>
  <si>
    <t>5.09.03.02.9923</t>
  </si>
  <si>
    <t>SPESE DIVERSE PER PROGETTI FINALIZZATI</t>
  </si>
  <si>
    <t>5.09.03.02.9924</t>
  </si>
  <si>
    <t>SPESE PROG.PSN 2012 LINEA 4.bis</t>
  </si>
  <si>
    <t>5.09.03.02.9925</t>
  </si>
  <si>
    <t>SPESE PSN 2013 LINEA 9.1</t>
  </si>
  <si>
    <t>5.09.03.02.9926</t>
  </si>
  <si>
    <t>SPESE PSN 2013 LINEA 2.14</t>
  </si>
  <si>
    <t>5.09.03.02.9927</t>
  </si>
  <si>
    <t>SPESE PSN 2014</t>
  </si>
  <si>
    <t>5.09.03.02.9928</t>
  </si>
  <si>
    <t>DEVELOPMENT OF AN ITALIAN CLINICAL DIAGNOSTIC (HCV)</t>
  </si>
  <si>
    <t>DEVELOPMENT OF AN ITALIAN CLINICAL DIAFNOSTIC (HCV)</t>
  </si>
  <si>
    <t>5.09.03.02.9929</t>
  </si>
  <si>
    <t>SPESE PSN 2015</t>
  </si>
  <si>
    <t>5.09.03.02.9930</t>
  </si>
  <si>
    <t>SPESE PSN 2016</t>
  </si>
  <si>
    <t>5.09.03.02.9931</t>
  </si>
  <si>
    <t>SPESE PROGETTO 3031 COOPERA</t>
  </si>
  <si>
    <t>5.09.03.02.9932</t>
  </si>
  <si>
    <t>SPESE PSN 2017</t>
  </si>
  <si>
    <t>5.09.03.02.9933</t>
  </si>
  <si>
    <t>SPESE PSN ECONOMIE</t>
  </si>
  <si>
    <t>5.09.03.02.9934</t>
  </si>
  <si>
    <t>SPESE PSN 2018</t>
  </si>
  <si>
    <t>5.09.03.02.9935</t>
  </si>
  <si>
    <t>SPESE PSN 2019</t>
  </si>
  <si>
    <t>5.09.03.02.9936</t>
  </si>
  <si>
    <t>SPESE PSN 2020</t>
  </si>
  <si>
    <t>5.09.03.02.9937</t>
  </si>
  <si>
    <t>SPESSE PSN 2022</t>
  </si>
  <si>
    <t>BA2551</t>
  </si>
  <si>
    <t>5.09.03.02.0201</t>
  </si>
  <si>
    <t>Altri oneri diversi di gestione da Aziende sanitarie pubbliche della Regione</t>
  </si>
  <si>
    <t xml:space="preserve">B.9.C.3  </t>
  </si>
  <si>
    <t>B.9.C.3)  Altri oneri diversi di gestione da Aziende sanitarie pubbliche della Regione</t>
  </si>
  <si>
    <t>BA2552</t>
  </si>
  <si>
    <t>5.09.03.02.0301</t>
  </si>
  <si>
    <t xml:space="preserve"> Altri oneri diversi di gestione - per Autoassicurazione</t>
  </si>
  <si>
    <t xml:space="preserve">B.9.C.4  </t>
  </si>
  <si>
    <t>B.9.C.4)  Altri oneri diversi di gestione - per Autoassicurazione</t>
  </si>
  <si>
    <t>BA2570</t>
  </si>
  <si>
    <t>Ammortamenti delle immobilizzazioni immateriali</t>
  </si>
  <si>
    <t>RIVEDERE VALORI CON STAMPE PATRIMONIO</t>
  </si>
  <si>
    <t>B.10</t>
  </si>
  <si>
    <t>B.10) Ammortamenti delle immobilizzazioni immateriali</t>
  </si>
  <si>
    <t>5.10.01.01.0101</t>
  </si>
  <si>
    <t>AMMORTAMENTI DEI COSTI DI IMPIANTO E DI AMPLIAMENTO</t>
  </si>
  <si>
    <t>Ammortamenti dei costi di impianto e di ampliamento</t>
  </si>
  <si>
    <t>5.10.01.01.0201</t>
  </si>
  <si>
    <t>Ammortamenti dei costi di ricerca e sviluppo</t>
  </si>
  <si>
    <t>5.10.01.01.0202</t>
  </si>
  <si>
    <t>AMMORTAMENTO MIGLIORIE SU BENI DI TERZI</t>
  </si>
  <si>
    <t>5.10.01.01.0301</t>
  </si>
  <si>
    <t>Ammortamenti dei diritti di brevetto e di utilizzazione delle opere dell'ingegno</t>
  </si>
  <si>
    <t>5.10.01.01.0302</t>
  </si>
  <si>
    <t>AMMORTAMENTO DEI DIRITTI DI UTILIZZAZIONE DELLE OPERE DI INGEGNO</t>
  </si>
  <si>
    <t>5.10.01.01.0303</t>
  </si>
  <si>
    <t>AMMORTAMENTO DELLE LICENZE</t>
  </si>
  <si>
    <t>5.10.01.01.0401</t>
  </si>
  <si>
    <t>AMMORTAMENTO DEI SOFTWARE</t>
  </si>
  <si>
    <t>Ammortamenti delle altre immobilizzazioni immateriali</t>
  </si>
  <si>
    <t>5.10.01.01.0402</t>
  </si>
  <si>
    <t>AMMORTAMENTO DELLE CONCESSIONI</t>
  </si>
  <si>
    <t>5.10.01.01.0403</t>
  </si>
  <si>
    <t>AMMORTAMENTO DEI MARCHI</t>
  </si>
  <si>
    <t>5.10.01.01.0404</t>
  </si>
  <si>
    <t>AMMORTAMENTO DELLE ALTRE IMMOBILIZZAZIONI IMMATERIALI</t>
  </si>
  <si>
    <t>BA2590</t>
  </si>
  <si>
    <t>Ammortamento dei fabbricati</t>
  </si>
  <si>
    <t>B.11.A</t>
  </si>
  <si>
    <t>B.11.A) Ammortamento dei fabbricati</t>
  </si>
  <si>
    <t>BA2600</t>
  </si>
  <si>
    <t>Ammortamenti fabbricati non strumentali (disponibili)</t>
  </si>
  <si>
    <t xml:space="preserve">B.11.A.1 </t>
  </si>
  <si>
    <t>B.11.A.1) Ammortamenti fabbricati non strumentali (disponibili)</t>
  </si>
  <si>
    <t>5.11.01.01.0101</t>
  </si>
  <si>
    <t>BA2610</t>
  </si>
  <si>
    <t>Ammortamenti fabbricati strumentali (indisponibili)</t>
  </si>
  <si>
    <t xml:space="preserve">B.11.A.2 </t>
  </si>
  <si>
    <t>B.11.A.2) Ammortamenti fabbricati strumentali (indisponibili)</t>
  </si>
  <si>
    <t>5.11.02.01.0101</t>
  </si>
  <si>
    <t>BA2620</t>
  </si>
  <si>
    <t>Ammortamenti delle altre immobilizzazioni materiali</t>
  </si>
  <si>
    <t>B.11.B</t>
  </si>
  <si>
    <t>B.11.B) Ammortamenti delle altre immobilizzazioni materiali</t>
  </si>
  <si>
    <t>5.12.01.01.0101</t>
  </si>
  <si>
    <t>AMMORTAMENTI DEGLI IMPIANTI SANITARI</t>
  </si>
  <si>
    <t>Ammortamenti di impianti e macchinari</t>
  </si>
  <si>
    <t>5.12.01.01.0102</t>
  </si>
  <si>
    <t>AMMORTAMENTI DEGLI IMPIANTI SANITARI AD ALTA TECNOLOGIA</t>
  </si>
  <si>
    <t>5.12.01.01.0103</t>
  </si>
  <si>
    <t>AMMORTAMENTI DEGLI IMPIANTI ELETTRICI</t>
  </si>
  <si>
    <t>5.12.01.01.0104</t>
  </si>
  <si>
    <t>AMMORTAMENTI DEGLI IMPIANTI IDRAULICI E DI RISCALDAMENTO</t>
  </si>
  <si>
    <t>5.12.01.01.0105</t>
  </si>
  <si>
    <t>AMMORTAMENTI DEGLI IMPIANTI TELEFONICI E DI RETE</t>
  </si>
  <si>
    <t>5.12.01.01.0106</t>
  </si>
  <si>
    <t>AMMORTAMENTI DEGLI IMPIANTI DI ALLARME E SICUREZZA</t>
  </si>
  <si>
    <t>5.12.01.01.0107</t>
  </si>
  <si>
    <t>AMMORTAMENTI DI ALTRI IMPIANTI</t>
  </si>
  <si>
    <t>5.12.01.01.0108</t>
  </si>
  <si>
    <t>AMMORTAMENTI DEI MACCHINARI SANITARI</t>
  </si>
  <si>
    <t>5.12.01.01.0109</t>
  </si>
  <si>
    <t>AMMORTAMENTI DI ALTRI MACCHINARI</t>
  </si>
  <si>
    <t>5.12.01.01.0110</t>
  </si>
  <si>
    <t>AMMORTAMENTI DI ALTRI MACCHINARI ELETTRICI</t>
  </si>
  <si>
    <t>5.12.01.01.0111</t>
  </si>
  <si>
    <t>AMMORTAMENTO MACCHINARI SANITARI AD ALTA TECNOLOGIA</t>
  </si>
  <si>
    <t>5.12.01.01.0201</t>
  </si>
  <si>
    <t>AMMORTAMENTI DELLE ATTREZZATURE SANITARIE</t>
  </si>
  <si>
    <t>Ammortamenti di attrezzature sanitarie e scientifiche</t>
  </si>
  <si>
    <t>5.12.01.01.0202</t>
  </si>
  <si>
    <t>AMMORTAMENTI DELLE ATTREZZATURE SANITARIE AD ALTA TECNOLOGIA</t>
  </si>
  <si>
    <t>5.12.01.01.0203</t>
  </si>
  <si>
    <t>AMMORTAMENTI DELLE ATTREZZATURE PER LABORATORI DI ANALISI</t>
  </si>
  <si>
    <t>5.12.01.01.0204</t>
  </si>
  <si>
    <t>AMMORTAMENTI DI ATTREZZATURE SANITARIE DIVERSE</t>
  </si>
  <si>
    <t>5.12.01.01.0205</t>
  </si>
  <si>
    <t>AMMORTAMENTI DELLE APPARECCHIATURE ELETTROMEDICALI</t>
  </si>
  <si>
    <t>5.12.01.01.0206</t>
  </si>
  <si>
    <t>AMMORTAMENTI DELLE ATTREZZATURE PER LABORATORI DI ANALISI PER SPERIMENTAZIONI CLINICHE</t>
  </si>
  <si>
    <t>5.12.01.01.0207</t>
  </si>
  <si>
    <t>AMMORTAMENTO STRUMENTARIO CHIRURGICO</t>
  </si>
  <si>
    <t>5.12.01.01.0301</t>
  </si>
  <si>
    <t>AMMORTAMENTI DEI MOBILI E ARREDI SANITARI</t>
  </si>
  <si>
    <t>Ammortamenti di mobili e arredi</t>
  </si>
  <si>
    <t>5.12.01.01.0302</t>
  </si>
  <si>
    <t>AMMORTAMENTI DEI MOBILI E ARREDI D'UFFICIO</t>
  </si>
  <si>
    <t>5.12.01.01.0303</t>
  </si>
  <si>
    <t>AMMORTAMENTI DI ALTRI MOBILI E ARREDI</t>
  </si>
  <si>
    <t>5.12.01.01.0401</t>
  </si>
  <si>
    <t>AMMORTAMENTO DELLE AMBULANZE</t>
  </si>
  <si>
    <t>Ammortamenti Automezzi</t>
  </si>
  <si>
    <t>5.12.01.01.0402</t>
  </si>
  <si>
    <t>AMMORTAMENTO DEGLI AUTOMEZZI</t>
  </si>
  <si>
    <t>5.12.01.01.0403</t>
  </si>
  <si>
    <t>AMMORTAMENTO DI ALTRI MEZZI DI TRASPORTO</t>
  </si>
  <si>
    <t>5.12.01.01.0501</t>
  </si>
  <si>
    <t>AMMORTAMENTO DELLE ATTREZZATURE TECNICO-ECONOMALI</t>
  </si>
  <si>
    <t>5.12.01.01.0502</t>
  </si>
  <si>
    <t>AMMORTAMENTO DI ELABORATORI ELETTRONICI, TERMINALI E STAMPANTI</t>
  </si>
  <si>
    <t>5.12.01.01.0503</t>
  </si>
  <si>
    <t>AMMORTAMENTO DI BENI DIVERSI</t>
  </si>
  <si>
    <t>5.12.01.01.0504</t>
  </si>
  <si>
    <t>AMMORTAMENTO MACCHINE ORDINARIE DI UFFICIO</t>
  </si>
  <si>
    <t>5.12.01.01.0505</t>
  </si>
  <si>
    <t>AMMORTAMENTO MATERIALE DI  BIBLIOTECA</t>
  </si>
  <si>
    <t>BA2640</t>
  </si>
  <si>
    <t>Svalutazione delle immobilizzazioni immateriali e materiali</t>
  </si>
  <si>
    <t xml:space="preserve">B.12.A </t>
  </si>
  <si>
    <t>B.12.A) Svalutazione delle immobilizzazioni immateriali e materiali</t>
  </si>
  <si>
    <t>5.13.01.01.0101</t>
  </si>
  <si>
    <t>SVALUTAZIONE DELLE IMMOBILIZZAZIONI IMMATERIALI E MATERIALI</t>
  </si>
  <si>
    <t>BA2650</t>
  </si>
  <si>
    <t>Svalutazione dei crediti</t>
  </si>
  <si>
    <t xml:space="preserve">B.12.B </t>
  </si>
  <si>
    <t>B.12.B) Svalutazione dei crediti</t>
  </si>
  <si>
    <t>5.14.01.01.0101</t>
  </si>
  <si>
    <t>SVALUTAZIONE DEI CREDITI</t>
  </si>
  <si>
    <t>Rimanenze iniziali</t>
  </si>
  <si>
    <t>B.13.</t>
  </si>
  <si>
    <t>B.13) Variazione delle rimanenze</t>
  </si>
  <si>
    <t>Rimanenze sanitarie iniziali</t>
  </si>
  <si>
    <t>5.15.01.01.0101</t>
  </si>
  <si>
    <t>RIMANENZE INIZIALI MEDICINALI - FARMACI ATTIVITA' ORDINARIA</t>
  </si>
  <si>
    <t>Rimanenze Iniziali Medicinali - con AIC- eccetto vaccini, emoderivati, ossigeno e mezzi di contrasto</t>
  </si>
  <si>
    <t>5.15.01.01.0102</t>
  </si>
  <si>
    <t>RIMANENZE INIZIALI MEDICINALI- FARMACI FILE F</t>
  </si>
  <si>
    <t>5.15.01.01.0103</t>
  </si>
  <si>
    <t>RIMANENZE INIZIALI MEDICINALI-FARMACI ONCOLOGICI FILE T</t>
  </si>
  <si>
    <t>5.15.01.01.0104</t>
  </si>
  <si>
    <t>RIMANENZE INIZIALI MEDICINALI- SOLUZIONI MEDICINALI</t>
  </si>
  <si>
    <t>5.15.01.01.0105</t>
  </si>
  <si>
    <t>RIMANENZE INIZIALI MEDICINALI- FARMACI IN FASCIA H</t>
  </si>
  <si>
    <t>5.15.01.01.0106</t>
  </si>
  <si>
    <t>RIMANENZE INIZIALI MEDICINALI- GAS MEDICALI</t>
  </si>
  <si>
    <t>5.15.01.01.0201</t>
  </si>
  <si>
    <t>RIMANENZE INIZIALI MEZZI DI CONTRASTO PER RADIOLOGIA</t>
  </si>
  <si>
    <t>Rimanenze Iniziali Mezzi di contrasto per radiologia</t>
  </si>
  <si>
    <t>5.15.01.01.0301</t>
  </si>
  <si>
    <t>RIMANENZE INIZIALI OSSIGENO - CON AIC</t>
  </si>
  <si>
    <t>Rimanenze Iniziali Ossigeno - con AIC</t>
  </si>
  <si>
    <t>5.15.01.01.0401</t>
  </si>
  <si>
    <t>RIMANENZE INIZIALI EMODERIVATI CON AIC- AD ECCEZIONE DI PRODUZIONE REGIONALE</t>
  </si>
  <si>
    <t>Rimanenze Iniziali Emoderivati con AIC- ad eccezione di produzione regionale</t>
  </si>
  <si>
    <t>5.15.01.01.0402</t>
  </si>
  <si>
    <t>RIMANENZE INIZIALI EMODERIVATI CON AIC- EMODERIVATI IN FASCIA H</t>
  </si>
  <si>
    <t>5.15.01.01.0403</t>
  </si>
  <si>
    <t>RIMANENZE INIZIALI EMODERIVATI CON AIC-EMODERIVATI IN FASCIA A</t>
  </si>
  <si>
    <t>5.15.01.01.0501</t>
  </si>
  <si>
    <t>RIMANENZE INIZIALI OSSIGENO - SENZA AIC</t>
  </si>
  <si>
    <t>Rimanenze Iniziali Ossigeno - senza AIC</t>
  </si>
  <si>
    <t>5.15.01.01.0601</t>
  </si>
  <si>
    <t>RIMANENZE INIZIALI MEDICINALI - SENZA AIC- ECCETTO OSSIGENO</t>
  </si>
  <si>
    <t>Rimanenze Iniziali Medicinali - senza AIC- eccetto ossigeno</t>
  </si>
  <si>
    <t>5.15.01.01.3801</t>
  </si>
  <si>
    <t>Rimanenze Iniziali Emoderivati di produzione regionale (Aziende sanitarie pubbliche della Regione)  - Mobilità intraregionale</t>
  </si>
  <si>
    <t>5.15.01.01.3901</t>
  </si>
  <si>
    <t>Rimanenze Iniziali Emoderivati di produzione regionale (Aziende sanitarie pubbliche della Regione)  - Mobilità extra Regione</t>
  </si>
  <si>
    <t>5.15.01.01.4001</t>
  </si>
  <si>
    <t>Rimanenze Iniziali Emoderivati di produzione regionai da altri soggetti</t>
  </si>
  <si>
    <t>5.15.01.01.3204</t>
  </si>
  <si>
    <t>Rimanenze Iniziali Radiofarmaci con AIC</t>
  </si>
  <si>
    <t>5.15.01.01.3301</t>
  </si>
  <si>
    <t>Rimanenze Iniziali Farmaci PHT - per la Distribuzione Per Conto (DPC)</t>
  </si>
  <si>
    <t>5.15.01.01.3401</t>
  </si>
  <si>
    <t>Rimanenze Iniziali Medicinali esteri</t>
  </si>
  <si>
    <t>5.15.01.01.3501</t>
  </si>
  <si>
    <t>Rimanenze Iniziali Formule magistrali ed officinali, compresi i farmaci galenici ed i radio farmaci  senza AIC</t>
  </si>
  <si>
    <t>Rimanenze Iniziali Formule magistrali ed officinali, compresi i farmaci galenici ed i radio farmaci &amp;#8211</t>
  </si>
  <si>
    <t>Rimanenze Iniziali Formule mAFistrali ed officinali, compresi i farmaci galenici ed i radio farmaci – senza AIC</t>
  </si>
  <si>
    <t>5.15.01.01.3601</t>
  </si>
  <si>
    <t>Rimanenze Iniziali Altri gas medicali - senza AIC</t>
  </si>
  <si>
    <t>5.15.01.01.0801</t>
  </si>
  <si>
    <t>RIMANENZE INIZIALI SANGUE ED EMOCOMPONENTI DA PUBBLICO (AZIENDE SANITARIE PUBBLICHE DELLA REGIONE)  - MOBILITA INTRAREGIONALE</t>
  </si>
  <si>
    <t>Rimanenze Iniziali Sangue ed emocomponenti da pubblico (Aziende sanitarie pubbliche della Regione)  - Mobilità intraregionale</t>
  </si>
  <si>
    <t>5.15.01.01.0901</t>
  </si>
  <si>
    <t>RIMANENZE INIZIALI SANGUE ED EMOCOMPONENTI DA PUBBLICO (AZIENDE SANITARIE PUBBLICHE DELLA REGIONE)  - MOBILITA ETRRA REGIONE</t>
  </si>
  <si>
    <t>Rimanenze Iniziali Sangue ed emocomponenti da pubblico (Aziende sanitarie pubbliche della Regione)  - Mobilità extra Regione</t>
  </si>
  <si>
    <t>5.15.01.01.1001</t>
  </si>
  <si>
    <t>RIMANENZE INIZIALI SANGUE ED EMOCOMPONENTI DA ALTRI SOGGETTI</t>
  </si>
  <si>
    <t xml:space="preserve">Rimanenze Iniziali Sangue ed emocomponenti da altri soggetti </t>
  </si>
  <si>
    <t>5.15.01.01.1101</t>
  </si>
  <si>
    <t>RIMANENZE INIZIALI DISPOSITIVI DA SOMMINISTRAZIONE, PRELIEVO E RACCOLTA (A)</t>
  </si>
  <si>
    <t>Rimanenze Iniziali Dispositivi da somministrazione, prelievo e raccolta (A)</t>
  </si>
  <si>
    <t>5.15.01.01.1201</t>
  </si>
  <si>
    <t>RIMANENZE INIZIALI PRESIDI MEDICO-CHIRURGICI SPECIALISTICI (B, G, N, Q, R, U)</t>
  </si>
  <si>
    <t>Rimanenze Iniziali Presidi medico-chirurgici specialistici (B, G, N, Q, R, U)</t>
  </si>
  <si>
    <t>5.15.01.01.1301</t>
  </si>
  <si>
    <t>Rimanenze Iniziali Presidi medico-chirurgici generici (H, M, T01, T02, T03)</t>
  </si>
  <si>
    <t>5.15.01.01.1401</t>
  </si>
  <si>
    <t>RIMANENZE INIZIALI DISPOSITIVI PER APPARATO CARDIOCIRCOLATORIO (C)</t>
  </si>
  <si>
    <t>Rimanenze Iniziali Dispositivi per apparato cardiocircolatorio (C)</t>
  </si>
  <si>
    <t>5.15.01.01.1501</t>
  </si>
  <si>
    <t>RIMANENZE INIZIALI DISINFETTANTI E PRODOTTI PER STERILIZZAZIONE E DISPOSITIVI VARI (D, S)</t>
  </si>
  <si>
    <t>Rimanenze Iniziali Disinfettanti e prodotti per sterilizzazione e dispositivi vari (D, S)</t>
  </si>
  <si>
    <t>5.15.01.01.1601</t>
  </si>
  <si>
    <t>RIMANENZE INIZIALI MATERIALE PER DIALISI (F)</t>
  </si>
  <si>
    <t>Rimanenze Iniziali Materiale per dialisi (F)</t>
  </si>
  <si>
    <t>5.15.01.01.1701</t>
  </si>
  <si>
    <t>RIMANENZE INIZIALI STRUMENTARIO CHIRURGICO (K, L)</t>
  </si>
  <si>
    <t>Rimanenze Iniziali Strumentario chirurgico (K, L)</t>
  </si>
  <si>
    <t>5.15.01.01.1801</t>
  </si>
  <si>
    <t>RIMANENZE INIZIALI MATERIALE RADIOGRAFICO (Z 13)</t>
  </si>
  <si>
    <t>Rimanenze Iniziali Materiale radiografico (Z 13)</t>
  </si>
  <si>
    <t>5.15.01.01.1901</t>
  </si>
  <si>
    <t>RIMANENZE INIZIALI SUPPORTI O AUSILI TECNICI PER PERSONE DISABILI (Y)</t>
  </si>
  <si>
    <t>Rimanenze Iniziali Supporti o ausili tecnici per persone disabili (Y)</t>
  </si>
  <si>
    <t>5.15.01.01.2001</t>
  </si>
  <si>
    <t>RIMANENZE INIZIALI AUSILI PER INCONTINENZA (T04)</t>
  </si>
  <si>
    <t>Rimanenze Iniziali Ausili per incontinenza (T04)</t>
  </si>
  <si>
    <t>5.15.01.01.2101</t>
  </si>
  <si>
    <t>RIMANENZE INIZIALI DISPOSITIVI PROTESICI IMPIANTABILI E PRODOTTI PER OSTEOSINTESI (P)</t>
  </si>
  <si>
    <t>Rimanenze Iniziali Dispositivi protesici impiantabili e prodotti per osteosintesi (P)</t>
  </si>
  <si>
    <t>5.15.01.01.2102</t>
  </si>
  <si>
    <t>RIMANENZE INIZIALI DISPOSITIVI PROTESICI IMPIANTABILI E PRODOTTI PER OSTEOSINTESI (P)-PROTESI ORTOPEDICHE</t>
  </si>
  <si>
    <t>5.15.01.01.2103</t>
  </si>
  <si>
    <t>RIMANENZE INIZIALI DISPOSITIVI PROTESICI IMPIANTABILI E PRODOTTI PER OSTEOSINTESI (P)-PROTESI CHIRURGICHE</t>
  </si>
  <si>
    <t>5.15.01.01.2104</t>
  </si>
  <si>
    <t>RIMANENZE INIZIALI DISPOSITIVI PROTESICI IMPIANTABILI E PRODOTTI PER OSTEOSINTESI (P) - PROTESI PER EMODINAMICA</t>
  </si>
  <si>
    <t>5.15.01.01.2105</t>
  </si>
  <si>
    <t>RIMANENZE INIZIALI DISPOSITIVI PROTESICI IMPIANTABILI E PRODOTTI PER OSTEOSINTESI (P) -PROTESI PER UROLOGIA</t>
  </si>
  <si>
    <t>5.15.01.01.2106</t>
  </si>
  <si>
    <t>RIMANENZE INIZIALI DISPOSITIVI PROTESICI IMPIANTABILI E PRODOTTI PER OSTEOSINTESI (P) -PROTESI PER OCULISTICA</t>
  </si>
  <si>
    <t>5.15.01.01.2201</t>
  </si>
  <si>
    <t>Rimanenze iniziali Dispositivi vari (V) e Altro Materiale di consumo (Z11 e Z12)</t>
  </si>
  <si>
    <t>5.15.01.01.2301</t>
  </si>
  <si>
    <t>RIMANENZE INIZIALI DISPOSITIVI IMPIANTABILI ATTIVI (J)</t>
  </si>
  <si>
    <t>Rimanenze Iniziali Dispositivi impiantabili attivi (J)</t>
  </si>
  <si>
    <t>5.15.01.01.2401</t>
  </si>
  <si>
    <t>RIMANENZE INIZIALI REAGENTI DIAGNOSTICI (W1)</t>
  </si>
  <si>
    <t>RIMANENZE INIZIALI REAFENTI DIAFNOSTICI (W1)</t>
  </si>
  <si>
    <t>Rimanenze Iniziali ReAFenti DiAFnostici (W1)</t>
  </si>
  <si>
    <t>5.15.01.01.2501</t>
  </si>
  <si>
    <t>RIMANENZE INIZIALI DISPOSITIVI MEDICO DIAGNOSTICI IN VITRO (IVD) (W2, W3)</t>
  </si>
  <si>
    <t>RIMANENZE INIZIALI DISPOSITIVI MEDICO DIAFNOSTICI IN VITRO (IVD) (W2, W3)</t>
  </si>
  <si>
    <t>Rimanenze Iniziali Dispositivi medico diAFnostici in vitro (IVD) (W2, W3)</t>
  </si>
  <si>
    <t>5.15.01.01.2601</t>
  </si>
  <si>
    <t>RIMANENZE INIZIALI PRODOTTI DIETETICI</t>
  </si>
  <si>
    <t>Rimanenze Iniziali Prodotti dietetici</t>
  </si>
  <si>
    <t>5.15.01.01.2701</t>
  </si>
  <si>
    <t>RIMANENZE INIZIALI MATERIALI PER LA PROFILASSI (VACCINI)</t>
  </si>
  <si>
    <t>Rimanenze Iniziali Materiali per la profilassi (vaccini) con AIC</t>
  </si>
  <si>
    <t>5.15.01.01.3701</t>
  </si>
  <si>
    <t>Rimanenze Iniziali Vaccini - senza AIC</t>
  </si>
  <si>
    <t>5.15.01.01.2801</t>
  </si>
  <si>
    <t>RIMANENZE INIZIALI PRODOTTI CHIMICI</t>
  </si>
  <si>
    <t>Rimanenze Iniziali Prodotti chimici</t>
  </si>
  <si>
    <t>5.15.01.01.2901</t>
  </si>
  <si>
    <t>RIMANENZE INIZIALI FARMACI PER USO VETERINARIO</t>
  </si>
  <si>
    <t>Rimanenze Iniziali Farmaci per uso veterinario</t>
  </si>
  <si>
    <t>5.15.01.01.3001</t>
  </si>
  <si>
    <t>RIMANENZE INIZIALI ALTRI MATERIALI E PRODOTTI PER USO VETERINARIO</t>
  </si>
  <si>
    <t>Rimanenze Iniziali Altri materiali e prodotti per uso veterinario</t>
  </si>
  <si>
    <t>5.15.01.01.3101</t>
  </si>
  <si>
    <t>RIMANENZE INIZIALI BENI E PRODOTTI SANITARI DA AZIENDE SANITARIE PUBBLICHE DELLA REGIONE</t>
  </si>
  <si>
    <t>Rimanenze Iniziali Beni e prodotti sanitari da Aziende sanitarie pubbliche della Regione</t>
  </si>
  <si>
    <t>5.15.01.01.9901</t>
  </si>
  <si>
    <t>Rimanenze Iniziali Altri beni e prodotti sanitari</t>
  </si>
  <si>
    <t>Rimanenze non sanitarie iniziali</t>
  </si>
  <si>
    <t>5.15.02.01.0101</t>
  </si>
  <si>
    <t>RIMANENZE INIZIALI PRODOTTI ALIMENTARI</t>
  </si>
  <si>
    <t>Rimanenze Iniziali Prodotti alimentari</t>
  </si>
  <si>
    <t>5.15.02.01.0201</t>
  </si>
  <si>
    <t>RIMANENZE INIZIALI MATERIALI DI GUARDAROBA, DI PULIZIA E DI CONVIVENZA IN GENERE</t>
  </si>
  <si>
    <t>Rimanenze Iniziali Materiali di guardaroba, di pulizia e di convivenza in genere</t>
  </si>
  <si>
    <t>5.15.02.01.0202</t>
  </si>
  <si>
    <t>RIMANENZE INIZIALI MATERIALI DI GUARDAROBA- DIVISE DEL PERSONALE</t>
  </si>
  <si>
    <t>5.15.02.01.0701</t>
  </si>
  <si>
    <t>Rimanenze iniziali carburanti e lubrificanti ad uso trasporto</t>
  </si>
  <si>
    <t>5.15.02.01.0301</t>
  </si>
  <si>
    <t>Rimanenze iniziali Combustibili carburanti e lubrificanti ad uso riscaldamento/cucina</t>
  </si>
  <si>
    <t>5.15.02.01.0401</t>
  </si>
  <si>
    <t>RIMANENZE INIZIALI SUPPORTI INFORMATICI E CANCELLERIA</t>
  </si>
  <si>
    <t>Rimanenze Iniziali Supporti informatici e cancelleria</t>
  </si>
  <si>
    <t>5.15.02.01.0501</t>
  </si>
  <si>
    <t>RIMANENZE INIZIALI MATERIALE PER LA MANUTENZIONE PER IMMOBILI ISTITUZIONALI</t>
  </si>
  <si>
    <t>Rimanenze Iniziali Materiale per la manutenzione</t>
  </si>
  <si>
    <t>5.15.02.01.0502</t>
  </si>
  <si>
    <t>RIMANENZE INIZIALI MATERIALE PER LA MANUTENZIONE PER ATTREZZATURE TECNICO-SCIENTIFICHE</t>
  </si>
  <si>
    <t>5.15.02.01.0503</t>
  </si>
  <si>
    <t>RIMANENZE INIZIALI MATERIALE PER LA MANUTENZIONE PER AUTOMEZZI</t>
  </si>
  <si>
    <t>5.15.02.01.0504</t>
  </si>
  <si>
    <t>RIMANENZE INIZIALI MATERIALE PER LA MANUTENZIONE PER MOBILI E MACCHINE</t>
  </si>
  <si>
    <t>5.15.02.01.0505</t>
  </si>
  <si>
    <t>RIMANENZE INIZIALI MATERIALE VARIO DI CONSUMO X MANUTENZIONI</t>
  </si>
  <si>
    <t>5.15.02.01.0601</t>
  </si>
  <si>
    <t>5.15.02.01.9901</t>
  </si>
  <si>
    <t>RIMANENZE INIZIALI ALTRI BENI E PRODOTTI NON SANITARI</t>
  </si>
  <si>
    <t>Rimanenze Iniziali Altri beni e prodotti non sanitari</t>
  </si>
  <si>
    <t>BA2690</t>
  </si>
  <si>
    <t>Accantonamenti dell’esercizio</t>
  </si>
  <si>
    <t>B.14</t>
  </si>
  <si>
    <t>B.14) Accantonamenti dell’esercizio</t>
  </si>
  <si>
    <t>BA2700</t>
  </si>
  <si>
    <t>Accantonamenti per rischi</t>
  </si>
  <si>
    <t>B.14.A</t>
  </si>
  <si>
    <t>B.14.A) Accantonamenti per rischi</t>
  </si>
  <si>
    <t>5.16.01.01.0101</t>
  </si>
  <si>
    <t>ACCANTONAMENTI PER CAUSE CIVILI ED ONERI PROCESSUALI</t>
  </si>
  <si>
    <t>VALORE DA UFF LEGALE (RISCHIO CERTO E PROBABILE)</t>
  </si>
  <si>
    <t>VALORE DA UFF LEGALE (RISCHIO CERTO E PROBABILE</t>
  </si>
  <si>
    <t xml:space="preserve">B.14.A.1 </t>
  </si>
  <si>
    <t>B.14.A.1) Accantonamenti per cause civili ed oneri processuali</t>
  </si>
  <si>
    <t>5.16.01.01.0201</t>
  </si>
  <si>
    <t>ACCANTONAMENTI PER CONTENZIOSO PERSONALE DIPENDENTE</t>
  </si>
  <si>
    <t>VERIFICARE SE COMPLETO - INSERITA INPS</t>
  </si>
  <si>
    <t xml:space="preserve">B.14.A.2 </t>
  </si>
  <si>
    <t>B.14.A.2) Accantonamenti per contenzioso personale dipendente</t>
  </si>
  <si>
    <t>5.16.01.01.0301</t>
  </si>
  <si>
    <t>ACCANTONAMENTI PER RISCHI CONNESSI ALL'ACQUISTO DI PRESTAZIONI SANITARIE DA PRIVATO</t>
  </si>
  <si>
    <t xml:space="preserve">B.14.A.3 </t>
  </si>
  <si>
    <t>B.14.A.3) Accantonamenti per rischi connessi all'acquisto di prestazioni sanitarie da privato</t>
  </si>
  <si>
    <t>5.16.01.01.0401</t>
  </si>
  <si>
    <t>ACCANTONAMENTI PER COPERTURA DIRETTA DEI RISCHI (AUTOASSICURAZIONE)</t>
  </si>
  <si>
    <t>VERIFICARE DETERMINAZIONE ACC.TO</t>
  </si>
  <si>
    <t xml:space="preserve">B.14.A.4 </t>
  </si>
  <si>
    <t>B.14.A.4) Accantonamenti per copertura diretta dei rischi (autoassicurazione)</t>
  </si>
  <si>
    <t>BA2741</t>
  </si>
  <si>
    <t>5.16.01.01.0501</t>
  </si>
  <si>
    <t>Accantonamenti per franchigia assicurativa</t>
  </si>
  <si>
    <t xml:space="preserve">B.14.A.5  </t>
  </si>
  <si>
    <t>B.14.A.5) Accantonamenti per franchigia assicurativa</t>
  </si>
  <si>
    <t>5.16.01.01.9901</t>
  </si>
  <si>
    <t>ALTRI ACCANTONAMENTI PER RISCHI PER FERIE MATURATE E NON USUFRUITE</t>
  </si>
  <si>
    <t xml:space="preserve">B.14.A.6 </t>
  </si>
  <si>
    <t>B.14.A.6) Altri accantonamenti per rischi</t>
  </si>
  <si>
    <t>5.16.01.01.9902</t>
  </si>
  <si>
    <t>ALTRI ACCANTONAMENTI PER RISCHI PER CAUSE DI SERVIZIO IN CORSO</t>
  </si>
  <si>
    <t>5.16.01.01.9903</t>
  </si>
  <si>
    <t>ALTRI ACCANTONAMENTI PER RISCHI PER MANCATO PREAVVISO</t>
  </si>
  <si>
    <t>5.16.01.01.9904</t>
  </si>
  <si>
    <t>ALTRI ACCANTONAMENTI PER RISCHI PER ALTRI RISCHI(OBIETTIVI STRATEGICI)</t>
  </si>
  <si>
    <t>5.16.01.01.9905</t>
  </si>
  <si>
    <t>ALTRI ACCANTONAMENTI PER ALTRI RISCHI</t>
  </si>
  <si>
    <t>5.16.01.01.9906</t>
  </si>
  <si>
    <t>ACC. RISCHI SU PARTECIPAZIONI</t>
  </si>
  <si>
    <t>BA2751</t>
  </si>
  <si>
    <t>5.16.01.01.0601</t>
  </si>
  <si>
    <t>Altri accantonamenti per interessi di mora</t>
  </si>
  <si>
    <t>VALUTARE IPOTESI ACCANT.TO INTERSSI DI MORA</t>
  </si>
  <si>
    <t>B.14.A.7</t>
  </si>
  <si>
    <t>B.14.A.7) Altri accantonamenti per interessi di mora</t>
  </si>
  <si>
    <t>BA2760</t>
  </si>
  <si>
    <t>B.14.B</t>
  </si>
  <si>
    <t>B.14.B) Accantonamenti per premio di operosità (SUMAI)</t>
  </si>
  <si>
    <t>5.16.02.01.0101</t>
  </si>
  <si>
    <t>ACCANTONAMENTI PER PREMIO DI OPEROSITA (SUMAI)</t>
  </si>
  <si>
    <t>BA2770</t>
  </si>
  <si>
    <t>Accantonamenti per quote inutilizzate di contributi vincolati</t>
  </si>
  <si>
    <t>B.14.C</t>
  </si>
  <si>
    <t>B.14.C) Accantonamenti per quote inutilizzate di contributi finalizzati e vincolati</t>
  </si>
  <si>
    <t>BA2771</t>
  </si>
  <si>
    <t>Accantonamenti per quote inutilizzate contributi da Regione e Prov. Aut. per quota F.S. indistinto finalizzato</t>
  </si>
  <si>
    <t xml:space="preserve">B.14.C.1 </t>
  </si>
  <si>
    <t>B.14.C.1)  Accantonamenti per quote inutilizzate contributi da Regione e Prov. Aut. per quota F.S. indistinto finalizzato</t>
  </si>
  <si>
    <t>5.16.03.05.0101</t>
  </si>
  <si>
    <t>Accantonamenti per quote inutilizzate contributi da Regione per quota F.S. vincolato</t>
  </si>
  <si>
    <t>B.14.C.2</t>
  </si>
  <si>
    <t>B.14.C.2)  Accantonamenti per quote inutilizzate contributi da Regione e Prov. Aut. per quota F.S. vincolato</t>
  </si>
  <si>
    <t>5.16.03.01.0201</t>
  </si>
  <si>
    <t>Accantonamenti per quote inutilizzate contributi da Regione per quota Progetti obiettivo di PSN 2010</t>
  </si>
  <si>
    <t>Accantonamenti per quote inutilizzate contributi da Regione per quota Progetti obiettivo di PSN</t>
  </si>
  <si>
    <t>5.16.03.01.0202</t>
  </si>
  <si>
    <t>ACCANTONAMENTO PSN 2011</t>
  </si>
  <si>
    <t>5.16.03.01.0203</t>
  </si>
  <si>
    <t>ACCANTONAMENTO PSN 2012</t>
  </si>
  <si>
    <t>5.16.03.01.0204</t>
  </si>
  <si>
    <t>ACCANTONAMENTO PSN 2013</t>
  </si>
  <si>
    <t>5.16.03.01.0301</t>
  </si>
  <si>
    <t>ACCANTONAMENTI PER QUOTE INUTILIZZATE CONTRIBUTI DA REGIONE PER QUOTA RINNOVO CONVENZIONI L 133/08</t>
  </si>
  <si>
    <t>Accantonamenti per quote inutilizzate contributi da Regione per quota rinnovo convenzioni L 133/08</t>
  </si>
  <si>
    <t>5.16.03.01.0401</t>
  </si>
  <si>
    <t>ACCANTONAMENTI PER QUOTE INUTILIZZATE CONTRIBUTI DA REGIONE PER QUOTA EMERSIONE EXTRACOMUNITARI L 102/09</t>
  </si>
  <si>
    <t>Accantonamenti per quote inutilizzate contributi da Regione per quota emersione extracomunitari L 102/09</t>
  </si>
  <si>
    <t>5.16.03.01.0501</t>
  </si>
  <si>
    <t>ACCANTONAMENTI PER QUOTE INUTILIZZATE CONTRIBUTI DA REGIONE PER QUOTA MEDICINA PENITENZIARIA DLVO 230/99</t>
  </si>
  <si>
    <t>Accantonamenti per quote inutilizzate contributi da Regione per quota medicina Penitenziaria Dlvo 230/99</t>
  </si>
  <si>
    <t>5.16.03.01.0601</t>
  </si>
  <si>
    <t>ACCANTONAMENTI PER QUOTE INUTILIZZATE CONTRIBUTI DA REGIONE PER QUOTA HANSENIANI L 31/86</t>
  </si>
  <si>
    <t>Accantonamenti per quote inutilizzate contributi da Regione per quota hanseniani L 31/86</t>
  </si>
  <si>
    <t>5.16.03.01.0701</t>
  </si>
  <si>
    <t>ACCANTONAMENTI PER QUOTE INUTILIZZATE CONTRIBUTI DA REGIONE PER QUOTA FIBROSI CISTICA L 362/98</t>
  </si>
  <si>
    <t>Accantonamenti per quote inutilizzate contributi da Regione per quota Fibrosi Cistica L 362/98</t>
  </si>
  <si>
    <t>5.16.03.01.1001</t>
  </si>
  <si>
    <t>ACCANTONAMENTI PER QUOTE INUTILIZZATE CONTRIBUTI DA REGIONE PER QUOTA BORSE STUDIO MG L 109/88</t>
  </si>
  <si>
    <t>Accantonamenti per quote inutilizzate contributi da Regione per quota Borse studio MG L 109/88</t>
  </si>
  <si>
    <t>5.16.03.01.1101</t>
  </si>
  <si>
    <t>ACCANTONAMENTI PER QUOTE INUTILIZZATE CONTRIBUTI DA REGIONE PER QUOTA VETERINARIA L 218/88</t>
  </si>
  <si>
    <t>Accantonamenti per quote inutilizzate contributi da Regione per quota Veterinaria L 218/88</t>
  </si>
  <si>
    <t>5.16.03.01.1201</t>
  </si>
  <si>
    <t>ACCANTONAMENTI PER QUOTE INUTILIZZATE CONTRIBUTI DA REGIONE PER QUOTA AIDS L 135/90</t>
  </si>
  <si>
    <t>Accantonamenti per quote inutilizzate contributi da Regione per quota Aids L 135/90</t>
  </si>
  <si>
    <t>5.16.03.01.9901</t>
  </si>
  <si>
    <t>ACCANTONAMENTI PER QUOTE INUTILIZZATE CONTRIBUTI DA REGIONE PER ALTRE QUOTE FSR VINCOLATO</t>
  </si>
  <si>
    <t>Accantonamenti per quote inutilizzate contributi da Regione per altre quote FSR vincolato</t>
  </si>
  <si>
    <t>5.16.03.01.9902</t>
  </si>
  <si>
    <t>ACCANTONAMENTI PER QUOTE INUTILIZZATE CONTRIBUTI DA REGIONE PER ALTRE QUOTE FSR VINCOLATO "SUES 118"</t>
  </si>
  <si>
    <t>B.14.C.3</t>
  </si>
  <si>
    <t>B.14.C.3)  Accantonamenti per quote inutilizzate contributi da soggetti pubblici (extra fondo) vincolati</t>
  </si>
  <si>
    <t>5.16.03.02.0101</t>
  </si>
  <si>
    <t>ACCANTONAMENTI PER QUOTE INUTILIZZATE CONTRIBUTI DA SOGGETTI PUBBLICI (EXTRA FONDO) VINCOLATI</t>
  </si>
  <si>
    <t xml:space="preserve">B.14.C.3 </t>
  </si>
  <si>
    <t>B.14.C.4</t>
  </si>
  <si>
    <t>B.14.C.4)  Accantonamenti per quote inutilizzate contributi da soggetti pubblici per ricerca</t>
  </si>
  <si>
    <t>5.16.03.03.0101</t>
  </si>
  <si>
    <t>ACCANTONAMENTI PER QUOTE INUTILIZZATE CONTRIBUTI DA SOGGETTI PUBBLICI PER RICERCA</t>
  </si>
  <si>
    <t>VERIFICARE ACCANTONAMENTO PNRR RICERCA</t>
  </si>
  <si>
    <t>ACCANTONAMENTO PNRR RICERCA</t>
  </si>
  <si>
    <t>B.14.C.5</t>
  </si>
  <si>
    <t>B.14.C.5)  Accantonamenti per quote inutilizzate contributi vincolati da privati</t>
  </si>
  <si>
    <t>5.16.03.04.0101</t>
  </si>
  <si>
    <t>ACCANTONAMENTI PER QUOTE INUTILIZZATE CONTRIBUTI VINCOLATI DA PRIVATI</t>
  </si>
  <si>
    <t>BA2811</t>
  </si>
  <si>
    <t>Accantonamenti per quote inutilizzate contributi da soggetti privati per ricerca</t>
  </si>
  <si>
    <t>B.14.C.6</t>
  </si>
  <si>
    <t>B.14.C.6)  Accantonamenti per quote inutilizzate contributi da soggetti privati per ricerca</t>
  </si>
  <si>
    <t>5.16.03.06.0101</t>
  </si>
  <si>
    <t>BA2820</t>
  </si>
  <si>
    <t>B.14.D</t>
  </si>
  <si>
    <t>B.14.D) Altri accantonamenti</t>
  </si>
  <si>
    <t>Accantonamenti rinnovi convenzioni MMG/PLS/MCA</t>
  </si>
  <si>
    <t xml:space="preserve">B.14.D.1 </t>
  </si>
  <si>
    <t>B.14.D.1) Acc. Rinnovi convenzioni MMG/PLS/MCA</t>
  </si>
  <si>
    <t>5.16.04.02.0101</t>
  </si>
  <si>
    <t>ACCANTONAMENTI RINNOVI CONVENZIONI MMG/PLS/MCA</t>
  </si>
  <si>
    <t>Accantonamenti rinnovi convenzioni medici Sumai</t>
  </si>
  <si>
    <t xml:space="preserve">B.14.D.2 </t>
  </si>
  <si>
    <t>B.14.D.2) Acc. Rinnovi convenzioni Medici Sumai</t>
  </si>
  <si>
    <t>5.16.04.03.0101</t>
  </si>
  <si>
    <t>ACCANTONAMENTI RINNOVI CONVENZIONI MEDICI SUMAI</t>
  </si>
  <si>
    <t>Accantonamenti rinnovi contrattuali: dirigenza medica</t>
  </si>
  <si>
    <t xml:space="preserve">B.14.D.3 </t>
  </si>
  <si>
    <t>B.14.D.3) Acc. Rinnovi contratt.: dirigenza medica</t>
  </si>
  <si>
    <t>5.16.04.04.0101</t>
  </si>
  <si>
    <t>ACCANTONAMENTI RINNOVI CONTRATTUALI: DIRIGENZA MEDICA</t>
  </si>
  <si>
    <t>VERIFICARE ACC.TI</t>
  </si>
  <si>
    <t>Accantonamenti rinnovi contrattuali: dirigenza non medica</t>
  </si>
  <si>
    <t xml:space="preserve">B.14.D.4 </t>
  </si>
  <si>
    <t>B.14.D.4) Acc. Rinnovi contratt.: dirigenza non medica</t>
  </si>
  <si>
    <t>5.16.04.05.0101</t>
  </si>
  <si>
    <t>ACCANTONAMENTI RINNOVI CONTRATTUALI: DIRIGENZA NON MEDICA</t>
  </si>
  <si>
    <t>Accantonamenti rinnovi contrattuali: comparto</t>
  </si>
  <si>
    <t xml:space="preserve">B.14.D.5 </t>
  </si>
  <si>
    <t>B.14.D.5) Acc. Rinnovi contratt.: comparto</t>
  </si>
  <si>
    <t>5.16.04.06.0101</t>
  </si>
  <si>
    <t>ACCANTONAMENTI RINNOVI CONTRATTUALI: COMPARTO</t>
  </si>
  <si>
    <t>BA2881</t>
  </si>
  <si>
    <t>Acc. per Trattamento di fine rapporto dipendenti</t>
  </si>
  <si>
    <t xml:space="preserve">B.14.D.6 </t>
  </si>
  <si>
    <t>B.14.D.6)  Acc. per Trattamento di fine rapporto dipendenti</t>
  </si>
  <si>
    <t>5.16.04.08.0101</t>
  </si>
  <si>
    <t>BA2882</t>
  </si>
  <si>
    <t>Acc. per Trattamenti di quiescenza e simili</t>
  </si>
  <si>
    <t xml:space="preserve">B.14.D.7 </t>
  </si>
  <si>
    <t>B.14.D.7)  Acc. per Trattamenti di quiescenza e simili</t>
  </si>
  <si>
    <t>5.16.04.09.0101</t>
  </si>
  <si>
    <t>BA2883</t>
  </si>
  <si>
    <t xml:space="preserve"> Acc. per Fondi integrativi pensione</t>
  </si>
  <si>
    <t xml:space="preserve">B.14.D.8 </t>
  </si>
  <si>
    <t>B.14.D.8)  Acc. per Fondi integrativi pensione</t>
  </si>
  <si>
    <t>5.16.04.10.0101</t>
  </si>
  <si>
    <t>BA2884</t>
  </si>
  <si>
    <t xml:space="preserve"> Acc. Incentivi funzioni tecniche art. 113 D.lgs 50/2016</t>
  </si>
  <si>
    <t xml:space="preserve">B.14.D.9 </t>
  </si>
  <si>
    <t>B.14.D.9)  Acc. Incentivi funzioni tecniche art. 113 D.lgs 50/2016</t>
  </si>
  <si>
    <t>5.16.04.11.0101</t>
  </si>
  <si>
    <t>Acc. Incentivi funzioni tecniche art. 113 D.lgs 50/2016</t>
  </si>
  <si>
    <t xml:space="preserve">B.14.D.10 </t>
  </si>
  <si>
    <t>B.14.D.10) Altri accantonamenti</t>
  </si>
  <si>
    <t>5.16.04.07.0101</t>
  </si>
  <si>
    <t>ALTRI ACCANTONAMENTI</t>
  </si>
  <si>
    <t>RILEVATO ACC.TO A FONDO PAF - 2.02.05.05.0111</t>
  </si>
  <si>
    <t>5.16.04.07.0102</t>
  </si>
  <si>
    <t>ACCANTONAMENTO F.DO PEREQUAZIONE A.L.P.I.</t>
  </si>
  <si>
    <t>5.16.04.07.0103</t>
  </si>
  <si>
    <t>ACCANTONAMENTO P.LE SUPPORTO DIRETTO</t>
  </si>
  <si>
    <t>5.16.04.07.0104</t>
  </si>
  <si>
    <t>ACCANTONAMENTO A F.DO ALPI P.LE INDIRETTO</t>
  </si>
  <si>
    <t>5.16.04.07.0105</t>
  </si>
  <si>
    <t>ACCANTONAMENTO A F.DO ALPI PREVENZIONE</t>
  </si>
  <si>
    <t>5.16.04.07.0106</t>
  </si>
  <si>
    <t>ACCANTONAMENTO CERTIFICAZIONE INAIL</t>
  </si>
  <si>
    <t>5.16.04.07.0107</t>
  </si>
  <si>
    <t>ACCANTONAMENTI PER IMPOSTE DIFFERITE</t>
  </si>
  <si>
    <t>5.16.04.07.0108</t>
  </si>
  <si>
    <t>ACCANTONAMENTO PER INTERVENTI A FAVORE DEL PERSONALE A TITOLO DI SUSSIDIO</t>
  </si>
  <si>
    <t>PROVENTI E ONERI FINANZIARI</t>
  </si>
  <si>
    <t>C)  Proventi e oneri finanziari</t>
  </si>
  <si>
    <t>CA0010</t>
  </si>
  <si>
    <t>Interessi attivi</t>
  </si>
  <si>
    <t xml:space="preserve">C.1 </t>
  </si>
  <si>
    <t>C.1) Interessi attivi</t>
  </si>
  <si>
    <t>CA0020</t>
  </si>
  <si>
    <t>Interessi attivi su c/tesoreria unica</t>
  </si>
  <si>
    <t xml:space="preserve">C.1.A </t>
  </si>
  <si>
    <t>C.1.A) Interessi attivi su c/tesoreria unica</t>
  </si>
  <si>
    <t>6.01.01.01.0101</t>
  </si>
  <si>
    <t>INTERESSI ATTIVI SU C/TESORERIA UNICA</t>
  </si>
  <si>
    <t>CA0030</t>
  </si>
  <si>
    <t>Interessi attivi su c/c postali e bancari</t>
  </si>
  <si>
    <t xml:space="preserve">C.1.B </t>
  </si>
  <si>
    <t>C.1.B) Interessi attivi su c/c postali e bancari</t>
  </si>
  <si>
    <t>6.01.02.01.0101</t>
  </si>
  <si>
    <t>INTERESSI ATTIVI SU C/C BANCARI</t>
  </si>
  <si>
    <t>6.01.02.01.0102</t>
  </si>
  <si>
    <t>INTERESSI ATTIVI SU C/C POSTALI</t>
  </si>
  <si>
    <t>CA0040</t>
  </si>
  <si>
    <t>Altri interessi attivi</t>
  </si>
  <si>
    <t xml:space="preserve">C.1.C </t>
  </si>
  <si>
    <t>C.1.C) Altri interessi attivi</t>
  </si>
  <si>
    <t>6.01.03.01.0101</t>
  </si>
  <si>
    <t>ALTRI INTERESSI ATTIVI</t>
  </si>
  <si>
    <t>VERIFICARE INTERESSI</t>
  </si>
  <si>
    <t>CA0050</t>
  </si>
  <si>
    <t>Altri proventi</t>
  </si>
  <si>
    <t xml:space="preserve">C.2 </t>
  </si>
  <si>
    <t>C.2) Altri proventi</t>
  </si>
  <si>
    <t>CA0060</t>
  </si>
  <si>
    <t>Proventi da partecipazioni</t>
  </si>
  <si>
    <t xml:space="preserve">C.2.A </t>
  </si>
  <si>
    <t>C.2.A) Proventi da partecipazioni</t>
  </si>
  <si>
    <t>6.02.01.01.0101</t>
  </si>
  <si>
    <t>PROVENTI DA PARTECIPAZIONI IN IMPRESE CONTROLLATE</t>
  </si>
  <si>
    <t>6.02.01.01.0102</t>
  </si>
  <si>
    <t>PROVENTI FINANZIARI DA CREDITI IMMOBILIZZATI V/ CONTROLLATE</t>
  </si>
  <si>
    <t>6.02.01.01.0103</t>
  </si>
  <si>
    <t>PROVENTI FINANZIARI DA CREDITI IMMOBILIZZATI V/ COLLEGATE</t>
  </si>
  <si>
    <t>6.02.01.01.0104</t>
  </si>
  <si>
    <t>PROVENTI FINANZIARI DA CREDITI IMMOBILIZZATI V/ REGIONE</t>
  </si>
  <si>
    <t>6.02.01.01.0105</t>
  </si>
  <si>
    <t>PROVENTI FINANZIARI DA CREDITI IMMOBILIZZATI V/ ALTRE IMPRESE</t>
  </si>
  <si>
    <t>CA0070</t>
  </si>
  <si>
    <t>Proventi finanziari da crediti iscritti nelle immobilizzazioni</t>
  </si>
  <si>
    <t xml:space="preserve">C.2.B </t>
  </si>
  <si>
    <t>C.2.B) Proventi finanziari da crediti iscritti nelle immobilizzazioni</t>
  </si>
  <si>
    <t>6.02.02.01.0101</t>
  </si>
  <si>
    <t>PROVENTI FINANZIARI DA CREDITI ISCRITTI NELLE IMMOBILIZZAZIONI</t>
  </si>
  <si>
    <t>CA0080</t>
  </si>
  <si>
    <t>Proventi finanziari da titoli iscritti nelle immobilizzazioni</t>
  </si>
  <si>
    <t xml:space="preserve">C.2.C </t>
  </si>
  <si>
    <t>C.2.C) Proventi finanziari da titoli iscritti nelle immobilizzazioni</t>
  </si>
  <si>
    <t>6.02.03.01.0101</t>
  </si>
  <si>
    <t>PROVENTI FINANZIARI DA TITOLI ISCRITTI NELLE IMMOBILIZZAZIONI</t>
  </si>
  <si>
    <t>CA0090</t>
  </si>
  <si>
    <t>Altri proventi finanziari diversi dai precedenti</t>
  </si>
  <si>
    <t xml:space="preserve">C.2.D </t>
  </si>
  <si>
    <t>C.2.D) Altri proventi finanziari diversi dai precedenti</t>
  </si>
  <si>
    <t>6.02.04.01.0101</t>
  </si>
  <si>
    <t>ALTRI PROVENTI FINANZIARI DIVERSI DAI PRECEDENTI</t>
  </si>
  <si>
    <t>CA0100</t>
  </si>
  <si>
    <t>Utili su cambi</t>
  </si>
  <si>
    <t xml:space="preserve">C.2.E </t>
  </si>
  <si>
    <t>C.2.E) Utili su cambi</t>
  </si>
  <si>
    <t>6.02.05.01.0101</t>
  </si>
  <si>
    <t>UTILI SU CAMBI</t>
  </si>
  <si>
    <t>CA0110</t>
  </si>
  <si>
    <t>Interessi passivi</t>
  </si>
  <si>
    <t xml:space="preserve">C.3 </t>
  </si>
  <si>
    <t>C.3)  Interessi passivi</t>
  </si>
  <si>
    <t>CA0120</t>
  </si>
  <si>
    <t>Interessi passivi su anticipazioni di cassa</t>
  </si>
  <si>
    <t xml:space="preserve">C.3.A </t>
  </si>
  <si>
    <t>C.3.A) Interessi passivi su anticipazioni di cassa</t>
  </si>
  <si>
    <t>6.03.01.01.0101</t>
  </si>
  <si>
    <t>INTERESSI PASSIVI SU ANTICIPAZIONI DI TESORERIA</t>
  </si>
  <si>
    <t>VERIFICARE CONTABILIZZAZIONE E COMPETENZA INTERESSI</t>
  </si>
  <si>
    <t>Interessi passivi su anticipazioni di tesoreria</t>
  </si>
  <si>
    <t>CA0130</t>
  </si>
  <si>
    <t>Interessi passivi su mutui</t>
  </si>
  <si>
    <t xml:space="preserve">C.3.B </t>
  </si>
  <si>
    <t>C.3.B) Interessi passivi su mutui</t>
  </si>
  <si>
    <t>6.03.02.01.0101</t>
  </si>
  <si>
    <t>INTERESSI PASSIVI SU MUTUI</t>
  </si>
  <si>
    <t>CA0140</t>
  </si>
  <si>
    <t>Altri interessi passivi</t>
  </si>
  <si>
    <t xml:space="preserve">C.3.C </t>
  </si>
  <si>
    <t>C.3.C) Altri interessi passivi</t>
  </si>
  <si>
    <t>6.03.03.01.0101</t>
  </si>
  <si>
    <t>INTERESSI ED ALTRI ONERI FINANZIARI V/ IMPRESE CONTROLLATE</t>
  </si>
  <si>
    <t>6.03.03.01.0102</t>
  </si>
  <si>
    <t>INTERESSI ED ALTRI ONERI FINANZIARI V/ IMPRESE COLLEGATE</t>
  </si>
  <si>
    <t>6.03.03.01.0103</t>
  </si>
  <si>
    <t>INTERESSI ED ALTRI ONERI FINANZIARI V/ REGIONE</t>
  </si>
  <si>
    <t>6.03.03.01.0104</t>
  </si>
  <si>
    <t>ALTRI INTERESSI ED ALTRI ONERI FINANZIARI V/ FORNITORI</t>
  </si>
  <si>
    <t>CA0150</t>
  </si>
  <si>
    <t>Altri oneri</t>
  </si>
  <si>
    <t xml:space="preserve">C.4 </t>
  </si>
  <si>
    <t>C.4) Altri oneri</t>
  </si>
  <si>
    <t>CA0160</t>
  </si>
  <si>
    <t>Altri oneri finanziari</t>
  </si>
  <si>
    <t xml:space="preserve">C.4.A </t>
  </si>
  <si>
    <t>C.4.A) Altri oneri finanziari</t>
  </si>
  <si>
    <t>6.04.01.01.0101</t>
  </si>
  <si>
    <t>PERDITE DA PARTECIPAZIONI</t>
  </si>
  <si>
    <t>6.04.01.01.0102</t>
  </si>
  <si>
    <t>ALTRI ONERI FINANZIARI</t>
  </si>
  <si>
    <t>CA0170</t>
  </si>
  <si>
    <t>Perdite su cambi</t>
  </si>
  <si>
    <t xml:space="preserve">C.4.B </t>
  </si>
  <si>
    <t>C.4.B) Perdite su cambi</t>
  </si>
  <si>
    <t>6.04.02.01.0101</t>
  </si>
  <si>
    <t>PERDITE SU CAMBI</t>
  </si>
  <si>
    <t>RETTIFICHE DI VALORE DI ATTIVITÀ FINANZIARIE</t>
  </si>
  <si>
    <t>D)  Rettifiche di valore di attività finanziarie</t>
  </si>
  <si>
    <t>DA0010</t>
  </si>
  <si>
    <t xml:space="preserve">D.1 </t>
  </si>
  <si>
    <t>D.1) Rivalutazioni</t>
  </si>
  <si>
    <t>7.01.01.01.0101</t>
  </si>
  <si>
    <t>RIVALUTAZIONI DI PARTECIPAZIONI</t>
  </si>
  <si>
    <t>7.01.01.01.0102</t>
  </si>
  <si>
    <t>RIVALUTAZIONI DI IMMOBILIZZAZIONI FINANZIARIE</t>
  </si>
  <si>
    <t>7.01.01.01.0103</t>
  </si>
  <si>
    <t>ALTRE RIVALUTAZIONI</t>
  </si>
  <si>
    <t>DA0020</t>
  </si>
  <si>
    <t xml:space="preserve">D.2 </t>
  </si>
  <si>
    <t>D.2) Svalutazioni</t>
  </si>
  <si>
    <t>7.02.01.01.0101</t>
  </si>
  <si>
    <t>SVALUTAZIONI DI PARTECIPAZIONI</t>
  </si>
  <si>
    <t>7.02.01.01.0102</t>
  </si>
  <si>
    <t>SVALUTAZIONI DI IMMOBILIZZAZIONI FINANZIARIE</t>
  </si>
  <si>
    <t>7.02.01.01.0103</t>
  </si>
  <si>
    <t>ALTRE SVALUTAZIONI</t>
  </si>
  <si>
    <t>PROVENTI E ONERI STRAORDINARI</t>
  </si>
  <si>
    <t>E)  Proventi e oneri straordinari</t>
  </si>
  <si>
    <t>EA0010</t>
  </si>
  <si>
    <t>Proventi straordinari</t>
  </si>
  <si>
    <t xml:space="preserve">E.1 </t>
  </si>
  <si>
    <t>E.1) Proventi straordinari</t>
  </si>
  <si>
    <t>EA0020</t>
  </si>
  <si>
    <t>Plusvalenze</t>
  </si>
  <si>
    <t xml:space="preserve">E.1.A </t>
  </si>
  <si>
    <t>E.1.A) Plusvalenze</t>
  </si>
  <si>
    <t>8.01.01.01.0101</t>
  </si>
  <si>
    <t>PLUSVALENZE DA VENDITA BENI IMM.  - COSTI DI IMPIANTO E AMPLIAMENTO</t>
  </si>
  <si>
    <t>8.01.01.01.0102</t>
  </si>
  <si>
    <t>PLUSVALENZE DA VENDITA BENI IMM.-  COSTI DI RICERCA</t>
  </si>
  <si>
    <t>8.01.01.01.0103</t>
  </si>
  <si>
    <t>PLUSVALENZE DA VENDITA BENI IMM. -COSTI DI SVILUPPO PUBBLICO PLURIENNALE</t>
  </si>
  <si>
    <t>8.01.01.01.0104</t>
  </si>
  <si>
    <t>PLUSVALENZE DA VENDITA BENI IMM.-  DIRITTI DI BREVETTO</t>
  </si>
  <si>
    <t>8.01.01.01.0105</t>
  </si>
  <si>
    <t>PLUSVALENZE DA VENDITA BENI IMM.- DIRITTI DI UTILIZZAZIONE DELLE OPERE DI</t>
  </si>
  <si>
    <t>8.01.01.01.0106</t>
  </si>
  <si>
    <t>PLUSVALENZE DA VENDITA SOFTWARE</t>
  </si>
  <si>
    <t>8.01.01.01.0107</t>
  </si>
  <si>
    <t>PLUSVALENZE DA VENDITA CONCESSIONI</t>
  </si>
  <si>
    <t>8.01.01.01.0108</t>
  </si>
  <si>
    <t>PLUSVALENZE DA VENDITA  LICENZE</t>
  </si>
  <si>
    <t>8.01.01.01.0109</t>
  </si>
  <si>
    <t>PLUSVALENZE DA VENDITA   MARCHI</t>
  </si>
  <si>
    <t>8.01.01.01.0110</t>
  </si>
  <si>
    <t>PLUSVALENZE DA VENDITA IMMOBILIZZAZIONI MATERIALI IN CORSO</t>
  </si>
  <si>
    <t>8.01.01.01.0111</t>
  </si>
  <si>
    <t>PLUSVALENZE DA  VENDITA TERRENI AGRICOLI</t>
  </si>
  <si>
    <t>PLUSVALENZE DA  VENDITA TERRENI AFRICOLI</t>
  </si>
  <si>
    <t>8.01.01.01.0112</t>
  </si>
  <si>
    <t>PLUSVALENZE DA VENDITA TERRENI EDIFICABILI</t>
  </si>
  <si>
    <t>8.01.01.01.0113</t>
  </si>
  <si>
    <t>PLUSVALENZE DA VENDITA AREE, STAD, VERDE E ASSIMILATI</t>
  </si>
  <si>
    <t>8.01.01.01.0114</t>
  </si>
  <si>
    <t>PLUSVALENZE DA VENDITA FABBRICATI CIVILI AD USO ABITAZIONE</t>
  </si>
  <si>
    <t>8.01.01.01.0115</t>
  </si>
  <si>
    <t>PLUSVALENZE DA VENDITA  FABBRICATI CIVILI AD USO COMMERCIALE</t>
  </si>
  <si>
    <t>8.01.01.01.0116</t>
  </si>
  <si>
    <t>PLUSVALENZE DA VENDITA FABBRICATI RURALI, COSTRUZIONI LEGGERE ED ALTRI</t>
  </si>
  <si>
    <t>8.01.01.01.0117</t>
  </si>
  <si>
    <t>PLUSVALENZE DA VENDITA FABBRICATI INDISPONIBILI</t>
  </si>
  <si>
    <t>8.01.01.01.0118</t>
  </si>
  <si>
    <t>PLUSVALENZE DA VENDITA IMPIANTI SANITARI</t>
  </si>
  <si>
    <t>8.01.01.01.0119</t>
  </si>
  <si>
    <t>PLUSVALENZE DA VENDITA IMPIANTI SANITARI AD ALTA TECNOLOGIA</t>
  </si>
  <si>
    <t>8.01.01.01.0120</t>
  </si>
  <si>
    <t>PLUSVALENZE DA VENDITA IMPIANTI ELETTRICI</t>
  </si>
  <si>
    <t>8.01.01.01.0121</t>
  </si>
  <si>
    <t>PLUSVALENZE DA VENDITA IMPIANTI IDRAULICI E DI RISCALDAMENTO</t>
  </si>
  <si>
    <t>8.01.01.01.0122</t>
  </si>
  <si>
    <t>PLUSVALENZE DA VENDITA IMPIANTI TELEFONICI</t>
  </si>
  <si>
    <t>8.01.01.01.0123</t>
  </si>
  <si>
    <t>PLUSVALENZEDA VENDITA IMPIANTI DI ALLARME E SICUREZZA</t>
  </si>
  <si>
    <t>8.01.01.01.0124</t>
  </si>
  <si>
    <t>PLUSVALENZE DA VENDITA ALTRI IMPIANTI</t>
  </si>
  <si>
    <t>8.01.01.01.0125</t>
  </si>
  <si>
    <t>PLUSVALENZEDA VENDITA MACCHINARI SANITARI</t>
  </si>
  <si>
    <t>8.01.01.01.0126</t>
  </si>
  <si>
    <t>PLUSVALENZE DA VENDITA MACCHINARI SANITARI AD ALTA TECNOLOGIA</t>
  </si>
  <si>
    <t>8.01.01.01.0127</t>
  </si>
  <si>
    <t>PLUSVALENZE DA VENDITA MACCHINARI ELETTRICI</t>
  </si>
  <si>
    <t>8.01.01.01.0128</t>
  </si>
  <si>
    <t>PLUSVALENZEDA VENDITA ALTRI MACCHINARI</t>
  </si>
  <si>
    <t>8.01.01.01.0129</t>
  </si>
  <si>
    <t>PLUSVALENZE DA VENDITA ATTREZZATURE SANITARIE</t>
  </si>
  <si>
    <t>8.01.01.01.0130</t>
  </si>
  <si>
    <t>PLUSVALENZE DA VENDITA ATTREZZATURE PER LABORATORI DI ANALISI</t>
  </si>
  <si>
    <t>8.01.01.01.0131</t>
  </si>
  <si>
    <t>PLUSVALENZE DA VENDITA ATTREZZATURE DIVERSE</t>
  </si>
  <si>
    <t>8.01.01.01.0132</t>
  </si>
  <si>
    <t>PLUSVALENZE DA VENDITA MOBILI E ARREDI</t>
  </si>
  <si>
    <t>8.01.01.01.0133</t>
  </si>
  <si>
    <t>PLUSVALENZE DA VENDITA AMBULANZE</t>
  </si>
  <si>
    <t>8.01.01.01.0134</t>
  </si>
  <si>
    <t>PLUSVALENZE DA VENDITA AUTOMEZZI</t>
  </si>
  <si>
    <t>8.01.01.01.0135</t>
  </si>
  <si>
    <t>PLUSVALENZE DA VENDITA ALTRI MEZZI DI TRASPORTO</t>
  </si>
  <si>
    <t>8.01.01.01.0136</t>
  </si>
  <si>
    <t>PLUSVALENZE DA VENDITA ATTRZZATURE TECNICO-ECONOMALI</t>
  </si>
  <si>
    <t>8.01.01.01.0137</t>
  </si>
  <si>
    <t>PLUSVALENZE DA VENDITA ELABORATORI ELETTRONICI, TERMINALI E STAMPANTI</t>
  </si>
  <si>
    <t>8.01.01.01.0138</t>
  </si>
  <si>
    <t>PLUSVALENZE DA VENDITA BENI DIVERSI</t>
  </si>
  <si>
    <t>8.01.01.01.0139</t>
  </si>
  <si>
    <t>PLUSVALENZE DA ACCONTI A FORNITORI PER ACQUISTI DI IMMOBILIZZAZIONI IMMATERIALI</t>
  </si>
  <si>
    <t>8.01.01.01.0140</t>
  </si>
  <si>
    <t>PLUSVALENZE DA MIGLIORIE SU TERRENI E FABBRICATI DI PROPRIETA'</t>
  </si>
  <si>
    <t>8.01.01.01.0141</t>
  </si>
  <si>
    <t>PLUSVALENZE DA ALTRI COSTI PLURIENNALI DA AMMORTIZZARE</t>
  </si>
  <si>
    <t>8.01.01.01.0142</t>
  </si>
  <si>
    <t>PLUSVALENZE DA SPESE STRAORDINARIE E/O MIGLIORIE SU BENI IMMOBILI DI TERZI</t>
  </si>
  <si>
    <t>8.01.01.01.0143</t>
  </si>
  <si>
    <t>PLUSVALENZE DA SPESE STRAORDINARIE E/O MIGLIORIE SU BENI DI TERZI</t>
  </si>
  <si>
    <t>8.01.01.01.0144</t>
  </si>
  <si>
    <t>PLUSVALENZE DA ALIENAZIONI DI TITOLI IMMOBILIZZATI</t>
  </si>
  <si>
    <t>8.01.01.01.0145</t>
  </si>
  <si>
    <t>PLUSVALENZE DA ALIENAZIONE DI TITOLI NON IMMOBILIZZATI</t>
  </si>
  <si>
    <t>EA0030</t>
  </si>
  <si>
    <t>Altri proventi straordinari</t>
  </si>
  <si>
    <t>E.1.B</t>
  </si>
  <si>
    <t>E.1.B) Altri proventi straordinari</t>
  </si>
  <si>
    <t>EA0040</t>
  </si>
  <si>
    <t>Proventi da donazioni e liberalità diverse</t>
  </si>
  <si>
    <t xml:space="preserve">E.1.B.1 </t>
  </si>
  <si>
    <t>E.1.B.1) Proventi da donazioni e liberalità diverse</t>
  </si>
  <si>
    <t>8.01.02.01.0101</t>
  </si>
  <si>
    <t>PROVENTI DA DONAZIONI E LIBERALITA' DIVERSE</t>
  </si>
  <si>
    <t>8.01.02.01.0102</t>
  </si>
  <si>
    <t>EA0050</t>
  </si>
  <si>
    <t>Sopravvenienze attive</t>
  </si>
  <si>
    <t xml:space="preserve">E.1.B.2 </t>
  </si>
  <si>
    <t>E.1.B.2) Sopravvenienze attive</t>
  </si>
  <si>
    <t>EA0051</t>
  </si>
  <si>
    <t>8.01.02.02.0901</t>
  </si>
  <si>
    <t>Sopravvenienze attive per quote F.S. vincolato</t>
  </si>
  <si>
    <t>E.1.B.2.1</t>
  </si>
  <si>
    <t>E.1.B.2.1) Sopravvenienze attive per quote F.S. vincolato</t>
  </si>
  <si>
    <t>EA0060</t>
  </si>
  <si>
    <t>8.01.02.02.0101</t>
  </si>
  <si>
    <t>Sopravvenienze attive v/Aziende sanitarie pubbliche della Regione</t>
  </si>
  <si>
    <t>SOPRAVVENIENZE ATTIVE V/ ASL-AO, IRCCS, POLICLINICI  DELLA REGIONE</t>
  </si>
  <si>
    <t>CONTABILIZZAZIONE - INTERCOMPANY</t>
  </si>
  <si>
    <t>VERIFICARE CONTABILIZZAZIONE - INTERCOMPANY</t>
  </si>
  <si>
    <t>E.1.B.2.2</t>
  </si>
  <si>
    <t>E.1.B.2.2) Sopravvenienze attive v/Aziende sanitarie pubbliche della Regione</t>
  </si>
  <si>
    <t>8.01.02.02.0102</t>
  </si>
  <si>
    <t>SOPRAVVENIENZE ATTIVE V/ ASL-AO, IRCCS, POLICLINICI RELATIVE AL PERSONALE</t>
  </si>
  <si>
    <t>8.01.02.02.0103</t>
  </si>
  <si>
    <t>SOPRAVVENIENZE ATTIVE V/ ASL-AO, IRCCS, POLICLINICI RELATIVE AL PERSONALE - RUOLO SANITARIO - DIRIGENZA MEDICA</t>
  </si>
  <si>
    <t>SOPRAVVENIENZE ATTIVE V/ ASL-AO, IRCCS, POLICLINICI RELATIVE AL PERSONALE -RUOLO SANITARIO - DIRIGENZA MEDICA</t>
  </si>
  <si>
    <t>EA0080</t>
  </si>
  <si>
    <t>8.01.02.02.0201</t>
  </si>
  <si>
    <t>SOPRAVVENIENZE ATTIVE V/TERZI RELATIVE ALLA MOBILITA' EXTRAREGIONALE</t>
  </si>
  <si>
    <t>Sopravvenienze attive v/terzi relative alla mobilità extraregionale</t>
  </si>
  <si>
    <t>E.1.B.2.3.A)</t>
  </si>
  <si>
    <t>E.1.B.2.3.A) Sopravvenienze attive v/terzi relative alla mobilità extraregionale</t>
  </si>
  <si>
    <t>EA0090</t>
  </si>
  <si>
    <t>8.01.02.02.0301</t>
  </si>
  <si>
    <t>SOPRAVVENIENZE ATTIVE RELATIVE ALLA DIRIGENZA MEDICA UNIV.</t>
  </si>
  <si>
    <t>Sopravvenienze attive v/terzi relative al personale</t>
  </si>
  <si>
    <t>E.1.B.2.3.B)</t>
  </si>
  <si>
    <t>E.1.B.2.3.B) Sopravvenienze attive v/terzi relative al personale</t>
  </si>
  <si>
    <t>8.01.02.02.0302</t>
  </si>
  <si>
    <t>SOPRAVVENIENZE ATTIVE  RELATIVE ALTRA DIRIGENZA UNIV.</t>
  </si>
  <si>
    <t>8.01.02.02.0303</t>
  </si>
  <si>
    <t>SOPRAVVENIENZE ATTIVE REALTIVE AL COMPARTO UNIV.</t>
  </si>
  <si>
    <t>8.01.02.02.0304</t>
  </si>
  <si>
    <t>SOPRAVVENIENZE ATTIVE RELATIVE ALLA DIRIGENZA MEDICA AZIENDALE</t>
  </si>
  <si>
    <t>8.01.02.02.0305</t>
  </si>
  <si>
    <t>SOPRAVVENIENZE ATTIVE RELATIVE ALTRA DIRIGENZA AZIENDA</t>
  </si>
  <si>
    <t>8.01.02.02.0306</t>
  </si>
  <si>
    <t>SOPRAVVENIENZE ATTIVE RELATIVA AL COMPARTO AZIENDA</t>
  </si>
  <si>
    <t>EA0100</t>
  </si>
  <si>
    <t>8.01.02.02.0401</t>
  </si>
  <si>
    <t>SOPRAVVENIENZE ATTIVE V/TERZI RELATIVE ALLE CONVENZIONI CON MEDICI DI BASE</t>
  </si>
  <si>
    <t>Sopravvenienze attive v/terzi relative alle convenzioni con medici di base</t>
  </si>
  <si>
    <t>E.1.B.2.3.C)</t>
  </si>
  <si>
    <t>E.1.B.2.3.C) Sopravvenienze attive v/terzi relative alle convenzioni con medici di base</t>
  </si>
  <si>
    <t>EA0110</t>
  </si>
  <si>
    <t>8.01.02.02.0501</t>
  </si>
  <si>
    <t>SOPRAVVENIENZE ATTIVE V/TERZI RELATIVE ALLE CONVENZIONI PER LA SPECIALISTICA</t>
  </si>
  <si>
    <t>Sopravvenienze attive v/terzi relative alle convenzioni per la specialistica</t>
  </si>
  <si>
    <t>E.1.B.2.3.D)</t>
  </si>
  <si>
    <t>E.1.B.2.3.D) Sopravvenienze attive v/terzi relative alle convenzioni per la specialistica</t>
  </si>
  <si>
    <t>EA0120</t>
  </si>
  <si>
    <t>8.01.02.02.0601</t>
  </si>
  <si>
    <t>SOPRAVVENIENZE ATTIVE PER RETRIBUZIONI DEL PERSONALE DIRIGENZA MEDICA ACCREDITATI</t>
  </si>
  <si>
    <t>Sopravvenienze attive v/terzi relative all'acquisto prestazioni sanitarie da operatori accreditati</t>
  </si>
  <si>
    <t>E.1.B.2.3.E)</t>
  </si>
  <si>
    <t>E.1.B.2.3.E) Sopravvenienze attive v/terzi relative all'acquisto prestaz. sanitarie da operatori accreditati</t>
  </si>
  <si>
    <t>8.01.02.02.0602</t>
  </si>
  <si>
    <t>SOPRAVVENIENZE ATTIVE V/TERZI RELATIVE ALL'ACQUISTO DI PRESTAZ. SANITARIE DA OPERATORI ACCREDITATI</t>
  </si>
  <si>
    <t>EA0130</t>
  </si>
  <si>
    <t>8.01.02.02.0701</t>
  </si>
  <si>
    <t>SOPRAVVENIENZE ATTIVE V/TERZI RELATIVE ALL'ACQUISTO DI BENI E SERVIZI</t>
  </si>
  <si>
    <t>Sopravvenienze attive v/terzi relative all'acquisto di beni e servizi</t>
  </si>
  <si>
    <t>E.1.B.2.3.F)</t>
  </si>
  <si>
    <t>E.1.B.2.3.F) Sopravvenienze attive v/terzi relative all'acquisto di beni e servizi</t>
  </si>
  <si>
    <t>8.01.02.02.0702</t>
  </si>
  <si>
    <t>SOPRAVVENIENZE ATTIVE V/TERZI RELATIVE ALL'ACQUISTO DI PRESTAZ. SANITARIE DA ASL</t>
  </si>
  <si>
    <t>EA0140</t>
  </si>
  <si>
    <t>8.01.02.02.0801</t>
  </si>
  <si>
    <t>ALTRE SOPRAVVENIENZE ATTIVE V/TERZI</t>
  </si>
  <si>
    <t>Altre sopravvenienze attive v/terzi</t>
  </si>
  <si>
    <t>E.1.B.2.3.G)</t>
  </si>
  <si>
    <t>E.1.B.2.3.G) Altre sopravvenienze attive v/terzi</t>
  </si>
  <si>
    <t>8.01.02.02.0802</t>
  </si>
  <si>
    <t>SOPRAVVENIENZE ATTIVE V/TERZI RELATIVE ALLA MOBILITA' INTRAREGIONALE</t>
  </si>
  <si>
    <t>8.01.02.02.0803</t>
  </si>
  <si>
    <t>SOPRAVVENIENZE ATTIVE V/TERZI RELATIVE ALLE SPERIMENTAZIONI CLINICHE E FARMACOLOGICHE</t>
  </si>
  <si>
    <t>EA0150</t>
  </si>
  <si>
    <t>Insussistenze attive</t>
  </si>
  <si>
    <t xml:space="preserve">E.1.B.3 </t>
  </si>
  <si>
    <t xml:space="preserve">E.1.B.3) Insussistenze attive </t>
  </si>
  <si>
    <t>EA0160</t>
  </si>
  <si>
    <t>8.01.02.03.0101</t>
  </si>
  <si>
    <t>INSUSSISTENZE ATTIVE V/ ASL-AO, IRCCS, POLICLINICI RELATIVE ALLA MOBILITA'</t>
  </si>
  <si>
    <t>Insussistenze attive v/Aziende sanitarie pubbliche della Regione</t>
  </si>
  <si>
    <t>E.1.B.3.1</t>
  </si>
  <si>
    <t>E.1.B.3.1) Insussistenze attive v/Aziende sanitarie pubbliche della Regione</t>
  </si>
  <si>
    <t>8.01.02.03.0102</t>
  </si>
  <si>
    <t>INSUSSISTENZE ATTIVE V/ ASL-AO, IRCCS, POLICLINICI RELATIVE AL PERSONALE</t>
  </si>
  <si>
    <t>8.01.02.03.0103</t>
  </si>
  <si>
    <t>ALTRE INSUSSISTENZE ATTIVEV/ ASL-AO, IRCCS, POLICLINICI REG</t>
  </si>
  <si>
    <t>EA0180</t>
  </si>
  <si>
    <t>8.01.02.03.0201</t>
  </si>
  <si>
    <t>INSUSSISTENZE ATTIVE V/TERZI RELATIVE ALLA MOBILITA' EXTRAREGIONALE</t>
  </si>
  <si>
    <t>Insussistenze attive v/terzi relative alla mobilità extraregionale</t>
  </si>
  <si>
    <t>E.1.B.3.2.A)</t>
  </si>
  <si>
    <t>E.1.B.3.2.A) Insussistenze attive v/terzi relative alla mobilità extraregionale</t>
  </si>
  <si>
    <t>EA0190</t>
  </si>
  <si>
    <t>8.01.02.03.0301</t>
  </si>
  <si>
    <t>INSUSSISTENZE ATTIVE V/TERZI RELATIVE AL PERSONALE</t>
  </si>
  <si>
    <t>Insussistenze attive v/terzi relative al personale</t>
  </si>
  <si>
    <t>E.1.B.3.2.B)</t>
  </si>
  <si>
    <t>E.1.B.3.2.B) Insussistenze attive v/terzi relative al personale</t>
  </si>
  <si>
    <t>EA0200</t>
  </si>
  <si>
    <t>8.01.02.03.0401</t>
  </si>
  <si>
    <t>INSUSSISTENZE ATTIVE V/TERZI RELATIVE ALLE CONVENZIONI CON MEDICI DI BASE</t>
  </si>
  <si>
    <t>Insussistenze attive v/terzi relative alle convenzioni con medici di base</t>
  </si>
  <si>
    <t>E.1.B.3.2.C)</t>
  </si>
  <si>
    <t>E.1.B.3.2.C) Insussistenze attive v/terzi relative alle convenzioni con medici di base</t>
  </si>
  <si>
    <t>EA0210</t>
  </si>
  <si>
    <t>8.01.02.03.0501</t>
  </si>
  <si>
    <t>INSUSSISTENZE ATTIVE V/TERZI RELATIVE ALLE CONVENZIONI PER LA SPECIALISTICA</t>
  </si>
  <si>
    <t>Insussistenze attive v/terzi relative alle convenzioni per la specialistica</t>
  </si>
  <si>
    <t>E.1.B.3.2.D)</t>
  </si>
  <si>
    <t>E.1.B.3.2.D) Insussistenze attive v/terzi relative alle convenzioni per la specialistica</t>
  </si>
  <si>
    <t>EA0220</t>
  </si>
  <si>
    <t>8.01.02.03.0601</t>
  </si>
  <si>
    <t>Insussistenze attive v/terzi relative all'acquisto prestazioni sanitarie da operatori accreditati</t>
  </si>
  <si>
    <t>E.1.B.3.2.E)</t>
  </si>
  <si>
    <t>E.1.B.3.2.E) Insussistenze attive v/terzi relative all'acquisto prestaz. sanitarie da operatori accreditati</t>
  </si>
  <si>
    <t>EA0230</t>
  </si>
  <si>
    <t>8.01.02.03.0701</t>
  </si>
  <si>
    <t>INSUSSISTENZE ATTIVE V/TERZI RELATIVE ALL'ACQUISTO DI BENI E SERVIZI</t>
  </si>
  <si>
    <t>Insussistenze attive v/terzi relative all'acquisto di beni e servizi</t>
  </si>
  <si>
    <t>E.1.B.3.2.F)</t>
  </si>
  <si>
    <t>E.1.B.3.2.F) Insussistenze attive v/terzi relative all'acquisto di beni e servizi</t>
  </si>
  <si>
    <t>EA0240</t>
  </si>
  <si>
    <t>8.01.02.03.0801</t>
  </si>
  <si>
    <t>ALTRE INSUSSISTENZE ATTIVE V/TERZI</t>
  </si>
  <si>
    <t>Altre insussistenze attive v/terzi</t>
  </si>
  <si>
    <t>E.1.B.3.2.G)</t>
  </si>
  <si>
    <t>E.1.B.3.2.G) Altre insussistenze attive v/terzi</t>
  </si>
  <si>
    <t>EA0250</t>
  </si>
  <si>
    <t xml:space="preserve">E.1.B.4 </t>
  </si>
  <si>
    <t>E.1.B.4) Altri proventi straordinari</t>
  </si>
  <si>
    <t>8.01.02.04.0101</t>
  </si>
  <si>
    <t>ALTRI PROVENTI STRAORDINARI</t>
  </si>
  <si>
    <t>8.01.02.04.0102</t>
  </si>
  <si>
    <t>SCONTI E ABBUONI PER TRANSAZIONI</t>
  </si>
  <si>
    <t>EA0260</t>
  </si>
  <si>
    <t>Oneri straordinari</t>
  </si>
  <si>
    <t xml:space="preserve">E.2 </t>
  </si>
  <si>
    <t>E.2) Oneri straordinari</t>
  </si>
  <si>
    <t>EA0270</t>
  </si>
  <si>
    <t>Minusvalenze</t>
  </si>
  <si>
    <t xml:space="preserve">E.2.A </t>
  </si>
  <si>
    <t>E.2.A) Minusvalenze</t>
  </si>
  <si>
    <t>8.02.01.01.0101</t>
  </si>
  <si>
    <t>MINUSVALENZE DA VENDITA BENI IMM.  - COSTI DI IMPIANTO E AMPLIAMENTO</t>
  </si>
  <si>
    <t>8.02.01.01.0102</t>
  </si>
  <si>
    <t>MINUSVALENZE DA VENDITA BENI IMM.-  COSTI DI RICERCA</t>
  </si>
  <si>
    <t>8.02.01.01.0103</t>
  </si>
  <si>
    <t>MINUSVALENZE DA VENDITA BENI IMM. -COSTI DI SVILUPPO PUBBLICO PLURIENNALE</t>
  </si>
  <si>
    <t>8.02.01.01.0104</t>
  </si>
  <si>
    <t>MINUSVALENZE DA VENDITA BENI IMM.-  DIRITTI DI BREVETTO</t>
  </si>
  <si>
    <t>8.02.01.01.0105</t>
  </si>
  <si>
    <t>MINUSVALENZE DA VENDITA BENI IMM.- DIRITTI DI UTILIZZAZIONE DELLE OPERE DI INGEGNO</t>
  </si>
  <si>
    <t>8.02.01.01.0106</t>
  </si>
  <si>
    <t>MINUSVALENZE DA VENDITA SOFTWARE</t>
  </si>
  <si>
    <t>8.02.01.01.0107</t>
  </si>
  <si>
    <t>MINUSVALENZE DA VENDITACONCESSIONI</t>
  </si>
  <si>
    <t>8.02.01.01.0108</t>
  </si>
  <si>
    <t>MINUSVALENZE DA VENDITA  LICENZE</t>
  </si>
  <si>
    <t>8.02.01.01.0109</t>
  </si>
  <si>
    <t>MINUSVALENZE DA VENDITA   MARCHI</t>
  </si>
  <si>
    <t>8.02.01.01.0110</t>
  </si>
  <si>
    <t>MINUSVALENZE DA VENDITA IMMOBILIZZAZIONI MATERIALI IN CORSO</t>
  </si>
  <si>
    <t>8.02.01.01.0111</t>
  </si>
  <si>
    <t>MINUSVALENZE DA  VENDITA TERRENI AGRICOLI</t>
  </si>
  <si>
    <t>MINUSVALENZE DA  VENDITA TERRENI AFRICOLI</t>
  </si>
  <si>
    <t>8.02.01.01.0112</t>
  </si>
  <si>
    <t>MINUSVALENZE DA VENDITA TERRENI EDIFICABILI</t>
  </si>
  <si>
    <t>8.02.01.01.0113</t>
  </si>
  <si>
    <t>MINUSVALENZE DA VENDITA AREE, STAD, VERDE E ASSIMILATI</t>
  </si>
  <si>
    <t>8.02.01.01.0114</t>
  </si>
  <si>
    <t>MINUSVALENZE DA VENDITA FABBRICATI CIVILI AD USO ABITAZIONE</t>
  </si>
  <si>
    <t>8.02.01.01.0115</t>
  </si>
  <si>
    <t>MINUSVALENZE DA VENDITA  FABBRICATI CIVILI AD USO COMMERCIALE</t>
  </si>
  <si>
    <t>8.02.01.01.0116</t>
  </si>
  <si>
    <t>MINUSVALENZE DA VENDITA FABBRICATI RURALI, COSTRUZIONI LEGGERE ED ALTRI</t>
  </si>
  <si>
    <t>8.02.01.01.0117</t>
  </si>
  <si>
    <t>MINUSVALENZE DA VENDITA FABBRICATI INDISPONIBILI</t>
  </si>
  <si>
    <t>8.02.01.01.0118</t>
  </si>
  <si>
    <t>MINUSVALENZE DA VENDITA IMPIANTI SANITARI</t>
  </si>
  <si>
    <t>8.02.01.01.0119</t>
  </si>
  <si>
    <t>MINUSVALENZE DA VENDITA IMPIANTI SANITARI AD ALTA TECNOLOGIA</t>
  </si>
  <si>
    <t>8.02.01.01.0120</t>
  </si>
  <si>
    <t>MINUSVALENZEDA VENDITA IMPIANTI ELETTRICI</t>
  </si>
  <si>
    <t>8.02.01.01.0121</t>
  </si>
  <si>
    <t>MINUSVALENZE DA VENDITA IMPIANTI IDRAULICI E DI RISCALDAMENTO</t>
  </si>
  <si>
    <t>8.02.01.01.0122</t>
  </si>
  <si>
    <t>MINUSVALENZE DA VENDITA IMPIANTI TELEFONICI</t>
  </si>
  <si>
    <t>8.02.01.01.0123</t>
  </si>
  <si>
    <t>MINUSVALENZE DA VENDITA IMPIANTI DI ALLARME E SICUREZZA</t>
  </si>
  <si>
    <t>8.02.01.01.0124</t>
  </si>
  <si>
    <t>MINUSVALENZE DA VENDITA ALTRI IMPIANTI</t>
  </si>
  <si>
    <t>8.02.01.01.0125</t>
  </si>
  <si>
    <t>MINUSVALENZE DA VENDITA MACCHINARI SANITARI</t>
  </si>
  <si>
    <t>8.02.01.01.0126</t>
  </si>
  <si>
    <t>MINUSVALENZE DA VENDITA MACCHINARI SANITARI AD ALTA TECNOLOGIA</t>
  </si>
  <si>
    <t>8.02.01.01.0127</t>
  </si>
  <si>
    <t>MINUSVALENZE DA VENDITA MACCHINARI ELETTRICI</t>
  </si>
  <si>
    <t>8.02.01.01.0128</t>
  </si>
  <si>
    <t>MINUSVALENZE DA VENDITA ALTRI MACCHINARI</t>
  </si>
  <si>
    <t>8.02.01.01.0129</t>
  </si>
  <si>
    <t>MINUSVALENZE DA VENDITA ATTREZZATURE SANITARIE</t>
  </si>
  <si>
    <t>8.02.01.01.0130</t>
  </si>
  <si>
    <t>MINUSVALENZE DA VENDITA ATTREZZATURE PER LABORATORI DI ANALISI</t>
  </si>
  <si>
    <t>8.02.01.01.0131</t>
  </si>
  <si>
    <t>MINUSVALENZE DA VENDITA ATTREZZATURE DIVERSE</t>
  </si>
  <si>
    <t>8.02.01.01.0132</t>
  </si>
  <si>
    <t>MINUSVALENZE DA VENDITA MOBILI E ARREDI</t>
  </si>
  <si>
    <t>8.02.01.01.0133</t>
  </si>
  <si>
    <t>MINUSVALENZE DA VENDITA AMBULANZE</t>
  </si>
  <si>
    <t>8.02.01.01.0134</t>
  </si>
  <si>
    <t>MINUSVALENZE DA VENDITA AUTOMEZZI</t>
  </si>
  <si>
    <t>8.02.01.01.0135</t>
  </si>
  <si>
    <t>MINUSVALENZE DA VENDITA ALTRI MEZZI DI TRASPORTO</t>
  </si>
  <si>
    <t>8.02.01.01.0136</t>
  </si>
  <si>
    <t>MINUSVALENZE DA VENDITA ATTRZZATURE TECNICO-ECONOMALI</t>
  </si>
  <si>
    <t>8.02.01.01.0137</t>
  </si>
  <si>
    <t>MINUSVALENZE DA VENDITA ELABORATORI ELETTRONICI, TERMINALI E STAMPANTI</t>
  </si>
  <si>
    <t>8.02.01.01.0138</t>
  </si>
  <si>
    <t>MINUSVALENZE DA VENDITA BENI DIVERSI</t>
  </si>
  <si>
    <t>8.02.01.01.0139</t>
  </si>
  <si>
    <t>MINUSVALENZE DA ACCONTI A FORNITORI PER ACQUISTI DI IMMOBILIZZAZIONI IMMATERIALI</t>
  </si>
  <si>
    <t>8.02.01.01.0140</t>
  </si>
  <si>
    <t>MINUSVALENZE DA MIGLIORIE SU TERRENI E FABBRICATI DI PROPRIETA</t>
  </si>
  <si>
    <t>8.02.01.01.0141</t>
  </si>
  <si>
    <t>MINUSVALENZE DA ALTRI COSTI PLURIENNALI DA AMMORTIZZARE</t>
  </si>
  <si>
    <t>8.02.01.01.0142</t>
  </si>
  <si>
    <t>MINUSVALENZE DA SPESE STRAORDINARIE E/O MIGLIORIE SU BENI IMMOBILI DI TERZI</t>
  </si>
  <si>
    <t>8.02.01.01.0143</t>
  </si>
  <si>
    <t>MINUSVALENZE DA SPESE STRAORDINARIE E/O MIGLIORIE SU BENI DI TERZI</t>
  </si>
  <si>
    <t>8.02.01.01.0144</t>
  </si>
  <si>
    <t>MINUSVALENZE DA ALIENAZIONI DI TITOLI IMMOBILIZZATI</t>
  </si>
  <si>
    <t>8.02.01.01.0145</t>
  </si>
  <si>
    <t>MINUSVALENZE DA ALIENAZIONE DI TITOLI NON IMMOBILIZZATI</t>
  </si>
  <si>
    <t>8.02.01.01.0146</t>
  </si>
  <si>
    <t>MINUSVALENZE DA VENDITA APPARECCHIATURE ELETTROMEDICALI</t>
  </si>
  <si>
    <t>EA0280</t>
  </si>
  <si>
    <t>Altri oneri straordinari</t>
  </si>
  <si>
    <t>E.2.B</t>
  </si>
  <si>
    <t>E.2.B) Altri oneri straordinari</t>
  </si>
  <si>
    <t>EA0290</t>
  </si>
  <si>
    <t>Oneri tributari da esercizi precedenti</t>
  </si>
  <si>
    <t xml:space="preserve">E.2.B.1 </t>
  </si>
  <si>
    <t>E.2.B.1) Oneri tributari da esercizi precedenti</t>
  </si>
  <si>
    <t>8.02.02.01.0101</t>
  </si>
  <si>
    <t>ONERI TRIBUTARI DA ESERCIZI PRECEDENTI</t>
  </si>
  <si>
    <t>SISTEMAZIONE CONTABILE - SPOSTATO IN F/DO RISCHI - 2.02.02.02.0101</t>
  </si>
  <si>
    <t>8.02.02.01.0102</t>
  </si>
  <si>
    <t>ONERI TRIBUTARI ESERCIZI PRECEDENTI (IRAP PERSONALE DIPENDENTE)</t>
  </si>
  <si>
    <t>8.02.02.01.0103</t>
  </si>
  <si>
    <t>ONERI TRIBUTARI ESERCIZI PRECEDENTI (IRAP SUES 118)</t>
  </si>
  <si>
    <t>8.02.02.01.0104</t>
  </si>
  <si>
    <t>ONERI TRIBUTARI ESERCIZI PRECEDENTI (IRAP PERSONALE ASSIMILATO)</t>
  </si>
  <si>
    <t>8.02.02.01.0105</t>
  </si>
  <si>
    <t>ONERI TRIBUTARI ESERCIZI PRECEDENTI (IRAP COLLAB. OCCASIONALI)</t>
  </si>
  <si>
    <t>8.02.02.01.0106</t>
  </si>
  <si>
    <t>ONERI TRIBUTARI ESERCIZI PRECEDENTI (IRAP PERSONALE PER PROGETTI)</t>
  </si>
  <si>
    <t>8.02.02.01.0107</t>
  </si>
  <si>
    <t>ONERI TRIBUTARI ESERCIZI PRECEDENTI (IRAP PERSONALE CRT)</t>
  </si>
  <si>
    <t>8.02.02.01.0108</t>
  </si>
  <si>
    <t>ONERI TRIBUTARI ESERCIZI PRECEDENTI (IRAP RELATIVA AD ATTIVITA DI LIBERA PROFESSIONE INTRAMOENIA PERSONALE DIPENDENTE)</t>
  </si>
  <si>
    <t>EA0300</t>
  </si>
  <si>
    <t>Oneri da cause civili ed oneri processuali</t>
  </si>
  <si>
    <t xml:space="preserve">E.2.B.2 </t>
  </si>
  <si>
    <t>E.2.B.2) Oneri da cause civili ed oneri processuali</t>
  </si>
  <si>
    <t>8.02.02.02.0101</t>
  </si>
  <si>
    <t>ONERI DA CAUSE CIVILI ED ONERI PROCESSUALI</t>
  </si>
  <si>
    <t>VERIFICARE MASTRO</t>
  </si>
  <si>
    <t>EA0310</t>
  </si>
  <si>
    <t>Sopravvenienze passive</t>
  </si>
  <si>
    <t xml:space="preserve">E.2.B.3 </t>
  </si>
  <si>
    <t>E.2.B.3) Sopravvenienze passive</t>
  </si>
  <si>
    <t>EA0330</t>
  </si>
  <si>
    <t>8.02.02.03.0101</t>
  </si>
  <si>
    <t>SOPRAVVENIENZE PASSIVE V/AZIENDE SANITARIE PUBBLICHE RELATIVE ALLA MOBILITA INTRAREGIONALE</t>
  </si>
  <si>
    <t>Sopravvenienze passive v/Aziende sanitarie pubbliche relative alla mobilità intraregionale</t>
  </si>
  <si>
    <t>E.2.B.3.1.A)</t>
  </si>
  <si>
    <t>E.2.B.3.1.A) Sopravvenienze passive v/Aziende sanitarie pubbliche relative alla mobilità intraregionale</t>
  </si>
  <si>
    <t>EA0340</t>
  </si>
  <si>
    <t>8.02.02.03.0201</t>
  </si>
  <si>
    <t>ALTRE SOPRAVVENIENZE PASSIVE V/AZIENDE SANITARIE PUBBLICHE DELLA REGIONE</t>
  </si>
  <si>
    <t>Altre sopravvenienze passive v/Aziende sanitarie pubbliche della Regione</t>
  </si>
  <si>
    <t>E.2.B.3.1.</t>
  </si>
  <si>
    <t>E.2.B.3.1.B) Altre sopravvenienze passive v/Aziende sanitarie pubbliche della Regione</t>
  </si>
  <si>
    <t>EA0360</t>
  </si>
  <si>
    <t>8.02.02.03.0301</t>
  </si>
  <si>
    <t>SOPRAVVENIENZE PASSIVE V/TERZI RELATIVE ALLA MOBILITA EXTRAREGIONALE</t>
  </si>
  <si>
    <t>Sopravvenienze passive v/terzi relative alla mobilità extraregionale</t>
  </si>
  <si>
    <t>E.2.B.3.2.A)</t>
  </si>
  <si>
    <t>E.2.B.3.2.A) Sopravvenienze passive v/terzi relative alla mobilità extraregionale</t>
  </si>
  <si>
    <t>EA0380</t>
  </si>
  <si>
    <t>8.02.02.03.0401</t>
  </si>
  <si>
    <t>SOPRAVVENIENZE PASSIVE  RELATIVE AL PERSONALE  DIRIGENZA MEDICA UNIVERSITARIA</t>
  </si>
  <si>
    <t>Sopravvenienze passive v/terzi relative al personale -  dirigenza medica e veterinaria - per arretrati CCNL</t>
  </si>
  <si>
    <t>E.2.B.3.2.B.</t>
  </si>
  <si>
    <t>E.2.B.3.2.B.1) Soprav. passive v/terzi relative al personale - dirigenza medica</t>
  </si>
  <si>
    <t>8.02.02.03.0402</t>
  </si>
  <si>
    <t>SOPRAVVENIENZE PASSIVE  RELATIVE AL PERSONALE  DIRIGENZA MEDICA OSPEDALIERA PER C.C.N.L</t>
  </si>
  <si>
    <t>8.02.02.03.0501</t>
  </si>
  <si>
    <t>SOPRAVVENIENZE PASSIVE RELATIVE AL PERSONALE DIRIGENZA MEDICA AZIENDALE</t>
  </si>
  <si>
    <t>Sopravvenienze passive v/terzi relative al personale -  dirigenza medica e veterinaria - Varie</t>
  </si>
  <si>
    <t>8.02.02.03.0502</t>
  </si>
  <si>
    <t>SOPRAVVENIENZE PASSIVE V/TERZI RELATIVE AL PERSONALE -  DIRIGENZA MEDICA E VETERINARIA - VARIE - UNIVERSITARIO</t>
  </si>
  <si>
    <t>RETTIFICA SPV A DEBITI VS PERSONALE</t>
  </si>
  <si>
    <t>EA0390</t>
  </si>
  <si>
    <t>8.02.02.03.0601</t>
  </si>
  <si>
    <t>SOPRAVVENIENZE PASSIVE RELATIVE AL PERSONALE -  ALTRA DIRIGENZA UNIVERSITARIA</t>
  </si>
  <si>
    <t>Sopravvenienze passive v/terzi relative al personale -  altra dirigenza non medica - per arretrati CCNL</t>
  </si>
  <si>
    <t>E.2.B.3.2.B.2</t>
  </si>
  <si>
    <t>E.2.B.3.2.B.2) Soprav. passive v/terzi relative al personale - dirigenza non medica</t>
  </si>
  <si>
    <t>8.02.02.03.0602</t>
  </si>
  <si>
    <t>SOPRAVVENIENZE PASSIVE RELATIVE AL PERSONALE -  ALTRA DIRIGENZA AZIENDALE</t>
  </si>
  <si>
    <t>8.02.02.03.0603</t>
  </si>
  <si>
    <t>SOPRAVVENIENZE PASSIVE V/TERZI RELATIVE AL PERSONALE -  ALTRA DIRIGENZA TECNICA - PER ARRETRI CCNL</t>
  </si>
  <si>
    <t>8.02.02.03.0604</t>
  </si>
  <si>
    <t>SOPRAVVENIENZE PASSIVE V/TERZI RELATIVE AL PERSONALE -  ALTRA DIRIGENZA AMMINISTRATVA - PER ARRETRI CCNL</t>
  </si>
  <si>
    <t>8.02.02.03.0701</t>
  </si>
  <si>
    <t>SOPRAVVENIENZE PASSIVE V/TERZI RELATIVE AL PERSONALE -  ALTRA DIRIGENZA SANITARIA NON MEDICA - UNIVERSITARIA</t>
  </si>
  <si>
    <t>Sopravvenienze passive v/terzi relative al personale -  altra dirigenza non medica - Varie</t>
  </si>
  <si>
    <t>8.02.02.03.0702</t>
  </si>
  <si>
    <t>SOPRAVVENIENZE PASSIVE V/TERZI RELATIVE AL PERSONALE -  ALTRA DIRIGENZA PROFESSIONALE -UNIVERSITARIA</t>
  </si>
  <si>
    <t>8.02.02.03.0703</t>
  </si>
  <si>
    <t>SOPRAVVENIENZE PASSIVE V/TERZI RELATIVE AL PERSONALE -  ALTRA DIRIGENZA TECNICA - UNIVERSITARIA</t>
  </si>
  <si>
    <t>8.02.02.03.0704</t>
  </si>
  <si>
    <t>SOPRAVVENIENZE PASSIVE V/TERZI RELATIVE AL PERSONALE -  ALTRA DIRIGENZA AMMINISTRATVA -UNIVERSITARIA</t>
  </si>
  <si>
    <t>8.02.02.03.0705</t>
  </si>
  <si>
    <t>SOPRAVVENIENZE PASSIVE V/TERZI RELATIVE AL PERSONALE -  ALTRA DIRIGENZA SANITARIA NON MEDICA - AZIENDALE</t>
  </si>
  <si>
    <t>8.02.02.03.0706</t>
  </si>
  <si>
    <t>SOPRAVVENIENZE PASSIVE V/TERZI RELATIVE AL PERSONALE -  ALTRA DIRIGENZA PROFESSIONALE - AZIENDALE</t>
  </si>
  <si>
    <t>8.02.02.03.0707</t>
  </si>
  <si>
    <t>SOPRAVVENIENZE PASSIVE V/TERZI RELATIVE AL PERSONALE -  ALTRA DIRIGENZA TECNICA - AZIENDALE</t>
  </si>
  <si>
    <t>8.02.02.03.0708</t>
  </si>
  <si>
    <t>SOPRAVVENIENZE PASSIVE V/TERZI RELATIVE AL PERSONALE -  ALTRA DIRIGENZA AMMINISTRATVA -AZIENDALE</t>
  </si>
  <si>
    <t>8.02.02.03.0709</t>
  </si>
  <si>
    <t>SOPRAVVENIENZE PASSIVE V/ORGANI DIRETTIVI ED ISTITUZIONALI</t>
  </si>
  <si>
    <t>SOPRAVVENIENZE PASSIVE V/ORGANI DIRETTIVI E ISTITUZIONALI</t>
  </si>
  <si>
    <t>EA0400</t>
  </si>
  <si>
    <t>8.02.02.03.0801</t>
  </si>
  <si>
    <t>SOPRAVVENIENZE PASSIVE RELATIVE AL PERSONALE -  COMPARTO  UNIVERS.</t>
  </si>
  <si>
    <t>Sopravvenienze passive v/terzi relative al personale -  comparto - per arretrati CCNL</t>
  </si>
  <si>
    <t>E.2.B.3.2.B.3</t>
  </si>
  <si>
    <t>E.2.B.3.2.B.3) Soprav. passive v/terzi relative al personale - comparto</t>
  </si>
  <si>
    <t>8.02.02.03.0802</t>
  </si>
  <si>
    <t>SOPRAVVENIENZE PASSIVE  RELATIVE AL PERSONALE -  COMPARTO AZIENDALE</t>
  </si>
  <si>
    <t>8.02.02.03.0803</t>
  </si>
  <si>
    <t>SOPRAVVENIENZE PASSIVE V/TERZI RELATIVE AL PERSONALE -  COMPARTO TECNICO- PER ARRETRI CCNL</t>
  </si>
  <si>
    <t>8.02.02.03.0804</t>
  </si>
  <si>
    <t>SOPRAVVENIENZE PASSIVE V/TERZI RELATIVE AL PERSONALE -  COMPARTO AMMINISTRATIVO- PER ARRETRI CCNL</t>
  </si>
  <si>
    <t>8.02.02.03.0901</t>
  </si>
  <si>
    <t>SOPRAVVENIENZE PASSIVE V/TERZI RELATIVE AL PERSONALE - COMPARTO UNIVERSITA</t>
  </si>
  <si>
    <t>SOPRAVVENIENZE PASSIVE V/TERZI RELATIVE AL PERSONALE - COMPARTO SANITARIO-VARIE UNIVERSITARIA</t>
  </si>
  <si>
    <t>Sopravvenienze passive v/terzi relative al personale - comparto - Varie</t>
  </si>
  <si>
    <t>8.02.02.03.0902</t>
  </si>
  <si>
    <t>SOPRAVVENIENZE PASSIVE V/TERZI RELATIVE AL PERSONALE - COMPARTO PROFESSIONALE-VARIE UNIBÌVERSITARIA</t>
  </si>
  <si>
    <t>8.02.02.03.0903</t>
  </si>
  <si>
    <t>SOPRAVVENIENZE PASSIVE V/TERZI RELATIVE AL PERSONALE - COMPARTO TECNICO- VARIE UNIVERSITARIA</t>
  </si>
  <si>
    <t>8.02.02.03.0904</t>
  </si>
  <si>
    <t>SOPRAVVENIENZE PASSIVE V/TERZI RELATIVE AL PERSONALE - COMPARTO AMMINISTRATIVO VARIE UNIVERSITARIA</t>
  </si>
  <si>
    <t>8.02.02.03.0905</t>
  </si>
  <si>
    <t>SOPRAVVENIENZE PASSIVE V/TERZI RELATIVE AL PERSONALE - COMPARTO - AZIENDALE VARIE</t>
  </si>
  <si>
    <t>SOPRAVVENIENZE PASSIVE V/TERZI RELATIVE AL PERSONALE - COMPARTO SANITARIO-VARIE - AZIENDALE</t>
  </si>
  <si>
    <t>8.02.02.03.0906</t>
  </si>
  <si>
    <t>SOPRAVVENIENZE PASSIVE V/TERZI RELATIVE AL PERSONALE - COMPARTO PROFESSIONALE-VARIE AZIENDALE</t>
  </si>
  <si>
    <t>8.02.02.03.0907</t>
  </si>
  <si>
    <t>SOPRAVVENIENZE PASSIVE V/TERZI RELATIVE AL PERSONALE - COMPARTO TECNICO- VARIE AZIENDALE</t>
  </si>
  <si>
    <t>8.02.02.03.0908</t>
  </si>
  <si>
    <t>SOPRAVVENIENZE PASSIVE V/TERZI RELATIVE AL PERSONALE - COMPARTO AMMINISTRATIVO VARIE AZIENDALE</t>
  </si>
  <si>
    <t>EA0410</t>
  </si>
  <si>
    <t>8.02.02.03.1001</t>
  </si>
  <si>
    <t>SOPRAVVENIENZE PASSIVE V/TERZI RELATIVE ALLE CONVENZIONI CON I MMG PER ARRETRATI DA RINNOVI ACNL</t>
  </si>
  <si>
    <t>Sopravvenienze passive v/terzi relative alle convenzioni con i MMG per arretrati da rinnovi ACNL</t>
  </si>
  <si>
    <t xml:space="preserve">E.2.B.3.2.C) </t>
  </si>
  <si>
    <t>E.2.B.3.2.C) Sopravvenienze passive v/terzi relative alle convenzioni con medici di base</t>
  </si>
  <si>
    <t>8.02.02.03.1101</t>
  </si>
  <si>
    <t>SOPRAVVENIENZE PASSIVE V/TERZI RELATIVE ALLE CONVENZIONI CON I MMG - VARIE</t>
  </si>
  <si>
    <t>Sopravvenienze passive v/terzi relative alle convenzioni con i MMG - Varie</t>
  </si>
  <si>
    <t>8.02.02.03.1201</t>
  </si>
  <si>
    <t>SOPRAVVENIENZE PASSIVE V/TERZI RELATIVE ALLE CONVENZIONI CON I PLS PER ARRETRATI DA RINNOVI ACNL</t>
  </si>
  <si>
    <t>Sopravvenienze passive v/terzi relative alle convenzioni con i PLS per arretrati da rinnovi ACNL</t>
  </si>
  <si>
    <t>8.02.02.03.1301</t>
  </si>
  <si>
    <t>SOPRAVVENIENZE PASSIVE V/TERZI RELATIVE ALLE CONVENZIONI CON I PLS - VARIE</t>
  </si>
  <si>
    <t>Sopravvenienze passive v/terzi relative alle convenzioni con i PLS - Varie</t>
  </si>
  <si>
    <t>8.02.02.03.1401</t>
  </si>
  <si>
    <t>SOPRAVVENIENZE PASSIVE V/TERZI RELATIVE ALLE CONVENZIONI CON MEDICI DI BASE - ALTRO</t>
  </si>
  <si>
    <t>Sopravvenienze passive v/terzi relative alle convenzioni con medici di base - altro</t>
  </si>
  <si>
    <t>EA0420</t>
  </si>
  <si>
    <t>8.02.02.03.1501</t>
  </si>
  <si>
    <t>SOPRAVVENIENZE PASSIVE V/TERZI RELATIVE ALLE CONVENZIONI PER LA SPECIALISTICA</t>
  </si>
  <si>
    <t>Sopravvenienze passive v/terzi relative alle convenzioni per la specialistica</t>
  </si>
  <si>
    <t xml:space="preserve">E.2.B.3.2.D) </t>
  </si>
  <si>
    <t>E.2.B.3.2.D) Sopravvenienze passive v/terzi relative alle convenzioni per la specialistica</t>
  </si>
  <si>
    <t>EA0430</t>
  </si>
  <si>
    <t>8.02.02.03.1601</t>
  </si>
  <si>
    <t>SOPRAVVENIENZE PASSIVE V/TERZI RELATIVE ALL'ACQUISTO PRESTAZIONI SANITARIE DA OPERATORI ACCREDITATI</t>
  </si>
  <si>
    <t>Sopravvenienze passive v/terzi relative all'acquisto prestazioni sanitarie da operatori accreditati</t>
  </si>
  <si>
    <t xml:space="preserve">E.2.B.3.2.E) </t>
  </si>
  <si>
    <t>E.2.B.3.2.E) Sopravvenienze passive v/terzi relative all'acquisto prestaz. sanitarie da operatori accreditati</t>
  </si>
  <si>
    <t>EA0440</t>
  </si>
  <si>
    <t>8.02.02.03.1701</t>
  </si>
  <si>
    <t>SOPRAVVENIENZE PASSIVE V/TERZI RELATIVE ALL'ACQUISTO DI BENI E SERVIZI</t>
  </si>
  <si>
    <t>Sopravvenienze passive v/terzi relative all'acquisto di beni e servizi</t>
  </si>
  <si>
    <t xml:space="preserve">E.2.B.3.2.F) </t>
  </si>
  <si>
    <t>E.2.B.3.2.F) Sopravvenienze passive v/terzi relative all'acquisto di beni e servizi</t>
  </si>
  <si>
    <t>EA0450</t>
  </si>
  <si>
    <t>8.02.02.03.1801</t>
  </si>
  <si>
    <t>ALTRE SOPRAVVENIENZE PASSIVE V/TERZI</t>
  </si>
  <si>
    <t>Altre sopravvenienze passive v/terzi</t>
  </si>
  <si>
    <t xml:space="preserve">E.2.B.3.2.G) </t>
  </si>
  <si>
    <t>E.2.B.3.2.G) Altre sopravvenienze passive v/terzi</t>
  </si>
  <si>
    <t>EA0460</t>
  </si>
  <si>
    <t>Insussistenze passive</t>
  </si>
  <si>
    <t xml:space="preserve">E.2.B.4 </t>
  </si>
  <si>
    <t>E.2.B.4) Insussistenze passive</t>
  </si>
  <si>
    <t>EA0461</t>
  </si>
  <si>
    <t>8.02.02.04.0901</t>
  </si>
  <si>
    <t>Insussistenze passive per quote F.S. vincolato</t>
  </si>
  <si>
    <t>E.2.B.4.1</t>
  </si>
  <si>
    <t>E.2.B.4.1) Insussistenze passive per quote F.S. vincolato</t>
  </si>
  <si>
    <t>EA0470</t>
  </si>
  <si>
    <t>8.02.02.04.0101</t>
  </si>
  <si>
    <t>INSUSSISTENZE PASSIVE V/AZIENDE SANITARIE PUBBLICHE DELLA REGIONE</t>
  </si>
  <si>
    <t>Insussistenze passive v/Aziende sanitarie pubbliche della Regione</t>
  </si>
  <si>
    <t>E.2.B.4.2</t>
  </si>
  <si>
    <t>E.2.B.4.2) Insussistenze passive v/Aziende sanitarie pubbliche della Regione</t>
  </si>
  <si>
    <t>EA0490</t>
  </si>
  <si>
    <t>8.02.02.04.0201</t>
  </si>
  <si>
    <t>INSUSSISTENZE PASSIVE V/TERZI RELATIVE ALLA MOBILITA EXTRAREGIONALE</t>
  </si>
  <si>
    <t>Insussistenze passive v/terzi relative alla mobilità extraregionale</t>
  </si>
  <si>
    <t xml:space="preserve">E.2.B.4.3.A) </t>
  </si>
  <si>
    <t>E.2.B.4.3.A) Insussistenze passive v/terzi relative alla mobilità extraregionale</t>
  </si>
  <si>
    <t>EA0500</t>
  </si>
  <si>
    <t>8.02.02.04.0301</t>
  </si>
  <si>
    <t>INSUSSISTENZE PASSIVE V/TERZI RELATIVE AL PERSONALE</t>
  </si>
  <si>
    <t>Insussistenze passive v/terzi relative al personale</t>
  </si>
  <si>
    <t xml:space="preserve">E.2.B.4.3.B) </t>
  </si>
  <si>
    <t>E.2.B.4.3.B) Insussistenze passive v/terzi relative al personale</t>
  </si>
  <si>
    <t>EA0510</t>
  </si>
  <si>
    <t>8.02.02.04.0401</t>
  </si>
  <si>
    <t>INSUSSISTENZE PASSIVE V/TERZI RELATIVE ALLE CONVENZIONI CON MEDICI DI BASE</t>
  </si>
  <si>
    <t>Insussistenze passive v/terzi relative alle convenzioni con medici di base</t>
  </si>
  <si>
    <t xml:space="preserve">E.2.B.4.3.C) </t>
  </si>
  <si>
    <t>E.2.B.4.3.C) Insussistenze passive v/terzi relative alle convenzioni con medici di base</t>
  </si>
  <si>
    <t>EA0520</t>
  </si>
  <si>
    <t>8.02.02.04.0501</t>
  </si>
  <si>
    <t>INSUSSISTENZE PASSIVE V/TERZI RELATIVE ALLE CONVENZIONI PER LA SPECIALISTICA</t>
  </si>
  <si>
    <t>Insussistenze passive v/terzi relative alle convenzioni per la specialistica</t>
  </si>
  <si>
    <t xml:space="preserve">E.2.B.4.3.D) </t>
  </si>
  <si>
    <t>E.2.B.4.3.D) Insussistenze passive v/terzi relative alle convenzioni per la specialistica</t>
  </si>
  <si>
    <t>EA0530</t>
  </si>
  <si>
    <t>8.02.02.04.0601</t>
  </si>
  <si>
    <t>INSUSSISTENZE PASSIVE V/TERZI RELATIVE ALL'ACQUISTO PRESTAZIONI SANITARIE DA OPERATORI ACCREDITATI</t>
  </si>
  <si>
    <t>Insussistenze passive v/terzi relative all'acquisto prestazioni sanitarie da operatori accreditati</t>
  </si>
  <si>
    <t xml:space="preserve">E.2.B.4.3.E) </t>
  </si>
  <si>
    <t>E.2.B.4.3.E) Insussistenze passive v/terzi relative all'acquisto prestaz. sanitarie da operatori accreditati</t>
  </si>
  <si>
    <t>EA0540</t>
  </si>
  <si>
    <t>8.02.02.04.0701</t>
  </si>
  <si>
    <t>INSUSSISTENZE PASSIVE V/TERZI RELATIVE ALL'ACQUISTO DI BENI E SERVIZI</t>
  </si>
  <si>
    <t>Insussistenze passive v/terzi relative all'acquisto di beni e servizi</t>
  </si>
  <si>
    <t xml:space="preserve">E.2.B.4.3.F) </t>
  </si>
  <si>
    <t>E.2.B.4.3.F) Insussistenze passive v/terzi relative all'acquisto di beni e servizi</t>
  </si>
  <si>
    <t>EA0550</t>
  </si>
  <si>
    <t>8.02.02.04.0801</t>
  </si>
  <si>
    <t>ALTRE INSUSSISTENZE PASSIVE V/TERZI</t>
  </si>
  <si>
    <t>Altre insussistenze passive v/terzi</t>
  </si>
  <si>
    <t xml:space="preserve">E.2.B.4.3.G) </t>
  </si>
  <si>
    <t>E.2.B.4.3.G) Altre insussistenze passive v/terzi</t>
  </si>
  <si>
    <t>EA0560</t>
  </si>
  <si>
    <t xml:space="preserve">E.2.B.5 </t>
  </si>
  <si>
    <t>E.2.B.5) Altri oneri straordinari</t>
  </si>
  <si>
    <t>8.02.02.05.0101</t>
  </si>
  <si>
    <t>ALTRI ONERI STRAORDINARI</t>
  </si>
  <si>
    <t>Y</t>
  </si>
  <si>
    <t>IMPOSTE E TASSE</t>
  </si>
  <si>
    <t>Y) Imposte e Tasse</t>
  </si>
  <si>
    <t>YA0010</t>
  </si>
  <si>
    <t>IRAP</t>
  </si>
  <si>
    <t xml:space="preserve">Y.1 </t>
  </si>
  <si>
    <t>Y.1) IRAP</t>
  </si>
  <si>
    <t>YA0020</t>
  </si>
  <si>
    <t>IRAP relativa a personale dipendente</t>
  </si>
  <si>
    <t xml:space="preserve">Y.1.A </t>
  </si>
  <si>
    <t>Y.1.A) IRAP relativa a personale dipendente</t>
  </si>
  <si>
    <t>IRAP RELATIVA A PERSONALE DIPENDENTE</t>
  </si>
  <si>
    <t>9.01.01.01.0101</t>
  </si>
  <si>
    <t>9.01.01.01.0102</t>
  </si>
  <si>
    <t>IRAP PERSONALE UNIVERSITARIO</t>
  </si>
  <si>
    <t>9.01.01.01.0103</t>
  </si>
  <si>
    <t>IRAP PERSONALE TEMP. DET.</t>
  </si>
  <si>
    <t>9.01.01.01.0104</t>
  </si>
  <si>
    <t>IRAP PERSONALE ALTRO</t>
  </si>
  <si>
    <t>9.01.01.01.0201</t>
  </si>
  <si>
    <t>IRAP SU COMPENSI PER SUES 118</t>
  </si>
  <si>
    <t>IRAP su compensi per SUES 118</t>
  </si>
  <si>
    <t>YA0030</t>
  </si>
  <si>
    <t>IRAP relativa a collaboratori e personale assimilato a lavoro dipendente</t>
  </si>
  <si>
    <t xml:space="preserve">Y.1.B </t>
  </si>
  <si>
    <t>Y.1.B) IRAP relativa a collaboratori e personale assimilato a lavoro dipendente</t>
  </si>
  <si>
    <t>9.01.02.01.0101</t>
  </si>
  <si>
    <t>IRAP RELATIVA A COLLABORATORI OCCASIONALI</t>
  </si>
  <si>
    <t>9.01.02.01.0102</t>
  </si>
  <si>
    <t>IRAP RELATIVA A COLLABORATORI ASSIMILATI A PERSONALE DIPENDENTE</t>
  </si>
  <si>
    <t>9.01.02.01.0103</t>
  </si>
  <si>
    <t>IRAP RELATIVA A PERSONALE PROGETTI</t>
  </si>
  <si>
    <t>9.01.02.01.0104</t>
  </si>
  <si>
    <t>IRAP RELATIVA A PERSONALE CRT</t>
  </si>
  <si>
    <t>9.01.02.01.0105</t>
  </si>
  <si>
    <t>IRAP RELATIVA A PERSONALE INMP</t>
  </si>
  <si>
    <t>YA0040</t>
  </si>
  <si>
    <t xml:space="preserve">Y.1.C </t>
  </si>
  <si>
    <t>Y.1.C) IRAP relativa ad attività  di libera professione (intramoenia)</t>
  </si>
  <si>
    <t>9.01.03.01.0101</t>
  </si>
  <si>
    <t>IRAP RELATIVA AD ATTIVITA DI LIBERA PROFESSIONE (INTRAMOENIA)</t>
  </si>
  <si>
    <t>OK COGE GEN/DIC 2024</t>
  </si>
  <si>
    <t>YA0050</t>
  </si>
  <si>
    <t>IRAP relativa ad attività commerciale</t>
  </si>
  <si>
    <t xml:space="preserve">Y.1.D </t>
  </si>
  <si>
    <t>Y.1.D) IRAP relativa ad attività  commerciale</t>
  </si>
  <si>
    <t>9.01.04.01.0101</t>
  </si>
  <si>
    <t>IRAP RELATIVA AD ATTIVITA COMMERCIALE</t>
  </si>
  <si>
    <t>YA0060</t>
  </si>
  <si>
    <t>IRES</t>
  </si>
  <si>
    <t xml:space="preserve">Y.2 </t>
  </si>
  <si>
    <t>Y.2) IRES</t>
  </si>
  <si>
    <t>YA0070</t>
  </si>
  <si>
    <t>IRES su attività istituzionale</t>
  </si>
  <si>
    <t xml:space="preserve">Y.2.A </t>
  </si>
  <si>
    <t>Y.2.A) IRES su attività  istituzionale</t>
  </si>
  <si>
    <t>9.02.01.01.0101</t>
  </si>
  <si>
    <t>IRES SU ATTIVITA ISTITUZIONALE</t>
  </si>
  <si>
    <t>YA0080</t>
  </si>
  <si>
    <t>IRES su attività commerciale</t>
  </si>
  <si>
    <t xml:space="preserve">Y.2.B </t>
  </si>
  <si>
    <t>Y.2.B) IRES su attività  commerciale</t>
  </si>
  <si>
    <t>9.02.02.01.0101</t>
  </si>
  <si>
    <t>IRES SU ATTIVITA COMMERCIALE</t>
  </si>
  <si>
    <t>YA0090</t>
  </si>
  <si>
    <t>Accantonamento a F.do Imposte (Accertamenti, condoni, ecc.)</t>
  </si>
  <si>
    <t xml:space="preserve">Y.3 </t>
  </si>
  <si>
    <t>Y.3) Accantonamento a F.do Imposte (Accertamenti, condoni, ecc.)</t>
  </si>
  <si>
    <t>9.03.01.01.0101</t>
  </si>
  <si>
    <t>Codice Azienda -------&gt;928</t>
  </si>
  <si>
    <t>2024-2023</t>
  </si>
  <si>
    <t>Colonna nella quale inserire i dati in €/unità</t>
  </si>
  <si>
    <t>Fattore di ordinamento</t>
  </si>
  <si>
    <t>Cons</t>
  </si>
  <si>
    <t>CODICE</t>
  </si>
  <si>
    <t>VOCE NUOVO MODELLO CE (1)</t>
  </si>
  <si>
    <t>PROSPETTO CE</t>
  </si>
  <si>
    <t>CNS 2024 (27.06.2025)</t>
  </si>
  <si>
    <t>CNS 2024 (12.06.2025)</t>
  </si>
  <si>
    <t>DELTA 26/12</t>
  </si>
  <si>
    <t>DELTA</t>
  </si>
  <si>
    <t>CNS 2024 (30.05.2025)</t>
  </si>
  <si>
    <t>PRE CNS 2024</t>
  </si>
  <si>
    <t>IV TRIM 2024+INTEGR</t>
  </si>
  <si>
    <t>IV TRIM 2024 aggiustamento con rimanenze finali</t>
  </si>
  <si>
    <t>NEGOZIATO 2024</t>
  </si>
  <si>
    <t>CNS 2023</t>
  </si>
  <si>
    <r>
      <rPr>
        <b/>
        <sz val="10"/>
        <rFont val="Calibri"/>
        <family val="2"/>
      </rPr>
      <t>Δ</t>
    </r>
    <r>
      <rPr>
        <b/>
        <sz val="10.6"/>
        <rFont val="Arial"/>
        <family val="2"/>
      </rPr>
      <t xml:space="preserve"> SU NEG 2024</t>
    </r>
  </si>
  <si>
    <r>
      <rPr>
        <b/>
        <sz val="10"/>
        <rFont val="Calibri"/>
        <family val="2"/>
      </rPr>
      <t>Δ</t>
    </r>
    <r>
      <rPr>
        <b/>
        <sz val="10.6"/>
        <rFont val="Arial"/>
        <family val="2"/>
      </rPr>
      <t xml:space="preserve"> SU CNS 2023</t>
    </r>
  </si>
  <si>
    <t>VARIAZIONE IV TRIM/NEG 
%</t>
  </si>
  <si>
    <t>III TRIM 2024</t>
  </si>
  <si>
    <t>STIMA A FINIRE 2024 NEGOZIATO</t>
  </si>
  <si>
    <t>PREVISIONALE 2024</t>
  </si>
  <si>
    <t>PROIEZIONE A FINIRE</t>
  </si>
  <si>
    <t>STIMA A FINIRE 2024</t>
  </si>
  <si>
    <t>STIMA A FINIRE 2024 (SETT)</t>
  </si>
  <si>
    <t>I TRIM 2024</t>
  </si>
  <si>
    <t>II TRIM 2024</t>
  </si>
  <si>
    <t>PROIEZ. II TRIM 2024</t>
  </si>
  <si>
    <r>
      <rPr>
        <b/>
        <sz val="10"/>
        <rFont val="Calibri"/>
        <family val="2"/>
      </rPr>
      <t>Δ</t>
    </r>
    <r>
      <rPr>
        <b/>
        <sz val="10.6"/>
        <rFont val="Arial"/>
        <family val="2"/>
      </rPr>
      <t xml:space="preserve"> SU PREV 2024</t>
    </r>
  </si>
  <si>
    <r>
      <rPr>
        <b/>
        <sz val="10"/>
        <rFont val="Calibri"/>
        <family val="2"/>
      </rPr>
      <t>Δ</t>
    </r>
    <r>
      <rPr>
        <b/>
        <sz val="10.6"/>
        <rFont val="Arial"/>
        <family val="2"/>
      </rPr>
      <t xml:space="preserve"> SU PROIEZ II TRIM  2024</t>
    </r>
  </si>
  <si>
    <t>A.1)  Contributi in c/esercizio</t>
  </si>
  <si>
    <t>A.1.A)  Contributi da Regione o Prov. Aut. per quota F.S. regionale</t>
  </si>
  <si>
    <t>IL VALORE COMPRENDE IL CONTRIBUTO Contributo Piano liste d'attesa (DA 453/2024) € 828.600,00</t>
  </si>
  <si>
    <t>AA0033</t>
  </si>
  <si>
    <t>A.1.A.1.3) Funzioni</t>
  </si>
  <si>
    <t>A.1.B.1.1)  Contributi da Regione o Prov. Aut. (extra fondo) vincolati</t>
  </si>
  <si>
    <t>A.1.B.1.2)  Contributi da Regione o Prov. Aut. (extra fondo) - Risorse aggiuntive da bilancio regionale a titolo di copertura LEA</t>
  </si>
  <si>
    <t>A.1.B.1.3)  Contributi da Regione o Prov. Aut. (extra fondo) - Risorse aggiuntive da bilancio regionale a titolo di copertura extra LEA</t>
  </si>
  <si>
    <t>A.1.B.1.4)  Contributi da Regione o Prov. Aut. (extra fondo) - Altro</t>
  </si>
  <si>
    <t xml:space="preserve">A.1.B.2)  Contributi da Aziende sanitarie pubbliche della Regione o Prov. Aut. (extra fondo) </t>
  </si>
  <si>
    <t>A.1.B.2.1)  Contributi da Aziende sanitarie pubbliche della Regione o Prov. Aut. (extra fondo) vincolati</t>
  </si>
  <si>
    <t>A.1.B.2.2)  Contributi da Aziende sanitarie pubbliche della Regione o Prov. Aut. (extra fondo) altro</t>
  </si>
  <si>
    <t>A.1.B.3.2)  Contributi da altri soggetti pubblici (extra fondo) vincolati</t>
  </si>
  <si>
    <t>A.1.B.3.3)  Contributi da altri soggetti pubblici (extra fondo) L. 210/92</t>
  </si>
  <si>
    <t>A.1.B.3.4)  Contributi da altri soggetti pubblici (extra fondo) altro</t>
  </si>
  <si>
    <t>A.1.B.3.5) Contibuti da altri soggetti pubblici (extra fondo) - in attuazione dell’art.79, comma 1 sexies lettera c), del D.L. 112/2008, convertito con legge 133/2008 e della legge 23 dicembre 2009 n. 191.</t>
  </si>
  <si>
    <t>A.1.C.1)  Contributi da Ministero della Salute per ricerca corrente</t>
  </si>
  <si>
    <t>A.1.C.2)  Contributi da Ministero della Salute per ricerca finalizzata</t>
  </si>
  <si>
    <t>A.1.C.3)  Contributi da Regione ed altri soggetti pubblici per ricerca</t>
  </si>
  <si>
    <t>A.1.C.4)  Contributi da privati per ricerca</t>
  </si>
  <si>
    <t>A.2)  Rettifica contributi c/esercizio per destinazione ad investimenti</t>
  </si>
  <si>
    <t>A.2.A)  Rettifica contributi in c/esercizio per destinazione ad investimenti - da Regione o Prov. Aut. per quota F.S. regionale</t>
  </si>
  <si>
    <t>A.2.B)  Rettifica contributi in c/esercizio per destinazione ad investimenti - altri contributi</t>
  </si>
  <si>
    <t>A.3) Utilizzo fondi per quote inutilizzate contributi finalizzati e vincolati di esercizi precedenti</t>
  </si>
  <si>
    <t>A.3.B)  Utilizzo fondi per quote inutilizzate contributi di esercizi precedenti da Regione o Prov. Aut. per quota F.S. regionale vincolato</t>
  </si>
  <si>
    <t>A.3.D)  Utilizzo fondi per quote inutilizzate contributi di esercizi precedenti per ricerca</t>
  </si>
  <si>
    <t>IMPORTO DA UFF ENTRATE</t>
  </si>
  <si>
    <t xml:space="preserve">A.4.A.1.15) Altre prestazioni sanitarie e socio-sanitarie a rilevanza sanitaria </t>
  </si>
  <si>
    <t xml:space="preserve">A.4.A.2) Ricavi per prestaz. sanitarie e sociosanitarie a rilevanza sanitaria erogate ad altri soggetti pubblici </t>
  </si>
  <si>
    <t>A.4.A.3) Ricavi per prestaz.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</si>
  <si>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</si>
  <si>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</si>
  <si>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A.4.B.3)  Prestazioni  di pronto soccorso non seguite da ricovero da priv. Extraregione in compensazione  (mobilità attiva)</t>
  </si>
  <si>
    <t>A.4.B.5)  Altre prestazioni sanitarie e sociosanitarie a rilevanza sanitaria erogate da privati v/residenti Extraregione in compensazione (mobilità attiva)</t>
  </si>
  <si>
    <t xml:space="preserve">A.4.C)  Ricavi per prestazioni sanitarie e sociosanitarie a rilevanza sanitaria erogate a privati </t>
  </si>
  <si>
    <t>A.4.D.2)  Ricavi per prestazioni sanitarie intramoenia - Area specialistica</t>
  </si>
  <si>
    <t>A.4.D.3)  Ricavi per prestazioni sanitarie intramoenia - Area sanità pubblica</t>
  </si>
  <si>
    <t>A.4.D.4)  Ricavi per prestazioni sanitarie intramoenia - Consulenze (ex art. 55 c.1 lett. c), d) ed ex art. 57-58)</t>
  </si>
  <si>
    <t>A.4.D.5)  Ricavi per prestazioni sanitarie intramoenia - Consulenze (ex art. 55 c.1 lett. c), d) ed ex art. 57-58) (Aziende sanitarie pubbliche della Regione)</t>
  </si>
  <si>
    <t>A.4.D.6)  Ricavi per prestazioni sanitarie intramoenia - Altro</t>
  </si>
  <si>
    <t>A.4.D.7)  Ricavi per prestazioni sanitarie intramoenia - Altro (Aziende sanitarie pubbliche della Regione)</t>
  </si>
  <si>
    <t>INTERCOMPANY DA QUADRARE/VERIFICARE</t>
  </si>
  <si>
    <t>IMPORTO ASSEGNATO IN CHIUSURA</t>
  </si>
  <si>
    <t>A.6.B)  Compartecipazione alla spesa per prestazioni sanitarie - Ticket sul pronto soccorso</t>
  </si>
  <si>
    <t>A.6.C)  Compartecipazione alla spesa per prestazioni sanitarie (Ticket) - Altro</t>
  </si>
  <si>
    <t xml:space="preserve">A.7.B)  Quota imputata all'esercizio dei finanziamenti per investimenti da Regione </t>
  </si>
  <si>
    <t>A.7.C)  Quota imputata all'esercizio dei finanziamenti per beni di prima dotazione</t>
  </si>
  <si>
    <t>AZ9999</t>
  </si>
  <si>
    <t>Totale valore della produzione (A)</t>
  </si>
  <si>
    <t>B.1.A.1)  Prodotti farmaceutici ed emoderivati</t>
  </si>
  <si>
    <t>CORRETTO SULL'ORDINATO CONSEGNATO</t>
  </si>
  <si>
    <t>B.1.A.3) Dispositivi medici</t>
  </si>
  <si>
    <t xml:space="preserve">B.1.A.3.1)  Dispositivi medici </t>
  </si>
  <si>
    <t>IN AUMENTO PER LA PRODUZIONE</t>
  </si>
  <si>
    <t>B.1.A.3.2)  Dispositivi medici impiantabili attivi</t>
  </si>
  <si>
    <t>B.1.A.3.3)  Dispositivi medico diagnostici in vitro (IVD)</t>
  </si>
  <si>
    <t>B.1.A.8)  Altri beni e prodotti sanitari</t>
  </si>
  <si>
    <t>B.1.A.9)  Beni e prodotti sanitari da Aziende sanitarie pubbliche della Regione</t>
  </si>
  <si>
    <t>B.1.B.6)  Altri beni e prodotti non sanitari</t>
  </si>
  <si>
    <t>B.1.B.7)  Beni e prodotti non sanitari da Aziende sanitarie pubbliche della Regione</t>
  </si>
  <si>
    <t>B.2.A.1.1) - da convenzione</t>
  </si>
  <si>
    <t>B.2.A.3.2) prestazioni di pronto soccorso  non seguite da ricovero - da pubblico (Aziende sanitarie pubbliche della Regione)</t>
  </si>
  <si>
    <t>B.2.A.3.4) prestazioni di pronto soccorso  non seguite da ricovero - da pubblico (altri soggetti pubbl. della Regione)</t>
  </si>
  <si>
    <t>B.2.A.3.6) prestazioni di pronto soccorso  non seguite da ricovero - da pubblico (Extraregione)</t>
  </si>
  <si>
    <t>B.2.A.3.8) - da privato</t>
  </si>
  <si>
    <t>B.2.A.3.8.C) Servizi sanitari per assistenza specialistica da Ospedali Classificati privati</t>
  </si>
  <si>
    <t>B.2.A.3.8.G) Servizi sanitari per assistenza specialistica da altri privati</t>
  </si>
  <si>
    <t>B.2.A.7.4) - da privato</t>
  </si>
  <si>
    <t>B.2.A.12.1) - da pubblico (Aziende sanitarie pubbliche della Regione) - Mobilità intraregionale</t>
  </si>
  <si>
    <t>B.2.A.13.1)  Compartecipazione al personale per att. libero professionale intramoenia - Area ospedaliera</t>
  </si>
  <si>
    <t>B.2.A.13.2)  Compartecipazione al personale per att. libero professionale intramoenia- Area specialistica</t>
  </si>
  <si>
    <t>B.2.A.13.3)  Compartecipazione al personale per att. libero professionale intramoenia - Area sanità pubblica</t>
  </si>
  <si>
    <t>B.2.A.13.4)  Compartecipazione al personale per att. libero professionale intramoenia - Consulenze (ex art. 55 c.1 lett. c), d) ed ex Art. 57-58)</t>
  </si>
  <si>
    <t>B.2.A.13.5)  Compartecipazione al personale per att. libero professionale intramoenia - Consulenze (ex art. 55 c.1 lett. c), d) ed ex Art. 57-58) (Aziende sanitarie pubbliche della Regione)</t>
  </si>
  <si>
    <t>B.2.A.13.6)  Compartecipazione al personale per att. libero professionale intramoenia - Altro</t>
  </si>
  <si>
    <t>B.2.A.13.7)  Compartecipazione al personale per att. libero  professionale intramoenia - Altro (Aziende sanitarie pubbliche della Regione)</t>
  </si>
  <si>
    <t>B.2.A.14.1)  Contributi ad associazioni di volontariato</t>
  </si>
  <si>
    <t>B.2.A.14.2)  Rimborsi per cure all'estero</t>
  </si>
  <si>
    <t>B.2.A.14.3)  Contributi a società partecipate e/o enti dipendenti della Regione</t>
  </si>
  <si>
    <t>B.2.A.14.4)  Contributo Legge 210/92</t>
  </si>
  <si>
    <t>B.2.A.14.5)  Altri rimborsi, assegni e contributi</t>
  </si>
  <si>
    <t>B.2.A.14.6)  Rimborsi, assegni e contributi v/Aziende sanitarie pubbliche della Regione</t>
  </si>
  <si>
    <t>B.2.A.14.7)  Rimborsi, assegni e contributi v/Regione - GSA</t>
  </si>
  <si>
    <t>B.2.A.15.1) Consulenze sanitarie e sociosanitarieda Aziende sanitarie pubbliche della Regione</t>
  </si>
  <si>
    <t>B.2.A.15.2) Consulenze sanitarie e sociosanitarieda terzi - Altri soggetti pubblici</t>
  </si>
  <si>
    <t>B.2.A.15.3) Consulenze, Collaborazioni,  Interinale e altre prestazioni di lavoro sanitarie e sociosanitarie da privato</t>
  </si>
  <si>
    <t>B.2.A.15.3.C) Collaborazioni coordinate e continuative sanitarie e sociosanitarie da privato</t>
  </si>
  <si>
    <t xml:space="preserve">B.2.A.15.3.D) Indennità a personale universitario - area sanitaria </t>
  </si>
  <si>
    <t xml:space="preserve">B.2.A.15.3.E) Lavoro interinale - area sanitaria </t>
  </si>
  <si>
    <t xml:space="preserve">B.2.A.15.3.F) Altre collaborazioni e prestazioni di lavoro - area sanitaria </t>
  </si>
  <si>
    <t>B.2.A.15.4) Rimborso oneri stipendiali del personale sanitario in comando</t>
  </si>
  <si>
    <t>B.2.A.16.1)  Altri servizi sanitari e sociosanitari a rilevanza sanitaria da pubblico - Aziende sanitarie pubbliche della Regione</t>
  </si>
  <si>
    <t>B.2.A.16.2)  Altri servizi sanitari e sociosanitari  a rilevanza sanitaria da pubblico - Altri soggetti pubblici della Regione</t>
  </si>
  <si>
    <t>B.2.A.16.4)  Altri servizi sanitari da privato</t>
  </si>
  <si>
    <t>B.2.A.16.5)  Costi per servizi sanitari - Mobilità internazionale passiva</t>
  </si>
  <si>
    <t>B.2.B.1.1)   Lavanderia</t>
  </si>
  <si>
    <t>B.2.B.1.2)   Pulizia</t>
  </si>
  <si>
    <t>B.2.B.1.3)   Mensa</t>
  </si>
  <si>
    <t>B.2.B.1.4)   Riscaldamento</t>
  </si>
  <si>
    <t>B.2.B.1.5)   Servizi di assistenza informatica</t>
  </si>
  <si>
    <t>B.2.B.1.6)   Servizi trasporti (non sanitari)</t>
  </si>
  <si>
    <t>B.2.B.1.7)   Smaltimento rifiuti</t>
  </si>
  <si>
    <t>B.2.B.1.8)   Utenze telefoniche</t>
  </si>
  <si>
    <t>B.2.B.1.9)   Utenze elettricità</t>
  </si>
  <si>
    <t>B.2.B.1.10)   Altre utenze</t>
  </si>
  <si>
    <t>B.2.B.1.11)  Premi di assicurazione</t>
  </si>
  <si>
    <t xml:space="preserve">B.2.B.1.11.A)  Premi di assicurazione - R.C. Professionale </t>
  </si>
  <si>
    <t>B.2.B.1.11.B)  Premi di assicurazione - Altri premi assicurativi</t>
  </si>
  <si>
    <t>BA1710</t>
  </si>
  <si>
    <t>B.2.B.1.12) Altri servizi non sanitari</t>
  </si>
  <si>
    <t>B.2.B.2.3) Consulenze, Collaborazioni, Interinale e altre prestazioni di lavoro non sanitarie da privato</t>
  </si>
  <si>
    <t xml:space="preserve">B.2.B.2.3.C) Indennità a personale universitario - area non sanitaria </t>
  </si>
  <si>
    <t xml:space="preserve">B.2.B.2.3.D) Lavoro interinale - area non sanitaria </t>
  </si>
  <si>
    <t xml:space="preserve">B.2.B.2.3.E) Altre collaborazioni e prestazioni di lavoro - area non sanitaria </t>
  </si>
  <si>
    <t>B.2.B.2.3.F) Altre Consulenze non sanitarie da privato -  in attuazione dell’art.79, comma 1 sexies lettera c), del D.L. 112/2008, convertito con legge 133/2008 e della legge 23 dicembre 2009 n. 191</t>
  </si>
  <si>
    <t>B.2.B.2.4) Rimborso oneri stipendiali del personale non sanitario in comando</t>
  </si>
  <si>
    <t>B.3.A)  Manutenzione e riparazione ai fabbricati e loro pertinenze</t>
  </si>
  <si>
    <t>B.3.B)  Manutenzione e riparazione agli impianti e macchinari</t>
  </si>
  <si>
    <t>B.3.C)  Manutenzione e riparazione alle attrezzature sanitarie e scientifiche</t>
  </si>
  <si>
    <t>B.3.D)  Manutenzione e riparazione ai mobili e arredi</t>
  </si>
  <si>
    <t>B.3.E)  Manutenzione e riparazione agli automezzi</t>
  </si>
  <si>
    <t>B.3.F)  Altre manutenzioni e riparazioni</t>
  </si>
  <si>
    <t>B.3.G)  Manutenzioni e riparazioni da Aziende sanitarie pubbliche della Regione</t>
  </si>
  <si>
    <t>BA2080</t>
  </si>
  <si>
    <t>Totale Costo del personale</t>
  </si>
  <si>
    <t>B.9.C.1)  Indennità, rimborso spese e oneri sociali per gli Organi Direttivi e Collegio Sindacale</t>
  </si>
  <si>
    <t>B.9.C.2)  Altri oneri diversi di gestione</t>
  </si>
  <si>
    <t>ERRATA IMPUTAZIONE CONTABILE (SENTENZE / € 7.073.441 DA SPOSTARE IN EA0300)</t>
  </si>
  <si>
    <t>BA2560</t>
  </si>
  <si>
    <t>Totale Ammortamenti</t>
  </si>
  <si>
    <t>BA2580</t>
  </si>
  <si>
    <t>B.11) Ammortamenti delle immobilizzazioni materiali</t>
  </si>
  <si>
    <t>BA2630</t>
  </si>
  <si>
    <t>B.12) Svalutazione delle immobilizzazioni e dei crediti</t>
  </si>
  <si>
    <t>B.14.A.1)  Accantonamenti per cause civili ed oneri processuali</t>
  </si>
  <si>
    <t>B.14.A.2)  Accantonamenti per contenzioso personale dipendente</t>
  </si>
  <si>
    <t>B.14.A.3)  Accantonamenti per rischi connessi all'acquisto di prestazioni sanitarie da privato</t>
  </si>
  <si>
    <t>B.14.A.4)  Accantonamenti per copertura diretta dei rischi (autoassicurazione)</t>
  </si>
  <si>
    <t>B.14.A.6)  Altri accantonamenti per rischi</t>
  </si>
  <si>
    <t>B.14.A.7)  Accantonamenti per interessi di mora</t>
  </si>
  <si>
    <t>B.14.D.1)  Acc. Rinnovi convenzioni MMG/PLS/MCA</t>
  </si>
  <si>
    <t>B.14.D.2)  Acc. Rinnovi convenzioni Medici Sumai</t>
  </si>
  <si>
    <t>B.14.D.3)  Acc. Rinnovi contratt.: dirigenza medica</t>
  </si>
  <si>
    <t>B.14.D.4)  Acc. Rinnovi contratt.: dirigenza non medica</t>
  </si>
  <si>
    <t>B.14.D.5)  Acc. Rinnovi contratt.: comparto</t>
  </si>
  <si>
    <t>BZ9999</t>
  </si>
  <si>
    <t>Totale costi della produzione (B)</t>
  </si>
  <si>
    <t>CZ9999</t>
  </si>
  <si>
    <t>Totale proventi e oneri finanziari (C)</t>
  </si>
  <si>
    <t>D.1)  Rivalutazioni</t>
  </si>
  <si>
    <t>D.2)  Svalutazioni</t>
  </si>
  <si>
    <t>DZ9999</t>
  </si>
  <si>
    <t>Totale rettifiche di valore di attività finanziarie (D)</t>
  </si>
  <si>
    <t xml:space="preserve">E.1.B.2.2) Sopravvenienze attive v/Aziende sanitarie pubbliche della Regione </t>
  </si>
  <si>
    <t>EA0070</t>
  </si>
  <si>
    <t>E.1.B.2.3) Sopravvenienze attive v/terzi</t>
  </si>
  <si>
    <t>EA0170</t>
  </si>
  <si>
    <t>E.1.B.3.2) Insussistenze attive v/terzi</t>
  </si>
  <si>
    <t>EA0320</t>
  </si>
  <si>
    <t>E.2.B.3.1) Sopravvenienze passive v/Aziende sanitarie pubbliche della Regione</t>
  </si>
  <si>
    <t>EA0350</t>
  </si>
  <si>
    <t>E.2.B.3.2) Sopravvenienze passive v/terzi</t>
  </si>
  <si>
    <t>EA0370</t>
  </si>
  <si>
    <t>E.2.B.3.2.B) Sopravvenienze passive v/terzi relative al personale</t>
  </si>
  <si>
    <t>EA0480</t>
  </si>
  <si>
    <t>E.2.B.4.3) Insussistenze passive v/terzi</t>
  </si>
  <si>
    <t>EZ9999</t>
  </si>
  <si>
    <t>Totale proventi e oneri straordinari (E)</t>
  </si>
  <si>
    <t>XA0000</t>
  </si>
  <si>
    <t>Risultato prima delle imposte (A - B +/- C +/- D +/- E)</t>
  </si>
  <si>
    <t>Y.1.C) IRAP relativa ad attività di libera professione (intramoenia)</t>
  </si>
  <si>
    <t>Y.1.D) IRAP relativa ad attività commerciale</t>
  </si>
  <si>
    <t>Y.2.A) IRES su attività istituzionale</t>
  </si>
  <si>
    <t>Y.2.B) IRES su attività commerciale</t>
  </si>
  <si>
    <t>YZ9999</t>
  </si>
  <si>
    <t>Totale imposte e tasse (Y)</t>
  </si>
  <si>
    <t>ZZ9999</t>
  </si>
  <si>
    <t>RISULTATO DI ESERCIZIO</t>
  </si>
  <si>
    <t>A- RISULTATO ECONOMICO NEGOZIATO PER L'ANNO 2024</t>
  </si>
  <si>
    <t>B - RISULTATO ECONOMICO STIMA A FINIRE AGGIORNATA 2024</t>
  </si>
  <si>
    <t>FONDO DI SOSTEGNO NEG.TO</t>
  </si>
  <si>
    <t>C=A-B (DELTA RISULTATO NEGOZIATO VS STIMA A FINIRE 2024)</t>
  </si>
  <si>
    <t>KEY</t>
  </si>
  <si>
    <t>100000000</t>
  </si>
  <si>
    <t>101000000</t>
  </si>
  <si>
    <t>101010000</t>
  </si>
  <si>
    <t>101010100</t>
  </si>
  <si>
    <t>101010101</t>
  </si>
  <si>
    <t>101010102</t>
  </si>
  <si>
    <t>101010201</t>
  </si>
  <si>
    <t>101010202</t>
  </si>
  <si>
    <t>101010301</t>
  </si>
  <si>
    <t>101010302</t>
  </si>
  <si>
    <t>101010303</t>
  </si>
  <si>
    <t>101010304</t>
  </si>
  <si>
    <t>101010401</t>
  </si>
  <si>
    <t>101010501</t>
  </si>
  <si>
    <t>101010502</t>
  </si>
  <si>
    <t>101010601</t>
  </si>
  <si>
    <t>101010602</t>
  </si>
  <si>
    <t>101010701</t>
  </si>
  <si>
    <t>101010702</t>
  </si>
  <si>
    <t>101010801</t>
  </si>
  <si>
    <t>101010802</t>
  </si>
  <si>
    <t>101010901</t>
  </si>
  <si>
    <t>101010902</t>
  </si>
  <si>
    <t>101010903</t>
  </si>
  <si>
    <t>101010904</t>
  </si>
  <si>
    <t>101020101</t>
  </si>
  <si>
    <t>101020102</t>
  </si>
  <si>
    <t>101020201</t>
  </si>
  <si>
    <t>101020202</t>
  </si>
  <si>
    <t>101020301</t>
  </si>
  <si>
    <t>101020302</t>
  </si>
  <si>
    <t>101020401</t>
  </si>
  <si>
    <t>101020402</t>
  </si>
  <si>
    <t>101020501</t>
  </si>
  <si>
    <t>101020502</t>
  </si>
  <si>
    <t>101020601</t>
  </si>
  <si>
    <t>101020602</t>
  </si>
  <si>
    <t>101020701</t>
  </si>
  <si>
    <t>101020702</t>
  </si>
  <si>
    <t>101020801</t>
  </si>
  <si>
    <t>101020901</t>
  </si>
  <si>
    <t>101020902</t>
  </si>
  <si>
    <t>101021001</t>
  </si>
  <si>
    <t>101021101</t>
  </si>
  <si>
    <t>101021102</t>
  </si>
  <si>
    <t>101021103</t>
  </si>
  <si>
    <t>101021104</t>
  </si>
  <si>
    <t>101021105</t>
  </si>
  <si>
    <t>101021106</t>
  </si>
  <si>
    <t>101021107</t>
  </si>
  <si>
    <t>101021108</t>
  </si>
  <si>
    <t>101030101</t>
  </si>
  <si>
    <t>101030201</t>
  </si>
  <si>
    <t>101030301</t>
  </si>
  <si>
    <t>101030302</t>
  </si>
  <si>
    <t>101030401</t>
  </si>
  <si>
    <t>101030402</t>
  </si>
  <si>
    <t>101030403</t>
  </si>
  <si>
    <t>101030404</t>
  </si>
  <si>
    <t>101030405</t>
  </si>
  <si>
    <t>101030501</t>
  </si>
  <si>
    <t>101030502</t>
  </si>
  <si>
    <t>101030599</t>
  </si>
  <si>
    <t>101030601</t>
  </si>
  <si>
    <t>101030602</t>
  </si>
  <si>
    <t>101030603</t>
  </si>
  <si>
    <t>101030604</t>
  </si>
  <si>
    <t>102010101</t>
  </si>
  <si>
    <t>102010102</t>
  </si>
  <si>
    <t>102010103</t>
  </si>
  <si>
    <t>102010104</t>
  </si>
  <si>
    <t>102010105</t>
  </si>
  <si>
    <t>102010106</t>
  </si>
  <si>
    <t>102010107</t>
  </si>
  <si>
    <t>102010201</t>
  </si>
  <si>
    <t>102010202</t>
  </si>
  <si>
    <t>102010203</t>
  </si>
  <si>
    <t>102010301</t>
  </si>
  <si>
    <t>102010302</t>
  </si>
  <si>
    <t>102010303</t>
  </si>
  <si>
    <t>102010304</t>
  </si>
  <si>
    <t>102010305</t>
  </si>
  <si>
    <t>102010306</t>
  </si>
  <si>
    <t>102010307</t>
  </si>
  <si>
    <t>102010308</t>
  </si>
  <si>
    <t>102010309</t>
  </si>
  <si>
    <t>102010310</t>
  </si>
  <si>
    <t>102010311</t>
  </si>
  <si>
    <t>102010312</t>
  </si>
  <si>
    <t>102010313</t>
  </si>
  <si>
    <t>102010314</t>
  </si>
  <si>
    <t>102010315</t>
  </si>
  <si>
    <t>102010401</t>
  </si>
  <si>
    <t>102010501</t>
  </si>
  <si>
    <t>102010601</t>
  </si>
  <si>
    <t>102010701</t>
  </si>
  <si>
    <t>102010702</t>
  </si>
  <si>
    <t>102010801</t>
  </si>
  <si>
    <t>102010901</t>
  </si>
  <si>
    <t>102011001</t>
  </si>
  <si>
    <t>102011101</t>
  </si>
  <si>
    <t>102011201</t>
  </si>
  <si>
    <t>102011301</t>
  </si>
  <si>
    <t>102011401</t>
  </si>
  <si>
    <t>102011501</t>
  </si>
  <si>
    <t>102011601</t>
  </si>
  <si>
    <t>102022701</t>
  </si>
  <si>
    <t>102020201</t>
  </si>
  <si>
    <t>102020301</t>
  </si>
  <si>
    <t>102020401</t>
  </si>
  <si>
    <t>102020501</t>
  </si>
  <si>
    <t>102020601</t>
  </si>
  <si>
    <t>102020701</t>
  </si>
  <si>
    <t>102022801</t>
  </si>
  <si>
    <t>102020801</t>
  </si>
  <si>
    <t>102020901</t>
  </si>
  <si>
    <t>102020902</t>
  </si>
  <si>
    <t>102020903</t>
  </si>
  <si>
    <t>102020904</t>
  </si>
  <si>
    <t>102021001</t>
  </si>
  <si>
    <t>102021102</t>
  </si>
  <si>
    <t>102021103</t>
  </si>
  <si>
    <t>102021104</t>
  </si>
  <si>
    <t>102021105</t>
  </si>
  <si>
    <t>102021106</t>
  </si>
  <si>
    <t>102021107</t>
  </si>
  <si>
    <t>102021108</t>
  </si>
  <si>
    <t>102021109</t>
  </si>
  <si>
    <t>102021110</t>
  </si>
  <si>
    <t>102021112</t>
  </si>
  <si>
    <t>102021111</t>
  </si>
  <si>
    <t>102021120</t>
  </si>
  <si>
    <t>102021201</t>
  </si>
  <si>
    <t>102021295</t>
  </si>
  <si>
    <t>102021296</t>
  </si>
  <si>
    <t>102021297</t>
  </si>
  <si>
    <t>102021298</t>
  </si>
  <si>
    <t>102021202</t>
  </si>
  <si>
    <t>102021203</t>
  </si>
  <si>
    <t>102021206</t>
  </si>
  <si>
    <t>102021204</t>
  </si>
  <si>
    <t>102021205</t>
  </si>
  <si>
    <t>102022901</t>
  </si>
  <si>
    <t>102023001</t>
  </si>
  <si>
    <t>102021301</t>
  </si>
  <si>
    <t>102021401</t>
  </si>
  <si>
    <t>102021402</t>
  </si>
  <si>
    <t>102021403</t>
  </si>
  <si>
    <t>102021404</t>
  </si>
  <si>
    <t>102021405</t>
  </si>
  <si>
    <t>102021406</t>
  </si>
  <si>
    <t>102021407</t>
  </si>
  <si>
    <t>102021408</t>
  </si>
  <si>
    <t>102021409</t>
  </si>
  <si>
    <t>102021410</t>
  </si>
  <si>
    <t>102021411</t>
  </si>
  <si>
    <t>102021412</t>
  </si>
  <si>
    <t>102021413</t>
  </si>
  <si>
    <t>102021414</t>
  </si>
  <si>
    <t>102021415</t>
  </si>
  <si>
    <t>102021416</t>
  </si>
  <si>
    <t>102021417</t>
  </si>
  <si>
    <t>102021418</t>
  </si>
  <si>
    <t>102021419</t>
  </si>
  <si>
    <t>102021420</t>
  </si>
  <si>
    <t>102021421</t>
  </si>
  <si>
    <t>102021422</t>
  </si>
  <si>
    <t>102021423</t>
  </si>
  <si>
    <t>102021424</t>
  </si>
  <si>
    <t>102021425</t>
  </si>
  <si>
    <t>102021426</t>
  </si>
  <si>
    <t>102021427</t>
  </si>
  <si>
    <t>102021428</t>
  </si>
  <si>
    <t>102021429</t>
  </si>
  <si>
    <t>102021430</t>
  </si>
  <si>
    <t>102021431</t>
  </si>
  <si>
    <t>102021432</t>
  </si>
  <si>
    <t>102021433</t>
  </si>
  <si>
    <t>102021434</t>
  </si>
  <si>
    <t>102021435</t>
  </si>
  <si>
    <t>102021436</t>
  </si>
  <si>
    <t>102021437</t>
  </si>
  <si>
    <t>102021438</t>
  </si>
  <si>
    <t>102021501</t>
  </si>
  <si>
    <t>102023101</t>
  </si>
  <si>
    <t>102021601</t>
  </si>
  <si>
    <t>102023201</t>
  </si>
  <si>
    <t>102021701</t>
  </si>
  <si>
    <t>102021702</t>
  </si>
  <si>
    <t>102021801</t>
  </si>
  <si>
    <t>102021901</t>
  </si>
  <si>
    <t>102021902</t>
  </si>
  <si>
    <t>102022001</t>
  </si>
  <si>
    <t>102022002</t>
  </si>
  <si>
    <t>102022003</t>
  </si>
  <si>
    <t>102022004</t>
  </si>
  <si>
    <t>102022005</t>
  </si>
  <si>
    <t>102022101</t>
  </si>
  <si>
    <t>102022102</t>
  </si>
  <si>
    <t>102022103</t>
  </si>
  <si>
    <t>102022201</t>
  </si>
  <si>
    <t>102022301</t>
  </si>
  <si>
    <t>102022401</t>
  </si>
  <si>
    <t>102022501</t>
  </si>
  <si>
    <t>102022503</t>
  </si>
  <si>
    <t>102022504</t>
  </si>
  <si>
    <t>102022505</t>
  </si>
  <si>
    <t>102022506</t>
  </si>
  <si>
    <t>102022507</t>
  </si>
  <si>
    <t>102022508</t>
  </si>
  <si>
    <t>102022509</t>
  </si>
  <si>
    <t>102022502</t>
  </si>
  <si>
    <t>102022510</t>
  </si>
  <si>
    <t>102022601</t>
  </si>
  <si>
    <t>102022602</t>
  </si>
  <si>
    <t>102022603</t>
  </si>
  <si>
    <t>102022604</t>
  </si>
  <si>
    <t>102022605</t>
  </si>
  <si>
    <t>102022606</t>
  </si>
  <si>
    <t>102030101</t>
  </si>
  <si>
    <t>102030102</t>
  </si>
  <si>
    <t>102030199</t>
  </si>
  <si>
    <t>102030201</t>
  </si>
  <si>
    <t>102040101</t>
  </si>
  <si>
    <t>102040102</t>
  </si>
  <si>
    <t>102040103</t>
  </si>
  <si>
    <t>102040201</t>
  </si>
  <si>
    <t>102040301</t>
  </si>
  <si>
    <t>102040401</t>
  </si>
  <si>
    <t>103010101</t>
  </si>
  <si>
    <t>103010201</t>
  </si>
  <si>
    <t>103020101</t>
  </si>
  <si>
    <t>103020201</t>
  </si>
  <si>
    <t>301010101</t>
  </si>
  <si>
    <t>301020101</t>
  </si>
  <si>
    <t>301030101</t>
  </si>
  <si>
    <t>301050101</t>
  </si>
  <si>
    <t>301040101</t>
  </si>
  <si>
    <t>201010101</t>
  </si>
  <si>
    <t>201020101</t>
  </si>
  <si>
    <t>201020201</t>
  </si>
  <si>
    <t>201020301</t>
  </si>
  <si>
    <t>201020401</t>
  </si>
  <si>
    <t>201020495</t>
  </si>
  <si>
    <t>201020496</t>
  </si>
  <si>
    <t>201020497</t>
  </si>
  <si>
    <t>201020498</t>
  </si>
  <si>
    <t>201020501</t>
  </si>
  <si>
    <t>201020509</t>
  </si>
  <si>
    <t>201020601</t>
  </si>
  <si>
    <t>201020701</t>
  </si>
  <si>
    <t>201020702</t>
  </si>
  <si>
    <t>201020703</t>
  </si>
  <si>
    <t>201020704</t>
  </si>
  <si>
    <t>201030101</t>
  </si>
  <si>
    <t>201040101</t>
  </si>
  <si>
    <t>201040201</t>
  </si>
  <si>
    <t>201040301</t>
  </si>
  <si>
    <t>201040401</t>
  </si>
  <si>
    <t>201040501</t>
  </si>
  <si>
    <t>201050101</t>
  </si>
  <si>
    <t>201050201</t>
  </si>
  <si>
    <t>201050301</t>
  </si>
  <si>
    <t>201060101</t>
  </si>
  <si>
    <t>201060102</t>
  </si>
  <si>
    <t>201070101</t>
  </si>
  <si>
    <t>202010101</t>
  </si>
  <si>
    <t>202020101</t>
  </si>
  <si>
    <t>202020201</t>
  </si>
  <si>
    <t>202020301</t>
  </si>
  <si>
    <t>202020401</t>
  </si>
  <si>
    <t>202020601</t>
  </si>
  <si>
    <t>202020701</t>
  </si>
  <si>
    <t>202020501</t>
  </si>
  <si>
    <t>,</t>
  </si>
  <si>
    <t>202030101</t>
  </si>
  <si>
    <t>202030201</t>
  </si>
  <si>
    <t>202030301</t>
  </si>
  <si>
    <t>202030401</t>
  </si>
  <si>
    <t>202030501</t>
  </si>
  <si>
    <t>202030601</t>
  </si>
  <si>
    <t>202030701</t>
  </si>
  <si>
    <t>202030801</t>
  </si>
  <si>
    <t>202040501</t>
  </si>
  <si>
    <t>202040102</t>
  </si>
  <si>
    <t>202040103</t>
  </si>
  <si>
    <t>202040104</t>
  </si>
  <si>
    <t>202040105</t>
  </si>
  <si>
    <t>202040106</t>
  </si>
  <si>
    <t>202040107</t>
  </si>
  <si>
    <t>202040108</t>
  </si>
  <si>
    <t>202040109</t>
  </si>
  <si>
    <t>202040110</t>
  </si>
  <si>
    <t>202040111</t>
  </si>
  <si>
    <t>202040112</t>
  </si>
  <si>
    <t>202040197</t>
  </si>
  <si>
    <t>202040199</t>
  </si>
  <si>
    <t>202040201</t>
  </si>
  <si>
    <t>202040301</t>
  </si>
  <si>
    <t>202040401</t>
  </si>
  <si>
    <t>202050101</t>
  </si>
  <si>
    <t>202050201</t>
  </si>
  <si>
    <t>202050301</t>
  </si>
  <si>
    <t>202050401</t>
  </si>
  <si>
    <t>202050501</t>
  </si>
  <si>
    <t>2.02.05.05.0111</t>
  </si>
  <si>
    <t>FONDO P.A.F.</t>
  </si>
  <si>
    <t>202050601</t>
  </si>
  <si>
    <t>Fondo  incentivi funzioni tecniche "AMMODERNAMENTO TECNOLOGICO"</t>
  </si>
  <si>
    <t>2.02.05.06.0102</t>
  </si>
  <si>
    <t>Fondo  incentivi funzioni tecniche "LAVORI"</t>
  </si>
  <si>
    <t>2.02.05.06.0103</t>
  </si>
  <si>
    <t>Fondo  incentivi funzioni tecniche "FORNITURE"</t>
  </si>
  <si>
    <t>203010101</t>
  </si>
  <si>
    <t>203020101</t>
  </si>
  <si>
    <t>203030101</t>
  </si>
  <si>
    <t>204010101</t>
  </si>
  <si>
    <t>204020101</t>
  </si>
  <si>
    <t>204020201</t>
  </si>
  <si>
    <t>204020301</t>
  </si>
  <si>
    <t>204020401</t>
  </si>
  <si>
    <t>204020501</t>
  </si>
  <si>
    <t>204030101</t>
  </si>
  <si>
    <t>204030601</t>
  </si>
  <si>
    <t>204030201</t>
  </si>
  <si>
    <t>204030301</t>
  </si>
  <si>
    <t>204030701</t>
  </si>
  <si>
    <t>204030401</t>
  </si>
  <si>
    <t>204030801</t>
  </si>
  <si>
    <t>204030901</t>
  </si>
  <si>
    <t>204031001</t>
  </si>
  <si>
    <t>204031101</t>
  </si>
  <si>
    <t>204030501</t>
  </si>
  <si>
    <t>204040101</t>
  </si>
  <si>
    <t>204050101</t>
  </si>
  <si>
    <t>204050201</t>
  </si>
  <si>
    <t>204050301</t>
  </si>
  <si>
    <t>204050401</t>
  </si>
  <si>
    <t>204050501</t>
  </si>
  <si>
    <t>204050502</t>
  </si>
  <si>
    <t>204050503</t>
  </si>
  <si>
    <t>204050504</t>
  </si>
  <si>
    <t>204050505</t>
  </si>
  <si>
    <t>204050506</t>
  </si>
  <si>
    <t>204050507</t>
  </si>
  <si>
    <t>204050508</t>
  </si>
  <si>
    <t>204050509</t>
  </si>
  <si>
    <t>204050510</t>
  </si>
  <si>
    <t>204050511</t>
  </si>
  <si>
    <t>204050512</t>
  </si>
  <si>
    <t>204050513</t>
  </si>
  <si>
    <t>204050514</t>
  </si>
  <si>
    <t>204050515</t>
  </si>
  <si>
    <t>204050516</t>
  </si>
  <si>
    <t>204050517</t>
  </si>
  <si>
    <t>204050518</t>
  </si>
  <si>
    <t>204050601</t>
  </si>
  <si>
    <t>204050602</t>
  </si>
  <si>
    <t>204050603</t>
  </si>
  <si>
    <t>204050604</t>
  </si>
  <si>
    <t>204050605</t>
  </si>
  <si>
    <t>204050606</t>
  </si>
  <si>
    <t>204050607</t>
  </si>
  <si>
    <t>204050608</t>
  </si>
  <si>
    <t>204050609</t>
  </si>
  <si>
    <t>204050610</t>
  </si>
  <si>
    <t>204050611</t>
  </si>
  <si>
    <t>204050612</t>
  </si>
  <si>
    <t>204050613</t>
  </si>
  <si>
    <t>204050614</t>
  </si>
  <si>
    <t>204050615</t>
  </si>
  <si>
    <t>204050616</t>
  </si>
  <si>
    <t>204050617</t>
  </si>
  <si>
    <t>204050618</t>
  </si>
  <si>
    <t>204050901</t>
  </si>
  <si>
    <t>204051001</t>
  </si>
  <si>
    <t>204051101</t>
  </si>
  <si>
    <t>204050701</t>
  </si>
  <si>
    <t>204050802</t>
  </si>
  <si>
    <t>204050803</t>
  </si>
  <si>
    <t>204050804</t>
  </si>
  <si>
    <t>204050805</t>
  </si>
  <si>
    <t>204050806</t>
  </si>
  <si>
    <t>204060101</t>
  </si>
  <si>
    <t>204060102</t>
  </si>
  <si>
    <t>204060201</t>
  </si>
  <si>
    <t>204060301</t>
  </si>
  <si>
    <t>204060302</t>
  </si>
  <si>
    <t>204070101</t>
  </si>
  <si>
    <t>204070102</t>
  </si>
  <si>
    <t>204070103</t>
  </si>
  <si>
    <t>204070104</t>
  </si>
  <si>
    <t>204070105</t>
  </si>
  <si>
    <t>204070106</t>
  </si>
  <si>
    <t>204070107</t>
  </si>
  <si>
    <t>204070199</t>
  </si>
  <si>
    <t>204070108</t>
  </si>
  <si>
    <t>204070109</t>
  </si>
  <si>
    <t>204070110</t>
  </si>
  <si>
    <t>204070111</t>
  </si>
  <si>
    <t>204070112</t>
  </si>
  <si>
    <t>204070113</t>
  </si>
  <si>
    <t>204070114</t>
  </si>
  <si>
    <t>204070115</t>
  </si>
  <si>
    <t>204070201</t>
  </si>
  <si>
    <t>204070202</t>
  </si>
  <si>
    <t>204070203</t>
  </si>
  <si>
    <t>204070204</t>
  </si>
  <si>
    <t>204070205</t>
  </si>
  <si>
    <t>204070299</t>
  </si>
  <si>
    <t>204070404</t>
  </si>
  <si>
    <t>204080101</t>
  </si>
  <si>
    <t>204090101</t>
  </si>
  <si>
    <t>204090102</t>
  </si>
  <si>
    <t>204090103</t>
  </si>
  <si>
    <t>204090104</t>
  </si>
  <si>
    <t>204090105</t>
  </si>
  <si>
    <t>204090199</t>
  </si>
  <si>
    <t>204100101</t>
  </si>
  <si>
    <t>204100102</t>
  </si>
  <si>
    <t>204100103</t>
  </si>
  <si>
    <t>204100104</t>
  </si>
  <si>
    <t>204100105</t>
  </si>
  <si>
    <t>204100106</t>
  </si>
  <si>
    <t>204100107</t>
  </si>
  <si>
    <t>204100199</t>
  </si>
  <si>
    <t>204110101</t>
  </si>
  <si>
    <t>204110201</t>
  </si>
  <si>
    <t>204110202</t>
  </si>
  <si>
    <t>204110203</t>
  </si>
  <si>
    <t>204110204</t>
  </si>
  <si>
    <t>204110205</t>
  </si>
  <si>
    <t>204110206</t>
  </si>
  <si>
    <t>204110207</t>
  </si>
  <si>
    <t>204110208</t>
  </si>
  <si>
    <t>204110209</t>
  </si>
  <si>
    <t>204110210</t>
  </si>
  <si>
    <t>204110211</t>
  </si>
  <si>
    <t>204110212</t>
  </si>
  <si>
    <t>204110213</t>
  </si>
  <si>
    <t>204110214</t>
  </si>
  <si>
    <t>204110215</t>
  </si>
  <si>
    <t>204110216</t>
  </si>
  <si>
    <t>204110217</t>
  </si>
  <si>
    <t>204110218</t>
  </si>
  <si>
    <t>204110219</t>
  </si>
  <si>
    <t>204110220</t>
  </si>
  <si>
    <t>204110221</t>
  </si>
  <si>
    <t>204110301</t>
  </si>
  <si>
    <t>204110302</t>
  </si>
  <si>
    <t>204110303</t>
  </si>
  <si>
    <t>204110304</t>
  </si>
  <si>
    <t>204110305</t>
  </si>
  <si>
    <t>204110306</t>
  </si>
  <si>
    <t>204110307</t>
  </si>
  <si>
    <t>204110308</t>
  </si>
  <si>
    <t>204110309</t>
  </si>
  <si>
    <t>204110310</t>
  </si>
  <si>
    <t>204110311</t>
  </si>
  <si>
    <t>204110312</t>
  </si>
  <si>
    <t>204110313</t>
  </si>
  <si>
    <t>204110314</t>
  </si>
  <si>
    <t>204110315</t>
  </si>
  <si>
    <t>204110316</t>
  </si>
  <si>
    <t>204110317</t>
  </si>
  <si>
    <t>204110318</t>
  </si>
  <si>
    <t>204110319</t>
  </si>
  <si>
    <t>204110320</t>
  </si>
  <si>
    <t>204110321</t>
  </si>
  <si>
    <t>204110401</t>
  </si>
  <si>
    <t>204110501</t>
  </si>
  <si>
    <t>204110502</t>
  </si>
  <si>
    <t>204110504</t>
  </si>
  <si>
    <t>204110505</t>
  </si>
  <si>
    <t>204110506</t>
  </si>
  <si>
    <t>204110599</t>
  </si>
  <si>
    <t>205010101</t>
  </si>
  <si>
    <t>205010201</t>
  </si>
  <si>
    <t>205020101</t>
  </si>
  <si>
    <t>205020201</t>
  </si>
  <si>
    <t>205020301</t>
  </si>
  <si>
    <t>302010101</t>
  </si>
  <si>
    <t>302020101</t>
  </si>
  <si>
    <t>302030101</t>
  </si>
  <si>
    <t>302050101</t>
  </si>
  <si>
    <t>302040101</t>
  </si>
  <si>
    <t>302040102</t>
  </si>
  <si>
    <t>302040103</t>
  </si>
  <si>
    <t>302040104</t>
  </si>
  <si>
    <t>302040105</t>
  </si>
  <si>
    <t>302040199</t>
  </si>
  <si>
    <t>Codice Azienda -------&gt;</t>
  </si>
  <si>
    <t>928</t>
  </si>
  <si>
    <t>inserire Anno solo nella prima cella</t>
  </si>
  <si>
    <t>inserire mese per esteso solo nella prima cella</t>
  </si>
  <si>
    <t>VOCE NUOVO MODELLO SP</t>
  </si>
  <si>
    <t>A.I.3.a) Diritti di brevetto e diritti di utilizzazione delle opere d'ingegno - derivanti dall'attività di ricerca</t>
  </si>
  <si>
    <t>A.I.3.b) F.do Amm.to diritti di brevetto e diritti di utilizzazione delle opere d'ingegno - derivanti dall'attività di ricerca</t>
  </si>
  <si>
    <t>A.I.3.d) F.do Amm.to diritti di brevetto e diritti di utilizzazione delle opere d'ingegno - altri</t>
  </si>
  <si>
    <t>AAA220</t>
  </si>
  <si>
    <t>A.I.6) Fondo Svalutazione immobilizzazioni immateriali</t>
  </si>
  <si>
    <t>A.II)IMMOBILIZZAZIONI MATERIALI</t>
  </si>
  <si>
    <t>A.II.1) Terreni</t>
  </si>
  <si>
    <t>AAA310</t>
  </si>
  <si>
    <t>A.II.2) Fabbricati</t>
  </si>
  <si>
    <t>A.II.2.b) Fabbricati strumentali (indisponibili)</t>
  </si>
  <si>
    <t>A.II.5) Mobili e arredi</t>
  </si>
  <si>
    <t>A.III)IMMOBILIZZAZIONI FINANZIARIE</t>
  </si>
  <si>
    <t>AAA650</t>
  </si>
  <si>
    <t>A.III.1) Crediti finanziari</t>
  </si>
  <si>
    <t>AAA700</t>
  </si>
  <si>
    <t>A.III.2) Titoli</t>
  </si>
  <si>
    <t>B) ATTIVO CIRCOLANTE</t>
  </si>
  <si>
    <t>B.I) RIMANENZE</t>
  </si>
  <si>
    <t>ABA010</t>
  </si>
  <si>
    <t>B.I.1) Rimanenze beni sanitari</t>
  </si>
  <si>
    <t>ABA110</t>
  </si>
  <si>
    <t>B.I.2) Rimanenze beni non sanitari</t>
  </si>
  <si>
    <t>ABA190</t>
  </si>
  <si>
    <t xml:space="preserve">B.II) CREDITI </t>
  </si>
  <si>
    <t>B.II.1) Crediti v/Stato</t>
  </si>
  <si>
    <t>B.II.1.j) Crediti v/Stato per ricerca</t>
  </si>
  <si>
    <t xml:space="preserve">B.II.1.j.3) Crediti v/Stato per ricerca - altre Amministrazioni centrali </t>
  </si>
  <si>
    <t>ABA350</t>
  </si>
  <si>
    <t>B.II.2) Crediti v/Regione o Provincia Autonoma</t>
  </si>
  <si>
    <t>B.II.2.a) Crediti v/Regione o Provincia Autonoma per spesa corrente</t>
  </si>
  <si>
    <t>B.II.2.a.2) Crediti v/Regione o Provincia Autonoma per mobilità attiva intraregionale</t>
  </si>
  <si>
    <t>B.II.2.a.3) Crediti v/Regione o Provincia Autonoma per mobilità attiva extraregionale</t>
  </si>
  <si>
    <t>B.II.2.a.5) Crediti v/Regione o Provincia Autonoma per finanziamento sanitario aggiuntivo corrente LEA</t>
  </si>
  <si>
    <t>B.II.2.a.6) Crediti v/Regione o Provincia Autonoma per finanziamento sanitario aggiuntivo corrente extra LEA</t>
  </si>
  <si>
    <t>B.II.2.b.1) Crediti v/Regione o Provincia Autonoma per finanziamenti per investimenti</t>
  </si>
  <si>
    <t>B.II.2.b.2) Crediti v/Regione o Provincia Autonoma per incremento fondo 
dotazione</t>
  </si>
  <si>
    <t>B.II.2.b.6) Crediti v/Regione o Provincia Autonoma per ricostituzione risorse da investimenti esercizi precedenti</t>
  </si>
  <si>
    <t>ABA540</t>
  </si>
  <si>
    <t>B.II.4) Crediti v/Aziende sanitarie pubbliche</t>
  </si>
  <si>
    <t>B.II.4.a.1) Crediti v/Aziende sanitarie pubbliche della Regione - per mobilità in compensazione</t>
  </si>
  <si>
    <t>ABA610</t>
  </si>
  <si>
    <t>B.II.5) Crediti v/società partecipate e/o enti dipendenti della Regione</t>
  </si>
  <si>
    <t>ABA660</t>
  </si>
  <si>
    <t>B.II.7) Crediti v/altri</t>
  </si>
  <si>
    <t>B.III) ATTIVITA' FINANZIARIE CHE NON COSTITUISCONO IMMOBILIZZAZIONI</t>
  </si>
  <si>
    <t>B.IV) DISPONIBILITA' LIQUIDE</t>
  </si>
  <si>
    <t>C) RATEI E RISCONTI ATTIVI</t>
  </si>
  <si>
    <t>C.II) RISCONTI ATTIVI</t>
  </si>
  <si>
    <t>AZZ999</t>
  </si>
  <si>
    <t>D) TOTALE ATTIVO</t>
  </si>
  <si>
    <t>E) CONTI D'ORDINE</t>
  </si>
  <si>
    <t>A) PATRIMONIO NETTO</t>
  </si>
  <si>
    <t>A.II.2) Finanziamenti da Stato per investimenti</t>
  </si>
  <si>
    <t>B) FONDI PER RISCHI E ONERI</t>
  </si>
  <si>
    <t>B.II) FONDI PER RISCHI</t>
  </si>
  <si>
    <t>B.IV.2) Quote inutilizzate contributi da Regione o Prov. Aut. per quota F.S. vincolato</t>
  </si>
  <si>
    <t>B.V) ALTRI FONDI PER ONERI E SPESE</t>
  </si>
  <si>
    <t>PBA220</t>
  </si>
  <si>
    <t>B.V.2) Fondi rinnovi contrattuali</t>
  </si>
  <si>
    <t xml:space="preserve">B.V.2.a) Fondo rinnovi contrattuali personale dipendente </t>
  </si>
  <si>
    <t>C) TRATTAMENTO FINE RAPPORTO</t>
  </si>
  <si>
    <t>D) DEBITI</t>
  </si>
  <si>
    <t>PDA150</t>
  </si>
  <si>
    <t>D.V.1) Debiti v/Aziende sanitarie pubbliche della Regione</t>
  </si>
  <si>
    <t>D.V.1.g) Debiti v/Aziende sanitarie pubbliche della Regione - altre prestazioni per STP</t>
  </si>
  <si>
    <t xml:space="preserve">D.V.2) Debiti v/Aziende sanitarie pubbliche Extraregione </t>
  </si>
  <si>
    <t>D.V.3) Debiti v/Aziende sanitarie pubbliche della Regione per versamenti c/patrimonio netto</t>
  </si>
  <si>
    <t xml:space="preserve">D.VII.1) Debiti verso erogatori (privati accreditati e convenzionati) di prestazioni sanitarie </t>
  </si>
  <si>
    <t>D.VII.2.b) note di credito da ricevere (altri fornitori)</t>
  </si>
  <si>
    <t>D.VIII) DEBITI V/ISTITUTO TESORIERE</t>
  </si>
  <si>
    <t>D.XI) DEBITI V/ALTRI</t>
  </si>
  <si>
    <t>E) RATEI E RISCONTI PASSIVI</t>
  </si>
  <si>
    <t>PEA010</t>
  </si>
  <si>
    <t>PZZ999</t>
  </si>
  <si>
    <t>F) TOTALE PASSIVO E PATRIMONIO NETTO</t>
  </si>
  <si>
    <t>G) CONTI D'ORDINE</t>
  </si>
  <si>
    <t>Grp. L1</t>
  </si>
  <si>
    <t>Grp. L2</t>
  </si>
  <si>
    <t>Grp. L3</t>
  </si>
  <si>
    <t>Grp. L4</t>
  </si>
  <si>
    <t>DESCRIZIONE</t>
  </si>
  <si>
    <t>APERTURE</t>
  </si>
  <si>
    <t>SALDO</t>
  </si>
  <si>
    <t>SALDO MOV</t>
  </si>
  <si>
    <t>CHIUSURE</t>
  </si>
  <si>
    <t>TOT. SALDO</t>
  </si>
  <si>
    <t>DARE</t>
  </si>
  <si>
    <t>AVERE</t>
  </si>
  <si>
    <t>1.01</t>
  </si>
  <si>
    <t>1.01.01</t>
  </si>
  <si>
    <t>1.01.01.01</t>
  </si>
  <si>
    <t>COSTI DI IMPIANTO E DI AMPLIAMENTO (AL NETTO DEL F.DO AMM.TO)</t>
  </si>
  <si>
    <t>1.01.01.02</t>
  </si>
  <si>
    <t>1.01.01.03</t>
  </si>
  <si>
    <t>1.01.01.04</t>
  </si>
  <si>
    <t>1.01.01.05</t>
  </si>
  <si>
    <t>1.01.01.06</t>
  </si>
  <si>
    <t>1.01.01.07</t>
  </si>
  <si>
    <t>1.01.01.08</t>
  </si>
  <si>
    <t>1.01.01.09</t>
  </si>
  <si>
    <t>1.01.02</t>
  </si>
  <si>
    <t>1.01.02.01</t>
  </si>
  <si>
    <t>1.01.02.02</t>
  </si>
  <si>
    <t>1.01.02.03</t>
  </si>
  <si>
    <t>1.01.02.04</t>
  </si>
  <si>
    <t>1.01.02.05</t>
  </si>
  <si>
    <t>1.01.02.06</t>
  </si>
  <si>
    <t>1.01.02.07</t>
  </si>
  <si>
    <t>1.01.02.08</t>
  </si>
  <si>
    <t>1.01.02.09</t>
  </si>
  <si>
    <t>1.01.02.10</t>
  </si>
  <si>
    <t>1.01.02.11</t>
  </si>
  <si>
    <t>1.01.03</t>
  </si>
  <si>
    <t>1.01.03.01</t>
  </si>
  <si>
    <t>1.01.03.02</t>
  </si>
  <si>
    <t>1.01.03.03</t>
  </si>
  <si>
    <t>1.01.03.04</t>
  </si>
  <si>
    <t>1.01.03.05</t>
  </si>
  <si>
    <t>1.01.03.06</t>
  </si>
  <si>
    <t>1.02</t>
  </si>
  <si>
    <t>1.02.01</t>
  </si>
  <si>
    <t>1.02.01.01</t>
  </si>
  <si>
    <t>1.02.01.02</t>
  </si>
  <si>
    <t>1.02.01.03</t>
  </si>
  <si>
    <t>1.02.01.04</t>
  </si>
  <si>
    <t>1.02.01.05</t>
  </si>
  <si>
    <t>1.02.01.06</t>
  </si>
  <si>
    <t>1.02.01.07</t>
  </si>
  <si>
    <t>1.02.01.08</t>
  </si>
  <si>
    <t>1.02.01.09</t>
  </si>
  <si>
    <t>1.02.01.10</t>
  </si>
  <si>
    <t>1.02.01.11</t>
  </si>
  <si>
    <t>1.02.01.12</t>
  </si>
  <si>
    <t>1.02.01.13</t>
  </si>
  <si>
    <t>1.02.01.14</t>
  </si>
  <si>
    <t>1.02.01.15</t>
  </si>
  <si>
    <t>1.02.01.16</t>
  </si>
  <si>
    <t>1.02.02</t>
  </si>
  <si>
    <t>1.02.02.01</t>
  </si>
  <si>
    <t>1.02.02.02</t>
  </si>
  <si>
    <t>1.02.02.03</t>
  </si>
  <si>
    <t>1.02.02.04</t>
  </si>
  <si>
    <t>1.02.02.05</t>
  </si>
  <si>
    <t>1.02.02.06</t>
  </si>
  <si>
    <t>1.02.02.07</t>
  </si>
  <si>
    <t>1.02.02.08</t>
  </si>
  <si>
    <t>1.02.02.09</t>
  </si>
  <si>
    <t>1.02.02.10</t>
  </si>
  <si>
    <t>1.02.02.11</t>
  </si>
  <si>
    <t>1.02.02.12</t>
  </si>
  <si>
    <t>1.02.02.13</t>
  </si>
  <si>
    <t>1.02.02.14</t>
  </si>
  <si>
    <t>1.02.02.15</t>
  </si>
  <si>
    <t>1.02.02.16</t>
  </si>
  <si>
    <t>1.02.02.17</t>
  </si>
  <si>
    <t>1.02.02.18</t>
  </si>
  <si>
    <t>1.02.02.19</t>
  </si>
  <si>
    <t>1.02.02.20</t>
  </si>
  <si>
    <t>1.02.02.21</t>
  </si>
  <si>
    <t>1.02.02.22</t>
  </si>
  <si>
    <t>1.02.02.23</t>
  </si>
  <si>
    <t>1.02.02.24</t>
  </si>
  <si>
    <t>1.02.02.25</t>
  </si>
  <si>
    <t>1.02.02.26</t>
  </si>
  <si>
    <t>1.02.02.27</t>
  </si>
  <si>
    <t>1.02.02.28</t>
  </si>
  <si>
    <t>1.02.02.29</t>
  </si>
  <si>
    <t>1.02.02.30</t>
  </si>
  <si>
    <t>1.02.02.31</t>
  </si>
  <si>
    <t>1.02.02.32</t>
  </si>
  <si>
    <t>1.02.03</t>
  </si>
  <si>
    <t>1.02.03.01</t>
  </si>
  <si>
    <t>PARTECIPAZIONI CHE NON COSTITUISCONO IMMOBILIZZAZIONI</t>
  </si>
  <si>
    <t>1.02.03.02</t>
  </si>
  <si>
    <t>1.02.04</t>
  </si>
  <si>
    <t>1.02.04.01</t>
  </si>
  <si>
    <t>1.02.04.02</t>
  </si>
  <si>
    <t>1.02.04.03</t>
  </si>
  <si>
    <t>1.02.04.04</t>
  </si>
  <si>
    <t>1.03</t>
  </si>
  <si>
    <t>1.03.01</t>
  </si>
  <si>
    <t>1.03.01.01</t>
  </si>
  <si>
    <t>1.03.01.02</t>
  </si>
  <si>
    <t>1.03.02</t>
  </si>
  <si>
    <t>1.03.02.01</t>
  </si>
  <si>
    <t>1.03.02.02</t>
  </si>
  <si>
    <t>2.01</t>
  </si>
  <si>
    <t>2.01.06</t>
  </si>
  <si>
    <t>2.01.06.01</t>
  </si>
  <si>
    <t>2.01.01</t>
  </si>
  <si>
    <t>2.01.01.01</t>
  </si>
  <si>
    <t>2.01.02</t>
  </si>
  <si>
    <t>2.01.02.01</t>
  </si>
  <si>
    <t>2.01.02.02</t>
  </si>
  <si>
    <t>2.01.02.03</t>
  </si>
  <si>
    <t>2.01.02.04</t>
  </si>
  <si>
    <t>2.01.02.05</t>
  </si>
  <si>
    <t>FINANZIAMENTI DA REGIONE PER INVESTIMENTI</t>
  </si>
  <si>
    <t>2.01.02.06</t>
  </si>
  <si>
    <t>2.01.02.07</t>
  </si>
  <si>
    <t>FINANZIAMENTI PER INVESTIMENTI DA RETTIFICA CONTRIBUTI IN CONTO ESERCIZIO</t>
  </si>
  <si>
    <t>2.01.03</t>
  </si>
  <si>
    <t>2.01.03.01</t>
  </si>
  <si>
    <t>2.01.03.01.0124</t>
  </si>
  <si>
    <t>RISERVE DA DONAZIONI E LASCITI VINCOLATI AD INVESTIMENTI ANNO 2025</t>
  </si>
  <si>
    <t>2.01.04</t>
  </si>
  <si>
    <t>2.01.04.01</t>
  </si>
  <si>
    <t>2.01.04.02</t>
  </si>
  <si>
    <t>2.01.04.03</t>
  </si>
  <si>
    <t>2.01.04.04</t>
  </si>
  <si>
    <t>2.01.04.05</t>
  </si>
  <si>
    <t>2.01.05</t>
  </si>
  <si>
    <t>2.01.05.01</t>
  </si>
  <si>
    <t>2.01.05.02</t>
  </si>
  <si>
    <t>2.01.05.03</t>
  </si>
  <si>
    <t>ALTRO</t>
  </si>
  <si>
    <t>2.01.07</t>
  </si>
  <si>
    <t>2.01.07.01</t>
  </si>
  <si>
    <t>2.02</t>
  </si>
  <si>
    <t>2.02.01</t>
  </si>
  <si>
    <t>2.02.01.01</t>
  </si>
  <si>
    <t>2.02.02</t>
  </si>
  <si>
    <t>2.02.02.01</t>
  </si>
  <si>
    <t>2.02.02.02</t>
  </si>
  <si>
    <t>2.02.02.03</t>
  </si>
  <si>
    <t>2.02.02.04</t>
  </si>
  <si>
    <t>2.02.02.05</t>
  </si>
  <si>
    <t>2.02.02.06</t>
  </si>
  <si>
    <t>2.02.02.07</t>
  </si>
  <si>
    <t>2.02.03</t>
  </si>
  <si>
    <t>2.02.03.01</t>
  </si>
  <si>
    <t>2.02.03.02</t>
  </si>
  <si>
    <t>2.02.03.03</t>
  </si>
  <si>
    <t>2.02.03.04</t>
  </si>
  <si>
    <t>2.02.03.05</t>
  </si>
  <si>
    <t>2.02.03.06</t>
  </si>
  <si>
    <t>2.02.03.07</t>
  </si>
  <si>
    <t>2.02.03.08</t>
  </si>
  <si>
    <t>2.02.04</t>
  </si>
  <si>
    <t>2.02.04.01</t>
  </si>
  <si>
    <t>QUOTE INUTILIZZATE CONTRIBUTI DA REGIONE O PROV. AUT. PER QUOTA F.S. VINCOLATO</t>
  </si>
  <si>
    <t>2.02.04.01.0101</t>
  </si>
  <si>
    <t>2.02.04.02</t>
  </si>
  <si>
    <t>2.02.04.03</t>
  </si>
  <si>
    <t>2.02.04.04</t>
  </si>
  <si>
    <t>2.02.04.05</t>
  </si>
  <si>
    <t>2.02.05</t>
  </si>
  <si>
    <t>2.02.05.01</t>
  </si>
  <si>
    <t>2.02.05.02</t>
  </si>
  <si>
    <t>2.02.05.03</t>
  </si>
  <si>
    <t>2.02.05.04</t>
  </si>
  <si>
    <t>2.02.05.05</t>
  </si>
  <si>
    <t>2.02.05.06</t>
  </si>
  <si>
    <t>2.03</t>
  </si>
  <si>
    <t>2.03.01</t>
  </si>
  <si>
    <t>2.03.01.01</t>
  </si>
  <si>
    <t>2.03.02</t>
  </si>
  <si>
    <t>2.03.02.01</t>
  </si>
  <si>
    <t>2.03.03</t>
  </si>
  <si>
    <t>2.03.03.01</t>
  </si>
  <si>
    <t>2.04</t>
  </si>
  <si>
    <t>2.04.01</t>
  </si>
  <si>
    <t>2.04.01.01</t>
  </si>
  <si>
    <t>2.04.02</t>
  </si>
  <si>
    <t>2.04.02.01</t>
  </si>
  <si>
    <t>DEBITI V/STATO PER MOBILITA' PASSIVA EXTRAREGIONALE</t>
  </si>
  <si>
    <t>2.04.02.02</t>
  </si>
  <si>
    <t>DEBITI V/STATO PER MOBILITA' PASSIVA INTERNAZIONALE</t>
  </si>
  <si>
    <t>2.04.02.03</t>
  </si>
  <si>
    <t>2.04.02.04</t>
  </si>
  <si>
    <t>2.04.02.05</t>
  </si>
  <si>
    <t>2.04.03</t>
  </si>
  <si>
    <t>2.04.03.01</t>
  </si>
  <si>
    <t>DEBITI V/REGIONE O PROVINCIA AUTONOMA PER FINANZIAMENTI</t>
  </si>
  <si>
    <t>2.04.03.02</t>
  </si>
  <si>
    <t>DEBITI V/REGIONE O PROVINCIA AUTONOMA PER MOBILITA' PASSIVA INTRAREGIONALE</t>
  </si>
  <si>
    <t>2.04.03.03</t>
  </si>
  <si>
    <t>DEBITI V/REGIONE O PROVINCIA AUTONOMA PER MOBILITA' PASSIVA EXTRAREGIONALE</t>
  </si>
  <si>
    <t>2.04.03.04</t>
  </si>
  <si>
    <t>2.04.03.05</t>
  </si>
  <si>
    <t>2.04.03.06</t>
  </si>
  <si>
    <t>2.04.03.07</t>
  </si>
  <si>
    <t>2.04.03.08</t>
  </si>
  <si>
    <t>2.04.03.09</t>
  </si>
  <si>
    <t>2.04.03.10</t>
  </si>
  <si>
    <t>2.04.03.11</t>
  </si>
  <si>
    <t>2.04.04</t>
  </si>
  <si>
    <t>2.04.04.01</t>
  </si>
  <si>
    <t>2.04.05</t>
  </si>
  <si>
    <t>2.04.05.01</t>
  </si>
  <si>
    <t>2.04.05.02</t>
  </si>
  <si>
    <t>2.04.05.03</t>
  </si>
  <si>
    <t>2.04.05.04</t>
  </si>
  <si>
    <t>2.04.05.05</t>
  </si>
  <si>
    <t>2.04.05.06</t>
  </si>
  <si>
    <t>2.04.05.07</t>
  </si>
  <si>
    <t>2.04.05.08</t>
  </si>
  <si>
    <t>DEBITI V/AZIENDE SANITARIE PUBBLICHE DELLA REGIONE PER VERSAMENTI C/PATRIMONIO NETTO</t>
  </si>
  <si>
    <t>2.04.05.08.0101</t>
  </si>
  <si>
    <t>2.04.05.09</t>
  </si>
  <si>
    <t>2.04.05.10</t>
  </si>
  <si>
    <t>2.04.05.11</t>
  </si>
  <si>
    <t>2.04.06</t>
  </si>
  <si>
    <t>2.04.06.01</t>
  </si>
  <si>
    <t>2.04.06.02</t>
  </si>
  <si>
    <t>2.04.06.03</t>
  </si>
  <si>
    <t>2.04.07</t>
  </si>
  <si>
    <t>2.04.07.01</t>
  </si>
  <si>
    <t>DEBITI VERSO EROGATORI (PRIVATI ACCREDITATI E CONVENZIONATI) DI PRESTAZIONI SANITARIE</t>
  </si>
  <si>
    <t>2.04.07.02</t>
  </si>
  <si>
    <t>DEBITI VERSO ALTRI FORNITORI</t>
  </si>
  <si>
    <t>2.04.08</t>
  </si>
  <si>
    <t>2.04.08.01</t>
  </si>
  <si>
    <t>2.04.09</t>
  </si>
  <si>
    <t>2.04.09.01</t>
  </si>
  <si>
    <t>2.04.10</t>
  </si>
  <si>
    <t>2.04.10.01</t>
  </si>
  <si>
    <t>2.04.11</t>
  </si>
  <si>
    <t>2.04.11.01</t>
  </si>
  <si>
    <t>2.04.11.02</t>
  </si>
  <si>
    <t>2.04.11.03</t>
  </si>
  <si>
    <t>2.04.11.04</t>
  </si>
  <si>
    <t>2.04.11.05</t>
  </si>
  <si>
    <t>2.04.11.05.0301</t>
  </si>
  <si>
    <t>2.04.11.05.0302</t>
  </si>
  <si>
    <t>2.04.11.05.0303</t>
  </si>
  <si>
    <t>2.04.11.05.0304</t>
  </si>
  <si>
    <t>2.04.11.05.0305</t>
  </si>
  <si>
    <t>2.04.11.05.0601</t>
  </si>
  <si>
    <t>NOTE DI CREDITO DA EMETTERE</t>
  </si>
  <si>
    <t>2.04.11.05.0602</t>
  </si>
  <si>
    <t>NOTE CREDITO DA EMETTERE ANNO 2016</t>
  </si>
  <si>
    <t>2.04.11.05.0603</t>
  </si>
  <si>
    <t>NOTE DI CREDITO DA EMETTERE ANNO 2017</t>
  </si>
  <si>
    <t>2.04.11.05.0604</t>
  </si>
  <si>
    <t>NOTE DI CREDITO DA EMETTERE ANNO 2018</t>
  </si>
  <si>
    <t>2.05</t>
  </si>
  <si>
    <t>2.05.01</t>
  </si>
  <si>
    <t>2.05.01.01</t>
  </si>
  <si>
    <t>2.05.01.01.0201</t>
  </si>
  <si>
    <t>RATEI PASSIVI V/AZIENDE SANITARIE PUBBLICHE DELLA REGIONE</t>
  </si>
  <si>
    <t>2.05.01.02</t>
  </si>
  <si>
    <t>2.05.02</t>
  </si>
  <si>
    <t>2.05.02.01</t>
  </si>
  <si>
    <t>2.05.02.02</t>
  </si>
  <si>
    <t>RISCONTI PASSIVI V/AZIENDE SANITARIE PUBBLICHE DELLA REGIONE</t>
  </si>
  <si>
    <t>2.05.02.03</t>
  </si>
  <si>
    <t>3.01</t>
  </si>
  <si>
    <t>3.01.01</t>
  </si>
  <si>
    <t>3.01.01.01</t>
  </si>
  <si>
    <t>3.01.02</t>
  </si>
  <si>
    <t>3.01.02.01</t>
  </si>
  <si>
    <t>3.01.03</t>
  </si>
  <si>
    <t>3.01.03.01</t>
  </si>
  <si>
    <t>3.01.04</t>
  </si>
  <si>
    <t>3.01.04.01</t>
  </si>
  <si>
    <t>3.01.05</t>
  </si>
  <si>
    <t>3.01.05.01</t>
  </si>
  <si>
    <t>3.02</t>
  </si>
  <si>
    <t>3.02.01</t>
  </si>
  <si>
    <t>3.02.01.01</t>
  </si>
  <si>
    <t>3.02.02</t>
  </si>
  <si>
    <t>3.02.02.01</t>
  </si>
  <si>
    <t>3.02.03</t>
  </si>
  <si>
    <t>3.02.03.01</t>
  </si>
  <si>
    <t>3.02.04</t>
  </si>
  <si>
    <t>3.02.04.01</t>
  </si>
  <si>
    <t>ALTRI CONTRI D'ORDINE</t>
  </si>
  <si>
    <t>3.02.05</t>
  </si>
  <si>
    <t>3.02.05.01</t>
  </si>
  <si>
    <t>4.01</t>
  </si>
  <si>
    <t>4.01.01</t>
  </si>
  <si>
    <t>CONTRIBUTI DA REGIONE PER QUOTA F.S. REGIONALE</t>
  </si>
  <si>
    <t>4.01.01.01</t>
  </si>
  <si>
    <t>CONTRIBUTI DA REGIONE PER QUOTA F.S. REGIONALE INDISTINTO</t>
  </si>
  <si>
    <t>4.01.01.01.0201</t>
  </si>
  <si>
    <t>QUOTA F.S. REGIONALE INDISTINTO - FUNZIONI NON TARIFFATE</t>
  </si>
  <si>
    <t>4.01.01.01.0202</t>
  </si>
  <si>
    <t>QUOTA F.S. REGIONALE INDISTINTO OBIETTIVI STRATEGICI</t>
  </si>
  <si>
    <t>4.01.01.01.0203</t>
  </si>
  <si>
    <t>QUOTA F.S. REGIONALE INDISTINTO  ALTRE FUNZIONI FILE T</t>
  </si>
  <si>
    <t>4.01.01.01.0204</t>
  </si>
  <si>
    <t>QUOTA F.S. REGIONALE INDISTINTO -  ALTRE FUNZIONI</t>
  </si>
  <si>
    <t>4.01.01.01.0205</t>
  </si>
  <si>
    <t>4.01.01.01.0206</t>
  </si>
  <si>
    <t>QUOTA F.S. REGIONALE INDISTINTO - ALTRE FUNZIONI APPLICAZIONE ART.29 DECRETO 118/2011</t>
  </si>
  <si>
    <t>4.01.01.01.0207</t>
  </si>
  <si>
    <t>QUOTA F.S. REGIONALE INDISTINTO ALTRE FUNZION COMPENSAZIONE DISTRIBUZIONE 1°CICLO TERAPEUTICO</t>
  </si>
  <si>
    <t>4.01.01.01.0208</t>
  </si>
  <si>
    <t>QUOTA F.S. REGIONALE INDISTINTO ALTRE FUNZION COPERTURA PERDITA NEGOZIATA</t>
  </si>
  <si>
    <t>4.01.01.01.0302</t>
  </si>
  <si>
    <t>QUOTA F.S. REGIONALE INDISTINTO - QUOTE "FINALIZZATE" MULTISERVIZI</t>
  </si>
  <si>
    <t>4.01.01.01.0303</t>
  </si>
  <si>
    <t>QUOTA F.S. REGIONALE INDISTINTO - QUOTE "FINALIZZATE" SUES 118</t>
  </si>
  <si>
    <t>4.01.01.01.0304</t>
  </si>
  <si>
    <t>ALTRI CONTRIBU FINALIZZATI CONNESSIA SPESE FUTURE</t>
  </si>
  <si>
    <t>4.01.01.01.0305</t>
  </si>
  <si>
    <t>QUOTA F.S. REGIONALE INDISTINTO - QUOTE "FINALIZZATE DECRETO ASSESSORIALE 6 GIUGNO 2003</t>
  </si>
  <si>
    <t>4.01.01.01.0307</t>
  </si>
  <si>
    <t>C.O. SEUS 118 CONTRIB. C/ANTICIPO XONERI GESTIONE  COMP. FUTURE</t>
  </si>
  <si>
    <t>4.01.01.01.0308</t>
  </si>
  <si>
    <t>QUOTA F.S. REGIONALE INDISTINTO - FUNZIONI PRONTO SOCCORSO</t>
  </si>
  <si>
    <t>4.01.01.02</t>
  </si>
  <si>
    <t>CONTRIBUTI DA REGIONE PER QUOTA F.S. REGIONALE VINCOLATO</t>
  </si>
  <si>
    <t>4.01.01.02.0102</t>
  </si>
  <si>
    <t>CONTRIBUTO DA REGIONE PER QUOTA EXTRACOMUNITARI IRREGOLARI L. 40/98</t>
  </si>
  <si>
    <t>4.01.01.02.0103</t>
  </si>
  <si>
    <t>QUOTA PER FONDO ESCLUSIVITA' L. 488 - QUOTA STATO</t>
  </si>
  <si>
    <t>4.01.01.02.0104</t>
  </si>
  <si>
    <t>RIMBORSO UNITA' DI SANGUE TRASFUSO IN REGIME DI DAY HOSPITAL  EX D.A. 6 GIUGNO 2003</t>
  </si>
  <si>
    <t>4.01.01.02.0105</t>
  </si>
  <si>
    <t>REGISTRO TUMORI</t>
  </si>
  <si>
    <t>4.01.01.02.0106</t>
  </si>
  <si>
    <t>4.01.01.02.0107</t>
  </si>
  <si>
    <t>4.01.01.02.9903</t>
  </si>
  <si>
    <t>4.01.02</t>
  </si>
  <si>
    <t>CONTRIBUTI C/ESERCIZIO (EXTRA FONDO)</t>
  </si>
  <si>
    <t>4.01.02.01</t>
  </si>
  <si>
    <t>CONTRIBUTI DA REGIONE (EXTRA FONDO)</t>
  </si>
  <si>
    <t>4.01.02.02</t>
  </si>
  <si>
    <t>CONTRIBUTI DA AZIENDE SANITARIE PUBBLICHE DELLA REGIONE O PROV. AUT. (EXTRA FONDO)</t>
  </si>
  <si>
    <t>4.01.02.03</t>
  </si>
  <si>
    <t>CONTRIBUTI DA MINISTERO DELLA SALUTE E DA ALTRI SOGGETTI PUBBLICI (EXTRA FONDO)</t>
  </si>
  <si>
    <t>4.01.02.03.0102</t>
  </si>
  <si>
    <t>4.01.03</t>
  </si>
  <si>
    <t>CONTRIBUTI C/ESERCIZIO PER RICERCA</t>
  </si>
  <si>
    <t>4.01.03.01</t>
  </si>
  <si>
    <t>4.01.03.02</t>
  </si>
  <si>
    <t>4.01.03.03</t>
  </si>
  <si>
    <t>4.01.03.04</t>
  </si>
  <si>
    <t>4.01.04</t>
  </si>
  <si>
    <t>4.01.04.01</t>
  </si>
  <si>
    <t>4.02</t>
  </si>
  <si>
    <t>RETTIFICA CONTRIBUTI C/ESERCIZIO PER DESTINAZIONE AD INVESTIMENTI</t>
  </si>
  <si>
    <t>4.02.01</t>
  </si>
  <si>
    <t>RETTIFICA CONTRIBUTI IN C/ESERCIZIO PER DESTINAZIONE AD INVESTIMENTI - DA REGIONE PER QUOTA F.S. REGIONALE</t>
  </si>
  <si>
    <t>4.02.01.01</t>
  </si>
  <si>
    <t>4.02.02</t>
  </si>
  <si>
    <t>4.02.02.01</t>
  </si>
  <si>
    <t>4.03</t>
  </si>
  <si>
    <t>UTILIZZO FONDI PER QUOTE INUTILIZZATE CONTRIBUTI VINCOLATI DI ESERCIZI PRECEDENTI</t>
  </si>
  <si>
    <t>4.03.01</t>
  </si>
  <si>
    <t>UTILIZZO FONDI PER QUOTE INUTILIZZATE CONTRIBUTI DI ESERCIZI PRECEDENTI DA REGIONE PER QUOTA F.S. REGIONALE VINCOLATO</t>
  </si>
  <si>
    <t>4.03.01.01</t>
  </si>
  <si>
    <t>4.03.01.01.0101</t>
  </si>
  <si>
    <t>UTILIZZO FONDI PER QUOTE INUTILIZZATE CONTRIBUTI DI ESERCIZI PRECEDENTI DA REGIONE PER FONDO SANITARIO "FINALIZZATO"</t>
  </si>
  <si>
    <t>4.03.01.01.0102</t>
  </si>
  <si>
    <t>UTILIZZO FONDI PER QUOTE INUTILIZZATE CONTRIBUTI DI ESERCIZI PRECEDENTI DA REGIONE PER QUOTA RINNOVO CONVENZIONI L 133/08</t>
  </si>
  <si>
    <t>4.03.01.01.0103</t>
  </si>
  <si>
    <t>UTILIZZO FONDI PER QUOTE INUTILIZZATE CONTRIBUTI DI ESERCIZI PRECEDENTI DA REGIONE PER QUOTA EMERSIONE EXTRACOMUNITARI L 102/09</t>
  </si>
  <si>
    <t>4.03.01.01.0104</t>
  </si>
  <si>
    <t>UTILIZZO FONDI PER QUOTE INUTILIZZATE CONTRIBUTI DI ESERCIZI PRECEDENTI DA REGIONE PER QUOTA MEDICINA PENITENZIARIA DLVO 230/99</t>
  </si>
  <si>
    <t>4.03.01.01.0105</t>
  </si>
  <si>
    <t>UTILIZZO FONDI PER QUOTE INUTILIZZATE CONTRIBUTI DI ESERCIZI PRECEDENTI DA REGIONE PER QUOTA HANSENIANI L 31/86</t>
  </si>
  <si>
    <t>4.03.01.01.0106</t>
  </si>
  <si>
    <t>UTILIZZO FONDI PER QUOTE INUTILIZZATE CONTRIBUTI DI ESERCIZI PRECEDENTI DA REGIONE PER QUOTA FIBROSI CISTICA L 362/98</t>
  </si>
  <si>
    <t>4.03.01.01.0107</t>
  </si>
  <si>
    <t>UTILIZZO FONDI PER QUOTE INUTILIZZATE CONTRIBUTI DI ESERCIZI PRECEDENTI DA REGIONE PER QUOTA EXTRACOMUNITARI IRREGOLARI L 40/98</t>
  </si>
  <si>
    <t>4.03.01.01.0108</t>
  </si>
  <si>
    <t>UTILIZZO FONDI PER QUOTE INUTILIZZATE CONTRIBUTI DI ESERCIZI PRECEDENTI DA REGIONE PER QUOTA FONDO ESCLUSIVITA L 488/99</t>
  </si>
  <si>
    <t>4.03.01.01.0109</t>
  </si>
  <si>
    <t>UTILIZZO FONDI PER QUOTE INUTILIZZATE CONTRIBUTI DI ESERCIZI PRECEDENTI DA REGIONE PER QUOTA BORSE STUDIO MMG L 109/88</t>
  </si>
  <si>
    <t>4.03.01.01.0110</t>
  </si>
  <si>
    <t>UTILIZZO FONDI PER QUOTE INUTILIZZATE CONTRIBUTI DI ESERCIZI PRECEDENTI DA REGIONE PER QUOTA VETERINARIA L 218/88</t>
  </si>
  <si>
    <t>4.03.01.01.0111</t>
  </si>
  <si>
    <t>UTILIZZO FONDI PER QUOTE INUTILIZZATE CONTRIBUTI DI ESERCIZI PRECEDENTI DA REGIONE PER QUOTA AIDS L 135/90</t>
  </si>
  <si>
    <t>4.03.02</t>
  </si>
  <si>
    <t>4.03.02.01</t>
  </si>
  <si>
    <t>4.03.03</t>
  </si>
  <si>
    <t>4.03.03.01</t>
  </si>
  <si>
    <t>4.03.04</t>
  </si>
  <si>
    <t>4.03.04.01</t>
  </si>
  <si>
    <t>4.03.05</t>
  </si>
  <si>
    <t>4.03.05.01</t>
  </si>
  <si>
    <t>4.04</t>
  </si>
  <si>
    <t>RICAVI PER PRESTAZIONI SANITARIE E SOCIOSANITARIE A RILEVANZA SANITARIA</t>
  </si>
  <si>
    <t>4.04.01</t>
  </si>
  <si>
    <t>RICAVI PER PRESTAZIONI SANITARIE E SOCIOSANITARIE A RILEVANZA SANITARIA EROGATE A SOGGETTI PUBBLICI</t>
  </si>
  <si>
    <t>4.04.01.01</t>
  </si>
  <si>
    <t>PRESTAZIONI. SANITARIE E SOCIOSANITARIE A RILEVANZA SANITARIA EROGATE AD AZIENDE SANITARIE PUBBLICHE DELLA REGIONE</t>
  </si>
  <si>
    <t>4.04.01.01.0302</t>
  </si>
  <si>
    <t>PRESTAZIONI DI PRONTO SOCCORSO NON SEGUITE DA RICOVERO (REGIONE)</t>
  </si>
  <si>
    <t>4.04.01.01.0602</t>
  </si>
  <si>
    <t>PRESTAZIONI FILE T</t>
  </si>
  <si>
    <t>4.04.01.02</t>
  </si>
  <si>
    <t>PRESTAZIONI SANITARIE E SOCIOSANITARIE A RILEVANZA SANITARIA EROGATE AD ALTRI SOGGETTI PUBBLICI</t>
  </si>
  <si>
    <t>4.04.01.03</t>
  </si>
  <si>
    <t>PRESTAZIONI SANITARIE E SOCIOSANITARIE A RILEVANZA SANITARIA EROGATE A SOGGETTI PUBBLICI EXTRAREGIONE</t>
  </si>
  <si>
    <t>4.04.01.03.0402</t>
  </si>
  <si>
    <t>PRESTAZIONI RELATIVE ALL'EROGAZIONE DEI FARMACI IN REGIME DI FILE T EXTRAREGIONE</t>
  </si>
  <si>
    <t>4.04.01.03.0901</t>
  </si>
  <si>
    <t>CESSIONE, FARMACI, EMODERIVATI ED EMOCOMPONENTI  -  EXTRAREGIONE</t>
  </si>
  <si>
    <t>4.04.02</t>
  </si>
  <si>
    <t>RICAVI PER PRESTAZIONI SANITARIE E SOCIOSANITARIE A RILEVANZA SANITARIA EROGATE DA PRIVATI V/RESIDENTI EXTRAREGIONE IN COMPENSAZIONE (MOBILI</t>
  </si>
  <si>
    <t>4.04.02.01</t>
  </si>
  <si>
    <t>4.04.02.02</t>
  </si>
  <si>
    <t>4.04.02.03</t>
  </si>
  <si>
    <t>4.04.02.04</t>
  </si>
  <si>
    <t>ALTRE PRESTAZIONI SANITARIE E SOCIOSANITARIE A RILEVANZA SANITARIA EROGATE DA PRIVATI V/RESIDENTI EXTRAREGIONE IN COMPENSAZIONE (MOBILITA' A</t>
  </si>
  <si>
    <t>4.04.02.05</t>
  </si>
  <si>
    <t>4.04.03</t>
  </si>
  <si>
    <t>RICAVI PER PRESTAZIONI SANITARIE E SOCIOSANITARIE A RILEVANZA SANITARIA EROGATE A PRIVATI</t>
  </si>
  <si>
    <t>4.04.03.01</t>
  </si>
  <si>
    <t>PRESTAZIONI SANITARIE E SOCIOSANITARIE A RILEVANZA SANITARIA EROGATE A PRIVATI</t>
  </si>
  <si>
    <t>4.04.03.01.0601</t>
  </si>
  <si>
    <t>PROVENTI PER RILASCIO CERTIFICAZIONI DA SUES 118</t>
  </si>
  <si>
    <t>4.04.04</t>
  </si>
  <si>
    <t>RICAVI PER PRESTAZIONI SANITARIE EROGATE IN REGIME DI INTRAMOENIA</t>
  </si>
  <si>
    <t>4.04.04.01</t>
  </si>
  <si>
    <t>PRESTAZIONI SANITARIE INTRAMOENIA - AREA OSPEDALIERA</t>
  </si>
  <si>
    <t>4.04.04.02</t>
  </si>
  <si>
    <t>PRESTAZIONI SANITARIE INTRAMOENIA - AREA SPECIALISTICA</t>
  </si>
  <si>
    <t>4.04.04.03</t>
  </si>
  <si>
    <t>PRESTAZIONI SANITARIE INTRAMOENIA - AREA SANITA' PUBBLICA</t>
  </si>
  <si>
    <t>4.04.04.04</t>
  </si>
  <si>
    <t>PRESTAZIONI SANITARIE INTRAMOENIA - CONSULENZE (EX ART. 55 C. 1 LETT. C), D) ED EX ART. 57-58)</t>
  </si>
  <si>
    <t>4.04.04.05</t>
  </si>
  <si>
    <t>PRESTAZIONI SANITARIE INTRAMOENIA - CONSULENZE (EX ART. 55 C. 1 LETT. C), D) ED EX ART. 57-58) (AZIENDE SANITARIE PUBBLICHE DELLA REGIONE)</t>
  </si>
  <si>
    <t>4.04.04.06</t>
  </si>
  <si>
    <t>PRESTAZIONI SANITARIE INTRAMOENIA - ALTRO</t>
  </si>
  <si>
    <t>4.04.04.07</t>
  </si>
  <si>
    <t>PRESTAZIONI SANITARIE INTRAMOENIA - ALTRO (AZIENDE SANITARIE PUBBLICHE DELLA REGIONE)</t>
  </si>
  <si>
    <t>4.05</t>
  </si>
  <si>
    <t>CONCORSI, RECUPERI E RIMBORSI</t>
  </si>
  <si>
    <t>4.05.01</t>
  </si>
  <si>
    <t>4.05.01.01</t>
  </si>
  <si>
    <t>4.05.02</t>
  </si>
  <si>
    <t>CONCORSI, RECUPERI E RIMBORSI DA REGIONE</t>
  </si>
  <si>
    <t>4.05.02.01</t>
  </si>
  <si>
    <t>4.05.02.02</t>
  </si>
  <si>
    <t>4.05.03</t>
  </si>
  <si>
    <t>CONCORSI, RECUPERI E RIMBORSI DA AZIENDE SANITARIE PUBBLICHE DELLA REGIONE</t>
  </si>
  <si>
    <t>4.05.03.01</t>
  </si>
  <si>
    <t>RIMBORSO DEGLI ONERI STIPENDIALI DEL PERSONALE DIPENDENTE DELL'AZIENDA IN POSIZIONE DI COMANDO PRESSO AZIENDE SANITARIE PUBBLICHE DELLA REGI</t>
  </si>
  <si>
    <t>4.05.03.02</t>
  </si>
  <si>
    <t>4.05.03.03</t>
  </si>
  <si>
    <t>4.05.03.04</t>
  </si>
  <si>
    <t>4.05.04</t>
  </si>
  <si>
    <t>CONCORSI, RECUPERI E RIMBORSI DA ALTRI SOGGETTI PUBBLICI</t>
  </si>
  <si>
    <t>4.05.04.01</t>
  </si>
  <si>
    <t>4.05.04.01.0201</t>
  </si>
  <si>
    <t>PAY-BACK PER IL SUPERAMENTO DEL TETTO DELLA SPESA FARMACEUTICA OSPEDALIERA</t>
  </si>
  <si>
    <t>4.05.04.02</t>
  </si>
  <si>
    <t>4.05.04.03</t>
  </si>
  <si>
    <t>4.05.05</t>
  </si>
  <si>
    <t>CONCORSI, RECUPERI E RIMBORSI DA PRIVATI</t>
  </si>
  <si>
    <t>4.05.05.01</t>
  </si>
  <si>
    <t>RIMBORSO DA AZIENDE FARMACEUTICHE PER PAY BACK</t>
  </si>
  <si>
    <t>4.05.05.02</t>
  </si>
  <si>
    <t>ALTRI CONCORSI, RECUPERI E RIMBORSI DA PRIVATI</t>
  </si>
  <si>
    <t>4.05.05.03</t>
  </si>
  <si>
    <t>4.06</t>
  </si>
  <si>
    <t>COMPARTECIPAZIONE ALLA SPESA PER PRESTAZIONI SANITARIE (TICKET)</t>
  </si>
  <si>
    <t>4.06.01</t>
  </si>
  <si>
    <t>4.06.01.01</t>
  </si>
  <si>
    <t>4.06.02</t>
  </si>
  <si>
    <t>4.06.02.01</t>
  </si>
  <si>
    <t>4.06.03</t>
  </si>
  <si>
    <t>4.06.03.01</t>
  </si>
  <si>
    <t>4.07</t>
  </si>
  <si>
    <t>QUOTA CONTRIBUTI C/CAPITALE IMPUTATA ALL'ESERCIZIO</t>
  </si>
  <si>
    <t>4.07.01</t>
  </si>
  <si>
    <t>4.07.01.01</t>
  </si>
  <si>
    <t>4.07.01.01.9601</t>
  </si>
  <si>
    <t>Quota imputata all'esercizio dei finanziamenti per investimenti  PNRR - MISSIONE 6 C2 - 1.1.2 GRANDI APPARECCHIATURE</t>
  </si>
  <si>
    <t>4.07.01.01.9602</t>
  </si>
  <si>
    <t>Quota imputata all'esercizio dei finanziamenti per investimenti  PNRR - MISSIONE 6 C2 - 1.1.2  PER LAVORI GRANDI APPARECCHIATURE</t>
  </si>
  <si>
    <t>4.07.01.01.9801</t>
  </si>
  <si>
    <t>Quota imputata all'esercizio dei finanziamenti per investimenti   PNC - MISSIONE 6 C2 - 1.2.1 OSPEDALI SICURI E SOSTENIBILI</t>
  </si>
  <si>
    <t>4.07.02</t>
  </si>
  <si>
    <t>4.07.02.01</t>
  </si>
  <si>
    <t>4.07.03</t>
  </si>
  <si>
    <t>4.07.03.01</t>
  </si>
  <si>
    <t>4.07.04</t>
  </si>
  <si>
    <t>4.07.04.01</t>
  </si>
  <si>
    <t>4.07.05</t>
  </si>
  <si>
    <t>4.07.05.01</t>
  </si>
  <si>
    <t>4.07.06</t>
  </si>
  <si>
    <t>4.07.06.01</t>
  </si>
  <si>
    <t>4.08</t>
  </si>
  <si>
    <t>INCREMENTI DELLE IMMOBILIZZAZIONI PER LAVORI INTERNI</t>
  </si>
  <si>
    <t>4.08.01</t>
  </si>
  <si>
    <t>4.08.01.01</t>
  </si>
  <si>
    <t>4.09</t>
  </si>
  <si>
    <t>ALTRI RICAVI E PROVENTI</t>
  </si>
  <si>
    <t>4.09.01</t>
  </si>
  <si>
    <t>RICAVI PER PRESTAZIONI NON SANITARIE</t>
  </si>
  <si>
    <t>4.09.01.01</t>
  </si>
  <si>
    <t>4.09.02</t>
  </si>
  <si>
    <t>FITTI ATTIVI ED ALTRI PROVENTI DA ATTIVITA' IMMOBILIARI</t>
  </si>
  <si>
    <t>4.09.02.01</t>
  </si>
  <si>
    <t>4.09.03</t>
  </si>
  <si>
    <t>ALTRI PROVENTI DIVERSI</t>
  </si>
  <si>
    <t>4.09.03.01</t>
  </si>
  <si>
    <t>4.10</t>
  </si>
  <si>
    <t>RIMANENZE FINALI</t>
  </si>
  <si>
    <t>4.10.01</t>
  </si>
  <si>
    <t>RIMANENZE SANITARIE FINALI</t>
  </si>
  <si>
    <t>4.10.01.01</t>
  </si>
  <si>
    <t>4.10.01.01.0701</t>
  </si>
  <si>
    <t>4.10.02</t>
  </si>
  <si>
    <t>RIMANENZE NON SANITARIE FINALI</t>
  </si>
  <si>
    <t>4.10.02.01</t>
  </si>
  <si>
    <t>6.01</t>
  </si>
  <si>
    <t>INTERESSI ATTIVI</t>
  </si>
  <si>
    <t>6.01.01</t>
  </si>
  <si>
    <t>6.01.01.01</t>
  </si>
  <si>
    <t>6.01.02</t>
  </si>
  <si>
    <t>INTERESSI ATTIVI SU C/C POSTALI E BANCARI</t>
  </si>
  <si>
    <t>6.01.02.01</t>
  </si>
  <si>
    <t>6.01.03</t>
  </si>
  <si>
    <t>6.01.03.01</t>
  </si>
  <si>
    <t>6.02</t>
  </si>
  <si>
    <t>ALTRI PROVENTI</t>
  </si>
  <si>
    <t>6.02.01</t>
  </si>
  <si>
    <t>PROVENTI DA PARTECIPAZIONI</t>
  </si>
  <si>
    <t>6.02.01.01</t>
  </si>
  <si>
    <t>6.02.02</t>
  </si>
  <si>
    <t>6.02.02.01</t>
  </si>
  <si>
    <t>6.02.03</t>
  </si>
  <si>
    <t>6.02.03.01</t>
  </si>
  <si>
    <t>6.02.04</t>
  </si>
  <si>
    <t>6.02.04.01</t>
  </si>
  <si>
    <t>6.02.05</t>
  </si>
  <si>
    <t>6.02.05.01</t>
  </si>
  <si>
    <t>8.01</t>
  </si>
  <si>
    <t>PROVENTI STRAORDINARI</t>
  </si>
  <si>
    <t>8.01.01</t>
  </si>
  <si>
    <t>PLUSVALENZE</t>
  </si>
  <si>
    <t>8.01.01.01</t>
  </si>
  <si>
    <t>8.01.02</t>
  </si>
  <si>
    <t>8.01.02.01</t>
  </si>
  <si>
    <t>8.01.02.02</t>
  </si>
  <si>
    <t>SOPRAVVENIENZE ATTIVE</t>
  </si>
  <si>
    <t>8.01.02.03</t>
  </si>
  <si>
    <t>INSUSSISTENZE ATTIVE</t>
  </si>
  <si>
    <t>8.01.02.03.0602</t>
  </si>
  <si>
    <t>INSUSSISTENZE ATTIVE V/TERZI RELATIVE ALL'ACQUISTO PRESTAZ. SANITARIE DA OPERATORI ACCREDITATI</t>
  </si>
  <si>
    <t>8.01.02.04</t>
  </si>
  <si>
    <t>5.01</t>
  </si>
  <si>
    <t>ACQUISTI DI BENI</t>
  </si>
  <si>
    <t>5.01.01</t>
  </si>
  <si>
    <t>ACQUISTI DI BENI SANITARI</t>
  </si>
  <si>
    <t>5.01.01.01</t>
  </si>
  <si>
    <t>MEDICINALI CON AIC - ECCETTO VACCINI, EMODERIVATI DI PRODUZIONE REGIONALE</t>
  </si>
  <si>
    <t>5.01.01.01.0201</t>
  </si>
  <si>
    <t>OSSIGENO - CON AIC</t>
  </si>
  <si>
    <t>5.01.01.02</t>
  </si>
  <si>
    <t>MEDICINALI - SENZA AIC</t>
  </si>
  <si>
    <t>5.01.01.03</t>
  </si>
  <si>
    <t>EMODERIVATI DI PRODUZIONE REGIONALE</t>
  </si>
  <si>
    <t>5.01.01.04</t>
  </si>
  <si>
    <t>5.01.01.05</t>
  </si>
  <si>
    <t>5.01.01.06</t>
  </si>
  <si>
    <t>DISPOSITIVI MEDICI IMPIANTABILI ATTIVI</t>
  </si>
  <si>
    <t>5.01.01.07</t>
  </si>
  <si>
    <t>DISPOSITIVI MEDICO DIAGNOSTICI IN VITRO (IVD)</t>
  </si>
  <si>
    <t>5.01.01.08</t>
  </si>
  <si>
    <t>5.01.01.09</t>
  </si>
  <si>
    <t>5.01.01.10</t>
  </si>
  <si>
    <t>5.01.01.11</t>
  </si>
  <si>
    <t>5.01.01.12</t>
  </si>
  <si>
    <t>5.01.01.13</t>
  </si>
  <si>
    <t>BENI E PRODOTTI SANITARI DA AZIENDE SANITARIE PUBBLICHE DELLA REGIONE</t>
  </si>
  <si>
    <t>5.01.01.13.0101</t>
  </si>
  <si>
    <t>5.01.01.13.0901</t>
  </si>
  <si>
    <t>Prodotti farmaceutici ed emoderivati -  Farmaci PHT - per la distribuzione per conto (DPC) da Aziende sanitarie pubbliche della Regione</t>
  </si>
  <si>
    <t>5.01.01.14</t>
  </si>
  <si>
    <t>5.01.02</t>
  </si>
  <si>
    <t>ACQUISTI DI BENI NON SANITARI</t>
  </si>
  <si>
    <t>5.01.02.01</t>
  </si>
  <si>
    <t>5.02</t>
  </si>
  <si>
    <t>ACQUISTI DI SERVIZI</t>
  </si>
  <si>
    <t>5.02.01</t>
  </si>
  <si>
    <t>ACQUISTI SERVIZI SANITARI</t>
  </si>
  <si>
    <t>5.02.01.01</t>
  </si>
  <si>
    <t>ACQUISTI SERVIZI SANITARI PER MEDICINA DI BASE</t>
  </si>
  <si>
    <t>5.02.01.02</t>
  </si>
  <si>
    <t>ACQUISTI SERVIZI SANITARI PER FARMACEUTICA</t>
  </si>
  <si>
    <t>5.02.01.03</t>
  </si>
  <si>
    <t>ACQUISTI SERVIZI SANITARI PER ASSISTENZA SPECIALISTICA AMBULATORIALE</t>
  </si>
  <si>
    <t>5.02.01.04</t>
  </si>
  <si>
    <t>ACQUISTI SERVIZI SANITARI PER ASSISTENZA RIABILITATIVA</t>
  </si>
  <si>
    <t>5.02.01.05</t>
  </si>
  <si>
    <t>ACQUISTI SERVIZI SANITARI PER ASSISTENZA INTEGRATIVA</t>
  </si>
  <si>
    <t>5.02.01.06</t>
  </si>
  <si>
    <t>ACQUISTI SERVIZI SANITARI PER ASSISTENZA PROTESICA</t>
  </si>
  <si>
    <t>5.02.01.07</t>
  </si>
  <si>
    <t>ACQUISTI SERVIZI SANITARI PER ASSISTENZA OSPEDALIERA</t>
  </si>
  <si>
    <t>5.02.01.08</t>
  </si>
  <si>
    <t>ACQUISTO PRESTAZIONI DI PSICHIATRIA RESIDENZIALE E SEMIRESIDENZIALE</t>
  </si>
  <si>
    <t>5.02.01.09</t>
  </si>
  <si>
    <t>ACQUISTO PRESTAZIONI DI DISTRIBUZIONE FARMACI FILE F</t>
  </si>
  <si>
    <t>5.02.01.10</t>
  </si>
  <si>
    <t>ACQUISTO PRESTAZIONI TERMALI IN CONVENZIONE</t>
  </si>
  <si>
    <t>5.02.01.11</t>
  </si>
  <si>
    <t>ACQUISTO PRESTAZIONI DI TRASPORTO SANITARIO</t>
  </si>
  <si>
    <t>5.02.01.12</t>
  </si>
  <si>
    <t>ACQUISTO PRESTAZIONI SOCIO-SANITARIE A RILEVANZA SANITARIA</t>
  </si>
  <si>
    <t>5.02.01.13</t>
  </si>
  <si>
    <t>COMPARTECIPAZIONE AL PERSONALE PER ATTIVITA' LIBERO-PROFESSIONALE (INTRAMOENIA)</t>
  </si>
  <si>
    <t>5.02.01.13.2701</t>
  </si>
  <si>
    <t>COMPARTECIPAZIONE AL PERSONALE PER ALPI - AREA SPECIALISTICA - DIRIGENZA MEDICA E VETERINARIA</t>
  </si>
  <si>
    <t>5.02.01.13.2702</t>
  </si>
  <si>
    <t>COMPARTECIPAZIONE AL PERSONALE PER A.L.P.I. IN REGIME AMBULATORIALE E IN SPAZI INTERNI DIRIGENTE MEDICO</t>
  </si>
  <si>
    <t>5.02.01.13.2703</t>
  </si>
  <si>
    <t>COMPARTECIPAZIONE AL PERSONALE PER A.L.P.I. IN REGIME AMBULATORIALE PRESSO SPAZI ESTERNI (ALLARGATA DIRIGENTE MEDICO</t>
  </si>
  <si>
    <t>5.02.01.14</t>
  </si>
  <si>
    <t>RIMBORSI, ASSEGNI E CONTRIBUTI SANITARI</t>
  </si>
  <si>
    <t>5.02.01.15</t>
  </si>
  <si>
    <t>CONSULENZE, COLLABORAZIONI, INTERINALE E ALTRE PRESTAZIONI DI LAVORO SANITARIE E SOCIOSANITARIE</t>
  </si>
  <si>
    <t>5.02.01.16</t>
  </si>
  <si>
    <t>INDENNITA' A PERSONALE UNIVERSITARIO - AREA SANITARIA</t>
  </si>
  <si>
    <t>5.02.01.16.1601</t>
  </si>
  <si>
    <t>INDENNITA'  PERSONALE UNIVERSITARIOCOMPARTO SANITARIO - FERIE MATURATE E NON USUFRUITE</t>
  </si>
  <si>
    <t>5.02.01.17</t>
  </si>
  <si>
    <t>5.02.01.18</t>
  </si>
  <si>
    <t>5.02.02</t>
  </si>
  <si>
    <t>ACQUISTI DI SERVIZI NON SANITARI</t>
  </si>
  <si>
    <t>5.02.02.01</t>
  </si>
  <si>
    <t>5.02.02.02</t>
  </si>
  <si>
    <t>CONSULENZE, COLLABORAZIONI, INTERINALE E ALTRE PRESTAZIONI DI LAVORO NON SANITARIE</t>
  </si>
  <si>
    <t>5.02.02.02.0601</t>
  </si>
  <si>
    <t>5.02.02.02.0602</t>
  </si>
  <si>
    <t>5.02.02.02.0603</t>
  </si>
  <si>
    <t>5.02.02.02.0604</t>
  </si>
  <si>
    <t>5.02.02.02.0605</t>
  </si>
  <si>
    <t>5.02.02.02.0701</t>
  </si>
  <si>
    <t>RIMBORSO ONERI STIPENDIALI PERSONALE NON SANITARIO IN COMANDO DA AZIENDE SANITARIE PUBBLICHE DELLA REGIONE</t>
  </si>
  <si>
    <t>5.02.02.02.0702</t>
  </si>
  <si>
    <t>5.02.02.02.0703</t>
  </si>
  <si>
    <t>ONERI STIPENDIALI PERSONALE NON SANITARIO IN COMANDO DA IRCCS,</t>
  </si>
  <si>
    <t>5.02.02.02.0801</t>
  </si>
  <si>
    <t>RIMBORSO ONERI STIPENDIALI PERSONALE NON SANITARIO IN COMANDO DA REGIONE, SOGGETTI PUBBLICI E DA UNIVERSITA</t>
  </si>
  <si>
    <t>5.02.02.02.0802</t>
  </si>
  <si>
    <t>ONERI STIPENDIALI PERSONALE NON SANITARIO IN COMANDO DA SPERIMENTAZIONI</t>
  </si>
  <si>
    <t>5.02.02.02.0901</t>
  </si>
  <si>
    <t>RIMBORSO ONERI STIPENDIALI PERSONALE NON SANITARIO IN COMANDO DA AZIENDE DI ALTRE REGIONI (EXTRAREGIONE)</t>
  </si>
  <si>
    <t>5.02.02.02.0902</t>
  </si>
  <si>
    <t>ONERI STIPENDIALE PERSONALE NON SANITARIO IN COMANDO DA AZIENDE DI ALTRE</t>
  </si>
  <si>
    <t>5.02.02.03</t>
  </si>
  <si>
    <t>INDENNITA' A PERSONALE UNIVERSITARIO - AREA NON SANITARIA</t>
  </si>
  <si>
    <t>5.02.02.04</t>
  </si>
  <si>
    <t>FORMAZIONE (ESTERNALIZZATA E NON)</t>
  </si>
  <si>
    <t xml:space="preserve"> )</t>
  </si>
  <si>
    <t>5.03</t>
  </si>
  <si>
    <t>MANUTENZIONE E RIPARAZIONE (ORDINARIA ESTERNALIZZATA)</t>
  </si>
  <si>
    <t>5.03.01</t>
  </si>
  <si>
    <t>MANUTENZIONE E RIPARAZIONE AI FABBRICATI E LORO PERTINENZE</t>
  </si>
  <si>
    <t>5.03.01.01</t>
  </si>
  <si>
    <t>5.03.02</t>
  </si>
  <si>
    <t>5.03.02.01</t>
  </si>
  <si>
    <t>5.03.03</t>
  </si>
  <si>
    <t>MANUTENZIONE E RIPARAZIONE ALLE ATTREZZATURE SANITARIE E SCIENTIFICHE</t>
  </si>
  <si>
    <t>5.03.03.01</t>
  </si>
  <si>
    <t>5.03.04</t>
  </si>
  <si>
    <t>5.03.04.01</t>
  </si>
  <si>
    <t>5.03.05</t>
  </si>
  <si>
    <t>MANUTENZIONE E RIPARAZIONE AGLI AUTOMEZZI</t>
  </si>
  <si>
    <t>5.03.05.01</t>
  </si>
  <si>
    <t>5.03.06</t>
  </si>
  <si>
    <t>5.03.06.01</t>
  </si>
  <si>
    <t>5.03.07</t>
  </si>
  <si>
    <t>5.03.07.01</t>
  </si>
  <si>
    <t>5.04</t>
  </si>
  <si>
    <t>GODIMENTO DI BENI DI TERZI</t>
  </si>
  <si>
    <t>5.04.01</t>
  </si>
  <si>
    <t>FITTI PASSIVI</t>
  </si>
  <si>
    <t>5.04.01.01</t>
  </si>
  <si>
    <t>FITTI PASSIVI - ARESA SANITARIA</t>
  </si>
  <si>
    <t>5.04.01.02</t>
  </si>
  <si>
    <t>5.04.02</t>
  </si>
  <si>
    <t>CANONI DI NOLEGGIO</t>
  </si>
  <si>
    <t>5.04.02.01</t>
  </si>
  <si>
    <t>CANONI DI NOLEGGIO - AREA SANITARIA</t>
  </si>
  <si>
    <t>5.04.02.02</t>
  </si>
  <si>
    <t>CANONI DI NOLEGGIO - AREA NON SANITARIA</t>
  </si>
  <si>
    <t>5.04.03</t>
  </si>
  <si>
    <t>CANONI DI LEASING</t>
  </si>
  <si>
    <t>5.04.03.01</t>
  </si>
  <si>
    <t>CANONI DI LEASING - AREA SANITARIA</t>
  </si>
  <si>
    <t>5.04.03.02</t>
  </si>
  <si>
    <t>CANONI DI LEASING - AREA NON SANITARIA</t>
  </si>
  <si>
    <t>5.04.04</t>
  </si>
  <si>
    <t>LOCAZIONI E NOLEGGI DA AZIENDE SANITARIE PUBBLICHE DELLA REGIONE</t>
  </si>
  <si>
    <t>5.04.04.01</t>
  </si>
  <si>
    <t>5.04.05</t>
  </si>
  <si>
    <t>5.04.05.01</t>
  </si>
  <si>
    <t>5.05</t>
  </si>
  <si>
    <t>5.05.01</t>
  </si>
  <si>
    <t>COSTO DEL PERSONALE DIRIGENTE RUOLO SANITARIO</t>
  </si>
  <si>
    <t>5.05.01.01</t>
  </si>
  <si>
    <t>COSTO DEL PERSONALE DIRIGENTE MEDICO</t>
  </si>
  <si>
    <t>5.05.01.02</t>
  </si>
  <si>
    <t>COSTO DEL PERSONALE DIRIGENTE NON MEDICO</t>
  </si>
  <si>
    <t>5.05.02</t>
  </si>
  <si>
    <t>COSTO DEL PERSONALE COMPARTO RUOLO SANITARIO</t>
  </si>
  <si>
    <t>5.05.02.01</t>
  </si>
  <si>
    <t>COSTO DEL PERSONALE COMPARTO RUOLO SANITARIO - TEMPO INDETERMINATO</t>
  </si>
  <si>
    <t>5.05.02.01.0201</t>
  </si>
  <si>
    <t>COSTO DEL PERSONALE COMPARTO RUOLO SANITARIO - TEMPO INDETERMINATO - RETRIBUZIONE PER LE FASCE RETRIBUTIVE, POSIZIONI ORGANIZZATIVE, VAL</t>
  </si>
  <si>
    <t>5.05.02.01.0301</t>
  </si>
  <si>
    <t>COSTO DEL PERSONALE COMPARTO RUOLO SANITARIO - TEMPO INDETERMINATO - COMPENSI PER LAVORO STRAORDINARIO E REMUNERAZIONE DI PARTICOLARI CO</t>
  </si>
  <si>
    <t>5.05.02.01.0401</t>
  </si>
  <si>
    <t>COSTO DEL PERSONALE COMPARTO RUOLO SANITARIO - TEMPO INDETERMINATO - PRODUTTIVITA COLLETTIVA PER IL MIGLIORAMENTO DEI SERVIZI E IL PREMI</t>
  </si>
  <si>
    <t>5.05.02.01.0907</t>
  </si>
  <si>
    <t>ALTRI ONERI FONDI TRATT.ACCESSORIO C.S. DEL COMPARTO RUOLO SANITARIO A TEMPO INDETERMINATO</t>
  </si>
  <si>
    <t>5.05.02.01.0909</t>
  </si>
  <si>
    <t>ALTRI ONERI - INDENNITA' MANEGGIO VALORI DEL PERSONALE COMPARTO RUOLO SANITARIO A TEMPO INDETERMINATO</t>
  </si>
  <si>
    <t>5.05.02.02</t>
  </si>
  <si>
    <t>COSTO DEL PERSONALE COMPARTO RUOLO SANITARIO - TEMPO DETERMINATO</t>
  </si>
  <si>
    <t>5.05.02.02.0201</t>
  </si>
  <si>
    <t>COSTO DEL PERSONALE COMPARTO RUOLO SANITARIO - TEMPO DETERMINATO - RETRIBUZIONE PER LE FASCE RETRIBUTIVE, POSIZIONI ORGANIZZATIVE, VALOR</t>
  </si>
  <si>
    <t>5.05.02.02.0202</t>
  </si>
  <si>
    <t>INDENNITA' DI RESPONSABILITA'/COORD PERSONALE COMPARTO SANITA' T.D.</t>
  </si>
  <si>
    <t>5.05.02.02.0301</t>
  </si>
  <si>
    <t>COSTO DEL PERSONALE COMPARTO RUOLO SANITARIO - TEMPO DETERMINATO - COMPENSI PER LAVORO STRAORDINARIO E REMUNERAZIONE DI PARTICOLARI COND</t>
  </si>
  <si>
    <t>5.05.02.02.0401</t>
  </si>
  <si>
    <t>COSTO DEL PERSONALE COMPARTO RUOLO SANITARIO - TEMPO DETERMINATO - PRODUTTIVITA COLLETTIVA PER IL MIGLIORAMENTO DEI SERVIZI E IL PREMIO</t>
  </si>
  <si>
    <t>5.05.02.02.0909</t>
  </si>
  <si>
    <t>ALTRI ONERI -FONDI TRATT. ACCESSORIO CS T.D. DEL COMPARTO RUOLO SANITARIO A TEMPO DETERMINATO</t>
  </si>
  <si>
    <t>5.05.02.03</t>
  </si>
  <si>
    <t>COSTO DEL PERSONALE COMPARTO RUOLO SANITARIO - ALTRO</t>
  </si>
  <si>
    <t>5.05.02.03.0120</t>
  </si>
  <si>
    <t>ALTRI ONERI - INDENNITA' MANEGGIO VALORI DEL PERSONALE COMPARTO RUOLO SANITARIO  ALTRO</t>
  </si>
  <si>
    <t>5.06</t>
  </si>
  <si>
    <t>5.06.01</t>
  </si>
  <si>
    <t>COSTO DEL PERSONALE DIRIGENTE RUOLO PROFESSIONALE</t>
  </si>
  <si>
    <t>5.06.01.01</t>
  </si>
  <si>
    <t>COSTO DEL PERSONALE DIRIGENTE RUOLO PROFESSIONALE - TEMPO INDETERMINATO</t>
  </si>
  <si>
    <t>5.06.01.02</t>
  </si>
  <si>
    <t>COSTO DEL PERSONALE DIRIGENTE RUOLO PROFESSIONALE - TEMPO DETERMINATO</t>
  </si>
  <si>
    <t>5.06.01.03</t>
  </si>
  <si>
    <t>5.06.02</t>
  </si>
  <si>
    <t>COSTO DEL PERSONALE COMPARTO RUOLO PROFESSIONALE</t>
  </si>
  <si>
    <t>5.06.02.01</t>
  </si>
  <si>
    <t>COSTO DEL PERSONALE COMPARTO RUOLO PROFESSIONALE - TEMPO INDETERMINATO</t>
  </si>
  <si>
    <t>5.06.02.01.0201</t>
  </si>
  <si>
    <t>COSTO DEL PERSONALE COMPARTO RUOLO PROFESSIONALE - TEMPO INDETERMINATO - RETRIBUZIONE PER LE FASCE RETRIBUTIVE, POSIZIONI ORGANIZZATIVE,</t>
  </si>
  <si>
    <t>5.06.02.01.0301</t>
  </si>
  <si>
    <t>COSTO DEL PERSONALE COMPARTO RUOLO PROFESSIONALE - TEMPO INDETERMINATO - COMPENSI PER LAVORO STRAORDINARIO E REMUNERAZIONE DI PARTICOLAR</t>
  </si>
  <si>
    <t>5.06.02.01.0401</t>
  </si>
  <si>
    <t>COSTO DEL PERSONALE COMPARTO RUOLO PROFESSIONALE - TEMPO INDETERMINATO - PRODUTTIVITA COLLETTIVA PER IL MIGLIORAMENTO DEI SERVIZI E IL P</t>
  </si>
  <si>
    <t>5.06.02.02</t>
  </si>
  <si>
    <t>COSTO DEL PERSONALE COMPARTO RUOLO PROFESSIONALE - TEMPO DETERMINATO</t>
  </si>
  <si>
    <t>5.06.02.02.0201</t>
  </si>
  <si>
    <t>COSTO DEL PERSONALE COMPARTO RUOLO PROFESSIONALE - TEMPO DETERMINATO - RETRIBUZIONE PER LE FASCE RETRIBUTIVE, POSIZIONI ORGANIZZATIVE, V</t>
  </si>
  <si>
    <t>5.06.02.02.0301</t>
  </si>
  <si>
    <t>COSTO DEL PERSONALE COMPARTO RUOLO PROFESSIONALE - TEMPO DETERMINATO - COMPENSI PER LAVORO STRAORDINARIO E REMUNERAZIONE DI PARTICOLARI</t>
  </si>
  <si>
    <t>5.06.02.02.0401</t>
  </si>
  <si>
    <t>COSTO DEL PERSONALE COMPARTO RUOLO PROFESSIONALE - TEMPO DETERMINATO - PRODUTTIVITA COLLETTIVA PER IL MIGLIORAMENTO DEI SERVIZI E IL PRE</t>
  </si>
  <si>
    <t>5.06.02.02.0706</t>
  </si>
  <si>
    <t>ALTRI ONERI - INDENNITA' MANEGGIO VALORI  DEL PERSONALE COMPARTO RUOLO PROFESSIONALE A TEMPO DETERMINATO</t>
  </si>
  <si>
    <t>5.06.02.03</t>
  </si>
  <si>
    <t>COSTO DEL PERSONALE COMPARTO RUOLO PROFESSIONALE - ALTRO</t>
  </si>
  <si>
    <t>5.06.02.03.0118</t>
  </si>
  <si>
    <t>ALTRI ONERI - INDENNITA' MANEGGIO VALRI  DEL PERSONALE COMPARTO RUOLO PROFESSIONALE - ALTRO</t>
  </si>
  <si>
    <t>5.06.02.03.0121</t>
  </si>
  <si>
    <t>ALTRI ONERI - FONDI TRATT. ACCESSORIOI  DEL PERSONALE COMPARTO RUOLO PROFESSIONALE - ALTRO</t>
  </si>
  <si>
    <t>5.06.02.03.0801</t>
  </si>
  <si>
    <t>COSTO DEL PERSONALE COMPARTO RUOLO PROFESSIONALE - ALTRO - compensi per condizioni di lavoro e incarichi</t>
  </si>
  <si>
    <t>5.06.02.03.0901</t>
  </si>
  <si>
    <t>COSTO DEL PERSONALE COMPARTO RUOLO PROFESSIONALE - ALTRO - compensi per premialità e fasce</t>
  </si>
  <si>
    <t>5.07</t>
  </si>
  <si>
    <t>5.07.01</t>
  </si>
  <si>
    <t>COSTO DEL PERSONALE DIRIGENTE RUOLO TECNICO</t>
  </si>
  <si>
    <t>5.07.01.01</t>
  </si>
  <si>
    <t>COSTO DEL PERSONALE DIRIGENTE RUOLO TECNICO - TEMPO INDETERMINATO</t>
  </si>
  <si>
    <t>5.07.01.02</t>
  </si>
  <si>
    <t>COSTO DEL PERSONALE DIRIGENTE RUOLO TECNICO - TEMPO DETERMINATO</t>
  </si>
  <si>
    <t>5.07.01.03</t>
  </si>
  <si>
    <t>5.07.02</t>
  </si>
  <si>
    <t>COSTO DEL PERSONALE COMPARTO RUOLO TECNICO</t>
  </si>
  <si>
    <t>5.07.02.01</t>
  </si>
  <si>
    <t>COSTO DEL PERSONALE COMPARTO RUOLO TECNICO - TEMPO INDETERMINATO</t>
  </si>
  <si>
    <t>5.07.02.01.0201</t>
  </si>
  <si>
    <t>COSTO DEL PERSONALE COMPARTO RUOLO TECNICO - TEMPO INDETERMINATO - RETRIBUZIONE PER LE FASCE RETRIBUTIVE, POSIZIONI ORGANIZZATIVE, VALOR</t>
  </si>
  <si>
    <t>5.07.02.01.0301</t>
  </si>
  <si>
    <t>COSTO DEL PERSONALE COMPARTO RUOLO TECNICO - TEMPO INDETERMINATO - COMPENSI PER LAVORO STRAORDINARIO E REMUNERAZIONE DI PARTICOLARI COND</t>
  </si>
  <si>
    <t>5.07.02.01.0401</t>
  </si>
  <si>
    <t>COSTO DEL PERSONALE COMPARTO RUOLO TECNICO - TEMPO INDETERMINATO - PRODUTTIVITA COLLETTIVA PER IL MIGLIORAMENTO DEI SERVIZI E IL PREMIO</t>
  </si>
  <si>
    <t>5.07.02.01.0906</t>
  </si>
  <si>
    <t>ALTRI ONERI - INDENNITA' DI RESP./COORD. AOUP DEL PERSONALE COMPARTO RUOLO TECNICO A TEMPO INDETERMINATO</t>
  </si>
  <si>
    <t>5.07.02.01.0907</t>
  </si>
  <si>
    <t>ALTRI ONERI - FONDI TRATT.ACCESSORIO DEL PERSONALE COMPARTO RUOLO TECNICO A TEMPO INDETERMINATO</t>
  </si>
  <si>
    <t>5.07.02.02</t>
  </si>
  <si>
    <t>COSTO DEL PERSONALE COMPARTO RUOLO TECNICO - TEMPO DETERMINATO</t>
  </si>
  <si>
    <t>5.07.02.02.0201</t>
  </si>
  <si>
    <t>COSTO DEL PERSONALE COMPARTO RUOLO TECNICO - TEMPO DETERMINATO - RETRIBUZIONE PER LE FASCE RETRIBUTIVE, POSIZIONI ORGANIZZATIVE, VALORE</t>
  </si>
  <si>
    <t>5.07.02.02.0301</t>
  </si>
  <si>
    <t>COSTO DEL PERSONALE COMPARTO RUOLO TECNICO - TEMPO DETERMINATO - COMPENSI PER LAVORO STRAORDINARIO E REMUNERAZIONE DI PARTICOLARI CONDIZ</t>
  </si>
  <si>
    <t>5.07.02.02.0401</t>
  </si>
  <si>
    <t>COSTO DEL PERSONALE COMPARTO RUOLO TECNICO - TEMPO DETERMINATO - PRODUTTIVITA COLLETTIVA PER IL MIGLIORAMENTO DEI SERVIZI E IL PREMIO DE</t>
  </si>
  <si>
    <t>5.07.02.02.0906</t>
  </si>
  <si>
    <t>ALTRI ONERI - INDENNITA' MANEGGIO DEL PERSONALE COMPARTO RUOLO TECNICO A TEMPO DETERMINATO</t>
  </si>
  <si>
    <t>5.07.02.02.0907</t>
  </si>
  <si>
    <t>ALTRI ONERI -INDENNITA' DI RESPONSABILITA' / COORDINAMENTO AOUPDEL PERSONALE COMPARTO RUOLO TECNICO A TEMPO DETERMINATO</t>
  </si>
  <si>
    <t>5.07.02.03</t>
  </si>
  <si>
    <t>COSTO DEL PERSONALE COMPARTO RUOLO TECNICO - ALTRO</t>
  </si>
  <si>
    <t>5.07.02.03.0118</t>
  </si>
  <si>
    <t>ALTRI ONERI - INDENNITA' MANEGGIO VALORI  DEL PERSONALE COMPARTO RUOLO TECNICO A TEMPO DETERMINATO</t>
  </si>
  <si>
    <t>5.07.02.03.0801</t>
  </si>
  <si>
    <t>COSTO DEL PERSONALE COMPARTO RUOLO TECNICO - ALTRO - compensi per condizioni di lavoro e incarichi</t>
  </si>
  <si>
    <t>5.07.02.03.0901</t>
  </si>
  <si>
    <t>COSTO DEL PERSONALE COMPARTO RUOLO TECNICO - ALTRO - compensi per premialità e fasce</t>
  </si>
  <si>
    <t>5.08</t>
  </si>
  <si>
    <t>5.08.01</t>
  </si>
  <si>
    <t>COSTO DEL PERSONALE DIRIGENTE RUOLO AMMINISTRATIVO</t>
  </si>
  <si>
    <t>5.08.01.01</t>
  </si>
  <si>
    <t>COSTO DEL PERSONALE DIRIGENTE RUOLO AMMINISTRATIVO - TEMPO INDETERMINATO</t>
  </si>
  <si>
    <t>5.08.01.02</t>
  </si>
  <si>
    <t>COSTO DEL PERSONALE DIRIGENTE RUOLO AMMINISTRATIVO - TEMPO DETERMINATO</t>
  </si>
  <si>
    <t>5.08.01.03</t>
  </si>
  <si>
    <t>5.08.02</t>
  </si>
  <si>
    <t>COSTO DEL PERSONALE COMPARTO RUOLO AMMINISTRATIVO</t>
  </si>
  <si>
    <t>5.08.02.01</t>
  </si>
  <si>
    <t>COSTO DEL PERSONALE COMPARTO RUOLO AMMINISTRATIVO - TEMPO INDETERMINATO</t>
  </si>
  <si>
    <t>5.08.02.01.0201</t>
  </si>
  <si>
    <t>COSTO DEL PERSONALE COMPARTO RUOLO AMMINISTRATIVO - TEMPO INDETERMINATO - RETRIBUZIONE PER LE FASCE RETRIBUTIVE, POSIZIONI ORGANIZZATIVE</t>
  </si>
  <si>
    <t>5.08.02.01.0301</t>
  </si>
  <si>
    <t>COSTO DEL PERSONALE COMPARTO RUOLO AMMINISTRATIVO - TEMPO INDETERMINATO - COMPENSI PER LAVORO STRAORDINARIO E REMUNERAZIONE DI PARTICOLA</t>
  </si>
  <si>
    <t>5.08.02.01.0401</t>
  </si>
  <si>
    <t>COSTO DEL PERSONALE COMPARTO RUOLO AMMINISTRATIVO - TEMPO INDETERMINATO - PRODUTTIVITA COLLETTIVA PER ILMIGLIORAMENTO DEI SERVIZI E IL P</t>
  </si>
  <si>
    <t>5.08.02.02</t>
  </si>
  <si>
    <t>COSTO DEL PERSONALE COMPARTO RUOLO AMMINISTRATIVO - TEMPO DETERMINATO</t>
  </si>
  <si>
    <t>5.08.02.02.0201</t>
  </si>
  <si>
    <t>COSTO DEL PERSONALE COMPARTO RUOLO AMMINISTRATIVO - TEMPO DETERMINATO - RETRIBUZIONE PER LE FASCE RETRIBUTIVE, POSIZIONI ORGANIZZATIVE,</t>
  </si>
  <si>
    <t>5.08.02.02.0301</t>
  </si>
  <si>
    <t>COSTO DEL PERSONALE COMPARTO RUOLO AMMINISTRATIVO - TEMPO DETERMINATO - COMPENSI PER LAVORO STRAORDINARIO E REMUNERAZIONE DI PARTICOLARI</t>
  </si>
  <si>
    <t>5.08.02.02.0401</t>
  </si>
  <si>
    <t>COSTO DEL PERSONALE COMPARTO RUOLO AMMINISTRATIVO - TEMPO DETERMINATO - PRODUTTIVITA COLLETTIVA PER IL MIGLIORAMENTO DEI SERVIZI E IL PR</t>
  </si>
  <si>
    <t>5.08.02.02.0906</t>
  </si>
  <si>
    <t>ALTRI ONERI - INDENNITA' MANEGGIO VALORI DEL PERSONALE COMPARTO RUOLO AMMINISTRATIVO A TEMPO DETERMINATO</t>
  </si>
  <si>
    <t>5.08.02.03</t>
  </si>
  <si>
    <t>COSTO DEL PERSONALE COMPARTO RUOLO AMMINISTRATIVO - ALTRO</t>
  </si>
  <si>
    <t>5.09</t>
  </si>
  <si>
    <t>ONERI DIVERSI DI GESTIONE</t>
  </si>
  <si>
    <t>5.09.01</t>
  </si>
  <si>
    <t>IMPOSTE E TASSE (ESCLUSO IRAP E IRES)</t>
  </si>
  <si>
    <t>5.09.01.01</t>
  </si>
  <si>
    <t>5.09.02</t>
  </si>
  <si>
    <t>5.09.02.01</t>
  </si>
  <si>
    <t>5.09.03</t>
  </si>
  <si>
    <t>ALTRI ONERI DIVERSI DI GESTIONE</t>
  </si>
  <si>
    <t>5.09.03.01</t>
  </si>
  <si>
    <t>INDENNITA', RIMBORSO SPESE E ONERI SOCIALI PER GLI ORGANI DIRETTIVI E COLLEGIO SINDACALE</t>
  </si>
  <si>
    <t>5.09.03.02</t>
  </si>
  <si>
    <t>SPESE PSN 2013</t>
  </si>
  <si>
    <t>5.10</t>
  </si>
  <si>
    <t>AMMORTAMENTI DELLE IMMOBILIZZAZIONI IMMATERIALI</t>
  </si>
  <si>
    <t>5.10.01</t>
  </si>
  <si>
    <t>5.10.01.01</t>
  </si>
  <si>
    <t>5.11</t>
  </si>
  <si>
    <t>AMMORTAMENTO DEI FABBRICATI</t>
  </si>
  <si>
    <t>5.11.01</t>
  </si>
  <si>
    <t>AMMORTAMENTI FABBRICATI NON STRUMENTALI (DISPONIBILI)</t>
  </si>
  <si>
    <t>5.11.01.01</t>
  </si>
  <si>
    <t>5.11.02</t>
  </si>
  <si>
    <t>AMMORTAMENTI FABBRICATI STRUMENTALI (INDISPONIBILI)</t>
  </si>
  <si>
    <t>5.11.02.01</t>
  </si>
  <si>
    <t>5.12</t>
  </si>
  <si>
    <t>AMMORTAMENTI DELLE ALTRE IMMOBILIZZAZIONI MATERIALI</t>
  </si>
  <si>
    <t>5.12.01</t>
  </si>
  <si>
    <t>5.12.01.01</t>
  </si>
  <si>
    <t>5.13</t>
  </si>
  <si>
    <t>5.13.01</t>
  </si>
  <si>
    <t>5.13.01.01</t>
  </si>
  <si>
    <t>5.14</t>
  </si>
  <si>
    <t>5.14.01</t>
  </si>
  <si>
    <t>5.14.01.01</t>
  </si>
  <si>
    <t>5.15</t>
  </si>
  <si>
    <t>RIMANENZE INIZIALI</t>
  </si>
  <si>
    <t>5.15.01</t>
  </si>
  <si>
    <t>RIMANENZE SANITARIE INIZIALI</t>
  </si>
  <si>
    <t>5.15.01.01</t>
  </si>
  <si>
    <t>5.15.01.01.0701</t>
  </si>
  <si>
    <t>RIMANENZE INIZIALI EMODERIVATI DI PRODUZIONE REGIONALE</t>
  </si>
  <si>
    <t>5.15.01.01.3201</t>
  </si>
  <si>
    <t>RIMANENZE INIZIALI ALTRI BENI E PRODOTTI SANITARI -GAS MEDICALI SENZA AIC</t>
  </si>
  <si>
    <t>5.15.01.01.3202</t>
  </si>
  <si>
    <t>RIMANENZE INIZIALI ALTRI BENI E PRODOTTI SANITARI</t>
  </si>
  <si>
    <t>5.15.01.01.3203</t>
  </si>
  <si>
    <t>RIMANENZE INIZIALI ALTRI BENI E PRODOTTI SANITARI - LABORATORIO</t>
  </si>
  <si>
    <t>5.15.02</t>
  </si>
  <si>
    <t>RIMANENZE NON SANITARIE INIZIALI</t>
  </si>
  <si>
    <t>5.15.02.01</t>
  </si>
  <si>
    <t>5.16</t>
  </si>
  <si>
    <t>ACCANTONAMENTI DELL¿ESERCIZIO</t>
  </si>
  <si>
    <t>5.16.01</t>
  </si>
  <si>
    <t>ACCANTONAMENTI PER RISCHI</t>
  </si>
  <si>
    <t>5.16.01.01</t>
  </si>
  <si>
    <t>5.16.02</t>
  </si>
  <si>
    <t>ACCANTONAMENTI PER PREMIO DI OPEROSITA' (SUMAI)</t>
  </si>
  <si>
    <t>5.16.02.01</t>
  </si>
  <si>
    <t>5.16.03</t>
  </si>
  <si>
    <t>ACCANTONAMENTI PER QUOTE INUTILIZZATE DI CONTRIBUTI VINCOLATI</t>
  </si>
  <si>
    <t>5.16.03.01</t>
  </si>
  <si>
    <t>ACCANTONAMENTI PER QUOTE INUTILIZZATE CONTRIBUTI DA REGIONE PER QUOTA F.S. VINCOLATO</t>
  </si>
  <si>
    <t>5.16.03.01.0101</t>
  </si>
  <si>
    <t>5.16.03.01.0801</t>
  </si>
  <si>
    <t>ACCANTONAMENTI PER QUOTE INUTILIZZATE CONTRIBUTI DA REGIONE PER QUOTA EXTRACOMUNITARI IRREGOLARI L 40/98</t>
  </si>
  <si>
    <t>5.16.03.01.0901</t>
  </si>
  <si>
    <t>ACCANTONAMENTI PER QUOTE INUTILIZZATE CONTRIBUTI DA REGIONE PER QUOTA FONDO ESCLUSIVITA L 488/99</t>
  </si>
  <si>
    <t>5.16.03.02</t>
  </si>
  <si>
    <t>5.16.03.03</t>
  </si>
  <si>
    <t>5.16.03.04</t>
  </si>
  <si>
    <t>5.16.03.05</t>
  </si>
  <si>
    <t>5.16.03.06</t>
  </si>
  <si>
    <t>5.16.04</t>
  </si>
  <si>
    <t>5.16.04.01</t>
  </si>
  <si>
    <t>ACCANTONAMENTI PER INTERESSI DI MORA</t>
  </si>
  <si>
    <t>5.16.04.01.0101</t>
  </si>
  <si>
    <t>5.16.04.02</t>
  </si>
  <si>
    <t>5.16.04.03</t>
  </si>
  <si>
    <t>5.16.04.04</t>
  </si>
  <si>
    <t>5.16.04.05</t>
  </si>
  <si>
    <t>5.16.04.06</t>
  </si>
  <si>
    <t>5.16.04.07</t>
  </si>
  <si>
    <t>5.16.04.08</t>
  </si>
  <si>
    <t>5.16.04.09</t>
  </si>
  <si>
    <t>5.16.04.10</t>
  </si>
  <si>
    <t>5.16.04.11</t>
  </si>
  <si>
    <t>6.03</t>
  </si>
  <si>
    <t>INTERESSI PASSIVI</t>
  </si>
  <si>
    <t>6.03.01</t>
  </si>
  <si>
    <t>INTERESSI PASSIVI SU ANTICIPAZIONI DI CASSA</t>
  </si>
  <si>
    <t>6.03.01.01</t>
  </si>
  <si>
    <t>6.03.02</t>
  </si>
  <si>
    <t>6.03.02.01</t>
  </si>
  <si>
    <t>6.03.03</t>
  </si>
  <si>
    <t>ALTRI INTERESSI PASSIVI</t>
  </si>
  <si>
    <t>6.03.03.01</t>
  </si>
  <si>
    <t>6.04</t>
  </si>
  <si>
    <t>ALTRI ONERI</t>
  </si>
  <si>
    <t>6.04.01</t>
  </si>
  <si>
    <t>6.04.01.01</t>
  </si>
  <si>
    <t>6.04.02</t>
  </si>
  <si>
    <t>6.04.02.01</t>
  </si>
  <si>
    <t>7.01</t>
  </si>
  <si>
    <t>RIVALUTAZIONI</t>
  </si>
  <si>
    <t>7.01.01</t>
  </si>
  <si>
    <t>7.01.01.01</t>
  </si>
  <si>
    <t>7.02</t>
  </si>
  <si>
    <t>SVALUTAZIONI</t>
  </si>
  <si>
    <t>7.02.01</t>
  </si>
  <si>
    <t>7.02.01.01</t>
  </si>
  <si>
    <t>8.02</t>
  </si>
  <si>
    <t>ONERI STRAORDINARI</t>
  </si>
  <si>
    <t>8.02.01</t>
  </si>
  <si>
    <t>MINUSVALENZE</t>
  </si>
  <si>
    <t>8.02.01.01</t>
  </si>
  <si>
    <t>8.02.02</t>
  </si>
  <si>
    <t>8.02.02.01</t>
  </si>
  <si>
    <t>8.02.02.02</t>
  </si>
  <si>
    <t>8.02.02.03</t>
  </si>
  <si>
    <t>SOPRAVVENIENZE PASSIVE</t>
  </si>
  <si>
    <t>8.02.02.04</t>
  </si>
  <si>
    <t>INSUSSISTENZE PASSIVE</t>
  </si>
  <si>
    <t>8.02.02.05</t>
  </si>
  <si>
    <t>9.01</t>
  </si>
  <si>
    <t>9.01.01</t>
  </si>
  <si>
    <t>9.01.01.01</t>
  </si>
  <si>
    <t>9.01.02</t>
  </si>
  <si>
    <t>IRAP RELATIVA A COLLABORATORI E PERSONALE ASSIMILATO A LAVORO DIPENDENTE</t>
  </si>
  <si>
    <t>9.01.02.01</t>
  </si>
  <si>
    <t>9.01.03</t>
  </si>
  <si>
    <t>IRAP RELATIVA AD ATTIVITA' DI LIBERA PROFESSIONE (INTRAMOENIA)</t>
  </si>
  <si>
    <t>9.01.03.01</t>
  </si>
  <si>
    <t>9.01.04</t>
  </si>
  <si>
    <t>IRAP RELATIVA AD ATTIVITA' COMMERCIALE</t>
  </si>
  <si>
    <t>9.01.04.01</t>
  </si>
  <si>
    <t>9.02</t>
  </si>
  <si>
    <t>9.02.01</t>
  </si>
  <si>
    <t>IRES SU ATTIVITA' ISTITUZIONALE</t>
  </si>
  <si>
    <t>9.02.01.01</t>
  </si>
  <si>
    <t>9.02.02</t>
  </si>
  <si>
    <t>IRES SU ATTIVITA' COMMERCIALE</t>
  </si>
  <si>
    <t>9.02.02.01</t>
  </si>
  <si>
    <t>9.03</t>
  </si>
  <si>
    <t>ACCANTONAMENTO A F.DO IMPOSTE (ACCERTAMENTI, CONDONI, ECC.)</t>
  </si>
  <si>
    <t>9.03.01</t>
  </si>
  <si>
    <t>9.03.01.01</t>
  </si>
  <si>
    <t>AGGR</t>
  </si>
  <si>
    <t>Etichette di riga</t>
  </si>
  <si>
    <t>Totale complessivo</t>
  </si>
  <si>
    <t>Somma di SALDO</t>
  </si>
  <si>
    <t>Somma di SALDO MOV</t>
  </si>
  <si>
    <t>Somma di SALDO MOV2</t>
  </si>
  <si>
    <t>Somma di SALDO2</t>
  </si>
  <si>
    <t>(vuoto)</t>
  </si>
  <si>
    <t>Δ</t>
  </si>
  <si>
    <t>anno</t>
  </si>
  <si>
    <r>
      <rPr>
        <b/>
        <i/>
        <sz val="12"/>
        <color indexed="8"/>
        <rFont val="Tahoma"/>
        <family val="2"/>
        <charset val="1"/>
      </rPr>
      <t>Importi</t>
    </r>
    <r>
      <rPr>
        <b/>
        <sz val="12"/>
        <rFont val="Arial1"/>
        <charset val="1"/>
      </rPr>
      <t>: Euro</t>
    </r>
  </si>
  <si>
    <r>
      <t xml:space="preserve">SCHEMA DI BILANCIO
</t>
    </r>
    <r>
      <rPr>
        <i/>
        <sz val="9"/>
        <rFont val="Arial1"/>
        <charset val="1"/>
      </rPr>
      <t>Decreto Interministeriale 20 marzo 2013</t>
    </r>
  </si>
  <si>
    <t>%</t>
  </si>
  <si>
    <t>A)</t>
  </si>
  <si>
    <t>1)</t>
  </si>
  <si>
    <t>a)</t>
  </si>
  <si>
    <t>Contributi in c/esercizio - da Regione o Provincia Autonoma per quota F.S. regionale</t>
  </si>
  <si>
    <t>b)</t>
  </si>
  <si>
    <t>Contributi in c/esercizio - extra fondo</t>
  </si>
  <si>
    <t>Contributi da Regione o Prov. Aut. (extra fondo) - vincolati</t>
  </si>
  <si>
    <t>2)</t>
  </si>
  <si>
    <t>Contributi da Regione o Prov. Aut. (extra fondo) - Risorse aggiuntive da bilancio a titolo di copertura LEA</t>
  </si>
  <si>
    <t>3)</t>
  </si>
  <si>
    <t>Contributi da Regione o Prov. Aut. (extra fondo) - Risorse aggiuntive da bilancio a titolo di copertura extra LEA</t>
  </si>
  <si>
    <t>4)</t>
  </si>
  <si>
    <t>Contributi da Regione o Prov. Aut. (extra fondo) - altro</t>
  </si>
  <si>
    <t>5)</t>
  </si>
  <si>
    <t>Contributi da aziende sanitarie pubbliche (extra fondo)</t>
  </si>
  <si>
    <t>6)</t>
  </si>
  <si>
    <t>Contributi da altri soggetti pubblici</t>
  </si>
  <si>
    <t>c)</t>
  </si>
  <si>
    <t>Contributi in c/esercizio - per ricerca</t>
  </si>
  <si>
    <t>da Ministero della Salute per ricerca corrente</t>
  </si>
  <si>
    <t>da Ministero della Salute per ricerca finalizzata</t>
  </si>
  <si>
    <t>da Regione e altri soggetti pubblici</t>
  </si>
  <si>
    <t>da privati</t>
  </si>
  <si>
    <t>d)</t>
  </si>
  <si>
    <t>Contributi in c/esercizio - da privati</t>
  </si>
  <si>
    <t>Ricavi per prestazioni sanitarie e sociosanitarie - ad aziende sanitarie pubbliche</t>
  </si>
  <si>
    <t>Ricavi per prestazioni sanitarie e sociosanitarie - intramoenia</t>
  </si>
  <si>
    <t>Ricavi per prestazioni sanitarie e sociosanitarie - altro</t>
  </si>
  <si>
    <t>7)</t>
  </si>
  <si>
    <t>Quota contributi in c/capitale imputata nell'esercizio</t>
  </si>
  <si>
    <t>8)</t>
  </si>
  <si>
    <t>9)</t>
  </si>
  <si>
    <t>Totale A)</t>
  </si>
  <si>
    <t>B)</t>
  </si>
  <si>
    <t>Acquisti di servizi sanitari</t>
  </si>
  <si>
    <t>Acquisti di servizi sanitari - Medicina di base</t>
  </si>
  <si>
    <t>Acquisti di servizi sanitari - Farmaceutica</t>
  </si>
  <si>
    <t>Acquisti di servizi sanitari per assitenza specialistica ambulatoriale</t>
  </si>
  <si>
    <t>Acquisti di servizi sanitari per assistenza riabilitativa</t>
  </si>
  <si>
    <t>e)</t>
  </si>
  <si>
    <t>Acquisti di servizi sanitari per assistenza integrativa</t>
  </si>
  <si>
    <t>f)</t>
  </si>
  <si>
    <t>Acquisti di servizi sanitari per assistenza protesica</t>
  </si>
  <si>
    <t>g)</t>
  </si>
  <si>
    <t>Acquisti di servizi sanitari per assistenza ospedaliera</t>
  </si>
  <si>
    <t>h)</t>
  </si>
  <si>
    <t>Acquisti prestazioni di psichiatrica residenziale e semiresidenziale</t>
  </si>
  <si>
    <t>i)</t>
  </si>
  <si>
    <t>Acquisti prestazioni di distribuzione farmaci File F</t>
  </si>
  <si>
    <t>j)</t>
  </si>
  <si>
    <t>Acquisti prestazioni termali in convenzione</t>
  </si>
  <si>
    <t>k)</t>
  </si>
  <si>
    <t>Acquisti prestazioni di trasporto sanitario</t>
  </si>
  <si>
    <t>l)</t>
  </si>
  <si>
    <t>Acquisti prestazioni  socio-sanitarie a rilevanza sanitaria</t>
  </si>
  <si>
    <t>m)</t>
  </si>
  <si>
    <t>Compartecipazione al personale per att. Libero-prof. (intramoenia)</t>
  </si>
  <si>
    <t>n)</t>
  </si>
  <si>
    <t>Rimborsi Assegni e contributi sanitari</t>
  </si>
  <si>
    <t>o)</t>
  </si>
  <si>
    <t>Consulenze, collaborazioni, interinale, altre prestazioni di lavoro sanitarie e sociosanitarie</t>
  </si>
  <si>
    <t>p)</t>
  </si>
  <si>
    <t>q)</t>
  </si>
  <si>
    <t>Costi per differenziale Tariffe TUC</t>
  </si>
  <si>
    <t>Consulenze, collaborazioni, interinale, altre prestazioni di lavoro non sanitarie</t>
  </si>
  <si>
    <t>Formazione</t>
  </si>
  <si>
    <t>Manutenzione e riparazione</t>
  </si>
  <si>
    <t>Costi del personale</t>
  </si>
  <si>
    <t>Personale dirigente medico</t>
  </si>
  <si>
    <t>Personale dirigente ruolo sanitario non medico</t>
  </si>
  <si>
    <t>Personale comparto ruolo sanitario</t>
  </si>
  <si>
    <t>Personale dirigente altri ruoli</t>
  </si>
  <si>
    <t>Personale comparto altri ruoli</t>
  </si>
  <si>
    <t>Ammortamenti immobilizzazioni immateriali</t>
  </si>
  <si>
    <t>Ammortamenti dei Fabbricati</t>
  </si>
  <si>
    <t>Svalutazione delle immobilizzazioni e dei crediti</t>
  </si>
  <si>
    <t>10)</t>
  </si>
  <si>
    <t>Variazione delle rimanenze</t>
  </si>
  <si>
    <t>Variazione delle rimanenze sanitarie</t>
  </si>
  <si>
    <t>Variazione delle rimanenze non sanitarie</t>
  </si>
  <si>
    <t>11)</t>
  </si>
  <si>
    <t>Accantonamenti per premio operosità</t>
  </si>
  <si>
    <t>Totale B)</t>
  </si>
  <si>
    <t>DIFF. TRA VALORE E COSTI DELLA PRODUZIONE (A-B)</t>
  </si>
  <si>
    <t>C)</t>
  </si>
  <si>
    <t>Interessi attivi ed altri proventi finanziari</t>
  </si>
  <si>
    <t>Interessi passivi ed altri oneri finanziari</t>
  </si>
  <si>
    <t>Totale C)</t>
  </si>
  <si>
    <t>D)</t>
  </si>
  <si>
    <t>RETTIFICHE DI VALORE DI ATTIVITA' FINANZIARIE</t>
  </si>
  <si>
    <t>Totale D)</t>
  </si>
  <si>
    <t>E)</t>
  </si>
  <si>
    <t>Totale E)</t>
  </si>
  <si>
    <t>RISULTATO PRIMA DELLE IMPOSTE (A-B+C+D+E)</t>
  </si>
  <si>
    <t>Y)</t>
  </si>
  <si>
    <t>IMPOSTE SUL REDDITO DELL'ESERCIZIO</t>
  </si>
  <si>
    <t>IRAP relativa ad attività commerciali</t>
  </si>
  <si>
    <t>Accantonamento a fondo imposte (accertamenti, condoni, ecc.)</t>
  </si>
  <si>
    <t>Totale Y)</t>
  </si>
  <si>
    <t>UTILE (PERDITA) DELL'ESERCIZIO</t>
  </si>
  <si>
    <t>SCHEMA DI BILANCIO
Decreto Interministeriale 20 marzo 2013</t>
  </si>
  <si>
    <t xml:space="preserve">Anno 2024
</t>
  </si>
  <si>
    <t>I Immobilizzazioni immateriali</t>
  </si>
  <si>
    <t>1) Costi d'impianto e di ampliamento</t>
  </si>
  <si>
    <t>2) Costi di ricerca e sviluppo</t>
  </si>
  <si>
    <t>3) Diritti di brevetto e di utilizzazione delle opere dell'ingegno</t>
  </si>
  <si>
    <t>4) Immobilizzazioni immateriali in corso e acconti</t>
  </si>
  <si>
    <t>5) Altre immobilizzazioni immateriali</t>
  </si>
  <si>
    <t>II Immobilizzazioni materiali</t>
  </si>
  <si>
    <t>1) Terreni</t>
  </si>
  <si>
    <t xml:space="preserve">   a) Terreni disponibili</t>
  </si>
  <si>
    <t xml:space="preserve">   b) Terreni indisponibili</t>
  </si>
  <si>
    <t xml:space="preserve">2) Fabbricati </t>
  </si>
  <si>
    <t xml:space="preserve">   a) Fabbricati non strumentali (disponibili)</t>
  </si>
  <si>
    <t xml:space="preserve">   b) Fabbricati strumentali (indisponibili)</t>
  </si>
  <si>
    <t>3) Impianti e macchinari</t>
  </si>
  <si>
    <t>4) Attrezzature sanitarie e scientifiche</t>
  </si>
  <si>
    <t>5) Mobili e arredi</t>
  </si>
  <si>
    <t>6) Automezzi</t>
  </si>
  <si>
    <t>7) Oggetti d'arte</t>
  </si>
  <si>
    <t>8) Altre immobilizzazioni materiali</t>
  </si>
  <si>
    <t>9) Immobilizzazioni materiali in corso e acconti</t>
  </si>
  <si>
    <t>Entro 12 mesi</t>
  </si>
  <si>
    <t>Oltre 12 mesi</t>
  </si>
  <si>
    <t>III Immobilizzazioni finanziarie (con separata indicazione, per ciascuna voce dei crediti, degli importi esigibili entro l'esercizio successivo)</t>
  </si>
  <si>
    <t>1) Crediti finanziari</t>
  </si>
  <si>
    <t xml:space="preserve">   a) Crediti finanziari v/Stato</t>
  </si>
  <si>
    <t xml:space="preserve">   b) Crediti finanziari v/Regione</t>
  </si>
  <si>
    <t xml:space="preserve">   c) Crediti finanziari v/partecipate</t>
  </si>
  <si>
    <t xml:space="preserve">   d) Crediti finanziari v/altri</t>
  </si>
  <si>
    <t>2) Titoli</t>
  </si>
  <si>
    <t xml:space="preserve">   a) Partecipazioni</t>
  </si>
  <si>
    <t xml:space="preserve">   b) Altri titoli</t>
  </si>
  <si>
    <t>I Rimanenze</t>
  </si>
  <si>
    <t>1) Rimanenze beni sanitari</t>
  </si>
  <si>
    <t>2) Rimanenze beni non sanitari</t>
  </si>
  <si>
    <t>3) Acconti per acquisti beni sanitari</t>
  </si>
  <si>
    <t>4) Acconti per acquisti beni non sanitari</t>
  </si>
  <si>
    <t>II Crediti (con separata indicazione, per ciascuna voce, degli importi esigibili oltre l'esercizio successivo)</t>
  </si>
  <si>
    <t>1) Crediti v/Stato</t>
  </si>
  <si>
    <t xml:space="preserve">   a) Crediti v/Stato - parte corrente</t>
  </si>
  <si>
    <t xml:space="preserve">      1) Crediti v/Stato per spesa corrente e acconti</t>
  </si>
  <si>
    <t xml:space="preserve">      2) Crediti v/Stato - altro</t>
  </si>
  <si>
    <t xml:space="preserve">   b) Crediti v/Stato - investimenti</t>
  </si>
  <si>
    <t xml:space="preserve">   c) Crediti v/Stato - per ricerca</t>
  </si>
  <si>
    <t xml:space="preserve">      1) Crediti v/Ministero della Salute per ricerca corrente</t>
  </si>
  <si>
    <t xml:space="preserve">      2) Crediti v/Ministero della Salute per ricerca finalizzata</t>
  </si>
  <si>
    <t xml:space="preserve">      3) Crediti v/Stato per ricerca - altre Amministrazioni centrali</t>
  </si>
  <si>
    <t xml:space="preserve">      4) Crediti v/Stato - investimenti per ricerca</t>
  </si>
  <si>
    <t xml:space="preserve">   d) Crediti v/prefetture</t>
  </si>
  <si>
    <t>2) Crediti v/Regione o Provincia Autonoma</t>
  </si>
  <si>
    <t xml:space="preserve">   a) Crediti v/Regione o Provincia Autonoma - parte corrente</t>
  </si>
  <si>
    <t xml:space="preserve">      1) Crediti v/Regione o Provincia Autonoma per spesa corrente</t>
  </si>
  <si>
    <t xml:space="preserve">         a)  Crediti v/Regione o Provincia Autonoma per finanziamento sanitario ordinario corrente</t>
  </si>
  <si>
    <t xml:space="preserve">         b)  Crediti v/Regione o Provincia Autonoma per finanziamento sanitario aggiuntivo corrente LEA</t>
  </si>
  <si>
    <t xml:space="preserve">         c)  Crediti v/Regione o Provincia Autonoma per finanziamento sanitario aggiuntivo corrente extra LEA</t>
  </si>
  <si>
    <t xml:space="preserve">         d) Crediti v/Regione o Provincia Autonoma per spesa corrente - altro</t>
  </si>
  <si>
    <t xml:space="preserve">      2) Crediti v/Regione o Provincia Autonoma per ricerca</t>
  </si>
  <si>
    <t xml:space="preserve">   b) Crediti v/Regione o Provincia Autonoma - patrimonio netto</t>
  </si>
  <si>
    <t xml:space="preserve">      1) Crediti v/Regione o Provincia Autonoma per finanziamento per investimenti</t>
  </si>
  <si>
    <t xml:space="preserve">      2) Crediti v/Regione o Provincia Autonoma per incremento fondo di dotazione</t>
  </si>
  <si>
    <t xml:space="preserve">      3) Crediti v/Regione o Provincia Autonoma per ripiano perdite</t>
  </si>
  <si>
    <t xml:space="preserve">      4) Crediti v/Regione o Provincia Autonoma per ricostituzione risorse da investimenti esercizi precedenti</t>
  </si>
  <si>
    <t>3) Crediti v/Comuni</t>
  </si>
  <si>
    <t>4) Crediti v/aziende sanitarie pubbliche e acconto quota FSR da distribuire</t>
  </si>
  <si>
    <t xml:space="preserve">   a) Crediti v/aziende sanitarie pubbliche della Regione</t>
  </si>
  <si>
    <t xml:space="preserve">   b) Crediti v/aziende sanitarie pubbliche fuori Regione</t>
  </si>
  <si>
    <t>5) Crediti v/società partecipate e/o enti dipendenti della Regione</t>
  </si>
  <si>
    <t>6) Crediti v/Erario</t>
  </si>
  <si>
    <t>7) Crediti v/altri</t>
  </si>
  <si>
    <t>III Attività finanziarie che non costituiscono immobilizzazioni</t>
  </si>
  <si>
    <t>1) Partecipazioni che non costituiscono immobilizzazioni</t>
  </si>
  <si>
    <t>2) Altri titoli che non costituiscono immobilizzazioni</t>
  </si>
  <si>
    <t>IV Disponibilità liquide</t>
  </si>
  <si>
    <t>1) Cassa</t>
  </si>
  <si>
    <t>2) Istituto Tesoriere</t>
  </si>
  <si>
    <t>3) Tesoreria Unica</t>
  </si>
  <si>
    <t>4) Conto corrente postale</t>
  </si>
  <si>
    <t>I Ratei attivi</t>
  </si>
  <si>
    <t>II Risconti attivi</t>
  </si>
  <si>
    <t>TOTALE ATTIVO (A+B+C)</t>
  </si>
  <si>
    <t>D) CONTI D'ORDINE</t>
  </si>
  <si>
    <t>1) Canoni di leasing ancora da pagare</t>
  </si>
  <si>
    <t>2) Depositi cauzionali</t>
  </si>
  <si>
    <t>3) Beni in comodato</t>
  </si>
  <si>
    <t>4) Altri conti d'ordine</t>
  </si>
  <si>
    <t>I Fondo di dotazione</t>
  </si>
  <si>
    <t>II Finanziamenti per investimenti</t>
  </si>
  <si>
    <t xml:space="preserve">   1) Finanziamenti per beni di prima dotazione</t>
  </si>
  <si>
    <t xml:space="preserve">   2) Finanziamenti da Stato per investimenti</t>
  </si>
  <si>
    <t xml:space="preserve">      a) Finanziamenti da Stato ex art. 20 Legge 67/88</t>
  </si>
  <si>
    <t xml:space="preserve">      b) Finanziamenti da Stato per ricerca</t>
  </si>
  <si>
    <t xml:space="preserve">      c) Finanziamenti da Stato - altro</t>
  </si>
  <si>
    <t xml:space="preserve">   3) Finanziamenti da Regione per investimenti</t>
  </si>
  <si>
    <t xml:space="preserve">   4) Finanziamenti da altri soggetti pubblici per investimenti</t>
  </si>
  <si>
    <t xml:space="preserve">   5) Finanziamenti per investimenti da rettifica contributi in conto esercizio</t>
  </si>
  <si>
    <t>III Riserve da donazioni e lasciti vincolati ad investimenti</t>
  </si>
  <si>
    <t>IV Riserve da donazioni e lasciti vincolati ad investimenti</t>
  </si>
  <si>
    <t>V Contributi per ripiano perdite</t>
  </si>
  <si>
    <t>VI Utili (perdite) portati a nuovo</t>
  </si>
  <si>
    <t>VII Utile (perdita) dell'esercizio</t>
  </si>
  <si>
    <t>B) FONDI PER RISCHI ED ONERI</t>
  </si>
  <si>
    <t>1) Fondi per imposte, anche differite</t>
  </si>
  <si>
    <t>2) Fondi per rischi</t>
  </si>
  <si>
    <t>3) Fondi da distribuire</t>
  </si>
  <si>
    <t>4) Quota inutilizzata contributi di parte corrente vincolati</t>
  </si>
  <si>
    <t>5) Altri fondi oneri</t>
  </si>
  <si>
    <t>1) Premi operosità</t>
  </si>
  <si>
    <t>2) TFR personale dipendente</t>
  </si>
  <si>
    <t xml:space="preserve">D) DEBITI </t>
  </si>
  <si>
    <t>1) Mutui passivi</t>
  </si>
  <si>
    <t>2) Debiti v/Stato</t>
  </si>
  <si>
    <t>3) Debiti v/Regione o Provincia Autonoma</t>
  </si>
  <si>
    <t>4) Debiti v/Comuni</t>
  </si>
  <si>
    <t>5) Debiti v/aziende sanitarie pubbliche</t>
  </si>
  <si>
    <t xml:space="preserve">      a) Debiti v/aziende sanitarie pubbliche della Regione per spesa corrente e mobilità</t>
  </si>
  <si>
    <t xml:space="preserve">      b) Debiti v/aziende sanitarie pubbliche della Regione per finanziamento sanitario aggiuntivo corrente LEA</t>
  </si>
  <si>
    <t xml:space="preserve">      c) Debiti v/aziende sanitarie pubbliche della Regione per finanziamento sanitario aggiuntivo corrente extra LEA</t>
  </si>
  <si>
    <t xml:space="preserve">      d) Debiti v/aziende sanitarie pubbliche della Regione per altre prestazioni</t>
  </si>
  <si>
    <t xml:space="preserve">      e) Debiti v/aziende sanitarie pubbliche della Regione per versamenti a patrimonio netto</t>
  </si>
  <si>
    <t xml:space="preserve">      f) Debiti v/aziende sanitarie pubbliche fuori Regione</t>
  </si>
  <si>
    <t>6) Debiti v/società partecipate e/o enti dipendenti della Regione</t>
  </si>
  <si>
    <t>7) Debiti v/fornitori</t>
  </si>
  <si>
    <t>8) Debiti v/Istituto Tesoriere</t>
  </si>
  <si>
    <t>9) Debiti tributari</t>
  </si>
  <si>
    <t>10) Debiti v/altri finanziatori</t>
  </si>
  <si>
    <t>11) Debiti v/istituti previdenziali, assistenziali e sicurezza sociale</t>
  </si>
  <si>
    <t>12) Debiti v/altri</t>
  </si>
  <si>
    <t>1) Ratei passivi</t>
  </si>
  <si>
    <t>2) Risconti passivi</t>
  </si>
  <si>
    <t>TOTALE PASSIVO E PATRIMONIO NETTO (A+B+C+D+E)</t>
  </si>
  <si>
    <t>F) CONTI D'ORDINE</t>
  </si>
  <si>
    <t>Totale F)</t>
  </si>
  <si>
    <t xml:space="preserve"> CONTO  ECONOMICO</t>
  </si>
  <si>
    <t>Anno 2024</t>
  </si>
  <si>
    <t xml:space="preserve">
RENDICONTO FINANZIARIO</t>
  </si>
  <si>
    <t>Importi: Euro</t>
  </si>
  <si>
    <t>SCHEMA DI RENDICONTO FINANZIARIO</t>
  </si>
  <si>
    <t>OPERAZIONI DI GESTIONE REDDITUALE</t>
  </si>
  <si>
    <t>(+)</t>
  </si>
  <si>
    <t>risultato di esercizio</t>
  </si>
  <si>
    <t>- Voci che non hanno effetto sulla liquidità: costi e ricavi non monetari</t>
  </si>
  <si>
    <t>ammortamenti fabbricati</t>
  </si>
  <si>
    <t>ammortamenti altre immobilizzazioni materiali</t>
  </si>
  <si>
    <t>ammortamenti immobilizzazioni immateriali</t>
  </si>
  <si>
    <t>(-)</t>
  </si>
  <si>
    <t>Utilizzo finanziamenti per investimenti</t>
  </si>
  <si>
    <t>Utilizzo fondi riserva: investimenti, incentivi al personale, successioni e donaz., plusvalenze da reinvestire</t>
  </si>
  <si>
    <t>utilizzo contributi in c/capitale e fondi riserva</t>
  </si>
  <si>
    <t>accantonamenti SUMAI</t>
  </si>
  <si>
    <t>pagamenti SUMAI</t>
  </si>
  <si>
    <t>accantonamenti TFR</t>
  </si>
  <si>
    <t>pagamenti TFR</t>
  </si>
  <si>
    <t>- Premio operosità medici SUMAI + TFR</t>
  </si>
  <si>
    <t>(+/-)</t>
  </si>
  <si>
    <t>Rivalutazioni/svalutazioni di attività finanziarie</t>
  </si>
  <si>
    <t>accantonamenti a fondi svalutazioni</t>
  </si>
  <si>
    <t>utilizzo fondi svalutazioni*</t>
  </si>
  <si>
    <t>- Fondi svalutazione di attività</t>
  </si>
  <si>
    <t>accantonamenti a fondi per rischi e oneri</t>
  </si>
  <si>
    <t>utilizzo fondi per rischi e oneri</t>
  </si>
  <si>
    <t>- Fondo per rischi ed oneri futuri</t>
  </si>
  <si>
    <t>TOTALE Flusso di CCN della gestione corrente</t>
  </si>
  <si>
    <t>(+)/(-)</t>
  </si>
  <si>
    <t>aumento/diminuzione debiti verso regione e provincia autonoma, esclusa la variazione relativa a debiti per acquisto di beni strumentali</t>
  </si>
  <si>
    <t>aumento/diminuzione debiti verso comune</t>
  </si>
  <si>
    <t>aumento/diminuzione debiti verso aziende sanitarie pubbliche</t>
  </si>
  <si>
    <t>aumento/diminuzione debiti verso arpa</t>
  </si>
  <si>
    <t xml:space="preserve">aumento/diminuzione debiti verso fornitori </t>
  </si>
  <si>
    <t>aumento/diminuzione debiti tributari</t>
  </si>
  <si>
    <t>aumento/diminuzione debiti verso istituti di previdenza</t>
  </si>
  <si>
    <t>aumento/diminuzione altri debiti</t>
  </si>
  <si>
    <t>aumento/diminuzione debiti (escl forn di immob e C/C bancari e istituto tesoriere)</t>
  </si>
  <si>
    <t>aumento/diminuzione ratei e risconti passivi</t>
  </si>
  <si>
    <t>diminuzione/aumento crediti parte corrente v/stato quote indistinte</t>
  </si>
  <si>
    <t>diminuzione/aumento crediti parte corrente v/stato quote vincolate</t>
  </si>
  <si>
    <t>diminuzione/aumento crediti parte corrente v/Regione per gettito addizionali Irpef e Irap</t>
  </si>
  <si>
    <t>diminuzione/aumento crediti parte corrente v/Regione per partecipazioni regioni a statuto speciale</t>
  </si>
  <si>
    <t>diminuzione/aumento crediti parte corrente v/Regione - vincolate per partecipazioni regioni a statuto speciale</t>
  </si>
  <si>
    <t>diminuzione/aumento crediti parte corrente v/Regione -gettito fiscalità regionale</t>
  </si>
  <si>
    <t>diminuzione/aumento crediti parte corrente v/Regione - altri contributi extrafondo</t>
  </si>
  <si>
    <t xml:space="preserve">diminuzione/aumento crediti parte corrente v/Regione </t>
  </si>
  <si>
    <t>diminuzione/aumento crediti parte corrente v/Comune</t>
  </si>
  <si>
    <t>diminuzione/aumento crediti parte corrente v/Asl-Ao</t>
  </si>
  <si>
    <t>diminuzione/aumento crediti parte corrente v/ARPA</t>
  </si>
  <si>
    <t>diminuzione/aumento crediti parte corrente v/Erario</t>
  </si>
  <si>
    <t>diminuzione/aumento crediti parte corrente v/Altri</t>
  </si>
  <si>
    <t>diminuzione/aumento di crediti</t>
  </si>
  <si>
    <t>diminuzione/aumento del magazzino</t>
  </si>
  <si>
    <t>diminuzione/aumento di acconti a fornitori per magazzino</t>
  </si>
  <si>
    <t>diminuzione/aumento rimanenze</t>
  </si>
  <si>
    <t>diminuzione/aumento ratei e risconti attivi</t>
  </si>
  <si>
    <t>A - Totale operazioni di gestione reddituale</t>
  </si>
  <si>
    <t>A Totale operazioni della gestione reddituale</t>
  </si>
  <si>
    <t>ATTIVITÀ DI INVESTIMENTO</t>
  </si>
  <si>
    <t>Acquisto costi di impianto e di ampliamento</t>
  </si>
  <si>
    <t>Acquisto costi di ricerca e sviluppo</t>
  </si>
  <si>
    <t>Acquisto Diritti di brevetto e diritti di utilizzazione delle opere d'ingegno</t>
  </si>
  <si>
    <t xml:space="preserve">Acquisto immobilizzazioni immateriali in corso </t>
  </si>
  <si>
    <t>Acquisto altre immobilizzazioni immateriali</t>
  </si>
  <si>
    <t>Acquisto Immobilizzazioni Immateriali</t>
  </si>
  <si>
    <t>Valore netto contabile costi di impianto e di ampliamento dismessi</t>
  </si>
  <si>
    <t>Valore netto contabile costi di ricerca e sviluppo dismessi</t>
  </si>
  <si>
    <t>Valore netto contabile Diritti di brevetto e diritti di utilizzazione delle opere d'ingegno dismessi</t>
  </si>
  <si>
    <t>Valore netto contabile immobilizzazioni immateriali in corso dismesse</t>
  </si>
  <si>
    <t>Valore netto contabile altre immobilizzazioni immateriali dismesse</t>
  </si>
  <si>
    <t>Valore netto  contabile Immobilizzazioni Immateriali dismesse</t>
  </si>
  <si>
    <t xml:space="preserve">Acquisto terreni </t>
  </si>
  <si>
    <t xml:space="preserve">Acquisto fabbricati </t>
  </si>
  <si>
    <t xml:space="preserve">Acquisto impianti e macchinari </t>
  </si>
  <si>
    <t xml:space="preserve">Acquisto attrezzature sanitarie e scientifiche </t>
  </si>
  <si>
    <t xml:space="preserve">Acquisto mobili e arredi </t>
  </si>
  <si>
    <t xml:space="preserve">Acquisto automezzi </t>
  </si>
  <si>
    <t xml:space="preserve">Acquisto altri beni materiali </t>
  </si>
  <si>
    <t>Acquisto Immobilizzazioni Materiali</t>
  </si>
  <si>
    <t>Valore netto  contabile terreni dismessi</t>
  </si>
  <si>
    <t>Valore netto  contabile fabbricati dismessi</t>
  </si>
  <si>
    <t>Valore netto  contabile impianti e macchinari dismessi</t>
  </si>
  <si>
    <t>Valore netto  contabile attrezzature sanitarie e scientifiche dismesse</t>
  </si>
  <si>
    <t>Valore netto  contabile mobili e arredi dismessi</t>
  </si>
  <si>
    <t>Valore netto  contabile automezzi dismessi</t>
  </si>
  <si>
    <t>Valore netto  contabile altri beni materiali dismessi</t>
  </si>
  <si>
    <t>Valore netto contabile Immobilizzazioni Materiali dismesse</t>
  </si>
  <si>
    <t>Acquisto crediti finanziari</t>
  </si>
  <si>
    <t>Acquisto titoli</t>
  </si>
  <si>
    <t>Acquisto Immobilizzazioni Finanziarie</t>
  </si>
  <si>
    <t>Valore netto  contabile crediti finanziari dismessi</t>
  </si>
  <si>
    <t>Valore netto  contabile titoli dismessi</t>
  </si>
  <si>
    <t>Valore netto  contabile Immobilizzazioni Finanziarie dismesse</t>
  </si>
  <si>
    <t>Aumento/Diminuzione debiti v/fornitori di immobilizzazioni</t>
  </si>
  <si>
    <t>B - Totale attività di investimento</t>
  </si>
  <si>
    <t>ATTIVITÀ DI FINANZIAMENTO</t>
  </si>
  <si>
    <t>diminuzione/aumento crediti vs Stato (finanziamenti per investimenti)</t>
  </si>
  <si>
    <t>diminuzione/aumento crediti vs Regione  (finanziamenti per investimenti)</t>
  </si>
  <si>
    <t>diminuzione/aumento crediti vs Regione  (aumento fondo di dotazione)</t>
  </si>
  <si>
    <t>diminuzione/aumento crediti vs Regione  (ripiano perdite)</t>
  </si>
  <si>
    <t>diminuzione/aumento crediti vs Regione  (copertura debiti al 31.12.2005)</t>
  </si>
  <si>
    <t>Diminuzione/aumento crediti per versamenti a Patrimonio Netto</t>
  </si>
  <si>
    <t>Aumento/ diminuzione  fondo di dotazione</t>
  </si>
  <si>
    <t>aumento contributi in c/capitale da regione e da altri</t>
  </si>
  <si>
    <t>altri aumenti/diminuzioni al patrimonio netto*</t>
  </si>
  <si>
    <t>aumenti/diminuzioni nette contabili al patrimonio netto</t>
  </si>
  <si>
    <t>aumento/diminuzione debiti C/C bancari e istituto tesoriere*</t>
  </si>
  <si>
    <t>assunzione nuovi mutui*</t>
  </si>
  <si>
    <t>mutui quota capitale rimborsata</t>
  </si>
  <si>
    <t>C - Totale attività di finanziamento</t>
  </si>
  <si>
    <t>FLUSSO DI CASSA COMPLESSIVO (A+B+C)</t>
  </si>
  <si>
    <t>Delta liquidità tra inizio e fine esercizio (al netto dei conti bancari passivi)</t>
  </si>
  <si>
    <t>Squadratura tra il valore delle disponibilità liquide nello SP e il valore del flusso di cassa complessivo</t>
  </si>
  <si>
    <t>\</t>
  </si>
  <si>
    <t>A.O.U.P. P.GIACCONE              BILANCIO D'ESERCIZIO 2025  STATO PATRIMONIALE PASSIVO</t>
  </si>
  <si>
    <t>VARIAZIONE 2025/2024</t>
  </si>
  <si>
    <t>A.O.U.P. P.GIACCONE                   BILANCIO D'ESERCIZIO 2025                                STATO PATRIMONIALE    ATTIVO</t>
  </si>
  <si>
    <t xml:space="preserve">Anno 2025
</t>
  </si>
  <si>
    <t>Anno 2025</t>
  </si>
  <si>
    <t xml:space="preserve">A </t>
  </si>
  <si>
    <t>A.I</t>
  </si>
  <si>
    <t>A.I.1</t>
  </si>
  <si>
    <t>A.I.1.a</t>
  </si>
  <si>
    <t>A.I.1.b</t>
  </si>
  <si>
    <t>A.I.2.a</t>
  </si>
  <si>
    <t>A.I.2.b</t>
  </si>
  <si>
    <t>A.I.3.a</t>
  </si>
  <si>
    <t>A.I.3.a) Diritti di brevetto e diritti di utilizzazione delle opere d'ingegno -
 derivanti dall'attività di ricerca</t>
  </si>
  <si>
    <t>A.I.3.b</t>
  </si>
  <si>
    <t>A.I.3.b) F.do Amm.to diritti di brevetto e diritti di utilizzazione delle opere 
 d'ingegno - derivanti dall'attività di ricerca</t>
  </si>
  <si>
    <t>A.I.3.c</t>
  </si>
  <si>
    <t>A.I.3.d</t>
  </si>
  <si>
    <t>A.I.3.d) F.do Amm.to diritti di brevetto e diritti di utilizzazione delle opere d'ingegno -  altri</t>
  </si>
  <si>
    <t>A.I.5.a</t>
  </si>
  <si>
    <t>A.I.5.b</t>
  </si>
  <si>
    <t>A.I.5.c</t>
  </si>
  <si>
    <t>A.I.5.d</t>
  </si>
  <si>
    <t>A.I.5.e</t>
  </si>
  <si>
    <t>A.I.5.f</t>
  </si>
  <si>
    <t>A.I.5.g</t>
  </si>
  <si>
    <t>A.I.5.h</t>
  </si>
  <si>
    <t>A.I.6.a</t>
  </si>
  <si>
    <t>A.I.6.b</t>
  </si>
  <si>
    <t>A.I.6.c</t>
  </si>
  <si>
    <t>A.I.6.d</t>
  </si>
  <si>
    <t>A.II.1.a</t>
  </si>
  <si>
    <t>A.II.1.b</t>
  </si>
  <si>
    <t>A.II.2.a.1</t>
  </si>
  <si>
    <t>A.II.2.a.2</t>
  </si>
  <si>
    <t>A.II.2.b.1</t>
  </si>
  <si>
    <t>A.II.2.b.2</t>
  </si>
  <si>
    <t>A.II.3.a</t>
  </si>
  <si>
    <t>A.II.3.b</t>
  </si>
  <si>
    <t>A.II.4.a</t>
  </si>
  <si>
    <t>A.II.4.b</t>
  </si>
  <si>
    <t>A.II.5.a</t>
  </si>
  <si>
    <t>A.II.5.b</t>
  </si>
  <si>
    <t>A.II.6.a</t>
  </si>
  <si>
    <t>A.II.6.b</t>
  </si>
  <si>
    <t>A.II.7</t>
  </si>
  <si>
    <t>A.II.8.a</t>
  </si>
  <si>
    <t>A.II.8.b</t>
  </si>
  <si>
    <t>A.II.1)</t>
  </si>
  <si>
    <t xml:space="preserve"> A.II.1) Terreni</t>
  </si>
  <si>
    <t>A.II.2.a</t>
  </si>
  <si>
    <t>A.II.3)</t>
  </si>
  <si>
    <t>A.II.4)</t>
  </si>
  <si>
    <t>A.II.6)</t>
  </si>
  <si>
    <t xml:space="preserve"> A.II.8</t>
  </si>
  <si>
    <t>A.II.10</t>
  </si>
  <si>
    <t>A.II.10.a</t>
  </si>
  <si>
    <t>A.II.10.b</t>
  </si>
  <si>
    <t>A.II.10.c</t>
  </si>
  <si>
    <t>A.II.10.d</t>
  </si>
  <si>
    <t>A.II.10.e</t>
  </si>
  <si>
    <t>A.II.10.f</t>
  </si>
  <si>
    <t>A.II.10.g</t>
  </si>
  <si>
    <t>A.II.10.h</t>
  </si>
  <si>
    <t xml:space="preserve">A.III) </t>
  </si>
  <si>
    <t>A.III)  IMMOBILIZZAZIONI FINANZIARIE</t>
  </si>
  <si>
    <t>A.III.1.a</t>
  </si>
  <si>
    <t>A.III.1.b</t>
  </si>
  <si>
    <t>A.III.1.c</t>
  </si>
  <si>
    <t>A.III.1.d</t>
  </si>
  <si>
    <t>A.III.2.a</t>
  </si>
  <si>
    <t>A.III.2.b</t>
  </si>
  <si>
    <t>A.III.2.b.1</t>
  </si>
  <si>
    <t>A.III.2.b.2</t>
  </si>
  <si>
    <t>A.III.2.b.3</t>
  </si>
  <si>
    <t>A.III.2.b.4</t>
  </si>
  <si>
    <t>B)  ATTIVO CIRCOLANTE</t>
  </si>
  <si>
    <t>B.I)  RIMANENZE</t>
  </si>
  <si>
    <t>B.I.1.a</t>
  </si>
  <si>
    <t>B.I.1.a)  Prodotti farmaceutici ed emoderivati</t>
  </si>
  <si>
    <t>B.I.1.b</t>
  </si>
  <si>
    <t>B.I.1.b)  Sangue ed emocomponenti</t>
  </si>
  <si>
    <t>B.I.1.c</t>
  </si>
  <si>
    <t>B.I.1.c)  Dispositivi medici</t>
  </si>
  <si>
    <t>B.I.1.d</t>
  </si>
  <si>
    <t>B.I.1.d)  Prodotti dietetici</t>
  </si>
  <si>
    <t>B.I.1.e</t>
  </si>
  <si>
    <t>B.I.1.e)  Materiali per la profilassi (vaccini)</t>
  </si>
  <si>
    <t>B.I.1.f</t>
  </si>
  <si>
    <t>B.I.1.f)  Prodotti chimici</t>
  </si>
  <si>
    <t>B.I.1.g</t>
  </si>
  <si>
    <t>B.I.1.g)  Materiali e prodotti per uso veterinario</t>
  </si>
  <si>
    <t>B.I.1.h</t>
  </si>
  <si>
    <t>B.I.1.h)  Altri beni e prodotti sanitari</t>
  </si>
  <si>
    <t>B.I.1.i</t>
  </si>
  <si>
    <t>B.I.1.i)  Acconti per acquisto di beni e prodotti sanitari</t>
  </si>
  <si>
    <t>B.I.2.a</t>
  </si>
  <si>
    <t>B.I.2.a)  Prodotti alimentari</t>
  </si>
  <si>
    <t>B.I.2.b</t>
  </si>
  <si>
    <t>B.I.2.c</t>
  </si>
  <si>
    <t>B.I.2.d</t>
  </si>
  <si>
    <t>B.I.2.e</t>
  </si>
  <si>
    <t>B.I.2.f</t>
  </si>
  <si>
    <t>B.I.2.g</t>
  </si>
  <si>
    <t>B.I.2.g)  Acconti per acquisto di beni e prodotti non sanitari</t>
  </si>
  <si>
    <t>B.II.1</t>
  </si>
  <si>
    <t>B.II.1)  Crediti v/Stato</t>
  </si>
  <si>
    <t>B.II.1.a</t>
  </si>
  <si>
    <t>B.II.1.b</t>
  </si>
  <si>
    <t>B.II.1.c</t>
  </si>
  <si>
    <t>B.II.1.d</t>
  </si>
  <si>
    <t>B.II.1.e</t>
  </si>
  <si>
    <t>B.II.1.f</t>
  </si>
  <si>
    <t>B.II.1.g</t>
  </si>
  <si>
    <t>B.II.1.h</t>
  </si>
  <si>
    <t>B.II.1.i</t>
  </si>
  <si>
    <t>B.II.1.j</t>
  </si>
  <si>
    <t>B.II.1.j)  Crediti v/Stato per ricerca</t>
  </si>
  <si>
    <t>B.II.1.j.1</t>
  </si>
  <si>
    <t>B.II.1.i.2</t>
  </si>
  <si>
    <t>B.II.1.j.3</t>
  </si>
  <si>
    <t>B.II.1.j.3) Crediti v/Stato per ricerca - altre Amministrazioni centrali</t>
  </si>
  <si>
    <t>B.II.1.j.4</t>
  </si>
  <si>
    <t>B.II.1.k</t>
  </si>
  <si>
    <t>B.II.2.a.1</t>
  </si>
  <si>
    <t>B.II.2.a.2</t>
  </si>
  <si>
    <t>B.II.2.a.2) Crediti v/Regione o Provincia Autonoma per mobilità attiva
 intraregionale</t>
  </si>
  <si>
    <t>B.II.2.a.3</t>
  </si>
  <si>
    <t>B.II.2.a.3) Crediti v/Regione o Provincia Autonoma per mobilità attiva
 extraregionale</t>
  </si>
  <si>
    <t>B.II.2.a.4</t>
  </si>
  <si>
    <t>B.II.2.a.5</t>
  </si>
  <si>
    <t>B.II.2.a.5) Crediti v/Regione o Provincia Autonoma per finanziamento sanitario
 aggiuntivo corrente LEA</t>
  </si>
  <si>
    <t>B.II.2.a.6</t>
  </si>
  <si>
    <t>B.II.2.a.6) Crediti v/Regione o Provincia Autonoma per finanziamento sanitario 
 aggiuntivo corrente extra LEA</t>
  </si>
  <si>
    <t>B.II.2.a.7</t>
  </si>
  <si>
    <t>B.II.2.a.9</t>
  </si>
  <si>
    <t>B.II.2.a.10</t>
  </si>
  <si>
    <t>B.II.2.b</t>
  </si>
  <si>
    <t>B.II.2.b.2</t>
  </si>
  <si>
    <t>B.II.2.b.2) Crediti v/Regione o Provincia Autonoma per incremento fondo 
 dotazione</t>
  </si>
  <si>
    <t>B.II.2.b.3</t>
  </si>
  <si>
    <t>B.II.2.b.4</t>
  </si>
  <si>
    <t>B.II.2.b.5</t>
  </si>
  <si>
    <t>B.II.2.b.6</t>
  </si>
  <si>
    <t>B.II.2.b.6) Crediti v/Regione o Provincia Autonoma per ricostituzione risorse da
 investimenti esercizi precedenti</t>
  </si>
  <si>
    <t>B.II.2.c</t>
  </si>
  <si>
    <t>B.II.2.d</t>
  </si>
  <si>
    <t>B.II.3</t>
  </si>
  <si>
    <t>B.II.3)  Crediti v/Comuni</t>
  </si>
  <si>
    <t>B.II.4.a</t>
  </si>
  <si>
    <t>B.II.4.a.1</t>
  </si>
  <si>
    <t>B.II.4.a.1) Crediti v/Aziende sanitarie pubbliche della Regione - per mobilità in  compensazione</t>
  </si>
  <si>
    <t>B.II.4.a.2</t>
  </si>
  <si>
    <t>B.II.4.a.3</t>
  </si>
  <si>
    <t>B.II.4.b</t>
  </si>
  <si>
    <t xml:space="preserve"> B.II.4.b) Acconto quota FSR da distribuire</t>
  </si>
  <si>
    <t>B.II.4.c</t>
  </si>
  <si>
    <t>B.II.4.d</t>
  </si>
  <si>
    <t>B.II.4.e</t>
  </si>
  <si>
    <t>B.II.5.a</t>
  </si>
  <si>
    <t>B.II.5.b</t>
  </si>
  <si>
    <t>B.II.5.c</t>
  </si>
  <si>
    <t>B.II.6</t>
  </si>
  <si>
    <t>B.II.7.a</t>
  </si>
  <si>
    <t>B.II.7.b</t>
  </si>
  <si>
    <t>B.II.7.c</t>
  </si>
  <si>
    <t>B.II.7.d</t>
  </si>
  <si>
    <t>B.II.7.e.1</t>
  </si>
  <si>
    <t>B.II.7.e.2</t>
  </si>
  <si>
    <t>B.II.7.f.1</t>
  </si>
  <si>
    <t>B.II.7.f.2</t>
  </si>
  <si>
    <t>B.III</t>
  </si>
  <si>
    <t>B.III)  ATTIVITA' FINANZIARIE CHE NON COSTITUISCONO IMMOBILIZZAZIONI</t>
  </si>
  <si>
    <t>B.III.1</t>
  </si>
  <si>
    <t>B.III.1)  Partecipazioni che non costituiscono immobilizzazioni</t>
  </si>
  <si>
    <t>B.III.2</t>
  </si>
  <si>
    <t>B.III.2)  Altri titoli che non costituiscono immobilizzazioni</t>
  </si>
  <si>
    <t xml:space="preserve">B.IV  </t>
  </si>
  <si>
    <t>B.IV)  DISPONIBILITA' LIQUIDE</t>
  </si>
  <si>
    <t>B.IV.1</t>
  </si>
  <si>
    <t>B.IV.1)  Cassa</t>
  </si>
  <si>
    <t>B.IV.3</t>
  </si>
  <si>
    <t>B.IV.4</t>
  </si>
  <si>
    <t>C)  RATEI E RISCONTI ATTIVI</t>
  </si>
  <si>
    <t>C.I</t>
  </si>
  <si>
    <t>C.I.1</t>
  </si>
  <si>
    <t xml:space="preserve"> C.I.1) Ratei attivi</t>
  </si>
  <si>
    <t>C.I.2</t>
  </si>
  <si>
    <t>C.II</t>
  </si>
  <si>
    <t xml:space="preserve"> C.II) RISCONTI ATTIVI</t>
  </si>
  <si>
    <t>C.II.1</t>
  </si>
  <si>
    <t xml:space="preserve"> C.II.1) Risconti attivi</t>
  </si>
  <si>
    <t>C.II.2</t>
  </si>
  <si>
    <t>E)  CONTI D'ORDINE</t>
  </si>
  <si>
    <t>E.I</t>
  </si>
  <si>
    <t>E.II</t>
  </si>
  <si>
    <t>E.III</t>
  </si>
  <si>
    <t>E.IV</t>
  </si>
  <si>
    <t>E.V</t>
  </si>
  <si>
    <t xml:space="preserve">A  </t>
  </si>
  <si>
    <t>A)  PATRIMONIO NETTO</t>
  </si>
  <si>
    <t>A.II</t>
  </si>
  <si>
    <t>A.II.1</t>
  </si>
  <si>
    <t>A.II.2.b</t>
  </si>
  <si>
    <t>A.II.4</t>
  </si>
  <si>
    <t>A.II.5</t>
  </si>
  <si>
    <t>A.III</t>
  </si>
  <si>
    <t>A.IV</t>
  </si>
  <si>
    <t>A.IV.1</t>
  </si>
  <si>
    <t>A.IV.2</t>
  </si>
  <si>
    <t>A.IV.3</t>
  </si>
  <si>
    <t>A.IV.4</t>
  </si>
  <si>
    <t>A.IV.5</t>
  </si>
  <si>
    <t>A.V</t>
  </si>
  <si>
    <t>A.V.1</t>
  </si>
  <si>
    <t>A.V.2</t>
  </si>
  <si>
    <t>A.V.3</t>
  </si>
  <si>
    <t>A.VI</t>
  </si>
  <si>
    <t>A.VII</t>
  </si>
  <si>
    <t>B)  FONDI PER RISCHI E ONERI</t>
  </si>
  <si>
    <t>B.I)  FONDI PER IMPOSTE, ANCHE DIFFERITE</t>
  </si>
  <si>
    <t>B.II</t>
  </si>
  <si>
    <t>B.II)  FONDI PER RISCHI</t>
  </si>
  <si>
    <t>B.II.2</t>
  </si>
  <si>
    <t>B.II.4</t>
  </si>
  <si>
    <t>B.II.5</t>
  </si>
  <si>
    <t>B.II.7</t>
  </si>
  <si>
    <t>B.III.3</t>
  </si>
  <si>
    <t>B.III.4</t>
  </si>
  <si>
    <t>B.III.5</t>
  </si>
  <si>
    <t>B.III.6</t>
  </si>
  <si>
    <t>B.III.7</t>
  </si>
  <si>
    <t>B.III.8</t>
  </si>
  <si>
    <t xml:space="preserve">B.IV </t>
  </si>
  <si>
    <t>B.IV.5</t>
  </si>
  <si>
    <t>B.V</t>
  </si>
  <si>
    <t>B.V)  ALTRI FONDI PER ONERI E SPESE</t>
  </si>
  <si>
    <t>B.V.1</t>
  </si>
  <si>
    <t>B.V.2.a</t>
  </si>
  <si>
    <t>B.V.2.a) Fondo rinnovi contrattuali personale dipendente</t>
  </si>
  <si>
    <t>B.V.2.b</t>
  </si>
  <si>
    <t>B.V.2.c</t>
  </si>
  <si>
    <t>B.V.3</t>
  </si>
  <si>
    <t>B.V.4</t>
  </si>
  <si>
    <t>C)  TRATTAMENTO FINE RAPPORTO</t>
  </si>
  <si>
    <t>C.I)  FONDO PER PREMI OPEROSITA' MEDICI SUMAI</t>
  </si>
  <si>
    <t>C.III</t>
  </si>
  <si>
    <t>D)  DEBITI</t>
  </si>
  <si>
    <t>D.I</t>
  </si>
  <si>
    <t>D.II</t>
  </si>
  <si>
    <t>D.II.1</t>
  </si>
  <si>
    <t>D.II.2</t>
  </si>
  <si>
    <t>D.II.3</t>
  </si>
  <si>
    <t>D.II.4</t>
  </si>
  <si>
    <t>D.II.5</t>
  </si>
  <si>
    <t>D.III</t>
  </si>
  <si>
    <t>D.III.1</t>
  </si>
  <si>
    <t>D.III.2</t>
  </si>
  <si>
    <t>D.III.3</t>
  </si>
  <si>
    <t>D.III.4</t>
  </si>
  <si>
    <t>D.III.5</t>
  </si>
  <si>
    <t>D.III.6</t>
  </si>
  <si>
    <t>D.III.7</t>
  </si>
  <si>
    <t>D.III.8</t>
  </si>
  <si>
    <t>D.III.9</t>
  </si>
  <si>
    <t>D.IV</t>
  </si>
  <si>
    <t>D.V</t>
  </si>
  <si>
    <t>D.V.1.a</t>
  </si>
  <si>
    <t>D.V.1.b</t>
  </si>
  <si>
    <t>D.V.1.b) Debiti v/Aziende sanitarie pubbliche della Regione - per finanziamento
 sanitario aggiuntivo corrente LEA</t>
  </si>
  <si>
    <t>D.V.1.c</t>
  </si>
  <si>
    <t>D.V.1.c) Debiti v/Aziende sanitarie pubbliche della Regione - per finanziamento 
 sanitario aggiuntivo corrente extra LEA</t>
  </si>
  <si>
    <t>D.V.1.d</t>
  </si>
  <si>
    <t>D.V.1.e</t>
  </si>
  <si>
    <t>D.V.1.e) Debiti v/Aziende sanitarie pubbliche della Regione - per mobilità non in 
 compensazione</t>
  </si>
  <si>
    <t>D.V.1.f</t>
  </si>
  <si>
    <t>D.V.1.g</t>
  </si>
  <si>
    <t>D.V.1.g) Debiti v/Aziende sanitarie pubbliche della Regione - per altre prestazioni per STP</t>
  </si>
  <si>
    <t>D.V.1.h</t>
  </si>
  <si>
    <t>D.V.1.i</t>
  </si>
  <si>
    <t>D.V.2</t>
  </si>
  <si>
    <t>D.V.2) Debiti v/Aziende sanitarie pubbliche Extraregione</t>
  </si>
  <si>
    <t>D.V.3</t>
  </si>
  <si>
    <t>D.V.3) Debiti v/Aziende sanitarie pubbliche della Regione per versamenti  c/patrimonio netto</t>
  </si>
  <si>
    <t>D.V.3.a</t>
  </si>
  <si>
    <t>D.V.3.b</t>
  </si>
  <si>
    <t>D.V.3.c</t>
  </si>
  <si>
    <t>D.V.3.d</t>
  </si>
  <si>
    <t>D.V.3.e</t>
  </si>
  <si>
    <t>D.VI</t>
  </si>
  <si>
    <t>D.VI.1</t>
  </si>
  <si>
    <t>D.VI.3</t>
  </si>
  <si>
    <t>D.VI.2</t>
  </si>
  <si>
    <t>D.VII</t>
  </si>
  <si>
    <t>D.VII.1</t>
  </si>
  <si>
    <t>D.VII.1) Debiti verso erogatori (privati accreditati e convenzionati) di prestazioni sanitarie</t>
  </si>
  <si>
    <t>D.VII.1.a</t>
  </si>
  <si>
    <t>D.VII.1.b</t>
  </si>
  <si>
    <t>D.VII.2.a</t>
  </si>
  <si>
    <t>D.VII.2.b</t>
  </si>
  <si>
    <t>D.VII.2.b) Note di credito da ricevere (altri fornitori)</t>
  </si>
  <si>
    <t>D.VIII</t>
  </si>
  <si>
    <t>D.VIII) Debiti v/istituto tesoriere</t>
  </si>
  <si>
    <t>D.IX</t>
  </si>
  <si>
    <t>D.XI</t>
  </si>
  <si>
    <t>D.XI)  DEBITI V/ALTRI</t>
  </si>
  <si>
    <t>D.XI.3</t>
  </si>
  <si>
    <t>D.XI.4</t>
  </si>
  <si>
    <t>E)  RATEI E RISCONTI PASSIVI</t>
  </si>
  <si>
    <t>E.I.1</t>
  </si>
  <si>
    <t>E.I.2</t>
  </si>
  <si>
    <t>E.II.1</t>
  </si>
  <si>
    <t>E.II.2</t>
  </si>
  <si>
    <t>E.II.3</t>
  </si>
  <si>
    <t>G</t>
  </si>
  <si>
    <t>G)  CONTI D'ORDINE</t>
  </si>
  <si>
    <t>G.I</t>
  </si>
  <si>
    <t>G.II</t>
  </si>
  <si>
    <t>G.III</t>
  </si>
  <si>
    <t>G.IV</t>
  </si>
  <si>
    <t>G.V</t>
  </si>
  <si>
    <t>B.II.2.a.8</t>
  </si>
  <si>
    <t>Debiti verso personale dirigente non medico  - Retribuzione di posizione esercizio in corso</t>
  </si>
  <si>
    <t>Debiti verso personale dirigente medico  - Retribuzione di posizione esercizi precedenti</t>
  </si>
  <si>
    <t>Debiti verso personale dirigente non medico  - Retribuzione di posizione esercizi precedenti</t>
  </si>
  <si>
    <t>Debiti verso assistiti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</si>
</sst>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  <numFmt numFmtId="166" formatCode="_-* #,##0_-;\-* #,##0_-;_-* &quot;-&quot;??_-;_-@"/>
    <numFmt numFmtId="167" formatCode="_-&quot;€&quot;\ * #,##0.00_-;\-&quot;€&quot;\ * #,##0.00_-;_-&quot;€&quot;\ * &quot;-&quot;??_-;_-@"/>
    <numFmt numFmtId="168" formatCode="_-* #,##0\ _€_-;\-* #,##0\ _€_-;_-* &quot;-&quot;??\ _€_-;_-@_-"/>
    <numFmt numFmtId="169" formatCode="0.0"/>
    <numFmt numFmtId="170" formatCode="&quot; &quot;#,##0.00&quot;    &quot;;&quot;-&quot;#,##0.00&quot;    &quot;;&quot; -&quot;#&quot;    &quot;;&quot; &quot;@&quot; &quot;"/>
    <numFmt numFmtId="171" formatCode="#,##0\ ;\(#,##0\);&quot;- &quot;;@\ "/>
    <numFmt numFmtId="172" formatCode="#,##0\ ;\-#,##0\ ;&quot;- &quot;;@\ "/>
    <numFmt numFmtId="173" formatCode="#,##0.00\ ;\-#,##0.00\ ;\-#\ ;@\ "/>
    <numFmt numFmtId="174" formatCode="0.0%"/>
    <numFmt numFmtId="175" formatCode="0\ ;\(0\);&quot;- &quot;;@\ "/>
    <numFmt numFmtId="176" formatCode="0\ ;\-0\ ;\-#\ ;@\ "/>
    <numFmt numFmtId="177" formatCode="#,##0.00\ ;\-#,##0.00\ ;&quot;- &quot;;@\ "/>
    <numFmt numFmtId="178" formatCode="0\ ;\-0\ ;&quot;- &quot;;@\ "/>
    <numFmt numFmtId="179" formatCode="_-* #,##0.0_-;\-* #,##0.0_-;_-* &quot;-&quot;??_-;_-@_-"/>
    <numFmt numFmtId="180" formatCode="#,##0;\(#,##0\)"/>
  </numFmts>
  <fonts count="13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name val="Univers 45 Light"/>
    </font>
    <font>
      <b/>
      <sz val="9"/>
      <name val="Univers 45 Light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</font>
    <font>
      <sz val="11"/>
      <name val="Arial"/>
      <family val="2"/>
    </font>
    <font>
      <sz val="8"/>
      <color rgb="FFFF0000"/>
      <name val="Calibri"/>
      <family val="2"/>
    </font>
    <font>
      <sz val="11"/>
      <color theme="1"/>
      <name val="Courier New"/>
      <family val="3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9"/>
      <name val="Arial"/>
      <family val="2"/>
    </font>
    <font>
      <sz val="10"/>
      <name val="Calibri"/>
      <family val="2"/>
    </font>
    <font>
      <sz val="9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i/>
      <sz val="10"/>
      <name val="Times New Roman"/>
      <family val="1"/>
    </font>
    <font>
      <sz val="8"/>
      <color theme="1"/>
      <name val="Comic Sans MS"/>
      <family val="4"/>
    </font>
    <font>
      <sz val="10"/>
      <color rgb="FF000000"/>
      <name val="Times New Roman"/>
      <family val="1"/>
    </font>
    <font>
      <i/>
      <sz val="1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Open Sans"/>
      <family val="2"/>
    </font>
    <font>
      <b/>
      <sz val="8"/>
      <name val="Open Sans"/>
      <family val="2"/>
    </font>
    <font>
      <b/>
      <i/>
      <sz val="8"/>
      <name val="Open Sans"/>
      <family val="2"/>
    </font>
    <font>
      <b/>
      <sz val="10.6"/>
      <name val="Arial"/>
      <family val="2"/>
    </font>
    <font>
      <sz val="8"/>
      <name val="Cambria"/>
      <family val="2"/>
      <scheme val="major"/>
    </font>
    <font>
      <b/>
      <i/>
      <sz val="8"/>
      <name val="Cambria"/>
      <family val="2"/>
      <scheme val="major"/>
    </font>
    <font>
      <b/>
      <sz val="8"/>
      <name val="Cambria"/>
      <family val="2"/>
      <scheme val="major"/>
    </font>
    <font>
      <b/>
      <sz val="9"/>
      <color theme="1"/>
      <name val="Arial"/>
      <family val="2"/>
    </font>
    <font>
      <sz val="8"/>
      <color rgb="FFFF0000"/>
      <name val="Arial"/>
      <family val="2"/>
    </font>
    <font>
      <b/>
      <sz val="10"/>
      <name val="MS Sans Serif"/>
      <family val="2"/>
    </font>
    <font>
      <b/>
      <sz val="10"/>
      <name val="MS Sans Serif"/>
    </font>
    <font>
      <sz val="8.5"/>
      <name val="MS Sans Serif"/>
      <family val="2"/>
    </font>
    <font>
      <b/>
      <i/>
      <sz val="10"/>
      <name val="MS Sans Serif"/>
      <family val="2"/>
    </font>
    <font>
      <b/>
      <sz val="8.5"/>
      <name val="MS Sans Serif"/>
      <family val="2"/>
    </font>
    <font>
      <b/>
      <sz val="10"/>
      <name val="Calibri"/>
      <family val="2"/>
      <scheme val="minor"/>
    </font>
    <font>
      <sz val="8.5"/>
      <name val="Tahoma"/>
      <family val="2"/>
    </font>
    <font>
      <b/>
      <sz val="8.5"/>
      <name val="Tahoma"/>
      <family val="2"/>
    </font>
    <font>
      <sz val="8.5"/>
      <name val="MS Sans Serif"/>
    </font>
    <font>
      <i/>
      <sz val="8.5"/>
      <name val="Tahoma"/>
      <family val="2"/>
    </font>
    <font>
      <b/>
      <i/>
      <sz val="8.5"/>
      <name val="Tahoma"/>
      <family val="2"/>
    </font>
    <font>
      <strike/>
      <sz val="8.5"/>
      <name val="Tahoma"/>
      <family val="2"/>
    </font>
    <font>
      <b/>
      <strike/>
      <sz val="8.5"/>
      <name val="Tahoma"/>
      <family val="2"/>
    </font>
    <font>
      <b/>
      <sz val="8.5"/>
      <name val="Calibri"/>
      <family val="2"/>
    </font>
    <font>
      <sz val="8.5"/>
      <color theme="1"/>
      <name val="Arial"/>
      <family val="2"/>
    </font>
    <font>
      <sz val="11"/>
      <color rgb="FF000000"/>
      <name val="Calibri"/>
      <family val="2"/>
    </font>
    <font>
      <sz val="8.5"/>
      <name val="Calibri"/>
      <family val="2"/>
      <scheme val="minor"/>
    </font>
    <font>
      <sz val="10"/>
      <name val="MS Sans Serif"/>
    </font>
    <font>
      <sz val="12"/>
      <color indexed="8"/>
      <name val="Times New Roman"/>
      <family val="1"/>
      <charset val="1"/>
    </font>
    <font>
      <b/>
      <sz val="18"/>
      <color indexed="8"/>
      <name val="Tahoma"/>
      <family val="2"/>
      <charset val="1"/>
    </font>
    <font>
      <b/>
      <i/>
      <sz val="12"/>
      <color indexed="8"/>
      <name val="Tahoma"/>
      <family val="2"/>
      <charset val="1"/>
    </font>
    <font>
      <b/>
      <sz val="12"/>
      <name val="Arial1"/>
      <charset val="1"/>
    </font>
    <font>
      <b/>
      <sz val="12"/>
      <color indexed="8"/>
      <name val="Tahoma"/>
      <family val="2"/>
      <charset val="1"/>
    </font>
    <font>
      <i/>
      <sz val="12"/>
      <color indexed="8"/>
      <name val="Tahoma"/>
      <family val="2"/>
      <charset val="1"/>
    </font>
    <font>
      <sz val="12"/>
      <color indexed="8"/>
      <name val="Tahoma"/>
      <family val="2"/>
      <charset val="1"/>
    </font>
    <font>
      <sz val="11"/>
      <color indexed="8"/>
      <name val="Calibri"/>
      <family val="2"/>
      <charset val="1"/>
    </font>
    <font>
      <b/>
      <sz val="9"/>
      <name val="Arial1"/>
      <charset val="1"/>
    </font>
    <font>
      <i/>
      <sz val="9"/>
      <name val="Arial1"/>
      <charset val="1"/>
    </font>
    <font>
      <b/>
      <sz val="8"/>
      <color indexed="8"/>
      <name val="Garamond"/>
      <family val="1"/>
      <charset val="1"/>
    </font>
    <font>
      <b/>
      <sz val="8"/>
      <color indexed="8"/>
      <name val="Tahoma"/>
      <family val="2"/>
      <charset val="1"/>
    </font>
    <font>
      <b/>
      <i/>
      <sz val="8"/>
      <color indexed="8"/>
      <name val="Tahoma"/>
      <family val="2"/>
      <charset val="1"/>
    </font>
    <font>
      <sz val="8"/>
      <color indexed="8"/>
      <name val="Garamond"/>
      <family val="1"/>
      <charset val="1"/>
    </font>
    <font>
      <i/>
      <sz val="8"/>
      <color indexed="8"/>
      <name val="Garamond"/>
      <family val="1"/>
      <charset val="1"/>
    </font>
    <font>
      <sz val="8"/>
      <color indexed="63"/>
      <name val="Arial1"/>
      <charset val="1"/>
    </font>
    <font>
      <b/>
      <u val="double"/>
      <sz val="8"/>
      <color indexed="8"/>
      <name val="Garamond"/>
      <family val="1"/>
      <charset val="1"/>
    </font>
    <font>
      <b/>
      <u/>
      <sz val="8"/>
      <color indexed="8"/>
      <name val="Garamond"/>
      <family val="1"/>
      <charset val="1"/>
    </font>
    <font>
      <sz val="10"/>
      <color indexed="63"/>
      <name val="Calibri"/>
      <family val="2"/>
      <charset val="1"/>
    </font>
    <font>
      <b/>
      <sz val="7.5"/>
      <color indexed="63"/>
      <name val="Tahoma1"/>
      <charset val="1"/>
    </font>
    <font>
      <i/>
      <sz val="7.5"/>
      <color indexed="63"/>
      <name val="Tahoma1"/>
      <charset val="1"/>
    </font>
    <font>
      <sz val="7.5"/>
      <color indexed="63"/>
      <name val="Tahoma1"/>
      <charset val="1"/>
    </font>
    <font>
      <b/>
      <sz val="7.5"/>
      <color indexed="63"/>
      <name val="Garamond"/>
      <family val="1"/>
      <charset val="1"/>
    </font>
    <font>
      <b/>
      <i/>
      <sz val="7.5"/>
      <color indexed="63"/>
      <name val="Tahoma1"/>
      <charset val="1"/>
    </font>
    <font>
      <sz val="7.5"/>
      <color indexed="63"/>
      <name val="Garamond"/>
      <family val="1"/>
      <charset val="1"/>
    </font>
    <font>
      <sz val="7.5"/>
      <color theme="1"/>
      <name val="Calibri"/>
      <family val="2"/>
      <scheme val="minor"/>
    </font>
    <font>
      <i/>
      <sz val="7.5"/>
      <color indexed="63"/>
      <name val="Garamond"/>
      <family val="1"/>
      <charset val="1"/>
    </font>
    <font>
      <b/>
      <sz val="7.5"/>
      <color indexed="63"/>
      <name val="Garamond"/>
      <family val="1"/>
    </font>
    <font>
      <b/>
      <i/>
      <sz val="7.5"/>
      <color indexed="63"/>
      <name val="Garamond"/>
      <family val="1"/>
      <charset val="1"/>
    </font>
    <font>
      <b/>
      <sz val="7.5"/>
      <name val="Garamond"/>
      <family val="1"/>
      <charset val="1"/>
    </font>
    <font>
      <sz val="7.5"/>
      <name val="Garamond"/>
      <family val="1"/>
      <charset val="1"/>
    </font>
    <font>
      <i/>
      <sz val="7.5"/>
      <name val="Garamond"/>
      <family val="1"/>
      <charset val="1"/>
    </font>
    <font>
      <b/>
      <sz val="7.5"/>
      <name val="Garamond"/>
      <family val="1"/>
    </font>
    <font>
      <b/>
      <i/>
      <sz val="7.5"/>
      <name val="Garamond"/>
      <family val="1"/>
    </font>
    <font>
      <sz val="7.5"/>
      <name val="Garamond"/>
      <family val="1"/>
    </font>
    <font>
      <i/>
      <sz val="7.5"/>
      <name val="Garamond"/>
      <family val="1"/>
    </font>
    <font>
      <b/>
      <u/>
      <sz val="7.5"/>
      <color indexed="63"/>
      <name val="Garamond"/>
      <family val="1"/>
      <charset val="1"/>
    </font>
    <font>
      <sz val="7.5"/>
      <color indexed="63"/>
      <name val="Times New Roman"/>
      <family val="1"/>
      <charset val="1"/>
    </font>
    <font>
      <sz val="7.5"/>
      <color theme="1"/>
      <name val="Arial"/>
      <family val="2"/>
    </font>
    <font>
      <b/>
      <sz val="11"/>
      <color indexed="63"/>
      <name val="Tahoma1"/>
      <charset val="1"/>
    </font>
    <font>
      <i/>
      <sz val="14"/>
      <color indexed="63"/>
      <name val="Tahoma1"/>
      <charset val="1"/>
    </font>
    <font>
      <i/>
      <sz val="11"/>
      <color indexed="63"/>
      <name val="Tahoma1"/>
      <charset val="1"/>
    </font>
    <font>
      <sz val="12"/>
      <color indexed="63"/>
      <name val="Tahoma1"/>
      <charset val="1"/>
    </font>
    <font>
      <b/>
      <sz val="14"/>
      <color indexed="63"/>
      <name val="Garamond"/>
      <family val="1"/>
      <charset val="1"/>
    </font>
    <font>
      <b/>
      <sz val="10"/>
      <color indexed="63"/>
      <name val="Tahoma1"/>
      <charset val="1"/>
    </font>
    <font>
      <b/>
      <i/>
      <sz val="10"/>
      <color indexed="63"/>
      <name val="Tahoma1"/>
      <charset val="1"/>
    </font>
    <font>
      <b/>
      <sz val="8"/>
      <color indexed="63"/>
      <name val="Garamond"/>
      <family val="1"/>
      <charset val="1"/>
    </font>
    <font>
      <sz val="8"/>
      <color indexed="63"/>
      <name val="Garamond"/>
      <family val="1"/>
      <charset val="1"/>
    </font>
    <font>
      <i/>
      <sz val="8"/>
      <color indexed="63"/>
      <name val="Garamond"/>
      <family val="1"/>
      <charset val="1"/>
    </font>
    <font>
      <b/>
      <i/>
      <sz val="8"/>
      <color indexed="63"/>
      <name val="Garamond"/>
      <family val="1"/>
      <charset val="1"/>
    </font>
    <font>
      <b/>
      <sz val="8"/>
      <name val="Garamond"/>
      <family val="1"/>
      <charset val="1"/>
    </font>
    <font>
      <b/>
      <u/>
      <sz val="8"/>
      <color indexed="63"/>
      <name val="Garamond"/>
      <family val="1"/>
      <charset val="1"/>
    </font>
    <font>
      <b/>
      <sz val="8.5"/>
      <name val="Calibri"/>
      <family val="2"/>
      <scheme val="minor"/>
    </font>
    <font>
      <i/>
      <sz val="8.5"/>
      <name val="Calibri"/>
      <family val="2"/>
      <scheme val="minor"/>
    </font>
    <font>
      <sz val="12"/>
      <name val="Times New Roman"/>
      <family val="1"/>
    </font>
    <font>
      <b/>
      <sz val="12"/>
      <name val="Garamond"/>
      <family val="1"/>
    </font>
    <font>
      <b/>
      <i/>
      <sz val="12"/>
      <name val="Garamond"/>
      <family val="1"/>
    </font>
    <font>
      <sz val="12"/>
      <name val="Garamond"/>
      <family val="1"/>
    </font>
    <font>
      <sz val="12"/>
      <color theme="1"/>
      <name val="Garamond"/>
      <family val="1"/>
    </font>
    <font>
      <b/>
      <sz val="12"/>
      <color theme="0"/>
      <name val="Garamond"/>
      <family val="1"/>
    </font>
    <font>
      <sz val="10"/>
      <name val="Book Antiqua"/>
      <family val="1"/>
    </font>
    <font>
      <i/>
      <sz val="12"/>
      <name val="Garamond"/>
      <family val="1"/>
    </font>
    <font>
      <b/>
      <i/>
      <sz val="12"/>
      <color theme="0"/>
      <name val="Garamond"/>
      <family val="1"/>
    </font>
  </fonts>
  <fills count="7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BFBFBF"/>
        <bgColor rgb="FFBFBFBF"/>
      </patternFill>
    </fill>
    <fill>
      <patternFill patternType="solid">
        <fgColor rgb="FF8DB3E2"/>
        <bgColor rgb="FF8DB3E2"/>
      </patternFill>
    </fill>
    <fill>
      <patternFill patternType="solid">
        <fgColor rgb="FF8DB4E2"/>
        <bgColor rgb="FF8DB4E2"/>
      </patternFill>
    </fill>
    <fill>
      <patternFill patternType="solid">
        <fgColor rgb="FFDBE5F1"/>
        <bgColor rgb="FFDBE5F1"/>
      </patternFill>
    </fill>
    <fill>
      <patternFill patternType="solid">
        <fgColor rgb="FFDCE6F1"/>
        <bgColor rgb="FFDCE6F1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DCE6F1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189F7"/>
        <bgColor indexed="64"/>
      </patternFill>
    </fill>
    <fill>
      <patternFill patternType="solid">
        <fgColor rgb="FF00338D"/>
        <bgColor rgb="FF00338D"/>
      </patternFill>
    </fill>
    <fill>
      <patternFill patternType="solid">
        <fgColor rgb="FF00B0F0"/>
        <bgColor rgb="FF376092"/>
      </patternFill>
    </fill>
    <fill>
      <patternFill patternType="solid">
        <fgColor rgb="FF92D050"/>
        <bgColor rgb="FF366092"/>
      </patternFill>
    </fill>
    <fill>
      <patternFill patternType="solid">
        <fgColor rgb="FF92D050"/>
        <bgColor rgb="FF376092"/>
      </patternFill>
    </fill>
    <fill>
      <patternFill patternType="solid">
        <fgColor rgb="FFFFC000"/>
        <bgColor rgb="FF376092"/>
      </patternFill>
    </fill>
    <fill>
      <patternFill patternType="solid">
        <fgColor rgb="FF227ACB"/>
        <bgColor rgb="FF376092"/>
      </patternFill>
    </fill>
    <fill>
      <patternFill patternType="solid">
        <fgColor rgb="FFC189F7"/>
        <bgColor rgb="FF376092"/>
      </patternFill>
    </fill>
    <fill>
      <patternFill patternType="solid">
        <fgColor rgb="FFFF7474"/>
        <bgColor rgb="FF376092"/>
      </patternFill>
    </fill>
    <fill>
      <patternFill patternType="solid">
        <fgColor rgb="FFF38DB9"/>
        <bgColor rgb="FF376092"/>
      </patternFill>
    </fill>
    <fill>
      <patternFill patternType="solid">
        <fgColor rgb="FF909EE6"/>
        <bgColor rgb="FF376092"/>
      </patternFill>
    </fill>
    <fill>
      <patternFill patternType="solid">
        <fgColor rgb="FFFF7474"/>
        <bgColor indexed="64"/>
      </patternFill>
    </fill>
    <fill>
      <patternFill patternType="solid">
        <fgColor rgb="FF00B050"/>
        <bgColor rgb="FF376092"/>
      </patternFill>
    </fill>
    <fill>
      <patternFill patternType="solid">
        <fgColor rgb="FF92D050"/>
        <bgColor rgb="FF00338D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09EE6"/>
        <bgColor indexed="64"/>
      </patternFill>
    </fill>
    <fill>
      <patternFill patternType="solid">
        <fgColor rgb="FFDDD9C3"/>
        <bgColor rgb="FFDDD9C3"/>
      </patternFill>
    </fill>
    <fill>
      <patternFill patternType="solid">
        <fgColor theme="5" tint="-0.249977111117893"/>
        <bgColor rgb="FF953734"/>
      </patternFill>
    </fill>
    <fill>
      <patternFill patternType="solid">
        <fgColor rgb="FFFF0000"/>
        <bgColor rgb="FFFF0000"/>
      </patternFill>
    </fill>
    <fill>
      <patternFill patternType="solid">
        <fgColor rgb="FF7CEB99"/>
        <bgColor indexed="64"/>
      </patternFill>
    </fill>
    <fill>
      <patternFill patternType="solid">
        <fgColor rgb="FFF38DB9"/>
        <bgColor indexed="64"/>
      </patternFill>
    </fill>
    <fill>
      <patternFill patternType="solid">
        <fgColor rgb="FF975CCB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theme="8" tint="0.79998168889431442"/>
        <bgColor rgb="FF376092"/>
      </patternFill>
    </fill>
    <fill>
      <patternFill patternType="solid">
        <fgColor rgb="FFFFFF00"/>
        <bgColor rgb="FF376092"/>
      </patternFill>
    </fill>
    <fill>
      <patternFill patternType="solid">
        <fgColor rgb="FFFBD4B4"/>
        <bgColor rgb="FFFBD4B4"/>
      </patternFill>
    </fill>
    <fill>
      <patternFill patternType="solid">
        <fgColor theme="8" tint="0.79998168889431442"/>
        <bgColor rgb="FFFBD4B4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FBD4B4"/>
      </patternFill>
    </fill>
    <fill>
      <patternFill patternType="solid">
        <fgColor rgb="FF92D050"/>
        <bgColor rgb="FFFBD4B4"/>
      </patternFill>
    </fill>
    <fill>
      <patternFill patternType="solid">
        <fgColor rgb="FFFFC00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B8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rgb="FFEE000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75CCB"/>
        <bgColor rgb="FF37609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AE57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indexed="29"/>
        <bgColor indexed="47"/>
      </patternFill>
    </fill>
    <fill>
      <patternFill patternType="solid">
        <fgColor indexed="49"/>
        <bgColor indexed="4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37609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8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6" fillId="0" borderId="0"/>
    <xf numFmtId="0" fontId="23" fillId="0" borderId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1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0" fontId="65" fillId="0" borderId="0" applyBorder="0" applyProtection="0"/>
    <xf numFmtId="43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68" fillId="0" borderId="0" applyNumberFormat="0" applyBorder="0" applyProtection="0"/>
    <xf numFmtId="171" fontId="75" fillId="0" borderId="0" applyBorder="0" applyProtection="0"/>
    <xf numFmtId="172" fontId="75" fillId="0" borderId="0" applyBorder="0" applyProtection="0"/>
    <xf numFmtId="173" fontId="75" fillId="0" borderId="0" applyBorder="0" applyProtection="0"/>
    <xf numFmtId="9" fontId="75" fillId="0" borderId="0" applyBorder="0" applyProtection="0"/>
    <xf numFmtId="172" fontId="75" fillId="0" borderId="0" applyBorder="0" applyProtection="0"/>
    <xf numFmtId="0" fontId="86" fillId="0" borderId="0" applyNumberFormat="0" applyBorder="0" applyProtection="0"/>
    <xf numFmtId="0" fontId="122" fillId="0" borderId="0"/>
    <xf numFmtId="180" fontId="128" fillId="0" borderId="0"/>
  </cellStyleXfs>
  <cellXfs count="1387">
    <xf numFmtId="0" fontId="0" fillId="0" borderId="0" xfId="0"/>
    <xf numFmtId="0" fontId="7" fillId="0" borderId="0" xfId="5" applyFont="1" applyAlignment="1">
      <alignment horizontal="center" vertical="center"/>
    </xf>
    <xf numFmtId="0" fontId="7" fillId="0" borderId="0" xfId="5" applyFont="1" applyAlignment="1">
      <alignment vertical="center"/>
    </xf>
    <xf numFmtId="0" fontId="7" fillId="0" borderId="0" xfId="5" applyFont="1" applyAlignment="1">
      <alignment vertical="center" wrapText="1"/>
    </xf>
    <xf numFmtId="0" fontId="8" fillId="0" borderId="12" xfId="5" applyFont="1" applyBorder="1" applyAlignment="1">
      <alignment vertical="center"/>
    </xf>
    <xf numFmtId="0" fontId="9" fillId="4" borderId="12" xfId="5" applyFont="1" applyFill="1" applyBorder="1" applyAlignment="1">
      <alignment horizontal="center" vertical="center" wrapText="1"/>
    </xf>
    <xf numFmtId="1" fontId="10" fillId="6" borderId="13" xfId="5" applyNumberFormat="1" applyFont="1" applyFill="1" applyBorder="1" applyAlignment="1">
      <alignment horizontal="center" vertical="center" wrapText="1"/>
    </xf>
    <xf numFmtId="0" fontId="9" fillId="4" borderId="13" xfId="5" applyFont="1" applyFill="1" applyBorder="1" applyAlignment="1">
      <alignment horizontal="center" vertical="center" wrapText="1"/>
    </xf>
    <xf numFmtId="0" fontId="11" fillId="7" borderId="0" xfId="5" applyFont="1" applyFill="1" applyAlignment="1">
      <alignment horizontal="center" vertical="center"/>
    </xf>
    <xf numFmtId="4" fontId="8" fillId="0" borderId="0" xfId="5" applyNumberFormat="1" applyFont="1" applyAlignment="1">
      <alignment vertical="center"/>
    </xf>
    <xf numFmtId="0" fontId="8" fillId="0" borderId="0" xfId="5" applyFont="1" applyAlignment="1">
      <alignment vertical="center"/>
    </xf>
    <xf numFmtId="0" fontId="6" fillId="0" borderId="0" xfId="5" applyAlignment="1">
      <alignment vertical="center"/>
    </xf>
    <xf numFmtId="0" fontId="8" fillId="8" borderId="12" xfId="5" applyFont="1" applyFill="1" applyBorder="1" applyAlignment="1">
      <alignment vertical="center"/>
    </xf>
    <xf numFmtId="0" fontId="12" fillId="8" borderId="12" xfId="5" applyFont="1" applyFill="1" applyBorder="1" applyAlignment="1">
      <alignment horizontal="left" vertical="center" wrapText="1"/>
    </xf>
    <xf numFmtId="3" fontId="10" fillId="8" borderId="13" xfId="5" applyNumberFormat="1" applyFont="1" applyFill="1" applyBorder="1" applyAlignment="1">
      <alignment horizontal="right" vertical="center" wrapText="1"/>
    </xf>
    <xf numFmtId="3" fontId="10" fillId="0" borderId="13" xfId="5" applyNumberFormat="1" applyFont="1" applyBorder="1" applyAlignment="1">
      <alignment horizontal="right" vertical="center" wrapText="1"/>
    </xf>
    <xf numFmtId="0" fontId="12" fillId="8" borderId="13" xfId="5" applyFont="1" applyFill="1" applyBorder="1" applyAlignment="1">
      <alignment horizontal="center" vertical="center" wrapText="1"/>
    </xf>
    <xf numFmtId="0" fontId="12" fillId="8" borderId="12" xfId="5" quotePrefix="1" applyFont="1" applyFill="1" applyBorder="1" applyAlignment="1">
      <alignment horizontal="center" vertical="center" wrapText="1"/>
    </xf>
    <xf numFmtId="0" fontId="8" fillId="9" borderId="12" xfId="5" applyFont="1" applyFill="1" applyBorder="1" applyAlignment="1">
      <alignment vertical="center"/>
    </xf>
    <xf numFmtId="0" fontId="12" fillId="9" borderId="12" xfId="5" applyFont="1" applyFill="1" applyBorder="1" applyAlignment="1">
      <alignment vertical="center" wrapText="1"/>
    </xf>
    <xf numFmtId="3" fontId="10" fillId="9" borderId="13" xfId="5" applyNumberFormat="1" applyFont="1" applyFill="1" applyBorder="1" applyAlignment="1">
      <alignment horizontal="right" vertical="center" wrapText="1"/>
    </xf>
    <xf numFmtId="0" fontId="12" fillId="9" borderId="13" xfId="5" applyFont="1" applyFill="1" applyBorder="1" applyAlignment="1">
      <alignment horizontal="center" vertical="center"/>
    </xf>
    <xf numFmtId="0" fontId="12" fillId="9" borderId="12" xfId="5" quotePrefix="1" applyFont="1" applyFill="1" applyBorder="1" applyAlignment="1">
      <alignment horizontal="center" vertical="center"/>
    </xf>
    <xf numFmtId="0" fontId="12" fillId="9" borderId="12" xfId="5" applyFont="1" applyFill="1" applyBorder="1" applyAlignment="1">
      <alignment horizontal="left" vertical="center" wrapText="1"/>
    </xf>
    <xf numFmtId="0" fontId="8" fillId="10" borderId="12" xfId="5" applyFont="1" applyFill="1" applyBorder="1" applyAlignment="1">
      <alignment vertical="center"/>
    </xf>
    <xf numFmtId="0" fontId="12" fillId="11" borderId="12" xfId="5" applyFont="1" applyFill="1" applyBorder="1" applyAlignment="1">
      <alignment horizontal="left" vertical="center" wrapText="1"/>
    </xf>
    <xf numFmtId="3" fontId="10" fillId="10" borderId="13" xfId="5" applyNumberFormat="1" applyFont="1" applyFill="1" applyBorder="1" applyAlignment="1">
      <alignment horizontal="right" vertical="center" wrapText="1"/>
    </xf>
    <xf numFmtId="0" fontId="12" fillId="11" borderId="13" xfId="5" applyFont="1" applyFill="1" applyBorder="1" applyAlignment="1">
      <alignment horizontal="center" vertical="center"/>
    </xf>
    <xf numFmtId="0" fontId="12" fillId="11" borderId="12" xfId="5" quotePrefix="1" applyFont="1" applyFill="1" applyBorder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8" fillId="12" borderId="12" xfId="5" applyFont="1" applyFill="1" applyBorder="1" applyAlignment="1">
      <alignment vertical="center"/>
    </xf>
    <xf numFmtId="0" fontId="12" fillId="13" borderId="12" xfId="5" applyFont="1" applyFill="1" applyBorder="1" applyAlignment="1">
      <alignment horizontal="left" vertical="center" wrapText="1"/>
    </xf>
    <xf numFmtId="3" fontId="10" fillId="12" borderId="13" xfId="5" applyNumberFormat="1" applyFont="1" applyFill="1" applyBorder="1" applyAlignment="1">
      <alignment horizontal="right" vertical="center" wrapText="1"/>
    </xf>
    <xf numFmtId="0" fontId="12" fillId="13" borderId="13" xfId="5" applyFont="1" applyFill="1" applyBorder="1" applyAlignment="1">
      <alignment horizontal="center" vertical="center"/>
    </xf>
    <xf numFmtId="0" fontId="12" fillId="13" borderId="12" xfId="5" applyFont="1" applyFill="1" applyBorder="1" applyAlignment="1">
      <alignment horizontal="center" vertical="center"/>
    </xf>
    <xf numFmtId="0" fontId="12" fillId="13" borderId="12" xfId="5" quotePrefix="1" applyFont="1" applyFill="1" applyBorder="1" applyAlignment="1">
      <alignment horizontal="center" vertical="center"/>
    </xf>
    <xf numFmtId="0" fontId="11" fillId="12" borderId="12" xfId="5" applyFont="1" applyFill="1" applyBorder="1" applyAlignment="1">
      <alignment vertical="center"/>
    </xf>
    <xf numFmtId="2" fontId="8" fillId="0" borderId="12" xfId="5" applyNumberFormat="1" applyFont="1" applyBorder="1" applyAlignment="1">
      <alignment vertical="center" wrapText="1"/>
    </xf>
    <xf numFmtId="3" fontId="14" fillId="5" borderId="13" xfId="5" applyNumberFormat="1" applyFont="1" applyFill="1" applyBorder="1" applyAlignment="1">
      <alignment horizontal="right" vertical="center" wrapText="1"/>
    </xf>
    <xf numFmtId="0" fontId="7" fillId="0" borderId="13" xfId="5" applyFont="1" applyBorder="1" applyAlignment="1">
      <alignment horizontal="center" vertical="center"/>
    </xf>
    <xf numFmtId="0" fontId="7" fillId="0" borderId="12" xfId="5" quotePrefix="1" applyFont="1" applyBorder="1" applyAlignment="1">
      <alignment horizontal="center" vertical="center"/>
    </xf>
    <xf numFmtId="0" fontId="7" fillId="0" borderId="12" xfId="5" applyFont="1" applyBorder="1" applyAlignment="1">
      <alignment vertical="center" wrapText="1"/>
    </xf>
    <xf numFmtId="0" fontId="7" fillId="0" borderId="12" xfId="5" applyFont="1" applyBorder="1" applyAlignment="1">
      <alignment horizontal="left" vertical="center" wrapText="1"/>
    </xf>
    <xf numFmtId="0" fontId="7" fillId="0" borderId="13" xfId="5" quotePrefix="1" applyFont="1" applyBorder="1" applyAlignment="1">
      <alignment horizontal="center" vertical="center"/>
    </xf>
    <xf numFmtId="4" fontId="12" fillId="12" borderId="13" xfId="5" applyNumberFormat="1" applyFont="1" applyFill="1" applyBorder="1" applyAlignment="1">
      <alignment horizontal="right" vertical="center" wrapText="1"/>
    </xf>
    <xf numFmtId="0" fontId="14" fillId="0" borderId="12" xfId="5" applyFont="1" applyBorder="1" applyAlignment="1">
      <alignment vertical="center"/>
    </xf>
    <xf numFmtId="2" fontId="14" fillId="0" borderId="12" xfId="5" applyNumberFormat="1" applyFont="1" applyBorder="1" applyAlignment="1">
      <alignment vertical="center" wrapText="1"/>
    </xf>
    <xf numFmtId="3" fontId="14" fillId="0" borderId="13" xfId="5" applyNumberFormat="1" applyFont="1" applyBorder="1" applyAlignment="1">
      <alignment horizontal="right" vertical="center" wrapText="1"/>
    </xf>
    <xf numFmtId="2" fontId="14" fillId="0" borderId="16" xfId="5" applyNumberFormat="1" applyFont="1" applyBorder="1" applyAlignment="1">
      <alignment vertical="center" wrapText="1"/>
    </xf>
    <xf numFmtId="3" fontId="10" fillId="12" borderId="17" xfId="5" applyNumberFormat="1" applyFont="1" applyFill="1" applyBorder="1" applyAlignment="1">
      <alignment horizontal="right" vertical="center" wrapText="1"/>
    </xf>
    <xf numFmtId="0" fontId="7" fillId="0" borderId="12" xfId="5" applyFont="1" applyBorder="1" applyAlignment="1">
      <alignment horizontal="center" vertical="center"/>
    </xf>
    <xf numFmtId="3" fontId="8" fillId="0" borderId="0" xfId="5" applyNumberFormat="1" applyFont="1" applyAlignment="1">
      <alignment vertical="center"/>
    </xf>
    <xf numFmtId="0" fontId="12" fillId="0" borderId="12" xfId="5" applyFont="1" applyBorder="1" applyAlignment="1">
      <alignment horizontal="left" vertical="center" wrapText="1"/>
    </xf>
    <xf numFmtId="4" fontId="12" fillId="10" borderId="13" xfId="5" applyNumberFormat="1" applyFont="1" applyFill="1" applyBorder="1" applyAlignment="1">
      <alignment horizontal="right" vertical="center" wrapText="1"/>
    </xf>
    <xf numFmtId="4" fontId="12" fillId="12" borderId="18" xfId="5" applyNumberFormat="1" applyFont="1" applyFill="1" applyBorder="1" applyAlignment="1">
      <alignment horizontal="right" vertical="center" wrapText="1"/>
    </xf>
    <xf numFmtId="4" fontId="12" fillId="9" borderId="13" xfId="5" applyNumberFormat="1" applyFont="1" applyFill="1" applyBorder="1" applyAlignment="1">
      <alignment horizontal="right" vertical="center" wrapText="1"/>
    </xf>
    <xf numFmtId="3" fontId="6" fillId="0" borderId="0" xfId="5" applyNumberFormat="1" applyAlignment="1">
      <alignment vertical="center"/>
    </xf>
    <xf numFmtId="0" fontId="7" fillId="14" borderId="0" xfId="5" applyFont="1" applyFill="1" applyAlignment="1">
      <alignment horizontal="center" vertical="center"/>
    </xf>
    <xf numFmtId="0" fontId="7" fillId="14" borderId="0" xfId="5" applyFont="1" applyFill="1" applyAlignment="1">
      <alignment vertical="center"/>
    </xf>
    <xf numFmtId="0" fontId="7" fillId="14" borderId="0" xfId="5" applyFont="1" applyFill="1" applyAlignment="1">
      <alignment vertical="center" wrapText="1"/>
    </xf>
    <xf numFmtId="4" fontId="8" fillId="0" borderId="17" xfId="5" applyNumberFormat="1" applyFont="1" applyBorder="1" applyAlignment="1">
      <alignment vertical="center"/>
    </xf>
    <xf numFmtId="3" fontId="16" fillId="15" borderId="13" xfId="5" applyNumberFormat="1" applyFont="1" applyFill="1" applyBorder="1" applyAlignment="1">
      <alignment horizontal="right" vertical="center" wrapText="1"/>
    </xf>
    <xf numFmtId="2" fontId="8" fillId="0" borderId="20" xfId="5" applyNumberFormat="1" applyFont="1" applyBorder="1" applyAlignment="1">
      <alignment vertical="center" wrapText="1"/>
    </xf>
    <xf numFmtId="0" fontId="8" fillId="0" borderId="16" xfId="5" applyFont="1" applyBorder="1" applyAlignment="1">
      <alignment vertical="center"/>
    </xf>
    <xf numFmtId="0" fontId="8" fillId="0" borderId="10" xfId="5" applyFont="1" applyBorder="1" applyAlignment="1">
      <alignment vertical="center" wrapText="1"/>
    </xf>
    <xf numFmtId="2" fontId="8" fillId="0" borderId="14" xfId="5" applyNumberFormat="1" applyFont="1" applyBorder="1" applyAlignment="1">
      <alignment vertical="center" wrapText="1"/>
    </xf>
    <xf numFmtId="4" fontId="8" fillId="0" borderId="18" xfId="5" applyNumberFormat="1" applyFont="1" applyBorder="1" applyAlignment="1">
      <alignment vertical="center"/>
    </xf>
    <xf numFmtId="4" fontId="8" fillId="0" borderId="13" xfId="5" applyNumberFormat="1" applyFont="1" applyBorder="1" applyAlignment="1">
      <alignment vertical="center"/>
    </xf>
    <xf numFmtId="2" fontId="8" fillId="0" borderId="16" xfId="5" applyNumberFormat="1" applyFont="1" applyBorder="1" applyAlignment="1">
      <alignment vertical="center" wrapText="1"/>
    </xf>
    <xf numFmtId="2" fontId="7" fillId="0" borderId="0" xfId="5" applyNumberFormat="1" applyFont="1" applyAlignment="1">
      <alignment horizontal="center" vertical="center"/>
    </xf>
    <xf numFmtId="0" fontId="12" fillId="8" borderId="12" xfId="5" applyFont="1" applyFill="1" applyBorder="1" applyAlignment="1">
      <alignment vertical="center" wrapText="1"/>
    </xf>
    <xf numFmtId="0" fontId="12" fillId="8" borderId="13" xfId="5" applyFont="1" applyFill="1" applyBorder="1" applyAlignment="1">
      <alignment horizontal="center" vertical="center"/>
    </xf>
    <xf numFmtId="0" fontId="12" fillId="8" borderId="12" xfId="5" quotePrefix="1" applyFont="1" applyFill="1" applyBorder="1" applyAlignment="1">
      <alignment horizontal="center" vertical="center"/>
    </xf>
    <xf numFmtId="0" fontId="8" fillId="0" borderId="12" xfId="5" applyFont="1" applyBorder="1" applyAlignment="1">
      <alignment horizontal="left" vertical="center" wrapText="1"/>
    </xf>
    <xf numFmtId="0" fontId="12" fillId="0" borderId="0" xfId="5" applyFont="1" applyAlignment="1">
      <alignment horizontal="left" vertical="center" wrapText="1"/>
    </xf>
    <xf numFmtId="4" fontId="6" fillId="0" borderId="0" xfId="5" applyNumberFormat="1" applyAlignment="1">
      <alignment vertical="center"/>
    </xf>
    <xf numFmtId="0" fontId="17" fillId="0" borderId="0" xfId="5" applyFont="1" applyAlignment="1">
      <alignment vertical="center"/>
    </xf>
    <xf numFmtId="0" fontId="8" fillId="5" borderId="12" xfId="5" applyFont="1" applyFill="1" applyBorder="1" applyAlignment="1">
      <alignment vertical="center"/>
    </xf>
    <xf numFmtId="0" fontId="12" fillId="12" borderId="12" xfId="5" applyFont="1" applyFill="1" applyBorder="1" applyAlignment="1">
      <alignment horizontal="left" vertical="center" wrapText="1"/>
    </xf>
    <xf numFmtId="3" fontId="18" fillId="12" borderId="13" xfId="5" applyNumberFormat="1" applyFont="1" applyFill="1" applyBorder="1" applyAlignment="1">
      <alignment horizontal="right" vertical="center" wrapText="1"/>
    </xf>
    <xf numFmtId="0" fontId="12" fillId="12" borderId="13" xfId="5" applyFont="1" applyFill="1" applyBorder="1" applyAlignment="1">
      <alignment horizontal="center" vertical="center"/>
    </xf>
    <xf numFmtId="0" fontId="12" fillId="12" borderId="12" xfId="5" applyFont="1" applyFill="1" applyBorder="1" applyAlignment="1">
      <alignment horizontal="center" vertical="center"/>
    </xf>
    <xf numFmtId="0" fontId="12" fillId="12" borderId="12" xfId="5" quotePrefix="1" applyFont="1" applyFill="1" applyBorder="1" applyAlignment="1">
      <alignment horizontal="center" vertical="center"/>
    </xf>
    <xf numFmtId="4" fontId="11" fillId="12" borderId="13" xfId="5" applyNumberFormat="1" applyFont="1" applyFill="1" applyBorder="1" applyAlignment="1">
      <alignment horizontal="right" vertical="center" wrapText="1"/>
    </xf>
    <xf numFmtId="4" fontId="7" fillId="0" borderId="0" xfId="5" applyNumberFormat="1" applyFont="1" applyAlignment="1">
      <alignment vertical="center" wrapText="1"/>
    </xf>
    <xf numFmtId="3" fontId="10" fillId="10" borderId="17" xfId="5" applyNumberFormat="1" applyFont="1" applyFill="1" applyBorder="1" applyAlignment="1">
      <alignment horizontal="right" vertical="center" wrapText="1"/>
    </xf>
    <xf numFmtId="0" fontId="12" fillId="11" borderId="17" xfId="5" applyFont="1" applyFill="1" applyBorder="1" applyAlignment="1">
      <alignment horizontal="center" vertical="center"/>
    </xf>
    <xf numFmtId="0" fontId="12" fillId="11" borderId="14" xfId="5" quotePrefix="1" applyFont="1" applyFill="1" applyBorder="1" applyAlignment="1">
      <alignment horizontal="center" vertical="center"/>
    </xf>
    <xf numFmtId="0" fontId="12" fillId="11" borderId="14" xfId="5" applyFont="1" applyFill="1" applyBorder="1" applyAlignment="1">
      <alignment horizontal="left" vertical="center" wrapText="1"/>
    </xf>
    <xf numFmtId="3" fontId="7" fillId="0" borderId="0" xfId="5" applyNumberFormat="1" applyFont="1" applyAlignment="1">
      <alignment horizontal="center" vertical="center"/>
    </xf>
    <xf numFmtId="3" fontId="14" fillId="15" borderId="13" xfId="5" applyNumberFormat="1" applyFont="1" applyFill="1" applyBorder="1" applyAlignment="1">
      <alignment horizontal="right" vertical="center" wrapText="1"/>
    </xf>
    <xf numFmtId="0" fontId="12" fillId="13" borderId="20" xfId="5" applyFont="1" applyFill="1" applyBorder="1" applyAlignment="1">
      <alignment horizontal="left" vertical="center" wrapText="1"/>
    </xf>
    <xf numFmtId="3" fontId="10" fillId="12" borderId="15" xfId="5" applyNumberFormat="1" applyFont="1" applyFill="1" applyBorder="1" applyAlignment="1">
      <alignment horizontal="right" vertical="center" wrapText="1"/>
    </xf>
    <xf numFmtId="0" fontId="19" fillId="0" borderId="10" xfId="5" applyFont="1" applyBorder="1" applyAlignment="1">
      <alignment vertical="center" wrapText="1"/>
    </xf>
    <xf numFmtId="0" fontId="12" fillId="17" borderId="13" xfId="5" applyFont="1" applyFill="1" applyBorder="1" applyAlignment="1">
      <alignment horizontal="center" vertical="center"/>
    </xf>
    <xf numFmtId="0" fontId="12" fillId="17" borderId="12" xfId="5" applyFont="1" applyFill="1" applyBorder="1" applyAlignment="1">
      <alignment horizontal="center" vertical="center"/>
    </xf>
    <xf numFmtId="0" fontId="7" fillId="17" borderId="12" xfId="5" applyFont="1" applyFill="1" applyBorder="1" applyAlignment="1">
      <alignment horizontal="left" vertical="center" wrapText="1"/>
    </xf>
    <xf numFmtId="4" fontId="7" fillId="16" borderId="13" xfId="5" applyNumberFormat="1" applyFont="1" applyFill="1" applyBorder="1" applyAlignment="1">
      <alignment horizontal="right" vertical="center" wrapText="1"/>
    </xf>
    <xf numFmtId="0" fontId="8" fillId="2" borderId="0" xfId="5" applyFont="1" applyFill="1" applyAlignment="1">
      <alignment vertical="center"/>
    </xf>
    <xf numFmtId="0" fontId="6" fillId="2" borderId="0" xfId="5" applyFill="1" applyAlignment="1">
      <alignment vertical="center"/>
    </xf>
    <xf numFmtId="0" fontId="12" fillId="13" borderId="14" xfId="5" applyFont="1" applyFill="1" applyBorder="1" applyAlignment="1">
      <alignment horizontal="left" vertical="center" wrapText="1"/>
    </xf>
    <xf numFmtId="0" fontId="11" fillId="0" borderId="0" xfId="5" applyFont="1" applyAlignment="1">
      <alignment vertical="center"/>
    </xf>
    <xf numFmtId="0" fontId="21" fillId="0" borderId="0" xfId="5" applyFont="1" applyAlignment="1">
      <alignment vertical="center"/>
    </xf>
    <xf numFmtId="49" fontId="7" fillId="0" borderId="12" xfId="5" applyNumberFormat="1" applyFont="1" applyBorder="1" applyAlignment="1">
      <alignment horizontal="center" vertical="center"/>
    </xf>
    <xf numFmtId="2" fontId="8" fillId="18" borderId="12" xfId="5" applyNumberFormat="1" applyFont="1" applyFill="1" applyBorder="1" applyAlignment="1">
      <alignment vertical="center" wrapText="1"/>
    </xf>
    <xf numFmtId="0" fontId="7" fillId="18" borderId="12" xfId="5" applyFont="1" applyFill="1" applyBorder="1" applyAlignment="1">
      <alignment horizontal="left" vertical="center" wrapText="1"/>
    </xf>
    <xf numFmtId="2" fontId="14" fillId="18" borderId="16" xfId="5" applyNumberFormat="1" applyFont="1" applyFill="1" applyBorder="1" applyAlignment="1">
      <alignment vertical="center" wrapText="1"/>
    </xf>
    <xf numFmtId="2" fontId="16" fillId="0" borderId="12" xfId="5" applyNumberFormat="1" applyFont="1" applyBorder="1" applyAlignment="1">
      <alignment vertical="center" wrapText="1"/>
    </xf>
    <xf numFmtId="0" fontId="8" fillId="0" borderId="20" xfId="5" applyFont="1" applyBorder="1" applyAlignment="1">
      <alignment vertical="center"/>
    </xf>
    <xf numFmtId="0" fontId="6" fillId="0" borderId="0" xfId="5" applyAlignment="1">
      <alignment vertical="center" wrapText="1"/>
    </xf>
    <xf numFmtId="0" fontId="24" fillId="20" borderId="20" xfId="6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 vertical="center"/>
    </xf>
    <xf numFmtId="0" fontId="25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vertical="center"/>
    </xf>
    <xf numFmtId="0" fontId="24" fillId="4" borderId="20" xfId="6" applyFont="1" applyFill="1" applyBorder="1" applyAlignment="1">
      <alignment horizontal="center" vertical="center" wrapText="1"/>
    </xf>
    <xf numFmtId="165" fontId="24" fillId="21" borderId="20" xfId="7" applyFont="1" applyFill="1" applyBorder="1" applyAlignment="1">
      <alignment horizontal="center" vertical="center" wrapText="1"/>
    </xf>
    <xf numFmtId="165" fontId="24" fillId="22" borderId="20" xfId="7" applyFont="1" applyFill="1" applyBorder="1" applyAlignment="1">
      <alignment horizontal="center" vertical="center" wrapText="1"/>
    </xf>
    <xf numFmtId="165" fontId="24" fillId="23" borderId="18" xfId="7" applyFont="1" applyFill="1" applyBorder="1" applyAlignment="1">
      <alignment horizontal="center" vertical="center" wrapText="1"/>
    </xf>
    <xf numFmtId="165" fontId="24" fillId="23" borderId="0" xfId="7" applyFont="1" applyFill="1" applyBorder="1" applyAlignment="1">
      <alignment horizontal="center" vertical="center" wrapText="1"/>
    </xf>
    <xf numFmtId="165" fontId="24" fillId="23" borderId="6" xfId="7" applyFont="1" applyFill="1" applyBorder="1" applyAlignment="1">
      <alignment horizontal="center" vertical="center" wrapText="1"/>
    </xf>
    <xf numFmtId="165" fontId="24" fillId="24" borderId="0" xfId="7" applyFont="1" applyFill="1" applyBorder="1" applyAlignment="1">
      <alignment horizontal="center" vertical="center" wrapText="1"/>
    </xf>
    <xf numFmtId="165" fontId="24" fillId="24" borderId="6" xfId="7" applyFont="1" applyFill="1" applyBorder="1" applyAlignment="1">
      <alignment horizontal="center" vertical="center" wrapText="1"/>
    </xf>
    <xf numFmtId="165" fontId="24" fillId="25" borderId="0" xfId="7" applyFont="1" applyFill="1" applyBorder="1" applyAlignment="1">
      <alignment horizontal="center" vertical="center" wrapText="1"/>
    </xf>
    <xf numFmtId="165" fontId="24" fillId="25" borderId="6" xfId="7" applyFont="1" applyFill="1" applyBorder="1" applyAlignment="1">
      <alignment horizontal="center" vertical="center" wrapText="1"/>
    </xf>
    <xf numFmtId="165" fontId="24" fillId="26" borderId="0" xfId="7" applyFont="1" applyFill="1" applyBorder="1" applyAlignment="1">
      <alignment horizontal="center" vertical="center" wrapText="1"/>
    </xf>
    <xf numFmtId="165" fontId="24" fillId="27" borderId="0" xfId="7" applyFont="1" applyFill="1" applyBorder="1" applyAlignment="1">
      <alignment horizontal="center" vertical="center" wrapText="1"/>
    </xf>
    <xf numFmtId="165" fontId="24" fillId="27" borderId="6" xfId="7" applyFont="1" applyFill="1" applyBorder="1" applyAlignment="1">
      <alignment horizontal="center" vertical="center" wrapText="1"/>
    </xf>
    <xf numFmtId="165" fontId="24" fillId="28" borderId="0" xfId="7" applyFont="1" applyFill="1" applyBorder="1" applyAlignment="1">
      <alignment horizontal="center" vertical="center" wrapText="1"/>
    </xf>
    <xf numFmtId="165" fontId="24" fillId="28" borderId="6" xfId="7" applyFont="1" applyFill="1" applyBorder="1" applyAlignment="1">
      <alignment horizontal="center" vertical="center" wrapText="1"/>
    </xf>
    <xf numFmtId="165" fontId="24" fillId="29" borderId="0" xfId="7" applyFont="1" applyFill="1" applyBorder="1" applyAlignment="1">
      <alignment horizontal="center" vertical="center" wrapText="1"/>
    </xf>
    <xf numFmtId="165" fontId="24" fillId="29" borderId="6" xfId="7" applyFont="1" applyFill="1" applyBorder="1" applyAlignment="1">
      <alignment horizontal="center" vertical="center" wrapText="1"/>
    </xf>
    <xf numFmtId="165" fontId="26" fillId="30" borderId="0" xfId="7" applyFont="1" applyFill="1" applyBorder="1" applyAlignment="1">
      <alignment horizontal="center" vertical="center" wrapText="1"/>
    </xf>
    <xf numFmtId="165" fontId="26" fillId="25" borderId="0" xfId="7" applyFont="1" applyFill="1" applyBorder="1" applyAlignment="1">
      <alignment horizontal="center" vertical="center" wrapText="1"/>
    </xf>
    <xf numFmtId="165" fontId="24" fillId="31" borderId="0" xfId="7" applyFont="1" applyFill="1" applyBorder="1" applyAlignment="1">
      <alignment horizontal="center" vertical="center" wrapText="1"/>
    </xf>
    <xf numFmtId="165" fontId="24" fillId="21" borderId="6" xfId="7" applyFont="1" applyFill="1" applyBorder="1" applyAlignment="1">
      <alignment horizontal="center" vertical="center" wrapText="1"/>
    </xf>
    <xf numFmtId="165" fontId="24" fillId="21" borderId="6" xfId="7" applyFont="1" applyFill="1" applyBorder="1" applyAlignment="1">
      <alignment horizontal="center" vertical="center"/>
    </xf>
    <xf numFmtId="165" fontId="24" fillId="21" borderId="0" xfId="7" applyFont="1" applyFill="1" applyBorder="1" applyAlignment="1">
      <alignment horizontal="center" vertical="center" wrapText="1"/>
    </xf>
    <xf numFmtId="0" fontId="24" fillId="20" borderId="18" xfId="6" applyFont="1" applyFill="1" applyBorder="1" applyAlignment="1">
      <alignment horizontal="center" vertical="center"/>
    </xf>
    <xf numFmtId="0" fontId="24" fillId="20" borderId="19" xfId="6" applyFont="1" applyFill="1" applyBorder="1" applyAlignment="1">
      <alignment horizontal="center" vertical="center"/>
    </xf>
    <xf numFmtId="0" fontId="24" fillId="20" borderId="19" xfId="6" applyFont="1" applyFill="1" applyBorder="1" applyAlignment="1">
      <alignment horizontal="center" vertical="center" wrapText="1"/>
    </xf>
    <xf numFmtId="3" fontId="24" fillId="32" borderId="0" xfId="6" applyNumberFormat="1" applyFont="1" applyFill="1" applyAlignment="1">
      <alignment horizontal="center" vertical="center" wrapText="1"/>
    </xf>
    <xf numFmtId="0" fontId="14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0" fontId="24" fillId="8" borderId="10" xfId="6" applyFont="1" applyFill="1" applyBorder="1" applyAlignment="1">
      <alignment horizontal="center" vertical="center"/>
    </xf>
    <xf numFmtId="0" fontId="27" fillId="8" borderId="10" xfId="6" applyFont="1" applyFill="1" applyBorder="1" applyAlignment="1">
      <alignment horizontal="center" vertical="center"/>
    </xf>
    <xf numFmtId="0" fontId="24" fillId="8" borderId="10" xfId="6" applyFont="1" applyFill="1" applyBorder="1" applyAlignment="1">
      <alignment horizontal="left" vertical="center" wrapText="1"/>
    </xf>
    <xf numFmtId="0" fontId="15" fillId="0" borderId="10" xfId="6" applyFont="1" applyBorder="1" applyAlignment="1">
      <alignment horizontal="center" vertical="center"/>
    </xf>
    <xf numFmtId="165" fontId="24" fillId="8" borderId="10" xfId="7" applyFont="1" applyFill="1" applyBorder="1" applyAlignment="1">
      <alignment horizontal="right" vertical="center" wrapText="1"/>
    </xf>
    <xf numFmtId="165" fontId="24" fillId="8" borderId="10" xfId="7" applyFont="1" applyFill="1" applyBorder="1" applyAlignment="1">
      <alignment horizontal="left" vertical="center" wrapText="1"/>
    </xf>
    <xf numFmtId="165" fontId="24" fillId="8" borderId="10" xfId="7" applyFont="1" applyFill="1" applyBorder="1" applyAlignment="1">
      <alignment vertical="center" wrapText="1"/>
    </xf>
    <xf numFmtId="165" fontId="27" fillId="0" borderId="10" xfId="7" applyFont="1" applyFill="1" applyBorder="1" applyAlignment="1">
      <alignment vertical="center" wrapText="1"/>
    </xf>
    <xf numFmtId="165" fontId="24" fillId="8" borderId="10" xfId="7" applyFont="1" applyFill="1" applyBorder="1" applyAlignment="1">
      <alignment horizontal="center" vertical="center" wrapText="1"/>
    </xf>
    <xf numFmtId="165" fontId="24" fillId="8" borderId="7" xfId="7" applyFont="1" applyFill="1" applyBorder="1" applyAlignment="1">
      <alignment horizontal="center" vertical="center" wrapText="1"/>
    </xf>
    <xf numFmtId="165" fontId="24" fillId="8" borderId="8" xfId="7" applyFont="1" applyFill="1" applyBorder="1" applyAlignment="1">
      <alignment horizontal="right" vertical="center" wrapText="1"/>
    </xf>
    <xf numFmtId="165" fontId="24" fillId="0" borderId="8" xfId="7" applyFont="1" applyFill="1" applyBorder="1" applyAlignment="1">
      <alignment horizontal="right" vertical="center" wrapText="1"/>
    </xf>
    <xf numFmtId="165" fontId="28" fillId="0" borderId="10" xfId="7" applyFont="1" applyFill="1" applyBorder="1" applyAlignment="1">
      <alignment horizontal="left" vertical="center" wrapText="1"/>
    </xf>
    <xf numFmtId="165" fontId="26" fillId="8" borderId="10" xfId="7" applyFont="1" applyFill="1" applyBorder="1" applyAlignment="1">
      <alignment horizontal="right" vertical="center" wrapText="1"/>
    </xf>
    <xf numFmtId="165" fontId="28" fillId="8" borderId="10" xfId="7" applyFont="1" applyFill="1" applyBorder="1" applyAlignment="1">
      <alignment horizontal="left" vertical="center" wrapText="1"/>
    </xf>
    <xf numFmtId="0" fontId="24" fillId="8" borderId="10" xfId="6" quotePrefix="1" applyFont="1" applyFill="1" applyBorder="1" applyAlignment="1">
      <alignment horizontal="center" vertical="center"/>
    </xf>
    <xf numFmtId="0" fontId="24" fillId="8" borderId="10" xfId="6" quotePrefix="1" applyFont="1" applyFill="1" applyBorder="1" applyAlignment="1">
      <alignment horizontal="left" vertical="center" wrapText="1"/>
    </xf>
    <xf numFmtId="3" fontId="14" fillId="0" borderId="0" xfId="6" applyNumberFormat="1" applyFont="1" applyAlignment="1">
      <alignment vertical="center"/>
    </xf>
    <xf numFmtId="165" fontId="15" fillId="0" borderId="0" xfId="6" applyNumberFormat="1" applyFont="1" applyAlignment="1">
      <alignment vertical="center"/>
    </xf>
    <xf numFmtId="0" fontId="24" fillId="9" borderId="10" xfId="6" quotePrefix="1" applyFont="1" applyFill="1" applyBorder="1" applyAlignment="1">
      <alignment horizontal="center" vertical="center"/>
    </xf>
    <xf numFmtId="0" fontId="27" fillId="9" borderId="10" xfId="6" applyFont="1" applyFill="1" applyBorder="1" applyAlignment="1">
      <alignment horizontal="center" vertical="center"/>
    </xf>
    <xf numFmtId="0" fontId="24" fillId="9" borderId="10" xfId="6" applyFont="1" applyFill="1" applyBorder="1" applyAlignment="1">
      <alignment horizontal="left" vertical="center" wrapText="1"/>
    </xf>
    <xf numFmtId="165" fontId="24" fillId="9" borderId="10" xfId="7" applyFont="1" applyFill="1" applyBorder="1" applyAlignment="1">
      <alignment horizontal="right" vertical="center" wrapText="1"/>
    </xf>
    <xf numFmtId="165" fontId="24" fillId="9" borderId="10" xfId="7" applyFont="1" applyFill="1" applyBorder="1" applyAlignment="1">
      <alignment horizontal="left" vertical="center" wrapText="1"/>
    </xf>
    <xf numFmtId="165" fontId="24" fillId="9" borderId="10" xfId="7" applyFont="1" applyFill="1" applyBorder="1" applyAlignment="1">
      <alignment vertical="center" wrapText="1"/>
    </xf>
    <xf numFmtId="165" fontId="24" fillId="9" borderId="10" xfId="7" applyFont="1" applyFill="1" applyBorder="1" applyAlignment="1">
      <alignment horizontal="center" vertical="center" wrapText="1"/>
    </xf>
    <xf numFmtId="165" fontId="24" fillId="9" borderId="7" xfId="7" applyFont="1" applyFill="1" applyBorder="1" applyAlignment="1">
      <alignment horizontal="center" vertical="center" wrapText="1"/>
    </xf>
    <xf numFmtId="165" fontId="24" fillId="9" borderId="8" xfId="7" applyFont="1" applyFill="1" applyBorder="1" applyAlignment="1">
      <alignment horizontal="right" vertical="center" wrapText="1"/>
    </xf>
    <xf numFmtId="0" fontId="24" fillId="9" borderId="10" xfId="6" applyFont="1" applyFill="1" applyBorder="1" applyAlignment="1">
      <alignment horizontal="center" vertical="center"/>
    </xf>
    <xf numFmtId="0" fontId="24" fillId="9" borderId="10" xfId="6" quotePrefix="1" applyFont="1" applyFill="1" applyBorder="1" applyAlignment="1">
      <alignment horizontal="left" vertical="center" wrapText="1"/>
    </xf>
    <xf numFmtId="0" fontId="24" fillId="11" borderId="10" xfId="6" quotePrefix="1" applyFont="1" applyFill="1" applyBorder="1" applyAlignment="1">
      <alignment horizontal="center" vertical="center"/>
    </xf>
    <xf numFmtId="0" fontId="27" fillId="10" borderId="10" xfId="6" applyFont="1" applyFill="1" applyBorder="1" applyAlignment="1">
      <alignment horizontal="center" vertical="center"/>
    </xf>
    <xf numFmtId="0" fontId="24" fillId="11" borderId="10" xfId="6" applyFont="1" applyFill="1" applyBorder="1" applyAlignment="1">
      <alignment horizontal="left" vertical="center" wrapText="1"/>
    </xf>
    <xf numFmtId="165" fontId="24" fillId="11" borderId="10" xfId="7" applyFont="1" applyFill="1" applyBorder="1" applyAlignment="1">
      <alignment horizontal="right" vertical="center" wrapText="1"/>
    </xf>
    <xf numFmtId="165" fontId="24" fillId="11" borderId="10" xfId="7" applyFont="1" applyFill="1" applyBorder="1" applyAlignment="1">
      <alignment horizontal="left" vertical="center" wrapText="1"/>
    </xf>
    <xf numFmtId="165" fontId="24" fillId="11" borderId="10" xfId="7" applyFont="1" applyFill="1" applyBorder="1" applyAlignment="1">
      <alignment vertical="center" wrapText="1"/>
    </xf>
    <xf numFmtId="165" fontId="24" fillId="11" borderId="10" xfId="7" applyFont="1" applyFill="1" applyBorder="1" applyAlignment="1">
      <alignment horizontal="center" vertical="center" wrapText="1"/>
    </xf>
    <xf numFmtId="165" fontId="24" fillId="11" borderId="8" xfId="7" applyFont="1" applyFill="1" applyBorder="1" applyAlignment="1">
      <alignment horizontal="right" vertical="center" wrapText="1"/>
    </xf>
    <xf numFmtId="0" fontId="24" fillId="11" borderId="10" xfId="6" applyFont="1" applyFill="1" applyBorder="1" applyAlignment="1">
      <alignment horizontal="center" vertical="center"/>
    </xf>
    <xf numFmtId="0" fontId="24" fillId="11" borderId="10" xfId="6" quotePrefix="1" applyFont="1" applyFill="1" applyBorder="1" applyAlignment="1">
      <alignment horizontal="left" vertical="center" wrapText="1"/>
    </xf>
    <xf numFmtId="0" fontId="24" fillId="33" borderId="10" xfId="6" quotePrefix="1" applyFont="1" applyFill="1" applyBorder="1" applyAlignment="1">
      <alignment horizontal="center" vertical="center"/>
    </xf>
    <xf numFmtId="0" fontId="27" fillId="33" borderId="10" xfId="6" applyFont="1" applyFill="1" applyBorder="1" applyAlignment="1">
      <alignment horizontal="center" vertical="center"/>
    </xf>
    <xf numFmtId="0" fontId="24" fillId="33" borderId="10" xfId="6" applyFont="1" applyFill="1" applyBorder="1" applyAlignment="1">
      <alignment horizontal="left" vertical="center" wrapText="1"/>
    </xf>
    <xf numFmtId="165" fontId="24" fillId="33" borderId="10" xfId="7" applyFont="1" applyFill="1" applyBorder="1" applyAlignment="1">
      <alignment horizontal="right" vertical="center" wrapText="1"/>
    </xf>
    <xf numFmtId="165" fontId="24" fillId="33" borderId="10" xfId="7" applyFont="1" applyFill="1" applyBorder="1" applyAlignment="1">
      <alignment horizontal="left" vertical="center" wrapText="1"/>
    </xf>
    <xf numFmtId="165" fontId="24" fillId="33" borderId="10" xfId="7" applyFont="1" applyFill="1" applyBorder="1" applyAlignment="1">
      <alignment vertical="center" wrapText="1"/>
    </xf>
    <xf numFmtId="165" fontId="24" fillId="33" borderId="10" xfId="7" applyFont="1" applyFill="1" applyBorder="1" applyAlignment="1">
      <alignment horizontal="center" vertical="center" wrapText="1"/>
    </xf>
    <xf numFmtId="165" fontId="24" fillId="33" borderId="8" xfId="7" applyFont="1" applyFill="1" applyBorder="1" applyAlignment="1">
      <alignment horizontal="right" vertical="center" wrapText="1"/>
    </xf>
    <xf numFmtId="0" fontId="24" fillId="33" borderId="10" xfId="6" applyFont="1" applyFill="1" applyBorder="1" applyAlignment="1">
      <alignment horizontal="center" vertical="center"/>
    </xf>
    <xf numFmtId="0" fontId="24" fillId="33" borderId="10" xfId="6" applyFont="1" applyFill="1" applyBorder="1" applyAlignment="1">
      <alignment horizontal="center" vertical="center" wrapText="1"/>
    </xf>
    <xf numFmtId="0" fontId="24" fillId="33" borderId="10" xfId="6" applyFont="1" applyFill="1" applyBorder="1" applyAlignment="1">
      <alignment vertical="center" wrapText="1"/>
    </xf>
    <xf numFmtId="0" fontId="2" fillId="0" borderId="10" xfId="6" quotePrefix="1" applyFont="1" applyBorder="1" applyAlignment="1">
      <alignment horizontal="center" vertical="center"/>
    </xf>
    <xf numFmtId="0" fontId="27" fillId="0" borderId="10" xfId="6" applyFont="1" applyBorder="1" applyAlignment="1">
      <alignment horizontal="center" vertical="center"/>
    </xf>
    <xf numFmtId="0" fontId="27" fillId="0" borderId="10" xfId="6" applyFont="1" applyBorder="1" applyAlignment="1">
      <alignment vertical="center" wrapText="1"/>
    </xf>
    <xf numFmtId="0" fontId="27" fillId="0" borderId="10" xfId="6" applyFont="1" applyBorder="1" applyAlignment="1">
      <alignment horizontal="left" vertical="center" wrapText="1"/>
    </xf>
    <xf numFmtId="165" fontId="27" fillId="0" borderId="10" xfId="7" applyFont="1" applyBorder="1" applyAlignment="1">
      <alignment horizontal="left" vertical="center" wrapText="1"/>
    </xf>
    <xf numFmtId="165" fontId="27" fillId="0" borderId="10" xfId="7" applyFont="1" applyFill="1" applyBorder="1" applyAlignment="1">
      <alignment horizontal="center" vertical="center" wrapText="1"/>
    </xf>
    <xf numFmtId="165" fontId="27" fillId="3" borderId="10" xfId="7" applyFont="1" applyFill="1" applyBorder="1" applyAlignment="1">
      <alignment horizontal="center" vertical="center" wrapText="1"/>
    </xf>
    <xf numFmtId="165" fontId="27" fillId="0" borderId="8" xfId="7" applyFont="1" applyFill="1" applyBorder="1" applyAlignment="1">
      <alignment vertical="center" wrapText="1"/>
    </xf>
    <xf numFmtId="0" fontId="2" fillId="0" borderId="10" xfId="6" applyFont="1" applyBorder="1" applyAlignment="1">
      <alignment horizontal="center" vertical="center"/>
    </xf>
    <xf numFmtId="0" fontId="2" fillId="0" borderId="10" xfId="6" applyFont="1" applyBorder="1" applyAlignment="1">
      <alignment horizontal="left" vertical="center" wrapText="1"/>
    </xf>
    <xf numFmtId="3" fontId="2" fillId="0" borderId="12" xfId="6" applyNumberFormat="1" applyFont="1" applyBorder="1" applyAlignment="1">
      <alignment horizontal="right" vertical="center" wrapText="1"/>
    </xf>
    <xf numFmtId="0" fontId="2" fillId="0" borderId="10" xfId="6" applyFont="1" applyBorder="1" applyAlignment="1">
      <alignment horizontal="center" vertical="center" wrapText="1"/>
    </xf>
    <xf numFmtId="0" fontId="2" fillId="0" borderId="10" xfId="6" quotePrefix="1" applyFont="1" applyBorder="1" applyAlignment="1">
      <alignment horizontal="center" vertical="center" wrapText="1"/>
    </xf>
    <xf numFmtId="0" fontId="2" fillId="0" borderId="10" xfId="6" quotePrefix="1" applyFont="1" applyBorder="1" applyAlignment="1">
      <alignment horizontal="left" vertical="center" wrapText="1"/>
    </xf>
    <xf numFmtId="3" fontId="27" fillId="0" borderId="10" xfId="6" applyNumberFormat="1" applyFont="1" applyBorder="1" applyAlignment="1">
      <alignment vertical="center"/>
    </xf>
    <xf numFmtId="165" fontId="27" fillId="0" borderId="10" xfId="7" applyFont="1" applyBorder="1" applyAlignment="1">
      <alignment vertical="center" wrapText="1"/>
    </xf>
    <xf numFmtId="0" fontId="27" fillId="0" borderId="10" xfId="6" applyFont="1" applyBorder="1" applyAlignment="1">
      <alignment vertical="center"/>
    </xf>
    <xf numFmtId="3" fontId="27" fillId="0" borderId="0" xfId="6" applyNumberFormat="1" applyFont="1" applyAlignment="1">
      <alignment horizontal="right" vertical="center"/>
    </xf>
    <xf numFmtId="165" fontId="24" fillId="33" borderId="13" xfId="7" applyFont="1" applyFill="1" applyBorder="1" applyAlignment="1">
      <alignment horizontal="right" vertical="center" wrapText="1"/>
    </xf>
    <xf numFmtId="165" fontId="27" fillId="0" borderId="0" xfId="7" applyFont="1" applyFill="1" applyBorder="1" applyAlignment="1">
      <alignment vertical="center" wrapText="1"/>
    </xf>
    <xf numFmtId="165" fontId="24" fillId="33" borderId="13" xfId="7" applyFont="1" applyFill="1" applyBorder="1" applyAlignment="1">
      <alignment horizontal="center" vertical="center" wrapText="1"/>
    </xf>
    <xf numFmtId="3" fontId="24" fillId="33" borderId="10" xfId="6" applyNumberFormat="1" applyFont="1" applyFill="1" applyBorder="1" applyAlignment="1">
      <alignment horizontal="right" vertical="center" wrapText="1"/>
    </xf>
    <xf numFmtId="3" fontId="2" fillId="0" borderId="10" xfId="6" applyNumberFormat="1" applyFont="1" applyBorder="1" applyAlignment="1">
      <alignment horizontal="right" vertical="center" wrapText="1"/>
    </xf>
    <xf numFmtId="3" fontId="27" fillId="0" borderId="10" xfId="6" applyNumberFormat="1" applyFont="1" applyBorder="1" applyAlignment="1">
      <alignment horizontal="right" vertical="center"/>
    </xf>
    <xf numFmtId="165" fontId="30" fillId="0" borderId="10" xfId="7" applyFont="1" applyBorder="1" applyAlignment="1">
      <alignment vertical="center" wrapText="1"/>
    </xf>
    <xf numFmtId="165" fontId="6" fillId="0" borderId="10" xfId="7" applyFont="1" applyBorder="1" applyAlignment="1">
      <alignment vertical="center"/>
    </xf>
    <xf numFmtId="165" fontId="31" fillId="0" borderId="10" xfId="7" applyFont="1" applyBorder="1" applyAlignment="1">
      <alignment vertical="center" wrapText="1"/>
    </xf>
    <xf numFmtId="165" fontId="24" fillId="11" borderId="12" xfId="7" applyFont="1" applyFill="1" applyBorder="1" applyAlignment="1">
      <alignment horizontal="right" vertical="center" wrapText="1"/>
    </xf>
    <xf numFmtId="165" fontId="24" fillId="11" borderId="12" xfId="7" applyFont="1" applyFill="1" applyBorder="1" applyAlignment="1">
      <alignment horizontal="center" vertical="center" wrapText="1"/>
    </xf>
    <xf numFmtId="165" fontId="24" fillId="11" borderId="13" xfId="7" applyFont="1" applyFill="1" applyBorder="1" applyAlignment="1">
      <alignment horizontal="right" vertical="center" wrapText="1"/>
    </xf>
    <xf numFmtId="3" fontId="24" fillId="11" borderId="10" xfId="6" applyNumberFormat="1" applyFont="1" applyFill="1" applyBorder="1" applyAlignment="1">
      <alignment horizontal="right" vertical="center" wrapText="1"/>
    </xf>
    <xf numFmtId="165" fontId="24" fillId="33" borderId="12" xfId="7" applyFont="1" applyFill="1" applyBorder="1" applyAlignment="1">
      <alignment horizontal="right" vertical="center" wrapText="1"/>
    </xf>
    <xf numFmtId="165" fontId="24" fillId="33" borderId="12" xfId="7" applyFont="1" applyFill="1" applyBorder="1" applyAlignment="1">
      <alignment horizontal="center" vertical="center" wrapText="1"/>
    </xf>
    <xf numFmtId="0" fontId="2" fillId="30" borderId="10" xfId="6" applyFont="1" applyFill="1" applyBorder="1" applyAlignment="1">
      <alignment horizontal="center" vertical="center"/>
    </xf>
    <xf numFmtId="0" fontId="27" fillId="30" borderId="10" xfId="6" applyFont="1" applyFill="1" applyBorder="1" applyAlignment="1">
      <alignment horizontal="center" vertical="center"/>
    </xf>
    <xf numFmtId="0" fontId="27" fillId="30" borderId="10" xfId="6" applyFont="1" applyFill="1" applyBorder="1" applyAlignment="1">
      <alignment vertical="center" wrapText="1"/>
    </xf>
    <xf numFmtId="165" fontId="27" fillId="14" borderId="10" xfId="7" applyFont="1" applyFill="1" applyBorder="1" applyAlignment="1">
      <alignment horizontal="center" vertical="center" wrapText="1"/>
    </xf>
    <xf numFmtId="0" fontId="2" fillId="0" borderId="10" xfId="6" applyFont="1" applyBorder="1" applyAlignment="1">
      <alignment vertical="center" wrapText="1"/>
    </xf>
    <xf numFmtId="165" fontId="24" fillId="9" borderId="12" xfId="7" applyFont="1" applyFill="1" applyBorder="1" applyAlignment="1">
      <alignment horizontal="right" vertical="center" wrapText="1"/>
    </xf>
    <xf numFmtId="165" fontId="24" fillId="9" borderId="12" xfId="7" applyFont="1" applyFill="1" applyBorder="1" applyAlignment="1">
      <alignment horizontal="center" vertical="center" wrapText="1"/>
    </xf>
    <xf numFmtId="165" fontId="24" fillId="9" borderId="13" xfId="7" applyFont="1" applyFill="1" applyBorder="1" applyAlignment="1">
      <alignment horizontal="right" vertical="center" wrapText="1"/>
    </xf>
    <xf numFmtId="3" fontId="24" fillId="9" borderId="10" xfId="6" applyNumberFormat="1" applyFont="1" applyFill="1" applyBorder="1" applyAlignment="1">
      <alignment horizontal="right" vertical="center" wrapText="1"/>
    </xf>
    <xf numFmtId="0" fontId="24" fillId="11" borderId="10" xfId="6" applyFont="1" applyFill="1" applyBorder="1" applyAlignment="1">
      <alignment vertical="center" wrapText="1"/>
    </xf>
    <xf numFmtId="165" fontId="27" fillId="14" borderId="10" xfId="7" applyFont="1" applyFill="1" applyBorder="1" applyAlignment="1">
      <alignment vertical="center" wrapText="1"/>
    </xf>
    <xf numFmtId="0" fontId="24" fillId="33" borderId="10" xfId="6" quotePrefix="1" applyFont="1" applyFill="1" applyBorder="1" applyAlignment="1">
      <alignment horizontal="left" vertical="center" wrapText="1"/>
    </xf>
    <xf numFmtId="0" fontId="2" fillId="5" borderId="10" xfId="6" quotePrefix="1" applyFont="1" applyFill="1" applyBorder="1" applyAlignment="1">
      <alignment horizontal="center" vertical="center"/>
    </xf>
    <xf numFmtId="165" fontId="27" fillId="34" borderId="10" xfId="7" applyFont="1" applyFill="1" applyBorder="1" applyAlignment="1">
      <alignment vertical="center" wrapText="1"/>
    </xf>
    <xf numFmtId="165" fontId="27" fillId="34" borderId="10" xfId="7" applyFont="1" applyFill="1" applyBorder="1" applyAlignment="1">
      <alignment horizontal="center" vertical="center" wrapText="1"/>
    </xf>
    <xf numFmtId="165" fontId="2" fillId="0" borderId="10" xfId="7" applyFont="1" applyBorder="1" applyAlignment="1">
      <alignment horizontal="left" vertical="center" wrapText="1"/>
    </xf>
    <xf numFmtId="165" fontId="27" fillId="35" borderId="10" xfId="7" applyFont="1" applyFill="1" applyBorder="1" applyAlignment="1">
      <alignment vertical="center" wrapText="1"/>
    </xf>
    <xf numFmtId="165" fontId="24" fillId="33" borderId="10" xfId="7" quotePrefix="1" applyFont="1" applyFill="1" applyBorder="1" applyAlignment="1">
      <alignment horizontal="left" vertical="center" wrapText="1"/>
    </xf>
    <xf numFmtId="165" fontId="27" fillId="2" borderId="10" xfId="7" applyFont="1" applyFill="1" applyBorder="1" applyAlignment="1">
      <alignment horizontal="center" vertical="center" wrapText="1"/>
    </xf>
    <xf numFmtId="0" fontId="2" fillId="30" borderId="10" xfId="6" quotePrefix="1" applyFont="1" applyFill="1" applyBorder="1" applyAlignment="1">
      <alignment horizontal="center" vertical="center"/>
    </xf>
    <xf numFmtId="165" fontId="32" fillId="0" borderId="0" xfId="7" applyFont="1" applyAlignment="1">
      <alignment horizontal="left" vertical="center"/>
    </xf>
    <xf numFmtId="165" fontId="32" fillId="0" borderId="0" xfId="7" applyFont="1" applyAlignment="1">
      <alignment horizontal="center" vertical="center"/>
    </xf>
    <xf numFmtId="165" fontId="32" fillId="0" borderId="0" xfId="7" applyFont="1" applyFill="1" applyAlignment="1">
      <alignment horizontal="center" vertical="center"/>
    </xf>
    <xf numFmtId="0" fontId="2" fillId="5" borderId="10" xfId="6" applyFont="1" applyFill="1" applyBorder="1" applyAlignment="1">
      <alignment horizontal="center" vertical="center"/>
    </xf>
    <xf numFmtId="165" fontId="2" fillId="0" borderId="10" xfId="7" applyFont="1" applyBorder="1" applyAlignment="1">
      <alignment vertical="center" wrapText="1"/>
    </xf>
    <xf numFmtId="165" fontId="24" fillId="33" borderId="20" xfId="7" applyFont="1" applyFill="1" applyBorder="1" applyAlignment="1">
      <alignment horizontal="center" vertical="center" wrapText="1"/>
    </xf>
    <xf numFmtId="165" fontId="32" fillId="0" borderId="10" xfId="7" applyFont="1" applyFill="1" applyBorder="1" applyAlignment="1">
      <alignment horizontal="center" vertical="center"/>
    </xf>
    <xf numFmtId="0" fontId="24" fillId="11" borderId="10" xfId="6" applyFont="1" applyFill="1" applyBorder="1" applyAlignment="1">
      <alignment horizontal="center" vertical="center" wrapText="1"/>
    </xf>
    <xf numFmtId="0" fontId="24" fillId="11" borderId="10" xfId="6" quotePrefix="1" applyFont="1" applyFill="1" applyBorder="1" applyAlignment="1">
      <alignment horizontal="center" vertical="center" wrapText="1"/>
    </xf>
    <xf numFmtId="0" fontId="24" fillId="33" borderId="10" xfId="6" quotePrefix="1" applyFont="1" applyFill="1" applyBorder="1" applyAlignment="1">
      <alignment horizontal="center" vertical="center" wrapText="1"/>
    </xf>
    <xf numFmtId="0" fontId="28" fillId="0" borderId="10" xfId="6" applyFont="1" applyBorder="1" applyAlignment="1">
      <alignment vertical="center"/>
    </xf>
    <xf numFmtId="165" fontId="28" fillId="0" borderId="10" xfId="7" applyFont="1" applyBorder="1" applyAlignment="1">
      <alignment vertical="center"/>
    </xf>
    <xf numFmtId="0" fontId="28" fillId="0" borderId="10" xfId="6" applyFont="1" applyBorder="1" applyAlignment="1">
      <alignment vertical="center" wrapText="1"/>
    </xf>
    <xf numFmtId="165" fontId="28" fillId="0" borderId="10" xfId="7" applyFont="1" applyBorder="1" applyAlignment="1">
      <alignment vertical="center" wrapText="1"/>
    </xf>
    <xf numFmtId="0" fontId="2" fillId="30" borderId="10" xfId="6" quotePrefix="1" applyFont="1" applyFill="1" applyBorder="1" applyAlignment="1">
      <alignment horizontal="center" vertical="center" wrapText="1"/>
    </xf>
    <xf numFmtId="0" fontId="24" fillId="9" borderId="10" xfId="6" quotePrefix="1" applyFont="1" applyFill="1" applyBorder="1" applyAlignment="1">
      <alignment horizontal="center" vertical="center" wrapText="1"/>
    </xf>
    <xf numFmtId="0" fontId="24" fillId="9" borderId="10" xfId="6" applyFont="1" applyFill="1" applyBorder="1" applyAlignment="1">
      <alignment horizontal="center" vertical="center" wrapText="1"/>
    </xf>
    <xf numFmtId="165" fontId="33" fillId="0" borderId="10" xfId="7" applyFont="1" applyFill="1" applyBorder="1" applyAlignment="1">
      <alignment horizontal="left" vertical="center" wrapText="1"/>
    </xf>
    <xf numFmtId="0" fontId="3" fillId="0" borderId="10" xfId="8" applyBorder="1" applyAlignment="1">
      <alignment vertical="center" wrapText="1"/>
    </xf>
    <xf numFmtId="165" fontId="3" fillId="0" borderId="10" xfId="7" applyFont="1" applyFill="1" applyBorder="1" applyAlignment="1">
      <alignment vertical="center" wrapText="1"/>
    </xf>
    <xf numFmtId="3" fontId="24" fillId="9" borderId="12" xfId="6" applyNumberFormat="1" applyFont="1" applyFill="1" applyBorder="1" applyAlignment="1">
      <alignment horizontal="right" vertical="center" wrapText="1"/>
    </xf>
    <xf numFmtId="3" fontId="24" fillId="11" borderId="12" xfId="6" applyNumberFormat="1" applyFont="1" applyFill="1" applyBorder="1" applyAlignment="1">
      <alignment horizontal="right" vertical="center" wrapText="1"/>
    </xf>
    <xf numFmtId="3" fontId="24" fillId="33" borderId="12" xfId="6" applyNumberFormat="1" applyFont="1" applyFill="1" applyBorder="1" applyAlignment="1">
      <alignment horizontal="right" vertical="center" wrapText="1"/>
    </xf>
    <xf numFmtId="0" fontId="27" fillId="33" borderId="10" xfId="6" applyFont="1" applyFill="1" applyBorder="1" applyAlignment="1">
      <alignment vertical="center" wrapText="1"/>
    </xf>
    <xf numFmtId="165" fontId="27" fillId="33" borderId="10" xfId="7" applyFont="1" applyFill="1" applyBorder="1" applyAlignment="1">
      <alignment horizontal="right" vertical="center" wrapText="1"/>
    </xf>
    <xf numFmtId="165" fontId="27" fillId="33" borderId="10" xfId="7" applyFont="1" applyFill="1" applyBorder="1" applyAlignment="1">
      <alignment vertical="center" wrapText="1"/>
    </xf>
    <xf numFmtId="165" fontId="27" fillId="33" borderId="12" xfId="7" applyFont="1" applyFill="1" applyBorder="1" applyAlignment="1">
      <alignment horizontal="right" vertical="center" wrapText="1"/>
    </xf>
    <xf numFmtId="165" fontId="27" fillId="33" borderId="12" xfId="7" applyFont="1" applyFill="1" applyBorder="1" applyAlignment="1">
      <alignment horizontal="center" vertical="center" wrapText="1"/>
    </xf>
    <xf numFmtId="165" fontId="27" fillId="33" borderId="13" xfId="7" applyFont="1" applyFill="1" applyBorder="1" applyAlignment="1">
      <alignment horizontal="right" vertical="center" wrapText="1"/>
    </xf>
    <xf numFmtId="3" fontId="27" fillId="33" borderId="10" xfId="6" applyNumberFormat="1" applyFont="1" applyFill="1" applyBorder="1" applyAlignment="1">
      <alignment horizontal="right" vertical="center" wrapText="1"/>
    </xf>
    <xf numFmtId="166" fontId="15" fillId="0" borderId="13" xfId="9" applyNumberFormat="1" applyFont="1" applyBorder="1" applyAlignment="1">
      <alignment horizontal="right" vertical="center"/>
    </xf>
    <xf numFmtId="165" fontId="34" fillId="35" borderId="10" xfId="10" applyFont="1" applyFill="1" applyBorder="1" applyAlignment="1">
      <alignment horizontal="center" vertical="center" wrapText="1"/>
    </xf>
    <xf numFmtId="165" fontId="27" fillId="3" borderId="10" xfId="7" applyFont="1" applyFill="1" applyBorder="1" applyAlignment="1">
      <alignment vertical="center" wrapText="1"/>
    </xf>
    <xf numFmtId="165" fontId="15" fillId="0" borderId="0" xfId="7" applyFont="1" applyAlignment="1">
      <alignment vertical="center"/>
    </xf>
    <xf numFmtId="165" fontId="15" fillId="0" borderId="0" xfId="7" applyFont="1" applyAlignment="1">
      <alignment horizontal="center" vertical="center"/>
    </xf>
    <xf numFmtId="0" fontId="2" fillId="5" borderId="10" xfId="6" applyFont="1" applyFill="1" applyBorder="1" applyAlignment="1">
      <alignment vertical="center" wrapText="1"/>
    </xf>
    <xf numFmtId="3" fontId="2" fillId="5" borderId="10" xfId="6" applyNumberFormat="1" applyFont="1" applyFill="1" applyBorder="1" applyAlignment="1">
      <alignment horizontal="right" vertical="center" wrapText="1"/>
    </xf>
    <xf numFmtId="4" fontId="27" fillId="0" borderId="10" xfId="6" applyNumberFormat="1" applyFont="1" applyBorder="1" applyAlignment="1">
      <alignment vertical="center"/>
    </xf>
    <xf numFmtId="0" fontId="2" fillId="0" borderId="10" xfId="6" applyFont="1" applyBorder="1" applyAlignment="1">
      <alignment horizontal="left" vertical="center"/>
    </xf>
    <xf numFmtId="167" fontId="2" fillId="0" borderId="10" xfId="6" applyNumberFormat="1" applyFont="1" applyBorder="1" applyAlignment="1">
      <alignment horizontal="left" vertical="center" wrapText="1"/>
    </xf>
    <xf numFmtId="0" fontId="2" fillId="5" borderId="10" xfId="6" applyFont="1" applyFill="1" applyBorder="1" applyAlignment="1">
      <alignment horizontal="left" vertical="center" wrapText="1"/>
    </xf>
    <xf numFmtId="0" fontId="24" fillId="8" borderId="10" xfId="6" applyFont="1" applyFill="1" applyBorder="1" applyAlignment="1">
      <alignment horizontal="center" vertical="center" wrapText="1"/>
    </xf>
    <xf numFmtId="165" fontId="24" fillId="8" borderId="12" xfId="7" applyFont="1" applyFill="1" applyBorder="1" applyAlignment="1">
      <alignment horizontal="right" vertical="center" wrapText="1"/>
    </xf>
    <xf numFmtId="165" fontId="24" fillId="8" borderId="12" xfId="7" applyFont="1" applyFill="1" applyBorder="1" applyAlignment="1">
      <alignment horizontal="center" vertical="center" wrapText="1"/>
    </xf>
    <xf numFmtId="165" fontId="24" fillId="8" borderId="13" xfId="7" applyFont="1" applyFill="1" applyBorder="1" applyAlignment="1">
      <alignment horizontal="right" vertical="center" wrapText="1"/>
    </xf>
    <xf numFmtId="0" fontId="24" fillId="8" borderId="10" xfId="6" quotePrefix="1" applyFont="1" applyFill="1" applyBorder="1" applyAlignment="1">
      <alignment horizontal="center" vertical="center" wrapText="1"/>
    </xf>
    <xf numFmtId="3" fontId="24" fillId="8" borderId="20" xfId="6" applyNumberFormat="1" applyFont="1" applyFill="1" applyBorder="1" applyAlignment="1">
      <alignment horizontal="right" vertical="center" wrapText="1"/>
    </xf>
    <xf numFmtId="165" fontId="24" fillId="9" borderId="16" xfId="7" applyFont="1" applyFill="1" applyBorder="1" applyAlignment="1">
      <alignment horizontal="center" vertical="center" wrapText="1"/>
    </xf>
    <xf numFmtId="3" fontId="25" fillId="9" borderId="12" xfId="6" applyNumberFormat="1" applyFont="1" applyFill="1" applyBorder="1" applyAlignment="1">
      <alignment vertical="center"/>
    </xf>
    <xf numFmtId="3" fontId="15" fillId="0" borderId="0" xfId="6" applyNumberFormat="1" applyFont="1" applyAlignment="1">
      <alignment vertical="center"/>
    </xf>
    <xf numFmtId="165" fontId="24" fillId="11" borderId="16" xfId="7" applyFont="1" applyFill="1" applyBorder="1" applyAlignment="1">
      <alignment horizontal="center" vertical="center" wrapText="1"/>
    </xf>
    <xf numFmtId="3" fontId="25" fillId="10" borderId="12" xfId="6" applyNumberFormat="1" applyFont="1" applyFill="1" applyBorder="1" applyAlignment="1">
      <alignment vertical="center"/>
    </xf>
    <xf numFmtId="165" fontId="24" fillId="33" borderId="12" xfId="7" applyFont="1" applyFill="1" applyBorder="1" applyAlignment="1">
      <alignment vertical="center" wrapText="1"/>
    </xf>
    <xf numFmtId="165" fontId="24" fillId="33" borderId="16" xfId="7" applyFont="1" applyFill="1" applyBorder="1" applyAlignment="1">
      <alignment horizontal="center" vertical="center" wrapText="1"/>
    </xf>
    <xf numFmtId="165" fontId="24" fillId="33" borderId="13" xfId="7" applyFont="1" applyFill="1" applyBorder="1" applyAlignment="1">
      <alignment vertical="center" wrapText="1"/>
    </xf>
    <xf numFmtId="3" fontId="24" fillId="33" borderId="10" xfId="6" applyNumberFormat="1" applyFont="1" applyFill="1" applyBorder="1" applyAlignment="1">
      <alignment vertical="center" wrapText="1"/>
    </xf>
    <xf numFmtId="4" fontId="35" fillId="0" borderId="10" xfId="6" applyNumberFormat="1" applyFont="1" applyBorder="1" applyAlignment="1">
      <alignment horizontal="right" vertical="center" shrinkToFit="1"/>
    </xf>
    <xf numFmtId="165" fontId="24" fillId="33" borderId="8" xfId="7" applyFont="1" applyFill="1" applyBorder="1" applyAlignment="1">
      <alignment vertical="center" wrapText="1"/>
    </xf>
    <xf numFmtId="3" fontId="27" fillId="33" borderId="10" xfId="6" applyNumberFormat="1" applyFont="1" applyFill="1" applyBorder="1" applyAlignment="1">
      <alignment vertical="center"/>
    </xf>
    <xf numFmtId="0" fontId="36" fillId="0" borderId="10" xfId="6" applyFont="1" applyBorder="1" applyAlignment="1">
      <alignment horizontal="left" vertical="center" wrapText="1"/>
    </xf>
    <xf numFmtId="3" fontId="27" fillId="0" borderId="10" xfId="6" applyNumberFormat="1" applyFont="1" applyBorder="1" applyAlignment="1">
      <alignment vertical="center" wrapText="1"/>
    </xf>
    <xf numFmtId="0" fontId="27" fillId="30" borderId="10" xfId="6" applyFont="1" applyFill="1" applyBorder="1" applyAlignment="1">
      <alignment vertical="center"/>
    </xf>
    <xf numFmtId="165" fontId="27" fillId="19" borderId="10" xfId="7" applyFont="1" applyFill="1" applyBorder="1" applyAlignment="1">
      <alignment vertical="center" wrapText="1"/>
    </xf>
    <xf numFmtId="165" fontId="27" fillId="34" borderId="8" xfId="7" applyFont="1" applyFill="1" applyBorder="1" applyAlignment="1">
      <alignment vertical="center" wrapText="1"/>
    </xf>
    <xf numFmtId="0" fontId="27" fillId="37" borderId="10" xfId="6" applyFont="1" applyFill="1" applyBorder="1" applyAlignment="1">
      <alignment vertical="center" wrapText="1"/>
    </xf>
    <xf numFmtId="165" fontId="27" fillId="37" borderId="10" xfId="7" applyFont="1" applyFill="1" applyBorder="1" applyAlignment="1">
      <alignment vertical="center" wrapText="1"/>
    </xf>
    <xf numFmtId="165" fontId="27" fillId="0" borderId="10" xfId="11" applyFont="1" applyFill="1" applyBorder="1" applyAlignment="1">
      <alignment vertical="center" wrapText="1"/>
    </xf>
    <xf numFmtId="165" fontId="27" fillId="38" borderId="10" xfId="7" applyFont="1" applyFill="1" applyBorder="1" applyAlignment="1">
      <alignment vertical="center" wrapText="1"/>
    </xf>
    <xf numFmtId="165" fontId="26" fillId="34" borderId="10" xfId="7" applyFont="1" applyFill="1" applyBorder="1" applyAlignment="1">
      <alignment horizontal="right" vertical="center" wrapText="1"/>
    </xf>
    <xf numFmtId="165" fontId="28" fillId="34" borderId="10" xfId="7" applyFont="1" applyFill="1" applyBorder="1" applyAlignment="1">
      <alignment horizontal="left" vertical="center" wrapText="1"/>
    </xf>
    <xf numFmtId="165" fontId="27" fillId="19" borderId="10" xfId="11" applyFont="1" applyFill="1" applyBorder="1" applyAlignment="1">
      <alignment vertical="center" wrapText="1"/>
    </xf>
    <xf numFmtId="0" fontId="2" fillId="30" borderId="10" xfId="6" applyFont="1" applyFill="1" applyBorder="1" applyAlignment="1">
      <alignment horizontal="center" vertical="center" wrapText="1"/>
    </xf>
    <xf numFmtId="165" fontId="24" fillId="11" borderId="12" xfId="7" applyFont="1" applyFill="1" applyBorder="1" applyAlignment="1">
      <alignment vertical="center" wrapText="1"/>
    </xf>
    <xf numFmtId="165" fontId="24" fillId="11" borderId="13" xfId="7" applyFont="1" applyFill="1" applyBorder="1" applyAlignment="1">
      <alignment vertical="center" wrapText="1"/>
    </xf>
    <xf numFmtId="0" fontId="37" fillId="0" borderId="10" xfId="6" quotePrefix="1" applyFont="1" applyBorder="1" applyAlignment="1">
      <alignment horizontal="center" vertical="center" wrapText="1"/>
    </xf>
    <xf numFmtId="0" fontId="31" fillId="0" borderId="10" xfId="6" applyFont="1" applyBorder="1" applyAlignment="1">
      <alignment horizontal="center" vertical="center"/>
    </xf>
    <xf numFmtId="0" fontId="31" fillId="0" borderId="10" xfId="6" applyFont="1" applyBorder="1" applyAlignment="1">
      <alignment vertical="center" wrapText="1"/>
    </xf>
    <xf numFmtId="0" fontId="37" fillId="0" borderId="10" xfId="6" applyFont="1" applyBorder="1" applyAlignment="1">
      <alignment horizontal="center" vertical="center"/>
    </xf>
    <xf numFmtId="0" fontId="37" fillId="0" borderId="10" xfId="6" applyFont="1" applyBorder="1" applyAlignment="1">
      <alignment horizontal="left" vertical="center" wrapText="1"/>
    </xf>
    <xf numFmtId="3" fontId="37" fillId="0" borderId="10" xfId="6" applyNumberFormat="1" applyFont="1" applyBorder="1" applyAlignment="1">
      <alignment horizontal="right" vertical="center" wrapText="1"/>
    </xf>
    <xf numFmtId="0" fontId="37" fillId="0" borderId="10" xfId="6" applyFont="1" applyBorder="1" applyAlignment="1">
      <alignment horizontal="center" vertical="center" wrapText="1"/>
    </xf>
    <xf numFmtId="0" fontId="37" fillId="0" borderId="10" xfId="6" quotePrefix="1" applyFont="1" applyBorder="1" applyAlignment="1">
      <alignment horizontal="left" vertical="center" wrapText="1"/>
    </xf>
    <xf numFmtId="3" fontId="31" fillId="0" borderId="10" xfId="6" applyNumberFormat="1" applyFont="1" applyBorder="1" applyAlignment="1">
      <alignment vertical="center"/>
    </xf>
    <xf numFmtId="0" fontId="38" fillId="0" borderId="0" xfId="6" applyFont="1" applyAlignment="1">
      <alignment vertical="center"/>
    </xf>
    <xf numFmtId="0" fontId="27" fillId="5" borderId="10" xfId="6" applyFont="1" applyFill="1" applyBorder="1" applyAlignment="1">
      <alignment vertical="center" wrapText="1"/>
    </xf>
    <xf numFmtId="165" fontId="27" fillId="5" borderId="10" xfId="7" applyFont="1" applyFill="1" applyBorder="1" applyAlignment="1">
      <alignment vertical="center" wrapText="1"/>
    </xf>
    <xf numFmtId="0" fontId="27" fillId="39" borderId="10" xfId="6" applyFont="1" applyFill="1" applyBorder="1" applyAlignment="1">
      <alignment vertical="center" wrapText="1"/>
    </xf>
    <xf numFmtId="165" fontId="27" fillId="39" borderId="10" xfId="7" applyFont="1" applyFill="1" applyBorder="1" applyAlignment="1">
      <alignment vertical="center" wrapText="1"/>
    </xf>
    <xf numFmtId="1" fontId="2" fillId="0" borderId="10" xfId="6" quotePrefix="1" applyNumberFormat="1" applyFont="1" applyBorder="1" applyAlignment="1">
      <alignment horizontal="center" vertical="center"/>
    </xf>
    <xf numFmtId="0" fontId="37" fillId="0" borderId="10" xfId="6" quotePrefix="1" applyFont="1" applyBorder="1" applyAlignment="1">
      <alignment horizontal="center" vertical="center"/>
    </xf>
    <xf numFmtId="3" fontId="25" fillId="10" borderId="10" xfId="6" applyNumberFormat="1" applyFont="1" applyFill="1" applyBorder="1" applyAlignment="1">
      <alignment vertical="center"/>
    </xf>
    <xf numFmtId="3" fontId="25" fillId="33" borderId="10" xfId="6" applyNumberFormat="1" applyFont="1" applyFill="1" applyBorder="1" applyAlignment="1">
      <alignment vertical="center"/>
    </xf>
    <xf numFmtId="3" fontId="24" fillId="11" borderId="10" xfId="6" applyNumberFormat="1" applyFont="1" applyFill="1" applyBorder="1" applyAlignment="1">
      <alignment vertical="center" wrapText="1"/>
    </xf>
    <xf numFmtId="165" fontId="24" fillId="9" borderId="12" xfId="7" applyFont="1" applyFill="1" applyBorder="1" applyAlignment="1">
      <alignment vertical="center" wrapText="1"/>
    </xf>
    <xf numFmtId="165" fontId="25" fillId="40" borderId="0" xfId="7" applyFont="1" applyFill="1" applyBorder="1" applyAlignment="1">
      <alignment vertical="center" wrapText="1"/>
    </xf>
    <xf numFmtId="165" fontId="24" fillId="9" borderId="13" xfId="7" applyFont="1" applyFill="1" applyBorder="1" applyAlignment="1">
      <alignment vertical="center" wrapText="1"/>
    </xf>
    <xf numFmtId="3" fontId="24" fillId="9" borderId="12" xfId="6" applyNumberFormat="1" applyFont="1" applyFill="1" applyBorder="1" applyAlignment="1">
      <alignment vertical="center" wrapText="1"/>
    </xf>
    <xf numFmtId="3" fontId="24" fillId="33" borderId="12" xfId="6" applyNumberFormat="1" applyFont="1" applyFill="1" applyBorder="1" applyAlignment="1">
      <alignment vertical="center" wrapText="1"/>
    </xf>
    <xf numFmtId="0" fontId="2" fillId="18" borderId="10" xfId="6" applyFont="1" applyFill="1" applyBorder="1" applyAlignment="1">
      <alignment vertical="center" wrapText="1"/>
    </xf>
    <xf numFmtId="165" fontId="27" fillId="19" borderId="10" xfId="7" applyFont="1" applyFill="1" applyBorder="1" applyAlignment="1">
      <alignment horizontal="center" vertical="center" wrapText="1"/>
    </xf>
    <xf numFmtId="165" fontId="25" fillId="40" borderId="10" xfId="7" applyFont="1" applyFill="1" applyBorder="1" applyAlignment="1">
      <alignment vertical="center" wrapText="1"/>
    </xf>
    <xf numFmtId="165" fontId="27" fillId="0" borderId="2" xfId="11" applyFont="1" applyFill="1" applyBorder="1" applyAlignment="1">
      <alignment vertical="center" wrapText="1"/>
    </xf>
    <xf numFmtId="3" fontId="25" fillId="9" borderId="10" xfId="6" applyNumberFormat="1" applyFont="1" applyFill="1" applyBorder="1" applyAlignment="1">
      <alignment vertical="center"/>
    </xf>
    <xf numFmtId="49" fontId="2" fillId="0" borderId="10" xfId="6" quotePrefix="1" applyNumberFormat="1" applyFont="1" applyBorder="1" applyAlignment="1">
      <alignment horizontal="center" vertical="center" wrapText="1"/>
    </xf>
    <xf numFmtId="165" fontId="24" fillId="11" borderId="10" xfId="7" quotePrefix="1" applyFont="1" applyFill="1" applyBorder="1" applyAlignment="1">
      <alignment horizontal="left" vertical="center" wrapText="1"/>
    </xf>
    <xf numFmtId="49" fontId="2" fillId="0" borderId="10" xfId="6" applyNumberFormat="1" applyFont="1" applyBorder="1" applyAlignment="1">
      <alignment horizontal="center" vertical="center"/>
    </xf>
    <xf numFmtId="49" fontId="2" fillId="0" borderId="10" xfId="6" quotePrefix="1" applyNumberFormat="1" applyFont="1" applyBorder="1" applyAlignment="1">
      <alignment horizontal="center" vertical="center"/>
    </xf>
    <xf numFmtId="49" fontId="27" fillId="0" borderId="10" xfId="6" applyNumberFormat="1" applyFont="1" applyBorder="1" applyAlignment="1">
      <alignment horizontal="center" vertical="center"/>
    </xf>
    <xf numFmtId="165" fontId="24" fillId="33" borderId="14" xfId="7" applyFont="1" applyFill="1" applyBorder="1" applyAlignment="1">
      <alignment vertical="center" wrapText="1"/>
    </xf>
    <xf numFmtId="165" fontId="24" fillId="33" borderId="14" xfId="7" applyFont="1" applyFill="1" applyBorder="1" applyAlignment="1">
      <alignment horizontal="center" vertical="center" wrapText="1"/>
    </xf>
    <xf numFmtId="165" fontId="24" fillId="33" borderId="17" xfId="7" applyFont="1" applyFill="1" applyBorder="1" applyAlignment="1">
      <alignment vertical="center" wrapText="1"/>
    </xf>
    <xf numFmtId="165" fontId="27" fillId="41" borderId="10" xfId="7" applyFont="1" applyFill="1" applyBorder="1" applyAlignment="1">
      <alignment horizontal="center" vertical="center" wrapText="1"/>
    </xf>
    <xf numFmtId="165" fontId="24" fillId="9" borderId="0" xfId="7" applyFont="1" applyFill="1" applyBorder="1" applyAlignment="1">
      <alignment horizontal="right" vertical="center" wrapText="1"/>
    </xf>
    <xf numFmtId="165" fontId="24" fillId="9" borderId="8" xfId="7" applyFont="1" applyFill="1" applyBorder="1" applyAlignment="1">
      <alignment vertical="center" wrapText="1"/>
    </xf>
    <xf numFmtId="165" fontId="24" fillId="11" borderId="0" xfId="7" applyFont="1" applyFill="1" applyBorder="1" applyAlignment="1">
      <alignment horizontal="right" vertical="center" wrapText="1"/>
    </xf>
    <xf numFmtId="165" fontId="24" fillId="11" borderId="8" xfId="7" applyFont="1" applyFill="1" applyBorder="1" applyAlignment="1">
      <alignment vertical="center" wrapText="1"/>
    </xf>
    <xf numFmtId="3" fontId="24" fillId="11" borderId="20" xfId="6" applyNumberFormat="1" applyFont="1" applyFill="1" applyBorder="1" applyAlignment="1">
      <alignment horizontal="right" vertical="center" wrapText="1"/>
    </xf>
    <xf numFmtId="165" fontId="24" fillId="33" borderId="0" xfId="7" applyFont="1" applyFill="1" applyBorder="1" applyAlignment="1">
      <alignment vertical="center" wrapText="1"/>
    </xf>
    <xf numFmtId="165" fontId="0" fillId="0" borderId="10" xfId="7" applyFont="1" applyBorder="1" applyAlignment="1">
      <alignment vertical="center"/>
    </xf>
    <xf numFmtId="3" fontId="24" fillId="9" borderId="10" xfId="6" applyNumberFormat="1" applyFont="1" applyFill="1" applyBorder="1" applyAlignment="1">
      <alignment vertical="center" wrapText="1"/>
    </xf>
    <xf numFmtId="0" fontId="24" fillId="0" borderId="10" xfId="6" applyFont="1" applyBorder="1" applyAlignment="1">
      <alignment horizontal="center" vertical="center"/>
    </xf>
    <xf numFmtId="0" fontId="24" fillId="5" borderId="10" xfId="6" applyFont="1" applyFill="1" applyBorder="1" applyAlignment="1">
      <alignment horizontal="center" vertical="center"/>
    </xf>
    <xf numFmtId="0" fontId="24" fillId="5" borderId="10" xfId="6" applyFont="1" applyFill="1" applyBorder="1" applyAlignment="1">
      <alignment horizontal="left" vertical="center" wrapText="1"/>
    </xf>
    <xf numFmtId="3" fontId="24" fillId="5" borderId="10" xfId="6" applyNumberFormat="1" applyFont="1" applyFill="1" applyBorder="1" applyAlignment="1">
      <alignment horizontal="right" vertical="center" wrapText="1"/>
    </xf>
    <xf numFmtId="0" fontId="24" fillId="0" borderId="10" xfId="6" applyFont="1" applyBorder="1" applyAlignment="1">
      <alignment horizontal="left" vertical="center" wrapText="1"/>
    </xf>
    <xf numFmtId="3" fontId="27" fillId="0" borderId="10" xfId="6" applyNumberFormat="1" applyFont="1" applyBorder="1" applyAlignment="1">
      <alignment horizontal="right" vertical="center" wrapText="1"/>
    </xf>
    <xf numFmtId="165" fontId="24" fillId="8" borderId="12" xfId="7" applyFont="1" applyFill="1" applyBorder="1" applyAlignment="1">
      <alignment vertical="center" wrapText="1"/>
    </xf>
    <xf numFmtId="165" fontId="24" fillId="8" borderId="13" xfId="7" applyFont="1" applyFill="1" applyBorder="1" applyAlignment="1">
      <alignment vertical="center" wrapText="1"/>
    </xf>
    <xf numFmtId="3" fontId="24" fillId="8" borderId="10" xfId="6" applyNumberFormat="1" applyFont="1" applyFill="1" applyBorder="1" applyAlignment="1">
      <alignment horizontal="right" vertical="center" wrapText="1"/>
    </xf>
    <xf numFmtId="3" fontId="25" fillId="8" borderId="10" xfId="6" applyNumberFormat="1" applyFont="1" applyFill="1" applyBorder="1" applyAlignment="1">
      <alignment vertical="center"/>
    </xf>
    <xf numFmtId="2" fontId="27" fillId="0" borderId="10" xfId="6" applyNumberFormat="1" applyFont="1" applyBorder="1" applyAlignment="1">
      <alignment vertical="center" wrapText="1"/>
    </xf>
    <xf numFmtId="0" fontId="15" fillId="0" borderId="10" xfId="6" applyFont="1" applyBorder="1" applyAlignment="1">
      <alignment vertical="center" wrapText="1"/>
    </xf>
    <xf numFmtId="165" fontId="15" fillId="0" borderId="10" xfId="7" applyFont="1" applyBorder="1" applyAlignment="1">
      <alignment vertical="center" wrapText="1"/>
    </xf>
    <xf numFmtId="165" fontId="27" fillId="42" borderId="10" xfId="7" applyFont="1" applyFill="1" applyBorder="1" applyAlignment="1">
      <alignment vertical="center" wrapText="1"/>
    </xf>
    <xf numFmtId="3" fontId="27" fillId="14" borderId="10" xfId="6" applyNumberFormat="1" applyFont="1" applyFill="1" applyBorder="1" applyAlignment="1">
      <alignment vertical="center"/>
    </xf>
    <xf numFmtId="165" fontId="27" fillId="33" borderId="10" xfId="7" applyFont="1" applyFill="1" applyBorder="1" applyAlignment="1">
      <alignment vertical="center"/>
    </xf>
    <xf numFmtId="165" fontId="27" fillId="33" borderId="12" xfId="7" applyFont="1" applyFill="1" applyBorder="1" applyAlignment="1">
      <alignment vertical="center"/>
    </xf>
    <xf numFmtId="165" fontId="27" fillId="33" borderId="12" xfId="7" applyFont="1" applyFill="1" applyBorder="1" applyAlignment="1">
      <alignment horizontal="center" vertical="center"/>
    </xf>
    <xf numFmtId="165" fontId="27" fillId="33" borderId="13" xfId="7" applyFont="1" applyFill="1" applyBorder="1" applyAlignment="1">
      <alignment vertical="center"/>
    </xf>
    <xf numFmtId="0" fontId="27" fillId="2" borderId="10" xfId="6" applyFont="1" applyFill="1" applyBorder="1" applyAlignment="1">
      <alignment horizontal="center" vertical="center"/>
    </xf>
    <xf numFmtId="165" fontId="27" fillId="43" borderId="10" xfId="7" applyFont="1" applyFill="1" applyBorder="1" applyAlignment="1">
      <alignment vertical="center" wrapText="1"/>
    </xf>
    <xf numFmtId="0" fontId="27" fillId="39" borderId="0" xfId="6" applyFont="1" applyFill="1" applyAlignment="1">
      <alignment vertical="center"/>
    </xf>
    <xf numFmtId="0" fontId="27" fillId="39" borderId="0" xfId="6" applyFont="1" applyFill="1" applyAlignment="1">
      <alignment horizontal="center" vertical="center"/>
    </xf>
    <xf numFmtId="0" fontId="27" fillId="0" borderId="0" xfId="6" applyFont="1" applyAlignment="1">
      <alignment vertical="center" wrapText="1"/>
    </xf>
    <xf numFmtId="0" fontId="27" fillId="39" borderId="0" xfId="6" applyFont="1" applyFill="1" applyAlignment="1">
      <alignment vertical="center" wrapText="1"/>
    </xf>
    <xf numFmtId="165" fontId="25" fillId="39" borderId="0" xfId="7" applyFont="1" applyFill="1" applyBorder="1" applyAlignment="1">
      <alignment vertical="center"/>
    </xf>
    <xf numFmtId="165" fontId="27" fillId="39" borderId="0" xfId="7" applyFont="1" applyFill="1" applyBorder="1" applyAlignment="1">
      <alignment vertical="center" wrapText="1"/>
    </xf>
    <xf numFmtId="165" fontId="25" fillId="39" borderId="0" xfId="7" applyFont="1" applyFill="1" applyBorder="1" applyAlignment="1">
      <alignment horizontal="center" vertical="center"/>
    </xf>
    <xf numFmtId="0" fontId="27" fillId="0" borderId="0" xfId="6" applyFont="1" applyAlignment="1">
      <alignment vertical="center"/>
    </xf>
    <xf numFmtId="0" fontId="27" fillId="0" borderId="0" xfId="6" applyFont="1" applyAlignment="1">
      <alignment horizontal="center" vertical="center"/>
    </xf>
    <xf numFmtId="165" fontId="27" fillId="0" borderId="0" xfId="7" applyFont="1" applyAlignment="1">
      <alignment vertical="center"/>
    </xf>
    <xf numFmtId="165" fontId="27" fillId="0" borderId="0" xfId="7" applyFont="1" applyAlignment="1">
      <alignment vertical="center" wrapText="1"/>
    </xf>
    <xf numFmtId="165" fontId="27" fillId="0" borderId="0" xfId="7" applyFont="1" applyFill="1" applyBorder="1" applyAlignment="1">
      <alignment horizontal="center" vertical="center" wrapText="1"/>
    </xf>
    <xf numFmtId="165" fontId="27" fillId="0" borderId="0" xfId="7" applyFont="1" applyAlignment="1">
      <alignment horizontal="center" vertical="center"/>
    </xf>
    <xf numFmtId="165" fontId="28" fillId="0" borderId="0" xfId="7" applyFont="1" applyFill="1" applyAlignment="1">
      <alignment horizontal="left" vertical="center"/>
    </xf>
    <xf numFmtId="165" fontId="28" fillId="0" borderId="0" xfId="7" applyFont="1" applyAlignment="1">
      <alignment vertical="center"/>
    </xf>
    <xf numFmtId="165" fontId="28" fillId="0" borderId="0" xfId="7" applyFont="1" applyAlignment="1">
      <alignment horizontal="left" vertical="center"/>
    </xf>
    <xf numFmtId="3" fontId="27" fillId="0" borderId="0" xfId="6" applyNumberFormat="1" applyFont="1" applyAlignment="1">
      <alignment vertical="center"/>
    </xf>
    <xf numFmtId="165" fontId="27" fillId="34" borderId="0" xfId="7" applyFont="1" applyFill="1" applyAlignment="1">
      <alignment vertical="center"/>
    </xf>
    <xf numFmtId="165" fontId="27" fillId="0" borderId="0" xfId="7" applyFont="1" applyBorder="1" applyAlignment="1">
      <alignment horizontal="center" vertical="center"/>
    </xf>
    <xf numFmtId="165" fontId="27" fillId="0" borderId="0" xfId="7" applyFont="1" applyBorder="1" applyAlignment="1">
      <alignment vertical="center"/>
    </xf>
    <xf numFmtId="0" fontId="15" fillId="0" borderId="0" xfId="6" applyFont="1" applyAlignment="1">
      <alignment vertical="center" wrapText="1"/>
    </xf>
    <xf numFmtId="165" fontId="15" fillId="0" borderId="0" xfId="7" applyFont="1" applyAlignment="1">
      <alignment vertical="center" wrapText="1"/>
    </xf>
    <xf numFmtId="165" fontId="15" fillId="0" borderId="0" xfId="7" applyFont="1" applyBorder="1" applyAlignment="1">
      <alignment horizontal="center" vertical="center"/>
    </xf>
    <xf numFmtId="165" fontId="15" fillId="0" borderId="0" xfId="7" applyFont="1" applyBorder="1" applyAlignment="1">
      <alignment vertical="center"/>
    </xf>
    <xf numFmtId="0" fontId="41" fillId="0" borderId="0" xfId="6" applyFont="1" applyAlignment="1">
      <alignment vertical="center"/>
    </xf>
    <xf numFmtId="0" fontId="41" fillId="5" borderId="0" xfId="6" applyFont="1" applyFill="1" applyAlignment="1">
      <alignment vertical="center"/>
    </xf>
    <xf numFmtId="0" fontId="42" fillId="44" borderId="6" xfId="6" applyFont="1" applyFill="1" applyBorder="1" applyAlignment="1">
      <alignment horizontal="left" vertical="center"/>
    </xf>
    <xf numFmtId="0" fontId="42" fillId="44" borderId="0" xfId="6" applyFont="1" applyFill="1" applyAlignment="1">
      <alignment horizontal="center" vertical="center" wrapText="1"/>
    </xf>
    <xf numFmtId="0" fontId="42" fillId="45" borderId="0" xfId="6" applyFont="1" applyFill="1" applyAlignment="1">
      <alignment horizontal="center" vertical="center" wrapText="1"/>
    </xf>
    <xf numFmtId="0" fontId="20" fillId="0" borderId="0" xfId="6" applyFont="1" applyAlignment="1">
      <alignment vertical="center"/>
    </xf>
    <xf numFmtId="0" fontId="43" fillId="44" borderId="9" xfId="6" applyFont="1" applyFill="1" applyBorder="1" applyAlignment="1">
      <alignment horizontal="left" vertical="center"/>
    </xf>
    <xf numFmtId="0" fontId="41" fillId="44" borderId="0" xfId="6" applyFont="1" applyFill="1" applyAlignment="1">
      <alignment horizontal="center" vertical="center" wrapText="1"/>
    </xf>
    <xf numFmtId="166" fontId="41" fillId="44" borderId="0" xfId="6" applyNumberFormat="1" applyFont="1" applyFill="1" applyAlignment="1">
      <alignment horizontal="center" vertical="center" wrapText="1"/>
    </xf>
    <xf numFmtId="0" fontId="41" fillId="45" borderId="0" xfId="6" applyFont="1" applyFill="1" applyAlignment="1">
      <alignment horizontal="center" vertical="center" wrapText="1"/>
    </xf>
    <xf numFmtId="2" fontId="41" fillId="0" borderId="0" xfId="6" quotePrefix="1" applyNumberFormat="1" applyFont="1" applyAlignment="1">
      <alignment horizontal="center" vertical="center" wrapText="1"/>
    </xf>
    <xf numFmtId="2" fontId="42" fillId="5" borderId="20" xfId="6" quotePrefix="1" applyNumberFormat="1" applyFont="1" applyFill="1" applyBorder="1" applyAlignment="1">
      <alignment horizontal="center" vertical="center" wrapText="1"/>
    </xf>
    <xf numFmtId="2" fontId="42" fillId="33" borderId="20" xfId="6" quotePrefix="1" applyNumberFormat="1" applyFont="1" applyFill="1" applyBorder="1" applyAlignment="1">
      <alignment horizontal="center" vertical="center" wrapText="1"/>
    </xf>
    <xf numFmtId="2" fontId="42" fillId="33" borderId="24" xfId="6" quotePrefix="1" applyNumberFormat="1" applyFont="1" applyFill="1" applyBorder="1" applyAlignment="1">
      <alignment horizontal="left" vertical="center" wrapText="1"/>
    </xf>
    <xf numFmtId="2" fontId="42" fillId="46" borderId="0" xfId="6" applyNumberFormat="1" applyFont="1" applyFill="1" applyAlignment="1">
      <alignment horizontal="center" vertical="center" wrapText="1"/>
    </xf>
    <xf numFmtId="165" fontId="24" fillId="27" borderId="20" xfId="7" applyFont="1" applyFill="1" applyBorder="1" applyAlignment="1">
      <alignment horizontal="center" vertical="center" wrapText="1"/>
    </xf>
    <xf numFmtId="165" fontId="24" fillId="47" borderId="20" xfId="7" applyFont="1" applyFill="1" applyBorder="1" applyAlignment="1">
      <alignment horizontal="center" vertical="center" wrapText="1"/>
    </xf>
    <xf numFmtId="165" fontId="24" fillId="48" borderId="20" xfId="7" applyFont="1" applyFill="1" applyBorder="1" applyAlignment="1">
      <alignment horizontal="center" vertical="center" wrapText="1"/>
    </xf>
    <xf numFmtId="2" fontId="20" fillId="0" borderId="0" xfId="6" applyNumberFormat="1" applyFont="1" applyAlignment="1">
      <alignment vertical="center" wrapText="1"/>
    </xf>
    <xf numFmtId="0" fontId="41" fillId="5" borderId="12" xfId="6" applyFont="1" applyFill="1" applyBorder="1" applyAlignment="1">
      <alignment vertical="center"/>
    </xf>
    <xf numFmtId="0" fontId="41" fillId="44" borderId="12" xfId="6" quotePrefix="1" applyFont="1" applyFill="1" applyBorder="1" applyAlignment="1">
      <alignment horizontal="right" vertical="center"/>
    </xf>
    <xf numFmtId="0" fontId="41" fillId="44" borderId="25" xfId="6" quotePrefix="1" applyFont="1" applyFill="1" applyBorder="1" applyAlignment="1">
      <alignment horizontal="left" vertical="center" wrapText="1"/>
    </xf>
    <xf numFmtId="166" fontId="41" fillId="0" borderId="10" xfId="6" applyNumberFormat="1" applyFont="1" applyBorder="1" applyAlignment="1">
      <alignment horizontal="right" vertical="center"/>
    </xf>
    <xf numFmtId="166" fontId="45" fillId="49" borderId="10" xfId="6" applyNumberFormat="1" applyFont="1" applyFill="1" applyBorder="1" applyAlignment="1">
      <alignment horizontal="right" vertical="center"/>
    </xf>
    <xf numFmtId="166" fontId="45" fillId="50" borderId="10" xfId="6" applyNumberFormat="1" applyFont="1" applyFill="1" applyBorder="1" applyAlignment="1">
      <alignment horizontal="right" vertical="center"/>
    </xf>
    <xf numFmtId="2" fontId="45" fillId="49" borderId="10" xfId="6" applyNumberFormat="1" applyFont="1" applyFill="1" applyBorder="1" applyAlignment="1">
      <alignment horizontal="center" vertical="center"/>
    </xf>
    <xf numFmtId="166" fontId="20" fillId="0" borderId="0" xfId="6" applyNumberFormat="1" applyFont="1" applyAlignment="1">
      <alignment vertical="center"/>
    </xf>
    <xf numFmtId="166" fontId="45" fillId="44" borderId="10" xfId="6" applyNumberFormat="1" applyFont="1" applyFill="1" applyBorder="1" applyAlignment="1">
      <alignment horizontal="right" vertical="center"/>
    </xf>
    <xf numFmtId="166" fontId="45" fillId="45" borderId="10" xfId="6" applyNumberFormat="1" applyFont="1" applyFill="1" applyBorder="1" applyAlignment="1">
      <alignment horizontal="right" vertical="center"/>
    </xf>
    <xf numFmtId="2" fontId="45" fillId="44" borderId="10" xfId="6" applyNumberFormat="1" applyFont="1" applyFill="1" applyBorder="1" applyAlignment="1">
      <alignment horizontal="center" vertical="center"/>
    </xf>
    <xf numFmtId="166" fontId="41" fillId="44" borderId="12" xfId="6" applyNumberFormat="1" applyFont="1" applyFill="1" applyBorder="1" applyAlignment="1">
      <alignment horizontal="right" vertical="center"/>
    </xf>
    <xf numFmtId="166" fontId="45" fillId="51" borderId="10" xfId="6" applyNumberFormat="1" applyFont="1" applyFill="1" applyBorder="1" applyAlignment="1">
      <alignment horizontal="right" vertical="center"/>
    </xf>
    <xf numFmtId="0" fontId="41" fillId="5" borderId="12" xfId="6" quotePrefix="1" applyFont="1" applyFill="1" applyBorder="1" applyAlignment="1">
      <alignment vertical="center"/>
    </xf>
    <xf numFmtId="0" fontId="42" fillId="0" borderId="0" xfId="6" applyFont="1" applyAlignment="1">
      <alignment vertical="center"/>
    </xf>
    <xf numFmtId="0" fontId="42" fillId="5" borderId="12" xfId="6" applyFont="1" applyFill="1" applyBorder="1" applyAlignment="1">
      <alignment vertical="center"/>
    </xf>
    <xf numFmtId="0" fontId="43" fillId="44" borderId="12" xfId="6" quotePrefix="1" applyFont="1" applyFill="1" applyBorder="1" applyAlignment="1">
      <alignment horizontal="right" vertical="center"/>
    </xf>
    <xf numFmtId="0" fontId="43" fillId="44" borderId="25" xfId="6" quotePrefix="1" applyFont="1" applyFill="1" applyBorder="1" applyAlignment="1">
      <alignment horizontal="left" vertical="center" wrapText="1"/>
    </xf>
    <xf numFmtId="166" fontId="43" fillId="0" borderId="10" xfId="6" applyNumberFormat="1" applyFont="1" applyBorder="1" applyAlignment="1">
      <alignment horizontal="right" vertical="center"/>
    </xf>
    <xf numFmtId="166" fontId="46" fillId="49" borderId="10" xfId="6" applyNumberFormat="1" applyFont="1" applyFill="1" applyBorder="1" applyAlignment="1">
      <alignment horizontal="right" vertical="center"/>
    </xf>
    <xf numFmtId="166" fontId="47" fillId="49" borderId="10" xfId="6" applyNumberFormat="1" applyFont="1" applyFill="1" applyBorder="1" applyAlignment="1">
      <alignment horizontal="right" vertical="center"/>
    </xf>
    <xf numFmtId="166" fontId="46" fillId="50" borderId="10" xfId="6" applyNumberFormat="1" applyFont="1" applyFill="1" applyBorder="1" applyAlignment="1">
      <alignment horizontal="right" vertical="center"/>
    </xf>
    <xf numFmtId="2" fontId="46" fillId="49" borderId="10" xfId="6" applyNumberFormat="1" applyFont="1" applyFill="1" applyBorder="1" applyAlignment="1">
      <alignment horizontal="center" vertical="center"/>
    </xf>
    <xf numFmtId="166" fontId="10" fillId="0" borderId="0" xfId="6" applyNumberFormat="1" applyFont="1" applyAlignment="1">
      <alignment vertical="center"/>
    </xf>
    <xf numFmtId="0" fontId="10" fillId="0" borderId="0" xfId="6" applyFont="1" applyAlignment="1">
      <alignment vertical="center"/>
    </xf>
    <xf numFmtId="166" fontId="45" fillId="52" borderId="10" xfId="6" applyNumberFormat="1" applyFont="1" applyFill="1" applyBorder="1" applyAlignment="1">
      <alignment horizontal="right" vertical="center"/>
    </xf>
    <xf numFmtId="0" fontId="42" fillId="44" borderId="12" xfId="6" quotePrefix="1" applyFont="1" applyFill="1" applyBorder="1" applyAlignment="1">
      <alignment horizontal="right" vertical="center"/>
    </xf>
    <xf numFmtId="0" fontId="42" fillId="44" borderId="25" xfId="6" quotePrefix="1" applyFont="1" applyFill="1" applyBorder="1" applyAlignment="1">
      <alignment horizontal="left" vertical="center" wrapText="1"/>
    </xf>
    <xf numFmtId="166" fontId="42" fillId="0" borderId="10" xfId="6" applyNumberFormat="1" applyFont="1" applyBorder="1" applyAlignment="1">
      <alignment horizontal="right" vertical="center"/>
    </xf>
    <xf numFmtId="166" fontId="47" fillId="50" borderId="10" xfId="6" applyNumberFormat="1" applyFont="1" applyFill="1" applyBorder="1" applyAlignment="1">
      <alignment horizontal="right" vertical="center"/>
    </xf>
    <xf numFmtId="2" fontId="47" fillId="49" borderId="10" xfId="6" applyNumberFormat="1" applyFont="1" applyFill="1" applyBorder="1" applyAlignment="1">
      <alignment horizontal="center" vertical="center"/>
    </xf>
    <xf numFmtId="166" fontId="42" fillId="44" borderId="10" xfId="6" applyNumberFormat="1" applyFont="1" applyFill="1" applyBorder="1" applyAlignment="1">
      <alignment horizontal="right" vertical="center"/>
    </xf>
    <xf numFmtId="166" fontId="41" fillId="44" borderId="10" xfId="6" applyNumberFormat="1" applyFont="1" applyFill="1" applyBorder="1" applyAlignment="1">
      <alignment horizontal="right" vertical="center"/>
    </xf>
    <xf numFmtId="166" fontId="45" fillId="53" borderId="10" xfId="6" applyNumberFormat="1" applyFont="1" applyFill="1" applyBorder="1" applyAlignment="1">
      <alignment horizontal="right" vertical="center"/>
    </xf>
    <xf numFmtId="0" fontId="41" fillId="5" borderId="9" xfId="6" applyFont="1" applyFill="1" applyBorder="1" applyAlignment="1">
      <alignment horizontal="left" vertical="center"/>
    </xf>
    <xf numFmtId="166" fontId="41" fillId="15" borderId="0" xfId="6" applyNumberFormat="1" applyFont="1" applyFill="1" applyAlignment="1">
      <alignment vertical="center"/>
    </xf>
    <xf numFmtId="166" fontId="41" fillId="5" borderId="0" xfId="6" applyNumberFormat="1" applyFont="1" applyFill="1" applyAlignment="1">
      <alignment vertical="center"/>
    </xf>
    <xf numFmtId="166" fontId="41" fillId="5" borderId="0" xfId="6" applyNumberFormat="1" applyFont="1" applyFill="1" applyAlignment="1">
      <alignment horizontal="center" vertical="center"/>
    </xf>
    <xf numFmtId="165" fontId="42" fillId="54" borderId="0" xfId="6" applyNumberFormat="1" applyFont="1" applyFill="1" applyAlignment="1">
      <alignment vertical="center"/>
    </xf>
    <xf numFmtId="0" fontId="41" fillId="5" borderId="6" xfId="6" applyFont="1" applyFill="1" applyBorder="1" applyAlignment="1">
      <alignment horizontal="left" vertical="center"/>
    </xf>
    <xf numFmtId="165" fontId="42" fillId="5" borderId="3" xfId="7" applyFont="1" applyFill="1" applyBorder="1" applyAlignment="1">
      <alignment vertical="center"/>
    </xf>
    <xf numFmtId="0" fontId="41" fillId="15" borderId="0" xfId="6" applyFont="1" applyFill="1" applyAlignment="1">
      <alignment vertical="center"/>
    </xf>
    <xf numFmtId="0" fontId="41" fillId="5" borderId="0" xfId="6" applyFont="1" applyFill="1" applyAlignment="1">
      <alignment horizontal="center" vertical="center"/>
    </xf>
    <xf numFmtId="165" fontId="20" fillId="0" borderId="0" xfId="7" applyFont="1" applyAlignment="1">
      <alignment vertical="center"/>
    </xf>
    <xf numFmtId="165" fontId="42" fillId="5" borderId="11" xfId="7" applyFont="1" applyFill="1" applyBorder="1" applyAlignment="1">
      <alignment vertical="center"/>
    </xf>
    <xf numFmtId="165" fontId="41" fillId="5" borderId="0" xfId="7" applyFont="1" applyFill="1" applyBorder="1" applyAlignment="1">
      <alignment vertical="center"/>
    </xf>
    <xf numFmtId="3" fontId="41" fillId="5" borderId="0" xfId="6" applyNumberFormat="1" applyFont="1" applyFill="1" applyAlignment="1">
      <alignment vertical="center"/>
    </xf>
    <xf numFmtId="0" fontId="41" fillId="5" borderId="2" xfId="6" applyFont="1" applyFill="1" applyBorder="1" applyAlignment="1">
      <alignment horizontal="left" vertical="center"/>
    </xf>
    <xf numFmtId="165" fontId="42" fillId="5" borderId="4" xfId="7" applyFont="1" applyFill="1" applyBorder="1" applyAlignment="1">
      <alignment vertical="center"/>
    </xf>
    <xf numFmtId="165" fontId="41" fillId="5" borderId="0" xfId="6" applyNumberFormat="1" applyFont="1" applyFill="1" applyAlignment="1">
      <alignment vertical="center"/>
    </xf>
    <xf numFmtId="165" fontId="41" fillId="15" borderId="0" xfId="7" applyFont="1" applyFill="1" applyBorder="1" applyAlignment="1">
      <alignment vertical="center"/>
    </xf>
    <xf numFmtId="0" fontId="41" fillId="5" borderId="0" xfId="6" applyFont="1" applyFill="1" applyAlignment="1">
      <alignment horizontal="left" vertical="center"/>
    </xf>
    <xf numFmtId="165" fontId="41" fillId="15" borderId="0" xfId="6" applyNumberFormat="1" applyFont="1" applyFill="1" applyAlignment="1">
      <alignment vertical="center"/>
    </xf>
    <xf numFmtId="165" fontId="20" fillId="0" borderId="0" xfId="6" applyNumberFormat="1" applyFont="1" applyAlignment="1">
      <alignment vertical="center"/>
    </xf>
    <xf numFmtId="4" fontId="41" fillId="5" borderId="0" xfId="6" applyNumberFormat="1" applyFont="1" applyFill="1" applyAlignment="1">
      <alignment vertical="center"/>
    </xf>
    <xf numFmtId="0" fontId="41" fillId="0" borderId="9" xfId="6" applyFont="1" applyBorder="1" applyAlignment="1">
      <alignment horizontal="left" vertical="center"/>
    </xf>
    <xf numFmtId="0" fontId="41" fillId="55" borderId="0" xfId="6" applyFont="1" applyFill="1" applyAlignment="1">
      <alignment vertical="center"/>
    </xf>
    <xf numFmtId="0" fontId="41" fillId="0" borderId="0" xfId="6" applyFont="1" applyAlignment="1">
      <alignment horizontal="center" vertical="center"/>
    </xf>
    <xf numFmtId="0" fontId="20" fillId="0" borderId="9" xfId="6" applyFont="1" applyBorder="1" applyAlignment="1">
      <alignment vertical="center"/>
    </xf>
    <xf numFmtId="0" fontId="20" fillId="55" borderId="0" xfId="6" applyFont="1" applyFill="1" applyAlignment="1">
      <alignment vertical="center"/>
    </xf>
    <xf numFmtId="0" fontId="20" fillId="0" borderId="0" xfId="6" applyFont="1" applyAlignment="1">
      <alignment horizontal="center" vertical="center"/>
    </xf>
    <xf numFmtId="0" fontId="10" fillId="6" borderId="13" xfId="5" applyFont="1" applyFill="1" applyBorder="1" applyAlignment="1">
      <alignment horizontal="center" vertical="center" wrapText="1"/>
    </xf>
    <xf numFmtId="0" fontId="9" fillId="4" borderId="10" xfId="5" applyFont="1" applyFill="1" applyBorder="1" applyAlignment="1">
      <alignment horizontal="center" vertical="center" wrapText="1"/>
    </xf>
    <xf numFmtId="0" fontId="10" fillId="0" borderId="13" xfId="5" applyFont="1" applyBorder="1" applyAlignment="1">
      <alignment horizontal="right" vertical="center" wrapText="1"/>
    </xf>
    <xf numFmtId="0" fontId="12" fillId="8" borderId="10" xfId="5" applyFont="1" applyFill="1" applyBorder="1" applyAlignment="1">
      <alignment horizontal="center" vertical="center" wrapText="1"/>
    </xf>
    <xf numFmtId="0" fontId="12" fillId="8" borderId="10" xfId="5" applyFont="1" applyFill="1" applyBorder="1" applyAlignment="1">
      <alignment horizontal="left" vertical="center" wrapText="1"/>
    </xf>
    <xf numFmtId="4" fontId="11" fillId="8" borderId="16" xfId="5" applyNumberFormat="1" applyFont="1" applyFill="1" applyBorder="1" applyAlignment="1">
      <alignment vertical="center"/>
    </xf>
    <xf numFmtId="4" fontId="11" fillId="8" borderId="13" xfId="5" applyNumberFormat="1" applyFont="1" applyFill="1" applyBorder="1" applyAlignment="1">
      <alignment vertical="center"/>
    </xf>
    <xf numFmtId="4" fontId="8" fillId="56" borderId="0" xfId="5" applyNumberFormat="1" applyFont="1" applyFill="1" applyAlignment="1">
      <alignment vertical="center"/>
    </xf>
    <xf numFmtId="3" fontId="10" fillId="35" borderId="13" xfId="5" applyNumberFormat="1" applyFont="1" applyFill="1" applyBorder="1" applyAlignment="1">
      <alignment horizontal="right" vertical="center" wrapText="1"/>
    </xf>
    <xf numFmtId="0" fontId="10" fillId="35" borderId="13" xfId="5" applyFont="1" applyFill="1" applyBorder="1" applyAlignment="1">
      <alignment horizontal="right" vertical="center" wrapText="1"/>
    </xf>
    <xf numFmtId="0" fontId="12" fillId="9" borderId="10" xfId="5" applyFont="1" applyFill="1" applyBorder="1" applyAlignment="1">
      <alignment horizontal="center" vertical="center" wrapText="1"/>
    </xf>
    <xf numFmtId="0" fontId="12" fillId="9" borderId="10" xfId="5" applyFont="1" applyFill="1" applyBorder="1" applyAlignment="1">
      <alignment horizontal="left" vertical="center" wrapText="1"/>
    </xf>
    <xf numFmtId="4" fontId="11" fillId="9" borderId="16" xfId="5" applyNumberFormat="1" applyFont="1" applyFill="1" applyBorder="1" applyAlignment="1">
      <alignment vertical="center"/>
    </xf>
    <xf numFmtId="0" fontId="12" fillId="9" borderId="10" xfId="5" applyFont="1" applyFill="1" applyBorder="1" applyAlignment="1">
      <alignment vertical="center" wrapText="1"/>
    </xf>
    <xf numFmtId="4" fontId="11" fillId="9" borderId="13" xfId="5" applyNumberFormat="1" applyFont="1" applyFill="1" applyBorder="1" applyAlignment="1">
      <alignment vertical="center"/>
    </xf>
    <xf numFmtId="3" fontId="10" fillId="3" borderId="13" xfId="5" applyNumberFormat="1" applyFont="1" applyFill="1" applyBorder="1" applyAlignment="1">
      <alignment horizontal="right" vertical="center" wrapText="1"/>
    </xf>
    <xf numFmtId="0" fontId="10" fillId="3" borderId="13" xfId="5" applyFont="1" applyFill="1" applyBorder="1" applyAlignment="1">
      <alignment horizontal="right" vertical="center" wrapText="1"/>
    </xf>
    <xf numFmtId="0" fontId="12" fillId="11" borderId="10" xfId="5" applyFont="1" applyFill="1" applyBorder="1" applyAlignment="1">
      <alignment horizontal="center" vertical="center" wrapText="1"/>
    </xf>
    <xf numFmtId="0" fontId="12" fillId="11" borderId="10" xfId="5" applyFont="1" applyFill="1" applyBorder="1" applyAlignment="1">
      <alignment horizontal="left" vertical="center" wrapText="1"/>
    </xf>
    <xf numFmtId="4" fontId="11" fillId="10" borderId="16" xfId="5" applyNumberFormat="1" applyFont="1" applyFill="1" applyBorder="1" applyAlignment="1">
      <alignment vertical="center"/>
    </xf>
    <xf numFmtId="4" fontId="11" fillId="10" borderId="13" xfId="5" applyNumberFormat="1" applyFont="1" applyFill="1" applyBorder="1" applyAlignment="1">
      <alignment vertical="center"/>
    </xf>
    <xf numFmtId="0" fontId="12" fillId="13" borderId="10" xfId="5" applyFont="1" applyFill="1" applyBorder="1" applyAlignment="1">
      <alignment horizontal="center" vertical="center" wrapText="1"/>
    </xf>
    <xf numFmtId="0" fontId="12" fillId="13" borderId="10" xfId="5" applyFont="1" applyFill="1" applyBorder="1" applyAlignment="1">
      <alignment horizontal="left" vertical="center" wrapText="1"/>
    </xf>
    <xf numFmtId="0" fontId="11" fillId="12" borderId="16" xfId="5" applyFont="1" applyFill="1" applyBorder="1" applyAlignment="1">
      <alignment vertical="center"/>
    </xf>
    <xf numFmtId="4" fontId="11" fillId="12" borderId="13" xfId="5" applyNumberFormat="1" applyFont="1" applyFill="1" applyBorder="1" applyAlignment="1">
      <alignment vertical="center"/>
    </xf>
    <xf numFmtId="0" fontId="7" fillId="0" borderId="10" xfId="5" applyFont="1" applyBorder="1" applyAlignment="1">
      <alignment horizontal="center" vertical="center" wrapText="1"/>
    </xf>
    <xf numFmtId="0" fontId="7" fillId="0" borderId="10" xfId="5" applyFont="1" applyBorder="1" applyAlignment="1">
      <alignment horizontal="left" vertical="center" wrapText="1"/>
    </xf>
    <xf numFmtId="4" fontId="8" fillId="0" borderId="16" xfId="5" applyNumberFormat="1" applyFont="1" applyBorder="1" applyAlignment="1">
      <alignment vertical="center"/>
    </xf>
    <xf numFmtId="0" fontId="7" fillId="0" borderId="10" xfId="5" applyFont="1" applyBorder="1" applyAlignment="1">
      <alignment vertical="center" wrapText="1"/>
    </xf>
    <xf numFmtId="0" fontId="11" fillId="12" borderId="26" xfId="5" applyFont="1" applyFill="1" applyBorder="1" applyAlignment="1">
      <alignment vertical="center"/>
    </xf>
    <xf numFmtId="4" fontId="11" fillId="12" borderId="17" xfId="5" applyNumberFormat="1" applyFont="1" applyFill="1" applyBorder="1" applyAlignment="1">
      <alignment vertical="center"/>
    </xf>
    <xf numFmtId="0" fontId="7" fillId="0" borderId="10" xfId="5" applyFont="1" applyBorder="1" applyAlignment="1">
      <alignment horizontal="center" vertical="center"/>
    </xf>
    <xf numFmtId="0" fontId="7" fillId="0" borderId="10" xfId="5" applyFont="1" applyBorder="1" applyAlignment="1">
      <alignment vertical="center"/>
    </xf>
    <xf numFmtId="0" fontId="26" fillId="57" borderId="10" xfId="12" applyFont="1" applyFill="1" applyBorder="1" applyAlignment="1">
      <alignment horizontal="center" vertical="center" wrapText="1"/>
    </xf>
    <xf numFmtId="0" fontId="26" fillId="57" borderId="10" xfId="12" applyFont="1" applyFill="1" applyBorder="1" applyAlignment="1">
      <alignment horizontal="left" vertical="center" wrapText="1"/>
    </xf>
    <xf numFmtId="0" fontId="26" fillId="57" borderId="10" xfId="5" applyFont="1" applyFill="1" applyBorder="1" applyAlignment="1">
      <alignment horizontal="center" vertical="center"/>
    </xf>
    <xf numFmtId="0" fontId="26" fillId="57" borderId="10" xfId="5" quotePrefix="1" applyFont="1" applyFill="1" applyBorder="1" applyAlignment="1">
      <alignment horizontal="center" vertical="center"/>
    </xf>
    <xf numFmtId="4" fontId="12" fillId="12" borderId="27" xfId="5" applyNumberFormat="1" applyFont="1" applyFill="1" applyBorder="1" applyAlignment="1">
      <alignment horizontal="right" vertical="center" wrapText="1"/>
    </xf>
    <xf numFmtId="4" fontId="12" fillId="10" borderId="27" xfId="5" applyNumberFormat="1" applyFont="1" applyFill="1" applyBorder="1" applyAlignment="1">
      <alignment horizontal="right" vertical="center" wrapText="1"/>
    </xf>
    <xf numFmtId="2" fontId="7" fillId="0" borderId="10" xfId="5" applyNumberFormat="1" applyFont="1" applyBorder="1" applyAlignment="1">
      <alignment horizontal="center" vertical="center" wrapText="1"/>
    </xf>
    <xf numFmtId="2" fontId="7" fillId="0" borderId="10" xfId="5" applyNumberFormat="1" applyFont="1" applyBorder="1" applyAlignment="1">
      <alignment vertical="center" wrapText="1"/>
    </xf>
    <xf numFmtId="3" fontId="10" fillId="56" borderId="13" xfId="5" applyNumberFormat="1" applyFont="1" applyFill="1" applyBorder="1" applyAlignment="1">
      <alignment horizontal="right" vertical="center" wrapText="1"/>
    </xf>
    <xf numFmtId="0" fontId="10" fillId="56" borderId="13" xfId="5" applyFont="1" applyFill="1" applyBorder="1" applyAlignment="1">
      <alignment horizontal="right" vertical="center" wrapText="1"/>
    </xf>
    <xf numFmtId="0" fontId="26" fillId="58" borderId="10" xfId="4" applyFont="1" applyFill="1" applyBorder="1" applyAlignment="1">
      <alignment horizontal="center" vertical="center" wrapText="1"/>
    </xf>
    <xf numFmtId="0" fontId="26" fillId="58" borderId="10" xfId="4" applyFont="1" applyFill="1" applyBorder="1" applyAlignment="1">
      <alignment horizontal="left" vertical="center" wrapText="1"/>
    </xf>
    <xf numFmtId="0" fontId="48" fillId="58" borderId="10" xfId="5" applyFont="1" applyFill="1" applyBorder="1" applyAlignment="1">
      <alignment horizontal="center" vertical="center"/>
    </xf>
    <xf numFmtId="0" fontId="48" fillId="58" borderId="10" xfId="5" quotePrefix="1" applyFont="1" applyFill="1" applyBorder="1" applyAlignment="1">
      <alignment horizontal="center" vertical="center"/>
    </xf>
    <xf numFmtId="0" fontId="26" fillId="58" borderId="10" xfId="4" applyFont="1" applyFill="1" applyBorder="1" applyAlignment="1">
      <alignment vertical="center" wrapText="1"/>
    </xf>
    <xf numFmtId="4" fontId="12" fillId="9" borderId="27" xfId="5" applyNumberFormat="1" applyFont="1" applyFill="1" applyBorder="1" applyAlignment="1">
      <alignment horizontal="right" vertical="center" wrapText="1"/>
    </xf>
    <xf numFmtId="0" fontId="26" fillId="59" borderId="10" xfId="12" applyFont="1" applyFill="1" applyBorder="1" applyAlignment="1">
      <alignment horizontal="center" vertical="center" wrapText="1"/>
    </xf>
    <xf numFmtId="0" fontId="26" fillId="59" borderId="10" xfId="12" applyFont="1" applyFill="1" applyBorder="1" applyAlignment="1">
      <alignment horizontal="left" vertical="center" wrapText="1"/>
    </xf>
    <xf numFmtId="0" fontId="26" fillId="59" borderId="10" xfId="5" quotePrefix="1" applyFont="1" applyFill="1" applyBorder="1" applyAlignment="1">
      <alignment horizontal="center" vertical="center"/>
    </xf>
    <xf numFmtId="4" fontId="11" fillId="12" borderId="16" xfId="5" applyNumberFormat="1" applyFont="1" applyFill="1" applyBorder="1" applyAlignment="1">
      <alignment vertical="center"/>
    </xf>
    <xf numFmtId="4" fontId="11" fillId="12" borderId="18" xfId="5" applyNumberFormat="1" applyFont="1" applyFill="1" applyBorder="1" applyAlignment="1">
      <alignment vertical="center"/>
    </xf>
    <xf numFmtId="4" fontId="12" fillId="12" borderId="28" xfId="5" applyNumberFormat="1" applyFont="1" applyFill="1" applyBorder="1" applyAlignment="1">
      <alignment horizontal="right" vertical="center" wrapText="1"/>
    </xf>
    <xf numFmtId="3" fontId="10" fillId="10" borderId="27" xfId="5" applyNumberFormat="1" applyFont="1" applyFill="1" applyBorder="1" applyAlignment="1">
      <alignment horizontal="right" vertical="center" wrapText="1"/>
    </xf>
    <xf numFmtId="4" fontId="8" fillId="0" borderId="28" xfId="5" applyNumberFormat="1" applyFont="1" applyBorder="1" applyAlignment="1">
      <alignment vertical="center"/>
    </xf>
    <xf numFmtId="0" fontId="7" fillId="56" borderId="0" xfId="5" applyFont="1" applyFill="1" applyAlignment="1">
      <alignment horizontal="center" vertical="center"/>
    </xf>
    <xf numFmtId="0" fontId="7" fillId="56" borderId="0" xfId="5" applyFont="1" applyFill="1" applyAlignment="1">
      <alignment vertical="center"/>
    </xf>
    <xf numFmtId="0" fontId="7" fillId="56" borderId="0" xfId="5" applyFont="1" applyFill="1" applyAlignment="1">
      <alignment vertical="center" wrapText="1"/>
    </xf>
    <xf numFmtId="0" fontId="6" fillId="56" borderId="0" xfId="5" applyFill="1" applyAlignment="1">
      <alignment vertical="center"/>
    </xf>
    <xf numFmtId="3" fontId="14" fillId="56" borderId="13" xfId="5" applyNumberFormat="1" applyFont="1" applyFill="1" applyBorder="1" applyAlignment="1">
      <alignment horizontal="right" vertical="center" wrapText="1"/>
    </xf>
    <xf numFmtId="0" fontId="7" fillId="56" borderId="10" xfId="5" applyFont="1" applyFill="1" applyBorder="1" applyAlignment="1">
      <alignment horizontal="center" vertical="center" wrapText="1"/>
    </xf>
    <xf numFmtId="0" fontId="7" fillId="56" borderId="10" xfId="5" applyFont="1" applyFill="1" applyBorder="1" applyAlignment="1">
      <alignment horizontal="left" vertical="center" wrapText="1"/>
    </xf>
    <xf numFmtId="0" fontId="7" fillId="56" borderId="10" xfId="5" applyFont="1" applyFill="1" applyBorder="1" applyAlignment="1">
      <alignment vertical="center" wrapText="1"/>
    </xf>
    <xf numFmtId="4" fontId="8" fillId="56" borderId="18" xfId="5" applyNumberFormat="1" applyFont="1" applyFill="1" applyBorder="1" applyAlignment="1">
      <alignment vertical="center"/>
    </xf>
    <xf numFmtId="0" fontId="8" fillId="56" borderId="0" xfId="5" applyFont="1" applyFill="1" applyAlignment="1">
      <alignment vertical="center"/>
    </xf>
    <xf numFmtId="0" fontId="8" fillId="56" borderId="12" xfId="5" applyFont="1" applyFill="1" applyBorder="1" applyAlignment="1">
      <alignment vertical="center"/>
    </xf>
    <xf numFmtId="2" fontId="8" fillId="56" borderId="12" xfId="5" applyNumberFormat="1" applyFont="1" applyFill="1" applyBorder="1" applyAlignment="1">
      <alignment vertical="center" wrapText="1"/>
    </xf>
    <xf numFmtId="4" fontId="12" fillId="12" borderId="0" xfId="5" applyNumberFormat="1" applyFont="1" applyFill="1" applyAlignment="1">
      <alignment horizontal="right" vertical="center" wrapText="1"/>
    </xf>
    <xf numFmtId="0" fontId="7" fillId="60" borderId="0" xfId="5" applyFont="1" applyFill="1" applyAlignment="1">
      <alignment horizontal="center" vertical="center"/>
    </xf>
    <xf numFmtId="0" fontId="7" fillId="60" borderId="0" xfId="5" applyFont="1" applyFill="1" applyAlignment="1">
      <alignment vertical="center"/>
    </xf>
    <xf numFmtId="0" fontId="7" fillId="60" borderId="0" xfId="5" applyFont="1" applyFill="1" applyAlignment="1">
      <alignment vertical="center" wrapText="1"/>
    </xf>
    <xf numFmtId="0" fontId="8" fillId="60" borderId="12" xfId="5" applyFont="1" applyFill="1" applyBorder="1" applyAlignment="1">
      <alignment vertical="center"/>
    </xf>
    <xf numFmtId="2" fontId="8" fillId="60" borderId="12" xfId="5" applyNumberFormat="1" applyFont="1" applyFill="1" applyBorder="1" applyAlignment="1">
      <alignment vertical="center" wrapText="1"/>
    </xf>
    <xf numFmtId="3" fontId="10" fillId="60" borderId="13" xfId="5" applyNumberFormat="1" applyFont="1" applyFill="1" applyBorder="1" applyAlignment="1">
      <alignment horizontal="right" vertical="center" wrapText="1"/>
    </xf>
    <xf numFmtId="0" fontId="10" fillId="60" borderId="13" xfId="5" applyFont="1" applyFill="1" applyBorder="1" applyAlignment="1">
      <alignment horizontal="right" vertical="center" wrapText="1"/>
    </xf>
    <xf numFmtId="4" fontId="8" fillId="60" borderId="0" xfId="5" applyNumberFormat="1" applyFont="1" applyFill="1" applyAlignment="1">
      <alignment vertical="center"/>
    </xf>
    <xf numFmtId="4" fontId="8" fillId="60" borderId="13" xfId="5" applyNumberFormat="1" applyFont="1" applyFill="1" applyBorder="1" applyAlignment="1">
      <alignment vertical="center"/>
    </xf>
    <xf numFmtId="0" fontId="8" fillId="60" borderId="0" xfId="5" applyFont="1" applyFill="1" applyAlignment="1">
      <alignment vertical="center"/>
    </xf>
    <xf numFmtId="0" fontId="6" fillId="60" borderId="0" xfId="5" applyFill="1" applyAlignment="1">
      <alignment vertical="center"/>
    </xf>
    <xf numFmtId="3" fontId="14" fillId="61" borderId="13" xfId="5" applyNumberFormat="1" applyFont="1" applyFill="1" applyBorder="1" applyAlignment="1">
      <alignment horizontal="right" vertical="center" wrapText="1"/>
    </xf>
    <xf numFmtId="0" fontId="7" fillId="60" borderId="10" xfId="5" applyFont="1" applyFill="1" applyBorder="1" applyAlignment="1">
      <alignment horizontal="center" vertical="center" wrapText="1"/>
    </xf>
    <xf numFmtId="0" fontId="7" fillId="60" borderId="10" xfId="5" applyFont="1" applyFill="1" applyBorder="1" applyAlignment="1">
      <alignment horizontal="left" vertical="center" wrapText="1"/>
    </xf>
    <xf numFmtId="0" fontId="7" fillId="60" borderId="13" xfId="5" applyFont="1" applyFill="1" applyBorder="1" applyAlignment="1">
      <alignment horizontal="center" vertical="center"/>
    </xf>
    <xf numFmtId="0" fontId="7" fillId="60" borderId="12" xfId="5" quotePrefix="1" applyFont="1" applyFill="1" applyBorder="1" applyAlignment="1">
      <alignment horizontal="center" vertical="center"/>
    </xf>
    <xf numFmtId="0" fontId="7" fillId="60" borderId="12" xfId="5" applyFont="1" applyFill="1" applyBorder="1" applyAlignment="1">
      <alignment vertical="center" wrapText="1"/>
    </xf>
    <xf numFmtId="0" fontId="7" fillId="60" borderId="10" xfId="5" applyFont="1" applyFill="1" applyBorder="1" applyAlignment="1">
      <alignment vertical="center" wrapText="1"/>
    </xf>
    <xf numFmtId="4" fontId="8" fillId="0" borderId="27" xfId="5" applyNumberFormat="1" applyFont="1" applyBorder="1" applyAlignment="1">
      <alignment vertical="center"/>
    </xf>
    <xf numFmtId="4" fontId="11" fillId="10" borderId="15" xfId="5" applyNumberFormat="1" applyFont="1" applyFill="1" applyBorder="1" applyAlignment="1">
      <alignment vertical="center"/>
    </xf>
    <xf numFmtId="4" fontId="8" fillId="12" borderId="16" xfId="5" applyNumberFormat="1" applyFont="1" applyFill="1" applyBorder="1" applyAlignment="1">
      <alignment vertical="center"/>
    </xf>
    <xf numFmtId="4" fontId="11" fillId="9" borderId="17" xfId="5" applyNumberFormat="1" applyFont="1" applyFill="1" applyBorder="1" applyAlignment="1">
      <alignment vertical="center"/>
    </xf>
    <xf numFmtId="4" fontId="12" fillId="10" borderId="28" xfId="5" applyNumberFormat="1" applyFont="1" applyFill="1" applyBorder="1" applyAlignment="1">
      <alignment horizontal="right" vertical="center" wrapText="1"/>
    </xf>
    <xf numFmtId="3" fontId="10" fillId="8" borderId="27" xfId="5" applyNumberFormat="1" applyFont="1" applyFill="1" applyBorder="1" applyAlignment="1">
      <alignment horizontal="right" vertical="center" wrapText="1"/>
    </xf>
    <xf numFmtId="0" fontId="12" fillId="8" borderId="10" xfId="5" applyFont="1" applyFill="1" applyBorder="1" applyAlignment="1">
      <alignment vertical="center" wrapText="1"/>
    </xf>
    <xf numFmtId="3" fontId="10" fillId="9" borderId="27" xfId="5" applyNumberFormat="1" applyFont="1" applyFill="1" applyBorder="1" applyAlignment="1">
      <alignment horizontal="right" vertical="center" wrapText="1"/>
    </xf>
    <xf numFmtId="4" fontId="8" fillId="12" borderId="13" xfId="5" applyNumberFormat="1" applyFont="1" applyFill="1" applyBorder="1" applyAlignment="1">
      <alignment vertical="center"/>
    </xf>
    <xf numFmtId="0" fontId="12" fillId="0" borderId="10" xfId="5" applyFont="1" applyBorder="1" applyAlignment="1">
      <alignment horizontal="center" vertical="center" wrapText="1"/>
    </xf>
    <xf numFmtId="0" fontId="12" fillId="0" borderId="10" xfId="5" applyFont="1" applyBorder="1" applyAlignment="1">
      <alignment horizontal="left" vertical="center" wrapText="1"/>
    </xf>
    <xf numFmtId="4" fontId="7" fillId="0" borderId="10" xfId="5" applyNumberFormat="1" applyFont="1" applyBorder="1" applyAlignment="1">
      <alignment horizontal="center" vertical="center"/>
    </xf>
    <xf numFmtId="4" fontId="7" fillId="0" borderId="10" xfId="5" applyNumberFormat="1" applyFont="1" applyBorder="1" applyAlignment="1">
      <alignment horizontal="left" vertical="center" wrapText="1"/>
    </xf>
    <xf numFmtId="4" fontId="7" fillId="0" borderId="10" xfId="5" applyNumberFormat="1" applyFont="1" applyBorder="1" applyAlignment="1">
      <alignment vertical="center"/>
    </xf>
    <xf numFmtId="3" fontId="10" fillId="12" borderId="27" xfId="5" applyNumberFormat="1" applyFont="1" applyFill="1" applyBorder="1" applyAlignment="1">
      <alignment horizontal="right" vertical="center" wrapText="1"/>
    </xf>
    <xf numFmtId="0" fontId="12" fillId="12" borderId="10" xfId="5" applyFont="1" applyFill="1" applyBorder="1" applyAlignment="1">
      <alignment horizontal="center" vertical="center" wrapText="1"/>
    </xf>
    <xf numFmtId="0" fontId="12" fillId="12" borderId="10" xfId="5" applyFont="1" applyFill="1" applyBorder="1" applyAlignment="1">
      <alignment horizontal="left" vertical="center" wrapText="1"/>
    </xf>
    <xf numFmtId="4" fontId="11" fillId="12" borderId="27" xfId="5" applyNumberFormat="1" applyFont="1" applyFill="1" applyBorder="1" applyAlignment="1">
      <alignment horizontal="right" vertical="center" wrapText="1"/>
    </xf>
    <xf numFmtId="4" fontId="12" fillId="12" borderId="16" xfId="5" applyNumberFormat="1" applyFont="1" applyFill="1" applyBorder="1" applyAlignment="1">
      <alignment horizontal="right" vertical="center" wrapText="1"/>
    </xf>
    <xf numFmtId="4" fontId="7" fillId="0" borderId="10" xfId="5" applyNumberFormat="1" applyFont="1" applyBorder="1" applyAlignment="1">
      <alignment horizontal="center" vertical="center" wrapText="1"/>
    </xf>
    <xf numFmtId="4" fontId="7" fillId="0" borderId="10" xfId="5" applyNumberFormat="1" applyFont="1" applyBorder="1" applyAlignment="1">
      <alignment vertical="center" wrapText="1"/>
    </xf>
    <xf numFmtId="3" fontId="10" fillId="10" borderId="28" xfId="5" applyNumberFormat="1" applyFont="1" applyFill="1" applyBorder="1" applyAlignment="1">
      <alignment horizontal="right" vertical="center" wrapText="1"/>
    </xf>
    <xf numFmtId="0" fontId="7" fillId="34" borderId="0" xfId="5" applyFont="1" applyFill="1" applyAlignment="1">
      <alignment horizontal="center" vertical="center"/>
    </xf>
    <xf numFmtId="0" fontId="7" fillId="34" borderId="0" xfId="5" applyFont="1" applyFill="1" applyAlignment="1">
      <alignment vertical="center"/>
    </xf>
    <xf numFmtId="0" fontId="7" fillId="34" borderId="0" xfId="5" applyFont="1" applyFill="1" applyAlignment="1">
      <alignment vertical="center" wrapText="1"/>
    </xf>
    <xf numFmtId="0" fontId="8" fillId="34" borderId="12" xfId="5" applyFont="1" applyFill="1" applyBorder="1" applyAlignment="1">
      <alignment vertical="center"/>
    </xf>
    <xf numFmtId="2" fontId="8" fillId="34" borderId="12" xfId="5" applyNumberFormat="1" applyFont="1" applyFill="1" applyBorder="1" applyAlignment="1">
      <alignment vertical="center" wrapText="1"/>
    </xf>
    <xf numFmtId="3" fontId="14" fillId="54" borderId="13" xfId="5" applyNumberFormat="1" applyFont="1" applyFill="1" applyBorder="1" applyAlignment="1">
      <alignment horizontal="right" vertical="center" wrapText="1"/>
    </xf>
    <xf numFmtId="3" fontId="10" fillId="34" borderId="13" xfId="5" applyNumberFormat="1" applyFont="1" applyFill="1" applyBorder="1" applyAlignment="1">
      <alignment horizontal="right" vertical="center" wrapText="1"/>
    </xf>
    <xf numFmtId="0" fontId="10" fillId="34" borderId="13" xfId="5" applyFont="1" applyFill="1" applyBorder="1" applyAlignment="1">
      <alignment horizontal="right" vertical="center" wrapText="1"/>
    </xf>
    <xf numFmtId="0" fontId="7" fillId="34" borderId="10" xfId="5" applyFont="1" applyFill="1" applyBorder="1" applyAlignment="1">
      <alignment horizontal="center" vertical="center" wrapText="1"/>
    </xf>
    <xf numFmtId="0" fontId="7" fillId="34" borderId="10" xfId="5" applyFont="1" applyFill="1" applyBorder="1" applyAlignment="1">
      <alignment horizontal="left" vertical="center" wrapText="1"/>
    </xf>
    <xf numFmtId="4" fontId="8" fillId="34" borderId="0" xfId="5" applyNumberFormat="1" applyFont="1" applyFill="1" applyAlignment="1">
      <alignment vertical="center"/>
    </xf>
    <xf numFmtId="0" fontId="7" fillId="34" borderId="10" xfId="5" applyFont="1" applyFill="1" applyBorder="1" applyAlignment="1">
      <alignment vertical="center" wrapText="1"/>
    </xf>
    <xf numFmtId="0" fontId="8" fillId="34" borderId="0" xfId="5" applyFont="1" applyFill="1" applyAlignment="1">
      <alignment vertical="center"/>
    </xf>
    <xf numFmtId="0" fontId="6" fillId="34" borderId="0" xfId="5" applyFill="1" applyAlignment="1">
      <alignment vertical="center"/>
    </xf>
    <xf numFmtId="0" fontId="7" fillId="17" borderId="10" xfId="5" applyFont="1" applyFill="1" applyBorder="1" applyAlignment="1">
      <alignment horizontal="center" vertical="center" wrapText="1"/>
    </xf>
    <xf numFmtId="0" fontId="7" fillId="17" borderId="10" xfId="5" applyFont="1" applyFill="1" applyBorder="1" applyAlignment="1">
      <alignment horizontal="left" vertical="center" wrapText="1"/>
    </xf>
    <xf numFmtId="4" fontId="7" fillId="16" borderId="27" xfId="5" applyNumberFormat="1" applyFont="1" applyFill="1" applyBorder="1" applyAlignment="1">
      <alignment horizontal="right" vertical="center" wrapText="1"/>
    </xf>
    <xf numFmtId="2" fontId="7" fillId="0" borderId="10" xfId="5" applyNumberFormat="1" applyFont="1" applyBorder="1" applyAlignment="1">
      <alignment horizontal="left" vertical="center" wrapText="1"/>
    </xf>
    <xf numFmtId="2" fontId="7" fillId="18" borderId="10" xfId="5" applyNumberFormat="1" applyFont="1" applyFill="1" applyBorder="1" applyAlignment="1">
      <alignment horizontal="center" vertical="center" wrapText="1"/>
    </xf>
    <xf numFmtId="2" fontId="7" fillId="18" borderId="10" xfId="5" applyNumberFormat="1" applyFont="1" applyFill="1" applyBorder="1" applyAlignment="1">
      <alignment vertical="center" wrapText="1"/>
    </xf>
    <xf numFmtId="0" fontId="7" fillId="18" borderId="10" xfId="5" applyFont="1" applyFill="1" applyBorder="1" applyAlignment="1">
      <alignment horizontal="center" vertical="center" wrapText="1"/>
    </xf>
    <xf numFmtId="0" fontId="7" fillId="18" borderId="10" xfId="5" applyFont="1" applyFill="1" applyBorder="1" applyAlignment="1">
      <alignment horizontal="left" vertical="center" wrapText="1"/>
    </xf>
    <xf numFmtId="2" fontId="20" fillId="0" borderId="10" xfId="5" applyNumberFormat="1" applyFont="1" applyBorder="1" applyAlignment="1">
      <alignment horizontal="center" vertical="center" wrapText="1"/>
    </xf>
    <xf numFmtId="2" fontId="20" fillId="0" borderId="10" xfId="5" applyNumberFormat="1" applyFont="1" applyBorder="1" applyAlignment="1">
      <alignment horizontal="left" vertical="center" wrapText="1"/>
    </xf>
    <xf numFmtId="2" fontId="20" fillId="18" borderId="10" xfId="5" applyNumberFormat="1" applyFont="1" applyFill="1" applyBorder="1" applyAlignment="1">
      <alignment horizontal="center" vertical="center" wrapText="1"/>
    </xf>
    <xf numFmtId="2" fontId="20" fillId="18" borderId="10" xfId="5" applyNumberFormat="1" applyFont="1" applyFill="1" applyBorder="1" applyAlignment="1">
      <alignment vertical="center" wrapText="1"/>
    </xf>
    <xf numFmtId="2" fontId="49" fillId="0" borderId="10" xfId="5" applyNumberFormat="1" applyFont="1" applyBorder="1" applyAlignment="1">
      <alignment horizontal="center" vertical="center" wrapText="1"/>
    </xf>
    <xf numFmtId="2" fontId="49" fillId="0" borderId="10" xfId="5" applyNumberFormat="1" applyFont="1" applyBorder="1" applyAlignment="1">
      <alignment horizontal="left" vertical="center" wrapText="1"/>
    </xf>
    <xf numFmtId="2" fontId="49" fillId="0" borderId="10" xfId="5" applyNumberFormat="1" applyFont="1" applyBorder="1" applyAlignment="1">
      <alignment vertical="center" wrapText="1"/>
    </xf>
    <xf numFmtId="0" fontId="1" fillId="0" borderId="0" xfId="13" applyAlignment="1">
      <alignment vertical="center"/>
    </xf>
    <xf numFmtId="0" fontId="1" fillId="2" borderId="0" xfId="13" applyFill="1" applyAlignment="1">
      <alignment vertical="center"/>
    </xf>
    <xf numFmtId="0" fontId="50" fillId="62" borderId="0" xfId="13" applyFont="1" applyFill="1" applyAlignment="1">
      <alignment horizontal="right" vertical="center" wrapText="1"/>
    </xf>
    <xf numFmtId="49" fontId="51" fillId="63" borderId="29" xfId="13" applyNumberFormat="1" applyFont="1" applyFill="1" applyBorder="1" applyAlignment="1" applyProtection="1">
      <alignment horizontal="center" vertical="center"/>
      <protection locked="0"/>
    </xf>
    <xf numFmtId="164" fontId="50" fillId="62" borderId="0" xfId="14" applyNumberFormat="1" applyFont="1" applyFill="1" applyAlignment="1">
      <alignment horizontal="center" vertical="center" wrapText="1"/>
    </xf>
    <xf numFmtId="168" fontId="50" fillId="62" borderId="0" xfId="7" applyNumberFormat="1" applyFont="1" applyFill="1" applyBorder="1" applyAlignment="1">
      <alignment horizontal="center" vertical="center" wrapText="1"/>
    </xf>
    <xf numFmtId="0" fontId="50" fillId="62" borderId="0" xfId="7" applyNumberFormat="1" applyFont="1" applyFill="1" applyBorder="1" applyAlignment="1">
      <alignment horizontal="center" vertical="center" wrapText="1"/>
    </xf>
    <xf numFmtId="0" fontId="6" fillId="0" borderId="0" xfId="5"/>
    <xf numFmtId="0" fontId="53" fillId="62" borderId="0" xfId="13" applyFont="1" applyFill="1" applyAlignment="1">
      <alignment horizontal="center" vertical="center" wrapText="1"/>
    </xf>
    <xf numFmtId="0" fontId="52" fillId="62" borderId="0" xfId="13" applyFont="1" applyFill="1" applyAlignment="1">
      <alignment horizontal="center" vertical="center" wrapText="1"/>
    </xf>
    <xf numFmtId="164" fontId="52" fillId="62" borderId="0" xfId="14" applyNumberFormat="1" applyFont="1" applyFill="1" applyAlignment="1">
      <alignment horizontal="center" vertical="center" wrapText="1"/>
    </xf>
    <xf numFmtId="168" fontId="52" fillId="62" borderId="0" xfId="7" applyNumberFormat="1" applyFont="1" applyFill="1" applyBorder="1" applyAlignment="1">
      <alignment horizontal="center" vertical="center" wrapText="1"/>
    </xf>
    <xf numFmtId="165" fontId="52" fillId="62" borderId="0" xfId="7" applyFont="1" applyFill="1" applyBorder="1" applyAlignment="1">
      <alignment horizontal="center" vertical="center" wrapText="1"/>
    </xf>
    <xf numFmtId="0" fontId="52" fillId="0" borderId="0" xfId="13" quotePrefix="1" applyFont="1" applyAlignment="1">
      <alignment horizontal="center" vertical="center" wrapText="1"/>
    </xf>
    <xf numFmtId="0" fontId="54" fillId="2" borderId="6" xfId="13" quotePrefix="1" applyFont="1" applyFill="1" applyBorder="1" applyAlignment="1">
      <alignment horizontal="center" vertical="center"/>
    </xf>
    <xf numFmtId="0" fontId="54" fillId="63" borderId="6" xfId="13" quotePrefix="1" applyFont="1" applyFill="1" applyBorder="1" applyAlignment="1">
      <alignment horizontal="center" vertical="center"/>
    </xf>
    <xf numFmtId="0" fontId="54" fillId="63" borderId="6" xfId="13" quotePrefix="1" applyFont="1" applyFill="1" applyBorder="1" applyAlignment="1">
      <alignment horizontal="center" vertical="center" wrapText="1"/>
    </xf>
    <xf numFmtId="0" fontId="52" fillId="62" borderId="0" xfId="13" applyFont="1" applyFill="1" applyAlignment="1">
      <alignment vertical="center"/>
    </xf>
    <xf numFmtId="164" fontId="1" fillId="62" borderId="0" xfId="14" quotePrefix="1" applyNumberFormat="1" applyFont="1" applyFill="1" applyAlignment="1">
      <alignment vertical="center"/>
    </xf>
    <xf numFmtId="0" fontId="52" fillId="0" borderId="0" xfId="13" quotePrefix="1" applyFont="1" applyAlignment="1">
      <alignment vertical="center"/>
    </xf>
    <xf numFmtId="0" fontId="56" fillId="0" borderId="10" xfId="12" applyFont="1" applyBorder="1" applyAlignment="1">
      <alignment horizontal="center" vertical="center"/>
    </xf>
    <xf numFmtId="0" fontId="57" fillId="0" borderId="10" xfId="4" applyFont="1" applyBorder="1" applyAlignment="1">
      <alignment horizontal="center" vertical="center"/>
    </xf>
    <xf numFmtId="0" fontId="57" fillId="0" borderId="10" xfId="4" applyFont="1" applyBorder="1" applyAlignment="1">
      <alignment vertical="center" wrapText="1"/>
    </xf>
    <xf numFmtId="0" fontId="52" fillId="62" borderId="10" xfId="13" quotePrefix="1" applyFont="1" applyFill="1" applyBorder="1" applyAlignment="1" applyProtection="1">
      <alignment horizontal="center" vertical="center"/>
      <protection locked="0"/>
    </xf>
    <xf numFmtId="14" fontId="52" fillId="62" borderId="10" xfId="13" applyNumberFormat="1" applyFont="1" applyFill="1" applyBorder="1" applyAlignment="1" applyProtection="1">
      <alignment horizontal="center" vertical="center"/>
      <protection locked="0"/>
    </xf>
    <xf numFmtId="164" fontId="52" fillId="0" borderId="10" xfId="14" applyNumberFormat="1" applyFont="1" applyFill="1" applyBorder="1" applyAlignment="1" applyProtection="1">
      <alignment horizontal="right" vertical="center"/>
      <protection locked="0"/>
    </xf>
    <xf numFmtId="168" fontId="52" fillId="64" borderId="10" xfId="7" quotePrefix="1" applyNumberFormat="1" applyFont="1" applyFill="1" applyBorder="1" applyAlignment="1" applyProtection="1">
      <alignment horizontal="right" vertical="center"/>
      <protection locked="0"/>
    </xf>
    <xf numFmtId="164" fontId="58" fillId="62" borderId="10" xfId="15" quotePrefix="1" applyNumberFormat="1" applyFont="1" applyFill="1" applyBorder="1" applyAlignment="1" applyProtection="1">
      <alignment vertical="center"/>
      <protection locked="0"/>
    </xf>
    <xf numFmtId="164" fontId="58" fillId="64" borderId="10" xfId="15" quotePrefix="1" applyNumberFormat="1" applyFont="1" applyFill="1" applyBorder="1" applyAlignment="1" applyProtection="1">
      <alignment vertical="center"/>
      <protection locked="0"/>
    </xf>
    <xf numFmtId="0" fontId="52" fillId="62" borderId="10" xfId="13" quotePrefix="1" applyFont="1" applyFill="1" applyBorder="1" applyAlignment="1">
      <alignment horizontal="center" vertical="center"/>
    </xf>
    <xf numFmtId="0" fontId="59" fillId="0" borderId="10" xfId="12" applyFont="1" applyBorder="1" applyAlignment="1">
      <alignment horizontal="center" vertical="center"/>
    </xf>
    <xf numFmtId="0" fontId="60" fillId="0" borderId="10" xfId="4" applyFont="1" applyBorder="1" applyAlignment="1">
      <alignment horizontal="center" vertical="center"/>
    </xf>
    <xf numFmtId="0" fontId="60" fillId="0" borderId="10" xfId="4" applyFont="1" applyBorder="1" applyAlignment="1">
      <alignment vertical="center" wrapText="1"/>
    </xf>
    <xf numFmtId="0" fontId="56" fillId="0" borderId="10" xfId="4" applyFont="1" applyBorder="1" applyAlignment="1">
      <alignment horizontal="center" vertical="center"/>
    </xf>
    <xf numFmtId="0" fontId="56" fillId="0" borderId="10" xfId="4" applyFont="1" applyBorder="1" applyAlignment="1">
      <alignment vertical="center" wrapText="1"/>
    </xf>
    <xf numFmtId="168" fontId="52" fillId="2" borderId="10" xfId="7" applyNumberFormat="1" applyFont="1" applyFill="1" applyBorder="1" applyAlignment="1" applyProtection="1">
      <alignment horizontal="right" vertical="center"/>
      <protection locked="0"/>
    </xf>
    <xf numFmtId="164" fontId="58" fillId="62" borderId="10" xfId="15" applyNumberFormat="1" applyFont="1" applyFill="1" applyBorder="1" applyAlignment="1" applyProtection="1">
      <alignment vertical="center"/>
      <protection locked="0"/>
    </xf>
    <xf numFmtId="164" fontId="58" fillId="2" borderId="10" xfId="15" applyNumberFormat="1" applyFont="1" applyFill="1" applyBorder="1" applyAlignment="1" applyProtection="1">
      <alignment vertical="center"/>
      <protection locked="0"/>
    </xf>
    <xf numFmtId="164" fontId="58" fillId="62" borderId="10" xfId="14" applyNumberFormat="1" applyFont="1" applyFill="1" applyBorder="1" applyAlignment="1" applyProtection="1">
      <alignment vertical="center"/>
      <protection locked="0"/>
    </xf>
    <xf numFmtId="168" fontId="52" fillId="64" borderId="10" xfId="7" applyNumberFormat="1" applyFont="1" applyFill="1" applyBorder="1" applyAlignment="1" applyProtection="1">
      <alignment horizontal="right" vertical="center"/>
      <protection locked="0"/>
    </xf>
    <xf numFmtId="164" fontId="58" fillId="64" borderId="10" xfId="15" applyNumberFormat="1" applyFont="1" applyFill="1" applyBorder="1" applyAlignment="1" applyProtection="1">
      <alignment vertical="center"/>
      <protection locked="0"/>
    </xf>
    <xf numFmtId="0" fontId="56" fillId="2" borderId="10" xfId="12" applyFont="1" applyFill="1" applyBorder="1" applyAlignment="1">
      <alignment horizontal="center" vertical="center"/>
    </xf>
    <xf numFmtId="0" fontId="56" fillId="2" borderId="10" xfId="4" applyFont="1" applyFill="1" applyBorder="1" applyAlignment="1">
      <alignment horizontal="center" vertical="center"/>
    </xf>
    <xf numFmtId="0" fontId="56" fillId="2" borderId="10" xfId="4" applyFont="1" applyFill="1" applyBorder="1" applyAlignment="1">
      <alignment horizontal="left" vertical="center" wrapText="1"/>
    </xf>
    <xf numFmtId="0" fontId="56" fillId="2" borderId="10" xfId="4" applyFont="1" applyFill="1" applyBorder="1" applyAlignment="1">
      <alignment vertical="center" wrapText="1"/>
    </xf>
    <xf numFmtId="0" fontId="61" fillId="2" borderId="10" xfId="12" applyFont="1" applyFill="1" applyBorder="1" applyAlignment="1">
      <alignment horizontal="center" vertical="center"/>
    </xf>
    <xf numFmtId="0" fontId="60" fillId="2" borderId="10" xfId="4" applyFont="1" applyFill="1" applyBorder="1" applyAlignment="1">
      <alignment horizontal="center" vertical="center"/>
    </xf>
    <xf numFmtId="0" fontId="60" fillId="2" borderId="10" xfId="4" applyFont="1" applyFill="1" applyBorder="1" applyAlignment="1">
      <alignment vertical="center" wrapText="1"/>
    </xf>
    <xf numFmtId="164" fontId="58" fillId="2" borderId="10" xfId="15" quotePrefix="1" applyNumberFormat="1" applyFont="1" applyFill="1" applyBorder="1" applyAlignment="1" applyProtection="1">
      <alignment vertical="center"/>
      <protection locked="0"/>
    </xf>
    <xf numFmtId="0" fontId="61" fillId="0" borderId="10" xfId="12" applyFont="1" applyBorder="1" applyAlignment="1">
      <alignment horizontal="center" vertical="center"/>
    </xf>
    <xf numFmtId="0" fontId="62" fillId="0" borderId="10" xfId="12" applyFont="1" applyBorder="1" applyAlignment="1">
      <alignment horizontal="center" vertical="center"/>
    </xf>
    <xf numFmtId="0" fontId="57" fillId="2" borderId="10" xfId="12" applyFont="1" applyFill="1" applyBorder="1" applyAlignment="1">
      <alignment horizontal="center" vertical="center"/>
    </xf>
    <xf numFmtId="164" fontId="58" fillId="62" borderId="10" xfId="14" quotePrefix="1" applyNumberFormat="1" applyFont="1" applyFill="1" applyBorder="1" applyAlignment="1" applyProtection="1">
      <alignment vertical="center"/>
      <protection locked="0"/>
    </xf>
    <xf numFmtId="0" fontId="56" fillId="0" borderId="10" xfId="12" applyFont="1" applyBorder="1" applyAlignment="1">
      <alignment horizontal="left" vertical="center" wrapText="1"/>
    </xf>
    <xf numFmtId="168" fontId="52" fillId="0" borderId="10" xfId="7" applyNumberFormat="1" applyFont="1" applyFill="1" applyBorder="1" applyAlignment="1" applyProtection="1">
      <alignment horizontal="right" vertical="center"/>
      <protection locked="0"/>
    </xf>
    <xf numFmtId="0" fontId="56" fillId="0" borderId="10" xfId="5" applyFont="1" applyBorder="1" applyAlignment="1">
      <alignment horizontal="left" wrapText="1"/>
    </xf>
    <xf numFmtId="0" fontId="56" fillId="0" borderId="10" xfId="5" applyFont="1" applyBorder="1" applyAlignment="1">
      <alignment horizontal="center"/>
    </xf>
    <xf numFmtId="0" fontId="56" fillId="0" borderId="10" xfId="4" applyFont="1" applyBorder="1" applyAlignment="1">
      <alignment horizontal="left" vertical="center" wrapText="1"/>
    </xf>
    <xf numFmtId="0" fontId="57" fillId="56" borderId="10" xfId="4" applyFont="1" applyFill="1" applyBorder="1" applyAlignment="1">
      <alignment horizontal="center" vertical="center"/>
    </xf>
    <xf numFmtId="0" fontId="57" fillId="56" borderId="10" xfId="4" applyFont="1" applyFill="1" applyBorder="1" applyAlignment="1">
      <alignment vertical="center" wrapText="1"/>
    </xf>
    <xf numFmtId="0" fontId="57" fillId="2" borderId="10" xfId="4" applyFont="1" applyFill="1" applyBorder="1" applyAlignment="1">
      <alignment horizontal="center" vertical="center"/>
    </xf>
    <xf numFmtId="0" fontId="57" fillId="2" borderId="10" xfId="4" applyFont="1" applyFill="1" applyBorder="1" applyAlignment="1">
      <alignment horizontal="left" vertical="center" wrapText="1"/>
    </xf>
    <xf numFmtId="0" fontId="57" fillId="2" borderId="10" xfId="4" applyFont="1" applyFill="1" applyBorder="1" applyAlignment="1">
      <alignment vertical="center" wrapText="1"/>
    </xf>
    <xf numFmtId="0" fontId="57" fillId="0" borderId="10" xfId="12" applyFont="1" applyBorder="1" applyAlignment="1">
      <alignment horizontal="center" vertical="center"/>
    </xf>
    <xf numFmtId="0" fontId="60" fillId="0" borderId="10" xfId="5" applyFont="1" applyBorder="1" applyAlignment="1">
      <alignment wrapText="1"/>
    </xf>
    <xf numFmtId="0" fontId="60" fillId="0" borderId="10" xfId="5" applyFont="1" applyBorder="1" applyAlignment="1">
      <alignment horizontal="center" vertical="center"/>
    </xf>
    <xf numFmtId="0" fontId="60" fillId="0" borderId="10" xfId="5" applyFont="1" applyBorder="1" applyAlignment="1">
      <alignment vertical="center" wrapText="1"/>
    </xf>
    <xf numFmtId="0" fontId="57" fillId="56" borderId="10" xfId="4" applyFont="1" applyFill="1" applyBorder="1" applyAlignment="1">
      <alignment horizontal="left" vertical="center" wrapText="1"/>
    </xf>
    <xf numFmtId="0" fontId="6" fillId="0" borderId="0" xfId="5" applyAlignment="1">
      <alignment wrapText="1"/>
    </xf>
    <xf numFmtId="164" fontId="0" fillId="0" borderId="0" xfId="14" applyNumberFormat="1" applyFont="1"/>
    <xf numFmtId="168" fontId="0" fillId="0" borderId="0" xfId="7" applyNumberFormat="1" applyFont="1" applyBorder="1"/>
    <xf numFmtId="165" fontId="0" fillId="0" borderId="0" xfId="7" applyFont="1" applyBorder="1"/>
    <xf numFmtId="0" fontId="1" fillId="2" borderId="0" xfId="13" applyFill="1" applyAlignment="1">
      <alignment vertical="center" wrapText="1"/>
    </xf>
    <xf numFmtId="164" fontId="1" fillId="2" borderId="0" xfId="14" applyNumberFormat="1" applyFont="1" applyFill="1" applyAlignment="1">
      <alignment vertical="center"/>
    </xf>
    <xf numFmtId="168" fontId="1" fillId="2" borderId="0" xfId="7" applyNumberFormat="1" applyFont="1" applyFill="1" applyBorder="1" applyAlignment="1">
      <alignment vertical="center"/>
    </xf>
    <xf numFmtId="165" fontId="1" fillId="2" borderId="0" xfId="7" applyFont="1" applyFill="1" applyBorder="1" applyAlignment="1">
      <alignment vertical="center"/>
    </xf>
    <xf numFmtId="0" fontId="1" fillId="0" borderId="0" xfId="13" applyAlignment="1">
      <alignment vertical="center" wrapText="1"/>
    </xf>
    <xf numFmtId="164" fontId="1" fillId="0" borderId="0" xfId="14" applyNumberFormat="1" applyFont="1" applyAlignment="1">
      <alignment vertical="center"/>
    </xf>
    <xf numFmtId="168" fontId="1" fillId="0" borderId="0" xfId="7" applyNumberFormat="1" applyFont="1" applyBorder="1" applyAlignment="1">
      <alignment vertical="center"/>
    </xf>
    <xf numFmtId="165" fontId="1" fillId="0" borderId="0" xfId="7" applyFont="1" applyBorder="1" applyAlignment="1">
      <alignment vertical="center"/>
    </xf>
    <xf numFmtId="4" fontId="0" fillId="0" borderId="0" xfId="0" applyNumberFormat="1"/>
    <xf numFmtId="0" fontId="0" fillId="0" borderId="33" xfId="0" applyBorder="1"/>
    <xf numFmtId="0" fontId="0" fillId="0" borderId="34" xfId="0" applyBorder="1"/>
    <xf numFmtId="4" fontId="0" fillId="0" borderId="33" xfId="0" applyNumberFormat="1" applyBorder="1"/>
    <xf numFmtId="4" fontId="0" fillId="0" borderId="34" xfId="0" applyNumberForma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5" xfId="0" applyBorder="1"/>
    <xf numFmtId="0" fontId="0" fillId="0" borderId="39" xfId="0" applyBorder="1"/>
    <xf numFmtId="165" fontId="24" fillId="67" borderId="20" xfId="7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 vertical="center"/>
    </xf>
    <xf numFmtId="0" fontId="22" fillId="19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29" xfId="0" applyBorder="1"/>
    <xf numFmtId="0" fontId="0" fillId="3" borderId="29" xfId="0" applyFill="1" applyBorder="1"/>
    <xf numFmtId="0" fontId="0" fillId="68" borderId="29" xfId="0" applyFill="1" applyBorder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3" applyFont="1"/>
    <xf numFmtId="0" fontId="4" fillId="69" borderId="1" xfId="1" applyFont="1" applyFill="1" applyBorder="1" applyAlignment="1">
      <alignment horizontal="center" vertical="center" wrapText="1"/>
    </xf>
    <xf numFmtId="0" fontId="5" fillId="69" borderId="1" xfId="1" applyFont="1" applyFill="1" applyBorder="1" applyAlignment="1">
      <alignment horizontal="center" vertical="center" wrapText="1"/>
    </xf>
    <xf numFmtId="0" fontId="0" fillId="30" borderId="0" xfId="0" applyFill="1" applyAlignment="1">
      <alignment horizontal="left"/>
    </xf>
    <xf numFmtId="43" fontId="0" fillId="30" borderId="0" xfId="3" applyFont="1" applyFill="1"/>
    <xf numFmtId="43" fontId="0" fillId="3" borderId="0" xfId="3" applyFont="1" applyFill="1"/>
    <xf numFmtId="0" fontId="22" fillId="68" borderId="29" xfId="0" applyFont="1" applyFill="1" applyBorder="1"/>
    <xf numFmtId="4" fontId="22" fillId="68" borderId="29" xfId="0" applyNumberFormat="1" applyFont="1" applyFill="1" applyBorder="1"/>
    <xf numFmtId="0" fontId="22" fillId="68" borderId="0" xfId="0" applyFont="1" applyFill="1"/>
    <xf numFmtId="4" fontId="22" fillId="68" borderId="33" xfId="0" applyNumberFormat="1" applyFont="1" applyFill="1" applyBorder="1"/>
    <xf numFmtId="4" fontId="22" fillId="68" borderId="0" xfId="0" applyNumberFormat="1" applyFont="1" applyFill="1"/>
    <xf numFmtId="4" fontId="22" fillId="68" borderId="34" xfId="0" applyNumberFormat="1" applyFont="1" applyFill="1" applyBorder="1"/>
    <xf numFmtId="0" fontId="22" fillId="70" borderId="0" xfId="0" applyFont="1" applyFill="1"/>
    <xf numFmtId="0" fontId="22" fillId="70" borderId="29" xfId="0" applyFont="1" applyFill="1" applyBorder="1"/>
    <xf numFmtId="0" fontId="52" fillId="0" borderId="0" xfId="13" applyFont="1" applyAlignment="1">
      <alignment vertical="center"/>
    </xf>
    <xf numFmtId="0" fontId="63" fillId="24" borderId="20" xfId="7" applyNumberFormat="1" applyFont="1" applyFill="1" applyBorder="1" applyAlignment="1">
      <alignment horizontal="center" vertical="center" wrapText="1"/>
    </xf>
    <xf numFmtId="0" fontId="64" fillId="0" borderId="0" xfId="5" applyFont="1"/>
    <xf numFmtId="4" fontId="0" fillId="3" borderId="34" xfId="0" applyNumberFormat="1" applyFill="1" applyBorder="1"/>
    <xf numFmtId="4" fontId="0" fillId="3" borderId="0" xfId="0" applyNumberFormat="1" applyFill="1"/>
    <xf numFmtId="4" fontId="0" fillId="35" borderId="0" xfId="0" applyNumberFormat="1" applyFill="1"/>
    <xf numFmtId="165" fontId="27" fillId="3" borderId="8" xfId="7" applyFont="1" applyFill="1" applyBorder="1" applyAlignment="1">
      <alignment vertical="center" wrapText="1"/>
    </xf>
    <xf numFmtId="4" fontId="0" fillId="34" borderId="0" xfId="0" applyNumberFormat="1" applyFill="1"/>
    <xf numFmtId="168" fontId="1" fillId="0" borderId="0" xfId="13" applyNumberFormat="1" applyAlignment="1">
      <alignment vertical="center"/>
    </xf>
    <xf numFmtId="3" fontId="1" fillId="0" borderId="0" xfId="13" applyNumberFormat="1" applyAlignment="1">
      <alignment vertical="center"/>
    </xf>
    <xf numFmtId="164" fontId="1" fillId="0" borderId="0" xfId="13" applyNumberFormat="1" applyAlignment="1">
      <alignment vertical="center"/>
    </xf>
    <xf numFmtId="0" fontId="0" fillId="3" borderId="0" xfId="0" applyFill="1" applyAlignment="1">
      <alignment horizontal="left"/>
    </xf>
    <xf numFmtId="0" fontId="55" fillId="62" borderId="6" xfId="7" quotePrefix="1" applyNumberFormat="1" applyFont="1" applyFill="1" applyBorder="1" applyAlignment="1">
      <alignment horizontal="center" vertical="center"/>
    </xf>
    <xf numFmtId="0" fontId="55" fillId="0" borderId="6" xfId="7" quotePrefix="1" applyNumberFormat="1" applyFont="1" applyFill="1" applyBorder="1" applyAlignment="1">
      <alignment horizontal="center" vertical="center" wrapText="1"/>
    </xf>
    <xf numFmtId="165" fontId="52" fillId="0" borderId="10" xfId="13" applyNumberFormat="1" applyFont="1" applyBorder="1" applyAlignment="1">
      <alignment vertical="center"/>
    </xf>
    <xf numFmtId="169" fontId="1" fillId="0" borderId="10" xfId="13" applyNumberFormat="1" applyBorder="1" applyAlignment="1">
      <alignment vertical="center"/>
    </xf>
    <xf numFmtId="0" fontId="56" fillId="3" borderId="10" xfId="4" applyFont="1" applyFill="1" applyBorder="1" applyAlignment="1">
      <alignment horizontal="center" vertical="center"/>
    </xf>
    <xf numFmtId="0" fontId="60" fillId="3" borderId="10" xfId="4" applyFont="1" applyFill="1" applyBorder="1" applyAlignment="1">
      <alignment horizontal="center" vertical="center"/>
    </xf>
    <xf numFmtId="3" fontId="0" fillId="0" borderId="0" xfId="0" applyNumberFormat="1"/>
    <xf numFmtId="4" fontId="0" fillId="0" borderId="0" xfId="0" applyNumberFormat="1" applyAlignment="1">
      <alignment horizontal="center" vertical="center"/>
    </xf>
    <xf numFmtId="0" fontId="50" fillId="62" borderId="0" xfId="13" applyFont="1" applyFill="1" applyAlignment="1">
      <alignment horizontal="right" vertical="center"/>
    </xf>
    <xf numFmtId="0" fontId="53" fillId="62" borderId="0" xfId="13" applyFont="1" applyFill="1" applyAlignment="1">
      <alignment horizontal="center" vertical="center"/>
    </xf>
    <xf numFmtId="0" fontId="63" fillId="24" borderId="20" xfId="18" applyNumberFormat="1" applyFont="1" applyFill="1" applyBorder="1" applyAlignment="1">
      <alignment horizontal="center" vertical="center" wrapText="1"/>
    </xf>
    <xf numFmtId="169" fontId="52" fillId="0" borderId="10" xfId="13" applyNumberFormat="1" applyFont="1" applyBorder="1" applyAlignment="1">
      <alignment horizontal="center" vertical="center"/>
    </xf>
    <xf numFmtId="0" fontId="50" fillId="62" borderId="0" xfId="13" applyFont="1" applyFill="1" applyAlignment="1">
      <alignment horizontal="center" vertical="center" wrapText="1"/>
    </xf>
    <xf numFmtId="0" fontId="50" fillId="2" borderId="0" xfId="13" applyFont="1" applyFill="1" applyAlignment="1">
      <alignment horizontal="center" vertical="center" wrapText="1"/>
    </xf>
    <xf numFmtId="0" fontId="52" fillId="2" borderId="0" xfId="13" applyFont="1" applyFill="1" applyAlignment="1">
      <alignment horizontal="center" vertical="center" wrapText="1"/>
    </xf>
    <xf numFmtId="0" fontId="1" fillId="62" borderId="0" xfId="13" quotePrefix="1" applyFill="1" applyAlignment="1">
      <alignment vertical="center"/>
    </xf>
    <xf numFmtId="0" fontId="51" fillId="62" borderId="0" xfId="13" quotePrefix="1" applyFont="1" applyFill="1" applyAlignment="1">
      <alignment horizontal="center" vertical="center"/>
    </xf>
    <xf numFmtId="0" fontId="55" fillId="0" borderId="10" xfId="18" quotePrefix="1" applyNumberFormat="1" applyFont="1" applyFill="1" applyBorder="1" applyAlignment="1">
      <alignment horizontal="center" vertical="center" wrapText="1"/>
    </xf>
    <xf numFmtId="0" fontId="57" fillId="0" borderId="10" xfId="4" applyFont="1" applyBorder="1" applyAlignment="1">
      <alignment vertical="center"/>
    </xf>
    <xf numFmtId="0" fontId="58" fillId="62" borderId="10" xfId="13" quotePrefix="1" applyFont="1" applyFill="1" applyBorder="1" applyAlignment="1" applyProtection="1">
      <alignment horizontal="center" vertical="center"/>
      <protection locked="0"/>
    </xf>
    <xf numFmtId="14" fontId="58" fillId="62" borderId="10" xfId="13" applyNumberFormat="1" applyFont="1" applyFill="1" applyBorder="1" applyAlignment="1" applyProtection="1">
      <alignment horizontal="center" vertical="center"/>
      <protection locked="0"/>
    </xf>
    <xf numFmtId="164" fontId="58" fillId="62" borderId="10" xfId="2" quotePrefix="1" applyNumberFormat="1" applyFont="1" applyFill="1" applyBorder="1" applyAlignment="1" applyProtection="1">
      <alignment vertical="center"/>
      <protection locked="0"/>
    </xf>
    <xf numFmtId="164" fontId="58" fillId="64" borderId="10" xfId="2" quotePrefix="1" applyNumberFormat="1" applyFont="1" applyFill="1" applyBorder="1" applyAlignment="1" applyProtection="1">
      <alignment vertical="center"/>
      <protection locked="0"/>
    </xf>
    <xf numFmtId="168" fontId="52" fillId="64" borderId="10" xfId="18" quotePrefix="1" applyNumberFormat="1" applyFont="1" applyFill="1" applyBorder="1" applyAlignment="1" applyProtection="1">
      <alignment horizontal="right" vertical="center"/>
      <protection locked="0"/>
    </xf>
    <xf numFmtId="0" fontId="58" fillId="62" borderId="10" xfId="13" quotePrefix="1" applyFont="1" applyFill="1" applyBorder="1" applyAlignment="1">
      <alignment horizontal="center" vertical="center"/>
    </xf>
    <xf numFmtId="0" fontId="60" fillId="0" borderId="10" xfId="4" applyFont="1" applyBorder="1" applyAlignment="1">
      <alignment vertical="center"/>
    </xf>
    <xf numFmtId="0" fontId="56" fillId="0" borderId="10" xfId="4" applyFont="1" applyBorder="1" applyAlignment="1">
      <alignment vertical="center"/>
    </xf>
    <xf numFmtId="164" fontId="58" fillId="62" borderId="10" xfId="2" applyNumberFormat="1" applyFont="1" applyFill="1" applyBorder="1" applyAlignment="1" applyProtection="1">
      <alignment vertical="center"/>
      <protection locked="0"/>
    </xf>
    <xf numFmtId="164" fontId="58" fillId="2" borderId="10" xfId="2" applyNumberFormat="1" applyFont="1" applyFill="1" applyBorder="1" applyAlignment="1" applyProtection="1">
      <alignment vertical="center"/>
      <protection locked="0"/>
    </xf>
    <xf numFmtId="168" fontId="52" fillId="2" borderId="10" xfId="18" applyNumberFormat="1" applyFont="1" applyFill="1" applyBorder="1" applyAlignment="1" applyProtection="1">
      <alignment horizontal="right" vertical="center"/>
      <protection locked="0"/>
    </xf>
    <xf numFmtId="164" fontId="58" fillId="64" borderId="10" xfId="2" applyNumberFormat="1" applyFont="1" applyFill="1" applyBorder="1" applyAlignment="1" applyProtection="1">
      <alignment vertical="center"/>
      <protection locked="0"/>
    </xf>
    <xf numFmtId="168" fontId="52" fillId="64" borderId="10" xfId="18" applyNumberFormat="1" applyFont="1" applyFill="1" applyBorder="1" applyAlignment="1" applyProtection="1">
      <alignment horizontal="right" vertical="center"/>
      <protection locked="0"/>
    </xf>
    <xf numFmtId="164" fontId="1" fillId="2" borderId="0" xfId="13" applyNumberFormat="1" applyFill="1" applyAlignment="1">
      <alignment vertical="center"/>
    </xf>
    <xf numFmtId="0" fontId="56" fillId="2" borderId="10" xfId="4" applyFont="1" applyFill="1" applyBorder="1" applyAlignment="1">
      <alignment horizontal="left" vertical="center"/>
    </xf>
    <xf numFmtId="0" fontId="56" fillId="2" borderId="10" xfId="4" applyFont="1" applyFill="1" applyBorder="1" applyAlignment="1">
      <alignment vertical="center"/>
    </xf>
    <xf numFmtId="0" fontId="60" fillId="2" borderId="10" xfId="4" applyFont="1" applyFill="1" applyBorder="1" applyAlignment="1">
      <alignment vertical="center"/>
    </xf>
    <xf numFmtId="164" fontId="58" fillId="2" borderId="10" xfId="2" quotePrefix="1" applyNumberFormat="1" applyFont="1" applyFill="1" applyBorder="1" applyAlignment="1" applyProtection="1">
      <alignment vertical="center"/>
      <protection locked="0"/>
    </xf>
    <xf numFmtId="168" fontId="52" fillId="0" borderId="10" xfId="18" applyNumberFormat="1" applyFont="1" applyFill="1" applyBorder="1" applyAlignment="1" applyProtection="1">
      <alignment horizontal="right" vertical="center"/>
      <protection locked="0"/>
    </xf>
    <xf numFmtId="0" fontId="56" fillId="0" borderId="10" xfId="12" applyFont="1" applyBorder="1" applyAlignment="1">
      <alignment horizontal="left" vertical="center"/>
    </xf>
    <xf numFmtId="0" fontId="56" fillId="0" borderId="10" xfId="0" applyFont="1" applyBorder="1" applyAlignment="1">
      <alignment horizontal="left" vertical="center"/>
    </xf>
    <xf numFmtId="0" fontId="56" fillId="0" borderId="10" xfId="0" applyFont="1" applyBorder="1" applyAlignment="1">
      <alignment horizontal="center" vertical="center"/>
    </xf>
    <xf numFmtId="0" fontId="56" fillId="0" borderId="10" xfId="4" applyFont="1" applyBorder="1" applyAlignment="1">
      <alignment horizontal="left" vertical="center"/>
    </xf>
    <xf numFmtId="0" fontId="60" fillId="35" borderId="10" xfId="4" applyFont="1" applyFill="1" applyBorder="1" applyAlignment="1">
      <alignment vertical="center"/>
    </xf>
    <xf numFmtId="0" fontId="57" fillId="2" borderId="10" xfId="4" applyFont="1" applyFill="1" applyBorder="1" applyAlignment="1">
      <alignment vertical="center"/>
    </xf>
    <xf numFmtId="0" fontId="57" fillId="2" borderId="10" xfId="4" applyFont="1" applyFill="1" applyBorder="1" applyAlignment="1">
      <alignment horizontal="left" vertical="center"/>
    </xf>
    <xf numFmtId="0" fontId="52" fillId="35" borderId="0" xfId="13" quotePrefix="1" applyFont="1" applyFill="1" applyAlignment="1">
      <alignment vertical="center"/>
    </xf>
    <xf numFmtId="0" fontId="56" fillId="35" borderId="10" xfId="12" applyFont="1" applyFill="1" applyBorder="1" applyAlignment="1">
      <alignment horizontal="center" vertical="center"/>
    </xf>
    <xf numFmtId="0" fontId="60" fillId="35" borderId="10" xfId="4" applyFont="1" applyFill="1" applyBorder="1" applyAlignment="1">
      <alignment horizontal="center" vertical="center"/>
    </xf>
    <xf numFmtId="0" fontId="58" fillId="35" borderId="10" xfId="13" quotePrefix="1" applyFont="1" applyFill="1" applyBorder="1" applyAlignment="1">
      <alignment horizontal="center" vertical="center"/>
    </xf>
    <xf numFmtId="14" fontId="58" fillId="35" borderId="10" xfId="13" applyNumberFormat="1" applyFont="1" applyFill="1" applyBorder="1" applyAlignment="1" applyProtection="1">
      <alignment horizontal="center" vertical="center"/>
      <protection locked="0"/>
    </xf>
    <xf numFmtId="164" fontId="58" fillId="35" borderId="10" xfId="2" applyNumberFormat="1" applyFont="1" applyFill="1" applyBorder="1" applyAlignment="1" applyProtection="1">
      <alignment vertical="center"/>
      <protection locked="0"/>
    </xf>
    <xf numFmtId="164" fontId="58" fillId="35" borderId="10" xfId="2" quotePrefix="1" applyNumberFormat="1" applyFont="1" applyFill="1" applyBorder="1" applyAlignment="1" applyProtection="1">
      <alignment vertical="center"/>
      <protection locked="0"/>
    </xf>
    <xf numFmtId="168" fontId="52" fillId="35" borderId="10" xfId="18" applyNumberFormat="1" applyFont="1" applyFill="1" applyBorder="1" applyAlignment="1" applyProtection="1">
      <alignment horizontal="right" vertical="center"/>
      <protection locked="0"/>
    </xf>
    <xf numFmtId="169" fontId="52" fillId="35" borderId="10" xfId="13" applyNumberFormat="1" applyFont="1" applyFill="1" applyBorder="1" applyAlignment="1">
      <alignment horizontal="center" vertical="center"/>
    </xf>
    <xf numFmtId="0" fontId="1" fillId="35" borderId="0" xfId="13" applyFill="1" applyAlignment="1">
      <alignment vertical="center"/>
    </xf>
    <xf numFmtId="0" fontId="57" fillId="35" borderId="10" xfId="4" applyFont="1" applyFill="1" applyBorder="1" applyAlignment="1">
      <alignment horizontal="center" vertical="center"/>
    </xf>
    <xf numFmtId="0" fontId="57" fillId="35" borderId="10" xfId="4" applyFont="1" applyFill="1" applyBorder="1" applyAlignment="1">
      <alignment vertical="center"/>
    </xf>
    <xf numFmtId="168" fontId="52" fillId="35" borderId="10" xfId="18" quotePrefix="1" applyNumberFormat="1" applyFont="1" applyFill="1" applyBorder="1" applyAlignment="1" applyProtection="1">
      <alignment horizontal="right" vertical="center"/>
      <protection locked="0"/>
    </xf>
    <xf numFmtId="164" fontId="58" fillId="0" borderId="10" xfId="2" applyNumberFormat="1" applyFont="1" applyFill="1" applyBorder="1" applyAlignment="1" applyProtection="1">
      <alignment vertical="center"/>
      <protection locked="0"/>
    </xf>
    <xf numFmtId="164" fontId="58" fillId="0" borderId="10" xfId="2" quotePrefix="1" applyNumberFormat="1" applyFont="1" applyFill="1" applyBorder="1" applyAlignment="1" applyProtection="1">
      <alignment vertical="center"/>
      <protection locked="0"/>
    </xf>
    <xf numFmtId="0" fontId="60" fillId="0" borderId="10" xfId="0" applyFont="1" applyBorder="1" applyAlignment="1">
      <alignment vertical="center"/>
    </xf>
    <xf numFmtId="0" fontId="60" fillId="0" borderId="10" xfId="0" applyFont="1" applyBorder="1" applyAlignment="1">
      <alignment horizontal="center" vertical="center"/>
    </xf>
    <xf numFmtId="0" fontId="1" fillId="62" borderId="0" xfId="13" applyFill="1" applyAlignment="1">
      <alignment vertical="center"/>
    </xf>
    <xf numFmtId="0" fontId="0" fillId="0" borderId="0" xfId="0" applyAlignment="1">
      <alignment vertical="center"/>
    </xf>
    <xf numFmtId="0" fontId="67" fillId="2" borderId="0" xfId="13" applyFont="1" applyFill="1" applyAlignment="1">
      <alignment vertical="center"/>
    </xf>
    <xf numFmtId="0" fontId="67" fillId="0" borderId="0" xfId="13" applyFont="1" applyAlignment="1">
      <alignment vertical="center"/>
    </xf>
    <xf numFmtId="165" fontId="0" fillId="0" borderId="0" xfId="0" applyNumberFormat="1"/>
    <xf numFmtId="0" fontId="73" fillId="71" borderId="0" xfId="21" applyNumberFormat="1" applyFont="1" applyFill="1" applyBorder="1" applyAlignment="1" applyProtection="1">
      <alignment horizontal="center" vertical="center"/>
    </xf>
    <xf numFmtId="0" fontId="73" fillId="71" borderId="0" xfId="21" applyNumberFormat="1" applyFont="1" applyFill="1" applyBorder="1" applyAlignment="1" applyProtection="1">
      <alignment horizontal="center" vertical="center" wrapText="1"/>
    </xf>
    <xf numFmtId="0" fontId="74" fillId="71" borderId="0" xfId="21" applyNumberFormat="1" applyFont="1" applyFill="1" applyBorder="1" applyProtection="1"/>
    <xf numFmtId="4" fontId="80" fillId="71" borderId="40" xfId="23" applyNumberFormat="1" applyFont="1" applyFill="1" applyBorder="1" applyAlignment="1" applyProtection="1">
      <alignment horizontal="center" vertical="center" wrapText="1"/>
    </xf>
    <xf numFmtId="174" fontId="78" fillId="71" borderId="43" xfId="25" applyNumberFormat="1" applyFont="1" applyFill="1" applyBorder="1" applyAlignment="1" applyProtection="1">
      <alignment horizontal="right" vertical="center"/>
    </xf>
    <xf numFmtId="49" fontId="78" fillId="71" borderId="47" xfId="22" applyNumberFormat="1" applyFont="1" applyFill="1" applyBorder="1" applyAlignment="1" applyProtection="1">
      <alignment horizontal="left" vertical="center"/>
    </xf>
    <xf numFmtId="49" fontId="78" fillId="71" borderId="0" xfId="22" applyNumberFormat="1" applyFont="1" applyFill="1" applyBorder="1" applyAlignment="1" applyProtection="1">
      <alignment horizontal="right" vertical="center"/>
    </xf>
    <xf numFmtId="171" fontId="78" fillId="71" borderId="48" xfId="22" applyFont="1" applyFill="1" applyBorder="1" applyAlignment="1" applyProtection="1">
      <alignment horizontal="right" vertical="center"/>
    </xf>
    <xf numFmtId="172" fontId="78" fillId="71" borderId="48" xfId="26" applyFont="1" applyFill="1" applyBorder="1" applyAlignment="1" applyProtection="1">
      <alignment horizontal="right" vertical="center"/>
    </xf>
    <xf numFmtId="9" fontId="78" fillId="71" borderId="48" xfId="20" applyFont="1" applyFill="1" applyBorder="1" applyAlignment="1" applyProtection="1">
      <alignment horizontal="right" vertical="center"/>
    </xf>
    <xf numFmtId="49" fontId="81" fillId="71" borderId="47" xfId="22" applyNumberFormat="1" applyFont="1" applyFill="1" applyBorder="1" applyAlignment="1" applyProtection="1">
      <alignment horizontal="left" vertical="center"/>
    </xf>
    <xf numFmtId="49" fontId="81" fillId="71" borderId="0" xfId="22" applyNumberFormat="1" applyFont="1" applyFill="1" applyBorder="1" applyAlignment="1" applyProtection="1">
      <alignment horizontal="right" vertical="center"/>
    </xf>
    <xf numFmtId="49" fontId="81" fillId="71" borderId="0" xfId="22" applyNumberFormat="1" applyFont="1" applyFill="1" applyBorder="1" applyAlignment="1" applyProtection="1">
      <alignment horizontal="left" vertical="center"/>
    </xf>
    <xf numFmtId="172" fontId="81" fillId="71" borderId="48" xfId="24" applyNumberFormat="1" applyFont="1" applyFill="1" applyBorder="1" applyAlignment="1" applyProtection="1">
      <alignment horizontal="right" vertical="center"/>
    </xf>
    <xf numFmtId="171" fontId="81" fillId="71" borderId="48" xfId="22" applyFont="1" applyFill="1" applyBorder="1" applyAlignment="1" applyProtection="1">
      <alignment horizontal="right" vertical="center"/>
    </xf>
    <xf numFmtId="49" fontId="82" fillId="2" borderId="0" xfId="22" applyNumberFormat="1" applyFont="1" applyFill="1" applyBorder="1" applyAlignment="1" applyProtection="1">
      <alignment horizontal="left" vertical="center"/>
    </xf>
    <xf numFmtId="49" fontId="82" fillId="2" borderId="0" xfId="22" applyNumberFormat="1" applyFont="1" applyFill="1" applyBorder="1" applyAlignment="1" applyProtection="1">
      <alignment horizontal="center" vertical="center" wrapText="1"/>
    </xf>
    <xf numFmtId="171" fontId="81" fillId="72" borderId="48" xfId="22" applyFont="1" applyFill="1" applyBorder="1" applyAlignment="1" applyProtection="1">
      <alignment horizontal="right" vertical="center"/>
    </xf>
    <xf numFmtId="3" fontId="81" fillId="71" borderId="48" xfId="22" applyNumberFormat="1" applyFont="1" applyFill="1" applyBorder="1" applyAlignment="1" applyProtection="1">
      <alignment horizontal="right" vertical="center"/>
    </xf>
    <xf numFmtId="171" fontId="82" fillId="2" borderId="50" xfId="22" applyFont="1" applyFill="1" applyBorder="1" applyAlignment="1" applyProtection="1">
      <alignment horizontal="right" vertical="center" wrapText="1"/>
    </xf>
    <xf numFmtId="171" fontId="81" fillId="71" borderId="50" xfId="22" applyFont="1" applyFill="1" applyBorder="1" applyAlignment="1" applyProtection="1">
      <alignment horizontal="left" vertical="center"/>
    </xf>
    <xf numFmtId="49" fontId="81" fillId="71" borderId="50" xfId="22" applyNumberFormat="1" applyFont="1" applyFill="1" applyBorder="1" applyAlignment="1" applyProtection="1">
      <alignment horizontal="left" vertical="center"/>
    </xf>
    <xf numFmtId="49" fontId="78" fillId="71" borderId="47" xfId="21" applyNumberFormat="1" applyFont="1" applyFill="1" applyBorder="1" applyAlignment="1" applyProtection="1">
      <alignment horizontal="center" vertical="center"/>
    </xf>
    <xf numFmtId="49" fontId="78" fillId="71" borderId="0" xfId="22" applyNumberFormat="1" applyFont="1" applyFill="1" applyBorder="1" applyAlignment="1" applyProtection="1">
      <alignment horizontal="left" vertical="center"/>
    </xf>
    <xf numFmtId="49" fontId="81" fillId="72" borderId="0" xfId="22" applyNumberFormat="1" applyFont="1" applyFill="1" applyBorder="1" applyAlignment="1" applyProtection="1">
      <alignment horizontal="right" vertical="center"/>
    </xf>
    <xf numFmtId="49" fontId="81" fillId="72" borderId="0" xfId="22" applyNumberFormat="1" applyFont="1" applyFill="1" applyBorder="1" applyAlignment="1" applyProtection="1">
      <alignment horizontal="left" vertical="center"/>
    </xf>
    <xf numFmtId="49" fontId="78" fillId="71" borderId="0" xfId="22" applyNumberFormat="1" applyFont="1" applyFill="1" applyBorder="1" applyAlignment="1" applyProtection="1">
      <alignment horizontal="left" vertical="center" wrapText="1"/>
    </xf>
    <xf numFmtId="49" fontId="78" fillId="71" borderId="0" xfId="22" applyNumberFormat="1" applyFont="1" applyFill="1" applyBorder="1" applyAlignment="1" applyProtection="1">
      <alignment vertical="center"/>
    </xf>
    <xf numFmtId="49" fontId="78" fillId="71" borderId="0" xfId="22" applyNumberFormat="1" applyFont="1" applyFill="1" applyBorder="1" applyAlignment="1" applyProtection="1">
      <alignment vertical="center" wrapText="1"/>
    </xf>
    <xf numFmtId="171" fontId="78" fillId="71" borderId="50" xfId="22" applyFont="1" applyFill="1" applyBorder="1" applyAlignment="1" applyProtection="1">
      <alignment vertical="center" wrapText="1"/>
    </xf>
    <xf numFmtId="49" fontId="78" fillId="71" borderId="50" xfId="22" applyNumberFormat="1" applyFont="1" applyFill="1" applyBorder="1" applyAlignment="1" applyProtection="1">
      <alignment vertical="center" wrapText="1"/>
    </xf>
    <xf numFmtId="49" fontId="78" fillId="73" borderId="42" xfId="21" applyNumberFormat="1" applyFont="1" applyFill="1" applyBorder="1" applyAlignment="1" applyProtection="1">
      <alignment horizontal="center" vertical="center"/>
    </xf>
    <xf numFmtId="49" fontId="78" fillId="71" borderId="0" xfId="21" applyNumberFormat="1" applyFont="1" applyFill="1" applyBorder="1" applyAlignment="1" applyProtection="1">
      <alignment horizontal="left" vertical="center"/>
    </xf>
    <xf numFmtId="49" fontId="78" fillId="71" borderId="0" xfId="21" applyNumberFormat="1" applyFont="1" applyFill="1" applyBorder="1" applyAlignment="1" applyProtection="1">
      <alignment horizontal="center" vertical="center"/>
    </xf>
    <xf numFmtId="49" fontId="78" fillId="71" borderId="0" xfId="21" applyNumberFormat="1" applyFont="1" applyFill="1" applyBorder="1" applyAlignment="1" applyProtection="1">
      <alignment horizontal="center" vertical="center" wrapText="1"/>
    </xf>
    <xf numFmtId="171" fontId="78" fillId="71" borderId="9" xfId="21" applyNumberFormat="1" applyFont="1" applyFill="1" applyBorder="1" applyAlignment="1" applyProtection="1">
      <alignment horizontal="center" vertical="center"/>
    </xf>
    <xf numFmtId="49" fontId="78" fillId="71" borderId="9" xfId="21" applyNumberFormat="1" applyFont="1" applyFill="1" applyBorder="1" applyAlignment="1" applyProtection="1">
      <alignment horizontal="center" vertical="center"/>
    </xf>
    <xf numFmtId="172" fontId="78" fillId="71" borderId="48" xfId="24" applyNumberFormat="1" applyFont="1" applyFill="1" applyBorder="1" applyAlignment="1" applyProtection="1">
      <alignment horizontal="right" vertical="center"/>
    </xf>
    <xf numFmtId="49" fontId="78" fillId="71" borderId="0" xfId="22" applyNumberFormat="1" applyFont="1" applyFill="1" applyBorder="1" applyAlignment="1" applyProtection="1">
      <alignment horizontal="center" vertical="center"/>
    </xf>
    <xf numFmtId="49" fontId="81" fillId="71" borderId="0" xfId="22" applyNumberFormat="1" applyFont="1" applyFill="1" applyBorder="1" applyAlignment="1" applyProtection="1">
      <alignment horizontal="left" vertical="center" wrapText="1"/>
    </xf>
    <xf numFmtId="49" fontId="81" fillId="71" borderId="47" xfId="21" applyNumberFormat="1" applyFont="1" applyFill="1" applyBorder="1" applyAlignment="1" applyProtection="1">
      <alignment horizontal="center" vertical="center"/>
    </xf>
    <xf numFmtId="49" fontId="81" fillId="71" borderId="0" xfId="21" applyNumberFormat="1" applyFont="1" applyFill="1" applyBorder="1" applyAlignment="1" applyProtection="1">
      <alignment horizontal="center" vertical="center"/>
    </xf>
    <xf numFmtId="49" fontId="81" fillId="71" borderId="0" xfId="21" applyNumberFormat="1" applyFont="1" applyFill="1" applyBorder="1" applyAlignment="1" applyProtection="1">
      <alignment horizontal="right" vertical="center"/>
    </xf>
    <xf numFmtId="49" fontId="81" fillId="71" borderId="0" xfId="21" applyNumberFormat="1" applyFont="1" applyFill="1" applyBorder="1" applyAlignment="1" applyProtection="1">
      <alignment horizontal="left" vertical="center"/>
    </xf>
    <xf numFmtId="49" fontId="81" fillId="71" borderId="0" xfId="21" applyNumberFormat="1" applyFont="1" applyFill="1" applyBorder="1" applyAlignment="1" applyProtection="1">
      <alignment horizontal="left" vertical="center" wrapText="1"/>
    </xf>
    <xf numFmtId="49" fontId="84" fillId="71" borderId="0" xfId="21" applyNumberFormat="1" applyFont="1" applyFill="1" applyBorder="1" applyAlignment="1" applyProtection="1">
      <alignment horizontal="center" vertical="center"/>
    </xf>
    <xf numFmtId="49" fontId="84" fillId="71" borderId="0" xfId="21" applyNumberFormat="1" applyFont="1" applyFill="1" applyBorder="1" applyAlignment="1" applyProtection="1">
      <alignment vertical="center"/>
    </xf>
    <xf numFmtId="49" fontId="84" fillId="71" borderId="0" xfId="21" applyNumberFormat="1" applyFont="1" applyFill="1" applyBorder="1" applyAlignment="1" applyProtection="1">
      <alignment vertical="center" wrapText="1"/>
    </xf>
    <xf numFmtId="171" fontId="78" fillId="71" borderId="48" xfId="21" applyNumberFormat="1" applyFont="1" applyFill="1" applyBorder="1" applyAlignment="1" applyProtection="1">
      <alignment horizontal="right" vertical="center"/>
    </xf>
    <xf numFmtId="49" fontId="84" fillId="71" borderId="0" xfId="22" applyNumberFormat="1" applyFont="1" applyFill="1" applyBorder="1" applyAlignment="1" applyProtection="1">
      <alignment horizontal="right" vertical="center"/>
    </xf>
    <xf numFmtId="49" fontId="78" fillId="71" borderId="0" xfId="21" applyNumberFormat="1" applyFont="1" applyFill="1" applyBorder="1" applyAlignment="1" applyProtection="1">
      <alignment vertical="center"/>
    </xf>
    <xf numFmtId="49" fontId="81" fillId="71" borderId="0" xfId="21" applyNumberFormat="1" applyFont="1" applyFill="1" applyBorder="1" applyAlignment="1" applyProtection="1">
      <alignment vertical="center"/>
    </xf>
    <xf numFmtId="49" fontId="78" fillId="71" borderId="0" xfId="21" applyNumberFormat="1" applyFont="1" applyFill="1" applyBorder="1" applyAlignment="1" applyProtection="1">
      <alignment vertical="center" wrapText="1"/>
    </xf>
    <xf numFmtId="3" fontId="78" fillId="71" borderId="48" xfId="21" applyNumberFormat="1" applyFont="1" applyFill="1" applyBorder="1" applyAlignment="1" applyProtection="1">
      <alignment horizontal="right" vertical="center"/>
    </xf>
    <xf numFmtId="49" fontId="81" fillId="71" borderId="0" xfId="21" applyNumberFormat="1" applyFont="1" applyFill="1" applyBorder="1" applyAlignment="1" applyProtection="1">
      <alignment vertical="center" wrapText="1"/>
    </xf>
    <xf numFmtId="49" fontId="84" fillId="71" borderId="0" xfId="21" applyNumberFormat="1" applyFont="1" applyFill="1" applyBorder="1" applyAlignment="1" applyProtection="1">
      <alignment horizontal="left" vertical="center"/>
    </xf>
    <xf numFmtId="49" fontId="81" fillId="71" borderId="47" xfId="21" applyNumberFormat="1" applyFont="1" applyFill="1" applyBorder="1" applyAlignment="1" applyProtection="1">
      <alignment horizontal="left" vertical="center"/>
    </xf>
    <xf numFmtId="171" fontId="78" fillId="73" borderId="40" xfId="22" applyFont="1" applyFill="1" applyBorder="1" applyAlignment="1" applyProtection="1">
      <alignment horizontal="right" vertical="center"/>
    </xf>
    <xf numFmtId="172" fontId="78" fillId="73" borderId="40" xfId="26" applyFont="1" applyFill="1" applyBorder="1" applyAlignment="1" applyProtection="1">
      <alignment horizontal="right" vertical="center"/>
    </xf>
    <xf numFmtId="171" fontId="81" fillId="71" borderId="0" xfId="21" applyNumberFormat="1" applyFont="1" applyFill="1" applyBorder="1" applyAlignment="1" applyProtection="1">
      <alignment vertical="center"/>
    </xf>
    <xf numFmtId="171" fontId="78" fillId="74" borderId="52" xfId="22" applyFont="1" applyFill="1" applyBorder="1" applyAlignment="1" applyProtection="1">
      <alignment horizontal="right" vertical="center"/>
    </xf>
    <xf numFmtId="172" fontId="78" fillId="74" borderId="52" xfId="26" applyFont="1" applyFill="1" applyBorder="1" applyAlignment="1" applyProtection="1">
      <alignment horizontal="right" vertical="center"/>
    </xf>
    <xf numFmtId="49" fontId="78" fillId="71" borderId="53" xfId="22" applyNumberFormat="1" applyFont="1" applyFill="1" applyBorder="1" applyAlignment="1" applyProtection="1">
      <alignment horizontal="left" vertical="center"/>
    </xf>
    <xf numFmtId="49" fontId="78" fillId="71" borderId="54" xfId="21" applyNumberFormat="1" applyFont="1" applyFill="1" applyBorder="1" applyAlignment="1" applyProtection="1">
      <alignment horizontal="center" vertical="center"/>
    </xf>
    <xf numFmtId="49" fontId="78" fillId="71" borderId="54" xfId="21" applyNumberFormat="1" applyFont="1" applyFill="1" applyBorder="1" applyAlignment="1" applyProtection="1">
      <alignment horizontal="left" vertical="center"/>
    </xf>
    <xf numFmtId="49" fontId="78" fillId="71" borderId="54" xfId="21" applyNumberFormat="1" applyFont="1" applyFill="1" applyBorder="1" applyAlignment="1" applyProtection="1">
      <alignment vertical="center"/>
    </xf>
    <xf numFmtId="49" fontId="78" fillId="71" borderId="54" xfId="21" applyNumberFormat="1" applyFont="1" applyFill="1" applyBorder="1" applyAlignment="1" applyProtection="1">
      <alignment vertical="center" wrapText="1"/>
    </xf>
    <xf numFmtId="171" fontId="78" fillId="71" borderId="55" xfId="21" applyNumberFormat="1" applyFont="1" applyFill="1" applyBorder="1" applyAlignment="1" applyProtection="1">
      <alignment vertical="center"/>
    </xf>
    <xf numFmtId="49" fontId="78" fillId="71" borderId="55" xfId="21" applyNumberFormat="1" applyFont="1" applyFill="1" applyBorder="1" applyAlignment="1" applyProtection="1">
      <alignment vertical="center"/>
    </xf>
    <xf numFmtId="172" fontId="78" fillId="71" borderId="56" xfId="24" applyNumberFormat="1" applyFont="1" applyFill="1" applyBorder="1" applyAlignment="1" applyProtection="1">
      <alignment horizontal="right" vertical="center"/>
    </xf>
    <xf numFmtId="171" fontId="78" fillId="71" borderId="9" xfId="21" applyNumberFormat="1" applyFont="1" applyFill="1" applyBorder="1" applyAlignment="1" applyProtection="1">
      <alignment vertical="center"/>
    </xf>
    <xf numFmtId="49" fontId="78" fillId="71" borderId="9" xfId="21" applyNumberFormat="1" applyFont="1" applyFill="1" applyBorder="1" applyAlignment="1" applyProtection="1">
      <alignment vertical="center"/>
    </xf>
    <xf numFmtId="171" fontId="81" fillId="71" borderId="9" xfId="22" applyFont="1" applyFill="1" applyBorder="1" applyAlignment="1" applyProtection="1">
      <alignment horizontal="right" vertical="center"/>
    </xf>
    <xf numFmtId="171" fontId="81" fillId="71" borderId="57" xfId="22" applyFont="1" applyFill="1" applyBorder="1" applyAlignment="1" applyProtection="1">
      <alignment horizontal="right" vertical="center"/>
    </xf>
    <xf numFmtId="171" fontId="81" fillId="71" borderId="58" xfId="21" applyNumberFormat="1" applyFont="1" applyFill="1" applyBorder="1" applyAlignment="1" applyProtection="1">
      <alignment vertical="center"/>
    </xf>
    <xf numFmtId="49" fontId="81" fillId="71" borderId="58" xfId="21" applyNumberFormat="1" applyFont="1" applyFill="1" applyBorder="1" applyAlignment="1" applyProtection="1">
      <alignment vertical="center"/>
    </xf>
    <xf numFmtId="171" fontId="81" fillId="71" borderId="58" xfId="22" applyFont="1" applyFill="1" applyBorder="1" applyAlignment="1" applyProtection="1">
      <alignment horizontal="left" vertical="center"/>
    </xf>
    <xf numFmtId="49" fontId="81" fillId="71" borderId="58" xfId="22" applyNumberFormat="1" applyFont="1" applyFill="1" applyBorder="1" applyAlignment="1" applyProtection="1">
      <alignment horizontal="left" vertical="center"/>
    </xf>
    <xf numFmtId="171" fontId="78" fillId="71" borderId="59" xfId="21" applyNumberFormat="1" applyFont="1" applyFill="1" applyBorder="1" applyAlignment="1" applyProtection="1">
      <alignment vertical="center"/>
    </xf>
    <xf numFmtId="49" fontId="78" fillId="71" borderId="59" xfId="21" applyNumberFormat="1" applyFont="1" applyFill="1" applyBorder="1" applyAlignment="1" applyProtection="1">
      <alignment vertical="center"/>
    </xf>
    <xf numFmtId="171" fontId="78" fillId="71" borderId="61" xfId="22" applyFont="1" applyFill="1" applyBorder="1" applyAlignment="1" applyProtection="1">
      <alignment horizontal="right" vertical="center"/>
    </xf>
    <xf numFmtId="171" fontId="78" fillId="71" borderId="54" xfId="21" applyNumberFormat="1" applyFont="1" applyFill="1" applyBorder="1" applyAlignment="1" applyProtection="1">
      <alignment vertical="center"/>
    </xf>
    <xf numFmtId="171" fontId="78" fillId="71" borderId="61" xfId="21" applyNumberFormat="1" applyFont="1" applyFill="1" applyBorder="1" applyAlignment="1" applyProtection="1">
      <alignment horizontal="right" vertical="center"/>
    </xf>
    <xf numFmtId="171" fontId="81" fillId="71" borderId="61" xfId="22" applyFont="1" applyFill="1" applyBorder="1" applyAlignment="1" applyProtection="1">
      <alignment horizontal="right" vertical="center"/>
    </xf>
    <xf numFmtId="171" fontId="81" fillId="71" borderId="59" xfId="21" applyNumberFormat="1" applyFont="1" applyFill="1" applyBorder="1" applyAlignment="1" applyProtection="1">
      <alignment vertical="center"/>
    </xf>
    <xf numFmtId="171" fontId="78" fillId="71" borderId="60" xfId="21" applyNumberFormat="1" applyFont="1" applyFill="1" applyBorder="1" applyAlignment="1" applyProtection="1">
      <alignment vertical="center"/>
    </xf>
    <xf numFmtId="49" fontId="78" fillId="71" borderId="60" xfId="21" applyNumberFormat="1" applyFont="1" applyFill="1" applyBorder="1" applyAlignment="1" applyProtection="1">
      <alignment vertical="center"/>
    </xf>
    <xf numFmtId="171" fontId="78" fillId="71" borderId="62" xfId="21" applyNumberFormat="1" applyFont="1" applyFill="1" applyBorder="1" applyAlignment="1" applyProtection="1">
      <alignment horizontal="right" vertical="center"/>
    </xf>
    <xf numFmtId="49" fontId="78" fillId="71" borderId="63" xfId="21" applyNumberFormat="1" applyFont="1" applyFill="1" applyBorder="1" applyAlignment="1" applyProtection="1">
      <alignment horizontal="center" vertical="center"/>
    </xf>
    <xf numFmtId="49" fontId="78" fillId="71" borderId="64" xfId="21" applyNumberFormat="1" applyFont="1" applyFill="1" applyBorder="1" applyAlignment="1" applyProtection="1">
      <alignment horizontal="center" vertical="center"/>
    </xf>
    <xf numFmtId="49" fontId="81" fillId="71" borderId="64" xfId="21" applyNumberFormat="1" applyFont="1" applyFill="1" applyBorder="1" applyAlignment="1" applyProtection="1">
      <alignment horizontal="center" vertical="center"/>
    </xf>
    <xf numFmtId="49" fontId="81" fillId="71" borderId="64" xfId="21" applyNumberFormat="1" applyFont="1" applyFill="1" applyBorder="1" applyAlignment="1" applyProtection="1">
      <alignment vertical="center"/>
    </xf>
    <xf numFmtId="49" fontId="81" fillId="71" borderId="64" xfId="21" applyNumberFormat="1" applyFont="1" applyFill="1" applyBorder="1" applyAlignment="1" applyProtection="1">
      <alignment vertical="center" wrapText="1"/>
    </xf>
    <xf numFmtId="172" fontId="81" fillId="71" borderId="65" xfId="24" applyNumberFormat="1" applyFont="1" applyFill="1" applyBorder="1" applyAlignment="1" applyProtection="1">
      <alignment horizontal="right" vertical="center"/>
    </xf>
    <xf numFmtId="0" fontId="19" fillId="0" borderId="0" xfId="0" applyFont="1"/>
    <xf numFmtId="0" fontId="19" fillId="0" borderId="0" xfId="0" applyFont="1" applyAlignment="1">
      <alignment wrapText="1"/>
    </xf>
    <xf numFmtId="4" fontId="19" fillId="0" borderId="0" xfId="0" applyNumberFormat="1" applyFont="1"/>
    <xf numFmtId="0" fontId="0" fillId="0" borderId="0" xfId="0" applyAlignment="1">
      <alignment wrapText="1"/>
    </xf>
    <xf numFmtId="0" fontId="88" fillId="71" borderId="0" xfId="27" applyNumberFormat="1" applyFont="1" applyFill="1" applyBorder="1" applyAlignment="1" applyProtection="1">
      <alignment horizontal="center" vertical="center"/>
    </xf>
    <xf numFmtId="0" fontId="89" fillId="71" borderId="0" xfId="27" applyNumberFormat="1" applyFont="1" applyFill="1" applyBorder="1" applyProtection="1"/>
    <xf numFmtId="4" fontId="91" fillId="71" borderId="40" xfId="27" applyNumberFormat="1" applyFont="1" applyFill="1" applyBorder="1" applyAlignment="1" applyProtection="1">
      <alignment horizontal="center" vertical="center" wrapText="1"/>
    </xf>
    <xf numFmtId="175" fontId="90" fillId="71" borderId="45" xfId="27" applyNumberFormat="1" applyFont="1" applyFill="1" applyBorder="1" applyAlignment="1" applyProtection="1">
      <alignment horizontal="left" vertical="center"/>
    </xf>
    <xf numFmtId="175" fontId="90" fillId="71" borderId="46" xfId="27" applyNumberFormat="1" applyFont="1" applyFill="1" applyBorder="1" applyAlignment="1" applyProtection="1">
      <alignment horizontal="left" vertical="center"/>
    </xf>
    <xf numFmtId="176" fontId="90" fillId="71" borderId="46" xfId="27" applyNumberFormat="1" applyFont="1" applyFill="1" applyBorder="1" applyAlignment="1" applyProtection="1">
      <alignment vertical="center"/>
    </xf>
    <xf numFmtId="176" fontId="90" fillId="71" borderId="66" xfId="27" applyNumberFormat="1" applyFont="1" applyFill="1" applyBorder="1" applyAlignment="1" applyProtection="1">
      <alignment vertical="center"/>
    </xf>
    <xf numFmtId="174" fontId="90" fillId="71" borderId="43" xfId="27" applyNumberFormat="1" applyFont="1" applyFill="1" applyBorder="1" applyAlignment="1" applyProtection="1">
      <alignment horizontal="right" vertical="center"/>
    </xf>
    <xf numFmtId="175" fontId="90" fillId="71" borderId="47" xfId="27" applyNumberFormat="1" applyFont="1" applyFill="1" applyBorder="1" applyAlignment="1" applyProtection="1">
      <alignment horizontal="left" vertical="center"/>
    </xf>
    <xf numFmtId="49" fontId="90" fillId="71" borderId="0" xfId="27" applyNumberFormat="1" applyFont="1" applyFill="1" applyBorder="1" applyAlignment="1" applyProtection="1">
      <alignment horizontal="left" vertical="center"/>
    </xf>
    <xf numFmtId="176" fontId="90" fillId="71" borderId="0" xfId="27" applyNumberFormat="1" applyFont="1" applyFill="1" applyBorder="1" applyAlignment="1" applyProtection="1">
      <alignment vertical="center"/>
    </xf>
    <xf numFmtId="176" fontId="90" fillId="71" borderId="49" xfId="27" applyNumberFormat="1" applyFont="1" applyFill="1" applyBorder="1" applyAlignment="1" applyProtection="1">
      <alignment vertical="center"/>
    </xf>
    <xf numFmtId="174" fontId="90" fillId="71" borderId="48" xfId="27" applyNumberFormat="1" applyFont="1" applyFill="1" applyBorder="1" applyAlignment="1" applyProtection="1">
      <alignment horizontal="right" vertical="center"/>
    </xf>
    <xf numFmtId="175" fontId="92" fillId="71" borderId="47" xfId="27" applyNumberFormat="1" applyFont="1" applyFill="1" applyBorder="1" applyAlignment="1" applyProtection="1">
      <alignment horizontal="left" vertical="center"/>
    </xf>
    <xf numFmtId="0" fontId="93" fillId="0" borderId="0" xfId="0" applyFont="1"/>
    <xf numFmtId="49" fontId="92" fillId="71" borderId="0" xfId="27" applyNumberFormat="1" applyFont="1" applyFill="1" applyBorder="1" applyAlignment="1" applyProtection="1">
      <alignment vertical="center"/>
    </xf>
    <xf numFmtId="176" fontId="92" fillId="71" borderId="0" xfId="27" applyNumberFormat="1" applyFont="1" applyFill="1" applyBorder="1" applyAlignment="1" applyProtection="1">
      <alignment vertical="center"/>
    </xf>
    <xf numFmtId="176" fontId="92" fillId="71" borderId="49" xfId="27" applyNumberFormat="1" applyFont="1" applyFill="1" applyBorder="1" applyAlignment="1" applyProtection="1">
      <alignment vertical="center"/>
    </xf>
    <xf numFmtId="49" fontId="92" fillId="71" borderId="0" xfId="27" applyNumberFormat="1" applyFont="1" applyFill="1" applyBorder="1" applyAlignment="1" applyProtection="1">
      <alignment horizontal="left" vertical="center"/>
    </xf>
    <xf numFmtId="0" fontId="92" fillId="71" borderId="47" xfId="27" applyNumberFormat="1" applyFont="1" applyFill="1" applyBorder="1" applyAlignment="1" applyProtection="1">
      <alignment horizontal="center" vertical="center"/>
    </xf>
    <xf numFmtId="0" fontId="92" fillId="71" borderId="0" xfId="27" applyNumberFormat="1" applyFont="1" applyFill="1" applyBorder="1" applyAlignment="1" applyProtection="1">
      <alignment horizontal="right" vertical="center"/>
    </xf>
    <xf numFmtId="176" fontId="94" fillId="71" borderId="0" xfId="27" applyNumberFormat="1" applyFont="1" applyFill="1" applyBorder="1" applyAlignment="1" applyProtection="1">
      <alignment vertical="center"/>
    </xf>
    <xf numFmtId="176" fontId="94" fillId="71" borderId="49" xfId="27" applyNumberFormat="1" applyFont="1" applyFill="1" applyBorder="1" applyAlignment="1" applyProtection="1">
      <alignment vertical="center"/>
    </xf>
    <xf numFmtId="176" fontId="92" fillId="71" borderId="64" xfId="27" applyNumberFormat="1" applyFont="1" applyFill="1" applyBorder="1" applyAlignment="1" applyProtection="1">
      <alignment vertical="center"/>
    </xf>
    <xf numFmtId="176" fontId="92" fillId="71" borderId="67" xfId="27" applyNumberFormat="1" applyFont="1" applyFill="1" applyBorder="1" applyAlignment="1" applyProtection="1">
      <alignment vertical="center"/>
    </xf>
    <xf numFmtId="49" fontId="92" fillId="71" borderId="0" xfId="27" applyNumberFormat="1" applyFont="1" applyFill="1" applyBorder="1" applyAlignment="1" applyProtection="1">
      <alignment horizontal="right" vertical="center"/>
    </xf>
    <xf numFmtId="176" fontId="90" fillId="71" borderId="40" xfId="27" applyNumberFormat="1" applyFont="1" applyFill="1" applyBorder="1" applyAlignment="1" applyProtection="1">
      <alignment vertical="center"/>
    </xf>
    <xf numFmtId="176" fontId="90" fillId="71" borderId="48" xfId="27" applyNumberFormat="1" applyFont="1" applyFill="1" applyBorder="1" applyAlignment="1" applyProtection="1">
      <alignment vertical="center"/>
    </xf>
    <xf numFmtId="176" fontId="92" fillId="71" borderId="48" xfId="27" applyNumberFormat="1" applyFont="1" applyFill="1" applyBorder="1" applyAlignment="1" applyProtection="1">
      <alignment vertical="center"/>
    </xf>
    <xf numFmtId="176" fontId="94" fillId="71" borderId="48" xfId="27" applyNumberFormat="1" applyFont="1" applyFill="1" applyBorder="1" applyAlignment="1" applyProtection="1">
      <alignment vertical="center"/>
    </xf>
    <xf numFmtId="176" fontId="94" fillId="71" borderId="65" xfId="27" applyNumberFormat="1" applyFont="1" applyFill="1" applyBorder="1" applyAlignment="1" applyProtection="1">
      <alignment vertical="center"/>
    </xf>
    <xf numFmtId="176" fontId="94" fillId="71" borderId="67" xfId="27" applyNumberFormat="1" applyFont="1" applyFill="1" applyBorder="1" applyAlignment="1" applyProtection="1">
      <alignment vertical="center"/>
    </xf>
    <xf numFmtId="49" fontId="92" fillId="71" borderId="49" xfId="27" applyNumberFormat="1" applyFont="1" applyFill="1" applyBorder="1" applyAlignment="1" applyProtection="1">
      <alignment horizontal="left" vertical="center"/>
    </xf>
    <xf numFmtId="49" fontId="92" fillId="71" borderId="64" xfId="27" applyNumberFormat="1" applyFont="1" applyFill="1" applyBorder="1" applyAlignment="1" applyProtection="1">
      <alignment vertical="center"/>
    </xf>
    <xf numFmtId="49" fontId="92" fillId="71" borderId="67" xfId="27" applyNumberFormat="1" applyFont="1" applyFill="1" applyBorder="1" applyAlignment="1" applyProtection="1">
      <alignment vertical="center"/>
    </xf>
    <xf numFmtId="175" fontId="96" fillId="71" borderId="42" xfId="27" applyNumberFormat="1" applyFont="1" applyFill="1" applyBorder="1" applyAlignment="1" applyProtection="1">
      <alignment horizontal="left" vertical="center"/>
    </xf>
    <xf numFmtId="175" fontId="90" fillId="71" borderId="41" xfId="27" applyNumberFormat="1" applyFont="1" applyFill="1" applyBorder="1" applyAlignment="1" applyProtection="1">
      <alignment horizontal="left" vertical="center"/>
    </xf>
    <xf numFmtId="49" fontId="90" fillId="71" borderId="41" xfId="27" applyNumberFormat="1" applyFont="1" applyFill="1" applyBorder="1" applyAlignment="1" applyProtection="1">
      <alignment horizontal="left" vertical="center"/>
    </xf>
    <xf numFmtId="176" fontId="90" fillId="71" borderId="41" xfId="27" applyNumberFormat="1" applyFont="1" applyFill="1" applyBorder="1" applyAlignment="1" applyProtection="1">
      <alignment vertical="center"/>
    </xf>
    <xf numFmtId="176" fontId="90" fillId="71" borderId="68" xfId="27" applyNumberFormat="1" applyFont="1" applyFill="1" applyBorder="1" applyAlignment="1" applyProtection="1">
      <alignment vertical="center"/>
    </xf>
    <xf numFmtId="175" fontId="92" fillId="71" borderId="0" xfId="27" applyNumberFormat="1" applyFont="1" applyFill="1" applyBorder="1" applyAlignment="1" applyProtection="1">
      <alignment horizontal="right" vertical="center"/>
    </xf>
    <xf numFmtId="0" fontId="90" fillId="71" borderId="0" xfId="27" applyNumberFormat="1" applyFont="1" applyFill="1" applyBorder="1" applyAlignment="1" applyProtection="1">
      <alignment horizontal="left" vertical="center"/>
    </xf>
    <xf numFmtId="49" fontId="90" fillId="71" borderId="0" xfId="27" applyNumberFormat="1" applyFont="1" applyFill="1" applyBorder="1" applyAlignment="1" applyProtection="1">
      <alignment horizontal="center" vertical="center"/>
    </xf>
    <xf numFmtId="176" fontId="90" fillId="71" borderId="40" xfId="27" applyNumberFormat="1" applyFont="1" applyFill="1" applyBorder="1" applyAlignment="1" applyProtection="1">
      <alignment horizontal="center" vertical="center"/>
    </xf>
    <xf numFmtId="3" fontId="97" fillId="72" borderId="48" xfId="27" applyNumberFormat="1" applyFont="1" applyFill="1" applyBorder="1" applyAlignment="1" applyProtection="1">
      <alignment vertical="center"/>
    </xf>
    <xf numFmtId="3" fontId="98" fillId="72" borderId="48" xfId="27" applyNumberFormat="1" applyFont="1" applyFill="1" applyBorder="1" applyAlignment="1" applyProtection="1">
      <alignment vertical="center"/>
    </xf>
    <xf numFmtId="3" fontId="99" fillId="72" borderId="48" xfId="27" applyNumberFormat="1" applyFont="1" applyFill="1" applyBorder="1" applyAlignment="1" applyProtection="1">
      <alignment vertical="center"/>
    </xf>
    <xf numFmtId="3" fontId="100" fillId="72" borderId="48" xfId="27" applyNumberFormat="1" applyFont="1" applyFill="1" applyBorder="1" applyAlignment="1" applyProtection="1">
      <alignment vertical="center"/>
    </xf>
    <xf numFmtId="3" fontId="98" fillId="72" borderId="65" xfId="27" applyNumberFormat="1" applyFont="1" applyFill="1" applyBorder="1" applyAlignment="1" applyProtection="1">
      <alignment vertical="center"/>
    </xf>
    <xf numFmtId="175" fontId="90" fillId="71" borderId="0" xfId="27" applyNumberFormat="1" applyFont="1" applyFill="1" applyBorder="1" applyAlignment="1" applyProtection="1">
      <alignment horizontal="left" vertical="center"/>
    </xf>
    <xf numFmtId="176" fontId="97" fillId="72" borderId="46" xfId="27" applyNumberFormat="1" applyFont="1" applyFill="1" applyBorder="1" applyAlignment="1" applyProtection="1">
      <alignment vertical="center"/>
    </xf>
    <xf numFmtId="176" fontId="97" fillId="72" borderId="66" xfId="27" applyNumberFormat="1" applyFont="1" applyFill="1" applyBorder="1" applyAlignment="1" applyProtection="1">
      <alignment vertical="center"/>
    </xf>
    <xf numFmtId="176" fontId="97" fillId="72" borderId="49" xfId="27" applyNumberFormat="1" applyFont="1" applyFill="1" applyBorder="1" applyAlignment="1" applyProtection="1">
      <alignment vertical="center"/>
    </xf>
    <xf numFmtId="176" fontId="98" fillId="72" borderId="0" xfId="27" applyNumberFormat="1" applyFont="1" applyFill="1" applyBorder="1" applyAlignment="1" applyProtection="1">
      <alignment vertical="center"/>
    </xf>
    <xf numFmtId="176" fontId="98" fillId="72" borderId="49" xfId="27" applyNumberFormat="1" applyFont="1" applyFill="1" applyBorder="1" applyAlignment="1" applyProtection="1">
      <alignment vertical="center"/>
    </xf>
    <xf numFmtId="176" fontId="97" fillId="72" borderId="0" xfId="27" applyNumberFormat="1" applyFont="1" applyFill="1" applyBorder="1" applyAlignment="1" applyProtection="1">
      <alignment vertical="center"/>
    </xf>
    <xf numFmtId="176" fontId="90" fillId="72" borderId="41" xfId="27" applyNumberFormat="1" applyFont="1" applyFill="1" applyBorder="1" applyAlignment="1" applyProtection="1">
      <alignment vertical="center"/>
    </xf>
    <xf numFmtId="176" fontId="90" fillId="72" borderId="68" xfId="27" applyNumberFormat="1" applyFont="1" applyFill="1" applyBorder="1" applyAlignment="1" applyProtection="1">
      <alignment vertical="center"/>
    </xf>
    <xf numFmtId="176" fontId="92" fillId="72" borderId="0" xfId="27" applyNumberFormat="1" applyFont="1" applyFill="1" applyBorder="1" applyAlignment="1" applyProtection="1">
      <alignment vertical="center"/>
    </xf>
    <xf numFmtId="176" fontId="92" fillId="72" borderId="49" xfId="27" applyNumberFormat="1" applyFont="1" applyFill="1" applyBorder="1" applyAlignment="1" applyProtection="1">
      <alignment vertical="center"/>
    </xf>
    <xf numFmtId="176" fontId="90" fillId="72" borderId="0" xfId="27" applyNumberFormat="1" applyFont="1" applyFill="1" applyBorder="1" applyAlignment="1" applyProtection="1">
      <alignment vertical="center"/>
    </xf>
    <xf numFmtId="176" fontId="90" fillId="72" borderId="49" xfId="27" applyNumberFormat="1" applyFont="1" applyFill="1" applyBorder="1" applyAlignment="1" applyProtection="1">
      <alignment vertical="center"/>
    </xf>
    <xf numFmtId="0" fontId="104" fillId="71" borderId="47" xfId="27" applyNumberFormat="1" applyFont="1" applyFill="1" applyBorder="1" applyAlignment="1" applyProtection="1">
      <alignment horizontal="left" vertical="center"/>
    </xf>
    <xf numFmtId="49" fontId="92" fillId="71" borderId="0" xfId="27" applyNumberFormat="1" applyFont="1" applyFill="1" applyBorder="1" applyAlignment="1" applyProtection="1">
      <alignment horizontal="center" vertical="center"/>
    </xf>
    <xf numFmtId="49" fontId="90" fillId="71" borderId="0" xfId="27" applyNumberFormat="1" applyFont="1" applyFill="1" applyBorder="1" applyAlignment="1" applyProtection="1">
      <alignment vertical="center"/>
    </xf>
    <xf numFmtId="174" fontId="90" fillId="71" borderId="10" xfId="27" applyNumberFormat="1" applyFont="1" applyFill="1" applyBorder="1" applyAlignment="1" applyProtection="1">
      <alignment horizontal="right" vertical="center"/>
    </xf>
    <xf numFmtId="0" fontId="90" fillId="71" borderId="0" xfId="27" applyNumberFormat="1" applyFont="1" applyFill="1" applyBorder="1" applyAlignment="1" applyProtection="1">
      <alignment horizontal="center" vertical="center"/>
    </xf>
    <xf numFmtId="177" fontId="92" fillId="71" borderId="0" xfId="27" applyNumberFormat="1" applyFont="1" applyFill="1" applyBorder="1" applyProtection="1"/>
    <xf numFmtId="0" fontId="7" fillId="0" borderId="0" xfId="0" applyFont="1"/>
    <xf numFmtId="0" fontId="108" fillId="71" borderId="0" xfId="27" applyNumberFormat="1" applyFont="1" applyFill="1" applyBorder="1" applyAlignment="1" applyProtection="1">
      <alignment horizontal="center" vertical="center"/>
    </xf>
    <xf numFmtId="0" fontId="109" fillId="71" borderId="0" xfId="27" applyNumberFormat="1" applyFont="1" applyFill="1" applyBorder="1" applyAlignment="1" applyProtection="1">
      <alignment horizontal="center" vertical="center"/>
    </xf>
    <xf numFmtId="3" fontId="114" fillId="71" borderId="69" xfId="27" applyNumberFormat="1" applyFont="1" applyFill="1" applyBorder="1" applyAlignment="1" applyProtection="1">
      <alignment horizontal="center" vertical="center"/>
    </xf>
    <xf numFmtId="3" fontId="114" fillId="71" borderId="61" xfId="27" applyNumberFormat="1" applyFont="1" applyFill="1" applyBorder="1" applyAlignment="1" applyProtection="1">
      <alignment horizontal="center" vertical="center"/>
    </xf>
    <xf numFmtId="3" fontId="114" fillId="71" borderId="49" xfId="27" applyNumberFormat="1" applyFont="1" applyFill="1" applyBorder="1" applyAlignment="1" applyProtection="1">
      <alignment horizontal="center" vertical="center"/>
    </xf>
    <xf numFmtId="43" fontId="0" fillId="0" borderId="0" xfId="3" applyFont="1" applyBorder="1"/>
    <xf numFmtId="176" fontId="115" fillId="71" borderId="0" xfId="27" applyNumberFormat="1" applyFont="1" applyFill="1" applyBorder="1" applyAlignment="1" applyProtection="1">
      <alignment vertical="center"/>
    </xf>
    <xf numFmtId="3" fontId="115" fillId="71" borderId="61" xfId="27" applyNumberFormat="1" applyFont="1" applyFill="1" applyBorder="1" applyAlignment="1" applyProtection="1">
      <alignment horizontal="center" vertical="center"/>
    </xf>
    <xf numFmtId="3" fontId="115" fillId="71" borderId="49" xfId="27" applyNumberFormat="1" applyFont="1" applyFill="1" applyBorder="1" applyAlignment="1" applyProtection="1">
      <alignment horizontal="center" vertical="center"/>
    </xf>
    <xf numFmtId="3" fontId="116" fillId="71" borderId="61" xfId="27" applyNumberFormat="1" applyFont="1" applyFill="1" applyBorder="1" applyAlignment="1" applyProtection="1">
      <alignment horizontal="center" vertical="center"/>
    </xf>
    <xf numFmtId="176" fontId="114" fillId="71" borderId="41" xfId="27" applyNumberFormat="1" applyFont="1" applyFill="1" applyBorder="1" applyAlignment="1" applyProtection="1">
      <alignment vertical="center"/>
    </xf>
    <xf numFmtId="3" fontId="114" fillId="71" borderId="71" xfId="27" applyNumberFormat="1" applyFont="1" applyFill="1" applyBorder="1" applyAlignment="1" applyProtection="1">
      <alignment horizontal="center" vertical="center"/>
    </xf>
    <xf numFmtId="4" fontId="114" fillId="71" borderId="61" xfId="27" applyNumberFormat="1" applyFont="1" applyFill="1" applyBorder="1" applyAlignment="1" applyProtection="1">
      <alignment horizontal="center" vertical="center"/>
    </xf>
    <xf numFmtId="3" fontId="114" fillId="71" borderId="10" xfId="27" applyNumberFormat="1" applyFont="1" applyFill="1" applyBorder="1" applyAlignment="1" applyProtection="1">
      <alignment horizontal="center" vertical="center"/>
    </xf>
    <xf numFmtId="3" fontId="115" fillId="71" borderId="59" xfId="27" applyNumberFormat="1" applyFont="1" applyFill="1" applyBorder="1" applyAlignment="1" applyProtection="1">
      <alignment horizontal="center" vertical="center"/>
    </xf>
    <xf numFmtId="3" fontId="115" fillId="71" borderId="6" xfId="27" applyNumberFormat="1" applyFont="1" applyFill="1" applyBorder="1" applyAlignment="1" applyProtection="1">
      <alignment horizontal="center" vertical="center"/>
    </xf>
    <xf numFmtId="3" fontId="114" fillId="71" borderId="59" xfId="27" applyNumberFormat="1" applyFont="1" applyFill="1" applyBorder="1" applyAlignment="1" applyProtection="1">
      <alignment horizontal="center" vertical="center"/>
    </xf>
    <xf numFmtId="3" fontId="114" fillId="71" borderId="9" xfId="27" applyNumberFormat="1" applyFont="1" applyFill="1" applyBorder="1" applyAlignment="1" applyProtection="1">
      <alignment horizontal="center" vertical="center"/>
    </xf>
    <xf numFmtId="178" fontId="114" fillId="71" borderId="59" xfId="27" applyNumberFormat="1" applyFont="1" applyFill="1" applyBorder="1" applyAlignment="1" applyProtection="1">
      <alignment vertical="center"/>
    </xf>
    <xf numFmtId="3" fontId="118" fillId="71" borderId="0" xfId="27" applyNumberFormat="1" applyFont="1" applyFill="1" applyBorder="1" applyAlignment="1" applyProtection="1">
      <alignment vertical="center"/>
    </xf>
    <xf numFmtId="3" fontId="114" fillId="71" borderId="0" xfId="27" applyNumberFormat="1" applyFont="1" applyFill="1" applyBorder="1" applyAlignment="1" applyProtection="1">
      <alignment vertical="center"/>
    </xf>
    <xf numFmtId="3" fontId="114" fillId="71" borderId="9" xfId="27" applyNumberFormat="1" applyFont="1" applyFill="1" applyBorder="1" applyAlignment="1" applyProtection="1">
      <alignment vertical="center"/>
    </xf>
    <xf numFmtId="176" fontId="115" fillId="71" borderId="73" xfId="27" applyNumberFormat="1" applyFont="1" applyFill="1" applyBorder="1" applyAlignment="1" applyProtection="1">
      <alignment vertical="center"/>
    </xf>
    <xf numFmtId="3" fontId="114" fillId="71" borderId="40" xfId="27" applyNumberFormat="1" applyFont="1" applyFill="1" applyBorder="1" applyAlignment="1" applyProtection="1">
      <alignment vertical="center"/>
    </xf>
    <xf numFmtId="176" fontId="114" fillId="71" borderId="63" xfId="27" applyNumberFormat="1" applyFont="1" applyFill="1" applyBorder="1" applyAlignment="1" applyProtection="1">
      <alignment vertical="center"/>
    </xf>
    <xf numFmtId="176" fontId="115" fillId="71" borderId="46" xfId="27" applyNumberFormat="1" applyFont="1" applyFill="1" applyBorder="1" applyAlignment="1" applyProtection="1">
      <alignment vertical="center"/>
    </xf>
    <xf numFmtId="176" fontId="114" fillId="71" borderId="0" xfId="27" applyNumberFormat="1" applyFont="1" applyFill="1" applyBorder="1" applyAlignment="1" applyProtection="1">
      <alignment vertical="center"/>
    </xf>
    <xf numFmtId="3" fontId="115" fillId="71" borderId="9" xfId="27" applyNumberFormat="1" applyFont="1" applyFill="1" applyBorder="1" applyAlignment="1" applyProtection="1">
      <alignment horizontal="center" vertical="center"/>
    </xf>
    <xf numFmtId="3" fontId="7" fillId="0" borderId="0" xfId="0" applyNumberFormat="1" applyFont="1"/>
    <xf numFmtId="0" fontId="92" fillId="72" borderId="0" xfId="27" applyNumberFormat="1" applyFont="1" applyFill="1" applyBorder="1" applyAlignment="1" applyProtection="1">
      <alignment horizontal="right" vertical="center"/>
    </xf>
    <xf numFmtId="49" fontId="95" fillId="72" borderId="0" xfId="27" applyNumberFormat="1" applyFont="1" applyFill="1" applyBorder="1" applyAlignment="1" applyProtection="1">
      <alignment horizontal="left" vertical="center"/>
    </xf>
    <xf numFmtId="49" fontId="92" fillId="72" borderId="0" xfId="27" applyNumberFormat="1" applyFont="1" applyFill="1" applyBorder="1" applyAlignment="1" applyProtection="1">
      <alignment horizontal="left" vertical="center"/>
    </xf>
    <xf numFmtId="49" fontId="94" fillId="72" borderId="0" xfId="27" applyNumberFormat="1" applyFont="1" applyFill="1" applyBorder="1" applyAlignment="1" applyProtection="1">
      <alignment horizontal="left" vertical="center"/>
    </xf>
    <xf numFmtId="49" fontId="92" fillId="72" borderId="0" xfId="27" applyNumberFormat="1" applyFont="1" applyFill="1" applyBorder="1" applyAlignment="1" applyProtection="1">
      <alignment horizontal="right" vertical="center"/>
    </xf>
    <xf numFmtId="0" fontId="93" fillId="2" borderId="0" xfId="0" applyFont="1" applyFill="1"/>
    <xf numFmtId="175" fontId="92" fillId="72" borderId="0" xfId="27" applyNumberFormat="1" applyFont="1" applyFill="1" applyBorder="1" applyAlignment="1" applyProtection="1">
      <alignment horizontal="right" vertical="center"/>
    </xf>
    <xf numFmtId="49" fontId="92" fillId="72" borderId="0" xfId="27" applyNumberFormat="1" applyFont="1" applyFill="1" applyBorder="1" applyAlignment="1" applyProtection="1">
      <alignment vertical="center" wrapText="1"/>
    </xf>
    <xf numFmtId="175" fontId="90" fillId="72" borderId="0" xfId="27" applyNumberFormat="1" applyFont="1" applyFill="1" applyBorder="1" applyAlignment="1" applyProtection="1">
      <alignment horizontal="left" vertical="center"/>
    </xf>
    <xf numFmtId="49" fontId="90" fillId="72" borderId="0" xfId="27" applyNumberFormat="1" applyFont="1" applyFill="1" applyBorder="1" applyAlignment="1" applyProtection="1">
      <alignment horizontal="left" vertical="center"/>
    </xf>
    <xf numFmtId="49" fontId="92" fillId="72" borderId="0" xfId="27" applyNumberFormat="1" applyFont="1" applyFill="1" applyBorder="1" applyAlignment="1" applyProtection="1">
      <alignment vertical="center"/>
    </xf>
    <xf numFmtId="174" fontId="114" fillId="72" borderId="48" xfId="20" applyNumberFormat="1" applyFont="1" applyFill="1" applyBorder="1" applyAlignment="1" applyProtection="1">
      <alignment horizontal="center" vertical="center"/>
    </xf>
    <xf numFmtId="0" fontId="0" fillId="2" borderId="0" xfId="0" applyFill="1"/>
    <xf numFmtId="3" fontId="114" fillId="72" borderId="61" xfId="27" applyNumberFormat="1" applyFont="1" applyFill="1" applyBorder="1" applyAlignment="1" applyProtection="1">
      <alignment horizontal="center" vertical="center"/>
    </xf>
    <xf numFmtId="3" fontId="114" fillId="72" borderId="71" xfId="27" applyNumberFormat="1" applyFont="1" applyFill="1" applyBorder="1" applyAlignment="1" applyProtection="1">
      <alignment horizontal="center" vertical="center"/>
    </xf>
    <xf numFmtId="164" fontId="88" fillId="71" borderId="0" xfId="3" applyNumberFormat="1" applyFont="1" applyFill="1" applyBorder="1" applyAlignment="1" applyProtection="1">
      <alignment horizontal="center" vertical="center"/>
    </xf>
    <xf numFmtId="164" fontId="90" fillId="71" borderId="66" xfId="3" applyNumberFormat="1" applyFont="1" applyFill="1" applyBorder="1" applyAlignment="1" applyProtection="1">
      <alignment vertical="center"/>
    </xf>
    <xf numFmtId="164" fontId="90" fillId="71" borderId="49" xfId="3" applyNumberFormat="1" applyFont="1" applyFill="1" applyBorder="1" applyAlignment="1" applyProtection="1">
      <alignment vertical="center"/>
    </xf>
    <xf numFmtId="164" fontId="92" fillId="71" borderId="49" xfId="3" applyNumberFormat="1" applyFont="1" applyFill="1" applyBorder="1" applyAlignment="1" applyProtection="1">
      <alignment vertical="center"/>
    </xf>
    <xf numFmtId="164" fontId="94" fillId="71" borderId="49" xfId="3" applyNumberFormat="1" applyFont="1" applyFill="1" applyBorder="1" applyAlignment="1" applyProtection="1">
      <alignment vertical="center"/>
    </xf>
    <xf numFmtId="164" fontId="90" fillId="71" borderId="48" xfId="3" applyNumberFormat="1" applyFont="1" applyFill="1" applyBorder="1" applyAlignment="1" applyProtection="1">
      <alignment vertical="center"/>
    </xf>
    <xf numFmtId="164" fontId="92" fillId="71" borderId="48" xfId="3" applyNumberFormat="1" applyFont="1" applyFill="1" applyBorder="1" applyAlignment="1" applyProtection="1">
      <alignment vertical="center"/>
    </xf>
    <xf numFmtId="164" fontId="92" fillId="71" borderId="49" xfId="3" applyNumberFormat="1" applyFont="1" applyFill="1" applyBorder="1" applyAlignment="1" applyProtection="1">
      <alignment horizontal="right" vertical="center"/>
    </xf>
    <xf numFmtId="164" fontId="90" fillId="71" borderId="68" xfId="3" applyNumberFormat="1" applyFont="1" applyFill="1" applyBorder="1" applyAlignment="1" applyProtection="1">
      <alignment vertical="center"/>
    </xf>
    <xf numFmtId="164" fontId="97" fillId="71" borderId="49" xfId="3" applyNumberFormat="1" applyFont="1" applyFill="1" applyBorder="1" applyAlignment="1" applyProtection="1">
      <alignment vertical="center"/>
    </xf>
    <xf numFmtId="164" fontId="90" fillId="71" borderId="48" xfId="3" applyNumberFormat="1" applyFont="1" applyFill="1" applyBorder="1" applyAlignment="1" applyProtection="1">
      <alignment horizontal="center" vertical="center"/>
    </xf>
    <xf numFmtId="164" fontId="90" fillId="72" borderId="48" xfId="3" applyNumberFormat="1" applyFont="1" applyFill="1" applyBorder="1" applyAlignment="1" applyProtection="1">
      <alignment vertical="center"/>
    </xf>
    <xf numFmtId="164" fontId="92" fillId="72" borderId="48" xfId="3" applyNumberFormat="1" applyFont="1" applyFill="1" applyBorder="1" applyAlignment="1" applyProtection="1">
      <alignment vertical="center"/>
    </xf>
    <xf numFmtId="164" fontId="94" fillId="72" borderId="48" xfId="3" applyNumberFormat="1" applyFont="1" applyFill="1" applyBorder="1" applyAlignment="1" applyProtection="1">
      <alignment vertical="center"/>
    </xf>
    <xf numFmtId="164" fontId="100" fillId="72" borderId="48" xfId="3" applyNumberFormat="1" applyFont="1" applyFill="1" applyBorder="1" applyAlignment="1" applyProtection="1">
      <alignment vertical="center"/>
    </xf>
    <xf numFmtId="164" fontId="101" fillId="72" borderId="48" xfId="3" applyNumberFormat="1" applyFont="1" applyFill="1" applyBorder="1" applyAlignment="1" applyProtection="1">
      <alignment vertical="center"/>
    </xf>
    <xf numFmtId="164" fontId="102" fillId="72" borderId="48" xfId="3" applyNumberFormat="1" applyFont="1" applyFill="1" applyBorder="1" applyAlignment="1" applyProtection="1">
      <alignment vertical="center"/>
    </xf>
    <xf numFmtId="164" fontId="103" fillId="72" borderId="48" xfId="3" applyNumberFormat="1" applyFont="1" applyFill="1" applyBorder="1" applyAlignment="1" applyProtection="1">
      <alignment vertical="center"/>
    </xf>
    <xf numFmtId="164" fontId="99" fillId="72" borderId="48" xfId="3" applyNumberFormat="1" applyFont="1" applyFill="1" applyBorder="1" applyAlignment="1" applyProtection="1">
      <alignment vertical="center"/>
    </xf>
    <xf numFmtId="164" fontId="97" fillId="72" borderId="49" xfId="3" applyNumberFormat="1" applyFont="1" applyFill="1" applyBorder="1" applyAlignment="1" applyProtection="1">
      <alignment vertical="center"/>
    </xf>
    <xf numFmtId="164" fontId="98" fillId="72" borderId="49" xfId="3" applyNumberFormat="1" applyFont="1" applyFill="1" applyBorder="1" applyAlignment="1" applyProtection="1">
      <alignment vertical="center"/>
    </xf>
    <xf numFmtId="164" fontId="90" fillId="72" borderId="49" xfId="3" applyNumberFormat="1" applyFont="1" applyFill="1" applyBorder="1" applyAlignment="1" applyProtection="1">
      <alignment vertical="center"/>
    </xf>
    <xf numFmtId="164" fontId="90" fillId="72" borderId="68" xfId="3" applyNumberFormat="1" applyFont="1" applyFill="1" applyBorder="1" applyAlignment="1" applyProtection="1">
      <alignment vertical="center"/>
    </xf>
    <xf numFmtId="164" fontId="92" fillId="72" borderId="49" xfId="3" applyNumberFormat="1" applyFont="1" applyFill="1" applyBorder="1" applyAlignment="1" applyProtection="1">
      <alignment vertical="center"/>
    </xf>
    <xf numFmtId="164" fontId="90" fillId="72" borderId="40" xfId="3" applyNumberFormat="1" applyFont="1" applyFill="1" applyBorder="1" applyAlignment="1" applyProtection="1">
      <alignment vertical="center"/>
    </xf>
    <xf numFmtId="164" fontId="92" fillId="71" borderId="0" xfId="3" applyNumberFormat="1" applyFont="1" applyFill="1" applyBorder="1" applyProtection="1"/>
    <xf numFmtId="164" fontId="106" fillId="0" borderId="0" xfId="3" applyNumberFormat="1" applyFont="1"/>
    <xf numFmtId="164" fontId="7" fillId="0" borderId="0" xfId="3" applyNumberFormat="1" applyFont="1"/>
    <xf numFmtId="164" fontId="0" fillId="0" borderId="0" xfId="3" applyNumberFormat="1" applyFont="1"/>
    <xf numFmtId="164" fontId="89" fillId="71" borderId="0" xfId="3" applyNumberFormat="1" applyFont="1" applyFill="1" applyBorder="1" applyProtection="1"/>
    <xf numFmtId="164" fontId="91" fillId="71" borderId="40" xfId="3" applyNumberFormat="1" applyFont="1" applyFill="1" applyBorder="1" applyAlignment="1" applyProtection="1">
      <alignment horizontal="center" vertical="center" wrapText="1"/>
    </xf>
    <xf numFmtId="164" fontId="90" fillId="71" borderId="43" xfId="3" applyNumberFormat="1" applyFont="1" applyFill="1" applyBorder="1" applyAlignment="1" applyProtection="1">
      <alignment horizontal="right" vertical="center"/>
    </xf>
    <xf numFmtId="164" fontId="90" fillId="72" borderId="49" xfId="3" applyNumberFormat="1" applyFont="1" applyFill="1" applyBorder="1" applyAlignment="1" applyProtection="1">
      <alignment horizontal="right" vertical="center"/>
    </xf>
    <xf numFmtId="164" fontId="92" fillId="72" borderId="48" xfId="3" applyNumberFormat="1" applyFont="1" applyFill="1" applyBorder="1" applyAlignment="1" applyProtection="1">
      <alignment horizontal="right" vertical="center"/>
    </xf>
    <xf numFmtId="164" fontId="90" fillId="72" borderId="48" xfId="3" applyNumberFormat="1" applyFont="1" applyFill="1" applyBorder="1" applyAlignment="1" applyProtection="1">
      <alignment horizontal="right" vertical="center"/>
    </xf>
    <xf numFmtId="164" fontId="90" fillId="72" borderId="68" xfId="3" applyNumberFormat="1" applyFont="1" applyFill="1" applyBorder="1" applyAlignment="1" applyProtection="1">
      <alignment horizontal="right" vertical="center"/>
    </xf>
    <xf numFmtId="164" fontId="100" fillId="72" borderId="48" xfId="3" applyNumberFormat="1" applyFont="1" applyFill="1" applyBorder="1" applyAlignment="1" applyProtection="1">
      <alignment horizontal="right" vertical="center"/>
    </xf>
    <xf numFmtId="164" fontId="101" fillId="72" borderId="48" xfId="3" applyNumberFormat="1" applyFont="1" applyFill="1" applyBorder="1" applyAlignment="1" applyProtection="1">
      <alignment horizontal="right" vertical="center"/>
    </xf>
    <xf numFmtId="164" fontId="93" fillId="2" borderId="0" xfId="3" applyNumberFormat="1" applyFont="1" applyFill="1" applyAlignment="1">
      <alignment horizontal="right"/>
    </xf>
    <xf numFmtId="164" fontId="95" fillId="72" borderId="48" xfId="3" applyNumberFormat="1" applyFont="1" applyFill="1" applyBorder="1" applyAlignment="1" applyProtection="1">
      <alignment horizontal="right" vertical="center"/>
    </xf>
    <xf numFmtId="164" fontId="90" fillId="72" borderId="42" xfId="3" applyNumberFormat="1" applyFont="1" applyFill="1" applyBorder="1" applyAlignment="1" applyProtection="1">
      <alignment horizontal="right" vertical="center"/>
    </xf>
    <xf numFmtId="164" fontId="105" fillId="71" borderId="0" xfId="3" applyNumberFormat="1" applyFont="1" applyFill="1" applyBorder="1" applyProtection="1"/>
    <xf numFmtId="164" fontId="93" fillId="0" borderId="0" xfId="3" applyNumberFormat="1" applyFont="1"/>
    <xf numFmtId="0" fontId="110" fillId="72" borderId="0" xfId="27" applyNumberFormat="1" applyFont="1" applyFill="1" applyBorder="1" applyProtection="1"/>
    <xf numFmtId="4" fontId="113" fillId="72" borderId="40" xfId="27" applyNumberFormat="1" applyFont="1" applyFill="1" applyBorder="1" applyAlignment="1" applyProtection="1">
      <alignment horizontal="center" vertical="center" wrapText="1"/>
    </xf>
    <xf numFmtId="174" fontId="114" fillId="72" borderId="43" xfId="27" applyNumberFormat="1" applyFont="1" applyFill="1" applyBorder="1" applyAlignment="1" applyProtection="1">
      <alignment horizontal="center" vertical="center"/>
    </xf>
    <xf numFmtId="174" fontId="114" fillId="72" borderId="10" xfId="20" applyNumberFormat="1" applyFont="1" applyFill="1" applyBorder="1" applyAlignment="1" applyProtection="1">
      <alignment horizontal="center" vertical="center"/>
    </xf>
    <xf numFmtId="0" fontId="7" fillId="2" borderId="0" xfId="0" applyFont="1" applyFill="1"/>
    <xf numFmtId="164" fontId="110" fillId="72" borderId="0" xfId="3" applyNumberFormat="1" applyFont="1" applyFill="1" applyBorder="1" applyAlignment="1" applyProtection="1">
      <alignment horizontal="right"/>
    </xf>
    <xf numFmtId="164" fontId="113" fillId="72" borderId="40" xfId="3" applyNumberFormat="1" applyFont="1" applyFill="1" applyBorder="1" applyAlignment="1" applyProtection="1">
      <alignment horizontal="center" vertical="center" wrapText="1"/>
    </xf>
    <xf numFmtId="164" fontId="114" fillId="72" borderId="43" xfId="3" applyNumberFormat="1" applyFont="1" applyFill="1" applyBorder="1" applyAlignment="1" applyProtection="1">
      <alignment horizontal="center" vertical="center"/>
    </xf>
    <xf numFmtId="164" fontId="114" fillId="72" borderId="48" xfId="3" applyNumberFormat="1" applyFont="1" applyFill="1" applyBorder="1" applyAlignment="1" applyProtection="1">
      <alignment horizontal="center" vertical="center"/>
    </xf>
    <xf numFmtId="164" fontId="114" fillId="72" borderId="40" xfId="3" applyNumberFormat="1" applyFont="1" applyFill="1" applyBorder="1" applyAlignment="1" applyProtection="1">
      <alignment horizontal="center" vertical="center"/>
    </xf>
    <xf numFmtId="164" fontId="115" fillId="72" borderId="48" xfId="3" applyNumberFormat="1" applyFont="1" applyFill="1" applyBorder="1" applyAlignment="1" applyProtection="1">
      <alignment horizontal="center" vertical="center"/>
    </xf>
    <xf numFmtId="164" fontId="115" fillId="72" borderId="43" xfId="3" applyNumberFormat="1" applyFont="1" applyFill="1" applyBorder="1" applyAlignment="1" applyProtection="1">
      <alignment horizontal="center" vertical="center"/>
    </xf>
    <xf numFmtId="164" fontId="115" fillId="72" borderId="6" xfId="3" applyNumberFormat="1" applyFont="1" applyFill="1" applyBorder="1" applyAlignment="1" applyProtection="1">
      <alignment horizontal="center" vertical="center"/>
    </xf>
    <xf numFmtId="164" fontId="114" fillId="72" borderId="9" xfId="3" applyNumberFormat="1" applyFont="1" applyFill="1" applyBorder="1" applyAlignment="1" applyProtection="1">
      <alignment horizontal="center" vertical="center"/>
    </xf>
    <xf numFmtId="164" fontId="115" fillId="72" borderId="9" xfId="3" applyNumberFormat="1" applyFont="1" applyFill="1" applyBorder="1" applyAlignment="1" applyProtection="1">
      <alignment horizontal="center" vertical="center"/>
    </xf>
    <xf numFmtId="164" fontId="114" fillId="72" borderId="42" xfId="3" applyNumberFormat="1" applyFont="1" applyFill="1" applyBorder="1" applyAlignment="1" applyProtection="1">
      <alignment horizontal="center" vertical="center"/>
    </xf>
    <xf numFmtId="164" fontId="7" fillId="2" borderId="0" xfId="3" applyNumberFormat="1" applyFont="1" applyFill="1" applyAlignment="1">
      <alignment horizontal="right"/>
    </xf>
    <xf numFmtId="164" fontId="0" fillId="2" borderId="0" xfId="3" applyNumberFormat="1" applyFont="1" applyFill="1" applyAlignment="1">
      <alignment horizontal="right"/>
    </xf>
    <xf numFmtId="0" fontId="115" fillId="72" borderId="47" xfId="27" applyNumberFormat="1" applyFont="1" applyFill="1" applyBorder="1" applyAlignment="1" applyProtection="1">
      <alignment horizontal="center" vertical="center"/>
    </xf>
    <xf numFmtId="49" fontId="115" fillId="72" borderId="0" xfId="27" applyNumberFormat="1" applyFont="1" applyFill="1" applyBorder="1" applyAlignment="1" applyProtection="1">
      <alignment horizontal="right" vertical="center"/>
    </xf>
    <xf numFmtId="49" fontId="115" fillId="72" borderId="0" xfId="27" applyNumberFormat="1" applyFont="1" applyFill="1" applyBorder="1" applyAlignment="1" applyProtection="1">
      <alignment horizontal="left" vertical="center"/>
    </xf>
    <xf numFmtId="49" fontId="115" fillId="72" borderId="46" xfId="27" applyNumberFormat="1" applyFont="1" applyFill="1" applyBorder="1" applyAlignment="1" applyProtection="1">
      <alignment horizontal="left" vertical="center"/>
    </xf>
    <xf numFmtId="175" fontId="114" fillId="72" borderId="47" xfId="27" applyNumberFormat="1" applyFont="1" applyFill="1" applyBorder="1" applyAlignment="1" applyProtection="1">
      <alignment horizontal="left" vertical="center"/>
    </xf>
    <xf numFmtId="49" fontId="114" fillId="72" borderId="0" xfId="27" applyNumberFormat="1" applyFont="1" applyFill="1" applyBorder="1" applyAlignment="1" applyProtection="1">
      <alignment vertical="center" wrapText="1"/>
    </xf>
    <xf numFmtId="49" fontId="114" fillId="72" borderId="0" xfId="27" applyNumberFormat="1" applyFont="1" applyFill="1" applyBorder="1" applyAlignment="1" applyProtection="1">
      <alignment horizontal="left" vertical="center" wrapText="1"/>
    </xf>
    <xf numFmtId="49" fontId="114" fillId="72" borderId="0" xfId="27" applyNumberFormat="1" applyFont="1" applyFill="1" applyBorder="1" applyAlignment="1" applyProtection="1">
      <alignment horizontal="left" vertical="center"/>
    </xf>
    <xf numFmtId="49" fontId="114" fillId="72" borderId="49" xfId="27" applyNumberFormat="1" applyFont="1" applyFill="1" applyBorder="1" applyAlignment="1" applyProtection="1">
      <alignment horizontal="left" vertical="center"/>
    </xf>
    <xf numFmtId="49" fontId="114" fillId="72" borderId="0" xfId="27" applyNumberFormat="1" applyFont="1" applyFill="1" applyBorder="1" applyAlignment="1" applyProtection="1">
      <alignment horizontal="right" vertical="center"/>
    </xf>
    <xf numFmtId="49" fontId="114" fillId="72" borderId="49" xfId="27" applyNumberFormat="1" applyFont="1" applyFill="1" applyBorder="1" applyAlignment="1" applyProtection="1">
      <alignment vertical="center" wrapText="1"/>
    </xf>
    <xf numFmtId="0" fontId="114" fillId="72" borderId="47" xfId="27" applyNumberFormat="1" applyFont="1" applyFill="1" applyBorder="1" applyAlignment="1" applyProtection="1">
      <alignment horizontal="center" vertical="center"/>
    </xf>
    <xf numFmtId="175" fontId="115" fillId="72" borderId="47" xfId="27" applyNumberFormat="1" applyFont="1" applyFill="1" applyBorder="1" applyAlignment="1" applyProtection="1">
      <alignment horizontal="left" vertical="center"/>
    </xf>
    <xf numFmtId="49" fontId="114" fillId="72" borderId="64" xfId="27" applyNumberFormat="1" applyFont="1" applyFill="1" applyBorder="1" applyAlignment="1" applyProtection="1">
      <alignment horizontal="left" vertical="center"/>
    </xf>
    <xf numFmtId="49" fontId="114" fillId="72" borderId="64" xfId="27" applyNumberFormat="1" applyFont="1" applyFill="1" applyBorder="1" applyAlignment="1" applyProtection="1">
      <alignment horizontal="right" vertical="center"/>
    </xf>
    <xf numFmtId="49" fontId="114" fillId="72" borderId="67" xfId="27" applyNumberFormat="1" applyFont="1" applyFill="1" applyBorder="1" applyAlignment="1" applyProtection="1">
      <alignment horizontal="left" vertical="center"/>
    </xf>
    <xf numFmtId="175" fontId="117" fillId="72" borderId="42" xfId="27" applyNumberFormat="1" applyFont="1" applyFill="1" applyBorder="1" applyAlignment="1" applyProtection="1">
      <alignment horizontal="left" vertical="center"/>
    </xf>
    <xf numFmtId="49" fontId="114" fillId="72" borderId="41" xfId="27" applyNumberFormat="1" applyFont="1" applyFill="1" applyBorder="1" applyAlignment="1" applyProtection="1">
      <alignment horizontal="left" vertical="center"/>
    </xf>
    <xf numFmtId="49" fontId="114" fillId="72" borderId="68" xfId="27" applyNumberFormat="1" applyFont="1" applyFill="1" applyBorder="1" applyAlignment="1" applyProtection="1">
      <alignment horizontal="left" vertical="center"/>
    </xf>
    <xf numFmtId="49" fontId="114" fillId="72" borderId="0" xfId="27" applyNumberFormat="1" applyFont="1" applyFill="1" applyBorder="1" applyAlignment="1" applyProtection="1">
      <alignment horizontal="center" vertical="center"/>
    </xf>
    <xf numFmtId="0" fontId="119" fillId="72" borderId="47" xfId="27" applyNumberFormat="1" applyFont="1" applyFill="1" applyBorder="1" applyAlignment="1" applyProtection="1">
      <alignment horizontal="left" vertical="center"/>
    </xf>
    <xf numFmtId="49" fontId="115" fillId="72" borderId="0" xfId="27" applyNumberFormat="1" applyFont="1" applyFill="1" applyBorder="1" applyAlignment="1" applyProtection="1">
      <alignment vertical="center"/>
    </xf>
    <xf numFmtId="49" fontId="115" fillId="72" borderId="0" xfId="27" applyNumberFormat="1" applyFont="1" applyFill="1" applyBorder="1" applyAlignment="1" applyProtection="1">
      <alignment horizontal="center" vertical="center"/>
    </xf>
    <xf numFmtId="49" fontId="114" fillId="72" borderId="0" xfId="27" applyNumberFormat="1" applyFont="1" applyFill="1" applyBorder="1" applyAlignment="1" applyProtection="1">
      <alignment vertical="center"/>
    </xf>
    <xf numFmtId="175" fontId="114" fillId="72" borderId="45" xfId="27" applyNumberFormat="1" applyFont="1" applyFill="1" applyBorder="1" applyAlignment="1" applyProtection="1">
      <alignment horizontal="left" vertical="center"/>
    </xf>
    <xf numFmtId="175" fontId="114" fillId="72" borderId="46" xfId="27" applyNumberFormat="1" applyFont="1" applyFill="1" applyBorder="1" applyAlignment="1" applyProtection="1">
      <alignment horizontal="left" vertical="center"/>
    </xf>
    <xf numFmtId="178" fontId="114" fillId="72" borderId="46" xfId="27" applyNumberFormat="1" applyFont="1" applyFill="1" applyBorder="1" applyAlignment="1" applyProtection="1">
      <alignment vertical="center"/>
    </xf>
    <xf numFmtId="3" fontId="114" fillId="72" borderId="69" xfId="27" applyNumberFormat="1" applyFont="1" applyFill="1" applyBorder="1" applyAlignment="1" applyProtection="1">
      <alignment horizontal="center" vertical="center"/>
    </xf>
    <xf numFmtId="178" fontId="114" fillId="72" borderId="0" xfId="27" applyNumberFormat="1" applyFont="1" applyFill="1" applyBorder="1" applyAlignment="1" applyProtection="1">
      <alignment vertical="center"/>
    </xf>
    <xf numFmtId="176" fontId="115" fillId="72" borderId="0" xfId="27" applyNumberFormat="1" applyFont="1" applyFill="1" applyBorder="1" applyAlignment="1" applyProtection="1">
      <alignment vertical="center"/>
    </xf>
    <xf numFmtId="3" fontId="115" fillId="72" borderId="61" xfId="27" applyNumberFormat="1" applyFont="1" applyFill="1" applyBorder="1" applyAlignment="1" applyProtection="1">
      <alignment horizontal="center" vertical="center"/>
    </xf>
    <xf numFmtId="49" fontId="116" fillId="72" borderId="0" xfId="27" applyNumberFormat="1" applyFont="1" applyFill="1" applyBorder="1" applyAlignment="1" applyProtection="1">
      <alignment horizontal="left" vertical="center"/>
    </xf>
    <xf numFmtId="176" fontId="116" fillId="72" borderId="0" xfId="27" applyNumberFormat="1" applyFont="1" applyFill="1" applyBorder="1" applyAlignment="1" applyProtection="1">
      <alignment vertical="center"/>
    </xf>
    <xf numFmtId="3" fontId="116" fillId="72" borderId="61" xfId="27" applyNumberFormat="1" applyFont="1" applyFill="1" applyBorder="1" applyAlignment="1" applyProtection="1">
      <alignment horizontal="center" vertical="center"/>
    </xf>
    <xf numFmtId="176" fontId="114" fillId="72" borderId="41" xfId="27" applyNumberFormat="1" applyFont="1" applyFill="1" applyBorder="1" applyAlignment="1" applyProtection="1">
      <alignment vertical="center"/>
    </xf>
    <xf numFmtId="178" fontId="115" fillId="72" borderId="0" xfId="27" applyNumberFormat="1" applyFont="1" applyFill="1" applyBorder="1" applyAlignment="1" applyProtection="1">
      <alignment vertical="center"/>
    </xf>
    <xf numFmtId="4" fontId="114" fillId="72" borderId="61" xfId="27" applyNumberFormat="1" applyFont="1" applyFill="1" applyBorder="1" applyAlignment="1" applyProtection="1">
      <alignment horizontal="center" vertical="center"/>
    </xf>
    <xf numFmtId="3" fontId="114" fillId="72" borderId="10" xfId="27" applyNumberFormat="1" applyFont="1" applyFill="1" applyBorder="1" applyAlignment="1" applyProtection="1">
      <alignment horizontal="center" vertical="center"/>
    </xf>
    <xf numFmtId="178" fontId="115" fillId="72" borderId="46" xfId="27" applyNumberFormat="1" applyFont="1" applyFill="1" applyBorder="1" applyAlignment="1" applyProtection="1">
      <alignment vertical="center"/>
    </xf>
    <xf numFmtId="3" fontId="115" fillId="72" borderId="59" xfId="27" applyNumberFormat="1" applyFont="1" applyFill="1" applyBorder="1" applyAlignment="1" applyProtection="1">
      <alignment horizontal="center" vertical="center"/>
    </xf>
    <xf numFmtId="176" fontId="114" fillId="72" borderId="64" xfId="27" applyNumberFormat="1" applyFont="1" applyFill="1" applyBorder="1" applyAlignment="1" applyProtection="1">
      <alignment horizontal="center" vertical="center"/>
    </xf>
    <xf numFmtId="176" fontId="114" fillId="72" borderId="0" xfId="27" applyNumberFormat="1" applyFont="1" applyFill="1" applyBorder="1" applyAlignment="1" applyProtection="1">
      <alignment horizontal="center" vertical="center"/>
    </xf>
    <xf numFmtId="3" fontId="114" fillId="72" borderId="59" xfId="27" applyNumberFormat="1" applyFont="1" applyFill="1" applyBorder="1" applyAlignment="1" applyProtection="1">
      <alignment horizontal="center" vertical="center"/>
    </xf>
    <xf numFmtId="176" fontId="114" fillId="72" borderId="42" xfId="27" applyNumberFormat="1" applyFont="1" applyFill="1" applyBorder="1" applyAlignment="1" applyProtection="1">
      <alignment horizontal="center" vertical="center"/>
    </xf>
    <xf numFmtId="176" fontId="114" fillId="72" borderId="10" xfId="27" applyNumberFormat="1" applyFont="1" applyFill="1" applyBorder="1" applyAlignment="1" applyProtection="1">
      <alignment horizontal="center" vertical="center"/>
    </xf>
    <xf numFmtId="178" fontId="114" fillId="72" borderId="45" xfId="27" applyNumberFormat="1" applyFont="1" applyFill="1" applyBorder="1" applyAlignment="1" applyProtection="1">
      <alignment vertical="center"/>
    </xf>
    <xf numFmtId="178" fontId="114" fillId="72" borderId="72" xfId="27" applyNumberFormat="1" applyFont="1" applyFill="1" applyBorder="1" applyAlignment="1" applyProtection="1">
      <alignment vertical="center"/>
    </xf>
    <xf numFmtId="178" fontId="114" fillId="72" borderId="59" xfId="27" applyNumberFormat="1" applyFont="1" applyFill="1" applyBorder="1" applyAlignment="1" applyProtection="1">
      <alignment vertical="center"/>
    </xf>
    <xf numFmtId="3" fontId="7" fillId="0" borderId="0" xfId="0" applyNumberFormat="1" applyFont="1" applyAlignment="1">
      <alignment horizontal="right" vertical="center"/>
    </xf>
    <xf numFmtId="171" fontId="78" fillId="72" borderId="45" xfId="22" applyFont="1" applyFill="1" applyBorder="1" applyAlignment="1" applyProtection="1">
      <alignment horizontal="left" vertical="center"/>
    </xf>
    <xf numFmtId="171" fontId="78" fillId="72" borderId="6" xfId="22" applyFont="1" applyFill="1" applyBorder="1" applyAlignment="1" applyProtection="1">
      <alignment horizontal="left" vertical="center"/>
    </xf>
    <xf numFmtId="172" fontId="78" fillId="72" borderId="43" xfId="24" applyNumberFormat="1" applyFont="1" applyFill="1" applyBorder="1" applyAlignment="1" applyProtection="1">
      <alignment horizontal="center" vertical="center"/>
    </xf>
    <xf numFmtId="49" fontId="78" fillId="72" borderId="47" xfId="22" applyNumberFormat="1" applyFont="1" applyFill="1" applyBorder="1" applyAlignment="1" applyProtection="1">
      <alignment horizontal="left" vertical="center"/>
    </xf>
    <xf numFmtId="49" fontId="78" fillId="72" borderId="0" xfId="22" applyNumberFormat="1" applyFont="1" applyFill="1" applyBorder="1" applyAlignment="1" applyProtection="1">
      <alignment horizontal="right" vertical="center"/>
    </xf>
    <xf numFmtId="49" fontId="78" fillId="72" borderId="0" xfId="22" applyNumberFormat="1" applyFont="1" applyFill="1" applyBorder="1" applyAlignment="1" applyProtection="1">
      <alignment horizontal="left" vertical="center"/>
    </xf>
    <xf numFmtId="171" fontId="78" fillId="72" borderId="48" xfId="22" applyFont="1" applyFill="1" applyBorder="1" applyAlignment="1" applyProtection="1">
      <alignment horizontal="right" vertical="center"/>
    </xf>
    <xf numFmtId="172" fontId="78" fillId="72" borderId="48" xfId="26" applyFont="1" applyFill="1" applyBorder="1" applyAlignment="1" applyProtection="1">
      <alignment horizontal="right" vertical="center"/>
    </xf>
    <xf numFmtId="49" fontId="81" fillId="72" borderId="47" xfId="22" applyNumberFormat="1" applyFont="1" applyFill="1" applyBorder="1" applyAlignment="1" applyProtection="1">
      <alignment horizontal="left" vertical="center"/>
    </xf>
    <xf numFmtId="3" fontId="78" fillId="72" borderId="48" xfId="22" applyNumberFormat="1" applyFont="1" applyFill="1" applyBorder="1" applyAlignment="1" applyProtection="1">
      <alignment horizontal="right" vertical="center"/>
    </xf>
    <xf numFmtId="172" fontId="81" fillId="72" borderId="48" xfId="24" applyNumberFormat="1" applyFont="1" applyFill="1" applyBorder="1" applyAlignment="1" applyProtection="1">
      <alignment horizontal="right" vertical="center"/>
    </xf>
    <xf numFmtId="49" fontId="81" fillId="2" borderId="47" xfId="22" applyNumberFormat="1" applyFont="1" applyFill="1" applyBorder="1" applyAlignment="1" applyProtection="1">
      <alignment horizontal="left" vertical="center"/>
    </xf>
    <xf numFmtId="49" fontId="81" fillId="2" borderId="0" xfId="22" applyNumberFormat="1" applyFont="1" applyFill="1" applyBorder="1" applyAlignment="1" applyProtection="1">
      <alignment horizontal="right" vertical="center"/>
    </xf>
    <xf numFmtId="49" fontId="81" fillId="2" borderId="0" xfId="22" applyNumberFormat="1" applyFont="1" applyFill="1" applyBorder="1" applyAlignment="1" applyProtection="1">
      <alignment horizontal="left" vertical="center"/>
    </xf>
    <xf numFmtId="3" fontId="81" fillId="72" borderId="48" xfId="22" applyNumberFormat="1" applyFont="1" applyFill="1" applyBorder="1" applyAlignment="1" applyProtection="1">
      <alignment horizontal="right" vertical="center"/>
    </xf>
    <xf numFmtId="171" fontId="82" fillId="2" borderId="9" xfId="22" applyFont="1" applyFill="1" applyBorder="1" applyAlignment="1" applyProtection="1">
      <alignment horizontal="center" vertical="center" wrapText="1"/>
    </xf>
    <xf numFmtId="49" fontId="82" fillId="2" borderId="9" xfId="22" applyNumberFormat="1" applyFont="1" applyFill="1" applyBorder="1" applyAlignment="1" applyProtection="1">
      <alignment horizontal="center" vertical="center" wrapText="1"/>
    </xf>
    <xf numFmtId="171" fontId="82" fillId="2" borderId="50" xfId="22" applyFont="1" applyFill="1" applyBorder="1" applyAlignment="1" applyProtection="1">
      <alignment horizontal="center" vertical="center" wrapText="1"/>
    </xf>
    <xf numFmtId="49" fontId="82" fillId="2" borderId="50" xfId="22" applyNumberFormat="1" applyFont="1" applyFill="1" applyBorder="1" applyAlignment="1" applyProtection="1">
      <alignment horizontal="center" vertical="center" wrapText="1"/>
    </xf>
    <xf numFmtId="171" fontId="81" fillId="72" borderId="50" xfId="22" applyFont="1" applyFill="1" applyBorder="1" applyAlignment="1" applyProtection="1">
      <alignment horizontal="left" vertical="center"/>
    </xf>
    <xf numFmtId="49" fontId="81" fillId="72" borderId="50" xfId="22" applyNumberFormat="1" applyFont="1" applyFill="1" applyBorder="1" applyAlignment="1" applyProtection="1">
      <alignment horizontal="left" vertical="center"/>
    </xf>
    <xf numFmtId="49" fontId="82" fillId="72" borderId="0" xfId="22" applyNumberFormat="1" applyFont="1" applyFill="1" applyBorder="1" applyAlignment="1" applyProtection="1">
      <alignment horizontal="left" vertical="center"/>
    </xf>
    <xf numFmtId="49" fontId="78" fillId="72" borderId="47" xfId="21" applyNumberFormat="1" applyFont="1" applyFill="1" applyBorder="1" applyAlignment="1" applyProtection="1">
      <alignment horizontal="center" vertical="center"/>
    </xf>
    <xf numFmtId="49" fontId="78" fillId="72" borderId="49" xfId="22" applyNumberFormat="1" applyFont="1" applyFill="1" applyBorder="1" applyAlignment="1" applyProtection="1">
      <alignment horizontal="left" vertical="center"/>
    </xf>
    <xf numFmtId="0" fontId="83" fillId="2" borderId="0" xfId="0" applyFont="1" applyFill="1"/>
    <xf numFmtId="0" fontId="83" fillId="2" borderId="0" xfId="0" applyFont="1" applyFill="1" applyAlignment="1">
      <alignment wrapText="1"/>
    </xf>
    <xf numFmtId="49" fontId="78" fillId="72" borderId="0" xfId="22" applyNumberFormat="1" applyFont="1" applyFill="1" applyBorder="1" applyAlignment="1" applyProtection="1">
      <alignment horizontal="left" vertical="center" wrapText="1"/>
    </xf>
    <xf numFmtId="175" fontId="90" fillId="72" borderId="47" xfId="27" applyNumberFormat="1" applyFont="1" applyFill="1" applyBorder="1" applyAlignment="1" applyProtection="1">
      <alignment horizontal="left" vertical="center"/>
    </xf>
    <xf numFmtId="175" fontId="92" fillId="72" borderId="47" xfId="27" applyNumberFormat="1" applyFont="1" applyFill="1" applyBorder="1" applyAlignment="1" applyProtection="1">
      <alignment horizontal="left" vertical="center"/>
    </xf>
    <xf numFmtId="0" fontId="92" fillId="72" borderId="47" xfId="27" applyNumberFormat="1" applyFont="1" applyFill="1" applyBorder="1" applyAlignment="1" applyProtection="1">
      <alignment horizontal="center" vertical="center"/>
    </xf>
    <xf numFmtId="0" fontId="94" fillId="72" borderId="47" xfId="27" applyNumberFormat="1" applyFont="1" applyFill="1" applyBorder="1" applyAlignment="1" applyProtection="1">
      <alignment horizontal="center" vertical="center"/>
    </xf>
    <xf numFmtId="0" fontId="94" fillId="72" borderId="0" xfId="27" applyNumberFormat="1" applyFont="1" applyFill="1" applyBorder="1" applyAlignment="1" applyProtection="1">
      <alignment horizontal="right" vertical="center"/>
    </xf>
    <xf numFmtId="49" fontId="94" fillId="72" borderId="0" xfId="27" applyNumberFormat="1" applyFont="1" applyFill="1" applyBorder="1" applyAlignment="1" applyProtection="1">
      <alignment horizontal="right" vertical="center"/>
    </xf>
    <xf numFmtId="0" fontId="93" fillId="72" borderId="0" xfId="0" applyFont="1" applyFill="1"/>
    <xf numFmtId="0" fontId="92" fillId="72" borderId="0" xfId="27" applyNumberFormat="1" applyFont="1" applyFill="1" applyBorder="1" applyAlignment="1" applyProtection="1">
      <alignment vertical="center"/>
    </xf>
    <xf numFmtId="0" fontId="66" fillId="75" borderId="6" xfId="18" quotePrefix="1" applyNumberFormat="1" applyFont="1" applyFill="1" applyBorder="1" applyAlignment="1">
      <alignment horizontal="center" vertical="center" wrapText="1"/>
    </xf>
    <xf numFmtId="0" fontId="66" fillId="0" borderId="0" xfId="13" quotePrefix="1" applyFont="1" applyAlignment="1">
      <alignment horizontal="center" vertical="center" wrapText="1"/>
    </xf>
    <xf numFmtId="0" fontId="120" fillId="75" borderId="6" xfId="13" quotePrefix="1" applyFont="1" applyFill="1" applyBorder="1" applyAlignment="1">
      <alignment horizontal="center" vertical="center"/>
    </xf>
    <xf numFmtId="0" fontId="120" fillId="75" borderId="6" xfId="13" quotePrefix="1" applyFont="1" applyFill="1" applyBorder="1" applyAlignment="1">
      <alignment horizontal="center" vertical="center" wrapText="1"/>
    </xf>
    <xf numFmtId="0" fontId="66" fillId="75" borderId="0" xfId="13" applyFont="1" applyFill="1" applyAlignment="1">
      <alignment vertical="center"/>
    </xf>
    <xf numFmtId="0" fontId="120" fillId="76" borderId="20" xfId="18" applyNumberFormat="1" applyFont="1" applyFill="1" applyBorder="1" applyAlignment="1">
      <alignment horizontal="center" vertical="center" wrapText="1"/>
    </xf>
    <xf numFmtId="0" fontId="66" fillId="0" borderId="0" xfId="13" quotePrefix="1" applyFont="1" applyAlignment="1">
      <alignment vertical="center"/>
    </xf>
    <xf numFmtId="0" fontId="66" fillId="2" borderId="10" xfId="13" applyFont="1" applyFill="1" applyBorder="1" applyAlignment="1">
      <alignment vertical="center"/>
    </xf>
    <xf numFmtId="0" fontId="66" fillId="62" borderId="10" xfId="13" quotePrefix="1" applyFont="1" applyFill="1" applyBorder="1" applyAlignment="1">
      <alignment vertical="center"/>
    </xf>
    <xf numFmtId="0" fontId="66" fillId="62" borderId="10" xfId="13" quotePrefix="1" applyFont="1" applyFill="1" applyBorder="1" applyAlignment="1">
      <alignment vertical="center" wrapText="1"/>
    </xf>
    <xf numFmtId="0" fontId="66" fillId="62" borderId="10" xfId="13" quotePrefix="1" applyFont="1" applyFill="1" applyBorder="1" applyAlignment="1" applyProtection="1">
      <alignment horizontal="center" vertical="center"/>
      <protection locked="0"/>
    </xf>
    <xf numFmtId="14" fontId="66" fillId="62" borderId="10" xfId="13" applyNumberFormat="1" applyFont="1" applyFill="1" applyBorder="1" applyAlignment="1" applyProtection="1">
      <alignment horizontal="center" vertical="center"/>
      <protection locked="0"/>
    </xf>
    <xf numFmtId="164" fontId="66" fillId="64" borderId="10" xfId="2" quotePrefix="1" applyNumberFormat="1" applyFont="1" applyFill="1" applyBorder="1" applyAlignment="1" applyProtection="1">
      <alignment horizontal="center" vertical="center"/>
      <protection locked="0"/>
    </xf>
    <xf numFmtId="166" fontId="66" fillId="49" borderId="10" xfId="19" applyNumberFormat="1" applyFont="1" applyFill="1" applyBorder="1" applyAlignment="1">
      <alignment horizontal="center" vertical="center"/>
    </xf>
    <xf numFmtId="0" fontId="66" fillId="0" borderId="10" xfId="13" applyFont="1" applyBorder="1" applyAlignment="1">
      <alignment vertical="center"/>
    </xf>
    <xf numFmtId="0" fontId="66" fillId="0" borderId="10" xfId="13" quotePrefix="1" applyFont="1" applyBorder="1" applyAlignment="1">
      <alignment vertical="center"/>
    </xf>
    <xf numFmtId="0" fontId="66" fillId="0" borderId="10" xfId="13" quotePrefix="1" applyFont="1" applyBorder="1" applyAlignment="1">
      <alignment vertical="center" wrapText="1"/>
    </xf>
    <xf numFmtId="164" fontId="66" fillId="0" borderId="10" xfId="2" quotePrefix="1" applyNumberFormat="1" applyFont="1" applyFill="1" applyBorder="1" applyAlignment="1" applyProtection="1">
      <alignment horizontal="center" vertical="center"/>
      <protection locked="0"/>
    </xf>
    <xf numFmtId="166" fontId="66" fillId="0" borderId="10" xfId="19" applyNumberFormat="1" applyFont="1" applyBorder="1" applyAlignment="1">
      <alignment horizontal="center" vertical="center"/>
    </xf>
    <xf numFmtId="164" fontId="66" fillId="0" borderId="10" xfId="2" applyNumberFormat="1" applyFont="1" applyFill="1" applyBorder="1" applyAlignment="1" applyProtection="1">
      <alignment horizontal="center" vertical="center"/>
      <protection locked="0"/>
    </xf>
    <xf numFmtId="0" fontId="66" fillId="2" borderId="10" xfId="13" quotePrefix="1" applyFont="1" applyFill="1" applyBorder="1" applyAlignment="1">
      <alignment vertical="center"/>
    </xf>
    <xf numFmtId="164" fontId="66" fillId="62" borderId="10" xfId="2" applyNumberFormat="1" applyFont="1" applyFill="1" applyBorder="1" applyAlignment="1" applyProtection="1">
      <alignment horizontal="center" vertical="center"/>
      <protection locked="0"/>
    </xf>
    <xf numFmtId="166" fontId="66" fillId="44" borderId="10" xfId="19" applyNumberFormat="1" applyFont="1" applyFill="1" applyBorder="1" applyAlignment="1">
      <alignment horizontal="center" vertical="center"/>
    </xf>
    <xf numFmtId="164" fontId="66" fillId="64" borderId="10" xfId="2" applyNumberFormat="1" applyFont="1" applyFill="1" applyBorder="1" applyAlignment="1" applyProtection="1">
      <alignment horizontal="center" vertical="center"/>
      <protection locked="0"/>
    </xf>
    <xf numFmtId="164" fontId="66" fillId="62" borderId="10" xfId="2" quotePrefix="1" applyNumberFormat="1" applyFont="1" applyFill="1" applyBorder="1" applyAlignment="1" applyProtection="1">
      <alignment horizontal="center" vertical="center"/>
      <protection locked="0"/>
    </xf>
    <xf numFmtId="0" fontId="120" fillId="0" borderId="0" xfId="13" quotePrefix="1" applyFont="1" applyAlignment="1">
      <alignment vertical="center"/>
    </xf>
    <xf numFmtId="0" fontId="120" fillId="2" borderId="10" xfId="13" quotePrefix="1" applyFont="1" applyFill="1" applyBorder="1" applyAlignment="1">
      <alignment vertical="center"/>
    </xf>
    <xf numFmtId="0" fontId="120" fillId="62" borderId="10" xfId="13" quotePrefix="1" applyFont="1" applyFill="1" applyBorder="1" applyAlignment="1">
      <alignment vertical="center"/>
    </xf>
    <xf numFmtId="166" fontId="121" fillId="49" borderId="10" xfId="19" applyNumberFormat="1" applyFont="1" applyFill="1" applyBorder="1" applyAlignment="1">
      <alignment horizontal="center" vertical="center"/>
    </xf>
    <xf numFmtId="0" fontId="120" fillId="62" borderId="10" xfId="13" quotePrefix="1" applyFont="1" applyFill="1" applyBorder="1" applyAlignment="1">
      <alignment vertical="center" wrapText="1"/>
    </xf>
    <xf numFmtId="0" fontId="66" fillId="2" borderId="0" xfId="13" applyFont="1" applyFill="1" applyAlignment="1">
      <alignment vertical="center"/>
    </xf>
    <xf numFmtId="0" fontId="66" fillId="2" borderId="0" xfId="13" applyFont="1" applyFill="1" applyAlignment="1">
      <alignment horizontal="center" vertical="center"/>
    </xf>
    <xf numFmtId="0" fontId="66" fillId="0" borderId="0" xfId="13" applyFont="1" applyAlignment="1">
      <alignment horizontal="center" vertical="center"/>
    </xf>
    <xf numFmtId="0" fontId="66" fillId="0" borderId="0" xfId="13" applyFont="1" applyAlignment="1">
      <alignment vertical="center"/>
    </xf>
    <xf numFmtId="43" fontId="120" fillId="2" borderId="0" xfId="3" applyFont="1" applyFill="1" applyAlignment="1">
      <alignment vertical="center"/>
    </xf>
    <xf numFmtId="165" fontId="120" fillId="0" borderId="0" xfId="13" applyNumberFormat="1" applyFont="1" applyAlignment="1">
      <alignment vertical="center"/>
    </xf>
    <xf numFmtId="0" fontId="120" fillId="0" borderId="0" xfId="13" applyFont="1" applyAlignment="1">
      <alignment vertical="center"/>
    </xf>
    <xf numFmtId="0" fontId="120" fillId="2" borderId="0" xfId="13" applyFont="1" applyFill="1" applyAlignment="1">
      <alignment vertical="center"/>
    </xf>
    <xf numFmtId="179" fontId="120" fillId="76" borderId="20" xfId="3" applyNumberFormat="1" applyFont="1" applyFill="1" applyBorder="1" applyAlignment="1">
      <alignment horizontal="center" vertical="center" wrapText="1"/>
    </xf>
    <xf numFmtId="179" fontId="66" fillId="2" borderId="0" xfId="3" applyNumberFormat="1" applyFont="1" applyFill="1" applyAlignment="1">
      <alignment horizontal="center" vertical="center"/>
    </xf>
    <xf numFmtId="179" fontId="66" fillId="0" borderId="0" xfId="3" applyNumberFormat="1" applyFont="1" applyAlignment="1">
      <alignment horizontal="center" vertical="center"/>
    </xf>
    <xf numFmtId="179" fontId="0" fillId="0" borderId="0" xfId="3" applyNumberFormat="1" applyFont="1" applyAlignment="1">
      <alignment vertical="center"/>
    </xf>
    <xf numFmtId="179" fontId="1" fillId="2" borderId="0" xfId="3" applyNumberFormat="1" applyFont="1" applyFill="1" applyAlignment="1">
      <alignment vertical="center"/>
    </xf>
    <xf numFmtId="179" fontId="1" fillId="0" borderId="0" xfId="3" applyNumberFormat="1" applyFont="1" applyAlignment="1">
      <alignment vertical="center"/>
    </xf>
    <xf numFmtId="0" fontId="123" fillId="2" borderId="30" xfId="28" applyFont="1" applyFill="1" applyBorder="1" applyAlignment="1">
      <alignment vertical="center"/>
    </xf>
    <xf numFmtId="0" fontId="125" fillId="2" borderId="0" xfId="28" applyFont="1" applyFill="1" applyAlignment="1">
      <alignment vertical="center"/>
    </xf>
    <xf numFmtId="0" fontId="123" fillId="2" borderId="35" xfId="28" applyFont="1" applyFill="1" applyBorder="1" applyAlignment="1">
      <alignment vertical="center"/>
    </xf>
    <xf numFmtId="0" fontId="126" fillId="2" borderId="33" xfId="0" applyFont="1" applyFill="1" applyBorder="1" applyAlignment="1">
      <alignment vertical="center"/>
    </xf>
    <xf numFmtId="0" fontId="126" fillId="2" borderId="0" xfId="0" applyFont="1" applyFill="1" applyAlignment="1">
      <alignment vertical="center"/>
    </xf>
    <xf numFmtId="165" fontId="126" fillId="0" borderId="0" xfId="10" applyFont="1" applyFill="1" applyBorder="1" applyAlignment="1">
      <alignment vertical="center"/>
    </xf>
    <xf numFmtId="0" fontId="127" fillId="77" borderId="77" xfId="0" applyFont="1" applyFill="1" applyBorder="1" applyAlignment="1">
      <alignment horizontal="center" vertical="center"/>
    </xf>
    <xf numFmtId="0" fontId="125" fillId="2" borderId="78" xfId="0" applyFont="1" applyFill="1" applyBorder="1" applyAlignment="1">
      <alignment horizontal="right" vertical="center"/>
    </xf>
    <xf numFmtId="0" fontId="125" fillId="2" borderId="79" xfId="0" applyFont="1" applyFill="1" applyBorder="1" applyAlignment="1">
      <alignment horizontal="right" vertical="center"/>
    </xf>
    <xf numFmtId="165" fontId="125" fillId="0" borderId="79" xfId="10" applyFont="1" applyFill="1" applyBorder="1" applyAlignment="1">
      <alignment horizontal="right" vertical="center"/>
    </xf>
    <xf numFmtId="165" fontId="125" fillId="2" borderId="79" xfId="10" applyFont="1" applyFill="1" applyBorder="1" applyAlignment="1">
      <alignment horizontal="right" vertical="center"/>
    </xf>
    <xf numFmtId="0" fontId="125" fillId="2" borderId="0" xfId="0" applyFont="1" applyFill="1" applyAlignment="1">
      <alignment vertical="center"/>
    </xf>
    <xf numFmtId="0" fontId="123" fillId="2" borderId="78" xfId="0" applyFont="1" applyFill="1" applyBorder="1" applyAlignment="1">
      <alignment vertical="center"/>
    </xf>
    <xf numFmtId="0" fontId="123" fillId="2" borderId="79" xfId="0" applyFont="1" applyFill="1" applyBorder="1" applyAlignment="1">
      <alignment horizontal="center" vertical="center"/>
    </xf>
    <xf numFmtId="165" fontId="123" fillId="0" borderId="79" xfId="10" applyFont="1" applyFill="1" applyBorder="1" applyAlignment="1">
      <alignment horizontal="center" vertical="center"/>
    </xf>
    <xf numFmtId="165" fontId="123" fillId="2" borderId="79" xfId="10" applyFont="1" applyFill="1" applyBorder="1" applyAlignment="1">
      <alignment horizontal="center" vertical="center"/>
    </xf>
    <xf numFmtId="0" fontId="123" fillId="2" borderId="78" xfId="0" quotePrefix="1" applyFont="1" applyFill="1" applyBorder="1" applyAlignment="1">
      <alignment vertical="center"/>
    </xf>
    <xf numFmtId="0" fontId="123" fillId="2" borderId="79" xfId="0" applyFont="1" applyFill="1" applyBorder="1" applyAlignment="1">
      <alignment vertical="center"/>
    </xf>
    <xf numFmtId="165" fontId="123" fillId="0" borderId="79" xfId="10" applyFont="1" applyFill="1" applyBorder="1" applyAlignment="1">
      <alignment horizontal="right" vertical="center"/>
    </xf>
    <xf numFmtId="165" fontId="123" fillId="2" borderId="79" xfId="10" applyFont="1" applyFill="1" applyBorder="1" applyAlignment="1">
      <alignment horizontal="right" vertical="center"/>
    </xf>
    <xf numFmtId="165" fontId="125" fillId="2" borderId="0" xfId="0" applyNumberFormat="1" applyFont="1" applyFill="1" applyAlignment="1">
      <alignment vertical="center"/>
    </xf>
    <xf numFmtId="1" fontId="125" fillId="2" borderId="0" xfId="0" applyNumberFormat="1" applyFont="1" applyFill="1" applyAlignment="1">
      <alignment vertical="center"/>
    </xf>
    <xf numFmtId="0" fontId="123" fillId="2" borderId="79" xfId="0" applyFont="1" applyFill="1" applyBorder="1" applyAlignment="1">
      <alignment horizontal="left" vertical="center"/>
    </xf>
    <xf numFmtId="165" fontId="123" fillId="0" borderId="79" xfId="10" applyFont="1" applyFill="1" applyBorder="1" applyAlignment="1">
      <alignment horizontal="left" vertical="center"/>
    </xf>
    <xf numFmtId="165" fontId="123" fillId="2" borderId="79" xfId="10" applyFont="1" applyFill="1" applyBorder="1" applyAlignment="1">
      <alignment horizontal="left" vertical="center"/>
    </xf>
    <xf numFmtId="0" fontId="125" fillId="2" borderId="78" xfId="0" quotePrefix="1" applyFont="1" applyFill="1" applyBorder="1" applyAlignment="1">
      <alignment vertical="center"/>
    </xf>
    <xf numFmtId="0" fontId="125" fillId="2" borderId="79" xfId="0" applyFont="1" applyFill="1" applyBorder="1" applyAlignment="1">
      <alignment horizontal="left" vertical="center"/>
    </xf>
    <xf numFmtId="37" fontId="123" fillId="2" borderId="79" xfId="29" applyNumberFormat="1" applyFont="1" applyFill="1" applyBorder="1" applyAlignment="1">
      <alignment horizontal="center" vertical="center"/>
    </xf>
    <xf numFmtId="0" fontId="125" fillId="0" borderId="79" xfId="0" applyFont="1" applyBorder="1" applyAlignment="1">
      <alignment horizontal="left" vertical="center"/>
    </xf>
    <xf numFmtId="165" fontId="123" fillId="0" borderId="79" xfId="10" applyFont="1" applyFill="1" applyBorder="1" applyAlignment="1">
      <alignment vertical="center"/>
    </xf>
    <xf numFmtId="165" fontId="123" fillId="2" borderId="79" xfId="10" applyFont="1" applyFill="1" applyBorder="1" applyAlignment="1">
      <alignment vertical="center"/>
    </xf>
    <xf numFmtId="0" fontId="125" fillId="2" borderId="79" xfId="0" applyFont="1" applyFill="1" applyBorder="1" applyAlignment="1">
      <alignment vertical="center"/>
    </xf>
    <xf numFmtId="0" fontId="129" fillId="2" borderId="78" xfId="0" quotePrefix="1" applyFont="1" applyFill="1" applyBorder="1" applyAlignment="1">
      <alignment vertical="center"/>
    </xf>
    <xf numFmtId="0" fontId="129" fillId="2" borderId="79" xfId="0" applyFont="1" applyFill="1" applyBorder="1" applyAlignment="1">
      <alignment vertical="center"/>
    </xf>
    <xf numFmtId="0" fontId="124" fillId="2" borderId="78" xfId="0" applyFont="1" applyFill="1" applyBorder="1" applyAlignment="1">
      <alignment vertical="center"/>
    </xf>
    <xf numFmtId="0" fontId="124" fillId="2" borderId="79" xfId="0" applyFont="1" applyFill="1" applyBorder="1" applyAlignment="1">
      <alignment vertical="center"/>
    </xf>
    <xf numFmtId="0" fontId="125" fillId="2" borderId="78" xfId="0" applyFont="1" applyFill="1" applyBorder="1" applyAlignment="1">
      <alignment vertical="center"/>
    </xf>
    <xf numFmtId="0" fontId="129" fillId="2" borderId="79" xfId="0" applyFont="1" applyFill="1" applyBorder="1" applyAlignment="1">
      <alignment horizontal="left" vertical="center"/>
    </xf>
    <xf numFmtId="165" fontId="125" fillId="0" borderId="80" xfId="10" applyFont="1" applyFill="1" applyBorder="1" applyAlignment="1">
      <alignment horizontal="right" vertical="center"/>
    </xf>
    <xf numFmtId="165" fontId="125" fillId="2" borderId="80" xfId="10" applyFont="1" applyFill="1" applyBorder="1" applyAlignment="1">
      <alignment horizontal="right" vertical="center"/>
    </xf>
    <xf numFmtId="0" fontId="130" fillId="2" borderId="78" xfId="0" applyFont="1" applyFill="1" applyBorder="1" applyAlignment="1">
      <alignment vertical="center"/>
    </xf>
    <xf numFmtId="0" fontId="130" fillId="77" borderId="79" xfId="0" applyFont="1" applyFill="1" applyBorder="1" applyAlignment="1">
      <alignment vertical="center"/>
    </xf>
    <xf numFmtId="165" fontId="127" fillId="77" borderId="79" xfId="10" applyFont="1" applyFill="1" applyBorder="1" applyAlignment="1">
      <alignment horizontal="right" vertical="center"/>
    </xf>
    <xf numFmtId="0" fontId="125" fillId="0" borderId="78" xfId="0" applyFont="1" applyBorder="1" applyAlignment="1">
      <alignment vertical="center"/>
    </xf>
    <xf numFmtId="0" fontId="125" fillId="0" borderId="79" xfId="0" applyFont="1" applyBorder="1" applyAlignment="1">
      <alignment vertical="center"/>
    </xf>
    <xf numFmtId="0" fontId="125" fillId="0" borderId="0" xfId="0" applyFont="1" applyAlignment="1">
      <alignment vertical="center"/>
    </xf>
    <xf numFmtId="0" fontId="123" fillId="75" borderId="78" xfId="0" applyFont="1" applyFill="1" applyBorder="1" applyAlignment="1">
      <alignment vertical="center"/>
    </xf>
    <xf numFmtId="0" fontId="123" fillId="75" borderId="79" xfId="0" applyFont="1" applyFill="1" applyBorder="1" applyAlignment="1">
      <alignment horizontal="center" vertical="center"/>
    </xf>
    <xf numFmtId="165" fontId="124" fillId="75" borderId="79" xfId="10" applyFont="1" applyFill="1" applyBorder="1" applyAlignment="1">
      <alignment horizontal="right" vertical="center"/>
    </xf>
    <xf numFmtId="0" fontId="130" fillId="78" borderId="78" xfId="0" applyFont="1" applyFill="1" applyBorder="1" applyAlignment="1">
      <alignment vertical="center"/>
    </xf>
    <xf numFmtId="0" fontId="130" fillId="78" borderId="79" xfId="0" applyFont="1" applyFill="1" applyBorder="1" applyAlignment="1">
      <alignment vertical="center"/>
    </xf>
    <xf numFmtId="165" fontId="127" fillId="78" borderId="79" xfId="10" applyFont="1" applyFill="1" applyBorder="1" applyAlignment="1">
      <alignment horizontal="right" vertical="center"/>
    </xf>
    <xf numFmtId="0" fontId="125" fillId="0" borderId="78" xfId="0" quotePrefix="1" applyFont="1" applyBorder="1" applyAlignment="1">
      <alignment vertical="center"/>
    </xf>
    <xf numFmtId="0" fontId="123" fillId="0" borderId="78" xfId="0" quotePrefix="1" applyFont="1" applyBorder="1" applyAlignment="1">
      <alignment vertical="center"/>
    </xf>
    <xf numFmtId="0" fontId="123" fillId="0" borderId="79" xfId="0" applyFont="1" applyBorder="1" applyAlignment="1">
      <alignment vertical="center"/>
    </xf>
    <xf numFmtId="165" fontId="125" fillId="0" borderId="0" xfId="0" applyNumberFormat="1" applyFont="1" applyAlignment="1">
      <alignment vertical="center"/>
    </xf>
    <xf numFmtId="0" fontId="123" fillId="2" borderId="79" xfId="0" applyFont="1" applyFill="1" applyBorder="1" applyAlignment="1">
      <alignment vertical="center" wrapText="1"/>
    </xf>
    <xf numFmtId="165" fontId="130" fillId="78" borderId="79" xfId="10" applyFont="1" applyFill="1" applyBorder="1" applyAlignment="1">
      <alignment horizontal="right" vertical="center"/>
    </xf>
    <xf numFmtId="165" fontId="125" fillId="0" borderId="79" xfId="10" applyFont="1" applyBorder="1" applyAlignment="1">
      <alignment horizontal="right" vertical="center"/>
    </xf>
    <xf numFmtId="165" fontId="123" fillId="75" borderId="79" xfId="10" applyFont="1" applyFill="1" applyBorder="1" applyAlignment="1">
      <alignment horizontal="right" vertical="center"/>
    </xf>
    <xf numFmtId="0" fontId="123" fillId="0" borderId="78" xfId="0" applyFont="1" applyBorder="1" applyAlignment="1">
      <alignment horizontal="left" vertical="center"/>
    </xf>
    <xf numFmtId="0" fontId="124" fillId="0" borderId="79" xfId="0" quotePrefix="1" applyFont="1" applyBorder="1" applyAlignment="1">
      <alignment horizontal="center" vertical="center"/>
    </xf>
    <xf numFmtId="0" fontId="125" fillId="0" borderId="79" xfId="0" applyFont="1" applyBorder="1" applyAlignment="1">
      <alignment horizontal="center" vertical="center"/>
    </xf>
    <xf numFmtId="0" fontId="123" fillId="0" borderId="81" xfId="0" applyFont="1" applyBorder="1" applyAlignment="1">
      <alignment horizontal="left" vertical="center"/>
    </xf>
    <xf numFmtId="0" fontId="123" fillId="0" borderId="82" xfId="0" applyFont="1" applyBorder="1" applyAlignment="1">
      <alignment horizontal="center" vertical="center"/>
    </xf>
    <xf numFmtId="165" fontId="123" fillId="0" borderId="82" xfId="10" quotePrefix="1" applyFont="1" applyFill="1" applyBorder="1" applyAlignment="1">
      <alignment horizontal="right" vertical="center"/>
    </xf>
    <xf numFmtId="165" fontId="123" fillId="2" borderId="82" xfId="10" quotePrefix="1" applyFont="1" applyFill="1" applyBorder="1" applyAlignment="1">
      <alignment horizontal="right" vertical="center"/>
    </xf>
    <xf numFmtId="0" fontId="126" fillId="0" borderId="0" xfId="0" applyFont="1" applyAlignment="1">
      <alignment vertical="center"/>
    </xf>
    <xf numFmtId="165" fontId="126" fillId="0" borderId="0" xfId="10" applyFont="1" applyFill="1" applyAlignment="1">
      <alignment vertical="center"/>
    </xf>
    <xf numFmtId="9" fontId="52" fillId="0" borderId="10" xfId="20" applyFont="1" applyBorder="1" applyAlignment="1">
      <alignment horizontal="center" vertical="center"/>
    </xf>
    <xf numFmtId="9" fontId="66" fillId="49" borderId="10" xfId="20" applyFont="1" applyFill="1" applyBorder="1" applyAlignment="1">
      <alignment horizontal="center" vertical="center"/>
    </xf>
    <xf numFmtId="9" fontId="66" fillId="64" borderId="10" xfId="20" quotePrefix="1" applyFont="1" applyFill="1" applyBorder="1" applyAlignment="1" applyProtection="1">
      <alignment horizontal="center" vertical="center"/>
      <protection locked="0"/>
    </xf>
    <xf numFmtId="9" fontId="66" fillId="0" borderId="10" xfId="20" applyFont="1" applyBorder="1" applyAlignment="1">
      <alignment horizontal="center" vertical="center"/>
    </xf>
    <xf numFmtId="9" fontId="66" fillId="44" borderId="10" xfId="20" applyFont="1" applyFill="1" applyBorder="1" applyAlignment="1">
      <alignment horizontal="center" vertical="center"/>
    </xf>
    <xf numFmtId="9" fontId="121" fillId="49" borderId="10" xfId="20" applyFont="1" applyFill="1" applyBorder="1" applyAlignment="1">
      <alignment horizontal="center" vertical="center"/>
    </xf>
    <xf numFmtId="9" fontId="66" fillId="64" borderId="10" xfId="20" applyFont="1" applyFill="1" applyBorder="1" applyAlignment="1" applyProtection="1">
      <alignment horizontal="center" vertical="center"/>
      <protection locked="0"/>
    </xf>
    <xf numFmtId="171" fontId="78" fillId="73" borderId="84" xfId="22" applyFont="1" applyFill="1" applyBorder="1" applyAlignment="1" applyProtection="1">
      <alignment horizontal="right" vertical="center"/>
    </xf>
    <xf numFmtId="3" fontId="78" fillId="73" borderId="84" xfId="22" applyNumberFormat="1" applyFont="1" applyFill="1" applyBorder="1" applyAlignment="1" applyProtection="1">
      <alignment horizontal="right" vertical="center"/>
    </xf>
    <xf numFmtId="171" fontId="0" fillId="0" borderId="0" xfId="20" applyNumberFormat="1" applyFont="1" applyBorder="1"/>
    <xf numFmtId="165" fontId="125" fillId="2" borderId="0" xfId="10" applyFont="1" applyFill="1" applyBorder="1" applyAlignment="1">
      <alignment horizontal="right" vertical="center"/>
    </xf>
    <xf numFmtId="165" fontId="125" fillId="2" borderId="0" xfId="10" applyFont="1" applyFill="1" applyBorder="1" applyAlignment="1">
      <alignment vertical="center"/>
    </xf>
    <xf numFmtId="164" fontId="66" fillId="2" borderId="0" xfId="13" applyNumberFormat="1" applyFont="1" applyFill="1" applyAlignment="1">
      <alignment horizontal="center" vertical="center"/>
    </xf>
    <xf numFmtId="0" fontId="123" fillId="2" borderId="32" xfId="28" applyFont="1" applyFill="1" applyBorder="1" applyAlignment="1">
      <alignment horizontal="center" vertical="center" wrapText="1"/>
    </xf>
    <xf numFmtId="0" fontId="123" fillId="2" borderId="37" xfId="28" applyFont="1" applyFill="1" applyBorder="1" applyAlignment="1">
      <alignment horizontal="center" vertical="center"/>
    </xf>
    <xf numFmtId="165" fontId="124" fillId="0" borderId="74" xfId="10" applyFont="1" applyFill="1" applyBorder="1" applyAlignment="1">
      <alignment horizontal="center" vertical="center"/>
    </xf>
    <xf numFmtId="165" fontId="124" fillId="0" borderId="75" xfId="10" applyFont="1" applyFill="1" applyBorder="1" applyAlignment="1">
      <alignment horizontal="center" vertical="center"/>
    </xf>
    <xf numFmtId="0" fontId="127" fillId="77" borderId="76" xfId="0" applyFont="1" applyFill="1" applyBorder="1" applyAlignment="1">
      <alignment horizontal="left" vertical="center"/>
    </xf>
    <xf numFmtId="0" fontId="127" fillId="77" borderId="77" xfId="0" applyFont="1" applyFill="1" applyBorder="1" applyAlignment="1">
      <alignment horizontal="left" vertical="center"/>
    </xf>
    <xf numFmtId="49" fontId="81" fillId="72" borderId="0" xfId="22" applyNumberFormat="1" applyFont="1" applyFill="1" applyBorder="1" applyAlignment="1" applyProtection="1">
      <alignment horizontal="left" vertical="center"/>
    </xf>
    <xf numFmtId="0" fontId="69" fillId="71" borderId="40" xfId="21" applyNumberFormat="1" applyFont="1" applyFill="1" applyBorder="1" applyAlignment="1" applyProtection="1">
      <alignment horizontal="center" vertical="center" wrapText="1"/>
    </xf>
    <xf numFmtId="0" fontId="70" fillId="71" borderId="40" xfId="21" applyNumberFormat="1" applyFont="1" applyFill="1" applyBorder="1" applyAlignment="1" applyProtection="1">
      <alignment horizontal="center" vertical="center"/>
    </xf>
    <xf numFmtId="0" fontId="72" fillId="71" borderId="41" xfId="21" applyNumberFormat="1" applyFont="1" applyFill="1" applyBorder="1" applyAlignment="1" applyProtection="1">
      <alignment horizontal="center" vertical="center"/>
    </xf>
    <xf numFmtId="0" fontId="76" fillId="71" borderId="42" xfId="22" applyNumberFormat="1" applyFont="1" applyFill="1" applyBorder="1" applyAlignment="1" applyProtection="1">
      <alignment horizontal="center" vertical="center" wrapText="1"/>
    </xf>
    <xf numFmtId="0" fontId="78" fillId="71" borderId="43" xfId="22" applyNumberFormat="1" applyFont="1" applyFill="1" applyBorder="1" applyAlignment="1" applyProtection="1">
      <alignment horizontal="center" vertical="center" wrapText="1"/>
    </xf>
    <xf numFmtId="0" fontId="78" fillId="71" borderId="44" xfId="22" applyNumberFormat="1" applyFont="1" applyFill="1" applyBorder="1" applyAlignment="1" applyProtection="1">
      <alignment horizontal="center" vertical="center" wrapText="1"/>
    </xf>
    <xf numFmtId="4" fontId="79" fillId="71" borderId="40" xfId="23" applyNumberFormat="1" applyFont="1" applyFill="1" applyBorder="1" applyAlignment="1" applyProtection="1">
      <alignment horizontal="center" vertical="center" wrapText="1"/>
    </xf>
    <xf numFmtId="171" fontId="78" fillId="72" borderId="46" xfId="22" applyFont="1" applyFill="1" applyBorder="1" applyAlignment="1" applyProtection="1">
      <alignment horizontal="left" vertical="center"/>
    </xf>
    <xf numFmtId="49" fontId="78" fillId="72" borderId="0" xfId="22" applyNumberFormat="1" applyFont="1" applyFill="1" applyBorder="1" applyAlignment="1" applyProtection="1">
      <alignment horizontal="left" vertical="center"/>
    </xf>
    <xf numFmtId="49" fontId="81" fillId="72" borderId="49" xfId="22" applyNumberFormat="1" applyFont="1" applyFill="1" applyBorder="1" applyAlignment="1" applyProtection="1">
      <alignment horizontal="left" vertical="center" wrapText="1"/>
    </xf>
    <xf numFmtId="49" fontId="81" fillId="72" borderId="0" xfId="22" applyNumberFormat="1" applyFont="1" applyFill="1" applyBorder="1" applyAlignment="1" applyProtection="1">
      <alignment horizontal="left" vertical="center" wrapText="1"/>
    </xf>
    <xf numFmtId="49" fontId="78" fillId="73" borderId="41" xfId="22" applyNumberFormat="1" applyFont="1" applyFill="1" applyBorder="1" applyAlignment="1" applyProtection="1">
      <alignment horizontal="left" vertical="center"/>
    </xf>
    <xf numFmtId="49" fontId="85" fillId="74" borderId="51" xfId="22" applyNumberFormat="1" applyFont="1" applyFill="1" applyBorder="1" applyAlignment="1" applyProtection="1">
      <alignment horizontal="left" vertical="center"/>
    </xf>
    <xf numFmtId="49" fontId="81" fillId="72" borderId="0" xfId="22" applyNumberFormat="1" applyFont="1" applyFill="1" applyBorder="1" applyAlignment="1" applyProtection="1">
      <alignment horizontal="center" vertical="center" wrapText="1"/>
    </xf>
    <xf numFmtId="49" fontId="81" fillId="72" borderId="0" xfId="22" applyNumberFormat="1" applyFont="1" applyFill="1" applyBorder="1" applyAlignment="1" applyProtection="1">
      <alignment horizontal="center" vertical="center"/>
    </xf>
    <xf numFmtId="49" fontId="78" fillId="73" borderId="83" xfId="22" applyNumberFormat="1" applyFont="1" applyFill="1" applyBorder="1" applyAlignment="1" applyProtection="1">
      <alignment horizontal="left" vertical="center"/>
    </xf>
    <xf numFmtId="49" fontId="92" fillId="72" borderId="0" xfId="27" applyNumberFormat="1" applyFont="1" applyFill="1" applyBorder="1" applyAlignment="1" applyProtection="1">
      <alignment horizontal="left" vertical="center"/>
    </xf>
    <xf numFmtId="0" fontId="87" fillId="71" borderId="45" xfId="27" applyNumberFormat="1" applyFont="1" applyFill="1" applyBorder="1" applyAlignment="1" applyProtection="1">
      <alignment horizontal="center" vertical="center" wrapText="1"/>
    </xf>
    <xf numFmtId="0" fontId="87" fillId="71" borderId="46" xfId="27" applyNumberFormat="1" applyFont="1" applyFill="1" applyBorder="1" applyAlignment="1" applyProtection="1">
      <alignment horizontal="center" vertical="center" wrapText="1"/>
    </xf>
    <xf numFmtId="0" fontId="87" fillId="71" borderId="66" xfId="27" applyNumberFormat="1" applyFont="1" applyFill="1" applyBorder="1" applyAlignment="1" applyProtection="1">
      <alignment horizontal="center" vertical="center" wrapText="1"/>
    </xf>
    <xf numFmtId="0" fontId="87" fillId="71" borderId="63" xfId="27" applyNumberFormat="1" applyFont="1" applyFill="1" applyBorder="1" applyAlignment="1" applyProtection="1">
      <alignment horizontal="center" vertical="center" wrapText="1"/>
    </xf>
    <xf numFmtId="0" fontId="87" fillId="71" borderId="64" xfId="27" applyNumberFormat="1" applyFont="1" applyFill="1" applyBorder="1" applyAlignment="1" applyProtection="1">
      <alignment horizontal="center" vertical="center" wrapText="1"/>
    </xf>
    <xf numFmtId="0" fontId="87" fillId="71" borderId="67" xfId="27" applyNumberFormat="1" applyFont="1" applyFill="1" applyBorder="1" applyAlignment="1" applyProtection="1">
      <alignment horizontal="center" vertical="center" wrapText="1"/>
    </xf>
    <xf numFmtId="0" fontId="90" fillId="71" borderId="40" xfId="27" applyNumberFormat="1" applyFont="1" applyFill="1" applyBorder="1" applyAlignment="1" applyProtection="1">
      <alignment horizontal="center" vertical="center" wrapText="1"/>
    </xf>
    <xf numFmtId="164" fontId="87" fillId="71" borderId="40" xfId="3" applyNumberFormat="1" applyFont="1" applyFill="1" applyBorder="1" applyAlignment="1" applyProtection="1">
      <alignment horizontal="center" vertical="center" wrapText="1"/>
    </xf>
    <xf numFmtId="4" fontId="87" fillId="71" borderId="40" xfId="27" applyNumberFormat="1" applyFont="1" applyFill="1" applyBorder="1" applyAlignment="1" applyProtection="1">
      <alignment horizontal="center" vertical="center" wrapText="1"/>
    </xf>
    <xf numFmtId="175" fontId="90" fillId="72" borderId="0" xfId="27" applyNumberFormat="1" applyFont="1" applyFill="1" applyBorder="1" applyAlignment="1" applyProtection="1">
      <alignment horizontal="left" vertical="center"/>
    </xf>
    <xf numFmtId="175" fontId="90" fillId="72" borderId="0" xfId="27" applyNumberFormat="1" applyFont="1" applyFill="1" applyBorder="1" applyAlignment="1" applyProtection="1">
      <alignment horizontal="left" vertical="center" wrapText="1"/>
    </xf>
    <xf numFmtId="175" fontId="90" fillId="72" borderId="49" xfId="27" applyNumberFormat="1" applyFont="1" applyFill="1" applyBorder="1" applyAlignment="1" applyProtection="1">
      <alignment horizontal="left" vertical="center" wrapText="1"/>
    </xf>
    <xf numFmtId="49" fontId="94" fillId="72" borderId="0" xfId="27" applyNumberFormat="1" applyFont="1" applyFill="1" applyBorder="1" applyAlignment="1" applyProtection="1">
      <alignment horizontal="center" vertical="center" wrapText="1"/>
    </xf>
    <xf numFmtId="49" fontId="94" fillId="72" borderId="49" xfId="27" applyNumberFormat="1" applyFont="1" applyFill="1" applyBorder="1" applyAlignment="1" applyProtection="1">
      <alignment horizontal="center" vertical="center" wrapText="1"/>
    </xf>
    <xf numFmtId="0" fontId="93" fillId="71" borderId="49" xfId="0" applyFont="1" applyFill="1" applyBorder="1"/>
    <xf numFmtId="175" fontId="90" fillId="71" borderId="0" xfId="27" applyNumberFormat="1" applyFont="1" applyFill="1" applyBorder="1" applyAlignment="1" applyProtection="1">
      <alignment horizontal="left" vertical="center"/>
    </xf>
    <xf numFmtId="49" fontId="92" fillId="71" borderId="0" xfId="27" applyNumberFormat="1" applyFont="1" applyFill="1" applyBorder="1" applyAlignment="1" applyProtection="1">
      <alignment horizontal="left" vertical="center"/>
    </xf>
    <xf numFmtId="49" fontId="95" fillId="72" borderId="0" xfId="27" applyNumberFormat="1" applyFont="1" applyFill="1" applyBorder="1" applyAlignment="1" applyProtection="1">
      <alignment horizontal="left" vertical="center"/>
    </xf>
    <xf numFmtId="49" fontId="95" fillId="72" borderId="49" xfId="27" applyNumberFormat="1" applyFont="1" applyFill="1" applyBorder="1" applyAlignment="1" applyProtection="1">
      <alignment horizontal="left" vertical="center"/>
    </xf>
    <xf numFmtId="0" fontId="93" fillId="71" borderId="46" xfId="0" applyFont="1" applyFill="1" applyBorder="1"/>
    <xf numFmtId="49" fontId="94" fillId="72" borderId="0" xfId="27" applyNumberFormat="1" applyFont="1" applyFill="1" applyBorder="1" applyAlignment="1" applyProtection="1">
      <alignment horizontal="left" vertical="center"/>
    </xf>
    <xf numFmtId="49" fontId="92" fillId="72" borderId="0" xfId="27" applyNumberFormat="1" applyFont="1" applyFill="1" applyBorder="1" applyAlignment="1" applyProtection="1">
      <alignment horizontal="left" vertical="center" wrapText="1"/>
    </xf>
    <xf numFmtId="49" fontId="92" fillId="72" borderId="49" xfId="27" applyNumberFormat="1" applyFont="1" applyFill="1" applyBorder="1" applyAlignment="1" applyProtection="1">
      <alignment horizontal="left" vertical="center" wrapText="1"/>
    </xf>
    <xf numFmtId="49" fontId="92" fillId="72" borderId="0" xfId="27" applyNumberFormat="1" applyFont="1" applyFill="1" applyBorder="1" applyAlignment="1" applyProtection="1">
      <alignment horizontal="left" vertical="center" wrapText="1" readingOrder="1"/>
    </xf>
    <xf numFmtId="49" fontId="92" fillId="72" borderId="49" xfId="27" applyNumberFormat="1" applyFont="1" applyFill="1" applyBorder="1" applyAlignment="1" applyProtection="1">
      <alignment horizontal="left" vertical="center" wrapText="1" readingOrder="1"/>
    </xf>
    <xf numFmtId="49" fontId="95" fillId="72" borderId="0" xfId="27" applyNumberFormat="1" applyFont="1" applyFill="1" applyBorder="1" applyAlignment="1" applyProtection="1">
      <alignment horizontal="left" vertical="center" wrapText="1" readingOrder="1"/>
    </xf>
    <xf numFmtId="49" fontId="95" fillId="72" borderId="49" xfId="27" applyNumberFormat="1" applyFont="1" applyFill="1" applyBorder="1" applyAlignment="1" applyProtection="1">
      <alignment horizontal="left" vertical="center" wrapText="1" readingOrder="1"/>
    </xf>
    <xf numFmtId="49" fontId="116" fillId="72" borderId="0" xfId="27" applyNumberFormat="1" applyFont="1" applyFill="1" applyBorder="1" applyAlignment="1" applyProtection="1">
      <alignment horizontal="left" vertical="center" wrapText="1"/>
    </xf>
    <xf numFmtId="49" fontId="116" fillId="72" borderId="49" xfId="27" applyNumberFormat="1" applyFont="1" applyFill="1" applyBorder="1" applyAlignment="1" applyProtection="1">
      <alignment horizontal="left" vertical="center" wrapText="1"/>
    </xf>
    <xf numFmtId="0" fontId="107" fillId="71" borderId="45" xfId="27" applyNumberFormat="1" applyFont="1" applyFill="1" applyBorder="1" applyAlignment="1" applyProtection="1">
      <alignment horizontal="left" vertical="center" wrapText="1"/>
    </xf>
    <xf numFmtId="0" fontId="107" fillId="71" borderId="46" xfId="27" applyNumberFormat="1" applyFont="1" applyFill="1" applyBorder="1" applyAlignment="1" applyProtection="1">
      <alignment horizontal="left" vertical="center" wrapText="1"/>
    </xf>
    <xf numFmtId="0" fontId="107" fillId="71" borderId="66" xfId="27" applyNumberFormat="1" applyFont="1" applyFill="1" applyBorder="1" applyAlignment="1" applyProtection="1">
      <alignment horizontal="left" vertical="center" wrapText="1"/>
    </xf>
    <xf numFmtId="0" fontId="107" fillId="71" borderId="63" xfId="27" applyNumberFormat="1" applyFont="1" applyFill="1" applyBorder="1" applyAlignment="1" applyProtection="1">
      <alignment horizontal="left" vertical="center" wrapText="1"/>
    </xf>
    <xf numFmtId="0" fontId="107" fillId="71" borderId="64" xfId="27" applyNumberFormat="1" applyFont="1" applyFill="1" applyBorder="1" applyAlignment="1" applyProtection="1">
      <alignment horizontal="left" vertical="center" wrapText="1"/>
    </xf>
    <xf numFmtId="0" fontId="107" fillId="71" borderId="67" xfId="27" applyNumberFormat="1" applyFont="1" applyFill="1" applyBorder="1" applyAlignment="1" applyProtection="1">
      <alignment horizontal="left" vertical="center" wrapText="1"/>
    </xf>
    <xf numFmtId="0" fontId="111" fillId="71" borderId="45" xfId="27" applyNumberFormat="1" applyFont="1" applyFill="1" applyBorder="1" applyAlignment="1" applyProtection="1">
      <alignment horizontal="center" vertical="center" wrapText="1"/>
    </xf>
    <xf numFmtId="0" fontId="111" fillId="71" borderId="46" xfId="27" applyNumberFormat="1" applyFont="1" applyFill="1" applyBorder="1" applyAlignment="1" applyProtection="1">
      <alignment horizontal="center" vertical="center" wrapText="1"/>
    </xf>
    <xf numFmtId="0" fontId="111" fillId="71" borderId="63" xfId="27" applyNumberFormat="1" applyFont="1" applyFill="1" applyBorder="1" applyAlignment="1" applyProtection="1">
      <alignment horizontal="center" vertical="center" wrapText="1"/>
    </xf>
    <xf numFmtId="0" fontId="111" fillId="71" borderId="64" xfId="27" applyNumberFormat="1" applyFont="1" applyFill="1" applyBorder="1" applyAlignment="1" applyProtection="1">
      <alignment horizontal="center" vertical="center" wrapText="1"/>
    </xf>
    <xf numFmtId="0" fontId="112" fillId="71" borderId="69" xfId="27" applyNumberFormat="1" applyFont="1" applyFill="1" applyBorder="1" applyAlignment="1" applyProtection="1">
      <alignment horizontal="center" vertical="center" wrapText="1"/>
    </xf>
    <xf numFmtId="0" fontId="112" fillId="71" borderId="70" xfId="27" applyNumberFormat="1" applyFont="1" applyFill="1" applyBorder="1" applyAlignment="1" applyProtection="1">
      <alignment horizontal="center" vertical="center" wrapText="1"/>
    </xf>
    <xf numFmtId="4" fontId="112" fillId="72" borderId="42" xfId="27" applyNumberFormat="1" applyFont="1" applyFill="1" applyBorder="1" applyAlignment="1" applyProtection="1">
      <alignment horizontal="center" vertical="center" wrapText="1"/>
    </xf>
    <xf numFmtId="4" fontId="112" fillId="72" borderId="68" xfId="27" applyNumberFormat="1" applyFont="1" applyFill="1" applyBorder="1" applyAlignment="1" applyProtection="1">
      <alignment horizontal="center" vertical="center" wrapText="1"/>
    </xf>
    <xf numFmtId="0" fontId="0" fillId="66" borderId="30" xfId="0" applyFill="1" applyBorder="1" applyAlignment="1">
      <alignment horizontal="center"/>
    </xf>
    <xf numFmtId="0" fontId="0" fillId="66" borderId="31" xfId="0" applyFill="1" applyBorder="1" applyAlignment="1">
      <alignment horizontal="center"/>
    </xf>
    <xf numFmtId="0" fontId="0" fillId="66" borderId="32" xfId="0" applyFill="1" applyBorder="1" applyAlignment="1">
      <alignment horizontal="center"/>
    </xf>
    <xf numFmtId="0" fontId="0" fillId="65" borderId="0" xfId="0" applyFill="1" applyAlignment="1">
      <alignment horizontal="center"/>
    </xf>
    <xf numFmtId="0" fontId="13" fillId="0" borderId="0" xfId="5" applyFont="1" applyAlignment="1">
      <alignment horizontal="center" vertical="center"/>
    </xf>
    <xf numFmtId="165" fontId="28" fillId="36" borderId="21" xfId="7" applyFont="1" applyFill="1" applyBorder="1" applyAlignment="1">
      <alignment horizontal="left" vertical="center" wrapText="1"/>
    </xf>
    <xf numFmtId="165" fontId="28" fillId="36" borderId="22" xfId="7" applyFont="1" applyFill="1" applyBorder="1" applyAlignment="1">
      <alignment horizontal="left" vertical="center" wrapText="1"/>
    </xf>
    <xf numFmtId="165" fontId="28" fillId="36" borderId="23" xfId="7" applyFont="1" applyFill="1" applyBorder="1" applyAlignment="1">
      <alignment horizontal="left" vertical="center" wrapText="1"/>
    </xf>
    <xf numFmtId="165" fontId="28" fillId="8" borderId="6" xfId="7" applyFont="1" applyFill="1" applyBorder="1" applyAlignment="1">
      <alignment horizontal="left" vertical="center" wrapText="1"/>
    </xf>
    <xf numFmtId="165" fontId="28" fillId="8" borderId="9" xfId="7" applyFont="1" applyFill="1" applyBorder="1" applyAlignment="1">
      <alignment horizontal="left" vertical="center" wrapText="1"/>
    </xf>
    <xf numFmtId="165" fontId="28" fillId="8" borderId="2" xfId="7" applyFont="1" applyFill="1" applyBorder="1" applyAlignment="1">
      <alignment horizontal="left" vertical="center" wrapText="1"/>
    </xf>
    <xf numFmtId="165" fontId="28" fillId="0" borderId="21" xfId="7" applyFont="1" applyFill="1" applyBorder="1" applyAlignment="1">
      <alignment horizontal="left" vertical="center" wrapText="1"/>
    </xf>
    <xf numFmtId="165" fontId="28" fillId="0" borderId="23" xfId="7" applyFont="1" applyFill="1" applyBorder="1" applyAlignment="1">
      <alignment horizontal="left" vertical="center" wrapText="1"/>
    </xf>
  </cellXfs>
  <cellStyles count="30">
    <cellStyle name="Excel Built-in Comma [0]_Marilù (v.0.5) 2" xfId="22" xr:uid="{00000000-0005-0000-0000-000000000000}"/>
    <cellStyle name="Excel Built-in Migliaia [0]_Asl 6_Raccordo MONISANIT al 31 dicembre 2007 (v. FINALE del 30.05.2008)" xfId="23" xr:uid="{00000000-0005-0000-0000-000001000000}"/>
    <cellStyle name="Excel Built-in Migliaia [0]_Asl 6_Raccordo MONISANIT al 31 dicembre 2007 (v. FINALE del 30.05.2008) 2" xfId="26" xr:uid="{00000000-0005-0000-0000-000002000000}"/>
    <cellStyle name="Excel Built-in Migliaia_Asl 6_Raccordo MONISANIT al 31 dicembre 2007 (v. FINALE del 30.05.2008) 2" xfId="24" xr:uid="{00000000-0005-0000-0000-000003000000}"/>
    <cellStyle name="Excel Built-in Normale_Asl 6_Raccordo MONISANIT al 31 dicembre 2007 (v. FINALE del 30.05.2008) 2" xfId="21" xr:uid="{00000000-0005-0000-0000-000004000000}"/>
    <cellStyle name="Excel Built-in Percent 3" xfId="25" xr:uid="{00000000-0005-0000-0000-000005000000}"/>
    <cellStyle name="Excel_BuiltIn_Testo descrittivo" xfId="27" xr:uid="{00000000-0005-0000-0000-000006000000}"/>
    <cellStyle name="Migliaia" xfId="3" builtinId="3"/>
    <cellStyle name="Migliaia 2" xfId="2" xr:uid="{00000000-0005-0000-0000-000008000000}"/>
    <cellStyle name="Migliaia 2 2" xfId="7" xr:uid="{00000000-0005-0000-0000-000009000000}"/>
    <cellStyle name="Migliaia 2 2 2" xfId="18" xr:uid="{00000000-0005-0000-0000-00000A000000}"/>
    <cellStyle name="Migliaia 2 4" xfId="15" xr:uid="{00000000-0005-0000-0000-00000B000000}"/>
    <cellStyle name="Migliaia 2 5" xfId="11" xr:uid="{00000000-0005-0000-0000-00000C000000}"/>
    <cellStyle name="Migliaia 3" xfId="14" xr:uid="{00000000-0005-0000-0000-00000D000000}"/>
    <cellStyle name="Migliaia 4" xfId="17" xr:uid="{00000000-0005-0000-0000-00000E000000}"/>
    <cellStyle name="Migliaia 8" xfId="10" xr:uid="{00000000-0005-0000-0000-00000F000000}"/>
    <cellStyle name="Normal 2" xfId="4" xr:uid="{00000000-0005-0000-0000-000010000000}"/>
    <cellStyle name="Normal_Sheet1 2" xfId="12" xr:uid="{00000000-0005-0000-0000-000011000000}"/>
    <cellStyle name="Normale" xfId="0" builtinId="0"/>
    <cellStyle name="Normale 14" xfId="8" xr:uid="{00000000-0005-0000-0000-000013000000}"/>
    <cellStyle name="Normale 14 3" xfId="9" xr:uid="{00000000-0005-0000-0000-000014000000}"/>
    <cellStyle name="Normale 2" xfId="1" xr:uid="{00000000-0005-0000-0000-000015000000}"/>
    <cellStyle name="Normale 2 2" xfId="16" xr:uid="{00000000-0005-0000-0000-000016000000}"/>
    <cellStyle name="Normale 3" xfId="5" xr:uid="{00000000-0005-0000-0000-000017000000}"/>
    <cellStyle name="Normale 4" xfId="6" xr:uid="{00000000-0005-0000-0000-000018000000}"/>
    <cellStyle name="Normale 4 2" xfId="19" xr:uid="{00000000-0005-0000-0000-000019000000}"/>
    <cellStyle name="Normale_Asl 6_Raccordo MONISANIT al 31 dicembre 2007 (v. FINALE del 30.05.2008) 2" xfId="28" xr:uid="{94B4D313-29AB-491C-83FA-A373B1466D8F}"/>
    <cellStyle name="Normale_modelloDCF2004bottoni" xfId="29" xr:uid="{E58144EB-AAD1-4D8B-A70E-827DEB534A7C}"/>
    <cellStyle name="Normale_Nuovo_CE_protetto_2009" xfId="13" xr:uid="{00000000-0005-0000-0000-00001D000000}"/>
    <cellStyle name="Percentuale" xfId="20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7474"/>
        </patternFill>
      </fill>
    </dxf>
    <dxf>
      <fill>
        <patternFill patternType="solid">
          <bgColor rgb="FFFF747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373380</xdr:colOff>
      <xdr:row>2</xdr:row>
      <xdr:rowOff>30480</xdr:rowOff>
    </xdr:from>
    <xdr:to>
      <xdr:col>4</xdr:col>
      <xdr:colOff>373380</xdr:colOff>
      <xdr:row>2</xdr:row>
      <xdr:rowOff>236220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23830EB-0134-41B4-8470-C253A61672E0}"/>
            </a:ext>
          </a:extLst>
        </xdr:cNvPr>
        <xdr:cNvSpPr>
          <a:spLocks noChangeShapeType="1"/>
        </xdr:cNvSpPr>
      </xdr:nvSpPr>
      <xdr:spPr bwMode="auto">
        <a:xfrm>
          <a:off x="5643880" y="735330"/>
          <a:ext cx="0" cy="2057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403860</xdr:colOff>
      <xdr:row>2</xdr:row>
      <xdr:rowOff>22860</xdr:rowOff>
    </xdr:from>
    <xdr:to>
      <xdr:col>5</xdr:col>
      <xdr:colOff>403860</xdr:colOff>
      <xdr:row>2</xdr:row>
      <xdr:rowOff>251460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728FC24-C293-458C-91DA-76D20FB0E230}"/>
            </a:ext>
          </a:extLst>
        </xdr:cNvPr>
        <xdr:cNvSpPr>
          <a:spLocks noChangeShapeType="1"/>
        </xdr:cNvSpPr>
      </xdr:nvSpPr>
      <xdr:spPr bwMode="auto">
        <a:xfrm>
          <a:off x="6410960" y="72771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609600</xdr:colOff>
      <xdr:row>1</xdr:row>
      <xdr:rowOff>365760</xdr:rowOff>
    </xdr:from>
    <xdr:to>
      <xdr:col>6</xdr:col>
      <xdr:colOff>609600</xdr:colOff>
      <xdr:row>2</xdr:row>
      <xdr:rowOff>251460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FEC9ACB-113A-455E-A47C-75AF1983DB79}"/>
            </a:ext>
          </a:extLst>
        </xdr:cNvPr>
        <xdr:cNvSpPr>
          <a:spLocks noChangeShapeType="1"/>
        </xdr:cNvSpPr>
      </xdr:nvSpPr>
      <xdr:spPr bwMode="auto">
        <a:xfrm>
          <a:off x="7493000" y="537210"/>
          <a:ext cx="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5362575</xdr:colOff>
      <xdr:row>0</xdr:row>
      <xdr:rowOff>76200</xdr:rowOff>
    </xdr:from>
    <xdr:to>
      <xdr:col>1</xdr:col>
      <xdr:colOff>5920468</xdr:colOff>
      <xdr:row>1</xdr:row>
      <xdr:rowOff>331864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8F47CE74-0770-498C-9E12-153F7D7B9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4093" t="13953" r="38563" b="17829"/>
        <a:stretch>
          <a:fillRect/>
        </a:stretch>
      </xdr:blipFill>
      <xdr:spPr bwMode="auto">
        <a:xfrm>
          <a:off x="5972175" y="76200"/>
          <a:ext cx="557893" cy="5985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</xdr:row>
      <xdr:rowOff>31750</xdr:rowOff>
    </xdr:from>
    <xdr:to>
      <xdr:col>4</xdr:col>
      <xdr:colOff>381000</xdr:colOff>
      <xdr:row>2</xdr:row>
      <xdr:rowOff>241300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CFAEF1-17B4-476C-BA09-A5FD381F2600}"/>
            </a:ext>
          </a:extLst>
        </xdr:cNvPr>
        <xdr:cNvSpPr>
          <a:spLocks noChangeShapeType="1"/>
        </xdr:cNvSpPr>
      </xdr:nvSpPr>
      <xdr:spPr bwMode="auto">
        <a:xfrm>
          <a:off x="4648200" y="622300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412750</xdr:colOff>
      <xdr:row>2</xdr:row>
      <xdr:rowOff>25400</xdr:rowOff>
    </xdr:from>
    <xdr:to>
      <xdr:col>5</xdr:col>
      <xdr:colOff>412750</xdr:colOff>
      <xdr:row>2</xdr:row>
      <xdr:rowOff>260350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B6E85EB-4D70-425E-A203-F593031C23CF}"/>
            </a:ext>
          </a:extLst>
        </xdr:cNvPr>
        <xdr:cNvSpPr>
          <a:spLocks noChangeShapeType="1"/>
        </xdr:cNvSpPr>
      </xdr:nvSpPr>
      <xdr:spPr bwMode="auto">
        <a:xfrm>
          <a:off x="5413375" y="615950"/>
          <a:ext cx="0" cy="234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dia Bilello" refreshedDate="45837.341677662036" createdVersion="8" refreshedVersion="8" minRefreshableVersion="3" recordCount="1774" xr:uid="{00000000-000A-0000-FFFF-FFFF00000000}">
  <cacheSource type="worksheet">
    <worksheetSource ref="E2:Q1776" sheet="BdV_2024_v.28062025_ore17"/>
  </cacheSource>
  <cacheFields count="13">
    <cacheField name="CONTO" numFmtId="0">
      <sharedItems containsBlank="1"/>
    </cacheField>
    <cacheField name="DESCRIZIONE" numFmtId="0">
      <sharedItems containsBlank="1"/>
    </cacheField>
    <cacheField name="APERTURE" numFmtId="0">
      <sharedItems containsBlank="1" containsMixedTypes="1" containsNumber="1" minValue="0" maxValue="399109659.45999998"/>
    </cacheField>
    <cacheField name="APERTURE2" numFmtId="0">
      <sharedItems containsMixedTypes="1" containsNumber="1" minValue="0" maxValue="301855330.14999998"/>
    </cacheField>
    <cacheField name="SALDO" numFmtId="0">
      <sharedItems containsMixedTypes="1" containsNumber="1" minValue="0" maxValue="298130368.11000001"/>
    </cacheField>
    <cacheField name="SALDO MOV" numFmtId="0">
      <sharedItems containsMixedTypes="1" containsNumber="1" minValue="0" maxValue="2827935091.3400002"/>
    </cacheField>
    <cacheField name="SALDO MOV2" numFmtId="0">
      <sharedItems containsMixedTypes="1" containsNumber="1" minValue="0" maxValue="2833976027.9000001"/>
    </cacheField>
    <cacheField name="CHIUSURE" numFmtId="0">
      <sharedItems containsMixedTypes="1" containsNumber="1" containsInteger="1" minValue="0" maxValue="0"/>
    </cacheField>
    <cacheField name="CHIUSURE2" numFmtId="0">
      <sharedItems containsMixedTypes="1" containsNumber="1" containsInteger="1" minValue="0" maxValue="0"/>
    </cacheField>
    <cacheField name="TOT. SALDO" numFmtId="0">
      <sharedItems containsMixedTypes="1" containsNumber="1" minValue="0" maxValue="2831660053.3800001"/>
    </cacheField>
    <cacheField name="TOT. SALDO2" numFmtId="0">
      <sharedItems containsMixedTypes="1" containsNumber="1" minValue="0" maxValue="3135831358.0500002"/>
    </cacheField>
    <cacheField name="SALDO2" numFmtId="0">
      <sharedItems containsMixedTypes="1" containsNumber="1" minValue="-304171304.67000002" maxValue="304320706.75999999"/>
    </cacheField>
    <cacheField name="AGGR" numFmtId="0">
      <sharedItems containsBlank="1" count="247">
        <s v="AGGR"/>
        <m/>
        <s v="AAA020"/>
        <s v="AAA030"/>
        <s v="AAA050"/>
        <s v="AAA060"/>
        <s v="AAA080"/>
        <s v="AAA090"/>
        <s v="AAA100"/>
        <s v="AAA110"/>
        <s v="AAA120"/>
        <s v="AAA140"/>
        <s v="AAA150"/>
        <s v="AAA160"/>
        <s v="AAA170"/>
        <s v="AAA180"/>
        <s v="AAA190"/>
        <s v="AAA200"/>
        <s v="AAA210"/>
        <s v="AAA230"/>
        <s v="AAA240"/>
        <s v="AAA250"/>
        <s v="AAA260"/>
        <s v="AAA290"/>
        <s v="AAA300"/>
        <s v="AAA330"/>
        <s v="AAA340"/>
        <s v="AAA360"/>
        <s v="AAA370"/>
        <s v="AAA390"/>
        <s v="AAA400"/>
        <s v="AAA420"/>
        <s v="AAA430"/>
        <s v="AAA450"/>
        <s v="AAA460"/>
        <s v="AAA480"/>
        <s v="AAA490"/>
        <s v="AAA500"/>
        <s v="AAA520"/>
        <s v="AAA530"/>
        <s v="AAA560"/>
        <s v="AAA570"/>
        <s v="AAA580"/>
        <s v="AAA590"/>
        <s v="AAA600"/>
        <s v="AAA610"/>
        <s v="AAA620"/>
        <s v="AAA630"/>
        <s v="AAA670"/>
        <s v="AAA680"/>
        <s v="AAA690"/>
        <s v="AAA710"/>
        <s v="AAA730"/>
        <s v="AAA740"/>
        <s v="AAA750"/>
        <s v="AAA760"/>
        <s v="ABA020"/>
        <s v="ABA030"/>
        <s v="ABA040"/>
        <s v="ABA050"/>
        <s v="ABA060"/>
        <s v="ABA070"/>
        <s v="ABA080"/>
        <s v="ABA090"/>
        <s v="ABA100"/>
        <s v="ABA120"/>
        <s v="ABA130"/>
        <s v="ABA140"/>
        <s v="ABA150"/>
        <s v="ABA160"/>
        <s v="ABA170"/>
        <s v="ABA180"/>
        <s v="ABA220"/>
        <s v="ABA230"/>
        <s v="ABA240"/>
        <s v="ABA250"/>
        <s v="ABA260"/>
        <s v="ABA270"/>
        <s v="ABA280"/>
        <s v="ABA300"/>
        <s v="ABA310"/>
        <s v="ABA320"/>
        <s v="ABA330"/>
        <s v="ABA340"/>
        <s v="ABA360"/>
        <s v="ABA390"/>
        <s v="ABA400"/>
        <s v="ABA410"/>
        <s v="ABA420"/>
        <s v="ABA430"/>
        <s v="ABA440"/>
        <s v="ABA450"/>
        <s v="ABA460"/>
        <s v="ABA451"/>
        <s v="ABA461"/>
        <s v="ABA480"/>
        <s v="ABA490"/>
        <s v="ABA500"/>
        <s v="ABA510"/>
        <s v="ABA520"/>
        <s v="ABA501"/>
        <s v="ABA530"/>
        <s v="ABA560"/>
        <s v="ABA570"/>
        <s v="ABA580"/>
        <s v="ABA590"/>
        <s v="ABA600"/>
        <s v="ABA620"/>
        <s v="ABA630"/>
        <s v="ABA640"/>
        <s v="ABA650"/>
        <s v="ABA670"/>
        <s v="ABA680"/>
        <s v="ABA690"/>
        <s v="ABA700"/>
        <s v="ABA711"/>
        <s v="ABA714"/>
        <s v="ABA710"/>
        <s v="ABA712"/>
        <s v="ABA715"/>
        <s v="ABA713"/>
        <s v="ABA201"/>
        <s v="ABA271"/>
        <s v="ABA521"/>
        <s v="ABA522"/>
        <s v="ABA591"/>
        <s v="ABA601"/>
        <s v="ABA730"/>
        <s v="ABA740"/>
        <s v="ABA760"/>
        <s v="ABA770"/>
        <s v="ABA780"/>
        <s v="ABA790"/>
        <s v="ACA010"/>
        <s v="ACA020"/>
        <s v="ACA040"/>
        <s v="ACA050"/>
        <s v="PAA020"/>
        <s v="PAA040"/>
        <s v="PAA050"/>
        <s v="PAA060"/>
        <s v="PAA070"/>
        <s v="PAA080"/>
        <s v="PAA090"/>
        <s v="PAA100"/>
        <s v="PAA120"/>
        <s v="PAA130"/>
        <s v="PAA140"/>
        <s v="PAA150"/>
        <s v="PAA160"/>
        <s v="PAA180"/>
        <s v="PAA190"/>
        <s v="PAA200"/>
        <s v="PAA210"/>
        <s v="PAA220"/>
        <s v="PBA000"/>
        <s v="PBA020"/>
        <s v="PBA030"/>
        <s v="PBA040"/>
        <s v="PBA050"/>
        <s v="PBA060"/>
        <s v="PBA051"/>
        <s v="PBA052"/>
        <s v="PBA080"/>
        <s v="PBA090"/>
        <s v="PBA100"/>
        <s v="PBA110"/>
        <s v="PBA120"/>
        <s v="PBA130"/>
        <s v="PBA140"/>
        <s v="PBA141"/>
        <s v="PBA160"/>
        <s v="PBA170"/>
        <s v="PBA180"/>
        <s v="PBA190"/>
        <s v="PBA151"/>
        <s v="PBA210"/>
        <s v="PBA230"/>
        <s v="PBA240"/>
        <s v="PBA250"/>
        <s v="PBA260"/>
        <s v="PBA270"/>
        <s v="PCA000"/>
        <s v="PCA010"/>
        <s v="PCA020"/>
        <s v="PDA000"/>
        <s v="PDA020"/>
        <s v="PDA030"/>
        <s v="PDA040"/>
        <s v="PDA050"/>
        <s v="PDA060"/>
        <s v="PDA080"/>
        <s v="PDA090"/>
        <s v="PDA100"/>
        <s v="PDA110"/>
        <s v="PDA121"/>
        <s v="PDA081"/>
        <s v="PDA101"/>
        <s v="PDA111"/>
        <s v="PDA112"/>
        <s v="PDA120"/>
        <s v="PDA130"/>
        <s v="PDA160"/>
        <s v="PDA170"/>
        <s v="PDA180"/>
        <s v="PDA190"/>
        <s v="PDA200"/>
        <s v="PDA210"/>
        <s v="PDA220"/>
        <s v="PDA231"/>
        <s v="PDA232"/>
        <s v="PDA233"/>
        <s v="PDA234"/>
        <s v="PDA235"/>
        <s v="PDA211"/>
        <s v="PDA212"/>
        <s v="PDA213"/>
        <s v="PDA270"/>
        <s v="PDA250"/>
        <s v="PDA260"/>
        <s v="PDA291"/>
        <s v="PDA292"/>
        <s v="PDA301"/>
        <s v="PDA300"/>
        <s v="PDA302"/>
        <s v="PDA310"/>
        <s v="PDA320"/>
        <s v="PDA330"/>
        <s v="PDA350"/>
        <s v="PDA360"/>
        <s v="PDA370"/>
        <s v="PDA380"/>
        <s v="PEA010"/>
        <s v="PEA020"/>
        <s v="PEA040"/>
        <s v="PEA050"/>
        <s v="PEA060"/>
        <s v="ADA000"/>
        <s v="ADA010"/>
        <s v="ADA020"/>
        <s v="ADA030"/>
        <s v="ADA021"/>
        <s v="PFA000"/>
        <s v="PFA010"/>
        <s v="PFA020"/>
        <s v="PFA030"/>
        <s v="PFA0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74">
  <r>
    <m/>
    <m/>
    <s v="DARE"/>
    <s v="AVERE"/>
    <s v="INIZIALE"/>
    <s v="DARE"/>
    <s v="AVERE"/>
    <s v="DARE"/>
    <s v="AVERE"/>
    <s v="DARE"/>
    <s v="AVERE"/>
    <s v="(tot DARE - tot AVERE)"/>
    <x v="0"/>
  </r>
  <r>
    <m/>
    <s v="ATTIVO"/>
    <n v="399109659.45999998"/>
    <n v="100979291.34999999"/>
    <n v="298130368.11000001"/>
    <n v="1838302083.0999999"/>
    <n v="1832111744.45"/>
    <n v="0"/>
    <n v="0"/>
    <n v="2237411742.5599999"/>
    <n v="1933091035.8"/>
    <n v="304320706.75999999"/>
    <x v="1"/>
  </r>
  <r>
    <m/>
    <s v="IMMOBILIZZAZIONI"/>
    <n v="192115518.69"/>
    <n v="89799172"/>
    <n v="102316346.69"/>
    <n v="20420777.920000002"/>
    <n v="17005984.199999999"/>
    <n v="0"/>
    <n v="0"/>
    <n v="212536296.61000001"/>
    <n v="106805156.2"/>
    <n v="105731140.41"/>
    <x v="1"/>
  </r>
  <r>
    <m/>
    <s v="IMMOBILIZZAZIONI IMMATERIALI"/>
    <n v="69780007.980000004"/>
    <n v="16269514.390000001"/>
    <n v="53510493.590000004"/>
    <n v="10115749.310000001"/>
    <n v="4531025.12"/>
    <n v="0"/>
    <n v="0"/>
    <n v="79895757.290000007"/>
    <n v="20800539.510000002"/>
    <n v="59095217.780000001"/>
    <x v="1"/>
  </r>
  <r>
    <m/>
    <s v="COSTI DI IMPIANTO E DI AMPLIAMENTO (AL NETTO DEL F.DO AMM.TO)"/>
    <n v="0"/>
    <n v="0"/>
    <n v="0"/>
    <n v="0"/>
    <n v="0"/>
    <n v="0"/>
    <n v="0"/>
    <n v="0"/>
    <n v="0"/>
    <n v="0"/>
    <x v="1"/>
  </r>
  <r>
    <s v="1.01.01.01.0101"/>
    <s v="COSTI DI IMPIANTO E DI AMPLIAMENTO"/>
    <n v="0"/>
    <n v="0"/>
    <n v="0"/>
    <n v="0"/>
    <n v="0"/>
    <n v="0"/>
    <n v="0"/>
    <n v="0"/>
    <n v="0"/>
    <n v="0"/>
    <x v="2"/>
  </r>
  <r>
    <s v="1.01.01.01.0201"/>
    <s v="F.DO AMM.TO COSTI DI IMPIANTO E DI AMPLIAMENTO"/>
    <n v="0"/>
    <n v="0"/>
    <n v="0"/>
    <n v="0"/>
    <n v="0"/>
    <n v="0"/>
    <n v="0"/>
    <n v="0"/>
    <n v="0"/>
    <n v="0"/>
    <x v="3"/>
  </r>
  <r>
    <m/>
    <s v="COSTI DI RICERCA E SVILUPPO (AL NETTO DEL F.DO AMM.TO)"/>
    <n v="0"/>
    <n v="0"/>
    <n v="0"/>
    <n v="0"/>
    <n v="0"/>
    <n v="0"/>
    <n v="0"/>
    <n v="0"/>
    <n v="0"/>
    <n v="0"/>
    <x v="1"/>
  </r>
  <r>
    <s v="1.01.01.02.0101"/>
    <s v="COSTI DI RICERCA"/>
    <n v="0"/>
    <n v="0"/>
    <n v="0"/>
    <n v="0"/>
    <n v="0"/>
    <n v="0"/>
    <n v="0"/>
    <n v="0"/>
    <n v="0"/>
    <n v="0"/>
    <x v="4"/>
  </r>
  <r>
    <s v="1.01.01.02.0102"/>
    <s v="COSTI DI SVILUPPO PUBBLICO PLURIENNALE"/>
    <n v="0"/>
    <n v="0"/>
    <n v="0"/>
    <n v="0"/>
    <n v="0"/>
    <n v="0"/>
    <n v="0"/>
    <n v="0"/>
    <n v="0"/>
    <n v="0"/>
    <x v="4"/>
  </r>
  <r>
    <s v="1.01.01.02.0201"/>
    <s v="FONDO AMM COSTI DI RICERCA"/>
    <n v="0"/>
    <n v="0"/>
    <n v="0"/>
    <n v="0"/>
    <n v="0"/>
    <n v="0"/>
    <n v="0"/>
    <n v="0"/>
    <n v="0"/>
    <n v="0"/>
    <x v="5"/>
  </r>
  <r>
    <s v="1.01.01.02.0202"/>
    <s v="FONDO AMM COSTI DI SVILUPPO PUBBLICO PLURIENNALE"/>
    <n v="0"/>
    <n v="0"/>
    <n v="0"/>
    <n v="0"/>
    <n v="0"/>
    <n v="0"/>
    <n v="0"/>
    <n v="0"/>
    <n v="0"/>
    <n v="0"/>
    <x v="5"/>
  </r>
  <r>
    <m/>
    <s v="DIRITTI DI BREVETTO E DIRITTI DI UTILIZZAZIONE DELLE OPERE D'INGEGNO - DERIVANTI DALL'ATTIVITA' DI RICERCA (AL NETTO DEL F.DO AMM.TO)"/>
    <n v="0"/>
    <n v="0"/>
    <n v="0"/>
    <n v="0"/>
    <n v="0"/>
    <n v="0"/>
    <n v="0"/>
    <n v="0"/>
    <n v="0"/>
    <n v="0"/>
    <x v="1"/>
  </r>
  <r>
    <s v="1.01.01.03.0101"/>
    <s v="DIRITTI DI BREVETTO"/>
    <n v="0"/>
    <n v="0"/>
    <n v="0"/>
    <n v="0"/>
    <n v="0"/>
    <n v="0"/>
    <n v="0"/>
    <n v="0"/>
    <n v="0"/>
    <n v="0"/>
    <x v="6"/>
  </r>
  <r>
    <s v="1.01.01.03.0102"/>
    <s v="DIRITTI DI UTILIZZAZIONE DELLE OPERE DI INGEGNO"/>
    <n v="0"/>
    <n v="0"/>
    <n v="0"/>
    <n v="0"/>
    <n v="0"/>
    <n v="0"/>
    <n v="0"/>
    <n v="0"/>
    <n v="0"/>
    <n v="0"/>
    <x v="6"/>
  </r>
  <r>
    <s v="1.01.01.03.0201"/>
    <s v="FONDO AMM DIRITTI DI BREVETTO"/>
    <n v="0"/>
    <n v="0"/>
    <n v="0"/>
    <n v="0"/>
    <n v="0"/>
    <n v="0"/>
    <n v="0"/>
    <n v="0"/>
    <n v="0"/>
    <n v="0"/>
    <x v="7"/>
  </r>
  <r>
    <s v="1.01.01.03.0202"/>
    <s v="FONDO AMM DIRITTI DI UTILIZZAZIONE DELLE OPERE DI INGEGNO"/>
    <n v="0"/>
    <n v="0"/>
    <n v="0"/>
    <n v="0"/>
    <n v="0"/>
    <n v="0"/>
    <n v="0"/>
    <n v="0"/>
    <n v="0"/>
    <n v="0"/>
    <x v="7"/>
  </r>
  <r>
    <s v="1.01.01.03.0301"/>
    <s v="DIRITTI DI BREVETTO E DIRITTI DI UTILIZZAZIONE DELLE OPERE D'INGEGNO - ALTRI"/>
    <n v="0"/>
    <n v="0"/>
    <n v="0"/>
    <n v="0"/>
    <n v="0"/>
    <n v="0"/>
    <n v="0"/>
    <n v="0"/>
    <n v="0"/>
    <n v="0"/>
    <x v="8"/>
  </r>
  <r>
    <s v="1.01.01.03.0401"/>
    <s v="F.DO AMM.TO DIRITTI DI BREVETTO E DIRITTI DI UTILIZZAZIONE DELLE OPERE D'INGEGNO - ALTRI"/>
    <n v="0"/>
    <n v="0"/>
    <n v="0"/>
    <n v="0"/>
    <n v="0"/>
    <n v="0"/>
    <n v="0"/>
    <n v="0"/>
    <n v="0"/>
    <n v="0"/>
    <x v="9"/>
  </r>
  <r>
    <m/>
    <s v="IMMOBILIZZAZIONI IMMATERIALI IN CORSO E ACCONTI"/>
    <n v="33344224.079999998"/>
    <n v="0"/>
    <n v="33344224.079999998"/>
    <n v="3933138.71"/>
    <n v="2631313.88"/>
    <n v="0"/>
    <n v="0"/>
    <n v="37277362.789999999"/>
    <n v="2631313.88"/>
    <n v="34646048.909999996"/>
    <x v="1"/>
  </r>
  <r>
    <s v="1.01.01.04.0101"/>
    <s v="IMMOBILIZZAZIONI IMMATERIALI IN CORSO"/>
    <n v="32830058.260000002"/>
    <n v="0"/>
    <n v="32830058.260000002"/>
    <n v="838340.83"/>
    <n v="0"/>
    <n v="0"/>
    <n v="0"/>
    <n v="33668399.090000004"/>
    <n v="0"/>
    <n v="33668399.090000004"/>
    <x v="10"/>
  </r>
  <r>
    <s v="1.01.01.04.0102"/>
    <s v="ACCONTI AI FORNITORI PER ACQUISTI DI IMMOBILIZZAZIONI IMMATERIALI"/>
    <n v="0"/>
    <n v="0"/>
    <n v="0"/>
    <n v="0"/>
    <n v="0"/>
    <n v="0"/>
    <n v="0"/>
    <n v="0"/>
    <n v="0"/>
    <n v="0"/>
    <x v="10"/>
  </r>
  <r>
    <s v="1.01.01.04.0103"/>
    <s v="PROG.JESSICA-IMM.in CORSOMIGLIOR.EFFICIENZA ENERGETICACLINICA MEDICA I"/>
    <n v="0"/>
    <n v="0"/>
    <n v="0"/>
    <n v="0"/>
    <n v="0"/>
    <n v="0"/>
    <n v="0"/>
    <n v="0"/>
    <n v="0"/>
    <n v="0"/>
    <x v="10"/>
  </r>
  <r>
    <s v="1.01.01.04.0104"/>
    <s v="IMMOBILIZZAZIONI IMMATERIALI IN CORSO PNRR MISSIONE 6 C2 - 1.1.2 GRANDI APPARECCHIATURE"/>
    <n v="0"/>
    <n v="0"/>
    <n v="0"/>
    <n v="2640822.85"/>
    <n v="2586558.12"/>
    <n v="0"/>
    <n v="0"/>
    <n v="2640822.85"/>
    <n v="2586558.12"/>
    <n v="54264.73"/>
    <x v="10"/>
  </r>
  <r>
    <s v="1.01.01.04.0105"/>
    <s v="IMMOBILIZZAZIONI IMMATERIALI IN CORSO PNRR MISSIONE 6 C2 - 1.1.1 - DIGITALIZZAZIONE DEA"/>
    <n v="0"/>
    <n v="0"/>
    <n v="0"/>
    <n v="0"/>
    <n v="0"/>
    <n v="0"/>
    <n v="0"/>
    <n v="0"/>
    <n v="0"/>
    <n v="0"/>
    <x v="10"/>
  </r>
  <r>
    <s v="1.01.01.04.0106"/>
    <s v="IMMOBILIZZAZIONI IMMATERIALI IN CORSO PNRR MISSIONE 6 C2 - 1.2.1 - OSPEDALE SICURO E SOSTENIBILE"/>
    <n v="514165.82"/>
    <n v="0"/>
    <n v="514165.82"/>
    <n v="453975.03"/>
    <n v="44755.76"/>
    <n v="0"/>
    <n v="0"/>
    <n v="968140.85"/>
    <n v="44755.76"/>
    <n v="923385.09"/>
    <x v="10"/>
  </r>
  <r>
    <m/>
    <s v="CONCESSIONI, LICENZE, MARCHI E DIRITTI SIMILI (AL NETTO DEL F.DO AMM.TO)"/>
    <n v="2581096.5499999998"/>
    <n v="1801326.69"/>
    <n v="779769.86"/>
    <n v="27658.76"/>
    <n v="232310.83"/>
    <n v="0"/>
    <n v="0"/>
    <n v="2608755.31"/>
    <n v="2033637.52"/>
    <n v="575117.79"/>
    <x v="1"/>
  </r>
  <r>
    <s v="1.01.01.05.0101"/>
    <s v="SOFTWARE"/>
    <n v="407053.59"/>
    <n v="0"/>
    <n v="407053.59"/>
    <n v="22850.6"/>
    <n v="0"/>
    <n v="0"/>
    <n v="0"/>
    <n v="429904.19"/>
    <n v="0"/>
    <n v="429904.19"/>
    <x v="11"/>
  </r>
  <r>
    <s v="1.01.01.05.0102"/>
    <s v="CONCESSIONI"/>
    <n v="0"/>
    <n v="0"/>
    <n v="0"/>
    <n v="0"/>
    <n v="0"/>
    <n v="0"/>
    <n v="0"/>
    <n v="0"/>
    <n v="0"/>
    <n v="0"/>
    <x v="11"/>
  </r>
  <r>
    <s v="1.01.01.05.0103"/>
    <s v="LICENZE"/>
    <n v="2174042.96"/>
    <n v="0"/>
    <n v="2174042.96"/>
    <n v="4808.16"/>
    <n v="0"/>
    <n v="0"/>
    <n v="0"/>
    <n v="2178851.12"/>
    <n v="0"/>
    <n v="2178851.12"/>
    <x v="11"/>
  </r>
  <r>
    <s v="1.01.01.05.0104"/>
    <s v="MARCHI"/>
    <n v="0"/>
    <n v="0"/>
    <n v="0"/>
    <n v="0"/>
    <n v="0"/>
    <n v="0"/>
    <n v="0"/>
    <n v="0"/>
    <n v="0"/>
    <n v="0"/>
    <x v="11"/>
  </r>
  <r>
    <s v="1.01.01.05.0201"/>
    <s v="FONDO AMM SOFTWARE"/>
    <n v="0"/>
    <n v="201458.73"/>
    <n v="201458.73"/>
    <n v="0"/>
    <n v="49358.94"/>
    <n v="0"/>
    <n v="0"/>
    <n v="0"/>
    <n v="250817.67"/>
    <n v="-250817.67"/>
    <x v="12"/>
  </r>
  <r>
    <s v="1.01.01.05.0202"/>
    <s v="FONDO AMM CONCESSIONI"/>
    <n v="0"/>
    <n v="0"/>
    <n v="0"/>
    <n v="0"/>
    <n v="0"/>
    <n v="0"/>
    <n v="0"/>
    <n v="0"/>
    <n v="0"/>
    <n v="0"/>
    <x v="12"/>
  </r>
  <r>
    <s v="1.01.01.05.0203"/>
    <s v="FONDO AMM LICENZE"/>
    <n v="0"/>
    <n v="1599867.96"/>
    <n v="1599867.96"/>
    <n v="0"/>
    <n v="182951.89"/>
    <n v="0"/>
    <n v="0"/>
    <n v="0"/>
    <n v="1782819.85"/>
    <n v="-1782819.85"/>
    <x v="12"/>
  </r>
  <r>
    <s v="1.01.01.05.0204"/>
    <s v="FONDO AMM MARCHI"/>
    <n v="0"/>
    <n v="0"/>
    <n v="0"/>
    <n v="0"/>
    <n v="0"/>
    <n v="0"/>
    <n v="0"/>
    <n v="0"/>
    <n v="0"/>
    <n v="0"/>
    <x v="12"/>
  </r>
  <r>
    <m/>
    <s v="MIGLIORIE SU BENI DI TERZI (AL NETTO DEL F.DO AMM.TO)"/>
    <n v="33854687.350000001"/>
    <n v="14468187.699999999"/>
    <n v="19386499.649999999"/>
    <n v="6154951.8399999999"/>
    <n v="1667400.41"/>
    <n v="0"/>
    <n v="0"/>
    <n v="40009639.189999998"/>
    <n v="16135588.109999999"/>
    <n v="23874051.079999998"/>
    <x v="1"/>
  </r>
  <r>
    <s v="1.01.01.06.0101"/>
    <s v="MIGLIORIE SU BENI DI TERZI"/>
    <n v="33854687.350000001"/>
    <n v="0"/>
    <n v="33854687.350000001"/>
    <n v="6154951.8399999999"/>
    <n v="514595.84000000003"/>
    <n v="0"/>
    <n v="0"/>
    <n v="40009639.189999998"/>
    <n v="514595.84000000003"/>
    <n v="39495043.350000001"/>
    <x v="13"/>
  </r>
  <r>
    <s v="1.01.01.06.0102"/>
    <s v="MIGLIORIE SU BENI DI TERZI. INTERVENTO  1.2.1 PNRR (Adeguamento Sismico)"/>
    <n v="0"/>
    <n v="0"/>
    <n v="0"/>
    <n v="0"/>
    <n v="0"/>
    <n v="0"/>
    <n v="0"/>
    <n v="0"/>
    <n v="0"/>
    <n v="0"/>
    <x v="13"/>
  </r>
  <r>
    <s v="1.01.01.06.0103"/>
    <s v="MIGLIORIE SU BENI DI TERZI. INTERVENTO  1.2.2 PNRR"/>
    <n v="0"/>
    <n v="0"/>
    <n v="0"/>
    <n v="0"/>
    <n v="0"/>
    <n v="0"/>
    <n v="0"/>
    <n v="0"/>
    <n v="0"/>
    <n v="0"/>
    <x v="13"/>
  </r>
  <r>
    <s v="1.01.01.06.0201"/>
    <s v="FDO AMMTO MIGLIORIE SU BENI DI TERZI"/>
    <n v="0"/>
    <n v="14468187.699999999"/>
    <n v="14468187.699999999"/>
    <n v="0"/>
    <n v="1152804.57"/>
    <n v="0"/>
    <n v="0"/>
    <n v="0"/>
    <n v="15620992.27"/>
    <n v="-15620992.27"/>
    <x v="14"/>
  </r>
  <r>
    <m/>
    <s v="PUBBLICITA' (AL NETTO DEL F.DO AMM.TO)"/>
    <n v="0"/>
    <n v="0"/>
    <n v="0"/>
    <n v="0"/>
    <n v="0"/>
    <n v="0"/>
    <n v="0"/>
    <n v="0"/>
    <n v="0"/>
    <n v="0"/>
    <x v="1"/>
  </r>
  <r>
    <s v="1.01.01.07.0101"/>
    <s v="PUBBLICITA"/>
    <n v="0"/>
    <n v="0"/>
    <n v="0"/>
    <n v="0"/>
    <n v="0"/>
    <n v="0"/>
    <n v="0"/>
    <n v="0"/>
    <n v="0"/>
    <n v="0"/>
    <x v="15"/>
  </r>
  <r>
    <s v="1.01.01.07.0201"/>
    <s v="F.DO AMM.TO PUBBLICITA"/>
    <n v="0"/>
    <n v="0"/>
    <n v="0"/>
    <n v="0"/>
    <n v="0"/>
    <n v="0"/>
    <n v="0"/>
    <n v="0"/>
    <n v="0"/>
    <n v="0"/>
    <x v="16"/>
  </r>
  <r>
    <m/>
    <s v="ALTRE IMMOBILIZZAZIONI IMMATERIALI (AL NETTO DEL F.DO AMM.TO)"/>
    <n v="0"/>
    <n v="0"/>
    <n v="0"/>
    <n v="0"/>
    <n v="0"/>
    <n v="0"/>
    <n v="0"/>
    <n v="0"/>
    <n v="0"/>
    <n v="0"/>
    <x v="1"/>
  </r>
  <r>
    <s v="1.01.01.08.0101"/>
    <s v="ALTRE IMMOBILIZZAZIONI IMMATERIALI"/>
    <n v="0"/>
    <n v="0"/>
    <n v="0"/>
    <n v="0"/>
    <n v="0"/>
    <n v="0"/>
    <n v="0"/>
    <n v="0"/>
    <n v="0"/>
    <n v="0"/>
    <x v="17"/>
  </r>
  <r>
    <s v="1.01.01.08.0201"/>
    <s v="FDO AMM ALTRE IMMOBILIZZAZIONI IMMATERIALI"/>
    <n v="0"/>
    <n v="0"/>
    <n v="0"/>
    <n v="0"/>
    <n v="0"/>
    <n v="0"/>
    <n v="0"/>
    <n v="0"/>
    <n v="0"/>
    <n v="0"/>
    <x v="18"/>
  </r>
  <r>
    <m/>
    <s v="F.DO SVALUT. IMMOBILIZZAZIONI IMMATERALI"/>
    <n v="0"/>
    <n v="0"/>
    <n v="0"/>
    <n v="0"/>
    <n v="0"/>
    <n v="0"/>
    <n v="0"/>
    <n v="0"/>
    <n v="0"/>
    <n v="0"/>
    <x v="1"/>
  </r>
  <r>
    <s v="1.01.01.09.0101"/>
    <s v="F.DO SVALUT. COSTI DI IMPIANTO E DI AMPLIAMENTO"/>
    <n v="0"/>
    <n v="0"/>
    <n v="0"/>
    <n v="0"/>
    <n v="0"/>
    <n v="0"/>
    <n v="0"/>
    <n v="0"/>
    <n v="0"/>
    <n v="0"/>
    <x v="19"/>
  </r>
  <r>
    <s v="1.01.01.09.0201"/>
    <s v="F.DO SVALUT. COSTI DI RICERCA E SVILUPPO"/>
    <n v="0"/>
    <n v="0"/>
    <n v="0"/>
    <n v="0"/>
    <n v="0"/>
    <n v="0"/>
    <n v="0"/>
    <n v="0"/>
    <n v="0"/>
    <n v="0"/>
    <x v="20"/>
  </r>
  <r>
    <s v="1.01.01.09.0301"/>
    <s v="F.DO SVALUT. DIRITTI DI BREVETTO E DIRITTI DI UTILIZZAZIONE DELLE OPERE D'INGEGNO"/>
    <n v="0"/>
    <n v="0"/>
    <n v="0"/>
    <n v="0"/>
    <n v="0"/>
    <n v="0"/>
    <n v="0"/>
    <n v="0"/>
    <n v="0"/>
    <n v="0"/>
    <x v="21"/>
  </r>
  <r>
    <s v="1.01.01.09.0401"/>
    <s v="F.DO SVALUT. ALTRE IMMOBILIZZAZIONI IMMATERIALI"/>
    <n v="0"/>
    <n v="0"/>
    <n v="0"/>
    <n v="0"/>
    <n v="0"/>
    <n v="0"/>
    <n v="0"/>
    <n v="0"/>
    <n v="0"/>
    <n v="0"/>
    <x v="22"/>
  </r>
  <r>
    <m/>
    <s v="IMMOBILIZZAZIONI MATERIALI"/>
    <n v="122157510.70999999"/>
    <n v="73529657.609999999"/>
    <n v="48627853.100000001"/>
    <n v="10258314.73"/>
    <n v="12428245.199999999"/>
    <n v="0"/>
    <n v="0"/>
    <n v="132415825.44"/>
    <n v="85957902.810000002"/>
    <n v="46457922.630000003"/>
    <x v="1"/>
  </r>
  <r>
    <m/>
    <s v="TERRENI"/>
    <n v="0"/>
    <n v="0"/>
    <n v="0"/>
    <n v="0"/>
    <n v="0"/>
    <n v="0"/>
    <n v="0"/>
    <n v="0"/>
    <n v="0"/>
    <n v="0"/>
    <x v="1"/>
  </r>
  <r>
    <s v="1.01.02.01.0101"/>
    <s v="TERRENI AGRICOLI"/>
    <n v="0"/>
    <n v="0"/>
    <n v="0"/>
    <n v="0"/>
    <n v="0"/>
    <n v="0"/>
    <n v="0"/>
    <n v="0"/>
    <n v="0"/>
    <n v="0"/>
    <x v="23"/>
  </r>
  <r>
    <s v="1.01.02.01.0102"/>
    <s v="TERRENI EDIFICABILI"/>
    <n v="0"/>
    <n v="0"/>
    <n v="0"/>
    <n v="0"/>
    <n v="0"/>
    <n v="0"/>
    <n v="0"/>
    <n v="0"/>
    <n v="0"/>
    <n v="0"/>
    <x v="23"/>
  </r>
  <r>
    <s v="1.01.02.01.0103"/>
    <s v="AREE, STAND, VERDE E ASSIMILATI"/>
    <n v="0"/>
    <n v="0"/>
    <n v="0"/>
    <n v="0"/>
    <n v="0"/>
    <n v="0"/>
    <n v="0"/>
    <n v="0"/>
    <n v="0"/>
    <n v="0"/>
    <x v="23"/>
  </r>
  <r>
    <s v="1.01.02.01.0201"/>
    <s v="TERRENI INDISPONIBILI"/>
    <n v="0"/>
    <n v="0"/>
    <n v="0"/>
    <n v="0"/>
    <n v="0"/>
    <n v="0"/>
    <n v="0"/>
    <n v="0"/>
    <n v="0"/>
    <n v="0"/>
    <x v="24"/>
  </r>
  <r>
    <m/>
    <s v="FABBRICATI DISPONIBILI NON STRUMENTALI (AL NETTO DEL F.DO AMM.TO)"/>
    <n v="655743.44999999995"/>
    <n v="368192.74"/>
    <n v="287550.71000000002"/>
    <n v="0"/>
    <n v="46994.73"/>
    <n v="0"/>
    <n v="0"/>
    <n v="655743.44999999995"/>
    <n v="415187.47"/>
    <n v="240555.98"/>
    <x v="1"/>
  </r>
  <r>
    <s v="1.01.02.02.0101"/>
    <s v="FABBRICATI NON STRUMENTALI (DISPONIBILI)"/>
    <n v="655743.44999999995"/>
    <n v="0"/>
    <n v="655743.44999999995"/>
    <n v="0"/>
    <n v="0"/>
    <n v="0"/>
    <n v="0"/>
    <n v="655743.44999999995"/>
    <n v="0"/>
    <n v="655743.44999999995"/>
    <x v="25"/>
  </r>
  <r>
    <s v="1.01.02.02.0102"/>
    <s v="MANUTENZIONE STRAORD FABBRICATI (DISPONIBILI)"/>
    <n v="0"/>
    <n v="0"/>
    <n v="0"/>
    <n v="0"/>
    <n v="0"/>
    <n v="0"/>
    <n v="0"/>
    <n v="0"/>
    <n v="0"/>
    <n v="0"/>
    <x v="25"/>
  </r>
  <r>
    <s v="1.01.02.02.0201"/>
    <s v="FONDO AMM FABBRICATI NON STRUMENTALI (DISPONIBILI)"/>
    <n v="0"/>
    <n v="368192.74"/>
    <n v="368192.74"/>
    <n v="0"/>
    <n v="46994.73"/>
    <n v="0"/>
    <n v="0"/>
    <n v="0"/>
    <n v="415187.47"/>
    <n v="-415187.47"/>
    <x v="26"/>
  </r>
  <r>
    <s v="1.01.02.02.0202"/>
    <s v="FONDO AMM MANUTENZ STRAORD FABBRICATI NON STRUMENTALI (DISPONIBILI)"/>
    <n v="0"/>
    <n v="0"/>
    <n v="0"/>
    <n v="0"/>
    <n v="0"/>
    <n v="0"/>
    <n v="0"/>
    <n v="0"/>
    <n v="0"/>
    <n v="0"/>
    <x v="26"/>
  </r>
  <r>
    <m/>
    <s v="FABBRICATI INDISPONIBILI STRUMENTALI (AL NETTO DEL F.DO AMM.TO)"/>
    <n v="0"/>
    <n v="0"/>
    <n v="0"/>
    <n v="0"/>
    <n v="0"/>
    <n v="0"/>
    <n v="0"/>
    <n v="0"/>
    <n v="0"/>
    <n v="0"/>
    <x v="1"/>
  </r>
  <r>
    <s v="1.01.02.03.0101"/>
    <s v="FABBRICATI STRUMENTALI (INDISPONIBILI)"/>
    <n v="0"/>
    <n v="0"/>
    <n v="0"/>
    <n v="0"/>
    <n v="0"/>
    <n v="0"/>
    <n v="0"/>
    <n v="0"/>
    <n v="0"/>
    <n v="0"/>
    <x v="27"/>
  </r>
  <r>
    <s v="1.01.02.03.0201"/>
    <s v="FONDO AMM FABBRICATI ATT ISTITUZ (INDISPONIBILI)"/>
    <n v="0"/>
    <n v="0"/>
    <n v="0"/>
    <n v="0"/>
    <n v="0"/>
    <n v="0"/>
    <n v="0"/>
    <n v="0"/>
    <n v="0"/>
    <n v="0"/>
    <x v="28"/>
  </r>
  <r>
    <s v="1.01.02.03.0202"/>
    <s v="FONDO AMMCOMPL FABBRICATI ATT ISTITUZ  POST //"/>
    <n v="0"/>
    <n v="0"/>
    <n v="0"/>
    <n v="0"/>
    <n v="0"/>
    <n v="0"/>
    <n v="0"/>
    <n v="0"/>
    <n v="0"/>
    <n v="0"/>
    <x v="28"/>
  </r>
  <r>
    <s v="1.01.02.03.0203"/>
    <s v="FONDO AMMMANSTRAORD FABBRATTIST ( COMPLESSIVO)"/>
    <n v="0"/>
    <n v="0"/>
    <n v="0"/>
    <n v="0"/>
    <n v="0"/>
    <n v="0"/>
    <n v="0"/>
    <n v="0"/>
    <n v="0"/>
    <n v="0"/>
    <x v="28"/>
  </r>
  <r>
    <s v="1.01.02.03.0204"/>
    <s v="FONDO AMMPADIGLIONE ISMETT"/>
    <n v="0"/>
    <n v="0"/>
    <n v="0"/>
    <n v="0"/>
    <n v="0"/>
    <n v="0"/>
    <n v="0"/>
    <n v="0"/>
    <n v="0"/>
    <n v="0"/>
    <x v="28"/>
  </r>
  <r>
    <s v="1.01.02.03.0205"/>
    <s v="FONDO AMMTO PADIGLIONE EMERGENZE"/>
    <n v="0"/>
    <n v="0"/>
    <n v="0"/>
    <n v="0"/>
    <n v="0"/>
    <n v="0"/>
    <n v="0"/>
    <n v="0"/>
    <n v="0"/>
    <n v="0"/>
    <x v="28"/>
  </r>
  <r>
    <m/>
    <s v="IMPIANTI E MACCHINARI (AL NETTO DEL F.DO AMM.TO)"/>
    <n v="27824120.140000001"/>
    <n v="21842131.309999999"/>
    <n v="5981988.8300000001"/>
    <n v="4766413.6100000003"/>
    <n v="3285243.88"/>
    <n v="0"/>
    <n v="0"/>
    <n v="32590533.75"/>
    <n v="25127375.190000001"/>
    <n v="7463158.5599999996"/>
    <x v="1"/>
  </r>
  <r>
    <s v="1.01.02.04.0101"/>
    <s v="IMPIANTI SANITARI"/>
    <n v="1591826.07"/>
    <n v="0"/>
    <n v="1591826.07"/>
    <n v="149310.12"/>
    <n v="138039.49"/>
    <n v="0"/>
    <n v="0"/>
    <n v="1741136.19"/>
    <n v="138039.49"/>
    <n v="1603096.7"/>
    <x v="29"/>
  </r>
  <r>
    <s v="1.01.02.04.0102"/>
    <s v="IMPIANTI SANITARI AD ALTA TECNOLOGIA"/>
    <n v="781335.29"/>
    <n v="0"/>
    <n v="781335.29"/>
    <n v="0"/>
    <n v="0"/>
    <n v="0"/>
    <n v="0"/>
    <n v="781335.29"/>
    <n v="0"/>
    <n v="781335.29"/>
    <x v="29"/>
  </r>
  <r>
    <s v="1.01.02.04.0103"/>
    <s v="MACCHINARI SANITARI AD ALTA TECNOLOGIA"/>
    <n v="9424170"/>
    <n v="0"/>
    <n v="9424170"/>
    <n v="2471910"/>
    <n v="1581235.07"/>
    <n v="0"/>
    <n v="0"/>
    <n v="11896080"/>
    <n v="1581235.07"/>
    <n v="10314844.93"/>
    <x v="29"/>
  </r>
  <r>
    <s v="1.01.02.04.0104"/>
    <s v="MANUTENZ STRAORDIMPIANTI E MACCHINARI SANITARI"/>
    <n v="0"/>
    <n v="0"/>
    <n v="0"/>
    <n v="0"/>
    <n v="0"/>
    <n v="0"/>
    <n v="0"/>
    <n v="0"/>
    <n v="0"/>
    <n v="0"/>
    <x v="29"/>
  </r>
  <r>
    <s v="1.01.02.04.0105"/>
    <s v="MACCHINARI SANITARI"/>
    <n v="0"/>
    <n v="0"/>
    <n v="0"/>
    <n v="0"/>
    <n v="0"/>
    <n v="0"/>
    <n v="0"/>
    <n v="0"/>
    <n v="0"/>
    <n v="0"/>
    <x v="29"/>
  </r>
  <r>
    <s v="1.01.02.04.0106"/>
    <s v="ELABORATORI ELETTRONICI, TERMINALI E STAMPANTI"/>
    <n v="2902616.61"/>
    <n v="0"/>
    <n v="2902616.61"/>
    <n v="53057.95"/>
    <n v="4854.95"/>
    <n v="0"/>
    <n v="0"/>
    <n v="2955674.56"/>
    <n v="4854.95"/>
    <n v="2950819.61"/>
    <x v="29"/>
  </r>
  <r>
    <s v="1.01.02.04.0107"/>
    <s v="IMPIANTI ELETTRICI"/>
    <n v="2644807.6"/>
    <n v="0"/>
    <n v="2644807.6"/>
    <n v="179768.42"/>
    <n v="0"/>
    <n v="0"/>
    <n v="0"/>
    <n v="2824576.02"/>
    <n v="0"/>
    <n v="2824576.02"/>
    <x v="29"/>
  </r>
  <r>
    <s v="1.01.02.04.0108"/>
    <s v="IMPIANTI IDRAULICI E DI RISCALDAMENTO"/>
    <n v="4693348.51"/>
    <n v="0"/>
    <n v="4693348.51"/>
    <n v="274843.12"/>
    <n v="0"/>
    <n v="0"/>
    <n v="0"/>
    <n v="4968191.63"/>
    <n v="0"/>
    <n v="4968191.63"/>
    <x v="29"/>
  </r>
  <r>
    <s v="1.01.02.04.0109"/>
    <s v="IMPIANTI TELEFONICI E DI RETE"/>
    <n v="1448334.73"/>
    <n v="0"/>
    <n v="1448334.73"/>
    <n v="0"/>
    <n v="0"/>
    <n v="0"/>
    <n v="0"/>
    <n v="1448334.73"/>
    <n v="0"/>
    <n v="1448334.73"/>
    <x v="29"/>
  </r>
  <r>
    <s v="1.01.02.04.0110"/>
    <s v="IMPIANTI DI ALLARME E SICUREZZA"/>
    <n v="883298.02"/>
    <n v="0"/>
    <n v="883298.02"/>
    <n v="42504.800000000003"/>
    <n v="42504.800000000003"/>
    <n v="0"/>
    <n v="0"/>
    <n v="925802.82"/>
    <n v="42504.800000000003"/>
    <n v="883298.02"/>
    <x v="29"/>
  </r>
  <r>
    <s v="1.01.02.04.0111"/>
    <s v="ALTRI IMPIANTI"/>
    <n v="2053669.06"/>
    <n v="0"/>
    <n v="2053669.06"/>
    <n v="8929.18"/>
    <n v="0"/>
    <n v="0"/>
    <n v="0"/>
    <n v="2062598.24"/>
    <n v="0"/>
    <n v="2062598.24"/>
    <x v="29"/>
  </r>
  <r>
    <s v="1.01.02.04.0112"/>
    <s v="MACCHINARI ELETTRICI"/>
    <n v="1241731.52"/>
    <n v="0"/>
    <n v="1241731.52"/>
    <n v="0"/>
    <n v="0"/>
    <n v="0"/>
    <n v="0"/>
    <n v="1241731.52"/>
    <n v="0"/>
    <n v="1241731.52"/>
    <x v="29"/>
  </r>
  <r>
    <s v="1.01.02.04.0113"/>
    <s v="ALTRI MACCHINARI"/>
    <n v="158982.73000000001"/>
    <n v="0"/>
    <n v="158982.73000000001"/>
    <n v="0"/>
    <n v="0"/>
    <n v="0"/>
    <n v="0"/>
    <n v="158982.73000000001"/>
    <n v="0"/>
    <n v="158982.73000000001"/>
    <x v="29"/>
  </r>
  <r>
    <s v="1.01.02.04.0114"/>
    <s v="MANUTENZIONE STRAORD IMPIANTI E MACCHINARI NON SANITARI"/>
    <n v="0"/>
    <n v="0"/>
    <n v="0"/>
    <n v="0"/>
    <n v="0"/>
    <n v="0"/>
    <n v="0"/>
    <n v="0"/>
    <n v="0"/>
    <n v="0"/>
    <x v="29"/>
  </r>
  <r>
    <s v="1.01.02.04.0201"/>
    <s v="FONDO AMM IMPIANTI SANITARI"/>
    <n v="0"/>
    <n v="1222157.72"/>
    <n v="1222157.72"/>
    <n v="0"/>
    <n v="66680.7"/>
    <n v="0"/>
    <n v="0"/>
    <n v="0"/>
    <n v="1288838.42"/>
    <n v="-1288838.42"/>
    <x v="30"/>
  </r>
  <r>
    <s v="1.01.02.04.0202"/>
    <s v="FONDO AMM IMPIANTI SANITARI AD ALTA TECNOLOGIA"/>
    <n v="0"/>
    <n v="780211.39"/>
    <n v="780211.39"/>
    <n v="0"/>
    <n v="762.5"/>
    <n v="0"/>
    <n v="0"/>
    <n v="0"/>
    <n v="780973.89"/>
    <n v="-780973.89"/>
    <x v="30"/>
  </r>
  <r>
    <s v="1.01.02.04.0203"/>
    <s v="FONDO AMM MACCHINARI SANITARI AD ALTA TECNOLOGIA"/>
    <n v="0"/>
    <n v="6712007.2999999998"/>
    <n v="6712007.2999999998"/>
    <n v="1581235.07"/>
    <n v="793732.97"/>
    <n v="0"/>
    <n v="0"/>
    <n v="1581235.07"/>
    <n v="7505740.2699999996"/>
    <n v="-5924505.2000000002"/>
    <x v="30"/>
  </r>
  <r>
    <s v="1.01.02.04.0204"/>
    <s v="FONDO AMM MANUTENZ STRAORDE MACCHINARI SANITARI"/>
    <n v="0"/>
    <n v="0"/>
    <n v="0"/>
    <n v="0"/>
    <n v="0"/>
    <n v="0"/>
    <n v="0"/>
    <n v="0"/>
    <n v="0"/>
    <n v="0"/>
    <x v="30"/>
  </r>
  <r>
    <s v="1.01.02.04.0205"/>
    <s v="FONDO AMM MACCHINARI SANITARI"/>
    <n v="0"/>
    <n v="0"/>
    <n v="0"/>
    <n v="0"/>
    <n v="0"/>
    <n v="0"/>
    <n v="0"/>
    <n v="0"/>
    <n v="0"/>
    <n v="0"/>
    <x v="30"/>
  </r>
  <r>
    <s v="1.01.02.04.0206"/>
    <s v="FONDO AMM ELABORATORI ELETTRONICI, TERMINALI E STAMPANTI"/>
    <n v="0"/>
    <n v="2490027.89"/>
    <n v="2490027.89"/>
    <n v="4854.95"/>
    <n v="132681.32999999999"/>
    <n v="0"/>
    <n v="0"/>
    <n v="4854.95"/>
    <n v="2622709.2200000002"/>
    <n v="-2617854.27"/>
    <x v="30"/>
  </r>
  <r>
    <s v="1.01.02.04.0207"/>
    <s v="FONDO AMM IMPIANTI ELETTRICI"/>
    <n v="0"/>
    <n v="2010421.54"/>
    <n v="2010421.54"/>
    <n v="0"/>
    <n v="143341.51"/>
    <n v="0"/>
    <n v="0"/>
    <n v="0"/>
    <n v="2153763.0499999998"/>
    <n v="-2153763.0499999998"/>
    <x v="30"/>
  </r>
  <r>
    <s v="1.01.02.04.0208"/>
    <s v="FONDO AMMIMPIANTI IDRAULICI E DI RISCALDAMENTO"/>
    <n v="0"/>
    <n v="3804388.12"/>
    <n v="3804388.12"/>
    <n v="0"/>
    <n v="216535.72"/>
    <n v="0"/>
    <n v="0"/>
    <n v="0"/>
    <n v="4020923.84"/>
    <n v="-4020923.84"/>
    <x v="30"/>
  </r>
  <r>
    <s v="1.01.02.04.0209"/>
    <s v="FONDO AMM IMPIANTI TELEFONICI E DI RETE"/>
    <n v="0"/>
    <n v="1439979.06"/>
    <n v="1439979.06"/>
    <n v="0"/>
    <n v="3159.23"/>
    <n v="0"/>
    <n v="0"/>
    <n v="0"/>
    <n v="1443138.29"/>
    <n v="-1443138.29"/>
    <x v="30"/>
  </r>
  <r>
    <s v="1.01.02.04.0210"/>
    <s v="FONDO AMM ALTRI IMPIANTI"/>
    <n v="0"/>
    <n v="1777887.77"/>
    <n v="1777887.77"/>
    <n v="0"/>
    <n v="43431.75"/>
    <n v="0"/>
    <n v="0"/>
    <n v="0"/>
    <n v="1821319.52"/>
    <n v="-1821319.52"/>
    <x v="30"/>
  </r>
  <r>
    <s v="1.01.02.04.0211"/>
    <s v="FONDO AMM MACCHINARI ELETTRICI"/>
    <n v="0"/>
    <n v="1002799.66"/>
    <n v="1002799.66"/>
    <n v="0"/>
    <n v="43815.62"/>
    <n v="0"/>
    <n v="0"/>
    <n v="0"/>
    <n v="1046615.28"/>
    <n v="-1046615.28"/>
    <x v="30"/>
  </r>
  <r>
    <s v="1.01.02.04.0212"/>
    <s v="FONDO AMM ALTRI MACCHINARI"/>
    <n v="0"/>
    <n v="111274.98"/>
    <n v="111274.98"/>
    <n v="0"/>
    <n v="12204.52"/>
    <n v="0"/>
    <n v="0"/>
    <n v="0"/>
    <n v="123479.5"/>
    <n v="-123479.5"/>
    <x v="30"/>
  </r>
  <r>
    <s v="1.01.02.04.0213"/>
    <s v="FONDO AMM MANUTENZIONE STRAORD IMPIANTI E MACCHINARI NON SANITARI"/>
    <n v="0"/>
    <n v="0"/>
    <n v="0"/>
    <n v="0"/>
    <n v="0"/>
    <n v="0"/>
    <n v="0"/>
    <n v="0"/>
    <n v="0"/>
    <n v="0"/>
    <x v="30"/>
  </r>
  <r>
    <s v="1.01.02.04.0214"/>
    <s v="FONDO AMM IMPIANTI DI ALLARME E SICUREZZA"/>
    <n v="0"/>
    <n v="490975.88"/>
    <n v="490975.88"/>
    <n v="0"/>
    <n v="62263.72"/>
    <n v="0"/>
    <n v="0"/>
    <n v="0"/>
    <n v="553239.6"/>
    <n v="-553239.6"/>
    <x v="30"/>
  </r>
  <r>
    <m/>
    <s v="ATTREZZATURE SANITARIE E SCIENTIFICHE (AL NETTO DEL F.DO AMM.TO)"/>
    <n v="58292727.149999999"/>
    <n v="47387851.18"/>
    <n v="10904875.970000001"/>
    <n v="3794248.55"/>
    <n v="4857975.92"/>
    <n v="0"/>
    <n v="0"/>
    <n v="62086975.700000003"/>
    <n v="52245827.100000001"/>
    <n v="9841148.5999999996"/>
    <x v="1"/>
  </r>
  <r>
    <s v="1.01.02.05.0101"/>
    <s v="ATTREZZATURE SANITARIE"/>
    <n v="12012226.630000001"/>
    <n v="0"/>
    <n v="12012226.630000001"/>
    <n v="1540630.52"/>
    <n v="313350.56"/>
    <n v="0"/>
    <n v="0"/>
    <n v="13552857.15"/>
    <n v="313350.56"/>
    <n v="13239506.59"/>
    <x v="31"/>
  </r>
  <r>
    <s v="1.01.02.05.0102"/>
    <s v="ATTREZZATURE SANITARIE AD ALTA TECNOLOGIA"/>
    <n v="0"/>
    <n v="0"/>
    <n v="0"/>
    <n v="0"/>
    <n v="0"/>
    <n v="0"/>
    <n v="0"/>
    <n v="0"/>
    <n v="0"/>
    <n v="0"/>
    <x v="31"/>
  </r>
  <r>
    <s v="1.01.02.05.0103"/>
    <s v="ATTREZZATURE PER LABORATORI DI ANALISI"/>
    <n v="11220781.65"/>
    <n v="0"/>
    <n v="11220781.65"/>
    <n v="112551.22"/>
    <n v="206299.24"/>
    <n v="0"/>
    <n v="0"/>
    <n v="11333332.869999999"/>
    <n v="206299.24"/>
    <n v="11127033.630000001"/>
    <x v="31"/>
  </r>
  <r>
    <s v="1.01.02.05.0104"/>
    <s v="ATTREZZATURE SANITARIE DIVERSE"/>
    <n v="533222.79"/>
    <n v="0"/>
    <n v="533222.79"/>
    <n v="116824.76"/>
    <n v="0"/>
    <n v="0"/>
    <n v="0"/>
    <n v="650047.55000000005"/>
    <n v="0"/>
    <n v="650047.55000000005"/>
    <x v="31"/>
  </r>
  <r>
    <s v="1.01.02.05.0105"/>
    <s v="MANUTENZIONE STRAORD ATTREZZATURE"/>
    <n v="0"/>
    <n v="0"/>
    <n v="0"/>
    <n v="0"/>
    <n v="0"/>
    <n v="0"/>
    <n v="0"/>
    <n v="0"/>
    <n v="0"/>
    <n v="0"/>
    <x v="31"/>
  </r>
  <r>
    <s v="1.01.02.05.0106"/>
    <s v="APPARECCHIATURE ELETROMEDICALI"/>
    <n v="30470485.559999999"/>
    <n v="0"/>
    <n v="30470485.559999999"/>
    <n v="1107970.42"/>
    <n v="267537.2"/>
    <n v="0"/>
    <n v="0"/>
    <n v="31578455.98"/>
    <n v="267537.2"/>
    <n v="31310918.780000001"/>
    <x v="31"/>
  </r>
  <r>
    <s v="1.01.02.05.0107"/>
    <s v="STRUMENTARIO CHIRURGICO"/>
    <n v="4056010.52"/>
    <n v="0"/>
    <n v="4056010.52"/>
    <n v="127524.63"/>
    <n v="1560"/>
    <n v="0"/>
    <n v="0"/>
    <n v="4183535.15"/>
    <n v="1560"/>
    <n v="4181975.15"/>
    <x v="31"/>
  </r>
  <r>
    <s v="1.01.02.05.0201"/>
    <s v="FONDO AMM ATTREZZATURE SANITARIE"/>
    <n v="0"/>
    <n v="9309561.8300000001"/>
    <n v="9309561.8300000001"/>
    <n v="313350.56"/>
    <n v="1035595.12"/>
    <n v="0"/>
    <n v="0"/>
    <n v="313350.56"/>
    <n v="10345156.949999999"/>
    <n v="-10031806.390000001"/>
    <x v="32"/>
  </r>
  <r>
    <s v="1.01.02.05.0202"/>
    <s v="FONDO AMM ATTREZZATURE SANITARIE AD ALTA TECNOLOGIA"/>
    <n v="0"/>
    <n v="0"/>
    <n v="0"/>
    <n v="0"/>
    <n v="0"/>
    <n v="0"/>
    <n v="0"/>
    <n v="0"/>
    <n v="0"/>
    <n v="0"/>
    <x v="32"/>
  </r>
  <r>
    <s v="1.01.02.05.0203"/>
    <s v="FONDO AMM ATTREZZATURE PER LABORATORI DI ANALISI"/>
    <n v="0"/>
    <n v="10291388.640000001"/>
    <n v="10291388.640000001"/>
    <n v="206299.24"/>
    <n v="472817.48"/>
    <n v="0"/>
    <n v="0"/>
    <n v="206299.24"/>
    <n v="10764206.119999999"/>
    <n v="-10557906.880000001"/>
    <x v="32"/>
  </r>
  <r>
    <s v="1.01.02.05.0204"/>
    <s v="FONDO AMM ATTREZZATURE SANITARIE DIVERSE"/>
    <n v="0"/>
    <n v="454747.15"/>
    <n v="454747.15"/>
    <n v="0"/>
    <n v="27102.29"/>
    <n v="0"/>
    <n v="0"/>
    <n v="0"/>
    <n v="481849.44"/>
    <n v="-481849.44"/>
    <x v="32"/>
  </r>
  <r>
    <s v="1.01.02.05.0205"/>
    <s v="FONDO AMM MANUTENZIONE STRAORD ATTREZZATURE"/>
    <n v="0"/>
    <n v="0"/>
    <n v="0"/>
    <n v="0"/>
    <n v="0"/>
    <n v="0"/>
    <n v="0"/>
    <n v="0"/>
    <n v="0"/>
    <n v="0"/>
    <x v="32"/>
  </r>
  <r>
    <s v="1.01.02.05.0206"/>
    <s v="FONDO AMM  STRUMENTARIO CHIRURGICO"/>
    <n v="0"/>
    <n v="3652562.36"/>
    <n v="3652562.36"/>
    <n v="1560"/>
    <n v="133323.79"/>
    <n v="0"/>
    <n v="0"/>
    <n v="1560"/>
    <n v="3785886.15"/>
    <n v="-3784326.15"/>
    <x v="32"/>
  </r>
  <r>
    <s v="1.01.02.05.0207"/>
    <s v="FONDO AMM  APPARECCHIATURE ELETTROMEDICALI"/>
    <n v="0"/>
    <n v="23679591.199999999"/>
    <n v="23679591.199999999"/>
    <n v="267537.2"/>
    <n v="2400390.2400000002"/>
    <n v="0"/>
    <n v="0"/>
    <n v="267537.2"/>
    <n v="26079981.440000001"/>
    <n v="-25812444.239999998"/>
    <x v="32"/>
  </r>
  <r>
    <m/>
    <s v="MOBILI E ARREDI (AL NETTO DEL F.DO AMM.TO)"/>
    <n v="3576758.4"/>
    <n v="3019941.6"/>
    <n v="556816.80000000005"/>
    <n v="119618.27"/>
    <n v="143036.95000000001"/>
    <n v="0"/>
    <n v="0"/>
    <n v="3696376.67"/>
    <n v="3162978.55"/>
    <n v="533398.12"/>
    <x v="1"/>
  </r>
  <r>
    <s v="1.01.02.06.0101"/>
    <s v="MOBILI E ARREDI SANITARI"/>
    <n v="751647.35"/>
    <n v="0"/>
    <n v="751647.35"/>
    <n v="110154.19"/>
    <n v="0"/>
    <n v="0"/>
    <n v="0"/>
    <n v="861801.54"/>
    <n v="0"/>
    <n v="861801.54"/>
    <x v="33"/>
  </r>
  <r>
    <s v="1.01.02.06.0102"/>
    <s v="MOBILI E ARREDI D'UFFICIO"/>
    <n v="34404.839999999997"/>
    <n v="0"/>
    <n v="34404.839999999997"/>
    <n v="8984.08"/>
    <n v="0"/>
    <n v="0"/>
    <n v="0"/>
    <n v="43388.92"/>
    <n v="0"/>
    <n v="43388.92"/>
    <x v="33"/>
  </r>
  <r>
    <s v="1.01.02.06.0103"/>
    <s v="ALTRI MOBILI E ARREDI"/>
    <n v="2790706.21"/>
    <n v="0"/>
    <n v="2790706.21"/>
    <n v="0"/>
    <n v="480"/>
    <n v="0"/>
    <n v="0"/>
    <n v="2790706.21"/>
    <n v="480"/>
    <n v="2790226.21"/>
    <x v="33"/>
  </r>
  <r>
    <s v="1.01.02.06.0104"/>
    <s v="ALTRI MOBILI E ARREDI SANITARI IN USO ISMETT"/>
    <n v="0"/>
    <n v="0"/>
    <n v="0"/>
    <n v="0"/>
    <n v="0"/>
    <n v="0"/>
    <n v="0"/>
    <n v="0"/>
    <n v="0"/>
    <n v="0"/>
    <x v="33"/>
  </r>
  <r>
    <s v="1.01.02.06.0105"/>
    <s v="ALTRI MOBILI E ARREDI UFFICIO ISMETT"/>
    <n v="0"/>
    <n v="0"/>
    <n v="0"/>
    <n v="0"/>
    <n v="0"/>
    <n v="0"/>
    <n v="0"/>
    <n v="0"/>
    <n v="0"/>
    <n v="0"/>
    <x v="33"/>
  </r>
  <r>
    <s v="1.01.02.06.0201"/>
    <s v="FONDO AMM MOBILI E ARREDI SANITARI"/>
    <n v="0"/>
    <n v="334458.49"/>
    <n v="334458.49"/>
    <n v="0"/>
    <n v="92345.25"/>
    <n v="0"/>
    <n v="0"/>
    <n v="0"/>
    <n v="426803.74"/>
    <n v="-426803.74"/>
    <x v="34"/>
  </r>
  <r>
    <s v="1.01.02.06.0202"/>
    <s v="FONDO AMM MOBILI E ARREDI D'UFFICIO"/>
    <n v="0"/>
    <n v="22485.38"/>
    <n v="22485.38"/>
    <n v="0"/>
    <n v="11481.35"/>
    <n v="0"/>
    <n v="0"/>
    <n v="0"/>
    <n v="33966.730000000003"/>
    <n v="-33966.730000000003"/>
    <x v="34"/>
  </r>
  <r>
    <s v="1.01.02.06.0203"/>
    <s v="FONDO AMM ALTRI MOBILI E ARREDI"/>
    <n v="0"/>
    <n v="2662997.73"/>
    <n v="2662997.73"/>
    <n v="480"/>
    <n v="38730.35"/>
    <n v="0"/>
    <n v="0"/>
    <n v="480"/>
    <n v="2701728.08"/>
    <n v="-2701248.08"/>
    <x v="34"/>
  </r>
  <r>
    <m/>
    <s v="AUTOMEZZI E ALTRI MEZZI DI TRASPORTO (AL NETTO DEL F.DO AMM.TO)"/>
    <n v="169133.62"/>
    <n v="77005.919999999998"/>
    <n v="92127.7"/>
    <n v="0"/>
    <n v="23798.03"/>
    <n v="0"/>
    <n v="0"/>
    <n v="169133.62"/>
    <n v="100803.95"/>
    <n v="68329.67"/>
    <x v="1"/>
  </r>
  <r>
    <s v="1.01.02.07.0101"/>
    <s v="AMBULANZE"/>
    <n v="95770"/>
    <n v="0"/>
    <n v="95770"/>
    <n v="0"/>
    <n v="0"/>
    <n v="0"/>
    <n v="0"/>
    <n v="95770"/>
    <n v="0"/>
    <n v="95770"/>
    <x v="35"/>
  </r>
  <r>
    <s v="1.01.02.07.0102"/>
    <s v="AUTOMEZZI"/>
    <n v="22215"/>
    <n v="0"/>
    <n v="22215"/>
    <n v="0"/>
    <n v="0"/>
    <n v="0"/>
    <n v="0"/>
    <n v="22215"/>
    <n v="0"/>
    <n v="22215"/>
    <x v="35"/>
  </r>
  <r>
    <s v="1.01.02.07.0103"/>
    <s v="ALTRI MEZZI DI TRASPORTO"/>
    <n v="51148.62"/>
    <n v="0"/>
    <n v="51148.62"/>
    <n v="0"/>
    <n v="0"/>
    <n v="0"/>
    <n v="0"/>
    <n v="51148.62"/>
    <n v="0"/>
    <n v="51148.62"/>
    <x v="35"/>
  </r>
  <r>
    <s v="1.01.02.07.0201"/>
    <s v="FONDO AMMORTAMENTO AMBULANZE"/>
    <n v="0"/>
    <n v="3642.3"/>
    <n v="3642.3"/>
    <n v="0"/>
    <n v="23798.03"/>
    <n v="0"/>
    <n v="0"/>
    <n v="0"/>
    <n v="27440.33"/>
    <n v="-27440.33"/>
    <x v="36"/>
  </r>
  <r>
    <s v="1.01.02.07.0202"/>
    <s v="FONDO AMMORTAMENTO AUTOMEZZI"/>
    <n v="0"/>
    <n v="22215"/>
    <n v="22215"/>
    <n v="0"/>
    <n v="0"/>
    <n v="0"/>
    <n v="0"/>
    <n v="0"/>
    <n v="22215"/>
    <n v="-22215"/>
    <x v="36"/>
  </r>
  <r>
    <s v="1.01.02.07.0203"/>
    <s v="FONDO AMMORTAMENTO ALTRI MEZZI DI TRASPORTO"/>
    <n v="0"/>
    <n v="51148.62"/>
    <n v="51148.62"/>
    <n v="0"/>
    <n v="0"/>
    <n v="0"/>
    <n v="0"/>
    <n v="0"/>
    <n v="51148.62"/>
    <n v="-51148.62"/>
    <x v="36"/>
  </r>
  <r>
    <m/>
    <s v="OGGETTI D'ARTE"/>
    <n v="0"/>
    <n v="0"/>
    <n v="0"/>
    <n v="0"/>
    <n v="0"/>
    <n v="0"/>
    <n v="0"/>
    <n v="0"/>
    <n v="0"/>
    <n v="0"/>
    <x v="1"/>
  </r>
  <r>
    <s v="1.01.02.08.0101"/>
    <s v="MOBILI E ARREDI AD ELEVATO VALORE ARTISTICO"/>
    <n v="0"/>
    <n v="0"/>
    <n v="0"/>
    <n v="0"/>
    <n v="0"/>
    <n v="0"/>
    <n v="0"/>
    <n v="0"/>
    <n v="0"/>
    <n v="0"/>
    <x v="37"/>
  </r>
  <r>
    <m/>
    <s v="ALTRE IMMOBILIZZAZIONI MATERIALI (AL NETTO DEL F.DO AMM.TO)"/>
    <n v="957694.11"/>
    <n v="834534.86"/>
    <n v="123159.25"/>
    <n v="8987.32"/>
    <n v="35020.550000000003"/>
    <n v="0"/>
    <n v="0"/>
    <n v="966681.43"/>
    <n v="869555.41"/>
    <n v="97126.02"/>
    <x v="1"/>
  </r>
  <r>
    <s v="1.01.02.09.0101"/>
    <s v="ATTREZZATURE TECNICO-ECONOMALI"/>
    <n v="187500.46"/>
    <n v="0"/>
    <n v="187500.46"/>
    <n v="0"/>
    <n v="0"/>
    <n v="0"/>
    <n v="0"/>
    <n v="187500.46"/>
    <n v="0"/>
    <n v="187500.46"/>
    <x v="38"/>
  </r>
  <r>
    <s v="1.01.02.09.0102"/>
    <s v="BENI DIVERSI"/>
    <n v="641148.28"/>
    <n v="0"/>
    <n v="641148.28"/>
    <n v="8987.32"/>
    <n v="0"/>
    <n v="0"/>
    <n v="0"/>
    <n v="650135.6"/>
    <n v="0"/>
    <n v="650135.6"/>
    <x v="38"/>
  </r>
  <r>
    <s v="1.01.02.09.0103"/>
    <s v="MACCHINE ELETTRICHE UFFICIO"/>
    <n v="98405.26"/>
    <n v="0"/>
    <n v="98405.26"/>
    <n v="0"/>
    <n v="0"/>
    <n v="0"/>
    <n v="0"/>
    <n v="98405.26"/>
    <n v="0"/>
    <n v="98405.26"/>
    <x v="38"/>
  </r>
  <r>
    <s v="1.01.02.09.0104"/>
    <s v="BIBLIOTECA"/>
    <n v="30640.11"/>
    <n v="0"/>
    <n v="30640.11"/>
    <n v="0"/>
    <n v="0"/>
    <n v="0"/>
    <n v="0"/>
    <n v="30640.11"/>
    <n v="0"/>
    <n v="30640.11"/>
    <x v="38"/>
  </r>
  <r>
    <s v="1.01.02.09.0201"/>
    <s v="FONDO AMM ATTREZZATURE TECNICO-ECONOMALI"/>
    <n v="0"/>
    <n v="187500.46"/>
    <n v="187500.46"/>
    <n v="0"/>
    <n v="0"/>
    <n v="0"/>
    <n v="0"/>
    <n v="0"/>
    <n v="187500.46"/>
    <n v="-187500.46"/>
    <x v="39"/>
  </r>
  <r>
    <s v="1.01.02.09.0202"/>
    <s v="FONDO AMM BENI DIVERSI"/>
    <n v="0"/>
    <n v="518670.1"/>
    <n v="518670.1"/>
    <n v="0"/>
    <n v="34481.31"/>
    <n v="0"/>
    <n v="0"/>
    <n v="0"/>
    <n v="553151.41"/>
    <n v="-553151.41"/>
    <x v="39"/>
  </r>
  <r>
    <s v="1.01.02.09.0203"/>
    <s v="FONDO AMMORTAMENTO BIBLIOTECA"/>
    <n v="0"/>
    <n v="29959.040000000001"/>
    <n v="29959.040000000001"/>
    <n v="0"/>
    <n v="539.24"/>
    <n v="0"/>
    <n v="0"/>
    <n v="0"/>
    <n v="30498.28"/>
    <n v="-30498.28"/>
    <x v="39"/>
  </r>
  <r>
    <s v="1.01.02.09.0204"/>
    <s v="FONDO AMMORTAMENTO MACCHINE ELETTRICHE D'UFFICIO"/>
    <n v="0"/>
    <n v="98405.26"/>
    <n v="98405.26"/>
    <n v="0"/>
    <n v="0"/>
    <n v="0"/>
    <n v="0"/>
    <n v="0"/>
    <n v="98405.26"/>
    <n v="-98405.26"/>
    <x v="39"/>
  </r>
  <r>
    <m/>
    <s v="IMMOBILIZZAZIONI MATERIALI IN CORSO E ACCONTI"/>
    <n v="30681333.84"/>
    <n v="0"/>
    <n v="30681333.84"/>
    <n v="1569046.98"/>
    <n v="4036175.14"/>
    <n v="0"/>
    <n v="0"/>
    <n v="32250380.82"/>
    <n v="4036175.14"/>
    <n v="28214205.68"/>
    <x v="1"/>
  </r>
  <r>
    <s v="1.01.02.10.0101"/>
    <s v="IMMOBILIZZAZIONI MATERIALI IN CORSO E ACCONTI"/>
    <n v="30681333.84"/>
    <n v="0"/>
    <n v="30681333.84"/>
    <n v="1569046.98"/>
    <n v="4036175.14"/>
    <n v="0"/>
    <n v="0"/>
    <n v="32250380.82"/>
    <n v="4036175.14"/>
    <n v="28214205.68"/>
    <x v="1"/>
  </r>
  <r>
    <m/>
    <s v="F.DO SVALUT. IMMOBILIZZAZIONI MATERALI"/>
    <n v="0"/>
    <n v="0"/>
    <n v="0"/>
    <n v="0"/>
    <n v="0"/>
    <n v="0"/>
    <n v="0"/>
    <n v="0"/>
    <n v="0"/>
    <n v="0"/>
    <x v="1"/>
  </r>
  <r>
    <s v="1.01.02.11.0101"/>
    <s v="F.DO SVALUT. TERRENI"/>
    <n v="0"/>
    <n v="0"/>
    <n v="0"/>
    <n v="0"/>
    <n v="0"/>
    <n v="0"/>
    <n v="0"/>
    <n v="0"/>
    <n v="0"/>
    <n v="0"/>
    <x v="40"/>
  </r>
  <r>
    <s v="1.01.02.11.0201"/>
    <s v="F.DO SVALUT. FABBRICATI"/>
    <n v="0"/>
    <n v="0"/>
    <n v="0"/>
    <n v="0"/>
    <n v="0"/>
    <n v="0"/>
    <n v="0"/>
    <n v="0"/>
    <n v="0"/>
    <n v="0"/>
    <x v="41"/>
  </r>
  <r>
    <s v="1.01.02.11.0301"/>
    <s v="F.DO SVALUT. IMPIANTI E MACCHINARI"/>
    <n v="0"/>
    <n v="0"/>
    <n v="0"/>
    <n v="0"/>
    <n v="0"/>
    <n v="0"/>
    <n v="0"/>
    <n v="0"/>
    <n v="0"/>
    <n v="0"/>
    <x v="42"/>
  </r>
  <r>
    <s v="1.01.02.11.0401"/>
    <s v="F.DO SVALUT. ATTREZZATURE SANITARIE E SCIENTIFICHE"/>
    <n v="0"/>
    <n v="0"/>
    <n v="0"/>
    <n v="0"/>
    <n v="0"/>
    <n v="0"/>
    <n v="0"/>
    <n v="0"/>
    <n v="0"/>
    <n v="0"/>
    <x v="43"/>
  </r>
  <r>
    <s v="1.01.02.11.0501"/>
    <s v="F.DO SVALUT. MOBILI E ARREDI"/>
    <n v="0"/>
    <n v="0"/>
    <n v="0"/>
    <n v="0"/>
    <n v="0"/>
    <n v="0"/>
    <n v="0"/>
    <n v="0"/>
    <n v="0"/>
    <n v="0"/>
    <x v="44"/>
  </r>
  <r>
    <s v="1.01.02.11.0601"/>
    <s v="F.DO SVALUT. AUTOMEZZI"/>
    <n v="0"/>
    <n v="0"/>
    <n v="0"/>
    <n v="0"/>
    <n v="0"/>
    <n v="0"/>
    <n v="0"/>
    <n v="0"/>
    <n v="0"/>
    <n v="0"/>
    <x v="45"/>
  </r>
  <r>
    <s v="1.01.02.11.0701"/>
    <s v="F.DO SVALUT. OGGETTI D'ARTE"/>
    <n v="0"/>
    <n v="0"/>
    <n v="0"/>
    <n v="0"/>
    <n v="0"/>
    <n v="0"/>
    <n v="0"/>
    <n v="0"/>
    <n v="0"/>
    <n v="0"/>
    <x v="46"/>
  </r>
  <r>
    <s v="1.01.02.11.0801"/>
    <s v="F.DO SVALUT. ALTRE IMMOBILIZZAZIONI MATERIALI"/>
    <n v="0"/>
    <n v="0"/>
    <n v="0"/>
    <n v="0"/>
    <n v="0"/>
    <n v="0"/>
    <n v="0"/>
    <n v="0"/>
    <n v="0"/>
    <n v="0"/>
    <x v="47"/>
  </r>
  <r>
    <m/>
    <s v="IMMOBILIZZAZIONI FINANZIARIE"/>
    <n v="178000"/>
    <n v="0"/>
    <n v="178000"/>
    <n v="46713.88"/>
    <n v="46713.88"/>
    <n v="0"/>
    <n v="0"/>
    <n v="224713.88"/>
    <n v="46713.88"/>
    <n v="178000"/>
    <x v="1"/>
  </r>
  <r>
    <m/>
    <s v="CREDITI FINANZIARI V/STATO"/>
    <n v="0"/>
    <n v="0"/>
    <n v="0"/>
    <n v="0"/>
    <n v="0"/>
    <n v="0"/>
    <n v="0"/>
    <n v="0"/>
    <n v="0"/>
    <n v="0"/>
    <x v="1"/>
  </r>
  <r>
    <s v="1.01.03.01.0101"/>
    <s v="CREDITI FINANZIARI V/STATO"/>
    <n v="0"/>
    <n v="0"/>
    <n v="0"/>
    <n v="0"/>
    <n v="0"/>
    <n v="0"/>
    <n v="0"/>
    <n v="0"/>
    <n v="0"/>
    <n v="0"/>
    <x v="48"/>
  </r>
  <r>
    <m/>
    <s v="CREDITI FINANZIARI V/REGIONE"/>
    <n v="0"/>
    <n v="0"/>
    <n v="0"/>
    <n v="0"/>
    <n v="0"/>
    <n v="0"/>
    <n v="0"/>
    <n v="0"/>
    <n v="0"/>
    <n v="0"/>
    <x v="1"/>
  </r>
  <r>
    <s v="1.01.03.02.0101"/>
    <s v="CREDITI FINANZIARI V/REGIONE"/>
    <n v="0"/>
    <n v="0"/>
    <n v="0"/>
    <n v="0"/>
    <n v="0"/>
    <n v="0"/>
    <n v="0"/>
    <n v="0"/>
    <n v="0"/>
    <n v="0"/>
    <x v="48"/>
  </r>
  <r>
    <m/>
    <s v="CREDITI FINANZIARI V/PARTECIPATE"/>
    <n v="0"/>
    <n v="0"/>
    <n v="0"/>
    <n v="0"/>
    <n v="0"/>
    <n v="0"/>
    <n v="0"/>
    <n v="0"/>
    <n v="0"/>
    <n v="0"/>
    <x v="1"/>
  </r>
  <r>
    <s v="1.01.03.03.0101"/>
    <s v="CREDITI FINANZIARI VERSO IMPRESE CONTROLLATE"/>
    <n v="0"/>
    <n v="0"/>
    <n v="0"/>
    <n v="0"/>
    <n v="0"/>
    <n v="0"/>
    <n v="0"/>
    <n v="0"/>
    <n v="0"/>
    <n v="0"/>
    <x v="48"/>
  </r>
  <r>
    <s v="1.01.03.03.0201"/>
    <s v="CREDITI FINANZIARI VERSO IMPRESE COLLEGATE"/>
    <n v="0"/>
    <n v="0"/>
    <n v="0"/>
    <n v="0"/>
    <n v="0"/>
    <n v="0"/>
    <n v="0"/>
    <n v="0"/>
    <n v="0"/>
    <n v="0"/>
    <x v="49"/>
  </r>
  <r>
    <m/>
    <s v="CREDITI FINANZIARI V/ALTRI"/>
    <n v="0"/>
    <n v="0"/>
    <n v="0"/>
    <n v="46713.88"/>
    <n v="46713.88"/>
    <n v="0"/>
    <n v="0"/>
    <n v="46713.88"/>
    <n v="46713.88"/>
    <n v="0"/>
    <x v="1"/>
  </r>
  <r>
    <s v="1.01.03.04.0101"/>
    <s v="CREDITI FINANZIARI V/PROVINCIA"/>
    <n v="0"/>
    <n v="0"/>
    <n v="0"/>
    <n v="0"/>
    <n v="0"/>
    <n v="0"/>
    <n v="0"/>
    <n v="0"/>
    <n v="0"/>
    <n v="0"/>
    <x v="50"/>
  </r>
  <r>
    <s v="1.01.03.04.0201"/>
    <s v="CREDITI FINANZIARI V/COMUNI"/>
    <n v="0"/>
    <n v="0"/>
    <n v="0"/>
    <n v="0"/>
    <n v="0"/>
    <n v="0"/>
    <n v="0"/>
    <n v="0"/>
    <n v="0"/>
    <n v="0"/>
    <x v="50"/>
  </r>
  <r>
    <s v="1.01.03.04.0301"/>
    <s v="CREDITI FINANZIARI V/ALTRI"/>
    <n v="0"/>
    <n v="0"/>
    <n v="0"/>
    <n v="0"/>
    <n v="0"/>
    <n v="0"/>
    <n v="0"/>
    <n v="0"/>
    <n v="0"/>
    <n v="0"/>
    <x v="50"/>
  </r>
  <r>
    <s v="1.01.03.04.0401"/>
    <s v="DEPOSITI CAUZIONALI"/>
    <n v="0"/>
    <n v="0"/>
    <n v="0"/>
    <n v="46713.88"/>
    <n v="46713.88"/>
    <n v="0"/>
    <n v="0"/>
    <n v="46713.88"/>
    <n v="46713.88"/>
    <n v="0"/>
    <x v="50"/>
  </r>
  <r>
    <s v="1.01.03.04.0501"/>
    <s v="FONDO SVALUTAZIONE CREDITI"/>
    <n v="0"/>
    <n v="0"/>
    <n v="0"/>
    <n v="0"/>
    <n v="0"/>
    <n v="0"/>
    <n v="0"/>
    <n v="0"/>
    <n v="0"/>
    <n v="0"/>
    <x v="50"/>
  </r>
  <r>
    <m/>
    <s v="PARTECIPAZIONI"/>
    <n v="178000"/>
    <n v="0"/>
    <n v="178000"/>
    <n v="0"/>
    <n v="0"/>
    <n v="0"/>
    <n v="0"/>
    <n v="178000"/>
    <n v="0"/>
    <n v="178000"/>
    <x v="1"/>
  </r>
  <r>
    <s v="1.01.03.05.0101"/>
    <s v="PARTECIPAZIONI IN IMPRESE CONTROLLATE E COLLEGATE"/>
    <n v="0"/>
    <n v="0"/>
    <n v="0"/>
    <n v="0"/>
    <n v="0"/>
    <n v="0"/>
    <n v="0"/>
    <n v="0"/>
    <n v="0"/>
    <n v="0"/>
    <x v="51"/>
  </r>
  <r>
    <s v="1.01.03.05.0102"/>
    <s v="SOCIETA SICILIA EMERGENZA-URGENZA SANITARIA SOCIETA CONSORTILE PER AZIONI"/>
    <n v="0"/>
    <n v="0"/>
    <n v="0"/>
    <n v="0"/>
    <n v="0"/>
    <n v="0"/>
    <n v="0"/>
    <n v="0"/>
    <n v="0"/>
    <n v="0"/>
    <x v="51"/>
  </r>
  <r>
    <s v="1.01.03.05.0201"/>
    <s v="PARTECIPAZIONI IN IMPRESE COLLEGATE"/>
    <n v="0"/>
    <n v="0"/>
    <n v="0"/>
    <n v="0"/>
    <n v="0"/>
    <n v="0"/>
    <n v="0"/>
    <n v="0"/>
    <n v="0"/>
    <n v="0"/>
    <x v="51"/>
  </r>
  <r>
    <s v="1.01.03.05.9901"/>
    <s v="PARTECIPAZIONI IN ALTRE IMPRESE"/>
    <n v="178000"/>
    <n v="0"/>
    <n v="178000"/>
    <n v="0"/>
    <n v="0"/>
    <n v="0"/>
    <n v="0"/>
    <n v="178000"/>
    <n v="0"/>
    <n v="178000"/>
    <x v="51"/>
  </r>
  <r>
    <m/>
    <s v="ALTRI TITOLI"/>
    <n v="0"/>
    <n v="0"/>
    <n v="0"/>
    <n v="0"/>
    <n v="0"/>
    <n v="0"/>
    <n v="0"/>
    <n v="0"/>
    <n v="0"/>
    <n v="0"/>
    <x v="1"/>
  </r>
  <r>
    <s v="1.01.03.06.0101"/>
    <s v="TITOLI DI STATO"/>
    <n v="0"/>
    <n v="0"/>
    <n v="0"/>
    <n v="0"/>
    <n v="0"/>
    <n v="0"/>
    <n v="0"/>
    <n v="0"/>
    <n v="0"/>
    <n v="0"/>
    <x v="52"/>
  </r>
  <r>
    <s v="1.01.03.06.0201"/>
    <s v="TITOLI OBBLIGAZIONARI"/>
    <n v="0"/>
    <n v="0"/>
    <n v="0"/>
    <n v="0"/>
    <n v="0"/>
    <n v="0"/>
    <n v="0"/>
    <n v="0"/>
    <n v="0"/>
    <n v="0"/>
    <x v="53"/>
  </r>
  <r>
    <s v="1.01.03.06.0301"/>
    <s v="TITOLI AZIONARI"/>
    <n v="0"/>
    <n v="0"/>
    <n v="0"/>
    <n v="0"/>
    <n v="0"/>
    <n v="0"/>
    <n v="0"/>
    <n v="0"/>
    <n v="0"/>
    <n v="0"/>
    <x v="54"/>
  </r>
  <r>
    <s v="1.01.03.06.0401"/>
    <s v="ALTRI TITOLI"/>
    <n v="0"/>
    <n v="0"/>
    <n v="0"/>
    <n v="0"/>
    <n v="0"/>
    <n v="0"/>
    <n v="0"/>
    <n v="0"/>
    <n v="0"/>
    <n v="0"/>
    <x v="55"/>
  </r>
  <r>
    <m/>
    <s v="ATTIVO CIRCOLANTE"/>
    <n v="206994140.77000001"/>
    <n v="11180119.35"/>
    <n v="195814021.41999999"/>
    <n v="1817881305.1800001"/>
    <n v="1815105760.25"/>
    <n v="0"/>
    <n v="0"/>
    <n v="2024875445.95"/>
    <n v="1826285879.5999999"/>
    <n v="198589566.34999999"/>
    <x v="1"/>
  </r>
  <r>
    <m/>
    <s v="RIMANENZE"/>
    <n v="16358887.189999999"/>
    <n v="19687.84"/>
    <n v="16339199.35"/>
    <n v="24857882.57"/>
    <n v="16335538.17"/>
    <n v="0"/>
    <n v="0"/>
    <n v="41216769.759999998"/>
    <n v="16355226.01"/>
    <n v="24861543.75"/>
    <x v="1"/>
  </r>
  <r>
    <m/>
    <s v="PRODOTTI FARMACEUTICI ED EMODERIVATI"/>
    <n v="11312051.42"/>
    <n v="0"/>
    <n v="11312051.42"/>
    <n v="9284663.4399999995"/>
    <n v="11312051.42"/>
    <n v="0"/>
    <n v="0"/>
    <n v="20596714.859999999"/>
    <n v="11312051.42"/>
    <n v="9284663.4399999995"/>
    <x v="1"/>
  </r>
  <r>
    <s v="1.02.01.01.0101"/>
    <s v="RIMANENZE FINALI DI  FARMACI"/>
    <n v="2262541.41"/>
    <n v="0"/>
    <n v="2262541.41"/>
    <n v="1680598.04"/>
    <n v="2262541.41"/>
    <n v="0"/>
    <n v="0"/>
    <n v="3943139.45"/>
    <n v="2262541.41"/>
    <n v="1680598.04"/>
    <x v="56"/>
  </r>
  <r>
    <s v="1.02.01.01.0102"/>
    <s v="RIMANENZE FINALI DI     FARMACI RIENTRANTI NEL FLUSSO F"/>
    <n v="6914393.9800000004"/>
    <n v="0"/>
    <n v="6914393.9800000004"/>
    <n v="4886593.71"/>
    <n v="6914393.9800000004"/>
    <n v="0"/>
    <n v="0"/>
    <n v="11800987.689999999"/>
    <n v="6914393.9800000004"/>
    <n v="4886593.71"/>
    <x v="56"/>
  </r>
  <r>
    <s v="1.02.01.01.0103"/>
    <s v="RIMANENZE FINALI DI  FARMACI RIENTRANTI NEL FLUSSO T"/>
    <n v="1183997.8700000001"/>
    <n v="0"/>
    <n v="1183997.8700000001"/>
    <n v="1641302"/>
    <n v="1183997.8700000001"/>
    <n v="0"/>
    <n v="0"/>
    <n v="2825299.87"/>
    <n v="1183997.8700000001"/>
    <n v="1641302"/>
    <x v="56"/>
  </r>
  <r>
    <s v="1.02.01.01.0104"/>
    <s v="RIMANENZE FINALI DI   FARMACI ° CICLO TERAPIA"/>
    <n v="0"/>
    <n v="0"/>
    <n v="0"/>
    <n v="0"/>
    <n v="140717.42000000001"/>
    <n v="0"/>
    <n v="0"/>
    <n v="0"/>
    <n v="140717.42000000001"/>
    <n v="-140717.42000000001"/>
    <x v="56"/>
  </r>
  <r>
    <s v="1.02.01.01.0105"/>
    <s v="RIMANENZE FINALI DI    SOLUZIONI FISIOLOGICHE"/>
    <n v="140717.42000000001"/>
    <n v="0"/>
    <n v="140717.42000000001"/>
    <n v="109795.22"/>
    <n v="64431.56"/>
    <n v="0"/>
    <n v="0"/>
    <n v="250512.64000000001"/>
    <n v="64431.56"/>
    <n v="186081.08"/>
    <x v="56"/>
  </r>
  <r>
    <s v="1.02.01.01.0106"/>
    <s v="RIMANENZE DI FARMACI INCLUSI NEL PHT"/>
    <n v="0"/>
    <n v="0"/>
    <n v="0"/>
    <n v="0"/>
    <n v="0"/>
    <n v="0"/>
    <n v="0"/>
    <n v="0"/>
    <n v="0"/>
    <n v="0"/>
    <x v="56"/>
  </r>
  <r>
    <s v="1.02.01.01.0201"/>
    <s v="RIMANENZE FINALI MEZZI DI CONTRASTO PER RADIOLOGIA"/>
    <n v="252881.77"/>
    <n v="0"/>
    <n v="252881.77"/>
    <n v="312412.71000000002"/>
    <n v="252881.77"/>
    <n v="0"/>
    <n v="0"/>
    <n v="565294.48"/>
    <n v="252881.77"/>
    <n v="312412.71000000002"/>
    <x v="56"/>
  </r>
  <r>
    <s v="1.02.01.01.0301"/>
    <s v="RIMANENZE FINALI OSSIGENO - CON AIC"/>
    <n v="1992.25"/>
    <n v="0"/>
    <n v="1992.25"/>
    <n v="111750.9"/>
    <n v="1992.25"/>
    <n v="0"/>
    <n v="0"/>
    <n v="113743.15"/>
    <n v="1992.25"/>
    <n v="111750.9"/>
    <x v="56"/>
  </r>
  <r>
    <s v="1.02.01.01.0401"/>
    <s v="RIMANENZE FINALI EMODERIVATI CON AIC- AD ECCEZIONE DI PRODUZIONE REGIONALE"/>
    <n v="380885.21"/>
    <n v="0"/>
    <n v="380885.21"/>
    <n v="358630.49"/>
    <n v="380885.21"/>
    <n v="0"/>
    <n v="0"/>
    <n v="739515.7"/>
    <n v="380885.21"/>
    <n v="358630.49"/>
    <x v="56"/>
  </r>
  <r>
    <s v="1.02.01.01.0501"/>
    <s v="RIMANENZE FINALI OSSIGENO - SENZA AIC"/>
    <n v="77707.210000000006"/>
    <n v="0"/>
    <n v="77707.210000000006"/>
    <n v="0"/>
    <n v="77707.210000000006"/>
    <n v="0"/>
    <n v="0"/>
    <n v="77707.210000000006"/>
    <n v="77707.210000000006"/>
    <n v="0"/>
    <x v="56"/>
  </r>
  <r>
    <s v="1.02.01.01.0601"/>
    <s v="RIMANENZE FINALI MEDICINALI - SENZA AIC- ECCETTO OSSIGENO"/>
    <n v="96934.3"/>
    <n v="0"/>
    <n v="96934.3"/>
    <n v="183580.37"/>
    <n v="32502.74"/>
    <n v="0"/>
    <n v="0"/>
    <n v="280514.67"/>
    <n v="32502.74"/>
    <n v="248011.93"/>
    <x v="56"/>
  </r>
  <r>
    <s v="1.02.01.01.0701"/>
    <s v="RIMANENZE FINALI EMODERIVATI DI PRODUZIONE REGIONALE"/>
    <n v="0"/>
    <n v="0"/>
    <n v="0"/>
    <n v="0"/>
    <n v="0"/>
    <n v="0"/>
    <n v="0"/>
    <n v="0"/>
    <n v="0"/>
    <n v="0"/>
    <x v="56"/>
  </r>
  <r>
    <m/>
    <s v="SANGUE ED EMOCOMPONENTI"/>
    <n v="0"/>
    <n v="0"/>
    <n v="0"/>
    <n v="221555.19"/>
    <n v="0"/>
    <n v="0"/>
    <n v="0"/>
    <n v="221555.19"/>
    <n v="0"/>
    <n v="221555.19"/>
    <x v="1"/>
  </r>
  <r>
    <s v="1.02.01.02.0101"/>
    <s v="RIMANENZE FINALI SANGUE ED EMOCOMPONENTI DA PUBBLICO (AZIENDE SANITARIE PUBBLICHE DELLA REGIONE)  - MOBILITA INTRAREGIONALE"/>
    <n v="0"/>
    <n v="0"/>
    <n v="0"/>
    <n v="0"/>
    <n v="0"/>
    <n v="0"/>
    <n v="0"/>
    <n v="0"/>
    <n v="0"/>
    <n v="0"/>
    <x v="57"/>
  </r>
  <r>
    <s v="1.02.01.02.0201"/>
    <s v="RIMANENZE FINALI SANGUE ED EMOCOMPONENTI DA PUBBLICO (AZIENDE SANITARIE PUBBLICHE DELLA REGIONE)  - MOBILITA EXTRA REGIONE"/>
    <n v="0"/>
    <n v="0"/>
    <n v="0"/>
    <n v="0"/>
    <n v="0"/>
    <n v="0"/>
    <n v="0"/>
    <n v="0"/>
    <n v="0"/>
    <n v="0"/>
    <x v="57"/>
  </r>
  <r>
    <s v="1.02.01.02.0301"/>
    <s v="RIMANENZE FINALI SANGUE ED EMOCOMPONENTI DA ALTRI SOGGETTI"/>
    <n v="0"/>
    <n v="0"/>
    <n v="0"/>
    <n v="221555.19"/>
    <n v="0"/>
    <n v="0"/>
    <n v="0"/>
    <n v="221555.19"/>
    <n v="0"/>
    <n v="221555.19"/>
    <x v="57"/>
  </r>
  <r>
    <m/>
    <s v="DISPOSITIVI MEDICI"/>
    <n v="4327331.78"/>
    <n v="0"/>
    <n v="4327331.78"/>
    <n v="13417088.66"/>
    <n v="4319450.62"/>
    <n v="0"/>
    <n v="0"/>
    <n v="17744420.440000001"/>
    <n v="4319450.62"/>
    <n v="13424969.82"/>
    <x v="1"/>
  </r>
  <r>
    <s v="1.02.01.03.0101"/>
    <s v="RIMANENZE FINALI DISPOSITIVI DA SOMMINISTRAZIONE, PRELIEVO E RACCOLTA (A)"/>
    <n v="259542.16"/>
    <n v="0"/>
    <n v="259542.16"/>
    <n v="645977.56000000006"/>
    <n v="259542.16"/>
    <n v="0"/>
    <n v="0"/>
    <n v="905519.72"/>
    <n v="259542.16"/>
    <n v="645977.56000000006"/>
    <x v="58"/>
  </r>
  <r>
    <s v="1.02.01.03.0201"/>
    <s v="RIMANENZE FINALI PRESIDI MEDICO-CHIRURGICI SPECIALISTICI (B, G, N, Q, R, U)"/>
    <n v="268504.62"/>
    <n v="0"/>
    <n v="268504.62"/>
    <n v="1621795.82"/>
    <n v="268504.62"/>
    <n v="0"/>
    <n v="0"/>
    <n v="1890300.44"/>
    <n v="268504.62"/>
    <n v="1621795.82"/>
    <x v="58"/>
  </r>
  <r>
    <s v="1.02.01.03.0301"/>
    <s v="RIMANENZE FINALI PRESIDI MEDICO-CHIRURGICI GENERICI (H, M, T01, T02, T03)"/>
    <n v="666593.49"/>
    <n v="0"/>
    <n v="666593.49"/>
    <n v="1176659.1200000001"/>
    <n v="666593.49"/>
    <n v="0"/>
    <n v="0"/>
    <n v="1843252.61"/>
    <n v="666593.49"/>
    <n v="1176659.1200000001"/>
    <x v="58"/>
  </r>
  <r>
    <s v="1.02.01.03.0401"/>
    <s v="RIMANENZE FINALI DISPOSITIVI PER APPARATO CARDIOCIRCOLATORIO (C)"/>
    <n v="252018.6"/>
    <n v="0"/>
    <n v="252018.6"/>
    <n v="1431983.46"/>
    <n v="252018.6"/>
    <n v="0"/>
    <n v="0"/>
    <n v="1684002.06"/>
    <n v="252018.6"/>
    <n v="1431983.46"/>
    <x v="58"/>
  </r>
  <r>
    <s v="1.02.01.03.0501"/>
    <s v="RIMANENZE FINALI DISINFETTANTI E PRODOTTI PER STERILIZZAZIONE E DISPOSITIVI VARI (D, S)"/>
    <n v="55449.29"/>
    <n v="0"/>
    <n v="55449.29"/>
    <n v="108960.51"/>
    <n v="55449.29"/>
    <n v="0"/>
    <n v="0"/>
    <n v="164409.79999999999"/>
    <n v="55449.29"/>
    <n v="108960.51"/>
    <x v="58"/>
  </r>
  <r>
    <s v="1.02.01.03.0601"/>
    <s v="RIMANENZE FINALI MATERIALE PER DIALISI (F)"/>
    <n v="24873.95"/>
    <n v="0"/>
    <n v="24873.95"/>
    <n v="185284.32"/>
    <n v="24873.95"/>
    <n v="0"/>
    <n v="0"/>
    <n v="210158.27"/>
    <n v="24873.95"/>
    <n v="185284.32"/>
    <x v="58"/>
  </r>
  <r>
    <s v="1.02.01.03.0701"/>
    <s v="RIMANENZE FINALI STRUMENTARIO CHIRURGICO (K, L)"/>
    <n v="50230.61"/>
    <n v="0"/>
    <n v="50230.61"/>
    <n v="732650.41"/>
    <n v="50230.61"/>
    <n v="0"/>
    <n v="0"/>
    <n v="782881.02"/>
    <n v="50230.61"/>
    <n v="732650.41"/>
    <x v="58"/>
  </r>
  <r>
    <s v="1.02.01.03.0801"/>
    <s v="RIMANENZE FINALI MATERIALE RADIOGRAFICO (Z 13)"/>
    <n v="16541.080000000002"/>
    <n v="0"/>
    <n v="16541.080000000002"/>
    <n v="16183.09"/>
    <n v="16541.080000000002"/>
    <n v="0"/>
    <n v="0"/>
    <n v="32724.17"/>
    <n v="16541.080000000002"/>
    <n v="16183.09"/>
    <x v="58"/>
  </r>
  <r>
    <s v="1.02.01.03.0901"/>
    <s v="RIMANENZE FINALI SUPPORTI O AUSILI TECNICI PER PERSONE DISABILI (Y)"/>
    <n v="1928.61"/>
    <n v="0"/>
    <n v="1928.61"/>
    <n v="21560.82"/>
    <n v="1928.61"/>
    <n v="0"/>
    <n v="0"/>
    <n v="23489.43"/>
    <n v="1928.61"/>
    <n v="21560.82"/>
    <x v="58"/>
  </r>
  <r>
    <s v="1.02.01.03.1001"/>
    <s v="RIMANENZE FINALI AUSILI PER INCONTINENZA (T04)"/>
    <n v="269.37"/>
    <n v="0"/>
    <n v="269.37"/>
    <n v="34028.25"/>
    <n v="269.37"/>
    <n v="0"/>
    <n v="0"/>
    <n v="34297.620000000003"/>
    <n v="269.37"/>
    <n v="34028.25"/>
    <x v="58"/>
  </r>
  <r>
    <s v="1.02.01.03.1101"/>
    <s v="RIMANENZE FINALI DISPOSITIVI PROTESICI IMPIANTABILI E PRODOTTI PER OSTEOSINTESI (P) - PROTESI VARIE"/>
    <n v="536090.04"/>
    <n v="0"/>
    <n v="536090.04"/>
    <n v="76630.13"/>
    <n v="536090.04"/>
    <n v="0"/>
    <n v="0"/>
    <n v="612720.17000000004"/>
    <n v="536090.04"/>
    <n v="76630.13"/>
    <x v="58"/>
  </r>
  <r>
    <s v="1.02.01.03.1102"/>
    <s v="RIMANENZE FINALI DISPOSITIVI PROTESICI IMPIANTABILI E PRODOTTI PER OSTEOSINTESI (P)- PROTESI ORTOPEDICHE"/>
    <n v="15265.12"/>
    <n v="0"/>
    <n v="15265.12"/>
    <n v="637405.30000000005"/>
    <n v="40000.57"/>
    <n v="0"/>
    <n v="0"/>
    <n v="652670.42000000004"/>
    <n v="40000.57"/>
    <n v="612669.85"/>
    <x v="58"/>
  </r>
  <r>
    <s v="1.02.01.03.1103"/>
    <s v="RIMANENZE FINALI DISPOSITIVI PROTESICI IMPIANTABILI E PRODOTTI PER OSTEOSINTESI (P)- PROTESI PER CHIRURGIA"/>
    <n v="40000.57"/>
    <n v="0"/>
    <n v="40000.57"/>
    <n v="44523.49"/>
    <n v="10056.26"/>
    <n v="0"/>
    <n v="0"/>
    <n v="84524.06"/>
    <n v="10056.26"/>
    <n v="74467.8"/>
    <x v="58"/>
  </r>
  <r>
    <s v="1.02.01.03.1104"/>
    <s v="RIMANENZE FINALI DISPOSITIVI PROTESICI IMPIANTABILI E PRODOTTI PER OSTEOSINTESI (P) - PROTESI PER EMODINAMICA"/>
    <n v="10056.26"/>
    <n v="0"/>
    <n v="10056.26"/>
    <n v="747958.42"/>
    <n v="18846.63"/>
    <n v="0"/>
    <n v="0"/>
    <n v="758014.68"/>
    <n v="18846.63"/>
    <n v="739168.05"/>
    <x v="58"/>
  </r>
  <r>
    <s v="1.02.01.03.1105"/>
    <s v="RIMANENZE FINALI DISPOSITIVI PROTESICI IMPIANTABILI E PRODOTTI PER OSTEOSINTESI (P) - PROTESI PER UROLOGIA"/>
    <n v="18846.63"/>
    <n v="0"/>
    <n v="18846.63"/>
    <n v="67587.66"/>
    <n v="0"/>
    <n v="0"/>
    <n v="0"/>
    <n v="86434.29"/>
    <n v="0"/>
    <n v="86434.29"/>
    <x v="58"/>
  </r>
  <r>
    <s v="1.02.01.03.1106"/>
    <s v="RIMANENZE FINALI DISPOSITIVI PROTESICI IMPIANTABILI E PRODOTTI PER OSTEOSINTESI (P) - PROTESI PER OCULISTICA"/>
    <n v="0"/>
    <n v="0"/>
    <n v="0"/>
    <n v="87658.37"/>
    <n v="15265.12"/>
    <n v="0"/>
    <n v="0"/>
    <n v="87658.37"/>
    <n v="15265.12"/>
    <n v="72393.25"/>
    <x v="58"/>
  </r>
  <r>
    <s v="1.02.01.03.1201"/>
    <s v="RIMANENZE FINALI DISPOSITIVI VARI (V)"/>
    <n v="52529.23"/>
    <n v="0"/>
    <n v="52529.23"/>
    <n v="98759.13"/>
    <n v="52529.23"/>
    <n v="0"/>
    <n v="0"/>
    <n v="151288.35999999999"/>
    <n v="52529.23"/>
    <n v="98759.13"/>
    <x v="58"/>
  </r>
  <r>
    <s v="1.02.01.03.1301"/>
    <s v="RIMANENZE FINALI DISPOSITIVI IMPIANTABILI ATTIVI (J) - PACEMAKER"/>
    <n v="71957.759999999995"/>
    <n v="0"/>
    <n v="71957.759999999995"/>
    <n v="0"/>
    <n v="71957.759999999995"/>
    <n v="0"/>
    <n v="0"/>
    <n v="71957.759999999995"/>
    <n v="71957.759999999995"/>
    <n v="0"/>
    <x v="58"/>
  </r>
  <r>
    <s v="1.02.01.03.1302"/>
    <s v="RIMANENZE FINALI DISPOSITIVI IMPIANTABILI ATTIVI (J) VARI"/>
    <n v="1920276.33"/>
    <n v="0"/>
    <n v="1920276.33"/>
    <n v="100330.25"/>
    <n v="0"/>
    <n v="0"/>
    <n v="0"/>
    <n v="2020606.58"/>
    <n v="0"/>
    <n v="2020606.58"/>
    <x v="58"/>
  </r>
  <r>
    <s v="1.02.01.03.1401"/>
    <s v="RIMANENZE FINALI REAGENTI DIAGNOSTICI (W1)"/>
    <n v="58476.42"/>
    <n v="0"/>
    <n v="58476.42"/>
    <n v="4811123.79"/>
    <n v="1920276.81"/>
    <n v="0"/>
    <n v="0"/>
    <n v="4869600.21"/>
    <n v="1920276.81"/>
    <n v="2949323.4"/>
    <x v="58"/>
  </r>
  <r>
    <s v="1.02.01.03.1501"/>
    <s v="RIMANENZE FINALI DISPOSITIVI MEDICO DIAGNOSTICI IN VITRO (IVD) (W2, W3)"/>
    <n v="7881.64"/>
    <n v="0"/>
    <n v="7881.64"/>
    <n v="770028.76"/>
    <n v="58476.42"/>
    <n v="0"/>
    <n v="0"/>
    <n v="777910.4"/>
    <n v="58476.42"/>
    <n v="719433.98"/>
    <x v="58"/>
  </r>
  <r>
    <m/>
    <s v="PRODOTTI DIETETICI"/>
    <n v="0"/>
    <n v="0"/>
    <n v="0"/>
    <n v="10030.41"/>
    <n v="7881.64"/>
    <n v="0"/>
    <n v="0"/>
    <n v="10030.41"/>
    <n v="7881.64"/>
    <n v="2148.77"/>
    <x v="1"/>
  </r>
  <r>
    <s v="1.02.01.04.0101"/>
    <s v="RIMANENZE FINALI PRODOTTI DIETETICI"/>
    <n v="0"/>
    <n v="0"/>
    <n v="0"/>
    <n v="10030.41"/>
    <n v="7881.64"/>
    <n v="0"/>
    <n v="0"/>
    <n v="10030.41"/>
    <n v="7881.64"/>
    <n v="2148.77"/>
    <x v="59"/>
  </r>
  <r>
    <m/>
    <s v="MATERIALI PER LA PROFILASSI (VACCINI)"/>
    <n v="0"/>
    <n v="0"/>
    <n v="0"/>
    <n v="0"/>
    <n v="0"/>
    <n v="0"/>
    <n v="0"/>
    <n v="0"/>
    <n v="0"/>
    <n v="0"/>
    <x v="1"/>
  </r>
  <r>
    <s v="1.02.01.05.0101"/>
    <s v="RIMANENZE FINALI MATERIALI PER LA PROFILASSI (VACCINI)"/>
    <n v="0"/>
    <n v="0"/>
    <n v="0"/>
    <n v="0"/>
    <n v="0"/>
    <n v="0"/>
    <n v="0"/>
    <n v="0"/>
    <n v="0"/>
    <n v="0"/>
    <x v="60"/>
  </r>
  <r>
    <m/>
    <s v="PRODOTTI CHIMICI"/>
    <n v="0"/>
    <n v="0"/>
    <n v="0"/>
    <n v="0"/>
    <n v="0"/>
    <n v="0"/>
    <n v="0"/>
    <n v="0"/>
    <n v="0"/>
    <n v="0"/>
    <x v="1"/>
  </r>
  <r>
    <s v="1.02.01.06.0101"/>
    <s v="RIMANENZE FINALI PRODOTTI CHIMICI"/>
    <n v="0"/>
    <n v="0"/>
    <n v="0"/>
    <n v="0"/>
    <n v="0"/>
    <n v="0"/>
    <n v="0"/>
    <n v="0"/>
    <n v="0"/>
    <n v="0"/>
    <x v="61"/>
  </r>
  <r>
    <m/>
    <s v="MATERIALI E PRODOTTI PER USO VETERINARIO"/>
    <n v="0"/>
    <n v="0"/>
    <n v="0"/>
    <n v="0"/>
    <n v="0"/>
    <n v="0"/>
    <n v="0"/>
    <n v="0"/>
    <n v="0"/>
    <n v="0"/>
    <x v="1"/>
  </r>
  <r>
    <s v="1.02.01.07.0101"/>
    <s v="RIMANENZE FINALI FARMACI PER USO VETERINARIO"/>
    <n v="0"/>
    <n v="0"/>
    <n v="0"/>
    <n v="0"/>
    <n v="0"/>
    <n v="0"/>
    <n v="0"/>
    <n v="0"/>
    <n v="0"/>
    <n v="0"/>
    <x v="62"/>
  </r>
  <r>
    <s v="1.02.01.07.0201"/>
    <s v="RIMANENZE FINALI ALTRI MATERIALI E PRODOTTI PER USO VETERINARIO"/>
    <n v="0"/>
    <n v="0"/>
    <n v="0"/>
    <n v="0"/>
    <n v="0"/>
    <n v="0"/>
    <n v="0"/>
    <n v="0"/>
    <n v="0"/>
    <n v="0"/>
    <x v="62"/>
  </r>
  <r>
    <m/>
    <s v="ALTRI BENI E PRODOTTI SANITARI"/>
    <n v="667547.92000000004"/>
    <n v="0"/>
    <n v="667547.92000000004"/>
    <n v="1848621.58"/>
    <n v="667547.92000000004"/>
    <n v="0"/>
    <n v="0"/>
    <n v="2516169.5"/>
    <n v="667547.92000000004"/>
    <n v="1848621.58"/>
    <x v="1"/>
  </r>
  <r>
    <s v="1.02.01.08.0101"/>
    <s v="RIMANENZE FINALI ALTRI BENI E PRODOTTI SANITARI - GAS MEDICALI SENZA AIC"/>
    <n v="0"/>
    <n v="0"/>
    <n v="0"/>
    <n v="0"/>
    <n v="0"/>
    <n v="0"/>
    <n v="0"/>
    <n v="0"/>
    <n v="0"/>
    <n v="0"/>
    <x v="63"/>
  </r>
  <r>
    <s v="1.02.01.08.0102"/>
    <s v="RIMANENZE FINALI ALTRI BENI E PRODOTTI SANITARI"/>
    <n v="667547.92000000004"/>
    <n v="0"/>
    <n v="667547.92000000004"/>
    <n v="1244356.3899999999"/>
    <n v="667547.92000000004"/>
    <n v="0"/>
    <n v="0"/>
    <n v="1911904.31"/>
    <n v="667547.92000000004"/>
    <n v="1244356.3899999999"/>
    <x v="63"/>
  </r>
  <r>
    <s v="1.02.01.08.0103"/>
    <s v="RIMANENZE FINALI ALTRI BENI E PRODOTTI SANITARI - LABORATORIO"/>
    <n v="0"/>
    <n v="0"/>
    <n v="0"/>
    <n v="604265.18999999994"/>
    <n v="0"/>
    <n v="0"/>
    <n v="0"/>
    <n v="604265.18999999994"/>
    <n v="0"/>
    <n v="604265.18999999994"/>
    <x v="63"/>
  </r>
  <r>
    <s v="1.02.01.08.0104"/>
    <s v="RIMANENZE FINALI ALTRI BENI E PRODOTTI SANITARI - GAS MEDICALI CON AIC"/>
    <n v="0"/>
    <n v="0"/>
    <n v="0"/>
    <n v="0"/>
    <n v="0"/>
    <n v="0"/>
    <n v="0"/>
    <n v="0"/>
    <n v="0"/>
    <n v="0"/>
    <x v="63"/>
  </r>
  <r>
    <m/>
    <s v="ACCONTI PER ACQUISTO DI BENI E PRODOTTI SANITARI"/>
    <n v="0"/>
    <n v="0"/>
    <n v="0"/>
    <n v="0"/>
    <n v="0"/>
    <n v="0"/>
    <n v="0"/>
    <n v="0"/>
    <n v="0"/>
    <n v="0"/>
    <x v="1"/>
  </r>
  <r>
    <s v="1.02.01.09.0101"/>
    <s v="ACCONTI PER ACQUISTO DI BENI E PRODOTTI SANITARI"/>
    <n v="0"/>
    <n v="0"/>
    <n v="0"/>
    <n v="0"/>
    <n v="0"/>
    <n v="0"/>
    <n v="0"/>
    <n v="0"/>
    <n v="0"/>
    <n v="0"/>
    <x v="64"/>
  </r>
  <r>
    <m/>
    <s v="PRODOTTI ALIMENTARI"/>
    <n v="0"/>
    <n v="0"/>
    <n v="0"/>
    <n v="1079.06"/>
    <n v="0"/>
    <n v="0"/>
    <n v="0"/>
    <n v="1079.06"/>
    <n v="0"/>
    <n v="1079.06"/>
    <x v="1"/>
  </r>
  <r>
    <s v="1.02.01.10.0101"/>
    <s v="RIMANENZE FINALI PRODOTTI ALIMENTARI"/>
    <n v="0"/>
    <n v="0"/>
    <n v="0"/>
    <n v="1079.06"/>
    <n v="0"/>
    <n v="0"/>
    <n v="0"/>
    <n v="1079.06"/>
    <n v="0"/>
    <n v="1079.06"/>
    <x v="65"/>
  </r>
  <r>
    <m/>
    <s v="MATERIALI DI GUARDAROBA, DI PULIZIA, E DI CONVIVENZA IN GENERE"/>
    <n v="2197.2800000000002"/>
    <n v="0"/>
    <n v="2197.2800000000002"/>
    <n v="529.04999999999995"/>
    <n v="2197.2800000000002"/>
    <n v="0"/>
    <n v="0"/>
    <n v="2726.33"/>
    <n v="2197.2800000000002"/>
    <n v="529.04999999999995"/>
    <x v="1"/>
  </r>
  <r>
    <s v="1.02.01.11.0101"/>
    <s v="RIMANENZE FINALI MATERIALI DI GUARDAROBA, DI PULIZIA E DI CONVIVENZA IN GENERE"/>
    <n v="2197.2800000000002"/>
    <n v="0"/>
    <n v="2197.2800000000002"/>
    <n v="529.04999999999995"/>
    <n v="2197.2800000000002"/>
    <n v="0"/>
    <n v="0"/>
    <n v="2726.33"/>
    <n v="2197.2800000000002"/>
    <n v="529.04999999999995"/>
    <x v="66"/>
  </r>
  <r>
    <m/>
    <s v="COMBUSTIBILI, CARBURANTI E LUBRIFICANTI"/>
    <n v="0"/>
    <n v="0"/>
    <n v="0"/>
    <n v="0"/>
    <n v="0"/>
    <n v="0"/>
    <n v="0"/>
    <n v="0"/>
    <n v="0"/>
    <n v="0"/>
    <x v="1"/>
  </r>
  <r>
    <s v="1.02.01.12.0101"/>
    <s v="RIMANENZE FINALI COMBUSTIBILI CARBURANTI E LUBRIFICANTI"/>
    <n v="0"/>
    <n v="0"/>
    <n v="0"/>
    <n v="0"/>
    <n v="0"/>
    <n v="0"/>
    <n v="0"/>
    <n v="0"/>
    <n v="0"/>
    <n v="0"/>
    <x v="67"/>
  </r>
  <r>
    <m/>
    <s v="SUPPORTI INFORMATICI E CANCELLERIA"/>
    <n v="49758.79"/>
    <n v="0"/>
    <n v="49758.79"/>
    <n v="70022.3"/>
    <n v="22027.919999999998"/>
    <n v="0"/>
    <n v="0"/>
    <n v="119781.09"/>
    <n v="22027.919999999998"/>
    <n v="97753.17"/>
    <x v="1"/>
  </r>
  <r>
    <s v="1.02.01.13.0101"/>
    <s v="RIMANENZE FINALI SUPPORTI INFORMATICI E CANCELLERIA"/>
    <n v="49758.79"/>
    <n v="0"/>
    <n v="49758.79"/>
    <n v="70022.3"/>
    <n v="22027.919999999998"/>
    <n v="0"/>
    <n v="0"/>
    <n v="119781.09"/>
    <n v="22027.919999999998"/>
    <n v="97753.17"/>
    <x v="68"/>
  </r>
  <r>
    <m/>
    <s v="MATERIALE PER LA MANUTENZIONE"/>
    <n v="0"/>
    <n v="19687.84"/>
    <n v="19687.84"/>
    <n v="4292.88"/>
    <n v="4381.37"/>
    <n v="0"/>
    <n v="0"/>
    <n v="4292.88"/>
    <n v="24069.21"/>
    <n v="-19776.330000000002"/>
    <x v="1"/>
  </r>
  <r>
    <s v="1.02.01.14.0101"/>
    <s v="RIMANENZE FINALI MATERIALE PER LA MANUTENZIONE"/>
    <n v="0"/>
    <n v="19687.84"/>
    <n v="19687.84"/>
    <n v="4292.88"/>
    <n v="4381.37"/>
    <n v="0"/>
    <n v="0"/>
    <n v="4292.88"/>
    <n v="24069.21"/>
    <n v="-19776.330000000002"/>
    <x v="69"/>
  </r>
  <r>
    <m/>
    <s v="ALTRI BENI E PRODOTTI NON SANITARI"/>
    <n v="0"/>
    <n v="0"/>
    <n v="0"/>
    <n v="0"/>
    <n v="0"/>
    <n v="0"/>
    <n v="0"/>
    <n v="0"/>
    <n v="0"/>
    <n v="0"/>
    <x v="1"/>
  </r>
  <r>
    <s v="1.02.01.15.0101"/>
    <s v="RIMANENZE FINALI ALTRI BENI E PRODOTTI NON SANITARI"/>
    <n v="0"/>
    <n v="0"/>
    <n v="0"/>
    <n v="0"/>
    <n v="0"/>
    <n v="0"/>
    <n v="0"/>
    <n v="0"/>
    <n v="0"/>
    <n v="0"/>
    <x v="70"/>
  </r>
  <r>
    <m/>
    <s v="ACCONTI PER ACQUISTO DI BENI E PRODOTTI NON SANITARI"/>
    <n v="0"/>
    <n v="0"/>
    <n v="0"/>
    <n v="0"/>
    <n v="0"/>
    <n v="0"/>
    <n v="0"/>
    <n v="0"/>
    <n v="0"/>
    <n v="0"/>
    <x v="1"/>
  </r>
  <r>
    <s v="1.02.01.16.0101"/>
    <s v="ACCONTI PER ACQUISTO DI BENI E PRODOTTI NON SANITARI"/>
    <n v="0"/>
    <n v="0"/>
    <n v="0"/>
    <n v="0"/>
    <n v="0"/>
    <n v="0"/>
    <n v="0"/>
    <n v="0"/>
    <n v="0"/>
    <n v="0"/>
    <x v="71"/>
  </r>
  <r>
    <m/>
    <s v="CREDITI"/>
    <n v="186053698.13"/>
    <n v="11077275.24"/>
    <n v="174976422.88999999"/>
    <n v="714533762.85000002"/>
    <n v="719973312.05999994"/>
    <n v="0"/>
    <n v="0"/>
    <n v="900587460.98000002"/>
    <n v="731050587.29999995"/>
    <n v="169536873.68000001"/>
    <x v="1"/>
  </r>
  <r>
    <m/>
    <s v="CREDITI V/STATO PER SPESA CORRENTE - INTEGRAZIONE A NORMA DEL D.L.VO 56/2000"/>
    <n v="0"/>
    <n v="0"/>
    <n v="0"/>
    <n v="0"/>
    <n v="0"/>
    <n v="0"/>
    <n v="0"/>
    <n v="0"/>
    <n v="0"/>
    <n v="0"/>
    <x v="1"/>
  </r>
  <r>
    <s v="1.02.02.01.0101"/>
    <s v="CREDITI V/STATO PER SPESA CORRENTE - INTEGRAZIONE A NORMA DEL D.L.VO 56/2000"/>
    <n v="0"/>
    <n v="0"/>
    <n v="0"/>
    <n v="0"/>
    <n v="0"/>
    <n v="0"/>
    <n v="0"/>
    <n v="0"/>
    <n v="0"/>
    <n v="0"/>
    <x v="1"/>
  </r>
  <r>
    <m/>
    <s v="Crediti v/Stato per spesa corrente - FSN vincolato"/>
    <n v="0"/>
    <n v="0"/>
    <n v="0"/>
    <n v="0"/>
    <n v="0"/>
    <n v="0"/>
    <n v="0"/>
    <n v="0"/>
    <n v="0"/>
    <n v="0"/>
    <x v="1"/>
  </r>
  <r>
    <s v="1.02.02.02.0101"/>
    <s v="Crediti v/Stato per spesa corrente - FSN vincolato"/>
    <n v="0"/>
    <n v="0"/>
    <n v="0"/>
    <n v="0"/>
    <n v="0"/>
    <n v="0"/>
    <n v="0"/>
    <n v="0"/>
    <n v="0"/>
    <n v="0"/>
    <x v="72"/>
  </r>
  <r>
    <m/>
    <s v="CREDITI V/STATO PER MOBILITA' ATTIVA EXTRAREGIONALE"/>
    <n v="0"/>
    <n v="0"/>
    <n v="0"/>
    <n v="0"/>
    <n v="0"/>
    <n v="0"/>
    <n v="0"/>
    <n v="0"/>
    <n v="0"/>
    <n v="0"/>
    <x v="1"/>
  </r>
  <r>
    <s v="1.02.02.03.0101"/>
    <s v="Crediti v/Stato per mobilità attiva extraregionale"/>
    <n v="0"/>
    <n v="0"/>
    <n v="0"/>
    <n v="0"/>
    <n v="0"/>
    <n v="0"/>
    <n v="0"/>
    <n v="0"/>
    <n v="0"/>
    <n v="0"/>
    <x v="73"/>
  </r>
  <r>
    <m/>
    <s v="CREDITI V/STATO PER MOBILITA' ATTIVA INTERNAZIONALE"/>
    <n v="0"/>
    <n v="0"/>
    <n v="0"/>
    <n v="0"/>
    <n v="0"/>
    <n v="0"/>
    <n v="0"/>
    <n v="0"/>
    <n v="0"/>
    <n v="0"/>
    <x v="1"/>
  </r>
  <r>
    <s v="1.02.02.04.0101"/>
    <s v="CREDITI V/STATO PER MOBILITA ATTIVA INTERNAZIONALE"/>
    <n v="0"/>
    <n v="0"/>
    <n v="0"/>
    <n v="0"/>
    <n v="0"/>
    <n v="0"/>
    <n v="0"/>
    <n v="0"/>
    <n v="0"/>
    <n v="0"/>
    <x v="74"/>
  </r>
  <r>
    <m/>
    <s v="CREDITI V/STATO PER ACCONTO QUOTA FABBISOGNO SANITARIO REGIONALE STANDARD"/>
    <n v="0"/>
    <n v="0"/>
    <n v="0"/>
    <n v="0"/>
    <n v="0"/>
    <n v="0"/>
    <n v="0"/>
    <n v="0"/>
    <n v="0"/>
    <n v="0"/>
    <x v="1"/>
  </r>
  <r>
    <s v="1.02.02.05.0101"/>
    <s v="CREDITI V/STATO PER ACCONTO QUOTA FABBISOGNO SANITARIO REGIONALE STANDARD"/>
    <n v="0"/>
    <n v="0"/>
    <n v="0"/>
    <n v="0"/>
    <n v="0"/>
    <n v="0"/>
    <n v="0"/>
    <n v="0"/>
    <n v="0"/>
    <n v="0"/>
    <x v="75"/>
  </r>
  <r>
    <m/>
    <s v="CREDITI V/STATO PER FINANZIAMENTO SANITARIO AGGIUNTIVO CORRENTE"/>
    <n v="0"/>
    <n v="0"/>
    <n v="0"/>
    <n v="0"/>
    <n v="0"/>
    <n v="0"/>
    <n v="0"/>
    <n v="0"/>
    <n v="0"/>
    <n v="0"/>
    <x v="1"/>
  </r>
  <r>
    <s v="1.02.02.06.0101"/>
    <s v="CREDITI V/STATO PER FINANZIAMENTO SANITARIO AGGIUNTIVO CORRENTE"/>
    <n v="0"/>
    <n v="0"/>
    <n v="0"/>
    <n v="0"/>
    <n v="0"/>
    <n v="0"/>
    <n v="0"/>
    <n v="0"/>
    <n v="0"/>
    <n v="0"/>
    <x v="76"/>
  </r>
  <r>
    <m/>
    <s v="CREDITI V/STATO PER SPESA CORRENTE - ALTRO"/>
    <n v="0"/>
    <n v="0"/>
    <n v="0"/>
    <n v="0"/>
    <n v="0"/>
    <n v="0"/>
    <n v="0"/>
    <n v="0"/>
    <n v="0"/>
    <n v="0"/>
    <x v="1"/>
  </r>
  <r>
    <s v="1.02.02.07.0101"/>
    <s v="Crediti v/Stato per spesa corrente - altro"/>
    <n v="0"/>
    <n v="0"/>
    <n v="0"/>
    <n v="0"/>
    <n v="0"/>
    <n v="0"/>
    <n v="0"/>
    <n v="0"/>
    <n v="0"/>
    <n v="0"/>
    <x v="77"/>
  </r>
  <r>
    <s v="1.02.02.07.0102"/>
    <s v="CREDITI V/ STATO PER PROGETTI SANITARI"/>
    <n v="0"/>
    <n v="0"/>
    <n v="0"/>
    <n v="0"/>
    <n v="0"/>
    <n v="0"/>
    <n v="0"/>
    <n v="0"/>
    <n v="0"/>
    <n v="0"/>
    <x v="77"/>
  </r>
  <r>
    <m/>
    <s v="CREDITI V/STATO PER FINANZIAMENTI PER INVESTIMENTI"/>
    <n v="1770138"/>
    <n v="0"/>
    <n v="1770138"/>
    <n v="0"/>
    <n v="0"/>
    <n v="0"/>
    <n v="0"/>
    <n v="1770138"/>
    <n v="0"/>
    <n v="1770138"/>
    <x v="1"/>
  </r>
  <r>
    <s v="1.02.02.08.0101"/>
    <s v="CREDITI V/ STATO PER FINANZIAMENTI IN CONTO CAPITALE EX ART  L /"/>
    <n v="0"/>
    <n v="0"/>
    <n v="0"/>
    <n v="0"/>
    <n v="0"/>
    <n v="0"/>
    <n v="0"/>
    <n v="0"/>
    <n v="0"/>
    <n v="0"/>
    <x v="78"/>
  </r>
  <r>
    <s v="1.02.02.08.0102"/>
    <s v="CREDITI V/ STATO PER FINANZIAMENTI  UE IN CONTO CAPITALE"/>
    <n v="0"/>
    <n v="0"/>
    <n v="0"/>
    <n v="0"/>
    <n v="0"/>
    <n v="0"/>
    <n v="0"/>
    <n v="0"/>
    <n v="0"/>
    <n v="0"/>
    <x v="78"/>
  </r>
  <r>
    <s v="1.02.02.08.0103"/>
    <s v="CREDITI V/ STATO PER ALTRI FINANZIAMENTI IN CONTO CAPITALE"/>
    <n v="0"/>
    <n v="0"/>
    <n v="0"/>
    <n v="0"/>
    <n v="0"/>
    <n v="0"/>
    <n v="0"/>
    <n v="0"/>
    <n v="0"/>
    <n v="0"/>
    <x v="78"/>
  </r>
  <r>
    <s v="1.02.02.08.0104"/>
    <s v="CREDITI V/ STATO X FINANZIAMENTI IN C/CAPITALE EX ART.71 L.448/98 REALIZZAZIONE RETE FOGNARIA"/>
    <n v="0"/>
    <n v="0"/>
    <n v="0"/>
    <n v="0"/>
    <n v="0"/>
    <n v="0"/>
    <n v="0"/>
    <n v="0"/>
    <n v="0"/>
    <n v="0"/>
    <x v="78"/>
  </r>
  <r>
    <s v="1.02.02.08.0105"/>
    <s v="CREDITI V/ STATO X FINANZIAMENTI IN C/CAPITALE PNRR MISSIONE 1.1 INFRASTRUTTURE DIGITALI"/>
    <n v="1254245"/>
    <n v="0"/>
    <n v="1254245"/>
    <n v="0"/>
    <n v="0"/>
    <n v="0"/>
    <n v="0"/>
    <n v="1254245"/>
    <n v="0"/>
    <n v="1254245"/>
    <x v="78"/>
  </r>
  <r>
    <s v="1.02.02.08.0106"/>
    <s v="CREDITI V/ REGIONE PER FINANZIAMENTI IN CONTO CAPITALE PNRR - INFORMATIZZAZIONE APP IO SPID"/>
    <n v="515893"/>
    <n v="0"/>
    <n v="515893"/>
    <n v="0"/>
    <n v="0"/>
    <n v="0"/>
    <n v="0"/>
    <n v="515893"/>
    <n v="0"/>
    <n v="515893"/>
    <x v="78"/>
  </r>
  <r>
    <m/>
    <s v="CREDITI V/STATO PER RICERCA"/>
    <n v="271000"/>
    <n v="0"/>
    <n v="271000"/>
    <n v="1703499.59"/>
    <n v="400000"/>
    <n v="0"/>
    <n v="0"/>
    <n v="1974499.59"/>
    <n v="400000"/>
    <n v="1574499.59"/>
    <x v="1"/>
  </r>
  <r>
    <s v="1.02.02.09.0101"/>
    <s v="CREDITI V/STATO PER RICERCA CORRENTE - MINISTERO DELLA SALUTE"/>
    <n v="0"/>
    <n v="0"/>
    <n v="0"/>
    <n v="0"/>
    <n v="0"/>
    <n v="0"/>
    <n v="0"/>
    <n v="0"/>
    <n v="0"/>
    <n v="0"/>
    <x v="79"/>
  </r>
  <r>
    <s v="1.02.02.09.0201"/>
    <s v="CREDITI V/STATO PER RICERCA FINALIZZATA - MINISTERO DELLA SALUTE"/>
    <n v="0"/>
    <n v="0"/>
    <n v="0"/>
    <n v="0"/>
    <n v="0"/>
    <n v="0"/>
    <n v="0"/>
    <n v="0"/>
    <n v="0"/>
    <n v="0"/>
    <x v="80"/>
  </r>
  <r>
    <s v="1.02.02.09.0202"/>
    <s v="CREDITI V/STATO PER RICERCA FINALIZZATA - MINISTERO DELLA SALUTE PNRR RICERCA"/>
    <n v="271000"/>
    <n v="0"/>
    <n v="271000"/>
    <n v="1703499.59"/>
    <n v="400000"/>
    <n v="0"/>
    <n v="0"/>
    <n v="1974499.59"/>
    <n v="400000"/>
    <n v="1574499.59"/>
    <x v="80"/>
  </r>
  <r>
    <s v="1.02.02.09.0301"/>
    <s v="CREDITI V/STATO PER RICERCA - ALTRE AMMINISTRAZIONI CENTRALI"/>
    <n v="0"/>
    <n v="0"/>
    <n v="0"/>
    <n v="0"/>
    <n v="0"/>
    <n v="0"/>
    <n v="0"/>
    <n v="0"/>
    <n v="0"/>
    <n v="0"/>
    <x v="81"/>
  </r>
  <r>
    <s v="1.02.02.09.0401"/>
    <s v="CREDITI V/STATO PER RICERCA - FINANZIAMENTI PER INVESTIMENTI"/>
    <n v="0"/>
    <n v="0"/>
    <n v="0"/>
    <n v="0"/>
    <n v="0"/>
    <n v="0"/>
    <n v="0"/>
    <n v="0"/>
    <n v="0"/>
    <n v="0"/>
    <x v="82"/>
  </r>
  <r>
    <m/>
    <s v="CREDITI V/PREFETTURE"/>
    <n v="1961.86"/>
    <n v="44"/>
    <n v="1917.86"/>
    <n v="8144.3"/>
    <n v="4338.3"/>
    <n v="0"/>
    <n v="0"/>
    <n v="10106.16"/>
    <n v="4382.3"/>
    <n v="5723.86"/>
    <x v="1"/>
  </r>
  <r>
    <s v="1.02.02.10.0101"/>
    <s v="CREDITI V/PREFETTURE"/>
    <n v="1961.86"/>
    <n v="44"/>
    <n v="1917.86"/>
    <n v="8144.3"/>
    <n v="4338.3"/>
    <n v="0"/>
    <n v="0"/>
    <n v="10106.16"/>
    <n v="4382.3"/>
    <n v="5723.86"/>
    <x v="83"/>
  </r>
  <r>
    <m/>
    <s v="CREDITI V/REGIONE O PROVINCIA AUTONOMA PER SPESA CORRENTE"/>
    <n v="102908529.93000001"/>
    <n v="5812094"/>
    <n v="97096435.930000007"/>
    <n v="691122742.38"/>
    <n v="706385858.05999994"/>
    <n v="0"/>
    <n v="0"/>
    <n v="794031272.30999994"/>
    <n v="712197952.05999994"/>
    <n v="81833320.25"/>
    <x v="1"/>
  </r>
  <r>
    <s v="1.02.02.11.0101"/>
    <s v="CREDITI V/REGIONE O PROVINCIA AUTONOMA PER SPESA CORRENTE"/>
    <n v="0"/>
    <n v="0"/>
    <n v="0"/>
    <n v="0"/>
    <n v="0"/>
    <n v="0"/>
    <n v="0"/>
    <n v="0"/>
    <n v="0"/>
    <n v="0"/>
    <x v="84"/>
  </r>
  <r>
    <s v="1.02.02.11.0201"/>
    <s v="CREDITI V/REGIONE O PROVINCIA AUTONOMA PER SPESA CORRENTE - ADDIZIONALE IRPEF"/>
    <n v="0"/>
    <n v="0"/>
    <n v="0"/>
    <n v="0"/>
    <n v="0"/>
    <n v="0"/>
    <n v="0"/>
    <n v="0"/>
    <n v="0"/>
    <n v="0"/>
    <x v="84"/>
  </r>
  <r>
    <s v="1.02.02.11.0301"/>
    <s v="CREDITI V/ REGIONE PER  QUOTE DI FSN ANNO CORRENTE"/>
    <n v="45248007.960000001"/>
    <n v="0"/>
    <n v="45248007.960000001"/>
    <n v="325860959.72000003"/>
    <n v="358380579.19999999"/>
    <n v="0"/>
    <n v="0"/>
    <n v="371108967.68000001"/>
    <n v="358380579.19999999"/>
    <n v="12728388.48"/>
    <x v="85"/>
  </r>
  <r>
    <s v="1.02.02.11.0302"/>
    <s v="CREDITI V/REGIONE PER QUOTE DI FSN ANNI PREGRESSI ANNO 2012"/>
    <n v="0"/>
    <n v="0"/>
    <n v="0"/>
    <n v="0"/>
    <n v="0"/>
    <n v="0"/>
    <n v="0"/>
    <n v="0"/>
    <n v="0"/>
    <n v="0"/>
    <x v="85"/>
  </r>
  <r>
    <s v="1.02.02.11.0303"/>
    <s v="CREDITI V/REGIONE PER QUOTE DI FSN ANNI PREGRESSI ANNO 2013"/>
    <n v="0"/>
    <n v="0"/>
    <n v="0"/>
    <n v="0"/>
    <n v="0"/>
    <n v="0"/>
    <n v="0"/>
    <n v="0"/>
    <n v="0"/>
    <n v="0"/>
    <x v="85"/>
  </r>
  <r>
    <s v="1.02.02.11.0304"/>
    <s v="CREDITI V/REGIONE PER QUOTE DI FSN ANNI PREGRESSI ANNO 2014"/>
    <n v="2821.77"/>
    <n v="0"/>
    <n v="2821.77"/>
    <n v="0"/>
    <n v="0"/>
    <n v="0"/>
    <n v="0"/>
    <n v="2821.77"/>
    <n v="0"/>
    <n v="2821.77"/>
    <x v="85"/>
  </r>
  <r>
    <s v="1.02.02.11.0305"/>
    <s v="CREDITI V/REGIONE PER QUOTE FSN-FSRANNI PREGRESSI ANNO 2015"/>
    <n v="6255.11"/>
    <n v="0"/>
    <n v="6255.11"/>
    <n v="0"/>
    <n v="0"/>
    <n v="0"/>
    <n v="0"/>
    <n v="6255.11"/>
    <n v="0"/>
    <n v="6255.11"/>
    <x v="85"/>
  </r>
  <r>
    <s v="1.02.02.11.0306"/>
    <s v="CREDITI V/REGIONE PER QUOTE FSN-FSR ANNI PREGRESSI 2016"/>
    <n v="23010"/>
    <n v="0"/>
    <n v="23010"/>
    <n v="0"/>
    <n v="0"/>
    <n v="0"/>
    <n v="0"/>
    <n v="23010"/>
    <n v="0"/>
    <n v="23010"/>
    <x v="85"/>
  </r>
  <r>
    <s v="1.02.02.11.0307"/>
    <s v="CREDITI V/REGIONE PER QUOTE FSN-FSR ANNI PREGRESSI 2017"/>
    <n v="0"/>
    <n v="0"/>
    <n v="0"/>
    <n v="0"/>
    <n v="0"/>
    <n v="0"/>
    <n v="0"/>
    <n v="0"/>
    <n v="0"/>
    <n v="0"/>
    <x v="85"/>
  </r>
  <r>
    <s v="1.02.02.11.0308"/>
    <s v="CREDITI V/REGIONE PER QUOTE FSN-FSR ANNI PREGRESSI 2018"/>
    <n v="0.4"/>
    <n v="0"/>
    <n v="0.4"/>
    <n v="0"/>
    <n v="0"/>
    <n v="0"/>
    <n v="0"/>
    <n v="0.4"/>
    <n v="0"/>
    <n v="0.4"/>
    <x v="85"/>
  </r>
  <r>
    <s v="1.02.02.11.0309"/>
    <s v="CREDITI V/REGIONE PER QUOTE FSN-FSR ANNI PREGRESSI 2019"/>
    <n v="3281145.42"/>
    <n v="0"/>
    <n v="3281145.42"/>
    <n v="0"/>
    <n v="3281146.42"/>
    <n v="0"/>
    <n v="0"/>
    <n v="3281145.42"/>
    <n v="3281146.42"/>
    <n v="-1"/>
    <x v="85"/>
  </r>
  <r>
    <s v="1.02.02.11.0310"/>
    <s v="CREDITI V/REGIONE PER FINANZIAMENTO PROGETTI PSN 2013"/>
    <n v="0"/>
    <n v="0"/>
    <n v="0"/>
    <n v="0"/>
    <n v="0"/>
    <n v="0"/>
    <n v="0"/>
    <n v="0"/>
    <n v="0"/>
    <n v="0"/>
    <x v="85"/>
  </r>
  <r>
    <s v="1.02.02.11.0311"/>
    <s v="CREDITI V/REGIONE PSN 2014"/>
    <n v="0"/>
    <n v="0"/>
    <n v="0"/>
    <n v="0"/>
    <n v="0"/>
    <n v="0"/>
    <n v="0"/>
    <n v="0"/>
    <n v="0"/>
    <n v="0"/>
    <x v="85"/>
  </r>
  <r>
    <s v="1.02.02.11.0312"/>
    <s v="CREDITI V/REGIONE PER  PROGETTI PSN 2015"/>
    <n v="0"/>
    <n v="0"/>
    <n v="0"/>
    <n v="0"/>
    <n v="0"/>
    <n v="0"/>
    <n v="0"/>
    <n v="0"/>
    <n v="0"/>
    <n v="0"/>
    <x v="85"/>
  </r>
  <r>
    <s v="1.02.02.11.0313"/>
    <s v="CREDITI V/REGIONE PER PROGETTI PSN 2015 LINEA PROGETTUALE 5 E 6"/>
    <n v="0"/>
    <n v="0"/>
    <n v="0"/>
    <n v="0"/>
    <n v="0"/>
    <n v="0"/>
    <n v="0"/>
    <n v="0"/>
    <n v="0"/>
    <n v="0"/>
    <x v="85"/>
  </r>
  <r>
    <s v="1.02.02.11.0314"/>
    <s v="CREDITI VS REGIONE PER PROGETTI PSN 2016 LP 2"/>
    <n v="0"/>
    <n v="0"/>
    <n v="0"/>
    <n v="0"/>
    <n v="0"/>
    <n v="0"/>
    <n v="0"/>
    <n v="0"/>
    <n v="0"/>
    <n v="0"/>
    <x v="85"/>
  </r>
  <r>
    <s v="1.02.02.11.0315"/>
    <s v="CREDITI VS REGIONE PER PROGETTI PSN 2016 LP 1, 5, 6"/>
    <n v="0"/>
    <n v="0"/>
    <n v="0"/>
    <n v="0"/>
    <n v="0"/>
    <n v="0"/>
    <n v="0"/>
    <n v="0"/>
    <n v="0"/>
    <n v="0"/>
    <x v="85"/>
  </r>
  <r>
    <s v="1.02.02.11.0316"/>
    <s v="CREDITI VS REGIONE PROGETTI OBIETTIVI LINEA 2016 LP 4"/>
    <n v="0"/>
    <n v="0"/>
    <n v="0"/>
    <n v="0"/>
    <n v="0"/>
    <n v="0"/>
    <n v="0"/>
    <n v="0"/>
    <n v="0"/>
    <n v="0"/>
    <x v="85"/>
  </r>
  <r>
    <s v="1.02.02.11.0317"/>
    <s v="CREDITI V/REGIONE O PROVINCIA AUTONOMA PER QUOTA FSR VINCOLATO - PROGETTI OBIETTIVO PSN ANNO 2017 LINEA PROGETTUALE 2. SVILUPPO DEI PROCESSI DI UMANIZZAZIONE"/>
    <n v="0"/>
    <n v="0"/>
    <n v="0"/>
    <n v="0"/>
    <n v="0"/>
    <n v="0"/>
    <n v="0"/>
    <n v="0"/>
    <n v="0"/>
    <n v="0"/>
    <x v="85"/>
  </r>
  <r>
    <s v="1.02.02.11.0318"/>
    <s v="CREDITI V/REGIONE P.O. PSN ANNO 2017 LP 4 PREVENZIONE AZ. 4.1.15 - IDENTIFICAZIONE E VALUTAZIONE BIOMARCATORI"/>
    <n v="0"/>
    <n v="0"/>
    <n v="0"/>
    <n v="0"/>
    <n v="0"/>
    <n v="0"/>
    <n v="0"/>
    <n v="0"/>
    <n v="0"/>
    <n v="0"/>
    <x v="85"/>
  </r>
  <r>
    <s v="1.02.02.11.0319"/>
    <s v="CREDITI V/REGIONE P.O. PSN ANNO 2017 LP 4 PREVENZIONE AZ. 4.1.26 - VALUTAZIONE NON INVASIVA STRESS LAVORO CORRELATO"/>
    <n v="0"/>
    <n v="0"/>
    <n v="0"/>
    <n v="0"/>
    <n v="0"/>
    <n v="0"/>
    <n v="0"/>
    <n v="0"/>
    <n v="0"/>
    <n v="0"/>
    <x v="85"/>
  </r>
  <r>
    <s v="1.02.02.11.0320"/>
    <s v="CREDITI V/REGIONE P.O. PSN ANNO 2017 LP 4 PREVENZIONE AZ. 4.1.27 - INDIVIDUAZIONE PRECOCE DI DETER. RESIST. FARMACI ANTITUBERC."/>
    <n v="0"/>
    <n v="0"/>
    <n v="0"/>
    <n v="0"/>
    <n v="0"/>
    <n v="0"/>
    <n v="0"/>
    <n v="0"/>
    <n v="0"/>
    <n v="0"/>
    <x v="85"/>
  </r>
  <r>
    <s v="1.02.02.11.0321"/>
    <s v="CREDITI V/REGIONE P.O. PSN ANNO 2017 LP 4 PREVENZIONE AZ. 4.1.28 - INCREMENTO COPERTURE VACCINALI PAZIENTI UNIPA"/>
    <n v="0"/>
    <n v="0"/>
    <n v="0"/>
    <n v="0"/>
    <n v="0"/>
    <n v="0"/>
    <n v="0"/>
    <n v="0"/>
    <n v="0"/>
    <n v="0"/>
    <x v="85"/>
  </r>
  <r>
    <s v="1.02.02.11.0322"/>
    <s v="CREDITI V/REGIONE P.O. PSN ANNO 2017 LP 4 PREVENZIONE AZ. 4.1.29 - SORVEGLIANZA,CONTROLLO E PREVENZ.DELLE INFEZIONI DA LEISHMANIA"/>
    <n v="0"/>
    <n v="0"/>
    <n v="0"/>
    <n v="0"/>
    <n v="0"/>
    <n v="0"/>
    <n v="0"/>
    <n v="0"/>
    <n v="0"/>
    <n v="0"/>
    <x v="85"/>
  </r>
  <r>
    <s v="1.02.02.11.0323"/>
    <s v="CREDITI V/REGIONE P.O. PSN ANNO 2017 LP 4 PREVENZIONE AZ. 4.1.44 - LIFE FOOD DIET"/>
    <n v="0"/>
    <n v="0"/>
    <n v="0"/>
    <n v="0"/>
    <n v="0"/>
    <n v="0"/>
    <n v="0"/>
    <n v="0"/>
    <n v="0"/>
    <n v="0"/>
    <x v="85"/>
  </r>
  <r>
    <s v="1.02.02.11.0324"/>
    <s v="CREDITI V/REGIONE P.O. PSN ANNO 2017 LP 4 PREVENZIONE AZ. 4.1.45 - MONITORAGGIO ALLATTAMENTO"/>
    <n v="0"/>
    <n v="0"/>
    <n v="0"/>
    <n v="0"/>
    <n v="0"/>
    <n v="0"/>
    <n v="0"/>
    <n v="0"/>
    <n v="0"/>
    <n v="0"/>
    <x v="85"/>
  </r>
  <r>
    <s v="1.02.02.11.0325"/>
    <s v="CREDITI V/REGIONE P.O. PSN ANNO 2017 LP 4 PREVENZIONE AZ. 4.2.1 - INCIDENTI DOMESTICI"/>
    <n v="0"/>
    <n v="0"/>
    <n v="0"/>
    <n v="0"/>
    <n v="0"/>
    <n v="0"/>
    <n v="0"/>
    <n v="0"/>
    <n v="0"/>
    <n v="0"/>
    <x v="85"/>
  </r>
  <r>
    <s v="1.02.02.11.0326"/>
    <s v="CREDITI V/REGIONE P.O. PSN ANNO 2017 LP 5 GEST. DELLA CRONICITA' AZ. 5.37 - PERCORSI ASSIST.LI PER NEONATI-LATTANTI CON PATOLOGIE GENETICHE"/>
    <n v="0"/>
    <n v="0"/>
    <n v="0"/>
    <n v="0"/>
    <n v="0"/>
    <n v="0"/>
    <n v="0"/>
    <n v="0"/>
    <n v="0"/>
    <n v="0"/>
    <x v="85"/>
  </r>
  <r>
    <s v="1.02.02.11.0327"/>
    <s v="CREDITI V/REGIONE P.O. PSN ANNO 2017 LP 5 GEST.DELLA CRONICITA' AZ. 5.38 - SPASTICITA' E CHIRURGIA FUNZIONALE DELL'ARTO SUPERIORE NEI PAZIENTI COLPITI DA STROKE CEREBRALE"/>
    <n v="0"/>
    <n v="0"/>
    <n v="0"/>
    <n v="0"/>
    <n v="0"/>
    <n v="0"/>
    <n v="0"/>
    <n v="0"/>
    <n v="0"/>
    <n v="0"/>
    <x v="85"/>
  </r>
  <r>
    <s v="1.02.02.11.0328"/>
    <s v="CREDITI V/REGIONE P.O. PSN ANNO 2017 LP 6 RETI ONCOLOGICHE AZ. 6.25 - STRUMENTI DI SUPPORTO ALLA SFERA PSICOLOGICA E FISICA DEL PAZIENTE ONCOLOGICO"/>
    <n v="0"/>
    <n v="0"/>
    <n v="0"/>
    <n v="0"/>
    <n v="0"/>
    <n v="0"/>
    <n v="0"/>
    <n v="0"/>
    <n v="0"/>
    <n v="0"/>
    <x v="85"/>
  </r>
  <r>
    <s v="1.02.02.11.0329"/>
    <s v="CREDITI V/REGIONE P.O. PSN ANNO 2017 LP 6 RETI ONCOLOGICHE AZ. 6.26 - IMPLEMENTAZ.E DIGITAZ.DELLA RETE TUMORI RARI ED EREDOFAMILIARI NELLA REG.SICILIANA"/>
    <n v="0"/>
    <n v="0"/>
    <n v="0"/>
    <n v="0"/>
    <n v="0"/>
    <n v="0"/>
    <n v="0"/>
    <n v="0"/>
    <n v="0"/>
    <n v="0"/>
    <x v="85"/>
  </r>
  <r>
    <s v="1.02.02.11.0330"/>
    <s v="CREDITI V/REGIONE P.O. PSN ANNO 2017 LP 6 RETI ONCOLOGICHE AZ. 6.27 - SVILUPPO DI UN PERCORSO DI TRATTAM.DEI PAZIENTI CON METASTASI OSSEE DA CARCINOMA MAMMARIO"/>
    <n v="0"/>
    <n v="0"/>
    <n v="0"/>
    <n v="0"/>
    <n v="0"/>
    <n v="0"/>
    <n v="0"/>
    <n v="0"/>
    <n v="0"/>
    <n v="0"/>
    <x v="85"/>
  </r>
  <r>
    <s v="1.02.02.11.0331"/>
    <s v="CREDITI V/REGIONE P.O. PSN ANNO 2017 LP 6 RETI ONCOLOGICHE AZ. 6.28 - RETE MULTIDISCIPLINARE PER LA DIAGNOSI DEI TUMORI PRIMITIVI DEL FEGATO"/>
    <n v="0"/>
    <n v="0"/>
    <n v="0"/>
    <n v="0"/>
    <n v="0"/>
    <n v="0"/>
    <n v="0"/>
    <n v="0"/>
    <n v="0"/>
    <n v="0"/>
    <x v="85"/>
  </r>
  <r>
    <s v="1.02.02.11.0332"/>
    <s v="CREDITI VS/REGIONE P.O. per PSN 2018 LP 4 AZ. 4.06 PREVENZIONE RADIOLOGICA DEL TUMORE AL COLON-RETTO"/>
    <n v="0"/>
    <n v="0"/>
    <n v="0"/>
    <n v="0"/>
    <n v="0"/>
    <n v="0"/>
    <n v="0"/>
    <n v="0"/>
    <n v="0"/>
    <n v="0"/>
    <x v="85"/>
  </r>
  <r>
    <s v="1.02.02.11.0333"/>
    <s v="CREDITI VS/REGIONE P.O. per PSN 2018 LP 4 AZ.4.07 SORVEGLIANZA MALATT. ONCOL. RISCHIO EREDO-FAMILIARE"/>
    <n v="0"/>
    <n v="0"/>
    <n v="0"/>
    <n v="0"/>
    <n v="0"/>
    <n v="0"/>
    <n v="0"/>
    <n v="0"/>
    <n v="0"/>
    <n v="0"/>
    <x v="85"/>
  </r>
  <r>
    <s v="1.02.02.11.0334"/>
    <s v="CREDITI VS/REGIONE P.O. per PSN 2018 LP 4 AZ.4.21 RETE DI SORVEGLIANZA EPIDEM. MOLECOLARE MORBILLO ROSOLIA"/>
    <n v="0"/>
    <n v="0"/>
    <n v="0"/>
    <n v="0"/>
    <n v="0"/>
    <n v="0"/>
    <n v="0"/>
    <n v="0"/>
    <n v="0"/>
    <n v="0"/>
    <x v="85"/>
  </r>
  <r>
    <s v="1.02.02.11.0335"/>
    <s v="CREDITI VS/REGIONE P.O. per PSN 2018 LP 4 AZ. 4.22 MST DIAGNOSI E PREVENZIONE. PERCORSO ASSIST."/>
    <n v="0"/>
    <n v="0"/>
    <n v="0"/>
    <n v="0"/>
    <n v="0"/>
    <n v="0"/>
    <n v="0"/>
    <n v="0"/>
    <n v="0"/>
    <n v="0"/>
    <x v="85"/>
  </r>
  <r>
    <s v="1.02.02.11.0336"/>
    <s v="CREDITI VS/REGIONE P.O. per PSN 2018 LP 4 AZ. 4.23 MICROBIOTA VAGINALE IN CONDIZ.FISIOLOGICHE E PATOLOGIE CON PARTICOLARE RIFER. ALLE INFEZIONI DA HPV"/>
    <n v="0"/>
    <n v="0"/>
    <n v="0"/>
    <n v="0"/>
    <n v="0"/>
    <n v="0"/>
    <n v="0"/>
    <n v="0"/>
    <n v="0"/>
    <n v="0"/>
    <x v="85"/>
  </r>
  <r>
    <s v="1.02.02.11.0337"/>
    <s v="CREDITI VS/REGIONE P.O. per PSN 2018 LP 4 AZ. 4.24 LEGIONELLA PNEUMOPHILA NEGLI STUDI ODONTOIATRICI"/>
    <n v="0"/>
    <n v="0"/>
    <n v="0"/>
    <n v="0"/>
    <n v="0"/>
    <n v="0"/>
    <n v="0"/>
    <n v="0"/>
    <n v="0"/>
    <n v="0"/>
    <x v="85"/>
  </r>
  <r>
    <s v="1.02.02.11.0338"/>
    <s v="CREDITI VS/REGIONE P.O. per PSN 2018 LP 1 PERCORSO DIAGNOSTICO TERAPEUTICO CONDIVISO E PERSONALIZZATO PER PAZIENTI CON MULTICRONICITA'"/>
    <n v="0"/>
    <n v="0"/>
    <n v="0"/>
    <n v="0"/>
    <n v="0"/>
    <n v="0"/>
    <n v="0"/>
    <n v="0"/>
    <n v="0"/>
    <n v="0"/>
    <x v="85"/>
  </r>
  <r>
    <s v="1.02.02.11.0339"/>
    <s v="CREDITI VS/REGIONE P.O. per PSN 2019 LP 5 LA TECNOLOGIA SANITARIA OPERATIVA COME STRUMENTO DI INTEGRAZIONE OSPEDALE-TERRITORIO"/>
    <n v="0"/>
    <n v="0"/>
    <n v="0"/>
    <n v="0"/>
    <n v="0"/>
    <n v="0"/>
    <n v="0"/>
    <n v="0"/>
    <n v="0"/>
    <n v="0"/>
    <x v="85"/>
  </r>
  <r>
    <s v="1.02.02.11.0340"/>
    <s v="CREDITI V/REGIONE PER QUOTE FSN-FSR ANNI PREGRESSI 2020"/>
    <n v="5259548.18"/>
    <n v="0"/>
    <n v="5259548.18"/>
    <n v="0"/>
    <n v="0"/>
    <n v="0"/>
    <n v="0"/>
    <n v="5259548.18"/>
    <n v="0"/>
    <n v="5259548.18"/>
    <x v="85"/>
  </r>
  <r>
    <s v="1.02.02.11.0341"/>
    <s v="CREDITI VS/REGIONE P.O. PSN 2019 LP 4 (AZ. 4.3 e 4.4) - PIANO NAZIONALE DELLA PREVENZIONE E SUPPORTO AL PIANO NAZ.DELLA PREVENZ."/>
    <n v="0"/>
    <n v="0"/>
    <n v="0"/>
    <n v="0"/>
    <n v="0"/>
    <n v="0"/>
    <n v="0"/>
    <n v="0"/>
    <n v="0"/>
    <n v="0"/>
    <x v="85"/>
  </r>
  <r>
    <s v="1.02.02.11.0342"/>
    <s v="CREDITI V/REGIONE PER QUOTE FSN-FSR ANNI PREGRESSI 2021"/>
    <n v="14187183"/>
    <n v="0"/>
    <n v="14187183"/>
    <n v="0"/>
    <n v="0"/>
    <n v="0"/>
    <n v="0"/>
    <n v="14187183"/>
    <n v="0"/>
    <n v="14187183"/>
    <x v="85"/>
  </r>
  <r>
    <s v="1.02.02.11.0343"/>
    <s v="CREDITI V/REGIONE P.O. di PSN ANNO 2020 LP 4 &quot;CALL FOR ACTION&quot;"/>
    <n v="0"/>
    <n v="0"/>
    <n v="0"/>
    <n v="0"/>
    <n v="0"/>
    <n v="0"/>
    <n v="0"/>
    <n v="0"/>
    <n v="0"/>
    <n v="0"/>
    <x v="85"/>
  </r>
  <r>
    <s v="1.02.02.11.0344"/>
    <s v="CREDITI V/REGIONE PER QUOTE FSN-FSR ANNI PREGRESSI 2022"/>
    <n v="8653459.0899999999"/>
    <n v="0"/>
    <n v="8653459.0899999999"/>
    <n v="0"/>
    <n v="34043"/>
    <n v="0"/>
    <n v="0"/>
    <n v="8653459.0899999999"/>
    <n v="34043"/>
    <n v="8619416.0899999999"/>
    <x v="85"/>
  </r>
  <r>
    <s v="1.02.02.11.0345"/>
    <s v="CREDITI V/REGIONE PER QUOTE FSN-FSR ANNI PREGRESSI 2023"/>
    <n v="0"/>
    <n v="0"/>
    <n v="0"/>
    <n v="45404015.060000002"/>
    <n v="25450346.399999999"/>
    <n v="0"/>
    <n v="0"/>
    <n v="45404015.060000002"/>
    <n v="25450346.399999999"/>
    <n v="19953668.66"/>
    <x v="85"/>
  </r>
  <r>
    <s v="1.02.02.11.0401"/>
    <s v="CREDITI V/REGIONE O PROVINCIA AUTONOMA PER MOBILITA ATTIVA INTRAREGIONALE"/>
    <n v="0"/>
    <n v="0"/>
    <n v="0"/>
    <n v="0"/>
    <n v="0"/>
    <n v="0"/>
    <n v="0"/>
    <n v="0"/>
    <n v="0"/>
    <n v="0"/>
    <x v="86"/>
  </r>
  <r>
    <s v="1.02.02.11.0501"/>
    <s v="CREDITI V/REGIONE O PROVINCIA AUTONOMA PER MOBILITA ATTIVA EXTRAREGIONALE"/>
    <n v="0"/>
    <n v="0"/>
    <n v="0"/>
    <n v="0"/>
    <n v="0"/>
    <n v="0"/>
    <n v="0"/>
    <n v="0"/>
    <n v="0"/>
    <n v="0"/>
    <x v="87"/>
  </r>
  <r>
    <s v="1.02.02.11.0601"/>
    <s v="CREDITI V/REGIONE O PROVINCIA AUTONOMA PER ACCONTO QUOTA FSR"/>
    <n v="0"/>
    <n v="0"/>
    <n v="0"/>
    <n v="312785825"/>
    <n v="312785825"/>
    <n v="0"/>
    <n v="0"/>
    <n v="312785825"/>
    <n v="312785825"/>
    <n v="0"/>
    <x v="88"/>
  </r>
  <r>
    <s v="1.02.02.11.0701"/>
    <s v="CREDITI V/REGIONE O PROVINCIA AUTONOMA PER FINANZIAMENTO SANITARIO AGGIUNTIVO CORRENTE LEA"/>
    <n v="0"/>
    <n v="0"/>
    <n v="0"/>
    <n v="0"/>
    <n v="0"/>
    <n v="0"/>
    <n v="0"/>
    <n v="0"/>
    <n v="0"/>
    <n v="0"/>
    <x v="89"/>
  </r>
  <r>
    <s v="1.02.02.11.0801"/>
    <s v="CREDITI V/REGIONE O PROVINCIA AUTONOMA PER FINANZIAMENTO SANITARIO AGGIUNTIVO CORRENTE EXTRA LEA"/>
    <n v="0"/>
    <n v="0"/>
    <n v="0"/>
    <n v="0"/>
    <n v="0"/>
    <n v="0"/>
    <n v="0"/>
    <n v="0"/>
    <n v="0"/>
    <n v="0"/>
    <x v="90"/>
  </r>
  <r>
    <s v="1.02.02.11.0901"/>
    <s v="CREDITI V/REGIONE O PROVINCIA AUTONOMA PER SPESA CORRENTE - ALTRO"/>
    <n v="17408276.91"/>
    <n v="0"/>
    <n v="17408276.91"/>
    <n v="4532984"/>
    <n v="5354895.45"/>
    <n v="0"/>
    <n v="0"/>
    <n v="21941260.91"/>
    <n v="5354895.45"/>
    <n v="16586365.460000001"/>
    <x v="91"/>
  </r>
  <r>
    <s v="1.02.02.11.0902"/>
    <s v="CREDITI V/REGIONE D.A. 1839/2018 FINANZ. SICUREZZA P.S."/>
    <n v="1500000"/>
    <n v="0"/>
    <n v="1500000"/>
    <n v="0"/>
    <n v="0"/>
    <n v="0"/>
    <n v="0"/>
    <n v="1500000"/>
    <n v="0"/>
    <n v="1500000"/>
    <x v="91"/>
  </r>
  <r>
    <s v="1.02.02.11.0903"/>
    <s v="CREDITI V/REGIONE PER PROGETTO DI FARMACOVIGILANZA ATTIVA SUGLI EVENTI AVVERSIDA FARMACI OFF-LABEL UTILIZZATI NEONATOLOGIA"/>
    <n v="0"/>
    <n v="0"/>
    <n v="0"/>
    <n v="0"/>
    <n v="0"/>
    <n v="0"/>
    <n v="0"/>
    <n v="0"/>
    <n v="0"/>
    <n v="0"/>
    <x v="91"/>
  </r>
  <r>
    <s v="1.02.02.11.0904"/>
    <s v="PROGETTO FARMACOVIGILANZA E ALTRI"/>
    <n v="936742.83"/>
    <n v="0"/>
    <n v="936742.83"/>
    <n v="0"/>
    <n v="0"/>
    <n v="0"/>
    <n v="0"/>
    <n v="936742.83"/>
    <n v="0"/>
    <n v="936742.83"/>
    <x v="91"/>
  </r>
  <r>
    <s v="1.02.02.11.0905"/>
    <s v="CREDITI V/REGIONE PER PROGETTO DI FARMACOVIGILANZA &quot;ADR IN ODONTOIATRIA NELL'ERA INFORMATICA&quot;"/>
    <n v="40000"/>
    <n v="0"/>
    <n v="40000"/>
    <n v="0"/>
    <n v="0"/>
    <n v="0"/>
    <n v="0"/>
    <n v="40000"/>
    <n v="0"/>
    <n v="40000"/>
    <x v="91"/>
  </r>
  <r>
    <s v="1.02.02.11.0906"/>
    <s v="CREDITI V/REGIONE PER INVESTIMENTI EX D.L. 34/2020"/>
    <n v="0"/>
    <n v="0"/>
    <n v="0"/>
    <n v="1795608.01"/>
    <n v="403720.17"/>
    <n v="0"/>
    <n v="0"/>
    <n v="1795608.01"/>
    <n v="403720.17"/>
    <n v="1391887.84"/>
    <x v="91"/>
  </r>
  <r>
    <s v="1.02.02.11.1001"/>
    <s v="CREDITI V/ REGIONE PER PROGETTI SANITARI"/>
    <n v="22000"/>
    <n v="22000"/>
    <n v="0"/>
    <n v="25714.3"/>
    <n v="25714.3"/>
    <n v="0"/>
    <n v="0"/>
    <n v="47714.3"/>
    <n v="47714.3"/>
    <n v="0"/>
    <x v="92"/>
  </r>
  <r>
    <s v="1.02.02.11.1002"/>
    <s v="CREDITI V/REGIONE PER FINANZIAMENTO PROGETTI PSN 2013"/>
    <n v="0"/>
    <n v="0"/>
    <n v="0"/>
    <n v="0"/>
    <n v="0"/>
    <n v="0"/>
    <n v="0"/>
    <n v="0"/>
    <n v="0"/>
    <n v="0"/>
    <x v="92"/>
  </r>
  <r>
    <s v="1.02.02.11.1003"/>
    <s v="CREDITI V/REGIONE PSN 2014"/>
    <n v="0"/>
    <n v="0"/>
    <n v="0"/>
    <n v="0"/>
    <n v="0"/>
    <n v="0"/>
    <n v="0"/>
    <n v="0"/>
    <n v="0"/>
    <n v="0"/>
    <x v="92"/>
  </r>
  <r>
    <s v="1.02.02.11.1004"/>
    <s v="CREDITI V/REGIONE PER PROGETTO DIAGNOSI PRECOCE CARCINOMA PANCREATICO (SOTT /)"/>
    <n v="0"/>
    <n v="0"/>
    <n v="0"/>
    <n v="0"/>
    <n v="0"/>
    <n v="0"/>
    <n v="0"/>
    <n v="0"/>
    <n v="0"/>
    <n v="0"/>
    <x v="92"/>
  </r>
  <r>
    <s v="1.02.02.11.1005"/>
    <s v="CREDITI V/REGIONE PER PROGETTO FORMAZIONE FARMACISTI AREA ONCOLOGICA      (SOTT /)"/>
    <n v="0"/>
    <n v="0"/>
    <n v="0"/>
    <n v="0"/>
    <n v="0"/>
    <n v="0"/>
    <n v="0"/>
    <n v="0"/>
    <n v="0"/>
    <n v="0"/>
    <x v="92"/>
  </r>
  <r>
    <s v="1.02.02.11.1006"/>
    <s v="CREDITI V/REGIONE PER PROGETTO PREVENZIONE HANDICAP NEUROLOGICI IN BAMBINI (SOTT /)"/>
    <n v="0"/>
    <n v="0"/>
    <n v="0"/>
    <n v="0"/>
    <n v="0"/>
    <n v="0"/>
    <n v="0"/>
    <n v="0"/>
    <n v="0"/>
    <n v="0"/>
    <x v="92"/>
  </r>
  <r>
    <s v="1.02.02.11.1007"/>
    <s v="CREDITI V/REGIONE PER PROGETTO MALOCCLUSIONI DENTARIE (SOTT /)"/>
    <n v="0"/>
    <n v="0"/>
    <n v="0"/>
    <n v="0"/>
    <n v="0"/>
    <n v="0"/>
    <n v="0"/>
    <n v="0"/>
    <n v="0"/>
    <n v="0"/>
    <x v="92"/>
  </r>
  <r>
    <s v="1.02.02.11.1008"/>
    <s v="CREDITI V/REGIONE PER PROGETTO STUDIO MICROMETASTASI (SOTT /)"/>
    <n v="0"/>
    <n v="0"/>
    <n v="0"/>
    <n v="0"/>
    <n v="0"/>
    <n v="0"/>
    <n v="0"/>
    <n v="0"/>
    <n v="0"/>
    <n v="0"/>
    <x v="92"/>
  </r>
  <r>
    <s v="1.02.02.11.1009"/>
    <s v="CREDITI V/REGIONE PER PROGETTO TECNOLOGIE PER SOSTITUTI CUTANEI AUTOLOGHI         (SOTT /)"/>
    <n v="0"/>
    <n v="0"/>
    <n v="0"/>
    <n v="0"/>
    <n v="0"/>
    <n v="0"/>
    <n v="0"/>
    <n v="0"/>
    <n v="0"/>
    <n v="0"/>
    <x v="92"/>
  </r>
  <r>
    <s v="1.02.02.11.1010"/>
    <s v="CREDITI V/REGIONE PER PROGETTO DI RICERCA &quot;ISTIOCITOSI E TUMORI&quot; (SOTT /)"/>
    <n v="0"/>
    <n v="0"/>
    <n v="0"/>
    <n v="0"/>
    <n v="0"/>
    <n v="0"/>
    <n v="0"/>
    <n v="0"/>
    <n v="0"/>
    <n v="0"/>
    <x v="92"/>
  </r>
  <r>
    <s v="1.02.02.11.1011"/>
    <s v="CREDITI V/REGIONE PER PROGETTO FIBROSI CISTICA"/>
    <n v="0"/>
    <n v="0"/>
    <n v="0"/>
    <n v="0"/>
    <n v="0"/>
    <n v="0"/>
    <n v="0"/>
    <n v="0"/>
    <n v="0"/>
    <n v="0"/>
    <x v="92"/>
  </r>
  <r>
    <s v="1.02.02.11.1012"/>
    <s v="CREDITI V/REGIONE PER PROGETTO CENTRO REGIONALE TRAPIANTI"/>
    <n v="0"/>
    <n v="0"/>
    <n v="0"/>
    <n v="0"/>
    <n v="0"/>
    <n v="0"/>
    <n v="0"/>
    <n v="0"/>
    <n v="0"/>
    <n v="0"/>
    <x v="92"/>
  </r>
  <r>
    <s v="1.02.02.11.1013"/>
    <s v="CREDITI V/REGIONE PER PROGETTO TALASSEMIA (SOTT /-/-/)"/>
    <n v="0"/>
    <n v="0"/>
    <n v="0"/>
    <n v="0"/>
    <n v="0"/>
    <n v="0"/>
    <n v="0"/>
    <n v="0"/>
    <n v="0"/>
    <n v="0"/>
    <x v="92"/>
  </r>
  <r>
    <s v="1.02.02.11.1014"/>
    <s v="CREDITI V/REGIONE PER PROGETTO ATTIVITA DI ESPIANTO DA /"/>
    <n v="0"/>
    <n v="0"/>
    <n v="0"/>
    <n v="0"/>
    <n v="0"/>
    <n v="0"/>
    <n v="0"/>
    <n v="0"/>
    <n v="0"/>
    <n v="0"/>
    <x v="92"/>
  </r>
  <r>
    <s v="1.02.02.11.1015"/>
    <s v="CREDITI V/REGIONE PER PROGETTO OTTIMIZZAZIONE EVENTO NASCITA"/>
    <n v="0"/>
    <n v="0"/>
    <n v="0"/>
    <n v="0"/>
    <n v="0"/>
    <n v="0"/>
    <n v="0"/>
    <n v="0"/>
    <n v="0"/>
    <n v="0"/>
    <x v="92"/>
  </r>
  <r>
    <s v="1.02.02.11.1016"/>
    <s v="CREDITI V/REGIONE PER PROGETTO RIDUZIONE LISTE DI ATTESA PER PRESTAZIONI      AMBULATORIALI E SPECIALISTICHE"/>
    <n v="0"/>
    <n v="0"/>
    <n v="0"/>
    <n v="0"/>
    <n v="0"/>
    <n v="0"/>
    <n v="0"/>
    <n v="0"/>
    <n v="0"/>
    <n v="0"/>
    <x v="92"/>
  </r>
  <r>
    <s v="1.02.02.11.1017"/>
    <s v="CREDITI V/REGIONE PER PROGETTO PROGRAMMA SCREENING NELLA SICILIA   OCCIDENTALE IN MALATTIE METABOLICHE"/>
    <n v="0"/>
    <n v="0"/>
    <n v="0"/>
    <n v="0"/>
    <n v="0"/>
    <n v="0"/>
    <n v="0"/>
    <n v="0"/>
    <n v="0"/>
    <n v="0"/>
    <x v="92"/>
  </r>
  <r>
    <s v="1.02.02.11.1018"/>
    <s v="CREDITI V/REGIONE PER PROGETTO FUNZIONE STROKE UNIT"/>
    <n v="0"/>
    <n v="0"/>
    <n v="0"/>
    <n v="0"/>
    <n v="0"/>
    <n v="0"/>
    <n v="0"/>
    <n v="0"/>
    <n v="0"/>
    <n v="0"/>
    <x v="92"/>
  </r>
  <r>
    <s v="1.02.02.11.1019"/>
    <s v="CREDITI V/REGIONE PER PROGETTO ACCERTAMENTO E PRELIEVO ORGANI  DA  / (SOTT /)"/>
    <n v="0"/>
    <n v="0"/>
    <n v="0"/>
    <n v="0"/>
    <n v="0"/>
    <n v="0"/>
    <n v="0"/>
    <n v="0"/>
    <n v="0"/>
    <n v="0"/>
    <x v="92"/>
  </r>
  <r>
    <s v="1.02.02.11.1020"/>
    <s v="CREDITO V/REGIONE PER PROGETTO MOLECULAR"/>
    <n v="0"/>
    <n v="0"/>
    <n v="0"/>
    <n v="0"/>
    <n v="0"/>
    <n v="0"/>
    <n v="0"/>
    <n v="0"/>
    <n v="0"/>
    <n v="0"/>
    <x v="92"/>
  </r>
  <r>
    <s v="1.02.02.11.1021"/>
    <s v="CREDITI C/REGIONE PER PROGETTO CURE PALLIATIVE"/>
    <n v="0"/>
    <n v="0"/>
    <n v="0"/>
    <n v="0"/>
    <n v="0"/>
    <n v="0"/>
    <n v="0"/>
    <n v="0"/>
    <n v="0"/>
    <n v="0"/>
    <x v="92"/>
  </r>
  <r>
    <s v="1.02.02.11.1022"/>
    <s v="CREDITI V/ REGIONE PER MOBILITA ATTIVA DA ASL-AO INTRAREGIONALE"/>
    <n v="0"/>
    <n v="0"/>
    <n v="0"/>
    <n v="0"/>
    <n v="0"/>
    <n v="0"/>
    <n v="0"/>
    <n v="0"/>
    <n v="0"/>
    <n v="0"/>
    <x v="92"/>
  </r>
  <r>
    <s v="1.02.02.11.1023"/>
    <s v="CREDITI V/ REGIONE PER MOBILITA ATTIVA DA ASL-AO EXTRAREGIONE"/>
    <n v="0"/>
    <n v="0"/>
    <n v="0"/>
    <n v="0"/>
    <n v="0"/>
    <n v="0"/>
    <n v="0"/>
    <n v="0"/>
    <n v="0"/>
    <n v="0"/>
    <x v="92"/>
  </r>
  <r>
    <s v="1.02.02.11.1024"/>
    <s v="CREDITI V/ REGIONE PER MOBILITA ATTIVA DA PRIVATO"/>
    <n v="0"/>
    <n v="0"/>
    <n v="0"/>
    <n v="0"/>
    <n v="0"/>
    <n v="0"/>
    <n v="0"/>
    <n v="0"/>
    <n v="0"/>
    <n v="0"/>
    <x v="92"/>
  </r>
  <r>
    <s v="1.02.02.11.1025"/>
    <s v="CREDITI VS REGIONE PER PROGETTI PSN 2016 LP 2"/>
    <n v="148800"/>
    <n v="148800"/>
    <n v="0"/>
    <n v="0"/>
    <n v="0"/>
    <n v="0"/>
    <n v="0"/>
    <n v="148800"/>
    <n v="148800"/>
    <n v="0"/>
    <x v="92"/>
  </r>
  <r>
    <s v="1.02.02.11.1026"/>
    <s v="CREDITI VS REGIONE PER PROGETTI PSN 2016 LP 1, 5, 6"/>
    <n v="981000"/>
    <n v="981000"/>
    <n v="0"/>
    <n v="0"/>
    <n v="0"/>
    <n v="0"/>
    <n v="0"/>
    <n v="981000"/>
    <n v="981000"/>
    <n v="0"/>
    <x v="92"/>
  </r>
  <r>
    <s v="1.02.02.11.1027"/>
    <s v="CREDITO V/REG PER PROGETTO TALASSEMIA"/>
    <n v="0"/>
    <n v="0"/>
    <n v="0"/>
    <n v="0"/>
    <n v="0"/>
    <n v="0"/>
    <n v="0"/>
    <n v="0"/>
    <n v="0"/>
    <n v="0"/>
    <x v="92"/>
  </r>
  <r>
    <s v="1.02.02.11.1028"/>
    <s v="ALTRI CREDITI VERSO REGIONE"/>
    <n v="0"/>
    <n v="0"/>
    <n v="0"/>
    <n v="0"/>
    <n v="0"/>
    <n v="0"/>
    <n v="0"/>
    <n v="0"/>
    <n v="0"/>
    <n v="0"/>
    <x v="92"/>
  </r>
  <r>
    <s v="1.02.02.11.1029"/>
    <s v="CREDITI V/REGIONE C/PROGETTO STUDIO LATTE D'ASINA IN PAZIENTI APLV"/>
    <n v="0"/>
    <n v="0"/>
    <n v="0"/>
    <n v="0"/>
    <n v="0"/>
    <n v="0"/>
    <n v="0"/>
    <n v="0"/>
    <n v="0"/>
    <n v="0"/>
    <x v="92"/>
  </r>
  <r>
    <s v="1.02.02.11.1030"/>
    <s v="CREDITI V/REGIONE C/PROGETTO TALASSEMIA T /"/>
    <n v="0"/>
    <n v="0"/>
    <n v="0"/>
    <n v="0"/>
    <n v="0"/>
    <n v="0"/>
    <n v="0"/>
    <n v="0"/>
    <n v="0"/>
    <n v="0"/>
    <x v="92"/>
  </r>
  <r>
    <s v="1.02.02.11.1031"/>
    <s v="CREDITI VS REGIONE PROGETTI OBIETTIVI LINEA 2016 LP 4"/>
    <n v="300000"/>
    <n v="300000"/>
    <n v="0"/>
    <n v="0"/>
    <n v="0"/>
    <n v="0"/>
    <n v="0"/>
    <n v="300000"/>
    <n v="300000"/>
    <n v="0"/>
    <x v="92"/>
  </r>
  <r>
    <s v="1.02.02.11.1032"/>
    <s v="CREDITI V/REGIONE O PROVINCIA AUTONOMA PER QUOTA FSR VINCOLATO - PROGETTI OBIETTIVO PSN ANNO 2017 LINEA PROGETTUALE 2. SVILUPPO DEI PROCESSI DI UMANIZZAZIONE"/>
    <n v="0"/>
    <n v="0"/>
    <n v="0"/>
    <n v="0"/>
    <n v="0"/>
    <n v="0"/>
    <n v="0"/>
    <n v="0"/>
    <n v="0"/>
    <n v="0"/>
    <x v="92"/>
  </r>
  <r>
    <s v="1.02.02.11.1033"/>
    <s v="CREDITI V/REGIONE C/PROGETTO T /"/>
    <n v="0"/>
    <n v="0"/>
    <n v="0"/>
    <n v="0"/>
    <n v="0"/>
    <n v="0"/>
    <n v="0"/>
    <n v="0"/>
    <n v="0"/>
    <n v="0"/>
    <x v="92"/>
  </r>
  <r>
    <s v="1.02.02.11.1035"/>
    <s v="CREDITI V/REGIONE C/PROGETTO ONCOLOGIA RUOLO FATTORI DISCRIMINANTI"/>
    <n v="0"/>
    <n v="0"/>
    <n v="0"/>
    <n v="0"/>
    <n v="0"/>
    <n v="0"/>
    <n v="0"/>
    <n v="0"/>
    <n v="0"/>
    <n v="0"/>
    <x v="92"/>
  </r>
  <r>
    <s v="1.02.02.11.1036"/>
    <s v="CREDITI V/REGIONE C/PROGETTO ONCOLOGIA PROPSETTIVE CURE ALTERNATIVE"/>
    <n v="0"/>
    <n v="0"/>
    <n v="0"/>
    <n v="0"/>
    <n v="0"/>
    <n v="0"/>
    <n v="0"/>
    <n v="0"/>
    <n v="0"/>
    <n v="0"/>
    <x v="92"/>
  </r>
  <r>
    <s v="1.02.02.11.1038"/>
    <s v="CREDITI V/REGIONE PER QUOTE FSR"/>
    <n v="3021094"/>
    <n v="3021094"/>
    <n v="0"/>
    <n v="0"/>
    <n v="0"/>
    <n v="0"/>
    <n v="0"/>
    <n v="3021094"/>
    <n v="3021094"/>
    <n v="0"/>
    <x v="92"/>
  </r>
  <r>
    <s v="1.02.02.11.1039"/>
    <s v="CREDITI V/REGIONE PER PROGETTO MALATTIE RARE"/>
    <n v="0"/>
    <n v="0"/>
    <n v="0"/>
    <n v="0"/>
    <n v="0"/>
    <n v="0"/>
    <n v="0"/>
    <n v="0"/>
    <n v="0"/>
    <n v="0"/>
    <x v="92"/>
  </r>
  <r>
    <s v="1.02.02.11.1040"/>
    <s v="CREDITI V/REGIONE PER PROGETTO DI SORVEGLIANZA SISTEMATICA DEL SARS-COV-2 E DELLE SUE VARIANTI NELLE ACQUE REFLUE (PROGETTO SARI)"/>
    <n v="0"/>
    <n v="0"/>
    <n v="0"/>
    <n v="0"/>
    <n v="0"/>
    <n v="0"/>
    <n v="0"/>
    <n v="0"/>
    <n v="0"/>
    <n v="0"/>
    <x v="92"/>
  </r>
  <r>
    <s v="1.02.02.11.1041"/>
    <s v="CREDITI V/REGIONE PROGETTO STROKE UNIT"/>
    <n v="0"/>
    <n v="0"/>
    <n v="0"/>
    <n v="0"/>
    <n v="0"/>
    <n v="0"/>
    <n v="0"/>
    <n v="0"/>
    <n v="0"/>
    <n v="0"/>
    <x v="92"/>
  </r>
  <r>
    <s v="1.02.02.11.1042"/>
    <s v="CREDITI VS REGIONE PROGETTO IDENTIFICATION OF BIOLOGICAL"/>
    <n v="0"/>
    <n v="0"/>
    <n v="0"/>
    <n v="0"/>
    <n v="0"/>
    <n v="0"/>
    <n v="0"/>
    <n v="0"/>
    <n v="0"/>
    <n v="0"/>
    <x v="92"/>
  </r>
  <r>
    <s v="1.02.02.11.1043"/>
    <s v="CREDITI VS REGIONE PROGETTO STEM CELLS IN DIFFERENT ¿"/>
    <n v="0"/>
    <n v="0"/>
    <n v="0"/>
    <n v="0"/>
    <n v="0"/>
    <n v="0"/>
    <n v="0"/>
    <n v="0"/>
    <n v="0"/>
    <n v="0"/>
    <x v="92"/>
  </r>
  <r>
    <s v="1.02.02.11.1044"/>
    <s v="CREDITI V/REGIONE PER  PROGETTI PSN 2015"/>
    <n v="199200"/>
    <n v="199200"/>
    <n v="0"/>
    <n v="0"/>
    <n v="0"/>
    <n v="0"/>
    <n v="0"/>
    <n v="199200"/>
    <n v="199200"/>
    <n v="0"/>
    <x v="92"/>
  </r>
  <r>
    <s v="1.02.02.11.1045"/>
    <s v="CREDITI V/REGIONE PER PROGETTI PSN 2015 LINEA PROGETTUALE 5 E 6"/>
    <n v="1140000"/>
    <n v="1140000"/>
    <n v="0"/>
    <n v="0"/>
    <n v="0"/>
    <n v="0"/>
    <n v="0"/>
    <n v="1140000"/>
    <n v="1140000"/>
    <n v="0"/>
    <x v="92"/>
  </r>
  <r>
    <s v="1.02.02.11.1046"/>
    <s v="CREDITI V/REGIONE PER PROGETTO DI RICERCA SANITARIA FINALIZZATA &quot;DEVELOPMENT OF AN ITALIANA CLINICAL/DIAGNOSTIC&quot;"/>
    <n v="0"/>
    <n v="0"/>
    <n v="0"/>
    <n v="0"/>
    <n v="0"/>
    <n v="0"/>
    <n v="0"/>
    <n v="0"/>
    <n v="0"/>
    <n v="0"/>
    <x v="92"/>
  </r>
  <r>
    <s v="1.02.02.11.1047"/>
    <s v="CREDITI V/REGIONE PER PROGETTO DI RICERCA SANITARIA FINALIZZATA ROLE OF HUMAN SPHEROIDS FROM ADIPOSE-DERIVED STEM CELLS"/>
    <n v="47749.64"/>
    <n v="0"/>
    <n v="47749.64"/>
    <n v="0"/>
    <n v="0"/>
    <n v="0"/>
    <n v="0"/>
    <n v="47749.64"/>
    <n v="0"/>
    <n v="47749.64"/>
    <x v="92"/>
  </r>
  <r>
    <s v="1.02.02.11.1048"/>
    <s v="CREDITI V/REGIONE PER PROGETTO DI RICERCA SANITARIA FINALIZZATA TRANS-CRANIAL MrgFUS FOR THE TREATMENT OF MEDICATION REFRACTORY ESSENTIAL TREMOR:ITALIAN AND WORLD-FIRST TRIAL USING A 1,5T MR UNIT"/>
    <n v="200647.5"/>
    <n v="0"/>
    <n v="200647.5"/>
    <n v="0"/>
    <n v="0"/>
    <n v="0"/>
    <n v="0"/>
    <n v="200647.5"/>
    <n v="0"/>
    <n v="200647.5"/>
    <x v="92"/>
  </r>
  <r>
    <s v="1.02.02.11.1049"/>
    <s v="CREDITI V/REGIONE PER PROGETTO DI RICERCA FINALIZZATA NON CELIAC GLUTEN SENSITIVITY (NCGS)"/>
    <n v="60048"/>
    <n v="0"/>
    <n v="60048"/>
    <n v="0"/>
    <n v="60048"/>
    <n v="0"/>
    <n v="0"/>
    <n v="60048"/>
    <n v="60048"/>
    <n v="0"/>
    <x v="92"/>
  </r>
  <r>
    <s v="1.02.02.11.1050"/>
    <s v="CREDITI V/REGIONE PER PROGETTO DI FARMACOVIGILANZA ATTIVA SUGLI EVENTI AVVERSI DA FARMACI OFF-LABEL UTILIZZATI NEONATOLOGIA"/>
    <n v="0"/>
    <n v="0"/>
    <n v="0"/>
    <n v="0"/>
    <n v="0"/>
    <n v="0"/>
    <n v="0"/>
    <n v="0"/>
    <n v="0"/>
    <n v="0"/>
    <x v="92"/>
  </r>
  <r>
    <s v="1.02.02.11.1051"/>
    <s v="CREDITI VS/REGIONE PROGETTI PSN 2017 LINEA  LP 4 PREVENZIONE"/>
    <n v="0"/>
    <n v="0"/>
    <n v="0"/>
    <n v="0"/>
    <n v="0"/>
    <n v="0"/>
    <n v="0"/>
    <n v="0"/>
    <n v="0"/>
    <n v="0"/>
    <x v="92"/>
  </r>
  <r>
    <s v="1.02.02.11.1052"/>
    <s v="CREDITI VS/REGIONE PROGETTI OBIETTIVO PSN 2018 LP 4 AZ. 4.06 PREVENZIONE RADIOLOGICA DEL TUMORE AL COLON-RETTO"/>
    <n v="0"/>
    <n v="0"/>
    <n v="0"/>
    <n v="0"/>
    <n v="0"/>
    <n v="0"/>
    <n v="0"/>
    <n v="0"/>
    <n v="0"/>
    <n v="0"/>
    <x v="1"/>
  </r>
  <r>
    <s v="1.02.02.11.1053"/>
    <s v="CREDITI VS/REGIONE PROGETTI OBIETTIVO PSN 2018 LP 4 AZ.4.07 SORVEGLIANZA MALATT.ONCOL.RISCHIO EREDO-FAMILIARE"/>
    <n v="0"/>
    <n v="0"/>
    <n v="0"/>
    <n v="0"/>
    <n v="0"/>
    <n v="0"/>
    <n v="0"/>
    <n v="0"/>
    <n v="0"/>
    <n v="0"/>
    <x v="92"/>
  </r>
  <r>
    <s v="1.02.02.11.1054"/>
    <s v="CREDITI VS/REGIONE PROGETTI OBIETTIVO PSN 2018 LP 4 AZ.4.21 RETE DI SORVEGLIANZA EPIDEM. MOLECOLARE MORBILLO ROSOLIA"/>
    <n v="0"/>
    <n v="0"/>
    <n v="0"/>
    <n v="0"/>
    <n v="0"/>
    <n v="0"/>
    <n v="0"/>
    <n v="0"/>
    <n v="0"/>
    <n v="0"/>
    <x v="92"/>
  </r>
  <r>
    <s v="1.02.02.11.1055"/>
    <s v="CREDITI VS/REGIONE PROGETTI OBIETTIVO PSN 2018 LP 4 AZ. 4.22 MST DIAGNOSI E PREVENZIONE. PERCORSO ASSIST."/>
    <n v="0"/>
    <n v="0"/>
    <n v="0"/>
    <n v="0"/>
    <n v="0"/>
    <n v="0"/>
    <n v="0"/>
    <n v="0"/>
    <n v="0"/>
    <n v="0"/>
    <x v="92"/>
  </r>
  <r>
    <s v="1.02.02.11.1056"/>
    <s v="CREDITI VS/REGIONE PROGETTI OBIETTIVO PSN 2018 LP 4 AZ. 4.23 MICROBIOTA VAGINALE IN CONDIZ.FISIOLOGICHE E PATOLOGIE CON PARTICOLARE RIFER. ALLE INFEZIONI DA HPV"/>
    <n v="0"/>
    <n v="0"/>
    <n v="0"/>
    <n v="0"/>
    <n v="0"/>
    <n v="0"/>
    <n v="0"/>
    <n v="0"/>
    <n v="0"/>
    <n v="0"/>
    <x v="92"/>
  </r>
  <r>
    <s v="1.02.02.11.1057"/>
    <s v="CREDITI VS/REGIONE PROGETTI OBIETTIVO PSN 2018 LP 4 AZ. 4.24 LEGIONELLA PNEUMOPHILA NEGLI STUDI ODONTOIATRICI"/>
    <n v="0"/>
    <n v="0"/>
    <n v="0"/>
    <n v="0"/>
    <n v="0"/>
    <n v="0"/>
    <n v="0"/>
    <n v="0"/>
    <n v="0"/>
    <n v="0"/>
    <x v="92"/>
  </r>
  <r>
    <s v="1.02.02.11.1058"/>
    <s v="CREDITI V/REGIONE PER PROGETTO DI RICERCA FINALIZZATA ALLA CONOSCENZA DEL FENOMENO DEL GAP (GIOCO D'AZZARDO PATOLOGICO) L. 208/2015 (art.1, comma 946)"/>
    <n v="0"/>
    <n v="0"/>
    <n v="0"/>
    <n v="40000"/>
    <n v="40000"/>
    <n v="0"/>
    <n v="0"/>
    <n v="40000"/>
    <n v="40000"/>
    <n v="0"/>
    <x v="92"/>
  </r>
  <r>
    <s v="1.02.02.11.1059"/>
    <s v="CREDITI V/REGIONE PER PROGETTO DI RICERCA FINALIZZATA RF-2021-12372399 &quot;PORTAL HIPERTENSION IMPATIENTS WITH NAFLD: CLINICAL IMPLICATION&quot;"/>
    <n v="0"/>
    <n v="0"/>
    <n v="0"/>
    <n v="0"/>
    <n v="0"/>
    <n v="0"/>
    <n v="0"/>
    <n v="0"/>
    <n v="0"/>
    <n v="0"/>
    <x v="92"/>
  </r>
  <r>
    <s v="1.02.02.11.1060"/>
    <s v="CREDITI V/REGIONE PER PIANO ONCOLOGICO NAZIONALE 2023-2027 D.A. 295/2024"/>
    <n v="0"/>
    <n v="0"/>
    <n v="0"/>
    <n v="631000"/>
    <n v="328000"/>
    <n v="0"/>
    <n v="0"/>
    <n v="631000"/>
    <n v="328000"/>
    <n v="303000"/>
    <x v="92"/>
  </r>
  <r>
    <s v="1.02.02.11.1101"/>
    <s v="Crediti v/Regione o Provincia Autonoma per spesa corrente - STP (ex D.lgs. 286/98)"/>
    <n v="241540.12"/>
    <n v="0"/>
    <n v="241540.12"/>
    <n v="46636.29"/>
    <n v="241540.12"/>
    <n v="0"/>
    <n v="0"/>
    <n v="288176.40999999997"/>
    <n v="241540.12"/>
    <n v="46636.29"/>
    <x v="93"/>
  </r>
  <r>
    <s v="1.02.02.11.1201"/>
    <s v="Crediti v/Regione o Provincia Autonoma per mobilita' attiva internazionale"/>
    <n v="0"/>
    <n v="0"/>
    <n v="0"/>
    <n v="0"/>
    <n v="0"/>
    <n v="0"/>
    <n v="0"/>
    <n v="0"/>
    <n v="0"/>
    <n v="0"/>
    <x v="94"/>
  </r>
  <r>
    <s v="1.02.02.11.2014"/>
    <s v="CREDITI V/ REG.  QUOTE  FSN 2014"/>
    <n v="0"/>
    <n v="0"/>
    <n v="0"/>
    <n v="0"/>
    <n v="0"/>
    <n v="0"/>
    <n v="0"/>
    <n v="0"/>
    <n v="0"/>
    <n v="0"/>
    <x v="84"/>
  </r>
  <r>
    <s v="1.02.02.11.2015"/>
    <s v="CREDITI V/ REG.  QUOTE  FSN 2015"/>
    <n v="0"/>
    <n v="0"/>
    <n v="0"/>
    <n v="0"/>
    <n v="0"/>
    <n v="0"/>
    <n v="0"/>
    <n v="0"/>
    <n v="0"/>
    <n v="0"/>
    <x v="84"/>
  </r>
  <r>
    <m/>
    <s v="CREDITI V/REGIONE O PROVINCIA AUTONOMA PER VERSAMENTI A PATRIMONIO NETTO"/>
    <n v="35676402.200000003"/>
    <n v="3349925.47"/>
    <n v="32326476.73"/>
    <n v="6841853.7699999996"/>
    <n v="0"/>
    <n v="0"/>
    <n v="0"/>
    <n v="42518255.969999999"/>
    <n v="3349925.47"/>
    <n v="39168330.5"/>
    <x v="1"/>
  </r>
  <r>
    <s v="1.02.02.12.0101"/>
    <s v="CREDITI V/ REGIONE PER FINANZIAMENTI POR 2000-2006 DOTAZIONE APPARECCHI X DIAGNOSI PRECOCE"/>
    <n v="0"/>
    <n v="0"/>
    <n v="0"/>
    <n v="0"/>
    <n v="0"/>
    <n v="0"/>
    <n v="0"/>
    <n v="0"/>
    <n v="0"/>
    <n v="0"/>
    <x v="95"/>
  </r>
  <r>
    <s v="1.02.02.12.0102"/>
    <s v="CREDITI V/ REGIONE PER FINANZIAMENTI UE IN CONTO CAPITALE"/>
    <n v="0"/>
    <n v="0"/>
    <n v="0"/>
    <n v="0"/>
    <n v="0"/>
    <n v="0"/>
    <n v="0"/>
    <n v="0"/>
    <n v="0"/>
    <n v="0"/>
    <x v="95"/>
  </r>
  <r>
    <s v="1.02.02.12.0103"/>
    <s v="CREDITI V/ REGIONE PER ALTRI FINANZIAMENTI IN CONTO CAPITALE"/>
    <n v="100476.07"/>
    <n v="0"/>
    <n v="100476.07"/>
    <n v="0"/>
    <n v="0"/>
    <n v="0"/>
    <n v="0"/>
    <n v="100476.07"/>
    <n v="0"/>
    <n v="100476.07"/>
    <x v="95"/>
  </r>
  <r>
    <s v="1.02.02.12.0104"/>
    <s v="CREDITI V/REGIONE PER FINANZIAMENTI IN CONTO CAPITALE EX ART  L /   ANNI PREGRESSI"/>
    <n v="0"/>
    <n v="0"/>
    <n v="0"/>
    <n v="0"/>
    <n v="0"/>
    <n v="0"/>
    <n v="0"/>
    <n v="0"/>
    <n v="0"/>
    <n v="0"/>
    <x v="95"/>
  </r>
  <r>
    <s v="1.02.02.12.0105"/>
    <s v="CREDITI V/REGIONE PER AUMENTO FONDO DOTAZIONE"/>
    <n v="0"/>
    <n v="0"/>
    <n v="0"/>
    <n v="0"/>
    <n v="0"/>
    <n v="0"/>
    <n v="0"/>
    <n v="0"/>
    <n v="0"/>
    <n v="0"/>
    <x v="95"/>
  </r>
  <r>
    <s v="1.02.02.12.0106"/>
    <s v="CREDITI V/ REGIONE PER FINANZIAMENTI IN CONTO CAPITALE EX ART. 20 L. 67/88 (RISTRUTTURAZIONI)"/>
    <n v="207126.75"/>
    <n v="0"/>
    <n v="207126.75"/>
    <n v="0"/>
    <n v="0"/>
    <n v="0"/>
    <n v="0"/>
    <n v="207126.75"/>
    <n v="0"/>
    <n v="207126.75"/>
    <x v="95"/>
  </r>
  <r>
    <s v="1.02.02.12.0107"/>
    <s v="CREDITI V/REGIONE PER FINANZIAMENTI IN C/CAPITALEEX ART.20 L.67/88 (ATTREZZATURE)"/>
    <n v="253000.88"/>
    <n v="0"/>
    <n v="253000.88"/>
    <n v="0"/>
    <n v="0"/>
    <n v="0"/>
    <n v="0"/>
    <n v="253000.88"/>
    <n v="0"/>
    <n v="253000.88"/>
    <x v="95"/>
  </r>
  <r>
    <s v="1.02.02.12.0108"/>
    <s v="CREDITI V/ REGIONE PER FINANZIAMENTI IN CONTO CAPITALE EX ART.20 L.67/88 (IMPIANTI CLIMATIZZ.)"/>
    <n v="0"/>
    <n v="0"/>
    <n v="0"/>
    <n v="0"/>
    <n v="0"/>
    <n v="0"/>
    <n v="0"/>
    <n v="0"/>
    <n v="0"/>
    <n v="0"/>
    <x v="95"/>
  </r>
  <r>
    <s v="1.02.02.12.0109"/>
    <s v="CREDITI V/REGIONE PER FINANZIAMENTI IN C/CAPITALE EX ART.20 L.67/88 (DIAGNOSTICA X IMMAGINI)"/>
    <n v="480000"/>
    <n v="0"/>
    <n v="480000"/>
    <n v="0"/>
    <n v="0"/>
    <n v="0"/>
    <n v="0"/>
    <n v="480000"/>
    <n v="0"/>
    <n v="480000"/>
    <x v="95"/>
  </r>
  <r>
    <s v="1.02.02.12.0110"/>
    <s v="CREDITI V/REGIONE  PER FINANZIAMENTI IN C/CAPITALE DA FONDI PO-FESR 2011"/>
    <n v="0"/>
    <n v="0"/>
    <n v="0"/>
    <n v="0"/>
    <n v="0"/>
    <n v="0"/>
    <n v="0"/>
    <n v="0"/>
    <n v="0"/>
    <n v="0"/>
    <x v="95"/>
  </r>
  <r>
    <s v="1.02.02.12.0111"/>
    <s v="CREDITI V/REGIONE PER FINANZIAMENTI IN C/CAPITALE EX ART. ART.69 LR..32/00 (IMPIANTI FOTOVOLTAICI)"/>
    <n v="0"/>
    <n v="0"/>
    <n v="0"/>
    <n v="0"/>
    <n v="0"/>
    <n v="0"/>
    <n v="0"/>
    <n v="0"/>
    <n v="0"/>
    <n v="0"/>
    <x v="95"/>
  </r>
  <r>
    <s v="1.02.02.12.0112"/>
    <s v="CREDITI V/REGIONE PER FINANZIAMENTI IN C/CAPITALE DA FONDI PO-FESR 2007-2013"/>
    <n v="989780.98"/>
    <n v="0"/>
    <n v="989780.98"/>
    <n v="6841853.7699999996"/>
    <n v="0"/>
    <n v="0"/>
    <n v="0"/>
    <n v="7831634.75"/>
    <n v="0"/>
    <n v="7831634.75"/>
    <x v="95"/>
  </r>
  <r>
    <s v="1.02.02.12.0113"/>
    <s v="CREDITI V/REGIONE PER FINANZIAMENTI IN C/CAPITALE EX ART.20 L.67/88 (CHIRURGIA PLASTICA E RICOSTRUTTIVA)"/>
    <n v="903193.25"/>
    <n v="0"/>
    <n v="903193.25"/>
    <n v="0"/>
    <n v="0"/>
    <n v="0"/>
    <n v="0"/>
    <n v="903193.25"/>
    <n v="0"/>
    <n v="903193.25"/>
    <x v="95"/>
  </r>
  <r>
    <s v="1.02.02.12.0114"/>
    <s v="CREDITI V/REGIONE PER FINANZIAMENTI IN C/CAPITALE EX ART.20 L.67/88(SERVIZIO EMODIALISI)"/>
    <n v="0"/>
    <n v="0"/>
    <n v="0"/>
    <n v="0"/>
    <n v="0"/>
    <n v="0"/>
    <n v="0"/>
    <n v="0"/>
    <n v="0"/>
    <n v="0"/>
    <x v="95"/>
  </r>
  <r>
    <s v="1.02.02.12.0115"/>
    <s v="CREDITI V/REGIONE PER FINANZIAMENTI IN C/CAPITALE EX ART.20 L.67/88(ISTIT.MATERNO INFANTILE)"/>
    <n v="0"/>
    <n v="0"/>
    <n v="0"/>
    <n v="0"/>
    <n v="0"/>
    <n v="0"/>
    <n v="0"/>
    <n v="0"/>
    <n v="0"/>
    <n v="0"/>
    <x v="95"/>
  </r>
  <r>
    <s v="1.02.02.12.0116"/>
    <s v="CREDITI V/REGIONE PER FINANZIAMENTI IN C/CAPITALE DA FONDI PO-FESR 2007-2013 - LINEA 4.1.2.A"/>
    <n v="88000"/>
    <n v="0"/>
    <n v="88000"/>
    <n v="0"/>
    <n v="0"/>
    <n v="0"/>
    <n v="0"/>
    <n v="88000"/>
    <n v="0"/>
    <n v="88000"/>
    <x v="95"/>
  </r>
  <r>
    <s v="1.02.02.12.0117"/>
    <s v="CREDITI V/REGIONE PER FINANZIAMENTI IN C/CAPITALE EX ART.20 L.67/88(LABORATORIO CENTRALIZZATO)"/>
    <n v="2571219.65"/>
    <n v="0"/>
    <n v="2571219.65"/>
    <n v="0"/>
    <n v="0"/>
    <n v="0"/>
    <n v="0"/>
    <n v="2571219.65"/>
    <n v="0"/>
    <n v="2571219.65"/>
    <x v="95"/>
  </r>
  <r>
    <s v="1.02.02.12.0118"/>
    <s v="CREDITI V/REGIONE PER FINANZIAMENTI IN C/CAPITALE ART.26, COMMA 1, L.R. 2/2007"/>
    <n v="0"/>
    <n v="0"/>
    <n v="0"/>
    <n v="0"/>
    <n v="0"/>
    <n v="0"/>
    <n v="0"/>
    <n v="0"/>
    <n v="0"/>
    <n v="0"/>
    <x v="95"/>
  </r>
  <r>
    <s v="1.02.02.12.0119"/>
    <s v="CREDITI V/REGIONE X FINANZIAMENTI IN C/CAPITALE EX ART.20 L.67/88 SU ANNO 2014"/>
    <n v="0"/>
    <n v="0"/>
    <n v="0"/>
    <n v="0"/>
    <n v="0"/>
    <n v="0"/>
    <n v="0"/>
    <n v="0"/>
    <n v="0"/>
    <n v="0"/>
    <x v="95"/>
  </r>
  <r>
    <s v="1.02.02.12.0120"/>
    <s v="CREDITI V/REGIONE X FINANZIAMENTI IN C/CAPITALE DA FONDI PO-FESR SU ANNO 2014"/>
    <n v="0"/>
    <n v="0"/>
    <n v="0"/>
    <n v="0"/>
    <n v="0"/>
    <n v="0"/>
    <n v="0"/>
    <n v="0"/>
    <n v="0"/>
    <n v="0"/>
    <x v="95"/>
  </r>
  <r>
    <s v="1.02.02.12.0121"/>
    <s v="CREDITI V/ REGIONE X FINANZIAMENTI IN C/CAPITALE EX ART.71 L.448/98 REALIZZAZIONE RETE FOGNARIA"/>
    <n v="2371470.27"/>
    <n v="0"/>
    <n v="2371470.27"/>
    <n v="0"/>
    <n v="0"/>
    <n v="0"/>
    <n v="0"/>
    <n v="2371470.27"/>
    <n v="0"/>
    <n v="2371470.27"/>
    <x v="95"/>
  </r>
  <r>
    <s v="1.02.02.12.0122"/>
    <s v="CREDITI V/REGIONE X FINANZIAMENTI IN C/CAPITALE EX ART.38 L.R. 30/97 SU ANNO 2014"/>
    <n v="0"/>
    <n v="0"/>
    <n v="0"/>
    <n v="0"/>
    <n v="0"/>
    <n v="0"/>
    <n v="0"/>
    <n v="0"/>
    <n v="0"/>
    <n v="0"/>
    <x v="95"/>
  </r>
  <r>
    <s v="1.02.02.12.0123"/>
    <s v="CRED.V/REG. PO-FESR 2007/13 LINEA 2.1.1.2.2"/>
    <n v="0"/>
    <n v="0"/>
    <n v="0"/>
    <n v="0"/>
    <n v="0"/>
    <n v="0"/>
    <n v="0"/>
    <n v="0"/>
    <n v="0"/>
    <n v="0"/>
    <x v="95"/>
  </r>
  <r>
    <s v="1.02.02.12.0124"/>
    <s v="CREDITI V/ REGIONE PER FINANZIAMENTI IN CONTO CAPITALE FORNITURA E POSA SISTEMA TC/PET  EX ART. 20 L. 67/88"/>
    <n v="3520909.55"/>
    <n v="3349925.47"/>
    <n v="170984.08"/>
    <n v="0"/>
    <n v="0"/>
    <n v="0"/>
    <n v="0"/>
    <n v="3520909.55"/>
    <n v="3349925.47"/>
    <n v="170984.08"/>
    <x v="95"/>
  </r>
  <r>
    <s v="1.02.02.12.0125"/>
    <s v="CREDITI V/ REGIONE PER FINANZIAMENTI PER INTERVENTI VOLTI A RIDURRE LE LISTE D'ATTESA E FASCICOLO SANITARIO ELETTRONICO (FSE)"/>
    <n v="1000000"/>
    <n v="0"/>
    <n v="1000000"/>
    <n v="0"/>
    <n v="0"/>
    <n v="0"/>
    <n v="0"/>
    <n v="1000000"/>
    <n v="0"/>
    <n v="1000000"/>
    <x v="95"/>
  </r>
  <r>
    <s v="1.02.02.12.0201"/>
    <s v="CREDITI V/REGIONE O PROVINCIA AUTONOMA PER INCREMENTO FONDO DOTAZIONE"/>
    <n v="0"/>
    <n v="0"/>
    <n v="0"/>
    <n v="0"/>
    <n v="0"/>
    <n v="0"/>
    <n v="0"/>
    <n v="0"/>
    <n v="0"/>
    <n v="0"/>
    <x v="96"/>
  </r>
  <r>
    <s v="1.02.02.12.0301"/>
    <s v="CREDITI VERSO REGIONE PER RIPIANO PERDITE"/>
    <n v="0"/>
    <n v="0"/>
    <n v="0"/>
    <n v="0"/>
    <n v="0"/>
    <n v="0"/>
    <n v="0"/>
    <n v="0"/>
    <n v="0"/>
    <n v="0"/>
    <x v="97"/>
  </r>
  <r>
    <s v="1.02.02.12.0401"/>
    <s v="CREDITI V/REGIONE PER COPERTURA DEBITI AL 31/12/2005"/>
    <n v="0"/>
    <n v="0"/>
    <n v="0"/>
    <n v="0"/>
    <n v="0"/>
    <n v="0"/>
    <n v="0"/>
    <n v="0"/>
    <n v="0"/>
    <n v="0"/>
    <x v="98"/>
  </r>
  <r>
    <s v="1.02.02.12.0501"/>
    <s v="CREDITI V/REGIONE O PROVINCIA AUTONOMA PER RICOSTITUZIONE RISORSE DA INVESTIMENTI ESERCIZI PRECEDENTI"/>
    <n v="0"/>
    <n v="0"/>
    <n v="0"/>
    <n v="0"/>
    <n v="0"/>
    <n v="0"/>
    <n v="0"/>
    <n v="0"/>
    <n v="0"/>
    <n v="0"/>
    <x v="99"/>
  </r>
  <r>
    <s v="1.02.02.12.0601"/>
    <s v="Crediti v/Regione o Provincia Autonoma per anticipazione ripiano disavanzo programmato dai Piani aziendali di cui all'art. 1, comma 528, L. 208/2015"/>
    <n v="0"/>
    <n v="0"/>
    <n v="0"/>
    <n v="0"/>
    <n v="0"/>
    <n v="0"/>
    <n v="0"/>
    <n v="0"/>
    <n v="0"/>
    <n v="0"/>
    <x v="100"/>
  </r>
  <r>
    <s v="1.02.02.12.9501"/>
    <s v="CREDITI V/ REGIONE PER FINANZIAMENTI IN CONTO CAPITALE PNRR - MISSIONE 6 C2 - 1.1.1 DIGITALIZZAZIONE DEA I E II LIVELLO"/>
    <n v="8748741.4000000004"/>
    <n v="0"/>
    <n v="8748741.4000000004"/>
    <n v="0"/>
    <n v="0"/>
    <n v="0"/>
    <n v="0"/>
    <n v="8748741.4000000004"/>
    <n v="0"/>
    <n v="8748741.4000000004"/>
    <x v="95"/>
  </r>
  <r>
    <s v="1.02.02.12.9601"/>
    <s v="CREDITI V/ REGIONE PER FINANZIAMENTI IN CONTO CAPITALE PNRR - MISSIONE 6 C2 - 1.1.2 GRANDI APPARECCHIATURE"/>
    <n v="2520000"/>
    <n v="0"/>
    <n v="2520000"/>
    <n v="0"/>
    <n v="0"/>
    <n v="0"/>
    <n v="0"/>
    <n v="2520000"/>
    <n v="0"/>
    <n v="2520000"/>
    <x v="95"/>
  </r>
  <r>
    <s v="1.02.02.12.9602"/>
    <s v="CREDITI V/ REGIONE PER FINANZIAMENTI IN CONTO CAPITALE PNRR - MISSIONE 6 C2 - 1.1.2 LAVORI X GRANDI APPARECCHIATURE"/>
    <n v="0"/>
    <n v="0"/>
    <n v="0"/>
    <n v="0"/>
    <n v="0"/>
    <n v="0"/>
    <n v="0"/>
    <n v="0"/>
    <n v="0"/>
    <n v="0"/>
    <x v="95"/>
  </r>
  <r>
    <s v="1.02.02.12.9701"/>
    <s v="CREDITI V/ REGIONE PER FINANZIAMENTI IN CONTO CAPITALE PNRR - MISSIONE 6 C2 - 1.2.1 OSPEDALI SICURI E SOSTENIBILI"/>
    <n v="10097785.800000001"/>
    <n v="0"/>
    <n v="10097785.800000001"/>
    <n v="0"/>
    <n v="0"/>
    <n v="0"/>
    <n v="0"/>
    <n v="10097785.800000001"/>
    <n v="0"/>
    <n v="10097785.800000001"/>
    <x v="95"/>
  </r>
  <r>
    <s v="1.02.02.12.9801"/>
    <s v="CREDITI V/ REGIONE PER FINANZIAMENTI IN CONTO CAPITALE PNC - MISSIONE 6 C2 - 1.2.1 OSPEDALI SICURI E SOSTENIBILI"/>
    <n v="885928"/>
    <n v="0"/>
    <n v="885928"/>
    <n v="0"/>
    <n v="0"/>
    <n v="0"/>
    <n v="0"/>
    <n v="885928"/>
    <n v="0"/>
    <n v="885928"/>
    <x v="95"/>
  </r>
  <r>
    <s v="1.02.02.12.9802"/>
    <s v="CREDITI V/ REGIONE PER FINANZIAMENTI IN CONTO CAPITALE PNRR M 1 C 1 MISURE 1.4.3 E 1.4.4"/>
    <n v="0"/>
    <n v="0"/>
    <n v="0"/>
    <n v="0"/>
    <n v="0"/>
    <n v="0"/>
    <n v="0"/>
    <n v="0"/>
    <n v="0"/>
    <n v="0"/>
    <x v="95"/>
  </r>
  <r>
    <s v="1.02.02.12.9803"/>
    <s v="CREDITI V/ REGIONE PER FINANZIAMENTI IN CONTO CAPITALE PNRR - ADOZIONE E UTILIZZO FASCICOLO ELETTRONICO"/>
    <n v="938769.6"/>
    <n v="0"/>
    <n v="938769.6"/>
    <n v="0"/>
    <n v="0"/>
    <n v="0"/>
    <n v="0"/>
    <n v="938769.6"/>
    <n v="0"/>
    <n v="938769.6"/>
    <x v="95"/>
  </r>
  <r>
    <s v="1.02.02.12.9804"/>
    <s v="CREDITI V/REGIONE PER FINANZIAMENTI IN CONTO CAPITALE D.L. 34/2020"/>
    <n v="0"/>
    <n v="0"/>
    <n v="0"/>
    <n v="0"/>
    <n v="0"/>
    <n v="0"/>
    <n v="0"/>
    <n v="0"/>
    <n v="0"/>
    <n v="0"/>
    <x v="95"/>
  </r>
  <r>
    <m/>
    <s v="CREDITI V/COMUNI"/>
    <n v="0"/>
    <n v="0"/>
    <n v="0"/>
    <n v="2102"/>
    <n v="0"/>
    <n v="0"/>
    <n v="0"/>
    <n v="2102"/>
    <n v="0"/>
    <n v="2102"/>
    <x v="1"/>
  </r>
  <r>
    <s v="1.02.02.13.0101"/>
    <s v="CREDITI V/COMUNI"/>
    <n v="0"/>
    <n v="0"/>
    <n v="0"/>
    <n v="2102"/>
    <n v="0"/>
    <n v="0"/>
    <n v="0"/>
    <n v="2102"/>
    <n v="0"/>
    <n v="2102"/>
    <x v="101"/>
  </r>
  <r>
    <s v="1.02.02.13.0102"/>
    <s v="CREDITI V/ COMUNI PER PROGETTI SANITARI"/>
    <n v="0"/>
    <n v="0"/>
    <n v="0"/>
    <n v="0"/>
    <n v="0"/>
    <n v="0"/>
    <n v="0"/>
    <n v="0"/>
    <n v="0"/>
    <n v="0"/>
    <x v="101"/>
  </r>
  <r>
    <s v="1.02.02.13.0103"/>
    <s v="ALTRI CREDITI V/ COMUNI"/>
    <n v="0"/>
    <n v="0"/>
    <n v="0"/>
    <n v="0"/>
    <n v="0"/>
    <n v="0"/>
    <n v="0"/>
    <n v="0"/>
    <n v="0"/>
    <n v="0"/>
    <x v="101"/>
  </r>
  <r>
    <m/>
    <s v="CREDITI V/AZIENDE SANITARIE PUBBLICHE DELLA REGIONE"/>
    <n v="2983057.27"/>
    <n v="48974.66"/>
    <n v="2934082.61"/>
    <n v="1972785.12"/>
    <n v="1806475.33"/>
    <n v="0"/>
    <n v="0"/>
    <n v="4955842.3899999997"/>
    <n v="1855449.99"/>
    <n v="3100392.4"/>
    <x v="1"/>
  </r>
  <r>
    <s v="1.02.02.14.0101"/>
    <s v="CREDITI V/AZIENDE SANITARIE PUBBLICHE DELLA REGIONE - PER MOBILITA IN  COMPENSAZIONE"/>
    <n v="32357.84"/>
    <n v="32357.84"/>
    <n v="0"/>
    <n v="0"/>
    <n v="0"/>
    <n v="0"/>
    <n v="0"/>
    <n v="32357.84"/>
    <n v="32357.84"/>
    <n v="0"/>
    <x v="102"/>
  </r>
  <r>
    <s v="1.02.02.14.0201"/>
    <s v="CREDITI V/ASP AG - PER MOBILITA NON IN COMPENSAZIONE"/>
    <n v="0"/>
    <n v="0"/>
    <n v="0"/>
    <n v="0"/>
    <n v="0"/>
    <n v="0"/>
    <n v="0"/>
    <n v="0"/>
    <n v="0"/>
    <n v="0"/>
    <x v="103"/>
  </r>
  <r>
    <s v="1.02.02.14.0301"/>
    <s v="CREDITI V/ASP CL - PER MOBILITA NON IN COMPENSAZIONE"/>
    <n v="0"/>
    <n v="0"/>
    <n v="0"/>
    <n v="0"/>
    <n v="0"/>
    <n v="0"/>
    <n v="0"/>
    <n v="0"/>
    <n v="0"/>
    <n v="0"/>
    <x v="103"/>
  </r>
  <r>
    <s v="1.02.02.14.0401"/>
    <s v="CREDITI V/ASP CT - PER MOBILITA NON IN COMPENSAZIONE"/>
    <n v="0"/>
    <n v="0"/>
    <n v="0"/>
    <n v="0"/>
    <n v="0"/>
    <n v="0"/>
    <n v="0"/>
    <n v="0"/>
    <n v="0"/>
    <n v="0"/>
    <x v="103"/>
  </r>
  <r>
    <s v="1.02.02.14.0501"/>
    <s v="CREDITI V/ASP EN - PER MOBILITA NON IN COMPENSAZIONE"/>
    <n v="0"/>
    <n v="0"/>
    <n v="0"/>
    <n v="0"/>
    <n v="0"/>
    <n v="0"/>
    <n v="0"/>
    <n v="0"/>
    <n v="0"/>
    <n v="0"/>
    <x v="103"/>
  </r>
  <r>
    <s v="1.02.02.14.0601"/>
    <s v="CREDITI V/ASP ME - PER MOBILITA NON IN COMPENSAZIONE"/>
    <n v="0"/>
    <n v="0"/>
    <n v="0"/>
    <n v="0"/>
    <n v="0"/>
    <n v="0"/>
    <n v="0"/>
    <n v="0"/>
    <n v="0"/>
    <n v="0"/>
    <x v="103"/>
  </r>
  <r>
    <s v="1.02.02.14.0701"/>
    <s v="CREDITI V/ASP PA - PER MOBILITA NON IN COMPENSAZIONE"/>
    <n v="0"/>
    <n v="0"/>
    <n v="0"/>
    <n v="0"/>
    <n v="0"/>
    <n v="0"/>
    <n v="0"/>
    <n v="0"/>
    <n v="0"/>
    <n v="0"/>
    <x v="103"/>
  </r>
  <r>
    <s v="1.02.02.14.0801"/>
    <s v="CREDITI V/ASP RG - PER MOBILITA NON IN COMPENSAZIONE"/>
    <n v="0"/>
    <n v="0"/>
    <n v="0"/>
    <n v="0"/>
    <n v="0"/>
    <n v="0"/>
    <n v="0"/>
    <n v="0"/>
    <n v="0"/>
    <n v="0"/>
    <x v="103"/>
  </r>
  <r>
    <s v="1.02.02.14.0901"/>
    <s v="CREDITI V/ASP SR - PER MOBILITA NON IN COMPENSAZIONE"/>
    <n v="0"/>
    <n v="0"/>
    <n v="0"/>
    <n v="0"/>
    <n v="0"/>
    <n v="0"/>
    <n v="0"/>
    <n v="0"/>
    <n v="0"/>
    <n v="0"/>
    <x v="103"/>
  </r>
  <r>
    <s v="1.02.02.14.1001"/>
    <s v="CREDITI V/ASP TP - PER MOBILITA NON IN COMPENSAZIONE"/>
    <n v="0"/>
    <n v="0"/>
    <n v="0"/>
    <n v="0"/>
    <n v="0"/>
    <n v="0"/>
    <n v="0"/>
    <n v="0"/>
    <n v="0"/>
    <n v="0"/>
    <x v="103"/>
  </r>
  <r>
    <s v="1.02.02.14.1101"/>
    <s v="CREDITI V/AO CANNIZZARO CT - PER MOBILITA NON IN COMPENSAZIONE"/>
    <n v="0"/>
    <n v="0"/>
    <n v="0"/>
    <n v="0"/>
    <n v="0"/>
    <n v="0"/>
    <n v="0"/>
    <n v="0"/>
    <n v="0"/>
    <n v="0"/>
    <x v="103"/>
  </r>
  <r>
    <s v="1.02.02.14.1201"/>
    <s v="CREDITI V/AO GARIBALDI CT - PER MOBILITA NON IN COMPENSAZIONE"/>
    <n v="0"/>
    <n v="0"/>
    <n v="0"/>
    <n v="0"/>
    <n v="0"/>
    <n v="0"/>
    <n v="0"/>
    <n v="0"/>
    <n v="0"/>
    <n v="0"/>
    <x v="103"/>
  </r>
  <r>
    <s v="1.02.02.14.1301"/>
    <s v="CREDITI V/AOU POLICLINICO CT - PER MOBILITA NON IN COMPENSAZIONE"/>
    <n v="0"/>
    <n v="0"/>
    <n v="0"/>
    <n v="0"/>
    <n v="0"/>
    <n v="0"/>
    <n v="0"/>
    <n v="0"/>
    <n v="0"/>
    <n v="0"/>
    <x v="103"/>
  </r>
  <r>
    <s v="1.02.02.14.1401"/>
    <s v="CREDITI V/AO PAPARDO PIEMONTE - PER MOBILITA NON IN COMPENSAZIONE"/>
    <n v="0"/>
    <n v="0"/>
    <n v="0"/>
    <n v="0"/>
    <n v="0"/>
    <n v="0"/>
    <n v="0"/>
    <n v="0"/>
    <n v="0"/>
    <n v="0"/>
    <x v="103"/>
  </r>
  <r>
    <s v="1.02.02.14.1501"/>
    <s v="CREDITI V/AOU POLICLINICO ME - PER MOBILITA NON IN COMPENSAZIONE"/>
    <n v="0"/>
    <n v="0"/>
    <n v="0"/>
    <n v="0"/>
    <n v="0"/>
    <n v="0"/>
    <n v="0"/>
    <n v="0"/>
    <n v="0"/>
    <n v="0"/>
    <x v="103"/>
  </r>
  <r>
    <s v="1.02.02.14.1601"/>
    <s v="CREDITI V/AO VILLA SOFIA CERVELLO - PER MOBILITA NON IN COMPENSAZIONE"/>
    <n v="0"/>
    <n v="0"/>
    <n v="0"/>
    <n v="0"/>
    <n v="0"/>
    <n v="0"/>
    <n v="0"/>
    <n v="0"/>
    <n v="0"/>
    <n v="0"/>
    <x v="103"/>
  </r>
  <r>
    <s v="1.02.02.14.1701"/>
    <s v="CREDITI V/AO CIVICO PA - PER MOBILITA NON IN COMPENSAZIONE"/>
    <n v="0"/>
    <n v="0"/>
    <n v="0"/>
    <n v="0"/>
    <n v="0"/>
    <n v="0"/>
    <n v="0"/>
    <n v="0"/>
    <n v="0"/>
    <n v="0"/>
    <x v="103"/>
  </r>
  <r>
    <s v="1.02.02.14.1801"/>
    <s v="CREDITI V/AOU POLICLINICO PA - PER MOBILITA NON IN COMPENSAZIONE"/>
    <n v="0"/>
    <n v="0"/>
    <n v="0"/>
    <n v="0"/>
    <n v="0"/>
    <n v="0"/>
    <n v="0"/>
    <n v="0"/>
    <n v="0"/>
    <n v="0"/>
    <x v="103"/>
  </r>
  <r>
    <s v="1.02.02.14.1901"/>
    <s v="CREDITI V/IRCCS BONINO PULEJO ME - PER MOBILITA NON IN COMPENSAZIONE"/>
    <n v="0"/>
    <n v="0"/>
    <n v="0"/>
    <n v="0"/>
    <n v="0"/>
    <n v="0"/>
    <n v="0"/>
    <n v="0"/>
    <n v="0"/>
    <n v="0"/>
    <x v="103"/>
  </r>
  <r>
    <s v="1.02.02.14.2001"/>
    <s v="CREDITI V/ASP AG - PER ALTRE PRESTAZIONI"/>
    <n v="694312.15"/>
    <n v="0"/>
    <n v="694312.15"/>
    <n v="170298.47"/>
    <n v="379183.16"/>
    <n v="0"/>
    <n v="0"/>
    <n v="864610.62"/>
    <n v="379183.16"/>
    <n v="485427.46"/>
    <x v="104"/>
  </r>
  <r>
    <s v="1.02.02.14.2101"/>
    <s v="CREDITI V/ASP CL - PER ALTRE PRESTAZIONI"/>
    <n v="88238.5"/>
    <n v="0"/>
    <n v="88238.5"/>
    <n v="38012.879999999997"/>
    <n v="95453.03"/>
    <n v="0"/>
    <n v="0"/>
    <n v="126251.38"/>
    <n v="95453.03"/>
    <n v="30798.35"/>
    <x v="104"/>
  </r>
  <r>
    <s v="1.02.02.14.2201"/>
    <s v="CREDITI V/ASP CT - PER ALTRE PRESTAZIONI"/>
    <n v="57082.9"/>
    <n v="0"/>
    <n v="57082.9"/>
    <n v="0"/>
    <n v="0"/>
    <n v="0"/>
    <n v="0"/>
    <n v="57082.9"/>
    <n v="0"/>
    <n v="57082.9"/>
    <x v="104"/>
  </r>
  <r>
    <s v="1.02.02.14.2301"/>
    <s v="CREDITI V/ASP EN - PER ALTRE PRESTAZIONI"/>
    <n v="12151.5"/>
    <n v="0"/>
    <n v="12151.5"/>
    <n v="5089.76"/>
    <n v="3826.65"/>
    <n v="0"/>
    <n v="0"/>
    <n v="17241.259999999998"/>
    <n v="3826.65"/>
    <n v="13414.61"/>
    <x v="104"/>
  </r>
  <r>
    <s v="1.02.02.14.2401"/>
    <s v="CREDITI V/ASP ME - PER ALTRE PRESTAZIONI"/>
    <n v="44812.98"/>
    <n v="0"/>
    <n v="44812.98"/>
    <n v="82.64"/>
    <n v="82.64"/>
    <n v="0"/>
    <n v="0"/>
    <n v="44895.62"/>
    <n v="82.64"/>
    <n v="44812.98"/>
    <x v="104"/>
  </r>
  <r>
    <s v="1.02.02.14.2501"/>
    <s v="CREDITI V/ASP PA - PER ALTRE PRESTAZIONI"/>
    <n v="648964.87"/>
    <n v="0"/>
    <n v="648964.87"/>
    <n v="293267.83"/>
    <n v="14376.53"/>
    <n v="0"/>
    <n v="0"/>
    <n v="942232.7"/>
    <n v="14376.53"/>
    <n v="927856.17"/>
    <x v="104"/>
  </r>
  <r>
    <s v="1.02.02.14.2601"/>
    <s v="CREDITI V/ASP RG - PER ALTRE PRESTAZIONI"/>
    <n v="12153.99"/>
    <n v="0"/>
    <n v="12153.99"/>
    <n v="13957.37"/>
    <n v="12203.99"/>
    <n v="0"/>
    <n v="0"/>
    <n v="26111.360000000001"/>
    <n v="12203.99"/>
    <n v="13907.37"/>
    <x v="104"/>
  </r>
  <r>
    <s v="1.02.02.14.2701"/>
    <s v="CREDITI V/ASP SR - PER ALTRE PRESTAZIONI"/>
    <n v="0"/>
    <n v="0"/>
    <n v="0"/>
    <n v="11294.77"/>
    <n v="639.38"/>
    <n v="0"/>
    <n v="0"/>
    <n v="11294.77"/>
    <n v="639.38"/>
    <n v="10655.39"/>
    <x v="104"/>
  </r>
  <r>
    <s v="1.02.02.14.2801"/>
    <s v="CREDITI V/ASP TP - PER ALTRE PRESTAZIONI"/>
    <n v="74776.73"/>
    <n v="0"/>
    <n v="74776.73"/>
    <n v="142750.67000000001"/>
    <n v="1070.78"/>
    <n v="0"/>
    <n v="0"/>
    <n v="217527.4"/>
    <n v="1070.78"/>
    <n v="216456.62"/>
    <x v="104"/>
  </r>
  <r>
    <s v="1.02.02.14.2901"/>
    <s v="CREDITI V/AO CANNIZZARO CT - PER ALTRE PRESTAZIONI"/>
    <n v="0"/>
    <n v="0"/>
    <n v="0"/>
    <n v="0"/>
    <n v="0"/>
    <n v="0"/>
    <n v="0"/>
    <n v="0"/>
    <n v="0"/>
    <n v="0"/>
    <x v="104"/>
  </r>
  <r>
    <s v="1.02.02.14.3001"/>
    <s v="CREDITI V/AO GARIBALDI CT - PER ALTRE PRESTAZIONI"/>
    <n v="12412.28"/>
    <n v="0"/>
    <n v="12412.28"/>
    <n v="3828.28"/>
    <n v="1914.14"/>
    <n v="0"/>
    <n v="0"/>
    <n v="16240.56"/>
    <n v="1914.14"/>
    <n v="14326.42"/>
    <x v="104"/>
  </r>
  <r>
    <s v="1.02.02.14.3101"/>
    <s v="CREDITI V/AOU POLICLINICO CT - PER ALTRE PRESTAZIONI."/>
    <n v="5088.9799999999996"/>
    <n v="0"/>
    <n v="5088.9799999999996"/>
    <n v="0"/>
    <n v="0"/>
    <n v="0"/>
    <n v="0"/>
    <n v="5088.9799999999996"/>
    <n v="0"/>
    <n v="5088.9799999999996"/>
    <x v="104"/>
  </r>
  <r>
    <s v="1.02.02.14.3201"/>
    <s v="CREDITI V/AO PAPARDO PIEMONTE - PER ALTRE PRESTAZIONI"/>
    <n v="24116.13"/>
    <n v="0"/>
    <n v="24116.13"/>
    <n v="5195.3100000000004"/>
    <n v="0"/>
    <n v="0"/>
    <n v="0"/>
    <n v="29311.439999999999"/>
    <n v="0"/>
    <n v="29311.439999999999"/>
    <x v="104"/>
  </r>
  <r>
    <s v="1.02.02.14.3301"/>
    <s v="CREDITI V/AOU POLICLINICO ME - PER ALTRE PRESTAZIONI"/>
    <n v="63876.79"/>
    <n v="0"/>
    <n v="63876.79"/>
    <n v="181280.76"/>
    <n v="181280.76"/>
    <n v="0"/>
    <n v="0"/>
    <n v="245157.55"/>
    <n v="181280.76"/>
    <n v="63876.79"/>
    <x v="104"/>
  </r>
  <r>
    <s v="1.02.02.14.3401"/>
    <s v="CREDITI V/AO VILLA SOFIA CERVELLO- PER ALTRE PRESTAZIONI"/>
    <n v="463819.36"/>
    <n v="16570.150000000001"/>
    <n v="447249.21"/>
    <n v="547701.26"/>
    <n v="574071.66"/>
    <n v="0"/>
    <n v="0"/>
    <n v="1011520.62"/>
    <n v="590641.81000000006"/>
    <n v="420878.81"/>
    <x v="104"/>
  </r>
  <r>
    <s v="1.02.02.14.3501"/>
    <s v="CREDITI V/AO CIVICO PA - PER ALTRE PRESTAZIONI"/>
    <n v="748892.27"/>
    <n v="0"/>
    <n v="748892.27"/>
    <n v="560025.12"/>
    <n v="542372.61"/>
    <n v="0"/>
    <n v="0"/>
    <n v="1308917.3899999999"/>
    <n v="542372.61"/>
    <n v="766544.78"/>
    <x v="104"/>
  </r>
  <r>
    <s v="1.02.02.14.3601"/>
    <s v="CREDITI V/AOU POLICLINICO PA - PER ALTRE PRESTAZIONI"/>
    <n v="0"/>
    <n v="0"/>
    <n v="0"/>
    <n v="0"/>
    <n v="0"/>
    <n v="0"/>
    <n v="0"/>
    <n v="0"/>
    <n v="0"/>
    <n v="0"/>
    <x v="104"/>
  </r>
  <r>
    <s v="1.02.02.14.3701"/>
    <s v="CREDITI V/IRCCS BONINO PULEJO ME - PER ALTRE PRESTAZIONI"/>
    <n v="0"/>
    <n v="46.67"/>
    <n v="46.67"/>
    <n v="0"/>
    <n v="0"/>
    <n v="0"/>
    <n v="0"/>
    <n v="0"/>
    <n v="46.67"/>
    <n v="-46.67"/>
    <x v="104"/>
  </r>
  <r>
    <s v="1.02.02.14.3801"/>
    <s v="Fondo svalutazione Crediti"/>
    <n v="0"/>
    <n v="0"/>
    <n v="0"/>
    <n v="0"/>
    <n v="0"/>
    <n v="0"/>
    <n v="0"/>
    <n v="0"/>
    <n v="0"/>
    <n v="0"/>
    <x v="104"/>
  </r>
  <r>
    <m/>
    <s v="ACCONTO QUOTA FSR DA DISTRIBUIRE"/>
    <n v="0"/>
    <n v="0"/>
    <n v="0"/>
    <n v="0"/>
    <n v="0"/>
    <n v="0"/>
    <n v="0"/>
    <n v="0"/>
    <n v="0"/>
    <n v="0"/>
    <x v="1"/>
  </r>
  <r>
    <s v="1.02.02.15.0101"/>
    <s v="CREDITI V/AZIENDA X - PER ACCONTO QUOTA FSR DA DISTRIBUIRE"/>
    <n v="0"/>
    <n v="0"/>
    <n v="0"/>
    <n v="0"/>
    <n v="0"/>
    <n v="0"/>
    <n v="0"/>
    <n v="0"/>
    <n v="0"/>
    <n v="0"/>
    <x v="105"/>
  </r>
  <r>
    <m/>
    <s v="CREDITI V/AZIENDE SANITARIE PUBBLICHE EXTRAREGIONE"/>
    <n v="3891979.56"/>
    <n v="0"/>
    <n v="3891979.56"/>
    <n v="4068170.48"/>
    <n v="1719770.1"/>
    <n v="0"/>
    <n v="0"/>
    <n v="7960150.04"/>
    <n v="1719770.1"/>
    <n v="6240379.9400000004"/>
    <x v="1"/>
  </r>
  <r>
    <s v="1.02.02.16.0101"/>
    <s v="CREDITI V/AZIENDE SANITARIE PUBBLICHE EXTRAREGIONE"/>
    <n v="85514.559999999998"/>
    <n v="0"/>
    <n v="85514.559999999998"/>
    <n v="135738.48000000001"/>
    <n v="56304.1"/>
    <n v="0"/>
    <n v="0"/>
    <n v="221253.04"/>
    <n v="56304.1"/>
    <n v="164948.94"/>
    <x v="106"/>
  </r>
  <r>
    <s v="1.02.02.16.0102"/>
    <s v="CREDITI V/AZIENDE SANITARIE PUBBLICHE EXTRAREGIONE - PROGETTI DI RICERCA PNRR"/>
    <n v="3806465"/>
    <n v="0"/>
    <n v="3806465"/>
    <n v="3932432"/>
    <n v="1663466"/>
    <n v="0"/>
    <n v="0"/>
    <n v="7738897"/>
    <n v="1663466"/>
    <n v="6075431"/>
    <x v="106"/>
  </r>
  <r>
    <m/>
    <s v="CREDITI V/ENTI REGIONALI"/>
    <n v="4408.13"/>
    <n v="4408.13"/>
    <n v="0"/>
    <n v="0"/>
    <n v="0"/>
    <n v="0"/>
    <n v="0"/>
    <n v="4408.13"/>
    <n v="4408.13"/>
    <n v="0"/>
    <x v="1"/>
  </r>
  <r>
    <s v="1.02.02.17.0101"/>
    <s v="CREDITI V/ARPA"/>
    <n v="0"/>
    <n v="0"/>
    <n v="0"/>
    <n v="0"/>
    <n v="0"/>
    <n v="0"/>
    <n v="0"/>
    <n v="0"/>
    <n v="0"/>
    <n v="0"/>
    <x v="107"/>
  </r>
  <r>
    <s v="1.02.02.17.0201"/>
    <s v="CREDITI V/ENTI REGIONALI"/>
    <n v="4408.13"/>
    <n v="4408.13"/>
    <n v="0"/>
    <n v="0"/>
    <n v="0"/>
    <n v="0"/>
    <n v="0"/>
    <n v="4408.13"/>
    <n v="4408.13"/>
    <n v="0"/>
    <x v="107"/>
  </r>
  <r>
    <m/>
    <s v="CREDITI V/SPERIMENTAZIONI GESTIONALI"/>
    <n v="0"/>
    <n v="0"/>
    <n v="0"/>
    <n v="0"/>
    <n v="0"/>
    <n v="0"/>
    <n v="0"/>
    <n v="0"/>
    <n v="0"/>
    <n v="0"/>
    <x v="1"/>
  </r>
  <r>
    <s v="1.02.02.18.0101"/>
    <s v="CREDITI V/SPERIMENTAZIONI GESTIONALI"/>
    <n v="0"/>
    <n v="0"/>
    <n v="0"/>
    <n v="0"/>
    <n v="0"/>
    <n v="0"/>
    <n v="0"/>
    <n v="0"/>
    <n v="0"/>
    <n v="0"/>
    <x v="108"/>
  </r>
  <r>
    <m/>
    <s v="CREDITI V/ALTRE PARTECIPATE"/>
    <n v="0"/>
    <n v="0"/>
    <n v="0"/>
    <n v="0"/>
    <n v="0"/>
    <n v="0"/>
    <n v="0"/>
    <n v="0"/>
    <n v="0"/>
    <n v="0"/>
    <x v="1"/>
  </r>
  <r>
    <s v="1.02.02.19.0101"/>
    <s v="CREDITI V/SOCIETA CONTROLLATE E COLLEGATE"/>
    <n v="0"/>
    <n v="0"/>
    <n v="0"/>
    <n v="0"/>
    <n v="0"/>
    <n v="0"/>
    <n v="0"/>
    <n v="0"/>
    <n v="0"/>
    <n v="0"/>
    <x v="109"/>
  </r>
  <r>
    <s v="1.02.02.19.0201"/>
    <s v="CREDITI V/ALTRE PARTECIPATE"/>
    <n v="0"/>
    <n v="0"/>
    <n v="0"/>
    <n v="0"/>
    <n v="0"/>
    <n v="0"/>
    <n v="0"/>
    <n v="0"/>
    <n v="0"/>
    <n v="0"/>
    <x v="109"/>
  </r>
  <r>
    <m/>
    <s v="CREDITI V/ERARIO"/>
    <n v="382878.35"/>
    <n v="11137.86"/>
    <n v="371740.49"/>
    <n v="965750.41"/>
    <n v="128898.7"/>
    <n v="0"/>
    <n v="0"/>
    <n v="1348628.76"/>
    <n v="140036.56"/>
    <n v="1208592.2"/>
    <x v="1"/>
  </r>
  <r>
    <s v="1.02.02.20.0101"/>
    <s v="CREDITI PER ERARIO C/IRES"/>
    <n v="0"/>
    <n v="0"/>
    <n v="0"/>
    <n v="0"/>
    <n v="0"/>
    <n v="0"/>
    <n v="0"/>
    <n v="0"/>
    <n v="0"/>
    <n v="0"/>
    <x v="110"/>
  </r>
  <r>
    <s v="1.02.02.20.0201"/>
    <s v="CREDITI PER IRAP - ATTIVITA ISTITUZIONALE"/>
    <n v="0"/>
    <n v="0"/>
    <n v="0"/>
    <n v="0"/>
    <n v="0"/>
    <n v="0"/>
    <n v="0"/>
    <n v="0"/>
    <n v="0"/>
    <n v="0"/>
    <x v="110"/>
  </r>
  <r>
    <s v="1.02.02.20.0202"/>
    <s v="CREDITI PER IRAP - ATTIVITA COMMERCIALE"/>
    <n v="0"/>
    <n v="0"/>
    <n v="0"/>
    <n v="0"/>
    <n v="0"/>
    <n v="0"/>
    <n v="0"/>
    <n v="0"/>
    <n v="0"/>
    <n v="0"/>
    <x v="110"/>
  </r>
  <r>
    <s v="1.02.02.20.0203"/>
    <s v="CREDITI PER IRAP - ATTIVITA PER PROGETTI FINALIZZATI"/>
    <n v="0"/>
    <n v="0"/>
    <n v="0"/>
    <n v="0"/>
    <n v="0"/>
    <n v="0"/>
    <n v="0"/>
    <n v="0"/>
    <n v="0"/>
    <n v="0"/>
    <x v="110"/>
  </r>
  <r>
    <s v="1.02.02.20.0301"/>
    <s v="CREDITI PER  ERARIO C/RITENUTE"/>
    <n v="0"/>
    <n v="0"/>
    <n v="0"/>
    <n v="0"/>
    <n v="0"/>
    <n v="0"/>
    <n v="0"/>
    <n v="0"/>
    <n v="0"/>
    <n v="0"/>
    <x v="110"/>
  </r>
  <r>
    <s v="1.02.02.20.0401"/>
    <s v="CREDITI PER  ERARIO C/IVA"/>
    <n v="13357.97"/>
    <n v="0"/>
    <n v="13357.97"/>
    <n v="0"/>
    <n v="0"/>
    <n v="0"/>
    <n v="0"/>
    <n v="13357.97"/>
    <n v="0"/>
    <n v="13357.97"/>
    <x v="110"/>
  </r>
  <r>
    <s v="1.02.02.20.0402"/>
    <s v="CREDITI PER  ERARIO C/IVA  SPLIT"/>
    <n v="0"/>
    <n v="0"/>
    <n v="0"/>
    <n v="19461.93"/>
    <n v="14201.44"/>
    <n v="0"/>
    <n v="0"/>
    <n v="19461.93"/>
    <n v="14201.44"/>
    <n v="5260.49"/>
    <x v="110"/>
  </r>
  <r>
    <s v="1.02.02.20.0501"/>
    <s v="CREDITO  VERSO ERARIO PER IMPOSTE ANTICIPATE"/>
    <n v="214.2"/>
    <n v="0"/>
    <n v="214.2"/>
    <n v="0"/>
    <n v="0"/>
    <n v="0"/>
    <n v="0"/>
    <n v="214.2"/>
    <n v="0"/>
    <n v="214.2"/>
    <x v="110"/>
  </r>
  <r>
    <s v="1.02.02.20.0502"/>
    <s v="CREDITI FINANZIARI V/ ERARIO"/>
    <n v="0"/>
    <n v="0"/>
    <n v="0"/>
    <n v="0"/>
    <n v="0"/>
    <n v="0"/>
    <n v="0"/>
    <n v="0"/>
    <n v="0"/>
    <n v="0"/>
    <x v="110"/>
  </r>
  <r>
    <s v="1.02.02.20.0503"/>
    <s v="CREDITO  VERSO ALTRE IMPOSTE E TASSE"/>
    <n v="0"/>
    <n v="0"/>
    <n v="0"/>
    <n v="0"/>
    <n v="0"/>
    <n v="0"/>
    <n v="0"/>
    <n v="0"/>
    <n v="0"/>
    <n v="0"/>
    <x v="110"/>
  </r>
  <r>
    <s v="1.02.02.20.0504"/>
    <s v="CREDITI V/ INPS LAVORATORI DIPENDENTI"/>
    <n v="321367.59999999998"/>
    <n v="0"/>
    <n v="321367.59999999998"/>
    <n v="0"/>
    <n v="0"/>
    <n v="0"/>
    <n v="0"/>
    <n v="321367.59999999998"/>
    <n v="0"/>
    <n v="321367.59999999998"/>
    <x v="110"/>
  </r>
  <r>
    <s v="1.02.02.20.0506"/>
    <s v="CREDITI V/ INPDAP - CPS"/>
    <n v="7535.81"/>
    <n v="0"/>
    <n v="7535.81"/>
    <n v="12288.17"/>
    <n v="19823.98"/>
    <n v="0"/>
    <n v="0"/>
    <n v="19823.98"/>
    <n v="19823.98"/>
    <n v="0"/>
    <x v="110"/>
  </r>
  <r>
    <s v="1.02.02.20.0507"/>
    <s v="CREDITI V/  INPDAP - CPDEL"/>
    <n v="0"/>
    <n v="0"/>
    <n v="0"/>
    <n v="4448.72"/>
    <n v="0"/>
    <n v="0"/>
    <n v="0"/>
    <n v="4448.72"/>
    <n v="0"/>
    <n v="4448.72"/>
    <x v="110"/>
  </r>
  <r>
    <s v="1.02.02.20.0508"/>
    <s v="CREDITI V/  INPDAP - INADEL"/>
    <n v="1093.7"/>
    <n v="0"/>
    <n v="1093.7"/>
    <n v="1189.81"/>
    <n v="1640.55"/>
    <n v="0"/>
    <n v="0"/>
    <n v="2283.5100000000002"/>
    <n v="1640.55"/>
    <n v="642.96"/>
    <x v="110"/>
  </r>
  <r>
    <s v="1.02.02.20.0509"/>
    <s v="CREDITI V/  INAIL"/>
    <n v="39309.07"/>
    <n v="11137.86"/>
    <n v="28171.21"/>
    <n v="928361.78"/>
    <n v="93232.73"/>
    <n v="0"/>
    <n v="0"/>
    <n v="967670.85"/>
    <n v="104370.59"/>
    <n v="863300.26"/>
    <x v="110"/>
  </r>
  <r>
    <s v="1.02.02.20.0510"/>
    <s v="CREDITI V/ ENPAM"/>
    <n v="0"/>
    <n v="0"/>
    <n v="0"/>
    <n v="0"/>
    <n v="0"/>
    <n v="0"/>
    <n v="0"/>
    <n v="0"/>
    <n v="0"/>
    <n v="0"/>
    <x v="110"/>
  </r>
  <r>
    <s v="1.02.02.20.0511"/>
    <s v="CREDITI V/  ONAOSI"/>
    <n v="0"/>
    <n v="0"/>
    <n v="0"/>
    <n v="0"/>
    <n v="0"/>
    <n v="0"/>
    <n v="0"/>
    <n v="0"/>
    <n v="0"/>
    <n v="0"/>
    <x v="110"/>
  </r>
  <r>
    <s v="1.02.02.20.0512"/>
    <s v="CREDITI V/  ALTRI ENTI PREVIDENZIALI"/>
    <n v="0"/>
    <n v="0"/>
    <n v="0"/>
    <n v="0"/>
    <n v="0"/>
    <n v="0"/>
    <n v="0"/>
    <n v="0"/>
    <n v="0"/>
    <n v="0"/>
    <x v="110"/>
  </r>
  <r>
    <s v="1.02.02.20.0513"/>
    <s v="CREDITI DA INPDAP - ENPDEP"/>
    <n v="0"/>
    <n v="0"/>
    <n v="0"/>
    <n v="0"/>
    <n v="0"/>
    <n v="0"/>
    <n v="0"/>
    <n v="0"/>
    <n v="0"/>
    <n v="0"/>
    <x v="110"/>
  </r>
  <r>
    <s v="1.02.02.20.0514"/>
    <s v="CREDITI DA INPDAP - TESORO"/>
    <n v="0"/>
    <n v="0"/>
    <n v="0"/>
    <n v="0"/>
    <n v="0"/>
    <n v="0"/>
    <n v="0"/>
    <n v="0"/>
    <n v="0"/>
    <n v="0"/>
    <x v="110"/>
  </r>
  <r>
    <m/>
    <s v="CREDITI V/CLIENTI PRIVATI"/>
    <n v="6836455.5800000001"/>
    <n v="1173338.98"/>
    <n v="5663116.5999999996"/>
    <n v="3154401.96"/>
    <n v="2992519.7"/>
    <n v="0"/>
    <n v="0"/>
    <n v="9990857.5399999991"/>
    <n v="4165858.68"/>
    <n v="5824998.8600000003"/>
    <x v="1"/>
  </r>
  <r>
    <s v="1.02.02.21.0101"/>
    <s v="CREDITI V/CLIENTI PRIVATI PER PRESTAZIONI RESE IN ATTIVITA COMMERCIALI DIVERSE"/>
    <n v="5185594.66"/>
    <n v="1091438.96"/>
    <n v="4094155.7"/>
    <n v="2154781.7200000002"/>
    <n v="2204185.92"/>
    <n v="0"/>
    <n v="0"/>
    <n v="7340376.3799999999"/>
    <n v="3295624.88"/>
    <n v="4044751.5"/>
    <x v="111"/>
  </r>
  <r>
    <s v="1.02.02.21.0102"/>
    <s v="CREDITI V/CLIENTI PRIVATI PER PRESTAZIONI RESE IN ATTIVITA NON SANITARIE DIVERSE"/>
    <n v="47251.96"/>
    <n v="0"/>
    <n v="47251.96"/>
    <n v="0"/>
    <n v="0"/>
    <n v="0"/>
    <n v="0"/>
    <n v="47251.96"/>
    <n v="0"/>
    <n v="47251.96"/>
    <x v="111"/>
  </r>
  <r>
    <s v="1.02.02.21.0103"/>
    <s v="PER PRESTAZIONI RESE IN ATTIVITA LIBERO-PROFESSIONALE"/>
    <n v="71688.58"/>
    <n v="0"/>
    <n v="71688.58"/>
    <n v="3588.31"/>
    <n v="3588.31"/>
    <n v="0"/>
    <n v="0"/>
    <n v="75276.89"/>
    <n v="3588.31"/>
    <n v="71688.58"/>
    <x v="111"/>
  </r>
  <r>
    <s v="1.02.02.21.0104"/>
    <s v="CREDITI V/CLIENTI PRIVATI PER PRESTAZIONI RESE IN ATTIVITA SANITARIA ORDINARIA"/>
    <n v="477029.31"/>
    <n v="81359.16"/>
    <n v="395670.15"/>
    <n v="31598.6"/>
    <n v="33277.03"/>
    <n v="0"/>
    <n v="0"/>
    <n v="508627.91"/>
    <n v="114636.19"/>
    <n v="393991.72"/>
    <x v="111"/>
  </r>
  <r>
    <s v="1.02.02.21.0105"/>
    <s v="CREDITI V/CLIENTI PRIVATI PER PRESTAZIONI RESE IN PROGETTI SANITARI"/>
    <n v="0"/>
    <n v="0"/>
    <n v="0"/>
    <n v="0"/>
    <n v="0"/>
    <n v="0"/>
    <n v="0"/>
    <n v="0"/>
    <n v="0"/>
    <n v="0"/>
    <x v="111"/>
  </r>
  <r>
    <s v="1.02.02.21.0106"/>
    <s v="CREDITI V/OSPEDALI CLASSIFICATI E CASE DI CURA"/>
    <n v="748488.25"/>
    <n v="540.86"/>
    <n v="747947.39"/>
    <n v="877288.62"/>
    <n v="656755.22"/>
    <n v="0"/>
    <n v="0"/>
    <n v="1625776.87"/>
    <n v="657296.07999999996"/>
    <n v="968480.79"/>
    <x v="111"/>
  </r>
  <r>
    <s v="1.02.02.21.0107"/>
    <s v="CREDITI V/CLIENTI PRIVATI PER RIMBORSI DA CONTENZIOSO LEGALE"/>
    <n v="217403.91"/>
    <n v="0"/>
    <n v="217403.91"/>
    <n v="9953.06"/>
    <n v="17293"/>
    <n v="0"/>
    <n v="0"/>
    <n v="227356.97"/>
    <n v="17293"/>
    <n v="210063.97"/>
    <x v="111"/>
  </r>
  <r>
    <s v="1.02.02.21.0108"/>
    <s v="CREDITI V/CLIENTI PRIVATI PER RIMBORSI VARI"/>
    <n v="1272.3599999999999"/>
    <n v="0"/>
    <n v="1272.3599999999999"/>
    <n v="0"/>
    <n v="0"/>
    <n v="0"/>
    <n v="0"/>
    <n v="1272.3599999999999"/>
    <n v="0"/>
    <n v="1272.3599999999999"/>
    <x v="111"/>
  </r>
  <r>
    <s v="1.02.02.21.0109"/>
    <s v="CREDITI PER ASSICURAZIONI PER FURTO E INCENDI"/>
    <n v="2801.02"/>
    <n v="0"/>
    <n v="2801.02"/>
    <n v="0"/>
    <n v="0"/>
    <n v="0"/>
    <n v="0"/>
    <n v="2801.02"/>
    <n v="0"/>
    <n v="2801.02"/>
    <x v="111"/>
  </r>
  <r>
    <s v="1.02.02.21.0110"/>
    <s v="ALTRI CREDITI PER ALTRE ASSICURAZIONI"/>
    <n v="3869.03"/>
    <n v="0"/>
    <n v="3869.03"/>
    <n v="0"/>
    <n v="0"/>
    <n v="0"/>
    <n v="0"/>
    <n v="3869.03"/>
    <n v="0"/>
    <n v="3869.03"/>
    <x v="111"/>
  </r>
  <r>
    <s v="1.02.02.21.0111"/>
    <s v="CREDITI V/ ANTICIPI DA ECONOMO"/>
    <n v="4844.99"/>
    <n v="0"/>
    <n v="4844.99"/>
    <n v="5161.24"/>
    <n v="5161.24"/>
    <n v="0"/>
    <n v="0"/>
    <n v="10006.23"/>
    <n v="5161.24"/>
    <n v="4844.99"/>
    <x v="111"/>
  </r>
  <r>
    <s v="1.02.02.21.0112"/>
    <s v="CREDITI V/ TESORIERE PER MANDATI NON A BUON FINE"/>
    <n v="0"/>
    <n v="0"/>
    <n v="0"/>
    <n v="3306.79"/>
    <n v="3306.79"/>
    <n v="0"/>
    <n v="0"/>
    <n v="3306.79"/>
    <n v="3306.79"/>
    <n v="0"/>
    <x v="111"/>
  </r>
  <r>
    <s v="1.02.02.21.0113"/>
    <s v="ALTRI CREDITI DI NATURA DIVERSA"/>
    <n v="67660.960000000006"/>
    <n v="0"/>
    <n v="67660.960000000006"/>
    <n v="68723.62"/>
    <n v="68952.19"/>
    <n v="0"/>
    <n v="0"/>
    <n v="136384.57999999999"/>
    <n v="68952.19"/>
    <n v="67432.39"/>
    <x v="111"/>
  </r>
  <r>
    <s v="1.02.02.21.0114"/>
    <s v="CONTO TRANSITORIO INCASSI DA BANCO POSTA PER CQRC"/>
    <n v="0"/>
    <n v="0"/>
    <n v="0"/>
    <n v="0"/>
    <n v="0"/>
    <n v="0"/>
    <n v="0"/>
    <n v="0"/>
    <n v="0"/>
    <n v="0"/>
    <x v="111"/>
  </r>
  <r>
    <s v="1.02.02.21.0115"/>
    <s v="CREDITI PER ANTICIP. FUNZIONARIO DELEGATO"/>
    <n v="8550.5499999999993"/>
    <n v="0"/>
    <n v="8550.5499999999993"/>
    <n v="0"/>
    <n v="0"/>
    <n v="0"/>
    <n v="0"/>
    <n v="8550.5499999999993"/>
    <n v="0"/>
    <n v="8550.5499999999993"/>
    <x v="111"/>
  </r>
  <r>
    <s v="1.02.02.21.0201"/>
    <s v="CREDITI V/UTENZA PER PROVENTI DA TICKET"/>
    <n v="0"/>
    <n v="0"/>
    <n v="0"/>
    <n v="0"/>
    <n v="0"/>
    <n v="0"/>
    <n v="0"/>
    <n v="0"/>
    <n v="0"/>
    <n v="0"/>
    <x v="111"/>
  </r>
  <r>
    <s v="1.02.02.21.0301"/>
    <s v="Crediti v/clienti privati per anticipi mobilità attiva"/>
    <n v="0"/>
    <n v="0"/>
    <n v="0"/>
    <n v="0"/>
    <n v="0"/>
    <n v="0"/>
    <n v="0"/>
    <n v="0"/>
    <n v="0"/>
    <n v="0"/>
    <x v="111"/>
  </r>
  <r>
    <s v="1.02.02.21.0302"/>
    <s v="CREDITI V/CLIENTI PRIVATI PER RIMBORSI DA CONTENZIOSO LEGALE"/>
    <n v="0"/>
    <n v="0"/>
    <n v="0"/>
    <n v="0"/>
    <n v="0"/>
    <n v="0"/>
    <n v="0"/>
    <n v="0"/>
    <n v="0"/>
    <n v="0"/>
    <x v="111"/>
  </r>
  <r>
    <s v="1.02.02.21.0303"/>
    <s v="CREDITI V/CLIENTI PRIVATI PERRIMBORSI VARI"/>
    <n v="0"/>
    <n v="0"/>
    <n v="0"/>
    <n v="0"/>
    <n v="0"/>
    <n v="0"/>
    <n v="0"/>
    <n v="0"/>
    <n v="0"/>
    <n v="0"/>
    <x v="111"/>
  </r>
  <r>
    <m/>
    <s v="CREDITI V/GESTIONI LIQUIDATORIE"/>
    <n v="0"/>
    <n v="0"/>
    <n v="0"/>
    <n v="0"/>
    <n v="0"/>
    <n v="0"/>
    <n v="0"/>
    <n v="0"/>
    <n v="0"/>
    <n v="0"/>
    <x v="1"/>
  </r>
  <r>
    <s v="1.02.02.22.0101"/>
    <s v="CREDITI V/GESTIONI LIQUIDATORIE"/>
    <n v="0"/>
    <n v="0"/>
    <n v="0"/>
    <n v="0"/>
    <n v="0"/>
    <n v="0"/>
    <n v="0"/>
    <n v="0"/>
    <n v="0"/>
    <n v="0"/>
    <x v="112"/>
  </r>
  <r>
    <m/>
    <s v="CREDITI V/ALTRI SOGGETTI PUBBLICI"/>
    <n v="26198252.390000001"/>
    <n v="804.83"/>
    <n v="26197447.559999999"/>
    <n v="820247.61"/>
    <n v="3556485.29"/>
    <n v="0"/>
    <n v="0"/>
    <n v="27018500"/>
    <n v="3557290.12"/>
    <n v="23461209.879999999"/>
    <x v="1"/>
  </r>
  <r>
    <s v="1.02.02.23.0101"/>
    <s v="CREDITI V/ALTRI SOGGETTI PUBBLICI"/>
    <n v="151952.85999999999"/>
    <n v="799.73"/>
    <n v="151153.13"/>
    <n v="482669.61"/>
    <n v="482639.61"/>
    <n v="0"/>
    <n v="0"/>
    <n v="634622.47"/>
    <n v="483439.34"/>
    <n v="151183.13"/>
    <x v="113"/>
  </r>
  <r>
    <s v="1.02.02.23.0102"/>
    <s v="CREDITI VERSO UNIVERSITA'"/>
    <n v="106354.95"/>
    <n v="0"/>
    <n v="106354.95"/>
    <n v="24251"/>
    <n v="19181"/>
    <n v="0"/>
    <n v="0"/>
    <n v="130605.95"/>
    <n v="19181"/>
    <n v="111424.95"/>
    <x v="113"/>
  </r>
  <r>
    <s v="1.02.02.23.0103"/>
    <s v="CREDITI DA ALTRI ENTI PUBBLICI PER PROGETTI"/>
    <n v="488738.76"/>
    <n v="0"/>
    <n v="488738.76"/>
    <n v="0"/>
    <n v="0"/>
    <n v="0"/>
    <n v="0"/>
    <n v="488738.76"/>
    <n v="0"/>
    <n v="488738.76"/>
    <x v="113"/>
  </r>
  <r>
    <s v="1.02.02.23.0104"/>
    <s v="CREDITI VERSO UNIVERSITA' PER PARTECIPAZIONE"/>
    <n v="25451200.719999999"/>
    <n v="0"/>
    <n v="25451200.719999999"/>
    <n v="0"/>
    <n v="2826000"/>
    <n v="0"/>
    <n v="0"/>
    <n v="25451200.719999999"/>
    <n v="2826000"/>
    <n v="22625200.719999999"/>
    <x v="113"/>
  </r>
  <r>
    <s v="1.02.02.23.0105"/>
    <s v="CREDITI VERSO OSPEDALI CLASSIFICATI E CASE DI CURA"/>
    <n v="5.0999999999999996"/>
    <n v="5.0999999999999996"/>
    <n v="0"/>
    <n v="144002"/>
    <n v="144002"/>
    <n v="0"/>
    <n v="0"/>
    <n v="144007.1"/>
    <n v="144007.1"/>
    <n v="0"/>
    <x v="113"/>
  </r>
  <r>
    <s v="1.02.02.23.0106"/>
    <s v="PROGETTO JACARDI - Joint Action on Cardiovascular diseases and Diabetes"/>
    <n v="0"/>
    <n v="0"/>
    <n v="0"/>
    <n v="169325"/>
    <n v="84662.68"/>
    <n v="0"/>
    <n v="0"/>
    <n v="169325"/>
    <n v="84662.68"/>
    <n v="84662.32"/>
    <x v="113"/>
  </r>
  <r>
    <m/>
    <s v="CREDITI V/ALTRI SOGGETTI PUBBLICI PER RICERCA"/>
    <n v="308250"/>
    <n v="0"/>
    <n v="308250"/>
    <n v="66343.7"/>
    <n v="19903.11"/>
    <n v="0"/>
    <n v="0"/>
    <n v="374593.7"/>
    <n v="19903.11"/>
    <n v="354690.59"/>
    <x v="1"/>
  </r>
  <r>
    <s v="1.02.02.24.0101"/>
    <s v="CREDITI V/ALTRI SOGGETTI PUBBLICI PER RICERCA"/>
    <n v="308250"/>
    <n v="0"/>
    <n v="308250"/>
    <n v="66343.7"/>
    <n v="19903.11"/>
    <n v="0"/>
    <n v="0"/>
    <n v="374593.7"/>
    <n v="19903.11"/>
    <n v="354690.59"/>
    <x v="114"/>
  </r>
  <r>
    <m/>
    <s v="ALTRI CREDITI DIVERSI"/>
    <n v="4595384.8600000003"/>
    <n v="38527.17"/>
    <n v="4556857.6900000004"/>
    <n v="3807721.53"/>
    <n v="2959063.47"/>
    <n v="0"/>
    <n v="0"/>
    <n v="8403106.3900000006"/>
    <n v="2997590.64"/>
    <n v="5405515.75"/>
    <x v="1"/>
  </r>
  <r>
    <s v="1.02.02.25.0101"/>
    <s v="CREDITI PER FATTURE DA EMETTERE"/>
    <n v="199831.19"/>
    <n v="0"/>
    <n v="199831.19"/>
    <n v="0"/>
    <n v="0"/>
    <n v="0"/>
    <n v="0"/>
    <n v="199831.19"/>
    <n v="0"/>
    <n v="199831.19"/>
    <x v="115"/>
  </r>
  <r>
    <s v="1.02.02.25.0102"/>
    <s v="CREDITI PER FATT. DA EMETTERE 2015"/>
    <n v="0"/>
    <n v="0"/>
    <n v="0"/>
    <n v="0"/>
    <n v="0"/>
    <n v="0"/>
    <n v="0"/>
    <n v="0"/>
    <n v="0"/>
    <n v="0"/>
    <x v="115"/>
  </r>
  <r>
    <s v="1.02.02.25.0103"/>
    <s v="CREDITI PER FATTURE DA EMETTERE ANNO 2016"/>
    <n v="0"/>
    <n v="0"/>
    <n v="0"/>
    <n v="0"/>
    <n v="0"/>
    <n v="0"/>
    <n v="0"/>
    <n v="0"/>
    <n v="0"/>
    <n v="0"/>
    <x v="115"/>
  </r>
  <r>
    <s v="1.02.02.25.0104"/>
    <s v="CREDITI PER FATTURE DA EMETTERE ANNO 2017"/>
    <n v="4733.1499999999996"/>
    <n v="0"/>
    <n v="4733.1499999999996"/>
    <n v="0"/>
    <n v="0"/>
    <n v="0"/>
    <n v="0"/>
    <n v="4733.1499999999996"/>
    <n v="0"/>
    <n v="4733.1499999999996"/>
    <x v="115"/>
  </r>
  <r>
    <s v="1.02.02.25.0105"/>
    <s v="CREDITI PER FATTURE DA EMETTERE ANNO 2018"/>
    <n v="0"/>
    <n v="0"/>
    <n v="0"/>
    <n v="0"/>
    <n v="0"/>
    <n v="0"/>
    <n v="0"/>
    <n v="0"/>
    <n v="0"/>
    <n v="0"/>
    <x v="115"/>
  </r>
  <r>
    <s v="1.02.02.25.0106"/>
    <s v="CREDITI PER FATTURE DA EMETTERE ANNO 2019"/>
    <n v="0"/>
    <n v="0"/>
    <n v="0"/>
    <n v="0"/>
    <n v="0"/>
    <n v="0"/>
    <n v="0"/>
    <n v="0"/>
    <n v="0"/>
    <n v="0"/>
    <x v="115"/>
  </r>
  <r>
    <s v="1.02.02.25.0107"/>
    <s v="CREDITI PER FATTURE DA EMETTERE ANNO 2020"/>
    <n v="0"/>
    <n v="0"/>
    <n v="0"/>
    <n v="0"/>
    <n v="0"/>
    <n v="0"/>
    <n v="0"/>
    <n v="0"/>
    <n v="0"/>
    <n v="0"/>
    <x v="115"/>
  </r>
  <r>
    <s v="1.02.02.25.0108"/>
    <s v="CREDITI PER FATTURE DA EMETTERE ANNO 2021"/>
    <n v="0"/>
    <n v="0"/>
    <n v="0"/>
    <n v="0"/>
    <n v="0"/>
    <n v="0"/>
    <n v="0"/>
    <n v="0"/>
    <n v="0"/>
    <n v="0"/>
    <x v="115"/>
  </r>
  <r>
    <s v="1.02.02.25.0109"/>
    <s v="CREDITI PER FATTURE DA EMETTERE ANNO 2022"/>
    <n v="5268.65"/>
    <n v="0"/>
    <n v="5268.65"/>
    <n v="0"/>
    <n v="0"/>
    <n v="0"/>
    <n v="0"/>
    <n v="5268.65"/>
    <n v="0"/>
    <n v="5268.65"/>
    <x v="115"/>
  </r>
  <r>
    <s v="1.02.02.25.0110"/>
    <s v="CREDITI PER FATTURE DA EMETTERE ANNO 2023"/>
    <n v="1440318.09"/>
    <n v="0"/>
    <n v="1440318.09"/>
    <n v="110720.19"/>
    <n v="1417852.92"/>
    <n v="0"/>
    <n v="0"/>
    <n v="1551038.28"/>
    <n v="1417852.92"/>
    <n v="133185.35999999999"/>
    <x v="115"/>
  </r>
  <r>
    <s v="1.02.02.25.0111"/>
    <s v="CREDITI PER FATTURE DA EMETTERE ANNO 2024"/>
    <n v="0"/>
    <n v="0"/>
    <n v="0"/>
    <n v="1340754.17"/>
    <n v="0"/>
    <n v="0"/>
    <n v="0"/>
    <n v="1340754.17"/>
    <n v="0"/>
    <n v="1340754.17"/>
    <x v="115"/>
  </r>
  <r>
    <s v="1.02.02.25.0201"/>
    <s v="ACCONTI VERSO EROGATORI (PRIVATI ACCREDITATI E CONVENZIONATI) DI PRESTAZIONI SANITARIE"/>
    <n v="45"/>
    <n v="0"/>
    <n v="45"/>
    <n v="0"/>
    <n v="0"/>
    <n v="0"/>
    <n v="0"/>
    <n v="45"/>
    <n v="0"/>
    <n v="45"/>
    <x v="116"/>
  </r>
  <r>
    <s v="1.02.02.25.0301"/>
    <s v="ACCONTI VERSO ALTRI FORNITORI"/>
    <n v="22716.78"/>
    <n v="0"/>
    <n v="22716.78"/>
    <n v="0"/>
    <n v="0"/>
    <n v="0"/>
    <n v="0"/>
    <n v="22716.78"/>
    <n v="0"/>
    <n v="22716.78"/>
    <x v="115"/>
  </r>
  <r>
    <s v="1.02.02.25.0302"/>
    <s v="ANTICIPI VERSO FORNITORI PER REGISTRAZ VERBALI DI GARA"/>
    <n v="0"/>
    <n v="0"/>
    <n v="0"/>
    <n v="0"/>
    <n v="0"/>
    <n v="0"/>
    <n v="0"/>
    <n v="0"/>
    <n v="0"/>
    <n v="0"/>
    <x v="115"/>
  </r>
  <r>
    <s v="1.02.02.25.0303"/>
    <s v="ANTICIPI VERSO FORNITORI"/>
    <n v="1232534.8999999999"/>
    <n v="0"/>
    <n v="1232534.8999999999"/>
    <n v="1539012.51"/>
    <n v="600555.47"/>
    <n v="0"/>
    <n v="0"/>
    <n v="2771547.41"/>
    <n v="600555.47"/>
    <n v="2170991.94"/>
    <x v="115"/>
  </r>
  <r>
    <s v="1.02.02.25.0401"/>
    <s v="CREDITI V/DIPENDENTI PER ANTICIPI E RECUPERI"/>
    <n v="237234.41"/>
    <n v="0"/>
    <n v="237234.41"/>
    <n v="28293.85"/>
    <n v="131773.60999999999"/>
    <n v="0"/>
    <n v="0"/>
    <n v="265528.26"/>
    <n v="131773.60999999999"/>
    <n v="133754.65"/>
    <x v="115"/>
  </r>
  <r>
    <s v="1.02.02.25.0402"/>
    <s v="ALTRI CREDITI V/DIPENDENTI - CREDITI PERSONALE DIPENDENTE (ART.13 P.INTESA)"/>
    <n v="382240.32"/>
    <n v="0"/>
    <n v="382240.32"/>
    <n v="0"/>
    <n v="0"/>
    <n v="0"/>
    <n v="0"/>
    <n v="382240.32"/>
    <n v="0"/>
    <n v="382240.32"/>
    <x v="115"/>
  </r>
  <r>
    <s v="1.02.02.25.0403"/>
    <s v="CREDITI VERSO PERSONALE PER ATTIVITA INTRAMOENIA"/>
    <n v="18707.86"/>
    <n v="8416.75"/>
    <n v="10291.11"/>
    <n v="0"/>
    <n v="0"/>
    <n v="0"/>
    <n v="0"/>
    <n v="18707.86"/>
    <n v="8416.75"/>
    <n v="10291.11"/>
    <x v="115"/>
  </r>
  <r>
    <s v="1.02.02.25.0404"/>
    <s v="ALTRI CREDITI V/DIPENDENTI - CREDITI X RECUPERO INDENNITA' DI ATENEO ANNI PRECEDENTI"/>
    <n v="741830.83"/>
    <n v="0"/>
    <n v="741830.83"/>
    <n v="752643.74"/>
    <n v="741312.47"/>
    <n v="0"/>
    <n v="0"/>
    <n v="1494474.57"/>
    <n v="741312.47"/>
    <n v="753162.1"/>
    <x v="115"/>
  </r>
  <r>
    <s v="1.02.02.25.0405"/>
    <s v="ALTRI CREDITI V/DIPENDENTI -CREDITI PERSONALE DIPENDENTE CESSATO (ART.13 PROT. INTESA)"/>
    <n v="309923.68"/>
    <n v="0"/>
    <n v="309923.68"/>
    <n v="0"/>
    <n v="0"/>
    <n v="0"/>
    <n v="0"/>
    <n v="309923.68"/>
    <n v="0"/>
    <n v="309923.68"/>
    <x v="115"/>
  </r>
  <r>
    <s v="1.02.02.25.0406"/>
    <s v="ALTRI CREDITI V/DIPENDENTI - CREDITI PERSONALE DIPENDENTE PER ADDIZIONALI"/>
    <n v="0"/>
    <n v="0"/>
    <n v="0"/>
    <n v="0"/>
    <n v="0"/>
    <n v="0"/>
    <n v="0"/>
    <n v="0"/>
    <n v="0"/>
    <n v="0"/>
    <x v="115"/>
  </r>
  <r>
    <s v="1.02.02.25.0407"/>
    <s v="CREDITI PER PAY BACK"/>
    <n v="0"/>
    <n v="0"/>
    <n v="0"/>
    <n v="0"/>
    <n v="0"/>
    <n v="0"/>
    <n v="0"/>
    <n v="0"/>
    <n v="0"/>
    <n v="0"/>
    <x v="115"/>
  </r>
  <r>
    <s v="1.02.02.25.0501"/>
    <s v="CREDITI PER NOTE CREDITO DA RICEVERE PER PRESTAZIONI OSPEDALIERE DA PRIVATO"/>
    <n v="0"/>
    <n v="0"/>
    <n v="0"/>
    <n v="0"/>
    <n v="0"/>
    <n v="0"/>
    <n v="0"/>
    <n v="0"/>
    <n v="0"/>
    <n v="0"/>
    <x v="117"/>
  </r>
  <r>
    <s v="1.02.02.25.0601"/>
    <s v="CREDITI PER NOTE CREDITO DA RICEVERE PER PRESTAZIONI AMBULATORIALI DA PRIVATO"/>
    <n v="0"/>
    <n v="0"/>
    <n v="0"/>
    <n v="0"/>
    <n v="0"/>
    <n v="0"/>
    <n v="0"/>
    <n v="0"/>
    <n v="0"/>
    <n v="0"/>
    <x v="117"/>
  </r>
  <r>
    <s v="1.02.02.25.0701"/>
    <s v="CREDITI PER NOTE CREDITO DA RICEVERE PER ALTRE PRESTAZIONI SANITARIE DA PRIVATO"/>
    <n v="0"/>
    <n v="0"/>
    <n v="0"/>
    <n v="0"/>
    <n v="0"/>
    <n v="0"/>
    <n v="0"/>
    <n v="0"/>
    <n v="0"/>
    <n v="0"/>
    <x v="117"/>
  </r>
  <r>
    <s v="1.02.02.25.0801"/>
    <s v="CREDITI PER NOTE DI CREDITO DA RICEVERE"/>
    <n v="0"/>
    <n v="0"/>
    <n v="0"/>
    <n v="0"/>
    <n v="0"/>
    <n v="0"/>
    <n v="0"/>
    <n v="0"/>
    <n v="0"/>
    <n v="0"/>
    <x v="117"/>
  </r>
  <r>
    <s v="1.02.02.25.0802"/>
    <s v="CREDITI V/ FORNITORI PER NOTE DI CREDITO DA RICEVERE"/>
    <n v="0"/>
    <n v="0"/>
    <n v="0"/>
    <n v="0"/>
    <n v="0"/>
    <n v="0"/>
    <n v="0"/>
    <n v="0"/>
    <n v="0"/>
    <n v="0"/>
    <x v="117"/>
  </r>
  <r>
    <s v="1.02.02.25.0803"/>
    <s v="CREDITI PER NOTA CREDITO DA RICEVERE ANNO 2016"/>
    <n v="0"/>
    <n v="0"/>
    <n v="0"/>
    <n v="0"/>
    <n v="0"/>
    <n v="0"/>
    <n v="0"/>
    <n v="0"/>
    <n v="0"/>
    <n v="0"/>
    <x v="117"/>
  </r>
  <r>
    <s v="1.02.02.25.0804"/>
    <s v="CREDITI PER NOTA CREDITO DA RICEVERE ANNO 2017"/>
    <n v="0"/>
    <n v="0"/>
    <n v="0"/>
    <n v="0"/>
    <n v="0"/>
    <n v="0"/>
    <n v="0"/>
    <n v="0"/>
    <n v="0"/>
    <n v="0"/>
    <x v="117"/>
  </r>
  <r>
    <s v="1.02.02.25.0805"/>
    <s v="CREDITI PER NOTA CREDITO DA RICEVERE ANNO 2018"/>
    <n v="0"/>
    <n v="0"/>
    <n v="0"/>
    <n v="0"/>
    <n v="0"/>
    <n v="0"/>
    <n v="0"/>
    <n v="0"/>
    <n v="0"/>
    <n v="0"/>
    <x v="117"/>
  </r>
  <r>
    <s v="1.02.02.25.0901"/>
    <s v="CREDITI FINANZIARI VERSO ALTRI"/>
    <n v="0"/>
    <n v="0"/>
    <n v="0"/>
    <n v="0"/>
    <n v="0"/>
    <n v="0"/>
    <n v="0"/>
    <n v="0"/>
    <n v="0"/>
    <n v="0"/>
    <x v="118"/>
  </r>
  <r>
    <s v="1.02.02.25.0902"/>
    <s v="CREDITI PER ASSICURAZIONI PER FURTO E INCENDI"/>
    <n v="0"/>
    <n v="0"/>
    <n v="0"/>
    <n v="0"/>
    <n v="0"/>
    <n v="0"/>
    <n v="0"/>
    <n v="0"/>
    <n v="0"/>
    <n v="0"/>
    <x v="118"/>
  </r>
  <r>
    <s v="1.02.02.25.0903"/>
    <s v="CREDITI PER ASSICURAZIONI INAIL CONTRO INFORTUNI"/>
    <n v="0"/>
    <n v="0"/>
    <n v="0"/>
    <n v="0"/>
    <n v="0"/>
    <n v="0"/>
    <n v="0"/>
    <n v="0"/>
    <n v="0"/>
    <n v="0"/>
    <x v="118"/>
  </r>
  <r>
    <s v="1.02.02.25.0904"/>
    <s v="CREDITI PER ASSICURAZIONI AUTOMEZZI"/>
    <n v="0"/>
    <n v="0"/>
    <n v="0"/>
    <n v="0"/>
    <n v="0"/>
    <n v="0"/>
    <n v="0"/>
    <n v="0"/>
    <n v="0"/>
    <n v="0"/>
    <x v="118"/>
  </r>
  <r>
    <s v="1.02.02.25.0905"/>
    <s v="ALTRI CREDITI PER ALTRE ASSICURAZIONI"/>
    <n v="0"/>
    <n v="0"/>
    <n v="0"/>
    <n v="0"/>
    <n v="0"/>
    <n v="0"/>
    <n v="0"/>
    <n v="0"/>
    <n v="0"/>
    <n v="0"/>
    <x v="118"/>
  </r>
  <r>
    <s v="1.02.02.25.0906"/>
    <s v="CREDITI V/ ANTICIPI DA ECONOMO"/>
    <n v="0"/>
    <n v="0"/>
    <n v="0"/>
    <n v="0"/>
    <n v="0"/>
    <n v="0"/>
    <n v="0"/>
    <n v="0"/>
    <n v="0"/>
    <n v="0"/>
    <x v="118"/>
  </r>
  <r>
    <s v="1.02.02.25.0907"/>
    <s v="CREDITI V/ TESORIERE PER MANDATI NON A BUON FINE"/>
    <n v="0"/>
    <n v="0"/>
    <n v="0"/>
    <n v="0"/>
    <n v="0"/>
    <n v="0"/>
    <n v="0"/>
    <n v="0"/>
    <n v="0"/>
    <n v="0"/>
    <x v="118"/>
  </r>
  <r>
    <s v="1.02.02.25.0908"/>
    <s v="ALTRI CREDITI DI NATURA DIVERSA"/>
    <n v="0"/>
    <n v="0"/>
    <n v="0"/>
    <n v="0"/>
    <n v="0"/>
    <n v="0"/>
    <n v="0"/>
    <n v="0"/>
    <n v="0"/>
    <n v="0"/>
    <x v="118"/>
  </r>
  <r>
    <s v="1.02.02.25.0909"/>
    <s v="CONTO TRANSITORIO INCASSI DABANCOPOSTA PER CQRC"/>
    <n v="0"/>
    <n v="0"/>
    <n v="0"/>
    <n v="0"/>
    <n v="0"/>
    <n v="0"/>
    <n v="0"/>
    <n v="0"/>
    <n v="0"/>
    <n v="0"/>
    <x v="118"/>
  </r>
  <r>
    <s v="1.02.02.25.0910"/>
    <s v="CREDITI PER ANTICIP. FUNZIONARIO DELEGATO"/>
    <n v="0"/>
    <n v="0"/>
    <n v="0"/>
    <n v="0"/>
    <n v="0"/>
    <n v="0"/>
    <n v="0"/>
    <n v="0"/>
    <n v="0"/>
    <n v="0"/>
    <x v="118"/>
  </r>
  <r>
    <s v="1.02.02.25.0911"/>
    <s v="Note di credito da emettere (diversi)"/>
    <n v="0"/>
    <n v="0"/>
    <n v="0"/>
    <n v="0"/>
    <n v="0"/>
    <n v="0"/>
    <n v="0"/>
    <n v="0"/>
    <n v="0"/>
    <n v="0"/>
    <x v="118"/>
  </r>
  <r>
    <s v="1.02.02.25.1001"/>
    <s v="Crediti per Note credito da emettere"/>
    <n v="0"/>
    <n v="0"/>
    <n v="0"/>
    <n v="0"/>
    <n v="0"/>
    <n v="0"/>
    <n v="0"/>
    <n v="0"/>
    <n v="0"/>
    <n v="0"/>
    <x v="119"/>
  </r>
  <r>
    <s v="1.02.02.25.1002"/>
    <s v="Crediti per Note credito da emettere ANNO 2016"/>
    <n v="0"/>
    <n v="0"/>
    <n v="0"/>
    <n v="0"/>
    <n v="0"/>
    <n v="0"/>
    <n v="0"/>
    <n v="0"/>
    <n v="0"/>
    <n v="0"/>
    <x v="119"/>
  </r>
  <r>
    <s v="1.02.02.25.1003"/>
    <s v="Crediti per Note credito da emettere ANNO 2017"/>
    <n v="0"/>
    <n v="0"/>
    <n v="0"/>
    <n v="0"/>
    <n v="0"/>
    <n v="0"/>
    <n v="0"/>
    <n v="0"/>
    <n v="0"/>
    <n v="0"/>
    <x v="119"/>
  </r>
  <r>
    <s v="1.02.02.25.1004"/>
    <s v="Crediti per Note credito da emettere anno 2018"/>
    <n v="0"/>
    <n v="0"/>
    <n v="0"/>
    <n v="0"/>
    <n v="0"/>
    <n v="0"/>
    <n v="0"/>
    <n v="0"/>
    <n v="0"/>
    <n v="0"/>
    <x v="119"/>
  </r>
  <r>
    <s v="1.02.02.25.1005"/>
    <s v="Crediti per Note credito da emettere ANNO 2020"/>
    <n v="0"/>
    <n v="0"/>
    <n v="0"/>
    <n v="0"/>
    <n v="0"/>
    <n v="0"/>
    <n v="0"/>
    <n v="0"/>
    <n v="0"/>
    <n v="0"/>
    <x v="119"/>
  </r>
  <r>
    <s v="1.02.02.25.1006"/>
    <s v="Crediti per Note credito da emettere ANNO 2021"/>
    <n v="0"/>
    <n v="0"/>
    <n v="0"/>
    <n v="0"/>
    <n v="0"/>
    <n v="0"/>
    <n v="0"/>
    <n v="0"/>
    <n v="0"/>
    <n v="0"/>
    <x v="119"/>
  </r>
  <r>
    <s v="1.02.02.25.1007"/>
    <s v="Crediti per Note credito da emettere anno 2022"/>
    <n v="0"/>
    <n v="0"/>
    <n v="0"/>
    <n v="0"/>
    <n v="0"/>
    <n v="0"/>
    <n v="0"/>
    <n v="0"/>
    <n v="0"/>
    <n v="0"/>
    <x v="119"/>
  </r>
  <r>
    <s v="1.02.02.25.1008"/>
    <s v="Crediti per Note credito da emettere anno 2023"/>
    <n v="0"/>
    <n v="30110.42"/>
    <n v="30110.42"/>
    <n v="36297.07"/>
    <n v="0"/>
    <n v="0"/>
    <n v="0"/>
    <n v="36297.07"/>
    <n v="30110.42"/>
    <n v="6186.65"/>
    <x v="119"/>
  </r>
  <r>
    <s v="1.02.02.25.1009"/>
    <s v="Crediti per Note credito da emettere anno 2024"/>
    <n v="0"/>
    <n v="0"/>
    <n v="0"/>
    <n v="0"/>
    <n v="67569"/>
    <n v="0"/>
    <n v="0"/>
    <n v="0"/>
    <n v="67569"/>
    <n v="-67569"/>
    <x v="119"/>
  </r>
  <r>
    <m/>
    <s v="FONDO SVALUTAZIONE CREDITI"/>
    <n v="0"/>
    <n v="638020.14"/>
    <n v="638020.14"/>
    <n v="0"/>
    <n v="0"/>
    <n v="0"/>
    <n v="0"/>
    <n v="0"/>
    <n v="638020.14"/>
    <n v="-638020.14"/>
    <x v="1"/>
  </r>
  <r>
    <s v="1.02.02.26.0101"/>
    <s v="FONDO SVALUTAZIONE - CREDITI V/CLIENTI PRIVATI"/>
    <n v="0"/>
    <n v="626202.14"/>
    <n v="626202.14"/>
    <n v="0"/>
    <n v="0"/>
    <n v="0"/>
    <n v="0"/>
    <n v="0"/>
    <n v="626202.14"/>
    <n v="-626202.14"/>
    <x v="111"/>
  </r>
  <r>
    <s v="1.02.02.26.0201"/>
    <s v="FONDO SVALUTAZIONE - CREDITI V/GESTIONI LIQUIDATORIE"/>
    <n v="0"/>
    <n v="0"/>
    <n v="0"/>
    <n v="0"/>
    <n v="0"/>
    <n v="0"/>
    <n v="0"/>
    <n v="0"/>
    <n v="0"/>
    <n v="0"/>
    <x v="112"/>
  </r>
  <r>
    <s v="1.02.02.26.0301"/>
    <s v="FONDO SVALUTAZIONE - CREDITI V/ALTRI SOGGETTI PUBBLICI"/>
    <n v="0"/>
    <n v="0"/>
    <n v="0"/>
    <n v="0"/>
    <n v="0"/>
    <n v="0"/>
    <n v="0"/>
    <n v="0"/>
    <n v="0"/>
    <n v="0"/>
    <x v="113"/>
  </r>
  <r>
    <s v="1.02.02.26.0401"/>
    <s v="FONDO SVALUTAZIONE - CREDITI V/ALTRI SOGGETTI PUBBLICI PER RICERCA"/>
    <n v="0"/>
    <n v="0"/>
    <n v="0"/>
    <n v="0"/>
    <n v="0"/>
    <n v="0"/>
    <n v="0"/>
    <n v="0"/>
    <n v="0"/>
    <n v="0"/>
    <x v="114"/>
  </r>
  <r>
    <s v="1.02.02.26.0501"/>
    <s v="FONDO SVALUTAZIONE - ALTRI CREDITI DIVERSI"/>
    <n v="0"/>
    <n v="11818"/>
    <n v="11818"/>
    <n v="0"/>
    <n v="0"/>
    <n v="0"/>
    <n v="0"/>
    <n v="0"/>
    <n v="11818"/>
    <n v="-11818"/>
    <x v="117"/>
  </r>
  <r>
    <s v="1.02.02.26.0601"/>
    <s v="Fondo svalutazione -Altri Crediti verso erogatori (privati accreditati e convenzionati) di prestazioni sanitarie"/>
    <n v="0"/>
    <n v="0"/>
    <n v="0"/>
    <n v="0"/>
    <n v="0"/>
    <n v="0"/>
    <n v="0"/>
    <n v="0"/>
    <n v="0"/>
    <n v="0"/>
    <x v="120"/>
  </r>
  <r>
    <m/>
    <s v="Crediti v/Stato per spesa corrente - FSN indistinto"/>
    <n v="0"/>
    <n v="0"/>
    <n v="0"/>
    <n v="0"/>
    <n v="0"/>
    <n v="0"/>
    <n v="0"/>
    <n v="0"/>
    <n v="0"/>
    <n v="0"/>
    <x v="1"/>
  </r>
  <r>
    <s v="1.02.02.27.0101"/>
    <s v="Crediti v/Stato per spesa corrente - FSN indistinto"/>
    <n v="0"/>
    <n v="0"/>
    <n v="0"/>
    <n v="0"/>
    <n v="0"/>
    <n v="0"/>
    <n v="0"/>
    <n v="0"/>
    <n v="0"/>
    <n v="0"/>
    <x v="121"/>
  </r>
  <r>
    <m/>
    <s v="Crediti v/Stato per spesa corrente per STP (ex D.lgs. 286/98)"/>
    <n v="0"/>
    <n v="0"/>
    <n v="0"/>
    <n v="0"/>
    <n v="0"/>
    <n v="0"/>
    <n v="0"/>
    <n v="0"/>
    <n v="0"/>
    <n v="0"/>
    <x v="1"/>
  </r>
  <r>
    <s v="1.02.02.28.0101"/>
    <s v="Crediti v/Stato per spesa corrente per STP (ex D.lgs. 286/98)"/>
    <n v="0"/>
    <n v="0"/>
    <n v="0"/>
    <n v="0"/>
    <n v="0"/>
    <n v="0"/>
    <n v="0"/>
    <n v="0"/>
    <n v="0"/>
    <n v="0"/>
    <x v="122"/>
  </r>
  <r>
    <m/>
    <s v="Crediti v/Regione o Provincia Autonoma per contributi L. 210/92"/>
    <n v="0"/>
    <n v="0"/>
    <n v="0"/>
    <n v="0"/>
    <n v="0"/>
    <n v="0"/>
    <n v="0"/>
    <n v="0"/>
    <n v="0"/>
    <n v="0"/>
    <x v="1"/>
  </r>
  <r>
    <s v="1.02.02.29.0101"/>
    <s v="Crediti v/Regione o Provincia Autonoma per contributi L. 210/92"/>
    <n v="0"/>
    <n v="0"/>
    <n v="0"/>
    <n v="0"/>
    <n v="0"/>
    <n v="0"/>
    <n v="0"/>
    <n v="0"/>
    <n v="0"/>
    <n v="0"/>
    <x v="123"/>
  </r>
  <r>
    <m/>
    <s v="Crediti v/Regione o Provincia Autonoma per contributi L. 210/92 - aziende sanitarie"/>
    <n v="0"/>
    <n v="0"/>
    <n v="0"/>
    <n v="0"/>
    <n v="0"/>
    <n v="0"/>
    <n v="0"/>
    <n v="0"/>
    <n v="0"/>
    <n v="0"/>
    <x v="1"/>
  </r>
  <r>
    <s v="1.02.02.30.0101"/>
    <s v="Crediti v/Regione o Provincia Autonoma per contributi L. 210/92 - aziende sanitarie"/>
    <n v="0"/>
    <n v="0"/>
    <n v="0"/>
    <n v="0"/>
    <n v="0"/>
    <n v="0"/>
    <n v="0"/>
    <n v="0"/>
    <n v="0"/>
    <n v="0"/>
    <x v="124"/>
  </r>
  <r>
    <m/>
    <s v="Crediti v/Aziende sanitarie pubbliche della Regione per anticipazione ripiano disavanzo programmato dai Piani aziendali di cui all'art. 1, comma 528, L. 208/2015"/>
    <n v="0"/>
    <n v="0"/>
    <n v="0"/>
    <n v="0"/>
    <n v="0"/>
    <n v="0"/>
    <n v="0"/>
    <n v="0"/>
    <n v="0"/>
    <n v="0"/>
    <x v="1"/>
  </r>
  <r>
    <s v="1.02.02.31.0101"/>
    <s v="Crediti v/Aziende sanitarie pubbliche della Regione per anticipazione ripiano disavanzo programmato dai Piani aziendali di cui all'art. 1, comma 528, L. 208/2015"/>
    <n v="0"/>
    <n v="0"/>
    <n v="0"/>
    <n v="0"/>
    <n v="0"/>
    <n v="0"/>
    <n v="0"/>
    <n v="0"/>
    <n v="0"/>
    <n v="0"/>
    <x v="125"/>
  </r>
  <r>
    <m/>
    <s v="Crediti v/Aziende sanitarie pubbliche della Regione - per Contributi da Aziende sanitarie pubbliche della Regione o Prov. Aut. (extra fondo)"/>
    <n v="225000"/>
    <n v="0"/>
    <n v="225000"/>
    <n v="0"/>
    <n v="0"/>
    <n v="0"/>
    <n v="0"/>
    <n v="225000"/>
    <n v="0"/>
    <n v="225000"/>
    <x v="1"/>
  </r>
  <r>
    <s v="1.02.02.32.0101"/>
    <s v="Crediti v/Aziende sanitarie pubbliche della Regione - per Contributi da Aziende sanitarie pubbliche della Regione o Prov. Aut. (extra fondo)"/>
    <n v="0"/>
    <n v="0"/>
    <n v="0"/>
    <n v="0"/>
    <n v="0"/>
    <n v="0"/>
    <n v="0"/>
    <n v="0"/>
    <n v="0"/>
    <n v="0"/>
    <x v="126"/>
  </r>
  <r>
    <s v="1.02.02.32.0102"/>
    <s v="Crediti v/Aziende sanitarie pubbliche della Regione - per Contributi da Aziende sanitarie pubbliche della Regione o Prov. Aut. (extra fondo) progetti di ricerca PNRR"/>
    <n v="225000"/>
    <n v="0"/>
    <n v="225000"/>
    <n v="0"/>
    <n v="0"/>
    <n v="0"/>
    <n v="0"/>
    <n v="225000"/>
    <n v="0"/>
    <n v="225000"/>
    <x v="126"/>
  </r>
  <r>
    <m/>
    <s v="ATTIVITA' FINANZIARIE CHE NON COSTITUISCONO IMMOBILIZZAZIONI"/>
    <n v="0"/>
    <n v="0"/>
    <n v="0"/>
    <n v="0"/>
    <n v="0"/>
    <n v="0"/>
    <n v="0"/>
    <n v="0"/>
    <n v="0"/>
    <n v="0"/>
    <x v="1"/>
  </r>
  <r>
    <m/>
    <s v="PARTECIPAZIONI CHE NON COSTITUISCONO IMMOBILIZZAZIONI"/>
    <n v="0"/>
    <n v="0"/>
    <n v="0"/>
    <n v="0"/>
    <n v="0"/>
    <n v="0"/>
    <n v="0"/>
    <n v="0"/>
    <n v="0"/>
    <n v="0"/>
    <x v="1"/>
  </r>
  <r>
    <s v="1.02.03.01.0101"/>
    <s v="PARTECIPAZIONI IN IMPRESE CONTROLLATE"/>
    <n v="0"/>
    <n v="0"/>
    <n v="0"/>
    <n v="0"/>
    <n v="0"/>
    <n v="0"/>
    <n v="0"/>
    <n v="0"/>
    <n v="0"/>
    <n v="0"/>
    <x v="127"/>
  </r>
  <r>
    <s v="1.02.03.01.0201"/>
    <s v="PARTECIPAZIONI IN IMPRESE COLLEGATE"/>
    <n v="0"/>
    <n v="0"/>
    <n v="0"/>
    <n v="0"/>
    <n v="0"/>
    <n v="0"/>
    <n v="0"/>
    <n v="0"/>
    <n v="0"/>
    <n v="0"/>
    <x v="127"/>
  </r>
  <r>
    <s v="1.02.03.01.9901"/>
    <s v="PARTECIPAZIONI IN ALTRE IMPRESE"/>
    <n v="0"/>
    <n v="0"/>
    <n v="0"/>
    <n v="0"/>
    <n v="0"/>
    <n v="0"/>
    <n v="0"/>
    <n v="0"/>
    <n v="0"/>
    <n v="0"/>
    <x v="127"/>
  </r>
  <r>
    <m/>
    <s v="ALTRI TITOLI CHE NON COSTITUISCONO IMMOBILIZZAZIONI"/>
    <n v="0"/>
    <n v="0"/>
    <n v="0"/>
    <n v="0"/>
    <n v="0"/>
    <n v="0"/>
    <n v="0"/>
    <n v="0"/>
    <n v="0"/>
    <n v="0"/>
    <x v="1"/>
  </r>
  <r>
    <s v="1.02.03.02.0101"/>
    <s v="ALTRI TITOLI CHE NON COSTITUISCONO IMMOBILIZZAZIONI"/>
    <n v="0"/>
    <n v="0"/>
    <n v="0"/>
    <n v="0"/>
    <n v="0"/>
    <n v="0"/>
    <n v="0"/>
    <n v="0"/>
    <n v="0"/>
    <n v="0"/>
    <x v="128"/>
  </r>
  <r>
    <m/>
    <s v="DISPONIBILITA' LIQUIDE"/>
    <n v="4581555.45"/>
    <n v="83156.27"/>
    <n v="4498399.18"/>
    <n v="1078489659.76"/>
    <n v="1078796910.02"/>
    <n v="0"/>
    <n v="0"/>
    <n v="1083071215.21"/>
    <n v="1078880066.29"/>
    <n v="4191148.92"/>
    <x v="1"/>
  </r>
  <r>
    <m/>
    <s v="CASSA"/>
    <n v="101225.07"/>
    <n v="74963.81"/>
    <n v="26261.26"/>
    <n v="5746796.3300000001"/>
    <n v="5750478.6900000004"/>
    <n v="0"/>
    <n v="0"/>
    <n v="5848021.4000000004"/>
    <n v="5825442.5"/>
    <n v="22578.9"/>
    <x v="1"/>
  </r>
  <r>
    <s v="1.02.04.01.0101"/>
    <s v="CASSA CONTANTE"/>
    <n v="443.3"/>
    <n v="0"/>
    <n v="443.3"/>
    <n v="93685.26"/>
    <n v="93798.76"/>
    <n v="0"/>
    <n v="0"/>
    <n v="94128.56"/>
    <n v="93798.76"/>
    <n v="329.8"/>
    <x v="129"/>
  </r>
  <r>
    <s v="1.02.04.01.0102"/>
    <s v="CASSA VALORI BOLLATI"/>
    <n v="0"/>
    <n v="0"/>
    <n v="0"/>
    <n v="896"/>
    <n v="832"/>
    <n v="0"/>
    <n v="0"/>
    <n v="896"/>
    <n v="832"/>
    <n v="64"/>
    <x v="129"/>
  </r>
  <r>
    <s v="1.02.04.01.0103"/>
    <s v="CASSA ASSEGNI"/>
    <n v="0"/>
    <n v="0"/>
    <n v="0"/>
    <n v="0"/>
    <n v="0"/>
    <n v="0"/>
    <n v="0"/>
    <n v="0"/>
    <n v="0"/>
    <n v="0"/>
    <x v="129"/>
  </r>
  <r>
    <s v="1.02.04.01.0104"/>
    <s v="CASSA TICKETS"/>
    <n v="4931.08"/>
    <n v="534.84"/>
    <n v="4396.24"/>
    <n v="1579136.95"/>
    <n v="1583888.47"/>
    <n v="0"/>
    <n v="0"/>
    <n v="1584068.03"/>
    <n v="1584423.31"/>
    <n v="-355.28"/>
    <x v="129"/>
  </r>
  <r>
    <s v="1.02.04.01.0105"/>
    <s v="ENTRATE TICKETS IN ATTESA DI REVERSALE"/>
    <n v="0"/>
    <n v="0"/>
    <n v="0"/>
    <n v="0"/>
    <n v="0"/>
    <n v="0"/>
    <n v="0"/>
    <n v="0"/>
    <n v="0"/>
    <n v="0"/>
    <x v="129"/>
  </r>
  <r>
    <s v="1.02.04.01.0106"/>
    <s v="ENTRATE POS TICKETS"/>
    <n v="0"/>
    <n v="0"/>
    <n v="0"/>
    <n v="0"/>
    <n v="0"/>
    <n v="0"/>
    <n v="0"/>
    <n v="0"/>
    <n v="0"/>
    <n v="0"/>
    <x v="129"/>
  </r>
  <r>
    <s v="1.02.04.01.0107"/>
    <s v="CASSA TICKET LOTTOMATICA"/>
    <n v="434.29"/>
    <n v="434.29"/>
    <n v="0"/>
    <n v="0"/>
    <n v="0"/>
    <n v="0"/>
    <n v="0"/>
    <n v="434.29"/>
    <n v="434.29"/>
    <n v="0"/>
    <x v="129"/>
  </r>
  <r>
    <s v="1.02.04.01.0108"/>
    <s v="TICKET LOTTOMATICA IN ATTESA REVERSALE"/>
    <n v="0"/>
    <n v="0"/>
    <n v="0"/>
    <n v="0"/>
    <n v="0"/>
    <n v="0"/>
    <n v="0"/>
    <n v="0"/>
    <n v="0"/>
    <n v="0"/>
    <x v="129"/>
  </r>
  <r>
    <s v="1.02.04.01.0201"/>
    <s v="CASSA ECONOMALE C/C POSTALE"/>
    <n v="0"/>
    <n v="0"/>
    <n v="0"/>
    <n v="0"/>
    <n v="0"/>
    <n v="0"/>
    <n v="0"/>
    <n v="0"/>
    <n v="0"/>
    <n v="0"/>
    <x v="129"/>
  </r>
  <r>
    <s v="1.02.04.01.0202"/>
    <s v="CASSA ECONOMALE C/C"/>
    <n v="75500"/>
    <n v="73994.679999999993"/>
    <n v="1505.32"/>
    <n v="21000"/>
    <n v="21794.19"/>
    <n v="0"/>
    <n v="0"/>
    <n v="96500"/>
    <n v="95788.87"/>
    <n v="711.13"/>
    <x v="129"/>
  </r>
  <r>
    <s v="1.02.04.01.0203"/>
    <s v="CASSA ECONOMALE"/>
    <n v="50.15"/>
    <n v="0"/>
    <n v="50.15"/>
    <n v="17951.77"/>
    <n v="18001.919999999998"/>
    <n v="0"/>
    <n v="0"/>
    <n v="18001.919999999998"/>
    <n v="18001.919999999998"/>
    <n v="0"/>
    <x v="129"/>
  </r>
  <r>
    <s v="1.02.04.01.0204"/>
    <s v="CASSA ECONOMO PUBBLICAZIONI"/>
    <n v="0"/>
    <n v="0"/>
    <n v="0"/>
    <n v="0"/>
    <n v="0"/>
    <n v="0"/>
    <n v="0"/>
    <n v="0"/>
    <n v="0"/>
    <n v="0"/>
    <x v="129"/>
  </r>
  <r>
    <s v="1.02.04.01.0205"/>
    <s v="CARTA PREPAGATA BNL"/>
    <n v="0"/>
    <n v="0"/>
    <n v="0"/>
    <n v="0"/>
    <n v="0"/>
    <n v="0"/>
    <n v="0"/>
    <n v="0"/>
    <n v="0"/>
    <n v="0"/>
    <x v="129"/>
  </r>
  <r>
    <s v="1.02.04.01.0206"/>
    <s v="CASSA PUBBLICAZIONI CONTANTI"/>
    <n v="0"/>
    <n v="0"/>
    <n v="0"/>
    <n v="0"/>
    <n v="0"/>
    <n v="0"/>
    <n v="0"/>
    <n v="0"/>
    <n v="0"/>
    <n v="0"/>
    <x v="129"/>
  </r>
  <r>
    <s v="1.02.04.01.0207"/>
    <s v="CASSA IN GESTIONE CRT"/>
    <n v="0"/>
    <n v="0"/>
    <n v="0"/>
    <n v="0"/>
    <n v="0"/>
    <n v="0"/>
    <n v="0"/>
    <n v="0"/>
    <n v="0"/>
    <n v="0"/>
    <x v="129"/>
  </r>
  <r>
    <s v="1.02.04.01.0208"/>
    <s v="CASSA AFFRANCATRICE VALORI BOLLATI"/>
    <n v="16859.13"/>
    <n v="0"/>
    <n v="16859.13"/>
    <n v="0"/>
    <n v="0"/>
    <n v="0"/>
    <n v="0"/>
    <n v="16859.13"/>
    <n v="0"/>
    <n v="16859.13"/>
    <x v="129"/>
  </r>
  <r>
    <s v="1.02.04.01.0209"/>
    <s v="CASSA ECONOMO ECM C/CORRENTE"/>
    <n v="0"/>
    <n v="0"/>
    <n v="0"/>
    <n v="0"/>
    <n v="0"/>
    <n v="0"/>
    <n v="0"/>
    <n v="0"/>
    <n v="0"/>
    <n v="0"/>
    <x v="129"/>
  </r>
  <r>
    <s v="1.02.04.01.0210"/>
    <s v="CASSA ECONOMO ECM CONTANTE"/>
    <n v="0"/>
    <n v="0"/>
    <n v="0"/>
    <n v="0"/>
    <n v="0"/>
    <n v="0"/>
    <n v="0"/>
    <n v="0"/>
    <n v="0"/>
    <n v="0"/>
    <x v="129"/>
  </r>
  <r>
    <s v="1.02.04.01.0301"/>
    <s v="CASSA ALPI"/>
    <n v="3007.12"/>
    <n v="0"/>
    <n v="3007.12"/>
    <n v="4034126.35"/>
    <n v="4032163.35"/>
    <n v="0"/>
    <n v="0"/>
    <n v="4037133.47"/>
    <n v="4032163.35"/>
    <n v="4970.12"/>
    <x v="129"/>
  </r>
  <r>
    <s v="1.02.04.01.0302"/>
    <s v="CASSA ALPI P.O. CIVICO &quot;ASSEGNI&quot;"/>
    <n v="0"/>
    <n v="0"/>
    <n v="0"/>
    <n v="0"/>
    <n v="0"/>
    <n v="0"/>
    <n v="0"/>
    <n v="0"/>
    <n v="0"/>
    <n v="0"/>
    <x v="129"/>
  </r>
  <r>
    <s v="1.02.04.01.0303"/>
    <s v="CASSA ALPI P.O. CIVICO &quot;BANCOMAT&quot;"/>
    <n v="0"/>
    <n v="0"/>
    <n v="0"/>
    <n v="0"/>
    <n v="0"/>
    <n v="0"/>
    <n v="0"/>
    <n v="0"/>
    <n v="0"/>
    <n v="0"/>
    <x v="129"/>
  </r>
  <r>
    <m/>
    <s v="ISTITUTO TESORIERE"/>
    <n v="4446331.05"/>
    <n v="0"/>
    <n v="4446331.05"/>
    <n v="1072708865.23"/>
    <n v="1072992597.41"/>
    <n v="0"/>
    <n v="0"/>
    <n v="1077155196.28"/>
    <n v="1072992597.41"/>
    <n v="4162598.87"/>
    <x v="1"/>
  </r>
  <r>
    <s v="1.02.04.02.0101"/>
    <s v="CREDITI V/ ISTITUTO TESORIERE PER INTERESSI MATURATI SU C/C"/>
    <n v="0"/>
    <n v="0"/>
    <n v="0"/>
    <n v="0"/>
    <n v="0"/>
    <n v="0"/>
    <n v="0"/>
    <n v="0"/>
    <n v="0"/>
    <n v="0"/>
    <x v="130"/>
  </r>
  <r>
    <s v="1.02.04.02.0102"/>
    <s v="CREDITI PER INTERESSI V/ ISTITUTOTESORIERE"/>
    <n v="4447.38"/>
    <n v="0"/>
    <n v="4447.38"/>
    <n v="0"/>
    <n v="0"/>
    <n v="0"/>
    <n v="0"/>
    <n v="4447.38"/>
    <n v="0"/>
    <n v="4447.38"/>
    <x v="130"/>
  </r>
  <r>
    <s v="1.02.04.02.0103"/>
    <s v="CREDITI V/ ALTRE BANCHE"/>
    <n v="0"/>
    <n v="0"/>
    <n v="0"/>
    <n v="0"/>
    <n v="0"/>
    <n v="0"/>
    <n v="0"/>
    <n v="0"/>
    <n v="0"/>
    <n v="0"/>
    <x v="130"/>
  </r>
  <r>
    <s v="1.02.04.02.0104"/>
    <s v="ISTITUTO TESORIERE"/>
    <n v="4318460.78"/>
    <n v="0"/>
    <n v="4318460.78"/>
    <n v="731400688.58000004"/>
    <n v="731684420.75999999"/>
    <n v="0"/>
    <n v="0"/>
    <n v="735719149.36000001"/>
    <n v="731684420.75999999"/>
    <n v="4034728.6"/>
    <x v="130"/>
  </r>
  <r>
    <s v="1.02.04.02.0105"/>
    <s v="DEPOSITO BANCARIO C/C PARTE CORRENTE"/>
    <n v="123422.89"/>
    <n v="0"/>
    <n v="123422.89"/>
    <n v="34510.769999999997"/>
    <n v="34510.769999999997"/>
    <n v="0"/>
    <n v="0"/>
    <n v="157933.66"/>
    <n v="34510.769999999997"/>
    <n v="123422.89"/>
    <x v="130"/>
  </r>
  <r>
    <s v="1.02.04.02.0106"/>
    <s v="DEPOSITO BANCARIO C/C CONTO CAPITALE"/>
    <n v="0"/>
    <n v="0"/>
    <n v="0"/>
    <n v="0"/>
    <n v="0"/>
    <n v="0"/>
    <n v="0"/>
    <n v="0"/>
    <n v="0"/>
    <n v="0"/>
    <x v="130"/>
  </r>
  <r>
    <s v="1.02.04.02.0107"/>
    <s v="DEPOSITO PER PIGNORAMENTI C/O LA CASSA REGIONALE"/>
    <n v="0"/>
    <n v="0"/>
    <n v="0"/>
    <n v="0"/>
    <n v="0"/>
    <n v="0"/>
    <n v="0"/>
    <n v="0"/>
    <n v="0"/>
    <n v="0"/>
    <x v="130"/>
  </r>
  <r>
    <s v="1.02.04.02.0108"/>
    <s v="CREDITO V/TES.PER ANTICIPAZIONE"/>
    <n v="0"/>
    <n v="0"/>
    <n v="0"/>
    <n v="341273665.88"/>
    <n v="341273665.88"/>
    <n v="0"/>
    <n v="0"/>
    <n v="341273665.88"/>
    <n v="341273665.88"/>
    <n v="0"/>
    <x v="130"/>
  </r>
  <r>
    <m/>
    <s v="TESORERIA UNICA"/>
    <n v="0"/>
    <n v="0"/>
    <n v="0"/>
    <n v="0"/>
    <n v="0"/>
    <n v="0"/>
    <n v="0"/>
    <n v="0"/>
    <n v="0"/>
    <n v="0"/>
    <x v="1"/>
  </r>
  <r>
    <s v="1.02.04.03.0101"/>
    <s v="TESORERIA UNICA"/>
    <n v="0"/>
    <n v="0"/>
    <n v="0"/>
    <n v="0"/>
    <n v="0"/>
    <n v="0"/>
    <n v="0"/>
    <n v="0"/>
    <n v="0"/>
    <n v="0"/>
    <x v="131"/>
  </r>
  <r>
    <m/>
    <s v="CONTO CORRENTE POSTALE"/>
    <n v="33999.33"/>
    <n v="8192.4599999999991"/>
    <n v="25806.87"/>
    <n v="33998.199999999997"/>
    <n v="53833.919999999998"/>
    <n v="0"/>
    <n v="0"/>
    <n v="67997.53"/>
    <n v="62026.38"/>
    <n v="5971.15"/>
    <x v="1"/>
  </r>
  <r>
    <s v="1.02.04.04.0101"/>
    <s v="CONTI CORRENTI POSTALI"/>
    <n v="33999.33"/>
    <n v="8192.4599999999991"/>
    <n v="25806.87"/>
    <n v="33998.199999999997"/>
    <n v="53833.919999999998"/>
    <n v="0"/>
    <n v="0"/>
    <n v="67997.53"/>
    <n v="62026.38"/>
    <n v="5971.15"/>
    <x v="132"/>
  </r>
  <r>
    <m/>
    <s v="RATEI E RISCONTI ATTIVI"/>
    <n v="0"/>
    <n v="0"/>
    <n v="0"/>
    <n v="0"/>
    <n v="0"/>
    <n v="0"/>
    <n v="0"/>
    <n v="0"/>
    <n v="0"/>
    <n v="0"/>
    <x v="1"/>
  </r>
  <r>
    <m/>
    <s v="RATEI ATTIVI"/>
    <n v="0"/>
    <n v="0"/>
    <n v="0"/>
    <n v="0"/>
    <n v="0"/>
    <n v="0"/>
    <n v="0"/>
    <n v="0"/>
    <n v="0"/>
    <n v="0"/>
    <x v="1"/>
  </r>
  <r>
    <m/>
    <s v="RATEI ATTIVI"/>
    <n v="0"/>
    <n v="0"/>
    <n v="0"/>
    <n v="0"/>
    <n v="0"/>
    <n v="0"/>
    <n v="0"/>
    <n v="0"/>
    <n v="0"/>
    <n v="0"/>
    <x v="1"/>
  </r>
  <r>
    <s v="1.03.01.01.0101"/>
    <s v="RATEI ATTIVI"/>
    <n v="0"/>
    <n v="0"/>
    <n v="0"/>
    <n v="0"/>
    <n v="0"/>
    <n v="0"/>
    <n v="0"/>
    <n v="0"/>
    <n v="0"/>
    <n v="0"/>
    <x v="133"/>
  </r>
  <r>
    <s v="1.03.01.01.0103"/>
    <s v="RATEI ATTIVI PER AFFITTI ATTIVI"/>
    <n v="0"/>
    <n v="0"/>
    <n v="0"/>
    <n v="0"/>
    <n v="0"/>
    <n v="0"/>
    <n v="0"/>
    <n v="0"/>
    <n v="0"/>
    <n v="0"/>
    <x v="133"/>
  </r>
  <r>
    <s v="1.03.01.01.0104"/>
    <s v="RATEI ATTIVI PER INTERESSI ATTIVI"/>
    <n v="0"/>
    <n v="0"/>
    <n v="0"/>
    <n v="0"/>
    <n v="0"/>
    <n v="0"/>
    <n v="0"/>
    <n v="0"/>
    <n v="0"/>
    <n v="0"/>
    <x v="133"/>
  </r>
  <r>
    <s v="1.03.01.01.0105"/>
    <s v="RATEI ATTIVI SU CEDOLE E TITOLI"/>
    <n v="0"/>
    <n v="0"/>
    <n v="0"/>
    <n v="0"/>
    <n v="0"/>
    <n v="0"/>
    <n v="0"/>
    <n v="0"/>
    <n v="0"/>
    <n v="0"/>
    <x v="133"/>
  </r>
  <r>
    <s v="1.03.01.01.0106"/>
    <s v="ALTRI RATEI ATTIVI"/>
    <n v="0"/>
    <n v="0"/>
    <n v="0"/>
    <n v="0"/>
    <n v="0"/>
    <n v="0"/>
    <n v="0"/>
    <n v="0"/>
    <n v="0"/>
    <n v="0"/>
    <x v="133"/>
  </r>
  <r>
    <m/>
    <s v="RATEI ATTIVI V/AZIENDE SANITARIE PUBBLICHE DELLA REGIONE"/>
    <n v="0"/>
    <n v="0"/>
    <n v="0"/>
    <n v="0"/>
    <n v="0"/>
    <n v="0"/>
    <n v="0"/>
    <n v="0"/>
    <n v="0"/>
    <n v="0"/>
    <x v="1"/>
  </r>
  <r>
    <s v="1.03.01.02.0101"/>
    <s v="RATEI ATTIVI PER DEGENZE IN CORSO FUORI REGIONE"/>
    <n v="0"/>
    <n v="0"/>
    <n v="0"/>
    <n v="0"/>
    <n v="0"/>
    <n v="0"/>
    <n v="0"/>
    <n v="0"/>
    <n v="0"/>
    <n v="0"/>
    <x v="134"/>
  </r>
  <r>
    <s v="1.03.01.02.0102"/>
    <s v="RATEI ATTIVI PER DEGENZE IN CORSO V/ ASL-AO DELLA REGIONE"/>
    <n v="0"/>
    <n v="0"/>
    <n v="0"/>
    <n v="0"/>
    <n v="0"/>
    <n v="0"/>
    <n v="0"/>
    <n v="0"/>
    <n v="0"/>
    <n v="0"/>
    <x v="134"/>
  </r>
  <r>
    <s v="1.03.01.02.0103"/>
    <s v="RATEI ATTIVI V/ASL-AO DELLA REGIONE"/>
    <n v="0"/>
    <n v="0"/>
    <n v="0"/>
    <n v="0"/>
    <n v="0"/>
    <n v="0"/>
    <n v="0"/>
    <n v="0"/>
    <n v="0"/>
    <n v="0"/>
    <x v="134"/>
  </r>
  <r>
    <m/>
    <s v="RISCONTI ATTIVI"/>
    <n v="0"/>
    <n v="0"/>
    <n v="0"/>
    <n v="0"/>
    <n v="0"/>
    <n v="0"/>
    <n v="0"/>
    <n v="0"/>
    <n v="0"/>
    <n v="0"/>
    <x v="1"/>
  </r>
  <r>
    <m/>
    <s v="RISCONTI ATTIVI"/>
    <n v="0"/>
    <n v="0"/>
    <n v="0"/>
    <n v="0"/>
    <n v="0"/>
    <n v="0"/>
    <n v="0"/>
    <n v="0"/>
    <n v="0"/>
    <n v="0"/>
    <x v="1"/>
  </r>
  <r>
    <s v="1.03.02.01.0101"/>
    <s v="RISCONTI ATTIVI PER AFFITTI PASSIVI"/>
    <n v="0"/>
    <n v="0"/>
    <n v="0"/>
    <n v="0"/>
    <n v="0"/>
    <n v="0"/>
    <n v="0"/>
    <n v="0"/>
    <n v="0"/>
    <n v="0"/>
    <x v="135"/>
  </r>
  <r>
    <s v="1.03.02.01.0102"/>
    <s v="RISCONTI ATTIVI PER ASSICURAZIONI"/>
    <n v="0"/>
    <n v="0"/>
    <n v="0"/>
    <n v="0"/>
    <n v="0"/>
    <n v="0"/>
    <n v="0"/>
    <n v="0"/>
    <n v="0"/>
    <n v="0"/>
    <x v="135"/>
  </r>
  <r>
    <s v="1.03.02.01.0103"/>
    <s v="RISCONTI ATTIVI PER CANONI DI LEASING"/>
    <n v="0"/>
    <n v="0"/>
    <n v="0"/>
    <n v="0"/>
    <n v="0"/>
    <n v="0"/>
    <n v="0"/>
    <n v="0"/>
    <n v="0"/>
    <n v="0"/>
    <x v="135"/>
  </r>
  <r>
    <s v="1.03.02.01.0104"/>
    <s v="RISCONTI ATTIVI PER NOLEGGI"/>
    <n v="0"/>
    <n v="0"/>
    <n v="0"/>
    <n v="0"/>
    <n v="0"/>
    <n v="0"/>
    <n v="0"/>
    <n v="0"/>
    <n v="0"/>
    <n v="0"/>
    <x v="135"/>
  </r>
  <r>
    <s v="1.03.02.01.0105"/>
    <s v="ALTRI RISCONTI ATTIVI"/>
    <n v="0"/>
    <n v="0"/>
    <n v="0"/>
    <n v="0"/>
    <n v="0"/>
    <n v="0"/>
    <n v="0"/>
    <n v="0"/>
    <n v="0"/>
    <n v="0"/>
    <x v="135"/>
  </r>
  <r>
    <m/>
    <s v="RISCONTI ATTIVI V/AZIENDE SANITARIE PUBBLICHE DELLA REGIONE"/>
    <n v="0"/>
    <n v="0"/>
    <n v="0"/>
    <n v="0"/>
    <n v="0"/>
    <n v="0"/>
    <n v="0"/>
    <n v="0"/>
    <n v="0"/>
    <n v="0"/>
    <x v="1"/>
  </r>
  <r>
    <s v="1.03.02.02.0101"/>
    <s v="RISCONTI ATTIVI V/ASL- DELLA REGIONE"/>
    <n v="0"/>
    <n v="0"/>
    <n v="0"/>
    <n v="0"/>
    <n v="0"/>
    <n v="0"/>
    <n v="0"/>
    <n v="0"/>
    <n v="0"/>
    <n v="0"/>
    <x v="136"/>
  </r>
  <r>
    <s v="1.03.02.02.0102"/>
    <s v="RISCONTI ATTIVI V/AO DELLA REGIONE"/>
    <n v="0"/>
    <n v="0"/>
    <n v="0"/>
    <n v="0"/>
    <n v="0"/>
    <n v="0"/>
    <n v="0"/>
    <n v="0"/>
    <n v="0"/>
    <n v="0"/>
    <x v="136"/>
  </r>
  <r>
    <s v="1.03.02.02.0103"/>
    <s v="RISCONTI ATTIVI V/IRCS E FONDAZIONI DELLA REGIONE"/>
    <n v="0"/>
    <n v="0"/>
    <n v="0"/>
    <n v="0"/>
    <n v="0"/>
    <n v="0"/>
    <n v="0"/>
    <n v="0"/>
    <n v="0"/>
    <n v="0"/>
    <x v="136"/>
  </r>
  <r>
    <s v="1.03.02.02.0104"/>
    <s v="RISCONTI ATTIVI V/SPERIMENTAZIONI GESTIONALI"/>
    <n v="0"/>
    <n v="0"/>
    <n v="0"/>
    <n v="0"/>
    <n v="0"/>
    <n v="0"/>
    <n v="0"/>
    <n v="0"/>
    <n v="0"/>
    <n v="0"/>
    <x v="136"/>
  </r>
  <r>
    <m/>
    <s v="PASSIVO"/>
    <n v="298060084.31"/>
    <n v="298060084.31"/>
    <n v="0"/>
    <n v="0"/>
    <n v="0"/>
    <n v="0"/>
    <n v="0"/>
    <n v="298060084.31"/>
    <n v="298060084.31"/>
    <n v="0"/>
    <x v="1"/>
  </r>
  <r>
    <m/>
    <s v="PATRIMONIO NETTO"/>
    <n v="298060084.31"/>
    <n v="298060084.31"/>
    <n v="0"/>
    <n v="0"/>
    <n v="0"/>
    <n v="0"/>
    <n v="0"/>
    <n v="298060084.31"/>
    <n v="298060084.31"/>
    <n v="0"/>
    <x v="1"/>
  </r>
  <r>
    <m/>
    <s v="UTILI (PERDITE) PORTATI A NUOVO"/>
    <n v="298060084.31"/>
    <n v="298060084.31"/>
    <n v="0"/>
    <n v="0"/>
    <n v="0"/>
    <n v="0"/>
    <n v="0"/>
    <n v="298060084.31"/>
    <n v="298060084.31"/>
    <n v="0"/>
    <x v="1"/>
  </r>
  <r>
    <m/>
    <s v="UTILI (PERDITE) PORTATI A NUOVO"/>
    <n v="298060084.31"/>
    <n v="298060084.31"/>
    <n v="0"/>
    <n v="0"/>
    <n v="0"/>
    <n v="0"/>
    <n v="0"/>
    <n v="298060084.31"/>
    <n v="298060084.31"/>
    <n v="0"/>
    <x v="1"/>
  </r>
  <r>
    <s v="0.00.00.00.0001"/>
    <s v="BILANCIO DI CHIUSURA"/>
    <n v="0"/>
    <n v="0"/>
    <n v="0"/>
    <n v="0"/>
    <n v="0"/>
    <n v="0"/>
    <n v="0"/>
    <n v="0"/>
    <n v="0"/>
    <n v="0"/>
    <x v="1"/>
  </r>
  <r>
    <s v="0.00.00.00.0002"/>
    <s v="BILANCIO DI APERTURA"/>
    <n v="298060084.31"/>
    <n v="298060084.31"/>
    <n v="0"/>
    <n v="0"/>
    <n v="0"/>
    <n v="0"/>
    <n v="0"/>
    <n v="298060084.31"/>
    <n v="298060084.31"/>
    <n v="0"/>
    <x v="1"/>
  </r>
  <r>
    <m/>
    <s v="PASSIVO"/>
    <n v="3724962.04"/>
    <n v="301855330.14999998"/>
    <n v="298130368.11000001"/>
    <n v="2827935091.3400002"/>
    <n v="2833976027.9000001"/>
    <n v="0"/>
    <n v="0"/>
    <n v="2831660053.3800001"/>
    <n v="3135831358.0500002"/>
    <n v="-304171304.67000002"/>
    <x v="1"/>
  </r>
  <r>
    <m/>
    <s v="PATRIMONIO NETTO"/>
    <n v="1248824.07"/>
    <n v="138860756.53"/>
    <n v="137611932.46000001"/>
    <n v="12502922.880000001"/>
    <n v="12536288.550000001"/>
    <n v="0"/>
    <n v="0"/>
    <n v="13751746.949999999"/>
    <n v="151397045.08000001"/>
    <n v="-137645298.13"/>
    <x v="1"/>
  </r>
  <r>
    <m/>
    <s v="FONDO DI DOTAZIONE"/>
    <n v="789593.01"/>
    <n v="11611134.52"/>
    <n v="10821541.51"/>
    <n v="0"/>
    <n v="0"/>
    <n v="0"/>
    <n v="0"/>
    <n v="789593.01"/>
    <n v="11611134.52"/>
    <n v="-10821541.51"/>
    <x v="1"/>
  </r>
  <r>
    <m/>
    <s v="FONDO DI DOTAZIONE"/>
    <n v="789593.01"/>
    <n v="11611134.52"/>
    <n v="10821541.51"/>
    <n v="0"/>
    <n v="0"/>
    <n v="0"/>
    <n v="0"/>
    <n v="789593.01"/>
    <n v="11611134.52"/>
    <n v="-10821541.51"/>
    <x v="1"/>
  </r>
  <r>
    <s v="2.01.01.01.0101"/>
    <s v="FONDO DI DOTAZIONE INIZIALE"/>
    <n v="0"/>
    <n v="11611134.52"/>
    <n v="11611134.52"/>
    <n v="0"/>
    <n v="0"/>
    <n v="0"/>
    <n v="0"/>
    <n v="0"/>
    <n v="11611134.52"/>
    <n v="-11611134.52"/>
    <x v="1"/>
  </r>
  <r>
    <s v="2.01.01.01.0102"/>
    <s v="VARIAZIONE AL FONDO DI DOTAZIONE"/>
    <n v="789593.01"/>
    <n v="0"/>
    <n v="789593.01"/>
    <n v="0"/>
    <n v="0"/>
    <n v="0"/>
    <n v="0"/>
    <n v="789593.01"/>
    <n v="0"/>
    <n v="789593.01"/>
    <x v="1"/>
  </r>
  <r>
    <m/>
    <s v="FINANZIAMENTI PER INVESTIMENTI"/>
    <n v="0.42"/>
    <n v="108121027.91"/>
    <n v="108121027.48999999"/>
    <n v="12151216.300000001"/>
    <n v="12458804.189999999"/>
    <n v="0"/>
    <n v="0"/>
    <n v="12151216.720000001"/>
    <n v="120579832.09999999"/>
    <n v="-108428615.38"/>
    <x v="1"/>
  </r>
  <r>
    <m/>
    <s v="FINANZIAMENTI PER BENI DI PRIMA DOTAZIONE"/>
    <n v="0"/>
    <n v="0"/>
    <n v="0"/>
    <n v="0"/>
    <n v="0"/>
    <n v="0"/>
    <n v="0"/>
    <n v="0"/>
    <n v="0"/>
    <n v="0"/>
    <x v="1"/>
  </r>
  <r>
    <s v="2.01.02.01.0101"/>
    <s v="Finanziamenti per beni di prima dotazione"/>
    <n v="0"/>
    <n v="0"/>
    <n v="0"/>
    <n v="0"/>
    <n v="0"/>
    <n v="0"/>
    <n v="0"/>
    <n v="0"/>
    <n v="0"/>
    <n v="0"/>
    <x v="137"/>
  </r>
  <r>
    <m/>
    <s v="FINANZIAMENTI DA STATO PER INVESTIMENTI - EX ART. 20 LEGGE 67/88"/>
    <n v="0"/>
    <n v="129454.79"/>
    <n v="129454.79"/>
    <n v="0"/>
    <n v="0"/>
    <n v="0"/>
    <n v="0"/>
    <n v="0"/>
    <n v="129454.79"/>
    <n v="-129454.79"/>
    <x v="1"/>
  </r>
  <r>
    <s v="2.01.02.02.0101"/>
    <s v="CONTRIBUTI IN C/C PER LA RISTRUTTURAZIONE DI IMMOBILI D.H. X AIDS -2003"/>
    <n v="0"/>
    <n v="129454.79"/>
    <n v="129454.79"/>
    <n v="0"/>
    <n v="0"/>
    <n v="0"/>
    <n v="0"/>
    <n v="0"/>
    <n v="129454.79"/>
    <n v="-129454.79"/>
    <x v="138"/>
  </r>
  <r>
    <s v="2.01.02.02.0102"/>
    <s v="CONTRIBUTI IN C/C PER PROGETTI FINALIZZATI-ALTRI ENTI-2003 - MIUR"/>
    <n v="0"/>
    <n v="0"/>
    <n v="0"/>
    <n v="0"/>
    <n v="0"/>
    <n v="0"/>
    <n v="0"/>
    <n v="0"/>
    <n v="0"/>
    <n v="0"/>
    <x v="138"/>
  </r>
  <r>
    <s v="2.01.02.02.0103"/>
    <s v="Finanziamenti da Stato per investimenti - ex art. 20 legge 67/88"/>
    <n v="0"/>
    <n v="0"/>
    <n v="0"/>
    <n v="0"/>
    <n v="0"/>
    <n v="0"/>
    <n v="0"/>
    <n v="0"/>
    <n v="0"/>
    <n v="0"/>
    <x v="138"/>
  </r>
  <r>
    <m/>
    <s v="FINANZIAMENTI DA STATO PER INVESTIMENTI - RICERCA"/>
    <n v="0"/>
    <n v="0"/>
    <n v="0"/>
    <n v="0"/>
    <n v="0"/>
    <n v="0"/>
    <n v="0"/>
    <n v="0"/>
    <n v="0"/>
    <n v="0"/>
    <x v="1"/>
  </r>
  <r>
    <s v="2.01.02.03.0101"/>
    <s v="FINANZIAMENTI DA STATO PER INVESTIMENTI - RICERCA"/>
    <n v="0"/>
    <n v="0"/>
    <n v="0"/>
    <n v="0"/>
    <n v="0"/>
    <n v="0"/>
    <n v="0"/>
    <n v="0"/>
    <n v="0"/>
    <n v="0"/>
    <x v="139"/>
  </r>
  <r>
    <m/>
    <s v="FINANZIAMENTI DA STATO PER INVESTIMENTI - ALTRO"/>
    <n v="0"/>
    <n v="30193095.309999999"/>
    <n v="30193095.309999999"/>
    <n v="5444592.8899999997"/>
    <n v="0"/>
    <n v="0"/>
    <n v="0"/>
    <n v="5444592.8899999997"/>
    <n v="30193095.309999999"/>
    <n v="-24748502.420000002"/>
    <x v="1"/>
  </r>
  <r>
    <s v="2.01.02.04.0101"/>
    <s v="FINANZIAMENTI DA STATO PER INVESTIMENTI - ALTRO"/>
    <n v="0"/>
    <n v="48018.38"/>
    <n v="48018.38"/>
    <n v="0"/>
    <n v="0"/>
    <n v="0"/>
    <n v="0"/>
    <n v="0"/>
    <n v="48018.38"/>
    <n v="-48018.38"/>
    <x v="140"/>
  </r>
  <r>
    <s v="2.01.02.04.0102"/>
    <s v="CONTRIBUTO DA STATO X FINANZIAMENTI IN C/CAPITALE EX ART.71 L.448/98 REALIZZAZIONE RETE FOGNARIA (D.D.G. N. 2153/2018)"/>
    <n v="0"/>
    <n v="3192000"/>
    <n v="3192000"/>
    <n v="0"/>
    <n v="0"/>
    <n v="0"/>
    <n v="0"/>
    <n v="0"/>
    <n v="3192000"/>
    <n v="-3192000"/>
    <x v="140"/>
  </r>
  <r>
    <s v="2.01.02.04.0103"/>
    <s v="CONTRIBUTO DA STATO X FINANZIAMENTI IN C/CAPITALE SOVRACUP  PER RIDUZIONE LISTA DI ATTESA"/>
    <n v="0"/>
    <n v="1000000"/>
    <n v="1000000"/>
    <n v="0"/>
    <n v="0"/>
    <n v="0"/>
    <n v="0"/>
    <n v="0"/>
    <n v="1000000"/>
    <n v="-1000000"/>
    <x v="140"/>
  </r>
  <r>
    <s v="2.01.02.04.9501"/>
    <s v="CONTRIBUTO DA STATO X FINANZIAMENTI IN C/CAPITALE PNRR MISSIONE 6 C2 - 1.1.1 DIGITALIZZAZIONE DEA I E II LIVELLO"/>
    <n v="0"/>
    <n v="8556631.9399999995"/>
    <n v="8556631.9399999995"/>
    <n v="5317440.93"/>
    <n v="0"/>
    <n v="0"/>
    <n v="0"/>
    <n v="5317440.93"/>
    <n v="8556631.9399999995"/>
    <n v="-3239191.01"/>
    <x v="140"/>
  </r>
  <r>
    <s v="2.01.02.04.9601"/>
    <s v="CONTRIBUTO DA STATO X FINANZIAMENTI IN C/CAPITALE PNRR MISSIONE 6 C2 - 1.1.2 GRANDI APPARECCHIATURE"/>
    <n v="0"/>
    <n v="2800000"/>
    <n v="2800000"/>
    <n v="125837.99"/>
    <n v="0"/>
    <n v="0"/>
    <n v="0"/>
    <n v="125837.99"/>
    <n v="2800000"/>
    <n v="-2674162.0099999998"/>
    <x v="140"/>
  </r>
  <r>
    <s v="2.01.02.04.9602"/>
    <s v="CONTRIBUTO DA STATO X FINANZIAMENTI IN C/CAPITALE PNRR MISSIONE 6 C2 - 1.1.2  PER LAVORI GRANDI APPARECCHIATURE"/>
    <n v="0"/>
    <n v="0"/>
    <n v="0"/>
    <n v="1313.97"/>
    <n v="0"/>
    <n v="0"/>
    <n v="0"/>
    <n v="1313.97"/>
    <n v="0"/>
    <n v="1313.97"/>
    <x v="140"/>
  </r>
  <r>
    <s v="2.01.02.04.9701"/>
    <s v="CONTRIBUTO DA STATO X FINANZIAMENTI IN C/CAPITALE PNRR  MISSIONE 6 C2 - 1.2.1 OSPEDALI SICURI E SOSTENIBILI"/>
    <n v="0"/>
    <n v="11219760.4"/>
    <n v="11219760.4"/>
    <n v="0"/>
    <n v="0"/>
    <n v="0"/>
    <n v="0"/>
    <n v="0"/>
    <n v="11219760.4"/>
    <n v="-11219760.4"/>
    <x v="140"/>
  </r>
  <r>
    <s v="2.01.02.04.9801"/>
    <s v="CONTRIBUTO DA STATO X FINANZIAMENTI IN C/CAPITALE PNC - MISSIONE 6 C2 - 1.2.1 OSPEDALI SICURI E SOSTENIBILI"/>
    <n v="0"/>
    <n v="885928"/>
    <n v="885928"/>
    <n v="0"/>
    <n v="0"/>
    <n v="0"/>
    <n v="0"/>
    <n v="0"/>
    <n v="885928"/>
    <n v="-885928"/>
    <x v="140"/>
  </r>
  <r>
    <s v="2.01.02.04.9802"/>
    <s v="CONTRIBUTO DA STATO X FINANZIAMENTI IN C/CAPITALE PNRR INFORMATIZZAZIONE APP IO SPID"/>
    <n v="0"/>
    <n v="383812.99"/>
    <n v="383812.99"/>
    <n v="0"/>
    <n v="0"/>
    <n v="0"/>
    <n v="0"/>
    <n v="0"/>
    <n v="383812.99"/>
    <n v="-383812.99"/>
    <x v="140"/>
  </r>
  <r>
    <s v="2.01.02.04.9803"/>
    <s v="CONTRIBUTO DA STATO X FINANZIAMENTI IN C/CAPITALE PNRR MISSIONE 1.1 INFRASTR. DIGITALI"/>
    <n v="0"/>
    <n v="1254245"/>
    <n v="1254245"/>
    <n v="0"/>
    <n v="0"/>
    <n v="0"/>
    <n v="0"/>
    <n v="0"/>
    <n v="1254245"/>
    <n v="-1254245"/>
    <x v="140"/>
  </r>
  <r>
    <s v="2.01.02.04.9804"/>
    <s v="CONTRIBUTO DA STATO X FINANZIAMENTI IN C/CAPITALE PNRR PNRR - ADOZIONE E UTILIZZO FASCICOLO ELETTRONICO"/>
    <n v="0"/>
    <n v="852698.6"/>
    <n v="852698.6"/>
    <n v="0"/>
    <n v="0"/>
    <n v="0"/>
    <n v="0"/>
    <n v="0"/>
    <n v="852698.6"/>
    <n v="-852698.6"/>
    <x v="140"/>
  </r>
  <r>
    <m/>
    <s v="FINANZIAMENTI DA REGIONE PER INVESTIMENTI"/>
    <n v="0.42"/>
    <n v="21308703.359999999"/>
    <n v="21308702.940000001"/>
    <n v="2374461.85"/>
    <n v="6841853.7699999996"/>
    <n v="0"/>
    <n v="0"/>
    <n v="2374462.27"/>
    <n v="28150557.129999999"/>
    <n v="-25776094.859999999"/>
    <x v="1"/>
  </r>
  <r>
    <s v="2.01.02.05.0101"/>
    <s v="CONTRIBUTI IN C/C REGIONE-EX ART.20 2002  RISTRUTTURAZIONE (MALATTIE INFETTIVE)"/>
    <n v="0"/>
    <n v="1035336.85"/>
    <n v="1035336.85"/>
    <n v="0"/>
    <n v="0"/>
    <n v="0"/>
    <n v="0"/>
    <n v="0"/>
    <n v="1035336.85"/>
    <n v="-1035336.85"/>
    <x v="141"/>
  </r>
  <r>
    <s v="2.01.02.05.0102"/>
    <s v="CONTRIBUTI IN C/C PROGETTI FINALIZZATI-REGIONE-2003"/>
    <n v="0"/>
    <n v="11832.31"/>
    <n v="11832.31"/>
    <n v="0"/>
    <n v="0"/>
    <n v="0"/>
    <n v="0"/>
    <n v="0"/>
    <n v="11832.31"/>
    <n v="-11832.31"/>
    <x v="141"/>
  </r>
  <r>
    <s v="2.01.02.05.0103"/>
    <s v="CONTRIBUTI IN C/C PROGETTI FINALIZZATI-REGIONE CRRT 2004"/>
    <n v="0"/>
    <n v="85668.82"/>
    <n v="85668.82"/>
    <n v="6000.09"/>
    <n v="0"/>
    <n v="0"/>
    <n v="0"/>
    <n v="6000.09"/>
    <n v="85668.82"/>
    <n v="-79668.73"/>
    <x v="141"/>
  </r>
  <r>
    <s v="2.01.02.05.0104"/>
    <s v="CONTRIBUTI IN C/C PER RISTRUTTURAZIONE IMMOBILI-2004"/>
    <n v="0"/>
    <n v="0"/>
    <n v="0"/>
    <n v="0"/>
    <n v="0"/>
    <n v="0"/>
    <n v="0"/>
    <n v="0"/>
    <n v="0"/>
    <n v="0"/>
    <x v="141"/>
  </r>
  <r>
    <s v="2.01.02.05.0105"/>
    <s v="CONTRIBUTI IN C/C PER RISTRUTTURAZIONE IMMOBILI EX ART.20 2005 (FARMACIA)"/>
    <n v="0"/>
    <n v="769400"/>
    <n v="769400"/>
    <n v="0"/>
    <n v="0"/>
    <n v="0"/>
    <n v="0"/>
    <n v="0"/>
    <n v="769400"/>
    <n v="-769400"/>
    <x v="141"/>
  </r>
  <r>
    <s v="2.01.02.05.0106"/>
    <s v="CONTRIBUTI IN C/C PER RISTRUTTURAZ. EX ART.20 2005 (IMPIANTI DI CLIMATIZZ.)"/>
    <n v="0"/>
    <n v="579254.03"/>
    <n v="579254.03"/>
    <n v="0"/>
    <n v="0"/>
    <n v="0"/>
    <n v="0"/>
    <n v="0"/>
    <n v="579254.03"/>
    <n v="-579254.03"/>
    <x v="141"/>
  </r>
  <r>
    <s v="2.01.02.05.0107"/>
    <s v="CONTRIBUTI IN C/C PER ATTREZZ.EX ART.20 2005"/>
    <n v="0"/>
    <n v="233367.08"/>
    <n v="233367.08"/>
    <n v="0"/>
    <n v="0"/>
    <n v="0"/>
    <n v="0"/>
    <n v="0"/>
    <n v="233367.08"/>
    <n v="-233367.08"/>
    <x v="141"/>
  </r>
  <r>
    <s v="2.01.02.05.0108"/>
    <s v="CONTRIBUTI IN C/C PROGETTI FINALIZZATI-REGIONE-2005"/>
    <n v="0"/>
    <n v="0"/>
    <n v="0"/>
    <n v="0"/>
    <n v="0"/>
    <n v="0"/>
    <n v="0"/>
    <n v="0"/>
    <n v="0"/>
    <n v="0"/>
    <x v="141"/>
  </r>
  <r>
    <s v="2.01.02.05.0109"/>
    <s v="CONTRIBUTI C/C PER RISTRUTTUR.EX ART.20 2006 (DIAGNOSTICA PER IMMAGINI)"/>
    <n v="0"/>
    <n v="480000"/>
    <n v="480000"/>
    <n v="0"/>
    <n v="0"/>
    <n v="0"/>
    <n v="0"/>
    <n v="0"/>
    <n v="480000"/>
    <n v="-480000"/>
    <x v="141"/>
  </r>
  <r>
    <s v="2.01.02.05.0110"/>
    <s v="CONTRIBUTI C/C PER REALIZZ.EX ART.20 2006 (REPARTO CHIRURGIA PLASTICA E RICOSTRUTTIVA)"/>
    <n v="0"/>
    <n v="2463285.77"/>
    <n v="2463285.77"/>
    <n v="0"/>
    <n v="0"/>
    <n v="0"/>
    <n v="0"/>
    <n v="0"/>
    <n v="2463285.77"/>
    <n v="-2463285.77"/>
    <x v="141"/>
  </r>
  <r>
    <s v="2.01.02.05.0111"/>
    <s v="CONTRIBUTI C/C PER LA REALIZZ. EX ART.20 2006 (SERVIZIO EMODIALISI)"/>
    <n v="0"/>
    <n v="2260009.31"/>
    <n v="2260009.31"/>
    <n v="0"/>
    <n v="0"/>
    <n v="0"/>
    <n v="0"/>
    <n v="0"/>
    <n v="2260009.31"/>
    <n v="-2260009.31"/>
    <x v="141"/>
  </r>
  <r>
    <s v="2.01.02.05.0112"/>
    <s v="CONTRIBUTI C/C PER LA RISTRUTTUR. EX ART.20 2006 (IMI)"/>
    <n v="0"/>
    <n v="3500000"/>
    <n v="3500000"/>
    <n v="0"/>
    <n v="0"/>
    <n v="0"/>
    <n v="0"/>
    <n v="0"/>
    <n v="3500000"/>
    <n v="-3500000"/>
    <x v="141"/>
  </r>
  <r>
    <s v="2.01.02.05.0113"/>
    <s v="CONTRIBUTI C/C PER IMPIANTI ART.69 2006 (IMPIANTI FOTOVOLTAICI)"/>
    <n v="0"/>
    <n v="80593.039999999994"/>
    <n v="80593.039999999994"/>
    <n v="0"/>
    <n v="0"/>
    <n v="0"/>
    <n v="0"/>
    <n v="0"/>
    <n v="80593.039999999994"/>
    <n v="-80593.039999999994"/>
    <x v="141"/>
  </r>
  <r>
    <s v="2.01.02.05.0114"/>
    <s v="CONTRIBUTI IN C/C INDISTINTI"/>
    <n v="0"/>
    <n v="241.88"/>
    <n v="241.88"/>
    <n v="0"/>
    <n v="0"/>
    <n v="0"/>
    <n v="0"/>
    <n v="0"/>
    <n v="241.88"/>
    <n v="-241.88"/>
    <x v="141"/>
  </r>
  <r>
    <s v="2.01.02.05.0115"/>
    <s v="CONTRIBUTI IN C/C PER L'ACQUISIZIONE DI BENI MOBILI-A.P."/>
    <n v="0"/>
    <n v="0"/>
    <n v="0"/>
    <n v="0"/>
    <n v="0"/>
    <n v="0"/>
    <n v="0"/>
    <n v="0"/>
    <n v="0"/>
    <n v="0"/>
    <x v="141"/>
  </r>
  <r>
    <s v="2.01.02.05.0116"/>
    <s v="CONTRIBUTI IN C/C PROGETTI FINALIZZATI REGIONE - 2006"/>
    <n v="0"/>
    <n v="0"/>
    <n v="0"/>
    <n v="0"/>
    <n v="0"/>
    <n v="0"/>
    <n v="0"/>
    <n v="0"/>
    <n v="0"/>
    <n v="0"/>
    <x v="141"/>
  </r>
  <r>
    <s v="2.01.02.05.0117"/>
    <s v="CONTRIBUTI C/C PER VERIFICHE SISMICHE - 2007"/>
    <n v="0"/>
    <n v="48680"/>
    <n v="48680"/>
    <n v="0"/>
    <n v="0"/>
    <n v="0"/>
    <n v="0"/>
    <n v="0"/>
    <n v="48680"/>
    <n v="-48680"/>
    <x v="141"/>
  </r>
  <r>
    <s v="2.01.02.05.0118"/>
    <s v="CONTRIBUTI PROGETTI FSR - 2007"/>
    <n v="0.42"/>
    <n v="0"/>
    <n v="0.42"/>
    <n v="0"/>
    <n v="0"/>
    <n v="0"/>
    <n v="0"/>
    <n v="0.42"/>
    <n v="0"/>
    <n v="0.42"/>
    <x v="141"/>
  </r>
  <r>
    <s v="2.01.02.05.0119"/>
    <s v="CONTRIBUTI C/C APPARECCHIATURE X DIAGNOSI PRECOCI-2008"/>
    <n v="0"/>
    <n v="616457.59"/>
    <n v="616457.59"/>
    <n v="0"/>
    <n v="0"/>
    <n v="0"/>
    <n v="0"/>
    <n v="0"/>
    <n v="616457.59"/>
    <n v="-616457.59"/>
    <x v="141"/>
  </r>
  <r>
    <s v="2.01.02.05.0120"/>
    <s v="CONTRIBUTI C/C PER REALIZZ.EX ART.20 2009 (LABORATORIO CENTRALIZZATO)"/>
    <n v="0"/>
    <n v="3102608.24"/>
    <n v="3102608.24"/>
    <n v="0"/>
    <n v="0"/>
    <n v="0"/>
    <n v="0"/>
    <n v="0"/>
    <n v="3102608.24"/>
    <n v="-3102608.24"/>
    <x v="141"/>
  </r>
  <r>
    <s v="2.01.02.05.0121"/>
    <s v="CONTRIBUTI PER PROGETTI PSN"/>
    <n v="0"/>
    <n v="694637.3"/>
    <n v="694637.3"/>
    <n v="1760270.72"/>
    <n v="0"/>
    <n v="0"/>
    <n v="0"/>
    <n v="1760270.72"/>
    <n v="694637.3"/>
    <n v="1065633.42"/>
    <x v="141"/>
  </r>
  <r>
    <s v="2.01.02.05.0122"/>
    <s v="CONTRIBUTI C/C PO-FESR SICILIA 2007/2013"/>
    <n v="0"/>
    <n v="425109.76000000001"/>
    <n v="425109.76000000001"/>
    <n v="77926.820000000007"/>
    <n v="6841853.7699999996"/>
    <n v="0"/>
    <n v="0"/>
    <n v="77926.820000000007"/>
    <n v="7266963.5300000003"/>
    <n v="-7189036.71"/>
    <x v="141"/>
  </r>
  <r>
    <s v="2.01.02.05.0123"/>
    <s v="CONTRIBUTI C/C PO-FESR 2007-2013 - LINEA 4.1.2.A"/>
    <n v="0"/>
    <n v="379392.77"/>
    <n v="379392.77"/>
    <n v="0"/>
    <n v="0"/>
    <n v="0"/>
    <n v="0"/>
    <n v="0"/>
    <n v="379392.77"/>
    <n v="-379392.77"/>
    <x v="141"/>
  </r>
  <r>
    <s v="2.01.02.05.0124"/>
    <s v="CONTRIBUTO IN C/C PROGETTO STALKING"/>
    <n v="0"/>
    <n v="993.44"/>
    <n v="993.44"/>
    <n v="0"/>
    <n v="0"/>
    <n v="0"/>
    <n v="0"/>
    <n v="0"/>
    <n v="993.44"/>
    <n v="-993.44"/>
    <x v="141"/>
  </r>
  <r>
    <s v="2.01.02.05.0125"/>
    <s v="CONTRIBUTO C/C PROGETTI REG EXTRA FONDO VINCOLATI"/>
    <n v="0"/>
    <n v="0"/>
    <n v="0"/>
    <n v="0"/>
    <n v="0"/>
    <n v="0"/>
    <n v="0"/>
    <n v="0"/>
    <n v="0"/>
    <n v="0"/>
    <x v="141"/>
  </r>
  <r>
    <s v="2.01.02.05.0126"/>
    <s v="CONTRIBUTI IN C/C DA UNIVERSITA' PER L'ACQUISIZIONE DI BENI MOBILI"/>
    <n v="0"/>
    <n v="0"/>
    <n v="0"/>
    <n v="0"/>
    <n v="0"/>
    <n v="0"/>
    <n v="0"/>
    <n v="0"/>
    <n v="0"/>
    <n v="0"/>
    <x v="141"/>
  </r>
  <r>
    <s v="2.01.02.05.0127"/>
    <s v="CONTRIBUTI IN C/C DA UNIVERSITA' PER LA REALIZZAZIONE DI BENI IMMOBILI"/>
    <n v="0"/>
    <n v="0"/>
    <n v="0"/>
    <n v="0"/>
    <n v="0"/>
    <n v="0"/>
    <n v="0"/>
    <n v="0"/>
    <n v="0"/>
    <n v="0"/>
    <x v="141"/>
  </r>
  <r>
    <s v="2.01.02.05.0128"/>
    <s v="CONTRIBUTI IN C/C PER LA REALIZZAZIONE DI PROGETTI FINALIZZATI-UNIVERSITA'"/>
    <n v="0"/>
    <n v="0"/>
    <n v="0"/>
    <n v="0"/>
    <n v="0"/>
    <n v="0"/>
    <n v="0"/>
    <n v="0"/>
    <n v="0"/>
    <n v="0"/>
    <x v="141"/>
  </r>
  <r>
    <s v="2.01.02.05.0129"/>
    <s v="CONTRIBUTI IN C/C INDISTINTI - UNIVERSITA'"/>
    <n v="0"/>
    <n v="0"/>
    <n v="0"/>
    <n v="0"/>
    <n v="0"/>
    <n v="0"/>
    <n v="0"/>
    <n v="0"/>
    <n v="0"/>
    <n v="0"/>
    <x v="141"/>
  </r>
  <r>
    <s v="2.01.02.05.0130"/>
    <s v="CONTRIBUTI IN C/C DA COMUNE O A.P."/>
    <n v="0"/>
    <n v="0"/>
    <n v="0"/>
    <n v="0"/>
    <n v="0"/>
    <n v="0"/>
    <n v="0"/>
    <n v="0"/>
    <n v="0"/>
    <n v="0"/>
    <x v="141"/>
  </r>
  <r>
    <s v="2.01.02.05.0131"/>
    <s v="CONTRIBUTI IN C/C PER PROGETTI FINALIZZATI-COMUNE"/>
    <n v="0"/>
    <n v="0"/>
    <n v="0"/>
    <n v="0"/>
    <n v="0"/>
    <n v="0"/>
    <n v="0"/>
    <n v="0"/>
    <n v="0"/>
    <n v="0"/>
    <x v="141"/>
  </r>
  <r>
    <s v="2.01.02.05.0132"/>
    <s v="CONTRIB PO-FESR 07/13 L 2.1.1.2.2"/>
    <n v="0"/>
    <n v="630314.28"/>
    <n v="630314.28"/>
    <n v="0"/>
    <n v="0"/>
    <n v="0"/>
    <n v="0"/>
    <n v="0"/>
    <n v="630314.28"/>
    <n v="-630314.28"/>
    <x v="141"/>
  </r>
  <r>
    <s v="2.01.02.05.0133"/>
    <s v="CONTRIBUTI IN C/C FORNITURA E POSA IN OPERA TC/PET ART. 20 L.N. 67/88. D.A. N. 36699 DEL 18/12/2001"/>
    <n v="0"/>
    <n v="1492099.54"/>
    <n v="1492099.54"/>
    <n v="530264.22"/>
    <n v="0"/>
    <n v="0"/>
    <n v="0"/>
    <n v="530264.22"/>
    <n v="1492099.54"/>
    <n v="-961835.32"/>
    <x v="141"/>
  </r>
  <r>
    <s v="2.01.02.05.0134"/>
    <s v="CONTRIBUTO DA REGIONE X FINANZIAMENTI IN C/CAPITALE EX ART.71 L.448/98 REALIZZAZIONE RETE FOGNARIA (D.D.G. N. 2153/2018)"/>
    <n v="0"/>
    <n v="0"/>
    <n v="0"/>
    <n v="0"/>
    <n v="0"/>
    <n v="0"/>
    <n v="0"/>
    <n v="0"/>
    <n v="0"/>
    <n v="0"/>
    <x v="141"/>
  </r>
  <r>
    <s v="2.01.02.05.0135"/>
    <s v="CONTRIBUTO DA FONDO LISTE DI ATTESA PER ACQUISTO ED ISTALLAZIONE RMN"/>
    <n v="0"/>
    <n v="1342692.02"/>
    <n v="1342692.02"/>
    <n v="0"/>
    <n v="0"/>
    <n v="0"/>
    <n v="0"/>
    <n v="0"/>
    <n v="1342692.02"/>
    <n v="-1342692.02"/>
    <x v="141"/>
  </r>
  <r>
    <s v="2.01.02.05.0136"/>
    <s v="CONTRIBUTO DA FONDO LISTE DI ATTESA 2019"/>
    <n v="0"/>
    <n v="0"/>
    <n v="0"/>
    <n v="0"/>
    <n v="0"/>
    <n v="0"/>
    <n v="0"/>
    <n v="0"/>
    <n v="0"/>
    <n v="0"/>
    <x v="141"/>
  </r>
  <r>
    <s v="2.01.02.05.0137"/>
    <s v="CONTRIBUTO DA ECONOMIE SU PROGETTI PSN 2013 -2014"/>
    <n v="0"/>
    <n v="1076729.33"/>
    <n v="1076729.33"/>
    <n v="0"/>
    <n v="0"/>
    <n v="0"/>
    <n v="0"/>
    <n v="0"/>
    <n v="1076729.33"/>
    <n v="-1076729.33"/>
    <x v="141"/>
  </r>
  <r>
    <s v="2.01.02.05.0999"/>
    <s v="CONTRIBUTI IN C/CAP DA RETTIFICHE COMP 2014 DA D.LGS.118/2011"/>
    <n v="0"/>
    <n v="0"/>
    <n v="0"/>
    <n v="0"/>
    <n v="0"/>
    <n v="0"/>
    <n v="0"/>
    <n v="0"/>
    <n v="0"/>
    <n v="0"/>
    <x v="141"/>
  </r>
  <r>
    <m/>
    <s v="FINANZIAMENTI DA ALTRI SOGGETTI PUBBLICI PER INVESTIMENTI"/>
    <n v="0"/>
    <n v="55200"/>
    <n v="55200"/>
    <n v="142040.28"/>
    <n v="1795608.01"/>
    <n v="0"/>
    <n v="0"/>
    <n v="142040.28"/>
    <n v="1850808.01"/>
    <n v="-1708767.73"/>
    <x v="1"/>
  </r>
  <r>
    <s v="2.01.02.06.0101"/>
    <s v="FINANZIAMENTI DA ALTRI SOGGETTI PUBBLICI PER INVESTIMENTI"/>
    <n v="0"/>
    <n v="0"/>
    <n v="0"/>
    <n v="0"/>
    <n v="0"/>
    <n v="0"/>
    <n v="0"/>
    <n v="0"/>
    <n v="0"/>
    <n v="0"/>
    <x v="142"/>
  </r>
  <r>
    <s v="2.01.02.06.0102"/>
    <s v="FINANZIAMENTI DA ALTRI SOGGETTI PUBBLICI PER INVESTIMENTI PNNR"/>
    <n v="0"/>
    <n v="55200"/>
    <n v="55200"/>
    <n v="0"/>
    <n v="0"/>
    <n v="0"/>
    <n v="0"/>
    <n v="0"/>
    <n v="55200"/>
    <n v="-55200"/>
    <x v="142"/>
  </r>
  <r>
    <s v="2.01.02.06.0103"/>
    <s v="FINANZIAMENTI DA ALTRI SOGGETTI PUBBLICI PER INVESTIMENTI D.L. 34/2020"/>
    <n v="0"/>
    <n v="0"/>
    <n v="0"/>
    <n v="142040.28"/>
    <n v="1795608.01"/>
    <n v="0"/>
    <n v="0"/>
    <n v="142040.28"/>
    <n v="1795608.01"/>
    <n v="-1653567.73"/>
    <x v="142"/>
  </r>
  <r>
    <m/>
    <s v="FINANZIAMENTI PER INVESTIMENTI DA RETTIFICA CONTRIBUTI IN CONTO ESERCIZIO"/>
    <n v="0"/>
    <n v="56434574.450000003"/>
    <n v="56434574.450000003"/>
    <n v="4190121.28"/>
    <n v="3821342.41"/>
    <n v="0"/>
    <n v="0"/>
    <n v="4190121.28"/>
    <n v="60255916.859999999"/>
    <n v="-56065795.579999998"/>
    <x v="1"/>
  </r>
  <r>
    <s v="2.01.02.07.0101"/>
    <s v="FINANZIAMENTI PER INVESTIMENTI DA RETTIFICA CONTRIBUTI IN CONTO ESERCIZIO - DA STATO"/>
    <n v="0"/>
    <n v="0"/>
    <n v="0"/>
    <n v="0"/>
    <n v="0"/>
    <n v="0"/>
    <n v="0"/>
    <n v="0"/>
    <n v="0"/>
    <n v="0"/>
    <x v="143"/>
  </r>
  <r>
    <s v="2.01.02.07.0201"/>
    <s v="FINANZIAMENTI PER INVESTIMENTI DA RETTIFICA CONTRIBUTI IN CONTO ESERCIZIO - DA REGIONE"/>
    <n v="0"/>
    <n v="52808748.649999999"/>
    <n v="52808748.649999999"/>
    <n v="4190121.28"/>
    <n v="3466830.95"/>
    <n v="0"/>
    <n v="0"/>
    <n v="4190121.28"/>
    <n v="56275579.600000001"/>
    <n v="-52085458.32"/>
    <x v="143"/>
  </r>
  <r>
    <s v="2.01.02.07.0202"/>
    <s v="FINANZIAMENTI PER INVESTIMENTI DA RETTIFICA CONTRIBUTI P.O.PSN.2013"/>
    <n v="0"/>
    <n v="0"/>
    <n v="0"/>
    <n v="0"/>
    <n v="0"/>
    <n v="0"/>
    <n v="0"/>
    <n v="0"/>
    <n v="0"/>
    <n v="0"/>
    <x v="143"/>
  </r>
  <r>
    <s v="2.01.02.07.0301"/>
    <s v="FINANZIAMENTI PER INVESTIMENTI DA RETTIFICA CONTRIBUTI IN CONTO ESERCIZIO - DA ALTRI SOGGETTI"/>
    <n v="0"/>
    <n v="198800"/>
    <n v="198800"/>
    <n v="0"/>
    <n v="0"/>
    <n v="0"/>
    <n v="0"/>
    <n v="0"/>
    <n v="198800"/>
    <n v="-198800"/>
    <x v="143"/>
  </r>
  <r>
    <s v="2.01.02.07.0401"/>
    <s v="FINANZIAMENTI PER INVESTIMENTI DA RETTIFICA CONTRIBUTI IN CONTO ESERCIZIO - FS &quot;FINALIZZATO&quot;"/>
    <n v="0"/>
    <n v="0"/>
    <n v="0"/>
    <n v="0"/>
    <n v="0"/>
    <n v="0"/>
    <n v="0"/>
    <n v="0"/>
    <n v="0"/>
    <n v="0"/>
    <x v="143"/>
  </r>
  <r>
    <s v="2.01.02.07.0402"/>
    <s v="FINANZIAMENTI PER INVESTIMENTI DA RETTIFICA CONTRIBUTI IN CONTO ESERCIZIO - PSN 2011"/>
    <n v="0"/>
    <n v="0"/>
    <n v="0"/>
    <n v="0"/>
    <n v="0"/>
    <n v="0"/>
    <n v="0"/>
    <n v="0"/>
    <n v="0"/>
    <n v="0"/>
    <x v="143"/>
  </r>
  <r>
    <s v="2.01.02.07.0403"/>
    <s v="FINANZIAMENTI PER INVESTIMENTI DA RETTIFICA CONTRIBUTI IN CONTO ESERCIZIO - PSN 2012"/>
    <n v="0"/>
    <n v="20567"/>
    <n v="20567"/>
    <n v="0"/>
    <n v="0"/>
    <n v="0"/>
    <n v="0"/>
    <n v="0"/>
    <n v="20567"/>
    <n v="-20567"/>
    <x v="143"/>
  </r>
  <r>
    <s v="2.01.02.07.0404"/>
    <s v="FINANZIAMENTI PER INVESTIMENTI DA RETTIFICA CONTRIBUTI IN CONTO ESERCIZIO -  PSN 2013"/>
    <n v="0"/>
    <n v="221844"/>
    <n v="221844"/>
    <n v="0"/>
    <n v="0"/>
    <n v="0"/>
    <n v="0"/>
    <n v="0"/>
    <n v="221844"/>
    <n v="-221844"/>
    <x v="143"/>
  </r>
  <r>
    <s v="2.01.02.07.0405"/>
    <s v="FINANZIAMENTI PER INVESTIMENTI DA RETTIFICA CONTRIBUTI IN CONTO ESERCIZIO - PSN 2014 LINEA 2 AZIONE 2.36"/>
    <n v="0"/>
    <n v="48436.5"/>
    <n v="48436.5"/>
    <n v="0"/>
    <n v="0"/>
    <n v="0"/>
    <n v="0"/>
    <n v="0"/>
    <n v="48436.5"/>
    <n v="-48436.5"/>
    <x v="143"/>
  </r>
  <r>
    <s v="2.01.02.07.0406"/>
    <s v="FINANZIAMENTI PER INVESTIMENTI DA RETTIFICA CONTRIBUTI IN CONTO ESERCIZIO - PSN 2014 LINEA 4 AZIONE 4.2.1"/>
    <n v="0"/>
    <n v="0"/>
    <n v="0"/>
    <n v="0"/>
    <n v="0"/>
    <n v="0"/>
    <n v="0"/>
    <n v="0"/>
    <n v="0"/>
    <n v="0"/>
    <x v="143"/>
  </r>
  <r>
    <s v="2.01.02.07.0407"/>
    <s v="FINANZIAMENTI PER INVESTIMENTI DA RETTIFICA CONTRIBUTI IN CONTO ESERCIZIO - PSN 2014 LINEA 4 AZIONE 4.9.3"/>
    <n v="0"/>
    <n v="0"/>
    <n v="0"/>
    <n v="0"/>
    <n v="0"/>
    <n v="0"/>
    <n v="0"/>
    <n v="0"/>
    <n v="0"/>
    <n v="0"/>
    <x v="143"/>
  </r>
  <r>
    <s v="2.01.02.07.0408"/>
    <s v="FINANZIAMENTI PER INVESTIMENTI DA RETTIFICA CONTRIBUTI IN CONTO ESERCIZIO - PSN 2014 LINEA 4 AZIONE 4.9.4"/>
    <n v="0"/>
    <n v="0"/>
    <n v="0"/>
    <n v="0"/>
    <n v="0"/>
    <n v="0"/>
    <n v="0"/>
    <n v="0"/>
    <n v="0"/>
    <n v="0"/>
    <x v="143"/>
  </r>
  <r>
    <s v="2.01.02.07.0409"/>
    <s v="FINANZIAMENTI PER INVESTIMENTI DA RETTIFICA CONTRIBUTI IN CONTO ESERCIZIO - PSN 2014 LINEA 4 AZIONE 4.9.5"/>
    <n v="0"/>
    <n v="0"/>
    <n v="0"/>
    <n v="0"/>
    <n v="0"/>
    <n v="0"/>
    <n v="0"/>
    <n v="0"/>
    <n v="0"/>
    <n v="0"/>
    <x v="143"/>
  </r>
  <r>
    <s v="2.01.02.07.0410"/>
    <s v="FINANZIAMENTI PER INVESTIMENTI DA RETTIFICA CONTRIBUTI IN CONTO ESERCIZIO - PSN 2014 LINEA 4 AZIONE 4.9.6"/>
    <n v="0"/>
    <n v="0"/>
    <n v="0"/>
    <n v="0"/>
    <n v="0"/>
    <n v="0"/>
    <n v="0"/>
    <n v="0"/>
    <n v="0"/>
    <n v="0"/>
    <x v="143"/>
  </r>
  <r>
    <s v="2.01.02.07.0411"/>
    <s v="FINANZIAMENTI PER INVESTIMENTI DA RETTIFICA CONTRIBUTI IN CONTO ESERCIZIO - PSN 2014 LINEA AZIONE 4.9.7"/>
    <n v="0"/>
    <n v="0"/>
    <n v="0"/>
    <n v="0"/>
    <n v="0"/>
    <n v="0"/>
    <n v="0"/>
    <n v="0"/>
    <n v="0"/>
    <n v="0"/>
    <x v="143"/>
  </r>
  <r>
    <s v="2.01.02.07.0412"/>
    <s v="FINANZIAMENTI PER INVESTIMENTI DA RETTIFICA CONTRIBUTI IN CONTO ESERCIZIO -  PROGETTO DI FARMACOVIGILANZA PROF.SSA LICATA"/>
    <n v="0"/>
    <n v="0"/>
    <n v="0"/>
    <n v="0"/>
    <n v="0"/>
    <n v="0"/>
    <n v="0"/>
    <n v="0"/>
    <n v="0"/>
    <n v="0"/>
    <x v="143"/>
  </r>
  <r>
    <s v="2.01.02.07.0413"/>
    <s v="FINANZIAMENTI PER INVESTIMENTI DA RETTIFICA CONTRIBUTI IN CONTO ESERCIZIO - PSN 2014 LINEA AZIONE 1.14"/>
    <n v="0"/>
    <n v="0"/>
    <n v="0"/>
    <n v="0"/>
    <n v="0"/>
    <n v="0"/>
    <n v="0"/>
    <n v="0"/>
    <n v="0"/>
    <n v="0"/>
    <x v="143"/>
  </r>
  <r>
    <s v="2.01.02.07.0414"/>
    <s v="FINANZIAMENTI PER INVESTIMENTI DA RETTIFICA CONTRIBUTI IN CONTO ESERCIZIO - PSN 2014 LINEA AZIONE 1.15"/>
    <n v="0"/>
    <n v="16158.54"/>
    <n v="16158.54"/>
    <n v="0"/>
    <n v="0"/>
    <n v="0"/>
    <n v="0"/>
    <n v="0"/>
    <n v="16158.54"/>
    <n v="-16158.54"/>
    <x v="143"/>
  </r>
  <r>
    <s v="2.01.02.07.0415"/>
    <s v="FINANZIAMENTI PER INVESTIMENTI DA RETTIFICA CONTRIBUTI IN CONTO ESERCIZIO - PSN 2014 LINEA AZIONE 5.33"/>
    <n v="0"/>
    <n v="0"/>
    <n v="0"/>
    <n v="0"/>
    <n v="0"/>
    <n v="0"/>
    <n v="0"/>
    <n v="0"/>
    <n v="0"/>
    <n v="0"/>
    <x v="143"/>
  </r>
  <r>
    <s v="2.01.02.07.0416"/>
    <s v="FINANZIAMENTI PER INVESTIMENTI DA RETTIFICA CONTRIBUTI IN CONTO ESERCIZIO - PSN 2014 LINEA AZIONE 5.34"/>
    <n v="0"/>
    <n v="0"/>
    <n v="0"/>
    <n v="0"/>
    <n v="0"/>
    <n v="0"/>
    <n v="0"/>
    <n v="0"/>
    <n v="0"/>
    <n v="0"/>
    <x v="143"/>
  </r>
  <r>
    <s v="2.01.02.07.0417"/>
    <s v="FINANZIAMENTI PER INVESTIMENTI DA RETTIFICA CONTRIBUTI IN CONTO ESERCIZIO - PSN 2014 LINEA AZIONE 5.35"/>
    <n v="0"/>
    <n v="26739.41"/>
    <n v="26739.41"/>
    <n v="0"/>
    <n v="0"/>
    <n v="0"/>
    <n v="0"/>
    <n v="0"/>
    <n v="26739.41"/>
    <n v="-26739.41"/>
    <x v="143"/>
  </r>
  <r>
    <s v="2.01.02.07.0418"/>
    <s v="FINANZIAMENTI PER INVESTIMENTI DA RETTIFICA CONTRIBUTI IN CONTO ESERCIZIO - PSN 2014 LINEA AZIONE 5.36"/>
    <n v="0"/>
    <n v="0"/>
    <n v="0"/>
    <n v="0"/>
    <n v="0"/>
    <n v="0"/>
    <n v="0"/>
    <n v="0"/>
    <n v="0"/>
    <n v="0"/>
    <x v="143"/>
  </r>
  <r>
    <s v="2.01.02.07.0419"/>
    <s v="FINANZIAMENTI PER INVESTIMENTI DA RETTIFICA CONTRIBUTI IN CONTO ESERCIZIO - PSN 2014 LINEA AZIONE 5.37"/>
    <n v="0"/>
    <n v="0"/>
    <n v="0"/>
    <n v="0"/>
    <n v="42445"/>
    <n v="0"/>
    <n v="0"/>
    <n v="0"/>
    <n v="42445"/>
    <n v="-42445"/>
    <x v="143"/>
  </r>
  <r>
    <s v="2.01.02.07.0420"/>
    <s v="FINANZIAMENTI PER INVESTIMENTI DA RETTIFICA CONTRIBUTI IN CONTO ESERCIZIO - PSN 2014 LINEA AZIONE 6.15"/>
    <n v="0"/>
    <n v="0"/>
    <n v="0"/>
    <n v="0"/>
    <n v="0"/>
    <n v="0"/>
    <n v="0"/>
    <n v="0"/>
    <n v="0"/>
    <n v="0"/>
    <x v="143"/>
  </r>
  <r>
    <s v="2.01.02.07.0421"/>
    <s v="FINANZIAMENTI PER INVESTIMENTI DA RETTIFICA CONTRIBUTI IN CONTO ESERCIZIO - PSN 2014 LINEA AZIONE 6.16"/>
    <n v="0"/>
    <n v="0"/>
    <n v="0"/>
    <n v="0"/>
    <n v="0"/>
    <n v="0"/>
    <n v="0"/>
    <n v="0"/>
    <n v="0"/>
    <n v="0"/>
    <x v="143"/>
  </r>
  <r>
    <s v="2.01.02.07.0422"/>
    <s v="FINANZIAMENTI PER INVESTIMENTI DA RETTIFICA CONTRIBUTI IN CONTO ESERCIZIO - PSN 2015 LINEA AZIONE 4"/>
    <n v="0"/>
    <n v="67076"/>
    <n v="67076"/>
    <n v="0"/>
    <n v="0"/>
    <n v="0"/>
    <n v="0"/>
    <n v="0"/>
    <n v="67076"/>
    <n v="-67076"/>
    <x v="143"/>
  </r>
  <r>
    <s v="2.01.02.07.0423"/>
    <s v="FINANZIAMENTI PER INVESTIMENTI DA RETTIFICA CONTRIBUTI IN CONTO ESERCIZIO - PSN 2014 LINEA AZIONE 5 e 6"/>
    <n v="0"/>
    <n v="1042185.45"/>
    <n v="1042185.45"/>
    <n v="0"/>
    <n v="150773.70000000001"/>
    <n v="0"/>
    <n v="0"/>
    <n v="0"/>
    <n v="1192959.1499999999"/>
    <n v="-1192959.1499999999"/>
    <x v="143"/>
  </r>
  <r>
    <s v="2.01.02.07.0424"/>
    <s v="FINANZIAMENTI PER INVESTIMENTI DA RETTIFICA CONTRIBUTI IN CONTO ESERCIZIO - PROGETTO  PSN 2016  L.P. 2"/>
    <n v="0"/>
    <n v="57119.65"/>
    <n v="57119.65"/>
    <n v="0"/>
    <n v="28059"/>
    <n v="0"/>
    <n v="0"/>
    <n v="0"/>
    <n v="85178.65"/>
    <n v="-85178.65"/>
    <x v="143"/>
  </r>
  <r>
    <s v="2.01.02.07.0425"/>
    <s v="FINANZIAMENTI PER INVESTIMENTI DA RETTIFICA CONTRIBUTI IN CONTO ESERCIZIO - PROGETTO PSN 2016 L.P. 1, 5, 6."/>
    <n v="0"/>
    <n v="331777.71000000002"/>
    <n v="331777.71000000002"/>
    <n v="0"/>
    <n v="0"/>
    <n v="0"/>
    <n v="0"/>
    <n v="0"/>
    <n v="331777.71000000002"/>
    <n v="-331777.71000000002"/>
    <x v="143"/>
  </r>
  <r>
    <s v="2.01.02.07.0426"/>
    <s v="FINANZIAMENTI PER INVESTIMENTI DA RETTIFICA CONTRIBUTI IN CONTO ESERCIZIO - PSN 2016 L.P. 4"/>
    <n v="0"/>
    <n v="0"/>
    <n v="0"/>
    <n v="0"/>
    <n v="0"/>
    <n v="0"/>
    <n v="0"/>
    <n v="0"/>
    <n v="0"/>
    <n v="0"/>
    <x v="143"/>
  </r>
  <r>
    <s v="2.01.02.07.0427"/>
    <s v="FINANZIAMENTI PER INVESTIMENTI DA RETTIFICA CONTRIBUTI IN CONTO ESERCIZIO - FONDO INVESTIMENT. ex D.A. 2726/2017"/>
    <n v="0"/>
    <n v="0"/>
    <n v="0"/>
    <n v="0"/>
    <n v="0"/>
    <n v="0"/>
    <n v="0"/>
    <n v="0"/>
    <n v="0"/>
    <n v="0"/>
    <x v="143"/>
  </r>
  <r>
    <s v="2.01.02.07.0428"/>
    <s v="FINANZIAMENTI PER INVESTIMENTI DA RETTIFICA CONTRIBUTI IN CONTO ESERCIZIO - EX D.A. 1839/2018"/>
    <n v="0"/>
    <n v="0"/>
    <n v="0"/>
    <n v="0"/>
    <n v="0"/>
    <n v="0"/>
    <n v="0"/>
    <n v="0"/>
    <n v="0"/>
    <n v="0"/>
    <x v="143"/>
  </r>
  <r>
    <s v="2.01.02.07.0429"/>
    <s v="FINANZ.PER INVEST.DA RETTIF. CONTRIB. IN C/ESERCIZIO - P.O. PSN 2019 LP 5.LA TECNOLOGIA SANITARIA OPERATIVA COME STRUMENTO DI INTEGRAZIONE OSPEDALE-TERRITORIO"/>
    <n v="0"/>
    <n v="0"/>
    <n v="0"/>
    <n v="0"/>
    <n v="0"/>
    <n v="0"/>
    <n v="0"/>
    <n v="0"/>
    <n v="0"/>
    <n v="0"/>
    <x v="143"/>
  </r>
  <r>
    <s v="2.01.02.07.0430"/>
    <s v="FINANZIAMENTI PER INVESTIMENTI DA RETTIFICA CONTRIBUTI IN CONTO ESERCIZIO  - PROGETTO PSN 2017"/>
    <n v="0"/>
    <n v="12431.14"/>
    <n v="12431.14"/>
    <n v="0"/>
    <n v="133233.76"/>
    <n v="0"/>
    <n v="0"/>
    <n v="0"/>
    <n v="145664.9"/>
    <n v="-145664.9"/>
    <x v="143"/>
  </r>
  <r>
    <s v="2.01.02.07.0431"/>
    <s v="FINANZIAMENTI PER INVESTIMENTI DA RETTIFICA CONTRIBUTI IN CONTO ESERCIZIO  - PROGETTO PSN 2018"/>
    <n v="0"/>
    <n v="0"/>
    <n v="0"/>
    <n v="0"/>
    <n v="0"/>
    <n v="0"/>
    <n v="0"/>
    <n v="0"/>
    <n v="0"/>
    <n v="0"/>
    <x v="143"/>
  </r>
  <r>
    <s v="2.01.02.07.0432"/>
    <s v="FINANZIAMENTI PER INVESTIMENTI DA RETTIFICA CONTRIBUTI IN CONTO ESERCIZIO  - PROGETTO PSN 2019"/>
    <n v="0"/>
    <n v="1582690.4"/>
    <n v="1582690.4"/>
    <n v="0"/>
    <n v="0"/>
    <n v="0"/>
    <n v="0"/>
    <n v="0"/>
    <n v="1582690.4"/>
    <n v="-1582690.4"/>
    <x v="143"/>
  </r>
  <r>
    <m/>
    <s v="RISERVE DA DONAZIONI E LASCITI VINCOLATI AD INVESTIMENTI"/>
    <n v="0"/>
    <n v="1570542.34"/>
    <n v="1570542.34"/>
    <n v="351706.58"/>
    <n v="77484.36"/>
    <n v="0"/>
    <n v="0"/>
    <n v="351706.58"/>
    <n v="1648026.7"/>
    <n v="-1296320.1200000001"/>
    <x v="1"/>
  </r>
  <r>
    <m/>
    <s v="RISERVE DA DONAZIONI E LASCITI VINCOLATI AD INVESTIMENTI"/>
    <n v="0"/>
    <n v="1570542.34"/>
    <n v="1570542.34"/>
    <n v="351706.58"/>
    <n v="77484.36"/>
    <n v="0"/>
    <n v="0"/>
    <n v="351706.58"/>
    <n v="1648026.7"/>
    <n v="-1296320.1200000001"/>
    <x v="1"/>
  </r>
  <r>
    <s v="2.01.03.01.0101"/>
    <s v="RISERVE DA DONAZIONI E LASCITI VINCOLATI AD INVESTIMENTI ANNO 2002"/>
    <n v="0"/>
    <n v="0"/>
    <n v="0"/>
    <n v="0"/>
    <n v="0"/>
    <n v="0"/>
    <n v="0"/>
    <n v="0"/>
    <n v="0"/>
    <n v="0"/>
    <x v="144"/>
  </r>
  <r>
    <s v="2.01.03.01.0102"/>
    <s v="RISERVE DA DONAZIONI E LASCITI VINCOLATI AD INVESTIMENTI ANNO 2003"/>
    <n v="0"/>
    <n v="0"/>
    <n v="0"/>
    <n v="0"/>
    <n v="0"/>
    <n v="0"/>
    <n v="0"/>
    <n v="0"/>
    <n v="0"/>
    <n v="0"/>
    <x v="144"/>
  </r>
  <r>
    <s v="2.01.03.01.0103"/>
    <s v="RISERVE DA DONAZIONI E LASCITI VINCOLATI AD INVESTIMENTI ANNO 2004"/>
    <n v="0"/>
    <n v="0"/>
    <n v="0"/>
    <n v="0"/>
    <n v="0"/>
    <n v="0"/>
    <n v="0"/>
    <n v="0"/>
    <n v="0"/>
    <n v="0"/>
    <x v="144"/>
  </r>
  <r>
    <s v="2.01.03.01.0104"/>
    <s v="RISERVE DA DONAZIONI E LASCITI VINCOLATI AD INVESTIMENTI ANNO 2005"/>
    <n v="0"/>
    <n v="0"/>
    <n v="0"/>
    <n v="0"/>
    <n v="0"/>
    <n v="0"/>
    <n v="0"/>
    <n v="0"/>
    <n v="0"/>
    <n v="0"/>
    <x v="144"/>
  </r>
  <r>
    <s v="2.01.03.01.0105"/>
    <s v="RISERVE DA DONAZIONI E LASCITI VINCOLATI AD INVESTIMENTI ANNO 2006"/>
    <n v="0"/>
    <n v="0"/>
    <n v="0"/>
    <n v="0"/>
    <n v="0"/>
    <n v="0"/>
    <n v="0"/>
    <n v="0"/>
    <n v="0"/>
    <n v="0"/>
    <x v="144"/>
  </r>
  <r>
    <s v="2.01.03.01.0106"/>
    <s v="RISERVE DA DONAZIONI E LASCITI VINCOLATI AD INVESTIMENTI ANNO 2007"/>
    <n v="0"/>
    <n v="1624.83"/>
    <n v="1624.83"/>
    <n v="0"/>
    <n v="0"/>
    <n v="0"/>
    <n v="0"/>
    <n v="0"/>
    <n v="1624.83"/>
    <n v="-1624.83"/>
    <x v="144"/>
  </r>
  <r>
    <s v="2.01.03.01.0107"/>
    <s v="RISERVE DA DONAZIONI E LASCITI VINCOLATI AD INVESTIMENTI ANNO 2008"/>
    <n v="0"/>
    <n v="4398.71"/>
    <n v="4398.71"/>
    <n v="0"/>
    <n v="0"/>
    <n v="0"/>
    <n v="0"/>
    <n v="0"/>
    <n v="4398.71"/>
    <n v="-4398.71"/>
    <x v="144"/>
  </r>
  <r>
    <s v="2.01.03.01.0108"/>
    <s v="RISERVE DA DONAZIONI E LASCITI VINCOLATI AD INVESTIMENTI ANNO 2009"/>
    <n v="0"/>
    <n v="420.09"/>
    <n v="420.09"/>
    <n v="0"/>
    <n v="0"/>
    <n v="0"/>
    <n v="0"/>
    <n v="0"/>
    <n v="420.09"/>
    <n v="-420.09"/>
    <x v="144"/>
  </r>
  <r>
    <s v="2.01.03.01.0109"/>
    <s v="RISERVE DA DONAZIONI E LASCITI VINCOLATI AD INVESTIMENTI ANNO 2010"/>
    <n v="0"/>
    <n v="4720.55"/>
    <n v="4720.55"/>
    <n v="0"/>
    <n v="0"/>
    <n v="0"/>
    <n v="0"/>
    <n v="0"/>
    <n v="4720.55"/>
    <n v="-4720.55"/>
    <x v="144"/>
  </r>
  <r>
    <s v="2.01.03.01.0110"/>
    <s v="RISERVE DA DONAZIONI E LASCITI VINCOLATI AD INVESTIMENTI ANNO 2011"/>
    <n v="0"/>
    <n v="2003.82"/>
    <n v="2003.82"/>
    <n v="0"/>
    <n v="0"/>
    <n v="0"/>
    <n v="0"/>
    <n v="0"/>
    <n v="2003.82"/>
    <n v="-2003.82"/>
    <x v="144"/>
  </r>
  <r>
    <s v="2.01.03.01.0111"/>
    <s v="RISERVE DA DONAZIONI E LASCITI VINCOLATI AD INVESTIMENTI ANNO 2012"/>
    <n v="0"/>
    <n v="0"/>
    <n v="0"/>
    <n v="0"/>
    <n v="0"/>
    <n v="0"/>
    <n v="0"/>
    <n v="0"/>
    <n v="0"/>
    <n v="0"/>
    <x v="144"/>
  </r>
  <r>
    <s v="2.01.03.01.0112"/>
    <s v="RISERVE DA DONAZIONI E LASCITI VINCOLATI AD INVESTIMENTI ANNO 2013"/>
    <n v="0"/>
    <n v="0"/>
    <n v="0"/>
    <n v="0"/>
    <n v="0"/>
    <n v="0"/>
    <n v="0"/>
    <n v="0"/>
    <n v="0"/>
    <n v="0"/>
    <x v="144"/>
  </r>
  <r>
    <s v="2.01.03.01.0113"/>
    <s v="RISERVE DA DONAZIONI E LASCITI VINCOLATI AD INVESTIMENTI ANNO 2015"/>
    <n v="0"/>
    <n v="0"/>
    <n v="0"/>
    <n v="0"/>
    <n v="0"/>
    <n v="0"/>
    <n v="0"/>
    <n v="0"/>
    <n v="0"/>
    <n v="0"/>
    <x v="144"/>
  </r>
  <r>
    <s v="2.01.03.01.0114"/>
    <s v="RISERVE DA DONAZIONI E LASCITI VINCOLATI AD INVESTIMENTOI ANNO 2016"/>
    <n v="0"/>
    <n v="46047.93"/>
    <n v="46047.93"/>
    <n v="0"/>
    <n v="0"/>
    <n v="0"/>
    <n v="0"/>
    <n v="0"/>
    <n v="46047.93"/>
    <n v="-46047.93"/>
    <x v="144"/>
  </r>
  <r>
    <s v="2.01.03.01.0115"/>
    <s v="RISERVE DA DONAZIONI E LASCITIVINCOLATI AD INVESTIMENTI ANNO 2017"/>
    <n v="0"/>
    <n v="52246.21"/>
    <n v="52246.21"/>
    <n v="242.31"/>
    <n v="0"/>
    <n v="0"/>
    <n v="0"/>
    <n v="242.31"/>
    <n v="52246.21"/>
    <n v="-52003.9"/>
    <x v="144"/>
  </r>
  <r>
    <s v="2.01.03.01.0116"/>
    <s v="RISERVE DA DONAZIONI E LASCITI VINCOLATI AD INVESTIMENTI ANNO 2018"/>
    <n v="0"/>
    <n v="1068.78"/>
    <n v="1068.78"/>
    <n v="750.56"/>
    <n v="0"/>
    <n v="0"/>
    <n v="0"/>
    <n v="750.56"/>
    <n v="1068.78"/>
    <n v="-318.22000000000003"/>
    <x v="144"/>
  </r>
  <r>
    <s v="2.01.03.01.0117"/>
    <s v="RISERVE DA DONAZIONI E LASCITI VINCOLATI AD INVESTIMENTI ANNO 2019"/>
    <n v="0"/>
    <n v="3318.4"/>
    <n v="3318.4"/>
    <n v="459.39"/>
    <n v="0"/>
    <n v="0"/>
    <n v="0"/>
    <n v="459.39"/>
    <n v="3318.4"/>
    <n v="-2859.01"/>
    <x v="144"/>
  </r>
  <r>
    <s v="2.01.03.01.0118"/>
    <s v="RISERVE DA DONAZIONI E LASCITI VINCOLATI AD INVESTIMENTI ANNO 2020"/>
    <n v="0"/>
    <n v="839702.13"/>
    <n v="839702.13"/>
    <n v="87412.44"/>
    <n v="0"/>
    <n v="0"/>
    <n v="0"/>
    <n v="87412.44"/>
    <n v="839702.13"/>
    <n v="-752289.69"/>
    <x v="144"/>
  </r>
  <r>
    <s v="2.01.03.01.0119"/>
    <s v="RISERVE DA DONAZIONI E LASCITI VINCOLATI PER ESIGENZA COVID-19"/>
    <n v="0"/>
    <n v="227179.94"/>
    <n v="227179.94"/>
    <n v="0"/>
    <n v="0"/>
    <n v="0"/>
    <n v="0"/>
    <n v="0"/>
    <n v="227179.94"/>
    <n v="-227179.94"/>
    <x v="144"/>
  </r>
  <r>
    <s v="2.01.03.01.0120"/>
    <s v="RISERVE DA DONAZIONI E LASCITI VINCOLATI AD INVESTIMENTI ANNO 2021"/>
    <n v="0"/>
    <n v="17662.36"/>
    <n v="17662.36"/>
    <n v="5480"/>
    <n v="0"/>
    <n v="0"/>
    <n v="0"/>
    <n v="5480"/>
    <n v="17662.36"/>
    <n v="-12182.36"/>
    <x v="144"/>
  </r>
  <r>
    <s v="2.01.03.01.0121"/>
    <s v="RISERVE DA DONAZIONI E LASCITI VINCOLATI AD INVESTIMENTI ANNO 2022"/>
    <n v="0"/>
    <n v="351114.88"/>
    <n v="351114.88"/>
    <n v="225298.7"/>
    <n v="0"/>
    <n v="0"/>
    <n v="0"/>
    <n v="225298.7"/>
    <n v="351114.88"/>
    <n v="-125816.18"/>
    <x v="144"/>
  </r>
  <r>
    <s v="2.01.03.01.0122"/>
    <s v="RISERVE DA DONAZIONI E LASCITI VINCOLATI AD INVESTIMENTI ANNO 2023"/>
    <n v="0"/>
    <n v="19033.71"/>
    <n v="19033.71"/>
    <n v="28527.06"/>
    <n v="0"/>
    <n v="0"/>
    <n v="0"/>
    <n v="28527.06"/>
    <n v="19033.71"/>
    <n v="9493.35"/>
    <x v="144"/>
  </r>
  <r>
    <s v="2.01.03.01.0123"/>
    <s v="RISERVE DA DONAZIONI E LASCITI VINCOLATI AD INVESTIMENTI ANNO 2024"/>
    <n v="0"/>
    <n v="0"/>
    <n v="0"/>
    <n v="3536.12"/>
    <n v="77484.36"/>
    <n v="0"/>
    <n v="0"/>
    <n v="3536.12"/>
    <n v="77484.36"/>
    <n v="-73948.240000000005"/>
    <x v="144"/>
  </r>
  <r>
    <s v="2.01.03.01.0124"/>
    <s v="RISERVE DA DONAZIONI E LASCITI VINCOLATI AD INVESTIMENTI ANNO 2025"/>
    <n v="0"/>
    <n v="0"/>
    <n v="0"/>
    <n v="0"/>
    <n v="0"/>
    <n v="0"/>
    <n v="0"/>
    <n v="0"/>
    <n v="0"/>
    <n v="0"/>
    <x v="1"/>
  </r>
  <r>
    <m/>
    <s v="ALTRE RISERVE"/>
    <n v="0"/>
    <n v="0"/>
    <n v="0"/>
    <n v="0"/>
    <n v="0"/>
    <n v="0"/>
    <n v="0"/>
    <n v="0"/>
    <n v="0"/>
    <n v="0"/>
    <x v="1"/>
  </r>
  <r>
    <m/>
    <s v="RISERVE DA RIVALUTAZIONI"/>
    <n v="0"/>
    <n v="0"/>
    <n v="0"/>
    <n v="0"/>
    <n v="0"/>
    <n v="0"/>
    <n v="0"/>
    <n v="0"/>
    <n v="0"/>
    <n v="0"/>
    <x v="1"/>
  </r>
  <r>
    <s v="2.01.04.01.0101"/>
    <s v="RISERVE DA RIVALUTAZIONI"/>
    <n v="0"/>
    <n v="0"/>
    <n v="0"/>
    <n v="0"/>
    <n v="0"/>
    <n v="0"/>
    <n v="0"/>
    <n v="0"/>
    <n v="0"/>
    <n v="0"/>
    <x v="145"/>
  </r>
  <r>
    <m/>
    <s v="RISERVE DA PLUSVALENZE DA REINVESTIRE"/>
    <n v="0"/>
    <n v="0"/>
    <n v="0"/>
    <n v="0"/>
    <n v="0"/>
    <n v="0"/>
    <n v="0"/>
    <n v="0"/>
    <n v="0"/>
    <n v="0"/>
    <x v="1"/>
  </r>
  <r>
    <s v="2.01.04.02.0101"/>
    <s v="RISERVE DA PLUSVALENZE DA REINVESTIRE"/>
    <n v="0"/>
    <n v="0"/>
    <n v="0"/>
    <n v="0"/>
    <n v="0"/>
    <n v="0"/>
    <n v="0"/>
    <n v="0"/>
    <n v="0"/>
    <n v="0"/>
    <x v="146"/>
  </r>
  <r>
    <m/>
    <s v="CONTRIBUTI DA REINVESTIRE"/>
    <n v="0"/>
    <n v="0"/>
    <n v="0"/>
    <n v="0"/>
    <n v="0"/>
    <n v="0"/>
    <n v="0"/>
    <n v="0"/>
    <n v="0"/>
    <n v="0"/>
    <x v="1"/>
  </r>
  <r>
    <s v="2.01.04.03.0101"/>
    <s v="CONTRIBUTI DA REINVESTIRE"/>
    <n v="0"/>
    <n v="0"/>
    <n v="0"/>
    <n v="0"/>
    <n v="0"/>
    <n v="0"/>
    <n v="0"/>
    <n v="0"/>
    <n v="0"/>
    <n v="0"/>
    <x v="147"/>
  </r>
  <r>
    <m/>
    <s v="RISERVE DA UTILI DI ESERCIZIO DESTINATI AD INVESTIMENTI"/>
    <n v="0"/>
    <n v="0"/>
    <n v="0"/>
    <n v="0"/>
    <n v="0"/>
    <n v="0"/>
    <n v="0"/>
    <n v="0"/>
    <n v="0"/>
    <n v="0"/>
    <x v="1"/>
  </r>
  <r>
    <s v="2.01.04.04.0101"/>
    <s v="RISERVE DA UTILI DI ESERCIZIO DESTINATI AD INVESTIMENTI"/>
    <n v="0"/>
    <n v="0"/>
    <n v="0"/>
    <n v="0"/>
    <n v="0"/>
    <n v="0"/>
    <n v="0"/>
    <n v="0"/>
    <n v="0"/>
    <n v="0"/>
    <x v="148"/>
  </r>
  <r>
    <m/>
    <s v="RISERVE DIVERSE"/>
    <n v="0"/>
    <n v="0"/>
    <n v="0"/>
    <n v="0"/>
    <n v="0"/>
    <n v="0"/>
    <n v="0"/>
    <n v="0"/>
    <n v="0"/>
    <n v="0"/>
    <x v="1"/>
  </r>
  <r>
    <s v="2.01.04.05.0101"/>
    <s v="RISERVA PER SPESA IN CONTO ESERCIZIO"/>
    <n v="0"/>
    <n v="0"/>
    <n v="0"/>
    <n v="0"/>
    <n v="0"/>
    <n v="0"/>
    <n v="0"/>
    <n v="0"/>
    <n v="0"/>
    <n v="0"/>
    <x v="149"/>
  </r>
  <r>
    <s v="2.01.04.05.0102"/>
    <s v="RISERVA PER INCENTIVAZIONE AL PERSONALE"/>
    <n v="0"/>
    <n v="0"/>
    <n v="0"/>
    <n v="0"/>
    <n v="0"/>
    <n v="0"/>
    <n v="0"/>
    <n v="0"/>
    <n v="0"/>
    <n v="0"/>
    <x v="149"/>
  </r>
  <r>
    <s v="2.01.04.05.0103"/>
    <s v="RISERVA PER RIPIANO PERDITE D'ESERCIZIO"/>
    <n v="0"/>
    <n v="0"/>
    <n v="0"/>
    <n v="0"/>
    <n v="0"/>
    <n v="0"/>
    <n v="0"/>
    <n v="0"/>
    <n v="0"/>
    <n v="0"/>
    <x v="149"/>
  </r>
  <r>
    <m/>
    <s v="CONTRIBUTI PER RIPIANO PERDITE"/>
    <n v="0"/>
    <n v="0"/>
    <n v="0"/>
    <n v="0"/>
    <n v="0"/>
    <n v="0"/>
    <n v="0"/>
    <n v="0"/>
    <n v="0"/>
    <n v="0"/>
    <x v="1"/>
  </r>
  <r>
    <m/>
    <s v="CONTRIBUTI PER COPERTURA DEBITI AL 31/12/2005"/>
    <n v="0"/>
    <n v="0"/>
    <n v="0"/>
    <n v="0"/>
    <n v="0"/>
    <n v="0"/>
    <n v="0"/>
    <n v="0"/>
    <n v="0"/>
    <n v="0"/>
    <x v="1"/>
  </r>
  <r>
    <s v="2.01.05.01.0101"/>
    <s v="CONTRIBUTI PER COPERTURA DEBITI AL 31/12/2005"/>
    <n v="0"/>
    <n v="0"/>
    <n v="0"/>
    <n v="0"/>
    <n v="0"/>
    <n v="0"/>
    <n v="0"/>
    <n v="0"/>
    <n v="0"/>
    <n v="0"/>
    <x v="150"/>
  </r>
  <r>
    <m/>
    <s v="CONTRIBUTI PER RICOSTITUZIONE RISORSE DA INVESTIMENTI ESERCIZI PRECEDENTI"/>
    <n v="0"/>
    <n v="0"/>
    <n v="0"/>
    <n v="0"/>
    <n v="0"/>
    <n v="0"/>
    <n v="0"/>
    <n v="0"/>
    <n v="0"/>
    <n v="0"/>
    <x v="1"/>
  </r>
  <r>
    <s v="2.01.05.02.0101"/>
    <s v="CONTRIBUTI PER RICOSTITUZIONE RISORSE DA INVESTIMENTI ESERCIZI PRECEDENTI"/>
    <n v="0"/>
    <n v="0"/>
    <n v="0"/>
    <n v="0"/>
    <n v="0"/>
    <n v="0"/>
    <n v="0"/>
    <n v="0"/>
    <n v="0"/>
    <n v="0"/>
    <x v="151"/>
  </r>
  <r>
    <m/>
    <s v="ALTRO"/>
    <n v="0"/>
    <n v="0"/>
    <n v="0"/>
    <n v="0"/>
    <n v="0"/>
    <n v="0"/>
    <n v="0"/>
    <n v="0"/>
    <n v="0"/>
    <n v="0"/>
    <x v="1"/>
  </r>
  <r>
    <s v="2.01.05.03.0101"/>
    <s v="CONTRIBUTI PER RIPIANO PERDITE ANNI PRECEDENTI 2001"/>
    <n v="0"/>
    <n v="0"/>
    <n v="0"/>
    <n v="0"/>
    <n v="0"/>
    <n v="0"/>
    <n v="0"/>
    <n v="0"/>
    <n v="0"/>
    <n v="0"/>
    <x v="152"/>
  </r>
  <r>
    <s v="2.01.05.03.0102"/>
    <s v="CONTRIBUTI PER RIPIANO PERDITE ANNI PRECEDENTI 2002"/>
    <n v="0"/>
    <n v="0"/>
    <n v="0"/>
    <n v="0"/>
    <n v="0"/>
    <n v="0"/>
    <n v="0"/>
    <n v="0"/>
    <n v="0"/>
    <n v="0"/>
    <x v="152"/>
  </r>
  <r>
    <s v="2.01.05.03.0103"/>
    <s v="CONTRIBUTI PER RIPIANO PERDITE ANNI PRECEDENTI 2003"/>
    <n v="0"/>
    <n v="0"/>
    <n v="0"/>
    <n v="0"/>
    <n v="0"/>
    <n v="0"/>
    <n v="0"/>
    <n v="0"/>
    <n v="0"/>
    <n v="0"/>
    <x v="152"/>
  </r>
  <r>
    <s v="2.01.05.03.0104"/>
    <s v="CONTRIBUTI PER RIPIANO PERDITE ANNI PRECEDENTI  2004"/>
    <n v="0"/>
    <n v="0"/>
    <n v="0"/>
    <n v="0"/>
    <n v="0"/>
    <n v="0"/>
    <n v="0"/>
    <n v="0"/>
    <n v="0"/>
    <n v="0"/>
    <x v="152"/>
  </r>
  <r>
    <s v="2.01.05.03.0105"/>
    <s v="CONTRIBUTI PER RIPIANO PERDITE ANNI PRECEDENTI  2005"/>
    <n v="0"/>
    <n v="0"/>
    <n v="0"/>
    <n v="0"/>
    <n v="0"/>
    <n v="0"/>
    <n v="0"/>
    <n v="0"/>
    <n v="0"/>
    <n v="0"/>
    <x v="152"/>
  </r>
  <r>
    <s v="2.01.05.03.0106"/>
    <s v="CONTRIBUTI PER RIPIANO PERDITE ANNI PRECEDENTI  2006"/>
    <n v="0"/>
    <n v="0"/>
    <n v="0"/>
    <n v="0"/>
    <n v="0"/>
    <n v="0"/>
    <n v="0"/>
    <n v="0"/>
    <n v="0"/>
    <n v="0"/>
    <x v="152"/>
  </r>
  <r>
    <s v="2.01.05.03.0107"/>
    <s v="CONTRIBUTI PER RIPIANO PERDITE ANNI PRECEDENTI 2007"/>
    <n v="0"/>
    <n v="0"/>
    <n v="0"/>
    <n v="0"/>
    <n v="0"/>
    <n v="0"/>
    <n v="0"/>
    <n v="0"/>
    <n v="0"/>
    <n v="0"/>
    <x v="152"/>
  </r>
  <r>
    <s v="2.01.05.03.0108"/>
    <s v="CONTRIBUTI PER RIPIANO PERDITE ANNI PRECEDENTI 2008"/>
    <n v="0"/>
    <n v="0"/>
    <n v="0"/>
    <n v="0"/>
    <n v="0"/>
    <n v="0"/>
    <n v="0"/>
    <n v="0"/>
    <n v="0"/>
    <n v="0"/>
    <x v="152"/>
  </r>
  <r>
    <s v="2.01.05.03.0109"/>
    <s v="CONTRIBUTI PER RIPIANO PERDITE ANNI PRECEDENTI 2009"/>
    <n v="0"/>
    <n v="0"/>
    <n v="0"/>
    <n v="0"/>
    <n v="0"/>
    <n v="0"/>
    <n v="0"/>
    <n v="0"/>
    <n v="0"/>
    <n v="0"/>
    <x v="152"/>
  </r>
  <r>
    <s v="2.01.05.03.0110"/>
    <s v="CONTRIBUTI PER RIPIANO PERDITE ANNI PRECEDENTI 2010"/>
    <n v="0"/>
    <n v="0"/>
    <n v="0"/>
    <n v="0"/>
    <n v="0"/>
    <n v="0"/>
    <n v="0"/>
    <n v="0"/>
    <n v="0"/>
    <n v="0"/>
    <x v="152"/>
  </r>
  <r>
    <s v="2.01.05.03.0111"/>
    <s v="CONTRIBUTI PER RIPIANO PERDITE ANNI PRECEDENTI 2011"/>
    <n v="0"/>
    <n v="0"/>
    <n v="0"/>
    <n v="0"/>
    <n v="0"/>
    <n v="0"/>
    <n v="0"/>
    <n v="0"/>
    <n v="0"/>
    <n v="0"/>
    <x v="152"/>
  </r>
  <r>
    <s v="2.01.05.03.0112"/>
    <s v="CONTRIBUTI PER RIPIANO PERDITE ANNIPRECEDENTI 2012"/>
    <n v="0"/>
    <n v="0"/>
    <n v="0"/>
    <n v="0"/>
    <n v="0"/>
    <n v="0"/>
    <n v="0"/>
    <n v="0"/>
    <n v="0"/>
    <n v="0"/>
    <x v="152"/>
  </r>
  <r>
    <m/>
    <s v="UTILI (PERDITE) PORTATI A NUOVO"/>
    <n v="459230.64"/>
    <n v="17558051.760000002"/>
    <n v="17098821.120000001"/>
    <n v="0"/>
    <n v="0"/>
    <n v="0"/>
    <n v="0"/>
    <n v="459230.64"/>
    <n v="17558051.760000002"/>
    <n v="-17098821.120000001"/>
    <x v="1"/>
  </r>
  <r>
    <m/>
    <s v="UTILI (PERDITE) PORTATI A NUOVO"/>
    <n v="459230.64"/>
    <n v="17558051.760000002"/>
    <n v="17098821.120000001"/>
    <n v="0"/>
    <n v="0"/>
    <n v="0"/>
    <n v="0"/>
    <n v="459230.64"/>
    <n v="17558051.760000002"/>
    <n v="-17098821.120000001"/>
    <x v="1"/>
  </r>
  <r>
    <s v="2.01.06.01.0101"/>
    <s v="UTILE/PERDITE PORTATE A NUOVO"/>
    <n v="0"/>
    <n v="17306068.5"/>
    <n v="17306068.5"/>
    <n v="0"/>
    <n v="0"/>
    <n v="0"/>
    <n v="0"/>
    <n v="0"/>
    <n v="17306068.5"/>
    <n v="-17306068.5"/>
    <x v="153"/>
  </r>
  <r>
    <s v="2.01.06.01.0102"/>
    <s v="PERDITE PORTATE A NUOVO"/>
    <n v="0"/>
    <n v="0"/>
    <n v="0"/>
    <n v="0"/>
    <n v="0"/>
    <n v="0"/>
    <n v="0"/>
    <n v="0"/>
    <n v="0"/>
    <n v="0"/>
    <x v="153"/>
  </r>
  <r>
    <s v="2.01.06.01.0201"/>
    <s v="PERDITE PORTATE A NUOVO DA APPLICAZ.D.LGS 118/11"/>
    <n v="459230.64"/>
    <n v="0"/>
    <n v="459230.64"/>
    <n v="0"/>
    <n v="0"/>
    <n v="0"/>
    <n v="0"/>
    <n v="459230.64"/>
    <n v="0"/>
    <n v="459230.64"/>
    <x v="153"/>
  </r>
  <r>
    <s v="2.01.06.01.0202"/>
    <s v="PERDITE PORTATE A NUOVO 2002"/>
    <n v="0"/>
    <n v="0"/>
    <n v="0"/>
    <n v="0"/>
    <n v="0"/>
    <n v="0"/>
    <n v="0"/>
    <n v="0"/>
    <n v="0"/>
    <n v="0"/>
    <x v="153"/>
  </r>
  <r>
    <s v="2.01.06.01.0203"/>
    <s v="PERDITE PORTATE A NUOVO 2003"/>
    <n v="0"/>
    <n v="0"/>
    <n v="0"/>
    <n v="0"/>
    <n v="0"/>
    <n v="0"/>
    <n v="0"/>
    <n v="0"/>
    <n v="0"/>
    <n v="0"/>
    <x v="153"/>
  </r>
  <r>
    <s v="2.01.06.01.0204"/>
    <s v="PERDITE PORTATE A NUOVO 2004"/>
    <n v="0"/>
    <n v="0"/>
    <n v="0"/>
    <n v="0"/>
    <n v="0"/>
    <n v="0"/>
    <n v="0"/>
    <n v="0"/>
    <n v="0"/>
    <n v="0"/>
    <x v="153"/>
  </r>
  <r>
    <s v="2.01.06.01.0205"/>
    <s v="UTILE/PERDITE PORTATE A NUOVO 2005"/>
    <n v="0"/>
    <n v="0"/>
    <n v="0"/>
    <n v="0"/>
    <n v="0"/>
    <n v="0"/>
    <n v="0"/>
    <n v="0"/>
    <n v="0"/>
    <n v="0"/>
    <x v="153"/>
  </r>
  <r>
    <s v="2.01.06.01.0206"/>
    <s v="PERDITE PORTATE A NUOVO 2006"/>
    <n v="0"/>
    <n v="0"/>
    <n v="0"/>
    <n v="0"/>
    <n v="0"/>
    <n v="0"/>
    <n v="0"/>
    <n v="0"/>
    <n v="0"/>
    <n v="0"/>
    <x v="153"/>
  </r>
  <r>
    <s v="2.01.06.01.0207"/>
    <s v="PERDITE PORTATE A NUOVO 2007"/>
    <n v="0"/>
    <n v="0"/>
    <n v="0"/>
    <n v="0"/>
    <n v="0"/>
    <n v="0"/>
    <n v="0"/>
    <n v="0"/>
    <n v="0"/>
    <n v="0"/>
    <x v="153"/>
  </r>
  <r>
    <s v="2.01.06.01.0208"/>
    <s v="PERDITE PORTATE A NUOVO 2008"/>
    <n v="0"/>
    <n v="0"/>
    <n v="0"/>
    <n v="0"/>
    <n v="0"/>
    <n v="0"/>
    <n v="0"/>
    <n v="0"/>
    <n v="0"/>
    <n v="0"/>
    <x v="153"/>
  </r>
  <r>
    <s v="2.01.06.01.0209"/>
    <s v="PERDITE PORTATE A NUOVO 2009"/>
    <n v="0"/>
    <n v="0"/>
    <n v="0"/>
    <n v="0"/>
    <n v="0"/>
    <n v="0"/>
    <n v="0"/>
    <n v="0"/>
    <n v="0"/>
    <n v="0"/>
    <x v="153"/>
  </r>
  <r>
    <s v="2.01.06.01.0210"/>
    <s v="UTILE/PERDITE PORTATE A NUOVO 2010"/>
    <n v="0"/>
    <n v="0"/>
    <n v="0"/>
    <n v="0"/>
    <n v="0"/>
    <n v="0"/>
    <n v="0"/>
    <n v="0"/>
    <n v="0"/>
    <n v="0"/>
    <x v="153"/>
  </r>
  <r>
    <s v="2.01.06.01.0211"/>
    <s v="UTILE/PERDITE PORTATE A NUOVO 2011"/>
    <n v="0"/>
    <n v="0"/>
    <n v="0"/>
    <n v="0"/>
    <n v="0"/>
    <n v="0"/>
    <n v="0"/>
    <n v="0"/>
    <n v="0"/>
    <n v="0"/>
    <x v="153"/>
  </r>
  <r>
    <s v="2.01.06.01.0212"/>
    <s v="UTILE/PERDITE PORTATE A NUOVO 2012"/>
    <n v="0"/>
    <n v="0"/>
    <n v="0"/>
    <n v="0"/>
    <n v="0"/>
    <n v="0"/>
    <n v="0"/>
    <n v="0"/>
    <n v="0"/>
    <n v="0"/>
    <x v="153"/>
  </r>
  <r>
    <s v="2.01.06.01.0213"/>
    <s v="UTILE/PERDITE PORTATE A NUOVO 2013"/>
    <n v="0"/>
    <n v="0"/>
    <n v="0"/>
    <n v="0"/>
    <n v="0"/>
    <n v="0"/>
    <n v="0"/>
    <n v="0"/>
    <n v="0"/>
    <n v="0"/>
    <x v="153"/>
  </r>
  <r>
    <s v="2.01.06.01.0214"/>
    <s v="UTILE/PERDITE PORTATE A NUOVO 2014"/>
    <n v="0"/>
    <n v="0"/>
    <n v="0"/>
    <n v="0"/>
    <n v="0"/>
    <n v="0"/>
    <n v="0"/>
    <n v="0"/>
    <n v="0"/>
    <n v="0"/>
    <x v="153"/>
  </r>
  <r>
    <s v="2.01.06.01.0215"/>
    <s v="UTILE/PERDITE PORTATE A NUOVO 2015"/>
    <n v="0"/>
    <n v="251983.26"/>
    <n v="251983.26"/>
    <n v="0"/>
    <n v="0"/>
    <n v="0"/>
    <n v="0"/>
    <n v="0"/>
    <n v="251983.26"/>
    <n v="-251983.26"/>
    <x v="153"/>
  </r>
  <r>
    <m/>
    <s v="UTILE (PERDITA) D'ESERCIZIO"/>
    <n v="0"/>
    <n v="0"/>
    <n v="0"/>
    <n v="0"/>
    <n v="0"/>
    <n v="0"/>
    <n v="0"/>
    <n v="0"/>
    <n v="0"/>
    <n v="0"/>
    <x v="1"/>
  </r>
  <r>
    <m/>
    <s v="UTILE (PERDITA) D'ESERCIZIO"/>
    <n v="0"/>
    <n v="0"/>
    <n v="0"/>
    <n v="0"/>
    <n v="0"/>
    <n v="0"/>
    <n v="0"/>
    <n v="0"/>
    <n v="0"/>
    <n v="0"/>
    <x v="1"/>
  </r>
  <r>
    <s v="2.01.07.01.0101"/>
    <s v="UTILE (PERDITA) D'ESERCIZIO"/>
    <n v="0"/>
    <n v="0"/>
    <n v="0"/>
    <n v="0"/>
    <n v="0"/>
    <n v="0"/>
    <n v="0"/>
    <n v="0"/>
    <n v="0"/>
    <n v="0"/>
    <x v="154"/>
  </r>
  <r>
    <m/>
    <s v="FONDI PER RISCHI E ONERI"/>
    <n v="4187.1499999999996"/>
    <n v="60529081.659999996"/>
    <n v="60524894.509999998"/>
    <n v="18644004.690000001"/>
    <n v="19928965.920000002"/>
    <n v="0"/>
    <n v="0"/>
    <n v="18648191.84"/>
    <n v="80458047.579999998"/>
    <n v="-61809855.740000002"/>
    <x v="1"/>
  </r>
  <r>
    <m/>
    <s v="FONDI PER IMPOSTE, ANCHE DIFFERITE"/>
    <n v="0"/>
    <n v="0"/>
    <n v="0"/>
    <n v="0"/>
    <n v="0"/>
    <n v="0"/>
    <n v="0"/>
    <n v="0"/>
    <n v="0"/>
    <n v="0"/>
    <x v="1"/>
  </r>
  <r>
    <m/>
    <s v="FONDI PER IMPOSTE, ANCHE DIFFERITE"/>
    <n v="0"/>
    <n v="0"/>
    <n v="0"/>
    <n v="0"/>
    <n v="0"/>
    <n v="0"/>
    <n v="0"/>
    <n v="0"/>
    <n v="0"/>
    <n v="0"/>
    <x v="1"/>
  </r>
  <r>
    <s v="2.02.01.01.0101"/>
    <s v="FONDI PER IMPOSTE, ANCHE DIFFERITE"/>
    <n v="0"/>
    <n v="0"/>
    <n v="0"/>
    <n v="0"/>
    <n v="0"/>
    <n v="0"/>
    <n v="0"/>
    <n v="0"/>
    <n v="0"/>
    <n v="0"/>
    <x v="155"/>
  </r>
  <r>
    <m/>
    <s v="FONDI PER RISCHI"/>
    <n v="0"/>
    <n v="26039079.609999999"/>
    <n v="26039079.609999999"/>
    <n v="11251150.23"/>
    <n v="8480793"/>
    <n v="0"/>
    <n v="0"/>
    <n v="11251150.23"/>
    <n v="34519872.609999999"/>
    <n v="-23268722.379999999"/>
    <x v="1"/>
  </r>
  <r>
    <m/>
    <s v="FONDO RISCHI PER CAUSE CIVILI ED ONERI PROCESSUALI"/>
    <n v="0"/>
    <n v="12980482.060000001"/>
    <n v="12980482.060000001"/>
    <n v="1518646.17"/>
    <n v="4600000"/>
    <n v="0"/>
    <n v="0"/>
    <n v="1518646.17"/>
    <n v="17580482.059999999"/>
    <n v="-16061835.890000001"/>
    <x v="1"/>
  </r>
  <r>
    <s v="2.02.02.01.0101"/>
    <s v="FONDO RISCHI PER CAUSE CIVILI ED ONERI PROCESSUALI"/>
    <n v="0"/>
    <n v="12980482.060000001"/>
    <n v="12980482.060000001"/>
    <n v="1518646.17"/>
    <n v="4600000"/>
    <n v="0"/>
    <n v="0"/>
    <n v="1518646.17"/>
    <n v="17580482.059999999"/>
    <n v="-16061835.890000001"/>
    <x v="156"/>
  </r>
  <r>
    <m/>
    <s v="FONDO RISCHI PER CONTENZIOSO PERSONALE DIPENDENTE"/>
    <n v="0"/>
    <n v="4936390.72"/>
    <n v="4936390.72"/>
    <n v="2577442.66"/>
    <n v="2350000"/>
    <n v="0"/>
    <n v="0"/>
    <n v="2577442.66"/>
    <n v="7286390.7199999997"/>
    <n v="-4708948.0599999996"/>
    <x v="1"/>
  </r>
  <r>
    <s v="2.02.02.02.0101"/>
    <s v="FONDO RISCHI PER CONTENZIOSO PERSONALE DIPENDENTE"/>
    <n v="0"/>
    <n v="4936390.72"/>
    <n v="4936390.72"/>
    <n v="2577442.66"/>
    <n v="2350000"/>
    <n v="0"/>
    <n v="0"/>
    <n v="2577442.66"/>
    <n v="7286390.7199999997"/>
    <n v="-4708948.0599999996"/>
    <x v="157"/>
  </r>
  <r>
    <s v="2.02.02.02.0102"/>
    <s v="FONDO PER LITI E ARBITRATI"/>
    <n v="0"/>
    <n v="0"/>
    <n v="0"/>
    <n v="0"/>
    <n v="0"/>
    <n v="0"/>
    <n v="0"/>
    <n v="0"/>
    <n v="0"/>
    <n v="0"/>
    <x v="157"/>
  </r>
  <r>
    <m/>
    <s v="FONDO RISCHI CONNESSI ALL'ACQUISTO DI PRESTAZIONI SANITARIE DA PRIVATO"/>
    <n v="0"/>
    <n v="0"/>
    <n v="0"/>
    <n v="0"/>
    <n v="0"/>
    <n v="0"/>
    <n v="0"/>
    <n v="0"/>
    <n v="0"/>
    <n v="0"/>
    <x v="1"/>
  </r>
  <r>
    <s v="2.02.02.03.0101"/>
    <s v="FONDO RISCHI CONNESSI ALL'ACQUISTO DI PRESTAZIONI SANITARIE DA PRIVATO"/>
    <n v="0"/>
    <n v="0"/>
    <n v="0"/>
    <n v="0"/>
    <n v="0"/>
    <n v="0"/>
    <n v="0"/>
    <n v="0"/>
    <n v="0"/>
    <n v="0"/>
    <x v="158"/>
  </r>
  <r>
    <m/>
    <s v="FONDO RISCHI PER COPERTURA DIRETTA DEI RISCHI (AUTOASSICURAZIONE)"/>
    <n v="0"/>
    <n v="7069318.8499999996"/>
    <n v="7069318.8499999996"/>
    <n v="7155061.4000000004"/>
    <n v="1530793"/>
    <n v="0"/>
    <n v="0"/>
    <n v="7155061.4000000004"/>
    <n v="8600111.8499999996"/>
    <n v="-1445050.45"/>
    <x v="1"/>
  </r>
  <r>
    <s v="2.02.02.04.0101"/>
    <s v="FONDO RISCHI PER COPERTURA DIRETTA DEI RISCHI (AUTOASSICURAZIONE)"/>
    <n v="0"/>
    <n v="7069318.8499999996"/>
    <n v="7069318.8499999996"/>
    <n v="7155061.4000000004"/>
    <n v="1530793"/>
    <n v="0"/>
    <n v="0"/>
    <n v="7155061.4000000004"/>
    <n v="8600111.8499999996"/>
    <n v="-1445050.45"/>
    <x v="159"/>
  </r>
  <r>
    <m/>
    <s v="ALTRI FONDI RISCHI"/>
    <n v="0"/>
    <n v="1052887.98"/>
    <n v="1052887.98"/>
    <n v="0"/>
    <n v="0"/>
    <n v="0"/>
    <n v="0"/>
    <n v="0"/>
    <n v="1052887.98"/>
    <n v="-1052887.98"/>
    <x v="1"/>
  </r>
  <r>
    <s v="2.02.02.05.0101"/>
    <s v="ALTRI FONDI RISCHI"/>
    <n v="0"/>
    <n v="1052887.98"/>
    <n v="1052887.98"/>
    <n v="0"/>
    <n v="0"/>
    <n v="0"/>
    <n v="0"/>
    <n v="0"/>
    <n v="1052887.98"/>
    <n v="-1052887.98"/>
    <x v="160"/>
  </r>
  <r>
    <s v="2.02.02.05.0102"/>
    <s v="FONDO SVALUTAZIONE CREDITI V/CLIENTI PRIVATI"/>
    <n v="0"/>
    <n v="0"/>
    <n v="0"/>
    <n v="0"/>
    <n v="0"/>
    <n v="0"/>
    <n v="0"/>
    <n v="0"/>
    <n v="0"/>
    <n v="0"/>
    <x v="160"/>
  </r>
  <r>
    <s v="2.02.02.05.0103"/>
    <s v="FONDO SVALUTAZIONE CREDITI V/GESTIONI LIQUIDATORIE"/>
    <n v="0"/>
    <n v="0"/>
    <n v="0"/>
    <n v="0"/>
    <n v="0"/>
    <n v="0"/>
    <n v="0"/>
    <n v="0"/>
    <n v="0"/>
    <n v="0"/>
    <x v="160"/>
  </r>
  <r>
    <s v="2.02.02.05.0104"/>
    <s v="FONDO SVALUTAZIONE CREDITI V/PREFETTURE"/>
    <n v="0"/>
    <n v="0"/>
    <n v="0"/>
    <n v="0"/>
    <n v="0"/>
    <n v="0"/>
    <n v="0"/>
    <n v="0"/>
    <n v="0"/>
    <n v="0"/>
    <x v="160"/>
  </r>
  <r>
    <s v="2.02.02.05.0105"/>
    <s v="FONDO SVALUTAZIONE CREDITI V/ALTRI SOGGETTI PUBBLICI"/>
    <n v="0"/>
    <n v="0"/>
    <n v="0"/>
    <n v="0"/>
    <n v="0"/>
    <n v="0"/>
    <n v="0"/>
    <n v="0"/>
    <n v="0"/>
    <n v="0"/>
    <x v="160"/>
  </r>
  <r>
    <s v="2.02.02.05.0106"/>
    <s v="FONDO SVALUTAZIONE CREDITI - ALTRI CREDITI DIVERSI"/>
    <n v="0"/>
    <n v="0"/>
    <n v="0"/>
    <n v="0"/>
    <n v="0"/>
    <n v="0"/>
    <n v="0"/>
    <n v="0"/>
    <n v="0"/>
    <n v="0"/>
    <x v="160"/>
  </r>
  <r>
    <m/>
    <s v="Fondo rischi per franchigia assicurativa"/>
    <n v="0"/>
    <n v="0"/>
    <n v="0"/>
    <n v="0"/>
    <n v="0"/>
    <n v="0"/>
    <n v="0"/>
    <n v="0"/>
    <n v="0"/>
    <n v="0"/>
    <x v="1"/>
  </r>
  <r>
    <s v="2.02.02.06.0101"/>
    <s v="Fondo rischi per franchigia assicurativa"/>
    <n v="0"/>
    <n v="0"/>
    <n v="0"/>
    <n v="0"/>
    <n v="0"/>
    <n v="0"/>
    <n v="0"/>
    <n v="0"/>
    <n v="0"/>
    <n v="0"/>
    <x v="161"/>
  </r>
  <r>
    <m/>
    <s v="Fondo rischi per interessi di mora"/>
    <n v="0"/>
    <n v="0"/>
    <n v="0"/>
    <n v="0"/>
    <n v="0"/>
    <n v="0"/>
    <n v="0"/>
    <n v="0"/>
    <n v="0"/>
    <n v="0"/>
    <x v="1"/>
  </r>
  <r>
    <s v="2.02.02.07.0101"/>
    <s v="Fondo rischi per interessi di mora"/>
    <n v="0"/>
    <n v="0"/>
    <n v="0"/>
    <n v="0"/>
    <n v="0"/>
    <n v="0"/>
    <n v="0"/>
    <n v="0"/>
    <n v="0"/>
    <n v="0"/>
    <x v="162"/>
  </r>
  <r>
    <m/>
    <s v="FONDI DA DISTRIBUIRE"/>
    <n v="0"/>
    <n v="650804.80000000005"/>
    <n v="650804.80000000005"/>
    <n v="0"/>
    <n v="0"/>
    <n v="0"/>
    <n v="0"/>
    <n v="0"/>
    <n v="650804.80000000005"/>
    <n v="-650804.80000000005"/>
    <x v="1"/>
  </r>
  <r>
    <m/>
    <s v="FSR INDISTINTO DA DISTRIBUIRE"/>
    <n v="0"/>
    <n v="0"/>
    <n v="0"/>
    <n v="0"/>
    <n v="0"/>
    <n v="0"/>
    <n v="0"/>
    <n v="0"/>
    <n v="0"/>
    <n v="0"/>
    <x v="1"/>
  </r>
  <r>
    <s v="2.02.03.01.0101"/>
    <s v="FSR INDISTINTO DA DISTRIBUIRE"/>
    <n v="0"/>
    <n v="0"/>
    <n v="0"/>
    <n v="0"/>
    <n v="0"/>
    <n v="0"/>
    <n v="0"/>
    <n v="0"/>
    <n v="0"/>
    <n v="0"/>
    <x v="163"/>
  </r>
  <r>
    <m/>
    <s v="FSR VINCOLATO DA DISTRIBUIRE"/>
    <n v="0"/>
    <n v="0"/>
    <n v="0"/>
    <n v="0"/>
    <n v="0"/>
    <n v="0"/>
    <n v="0"/>
    <n v="0"/>
    <n v="0"/>
    <n v="0"/>
    <x v="1"/>
  </r>
  <r>
    <s v="2.02.03.02.0101"/>
    <s v="FSR VINCOLATO DA DISTRIBUIRE"/>
    <n v="0"/>
    <n v="0"/>
    <n v="0"/>
    <n v="0"/>
    <n v="0"/>
    <n v="0"/>
    <n v="0"/>
    <n v="0"/>
    <n v="0"/>
    <n v="0"/>
    <x v="164"/>
  </r>
  <r>
    <m/>
    <s v="FONDO PER RIPIANO DISAVANZI PREGRESSI"/>
    <n v="0"/>
    <n v="0"/>
    <n v="0"/>
    <n v="0"/>
    <n v="0"/>
    <n v="0"/>
    <n v="0"/>
    <n v="0"/>
    <n v="0"/>
    <n v="0"/>
    <x v="1"/>
  </r>
  <r>
    <s v="2.02.03.03.0101"/>
    <s v="FONDO PER RIPIANO DISAVANZI PREGRESSI"/>
    <n v="0"/>
    <n v="0"/>
    <n v="0"/>
    <n v="0"/>
    <n v="0"/>
    <n v="0"/>
    <n v="0"/>
    <n v="0"/>
    <n v="0"/>
    <n v="0"/>
    <x v="165"/>
  </r>
  <r>
    <m/>
    <s v="FONDO FINANZIAMENTO SANITARIO AGGIUNTIVO CORRENTE LEA"/>
    <n v="0"/>
    <n v="0"/>
    <n v="0"/>
    <n v="0"/>
    <n v="0"/>
    <n v="0"/>
    <n v="0"/>
    <n v="0"/>
    <n v="0"/>
    <n v="0"/>
    <x v="1"/>
  </r>
  <r>
    <s v="2.02.03.04.0101"/>
    <s v="FONDO FINANZIAMENTO SANITARIO AGGIUNTIVO CORRENTE LEA"/>
    <n v="0"/>
    <n v="0"/>
    <n v="0"/>
    <n v="0"/>
    <n v="0"/>
    <n v="0"/>
    <n v="0"/>
    <n v="0"/>
    <n v="0"/>
    <n v="0"/>
    <x v="166"/>
  </r>
  <r>
    <m/>
    <s v="FONDO FINANZIAMENTO SANITARIO AGGIUNTIVO CORRENTE EXTRA LEA"/>
    <n v="0"/>
    <n v="0"/>
    <n v="0"/>
    <n v="0"/>
    <n v="0"/>
    <n v="0"/>
    <n v="0"/>
    <n v="0"/>
    <n v="0"/>
    <n v="0"/>
    <x v="1"/>
  </r>
  <r>
    <s v="2.02.03.05.0101"/>
    <s v="FONDO FINANZIAMENTO SANITARIO AGGIUNTIVO CORRENTE EXTRA LEA"/>
    <n v="0"/>
    <n v="0"/>
    <n v="0"/>
    <n v="0"/>
    <n v="0"/>
    <n v="0"/>
    <n v="0"/>
    <n v="0"/>
    <n v="0"/>
    <n v="0"/>
    <x v="167"/>
  </r>
  <r>
    <m/>
    <s v="FONDO FINANZIAMENTO PER RICERCA"/>
    <n v="0"/>
    <n v="0"/>
    <n v="0"/>
    <n v="0"/>
    <n v="0"/>
    <n v="0"/>
    <n v="0"/>
    <n v="0"/>
    <n v="0"/>
    <n v="0"/>
    <x v="1"/>
  </r>
  <r>
    <s v="2.02.03.06.0101"/>
    <s v="FONDO FINANZIAMENTO PER RICERCA"/>
    <n v="0"/>
    <n v="0"/>
    <n v="0"/>
    <n v="0"/>
    <n v="0"/>
    <n v="0"/>
    <n v="0"/>
    <n v="0"/>
    <n v="0"/>
    <n v="0"/>
    <x v="168"/>
  </r>
  <r>
    <m/>
    <s v="FONDO FINANZIAMENTO PER INVESTIMENTI"/>
    <n v="0"/>
    <n v="650804.80000000005"/>
    <n v="650804.80000000005"/>
    <n v="0"/>
    <n v="0"/>
    <n v="0"/>
    <n v="0"/>
    <n v="0"/>
    <n v="650804.80000000005"/>
    <n v="-650804.80000000005"/>
    <x v="1"/>
  </r>
  <r>
    <s v="2.02.03.07.0101"/>
    <s v="FONDO FINANZIAMENTO PER INVESTIMENTI"/>
    <n v="0"/>
    <n v="650804.80000000005"/>
    <n v="650804.80000000005"/>
    <n v="0"/>
    <n v="0"/>
    <n v="0"/>
    <n v="0"/>
    <n v="0"/>
    <n v="650804.80000000005"/>
    <n v="-650804.80000000005"/>
    <x v="169"/>
  </r>
  <r>
    <m/>
    <s v="Fondo finanziamento sanitario aggiuntivo corrente (extra fondo) - Risorse aggiuntive da bilancio regionale a titolo di copertura extra LEA"/>
    <n v="0"/>
    <n v="0"/>
    <n v="0"/>
    <n v="0"/>
    <n v="0"/>
    <n v="0"/>
    <n v="0"/>
    <n v="0"/>
    <n v="0"/>
    <n v="0"/>
    <x v="1"/>
  </r>
  <r>
    <s v="2.02.03.08.0101"/>
    <s v="Fondo finanziamento sanitario aggiuntivo corrente (extra fondo) - Risorse aggiuntive da bilancio regionale a titolo di copertura extra LEA"/>
    <n v="0"/>
    <n v="0"/>
    <n v="0"/>
    <n v="0"/>
    <n v="0"/>
    <n v="0"/>
    <n v="0"/>
    <n v="0"/>
    <n v="0"/>
    <n v="0"/>
    <x v="170"/>
  </r>
  <r>
    <m/>
    <s v="QUOTE INUTILIZZATE CONTRIBUTI"/>
    <n v="4187.1499999999996"/>
    <n v="26428499.469999999"/>
    <n v="26424312.32"/>
    <n v="2173088.4300000002"/>
    <n v="5367065"/>
    <n v="0"/>
    <n v="0"/>
    <n v="2177275.58"/>
    <n v="31795564.469999999"/>
    <n v="-29618288.890000001"/>
    <x v="1"/>
  </r>
  <r>
    <m/>
    <s v="QUOTE INUTILIZZATE CONTRIBUTI DA REGIONE O PROV. AUT. PER QUOTA F.S. VINCOLATO"/>
    <n v="0"/>
    <n v="18268501.690000001"/>
    <n v="18268501.690000001"/>
    <n v="1756361.92"/>
    <n v="354372.3"/>
    <n v="0"/>
    <n v="0"/>
    <n v="1756361.92"/>
    <n v="18622873.989999998"/>
    <n v="-16866512.07"/>
    <x v="1"/>
  </r>
  <r>
    <s v="2.02.04.01.0101"/>
    <s v="QUOTE INUTILIZZATE CONTRIBUTI DA REGIONE PER FS &quot;FINALIZZATO&quot;"/>
    <n v="0"/>
    <n v="0"/>
    <n v="0"/>
    <n v="0"/>
    <n v="0"/>
    <n v="0"/>
    <n v="0"/>
    <n v="0"/>
    <n v="0"/>
    <n v="0"/>
    <x v="1"/>
  </r>
  <r>
    <s v="2.02.04.01.0201"/>
    <s v="FONDO PER CONTRIBUTI VINCOLATI DA REGIONE - PSN 2010"/>
    <n v="0"/>
    <n v="0"/>
    <n v="0"/>
    <n v="0"/>
    <n v="0"/>
    <n v="0"/>
    <n v="0"/>
    <n v="0"/>
    <n v="0"/>
    <n v="0"/>
    <x v="171"/>
  </r>
  <r>
    <s v="2.02.04.01.0202"/>
    <s v="FONDO PER CONTRIBUTI VINCOLATI DA REGIONE - PSN 2011"/>
    <n v="0"/>
    <n v="0"/>
    <n v="0"/>
    <n v="0"/>
    <n v="0"/>
    <n v="0"/>
    <n v="0"/>
    <n v="0"/>
    <n v="0"/>
    <n v="0"/>
    <x v="171"/>
  </r>
  <r>
    <s v="2.02.04.01.0203"/>
    <s v="FONDO PER CONTRIBUTI VINCOLATI DA REGIONE - PSN 2012"/>
    <n v="0"/>
    <n v="0.49"/>
    <n v="0.49"/>
    <n v="0"/>
    <n v="0"/>
    <n v="0"/>
    <n v="0"/>
    <n v="0"/>
    <n v="0.49"/>
    <n v="-0.49"/>
    <x v="171"/>
  </r>
  <r>
    <s v="2.02.04.01.0204"/>
    <s v="FONDO PER QUOTA F.S.VINCOLATI INUTILIZZATA CONTRIB.DA REGIONE-PSN 2013"/>
    <n v="0"/>
    <n v="434522.65"/>
    <n v="434522.65"/>
    <n v="35000"/>
    <n v="0"/>
    <n v="0"/>
    <n v="0"/>
    <n v="35000"/>
    <n v="434522.65"/>
    <n v="-399522.65"/>
    <x v="171"/>
  </r>
  <r>
    <s v="2.02.04.01.0205"/>
    <s v="FONDO PER QUOTA INUTILIZZATA F.S.VINCOLATO CONTRIB.DA REGIONE-PSN 2014 LINEA 2 AZIONE 2.36"/>
    <n v="0"/>
    <n v="113455.36"/>
    <n v="113455.36"/>
    <n v="35412.639999999999"/>
    <n v="0"/>
    <n v="0"/>
    <n v="0"/>
    <n v="35412.639999999999"/>
    <n v="113455.36"/>
    <n v="-78042.720000000001"/>
    <x v="171"/>
  </r>
  <r>
    <s v="2.02.04.01.0206"/>
    <s v="FONDO PER QUOTA INUTIL. CONTRIB. DA REGIONE PER QUOTA F.S. VINCOLATO PSN 2014 LINEA 4 AZIONE 4.2.1"/>
    <n v="0"/>
    <n v="0"/>
    <n v="0"/>
    <n v="0"/>
    <n v="0"/>
    <n v="0"/>
    <n v="0"/>
    <n v="0"/>
    <n v="0"/>
    <n v="0"/>
    <x v="171"/>
  </r>
  <r>
    <s v="2.02.04.01.0207"/>
    <s v="FONDO PER QUOTA INUTIL. CONTRIB. DA REGIONE PER QUOTA F.S. VINCOLATO PSN 2014 LINEA 4 AZIONE 4.9.3"/>
    <n v="0"/>
    <n v="80571"/>
    <n v="80571"/>
    <n v="0"/>
    <n v="0"/>
    <n v="0"/>
    <n v="0"/>
    <n v="0"/>
    <n v="80571"/>
    <n v="-80571"/>
    <x v="171"/>
  </r>
  <r>
    <s v="2.02.04.01.0208"/>
    <s v="FONDO PER QUOTA INUTIL. CONTRIB. DA REGIONE PER QUOTA F.S. VINCOLATO PSN 2014 LINEA 4 AZIONE 4.9.4"/>
    <n v="0"/>
    <n v="314288.75"/>
    <n v="314288.75"/>
    <n v="0"/>
    <n v="0"/>
    <n v="0"/>
    <n v="0"/>
    <n v="0"/>
    <n v="314288.75"/>
    <n v="-314288.75"/>
    <x v="171"/>
  </r>
  <r>
    <s v="2.02.04.01.0209"/>
    <s v="FONDO PER QUOTA INUTIL. CONTRIB. DA REGIONE PER QUOTA F.S. VINCOLATO PSN 2014 LINEA 4 AZIONE 4.9.5"/>
    <n v="0"/>
    <n v="12668"/>
    <n v="12668"/>
    <n v="0"/>
    <n v="0"/>
    <n v="0"/>
    <n v="0"/>
    <n v="0"/>
    <n v="12668"/>
    <n v="-12668"/>
    <x v="171"/>
  </r>
  <r>
    <s v="2.02.04.01.0210"/>
    <s v="FONDO PER QUOTA INUTIL. CONTRIB. DA REGIONE PER QUOTA F.S. VINCOLATO PSN 2014 LINEA 4 AZIONE 4.9.6"/>
    <n v="0"/>
    <n v="246678.67"/>
    <n v="246678.67"/>
    <n v="0"/>
    <n v="0"/>
    <n v="0"/>
    <n v="0"/>
    <n v="0"/>
    <n v="246678.67"/>
    <n v="-246678.67"/>
    <x v="171"/>
  </r>
  <r>
    <s v="2.02.04.01.0211"/>
    <s v="FONDO PER QUOTA INUTIL. CONTRIB. DA REGIONE PER QUOTA F.S. VINCOLATO PSN 2014 LINEA AZIONE 4.9.7"/>
    <n v="0"/>
    <n v="333388.33"/>
    <n v="333388.33"/>
    <n v="0"/>
    <n v="0"/>
    <n v="0"/>
    <n v="0"/>
    <n v="0"/>
    <n v="333388.33"/>
    <n v="-333388.33"/>
    <x v="171"/>
  </r>
  <r>
    <s v="2.02.04.01.0212"/>
    <s v="FONDO PER QUOTA INUTIL. CONTRIB. DA REGIONE PER PROGETTO DI FARMACOVIGILANZA  PROF.SSA LICATA"/>
    <n v="0"/>
    <n v="52271.67"/>
    <n v="52271.67"/>
    <n v="0"/>
    <n v="0"/>
    <n v="0"/>
    <n v="0"/>
    <n v="0"/>
    <n v="52271.67"/>
    <n v="-52271.67"/>
    <x v="171"/>
  </r>
  <r>
    <s v="2.02.04.01.0213"/>
    <s v="FONDO PER QUOTA INUTIL. CONTRIB. DA REGIONE PER QUOTA F.S. VINCOLATO PSN 2014 LINEA AZIONE 1.14"/>
    <n v="0"/>
    <n v="68332.67"/>
    <n v="68332.67"/>
    <n v="0"/>
    <n v="0"/>
    <n v="0"/>
    <n v="0"/>
    <n v="0"/>
    <n v="68332.67"/>
    <n v="-68332.67"/>
    <x v="171"/>
  </r>
  <r>
    <s v="2.02.04.01.0214"/>
    <s v="FONDO PER QUOTA INUTIL. CONTRIB. DA REGIONE PER QUOTA F.S. VINCOLATO PSN 2014 LINEA AZIONE 1.15"/>
    <n v="0"/>
    <n v="0.47"/>
    <n v="0.47"/>
    <n v="0"/>
    <n v="0"/>
    <n v="0"/>
    <n v="0"/>
    <n v="0"/>
    <n v="0.47"/>
    <n v="-0.47"/>
    <x v="171"/>
  </r>
  <r>
    <s v="2.02.04.01.0215"/>
    <s v="FONDO PER QUOTA INUTIL. CONTRIB. DA REGIONE PER QUOTA F.S. VINCOLATO PSN 2014 LINEA AZIONE 5.33"/>
    <n v="0"/>
    <n v="0.05"/>
    <n v="0.05"/>
    <n v="0"/>
    <n v="0"/>
    <n v="0"/>
    <n v="0"/>
    <n v="0"/>
    <n v="0.05"/>
    <n v="-0.05"/>
    <x v="171"/>
  </r>
  <r>
    <s v="2.02.04.01.0216"/>
    <s v="FONDO PER QUOTA INUTIL. CONTRIB. DA REGIONE PER QUOTA F.S. VINCOLATO PSN 2014 LINEA AZIONE 5.34"/>
    <n v="0"/>
    <n v="0"/>
    <n v="0"/>
    <n v="0"/>
    <n v="0"/>
    <n v="0"/>
    <n v="0"/>
    <n v="0"/>
    <n v="0"/>
    <n v="0"/>
    <x v="171"/>
  </r>
  <r>
    <s v="2.02.04.01.0217"/>
    <s v="FONDO PER QUOTA INUTIL. CONTRIB. DA REGIONE PER QUOTA F.S. VINCOLATO PSN 2014 LINEA AZIONE 5.35"/>
    <n v="0"/>
    <n v="11900.59"/>
    <n v="11900.59"/>
    <n v="6000"/>
    <n v="0"/>
    <n v="0"/>
    <n v="0"/>
    <n v="6000"/>
    <n v="11900.59"/>
    <n v="-5900.59"/>
    <x v="171"/>
  </r>
  <r>
    <s v="2.02.04.01.0218"/>
    <s v="FONDO PER QUOTA INUTIL. CONTRIB. DA REGIONE PER QUOTA F.S. VINCOLATO PSN 2014 LINEA AZIONE 5.36"/>
    <n v="0"/>
    <n v="0"/>
    <n v="0"/>
    <n v="0"/>
    <n v="0"/>
    <n v="0"/>
    <n v="0"/>
    <n v="0"/>
    <n v="0"/>
    <n v="0"/>
    <x v="171"/>
  </r>
  <r>
    <s v="2.02.04.01.0219"/>
    <s v="FONDO PER QUOTA INUTIL. CONTRIB. DA REGIONE PER QUOTA F.S. VINCOLATO PSN 2014 LINEA AZIONE 5.37"/>
    <n v="0"/>
    <n v="42445.34"/>
    <n v="42445.34"/>
    <n v="42445"/>
    <n v="0"/>
    <n v="0"/>
    <n v="0"/>
    <n v="42445"/>
    <n v="42445.34"/>
    <n v="-0.34"/>
    <x v="171"/>
  </r>
  <r>
    <s v="2.02.04.01.0220"/>
    <s v="FONDO PER QUOTA INUTIL. CONTRIB. DA REGIONE PER QUOTA F.S. VINCOLATO PSN 2014 LINEA AZIONE 6.15"/>
    <n v="0"/>
    <n v="47808.7"/>
    <n v="47808.7"/>
    <n v="0"/>
    <n v="0"/>
    <n v="0"/>
    <n v="0"/>
    <n v="0"/>
    <n v="47808.7"/>
    <n v="-47808.7"/>
    <x v="171"/>
  </r>
  <r>
    <s v="2.02.04.01.0221"/>
    <s v="FONDO PER QUOTA INUTIL. CONTRIB. DA REGIONE PER QUOTA F.S. VINCOLATO PSN 2014 LINEA AZIONE 6.16"/>
    <n v="0"/>
    <n v="45349.08"/>
    <n v="45349.08"/>
    <n v="0"/>
    <n v="0"/>
    <n v="0"/>
    <n v="0"/>
    <n v="0"/>
    <n v="45349.08"/>
    <n v="-45349.08"/>
    <x v="171"/>
  </r>
  <r>
    <s v="2.02.04.01.0222"/>
    <s v="FONDO PER QUOTA INUTIL. CONTRIB. DAREGIONE PER QUOTA F.S. VINCOLATO PSN 2015 LINEA AZIONE 4"/>
    <n v="0"/>
    <n v="276398.62"/>
    <n v="276398.62"/>
    <n v="0"/>
    <n v="0"/>
    <n v="0"/>
    <n v="0"/>
    <n v="0"/>
    <n v="276398.62"/>
    <n v="-276398.62"/>
    <x v="171"/>
  </r>
  <r>
    <s v="2.02.04.01.0223"/>
    <s v="FONDO PER QUOTA INUTIL. CONTRIB. DA REGIONE PER QUOTA F.S. VINCOLATO PSN 2015 LINEA AZIONE 5 e 6"/>
    <n v="0"/>
    <n v="362815.87"/>
    <n v="362815.87"/>
    <n v="227690.37"/>
    <n v="0"/>
    <n v="0"/>
    <n v="0"/>
    <n v="227690.37"/>
    <n v="362815.87"/>
    <n v="-135125.5"/>
    <x v="171"/>
  </r>
  <r>
    <s v="2.02.04.01.0224"/>
    <s v="FONDO PER QUOTE INUTIL. CONTRIBUTI DA REGIONE O PROV. AUTONOME PER QUOTA F.S. VINCOLATO. PROGETTO  PSN 2016  L.P. 2"/>
    <n v="0"/>
    <n v="107761.59"/>
    <n v="107761.59"/>
    <n v="28059"/>
    <n v="0"/>
    <n v="0"/>
    <n v="0"/>
    <n v="28059"/>
    <n v="107761.59"/>
    <n v="-79702.59"/>
    <x v="171"/>
  </r>
  <r>
    <s v="2.02.04.01.0225"/>
    <s v="FONDO PER QUOTE INUTIL. CONTRIBUTI DA REGIONE O PROV. AUT. PER QUOTA F.S. VINCOLATO. PROGETTO PSN 2016 L.P. 1, 5, 6."/>
    <n v="0"/>
    <n v="1233839.76"/>
    <n v="1233839.76"/>
    <n v="27958.33"/>
    <n v="0"/>
    <n v="0"/>
    <n v="0"/>
    <n v="27958.33"/>
    <n v="1233839.76"/>
    <n v="-1205881.43"/>
    <x v="171"/>
  </r>
  <r>
    <s v="2.02.04.01.0226"/>
    <s v="FONDO PER QUOTE INUTIL. CONTRIBUTI DA REGIONE O PROV. AUT. PER QUOTA FS VINCOLATO PSN 2016 L.P. 4"/>
    <n v="0"/>
    <n v="180059.53"/>
    <n v="180059.53"/>
    <n v="21367.759999999998"/>
    <n v="0"/>
    <n v="0"/>
    <n v="0"/>
    <n v="21367.759999999998"/>
    <n v="180059.53"/>
    <n v="-158691.76999999999"/>
    <x v="171"/>
  </r>
  <r>
    <s v="2.02.04.01.0227"/>
    <s v="FONDO PER QUOTE INUTIL. CONTRIBUTIDA REGIONE O PROV. AUT. PER PROGETTO DI RICERCA RF-2016-02362422 &quot;DEVELOPMENT OF AN ITALIAN CLINICAL RESPONSABILE SCIENTIFICO PROF. V. DI MARCO"/>
    <n v="0"/>
    <n v="0"/>
    <n v="0"/>
    <n v="0"/>
    <n v="0"/>
    <n v="0"/>
    <n v="0"/>
    <n v="0"/>
    <n v="0"/>
    <n v="0"/>
    <x v="171"/>
  </r>
  <r>
    <s v="2.02.04.01.0228"/>
    <s v="QUOTE INUTIL. CONTRIBUTI DA REGIONE O PROV. AUT. PER P.O. di PSN 2017 LP 2  SVILUPPO DEI PROCESSI DI UMANIZZAZIONE ALL'INTERNO DEI PERCORSI ASSISTENZIALI"/>
    <n v="0"/>
    <n v="80643.58"/>
    <n v="80643.58"/>
    <n v="0"/>
    <n v="0"/>
    <n v="0"/>
    <n v="0"/>
    <n v="0"/>
    <n v="80643.58"/>
    <n v="-80643.58"/>
    <x v="171"/>
  </r>
  <r>
    <s v="2.02.04.01.0229"/>
    <s v="FONDO PER QUOTE INUTIL. CONTRIBUTI DA REGIONE O PROV. AUT. PER PROGETTO DI RICERCA GR-2016-02364931 U.O. CLADIBIOR"/>
    <n v="0"/>
    <n v="0"/>
    <n v="0"/>
    <n v="0"/>
    <n v="0"/>
    <n v="0"/>
    <n v="0"/>
    <n v="0"/>
    <n v="0"/>
    <n v="0"/>
    <x v="171"/>
  </r>
  <r>
    <s v="2.02.04.01.0230"/>
    <s v="FONDO PER QUOTE INUTIL. CONTRIBUTI DA REGIONE O PROV. AUT. PER PROGETTO DI RICERCA GR-2016-02364931 U.O. CH. PLASTICA"/>
    <n v="0"/>
    <n v="0"/>
    <n v="0"/>
    <n v="0"/>
    <n v="0"/>
    <n v="0"/>
    <n v="0"/>
    <n v="0"/>
    <n v="0"/>
    <n v="0"/>
    <x v="171"/>
  </r>
  <r>
    <s v="2.02.04.01.0231"/>
    <s v="QUOTE INUTIL. CONTRIBUTI DA REGIONE O PROV. AUT. PER P.O. di PSN 2017 LP 4 PREVENZIONE"/>
    <n v="0"/>
    <n v="453048.4"/>
    <n v="453048.4"/>
    <n v="233071.91"/>
    <n v="0"/>
    <n v="0"/>
    <n v="0"/>
    <n v="233071.91"/>
    <n v="453048.4"/>
    <n v="-219976.49"/>
    <x v="171"/>
  </r>
  <r>
    <s v="2.02.04.01.0232"/>
    <s v="QUOTE INUTIL. CONTRIBUTI DA REGIONE O PROV. AUT. PER P.O. di PSN 2018 LP 4 PREVENZIONE"/>
    <n v="0"/>
    <n v="1020294"/>
    <n v="1020294"/>
    <n v="130909.64"/>
    <n v="0"/>
    <n v="0"/>
    <n v="0"/>
    <n v="130909.64"/>
    <n v="1020294"/>
    <n v="-889384.36"/>
    <x v="171"/>
  </r>
  <r>
    <s v="2.02.04.01.0233"/>
    <s v="QUOTE INUTIL. CONTRIBUTI DA REGIONE O PROV. AUT. PER P.O. di PSN 2017 LP 5 GESTIONE DELLA CRONICITA'"/>
    <n v="0"/>
    <n v="547213.89"/>
    <n v="547213.89"/>
    <n v="89380.91"/>
    <n v="0"/>
    <n v="0"/>
    <n v="0"/>
    <n v="89380.91"/>
    <n v="547213.89"/>
    <n v="-457832.98"/>
    <x v="171"/>
  </r>
  <r>
    <s v="2.02.04.01.0234"/>
    <s v="QUOTE INUTIL. CONTRIBUTI DA REGIONE O PROV. AUT. PER P.O. di PSN 2017 LP 6 RETI ONCOLOGICHE"/>
    <n v="0"/>
    <n v="2029181.37"/>
    <n v="2029181.37"/>
    <n v="579030.18000000005"/>
    <n v="0"/>
    <n v="0"/>
    <n v="0"/>
    <n v="579030.18000000005"/>
    <n v="2029181.37"/>
    <n v="-1450151.19"/>
    <x v="171"/>
  </r>
  <r>
    <s v="2.02.04.01.0235"/>
    <s v="QUOTE INUTIL. CONTRIBUTI DA REGIONE O PROV. AUT. PER P.O. di PSN 2018 LP 1 MULTICRONICITA'"/>
    <n v="0"/>
    <n v="823727"/>
    <n v="823727"/>
    <n v="61099.91"/>
    <n v="0"/>
    <n v="0"/>
    <n v="0"/>
    <n v="61099.91"/>
    <n v="823727"/>
    <n v="-762627.09"/>
    <x v="171"/>
  </r>
  <r>
    <s v="2.02.04.01.0236"/>
    <s v="QUOTE INUTIL. CONTRIBUTI DA REGIONE O PROV. AUT. PER P.O. di PSN 2019 LP 5 LA TECNOLOGIA SANITARIA OPERATIVACOME STRUMENTO DI INTEGRAZIONE OSPEDALE-TERRITORIO"/>
    <n v="0"/>
    <n v="0"/>
    <n v="0"/>
    <n v="0"/>
    <n v="0"/>
    <n v="0"/>
    <n v="0"/>
    <n v="0"/>
    <n v="0"/>
    <n v="0"/>
    <x v="171"/>
  </r>
  <r>
    <s v="2.02.04.01.0237"/>
    <s v="QUOTE INUTIL. CONTRIBUTI DA REGIONE O PROV. AUT. PER P.O. di PSN 2019 LP 4 (AZ. 4.3 e 4.4) - PIANO NAZIONALE DELLA PREVENZIONE E SUPPORTO AL PIANO NAZ.DELLA PREVENZ."/>
    <n v="0"/>
    <n v="390167"/>
    <n v="390167"/>
    <n v="204067.28"/>
    <n v="0"/>
    <n v="0"/>
    <n v="0"/>
    <n v="204067.28"/>
    <n v="390167"/>
    <n v="-186099.72"/>
    <x v="171"/>
  </r>
  <r>
    <s v="2.02.04.01.0238"/>
    <s v="QUOTE INUTIL. CONTRIBUTI DA REGIONE O PROV. AUT. PER P.O. di PSN 2020 LP 4 &quot;CALL FOR ACTION&quot;"/>
    <n v="0"/>
    <n v="2281274"/>
    <n v="2281274"/>
    <n v="0"/>
    <n v="0"/>
    <n v="0"/>
    <n v="0"/>
    <n v="0"/>
    <n v="2281274"/>
    <n v="-2281274"/>
    <x v="171"/>
  </r>
  <r>
    <s v="2.02.04.01.0239"/>
    <s v="QUOTE INUTIL. CONTRIBUTI DA REGIONE O PROV. AUT. PER FONDO PER L'IMPLEMENTAZIONE DEL PIANO ONCOLOGICO 2023-2027 D.A. 295/2024"/>
    <n v="0"/>
    <n v="0"/>
    <n v="0"/>
    <n v="0"/>
    <n v="353714.3"/>
    <n v="0"/>
    <n v="0"/>
    <n v="0"/>
    <n v="353714.3"/>
    <n v="-353714.3"/>
    <x v="171"/>
  </r>
  <r>
    <s v="2.02.04.01.0301"/>
    <s v="QUOTE INUTILIZZATE CONTRIBUTI DA REGIONE PER RINNOVO CONVENZIONI L 133/08"/>
    <n v="0"/>
    <n v="0"/>
    <n v="0"/>
    <n v="0"/>
    <n v="0"/>
    <n v="0"/>
    <n v="0"/>
    <n v="0"/>
    <n v="0"/>
    <n v="0"/>
    <x v="171"/>
  </r>
  <r>
    <s v="2.02.04.01.0401"/>
    <s v="QUOTE INUTILIZZATE CONTRIBUTI DA REGIONE PER EMERSIONE EXTRACOMUNITARI L 102/09"/>
    <n v="0"/>
    <n v="0"/>
    <n v="0"/>
    <n v="0"/>
    <n v="0"/>
    <n v="0"/>
    <n v="0"/>
    <n v="0"/>
    <n v="0"/>
    <n v="0"/>
    <x v="171"/>
  </r>
  <r>
    <s v="2.02.04.01.0501"/>
    <s v="QUOTE INUTILIZZATE CONTRIBUTI DA REGIONE PER MEDICINA PENITENZIARIA DLVO 230/99"/>
    <n v="0"/>
    <n v="0"/>
    <n v="0"/>
    <n v="0"/>
    <n v="0"/>
    <n v="0"/>
    <n v="0"/>
    <n v="0"/>
    <n v="0"/>
    <n v="0"/>
    <x v="171"/>
  </r>
  <r>
    <s v="2.02.04.01.0601"/>
    <s v="QUOTE INUTILIZZATE CONTRIBUTI DA REGIONE PER HANSENIANI L 31/86"/>
    <n v="0"/>
    <n v="0"/>
    <n v="0"/>
    <n v="0"/>
    <n v="0"/>
    <n v="0"/>
    <n v="0"/>
    <n v="0"/>
    <n v="0"/>
    <n v="0"/>
    <x v="171"/>
  </r>
  <r>
    <s v="2.02.04.01.0701"/>
    <s v="QUOTE INUTILIZZATE CONTRIBUTI DA REGIONE PER FIBROSI CISTICA L 362/98"/>
    <n v="0"/>
    <n v="0"/>
    <n v="0"/>
    <n v="0"/>
    <n v="0"/>
    <n v="0"/>
    <n v="0"/>
    <n v="0"/>
    <n v="0"/>
    <n v="0"/>
    <x v="171"/>
  </r>
  <r>
    <s v="2.02.04.01.0801"/>
    <s v="QUOTE INUTILIZZATE CONTRIBUTI DA REGIONE PER EXTRACOMUNITARI IRREGOLARI L 40/98"/>
    <n v="0"/>
    <n v="0"/>
    <n v="0"/>
    <n v="0"/>
    <n v="0"/>
    <n v="0"/>
    <n v="0"/>
    <n v="0"/>
    <n v="0"/>
    <n v="0"/>
    <x v="171"/>
  </r>
  <r>
    <s v="2.02.04.01.0901"/>
    <s v="QUOTE INUTILIZZATE CONTRIBUTI DA REGIONE PER FONDO ESCLUSIVITA L 488/99"/>
    <n v="0"/>
    <n v="0"/>
    <n v="0"/>
    <n v="0"/>
    <n v="0"/>
    <n v="0"/>
    <n v="0"/>
    <n v="0"/>
    <n v="0"/>
    <n v="0"/>
    <x v="171"/>
  </r>
  <r>
    <s v="2.02.04.01.1001"/>
    <s v="QUOTE INUTILIZZATE CONTRIBUTI DA REGIONE PER BORSE STUDIO MG L 109/88"/>
    <n v="0"/>
    <n v="0"/>
    <n v="0"/>
    <n v="0"/>
    <n v="0"/>
    <n v="0"/>
    <n v="0"/>
    <n v="0"/>
    <n v="0"/>
    <n v="0"/>
    <x v="171"/>
  </r>
  <r>
    <s v="2.02.04.01.1101"/>
    <s v="QUOTE INUTILIZZATE CONTRIBUTI DA REGIONE PER VETERINARIA L 218/88"/>
    <n v="0"/>
    <n v="0"/>
    <n v="0"/>
    <n v="0"/>
    <n v="0"/>
    <n v="0"/>
    <n v="0"/>
    <n v="0"/>
    <n v="0"/>
    <n v="0"/>
    <x v="171"/>
  </r>
  <r>
    <s v="2.02.04.01.1201"/>
    <s v="QUOTE INUTILIZZATE CONTRIBUTI DA REGIONE PER AIDS L 135/90"/>
    <n v="0"/>
    <n v="67759.600000000006"/>
    <n v="67759.600000000006"/>
    <n v="0"/>
    <n v="0"/>
    <n v="0"/>
    <n v="0"/>
    <n v="0"/>
    <n v="67759.600000000006"/>
    <n v="-67759.600000000006"/>
    <x v="171"/>
  </r>
  <r>
    <s v="2.02.04.01.9701"/>
    <s v="Quote inutilizzate contributi PSN - economie anni precedenti"/>
    <n v="0"/>
    <n v="153454.07"/>
    <n v="153454.07"/>
    <n v="0"/>
    <n v="0"/>
    <n v="0"/>
    <n v="0"/>
    <n v="0"/>
    <n v="153454.07"/>
    <n v="-153454.07"/>
    <x v="171"/>
  </r>
  <r>
    <s v="2.02.04.01.9901"/>
    <s v="ALTRE QUOTE INUTILIZZATE DI CONTRIBUTI DA REGIONE PER FSR VINCOLATO"/>
    <n v="0"/>
    <n v="822198"/>
    <n v="822198"/>
    <n v="0"/>
    <n v="0"/>
    <n v="0"/>
    <n v="0"/>
    <n v="0"/>
    <n v="822198"/>
    <n v="-822198"/>
    <x v="171"/>
  </r>
  <r>
    <s v="2.02.04.01.9902"/>
    <s v="ALTRE QUOTE INUTILIZZATE DI CONTRIBUTI DA REGIONE PER FSR VINCOLATO ¿SUES 118¿"/>
    <n v="0"/>
    <n v="0"/>
    <n v="0"/>
    <n v="0"/>
    <n v="0"/>
    <n v="0"/>
    <n v="0"/>
    <n v="0"/>
    <n v="0"/>
    <n v="0"/>
    <x v="171"/>
  </r>
  <r>
    <s v="2.02.04.01.9903"/>
    <s v="ALTRE QUOTE INUTILIZZATE DI CONTRIBUTI DA REGIONE PER FSR VINCOLATO ¿CRT¿"/>
    <n v="0"/>
    <n v="0"/>
    <n v="0"/>
    <n v="0"/>
    <n v="0"/>
    <n v="0"/>
    <n v="0"/>
    <n v="0"/>
    <n v="0"/>
    <n v="0"/>
    <x v="171"/>
  </r>
  <r>
    <s v="2.02.04.01.9904"/>
    <s v="FONDO IVESTIMENT. ex D.A. 2726/2017F.do Invest. ex D.A. 2726/2017¿"/>
    <n v="0"/>
    <n v="3468830.69"/>
    <n v="3468830.69"/>
    <n v="28021.64"/>
    <n v="0"/>
    <n v="0"/>
    <n v="0"/>
    <n v="28021.64"/>
    <n v="3468830.69"/>
    <n v="-3440809.05"/>
    <x v="171"/>
  </r>
  <r>
    <s v="2.02.04.01.9905"/>
    <s v="FONDO PER INVESTIMENTI FINANZIATI EX D.A. 1839/2018"/>
    <n v="0"/>
    <n v="1489506.14"/>
    <n v="1489506.14"/>
    <n v="6514.04"/>
    <n v="0"/>
    <n v="0"/>
    <n v="0"/>
    <n v="6514.04"/>
    <n v="1489506.14"/>
    <n v="-1482992.1"/>
    <x v="171"/>
  </r>
  <r>
    <s v="2.02.04.01.9906"/>
    <s v="ALTRE QUOTE INUTILIZZATE DI CONTRIBUTI DA REGIONE PER FSR VINCOLATO (PROGETTO PROMIS)"/>
    <n v="0"/>
    <n v="0"/>
    <n v="0"/>
    <n v="0"/>
    <n v="658"/>
    <n v="0"/>
    <n v="0"/>
    <n v="0"/>
    <n v="658"/>
    <n v="-658"/>
    <x v="171"/>
  </r>
  <r>
    <s v="2.02.04.01.9907"/>
    <s v="ALTRE QUOTE INUTILIZZATE DI CONTRIBUTI DA REGIONE PER FSR VINCOLATO (FARMACOVIGILANZA)"/>
    <n v="0"/>
    <n v="448000"/>
    <n v="448000"/>
    <n v="333.31"/>
    <n v="0"/>
    <n v="0"/>
    <n v="0"/>
    <n v="333.31"/>
    <n v="448000"/>
    <n v="-447666.69"/>
    <x v="171"/>
  </r>
  <r>
    <s v="2.02.04.01.9908"/>
    <s v="ALTRE QUOTE INUTILIZZATE DI CONTRIBUTI DA REGIONE PER SORVEGLIANZA SISTEMATICA DEL SARS-COV-2 E DELLE SUE VARIANTI NELLE ACQUE REFLUE (PROGETTO SARI)"/>
    <n v="0"/>
    <n v="222473.92"/>
    <n v="222473.92"/>
    <n v="0"/>
    <n v="0"/>
    <n v="0"/>
    <n v="0"/>
    <n v="0"/>
    <n v="222473.92"/>
    <n v="-222473.92"/>
    <x v="171"/>
  </r>
  <r>
    <s v="2.02.04.01.9909"/>
    <s v="QUOTE INUTILIZZATE DI CONTRIBUTI DA REGIONE PER FSE (FASCICOLO SANITARIO ELETTRONICO)"/>
    <n v="0"/>
    <n v="0"/>
    <n v="0"/>
    <n v="0"/>
    <n v="0"/>
    <n v="0"/>
    <n v="0"/>
    <n v="0"/>
    <n v="0"/>
    <n v="0"/>
    <x v="171"/>
  </r>
  <r>
    <s v="2.02.04.01.9910"/>
    <s v="QUOTE INUTILIZZ. DI CONTRIBUTI DA REGIONE PER IL FINANZ. DI PROGETTI DI FORMAZIONE IN SIMULAZIONE"/>
    <n v="0"/>
    <n v="6172.84"/>
    <n v="6172.84"/>
    <n v="0"/>
    <n v="0"/>
    <n v="0"/>
    <n v="0"/>
    <n v="0"/>
    <n v="6172.84"/>
    <n v="-6172.84"/>
    <x v="171"/>
  </r>
  <r>
    <m/>
    <s v="QUOTE INUTILIZZATE CONTRIBUTI VINCOLATI DA SOGGETTI PUBBLICI (EXTRA FONDO)"/>
    <n v="0"/>
    <n v="1520185.71"/>
    <n v="1520185.71"/>
    <n v="0"/>
    <n v="3101229.09"/>
    <n v="0"/>
    <n v="0"/>
    <n v="0"/>
    <n v="4621414.8"/>
    <n v="-4621414.8"/>
    <x v="1"/>
  </r>
  <r>
    <s v="2.02.04.02.0101"/>
    <s v="QUOTE INUTILIZZATE CONTRIBUTI VINCOLATI DA SOGGETTI PUBBLICI (EXTRA FONDO)"/>
    <n v="0"/>
    <n v="1520185.71"/>
    <n v="1520185.71"/>
    <n v="0"/>
    <n v="0"/>
    <n v="0"/>
    <n v="0"/>
    <n v="0"/>
    <n v="1520185.71"/>
    <n v="-1520185.71"/>
    <x v="172"/>
  </r>
  <r>
    <s v="2.02.04.02.0102"/>
    <s v="QUOTE INUTILIZZATE CONTRIBUTI VINCOLATI DA F.C. UNIONE EUROPEA PROGETTO 3031 COOPERA"/>
    <n v="0"/>
    <n v="0"/>
    <n v="0"/>
    <n v="0"/>
    <n v="0"/>
    <n v="0"/>
    <n v="0"/>
    <n v="0"/>
    <n v="0"/>
    <n v="0"/>
    <x v="172"/>
  </r>
  <r>
    <s v="2.02.04.02.0103"/>
    <s v="QUOTE INUTILIZZATE CONTRIBUTI VINCOLATI DA SOGGETTI PUBBLICI (EXTRA FONDO) PER RICERCA PNRR"/>
    <n v="0"/>
    <n v="0"/>
    <n v="0"/>
    <n v="0"/>
    <n v="3101229.09"/>
    <n v="0"/>
    <n v="0"/>
    <n v="0"/>
    <n v="3101229.09"/>
    <n v="-3101229.09"/>
    <x v="172"/>
  </r>
  <r>
    <m/>
    <s v="QUOTE INUTILIZZATE CONTRIBUTI PER RICERCA"/>
    <n v="4187.1499999999996"/>
    <n v="6218047.1699999999"/>
    <n v="6213860.0199999996"/>
    <n v="416726.51"/>
    <n v="1901463.61"/>
    <n v="0"/>
    <n v="0"/>
    <n v="420913.66"/>
    <n v="8119510.7800000003"/>
    <n v="-7698597.1200000001"/>
    <x v="1"/>
  </r>
  <r>
    <s v="2.02.04.03.0101"/>
    <s v="QUOTE INUTILIZZATE CONTRIBUTI PER RICERCA"/>
    <n v="0"/>
    <n v="224959.71"/>
    <n v="224959.71"/>
    <n v="0"/>
    <n v="156000"/>
    <n v="0"/>
    <n v="0"/>
    <n v="0"/>
    <n v="380959.71"/>
    <n v="-380959.71"/>
    <x v="173"/>
  </r>
  <r>
    <s v="2.02.04.03.0102"/>
    <s v="QUOTE INUTILIZZ.CONTRIB.PER RICERCA FINALIZZATA &quot;DEVELOPMENT OF ITALIAN  CLINICAL/DIAGNOSTIC&quot;"/>
    <n v="0.09"/>
    <n v="0"/>
    <n v="0.09"/>
    <n v="0"/>
    <n v="0"/>
    <n v="0"/>
    <n v="0"/>
    <n v="0.09"/>
    <n v="0"/>
    <n v="0.09"/>
    <x v="173"/>
  </r>
  <r>
    <s v="2.02.04.03.0103"/>
    <s v="QUOTE INUTILIZZ.CONTRIB.PER RICERCA FINALIZZATA &quot;NON CELIAC GLUTEN SENSITIVITY (NCGS)&quot;"/>
    <n v="0"/>
    <n v="208183.02"/>
    <n v="208183.02"/>
    <n v="60048"/>
    <n v="0"/>
    <n v="0"/>
    <n v="0"/>
    <n v="60048"/>
    <n v="208183.02"/>
    <n v="-148135.01999999999"/>
    <x v="173"/>
  </r>
  <r>
    <s v="2.02.04.03.0104"/>
    <s v="QUOTE INUTILIZZ.CONTRIB.PER RICERCA FINALIZZATA &quot;TRANS-CRANIAL MrgFUS&quot; GR-2016-02364526 DIP.DIAGN.PER IMMAG.E NEUROSC.INTERV."/>
    <n v="0"/>
    <n v="199275.67"/>
    <n v="199275.67"/>
    <n v="0"/>
    <n v="0"/>
    <n v="0"/>
    <n v="0"/>
    <n v="0"/>
    <n v="199275.67"/>
    <n v="-199275.67"/>
    <x v="173"/>
  </r>
  <r>
    <s v="2.02.04.03.0105"/>
    <s v="QUOTE INUTILIZZ.CONTRIB.PER RICERCA FINALIZZATA &quot;TRANS-CRANIAL MrgFUS&quot; GR-2016-02364526 U.O.C. NEUROL.E NEUROFISIOPAT. CON STROKE UNIT"/>
    <n v="0"/>
    <n v="75666.67"/>
    <n v="75666.67"/>
    <n v="0"/>
    <n v="0"/>
    <n v="0"/>
    <n v="0"/>
    <n v="0"/>
    <n v="75666.67"/>
    <n v="-75666.67"/>
    <x v="173"/>
  </r>
  <r>
    <s v="2.02.04.03.0106"/>
    <s v="QUOTE INUTIL. CONTRIB.RICERCA 2016-02364358 &quot;IMPACT OF WHOLE EXOME SEQUENCING ON THE CLINICAL MANAGEMENT...&quot;"/>
    <n v="0"/>
    <n v="72103.360000000001"/>
    <n v="72103.360000000001"/>
    <n v="64105.5"/>
    <n v="0"/>
    <n v="0"/>
    <n v="0"/>
    <n v="64105.5"/>
    <n v="72103.360000000001"/>
    <n v="-7997.86"/>
    <x v="173"/>
  </r>
  <r>
    <s v="2.02.04.03.0107"/>
    <s v="QUOTE INUTIL. PROGETTO ISOLDA &quot;IMPROVED VACCINATION STRATEGIES FOR OLDER ADULTS&quot; (HORIZON 2020)"/>
    <n v="0"/>
    <n v="15000"/>
    <n v="15000"/>
    <n v="0"/>
    <n v="0"/>
    <n v="0"/>
    <n v="0"/>
    <n v="0"/>
    <n v="15000"/>
    <n v="-15000"/>
    <x v="173"/>
  </r>
  <r>
    <s v="2.02.04.03.0108"/>
    <s v="QUOTE INUTILIZZ.CONTRIB.PER RICERCA FINALIZZATA &quot;ISOLAM.E CARATTERIZZ.CELLULE STAMINALI DI CANCRO METASTATICO PER IL TRATT.DEL CANCRO COLORETTALE&quot; RF-2018-12367044"/>
    <n v="4186.79"/>
    <n v="0"/>
    <n v="4186.79"/>
    <n v="0"/>
    <n v="120696"/>
    <n v="0"/>
    <n v="0"/>
    <n v="4186.79"/>
    <n v="120696"/>
    <n v="-116509.21"/>
    <x v="173"/>
  </r>
  <r>
    <s v="2.02.04.03.0109"/>
    <s v="QUOTE INUTIL. &quot;PROGETTO ONCOTEST - PROGETTO REVERT&quot; N.848098 (HORIZON 2020)"/>
    <n v="0"/>
    <n v="381250"/>
    <n v="381250"/>
    <n v="0"/>
    <n v="0"/>
    <n v="0"/>
    <n v="0"/>
    <n v="0"/>
    <n v="381250"/>
    <n v="-381250"/>
    <x v="173"/>
  </r>
  <r>
    <s v="2.02.04.03.0110"/>
    <s v="QUOTE INUTILIZZ.CONTRIB.PER RICERCA FINALIZZATA &quot;CHARACTERIZATION OF THE IMMUNE RESPONSE TO M.TUBERCULOSIS&quot; GR-2018-12367178"/>
    <n v="0"/>
    <n v="114212.75"/>
    <n v="114212.75"/>
    <n v="0"/>
    <n v="0"/>
    <n v="0"/>
    <n v="0"/>
    <n v="0"/>
    <n v="114212.75"/>
    <n v="-114212.75"/>
    <x v="173"/>
  </r>
  <r>
    <s v="2.02.04.03.0111"/>
    <s v="QUOTE INUTIL. CONTRIBUTIDA REGIONE O PROV. AUT. PER PROGETTO DI RICERCA GR-2016-02364931 U.O. CLADIBIOR"/>
    <n v="0"/>
    <n v="145630.82999999999"/>
    <n v="145630.82999999999"/>
    <n v="0"/>
    <n v="0"/>
    <n v="0"/>
    <n v="0"/>
    <n v="0"/>
    <n v="145630.82999999999"/>
    <n v="-145630.82999999999"/>
    <x v="173"/>
  </r>
  <r>
    <s v="2.02.04.03.0112"/>
    <s v="QUOTE INUTIL. CONTRIBUTIDA REGIONE O PROV. AUT. PER PROGETTO DI RICERCA GR-2016-02364931 U.O. CH. PLASTICA"/>
    <n v="0.27"/>
    <n v="0"/>
    <n v="0.27"/>
    <n v="0"/>
    <n v="0"/>
    <n v="0"/>
    <n v="0"/>
    <n v="0.27"/>
    <n v="0"/>
    <n v="0.27"/>
    <x v="173"/>
  </r>
  <r>
    <s v="2.02.04.03.0113"/>
    <s v="QUOTE INUTILIZZ.CONTRIB.PER RICERCA FINALIZZATA ALLA CONOSCENZA DEL FENOMENO DEL GAP (GIOCO D'AZZARDO PATOLOGICO) L. 208/2015 (art.1, comma 946)"/>
    <n v="0"/>
    <n v="72500"/>
    <n v="72500"/>
    <n v="973.01"/>
    <n v="40000"/>
    <n v="0"/>
    <n v="0"/>
    <n v="973.01"/>
    <n v="112500"/>
    <n v="-111526.99"/>
    <x v="173"/>
  </r>
  <r>
    <s v="2.02.04.03.0114"/>
    <s v="QUOTE INUTILIZZ.CONTRIB.PER RICERCA  &quot;INNOVATIVE APPROACHES AND PARAMETERS IN THE DIAGNOSIS AND EPIDEMIOLOGICAL SURVEILLANCE OF THE ANISAKIS&quot; RF-2018-12367986"/>
    <n v="0"/>
    <n v="82700"/>
    <n v="82700"/>
    <n v="0"/>
    <n v="0"/>
    <n v="0"/>
    <n v="0"/>
    <n v="0"/>
    <n v="82700"/>
    <n v="-82700"/>
    <x v="173"/>
  </r>
  <r>
    <s v="2.02.04.03.0115"/>
    <s v="QUOTE INUTILIZZ.CONTRIB.PER RICERCA  &quot;LEISHMANIASIS IN AG, CL e PA: HUMAN OUTBREAKS AND ANIMAL RESERVOIRS&quot; GR-2019-12369134"/>
    <n v="0"/>
    <n v="76700"/>
    <n v="76700"/>
    <n v="0"/>
    <n v="0"/>
    <n v="0"/>
    <n v="0"/>
    <n v="0"/>
    <n v="76700"/>
    <n v="-76700"/>
    <x v="173"/>
  </r>
  <r>
    <s v="2.02.04.03.0116"/>
    <s v="QUOTE INUTILIZZATE CONTRIB. SCREENING NEONATALE UNIVERSALE (SNU) PER LA PREVENZ. DEI DEFICIT PERMATENTI DELL'UDITO IN ETA' EVOLUTIVA"/>
    <n v="0"/>
    <n v="167400.16"/>
    <n v="167400.16"/>
    <n v="0"/>
    <n v="0"/>
    <n v="0"/>
    <n v="0"/>
    <n v="0"/>
    <n v="167400.16"/>
    <n v="-167400.16"/>
    <x v="173"/>
  </r>
  <r>
    <s v="2.02.04.03.0117"/>
    <s v="QUOTE INUTILIZZ.CONTRIB.PER RICERCA  RF-2021-12372399 &quot;PORTAL HIPERTENSION IMPATIENTS WITH NAFLD: CLINICAL IMPLICATION&quot;"/>
    <n v="0"/>
    <n v="80000"/>
    <n v="80000"/>
    <n v="0"/>
    <n v="0"/>
    <n v="0"/>
    <n v="0"/>
    <n v="0"/>
    <n v="80000"/>
    <n v="-80000"/>
    <x v="173"/>
  </r>
  <r>
    <s v="2.02.04.03.0118"/>
    <s v="QUOTE INUTILIZZATE CONTRIB. DA SOGGETTI PUBBLICI PER PNRR RICERCA"/>
    <n v="0"/>
    <n v="4302465"/>
    <n v="4302465"/>
    <n v="291600"/>
    <n v="1349098.91"/>
    <n v="0"/>
    <n v="0"/>
    <n v="291600"/>
    <n v="5651563.9100000001"/>
    <n v="-5359963.91"/>
    <x v="173"/>
  </r>
  <r>
    <s v="2.02.04.03.0119"/>
    <s v="QUOTE INUTILIZZATE CONTRIBUTI - PROGETTO JACARDI"/>
    <n v="0"/>
    <n v="0"/>
    <n v="0"/>
    <n v="0"/>
    <n v="169325"/>
    <n v="0"/>
    <n v="0"/>
    <n v="0"/>
    <n v="169325"/>
    <n v="-169325"/>
    <x v="173"/>
  </r>
  <r>
    <s v="2.02.04.03.0120"/>
    <s v="QUOTE INUTIL. PROGETTO ELISAH &quot;EUROPEAN LINKAGE OF INITIATIVE FROM SCIENCE TO ACTION IN HEALTH&quot; (HORIZON EUROPE)"/>
    <n v="0"/>
    <n v="0"/>
    <n v="0"/>
    <n v="0"/>
    <n v="66343.7"/>
    <n v="0"/>
    <n v="0"/>
    <n v="0"/>
    <n v="66343.7"/>
    <n v="-66343.7"/>
    <x v="173"/>
  </r>
  <r>
    <m/>
    <s v="QUOTE INUTILIZZATE CONTRIBUTI VINCOLATI DA PRIVATI"/>
    <n v="0"/>
    <n v="76097"/>
    <n v="76097"/>
    <n v="0"/>
    <n v="10000"/>
    <n v="0"/>
    <n v="0"/>
    <n v="0"/>
    <n v="86097"/>
    <n v="-86097"/>
    <x v="1"/>
  </r>
  <r>
    <s v="2.02.04.04.0101"/>
    <s v="QUOTE INUTILIZZATE CONTRIBUTI VINCOLATI DA PRIVATI"/>
    <n v="0"/>
    <n v="18317"/>
    <n v="18317"/>
    <n v="0"/>
    <n v="10000"/>
    <n v="0"/>
    <n v="0"/>
    <n v="0"/>
    <n v="28317"/>
    <n v="-28317"/>
    <x v="174"/>
  </r>
  <r>
    <s v="2.02.04.04.0102"/>
    <s v="QUOTE INUTILIZZATE CONTRIBUTI VINCOLATI DA PRIVATI &quot;ROCHE A SUPPORTO DELLE PERSONE CON SCLEROSI MULTIPLA&quot;"/>
    <n v="0"/>
    <n v="50000"/>
    <n v="50000"/>
    <n v="0"/>
    <n v="0"/>
    <n v="0"/>
    <n v="0"/>
    <n v="0"/>
    <n v="50000"/>
    <n v="-50000"/>
    <x v="174"/>
  </r>
  <r>
    <s v="2.02.04.04.0103"/>
    <s v="CONTRIBUTO PRO.M.I.S. PER ATTIVITA' DI STUDIO PER L'IMPLEMENTAZIONE DI BUONE PRATICHE NAZIONALI ED EUROPEE."/>
    <n v="0"/>
    <n v="7780"/>
    <n v="7780"/>
    <n v="0"/>
    <n v="0"/>
    <n v="0"/>
    <n v="0"/>
    <n v="0"/>
    <n v="7780"/>
    <n v="-7780"/>
    <x v="174"/>
  </r>
  <r>
    <m/>
    <s v="Quote inutilizzate contributi da Regione o Prov. Aut. per quota F.S. indistinto finalizzato"/>
    <n v="0"/>
    <n v="345667.9"/>
    <n v="345667.9"/>
    <n v="0"/>
    <n v="0"/>
    <n v="0"/>
    <n v="0"/>
    <n v="0"/>
    <n v="345667.9"/>
    <n v="-345667.9"/>
    <x v="1"/>
  </r>
  <r>
    <s v="2.02.04.05.0101"/>
    <s v="QUOTE INUTILIZZATE CONTRIBUTI DA REGIONE PER FS &quot;FINALIZZATO&quot;"/>
    <n v="0"/>
    <n v="345667.9"/>
    <n v="345667.9"/>
    <n v="0"/>
    <n v="0"/>
    <n v="0"/>
    <n v="0"/>
    <n v="0"/>
    <n v="345667.9"/>
    <n v="-345667.9"/>
    <x v="175"/>
  </r>
  <r>
    <s v="2.02.04.05.0102"/>
    <s v="QUOTE INUTILIZZATE PER INTERVENTI EX D.L. 34/2020"/>
    <n v="0"/>
    <n v="0"/>
    <n v="0"/>
    <n v="0"/>
    <n v="0"/>
    <n v="0"/>
    <n v="0"/>
    <n v="0"/>
    <n v="0"/>
    <n v="0"/>
    <x v="175"/>
  </r>
  <r>
    <m/>
    <s v="ALTRI FONDI PER ONERI E SPESE"/>
    <n v="0"/>
    <n v="7410697.7800000003"/>
    <n v="7410697.7800000003"/>
    <n v="5219766.03"/>
    <n v="6081107.9199999999"/>
    <n v="0"/>
    <n v="0"/>
    <n v="5219766.03"/>
    <n v="13491805.699999999"/>
    <n v="-8272039.6699999999"/>
    <x v="1"/>
  </r>
  <r>
    <m/>
    <s v="FONDI INTEGRATIVI PENSIONE"/>
    <n v="0"/>
    <n v="0"/>
    <n v="0"/>
    <n v="0"/>
    <n v="0"/>
    <n v="0"/>
    <n v="0"/>
    <n v="0"/>
    <n v="0"/>
    <n v="0"/>
    <x v="1"/>
  </r>
  <r>
    <s v="2.02.05.01.0101"/>
    <s v="FONDI INTEGRATIVI PENSIONE"/>
    <n v="0"/>
    <n v="0"/>
    <n v="0"/>
    <n v="0"/>
    <n v="0"/>
    <n v="0"/>
    <n v="0"/>
    <n v="0"/>
    <n v="0"/>
    <n v="0"/>
    <x v="176"/>
  </r>
  <r>
    <m/>
    <s v="FONDO RINNOVI CONTRATTUALI PERSONALE DIPENDENTE"/>
    <n v="0"/>
    <n v="3790899.57"/>
    <n v="3790899.57"/>
    <n v="4735826.07"/>
    <n v="4656142.7"/>
    <n v="0"/>
    <n v="0"/>
    <n v="4735826.07"/>
    <n v="8447042.2699999996"/>
    <n v="-3711216.2"/>
    <x v="1"/>
  </r>
  <r>
    <s v="2.02.05.02.0101"/>
    <s v="FONDO RINNOVI CONTRATTUALI PERSONALE IN CONVENZIONE"/>
    <n v="0"/>
    <n v="0"/>
    <n v="0"/>
    <n v="61766.7"/>
    <n v="0"/>
    <n v="0"/>
    <n v="0"/>
    <n v="61766.7"/>
    <n v="0"/>
    <n v="61766.7"/>
    <x v="177"/>
  </r>
  <r>
    <s v="2.02.05.02.0102"/>
    <s v="FONDO PER CONTRATTO DIRIGENZA SANITARIA MEDICA"/>
    <n v="0"/>
    <n v="3248657.44"/>
    <n v="3248657.44"/>
    <n v="4311889.7300000004"/>
    <n v="2823874.11"/>
    <n v="0"/>
    <n v="0"/>
    <n v="4311889.7300000004"/>
    <n v="6072531.5499999998"/>
    <n v="-1760641.82"/>
    <x v="177"/>
  </r>
  <r>
    <s v="2.02.05.02.0103"/>
    <s v="FONDO PER CONTRATTO DIRIGENZA SANITARIA NON MEDICA"/>
    <n v="0"/>
    <n v="272854.15000000002"/>
    <n v="272854.15000000002"/>
    <n v="362169.64"/>
    <n v="95162.23"/>
    <n v="0"/>
    <n v="0"/>
    <n v="362169.64"/>
    <n v="368016.38"/>
    <n v="-5846.74"/>
    <x v="177"/>
  </r>
  <r>
    <s v="2.02.05.02.0104"/>
    <s v="FONDO PER CONTRATTO COMPARTO SANITARIO"/>
    <n v="0"/>
    <n v="269387.98"/>
    <n v="269387.98"/>
    <n v="0"/>
    <n v="1737106.36"/>
    <n v="0"/>
    <n v="0"/>
    <n v="0"/>
    <n v="2006494.34"/>
    <n v="-2006494.34"/>
    <x v="177"/>
  </r>
  <r>
    <s v="2.02.05.02.0105"/>
    <s v="FONDO PER CONTRATTO DIRIGENZA PROFESSIONALE"/>
    <n v="0"/>
    <n v="0"/>
    <n v="0"/>
    <n v="0"/>
    <n v="0"/>
    <n v="0"/>
    <n v="0"/>
    <n v="0"/>
    <n v="0"/>
    <n v="0"/>
    <x v="177"/>
  </r>
  <r>
    <s v="2.02.05.02.0106"/>
    <s v="FONDO PER CONTRATTO COMPARTO PROFESSIONALE"/>
    <n v="0"/>
    <n v="0"/>
    <n v="0"/>
    <n v="0"/>
    <n v="0"/>
    <n v="0"/>
    <n v="0"/>
    <n v="0"/>
    <n v="0"/>
    <n v="0"/>
    <x v="177"/>
  </r>
  <r>
    <s v="2.02.05.02.0107"/>
    <s v="FONDO PER CONTRATTO DIRIGENZA TECNICA"/>
    <n v="0"/>
    <n v="0"/>
    <n v="0"/>
    <n v="0"/>
    <n v="0"/>
    <n v="0"/>
    <n v="0"/>
    <n v="0"/>
    <n v="0"/>
    <n v="0"/>
    <x v="177"/>
  </r>
  <r>
    <s v="2.02.05.02.0108"/>
    <s v="FONDO PER CONTRATTO COMPARTO TECNICO"/>
    <n v="0"/>
    <n v="0"/>
    <n v="0"/>
    <n v="0"/>
    <n v="0"/>
    <n v="0"/>
    <n v="0"/>
    <n v="0"/>
    <n v="0"/>
    <n v="0"/>
    <x v="177"/>
  </r>
  <r>
    <s v="2.02.05.02.0109"/>
    <s v="FONDO PER CONTRATTO DIRIGENZA AMMINISTRATIVA"/>
    <n v="0"/>
    <n v="0"/>
    <n v="0"/>
    <n v="0"/>
    <n v="0"/>
    <n v="0"/>
    <n v="0"/>
    <n v="0"/>
    <n v="0"/>
    <n v="0"/>
    <x v="177"/>
  </r>
  <r>
    <s v="2.02.05.02.0110"/>
    <s v="FONDO PER CONTRATTO COMPARTO AMMINISTRATIVO"/>
    <n v="0"/>
    <n v="0"/>
    <n v="0"/>
    <n v="0"/>
    <n v="0"/>
    <n v="0"/>
    <n v="0"/>
    <n v="0"/>
    <n v="0"/>
    <n v="0"/>
    <x v="177"/>
  </r>
  <r>
    <m/>
    <s v="FONDO RINNOVI CONVENZIONI MMG/PLS/MCA"/>
    <n v="0"/>
    <n v="0"/>
    <n v="0"/>
    <n v="0"/>
    <n v="0"/>
    <n v="0"/>
    <n v="0"/>
    <n v="0"/>
    <n v="0"/>
    <n v="0"/>
    <x v="1"/>
  </r>
  <r>
    <s v="2.02.05.03.0101"/>
    <s v="FONDO RINNOVI CONVENZIONI MMG/PLS/MCA"/>
    <n v="0"/>
    <n v="0"/>
    <n v="0"/>
    <n v="0"/>
    <n v="0"/>
    <n v="0"/>
    <n v="0"/>
    <n v="0"/>
    <n v="0"/>
    <n v="0"/>
    <x v="178"/>
  </r>
  <r>
    <m/>
    <s v="FONDO RINNOVI CONVENZIONI MEDICI SUMAI"/>
    <n v="0"/>
    <n v="0"/>
    <n v="0"/>
    <n v="0"/>
    <n v="0"/>
    <n v="0"/>
    <n v="0"/>
    <n v="0"/>
    <n v="0"/>
    <n v="0"/>
    <x v="1"/>
  </r>
  <r>
    <s v="2.02.05.04.0101"/>
    <s v="FONDO RINNOVI CONVENZIONI MEDICI SUMAI"/>
    <n v="0"/>
    <n v="0"/>
    <n v="0"/>
    <n v="0"/>
    <n v="0"/>
    <n v="0"/>
    <n v="0"/>
    <n v="0"/>
    <n v="0"/>
    <n v="0"/>
    <x v="179"/>
  </r>
  <r>
    <m/>
    <s v="ALTRI FONDI PER ONERI E SPESE"/>
    <n v="0"/>
    <n v="3619798.21"/>
    <n v="3619798.21"/>
    <n v="483939.96"/>
    <n v="1084965.22"/>
    <n v="0"/>
    <n v="0"/>
    <n v="483939.96"/>
    <n v="4704763.43"/>
    <n v="-4220823.47"/>
    <x v="1"/>
  </r>
  <r>
    <s v="2.02.05.05.0101"/>
    <s v="FONDO PER REGOLAZIONE PREMI ASSICURATIVI"/>
    <n v="0"/>
    <n v="0"/>
    <n v="0"/>
    <n v="0"/>
    <n v="0"/>
    <n v="0"/>
    <n v="0"/>
    <n v="0"/>
    <n v="0"/>
    <n v="0"/>
    <x v="180"/>
  </r>
  <r>
    <s v="2.02.05.05.0102"/>
    <s v="FONDO PER FERIE MATURATE E NON GODUTE"/>
    <n v="0"/>
    <n v="0"/>
    <n v="0"/>
    <n v="0"/>
    <n v="0"/>
    <n v="0"/>
    <n v="0"/>
    <n v="0"/>
    <n v="0"/>
    <n v="0"/>
    <x v="180"/>
  </r>
  <r>
    <s v="2.02.05.05.0103"/>
    <s v="FONDO PER CAUSE DI SERVIZIO"/>
    <n v="0"/>
    <n v="0"/>
    <n v="0"/>
    <n v="0"/>
    <n v="0"/>
    <n v="0"/>
    <n v="0"/>
    <n v="0"/>
    <n v="0"/>
    <n v="0"/>
    <x v="180"/>
  </r>
  <r>
    <s v="2.02.05.05.0104"/>
    <s v="FONDO PER MANCATO PREAVVISO"/>
    <n v="0"/>
    <n v="0"/>
    <n v="0"/>
    <n v="0"/>
    <n v="0"/>
    <n v="0"/>
    <n v="0"/>
    <n v="0"/>
    <n v="0"/>
    <n v="0"/>
    <x v="180"/>
  </r>
  <r>
    <s v="2.02.05.05.0105"/>
    <s v="ALTRI FONDI PER RISCHI"/>
    <n v="0"/>
    <n v="0"/>
    <n v="0"/>
    <n v="0"/>
    <n v="0"/>
    <n v="0"/>
    <n v="0"/>
    <n v="0"/>
    <n v="0"/>
    <n v="0"/>
    <x v="180"/>
  </r>
  <r>
    <s v="2.02.05.05.0106"/>
    <s v="FONDI INTEGRATIVI PENSIONE"/>
    <n v="0"/>
    <n v="0"/>
    <n v="0"/>
    <n v="0"/>
    <n v="0"/>
    <n v="0"/>
    <n v="0"/>
    <n v="0"/>
    <n v="0"/>
    <n v="0"/>
    <x v="180"/>
  </r>
  <r>
    <s v="2.02.05.05.0107"/>
    <s v="ALTRI FONDI PER ONERI E SPESE"/>
    <n v="0"/>
    <n v="0"/>
    <n v="0"/>
    <n v="0"/>
    <n v="0"/>
    <n v="0"/>
    <n v="0"/>
    <n v="0"/>
    <n v="0"/>
    <n v="0"/>
    <x v="180"/>
  </r>
  <r>
    <s v="2.02.05.05.0108"/>
    <s v="FONDO ACCANTONAMENTO PROVENTI DA SPERIMENTAZIONE"/>
    <n v="0"/>
    <n v="490104.59"/>
    <n v="490104.59"/>
    <n v="0"/>
    <n v="297053.89"/>
    <n v="0"/>
    <n v="0"/>
    <n v="0"/>
    <n v="787158.48"/>
    <n v="-787158.48"/>
    <x v="180"/>
  </r>
  <r>
    <s v="2.02.05.05.0109"/>
    <s v="FONDO PER SPESE FUTURE"/>
    <n v="0"/>
    <n v="0"/>
    <n v="0"/>
    <n v="0"/>
    <n v="0"/>
    <n v="0"/>
    <n v="0"/>
    <n v="0"/>
    <n v="0"/>
    <n v="0"/>
    <x v="180"/>
  </r>
  <r>
    <s v="2.02.05.05.0110"/>
    <s v="FONDO ACCANTONAMENTO GESTIONE SERVIZIO TRASFORMAZIONE PLASMO DA //"/>
    <n v="0"/>
    <n v="0"/>
    <n v="0"/>
    <n v="0"/>
    <n v="0"/>
    <n v="0"/>
    <n v="0"/>
    <n v="0"/>
    <n v="0"/>
    <n v="0"/>
    <x v="180"/>
  </r>
  <r>
    <s v="2.02.05.05.0111"/>
    <s v="FONDO P.A.F."/>
    <n v="0"/>
    <n v="0"/>
    <n v="0"/>
    <n v="0"/>
    <n v="250000"/>
    <n v="0"/>
    <n v="0"/>
    <n v="0"/>
    <n v="250000"/>
    <n v="-250000"/>
    <x v="180"/>
  </r>
  <r>
    <s v="2.02.05.05.0112"/>
    <s v="FONDO PEREQUAZIONE ALPI"/>
    <n v="0"/>
    <n v="2195403.61"/>
    <n v="2195403.61"/>
    <n v="385740.13"/>
    <n v="413029.02"/>
    <n v="0"/>
    <n v="0"/>
    <n v="385740.13"/>
    <n v="2608432.63"/>
    <n v="-2222692.5"/>
    <x v="180"/>
  </r>
  <r>
    <s v="2.02.05.05.0113"/>
    <s v="FONDO ACC.TO ALPI COMPARTO SANITARIO"/>
    <n v="0"/>
    <n v="0"/>
    <n v="0"/>
    <n v="0"/>
    <n v="0"/>
    <n v="0"/>
    <n v="0"/>
    <n v="0"/>
    <n v="0"/>
    <n v="0"/>
    <x v="180"/>
  </r>
  <r>
    <s v="2.02.05.05.0114"/>
    <s v="FONDO ACC.TO ALPI COMPARTO AMM.VO"/>
    <n v="0"/>
    <n v="0"/>
    <n v="0"/>
    <n v="0"/>
    <n v="0"/>
    <n v="0"/>
    <n v="0"/>
    <n v="0"/>
    <n v="0"/>
    <n v="0"/>
    <x v="180"/>
  </r>
  <r>
    <s v="2.02.05.05.0115"/>
    <s v="FONDO ACC.TO ALPI COMPARTO TECNICO"/>
    <n v="0"/>
    <n v="0"/>
    <n v="0"/>
    <n v="0"/>
    <n v="0"/>
    <n v="0"/>
    <n v="0"/>
    <n v="0"/>
    <n v="0"/>
    <n v="0"/>
    <x v="180"/>
  </r>
  <r>
    <s v="2.02.05.05.0116"/>
    <s v="FONDO PER IL FUNZIONAMENTO DEL COMITATO ETICO LOCALE"/>
    <n v="0"/>
    <n v="0"/>
    <n v="0"/>
    <n v="0"/>
    <n v="0"/>
    <n v="0"/>
    <n v="0"/>
    <n v="0"/>
    <n v="0"/>
    <n v="0"/>
    <x v="180"/>
  </r>
  <r>
    <s v="2.02.05.05.0117"/>
    <s v="FONDO PER COMPENSI COMITATO ETICO X VALUTAZ.TECN.SCIENTIFICHE"/>
    <n v="0"/>
    <n v="0"/>
    <n v="0"/>
    <n v="0"/>
    <n v="0"/>
    <n v="0"/>
    <n v="0"/>
    <n v="0"/>
    <n v="0"/>
    <n v="0"/>
    <x v="180"/>
  </r>
  <r>
    <s v="2.02.05.05.0118"/>
    <s v="FONDO X SPESE FORMAZIONE E AGGIOR.TO COMITATO ETICO"/>
    <n v="0"/>
    <n v="0"/>
    <n v="0"/>
    <n v="0"/>
    <n v="0"/>
    <n v="0"/>
    <n v="0"/>
    <n v="0"/>
    <n v="0"/>
    <n v="0"/>
    <x v="180"/>
  </r>
  <r>
    <s v="2.02.05.05.0119"/>
    <s v="FONDO X QUOTA SPETTANTE AZIENDA PROPONENTE"/>
    <n v="0"/>
    <n v="0"/>
    <n v="0"/>
    <n v="0"/>
    <n v="0"/>
    <n v="0"/>
    <n v="0"/>
    <n v="0"/>
    <n v="0"/>
    <n v="0"/>
    <x v="180"/>
  </r>
  <r>
    <s v="2.02.05.05.0120"/>
    <s v="F.DO ACC. PROVENTI SPERIMENTAZIONEPER SERV.DIAGNOSTICA PER IMMAGINI"/>
    <n v="0"/>
    <n v="35390.1"/>
    <n v="35390.1"/>
    <n v="0"/>
    <n v="0"/>
    <n v="0"/>
    <n v="0"/>
    <n v="0"/>
    <n v="35390.1"/>
    <n v="-35390.1"/>
    <x v="180"/>
  </r>
  <r>
    <s v="2.02.05.05.0121"/>
    <s v="FONDO DESTINATO ALLA PREVENZIONE E RIDUZIONE LISTE DI ATTESA"/>
    <n v="0"/>
    <n v="592070.99"/>
    <n v="592070.99"/>
    <n v="0"/>
    <n v="124882.31"/>
    <n v="0"/>
    <n v="0"/>
    <n v="0"/>
    <n v="716953.3"/>
    <n v="-716953.3"/>
    <x v="180"/>
  </r>
  <r>
    <s v="2.02.05.05.0122"/>
    <s v="FONDO DESTINATO AGLI INTERVENTI A FAVORE DEL PERSONALE A TITOLO DI CONTRIBUTI E SUSSIDI"/>
    <n v="0"/>
    <n v="229851.33"/>
    <n v="229851.33"/>
    <n v="98199.83"/>
    <n v="0"/>
    <n v="0"/>
    <n v="0"/>
    <n v="98199.83"/>
    <n v="229851.33"/>
    <n v="-131651.5"/>
    <x v="180"/>
  </r>
  <r>
    <s v="2.02.05.05.0123"/>
    <s v="FONDO ACCANTONAMENTO FARMACIA"/>
    <n v="0"/>
    <n v="43674.74"/>
    <n v="43674.74"/>
    <n v="0"/>
    <n v="0"/>
    <n v="0"/>
    <n v="0"/>
    <n v="0"/>
    <n v="43674.74"/>
    <n v="-43674.74"/>
    <x v="180"/>
  </r>
  <r>
    <s v="2.02.05.05.0124"/>
    <s v="FONDO ACCANTONAMENTO DIAGNOSTICA DI LABORATORIO"/>
    <n v="0"/>
    <n v="33302.85"/>
    <n v="33302.85"/>
    <n v="0"/>
    <n v="0"/>
    <n v="0"/>
    <n v="0"/>
    <n v="0"/>
    <n v="33302.85"/>
    <n v="-33302.85"/>
    <x v="180"/>
  </r>
  <r>
    <m/>
    <s v="Altri fondi  incentivi funzioni tecniche Art. 113 D.Lgs 50/2016"/>
    <n v="0"/>
    <n v="0"/>
    <n v="0"/>
    <n v="0"/>
    <n v="340000"/>
    <n v="0"/>
    <n v="0"/>
    <n v="0"/>
    <n v="340000"/>
    <n v="-340000"/>
    <x v="1"/>
  </r>
  <r>
    <s v="2.02.05.06.0101"/>
    <s v="Fondo  incentivi funzioni tecniche &quot;AMMODERNAMENTO TECNOLOGICO&quot;"/>
    <n v="0"/>
    <n v="0"/>
    <n v="0"/>
    <n v="0"/>
    <n v="168267.91"/>
    <n v="0"/>
    <n v="0"/>
    <n v="0"/>
    <n v="168267.91"/>
    <n v="-168267.91"/>
    <x v="181"/>
  </r>
  <r>
    <s v="2.02.05.06.0102"/>
    <s v="Fondo  incentivi funzioni tecniche &quot;LAVORI&quot;"/>
    <n v="0"/>
    <n v="0"/>
    <n v="0"/>
    <n v="0"/>
    <n v="98069.77"/>
    <n v="0"/>
    <n v="0"/>
    <n v="0"/>
    <n v="98069.77"/>
    <n v="-98069.77"/>
    <x v="181"/>
  </r>
  <r>
    <s v="2.02.05.06.0103"/>
    <s v="Fondo  incentivi funzioni tecniche &quot;FORNITURE&quot;"/>
    <n v="0"/>
    <n v="0"/>
    <n v="0"/>
    <n v="0"/>
    <n v="73662.320000000007"/>
    <n v="0"/>
    <n v="0"/>
    <n v="0"/>
    <n v="73662.320000000007"/>
    <n v="-73662.320000000007"/>
    <x v="181"/>
  </r>
  <r>
    <m/>
    <s v="TRATTAMENTO FINE RAPPORTO"/>
    <n v="0"/>
    <n v="367699.49"/>
    <n v="367699.49"/>
    <n v="0"/>
    <n v="0"/>
    <n v="0"/>
    <n v="0"/>
    <n v="0"/>
    <n v="367699.49"/>
    <n v="-367699.49"/>
    <x v="1"/>
  </r>
  <r>
    <m/>
    <s v="FONDO PER PREMI OPEROSITA' MEDICI SUMAI"/>
    <n v="0"/>
    <n v="0"/>
    <n v="0"/>
    <n v="0"/>
    <n v="0"/>
    <n v="0"/>
    <n v="0"/>
    <n v="0"/>
    <n v="0"/>
    <n v="0"/>
    <x v="1"/>
  </r>
  <r>
    <m/>
    <s v="FONDO PER PREMI OPEROSITA' MEDICI SUMAI"/>
    <n v="0"/>
    <n v="0"/>
    <n v="0"/>
    <n v="0"/>
    <n v="0"/>
    <n v="0"/>
    <n v="0"/>
    <n v="0"/>
    <n v="0"/>
    <n v="0"/>
    <x v="1"/>
  </r>
  <r>
    <s v="2.03.01.01.0101"/>
    <s v="FONDO PER PREMI OPEROSITA MEDICI SUMAI"/>
    <n v="0"/>
    <n v="0"/>
    <n v="0"/>
    <n v="0"/>
    <n v="0"/>
    <n v="0"/>
    <n v="0"/>
    <n v="0"/>
    <n v="0"/>
    <n v="0"/>
    <x v="182"/>
  </r>
  <r>
    <m/>
    <s v="FONDO PER TRATTAMENTO DI FINE RAPPORTO DIPENDENTI"/>
    <n v="0"/>
    <n v="367699.49"/>
    <n v="367699.49"/>
    <n v="0"/>
    <n v="0"/>
    <n v="0"/>
    <n v="0"/>
    <n v="0"/>
    <n v="367699.49"/>
    <n v="-367699.49"/>
    <x v="1"/>
  </r>
  <r>
    <m/>
    <s v="FONDO PER TRATTAMENTO DI FINE RAPPORTO DIPENDENTI"/>
    <n v="0"/>
    <n v="367699.49"/>
    <n v="367699.49"/>
    <n v="0"/>
    <n v="0"/>
    <n v="0"/>
    <n v="0"/>
    <n v="0"/>
    <n v="367699.49"/>
    <n v="-367699.49"/>
    <x v="1"/>
  </r>
  <r>
    <s v="2.03.02.01.0101"/>
    <s v="FONDO PER TRATTAMENTO DI FINE RAPPORTO DIPENDENTI"/>
    <n v="0"/>
    <n v="367699.49"/>
    <n v="367699.49"/>
    <n v="0"/>
    <n v="0"/>
    <n v="0"/>
    <n v="0"/>
    <n v="0"/>
    <n v="367699.49"/>
    <n v="-367699.49"/>
    <x v="183"/>
  </r>
  <r>
    <m/>
    <s v="FONDO PER TRATTAMENTI DI QUIESCENZA E SIMILI"/>
    <n v="0"/>
    <n v="0"/>
    <n v="0"/>
    <n v="0"/>
    <n v="0"/>
    <n v="0"/>
    <n v="0"/>
    <n v="0"/>
    <n v="0"/>
    <n v="0"/>
    <x v="1"/>
  </r>
  <r>
    <m/>
    <s v="FONDO PER TRATTAMENTI DI QUIESCENZA E SIMILI"/>
    <n v="0"/>
    <n v="0"/>
    <n v="0"/>
    <n v="0"/>
    <n v="0"/>
    <n v="0"/>
    <n v="0"/>
    <n v="0"/>
    <n v="0"/>
    <n v="0"/>
    <x v="1"/>
  </r>
  <r>
    <s v="2.03.03.01.0101"/>
    <s v="FONDO PER TRATTAMENTI DI QUIESCENZA E SIMILI"/>
    <n v="0"/>
    <n v="0"/>
    <n v="0"/>
    <n v="0"/>
    <n v="0"/>
    <n v="0"/>
    <n v="0"/>
    <n v="0"/>
    <n v="0"/>
    <n v="0"/>
    <x v="184"/>
  </r>
  <r>
    <m/>
    <s v="DEBITI"/>
    <n v="2471950.8199999998"/>
    <n v="99569858.810000002"/>
    <n v="97097907.989999995"/>
    <n v="2796181163.77"/>
    <n v="2801510773.4299998"/>
    <n v="0"/>
    <n v="0"/>
    <n v="2798653114.5900002"/>
    <n v="2901080632.2399998"/>
    <n v="-102427517.65000001"/>
    <x v="1"/>
  </r>
  <r>
    <m/>
    <s v="DEBITI PER MUTUI PASSIVI"/>
    <n v="0"/>
    <n v="0"/>
    <n v="0"/>
    <n v="3306.79"/>
    <n v="3306.79"/>
    <n v="0"/>
    <n v="0"/>
    <n v="3306.79"/>
    <n v="3306.79"/>
    <n v="0"/>
    <x v="1"/>
  </r>
  <r>
    <m/>
    <s v="DEBITI PER MUTUI PASSIVI"/>
    <n v="0"/>
    <n v="0"/>
    <n v="0"/>
    <n v="3306.79"/>
    <n v="3306.79"/>
    <n v="0"/>
    <n v="0"/>
    <n v="3306.79"/>
    <n v="3306.79"/>
    <n v="0"/>
    <x v="1"/>
  </r>
  <r>
    <s v="2.04.01.01.0101"/>
    <s v="DEBITI PER MUTUI V/ ISTITUTO TESORIERE"/>
    <n v="0"/>
    <n v="0"/>
    <n v="0"/>
    <n v="0"/>
    <n v="0"/>
    <n v="0"/>
    <n v="0"/>
    <n v="0"/>
    <n v="0"/>
    <n v="0"/>
    <x v="185"/>
  </r>
  <r>
    <s v="2.04.01.01.0102"/>
    <s v="DEBITI PER MUTUI V/ ALTRE BANCHE"/>
    <n v="0"/>
    <n v="0"/>
    <n v="0"/>
    <n v="3306.79"/>
    <n v="3306.79"/>
    <n v="0"/>
    <n v="0"/>
    <n v="3306.79"/>
    <n v="3306.79"/>
    <n v="0"/>
    <x v="185"/>
  </r>
  <r>
    <m/>
    <s v="DEBITI V/STATO"/>
    <n v="0"/>
    <n v="0"/>
    <n v="0"/>
    <n v="0"/>
    <n v="0"/>
    <n v="0"/>
    <n v="0"/>
    <n v="0"/>
    <n v="0"/>
    <n v="0"/>
    <x v="1"/>
  </r>
  <r>
    <m/>
    <s v="DEBITI V/STATO PER MOBILITA' PASSIVA EXTRAREGIONALE"/>
    <n v="0"/>
    <n v="0"/>
    <n v="0"/>
    <n v="0"/>
    <n v="0"/>
    <n v="0"/>
    <n v="0"/>
    <n v="0"/>
    <n v="0"/>
    <n v="0"/>
    <x v="1"/>
  </r>
  <r>
    <s v="2.04.02.01.0101"/>
    <s v="DEBITI V/ STATO PER MOBILITA PASSIVA PUBBLICA"/>
    <n v="0"/>
    <n v="0"/>
    <n v="0"/>
    <n v="0"/>
    <n v="0"/>
    <n v="0"/>
    <n v="0"/>
    <n v="0"/>
    <n v="0"/>
    <n v="0"/>
    <x v="186"/>
  </r>
  <r>
    <s v="2.04.02.01.0102"/>
    <s v="DEBITI V/ STATO PER MOBILITA PASSIVA PRIVATA"/>
    <n v="0"/>
    <n v="0"/>
    <n v="0"/>
    <n v="0"/>
    <n v="0"/>
    <n v="0"/>
    <n v="0"/>
    <n v="0"/>
    <n v="0"/>
    <n v="0"/>
    <x v="186"/>
  </r>
  <r>
    <m/>
    <s v="DEBITI V/STATO PER MOBILITA' PASSIVA INTERNAZIONALE"/>
    <n v="0"/>
    <n v="0"/>
    <n v="0"/>
    <n v="0"/>
    <n v="0"/>
    <n v="0"/>
    <n v="0"/>
    <n v="0"/>
    <n v="0"/>
    <n v="0"/>
    <x v="1"/>
  </r>
  <r>
    <s v="2.04.02.02.0101"/>
    <s v="DEBITI V/STATO PER MOBILITA PASSIVA INTERNAZIONALE"/>
    <n v="0"/>
    <n v="0"/>
    <n v="0"/>
    <n v="0"/>
    <n v="0"/>
    <n v="0"/>
    <n v="0"/>
    <n v="0"/>
    <n v="0"/>
    <n v="0"/>
    <x v="187"/>
  </r>
  <r>
    <m/>
    <s v="ACCONTO QUOTA FSR V/STATO"/>
    <n v="0"/>
    <n v="0"/>
    <n v="0"/>
    <n v="0"/>
    <n v="0"/>
    <n v="0"/>
    <n v="0"/>
    <n v="0"/>
    <n v="0"/>
    <n v="0"/>
    <x v="1"/>
  </r>
  <r>
    <s v="2.04.02.03.0101"/>
    <s v="ACCONTO QUOTA FSR V/STATO"/>
    <n v="0"/>
    <n v="0"/>
    <n v="0"/>
    <n v="0"/>
    <n v="0"/>
    <n v="0"/>
    <n v="0"/>
    <n v="0"/>
    <n v="0"/>
    <n v="0"/>
    <x v="188"/>
  </r>
  <r>
    <m/>
    <s v="DEBITI V/STATO PER RESTITUZIONE FINANZIAMENTI - PER RICERCA"/>
    <n v="0"/>
    <n v="0"/>
    <n v="0"/>
    <n v="0"/>
    <n v="0"/>
    <n v="0"/>
    <n v="0"/>
    <n v="0"/>
    <n v="0"/>
    <n v="0"/>
    <x v="1"/>
  </r>
  <r>
    <s v="2.04.02.04.0101"/>
    <s v="DEBITI V/STATO PER RESTITUZIONE FINANZIAMENTI - PER RICERCA"/>
    <n v="0"/>
    <n v="0"/>
    <n v="0"/>
    <n v="0"/>
    <n v="0"/>
    <n v="0"/>
    <n v="0"/>
    <n v="0"/>
    <n v="0"/>
    <n v="0"/>
    <x v="189"/>
  </r>
  <r>
    <m/>
    <s v="ALTRI DEBITI V/STATO"/>
    <n v="0"/>
    <n v="0"/>
    <n v="0"/>
    <n v="0"/>
    <n v="0"/>
    <n v="0"/>
    <n v="0"/>
    <n v="0"/>
    <n v="0"/>
    <n v="0"/>
    <x v="1"/>
  </r>
  <r>
    <s v="2.04.02.05.0101"/>
    <s v="ALTRI DEBITI V/STATO"/>
    <n v="0"/>
    <n v="0"/>
    <n v="0"/>
    <n v="0"/>
    <n v="0"/>
    <n v="0"/>
    <n v="0"/>
    <n v="0"/>
    <n v="0"/>
    <n v="0"/>
    <x v="190"/>
  </r>
  <r>
    <m/>
    <s v="DEBITI V/REGIONE O PROVINCIA AUTONOMA"/>
    <n v="0"/>
    <n v="0"/>
    <n v="0"/>
    <n v="313132571.24000001"/>
    <n v="313939782.24000001"/>
    <n v="0"/>
    <n v="0"/>
    <n v="313132571.24000001"/>
    <n v="313939782.24000001"/>
    <n v="-807211"/>
    <x v="1"/>
  </r>
  <r>
    <m/>
    <s v="DEBITI V/REGIONE O PROVINCIA AUTONOMA PER FINANZIAMENTI"/>
    <n v="0"/>
    <n v="0"/>
    <n v="0"/>
    <n v="0"/>
    <n v="0"/>
    <n v="0"/>
    <n v="0"/>
    <n v="0"/>
    <n v="0"/>
    <n v="0"/>
    <x v="1"/>
  </r>
  <r>
    <s v="2.04.03.01.0101"/>
    <s v="DEBITI PER FINANZIAMENTI PER SPESA CORRENTE PER QUOTE DI FSR"/>
    <n v="0"/>
    <n v="0"/>
    <n v="0"/>
    <n v="0"/>
    <n v="0"/>
    <n v="0"/>
    <n v="0"/>
    <n v="0"/>
    <n v="0"/>
    <n v="0"/>
    <x v="191"/>
  </r>
  <r>
    <s v="2.04.03.01.0102"/>
    <s v="DEBITI PER FINANZIAMENTI PER SPESA CORRENTE PER PROGETTI SANITARI"/>
    <n v="0"/>
    <n v="0"/>
    <n v="0"/>
    <n v="0"/>
    <n v="0"/>
    <n v="0"/>
    <n v="0"/>
    <n v="0"/>
    <n v="0"/>
    <n v="0"/>
    <x v="191"/>
  </r>
  <r>
    <s v="2.04.03.01.0103"/>
    <s v="DEBITI PER FINANZIAMENTI PER SPESA CORRENTE PER ALTRI CONTRIBUTI IN         C/ESERCIZIO"/>
    <n v="0"/>
    <n v="0"/>
    <n v="0"/>
    <n v="0"/>
    <n v="0"/>
    <n v="0"/>
    <n v="0"/>
    <n v="0"/>
    <n v="0"/>
    <n v="0"/>
    <x v="191"/>
  </r>
  <r>
    <s v="2.04.03.01.0104"/>
    <s v="DEBITI PER FINANZIAMENTI PER VERSAMENTI A PATRIMONIO NETTO PER INVESTIMENTI IN CONTO CAPITALE EX ART  L /"/>
    <n v="0"/>
    <n v="0"/>
    <n v="0"/>
    <n v="0"/>
    <n v="0"/>
    <n v="0"/>
    <n v="0"/>
    <n v="0"/>
    <n v="0"/>
    <n v="0"/>
    <x v="191"/>
  </r>
  <r>
    <s v="2.04.03.01.0105"/>
    <s v="DEBITI PER FINANZIAMENTI PER VERSAMENTI A PATRIMONIO NETTO PER ALTRI  INVESTIMENTI IN CONTO CAPITALE"/>
    <n v="0"/>
    <n v="0"/>
    <n v="0"/>
    <n v="0"/>
    <n v="0"/>
    <n v="0"/>
    <n v="0"/>
    <n v="0"/>
    <n v="0"/>
    <n v="0"/>
    <x v="191"/>
  </r>
  <r>
    <s v="2.04.03.01.0106"/>
    <s v="DEBITI PER FINANZIAMENTI PER VERSAMENTI A PATRIMONIO NETTO PER RIPIANO   PERDITE"/>
    <n v="0"/>
    <n v="0"/>
    <n v="0"/>
    <n v="0"/>
    <n v="0"/>
    <n v="0"/>
    <n v="0"/>
    <n v="0"/>
    <n v="0"/>
    <n v="0"/>
    <x v="191"/>
  </r>
  <r>
    <m/>
    <s v="DEBITI V/REGIONE O PROVINCIA AUTONOMA PER MOBILITA' PASSIVA INTRAREGIONALE"/>
    <n v="0"/>
    <n v="0"/>
    <n v="0"/>
    <n v="0"/>
    <n v="807211"/>
    <n v="0"/>
    <n v="0"/>
    <n v="0"/>
    <n v="807211"/>
    <n v="-807211"/>
    <x v="1"/>
  </r>
  <r>
    <s v="2.04.03.02.0101"/>
    <s v="DEBITI V/REGIONE O PROVINCIA AUTONOMA PER MOBILITA PASSIVA INTRAREGIONALE"/>
    <n v="0"/>
    <n v="0"/>
    <n v="0"/>
    <n v="0"/>
    <n v="807211"/>
    <n v="0"/>
    <n v="0"/>
    <n v="0"/>
    <n v="807211"/>
    <n v="-807211"/>
    <x v="192"/>
  </r>
  <r>
    <m/>
    <s v="DEBITI V/REGIONE O PROVINCIA AUTONOMA PER MOBILITA' PASSIVA EXTRAREGIONALE"/>
    <n v="0"/>
    <n v="0"/>
    <n v="0"/>
    <n v="0"/>
    <n v="0"/>
    <n v="0"/>
    <n v="0"/>
    <n v="0"/>
    <n v="0"/>
    <n v="0"/>
    <x v="1"/>
  </r>
  <r>
    <s v="2.04.03.03.0101"/>
    <s v="DEBITI V/REGIONE PER MOBILITA PASSIVA EXTRAREGIONE"/>
    <n v="0"/>
    <n v="0"/>
    <n v="0"/>
    <n v="0"/>
    <n v="0"/>
    <n v="0"/>
    <n v="0"/>
    <n v="0"/>
    <n v="0"/>
    <n v="0"/>
    <x v="193"/>
  </r>
  <r>
    <m/>
    <s v="ACCONTO QUOTA FSR DA REGIONE O PROVINCIA AUTONOMA"/>
    <n v="0"/>
    <n v="0"/>
    <n v="0"/>
    <n v="313132571.24000001"/>
    <n v="313132571.24000001"/>
    <n v="0"/>
    <n v="0"/>
    <n v="313132571.24000001"/>
    <n v="313132571.24000001"/>
    <n v="0"/>
    <x v="1"/>
  </r>
  <r>
    <s v="2.04.03.04.0101"/>
    <s v="ACCONTO QUOTA FSR DA REGIONE O PROVINCIA AUTONOMA"/>
    <n v="0"/>
    <n v="0"/>
    <n v="0"/>
    <n v="313132571.24000001"/>
    <n v="313132571.24000001"/>
    <n v="0"/>
    <n v="0"/>
    <n v="313132571.24000001"/>
    <n v="313132571.24000001"/>
    <n v="0"/>
    <x v="194"/>
  </r>
  <r>
    <m/>
    <s v="ALTRI DEBITI V/REGIONE O PROVINCIA AUTONOMA"/>
    <n v="0"/>
    <n v="0"/>
    <n v="0"/>
    <n v="0"/>
    <n v="0"/>
    <n v="0"/>
    <n v="0"/>
    <n v="0"/>
    <n v="0"/>
    <n v="0"/>
    <x v="1"/>
  </r>
  <r>
    <s v="2.04.03.05.0101"/>
    <s v="ALTRI DEBITI V/REGIONE O PROVINCIA AUTONOMA"/>
    <n v="0"/>
    <n v="0"/>
    <n v="0"/>
    <n v="0"/>
    <n v="0"/>
    <n v="0"/>
    <n v="0"/>
    <n v="0"/>
    <n v="0"/>
    <n v="0"/>
    <x v="195"/>
  </r>
  <r>
    <m/>
    <s v="Debiti v/Regione o Provincia Autonoma per finanziamenti"/>
    <n v="0"/>
    <n v="0"/>
    <n v="0"/>
    <n v="0"/>
    <n v="0"/>
    <n v="0"/>
    <n v="0"/>
    <n v="0"/>
    <n v="0"/>
    <n v="0"/>
    <x v="1"/>
  </r>
  <r>
    <s v="2.04.03.06.0101"/>
    <s v="Debiti v/Regione o Provincia Autonoma per finanziamenti"/>
    <n v="0"/>
    <n v="0"/>
    <n v="0"/>
    <n v="0"/>
    <n v="0"/>
    <n v="0"/>
    <n v="0"/>
    <n v="0"/>
    <n v="0"/>
    <n v="0"/>
    <x v="196"/>
  </r>
  <r>
    <m/>
    <s v="Debiti v/Regione o Provincia Autonoma per mobilità passiva  internazionale"/>
    <n v="0"/>
    <n v="0"/>
    <n v="0"/>
    <n v="0"/>
    <n v="0"/>
    <n v="0"/>
    <n v="0"/>
    <n v="0"/>
    <n v="0"/>
    <n v="0"/>
    <x v="1"/>
  </r>
  <r>
    <s v="2.04.03.07.0101"/>
    <s v="Debiti v/Regione o Provincia Autonoma per mobilita passiva  internazionale"/>
    <n v="0"/>
    <n v="0"/>
    <n v="0"/>
    <n v="0"/>
    <n v="0"/>
    <n v="0"/>
    <n v="0"/>
    <n v="0"/>
    <n v="0"/>
    <n v="0"/>
    <x v="197"/>
  </r>
  <r>
    <m/>
    <s v="Acconto da Regione o Provincia Autonoma per anticipazione ripiano disavanzo programmato dai Piani aziendali di cui all'art. 1, comma 528, L. 208/2015"/>
    <n v="0"/>
    <n v="0"/>
    <n v="0"/>
    <n v="0"/>
    <n v="0"/>
    <n v="0"/>
    <n v="0"/>
    <n v="0"/>
    <n v="0"/>
    <n v="0"/>
    <x v="1"/>
  </r>
  <r>
    <s v="2.04.03.08.0101"/>
    <s v="Acconto da Regione o Provincia Autonoma per anticipazione ripiano disavanzo programmato dai Piani aziendali di cui all'art. 1, comma 528, L. 208/2015"/>
    <n v="0"/>
    <n v="0"/>
    <n v="0"/>
    <n v="0"/>
    <n v="0"/>
    <n v="0"/>
    <n v="0"/>
    <n v="0"/>
    <n v="0"/>
    <n v="0"/>
    <x v="198"/>
  </r>
  <r>
    <m/>
    <s v="Debiti v/Regione o Provincia Autonoma per contributi L. 210/92"/>
    <n v="0"/>
    <n v="0"/>
    <n v="0"/>
    <n v="0"/>
    <n v="0"/>
    <n v="0"/>
    <n v="0"/>
    <n v="0"/>
    <n v="0"/>
    <n v="0"/>
    <x v="1"/>
  </r>
  <r>
    <s v="2.04.03.09.0101"/>
    <s v="Debiti v/Regione o Provincia Autonoma per contributi L. 210/92"/>
    <n v="0"/>
    <n v="0"/>
    <n v="0"/>
    <n v="0"/>
    <n v="0"/>
    <n v="0"/>
    <n v="0"/>
    <n v="0"/>
    <n v="0"/>
    <n v="0"/>
    <x v="199"/>
  </r>
  <r>
    <m/>
    <s v="Altri debiti v/Regione o Provincia Autonoma - GSA"/>
    <n v="0"/>
    <n v="0"/>
    <n v="0"/>
    <n v="0"/>
    <n v="0"/>
    <n v="0"/>
    <n v="0"/>
    <n v="0"/>
    <n v="0"/>
    <n v="0"/>
    <x v="1"/>
  </r>
  <r>
    <s v="2.04.03.10.0101"/>
    <s v="Altri debiti v/Regione o Provincia Autonoma - GSA"/>
    <n v="0"/>
    <n v="0"/>
    <n v="0"/>
    <n v="0"/>
    <n v="0"/>
    <n v="0"/>
    <n v="0"/>
    <n v="0"/>
    <n v="0"/>
    <n v="0"/>
    <x v="200"/>
  </r>
  <r>
    <m/>
    <s v="Altri debiti v/Regione o Provincia Autonoma"/>
    <n v="0"/>
    <n v="0"/>
    <n v="0"/>
    <n v="0"/>
    <n v="0"/>
    <n v="0"/>
    <n v="0"/>
    <n v="0"/>
    <n v="0"/>
    <n v="0"/>
    <x v="1"/>
  </r>
  <r>
    <s v="2.04.03.11.0101"/>
    <s v="Altri debiti v/Regione o Provincia Autonoma"/>
    <n v="0"/>
    <n v="0"/>
    <n v="0"/>
    <n v="0"/>
    <n v="0"/>
    <n v="0"/>
    <n v="0"/>
    <n v="0"/>
    <n v="0"/>
    <n v="0"/>
    <x v="195"/>
  </r>
  <r>
    <m/>
    <s v="DEBITI V/COMUNI"/>
    <n v="0"/>
    <n v="412"/>
    <n v="412"/>
    <n v="271544.2"/>
    <n v="271532.2"/>
    <n v="0"/>
    <n v="0"/>
    <n v="271544.2"/>
    <n v="271944.2"/>
    <n v="-400"/>
    <x v="1"/>
  </r>
  <r>
    <m/>
    <s v="DEBITI V/COMUNI"/>
    <n v="0"/>
    <n v="412"/>
    <n v="412"/>
    <n v="271544.2"/>
    <n v="271532.2"/>
    <n v="0"/>
    <n v="0"/>
    <n v="271544.2"/>
    <n v="271944.2"/>
    <n v="-400"/>
    <x v="1"/>
  </r>
  <r>
    <s v="2.04.04.01.0101"/>
    <s v="DEBITI V/COMUNI"/>
    <n v="0"/>
    <n v="412"/>
    <n v="412"/>
    <n v="271544.2"/>
    <n v="271532.2"/>
    <n v="0"/>
    <n v="0"/>
    <n v="271544.2"/>
    <n v="271944.2"/>
    <n v="-400"/>
    <x v="201"/>
  </r>
  <r>
    <m/>
    <s v="DEBITI V/AZIENDE SANITARIE PUBBLICHE"/>
    <n v="60732.02"/>
    <n v="8684651.0299999993"/>
    <n v="8623919.0099999998"/>
    <n v="1358921.45"/>
    <n v="1093020.73"/>
    <n v="0"/>
    <n v="0"/>
    <n v="1419653.47"/>
    <n v="9777671.7599999998"/>
    <n v="-8358018.29"/>
    <x v="1"/>
  </r>
  <r>
    <m/>
    <s v="DEBITI V/AZIENDE SANITARIE PUBBLICHE DELLA REGIONE - PER QUOTA FSR"/>
    <n v="0"/>
    <n v="0"/>
    <n v="0"/>
    <n v="0"/>
    <n v="0"/>
    <n v="0"/>
    <n v="0"/>
    <n v="0"/>
    <n v="0"/>
    <n v="0"/>
    <x v="1"/>
  </r>
  <r>
    <s v="2.04.05.01.0101"/>
    <s v="DEBITI V/AZIENDE SANITARIE PUBBLICHE DELLA REGIONE - PER QUOTA FSR"/>
    <n v="0"/>
    <n v="0"/>
    <n v="0"/>
    <n v="0"/>
    <n v="0"/>
    <n v="0"/>
    <n v="0"/>
    <n v="0"/>
    <n v="0"/>
    <n v="0"/>
    <x v="202"/>
  </r>
  <r>
    <m/>
    <s v="DEBITI V/AZIENDE SANITARIE PUBBLICHE DELLA REGIONE - PER FINANZIAMENTO SANITARIO AGGIUNTIVO CORRENTE LEA"/>
    <n v="0"/>
    <n v="0"/>
    <n v="0"/>
    <n v="0"/>
    <n v="0"/>
    <n v="0"/>
    <n v="0"/>
    <n v="0"/>
    <n v="0"/>
    <n v="0"/>
    <x v="1"/>
  </r>
  <r>
    <s v="2.04.05.02.0101"/>
    <s v="DEBITI V/AZIENDE SANITARIE PUBBLICHE DELLA REGIONE - PER FINANZIAMENTO SANITARIO AGGIUNTIVO CORRENTE LEA"/>
    <n v="0"/>
    <n v="0"/>
    <n v="0"/>
    <n v="0"/>
    <n v="0"/>
    <n v="0"/>
    <n v="0"/>
    <n v="0"/>
    <n v="0"/>
    <n v="0"/>
    <x v="203"/>
  </r>
  <r>
    <m/>
    <s v="DEBITI V/AZIENDE SANITARIE PUBBLICHE DELLA REGIONE - PER FINANZIAMENTO SANITARIO AGGIUNTIVO CORRENTE EXTRA LEA"/>
    <n v="0"/>
    <n v="0"/>
    <n v="0"/>
    <n v="0"/>
    <n v="0"/>
    <n v="0"/>
    <n v="0"/>
    <n v="0"/>
    <n v="0"/>
    <n v="0"/>
    <x v="1"/>
  </r>
  <r>
    <s v="2.04.05.03.0101"/>
    <s v="DEBITI V/AZIENDE SANITARIE PUBBLICHE DELLA REGIONE - PER FINANZIAMENTO SANITARIO AGGIUNTIVO CORRENTE EXTRA LEA"/>
    <n v="0"/>
    <n v="0"/>
    <n v="0"/>
    <n v="0"/>
    <n v="0"/>
    <n v="0"/>
    <n v="0"/>
    <n v="0"/>
    <n v="0"/>
    <n v="0"/>
    <x v="204"/>
  </r>
  <r>
    <m/>
    <s v="DEBITI V/AZIENDE SANITARIE PUBBLICHE DELLA REGIONE - PER MOBILITA' IN COMPENSAZIONE"/>
    <n v="0"/>
    <n v="0"/>
    <n v="0"/>
    <n v="0"/>
    <n v="0"/>
    <n v="0"/>
    <n v="0"/>
    <n v="0"/>
    <n v="0"/>
    <n v="0"/>
    <x v="1"/>
  </r>
  <r>
    <s v="2.04.05.04.0101"/>
    <s v="DEBITI V/AZIENDE SANITARIE PUBBLICHE DELLA REGIONE - PER MOBILITA IN COMPENSAZIONE"/>
    <n v="0"/>
    <n v="0"/>
    <n v="0"/>
    <n v="0"/>
    <n v="0"/>
    <n v="0"/>
    <n v="0"/>
    <n v="0"/>
    <n v="0"/>
    <n v="0"/>
    <x v="205"/>
  </r>
  <r>
    <m/>
    <s v="DEBITI V/AZIENDE SANITARIE PUBBLICHE DELLA REGIONE - PER MOBILITA' NON IN COMPENSAZIONE"/>
    <n v="3846.2"/>
    <n v="52558.7"/>
    <n v="48712.5"/>
    <n v="45371.3"/>
    <n v="13295"/>
    <n v="0"/>
    <n v="0"/>
    <n v="49217.5"/>
    <n v="65853.7"/>
    <n v="-16636.2"/>
    <x v="1"/>
  </r>
  <r>
    <s v="2.04.05.05.0101"/>
    <s v="DEBITI V/ASP AG - PER MOBILITA NONIN COMPENSAZIONE"/>
    <n v="3846.2"/>
    <n v="52558.7"/>
    <n v="48712.5"/>
    <n v="45371.3"/>
    <n v="13295"/>
    <n v="0"/>
    <n v="0"/>
    <n v="49217.5"/>
    <n v="65853.7"/>
    <n v="-16636.2"/>
    <x v="206"/>
  </r>
  <r>
    <s v="2.04.05.05.0201"/>
    <s v="DEBITI V/ASP CL - PER MOBILITA NONIN COMPENSAZIONE"/>
    <n v="0"/>
    <n v="0"/>
    <n v="0"/>
    <n v="0"/>
    <n v="0"/>
    <n v="0"/>
    <n v="0"/>
    <n v="0"/>
    <n v="0"/>
    <n v="0"/>
    <x v="206"/>
  </r>
  <r>
    <s v="2.04.05.05.0301"/>
    <s v="DEBITI V/ASP CT - PER MOBILITA NONIN COMPENSAZIONE"/>
    <n v="0"/>
    <n v="0"/>
    <n v="0"/>
    <n v="0"/>
    <n v="0"/>
    <n v="0"/>
    <n v="0"/>
    <n v="0"/>
    <n v="0"/>
    <n v="0"/>
    <x v="206"/>
  </r>
  <r>
    <s v="2.04.05.05.0401"/>
    <s v="DEBITI V/ASP EN - PER MOBILITA NONIN COMPENSAZIONE"/>
    <n v="0"/>
    <n v="0"/>
    <n v="0"/>
    <n v="0"/>
    <n v="0"/>
    <n v="0"/>
    <n v="0"/>
    <n v="0"/>
    <n v="0"/>
    <n v="0"/>
    <x v="206"/>
  </r>
  <r>
    <s v="2.04.05.05.0501"/>
    <s v="DEBITI V/ASP ME - PER MOBILITA NONIN COMPENSAZIONE"/>
    <n v="0"/>
    <n v="0"/>
    <n v="0"/>
    <n v="0"/>
    <n v="0"/>
    <n v="0"/>
    <n v="0"/>
    <n v="0"/>
    <n v="0"/>
    <n v="0"/>
    <x v="206"/>
  </r>
  <r>
    <s v="2.04.05.05.0601"/>
    <s v="DEBITI V/ASP PA - PER MOBILITA NONIN COMPENSAZIONE"/>
    <n v="0"/>
    <n v="0"/>
    <n v="0"/>
    <n v="0"/>
    <n v="0"/>
    <n v="0"/>
    <n v="0"/>
    <n v="0"/>
    <n v="0"/>
    <n v="0"/>
    <x v="206"/>
  </r>
  <r>
    <s v="2.04.05.05.0701"/>
    <s v="DEBITI V/ASP RG - PER MOBILITA NONIN COMPENSAZIONE"/>
    <n v="0"/>
    <n v="0"/>
    <n v="0"/>
    <n v="0"/>
    <n v="0"/>
    <n v="0"/>
    <n v="0"/>
    <n v="0"/>
    <n v="0"/>
    <n v="0"/>
    <x v="206"/>
  </r>
  <r>
    <s v="2.04.05.05.0801"/>
    <s v="DEBITI V/ASP SR - PER MOBILITA NONIN COMPENSAZIONE"/>
    <n v="0"/>
    <n v="0"/>
    <n v="0"/>
    <n v="0"/>
    <n v="0"/>
    <n v="0"/>
    <n v="0"/>
    <n v="0"/>
    <n v="0"/>
    <n v="0"/>
    <x v="206"/>
  </r>
  <r>
    <s v="2.04.05.05.0901"/>
    <s v="DEBITI V/ASP TP - PER MOBILITA NONIN COMPENSAZIONE"/>
    <n v="0"/>
    <n v="0"/>
    <n v="0"/>
    <n v="0"/>
    <n v="0"/>
    <n v="0"/>
    <n v="0"/>
    <n v="0"/>
    <n v="0"/>
    <n v="0"/>
    <x v="206"/>
  </r>
  <r>
    <s v="2.04.05.05.1001"/>
    <s v="DEBITI V/AO CANNIZZARO CT - PER MOBILITA NON IN COMPENSAZIONE"/>
    <n v="0"/>
    <n v="0"/>
    <n v="0"/>
    <n v="0"/>
    <n v="0"/>
    <n v="0"/>
    <n v="0"/>
    <n v="0"/>
    <n v="0"/>
    <n v="0"/>
    <x v="206"/>
  </r>
  <r>
    <s v="2.04.05.05.1101"/>
    <s v="DEBITI V/AO GARIBALDI CT - PER MOBILITA NON IN COMPENSAZIONE"/>
    <n v="0"/>
    <n v="0"/>
    <n v="0"/>
    <n v="0"/>
    <n v="0"/>
    <n v="0"/>
    <n v="0"/>
    <n v="0"/>
    <n v="0"/>
    <n v="0"/>
    <x v="206"/>
  </r>
  <r>
    <s v="2.04.05.05.1201"/>
    <s v="DEBITI V/AOU POLICLINICO CT - PER MOBILITA NON IN COMPENSAZIONE"/>
    <n v="0"/>
    <n v="0"/>
    <n v="0"/>
    <n v="0"/>
    <n v="0"/>
    <n v="0"/>
    <n v="0"/>
    <n v="0"/>
    <n v="0"/>
    <n v="0"/>
    <x v="206"/>
  </r>
  <r>
    <s v="2.04.05.05.1301"/>
    <s v="DEBITI V/AO PAPARDO PIEMONTE - PER MOBILITA NON IN COMPENSAZIONE"/>
    <n v="0"/>
    <n v="0"/>
    <n v="0"/>
    <n v="0"/>
    <n v="0"/>
    <n v="0"/>
    <n v="0"/>
    <n v="0"/>
    <n v="0"/>
    <n v="0"/>
    <x v="206"/>
  </r>
  <r>
    <s v="2.04.05.05.1401"/>
    <s v="DEBITI V/AOU POLICLINICO ME - PER MOBILITA NON IN COMPENSAZIONE"/>
    <n v="0"/>
    <n v="0"/>
    <n v="0"/>
    <n v="0"/>
    <n v="0"/>
    <n v="0"/>
    <n v="0"/>
    <n v="0"/>
    <n v="0"/>
    <n v="0"/>
    <x v="206"/>
  </r>
  <r>
    <s v="2.04.05.05.1501"/>
    <s v="DEBITI V/AO VILLA SOFIA CERVELLO - PER MOBILITA NON IN COMPENSAZIONE"/>
    <n v="0"/>
    <n v="0"/>
    <n v="0"/>
    <n v="0"/>
    <n v="0"/>
    <n v="0"/>
    <n v="0"/>
    <n v="0"/>
    <n v="0"/>
    <n v="0"/>
    <x v="206"/>
  </r>
  <r>
    <s v="2.04.05.05.1601"/>
    <s v="DEBITI V/AO CIVICO PA - PER MOBILITA NON IN COMPENSAZIONE"/>
    <n v="0"/>
    <n v="0"/>
    <n v="0"/>
    <n v="0"/>
    <n v="0"/>
    <n v="0"/>
    <n v="0"/>
    <n v="0"/>
    <n v="0"/>
    <n v="0"/>
    <x v="206"/>
  </r>
  <r>
    <s v="2.04.05.05.1701"/>
    <s v="DEBITI V/AOU POLICLINICO PA - PER MOBILITA NON IN COMPENSAZIONE"/>
    <n v="0"/>
    <n v="0"/>
    <n v="0"/>
    <n v="0"/>
    <n v="0"/>
    <n v="0"/>
    <n v="0"/>
    <n v="0"/>
    <n v="0"/>
    <n v="0"/>
    <x v="206"/>
  </r>
  <r>
    <s v="2.04.05.05.1801"/>
    <s v="DEBITI V/IRCCS BONINO PULEJO ME - PER MOBILITA NON IN COMPENSAZIONE"/>
    <n v="0"/>
    <n v="0"/>
    <n v="0"/>
    <n v="0"/>
    <n v="0"/>
    <n v="0"/>
    <n v="0"/>
    <n v="0"/>
    <n v="0"/>
    <n v="0"/>
    <x v="206"/>
  </r>
  <r>
    <m/>
    <s v="DEBITI V/AZIENDE SANITARIE PUBBLICHE DELLA REGIONE - PER ALTRE PRESTAZIONI"/>
    <n v="56885.82"/>
    <n v="8576670.9000000004"/>
    <n v="8519785.0800000001"/>
    <n v="1137635.8899999999"/>
    <n v="904131.97"/>
    <n v="0"/>
    <n v="0"/>
    <n v="1194521.71"/>
    <n v="9480802.8699999992"/>
    <n v="-8286281.1600000001"/>
    <x v="1"/>
  </r>
  <r>
    <s v="2.04.05.06.0101"/>
    <s v="DEBITI V/ASP AG - PER ALTRE PRESTAZIONI"/>
    <n v="0"/>
    <n v="10316.790000000001"/>
    <n v="10316.790000000001"/>
    <n v="0"/>
    <n v="0"/>
    <n v="0"/>
    <n v="0"/>
    <n v="0"/>
    <n v="10316.790000000001"/>
    <n v="-10316.790000000001"/>
    <x v="207"/>
  </r>
  <r>
    <s v="2.04.05.06.0201"/>
    <s v="DEBITI V/ASP CL - PER ALTRE PRESTAZIONI"/>
    <n v="2113.04"/>
    <n v="213936.02"/>
    <n v="211822.98"/>
    <n v="43264"/>
    <n v="28014"/>
    <n v="0"/>
    <n v="0"/>
    <n v="45377.04"/>
    <n v="241950.02"/>
    <n v="-196572.98"/>
    <x v="207"/>
  </r>
  <r>
    <s v="2.04.05.06.0301"/>
    <s v="DEBITI V/ASP CT - PER ALTRE PRESTAZIONI"/>
    <n v="0"/>
    <n v="6753.81"/>
    <n v="6753.81"/>
    <n v="3900"/>
    <n v="3900"/>
    <n v="0"/>
    <n v="0"/>
    <n v="3900"/>
    <n v="10653.81"/>
    <n v="-6753.81"/>
    <x v="207"/>
  </r>
  <r>
    <s v="2.04.05.06.0401"/>
    <s v="DEBITI V/ASP EN - PER ALTRE PRESTAZIONI"/>
    <n v="0"/>
    <n v="92997.34"/>
    <n v="92997.34"/>
    <n v="143309"/>
    <n v="52147.5"/>
    <n v="0"/>
    <n v="0"/>
    <n v="143309"/>
    <n v="145144.84"/>
    <n v="-1835.84"/>
    <x v="207"/>
  </r>
  <r>
    <s v="2.04.05.06.0501"/>
    <s v="DEBITI V/ASP ME - PER ALTRE PRESTAZIONI"/>
    <n v="0"/>
    <n v="23840.35"/>
    <n v="23840.35"/>
    <n v="175.54"/>
    <n v="87.77"/>
    <n v="0"/>
    <n v="0"/>
    <n v="175.54"/>
    <n v="23928.12"/>
    <n v="-23752.58"/>
    <x v="207"/>
  </r>
  <r>
    <s v="2.04.05.06.0601"/>
    <s v="DEBITI V/ASP PA - PER ALTRE PRESTAZIONI"/>
    <n v="0"/>
    <n v="1210197.56"/>
    <n v="1210197.56"/>
    <n v="6164.37"/>
    <n v="6754.51"/>
    <n v="0"/>
    <n v="0"/>
    <n v="6164.37"/>
    <n v="1216952.07"/>
    <n v="-1210787.7"/>
    <x v="207"/>
  </r>
  <r>
    <s v="2.04.05.06.0701"/>
    <s v="DEBITI V/ASP RG - PER ALTRE PRESTAZIONI"/>
    <n v="0"/>
    <n v="10436.86"/>
    <n v="10436.86"/>
    <n v="14279.04"/>
    <n v="3842.18"/>
    <n v="0"/>
    <n v="0"/>
    <n v="14279.04"/>
    <n v="14279.04"/>
    <n v="0"/>
    <x v="207"/>
  </r>
  <r>
    <s v="2.04.05.06.0801"/>
    <s v="DEBITI V/ASP SR - PER ALTRE PRESTAZIONI"/>
    <n v="0"/>
    <n v="2644.49"/>
    <n v="2644.49"/>
    <n v="0"/>
    <n v="0"/>
    <n v="0"/>
    <n v="0"/>
    <n v="0"/>
    <n v="2644.49"/>
    <n v="-2644.49"/>
    <x v="207"/>
  </r>
  <r>
    <s v="2.04.05.06.0901"/>
    <s v="DEBITI V/ASP TP - PER ALTRE PRESTAZIONI"/>
    <n v="0"/>
    <n v="125678.1"/>
    <n v="125678.1"/>
    <n v="45094.5"/>
    <n v="30576"/>
    <n v="0"/>
    <n v="0"/>
    <n v="45094.5"/>
    <n v="156254.1"/>
    <n v="-111159.6"/>
    <x v="207"/>
  </r>
  <r>
    <s v="2.04.05.06.1001"/>
    <s v="DEBITI V/AO CANNIZZARO CT - PER ALTRE PRESTAZIONI"/>
    <n v="0"/>
    <n v="2717"/>
    <n v="2717"/>
    <n v="0"/>
    <n v="0"/>
    <n v="0"/>
    <n v="0"/>
    <n v="0"/>
    <n v="2717"/>
    <n v="-2717"/>
    <x v="207"/>
  </r>
  <r>
    <s v="2.04.05.06.1101"/>
    <s v="DEBITI V/AO GARIBALDI CT - PER ALTRE PRESTAZIONI"/>
    <n v="0"/>
    <n v="0"/>
    <n v="0"/>
    <n v="0"/>
    <n v="0"/>
    <n v="0"/>
    <n v="0"/>
    <n v="0"/>
    <n v="0"/>
    <n v="0"/>
    <x v="207"/>
  </r>
  <r>
    <s v="2.04.05.06.1201"/>
    <s v="DEBITI V/AOU POLICLINICO CT - PER ALTRE PRESTAZIONI"/>
    <n v="0"/>
    <n v="46942.67"/>
    <n v="46942.67"/>
    <n v="65488.22"/>
    <n v="27854.22"/>
    <n v="0"/>
    <n v="0"/>
    <n v="65488.22"/>
    <n v="74796.89"/>
    <n v="-9308.67"/>
    <x v="207"/>
  </r>
  <r>
    <s v="2.04.05.06.1301"/>
    <s v="DEBITI V/AO PAPARDO PIEMONTE - PER ALTRE PRESTAZIONI"/>
    <n v="0"/>
    <n v="42260.160000000003"/>
    <n v="42260.160000000003"/>
    <n v="0"/>
    <n v="0"/>
    <n v="0"/>
    <n v="0"/>
    <n v="0"/>
    <n v="42260.160000000003"/>
    <n v="-42260.160000000003"/>
    <x v="207"/>
  </r>
  <r>
    <s v="2.04.05.06.1401"/>
    <s v="DEBITI V/AOU POLICLINICO ME - PER ALTRE PRESTAZIONI"/>
    <n v="7746.85"/>
    <n v="50071.75"/>
    <n v="42324.9"/>
    <n v="111000"/>
    <n v="111000"/>
    <n v="0"/>
    <n v="0"/>
    <n v="118746.85"/>
    <n v="161071.75"/>
    <n v="-42324.9"/>
    <x v="207"/>
  </r>
  <r>
    <s v="2.04.05.06.1501"/>
    <s v="DEBITI V/AO VILLA SOFIA CERVELLO - PER ALTRE PRESTAZIONI"/>
    <n v="0"/>
    <n v="3490415.9"/>
    <n v="3490415.9"/>
    <n v="465364.14"/>
    <n v="392367.71"/>
    <n v="0"/>
    <n v="0"/>
    <n v="465364.14"/>
    <n v="3882783.61"/>
    <n v="-3417419.47"/>
    <x v="207"/>
  </r>
  <r>
    <s v="2.04.05.06.1601"/>
    <s v="DEBITI V/AO CIVICO PA - PER ALTREPRESTAZIONI"/>
    <n v="47025.93"/>
    <n v="3247462.1"/>
    <n v="3200436.17"/>
    <n v="239597.08"/>
    <n v="247588.08"/>
    <n v="0"/>
    <n v="0"/>
    <n v="286623.01"/>
    <n v="3495050.18"/>
    <n v="-3208427.17"/>
    <x v="207"/>
  </r>
  <r>
    <s v="2.04.05.06.1701"/>
    <s v="DEBITI V/AOU POLICLINICO PA - PER ALTRE PRESTAZIONI"/>
    <n v="0"/>
    <n v="0"/>
    <n v="0"/>
    <n v="0"/>
    <n v="0"/>
    <n v="0"/>
    <n v="0"/>
    <n v="0"/>
    <n v="0"/>
    <n v="0"/>
    <x v="207"/>
  </r>
  <r>
    <s v="2.04.05.06.1801"/>
    <s v="DEBITI V/IRCCS BONINO PULEJO ME -PER ALTRE PRESTAZIONI"/>
    <n v="0"/>
    <n v="0"/>
    <n v="0"/>
    <n v="0"/>
    <n v="0"/>
    <n v="0"/>
    <n v="0"/>
    <n v="0"/>
    <n v="0"/>
    <n v="0"/>
    <x v="207"/>
  </r>
  <r>
    <m/>
    <s v="DEBITI V/AZIENDE SANITARIE PUBBLICHE EXTRAREGIONE"/>
    <n v="0"/>
    <n v="55421.43"/>
    <n v="55421.43"/>
    <n v="175914.26"/>
    <n v="175593.76"/>
    <n v="0"/>
    <n v="0"/>
    <n v="175914.26"/>
    <n v="231015.19"/>
    <n v="-55100.93"/>
    <x v="1"/>
  </r>
  <r>
    <s v="2.04.05.07.0101"/>
    <s v="DEBITI V/AZIENDE SANITARIE PUBBLICHE EXTRAREGIONE"/>
    <n v="0"/>
    <n v="55421.43"/>
    <n v="55421.43"/>
    <n v="175914.26"/>
    <n v="175593.76"/>
    <n v="0"/>
    <n v="0"/>
    <n v="175914.26"/>
    <n v="231015.19"/>
    <n v="-55100.93"/>
    <x v="208"/>
  </r>
  <r>
    <m/>
    <s v="DEBITI V/AZIENDE SANITARIE PUBBLICHE DELLA REGIONE PER VERSAMENTI C/PATRIMONIO NETTO"/>
    <n v="0"/>
    <n v="0"/>
    <n v="0"/>
    <n v="0"/>
    <n v="0"/>
    <n v="0"/>
    <n v="0"/>
    <n v="0"/>
    <n v="0"/>
    <n v="0"/>
    <x v="1"/>
  </r>
  <r>
    <s v="2.04.05.08.0101"/>
    <s v="DEBITI V/AZIENDE SANITARIE PUBBLICHE DELLA REGIONE PER VERSAMENTI C/PATRIMONIO NETTO"/>
    <n v="0"/>
    <n v="0"/>
    <n v="0"/>
    <n v="0"/>
    <n v="0"/>
    <n v="0"/>
    <n v="0"/>
    <n v="0"/>
    <n v="0"/>
    <n v="0"/>
    <x v="1"/>
  </r>
  <r>
    <s v="2.04.05.08.0201"/>
    <s v="Debiti v/Aziende sanitarie pubbliche della Regione per versamenti c/patrimonio netto - finanziamenti per investimenti"/>
    <n v="0"/>
    <n v="0"/>
    <n v="0"/>
    <n v="0"/>
    <n v="0"/>
    <n v="0"/>
    <n v="0"/>
    <n v="0"/>
    <n v="0"/>
    <n v="0"/>
    <x v="209"/>
  </r>
  <r>
    <s v="2.04.05.08.0301"/>
    <s v="Debiti v/Aziende sanitarie pubbliche della Regione per versamenti c/patrimonio netto - incremento fondo di dotazione"/>
    <n v="0"/>
    <n v="0"/>
    <n v="0"/>
    <n v="0"/>
    <n v="0"/>
    <n v="0"/>
    <n v="0"/>
    <n v="0"/>
    <n v="0"/>
    <n v="0"/>
    <x v="210"/>
  </r>
  <r>
    <s v="2.04.05.08.0401"/>
    <s v="Debiti v/Aziende sanitarie pubbliche della Regione per versamenti c/patrimonio netto - ripiano perdite"/>
    <n v="0"/>
    <n v="0"/>
    <n v="0"/>
    <n v="0"/>
    <n v="0"/>
    <n v="0"/>
    <n v="0"/>
    <n v="0"/>
    <n v="0"/>
    <n v="0"/>
    <x v="211"/>
  </r>
  <r>
    <s v="2.04.05.08.0501"/>
    <s v="Debiti v/Aziende sanitarie pubbliche della Regione per anticipazione ripiano disavanzo programmato dai Piani aziendali di cui all'art. 1, comma 528, L. 208/2015"/>
    <n v="0"/>
    <n v="0"/>
    <n v="0"/>
    <n v="0"/>
    <n v="0"/>
    <n v="0"/>
    <n v="0"/>
    <n v="0"/>
    <n v="0"/>
    <n v="0"/>
    <x v="212"/>
  </r>
  <r>
    <s v="2.04.05.08.0601"/>
    <s v="Debiti v/Aziende sanitarie pubbliche della Regione per versamenti c/patrimonio netto - altro"/>
    <n v="0"/>
    <n v="0"/>
    <n v="0"/>
    <n v="0"/>
    <n v="0"/>
    <n v="0"/>
    <n v="0"/>
    <n v="0"/>
    <n v="0"/>
    <n v="0"/>
    <x v="213"/>
  </r>
  <r>
    <m/>
    <s v="Debiti v/Aziende sanitarie pubbliche della Regione - altre prestazioni per STP"/>
    <n v="0"/>
    <n v="0"/>
    <n v="0"/>
    <n v="0"/>
    <n v="0"/>
    <n v="0"/>
    <n v="0"/>
    <n v="0"/>
    <n v="0"/>
    <n v="0"/>
    <x v="1"/>
  </r>
  <r>
    <s v="2.04.05.09.0101"/>
    <s v="debiti v/ASP AG - altre prestazioni per STP"/>
    <n v="0"/>
    <n v="0"/>
    <n v="0"/>
    <n v="0"/>
    <n v="0"/>
    <n v="0"/>
    <n v="0"/>
    <n v="0"/>
    <n v="0"/>
    <n v="0"/>
    <x v="214"/>
  </r>
  <r>
    <s v="2.04.05.09.0102"/>
    <s v="debiti v/ASP CL - altre prestazioni per STP"/>
    <n v="0"/>
    <n v="0"/>
    <n v="0"/>
    <n v="0"/>
    <n v="0"/>
    <n v="0"/>
    <n v="0"/>
    <n v="0"/>
    <n v="0"/>
    <n v="0"/>
    <x v="214"/>
  </r>
  <r>
    <s v="2.04.05.09.0103"/>
    <s v="debiti v/ASP CT - altre prestazioni per STP"/>
    <n v="0"/>
    <n v="0"/>
    <n v="0"/>
    <n v="0"/>
    <n v="0"/>
    <n v="0"/>
    <n v="0"/>
    <n v="0"/>
    <n v="0"/>
    <n v="0"/>
    <x v="214"/>
  </r>
  <r>
    <s v="2.04.05.09.0104"/>
    <s v="debiti v/ASP EN - altre prestazioni per STP"/>
    <n v="0"/>
    <n v="0"/>
    <n v="0"/>
    <n v="0"/>
    <n v="0"/>
    <n v="0"/>
    <n v="0"/>
    <n v="0"/>
    <n v="0"/>
    <n v="0"/>
    <x v="214"/>
  </r>
  <r>
    <s v="2.04.05.09.0105"/>
    <s v="debiti v/ASP ME - altre prestazioni per STP"/>
    <n v="0"/>
    <n v="0"/>
    <n v="0"/>
    <n v="0"/>
    <n v="0"/>
    <n v="0"/>
    <n v="0"/>
    <n v="0"/>
    <n v="0"/>
    <n v="0"/>
    <x v="214"/>
  </r>
  <r>
    <s v="2.04.05.09.0106"/>
    <s v="debiti v/ASP PA - altre prestazioni per STP"/>
    <n v="0"/>
    <n v="0"/>
    <n v="0"/>
    <n v="0"/>
    <n v="0"/>
    <n v="0"/>
    <n v="0"/>
    <n v="0"/>
    <n v="0"/>
    <n v="0"/>
    <x v="214"/>
  </r>
  <r>
    <s v="2.04.05.09.0107"/>
    <s v="debiti v/ASP RG - altre prestazioni per STP"/>
    <n v="0"/>
    <n v="0"/>
    <n v="0"/>
    <n v="0"/>
    <n v="0"/>
    <n v="0"/>
    <n v="0"/>
    <n v="0"/>
    <n v="0"/>
    <n v="0"/>
    <x v="214"/>
  </r>
  <r>
    <s v="2.04.05.09.0108"/>
    <s v="debiti v/ASP SR - altre prestazioni per STP"/>
    <n v="0"/>
    <n v="0"/>
    <n v="0"/>
    <n v="0"/>
    <n v="0"/>
    <n v="0"/>
    <n v="0"/>
    <n v="0"/>
    <n v="0"/>
    <n v="0"/>
    <x v="214"/>
  </r>
  <r>
    <s v="2.04.05.09.0109"/>
    <s v="debiti v/ASP TP - altre prestazioni per STP"/>
    <n v="0"/>
    <n v="0"/>
    <n v="0"/>
    <n v="0"/>
    <n v="0"/>
    <n v="0"/>
    <n v="0"/>
    <n v="0"/>
    <n v="0"/>
    <n v="0"/>
    <x v="214"/>
  </r>
  <r>
    <s v="2.04.05.09.0110"/>
    <s v="debiti v/AO CANNIZZARO CT - altre prestazioni per STP"/>
    <n v="0"/>
    <n v="0"/>
    <n v="0"/>
    <n v="0"/>
    <n v="0"/>
    <n v="0"/>
    <n v="0"/>
    <n v="0"/>
    <n v="0"/>
    <n v="0"/>
    <x v="214"/>
  </r>
  <r>
    <s v="2.04.05.09.0111"/>
    <s v="debiti v/AO GARIBALDI CT - altre prestazioni per STP"/>
    <n v="0"/>
    <n v="0"/>
    <n v="0"/>
    <n v="0"/>
    <n v="0"/>
    <n v="0"/>
    <n v="0"/>
    <n v="0"/>
    <n v="0"/>
    <n v="0"/>
    <x v="214"/>
  </r>
  <r>
    <s v="2.04.05.09.0112"/>
    <s v="debiti v/AOU POLICLINICO CT - altre prestazioni per STP"/>
    <n v="0"/>
    <n v="0"/>
    <n v="0"/>
    <n v="0"/>
    <n v="0"/>
    <n v="0"/>
    <n v="0"/>
    <n v="0"/>
    <n v="0"/>
    <n v="0"/>
    <x v="214"/>
  </r>
  <r>
    <s v="2.04.05.09.0113"/>
    <s v="debiti v/AO PAPARDO - altre prestazioni per STP"/>
    <n v="0"/>
    <n v="0"/>
    <n v="0"/>
    <n v="0"/>
    <n v="0"/>
    <n v="0"/>
    <n v="0"/>
    <n v="0"/>
    <n v="0"/>
    <n v="0"/>
    <x v="214"/>
  </r>
  <r>
    <s v="2.04.05.09.0114"/>
    <s v="debiti v/AOU POLICLINICO ME - altre prestazioni per STP"/>
    <n v="0"/>
    <n v="0"/>
    <n v="0"/>
    <n v="0"/>
    <n v="0"/>
    <n v="0"/>
    <n v="0"/>
    <n v="0"/>
    <n v="0"/>
    <n v="0"/>
    <x v="214"/>
  </r>
  <r>
    <s v="2.04.05.09.0115"/>
    <s v="debiti v/AO VILLA SOFIA CERVELLO - altre prestazioni per STP"/>
    <n v="0"/>
    <n v="0"/>
    <n v="0"/>
    <n v="0"/>
    <n v="0"/>
    <n v="0"/>
    <n v="0"/>
    <n v="0"/>
    <n v="0"/>
    <n v="0"/>
    <x v="214"/>
  </r>
  <r>
    <s v="2.04.05.09.0116"/>
    <s v="debiti v/AO CIVICO PA - altre prestazioni per STP"/>
    <n v="0"/>
    <n v="0"/>
    <n v="0"/>
    <n v="0"/>
    <n v="0"/>
    <n v="0"/>
    <n v="0"/>
    <n v="0"/>
    <n v="0"/>
    <n v="0"/>
    <x v="214"/>
  </r>
  <r>
    <s v="2.04.05.09.0117"/>
    <s v="debiti v/AOU POLICLINICO PA - altre prestazioni per STP"/>
    <n v="0"/>
    <n v="0"/>
    <n v="0"/>
    <n v="0"/>
    <n v="0"/>
    <n v="0"/>
    <n v="0"/>
    <n v="0"/>
    <n v="0"/>
    <n v="0"/>
    <x v="214"/>
  </r>
  <r>
    <s v="2.04.05.09.0118"/>
    <s v="debiti v/IRCCS BONINO PULEJO ME - altre prestazioni per STP"/>
    <n v="0"/>
    <n v="0"/>
    <n v="0"/>
    <n v="0"/>
    <n v="0"/>
    <n v="0"/>
    <n v="0"/>
    <n v="0"/>
    <n v="0"/>
    <n v="0"/>
    <x v="214"/>
  </r>
  <r>
    <m/>
    <s v="Debiti v/Aziende sanitarie pubbliche della Regione - per Contributi da Aziende sanitarie pubbliche della Regione o Prov. Aut. (extra fondo)"/>
    <n v="0"/>
    <n v="0"/>
    <n v="0"/>
    <n v="0"/>
    <n v="0"/>
    <n v="0"/>
    <n v="0"/>
    <n v="0"/>
    <n v="0"/>
    <n v="0"/>
    <x v="1"/>
  </r>
  <r>
    <s v="2.04.05.10.0101"/>
    <s v="debiti v/ASP AG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02"/>
    <s v="debiti v/ASP CL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03"/>
    <s v="debiti v/ASP CT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04"/>
    <s v="debiti v/ASP EN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05"/>
    <s v="debiti v/ASP ME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06"/>
    <s v="debiti v/ASP PA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07"/>
    <s v="debiti v/ASP RG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08"/>
    <s v="debiti v/ASP SR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09"/>
    <s v="debiti v/ASP TP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10"/>
    <s v="debiti v/AO CANNIZZARO CT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11"/>
    <s v="debiti v/AO GARIBALDI CT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12"/>
    <s v="debiti v/AOU POLICLINICO CT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13"/>
    <s v="debiti v/AO PAPARDO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14"/>
    <s v="debiti v/AOU POLICLINICO ME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15"/>
    <s v="debiti v/AO VILLA SOFIA CERVELLO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16"/>
    <s v="debiti v/AO CIVICO PA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17"/>
    <s v="debiti v/ASP PA - per Contributi da Aziende sanitarie pubbliche della Regione o Prov. Aut. (extra fondo)"/>
    <n v="0"/>
    <n v="0"/>
    <n v="0"/>
    <n v="0"/>
    <n v="0"/>
    <n v="0"/>
    <n v="0"/>
    <n v="0"/>
    <n v="0"/>
    <n v="0"/>
    <x v="215"/>
  </r>
  <r>
    <s v="2.04.05.10.0118"/>
    <s v="debiti v/IRCCS BONINO PULEJO ME - per Contributi da Aziende sanitarie pubbliche della Regione o Prov. Aut. (extra fondo)"/>
    <n v="0"/>
    <n v="0"/>
    <n v="0"/>
    <n v="0"/>
    <n v="0"/>
    <n v="0"/>
    <n v="0"/>
    <n v="0"/>
    <n v="0"/>
    <n v="0"/>
    <x v="215"/>
  </r>
  <r>
    <m/>
    <s v="Debiti v/Aziende sanitarie pubbliche della Regione - per contributi L. 210/92"/>
    <n v="0"/>
    <n v="0"/>
    <n v="0"/>
    <n v="0"/>
    <n v="0"/>
    <n v="0"/>
    <n v="0"/>
    <n v="0"/>
    <n v="0"/>
    <n v="0"/>
    <x v="1"/>
  </r>
  <r>
    <s v="2.04.05.11.0101"/>
    <s v="Debiti v/Aziende sanitarie pubbliche della Regione - per contributi L. 210/92"/>
    <n v="0"/>
    <n v="0"/>
    <n v="0"/>
    <n v="0"/>
    <n v="0"/>
    <n v="0"/>
    <n v="0"/>
    <n v="0"/>
    <n v="0"/>
    <n v="0"/>
    <x v="216"/>
  </r>
  <r>
    <m/>
    <s v="DEBITI V/SOCIETA' PARTECIPATE E/O ENTI DIPENDENTI DELLA REGIONE"/>
    <n v="0"/>
    <n v="23407.75"/>
    <n v="23407.75"/>
    <n v="97078.82"/>
    <n v="73671.070000000007"/>
    <n v="0"/>
    <n v="0"/>
    <n v="97078.82"/>
    <n v="97078.82"/>
    <n v="0"/>
    <x v="1"/>
  </r>
  <r>
    <m/>
    <s v="DEBITI V/ENTI REGIONALI"/>
    <n v="0"/>
    <n v="23407.75"/>
    <n v="23407.75"/>
    <n v="97078.82"/>
    <n v="73671.070000000007"/>
    <n v="0"/>
    <n v="0"/>
    <n v="97078.82"/>
    <n v="97078.82"/>
    <n v="0"/>
    <x v="1"/>
  </r>
  <r>
    <s v="2.04.06.01.0101"/>
    <s v="DEBITI V/ARPA"/>
    <n v="0"/>
    <n v="0"/>
    <n v="0"/>
    <n v="0"/>
    <n v="0"/>
    <n v="0"/>
    <n v="0"/>
    <n v="0"/>
    <n v="0"/>
    <n v="0"/>
    <x v="217"/>
  </r>
  <r>
    <s v="2.04.06.01.0201"/>
    <s v="DEBITI V/ENTI REGIONALI"/>
    <n v="0"/>
    <n v="23407.75"/>
    <n v="23407.75"/>
    <n v="97078.82"/>
    <n v="73671.070000000007"/>
    <n v="0"/>
    <n v="0"/>
    <n v="97078.82"/>
    <n v="97078.82"/>
    <n v="0"/>
    <x v="218"/>
  </r>
  <r>
    <m/>
    <s v="DEBITI V/SPERIMENTAZIONI GESTIONALI"/>
    <n v="0"/>
    <n v="0"/>
    <n v="0"/>
    <n v="0"/>
    <n v="0"/>
    <n v="0"/>
    <n v="0"/>
    <n v="0"/>
    <n v="0"/>
    <n v="0"/>
    <x v="1"/>
  </r>
  <r>
    <s v="2.04.06.02.0101"/>
    <s v="DEBITI V/SPERIMENTAZIONI GESTIONALI"/>
    <n v="0"/>
    <n v="0"/>
    <n v="0"/>
    <n v="0"/>
    <n v="0"/>
    <n v="0"/>
    <n v="0"/>
    <n v="0"/>
    <n v="0"/>
    <n v="0"/>
    <x v="219"/>
  </r>
  <r>
    <m/>
    <s v="DEBITI V/ALTRE PARTECIPATE"/>
    <n v="0"/>
    <n v="0"/>
    <n v="0"/>
    <n v="0"/>
    <n v="0"/>
    <n v="0"/>
    <n v="0"/>
    <n v="0"/>
    <n v="0"/>
    <n v="0"/>
    <x v="1"/>
  </r>
  <r>
    <s v="2.04.06.03.0101"/>
    <s v="DEBITI V/SOCIETA CONTROLLATE E COLLEGATE"/>
    <n v="0"/>
    <n v="0"/>
    <n v="0"/>
    <n v="0"/>
    <n v="0"/>
    <n v="0"/>
    <n v="0"/>
    <n v="0"/>
    <n v="0"/>
    <n v="0"/>
    <x v="217"/>
  </r>
  <r>
    <s v="2.04.06.03.0201"/>
    <s v="DEBITI V/ALTRE PARTECIPATE"/>
    <n v="0"/>
    <n v="0"/>
    <n v="0"/>
    <n v="0"/>
    <n v="0"/>
    <n v="0"/>
    <n v="0"/>
    <n v="0"/>
    <n v="0"/>
    <n v="0"/>
    <x v="217"/>
  </r>
  <r>
    <m/>
    <s v="DEBITI V/FORNITORI"/>
    <n v="1112320.6399999999"/>
    <n v="49251969.789999999"/>
    <n v="48139649.149999999"/>
    <n v="305033593.17000002"/>
    <n v="299265160.88"/>
    <n v="0"/>
    <n v="0"/>
    <n v="306145913.81"/>
    <n v="348517130.67000002"/>
    <n v="-42371216.859999999"/>
    <x v="1"/>
  </r>
  <r>
    <m/>
    <s v="DEBITI VERSO EROGATORI (PRIVATI ACCREDITATI E CONVENZIONATI) DI PRESTAZIONI SANITARIE"/>
    <n v="0"/>
    <n v="2099.7399999999998"/>
    <n v="2099.7399999999998"/>
    <n v="0"/>
    <n v="0"/>
    <n v="0"/>
    <n v="0"/>
    <n v="0"/>
    <n v="2099.7399999999998"/>
    <n v="-2099.7399999999998"/>
    <x v="1"/>
  </r>
  <r>
    <s v="2.04.07.01.0101"/>
    <s v="DEBITI V/FARMACIE CONVENZIONATE"/>
    <n v="0"/>
    <n v="0"/>
    <n v="0"/>
    <n v="0"/>
    <n v="0"/>
    <n v="0"/>
    <n v="0"/>
    <n v="0"/>
    <n v="0"/>
    <n v="0"/>
    <x v="220"/>
  </r>
  <r>
    <s v="2.04.07.01.0201"/>
    <s v="DEBITI V/CASE DI CURA CONVENZIONATE"/>
    <n v="0"/>
    <n v="1156"/>
    <n v="1156"/>
    <n v="0"/>
    <n v="0"/>
    <n v="0"/>
    <n v="0"/>
    <n v="0"/>
    <n v="1156"/>
    <n v="-1156"/>
    <x v="220"/>
  </r>
  <r>
    <s v="2.04.07.01.0301"/>
    <s v="DEBITI V/SPECIALISTI CONVENZIONATI ESTERNI CONVENZIONATI"/>
    <n v="0"/>
    <n v="0"/>
    <n v="0"/>
    <n v="0"/>
    <n v="0"/>
    <n v="0"/>
    <n v="0"/>
    <n v="0"/>
    <n v="0"/>
    <n v="0"/>
    <x v="220"/>
  </r>
  <r>
    <s v="2.04.07.01.0401"/>
    <s v="DEBITI V/ALTRE STRUTTURE ACCREDITATE E CONVENZIONATE"/>
    <n v="0"/>
    <n v="943.74"/>
    <n v="943.74"/>
    <n v="0"/>
    <n v="0"/>
    <n v="0"/>
    <n v="0"/>
    <n v="0"/>
    <n v="943.74"/>
    <n v="-943.74"/>
    <x v="220"/>
  </r>
  <r>
    <s v="2.04.07.01.0501"/>
    <s v="DEBITI V/IRCCS PRIVATI E POLICLINICI"/>
    <n v="0"/>
    <n v="0"/>
    <n v="0"/>
    <n v="0"/>
    <n v="0"/>
    <n v="0"/>
    <n v="0"/>
    <n v="0"/>
    <n v="0"/>
    <n v="0"/>
    <x v="220"/>
  </r>
  <r>
    <s v="2.04.07.01.0601"/>
    <s v="DEBITI V/OSPEDALI CLASSIFICATI"/>
    <n v="0"/>
    <n v="0"/>
    <n v="0"/>
    <n v="0"/>
    <n v="0"/>
    <n v="0"/>
    <n v="0"/>
    <n v="0"/>
    <n v="0"/>
    <n v="0"/>
    <x v="220"/>
  </r>
  <r>
    <s v="2.04.07.01.0701"/>
    <s v="DEBITI VERSO EROGATORI PRIVATI - EXTRAREGIONE"/>
    <n v="0"/>
    <n v="0"/>
    <n v="0"/>
    <n v="0"/>
    <n v="0"/>
    <n v="0"/>
    <n v="0"/>
    <n v="0"/>
    <n v="0"/>
    <n v="0"/>
    <x v="220"/>
  </r>
  <r>
    <s v="2.04.07.01.0801"/>
    <s v="Note di credito da ricevere da farmacie convenzionate"/>
    <n v="0"/>
    <n v="0"/>
    <n v="0"/>
    <n v="0"/>
    <n v="0"/>
    <n v="0"/>
    <n v="0"/>
    <n v="0"/>
    <n v="0"/>
    <n v="0"/>
    <x v="221"/>
  </r>
  <r>
    <s v="2.04.07.01.0901"/>
    <s v="Note di credito da ricevere da Case di Cura convenzionate"/>
    <n v="0"/>
    <n v="0"/>
    <n v="0"/>
    <n v="0"/>
    <n v="0"/>
    <n v="0"/>
    <n v="0"/>
    <n v="0"/>
    <n v="0"/>
    <n v="0"/>
    <x v="221"/>
  </r>
  <r>
    <s v="2.04.07.01.1001"/>
    <s v="Note di credito da ricevere da specialisti convenzionati esterni"/>
    <n v="0"/>
    <n v="0"/>
    <n v="0"/>
    <n v="0"/>
    <n v="0"/>
    <n v="0"/>
    <n v="0"/>
    <n v="0"/>
    <n v="0"/>
    <n v="0"/>
    <x v="221"/>
  </r>
  <r>
    <s v="2.04.07.01.1101"/>
    <s v="Note di credito da ricevere da altre strutture accreditate e convenzionate"/>
    <n v="0"/>
    <n v="0"/>
    <n v="0"/>
    <n v="0"/>
    <n v="0"/>
    <n v="0"/>
    <n v="0"/>
    <n v="0"/>
    <n v="0"/>
    <n v="0"/>
    <x v="221"/>
  </r>
  <r>
    <s v="2.04.07.01.1201"/>
    <s v="Note di credito da ricevere da IRCCS e Policlinici privati"/>
    <n v="0"/>
    <n v="0"/>
    <n v="0"/>
    <n v="0"/>
    <n v="0"/>
    <n v="0"/>
    <n v="0"/>
    <n v="0"/>
    <n v="0"/>
    <n v="0"/>
    <x v="221"/>
  </r>
  <r>
    <s v="2.04.07.01.1301"/>
    <s v="Note di credito da ricevere da Ospedali classificati"/>
    <n v="0"/>
    <n v="0"/>
    <n v="0"/>
    <n v="0"/>
    <n v="0"/>
    <n v="0"/>
    <n v="0"/>
    <n v="0"/>
    <n v="0"/>
    <n v="0"/>
    <x v="221"/>
  </r>
  <r>
    <s v="2.04.07.01.1401"/>
    <s v="Note di credito da ricevere da erogatori privati - extraregione"/>
    <n v="0"/>
    <n v="0"/>
    <n v="0"/>
    <n v="0"/>
    <n v="0"/>
    <n v="0"/>
    <n v="0"/>
    <n v="0"/>
    <n v="0"/>
    <n v="0"/>
    <x v="221"/>
  </r>
  <r>
    <s v="2.04.07.01.1501"/>
    <s v="Note di credito da ricevere da altri privati accreditati e convenzionati"/>
    <n v="0"/>
    <n v="0"/>
    <n v="0"/>
    <n v="0"/>
    <n v="0"/>
    <n v="0"/>
    <n v="0"/>
    <n v="0"/>
    <n v="0"/>
    <n v="0"/>
    <x v="221"/>
  </r>
  <r>
    <s v="2.04.07.01.9901"/>
    <s v="Debiti per fatture da ricevere da erogatori (privati accreditati e convenzionati) di prestazioni sanitarie"/>
    <n v="0"/>
    <n v="0"/>
    <n v="0"/>
    <n v="0"/>
    <n v="0"/>
    <n v="0"/>
    <n v="0"/>
    <n v="0"/>
    <n v="0"/>
    <n v="0"/>
    <x v="220"/>
  </r>
  <r>
    <m/>
    <s v="DEBITI VERSO ALTRI FORNITORI"/>
    <n v="1112320.6399999999"/>
    <n v="49249870.049999997"/>
    <n v="48137549.409999996"/>
    <n v="305033593.17000002"/>
    <n v="299265160.88"/>
    <n v="0"/>
    <n v="0"/>
    <n v="306145913.81"/>
    <n v="348515030.93000001"/>
    <n v="-42369117.119999997"/>
    <x v="1"/>
  </r>
  <r>
    <s v="2.04.07.02.0101"/>
    <s v="DEBITI VERSO ALTRI FORNITORI NAZIONALI"/>
    <n v="828646.67"/>
    <n v="31608830.760000002"/>
    <n v="30780184.09"/>
    <n v="283419451.93000001"/>
    <n v="281283656.77999997"/>
    <n v="0"/>
    <n v="0"/>
    <n v="284248098.60000002"/>
    <n v="312892487.54000002"/>
    <n v="-28644388.940000001"/>
    <x v="222"/>
  </r>
  <r>
    <s v="2.04.07.02.0201"/>
    <s v="DEBITI VERSO ALTRI FORNITORI ESTERI"/>
    <n v="30477.15"/>
    <n v="121787.62"/>
    <n v="91310.47"/>
    <n v="1214007.29"/>
    <n v="1175136.46"/>
    <n v="0"/>
    <n v="0"/>
    <n v="1244484.44"/>
    <n v="1296924.08"/>
    <n v="-52439.64"/>
    <x v="222"/>
  </r>
  <r>
    <s v="2.04.07.02.0301"/>
    <s v="DEBITI VERSO PROFESSIONISTI E COLLABORATORI (AD ESCLUSIONE DEGLI ORGANI DIRETTIVI)"/>
    <n v="2283.42"/>
    <n v="353680.23"/>
    <n v="351396.81"/>
    <n v="2110679.5499999998"/>
    <n v="2017832.25"/>
    <n v="0"/>
    <n v="0"/>
    <n v="2112962.9700000002"/>
    <n v="2371512.48"/>
    <n v="-258549.51"/>
    <x v="222"/>
  </r>
  <r>
    <s v="2.04.07.02.0302"/>
    <s v="DEBITI VERSO COLLABORAZIONI COORDINATE E CONTINUATIVE (PERS RELIG, CRT, COCOCO)"/>
    <n v="2255.2600000000002"/>
    <n v="0"/>
    <n v="2255.2600000000002"/>
    <n v="3349868.44"/>
    <n v="329565.08"/>
    <n v="0"/>
    <n v="0"/>
    <n v="3352123.7"/>
    <n v="329565.08"/>
    <n v="3022558.62"/>
    <x v="222"/>
  </r>
  <r>
    <s v="2.04.07.02.0303"/>
    <s v="DEBITI VERSO ALTRE COLLABORAZIONI (PROGETTI, LAV OCCASIONALE)"/>
    <n v="0"/>
    <n v="0"/>
    <n v="0"/>
    <n v="1010343.94"/>
    <n v="930363.08"/>
    <n v="0"/>
    <n v="0"/>
    <n v="1010343.94"/>
    <n v="930363.08"/>
    <n v="79980.86"/>
    <x v="222"/>
  </r>
  <r>
    <s v="2.04.07.02.0401"/>
    <s v="DEBITI VERSO COLLABORAZIONI COORDINATE E CONTINUATIVE (PERS RELIG, CRT,         COCOCO)"/>
    <n v="0"/>
    <n v="0"/>
    <n v="0"/>
    <n v="0"/>
    <n v="0"/>
    <n v="0"/>
    <n v="0"/>
    <n v="0"/>
    <n v="0"/>
    <n v="0"/>
    <x v="223"/>
  </r>
  <r>
    <s v="2.04.07.02.0501"/>
    <s v="DEBITI VERSO ALTRE COLLABORAZIONI (PROGETTI, LAV OCCASIONALE)"/>
    <n v="0"/>
    <n v="0"/>
    <n v="0"/>
    <n v="0"/>
    <n v="0"/>
    <n v="0"/>
    <n v="0"/>
    <n v="0"/>
    <n v="0"/>
    <n v="0"/>
    <x v="223"/>
  </r>
  <r>
    <s v="2.04.07.02.9901"/>
    <s v="DEBITI PER FATTURE DA RICEVERE DA ALTRI FORNITORI"/>
    <n v="0"/>
    <n v="139098.70000000001"/>
    <n v="139098.70000000001"/>
    <n v="0"/>
    <n v="0"/>
    <n v="0"/>
    <n v="0"/>
    <n v="0"/>
    <n v="139098.70000000001"/>
    <n v="-139098.70000000001"/>
    <x v="222"/>
  </r>
  <r>
    <s v="2.04.07.02.9902"/>
    <s v="DEBITI PER FATTURE DA RICEVERE DA PROFESSIONISTI"/>
    <n v="0"/>
    <n v="0"/>
    <n v="0"/>
    <n v="0"/>
    <n v="0"/>
    <n v="0"/>
    <n v="0"/>
    <n v="0"/>
    <n v="0"/>
    <n v="0"/>
    <x v="222"/>
  </r>
  <r>
    <s v="2.04.07.02.9903"/>
    <s v="DEBITI PER FATTURE DA RICEVERE DA FORNITORI 2013"/>
    <n v="0"/>
    <n v="72227.42"/>
    <n v="72227.42"/>
    <n v="141.36000000000001"/>
    <n v="0"/>
    <n v="0"/>
    <n v="0"/>
    <n v="141.36000000000001"/>
    <n v="72227.42"/>
    <n v="-72086.06"/>
    <x v="222"/>
  </r>
  <r>
    <s v="2.04.07.02.9904"/>
    <s v="DEBITI X FATT. DA RICEVERE FORNITORI - 2014"/>
    <n v="0"/>
    <n v="10850.19"/>
    <n v="10850.19"/>
    <n v="50.78"/>
    <n v="0"/>
    <n v="0"/>
    <n v="0"/>
    <n v="50.78"/>
    <n v="10850.19"/>
    <n v="-10799.41"/>
    <x v="222"/>
  </r>
  <r>
    <s v="2.04.07.02.9905"/>
    <s v="DEBITI PER FATTURE DA RICEVERE"/>
    <n v="0"/>
    <n v="0"/>
    <n v="0"/>
    <n v="0"/>
    <n v="0"/>
    <n v="0"/>
    <n v="0"/>
    <n v="0"/>
    <n v="0"/>
    <n v="0"/>
    <x v="222"/>
  </r>
  <r>
    <s v="2.04.07.02.9906"/>
    <s v="DEBITI PER FATTURE DA RICEVEREFORNITORI - 2015"/>
    <n v="0"/>
    <n v="49425.93"/>
    <n v="49425.93"/>
    <n v="0"/>
    <n v="0"/>
    <n v="0"/>
    <n v="0"/>
    <n v="0"/>
    <n v="49425.93"/>
    <n v="-49425.93"/>
    <x v="222"/>
  </r>
  <r>
    <s v="2.04.07.02.9907"/>
    <s v="DEBITI PER FATTURE DA RICEVERE FORNITORI ANNO 2016"/>
    <n v="0"/>
    <n v="2373666.3199999998"/>
    <n v="2373666.3199999998"/>
    <n v="100.3"/>
    <n v="0"/>
    <n v="0"/>
    <n v="0"/>
    <n v="100.3"/>
    <n v="2373666.3199999998"/>
    <n v="-2373566.02"/>
    <x v="222"/>
  </r>
  <r>
    <s v="2.04.07.02.9908"/>
    <s v="DEBITI PER FATTURE DA RICEVERE FORNITORI ANNO 2017"/>
    <n v="0"/>
    <n v="250504.22"/>
    <n v="250504.22"/>
    <n v="0"/>
    <n v="0"/>
    <n v="0"/>
    <n v="0"/>
    <n v="0"/>
    <n v="250504.22"/>
    <n v="-250504.22"/>
    <x v="222"/>
  </r>
  <r>
    <s v="2.04.07.02.9909"/>
    <s v="DEBITI PER FATTURE DA RICEVERE FORNITORI ANNO 2018"/>
    <n v="0"/>
    <n v="232057.74"/>
    <n v="232057.74"/>
    <n v="41.48"/>
    <n v="0"/>
    <n v="0"/>
    <n v="0"/>
    <n v="41.48"/>
    <n v="232057.74"/>
    <n v="-232016.26"/>
    <x v="222"/>
  </r>
  <r>
    <s v="2.04.07.02.9910"/>
    <s v="DEBITI PER FATTURE DA RICEVERE FORNITORI ANNO 2019"/>
    <n v="0"/>
    <n v="16243.39"/>
    <n v="16243.39"/>
    <n v="50.15"/>
    <n v="0"/>
    <n v="0"/>
    <n v="0"/>
    <n v="50.15"/>
    <n v="16243.39"/>
    <n v="-16193.24"/>
    <x v="222"/>
  </r>
  <r>
    <s v="2.04.07.02.9911"/>
    <s v="DEBITI PER FATTURE DA RICEVERE FORNITORI ANNO 2020"/>
    <n v="36788.39"/>
    <n v="0"/>
    <n v="36788.39"/>
    <n v="0"/>
    <n v="0"/>
    <n v="0"/>
    <n v="0"/>
    <n v="36788.39"/>
    <n v="0"/>
    <n v="36788.39"/>
    <x v="222"/>
  </r>
  <r>
    <s v="2.04.07.02.9912"/>
    <s v="DEBITI PER FATTURE DA RICEVERE FORNITORI ANNO 2021"/>
    <n v="0"/>
    <n v="898827.01"/>
    <n v="898827.01"/>
    <n v="224319.73"/>
    <n v="0"/>
    <n v="0"/>
    <n v="0"/>
    <n v="224319.73"/>
    <n v="898827.01"/>
    <n v="-674507.28"/>
    <x v="222"/>
  </r>
  <r>
    <s v="2.04.07.02.9913"/>
    <s v="DEBITI PER FATTURE DA RICEVERE FORNITORI ANNO 2022"/>
    <n v="2947.68"/>
    <n v="0"/>
    <n v="2947.68"/>
    <n v="0"/>
    <n v="0"/>
    <n v="0"/>
    <n v="0"/>
    <n v="2947.68"/>
    <n v="0"/>
    <n v="2947.68"/>
    <x v="222"/>
  </r>
  <r>
    <s v="2.04.07.02.9914"/>
    <s v="DEBITI PER FATTURE DA RICEVERE FORNITORI ANNO 2023"/>
    <n v="0"/>
    <n v="13122670.52"/>
    <n v="13122670.52"/>
    <n v="13382413.75"/>
    <n v="0"/>
    <n v="0"/>
    <n v="0"/>
    <n v="13382413.75"/>
    <n v="13122670.52"/>
    <n v="259743.23"/>
    <x v="222"/>
  </r>
  <r>
    <s v="2.04.07.02.9915"/>
    <s v="DEBITI PER FATTURE DA RICEVERE FORNITORI ANNO 2024"/>
    <n v="0"/>
    <n v="0"/>
    <n v="0"/>
    <n v="18566.16"/>
    <n v="13319685.16"/>
    <n v="0"/>
    <n v="0"/>
    <n v="18566.16"/>
    <n v="13319685.16"/>
    <n v="-13301119"/>
    <x v="222"/>
  </r>
  <r>
    <s v="2.04.07.04.0401"/>
    <s v="Note di credito da ricevere (altri fornitori)"/>
    <n v="0"/>
    <n v="0"/>
    <n v="0"/>
    <n v="0"/>
    <n v="0"/>
    <n v="0"/>
    <n v="0"/>
    <n v="0"/>
    <n v="0"/>
    <n v="0"/>
    <x v="224"/>
  </r>
  <r>
    <s v="2.04.07.04.0402"/>
    <s v="Note di credito da ricevere (altri fornitori)Anno 2019"/>
    <n v="0"/>
    <n v="0"/>
    <n v="0"/>
    <n v="0"/>
    <n v="0"/>
    <n v="0"/>
    <n v="0"/>
    <n v="0"/>
    <n v="0"/>
    <n v="0"/>
    <x v="224"/>
  </r>
  <r>
    <s v="2.04.07.04.0403"/>
    <s v="Debiti per Note di credito da ricevere (altri fornitori)Anno 2020"/>
    <n v="0"/>
    <n v="0"/>
    <n v="0"/>
    <n v="0"/>
    <n v="0"/>
    <n v="0"/>
    <n v="0"/>
    <n v="0"/>
    <n v="0"/>
    <n v="0"/>
    <x v="224"/>
  </r>
  <r>
    <s v="2.04.07.04.0404"/>
    <s v="Debiti per Note di credito da ricevere (altri fornitori)Anno 2021"/>
    <n v="0"/>
    <n v="0"/>
    <n v="0"/>
    <n v="0"/>
    <n v="0"/>
    <n v="0"/>
    <n v="0"/>
    <n v="0"/>
    <n v="0"/>
    <n v="0"/>
    <x v="224"/>
  </r>
  <r>
    <s v="2.04.07.04.0405"/>
    <s v="Note di credito da ricevere (altri fornitori)Anno 2022"/>
    <n v="0"/>
    <n v="0"/>
    <n v="0"/>
    <n v="0"/>
    <n v="0"/>
    <n v="0"/>
    <n v="0"/>
    <n v="0"/>
    <n v="0"/>
    <n v="0"/>
    <x v="224"/>
  </r>
  <r>
    <s v="2.04.07.04.0406"/>
    <s v="Note di credito da ricevere (altri fornitori)Anno 2023"/>
    <n v="208922.07"/>
    <n v="0"/>
    <n v="208922.07"/>
    <n v="0"/>
    <n v="208922.07"/>
    <n v="0"/>
    <n v="0"/>
    <n v="208922.07"/>
    <n v="208922.07"/>
    <n v="0"/>
    <x v="224"/>
  </r>
  <r>
    <s v="2.04.07.04.0407"/>
    <s v="Note di credito da ricevere (altri fornitori)Anno 2024"/>
    <n v="0"/>
    <n v="0"/>
    <n v="0"/>
    <n v="303558.31"/>
    <n v="0"/>
    <n v="0"/>
    <n v="0"/>
    <n v="303558.31"/>
    <n v="0"/>
    <n v="303558.31"/>
    <x v="224"/>
  </r>
  <r>
    <m/>
    <s v="DEBITI V/ISTITUTO TESORIERE"/>
    <n v="1019.55"/>
    <n v="235228.31"/>
    <n v="234208.76"/>
    <n v="1772218387.2"/>
    <n v="1784441456.3199999"/>
    <n v="0"/>
    <n v="0"/>
    <n v="1772219406.75"/>
    <n v="1784676684.6300001"/>
    <n v="-12457277.880000001"/>
    <x v="1"/>
  </r>
  <r>
    <m/>
    <s v="DEBITI V/ISTITUTO TESORIERE"/>
    <n v="1019.55"/>
    <n v="235228.31"/>
    <n v="234208.76"/>
    <n v="1772218387.2"/>
    <n v="1784441456.3199999"/>
    <n v="0"/>
    <n v="0"/>
    <n v="1772219406.75"/>
    <n v="1784676684.6300001"/>
    <n v="-12457277.880000001"/>
    <x v="1"/>
  </r>
  <r>
    <s v="2.04.08.01.0101"/>
    <s v="DEBITI V/ISTITUTO TESORIERE"/>
    <n v="0"/>
    <n v="0"/>
    <n v="0"/>
    <n v="0"/>
    <n v="0"/>
    <n v="0"/>
    <n v="0"/>
    <n v="0"/>
    <n v="0"/>
    <n v="0"/>
    <x v="225"/>
  </r>
  <r>
    <s v="2.04.08.01.0102"/>
    <s v="DEBITI V/ ISTITUTO TESORIERE PER INTERESSI PASSIVI"/>
    <n v="0"/>
    <n v="0"/>
    <n v="0"/>
    <n v="0"/>
    <n v="0"/>
    <n v="0"/>
    <n v="0"/>
    <n v="0"/>
    <n v="0"/>
    <n v="0"/>
    <x v="225"/>
  </r>
  <r>
    <s v="2.04.08.01.0103"/>
    <s v="DEBITI V/ALTRE BANCHE PER INTERESSI PASSIVI"/>
    <n v="0"/>
    <n v="0"/>
    <n v="0"/>
    <n v="0"/>
    <n v="0"/>
    <n v="0"/>
    <n v="0"/>
    <n v="0"/>
    <n v="0"/>
    <n v="0"/>
    <x v="225"/>
  </r>
  <r>
    <s v="2.04.08.01.0104"/>
    <s v="CONTO TRANSITORIO INCASSI TRAMITE CASSIERE"/>
    <n v="0"/>
    <n v="234.82"/>
    <n v="234.82"/>
    <n v="704708163.14999998"/>
    <n v="704708181.80999994"/>
    <n v="0"/>
    <n v="0"/>
    <n v="704708163.14999998"/>
    <n v="704708416.63"/>
    <n v="-253.48"/>
    <x v="225"/>
  </r>
  <r>
    <s v="2.04.08.01.0105"/>
    <s v="CONTO TRANSITORIO PAGAMENTI TRAMITE CASSIERE"/>
    <n v="1019.55"/>
    <n v="0"/>
    <n v="1019.55"/>
    <n v="303185228.67000002"/>
    <n v="303185208.00999999"/>
    <n v="0"/>
    <n v="0"/>
    <n v="303186248.22000003"/>
    <n v="303185208.00999999"/>
    <n v="1040.21"/>
    <x v="225"/>
  </r>
  <r>
    <s v="2.04.08.01.0106"/>
    <s v="DEBITI V/ISTITUTO TESORIERE PER ANTICIPAZIONE"/>
    <n v="0"/>
    <n v="233673.61"/>
    <n v="233673.61"/>
    <n v="329050594.75999999"/>
    <n v="341273665.88"/>
    <n v="0"/>
    <n v="0"/>
    <n v="329050594.75999999"/>
    <n v="341507339.49000001"/>
    <n v="-12456744.73"/>
    <x v="225"/>
  </r>
  <r>
    <s v="2.04.08.01.0107"/>
    <s v="DEBITI PER PIGNORAMENTI A FORNITORE"/>
    <n v="0"/>
    <n v="0"/>
    <n v="0"/>
    <n v="0"/>
    <n v="0"/>
    <n v="0"/>
    <n v="0"/>
    <n v="0"/>
    <n v="0"/>
    <n v="0"/>
    <x v="225"/>
  </r>
  <r>
    <s v="2.04.08.01.0108"/>
    <s v="CONTO TRANSITORIO PAGAMENTI A COPERTURA"/>
    <n v="0"/>
    <n v="1319.88"/>
    <n v="1319.88"/>
    <n v="435274400.62"/>
    <n v="435274400.62"/>
    <n v="0"/>
    <n v="0"/>
    <n v="435274400.62"/>
    <n v="435275720.5"/>
    <n v="-1319.88"/>
    <x v="225"/>
  </r>
  <r>
    <m/>
    <s v="DEBITI TRIBUTARI"/>
    <n v="935074.91"/>
    <n v="9088672.25"/>
    <n v="8153597.3399999999"/>
    <n v="71145315.530000001"/>
    <n v="70183732.810000002"/>
    <n v="0"/>
    <n v="0"/>
    <n v="72080390.439999998"/>
    <n v="79272405.060000002"/>
    <n v="-7192014.6200000001"/>
    <x v="1"/>
  </r>
  <r>
    <m/>
    <s v="DEBITI TRIBUTARI"/>
    <n v="935074.91"/>
    <n v="9088672.25"/>
    <n v="8153597.3399999999"/>
    <n v="71145315.530000001"/>
    <n v="70183732.810000002"/>
    <n v="0"/>
    <n v="0"/>
    <n v="72080390.439999998"/>
    <n v="79272405.060000002"/>
    <n v="-7192014.6200000001"/>
    <x v="1"/>
  </r>
  <r>
    <s v="2.04.09.01.0101"/>
    <s v="DEBITI PER ERARIO C/IRES"/>
    <n v="0"/>
    <n v="0"/>
    <n v="0"/>
    <n v="0"/>
    <n v="0"/>
    <n v="0"/>
    <n v="0"/>
    <n v="0"/>
    <n v="0"/>
    <n v="0"/>
    <x v="226"/>
  </r>
  <r>
    <s v="2.04.09.01.0201"/>
    <s v="DEBITI PER ERARIO C/RITENUTE SU LAVORO AUTONOMO"/>
    <n v="0"/>
    <n v="7053.74"/>
    <n v="7053.74"/>
    <n v="104895.13"/>
    <n v="93036.37"/>
    <n v="0"/>
    <n v="0"/>
    <n v="104895.13"/>
    <n v="100090.11"/>
    <n v="4805.0200000000004"/>
    <x v="226"/>
  </r>
  <r>
    <s v="2.04.09.01.0301"/>
    <s v="DEBITI PER ERARIO C/RITENUTE SU LAVORO DIPENDENTE"/>
    <n v="0"/>
    <n v="4180327.24"/>
    <n v="4180327.24"/>
    <n v="30774050.539999999"/>
    <n v="32493917.52"/>
    <n v="0"/>
    <n v="0"/>
    <n v="30774050.539999999"/>
    <n v="36674244.759999998"/>
    <n v="-5900194.2199999997"/>
    <x v="226"/>
  </r>
  <r>
    <s v="2.04.09.01.0302"/>
    <s v="DEBITI PER ERARIO C/RITENUTE SU LAVORO  COLLABORAZIONI COORDINATE E CONTINUATIVE"/>
    <n v="0"/>
    <n v="48558.14"/>
    <n v="48558.14"/>
    <n v="482278.94"/>
    <n v="398160.05"/>
    <n v="0"/>
    <n v="0"/>
    <n v="482278.94"/>
    <n v="446718.19"/>
    <n v="35560.75"/>
    <x v="226"/>
  </r>
  <r>
    <s v="2.04.09.01.0401"/>
    <s v="DEBITI PER ERARIO C/ I.V.A."/>
    <n v="0"/>
    <n v="42374.82"/>
    <n v="42374.82"/>
    <n v="394666.08"/>
    <n v="326674.8"/>
    <n v="0"/>
    <n v="0"/>
    <n v="394666.08"/>
    <n v="369049.62"/>
    <n v="25616.46"/>
    <x v="226"/>
  </r>
  <r>
    <s v="2.04.09.01.0402"/>
    <s v="DEBITI PER ERARIO C/ I.V.A. A ESIGIBILITA DIFFERITA"/>
    <n v="0"/>
    <n v="0"/>
    <n v="0"/>
    <n v="0"/>
    <n v="0"/>
    <n v="0"/>
    <n v="0"/>
    <n v="0"/>
    <n v="0"/>
    <n v="0"/>
    <x v="226"/>
  </r>
  <r>
    <s v="2.04.09.01.0403"/>
    <s v="DEBITI PER ERARIO C/ I.V.A. SPLIT PAYMENT"/>
    <n v="0"/>
    <n v="1059017.77"/>
    <n v="1059017.77"/>
    <n v="25417934.600000001"/>
    <n v="25511837.34"/>
    <n v="0"/>
    <n v="0"/>
    <n v="25417934.600000001"/>
    <n v="26570855.109999999"/>
    <n v="-1152920.51"/>
    <x v="226"/>
  </r>
  <r>
    <s v="2.04.09.01.0404"/>
    <s v="IVA PER ACQUISTI CEE"/>
    <n v="0"/>
    <n v="3318.34"/>
    <n v="3318.34"/>
    <n v="103009"/>
    <n v="103461.44"/>
    <n v="0"/>
    <n v="0"/>
    <n v="103009"/>
    <n v="106779.78"/>
    <n v="-3770.78"/>
    <x v="226"/>
  </r>
  <r>
    <s v="2.04.09.01.0405"/>
    <s v="IVA PER ACQUISTI DEDUCIBILI"/>
    <n v="0"/>
    <n v="0"/>
    <n v="0"/>
    <n v="0"/>
    <n v="0"/>
    <n v="0"/>
    <n v="0"/>
    <n v="0"/>
    <n v="0"/>
    <n v="0"/>
    <x v="226"/>
  </r>
  <r>
    <s v="2.04.09.01.0501"/>
    <s v="DEBITI PER ERARIO C/IRAP"/>
    <n v="0"/>
    <n v="1887384.43"/>
    <n v="1887384.43"/>
    <n v="9942543.4299999997"/>
    <n v="11084035.539999999"/>
    <n v="0"/>
    <n v="0"/>
    <n v="9942543.4299999997"/>
    <n v="12971419.970000001"/>
    <n v="-3028876.54"/>
    <x v="226"/>
  </r>
  <r>
    <s v="2.04.09.01.0502"/>
    <s v="DEBITI PER ERARIO C/IRAP ESERCIZIO PRECEDENTE"/>
    <n v="0"/>
    <n v="991741.63"/>
    <n v="991741.63"/>
    <n v="1794276.68"/>
    <n v="0"/>
    <n v="0"/>
    <n v="0"/>
    <n v="1794276.68"/>
    <n v="991741.63"/>
    <n v="802535.05"/>
    <x v="226"/>
  </r>
  <r>
    <s v="2.04.09.01.9901"/>
    <s v="ALTRI DEBITI PER IMPOSTE E TASSE"/>
    <n v="935074.91"/>
    <n v="855318.21"/>
    <n v="79756.7"/>
    <n v="76499.320000000007"/>
    <n v="76081.320000000007"/>
    <n v="0"/>
    <n v="0"/>
    <n v="1011574.23"/>
    <n v="931399.53"/>
    <n v="80174.7"/>
    <x v="226"/>
  </r>
  <r>
    <s v="2.04.09.01.9902"/>
    <s v="ALTRI DEBITI PER ADDIZIONALE COMUNALE"/>
    <n v="0"/>
    <n v="4351.16"/>
    <n v="4351.16"/>
    <n v="828947.07"/>
    <n v="0"/>
    <n v="0"/>
    <n v="0"/>
    <n v="828947.07"/>
    <n v="4351.16"/>
    <n v="824595.91"/>
    <x v="226"/>
  </r>
  <r>
    <s v="2.04.09.01.9903"/>
    <s v="ALTRI DEBITI PER ADDIZIONALE REGIONALE"/>
    <n v="0"/>
    <n v="9226.77"/>
    <n v="9226.77"/>
    <n v="1226214.74"/>
    <n v="96528.43"/>
    <n v="0"/>
    <n v="0"/>
    <n v="1226214.74"/>
    <n v="105755.2"/>
    <n v="1120459.54"/>
    <x v="226"/>
  </r>
  <r>
    <m/>
    <s v="DEBITI V/ISTITUTI PREVIDENZIALI, ASSISTENZIALI E SICUREZZA SOCIALE"/>
    <n v="50698.2"/>
    <n v="8630550.6400000006"/>
    <n v="8579852.4399999995"/>
    <n v="44544620.060000002"/>
    <n v="48313141.789999999"/>
    <n v="0"/>
    <n v="0"/>
    <n v="44595318.259999998"/>
    <n v="56943692.43"/>
    <n v="-12348374.17"/>
    <x v="1"/>
  </r>
  <r>
    <m/>
    <s v="DEBITI V/ISTITUTI PREVIDENZIALI, ASSISTENZIALI E SICUREZZA SOCIALE"/>
    <n v="50698.2"/>
    <n v="8630550.6400000006"/>
    <n v="8579852.4399999995"/>
    <n v="44544620.060000002"/>
    <n v="48313141.789999999"/>
    <n v="0"/>
    <n v="0"/>
    <n v="44595318.259999998"/>
    <n v="56943692.43"/>
    <n v="-12348374.17"/>
    <x v="1"/>
  </r>
  <r>
    <s v="2.04.10.01.0101"/>
    <s v="DEBITI  V/ INPDAP - CPS"/>
    <n v="0"/>
    <n v="2173163.0099999998"/>
    <n v="2173163.0099999998"/>
    <n v="12642227.439999999"/>
    <n v="13663589.869999999"/>
    <n v="0"/>
    <n v="0"/>
    <n v="12642227.439999999"/>
    <n v="15836752.880000001"/>
    <n v="-3194525.44"/>
    <x v="227"/>
  </r>
  <r>
    <s v="2.04.10.01.0102"/>
    <s v="DEBITI  V/  INPDAP - CPDEL"/>
    <n v="0"/>
    <n v="3447566.38"/>
    <n v="3447566.38"/>
    <n v="14393925.439999999"/>
    <n v="16174698.130000001"/>
    <n v="0"/>
    <n v="0"/>
    <n v="14393925.439999999"/>
    <n v="19622264.510000002"/>
    <n v="-5228339.07"/>
    <x v="227"/>
  </r>
  <r>
    <s v="2.04.10.01.0103"/>
    <s v="DEBITI V/  INPDAP - INADEL"/>
    <n v="0"/>
    <n v="438136.68"/>
    <n v="438136.68"/>
    <n v="3207853.82"/>
    <n v="3373158.71"/>
    <n v="0"/>
    <n v="0"/>
    <n v="3207853.82"/>
    <n v="3811295.39"/>
    <n v="-603441.56999999995"/>
    <x v="227"/>
  </r>
  <r>
    <s v="2.04.10.01.0104"/>
    <s v="DEBITI V/  INPDAP - OPERA PREVIDENZA"/>
    <n v="0"/>
    <n v="285212.86"/>
    <n v="285212.86"/>
    <n v="1887248.13"/>
    <n v="1780819.59"/>
    <n v="0"/>
    <n v="0"/>
    <n v="1887248.13"/>
    <n v="2066032.45"/>
    <n v="-178784.32"/>
    <x v="227"/>
  </r>
  <r>
    <s v="2.04.10.01.0105"/>
    <s v="DEBITI V/  INPDAP - TESORO"/>
    <n v="0"/>
    <n v="2014888.56"/>
    <n v="2014888.56"/>
    <n v="10423565.1"/>
    <n v="10683651.23"/>
    <n v="0"/>
    <n v="0"/>
    <n v="10423565.1"/>
    <n v="12698539.789999999"/>
    <n v="-2274974.69"/>
    <x v="227"/>
  </r>
  <r>
    <s v="2.04.10.01.0106"/>
    <s v="DEBITI V/  INPDAP - ENPDEP"/>
    <n v="0"/>
    <n v="0"/>
    <n v="0"/>
    <n v="0"/>
    <n v="17279.45"/>
    <n v="0"/>
    <n v="0"/>
    <n v="0"/>
    <n v="17279.45"/>
    <n v="-17279.45"/>
    <x v="227"/>
  </r>
  <r>
    <s v="2.04.10.01.0107"/>
    <s v="DEBITI V/S FONDO CREDITO"/>
    <n v="0"/>
    <n v="50256.93"/>
    <n v="50256.93"/>
    <n v="430420.57"/>
    <n v="427256.12"/>
    <n v="0"/>
    <n v="0"/>
    <n v="430420.57"/>
    <n v="477513.05"/>
    <n v="-47092.480000000003"/>
    <x v="227"/>
  </r>
  <r>
    <s v="2.04.10.01.0201"/>
    <s v="DEBITI VERSO INPS PER LAV DIPENDENTI"/>
    <n v="0"/>
    <n v="29682"/>
    <n v="29682"/>
    <n v="505871.13"/>
    <n v="510392.44"/>
    <n v="0"/>
    <n v="0"/>
    <n v="505871.13"/>
    <n v="540074.43999999994"/>
    <n v="-34203.31"/>
    <x v="227"/>
  </r>
  <r>
    <s v="2.04.10.01.0202"/>
    <s v="DEBITI VERSO INPS PER LAV ASSIMILATI"/>
    <n v="0"/>
    <n v="0"/>
    <n v="0"/>
    <n v="0"/>
    <n v="0"/>
    <n v="0"/>
    <n v="0"/>
    <n v="0"/>
    <n v="0"/>
    <n v="0"/>
    <x v="227"/>
  </r>
  <r>
    <s v="2.04.10.01.0301"/>
    <s v="DEBITI VERSO INPS LAVORATORI AUTONOMI"/>
    <n v="0"/>
    <n v="0"/>
    <n v="0"/>
    <n v="0"/>
    <n v="0"/>
    <n v="0"/>
    <n v="0"/>
    <n v="0"/>
    <n v="0"/>
    <n v="0"/>
    <x v="227"/>
  </r>
  <r>
    <s v="2.04.10.01.0401"/>
    <s v="DEBITI VERSO INAIL"/>
    <n v="0"/>
    <n v="96713.46"/>
    <n v="96713.46"/>
    <n v="990358.29"/>
    <n v="1589184.26"/>
    <n v="0"/>
    <n v="0"/>
    <n v="990358.29"/>
    <n v="1685897.72"/>
    <n v="-695539.43"/>
    <x v="227"/>
  </r>
  <r>
    <s v="2.04.10.01.0501"/>
    <s v="DEBITI VERSO ENPAM"/>
    <n v="0"/>
    <n v="0"/>
    <n v="0"/>
    <n v="0"/>
    <n v="0"/>
    <n v="0"/>
    <n v="0"/>
    <n v="0"/>
    <n v="0"/>
    <n v="0"/>
    <x v="227"/>
  </r>
  <r>
    <s v="2.04.10.01.0601"/>
    <s v="DEBITI VERSO ONAOSI"/>
    <n v="50698.2"/>
    <n v="94930.76"/>
    <n v="44232.56"/>
    <n v="44397.27"/>
    <n v="91871.97"/>
    <n v="0"/>
    <n v="0"/>
    <n v="95095.47"/>
    <n v="186802.73"/>
    <n v="-91707.26"/>
    <x v="227"/>
  </r>
  <r>
    <s v="2.04.10.01.0701"/>
    <s v="DEBITI V/S FONDO CREDITO"/>
    <n v="0"/>
    <n v="0"/>
    <n v="0"/>
    <n v="0"/>
    <n v="0"/>
    <n v="0"/>
    <n v="0"/>
    <n v="0"/>
    <n v="0"/>
    <n v="0"/>
    <x v="227"/>
  </r>
  <r>
    <s v="2.04.10.01.9901"/>
    <s v="DEBITI V/ ALTRI ENTI PREVIDENZIALI"/>
    <n v="0"/>
    <n v="0"/>
    <n v="0"/>
    <n v="18752.87"/>
    <n v="1240.02"/>
    <n v="0"/>
    <n v="0"/>
    <n v="18752.87"/>
    <n v="1240.02"/>
    <n v="17512.849999999999"/>
    <x v="227"/>
  </r>
  <r>
    <m/>
    <s v="DEBITI V/ALTRI"/>
    <n v="312105.5"/>
    <n v="23654967.039999999"/>
    <n v="23342861.539999999"/>
    <n v="288375825.31"/>
    <n v="283925968.60000002"/>
    <n v="0"/>
    <n v="0"/>
    <n v="288687930.81"/>
    <n v="307580935.63999999"/>
    <n v="-18893004.829999998"/>
    <x v="1"/>
  </r>
  <r>
    <m/>
    <s v="DEBITI V/ALTRI FINANZIATORI"/>
    <n v="0"/>
    <n v="0"/>
    <n v="0"/>
    <n v="0"/>
    <n v="0"/>
    <n v="0"/>
    <n v="0"/>
    <n v="0"/>
    <n v="0"/>
    <n v="0"/>
    <x v="1"/>
  </r>
  <r>
    <s v="2.04.11.01.0101"/>
    <s v="DEBITI V/ALTRI FINANZIATORI"/>
    <n v="0"/>
    <n v="0"/>
    <n v="0"/>
    <n v="0"/>
    <n v="0"/>
    <n v="0"/>
    <n v="0"/>
    <n v="0"/>
    <n v="0"/>
    <n v="0"/>
    <x v="228"/>
  </r>
  <r>
    <m/>
    <s v="DEBITI V/DIPENDENTI RETRIBUZIONI ESERCIZIO IN CORSO"/>
    <n v="81.98"/>
    <n v="12150269.15"/>
    <n v="12150187.17"/>
    <n v="245326628.34999999"/>
    <n v="245812916.55000001"/>
    <n v="0"/>
    <n v="0"/>
    <n v="245326710.33000001"/>
    <n v="257963185.69999999"/>
    <n v="-12636475.369999999"/>
    <x v="1"/>
  </r>
  <r>
    <s v="2.04.11.02.0101"/>
    <s v="DEBITI VERSO PERSONALE DIRIGENTE MEDICO - COMPETENZE FISSE ESERCIZIO IN CORSO"/>
    <n v="0"/>
    <n v="3087615.95"/>
    <n v="3087615.95"/>
    <n v="68039714.629999995"/>
    <n v="68594849.040000007"/>
    <n v="0"/>
    <n v="0"/>
    <n v="68039714.629999995"/>
    <n v="71682464.989999995"/>
    <n v="-3642750.36"/>
    <x v="229"/>
  </r>
  <r>
    <s v="2.04.11.02.0201"/>
    <s v="Debiti per retribuzione personale dipendente"/>
    <n v="81.98"/>
    <n v="42901.79"/>
    <n v="42819.81"/>
    <n v="71163906.579999998"/>
    <n v="74130151.209999993"/>
    <n v="0"/>
    <n v="0"/>
    <n v="71163988.560000002"/>
    <n v="74173053"/>
    <n v="-3009064.44"/>
    <x v="229"/>
  </r>
  <r>
    <s v="2.04.11.02.0301"/>
    <s v="DEBITI VERSO PERSONALE DIRIGENTE MEDICO - INDENNITA DA PARTICOLARI CONDIZIONI DI LAVORO ESERCIZIO IN CORSO"/>
    <n v="0"/>
    <n v="0"/>
    <n v="0"/>
    <n v="0"/>
    <n v="0"/>
    <n v="0"/>
    <n v="0"/>
    <n v="0"/>
    <n v="0"/>
    <n v="0"/>
    <x v="229"/>
  </r>
  <r>
    <s v="2.04.11.02.0401"/>
    <s v="DEBITI VERSO PERSONALE DIRIGENTE MEDICO - RETRIBUZIONE DI RISULTATO ESERCIZIO IN CORSO"/>
    <n v="0"/>
    <n v="0"/>
    <n v="0"/>
    <n v="0"/>
    <n v="0"/>
    <n v="0"/>
    <n v="0"/>
    <n v="0"/>
    <n v="0"/>
    <n v="0"/>
    <x v="229"/>
  </r>
  <r>
    <s v="2.04.11.02.0501"/>
    <s v="DEBITI VERSO PERSONALE DIRIGENTE MEDICO - ALTRI COSTI DEL PERSONALE ESERCIZIO IN CORSO"/>
    <n v="0"/>
    <n v="0"/>
    <n v="0"/>
    <n v="0"/>
    <n v="0"/>
    <n v="0"/>
    <n v="0"/>
    <n v="0"/>
    <n v="0"/>
    <n v="0"/>
    <x v="229"/>
  </r>
  <r>
    <s v="2.04.11.02.0601"/>
    <s v="DEBITI VERSO PERSONALE  DIRIGENTE SANITARIO NON MEDICO - COMPETENZE FISSE ESERCIZIO IN CORSO"/>
    <n v="0"/>
    <n v="798211.97"/>
    <n v="798211.97"/>
    <n v="5715083.3799999999"/>
    <n v="6329077.4699999997"/>
    <n v="0"/>
    <n v="0"/>
    <n v="5715083.3799999999"/>
    <n v="7127289.4400000004"/>
    <n v="-1412206.06"/>
    <x v="229"/>
  </r>
  <r>
    <s v="2.04.11.02.0602"/>
    <s v="DEBITI VERSO PERSONALE  DIRIGENTE RUOLO PROFESSIONALE - COMPETENZE FISSE ESERCIZIO IN CORSO"/>
    <n v="0"/>
    <n v="218889"/>
    <n v="218889"/>
    <n v="1501767.89"/>
    <n v="1472832.73"/>
    <n v="0"/>
    <n v="0"/>
    <n v="1501767.89"/>
    <n v="1691721.73"/>
    <n v="-189953.84"/>
    <x v="229"/>
  </r>
  <r>
    <s v="2.04.11.02.0603"/>
    <s v="DEBITI VERSO PERSONALE  DIRIGENTE RUOLO TECNICO - COMPETENZE FISSE ESERCIZIO IN CORSO"/>
    <n v="0"/>
    <n v="443600.61"/>
    <n v="443600.61"/>
    <n v="2085268.21"/>
    <n v="1635765.87"/>
    <n v="0"/>
    <n v="0"/>
    <n v="2085268.21"/>
    <n v="2079366.48"/>
    <n v="5901.73"/>
    <x v="229"/>
  </r>
  <r>
    <s v="2.04.11.02.0604"/>
    <s v="DEBITI VERSO PERSONALE  DIRIGENTE RUOLO AMMIISTRATIVO - COMPETENZE FISSE ESERCIZIO IN CORSO"/>
    <n v="0"/>
    <n v="162786.79"/>
    <n v="162786.79"/>
    <n v="1675733.65"/>
    <n v="1309921.81"/>
    <n v="0"/>
    <n v="0"/>
    <n v="1675733.65"/>
    <n v="1472708.6"/>
    <n v="203025.05"/>
    <x v="229"/>
  </r>
  <r>
    <s v="2.04.11.02.0701"/>
    <s v="DEBITI VERSO PERSONALE DIRIGENTE SANITARIO NON MEDICO  - RETRIBUZIONE DI POSIZIONE ESERCIZIO IN CORSO"/>
    <n v="0"/>
    <n v="0"/>
    <n v="0"/>
    <n v="0"/>
    <n v="0"/>
    <n v="0"/>
    <n v="0"/>
    <n v="0"/>
    <n v="0"/>
    <n v="0"/>
    <x v="229"/>
  </r>
  <r>
    <s v="2.04.11.02.0702"/>
    <s v="DEBITI VERSO PERSONALE DIRIGENTE RUOLO PROFESSIONALE  - RETRIBUZIONE DI POSIZIONE ESERCIZIO IN CORSO"/>
    <n v="0"/>
    <n v="0"/>
    <n v="0"/>
    <n v="0"/>
    <n v="0"/>
    <n v="0"/>
    <n v="0"/>
    <n v="0"/>
    <n v="0"/>
    <n v="0"/>
    <x v="229"/>
  </r>
  <r>
    <s v="2.04.11.02.0703"/>
    <s v="DEBITI VERSO PERSONALE DIRIGENTE RUOLO TECNICO  - RETRIBUZIONE DI POSIZIONE ESERCIZIO IN CORSO"/>
    <n v="0"/>
    <n v="0"/>
    <n v="0"/>
    <n v="0"/>
    <n v="0"/>
    <n v="0"/>
    <n v="0"/>
    <n v="0"/>
    <n v="0"/>
    <n v="0"/>
    <x v="229"/>
  </r>
  <r>
    <s v="2.04.11.02.0704"/>
    <s v="DEBITI VERSO PERSONALE DIRIGENTE RUOLO AMMINISTRATIVO  - RETRIBUZIONE DI POSIZIONE ESERCIZIO IN CORSO"/>
    <n v="0"/>
    <n v="0"/>
    <n v="0"/>
    <n v="0"/>
    <n v="0"/>
    <n v="0"/>
    <n v="0"/>
    <n v="0"/>
    <n v="0"/>
    <n v="0"/>
    <x v="229"/>
  </r>
  <r>
    <s v="2.04.11.02.0801"/>
    <s v="DEBITI VERSO PERSONALE DIRIGENTE SANITARIO NON MEDICO - INDENNITA DA PARTICOLARI CONDIZIONI DI LAVORO ESERCIZIO IN CORSO"/>
    <n v="0"/>
    <n v="0"/>
    <n v="0"/>
    <n v="0"/>
    <n v="0"/>
    <n v="0"/>
    <n v="0"/>
    <n v="0"/>
    <n v="0"/>
    <n v="0"/>
    <x v="229"/>
  </r>
  <r>
    <s v="2.04.11.02.0802"/>
    <s v="DEBITI VERSO PERSONALE DIRIGENTE RUOLO PROFESSIONALE  - INDENNITA DA PARTICOLARI CONDIZIONI DI LAVORO ESERCIZIO IN CORSO"/>
    <n v="0"/>
    <n v="0"/>
    <n v="0"/>
    <n v="0"/>
    <n v="0"/>
    <n v="0"/>
    <n v="0"/>
    <n v="0"/>
    <n v="0"/>
    <n v="0"/>
    <x v="229"/>
  </r>
  <r>
    <s v="2.04.11.02.0803"/>
    <s v="DEBITI VERSO PERSONALE DIRIGENTE RUOLO TECNICO - INDENNITA DA PARTICOLARI CONDIZIONI DI LAVORO ESERCIZIO IN CORSO"/>
    <n v="0"/>
    <n v="0"/>
    <n v="0"/>
    <n v="0"/>
    <n v="0"/>
    <n v="0"/>
    <n v="0"/>
    <n v="0"/>
    <n v="0"/>
    <n v="0"/>
    <x v="229"/>
  </r>
  <r>
    <s v="2.04.11.02.0804"/>
    <s v="DEBITI VERSO PERSONALE DIRIGENTE RUOLO AMMINISTRATIVO  - INDENNITA DAPARTICOLARI CONDIZIONI DI LAVORO ESERCIZIO IN CORSO"/>
    <n v="0"/>
    <n v="0"/>
    <n v="0"/>
    <n v="0"/>
    <n v="0"/>
    <n v="0"/>
    <n v="0"/>
    <n v="0"/>
    <n v="0"/>
    <n v="0"/>
    <x v="229"/>
  </r>
  <r>
    <s v="2.04.11.02.0901"/>
    <s v="DEBITI VERSO PERSONALE DIRIGENTE SANITARIO NON MEDICO - RETRIBUZIONE DI RISULTATO ESERCIZIO IN CORSO"/>
    <n v="0"/>
    <n v="0"/>
    <n v="0"/>
    <n v="0"/>
    <n v="0"/>
    <n v="0"/>
    <n v="0"/>
    <n v="0"/>
    <n v="0"/>
    <n v="0"/>
    <x v="229"/>
  </r>
  <r>
    <s v="2.04.11.02.0902"/>
    <s v="DEBITI VERSO PERSONALE DIRIGENTE RUOLO PROFESSIONALE  - RETRIBUZIONE DI RISULTATO ESERCIZIO IN CORSO"/>
    <n v="0"/>
    <n v="0"/>
    <n v="0"/>
    <n v="0"/>
    <n v="0"/>
    <n v="0"/>
    <n v="0"/>
    <n v="0"/>
    <n v="0"/>
    <n v="0"/>
    <x v="229"/>
  </r>
  <r>
    <s v="2.04.11.02.0903"/>
    <s v="DEBITI VERSO PERSONALE DIRIGENTE RUOLO TECNICO  - RETRIBUZIONE DI RISULTATO ESERCIZIO IN CORSO"/>
    <n v="0"/>
    <n v="0"/>
    <n v="0"/>
    <n v="0"/>
    <n v="0"/>
    <n v="0"/>
    <n v="0"/>
    <n v="0"/>
    <n v="0"/>
    <n v="0"/>
    <x v="229"/>
  </r>
  <r>
    <s v="2.04.11.02.0904"/>
    <s v="DEBITI VERSO PERSONALE DIRIGENTE RUOLO AMMINISTRATIVO  - RETRIBUZIONE DI RISULTATO ESERCIZIO IN CORSO"/>
    <n v="0"/>
    <n v="0"/>
    <n v="0"/>
    <n v="0"/>
    <n v="0"/>
    <n v="0"/>
    <n v="0"/>
    <n v="0"/>
    <n v="0"/>
    <n v="0"/>
    <x v="229"/>
  </r>
  <r>
    <s v="2.04.11.02.1001"/>
    <s v="DEBITI VERSO PERSONALE DIRIGENTE SANITARIO NON MEDICO - ALTRI COSTI DEL PERSONALE ESERCIZIO IN CORSO"/>
    <n v="0"/>
    <n v="0"/>
    <n v="0"/>
    <n v="0"/>
    <n v="0"/>
    <n v="0"/>
    <n v="0"/>
    <n v="0"/>
    <n v="0"/>
    <n v="0"/>
    <x v="229"/>
  </r>
  <r>
    <s v="2.04.11.02.1002"/>
    <s v="DEBITI VERSO PERSONALE DIRIGENTE RUOLO PROFESSIONALE NON MEDICO - ALTRI COSTI DEL PERSONALE ESERCIZIO IN CORSO"/>
    <n v="0"/>
    <n v="0"/>
    <n v="0"/>
    <n v="0"/>
    <n v="0"/>
    <n v="0"/>
    <n v="0"/>
    <n v="0"/>
    <n v="0"/>
    <n v="0"/>
    <x v="229"/>
  </r>
  <r>
    <s v="2.04.11.02.1003"/>
    <s v="DEBITI VERSO PERSONALE DIRIGENTE RUOLO TECNICO NON MEDICO - ALTRI COSTI DEL PERSONALE ESERCIZIO IN CORSO"/>
    <n v="0"/>
    <n v="0"/>
    <n v="0"/>
    <n v="0"/>
    <n v="0"/>
    <n v="0"/>
    <n v="0"/>
    <n v="0"/>
    <n v="0"/>
    <n v="0"/>
    <x v="229"/>
  </r>
  <r>
    <s v="2.04.11.02.1004"/>
    <s v="DEBITI VERSO PERSONALE DIRIGENTE RUOLO AMMINISTRATIVO  - ALTRI COSTI DEL PERSONALE ESERCIZIO IN CORSO"/>
    <n v="0"/>
    <n v="0"/>
    <n v="0"/>
    <n v="233534.81"/>
    <n v="0"/>
    <n v="0"/>
    <n v="0"/>
    <n v="233534.81"/>
    <n v="0"/>
    <n v="233534.81"/>
    <x v="229"/>
  </r>
  <r>
    <s v="2.04.11.02.1101"/>
    <s v="DEBITI VERSO PERSONALE COMPARTO SANITARIO - COMPETENZE FISSE ESERCIZIO IN CORSO"/>
    <n v="0"/>
    <n v="6465809.4299999997"/>
    <n v="6465809.4299999997"/>
    <n v="70844095.560000002"/>
    <n v="71086785.060000002"/>
    <n v="0"/>
    <n v="0"/>
    <n v="70844095.560000002"/>
    <n v="77552594.489999995"/>
    <n v="-6708498.9299999997"/>
    <x v="229"/>
  </r>
  <r>
    <s v="2.04.11.02.1102"/>
    <s v="DEBITI VERSO PERSONALE COMPARTO PROFESSIONALE - COMPETENZE FISSE ESERCIZIO IN CORSO"/>
    <n v="0"/>
    <n v="43284.71"/>
    <n v="43284.71"/>
    <n v="238695.76"/>
    <n v="268723.67"/>
    <n v="0"/>
    <n v="0"/>
    <n v="238695.76"/>
    <n v="312008.38"/>
    <n v="-73312.62"/>
    <x v="229"/>
  </r>
  <r>
    <s v="2.04.11.02.1103"/>
    <s v="DEBITI VERSO PERSONALE COMPARTO TECNICO - COMPETENZE FISSE ESERCIZIO IN CORSO"/>
    <n v="0"/>
    <n v="486416.5"/>
    <n v="486416.5"/>
    <n v="11872861.58"/>
    <n v="10822668.890000001"/>
    <n v="0"/>
    <n v="0"/>
    <n v="11872861.58"/>
    <n v="11309085.390000001"/>
    <n v="563776.18999999994"/>
    <x v="229"/>
  </r>
  <r>
    <s v="2.04.11.02.1104"/>
    <s v="DEBITI VERSO PERSONALE COMPARTO AMMINISTRATIVO - COMPETENZE FISSE ESERCIZIO IN CORSO"/>
    <n v="0"/>
    <n v="400752.4"/>
    <n v="400752.4"/>
    <n v="11955966.300000001"/>
    <n v="10162140.800000001"/>
    <n v="0"/>
    <n v="0"/>
    <n v="11955966.300000001"/>
    <n v="10562893.199999999"/>
    <n v="1393073.1"/>
    <x v="229"/>
  </r>
  <r>
    <s v="2.04.11.02.1201"/>
    <s v="DEBITI VERSO PERSONALE COMPARTO SANTARIO - RETRIBUZIONE DI POSIZIONE ESERCIZIO IN CORSO"/>
    <n v="0"/>
    <n v="0"/>
    <n v="0"/>
    <n v="0"/>
    <n v="0"/>
    <n v="0"/>
    <n v="0"/>
    <n v="0"/>
    <n v="0"/>
    <n v="0"/>
    <x v="229"/>
  </r>
  <r>
    <s v="2.04.11.02.1202"/>
    <s v="DEBITI VERSO PERSONALE COMPARTO PROFESSIONALE - RETRIBUZIONE DI POSIZIONE ESERCIZIO IN CORSO"/>
    <n v="0"/>
    <n v="0"/>
    <n v="0"/>
    <n v="0"/>
    <n v="0"/>
    <n v="0"/>
    <n v="0"/>
    <n v="0"/>
    <n v="0"/>
    <n v="0"/>
    <x v="229"/>
  </r>
  <r>
    <s v="2.04.11.02.1203"/>
    <s v="DEBITI VERSO PERSONALE COMPARTO TECNICO - RETRIBUZIONE DI POSIZIONE ESERCIZIO IN CORSO"/>
    <n v="0"/>
    <n v="0"/>
    <n v="0"/>
    <n v="0"/>
    <n v="0"/>
    <n v="0"/>
    <n v="0"/>
    <n v="0"/>
    <n v="0"/>
    <n v="0"/>
    <x v="229"/>
  </r>
  <r>
    <s v="2.04.11.02.1204"/>
    <s v="DEBITI VERSO PERSONALE COMPARTO AMMINISTRATIVO - RETRIBUZIONE DI POSIZIONE ESERCIZIO IN CORSO"/>
    <n v="0"/>
    <n v="0"/>
    <n v="0"/>
    <n v="0"/>
    <n v="0"/>
    <n v="0"/>
    <n v="0"/>
    <n v="0"/>
    <n v="0"/>
    <n v="0"/>
    <x v="229"/>
  </r>
  <r>
    <s v="2.04.11.02.1301"/>
    <s v="DEBITI VERSO PERSONALE COMPARTO SANITARIO - INDENNITA DA PARTICOLARI CONDIZIONI DI LAVORO ESERCIZIO IN CORSO"/>
    <n v="0"/>
    <n v="0"/>
    <n v="0"/>
    <n v="0"/>
    <n v="0"/>
    <n v="0"/>
    <n v="0"/>
    <n v="0"/>
    <n v="0"/>
    <n v="0"/>
    <x v="229"/>
  </r>
  <r>
    <s v="2.04.11.02.1302"/>
    <s v="DEBITI VERSO PERSONALE COMPARTO PROFESSIONALE- INDENNITA DA PARTICOLARI CONDIZIONI DI LAVORO ESERCIZIO IN CORSO"/>
    <n v="0"/>
    <n v="0"/>
    <n v="0"/>
    <n v="0"/>
    <n v="0"/>
    <n v="0"/>
    <n v="0"/>
    <n v="0"/>
    <n v="0"/>
    <n v="0"/>
    <x v="229"/>
  </r>
  <r>
    <s v="2.04.11.02.1303"/>
    <s v="DEBITI VERSO PERSONALE COMPARTO TECNICO- INDENNITA DA PARTICOLARI CONDIZIONI DI LAVORO ESERCIZIO IN CORSO"/>
    <n v="0"/>
    <n v="0"/>
    <n v="0"/>
    <n v="0"/>
    <n v="0"/>
    <n v="0"/>
    <n v="0"/>
    <n v="0"/>
    <n v="0"/>
    <n v="0"/>
    <x v="229"/>
  </r>
  <r>
    <s v="2.04.11.02.1304"/>
    <s v="DEBITI VERSO PERSONALE COMPARTO AMMINISTRATIVO- INDENNITA DA PARTICOLARI CONDIZIONI DI LAVORO ESERCIZIO IN CORSO"/>
    <n v="0"/>
    <n v="0"/>
    <n v="0"/>
    <n v="0"/>
    <n v="0"/>
    <n v="0"/>
    <n v="0"/>
    <n v="0"/>
    <n v="0"/>
    <n v="0"/>
    <x v="229"/>
  </r>
  <r>
    <s v="2.04.11.02.1401"/>
    <s v="DEBITI VERSO PERSONALE COMPARTO SANIATIO - RETRIBUZIONE DI RISULTATO ESERCIZIO IN CORSO"/>
    <n v="0"/>
    <n v="0"/>
    <n v="0"/>
    <n v="0"/>
    <n v="0"/>
    <n v="0"/>
    <n v="0"/>
    <n v="0"/>
    <n v="0"/>
    <n v="0"/>
    <x v="229"/>
  </r>
  <r>
    <s v="2.04.11.02.1402"/>
    <s v="DEBITI VERSO PERSONALE COMPARTO PROFESSIONALE- RETRIBUZIONE DI RISULTATO ESERCIZIO IN CORSO"/>
    <n v="0"/>
    <n v="0"/>
    <n v="0"/>
    <n v="0"/>
    <n v="0"/>
    <n v="0"/>
    <n v="0"/>
    <n v="0"/>
    <n v="0"/>
    <n v="0"/>
    <x v="229"/>
  </r>
  <r>
    <s v="2.04.11.02.1403"/>
    <s v="DEBITI VERSO PERSONALE COMPARTO TECNICO- RETRIBUZIONE DI RISULTATO ESERCIZIO IN CORSO"/>
    <n v="0"/>
    <n v="0"/>
    <n v="0"/>
    <n v="0"/>
    <n v="0"/>
    <n v="0"/>
    <n v="0"/>
    <n v="0"/>
    <n v="0"/>
    <n v="0"/>
    <x v="229"/>
  </r>
  <r>
    <s v="2.04.11.02.1404"/>
    <s v="DEBITI VERSO PERSONALE COMPARTO AMMINISTRATIVO- RETRIBUZIONE DI RISULTATO ESERCIZIO IN CORSO"/>
    <n v="0"/>
    <n v="0"/>
    <n v="0"/>
    <n v="0"/>
    <n v="0"/>
    <n v="0"/>
    <n v="0"/>
    <n v="0"/>
    <n v="0"/>
    <n v="0"/>
    <x v="229"/>
  </r>
  <r>
    <s v="2.04.11.02.1501"/>
    <s v="DEBITI VERSO PERSONALE COMPARTO SANITARIO- ALTRI COSTI DEL PERSONALE ESERCIZIO IN CORSO"/>
    <n v="0"/>
    <n v="0"/>
    <n v="0"/>
    <n v="0"/>
    <n v="0"/>
    <n v="0"/>
    <n v="0"/>
    <n v="0"/>
    <n v="0"/>
    <n v="0"/>
    <x v="229"/>
  </r>
  <r>
    <s v="2.04.11.02.1502"/>
    <s v="DEBITI VERSO PERSONALE COMPARTO PROFESSIONALE - ALTRI COSTI DEL PERSONALE ESERCIZIO IN CORSO"/>
    <n v="0"/>
    <n v="0"/>
    <n v="0"/>
    <n v="0"/>
    <n v="0"/>
    <n v="0"/>
    <n v="0"/>
    <n v="0"/>
    <n v="0"/>
    <n v="0"/>
    <x v="229"/>
  </r>
  <r>
    <s v="2.04.11.02.1503"/>
    <s v="DEBITI VERSO PERSONALE COMPARTO TECNICO- ALTRI COSTI DEL PERSONALE ESERCIZIO IN CORSO"/>
    <n v="0"/>
    <n v="0"/>
    <n v="0"/>
    <n v="0"/>
    <n v="0"/>
    <n v="0"/>
    <n v="0"/>
    <n v="0"/>
    <n v="0"/>
    <n v="0"/>
    <x v="229"/>
  </r>
  <r>
    <s v="2.04.11.02.1504"/>
    <s v="DEBITI VERSO PERSONALE COMPARTO AMMINISTRATIVO  - ALTRI COSTI DEL PERSONALE ESERCIZIO IN CORSO"/>
    <n v="0"/>
    <n v="0"/>
    <n v="0"/>
    <n v="0"/>
    <n v="0"/>
    <n v="0"/>
    <n v="0"/>
    <n v="0"/>
    <n v="0"/>
    <n v="0"/>
    <x v="229"/>
  </r>
  <r>
    <s v="2.04.11.02.1601"/>
    <s v="Debiti verso personale comparto - Condizioni di lavoro e incarichi in corso"/>
    <n v="0"/>
    <n v="0"/>
    <n v="0"/>
    <n v="0"/>
    <n v="0"/>
    <n v="0"/>
    <n v="0"/>
    <n v="0"/>
    <n v="0"/>
    <n v="0"/>
    <x v="229"/>
  </r>
  <r>
    <s v="2.04.11.02.1701"/>
    <s v="Debiti verso personale comparto - Premialità e fasce in corso"/>
    <n v="0"/>
    <n v="0"/>
    <n v="0"/>
    <n v="0"/>
    <n v="0"/>
    <n v="0"/>
    <n v="0"/>
    <n v="0"/>
    <n v="0"/>
    <n v="0"/>
    <x v="229"/>
  </r>
  <r>
    <s v="2.04.11.02.1801"/>
    <s v="DEBITI VERSO PERSONALE DIRIGENTE PTA  - RETRIBUZIONE DI POSIZIONE ESERCIZIO IN CORSO"/>
    <n v="0"/>
    <n v="0"/>
    <n v="0"/>
    <n v="0"/>
    <n v="0"/>
    <n v="0"/>
    <n v="0"/>
    <n v="0"/>
    <n v="0"/>
    <n v="0"/>
    <x v="229"/>
  </r>
  <r>
    <s v="2.04.11.02.1901"/>
    <s v="DEBITI VERSO PERSONALE DIRIGENTE PTA  - RETRIBUZIONE DI RISULTATO ESERCIZIO IN CORSO"/>
    <n v="0"/>
    <n v="0"/>
    <n v="0"/>
    <n v="0"/>
    <n v="0"/>
    <n v="0"/>
    <n v="0"/>
    <n v="0"/>
    <n v="0"/>
    <n v="0"/>
    <x v="229"/>
  </r>
  <r>
    <s v="2.04.11.02.2001"/>
    <s v="DEBITI VERSO PERSONALE COMPARTO   - RETRIBUZIONE DEGLI INCARICHI PROGRESSIONI ECONOMICHE E INDENNITA' PROFESSIONALI  ESERCIZIO IN CORSO"/>
    <n v="0"/>
    <n v="0"/>
    <n v="0"/>
    <n v="0"/>
    <n v="0"/>
    <n v="0"/>
    <n v="0"/>
    <n v="0"/>
    <n v="0"/>
    <n v="0"/>
    <x v="229"/>
  </r>
  <r>
    <s v="2.04.11.02.2101"/>
    <s v="DEBITI VERSO PERSONALE COMPARTO   - RETRIBUZIONE PREMIALITA' E CONDIZIONI DI LAVORO  ESERCIZIO IN CORSO"/>
    <n v="0"/>
    <n v="0"/>
    <n v="0"/>
    <n v="0"/>
    <n v="0"/>
    <n v="0"/>
    <n v="0"/>
    <n v="0"/>
    <n v="0"/>
    <n v="0"/>
    <x v="229"/>
  </r>
  <r>
    <m/>
    <s v="DEBITI VERSO PERSONALE RETRIBUZIONI ESERCIZI PRECEDENTI"/>
    <n v="0"/>
    <n v="10471919.970000001"/>
    <n v="10471919.970000001"/>
    <n v="31909766.09"/>
    <n v="26447855.879999999"/>
    <n v="0"/>
    <n v="0"/>
    <n v="31909766.09"/>
    <n v="36919775.850000001"/>
    <n v="-5010009.76"/>
    <x v="1"/>
  </r>
  <r>
    <s v="2.04.11.03.0101"/>
    <s v="DEBITI VERSO PERSONALE DIRIGENTE MEDICO - COMPETENZE FISSE ESERCIZI 2007 E PREGRESSI"/>
    <n v="0"/>
    <n v="0"/>
    <n v="0"/>
    <n v="0"/>
    <n v="0"/>
    <n v="0"/>
    <n v="0"/>
    <n v="0"/>
    <n v="0"/>
    <n v="0"/>
    <x v="229"/>
  </r>
  <r>
    <s v="2.04.11.03.0102"/>
    <s v="DEBITI VERSO PERSONALE DIRIGENTE MEDICO - COMPETENZE FISSE ESERCIZIO 2008"/>
    <n v="0"/>
    <n v="0"/>
    <n v="0"/>
    <n v="0"/>
    <n v="0"/>
    <n v="0"/>
    <n v="0"/>
    <n v="0"/>
    <n v="0"/>
    <n v="0"/>
    <x v="229"/>
  </r>
  <r>
    <s v="2.04.11.03.0103"/>
    <s v="DEBITI VERSO PERSONALE DIRIGENTE MEDICO - COMPETENZE FISSE ESERCIZIO 2009 PRECEDENTI"/>
    <n v="0"/>
    <n v="0"/>
    <n v="0"/>
    <n v="0"/>
    <n v="0"/>
    <n v="0"/>
    <n v="0"/>
    <n v="0"/>
    <n v="0"/>
    <n v="0"/>
    <x v="229"/>
  </r>
  <r>
    <s v="2.04.11.03.0104"/>
    <s v="DEBITI VERSO PERSONALE DIRIGENTE MEDICO - COMPETENZE FISSE ESERCIZIO 2010"/>
    <n v="0"/>
    <n v="0"/>
    <n v="0"/>
    <n v="0"/>
    <n v="0"/>
    <n v="0"/>
    <n v="0"/>
    <n v="0"/>
    <n v="0"/>
    <n v="0"/>
    <x v="229"/>
  </r>
  <r>
    <s v="2.04.11.03.0105"/>
    <s v="DEBITI VERSO PERSONALE DIRIGENTE MEDICO - COMPETENZE FISSE ESERCIZIO 2011"/>
    <n v="0"/>
    <n v="0"/>
    <n v="0"/>
    <n v="0"/>
    <n v="0"/>
    <n v="0"/>
    <n v="0"/>
    <n v="0"/>
    <n v="0"/>
    <n v="0"/>
    <x v="229"/>
  </r>
  <r>
    <s v="2.04.11.03.0106"/>
    <s v="DEBITI VERSO PERSONALE DIRIGENTE MEDICO - COMPETENZE FISSE ESERCIZIO 2012"/>
    <n v="0"/>
    <n v="0"/>
    <n v="0"/>
    <n v="0"/>
    <n v="0"/>
    <n v="0"/>
    <n v="0"/>
    <n v="0"/>
    <n v="0"/>
    <n v="0"/>
    <x v="229"/>
  </r>
  <r>
    <s v="2.04.11.03.0107"/>
    <s v="DEBITI VERSO PERSONALE DIRIGENTE MEDICO - COMPETENZE FISSE ESERCIZIO 2013"/>
    <n v="0"/>
    <n v="0"/>
    <n v="0"/>
    <n v="0"/>
    <n v="0"/>
    <n v="0"/>
    <n v="0"/>
    <n v="0"/>
    <n v="0"/>
    <n v="0"/>
    <x v="229"/>
  </r>
  <r>
    <s v="2.04.11.03.0201"/>
    <s v="DEBITI VERSO PERSONALE DIRIGENTE MEDICO  - RETRIBUZIONE DI POSIZIONE ESERCIZIO 2008"/>
    <n v="0"/>
    <n v="0"/>
    <n v="0"/>
    <n v="0"/>
    <n v="0"/>
    <n v="0"/>
    <n v="0"/>
    <n v="0"/>
    <n v="0"/>
    <n v="0"/>
    <x v="229"/>
  </r>
  <r>
    <s v="2.04.11.03.0202"/>
    <s v="DEBITI VERSO PERSONALE DIRIGENTE MEDICO  - RETRIBUZIONE DI POSIZIONE ESERCIZIO 2009"/>
    <n v="0"/>
    <n v="0"/>
    <n v="0"/>
    <n v="0"/>
    <n v="0"/>
    <n v="0"/>
    <n v="0"/>
    <n v="0"/>
    <n v="0"/>
    <n v="0"/>
    <x v="229"/>
  </r>
  <r>
    <s v="2.04.11.03.0203"/>
    <s v="DEBITI VERSO PERSONALE DIRIGENTE MEDICO  - RETRIBUZIONE DI POSIZIONE ESERCIZIO 2010"/>
    <n v="0"/>
    <n v="0"/>
    <n v="0"/>
    <n v="0"/>
    <n v="0"/>
    <n v="0"/>
    <n v="0"/>
    <n v="0"/>
    <n v="0"/>
    <n v="0"/>
    <x v="229"/>
  </r>
  <r>
    <s v="2.04.11.03.0204"/>
    <s v="DEBITI PER RETRIB FONDI DIR. MEDICA ANNO 2011 ED ANTE"/>
    <n v="0"/>
    <n v="0"/>
    <n v="0"/>
    <n v="0"/>
    <n v="0"/>
    <n v="0"/>
    <n v="0"/>
    <n v="0"/>
    <n v="0"/>
    <n v="0"/>
    <x v="229"/>
  </r>
  <r>
    <s v="2.04.11.03.0205"/>
    <s v="DEBITI PER RETRIB FONDI DIR. MEDICA ANNO 2012"/>
    <n v="0"/>
    <n v="0"/>
    <n v="0"/>
    <n v="0"/>
    <n v="0"/>
    <n v="0"/>
    <n v="0"/>
    <n v="0"/>
    <n v="0"/>
    <n v="0"/>
    <x v="229"/>
  </r>
  <r>
    <s v="2.04.11.03.0206"/>
    <s v="DEBITI PER RETRIB FONDI DIR. MEDICA ANNO 2013"/>
    <n v="0"/>
    <n v="2136445.2200000002"/>
    <n v="2136445.2200000002"/>
    <n v="2136445.2200000002"/>
    <n v="0"/>
    <n v="0"/>
    <n v="0"/>
    <n v="2136445.2200000002"/>
    <n v="2136445.2200000002"/>
    <n v="0"/>
    <x v="229"/>
  </r>
  <r>
    <s v="2.04.11.03.0207"/>
    <s v="DEBITI PER RETRIB FONDI DIR. MEDICA ANNO 2014"/>
    <n v="0"/>
    <n v="0"/>
    <n v="0"/>
    <n v="0"/>
    <n v="0"/>
    <n v="0"/>
    <n v="0"/>
    <n v="0"/>
    <n v="0"/>
    <n v="0"/>
    <x v="229"/>
  </r>
  <r>
    <s v="2.04.11.03.0208"/>
    <s v="DEBITI PER RETRIB FONDI DIR. MEDICA ANNO 2015"/>
    <n v="0"/>
    <n v="10709.02"/>
    <n v="10709.02"/>
    <n v="10709.02"/>
    <n v="0"/>
    <n v="0"/>
    <n v="0"/>
    <n v="10709.02"/>
    <n v="10709.02"/>
    <n v="0"/>
    <x v="229"/>
  </r>
  <r>
    <s v="2.04.11.03.0209"/>
    <s v="DEBITI PER RETRIB FONDI DIR. MEDICA ANNO 2016"/>
    <n v="0"/>
    <n v="0"/>
    <n v="0"/>
    <n v="0"/>
    <n v="0"/>
    <n v="0"/>
    <n v="0"/>
    <n v="0"/>
    <n v="0"/>
    <n v="0"/>
    <x v="229"/>
  </r>
  <r>
    <s v="2.04.11.03.0210"/>
    <s v="DEBITI PER RETRIB FONDI DIR. MEDICA ANNO 2017"/>
    <n v="0"/>
    <n v="0"/>
    <n v="0"/>
    <n v="0"/>
    <n v="0"/>
    <n v="0"/>
    <n v="0"/>
    <n v="0"/>
    <n v="0"/>
    <n v="0"/>
    <x v="229"/>
  </r>
  <r>
    <s v="2.04.11.03.0211"/>
    <s v="DEBITI PER RETRIB FONDI DIR. MEDICA ANNO 2018"/>
    <n v="0"/>
    <n v="146496.82"/>
    <n v="146496.82"/>
    <n v="146496.82"/>
    <n v="0"/>
    <n v="0"/>
    <n v="0"/>
    <n v="146496.82"/>
    <n v="146496.82"/>
    <n v="0"/>
    <x v="229"/>
  </r>
  <r>
    <s v="2.04.11.03.0212"/>
    <s v="DEBITI PER RETRIB FONDI DIR. MEDICA ANNO 2019"/>
    <n v="0"/>
    <n v="446135.06"/>
    <n v="446135.06"/>
    <n v="446466.22"/>
    <n v="331.16"/>
    <n v="0"/>
    <n v="0"/>
    <n v="446466.22"/>
    <n v="446466.22"/>
    <n v="0"/>
    <x v="229"/>
  </r>
  <r>
    <s v="2.04.11.03.0213"/>
    <s v="DEBITI PER RETRIB FONDI DIR. MEDICA ANNO 2020"/>
    <n v="0"/>
    <n v="115248.56"/>
    <n v="115248.56"/>
    <n v="115248.56"/>
    <n v="0"/>
    <n v="0"/>
    <n v="0"/>
    <n v="115248.56"/>
    <n v="115248.56"/>
    <n v="0"/>
    <x v="229"/>
  </r>
  <r>
    <s v="2.04.11.03.0214"/>
    <s v="DEBITI PER RETRIB FONDI DIR. MEDICA ANNO 2021"/>
    <n v="0"/>
    <n v="630426.35"/>
    <n v="630426.35"/>
    <n v="0"/>
    <n v="1031.26"/>
    <n v="0"/>
    <n v="0"/>
    <n v="0"/>
    <n v="631457.61"/>
    <n v="-631457.61"/>
    <x v="229"/>
  </r>
  <r>
    <s v="2.04.11.03.0215"/>
    <s v="DEBITI PER RETRIB FONDI DIR. MEDICA ANNO 2022"/>
    <n v="0"/>
    <n v="235445.29"/>
    <n v="235445.29"/>
    <n v="119470.17"/>
    <n v="0"/>
    <n v="0"/>
    <n v="0"/>
    <n v="119470.17"/>
    <n v="235445.29"/>
    <n v="-115975.12"/>
    <x v="229"/>
  </r>
  <r>
    <s v="2.04.11.03.0216"/>
    <s v="DEBITI PER RETRIB FONDI DIR. MEDICA ANNO 2023"/>
    <n v="0"/>
    <n v="0"/>
    <n v="0"/>
    <n v="7884202.71"/>
    <n v="11824.59"/>
    <n v="0"/>
    <n v="0"/>
    <n v="7884202.71"/>
    <n v="11824.59"/>
    <n v="7872378.1200000001"/>
    <x v="229"/>
  </r>
  <r>
    <s v="2.04.11.03.0301"/>
    <s v="DEBITI VERSO PERSONALE DIRIGENTE MEDICO - INDENNITA DA PARTICOLARI CONDIZIONI DI LAVORO ESERCIZIO 2008"/>
    <n v="0"/>
    <n v="0"/>
    <n v="0"/>
    <n v="0"/>
    <n v="0"/>
    <n v="0"/>
    <n v="0"/>
    <n v="0"/>
    <n v="0"/>
    <n v="0"/>
    <x v="229"/>
  </r>
  <r>
    <s v="2.04.11.03.0302"/>
    <s v="DEBITI VERSO PERSONALE DIRIGENTE MEDICO - INDENNITA DA PARTICOLARI CONDIZIONI DI LAVORO ESERCIZIO 2009"/>
    <n v="0"/>
    <n v="0"/>
    <n v="0"/>
    <n v="0"/>
    <n v="0"/>
    <n v="0"/>
    <n v="0"/>
    <n v="0"/>
    <n v="0"/>
    <n v="0"/>
    <x v="229"/>
  </r>
  <r>
    <s v="2.04.11.03.0303"/>
    <s v="DEBITI VERSO PERSONALE DIRIGENTE MEDICO - INDENNITA DA PARTICOLARI CONDIZIONI DI LAVORO ESERCIZIO 2010"/>
    <n v="0"/>
    <n v="0"/>
    <n v="0"/>
    <n v="0"/>
    <n v="0"/>
    <n v="0"/>
    <n v="0"/>
    <n v="0"/>
    <n v="0"/>
    <n v="0"/>
    <x v="229"/>
  </r>
  <r>
    <s v="2.04.11.03.0304"/>
    <s v="DEBITI VERSO PERSONALE DIRIGENTE MEDICO - INDENNITA DA PARTICOLARI CONDIZIONI DI LAVORO ESERCIZIO 2011"/>
    <n v="0"/>
    <n v="0"/>
    <n v="0"/>
    <n v="0"/>
    <n v="0"/>
    <n v="0"/>
    <n v="0"/>
    <n v="0"/>
    <n v="0"/>
    <n v="0"/>
    <x v="229"/>
  </r>
  <r>
    <s v="2.04.11.03.0305"/>
    <s v="DEBITI VERSO PERSONALE DIRIGENTE MEDICO - INDENNITA DA PARTICOLARI CONDIZIONI DI LAVORO ESERCIZI 2012"/>
    <n v="0"/>
    <n v="0"/>
    <n v="0"/>
    <n v="0"/>
    <n v="0"/>
    <n v="0"/>
    <n v="0"/>
    <n v="0"/>
    <n v="0"/>
    <n v="0"/>
    <x v="229"/>
  </r>
  <r>
    <s v="2.04.11.03.0401"/>
    <s v="DEBITI VERSO PERSONALE DIRIGENTE MEDICO - RETRIBUZIONE DI RISULTATO ESERCIZIO 2008"/>
    <n v="0"/>
    <n v="0"/>
    <n v="0"/>
    <n v="0"/>
    <n v="0"/>
    <n v="0"/>
    <n v="0"/>
    <n v="0"/>
    <n v="0"/>
    <n v="0"/>
    <x v="229"/>
  </r>
  <r>
    <s v="2.04.11.03.0402"/>
    <s v="DEBITI VERSO PERSONALE DIRIGENTE MEDICO - RETRIBUZIONE DI RISULTATO ESERCIZIO 2009"/>
    <n v="0"/>
    <n v="0"/>
    <n v="0"/>
    <n v="0"/>
    <n v="0"/>
    <n v="0"/>
    <n v="0"/>
    <n v="0"/>
    <n v="0"/>
    <n v="0"/>
    <x v="229"/>
  </r>
  <r>
    <s v="2.04.11.03.0403"/>
    <s v="DEBITI VERSO PERSONALE DIRIGENTE MEDICO - RETRIBUZIONE DI RISULTATO ESERCIZIO 2010"/>
    <n v="0"/>
    <n v="0"/>
    <n v="0"/>
    <n v="0"/>
    <n v="0"/>
    <n v="0"/>
    <n v="0"/>
    <n v="0"/>
    <n v="0"/>
    <n v="0"/>
    <x v="229"/>
  </r>
  <r>
    <s v="2.04.11.03.0404"/>
    <s v="DEBITI VERSO PERSONALE DIRIGENTE MEDICO - RETRIBUZIONE DI RISULTATO ESERCIZIO 2011"/>
    <n v="0"/>
    <n v="0"/>
    <n v="0"/>
    <n v="0"/>
    <n v="0"/>
    <n v="0"/>
    <n v="0"/>
    <n v="0"/>
    <n v="0"/>
    <n v="0"/>
    <x v="229"/>
  </r>
  <r>
    <s v="2.04.11.03.0405"/>
    <s v="DEBITI VERSO PERSONALE DIRIGENTE MEDICO - RETRIBUZIONE DI RISULTATO ESERCIZIO 2012"/>
    <n v="0"/>
    <n v="0"/>
    <n v="0"/>
    <n v="0"/>
    <n v="0"/>
    <n v="0"/>
    <n v="0"/>
    <n v="0"/>
    <n v="0"/>
    <n v="0"/>
    <x v="229"/>
  </r>
  <r>
    <s v="2.04.11.03.0501"/>
    <s v="DEBITI VERSO PERSONALE DIRIGENTE MEDICO - ALTRI COSTI DEL PERSONALE ESERCIZIO 2008"/>
    <n v="0"/>
    <n v="0"/>
    <n v="0"/>
    <n v="0"/>
    <n v="0"/>
    <n v="0"/>
    <n v="0"/>
    <n v="0"/>
    <n v="0"/>
    <n v="0"/>
    <x v="229"/>
  </r>
  <r>
    <s v="2.04.11.03.0502"/>
    <s v="DEBITI VERSO PERSONALE DIRIGENTE MEDICO - ALTRI COSTI DEL PERSONALE ESERCIZIO 2009"/>
    <n v="0"/>
    <n v="0"/>
    <n v="0"/>
    <n v="0"/>
    <n v="0"/>
    <n v="0"/>
    <n v="0"/>
    <n v="0"/>
    <n v="0"/>
    <n v="0"/>
    <x v="229"/>
  </r>
  <r>
    <s v="2.04.11.03.0503"/>
    <s v="DEBITI VERSO PERSONALE DIRIGENTE MEDICO - ALTRI COSTI DEL PERSONALE ESERCIZIO 2010"/>
    <n v="0"/>
    <n v="0"/>
    <n v="0"/>
    <n v="0"/>
    <n v="0"/>
    <n v="0"/>
    <n v="0"/>
    <n v="0"/>
    <n v="0"/>
    <n v="0"/>
    <x v="229"/>
  </r>
  <r>
    <s v="2.04.11.03.0504"/>
    <s v="DEBITI VERSO PERSONALE DIRIGENTE MEDICO - ALTRI COSTI DEL PERSONALE ESERCIZIO 2011"/>
    <n v="0"/>
    <n v="0"/>
    <n v="0"/>
    <n v="0"/>
    <n v="0"/>
    <n v="0"/>
    <n v="0"/>
    <n v="0"/>
    <n v="0"/>
    <n v="0"/>
    <x v="229"/>
  </r>
  <r>
    <s v="2.04.11.03.0505"/>
    <s v="DEBITI VERSO PERSONALE DIRIGENTE MEDICO - ALTRI COSTI DEL PERSONALE ESERCIZIO 2012"/>
    <n v="0"/>
    <n v="0"/>
    <n v="0"/>
    <n v="0"/>
    <n v="0"/>
    <n v="0"/>
    <n v="0"/>
    <n v="0"/>
    <n v="0"/>
    <n v="0"/>
    <x v="229"/>
  </r>
  <r>
    <s v="2.04.11.03.0601"/>
    <s v="DEBITI VERSO PERSONALE  DIRIGENTE SANITARIO NON MEDICO - COMPETENZE FISSE ESERCIZI 2008"/>
    <n v="0"/>
    <n v="0"/>
    <n v="0"/>
    <n v="0"/>
    <n v="0"/>
    <n v="0"/>
    <n v="0"/>
    <n v="0"/>
    <n v="0"/>
    <n v="0"/>
    <x v="229"/>
  </r>
  <r>
    <s v="2.04.11.03.0602"/>
    <s v="DEBITI VERSO PERSONALE  DIRIGENTE SANITARIO NON MEDICO - COMPETENZE FISSE ESERCIZI 2009"/>
    <n v="0"/>
    <n v="0"/>
    <n v="0"/>
    <n v="0"/>
    <n v="0"/>
    <n v="0"/>
    <n v="0"/>
    <n v="0"/>
    <n v="0"/>
    <n v="0"/>
    <x v="229"/>
  </r>
  <r>
    <s v="2.04.11.03.0603"/>
    <s v="DEBITI VERSO PERSONALE  DIRIGENTE SANITARIO NON MEDICO - COMPETENZE FISSE ESERCIZI 2010"/>
    <n v="0"/>
    <n v="0"/>
    <n v="0"/>
    <n v="0"/>
    <n v="0"/>
    <n v="0"/>
    <n v="0"/>
    <n v="0"/>
    <n v="0"/>
    <n v="0"/>
    <x v="229"/>
  </r>
  <r>
    <s v="2.04.11.03.0604"/>
    <s v="DEBITI VERSO PERSONALE  DIRIGENTE SANITARIO NON MEDICO - COMPETENZE FISSE ESERCIZI 2011"/>
    <n v="0"/>
    <n v="0"/>
    <n v="0"/>
    <n v="0"/>
    <n v="0"/>
    <n v="0"/>
    <n v="0"/>
    <n v="0"/>
    <n v="0"/>
    <n v="0"/>
    <x v="229"/>
  </r>
  <r>
    <s v="2.04.11.03.0605"/>
    <s v="DEBITI VERSO PERSONALE  DIRIGENTE SANITARIO NON MEDICO - COMPETENZE FISSE ESERCIZI 2012"/>
    <n v="0"/>
    <n v="0"/>
    <n v="0"/>
    <n v="0"/>
    <n v="0"/>
    <n v="0"/>
    <n v="0"/>
    <n v="0"/>
    <n v="0"/>
    <n v="0"/>
    <x v="229"/>
  </r>
  <r>
    <s v="2.04.11.03.0606"/>
    <s v="DEBITI VERSO PERSONALE  DIRIGENTE RUOLO PROFESSIONALE - COMPETENZE FISSE ESERCIZIO 2008"/>
    <n v="0"/>
    <n v="0"/>
    <n v="0"/>
    <n v="0"/>
    <n v="0"/>
    <n v="0"/>
    <n v="0"/>
    <n v="0"/>
    <n v="0"/>
    <n v="0"/>
    <x v="229"/>
  </r>
  <r>
    <s v="2.04.11.03.0607"/>
    <s v="DEBITI VERSO PERSONALE  DIRIGENTE RUOLO PROFESSIONALE - COMPETENZE FISSE ESERCIZIO 2009"/>
    <n v="0"/>
    <n v="0"/>
    <n v="0"/>
    <n v="0"/>
    <n v="0"/>
    <n v="0"/>
    <n v="0"/>
    <n v="0"/>
    <n v="0"/>
    <n v="0"/>
    <x v="229"/>
  </r>
  <r>
    <s v="2.04.11.03.0608"/>
    <s v="DEBITI VERSO PERSONALE  DIRIGENTE RUOLO PROFESSIONALE - COMPETENZE FISSE ESERCIZIO 2010"/>
    <n v="0"/>
    <n v="0"/>
    <n v="0"/>
    <n v="0"/>
    <n v="0"/>
    <n v="0"/>
    <n v="0"/>
    <n v="0"/>
    <n v="0"/>
    <n v="0"/>
    <x v="229"/>
  </r>
  <r>
    <s v="2.04.11.03.0609"/>
    <s v="DEBITI VERSO PERSONALE  DIRIGENTE RUOLO PROFESSIONALE - COMPETENZE FISSE ESERCIZIO 2011"/>
    <n v="0"/>
    <n v="0"/>
    <n v="0"/>
    <n v="0"/>
    <n v="0"/>
    <n v="0"/>
    <n v="0"/>
    <n v="0"/>
    <n v="0"/>
    <n v="0"/>
    <x v="229"/>
  </r>
  <r>
    <s v="2.04.11.03.0610"/>
    <s v="DEBITI VERSO PERSONALE  DIRIGENTE RUOLO PROFESSIONALE - COMPETENZE FISSE ESERCIZIO 2012"/>
    <n v="0"/>
    <n v="0"/>
    <n v="0"/>
    <n v="0"/>
    <n v="0"/>
    <n v="0"/>
    <n v="0"/>
    <n v="0"/>
    <n v="0"/>
    <n v="0"/>
    <x v="229"/>
  </r>
  <r>
    <s v="2.04.11.03.0611"/>
    <s v="DEBITI VERSO PERSONALE  DIRIGENTE RUOLO TECNICO - COMPETENZE FISSE ESERCIZIO 2008"/>
    <n v="0"/>
    <n v="0"/>
    <n v="0"/>
    <n v="0"/>
    <n v="0"/>
    <n v="0"/>
    <n v="0"/>
    <n v="0"/>
    <n v="0"/>
    <n v="0"/>
    <x v="229"/>
  </r>
  <r>
    <s v="2.04.11.03.0612"/>
    <s v="DEBITI VERSO PERSONALE  DIRIGENTE RUOLO TECNICO - COMPETENZE FISSE ESERCIZIO 2009"/>
    <n v="0"/>
    <n v="0"/>
    <n v="0"/>
    <n v="0"/>
    <n v="0"/>
    <n v="0"/>
    <n v="0"/>
    <n v="0"/>
    <n v="0"/>
    <n v="0"/>
    <x v="229"/>
  </r>
  <r>
    <s v="2.04.11.03.0613"/>
    <s v="DEBITI VERSO PERSONALE  DIRIGENTE RUOLO TECNICO - COMPETENZE FISSE ESERCIZIO 2010"/>
    <n v="0"/>
    <n v="0"/>
    <n v="0"/>
    <n v="0"/>
    <n v="0"/>
    <n v="0"/>
    <n v="0"/>
    <n v="0"/>
    <n v="0"/>
    <n v="0"/>
    <x v="229"/>
  </r>
  <r>
    <s v="2.04.11.03.0614"/>
    <s v="DEBITI VERSO PERSONALE  DIRIGENTE RUOLO TECNICO - COMPETENZE FISSE ESERCIZIO 2011"/>
    <n v="0"/>
    <n v="0"/>
    <n v="0"/>
    <n v="0"/>
    <n v="0"/>
    <n v="0"/>
    <n v="0"/>
    <n v="0"/>
    <n v="0"/>
    <n v="0"/>
    <x v="229"/>
  </r>
  <r>
    <s v="2.04.11.03.0615"/>
    <s v="DEBITI VERSO PERSONALE  DIRIGENTE RUOLO TECNICO - COMPETENZE FISSE ESERCIZIO 2012"/>
    <n v="0"/>
    <n v="0"/>
    <n v="0"/>
    <n v="0"/>
    <n v="0"/>
    <n v="0"/>
    <n v="0"/>
    <n v="0"/>
    <n v="0"/>
    <n v="0"/>
    <x v="229"/>
  </r>
  <r>
    <s v="2.04.11.03.0616"/>
    <s v="DEBITI VERSO PERSONALE  DIRIGENTE NON MEDICO - COMPETENZE FISSE ESERCIZIO 2008"/>
    <n v="0"/>
    <n v="0"/>
    <n v="0"/>
    <n v="0"/>
    <n v="0"/>
    <n v="0"/>
    <n v="0"/>
    <n v="0"/>
    <n v="0"/>
    <n v="0"/>
    <x v="229"/>
  </r>
  <r>
    <s v="2.04.11.03.0617"/>
    <s v="DEBITI VERSO PERSONALE  DIRIGENTE NON MEDICO - COMPETENZE FISSE ESERCIZIO 2009"/>
    <n v="0"/>
    <n v="0"/>
    <n v="0"/>
    <n v="0"/>
    <n v="0"/>
    <n v="0"/>
    <n v="0"/>
    <n v="0"/>
    <n v="0"/>
    <n v="0"/>
    <x v="229"/>
  </r>
  <r>
    <s v="2.04.11.03.0618"/>
    <s v="DEBITI VERSO PERSONALE  DIRIGENTE NON MEDICO - COMPETENZE FISSE ESERCIZIO 2010"/>
    <n v="0"/>
    <n v="0"/>
    <n v="0"/>
    <n v="0"/>
    <n v="0"/>
    <n v="0"/>
    <n v="0"/>
    <n v="0"/>
    <n v="0"/>
    <n v="0"/>
    <x v="229"/>
  </r>
  <r>
    <s v="2.04.11.03.0619"/>
    <s v="DEBITI VERSO PERSONALE  DIRIGENTE NON MEDICO - COMPETENZE FISSE ESERCIZIO 2011"/>
    <n v="0"/>
    <n v="0"/>
    <n v="0"/>
    <n v="0"/>
    <n v="0"/>
    <n v="0"/>
    <n v="0"/>
    <n v="0"/>
    <n v="0"/>
    <n v="0"/>
    <x v="229"/>
  </r>
  <r>
    <s v="2.04.11.03.0620"/>
    <s v="DEBITI VERSO PERSONALE  DIRIGENTE NON MEDICO - COMPETENZE FISSE ESERCIZIO 2012"/>
    <n v="0"/>
    <n v="0"/>
    <n v="0"/>
    <n v="0"/>
    <n v="0"/>
    <n v="0"/>
    <n v="0"/>
    <n v="0"/>
    <n v="0"/>
    <n v="0"/>
    <x v="229"/>
  </r>
  <r>
    <s v="2.04.11.03.0621"/>
    <s v="DEBITI VERSO PERSONALE  DIRIGENTE SANITARIO NON MEDICO - COMPETENZE FISSE ESERCIZI 2013"/>
    <n v="0"/>
    <n v="0"/>
    <n v="0"/>
    <n v="0"/>
    <n v="0"/>
    <n v="0"/>
    <n v="0"/>
    <n v="0"/>
    <n v="0"/>
    <n v="0"/>
    <x v="229"/>
  </r>
  <r>
    <s v="2.04.11.03.0622"/>
    <s v="DEBITI VERSO PERSONALE  DIRIGENTE RUOLO PROFESSIONALE - COMPETENZE FISSE ESERCIZIO 2013"/>
    <n v="0"/>
    <n v="0"/>
    <n v="0"/>
    <n v="0"/>
    <n v="0"/>
    <n v="0"/>
    <n v="0"/>
    <n v="0"/>
    <n v="0"/>
    <n v="0"/>
    <x v="229"/>
  </r>
  <r>
    <s v="2.04.11.03.0623"/>
    <s v="DEBITI VERSO PERSONALE  DIRIGENTE RUOLO TECNICO - COMPETENZE FISSE ESERCIZIO 2013"/>
    <n v="0"/>
    <n v="0"/>
    <n v="0"/>
    <n v="0"/>
    <n v="0"/>
    <n v="0"/>
    <n v="0"/>
    <n v="0"/>
    <n v="0"/>
    <n v="0"/>
    <x v="229"/>
  </r>
  <r>
    <s v="2.04.11.03.0624"/>
    <s v="DEBITI VERSO PERSONALE  DIRIGENTE NON MEDICO - COMPETENZE FISSE ESERCIZIO 2013"/>
    <n v="0"/>
    <n v="0"/>
    <n v="0"/>
    <n v="0"/>
    <n v="0"/>
    <n v="0"/>
    <n v="0"/>
    <n v="0"/>
    <n v="0"/>
    <n v="0"/>
    <x v="229"/>
  </r>
  <r>
    <s v="2.04.11.03.0701"/>
    <s v="DEBITI VERSO PERSONALE  DIRIGENTE SANITARIO NON MEDICO - RETRIBUZIONE DI POSIZIONE ESERCIZIO 2008"/>
    <n v="0"/>
    <n v="0"/>
    <n v="0"/>
    <n v="0"/>
    <n v="0"/>
    <n v="0"/>
    <n v="0"/>
    <n v="0"/>
    <n v="0"/>
    <n v="0"/>
    <x v="229"/>
  </r>
  <r>
    <s v="2.04.11.03.0702"/>
    <s v="DEBITI VERSO PERSONALE  DIRIGENTE SANITARIO NON MEDICO - RETRIBUZIONE DI POSIZIONE ESERCIZIO 2009"/>
    <n v="0"/>
    <n v="0"/>
    <n v="0"/>
    <n v="0"/>
    <n v="0"/>
    <n v="0"/>
    <n v="0"/>
    <n v="0"/>
    <n v="0"/>
    <n v="0"/>
    <x v="229"/>
  </r>
  <r>
    <s v="2.04.11.03.0703"/>
    <s v="DEBITI VERSO PERSONALE  DIRIGENTE SANITARIO NON MEDICO - RETRIBUZIONE DI POSIZIONE ESERCIZIO 2010"/>
    <n v="0"/>
    <n v="0"/>
    <n v="0"/>
    <n v="0"/>
    <n v="0"/>
    <n v="0"/>
    <n v="0"/>
    <n v="0"/>
    <n v="0"/>
    <n v="0"/>
    <x v="229"/>
  </r>
  <r>
    <s v="2.04.11.03.0704"/>
    <s v="DEBITI VERSO PERSONALE  DIRIGENTE SANITARIO NON MEDICO - RETRIBUZIONE DI POSIZIONE ESERCIZIO 2011"/>
    <n v="0"/>
    <n v="0"/>
    <n v="0"/>
    <n v="0"/>
    <n v="0"/>
    <n v="0"/>
    <n v="0"/>
    <n v="0"/>
    <n v="0"/>
    <n v="0"/>
    <x v="229"/>
  </r>
  <r>
    <s v="2.04.11.03.0705"/>
    <s v="DEBITI VERSO PERSONALE  DIRIGENTE SANITARIO NON MEDICO - RETRIBUZIONE DI POSIZIONE ESERCIZIO 2012"/>
    <n v="0"/>
    <n v="0"/>
    <n v="0"/>
    <n v="0"/>
    <n v="0"/>
    <n v="0"/>
    <n v="0"/>
    <n v="0"/>
    <n v="0"/>
    <n v="0"/>
    <x v="229"/>
  </r>
  <r>
    <s v="2.04.11.03.0706"/>
    <s v="DEBITI VERSO PERSONALE  DIRIGENTE RUOLO PROFESSIONALE -RETRIBUZIONE DI POSIZIONE ESERCIZIO 2008"/>
    <n v="0"/>
    <n v="0"/>
    <n v="0"/>
    <n v="0"/>
    <n v="0"/>
    <n v="0"/>
    <n v="0"/>
    <n v="0"/>
    <n v="0"/>
    <n v="0"/>
    <x v="229"/>
  </r>
  <r>
    <s v="2.04.11.03.0707"/>
    <s v="DEBITI VERSO PERSONALE  DIRIGENTE RUOLO PROFESSIONALE - RETRIBUZIONE DI POSIZIONE ESERCIZIO 2009"/>
    <n v="0"/>
    <n v="0"/>
    <n v="0"/>
    <n v="0"/>
    <n v="0"/>
    <n v="0"/>
    <n v="0"/>
    <n v="0"/>
    <n v="0"/>
    <n v="0"/>
    <x v="229"/>
  </r>
  <r>
    <s v="2.04.11.03.0708"/>
    <s v="DEBITI VERSO PERSONALE  DIRIGENTE RUOLO PROFESSIONALE - RETRIBUZIONE DI POSIZIONE ESERCIZIO 2010"/>
    <n v="0"/>
    <n v="0"/>
    <n v="0"/>
    <n v="0"/>
    <n v="0"/>
    <n v="0"/>
    <n v="0"/>
    <n v="0"/>
    <n v="0"/>
    <n v="0"/>
    <x v="229"/>
  </r>
  <r>
    <s v="2.04.11.03.0709"/>
    <s v="DEBITI VERSO PERSONALE  DIRIGENTE RUOLO PROFESSIONALE - RETRIBUZIONE DI POSIZIONE ESERCIZIO 2011"/>
    <n v="0"/>
    <n v="0"/>
    <n v="0"/>
    <n v="0"/>
    <n v="0"/>
    <n v="0"/>
    <n v="0"/>
    <n v="0"/>
    <n v="0"/>
    <n v="0"/>
    <x v="229"/>
  </r>
  <r>
    <s v="2.04.11.03.0710"/>
    <s v="DEBITI VERSO PERSONALE  DIRIGENTE RUOLO PROFESSIONALE - RETRIBUZIONE DI POSIZIONE ESERCIZIO 2012"/>
    <n v="0"/>
    <n v="0"/>
    <n v="0"/>
    <n v="0"/>
    <n v="0"/>
    <n v="0"/>
    <n v="0"/>
    <n v="0"/>
    <n v="0"/>
    <n v="0"/>
    <x v="229"/>
  </r>
  <r>
    <s v="2.04.11.03.0711"/>
    <s v="DEBITI VERSO PERSONALE  DIRIGENTE RUOLO TECNICO - RETRIBUZIONE DI POSIZIONE ESERCIZIO 2008"/>
    <n v="0"/>
    <n v="0"/>
    <n v="0"/>
    <n v="0"/>
    <n v="0"/>
    <n v="0"/>
    <n v="0"/>
    <n v="0"/>
    <n v="0"/>
    <n v="0"/>
    <x v="229"/>
  </r>
  <r>
    <s v="2.04.11.03.0712"/>
    <s v="DEBITI VERSO PERSONALE  DIRIGENTE RUOLO TECNICO - RETRIBUZIONE DI POSIZIONE ESERCIZIO 2009"/>
    <n v="0"/>
    <n v="0"/>
    <n v="0"/>
    <n v="0"/>
    <n v="0"/>
    <n v="0"/>
    <n v="0"/>
    <n v="0"/>
    <n v="0"/>
    <n v="0"/>
    <x v="229"/>
  </r>
  <r>
    <s v="2.04.11.03.0713"/>
    <s v="DEBITI VERSO PERSONALE  DIRIGENTE RUOLO TECNICO - RETRIBUZIONE DI POSIZIONE ESERCIZIO 2010"/>
    <n v="0"/>
    <n v="0"/>
    <n v="0"/>
    <n v="0"/>
    <n v="0"/>
    <n v="0"/>
    <n v="0"/>
    <n v="0"/>
    <n v="0"/>
    <n v="0"/>
    <x v="229"/>
  </r>
  <r>
    <s v="2.04.11.03.0714"/>
    <s v="DEBITI VERSO PERSONALE  DIRIGENTE RUOLO TECNICO - RETRIBUZIONE DI POSIZIONE ESERCIZIO 2011"/>
    <n v="0"/>
    <n v="0"/>
    <n v="0"/>
    <n v="0"/>
    <n v="0"/>
    <n v="0"/>
    <n v="0"/>
    <n v="0"/>
    <n v="0"/>
    <n v="0"/>
    <x v="229"/>
  </r>
  <r>
    <s v="2.04.11.03.0715"/>
    <s v="DEBITI VERSO PERSONALE  DIRIGENTE RUOLO TECNICO - RETRIBUZIONE DI POSIZIONE ESERCIZIO 2012"/>
    <n v="0"/>
    <n v="0"/>
    <n v="0"/>
    <n v="0"/>
    <n v="0"/>
    <n v="0"/>
    <n v="0"/>
    <n v="0"/>
    <n v="0"/>
    <n v="0"/>
    <x v="229"/>
  </r>
  <r>
    <s v="2.04.11.03.0716"/>
    <s v="DEBITI VERSO PERSONALE  DIRIGENTE RUOLO AMMINISTRATIVO  - RETRIBUZIONE DI POSIZIONE ESERCIZIO 2008"/>
    <n v="0"/>
    <n v="0"/>
    <n v="0"/>
    <n v="0"/>
    <n v="0"/>
    <n v="0"/>
    <n v="0"/>
    <n v="0"/>
    <n v="0"/>
    <n v="0"/>
    <x v="229"/>
  </r>
  <r>
    <s v="2.04.11.03.0717"/>
    <s v="DEBITI VERSO PERSONALE  DIRIGENTE RUOLO AMMINISTRATIVO - RETRIBUZIONE DI POSIZIONE ESERCIZIO 2009"/>
    <n v="0"/>
    <n v="0"/>
    <n v="0"/>
    <n v="0"/>
    <n v="0"/>
    <n v="0"/>
    <n v="0"/>
    <n v="0"/>
    <n v="0"/>
    <n v="0"/>
    <x v="229"/>
  </r>
  <r>
    <s v="2.04.11.03.0718"/>
    <s v="DEBITI VERSO PERSONALE  DIRIGENTE RUOLO AMMINISTRATIVO - RETRIBUZIONE DI POSIZIONE ESERCIZIO 2010"/>
    <n v="0"/>
    <n v="0"/>
    <n v="0"/>
    <n v="0"/>
    <n v="0"/>
    <n v="0"/>
    <n v="0"/>
    <n v="0"/>
    <n v="0"/>
    <n v="0"/>
    <x v="229"/>
  </r>
  <r>
    <s v="2.04.11.03.0719"/>
    <s v="DEBITI VERSO PERSONALE  DIRIGENTE RUOLO AMMINISTRATIVO - RETRIBUZIONE DI POSIZIONE ESERCIZIO 2011"/>
    <n v="0"/>
    <n v="0"/>
    <n v="0"/>
    <n v="0"/>
    <n v="0"/>
    <n v="0"/>
    <n v="0"/>
    <n v="0"/>
    <n v="0"/>
    <n v="0"/>
    <x v="229"/>
  </r>
  <r>
    <s v="2.04.11.03.0720"/>
    <s v="DEBITI VERSO PERSONALE  DIRIGENTE RUOLO AMMINISTRATIVO - RETRIBUZIONE DI POSIZIONE ESERCIZIO 2012"/>
    <n v="0"/>
    <n v="0"/>
    <n v="0"/>
    <n v="0"/>
    <n v="0"/>
    <n v="0"/>
    <n v="0"/>
    <n v="0"/>
    <n v="0"/>
    <n v="0"/>
    <x v="229"/>
  </r>
  <r>
    <s v="2.04.11.03.0801"/>
    <s v="DEBITI VERSO PERSONALE  DIRIGENTE SANITARIO NON MEDICO -INDENNITA DA PARTICOLARI CONDIZIONI DI LAVORO ESERCIZIO 2008"/>
    <n v="0"/>
    <n v="0"/>
    <n v="0"/>
    <n v="0"/>
    <n v="0"/>
    <n v="0"/>
    <n v="0"/>
    <n v="0"/>
    <n v="0"/>
    <n v="0"/>
    <x v="229"/>
  </r>
  <r>
    <s v="2.04.11.03.0802"/>
    <s v="DEBITI VERSO PERSONALE  DIRIGENTE SANITARIO NON MEDICO - INDENNITA DAPARTICOLARI CONDIZIONI DI LAVORO ESERCIZIO 2009"/>
    <n v="0"/>
    <n v="0"/>
    <n v="0"/>
    <n v="0"/>
    <n v="0"/>
    <n v="0"/>
    <n v="0"/>
    <n v="0"/>
    <n v="0"/>
    <n v="0"/>
    <x v="229"/>
  </r>
  <r>
    <s v="2.04.11.03.0803"/>
    <s v="DEBITI VERSO PERSONALE  DIRIGENTE SANITARIO NON MEDICO - INDENNITA DAPARTICOLARI CONDIZIONI DI LAVORO ESERCIZIO 2010"/>
    <n v="0"/>
    <n v="0"/>
    <n v="0"/>
    <n v="0"/>
    <n v="0"/>
    <n v="0"/>
    <n v="0"/>
    <n v="0"/>
    <n v="0"/>
    <n v="0"/>
    <x v="229"/>
  </r>
  <r>
    <s v="2.04.11.03.0804"/>
    <s v="DEBITI VERSO PERSONALE  DIRIGENTE SANITARIO NON MEDICO - INDENNITA DAPARTICOLARI CONDIZIONI DI LAVORO ESERCIZIO 2011"/>
    <n v="0"/>
    <n v="0"/>
    <n v="0"/>
    <n v="0"/>
    <n v="0"/>
    <n v="0"/>
    <n v="0"/>
    <n v="0"/>
    <n v="0"/>
    <n v="0"/>
    <x v="229"/>
  </r>
  <r>
    <s v="2.04.11.03.0805"/>
    <s v="DEBITI VERSO PERSONALE  DIRIGENTE SANITARIO NON MEDICO - INDENNITA DAPARTICOLARI CONDIZIONI DI LAVORO ESERCIZIO 2012"/>
    <n v="0"/>
    <n v="0"/>
    <n v="0"/>
    <n v="0"/>
    <n v="0"/>
    <n v="0"/>
    <n v="0"/>
    <n v="0"/>
    <n v="0"/>
    <n v="0"/>
    <x v="229"/>
  </r>
  <r>
    <s v="2.04.11.03.0806"/>
    <s v="DEBITI VERSO PERSONALE  DIRIGENTE RUOLO PROFESSIONALE -INDENNITA DA PARTICOLARI CONDIZIONI DI LAVORO ESERCIZIO 2008"/>
    <n v="0"/>
    <n v="0"/>
    <n v="0"/>
    <n v="0"/>
    <n v="0"/>
    <n v="0"/>
    <n v="0"/>
    <n v="0"/>
    <n v="0"/>
    <n v="0"/>
    <x v="229"/>
  </r>
  <r>
    <s v="2.04.11.03.0807"/>
    <s v="DEBITI VERSO PERSONALE  DIRIGENTE RUOLO PROFESSIONALE - INDENNITA DA PARTICOLARI CONDIZIONI DI LAVORO ESERCIZIO 2009"/>
    <n v="0"/>
    <n v="0"/>
    <n v="0"/>
    <n v="0"/>
    <n v="0"/>
    <n v="0"/>
    <n v="0"/>
    <n v="0"/>
    <n v="0"/>
    <n v="0"/>
    <x v="229"/>
  </r>
  <r>
    <s v="2.04.11.03.0808"/>
    <s v="DEBITI VERSO PERSONALE  DIRIGENTE RUOLO PROFESSIONALE - INDENNITA DA PARTICOLARI CONDIZIONI DI LAVORO ESERCIZIO 2010"/>
    <n v="0"/>
    <n v="0"/>
    <n v="0"/>
    <n v="0"/>
    <n v="0"/>
    <n v="0"/>
    <n v="0"/>
    <n v="0"/>
    <n v="0"/>
    <n v="0"/>
    <x v="229"/>
  </r>
  <r>
    <s v="2.04.11.03.0809"/>
    <s v="DEBITI VERSO PERSONALE  DIRIGENTE RUOLO PROFESSIONALE - INDENNITA DA PARTICOLARI CONDIZIONI DI LAVORO ESERCIZIO 2011"/>
    <n v="0"/>
    <n v="0"/>
    <n v="0"/>
    <n v="0"/>
    <n v="0"/>
    <n v="0"/>
    <n v="0"/>
    <n v="0"/>
    <n v="0"/>
    <n v="0"/>
    <x v="229"/>
  </r>
  <r>
    <s v="2.04.11.03.0810"/>
    <s v="DEBITI VERSO PERSONALE  DIRIGENTE RUOLO PROFESSIONALE - INDENNITA DA PARTICOLARI CONDIZIONI DI LAVORO ESERCIZIO 2012"/>
    <n v="0"/>
    <n v="0"/>
    <n v="0"/>
    <n v="0"/>
    <n v="0"/>
    <n v="0"/>
    <n v="0"/>
    <n v="0"/>
    <n v="0"/>
    <n v="0"/>
    <x v="229"/>
  </r>
  <r>
    <s v="2.04.11.03.0811"/>
    <s v="DEBITI VERSO PERSONALE  DIRIGENTE RUOLO TECNICO - INDENNITA DA PARTICOLARI CONDIZIONI DI LAVORO ESERCIZIO 2008"/>
    <n v="0"/>
    <n v="0"/>
    <n v="0"/>
    <n v="0"/>
    <n v="0"/>
    <n v="0"/>
    <n v="0"/>
    <n v="0"/>
    <n v="0"/>
    <n v="0"/>
    <x v="229"/>
  </r>
  <r>
    <s v="2.04.11.03.0812"/>
    <s v="DEBITI VERSO PERSONALE  DIRIGENTE RUOLO TECNICO - INDENNITA DA PARTICOLARI CONDIZIONI DI LAVORO ESERCIZIO 2009"/>
    <n v="0"/>
    <n v="0"/>
    <n v="0"/>
    <n v="0"/>
    <n v="0"/>
    <n v="0"/>
    <n v="0"/>
    <n v="0"/>
    <n v="0"/>
    <n v="0"/>
    <x v="229"/>
  </r>
  <r>
    <s v="2.04.11.03.0813"/>
    <s v="DEBITI VERSO PERSONALE  DIRIGENTE RUOLO TECNICO - INDENNITA DA PARTICOLARI CONDIZIONI DI LAVORO ESERCIZIO 2010"/>
    <n v="0"/>
    <n v="0"/>
    <n v="0"/>
    <n v="0"/>
    <n v="0"/>
    <n v="0"/>
    <n v="0"/>
    <n v="0"/>
    <n v="0"/>
    <n v="0"/>
    <x v="229"/>
  </r>
  <r>
    <s v="2.04.11.03.0814"/>
    <s v="DEBITI VERSO PERSONALE  DIRIGENTE RUOLO TECNICO - INDENNITA DA PARTICOLARI CONDIZIONI DI LAVORO ESERCIZIO 2011"/>
    <n v="0"/>
    <n v="0"/>
    <n v="0"/>
    <n v="0"/>
    <n v="0"/>
    <n v="0"/>
    <n v="0"/>
    <n v="0"/>
    <n v="0"/>
    <n v="0"/>
    <x v="229"/>
  </r>
  <r>
    <s v="2.04.11.03.0815"/>
    <s v="DEBITI VERSO PERSONALE  DIRIGENTE RUOLO TECNICO - INDENNITA DA PARTICOLARI CONDIZIONI DI LAVORO ESERCIZIO 2012"/>
    <n v="0"/>
    <n v="0"/>
    <n v="0"/>
    <n v="0"/>
    <n v="0"/>
    <n v="0"/>
    <n v="0"/>
    <n v="0"/>
    <n v="0"/>
    <n v="0"/>
    <x v="229"/>
  </r>
  <r>
    <s v="2.04.11.03.0816"/>
    <s v="DEBITI VERSO PERSONALE  DIRIGENTE RUOLO AMMINISTRATIVO  - INDENNITA DA PARTICOLARI CONDIZIONI DI LAVORO ESERCIZIO 2008"/>
    <n v="0"/>
    <n v="0"/>
    <n v="0"/>
    <n v="0"/>
    <n v="0"/>
    <n v="0"/>
    <n v="0"/>
    <n v="0"/>
    <n v="0"/>
    <n v="0"/>
    <x v="229"/>
  </r>
  <r>
    <s v="2.04.11.03.0817"/>
    <s v="DEBITI VERSO PERSONALE  DIRIGENTE RUOLO AMMINISTRATIVO - INDENNITA DAPARTICOLARI CONDIZIONI DI LAVORO ESERCIZIO 2009"/>
    <n v="0"/>
    <n v="0"/>
    <n v="0"/>
    <n v="0"/>
    <n v="0"/>
    <n v="0"/>
    <n v="0"/>
    <n v="0"/>
    <n v="0"/>
    <n v="0"/>
    <x v="229"/>
  </r>
  <r>
    <s v="2.04.11.03.0818"/>
    <s v="DEBITI VERSO PERSONALE  DIRIGENTE RUOLO AMMINISTRATIVO - INDENNITA DAPARTICOLARI CONDIZIONI DI LAVORO ESERCIZIO 2010"/>
    <n v="0"/>
    <n v="0"/>
    <n v="0"/>
    <n v="0"/>
    <n v="0"/>
    <n v="0"/>
    <n v="0"/>
    <n v="0"/>
    <n v="0"/>
    <n v="0"/>
    <x v="229"/>
  </r>
  <r>
    <s v="2.04.11.03.0819"/>
    <s v="DEBITI VERSO PERSONALE  DIRIGENTE RUOLO AMMINISTRATIVO - INDENNITA DAPARTICOLARI CONDIZIONI DI LAVORO ESERCIZIO 2011"/>
    <n v="0"/>
    <n v="0"/>
    <n v="0"/>
    <n v="0"/>
    <n v="0"/>
    <n v="0"/>
    <n v="0"/>
    <n v="0"/>
    <n v="0"/>
    <n v="0"/>
    <x v="229"/>
  </r>
  <r>
    <s v="2.04.11.03.0820"/>
    <s v="DEBITI VERSO PERSONALE  DIRIGENTE RUOLO AMMINISTRATIVO - INDENNITA DAPARTICOLARI CONDIZIONI DI LAVORO ESERCIZIO 2012"/>
    <n v="0"/>
    <n v="0"/>
    <n v="0"/>
    <n v="0"/>
    <n v="0"/>
    <n v="0"/>
    <n v="0"/>
    <n v="0"/>
    <n v="0"/>
    <n v="0"/>
    <x v="229"/>
  </r>
  <r>
    <s v="2.04.11.03.0901"/>
    <s v="DEBITI VERSO PERSONALE  DIRIGENTE SANITARIO NON MEDICO -RETRIBUZIONE DI RISULTATO ESERCIZIO 2008"/>
    <n v="0"/>
    <n v="0"/>
    <n v="0"/>
    <n v="0"/>
    <n v="0"/>
    <n v="0"/>
    <n v="0"/>
    <n v="0"/>
    <n v="0"/>
    <n v="0"/>
    <x v="229"/>
  </r>
  <r>
    <s v="2.04.11.03.0902"/>
    <s v="DEBITI VERSO PERSONALE  DIRIGENTE SANITARIO NON MEDICO -RETRIBUZIONE DI RISULTATO ESERCIZIO 2009"/>
    <n v="0"/>
    <n v="0"/>
    <n v="0"/>
    <n v="0"/>
    <n v="0"/>
    <n v="0"/>
    <n v="0"/>
    <n v="0"/>
    <n v="0"/>
    <n v="0"/>
    <x v="229"/>
  </r>
  <r>
    <s v="2.04.11.03.0903"/>
    <s v="DEBITI VERSO PERSONALE  DIRIGENTE SANITARIO NON MEDICO - RETRIBUZIONE DI RISULTATO ESERCIZIO 2010"/>
    <n v="0"/>
    <n v="0"/>
    <n v="0"/>
    <n v="0"/>
    <n v="0"/>
    <n v="0"/>
    <n v="0"/>
    <n v="0"/>
    <n v="0"/>
    <n v="0"/>
    <x v="229"/>
  </r>
  <r>
    <s v="2.04.11.03.0904"/>
    <s v="DEBITI VERSO PERSONALE  DIRIGENTE SANITARIO NON MEDICO -RETRIBUZIONE DI RISULTATO ESERCIZIO 2011"/>
    <n v="0"/>
    <n v="0"/>
    <n v="0"/>
    <n v="0"/>
    <n v="0"/>
    <n v="0"/>
    <n v="0"/>
    <n v="0"/>
    <n v="0"/>
    <n v="0"/>
    <x v="229"/>
  </r>
  <r>
    <s v="2.04.11.03.0905"/>
    <s v="DEBITI VERSO PERSONALE  DIRIGENTE SANITARIO NON MEDICO - RETRIBUZIONE DI RISULTATO ESERCIZIO 2012"/>
    <n v="0"/>
    <n v="0"/>
    <n v="0"/>
    <n v="0"/>
    <n v="0"/>
    <n v="0"/>
    <n v="0"/>
    <n v="0"/>
    <n v="0"/>
    <n v="0"/>
    <x v="229"/>
  </r>
  <r>
    <s v="2.04.11.03.0906"/>
    <s v="DEBITI VERSO PERSONALE  DIRIGENTE RUOLO PROFESSIONALE -RETRIBUZIONE DI RISULTATO ESERCIZIO 2008"/>
    <n v="0"/>
    <n v="0"/>
    <n v="0"/>
    <n v="0"/>
    <n v="0"/>
    <n v="0"/>
    <n v="0"/>
    <n v="0"/>
    <n v="0"/>
    <n v="0"/>
    <x v="229"/>
  </r>
  <r>
    <s v="2.04.11.03.0907"/>
    <s v="DEBITI VERSO PERSONALE  DIRIGENTE RUOLO PROFESSIONALE - RETRIBUZIONE DI RISULTATO ESERCIZIO 2009"/>
    <n v="0"/>
    <n v="0"/>
    <n v="0"/>
    <n v="0"/>
    <n v="0"/>
    <n v="0"/>
    <n v="0"/>
    <n v="0"/>
    <n v="0"/>
    <n v="0"/>
    <x v="229"/>
  </r>
  <r>
    <s v="2.04.11.03.0908"/>
    <s v="DEBITI VERSO PERSONALE  DIRIGENTE RUOLO PROFESSIONALE - RETRIBUZIONE DI RISULTATO ESERCIZIO 2010"/>
    <n v="0"/>
    <n v="0"/>
    <n v="0"/>
    <n v="0"/>
    <n v="0"/>
    <n v="0"/>
    <n v="0"/>
    <n v="0"/>
    <n v="0"/>
    <n v="0"/>
    <x v="229"/>
  </r>
  <r>
    <s v="2.04.11.03.0909"/>
    <s v="DEBITI VERSO PERSONALE  DIRIGENTE RUOLO PROFESSIONALE - RETRIBUZIONE DI RISULTATO ESERCIZIO 2011"/>
    <n v="0"/>
    <n v="0"/>
    <n v="0"/>
    <n v="0"/>
    <n v="0"/>
    <n v="0"/>
    <n v="0"/>
    <n v="0"/>
    <n v="0"/>
    <n v="0"/>
    <x v="229"/>
  </r>
  <r>
    <s v="2.04.11.03.0910"/>
    <s v="DEBITI VERSO PERSONALE  DIRIGENTE RUOLO PROFESSIONALE - RETRIBUZIONE DI RISULTATO ESERCIZIO 2012"/>
    <n v="0"/>
    <n v="0"/>
    <n v="0"/>
    <n v="0"/>
    <n v="0"/>
    <n v="0"/>
    <n v="0"/>
    <n v="0"/>
    <n v="0"/>
    <n v="0"/>
    <x v="229"/>
  </r>
  <r>
    <s v="2.04.11.03.0911"/>
    <s v="DEBITI VERSO PERSONALE  DIRIGENTE RUOLO TECNICO - RETRIBUZIONE DI RISULTATO ESERCIZIO 2008"/>
    <n v="0"/>
    <n v="0"/>
    <n v="0"/>
    <n v="0"/>
    <n v="0"/>
    <n v="0"/>
    <n v="0"/>
    <n v="0"/>
    <n v="0"/>
    <n v="0"/>
    <x v="229"/>
  </r>
  <r>
    <s v="2.04.11.03.0912"/>
    <s v="DEBITI VERSO PERSONALE  DIRIGENTE RUOLO TECNICO - RETRIBUZIONE DI RISULTATO ESERCIZIO 2009"/>
    <n v="0"/>
    <n v="0"/>
    <n v="0"/>
    <n v="0"/>
    <n v="0"/>
    <n v="0"/>
    <n v="0"/>
    <n v="0"/>
    <n v="0"/>
    <n v="0"/>
    <x v="229"/>
  </r>
  <r>
    <s v="2.04.11.03.0913"/>
    <s v="DEBITI VERSO PERSONALE  DIRIGENTE RUOLO TECNICO - RETRIBUZIONE DI RISULTATO ESERCIZIO 2010"/>
    <n v="0"/>
    <n v="0"/>
    <n v="0"/>
    <n v="0"/>
    <n v="0"/>
    <n v="0"/>
    <n v="0"/>
    <n v="0"/>
    <n v="0"/>
    <n v="0"/>
    <x v="229"/>
  </r>
  <r>
    <s v="2.04.11.03.0914"/>
    <s v="DEBITI VERSO PERSONALE  DIRIGENTE RUOLO TECNICO - RETRIBUZIONE DI RISULTATO ESERCIZIO 2011"/>
    <n v="0"/>
    <n v="0"/>
    <n v="0"/>
    <n v="0"/>
    <n v="0"/>
    <n v="0"/>
    <n v="0"/>
    <n v="0"/>
    <n v="0"/>
    <n v="0"/>
    <x v="229"/>
  </r>
  <r>
    <s v="2.04.11.03.0915"/>
    <s v="DEBITI VERSO PERSONALE  DIRIGENTE RUOLO TECNICO - RETRIBUZIONE DI RISULTATO ESERCIZIO 2012"/>
    <n v="0"/>
    <n v="0"/>
    <n v="0"/>
    <n v="0"/>
    <n v="0"/>
    <n v="0"/>
    <n v="0"/>
    <n v="0"/>
    <n v="0"/>
    <n v="0"/>
    <x v="229"/>
  </r>
  <r>
    <s v="2.04.11.03.0916"/>
    <s v="DEBITI VERSO PERSONALE  DIRIGENTE RUOLO AMMINISTRATIVO  - RETRIBUZIONE DI RISULTATO ESERCIZIO 2008"/>
    <n v="0"/>
    <n v="0"/>
    <n v="0"/>
    <n v="0"/>
    <n v="0"/>
    <n v="0"/>
    <n v="0"/>
    <n v="0"/>
    <n v="0"/>
    <n v="0"/>
    <x v="229"/>
  </r>
  <r>
    <s v="2.04.11.03.0917"/>
    <s v="DEBITI VERSO PERSONALE  DIRIGENTE RUOLO AMMINISTRATIVO - RETRIBUZIONE DI RISULTATO ESERCIZIO 2009"/>
    <n v="0"/>
    <n v="0"/>
    <n v="0"/>
    <n v="0"/>
    <n v="0"/>
    <n v="0"/>
    <n v="0"/>
    <n v="0"/>
    <n v="0"/>
    <n v="0"/>
    <x v="229"/>
  </r>
  <r>
    <s v="2.04.11.03.0918"/>
    <s v="DEBITI VERSO PERSONALE  DIRIGENTE RUOLO AMMINISTRATIVO - RETRIBUZIONE DI RISULTATO ESERCIZIO 2010"/>
    <n v="0"/>
    <n v="0"/>
    <n v="0"/>
    <n v="0"/>
    <n v="0"/>
    <n v="0"/>
    <n v="0"/>
    <n v="0"/>
    <n v="0"/>
    <n v="0"/>
    <x v="229"/>
  </r>
  <r>
    <s v="2.04.11.03.0919"/>
    <s v="DEBITI VERSO PERSONALE  DIRIGENTE RUOLO AMMINISTRATIVO - RETRIBUZIONE DI RISULTATO ESERCIZIO 2011"/>
    <n v="0"/>
    <n v="0"/>
    <n v="0"/>
    <n v="0"/>
    <n v="0"/>
    <n v="0"/>
    <n v="0"/>
    <n v="0"/>
    <n v="0"/>
    <n v="0"/>
    <x v="229"/>
  </r>
  <r>
    <s v="2.04.11.03.0920"/>
    <s v="DEBITI VERSO PERSONALE  DIRIGENTE RUOLO AMMINISTRATIVO - RETRIBUZIONE DI RISULTATO ESERCIZIO 2012"/>
    <n v="0"/>
    <n v="0"/>
    <n v="0"/>
    <n v="0"/>
    <n v="0"/>
    <n v="0"/>
    <n v="0"/>
    <n v="0"/>
    <n v="0"/>
    <n v="0"/>
    <x v="229"/>
  </r>
  <r>
    <s v="2.04.11.03.1001"/>
    <s v="DEBITI VERSO PERSONALE  DIRIGENTE SANITARIO NON MEDICO -ALTRI COSTI DEL PERSONALE ESERCIZIO 2008"/>
    <n v="0"/>
    <n v="0"/>
    <n v="0"/>
    <n v="0"/>
    <n v="0"/>
    <n v="0"/>
    <n v="0"/>
    <n v="0"/>
    <n v="0"/>
    <n v="0"/>
    <x v="229"/>
  </r>
  <r>
    <s v="2.04.11.03.1002"/>
    <s v="DEBITI VERSO PERSONALE  DIRIGENTE SANITARIO NON MEDICO -ALTRI COSTI DEL PERSONALE ESERCIZIO 2009"/>
    <n v="0"/>
    <n v="0"/>
    <n v="0"/>
    <n v="0"/>
    <n v="0"/>
    <n v="0"/>
    <n v="0"/>
    <n v="0"/>
    <n v="0"/>
    <n v="0"/>
    <x v="229"/>
  </r>
  <r>
    <s v="2.04.11.03.1003"/>
    <s v="DEBITI VERSO PERSONALE  DIRIGENTE SANITARIO NON MEDICO - ALTRI COSTI DEL PERSONALE ESERCIZIO 2010"/>
    <n v="0"/>
    <n v="0"/>
    <n v="0"/>
    <n v="0"/>
    <n v="0"/>
    <n v="0"/>
    <n v="0"/>
    <n v="0"/>
    <n v="0"/>
    <n v="0"/>
    <x v="229"/>
  </r>
  <r>
    <s v="2.04.11.03.1004"/>
    <s v="DEBITI VERSO PERSONALE  DIRIGENTE SANITARIO NON MEDICO -ALTRI COSTI DEL PERSONALE ESERCIZIO 2011"/>
    <n v="0"/>
    <n v="0"/>
    <n v="0"/>
    <n v="0"/>
    <n v="0"/>
    <n v="0"/>
    <n v="0"/>
    <n v="0"/>
    <n v="0"/>
    <n v="0"/>
    <x v="229"/>
  </r>
  <r>
    <s v="2.04.11.03.1005"/>
    <s v="DEBITI VERSO PERSONALE  DIRIGENTE SANITARIO NON MEDICO - ALTRI COSTI DEL PERSONALE ESERCIZIO 2012"/>
    <n v="0"/>
    <n v="0"/>
    <n v="0"/>
    <n v="0"/>
    <n v="0"/>
    <n v="0"/>
    <n v="0"/>
    <n v="0"/>
    <n v="0"/>
    <n v="0"/>
    <x v="229"/>
  </r>
  <r>
    <s v="2.04.11.03.1006"/>
    <s v="DEBITI VERSO PERSONALE  DIRIGENTE RUOLO PROFESSIONALE -ALTRI COSTI DEL PERSONALE ESERCIZIO 2008"/>
    <n v="0"/>
    <n v="0"/>
    <n v="0"/>
    <n v="0"/>
    <n v="0"/>
    <n v="0"/>
    <n v="0"/>
    <n v="0"/>
    <n v="0"/>
    <n v="0"/>
    <x v="229"/>
  </r>
  <r>
    <s v="2.04.11.03.1007"/>
    <s v="DEBITI VERSO PERSONALE  DIRIGENTE RUOLO PROFESSIONALE - ALTRI COSTI DEL PERSONALE ESERCIZIO 2009"/>
    <n v="0"/>
    <n v="0"/>
    <n v="0"/>
    <n v="0"/>
    <n v="0"/>
    <n v="0"/>
    <n v="0"/>
    <n v="0"/>
    <n v="0"/>
    <n v="0"/>
    <x v="229"/>
  </r>
  <r>
    <s v="2.04.11.03.1008"/>
    <s v="DEBITI VERSO PERSONALE  DIRIGENTE RUOLO PROFESSIONALE - ALTRI COSTI DEL PERSONALE ESERCIZIO 2010"/>
    <n v="0"/>
    <n v="0"/>
    <n v="0"/>
    <n v="0"/>
    <n v="0"/>
    <n v="0"/>
    <n v="0"/>
    <n v="0"/>
    <n v="0"/>
    <n v="0"/>
    <x v="229"/>
  </r>
  <r>
    <s v="2.04.11.03.1009"/>
    <s v="DEBITI VERSO PERSONALE  DIRIGENTE RUOLO PROFESSIONALE - ALTRI COSTI DEL PERSONALE ESERCIZIO 2011"/>
    <n v="0"/>
    <n v="0"/>
    <n v="0"/>
    <n v="0"/>
    <n v="0"/>
    <n v="0"/>
    <n v="0"/>
    <n v="0"/>
    <n v="0"/>
    <n v="0"/>
    <x v="229"/>
  </r>
  <r>
    <s v="2.04.11.03.1010"/>
    <s v="DEBITI VERSO PERSONALE  DIRIGENTE RUOLO PROFESSIONALE - ALTRI COSTI DEL PERSONALE ESERCIZIO 2012"/>
    <n v="0"/>
    <n v="0"/>
    <n v="0"/>
    <n v="0"/>
    <n v="0"/>
    <n v="0"/>
    <n v="0"/>
    <n v="0"/>
    <n v="0"/>
    <n v="0"/>
    <x v="229"/>
  </r>
  <r>
    <s v="2.04.11.03.1011"/>
    <s v="DEBITI VERSO PERSONALE  DIRIGENTE RUOLO TECNICO - ALTRI COSTI DEL PERSONALE ESERCIZIO 2008"/>
    <n v="0"/>
    <n v="0"/>
    <n v="0"/>
    <n v="0"/>
    <n v="0"/>
    <n v="0"/>
    <n v="0"/>
    <n v="0"/>
    <n v="0"/>
    <n v="0"/>
    <x v="229"/>
  </r>
  <r>
    <s v="2.04.11.03.1012"/>
    <s v="DEBITI VERSO PERSONALE  DIRIGENTE RUOLO TECNICO - ALTRI COSTI DEL PERSONALE ESERCIZIO 2009"/>
    <n v="0"/>
    <n v="0"/>
    <n v="0"/>
    <n v="0"/>
    <n v="0"/>
    <n v="0"/>
    <n v="0"/>
    <n v="0"/>
    <n v="0"/>
    <n v="0"/>
    <x v="229"/>
  </r>
  <r>
    <s v="2.04.11.03.1013"/>
    <s v="DEBITI VERSO PERSONALE  DIRIGENTE RUOLO TECNICO - ALTRI COSTI DEL PERSONALE ESERCIZIO 2010"/>
    <n v="0"/>
    <n v="0"/>
    <n v="0"/>
    <n v="0"/>
    <n v="0"/>
    <n v="0"/>
    <n v="0"/>
    <n v="0"/>
    <n v="0"/>
    <n v="0"/>
    <x v="229"/>
  </r>
  <r>
    <s v="2.04.11.03.1014"/>
    <s v="DEBITI VERSO PERSONALE  DIRIGENTE RUOLO TECNICO - ALTRI COSTI DEL PERSONALE ESERCIZIO 2011"/>
    <n v="0"/>
    <n v="0"/>
    <n v="0"/>
    <n v="0"/>
    <n v="0"/>
    <n v="0"/>
    <n v="0"/>
    <n v="0"/>
    <n v="0"/>
    <n v="0"/>
    <x v="229"/>
  </r>
  <r>
    <s v="2.04.11.03.1015"/>
    <s v="DEBITI VERSO PERSONALE  DIRIGENTE RUOLO TECNICO - ALTRI COSTI DEL PERSONALE ESERCIZIO 2012"/>
    <n v="0"/>
    <n v="0"/>
    <n v="0"/>
    <n v="0"/>
    <n v="0"/>
    <n v="0"/>
    <n v="0"/>
    <n v="0"/>
    <n v="0"/>
    <n v="0"/>
    <x v="229"/>
  </r>
  <r>
    <s v="2.04.11.03.1016"/>
    <s v="DEBITI VERSO PERSONALE  DIRIGENTE RUOLO AMMINISTRATIVO  - ALTRI COSTI DEL PERSONALE ESERCIZIO 2008"/>
    <n v="0"/>
    <n v="0"/>
    <n v="0"/>
    <n v="0"/>
    <n v="0"/>
    <n v="0"/>
    <n v="0"/>
    <n v="0"/>
    <n v="0"/>
    <n v="0"/>
    <x v="229"/>
  </r>
  <r>
    <s v="2.04.11.03.1017"/>
    <s v="DEBITI VERSO PERSONALE  DIRIGENTE RUOLO AMMINISTRATIVO - ALTRI COSTI DEL PERSONALE ESERCIZIO 2009"/>
    <n v="0"/>
    <n v="0"/>
    <n v="0"/>
    <n v="0"/>
    <n v="0"/>
    <n v="0"/>
    <n v="0"/>
    <n v="0"/>
    <n v="0"/>
    <n v="0"/>
    <x v="229"/>
  </r>
  <r>
    <s v="2.04.11.03.1018"/>
    <s v="DEBITI VERSO PERSONALE  DIRIGENTE RUOLO AMMINISTRATIVO - ALTRI COSTI DEL PERSONALE ESERCIZIO 2010"/>
    <n v="0"/>
    <n v="0"/>
    <n v="0"/>
    <n v="0"/>
    <n v="0"/>
    <n v="0"/>
    <n v="0"/>
    <n v="0"/>
    <n v="0"/>
    <n v="0"/>
    <x v="229"/>
  </r>
  <r>
    <s v="2.04.11.03.1019"/>
    <s v="DEBITI PER RETRIB FONDI DIR. SANITARIA ANNO 2011 ED ANTE"/>
    <n v="0"/>
    <n v="0"/>
    <n v="0"/>
    <n v="0"/>
    <n v="0"/>
    <n v="0"/>
    <n v="0"/>
    <n v="0"/>
    <n v="0"/>
    <n v="0"/>
    <x v="229"/>
  </r>
  <r>
    <s v="2.04.11.03.1020"/>
    <s v="DEBITI PER RETRIB FONDI DIR. SANITARIA ANNO 2012"/>
    <n v="0"/>
    <n v="0"/>
    <n v="0"/>
    <n v="0"/>
    <n v="0"/>
    <n v="0"/>
    <n v="0"/>
    <n v="0"/>
    <n v="0"/>
    <n v="0"/>
    <x v="229"/>
  </r>
  <r>
    <s v="2.04.11.03.1021"/>
    <s v="DEBITI PER RETRIB FONDI DIR. SANITARIA ANNO 2013"/>
    <n v="0"/>
    <n v="0"/>
    <n v="0"/>
    <n v="0"/>
    <n v="0"/>
    <n v="0"/>
    <n v="0"/>
    <n v="0"/>
    <n v="0"/>
    <n v="0"/>
    <x v="229"/>
  </r>
  <r>
    <s v="2.04.11.03.1022"/>
    <s v="DEBITI PER RETRIB FONDI DIR. SANITARIA ANNO 2014"/>
    <n v="0"/>
    <n v="0"/>
    <n v="0"/>
    <n v="0"/>
    <n v="0"/>
    <n v="0"/>
    <n v="0"/>
    <n v="0"/>
    <n v="0"/>
    <n v="0"/>
    <x v="229"/>
  </r>
  <r>
    <s v="2.04.11.03.1023"/>
    <s v="DEBITI PER RETRIB FONDI DIR. SANITARIA ANNO 2015"/>
    <n v="0"/>
    <n v="0"/>
    <n v="0"/>
    <n v="0"/>
    <n v="0"/>
    <n v="0"/>
    <n v="0"/>
    <n v="0"/>
    <n v="0"/>
    <n v="0"/>
    <x v="229"/>
  </r>
  <r>
    <s v="2.04.11.03.1024"/>
    <s v="DEBITI PER RETRIB FONDI DIR. A.T.P.ANNO 2011 ED ANTE"/>
    <n v="0"/>
    <n v="0"/>
    <n v="0"/>
    <n v="0"/>
    <n v="0"/>
    <n v="0"/>
    <n v="0"/>
    <n v="0"/>
    <n v="0"/>
    <n v="0"/>
    <x v="229"/>
  </r>
  <r>
    <s v="2.04.11.03.1025"/>
    <s v="DEBITI PER RETRIB FONDI DIR. A.T.P. ANNO 2012"/>
    <n v="0"/>
    <n v="0"/>
    <n v="0"/>
    <n v="0"/>
    <n v="0"/>
    <n v="0"/>
    <n v="0"/>
    <n v="0"/>
    <n v="0"/>
    <n v="0"/>
    <x v="229"/>
  </r>
  <r>
    <s v="2.04.11.03.1026"/>
    <s v="DEBITI PER RETRIB FONDI DIR. A.T.P. ANNO 2013"/>
    <n v="0"/>
    <n v="0"/>
    <n v="0"/>
    <n v="0"/>
    <n v="0"/>
    <n v="0"/>
    <n v="0"/>
    <n v="0"/>
    <n v="0"/>
    <n v="0"/>
    <x v="229"/>
  </r>
  <r>
    <s v="2.04.11.03.1027"/>
    <s v="DEBITI PER RETRIB FONDI DIR. A.T.P. ANNO 2014"/>
    <n v="0"/>
    <n v="80921.64"/>
    <n v="80921.64"/>
    <n v="80921.64"/>
    <n v="0"/>
    <n v="0"/>
    <n v="0"/>
    <n v="80921.64"/>
    <n v="80921.64"/>
    <n v="0"/>
    <x v="229"/>
  </r>
  <r>
    <s v="2.04.11.03.1028"/>
    <s v="DEBITI PER RETRIB FONDI DIR. A.T.P.  ANNO 2015"/>
    <n v="0"/>
    <n v="154864.24"/>
    <n v="154864.24"/>
    <n v="154864.24"/>
    <n v="0"/>
    <n v="0"/>
    <n v="0"/>
    <n v="154864.24"/>
    <n v="154864.24"/>
    <n v="0"/>
    <x v="229"/>
  </r>
  <r>
    <s v="2.04.11.03.1029"/>
    <s v="DEBITI PER RETRIB FONDI COMPARTO A.T.P.S. ANNO 2011 ED ANTE"/>
    <n v="0"/>
    <n v="0"/>
    <n v="0"/>
    <n v="0"/>
    <n v="0"/>
    <n v="0"/>
    <n v="0"/>
    <n v="0"/>
    <n v="0"/>
    <n v="0"/>
    <x v="229"/>
  </r>
  <r>
    <s v="2.04.11.03.1030"/>
    <s v="DEBITI PER RETRIB FONDI COMPARTO A.T.P.S. ANNO 2012"/>
    <n v="0"/>
    <n v="0"/>
    <n v="0"/>
    <n v="0"/>
    <n v="0"/>
    <n v="0"/>
    <n v="0"/>
    <n v="0"/>
    <n v="0"/>
    <n v="0"/>
    <x v="229"/>
  </r>
  <r>
    <s v="2.04.11.03.1031"/>
    <s v="DEBITI PER RETRIB FONDI COMPARTO A.T.P.S. ANNO 2013"/>
    <n v="0"/>
    <n v="0"/>
    <n v="0"/>
    <n v="0"/>
    <n v="0"/>
    <n v="0"/>
    <n v="0"/>
    <n v="0"/>
    <n v="0"/>
    <n v="0"/>
    <x v="229"/>
  </r>
  <r>
    <s v="2.04.11.03.1032"/>
    <s v="DEBITI PER RETRIB FONDI COMPARTO A.T.P.S. ANNO 2014"/>
    <n v="0"/>
    <n v="0"/>
    <n v="0"/>
    <n v="0"/>
    <n v="0"/>
    <n v="0"/>
    <n v="0"/>
    <n v="0"/>
    <n v="0"/>
    <n v="0"/>
    <x v="229"/>
  </r>
  <r>
    <s v="2.04.11.03.1033"/>
    <s v="DEBITI PER RETRIB FONDI COMPARTO A.T.P.S. ANNO 2015"/>
    <n v="0"/>
    <n v="0"/>
    <n v="0"/>
    <n v="0"/>
    <n v="0"/>
    <n v="0"/>
    <n v="0"/>
    <n v="0"/>
    <n v="0"/>
    <n v="0"/>
    <x v="229"/>
  </r>
  <r>
    <s v="2.04.11.03.1034"/>
    <s v="DEBITI PER RETRIB FONDI DIR. SANITARIA ANNO 2016"/>
    <n v="0"/>
    <n v="0"/>
    <n v="0"/>
    <n v="0"/>
    <n v="0"/>
    <n v="0"/>
    <n v="0"/>
    <n v="0"/>
    <n v="0"/>
    <n v="0"/>
    <x v="229"/>
  </r>
  <r>
    <s v="2.04.11.03.1035"/>
    <s v="DEBITI PER RETRIB FONDI DIR. A.T.P. ANNO 2016"/>
    <n v="0"/>
    <n v="18941.98"/>
    <n v="18941.98"/>
    <n v="18941.98"/>
    <n v="0"/>
    <n v="0"/>
    <n v="0"/>
    <n v="18941.98"/>
    <n v="18941.98"/>
    <n v="0"/>
    <x v="229"/>
  </r>
  <r>
    <s v="2.04.11.03.1036"/>
    <s v="DEBITI PER RETRIB FONDI COMPARTO A.T.P.S. ANNO 2016"/>
    <n v="0"/>
    <n v="0"/>
    <n v="0"/>
    <n v="0"/>
    <n v="0"/>
    <n v="0"/>
    <n v="0"/>
    <n v="0"/>
    <n v="0"/>
    <n v="0"/>
    <x v="229"/>
  </r>
  <r>
    <s v="2.04.11.03.1037"/>
    <s v="DEBITI PER FONDI DIR. SANITARIA ANN0 2017"/>
    <n v="0"/>
    <n v="0"/>
    <n v="0"/>
    <n v="0"/>
    <n v="0"/>
    <n v="0"/>
    <n v="0"/>
    <n v="0"/>
    <n v="0"/>
    <n v="0"/>
    <x v="229"/>
  </r>
  <r>
    <s v="2.04.11.03.1038"/>
    <s v="DEBITI PER FONDI DIR. SANITARIA ANN0 2018"/>
    <n v="0"/>
    <n v="90918.41"/>
    <n v="90918.41"/>
    <n v="90918.41"/>
    <n v="0"/>
    <n v="0"/>
    <n v="0"/>
    <n v="90918.41"/>
    <n v="90918.41"/>
    <n v="0"/>
    <x v="229"/>
  </r>
  <r>
    <s v="2.04.11.03.1039"/>
    <s v="DEBITI PER RETRIB FONDI DIR. A.T.P. ANNO 2018"/>
    <n v="0"/>
    <n v="354755.5"/>
    <n v="354755.5"/>
    <n v="354755.5"/>
    <n v="0"/>
    <n v="0"/>
    <n v="0"/>
    <n v="354755.5"/>
    <n v="354755.5"/>
    <n v="0"/>
    <x v="229"/>
  </r>
  <r>
    <s v="2.04.11.03.1040"/>
    <s v="DEBITI PER RETRIB FONDI COMPARTO A.T.P.S ANNO 2018"/>
    <n v="0"/>
    <n v="0"/>
    <n v="0"/>
    <n v="0"/>
    <n v="0"/>
    <n v="0"/>
    <n v="0"/>
    <n v="0"/>
    <n v="0"/>
    <n v="0"/>
    <x v="229"/>
  </r>
  <r>
    <s v="2.04.11.03.1041"/>
    <s v="DEBITI PER RETRIB FONDI DIR. A.T.P. ANNO 2017"/>
    <n v="0"/>
    <n v="91666.8"/>
    <n v="91666.8"/>
    <n v="91666.8"/>
    <n v="0"/>
    <n v="0"/>
    <n v="0"/>
    <n v="91666.8"/>
    <n v="91666.8"/>
    <n v="0"/>
    <x v="229"/>
  </r>
  <r>
    <s v="2.04.11.03.1042"/>
    <s v="DEBITI PER FONDI DIR. SANITARIA ANN0 2019"/>
    <n v="0"/>
    <n v="34950.65"/>
    <n v="34950.65"/>
    <n v="0"/>
    <n v="0"/>
    <n v="0"/>
    <n v="0"/>
    <n v="0"/>
    <n v="34950.65"/>
    <n v="-34950.65"/>
    <x v="229"/>
  </r>
  <r>
    <s v="2.04.11.03.1043"/>
    <s v="DEBITI PER RETRIB FONDI DIR. A.T.P. ANNO 2019"/>
    <n v="0"/>
    <n v="581537.35"/>
    <n v="581537.35"/>
    <n v="14343.47"/>
    <n v="0"/>
    <n v="0"/>
    <n v="0"/>
    <n v="14343.47"/>
    <n v="581537.35"/>
    <n v="-567193.88"/>
    <x v="229"/>
  </r>
  <r>
    <s v="2.04.11.03.1044"/>
    <s v="DEBITI PER RETRIB FONDI DIR. A.T.P. ANNO 2020"/>
    <n v="0"/>
    <n v="550712.66"/>
    <n v="550712.66"/>
    <n v="0"/>
    <n v="0"/>
    <n v="0"/>
    <n v="0"/>
    <n v="0"/>
    <n v="550712.66"/>
    <n v="-550712.66"/>
    <x v="229"/>
  </r>
  <r>
    <s v="2.04.11.03.1045"/>
    <s v="DEBITI PER FONDI DIR. SANITARIA ANN0 2020"/>
    <n v="0"/>
    <n v="0"/>
    <n v="0"/>
    <n v="0"/>
    <n v="0"/>
    <n v="0"/>
    <n v="0"/>
    <n v="0"/>
    <n v="0"/>
    <n v="0"/>
    <x v="229"/>
  </r>
  <r>
    <s v="2.04.11.03.1046"/>
    <s v="DEBITI PER FONDI DIR. SANITARIA ANN0 2021"/>
    <n v="0"/>
    <n v="732690.84"/>
    <n v="732690.84"/>
    <n v="0"/>
    <n v="0"/>
    <n v="0"/>
    <n v="0"/>
    <n v="0"/>
    <n v="732690.84"/>
    <n v="-732690.84"/>
    <x v="229"/>
  </r>
  <r>
    <s v="2.04.11.03.1047"/>
    <s v="DEBITI PER RETRIB FONDI DIR. A.T.P. ANNO 2021"/>
    <n v="0"/>
    <n v="433222.69"/>
    <n v="433222.69"/>
    <n v="0"/>
    <n v="0"/>
    <n v="0"/>
    <n v="0"/>
    <n v="0"/>
    <n v="433222.69"/>
    <n v="-433222.69"/>
    <x v="229"/>
  </r>
  <r>
    <s v="2.04.11.03.1048"/>
    <s v="DEBITI PER FONDI DIR. SANITARIA ANN0 2022"/>
    <n v="0"/>
    <n v="743758.08"/>
    <n v="743758.08"/>
    <n v="10951.43"/>
    <n v="499.29"/>
    <n v="0"/>
    <n v="0"/>
    <n v="10951.43"/>
    <n v="744257.37"/>
    <n v="-733305.94"/>
    <x v="229"/>
  </r>
  <r>
    <s v="2.04.11.03.1049"/>
    <s v="DEBITI PER FONDI DIR. A.T.P. ANNO 2022"/>
    <n v="0"/>
    <n v="561684.19999999995"/>
    <n v="561684.19999999995"/>
    <n v="1186.92"/>
    <n v="0"/>
    <n v="0"/>
    <n v="0"/>
    <n v="1186.92"/>
    <n v="561684.19999999995"/>
    <n v="-560497.28"/>
    <x v="229"/>
  </r>
  <r>
    <s v="2.04.11.03.1050"/>
    <s v="DEBITI PER FONDI DIR. SANITARIA ANN0 2023"/>
    <n v="0"/>
    <n v="0"/>
    <n v="0"/>
    <n v="1250882.83"/>
    <n v="7321121"/>
    <n v="0"/>
    <n v="0"/>
    <n v="1250882.83"/>
    <n v="7321121"/>
    <n v="-6070238.1699999999"/>
    <x v="229"/>
  </r>
  <r>
    <s v="2.04.11.03.1051"/>
    <s v="DEBITI PER FONDI DIR. A.T.P. ANNO 2023"/>
    <n v="0"/>
    <n v="0"/>
    <n v="0"/>
    <n v="1310229.29"/>
    <n v="1956443.23"/>
    <n v="0"/>
    <n v="0"/>
    <n v="1310229.29"/>
    <n v="1956443.23"/>
    <n v="-646213.93999999994"/>
    <x v="229"/>
  </r>
  <r>
    <s v="2.04.11.03.1101"/>
    <s v="DEBITI PER RETRIB FONDI DIR. A.T.P. ANNO 2017"/>
    <n v="0"/>
    <n v="0"/>
    <n v="0"/>
    <n v="0"/>
    <n v="0"/>
    <n v="0"/>
    <n v="0"/>
    <n v="0"/>
    <n v="0"/>
    <n v="0"/>
    <x v="229"/>
  </r>
  <r>
    <s v="2.04.11.03.1102"/>
    <s v="DEBITI PER RETRIB FONDI COMPARTOA.T.P.S ANNO 2017"/>
    <n v="0"/>
    <n v="0"/>
    <n v="0"/>
    <n v="0"/>
    <n v="0"/>
    <n v="0"/>
    <n v="0"/>
    <n v="0"/>
    <n v="0"/>
    <n v="0"/>
    <x v="229"/>
  </r>
  <r>
    <s v="2.04.11.03.1103"/>
    <s v="DEBITI VERSO PERSONALE COMPARTO TECNICO - COMPETENZE FISSE ESERCIZIO 2008"/>
    <n v="0"/>
    <n v="0"/>
    <n v="0"/>
    <n v="0"/>
    <n v="0"/>
    <n v="0"/>
    <n v="0"/>
    <n v="0"/>
    <n v="0"/>
    <n v="0"/>
    <x v="229"/>
  </r>
  <r>
    <s v="2.04.11.03.1104"/>
    <s v="DEBITI VERSO PERSONALE COMPARTO AMINISTRATIVO - COMPETENZE FISSE ESERCIZIO 2008"/>
    <n v="0"/>
    <n v="0"/>
    <n v="0"/>
    <n v="0"/>
    <n v="0"/>
    <n v="0"/>
    <n v="0"/>
    <n v="0"/>
    <n v="0"/>
    <n v="0"/>
    <x v="229"/>
  </r>
  <r>
    <s v="2.04.11.03.1105"/>
    <s v="DEBITI VERSO PERSONALE COMPARTO SANITARIO - COMPETENZE FISSE ESERCIZIO 2009"/>
    <n v="0"/>
    <n v="0"/>
    <n v="0"/>
    <n v="0"/>
    <n v="0"/>
    <n v="0"/>
    <n v="0"/>
    <n v="0"/>
    <n v="0"/>
    <n v="0"/>
    <x v="229"/>
  </r>
  <r>
    <s v="2.04.11.03.1106"/>
    <s v="DEBITI VERSO PERSONALE COMPARTO PROFESSIONALE  - COMPETENZE FISSE ESERCIZIO 2009"/>
    <n v="0"/>
    <n v="0"/>
    <n v="0"/>
    <n v="0"/>
    <n v="0"/>
    <n v="0"/>
    <n v="0"/>
    <n v="0"/>
    <n v="0"/>
    <n v="0"/>
    <x v="229"/>
  </r>
  <r>
    <s v="2.04.11.03.1107"/>
    <s v="DEBITI VERSO PERSONALE COMPARTO TECNICO - COMPETENZE FISSE ESERCIZIO 2009"/>
    <n v="0"/>
    <n v="0"/>
    <n v="0"/>
    <n v="0"/>
    <n v="0"/>
    <n v="0"/>
    <n v="0"/>
    <n v="0"/>
    <n v="0"/>
    <n v="0"/>
    <x v="229"/>
  </r>
  <r>
    <s v="2.04.11.03.1108"/>
    <s v="DEBITI VERSO PERSONALE COMPARTO AMINISTRATIVO - COMPETENZE FISSE ESERCIZIO 2009"/>
    <n v="0"/>
    <n v="0"/>
    <n v="0"/>
    <n v="0"/>
    <n v="0"/>
    <n v="0"/>
    <n v="0"/>
    <n v="0"/>
    <n v="0"/>
    <n v="0"/>
    <x v="229"/>
  </r>
  <r>
    <s v="2.04.11.03.1109"/>
    <s v="DEBITI VERSO PERSONALE COMPARTO SANITARIO - COMPETENZE FISSE ESERCIZIO 2010"/>
    <n v="0"/>
    <n v="0"/>
    <n v="0"/>
    <n v="0"/>
    <n v="0"/>
    <n v="0"/>
    <n v="0"/>
    <n v="0"/>
    <n v="0"/>
    <n v="0"/>
    <x v="229"/>
  </r>
  <r>
    <s v="2.04.11.03.1110"/>
    <s v="DEBITI VERSO PERSONALE COMPARTO PROFESSIONALE  - COMPETENZE FISSE ESERCIZIO 2010"/>
    <n v="0"/>
    <n v="0"/>
    <n v="0"/>
    <n v="0"/>
    <n v="0"/>
    <n v="0"/>
    <n v="0"/>
    <n v="0"/>
    <n v="0"/>
    <n v="0"/>
    <x v="229"/>
  </r>
  <r>
    <s v="2.04.11.03.1111"/>
    <s v="DEBITI VERSO PERSONALE COMPARTO TECNICO - COMPETENZE FISSE ESERCIZIO 2010"/>
    <n v="0"/>
    <n v="0"/>
    <n v="0"/>
    <n v="0"/>
    <n v="0"/>
    <n v="0"/>
    <n v="0"/>
    <n v="0"/>
    <n v="0"/>
    <n v="0"/>
    <x v="229"/>
  </r>
  <r>
    <s v="2.04.11.03.1112"/>
    <s v="DEBITI VERSO PERSONALE COMPARTO AMINISTRATIVO - COMPETENZE FISSE ESERCIZIO 2010"/>
    <n v="0"/>
    <n v="0"/>
    <n v="0"/>
    <n v="0"/>
    <n v="0"/>
    <n v="0"/>
    <n v="0"/>
    <n v="0"/>
    <n v="0"/>
    <n v="0"/>
    <x v="229"/>
  </r>
  <r>
    <s v="2.04.11.03.1113"/>
    <s v="DEBITI VERSO PERSONALE COMPARTO SANITARIO - COMPETENZE FISSE ESERCIZIO 2011"/>
    <n v="0"/>
    <n v="0"/>
    <n v="0"/>
    <n v="0"/>
    <n v="0"/>
    <n v="0"/>
    <n v="0"/>
    <n v="0"/>
    <n v="0"/>
    <n v="0"/>
    <x v="229"/>
  </r>
  <r>
    <s v="2.04.11.03.1114"/>
    <s v="DEBITI VERSO PERSONALE COMPARTO PROFESSIONALE  - COMPETENZE FISSE ESERCIZIO 2011"/>
    <n v="0"/>
    <n v="0"/>
    <n v="0"/>
    <n v="0"/>
    <n v="0"/>
    <n v="0"/>
    <n v="0"/>
    <n v="0"/>
    <n v="0"/>
    <n v="0"/>
    <x v="229"/>
  </r>
  <r>
    <s v="2.04.11.03.1115"/>
    <s v="DEBITI VERSO PERSONALE COMPARTO TECNICO - COMPETENZE FISSE ESERCIZIO 2011"/>
    <n v="0"/>
    <n v="0"/>
    <n v="0"/>
    <n v="0"/>
    <n v="0"/>
    <n v="0"/>
    <n v="0"/>
    <n v="0"/>
    <n v="0"/>
    <n v="0"/>
    <x v="229"/>
  </r>
  <r>
    <s v="2.04.11.03.1116"/>
    <s v="DEBITI VERSO PERSONALE COMPARTO AMINISTRATIVO - COMPETENZE FISSE ESERCIZIO 2011"/>
    <n v="0"/>
    <n v="0"/>
    <n v="0"/>
    <n v="0"/>
    <n v="0"/>
    <n v="0"/>
    <n v="0"/>
    <n v="0"/>
    <n v="0"/>
    <n v="0"/>
    <x v="229"/>
  </r>
  <r>
    <s v="2.04.11.03.1117"/>
    <s v="DEBITI VERSO PERSONALE COMPARTO SANITARIO - COMPETENZE FISSE ESERCIZIO 2012"/>
    <n v="0"/>
    <n v="0"/>
    <n v="0"/>
    <n v="0"/>
    <n v="0"/>
    <n v="0"/>
    <n v="0"/>
    <n v="0"/>
    <n v="0"/>
    <n v="0"/>
    <x v="229"/>
  </r>
  <r>
    <s v="2.04.11.03.1118"/>
    <s v="DEBITI VERSO PERSONALE COMPARTO PROFESSIONALE  - COMPETENZE FISSE ESERCIZIO 2012"/>
    <n v="0"/>
    <n v="0"/>
    <n v="0"/>
    <n v="0"/>
    <n v="0"/>
    <n v="0"/>
    <n v="0"/>
    <n v="0"/>
    <n v="0"/>
    <n v="0"/>
    <x v="229"/>
  </r>
  <r>
    <s v="2.04.11.03.1119"/>
    <s v="DEBITI VERSO PERSONALE COMPARTO TECNICO - COMPETENZE FISSE ESERCIZIO 2012"/>
    <n v="0"/>
    <n v="0"/>
    <n v="0"/>
    <n v="0"/>
    <n v="0"/>
    <n v="0"/>
    <n v="0"/>
    <n v="0"/>
    <n v="0"/>
    <n v="0"/>
    <x v="229"/>
  </r>
  <r>
    <s v="2.04.11.03.1120"/>
    <s v="DEBITI VERSO PERSONALE COMPARTO AMINISTRATIVO - COMPETENZE FISSE ESERCIZIO 2012"/>
    <n v="0"/>
    <n v="0"/>
    <n v="0"/>
    <n v="0"/>
    <n v="0"/>
    <n v="0"/>
    <n v="0"/>
    <n v="0"/>
    <n v="0"/>
    <n v="0"/>
    <x v="229"/>
  </r>
  <r>
    <s v="2.04.11.03.1121"/>
    <s v="DEBITI VERSO PERSONALE COMPARTO SANITARIO - COMPETENZE FISSE ESERCIZIO 2013"/>
    <n v="0"/>
    <n v="0"/>
    <n v="0"/>
    <n v="0"/>
    <n v="0"/>
    <n v="0"/>
    <n v="0"/>
    <n v="0"/>
    <n v="0"/>
    <n v="0"/>
    <x v="229"/>
  </r>
  <r>
    <s v="2.04.11.03.1122"/>
    <s v="DEBITI VERSO PERSONALE COMPARTO PROFESSIONALE - COMPETENZE FISSE ESERCIZIO 2013"/>
    <n v="0"/>
    <n v="0"/>
    <n v="0"/>
    <n v="0"/>
    <n v="0"/>
    <n v="0"/>
    <n v="0"/>
    <n v="0"/>
    <n v="0"/>
    <n v="0"/>
    <x v="229"/>
  </r>
  <r>
    <s v="2.04.11.03.1123"/>
    <s v="DEBITI VERSO PERSONALE COMPARTO TECNICO - COMPETENZE FISSE ESERCIZIO 2013"/>
    <n v="0"/>
    <n v="0"/>
    <n v="0"/>
    <n v="0"/>
    <n v="0"/>
    <n v="0"/>
    <n v="0"/>
    <n v="0"/>
    <n v="0"/>
    <n v="0"/>
    <x v="229"/>
  </r>
  <r>
    <s v="2.04.11.03.1124"/>
    <s v="DEBITI VERSO PERSONALE COMPARTO AMMINISTRATIVO - COMPETENZE FISSE ESERCIZIO 2013"/>
    <n v="0"/>
    <n v="0"/>
    <n v="0"/>
    <n v="0"/>
    <n v="0"/>
    <n v="0"/>
    <n v="0"/>
    <n v="0"/>
    <n v="0"/>
    <n v="0"/>
    <x v="229"/>
  </r>
  <r>
    <s v="2.04.11.03.1201"/>
    <s v="DEBITI PER RETRIB FONDI COMPARTO A.T.P.S. ANNO 2013"/>
    <n v="0"/>
    <n v="0"/>
    <n v="0"/>
    <n v="0"/>
    <n v="0"/>
    <n v="0"/>
    <n v="0"/>
    <n v="0"/>
    <n v="0"/>
    <n v="0"/>
    <x v="229"/>
  </r>
  <r>
    <s v="2.04.11.03.1202"/>
    <s v="DEBITI PER RETRIB FONDI COMPARTO A.T.P.S. ANNO 2014"/>
    <n v="0"/>
    <n v="453031.21"/>
    <n v="453031.21"/>
    <n v="453031.21"/>
    <n v="0"/>
    <n v="0"/>
    <n v="0"/>
    <n v="453031.21"/>
    <n v="453031.21"/>
    <n v="0"/>
    <x v="229"/>
  </r>
  <r>
    <s v="2.04.11.03.1203"/>
    <s v="DEBITI PER RETRIB FONDI COMPARTO A.T.P.S. ANNO 2015"/>
    <n v="0"/>
    <n v="471808.13"/>
    <n v="471808.13"/>
    <n v="471808.13"/>
    <n v="0"/>
    <n v="0"/>
    <n v="0"/>
    <n v="471808.13"/>
    <n v="471808.13"/>
    <n v="0"/>
    <x v="229"/>
  </r>
  <r>
    <s v="2.04.11.03.1204"/>
    <s v="DEBITI PER RETRIB FONDI COMPARTO A.T.P.S. ANNO 2016"/>
    <n v="0"/>
    <n v="75249.53"/>
    <n v="75249.53"/>
    <n v="75249.53"/>
    <n v="0"/>
    <n v="0"/>
    <n v="0"/>
    <n v="75249.53"/>
    <n v="75249.53"/>
    <n v="0"/>
    <x v="229"/>
  </r>
  <r>
    <s v="2.04.11.03.1205"/>
    <s v="DEBITI PER RETRIB FONDI COMPARTOA.T.P.S ANNO 2017"/>
    <n v="0"/>
    <n v="12273.76"/>
    <n v="12273.76"/>
    <n v="12273.76"/>
    <n v="0"/>
    <n v="0"/>
    <n v="0"/>
    <n v="12273.76"/>
    <n v="12273.76"/>
    <n v="0"/>
    <x v="229"/>
  </r>
  <r>
    <s v="2.04.11.03.1206"/>
    <s v="DEBITI PER RETRIB FONDI COMPARTOA.T.P.S ANNO 2018"/>
    <n v="0"/>
    <n v="71880.929999999993"/>
    <n v="71880.929999999993"/>
    <n v="0"/>
    <n v="0"/>
    <n v="0"/>
    <n v="0"/>
    <n v="0"/>
    <n v="71880.929999999993"/>
    <n v="-71880.929999999993"/>
    <x v="229"/>
  </r>
  <r>
    <s v="2.04.11.03.1207"/>
    <s v="DEBITI PER RETRIB FONDI COMPARTOA.T.P.S ANNO 2019"/>
    <n v="0"/>
    <n v="347069.27"/>
    <n v="347069.27"/>
    <n v="191541.1"/>
    <n v="108891.75"/>
    <n v="0"/>
    <n v="0"/>
    <n v="191541.1"/>
    <n v="455961.02"/>
    <n v="-264419.92"/>
    <x v="229"/>
  </r>
  <r>
    <s v="2.04.11.03.1208"/>
    <s v="DEBITI PER RETRIB FONDI COMPARTOA.T.P.S ANNO 2020"/>
    <n v="0"/>
    <n v="83785.69"/>
    <n v="83785.69"/>
    <n v="63710.99"/>
    <n v="0"/>
    <n v="0"/>
    <n v="0"/>
    <n v="63710.99"/>
    <n v="83785.69"/>
    <n v="-20074.7"/>
    <x v="229"/>
  </r>
  <r>
    <s v="2.04.11.03.1209"/>
    <s v="DEBITI PER RETRIB FONDI COMPARTOA.T.P.S ANNO 2021"/>
    <n v="0"/>
    <n v="263534.21000000002"/>
    <n v="263534.21000000002"/>
    <n v="14204.49"/>
    <n v="0"/>
    <n v="0"/>
    <n v="0"/>
    <n v="14204.49"/>
    <n v="263534.21000000002"/>
    <n v="-249329.72"/>
    <x v="229"/>
  </r>
  <r>
    <s v="2.04.11.03.1210"/>
    <s v="DEBITI PER RETRIB FONDI COMPARTO A.T.P.S ANNO 2022"/>
    <n v="0"/>
    <n v="541755.88"/>
    <n v="541755.88"/>
    <n v="79692.639999999999"/>
    <n v="523.89"/>
    <n v="0"/>
    <n v="0"/>
    <n v="79692.639999999999"/>
    <n v="542279.77"/>
    <n v="-462587.13"/>
    <x v="229"/>
  </r>
  <r>
    <s v="2.04.11.03.1211"/>
    <s v="DEBITI PER RETRIB FONDI COMPARTO A.T.P.S ANNO 2023"/>
    <n v="0"/>
    <n v="0"/>
    <n v="0"/>
    <n v="16309553.01"/>
    <n v="17047189.710000001"/>
    <n v="0"/>
    <n v="0"/>
    <n v="16309553.01"/>
    <n v="17047189.710000001"/>
    <n v="-737636.7"/>
    <x v="229"/>
  </r>
  <r>
    <s v="2.04.11.03.1212"/>
    <s v="DEBITI VERSO PERSONALE COMPARTO AMINISTRATIVO - RETRIBUZIONE DI POSIZIONE ESERCIZIO 2010"/>
    <n v="0"/>
    <n v="0"/>
    <n v="0"/>
    <n v="0"/>
    <n v="0"/>
    <n v="0"/>
    <n v="0"/>
    <n v="0"/>
    <n v="0"/>
    <n v="0"/>
    <x v="229"/>
  </r>
  <r>
    <s v="2.04.11.03.1213"/>
    <s v="DEBITI VERSO PERSONALE COMPARTO SANITARIO - RETRIBUZIONE DI POSIZIONE ESERCIZIO 2011"/>
    <n v="0"/>
    <n v="0"/>
    <n v="0"/>
    <n v="0"/>
    <n v="0"/>
    <n v="0"/>
    <n v="0"/>
    <n v="0"/>
    <n v="0"/>
    <n v="0"/>
    <x v="229"/>
  </r>
  <r>
    <s v="2.04.11.03.1214"/>
    <s v="DEBITI VERSO PERSONALE COMPARTO PROFESSIONALE  - RETRIBUZIONE DI POSIZIONE ESERCIZIO 2011"/>
    <n v="0"/>
    <n v="0"/>
    <n v="0"/>
    <n v="0"/>
    <n v="0"/>
    <n v="0"/>
    <n v="0"/>
    <n v="0"/>
    <n v="0"/>
    <n v="0"/>
    <x v="229"/>
  </r>
  <r>
    <s v="2.04.11.03.1215"/>
    <s v="DEBITI VERSO PERSONALE COMPARTO TECNICO - RETRIBUZIONE DI POSIZIONE ESERCIZIO 2011"/>
    <n v="0"/>
    <n v="0"/>
    <n v="0"/>
    <n v="0"/>
    <n v="0"/>
    <n v="0"/>
    <n v="0"/>
    <n v="0"/>
    <n v="0"/>
    <n v="0"/>
    <x v="229"/>
  </r>
  <r>
    <s v="2.04.11.03.1216"/>
    <s v="DEBITI VERSO PERSONALE COMPARTO AMINISTRATIVO - RETRIBUZIONE DI POSIZIONE ESERCIZIO 2011"/>
    <n v="0"/>
    <n v="0"/>
    <n v="0"/>
    <n v="0"/>
    <n v="0"/>
    <n v="0"/>
    <n v="0"/>
    <n v="0"/>
    <n v="0"/>
    <n v="0"/>
    <x v="229"/>
  </r>
  <r>
    <s v="2.04.11.03.1217"/>
    <s v="DEBITI VERSO PERSONALE COMPARTO SANITARIO - RETRIBUZIONE DI POSIZIONE ESERCIZIO 2012"/>
    <n v="0"/>
    <n v="0"/>
    <n v="0"/>
    <n v="0"/>
    <n v="0"/>
    <n v="0"/>
    <n v="0"/>
    <n v="0"/>
    <n v="0"/>
    <n v="0"/>
    <x v="229"/>
  </r>
  <r>
    <s v="2.04.11.03.1218"/>
    <s v="DEBITI VERSO PERSONALE COMPARTO PROFESSIONALE  - RETRIBUZIONE DI POSIZIONE ESERCIZIO 2012"/>
    <n v="0"/>
    <n v="0"/>
    <n v="0"/>
    <n v="0"/>
    <n v="0"/>
    <n v="0"/>
    <n v="0"/>
    <n v="0"/>
    <n v="0"/>
    <n v="0"/>
    <x v="229"/>
  </r>
  <r>
    <s v="2.04.11.03.1219"/>
    <s v="DEBITI VERSO PERSONALE COMPARTO TECNICO - RETRIBUZIONE DI POSIZIONE ESERCIZIO 2012"/>
    <n v="0"/>
    <n v="0"/>
    <n v="0"/>
    <n v="0"/>
    <n v="0"/>
    <n v="0"/>
    <n v="0"/>
    <n v="0"/>
    <n v="0"/>
    <n v="0"/>
    <x v="229"/>
  </r>
  <r>
    <s v="2.04.11.03.1220"/>
    <s v="DEBITI VERSO PERSONALE COMPARTO AMINISTRATIVO - RETRIBUZIONE DI POSIZIONE ESERCIZIO 2012"/>
    <n v="0"/>
    <n v="0"/>
    <n v="0"/>
    <n v="0"/>
    <n v="0"/>
    <n v="0"/>
    <n v="0"/>
    <n v="0"/>
    <n v="0"/>
    <n v="0"/>
    <x v="229"/>
  </r>
  <r>
    <s v="2.04.11.03.1301"/>
    <s v="DEBITI VERSO PERSONALE COMPARTO SANITARIO - INDENNITA DA PARTICOLARI CONDIZIONI DI LAVORO  ESERCIZIO 2008"/>
    <n v="0"/>
    <n v="0"/>
    <n v="0"/>
    <n v="0"/>
    <n v="0"/>
    <n v="0"/>
    <n v="0"/>
    <n v="0"/>
    <n v="0"/>
    <n v="0"/>
    <x v="229"/>
  </r>
  <r>
    <s v="2.04.11.03.1302"/>
    <s v="DEBITI VERSO PERSONALE COMPARTO PROFESSIONALE  - INDENNITA DA PARTICOLARI CONDIZIONI DI LAVORO  ESERCIZIO 2008"/>
    <n v="0"/>
    <n v="0"/>
    <n v="0"/>
    <n v="0"/>
    <n v="0"/>
    <n v="0"/>
    <n v="0"/>
    <n v="0"/>
    <n v="0"/>
    <n v="0"/>
    <x v="229"/>
  </r>
  <r>
    <s v="2.04.11.03.1303"/>
    <s v="DEBITI VERSO PERSONALE COMPARTO TECNICO - INDENNITA DA PARTICOLARI CONDIZIONI DI LAVORO  ESERCIZIO 2008"/>
    <n v="0"/>
    <n v="0"/>
    <n v="0"/>
    <n v="0"/>
    <n v="0"/>
    <n v="0"/>
    <n v="0"/>
    <n v="0"/>
    <n v="0"/>
    <n v="0"/>
    <x v="229"/>
  </r>
  <r>
    <s v="2.04.11.03.1304"/>
    <s v="DEBITI VERSO PERSONALE COMPARTO AMINISTRATIVO - INDENNITA DA PARTICOLARI CONDIZIONI DI LAVORO  ESERCIZIO 2008"/>
    <n v="0"/>
    <n v="0"/>
    <n v="0"/>
    <n v="0"/>
    <n v="0"/>
    <n v="0"/>
    <n v="0"/>
    <n v="0"/>
    <n v="0"/>
    <n v="0"/>
    <x v="229"/>
  </r>
  <r>
    <s v="2.04.11.03.1305"/>
    <s v="DEBITI VERSO PERSONALE COMPARTO SANITARIO - INDENNITA DA PARTICOLARI CONDIZIONI DI LAVORO  ESERCIZIO 2009"/>
    <n v="0"/>
    <n v="0"/>
    <n v="0"/>
    <n v="0"/>
    <n v="0"/>
    <n v="0"/>
    <n v="0"/>
    <n v="0"/>
    <n v="0"/>
    <n v="0"/>
    <x v="229"/>
  </r>
  <r>
    <s v="2.04.11.03.1306"/>
    <s v="DEBITI VERSO PERSONALE COMPARTO PROFESSIONALE  - INDENNITA DA PARTICOLARI CONDIZIONI DI LAVORO  ESERCIZIO 2009"/>
    <n v="0"/>
    <n v="0"/>
    <n v="0"/>
    <n v="0"/>
    <n v="0"/>
    <n v="0"/>
    <n v="0"/>
    <n v="0"/>
    <n v="0"/>
    <n v="0"/>
    <x v="229"/>
  </r>
  <r>
    <s v="2.04.11.03.1307"/>
    <s v="DEBITI VERSO PERSONALE COMPARTO TECNICO - INDENNITA DA PARTICOLARI CONDIZIONI DI LAVORO  ESERCIZIO 2009"/>
    <n v="0"/>
    <n v="0"/>
    <n v="0"/>
    <n v="0"/>
    <n v="0"/>
    <n v="0"/>
    <n v="0"/>
    <n v="0"/>
    <n v="0"/>
    <n v="0"/>
    <x v="229"/>
  </r>
  <r>
    <s v="2.04.11.03.1308"/>
    <s v="DEBITI VERSO PERSONALE COMPARTO AMINISTRATIVO - INDENNITA DA PARTICOLARI CONDIZIONI DI LAVORO  ESERCIZIO 2009"/>
    <n v="0"/>
    <n v="0"/>
    <n v="0"/>
    <n v="0"/>
    <n v="0"/>
    <n v="0"/>
    <n v="0"/>
    <n v="0"/>
    <n v="0"/>
    <n v="0"/>
    <x v="229"/>
  </r>
  <r>
    <s v="2.04.11.03.1309"/>
    <s v="DEBITI VERSO PERSONALE COMPARTO SANITARIO - INDENNITA DA PARTICOLARI CONDIZIONI DI LAVORO  ESERCIZIO 2010"/>
    <n v="0"/>
    <n v="0"/>
    <n v="0"/>
    <n v="0"/>
    <n v="0"/>
    <n v="0"/>
    <n v="0"/>
    <n v="0"/>
    <n v="0"/>
    <n v="0"/>
    <x v="229"/>
  </r>
  <r>
    <s v="2.04.11.03.1310"/>
    <s v="DEBITI VERSO PERSONALE COMPARTO PROFESSIONALE  - INDENNITA DA PARTICOLARI CONDIZIONI DI LAVORO  ESERCIZIO 2010"/>
    <n v="0"/>
    <n v="0"/>
    <n v="0"/>
    <n v="0"/>
    <n v="0"/>
    <n v="0"/>
    <n v="0"/>
    <n v="0"/>
    <n v="0"/>
    <n v="0"/>
    <x v="229"/>
  </r>
  <r>
    <s v="2.04.11.03.1311"/>
    <s v="DEBITI VERSO PERSONALE COMPARTO TECNICO - INDENNITA DA PARTICOLARI CONDIZIONI DI LAVORO  ESERCIZIO 2010"/>
    <n v="0"/>
    <n v="0"/>
    <n v="0"/>
    <n v="0"/>
    <n v="0"/>
    <n v="0"/>
    <n v="0"/>
    <n v="0"/>
    <n v="0"/>
    <n v="0"/>
    <x v="229"/>
  </r>
  <r>
    <s v="2.04.11.03.1312"/>
    <s v="DEBITI VERSO PERSONALE COMPARTO AMINISTRATIVO - INDENNITA DA PARTICOLARI CONDIZIONI DI LAVORO  ESERCIZIO 2010"/>
    <n v="0"/>
    <n v="0"/>
    <n v="0"/>
    <n v="0"/>
    <n v="0"/>
    <n v="0"/>
    <n v="0"/>
    <n v="0"/>
    <n v="0"/>
    <n v="0"/>
    <x v="229"/>
  </r>
  <r>
    <s v="2.04.11.03.1313"/>
    <s v="DEBITI VERSO PERSONALE COMPARTO SANITARIO - INDENNITA DA PARTICOLARI CONDIZIONI DI LAVORO  ESERCIZIO 2011"/>
    <n v="0"/>
    <n v="0"/>
    <n v="0"/>
    <n v="0"/>
    <n v="0"/>
    <n v="0"/>
    <n v="0"/>
    <n v="0"/>
    <n v="0"/>
    <n v="0"/>
    <x v="229"/>
  </r>
  <r>
    <s v="2.04.11.03.1314"/>
    <s v="DEBITI VERSO PERSONALE COMPARTO PROFESSIONALE  - INDENNITA DA PARTICOLARI CONDIZIONI DI LAVORO  ESERCIZIO 2011"/>
    <n v="0"/>
    <n v="0"/>
    <n v="0"/>
    <n v="0"/>
    <n v="0"/>
    <n v="0"/>
    <n v="0"/>
    <n v="0"/>
    <n v="0"/>
    <n v="0"/>
    <x v="229"/>
  </r>
  <r>
    <s v="2.04.11.03.1315"/>
    <s v="DEBITI VERSO PERSONALE COMPARTO TECNICO - INDENNITA DA PARTICOLARI CONDIZIONI DI LAVORO  ESERCIZIO 2011"/>
    <n v="0"/>
    <n v="0"/>
    <n v="0"/>
    <n v="0"/>
    <n v="0"/>
    <n v="0"/>
    <n v="0"/>
    <n v="0"/>
    <n v="0"/>
    <n v="0"/>
    <x v="229"/>
  </r>
  <r>
    <s v="2.04.11.03.1316"/>
    <s v="DEBITI VERSO PERSONALE COMPARTO AMINISTRATIVO - INDENNITA DA PARTICOLARI CONDIZIONI DI LAVORO  ESERCIZIO 2011"/>
    <n v="0"/>
    <n v="0"/>
    <n v="0"/>
    <n v="0"/>
    <n v="0"/>
    <n v="0"/>
    <n v="0"/>
    <n v="0"/>
    <n v="0"/>
    <n v="0"/>
    <x v="229"/>
  </r>
  <r>
    <s v="2.04.11.03.1317"/>
    <s v="DEBITI VERSO PERSONALE COMPARTO SANITARIO - INDENNITA DA PARTICOLARI CONDIZIONI DI LAVORO  ESERCIZIO 2012&amp;#10"/>
    <m/>
    <n v="0"/>
    <n v="0"/>
    <n v="0"/>
    <n v="0"/>
    <n v="0"/>
    <n v="0"/>
    <n v="0"/>
    <n v="0"/>
    <n v="0"/>
    <x v="229"/>
  </r>
  <r>
    <s v="2.04.11.03.1318"/>
    <s v="DEBITI VERSO PERSONALE COMPARTO PROFESSIONALE  - INDENNITA DA PARTICOLARI CONDIZIONI DI LAVORO  ESERCIZIO 2012&amp;#10"/>
    <m/>
    <n v="0"/>
    <n v="0"/>
    <n v="0"/>
    <n v="0"/>
    <n v="0"/>
    <n v="0"/>
    <n v="0"/>
    <n v="0"/>
    <n v="0"/>
    <x v="229"/>
  </r>
  <r>
    <s v="2.04.11.03.1319"/>
    <s v="DEBITI VERSO PERSONALE COMPARTO TECNICO - INDENNITA DA PARTICOLARI CONDIZIONI DI LAVORO  ESERCIZIO 2012&amp;#10"/>
    <m/>
    <n v="0"/>
    <n v="0"/>
    <n v="0"/>
    <n v="0"/>
    <n v="0"/>
    <n v="0"/>
    <n v="0"/>
    <n v="0"/>
    <n v="0"/>
    <x v="229"/>
  </r>
  <r>
    <s v="2.04.11.03.1320"/>
    <s v="DEBITI VERSO PERSONALE COMPARTO AMINISTRATIVO - INDENNITA DA PARTICOLARI CONDIZIONI DI LAVORO  ESERCIZIO 2012&amp;#10"/>
    <m/>
    <n v="0"/>
    <n v="0"/>
    <n v="0"/>
    <n v="0"/>
    <n v="0"/>
    <n v="0"/>
    <n v="0"/>
    <n v="0"/>
    <n v="0"/>
    <x v="229"/>
  </r>
  <r>
    <s v="2.04.11.03.1401"/>
    <s v="DEBITI VERSO PERSONALE COMPARTO SANITARIO - RETRIBUZIONE DI RISULTATO  ESERCIZIO 2008"/>
    <n v="0"/>
    <n v="0"/>
    <n v="0"/>
    <n v="0"/>
    <n v="0"/>
    <n v="0"/>
    <n v="0"/>
    <n v="0"/>
    <n v="0"/>
    <n v="0"/>
    <x v="229"/>
  </r>
  <r>
    <s v="2.04.11.03.1402"/>
    <s v="DEBITI VERSO PERSONALE COMPARTO PROFESSIONALE  - RETRIBUZIONE DI RISULTATO  ESERCIZIO 2008"/>
    <n v="0"/>
    <n v="0"/>
    <n v="0"/>
    <n v="0"/>
    <n v="0"/>
    <n v="0"/>
    <n v="0"/>
    <n v="0"/>
    <n v="0"/>
    <n v="0"/>
    <x v="229"/>
  </r>
  <r>
    <s v="2.04.11.03.1404"/>
    <s v="DEBITI VERSO PERSONALE COMPARTO AMINISTRATIVO - RETRIBUZIONE DI RISULTATO  ESERCIZIO 2008"/>
    <n v="0"/>
    <n v="0"/>
    <n v="0"/>
    <n v="0"/>
    <n v="0"/>
    <n v="0"/>
    <n v="0"/>
    <n v="0"/>
    <n v="0"/>
    <n v="0"/>
    <x v="229"/>
  </r>
  <r>
    <s v="2.04.11.03.1406"/>
    <s v="DEBITI VERSO PERSONALE COMPARTO PROFESSIONALE  - RETRIBUZIONE DI RISULTATO  ESERCIZIO 2009"/>
    <n v="0"/>
    <n v="0"/>
    <n v="0"/>
    <n v="0"/>
    <n v="0"/>
    <n v="0"/>
    <n v="0"/>
    <n v="0"/>
    <n v="0"/>
    <n v="0"/>
    <x v="229"/>
  </r>
  <r>
    <s v="2.04.11.03.1407"/>
    <s v="DEBITI VERSO PERSONALE COMPARTO TECNICO - RETRIBUZIONE DI RISULTATO  ESERCIZIO 2009"/>
    <n v="0"/>
    <n v="0"/>
    <n v="0"/>
    <n v="0"/>
    <n v="0"/>
    <n v="0"/>
    <n v="0"/>
    <n v="0"/>
    <n v="0"/>
    <n v="0"/>
    <x v="229"/>
  </r>
  <r>
    <s v="2.04.11.03.1408"/>
    <s v="DEBITI VERSO PERSONALE COMPARTO AMINISTRATIVO - RETRIBUZIONE DI RISULTATO  ESERCIZIO 2009"/>
    <n v="0"/>
    <n v="0"/>
    <n v="0"/>
    <n v="0"/>
    <n v="0"/>
    <n v="0"/>
    <n v="0"/>
    <n v="0"/>
    <n v="0"/>
    <n v="0"/>
    <x v="229"/>
  </r>
  <r>
    <s v="2.04.11.03.1409"/>
    <s v="DEBITI VERSO PERSONALE COMPARTO SANITARIO - RETRIBUZIONE DI RISULTATO  ESERCIZIO 2010"/>
    <n v="0"/>
    <n v="0"/>
    <n v="0"/>
    <n v="0"/>
    <n v="0"/>
    <n v="0"/>
    <n v="0"/>
    <n v="0"/>
    <n v="0"/>
    <n v="0"/>
    <x v="229"/>
  </r>
  <r>
    <s v="2.04.11.03.1410"/>
    <s v="DEBITI VERSO PERSONALE COMPARTO PROFESSIONALE  - RETRIBUZIONE DI RISULTATO  ESERCIZIO 2010"/>
    <n v="0"/>
    <n v="0"/>
    <n v="0"/>
    <n v="0"/>
    <n v="0"/>
    <n v="0"/>
    <n v="0"/>
    <n v="0"/>
    <n v="0"/>
    <n v="0"/>
    <x v="229"/>
  </r>
  <r>
    <s v="2.04.11.03.1411"/>
    <s v="DEBITI VERSO PERSONALE COMPARTO TECNICO - RETRIBUZIONE DI RISULTATO  ESERCIZIO 2010"/>
    <n v="0"/>
    <n v="0"/>
    <n v="0"/>
    <n v="0"/>
    <n v="0"/>
    <n v="0"/>
    <n v="0"/>
    <n v="0"/>
    <n v="0"/>
    <n v="0"/>
    <x v="229"/>
  </r>
  <r>
    <s v="2.04.11.03.1412"/>
    <s v="DEBITI VERSO PERSONALE COMPARTO AMINISTRATIVO - RETRIBUZIONE DI RISULTATO  ESERCIZIO 2010"/>
    <n v="0"/>
    <n v="0"/>
    <n v="0"/>
    <n v="0"/>
    <n v="0"/>
    <n v="0"/>
    <n v="0"/>
    <n v="0"/>
    <n v="0"/>
    <n v="0"/>
    <x v="229"/>
  </r>
  <r>
    <s v="2.04.11.03.1413"/>
    <s v="DEBITI VERSO PERSONALE COMPARTO SANITARIO - RETRIBUZIONE DI RISULTATO  ESERCIZIO 2011"/>
    <n v="0"/>
    <n v="0"/>
    <n v="0"/>
    <n v="0"/>
    <n v="0"/>
    <n v="0"/>
    <n v="0"/>
    <n v="0"/>
    <n v="0"/>
    <n v="0"/>
    <x v="229"/>
  </r>
  <r>
    <s v="2.04.11.03.1414"/>
    <s v="DEBITI VERSO PERSONALE COMPARTO PROFESSIONALE  - RETRIBUZIONE DI RISULTATO  ESERCIZIO 2011"/>
    <n v="0"/>
    <n v="0"/>
    <n v="0"/>
    <n v="0"/>
    <n v="0"/>
    <n v="0"/>
    <n v="0"/>
    <n v="0"/>
    <n v="0"/>
    <n v="0"/>
    <x v="229"/>
  </r>
  <r>
    <s v="2.04.11.03.1415"/>
    <s v="DEBITI VERSO PERSONALE COMPARTO TECNICO - RETRIBUZIONE DI RISULTATO  ESERCIZIO 2011"/>
    <n v="0"/>
    <n v="0"/>
    <n v="0"/>
    <n v="0"/>
    <n v="0"/>
    <n v="0"/>
    <n v="0"/>
    <n v="0"/>
    <n v="0"/>
    <n v="0"/>
    <x v="229"/>
  </r>
  <r>
    <s v="2.04.11.03.1416"/>
    <s v="DEBITI VERSO PERSONALE COMPARTO AMINISTRATIVO - RETRIBUZIONE DI RISULTATO  ESERCIZIO 2011"/>
    <n v="0"/>
    <n v="0"/>
    <n v="0"/>
    <n v="0"/>
    <n v="0"/>
    <n v="0"/>
    <n v="0"/>
    <n v="0"/>
    <n v="0"/>
    <n v="0"/>
    <x v="229"/>
  </r>
  <r>
    <s v="2.04.11.03.1417"/>
    <s v="DEBITI VERSO PERSONALE COMPARTO SANITARIO - RETRIBUZIONE DI RISULTATO  ESERCIZIO 2012"/>
    <n v="0"/>
    <n v="0"/>
    <n v="0"/>
    <n v="0"/>
    <n v="0"/>
    <n v="0"/>
    <n v="0"/>
    <n v="0"/>
    <n v="0"/>
    <n v="0"/>
    <x v="229"/>
  </r>
  <r>
    <s v="2.04.11.03.1418"/>
    <s v="DEBITI VERSO PERSONALE COMPARTO PROFESSIONALE  - RETRIBUZIONE DI RISULTATO  ESERCIZIO 2012"/>
    <n v="0"/>
    <n v="0"/>
    <n v="0"/>
    <n v="0"/>
    <n v="0"/>
    <n v="0"/>
    <n v="0"/>
    <n v="0"/>
    <n v="0"/>
    <n v="0"/>
    <x v="229"/>
  </r>
  <r>
    <s v="2.04.11.03.1419"/>
    <s v="DEBITI VERSO PERSONALE COMPARTO TECNICO - RETRIBUZIONE DI RISULTATO  ESERCIZIO 2012"/>
    <n v="0"/>
    <n v="0"/>
    <n v="0"/>
    <n v="0"/>
    <n v="0"/>
    <n v="0"/>
    <n v="0"/>
    <n v="0"/>
    <n v="0"/>
    <n v="0"/>
    <x v="229"/>
  </r>
  <r>
    <s v="2.04.11.03.1420"/>
    <s v="DEBITI VERSO PERSONALE COMPARTO AMINISTRATIVO - RETRIBUZIONE DI RISULTATO  ESERCIZIO 2012"/>
    <n v="0"/>
    <n v="0"/>
    <n v="0"/>
    <n v="0"/>
    <n v="0"/>
    <n v="0"/>
    <n v="0"/>
    <n v="0"/>
    <n v="0"/>
    <n v="0"/>
    <x v="229"/>
  </r>
  <r>
    <s v="2.04.11.03.1501"/>
    <s v="DEBITI VERSO PERSONALE COMPARTO SANITARIO - ALTRI COSTI DEL PERSONALE  ESERCIZIO 2008"/>
    <n v="0"/>
    <n v="0"/>
    <n v="0"/>
    <n v="0"/>
    <n v="0"/>
    <n v="0"/>
    <n v="0"/>
    <n v="0"/>
    <n v="0"/>
    <n v="0"/>
    <x v="229"/>
  </r>
  <r>
    <s v="2.04.11.03.1502"/>
    <s v="DEBITI VERSO PERSONALE COMPARTO PROFESSIONALE  - ALTRI COSTI DEL PERSONALE  ESERCIZIO 2008"/>
    <n v="0"/>
    <n v="0"/>
    <n v="0"/>
    <n v="0"/>
    <n v="0"/>
    <n v="0"/>
    <n v="0"/>
    <n v="0"/>
    <n v="0"/>
    <n v="0"/>
    <x v="229"/>
  </r>
  <r>
    <s v="2.04.11.03.1503"/>
    <s v="DEBITI VERSO PERSONALE COMPARTO TECNICO - ALTRI COSTI DEL PERSONALE  ESERCIZIO 2008"/>
    <n v="0"/>
    <n v="0"/>
    <n v="0"/>
    <n v="0"/>
    <n v="0"/>
    <n v="0"/>
    <n v="0"/>
    <n v="0"/>
    <n v="0"/>
    <n v="0"/>
    <x v="229"/>
  </r>
  <r>
    <s v="2.04.11.03.1504"/>
    <s v="DEBITI VERSO PERSONALE COMPARTO AMINISTRATIVO - ALTRI COSTI DEL PERSONALE  ESERCIZIO 2008"/>
    <n v="0"/>
    <n v="0"/>
    <n v="0"/>
    <n v="0"/>
    <n v="0"/>
    <n v="0"/>
    <n v="0"/>
    <n v="0"/>
    <n v="0"/>
    <n v="0"/>
    <x v="229"/>
  </r>
  <r>
    <s v="2.04.11.03.1505"/>
    <s v="DEBITI VERSO PERSONALE COMPARTO SANITARIO - ALTRI COSTI DEL PERSONALE ESERCIZIO 2009"/>
    <n v="0"/>
    <n v="0"/>
    <n v="0"/>
    <n v="0"/>
    <n v="0"/>
    <n v="0"/>
    <n v="0"/>
    <n v="0"/>
    <n v="0"/>
    <n v="0"/>
    <x v="229"/>
  </r>
  <r>
    <s v="2.04.11.03.1506"/>
    <s v="DEBITI VERSO PERSONALE COMPARTO PROFESSIONALE  - ALTRI COSTI DEL PERSONALE  ESERCIZIO 2009"/>
    <n v="0"/>
    <n v="0"/>
    <n v="0"/>
    <n v="0"/>
    <n v="0"/>
    <n v="0"/>
    <n v="0"/>
    <n v="0"/>
    <n v="0"/>
    <n v="0"/>
    <x v="229"/>
  </r>
  <r>
    <s v="2.04.11.03.1507"/>
    <s v="DEBITI VERSO PERSONALE COMPARTO TECNICO - ALTRI COSTI DEL PERSONALE  ESERCIZIO 2009"/>
    <n v="0"/>
    <n v="0"/>
    <n v="0"/>
    <n v="0"/>
    <n v="0"/>
    <n v="0"/>
    <n v="0"/>
    <n v="0"/>
    <n v="0"/>
    <n v="0"/>
    <x v="229"/>
  </r>
  <r>
    <s v="2.04.11.03.1508"/>
    <s v="DEBITI VERSO PERSONALE COMPARTO AMINISTRATIVO - ALTRI COSTI DEL PERSONALE  ESERCIZIO 2009"/>
    <n v="0"/>
    <n v="0"/>
    <n v="0"/>
    <n v="0"/>
    <n v="0"/>
    <n v="0"/>
    <n v="0"/>
    <n v="0"/>
    <n v="0"/>
    <n v="0"/>
    <x v="229"/>
  </r>
  <r>
    <s v="2.04.11.03.1509"/>
    <s v="DEBITI VERSO PERSONALE COMPARTO SANITARIO - ALTRI COSTI DEL PERSONALE  ESERCIZIO 2010"/>
    <n v="0"/>
    <n v="0"/>
    <n v="0"/>
    <n v="0"/>
    <n v="0"/>
    <n v="0"/>
    <n v="0"/>
    <n v="0"/>
    <n v="0"/>
    <n v="0"/>
    <x v="229"/>
  </r>
  <r>
    <s v="2.04.11.03.1510"/>
    <s v="DEBITI VERSO PERSONALE COMPARTO PROFESSIONALE  - ALTRI COSTI DEL PERSONALE  ESERCIZIO 2010"/>
    <n v="0"/>
    <n v="0"/>
    <n v="0"/>
    <n v="0"/>
    <n v="0"/>
    <n v="0"/>
    <n v="0"/>
    <n v="0"/>
    <n v="0"/>
    <n v="0"/>
    <x v="229"/>
  </r>
  <r>
    <s v="2.04.11.03.1511"/>
    <s v="DEBITI VERSO PERSONALE COMPARTO TECNICO - ALTRI COSTI DEL PERSONALE  ESERCIZIO 2010"/>
    <n v="0"/>
    <n v="0"/>
    <n v="0"/>
    <n v="0"/>
    <n v="0"/>
    <n v="0"/>
    <n v="0"/>
    <n v="0"/>
    <n v="0"/>
    <n v="0"/>
    <x v="229"/>
  </r>
  <r>
    <s v="2.04.11.03.1512"/>
    <s v="DEBITI VERSO PERSONALE COMPARTO AMINISTRATIVO - ALTRI COSTI DEL PERSONALE  ESERCIZIO 2010"/>
    <n v="0"/>
    <n v="0"/>
    <n v="0"/>
    <n v="0"/>
    <n v="0"/>
    <n v="0"/>
    <n v="0"/>
    <n v="0"/>
    <n v="0"/>
    <n v="0"/>
    <x v="229"/>
  </r>
  <r>
    <s v="2.04.11.03.1513"/>
    <s v="DEBITI VERSO PERSONALE COMPARTO SANITARIO - ALTRI COSTI DEL PERSONALE  ESERCIZIO 2011"/>
    <n v="0"/>
    <n v="0"/>
    <n v="0"/>
    <n v="0"/>
    <n v="0"/>
    <n v="0"/>
    <n v="0"/>
    <n v="0"/>
    <n v="0"/>
    <n v="0"/>
    <x v="229"/>
  </r>
  <r>
    <s v="2.04.11.03.1514"/>
    <s v="DEBITI VERSO PERSONALE COMPARTO PROFESSIONALE  - ALTRI COSTI DEL PERSONALE  ESERCIZIO 2011"/>
    <n v="0"/>
    <n v="0"/>
    <n v="0"/>
    <n v="0"/>
    <n v="0"/>
    <n v="0"/>
    <n v="0"/>
    <n v="0"/>
    <n v="0"/>
    <n v="0"/>
    <x v="229"/>
  </r>
  <r>
    <s v="2.04.11.03.1515"/>
    <s v="DEBITI VERSO PERSONALE COMPARTO TECNICO - ALTRI COSTI DEL PERSONALE  ESERCIZIO 2011"/>
    <n v="0"/>
    <n v="0"/>
    <n v="0"/>
    <n v="0"/>
    <n v="0"/>
    <n v="0"/>
    <n v="0"/>
    <n v="0"/>
    <n v="0"/>
    <n v="0"/>
    <x v="229"/>
  </r>
  <r>
    <s v="2.04.11.03.1516"/>
    <s v="DEBITI VERSO PERSONALE COMPARTO AMINISTRATIVO - ALTRI COSTI DEL PERSONALE  ESERCIZIO 2011"/>
    <n v="0"/>
    <n v="0"/>
    <n v="0"/>
    <n v="0"/>
    <n v="0"/>
    <n v="0"/>
    <n v="0"/>
    <n v="0"/>
    <n v="0"/>
    <n v="0"/>
    <x v="229"/>
  </r>
  <r>
    <s v="2.04.11.03.1517"/>
    <s v="DEBITI VERSO PERSONALE COMPARTO SANITARIO - ALTRI COSTI DEL PERSONALE  ESERCIZIO 2012"/>
    <n v="0"/>
    <n v="0"/>
    <n v="0"/>
    <n v="0"/>
    <n v="0"/>
    <n v="0"/>
    <n v="0"/>
    <n v="0"/>
    <n v="0"/>
    <n v="0"/>
    <x v="229"/>
  </r>
  <r>
    <s v="2.04.11.03.1518"/>
    <s v="DEBITI VERSO PERSONALE COMPARTO PROFESSIONALE  - ALTRI COSTI DEL PERSONALE  ESERCIZIO 2012"/>
    <n v="0"/>
    <n v="0"/>
    <n v="0"/>
    <n v="0"/>
    <n v="0"/>
    <n v="0"/>
    <n v="0"/>
    <n v="0"/>
    <n v="0"/>
    <n v="0"/>
    <x v="229"/>
  </r>
  <r>
    <s v="2.04.11.03.1519"/>
    <s v="DEBITI VERSO PERSONALE COMPARTO TECNICO - ALTRI COSTI DEL PERSONALE  ESERCIZIO 2012"/>
    <n v="0"/>
    <n v="0"/>
    <n v="0"/>
    <n v="0"/>
    <n v="0"/>
    <n v="0"/>
    <n v="0"/>
    <n v="0"/>
    <n v="0"/>
    <n v="0"/>
    <x v="229"/>
  </r>
  <r>
    <s v="2.04.11.03.1520"/>
    <s v="DEBITI VERSO PERSONALE COMPARTO AMINISTRATIVO - ALTRI COSTI DEL PERSONALE  ESERCIZIO 2012"/>
    <n v="0"/>
    <n v="0"/>
    <n v="0"/>
    <n v="0"/>
    <n v="0"/>
    <n v="0"/>
    <n v="0"/>
    <n v="0"/>
    <n v="0"/>
    <n v="0"/>
    <x v="229"/>
  </r>
  <r>
    <s v="2.04.11.03.1601"/>
    <s v="Debiti verso personale comparto - Condizioni di lavoro e incarichi esercizi precedenti"/>
    <n v="0"/>
    <n v="0"/>
    <n v="0"/>
    <n v="0"/>
    <n v="0"/>
    <n v="0"/>
    <n v="0"/>
    <n v="0"/>
    <n v="0"/>
    <n v="0"/>
    <x v="229"/>
  </r>
  <r>
    <s v="2.04.11.03.1701"/>
    <s v="Debiti verso personale comparto - Premialita e fasce esercizi precedenti"/>
    <n v="0"/>
    <n v="0"/>
    <n v="0"/>
    <n v="0"/>
    <n v="0"/>
    <n v="0"/>
    <n v="0"/>
    <n v="0"/>
    <n v="0"/>
    <n v="0"/>
    <x v="229"/>
  </r>
  <r>
    <s v="2.04.11.03.1801"/>
    <s v="DEBITI VERSO PERSONALE  DIRIGENTE PTA - RETRIBUZIONE DI POSIZIONE ESERCIZI PRECEDENTI"/>
    <n v="0"/>
    <n v="0"/>
    <n v="0"/>
    <n v="0"/>
    <n v="0"/>
    <n v="0"/>
    <n v="0"/>
    <n v="0"/>
    <n v="0"/>
    <n v="0"/>
    <x v="229"/>
  </r>
  <r>
    <s v="2.04.11.03.1901"/>
    <s v="DEBITI VERSO PERSONALE  DIRIGENTE PTA - RETRIBUZIONE DI RISULTATO ESERCIZI PRECEDENTI"/>
    <n v="0"/>
    <n v="0"/>
    <n v="0"/>
    <n v="0"/>
    <n v="0"/>
    <n v="0"/>
    <n v="0"/>
    <n v="0"/>
    <n v="0"/>
    <n v="0"/>
    <x v="229"/>
  </r>
  <r>
    <s v="2.04.11.03.2001"/>
    <s v="DEBITI VERSO PERSONALE COMPARTO   - RETRIBUZIONE DEGLI INCARICHI PROGRESSIONI ECONOMICHE E INDENNITA' PROFESSIONALI  ESERCIZI PRECEDENTI"/>
    <n v="0"/>
    <n v="0"/>
    <n v="0"/>
    <n v="0"/>
    <n v="0"/>
    <n v="0"/>
    <n v="0"/>
    <n v="0"/>
    <n v="0"/>
    <n v="0"/>
    <x v="229"/>
  </r>
  <r>
    <s v="2.04.11.03.2101"/>
    <s v="DEBITI VERSO PERSONALE COMPARTO   - RETRIBUZIONE PREMIALITA' E CONDIZIONI DI LAVORO  ESERCIZI PRECEDENTI"/>
    <n v="0"/>
    <n v="0"/>
    <n v="0"/>
    <n v="0"/>
    <n v="0"/>
    <n v="0"/>
    <n v="0"/>
    <n v="0"/>
    <n v="0"/>
    <n v="0"/>
    <x v="229"/>
  </r>
  <r>
    <m/>
    <s v="DEBITI V/GESTIONI LIQUIDATORIE"/>
    <n v="0"/>
    <n v="0"/>
    <n v="0"/>
    <n v="0"/>
    <n v="0"/>
    <n v="0"/>
    <n v="0"/>
    <n v="0"/>
    <n v="0"/>
    <n v="0"/>
    <x v="1"/>
  </r>
  <r>
    <s v="2.04.11.04.0101"/>
    <s v="DEBITI V/GESTIONI LIQUIDATORIE"/>
    <n v="0"/>
    <n v="0"/>
    <n v="0"/>
    <n v="0"/>
    <n v="0"/>
    <n v="0"/>
    <n v="0"/>
    <n v="0"/>
    <n v="0"/>
    <n v="0"/>
    <x v="230"/>
  </r>
  <r>
    <m/>
    <s v="ALTRI DEBITI DIVERSI"/>
    <n v="312023.52"/>
    <n v="1032777.92"/>
    <n v="720754.4"/>
    <n v="11139430.869999999"/>
    <n v="11665196.17"/>
    <n v="0"/>
    <n v="0"/>
    <n v="11451454.390000001"/>
    <n v="12697974.09"/>
    <n v="-1246519.7"/>
    <x v="1"/>
  </r>
  <r>
    <s v="2.04.11.05.0101"/>
    <s v="DEBITI V/MEDICI DI MEDICINA GENERALE"/>
    <n v="0"/>
    <n v="0"/>
    <n v="0"/>
    <n v="0"/>
    <n v="0"/>
    <n v="0"/>
    <n v="0"/>
    <n v="0"/>
    <n v="0"/>
    <n v="0"/>
    <x v="231"/>
  </r>
  <r>
    <s v="2.04.11.05.0102"/>
    <s v="DEBITI V/PEDIATRI DI LIBERA SCELTA"/>
    <n v="0"/>
    <n v="0"/>
    <n v="0"/>
    <n v="0"/>
    <n v="0"/>
    <n v="0"/>
    <n v="0"/>
    <n v="0"/>
    <n v="0"/>
    <n v="0"/>
    <x v="231"/>
  </r>
  <r>
    <s v="2.04.11.05.0201"/>
    <s v="DEBITI V/SPECIALISTI CONVENZIONATI INTERNI"/>
    <n v="0"/>
    <n v="0"/>
    <n v="0"/>
    <n v="0"/>
    <n v="0"/>
    <n v="0"/>
    <n v="0"/>
    <n v="0"/>
    <n v="0"/>
    <n v="0"/>
    <x v="231"/>
  </r>
  <r>
    <s v="2.04.11.05.0301"/>
    <s v="DEBITI VS TERZI SU EMOLUMENTI STIPENDIALI (ORGANIZZAZIONI SINDACALI)"/>
    <n v="0"/>
    <n v="0"/>
    <n v="0"/>
    <n v="0"/>
    <n v="0"/>
    <n v="0"/>
    <n v="0"/>
    <n v="0"/>
    <n v="0"/>
    <n v="0"/>
    <x v="1"/>
  </r>
  <r>
    <s v="2.04.11.05.0302"/>
    <s v="DEBITI VS TERZI SU EMOLUMENTI STIPENDIALI (CESSIONARI DIVERSI)"/>
    <n v="0"/>
    <n v="0"/>
    <n v="0"/>
    <n v="0"/>
    <n v="0"/>
    <n v="0"/>
    <n v="0"/>
    <n v="0"/>
    <n v="0"/>
    <n v="0"/>
    <x v="1"/>
  </r>
  <r>
    <s v="2.04.11.05.0303"/>
    <s v="DEBITI VS TERZI SU EMOLUMENTI STIPENDIALI (PIGNORAMENTI)"/>
    <n v="0"/>
    <n v="0"/>
    <n v="0"/>
    <n v="0"/>
    <n v="0"/>
    <n v="0"/>
    <n v="0"/>
    <n v="0"/>
    <n v="0"/>
    <n v="0"/>
    <x v="1"/>
  </r>
  <r>
    <s v="2.04.11.05.0304"/>
    <s v="DEBITI VS TERZI SU EMOLUMENTI STIPENDIALI (RISCATT. CONTRIB.)"/>
    <n v="0"/>
    <n v="0"/>
    <n v="0"/>
    <n v="0"/>
    <n v="0"/>
    <n v="0"/>
    <n v="0"/>
    <n v="0"/>
    <n v="0"/>
    <n v="0"/>
    <x v="1"/>
  </r>
  <r>
    <s v="2.04.11.05.0305"/>
    <s v="ALTRI DEBITI VERSO PERSONALE"/>
    <n v="0"/>
    <n v="0"/>
    <n v="0"/>
    <n v="0"/>
    <n v="0"/>
    <n v="0"/>
    <n v="0"/>
    <n v="0"/>
    <n v="0"/>
    <n v="0"/>
    <x v="1"/>
  </r>
  <r>
    <s v="2.04.11.05.0401"/>
    <s v="DEBITI VERSO ORGANI DIRETTIVI ED ISTITUZIONALI"/>
    <n v="0"/>
    <n v="0"/>
    <n v="0"/>
    <n v="0"/>
    <n v="0"/>
    <n v="0"/>
    <n v="0"/>
    <n v="0"/>
    <n v="0"/>
    <n v="0"/>
    <x v="231"/>
  </r>
  <r>
    <s v="2.04.11.05.0402"/>
    <s v="ALTRI ENTI PER CONTRIBUTI DIRETTORE GENERALE"/>
    <n v="0"/>
    <n v="0"/>
    <n v="0"/>
    <n v="0"/>
    <n v="0"/>
    <n v="0"/>
    <n v="0"/>
    <n v="0"/>
    <n v="0"/>
    <n v="0"/>
    <x v="231"/>
  </r>
  <r>
    <s v="2.04.11.05.0403"/>
    <s v="ALTRI ENTI PER CONTRIBUTI DIRETTORE SANITARIO"/>
    <n v="0"/>
    <n v="0"/>
    <n v="0"/>
    <n v="0"/>
    <n v="0"/>
    <n v="0"/>
    <n v="0"/>
    <n v="0"/>
    <n v="0"/>
    <n v="0"/>
    <x v="231"/>
  </r>
  <r>
    <s v="2.04.11.05.0404"/>
    <s v="ALTRI ENTI PER CONTRIBUTI DIRETTORE AMMINISTRATIVO"/>
    <n v="0"/>
    <n v="0"/>
    <n v="0"/>
    <n v="0"/>
    <n v="0"/>
    <n v="0"/>
    <n v="0"/>
    <n v="0"/>
    <n v="0"/>
    <n v="0"/>
    <x v="231"/>
  </r>
  <r>
    <s v="2.04.11.05.0405"/>
    <s v="DEBITI VERSO ORGANI DI CONTROLLO"/>
    <n v="0"/>
    <n v="0"/>
    <n v="0"/>
    <n v="0"/>
    <n v="0"/>
    <n v="0"/>
    <n v="0"/>
    <n v="0"/>
    <n v="0"/>
    <n v="0"/>
    <x v="231"/>
  </r>
  <r>
    <s v="2.04.11.05.0406"/>
    <s v="DEBITI VERSO ALTRI ORGANISMI AZIENDALI"/>
    <n v="0"/>
    <n v="0"/>
    <n v="0"/>
    <n v="0"/>
    <n v="0"/>
    <n v="0"/>
    <n v="0"/>
    <n v="0"/>
    <n v="0"/>
    <n v="0"/>
    <x v="231"/>
  </r>
  <r>
    <s v="2.04.11.05.0407"/>
    <s v="DEBITI VS TERZI SU EMOLUMENTI STIPENDIALI (ORGANIZZAZIONI SINDACALI)"/>
    <n v="0"/>
    <n v="0"/>
    <n v="0"/>
    <n v="144257.25"/>
    <n v="166130.9"/>
    <n v="0"/>
    <n v="0"/>
    <n v="144257.25"/>
    <n v="166130.9"/>
    <n v="-21873.65"/>
    <x v="231"/>
  </r>
  <r>
    <s v="2.04.11.05.0408"/>
    <s v="DEBITI VS TERZI SU EMOLUMENTI STIPENDIALI (CESSIONARI DIVERSI)"/>
    <n v="0"/>
    <n v="1750.62"/>
    <n v="1750.62"/>
    <n v="2318409.42"/>
    <n v="2522713.46"/>
    <n v="0"/>
    <n v="0"/>
    <n v="2318409.42"/>
    <n v="2524464.08"/>
    <n v="-206054.66"/>
    <x v="231"/>
  </r>
  <r>
    <s v="2.04.11.05.0409"/>
    <s v="DEBITI VS TERZI SU EMOLUMENTI STIPENDIALI (PIGNORAMENTI)"/>
    <n v="0"/>
    <n v="12792.29"/>
    <n v="12792.29"/>
    <n v="151375.72"/>
    <n v="0"/>
    <n v="0"/>
    <n v="0"/>
    <n v="151375.72"/>
    <n v="12792.29"/>
    <n v="138583.43"/>
    <x v="231"/>
  </r>
  <r>
    <s v="2.04.11.05.0410"/>
    <s v="DEBITI VS TERZI SU EMOLUMENTI STIPENDIALI (RISCATT. CONTRIB.)"/>
    <n v="0"/>
    <n v="4031.14"/>
    <n v="4031.14"/>
    <n v="62407.55"/>
    <n v="63958.3"/>
    <n v="0"/>
    <n v="0"/>
    <n v="62407.55"/>
    <n v="67989.440000000002"/>
    <n v="-5581.89"/>
    <x v="231"/>
  </r>
  <r>
    <s v="2.04.11.05.0411"/>
    <s v="ALTRI DEBITI VERSO PERSONALE"/>
    <n v="0"/>
    <n v="390346.42"/>
    <n v="390346.42"/>
    <n v="0"/>
    <n v="0"/>
    <n v="0"/>
    <n v="0"/>
    <n v="0"/>
    <n v="390346.42"/>
    <n v="-390346.42"/>
    <x v="231"/>
  </r>
  <r>
    <s v="2.04.11.05.0501"/>
    <s v="DEBITI VERSO ASSISTITI"/>
    <n v="0"/>
    <n v="0"/>
    <n v="0"/>
    <n v="0"/>
    <n v="0"/>
    <n v="0"/>
    <n v="0"/>
    <n v="0"/>
    <n v="0"/>
    <n v="0"/>
    <x v="231"/>
  </r>
  <r>
    <s v="2.04.11.05.0502"/>
    <s v="DEBITI VERSO ORGANI DIRETTIVI ED ISTITUZIONALI"/>
    <n v="0"/>
    <n v="0"/>
    <n v="0"/>
    <n v="539824.79"/>
    <n v="539824.79"/>
    <n v="0"/>
    <n v="0"/>
    <n v="539824.79"/>
    <n v="539824.79"/>
    <n v="0"/>
    <x v="231"/>
  </r>
  <r>
    <s v="2.04.11.05.0503"/>
    <s v="DEBITI PER RETRIBUZIONE ORGANI DI DIREZIONE"/>
    <n v="0"/>
    <n v="0"/>
    <n v="0"/>
    <n v="238124.26"/>
    <n v="238124.26"/>
    <n v="0"/>
    <n v="0"/>
    <n v="238124.26"/>
    <n v="238124.26"/>
    <n v="0"/>
    <x v="231"/>
  </r>
  <r>
    <s v="2.04.11.05.0504"/>
    <s v="ALTRI ENTI PER CONTRIBUTI DIRETTORE SANITARIO"/>
    <n v="0"/>
    <n v="0"/>
    <n v="0"/>
    <n v="0"/>
    <n v="0"/>
    <n v="0"/>
    <n v="0"/>
    <n v="0"/>
    <n v="0"/>
    <n v="0"/>
    <x v="231"/>
  </r>
  <r>
    <s v="2.04.11.05.0505"/>
    <s v="ALTRI ENTI PER CONTRIBUTI DIRETTORE AMMINISTRATIVO"/>
    <n v="0"/>
    <n v="0"/>
    <n v="0"/>
    <n v="0"/>
    <n v="0"/>
    <n v="0"/>
    <n v="0"/>
    <n v="0"/>
    <n v="0"/>
    <n v="0"/>
    <x v="231"/>
  </r>
  <r>
    <s v="2.04.11.05.0506"/>
    <s v="DEBITI VERSO ORGANI DI CONTROLLO"/>
    <n v="0"/>
    <n v="0"/>
    <n v="0"/>
    <n v="18592.439999999999"/>
    <n v="18592.439999999999"/>
    <n v="0"/>
    <n v="0"/>
    <n v="18592.439999999999"/>
    <n v="18592.439999999999"/>
    <n v="0"/>
    <x v="231"/>
  </r>
  <r>
    <s v="2.04.11.05.0507"/>
    <s v="DEBITI VERSO ALTRI ORGANISMI AZIENDALI"/>
    <n v="0"/>
    <n v="0"/>
    <n v="0"/>
    <n v="21867.18"/>
    <n v="17421.560000000001"/>
    <n v="0"/>
    <n v="0"/>
    <n v="21867.18"/>
    <n v="17421.560000000001"/>
    <n v="4445.62"/>
    <x v="231"/>
  </r>
  <r>
    <s v="2.04.11.05.0601"/>
    <s v="NOTE DI CREDITO DA EMETTERE"/>
    <n v="0"/>
    <n v="0"/>
    <n v="0"/>
    <n v="0"/>
    <n v="0"/>
    <n v="0"/>
    <n v="0"/>
    <n v="0"/>
    <n v="0"/>
    <n v="0"/>
    <x v="1"/>
  </r>
  <r>
    <s v="2.04.11.05.0602"/>
    <s v="NOTE CREDITO DA EMETTERE ANNO 2016"/>
    <n v="0"/>
    <n v="0"/>
    <n v="0"/>
    <n v="0"/>
    <n v="0"/>
    <n v="0"/>
    <n v="0"/>
    <n v="0"/>
    <n v="0"/>
    <n v="0"/>
    <x v="1"/>
  </r>
  <r>
    <s v="2.04.11.05.0603"/>
    <s v="NOTE DI CREDITO DA EMETTERE ANNO 2017"/>
    <n v="0"/>
    <n v="0"/>
    <n v="0"/>
    <n v="0"/>
    <n v="0"/>
    <n v="0"/>
    <n v="0"/>
    <n v="0"/>
    <n v="0"/>
    <n v="0"/>
    <x v="1"/>
  </r>
  <r>
    <s v="2.04.11.05.0604"/>
    <s v="NOTE DI CREDITO DA EMETTERE ANNO 2018"/>
    <n v="0"/>
    <n v="0"/>
    <n v="0"/>
    <n v="0"/>
    <n v="0"/>
    <n v="0"/>
    <n v="0"/>
    <n v="0"/>
    <n v="0"/>
    <n v="0"/>
    <x v="1"/>
  </r>
  <r>
    <s v="2.04.11.05.0605"/>
    <s v="DEBITI VERSO ASSISTITI"/>
    <n v="14549.71"/>
    <n v="16465.09"/>
    <n v="1915.38"/>
    <n v="30238.34"/>
    <n v="33098.089999999997"/>
    <n v="0"/>
    <n v="0"/>
    <n v="44788.05"/>
    <n v="49563.18"/>
    <n v="-4775.13"/>
    <x v="231"/>
  </r>
  <r>
    <s v="2.04.11.05.9901"/>
    <s v="DEBITI PER DEPOSITI CAUZIONALI"/>
    <n v="0"/>
    <n v="22726.15"/>
    <n v="22726.15"/>
    <n v="4097.17"/>
    <n v="46713.88"/>
    <n v="0"/>
    <n v="0"/>
    <n v="4097.17"/>
    <n v="69440.03"/>
    <n v="-65342.86"/>
    <x v="231"/>
  </r>
  <r>
    <s v="2.04.11.05.9902"/>
    <s v="ALTRI DEBITI PER DEPOSITI CAUZIONALI"/>
    <n v="0"/>
    <n v="0"/>
    <n v="0"/>
    <n v="0"/>
    <n v="0"/>
    <n v="0"/>
    <n v="0"/>
    <n v="0"/>
    <n v="0"/>
    <n v="0"/>
    <x v="231"/>
  </r>
  <r>
    <s v="2.04.11.05.9903"/>
    <s v="ALTRI DEBITI PER DEPOSITI CAUZIONALI PER CONTRATTI DI LOCAZIONEFITTI"/>
    <n v="0"/>
    <n v="0"/>
    <n v="0"/>
    <n v="0"/>
    <n v="0"/>
    <n v="0"/>
    <n v="0"/>
    <n v="0"/>
    <n v="0"/>
    <n v="0"/>
    <x v="231"/>
  </r>
  <r>
    <s v="2.04.11.05.9904"/>
    <s v="DEBITI V/TESORIERE PER MANDATI E INCASSI NON A BUON FINE"/>
    <n v="285.60000000000002"/>
    <n v="285.60000000000002"/>
    <n v="0"/>
    <n v="202819.28"/>
    <n v="439342.99"/>
    <n v="0"/>
    <n v="0"/>
    <n v="203104.88"/>
    <n v="439628.59"/>
    <n v="-236523.71"/>
    <x v="231"/>
  </r>
  <r>
    <s v="2.04.11.05.9905"/>
    <s v="DEBITI DI FORMAZIONE ANNO"/>
    <n v="0"/>
    <n v="0"/>
    <n v="0"/>
    <n v="0"/>
    <n v="0"/>
    <n v="0"/>
    <n v="0"/>
    <n v="0"/>
    <n v="0"/>
    <n v="0"/>
    <x v="231"/>
  </r>
  <r>
    <s v="2.04.11.05.9906"/>
    <s v="DEBITI V/ ECONOMO"/>
    <n v="0"/>
    <n v="0"/>
    <n v="0"/>
    <n v="0"/>
    <n v="0"/>
    <n v="0"/>
    <n v="0"/>
    <n v="0"/>
    <n v="0"/>
    <n v="0"/>
    <x v="231"/>
  </r>
  <r>
    <s v="2.04.11.05.9907"/>
    <s v="DEBITI V/ TERZI"/>
    <n v="138088.21"/>
    <n v="140119.16"/>
    <n v="2030.95"/>
    <n v="6966912.25"/>
    <n v="6968387.3700000001"/>
    <n v="0"/>
    <n v="0"/>
    <n v="7105000.46"/>
    <n v="7108506.5300000003"/>
    <n v="-3506.07"/>
    <x v="231"/>
  </r>
  <r>
    <s v="2.04.11.05.9908"/>
    <s v="ALTRI DEBITI DIVERSI"/>
    <n v="0"/>
    <n v="22376.78"/>
    <n v="22376.78"/>
    <n v="239131.01"/>
    <n v="248524.92"/>
    <n v="0"/>
    <n v="0"/>
    <n v="239131.01"/>
    <n v="270901.7"/>
    <n v="-31770.69"/>
    <x v="231"/>
  </r>
  <r>
    <s v="2.04.11.05.9909"/>
    <s v="DEBITI V/ASSICURAZIONI"/>
    <n v="159100"/>
    <n v="159100"/>
    <n v="0"/>
    <n v="187374.21"/>
    <n v="348363.21"/>
    <n v="0"/>
    <n v="0"/>
    <n v="346474.21"/>
    <n v="507463.21"/>
    <n v="-160989"/>
    <x v="231"/>
  </r>
  <r>
    <s v="2.04.11.05.9910"/>
    <s v="DEBITI VS PERSONALE DIPENDENTE PER FONDI ALP"/>
    <n v="0"/>
    <n v="0"/>
    <n v="0"/>
    <n v="0"/>
    <n v="0"/>
    <n v="0"/>
    <n v="0"/>
    <n v="0"/>
    <n v="0"/>
    <n v="0"/>
    <x v="231"/>
  </r>
  <r>
    <s v="2.04.11.05.9911"/>
    <s v="DEBITI PER ALTRI ACCANTONAMENTI"/>
    <n v="0"/>
    <n v="262784.67"/>
    <n v="262784.67"/>
    <n v="0"/>
    <n v="0"/>
    <n v="0"/>
    <n v="0"/>
    <n v="0"/>
    <n v="262784.67"/>
    <n v="-262784.67"/>
    <x v="231"/>
  </r>
  <r>
    <s v="2.04.11.05.9912"/>
    <s v="DEBITI PER PROTOCOLLI COMITATO ETICO IN SOSPESO"/>
    <n v="0"/>
    <n v="0"/>
    <n v="0"/>
    <n v="14000"/>
    <n v="14000"/>
    <n v="0"/>
    <n v="0"/>
    <n v="14000"/>
    <n v="14000"/>
    <n v="0"/>
    <x v="231"/>
  </r>
  <r>
    <s v="2.04.11.05.9913"/>
    <s v="ACCONTI VERSO CLIENTI"/>
    <n v="0"/>
    <n v="0"/>
    <n v="0"/>
    <n v="0"/>
    <n v="0"/>
    <n v="0"/>
    <n v="0"/>
    <n v="0"/>
    <n v="0"/>
    <n v="0"/>
    <x v="231"/>
  </r>
  <r>
    <m/>
    <s v="RATEI E RISCONTI PASSIVI"/>
    <n v="0"/>
    <n v="2527933.66"/>
    <n v="2527933.66"/>
    <n v="607000"/>
    <n v="0"/>
    <n v="0"/>
    <n v="0"/>
    <n v="607000"/>
    <n v="2527933.66"/>
    <n v="-1920933.66"/>
    <x v="1"/>
  </r>
  <r>
    <m/>
    <s v="RATEI PASSIVI"/>
    <n v="0"/>
    <n v="0"/>
    <n v="0"/>
    <n v="0"/>
    <n v="0"/>
    <n v="0"/>
    <n v="0"/>
    <n v="0"/>
    <n v="0"/>
    <n v="0"/>
    <x v="1"/>
  </r>
  <r>
    <m/>
    <s v="RATEI PASSIVI"/>
    <n v="0"/>
    <n v="0"/>
    <n v="0"/>
    <n v="0"/>
    <n v="0"/>
    <n v="0"/>
    <n v="0"/>
    <n v="0"/>
    <n v="0"/>
    <n v="0"/>
    <x v="1"/>
  </r>
  <r>
    <s v="2.05.01.01.0101"/>
    <s v="RATEI PASSIVI - FITTI PASSIVI"/>
    <n v="0"/>
    <n v="0"/>
    <n v="0"/>
    <n v="0"/>
    <n v="0"/>
    <n v="0"/>
    <n v="0"/>
    <n v="0"/>
    <n v="0"/>
    <n v="0"/>
    <x v="232"/>
  </r>
  <r>
    <s v="2.05.01.01.0102"/>
    <s v="RATEI PASSIVI - INTERESSI PASSIVI"/>
    <n v="0"/>
    <n v="0"/>
    <n v="0"/>
    <n v="0"/>
    <n v="0"/>
    <n v="0"/>
    <n v="0"/>
    <n v="0"/>
    <n v="0"/>
    <n v="0"/>
    <x v="232"/>
  </r>
  <r>
    <s v="2.05.01.01.0103"/>
    <s v="RATEI PASSIVI - ALTRI"/>
    <n v="0"/>
    <n v="0"/>
    <n v="0"/>
    <n v="0"/>
    <n v="0"/>
    <n v="0"/>
    <n v="0"/>
    <n v="0"/>
    <n v="0"/>
    <n v="0"/>
    <x v="232"/>
  </r>
  <r>
    <s v="2.05.01.01.0201"/>
    <s v="RATEI PASSIVI V/AZIENDE SANITARIE PUBBLICHE DELLA REGIONE"/>
    <n v="0"/>
    <n v="0"/>
    <n v="0"/>
    <n v="0"/>
    <n v="0"/>
    <n v="0"/>
    <n v="0"/>
    <n v="0"/>
    <n v="0"/>
    <n v="0"/>
    <x v="1"/>
  </r>
  <r>
    <m/>
    <s v="RATEI PASSIVI V/AZIENDE SANITARIE PUBBLICHE DELLA REGIONE"/>
    <n v="0"/>
    <n v="0"/>
    <n v="0"/>
    <n v="0"/>
    <n v="0"/>
    <n v="0"/>
    <n v="0"/>
    <n v="0"/>
    <n v="0"/>
    <n v="0"/>
    <x v="1"/>
  </r>
  <r>
    <s v="2.05.01.02.0101"/>
    <s v="Ratei passivi v/Aziende sanitarie pubbliche della Regione"/>
    <n v="0"/>
    <n v="0"/>
    <n v="0"/>
    <n v="0"/>
    <n v="0"/>
    <n v="0"/>
    <n v="0"/>
    <n v="0"/>
    <n v="0"/>
    <n v="0"/>
    <x v="233"/>
  </r>
  <r>
    <m/>
    <s v="RISCONTI PASSIVI"/>
    <n v="0"/>
    <n v="2527933.66"/>
    <n v="2527933.66"/>
    <n v="607000"/>
    <n v="0"/>
    <n v="0"/>
    <n v="0"/>
    <n v="607000"/>
    <n v="2527933.66"/>
    <n v="-1920933.66"/>
    <x v="1"/>
  </r>
  <r>
    <m/>
    <s v="RISCONTI PASSIVI"/>
    <n v="0"/>
    <n v="2527933.66"/>
    <n v="2527933.66"/>
    <n v="607000"/>
    <n v="0"/>
    <n v="0"/>
    <n v="0"/>
    <n v="607000"/>
    <n v="2527933.66"/>
    <n v="-1920933.66"/>
    <x v="1"/>
  </r>
  <r>
    <s v="2.05.02.01.0101"/>
    <s v="RISCONTI PASSIVI SU FSR PER FUNZIONI"/>
    <n v="0"/>
    <n v="0"/>
    <n v="0"/>
    <n v="0"/>
    <n v="0"/>
    <n v="0"/>
    <n v="0"/>
    <n v="0"/>
    <n v="0"/>
    <n v="0"/>
    <x v="234"/>
  </r>
  <r>
    <s v="2.05.02.01.0102"/>
    <s v="RISCONTI PASSIVI SU ALTRI CONTRIBUTI VINCOLATI ASSI DA FSR"/>
    <n v="0"/>
    <n v="0"/>
    <n v="0"/>
    <n v="0"/>
    <n v="0"/>
    <n v="0"/>
    <n v="0"/>
    <n v="0"/>
    <n v="0"/>
    <n v="0"/>
    <x v="234"/>
  </r>
  <r>
    <s v="2.05.02.01.0103"/>
    <s v="RISCONTI PASSIVI OBIETTIVI PSN (PARTE CORRENTE)"/>
    <n v="0"/>
    <n v="0"/>
    <n v="0"/>
    <n v="0"/>
    <n v="0"/>
    <n v="0"/>
    <n v="0"/>
    <n v="0"/>
    <n v="0"/>
    <n v="0"/>
    <x v="234"/>
  </r>
  <r>
    <s v="2.05.02.01.0104"/>
    <s v="RISCONTI PASSIVI ALTRI CONTRIBUTI FSR C/ESERCIZIO"/>
    <n v="0"/>
    <n v="0"/>
    <n v="0"/>
    <n v="0"/>
    <n v="0"/>
    <n v="0"/>
    <n v="0"/>
    <n v="0"/>
    <n v="0"/>
    <n v="0"/>
    <x v="234"/>
  </r>
  <r>
    <s v="2.05.02.01.0105"/>
    <s v="RISCONTI PASSIVI ALTRI CONTRIBUTI FSR VINCOLATI"/>
    <n v="0"/>
    <n v="0"/>
    <n v="0"/>
    <n v="0"/>
    <n v="0"/>
    <n v="0"/>
    <n v="0"/>
    <n v="0"/>
    <n v="0"/>
    <n v="0"/>
    <x v="234"/>
  </r>
  <r>
    <s v="2.05.02.01.0106"/>
    <s v="RISCONTI PASSIVI SU ALTRI CONTRIBUTI DA REGIONE"/>
    <n v="0"/>
    <n v="0"/>
    <n v="0"/>
    <n v="0"/>
    <n v="0"/>
    <n v="0"/>
    <n v="0"/>
    <n v="0"/>
    <n v="0"/>
    <n v="0"/>
    <x v="234"/>
  </r>
  <r>
    <s v="2.05.02.01.0107"/>
    <s v="RISCONTI PASSIVI CONTRIB SAN REGIONALI EXTRA FSR"/>
    <n v="0"/>
    <n v="0"/>
    <n v="0"/>
    <n v="0"/>
    <n v="0"/>
    <n v="0"/>
    <n v="0"/>
    <n v="0"/>
    <n v="0"/>
    <n v="0"/>
    <x v="234"/>
  </r>
  <r>
    <s v="2.05.02.01.0108"/>
    <s v="RISCONTI PASSIVI CONTRIB ALTRI FIN REGLI EXTRA FSR"/>
    <n v="0"/>
    <n v="0"/>
    <n v="0"/>
    <n v="0"/>
    <n v="0"/>
    <n v="0"/>
    <n v="0"/>
    <n v="0"/>
    <n v="0"/>
    <n v="0"/>
    <x v="234"/>
  </r>
  <r>
    <s v="2.05.02.01.0109"/>
    <s v="RISCONTI PASSIVI SU ALTRI CONTRIBUTI VINCOLATI DA ALTRI SOGGETTI"/>
    <n v="0"/>
    <n v="0"/>
    <n v="0"/>
    <n v="0"/>
    <n v="0"/>
    <n v="0"/>
    <n v="0"/>
    <n v="0"/>
    <n v="0"/>
    <n v="0"/>
    <x v="234"/>
  </r>
  <r>
    <s v="2.05.02.01.0110"/>
    <s v="RISCONTI PASSIVI V/SPERIMENTAZIONI GESTIONALI"/>
    <n v="0"/>
    <n v="0"/>
    <n v="0"/>
    <n v="0"/>
    <n v="0"/>
    <n v="0"/>
    <n v="0"/>
    <n v="0"/>
    <n v="0"/>
    <n v="0"/>
    <x v="234"/>
  </r>
  <r>
    <s v="2.05.02.01.0111"/>
    <s v="RISCONTI PASSIVI - FITTI ATTIVI"/>
    <n v="0"/>
    <n v="0"/>
    <n v="0"/>
    <n v="0"/>
    <n v="0"/>
    <n v="0"/>
    <n v="0"/>
    <n v="0"/>
    <n v="0"/>
    <n v="0"/>
    <x v="234"/>
  </r>
  <r>
    <s v="2.05.02.01.0112"/>
    <s v="RISCONTI PASSIVI - ASSICURAZIONI"/>
    <n v="0"/>
    <n v="0"/>
    <n v="0"/>
    <n v="0"/>
    <n v="0"/>
    <n v="0"/>
    <n v="0"/>
    <n v="0"/>
    <n v="0"/>
    <n v="0"/>
    <x v="234"/>
  </r>
  <r>
    <s v="2.05.02.01.0113"/>
    <s v="RISCONTI PASSIVI - CANONI LEASING"/>
    <n v="0"/>
    <n v="0"/>
    <n v="0"/>
    <n v="0"/>
    <n v="0"/>
    <n v="0"/>
    <n v="0"/>
    <n v="0"/>
    <n v="0"/>
    <n v="0"/>
    <x v="234"/>
  </r>
  <r>
    <s v="2.05.02.01.0114"/>
    <s v="RISCONTI PASSIVI - CANONI NOLEGGIO"/>
    <n v="0"/>
    <n v="0"/>
    <n v="0"/>
    <n v="0"/>
    <n v="0"/>
    <n v="0"/>
    <n v="0"/>
    <n v="0"/>
    <n v="0"/>
    <n v="0"/>
    <x v="234"/>
  </r>
  <r>
    <s v="2.05.02.01.0115"/>
    <s v="RISCONTI PASSIVI - SPERIMENTAZIONE CLINICA"/>
    <n v="0"/>
    <n v="2527933.66"/>
    <n v="2527933.66"/>
    <n v="607000"/>
    <n v="0"/>
    <n v="0"/>
    <n v="0"/>
    <n v="607000"/>
    <n v="2527933.66"/>
    <n v="-1920933.66"/>
    <x v="234"/>
  </r>
  <r>
    <s v="2.05.02.01.0116"/>
    <s v="RISCONTI PASSIVI - ALTRO"/>
    <n v="0"/>
    <n v="0"/>
    <n v="0"/>
    <n v="0"/>
    <n v="0"/>
    <n v="0"/>
    <n v="0"/>
    <n v="0"/>
    <n v="0"/>
    <n v="0"/>
    <x v="234"/>
  </r>
  <r>
    <m/>
    <s v="RISCONTI PASSIVI V/AZIENDE SANITARIE PUBBLICHE DELLA REGIONE"/>
    <n v="0"/>
    <n v="0"/>
    <n v="0"/>
    <n v="0"/>
    <n v="0"/>
    <n v="0"/>
    <n v="0"/>
    <n v="0"/>
    <n v="0"/>
    <n v="0"/>
    <x v="1"/>
  </r>
  <r>
    <s v="2.05.02.02.0101"/>
    <s v="RISCONTI PASSIVI V/ASL- DELLA REGIONE"/>
    <n v="0"/>
    <n v="0"/>
    <n v="0"/>
    <n v="0"/>
    <n v="0"/>
    <n v="0"/>
    <n v="0"/>
    <n v="0"/>
    <n v="0"/>
    <n v="0"/>
    <x v="235"/>
  </r>
  <r>
    <s v="2.05.02.02.0102"/>
    <s v="RISCONTI PASSIVI V/AO DELLA REGIONE"/>
    <n v="0"/>
    <n v="0"/>
    <n v="0"/>
    <n v="0"/>
    <n v="0"/>
    <n v="0"/>
    <n v="0"/>
    <n v="0"/>
    <n v="0"/>
    <n v="0"/>
    <x v="235"/>
  </r>
  <r>
    <s v="2.05.02.02.0103"/>
    <s v="RISCONTI PASSIVIV/IRCS E FONDAZIONI DELLA REGIONE"/>
    <n v="0"/>
    <n v="0"/>
    <n v="0"/>
    <n v="0"/>
    <n v="0"/>
    <n v="0"/>
    <n v="0"/>
    <n v="0"/>
    <n v="0"/>
    <n v="0"/>
    <x v="235"/>
  </r>
  <r>
    <m/>
    <s v="Risconti passivi - in attuazione dell'art.79, comma 1 sexies lettera c), del D.L. 112/2008, convertito con legge 133/2008 e della legge 23 dicembre 2009 n. 191."/>
    <n v="0"/>
    <n v="0"/>
    <n v="0"/>
    <n v="0"/>
    <n v="0"/>
    <n v="0"/>
    <n v="0"/>
    <n v="0"/>
    <n v="0"/>
    <n v="0"/>
    <x v="1"/>
  </r>
  <r>
    <s v="2.05.02.03.0101"/>
    <s v="Risconti passivi - in attuazione dell'art.79, comma 1 sexies lettera c), del D.L. 112/2008, convertito con legge 133/2008 e della legge 23 dicembre 2009 n. 191."/>
    <n v="0"/>
    <n v="0"/>
    <n v="0"/>
    <n v="0"/>
    <n v="0"/>
    <n v="0"/>
    <n v="0"/>
    <n v="0"/>
    <n v="0"/>
    <n v="0"/>
    <x v="236"/>
  </r>
  <r>
    <m/>
    <s v="CONTI D'ORDINE"/>
    <n v="290984078.97000003"/>
    <n v="290984078.97000003"/>
    <n v="0"/>
    <n v="0"/>
    <n v="0"/>
    <n v="0"/>
    <n v="0"/>
    <n v="290984078.97000003"/>
    <n v="290984078.97000003"/>
    <n v="0"/>
    <x v="1"/>
  </r>
  <r>
    <m/>
    <s v="CONTI D'ORDINE"/>
    <n v="290984078.97000003"/>
    <n v="0"/>
    <n v="290984078.97000003"/>
    <n v="0"/>
    <n v="0"/>
    <n v="0"/>
    <n v="0"/>
    <n v="290984078.97000003"/>
    <n v="0"/>
    <n v="290984078.97000003"/>
    <x v="1"/>
  </r>
  <r>
    <m/>
    <s v="CANONI DI LEASING ANCORA DA PAGARE"/>
    <n v="0"/>
    <n v="0"/>
    <n v="0"/>
    <n v="0"/>
    <n v="0"/>
    <n v="0"/>
    <n v="0"/>
    <n v="0"/>
    <n v="0"/>
    <n v="0"/>
    <x v="1"/>
  </r>
  <r>
    <m/>
    <s v="CANONI DI LEASING ANCORA DA PAGARE"/>
    <n v="0"/>
    <n v="0"/>
    <n v="0"/>
    <n v="0"/>
    <n v="0"/>
    <n v="0"/>
    <n v="0"/>
    <n v="0"/>
    <n v="0"/>
    <n v="0"/>
    <x v="1"/>
  </r>
  <r>
    <s v="3.01.01.01.0101"/>
    <s v="CANONI DI LEASING ANCORA DA PAGARE"/>
    <n v="0"/>
    <n v="0"/>
    <n v="0"/>
    <n v="0"/>
    <n v="0"/>
    <n v="0"/>
    <n v="0"/>
    <n v="0"/>
    <n v="0"/>
    <n v="0"/>
    <x v="237"/>
  </r>
  <r>
    <m/>
    <s v="DEPOSITI CAUZIONALI"/>
    <n v="0"/>
    <n v="0"/>
    <n v="0"/>
    <n v="0"/>
    <n v="0"/>
    <n v="0"/>
    <n v="0"/>
    <n v="0"/>
    <n v="0"/>
    <n v="0"/>
    <x v="1"/>
  </r>
  <r>
    <m/>
    <s v="DEPOSITI CAUZIONALI"/>
    <n v="0"/>
    <n v="0"/>
    <n v="0"/>
    <n v="0"/>
    <n v="0"/>
    <n v="0"/>
    <n v="0"/>
    <n v="0"/>
    <n v="0"/>
    <n v="0"/>
    <x v="1"/>
  </r>
  <r>
    <s v="3.01.02.01.0101"/>
    <s v="DEPOSITI CAUZIONALI"/>
    <n v="0"/>
    <n v="0"/>
    <n v="0"/>
    <n v="0"/>
    <n v="0"/>
    <n v="0"/>
    <n v="0"/>
    <n v="0"/>
    <n v="0"/>
    <n v="0"/>
    <x v="238"/>
  </r>
  <r>
    <m/>
    <s v="BENI IN COMODATO"/>
    <n v="287897837.58999997"/>
    <n v="0"/>
    <n v="287897837.58999997"/>
    <n v="0"/>
    <n v="0"/>
    <n v="0"/>
    <n v="0"/>
    <n v="287897837.58999997"/>
    <n v="0"/>
    <n v="287897837.58999997"/>
    <x v="1"/>
  </r>
  <r>
    <m/>
    <s v="BENI IN COMODATO"/>
    <n v="287897837.58999997"/>
    <n v="0"/>
    <n v="287897837.58999997"/>
    <n v="0"/>
    <n v="0"/>
    <n v="0"/>
    <n v="0"/>
    <n v="287897837.58999997"/>
    <n v="0"/>
    <n v="287897837.58999997"/>
    <x v="1"/>
  </r>
  <r>
    <s v="3.01.03.01.0101"/>
    <s v="BENI IN COMODATO"/>
    <n v="287897837.58999997"/>
    <n v="0"/>
    <n v="287897837.58999997"/>
    <n v="0"/>
    <n v="0"/>
    <n v="0"/>
    <n v="0"/>
    <n v="287897837.58999997"/>
    <n v="0"/>
    <n v="287897837.58999997"/>
    <x v="239"/>
  </r>
  <r>
    <m/>
    <s v="ALTRI CONTI D'ORDINE"/>
    <n v="3086241.38"/>
    <n v="0"/>
    <n v="3086241.38"/>
    <n v="0"/>
    <n v="0"/>
    <n v="0"/>
    <n v="0"/>
    <n v="3086241.38"/>
    <n v="0"/>
    <n v="3086241.38"/>
    <x v="1"/>
  </r>
  <r>
    <m/>
    <s v="ALTRI CONTI D'ORDINE"/>
    <n v="3086241.38"/>
    <n v="0"/>
    <n v="3086241.38"/>
    <n v="0"/>
    <n v="0"/>
    <n v="0"/>
    <n v="0"/>
    <n v="3086241.38"/>
    <n v="0"/>
    <n v="3086241.38"/>
    <x v="1"/>
  </r>
  <r>
    <s v="3.01.04.01.0101"/>
    <s v="GARANZIE REALI PRESTATE"/>
    <n v="0"/>
    <n v="0"/>
    <n v="0"/>
    <n v="0"/>
    <n v="0"/>
    <n v="0"/>
    <n v="0"/>
    <n v="0"/>
    <n v="0"/>
    <n v="0"/>
    <x v="240"/>
  </r>
  <r>
    <s v="3.01.04.01.0102"/>
    <s v="FIDEJUSSIONI E ALTRE GARANZIE PRESTATE"/>
    <n v="3086241.38"/>
    <n v="0"/>
    <n v="3086241.38"/>
    <n v="0"/>
    <n v="0"/>
    <n v="0"/>
    <n v="0"/>
    <n v="3086241.38"/>
    <n v="0"/>
    <n v="3086241.38"/>
    <x v="240"/>
  </r>
  <r>
    <s v="3.01.04.01.0103"/>
    <s v="RATE DI AFFITTO A SCADERE"/>
    <n v="0"/>
    <n v="0"/>
    <n v="0"/>
    <n v="0"/>
    <n v="0"/>
    <n v="0"/>
    <n v="0"/>
    <n v="0"/>
    <n v="0"/>
    <n v="0"/>
    <x v="240"/>
  </r>
  <r>
    <s v="3.01.04.01.0104"/>
    <s v="CONTRATTI DI APPALTO IN CORSO DI ESECUZIONE"/>
    <n v="0"/>
    <n v="0"/>
    <n v="0"/>
    <n v="0"/>
    <n v="0"/>
    <n v="0"/>
    <n v="0"/>
    <n v="0"/>
    <n v="0"/>
    <n v="0"/>
    <x v="240"/>
  </r>
  <r>
    <s v="3.01.04.01.0105"/>
    <s v="IMPEGNI DI ESERCIZI PREGRESSI"/>
    <n v="0"/>
    <n v="0"/>
    <n v="0"/>
    <n v="0"/>
    <n v="0"/>
    <n v="0"/>
    <n v="0"/>
    <n v="0"/>
    <n v="0"/>
    <n v="0"/>
    <x v="240"/>
  </r>
  <r>
    <s v="3.01.04.01.0106"/>
    <s v="BENI IN DEPOSITO"/>
    <n v="0"/>
    <n v="0"/>
    <n v="0"/>
    <n v="0"/>
    <n v="0"/>
    <n v="0"/>
    <n v="0"/>
    <n v="0"/>
    <n v="0"/>
    <n v="0"/>
    <x v="240"/>
  </r>
  <r>
    <m/>
    <s v="CANONI DI PROJECT FINANCING ANCORA DA PAGARE"/>
    <n v="0"/>
    <n v="0"/>
    <n v="0"/>
    <n v="0"/>
    <n v="0"/>
    <n v="0"/>
    <n v="0"/>
    <n v="0"/>
    <n v="0"/>
    <n v="0"/>
    <x v="1"/>
  </r>
  <r>
    <m/>
    <s v="CANONI DI PROJECT FINANCING ANCORA DA PAGARE"/>
    <n v="0"/>
    <n v="0"/>
    <n v="0"/>
    <n v="0"/>
    <n v="0"/>
    <n v="0"/>
    <n v="0"/>
    <n v="0"/>
    <n v="0"/>
    <n v="0"/>
    <x v="1"/>
  </r>
  <r>
    <s v="3.01.05.01.0101"/>
    <s v="CANONI DI PROJECT FINANCING ANCORA DA PAGARE"/>
    <n v="0"/>
    <n v="0"/>
    <n v="0"/>
    <n v="0"/>
    <n v="0"/>
    <n v="0"/>
    <n v="0"/>
    <n v="0"/>
    <n v="0"/>
    <n v="0"/>
    <x v="241"/>
  </r>
  <r>
    <m/>
    <s v="CONTI D'ORDINE"/>
    <n v="0"/>
    <n v="290984078.97000003"/>
    <n v="290984078.97000003"/>
    <n v="0"/>
    <n v="0"/>
    <n v="0"/>
    <n v="0"/>
    <n v="0"/>
    <n v="290984078.97000003"/>
    <n v="-290984078.97000003"/>
    <x v="1"/>
  </r>
  <r>
    <m/>
    <s v="CANONI DI LEASING ANCORA DA PAGARE"/>
    <n v="0"/>
    <n v="0"/>
    <n v="0"/>
    <n v="0"/>
    <n v="0"/>
    <n v="0"/>
    <n v="0"/>
    <n v="0"/>
    <n v="0"/>
    <n v="0"/>
    <x v="1"/>
  </r>
  <r>
    <m/>
    <s v="CANONI DI LEASING ANCORA DA PAGARE"/>
    <n v="0"/>
    <n v="0"/>
    <n v="0"/>
    <n v="0"/>
    <n v="0"/>
    <n v="0"/>
    <n v="0"/>
    <n v="0"/>
    <n v="0"/>
    <n v="0"/>
    <x v="1"/>
  </r>
  <r>
    <s v="3.02.01.01.0101"/>
    <s v="Canoni di leasing ancora da pagare"/>
    <n v="0"/>
    <n v="0"/>
    <n v="0"/>
    <n v="0"/>
    <n v="0"/>
    <n v="0"/>
    <n v="0"/>
    <n v="0"/>
    <n v="0"/>
    <n v="0"/>
    <x v="242"/>
  </r>
  <r>
    <m/>
    <s v="DEPOSITI CAUZIONALI"/>
    <n v="0"/>
    <n v="0"/>
    <n v="0"/>
    <n v="0"/>
    <n v="0"/>
    <n v="0"/>
    <n v="0"/>
    <n v="0"/>
    <n v="0"/>
    <n v="0"/>
    <x v="1"/>
  </r>
  <r>
    <m/>
    <s v="DEPOSITI CAUZIONALI"/>
    <n v="0"/>
    <n v="0"/>
    <n v="0"/>
    <n v="0"/>
    <n v="0"/>
    <n v="0"/>
    <n v="0"/>
    <n v="0"/>
    <n v="0"/>
    <n v="0"/>
    <x v="1"/>
  </r>
  <r>
    <s v="3.02.02.01.0101"/>
    <s v="Depositi cauzionali"/>
    <n v="0"/>
    <n v="0"/>
    <n v="0"/>
    <n v="0"/>
    <n v="0"/>
    <n v="0"/>
    <n v="0"/>
    <n v="0"/>
    <n v="0"/>
    <n v="0"/>
    <x v="243"/>
  </r>
  <r>
    <m/>
    <s v="BENI IN COMODATO"/>
    <n v="0"/>
    <n v="287897837.58999997"/>
    <n v="287897837.58999997"/>
    <n v="0"/>
    <n v="0"/>
    <n v="0"/>
    <n v="0"/>
    <n v="0"/>
    <n v="287897837.58999997"/>
    <n v="-287897837.58999997"/>
    <x v="1"/>
  </r>
  <r>
    <m/>
    <s v="BENI IN COMODATO"/>
    <n v="0"/>
    <n v="287897837.58999997"/>
    <n v="287897837.58999997"/>
    <n v="0"/>
    <n v="0"/>
    <n v="0"/>
    <n v="0"/>
    <n v="0"/>
    <n v="287897837.58999997"/>
    <n v="-287897837.58999997"/>
    <x v="1"/>
  </r>
  <r>
    <s v="3.02.03.01.0101"/>
    <s v="BENI IN COMODATO"/>
    <n v="0"/>
    <n v="287897837.58999997"/>
    <n v="287897837.58999997"/>
    <n v="0"/>
    <n v="0"/>
    <n v="0"/>
    <n v="0"/>
    <n v="0"/>
    <n v="287897837.58999997"/>
    <n v="-287897837.58999997"/>
    <x v="244"/>
  </r>
  <r>
    <m/>
    <s v="ALTRI CONTI D'ORDINE"/>
    <n v="0"/>
    <n v="3086241.38"/>
    <n v="3086241.38"/>
    <n v="0"/>
    <n v="0"/>
    <n v="0"/>
    <n v="0"/>
    <n v="0"/>
    <n v="3086241.38"/>
    <n v="-3086241.38"/>
    <x v="1"/>
  </r>
  <r>
    <m/>
    <s v="ALTRI CONTRI D'ORDINE"/>
    <n v="0"/>
    <n v="3086241.38"/>
    <n v="3086241.38"/>
    <n v="0"/>
    <n v="0"/>
    <n v="0"/>
    <n v="0"/>
    <n v="0"/>
    <n v="3086241.38"/>
    <n v="-3086241.38"/>
    <x v="1"/>
  </r>
  <r>
    <s v="3.02.04.01.0101"/>
    <s v="GARANZIE PRESTATE"/>
    <n v="0"/>
    <n v="0"/>
    <n v="0"/>
    <n v="0"/>
    <n v="0"/>
    <n v="0"/>
    <n v="0"/>
    <n v="0"/>
    <n v="0"/>
    <n v="0"/>
    <x v="245"/>
  </r>
  <r>
    <s v="3.02.04.01.0201"/>
    <s v="GARANZIE RICEVUTE"/>
    <n v="0"/>
    <n v="0"/>
    <n v="0"/>
    <n v="0"/>
    <n v="0"/>
    <n v="0"/>
    <n v="0"/>
    <n v="0"/>
    <n v="0"/>
    <n v="0"/>
    <x v="245"/>
  </r>
  <r>
    <s v="3.02.04.01.0301"/>
    <s v="BENI PRESSO TERZI"/>
    <n v="0"/>
    <n v="0"/>
    <n v="0"/>
    <n v="0"/>
    <n v="0"/>
    <n v="0"/>
    <n v="0"/>
    <n v="0"/>
    <n v="0"/>
    <n v="0"/>
    <x v="245"/>
  </r>
  <r>
    <s v="3.02.04.01.0401"/>
    <s v="BENI IN CONTENZIOSO"/>
    <n v="0"/>
    <n v="0"/>
    <n v="0"/>
    <n v="0"/>
    <n v="0"/>
    <n v="0"/>
    <n v="0"/>
    <n v="0"/>
    <n v="0"/>
    <n v="0"/>
    <x v="245"/>
  </r>
  <r>
    <s v="3.02.04.01.0501"/>
    <s v="ALTRI IMPEGNI ASSUNTI"/>
    <n v="0"/>
    <n v="0"/>
    <n v="0"/>
    <n v="0"/>
    <n v="0"/>
    <n v="0"/>
    <n v="0"/>
    <n v="0"/>
    <n v="0"/>
    <n v="0"/>
    <x v="245"/>
  </r>
  <r>
    <s v="3.02.04.01.0502"/>
    <s v="FIDEJUSSIONI E ALTRE GARANZIE PRESTATE"/>
    <n v="0"/>
    <n v="3086241.38"/>
    <n v="3086241.38"/>
    <n v="0"/>
    <n v="0"/>
    <n v="0"/>
    <n v="0"/>
    <n v="0"/>
    <n v="3086241.38"/>
    <n v="-3086241.38"/>
    <x v="245"/>
  </r>
  <r>
    <s v="3.02.04.01.9901"/>
    <s v="ALTRI CONTI D'ORDINE"/>
    <n v="0"/>
    <n v="0"/>
    <n v="0"/>
    <n v="0"/>
    <n v="0"/>
    <n v="0"/>
    <n v="0"/>
    <n v="0"/>
    <n v="0"/>
    <n v="0"/>
    <x v="245"/>
  </r>
  <r>
    <m/>
    <s v="CANONI DI PROJECT FINANCING ANCORA DA PAGARE"/>
    <n v="0"/>
    <n v="0"/>
    <n v="0"/>
    <n v="0"/>
    <n v="0"/>
    <n v="0"/>
    <n v="0"/>
    <n v="0"/>
    <n v="0"/>
    <n v="0"/>
    <x v="1"/>
  </r>
  <r>
    <m/>
    <s v="CANONI DI PROJECT FINANCING ANCORA DA PAGARE"/>
    <n v="0"/>
    <n v="0"/>
    <n v="0"/>
    <n v="0"/>
    <n v="0"/>
    <n v="0"/>
    <n v="0"/>
    <n v="0"/>
    <n v="0"/>
    <n v="0"/>
    <x v="1"/>
  </r>
  <r>
    <s v="3.02.05.01.0101"/>
    <s v="CANONI DI PROJECT FINANCING ANCORA DA PAGARE"/>
    <n v="0"/>
    <n v="0"/>
    <n v="0"/>
    <n v="0"/>
    <n v="0"/>
    <n v="0"/>
    <n v="0"/>
    <n v="0"/>
    <n v="0"/>
    <n v="0"/>
    <x v="2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Tabella pivot2" cacheId="2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3:E251" firstHeaderRow="0" firstDataRow="1" firstDataCol="1"/>
  <pivotFields count="13"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axis="axisRow" showAll="0">
      <items count="248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121"/>
        <item x="72"/>
        <item x="73"/>
        <item x="74"/>
        <item x="75"/>
        <item x="76"/>
        <item x="77"/>
        <item x="122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3"/>
        <item x="92"/>
        <item x="94"/>
        <item x="95"/>
        <item x="96"/>
        <item x="97"/>
        <item x="100"/>
        <item x="98"/>
        <item x="99"/>
        <item x="123"/>
        <item x="124"/>
        <item x="101"/>
        <item x="102"/>
        <item x="103"/>
        <item x="104"/>
        <item x="105"/>
        <item x="125"/>
        <item x="106"/>
        <item x="126"/>
        <item x="107"/>
        <item x="108"/>
        <item x="109"/>
        <item x="110"/>
        <item x="111"/>
        <item x="112"/>
        <item x="113"/>
        <item x="114"/>
        <item x="117"/>
        <item x="115"/>
        <item x="118"/>
        <item x="120"/>
        <item x="116"/>
        <item x="119"/>
        <item x="127"/>
        <item x="128"/>
        <item x="129"/>
        <item x="130"/>
        <item x="131"/>
        <item x="132"/>
        <item x="133"/>
        <item x="134"/>
        <item x="135"/>
        <item x="136"/>
        <item x="237"/>
        <item x="238"/>
        <item x="239"/>
        <item x="241"/>
        <item x="240"/>
        <item x="0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1"/>
        <item x="162"/>
        <item x="160"/>
        <item x="163"/>
        <item x="164"/>
        <item x="165"/>
        <item x="166"/>
        <item x="167"/>
        <item x="168"/>
        <item x="169"/>
        <item x="170"/>
        <item x="175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6"/>
        <item x="192"/>
        <item x="193"/>
        <item x="197"/>
        <item x="194"/>
        <item x="198"/>
        <item x="199"/>
        <item x="200"/>
        <item x="195"/>
        <item x="201"/>
        <item x="202"/>
        <item x="203"/>
        <item x="204"/>
        <item x="205"/>
        <item x="206"/>
        <item x="207"/>
        <item x="214"/>
        <item x="215"/>
        <item x="216"/>
        <item x="208"/>
        <item x="209"/>
        <item x="210"/>
        <item x="211"/>
        <item x="212"/>
        <item x="213"/>
        <item x="218"/>
        <item x="219"/>
        <item x="217"/>
        <item x="220"/>
        <item x="221"/>
        <item x="223"/>
        <item x="222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42"/>
        <item x="243"/>
        <item x="244"/>
        <item x="246"/>
        <item x="245"/>
        <item x="1"/>
        <item t="default"/>
      </items>
    </pivotField>
  </pivotFields>
  <rowFields count="1">
    <field x="12"/>
  </rowFields>
  <rowItems count="2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ma di SALDO" fld="4" baseField="12" baseItem="0"/>
    <dataField name="Somma di SALDO MOV" fld="5" baseField="12" baseItem="0"/>
    <dataField name="Somma di SALDO MOV2" fld="6" baseField="12" baseItem="0"/>
    <dataField name="Somma di SALDO2" fld="11" baseField="12" baseItem="0"/>
  </dataFields>
  <formats count="4">
    <format dxfId="5">
      <pivotArea dataOnly="0" fieldPosition="0">
        <references count="1">
          <reference field="12" count="1">
            <x v="158"/>
          </reference>
        </references>
      </pivotArea>
    </format>
    <format dxfId="4">
      <pivotArea dataOnly="0" fieldPosition="0">
        <references count="1">
          <reference field="12" count="1">
            <x v="157"/>
          </reference>
        </references>
      </pivotArea>
    </format>
    <format dxfId="3">
      <pivotArea collapsedLevelsAreSubtotals="1" fieldPosition="0">
        <references count="1">
          <reference field="12" count="1">
            <x v="229"/>
          </reference>
        </references>
      </pivotArea>
    </format>
    <format dxfId="2">
      <pivotArea dataOnly="0" labelOnly="1" fieldPosition="0">
        <references count="1">
          <reference field="12" count="1">
            <x v="22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19"/>
  <sheetViews>
    <sheetView topLeftCell="E1" workbookViewId="0">
      <selection activeCell="E1" sqref="A1:XFD1048576"/>
    </sheetView>
  </sheetViews>
  <sheetFormatPr defaultColWidth="9.28515625" defaultRowHeight="15"/>
  <cols>
    <col min="1" max="1" width="3.5703125" customWidth="1"/>
    <col min="2" max="2" width="4.42578125" customWidth="1"/>
    <col min="3" max="3" width="4.7109375" customWidth="1"/>
    <col min="4" max="4" width="5.7109375" customWidth="1"/>
    <col min="5" max="5" width="6.85546875" customWidth="1"/>
    <col min="6" max="6" width="31.42578125" style="922" customWidth="1"/>
    <col min="7" max="7" width="11.85546875" style="922" customWidth="1"/>
    <col min="8" max="8" width="11.85546875" customWidth="1"/>
    <col min="9" max="9" width="8.42578125" customWidth="1"/>
    <col min="10" max="10" width="8.28515625" customWidth="1"/>
    <col min="11" max="11" width="26.140625" customWidth="1"/>
    <col min="12" max="12" width="15.7109375" customWidth="1"/>
    <col min="13" max="13" width="15.140625" customWidth="1"/>
    <col min="14" max="14" width="12" bestFit="1" customWidth="1"/>
  </cols>
  <sheetData>
    <row r="1" spans="1:13">
      <c r="A1" s="1314" t="s">
        <v>13164</v>
      </c>
      <c r="B1" s="1314"/>
      <c r="C1" s="1314"/>
      <c r="D1" s="1314"/>
      <c r="E1" s="1314"/>
      <c r="F1" s="1314"/>
      <c r="G1" s="1314"/>
      <c r="H1" s="1314"/>
      <c r="I1" s="1315" t="s">
        <v>12928</v>
      </c>
      <c r="J1" s="1315"/>
    </row>
    <row r="2" spans="1:13" ht="27.75" customHeight="1">
      <c r="A2" s="1314"/>
      <c r="B2" s="1314"/>
      <c r="C2" s="1314"/>
      <c r="D2" s="1314"/>
      <c r="E2" s="1314"/>
      <c r="F2" s="1314"/>
      <c r="G2" s="1314"/>
      <c r="H2" s="1314"/>
      <c r="I2" s="1315"/>
      <c r="J2" s="1315"/>
    </row>
    <row r="3" spans="1:13" ht="15.75">
      <c r="A3" s="1316"/>
      <c r="B3" s="1316"/>
      <c r="C3" s="1316"/>
      <c r="D3" s="1316"/>
      <c r="E3" s="825"/>
      <c r="F3" s="826"/>
      <c r="G3" s="826"/>
      <c r="H3" s="825"/>
      <c r="I3" s="827"/>
      <c r="J3" s="827"/>
    </row>
    <row r="4" spans="1:13" ht="19.5" customHeight="1">
      <c r="A4" s="1317" t="s">
        <v>12929</v>
      </c>
      <c r="B4" s="1317"/>
      <c r="C4" s="1317"/>
      <c r="D4" s="1317"/>
      <c r="E4" s="1317"/>
      <c r="F4" s="1317"/>
      <c r="G4" s="1318" t="s">
        <v>13285</v>
      </c>
      <c r="H4" s="1318" t="s">
        <v>13165</v>
      </c>
      <c r="I4" s="1320" t="s">
        <v>13282</v>
      </c>
      <c r="J4" s="1320"/>
    </row>
    <row r="5" spans="1:13">
      <c r="A5" s="1317"/>
      <c r="B5" s="1317"/>
      <c r="C5" s="1317"/>
      <c r="D5" s="1317"/>
      <c r="E5" s="1317"/>
      <c r="F5" s="1317"/>
      <c r="G5" s="1319"/>
      <c r="H5" s="1319"/>
      <c r="I5" s="828" t="s">
        <v>0</v>
      </c>
      <c r="J5" s="828" t="s">
        <v>12930</v>
      </c>
    </row>
    <row r="6" spans="1:13">
      <c r="A6" s="1146" t="s">
        <v>12931</v>
      </c>
      <c r="B6" s="1321" t="s">
        <v>4676</v>
      </c>
      <c r="C6" s="1321"/>
      <c r="D6" s="1321"/>
      <c r="E6" s="1321"/>
      <c r="F6" s="1321"/>
      <c r="G6" s="1147"/>
      <c r="H6" s="1147"/>
      <c r="I6" s="1148"/>
      <c r="J6" s="829"/>
    </row>
    <row r="7" spans="1:13">
      <c r="A7" s="1149"/>
      <c r="B7" s="1150" t="s">
        <v>12932</v>
      </c>
      <c r="C7" s="1322" t="s">
        <v>4679</v>
      </c>
      <c r="D7" s="1322"/>
      <c r="E7" s="1322"/>
      <c r="F7" s="1322"/>
      <c r="G7" s="1152">
        <v>143335953.13</v>
      </c>
      <c r="H7" s="1152">
        <v>137579257.44</v>
      </c>
      <c r="I7" s="1153">
        <v>5756695.6899999976</v>
      </c>
      <c r="J7" s="834">
        <v>4.1842758836742253E-2</v>
      </c>
      <c r="L7" s="1303"/>
      <c r="M7" s="764"/>
    </row>
    <row r="8" spans="1:13" ht="19.5" customHeight="1">
      <c r="A8" s="1154"/>
      <c r="B8" s="849"/>
      <c r="C8" s="850"/>
      <c r="D8" s="849" t="s">
        <v>12933</v>
      </c>
      <c r="E8" s="1323" t="s">
        <v>12934</v>
      </c>
      <c r="F8" s="1324"/>
      <c r="G8" s="1155">
        <v>141042139.46000001</v>
      </c>
      <c r="H8" s="1155">
        <v>133516926.47</v>
      </c>
      <c r="I8" s="1156">
        <v>7525212.9900000095</v>
      </c>
      <c r="J8" s="834">
        <v>5.6361490553715331E-2</v>
      </c>
      <c r="L8" s="1303"/>
      <c r="M8" s="764"/>
    </row>
    <row r="9" spans="1:13">
      <c r="A9" s="1154"/>
      <c r="B9" s="849"/>
      <c r="C9" s="850"/>
      <c r="D9" s="849" t="s">
        <v>12935</v>
      </c>
      <c r="E9" s="1313" t="s">
        <v>12936</v>
      </c>
      <c r="F9" s="1313"/>
      <c r="G9" s="842">
        <v>2293813.67</v>
      </c>
      <c r="H9" s="842">
        <v>4062330.97</v>
      </c>
      <c r="I9" s="1156">
        <v>-1768517.3000000003</v>
      </c>
      <c r="J9" s="834">
        <v>-0.43534544897015132</v>
      </c>
      <c r="L9" s="1303"/>
      <c r="M9" s="764"/>
    </row>
    <row r="10" spans="1:13" ht="22.5">
      <c r="A10" s="1157"/>
      <c r="B10" s="1158"/>
      <c r="C10" s="1159"/>
      <c r="D10" s="1158"/>
      <c r="E10" s="840" t="s">
        <v>12932</v>
      </c>
      <c r="F10" s="841" t="s">
        <v>12937</v>
      </c>
      <c r="G10" s="842">
        <v>1852526</v>
      </c>
      <c r="H10" s="1160">
        <v>0</v>
      </c>
      <c r="I10" s="1156">
        <v>1852526</v>
      </c>
      <c r="J10" s="834">
        <v>1</v>
      </c>
      <c r="L10" s="1303"/>
      <c r="M10" s="764"/>
    </row>
    <row r="11" spans="1:13" ht="33.75">
      <c r="A11" s="1157"/>
      <c r="B11" s="1158"/>
      <c r="C11" s="1159"/>
      <c r="D11" s="1158"/>
      <c r="E11" s="840" t="s">
        <v>12938</v>
      </c>
      <c r="F11" s="841" t="s">
        <v>12939</v>
      </c>
      <c r="G11" s="1161"/>
      <c r="H11" s="1162"/>
      <c r="I11" s="1156">
        <v>0</v>
      </c>
      <c r="J11" s="834">
        <v>0</v>
      </c>
      <c r="L11" s="1303"/>
      <c r="M11" s="764"/>
    </row>
    <row r="12" spans="1:13" ht="33.75">
      <c r="A12" s="1157"/>
      <c r="B12" s="1158"/>
      <c r="C12" s="1159"/>
      <c r="D12" s="1158"/>
      <c r="E12" s="840" t="s">
        <v>12940</v>
      </c>
      <c r="F12" s="841" t="s">
        <v>12941</v>
      </c>
      <c r="G12" s="1163"/>
      <c r="H12" s="1164"/>
      <c r="I12" s="1156">
        <v>0</v>
      </c>
      <c r="J12" s="834">
        <v>0</v>
      </c>
      <c r="L12" s="1303"/>
      <c r="M12" s="764"/>
    </row>
    <row r="13" spans="1:13" ht="22.5">
      <c r="A13" s="1157"/>
      <c r="B13" s="1158"/>
      <c r="C13" s="1159"/>
      <c r="D13" s="1158"/>
      <c r="E13" s="840" t="s">
        <v>12942</v>
      </c>
      <c r="F13" s="841" t="s">
        <v>12943</v>
      </c>
      <c r="G13" s="1163"/>
      <c r="H13" s="1164"/>
      <c r="I13" s="1156">
        <v>0</v>
      </c>
      <c r="J13" s="834">
        <v>0</v>
      </c>
      <c r="L13" s="1303"/>
      <c r="M13" s="764"/>
    </row>
    <row r="14" spans="1:13">
      <c r="A14" s="1157"/>
      <c r="B14" s="1158"/>
      <c r="C14" s="1159"/>
      <c r="D14" s="1158"/>
      <c r="E14" s="840" t="s">
        <v>12944</v>
      </c>
      <c r="F14" s="841" t="s">
        <v>12945</v>
      </c>
      <c r="G14" s="1163"/>
      <c r="H14" s="1164"/>
      <c r="I14" s="1156">
        <v>0</v>
      </c>
      <c r="J14" s="834">
        <v>0</v>
      </c>
      <c r="L14" s="1303"/>
      <c r="M14" s="764"/>
    </row>
    <row r="15" spans="1:13">
      <c r="A15" s="1157"/>
      <c r="B15" s="1158"/>
      <c r="C15" s="1159"/>
      <c r="D15" s="1158"/>
      <c r="E15" s="840" t="s">
        <v>12946</v>
      </c>
      <c r="F15" s="841" t="s">
        <v>12947</v>
      </c>
      <c r="G15" s="844">
        <v>441287.67</v>
      </c>
      <c r="H15" s="844">
        <v>4062330.97</v>
      </c>
      <c r="I15" s="1156">
        <v>-3621043.3000000003</v>
      </c>
      <c r="J15" s="834">
        <v>-0.89137082299328263</v>
      </c>
      <c r="L15" s="1303"/>
      <c r="M15" s="764"/>
    </row>
    <row r="16" spans="1:13">
      <c r="A16" s="1154"/>
      <c r="B16" s="849"/>
      <c r="C16" s="850"/>
      <c r="D16" s="849" t="s">
        <v>12948</v>
      </c>
      <c r="E16" s="1313" t="s">
        <v>12949</v>
      </c>
      <c r="F16" s="1313"/>
      <c r="G16" s="1165"/>
      <c r="H16" s="1166"/>
      <c r="I16" s="1156">
        <v>0</v>
      </c>
      <c r="J16" s="834">
        <v>0</v>
      </c>
      <c r="L16" s="1303"/>
      <c r="M16" s="764"/>
    </row>
    <row r="17" spans="1:13">
      <c r="A17" s="1154"/>
      <c r="B17" s="849"/>
      <c r="C17" s="850"/>
      <c r="D17" s="850"/>
      <c r="E17" s="1167" t="s">
        <v>12932</v>
      </c>
      <c r="F17" s="841" t="s">
        <v>12950</v>
      </c>
      <c r="G17" s="1163"/>
      <c r="H17" s="1164"/>
      <c r="I17" s="1156">
        <v>0</v>
      </c>
      <c r="J17" s="834">
        <v>0</v>
      </c>
      <c r="L17" s="1303"/>
      <c r="M17" s="764"/>
    </row>
    <row r="18" spans="1:13">
      <c r="A18" s="1154"/>
      <c r="B18" s="849"/>
      <c r="C18" s="850"/>
      <c r="D18" s="850"/>
      <c r="E18" s="1167" t="s">
        <v>12938</v>
      </c>
      <c r="F18" s="841" t="s">
        <v>12951</v>
      </c>
      <c r="G18" s="1163"/>
      <c r="H18" s="1164"/>
      <c r="I18" s="1156">
        <v>0</v>
      </c>
      <c r="J18" s="834">
        <v>0</v>
      </c>
      <c r="L18" s="1303"/>
      <c r="M18" s="764"/>
    </row>
    <row r="19" spans="1:13">
      <c r="A19" s="1154"/>
      <c r="B19" s="849"/>
      <c r="C19" s="850"/>
      <c r="D19" s="850"/>
      <c r="E19" s="1167" t="s">
        <v>12940</v>
      </c>
      <c r="F19" s="841" t="s">
        <v>12952</v>
      </c>
      <c r="G19" s="1163"/>
      <c r="H19" s="1164"/>
      <c r="I19" s="1156">
        <v>0</v>
      </c>
      <c r="J19" s="834">
        <v>0</v>
      </c>
      <c r="L19" s="1303"/>
      <c r="M19" s="764"/>
    </row>
    <row r="20" spans="1:13">
      <c r="A20" s="1154"/>
      <c r="B20" s="849"/>
      <c r="C20" s="850"/>
      <c r="D20" s="850"/>
      <c r="E20" s="1167" t="s">
        <v>12942</v>
      </c>
      <c r="F20" s="841" t="s">
        <v>12953</v>
      </c>
      <c r="G20" s="1163"/>
      <c r="H20" s="1164"/>
      <c r="I20" s="1156">
        <v>0</v>
      </c>
      <c r="J20" s="834">
        <v>0</v>
      </c>
      <c r="L20" s="1303"/>
      <c r="M20" s="764"/>
    </row>
    <row r="21" spans="1:13">
      <c r="A21" s="1154"/>
      <c r="B21" s="849"/>
      <c r="C21" s="850"/>
      <c r="D21" s="849" t="s">
        <v>12954</v>
      </c>
      <c r="E21" s="1313" t="s">
        <v>12955</v>
      </c>
      <c r="F21" s="1313"/>
      <c r="G21" s="1165"/>
      <c r="H21" s="1166"/>
      <c r="I21" s="1156">
        <v>0</v>
      </c>
      <c r="J21" s="834">
        <v>0</v>
      </c>
      <c r="L21" s="1303"/>
      <c r="M21" s="764"/>
    </row>
    <row r="22" spans="1:13">
      <c r="A22" s="1168"/>
      <c r="B22" s="1150" t="s">
        <v>12938</v>
      </c>
      <c r="C22" s="1151" t="s">
        <v>4898</v>
      </c>
      <c r="D22" s="1169"/>
      <c r="E22" s="1170"/>
      <c r="F22" s="1171"/>
      <c r="G22" s="842">
        <v>-500000</v>
      </c>
      <c r="H22" s="842">
        <v>-3466830.95</v>
      </c>
      <c r="I22" s="1156">
        <v>2966830.95</v>
      </c>
      <c r="J22" s="834">
        <v>-0.85577606545828255</v>
      </c>
      <c r="L22" s="1303"/>
      <c r="M22" s="764"/>
    </row>
    <row r="23" spans="1:13">
      <c r="A23" s="1168"/>
      <c r="B23" s="1150" t="s">
        <v>12940</v>
      </c>
      <c r="C23" s="1151" t="s">
        <v>4918</v>
      </c>
      <c r="D23" s="1169"/>
      <c r="E23" s="1170"/>
      <c r="F23" s="1171"/>
      <c r="G23" s="1152">
        <v>6168866.3200000003</v>
      </c>
      <c r="H23" s="1152">
        <v>1978447.06</v>
      </c>
      <c r="I23" s="1156">
        <v>4190419.2600000002</v>
      </c>
      <c r="J23" s="834">
        <v>2.1180345659590203</v>
      </c>
      <c r="L23" s="1303"/>
      <c r="M23" s="764"/>
    </row>
    <row r="24" spans="1:13">
      <c r="A24" s="1149"/>
      <c r="B24" s="1150" t="s">
        <v>12942</v>
      </c>
      <c r="C24" s="1151" t="s">
        <v>5013</v>
      </c>
      <c r="D24" s="1169"/>
      <c r="E24" s="1170"/>
      <c r="F24" s="1171"/>
      <c r="G24" s="1152">
        <v>195968466.95000002</v>
      </c>
      <c r="H24" s="1152">
        <v>190779621.37</v>
      </c>
      <c r="I24" s="1155">
        <v>5188845.5800000131</v>
      </c>
      <c r="J24" s="834">
        <v>2.7198112370381066E-2</v>
      </c>
      <c r="L24" s="1303"/>
      <c r="M24" s="764"/>
    </row>
    <row r="25" spans="1:13" ht="19.5" customHeight="1">
      <c r="A25" s="1154"/>
      <c r="B25" s="849"/>
      <c r="C25" s="850"/>
      <c r="D25" s="849" t="s">
        <v>12933</v>
      </c>
      <c r="E25" s="1327" t="s">
        <v>12956</v>
      </c>
      <c r="F25" s="1327"/>
      <c r="G25" s="842">
        <v>187469788.32000002</v>
      </c>
      <c r="H25" s="842">
        <v>181837828.15000001</v>
      </c>
      <c r="I25" s="1156">
        <v>5631960.1700000167</v>
      </c>
      <c r="J25" s="834">
        <v>3.0972434214041267E-2</v>
      </c>
      <c r="L25" s="1303"/>
      <c r="M25" s="764"/>
    </row>
    <row r="26" spans="1:13">
      <c r="A26" s="1154"/>
      <c r="B26" s="849"/>
      <c r="C26" s="850"/>
      <c r="D26" s="849" t="s">
        <v>12935</v>
      </c>
      <c r="E26" s="1328" t="s">
        <v>12957</v>
      </c>
      <c r="F26" s="1328"/>
      <c r="G26" s="842">
        <v>4357916.2</v>
      </c>
      <c r="H26" s="842">
        <v>4172802.4699999997</v>
      </c>
      <c r="I26" s="1156">
        <v>185113.73000000045</v>
      </c>
      <c r="J26" s="834">
        <v>4.4361968085204012E-2</v>
      </c>
      <c r="L26" s="1303"/>
      <c r="M26" s="764"/>
    </row>
    <row r="27" spans="1:13">
      <c r="A27" s="1154"/>
      <c r="B27" s="849"/>
      <c r="C27" s="850"/>
      <c r="D27" s="849" t="s">
        <v>12948</v>
      </c>
      <c r="E27" s="850" t="s">
        <v>12958</v>
      </c>
      <c r="F27" s="841"/>
      <c r="G27" s="842">
        <v>4140762.4299999997</v>
      </c>
      <c r="H27" s="842">
        <v>4768990.75</v>
      </c>
      <c r="I27" s="1156">
        <v>-628228.3200000003</v>
      </c>
      <c r="J27" s="834">
        <v>-0.13173192252469776</v>
      </c>
      <c r="L27" s="1303"/>
      <c r="M27" s="764"/>
    </row>
    <row r="28" spans="1:13">
      <c r="A28" s="1168"/>
      <c r="B28" s="1150" t="s">
        <v>12944</v>
      </c>
      <c r="C28" s="1151" t="s">
        <v>5392</v>
      </c>
      <c r="D28" s="1151"/>
      <c r="E28" s="1151"/>
      <c r="F28" s="1172"/>
      <c r="G28" s="1152">
        <v>6903028.54</v>
      </c>
      <c r="H28" s="1152">
        <v>6801081.2199999997</v>
      </c>
      <c r="I28" s="1156">
        <v>101947.3200000003</v>
      </c>
      <c r="J28" s="834">
        <v>1.4989869507836918E-2</v>
      </c>
      <c r="L28" s="1303"/>
      <c r="M28" s="764"/>
    </row>
    <row r="29" spans="1:13">
      <c r="A29" s="847"/>
      <c r="B29" s="831" t="s">
        <v>12946</v>
      </c>
      <c r="C29" s="848" t="s">
        <v>5528</v>
      </c>
      <c r="D29" s="848"/>
      <c r="E29" s="848"/>
      <c r="F29" s="851"/>
      <c r="G29" s="832">
        <v>1733001.46</v>
      </c>
      <c r="H29" s="832">
        <v>1567718.42</v>
      </c>
      <c r="I29" s="838">
        <v>165283.04000000004</v>
      </c>
      <c r="J29" s="834">
        <v>0.10542903489007933</v>
      </c>
      <c r="L29" s="1303"/>
      <c r="M29" s="764"/>
    </row>
    <row r="30" spans="1:13">
      <c r="A30" s="847"/>
      <c r="B30" s="831" t="s">
        <v>12959</v>
      </c>
      <c r="C30" s="848" t="s">
        <v>12960</v>
      </c>
      <c r="D30" s="848"/>
      <c r="E30" s="848"/>
      <c r="F30" s="851"/>
      <c r="G30" s="832">
        <v>12995848.530000001</v>
      </c>
      <c r="H30" s="832">
        <v>12538764.879999999</v>
      </c>
      <c r="I30" s="838">
        <v>457083.65000000224</v>
      </c>
      <c r="J30" s="834">
        <v>3.6453642314409701E-2</v>
      </c>
      <c r="L30" s="1303"/>
      <c r="M30" s="764"/>
    </row>
    <row r="31" spans="1:13">
      <c r="A31" s="847"/>
      <c r="B31" s="831" t="s">
        <v>12961</v>
      </c>
      <c r="C31" s="852" t="s">
        <v>5757</v>
      </c>
      <c r="D31" s="853"/>
      <c r="E31" s="853"/>
      <c r="F31" s="853"/>
      <c r="G31" s="854"/>
      <c r="H31" s="855"/>
      <c r="I31" s="838">
        <v>0</v>
      </c>
      <c r="J31" s="834">
        <v>0</v>
      </c>
      <c r="L31" s="1303"/>
      <c r="M31" s="764"/>
    </row>
    <row r="32" spans="1:13">
      <c r="A32" s="847"/>
      <c r="B32" s="831" t="s">
        <v>12962</v>
      </c>
      <c r="C32" s="848" t="s">
        <v>5765</v>
      </c>
      <c r="D32" s="848"/>
      <c r="E32" s="848"/>
      <c r="F32" s="851"/>
      <c r="G32" s="832">
        <v>1320308.1599999999</v>
      </c>
      <c r="H32" s="832">
        <v>653425.27</v>
      </c>
      <c r="I32" s="838">
        <v>666882.8899999999</v>
      </c>
      <c r="J32" s="834">
        <v>1.0205954997730649</v>
      </c>
      <c r="L32" s="1303"/>
      <c r="M32" s="764"/>
    </row>
    <row r="33" spans="1:14">
      <c r="A33" s="856"/>
      <c r="B33" s="1329" t="s">
        <v>12963</v>
      </c>
      <c r="C33" s="1329"/>
      <c r="D33" s="1329"/>
      <c r="E33" s="1329"/>
      <c r="F33" s="1329"/>
      <c r="G33" s="1301">
        <v>367925473.09000003</v>
      </c>
      <c r="H33" s="1301">
        <v>348431484.71000004</v>
      </c>
      <c r="I33" s="1302">
        <v>19493988.379999995</v>
      </c>
      <c r="J33" s="834">
        <v>5.5947838342521962E-2</v>
      </c>
      <c r="L33" s="1303"/>
      <c r="M33" s="764"/>
    </row>
    <row r="34" spans="1:14">
      <c r="A34" s="830" t="s">
        <v>12964</v>
      </c>
      <c r="B34" s="857" t="s">
        <v>6002</v>
      </c>
      <c r="C34" s="858"/>
      <c r="D34" s="858"/>
      <c r="E34" s="858"/>
      <c r="F34" s="859"/>
      <c r="G34" s="860"/>
      <c r="H34" s="861"/>
      <c r="I34" s="862">
        <v>0</v>
      </c>
      <c r="J34" s="834">
        <v>0</v>
      </c>
      <c r="L34" s="1303"/>
      <c r="M34" s="764"/>
    </row>
    <row r="35" spans="1:14">
      <c r="A35" s="847"/>
      <c r="B35" s="831" t="s">
        <v>12932</v>
      </c>
      <c r="C35" s="848" t="s">
        <v>6005</v>
      </c>
      <c r="D35" s="863"/>
      <c r="E35" s="848"/>
      <c r="F35" s="851"/>
      <c r="G35" s="832">
        <v>147037275.66999999</v>
      </c>
      <c r="H35" s="832">
        <v>135321772.22</v>
      </c>
      <c r="I35" s="833">
        <v>11715503.449999988</v>
      </c>
      <c r="J35" s="834">
        <v>8.6575155333861981E-2</v>
      </c>
      <c r="L35" s="1303"/>
      <c r="M35" s="764"/>
    </row>
    <row r="36" spans="1:14">
      <c r="A36" s="835"/>
      <c r="B36" s="836"/>
      <c r="C36" s="837"/>
      <c r="D36" s="836" t="s">
        <v>12933</v>
      </c>
      <c r="E36" s="837" t="s">
        <v>6009</v>
      </c>
      <c r="F36" s="864"/>
      <c r="G36" s="839">
        <v>146634598.03999999</v>
      </c>
      <c r="H36" s="839">
        <v>135031458.85999998</v>
      </c>
      <c r="I36" s="838">
        <v>11603139.180000007</v>
      </c>
      <c r="J36" s="834">
        <v>8.5929155161021328E-2</v>
      </c>
      <c r="L36" s="1303"/>
      <c r="M36" s="764"/>
    </row>
    <row r="37" spans="1:14">
      <c r="A37" s="835"/>
      <c r="B37" s="836"/>
      <c r="C37" s="837"/>
      <c r="D37" s="836" t="s">
        <v>12935</v>
      </c>
      <c r="E37" s="837" t="s">
        <v>6378</v>
      </c>
      <c r="F37" s="864"/>
      <c r="G37" s="839">
        <v>402677.63</v>
      </c>
      <c r="H37" s="839">
        <v>290313.36</v>
      </c>
      <c r="I37" s="838">
        <v>112364.27000000002</v>
      </c>
      <c r="J37" s="834">
        <v>0.38704477809770804</v>
      </c>
      <c r="L37" s="1303"/>
      <c r="M37" s="764"/>
    </row>
    <row r="38" spans="1:14">
      <c r="A38" s="847"/>
      <c r="B38" s="831" t="s">
        <v>12938</v>
      </c>
      <c r="C38" s="848" t="s">
        <v>12965</v>
      </c>
      <c r="D38" s="863"/>
      <c r="E38" s="848"/>
      <c r="F38" s="851"/>
      <c r="G38" s="832">
        <v>30339543.699999988</v>
      </c>
      <c r="H38" s="832">
        <v>27778615.140000001</v>
      </c>
      <c r="I38" s="833">
        <v>2560928.5599999875</v>
      </c>
      <c r="J38" s="834">
        <v>9.2190649069195732E-2</v>
      </c>
      <c r="L38" s="1303"/>
      <c r="M38" s="764"/>
    </row>
    <row r="39" spans="1:14">
      <c r="A39" s="865"/>
      <c r="B39" s="836"/>
      <c r="C39" s="837"/>
      <c r="D39" s="836" t="s">
        <v>12933</v>
      </c>
      <c r="E39" s="837" t="s">
        <v>12966</v>
      </c>
      <c r="F39" s="864"/>
      <c r="G39" s="845"/>
      <c r="H39" s="846"/>
      <c r="I39" s="838">
        <v>0</v>
      </c>
      <c r="J39" s="834">
        <v>0</v>
      </c>
      <c r="L39" s="1303"/>
      <c r="M39" s="764"/>
    </row>
    <row r="40" spans="1:14">
      <c r="A40" s="865"/>
      <c r="B40" s="836"/>
      <c r="C40" s="837"/>
      <c r="D40" s="836" t="s">
        <v>12935</v>
      </c>
      <c r="E40" s="837" t="s">
        <v>12967</v>
      </c>
      <c r="F40" s="864"/>
      <c r="G40" s="845"/>
      <c r="H40" s="846"/>
      <c r="I40" s="838">
        <v>0</v>
      </c>
      <c r="J40" s="834">
        <v>0</v>
      </c>
      <c r="L40" s="1303"/>
      <c r="M40" s="764"/>
    </row>
    <row r="41" spans="1:14" ht="21.95" customHeight="1">
      <c r="A41" s="865"/>
      <c r="B41" s="836"/>
      <c r="C41" s="866"/>
      <c r="D41" s="836" t="s">
        <v>12948</v>
      </c>
      <c r="E41" s="837" t="s">
        <v>12968</v>
      </c>
      <c r="F41" s="864"/>
      <c r="G41" s="845"/>
      <c r="H41" s="846"/>
      <c r="I41" s="838">
        <v>0</v>
      </c>
      <c r="J41" s="834">
        <v>0</v>
      </c>
      <c r="L41" s="1303"/>
      <c r="M41" s="764"/>
    </row>
    <row r="42" spans="1:14">
      <c r="A42" s="865"/>
      <c r="B42" s="836"/>
      <c r="C42" s="866"/>
      <c r="D42" s="836" t="s">
        <v>12954</v>
      </c>
      <c r="E42" s="837" t="s">
        <v>12969</v>
      </c>
      <c r="F42" s="864"/>
      <c r="G42" s="845"/>
      <c r="H42" s="846"/>
      <c r="I42" s="838">
        <v>0</v>
      </c>
      <c r="J42" s="834">
        <v>0</v>
      </c>
      <c r="L42" s="1303"/>
      <c r="M42" s="764"/>
    </row>
    <row r="43" spans="1:14">
      <c r="A43" s="865"/>
      <c r="B43" s="836"/>
      <c r="C43" s="866"/>
      <c r="D43" s="836" t="s">
        <v>12970</v>
      </c>
      <c r="E43" s="837" t="s">
        <v>12971</v>
      </c>
      <c r="F43" s="864"/>
      <c r="G43" s="845"/>
      <c r="H43" s="846"/>
      <c r="I43" s="838">
        <v>0</v>
      </c>
      <c r="J43" s="834">
        <v>0</v>
      </c>
      <c r="L43" s="1303"/>
      <c r="M43" s="764"/>
    </row>
    <row r="44" spans="1:14">
      <c r="A44" s="865"/>
      <c r="B44" s="836"/>
      <c r="C44" s="866"/>
      <c r="D44" s="836" t="s">
        <v>12972</v>
      </c>
      <c r="E44" s="837" t="s">
        <v>12973</v>
      </c>
      <c r="F44" s="864"/>
      <c r="G44" s="845"/>
      <c r="H44" s="846"/>
      <c r="I44" s="838">
        <v>0</v>
      </c>
      <c r="J44" s="834">
        <v>0</v>
      </c>
      <c r="L44" s="1303"/>
      <c r="M44" s="764"/>
      <c r="N44" s="764"/>
    </row>
    <row r="45" spans="1:14">
      <c r="A45" s="865"/>
      <c r="B45" s="836"/>
      <c r="C45" s="866"/>
      <c r="D45" s="836" t="s">
        <v>12974</v>
      </c>
      <c r="E45" s="837" t="s">
        <v>12975</v>
      </c>
      <c r="F45" s="864"/>
      <c r="G45" s="839">
        <v>149372.12</v>
      </c>
      <c r="H45" s="839">
        <v>48421.04</v>
      </c>
      <c r="I45" s="838">
        <v>100951.07999999999</v>
      </c>
      <c r="J45" s="834">
        <v>2.0848598047460358</v>
      </c>
      <c r="L45" s="1303"/>
      <c r="M45" s="764"/>
    </row>
    <row r="46" spans="1:14">
      <c r="A46" s="865"/>
      <c r="B46" s="836"/>
      <c r="C46" s="866"/>
      <c r="D46" s="836" t="s">
        <v>12976</v>
      </c>
      <c r="E46" s="837" t="s">
        <v>12977</v>
      </c>
      <c r="F46" s="864"/>
      <c r="G46" s="845"/>
      <c r="H46" s="846"/>
      <c r="I46" s="838">
        <v>0</v>
      </c>
      <c r="J46" s="834">
        <v>0</v>
      </c>
      <c r="L46" s="1303"/>
      <c r="M46" s="764"/>
    </row>
    <row r="47" spans="1:14">
      <c r="A47" s="865"/>
      <c r="B47" s="836"/>
      <c r="C47" s="866"/>
      <c r="D47" s="836" t="s">
        <v>12978</v>
      </c>
      <c r="E47" s="837" t="s">
        <v>12979</v>
      </c>
      <c r="F47" s="864"/>
      <c r="G47" s="845"/>
      <c r="H47" s="846"/>
      <c r="I47" s="838">
        <v>0</v>
      </c>
      <c r="J47" s="834">
        <v>0</v>
      </c>
      <c r="L47" s="1303"/>
      <c r="M47" s="764"/>
    </row>
    <row r="48" spans="1:14">
      <c r="A48" s="865"/>
      <c r="B48" s="836"/>
      <c r="C48" s="866"/>
      <c r="D48" s="836" t="s">
        <v>12980</v>
      </c>
      <c r="E48" s="837" t="s">
        <v>12981</v>
      </c>
      <c r="F48" s="864"/>
      <c r="G48" s="845"/>
      <c r="H48" s="846"/>
      <c r="I48" s="838">
        <v>0</v>
      </c>
      <c r="J48" s="834">
        <v>0</v>
      </c>
      <c r="L48" s="1303"/>
      <c r="M48" s="764"/>
    </row>
    <row r="49" spans="1:13">
      <c r="A49" s="865"/>
      <c r="B49" s="836"/>
      <c r="C49" s="866"/>
      <c r="D49" s="836" t="s">
        <v>12982</v>
      </c>
      <c r="E49" s="837" t="s">
        <v>12983</v>
      </c>
      <c r="F49" s="864"/>
      <c r="G49" s="839">
        <v>2852384.53</v>
      </c>
      <c r="H49" s="839">
        <v>2847146.73</v>
      </c>
      <c r="I49" s="838">
        <v>5237.7999999998137</v>
      </c>
      <c r="J49" s="834">
        <v>1.8396663385170226E-3</v>
      </c>
      <c r="L49" s="1303"/>
      <c r="M49" s="764"/>
    </row>
    <row r="50" spans="1:13">
      <c r="A50" s="865"/>
      <c r="B50" s="836"/>
      <c r="C50" s="866"/>
      <c r="D50" s="836" t="s">
        <v>12984</v>
      </c>
      <c r="E50" s="837" t="s">
        <v>12985</v>
      </c>
      <c r="F50" s="864"/>
      <c r="G50" s="839">
        <v>1216595.1100000001</v>
      </c>
      <c r="H50" s="839">
        <v>296809.97000000003</v>
      </c>
      <c r="I50" s="838">
        <v>919785.14000000013</v>
      </c>
      <c r="J50" s="834">
        <v>3.0989024391599784</v>
      </c>
      <c r="L50" s="1303"/>
      <c r="M50" s="764"/>
    </row>
    <row r="51" spans="1:13">
      <c r="A51" s="865"/>
      <c r="B51" s="836"/>
      <c r="C51" s="866"/>
      <c r="D51" s="836" t="s">
        <v>12986</v>
      </c>
      <c r="E51" s="837" t="s">
        <v>12987</v>
      </c>
      <c r="F51" s="864"/>
      <c r="G51" s="839">
        <v>3613748.6000000006</v>
      </c>
      <c r="H51" s="839">
        <v>3019139.1900000004</v>
      </c>
      <c r="I51" s="838">
        <v>594609.41000000015</v>
      </c>
      <c r="J51" s="834">
        <v>0.19694667008711184</v>
      </c>
      <c r="L51" s="1303"/>
      <c r="M51" s="764"/>
    </row>
    <row r="52" spans="1:13">
      <c r="A52" s="865"/>
      <c r="B52" s="836"/>
      <c r="C52" s="866"/>
      <c r="D52" s="836" t="s">
        <v>12988</v>
      </c>
      <c r="E52" s="837" t="s">
        <v>12989</v>
      </c>
      <c r="F52" s="864"/>
      <c r="G52" s="839">
        <v>702576.82000000007</v>
      </c>
      <c r="H52" s="839">
        <v>380458.84</v>
      </c>
      <c r="I52" s="838">
        <v>322117.98000000004</v>
      </c>
      <c r="J52" s="834">
        <v>0.84665657919789694</v>
      </c>
      <c r="L52" s="1303"/>
      <c r="M52" s="764"/>
    </row>
    <row r="53" spans="1:13">
      <c r="A53" s="865"/>
      <c r="B53" s="867"/>
      <c r="C53" s="868"/>
      <c r="D53" s="836" t="s">
        <v>12990</v>
      </c>
      <c r="E53" s="868" t="s">
        <v>12991</v>
      </c>
      <c r="F53" s="869"/>
      <c r="G53" s="839">
        <v>21524098.61999999</v>
      </c>
      <c r="H53" s="839">
        <v>20719882.59</v>
      </c>
      <c r="I53" s="838">
        <v>804216.02999999002</v>
      </c>
      <c r="J53" s="834">
        <v>3.8813734899643078E-2</v>
      </c>
      <c r="L53" s="1303"/>
      <c r="M53" s="764"/>
    </row>
    <row r="54" spans="1:13">
      <c r="A54" s="865"/>
      <c r="B54" s="867"/>
      <c r="C54" s="868"/>
      <c r="D54" s="836" t="s">
        <v>12992</v>
      </c>
      <c r="E54" s="868" t="s">
        <v>7440</v>
      </c>
      <c r="F54" s="869"/>
      <c r="G54" s="839">
        <v>280767.90000000002</v>
      </c>
      <c r="H54" s="839">
        <v>466756.77999999997</v>
      </c>
      <c r="I54" s="838">
        <v>-185988.87999999995</v>
      </c>
      <c r="J54" s="834">
        <v>-0.39847065531645831</v>
      </c>
      <c r="L54" s="1303"/>
      <c r="M54" s="764"/>
    </row>
    <row r="55" spans="1:13">
      <c r="A55" s="865"/>
      <c r="B55" s="867"/>
      <c r="C55" s="868"/>
      <c r="D55" s="836" t="s">
        <v>12993</v>
      </c>
      <c r="E55" s="868" t="s">
        <v>12994</v>
      </c>
      <c r="F55" s="869"/>
      <c r="G55" s="839">
        <v>0</v>
      </c>
      <c r="H55" s="839">
        <v>0</v>
      </c>
      <c r="I55" s="838">
        <v>0</v>
      </c>
      <c r="J55" s="834">
        <v>0</v>
      </c>
      <c r="L55" s="1303"/>
      <c r="M55" s="764"/>
    </row>
    <row r="56" spans="1:13">
      <c r="A56" s="865"/>
      <c r="B56" s="831" t="s">
        <v>12940</v>
      </c>
      <c r="C56" s="848" t="s">
        <v>7527</v>
      </c>
      <c r="D56" s="870"/>
      <c r="E56" s="871"/>
      <c r="F56" s="872"/>
      <c r="G56" s="873">
        <v>41642486.520000003</v>
      </c>
      <c r="H56" s="873">
        <v>43413799.649999991</v>
      </c>
      <c r="I56" s="833">
        <v>-1771313.1299999878</v>
      </c>
      <c r="J56" s="834">
        <v>-4.0800693426519465E-2</v>
      </c>
      <c r="L56" s="1303"/>
      <c r="M56" s="764"/>
    </row>
    <row r="57" spans="1:13">
      <c r="A57" s="865"/>
      <c r="B57" s="831"/>
      <c r="C57" s="848"/>
      <c r="D57" s="836" t="s">
        <v>12933</v>
      </c>
      <c r="E57" s="868" t="s">
        <v>7531</v>
      </c>
      <c r="F57" s="872"/>
      <c r="G57" s="839">
        <v>32151583.66</v>
      </c>
      <c r="H57" s="839">
        <v>32632387.119999997</v>
      </c>
      <c r="I57" s="838">
        <v>-480803.45999999717</v>
      </c>
      <c r="J57" s="834">
        <v>-1.4733934671463814E-2</v>
      </c>
      <c r="L57" s="1303"/>
      <c r="M57" s="764"/>
    </row>
    <row r="58" spans="1:13">
      <c r="A58" s="865"/>
      <c r="B58" s="874"/>
      <c r="C58" s="836"/>
      <c r="D58" s="836" t="s">
        <v>12935</v>
      </c>
      <c r="E58" s="868" t="s">
        <v>12995</v>
      </c>
      <c r="F58" s="872"/>
      <c r="G58" s="839">
        <v>9455019.4600000009</v>
      </c>
      <c r="H58" s="839">
        <v>10670767.619999999</v>
      </c>
      <c r="I58" s="838">
        <v>-1215748.1599999983</v>
      </c>
      <c r="J58" s="834">
        <v>-0.11393258697915477</v>
      </c>
      <c r="L58" s="1303"/>
      <c r="M58" s="764"/>
    </row>
    <row r="59" spans="1:13">
      <c r="A59" s="865"/>
      <c r="B59" s="874"/>
      <c r="C59" s="836"/>
      <c r="D59" s="836" t="s">
        <v>12948</v>
      </c>
      <c r="E59" s="868" t="s">
        <v>12996</v>
      </c>
      <c r="F59" s="872"/>
      <c r="G59" s="839">
        <v>35883.4</v>
      </c>
      <c r="H59" s="839">
        <v>110644.91</v>
      </c>
      <c r="I59" s="838">
        <v>-74761.510000000009</v>
      </c>
      <c r="J59" s="834">
        <v>-0.67568865119958976</v>
      </c>
      <c r="L59" s="1303"/>
      <c r="M59" s="764"/>
    </row>
    <row r="60" spans="1:13">
      <c r="A60" s="865"/>
      <c r="B60" s="831" t="s">
        <v>12942</v>
      </c>
      <c r="C60" s="875" t="s">
        <v>12997</v>
      </c>
      <c r="D60" s="836"/>
      <c r="E60" s="876"/>
      <c r="F60" s="877"/>
      <c r="G60" s="873">
        <v>7103908.3099999996</v>
      </c>
      <c r="H60" s="873">
        <v>6729867.25</v>
      </c>
      <c r="I60" s="838">
        <v>374041.05999999959</v>
      </c>
      <c r="J60" s="834">
        <v>5.5579262726170357E-2</v>
      </c>
      <c r="L60" s="1303"/>
      <c r="M60" s="764"/>
    </row>
    <row r="61" spans="1:13">
      <c r="A61" s="865"/>
      <c r="B61" s="831" t="s">
        <v>12944</v>
      </c>
      <c r="C61" s="875" t="s">
        <v>8164</v>
      </c>
      <c r="D61" s="831"/>
      <c r="E61" s="871"/>
      <c r="F61" s="872"/>
      <c r="G61" s="873">
        <v>4925888.93</v>
      </c>
      <c r="H61" s="873">
        <v>5057221.67</v>
      </c>
      <c r="I61" s="838">
        <v>-131332.74000000022</v>
      </c>
      <c r="J61" s="834">
        <v>-2.5969346129136598E-2</v>
      </c>
      <c r="L61" s="1303"/>
      <c r="M61" s="764"/>
    </row>
    <row r="62" spans="1:13">
      <c r="A62" s="865"/>
      <c r="B62" s="831" t="s">
        <v>12946</v>
      </c>
      <c r="C62" s="875" t="s">
        <v>12998</v>
      </c>
      <c r="D62" s="858"/>
      <c r="E62" s="875"/>
      <c r="F62" s="877"/>
      <c r="G62" s="873">
        <v>115917405.23999999</v>
      </c>
      <c r="H62" s="873">
        <v>107330701.87</v>
      </c>
      <c r="I62" s="878">
        <v>8586703.3699999899</v>
      </c>
      <c r="J62" s="834">
        <v>8.0002303352122758E-2</v>
      </c>
      <c r="L62" s="1303"/>
      <c r="M62" s="764"/>
    </row>
    <row r="63" spans="1:13">
      <c r="A63" s="865"/>
      <c r="B63" s="836"/>
      <c r="C63" s="876"/>
      <c r="D63" s="836" t="s">
        <v>12933</v>
      </c>
      <c r="E63" s="837" t="s">
        <v>12999</v>
      </c>
      <c r="F63" s="879"/>
      <c r="G63" s="839">
        <v>44178058.600000001</v>
      </c>
      <c r="H63" s="839">
        <v>42954500.379999995</v>
      </c>
      <c r="I63" s="838">
        <v>1223558.2200000063</v>
      </c>
      <c r="J63" s="834">
        <v>2.8484983160686605E-2</v>
      </c>
      <c r="L63" s="1303"/>
      <c r="M63" s="764"/>
    </row>
    <row r="64" spans="1:13">
      <c r="A64" s="865"/>
      <c r="B64" s="836"/>
      <c r="C64" s="876"/>
      <c r="D64" s="836" t="s">
        <v>12935</v>
      </c>
      <c r="E64" s="837" t="s">
        <v>13000</v>
      </c>
      <c r="F64" s="879"/>
      <c r="G64" s="839">
        <v>3216811.4799999995</v>
      </c>
      <c r="H64" s="839">
        <v>2497411.0300000003</v>
      </c>
      <c r="I64" s="838">
        <v>719400.44999999925</v>
      </c>
      <c r="J64" s="834">
        <v>0.28805848991545424</v>
      </c>
      <c r="L64" s="1303"/>
      <c r="M64" s="764"/>
    </row>
    <row r="65" spans="1:13">
      <c r="A65" s="865"/>
      <c r="B65" s="836"/>
      <c r="C65" s="876"/>
      <c r="D65" s="836" t="s">
        <v>12948</v>
      </c>
      <c r="E65" s="837" t="s">
        <v>13001</v>
      </c>
      <c r="F65" s="879"/>
      <c r="G65" s="839">
        <v>58382803.770000003</v>
      </c>
      <c r="H65" s="839">
        <v>52655567.550000004</v>
      </c>
      <c r="I65" s="838">
        <v>5727236.2199999988</v>
      </c>
      <c r="J65" s="834">
        <v>0.10876791356510596</v>
      </c>
      <c r="L65" s="1303"/>
      <c r="M65" s="764"/>
    </row>
    <row r="66" spans="1:13">
      <c r="A66" s="865"/>
      <c r="B66" s="836"/>
      <c r="C66" s="876"/>
      <c r="D66" s="836" t="s">
        <v>12954</v>
      </c>
      <c r="E66" s="837" t="s">
        <v>13002</v>
      </c>
      <c r="F66" s="879"/>
      <c r="G66" s="839">
        <v>2232890.9400000004</v>
      </c>
      <c r="H66" s="839">
        <v>1897216.05</v>
      </c>
      <c r="I66" s="838">
        <v>335674.89000000036</v>
      </c>
      <c r="J66" s="834">
        <v>0.17693023944215544</v>
      </c>
      <c r="L66" s="1303"/>
      <c r="M66" s="764"/>
    </row>
    <row r="67" spans="1:13">
      <c r="A67" s="865"/>
      <c r="B67" s="836"/>
      <c r="C67" s="876"/>
      <c r="D67" s="836" t="s">
        <v>12970</v>
      </c>
      <c r="E67" s="837" t="s">
        <v>13003</v>
      </c>
      <c r="F67" s="879"/>
      <c r="G67" s="839">
        <v>7906840.4499999993</v>
      </c>
      <c r="H67" s="839">
        <v>7326006.8600000003</v>
      </c>
      <c r="I67" s="838">
        <v>580833.58999999892</v>
      </c>
      <c r="J67" s="834">
        <v>7.9283790078241739E-2</v>
      </c>
      <c r="L67" s="1303"/>
      <c r="M67" s="764"/>
    </row>
    <row r="68" spans="1:13">
      <c r="A68" s="865"/>
      <c r="B68" s="831" t="s">
        <v>12959</v>
      </c>
      <c r="C68" s="875" t="s">
        <v>9710</v>
      </c>
      <c r="D68" s="880"/>
      <c r="E68" s="871"/>
      <c r="F68" s="872"/>
      <c r="G68" s="873">
        <v>4039973.81</v>
      </c>
      <c r="H68" s="873">
        <v>3850860.6799999997</v>
      </c>
      <c r="I68" s="838">
        <v>189113.13000000035</v>
      </c>
      <c r="J68" s="834">
        <v>4.9109314959688538E-2</v>
      </c>
      <c r="L68" s="1303"/>
      <c r="M68" s="764"/>
    </row>
    <row r="69" spans="1:13">
      <c r="A69" s="865"/>
      <c r="B69" s="831" t="s">
        <v>12961</v>
      </c>
      <c r="C69" s="875" t="s">
        <v>33</v>
      </c>
      <c r="D69" s="858"/>
      <c r="E69" s="875"/>
      <c r="F69" s="877"/>
      <c r="G69" s="873">
        <v>7437798.5299999993</v>
      </c>
      <c r="H69" s="873">
        <v>7221324.1500000004</v>
      </c>
      <c r="I69" s="833">
        <v>216474.37999999896</v>
      </c>
      <c r="J69" s="834">
        <v>2.9977103298984155E-2</v>
      </c>
      <c r="L69" s="1303"/>
      <c r="M69" s="764"/>
    </row>
    <row r="70" spans="1:13">
      <c r="A70" s="865"/>
      <c r="B70" s="836"/>
      <c r="C70" s="876"/>
      <c r="D70" s="836" t="s">
        <v>12933</v>
      </c>
      <c r="E70" s="837" t="s">
        <v>13004</v>
      </c>
      <c r="F70" s="879"/>
      <c r="G70" s="839">
        <v>1394137.74</v>
      </c>
      <c r="H70" s="839">
        <v>1385115.4</v>
      </c>
      <c r="I70" s="838">
        <v>9022.3400000000838</v>
      </c>
      <c r="J70" s="834">
        <v>6.5137821729511379E-3</v>
      </c>
      <c r="L70" s="1303"/>
      <c r="M70" s="764"/>
    </row>
    <row r="71" spans="1:13">
      <c r="A71" s="847"/>
      <c r="B71" s="831"/>
      <c r="C71" s="875"/>
      <c r="D71" s="836" t="s">
        <v>12935</v>
      </c>
      <c r="E71" s="837" t="s">
        <v>13005</v>
      </c>
      <c r="F71" s="877"/>
      <c r="G71" s="839">
        <v>38102.949999999997</v>
      </c>
      <c r="H71" s="839">
        <v>46994.73</v>
      </c>
      <c r="I71" s="838">
        <v>-8891.7800000000061</v>
      </c>
      <c r="J71" s="834">
        <v>-0.18920802396353817</v>
      </c>
      <c r="L71" s="1303"/>
      <c r="M71" s="764"/>
    </row>
    <row r="72" spans="1:13">
      <c r="A72" s="847"/>
      <c r="B72" s="831"/>
      <c r="C72" s="875"/>
      <c r="D72" s="836" t="s">
        <v>12948</v>
      </c>
      <c r="E72" s="837" t="s">
        <v>9882</v>
      </c>
      <c r="F72" s="877"/>
      <c r="G72" s="839">
        <v>6005557.8399999999</v>
      </c>
      <c r="H72" s="839">
        <v>5789214.0200000005</v>
      </c>
      <c r="I72" s="838">
        <v>216343.81999999937</v>
      </c>
      <c r="J72" s="834">
        <v>3.7370154092178365E-2</v>
      </c>
      <c r="L72" s="1303"/>
      <c r="M72" s="764"/>
    </row>
    <row r="73" spans="1:13">
      <c r="A73" s="847"/>
      <c r="B73" s="831" t="s">
        <v>12962</v>
      </c>
      <c r="C73" s="875" t="s">
        <v>13006</v>
      </c>
      <c r="D73" s="858"/>
      <c r="E73" s="875"/>
      <c r="F73" s="877"/>
      <c r="G73" s="873">
        <v>1003343</v>
      </c>
      <c r="H73" s="873">
        <v>0</v>
      </c>
      <c r="I73" s="838">
        <v>1003343</v>
      </c>
      <c r="J73" s="834">
        <v>1</v>
      </c>
      <c r="L73" s="1303"/>
      <c r="M73" s="764"/>
    </row>
    <row r="74" spans="1:13">
      <c r="A74" s="847"/>
      <c r="B74" s="831" t="s">
        <v>13007</v>
      </c>
      <c r="C74" s="875" t="s">
        <v>13008</v>
      </c>
      <c r="D74" s="858"/>
      <c r="E74" s="875"/>
      <c r="F74" s="877"/>
      <c r="G74" s="873">
        <v>-2724215.6600000011</v>
      </c>
      <c r="H74" s="873">
        <v>-8522344.3999999985</v>
      </c>
      <c r="I74" s="833">
        <v>5798128.7399999974</v>
      </c>
      <c r="J74" s="834">
        <v>-0.68034433576751463</v>
      </c>
      <c r="L74" s="1303"/>
      <c r="M74" s="764"/>
    </row>
    <row r="75" spans="1:13">
      <c r="A75" s="881"/>
      <c r="B75" s="867"/>
      <c r="C75" s="876"/>
      <c r="D75" s="836" t="s">
        <v>12933</v>
      </c>
      <c r="E75" s="876" t="s">
        <v>13009</v>
      </c>
      <c r="F75" s="879"/>
      <c r="G75" s="839">
        <v>-2686905.9900000012</v>
      </c>
      <c r="H75" s="839">
        <v>-8475027.6799999978</v>
      </c>
      <c r="I75" s="838">
        <v>5788121.6899999967</v>
      </c>
      <c r="J75" s="834">
        <v>-0.6829619806032301</v>
      </c>
      <c r="L75" s="1303"/>
      <c r="M75" s="764"/>
    </row>
    <row r="76" spans="1:13">
      <c r="A76" s="881"/>
      <c r="B76" s="867"/>
      <c r="C76" s="876"/>
      <c r="D76" s="836" t="s">
        <v>12935</v>
      </c>
      <c r="E76" s="876" t="s">
        <v>13010</v>
      </c>
      <c r="F76" s="879"/>
      <c r="G76" s="839">
        <v>-37309.669999999984</v>
      </c>
      <c r="H76" s="839">
        <v>-47316.720000000008</v>
      </c>
      <c r="I76" s="838">
        <v>10007.050000000025</v>
      </c>
      <c r="J76" s="834">
        <v>-0.21149077958066456</v>
      </c>
      <c r="L76" s="1303"/>
      <c r="M76" s="764"/>
    </row>
    <row r="77" spans="1:13">
      <c r="A77" s="881"/>
      <c r="B77" s="831" t="s">
        <v>13011</v>
      </c>
      <c r="C77" s="875" t="s">
        <v>122</v>
      </c>
      <c r="D77" s="858"/>
      <c r="E77" s="875"/>
      <c r="F77" s="877"/>
      <c r="G77" s="873">
        <v>11745411.51</v>
      </c>
      <c r="H77" s="873">
        <v>15634401.369999999</v>
      </c>
      <c r="I77" s="833">
        <v>-3888989.8599999994</v>
      </c>
      <c r="J77" s="834">
        <v>-0.24874568382658835</v>
      </c>
      <c r="L77" s="1303"/>
      <c r="M77" s="764"/>
    </row>
    <row r="78" spans="1:13">
      <c r="A78" s="881"/>
      <c r="B78" s="867"/>
      <c r="C78" s="876"/>
      <c r="D78" s="836" t="s">
        <v>12933</v>
      </c>
      <c r="E78" s="876" t="s">
        <v>10135</v>
      </c>
      <c r="F78" s="879"/>
      <c r="G78" s="839">
        <v>7043645.4500000002</v>
      </c>
      <c r="H78" s="839">
        <v>8480793</v>
      </c>
      <c r="I78" s="838">
        <v>-1437147.5499999998</v>
      </c>
      <c r="J78" s="834">
        <v>-0.16945910011009582</v>
      </c>
      <c r="L78" s="1303"/>
      <c r="M78" s="764"/>
    </row>
    <row r="79" spans="1:13">
      <c r="A79" s="881"/>
      <c r="B79" s="867"/>
      <c r="C79" s="876"/>
      <c r="D79" s="836" t="s">
        <v>12935</v>
      </c>
      <c r="E79" s="876" t="s">
        <v>13012</v>
      </c>
      <c r="F79" s="879"/>
      <c r="G79" s="839">
        <v>0</v>
      </c>
      <c r="H79" s="839">
        <v>0</v>
      </c>
      <c r="I79" s="838">
        <v>0</v>
      </c>
      <c r="J79" s="834">
        <v>0</v>
      </c>
      <c r="L79" s="1303"/>
      <c r="M79" s="764"/>
    </row>
    <row r="80" spans="1:13">
      <c r="A80" s="881"/>
      <c r="B80" s="867"/>
      <c r="C80" s="876"/>
      <c r="D80" s="836" t="s">
        <v>12948</v>
      </c>
      <c r="E80" s="876" t="s">
        <v>10189</v>
      </c>
      <c r="F80" s="879"/>
      <c r="G80" s="839">
        <v>1379100</v>
      </c>
      <c r="H80" s="839">
        <v>3722694.68</v>
      </c>
      <c r="I80" s="838">
        <v>-2343594.6800000002</v>
      </c>
      <c r="J80" s="834">
        <v>-0.62954254416588362</v>
      </c>
      <c r="L80" s="1303"/>
      <c r="M80" s="764"/>
    </row>
    <row r="81" spans="1:13">
      <c r="A81" s="881"/>
      <c r="B81" s="867"/>
      <c r="C81" s="876"/>
      <c r="D81" s="836" t="s">
        <v>12954</v>
      </c>
      <c r="E81" s="876" t="s">
        <v>486</v>
      </c>
      <c r="F81" s="879"/>
      <c r="G81" s="839">
        <v>3322666.06</v>
      </c>
      <c r="H81" s="839">
        <v>3430913.69</v>
      </c>
      <c r="I81" s="838">
        <v>-108247.62999999989</v>
      </c>
      <c r="J81" s="834">
        <v>-3.1550671273225729E-2</v>
      </c>
      <c r="L81" s="1303"/>
      <c r="M81" s="764"/>
    </row>
    <row r="82" spans="1:13">
      <c r="A82" s="856"/>
      <c r="B82" s="1325" t="s">
        <v>13013</v>
      </c>
      <c r="C82" s="1325"/>
      <c r="D82" s="1325"/>
      <c r="E82" s="1325"/>
      <c r="F82" s="1325"/>
      <c r="G82" s="882">
        <v>368468819.55999994</v>
      </c>
      <c r="H82" s="882">
        <v>343816219.60000002</v>
      </c>
      <c r="I82" s="883">
        <v>24652599.959999919</v>
      </c>
      <c r="J82" s="834">
        <v>7.1702841677106027E-2</v>
      </c>
      <c r="L82" s="1303"/>
      <c r="M82" s="764"/>
    </row>
    <row r="83" spans="1:13" ht="15.75" thickBot="1">
      <c r="A83" s="881"/>
      <c r="B83" s="836"/>
      <c r="C83" s="876"/>
      <c r="D83" s="868"/>
      <c r="E83" s="876"/>
      <c r="F83" s="879"/>
      <c r="G83" s="884"/>
      <c r="H83" s="876"/>
      <c r="I83" s="838">
        <v>0</v>
      </c>
      <c r="J83" s="834">
        <v>0</v>
      </c>
      <c r="L83" s="1303"/>
      <c r="M83" s="764"/>
    </row>
    <row r="84" spans="1:13" ht="16.5" thickTop="1" thickBot="1">
      <c r="A84" s="1326" t="s">
        <v>13014</v>
      </c>
      <c r="B84" s="1326"/>
      <c r="C84" s="1326"/>
      <c r="D84" s="1326"/>
      <c r="E84" s="1326"/>
      <c r="F84" s="1326"/>
      <c r="G84" s="885">
        <v>-543346.4699999094</v>
      </c>
      <c r="H84" s="885">
        <v>4615265.1100000143</v>
      </c>
      <c r="I84" s="886">
        <v>-5158611.5799999237</v>
      </c>
      <c r="J84" s="834">
        <v>-1.1177281168144872</v>
      </c>
      <c r="L84" s="1303"/>
      <c r="M84" s="764"/>
    </row>
    <row r="85" spans="1:13" ht="15.75" thickTop="1">
      <c r="A85" s="887"/>
      <c r="B85" s="888"/>
      <c r="C85" s="888"/>
      <c r="D85" s="889"/>
      <c r="E85" s="890"/>
      <c r="F85" s="891"/>
      <c r="G85" s="892"/>
      <c r="H85" s="893"/>
      <c r="I85" s="894">
        <v>0</v>
      </c>
      <c r="J85" s="834">
        <v>0</v>
      </c>
      <c r="L85" s="1303"/>
      <c r="M85" s="764"/>
    </row>
    <row r="86" spans="1:13">
      <c r="A86" s="830" t="s">
        <v>13015</v>
      </c>
      <c r="B86" s="857" t="s">
        <v>10327</v>
      </c>
      <c r="C86" s="858"/>
      <c r="D86" s="857"/>
      <c r="E86" s="875"/>
      <c r="F86" s="877"/>
      <c r="G86" s="895"/>
      <c r="H86" s="896"/>
      <c r="I86" s="838">
        <v>0</v>
      </c>
      <c r="J86" s="834">
        <v>0</v>
      </c>
      <c r="L86" s="1303"/>
      <c r="M86" s="764"/>
    </row>
    <row r="87" spans="1:13">
      <c r="A87" s="847"/>
      <c r="B87" s="831" t="s">
        <v>12932</v>
      </c>
      <c r="C87" s="875" t="s">
        <v>13016</v>
      </c>
      <c r="D87" s="858"/>
      <c r="E87" s="875"/>
      <c r="F87" s="877"/>
      <c r="G87" s="897">
        <v>16731.78</v>
      </c>
      <c r="H87" s="897">
        <v>5915.46</v>
      </c>
      <c r="I87" s="838">
        <v>10816.32</v>
      </c>
      <c r="J87" s="834">
        <v>1.8284833301214105</v>
      </c>
      <c r="L87" s="1303"/>
      <c r="M87" s="764"/>
    </row>
    <row r="88" spans="1:13">
      <c r="A88" s="847"/>
      <c r="B88" s="831" t="s">
        <v>12938</v>
      </c>
      <c r="C88" s="875" t="s">
        <v>13017</v>
      </c>
      <c r="D88" s="858"/>
      <c r="E88" s="875"/>
      <c r="F88" s="877"/>
      <c r="G88" s="898">
        <v>1481955.71</v>
      </c>
      <c r="H88" s="898">
        <v>812177.74</v>
      </c>
      <c r="I88" s="838">
        <v>669777.97</v>
      </c>
      <c r="J88" s="834">
        <v>0.82466920356620455</v>
      </c>
      <c r="L88" s="1303"/>
      <c r="M88" s="764"/>
    </row>
    <row r="89" spans="1:13">
      <c r="A89" s="856"/>
      <c r="B89" s="1325" t="s">
        <v>13018</v>
      </c>
      <c r="C89" s="1325"/>
      <c r="D89" s="1325"/>
      <c r="E89" s="1325"/>
      <c r="F89" s="1325"/>
      <c r="G89" s="882">
        <v>-1465223.93</v>
      </c>
      <c r="H89" s="882">
        <v>-806262.28</v>
      </c>
      <c r="I89" s="883">
        <v>-658961.64999999991</v>
      </c>
      <c r="J89" s="834">
        <v>0.81730432682526077</v>
      </c>
      <c r="L89" s="1303"/>
      <c r="M89" s="764"/>
    </row>
    <row r="90" spans="1:13">
      <c r="A90" s="865"/>
      <c r="B90" s="836"/>
      <c r="C90" s="876"/>
      <c r="D90" s="866"/>
      <c r="E90" s="876"/>
      <c r="F90" s="879"/>
      <c r="G90" s="899"/>
      <c r="H90" s="900"/>
      <c r="I90" s="838">
        <v>0</v>
      </c>
      <c r="J90" s="834">
        <v>0</v>
      </c>
      <c r="L90" s="1303"/>
      <c r="M90" s="764"/>
    </row>
    <row r="91" spans="1:13">
      <c r="A91" s="830" t="s">
        <v>13019</v>
      </c>
      <c r="B91" s="857" t="s">
        <v>13020</v>
      </c>
      <c r="C91" s="858"/>
      <c r="D91" s="848"/>
      <c r="E91" s="875"/>
      <c r="F91" s="877"/>
      <c r="G91" s="897">
        <v>0</v>
      </c>
      <c r="H91" s="897">
        <v>0</v>
      </c>
      <c r="I91" s="838">
        <v>0</v>
      </c>
      <c r="J91" s="834">
        <v>0</v>
      </c>
      <c r="L91" s="1303"/>
      <c r="M91" s="764"/>
    </row>
    <row r="92" spans="1:13">
      <c r="A92" s="847"/>
      <c r="B92" s="831" t="s">
        <v>12932</v>
      </c>
      <c r="C92" s="857" t="s">
        <v>2</v>
      </c>
      <c r="D92" s="858"/>
      <c r="E92" s="848"/>
      <c r="F92" s="851"/>
      <c r="G92" s="897">
        <v>0</v>
      </c>
      <c r="H92" s="897">
        <v>0</v>
      </c>
      <c r="I92" s="838">
        <v>0</v>
      </c>
      <c r="J92" s="834">
        <v>0</v>
      </c>
      <c r="L92" s="1303"/>
      <c r="M92" s="764"/>
    </row>
    <row r="93" spans="1:13">
      <c r="A93" s="847"/>
      <c r="B93" s="831" t="s">
        <v>12938</v>
      </c>
      <c r="C93" s="857" t="s">
        <v>3</v>
      </c>
      <c r="D93" s="858"/>
      <c r="E93" s="848"/>
      <c r="F93" s="851"/>
      <c r="G93" s="897">
        <v>0</v>
      </c>
      <c r="H93" s="897">
        <v>0</v>
      </c>
      <c r="I93" s="838">
        <v>0</v>
      </c>
      <c r="J93" s="834">
        <v>0</v>
      </c>
      <c r="L93" s="1303"/>
      <c r="M93" s="764"/>
    </row>
    <row r="94" spans="1:13">
      <c r="A94" s="856"/>
      <c r="B94" s="1325" t="s">
        <v>13021</v>
      </c>
      <c r="C94" s="1325"/>
      <c r="D94" s="1325"/>
      <c r="E94" s="1325"/>
      <c r="F94" s="1325"/>
      <c r="G94" s="883">
        <v>0</v>
      </c>
      <c r="H94" s="883">
        <v>0</v>
      </c>
      <c r="I94" s="883">
        <v>0</v>
      </c>
      <c r="J94" s="834">
        <v>0</v>
      </c>
      <c r="L94" s="1303"/>
      <c r="M94" s="764"/>
    </row>
    <row r="95" spans="1:13">
      <c r="A95" s="865"/>
      <c r="B95" s="836"/>
      <c r="C95" s="868"/>
      <c r="D95" s="866"/>
      <c r="E95" s="837"/>
      <c r="F95" s="864"/>
      <c r="G95" s="901"/>
      <c r="H95" s="902"/>
      <c r="I95" s="838">
        <v>0</v>
      </c>
      <c r="J95" s="834">
        <v>0</v>
      </c>
      <c r="L95" s="1303"/>
      <c r="M95" s="764"/>
    </row>
    <row r="96" spans="1:13">
      <c r="A96" s="830" t="s">
        <v>13022</v>
      </c>
      <c r="B96" s="857" t="s">
        <v>10464</v>
      </c>
      <c r="C96" s="858"/>
      <c r="D96" s="848"/>
      <c r="E96" s="875"/>
      <c r="F96" s="877"/>
      <c r="G96" s="903"/>
      <c r="H96" s="904"/>
      <c r="I96" s="838">
        <v>0</v>
      </c>
      <c r="J96" s="834">
        <v>0</v>
      </c>
      <c r="L96" s="1303"/>
      <c r="M96" s="764"/>
    </row>
    <row r="97" spans="1:13">
      <c r="A97" s="847"/>
      <c r="B97" s="831" t="s">
        <v>12932</v>
      </c>
      <c r="C97" s="857" t="s">
        <v>10467</v>
      </c>
      <c r="D97" s="858"/>
      <c r="E97" s="848"/>
      <c r="F97" s="851"/>
      <c r="G97" s="905">
        <v>11848753.189999999</v>
      </c>
      <c r="H97" s="905">
        <v>8969095.9199999999</v>
      </c>
      <c r="I97" s="833">
        <v>2879657.2699999996</v>
      </c>
      <c r="J97" s="834">
        <v>0.32106438549494293</v>
      </c>
      <c r="L97" s="1303"/>
      <c r="M97" s="764"/>
    </row>
    <row r="98" spans="1:13">
      <c r="A98" s="865"/>
      <c r="B98" s="867"/>
      <c r="C98" s="876"/>
      <c r="D98" s="836" t="s">
        <v>12933</v>
      </c>
      <c r="E98" s="868" t="s">
        <v>10471</v>
      </c>
      <c r="F98" s="879"/>
      <c r="G98" s="839">
        <v>0</v>
      </c>
      <c r="H98" s="843">
        <v>0</v>
      </c>
      <c r="I98" s="838">
        <v>0</v>
      </c>
      <c r="J98" s="834">
        <v>0</v>
      </c>
      <c r="L98" s="1303"/>
      <c r="M98" s="764"/>
    </row>
    <row r="99" spans="1:13">
      <c r="A99" s="865"/>
      <c r="B99" s="867"/>
      <c r="C99" s="876"/>
      <c r="D99" s="836" t="s">
        <v>12935</v>
      </c>
      <c r="E99" s="876" t="s">
        <v>10566</v>
      </c>
      <c r="F99" s="879"/>
      <c r="G99" s="839">
        <v>11848753.189999999</v>
      </c>
      <c r="H99" s="839">
        <v>8969095.9199999999</v>
      </c>
      <c r="I99" s="838">
        <v>2879657.2699999996</v>
      </c>
      <c r="J99" s="834">
        <v>0.32106438549494293</v>
      </c>
      <c r="L99" s="1303"/>
      <c r="M99" s="764"/>
    </row>
    <row r="100" spans="1:13">
      <c r="A100" s="847"/>
      <c r="B100" s="831" t="s">
        <v>12938</v>
      </c>
      <c r="C100" s="857" t="s">
        <v>10721</v>
      </c>
      <c r="D100" s="858"/>
      <c r="E100" s="848"/>
      <c r="F100" s="851"/>
      <c r="G100" s="832">
        <v>11966369.42</v>
      </c>
      <c r="H100" s="832">
        <v>3310662.34</v>
      </c>
      <c r="I100" s="833">
        <v>8655707.0800000001</v>
      </c>
      <c r="J100" s="834">
        <v>2.6144940773392191</v>
      </c>
      <c r="L100" s="1303"/>
      <c r="M100" s="764"/>
    </row>
    <row r="101" spans="1:13">
      <c r="A101" s="865"/>
      <c r="B101" s="867"/>
      <c r="C101" s="876"/>
      <c r="D101" s="836" t="s">
        <v>12933</v>
      </c>
      <c r="E101" s="868" t="s">
        <v>10725</v>
      </c>
      <c r="F101" s="879"/>
      <c r="G101" s="839">
        <v>0</v>
      </c>
      <c r="H101" s="843">
        <v>0</v>
      </c>
      <c r="I101" s="838">
        <v>0</v>
      </c>
      <c r="J101" s="834">
        <v>0</v>
      </c>
      <c r="L101" s="1303"/>
      <c r="M101" s="764"/>
    </row>
    <row r="102" spans="1:13">
      <c r="A102" s="865"/>
      <c r="B102" s="867"/>
      <c r="C102" s="876"/>
      <c r="D102" s="836" t="s">
        <v>12935</v>
      </c>
      <c r="E102" s="876" t="s">
        <v>10822</v>
      </c>
      <c r="F102" s="879"/>
      <c r="G102" s="839">
        <v>11966369.42</v>
      </c>
      <c r="H102" s="839">
        <v>3310662.34</v>
      </c>
      <c r="I102" s="838">
        <v>8655707.0800000001</v>
      </c>
      <c r="J102" s="834">
        <v>2.6144940773392191</v>
      </c>
      <c r="L102" s="1303"/>
      <c r="M102" s="764"/>
    </row>
    <row r="103" spans="1:13">
      <c r="A103" s="856"/>
      <c r="B103" s="1325" t="s">
        <v>13023</v>
      </c>
      <c r="C103" s="1325"/>
      <c r="D103" s="1325"/>
      <c r="E103" s="1325"/>
      <c r="F103" s="1325"/>
      <c r="G103" s="882">
        <v>-117616.23000000045</v>
      </c>
      <c r="H103" s="882">
        <v>5658433.5800000001</v>
      </c>
      <c r="I103" s="883">
        <v>-5776049.8100000005</v>
      </c>
      <c r="J103" s="834">
        <v>-1.0207860052322113</v>
      </c>
      <c r="L103" s="1303"/>
      <c r="M103" s="764"/>
    </row>
    <row r="104" spans="1:13" ht="15.75" thickBot="1">
      <c r="A104" s="881"/>
      <c r="B104" s="836"/>
      <c r="C104" s="876"/>
      <c r="D104" s="868"/>
      <c r="E104" s="876"/>
      <c r="F104" s="879"/>
      <c r="G104" s="884"/>
      <c r="H104" s="876"/>
      <c r="I104" s="838">
        <v>0</v>
      </c>
      <c r="J104" s="834">
        <v>0</v>
      </c>
      <c r="L104" s="1303"/>
      <c r="M104" s="764"/>
    </row>
    <row r="105" spans="1:13" ht="16.5" thickTop="1" thickBot="1">
      <c r="A105" s="1326" t="s">
        <v>13024</v>
      </c>
      <c r="B105" s="1326"/>
      <c r="C105" s="1326"/>
      <c r="D105" s="1326"/>
      <c r="E105" s="1326"/>
      <c r="F105" s="1326"/>
      <c r="G105" s="885">
        <v>-2126186.6299999095</v>
      </c>
      <c r="H105" s="885">
        <v>9467436.4100000151</v>
      </c>
      <c r="I105" s="886">
        <v>-11593623.039999925</v>
      </c>
      <c r="J105" s="834">
        <v>-1.2245789185078779</v>
      </c>
      <c r="L105" s="1303"/>
      <c r="M105" s="764"/>
    </row>
    <row r="106" spans="1:13" ht="15.75" thickTop="1">
      <c r="A106" s="887"/>
      <c r="B106" s="888"/>
      <c r="C106" s="888"/>
      <c r="D106" s="889"/>
      <c r="E106" s="890"/>
      <c r="F106" s="891"/>
      <c r="G106" s="906"/>
      <c r="H106" s="890"/>
      <c r="I106" s="894">
        <v>0</v>
      </c>
      <c r="J106" s="834">
        <v>0</v>
      </c>
      <c r="L106" s="1303"/>
      <c r="M106" s="764"/>
    </row>
    <row r="107" spans="1:13">
      <c r="A107" s="830" t="s">
        <v>13025</v>
      </c>
      <c r="B107" s="857" t="s">
        <v>13026</v>
      </c>
      <c r="C107" s="858"/>
      <c r="D107" s="857"/>
      <c r="E107" s="875"/>
      <c r="F107" s="877"/>
      <c r="G107" s="903"/>
      <c r="H107" s="904"/>
      <c r="I107" s="838">
        <v>0</v>
      </c>
      <c r="J107" s="834">
        <v>0</v>
      </c>
      <c r="L107" s="1303"/>
      <c r="M107" s="764"/>
    </row>
    <row r="108" spans="1:13">
      <c r="A108" s="847"/>
      <c r="B108" s="831" t="s">
        <v>12932</v>
      </c>
      <c r="C108" s="875" t="s">
        <v>11060</v>
      </c>
      <c r="D108" s="858"/>
      <c r="E108" s="875"/>
      <c r="F108" s="877"/>
      <c r="G108" s="907">
        <v>9840963.0699999984</v>
      </c>
      <c r="H108" s="907">
        <v>9335293.1999999974</v>
      </c>
      <c r="I108" s="833">
        <v>505669.87000000104</v>
      </c>
      <c r="J108" s="834">
        <v>5.4167540233230296E-2</v>
      </c>
      <c r="L108" s="1303"/>
      <c r="M108" s="764"/>
    </row>
    <row r="109" spans="1:13">
      <c r="A109" s="881"/>
      <c r="B109" s="867"/>
      <c r="C109" s="876"/>
      <c r="D109" s="836" t="s">
        <v>12933</v>
      </c>
      <c r="E109" s="876" t="s">
        <v>11064</v>
      </c>
      <c r="F109" s="879"/>
      <c r="G109" s="908">
        <v>9469828.0199999977</v>
      </c>
      <c r="H109" s="908">
        <v>8994231.5599999987</v>
      </c>
      <c r="I109" s="838">
        <v>475596.45999999903</v>
      </c>
      <c r="J109" s="834">
        <v>5.2877942582123055E-2</v>
      </c>
      <c r="L109" s="1303"/>
      <c r="M109" s="764"/>
    </row>
    <row r="110" spans="1:13">
      <c r="A110" s="881"/>
      <c r="B110" s="867"/>
      <c r="C110" s="876"/>
      <c r="D110" s="836" t="s">
        <v>12935</v>
      </c>
      <c r="E110" s="876" t="s">
        <v>11079</v>
      </c>
      <c r="F110" s="879"/>
      <c r="G110" s="908">
        <v>118061.5</v>
      </c>
      <c r="H110" s="908">
        <v>111517.27</v>
      </c>
      <c r="I110" s="838">
        <v>6544.2299999999959</v>
      </c>
      <c r="J110" s="834">
        <v>5.8683556367547338E-2</v>
      </c>
      <c r="L110" s="1303"/>
      <c r="M110" s="764"/>
    </row>
    <row r="111" spans="1:13">
      <c r="A111" s="881"/>
      <c r="B111" s="867"/>
      <c r="C111" s="876"/>
      <c r="D111" s="836" t="s">
        <v>12948</v>
      </c>
      <c r="E111" s="876" t="s">
        <v>61</v>
      </c>
      <c r="F111" s="879"/>
      <c r="G111" s="908">
        <v>253073.55</v>
      </c>
      <c r="H111" s="908">
        <v>229544.37</v>
      </c>
      <c r="I111" s="838">
        <v>23529.179999999993</v>
      </c>
      <c r="J111" s="834">
        <v>0.10250384272112617</v>
      </c>
      <c r="L111" s="1303"/>
      <c r="M111" s="764"/>
    </row>
    <row r="112" spans="1:13">
      <c r="A112" s="881"/>
      <c r="B112" s="867"/>
      <c r="C112" s="876"/>
      <c r="D112" s="836" t="s">
        <v>12954</v>
      </c>
      <c r="E112" s="876" t="s">
        <v>13027</v>
      </c>
      <c r="F112" s="879"/>
      <c r="G112" s="909">
        <v>0</v>
      </c>
      <c r="H112" s="909">
        <v>0</v>
      </c>
      <c r="I112" s="838">
        <v>0</v>
      </c>
      <c r="J112" s="834">
        <v>0</v>
      </c>
      <c r="L112" s="1303"/>
      <c r="M112" s="764"/>
    </row>
    <row r="113" spans="1:13">
      <c r="A113" s="847"/>
      <c r="B113" s="831" t="s">
        <v>12938</v>
      </c>
      <c r="C113" s="875" t="s">
        <v>11105</v>
      </c>
      <c r="D113" s="858"/>
      <c r="E113" s="875"/>
      <c r="F113" s="877"/>
      <c r="G113" s="903"/>
      <c r="H113" s="904"/>
      <c r="I113" s="838">
        <v>0</v>
      </c>
      <c r="J113" s="834">
        <v>0</v>
      </c>
      <c r="L113" s="1303"/>
      <c r="M113" s="764"/>
    </row>
    <row r="114" spans="1:13">
      <c r="A114" s="847"/>
      <c r="B114" s="831" t="s">
        <v>12940</v>
      </c>
      <c r="C114" s="875" t="s">
        <v>13028</v>
      </c>
      <c r="D114" s="858"/>
      <c r="E114" s="875"/>
      <c r="F114" s="877"/>
      <c r="G114" s="910"/>
      <c r="H114" s="911"/>
      <c r="I114" s="838">
        <v>0</v>
      </c>
      <c r="J114" s="834">
        <v>0</v>
      </c>
      <c r="L114" s="1303"/>
      <c r="M114" s="764"/>
    </row>
    <row r="115" spans="1:13">
      <c r="A115" s="856"/>
      <c r="B115" s="1325" t="s">
        <v>13029</v>
      </c>
      <c r="C115" s="1325"/>
      <c r="D115" s="1325"/>
      <c r="E115" s="1325"/>
      <c r="F115" s="1325"/>
      <c r="G115" s="882">
        <v>9840963.0699999984</v>
      </c>
      <c r="H115" s="882">
        <v>9335293.1999999974</v>
      </c>
      <c r="I115" s="883">
        <v>505669.87000000104</v>
      </c>
      <c r="J115" s="834">
        <v>5.4167540233230296E-2</v>
      </c>
      <c r="L115" s="1303"/>
      <c r="M115" s="764"/>
    </row>
    <row r="116" spans="1:13">
      <c r="A116" s="881"/>
      <c r="B116" s="836"/>
      <c r="C116" s="876"/>
      <c r="D116" s="868"/>
      <c r="E116" s="876"/>
      <c r="F116" s="879"/>
      <c r="G116" s="884"/>
      <c r="H116" s="876"/>
      <c r="I116" s="838">
        <v>0</v>
      </c>
      <c r="J116" s="834">
        <v>0</v>
      </c>
      <c r="L116" s="1303"/>
      <c r="M116" s="764"/>
    </row>
    <row r="117" spans="1:13">
      <c r="A117" s="830" t="s">
        <v>13030</v>
      </c>
      <c r="B117" s="857"/>
      <c r="C117" s="858"/>
      <c r="D117" s="857"/>
      <c r="E117" s="875"/>
      <c r="F117" s="877"/>
      <c r="G117" s="912">
        <v>-11967149.699999908</v>
      </c>
      <c r="H117" s="912">
        <v>132143.21000001766</v>
      </c>
      <c r="I117" s="838">
        <v>-12099292.909999926</v>
      </c>
      <c r="J117" s="834">
        <v>-91.561972120991371</v>
      </c>
      <c r="L117" s="1303"/>
      <c r="M117" s="764"/>
    </row>
    <row r="118" spans="1:13">
      <c r="A118" s="913"/>
      <c r="B118" s="914"/>
      <c r="C118" s="915"/>
      <c r="D118" s="915"/>
      <c r="E118" s="916"/>
      <c r="F118" s="917"/>
      <c r="G118" s="917"/>
      <c r="H118" s="916"/>
      <c r="I118" s="918"/>
      <c r="J118" s="834"/>
    </row>
    <row r="119" spans="1:13">
      <c r="A119" s="919"/>
      <c r="B119" s="919"/>
      <c r="C119" s="919"/>
      <c r="D119" s="919"/>
      <c r="E119" s="919"/>
      <c r="F119" s="920"/>
      <c r="G119" s="920"/>
      <c r="H119" s="921"/>
      <c r="I119" s="919"/>
      <c r="J119" s="919"/>
    </row>
  </sheetData>
  <mergeCells count="23">
    <mergeCell ref="B94:F94"/>
    <mergeCell ref="B103:F103"/>
    <mergeCell ref="A105:F105"/>
    <mergeCell ref="B115:F115"/>
    <mergeCell ref="E25:F25"/>
    <mergeCell ref="E26:F26"/>
    <mergeCell ref="B33:F33"/>
    <mergeCell ref="B82:F82"/>
    <mergeCell ref="A84:F84"/>
    <mergeCell ref="B89:F89"/>
    <mergeCell ref="E21:F21"/>
    <mergeCell ref="A1:H2"/>
    <mergeCell ref="I1:J2"/>
    <mergeCell ref="A3:D3"/>
    <mergeCell ref="A4:F5"/>
    <mergeCell ref="G4:G5"/>
    <mergeCell ref="H4:H5"/>
    <mergeCell ref="I4:J4"/>
    <mergeCell ref="B6:F6"/>
    <mergeCell ref="C7:F7"/>
    <mergeCell ref="E8:F8"/>
    <mergeCell ref="E9:F9"/>
    <mergeCell ref="E16:F16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>
    <oddHeader>&amp;R&amp;"-,Grassetto"ALLEGATO B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39997558519241921"/>
    <pageSetUpPr fitToPage="1"/>
  </sheetPr>
  <dimension ref="A1:P661"/>
  <sheetViews>
    <sheetView topLeftCell="C1" workbookViewId="0"/>
  </sheetViews>
  <sheetFormatPr defaultColWidth="9.5703125" defaultRowHeight="12.75"/>
  <cols>
    <col min="1" max="1" width="12.7109375" style="631" hidden="1" customWidth="1"/>
    <col min="2" max="2" width="5.7109375" style="632" hidden="1" customWidth="1"/>
    <col min="3" max="3" width="9.5703125" style="631"/>
    <col min="4" max="4" width="28.85546875" style="707" customWidth="1"/>
    <col min="5" max="5" width="9.7109375" style="631" customWidth="1"/>
    <col min="6" max="6" width="12.28515625" style="631" customWidth="1"/>
    <col min="7" max="7" width="10.42578125" style="708" bestFit="1" customWidth="1"/>
    <col min="8" max="8" width="11.7109375" style="709" bestFit="1" customWidth="1"/>
    <col min="9" max="9" width="14" style="710" bestFit="1" customWidth="1"/>
    <col min="10" max="10" width="13.140625" style="746" bestFit="1" customWidth="1"/>
    <col min="11" max="11" width="9.5703125" style="631"/>
    <col min="12" max="12" width="12.42578125" style="631" bestFit="1" customWidth="1"/>
    <col min="13" max="14" width="9.5703125" style="631"/>
    <col min="15" max="16" width="11" style="631" bestFit="1" customWidth="1"/>
    <col min="17" max="16384" width="9.5703125" style="631"/>
  </cols>
  <sheetData>
    <row r="1" spans="1:11" ht="13.5" thickBot="1">
      <c r="C1" s="632"/>
      <c r="D1" s="633" t="s">
        <v>11831</v>
      </c>
      <c r="E1" s="634" t="s">
        <v>11832</v>
      </c>
      <c r="F1" s="632"/>
      <c r="G1" s="635"/>
      <c r="H1" s="636"/>
      <c r="I1" s="637"/>
    </row>
    <row r="2" spans="1:11" ht="31.5">
      <c r="C2" s="632"/>
      <c r="D2" s="639"/>
      <c r="E2" s="640" t="s">
        <v>11833</v>
      </c>
      <c r="F2" s="640" t="s">
        <v>11834</v>
      </c>
      <c r="G2" s="641"/>
      <c r="H2" s="642"/>
      <c r="I2" s="643"/>
    </row>
    <row r="3" spans="1:11" ht="22.5">
      <c r="A3" s="644" t="s">
        <v>11128</v>
      </c>
      <c r="B3" s="645" t="s">
        <v>11129</v>
      </c>
      <c r="C3" s="646" t="s">
        <v>11130</v>
      </c>
      <c r="D3" s="647" t="s">
        <v>11835</v>
      </c>
      <c r="E3" s="632"/>
      <c r="F3" s="648"/>
      <c r="G3" s="649"/>
      <c r="H3" s="758">
        <v>2024</v>
      </c>
      <c r="I3" s="759">
        <v>2023</v>
      </c>
      <c r="J3" s="747" t="s">
        <v>12926</v>
      </c>
      <c r="K3" s="747" t="s">
        <v>42</v>
      </c>
    </row>
    <row r="4" spans="1:11">
      <c r="A4" s="650">
        <v>1</v>
      </c>
      <c r="B4" s="651"/>
      <c r="C4" s="652" t="s">
        <v>633</v>
      </c>
      <c r="D4" s="653" t="s">
        <v>634</v>
      </c>
      <c r="E4" s="654">
        <v>2024</v>
      </c>
      <c r="F4" s="655">
        <v>45657</v>
      </c>
      <c r="G4" s="656">
        <v>105731140.41</v>
      </c>
      <c r="H4" s="657">
        <f>+H5+H32+H69</f>
        <v>105731139.62</v>
      </c>
      <c r="I4" s="657">
        <v>102316345</v>
      </c>
      <c r="J4" s="760">
        <f>H4-I4</f>
        <v>3414794.6200000048</v>
      </c>
      <c r="K4" s="761">
        <f>H4/I4*100-100</f>
        <v>3.3374869088609529</v>
      </c>
    </row>
    <row r="5" spans="1:11" ht="21">
      <c r="A5" s="650">
        <v>2</v>
      </c>
      <c r="B5" s="651"/>
      <c r="C5" s="652" t="s">
        <v>635</v>
      </c>
      <c r="D5" s="653" t="s">
        <v>636</v>
      </c>
      <c r="E5" s="660">
        <f t="shared" ref="E5:E68" si="0">E4</f>
        <v>2024</v>
      </c>
      <c r="F5" s="655">
        <f t="shared" ref="F5:F68" si="1">+F4</f>
        <v>45657</v>
      </c>
      <c r="G5" s="656">
        <v>59095217.780000001</v>
      </c>
      <c r="H5" s="657">
        <f>+H6+H9+H12+H17+H18-H274</f>
        <v>59095216.99000001</v>
      </c>
      <c r="I5" s="657">
        <v>53510493</v>
      </c>
      <c r="J5" s="760">
        <f t="shared" ref="J5:J68" si="2">H5-I5</f>
        <v>5584723.9900000095</v>
      </c>
      <c r="K5" s="761">
        <f t="shared" ref="K5:K59" si="3">H5/I5*100-100</f>
        <v>10.436689473221648</v>
      </c>
    </row>
    <row r="6" spans="1:11" ht="21">
      <c r="A6" s="650">
        <v>3</v>
      </c>
      <c r="B6" s="661"/>
      <c r="C6" s="662" t="s">
        <v>140</v>
      </c>
      <c r="D6" s="663" t="s">
        <v>639</v>
      </c>
      <c r="E6" s="660">
        <f t="shared" si="0"/>
        <v>2024</v>
      </c>
      <c r="F6" s="655">
        <f t="shared" si="1"/>
        <v>45657</v>
      </c>
      <c r="G6" s="656">
        <v>0</v>
      </c>
      <c r="H6" s="657">
        <f>+H7-H8</f>
        <v>0</v>
      </c>
      <c r="I6" s="657">
        <v>0</v>
      </c>
      <c r="J6" s="760">
        <f t="shared" si="2"/>
        <v>0</v>
      </c>
      <c r="K6" s="761"/>
    </row>
    <row r="7" spans="1:11" ht="21">
      <c r="A7" s="650">
        <v>4</v>
      </c>
      <c r="B7" s="651"/>
      <c r="C7" s="664" t="s">
        <v>643</v>
      </c>
      <c r="D7" s="665" t="s">
        <v>644</v>
      </c>
      <c r="E7" s="660">
        <f t="shared" si="0"/>
        <v>2024</v>
      </c>
      <c r="F7" s="655">
        <f t="shared" si="1"/>
        <v>45657</v>
      </c>
      <c r="G7" s="656">
        <v>0</v>
      </c>
      <c r="H7" s="666">
        <f>+G7</f>
        <v>0</v>
      </c>
      <c r="I7" s="666">
        <v>0</v>
      </c>
      <c r="J7" s="760">
        <f t="shared" si="2"/>
        <v>0</v>
      </c>
      <c r="K7" s="761"/>
    </row>
    <row r="8" spans="1:11" ht="21">
      <c r="A8" s="650">
        <v>5</v>
      </c>
      <c r="B8" s="651"/>
      <c r="C8" s="664" t="s">
        <v>649</v>
      </c>
      <c r="D8" s="665" t="s">
        <v>650</v>
      </c>
      <c r="E8" s="660">
        <f t="shared" si="0"/>
        <v>2024</v>
      </c>
      <c r="F8" s="655">
        <f t="shared" si="1"/>
        <v>45657</v>
      </c>
      <c r="G8" s="656">
        <v>0</v>
      </c>
      <c r="H8" s="666">
        <f>+G8</f>
        <v>0</v>
      </c>
      <c r="I8" s="666">
        <v>0</v>
      </c>
      <c r="J8" s="760">
        <f t="shared" si="2"/>
        <v>0</v>
      </c>
      <c r="K8" s="761"/>
    </row>
    <row r="9" spans="1:11">
      <c r="A9" s="650">
        <v>6</v>
      </c>
      <c r="B9" s="651"/>
      <c r="C9" s="662" t="s">
        <v>141</v>
      </c>
      <c r="D9" s="663" t="s">
        <v>654</v>
      </c>
      <c r="E9" s="660">
        <f t="shared" si="0"/>
        <v>2024</v>
      </c>
      <c r="F9" s="655">
        <f t="shared" si="1"/>
        <v>45657</v>
      </c>
      <c r="G9" s="656">
        <v>0</v>
      </c>
      <c r="H9" s="657">
        <f>+H10-H11</f>
        <v>0</v>
      </c>
      <c r="I9" s="657">
        <v>0</v>
      </c>
      <c r="J9" s="760">
        <f t="shared" si="2"/>
        <v>0</v>
      </c>
      <c r="K9" s="761"/>
    </row>
    <row r="10" spans="1:11">
      <c r="A10" s="650">
        <v>7</v>
      </c>
      <c r="B10" s="651"/>
      <c r="C10" s="664" t="s">
        <v>658</v>
      </c>
      <c r="D10" s="665" t="s">
        <v>659</v>
      </c>
      <c r="E10" s="660">
        <f t="shared" si="0"/>
        <v>2024</v>
      </c>
      <c r="F10" s="655">
        <f t="shared" si="1"/>
        <v>45657</v>
      </c>
      <c r="G10" s="656">
        <v>0</v>
      </c>
      <c r="H10" s="666">
        <f>+G10</f>
        <v>0</v>
      </c>
      <c r="I10" s="666">
        <v>0</v>
      </c>
      <c r="J10" s="760">
        <f t="shared" si="2"/>
        <v>0</v>
      </c>
      <c r="K10" s="761"/>
    </row>
    <row r="11" spans="1:11" ht="21">
      <c r="A11" s="650">
        <v>8</v>
      </c>
      <c r="B11" s="651"/>
      <c r="C11" s="664" t="s">
        <v>665</v>
      </c>
      <c r="D11" s="665" t="s">
        <v>666</v>
      </c>
      <c r="E11" s="660">
        <f t="shared" si="0"/>
        <v>2024</v>
      </c>
      <c r="F11" s="655">
        <f t="shared" si="1"/>
        <v>45657</v>
      </c>
      <c r="G11" s="656">
        <v>0</v>
      </c>
      <c r="H11" s="666">
        <f>+G11</f>
        <v>0</v>
      </c>
      <c r="I11" s="666">
        <v>0</v>
      </c>
      <c r="J11" s="760">
        <f t="shared" si="2"/>
        <v>0</v>
      </c>
      <c r="K11" s="761"/>
    </row>
    <row r="12" spans="1:11" ht="31.5">
      <c r="A12" s="650">
        <v>9</v>
      </c>
      <c r="B12" s="651"/>
      <c r="C12" s="662" t="s">
        <v>142</v>
      </c>
      <c r="D12" s="663" t="s">
        <v>673</v>
      </c>
      <c r="E12" s="660">
        <f t="shared" si="0"/>
        <v>2024</v>
      </c>
      <c r="F12" s="655">
        <f t="shared" si="1"/>
        <v>45657</v>
      </c>
      <c r="G12" s="656">
        <v>0</v>
      </c>
      <c r="H12" s="657">
        <f>+H13-H14+H15-H16</f>
        <v>0</v>
      </c>
      <c r="I12" s="657">
        <v>0</v>
      </c>
      <c r="J12" s="760">
        <f t="shared" si="2"/>
        <v>0</v>
      </c>
      <c r="K12" s="761"/>
    </row>
    <row r="13" spans="1:11" ht="31.5">
      <c r="A13" s="650">
        <v>10</v>
      </c>
      <c r="B13" s="651"/>
      <c r="C13" s="664" t="s">
        <v>677</v>
      </c>
      <c r="D13" s="665" t="s">
        <v>11836</v>
      </c>
      <c r="E13" s="660">
        <f t="shared" si="0"/>
        <v>2024</v>
      </c>
      <c r="F13" s="655">
        <f t="shared" si="1"/>
        <v>45657</v>
      </c>
      <c r="G13" s="656">
        <v>0</v>
      </c>
      <c r="H13" s="666">
        <f>+G13</f>
        <v>0</v>
      </c>
      <c r="I13" s="666">
        <v>0</v>
      </c>
      <c r="J13" s="760">
        <f t="shared" si="2"/>
        <v>0</v>
      </c>
      <c r="K13" s="761"/>
    </row>
    <row r="14" spans="1:11" ht="42">
      <c r="A14" s="650">
        <v>11</v>
      </c>
      <c r="B14" s="651"/>
      <c r="C14" s="664" t="s">
        <v>683</v>
      </c>
      <c r="D14" s="665" t="s">
        <v>11837</v>
      </c>
      <c r="E14" s="660">
        <f t="shared" si="0"/>
        <v>2024</v>
      </c>
      <c r="F14" s="655">
        <f t="shared" si="1"/>
        <v>45657</v>
      </c>
      <c r="G14" s="656">
        <v>0</v>
      </c>
      <c r="H14" s="666">
        <f>+G14</f>
        <v>0</v>
      </c>
      <c r="I14" s="666">
        <v>0</v>
      </c>
      <c r="J14" s="760">
        <f t="shared" si="2"/>
        <v>0</v>
      </c>
      <c r="K14" s="761"/>
    </row>
    <row r="15" spans="1:11" ht="21">
      <c r="A15" s="650">
        <v>12</v>
      </c>
      <c r="B15" s="651"/>
      <c r="C15" s="664" t="s">
        <v>689</v>
      </c>
      <c r="D15" s="665" t="s">
        <v>690</v>
      </c>
      <c r="E15" s="660">
        <f t="shared" si="0"/>
        <v>2024</v>
      </c>
      <c r="F15" s="655">
        <f t="shared" si="1"/>
        <v>45657</v>
      </c>
      <c r="G15" s="656">
        <v>0</v>
      </c>
      <c r="H15" s="666">
        <f>+G15</f>
        <v>0</v>
      </c>
      <c r="I15" s="666">
        <v>0</v>
      </c>
      <c r="J15" s="760">
        <f t="shared" si="2"/>
        <v>0</v>
      </c>
      <c r="K15" s="761"/>
    </row>
    <row r="16" spans="1:11" ht="31.5">
      <c r="A16" s="650">
        <v>13</v>
      </c>
      <c r="B16" s="651"/>
      <c r="C16" s="664" t="s">
        <v>695</v>
      </c>
      <c r="D16" s="665" t="s">
        <v>11838</v>
      </c>
      <c r="E16" s="660">
        <f t="shared" si="0"/>
        <v>2024</v>
      </c>
      <c r="F16" s="655">
        <f t="shared" si="1"/>
        <v>45657</v>
      </c>
      <c r="G16" s="656">
        <v>0</v>
      </c>
      <c r="H16" s="666">
        <f>+G16</f>
        <v>0</v>
      </c>
      <c r="I16" s="666">
        <v>0</v>
      </c>
      <c r="J16" s="760">
        <f t="shared" si="2"/>
        <v>0</v>
      </c>
      <c r="K16" s="761"/>
    </row>
    <row r="17" spans="1:12" ht="21">
      <c r="A17" s="650">
        <v>14</v>
      </c>
      <c r="B17" s="651"/>
      <c r="C17" s="662" t="s">
        <v>143</v>
      </c>
      <c r="D17" s="663" t="s">
        <v>699</v>
      </c>
      <c r="E17" s="660">
        <f t="shared" si="0"/>
        <v>2024</v>
      </c>
      <c r="F17" s="655">
        <f t="shared" si="1"/>
        <v>45657</v>
      </c>
      <c r="G17" s="669">
        <v>34646048.910000004</v>
      </c>
      <c r="H17" s="666">
        <f>+G17</f>
        <v>34646048.910000004</v>
      </c>
      <c r="I17" s="666">
        <v>33344224</v>
      </c>
      <c r="J17" s="760">
        <f t="shared" si="2"/>
        <v>1301824.9100000039</v>
      </c>
      <c r="K17" s="761">
        <f t="shared" si="3"/>
        <v>3.9041991500537137</v>
      </c>
    </row>
    <row r="18" spans="1:12" ht="21">
      <c r="A18" s="650">
        <v>15</v>
      </c>
      <c r="B18" s="651"/>
      <c r="C18" s="662" t="s">
        <v>144</v>
      </c>
      <c r="D18" s="663" t="s">
        <v>715</v>
      </c>
      <c r="E18" s="660">
        <f t="shared" si="0"/>
        <v>2024</v>
      </c>
      <c r="F18" s="655">
        <f t="shared" si="1"/>
        <v>45657</v>
      </c>
      <c r="G18" s="656"/>
      <c r="H18" s="657">
        <f>+H19-H20+H21-H22+H23-H24+H25-H26</f>
        <v>24449168.080000002</v>
      </c>
      <c r="I18" s="657">
        <v>20166269</v>
      </c>
      <c r="J18" s="760">
        <f t="shared" si="2"/>
        <v>4282899.0800000019</v>
      </c>
      <c r="K18" s="761">
        <f t="shared" si="3"/>
        <v>21.237934890187191</v>
      </c>
      <c r="L18" s="754"/>
    </row>
    <row r="19" spans="1:12" ht="21">
      <c r="A19" s="650">
        <v>16</v>
      </c>
      <c r="B19" s="651"/>
      <c r="C19" s="664" t="s">
        <v>145</v>
      </c>
      <c r="D19" s="665" t="s">
        <v>719</v>
      </c>
      <c r="E19" s="660">
        <f t="shared" si="0"/>
        <v>2024</v>
      </c>
      <c r="F19" s="655">
        <f t="shared" si="1"/>
        <v>45657</v>
      </c>
      <c r="G19" s="656">
        <v>2608755</v>
      </c>
      <c r="H19" s="666">
        <f t="shared" ref="H19:H26" si="4">+G19</f>
        <v>2608755</v>
      </c>
      <c r="I19" s="666">
        <v>2581097</v>
      </c>
      <c r="J19" s="760">
        <f t="shared" si="2"/>
        <v>27658</v>
      </c>
      <c r="K19" s="761">
        <f t="shared" si="3"/>
        <v>1.0715598832589279</v>
      </c>
    </row>
    <row r="20" spans="1:12" ht="21">
      <c r="A20" s="650">
        <v>17</v>
      </c>
      <c r="B20" s="651"/>
      <c r="C20" s="664" t="s">
        <v>729</v>
      </c>
      <c r="D20" s="665" t="s">
        <v>730</v>
      </c>
      <c r="E20" s="660">
        <f t="shared" si="0"/>
        <v>2024</v>
      </c>
      <c r="F20" s="655">
        <f t="shared" si="1"/>
        <v>45657</v>
      </c>
      <c r="G20" s="656">
        <v>2033638</v>
      </c>
      <c r="H20" s="666">
        <f t="shared" si="4"/>
        <v>2033638</v>
      </c>
      <c r="I20" s="666">
        <v>1801327</v>
      </c>
      <c r="J20" s="760">
        <f t="shared" si="2"/>
        <v>232311</v>
      </c>
      <c r="K20" s="761">
        <f t="shared" si="3"/>
        <v>12.896658963086651</v>
      </c>
    </row>
    <row r="21" spans="1:12" ht="12" customHeight="1">
      <c r="A21" s="650">
        <v>18</v>
      </c>
      <c r="B21" s="651"/>
      <c r="C21" s="664" t="s">
        <v>146</v>
      </c>
      <c r="D21" s="665" t="s">
        <v>743</v>
      </c>
      <c r="E21" s="660">
        <f t="shared" si="0"/>
        <v>2024</v>
      </c>
      <c r="F21" s="655">
        <f t="shared" si="1"/>
        <v>45657</v>
      </c>
      <c r="G21" s="656">
        <v>39495043.350000001</v>
      </c>
      <c r="H21" s="666">
        <f t="shared" si="4"/>
        <v>39495043.350000001</v>
      </c>
      <c r="I21" s="666">
        <v>33854687</v>
      </c>
      <c r="J21" s="760">
        <f t="shared" si="2"/>
        <v>5640356.3500000015</v>
      </c>
      <c r="K21" s="761">
        <f t="shared" si="3"/>
        <v>16.660488841618886</v>
      </c>
    </row>
    <row r="22" spans="1:12" ht="21">
      <c r="A22" s="650">
        <v>19</v>
      </c>
      <c r="B22" s="651"/>
      <c r="C22" s="664" t="s">
        <v>751</v>
      </c>
      <c r="D22" s="665" t="s">
        <v>752</v>
      </c>
      <c r="E22" s="660">
        <f t="shared" si="0"/>
        <v>2024</v>
      </c>
      <c r="F22" s="655">
        <f t="shared" si="1"/>
        <v>45657</v>
      </c>
      <c r="G22" s="656">
        <v>15620992.27</v>
      </c>
      <c r="H22" s="666">
        <f t="shared" si="4"/>
        <v>15620992.27</v>
      </c>
      <c r="I22" s="666">
        <v>14468188</v>
      </c>
      <c r="J22" s="760">
        <f t="shared" si="2"/>
        <v>1152804.2699999996</v>
      </c>
      <c r="K22" s="761">
        <f t="shared" si="3"/>
        <v>7.9678552006650705</v>
      </c>
    </row>
    <row r="23" spans="1:12">
      <c r="A23" s="650">
        <v>20</v>
      </c>
      <c r="B23" s="651"/>
      <c r="C23" s="664" t="s">
        <v>147</v>
      </c>
      <c r="D23" s="665" t="s">
        <v>758</v>
      </c>
      <c r="E23" s="660">
        <f t="shared" si="0"/>
        <v>2024</v>
      </c>
      <c r="F23" s="655">
        <f t="shared" si="1"/>
        <v>45657</v>
      </c>
      <c r="G23" s="656">
        <v>0</v>
      </c>
      <c r="H23" s="666">
        <f t="shared" si="4"/>
        <v>0</v>
      </c>
      <c r="I23" s="666">
        <v>0</v>
      </c>
      <c r="J23" s="760">
        <f t="shared" si="2"/>
        <v>0</v>
      </c>
      <c r="K23" s="761"/>
    </row>
    <row r="24" spans="1:12">
      <c r="A24" s="650">
        <v>21</v>
      </c>
      <c r="B24" s="651"/>
      <c r="C24" s="664" t="s">
        <v>762</v>
      </c>
      <c r="D24" s="665" t="s">
        <v>763</v>
      </c>
      <c r="E24" s="660">
        <f t="shared" si="0"/>
        <v>2024</v>
      </c>
      <c r="F24" s="655">
        <f t="shared" si="1"/>
        <v>45657</v>
      </c>
      <c r="G24" s="656">
        <v>0</v>
      </c>
      <c r="H24" s="666">
        <f t="shared" si="4"/>
        <v>0</v>
      </c>
      <c r="I24" s="666">
        <v>0</v>
      </c>
      <c r="J24" s="760">
        <f t="shared" si="2"/>
        <v>0</v>
      </c>
      <c r="K24" s="761"/>
    </row>
    <row r="25" spans="1:12" ht="21">
      <c r="A25" s="650">
        <v>22</v>
      </c>
      <c r="B25" s="651"/>
      <c r="C25" s="664" t="s">
        <v>770</v>
      </c>
      <c r="D25" s="665" t="s">
        <v>771</v>
      </c>
      <c r="E25" s="660">
        <f t="shared" si="0"/>
        <v>2024</v>
      </c>
      <c r="F25" s="655">
        <f t="shared" si="1"/>
        <v>45657</v>
      </c>
      <c r="G25" s="656">
        <v>0</v>
      </c>
      <c r="H25" s="666">
        <f t="shared" si="4"/>
        <v>0</v>
      </c>
      <c r="I25" s="666">
        <v>0</v>
      </c>
      <c r="J25" s="760">
        <f t="shared" si="2"/>
        <v>0</v>
      </c>
      <c r="K25" s="761"/>
    </row>
    <row r="26" spans="1:12" ht="21">
      <c r="A26" s="650">
        <v>23</v>
      </c>
      <c r="B26" s="651"/>
      <c r="C26" s="664" t="s">
        <v>775</v>
      </c>
      <c r="D26" s="665" t="s">
        <v>776</v>
      </c>
      <c r="E26" s="660">
        <f t="shared" si="0"/>
        <v>2024</v>
      </c>
      <c r="F26" s="655">
        <f t="shared" si="1"/>
        <v>45657</v>
      </c>
      <c r="G26" s="656">
        <v>0</v>
      </c>
      <c r="H26" s="666">
        <f t="shared" si="4"/>
        <v>0</v>
      </c>
      <c r="I26" s="666">
        <v>0</v>
      </c>
      <c r="J26" s="760">
        <f t="shared" si="2"/>
        <v>0</v>
      </c>
      <c r="K26" s="761"/>
    </row>
    <row r="27" spans="1:12" ht="21">
      <c r="A27" s="650">
        <v>24</v>
      </c>
      <c r="B27" s="651"/>
      <c r="C27" s="662" t="s">
        <v>11839</v>
      </c>
      <c r="D27" s="663" t="s">
        <v>11840</v>
      </c>
      <c r="E27" s="660">
        <f t="shared" si="0"/>
        <v>2024</v>
      </c>
      <c r="F27" s="655">
        <f t="shared" si="1"/>
        <v>45657</v>
      </c>
      <c r="G27" s="656"/>
      <c r="H27" s="657">
        <f>SUM(H28:H31)</f>
        <v>0</v>
      </c>
      <c r="I27" s="657">
        <v>0</v>
      </c>
      <c r="J27" s="760">
        <f t="shared" si="2"/>
        <v>0</v>
      </c>
      <c r="K27" s="761"/>
    </row>
    <row r="28" spans="1:12" ht="21">
      <c r="A28" s="650">
        <v>25</v>
      </c>
      <c r="B28" s="651"/>
      <c r="C28" s="664" t="s">
        <v>785</v>
      </c>
      <c r="D28" s="665" t="s">
        <v>786</v>
      </c>
      <c r="E28" s="660">
        <f t="shared" si="0"/>
        <v>2024</v>
      </c>
      <c r="F28" s="655">
        <f t="shared" si="1"/>
        <v>45657</v>
      </c>
      <c r="G28" s="656">
        <v>0</v>
      </c>
      <c r="H28" s="666">
        <f>+G28</f>
        <v>0</v>
      </c>
      <c r="I28" s="666">
        <v>0</v>
      </c>
      <c r="J28" s="760">
        <f t="shared" si="2"/>
        <v>0</v>
      </c>
      <c r="K28" s="761"/>
    </row>
    <row r="29" spans="1:12" ht="21">
      <c r="A29" s="650">
        <v>26</v>
      </c>
      <c r="B29" s="651"/>
      <c r="C29" s="664" t="s">
        <v>790</v>
      </c>
      <c r="D29" s="665" t="s">
        <v>791</v>
      </c>
      <c r="E29" s="660">
        <f t="shared" si="0"/>
        <v>2024</v>
      </c>
      <c r="F29" s="655">
        <f t="shared" si="1"/>
        <v>45657</v>
      </c>
      <c r="G29" s="656">
        <v>0</v>
      </c>
      <c r="H29" s="666">
        <f>+G29</f>
        <v>0</v>
      </c>
      <c r="I29" s="666">
        <v>0</v>
      </c>
      <c r="J29" s="760">
        <f t="shared" si="2"/>
        <v>0</v>
      </c>
      <c r="K29" s="761"/>
    </row>
    <row r="30" spans="1:12" ht="31.5">
      <c r="A30" s="650">
        <v>27</v>
      </c>
      <c r="B30" s="651"/>
      <c r="C30" s="664" t="s">
        <v>795</v>
      </c>
      <c r="D30" s="665" t="s">
        <v>796</v>
      </c>
      <c r="E30" s="660">
        <f t="shared" si="0"/>
        <v>2024</v>
      </c>
      <c r="F30" s="655">
        <f t="shared" si="1"/>
        <v>45657</v>
      </c>
      <c r="G30" s="656">
        <v>0</v>
      </c>
      <c r="H30" s="666">
        <f>+G30</f>
        <v>0</v>
      </c>
      <c r="I30" s="666">
        <v>0</v>
      </c>
      <c r="J30" s="760">
        <f t="shared" si="2"/>
        <v>0</v>
      </c>
      <c r="K30" s="761"/>
    </row>
    <row r="31" spans="1:12" ht="21">
      <c r="A31" s="650">
        <v>28</v>
      </c>
      <c r="B31" s="651"/>
      <c r="C31" s="664" t="s">
        <v>780</v>
      </c>
      <c r="D31" s="665" t="s">
        <v>781</v>
      </c>
      <c r="E31" s="660">
        <f t="shared" si="0"/>
        <v>2024</v>
      </c>
      <c r="F31" s="655">
        <f t="shared" si="1"/>
        <v>45657</v>
      </c>
      <c r="G31" s="656">
        <v>0</v>
      </c>
      <c r="H31" s="666">
        <f>+G31</f>
        <v>0</v>
      </c>
      <c r="I31" s="666">
        <v>0</v>
      </c>
      <c r="J31" s="760">
        <f t="shared" si="2"/>
        <v>0</v>
      </c>
      <c r="K31" s="761"/>
    </row>
    <row r="32" spans="1:12" ht="21">
      <c r="A32" s="650">
        <v>29</v>
      </c>
      <c r="B32" s="651"/>
      <c r="C32" s="652" t="s">
        <v>801</v>
      </c>
      <c r="D32" s="653" t="s">
        <v>11841</v>
      </c>
      <c r="E32" s="660">
        <f t="shared" si="0"/>
        <v>2024</v>
      </c>
      <c r="F32" s="655">
        <f t="shared" si="1"/>
        <v>45657</v>
      </c>
      <c r="G32" s="656">
        <v>46457922.630000003</v>
      </c>
      <c r="H32" s="657">
        <f>+H33+H36+H43+H46+H49+H52+H55+H56+H59-H60</f>
        <v>46457922.629999995</v>
      </c>
      <c r="I32" s="657">
        <v>48627852</v>
      </c>
      <c r="J32" s="760">
        <f t="shared" si="2"/>
        <v>-2169929.3700000048</v>
      </c>
      <c r="K32" s="761">
        <f t="shared" si="3"/>
        <v>-4.4623179530940575</v>
      </c>
    </row>
    <row r="33" spans="1:11">
      <c r="A33" s="650">
        <v>30</v>
      </c>
      <c r="B33" s="651"/>
      <c r="C33" s="662" t="s">
        <v>805</v>
      </c>
      <c r="D33" s="663" t="s">
        <v>11842</v>
      </c>
      <c r="E33" s="660">
        <f t="shared" si="0"/>
        <v>2024</v>
      </c>
      <c r="F33" s="655">
        <f t="shared" si="1"/>
        <v>45657</v>
      </c>
      <c r="G33" s="656"/>
      <c r="H33" s="657">
        <f>+H34+H35</f>
        <v>0</v>
      </c>
      <c r="I33" s="657">
        <v>0</v>
      </c>
      <c r="J33" s="760">
        <f t="shared" si="2"/>
        <v>0</v>
      </c>
      <c r="K33" s="761"/>
    </row>
    <row r="34" spans="1:11">
      <c r="A34" s="650">
        <v>31</v>
      </c>
      <c r="B34" s="651"/>
      <c r="C34" s="664" t="s">
        <v>148</v>
      </c>
      <c r="D34" s="665" t="s">
        <v>808</v>
      </c>
      <c r="E34" s="660">
        <f t="shared" si="0"/>
        <v>2024</v>
      </c>
      <c r="F34" s="655">
        <f t="shared" si="1"/>
        <v>45657</v>
      </c>
      <c r="G34" s="656">
        <v>0</v>
      </c>
      <c r="H34" s="666">
        <f>+G34</f>
        <v>0</v>
      </c>
      <c r="I34" s="666">
        <v>0</v>
      </c>
      <c r="J34" s="760">
        <f t="shared" si="2"/>
        <v>0</v>
      </c>
      <c r="K34" s="761"/>
    </row>
    <row r="35" spans="1:11">
      <c r="A35" s="650">
        <v>32</v>
      </c>
      <c r="B35" s="651"/>
      <c r="C35" s="664" t="s">
        <v>149</v>
      </c>
      <c r="D35" s="665" t="s">
        <v>815</v>
      </c>
      <c r="E35" s="660">
        <f t="shared" si="0"/>
        <v>2024</v>
      </c>
      <c r="F35" s="655">
        <f t="shared" si="1"/>
        <v>45657</v>
      </c>
      <c r="G35" s="656">
        <v>0</v>
      </c>
      <c r="H35" s="666">
        <f>+G35</f>
        <v>0</v>
      </c>
      <c r="I35" s="666">
        <v>0</v>
      </c>
      <c r="J35" s="760">
        <f t="shared" si="2"/>
        <v>0</v>
      </c>
      <c r="K35" s="761"/>
    </row>
    <row r="36" spans="1:11">
      <c r="A36" s="650">
        <v>33</v>
      </c>
      <c r="B36" s="651"/>
      <c r="C36" s="662" t="s">
        <v>11843</v>
      </c>
      <c r="D36" s="663" t="s">
        <v>11844</v>
      </c>
      <c r="E36" s="660">
        <f t="shared" si="0"/>
        <v>2024</v>
      </c>
      <c r="F36" s="655">
        <f t="shared" si="1"/>
        <v>45657</v>
      </c>
      <c r="G36" s="656"/>
      <c r="H36" s="657">
        <f>+H37+H40</f>
        <v>240555.97999999998</v>
      </c>
      <c r="I36" s="657">
        <v>287550</v>
      </c>
      <c r="J36" s="760">
        <f t="shared" si="2"/>
        <v>-46994.020000000019</v>
      </c>
      <c r="K36" s="761">
        <f t="shared" si="3"/>
        <v>-16.342903842809946</v>
      </c>
    </row>
    <row r="37" spans="1:11" ht="21">
      <c r="A37" s="650">
        <v>34</v>
      </c>
      <c r="B37" s="651"/>
      <c r="C37" s="664" t="s">
        <v>150</v>
      </c>
      <c r="D37" s="665" t="s">
        <v>818</v>
      </c>
      <c r="E37" s="660">
        <f t="shared" si="0"/>
        <v>2024</v>
      </c>
      <c r="F37" s="655">
        <f t="shared" si="1"/>
        <v>45657</v>
      </c>
      <c r="G37" s="656"/>
      <c r="H37" s="670">
        <f>+H38-H39</f>
        <v>240555.97999999998</v>
      </c>
      <c r="I37" s="670">
        <v>287550</v>
      </c>
      <c r="J37" s="760">
        <f t="shared" si="2"/>
        <v>-46994.020000000019</v>
      </c>
      <c r="K37" s="761">
        <f t="shared" si="3"/>
        <v>-16.342903842809946</v>
      </c>
    </row>
    <row r="38" spans="1:11" ht="21">
      <c r="A38" s="650">
        <v>35</v>
      </c>
      <c r="B38" s="651"/>
      <c r="C38" s="664" t="s">
        <v>822</v>
      </c>
      <c r="D38" s="665" t="s">
        <v>823</v>
      </c>
      <c r="E38" s="660">
        <f t="shared" si="0"/>
        <v>2024</v>
      </c>
      <c r="F38" s="655">
        <f t="shared" si="1"/>
        <v>45657</v>
      </c>
      <c r="G38" s="656">
        <v>655743.44999999995</v>
      </c>
      <c r="H38" s="666">
        <f>+G38</f>
        <v>655743.44999999995</v>
      </c>
      <c r="I38" s="666">
        <v>655743</v>
      </c>
      <c r="J38" s="760">
        <f t="shared" si="2"/>
        <v>0.44999999995343387</v>
      </c>
      <c r="K38" s="761">
        <f t="shared" si="3"/>
        <v>6.8624445859200023E-5</v>
      </c>
    </row>
    <row r="39" spans="1:11" ht="21">
      <c r="A39" s="650">
        <v>36</v>
      </c>
      <c r="B39" s="651"/>
      <c r="C39" s="664" t="s">
        <v>829</v>
      </c>
      <c r="D39" s="665" t="s">
        <v>830</v>
      </c>
      <c r="E39" s="660">
        <f t="shared" si="0"/>
        <v>2024</v>
      </c>
      <c r="F39" s="655">
        <f t="shared" si="1"/>
        <v>45657</v>
      </c>
      <c r="G39" s="656">
        <v>415187.47</v>
      </c>
      <c r="H39" s="666">
        <f>+G39</f>
        <v>415187.47</v>
      </c>
      <c r="I39" s="666">
        <v>368193</v>
      </c>
      <c r="J39" s="760">
        <f t="shared" si="2"/>
        <v>46994.469999999972</v>
      </c>
      <c r="K39" s="761">
        <f t="shared" si="3"/>
        <v>12.763542489944129</v>
      </c>
    </row>
    <row r="40" spans="1:11" ht="21">
      <c r="A40" s="650">
        <v>37</v>
      </c>
      <c r="B40" s="651"/>
      <c r="C40" s="664" t="s">
        <v>151</v>
      </c>
      <c r="D40" s="665" t="s">
        <v>11845</v>
      </c>
      <c r="E40" s="660">
        <f t="shared" si="0"/>
        <v>2024</v>
      </c>
      <c r="F40" s="655">
        <f t="shared" si="1"/>
        <v>45657</v>
      </c>
      <c r="G40" s="656"/>
      <c r="H40" s="670">
        <f>+H41-H42</f>
        <v>0</v>
      </c>
      <c r="I40" s="670">
        <v>0</v>
      </c>
      <c r="J40" s="760">
        <f t="shared" si="2"/>
        <v>0</v>
      </c>
      <c r="K40" s="761"/>
    </row>
    <row r="41" spans="1:11" ht="21">
      <c r="A41" s="650">
        <v>38</v>
      </c>
      <c r="B41" s="651"/>
      <c r="C41" s="664" t="s">
        <v>839</v>
      </c>
      <c r="D41" s="665" t="s">
        <v>835</v>
      </c>
      <c r="E41" s="660">
        <f t="shared" si="0"/>
        <v>2024</v>
      </c>
      <c r="F41" s="655">
        <f t="shared" si="1"/>
        <v>45657</v>
      </c>
      <c r="G41" s="656">
        <v>0</v>
      </c>
      <c r="H41" s="666">
        <f>+G41</f>
        <v>0</v>
      </c>
      <c r="I41" s="666">
        <v>0</v>
      </c>
      <c r="J41" s="760">
        <f t="shared" si="2"/>
        <v>0</v>
      </c>
      <c r="K41" s="761"/>
    </row>
    <row r="42" spans="1:11" ht="21">
      <c r="A42" s="650">
        <v>39</v>
      </c>
      <c r="B42" s="651"/>
      <c r="C42" s="664" t="s">
        <v>843</v>
      </c>
      <c r="D42" s="665" t="s">
        <v>844</v>
      </c>
      <c r="E42" s="660">
        <f t="shared" si="0"/>
        <v>2024</v>
      </c>
      <c r="F42" s="655">
        <f t="shared" si="1"/>
        <v>45657</v>
      </c>
      <c r="G42" s="656">
        <v>0</v>
      </c>
      <c r="H42" s="666">
        <f>+G42</f>
        <v>0</v>
      </c>
      <c r="I42" s="666">
        <v>0</v>
      </c>
      <c r="J42" s="760">
        <f t="shared" si="2"/>
        <v>0</v>
      </c>
      <c r="K42" s="761"/>
    </row>
    <row r="43" spans="1:11">
      <c r="A43" s="650">
        <v>40</v>
      </c>
      <c r="B43" s="651"/>
      <c r="C43" s="662" t="s">
        <v>152</v>
      </c>
      <c r="D43" s="663" t="s">
        <v>855</v>
      </c>
      <c r="E43" s="660">
        <f t="shared" si="0"/>
        <v>2024</v>
      </c>
      <c r="F43" s="655">
        <f t="shared" si="1"/>
        <v>45657</v>
      </c>
      <c r="G43" s="656"/>
      <c r="H43" s="657">
        <f>+H44-H45</f>
        <v>7463158.5599999987</v>
      </c>
      <c r="I43" s="657">
        <v>5981989</v>
      </c>
      <c r="J43" s="760">
        <f t="shared" si="2"/>
        <v>1481169.5599999987</v>
      </c>
      <c r="K43" s="761">
        <f t="shared" si="3"/>
        <v>24.760486186116324</v>
      </c>
    </row>
    <row r="44" spans="1:11">
      <c r="A44" s="650">
        <v>41</v>
      </c>
      <c r="B44" s="651"/>
      <c r="C44" s="664" t="s">
        <v>859</v>
      </c>
      <c r="D44" s="665" t="s">
        <v>860</v>
      </c>
      <c r="E44" s="660">
        <f t="shared" si="0"/>
        <v>2024</v>
      </c>
      <c r="F44" s="655">
        <f t="shared" si="1"/>
        <v>45657</v>
      </c>
      <c r="G44" s="656">
        <v>29237809.419999998</v>
      </c>
      <c r="H44" s="666">
        <f>+G44</f>
        <v>29237809.419999998</v>
      </c>
      <c r="I44" s="666">
        <v>27824120</v>
      </c>
      <c r="J44" s="760">
        <f t="shared" si="2"/>
        <v>1413689.4199999981</v>
      </c>
      <c r="K44" s="761">
        <f t="shared" si="3"/>
        <v>5.0808055025639618</v>
      </c>
    </row>
    <row r="45" spans="1:11" ht="21">
      <c r="A45" s="650">
        <v>42</v>
      </c>
      <c r="B45" s="651"/>
      <c r="C45" s="664" t="s">
        <v>890</v>
      </c>
      <c r="D45" s="665" t="s">
        <v>891</v>
      </c>
      <c r="E45" s="660">
        <f t="shared" si="0"/>
        <v>2024</v>
      </c>
      <c r="F45" s="655">
        <f t="shared" si="1"/>
        <v>45657</v>
      </c>
      <c r="G45" s="656">
        <v>21774650.859999999</v>
      </c>
      <c r="H45" s="666">
        <f>+G45</f>
        <v>21774650.859999999</v>
      </c>
      <c r="I45" s="666">
        <v>21842131</v>
      </c>
      <c r="J45" s="760">
        <f t="shared" si="2"/>
        <v>-67480.140000000596</v>
      </c>
      <c r="K45" s="761">
        <f t="shared" si="3"/>
        <v>-0.30894485524329696</v>
      </c>
    </row>
    <row r="46" spans="1:11" ht="21">
      <c r="A46" s="650">
        <v>43</v>
      </c>
      <c r="B46" s="651"/>
      <c r="C46" s="662" t="s">
        <v>615</v>
      </c>
      <c r="D46" s="663" t="s">
        <v>920</v>
      </c>
      <c r="E46" s="660">
        <f t="shared" si="0"/>
        <v>2024</v>
      </c>
      <c r="F46" s="655">
        <f t="shared" si="1"/>
        <v>45657</v>
      </c>
      <c r="G46" s="656"/>
      <c r="H46" s="657">
        <f>+H47-H48</f>
        <v>9841148.599999994</v>
      </c>
      <c r="I46" s="657">
        <v>10904876</v>
      </c>
      <c r="J46" s="760">
        <f t="shared" si="2"/>
        <v>-1063727.400000006</v>
      </c>
      <c r="K46" s="761">
        <f t="shared" si="3"/>
        <v>-9.7546033535824392</v>
      </c>
    </row>
    <row r="47" spans="1:11" ht="21">
      <c r="A47" s="650">
        <v>44</v>
      </c>
      <c r="B47" s="651"/>
      <c r="C47" s="664" t="s">
        <v>924</v>
      </c>
      <c r="D47" s="665" t="s">
        <v>925</v>
      </c>
      <c r="E47" s="660">
        <f t="shared" si="0"/>
        <v>2024</v>
      </c>
      <c r="F47" s="655">
        <f t="shared" si="1"/>
        <v>45657</v>
      </c>
      <c r="G47" s="656">
        <v>60509481.699999996</v>
      </c>
      <c r="H47" s="666">
        <f>+G47</f>
        <v>60509481.699999996</v>
      </c>
      <c r="I47" s="666">
        <v>58292727</v>
      </c>
      <c r="J47" s="760">
        <f t="shared" si="2"/>
        <v>2216754.6999999955</v>
      </c>
      <c r="K47" s="761">
        <f t="shared" si="3"/>
        <v>3.8027980746208669</v>
      </c>
    </row>
    <row r="48" spans="1:11" ht="21">
      <c r="A48" s="650">
        <v>45</v>
      </c>
      <c r="B48" s="651"/>
      <c r="C48" s="664" t="s">
        <v>941</v>
      </c>
      <c r="D48" s="665" t="s">
        <v>942</v>
      </c>
      <c r="E48" s="660">
        <f t="shared" si="0"/>
        <v>2024</v>
      </c>
      <c r="F48" s="655">
        <f t="shared" si="1"/>
        <v>45657</v>
      </c>
      <c r="G48" s="656">
        <v>50668333.100000001</v>
      </c>
      <c r="H48" s="666">
        <f>+G48</f>
        <v>50668333.100000001</v>
      </c>
      <c r="I48" s="666">
        <v>47387851</v>
      </c>
      <c r="J48" s="760">
        <f t="shared" si="2"/>
        <v>3280482.1000000015</v>
      </c>
      <c r="K48" s="761">
        <f t="shared" si="3"/>
        <v>6.922622635915701</v>
      </c>
    </row>
    <row r="49" spans="1:16">
      <c r="A49" s="650">
        <v>46</v>
      </c>
      <c r="B49" s="651"/>
      <c r="C49" s="662" t="s">
        <v>153</v>
      </c>
      <c r="D49" s="663" t="s">
        <v>11846</v>
      </c>
      <c r="E49" s="660">
        <f t="shared" si="0"/>
        <v>2024</v>
      </c>
      <c r="F49" s="655">
        <f t="shared" si="1"/>
        <v>45657</v>
      </c>
      <c r="G49" s="656"/>
      <c r="H49" s="657">
        <f>+H50-H51</f>
        <v>533398.12000000011</v>
      </c>
      <c r="I49" s="657">
        <v>556816</v>
      </c>
      <c r="J49" s="760">
        <f t="shared" si="2"/>
        <v>-23417.879999999888</v>
      </c>
      <c r="K49" s="761">
        <f t="shared" si="3"/>
        <v>-4.2056765610183504</v>
      </c>
    </row>
    <row r="50" spans="1:16">
      <c r="A50" s="650">
        <v>47</v>
      </c>
      <c r="B50" s="651"/>
      <c r="C50" s="664" t="s">
        <v>961</v>
      </c>
      <c r="D50" s="665" t="s">
        <v>957</v>
      </c>
      <c r="E50" s="660">
        <f t="shared" si="0"/>
        <v>2024</v>
      </c>
      <c r="F50" s="655">
        <f t="shared" si="1"/>
        <v>45657</v>
      </c>
      <c r="G50" s="656">
        <v>3695416.67</v>
      </c>
      <c r="H50" s="666">
        <f>+G50</f>
        <v>3695416.67</v>
      </c>
      <c r="I50" s="666">
        <v>3576758</v>
      </c>
      <c r="J50" s="760">
        <f t="shared" si="2"/>
        <v>118658.66999999993</v>
      </c>
      <c r="K50" s="761">
        <f t="shared" si="3"/>
        <v>3.3174922653419685</v>
      </c>
    </row>
    <row r="51" spans="1:16">
      <c r="A51" s="650">
        <v>48</v>
      </c>
      <c r="B51" s="651"/>
      <c r="C51" s="664" t="s">
        <v>973</v>
      </c>
      <c r="D51" s="665" t="s">
        <v>974</v>
      </c>
      <c r="E51" s="660">
        <f t="shared" si="0"/>
        <v>2024</v>
      </c>
      <c r="F51" s="655">
        <f t="shared" si="1"/>
        <v>45657</v>
      </c>
      <c r="G51" s="656">
        <v>3162018.55</v>
      </c>
      <c r="H51" s="666">
        <f>+G51</f>
        <v>3162018.55</v>
      </c>
      <c r="I51" s="666">
        <v>3019942</v>
      </c>
      <c r="J51" s="760">
        <f t="shared" si="2"/>
        <v>142076.54999999981</v>
      </c>
      <c r="K51" s="761">
        <f t="shared" si="3"/>
        <v>4.7046118766519243</v>
      </c>
    </row>
    <row r="52" spans="1:16">
      <c r="A52" s="650">
        <v>49</v>
      </c>
      <c r="B52" s="651"/>
      <c r="C52" s="662" t="s">
        <v>154</v>
      </c>
      <c r="D52" s="663" t="s">
        <v>981</v>
      </c>
      <c r="E52" s="660">
        <f t="shared" si="0"/>
        <v>2024</v>
      </c>
      <c r="F52" s="655">
        <f t="shared" si="1"/>
        <v>45657</v>
      </c>
      <c r="G52" s="656"/>
      <c r="H52" s="657">
        <f>+H53-H54</f>
        <v>68329.669999999984</v>
      </c>
      <c r="I52" s="657">
        <v>92128</v>
      </c>
      <c r="J52" s="760">
        <f t="shared" si="2"/>
        <v>-23798.330000000016</v>
      </c>
      <c r="K52" s="761">
        <f t="shared" si="3"/>
        <v>-25.831810090309148</v>
      </c>
    </row>
    <row r="53" spans="1:16">
      <c r="A53" s="650">
        <v>50</v>
      </c>
      <c r="B53" s="651"/>
      <c r="C53" s="664" t="s">
        <v>985</v>
      </c>
      <c r="D53" s="665" t="s">
        <v>986</v>
      </c>
      <c r="E53" s="660">
        <f t="shared" si="0"/>
        <v>2024</v>
      </c>
      <c r="F53" s="655">
        <f t="shared" si="1"/>
        <v>45657</v>
      </c>
      <c r="G53" s="656">
        <v>169133.62</v>
      </c>
      <c r="H53" s="666">
        <f>+G53</f>
        <v>169133.62</v>
      </c>
      <c r="I53" s="666">
        <v>169134</v>
      </c>
      <c r="J53" s="760">
        <f t="shared" si="2"/>
        <v>-0.38000000000465661</v>
      </c>
      <c r="K53" s="761">
        <f t="shared" si="3"/>
        <v>-2.2467392717828716E-4</v>
      </c>
    </row>
    <row r="54" spans="1:16">
      <c r="A54" s="650">
        <v>51</v>
      </c>
      <c r="B54" s="651"/>
      <c r="C54" s="664" t="s">
        <v>994</v>
      </c>
      <c r="D54" s="665" t="s">
        <v>995</v>
      </c>
      <c r="E54" s="660">
        <f t="shared" si="0"/>
        <v>2024</v>
      </c>
      <c r="F54" s="655">
        <f t="shared" si="1"/>
        <v>45657</v>
      </c>
      <c r="G54" s="656">
        <v>100803.95000000001</v>
      </c>
      <c r="H54" s="666">
        <f>+G54</f>
        <v>100803.95000000001</v>
      </c>
      <c r="I54" s="666">
        <v>77006</v>
      </c>
      <c r="J54" s="760">
        <f t="shared" si="2"/>
        <v>23797.950000000012</v>
      </c>
      <c r="K54" s="761">
        <f t="shared" si="3"/>
        <v>30.904020465937748</v>
      </c>
    </row>
    <row r="55" spans="1:16">
      <c r="A55" s="650">
        <v>52</v>
      </c>
      <c r="B55" s="651"/>
      <c r="C55" s="662" t="s">
        <v>155</v>
      </c>
      <c r="D55" s="663" t="s">
        <v>1001</v>
      </c>
      <c r="E55" s="660">
        <f t="shared" si="0"/>
        <v>2024</v>
      </c>
      <c r="F55" s="655">
        <f t="shared" si="1"/>
        <v>45657</v>
      </c>
      <c r="G55" s="656">
        <v>0</v>
      </c>
      <c r="H55" s="666">
        <f>+G55</f>
        <v>0</v>
      </c>
      <c r="I55" s="666">
        <v>0</v>
      </c>
      <c r="J55" s="760">
        <f t="shared" si="2"/>
        <v>0</v>
      </c>
      <c r="K55" s="761"/>
      <c r="N55" s="755"/>
      <c r="O55" s="756"/>
      <c r="P55" s="756"/>
    </row>
    <row r="56" spans="1:16" ht="21">
      <c r="A56" s="650">
        <v>53</v>
      </c>
      <c r="B56" s="651"/>
      <c r="C56" s="662" t="s">
        <v>156</v>
      </c>
      <c r="D56" s="663" t="s">
        <v>1006</v>
      </c>
      <c r="E56" s="660">
        <f t="shared" si="0"/>
        <v>2024</v>
      </c>
      <c r="F56" s="655">
        <f t="shared" si="1"/>
        <v>45657</v>
      </c>
      <c r="G56" s="656"/>
      <c r="H56" s="657">
        <f>+H57-H58</f>
        <v>97126.019999999902</v>
      </c>
      <c r="I56" s="657">
        <v>123159</v>
      </c>
      <c r="J56" s="760">
        <f t="shared" si="2"/>
        <v>-26032.980000000098</v>
      </c>
      <c r="K56" s="761">
        <f t="shared" si="3"/>
        <v>-21.137700046281722</v>
      </c>
    </row>
    <row r="57" spans="1:16">
      <c r="A57" s="650">
        <v>54</v>
      </c>
      <c r="B57" s="651"/>
      <c r="C57" s="664" t="s">
        <v>1010</v>
      </c>
      <c r="D57" s="665" t="s">
        <v>1011</v>
      </c>
      <c r="E57" s="660">
        <f t="shared" si="0"/>
        <v>2024</v>
      </c>
      <c r="F57" s="655">
        <f t="shared" si="1"/>
        <v>45657</v>
      </c>
      <c r="G57" s="656">
        <v>966681.42999999993</v>
      </c>
      <c r="H57" s="666">
        <f>+G57</f>
        <v>966681.42999999993</v>
      </c>
      <c r="I57" s="666">
        <v>957694</v>
      </c>
      <c r="J57" s="760">
        <f t="shared" si="2"/>
        <v>8987.4299999999348</v>
      </c>
      <c r="K57" s="761">
        <f t="shared" si="3"/>
        <v>0.93844484772797898</v>
      </c>
    </row>
    <row r="58" spans="1:16" ht="21">
      <c r="A58" s="650">
        <v>55</v>
      </c>
      <c r="B58" s="651"/>
      <c r="C58" s="664" t="s">
        <v>1021</v>
      </c>
      <c r="D58" s="665" t="s">
        <v>1022</v>
      </c>
      <c r="E58" s="660">
        <f t="shared" si="0"/>
        <v>2024</v>
      </c>
      <c r="F58" s="655">
        <f t="shared" si="1"/>
        <v>45657</v>
      </c>
      <c r="G58" s="656">
        <v>869555.41</v>
      </c>
      <c r="H58" s="666">
        <f>+G58</f>
        <v>869555.41</v>
      </c>
      <c r="I58" s="666">
        <v>834535</v>
      </c>
      <c r="J58" s="760">
        <f t="shared" si="2"/>
        <v>35020.410000000033</v>
      </c>
      <c r="K58" s="761">
        <f t="shared" si="3"/>
        <v>4.1963979940925213</v>
      </c>
    </row>
    <row r="59" spans="1:16" ht="21">
      <c r="A59" s="650">
        <v>56</v>
      </c>
      <c r="B59" s="651"/>
      <c r="C59" s="662" t="s">
        <v>157</v>
      </c>
      <c r="D59" s="663" t="s">
        <v>1032</v>
      </c>
      <c r="E59" s="660">
        <f t="shared" si="0"/>
        <v>2024</v>
      </c>
      <c r="F59" s="655">
        <f t="shared" si="1"/>
        <v>45657</v>
      </c>
      <c r="G59" s="656">
        <v>28214205.68</v>
      </c>
      <c r="H59" s="666">
        <f>+G59</f>
        <v>28214205.68</v>
      </c>
      <c r="I59" s="666">
        <v>30681334</v>
      </c>
      <c r="J59" s="760">
        <f t="shared" si="2"/>
        <v>-2467128.3200000003</v>
      </c>
      <c r="K59" s="761">
        <f t="shared" si="3"/>
        <v>-8.0411377158502972</v>
      </c>
    </row>
    <row r="60" spans="1:16" ht="21">
      <c r="A60" s="650">
        <v>57</v>
      </c>
      <c r="B60" s="651"/>
      <c r="C60" s="662" t="s">
        <v>1036</v>
      </c>
      <c r="D60" s="663" t="s">
        <v>1037</v>
      </c>
      <c r="E60" s="660">
        <f t="shared" si="0"/>
        <v>2024</v>
      </c>
      <c r="F60" s="655">
        <f t="shared" si="1"/>
        <v>45657</v>
      </c>
      <c r="G60" s="656"/>
      <c r="H60" s="657">
        <f>SUM(H61:H68)</f>
        <v>0</v>
      </c>
      <c r="I60" s="657">
        <v>0</v>
      </c>
      <c r="J60" s="760">
        <f t="shared" si="2"/>
        <v>0</v>
      </c>
      <c r="K60" s="761"/>
    </row>
    <row r="61" spans="1:16">
      <c r="A61" s="650">
        <v>58</v>
      </c>
      <c r="B61" s="651"/>
      <c r="C61" s="664" t="s">
        <v>1041</v>
      </c>
      <c r="D61" s="665" t="s">
        <v>1042</v>
      </c>
      <c r="E61" s="660">
        <f t="shared" si="0"/>
        <v>2024</v>
      </c>
      <c r="F61" s="655">
        <f t="shared" si="1"/>
        <v>45657</v>
      </c>
      <c r="G61" s="656">
        <v>0</v>
      </c>
      <c r="H61" s="666">
        <f t="shared" ref="H61:H68" si="5">+G61</f>
        <v>0</v>
      </c>
      <c r="I61" s="666">
        <v>0</v>
      </c>
      <c r="J61" s="760">
        <f t="shared" si="2"/>
        <v>0</v>
      </c>
      <c r="K61" s="761"/>
    </row>
    <row r="62" spans="1:16">
      <c r="A62" s="650">
        <v>59</v>
      </c>
      <c r="B62" s="651"/>
      <c r="C62" s="664" t="s">
        <v>1046</v>
      </c>
      <c r="D62" s="665" t="s">
        <v>1047</v>
      </c>
      <c r="E62" s="660">
        <f t="shared" si="0"/>
        <v>2024</v>
      </c>
      <c r="F62" s="655">
        <f t="shared" si="1"/>
        <v>45657</v>
      </c>
      <c r="G62" s="656">
        <v>0</v>
      </c>
      <c r="H62" s="666">
        <f t="shared" si="5"/>
        <v>0</v>
      </c>
      <c r="I62" s="666">
        <v>0</v>
      </c>
      <c r="J62" s="760">
        <f t="shared" si="2"/>
        <v>0</v>
      </c>
      <c r="K62" s="761"/>
    </row>
    <row r="63" spans="1:16" ht="21">
      <c r="A63" s="650">
        <v>60</v>
      </c>
      <c r="B63" s="651"/>
      <c r="C63" s="664" t="s">
        <v>1051</v>
      </c>
      <c r="D63" s="665" t="s">
        <v>1052</v>
      </c>
      <c r="E63" s="660">
        <f t="shared" si="0"/>
        <v>2024</v>
      </c>
      <c r="F63" s="655">
        <f t="shared" si="1"/>
        <v>45657</v>
      </c>
      <c r="G63" s="656">
        <v>0</v>
      </c>
      <c r="H63" s="666">
        <f t="shared" si="5"/>
        <v>0</v>
      </c>
      <c r="I63" s="666">
        <v>0</v>
      </c>
      <c r="J63" s="760">
        <f t="shared" si="2"/>
        <v>0</v>
      </c>
      <c r="K63" s="761"/>
    </row>
    <row r="64" spans="1:16" ht="21">
      <c r="A64" s="650">
        <v>61</v>
      </c>
      <c r="B64" s="651"/>
      <c r="C64" s="664" t="s">
        <v>1056</v>
      </c>
      <c r="D64" s="665" t="s">
        <v>1057</v>
      </c>
      <c r="E64" s="660">
        <f t="shared" si="0"/>
        <v>2024</v>
      </c>
      <c r="F64" s="655">
        <f t="shared" si="1"/>
        <v>45657</v>
      </c>
      <c r="G64" s="656">
        <v>0</v>
      </c>
      <c r="H64" s="666">
        <f t="shared" si="5"/>
        <v>0</v>
      </c>
      <c r="I64" s="666">
        <v>0</v>
      </c>
      <c r="J64" s="760">
        <f t="shared" si="2"/>
        <v>0</v>
      </c>
      <c r="K64" s="761"/>
    </row>
    <row r="65" spans="1:11">
      <c r="A65" s="650">
        <v>62</v>
      </c>
      <c r="B65" s="651"/>
      <c r="C65" s="664" t="s">
        <v>1061</v>
      </c>
      <c r="D65" s="665" t="s">
        <v>1062</v>
      </c>
      <c r="E65" s="660">
        <f t="shared" si="0"/>
        <v>2024</v>
      </c>
      <c r="F65" s="655">
        <f t="shared" si="1"/>
        <v>45657</v>
      </c>
      <c r="G65" s="656">
        <v>0</v>
      </c>
      <c r="H65" s="666">
        <f t="shared" si="5"/>
        <v>0</v>
      </c>
      <c r="I65" s="666">
        <v>0</v>
      </c>
      <c r="J65" s="760">
        <f t="shared" si="2"/>
        <v>0</v>
      </c>
      <c r="K65" s="761"/>
    </row>
    <row r="66" spans="1:11">
      <c r="A66" s="650">
        <v>63</v>
      </c>
      <c r="B66" s="651"/>
      <c r="C66" s="664" t="s">
        <v>1066</v>
      </c>
      <c r="D66" s="665" t="s">
        <v>1067</v>
      </c>
      <c r="E66" s="660">
        <f t="shared" si="0"/>
        <v>2024</v>
      </c>
      <c r="F66" s="655">
        <f t="shared" si="1"/>
        <v>45657</v>
      </c>
      <c r="G66" s="656">
        <v>0</v>
      </c>
      <c r="H66" s="666">
        <f t="shared" si="5"/>
        <v>0</v>
      </c>
      <c r="I66" s="666">
        <v>0</v>
      </c>
      <c r="J66" s="760">
        <f t="shared" si="2"/>
        <v>0</v>
      </c>
      <c r="K66" s="761"/>
    </row>
    <row r="67" spans="1:11">
      <c r="A67" s="650">
        <v>64</v>
      </c>
      <c r="B67" s="651"/>
      <c r="C67" s="664" t="s">
        <v>1071</v>
      </c>
      <c r="D67" s="665" t="s">
        <v>1072</v>
      </c>
      <c r="E67" s="660">
        <f t="shared" si="0"/>
        <v>2024</v>
      </c>
      <c r="F67" s="655">
        <f t="shared" si="1"/>
        <v>45657</v>
      </c>
      <c r="G67" s="656">
        <v>0</v>
      </c>
      <c r="H67" s="666">
        <f t="shared" si="5"/>
        <v>0</v>
      </c>
      <c r="I67" s="666">
        <v>0</v>
      </c>
      <c r="J67" s="760">
        <f t="shared" si="2"/>
        <v>0</v>
      </c>
      <c r="K67" s="761"/>
    </row>
    <row r="68" spans="1:11" ht="21">
      <c r="A68" s="650">
        <v>65</v>
      </c>
      <c r="B68" s="651"/>
      <c r="C68" s="664" t="s">
        <v>1076</v>
      </c>
      <c r="D68" s="665" t="s">
        <v>1077</v>
      </c>
      <c r="E68" s="660">
        <f t="shared" si="0"/>
        <v>2024</v>
      </c>
      <c r="F68" s="655">
        <f t="shared" si="1"/>
        <v>45657</v>
      </c>
      <c r="G68" s="656">
        <v>0</v>
      </c>
      <c r="H68" s="666">
        <f t="shared" si="5"/>
        <v>0</v>
      </c>
      <c r="I68" s="666">
        <v>0</v>
      </c>
      <c r="J68" s="760">
        <f t="shared" si="2"/>
        <v>0</v>
      </c>
      <c r="K68" s="761"/>
    </row>
    <row r="69" spans="1:11" ht="21">
      <c r="A69" s="650">
        <v>66</v>
      </c>
      <c r="B69" s="651"/>
      <c r="C69" s="652" t="s">
        <v>1079</v>
      </c>
      <c r="D69" s="653" t="s">
        <v>11847</v>
      </c>
      <c r="E69" s="660">
        <f t="shared" ref="E69:E132" si="6">E68</f>
        <v>2024</v>
      </c>
      <c r="F69" s="655">
        <f t="shared" ref="F69:F132" si="7">+F68</f>
        <v>45657</v>
      </c>
      <c r="G69" s="656"/>
      <c r="H69" s="657">
        <f>+H70+H75</f>
        <v>178000</v>
      </c>
      <c r="I69" s="657">
        <v>178000</v>
      </c>
      <c r="J69" s="760">
        <f t="shared" ref="J69:J132" si="8">H69-I69</f>
        <v>0</v>
      </c>
      <c r="K69" s="761">
        <f t="shared" ref="K69:K132" si="9">H69/I69*100-100</f>
        <v>0</v>
      </c>
    </row>
    <row r="70" spans="1:11">
      <c r="A70" s="650">
        <v>67</v>
      </c>
      <c r="B70" s="651"/>
      <c r="C70" s="662" t="s">
        <v>11848</v>
      </c>
      <c r="D70" s="663" t="s">
        <v>11849</v>
      </c>
      <c r="E70" s="660">
        <f t="shared" si="6"/>
        <v>2024</v>
      </c>
      <c r="F70" s="655">
        <f t="shared" si="7"/>
        <v>45657</v>
      </c>
      <c r="G70" s="656"/>
      <c r="H70" s="657">
        <f>SUM(H71:H74)</f>
        <v>0</v>
      </c>
      <c r="I70" s="657">
        <v>0</v>
      </c>
      <c r="J70" s="760">
        <f t="shared" si="8"/>
        <v>0</v>
      </c>
      <c r="K70" s="761"/>
    </row>
    <row r="71" spans="1:11">
      <c r="A71" s="650">
        <v>68</v>
      </c>
      <c r="B71" s="651"/>
      <c r="C71" s="664" t="s">
        <v>158</v>
      </c>
      <c r="D71" s="665" t="s">
        <v>1082</v>
      </c>
      <c r="E71" s="660">
        <f t="shared" si="6"/>
        <v>2024</v>
      </c>
      <c r="F71" s="655">
        <f t="shared" si="7"/>
        <v>45657</v>
      </c>
      <c r="G71" s="656"/>
      <c r="H71" s="666">
        <f>+G71</f>
        <v>0</v>
      </c>
      <c r="I71" s="666">
        <v>0</v>
      </c>
      <c r="J71" s="760">
        <f t="shared" si="8"/>
        <v>0</v>
      </c>
      <c r="K71" s="761"/>
    </row>
    <row r="72" spans="1:11">
      <c r="A72" s="650">
        <v>69</v>
      </c>
      <c r="B72" s="651"/>
      <c r="C72" s="664" t="s">
        <v>159</v>
      </c>
      <c r="D72" s="665" t="s">
        <v>1084</v>
      </c>
      <c r="E72" s="660">
        <f t="shared" si="6"/>
        <v>2024</v>
      </c>
      <c r="F72" s="655">
        <f t="shared" si="7"/>
        <v>45657</v>
      </c>
      <c r="G72" s="656">
        <v>0</v>
      </c>
      <c r="H72" s="666">
        <f>+G72</f>
        <v>0</v>
      </c>
      <c r="I72" s="666">
        <v>0</v>
      </c>
      <c r="J72" s="760">
        <f t="shared" si="8"/>
        <v>0</v>
      </c>
      <c r="K72" s="761"/>
    </row>
    <row r="73" spans="1:11" ht="21">
      <c r="A73" s="650">
        <v>70</v>
      </c>
      <c r="B73" s="651"/>
      <c r="C73" s="664" t="s">
        <v>160</v>
      </c>
      <c r="D73" s="665" t="s">
        <v>1090</v>
      </c>
      <c r="E73" s="660">
        <f t="shared" si="6"/>
        <v>2024</v>
      </c>
      <c r="F73" s="655">
        <f t="shared" si="7"/>
        <v>45657</v>
      </c>
      <c r="G73" s="656">
        <v>0</v>
      </c>
      <c r="H73" s="666">
        <f>+G73</f>
        <v>0</v>
      </c>
      <c r="I73" s="666">
        <v>0</v>
      </c>
      <c r="J73" s="760">
        <f t="shared" si="8"/>
        <v>0</v>
      </c>
      <c r="K73" s="761"/>
    </row>
    <row r="74" spans="1:11">
      <c r="A74" s="650">
        <v>71</v>
      </c>
      <c r="B74" s="651"/>
      <c r="C74" s="664" t="s">
        <v>161</v>
      </c>
      <c r="D74" s="665" t="s">
        <v>1099</v>
      </c>
      <c r="E74" s="660">
        <f t="shared" si="6"/>
        <v>2024</v>
      </c>
      <c r="F74" s="655">
        <f t="shared" si="7"/>
        <v>45657</v>
      </c>
      <c r="G74" s="656">
        <v>0</v>
      </c>
      <c r="H74" s="666">
        <f>+G74</f>
        <v>0</v>
      </c>
      <c r="I74" s="666">
        <v>0</v>
      </c>
      <c r="J74" s="760">
        <f t="shared" si="8"/>
        <v>0</v>
      </c>
      <c r="K74" s="761"/>
    </row>
    <row r="75" spans="1:11">
      <c r="A75" s="650">
        <v>72</v>
      </c>
      <c r="B75" s="651"/>
      <c r="C75" s="662" t="s">
        <v>11850</v>
      </c>
      <c r="D75" s="663" t="s">
        <v>11851</v>
      </c>
      <c r="E75" s="660">
        <f t="shared" si="6"/>
        <v>2024</v>
      </c>
      <c r="F75" s="655">
        <f t="shared" si="7"/>
        <v>45657</v>
      </c>
      <c r="G75" s="656"/>
      <c r="H75" s="657">
        <f>+H76+H77</f>
        <v>178000</v>
      </c>
      <c r="I75" s="657">
        <v>178000</v>
      </c>
      <c r="J75" s="760">
        <f t="shared" si="8"/>
        <v>0</v>
      </c>
      <c r="K75" s="761">
        <f t="shared" si="9"/>
        <v>0</v>
      </c>
    </row>
    <row r="76" spans="1:11">
      <c r="A76" s="650">
        <v>73</v>
      </c>
      <c r="B76" s="651"/>
      <c r="C76" s="664" t="s">
        <v>166</v>
      </c>
      <c r="D76" s="665" t="s">
        <v>1113</v>
      </c>
      <c r="E76" s="660">
        <f t="shared" si="6"/>
        <v>2024</v>
      </c>
      <c r="F76" s="655">
        <f t="shared" si="7"/>
        <v>45657</v>
      </c>
      <c r="G76" s="656">
        <v>178000</v>
      </c>
      <c r="H76" s="666">
        <f>+G76</f>
        <v>178000</v>
      </c>
      <c r="I76" s="666">
        <v>178000</v>
      </c>
      <c r="J76" s="760">
        <f t="shared" si="8"/>
        <v>0</v>
      </c>
      <c r="K76" s="761">
        <f t="shared" si="9"/>
        <v>0</v>
      </c>
    </row>
    <row r="77" spans="1:11">
      <c r="A77" s="650">
        <v>74</v>
      </c>
      <c r="B77" s="651"/>
      <c r="C77" s="664" t="s">
        <v>167</v>
      </c>
      <c r="D77" s="665" t="s">
        <v>1128</v>
      </c>
      <c r="E77" s="660">
        <f t="shared" si="6"/>
        <v>2024</v>
      </c>
      <c r="F77" s="655">
        <f t="shared" si="7"/>
        <v>45657</v>
      </c>
      <c r="G77" s="656"/>
      <c r="H77" s="670">
        <f>SUM(H78:H81)</f>
        <v>0</v>
      </c>
      <c r="I77" s="670">
        <v>0</v>
      </c>
      <c r="J77" s="760">
        <f t="shared" si="8"/>
        <v>0</v>
      </c>
      <c r="K77" s="761"/>
    </row>
    <row r="78" spans="1:11">
      <c r="A78" s="650">
        <v>75</v>
      </c>
      <c r="B78" s="651"/>
      <c r="C78" s="664" t="s">
        <v>162</v>
      </c>
      <c r="D78" s="665" t="s">
        <v>1132</v>
      </c>
      <c r="E78" s="660">
        <f t="shared" si="6"/>
        <v>2024</v>
      </c>
      <c r="F78" s="655">
        <f t="shared" si="7"/>
        <v>45657</v>
      </c>
      <c r="G78" s="656">
        <v>0</v>
      </c>
      <c r="H78" s="666">
        <f>+G78</f>
        <v>0</v>
      </c>
      <c r="I78" s="666">
        <v>0</v>
      </c>
      <c r="J78" s="760">
        <f t="shared" si="8"/>
        <v>0</v>
      </c>
      <c r="K78" s="761"/>
    </row>
    <row r="79" spans="1:11">
      <c r="A79" s="650">
        <v>76</v>
      </c>
      <c r="B79" s="651"/>
      <c r="C79" s="664" t="s">
        <v>163</v>
      </c>
      <c r="D79" s="665" t="s">
        <v>1136</v>
      </c>
      <c r="E79" s="660">
        <f t="shared" si="6"/>
        <v>2024</v>
      </c>
      <c r="F79" s="655">
        <f t="shared" si="7"/>
        <v>45657</v>
      </c>
      <c r="G79" s="656">
        <v>0</v>
      </c>
      <c r="H79" s="666">
        <f>+G79</f>
        <v>0</v>
      </c>
      <c r="I79" s="666">
        <v>0</v>
      </c>
      <c r="J79" s="760">
        <f t="shared" si="8"/>
        <v>0</v>
      </c>
      <c r="K79" s="761"/>
    </row>
    <row r="80" spans="1:11" ht="21">
      <c r="A80" s="650">
        <v>77</v>
      </c>
      <c r="B80" s="651"/>
      <c r="C80" s="664" t="s">
        <v>164</v>
      </c>
      <c r="D80" s="665" t="s">
        <v>1140</v>
      </c>
      <c r="E80" s="660">
        <f t="shared" si="6"/>
        <v>2024</v>
      </c>
      <c r="F80" s="655">
        <f t="shared" si="7"/>
        <v>45657</v>
      </c>
      <c r="G80" s="656">
        <v>0</v>
      </c>
      <c r="H80" s="666">
        <f>+G80</f>
        <v>0</v>
      </c>
      <c r="I80" s="666">
        <v>0</v>
      </c>
      <c r="J80" s="760">
        <f t="shared" si="8"/>
        <v>0</v>
      </c>
      <c r="K80" s="761"/>
    </row>
    <row r="81" spans="1:11">
      <c r="A81" s="650">
        <v>78</v>
      </c>
      <c r="B81" s="651"/>
      <c r="C81" s="664" t="s">
        <v>165</v>
      </c>
      <c r="D81" s="665" t="s">
        <v>1143</v>
      </c>
      <c r="E81" s="660">
        <f t="shared" si="6"/>
        <v>2024</v>
      </c>
      <c r="F81" s="655">
        <f t="shared" si="7"/>
        <v>45657</v>
      </c>
      <c r="G81" s="656">
        <v>0</v>
      </c>
      <c r="H81" s="666">
        <f>+G81</f>
        <v>0</v>
      </c>
      <c r="I81" s="666">
        <v>0</v>
      </c>
      <c r="J81" s="760">
        <f t="shared" si="8"/>
        <v>0</v>
      </c>
      <c r="K81" s="761"/>
    </row>
    <row r="82" spans="1:11">
      <c r="A82" s="650">
        <v>79</v>
      </c>
      <c r="B82" s="651"/>
      <c r="C82" s="652" t="s">
        <v>1146</v>
      </c>
      <c r="D82" s="653" t="s">
        <v>11852</v>
      </c>
      <c r="E82" s="660">
        <f t="shared" si="6"/>
        <v>2024</v>
      </c>
      <c r="F82" s="655">
        <f t="shared" si="7"/>
        <v>45657</v>
      </c>
      <c r="G82" s="656"/>
      <c r="H82" s="659">
        <f>+H83+H102+H166+H169</f>
        <v>198589566.98999998</v>
      </c>
      <c r="I82" s="657">
        <v>195814021</v>
      </c>
      <c r="J82" s="760">
        <f t="shared" si="8"/>
        <v>2775545.9899999797</v>
      </c>
      <c r="K82" s="761">
        <f t="shared" si="9"/>
        <v>1.4174398624907383</v>
      </c>
    </row>
    <row r="83" spans="1:11">
      <c r="A83" s="650">
        <v>80</v>
      </c>
      <c r="B83" s="651"/>
      <c r="C83" s="652" t="s">
        <v>1148</v>
      </c>
      <c r="D83" s="653" t="s">
        <v>11853</v>
      </c>
      <c r="E83" s="660">
        <f t="shared" si="6"/>
        <v>2024</v>
      </c>
      <c r="F83" s="655">
        <f t="shared" si="7"/>
        <v>45657</v>
      </c>
      <c r="G83" s="656"/>
      <c r="H83" s="657">
        <f>+H84+H94</f>
        <v>24861543.75</v>
      </c>
      <c r="I83" s="657">
        <v>16339199</v>
      </c>
      <c r="J83" s="760">
        <f t="shared" si="8"/>
        <v>8522344.75</v>
      </c>
      <c r="K83" s="761">
        <f t="shared" si="9"/>
        <v>52.158889490237556</v>
      </c>
    </row>
    <row r="84" spans="1:11">
      <c r="A84" s="650">
        <v>81</v>
      </c>
      <c r="B84" s="651"/>
      <c r="C84" s="662" t="s">
        <v>11854</v>
      </c>
      <c r="D84" s="663" t="s">
        <v>11855</v>
      </c>
      <c r="E84" s="660">
        <f t="shared" si="6"/>
        <v>2024</v>
      </c>
      <c r="F84" s="655">
        <f t="shared" si="7"/>
        <v>45657</v>
      </c>
      <c r="G84" s="656"/>
      <c r="H84" s="657">
        <f>SUM(H85:H93)</f>
        <v>24781958.800000001</v>
      </c>
      <c r="I84" s="657">
        <v>16306931</v>
      </c>
      <c r="J84" s="760">
        <f t="shared" si="8"/>
        <v>8475027.8000000007</v>
      </c>
      <c r="K84" s="761">
        <f t="shared" si="9"/>
        <v>51.971936350254992</v>
      </c>
    </row>
    <row r="85" spans="1:11" ht="21">
      <c r="A85" s="650">
        <v>82</v>
      </c>
      <c r="B85" s="651"/>
      <c r="C85" s="664" t="s">
        <v>168</v>
      </c>
      <c r="D85" s="665" t="s">
        <v>1154</v>
      </c>
      <c r="E85" s="660">
        <f t="shared" si="6"/>
        <v>2024</v>
      </c>
      <c r="F85" s="655">
        <f t="shared" si="7"/>
        <v>45657</v>
      </c>
      <c r="G85" s="656">
        <v>9284663.4400000013</v>
      </c>
      <c r="H85" s="666">
        <f t="shared" ref="H85:H93" si="10">+G85</f>
        <v>9284663.4400000013</v>
      </c>
      <c r="I85" s="666">
        <v>11312051</v>
      </c>
      <c r="J85" s="760">
        <f t="shared" si="8"/>
        <v>-2027387.5599999987</v>
      </c>
      <c r="K85" s="761">
        <f t="shared" si="9"/>
        <v>-17.922369338681364</v>
      </c>
    </row>
    <row r="86" spans="1:11">
      <c r="A86" s="650">
        <v>83</v>
      </c>
      <c r="B86" s="651"/>
      <c r="C86" s="664" t="s">
        <v>169</v>
      </c>
      <c r="D86" s="665" t="s">
        <v>1187</v>
      </c>
      <c r="E86" s="660">
        <f t="shared" si="6"/>
        <v>2024</v>
      </c>
      <c r="F86" s="655">
        <f t="shared" si="7"/>
        <v>45657</v>
      </c>
      <c r="G86" s="656">
        <v>221555.19</v>
      </c>
      <c r="H86" s="666">
        <f t="shared" si="10"/>
        <v>221555.19</v>
      </c>
      <c r="I86" s="666">
        <v>0</v>
      </c>
      <c r="J86" s="760">
        <f t="shared" si="8"/>
        <v>221555.19</v>
      </c>
      <c r="K86" s="761"/>
    </row>
    <row r="87" spans="1:11">
      <c r="A87" s="650">
        <v>84</v>
      </c>
      <c r="B87" s="651"/>
      <c r="C87" s="664" t="s">
        <v>170</v>
      </c>
      <c r="D87" s="665" t="s">
        <v>1198</v>
      </c>
      <c r="E87" s="660">
        <f t="shared" si="6"/>
        <v>2024</v>
      </c>
      <c r="F87" s="655">
        <f t="shared" si="7"/>
        <v>45657</v>
      </c>
      <c r="G87" s="656">
        <v>13424969.82</v>
      </c>
      <c r="H87" s="666">
        <f t="shared" si="10"/>
        <v>13424969.82</v>
      </c>
      <c r="I87" s="666">
        <v>4319450</v>
      </c>
      <c r="J87" s="760">
        <f t="shared" si="8"/>
        <v>9105519.8200000003</v>
      </c>
      <c r="K87" s="761">
        <f t="shared" si="9"/>
        <v>210.8027600736205</v>
      </c>
    </row>
    <row r="88" spans="1:11">
      <c r="A88" s="650">
        <v>85</v>
      </c>
      <c r="B88" s="651"/>
      <c r="C88" s="664" t="s">
        <v>171</v>
      </c>
      <c r="D88" s="665" t="s">
        <v>1263</v>
      </c>
      <c r="E88" s="660">
        <f t="shared" si="6"/>
        <v>2024</v>
      </c>
      <c r="F88" s="655">
        <f t="shared" si="7"/>
        <v>45657</v>
      </c>
      <c r="G88" s="656">
        <v>2148.77</v>
      </c>
      <c r="H88" s="666">
        <f t="shared" si="10"/>
        <v>2148.77</v>
      </c>
      <c r="I88" s="666">
        <v>7882</v>
      </c>
      <c r="J88" s="760">
        <f t="shared" si="8"/>
        <v>-5733.23</v>
      </c>
      <c r="K88" s="761">
        <f t="shared" si="9"/>
        <v>-72.738264399898497</v>
      </c>
    </row>
    <row r="89" spans="1:11" ht="21">
      <c r="A89" s="650">
        <v>86</v>
      </c>
      <c r="B89" s="651"/>
      <c r="C89" s="664" t="s">
        <v>172</v>
      </c>
      <c r="D89" s="665" t="s">
        <v>1268</v>
      </c>
      <c r="E89" s="660">
        <f t="shared" si="6"/>
        <v>2024</v>
      </c>
      <c r="F89" s="655">
        <f t="shared" si="7"/>
        <v>45657</v>
      </c>
      <c r="G89" s="656">
        <v>0</v>
      </c>
      <c r="H89" s="666">
        <f t="shared" si="10"/>
        <v>0</v>
      </c>
      <c r="I89" s="666">
        <v>0</v>
      </c>
      <c r="J89" s="760">
        <f t="shared" si="8"/>
        <v>0</v>
      </c>
      <c r="K89" s="761"/>
    </row>
    <row r="90" spans="1:11">
      <c r="A90" s="650">
        <v>87</v>
      </c>
      <c r="B90" s="651"/>
      <c r="C90" s="664" t="s">
        <v>173</v>
      </c>
      <c r="D90" s="665" t="s">
        <v>1273</v>
      </c>
      <c r="E90" s="660">
        <f t="shared" si="6"/>
        <v>2024</v>
      </c>
      <c r="F90" s="655">
        <f t="shared" si="7"/>
        <v>45657</v>
      </c>
      <c r="G90" s="656">
        <v>0</v>
      </c>
      <c r="H90" s="666">
        <f t="shared" si="10"/>
        <v>0</v>
      </c>
      <c r="I90" s="666">
        <v>0</v>
      </c>
      <c r="J90" s="760">
        <f t="shared" si="8"/>
        <v>0</v>
      </c>
      <c r="K90" s="761"/>
    </row>
    <row r="91" spans="1:11" ht="21">
      <c r="A91" s="650">
        <v>88</v>
      </c>
      <c r="B91" s="651"/>
      <c r="C91" s="664" t="s">
        <v>174</v>
      </c>
      <c r="D91" s="665" t="s">
        <v>1278</v>
      </c>
      <c r="E91" s="660">
        <f t="shared" si="6"/>
        <v>2024</v>
      </c>
      <c r="F91" s="655">
        <f t="shared" si="7"/>
        <v>45657</v>
      </c>
      <c r="G91" s="656">
        <v>0</v>
      </c>
      <c r="H91" s="666">
        <f t="shared" si="10"/>
        <v>0</v>
      </c>
      <c r="I91" s="666">
        <v>0</v>
      </c>
      <c r="J91" s="760">
        <f t="shared" si="8"/>
        <v>0</v>
      </c>
      <c r="K91" s="761"/>
    </row>
    <row r="92" spans="1:11">
      <c r="A92" s="650">
        <v>89</v>
      </c>
      <c r="B92" s="651"/>
      <c r="C92" s="664" t="s">
        <v>175</v>
      </c>
      <c r="D92" s="665" t="s">
        <v>1287</v>
      </c>
      <c r="E92" s="660">
        <f t="shared" si="6"/>
        <v>2024</v>
      </c>
      <c r="F92" s="655">
        <f t="shared" si="7"/>
        <v>45657</v>
      </c>
      <c r="G92" s="656">
        <v>1848621.5799999998</v>
      </c>
      <c r="H92" s="666">
        <f t="shared" si="10"/>
        <v>1848621.5799999998</v>
      </c>
      <c r="I92" s="666">
        <v>667548</v>
      </c>
      <c r="J92" s="760">
        <f t="shared" si="8"/>
        <v>1181073.5799999998</v>
      </c>
      <c r="K92" s="761">
        <f t="shared" si="9"/>
        <v>176.92713932181653</v>
      </c>
    </row>
    <row r="93" spans="1:11" ht="21">
      <c r="A93" s="650">
        <v>90</v>
      </c>
      <c r="B93" s="651"/>
      <c r="C93" s="664" t="s">
        <v>176</v>
      </c>
      <c r="D93" s="665" t="s">
        <v>1297</v>
      </c>
      <c r="E93" s="660">
        <f t="shared" si="6"/>
        <v>2024</v>
      </c>
      <c r="F93" s="655">
        <f t="shared" si="7"/>
        <v>45657</v>
      </c>
      <c r="G93" s="656">
        <v>0</v>
      </c>
      <c r="H93" s="666">
        <f t="shared" si="10"/>
        <v>0</v>
      </c>
      <c r="I93" s="666">
        <v>0</v>
      </c>
      <c r="J93" s="760">
        <f t="shared" si="8"/>
        <v>0</v>
      </c>
      <c r="K93" s="761"/>
    </row>
    <row r="94" spans="1:11" ht="21">
      <c r="A94" s="650">
        <v>91</v>
      </c>
      <c r="B94" s="651"/>
      <c r="C94" s="662" t="s">
        <v>11856</v>
      </c>
      <c r="D94" s="663" t="s">
        <v>11857</v>
      </c>
      <c r="E94" s="660">
        <f t="shared" si="6"/>
        <v>2024</v>
      </c>
      <c r="F94" s="655">
        <f t="shared" si="7"/>
        <v>45657</v>
      </c>
      <c r="G94" s="656"/>
      <c r="H94" s="657">
        <f>SUM(H95:H101)</f>
        <v>79584.95</v>
      </c>
      <c r="I94" s="657">
        <v>32268</v>
      </c>
      <c r="J94" s="760">
        <f t="shared" si="8"/>
        <v>47316.95</v>
      </c>
      <c r="K94" s="761">
        <f t="shared" si="9"/>
        <v>146.63738068674849</v>
      </c>
    </row>
    <row r="95" spans="1:11">
      <c r="A95" s="650">
        <v>92</v>
      </c>
      <c r="B95" s="651"/>
      <c r="C95" s="664" t="s">
        <v>177</v>
      </c>
      <c r="D95" s="665" t="s">
        <v>1302</v>
      </c>
      <c r="E95" s="660">
        <f t="shared" si="6"/>
        <v>2024</v>
      </c>
      <c r="F95" s="655">
        <f t="shared" si="7"/>
        <v>45657</v>
      </c>
      <c r="G95" s="656">
        <v>1079.06</v>
      </c>
      <c r="H95" s="666">
        <f t="shared" ref="H95:H101" si="11">+G95</f>
        <v>1079.06</v>
      </c>
      <c r="I95" s="666">
        <v>0</v>
      </c>
      <c r="J95" s="760">
        <f t="shared" si="8"/>
        <v>1079.06</v>
      </c>
      <c r="K95" s="761"/>
    </row>
    <row r="96" spans="1:11" ht="21">
      <c r="A96" s="650">
        <v>93</v>
      </c>
      <c r="B96" s="651"/>
      <c r="C96" s="664" t="s">
        <v>178</v>
      </c>
      <c r="D96" s="665" t="s">
        <v>1305</v>
      </c>
      <c r="E96" s="660">
        <f t="shared" si="6"/>
        <v>2024</v>
      </c>
      <c r="F96" s="655">
        <f t="shared" si="7"/>
        <v>45657</v>
      </c>
      <c r="G96" s="656">
        <v>529.04999999999995</v>
      </c>
      <c r="H96" s="666">
        <f t="shared" si="11"/>
        <v>529.04999999999995</v>
      </c>
      <c r="I96" s="666">
        <v>2197</v>
      </c>
      <c r="J96" s="760">
        <f t="shared" si="8"/>
        <v>-1667.95</v>
      </c>
      <c r="K96" s="761">
        <f t="shared" si="9"/>
        <v>-75.919435593991807</v>
      </c>
    </row>
    <row r="97" spans="1:11" ht="21">
      <c r="A97" s="650">
        <v>94</v>
      </c>
      <c r="B97" s="651"/>
      <c r="C97" s="664" t="s">
        <v>179</v>
      </c>
      <c r="D97" s="665" t="s">
        <v>1310</v>
      </c>
      <c r="E97" s="660">
        <f t="shared" si="6"/>
        <v>2024</v>
      </c>
      <c r="F97" s="655">
        <f t="shared" si="7"/>
        <v>45657</v>
      </c>
      <c r="G97" s="656">
        <v>0</v>
      </c>
      <c r="H97" s="666">
        <f t="shared" si="11"/>
        <v>0</v>
      </c>
      <c r="I97" s="666">
        <v>0</v>
      </c>
      <c r="J97" s="760">
        <f t="shared" si="8"/>
        <v>0</v>
      </c>
      <c r="K97" s="761"/>
    </row>
    <row r="98" spans="1:11" ht="21">
      <c r="A98" s="650">
        <v>95</v>
      </c>
      <c r="B98" s="651"/>
      <c r="C98" s="664" t="s">
        <v>180</v>
      </c>
      <c r="D98" s="665" t="s">
        <v>1315</v>
      </c>
      <c r="E98" s="660">
        <f t="shared" si="6"/>
        <v>2024</v>
      </c>
      <c r="F98" s="655">
        <f t="shared" si="7"/>
        <v>45657</v>
      </c>
      <c r="G98" s="656">
        <v>97753.17</v>
      </c>
      <c r="H98" s="666">
        <f t="shared" si="11"/>
        <v>97753.17</v>
      </c>
      <c r="I98" s="666">
        <v>30071</v>
      </c>
      <c r="J98" s="760">
        <f t="shared" si="8"/>
        <v>67682.17</v>
      </c>
      <c r="K98" s="761">
        <f t="shared" si="9"/>
        <v>225.07455688204578</v>
      </c>
    </row>
    <row r="99" spans="1:11">
      <c r="A99" s="650">
        <v>96</v>
      </c>
      <c r="B99" s="651"/>
      <c r="C99" s="664" t="s">
        <v>181</v>
      </c>
      <c r="D99" s="665" t="s">
        <v>1320</v>
      </c>
      <c r="E99" s="660">
        <f t="shared" si="6"/>
        <v>2024</v>
      </c>
      <c r="F99" s="655">
        <f t="shared" si="7"/>
        <v>45657</v>
      </c>
      <c r="G99" s="656">
        <v>-19776.330000000002</v>
      </c>
      <c r="H99" s="666">
        <f t="shared" si="11"/>
        <v>-19776.330000000002</v>
      </c>
      <c r="I99" s="666">
        <v>0</v>
      </c>
      <c r="J99" s="760">
        <f t="shared" si="8"/>
        <v>-19776.330000000002</v>
      </c>
      <c r="K99" s="761"/>
    </row>
    <row r="100" spans="1:11">
      <c r="A100" s="650">
        <v>97</v>
      </c>
      <c r="B100" s="651"/>
      <c r="C100" s="664" t="s">
        <v>182</v>
      </c>
      <c r="D100" s="665" t="s">
        <v>1326</v>
      </c>
      <c r="E100" s="660">
        <f t="shared" si="6"/>
        <v>2024</v>
      </c>
      <c r="F100" s="655">
        <f t="shared" si="7"/>
        <v>45657</v>
      </c>
      <c r="G100" s="656">
        <v>0</v>
      </c>
      <c r="H100" s="666">
        <f t="shared" si="11"/>
        <v>0</v>
      </c>
      <c r="I100" s="666">
        <v>0</v>
      </c>
      <c r="J100" s="760">
        <f t="shared" si="8"/>
        <v>0</v>
      </c>
      <c r="K100" s="761"/>
    </row>
    <row r="101" spans="1:11" ht="21">
      <c r="A101" s="650">
        <v>98</v>
      </c>
      <c r="B101" s="651"/>
      <c r="C101" s="664" t="s">
        <v>183</v>
      </c>
      <c r="D101" s="665" t="s">
        <v>1334</v>
      </c>
      <c r="E101" s="660">
        <f t="shared" si="6"/>
        <v>2024</v>
      </c>
      <c r="F101" s="655">
        <f t="shared" si="7"/>
        <v>45657</v>
      </c>
      <c r="G101" s="656">
        <v>0</v>
      </c>
      <c r="H101" s="666">
        <f t="shared" si="11"/>
        <v>0</v>
      </c>
      <c r="I101" s="666">
        <v>0</v>
      </c>
      <c r="J101" s="760">
        <f t="shared" si="8"/>
        <v>0</v>
      </c>
      <c r="K101" s="761"/>
    </row>
    <row r="102" spans="1:11">
      <c r="A102" s="650">
        <v>99</v>
      </c>
      <c r="B102" s="651"/>
      <c r="C102" s="652" t="s">
        <v>11858</v>
      </c>
      <c r="D102" s="653" t="s">
        <v>11859</v>
      </c>
      <c r="E102" s="660">
        <f t="shared" si="6"/>
        <v>2024</v>
      </c>
      <c r="F102" s="655">
        <f t="shared" si="7"/>
        <v>45657</v>
      </c>
      <c r="G102" s="656"/>
      <c r="H102" s="659">
        <f>+H103+H119+H140+H141+H150++H154+H155</f>
        <v>169536874.31999999</v>
      </c>
      <c r="I102" s="657">
        <v>174976423</v>
      </c>
      <c r="J102" s="760">
        <f t="shared" si="8"/>
        <v>-5439548.6800000072</v>
      </c>
      <c r="K102" s="761">
        <f t="shared" si="9"/>
        <v>-3.1087323576159775</v>
      </c>
    </row>
    <row r="103" spans="1:11">
      <c r="A103" s="650">
        <v>100</v>
      </c>
      <c r="B103" s="651"/>
      <c r="C103" s="662" t="s">
        <v>1335</v>
      </c>
      <c r="D103" s="663" t="s">
        <v>11860</v>
      </c>
      <c r="E103" s="660">
        <f t="shared" si="6"/>
        <v>2024</v>
      </c>
      <c r="F103" s="655">
        <f t="shared" si="7"/>
        <v>45657</v>
      </c>
      <c r="G103" s="656"/>
      <c r="H103" s="657">
        <f>SUM(H104:H113,H118)</f>
        <v>3350361.4499999997</v>
      </c>
      <c r="I103" s="657">
        <v>2043056</v>
      </c>
      <c r="J103" s="760">
        <f t="shared" si="8"/>
        <v>1307305.4499999997</v>
      </c>
      <c r="K103" s="761">
        <f t="shared" si="9"/>
        <v>63.987744339851673</v>
      </c>
    </row>
    <row r="104" spans="1:11" ht="21">
      <c r="A104" s="650">
        <v>101</v>
      </c>
      <c r="B104" s="672" t="s">
        <v>1340</v>
      </c>
      <c r="C104" s="673" t="s">
        <v>1341</v>
      </c>
      <c r="D104" s="674" t="s">
        <v>1339</v>
      </c>
      <c r="E104" s="660">
        <f t="shared" si="6"/>
        <v>2024</v>
      </c>
      <c r="F104" s="655">
        <f t="shared" si="7"/>
        <v>45657</v>
      </c>
      <c r="G104" s="656">
        <v>0</v>
      </c>
      <c r="H104" s="666">
        <f t="shared" ref="H104:H112" si="12">+G104</f>
        <v>0</v>
      </c>
      <c r="I104" s="666">
        <v>0</v>
      </c>
      <c r="J104" s="760">
        <f t="shared" si="8"/>
        <v>0</v>
      </c>
      <c r="K104" s="761"/>
    </row>
    <row r="105" spans="1:11" ht="21">
      <c r="A105" s="650">
        <v>102</v>
      </c>
      <c r="B105" s="672" t="s">
        <v>1340</v>
      </c>
      <c r="C105" s="673" t="s">
        <v>184</v>
      </c>
      <c r="D105" s="675" t="s">
        <v>1345</v>
      </c>
      <c r="E105" s="660">
        <f t="shared" si="6"/>
        <v>2024</v>
      </c>
      <c r="F105" s="655">
        <f t="shared" si="7"/>
        <v>45657</v>
      </c>
      <c r="G105" s="656">
        <v>0</v>
      </c>
      <c r="H105" s="666">
        <f t="shared" si="12"/>
        <v>0</v>
      </c>
      <c r="I105" s="666">
        <v>0</v>
      </c>
      <c r="J105" s="760">
        <f t="shared" si="8"/>
        <v>0</v>
      </c>
      <c r="K105" s="761"/>
    </row>
    <row r="106" spans="1:11" ht="21">
      <c r="A106" s="650">
        <v>103</v>
      </c>
      <c r="B106" s="672" t="s">
        <v>1349</v>
      </c>
      <c r="C106" s="673" t="s">
        <v>185</v>
      </c>
      <c r="D106" s="675" t="s">
        <v>1350</v>
      </c>
      <c r="E106" s="660">
        <f t="shared" si="6"/>
        <v>2024</v>
      </c>
      <c r="F106" s="655">
        <f t="shared" si="7"/>
        <v>45657</v>
      </c>
      <c r="G106" s="656">
        <v>0</v>
      </c>
      <c r="H106" s="666">
        <f t="shared" si="12"/>
        <v>0</v>
      </c>
      <c r="I106" s="666">
        <v>0</v>
      </c>
      <c r="J106" s="760">
        <f t="shared" si="8"/>
        <v>0</v>
      </c>
      <c r="K106" s="761"/>
    </row>
    <row r="107" spans="1:11" ht="21">
      <c r="A107" s="650">
        <v>104</v>
      </c>
      <c r="B107" s="676"/>
      <c r="C107" s="673" t="s">
        <v>186</v>
      </c>
      <c r="D107" s="675" t="s">
        <v>1354</v>
      </c>
      <c r="E107" s="660">
        <f t="shared" si="6"/>
        <v>2024</v>
      </c>
      <c r="F107" s="655">
        <f t="shared" si="7"/>
        <v>45657</v>
      </c>
      <c r="G107" s="656">
        <v>0</v>
      </c>
      <c r="H107" s="666">
        <f t="shared" si="12"/>
        <v>0</v>
      </c>
      <c r="I107" s="666">
        <v>0</v>
      </c>
      <c r="J107" s="760">
        <f t="shared" si="8"/>
        <v>0</v>
      </c>
      <c r="K107" s="761"/>
    </row>
    <row r="108" spans="1:11" ht="31.5">
      <c r="A108" s="650">
        <v>105</v>
      </c>
      <c r="B108" s="672" t="s">
        <v>1340</v>
      </c>
      <c r="C108" s="673" t="s">
        <v>187</v>
      </c>
      <c r="D108" s="675" t="s">
        <v>1359</v>
      </c>
      <c r="E108" s="660">
        <f t="shared" si="6"/>
        <v>2024</v>
      </c>
      <c r="F108" s="655">
        <f t="shared" si="7"/>
        <v>45657</v>
      </c>
      <c r="G108" s="656">
        <v>0</v>
      </c>
      <c r="H108" s="666">
        <f t="shared" si="12"/>
        <v>0</v>
      </c>
      <c r="I108" s="666">
        <v>0</v>
      </c>
      <c r="J108" s="760">
        <f t="shared" si="8"/>
        <v>0</v>
      </c>
      <c r="K108" s="761"/>
    </row>
    <row r="109" spans="1:11" ht="31.5">
      <c r="A109" s="650">
        <v>106</v>
      </c>
      <c r="B109" s="672" t="s">
        <v>1340</v>
      </c>
      <c r="C109" s="673" t="s">
        <v>188</v>
      </c>
      <c r="D109" s="675" t="s">
        <v>1363</v>
      </c>
      <c r="E109" s="660">
        <f t="shared" si="6"/>
        <v>2024</v>
      </c>
      <c r="F109" s="655">
        <f t="shared" si="7"/>
        <v>45657</v>
      </c>
      <c r="G109" s="656">
        <v>0</v>
      </c>
      <c r="H109" s="666">
        <f t="shared" si="12"/>
        <v>0</v>
      </c>
      <c r="I109" s="666">
        <v>0</v>
      </c>
      <c r="J109" s="760">
        <f t="shared" si="8"/>
        <v>0</v>
      </c>
      <c r="K109" s="761"/>
    </row>
    <row r="110" spans="1:11" ht="21">
      <c r="A110" s="650">
        <v>107</v>
      </c>
      <c r="B110" s="672" t="s">
        <v>1340</v>
      </c>
      <c r="C110" s="673" t="s">
        <v>189</v>
      </c>
      <c r="D110" s="675" t="s">
        <v>1367</v>
      </c>
      <c r="E110" s="660">
        <f t="shared" si="6"/>
        <v>2024</v>
      </c>
      <c r="F110" s="655">
        <f t="shared" si="7"/>
        <v>45657</v>
      </c>
      <c r="G110" s="656">
        <v>0</v>
      </c>
      <c r="H110" s="666">
        <f t="shared" si="12"/>
        <v>0</v>
      </c>
      <c r="I110" s="666">
        <v>0</v>
      </c>
      <c r="J110" s="760">
        <f t="shared" si="8"/>
        <v>0</v>
      </c>
      <c r="K110" s="761"/>
    </row>
    <row r="111" spans="1:11" ht="21">
      <c r="A111" s="650">
        <v>108</v>
      </c>
      <c r="B111" s="672" t="s">
        <v>1340</v>
      </c>
      <c r="C111" s="673" t="s">
        <v>1373</v>
      </c>
      <c r="D111" s="675" t="s">
        <v>1374</v>
      </c>
      <c r="E111" s="660">
        <f t="shared" si="6"/>
        <v>2024</v>
      </c>
      <c r="F111" s="655">
        <f t="shared" si="7"/>
        <v>45657</v>
      </c>
      <c r="G111" s="656">
        <v>0</v>
      </c>
      <c r="H111" s="666">
        <f t="shared" si="12"/>
        <v>0</v>
      </c>
      <c r="I111" s="666">
        <v>0</v>
      </c>
      <c r="J111" s="760">
        <f t="shared" si="8"/>
        <v>0</v>
      </c>
      <c r="K111" s="761"/>
    </row>
    <row r="112" spans="1:11" ht="21">
      <c r="A112" s="650">
        <v>109</v>
      </c>
      <c r="B112" s="672" t="s">
        <v>1340</v>
      </c>
      <c r="C112" s="673" t="s">
        <v>190</v>
      </c>
      <c r="D112" s="675" t="s">
        <v>1378</v>
      </c>
      <c r="E112" s="660">
        <f t="shared" si="6"/>
        <v>2024</v>
      </c>
      <c r="F112" s="655">
        <f t="shared" si="7"/>
        <v>45657</v>
      </c>
      <c r="G112" s="656">
        <v>1770138</v>
      </c>
      <c r="H112" s="666">
        <f t="shared" si="12"/>
        <v>1770138</v>
      </c>
      <c r="I112" s="666">
        <v>1770138</v>
      </c>
      <c r="J112" s="760">
        <f t="shared" si="8"/>
        <v>0</v>
      </c>
      <c r="K112" s="761">
        <f t="shared" si="9"/>
        <v>0</v>
      </c>
    </row>
    <row r="113" spans="1:11">
      <c r="A113" s="650">
        <v>110</v>
      </c>
      <c r="B113" s="672"/>
      <c r="C113" s="762" t="s">
        <v>1393</v>
      </c>
      <c r="D113" s="675" t="s">
        <v>11861</v>
      </c>
      <c r="E113" s="660">
        <f t="shared" si="6"/>
        <v>2024</v>
      </c>
      <c r="F113" s="655">
        <f t="shared" si="7"/>
        <v>45657</v>
      </c>
      <c r="G113" s="656"/>
      <c r="H113" s="670">
        <f>+H114+H115+H116+H117</f>
        <v>1574499.59</v>
      </c>
      <c r="I113" s="670">
        <v>271000</v>
      </c>
      <c r="J113" s="760">
        <f t="shared" si="8"/>
        <v>1303499.5900000001</v>
      </c>
      <c r="K113" s="761">
        <f t="shared" si="9"/>
        <v>480.99615867158673</v>
      </c>
    </row>
    <row r="114" spans="1:11" ht="21">
      <c r="A114" s="650">
        <v>111</v>
      </c>
      <c r="B114" s="672" t="s">
        <v>1340</v>
      </c>
      <c r="C114" s="673" t="s">
        <v>191</v>
      </c>
      <c r="D114" s="675" t="s">
        <v>1397</v>
      </c>
      <c r="E114" s="660">
        <f t="shared" si="6"/>
        <v>2024</v>
      </c>
      <c r="F114" s="655">
        <f t="shared" si="7"/>
        <v>45657</v>
      </c>
      <c r="G114" s="656">
        <v>0</v>
      </c>
      <c r="H114" s="666">
        <f>+G114</f>
        <v>0</v>
      </c>
      <c r="I114" s="666">
        <v>0</v>
      </c>
      <c r="J114" s="760">
        <f t="shared" si="8"/>
        <v>0</v>
      </c>
      <c r="K114" s="761"/>
    </row>
    <row r="115" spans="1:11" ht="21">
      <c r="A115" s="650">
        <v>112</v>
      </c>
      <c r="B115" s="672" t="s">
        <v>1340</v>
      </c>
      <c r="C115" s="673" t="s">
        <v>192</v>
      </c>
      <c r="D115" s="675" t="s">
        <v>1401</v>
      </c>
      <c r="E115" s="660">
        <f t="shared" si="6"/>
        <v>2024</v>
      </c>
      <c r="F115" s="655">
        <f t="shared" si="7"/>
        <v>45657</v>
      </c>
      <c r="G115" s="656">
        <v>1574499.59</v>
      </c>
      <c r="H115" s="666">
        <f>+G115</f>
        <v>1574499.59</v>
      </c>
      <c r="I115" s="666">
        <v>0</v>
      </c>
      <c r="J115" s="760">
        <f t="shared" si="8"/>
        <v>1574499.59</v>
      </c>
      <c r="K115" s="761"/>
    </row>
    <row r="116" spans="1:11" ht="21">
      <c r="A116" s="650">
        <v>113</v>
      </c>
      <c r="B116" s="672" t="s">
        <v>1340</v>
      </c>
      <c r="C116" s="673" t="s">
        <v>193</v>
      </c>
      <c r="D116" s="675" t="s">
        <v>11862</v>
      </c>
      <c r="E116" s="660">
        <f t="shared" si="6"/>
        <v>2024</v>
      </c>
      <c r="F116" s="655">
        <f t="shared" si="7"/>
        <v>45657</v>
      </c>
      <c r="G116" s="656">
        <v>0</v>
      </c>
      <c r="H116" s="666">
        <f>+G116</f>
        <v>0</v>
      </c>
      <c r="I116" s="666">
        <v>0</v>
      </c>
      <c r="J116" s="760">
        <f t="shared" si="8"/>
        <v>0</v>
      </c>
      <c r="K116" s="761"/>
    </row>
    <row r="117" spans="1:11" ht="21">
      <c r="A117" s="650">
        <v>114</v>
      </c>
      <c r="B117" s="672" t="s">
        <v>1340</v>
      </c>
      <c r="C117" s="673" t="s">
        <v>194</v>
      </c>
      <c r="D117" s="675" t="s">
        <v>1410</v>
      </c>
      <c r="E117" s="660">
        <f t="shared" si="6"/>
        <v>2024</v>
      </c>
      <c r="F117" s="655">
        <f t="shared" si="7"/>
        <v>45657</v>
      </c>
      <c r="G117" s="656">
        <v>0</v>
      </c>
      <c r="H117" s="666">
        <f>+G117</f>
        <v>0</v>
      </c>
      <c r="I117" s="666">
        <v>271000</v>
      </c>
      <c r="J117" s="760">
        <f t="shared" si="8"/>
        <v>-271000</v>
      </c>
      <c r="K117" s="761">
        <f t="shared" si="9"/>
        <v>-100</v>
      </c>
    </row>
    <row r="118" spans="1:11">
      <c r="A118" s="650">
        <v>115</v>
      </c>
      <c r="B118" s="672"/>
      <c r="C118" s="762" t="s">
        <v>195</v>
      </c>
      <c r="D118" s="675" t="s">
        <v>1413</v>
      </c>
      <c r="E118" s="660">
        <f t="shared" si="6"/>
        <v>2024</v>
      </c>
      <c r="F118" s="655">
        <f t="shared" si="7"/>
        <v>45657</v>
      </c>
      <c r="G118" s="656">
        <v>5723.86</v>
      </c>
      <c r="H118" s="666">
        <f>+G118</f>
        <v>5723.86</v>
      </c>
      <c r="I118" s="666">
        <v>1918</v>
      </c>
      <c r="J118" s="760">
        <f t="shared" si="8"/>
        <v>3805.8599999999997</v>
      </c>
      <c r="K118" s="761">
        <f t="shared" si="9"/>
        <v>198.42857142857139</v>
      </c>
    </row>
    <row r="119" spans="1:11" ht="21">
      <c r="A119" s="650">
        <v>116</v>
      </c>
      <c r="B119" s="672"/>
      <c r="C119" s="677" t="s">
        <v>11863</v>
      </c>
      <c r="D119" s="678" t="s">
        <v>11864</v>
      </c>
      <c r="E119" s="660">
        <f t="shared" si="6"/>
        <v>2024</v>
      </c>
      <c r="F119" s="655">
        <f t="shared" si="7"/>
        <v>45657</v>
      </c>
      <c r="G119" s="656"/>
      <c r="H119" s="671">
        <f>+H120+H131+H138+H139</f>
        <v>121001651.25</v>
      </c>
      <c r="I119" s="670">
        <v>129422912</v>
      </c>
      <c r="J119" s="760">
        <f t="shared" si="8"/>
        <v>-8421260.75</v>
      </c>
      <c r="K119" s="761">
        <f t="shared" si="9"/>
        <v>-6.5067773703005543</v>
      </c>
    </row>
    <row r="120" spans="1:11" ht="21">
      <c r="A120" s="650">
        <v>117</v>
      </c>
      <c r="B120" s="672"/>
      <c r="C120" s="673" t="s">
        <v>1418</v>
      </c>
      <c r="D120" s="675" t="s">
        <v>11865</v>
      </c>
      <c r="E120" s="660">
        <f t="shared" si="6"/>
        <v>2024</v>
      </c>
      <c r="F120" s="655">
        <f t="shared" si="7"/>
        <v>45657</v>
      </c>
      <c r="G120" s="656">
        <v>0</v>
      </c>
      <c r="H120" s="657">
        <f>SUM(H121:H130)</f>
        <v>81833320.25</v>
      </c>
      <c r="I120" s="657">
        <v>97096435</v>
      </c>
      <c r="J120" s="760">
        <f t="shared" si="8"/>
        <v>-15263114.75</v>
      </c>
      <c r="K120" s="761">
        <f t="shared" si="9"/>
        <v>-15.719541865774985</v>
      </c>
    </row>
    <row r="121" spans="1:11" ht="21">
      <c r="A121" s="650">
        <v>118</v>
      </c>
      <c r="B121" s="672" t="s">
        <v>1422</v>
      </c>
      <c r="C121" s="673" t="s">
        <v>196</v>
      </c>
      <c r="D121" s="675" t="s">
        <v>1423</v>
      </c>
      <c r="E121" s="660">
        <f t="shared" si="6"/>
        <v>2024</v>
      </c>
      <c r="F121" s="655">
        <f t="shared" si="7"/>
        <v>45657</v>
      </c>
      <c r="G121" s="656">
        <v>60780290.689999998</v>
      </c>
      <c r="H121" s="666">
        <f t="shared" ref="H121:H130" si="13">+G121</f>
        <v>60780290.689999998</v>
      </c>
      <c r="I121" s="666">
        <v>76661430</v>
      </c>
      <c r="J121" s="760">
        <f t="shared" si="8"/>
        <v>-15881139.310000002</v>
      </c>
      <c r="K121" s="761">
        <f t="shared" si="9"/>
        <v>-20.715944523862916</v>
      </c>
    </row>
    <row r="122" spans="1:11" ht="31.5">
      <c r="A122" s="650">
        <v>119</v>
      </c>
      <c r="B122" s="672" t="s">
        <v>1519</v>
      </c>
      <c r="C122" s="673" t="s">
        <v>197</v>
      </c>
      <c r="D122" s="675" t="s">
        <v>11866</v>
      </c>
      <c r="E122" s="660">
        <f t="shared" si="6"/>
        <v>2024</v>
      </c>
      <c r="F122" s="655">
        <f t="shared" si="7"/>
        <v>45657</v>
      </c>
      <c r="G122" s="656">
        <v>0</v>
      </c>
      <c r="H122" s="666">
        <f t="shared" si="13"/>
        <v>0</v>
      </c>
      <c r="I122" s="666">
        <v>0</v>
      </c>
      <c r="J122" s="760">
        <f t="shared" si="8"/>
        <v>0</v>
      </c>
      <c r="K122" s="761"/>
    </row>
    <row r="123" spans="1:11" ht="31.5">
      <c r="A123" s="650">
        <v>120</v>
      </c>
      <c r="B123" s="672" t="s">
        <v>1422</v>
      </c>
      <c r="C123" s="673" t="s">
        <v>198</v>
      </c>
      <c r="D123" s="675" t="s">
        <v>11867</v>
      </c>
      <c r="E123" s="660">
        <f t="shared" si="6"/>
        <v>2024</v>
      </c>
      <c r="F123" s="655">
        <f t="shared" si="7"/>
        <v>45657</v>
      </c>
      <c r="G123" s="656">
        <v>0</v>
      </c>
      <c r="H123" s="666">
        <f t="shared" si="13"/>
        <v>0</v>
      </c>
      <c r="I123" s="666">
        <v>0</v>
      </c>
      <c r="J123" s="760">
        <f t="shared" si="8"/>
        <v>0</v>
      </c>
      <c r="K123" s="761"/>
    </row>
    <row r="124" spans="1:11" ht="31.5">
      <c r="A124" s="650">
        <v>121</v>
      </c>
      <c r="B124" s="672" t="s">
        <v>1422</v>
      </c>
      <c r="C124" s="673" t="s">
        <v>199</v>
      </c>
      <c r="D124" s="675" t="s">
        <v>1526</v>
      </c>
      <c r="E124" s="660">
        <f t="shared" si="6"/>
        <v>2024</v>
      </c>
      <c r="F124" s="655">
        <f t="shared" si="7"/>
        <v>45657</v>
      </c>
      <c r="G124" s="656">
        <v>0</v>
      </c>
      <c r="H124" s="666">
        <f t="shared" si="13"/>
        <v>0</v>
      </c>
      <c r="I124" s="666">
        <v>0</v>
      </c>
      <c r="J124" s="760">
        <f t="shared" si="8"/>
        <v>0</v>
      </c>
      <c r="K124" s="761"/>
    </row>
    <row r="125" spans="1:11" ht="31.5">
      <c r="A125" s="650">
        <v>122</v>
      </c>
      <c r="B125" s="672" t="s">
        <v>1422</v>
      </c>
      <c r="C125" s="673" t="s">
        <v>200</v>
      </c>
      <c r="D125" s="675" t="s">
        <v>11868</v>
      </c>
      <c r="E125" s="660">
        <f t="shared" si="6"/>
        <v>2024</v>
      </c>
      <c r="F125" s="655">
        <f t="shared" si="7"/>
        <v>45657</v>
      </c>
      <c r="G125" s="656">
        <v>0</v>
      </c>
      <c r="H125" s="666">
        <f t="shared" si="13"/>
        <v>0</v>
      </c>
      <c r="I125" s="666">
        <v>0</v>
      </c>
      <c r="J125" s="760">
        <f t="shared" si="8"/>
        <v>0</v>
      </c>
      <c r="K125" s="761"/>
    </row>
    <row r="126" spans="1:11" ht="31.5">
      <c r="A126" s="650">
        <v>123</v>
      </c>
      <c r="B126" s="672" t="s">
        <v>1422</v>
      </c>
      <c r="C126" s="673" t="s">
        <v>201</v>
      </c>
      <c r="D126" s="675" t="s">
        <v>11869</v>
      </c>
      <c r="E126" s="660">
        <f t="shared" si="6"/>
        <v>2024</v>
      </c>
      <c r="F126" s="655">
        <f t="shared" si="7"/>
        <v>45657</v>
      </c>
      <c r="G126" s="656">
        <v>0</v>
      </c>
      <c r="H126" s="666">
        <f t="shared" si="13"/>
        <v>0</v>
      </c>
      <c r="I126" s="666">
        <v>0</v>
      </c>
      <c r="J126" s="760">
        <f t="shared" si="8"/>
        <v>0</v>
      </c>
      <c r="K126" s="761"/>
    </row>
    <row r="127" spans="1:11" ht="31.5">
      <c r="A127" s="650">
        <v>124</v>
      </c>
      <c r="B127" s="672" t="s">
        <v>1422</v>
      </c>
      <c r="C127" s="673" t="s">
        <v>202</v>
      </c>
      <c r="D127" s="675" t="s">
        <v>1536</v>
      </c>
      <c r="E127" s="660">
        <f t="shared" si="6"/>
        <v>2024</v>
      </c>
      <c r="F127" s="655">
        <f t="shared" si="7"/>
        <v>45657</v>
      </c>
      <c r="G127" s="656">
        <v>20454996.129999999</v>
      </c>
      <c r="H127" s="666">
        <f t="shared" si="13"/>
        <v>20454996.129999999</v>
      </c>
      <c r="I127" s="666">
        <v>19885020</v>
      </c>
      <c r="J127" s="760">
        <f t="shared" si="8"/>
        <v>569976.12999999896</v>
      </c>
      <c r="K127" s="761">
        <f t="shared" si="9"/>
        <v>2.8663593499025808</v>
      </c>
    </row>
    <row r="128" spans="1:11" ht="31.5">
      <c r="A128" s="650">
        <v>125</v>
      </c>
      <c r="B128" s="672" t="s">
        <v>1422</v>
      </c>
      <c r="C128" s="673" t="s">
        <v>1549</v>
      </c>
      <c r="D128" s="675" t="s">
        <v>1550</v>
      </c>
      <c r="E128" s="660">
        <f t="shared" si="6"/>
        <v>2024</v>
      </c>
      <c r="F128" s="655">
        <f t="shared" si="7"/>
        <v>45657</v>
      </c>
      <c r="G128" s="656">
        <v>46636.29</v>
      </c>
      <c r="H128" s="666">
        <f t="shared" si="13"/>
        <v>46636.29</v>
      </c>
      <c r="I128" s="666">
        <v>241540</v>
      </c>
      <c r="J128" s="760">
        <f t="shared" si="8"/>
        <v>-194903.71</v>
      </c>
      <c r="K128" s="761">
        <f t="shared" si="9"/>
        <v>-80.692104827357781</v>
      </c>
    </row>
    <row r="129" spans="1:11" ht="21">
      <c r="A129" s="650">
        <v>126</v>
      </c>
      <c r="B129" s="672" t="s">
        <v>1422</v>
      </c>
      <c r="C129" s="673" t="s">
        <v>203</v>
      </c>
      <c r="D129" s="675" t="s">
        <v>1554</v>
      </c>
      <c r="E129" s="660">
        <f t="shared" si="6"/>
        <v>2024</v>
      </c>
      <c r="F129" s="655">
        <f t="shared" si="7"/>
        <v>45657</v>
      </c>
      <c r="G129" s="656">
        <v>551397.14</v>
      </c>
      <c r="H129" s="666">
        <f t="shared" si="13"/>
        <v>551397.14</v>
      </c>
      <c r="I129" s="666">
        <v>308445</v>
      </c>
      <c r="J129" s="760">
        <f t="shared" si="8"/>
        <v>242952.14</v>
      </c>
      <c r="K129" s="761">
        <f t="shared" si="9"/>
        <v>78.766762307704795</v>
      </c>
    </row>
    <row r="130" spans="1:11" ht="31.5">
      <c r="A130" s="650">
        <v>127</v>
      </c>
      <c r="B130" s="672" t="s">
        <v>1422</v>
      </c>
      <c r="C130" s="673" t="s">
        <v>1650</v>
      </c>
      <c r="D130" s="675" t="s">
        <v>1651</v>
      </c>
      <c r="E130" s="660">
        <f t="shared" si="6"/>
        <v>2024</v>
      </c>
      <c r="F130" s="655">
        <f t="shared" si="7"/>
        <v>45657</v>
      </c>
      <c r="G130" s="656">
        <v>0</v>
      </c>
      <c r="H130" s="666">
        <f t="shared" si="13"/>
        <v>0</v>
      </c>
      <c r="I130" s="666">
        <v>0</v>
      </c>
      <c r="J130" s="760">
        <f t="shared" si="8"/>
        <v>0</v>
      </c>
      <c r="K130" s="761"/>
    </row>
    <row r="131" spans="1:11" ht="31.5">
      <c r="A131" s="650">
        <v>128</v>
      </c>
      <c r="B131" s="680"/>
      <c r="C131" s="664" t="s">
        <v>1674</v>
      </c>
      <c r="D131" s="665" t="s">
        <v>1675</v>
      </c>
      <c r="E131" s="660">
        <f t="shared" si="6"/>
        <v>2024</v>
      </c>
      <c r="F131" s="655">
        <f t="shared" si="7"/>
        <v>45657</v>
      </c>
      <c r="G131" s="656"/>
      <c r="H131" s="670">
        <f>SUM(H132:H137)</f>
        <v>39168331</v>
      </c>
      <c r="I131" s="670">
        <v>32326477</v>
      </c>
      <c r="J131" s="760">
        <f t="shared" si="8"/>
        <v>6841854</v>
      </c>
      <c r="K131" s="761">
        <f t="shared" si="9"/>
        <v>21.164861237430841</v>
      </c>
    </row>
    <row r="132" spans="1:11" ht="31.5">
      <c r="A132" s="650">
        <v>129</v>
      </c>
      <c r="B132" s="651" t="s">
        <v>1422</v>
      </c>
      <c r="C132" s="664" t="s">
        <v>204</v>
      </c>
      <c r="D132" s="665" t="s">
        <v>11870</v>
      </c>
      <c r="E132" s="660">
        <f t="shared" si="6"/>
        <v>2024</v>
      </c>
      <c r="F132" s="655">
        <f t="shared" si="7"/>
        <v>45657</v>
      </c>
      <c r="G132" s="669">
        <v>39168331</v>
      </c>
      <c r="H132" s="666">
        <f t="shared" ref="H132:H140" si="14">+G132</f>
        <v>39168331</v>
      </c>
      <c r="I132" s="666">
        <v>32326477</v>
      </c>
      <c r="J132" s="760">
        <f t="shared" si="8"/>
        <v>6841854</v>
      </c>
      <c r="K132" s="761">
        <f t="shared" si="9"/>
        <v>21.164861237430841</v>
      </c>
    </row>
    <row r="133" spans="1:11" ht="42">
      <c r="A133" s="650">
        <v>130</v>
      </c>
      <c r="B133" s="651" t="s">
        <v>1422</v>
      </c>
      <c r="C133" s="664" t="s">
        <v>205</v>
      </c>
      <c r="D133" s="665" t="s">
        <v>11871</v>
      </c>
      <c r="E133" s="660">
        <f t="shared" ref="E133:E196" si="15">E132</f>
        <v>2024</v>
      </c>
      <c r="F133" s="655">
        <f t="shared" ref="F133:F196" si="16">+F132</f>
        <v>45657</v>
      </c>
      <c r="G133" s="656">
        <v>0</v>
      </c>
      <c r="H133" s="666">
        <f t="shared" si="14"/>
        <v>0</v>
      </c>
      <c r="I133" s="666">
        <v>0</v>
      </c>
      <c r="J133" s="760">
        <f t="shared" ref="J133:J196" si="17">H133-I133</f>
        <v>0</v>
      </c>
      <c r="K133" s="761"/>
    </row>
    <row r="134" spans="1:11" ht="21">
      <c r="A134" s="650">
        <v>131</v>
      </c>
      <c r="B134" s="651" t="s">
        <v>1422</v>
      </c>
      <c r="C134" s="664" t="s">
        <v>206</v>
      </c>
      <c r="D134" s="665" t="s">
        <v>1752</v>
      </c>
      <c r="E134" s="660">
        <f t="shared" si="15"/>
        <v>2024</v>
      </c>
      <c r="F134" s="655">
        <f t="shared" si="16"/>
        <v>45657</v>
      </c>
      <c r="G134" s="656">
        <v>0</v>
      </c>
      <c r="H134" s="666">
        <f t="shared" si="14"/>
        <v>0</v>
      </c>
      <c r="I134" s="666">
        <v>0</v>
      </c>
      <c r="J134" s="760">
        <f t="shared" si="17"/>
        <v>0</v>
      </c>
      <c r="K134" s="761"/>
    </row>
    <row r="135" spans="1:11" ht="52.5">
      <c r="A135" s="650">
        <v>132</v>
      </c>
      <c r="B135" s="672" t="s">
        <v>1422</v>
      </c>
      <c r="C135" s="673" t="s">
        <v>1755</v>
      </c>
      <c r="D135" s="675" t="s">
        <v>1756</v>
      </c>
      <c r="E135" s="660">
        <f t="shared" si="15"/>
        <v>2024</v>
      </c>
      <c r="F135" s="655">
        <f t="shared" si="16"/>
        <v>45657</v>
      </c>
      <c r="G135" s="656">
        <v>0</v>
      </c>
      <c r="H135" s="666">
        <f t="shared" si="14"/>
        <v>0</v>
      </c>
      <c r="I135" s="666">
        <v>0</v>
      </c>
      <c r="J135" s="760">
        <f t="shared" si="17"/>
        <v>0</v>
      </c>
      <c r="K135" s="761"/>
    </row>
    <row r="136" spans="1:11" ht="21">
      <c r="A136" s="650">
        <v>133</v>
      </c>
      <c r="B136" s="672" t="s">
        <v>1422</v>
      </c>
      <c r="C136" s="673" t="s">
        <v>207</v>
      </c>
      <c r="D136" s="675" t="s">
        <v>1760</v>
      </c>
      <c r="E136" s="660">
        <f t="shared" si="15"/>
        <v>2024</v>
      </c>
      <c r="F136" s="655">
        <f t="shared" si="16"/>
        <v>45657</v>
      </c>
      <c r="G136" s="656">
        <v>0</v>
      </c>
      <c r="H136" s="666">
        <f t="shared" si="14"/>
        <v>0</v>
      </c>
      <c r="I136" s="666">
        <v>0</v>
      </c>
      <c r="J136" s="760">
        <f t="shared" si="17"/>
        <v>0</v>
      </c>
      <c r="K136" s="761"/>
    </row>
    <row r="137" spans="1:11" ht="42">
      <c r="A137" s="650">
        <v>134</v>
      </c>
      <c r="B137" s="672" t="s">
        <v>1422</v>
      </c>
      <c r="C137" s="673" t="s">
        <v>208</v>
      </c>
      <c r="D137" s="675" t="s">
        <v>11872</v>
      </c>
      <c r="E137" s="660">
        <f t="shared" si="15"/>
        <v>2024</v>
      </c>
      <c r="F137" s="655">
        <f t="shared" si="16"/>
        <v>45657</v>
      </c>
      <c r="G137" s="656">
        <v>0</v>
      </c>
      <c r="H137" s="666">
        <f t="shared" si="14"/>
        <v>0</v>
      </c>
      <c r="I137" s="666">
        <v>0</v>
      </c>
      <c r="J137" s="760">
        <f t="shared" si="17"/>
        <v>0</v>
      </c>
      <c r="K137" s="761"/>
    </row>
    <row r="138" spans="1:11" ht="21">
      <c r="A138" s="650">
        <v>135</v>
      </c>
      <c r="B138" s="651"/>
      <c r="C138" s="664" t="s">
        <v>1766</v>
      </c>
      <c r="D138" s="665" t="s">
        <v>1767</v>
      </c>
      <c r="E138" s="660">
        <f t="shared" si="15"/>
        <v>2024</v>
      </c>
      <c r="F138" s="655">
        <f t="shared" si="16"/>
        <v>45657</v>
      </c>
      <c r="G138" s="656">
        <v>0</v>
      </c>
      <c r="H138" s="666">
        <f t="shared" si="14"/>
        <v>0</v>
      </c>
      <c r="I138" s="666">
        <v>0</v>
      </c>
      <c r="J138" s="760">
        <f t="shared" si="17"/>
        <v>0</v>
      </c>
      <c r="K138" s="761"/>
    </row>
    <row r="139" spans="1:11" ht="31.5">
      <c r="A139" s="650">
        <v>136</v>
      </c>
      <c r="B139" s="651" t="s">
        <v>1422</v>
      </c>
      <c r="C139" s="664" t="s">
        <v>1771</v>
      </c>
      <c r="D139" s="665" t="s">
        <v>1772</v>
      </c>
      <c r="E139" s="660">
        <f t="shared" si="15"/>
        <v>2024</v>
      </c>
      <c r="F139" s="655">
        <f t="shared" si="16"/>
        <v>45657</v>
      </c>
      <c r="G139" s="656">
        <v>0</v>
      </c>
      <c r="H139" s="666">
        <f t="shared" si="14"/>
        <v>0</v>
      </c>
      <c r="I139" s="666">
        <v>0</v>
      </c>
      <c r="J139" s="760">
        <f t="shared" si="17"/>
        <v>0</v>
      </c>
      <c r="K139" s="761"/>
    </row>
    <row r="140" spans="1:11">
      <c r="A140" s="650">
        <v>137</v>
      </c>
      <c r="B140" s="651"/>
      <c r="C140" s="763" t="s">
        <v>209</v>
      </c>
      <c r="D140" s="663" t="s">
        <v>1778</v>
      </c>
      <c r="E140" s="660">
        <f t="shared" si="15"/>
        <v>2024</v>
      </c>
      <c r="F140" s="655">
        <f t="shared" si="16"/>
        <v>45657</v>
      </c>
      <c r="G140" s="656">
        <v>2102</v>
      </c>
      <c r="H140" s="670">
        <f t="shared" si="14"/>
        <v>2102</v>
      </c>
      <c r="I140" s="670">
        <v>0</v>
      </c>
      <c r="J140" s="760">
        <f t="shared" si="17"/>
        <v>2102</v>
      </c>
      <c r="K140" s="761"/>
    </row>
    <row r="141" spans="1:11" ht="21">
      <c r="A141" s="650">
        <v>138</v>
      </c>
      <c r="B141" s="681"/>
      <c r="C141" s="662" t="s">
        <v>11873</v>
      </c>
      <c r="D141" s="663" t="s">
        <v>11874</v>
      </c>
      <c r="E141" s="660">
        <f t="shared" si="15"/>
        <v>2024</v>
      </c>
      <c r="F141" s="655">
        <f t="shared" si="16"/>
        <v>45657</v>
      </c>
      <c r="G141" s="669">
        <v>3100392.4000000004</v>
      </c>
      <c r="H141" s="670">
        <f>+H142+H146+H147+H148+H149</f>
        <v>9565772.3399999999</v>
      </c>
      <c r="I141" s="670">
        <v>7051063</v>
      </c>
      <c r="J141" s="760">
        <f t="shared" si="17"/>
        <v>2514709.34</v>
      </c>
      <c r="K141" s="761">
        <f t="shared" ref="K141:K196" si="18">H141/I141*100-100</f>
        <v>35.66425856640339</v>
      </c>
    </row>
    <row r="142" spans="1:11" ht="21">
      <c r="A142" s="650">
        <v>139</v>
      </c>
      <c r="B142" s="651"/>
      <c r="C142" s="664" t="s">
        <v>1785</v>
      </c>
      <c r="D142" s="665" t="s">
        <v>1786</v>
      </c>
      <c r="E142" s="660">
        <f t="shared" si="15"/>
        <v>2024</v>
      </c>
      <c r="F142" s="655">
        <f t="shared" si="16"/>
        <v>45657</v>
      </c>
      <c r="G142" s="669">
        <v>3100392.4000000004</v>
      </c>
      <c r="H142" s="668">
        <f t="shared" ref="H142:H149" si="19">+G142</f>
        <v>3100392.4000000004</v>
      </c>
      <c r="I142" s="685">
        <v>2934083</v>
      </c>
      <c r="J142" s="760">
        <f t="shared" si="17"/>
        <v>166309.40000000037</v>
      </c>
      <c r="K142" s="761">
        <f t="shared" si="18"/>
        <v>5.6681900273441528</v>
      </c>
    </row>
    <row r="143" spans="1:11" ht="31.5">
      <c r="A143" s="650">
        <v>140</v>
      </c>
      <c r="B143" s="651" t="s">
        <v>1519</v>
      </c>
      <c r="C143" s="664" t="s">
        <v>223</v>
      </c>
      <c r="D143" s="665" t="s">
        <v>11875</v>
      </c>
      <c r="E143" s="660">
        <f t="shared" si="15"/>
        <v>2024</v>
      </c>
      <c r="F143" s="655">
        <f t="shared" si="16"/>
        <v>45657</v>
      </c>
      <c r="G143" s="669">
        <v>0</v>
      </c>
      <c r="H143" s="679">
        <f t="shared" si="19"/>
        <v>0</v>
      </c>
      <c r="I143" s="666">
        <v>0</v>
      </c>
      <c r="J143" s="760">
        <f t="shared" si="17"/>
        <v>0</v>
      </c>
      <c r="K143" s="761"/>
    </row>
    <row r="144" spans="1:11" ht="31.5">
      <c r="A144" s="650">
        <v>141</v>
      </c>
      <c r="B144" s="682" t="s">
        <v>1519</v>
      </c>
      <c r="C144" s="673" t="s">
        <v>210</v>
      </c>
      <c r="D144" s="675" t="s">
        <v>1793</v>
      </c>
      <c r="E144" s="660">
        <f t="shared" si="15"/>
        <v>2024</v>
      </c>
      <c r="F144" s="655">
        <f t="shared" si="16"/>
        <v>45657</v>
      </c>
      <c r="G144" s="669">
        <v>0</v>
      </c>
      <c r="H144" s="679">
        <f t="shared" si="19"/>
        <v>0</v>
      </c>
      <c r="I144" s="666">
        <v>0</v>
      </c>
      <c r="J144" s="760">
        <f t="shared" si="17"/>
        <v>0</v>
      </c>
      <c r="K144" s="761"/>
    </row>
    <row r="145" spans="1:11" ht="31.5">
      <c r="A145" s="650">
        <v>142</v>
      </c>
      <c r="B145" s="682" t="s">
        <v>1519</v>
      </c>
      <c r="C145" s="673" t="s">
        <v>211</v>
      </c>
      <c r="D145" s="675" t="s">
        <v>1852</v>
      </c>
      <c r="E145" s="660">
        <f t="shared" si="15"/>
        <v>2024</v>
      </c>
      <c r="F145" s="655">
        <f t="shared" si="16"/>
        <v>45657</v>
      </c>
      <c r="G145" s="683">
        <v>3100392.4000000004</v>
      </c>
      <c r="H145" s="679">
        <f t="shared" si="19"/>
        <v>3100392.4000000004</v>
      </c>
      <c r="I145" s="666">
        <v>2934083</v>
      </c>
      <c r="J145" s="760">
        <f t="shared" si="17"/>
        <v>166309.40000000037</v>
      </c>
      <c r="K145" s="761">
        <f t="shared" si="18"/>
        <v>5.6681900273441528</v>
      </c>
    </row>
    <row r="146" spans="1:11" ht="21">
      <c r="A146" s="650">
        <v>143</v>
      </c>
      <c r="B146" s="672" t="s">
        <v>1422</v>
      </c>
      <c r="C146" s="673" t="s">
        <v>212</v>
      </c>
      <c r="D146" s="675" t="s">
        <v>1926</v>
      </c>
      <c r="E146" s="660">
        <f t="shared" si="15"/>
        <v>2024</v>
      </c>
      <c r="F146" s="655">
        <f t="shared" si="16"/>
        <v>45657</v>
      </c>
      <c r="G146" s="667">
        <v>0</v>
      </c>
      <c r="H146" s="668">
        <f t="shared" si="19"/>
        <v>0</v>
      </c>
      <c r="I146" s="666">
        <v>0</v>
      </c>
      <c r="J146" s="760">
        <f t="shared" si="17"/>
        <v>0</v>
      </c>
      <c r="K146" s="761"/>
    </row>
    <row r="147" spans="1:11" ht="52.5">
      <c r="A147" s="650">
        <v>144</v>
      </c>
      <c r="B147" s="672" t="s">
        <v>1422</v>
      </c>
      <c r="C147" s="673" t="s">
        <v>1928</v>
      </c>
      <c r="D147" s="675" t="s">
        <v>1929</v>
      </c>
      <c r="E147" s="660">
        <f t="shared" si="15"/>
        <v>2024</v>
      </c>
      <c r="F147" s="655">
        <f t="shared" si="16"/>
        <v>45657</v>
      </c>
      <c r="G147" s="667">
        <v>0</v>
      </c>
      <c r="H147" s="679">
        <f t="shared" si="19"/>
        <v>0</v>
      </c>
      <c r="I147" s="666">
        <v>0</v>
      </c>
      <c r="J147" s="760">
        <f t="shared" si="17"/>
        <v>0</v>
      </c>
      <c r="K147" s="761"/>
    </row>
    <row r="148" spans="1:11" ht="21">
      <c r="A148" s="650">
        <v>145</v>
      </c>
      <c r="B148" s="672" t="s">
        <v>1340</v>
      </c>
      <c r="C148" s="673" t="s">
        <v>213</v>
      </c>
      <c r="D148" s="675" t="s">
        <v>1933</v>
      </c>
      <c r="E148" s="660">
        <f t="shared" si="15"/>
        <v>2024</v>
      </c>
      <c r="F148" s="655">
        <f t="shared" si="16"/>
        <v>45657</v>
      </c>
      <c r="G148" s="667">
        <v>6240379.9400000004</v>
      </c>
      <c r="H148" s="679">
        <f t="shared" si="19"/>
        <v>6240379.9400000004</v>
      </c>
      <c r="I148" s="666">
        <v>4116980</v>
      </c>
      <c r="J148" s="760">
        <f t="shared" si="17"/>
        <v>2123399.9400000004</v>
      </c>
      <c r="K148" s="761">
        <f t="shared" si="18"/>
        <v>51.576639672769858</v>
      </c>
    </row>
    <row r="149" spans="1:11" ht="42">
      <c r="A149" s="650">
        <v>146</v>
      </c>
      <c r="B149" s="672" t="s">
        <v>1519</v>
      </c>
      <c r="C149" s="673" t="s">
        <v>1938</v>
      </c>
      <c r="D149" s="684" t="s">
        <v>1939</v>
      </c>
      <c r="E149" s="660">
        <f t="shared" si="15"/>
        <v>2024</v>
      </c>
      <c r="F149" s="655">
        <f t="shared" si="16"/>
        <v>45657</v>
      </c>
      <c r="G149" s="658">
        <v>225000</v>
      </c>
      <c r="H149" s="685">
        <f t="shared" si="19"/>
        <v>225000</v>
      </c>
      <c r="I149" s="666">
        <v>0</v>
      </c>
      <c r="J149" s="760">
        <f t="shared" si="17"/>
        <v>225000</v>
      </c>
      <c r="K149" s="761"/>
    </row>
    <row r="150" spans="1:11" ht="31.5">
      <c r="A150" s="650">
        <v>147</v>
      </c>
      <c r="B150" s="651"/>
      <c r="C150" s="763" t="s">
        <v>11876</v>
      </c>
      <c r="D150" s="663" t="s">
        <v>11877</v>
      </c>
      <c r="E150" s="660">
        <f t="shared" si="15"/>
        <v>2024</v>
      </c>
      <c r="F150" s="655">
        <f t="shared" si="16"/>
        <v>45657</v>
      </c>
      <c r="G150" s="656"/>
      <c r="H150" s="657">
        <f>+H151+H152+H153</f>
        <v>0</v>
      </c>
      <c r="I150" s="657">
        <v>0</v>
      </c>
      <c r="J150" s="760">
        <f t="shared" si="17"/>
        <v>0</v>
      </c>
      <c r="K150" s="761"/>
    </row>
    <row r="151" spans="1:11">
      <c r="A151" s="650">
        <v>148</v>
      </c>
      <c r="B151" s="651"/>
      <c r="C151" s="664" t="s">
        <v>214</v>
      </c>
      <c r="D151" s="665" t="s">
        <v>1944</v>
      </c>
      <c r="E151" s="660">
        <f t="shared" si="15"/>
        <v>2024</v>
      </c>
      <c r="F151" s="655">
        <f t="shared" si="16"/>
        <v>45657</v>
      </c>
      <c r="G151" s="656">
        <v>0</v>
      </c>
      <c r="H151" s="666">
        <f>+G151</f>
        <v>0</v>
      </c>
      <c r="I151" s="666">
        <v>0</v>
      </c>
      <c r="J151" s="760">
        <f t="shared" si="17"/>
        <v>0</v>
      </c>
      <c r="K151" s="761"/>
    </row>
    <row r="152" spans="1:11" ht="21">
      <c r="A152" s="650">
        <v>149</v>
      </c>
      <c r="B152" s="651"/>
      <c r="C152" s="664" t="s">
        <v>215</v>
      </c>
      <c r="D152" s="665" t="s">
        <v>1951</v>
      </c>
      <c r="E152" s="660">
        <f t="shared" si="15"/>
        <v>2024</v>
      </c>
      <c r="F152" s="655">
        <f t="shared" si="16"/>
        <v>45657</v>
      </c>
      <c r="G152" s="656">
        <v>0</v>
      </c>
      <c r="H152" s="666">
        <f>+G152</f>
        <v>0</v>
      </c>
      <c r="I152" s="666">
        <v>0</v>
      </c>
      <c r="J152" s="760">
        <f t="shared" si="17"/>
        <v>0</v>
      </c>
      <c r="K152" s="761"/>
    </row>
    <row r="153" spans="1:11">
      <c r="A153" s="650">
        <v>150</v>
      </c>
      <c r="B153" s="651"/>
      <c r="C153" s="664" t="s">
        <v>216</v>
      </c>
      <c r="D153" s="665" t="s">
        <v>1955</v>
      </c>
      <c r="E153" s="660">
        <f t="shared" si="15"/>
        <v>2024</v>
      </c>
      <c r="F153" s="655">
        <f t="shared" si="16"/>
        <v>45657</v>
      </c>
      <c r="G153" s="656">
        <v>0</v>
      </c>
      <c r="H153" s="666">
        <f>+G153</f>
        <v>0</v>
      </c>
      <c r="I153" s="666">
        <v>0</v>
      </c>
      <c r="J153" s="760">
        <f t="shared" si="17"/>
        <v>0</v>
      </c>
      <c r="K153" s="761"/>
    </row>
    <row r="154" spans="1:11">
      <c r="A154" s="650">
        <v>151</v>
      </c>
      <c r="B154" s="651"/>
      <c r="C154" s="763" t="s">
        <v>217</v>
      </c>
      <c r="D154" s="663" t="s">
        <v>1962</v>
      </c>
      <c r="E154" s="660">
        <f t="shared" si="15"/>
        <v>2024</v>
      </c>
      <c r="F154" s="655">
        <f t="shared" si="16"/>
        <v>45657</v>
      </c>
      <c r="G154" s="656">
        <v>1208592.2</v>
      </c>
      <c r="H154" s="670">
        <f>+G154</f>
        <v>1208592.2</v>
      </c>
      <c r="I154" s="670">
        <v>371740</v>
      </c>
      <c r="J154" s="760">
        <f t="shared" si="17"/>
        <v>836852.2</v>
      </c>
      <c r="K154" s="761">
        <f t="shared" si="18"/>
        <v>225.11760908161619</v>
      </c>
    </row>
    <row r="155" spans="1:11">
      <c r="A155" s="650">
        <v>152</v>
      </c>
      <c r="B155" s="651"/>
      <c r="C155" s="662" t="s">
        <v>11878</v>
      </c>
      <c r="D155" s="663" t="s">
        <v>11879</v>
      </c>
      <c r="E155" s="660">
        <f t="shared" si="15"/>
        <v>2024</v>
      </c>
      <c r="F155" s="655">
        <f t="shared" si="16"/>
        <v>45657</v>
      </c>
      <c r="G155" s="656"/>
      <c r="H155" s="670">
        <f>+H156+H157+H158+H159+H160+H163</f>
        <v>34408395.079999998</v>
      </c>
      <c r="I155" s="670">
        <v>36087652</v>
      </c>
      <c r="J155" s="760">
        <f t="shared" si="17"/>
        <v>-1679256.9200000018</v>
      </c>
      <c r="K155" s="761">
        <f t="shared" si="18"/>
        <v>-4.6532728701773181</v>
      </c>
    </row>
    <row r="156" spans="1:11">
      <c r="A156" s="650">
        <v>153</v>
      </c>
      <c r="B156" s="651"/>
      <c r="C156" s="762" t="s">
        <v>218</v>
      </c>
      <c r="D156" s="665" t="s">
        <v>2010</v>
      </c>
      <c r="E156" s="660">
        <f t="shared" si="15"/>
        <v>2024</v>
      </c>
      <c r="F156" s="655">
        <f t="shared" si="16"/>
        <v>45657</v>
      </c>
      <c r="G156" s="656">
        <v>5198796.8600000003</v>
      </c>
      <c r="H156" s="666">
        <f>+G156</f>
        <v>5198796.8600000003</v>
      </c>
      <c r="I156" s="666">
        <v>5025096</v>
      </c>
      <c r="J156" s="760">
        <f>H156-I156</f>
        <v>173700.86000000034</v>
      </c>
      <c r="K156" s="761">
        <f t="shared" si="18"/>
        <v>3.4566674945115494</v>
      </c>
    </row>
    <row r="157" spans="1:11">
      <c r="A157" s="650">
        <v>154</v>
      </c>
      <c r="B157" s="651"/>
      <c r="C157" s="762" t="s">
        <v>219</v>
      </c>
      <c r="D157" s="665" t="s">
        <v>2053</v>
      </c>
      <c r="E157" s="660">
        <f t="shared" si="15"/>
        <v>2024</v>
      </c>
      <c r="F157" s="655">
        <f t="shared" si="16"/>
        <v>45657</v>
      </c>
      <c r="G157" s="656">
        <v>0</v>
      </c>
      <c r="H157" s="666">
        <f>+G157</f>
        <v>0</v>
      </c>
      <c r="I157" s="666">
        <v>0</v>
      </c>
      <c r="J157" s="760">
        <f t="shared" si="17"/>
        <v>0</v>
      </c>
      <c r="K157" s="761"/>
    </row>
    <row r="158" spans="1:11">
      <c r="A158" s="650">
        <v>155</v>
      </c>
      <c r="B158" s="651"/>
      <c r="C158" s="762" t="s">
        <v>220</v>
      </c>
      <c r="D158" s="665" t="s">
        <v>2057</v>
      </c>
      <c r="E158" s="660">
        <f t="shared" si="15"/>
        <v>2024</v>
      </c>
      <c r="F158" s="655">
        <f t="shared" si="16"/>
        <v>45657</v>
      </c>
      <c r="G158" s="656">
        <v>23461209.879999999</v>
      </c>
      <c r="H158" s="666">
        <f>+G158</f>
        <v>23461209.879999999</v>
      </c>
      <c r="I158" s="666">
        <v>26197448</v>
      </c>
      <c r="J158" s="760">
        <f t="shared" si="17"/>
        <v>-2736238.120000001</v>
      </c>
      <c r="K158" s="761">
        <f t="shared" si="18"/>
        <v>-10.444674305680465</v>
      </c>
    </row>
    <row r="159" spans="1:11" ht="21">
      <c r="A159" s="650">
        <v>156</v>
      </c>
      <c r="B159" s="651"/>
      <c r="C159" s="762" t="s">
        <v>221</v>
      </c>
      <c r="D159" s="665" t="s">
        <v>2071</v>
      </c>
      <c r="E159" s="660">
        <f t="shared" si="15"/>
        <v>2024</v>
      </c>
      <c r="F159" s="655">
        <f t="shared" si="16"/>
        <v>45657</v>
      </c>
      <c r="G159" s="656">
        <v>354690.59</v>
      </c>
      <c r="H159" s="666">
        <f>+G159</f>
        <v>354690.59</v>
      </c>
      <c r="I159" s="666">
        <v>308250</v>
      </c>
      <c r="J159" s="760">
        <f t="shared" si="17"/>
        <v>46440.590000000026</v>
      </c>
      <c r="K159" s="761">
        <f t="shared" si="18"/>
        <v>15.065884833738849</v>
      </c>
    </row>
    <row r="160" spans="1:11">
      <c r="A160" s="650">
        <v>157</v>
      </c>
      <c r="B160" s="651"/>
      <c r="C160" s="762" t="s">
        <v>222</v>
      </c>
      <c r="D160" s="665" t="s">
        <v>2076</v>
      </c>
      <c r="E160" s="660">
        <f t="shared" si="15"/>
        <v>2024</v>
      </c>
      <c r="F160" s="655">
        <f t="shared" si="16"/>
        <v>45657</v>
      </c>
      <c r="G160" s="656"/>
      <c r="H160" s="666">
        <f>+H161+H162</f>
        <v>5393652.75</v>
      </c>
      <c r="I160" s="685">
        <v>4556858</v>
      </c>
      <c r="J160" s="760">
        <f t="shared" si="17"/>
        <v>836794.75</v>
      </c>
      <c r="K160" s="761">
        <f t="shared" si="18"/>
        <v>18.363415098736894</v>
      </c>
    </row>
    <row r="161" spans="1:11">
      <c r="A161" s="650">
        <v>158</v>
      </c>
      <c r="B161" s="651"/>
      <c r="C161" s="664" t="s">
        <v>2080</v>
      </c>
      <c r="D161" s="686" t="s">
        <v>2081</v>
      </c>
      <c r="E161" s="660">
        <f t="shared" si="15"/>
        <v>2024</v>
      </c>
      <c r="F161" s="655">
        <f t="shared" si="16"/>
        <v>45657</v>
      </c>
      <c r="G161" s="656">
        <f>5455035.1-61382.35</f>
        <v>5393652.75</v>
      </c>
      <c r="H161" s="666">
        <f>+G161</f>
        <v>5393652.75</v>
      </c>
      <c r="I161" s="666">
        <v>4556858</v>
      </c>
      <c r="J161" s="760">
        <f t="shared" si="17"/>
        <v>836794.75</v>
      </c>
      <c r="K161" s="761">
        <f t="shared" si="18"/>
        <v>18.363415098736894</v>
      </c>
    </row>
    <row r="162" spans="1:11" ht="21">
      <c r="A162" s="650">
        <v>160</v>
      </c>
      <c r="B162" s="651"/>
      <c r="C162" s="687" t="s">
        <v>2158</v>
      </c>
      <c r="D162" s="688" t="s">
        <v>2159</v>
      </c>
      <c r="E162" s="660">
        <f t="shared" si="15"/>
        <v>2024</v>
      </c>
      <c r="F162" s="655">
        <f t="shared" si="16"/>
        <v>45657</v>
      </c>
      <c r="G162" s="656">
        <v>0</v>
      </c>
      <c r="H162" s="666">
        <f>+G162</f>
        <v>0</v>
      </c>
      <c r="I162" s="666">
        <v>0</v>
      </c>
      <c r="J162" s="760">
        <f t="shared" si="17"/>
        <v>0</v>
      </c>
      <c r="K162" s="761"/>
    </row>
    <row r="163" spans="1:11" ht="31.5">
      <c r="A163" s="650">
        <v>161</v>
      </c>
      <c r="B163" s="651"/>
      <c r="C163" s="762" t="s">
        <v>2205</v>
      </c>
      <c r="D163" s="688" t="s">
        <v>2206</v>
      </c>
      <c r="E163" s="660">
        <f t="shared" si="15"/>
        <v>2024</v>
      </c>
      <c r="F163" s="655">
        <f t="shared" si="16"/>
        <v>45657</v>
      </c>
      <c r="G163" s="656">
        <v>0</v>
      </c>
      <c r="H163" s="657">
        <f>+H164+H165</f>
        <v>45</v>
      </c>
      <c r="I163" s="657">
        <v>0</v>
      </c>
      <c r="J163" s="760">
        <f t="shared" si="17"/>
        <v>45</v>
      </c>
      <c r="K163" s="761"/>
    </row>
    <row r="164" spans="1:11" ht="31.5">
      <c r="A164" s="650">
        <v>162</v>
      </c>
      <c r="B164" s="651"/>
      <c r="C164" s="664" t="s">
        <v>2163</v>
      </c>
      <c r="D164" s="688" t="s">
        <v>2164</v>
      </c>
      <c r="E164" s="660">
        <f t="shared" si="15"/>
        <v>2024</v>
      </c>
      <c r="F164" s="655">
        <f t="shared" si="16"/>
        <v>45657</v>
      </c>
      <c r="G164" s="656">
        <v>45</v>
      </c>
      <c r="H164" s="666">
        <f>+G164</f>
        <v>45</v>
      </c>
      <c r="I164" s="666">
        <v>0</v>
      </c>
      <c r="J164" s="760">
        <f t="shared" si="17"/>
        <v>45</v>
      </c>
      <c r="K164" s="761"/>
    </row>
    <row r="165" spans="1:11" ht="21">
      <c r="A165" s="650">
        <v>163</v>
      </c>
      <c r="B165" s="651"/>
      <c r="C165" s="664" t="s">
        <v>2168</v>
      </c>
      <c r="D165" s="688" t="s">
        <v>2169</v>
      </c>
      <c r="E165" s="660">
        <f t="shared" si="15"/>
        <v>2024</v>
      </c>
      <c r="F165" s="655">
        <f t="shared" si="16"/>
        <v>45657</v>
      </c>
      <c r="G165" s="656"/>
      <c r="H165" s="666">
        <f>+G165</f>
        <v>0</v>
      </c>
      <c r="I165" s="666">
        <v>0</v>
      </c>
      <c r="J165" s="760">
        <f t="shared" si="17"/>
        <v>0</v>
      </c>
      <c r="K165" s="761"/>
    </row>
    <row r="166" spans="1:11" ht="31.5">
      <c r="A166" s="650">
        <v>164</v>
      </c>
      <c r="B166" s="651"/>
      <c r="C166" s="652" t="s">
        <v>2209</v>
      </c>
      <c r="D166" s="653" t="s">
        <v>11880</v>
      </c>
      <c r="E166" s="660">
        <f t="shared" si="15"/>
        <v>2024</v>
      </c>
      <c r="F166" s="655">
        <f t="shared" si="16"/>
        <v>45657</v>
      </c>
      <c r="G166" s="656"/>
      <c r="H166" s="657">
        <f>+H167+H168</f>
        <v>0</v>
      </c>
      <c r="I166" s="657">
        <v>0</v>
      </c>
      <c r="J166" s="760">
        <f t="shared" si="17"/>
        <v>0</v>
      </c>
      <c r="K166" s="761"/>
    </row>
    <row r="167" spans="1:11" ht="21">
      <c r="A167" s="650">
        <v>165</v>
      </c>
      <c r="B167" s="651"/>
      <c r="C167" s="662" t="s">
        <v>225</v>
      </c>
      <c r="D167" s="663" t="s">
        <v>2213</v>
      </c>
      <c r="E167" s="660">
        <f t="shared" si="15"/>
        <v>2024</v>
      </c>
      <c r="F167" s="655">
        <f t="shared" si="16"/>
        <v>45657</v>
      </c>
      <c r="G167" s="656">
        <v>0</v>
      </c>
      <c r="H167" s="666">
        <f>+G167</f>
        <v>0</v>
      </c>
      <c r="I167" s="666">
        <v>0</v>
      </c>
      <c r="J167" s="760">
        <f t="shared" si="17"/>
        <v>0</v>
      </c>
      <c r="K167" s="761"/>
    </row>
    <row r="168" spans="1:11" ht="21">
      <c r="A168" s="650">
        <v>166</v>
      </c>
      <c r="B168" s="651"/>
      <c r="C168" s="662" t="s">
        <v>224</v>
      </c>
      <c r="D168" s="663" t="s">
        <v>2219</v>
      </c>
      <c r="E168" s="660">
        <f t="shared" si="15"/>
        <v>2024</v>
      </c>
      <c r="F168" s="655">
        <f t="shared" si="16"/>
        <v>45657</v>
      </c>
      <c r="G168" s="656">
        <v>0</v>
      </c>
      <c r="H168" s="666">
        <f>+G168</f>
        <v>0</v>
      </c>
      <c r="I168" s="666">
        <v>0</v>
      </c>
      <c r="J168" s="760">
        <f t="shared" si="17"/>
        <v>0</v>
      </c>
      <c r="K168" s="761"/>
    </row>
    <row r="169" spans="1:11">
      <c r="A169" s="650">
        <v>167</v>
      </c>
      <c r="B169" s="651"/>
      <c r="C169" s="652" t="s">
        <v>2220</v>
      </c>
      <c r="D169" s="653" t="s">
        <v>11881</v>
      </c>
      <c r="E169" s="660">
        <f t="shared" si="15"/>
        <v>2024</v>
      </c>
      <c r="F169" s="655">
        <f t="shared" si="16"/>
        <v>45657</v>
      </c>
      <c r="G169" s="656"/>
      <c r="H169" s="670">
        <f>+H170+H171+H172+H173</f>
        <v>4191148.92</v>
      </c>
      <c r="I169" s="670">
        <v>4498399</v>
      </c>
      <c r="J169" s="760">
        <f t="shared" si="17"/>
        <v>-307250.08000000007</v>
      </c>
      <c r="K169" s="761">
        <f t="shared" si="18"/>
        <v>-6.8302095923460797</v>
      </c>
    </row>
    <row r="170" spans="1:11">
      <c r="A170" s="650">
        <v>168</v>
      </c>
      <c r="B170" s="651"/>
      <c r="C170" s="662" t="s">
        <v>226</v>
      </c>
      <c r="D170" s="663" t="s">
        <v>2226</v>
      </c>
      <c r="E170" s="660">
        <f t="shared" si="15"/>
        <v>2024</v>
      </c>
      <c r="F170" s="655">
        <f t="shared" si="16"/>
        <v>45657</v>
      </c>
      <c r="G170" s="656">
        <v>22578.9</v>
      </c>
      <c r="H170" s="666">
        <f>+G170</f>
        <v>22578.9</v>
      </c>
      <c r="I170" s="666">
        <v>26261</v>
      </c>
      <c r="J170" s="760">
        <f t="shared" si="17"/>
        <v>-3682.0999999999985</v>
      </c>
      <c r="K170" s="761">
        <f t="shared" si="18"/>
        <v>-14.021172080271114</v>
      </c>
    </row>
    <row r="171" spans="1:11">
      <c r="A171" s="650">
        <v>169</v>
      </c>
      <c r="B171" s="651"/>
      <c r="C171" s="662" t="s">
        <v>227</v>
      </c>
      <c r="D171" s="663" t="s">
        <v>2272</v>
      </c>
      <c r="E171" s="660">
        <f t="shared" si="15"/>
        <v>2024</v>
      </c>
      <c r="F171" s="655">
        <f t="shared" si="16"/>
        <v>45657</v>
      </c>
      <c r="G171" s="656">
        <v>4162598.87</v>
      </c>
      <c r="H171" s="666">
        <f>+G171</f>
        <v>4162598.87</v>
      </c>
      <c r="I171" s="666">
        <v>4446331</v>
      </c>
      <c r="J171" s="760">
        <f t="shared" si="17"/>
        <v>-283732.12999999989</v>
      </c>
      <c r="K171" s="761">
        <f t="shared" si="18"/>
        <v>-6.3812642378626236</v>
      </c>
    </row>
    <row r="172" spans="1:11">
      <c r="A172" s="650">
        <v>170</v>
      </c>
      <c r="B172" s="651"/>
      <c r="C172" s="662" t="s">
        <v>228</v>
      </c>
      <c r="D172" s="663" t="s">
        <v>2290</v>
      </c>
      <c r="E172" s="660">
        <f t="shared" si="15"/>
        <v>2024</v>
      </c>
      <c r="F172" s="655">
        <f t="shared" si="16"/>
        <v>45657</v>
      </c>
      <c r="G172" s="656">
        <v>0</v>
      </c>
      <c r="H172" s="666">
        <f>+G172</f>
        <v>0</v>
      </c>
      <c r="I172" s="666">
        <v>0</v>
      </c>
      <c r="J172" s="760">
        <f t="shared" si="17"/>
        <v>0</v>
      </c>
      <c r="K172" s="761"/>
    </row>
    <row r="173" spans="1:11">
      <c r="A173" s="650">
        <v>171</v>
      </c>
      <c r="B173" s="651"/>
      <c r="C173" s="662" t="s">
        <v>229</v>
      </c>
      <c r="D173" s="663" t="s">
        <v>2294</v>
      </c>
      <c r="E173" s="660">
        <f t="shared" si="15"/>
        <v>2024</v>
      </c>
      <c r="F173" s="655">
        <f t="shared" si="16"/>
        <v>45657</v>
      </c>
      <c r="G173" s="656">
        <v>5971.15</v>
      </c>
      <c r="H173" s="666">
        <f>+G173</f>
        <v>5971.15</v>
      </c>
      <c r="I173" s="666">
        <v>25807</v>
      </c>
      <c r="J173" s="760">
        <f t="shared" si="17"/>
        <v>-19835.849999999999</v>
      </c>
      <c r="K173" s="761">
        <f t="shared" si="18"/>
        <v>-76.862285426434681</v>
      </c>
    </row>
    <row r="174" spans="1:11">
      <c r="A174" s="650">
        <v>172</v>
      </c>
      <c r="B174" s="651"/>
      <c r="C174" s="652" t="s">
        <v>2299</v>
      </c>
      <c r="D174" s="653" t="s">
        <v>11882</v>
      </c>
      <c r="E174" s="660">
        <f t="shared" si="15"/>
        <v>2024</v>
      </c>
      <c r="F174" s="655">
        <f t="shared" si="16"/>
        <v>45657</v>
      </c>
      <c r="G174" s="656"/>
      <c r="H174" s="670">
        <f>+H175+H178</f>
        <v>0</v>
      </c>
      <c r="I174" s="670">
        <v>0</v>
      </c>
      <c r="J174" s="760">
        <f t="shared" si="17"/>
        <v>0</v>
      </c>
      <c r="K174" s="761"/>
    </row>
    <row r="175" spans="1:11">
      <c r="A175" s="650">
        <v>173</v>
      </c>
      <c r="B175" s="651"/>
      <c r="C175" s="652" t="s">
        <v>2300</v>
      </c>
      <c r="D175" s="653" t="s">
        <v>2301</v>
      </c>
      <c r="E175" s="660">
        <f t="shared" si="15"/>
        <v>2024</v>
      </c>
      <c r="F175" s="655">
        <f t="shared" si="16"/>
        <v>45657</v>
      </c>
      <c r="G175" s="656"/>
      <c r="H175" s="670">
        <f>+H176+H177</f>
        <v>0</v>
      </c>
      <c r="I175" s="670">
        <v>0</v>
      </c>
      <c r="J175" s="760">
        <f t="shared" si="17"/>
        <v>0</v>
      </c>
      <c r="K175" s="761"/>
    </row>
    <row r="176" spans="1:11">
      <c r="A176" s="650">
        <v>174</v>
      </c>
      <c r="B176" s="651"/>
      <c r="C176" s="662" t="s">
        <v>2303</v>
      </c>
      <c r="D176" s="663" t="s">
        <v>2305</v>
      </c>
      <c r="E176" s="660">
        <f t="shared" si="15"/>
        <v>2024</v>
      </c>
      <c r="F176" s="655">
        <f t="shared" si="16"/>
        <v>45657</v>
      </c>
      <c r="G176" s="656">
        <v>0</v>
      </c>
      <c r="H176" s="666">
        <f>+G176</f>
        <v>0</v>
      </c>
      <c r="I176" s="666">
        <v>0</v>
      </c>
      <c r="J176" s="760">
        <f t="shared" si="17"/>
        <v>0</v>
      </c>
      <c r="K176" s="761"/>
    </row>
    <row r="177" spans="1:11" ht="21">
      <c r="A177" s="650">
        <v>175</v>
      </c>
      <c r="B177" s="651" t="s">
        <v>1519</v>
      </c>
      <c r="C177" s="662" t="s">
        <v>2316</v>
      </c>
      <c r="D177" s="663" t="s">
        <v>2317</v>
      </c>
      <c r="E177" s="660">
        <f t="shared" si="15"/>
        <v>2024</v>
      </c>
      <c r="F177" s="655">
        <f t="shared" si="16"/>
        <v>45657</v>
      </c>
      <c r="G177" s="656">
        <v>0</v>
      </c>
      <c r="H177" s="666">
        <f>+G177</f>
        <v>0</v>
      </c>
      <c r="I177" s="666">
        <v>0</v>
      </c>
      <c r="J177" s="760">
        <f t="shared" si="17"/>
        <v>0</v>
      </c>
      <c r="K177" s="761"/>
    </row>
    <row r="178" spans="1:11">
      <c r="A178" s="650">
        <v>176</v>
      </c>
      <c r="B178" s="651"/>
      <c r="C178" s="652" t="s">
        <v>2324</v>
      </c>
      <c r="D178" s="653" t="s">
        <v>11883</v>
      </c>
      <c r="E178" s="660">
        <f t="shared" si="15"/>
        <v>2024</v>
      </c>
      <c r="F178" s="655">
        <f t="shared" si="16"/>
        <v>45657</v>
      </c>
      <c r="G178" s="656"/>
      <c r="H178" s="670">
        <f>+H179+H180</f>
        <v>0</v>
      </c>
      <c r="I178" s="670">
        <v>0</v>
      </c>
      <c r="J178" s="760">
        <f t="shared" si="17"/>
        <v>0</v>
      </c>
      <c r="K178" s="761"/>
    </row>
    <row r="179" spans="1:11">
      <c r="A179" s="650">
        <v>177</v>
      </c>
      <c r="B179" s="651"/>
      <c r="C179" s="662" t="s">
        <v>2326</v>
      </c>
      <c r="D179" s="663" t="s">
        <v>2329</v>
      </c>
      <c r="E179" s="660">
        <f t="shared" si="15"/>
        <v>2024</v>
      </c>
      <c r="F179" s="655">
        <f t="shared" si="16"/>
        <v>45657</v>
      </c>
      <c r="G179" s="656">
        <v>0</v>
      </c>
      <c r="H179" s="666">
        <f>+G179</f>
        <v>0</v>
      </c>
      <c r="I179" s="666">
        <v>0</v>
      </c>
      <c r="J179" s="760">
        <f t="shared" si="17"/>
        <v>0</v>
      </c>
      <c r="K179" s="761"/>
    </row>
    <row r="180" spans="1:11" ht="21">
      <c r="A180" s="650">
        <v>178</v>
      </c>
      <c r="B180" s="651" t="s">
        <v>1519</v>
      </c>
      <c r="C180" s="662" t="s">
        <v>2340</v>
      </c>
      <c r="D180" s="663" t="s">
        <v>2341</v>
      </c>
      <c r="E180" s="660">
        <f t="shared" si="15"/>
        <v>2024</v>
      </c>
      <c r="F180" s="655">
        <f t="shared" si="16"/>
        <v>45657</v>
      </c>
      <c r="G180" s="656">
        <v>0</v>
      </c>
      <c r="H180" s="666">
        <f>+G180</f>
        <v>0</v>
      </c>
      <c r="I180" s="666">
        <v>0</v>
      </c>
      <c r="J180" s="760">
        <f t="shared" si="17"/>
        <v>0</v>
      </c>
      <c r="K180" s="761"/>
    </row>
    <row r="181" spans="1:11">
      <c r="A181" s="650">
        <v>179</v>
      </c>
      <c r="B181" s="651"/>
      <c r="C181" s="689" t="s">
        <v>11884</v>
      </c>
      <c r="D181" s="690" t="s">
        <v>11885</v>
      </c>
      <c r="E181" s="660">
        <f t="shared" si="15"/>
        <v>2024</v>
      </c>
      <c r="F181" s="655">
        <f t="shared" si="16"/>
        <v>45657</v>
      </c>
      <c r="G181" s="656"/>
      <c r="H181" s="670">
        <f>+H4+H82+H174</f>
        <v>304320706.61000001</v>
      </c>
      <c r="I181" s="670">
        <v>298130366</v>
      </c>
      <c r="J181" s="760">
        <f t="shared" si="17"/>
        <v>6190340.6100000143</v>
      </c>
      <c r="K181" s="761">
        <f t="shared" si="18"/>
        <v>2.0763871500429474</v>
      </c>
    </row>
    <row r="182" spans="1:11">
      <c r="A182" s="650">
        <v>180</v>
      </c>
      <c r="B182" s="651"/>
      <c r="C182" s="691" t="s">
        <v>2352</v>
      </c>
      <c r="D182" s="692" t="s">
        <v>11886</v>
      </c>
      <c r="E182" s="660">
        <f t="shared" si="15"/>
        <v>2024</v>
      </c>
      <c r="F182" s="655">
        <f t="shared" si="16"/>
        <v>45657</v>
      </c>
      <c r="G182" s="656"/>
      <c r="H182" s="670">
        <f>+H183+H184+H185+H186+H187</f>
        <v>290984078.96999997</v>
      </c>
      <c r="I182" s="670">
        <v>290984079</v>
      </c>
      <c r="J182" s="760">
        <f t="shared" si="17"/>
        <v>-3.0000030994415283E-2</v>
      </c>
      <c r="K182" s="761">
        <f t="shared" si="18"/>
        <v>-1.0309847198186617E-8</v>
      </c>
    </row>
    <row r="183" spans="1:11" ht="21">
      <c r="A183" s="650">
        <v>181</v>
      </c>
      <c r="B183" s="651"/>
      <c r="C183" s="691" t="s">
        <v>2354</v>
      </c>
      <c r="D183" s="693" t="s">
        <v>2355</v>
      </c>
      <c r="E183" s="660">
        <f t="shared" si="15"/>
        <v>2024</v>
      </c>
      <c r="F183" s="655">
        <f t="shared" si="16"/>
        <v>45657</v>
      </c>
      <c r="G183" s="656">
        <v>0</v>
      </c>
      <c r="H183" s="666">
        <f>+G183</f>
        <v>0</v>
      </c>
      <c r="I183" s="666">
        <v>0</v>
      </c>
      <c r="J183" s="760">
        <f t="shared" si="17"/>
        <v>0</v>
      </c>
      <c r="K183" s="761"/>
    </row>
    <row r="184" spans="1:11">
      <c r="A184" s="650">
        <v>182</v>
      </c>
      <c r="B184" s="651"/>
      <c r="C184" s="691" t="s">
        <v>2358</v>
      </c>
      <c r="D184" s="693" t="s">
        <v>2359</v>
      </c>
      <c r="E184" s="660">
        <f t="shared" si="15"/>
        <v>2024</v>
      </c>
      <c r="F184" s="655">
        <f t="shared" si="16"/>
        <v>45657</v>
      </c>
      <c r="G184" s="656">
        <v>0</v>
      </c>
      <c r="H184" s="666">
        <f>+G184</f>
        <v>0</v>
      </c>
      <c r="I184" s="666">
        <v>0</v>
      </c>
      <c r="J184" s="760">
        <f t="shared" si="17"/>
        <v>0</v>
      </c>
      <c r="K184" s="761"/>
    </row>
    <row r="185" spans="1:11">
      <c r="A185" s="650">
        <v>183</v>
      </c>
      <c r="B185" s="651"/>
      <c r="C185" s="691" t="s">
        <v>2362</v>
      </c>
      <c r="D185" s="693" t="s">
        <v>2363</v>
      </c>
      <c r="E185" s="660">
        <f t="shared" si="15"/>
        <v>2024</v>
      </c>
      <c r="F185" s="655">
        <f t="shared" si="16"/>
        <v>45657</v>
      </c>
      <c r="G185" s="656">
        <v>287897837.58999997</v>
      </c>
      <c r="H185" s="666">
        <f>+G185</f>
        <v>287897837.58999997</v>
      </c>
      <c r="I185" s="666">
        <v>287897838</v>
      </c>
      <c r="J185" s="760">
        <f t="shared" si="17"/>
        <v>-0.4100000262260437</v>
      </c>
      <c r="K185" s="761">
        <f t="shared" si="18"/>
        <v>-1.4241163626138587E-7</v>
      </c>
    </row>
    <row r="186" spans="1:11" ht="21">
      <c r="A186" s="650">
        <v>184</v>
      </c>
      <c r="B186" s="651"/>
      <c r="C186" s="691" t="s">
        <v>2367</v>
      </c>
      <c r="D186" s="693" t="s">
        <v>2368</v>
      </c>
      <c r="E186" s="660">
        <f t="shared" si="15"/>
        <v>2024</v>
      </c>
      <c r="F186" s="655">
        <f t="shared" si="16"/>
        <v>45657</v>
      </c>
      <c r="G186" s="656">
        <v>0</v>
      </c>
      <c r="H186" s="666">
        <f>+G186</f>
        <v>0</v>
      </c>
      <c r="I186" s="666">
        <v>0</v>
      </c>
      <c r="J186" s="760">
        <f t="shared" si="17"/>
        <v>0</v>
      </c>
      <c r="K186" s="761"/>
    </row>
    <row r="187" spans="1:11">
      <c r="A187" s="650">
        <v>185</v>
      </c>
      <c r="B187" s="651"/>
      <c r="C187" s="691" t="s">
        <v>2371</v>
      </c>
      <c r="D187" s="693" t="s">
        <v>2372</v>
      </c>
      <c r="E187" s="660">
        <f t="shared" si="15"/>
        <v>2024</v>
      </c>
      <c r="F187" s="655">
        <f t="shared" si="16"/>
        <v>45657</v>
      </c>
      <c r="G187" s="656">
        <v>3086241.38</v>
      </c>
      <c r="H187" s="666">
        <f>+G187</f>
        <v>3086241.38</v>
      </c>
      <c r="I187" s="666">
        <v>3086241</v>
      </c>
      <c r="J187" s="760">
        <f t="shared" si="17"/>
        <v>0.37999999988824129</v>
      </c>
      <c r="K187" s="761">
        <f t="shared" si="18"/>
        <v>1.2312713096207517E-5</v>
      </c>
    </row>
    <row r="188" spans="1:11">
      <c r="A188" s="650">
        <v>186</v>
      </c>
      <c r="B188" s="651"/>
      <c r="C188" s="652" t="s">
        <v>2390</v>
      </c>
      <c r="D188" s="653" t="s">
        <v>11887</v>
      </c>
      <c r="E188" s="660">
        <f t="shared" si="15"/>
        <v>2024</v>
      </c>
      <c r="F188" s="655">
        <f t="shared" si="16"/>
        <v>45657</v>
      </c>
      <c r="G188" s="656"/>
      <c r="H188" s="670">
        <f>+H189+H190+H199+H200+H206+H210+H211</f>
        <v>137794703.13</v>
      </c>
      <c r="I188" s="670">
        <v>137611931</v>
      </c>
      <c r="J188" s="760">
        <f t="shared" si="17"/>
        <v>182772.12999999523</v>
      </c>
      <c r="K188" s="761">
        <f t="shared" si="18"/>
        <v>0.13281706656668746</v>
      </c>
    </row>
    <row r="189" spans="1:11">
      <c r="A189" s="650">
        <v>187</v>
      </c>
      <c r="B189" s="651"/>
      <c r="C189" s="652" t="s">
        <v>230</v>
      </c>
      <c r="D189" s="653" t="s">
        <v>2393</v>
      </c>
      <c r="E189" s="660">
        <f t="shared" si="15"/>
        <v>2024</v>
      </c>
      <c r="F189" s="655">
        <f t="shared" si="16"/>
        <v>45657</v>
      </c>
      <c r="G189" s="656">
        <v>10821541.51</v>
      </c>
      <c r="H189" s="666">
        <f>+G189</f>
        <v>10821541.51</v>
      </c>
      <c r="I189" s="666">
        <v>10821542</v>
      </c>
      <c r="J189" s="760">
        <f t="shared" si="17"/>
        <v>-0.49000000022351742</v>
      </c>
      <c r="K189" s="761">
        <f t="shared" si="18"/>
        <v>-4.5280053484475502E-6</v>
      </c>
    </row>
    <row r="190" spans="1:11" ht="21">
      <c r="A190" s="650">
        <v>188</v>
      </c>
      <c r="B190" s="651"/>
      <c r="C190" s="652" t="s">
        <v>231</v>
      </c>
      <c r="D190" s="653" t="s">
        <v>2400</v>
      </c>
      <c r="E190" s="660">
        <f t="shared" si="15"/>
        <v>2024</v>
      </c>
      <c r="F190" s="655">
        <f t="shared" si="16"/>
        <v>45657</v>
      </c>
      <c r="G190" s="656"/>
      <c r="H190" s="670">
        <f>+H191+H192+H196+H197+H198</f>
        <v>108428615.37999998</v>
      </c>
      <c r="I190" s="670">
        <v>108121025</v>
      </c>
      <c r="J190" s="760">
        <f t="shared" si="17"/>
        <v>307590.37999998033</v>
      </c>
      <c r="K190" s="761">
        <f t="shared" si="18"/>
        <v>0.28448711062438292</v>
      </c>
    </row>
    <row r="191" spans="1:11" ht="21">
      <c r="A191" s="650">
        <v>189</v>
      </c>
      <c r="B191" s="651"/>
      <c r="C191" s="662" t="s">
        <v>232</v>
      </c>
      <c r="D191" s="663" t="s">
        <v>2402</v>
      </c>
      <c r="E191" s="660">
        <f t="shared" si="15"/>
        <v>2024</v>
      </c>
      <c r="F191" s="655">
        <f t="shared" si="16"/>
        <v>45657</v>
      </c>
      <c r="G191" s="656">
        <v>0</v>
      </c>
      <c r="H191" s="666">
        <f>+G191</f>
        <v>0</v>
      </c>
      <c r="I191" s="666">
        <v>0</v>
      </c>
      <c r="J191" s="760">
        <f t="shared" si="17"/>
        <v>0</v>
      </c>
      <c r="K191" s="761"/>
    </row>
    <row r="192" spans="1:11" ht="21">
      <c r="A192" s="650">
        <v>190</v>
      </c>
      <c r="B192" s="651"/>
      <c r="C192" s="662" t="s">
        <v>233</v>
      </c>
      <c r="D192" s="663" t="s">
        <v>11888</v>
      </c>
      <c r="E192" s="660">
        <f t="shared" si="15"/>
        <v>2024</v>
      </c>
      <c r="F192" s="655">
        <f t="shared" si="16"/>
        <v>45657</v>
      </c>
      <c r="G192" s="656"/>
      <c r="H192" s="657">
        <f>+H193+H194+H195</f>
        <v>24877957.209999997</v>
      </c>
      <c r="I192" s="657">
        <v>30322548</v>
      </c>
      <c r="J192" s="760">
        <f t="shared" si="17"/>
        <v>-5444590.7900000028</v>
      </c>
      <c r="K192" s="761">
        <f t="shared" si="18"/>
        <v>-17.955584702182691</v>
      </c>
    </row>
    <row r="193" spans="1:11" ht="21">
      <c r="A193" s="650">
        <v>191</v>
      </c>
      <c r="B193" s="651"/>
      <c r="C193" s="664" t="s">
        <v>234</v>
      </c>
      <c r="D193" s="665" t="s">
        <v>2405</v>
      </c>
      <c r="E193" s="660">
        <f t="shared" si="15"/>
        <v>2024</v>
      </c>
      <c r="F193" s="655">
        <f t="shared" si="16"/>
        <v>45657</v>
      </c>
      <c r="G193" s="656">
        <v>129454.79</v>
      </c>
      <c r="H193" s="666">
        <f t="shared" ref="H193:H199" si="20">+G193</f>
        <v>129454.79</v>
      </c>
      <c r="I193" s="666">
        <v>129453</v>
      </c>
      <c r="J193" s="760">
        <f t="shared" si="17"/>
        <v>1.7899999999935972</v>
      </c>
      <c r="K193" s="761">
        <f t="shared" si="18"/>
        <v>1.3827412265356998E-3</v>
      </c>
    </row>
    <row r="194" spans="1:11" ht="21">
      <c r="A194" s="650">
        <v>192</v>
      </c>
      <c r="B194" s="651"/>
      <c r="C194" s="664" t="s">
        <v>235</v>
      </c>
      <c r="D194" s="665" t="s">
        <v>2413</v>
      </c>
      <c r="E194" s="660">
        <f t="shared" si="15"/>
        <v>2024</v>
      </c>
      <c r="F194" s="655">
        <f t="shared" si="16"/>
        <v>45657</v>
      </c>
      <c r="G194" s="656">
        <v>0</v>
      </c>
      <c r="H194" s="666">
        <f t="shared" si="20"/>
        <v>0</v>
      </c>
      <c r="I194" s="666">
        <v>0</v>
      </c>
      <c r="J194" s="760">
        <f t="shared" si="17"/>
        <v>0</v>
      </c>
      <c r="K194" s="761"/>
    </row>
    <row r="195" spans="1:11" ht="21">
      <c r="A195" s="650">
        <v>193</v>
      </c>
      <c r="B195" s="651"/>
      <c r="C195" s="664" t="s">
        <v>236</v>
      </c>
      <c r="D195" s="665" t="s">
        <v>2419</v>
      </c>
      <c r="E195" s="660">
        <f t="shared" si="15"/>
        <v>2024</v>
      </c>
      <c r="F195" s="655">
        <f t="shared" si="16"/>
        <v>45657</v>
      </c>
      <c r="G195" s="656">
        <v>24748502.419999998</v>
      </c>
      <c r="H195" s="666">
        <f t="shared" si="20"/>
        <v>24748502.419999998</v>
      </c>
      <c r="I195" s="666">
        <v>30193095</v>
      </c>
      <c r="J195" s="760">
        <f t="shared" si="17"/>
        <v>-5444592.5800000019</v>
      </c>
      <c r="K195" s="761">
        <f t="shared" si="18"/>
        <v>-18.032575262655257</v>
      </c>
    </row>
    <row r="196" spans="1:11" ht="21">
      <c r="A196" s="650">
        <v>194</v>
      </c>
      <c r="B196" s="651"/>
      <c r="C196" s="662" t="s">
        <v>237</v>
      </c>
      <c r="D196" s="663" t="s">
        <v>2444</v>
      </c>
      <c r="E196" s="660">
        <f t="shared" si="15"/>
        <v>2024</v>
      </c>
      <c r="F196" s="655">
        <f t="shared" si="16"/>
        <v>45657</v>
      </c>
      <c r="G196" s="656">
        <v>25776094.859999999</v>
      </c>
      <c r="H196" s="666">
        <f t="shared" si="20"/>
        <v>25776094.859999999</v>
      </c>
      <c r="I196" s="666">
        <v>21308703</v>
      </c>
      <c r="J196" s="760">
        <f t="shared" si="17"/>
        <v>4467391.8599999994</v>
      </c>
      <c r="K196" s="761">
        <f t="shared" si="18"/>
        <v>20.965104539680326</v>
      </c>
    </row>
    <row r="197" spans="1:11" ht="21">
      <c r="A197" s="650">
        <v>195</v>
      </c>
      <c r="B197" s="651"/>
      <c r="C197" s="662" t="s">
        <v>238</v>
      </c>
      <c r="D197" s="663" t="s">
        <v>2522</v>
      </c>
      <c r="E197" s="660">
        <f t="shared" ref="E197:E260" si="21">E196</f>
        <v>2024</v>
      </c>
      <c r="F197" s="655">
        <f t="shared" ref="F197:F260" si="22">+F196</f>
        <v>45657</v>
      </c>
      <c r="G197" s="656">
        <v>1708767.73</v>
      </c>
      <c r="H197" s="666">
        <f t="shared" si="20"/>
        <v>1708767.73</v>
      </c>
      <c r="I197" s="666">
        <v>55200</v>
      </c>
      <c r="J197" s="760">
        <f t="shared" ref="J197:J260" si="23">H197-I197</f>
        <v>1653567.73</v>
      </c>
      <c r="K197" s="761">
        <f t="shared" ref="K197:K249" si="24">H197/I197*100-100</f>
        <v>2995.5937137681158</v>
      </c>
    </row>
    <row r="198" spans="1:11" ht="31.5">
      <c r="A198" s="650">
        <v>196</v>
      </c>
      <c r="B198" s="651"/>
      <c r="C198" s="662" t="s">
        <v>239</v>
      </c>
      <c r="D198" s="663" t="s">
        <v>2530</v>
      </c>
      <c r="E198" s="660">
        <f t="shared" si="21"/>
        <v>2024</v>
      </c>
      <c r="F198" s="655">
        <f t="shared" si="22"/>
        <v>45657</v>
      </c>
      <c r="G198" s="656">
        <v>56065795.579999991</v>
      </c>
      <c r="H198" s="666">
        <f t="shared" si="20"/>
        <v>56065795.579999991</v>
      </c>
      <c r="I198" s="666">
        <v>56434574</v>
      </c>
      <c r="J198" s="760">
        <f t="shared" si="23"/>
        <v>-368778.42000000924</v>
      </c>
      <c r="K198" s="761">
        <f t="shared" si="24"/>
        <v>-0.65346186541606244</v>
      </c>
    </row>
    <row r="199" spans="1:11" ht="31.5">
      <c r="A199" s="650">
        <v>197</v>
      </c>
      <c r="B199" s="651"/>
      <c r="C199" s="652" t="s">
        <v>240</v>
      </c>
      <c r="D199" s="653" t="s">
        <v>2608</v>
      </c>
      <c r="E199" s="660">
        <f t="shared" si="21"/>
        <v>2024</v>
      </c>
      <c r="F199" s="655">
        <f t="shared" si="22"/>
        <v>45657</v>
      </c>
      <c r="G199" s="656">
        <v>1296320.1199999999</v>
      </c>
      <c r="H199" s="666">
        <f t="shared" si="20"/>
        <v>1296320.1199999999</v>
      </c>
      <c r="I199" s="666">
        <v>1570542</v>
      </c>
      <c r="J199" s="760">
        <f t="shared" si="23"/>
        <v>-274221.88000000012</v>
      </c>
      <c r="K199" s="761">
        <f t="shared" si="24"/>
        <v>-17.460334075752201</v>
      </c>
    </row>
    <row r="200" spans="1:11">
      <c r="A200" s="650">
        <v>198</v>
      </c>
      <c r="B200" s="651"/>
      <c r="C200" s="652" t="s">
        <v>241</v>
      </c>
      <c r="D200" s="653" t="s">
        <v>2657</v>
      </c>
      <c r="E200" s="660">
        <f t="shared" si="21"/>
        <v>2024</v>
      </c>
      <c r="F200" s="655">
        <f t="shared" si="22"/>
        <v>45657</v>
      </c>
      <c r="G200" s="656"/>
      <c r="H200" s="657">
        <f>+H201+H202+H203+H204+H205</f>
        <v>0</v>
      </c>
      <c r="I200" s="657">
        <v>0</v>
      </c>
      <c r="J200" s="760">
        <f t="shared" si="23"/>
        <v>0</v>
      </c>
      <c r="K200" s="761"/>
    </row>
    <row r="201" spans="1:11">
      <c r="A201" s="650">
        <v>199</v>
      </c>
      <c r="B201" s="651"/>
      <c r="C201" s="662" t="s">
        <v>242</v>
      </c>
      <c r="D201" s="663" t="s">
        <v>2659</v>
      </c>
      <c r="E201" s="660">
        <f t="shared" si="21"/>
        <v>2024</v>
      </c>
      <c r="F201" s="655">
        <f t="shared" si="22"/>
        <v>45657</v>
      </c>
      <c r="G201" s="656">
        <v>0</v>
      </c>
      <c r="H201" s="666">
        <f>+G201</f>
        <v>0</v>
      </c>
      <c r="I201" s="666">
        <v>0</v>
      </c>
      <c r="J201" s="760">
        <f t="shared" si="23"/>
        <v>0</v>
      </c>
      <c r="K201" s="761"/>
    </row>
    <row r="202" spans="1:11" ht="21">
      <c r="A202" s="650">
        <v>200</v>
      </c>
      <c r="B202" s="651"/>
      <c r="C202" s="662" t="s">
        <v>243</v>
      </c>
      <c r="D202" s="663" t="s">
        <v>2663</v>
      </c>
      <c r="E202" s="660">
        <f t="shared" si="21"/>
        <v>2024</v>
      </c>
      <c r="F202" s="655">
        <f t="shared" si="22"/>
        <v>45657</v>
      </c>
      <c r="G202" s="656">
        <v>0</v>
      </c>
      <c r="H202" s="666">
        <f>+G202</f>
        <v>0</v>
      </c>
      <c r="I202" s="666">
        <v>0</v>
      </c>
      <c r="J202" s="760">
        <f t="shared" si="23"/>
        <v>0</v>
      </c>
      <c r="K202" s="761"/>
    </row>
    <row r="203" spans="1:11">
      <c r="A203" s="650">
        <v>201</v>
      </c>
      <c r="B203" s="651"/>
      <c r="C203" s="662" t="s">
        <v>244</v>
      </c>
      <c r="D203" s="663" t="s">
        <v>2667</v>
      </c>
      <c r="E203" s="660">
        <f t="shared" si="21"/>
        <v>2024</v>
      </c>
      <c r="F203" s="655">
        <f t="shared" si="22"/>
        <v>45657</v>
      </c>
      <c r="G203" s="656">
        <v>0</v>
      </c>
      <c r="H203" s="666">
        <f>+G203</f>
        <v>0</v>
      </c>
      <c r="I203" s="666">
        <v>0</v>
      </c>
      <c r="J203" s="760">
        <f t="shared" si="23"/>
        <v>0</v>
      </c>
      <c r="K203" s="761"/>
    </row>
    <row r="204" spans="1:11" ht="31.5">
      <c r="A204" s="650">
        <v>202</v>
      </c>
      <c r="B204" s="651"/>
      <c r="C204" s="662" t="s">
        <v>245</v>
      </c>
      <c r="D204" s="663" t="s">
        <v>2671</v>
      </c>
      <c r="E204" s="660">
        <f t="shared" si="21"/>
        <v>2024</v>
      </c>
      <c r="F204" s="655">
        <f t="shared" si="22"/>
        <v>45657</v>
      </c>
      <c r="G204" s="656">
        <v>0</v>
      </c>
      <c r="H204" s="666">
        <f>+G204</f>
        <v>0</v>
      </c>
      <c r="I204" s="666">
        <v>0</v>
      </c>
      <c r="J204" s="760">
        <f t="shared" si="23"/>
        <v>0</v>
      </c>
      <c r="K204" s="761"/>
    </row>
    <row r="205" spans="1:11">
      <c r="A205" s="650">
        <v>203</v>
      </c>
      <c r="B205" s="651"/>
      <c r="C205" s="662" t="s">
        <v>246</v>
      </c>
      <c r="D205" s="663" t="s">
        <v>2675</v>
      </c>
      <c r="E205" s="660">
        <f t="shared" si="21"/>
        <v>2024</v>
      </c>
      <c r="F205" s="655">
        <f t="shared" si="22"/>
        <v>45657</v>
      </c>
      <c r="G205" s="656">
        <v>0</v>
      </c>
      <c r="H205" s="666">
        <f>+G205</f>
        <v>0</v>
      </c>
      <c r="I205" s="666">
        <v>0</v>
      </c>
      <c r="J205" s="760">
        <f t="shared" si="23"/>
        <v>0</v>
      </c>
      <c r="K205" s="761"/>
    </row>
    <row r="206" spans="1:11" ht="21">
      <c r="A206" s="650">
        <v>204</v>
      </c>
      <c r="B206" s="651"/>
      <c r="C206" s="652" t="s">
        <v>247</v>
      </c>
      <c r="D206" s="653" t="s">
        <v>2683</v>
      </c>
      <c r="E206" s="660">
        <f t="shared" si="21"/>
        <v>2024</v>
      </c>
      <c r="F206" s="655">
        <f t="shared" si="22"/>
        <v>45657</v>
      </c>
      <c r="G206" s="656"/>
      <c r="H206" s="657">
        <f>+H207+H208+H209</f>
        <v>0</v>
      </c>
      <c r="I206" s="657">
        <v>0</v>
      </c>
      <c r="J206" s="760">
        <f t="shared" si="23"/>
        <v>0</v>
      </c>
      <c r="K206" s="761"/>
    </row>
    <row r="207" spans="1:11" ht="21">
      <c r="A207" s="650">
        <v>205</v>
      </c>
      <c r="B207" s="651"/>
      <c r="C207" s="662" t="s">
        <v>248</v>
      </c>
      <c r="D207" s="663" t="s">
        <v>2685</v>
      </c>
      <c r="E207" s="660">
        <f t="shared" si="21"/>
        <v>2024</v>
      </c>
      <c r="F207" s="655">
        <f t="shared" si="22"/>
        <v>45657</v>
      </c>
      <c r="G207" s="656">
        <v>0</v>
      </c>
      <c r="H207" s="666">
        <f>+G207</f>
        <v>0</v>
      </c>
      <c r="I207" s="666">
        <v>0</v>
      </c>
      <c r="J207" s="760">
        <f t="shared" si="23"/>
        <v>0</v>
      </c>
      <c r="K207" s="761"/>
    </row>
    <row r="208" spans="1:11" ht="31.5">
      <c r="A208" s="650">
        <v>206</v>
      </c>
      <c r="B208" s="651"/>
      <c r="C208" s="662" t="s">
        <v>249</v>
      </c>
      <c r="D208" s="663" t="s">
        <v>2689</v>
      </c>
      <c r="E208" s="660">
        <f t="shared" si="21"/>
        <v>2024</v>
      </c>
      <c r="F208" s="655">
        <f t="shared" si="22"/>
        <v>45657</v>
      </c>
      <c r="G208" s="656">
        <v>0</v>
      </c>
      <c r="H208" s="666">
        <f>+G208</f>
        <v>0</v>
      </c>
      <c r="I208" s="666">
        <v>0</v>
      </c>
      <c r="J208" s="760">
        <f t="shared" si="23"/>
        <v>0</v>
      </c>
      <c r="K208" s="761"/>
    </row>
    <row r="209" spans="1:11">
      <c r="A209" s="650">
        <v>207</v>
      </c>
      <c r="B209" s="651"/>
      <c r="C209" s="662" t="s">
        <v>250</v>
      </c>
      <c r="D209" s="663" t="s">
        <v>2693</v>
      </c>
      <c r="E209" s="660">
        <f t="shared" si="21"/>
        <v>2024</v>
      </c>
      <c r="F209" s="655">
        <f t="shared" si="22"/>
        <v>45657</v>
      </c>
      <c r="G209" s="656">
        <v>0</v>
      </c>
      <c r="H209" s="666">
        <f>+G209</f>
        <v>0</v>
      </c>
      <c r="I209" s="666">
        <v>0</v>
      </c>
      <c r="J209" s="760">
        <f t="shared" si="23"/>
        <v>0</v>
      </c>
      <c r="K209" s="761"/>
    </row>
    <row r="210" spans="1:11" ht="21">
      <c r="A210" s="650">
        <v>208</v>
      </c>
      <c r="B210" s="651"/>
      <c r="C210" s="652" t="s">
        <v>251</v>
      </c>
      <c r="D210" s="653" t="s">
        <v>2719</v>
      </c>
      <c r="E210" s="660">
        <f t="shared" si="21"/>
        <v>2024</v>
      </c>
      <c r="F210" s="655">
        <f t="shared" si="22"/>
        <v>45657</v>
      </c>
      <c r="G210" s="656">
        <v>17098821.120000001</v>
      </c>
      <c r="H210" s="666">
        <f>+G210</f>
        <v>17098821.120000001</v>
      </c>
      <c r="I210" s="666">
        <v>16967282</v>
      </c>
      <c r="J210" s="760">
        <f t="shared" si="23"/>
        <v>131539.12000000104</v>
      </c>
      <c r="K210" s="761">
        <f t="shared" si="24"/>
        <v>0.77525156946174434</v>
      </c>
    </row>
    <row r="211" spans="1:11" ht="21">
      <c r="A211" s="650">
        <v>209</v>
      </c>
      <c r="B211" s="651"/>
      <c r="C211" s="652" t="s">
        <v>252</v>
      </c>
      <c r="D211" s="653" t="s">
        <v>2757</v>
      </c>
      <c r="E211" s="660">
        <f t="shared" si="21"/>
        <v>2024</v>
      </c>
      <c r="F211" s="655">
        <f t="shared" si="22"/>
        <v>45657</v>
      </c>
      <c r="G211" s="656">
        <v>149405</v>
      </c>
      <c r="H211" s="666">
        <f>+G211</f>
        <v>149405</v>
      </c>
      <c r="I211" s="666">
        <v>131540</v>
      </c>
      <c r="J211" s="760">
        <f t="shared" si="23"/>
        <v>17865</v>
      </c>
      <c r="K211" s="761">
        <f t="shared" si="24"/>
        <v>13.581420100349703</v>
      </c>
    </row>
    <row r="212" spans="1:11">
      <c r="A212" s="650">
        <v>210</v>
      </c>
      <c r="B212" s="651"/>
      <c r="C212" s="652" t="s">
        <v>2762</v>
      </c>
      <c r="D212" s="653" t="s">
        <v>11889</v>
      </c>
      <c r="E212" s="660">
        <f t="shared" si="21"/>
        <v>2024</v>
      </c>
      <c r="F212" s="655">
        <f t="shared" si="22"/>
        <v>45657</v>
      </c>
      <c r="G212" s="656"/>
      <c r="H212" s="670">
        <f>+H213+H214+H222+H231+H237</f>
        <v>61809855.740000002</v>
      </c>
      <c r="I212" s="670">
        <v>60524896</v>
      </c>
      <c r="J212" s="760">
        <f t="shared" si="23"/>
        <v>1284959.7400000021</v>
      </c>
      <c r="K212" s="761">
        <f t="shared" si="24"/>
        <v>2.1230267624086565</v>
      </c>
    </row>
    <row r="213" spans="1:11" ht="21">
      <c r="A213" s="650">
        <v>211</v>
      </c>
      <c r="B213" s="651"/>
      <c r="C213" s="652" t="s">
        <v>253</v>
      </c>
      <c r="D213" s="653" t="s">
        <v>2764</v>
      </c>
      <c r="E213" s="660">
        <f t="shared" si="21"/>
        <v>2024</v>
      </c>
      <c r="F213" s="655">
        <f t="shared" si="22"/>
        <v>45657</v>
      </c>
      <c r="G213" s="656">
        <v>0</v>
      </c>
      <c r="H213" s="666">
        <f>+G213</f>
        <v>0</v>
      </c>
      <c r="I213" s="666">
        <v>0</v>
      </c>
      <c r="J213" s="760">
        <f t="shared" si="23"/>
        <v>0</v>
      </c>
      <c r="K213" s="761"/>
    </row>
    <row r="214" spans="1:11">
      <c r="A214" s="650">
        <v>212</v>
      </c>
      <c r="B214" s="651"/>
      <c r="C214" s="652" t="s">
        <v>255</v>
      </c>
      <c r="D214" s="653" t="s">
        <v>11890</v>
      </c>
      <c r="E214" s="660">
        <f t="shared" si="21"/>
        <v>2024</v>
      </c>
      <c r="F214" s="655">
        <f t="shared" si="22"/>
        <v>45657</v>
      </c>
      <c r="G214" s="656"/>
      <c r="H214" s="670">
        <f>SUM(H215:H221)</f>
        <v>23268722.379999999</v>
      </c>
      <c r="I214" s="670">
        <v>26039080</v>
      </c>
      <c r="J214" s="760">
        <f t="shared" si="23"/>
        <v>-2770357.620000001</v>
      </c>
      <c r="K214" s="761">
        <f t="shared" si="24"/>
        <v>-10.639230034240839</v>
      </c>
    </row>
    <row r="215" spans="1:11" ht="21">
      <c r="A215" s="650">
        <v>213</v>
      </c>
      <c r="B215" s="651"/>
      <c r="C215" s="662" t="s">
        <v>254</v>
      </c>
      <c r="D215" s="663" t="s">
        <v>2768</v>
      </c>
      <c r="E215" s="660">
        <f t="shared" si="21"/>
        <v>2024</v>
      </c>
      <c r="F215" s="655">
        <f t="shared" si="22"/>
        <v>45657</v>
      </c>
      <c r="G215" s="656">
        <v>16061835.890000001</v>
      </c>
      <c r="H215" s="666">
        <f t="shared" ref="H215:H221" si="25">+G215</f>
        <v>16061835.890000001</v>
      </c>
      <c r="I215" s="666">
        <v>12980482</v>
      </c>
      <c r="J215" s="760">
        <f t="shared" si="23"/>
        <v>3081353.8900000006</v>
      </c>
      <c r="K215" s="761">
        <f t="shared" si="24"/>
        <v>23.738362643236215</v>
      </c>
    </row>
    <row r="216" spans="1:11" ht="31.5">
      <c r="A216" s="650">
        <v>214</v>
      </c>
      <c r="B216" s="651"/>
      <c r="C216" s="662" t="s">
        <v>256</v>
      </c>
      <c r="D216" s="663" t="s">
        <v>2772</v>
      </c>
      <c r="E216" s="660">
        <f t="shared" si="21"/>
        <v>2024</v>
      </c>
      <c r="F216" s="655">
        <f t="shared" si="22"/>
        <v>45657</v>
      </c>
      <c r="G216" s="656">
        <v>4708948.0599999996</v>
      </c>
      <c r="H216" s="666">
        <f t="shared" si="25"/>
        <v>4708948.0599999996</v>
      </c>
      <c r="I216" s="666">
        <v>4936391</v>
      </c>
      <c r="J216" s="760">
        <f t="shared" si="23"/>
        <v>-227442.94000000041</v>
      </c>
      <c r="K216" s="761">
        <f t="shared" si="24"/>
        <v>-4.6074741648301512</v>
      </c>
    </row>
    <row r="217" spans="1:11" ht="31.5">
      <c r="A217" s="650">
        <v>215</v>
      </c>
      <c r="B217" s="651"/>
      <c r="C217" s="662" t="s">
        <v>257</v>
      </c>
      <c r="D217" s="663" t="s">
        <v>2778</v>
      </c>
      <c r="E217" s="660">
        <f t="shared" si="21"/>
        <v>2024</v>
      </c>
      <c r="F217" s="655">
        <f t="shared" si="22"/>
        <v>45657</v>
      </c>
      <c r="G217" s="656">
        <v>0</v>
      </c>
      <c r="H217" s="666">
        <f t="shared" si="25"/>
        <v>0</v>
      </c>
      <c r="I217" s="666">
        <v>0</v>
      </c>
      <c r="J217" s="760">
        <f t="shared" si="23"/>
        <v>0</v>
      </c>
      <c r="K217" s="761"/>
    </row>
    <row r="218" spans="1:11" ht="31.5">
      <c r="A218" s="650">
        <v>216</v>
      </c>
      <c r="B218" s="651"/>
      <c r="C218" s="662" t="s">
        <v>258</v>
      </c>
      <c r="D218" s="663" t="s">
        <v>2782</v>
      </c>
      <c r="E218" s="660">
        <f t="shared" si="21"/>
        <v>2024</v>
      </c>
      <c r="F218" s="655">
        <f t="shared" si="22"/>
        <v>45657</v>
      </c>
      <c r="G218" s="656">
        <v>1445050.45</v>
      </c>
      <c r="H218" s="666">
        <f t="shared" si="25"/>
        <v>1445050.45</v>
      </c>
      <c r="I218" s="666">
        <v>7069319</v>
      </c>
      <c r="J218" s="760">
        <f t="shared" si="23"/>
        <v>-5624268.5499999998</v>
      </c>
      <c r="K218" s="761">
        <f t="shared" si="24"/>
        <v>-79.558845059898985</v>
      </c>
    </row>
    <row r="219" spans="1:11" ht="21">
      <c r="A219" s="650">
        <v>217</v>
      </c>
      <c r="B219" s="651"/>
      <c r="C219" s="677" t="s">
        <v>2786</v>
      </c>
      <c r="D219" s="678" t="s">
        <v>2787</v>
      </c>
      <c r="E219" s="660">
        <f t="shared" si="21"/>
        <v>2024</v>
      </c>
      <c r="F219" s="655">
        <f t="shared" si="22"/>
        <v>45657</v>
      </c>
      <c r="G219" s="656">
        <v>0</v>
      </c>
      <c r="H219" s="666">
        <f t="shared" si="25"/>
        <v>0</v>
      </c>
      <c r="I219" s="666">
        <v>0</v>
      </c>
      <c r="J219" s="760">
        <f t="shared" si="23"/>
        <v>0</v>
      </c>
      <c r="K219" s="761"/>
    </row>
    <row r="220" spans="1:11" ht="21">
      <c r="A220" s="650">
        <v>218</v>
      </c>
      <c r="B220" s="651"/>
      <c r="C220" s="677" t="s">
        <v>2791</v>
      </c>
      <c r="D220" s="678" t="s">
        <v>2792</v>
      </c>
      <c r="E220" s="660">
        <f t="shared" si="21"/>
        <v>2024</v>
      </c>
      <c r="F220" s="655">
        <f t="shared" si="22"/>
        <v>45657</v>
      </c>
      <c r="G220" s="656">
        <v>0</v>
      </c>
      <c r="H220" s="666">
        <f t="shared" si="25"/>
        <v>0</v>
      </c>
      <c r="I220" s="666">
        <v>0</v>
      </c>
      <c r="J220" s="760">
        <f t="shared" si="23"/>
        <v>0</v>
      </c>
      <c r="K220" s="761"/>
    </row>
    <row r="221" spans="1:11">
      <c r="A221" s="650">
        <v>219</v>
      </c>
      <c r="B221" s="651"/>
      <c r="C221" s="677" t="s">
        <v>259</v>
      </c>
      <c r="D221" s="678" t="s">
        <v>2795</v>
      </c>
      <c r="E221" s="660">
        <f t="shared" si="21"/>
        <v>2024</v>
      </c>
      <c r="F221" s="655">
        <f t="shared" si="22"/>
        <v>45657</v>
      </c>
      <c r="G221" s="656">
        <v>1052887.98</v>
      </c>
      <c r="H221" s="666">
        <f t="shared" si="25"/>
        <v>1052887.98</v>
      </c>
      <c r="I221" s="666">
        <v>1052888</v>
      </c>
      <c r="J221" s="760">
        <f t="shared" si="23"/>
        <v>-2.0000000018626451E-2</v>
      </c>
      <c r="K221" s="761">
        <f t="shared" si="24"/>
        <v>-1.8995372670360666E-6</v>
      </c>
    </row>
    <row r="222" spans="1:11">
      <c r="A222" s="650">
        <v>220</v>
      </c>
      <c r="B222" s="651"/>
      <c r="C222" s="652" t="s">
        <v>260</v>
      </c>
      <c r="D222" s="653" t="s">
        <v>2809</v>
      </c>
      <c r="E222" s="660">
        <f t="shared" si="21"/>
        <v>2024</v>
      </c>
      <c r="F222" s="655">
        <f t="shared" si="22"/>
        <v>45657</v>
      </c>
      <c r="G222" s="656"/>
      <c r="H222" s="670">
        <f>SUM(H223:H230)</f>
        <v>650804.80000000005</v>
      </c>
      <c r="I222" s="670">
        <v>650805</v>
      </c>
      <c r="J222" s="760">
        <f t="shared" si="23"/>
        <v>-0.19999999995343387</v>
      </c>
      <c r="K222" s="761">
        <f t="shared" si="24"/>
        <v>-3.0731171392517354E-5</v>
      </c>
    </row>
    <row r="223" spans="1:11" ht="21">
      <c r="A223" s="650">
        <v>221</v>
      </c>
      <c r="B223" s="651"/>
      <c r="C223" s="662" t="s">
        <v>261</v>
      </c>
      <c r="D223" s="663" t="s">
        <v>2811</v>
      </c>
      <c r="E223" s="660">
        <f t="shared" si="21"/>
        <v>2024</v>
      </c>
      <c r="F223" s="655">
        <f t="shared" si="22"/>
        <v>45657</v>
      </c>
      <c r="G223" s="656">
        <v>0</v>
      </c>
      <c r="H223" s="666">
        <f t="shared" ref="H223:H230" si="26">+G223</f>
        <v>0</v>
      </c>
      <c r="I223" s="666">
        <v>0</v>
      </c>
      <c r="J223" s="760">
        <f t="shared" si="23"/>
        <v>0</v>
      </c>
      <c r="K223" s="761"/>
    </row>
    <row r="224" spans="1:11" ht="21">
      <c r="A224" s="650">
        <v>222</v>
      </c>
      <c r="B224" s="651"/>
      <c r="C224" s="662" t="s">
        <v>262</v>
      </c>
      <c r="D224" s="663" t="s">
        <v>2815</v>
      </c>
      <c r="E224" s="660">
        <f t="shared" si="21"/>
        <v>2024</v>
      </c>
      <c r="F224" s="655">
        <f t="shared" si="22"/>
        <v>45657</v>
      </c>
      <c r="G224" s="656">
        <v>0</v>
      </c>
      <c r="H224" s="666">
        <f t="shared" si="26"/>
        <v>0</v>
      </c>
      <c r="I224" s="666">
        <v>0</v>
      </c>
      <c r="J224" s="760">
        <f t="shared" si="23"/>
        <v>0</v>
      </c>
      <c r="K224" s="761"/>
    </row>
    <row r="225" spans="1:11" ht="21">
      <c r="A225" s="650">
        <v>223</v>
      </c>
      <c r="B225" s="651"/>
      <c r="C225" s="662" t="s">
        <v>263</v>
      </c>
      <c r="D225" s="663" t="s">
        <v>2819</v>
      </c>
      <c r="E225" s="660">
        <f t="shared" si="21"/>
        <v>2024</v>
      </c>
      <c r="F225" s="655">
        <f t="shared" si="22"/>
        <v>45657</v>
      </c>
      <c r="G225" s="656">
        <v>0</v>
      </c>
      <c r="H225" s="666">
        <f t="shared" si="26"/>
        <v>0</v>
      </c>
      <c r="I225" s="666">
        <v>0</v>
      </c>
      <c r="J225" s="760">
        <f t="shared" si="23"/>
        <v>0</v>
      </c>
      <c r="K225" s="761"/>
    </row>
    <row r="226" spans="1:11" ht="21">
      <c r="A226" s="650">
        <v>224</v>
      </c>
      <c r="B226" s="651"/>
      <c r="C226" s="662" t="s">
        <v>264</v>
      </c>
      <c r="D226" s="663" t="s">
        <v>2823</v>
      </c>
      <c r="E226" s="660">
        <f t="shared" si="21"/>
        <v>2024</v>
      </c>
      <c r="F226" s="655">
        <f t="shared" si="22"/>
        <v>45657</v>
      </c>
      <c r="G226" s="656">
        <v>0</v>
      </c>
      <c r="H226" s="666">
        <f t="shared" si="26"/>
        <v>0</v>
      </c>
      <c r="I226" s="666">
        <v>0</v>
      </c>
      <c r="J226" s="760">
        <f t="shared" si="23"/>
        <v>0</v>
      </c>
      <c r="K226" s="761"/>
    </row>
    <row r="227" spans="1:11" ht="31.5">
      <c r="A227" s="650">
        <v>225</v>
      </c>
      <c r="B227" s="651"/>
      <c r="C227" s="662" t="s">
        <v>265</v>
      </c>
      <c r="D227" s="663" t="s">
        <v>2828</v>
      </c>
      <c r="E227" s="660">
        <f t="shared" si="21"/>
        <v>2024</v>
      </c>
      <c r="F227" s="655">
        <f t="shared" si="22"/>
        <v>45657</v>
      </c>
      <c r="G227" s="656">
        <v>0</v>
      </c>
      <c r="H227" s="666">
        <f t="shared" si="26"/>
        <v>0</v>
      </c>
      <c r="I227" s="666">
        <v>0</v>
      </c>
      <c r="J227" s="760">
        <f t="shared" si="23"/>
        <v>0</v>
      </c>
      <c r="K227" s="761"/>
    </row>
    <row r="228" spans="1:11" ht="21">
      <c r="A228" s="650">
        <v>226</v>
      </c>
      <c r="B228" s="651"/>
      <c r="C228" s="662" t="s">
        <v>266</v>
      </c>
      <c r="D228" s="663" t="s">
        <v>2833</v>
      </c>
      <c r="E228" s="660">
        <f t="shared" si="21"/>
        <v>2024</v>
      </c>
      <c r="F228" s="655">
        <f t="shared" si="22"/>
        <v>45657</v>
      </c>
      <c r="G228" s="656">
        <v>0</v>
      </c>
      <c r="H228" s="666">
        <f t="shared" si="26"/>
        <v>0</v>
      </c>
      <c r="I228" s="666">
        <v>0</v>
      </c>
      <c r="J228" s="760">
        <f t="shared" si="23"/>
        <v>0</v>
      </c>
      <c r="K228" s="761"/>
    </row>
    <row r="229" spans="1:11" ht="21">
      <c r="A229" s="650">
        <v>227</v>
      </c>
      <c r="B229" s="651"/>
      <c r="C229" s="662" t="s">
        <v>267</v>
      </c>
      <c r="D229" s="663" t="s">
        <v>2838</v>
      </c>
      <c r="E229" s="660">
        <f t="shared" si="21"/>
        <v>2024</v>
      </c>
      <c r="F229" s="655">
        <f t="shared" si="22"/>
        <v>45657</v>
      </c>
      <c r="G229" s="656">
        <v>650804.80000000005</v>
      </c>
      <c r="H229" s="666">
        <f t="shared" si="26"/>
        <v>650804.80000000005</v>
      </c>
      <c r="I229" s="666">
        <v>650805</v>
      </c>
      <c r="J229" s="760">
        <f t="shared" si="23"/>
        <v>-0.19999999995343387</v>
      </c>
      <c r="K229" s="761">
        <f t="shared" si="24"/>
        <v>-3.0731171392517354E-5</v>
      </c>
    </row>
    <row r="230" spans="1:11" ht="52.5">
      <c r="A230" s="650">
        <v>228</v>
      </c>
      <c r="B230" s="651"/>
      <c r="C230" s="662" t="s">
        <v>2843</v>
      </c>
      <c r="D230" s="663" t="s">
        <v>2844</v>
      </c>
      <c r="E230" s="660">
        <f t="shared" si="21"/>
        <v>2024</v>
      </c>
      <c r="F230" s="655">
        <f t="shared" si="22"/>
        <v>45657</v>
      </c>
      <c r="G230" s="656">
        <v>0</v>
      </c>
      <c r="H230" s="666">
        <f t="shared" si="26"/>
        <v>0</v>
      </c>
      <c r="I230" s="666">
        <v>0</v>
      </c>
      <c r="J230" s="760">
        <f t="shared" si="23"/>
        <v>0</v>
      </c>
      <c r="K230" s="761"/>
    </row>
    <row r="231" spans="1:11" ht="21">
      <c r="A231" s="650">
        <v>229</v>
      </c>
      <c r="B231" s="651"/>
      <c r="C231" s="652" t="s">
        <v>268</v>
      </c>
      <c r="D231" s="653" t="s">
        <v>2847</v>
      </c>
      <c r="E231" s="660">
        <f t="shared" si="21"/>
        <v>2024</v>
      </c>
      <c r="F231" s="655">
        <f t="shared" si="22"/>
        <v>45657</v>
      </c>
      <c r="G231" s="656"/>
      <c r="H231" s="670">
        <f>SUM(H232:H236)</f>
        <v>29618288.890000001</v>
      </c>
      <c r="I231" s="670">
        <v>26424313</v>
      </c>
      <c r="J231" s="760">
        <f t="shared" si="23"/>
        <v>3193975.8900000006</v>
      </c>
      <c r="K231" s="761">
        <f t="shared" si="24"/>
        <v>12.087261795604689</v>
      </c>
    </row>
    <row r="232" spans="1:11" ht="42">
      <c r="A232" s="650">
        <v>230</v>
      </c>
      <c r="B232" s="651"/>
      <c r="C232" s="677" t="s">
        <v>2849</v>
      </c>
      <c r="D232" s="678" t="s">
        <v>2850</v>
      </c>
      <c r="E232" s="660">
        <f t="shared" si="21"/>
        <v>2024</v>
      </c>
      <c r="F232" s="655">
        <f t="shared" si="22"/>
        <v>45657</v>
      </c>
      <c r="G232" s="656">
        <v>345667.9</v>
      </c>
      <c r="H232" s="666">
        <f>+G232</f>
        <v>345667.9</v>
      </c>
      <c r="I232" s="666">
        <v>345668</v>
      </c>
      <c r="J232" s="760">
        <f t="shared" si="23"/>
        <v>-9.9999999976716936E-2</v>
      </c>
      <c r="K232" s="761">
        <f t="shared" si="24"/>
        <v>-2.8929493041118803E-5</v>
      </c>
    </row>
    <row r="233" spans="1:11" ht="31.5">
      <c r="A233" s="650">
        <v>231</v>
      </c>
      <c r="B233" s="651"/>
      <c r="C233" s="662" t="s">
        <v>269</v>
      </c>
      <c r="D233" s="663" t="s">
        <v>11891</v>
      </c>
      <c r="E233" s="660">
        <f t="shared" si="21"/>
        <v>2024</v>
      </c>
      <c r="F233" s="655">
        <f t="shared" si="22"/>
        <v>45657</v>
      </c>
      <c r="G233" s="656">
        <v>16866512.07</v>
      </c>
      <c r="H233" s="666">
        <f>+G233</f>
        <v>16866512.07</v>
      </c>
      <c r="I233" s="666">
        <v>18268502</v>
      </c>
      <c r="J233" s="760">
        <f t="shared" si="23"/>
        <v>-1401989.9299999997</v>
      </c>
      <c r="K233" s="761">
        <f t="shared" si="24"/>
        <v>-7.6743562772689273</v>
      </c>
    </row>
    <row r="234" spans="1:11" ht="31.5">
      <c r="A234" s="650">
        <v>232</v>
      </c>
      <c r="B234" s="651"/>
      <c r="C234" s="662" t="s">
        <v>270</v>
      </c>
      <c r="D234" s="663" t="s">
        <v>2997</v>
      </c>
      <c r="E234" s="660">
        <f t="shared" si="21"/>
        <v>2024</v>
      </c>
      <c r="F234" s="655">
        <f t="shared" si="22"/>
        <v>45657</v>
      </c>
      <c r="G234" s="656">
        <v>4621414.8</v>
      </c>
      <c r="H234" s="666">
        <f>+G234</f>
        <v>4621414.8</v>
      </c>
      <c r="I234" s="666">
        <v>1520186</v>
      </c>
      <c r="J234" s="760">
        <f t="shared" si="23"/>
        <v>3101228.8</v>
      </c>
      <c r="K234" s="761">
        <f t="shared" si="24"/>
        <v>204.00324697109431</v>
      </c>
    </row>
    <row r="235" spans="1:11" ht="21">
      <c r="A235" s="650">
        <v>233</v>
      </c>
      <c r="B235" s="651"/>
      <c r="C235" s="662" t="s">
        <v>271</v>
      </c>
      <c r="D235" s="663" t="s">
        <v>3006</v>
      </c>
      <c r="E235" s="660">
        <f t="shared" si="21"/>
        <v>2024</v>
      </c>
      <c r="F235" s="655">
        <f t="shared" si="22"/>
        <v>45657</v>
      </c>
      <c r="G235" s="656">
        <v>7698597.1200000001</v>
      </c>
      <c r="H235" s="666">
        <f>+G235</f>
        <v>7698597.1200000001</v>
      </c>
      <c r="I235" s="666">
        <v>6213860</v>
      </c>
      <c r="J235" s="760">
        <f t="shared" si="23"/>
        <v>1484737.12</v>
      </c>
      <c r="K235" s="761">
        <f t="shared" si="24"/>
        <v>23.893958344732582</v>
      </c>
    </row>
    <row r="236" spans="1:11" ht="21">
      <c r="A236" s="650">
        <v>234</v>
      </c>
      <c r="B236" s="651"/>
      <c r="C236" s="662" t="s">
        <v>272</v>
      </c>
      <c r="D236" s="663" t="s">
        <v>3056</v>
      </c>
      <c r="E236" s="660">
        <f t="shared" si="21"/>
        <v>2024</v>
      </c>
      <c r="F236" s="655">
        <f t="shared" si="22"/>
        <v>45657</v>
      </c>
      <c r="G236" s="656">
        <v>86097</v>
      </c>
      <c r="H236" s="666">
        <f>+G236</f>
        <v>86097</v>
      </c>
      <c r="I236" s="666">
        <v>76097</v>
      </c>
      <c r="J236" s="760">
        <f t="shared" si="23"/>
        <v>10000</v>
      </c>
      <c r="K236" s="761">
        <f t="shared" si="24"/>
        <v>13.141122514685193</v>
      </c>
    </row>
    <row r="237" spans="1:11" ht="21">
      <c r="A237" s="650">
        <v>235</v>
      </c>
      <c r="B237" s="651"/>
      <c r="C237" s="652" t="s">
        <v>274</v>
      </c>
      <c r="D237" s="653" t="s">
        <v>11892</v>
      </c>
      <c r="E237" s="660">
        <f t="shared" si="21"/>
        <v>2024</v>
      </c>
      <c r="F237" s="655">
        <f t="shared" si="22"/>
        <v>45657</v>
      </c>
      <c r="G237" s="656"/>
      <c r="H237" s="657">
        <f>+H238+H239+H243+H244</f>
        <v>8272039.6699999999</v>
      </c>
      <c r="I237" s="657">
        <v>7410698</v>
      </c>
      <c r="J237" s="760">
        <f t="shared" si="23"/>
        <v>861341.66999999993</v>
      </c>
      <c r="K237" s="761">
        <f t="shared" si="24"/>
        <v>11.622949282240342</v>
      </c>
    </row>
    <row r="238" spans="1:11">
      <c r="A238" s="650">
        <v>236</v>
      </c>
      <c r="B238" s="651"/>
      <c r="C238" s="662" t="s">
        <v>273</v>
      </c>
      <c r="D238" s="663" t="s">
        <v>3065</v>
      </c>
      <c r="E238" s="660">
        <f t="shared" si="21"/>
        <v>2024</v>
      </c>
      <c r="F238" s="655">
        <f t="shared" si="22"/>
        <v>45657</v>
      </c>
      <c r="G238" s="656">
        <v>0</v>
      </c>
      <c r="H238" s="666">
        <f>+G238</f>
        <v>0</v>
      </c>
      <c r="I238" s="666">
        <v>0</v>
      </c>
      <c r="J238" s="760">
        <f t="shared" si="23"/>
        <v>0</v>
      </c>
      <c r="K238" s="761"/>
    </row>
    <row r="239" spans="1:11">
      <c r="A239" s="650">
        <v>237</v>
      </c>
      <c r="B239" s="651"/>
      <c r="C239" s="662" t="s">
        <v>11893</v>
      </c>
      <c r="D239" s="663" t="s">
        <v>11894</v>
      </c>
      <c r="E239" s="660">
        <f t="shared" si="21"/>
        <v>2024</v>
      </c>
      <c r="F239" s="655">
        <f t="shared" si="22"/>
        <v>45657</v>
      </c>
      <c r="G239" s="656"/>
      <c r="H239" s="657">
        <f>+H240+H241+H242</f>
        <v>3711216.2</v>
      </c>
      <c r="I239" s="657">
        <v>3790900</v>
      </c>
      <c r="J239" s="760">
        <f t="shared" si="23"/>
        <v>-79683.799999999814</v>
      </c>
      <c r="K239" s="761">
        <f t="shared" si="24"/>
        <v>-2.1019757841145861</v>
      </c>
    </row>
    <row r="240" spans="1:11" ht="21">
      <c r="A240" s="650">
        <v>238</v>
      </c>
      <c r="B240" s="651"/>
      <c r="C240" s="664" t="s">
        <v>307</v>
      </c>
      <c r="D240" s="665" t="s">
        <v>11895</v>
      </c>
      <c r="E240" s="660">
        <f t="shared" si="21"/>
        <v>2024</v>
      </c>
      <c r="F240" s="655">
        <f t="shared" si="22"/>
        <v>45657</v>
      </c>
      <c r="G240" s="656">
        <v>3711216.2</v>
      </c>
      <c r="H240" s="666">
        <f>+G240</f>
        <v>3711216.2</v>
      </c>
      <c r="I240" s="666">
        <v>3790900</v>
      </c>
      <c r="J240" s="760">
        <f t="shared" si="23"/>
        <v>-79683.799999999814</v>
      </c>
      <c r="K240" s="761">
        <f t="shared" si="24"/>
        <v>-2.1019757841145861</v>
      </c>
    </row>
    <row r="241" spans="1:11" ht="21">
      <c r="A241" s="650">
        <v>239</v>
      </c>
      <c r="B241" s="651"/>
      <c r="C241" s="664" t="s">
        <v>308</v>
      </c>
      <c r="D241" s="665" t="s">
        <v>3090</v>
      </c>
      <c r="E241" s="660">
        <f t="shared" si="21"/>
        <v>2024</v>
      </c>
      <c r="F241" s="655">
        <f t="shared" si="22"/>
        <v>45657</v>
      </c>
      <c r="G241" s="656">
        <v>0</v>
      </c>
      <c r="H241" s="666">
        <f>+G241</f>
        <v>0</v>
      </c>
      <c r="I241" s="666">
        <v>0</v>
      </c>
      <c r="J241" s="760">
        <f t="shared" si="23"/>
        <v>0</v>
      </c>
      <c r="K241" s="761"/>
    </row>
    <row r="242" spans="1:11" ht="21">
      <c r="A242" s="650">
        <v>240</v>
      </c>
      <c r="B242" s="651"/>
      <c r="C242" s="664" t="s">
        <v>275</v>
      </c>
      <c r="D242" s="665" t="s">
        <v>3095</v>
      </c>
      <c r="E242" s="660">
        <f t="shared" si="21"/>
        <v>2024</v>
      </c>
      <c r="F242" s="655">
        <f t="shared" si="22"/>
        <v>45657</v>
      </c>
      <c r="G242" s="656">
        <v>0</v>
      </c>
      <c r="H242" s="666">
        <f>+G242</f>
        <v>0</v>
      </c>
      <c r="I242" s="666">
        <v>0</v>
      </c>
      <c r="J242" s="760">
        <f t="shared" si="23"/>
        <v>0</v>
      </c>
      <c r="K242" s="761"/>
    </row>
    <row r="243" spans="1:11" ht="21">
      <c r="A243" s="650">
        <v>241</v>
      </c>
      <c r="B243" s="651"/>
      <c r="C243" s="662" t="s">
        <v>309</v>
      </c>
      <c r="D243" s="663" t="s">
        <v>3099</v>
      </c>
      <c r="E243" s="660">
        <f t="shared" si="21"/>
        <v>2024</v>
      </c>
      <c r="F243" s="655">
        <f t="shared" si="22"/>
        <v>45657</v>
      </c>
      <c r="G243" s="656">
        <v>4220823.47</v>
      </c>
      <c r="H243" s="666">
        <f>+G243</f>
        <v>4220823.47</v>
      </c>
      <c r="I243" s="666">
        <v>3619798</v>
      </c>
      <c r="J243" s="760">
        <f t="shared" si="23"/>
        <v>601025.46999999974</v>
      </c>
      <c r="K243" s="761">
        <f t="shared" si="24"/>
        <v>16.603840048533087</v>
      </c>
    </row>
    <row r="244" spans="1:11" ht="31.5">
      <c r="A244" s="650">
        <v>242</v>
      </c>
      <c r="B244" s="651"/>
      <c r="C244" s="662" t="s">
        <v>3146</v>
      </c>
      <c r="D244" s="663" t="s">
        <v>3147</v>
      </c>
      <c r="E244" s="660">
        <f t="shared" si="21"/>
        <v>2024</v>
      </c>
      <c r="F244" s="655">
        <f t="shared" si="22"/>
        <v>45657</v>
      </c>
      <c r="G244" s="656">
        <v>340000</v>
      </c>
      <c r="H244" s="666">
        <f>+G244</f>
        <v>340000</v>
      </c>
      <c r="I244" s="666">
        <v>0</v>
      </c>
      <c r="J244" s="760">
        <f t="shared" si="23"/>
        <v>340000</v>
      </c>
      <c r="K244" s="761"/>
    </row>
    <row r="245" spans="1:11">
      <c r="A245" s="650">
        <v>243</v>
      </c>
      <c r="B245" s="651"/>
      <c r="C245" s="652" t="s">
        <v>3150</v>
      </c>
      <c r="D245" s="653" t="s">
        <v>11896</v>
      </c>
      <c r="E245" s="660">
        <f t="shared" si="21"/>
        <v>2024</v>
      </c>
      <c r="F245" s="655">
        <f t="shared" si="22"/>
        <v>45657</v>
      </c>
      <c r="G245" s="656"/>
      <c r="H245" s="670">
        <f>+H246+H247+H248</f>
        <v>367699.49</v>
      </c>
      <c r="I245" s="670">
        <v>367699</v>
      </c>
      <c r="J245" s="760">
        <f t="shared" si="23"/>
        <v>0.48999999999068677</v>
      </c>
      <c r="K245" s="761">
        <f t="shared" si="24"/>
        <v>1.3326117284861994E-4</v>
      </c>
    </row>
    <row r="246" spans="1:11" ht="21">
      <c r="A246" s="650">
        <v>244</v>
      </c>
      <c r="B246" s="651"/>
      <c r="C246" s="652" t="s">
        <v>3152</v>
      </c>
      <c r="D246" s="653" t="s">
        <v>3154</v>
      </c>
      <c r="E246" s="660">
        <f t="shared" si="21"/>
        <v>2024</v>
      </c>
      <c r="F246" s="655">
        <f t="shared" si="22"/>
        <v>45657</v>
      </c>
      <c r="G246" s="656">
        <v>0</v>
      </c>
      <c r="H246" s="666">
        <f>+G246</f>
        <v>0</v>
      </c>
      <c r="I246" s="666">
        <v>0</v>
      </c>
      <c r="J246" s="760">
        <f t="shared" si="23"/>
        <v>0</v>
      </c>
      <c r="K246" s="761"/>
    </row>
    <row r="247" spans="1:11" ht="21">
      <c r="A247" s="650">
        <v>245</v>
      </c>
      <c r="B247" s="651"/>
      <c r="C247" s="652" t="s">
        <v>276</v>
      </c>
      <c r="D247" s="653" t="s">
        <v>3158</v>
      </c>
      <c r="E247" s="660">
        <f t="shared" si="21"/>
        <v>2024</v>
      </c>
      <c r="F247" s="655">
        <f t="shared" si="22"/>
        <v>45657</v>
      </c>
      <c r="G247" s="656">
        <v>367699.49</v>
      </c>
      <c r="H247" s="666">
        <f>+G247</f>
        <v>367699.49</v>
      </c>
      <c r="I247" s="666">
        <v>367699</v>
      </c>
      <c r="J247" s="760">
        <f t="shared" si="23"/>
        <v>0.48999999999068677</v>
      </c>
      <c r="K247" s="761">
        <f t="shared" si="24"/>
        <v>1.3326117284861994E-4</v>
      </c>
    </row>
    <row r="248" spans="1:11" ht="21">
      <c r="A248" s="650">
        <v>246</v>
      </c>
      <c r="B248" s="651"/>
      <c r="C248" s="652" t="s">
        <v>3162</v>
      </c>
      <c r="D248" s="653" t="s">
        <v>3163</v>
      </c>
      <c r="E248" s="660">
        <f t="shared" si="21"/>
        <v>2024</v>
      </c>
      <c r="F248" s="655">
        <f t="shared" si="22"/>
        <v>45657</v>
      </c>
      <c r="G248" s="656">
        <v>0</v>
      </c>
      <c r="H248" s="666">
        <f>+G248</f>
        <v>0</v>
      </c>
      <c r="I248" s="666">
        <v>0</v>
      </c>
      <c r="J248" s="760">
        <f t="shared" si="23"/>
        <v>0</v>
      </c>
      <c r="K248" s="761"/>
    </row>
    <row r="249" spans="1:11">
      <c r="A249" s="650">
        <v>247</v>
      </c>
      <c r="B249" s="651"/>
      <c r="C249" s="652" t="s">
        <v>3166</v>
      </c>
      <c r="D249" s="653" t="s">
        <v>11897</v>
      </c>
      <c r="E249" s="660">
        <f t="shared" si="21"/>
        <v>2024</v>
      </c>
      <c r="F249" s="655">
        <f t="shared" si="22"/>
        <v>45657</v>
      </c>
      <c r="G249" s="656"/>
      <c r="H249" s="657">
        <f>+H250+H251+H257+H268+H269+H287+H291+H298+H299+H300+H301</f>
        <v>102427517.65000001</v>
      </c>
      <c r="I249" s="657">
        <v>97097906</v>
      </c>
      <c r="J249" s="760">
        <f t="shared" si="23"/>
        <v>5329611.650000006</v>
      </c>
      <c r="K249" s="761">
        <f t="shared" si="24"/>
        <v>5.4889048276695007</v>
      </c>
    </row>
    <row r="250" spans="1:11">
      <c r="A250" s="650">
        <v>248</v>
      </c>
      <c r="B250" s="651"/>
      <c r="C250" s="652" t="s">
        <v>277</v>
      </c>
      <c r="D250" s="653" t="s">
        <v>3168</v>
      </c>
      <c r="E250" s="660">
        <f t="shared" si="21"/>
        <v>2024</v>
      </c>
      <c r="F250" s="655">
        <f t="shared" si="22"/>
        <v>45657</v>
      </c>
      <c r="G250" s="656">
        <v>0</v>
      </c>
      <c r="H250" s="666">
        <f>+G250</f>
        <v>0</v>
      </c>
      <c r="I250" s="666">
        <v>0</v>
      </c>
      <c r="J250" s="760">
        <f t="shared" si="23"/>
        <v>0</v>
      </c>
      <c r="K250" s="761"/>
    </row>
    <row r="251" spans="1:11">
      <c r="A251" s="650">
        <v>249</v>
      </c>
      <c r="B251" s="651"/>
      <c r="C251" s="652" t="s">
        <v>3175</v>
      </c>
      <c r="D251" s="653" t="s">
        <v>3176</v>
      </c>
      <c r="E251" s="660">
        <f t="shared" si="21"/>
        <v>2024</v>
      </c>
      <c r="F251" s="655">
        <f t="shared" si="22"/>
        <v>45657</v>
      </c>
      <c r="G251" s="656"/>
      <c r="H251" s="657">
        <f>SUM(H252:H256)</f>
        <v>0</v>
      </c>
      <c r="I251" s="657">
        <v>0</v>
      </c>
      <c r="J251" s="760">
        <f t="shared" si="23"/>
        <v>0</v>
      </c>
      <c r="K251" s="761"/>
    </row>
    <row r="252" spans="1:11" ht="21">
      <c r="A252" s="650">
        <v>250</v>
      </c>
      <c r="B252" s="682" t="s">
        <v>1349</v>
      </c>
      <c r="C252" s="677" t="s">
        <v>280</v>
      </c>
      <c r="D252" s="678" t="s">
        <v>3178</v>
      </c>
      <c r="E252" s="660">
        <f t="shared" si="21"/>
        <v>2024</v>
      </c>
      <c r="F252" s="655">
        <f t="shared" si="22"/>
        <v>45657</v>
      </c>
      <c r="G252" s="656">
        <v>0</v>
      </c>
      <c r="H252" s="666">
        <f>+G252</f>
        <v>0</v>
      </c>
      <c r="I252" s="666">
        <v>0</v>
      </c>
      <c r="J252" s="760">
        <f t="shared" si="23"/>
        <v>0</v>
      </c>
      <c r="K252" s="761"/>
    </row>
    <row r="253" spans="1:11" ht="21">
      <c r="A253" s="650">
        <v>251</v>
      </c>
      <c r="B253" s="682"/>
      <c r="C253" s="677" t="s">
        <v>281</v>
      </c>
      <c r="D253" s="678" t="s">
        <v>3184</v>
      </c>
      <c r="E253" s="660">
        <f t="shared" si="21"/>
        <v>2024</v>
      </c>
      <c r="F253" s="655">
        <f t="shared" si="22"/>
        <v>45657</v>
      </c>
      <c r="G253" s="656">
        <v>0</v>
      </c>
      <c r="H253" s="666">
        <f>+G253</f>
        <v>0</v>
      </c>
      <c r="I253" s="666">
        <v>0</v>
      </c>
      <c r="J253" s="760">
        <f t="shared" si="23"/>
        <v>0</v>
      </c>
      <c r="K253" s="761"/>
    </row>
    <row r="254" spans="1:11" ht="21">
      <c r="A254" s="650">
        <v>252</v>
      </c>
      <c r="B254" s="651" t="s">
        <v>1340</v>
      </c>
      <c r="C254" s="677" t="s">
        <v>282</v>
      </c>
      <c r="D254" s="678" t="s">
        <v>3188</v>
      </c>
      <c r="E254" s="660">
        <f t="shared" si="21"/>
        <v>2024</v>
      </c>
      <c r="F254" s="655">
        <f t="shared" si="22"/>
        <v>45657</v>
      </c>
      <c r="G254" s="656">
        <v>0</v>
      </c>
      <c r="H254" s="666">
        <f>+G254</f>
        <v>0</v>
      </c>
      <c r="I254" s="666">
        <v>0</v>
      </c>
      <c r="J254" s="760">
        <f t="shared" si="23"/>
        <v>0</v>
      </c>
      <c r="K254" s="761"/>
    </row>
    <row r="255" spans="1:11" ht="31.5">
      <c r="A255" s="650">
        <v>253</v>
      </c>
      <c r="B255" s="651" t="s">
        <v>1340</v>
      </c>
      <c r="C255" s="677" t="s">
        <v>284</v>
      </c>
      <c r="D255" s="678" t="s">
        <v>3192</v>
      </c>
      <c r="E255" s="660">
        <f t="shared" si="21"/>
        <v>2024</v>
      </c>
      <c r="F255" s="655">
        <f t="shared" si="22"/>
        <v>45657</v>
      </c>
      <c r="G255" s="656">
        <v>0</v>
      </c>
      <c r="H255" s="666">
        <f>+G255</f>
        <v>0</v>
      </c>
      <c r="I255" s="666">
        <v>0</v>
      </c>
      <c r="J255" s="760">
        <f t="shared" si="23"/>
        <v>0</v>
      </c>
      <c r="K255" s="761"/>
    </row>
    <row r="256" spans="1:11">
      <c r="A256" s="650">
        <v>254</v>
      </c>
      <c r="B256" s="651" t="s">
        <v>1340</v>
      </c>
      <c r="C256" s="677" t="s">
        <v>283</v>
      </c>
      <c r="D256" s="678" t="s">
        <v>3196</v>
      </c>
      <c r="E256" s="660">
        <f t="shared" si="21"/>
        <v>2024</v>
      </c>
      <c r="F256" s="655">
        <f t="shared" si="22"/>
        <v>45657</v>
      </c>
      <c r="G256" s="656">
        <v>0</v>
      </c>
      <c r="H256" s="666">
        <f>+G256</f>
        <v>0</v>
      </c>
      <c r="I256" s="666">
        <v>0</v>
      </c>
      <c r="J256" s="760">
        <f t="shared" si="23"/>
        <v>0</v>
      </c>
      <c r="K256" s="761"/>
    </row>
    <row r="257" spans="1:11" ht="21">
      <c r="A257" s="650">
        <v>255</v>
      </c>
      <c r="B257" s="651"/>
      <c r="C257" s="652" t="s">
        <v>3200</v>
      </c>
      <c r="D257" s="653" t="s">
        <v>3201</v>
      </c>
      <c r="E257" s="660">
        <f t="shared" si="21"/>
        <v>2024</v>
      </c>
      <c r="F257" s="655">
        <f t="shared" si="22"/>
        <v>45657</v>
      </c>
      <c r="G257" s="656"/>
      <c r="H257" s="670">
        <f>SUM(H258:H267)</f>
        <v>807211</v>
      </c>
      <c r="I257" s="670">
        <v>0</v>
      </c>
      <c r="J257" s="760">
        <f t="shared" si="23"/>
        <v>807211</v>
      </c>
      <c r="K257" s="761"/>
    </row>
    <row r="258" spans="1:11" ht="31.5">
      <c r="A258" s="650">
        <v>256</v>
      </c>
      <c r="B258" s="651" t="s">
        <v>1422</v>
      </c>
      <c r="C258" s="662" t="s">
        <v>285</v>
      </c>
      <c r="D258" s="663" t="s">
        <v>3203</v>
      </c>
      <c r="E258" s="660">
        <f t="shared" si="21"/>
        <v>2024</v>
      </c>
      <c r="F258" s="655">
        <f t="shared" si="22"/>
        <v>45657</v>
      </c>
      <c r="G258" s="656">
        <v>0</v>
      </c>
      <c r="H258" s="666">
        <f t="shared" ref="H258:H268" si="27">+G258</f>
        <v>0</v>
      </c>
      <c r="I258" s="666">
        <v>0</v>
      </c>
      <c r="J258" s="760">
        <f t="shared" si="23"/>
        <v>0</v>
      </c>
      <c r="K258" s="761"/>
    </row>
    <row r="259" spans="1:11" ht="31.5">
      <c r="A259" s="650">
        <v>257</v>
      </c>
      <c r="B259" s="651"/>
      <c r="C259" s="662" t="s">
        <v>3216</v>
      </c>
      <c r="D259" s="663" t="s">
        <v>3217</v>
      </c>
      <c r="E259" s="660">
        <f t="shared" si="21"/>
        <v>2024</v>
      </c>
      <c r="F259" s="655">
        <f t="shared" si="22"/>
        <v>45657</v>
      </c>
      <c r="G259" s="656">
        <v>0</v>
      </c>
      <c r="H259" s="666">
        <f t="shared" si="27"/>
        <v>0</v>
      </c>
      <c r="I259" s="666">
        <v>0</v>
      </c>
      <c r="J259" s="760">
        <f t="shared" si="23"/>
        <v>0</v>
      </c>
      <c r="K259" s="761"/>
    </row>
    <row r="260" spans="1:11" ht="31.5">
      <c r="A260" s="650">
        <v>258</v>
      </c>
      <c r="B260" s="651" t="s">
        <v>1519</v>
      </c>
      <c r="C260" s="662" t="s">
        <v>286</v>
      </c>
      <c r="D260" s="663" t="s">
        <v>3220</v>
      </c>
      <c r="E260" s="660">
        <f t="shared" si="21"/>
        <v>2024</v>
      </c>
      <c r="F260" s="655">
        <f t="shared" si="22"/>
        <v>45657</v>
      </c>
      <c r="G260" s="656">
        <v>807211</v>
      </c>
      <c r="H260" s="666">
        <f t="shared" si="27"/>
        <v>807211</v>
      </c>
      <c r="I260" s="666">
        <v>0</v>
      </c>
      <c r="J260" s="760">
        <f t="shared" si="23"/>
        <v>807211</v>
      </c>
      <c r="K260" s="761"/>
    </row>
    <row r="261" spans="1:11" ht="31.5">
      <c r="A261" s="650">
        <v>259</v>
      </c>
      <c r="B261" s="672" t="s">
        <v>1422</v>
      </c>
      <c r="C261" s="677" t="s">
        <v>287</v>
      </c>
      <c r="D261" s="678" t="s">
        <v>3224</v>
      </c>
      <c r="E261" s="660">
        <f t="shared" ref="E261:E320" si="28">E260</f>
        <v>2024</v>
      </c>
      <c r="F261" s="655">
        <f t="shared" ref="F261:F320" si="29">+F260</f>
        <v>45657</v>
      </c>
      <c r="G261" s="656">
        <v>0</v>
      </c>
      <c r="H261" s="666">
        <f t="shared" si="27"/>
        <v>0</v>
      </c>
      <c r="I261" s="666">
        <v>0</v>
      </c>
      <c r="J261" s="760">
        <f t="shared" ref="J261:J320" si="30">H261-I261</f>
        <v>0</v>
      </c>
      <c r="K261" s="761"/>
    </row>
    <row r="262" spans="1:11" ht="31.5">
      <c r="A262" s="650">
        <v>260</v>
      </c>
      <c r="B262" s="672" t="s">
        <v>1422</v>
      </c>
      <c r="C262" s="677" t="s">
        <v>3229</v>
      </c>
      <c r="D262" s="678" t="s">
        <v>3230</v>
      </c>
      <c r="E262" s="660">
        <f t="shared" si="28"/>
        <v>2024</v>
      </c>
      <c r="F262" s="655">
        <f t="shared" si="29"/>
        <v>45657</v>
      </c>
      <c r="G262" s="656">
        <v>0</v>
      </c>
      <c r="H262" s="666">
        <f t="shared" si="27"/>
        <v>0</v>
      </c>
      <c r="I262" s="666">
        <v>0</v>
      </c>
      <c r="J262" s="760">
        <f t="shared" si="30"/>
        <v>0</v>
      </c>
      <c r="K262" s="761"/>
    </row>
    <row r="263" spans="1:11" ht="21">
      <c r="A263" s="650">
        <v>261</v>
      </c>
      <c r="B263" s="672" t="s">
        <v>1422</v>
      </c>
      <c r="C263" s="677" t="s">
        <v>288</v>
      </c>
      <c r="D263" s="678" t="s">
        <v>3234</v>
      </c>
      <c r="E263" s="660">
        <f t="shared" si="28"/>
        <v>2024</v>
      </c>
      <c r="F263" s="655">
        <f t="shared" si="29"/>
        <v>45657</v>
      </c>
      <c r="G263" s="656">
        <v>0</v>
      </c>
      <c r="H263" s="666">
        <f t="shared" si="27"/>
        <v>0</v>
      </c>
      <c r="I263" s="666">
        <v>0</v>
      </c>
      <c r="J263" s="760">
        <f t="shared" si="30"/>
        <v>0</v>
      </c>
      <c r="K263" s="761"/>
    </row>
    <row r="264" spans="1:11" ht="63">
      <c r="A264" s="650">
        <v>262</v>
      </c>
      <c r="B264" s="672" t="s">
        <v>1422</v>
      </c>
      <c r="C264" s="677" t="s">
        <v>3237</v>
      </c>
      <c r="D264" s="678" t="s">
        <v>3238</v>
      </c>
      <c r="E264" s="660">
        <f t="shared" si="28"/>
        <v>2024</v>
      </c>
      <c r="F264" s="655">
        <f t="shared" si="29"/>
        <v>45657</v>
      </c>
      <c r="G264" s="656">
        <v>0</v>
      </c>
      <c r="H264" s="666">
        <f t="shared" si="27"/>
        <v>0</v>
      </c>
      <c r="I264" s="666">
        <v>0</v>
      </c>
      <c r="J264" s="760">
        <f t="shared" si="30"/>
        <v>0</v>
      </c>
      <c r="K264" s="761"/>
    </row>
    <row r="265" spans="1:11" ht="31.5">
      <c r="A265" s="650">
        <v>263</v>
      </c>
      <c r="B265" s="694"/>
      <c r="C265" s="691" t="s">
        <v>3241</v>
      </c>
      <c r="D265" s="653" t="s">
        <v>3242</v>
      </c>
      <c r="E265" s="660">
        <f t="shared" si="28"/>
        <v>2024</v>
      </c>
      <c r="F265" s="655">
        <f t="shared" si="29"/>
        <v>45657</v>
      </c>
      <c r="G265" s="656">
        <v>0</v>
      </c>
      <c r="H265" s="666">
        <f t="shared" si="27"/>
        <v>0</v>
      </c>
      <c r="I265" s="666">
        <v>0</v>
      </c>
      <c r="J265" s="760">
        <f t="shared" si="30"/>
        <v>0</v>
      </c>
      <c r="K265" s="761"/>
    </row>
    <row r="266" spans="1:11" ht="21">
      <c r="A266" s="650">
        <v>264</v>
      </c>
      <c r="B266" s="682" t="s">
        <v>1422</v>
      </c>
      <c r="C266" s="677" t="s">
        <v>289</v>
      </c>
      <c r="D266" s="678" t="s">
        <v>3246</v>
      </c>
      <c r="E266" s="660">
        <f t="shared" si="28"/>
        <v>2024</v>
      </c>
      <c r="F266" s="655">
        <f t="shared" si="29"/>
        <v>45657</v>
      </c>
      <c r="G266" s="656">
        <v>0</v>
      </c>
      <c r="H266" s="666">
        <f t="shared" si="27"/>
        <v>0</v>
      </c>
      <c r="I266" s="666">
        <v>0</v>
      </c>
      <c r="J266" s="760">
        <f t="shared" si="30"/>
        <v>0</v>
      </c>
      <c r="K266" s="761"/>
    </row>
    <row r="267" spans="1:11" ht="21">
      <c r="A267" s="650">
        <v>265</v>
      </c>
      <c r="B267" s="682"/>
      <c r="C267" s="677" t="s">
        <v>3251</v>
      </c>
      <c r="D267" s="678" t="s">
        <v>3252</v>
      </c>
      <c r="E267" s="660">
        <f t="shared" si="28"/>
        <v>2024</v>
      </c>
      <c r="F267" s="655">
        <f t="shared" si="29"/>
        <v>45657</v>
      </c>
      <c r="G267" s="656">
        <v>0</v>
      </c>
      <c r="H267" s="666">
        <f t="shared" si="27"/>
        <v>0</v>
      </c>
      <c r="I267" s="666">
        <v>0</v>
      </c>
      <c r="J267" s="760">
        <f t="shared" si="30"/>
        <v>0</v>
      </c>
      <c r="K267" s="761"/>
    </row>
    <row r="268" spans="1:11">
      <c r="A268" s="650">
        <v>266</v>
      </c>
      <c r="B268" s="651"/>
      <c r="C268" s="652" t="s">
        <v>298</v>
      </c>
      <c r="D268" s="653" t="s">
        <v>3257</v>
      </c>
      <c r="E268" s="660">
        <f t="shared" si="28"/>
        <v>2024</v>
      </c>
      <c r="F268" s="655">
        <f t="shared" si="29"/>
        <v>45657</v>
      </c>
      <c r="G268" s="656">
        <v>400</v>
      </c>
      <c r="H268" s="666">
        <f t="shared" si="27"/>
        <v>400</v>
      </c>
      <c r="I268" s="666">
        <v>412</v>
      </c>
      <c r="J268" s="760">
        <f t="shared" si="30"/>
        <v>-12</v>
      </c>
      <c r="K268" s="761">
        <f t="shared" ref="K268:K320" si="31">H268/I268*100-100</f>
        <v>-2.9126213592232943</v>
      </c>
    </row>
    <row r="269" spans="1:11" ht="21">
      <c r="A269" s="650">
        <v>267</v>
      </c>
      <c r="B269" s="651"/>
      <c r="C269" s="652" t="s">
        <v>3261</v>
      </c>
      <c r="D269" s="653" t="s">
        <v>3262</v>
      </c>
      <c r="E269" s="660">
        <f t="shared" si="28"/>
        <v>2024</v>
      </c>
      <c r="F269" s="655">
        <f t="shared" si="29"/>
        <v>45657</v>
      </c>
      <c r="G269" s="656"/>
      <c r="H269" s="657">
        <f>+H270+H280+H281</f>
        <v>8358018.29</v>
      </c>
      <c r="I269" s="657">
        <v>8623918</v>
      </c>
      <c r="J269" s="760">
        <f t="shared" si="30"/>
        <v>-265899.70999999996</v>
      </c>
      <c r="K269" s="761">
        <f t="shared" si="31"/>
        <v>-3.0832819838964127</v>
      </c>
    </row>
    <row r="270" spans="1:11" ht="21">
      <c r="A270" s="650">
        <v>268</v>
      </c>
      <c r="B270" s="651"/>
      <c r="C270" s="662" t="s">
        <v>11898</v>
      </c>
      <c r="D270" s="663" t="s">
        <v>11899</v>
      </c>
      <c r="E270" s="660">
        <f t="shared" si="28"/>
        <v>2024</v>
      </c>
      <c r="F270" s="655">
        <f t="shared" si="29"/>
        <v>45657</v>
      </c>
      <c r="G270" s="656"/>
      <c r="H270" s="657">
        <f>SUM(H271:H279)</f>
        <v>8302917.3600000003</v>
      </c>
      <c r="I270" s="657">
        <v>8568497</v>
      </c>
      <c r="J270" s="760">
        <f t="shared" si="30"/>
        <v>-265579.63999999966</v>
      </c>
      <c r="K270" s="761">
        <f t="shared" si="31"/>
        <v>-3.0994892103014138</v>
      </c>
    </row>
    <row r="271" spans="1:11" ht="21">
      <c r="A271" s="650">
        <v>269</v>
      </c>
      <c r="B271" s="651" t="s">
        <v>1422</v>
      </c>
      <c r="C271" s="664" t="s">
        <v>290</v>
      </c>
      <c r="D271" s="665" t="s">
        <v>3264</v>
      </c>
      <c r="E271" s="660">
        <f t="shared" si="28"/>
        <v>2024</v>
      </c>
      <c r="F271" s="655">
        <f t="shared" si="29"/>
        <v>45657</v>
      </c>
      <c r="G271" s="656">
        <v>0</v>
      </c>
      <c r="H271" s="666">
        <f t="shared" ref="H271:H280" si="32">+G271</f>
        <v>0</v>
      </c>
      <c r="I271" s="666">
        <v>0</v>
      </c>
      <c r="J271" s="760">
        <f t="shared" si="30"/>
        <v>0</v>
      </c>
      <c r="K271" s="761"/>
    </row>
    <row r="272" spans="1:11" ht="42">
      <c r="A272" s="650">
        <v>270</v>
      </c>
      <c r="B272" s="651" t="s">
        <v>1422</v>
      </c>
      <c r="C272" s="664" t="s">
        <v>291</v>
      </c>
      <c r="D272" s="665" t="s">
        <v>3270</v>
      </c>
      <c r="E272" s="660">
        <f t="shared" si="28"/>
        <v>2024</v>
      </c>
      <c r="F272" s="655">
        <f t="shared" si="29"/>
        <v>45657</v>
      </c>
      <c r="G272" s="656">
        <v>0</v>
      </c>
      <c r="H272" s="666">
        <f t="shared" si="32"/>
        <v>0</v>
      </c>
      <c r="I272" s="666">
        <v>0</v>
      </c>
      <c r="J272" s="760">
        <f t="shared" si="30"/>
        <v>0</v>
      </c>
      <c r="K272" s="761"/>
    </row>
    <row r="273" spans="1:11" ht="42">
      <c r="A273" s="650">
        <v>271</v>
      </c>
      <c r="B273" s="651" t="s">
        <v>1422</v>
      </c>
      <c r="C273" s="664" t="s">
        <v>292</v>
      </c>
      <c r="D273" s="665" t="s">
        <v>3274</v>
      </c>
      <c r="E273" s="660">
        <f t="shared" si="28"/>
        <v>2024</v>
      </c>
      <c r="F273" s="655">
        <f t="shared" si="29"/>
        <v>45657</v>
      </c>
      <c r="G273" s="656">
        <v>0</v>
      </c>
      <c r="H273" s="666">
        <f t="shared" si="32"/>
        <v>0</v>
      </c>
      <c r="I273" s="666">
        <v>0</v>
      </c>
      <c r="J273" s="760">
        <f t="shared" si="30"/>
        <v>0</v>
      </c>
      <c r="K273" s="761"/>
    </row>
    <row r="274" spans="1:11" ht="31.5">
      <c r="A274" s="650">
        <v>272</v>
      </c>
      <c r="B274" s="651" t="s">
        <v>1519</v>
      </c>
      <c r="C274" s="664" t="s">
        <v>293</v>
      </c>
      <c r="D274" s="665" t="s">
        <v>3277</v>
      </c>
      <c r="E274" s="660">
        <f t="shared" si="28"/>
        <v>2024</v>
      </c>
      <c r="F274" s="655">
        <f t="shared" si="29"/>
        <v>45657</v>
      </c>
      <c r="G274" s="656">
        <v>0</v>
      </c>
      <c r="H274" s="666">
        <f t="shared" si="32"/>
        <v>0</v>
      </c>
      <c r="I274" s="666">
        <v>0</v>
      </c>
      <c r="J274" s="760">
        <f t="shared" si="30"/>
        <v>0</v>
      </c>
      <c r="K274" s="761"/>
    </row>
    <row r="275" spans="1:11" ht="31.5">
      <c r="A275" s="650">
        <v>273</v>
      </c>
      <c r="B275" s="682" t="s">
        <v>1519</v>
      </c>
      <c r="C275" s="664" t="s">
        <v>294</v>
      </c>
      <c r="D275" s="665" t="s">
        <v>3285</v>
      </c>
      <c r="E275" s="660">
        <f t="shared" si="28"/>
        <v>2024</v>
      </c>
      <c r="F275" s="655">
        <f t="shared" si="29"/>
        <v>45657</v>
      </c>
      <c r="G275" s="656">
        <v>16636.2</v>
      </c>
      <c r="H275" s="666">
        <f t="shared" si="32"/>
        <v>16636.2</v>
      </c>
      <c r="I275" s="666">
        <v>48712</v>
      </c>
      <c r="J275" s="760">
        <f t="shared" si="30"/>
        <v>-32075.8</v>
      </c>
      <c r="K275" s="761">
        <f t="shared" si="31"/>
        <v>-65.847840367876501</v>
      </c>
    </row>
    <row r="276" spans="1:11" ht="31.5">
      <c r="A276" s="650">
        <v>274</v>
      </c>
      <c r="B276" s="682" t="s">
        <v>1519</v>
      </c>
      <c r="C276" s="664" t="s">
        <v>295</v>
      </c>
      <c r="D276" s="665" t="s">
        <v>3339</v>
      </c>
      <c r="E276" s="660">
        <f t="shared" si="28"/>
        <v>2024</v>
      </c>
      <c r="F276" s="655">
        <f t="shared" si="29"/>
        <v>45657</v>
      </c>
      <c r="G276" s="656">
        <v>8286281.1600000001</v>
      </c>
      <c r="H276" s="666">
        <f t="shared" si="32"/>
        <v>8286281.1600000001</v>
      </c>
      <c r="I276" s="666">
        <v>8519785</v>
      </c>
      <c r="J276" s="760">
        <f t="shared" si="30"/>
        <v>-233503.83999999985</v>
      </c>
      <c r="K276" s="761">
        <f t="shared" si="31"/>
        <v>-2.7407245605376147</v>
      </c>
    </row>
    <row r="277" spans="1:11" ht="31.5">
      <c r="A277" s="650">
        <v>275</v>
      </c>
      <c r="B277" s="651" t="s">
        <v>1422</v>
      </c>
      <c r="C277" s="664" t="s">
        <v>3395</v>
      </c>
      <c r="D277" s="665" t="s">
        <v>11900</v>
      </c>
      <c r="E277" s="660">
        <f t="shared" si="28"/>
        <v>2024</v>
      </c>
      <c r="F277" s="655">
        <f t="shared" si="29"/>
        <v>45657</v>
      </c>
      <c r="G277" s="656">
        <v>0</v>
      </c>
      <c r="H277" s="666">
        <f t="shared" si="32"/>
        <v>0</v>
      </c>
      <c r="I277" s="666">
        <v>0</v>
      </c>
      <c r="J277" s="760">
        <f t="shared" si="30"/>
        <v>0</v>
      </c>
      <c r="K277" s="761"/>
    </row>
    <row r="278" spans="1:11" ht="42">
      <c r="A278" s="650">
        <v>276</v>
      </c>
      <c r="B278" s="651" t="s">
        <v>1519</v>
      </c>
      <c r="C278" s="673" t="s">
        <v>3434</v>
      </c>
      <c r="D278" s="684" t="s">
        <v>3435</v>
      </c>
      <c r="E278" s="660">
        <f t="shared" si="28"/>
        <v>2024</v>
      </c>
      <c r="F278" s="655">
        <f t="shared" si="29"/>
        <v>45657</v>
      </c>
      <c r="G278" s="656">
        <v>0</v>
      </c>
      <c r="H278" s="666">
        <f t="shared" si="32"/>
        <v>0</v>
      </c>
      <c r="I278" s="666">
        <v>0</v>
      </c>
      <c r="J278" s="760">
        <f t="shared" si="30"/>
        <v>0</v>
      </c>
      <c r="K278" s="761"/>
    </row>
    <row r="279" spans="1:11" ht="31.5">
      <c r="A279" s="650">
        <v>277</v>
      </c>
      <c r="B279" s="651" t="s">
        <v>1422</v>
      </c>
      <c r="C279" s="673" t="s">
        <v>3490</v>
      </c>
      <c r="D279" s="665" t="s">
        <v>3491</v>
      </c>
      <c r="E279" s="660">
        <f t="shared" si="28"/>
        <v>2024</v>
      </c>
      <c r="F279" s="655">
        <f t="shared" si="29"/>
        <v>45657</v>
      </c>
      <c r="G279" s="656">
        <v>0</v>
      </c>
      <c r="H279" s="666">
        <f t="shared" si="32"/>
        <v>0</v>
      </c>
      <c r="I279" s="666">
        <v>0</v>
      </c>
      <c r="J279" s="760">
        <f t="shared" si="30"/>
        <v>0</v>
      </c>
      <c r="K279" s="761"/>
    </row>
    <row r="280" spans="1:11" ht="21">
      <c r="A280" s="650">
        <v>278</v>
      </c>
      <c r="B280" s="651" t="s">
        <v>1340</v>
      </c>
      <c r="C280" s="662" t="s">
        <v>296</v>
      </c>
      <c r="D280" s="663" t="s">
        <v>11901</v>
      </c>
      <c r="E280" s="660">
        <f t="shared" si="28"/>
        <v>2024</v>
      </c>
      <c r="F280" s="655">
        <f t="shared" si="29"/>
        <v>45657</v>
      </c>
      <c r="G280" s="656">
        <v>55100.93</v>
      </c>
      <c r="H280" s="666">
        <f t="shared" si="32"/>
        <v>55100.93</v>
      </c>
      <c r="I280" s="666">
        <v>55421</v>
      </c>
      <c r="J280" s="760">
        <f t="shared" si="30"/>
        <v>-320.06999999999971</v>
      </c>
      <c r="K280" s="761">
        <f t="shared" si="31"/>
        <v>-0.57752476498077954</v>
      </c>
    </row>
    <row r="281" spans="1:11" ht="31.5">
      <c r="A281" s="650">
        <v>279</v>
      </c>
      <c r="B281" s="672"/>
      <c r="C281" s="662" t="s">
        <v>297</v>
      </c>
      <c r="D281" s="663" t="s">
        <v>11902</v>
      </c>
      <c r="E281" s="660">
        <f t="shared" si="28"/>
        <v>2024</v>
      </c>
      <c r="F281" s="655">
        <f t="shared" si="29"/>
        <v>45657</v>
      </c>
      <c r="G281" s="656"/>
      <c r="H281" s="670">
        <f>SUM(H282:H286)</f>
        <v>0</v>
      </c>
      <c r="I281" s="670">
        <v>0</v>
      </c>
      <c r="J281" s="760">
        <f t="shared" si="30"/>
        <v>0</v>
      </c>
      <c r="K281" s="761"/>
    </row>
    <row r="282" spans="1:11" ht="42">
      <c r="A282" s="650">
        <v>280</v>
      </c>
      <c r="B282" s="672" t="s">
        <v>1422</v>
      </c>
      <c r="C282" s="673" t="s">
        <v>3500</v>
      </c>
      <c r="D282" s="675" t="s">
        <v>3501</v>
      </c>
      <c r="E282" s="660">
        <f t="shared" si="28"/>
        <v>2024</v>
      </c>
      <c r="F282" s="655">
        <f t="shared" si="29"/>
        <v>45657</v>
      </c>
      <c r="G282" s="656">
        <v>0</v>
      </c>
      <c r="H282" s="666">
        <f>+G282</f>
        <v>0</v>
      </c>
      <c r="I282" s="666">
        <v>0</v>
      </c>
      <c r="J282" s="760">
        <f t="shared" si="30"/>
        <v>0</v>
      </c>
      <c r="K282" s="761"/>
    </row>
    <row r="283" spans="1:11" ht="42">
      <c r="A283" s="650">
        <v>281</v>
      </c>
      <c r="B283" s="672" t="s">
        <v>1422</v>
      </c>
      <c r="C283" s="673" t="s">
        <v>3504</v>
      </c>
      <c r="D283" s="675" t="s">
        <v>3505</v>
      </c>
      <c r="E283" s="660">
        <f t="shared" si="28"/>
        <v>2024</v>
      </c>
      <c r="F283" s="655">
        <f t="shared" si="29"/>
        <v>45657</v>
      </c>
      <c r="G283" s="656">
        <v>0</v>
      </c>
      <c r="H283" s="666">
        <f>+G283</f>
        <v>0</v>
      </c>
      <c r="I283" s="666">
        <v>0</v>
      </c>
      <c r="J283" s="760">
        <f t="shared" si="30"/>
        <v>0</v>
      </c>
      <c r="K283" s="761"/>
    </row>
    <row r="284" spans="1:11" ht="31.5">
      <c r="A284" s="650">
        <v>282</v>
      </c>
      <c r="B284" s="672" t="s">
        <v>1422</v>
      </c>
      <c r="C284" s="673" t="s">
        <v>3508</v>
      </c>
      <c r="D284" s="675" t="s">
        <v>3509</v>
      </c>
      <c r="E284" s="660">
        <f t="shared" si="28"/>
        <v>2024</v>
      </c>
      <c r="F284" s="655">
        <f t="shared" si="29"/>
        <v>45657</v>
      </c>
      <c r="G284" s="656">
        <v>0</v>
      </c>
      <c r="H284" s="666">
        <f>+G284</f>
        <v>0</v>
      </c>
      <c r="I284" s="666">
        <v>0</v>
      </c>
      <c r="J284" s="760">
        <f t="shared" si="30"/>
        <v>0</v>
      </c>
      <c r="K284" s="761"/>
    </row>
    <row r="285" spans="1:11" ht="52.5">
      <c r="A285" s="650">
        <v>283</v>
      </c>
      <c r="B285" s="672" t="s">
        <v>1422</v>
      </c>
      <c r="C285" s="673" t="s">
        <v>3512</v>
      </c>
      <c r="D285" s="675" t="s">
        <v>3513</v>
      </c>
      <c r="E285" s="660">
        <f t="shared" si="28"/>
        <v>2024</v>
      </c>
      <c r="F285" s="655">
        <f t="shared" si="29"/>
        <v>45657</v>
      </c>
      <c r="G285" s="656">
        <v>0</v>
      </c>
      <c r="H285" s="666">
        <f>+G285</f>
        <v>0</v>
      </c>
      <c r="I285" s="666">
        <v>0</v>
      </c>
      <c r="J285" s="760">
        <f t="shared" si="30"/>
        <v>0</v>
      </c>
      <c r="K285" s="761"/>
    </row>
    <row r="286" spans="1:11" ht="31.5">
      <c r="A286" s="650">
        <v>284</v>
      </c>
      <c r="B286" s="672" t="s">
        <v>1422</v>
      </c>
      <c r="C286" s="673" t="s">
        <v>3516</v>
      </c>
      <c r="D286" s="675" t="s">
        <v>3517</v>
      </c>
      <c r="E286" s="660">
        <f t="shared" si="28"/>
        <v>2024</v>
      </c>
      <c r="F286" s="655">
        <f t="shared" si="29"/>
        <v>45657</v>
      </c>
      <c r="G286" s="656">
        <v>0</v>
      </c>
      <c r="H286" s="666">
        <f>+G286</f>
        <v>0</v>
      </c>
      <c r="I286" s="666">
        <v>0</v>
      </c>
      <c r="J286" s="760">
        <f t="shared" si="30"/>
        <v>0</v>
      </c>
      <c r="K286" s="761"/>
    </row>
    <row r="287" spans="1:11" ht="31.5">
      <c r="A287" s="650">
        <v>285</v>
      </c>
      <c r="B287" s="651"/>
      <c r="C287" s="652" t="s">
        <v>3519</v>
      </c>
      <c r="D287" s="653" t="s">
        <v>3520</v>
      </c>
      <c r="E287" s="660">
        <f t="shared" si="28"/>
        <v>2024</v>
      </c>
      <c r="F287" s="655">
        <f t="shared" si="29"/>
        <v>45657</v>
      </c>
      <c r="G287" s="656"/>
      <c r="H287" s="670">
        <f>+H288+H289+H290</f>
        <v>0</v>
      </c>
      <c r="I287" s="670">
        <v>23408</v>
      </c>
      <c r="J287" s="760">
        <f t="shared" si="30"/>
        <v>-23408</v>
      </c>
      <c r="K287" s="761">
        <f t="shared" si="31"/>
        <v>-100</v>
      </c>
    </row>
    <row r="288" spans="1:11">
      <c r="A288" s="650">
        <v>286</v>
      </c>
      <c r="B288" s="651"/>
      <c r="C288" s="662" t="s">
        <v>304</v>
      </c>
      <c r="D288" s="663" t="s">
        <v>3522</v>
      </c>
      <c r="E288" s="660">
        <f t="shared" si="28"/>
        <v>2024</v>
      </c>
      <c r="F288" s="655">
        <f t="shared" si="29"/>
        <v>45657</v>
      </c>
      <c r="G288" s="656">
        <v>0</v>
      </c>
      <c r="H288" s="666">
        <f>+G288</f>
        <v>0</v>
      </c>
      <c r="I288" s="666">
        <v>23408</v>
      </c>
      <c r="J288" s="760">
        <f t="shared" si="30"/>
        <v>-23408</v>
      </c>
      <c r="K288" s="761">
        <f t="shared" si="31"/>
        <v>-100</v>
      </c>
    </row>
    <row r="289" spans="1:11" ht="21">
      <c r="A289" s="650">
        <v>287</v>
      </c>
      <c r="B289" s="651"/>
      <c r="C289" s="662" t="s">
        <v>305</v>
      </c>
      <c r="D289" s="663" t="s">
        <v>3530</v>
      </c>
      <c r="E289" s="660">
        <f t="shared" si="28"/>
        <v>2024</v>
      </c>
      <c r="F289" s="655">
        <f t="shared" si="29"/>
        <v>45657</v>
      </c>
      <c r="G289" s="656">
        <v>0</v>
      </c>
      <c r="H289" s="666">
        <f>+G289</f>
        <v>0</v>
      </c>
      <c r="I289" s="666">
        <v>0</v>
      </c>
      <c r="J289" s="760">
        <f t="shared" si="30"/>
        <v>0</v>
      </c>
      <c r="K289" s="761"/>
    </row>
    <row r="290" spans="1:11">
      <c r="A290" s="650">
        <v>288</v>
      </c>
      <c r="B290" s="651"/>
      <c r="C290" s="662" t="s">
        <v>306</v>
      </c>
      <c r="D290" s="663" t="s">
        <v>3526</v>
      </c>
      <c r="E290" s="660">
        <f t="shared" si="28"/>
        <v>2024</v>
      </c>
      <c r="F290" s="655">
        <f t="shared" si="29"/>
        <v>45657</v>
      </c>
      <c r="G290" s="656">
        <v>0</v>
      </c>
      <c r="H290" s="666">
        <f>+G290</f>
        <v>0</v>
      </c>
      <c r="I290" s="666">
        <v>0</v>
      </c>
      <c r="J290" s="760">
        <f t="shared" si="30"/>
        <v>0</v>
      </c>
      <c r="K290" s="761"/>
    </row>
    <row r="291" spans="1:11">
      <c r="A291" s="650">
        <v>289</v>
      </c>
      <c r="B291" s="651"/>
      <c r="C291" s="652" t="s">
        <v>299</v>
      </c>
      <c r="D291" s="653" t="s">
        <v>3540</v>
      </c>
      <c r="E291" s="660">
        <f t="shared" si="28"/>
        <v>2024</v>
      </c>
      <c r="F291" s="655">
        <f t="shared" si="29"/>
        <v>45657</v>
      </c>
      <c r="G291" s="656"/>
      <c r="H291" s="670">
        <f>+H292+H295</f>
        <v>42371216.859999999</v>
      </c>
      <c r="I291" s="670">
        <v>48139649</v>
      </c>
      <c r="J291" s="760">
        <f t="shared" si="30"/>
        <v>-5768432.1400000006</v>
      </c>
      <c r="K291" s="761">
        <f t="shared" si="31"/>
        <v>-11.982705025539346</v>
      </c>
    </row>
    <row r="292" spans="1:11" ht="42">
      <c r="A292" s="650">
        <v>290</v>
      </c>
      <c r="B292" s="651"/>
      <c r="C292" s="662" t="s">
        <v>300</v>
      </c>
      <c r="D292" s="663" t="s">
        <v>11903</v>
      </c>
      <c r="E292" s="660">
        <f t="shared" si="28"/>
        <v>2024</v>
      </c>
      <c r="F292" s="655">
        <f t="shared" si="29"/>
        <v>45657</v>
      </c>
      <c r="G292" s="656"/>
      <c r="H292" s="670">
        <f>+H293+H294</f>
        <v>2099.7399999999998</v>
      </c>
      <c r="I292" s="670">
        <v>2100</v>
      </c>
      <c r="J292" s="760">
        <f t="shared" si="30"/>
        <v>-0.26000000000021828</v>
      </c>
      <c r="K292" s="761">
        <f t="shared" si="31"/>
        <v>-1.2380952380965482E-2</v>
      </c>
    </row>
    <row r="293" spans="1:11" ht="42">
      <c r="A293" s="650">
        <v>291</v>
      </c>
      <c r="B293" s="651"/>
      <c r="C293" s="662" t="s">
        <v>3544</v>
      </c>
      <c r="D293" s="695" t="s">
        <v>3545</v>
      </c>
      <c r="E293" s="660">
        <f t="shared" si="28"/>
        <v>2024</v>
      </c>
      <c r="F293" s="655">
        <f t="shared" si="29"/>
        <v>45657</v>
      </c>
      <c r="G293" s="656">
        <v>2099.7399999999998</v>
      </c>
      <c r="H293" s="666">
        <f>+G293</f>
        <v>2099.7399999999998</v>
      </c>
      <c r="I293" s="666">
        <v>2100</v>
      </c>
      <c r="J293" s="760">
        <f t="shared" si="30"/>
        <v>-0.26000000000021828</v>
      </c>
      <c r="K293" s="761">
        <f t="shared" si="31"/>
        <v>-1.2380952380965482E-2</v>
      </c>
    </row>
    <row r="294" spans="1:11" ht="31.5">
      <c r="A294" s="650">
        <v>292</v>
      </c>
      <c r="B294" s="651"/>
      <c r="C294" s="662" t="s">
        <v>3568</v>
      </c>
      <c r="D294" s="695" t="s">
        <v>3569</v>
      </c>
      <c r="E294" s="660">
        <f t="shared" si="28"/>
        <v>2024</v>
      </c>
      <c r="F294" s="655">
        <f t="shared" si="29"/>
        <v>45657</v>
      </c>
      <c r="G294" s="656">
        <v>0</v>
      </c>
      <c r="H294" s="666">
        <f>+G294</f>
        <v>0</v>
      </c>
      <c r="I294" s="666">
        <v>0</v>
      </c>
      <c r="J294" s="760">
        <f t="shared" si="30"/>
        <v>0</v>
      </c>
      <c r="K294" s="761"/>
    </row>
    <row r="295" spans="1:11">
      <c r="A295" s="650">
        <v>293</v>
      </c>
      <c r="B295" s="651"/>
      <c r="C295" s="662" t="s">
        <v>301</v>
      </c>
      <c r="D295" s="695" t="s">
        <v>3586</v>
      </c>
      <c r="E295" s="660">
        <f t="shared" si="28"/>
        <v>2024</v>
      </c>
      <c r="F295" s="655">
        <f t="shared" si="29"/>
        <v>45657</v>
      </c>
      <c r="G295" s="656">
        <v>0</v>
      </c>
      <c r="H295" s="670">
        <f>+H296+H297</f>
        <v>42369117.119999997</v>
      </c>
      <c r="I295" s="670">
        <v>48137549</v>
      </c>
      <c r="J295" s="760">
        <f t="shared" si="30"/>
        <v>-5768431.8800000027</v>
      </c>
      <c r="K295" s="761">
        <f t="shared" si="31"/>
        <v>-11.983227230784024</v>
      </c>
    </row>
    <row r="296" spans="1:11" ht="21">
      <c r="A296" s="650">
        <v>294</v>
      </c>
      <c r="B296" s="651"/>
      <c r="C296" s="696" t="s">
        <v>3590</v>
      </c>
      <c r="D296" s="697" t="s">
        <v>3591</v>
      </c>
      <c r="E296" s="660">
        <f t="shared" si="28"/>
        <v>2024</v>
      </c>
      <c r="F296" s="655">
        <f t="shared" si="29"/>
        <v>45657</v>
      </c>
      <c r="G296" s="656">
        <v>42672675.43</v>
      </c>
      <c r="H296" s="666">
        <f>+G296</f>
        <v>42672675.43</v>
      </c>
      <c r="I296" s="666">
        <v>48137549</v>
      </c>
      <c r="J296" s="760">
        <f t="shared" si="30"/>
        <v>-5464873.5700000003</v>
      </c>
      <c r="K296" s="761">
        <f t="shared" si="31"/>
        <v>-11.352621152356562</v>
      </c>
    </row>
    <row r="297" spans="1:11" ht="21">
      <c r="A297" s="650">
        <v>295</v>
      </c>
      <c r="B297" s="651"/>
      <c r="C297" s="696" t="s">
        <v>3638</v>
      </c>
      <c r="D297" s="697" t="s">
        <v>11904</v>
      </c>
      <c r="E297" s="660">
        <f t="shared" si="28"/>
        <v>2024</v>
      </c>
      <c r="F297" s="655">
        <f t="shared" si="29"/>
        <v>45657</v>
      </c>
      <c r="G297" s="656">
        <v>-303558.31</v>
      </c>
      <c r="H297" s="666">
        <f>+G297</f>
        <v>-303558.31</v>
      </c>
      <c r="I297" s="666">
        <v>0</v>
      </c>
      <c r="J297" s="760">
        <f t="shared" si="30"/>
        <v>-303558.31</v>
      </c>
      <c r="K297" s="761"/>
    </row>
    <row r="298" spans="1:11" ht="21">
      <c r="A298" s="650">
        <v>296</v>
      </c>
      <c r="B298" s="651"/>
      <c r="C298" s="652" t="s">
        <v>278</v>
      </c>
      <c r="D298" s="653" t="s">
        <v>11905</v>
      </c>
      <c r="E298" s="660">
        <f t="shared" si="28"/>
        <v>2024</v>
      </c>
      <c r="F298" s="655">
        <f t="shared" si="29"/>
        <v>45657</v>
      </c>
      <c r="G298" s="656">
        <v>12457277.880000001</v>
      </c>
      <c r="H298" s="666">
        <f>+G298</f>
        <v>12457277.880000001</v>
      </c>
      <c r="I298" s="666">
        <v>243026</v>
      </c>
      <c r="J298" s="760">
        <f t="shared" si="30"/>
        <v>12214251.880000001</v>
      </c>
      <c r="K298" s="761">
        <f t="shared" si="31"/>
        <v>5025.9033519047352</v>
      </c>
    </row>
    <row r="299" spans="1:11">
      <c r="A299" s="650">
        <v>297</v>
      </c>
      <c r="B299" s="651"/>
      <c r="C299" s="652" t="s">
        <v>302</v>
      </c>
      <c r="D299" s="653" t="s">
        <v>3671</v>
      </c>
      <c r="E299" s="660">
        <f t="shared" si="28"/>
        <v>2024</v>
      </c>
      <c r="F299" s="655">
        <f t="shared" si="29"/>
        <v>45657</v>
      </c>
      <c r="G299" s="656">
        <v>7192014.6200000001</v>
      </c>
      <c r="H299" s="666">
        <f>+G299</f>
        <v>7192014.6200000001</v>
      </c>
      <c r="I299" s="666">
        <v>8153597</v>
      </c>
      <c r="J299" s="760">
        <f t="shared" si="30"/>
        <v>-961582.37999999989</v>
      </c>
      <c r="K299" s="761">
        <f t="shared" si="31"/>
        <v>-11.793351817608837</v>
      </c>
    </row>
    <row r="300" spans="1:11" ht="31.5">
      <c r="A300" s="650">
        <v>298</v>
      </c>
      <c r="B300" s="651"/>
      <c r="C300" s="652" t="s">
        <v>303</v>
      </c>
      <c r="D300" s="653" t="s">
        <v>3709</v>
      </c>
      <c r="E300" s="660">
        <f t="shared" si="28"/>
        <v>2024</v>
      </c>
      <c r="F300" s="655">
        <f t="shared" si="29"/>
        <v>45657</v>
      </c>
      <c r="G300" s="656">
        <v>12348374.17</v>
      </c>
      <c r="H300" s="666">
        <f>+G300</f>
        <v>12348374.17</v>
      </c>
      <c r="I300" s="666">
        <v>8579852</v>
      </c>
      <c r="J300" s="760">
        <f t="shared" si="30"/>
        <v>3768522.17</v>
      </c>
      <c r="K300" s="761">
        <f t="shared" si="31"/>
        <v>43.922927458422379</v>
      </c>
    </row>
    <row r="301" spans="1:11">
      <c r="A301" s="650">
        <v>299</v>
      </c>
      <c r="B301" s="651"/>
      <c r="C301" s="652" t="s">
        <v>616</v>
      </c>
      <c r="D301" s="653" t="s">
        <v>11906</v>
      </c>
      <c r="E301" s="660">
        <f t="shared" si="28"/>
        <v>2024</v>
      </c>
      <c r="F301" s="655">
        <f t="shared" si="29"/>
        <v>45657</v>
      </c>
      <c r="G301" s="656"/>
      <c r="H301" s="670">
        <f>+H302+H303+H304+H305</f>
        <v>18893004.829999994</v>
      </c>
      <c r="I301" s="670">
        <v>23334044</v>
      </c>
      <c r="J301" s="760">
        <f t="shared" si="30"/>
        <v>-4441039.1700000055</v>
      </c>
      <c r="K301" s="761">
        <f t="shared" si="31"/>
        <v>-19.032445340379084</v>
      </c>
    </row>
    <row r="302" spans="1:11">
      <c r="A302" s="650">
        <v>300</v>
      </c>
      <c r="B302" s="651"/>
      <c r="C302" s="662" t="s">
        <v>279</v>
      </c>
      <c r="D302" s="663" t="s">
        <v>3751</v>
      </c>
      <c r="E302" s="660">
        <f t="shared" si="28"/>
        <v>2024</v>
      </c>
      <c r="F302" s="655">
        <f t="shared" si="29"/>
        <v>45657</v>
      </c>
      <c r="G302" s="656">
        <v>0</v>
      </c>
      <c r="H302" s="666">
        <f>+G302</f>
        <v>0</v>
      </c>
      <c r="I302" s="666">
        <v>0</v>
      </c>
      <c r="J302" s="760">
        <f t="shared" si="30"/>
        <v>0</v>
      </c>
      <c r="K302" s="761"/>
    </row>
    <row r="303" spans="1:11">
      <c r="A303" s="650">
        <v>301</v>
      </c>
      <c r="B303" s="651"/>
      <c r="C303" s="662" t="s">
        <v>607</v>
      </c>
      <c r="D303" s="663" t="s">
        <v>3756</v>
      </c>
      <c r="E303" s="660">
        <f t="shared" si="28"/>
        <v>2024</v>
      </c>
      <c r="F303" s="655">
        <f t="shared" si="29"/>
        <v>45657</v>
      </c>
      <c r="G303" s="656">
        <v>17646485.129999995</v>
      </c>
      <c r="H303" s="666">
        <f>+G303</f>
        <v>17646485.129999995</v>
      </c>
      <c r="I303" s="666">
        <v>22622107</v>
      </c>
      <c r="J303" s="760">
        <f t="shared" si="30"/>
        <v>-4975621.8700000048</v>
      </c>
      <c r="K303" s="761">
        <f t="shared" si="31"/>
        <v>-21.994511253969435</v>
      </c>
    </row>
    <row r="304" spans="1:11" ht="21">
      <c r="A304" s="650">
        <v>302</v>
      </c>
      <c r="B304" s="651"/>
      <c r="C304" s="662" t="s">
        <v>608</v>
      </c>
      <c r="D304" s="663" t="s">
        <v>4454</v>
      </c>
      <c r="E304" s="660">
        <f t="shared" si="28"/>
        <v>2024</v>
      </c>
      <c r="F304" s="655">
        <f t="shared" si="29"/>
        <v>45657</v>
      </c>
      <c r="G304" s="656">
        <v>0</v>
      </c>
      <c r="H304" s="666">
        <f>+G304</f>
        <v>0</v>
      </c>
      <c r="I304" s="666">
        <v>0</v>
      </c>
      <c r="J304" s="760">
        <f t="shared" si="30"/>
        <v>0</v>
      </c>
      <c r="K304" s="761"/>
    </row>
    <row r="305" spans="1:11">
      <c r="A305" s="650">
        <v>303</v>
      </c>
      <c r="B305" s="651"/>
      <c r="C305" s="662" t="s">
        <v>609</v>
      </c>
      <c r="D305" s="663" t="s">
        <v>4458</v>
      </c>
      <c r="E305" s="660">
        <f t="shared" si="28"/>
        <v>2024</v>
      </c>
      <c r="F305" s="655">
        <f t="shared" si="29"/>
        <v>45657</v>
      </c>
      <c r="G305" s="656">
        <v>1246519.7</v>
      </c>
      <c r="H305" s="666">
        <f>+G305</f>
        <v>1246519.7</v>
      </c>
      <c r="I305" s="666">
        <v>711937</v>
      </c>
      <c r="J305" s="760">
        <f t="shared" si="30"/>
        <v>534582.69999999995</v>
      </c>
      <c r="K305" s="761">
        <f t="shared" si="31"/>
        <v>75.088483952934041</v>
      </c>
    </row>
    <row r="306" spans="1:11">
      <c r="A306" s="650">
        <v>304</v>
      </c>
      <c r="B306" s="651"/>
      <c r="C306" s="652" t="s">
        <v>4528</v>
      </c>
      <c r="D306" s="653" t="s">
        <v>11907</v>
      </c>
      <c r="E306" s="660">
        <f t="shared" si="28"/>
        <v>2024</v>
      </c>
      <c r="F306" s="655">
        <f t="shared" si="29"/>
        <v>45657</v>
      </c>
      <c r="G306" s="656"/>
      <c r="H306" s="670">
        <f>+H307+H310</f>
        <v>1920933.66</v>
      </c>
      <c r="I306" s="670">
        <v>2527934</v>
      </c>
      <c r="J306" s="760">
        <f t="shared" si="30"/>
        <v>-607000.34000000008</v>
      </c>
      <c r="K306" s="761">
        <f t="shared" si="31"/>
        <v>-24.011716286896728</v>
      </c>
    </row>
    <row r="307" spans="1:11">
      <c r="A307" s="650">
        <v>305</v>
      </c>
      <c r="B307" s="651"/>
      <c r="C307" s="652" t="s">
        <v>4529</v>
      </c>
      <c r="D307" s="653" t="s">
        <v>4530</v>
      </c>
      <c r="E307" s="660">
        <f t="shared" si="28"/>
        <v>2024</v>
      </c>
      <c r="F307" s="655">
        <f t="shared" si="29"/>
        <v>45657</v>
      </c>
      <c r="G307" s="656"/>
      <c r="H307" s="670">
        <f>+H308+H309</f>
        <v>0</v>
      </c>
      <c r="I307" s="670">
        <v>0</v>
      </c>
      <c r="J307" s="760">
        <f t="shared" si="30"/>
        <v>0</v>
      </c>
      <c r="K307" s="761"/>
    </row>
    <row r="308" spans="1:11">
      <c r="A308" s="650">
        <v>306</v>
      </c>
      <c r="B308" s="651"/>
      <c r="C308" s="662" t="s">
        <v>11908</v>
      </c>
      <c r="D308" s="663" t="s">
        <v>4532</v>
      </c>
      <c r="E308" s="660">
        <f t="shared" si="28"/>
        <v>2024</v>
      </c>
      <c r="F308" s="655">
        <f t="shared" si="29"/>
        <v>45657</v>
      </c>
      <c r="G308" s="656">
        <v>0</v>
      </c>
      <c r="H308" s="666">
        <f>+G308</f>
        <v>0</v>
      </c>
      <c r="I308" s="666">
        <v>0</v>
      </c>
      <c r="J308" s="760">
        <f t="shared" si="30"/>
        <v>0</v>
      </c>
      <c r="K308" s="761"/>
    </row>
    <row r="309" spans="1:11" ht="21">
      <c r="A309" s="650">
        <v>307</v>
      </c>
      <c r="B309" s="651" t="s">
        <v>1519</v>
      </c>
      <c r="C309" s="662" t="s">
        <v>4540</v>
      </c>
      <c r="D309" s="663" t="s">
        <v>4541</v>
      </c>
      <c r="E309" s="660">
        <f t="shared" si="28"/>
        <v>2024</v>
      </c>
      <c r="F309" s="655">
        <f t="shared" si="29"/>
        <v>45657</v>
      </c>
      <c r="G309" s="656">
        <v>0</v>
      </c>
      <c r="H309" s="666">
        <f>+G309</f>
        <v>0</v>
      </c>
      <c r="I309" s="666">
        <v>0</v>
      </c>
      <c r="J309" s="760">
        <f t="shared" si="30"/>
        <v>0</v>
      </c>
      <c r="K309" s="761"/>
    </row>
    <row r="310" spans="1:11">
      <c r="A310" s="650">
        <v>308</v>
      </c>
      <c r="B310" s="651"/>
      <c r="C310" s="652" t="s">
        <v>4543</v>
      </c>
      <c r="D310" s="653" t="s">
        <v>4544</v>
      </c>
      <c r="E310" s="660">
        <f t="shared" si="28"/>
        <v>2024</v>
      </c>
      <c r="F310" s="655">
        <f t="shared" si="29"/>
        <v>45657</v>
      </c>
      <c r="G310" s="656"/>
      <c r="H310" s="670">
        <f>+H311+H312+H313</f>
        <v>1920933.66</v>
      </c>
      <c r="I310" s="670">
        <v>2527934</v>
      </c>
      <c r="J310" s="760">
        <f t="shared" si="30"/>
        <v>-607000.34000000008</v>
      </c>
      <c r="K310" s="761">
        <f t="shared" si="31"/>
        <v>-24.011716286896728</v>
      </c>
    </row>
    <row r="311" spans="1:11">
      <c r="A311" s="650">
        <v>309</v>
      </c>
      <c r="B311" s="651"/>
      <c r="C311" s="662" t="s">
        <v>4546</v>
      </c>
      <c r="D311" s="663" t="s">
        <v>4547</v>
      </c>
      <c r="E311" s="660">
        <f t="shared" si="28"/>
        <v>2024</v>
      </c>
      <c r="F311" s="655">
        <f t="shared" si="29"/>
        <v>45657</v>
      </c>
      <c r="G311" s="656">
        <v>1920933.66</v>
      </c>
      <c r="H311" s="666">
        <f>+G311</f>
        <v>1920933.66</v>
      </c>
      <c r="I311" s="666">
        <v>2527934</v>
      </c>
      <c r="J311" s="760">
        <f t="shared" si="30"/>
        <v>-607000.34000000008</v>
      </c>
      <c r="K311" s="761">
        <f t="shared" si="31"/>
        <v>-24.011716286896728</v>
      </c>
    </row>
    <row r="312" spans="1:11" ht="21">
      <c r="A312" s="650">
        <v>310</v>
      </c>
      <c r="B312" s="651" t="s">
        <v>1519</v>
      </c>
      <c r="C312" s="662" t="s">
        <v>4581</v>
      </c>
      <c r="D312" s="663" t="s">
        <v>4582</v>
      </c>
      <c r="E312" s="660">
        <f t="shared" si="28"/>
        <v>2024</v>
      </c>
      <c r="F312" s="655">
        <f t="shared" si="29"/>
        <v>45657</v>
      </c>
      <c r="G312" s="656">
        <v>0</v>
      </c>
      <c r="H312" s="666">
        <f>+G312</f>
        <v>0</v>
      </c>
      <c r="I312" s="666">
        <v>0</v>
      </c>
      <c r="J312" s="760">
        <f t="shared" si="30"/>
        <v>0</v>
      </c>
      <c r="K312" s="761"/>
    </row>
    <row r="313" spans="1:11" ht="63">
      <c r="A313" s="650">
        <v>311</v>
      </c>
      <c r="B313" s="651"/>
      <c r="C313" s="662" t="s">
        <v>4590</v>
      </c>
      <c r="D313" s="663" t="s">
        <v>4591</v>
      </c>
      <c r="E313" s="660">
        <f t="shared" si="28"/>
        <v>2024</v>
      </c>
      <c r="F313" s="655">
        <f t="shared" si="29"/>
        <v>45657</v>
      </c>
      <c r="G313" s="656">
        <v>0</v>
      </c>
      <c r="H313" s="666">
        <f>+G313</f>
        <v>0</v>
      </c>
      <c r="I313" s="666">
        <v>0</v>
      </c>
      <c r="J313" s="760">
        <f t="shared" si="30"/>
        <v>0</v>
      </c>
      <c r="K313" s="761"/>
    </row>
    <row r="314" spans="1:11" ht="21">
      <c r="A314" s="650">
        <v>312</v>
      </c>
      <c r="B314" s="651"/>
      <c r="C314" s="689" t="s">
        <v>11909</v>
      </c>
      <c r="D314" s="698" t="s">
        <v>11910</v>
      </c>
      <c r="E314" s="660">
        <f t="shared" si="28"/>
        <v>2024</v>
      </c>
      <c r="F314" s="655">
        <f t="shared" si="29"/>
        <v>45657</v>
      </c>
      <c r="G314" s="656"/>
      <c r="H314" s="670">
        <f>+H306+H249+H245+H212+H188</f>
        <v>304320709.66999996</v>
      </c>
      <c r="I314" s="670">
        <v>298130366</v>
      </c>
      <c r="J314" s="760">
        <f t="shared" si="30"/>
        <v>6190343.6699999571</v>
      </c>
      <c r="K314" s="761">
        <f t="shared" si="31"/>
        <v>2.0763881764395649</v>
      </c>
    </row>
    <row r="315" spans="1:11">
      <c r="A315" s="650">
        <v>313</v>
      </c>
      <c r="B315" s="651"/>
      <c r="C315" s="691" t="s">
        <v>4594</v>
      </c>
      <c r="D315" s="693" t="s">
        <v>11911</v>
      </c>
      <c r="E315" s="660">
        <f t="shared" si="28"/>
        <v>2024</v>
      </c>
      <c r="F315" s="655">
        <f t="shared" si="29"/>
        <v>45657</v>
      </c>
      <c r="G315" s="656"/>
      <c r="H315" s="670">
        <f>+H316+H317+H318+H319+H320</f>
        <v>290984078.96999997</v>
      </c>
      <c r="I315" s="670">
        <v>290984079</v>
      </c>
      <c r="J315" s="760">
        <f t="shared" si="30"/>
        <v>-3.0000030994415283E-2</v>
      </c>
      <c r="K315" s="761">
        <f t="shared" si="31"/>
        <v>-1.0309847198186617E-8</v>
      </c>
    </row>
    <row r="316" spans="1:11" ht="21">
      <c r="A316" s="650">
        <v>314</v>
      </c>
      <c r="B316" s="651"/>
      <c r="C316" s="691" t="s">
        <v>610</v>
      </c>
      <c r="D316" s="693" t="s">
        <v>4595</v>
      </c>
      <c r="E316" s="660">
        <f t="shared" si="28"/>
        <v>2024</v>
      </c>
      <c r="F316" s="655">
        <f t="shared" si="29"/>
        <v>45657</v>
      </c>
      <c r="G316" s="656">
        <v>0</v>
      </c>
      <c r="H316" s="666">
        <f>+G316</f>
        <v>0</v>
      </c>
      <c r="I316" s="666">
        <v>0</v>
      </c>
      <c r="J316" s="760">
        <f t="shared" si="30"/>
        <v>0</v>
      </c>
      <c r="K316" s="761"/>
    </row>
    <row r="317" spans="1:11">
      <c r="A317" s="650">
        <v>315</v>
      </c>
      <c r="B317" s="651"/>
      <c r="C317" s="691" t="s">
        <v>611</v>
      </c>
      <c r="D317" s="693" t="s">
        <v>4597</v>
      </c>
      <c r="E317" s="660">
        <f t="shared" si="28"/>
        <v>2024</v>
      </c>
      <c r="F317" s="655">
        <f t="shared" si="29"/>
        <v>45657</v>
      </c>
      <c r="G317" s="656">
        <v>0</v>
      </c>
      <c r="H317" s="666">
        <f>+G317</f>
        <v>0</v>
      </c>
      <c r="I317" s="666">
        <v>0</v>
      </c>
      <c r="J317" s="760">
        <f t="shared" si="30"/>
        <v>0</v>
      </c>
      <c r="K317" s="761"/>
    </row>
    <row r="318" spans="1:11">
      <c r="A318" s="650">
        <v>316</v>
      </c>
      <c r="B318" s="651"/>
      <c r="C318" s="691" t="s">
        <v>612</v>
      </c>
      <c r="D318" s="693" t="s">
        <v>4599</v>
      </c>
      <c r="E318" s="660">
        <f t="shared" si="28"/>
        <v>2024</v>
      </c>
      <c r="F318" s="655">
        <f t="shared" si="29"/>
        <v>45657</v>
      </c>
      <c r="G318" s="656">
        <v>287897837.58999997</v>
      </c>
      <c r="H318" s="666">
        <f>+G318</f>
        <v>287897837.58999997</v>
      </c>
      <c r="I318" s="666">
        <v>287897838</v>
      </c>
      <c r="J318" s="760">
        <f t="shared" si="30"/>
        <v>-0.4100000262260437</v>
      </c>
      <c r="K318" s="761">
        <f t="shared" si="31"/>
        <v>-1.4241163626138587E-7</v>
      </c>
    </row>
    <row r="319" spans="1:11" ht="20.25" customHeight="1">
      <c r="A319" s="650">
        <v>317</v>
      </c>
      <c r="B319" s="651"/>
      <c r="C319" s="691" t="s">
        <v>4601</v>
      </c>
      <c r="D319" s="693" t="s">
        <v>4602</v>
      </c>
      <c r="E319" s="660">
        <f t="shared" si="28"/>
        <v>2024</v>
      </c>
      <c r="F319" s="655">
        <f t="shared" si="29"/>
        <v>45657</v>
      </c>
      <c r="G319" s="656">
        <v>0</v>
      </c>
      <c r="H319" s="666">
        <f>+G319</f>
        <v>0</v>
      </c>
      <c r="I319" s="666">
        <v>0</v>
      </c>
      <c r="J319" s="760">
        <f t="shared" si="30"/>
        <v>0</v>
      </c>
      <c r="K319" s="761"/>
    </row>
    <row r="320" spans="1:11">
      <c r="A320" s="650">
        <v>318</v>
      </c>
      <c r="B320" s="651"/>
      <c r="C320" s="691" t="s">
        <v>613</v>
      </c>
      <c r="D320" s="693" t="s">
        <v>4605</v>
      </c>
      <c r="E320" s="660">
        <f t="shared" si="28"/>
        <v>2024</v>
      </c>
      <c r="F320" s="655">
        <f t="shared" si="29"/>
        <v>45657</v>
      </c>
      <c r="G320" s="656">
        <v>3086241.38</v>
      </c>
      <c r="H320" s="666">
        <f>+G320</f>
        <v>3086241.38</v>
      </c>
      <c r="I320" s="666">
        <v>3086241</v>
      </c>
      <c r="J320" s="760">
        <f t="shared" si="30"/>
        <v>0.37999999988824129</v>
      </c>
      <c r="K320" s="761">
        <f t="shared" si="31"/>
        <v>1.2312713096207517E-5</v>
      </c>
    </row>
    <row r="321" spans="4:10" s="638" customFormat="1" ht="15">
      <c r="D321" s="699"/>
      <c r="G321" s="700"/>
      <c r="H321" s="701"/>
      <c r="I321" s="702"/>
      <c r="J321" s="748"/>
    </row>
    <row r="322" spans="4:10" s="638" customFormat="1" ht="15">
      <c r="D322" s="699"/>
      <c r="G322" s="700"/>
      <c r="H322" s="701"/>
      <c r="I322" s="702"/>
      <c r="J322" s="748"/>
    </row>
    <row r="323" spans="4:10" s="638" customFormat="1" ht="15" customHeight="1">
      <c r="D323" s="699"/>
      <c r="G323" s="700"/>
      <c r="H323" s="702"/>
      <c r="I323" s="702"/>
      <c r="J323" s="748"/>
    </row>
    <row r="324" spans="4:10" s="638" customFormat="1" ht="14.25" customHeight="1">
      <c r="D324" s="699"/>
      <c r="G324" s="700"/>
      <c r="H324" s="701"/>
      <c r="I324" s="702"/>
      <c r="J324" s="748"/>
    </row>
    <row r="325" spans="4:10" s="638" customFormat="1" ht="14.25" customHeight="1">
      <c r="D325" s="699"/>
      <c r="G325" s="700"/>
      <c r="H325" s="701"/>
      <c r="I325" s="702"/>
      <c r="J325" s="748"/>
    </row>
    <row r="326" spans="4:10" s="638" customFormat="1" ht="15" customHeight="1">
      <c r="D326" s="699"/>
      <c r="G326" s="700"/>
      <c r="H326" s="701"/>
      <c r="I326" s="702"/>
      <c r="J326" s="748"/>
    </row>
    <row r="327" spans="4:10" s="638" customFormat="1" ht="15">
      <c r="D327" s="699"/>
      <c r="G327" s="700"/>
      <c r="H327" s="701"/>
      <c r="I327" s="702"/>
      <c r="J327" s="748"/>
    </row>
    <row r="328" spans="4:10" s="638" customFormat="1" ht="15">
      <c r="D328" s="699"/>
      <c r="G328" s="700"/>
      <c r="H328" s="701"/>
      <c r="I328" s="702"/>
      <c r="J328" s="748"/>
    </row>
    <row r="329" spans="4:10" s="638" customFormat="1" ht="15">
      <c r="D329" s="699"/>
      <c r="G329" s="700"/>
      <c r="H329" s="701"/>
      <c r="I329" s="702"/>
      <c r="J329" s="748"/>
    </row>
    <row r="330" spans="4:10" s="638" customFormat="1" ht="15">
      <c r="D330" s="699"/>
      <c r="G330" s="700"/>
      <c r="H330" s="701"/>
      <c r="I330" s="702"/>
      <c r="J330" s="748"/>
    </row>
    <row r="331" spans="4:10" s="638" customFormat="1" ht="15">
      <c r="D331" s="699"/>
      <c r="G331" s="700"/>
      <c r="H331" s="701"/>
      <c r="I331" s="702"/>
      <c r="J331" s="748"/>
    </row>
    <row r="332" spans="4:10" s="638" customFormat="1" ht="15">
      <c r="D332" s="699"/>
      <c r="G332" s="700"/>
      <c r="H332" s="701"/>
      <c r="I332" s="702"/>
      <c r="J332" s="748"/>
    </row>
    <row r="333" spans="4:10" s="638" customFormat="1" ht="15">
      <c r="D333" s="699"/>
      <c r="G333" s="700"/>
      <c r="H333" s="701"/>
      <c r="I333" s="702"/>
      <c r="J333" s="748"/>
    </row>
    <row r="334" spans="4:10" s="638" customFormat="1" ht="15">
      <c r="D334" s="699"/>
      <c r="G334" s="700"/>
      <c r="H334" s="701"/>
      <c r="I334" s="702"/>
      <c r="J334" s="748"/>
    </row>
    <row r="335" spans="4:10" s="638" customFormat="1" ht="15">
      <c r="D335" s="699"/>
      <c r="G335" s="700"/>
      <c r="H335" s="701"/>
      <c r="I335" s="702"/>
      <c r="J335" s="748"/>
    </row>
    <row r="336" spans="4:10" s="638" customFormat="1" ht="15">
      <c r="D336" s="699"/>
      <c r="G336" s="700"/>
      <c r="H336" s="701"/>
      <c r="I336" s="702"/>
      <c r="J336" s="748"/>
    </row>
    <row r="337" spans="4:10" s="638" customFormat="1" ht="15">
      <c r="D337" s="699"/>
      <c r="G337" s="700"/>
      <c r="H337" s="701"/>
      <c r="I337" s="702"/>
      <c r="J337" s="748"/>
    </row>
    <row r="338" spans="4:10" s="638" customFormat="1" ht="15">
      <c r="D338" s="699"/>
      <c r="G338" s="700"/>
      <c r="H338" s="701"/>
      <c r="I338" s="702"/>
      <c r="J338" s="748"/>
    </row>
    <row r="339" spans="4:10" s="638" customFormat="1" ht="15">
      <c r="D339" s="699"/>
      <c r="G339" s="700"/>
      <c r="H339" s="701"/>
      <c r="I339" s="702"/>
      <c r="J339" s="748"/>
    </row>
    <row r="340" spans="4:10" s="638" customFormat="1" ht="15">
      <c r="D340" s="699"/>
      <c r="G340" s="700"/>
      <c r="H340" s="701"/>
      <c r="I340" s="702"/>
      <c r="J340" s="748"/>
    </row>
    <row r="341" spans="4:10" s="638" customFormat="1" ht="15">
      <c r="D341" s="699"/>
      <c r="G341" s="700"/>
      <c r="H341" s="701"/>
      <c r="I341" s="702"/>
      <c r="J341" s="748"/>
    </row>
    <row r="342" spans="4:10" s="638" customFormat="1" ht="15">
      <c r="D342" s="699"/>
      <c r="G342" s="700"/>
      <c r="H342" s="701"/>
      <c r="I342" s="702"/>
      <c r="J342" s="748"/>
    </row>
    <row r="343" spans="4:10" s="638" customFormat="1" ht="15">
      <c r="D343" s="699"/>
      <c r="G343" s="700"/>
      <c r="H343" s="701"/>
      <c r="I343" s="702"/>
      <c r="J343" s="748"/>
    </row>
    <row r="344" spans="4:10" s="638" customFormat="1" ht="15">
      <c r="D344" s="699"/>
      <c r="G344" s="700"/>
      <c r="H344" s="701"/>
      <c r="I344" s="702"/>
      <c r="J344" s="748"/>
    </row>
    <row r="345" spans="4:10" s="638" customFormat="1" ht="15">
      <c r="D345" s="699"/>
      <c r="G345" s="700"/>
      <c r="H345" s="701"/>
      <c r="I345" s="702"/>
      <c r="J345" s="748"/>
    </row>
    <row r="346" spans="4:10" s="638" customFormat="1" ht="15">
      <c r="D346" s="699"/>
      <c r="G346" s="700"/>
      <c r="H346" s="701"/>
      <c r="I346" s="702"/>
      <c r="J346" s="748"/>
    </row>
    <row r="347" spans="4:10" s="638" customFormat="1" ht="15">
      <c r="D347" s="699"/>
      <c r="G347" s="700"/>
      <c r="H347" s="701"/>
      <c r="I347" s="702"/>
      <c r="J347" s="748"/>
    </row>
    <row r="348" spans="4:10" s="638" customFormat="1" ht="15">
      <c r="D348" s="699"/>
      <c r="G348" s="700"/>
      <c r="H348" s="701"/>
      <c r="I348" s="702"/>
      <c r="J348" s="748"/>
    </row>
    <row r="349" spans="4:10" s="638" customFormat="1" ht="15">
      <c r="D349" s="699"/>
      <c r="G349" s="700"/>
      <c r="H349" s="701"/>
      <c r="I349" s="702"/>
      <c r="J349" s="748"/>
    </row>
    <row r="350" spans="4:10" s="638" customFormat="1" ht="15">
      <c r="D350" s="699"/>
      <c r="G350" s="700"/>
      <c r="H350" s="701"/>
      <c r="I350" s="702"/>
      <c r="J350" s="748"/>
    </row>
    <row r="351" spans="4:10" s="638" customFormat="1" ht="15">
      <c r="D351" s="699"/>
      <c r="G351" s="700"/>
      <c r="H351" s="701"/>
      <c r="I351" s="702"/>
      <c r="J351" s="748"/>
    </row>
    <row r="352" spans="4:10" s="638" customFormat="1" ht="15">
      <c r="D352" s="699"/>
      <c r="G352" s="700"/>
      <c r="H352" s="701"/>
      <c r="I352" s="702"/>
      <c r="J352" s="748"/>
    </row>
    <row r="353" spans="4:10" s="638" customFormat="1" ht="15">
      <c r="D353" s="699"/>
      <c r="G353" s="700"/>
      <c r="H353" s="701"/>
      <c r="I353" s="702"/>
      <c r="J353" s="748"/>
    </row>
    <row r="354" spans="4:10" s="638" customFormat="1" ht="15">
      <c r="D354" s="699"/>
      <c r="G354" s="700"/>
      <c r="H354" s="701"/>
      <c r="I354" s="702"/>
      <c r="J354" s="748"/>
    </row>
    <row r="355" spans="4:10" s="638" customFormat="1" ht="15">
      <c r="D355" s="699"/>
      <c r="G355" s="700"/>
      <c r="H355" s="701"/>
      <c r="I355" s="702"/>
      <c r="J355" s="748"/>
    </row>
    <row r="356" spans="4:10" s="638" customFormat="1" ht="15">
      <c r="D356" s="699"/>
      <c r="G356" s="700"/>
      <c r="H356" s="701"/>
      <c r="I356" s="702"/>
      <c r="J356" s="748"/>
    </row>
    <row r="357" spans="4:10" s="638" customFormat="1" ht="15">
      <c r="D357" s="699"/>
      <c r="G357" s="700"/>
      <c r="H357" s="701"/>
      <c r="I357" s="702"/>
      <c r="J357" s="748"/>
    </row>
    <row r="358" spans="4:10" s="638" customFormat="1" ht="15">
      <c r="D358" s="699"/>
      <c r="G358" s="700"/>
      <c r="H358" s="701"/>
      <c r="I358" s="702"/>
      <c r="J358" s="748"/>
    </row>
    <row r="359" spans="4:10" s="638" customFormat="1" ht="15">
      <c r="D359" s="699"/>
      <c r="G359" s="700"/>
      <c r="H359" s="701"/>
      <c r="I359" s="702"/>
      <c r="J359" s="748"/>
    </row>
    <row r="360" spans="4:10" s="638" customFormat="1" ht="15">
      <c r="D360" s="699"/>
      <c r="G360" s="700"/>
      <c r="H360" s="701"/>
      <c r="I360" s="702"/>
      <c r="J360" s="748"/>
    </row>
    <row r="361" spans="4:10" s="638" customFormat="1" ht="15">
      <c r="D361" s="699"/>
      <c r="G361" s="700"/>
      <c r="H361" s="701"/>
      <c r="I361" s="702"/>
      <c r="J361" s="748"/>
    </row>
    <row r="362" spans="4:10" s="638" customFormat="1" ht="15">
      <c r="D362" s="699"/>
      <c r="G362" s="700"/>
      <c r="H362" s="701"/>
      <c r="I362" s="702"/>
      <c r="J362" s="748"/>
    </row>
    <row r="363" spans="4:10" s="638" customFormat="1" ht="15">
      <c r="D363" s="699"/>
      <c r="G363" s="700"/>
      <c r="H363" s="701"/>
      <c r="I363" s="702"/>
      <c r="J363" s="748"/>
    </row>
    <row r="364" spans="4:10" s="638" customFormat="1" ht="15">
      <c r="D364" s="699"/>
      <c r="G364" s="700"/>
      <c r="H364" s="701"/>
      <c r="I364" s="702"/>
      <c r="J364" s="748"/>
    </row>
    <row r="365" spans="4:10" s="638" customFormat="1" ht="15">
      <c r="D365" s="699"/>
      <c r="G365" s="700"/>
      <c r="H365" s="701"/>
      <c r="I365" s="702"/>
      <c r="J365" s="748"/>
    </row>
    <row r="366" spans="4:10" s="638" customFormat="1" ht="15">
      <c r="D366" s="699"/>
      <c r="G366" s="700"/>
      <c r="H366" s="701"/>
      <c r="I366" s="702"/>
      <c r="J366" s="748"/>
    </row>
    <row r="367" spans="4:10" s="638" customFormat="1" ht="15">
      <c r="D367" s="699"/>
      <c r="G367" s="700"/>
      <c r="H367" s="701"/>
      <c r="I367" s="702"/>
      <c r="J367" s="748"/>
    </row>
    <row r="368" spans="4:10" s="638" customFormat="1" ht="15">
      <c r="D368" s="699"/>
      <c r="G368" s="700"/>
      <c r="H368" s="701"/>
      <c r="I368" s="702"/>
      <c r="J368" s="748"/>
    </row>
    <row r="369" spans="4:10" s="638" customFormat="1" ht="15">
      <c r="D369" s="699"/>
      <c r="G369" s="700"/>
      <c r="H369" s="701"/>
      <c r="I369" s="702"/>
      <c r="J369" s="748"/>
    </row>
    <row r="370" spans="4:10" s="638" customFormat="1" ht="15">
      <c r="D370" s="699"/>
      <c r="G370" s="700"/>
      <c r="H370" s="701"/>
      <c r="I370" s="702"/>
      <c r="J370" s="748"/>
    </row>
    <row r="371" spans="4:10" s="638" customFormat="1" ht="15">
      <c r="D371" s="699"/>
      <c r="G371" s="700"/>
      <c r="H371" s="701"/>
      <c r="I371" s="702"/>
      <c r="J371" s="748"/>
    </row>
    <row r="372" spans="4:10" s="638" customFormat="1" ht="15">
      <c r="D372" s="699"/>
      <c r="G372" s="700"/>
      <c r="H372" s="701"/>
      <c r="I372" s="702"/>
      <c r="J372" s="748"/>
    </row>
    <row r="373" spans="4:10" s="638" customFormat="1" ht="15">
      <c r="D373" s="699"/>
      <c r="G373" s="700"/>
      <c r="H373" s="701"/>
      <c r="I373" s="702"/>
      <c r="J373" s="748"/>
    </row>
    <row r="374" spans="4:10" s="638" customFormat="1" ht="15">
      <c r="D374" s="699"/>
      <c r="G374" s="700"/>
      <c r="H374" s="701"/>
      <c r="I374" s="702"/>
      <c r="J374" s="748"/>
    </row>
    <row r="375" spans="4:10" s="638" customFormat="1" ht="15">
      <c r="D375" s="699"/>
      <c r="G375" s="700"/>
      <c r="H375" s="701"/>
      <c r="I375" s="702"/>
      <c r="J375" s="748"/>
    </row>
    <row r="376" spans="4:10" s="638" customFormat="1" ht="15">
      <c r="D376" s="699"/>
      <c r="G376" s="700"/>
      <c r="H376" s="701"/>
      <c r="I376" s="702"/>
      <c r="J376" s="748"/>
    </row>
    <row r="377" spans="4:10" s="638" customFormat="1" ht="15">
      <c r="D377" s="699"/>
      <c r="G377" s="700"/>
      <c r="H377" s="701"/>
      <c r="I377" s="702"/>
      <c r="J377" s="748"/>
    </row>
    <row r="378" spans="4:10" s="638" customFormat="1" ht="15">
      <c r="D378" s="699"/>
      <c r="G378" s="700"/>
      <c r="H378" s="701"/>
      <c r="I378" s="702"/>
      <c r="J378" s="748"/>
    </row>
    <row r="379" spans="4:10" s="638" customFormat="1" ht="15">
      <c r="D379" s="699"/>
      <c r="G379" s="700"/>
      <c r="H379" s="701"/>
      <c r="I379" s="702"/>
      <c r="J379" s="748"/>
    </row>
    <row r="380" spans="4:10" s="638" customFormat="1" ht="15">
      <c r="D380" s="699"/>
      <c r="G380" s="700"/>
      <c r="H380" s="701"/>
      <c r="I380" s="702"/>
      <c r="J380" s="748"/>
    </row>
    <row r="381" spans="4:10" s="638" customFormat="1" ht="15">
      <c r="D381" s="699"/>
      <c r="G381" s="700"/>
      <c r="H381" s="701"/>
      <c r="I381" s="702"/>
      <c r="J381" s="748"/>
    </row>
    <row r="382" spans="4:10" s="638" customFormat="1" ht="15">
      <c r="D382" s="699"/>
      <c r="G382" s="700"/>
      <c r="H382" s="701"/>
      <c r="I382" s="702"/>
      <c r="J382" s="748"/>
    </row>
    <row r="383" spans="4:10" s="638" customFormat="1" ht="15">
      <c r="D383" s="699"/>
      <c r="G383" s="700"/>
      <c r="H383" s="701"/>
      <c r="I383" s="702"/>
      <c r="J383" s="748"/>
    </row>
    <row r="384" spans="4:10" s="638" customFormat="1" ht="15">
      <c r="D384" s="699"/>
      <c r="G384" s="700"/>
      <c r="H384" s="701"/>
      <c r="I384" s="702"/>
      <c r="J384" s="748"/>
    </row>
    <row r="385" spans="4:10" s="638" customFormat="1" ht="15">
      <c r="D385" s="699"/>
      <c r="G385" s="700"/>
      <c r="H385" s="701"/>
      <c r="I385" s="702"/>
      <c r="J385" s="748"/>
    </row>
    <row r="386" spans="4:10" s="638" customFormat="1" ht="15">
      <c r="D386" s="699"/>
      <c r="G386" s="700"/>
      <c r="H386" s="701"/>
      <c r="I386" s="702"/>
      <c r="J386" s="748"/>
    </row>
    <row r="387" spans="4:10" s="638" customFormat="1" ht="15">
      <c r="D387" s="699"/>
      <c r="G387" s="700"/>
      <c r="H387" s="701"/>
      <c r="I387" s="702"/>
      <c r="J387" s="748"/>
    </row>
    <row r="388" spans="4:10" s="638" customFormat="1" ht="15">
      <c r="D388" s="699"/>
      <c r="G388" s="700"/>
      <c r="H388" s="701"/>
      <c r="I388" s="702"/>
      <c r="J388" s="748"/>
    </row>
    <row r="389" spans="4:10" s="638" customFormat="1" ht="15">
      <c r="D389" s="699"/>
      <c r="G389" s="700"/>
      <c r="H389" s="701"/>
      <c r="I389" s="702"/>
      <c r="J389" s="748"/>
    </row>
    <row r="390" spans="4:10" s="638" customFormat="1" ht="15">
      <c r="D390" s="699"/>
      <c r="G390" s="700"/>
      <c r="H390" s="701"/>
      <c r="I390" s="702"/>
      <c r="J390" s="748"/>
    </row>
    <row r="391" spans="4:10" s="638" customFormat="1" ht="15">
      <c r="D391" s="699"/>
      <c r="G391" s="700"/>
      <c r="H391" s="701"/>
      <c r="I391" s="702"/>
      <c r="J391" s="748"/>
    </row>
    <row r="392" spans="4:10" s="638" customFormat="1" ht="15">
      <c r="D392" s="699"/>
      <c r="G392" s="700"/>
      <c r="H392" s="701"/>
      <c r="I392" s="702"/>
      <c r="J392" s="748"/>
    </row>
    <row r="393" spans="4:10" s="638" customFormat="1" ht="15">
      <c r="D393" s="699"/>
      <c r="G393" s="700"/>
      <c r="H393" s="701"/>
      <c r="I393" s="702"/>
      <c r="J393" s="748"/>
    </row>
    <row r="394" spans="4:10" s="638" customFormat="1" ht="15">
      <c r="D394" s="699"/>
      <c r="G394" s="700"/>
      <c r="H394" s="701"/>
      <c r="I394" s="702"/>
      <c r="J394" s="748"/>
    </row>
    <row r="395" spans="4:10" s="638" customFormat="1" ht="15">
      <c r="D395" s="699"/>
      <c r="G395" s="700"/>
      <c r="H395" s="701"/>
      <c r="I395" s="702"/>
      <c r="J395" s="748"/>
    </row>
    <row r="396" spans="4:10" s="638" customFormat="1" ht="15">
      <c r="D396" s="699"/>
      <c r="G396" s="700"/>
      <c r="H396" s="701"/>
      <c r="I396" s="702"/>
      <c r="J396" s="748"/>
    </row>
    <row r="397" spans="4:10" s="638" customFormat="1" ht="15">
      <c r="D397" s="699"/>
      <c r="G397" s="700"/>
      <c r="H397" s="701"/>
      <c r="I397" s="702"/>
      <c r="J397" s="748"/>
    </row>
    <row r="398" spans="4:10" s="638" customFormat="1" ht="15">
      <c r="D398" s="699"/>
      <c r="G398" s="700"/>
      <c r="H398" s="701"/>
      <c r="I398" s="702"/>
      <c r="J398" s="748"/>
    </row>
    <row r="399" spans="4:10" s="638" customFormat="1" ht="15">
      <c r="D399" s="699"/>
      <c r="G399" s="700"/>
      <c r="H399" s="701"/>
      <c r="I399" s="702"/>
      <c r="J399" s="748"/>
    </row>
    <row r="400" spans="4:10" s="638" customFormat="1" ht="15">
      <c r="D400" s="699"/>
      <c r="G400" s="700"/>
      <c r="H400" s="701"/>
      <c r="I400" s="702"/>
      <c r="J400" s="748"/>
    </row>
    <row r="401" spans="4:10" s="638" customFormat="1" ht="15">
      <c r="D401" s="699"/>
      <c r="G401" s="700"/>
      <c r="H401" s="701"/>
      <c r="I401" s="702"/>
      <c r="J401" s="748"/>
    </row>
    <row r="402" spans="4:10" s="638" customFormat="1" ht="15">
      <c r="D402" s="699"/>
      <c r="G402" s="700"/>
      <c r="H402" s="701"/>
      <c r="I402" s="702"/>
      <c r="J402" s="748"/>
    </row>
    <row r="403" spans="4:10" s="638" customFormat="1" ht="15">
      <c r="D403" s="699"/>
      <c r="G403" s="700"/>
      <c r="H403" s="701"/>
      <c r="I403" s="702"/>
      <c r="J403" s="748"/>
    </row>
    <row r="404" spans="4:10" s="638" customFormat="1" ht="15">
      <c r="D404" s="699"/>
      <c r="G404" s="700"/>
      <c r="H404" s="701"/>
      <c r="I404" s="702"/>
      <c r="J404" s="748"/>
    </row>
    <row r="405" spans="4:10" s="638" customFormat="1" ht="15">
      <c r="D405" s="699"/>
      <c r="G405" s="700"/>
      <c r="H405" s="701"/>
      <c r="I405" s="702"/>
      <c r="J405" s="748"/>
    </row>
    <row r="406" spans="4:10" s="638" customFormat="1" ht="15">
      <c r="D406" s="699"/>
      <c r="G406" s="700"/>
      <c r="H406" s="701"/>
      <c r="I406" s="702"/>
      <c r="J406" s="748"/>
    </row>
    <row r="407" spans="4:10" s="638" customFormat="1" ht="15">
      <c r="D407" s="699"/>
      <c r="G407" s="700"/>
      <c r="H407" s="701"/>
      <c r="I407" s="702"/>
      <c r="J407" s="748"/>
    </row>
    <row r="408" spans="4:10" s="638" customFormat="1" ht="15">
      <c r="D408" s="699"/>
      <c r="G408" s="700"/>
      <c r="H408" s="701"/>
      <c r="I408" s="702"/>
      <c r="J408" s="748"/>
    </row>
    <row r="409" spans="4:10" s="638" customFormat="1" ht="15">
      <c r="D409" s="699"/>
      <c r="G409" s="700"/>
      <c r="H409" s="701"/>
      <c r="I409" s="702"/>
      <c r="J409" s="748"/>
    </row>
    <row r="410" spans="4:10" s="638" customFormat="1" ht="15">
      <c r="D410" s="699"/>
      <c r="G410" s="700"/>
      <c r="H410" s="701"/>
      <c r="I410" s="702"/>
      <c r="J410" s="748"/>
    </row>
    <row r="411" spans="4:10" s="638" customFormat="1" ht="15">
      <c r="D411" s="699"/>
      <c r="G411" s="700"/>
      <c r="H411" s="701"/>
      <c r="I411" s="702"/>
      <c r="J411" s="748"/>
    </row>
    <row r="412" spans="4:10" s="638" customFormat="1" ht="15">
      <c r="D412" s="699"/>
      <c r="G412" s="700"/>
      <c r="H412" s="701"/>
      <c r="I412" s="702"/>
      <c r="J412" s="748"/>
    </row>
    <row r="413" spans="4:10" s="638" customFormat="1" ht="15">
      <c r="D413" s="699"/>
      <c r="G413" s="700"/>
      <c r="H413" s="701"/>
      <c r="I413" s="702"/>
      <c r="J413" s="748"/>
    </row>
    <row r="414" spans="4:10" s="638" customFormat="1" ht="15">
      <c r="D414" s="699"/>
      <c r="G414" s="700"/>
      <c r="H414" s="701"/>
      <c r="I414" s="702"/>
      <c r="J414" s="748"/>
    </row>
    <row r="415" spans="4:10" s="638" customFormat="1" ht="15">
      <c r="D415" s="699"/>
      <c r="G415" s="700"/>
      <c r="H415" s="701"/>
      <c r="I415" s="702"/>
      <c r="J415" s="748"/>
    </row>
    <row r="416" spans="4:10" s="638" customFormat="1" ht="15">
      <c r="D416" s="699"/>
      <c r="G416" s="700"/>
      <c r="H416" s="701"/>
      <c r="I416" s="702"/>
      <c r="J416" s="748"/>
    </row>
    <row r="417" spans="4:10" s="638" customFormat="1" ht="15">
      <c r="D417" s="699"/>
      <c r="G417" s="700"/>
      <c r="H417" s="701"/>
      <c r="I417" s="702"/>
      <c r="J417" s="748"/>
    </row>
    <row r="418" spans="4:10" s="638" customFormat="1" ht="15">
      <c r="D418" s="699"/>
      <c r="G418" s="700"/>
      <c r="H418" s="701"/>
      <c r="I418" s="702"/>
      <c r="J418" s="748"/>
    </row>
    <row r="419" spans="4:10" s="638" customFormat="1" ht="15">
      <c r="D419" s="699"/>
      <c r="G419" s="700"/>
      <c r="H419" s="701"/>
      <c r="I419" s="702"/>
      <c r="J419" s="748"/>
    </row>
    <row r="420" spans="4:10" s="638" customFormat="1" ht="15">
      <c r="D420" s="699"/>
      <c r="G420" s="700"/>
      <c r="H420" s="701"/>
      <c r="I420" s="702"/>
      <c r="J420" s="748"/>
    </row>
    <row r="421" spans="4:10" s="638" customFormat="1" ht="15">
      <c r="D421" s="699"/>
      <c r="G421" s="700"/>
      <c r="H421" s="701"/>
      <c r="I421" s="702"/>
      <c r="J421" s="748"/>
    </row>
    <row r="422" spans="4:10" s="638" customFormat="1" ht="15">
      <c r="D422" s="699"/>
      <c r="G422" s="700"/>
      <c r="H422" s="701"/>
      <c r="I422" s="702"/>
      <c r="J422" s="748"/>
    </row>
    <row r="423" spans="4:10" s="638" customFormat="1" ht="15">
      <c r="D423" s="699"/>
      <c r="G423" s="700"/>
      <c r="H423" s="701"/>
      <c r="I423" s="702"/>
      <c r="J423" s="748"/>
    </row>
    <row r="424" spans="4:10" s="638" customFormat="1" ht="15">
      <c r="D424" s="699"/>
      <c r="G424" s="700"/>
      <c r="H424" s="701"/>
      <c r="I424" s="702"/>
      <c r="J424" s="748"/>
    </row>
    <row r="425" spans="4:10" s="638" customFormat="1" ht="15">
      <c r="D425" s="699"/>
      <c r="G425" s="700"/>
      <c r="H425" s="701"/>
      <c r="I425" s="702"/>
      <c r="J425" s="748"/>
    </row>
    <row r="426" spans="4:10" s="638" customFormat="1" ht="15">
      <c r="D426" s="699"/>
      <c r="G426" s="700"/>
      <c r="H426" s="701"/>
      <c r="I426" s="702"/>
      <c r="J426" s="748"/>
    </row>
    <row r="427" spans="4:10" s="638" customFormat="1" ht="15">
      <c r="D427" s="699"/>
      <c r="G427" s="700"/>
      <c r="H427" s="701"/>
      <c r="I427" s="702"/>
      <c r="J427" s="748"/>
    </row>
    <row r="428" spans="4:10" s="638" customFormat="1" ht="15">
      <c r="D428" s="699"/>
      <c r="G428" s="700"/>
      <c r="H428" s="701"/>
      <c r="I428" s="702"/>
      <c r="J428" s="748"/>
    </row>
    <row r="429" spans="4:10" s="638" customFormat="1" ht="15">
      <c r="D429" s="699"/>
      <c r="G429" s="700"/>
      <c r="H429" s="701"/>
      <c r="I429" s="702"/>
      <c r="J429" s="748"/>
    </row>
    <row r="430" spans="4:10" s="638" customFormat="1" ht="15">
      <c r="D430" s="699"/>
      <c r="G430" s="700"/>
      <c r="H430" s="701"/>
      <c r="I430" s="702"/>
      <c r="J430" s="748"/>
    </row>
    <row r="431" spans="4:10" s="638" customFormat="1" ht="15">
      <c r="D431" s="699"/>
      <c r="G431" s="700"/>
      <c r="H431" s="701"/>
      <c r="I431" s="702"/>
      <c r="J431" s="748"/>
    </row>
    <row r="432" spans="4:10" s="638" customFormat="1" ht="15">
      <c r="D432" s="699"/>
      <c r="G432" s="700"/>
      <c r="H432" s="701"/>
      <c r="I432" s="702"/>
      <c r="J432" s="748"/>
    </row>
    <row r="433" spans="4:10" s="638" customFormat="1" ht="15">
      <c r="D433" s="699"/>
      <c r="G433" s="700"/>
      <c r="H433" s="701"/>
      <c r="I433" s="702"/>
      <c r="J433" s="748"/>
    </row>
    <row r="434" spans="4:10" s="638" customFormat="1" ht="15">
      <c r="D434" s="699"/>
      <c r="G434" s="700"/>
      <c r="H434" s="701"/>
      <c r="I434" s="702"/>
      <c r="J434" s="748"/>
    </row>
    <row r="435" spans="4:10" s="638" customFormat="1" ht="15">
      <c r="D435" s="699"/>
      <c r="G435" s="700"/>
      <c r="H435" s="701"/>
      <c r="I435" s="702"/>
      <c r="J435" s="748"/>
    </row>
    <row r="436" spans="4:10" s="638" customFormat="1" ht="15">
      <c r="D436" s="699"/>
      <c r="G436" s="700"/>
      <c r="H436" s="701"/>
      <c r="I436" s="702"/>
      <c r="J436" s="748"/>
    </row>
    <row r="437" spans="4:10" s="638" customFormat="1" ht="15">
      <c r="D437" s="699"/>
      <c r="G437" s="700"/>
      <c r="H437" s="701"/>
      <c r="I437" s="702"/>
      <c r="J437" s="748"/>
    </row>
    <row r="438" spans="4:10" s="638" customFormat="1" ht="15">
      <c r="D438" s="699"/>
      <c r="G438" s="700"/>
      <c r="H438" s="701"/>
      <c r="I438" s="702"/>
      <c r="J438" s="748"/>
    </row>
    <row r="439" spans="4:10" s="638" customFormat="1" ht="15">
      <c r="D439" s="699"/>
      <c r="G439" s="700"/>
      <c r="H439" s="701"/>
      <c r="I439" s="702"/>
      <c r="J439" s="748"/>
    </row>
    <row r="440" spans="4:10" s="638" customFormat="1" ht="15">
      <c r="D440" s="699"/>
      <c r="G440" s="700"/>
      <c r="H440" s="701"/>
      <c r="I440" s="702"/>
      <c r="J440" s="748"/>
    </row>
    <row r="441" spans="4:10" s="638" customFormat="1" ht="15">
      <c r="D441" s="699"/>
      <c r="G441" s="700"/>
      <c r="H441" s="701"/>
      <c r="I441" s="702"/>
      <c r="J441" s="748"/>
    </row>
    <row r="442" spans="4:10" s="638" customFormat="1" ht="15">
      <c r="D442" s="699"/>
      <c r="G442" s="700"/>
      <c r="H442" s="701"/>
      <c r="I442" s="702"/>
      <c r="J442" s="748"/>
    </row>
    <row r="443" spans="4:10" s="638" customFormat="1" ht="15">
      <c r="D443" s="699"/>
      <c r="G443" s="700"/>
      <c r="H443" s="701"/>
      <c r="I443" s="702"/>
      <c r="J443" s="748"/>
    </row>
    <row r="444" spans="4:10" s="638" customFormat="1" ht="15">
      <c r="D444" s="699"/>
      <c r="G444" s="700"/>
      <c r="H444" s="701"/>
      <c r="I444" s="702"/>
      <c r="J444" s="748"/>
    </row>
    <row r="445" spans="4:10" s="638" customFormat="1" ht="15">
      <c r="D445" s="699"/>
      <c r="G445" s="700"/>
      <c r="H445" s="701"/>
      <c r="I445" s="702"/>
      <c r="J445" s="748"/>
    </row>
    <row r="446" spans="4:10" s="638" customFormat="1" ht="15">
      <c r="D446" s="699"/>
      <c r="G446" s="700"/>
      <c r="H446" s="701"/>
      <c r="I446" s="702"/>
      <c r="J446" s="748"/>
    </row>
    <row r="447" spans="4:10" s="638" customFormat="1" ht="15">
      <c r="D447" s="699"/>
      <c r="G447" s="700"/>
      <c r="H447" s="701"/>
      <c r="I447" s="702"/>
      <c r="J447" s="748"/>
    </row>
    <row r="448" spans="4:10" s="638" customFormat="1" ht="15">
      <c r="D448" s="699"/>
      <c r="G448" s="700"/>
      <c r="H448" s="701"/>
      <c r="I448" s="702"/>
      <c r="J448" s="748"/>
    </row>
    <row r="449" spans="4:10" s="638" customFormat="1" ht="15">
      <c r="D449" s="699"/>
      <c r="G449" s="700"/>
      <c r="H449" s="701"/>
      <c r="I449" s="702"/>
      <c r="J449" s="748"/>
    </row>
    <row r="450" spans="4:10" s="638" customFormat="1" ht="15">
      <c r="D450" s="699"/>
      <c r="G450" s="700"/>
      <c r="H450" s="701"/>
      <c r="I450" s="702"/>
      <c r="J450" s="748"/>
    </row>
    <row r="451" spans="4:10" s="638" customFormat="1" ht="15">
      <c r="D451" s="699"/>
      <c r="G451" s="700"/>
      <c r="H451" s="701"/>
      <c r="I451" s="702"/>
      <c r="J451" s="748"/>
    </row>
    <row r="452" spans="4:10" s="638" customFormat="1" ht="15">
      <c r="D452" s="699"/>
      <c r="G452" s="700"/>
      <c r="H452" s="701"/>
      <c r="I452" s="702"/>
      <c r="J452" s="748"/>
    </row>
    <row r="453" spans="4:10" s="638" customFormat="1" ht="15">
      <c r="D453" s="699"/>
      <c r="G453" s="700"/>
      <c r="H453" s="701"/>
      <c r="I453" s="702"/>
      <c r="J453" s="748"/>
    </row>
    <row r="454" spans="4:10" s="638" customFormat="1" ht="15">
      <c r="D454" s="699"/>
      <c r="G454" s="700"/>
      <c r="H454" s="701"/>
      <c r="I454" s="702"/>
      <c r="J454" s="748"/>
    </row>
    <row r="455" spans="4:10" s="638" customFormat="1" ht="15">
      <c r="D455" s="699"/>
      <c r="G455" s="700"/>
      <c r="H455" s="701"/>
      <c r="I455" s="702"/>
      <c r="J455" s="748"/>
    </row>
    <row r="456" spans="4:10" s="638" customFormat="1" ht="15">
      <c r="D456" s="699"/>
      <c r="G456" s="700"/>
      <c r="H456" s="701"/>
      <c r="I456" s="702"/>
      <c r="J456" s="748"/>
    </row>
    <row r="457" spans="4:10" s="638" customFormat="1" ht="15">
      <c r="D457" s="699"/>
      <c r="G457" s="700"/>
      <c r="H457" s="701"/>
      <c r="I457" s="702"/>
      <c r="J457" s="748"/>
    </row>
    <row r="458" spans="4:10" s="638" customFormat="1" ht="15">
      <c r="D458" s="699"/>
      <c r="G458" s="700"/>
      <c r="H458" s="701"/>
      <c r="I458" s="702"/>
      <c r="J458" s="748"/>
    </row>
    <row r="459" spans="4:10" s="638" customFormat="1" ht="15">
      <c r="D459" s="699"/>
      <c r="G459" s="700"/>
      <c r="H459" s="701"/>
      <c r="I459" s="702"/>
      <c r="J459" s="748"/>
    </row>
    <row r="460" spans="4:10" s="638" customFormat="1" ht="15">
      <c r="D460" s="699"/>
      <c r="G460" s="700"/>
      <c r="H460" s="701"/>
      <c r="I460" s="702"/>
      <c r="J460" s="748"/>
    </row>
    <row r="461" spans="4:10" s="638" customFormat="1" ht="15">
      <c r="D461" s="699"/>
      <c r="G461" s="700"/>
      <c r="H461" s="701"/>
      <c r="I461" s="702"/>
      <c r="J461" s="748"/>
    </row>
    <row r="462" spans="4:10" s="638" customFormat="1" ht="15">
      <c r="D462" s="699"/>
      <c r="G462" s="700"/>
      <c r="H462" s="701"/>
      <c r="I462" s="702"/>
      <c r="J462" s="748"/>
    </row>
    <row r="463" spans="4:10" s="638" customFormat="1" ht="15">
      <c r="D463" s="699"/>
      <c r="G463" s="700"/>
      <c r="H463" s="701"/>
      <c r="I463" s="702"/>
      <c r="J463" s="748"/>
    </row>
    <row r="464" spans="4:10" s="638" customFormat="1" ht="15">
      <c r="D464" s="699"/>
      <c r="G464" s="700"/>
      <c r="H464" s="701"/>
      <c r="I464" s="702"/>
      <c r="J464" s="748"/>
    </row>
    <row r="465" spans="4:10" s="638" customFormat="1" ht="15">
      <c r="D465" s="699"/>
      <c r="G465" s="700"/>
      <c r="H465" s="701"/>
      <c r="I465" s="702"/>
      <c r="J465" s="748"/>
    </row>
    <row r="466" spans="4:10" s="638" customFormat="1" ht="15">
      <c r="D466" s="699"/>
      <c r="G466" s="700"/>
      <c r="H466" s="701"/>
      <c r="I466" s="702"/>
      <c r="J466" s="748"/>
    </row>
    <row r="467" spans="4:10" s="638" customFormat="1" ht="15">
      <c r="D467" s="699"/>
      <c r="G467" s="700"/>
      <c r="H467" s="701"/>
      <c r="I467" s="702"/>
      <c r="J467" s="748"/>
    </row>
    <row r="468" spans="4:10" s="638" customFormat="1" ht="15">
      <c r="D468" s="699"/>
      <c r="G468" s="700"/>
      <c r="H468" s="701"/>
      <c r="I468" s="702"/>
      <c r="J468" s="748"/>
    </row>
    <row r="469" spans="4:10" s="638" customFormat="1" ht="15">
      <c r="D469" s="699"/>
      <c r="G469" s="700"/>
      <c r="H469" s="701"/>
      <c r="I469" s="702"/>
      <c r="J469" s="748"/>
    </row>
    <row r="470" spans="4:10" s="638" customFormat="1" ht="15">
      <c r="D470" s="699"/>
      <c r="G470" s="700"/>
      <c r="H470" s="701"/>
      <c r="I470" s="702"/>
      <c r="J470" s="748"/>
    </row>
    <row r="471" spans="4:10" s="638" customFormat="1" ht="15">
      <c r="D471" s="699"/>
      <c r="G471" s="700"/>
      <c r="H471" s="701"/>
      <c r="I471" s="702"/>
      <c r="J471" s="748"/>
    </row>
    <row r="472" spans="4:10" s="638" customFormat="1" ht="15">
      <c r="D472" s="699"/>
      <c r="G472" s="700"/>
      <c r="H472" s="701"/>
      <c r="I472" s="702"/>
      <c r="J472" s="748"/>
    </row>
    <row r="473" spans="4:10" s="638" customFormat="1" ht="15">
      <c r="D473" s="699"/>
      <c r="G473" s="700"/>
      <c r="H473" s="701"/>
      <c r="I473" s="702"/>
      <c r="J473" s="748"/>
    </row>
    <row r="474" spans="4:10" s="638" customFormat="1" ht="15">
      <c r="D474" s="699"/>
      <c r="G474" s="700"/>
      <c r="H474" s="701"/>
      <c r="I474" s="702"/>
      <c r="J474" s="748"/>
    </row>
    <row r="475" spans="4:10" s="638" customFormat="1" ht="15">
      <c r="D475" s="699"/>
      <c r="G475" s="700"/>
      <c r="H475" s="701"/>
      <c r="I475" s="702"/>
      <c r="J475" s="748"/>
    </row>
    <row r="476" spans="4:10" s="638" customFormat="1" ht="15">
      <c r="D476" s="699"/>
      <c r="G476" s="700"/>
      <c r="H476" s="701"/>
      <c r="I476" s="702"/>
      <c r="J476" s="748"/>
    </row>
    <row r="477" spans="4:10" s="638" customFormat="1" ht="15">
      <c r="D477" s="699"/>
      <c r="G477" s="700"/>
      <c r="H477" s="701"/>
      <c r="I477" s="702"/>
      <c r="J477" s="748"/>
    </row>
    <row r="478" spans="4:10" s="638" customFormat="1" ht="15">
      <c r="D478" s="699"/>
      <c r="G478" s="700"/>
      <c r="H478" s="701"/>
      <c r="I478" s="702"/>
      <c r="J478" s="748"/>
    </row>
    <row r="479" spans="4:10" s="638" customFormat="1" ht="15">
      <c r="D479" s="699"/>
      <c r="G479" s="700"/>
      <c r="H479" s="701"/>
      <c r="I479" s="702"/>
      <c r="J479" s="748"/>
    </row>
    <row r="480" spans="4:10" s="638" customFormat="1" ht="15">
      <c r="D480" s="699"/>
      <c r="G480" s="700"/>
      <c r="H480" s="701"/>
      <c r="I480" s="702"/>
      <c r="J480" s="748"/>
    </row>
    <row r="481" spans="4:10" s="638" customFormat="1" ht="15">
      <c r="D481" s="699"/>
      <c r="G481" s="700"/>
      <c r="H481" s="701"/>
      <c r="I481" s="702"/>
      <c r="J481" s="748"/>
    </row>
    <row r="482" spans="4:10" s="638" customFormat="1" ht="15">
      <c r="D482" s="699"/>
      <c r="G482" s="700"/>
      <c r="H482" s="701"/>
      <c r="I482" s="702"/>
      <c r="J482" s="748"/>
    </row>
    <row r="483" spans="4:10" s="638" customFormat="1" ht="15">
      <c r="D483" s="699"/>
      <c r="G483" s="700"/>
      <c r="H483" s="701"/>
      <c r="I483" s="702"/>
      <c r="J483" s="748"/>
    </row>
    <row r="484" spans="4:10" s="638" customFormat="1" ht="15">
      <c r="D484" s="699"/>
      <c r="G484" s="700"/>
      <c r="H484" s="701"/>
      <c r="I484" s="702"/>
      <c r="J484" s="748"/>
    </row>
    <row r="485" spans="4:10" s="638" customFormat="1" ht="15">
      <c r="D485" s="699"/>
      <c r="G485" s="700"/>
      <c r="H485" s="701"/>
      <c r="I485" s="702"/>
      <c r="J485" s="748"/>
    </row>
    <row r="486" spans="4:10" s="638" customFormat="1" ht="15">
      <c r="D486" s="699"/>
      <c r="G486" s="700"/>
      <c r="H486" s="701"/>
      <c r="I486" s="702"/>
      <c r="J486" s="748"/>
    </row>
    <row r="487" spans="4:10" s="638" customFormat="1" ht="15">
      <c r="D487" s="699"/>
      <c r="G487" s="700"/>
      <c r="H487" s="701"/>
      <c r="I487" s="702"/>
      <c r="J487" s="748"/>
    </row>
    <row r="488" spans="4:10" s="638" customFormat="1" ht="15">
      <c r="D488" s="699"/>
      <c r="G488" s="700"/>
      <c r="H488" s="701"/>
      <c r="I488" s="702"/>
      <c r="J488" s="748"/>
    </row>
    <row r="489" spans="4:10" s="638" customFormat="1" ht="15">
      <c r="D489" s="699"/>
      <c r="G489" s="700"/>
      <c r="H489" s="701"/>
      <c r="I489" s="702"/>
      <c r="J489" s="748"/>
    </row>
    <row r="490" spans="4:10" s="638" customFormat="1" ht="15">
      <c r="D490" s="699"/>
      <c r="G490" s="700"/>
      <c r="H490" s="701"/>
      <c r="I490" s="702"/>
      <c r="J490" s="748"/>
    </row>
    <row r="491" spans="4:10" s="638" customFormat="1" ht="15">
      <c r="D491" s="699"/>
      <c r="G491" s="700"/>
      <c r="H491" s="701"/>
      <c r="I491" s="702"/>
      <c r="J491" s="748"/>
    </row>
    <row r="492" spans="4:10" s="638" customFormat="1" ht="15">
      <c r="D492" s="699"/>
      <c r="G492" s="700"/>
      <c r="H492" s="701"/>
      <c r="I492" s="702"/>
      <c r="J492" s="748"/>
    </row>
    <row r="493" spans="4:10" s="638" customFormat="1" ht="15">
      <c r="D493" s="699"/>
      <c r="G493" s="700"/>
      <c r="H493" s="701"/>
      <c r="I493" s="702"/>
      <c r="J493" s="748"/>
    </row>
    <row r="494" spans="4:10" s="638" customFormat="1" ht="15">
      <c r="D494" s="699"/>
      <c r="G494" s="700"/>
      <c r="H494" s="701"/>
      <c r="I494" s="702"/>
      <c r="J494" s="748"/>
    </row>
    <row r="495" spans="4:10" s="638" customFormat="1" ht="15">
      <c r="D495" s="699"/>
      <c r="G495" s="700"/>
      <c r="H495" s="701"/>
      <c r="I495" s="702"/>
      <c r="J495" s="748"/>
    </row>
    <row r="496" spans="4:10" s="638" customFormat="1" ht="15">
      <c r="D496" s="699"/>
      <c r="G496" s="700"/>
      <c r="H496" s="701"/>
      <c r="I496" s="702"/>
      <c r="J496" s="748"/>
    </row>
    <row r="497" spans="4:10" s="638" customFormat="1" ht="15">
      <c r="D497" s="699"/>
      <c r="G497" s="700"/>
      <c r="H497" s="701"/>
      <c r="I497" s="702"/>
      <c r="J497" s="748"/>
    </row>
    <row r="498" spans="4:10" s="638" customFormat="1" ht="15">
      <c r="D498" s="699"/>
      <c r="G498" s="700"/>
      <c r="H498" s="701"/>
      <c r="I498" s="702"/>
      <c r="J498" s="748"/>
    </row>
    <row r="499" spans="4:10" s="638" customFormat="1" ht="15">
      <c r="D499" s="699"/>
      <c r="G499" s="700"/>
      <c r="H499" s="701"/>
      <c r="I499" s="702"/>
      <c r="J499" s="748"/>
    </row>
    <row r="500" spans="4:10" s="638" customFormat="1" ht="15">
      <c r="D500" s="699"/>
      <c r="G500" s="700"/>
      <c r="H500" s="701"/>
      <c r="I500" s="702"/>
      <c r="J500" s="748"/>
    </row>
    <row r="501" spans="4:10" s="638" customFormat="1" ht="15">
      <c r="D501" s="699"/>
      <c r="G501" s="700"/>
      <c r="H501" s="701"/>
      <c r="I501" s="702"/>
      <c r="J501" s="748"/>
    </row>
    <row r="502" spans="4:10" s="638" customFormat="1" ht="15">
      <c r="D502" s="699"/>
      <c r="G502" s="700"/>
      <c r="H502" s="701"/>
      <c r="I502" s="702"/>
      <c r="J502" s="748"/>
    </row>
    <row r="503" spans="4:10" s="638" customFormat="1" ht="15">
      <c r="D503" s="699"/>
      <c r="G503" s="700"/>
      <c r="H503" s="701"/>
      <c r="I503" s="702"/>
      <c r="J503" s="748"/>
    </row>
    <row r="504" spans="4:10" s="638" customFormat="1" ht="15">
      <c r="D504" s="699"/>
      <c r="G504" s="700"/>
      <c r="H504" s="701"/>
      <c r="I504" s="702"/>
      <c r="J504" s="748"/>
    </row>
    <row r="505" spans="4:10" s="638" customFormat="1" ht="15">
      <c r="D505" s="699"/>
      <c r="G505" s="700"/>
      <c r="H505" s="701"/>
      <c r="I505" s="702"/>
      <c r="J505" s="748"/>
    </row>
    <row r="506" spans="4:10" s="638" customFormat="1" ht="15">
      <c r="D506" s="699"/>
      <c r="G506" s="700"/>
      <c r="H506" s="701"/>
      <c r="I506" s="702"/>
      <c r="J506" s="748"/>
    </row>
    <row r="507" spans="4:10" s="638" customFormat="1" ht="15">
      <c r="D507" s="699"/>
      <c r="G507" s="700"/>
      <c r="H507" s="701"/>
      <c r="I507" s="702"/>
      <c r="J507" s="748"/>
    </row>
    <row r="508" spans="4:10" s="638" customFormat="1" ht="15">
      <c r="D508" s="699"/>
      <c r="G508" s="700"/>
      <c r="H508" s="701"/>
      <c r="I508" s="702"/>
      <c r="J508" s="748"/>
    </row>
    <row r="509" spans="4:10" s="638" customFormat="1" ht="15">
      <c r="D509" s="699"/>
      <c r="G509" s="700"/>
      <c r="H509" s="701"/>
      <c r="I509" s="702"/>
      <c r="J509" s="748"/>
    </row>
    <row r="510" spans="4:10" s="638" customFormat="1" ht="15">
      <c r="D510" s="699"/>
      <c r="G510" s="700"/>
      <c r="H510" s="701"/>
      <c r="I510" s="702"/>
      <c r="J510" s="748"/>
    </row>
    <row r="511" spans="4:10" s="638" customFormat="1" ht="15">
      <c r="D511" s="699"/>
      <c r="G511" s="700"/>
      <c r="H511" s="701"/>
      <c r="I511" s="702"/>
      <c r="J511" s="748"/>
    </row>
    <row r="512" spans="4:10" s="638" customFormat="1" ht="15">
      <c r="D512" s="699"/>
      <c r="G512" s="700"/>
      <c r="H512" s="701"/>
      <c r="I512" s="702"/>
      <c r="J512" s="748"/>
    </row>
    <row r="513" spans="4:10" s="638" customFormat="1" ht="15">
      <c r="D513" s="699"/>
      <c r="G513" s="700"/>
      <c r="H513" s="701"/>
      <c r="I513" s="702"/>
      <c r="J513" s="748"/>
    </row>
    <row r="514" spans="4:10" s="638" customFormat="1" ht="15">
      <c r="D514" s="699"/>
      <c r="G514" s="700"/>
      <c r="H514" s="701"/>
      <c r="I514" s="702"/>
      <c r="J514" s="748"/>
    </row>
    <row r="515" spans="4:10" s="638" customFormat="1" ht="15">
      <c r="D515" s="699"/>
      <c r="G515" s="700"/>
      <c r="H515" s="701"/>
      <c r="I515" s="702"/>
      <c r="J515" s="748"/>
    </row>
    <row r="516" spans="4:10" s="638" customFormat="1" ht="15">
      <c r="D516" s="699"/>
      <c r="G516" s="700"/>
      <c r="H516" s="701"/>
      <c r="I516" s="702"/>
      <c r="J516" s="748"/>
    </row>
    <row r="517" spans="4:10" s="638" customFormat="1" ht="15">
      <c r="D517" s="699"/>
      <c r="G517" s="700"/>
      <c r="H517" s="701"/>
      <c r="I517" s="702"/>
      <c r="J517" s="748"/>
    </row>
    <row r="518" spans="4:10" s="638" customFormat="1" ht="15">
      <c r="D518" s="699"/>
      <c r="G518" s="700"/>
      <c r="H518" s="701"/>
      <c r="I518" s="702"/>
      <c r="J518" s="748"/>
    </row>
    <row r="519" spans="4:10" s="638" customFormat="1" ht="15">
      <c r="D519" s="699"/>
      <c r="G519" s="700"/>
      <c r="H519" s="701"/>
      <c r="I519" s="702"/>
      <c r="J519" s="748"/>
    </row>
    <row r="520" spans="4:10" s="638" customFormat="1" ht="15">
      <c r="D520" s="699"/>
      <c r="G520" s="700"/>
      <c r="H520" s="701"/>
      <c r="I520" s="702"/>
      <c r="J520" s="748"/>
    </row>
    <row r="521" spans="4:10" s="638" customFormat="1" ht="15">
      <c r="D521" s="699"/>
      <c r="G521" s="700"/>
      <c r="H521" s="701"/>
      <c r="I521" s="702"/>
      <c r="J521" s="748"/>
    </row>
    <row r="522" spans="4:10" s="638" customFormat="1" ht="15">
      <c r="D522" s="699"/>
      <c r="G522" s="700"/>
      <c r="H522" s="701"/>
      <c r="I522" s="702"/>
      <c r="J522" s="748"/>
    </row>
    <row r="523" spans="4:10" s="638" customFormat="1" ht="15">
      <c r="D523" s="699"/>
      <c r="G523" s="700"/>
      <c r="H523" s="701"/>
      <c r="I523" s="702"/>
      <c r="J523" s="748"/>
    </row>
    <row r="524" spans="4:10" s="638" customFormat="1" ht="15">
      <c r="D524" s="699"/>
      <c r="G524" s="700"/>
      <c r="H524" s="701"/>
      <c r="I524" s="702"/>
      <c r="J524" s="748"/>
    </row>
    <row r="525" spans="4:10" s="638" customFormat="1" ht="15">
      <c r="D525" s="699"/>
      <c r="G525" s="700"/>
      <c r="H525" s="701"/>
      <c r="I525" s="702"/>
      <c r="J525" s="748"/>
    </row>
    <row r="526" spans="4:10" s="638" customFormat="1" ht="15">
      <c r="D526" s="699"/>
      <c r="G526" s="700"/>
      <c r="H526" s="701"/>
      <c r="I526" s="702"/>
      <c r="J526" s="748"/>
    </row>
    <row r="527" spans="4:10" s="638" customFormat="1" ht="15">
      <c r="D527" s="699"/>
      <c r="G527" s="700"/>
      <c r="H527" s="701"/>
      <c r="I527" s="702"/>
      <c r="J527" s="748"/>
    </row>
    <row r="528" spans="4:10" s="638" customFormat="1" ht="15">
      <c r="D528" s="699"/>
      <c r="G528" s="700"/>
      <c r="H528" s="701"/>
      <c r="I528" s="702"/>
      <c r="J528" s="748"/>
    </row>
    <row r="529" spans="4:10" s="638" customFormat="1" ht="15">
      <c r="D529" s="699"/>
      <c r="G529" s="700"/>
      <c r="H529" s="701"/>
      <c r="I529" s="702"/>
      <c r="J529" s="748"/>
    </row>
    <row r="530" spans="4:10" s="638" customFormat="1" ht="15">
      <c r="D530" s="699"/>
      <c r="G530" s="700"/>
      <c r="H530" s="701"/>
      <c r="I530" s="702"/>
      <c r="J530" s="748"/>
    </row>
    <row r="531" spans="4:10" s="638" customFormat="1" ht="15">
      <c r="D531" s="699"/>
      <c r="G531" s="700"/>
      <c r="H531" s="701"/>
      <c r="I531" s="702"/>
      <c r="J531" s="748"/>
    </row>
    <row r="532" spans="4:10" s="638" customFormat="1" ht="15">
      <c r="D532" s="699"/>
      <c r="G532" s="700"/>
      <c r="H532" s="701"/>
      <c r="I532" s="702"/>
      <c r="J532" s="748"/>
    </row>
    <row r="533" spans="4:10" s="638" customFormat="1" ht="15">
      <c r="D533" s="699"/>
      <c r="G533" s="700"/>
      <c r="H533" s="701"/>
      <c r="I533" s="702"/>
      <c r="J533" s="748"/>
    </row>
    <row r="534" spans="4:10" s="638" customFormat="1" ht="15">
      <c r="D534" s="699"/>
      <c r="G534" s="700"/>
      <c r="H534" s="701"/>
      <c r="I534" s="702"/>
      <c r="J534" s="748"/>
    </row>
    <row r="535" spans="4:10" s="638" customFormat="1" ht="15">
      <c r="D535" s="699"/>
      <c r="G535" s="700"/>
      <c r="H535" s="701"/>
      <c r="I535" s="702"/>
      <c r="J535" s="748"/>
    </row>
    <row r="536" spans="4:10" s="638" customFormat="1" ht="15">
      <c r="D536" s="699"/>
      <c r="G536" s="700"/>
      <c r="H536" s="701"/>
      <c r="I536" s="702"/>
      <c r="J536" s="748"/>
    </row>
    <row r="537" spans="4:10" s="638" customFormat="1" ht="15">
      <c r="D537" s="699"/>
      <c r="G537" s="700"/>
      <c r="H537" s="701"/>
      <c r="I537" s="702"/>
      <c r="J537" s="748"/>
    </row>
    <row r="538" spans="4:10" s="638" customFormat="1" ht="15">
      <c r="D538" s="699"/>
      <c r="G538" s="700"/>
      <c r="H538" s="701"/>
      <c r="I538" s="702"/>
      <c r="J538" s="748"/>
    </row>
    <row r="539" spans="4:10" s="638" customFormat="1" ht="15">
      <c r="D539" s="699"/>
      <c r="G539" s="700"/>
      <c r="H539" s="701"/>
      <c r="I539" s="702"/>
      <c r="J539" s="748"/>
    </row>
    <row r="540" spans="4:10" s="638" customFormat="1" ht="15">
      <c r="D540" s="699"/>
      <c r="G540" s="700"/>
      <c r="H540" s="701"/>
      <c r="I540" s="702"/>
      <c r="J540" s="748"/>
    </row>
    <row r="541" spans="4:10" s="638" customFormat="1" ht="15">
      <c r="D541" s="699"/>
      <c r="G541" s="700"/>
      <c r="H541" s="701"/>
      <c r="I541" s="702"/>
      <c r="J541" s="748"/>
    </row>
    <row r="542" spans="4:10" s="638" customFormat="1" ht="15">
      <c r="D542" s="699"/>
      <c r="G542" s="700"/>
      <c r="H542" s="701"/>
      <c r="I542" s="702"/>
      <c r="J542" s="748"/>
    </row>
    <row r="543" spans="4:10" s="638" customFormat="1" ht="15">
      <c r="D543" s="699"/>
      <c r="G543" s="700"/>
      <c r="H543" s="701"/>
      <c r="I543" s="702"/>
      <c r="J543" s="748"/>
    </row>
    <row r="544" spans="4:10" s="638" customFormat="1" ht="15">
      <c r="D544" s="699"/>
      <c r="G544" s="700"/>
      <c r="H544" s="701"/>
      <c r="I544" s="702"/>
      <c r="J544" s="748"/>
    </row>
    <row r="545" spans="4:10" s="638" customFormat="1" ht="15">
      <c r="D545" s="699"/>
      <c r="G545" s="700"/>
      <c r="H545" s="701"/>
      <c r="I545" s="702"/>
      <c r="J545" s="748"/>
    </row>
    <row r="546" spans="4:10" s="638" customFormat="1" ht="15">
      <c r="D546" s="699"/>
      <c r="G546" s="700"/>
      <c r="H546" s="701"/>
      <c r="I546" s="702"/>
      <c r="J546" s="748"/>
    </row>
    <row r="547" spans="4:10" s="638" customFormat="1" ht="15">
      <c r="D547" s="699"/>
      <c r="G547" s="700"/>
      <c r="H547" s="701"/>
      <c r="I547" s="702"/>
      <c r="J547" s="748"/>
    </row>
    <row r="548" spans="4:10" s="638" customFormat="1" ht="15">
      <c r="D548" s="699"/>
      <c r="G548" s="700"/>
      <c r="H548" s="701"/>
      <c r="I548" s="702"/>
      <c r="J548" s="748"/>
    </row>
    <row r="549" spans="4:10" s="638" customFormat="1" ht="15">
      <c r="D549" s="699"/>
      <c r="G549" s="700"/>
      <c r="H549" s="701"/>
      <c r="I549" s="702"/>
      <c r="J549" s="748"/>
    </row>
    <row r="550" spans="4:10" s="638" customFormat="1" ht="15">
      <c r="D550" s="699"/>
      <c r="G550" s="700"/>
      <c r="H550" s="701"/>
      <c r="I550" s="702"/>
      <c r="J550" s="748"/>
    </row>
    <row r="551" spans="4:10" s="638" customFormat="1" ht="15">
      <c r="D551" s="699"/>
      <c r="G551" s="700"/>
      <c r="H551" s="701"/>
      <c r="I551" s="702"/>
      <c r="J551" s="748"/>
    </row>
    <row r="552" spans="4:10" s="638" customFormat="1" ht="15">
      <c r="D552" s="699"/>
      <c r="G552" s="700"/>
      <c r="H552" s="701"/>
      <c r="I552" s="702"/>
      <c r="J552" s="748"/>
    </row>
    <row r="553" spans="4:10" s="638" customFormat="1" ht="15">
      <c r="D553" s="699"/>
      <c r="G553" s="700"/>
      <c r="H553" s="701"/>
      <c r="I553" s="702"/>
      <c r="J553" s="748"/>
    </row>
    <row r="554" spans="4:10" s="638" customFormat="1" ht="15">
      <c r="D554" s="699"/>
      <c r="G554" s="700"/>
      <c r="H554" s="701"/>
      <c r="I554" s="702"/>
      <c r="J554" s="748"/>
    </row>
    <row r="555" spans="4:10" s="638" customFormat="1" ht="15">
      <c r="D555" s="699"/>
      <c r="G555" s="700"/>
      <c r="H555" s="701"/>
      <c r="I555" s="702"/>
      <c r="J555" s="748"/>
    </row>
    <row r="556" spans="4:10" s="638" customFormat="1" ht="15">
      <c r="D556" s="699"/>
      <c r="G556" s="700"/>
      <c r="H556" s="701"/>
      <c r="I556" s="702"/>
      <c r="J556" s="748"/>
    </row>
    <row r="557" spans="4:10" s="638" customFormat="1" ht="15">
      <c r="D557" s="699"/>
      <c r="G557" s="700"/>
      <c r="H557" s="701"/>
      <c r="I557" s="702"/>
      <c r="J557" s="748"/>
    </row>
    <row r="558" spans="4:10" s="638" customFormat="1" ht="15">
      <c r="D558" s="699"/>
      <c r="G558" s="700"/>
      <c r="H558" s="701"/>
      <c r="I558" s="702"/>
      <c r="J558" s="748"/>
    </row>
    <row r="559" spans="4:10" s="638" customFormat="1" ht="15">
      <c r="D559" s="699"/>
      <c r="G559" s="700"/>
      <c r="H559" s="701"/>
      <c r="I559" s="702"/>
      <c r="J559" s="748"/>
    </row>
    <row r="560" spans="4:10" s="638" customFormat="1" ht="15">
      <c r="D560" s="699"/>
      <c r="G560" s="700"/>
      <c r="H560" s="701"/>
      <c r="I560" s="702"/>
      <c r="J560" s="748"/>
    </row>
    <row r="561" spans="3:10" s="631" customFormat="1">
      <c r="C561" s="632"/>
      <c r="D561" s="703"/>
      <c r="E561" s="632"/>
      <c r="F561" s="632"/>
      <c r="G561" s="704"/>
      <c r="H561" s="705"/>
      <c r="I561" s="706"/>
      <c r="J561" s="746"/>
    </row>
    <row r="562" spans="3:10" s="631" customFormat="1">
      <c r="C562" s="632"/>
      <c r="D562" s="703"/>
      <c r="E562" s="632"/>
      <c r="F562" s="632"/>
      <c r="G562" s="704"/>
      <c r="H562" s="705"/>
      <c r="I562" s="706"/>
      <c r="J562" s="746"/>
    </row>
    <row r="563" spans="3:10" s="631" customFormat="1">
      <c r="C563" s="632"/>
      <c r="D563" s="703"/>
      <c r="E563" s="632"/>
      <c r="F563" s="632"/>
      <c r="G563" s="704"/>
      <c r="H563" s="705"/>
      <c r="I563" s="706"/>
      <c r="J563" s="746"/>
    </row>
    <row r="564" spans="3:10" s="631" customFormat="1">
      <c r="C564" s="632"/>
      <c r="D564" s="703"/>
      <c r="E564" s="632"/>
      <c r="F564" s="632"/>
      <c r="G564" s="704"/>
      <c r="H564" s="705"/>
      <c r="I564" s="706"/>
      <c r="J564" s="746"/>
    </row>
    <row r="565" spans="3:10" s="631" customFormat="1">
      <c r="C565" s="632"/>
      <c r="D565" s="703"/>
      <c r="E565" s="632"/>
      <c r="F565" s="632"/>
      <c r="G565" s="704"/>
      <c r="H565" s="705"/>
      <c r="I565" s="706"/>
      <c r="J565" s="746"/>
    </row>
    <row r="566" spans="3:10" s="631" customFormat="1">
      <c r="C566" s="632"/>
      <c r="D566" s="703"/>
      <c r="E566" s="632"/>
      <c r="F566" s="632"/>
      <c r="G566" s="704"/>
      <c r="H566" s="705"/>
      <c r="I566" s="706"/>
      <c r="J566" s="746"/>
    </row>
    <row r="567" spans="3:10" s="631" customFormat="1">
      <c r="C567" s="632"/>
      <c r="D567" s="703"/>
      <c r="E567" s="632"/>
      <c r="F567" s="632"/>
      <c r="G567" s="704"/>
      <c r="H567" s="705"/>
      <c r="I567" s="706"/>
      <c r="J567" s="746"/>
    </row>
    <row r="568" spans="3:10" s="631" customFormat="1">
      <c r="C568" s="632"/>
      <c r="D568" s="703"/>
      <c r="E568" s="632"/>
      <c r="F568" s="632"/>
      <c r="G568" s="704"/>
      <c r="H568" s="705"/>
      <c r="I568" s="706"/>
      <c r="J568" s="746"/>
    </row>
    <row r="569" spans="3:10" s="631" customFormat="1">
      <c r="C569" s="632"/>
      <c r="D569" s="703"/>
      <c r="E569" s="632"/>
      <c r="F569" s="632"/>
      <c r="G569" s="704"/>
      <c r="H569" s="705"/>
      <c r="I569" s="706"/>
      <c r="J569" s="746"/>
    </row>
    <row r="570" spans="3:10" s="631" customFormat="1">
      <c r="C570" s="632"/>
      <c r="D570" s="703"/>
      <c r="E570" s="632"/>
      <c r="F570" s="632"/>
      <c r="G570" s="704"/>
      <c r="H570" s="705"/>
      <c r="I570" s="706"/>
      <c r="J570" s="746"/>
    </row>
    <row r="571" spans="3:10" s="631" customFormat="1">
      <c r="C571" s="632"/>
      <c r="D571" s="703"/>
      <c r="E571" s="632"/>
      <c r="F571" s="632"/>
      <c r="G571" s="704"/>
      <c r="H571" s="705"/>
      <c r="I571" s="706"/>
      <c r="J571" s="746"/>
    </row>
    <row r="572" spans="3:10" s="631" customFormat="1">
      <c r="C572" s="632"/>
      <c r="D572" s="703"/>
      <c r="E572" s="632"/>
      <c r="F572" s="632"/>
      <c r="G572" s="704"/>
      <c r="H572" s="705"/>
      <c r="I572" s="706"/>
      <c r="J572" s="746"/>
    </row>
    <row r="573" spans="3:10" s="631" customFormat="1">
      <c r="C573" s="632"/>
      <c r="D573" s="703"/>
      <c r="E573" s="632"/>
      <c r="F573" s="632"/>
      <c r="G573" s="704"/>
      <c r="H573" s="705"/>
      <c r="I573" s="706"/>
      <c r="J573" s="746"/>
    </row>
    <row r="574" spans="3:10" s="631" customFormat="1">
      <c r="C574" s="632"/>
      <c r="D574" s="703"/>
      <c r="E574" s="632"/>
      <c r="F574" s="632"/>
      <c r="G574" s="704"/>
      <c r="H574" s="705"/>
      <c r="I574" s="706"/>
      <c r="J574" s="746"/>
    </row>
    <row r="575" spans="3:10" s="631" customFormat="1">
      <c r="C575" s="632"/>
      <c r="D575" s="703"/>
      <c r="E575" s="632"/>
      <c r="F575" s="632"/>
      <c r="G575" s="704"/>
      <c r="H575" s="705"/>
      <c r="I575" s="706"/>
      <c r="J575" s="746"/>
    </row>
    <row r="576" spans="3:10" s="631" customFormat="1">
      <c r="C576" s="632"/>
      <c r="D576" s="703"/>
      <c r="E576" s="632"/>
      <c r="F576" s="632"/>
      <c r="G576" s="704"/>
      <c r="H576" s="705"/>
      <c r="I576" s="706"/>
      <c r="J576" s="746"/>
    </row>
    <row r="577" spans="3:10" s="631" customFormat="1">
      <c r="C577" s="632"/>
      <c r="D577" s="703"/>
      <c r="E577" s="632"/>
      <c r="F577" s="632"/>
      <c r="G577" s="704"/>
      <c r="H577" s="705"/>
      <c r="I577" s="706"/>
      <c r="J577" s="746"/>
    </row>
    <row r="578" spans="3:10" s="631" customFormat="1">
      <c r="C578" s="632"/>
      <c r="D578" s="703"/>
      <c r="E578" s="632"/>
      <c r="F578" s="632"/>
      <c r="G578" s="704"/>
      <c r="H578" s="705"/>
      <c r="I578" s="706"/>
      <c r="J578" s="746"/>
    </row>
    <row r="579" spans="3:10" s="631" customFormat="1">
      <c r="C579" s="632"/>
      <c r="D579" s="703"/>
      <c r="E579" s="632"/>
      <c r="F579" s="632"/>
      <c r="G579" s="704"/>
      <c r="H579" s="705"/>
      <c r="I579" s="706"/>
      <c r="J579" s="746"/>
    </row>
    <row r="580" spans="3:10" s="631" customFormat="1">
      <c r="C580" s="632"/>
      <c r="D580" s="703"/>
      <c r="E580" s="632"/>
      <c r="F580" s="632"/>
      <c r="G580" s="704"/>
      <c r="H580" s="705"/>
      <c r="I580" s="706"/>
      <c r="J580" s="746"/>
    </row>
    <row r="581" spans="3:10" s="631" customFormat="1">
      <c r="C581" s="632"/>
      <c r="D581" s="703"/>
      <c r="E581" s="632"/>
      <c r="F581" s="632"/>
      <c r="G581" s="704"/>
      <c r="H581" s="705"/>
      <c r="I581" s="706"/>
      <c r="J581" s="746"/>
    </row>
    <row r="582" spans="3:10" s="631" customFormat="1">
      <c r="C582" s="632"/>
      <c r="D582" s="703"/>
      <c r="E582" s="632"/>
      <c r="F582" s="632"/>
      <c r="G582" s="704"/>
      <c r="H582" s="705"/>
      <c r="I582" s="706"/>
      <c r="J582" s="746"/>
    </row>
    <row r="583" spans="3:10" s="631" customFormat="1">
      <c r="C583" s="632"/>
      <c r="D583" s="703"/>
      <c r="E583" s="632"/>
      <c r="F583" s="632"/>
      <c r="G583" s="704"/>
      <c r="H583" s="705"/>
      <c r="I583" s="706"/>
      <c r="J583" s="746"/>
    </row>
    <row r="584" spans="3:10" s="631" customFormat="1">
      <c r="C584" s="632"/>
      <c r="D584" s="703"/>
      <c r="E584" s="632"/>
      <c r="F584" s="632"/>
      <c r="G584" s="704"/>
      <c r="H584" s="705"/>
      <c r="I584" s="706"/>
      <c r="J584" s="746"/>
    </row>
    <row r="585" spans="3:10" s="631" customFormat="1">
      <c r="C585" s="632"/>
      <c r="D585" s="703"/>
      <c r="E585" s="632"/>
      <c r="F585" s="632"/>
      <c r="G585" s="704"/>
      <c r="H585" s="705"/>
      <c r="I585" s="706"/>
      <c r="J585" s="746"/>
    </row>
    <row r="586" spans="3:10" s="631" customFormat="1">
      <c r="C586" s="632"/>
      <c r="D586" s="703"/>
      <c r="E586" s="632"/>
      <c r="F586" s="632"/>
      <c r="G586" s="704"/>
      <c r="H586" s="705"/>
      <c r="I586" s="706"/>
      <c r="J586" s="746"/>
    </row>
    <row r="587" spans="3:10" s="631" customFormat="1">
      <c r="C587" s="632"/>
      <c r="D587" s="703"/>
      <c r="E587" s="632"/>
      <c r="F587" s="632"/>
      <c r="G587" s="704"/>
      <c r="H587" s="705"/>
      <c r="I587" s="706"/>
      <c r="J587" s="746"/>
    </row>
    <row r="588" spans="3:10" s="631" customFormat="1">
      <c r="C588" s="632"/>
      <c r="D588" s="703"/>
      <c r="E588" s="632"/>
      <c r="F588" s="632"/>
      <c r="G588" s="704"/>
      <c r="H588" s="705"/>
      <c r="I588" s="706"/>
      <c r="J588" s="746"/>
    </row>
    <row r="589" spans="3:10" s="631" customFormat="1">
      <c r="C589" s="632"/>
      <c r="D589" s="703"/>
      <c r="E589" s="632"/>
      <c r="F589" s="632"/>
      <c r="G589" s="704"/>
      <c r="H589" s="705"/>
      <c r="I589" s="706"/>
      <c r="J589" s="746"/>
    </row>
    <row r="590" spans="3:10" s="631" customFormat="1">
      <c r="C590" s="632"/>
      <c r="D590" s="703"/>
      <c r="E590" s="632"/>
      <c r="F590" s="632"/>
      <c r="G590" s="704"/>
      <c r="H590" s="705"/>
      <c r="I590" s="706"/>
      <c r="J590" s="746"/>
    </row>
    <row r="591" spans="3:10" s="631" customFormat="1">
      <c r="C591" s="632"/>
      <c r="D591" s="703"/>
      <c r="E591" s="632"/>
      <c r="F591" s="632"/>
      <c r="G591" s="704"/>
      <c r="H591" s="705"/>
      <c r="I591" s="706"/>
      <c r="J591" s="746"/>
    </row>
    <row r="592" spans="3:10" s="631" customFormat="1">
      <c r="C592" s="632"/>
      <c r="D592" s="703"/>
      <c r="E592" s="632"/>
      <c r="F592" s="632"/>
      <c r="G592" s="704"/>
      <c r="H592" s="705"/>
      <c r="I592" s="706"/>
      <c r="J592" s="746"/>
    </row>
    <row r="593" spans="3:10" s="631" customFormat="1">
      <c r="C593" s="632"/>
      <c r="D593" s="703"/>
      <c r="E593" s="632"/>
      <c r="F593" s="632"/>
      <c r="G593" s="704"/>
      <c r="H593" s="705"/>
      <c r="I593" s="706"/>
      <c r="J593" s="746"/>
    </row>
    <row r="594" spans="3:10" s="631" customFormat="1">
      <c r="C594" s="632"/>
      <c r="D594" s="703"/>
      <c r="E594" s="632"/>
      <c r="F594" s="632"/>
      <c r="G594" s="704"/>
      <c r="H594" s="705"/>
      <c r="I594" s="706"/>
      <c r="J594" s="746"/>
    </row>
    <row r="595" spans="3:10" s="631" customFormat="1">
      <c r="C595" s="632"/>
      <c r="D595" s="703"/>
      <c r="E595" s="632"/>
      <c r="F595" s="632"/>
      <c r="G595" s="704"/>
      <c r="H595" s="705"/>
      <c r="I595" s="706"/>
      <c r="J595" s="746"/>
    </row>
    <row r="596" spans="3:10" s="631" customFormat="1">
      <c r="C596" s="632"/>
      <c r="D596" s="703"/>
      <c r="E596" s="632"/>
      <c r="F596" s="632"/>
      <c r="G596" s="704"/>
      <c r="H596" s="705"/>
      <c r="I596" s="706"/>
      <c r="J596" s="746"/>
    </row>
    <row r="597" spans="3:10" s="631" customFormat="1">
      <c r="C597" s="632"/>
      <c r="D597" s="703"/>
      <c r="E597" s="632"/>
      <c r="F597" s="632"/>
      <c r="G597" s="704"/>
      <c r="H597" s="705"/>
      <c r="I597" s="706"/>
      <c r="J597" s="746"/>
    </row>
    <row r="598" spans="3:10" s="631" customFormat="1">
      <c r="C598" s="632"/>
      <c r="D598" s="703"/>
      <c r="E598" s="632"/>
      <c r="F598" s="632"/>
      <c r="G598" s="704"/>
      <c r="H598" s="705"/>
      <c r="I598" s="706"/>
      <c r="J598" s="746"/>
    </row>
    <row r="599" spans="3:10" s="631" customFormat="1">
      <c r="C599" s="632"/>
      <c r="D599" s="703"/>
      <c r="E599" s="632"/>
      <c r="F599" s="632"/>
      <c r="G599" s="704"/>
      <c r="H599" s="705"/>
      <c r="I599" s="706"/>
      <c r="J599" s="746"/>
    </row>
    <row r="600" spans="3:10" s="631" customFormat="1">
      <c r="C600" s="632"/>
      <c r="D600" s="703"/>
      <c r="E600" s="632"/>
      <c r="F600" s="632"/>
      <c r="G600" s="704"/>
      <c r="H600" s="705"/>
      <c r="I600" s="706"/>
      <c r="J600" s="746"/>
    </row>
    <row r="601" spans="3:10" s="631" customFormat="1">
      <c r="C601" s="632"/>
      <c r="D601" s="703"/>
      <c r="E601" s="632"/>
      <c r="F601" s="632"/>
      <c r="G601" s="704"/>
      <c r="H601" s="705"/>
      <c r="I601" s="706"/>
      <c r="J601" s="746"/>
    </row>
    <row r="602" spans="3:10" s="631" customFormat="1">
      <c r="C602" s="632"/>
      <c r="D602" s="703"/>
      <c r="E602" s="632"/>
      <c r="F602" s="632"/>
      <c r="G602" s="704"/>
      <c r="H602" s="705"/>
      <c r="I602" s="706"/>
      <c r="J602" s="746"/>
    </row>
    <row r="603" spans="3:10" s="631" customFormat="1">
      <c r="C603" s="632"/>
      <c r="D603" s="703"/>
      <c r="E603" s="632"/>
      <c r="F603" s="632"/>
      <c r="G603" s="704"/>
      <c r="H603" s="705"/>
      <c r="I603" s="706"/>
      <c r="J603" s="746"/>
    </row>
    <row r="604" spans="3:10" s="631" customFormat="1">
      <c r="C604" s="632"/>
      <c r="D604" s="703"/>
      <c r="E604" s="632"/>
      <c r="F604" s="632"/>
      <c r="G604" s="704"/>
      <c r="H604" s="705"/>
      <c r="I604" s="706"/>
      <c r="J604" s="746"/>
    </row>
    <row r="605" spans="3:10" s="631" customFormat="1">
      <c r="C605" s="632"/>
      <c r="D605" s="703"/>
      <c r="E605" s="632"/>
      <c r="F605" s="632"/>
      <c r="G605" s="704"/>
      <c r="H605" s="705"/>
      <c r="I605" s="706"/>
      <c r="J605" s="746"/>
    </row>
    <row r="606" spans="3:10" s="631" customFormat="1">
      <c r="C606" s="632"/>
      <c r="D606" s="703"/>
      <c r="E606" s="632"/>
      <c r="F606" s="632"/>
      <c r="G606" s="704"/>
      <c r="H606" s="705"/>
      <c r="I606" s="706"/>
      <c r="J606" s="746"/>
    </row>
    <row r="607" spans="3:10" s="631" customFormat="1">
      <c r="C607" s="632"/>
      <c r="D607" s="703"/>
      <c r="E607" s="632"/>
      <c r="F607" s="632"/>
      <c r="G607" s="704"/>
      <c r="H607" s="705"/>
      <c r="I607" s="706"/>
      <c r="J607" s="746"/>
    </row>
    <row r="608" spans="3:10" s="631" customFormat="1">
      <c r="C608" s="632"/>
      <c r="D608" s="703"/>
      <c r="E608" s="632"/>
      <c r="F608" s="632"/>
      <c r="G608" s="704"/>
      <c r="H608" s="705"/>
      <c r="I608" s="706"/>
      <c r="J608" s="746"/>
    </row>
    <row r="609" spans="3:10" s="631" customFormat="1">
      <c r="C609" s="632"/>
      <c r="D609" s="703"/>
      <c r="E609" s="632"/>
      <c r="F609" s="632"/>
      <c r="G609" s="704"/>
      <c r="H609" s="705"/>
      <c r="I609" s="706"/>
      <c r="J609" s="746"/>
    </row>
    <row r="610" spans="3:10" s="631" customFormat="1">
      <c r="C610" s="632"/>
      <c r="D610" s="703"/>
      <c r="E610" s="632"/>
      <c r="F610" s="632"/>
      <c r="G610" s="704"/>
      <c r="H610" s="705"/>
      <c r="I610" s="706"/>
      <c r="J610" s="746"/>
    </row>
    <row r="611" spans="3:10" s="631" customFormat="1">
      <c r="C611" s="632"/>
      <c r="D611" s="703"/>
      <c r="E611" s="632"/>
      <c r="F611" s="632"/>
      <c r="G611" s="704"/>
      <c r="H611" s="705"/>
      <c r="I611" s="706"/>
      <c r="J611" s="746"/>
    </row>
    <row r="612" spans="3:10" s="631" customFormat="1">
      <c r="C612" s="632"/>
      <c r="D612" s="703"/>
      <c r="E612" s="632"/>
      <c r="F612" s="632"/>
      <c r="G612" s="704"/>
      <c r="H612" s="705"/>
      <c r="I612" s="706"/>
      <c r="J612" s="746"/>
    </row>
    <row r="613" spans="3:10" s="631" customFormat="1">
      <c r="C613" s="632"/>
      <c r="D613" s="703"/>
      <c r="E613" s="632"/>
      <c r="F613" s="632"/>
      <c r="G613" s="704"/>
      <c r="H613" s="705"/>
      <c r="I613" s="706"/>
      <c r="J613" s="746"/>
    </row>
    <row r="614" spans="3:10" s="631" customFormat="1">
      <c r="C614" s="632"/>
      <c r="D614" s="703"/>
      <c r="E614" s="632"/>
      <c r="F614" s="632"/>
      <c r="G614" s="704"/>
      <c r="H614" s="705"/>
      <c r="I614" s="706"/>
      <c r="J614" s="746"/>
    </row>
    <row r="615" spans="3:10" s="631" customFormat="1">
      <c r="C615" s="632"/>
      <c r="D615" s="703"/>
      <c r="E615" s="632"/>
      <c r="F615" s="632"/>
      <c r="G615" s="704"/>
      <c r="H615" s="705"/>
      <c r="I615" s="706"/>
      <c r="J615" s="746"/>
    </row>
    <row r="616" spans="3:10" s="631" customFormat="1">
      <c r="C616" s="632"/>
      <c r="D616" s="703"/>
      <c r="E616" s="632"/>
      <c r="F616" s="632"/>
      <c r="G616" s="704"/>
      <c r="H616" s="705"/>
      <c r="I616" s="706"/>
      <c r="J616" s="746"/>
    </row>
    <row r="617" spans="3:10" s="631" customFormat="1">
      <c r="C617" s="632"/>
      <c r="D617" s="703"/>
      <c r="E617" s="632"/>
      <c r="F617" s="632"/>
      <c r="G617" s="704"/>
      <c r="H617" s="705"/>
      <c r="I617" s="706"/>
      <c r="J617" s="746"/>
    </row>
    <row r="618" spans="3:10" s="631" customFormat="1">
      <c r="C618" s="632"/>
      <c r="D618" s="703"/>
      <c r="E618" s="632"/>
      <c r="F618" s="632"/>
      <c r="G618" s="704"/>
      <c r="H618" s="705"/>
      <c r="I618" s="706"/>
      <c r="J618" s="746"/>
    </row>
    <row r="619" spans="3:10" s="631" customFormat="1">
      <c r="C619" s="632"/>
      <c r="D619" s="703"/>
      <c r="E619" s="632"/>
      <c r="F619" s="632"/>
      <c r="G619" s="704"/>
      <c r="H619" s="705"/>
      <c r="I619" s="706"/>
      <c r="J619" s="746"/>
    </row>
    <row r="620" spans="3:10" s="631" customFormat="1">
      <c r="C620" s="632"/>
      <c r="D620" s="703"/>
      <c r="E620" s="632"/>
      <c r="F620" s="632"/>
      <c r="G620" s="704"/>
      <c r="H620" s="705"/>
      <c r="I620" s="706"/>
      <c r="J620" s="746"/>
    </row>
    <row r="621" spans="3:10" s="631" customFormat="1">
      <c r="C621" s="632"/>
      <c r="D621" s="703"/>
      <c r="E621" s="632"/>
      <c r="F621" s="632"/>
      <c r="G621" s="704"/>
      <c r="H621" s="705"/>
      <c r="I621" s="706"/>
      <c r="J621" s="746"/>
    </row>
    <row r="622" spans="3:10" s="631" customFormat="1">
      <c r="C622" s="632"/>
      <c r="D622" s="703"/>
      <c r="E622" s="632"/>
      <c r="F622" s="632"/>
      <c r="G622" s="704"/>
      <c r="H622" s="705"/>
      <c r="I622" s="706"/>
      <c r="J622" s="746"/>
    </row>
    <row r="623" spans="3:10" s="631" customFormat="1">
      <c r="C623" s="632"/>
      <c r="D623" s="703"/>
      <c r="E623" s="632"/>
      <c r="F623" s="632"/>
      <c r="G623" s="704"/>
      <c r="H623" s="705"/>
      <c r="I623" s="706"/>
      <c r="J623" s="746"/>
    </row>
    <row r="624" spans="3:10" s="631" customFormat="1">
      <c r="C624" s="632"/>
      <c r="D624" s="703"/>
      <c r="E624" s="632"/>
      <c r="F624" s="632"/>
      <c r="G624" s="704"/>
      <c r="H624" s="705"/>
      <c r="I624" s="706"/>
      <c r="J624" s="746"/>
    </row>
    <row r="625" spans="3:10" s="631" customFormat="1">
      <c r="C625" s="632"/>
      <c r="D625" s="703"/>
      <c r="E625" s="632"/>
      <c r="F625" s="632"/>
      <c r="G625" s="704"/>
      <c r="H625" s="705"/>
      <c r="I625" s="706"/>
      <c r="J625" s="746"/>
    </row>
    <row r="626" spans="3:10" s="631" customFormat="1">
      <c r="C626" s="632"/>
      <c r="D626" s="703"/>
      <c r="E626" s="632"/>
      <c r="F626" s="632"/>
      <c r="G626" s="704"/>
      <c r="H626" s="705"/>
      <c r="I626" s="706"/>
      <c r="J626" s="746"/>
    </row>
    <row r="627" spans="3:10" s="631" customFormat="1">
      <c r="C627" s="632"/>
      <c r="D627" s="703"/>
      <c r="E627" s="632"/>
      <c r="F627" s="632"/>
      <c r="G627" s="704"/>
      <c r="H627" s="705"/>
      <c r="I627" s="706"/>
      <c r="J627" s="746"/>
    </row>
    <row r="628" spans="3:10" s="631" customFormat="1">
      <c r="C628" s="632"/>
      <c r="D628" s="703"/>
      <c r="E628" s="632"/>
      <c r="F628" s="632"/>
      <c r="G628" s="704"/>
      <c r="H628" s="705"/>
      <c r="I628" s="706"/>
      <c r="J628" s="746"/>
    </row>
    <row r="629" spans="3:10" s="631" customFormat="1">
      <c r="C629" s="632"/>
      <c r="D629" s="703"/>
      <c r="E629" s="632"/>
      <c r="F629" s="632"/>
      <c r="G629" s="704"/>
      <c r="H629" s="705"/>
      <c r="I629" s="706"/>
      <c r="J629" s="746"/>
    </row>
    <row r="630" spans="3:10" s="631" customFormat="1">
      <c r="C630" s="632"/>
      <c r="D630" s="703"/>
      <c r="E630" s="632"/>
      <c r="F630" s="632"/>
      <c r="G630" s="704"/>
      <c r="H630" s="705"/>
      <c r="I630" s="706"/>
      <c r="J630" s="746"/>
    </row>
    <row r="631" spans="3:10" s="631" customFormat="1">
      <c r="C631" s="632"/>
      <c r="D631" s="703"/>
      <c r="E631" s="632"/>
      <c r="F631" s="632"/>
      <c r="G631" s="704"/>
      <c r="H631" s="705"/>
      <c r="I631" s="706"/>
      <c r="J631" s="746"/>
    </row>
    <row r="632" spans="3:10" s="631" customFormat="1">
      <c r="C632" s="632"/>
      <c r="D632" s="703"/>
      <c r="E632" s="632"/>
      <c r="F632" s="632"/>
      <c r="G632" s="704"/>
      <c r="H632" s="705"/>
      <c r="I632" s="706"/>
      <c r="J632" s="746"/>
    </row>
    <row r="633" spans="3:10" s="631" customFormat="1">
      <c r="C633" s="632"/>
      <c r="D633" s="703"/>
      <c r="E633" s="632"/>
      <c r="F633" s="632"/>
      <c r="G633" s="704"/>
      <c r="H633" s="705"/>
      <c r="I633" s="706"/>
      <c r="J633" s="746"/>
    </row>
    <row r="634" spans="3:10" s="631" customFormat="1">
      <c r="C634" s="632"/>
      <c r="D634" s="703"/>
      <c r="E634" s="632"/>
      <c r="F634" s="632"/>
      <c r="G634" s="704"/>
      <c r="H634" s="705"/>
      <c r="I634" s="706"/>
      <c r="J634" s="746"/>
    </row>
    <row r="635" spans="3:10" s="631" customFormat="1">
      <c r="C635" s="632"/>
      <c r="D635" s="703"/>
      <c r="E635" s="632"/>
      <c r="F635" s="632"/>
      <c r="G635" s="704"/>
      <c r="H635" s="705"/>
      <c r="I635" s="706"/>
      <c r="J635" s="746"/>
    </row>
    <row r="636" spans="3:10" s="631" customFormat="1">
      <c r="C636" s="632"/>
      <c r="D636" s="703"/>
      <c r="E636" s="632"/>
      <c r="F636" s="632"/>
      <c r="G636" s="704"/>
      <c r="H636" s="705"/>
      <c r="I636" s="706"/>
      <c r="J636" s="746"/>
    </row>
    <row r="637" spans="3:10" s="631" customFormat="1">
      <c r="C637" s="632"/>
      <c r="D637" s="703"/>
      <c r="E637" s="632"/>
      <c r="F637" s="632"/>
      <c r="G637" s="704"/>
      <c r="H637" s="705"/>
      <c r="I637" s="706"/>
      <c r="J637" s="746"/>
    </row>
    <row r="638" spans="3:10" s="631" customFormat="1">
      <c r="C638" s="632"/>
      <c r="D638" s="703"/>
      <c r="E638" s="632"/>
      <c r="F638" s="632"/>
      <c r="G638" s="704"/>
      <c r="H638" s="705"/>
      <c r="I638" s="706"/>
      <c r="J638" s="746"/>
    </row>
    <row r="639" spans="3:10" s="631" customFormat="1">
      <c r="C639" s="632"/>
      <c r="D639" s="703"/>
      <c r="E639" s="632"/>
      <c r="F639" s="632"/>
      <c r="G639" s="704"/>
      <c r="H639" s="705"/>
      <c r="I639" s="706"/>
      <c r="J639" s="746"/>
    </row>
    <row r="640" spans="3:10" s="631" customFormat="1">
      <c r="C640" s="632"/>
      <c r="D640" s="703"/>
      <c r="E640" s="632"/>
      <c r="F640" s="632"/>
      <c r="G640" s="704"/>
      <c r="H640" s="705"/>
      <c r="I640" s="706"/>
      <c r="J640" s="746"/>
    </row>
    <row r="641" spans="3:10" s="631" customFormat="1">
      <c r="C641" s="632"/>
      <c r="D641" s="703"/>
      <c r="E641" s="632"/>
      <c r="F641" s="632"/>
      <c r="G641" s="704"/>
      <c r="H641" s="705"/>
      <c r="I641" s="706"/>
      <c r="J641" s="746"/>
    </row>
    <row r="642" spans="3:10" s="631" customFormat="1">
      <c r="C642" s="632"/>
      <c r="D642" s="703"/>
      <c r="E642" s="632"/>
      <c r="F642" s="632"/>
      <c r="G642" s="704"/>
      <c r="H642" s="705"/>
      <c r="I642" s="706"/>
      <c r="J642" s="746"/>
    </row>
    <row r="643" spans="3:10" s="631" customFormat="1">
      <c r="C643" s="632"/>
      <c r="D643" s="703"/>
      <c r="E643" s="632"/>
      <c r="F643" s="632"/>
      <c r="G643" s="704"/>
      <c r="H643" s="705"/>
      <c r="I643" s="706"/>
      <c r="J643" s="746"/>
    </row>
    <row r="644" spans="3:10" s="631" customFormat="1">
      <c r="C644" s="632"/>
      <c r="D644" s="703"/>
      <c r="E644" s="632"/>
      <c r="F644" s="632"/>
      <c r="G644" s="704"/>
      <c r="H644" s="705"/>
      <c r="I644" s="706"/>
      <c r="J644" s="746"/>
    </row>
    <row r="645" spans="3:10" s="631" customFormat="1">
      <c r="C645" s="632"/>
      <c r="D645" s="703"/>
      <c r="E645" s="632"/>
      <c r="F645" s="632"/>
      <c r="G645" s="704"/>
      <c r="H645" s="705"/>
      <c r="I645" s="706"/>
      <c r="J645" s="746"/>
    </row>
    <row r="646" spans="3:10" s="631" customFormat="1">
      <c r="C646" s="632"/>
      <c r="D646" s="703"/>
      <c r="E646" s="632"/>
      <c r="F646" s="632"/>
      <c r="G646" s="704"/>
      <c r="H646" s="705"/>
      <c r="I646" s="706"/>
      <c r="J646" s="746"/>
    </row>
    <row r="647" spans="3:10" s="631" customFormat="1">
      <c r="C647" s="632"/>
      <c r="D647" s="703"/>
      <c r="E647" s="632"/>
      <c r="F647" s="632"/>
      <c r="G647" s="704"/>
      <c r="H647" s="705"/>
      <c r="I647" s="706"/>
      <c r="J647" s="746"/>
    </row>
    <row r="648" spans="3:10" s="631" customFormat="1">
      <c r="C648" s="632"/>
      <c r="D648" s="703"/>
      <c r="E648" s="632"/>
      <c r="F648" s="632"/>
      <c r="G648" s="704"/>
      <c r="H648" s="705"/>
      <c r="I648" s="706"/>
      <c r="J648" s="746"/>
    </row>
    <row r="649" spans="3:10" s="631" customFormat="1">
      <c r="C649" s="632"/>
      <c r="D649" s="703"/>
      <c r="E649" s="632"/>
      <c r="F649" s="632"/>
      <c r="G649" s="704"/>
      <c r="H649" s="705"/>
      <c r="I649" s="706"/>
      <c r="J649" s="746"/>
    </row>
    <row r="650" spans="3:10" s="631" customFormat="1">
      <c r="C650" s="632"/>
      <c r="D650" s="703"/>
      <c r="E650" s="632"/>
      <c r="F650" s="632"/>
      <c r="G650" s="704"/>
      <c r="H650" s="705"/>
      <c r="I650" s="706"/>
      <c r="J650" s="746"/>
    </row>
    <row r="651" spans="3:10" s="631" customFormat="1">
      <c r="C651" s="632"/>
      <c r="D651" s="703"/>
      <c r="E651" s="632"/>
      <c r="F651" s="632"/>
      <c r="G651" s="704"/>
      <c r="H651" s="705"/>
      <c r="I651" s="706"/>
      <c r="J651" s="746"/>
    </row>
    <row r="652" spans="3:10" s="631" customFormat="1">
      <c r="C652" s="632"/>
      <c r="D652" s="703"/>
      <c r="E652" s="632"/>
      <c r="F652" s="632"/>
      <c r="G652" s="704"/>
      <c r="H652" s="705"/>
      <c r="I652" s="706"/>
      <c r="J652" s="746"/>
    </row>
    <row r="653" spans="3:10" s="631" customFormat="1">
      <c r="C653" s="632"/>
      <c r="D653" s="703"/>
      <c r="E653" s="632"/>
      <c r="F653" s="632"/>
      <c r="G653" s="704"/>
      <c r="H653" s="705"/>
      <c r="I653" s="706"/>
      <c r="J653" s="746"/>
    </row>
    <row r="654" spans="3:10" s="631" customFormat="1">
      <c r="C654" s="632"/>
      <c r="D654" s="703"/>
      <c r="E654" s="632"/>
      <c r="F654" s="632"/>
      <c r="G654" s="704"/>
      <c r="H654" s="705"/>
      <c r="I654" s="706"/>
      <c r="J654" s="746"/>
    </row>
    <row r="655" spans="3:10" s="631" customFormat="1">
      <c r="C655" s="632"/>
      <c r="D655" s="703"/>
      <c r="E655" s="632"/>
      <c r="F655" s="632"/>
      <c r="G655" s="704"/>
      <c r="H655" s="705"/>
      <c r="I655" s="706"/>
      <c r="J655" s="746"/>
    </row>
    <row r="656" spans="3:10" s="631" customFormat="1">
      <c r="C656" s="632"/>
      <c r="D656" s="703"/>
      <c r="E656" s="632"/>
      <c r="F656" s="632"/>
      <c r="G656" s="704"/>
      <c r="H656" s="705"/>
      <c r="I656" s="706"/>
      <c r="J656" s="746"/>
    </row>
    <row r="657" spans="3:10" s="631" customFormat="1">
      <c r="C657" s="632"/>
      <c r="D657" s="703"/>
      <c r="E657" s="632"/>
      <c r="F657" s="632"/>
      <c r="G657" s="704"/>
      <c r="H657" s="705"/>
      <c r="I657" s="706"/>
      <c r="J657" s="746"/>
    </row>
    <row r="658" spans="3:10" s="631" customFormat="1">
      <c r="D658" s="707"/>
      <c r="E658" s="632"/>
      <c r="F658" s="632"/>
      <c r="G658" s="704"/>
      <c r="H658" s="705"/>
      <c r="I658" s="706"/>
      <c r="J658" s="746"/>
    </row>
    <row r="659" spans="3:10" s="631" customFormat="1">
      <c r="D659" s="707"/>
      <c r="E659" s="632"/>
      <c r="F659" s="632"/>
      <c r="G659" s="704"/>
      <c r="H659" s="705"/>
      <c r="I659" s="706"/>
      <c r="J659" s="746"/>
    </row>
    <row r="660" spans="3:10" s="631" customFormat="1">
      <c r="D660" s="707"/>
      <c r="E660" s="632"/>
      <c r="F660" s="632"/>
      <c r="G660" s="704"/>
      <c r="H660" s="705"/>
      <c r="I660" s="706"/>
      <c r="J660" s="746"/>
    </row>
    <row r="661" spans="3:10" s="631" customFormat="1">
      <c r="D661" s="707"/>
      <c r="E661" s="632"/>
      <c r="F661" s="632"/>
      <c r="G661" s="704"/>
      <c r="H661" s="705"/>
      <c r="I661" s="706"/>
      <c r="J661" s="746"/>
    </row>
  </sheetData>
  <autoFilter ref="A3:P320" xr:uid="{00000000-0009-0000-0000-00000E000000}"/>
  <pageMargins left="0.31496062992125984" right="0.31496062992125984" top="0.74803149606299213" bottom="0.74803149606299213" header="0.31496062992125984" footer="0.31496062992125984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filterMode="1">
    <tabColor theme="8" tint="0.39997558519241921"/>
  </sheetPr>
  <dimension ref="A1:AN1751"/>
  <sheetViews>
    <sheetView workbookViewId="0"/>
  </sheetViews>
  <sheetFormatPr defaultColWidth="14.42578125" defaultRowHeight="14.25"/>
  <cols>
    <col min="1" max="1" width="14.42578125" style="1"/>
    <col min="2" max="2" width="16.28515625" style="2" bestFit="1" customWidth="1"/>
    <col min="3" max="3" width="27.28515625" style="3" customWidth="1"/>
    <col min="4" max="4" width="16.42578125" style="56" customWidth="1"/>
    <col min="5" max="5" width="16" style="11" bestFit="1" customWidth="1"/>
    <col min="6" max="6" width="56.85546875" style="109" customWidth="1"/>
    <col min="7" max="7" width="16.42578125" style="56" customWidth="1"/>
    <col min="8" max="8" width="17.7109375" style="56" customWidth="1"/>
    <col min="9" max="9" width="10.42578125" style="56" bestFit="1" customWidth="1"/>
    <col min="10" max="10" width="10.85546875" style="11" bestFit="1" customWidth="1"/>
    <col min="11" max="11" width="10.7109375" style="523" customWidth="1"/>
    <col min="12" max="12" width="9.28515625" style="523" customWidth="1"/>
    <col min="13" max="13" width="16" style="523" customWidth="1"/>
    <col min="14" max="14" width="20.85546875" style="518" customWidth="1"/>
    <col min="15" max="15" width="5.5703125" style="523" customWidth="1"/>
    <col min="16" max="16" width="9.5703125" style="523" customWidth="1"/>
    <col min="17" max="17" width="8.42578125" style="523" customWidth="1"/>
    <col min="18" max="18" width="6.7109375" style="523" customWidth="1"/>
    <col min="19" max="19" width="11.28515625" style="523" customWidth="1"/>
    <col min="20" max="20" width="24.85546875" style="518" customWidth="1"/>
    <col min="21" max="21" width="16.42578125" style="56" customWidth="1"/>
    <col min="22" max="22" width="16.42578125" style="56" hidden="1" customWidth="1"/>
    <col min="23" max="23" width="7.28515625" style="11" hidden="1" customWidth="1"/>
    <col min="24" max="24" width="9.28515625" style="11" hidden="1" customWidth="1"/>
    <col min="25" max="25" width="9.140625" style="11" hidden="1" customWidth="1"/>
    <col min="26" max="27" width="8.7109375" style="11" hidden="1" customWidth="1"/>
    <col min="28" max="28" width="20.85546875" style="11" hidden="1" customWidth="1"/>
    <col min="29" max="29" width="15.7109375" style="11" hidden="1" customWidth="1"/>
    <col min="30" max="32" width="20.85546875" style="523" hidden="1" customWidth="1"/>
    <col min="33" max="33" width="20.85546875" style="524" hidden="1" customWidth="1"/>
    <col min="34" max="34" width="15.7109375" style="11" hidden="1" customWidth="1"/>
    <col min="35" max="35" width="8.42578125" style="11" hidden="1" customWidth="1"/>
    <col min="36" max="36" width="12.140625" style="11" hidden="1" customWidth="1"/>
    <col min="37" max="37" width="11.28515625" style="11" bestFit="1" customWidth="1"/>
    <col min="38" max="38" width="8.42578125" style="11" customWidth="1"/>
    <col min="39" max="16384" width="14.42578125" style="11"/>
  </cols>
  <sheetData>
    <row r="1" spans="1:40" ht="56.25">
      <c r="D1" s="6"/>
      <c r="E1" s="4" t="s">
        <v>622</v>
      </c>
      <c r="F1" s="5" t="s">
        <v>617</v>
      </c>
      <c r="G1" s="6">
        <v>2023</v>
      </c>
      <c r="H1" s="6">
        <v>2024</v>
      </c>
      <c r="I1" s="6" t="s">
        <v>618</v>
      </c>
      <c r="J1" s="492" t="s">
        <v>11339</v>
      </c>
      <c r="K1" s="493" t="s">
        <v>625</v>
      </c>
      <c r="L1" s="493" t="s">
        <v>626</v>
      </c>
      <c r="M1" s="493" t="s">
        <v>627</v>
      </c>
      <c r="N1" s="493" t="s">
        <v>628</v>
      </c>
      <c r="O1" s="493" t="s">
        <v>619</v>
      </c>
      <c r="P1" s="493" t="s">
        <v>620</v>
      </c>
      <c r="Q1" s="493" t="s">
        <v>621</v>
      </c>
      <c r="R1" s="493" t="s">
        <v>622</v>
      </c>
      <c r="S1" s="493" t="s">
        <v>623</v>
      </c>
      <c r="T1" s="493" t="s">
        <v>624</v>
      </c>
      <c r="U1" s="6">
        <v>2024</v>
      </c>
      <c r="V1" s="6" t="s">
        <v>11339</v>
      </c>
      <c r="W1" s="7" t="s">
        <v>619</v>
      </c>
      <c r="X1" s="5" t="s">
        <v>620</v>
      </c>
      <c r="Y1" s="5" t="s">
        <v>621</v>
      </c>
      <c r="Z1" s="5" t="s">
        <v>622</v>
      </c>
      <c r="AA1" s="5" t="s">
        <v>623</v>
      </c>
      <c r="AB1" s="5" t="s">
        <v>624</v>
      </c>
      <c r="AC1" s="8">
        <v>2024</v>
      </c>
      <c r="AD1" s="493" t="s">
        <v>625</v>
      </c>
      <c r="AE1" s="493" t="s">
        <v>626</v>
      </c>
      <c r="AF1" s="493" t="s">
        <v>627</v>
      </c>
      <c r="AG1" s="493" t="s">
        <v>628</v>
      </c>
      <c r="AH1" s="9"/>
      <c r="AI1" s="10"/>
      <c r="AJ1" s="10"/>
      <c r="AK1" s="10"/>
      <c r="AL1" s="10"/>
    </row>
    <row r="2" spans="1:40" hidden="1">
      <c r="D2" s="15" t="s">
        <v>11340</v>
      </c>
      <c r="E2" s="12"/>
      <c r="F2" s="13" t="s">
        <v>629</v>
      </c>
      <c r="G2" s="14">
        <f>G3+G176+G658</f>
        <v>289658635.56</v>
      </c>
      <c r="H2" s="14">
        <f>H3+H176+H658</f>
        <v>304320706.75999999</v>
      </c>
      <c r="I2" s="15"/>
      <c r="J2" s="494"/>
      <c r="K2" s="495"/>
      <c r="L2" s="495"/>
      <c r="M2" s="495"/>
      <c r="N2" s="496" t="s">
        <v>629</v>
      </c>
      <c r="O2" s="495">
        <v>1</v>
      </c>
      <c r="P2" s="495" t="s">
        <v>630</v>
      </c>
      <c r="Q2" s="495" t="s">
        <v>630</v>
      </c>
      <c r="R2" s="495" t="s">
        <v>630</v>
      </c>
      <c r="S2" s="495" t="s">
        <v>630</v>
      </c>
      <c r="T2" s="496" t="s">
        <v>629</v>
      </c>
      <c r="U2" s="14">
        <f>U3+U176+U658</f>
        <v>304320706.75999999</v>
      </c>
      <c r="V2" s="15" t="str">
        <f>CONCATENATE(W2,X2,Y2,Z2,AA2)</f>
        <v>100000000</v>
      </c>
      <c r="W2" s="16">
        <v>1</v>
      </c>
      <c r="X2" s="17" t="s">
        <v>630</v>
      </c>
      <c r="Y2" s="17" t="s">
        <v>630</v>
      </c>
      <c r="Z2" s="17" t="s">
        <v>630</v>
      </c>
      <c r="AA2" s="17" t="s">
        <v>630</v>
      </c>
      <c r="AB2" s="13" t="s">
        <v>629</v>
      </c>
      <c r="AC2" s="497" t="e">
        <f>AC3+AC176+AC658</f>
        <v>#REF!</v>
      </c>
      <c r="AD2" s="495">
        <v>0</v>
      </c>
      <c r="AE2" s="495">
        <v>0</v>
      </c>
      <c r="AF2" s="495">
        <v>0</v>
      </c>
      <c r="AG2" s="496" t="s">
        <v>629</v>
      </c>
      <c r="AH2" s="498" t="e">
        <f>AH3+AH176+AH658</f>
        <v>#REF!</v>
      </c>
      <c r="AI2" s="10"/>
      <c r="AJ2" s="499" t="e">
        <f t="shared" ref="AJ2:AJ20" si="0">AH2-H2</f>
        <v>#REF!</v>
      </c>
      <c r="AK2" s="9" t="e">
        <f>AH2-AH703</f>
        <v>#REF!</v>
      </c>
      <c r="AL2" s="10"/>
      <c r="AN2" s="11">
        <f>24861544+482669445+4191149</f>
        <v>511722138</v>
      </c>
    </row>
    <row r="3" spans="1:40" hidden="1">
      <c r="D3" s="15" t="s">
        <v>11341</v>
      </c>
      <c r="E3" s="18"/>
      <c r="F3" s="19" t="s">
        <v>631</v>
      </c>
      <c r="G3" s="20">
        <f>G4+G52+G152</f>
        <v>102381464.91</v>
      </c>
      <c r="H3" s="20">
        <f>H4+H52+H152</f>
        <v>105731140.41</v>
      </c>
      <c r="I3" s="500">
        <f>105731140.41-H3</f>
        <v>0</v>
      </c>
      <c r="J3" s="501"/>
      <c r="K3" s="502"/>
      <c r="L3" s="502" t="s">
        <v>13286</v>
      </c>
      <c r="M3" s="502" t="s">
        <v>633</v>
      </c>
      <c r="N3" s="503" t="s">
        <v>634</v>
      </c>
      <c r="O3" s="502">
        <v>1</v>
      </c>
      <c r="P3" s="502" t="s">
        <v>632</v>
      </c>
      <c r="Q3" s="502" t="s">
        <v>630</v>
      </c>
      <c r="R3" s="502" t="s">
        <v>630</v>
      </c>
      <c r="S3" s="502" t="s">
        <v>630</v>
      </c>
      <c r="T3" s="503" t="s">
        <v>631</v>
      </c>
      <c r="U3" s="20">
        <f>U4+U52+U152</f>
        <v>105731140.41</v>
      </c>
      <c r="V3" s="15" t="str">
        <f t="shared" ref="V3:V66" si="1">CONCATENATE(W3,X3,Y3,Z3,AA3)</f>
        <v>101000000</v>
      </c>
      <c r="W3" s="21">
        <v>1</v>
      </c>
      <c r="X3" s="22" t="s">
        <v>632</v>
      </c>
      <c r="Y3" s="22" t="s">
        <v>630</v>
      </c>
      <c r="Z3" s="22" t="s">
        <v>630</v>
      </c>
      <c r="AA3" s="22" t="s">
        <v>630</v>
      </c>
      <c r="AB3" s="19" t="s">
        <v>631</v>
      </c>
      <c r="AC3" s="504">
        <f>AC4+AC52+AC152</f>
        <v>87727979.439999998</v>
      </c>
      <c r="AD3" s="502">
        <v>0</v>
      </c>
      <c r="AE3" s="502" t="s">
        <v>13286</v>
      </c>
      <c r="AF3" s="502" t="s">
        <v>633</v>
      </c>
      <c r="AG3" s="505" t="s">
        <v>634</v>
      </c>
      <c r="AH3" s="506">
        <f>AH4+AH52+AH152</f>
        <v>87727979.440000013</v>
      </c>
      <c r="AI3" s="10"/>
      <c r="AJ3" s="9">
        <f t="shared" si="0"/>
        <v>-18003160.969999984</v>
      </c>
      <c r="AK3" s="10"/>
      <c r="AL3" s="10"/>
    </row>
    <row r="4" spans="1:40" ht="22.5" hidden="1">
      <c r="D4" s="15" t="s">
        <v>11342</v>
      </c>
      <c r="E4" s="24"/>
      <c r="F4" s="25" t="s">
        <v>4</v>
      </c>
      <c r="G4" s="26">
        <f>G5+G8+G13+G20+G27+G36+G41+G44+G47</f>
        <v>53510493.590000004</v>
      </c>
      <c r="H4" s="26">
        <f>H5+H8+H13+H20+H27+H36+H41+H44+H47</f>
        <v>59095217.780000001</v>
      </c>
      <c r="I4" s="507"/>
      <c r="J4" s="508"/>
      <c r="K4" s="509"/>
      <c r="L4" s="509" t="s">
        <v>13287</v>
      </c>
      <c r="M4" s="509" t="s">
        <v>635</v>
      </c>
      <c r="N4" s="510" t="s">
        <v>636</v>
      </c>
      <c r="O4" s="509">
        <v>1</v>
      </c>
      <c r="P4" s="509" t="s">
        <v>632</v>
      </c>
      <c r="Q4" s="509" t="s">
        <v>632</v>
      </c>
      <c r="R4" s="509" t="s">
        <v>630</v>
      </c>
      <c r="S4" s="509" t="s">
        <v>630</v>
      </c>
      <c r="T4" s="510" t="s">
        <v>4</v>
      </c>
      <c r="U4" s="26">
        <f>U5+U8+U13+U20+U27+U36+U41+U44+U47</f>
        <v>59095217.780000001</v>
      </c>
      <c r="V4" s="15" t="str">
        <f t="shared" si="1"/>
        <v>101010000</v>
      </c>
      <c r="W4" s="27">
        <v>1</v>
      </c>
      <c r="X4" s="28" t="s">
        <v>632</v>
      </c>
      <c r="Y4" s="28" t="s">
        <v>632</v>
      </c>
      <c r="Z4" s="28" t="s">
        <v>630</v>
      </c>
      <c r="AA4" s="28" t="s">
        <v>630</v>
      </c>
      <c r="AB4" s="25" t="s">
        <v>4</v>
      </c>
      <c r="AC4" s="511">
        <f>AC5+AC8+AC13+AC20+AC27+AC36+AC41+AC44+AC47</f>
        <v>59095217.780000001</v>
      </c>
      <c r="AD4" s="509">
        <v>0</v>
      </c>
      <c r="AE4" s="509" t="s">
        <v>13287</v>
      </c>
      <c r="AF4" s="509" t="s">
        <v>635</v>
      </c>
      <c r="AG4" s="510" t="s">
        <v>636</v>
      </c>
      <c r="AH4" s="512">
        <f>AH5+AH8+AH13+AH20+AH28-AH32+AH37-AH40+AH45-AH46+AH47</f>
        <v>59095217.780000016</v>
      </c>
      <c r="AI4" s="10"/>
      <c r="AJ4" s="9">
        <f t="shared" si="0"/>
        <v>0</v>
      </c>
      <c r="AK4" s="10"/>
      <c r="AL4" s="10"/>
    </row>
    <row r="5" spans="1:40" ht="33.75" hidden="1">
      <c r="A5" s="29" t="s">
        <v>637</v>
      </c>
      <c r="B5" s="1378">
        <v>2024</v>
      </c>
      <c r="C5" s="1378"/>
      <c r="D5" s="15" t="s">
        <v>11343</v>
      </c>
      <c r="E5" s="30"/>
      <c r="F5" s="31" t="s">
        <v>638</v>
      </c>
      <c r="G5" s="32">
        <f>G6-G7</f>
        <v>0</v>
      </c>
      <c r="H5" s="32">
        <f>H6-H7</f>
        <v>0</v>
      </c>
      <c r="I5" s="15"/>
      <c r="J5" s="494"/>
      <c r="K5" s="513"/>
      <c r="L5" s="513" t="s">
        <v>13288</v>
      </c>
      <c r="M5" s="513" t="s">
        <v>140</v>
      </c>
      <c r="N5" s="514" t="s">
        <v>639</v>
      </c>
      <c r="O5" s="513">
        <v>1</v>
      </c>
      <c r="P5" s="513" t="s">
        <v>632</v>
      </c>
      <c r="Q5" s="513" t="s">
        <v>632</v>
      </c>
      <c r="R5" s="513" t="s">
        <v>632</v>
      </c>
      <c r="S5" s="513" t="s">
        <v>630</v>
      </c>
      <c r="T5" s="514" t="s">
        <v>638</v>
      </c>
      <c r="U5" s="32">
        <f t="shared" ref="U5:U68" si="2">H5</f>
        <v>0</v>
      </c>
      <c r="V5" s="15" t="str">
        <f t="shared" si="1"/>
        <v>101010100</v>
      </c>
      <c r="W5" s="33">
        <v>1</v>
      </c>
      <c r="X5" s="34" t="s">
        <v>632</v>
      </c>
      <c r="Y5" s="34" t="s">
        <v>632</v>
      </c>
      <c r="Z5" s="34" t="s">
        <v>632</v>
      </c>
      <c r="AA5" s="35" t="s">
        <v>630</v>
      </c>
      <c r="AB5" s="31" t="s">
        <v>638</v>
      </c>
      <c r="AC5" s="515">
        <f>AC6-AC7</f>
        <v>0</v>
      </c>
      <c r="AD5" s="513">
        <v>0</v>
      </c>
      <c r="AE5" s="513" t="s">
        <v>13288</v>
      </c>
      <c r="AF5" s="513" t="s">
        <v>140</v>
      </c>
      <c r="AG5" s="514" t="s">
        <v>639</v>
      </c>
      <c r="AH5" s="516">
        <f>AH6-AH7</f>
        <v>0</v>
      </c>
      <c r="AI5" s="10"/>
      <c r="AJ5" s="9">
        <f t="shared" si="0"/>
        <v>0</v>
      </c>
      <c r="AK5" s="10"/>
      <c r="AL5" s="10"/>
    </row>
    <row r="6" spans="1:40" ht="22.5" hidden="1">
      <c r="A6" s="1">
        <f t="shared" ref="A6:A69" si="3">IF(E6=B6,0,1)</f>
        <v>0</v>
      </c>
      <c r="B6" s="2" t="s">
        <v>640</v>
      </c>
      <c r="C6" s="3" t="s">
        <v>641</v>
      </c>
      <c r="D6" s="15" t="s">
        <v>11344</v>
      </c>
      <c r="E6" s="4" t="s">
        <v>640</v>
      </c>
      <c r="F6" s="37" t="s">
        <v>641</v>
      </c>
      <c r="G6" s="38">
        <v>0</v>
      </c>
      <c r="H6" s="38">
        <v>0</v>
      </c>
      <c r="I6" s="15"/>
      <c r="J6" s="494">
        <v>10101010101</v>
      </c>
      <c r="K6" s="517"/>
      <c r="L6" s="517" t="s">
        <v>13289</v>
      </c>
      <c r="M6" s="517" t="s">
        <v>643</v>
      </c>
      <c r="N6" s="518" t="s">
        <v>644</v>
      </c>
      <c r="O6" s="517">
        <v>1</v>
      </c>
      <c r="P6" s="517" t="s">
        <v>632</v>
      </c>
      <c r="Q6" s="517" t="s">
        <v>632</v>
      </c>
      <c r="R6" s="517" t="s">
        <v>632</v>
      </c>
      <c r="S6" s="517" t="s">
        <v>632</v>
      </c>
      <c r="T6" s="518" t="s">
        <v>642</v>
      </c>
      <c r="U6" s="38">
        <f t="shared" si="2"/>
        <v>0</v>
      </c>
      <c r="V6" s="15" t="str">
        <f t="shared" si="1"/>
        <v>101010101</v>
      </c>
      <c r="W6" s="39">
        <v>1</v>
      </c>
      <c r="X6" s="40" t="s">
        <v>632</v>
      </c>
      <c r="Y6" s="40" t="s">
        <v>632</v>
      </c>
      <c r="Z6" s="40" t="s">
        <v>632</v>
      </c>
      <c r="AA6" s="40" t="s">
        <v>632</v>
      </c>
      <c r="AB6" s="41" t="s">
        <v>642</v>
      </c>
      <c r="AC6" s="519">
        <f>H6</f>
        <v>0</v>
      </c>
      <c r="AD6" s="517">
        <v>0</v>
      </c>
      <c r="AE6" s="517" t="s">
        <v>13289</v>
      </c>
      <c r="AF6" s="517" t="s">
        <v>643</v>
      </c>
      <c r="AG6" s="520" t="s">
        <v>644</v>
      </c>
      <c r="AH6" s="67">
        <f>AC6</f>
        <v>0</v>
      </c>
      <c r="AI6" s="10"/>
      <c r="AJ6" s="9">
        <f t="shared" si="0"/>
        <v>0</v>
      </c>
      <c r="AK6" s="10"/>
      <c r="AL6" s="10"/>
    </row>
    <row r="7" spans="1:40" ht="22.5" hidden="1">
      <c r="A7" s="1">
        <f t="shared" si="3"/>
        <v>0</v>
      </c>
      <c r="B7" s="2" t="s">
        <v>645</v>
      </c>
      <c r="C7" s="3" t="s">
        <v>646</v>
      </c>
      <c r="D7" s="15" t="s">
        <v>11345</v>
      </c>
      <c r="E7" s="4" t="s">
        <v>645</v>
      </c>
      <c r="F7" s="37" t="s">
        <v>646</v>
      </c>
      <c r="G7" s="38">
        <v>0</v>
      </c>
      <c r="H7" s="38">
        <v>0</v>
      </c>
      <c r="I7" s="15"/>
      <c r="J7" s="494">
        <v>10101010201</v>
      </c>
      <c r="K7" s="517"/>
      <c r="L7" s="517" t="s">
        <v>13290</v>
      </c>
      <c r="M7" s="517" t="s">
        <v>649</v>
      </c>
      <c r="N7" s="518" t="s">
        <v>650</v>
      </c>
      <c r="O7" s="517">
        <v>1</v>
      </c>
      <c r="P7" s="517" t="s">
        <v>632</v>
      </c>
      <c r="Q7" s="517" t="s">
        <v>632</v>
      </c>
      <c r="R7" s="517" t="s">
        <v>632</v>
      </c>
      <c r="S7" s="517" t="s">
        <v>647</v>
      </c>
      <c r="T7" s="518" t="s">
        <v>648</v>
      </c>
      <c r="U7" s="38">
        <f t="shared" si="2"/>
        <v>0</v>
      </c>
      <c r="V7" s="15" t="str">
        <f t="shared" si="1"/>
        <v>101010102</v>
      </c>
      <c r="W7" s="39">
        <v>1</v>
      </c>
      <c r="X7" s="40" t="s">
        <v>632</v>
      </c>
      <c r="Y7" s="40" t="s">
        <v>632</v>
      </c>
      <c r="Z7" s="40" t="s">
        <v>632</v>
      </c>
      <c r="AA7" s="40" t="s">
        <v>647</v>
      </c>
      <c r="AB7" s="41" t="s">
        <v>648</v>
      </c>
      <c r="AC7" s="519">
        <f>H7</f>
        <v>0</v>
      </c>
      <c r="AD7" s="517">
        <v>0</v>
      </c>
      <c r="AE7" s="517" t="s">
        <v>13290</v>
      </c>
      <c r="AF7" s="517" t="s">
        <v>649</v>
      </c>
      <c r="AG7" s="520" t="s">
        <v>650</v>
      </c>
      <c r="AH7" s="67">
        <f>AC7</f>
        <v>0</v>
      </c>
      <c r="AI7" s="10"/>
      <c r="AJ7" s="9">
        <f t="shared" si="0"/>
        <v>0</v>
      </c>
      <c r="AK7" s="10"/>
      <c r="AL7" s="10"/>
    </row>
    <row r="8" spans="1:40" ht="33.75" hidden="1">
      <c r="A8" s="1">
        <f t="shared" si="3"/>
        <v>0</v>
      </c>
      <c r="C8" s="3" t="s">
        <v>651</v>
      </c>
      <c r="D8" s="15" t="s">
        <v>16</v>
      </c>
      <c r="E8" s="30"/>
      <c r="F8" s="31" t="s">
        <v>652</v>
      </c>
      <c r="G8" s="32">
        <f>G9+G10-G11-G12</f>
        <v>0</v>
      </c>
      <c r="H8" s="32">
        <f>H9+H10-H11-H12</f>
        <v>0</v>
      </c>
      <c r="I8" s="15"/>
      <c r="J8" s="494"/>
      <c r="K8" s="513"/>
      <c r="L8" s="513" t="s">
        <v>653</v>
      </c>
      <c r="M8" s="513" t="s">
        <v>141</v>
      </c>
      <c r="N8" s="514" t="s">
        <v>654</v>
      </c>
      <c r="O8" s="513">
        <v>1</v>
      </c>
      <c r="P8" s="513" t="s">
        <v>632</v>
      </c>
      <c r="Q8" s="513" t="s">
        <v>632</v>
      </c>
      <c r="R8" s="513" t="s">
        <v>647</v>
      </c>
      <c r="S8" s="513" t="s">
        <v>630</v>
      </c>
      <c r="T8" s="514" t="s">
        <v>652</v>
      </c>
      <c r="U8" s="32">
        <f>U9+U10-U11-U12</f>
        <v>0</v>
      </c>
      <c r="V8" s="15" t="str">
        <f t="shared" si="1"/>
        <v>101010200</v>
      </c>
      <c r="W8" s="33">
        <v>1</v>
      </c>
      <c r="X8" s="34" t="s">
        <v>632</v>
      </c>
      <c r="Y8" s="34" t="s">
        <v>632</v>
      </c>
      <c r="Z8" s="35" t="s">
        <v>647</v>
      </c>
      <c r="AA8" s="35" t="s">
        <v>630</v>
      </c>
      <c r="AB8" s="31" t="s">
        <v>652</v>
      </c>
      <c r="AC8" s="521">
        <f>AC9+AC10-AC11-AC12</f>
        <v>0</v>
      </c>
      <c r="AD8" s="513">
        <v>0</v>
      </c>
      <c r="AE8" s="513" t="s">
        <v>653</v>
      </c>
      <c r="AF8" s="513" t="s">
        <v>141</v>
      </c>
      <c r="AG8" s="514" t="s">
        <v>654</v>
      </c>
      <c r="AH8" s="522">
        <f>AH9+AH10-AH11-AH12</f>
        <v>0</v>
      </c>
      <c r="AI8" s="10"/>
      <c r="AJ8" s="9">
        <f t="shared" si="0"/>
        <v>0</v>
      </c>
      <c r="AK8" s="10"/>
      <c r="AL8" s="10"/>
    </row>
    <row r="9" spans="1:40" ht="22.5" hidden="1">
      <c r="A9" s="1">
        <f t="shared" si="3"/>
        <v>0</v>
      </c>
      <c r="B9" s="2" t="s">
        <v>655</v>
      </c>
      <c r="C9" s="3" t="s">
        <v>656</v>
      </c>
      <c r="D9" s="15" t="s">
        <v>11346</v>
      </c>
      <c r="E9" s="4" t="s">
        <v>655</v>
      </c>
      <c r="F9" s="37" t="s">
        <v>656</v>
      </c>
      <c r="G9" s="38">
        <v>0</v>
      </c>
      <c r="H9" s="38">
        <v>0</v>
      </c>
      <c r="I9" s="15"/>
      <c r="J9" s="494">
        <v>10101020101</v>
      </c>
      <c r="K9" s="517"/>
      <c r="L9" s="517" t="s">
        <v>13291</v>
      </c>
      <c r="M9" s="517" t="s">
        <v>658</v>
      </c>
      <c r="N9" s="518" t="s">
        <v>659</v>
      </c>
      <c r="O9" s="517">
        <v>1</v>
      </c>
      <c r="P9" s="517" t="s">
        <v>632</v>
      </c>
      <c r="Q9" s="517" t="s">
        <v>632</v>
      </c>
      <c r="R9" s="517" t="s">
        <v>647</v>
      </c>
      <c r="S9" s="517" t="s">
        <v>632</v>
      </c>
      <c r="T9" s="518" t="s">
        <v>657</v>
      </c>
      <c r="U9" s="38">
        <f t="shared" si="2"/>
        <v>0</v>
      </c>
      <c r="V9" s="15" t="str">
        <f t="shared" si="1"/>
        <v>101010201</v>
      </c>
      <c r="W9" s="39">
        <v>1</v>
      </c>
      <c r="X9" s="43" t="s">
        <v>632</v>
      </c>
      <c r="Y9" s="40" t="s">
        <v>632</v>
      </c>
      <c r="Z9" s="40" t="s">
        <v>647</v>
      </c>
      <c r="AA9" s="40" t="s">
        <v>632</v>
      </c>
      <c r="AB9" s="41" t="s">
        <v>657</v>
      </c>
      <c r="AC9" s="519">
        <f>H9+H10</f>
        <v>0</v>
      </c>
      <c r="AD9" s="517">
        <v>0</v>
      </c>
      <c r="AE9" s="517" t="s">
        <v>13291</v>
      </c>
      <c r="AF9" s="517" t="s">
        <v>658</v>
      </c>
      <c r="AG9" s="520" t="s">
        <v>659</v>
      </c>
      <c r="AH9" s="67">
        <f>AC9</f>
        <v>0</v>
      </c>
      <c r="AI9" s="10"/>
      <c r="AJ9" s="9">
        <f t="shared" si="0"/>
        <v>0</v>
      </c>
      <c r="AK9" s="10"/>
      <c r="AL9" s="10"/>
    </row>
    <row r="10" spans="1:40" ht="22.5" hidden="1">
      <c r="A10" s="1">
        <f t="shared" si="3"/>
        <v>0</v>
      </c>
      <c r="B10" s="2" t="s">
        <v>660</v>
      </c>
      <c r="C10" s="3" t="s">
        <v>661</v>
      </c>
      <c r="D10" s="15" t="s">
        <v>11346</v>
      </c>
      <c r="E10" s="4" t="s">
        <v>660</v>
      </c>
      <c r="F10" s="37" t="s">
        <v>661</v>
      </c>
      <c r="G10" s="38">
        <v>0</v>
      </c>
      <c r="H10" s="38">
        <v>0</v>
      </c>
      <c r="I10" s="15"/>
      <c r="J10" s="494">
        <v>10101020102</v>
      </c>
      <c r="L10" s="523" t="s">
        <v>13291</v>
      </c>
      <c r="M10" s="523" t="s">
        <v>658</v>
      </c>
      <c r="N10" s="518" t="s">
        <v>659</v>
      </c>
      <c r="O10" s="523">
        <v>1</v>
      </c>
      <c r="P10" s="523" t="s">
        <v>632</v>
      </c>
      <c r="Q10" s="523" t="s">
        <v>632</v>
      </c>
      <c r="R10" s="523" t="s">
        <v>647</v>
      </c>
      <c r="S10" s="523" t="s">
        <v>632</v>
      </c>
      <c r="T10" s="518" t="s">
        <v>657</v>
      </c>
      <c r="U10" s="38">
        <f t="shared" si="2"/>
        <v>0</v>
      </c>
      <c r="V10" s="15" t="str">
        <f t="shared" si="1"/>
        <v>101010201</v>
      </c>
      <c r="W10" s="39">
        <v>1</v>
      </c>
      <c r="X10" s="43" t="s">
        <v>632</v>
      </c>
      <c r="Y10" s="40" t="s">
        <v>632</v>
      </c>
      <c r="Z10" s="40" t="s">
        <v>647</v>
      </c>
      <c r="AA10" s="40" t="s">
        <v>632</v>
      </c>
      <c r="AB10" s="41" t="s">
        <v>657</v>
      </c>
      <c r="AC10" s="9"/>
      <c r="AD10" s="523">
        <v>0</v>
      </c>
      <c r="AE10" s="523" t="s">
        <v>13291</v>
      </c>
      <c r="AF10" s="523" t="s">
        <v>658</v>
      </c>
      <c r="AG10" s="524" t="s">
        <v>659</v>
      </c>
      <c r="AH10" s="9"/>
      <c r="AI10" s="10"/>
      <c r="AJ10" s="9">
        <f t="shared" si="0"/>
        <v>0</v>
      </c>
      <c r="AK10" s="10"/>
      <c r="AL10" s="10"/>
    </row>
    <row r="11" spans="1:40" ht="22.5" hidden="1">
      <c r="A11" s="1">
        <f t="shared" si="3"/>
        <v>0</v>
      </c>
      <c r="B11" s="2" t="s">
        <v>662</v>
      </c>
      <c r="C11" s="3" t="s">
        <v>663</v>
      </c>
      <c r="D11" s="15" t="s">
        <v>11347</v>
      </c>
      <c r="E11" s="4" t="s">
        <v>662</v>
      </c>
      <c r="F11" s="37" t="s">
        <v>663</v>
      </c>
      <c r="G11" s="38">
        <v>0</v>
      </c>
      <c r="H11" s="38">
        <v>0</v>
      </c>
      <c r="I11" s="15"/>
      <c r="J11" s="494">
        <v>10101020201</v>
      </c>
      <c r="K11" s="517"/>
      <c r="L11" s="517" t="s">
        <v>13292</v>
      </c>
      <c r="M11" s="517" t="s">
        <v>665</v>
      </c>
      <c r="N11" s="518" t="s">
        <v>666</v>
      </c>
      <c r="O11" s="517">
        <v>1</v>
      </c>
      <c r="P11" s="517" t="s">
        <v>632</v>
      </c>
      <c r="Q11" s="517" t="s">
        <v>632</v>
      </c>
      <c r="R11" s="517" t="s">
        <v>647</v>
      </c>
      <c r="S11" s="517" t="s">
        <v>647</v>
      </c>
      <c r="T11" s="518" t="s">
        <v>664</v>
      </c>
      <c r="U11" s="38">
        <f t="shared" si="2"/>
        <v>0</v>
      </c>
      <c r="V11" s="15" t="str">
        <f t="shared" si="1"/>
        <v>101010202</v>
      </c>
      <c r="W11" s="39">
        <v>1</v>
      </c>
      <c r="X11" s="43" t="s">
        <v>632</v>
      </c>
      <c r="Y11" s="40" t="s">
        <v>632</v>
      </c>
      <c r="Z11" s="40" t="s">
        <v>647</v>
      </c>
      <c r="AA11" s="40" t="s">
        <v>647</v>
      </c>
      <c r="AB11" s="41" t="s">
        <v>664</v>
      </c>
      <c r="AC11" s="519">
        <f>H11+H12</f>
        <v>0</v>
      </c>
      <c r="AD11" s="517">
        <v>0</v>
      </c>
      <c r="AE11" s="517" t="s">
        <v>13292</v>
      </c>
      <c r="AF11" s="517" t="s">
        <v>665</v>
      </c>
      <c r="AG11" s="520" t="s">
        <v>666</v>
      </c>
      <c r="AH11" s="67">
        <f>AC11</f>
        <v>0</v>
      </c>
      <c r="AI11" s="10"/>
      <c r="AJ11" s="9">
        <f t="shared" si="0"/>
        <v>0</v>
      </c>
      <c r="AK11" s="10"/>
      <c r="AL11" s="10"/>
    </row>
    <row r="12" spans="1:40" ht="22.5" hidden="1">
      <c r="A12" s="1">
        <f t="shared" si="3"/>
        <v>0</v>
      </c>
      <c r="B12" s="2" t="s">
        <v>667</v>
      </c>
      <c r="C12" s="3" t="s">
        <v>668</v>
      </c>
      <c r="D12" s="15" t="s">
        <v>11347</v>
      </c>
      <c r="E12" s="4" t="s">
        <v>667</v>
      </c>
      <c r="F12" s="37" t="s">
        <v>668</v>
      </c>
      <c r="G12" s="38">
        <v>0</v>
      </c>
      <c r="H12" s="38">
        <v>0</v>
      </c>
      <c r="I12" s="15"/>
      <c r="J12" s="494">
        <v>10101020202</v>
      </c>
      <c r="L12" s="523" t="s">
        <v>13292</v>
      </c>
      <c r="M12" s="523" t="s">
        <v>665</v>
      </c>
      <c r="N12" s="518" t="s">
        <v>666</v>
      </c>
      <c r="O12" s="523">
        <v>1</v>
      </c>
      <c r="P12" s="523" t="s">
        <v>632</v>
      </c>
      <c r="Q12" s="523" t="s">
        <v>632</v>
      </c>
      <c r="R12" s="523" t="s">
        <v>647</v>
      </c>
      <c r="S12" s="523" t="s">
        <v>647</v>
      </c>
      <c r="T12" s="518" t="s">
        <v>664</v>
      </c>
      <c r="U12" s="38">
        <f t="shared" si="2"/>
        <v>0</v>
      </c>
      <c r="V12" s="15" t="str">
        <f t="shared" si="1"/>
        <v>101010202</v>
      </c>
      <c r="W12" s="39">
        <v>1</v>
      </c>
      <c r="X12" s="43" t="s">
        <v>632</v>
      </c>
      <c r="Y12" s="40" t="s">
        <v>632</v>
      </c>
      <c r="Z12" s="40" t="s">
        <v>647</v>
      </c>
      <c r="AA12" s="40" t="s">
        <v>647</v>
      </c>
      <c r="AB12" s="41" t="s">
        <v>664</v>
      </c>
      <c r="AC12" s="9"/>
      <c r="AD12" s="523">
        <v>0</v>
      </c>
      <c r="AE12" s="523" t="s">
        <v>13292</v>
      </c>
      <c r="AF12" s="523" t="s">
        <v>665</v>
      </c>
      <c r="AG12" s="524" t="s">
        <v>666</v>
      </c>
      <c r="AH12" s="9"/>
      <c r="AI12" s="10"/>
      <c r="AJ12" s="9">
        <f t="shared" si="0"/>
        <v>0</v>
      </c>
      <c r="AK12" s="10"/>
      <c r="AL12" s="10"/>
    </row>
    <row r="13" spans="1:40" ht="67.5" hidden="1">
      <c r="A13" s="1">
        <f t="shared" si="3"/>
        <v>0</v>
      </c>
      <c r="C13" s="3" t="s">
        <v>669</v>
      </c>
      <c r="D13" s="15" t="s">
        <v>16</v>
      </c>
      <c r="E13" s="30"/>
      <c r="F13" s="31" t="s">
        <v>670</v>
      </c>
      <c r="G13" s="32">
        <f>G14+G15-G16-G17+G18-G19</f>
        <v>0</v>
      </c>
      <c r="H13" s="32">
        <f>H14+H15-H16-H17+H18-H19</f>
        <v>0</v>
      </c>
      <c r="I13" s="15"/>
      <c r="J13" s="494"/>
      <c r="K13" s="513"/>
      <c r="L13" s="525" t="s">
        <v>672</v>
      </c>
      <c r="M13" s="525" t="s">
        <v>142</v>
      </c>
      <c r="N13" s="526" t="s">
        <v>673</v>
      </c>
      <c r="O13" s="527">
        <v>1</v>
      </c>
      <c r="P13" s="527" t="s">
        <v>632</v>
      </c>
      <c r="Q13" s="527" t="s">
        <v>632</v>
      </c>
      <c r="R13" s="528" t="s">
        <v>671</v>
      </c>
      <c r="S13" s="528" t="s">
        <v>630</v>
      </c>
      <c r="T13" s="526" t="s">
        <v>670</v>
      </c>
      <c r="U13" s="32">
        <f>U14+U15-U16-U17+U18-U19</f>
        <v>0</v>
      </c>
      <c r="V13" s="15" t="str">
        <f t="shared" si="1"/>
        <v>101010300</v>
      </c>
      <c r="W13" s="33">
        <v>1</v>
      </c>
      <c r="X13" s="34" t="s">
        <v>632</v>
      </c>
      <c r="Y13" s="34" t="s">
        <v>632</v>
      </c>
      <c r="Z13" s="35" t="s">
        <v>671</v>
      </c>
      <c r="AA13" s="35" t="s">
        <v>630</v>
      </c>
      <c r="AB13" s="31" t="s">
        <v>670</v>
      </c>
      <c r="AC13" s="529">
        <f>AC14+AC15-AC16-AC17+AC18-AC19</f>
        <v>0</v>
      </c>
      <c r="AD13" s="513">
        <v>0</v>
      </c>
      <c r="AE13" s="513" t="s">
        <v>672</v>
      </c>
      <c r="AF13" s="513" t="s">
        <v>142</v>
      </c>
      <c r="AG13" s="514" t="s">
        <v>673</v>
      </c>
      <c r="AH13" s="44">
        <f>AH14+AH15-AH16-AH17+AH18-AH19</f>
        <v>0</v>
      </c>
      <c r="AI13" s="10"/>
      <c r="AJ13" s="9">
        <f t="shared" si="0"/>
        <v>0</v>
      </c>
      <c r="AK13" s="10"/>
      <c r="AL13" s="10"/>
    </row>
    <row r="14" spans="1:40" ht="56.25" hidden="1">
      <c r="A14" s="1">
        <f t="shared" si="3"/>
        <v>0</v>
      </c>
      <c r="B14" s="2" t="s">
        <v>674</v>
      </c>
      <c r="C14" s="3" t="s">
        <v>675</v>
      </c>
      <c r="D14" s="15" t="s">
        <v>11348</v>
      </c>
      <c r="E14" s="4" t="s">
        <v>674</v>
      </c>
      <c r="F14" s="37" t="s">
        <v>675</v>
      </c>
      <c r="G14" s="38">
        <v>0</v>
      </c>
      <c r="H14" s="38">
        <v>0</v>
      </c>
      <c r="I14" s="15"/>
      <c r="J14" s="494">
        <v>10101030101</v>
      </c>
      <c r="K14" s="517"/>
      <c r="L14" s="517" t="s">
        <v>13293</v>
      </c>
      <c r="M14" s="517" t="s">
        <v>677</v>
      </c>
      <c r="N14" s="518" t="s">
        <v>13294</v>
      </c>
      <c r="O14" s="517">
        <v>1</v>
      </c>
      <c r="P14" s="517" t="s">
        <v>632</v>
      </c>
      <c r="Q14" s="517" t="s">
        <v>632</v>
      </c>
      <c r="R14" s="517" t="s">
        <v>671</v>
      </c>
      <c r="S14" s="517" t="s">
        <v>632</v>
      </c>
      <c r="T14" s="518" t="s">
        <v>676</v>
      </c>
      <c r="U14" s="38">
        <f t="shared" si="2"/>
        <v>0</v>
      </c>
      <c r="V14" s="15" t="str">
        <f t="shared" si="1"/>
        <v>101010301</v>
      </c>
      <c r="W14" s="39">
        <v>1</v>
      </c>
      <c r="X14" s="40" t="s">
        <v>632</v>
      </c>
      <c r="Y14" s="40" t="s">
        <v>632</v>
      </c>
      <c r="Z14" s="40" t="s">
        <v>671</v>
      </c>
      <c r="AA14" s="40" t="s">
        <v>632</v>
      </c>
      <c r="AB14" s="41" t="s">
        <v>676</v>
      </c>
      <c r="AC14" s="519">
        <f>H14+H15</f>
        <v>0</v>
      </c>
      <c r="AD14" s="517">
        <v>0</v>
      </c>
      <c r="AE14" s="517" t="s">
        <v>13293</v>
      </c>
      <c r="AF14" s="517" t="s">
        <v>677</v>
      </c>
      <c r="AG14" s="520" t="s">
        <v>13294</v>
      </c>
      <c r="AH14" s="67">
        <f>AC14</f>
        <v>0</v>
      </c>
      <c r="AI14" s="10"/>
      <c r="AJ14" s="9">
        <f t="shared" si="0"/>
        <v>0</v>
      </c>
      <c r="AK14" s="10"/>
      <c r="AL14" s="10"/>
    </row>
    <row r="15" spans="1:40" ht="56.25" hidden="1">
      <c r="A15" s="1">
        <f t="shared" si="3"/>
        <v>0</v>
      </c>
      <c r="B15" s="2" t="s">
        <v>678</v>
      </c>
      <c r="C15" s="3" t="s">
        <v>679</v>
      </c>
      <c r="D15" s="15" t="s">
        <v>11348</v>
      </c>
      <c r="E15" s="4" t="s">
        <v>678</v>
      </c>
      <c r="F15" s="37" t="s">
        <v>679</v>
      </c>
      <c r="G15" s="38">
        <v>0</v>
      </c>
      <c r="H15" s="38">
        <v>0</v>
      </c>
      <c r="I15" s="15"/>
      <c r="J15" s="494">
        <v>10101030102</v>
      </c>
      <c r="K15" s="517"/>
      <c r="L15" s="517" t="s">
        <v>13293</v>
      </c>
      <c r="M15" s="517" t="s">
        <v>677</v>
      </c>
      <c r="N15" s="518" t="s">
        <v>13294</v>
      </c>
      <c r="O15" s="517">
        <v>1</v>
      </c>
      <c r="P15" s="517" t="s">
        <v>632</v>
      </c>
      <c r="Q15" s="517" t="s">
        <v>632</v>
      </c>
      <c r="R15" s="517" t="s">
        <v>671</v>
      </c>
      <c r="S15" s="517" t="s">
        <v>632</v>
      </c>
      <c r="T15" s="518" t="s">
        <v>676</v>
      </c>
      <c r="U15" s="38">
        <f t="shared" si="2"/>
        <v>0</v>
      </c>
      <c r="V15" s="15" t="str">
        <f t="shared" si="1"/>
        <v>101010301</v>
      </c>
      <c r="W15" s="39">
        <v>1</v>
      </c>
      <c r="X15" s="40" t="s">
        <v>632</v>
      </c>
      <c r="Y15" s="40" t="s">
        <v>632</v>
      </c>
      <c r="Z15" s="40" t="s">
        <v>671</v>
      </c>
      <c r="AA15" s="40" t="s">
        <v>632</v>
      </c>
      <c r="AB15" s="41" t="s">
        <v>676</v>
      </c>
      <c r="AC15" s="9"/>
      <c r="AD15" s="517">
        <v>0</v>
      </c>
      <c r="AE15" s="517" t="s">
        <v>13293</v>
      </c>
      <c r="AF15" s="517" t="s">
        <v>677</v>
      </c>
      <c r="AG15" s="520" t="s">
        <v>13294</v>
      </c>
      <c r="AH15" s="9"/>
      <c r="AI15" s="10"/>
      <c r="AJ15" s="9">
        <f t="shared" si="0"/>
        <v>0</v>
      </c>
      <c r="AK15" s="10"/>
      <c r="AL15" s="10"/>
    </row>
    <row r="16" spans="1:40" ht="56.25" hidden="1">
      <c r="A16" s="1">
        <f t="shared" si="3"/>
        <v>0</v>
      </c>
      <c r="B16" s="2" t="s">
        <v>680</v>
      </c>
      <c r="C16" s="3" t="s">
        <v>681</v>
      </c>
      <c r="D16" s="15" t="s">
        <v>11349</v>
      </c>
      <c r="E16" s="4" t="s">
        <v>680</v>
      </c>
      <c r="F16" s="37" t="s">
        <v>681</v>
      </c>
      <c r="G16" s="38">
        <v>0</v>
      </c>
      <c r="H16" s="38">
        <v>0</v>
      </c>
      <c r="I16" s="15"/>
      <c r="J16" s="494">
        <v>10101030201</v>
      </c>
      <c r="K16" s="517"/>
      <c r="L16" s="517" t="s">
        <v>13295</v>
      </c>
      <c r="M16" s="517" t="s">
        <v>683</v>
      </c>
      <c r="N16" s="518" t="s">
        <v>13296</v>
      </c>
      <c r="O16" s="517">
        <v>1</v>
      </c>
      <c r="P16" s="517" t="s">
        <v>632</v>
      </c>
      <c r="Q16" s="517" t="s">
        <v>632</v>
      </c>
      <c r="R16" s="517" t="s">
        <v>671</v>
      </c>
      <c r="S16" s="517" t="s">
        <v>647</v>
      </c>
      <c r="T16" s="518" t="s">
        <v>682</v>
      </c>
      <c r="U16" s="38">
        <f t="shared" si="2"/>
        <v>0</v>
      </c>
      <c r="V16" s="15" t="str">
        <f t="shared" si="1"/>
        <v>101010302</v>
      </c>
      <c r="W16" s="39">
        <v>1</v>
      </c>
      <c r="X16" s="40" t="s">
        <v>632</v>
      </c>
      <c r="Y16" s="40" t="s">
        <v>632</v>
      </c>
      <c r="Z16" s="40" t="s">
        <v>671</v>
      </c>
      <c r="AA16" s="40" t="s">
        <v>647</v>
      </c>
      <c r="AB16" s="41" t="s">
        <v>682</v>
      </c>
      <c r="AC16" s="519">
        <f>H16+H17</f>
        <v>0</v>
      </c>
      <c r="AD16" s="517">
        <v>0</v>
      </c>
      <c r="AE16" s="517" t="s">
        <v>13295</v>
      </c>
      <c r="AF16" s="517" t="s">
        <v>683</v>
      </c>
      <c r="AG16" s="520" t="s">
        <v>13296</v>
      </c>
      <c r="AH16" s="67">
        <f>AC16</f>
        <v>0</v>
      </c>
      <c r="AI16" s="10"/>
      <c r="AJ16" s="9">
        <f t="shared" si="0"/>
        <v>0</v>
      </c>
      <c r="AK16" s="10"/>
      <c r="AL16" s="10"/>
    </row>
    <row r="17" spans="1:38" ht="56.25" hidden="1">
      <c r="A17" s="1">
        <f t="shared" si="3"/>
        <v>0</v>
      </c>
      <c r="B17" s="2" t="s">
        <v>684</v>
      </c>
      <c r="C17" s="3" t="s">
        <v>685</v>
      </c>
      <c r="D17" s="15" t="s">
        <v>11349</v>
      </c>
      <c r="E17" s="4" t="s">
        <v>684</v>
      </c>
      <c r="F17" s="37" t="s">
        <v>685</v>
      </c>
      <c r="G17" s="38">
        <v>0</v>
      </c>
      <c r="H17" s="38">
        <v>0</v>
      </c>
      <c r="I17" s="15"/>
      <c r="J17" s="494">
        <v>10101030202</v>
      </c>
      <c r="K17" s="517"/>
      <c r="L17" s="517" t="s">
        <v>13295</v>
      </c>
      <c r="M17" s="517" t="s">
        <v>683</v>
      </c>
      <c r="N17" s="518" t="s">
        <v>13296</v>
      </c>
      <c r="O17" s="517">
        <v>1</v>
      </c>
      <c r="P17" s="517" t="s">
        <v>632</v>
      </c>
      <c r="Q17" s="517" t="s">
        <v>632</v>
      </c>
      <c r="R17" s="517" t="s">
        <v>671</v>
      </c>
      <c r="S17" s="517" t="s">
        <v>647</v>
      </c>
      <c r="T17" s="518" t="s">
        <v>682</v>
      </c>
      <c r="U17" s="38">
        <f t="shared" si="2"/>
        <v>0</v>
      </c>
      <c r="V17" s="15" t="str">
        <f t="shared" si="1"/>
        <v>101010302</v>
      </c>
      <c r="W17" s="39">
        <v>1</v>
      </c>
      <c r="X17" s="40" t="s">
        <v>632</v>
      </c>
      <c r="Y17" s="40" t="s">
        <v>632</v>
      </c>
      <c r="Z17" s="40" t="s">
        <v>671</v>
      </c>
      <c r="AA17" s="40" t="s">
        <v>647</v>
      </c>
      <c r="AB17" s="41" t="s">
        <v>682</v>
      </c>
      <c r="AC17" s="9"/>
      <c r="AD17" s="517">
        <v>0</v>
      </c>
      <c r="AE17" s="517" t="s">
        <v>13295</v>
      </c>
      <c r="AF17" s="517" t="s">
        <v>683</v>
      </c>
      <c r="AG17" s="520" t="s">
        <v>13296</v>
      </c>
      <c r="AH17" s="9"/>
      <c r="AI17" s="10"/>
      <c r="AJ17" s="9">
        <f t="shared" si="0"/>
        <v>0</v>
      </c>
      <c r="AK17" s="10"/>
      <c r="AL17" s="10"/>
    </row>
    <row r="18" spans="1:38" ht="33.75" hidden="1">
      <c r="A18" s="1">
        <f t="shared" si="3"/>
        <v>0</v>
      </c>
      <c r="B18" s="2" t="s">
        <v>686</v>
      </c>
      <c r="C18" s="3" t="s">
        <v>687</v>
      </c>
      <c r="D18" s="15" t="s">
        <v>11350</v>
      </c>
      <c r="E18" s="4" t="s">
        <v>686</v>
      </c>
      <c r="F18" s="37" t="s">
        <v>687</v>
      </c>
      <c r="G18" s="38">
        <v>0</v>
      </c>
      <c r="H18" s="38">
        <v>0</v>
      </c>
      <c r="I18" s="15"/>
      <c r="J18" s="494">
        <v>10101030301</v>
      </c>
      <c r="K18" s="517"/>
      <c r="L18" s="517" t="s">
        <v>13297</v>
      </c>
      <c r="M18" s="517" t="s">
        <v>689</v>
      </c>
      <c r="N18" s="518" t="s">
        <v>690</v>
      </c>
      <c r="O18" s="517">
        <v>1</v>
      </c>
      <c r="P18" s="517" t="s">
        <v>632</v>
      </c>
      <c r="Q18" s="517" t="s">
        <v>632</v>
      </c>
      <c r="R18" s="517" t="s">
        <v>671</v>
      </c>
      <c r="S18" s="517" t="s">
        <v>671</v>
      </c>
      <c r="T18" s="518" t="s">
        <v>688</v>
      </c>
      <c r="U18" s="38">
        <f t="shared" si="2"/>
        <v>0</v>
      </c>
      <c r="V18" s="15" t="str">
        <f t="shared" si="1"/>
        <v>101010303</v>
      </c>
      <c r="W18" s="39">
        <v>1</v>
      </c>
      <c r="X18" s="40" t="s">
        <v>632</v>
      </c>
      <c r="Y18" s="40" t="s">
        <v>632</v>
      </c>
      <c r="Z18" s="40" t="s">
        <v>671</v>
      </c>
      <c r="AA18" s="40" t="s">
        <v>671</v>
      </c>
      <c r="AB18" s="41" t="s">
        <v>688</v>
      </c>
      <c r="AC18" s="519">
        <f>H18</f>
        <v>0</v>
      </c>
      <c r="AD18" s="517">
        <v>0</v>
      </c>
      <c r="AE18" s="517" t="s">
        <v>13297</v>
      </c>
      <c r="AF18" s="517" t="s">
        <v>689</v>
      </c>
      <c r="AG18" s="520" t="s">
        <v>690</v>
      </c>
      <c r="AH18" s="67">
        <f>AC18</f>
        <v>0</v>
      </c>
      <c r="AI18" s="10"/>
      <c r="AJ18" s="9">
        <f t="shared" si="0"/>
        <v>0</v>
      </c>
      <c r="AK18" s="10"/>
      <c r="AL18" s="10"/>
    </row>
    <row r="19" spans="1:38" ht="45" hidden="1">
      <c r="A19" s="1">
        <f t="shared" si="3"/>
        <v>0</v>
      </c>
      <c r="B19" s="2" t="s">
        <v>691</v>
      </c>
      <c r="C19" s="3" t="s">
        <v>692</v>
      </c>
      <c r="D19" s="15" t="s">
        <v>11351</v>
      </c>
      <c r="E19" s="4" t="s">
        <v>691</v>
      </c>
      <c r="F19" s="37" t="s">
        <v>692</v>
      </c>
      <c r="G19" s="38">
        <v>0</v>
      </c>
      <c r="H19" s="38">
        <v>0</v>
      </c>
      <c r="I19" s="15"/>
      <c r="J19" s="494">
        <v>10101030401</v>
      </c>
      <c r="K19" s="517"/>
      <c r="L19" s="517" t="s">
        <v>13298</v>
      </c>
      <c r="M19" s="517" t="s">
        <v>695</v>
      </c>
      <c r="N19" s="518" t="s">
        <v>13299</v>
      </c>
      <c r="O19" s="517">
        <v>1</v>
      </c>
      <c r="P19" s="517" t="s">
        <v>632</v>
      </c>
      <c r="Q19" s="517" t="s">
        <v>632</v>
      </c>
      <c r="R19" s="517" t="s">
        <v>671</v>
      </c>
      <c r="S19" s="517" t="s">
        <v>693</v>
      </c>
      <c r="T19" s="518" t="s">
        <v>694</v>
      </c>
      <c r="U19" s="38">
        <f t="shared" si="2"/>
        <v>0</v>
      </c>
      <c r="V19" s="15" t="str">
        <f t="shared" si="1"/>
        <v>101010304</v>
      </c>
      <c r="W19" s="39">
        <v>1</v>
      </c>
      <c r="X19" s="40" t="s">
        <v>632</v>
      </c>
      <c r="Y19" s="40" t="s">
        <v>632</v>
      </c>
      <c r="Z19" s="40" t="s">
        <v>671</v>
      </c>
      <c r="AA19" s="40" t="s">
        <v>693</v>
      </c>
      <c r="AB19" s="41" t="s">
        <v>694</v>
      </c>
      <c r="AC19" s="519">
        <f>H19</f>
        <v>0</v>
      </c>
      <c r="AD19" s="517">
        <v>0</v>
      </c>
      <c r="AE19" s="517" t="s">
        <v>13298</v>
      </c>
      <c r="AF19" s="517" t="s">
        <v>695</v>
      </c>
      <c r="AG19" s="520" t="s">
        <v>13299</v>
      </c>
      <c r="AH19" s="67">
        <f>AC19</f>
        <v>0</v>
      </c>
      <c r="AI19" s="10"/>
      <c r="AJ19" s="9">
        <f t="shared" si="0"/>
        <v>0</v>
      </c>
      <c r="AK19" s="10"/>
      <c r="AL19" s="10"/>
    </row>
    <row r="20" spans="1:38" ht="36" hidden="1">
      <c r="A20" s="1">
        <f t="shared" si="3"/>
        <v>0</v>
      </c>
      <c r="C20" s="3" t="s">
        <v>696</v>
      </c>
      <c r="D20" s="15" t="s">
        <v>16</v>
      </c>
      <c r="E20" s="30"/>
      <c r="F20" s="31" t="s">
        <v>697</v>
      </c>
      <c r="G20" s="32">
        <f>G21+G22+G23+G24+G25+G26</f>
        <v>33344224.080000002</v>
      </c>
      <c r="H20" s="32">
        <f>H21+H22+H23+H24+H25+H26</f>
        <v>34646048.910000004</v>
      </c>
      <c r="I20" s="507"/>
      <c r="J20" s="508"/>
      <c r="K20" s="513"/>
      <c r="L20" s="525" t="s">
        <v>698</v>
      </c>
      <c r="M20" s="525" t="s">
        <v>143</v>
      </c>
      <c r="N20" s="526" t="s">
        <v>699</v>
      </c>
      <c r="O20" s="527">
        <v>1</v>
      </c>
      <c r="P20" s="527" t="s">
        <v>632</v>
      </c>
      <c r="Q20" s="527" t="s">
        <v>632</v>
      </c>
      <c r="R20" s="528" t="s">
        <v>693</v>
      </c>
      <c r="S20" s="528" t="s">
        <v>630</v>
      </c>
      <c r="T20" s="526" t="s">
        <v>697</v>
      </c>
      <c r="U20" s="32">
        <f>U21+U22+U23+U24+U25+U26</f>
        <v>34646048.910000004</v>
      </c>
      <c r="V20" s="15" t="str">
        <f t="shared" si="1"/>
        <v>101010400</v>
      </c>
      <c r="W20" s="33">
        <v>1</v>
      </c>
      <c r="X20" s="34" t="s">
        <v>632</v>
      </c>
      <c r="Y20" s="34" t="s">
        <v>632</v>
      </c>
      <c r="Z20" s="35" t="s">
        <v>693</v>
      </c>
      <c r="AA20" s="35" t="s">
        <v>630</v>
      </c>
      <c r="AB20" s="31" t="s">
        <v>697</v>
      </c>
      <c r="AC20" s="529">
        <f>AC21+AC22+AC23</f>
        <v>34646048.910000004</v>
      </c>
      <c r="AD20" s="513">
        <v>0</v>
      </c>
      <c r="AE20" s="513" t="s">
        <v>698</v>
      </c>
      <c r="AF20" s="513" t="s">
        <v>143</v>
      </c>
      <c r="AG20" s="514" t="s">
        <v>699</v>
      </c>
      <c r="AH20" s="44">
        <f>AH21</f>
        <v>34646048.910000004</v>
      </c>
      <c r="AI20" s="10"/>
      <c r="AJ20" s="9">
        <f t="shared" si="0"/>
        <v>0</v>
      </c>
      <c r="AK20" s="10"/>
      <c r="AL20" s="10"/>
    </row>
    <row r="21" spans="1:38" ht="33.75" hidden="1">
      <c r="A21" s="1">
        <f t="shared" si="3"/>
        <v>0</v>
      </c>
      <c r="B21" s="2" t="s">
        <v>700</v>
      </c>
      <c r="C21" s="3" t="s">
        <v>701</v>
      </c>
      <c r="D21" s="15" t="s">
        <v>11352</v>
      </c>
      <c r="E21" s="45" t="s">
        <v>700</v>
      </c>
      <c r="F21" s="46" t="s">
        <v>701</v>
      </c>
      <c r="G21" s="47">
        <v>32830058.260000002</v>
      </c>
      <c r="H21" s="38">
        <v>33668399.090000004</v>
      </c>
      <c r="I21" s="15"/>
      <c r="J21" s="494">
        <v>10101040101</v>
      </c>
      <c r="K21" s="517"/>
      <c r="L21" s="517" t="s">
        <v>698</v>
      </c>
      <c r="M21" s="517" t="s">
        <v>143</v>
      </c>
      <c r="N21" s="518" t="s">
        <v>699</v>
      </c>
      <c r="O21" s="517">
        <v>1</v>
      </c>
      <c r="P21" s="517" t="s">
        <v>632</v>
      </c>
      <c r="Q21" s="517" t="s">
        <v>632</v>
      </c>
      <c r="R21" s="517" t="s">
        <v>693</v>
      </c>
      <c r="S21" s="517" t="s">
        <v>632</v>
      </c>
      <c r="T21" s="518" t="s">
        <v>697</v>
      </c>
      <c r="U21" s="38">
        <f t="shared" si="2"/>
        <v>33668399.090000004</v>
      </c>
      <c r="V21" s="15" t="str">
        <f t="shared" si="1"/>
        <v>101010401</v>
      </c>
      <c r="W21" s="39">
        <v>1</v>
      </c>
      <c r="X21" s="40" t="s">
        <v>632</v>
      </c>
      <c r="Y21" s="40" t="s">
        <v>632</v>
      </c>
      <c r="Z21" s="40" t="s">
        <v>693</v>
      </c>
      <c r="AA21" s="40" t="s">
        <v>632</v>
      </c>
      <c r="AB21" s="41" t="s">
        <v>697</v>
      </c>
      <c r="AC21" s="519">
        <f>H21+H22+H23+H25+H26+H24</f>
        <v>34646048.910000004</v>
      </c>
      <c r="AD21" s="517">
        <v>0</v>
      </c>
      <c r="AE21" s="517" t="s">
        <v>698</v>
      </c>
      <c r="AF21" s="517" t="s">
        <v>143</v>
      </c>
      <c r="AG21" s="520" t="s">
        <v>699</v>
      </c>
      <c r="AH21" s="67">
        <f>AC21</f>
        <v>34646048.910000004</v>
      </c>
      <c r="AI21" s="10"/>
      <c r="AJ21" s="9"/>
      <c r="AK21" s="10"/>
      <c r="AL21" s="10"/>
    </row>
    <row r="22" spans="1:38" ht="33.75" hidden="1">
      <c r="A22" s="1">
        <f t="shared" si="3"/>
        <v>0</v>
      </c>
      <c r="B22" s="2" t="s">
        <v>702</v>
      </c>
      <c r="C22" s="3" t="s">
        <v>703</v>
      </c>
      <c r="D22" s="15" t="s">
        <v>11352</v>
      </c>
      <c r="E22" s="45" t="s">
        <v>702</v>
      </c>
      <c r="F22" s="46" t="s">
        <v>703</v>
      </c>
      <c r="G22" s="47">
        <v>0</v>
      </c>
      <c r="H22" s="38">
        <v>0</v>
      </c>
      <c r="I22" s="15"/>
      <c r="J22" s="494">
        <v>10101040102</v>
      </c>
      <c r="L22" s="523" t="s">
        <v>698</v>
      </c>
      <c r="M22" s="523" t="s">
        <v>143</v>
      </c>
      <c r="N22" s="518" t="s">
        <v>699</v>
      </c>
      <c r="O22" s="523">
        <v>1</v>
      </c>
      <c r="P22" s="523" t="s">
        <v>632</v>
      </c>
      <c r="Q22" s="523" t="s">
        <v>632</v>
      </c>
      <c r="R22" s="523" t="s">
        <v>693</v>
      </c>
      <c r="S22" s="523" t="s">
        <v>632</v>
      </c>
      <c r="T22" s="518" t="s">
        <v>697</v>
      </c>
      <c r="U22" s="38">
        <f t="shared" si="2"/>
        <v>0</v>
      </c>
      <c r="V22" s="15" t="str">
        <f t="shared" si="1"/>
        <v>101010401</v>
      </c>
      <c r="W22" s="39">
        <v>1</v>
      </c>
      <c r="X22" s="40" t="s">
        <v>632</v>
      </c>
      <c r="Y22" s="40" t="s">
        <v>632</v>
      </c>
      <c r="Z22" s="40" t="s">
        <v>693</v>
      </c>
      <c r="AA22" s="40" t="s">
        <v>632</v>
      </c>
      <c r="AB22" s="41" t="s">
        <v>697</v>
      </c>
      <c r="AC22" s="9"/>
      <c r="AD22" s="523">
        <v>0</v>
      </c>
      <c r="AE22" s="523" t="s">
        <v>698</v>
      </c>
      <c r="AF22" s="523" t="s">
        <v>143</v>
      </c>
      <c r="AG22" s="524" t="s">
        <v>699</v>
      </c>
      <c r="AH22" s="9"/>
      <c r="AI22" s="10"/>
      <c r="AJ22" s="9"/>
      <c r="AK22" s="10"/>
      <c r="AL22" s="10"/>
    </row>
    <row r="23" spans="1:38" ht="33.75" hidden="1">
      <c r="A23" s="1">
        <f t="shared" si="3"/>
        <v>0</v>
      </c>
      <c r="B23" s="2" t="s">
        <v>704</v>
      </c>
      <c r="C23" s="3" t="s">
        <v>705</v>
      </c>
      <c r="D23" s="15" t="s">
        <v>11352</v>
      </c>
      <c r="E23" s="45" t="s">
        <v>704</v>
      </c>
      <c r="F23" s="46" t="s">
        <v>705</v>
      </c>
      <c r="G23" s="47">
        <v>0</v>
      </c>
      <c r="H23" s="38">
        <v>0</v>
      </c>
      <c r="I23" s="15"/>
      <c r="J23" s="494">
        <v>10101040103</v>
      </c>
      <c r="L23" s="523" t="s">
        <v>698</v>
      </c>
      <c r="M23" s="523" t="s">
        <v>143</v>
      </c>
      <c r="N23" s="518" t="s">
        <v>699</v>
      </c>
      <c r="O23" s="523">
        <v>1</v>
      </c>
      <c r="P23" s="523" t="s">
        <v>632</v>
      </c>
      <c r="Q23" s="523" t="s">
        <v>632</v>
      </c>
      <c r="R23" s="523" t="s">
        <v>693</v>
      </c>
      <c r="S23" s="523" t="s">
        <v>632</v>
      </c>
      <c r="T23" s="518" t="s">
        <v>697</v>
      </c>
      <c r="U23" s="38">
        <f t="shared" si="2"/>
        <v>0</v>
      </c>
      <c r="V23" s="15" t="str">
        <f t="shared" si="1"/>
        <v>101010401</v>
      </c>
      <c r="W23" s="39">
        <v>1</v>
      </c>
      <c r="X23" s="40" t="s">
        <v>632</v>
      </c>
      <c r="Y23" s="40" t="s">
        <v>632</v>
      </c>
      <c r="Z23" s="40" t="s">
        <v>693</v>
      </c>
      <c r="AA23" s="40" t="s">
        <v>632</v>
      </c>
      <c r="AB23" s="41" t="s">
        <v>697</v>
      </c>
      <c r="AC23" s="9"/>
      <c r="AD23" s="523">
        <v>0</v>
      </c>
      <c r="AE23" s="523" t="s">
        <v>698</v>
      </c>
      <c r="AF23" s="523" t="s">
        <v>143</v>
      </c>
      <c r="AG23" s="524" t="s">
        <v>699</v>
      </c>
      <c r="AH23" s="9"/>
      <c r="AI23" s="10"/>
      <c r="AJ23" s="9"/>
      <c r="AK23" s="10"/>
      <c r="AL23" s="10"/>
    </row>
    <row r="24" spans="1:38" ht="33.75" hidden="1">
      <c r="A24" s="1">
        <f t="shared" si="3"/>
        <v>0</v>
      </c>
      <c r="B24" s="2" t="s">
        <v>706</v>
      </c>
      <c r="C24" s="3" t="s">
        <v>707</v>
      </c>
      <c r="D24" s="15" t="s">
        <v>11352</v>
      </c>
      <c r="E24" s="45" t="s">
        <v>706</v>
      </c>
      <c r="F24" s="48" t="s">
        <v>707</v>
      </c>
      <c r="G24" s="47">
        <v>0</v>
      </c>
      <c r="H24" s="38">
        <v>54264.73</v>
      </c>
      <c r="I24" s="15"/>
      <c r="J24" s="494">
        <v>10101040104</v>
      </c>
      <c r="L24" s="523" t="s">
        <v>698</v>
      </c>
      <c r="M24" s="523" t="s">
        <v>143</v>
      </c>
      <c r="N24" s="518" t="s">
        <v>699</v>
      </c>
      <c r="O24" s="523">
        <v>1</v>
      </c>
      <c r="P24" s="523" t="s">
        <v>632</v>
      </c>
      <c r="Q24" s="523" t="s">
        <v>632</v>
      </c>
      <c r="R24" s="523" t="s">
        <v>693</v>
      </c>
      <c r="S24" s="523" t="s">
        <v>632</v>
      </c>
      <c r="T24" s="518" t="s">
        <v>697</v>
      </c>
      <c r="U24" s="38">
        <f t="shared" si="2"/>
        <v>54264.73</v>
      </c>
      <c r="V24" s="15" t="str">
        <f t="shared" si="1"/>
        <v>101010401</v>
      </c>
      <c r="W24" s="39">
        <v>1</v>
      </c>
      <c r="X24" s="40" t="s">
        <v>632</v>
      </c>
      <c r="Y24" s="40" t="s">
        <v>632</v>
      </c>
      <c r="Z24" s="40" t="s">
        <v>693</v>
      </c>
      <c r="AA24" s="40" t="s">
        <v>632</v>
      </c>
      <c r="AB24" s="41" t="s">
        <v>697</v>
      </c>
      <c r="AC24" s="9"/>
      <c r="AD24" s="523">
        <v>0</v>
      </c>
      <c r="AE24" s="523" t="s">
        <v>698</v>
      </c>
      <c r="AF24" s="523" t="s">
        <v>143</v>
      </c>
      <c r="AG24" s="524" t="s">
        <v>699</v>
      </c>
      <c r="AH24" s="9"/>
      <c r="AI24" s="10"/>
      <c r="AJ24" s="9"/>
      <c r="AK24" s="10"/>
      <c r="AL24" s="10"/>
    </row>
    <row r="25" spans="1:38" ht="33.75" hidden="1">
      <c r="A25" s="1">
        <f t="shared" si="3"/>
        <v>0</v>
      </c>
      <c r="B25" s="2" t="s">
        <v>708</v>
      </c>
      <c r="C25" s="3" t="s">
        <v>709</v>
      </c>
      <c r="D25" s="15" t="s">
        <v>11352</v>
      </c>
      <c r="E25" s="45" t="s">
        <v>708</v>
      </c>
      <c r="F25" s="48" t="s">
        <v>709</v>
      </c>
      <c r="G25" s="47">
        <v>0</v>
      </c>
      <c r="H25" s="38">
        <v>0</v>
      </c>
      <c r="I25" s="15"/>
      <c r="J25" s="494">
        <v>10101040105</v>
      </c>
      <c r="L25" s="523" t="s">
        <v>698</v>
      </c>
      <c r="M25" s="523" t="s">
        <v>143</v>
      </c>
      <c r="N25" s="518" t="s">
        <v>699</v>
      </c>
      <c r="O25" s="523">
        <v>1</v>
      </c>
      <c r="P25" s="523" t="s">
        <v>632</v>
      </c>
      <c r="Q25" s="523" t="s">
        <v>632</v>
      </c>
      <c r="R25" s="523" t="s">
        <v>693</v>
      </c>
      <c r="S25" s="523" t="s">
        <v>632</v>
      </c>
      <c r="T25" s="518" t="s">
        <v>697</v>
      </c>
      <c r="U25" s="38">
        <f t="shared" si="2"/>
        <v>0</v>
      </c>
      <c r="V25" s="15" t="str">
        <f t="shared" si="1"/>
        <v>101010401</v>
      </c>
      <c r="W25" s="39">
        <v>1</v>
      </c>
      <c r="X25" s="40" t="s">
        <v>632</v>
      </c>
      <c r="Y25" s="40" t="s">
        <v>632</v>
      </c>
      <c r="Z25" s="40" t="s">
        <v>693</v>
      </c>
      <c r="AA25" s="40" t="s">
        <v>632</v>
      </c>
      <c r="AB25" s="41" t="s">
        <v>697</v>
      </c>
      <c r="AC25" s="9"/>
      <c r="AD25" s="523">
        <v>0</v>
      </c>
      <c r="AE25" s="523" t="s">
        <v>698</v>
      </c>
      <c r="AF25" s="523" t="s">
        <v>143</v>
      </c>
      <c r="AG25" s="524" t="s">
        <v>699</v>
      </c>
      <c r="AH25" s="9"/>
      <c r="AI25" s="10"/>
      <c r="AJ25" s="9"/>
      <c r="AK25" s="10"/>
      <c r="AL25" s="10"/>
    </row>
    <row r="26" spans="1:38" ht="33.75" hidden="1">
      <c r="A26" s="1">
        <f t="shared" si="3"/>
        <v>0</v>
      </c>
      <c r="B26" s="2" t="s">
        <v>710</v>
      </c>
      <c r="C26" s="3" t="s">
        <v>711</v>
      </c>
      <c r="D26" s="15" t="s">
        <v>11352</v>
      </c>
      <c r="E26" s="45" t="s">
        <v>710</v>
      </c>
      <c r="F26" s="48" t="s">
        <v>711</v>
      </c>
      <c r="G26" s="47">
        <v>514165.82</v>
      </c>
      <c r="H26" s="38">
        <v>923385.09</v>
      </c>
      <c r="I26" s="15"/>
      <c r="J26" s="494">
        <v>10101040106</v>
      </c>
      <c r="L26" s="523" t="s">
        <v>698</v>
      </c>
      <c r="M26" s="523" t="s">
        <v>143</v>
      </c>
      <c r="N26" s="518" t="s">
        <v>699</v>
      </c>
      <c r="O26" s="523">
        <v>1</v>
      </c>
      <c r="P26" s="523" t="s">
        <v>632</v>
      </c>
      <c r="Q26" s="523" t="s">
        <v>632</v>
      </c>
      <c r="R26" s="523" t="s">
        <v>693</v>
      </c>
      <c r="S26" s="523" t="s">
        <v>632</v>
      </c>
      <c r="T26" s="518" t="s">
        <v>697</v>
      </c>
      <c r="U26" s="38">
        <f t="shared" si="2"/>
        <v>923385.09</v>
      </c>
      <c r="V26" s="15" t="str">
        <f t="shared" si="1"/>
        <v>101010401</v>
      </c>
      <c r="W26" s="39">
        <v>1</v>
      </c>
      <c r="X26" s="40" t="s">
        <v>632</v>
      </c>
      <c r="Y26" s="40" t="s">
        <v>632</v>
      </c>
      <c r="Z26" s="40" t="s">
        <v>693</v>
      </c>
      <c r="AA26" s="40" t="s">
        <v>632</v>
      </c>
      <c r="AB26" s="41" t="s">
        <v>697</v>
      </c>
      <c r="AC26" s="9"/>
      <c r="AD26" s="523">
        <v>0</v>
      </c>
      <c r="AE26" s="523" t="s">
        <v>698</v>
      </c>
      <c r="AF26" s="523" t="s">
        <v>143</v>
      </c>
      <c r="AG26" s="524" t="s">
        <v>699</v>
      </c>
      <c r="AH26" s="9"/>
      <c r="AI26" s="10"/>
      <c r="AJ26" s="9"/>
      <c r="AK26" s="10"/>
      <c r="AL26" s="10"/>
    </row>
    <row r="27" spans="1:38" ht="33.75" hidden="1">
      <c r="A27" s="1">
        <f t="shared" si="3"/>
        <v>0</v>
      </c>
      <c r="C27" s="3" t="s">
        <v>712</v>
      </c>
      <c r="D27" s="15" t="s">
        <v>16</v>
      </c>
      <c r="E27" s="30"/>
      <c r="F27" s="31" t="s">
        <v>713</v>
      </c>
      <c r="G27" s="32">
        <f>G28+G29+G30+G31-G32-G33-G34-G35</f>
        <v>779769.85999999987</v>
      </c>
      <c r="H27" s="32">
        <f>H28+H29+H30+H31-H32-H33-H34-H35</f>
        <v>575117.79</v>
      </c>
      <c r="I27" s="507"/>
      <c r="J27" s="508"/>
      <c r="K27" s="513"/>
      <c r="L27" s="513"/>
      <c r="M27" s="513"/>
      <c r="N27" s="514"/>
      <c r="O27" s="513"/>
      <c r="P27" s="513"/>
      <c r="Q27" s="513"/>
      <c r="R27" s="513"/>
      <c r="S27" s="513"/>
      <c r="T27" s="514"/>
      <c r="U27" s="32">
        <f>U28+U29+U30+U31-U32-U33-U34-U35</f>
        <v>575117.79</v>
      </c>
      <c r="V27" s="15" t="str">
        <f t="shared" si="1"/>
        <v>101010500</v>
      </c>
      <c r="W27" s="33">
        <v>1</v>
      </c>
      <c r="X27" s="34" t="s">
        <v>632</v>
      </c>
      <c r="Y27" s="34" t="s">
        <v>632</v>
      </c>
      <c r="Z27" s="35" t="s">
        <v>714</v>
      </c>
      <c r="AA27" s="35" t="s">
        <v>630</v>
      </c>
      <c r="AB27" s="31" t="s">
        <v>713</v>
      </c>
      <c r="AC27" s="529">
        <f>AC28+AC29+AC30+AC31-AC32-AC33-AC34-AC35</f>
        <v>575117.79</v>
      </c>
      <c r="AD27" s="513">
        <v>0</v>
      </c>
      <c r="AE27" s="513">
        <v>0</v>
      </c>
      <c r="AF27" s="513">
        <v>0</v>
      </c>
      <c r="AG27" s="514">
        <v>0</v>
      </c>
      <c r="AH27" s="44">
        <f>AH28+AH29+AH30+AH31-AH32-AH33-AH34-AH35+AH36</f>
        <v>24449168.870000001</v>
      </c>
      <c r="AI27" s="10"/>
      <c r="AJ27" s="9">
        <f>AH27-H27</f>
        <v>23874051.080000002</v>
      </c>
      <c r="AK27" s="10"/>
      <c r="AL27" s="10"/>
    </row>
    <row r="28" spans="1:38" ht="22.5" hidden="1">
      <c r="A28" s="1">
        <f t="shared" si="3"/>
        <v>0</v>
      </c>
      <c r="B28" s="2" t="s">
        <v>716</v>
      </c>
      <c r="C28" s="3" t="s">
        <v>717</v>
      </c>
      <c r="D28" s="15" t="s">
        <v>11353</v>
      </c>
      <c r="E28" s="4" t="s">
        <v>716</v>
      </c>
      <c r="F28" s="37" t="s">
        <v>717</v>
      </c>
      <c r="G28" s="38">
        <v>407053.59</v>
      </c>
      <c r="H28" s="38">
        <v>429904.19</v>
      </c>
      <c r="I28" s="15"/>
      <c r="J28" s="494">
        <v>10101050101</v>
      </c>
      <c r="K28" s="517"/>
      <c r="L28" s="517" t="s">
        <v>13300</v>
      </c>
      <c r="M28" s="517" t="s">
        <v>145</v>
      </c>
      <c r="N28" s="518" t="s">
        <v>719</v>
      </c>
      <c r="O28" s="517">
        <v>1</v>
      </c>
      <c r="P28" s="517" t="s">
        <v>632</v>
      </c>
      <c r="Q28" s="517" t="s">
        <v>632</v>
      </c>
      <c r="R28" s="517" t="s">
        <v>714</v>
      </c>
      <c r="S28" s="517" t="s">
        <v>632</v>
      </c>
      <c r="T28" s="518" t="s">
        <v>718</v>
      </c>
      <c r="U28" s="38">
        <f t="shared" si="2"/>
        <v>429904.19</v>
      </c>
      <c r="V28" s="15" t="str">
        <f t="shared" si="1"/>
        <v>101010501</v>
      </c>
      <c r="W28" s="39">
        <v>1</v>
      </c>
      <c r="X28" s="40" t="s">
        <v>632</v>
      </c>
      <c r="Y28" s="40" t="s">
        <v>632</v>
      </c>
      <c r="Z28" s="50" t="str">
        <f>Z27</f>
        <v>05</v>
      </c>
      <c r="AA28" s="40" t="s">
        <v>632</v>
      </c>
      <c r="AB28" s="41" t="s">
        <v>718</v>
      </c>
      <c r="AC28" s="519">
        <f>H28+H29+H30+H31</f>
        <v>2608755.31</v>
      </c>
      <c r="AD28" s="517">
        <v>0</v>
      </c>
      <c r="AE28" s="517" t="s">
        <v>13300</v>
      </c>
      <c r="AF28" s="517" t="s">
        <v>145</v>
      </c>
      <c r="AG28" s="520" t="s">
        <v>719</v>
      </c>
      <c r="AH28" s="67">
        <f>AC28</f>
        <v>2608755.31</v>
      </c>
      <c r="AI28" s="10"/>
      <c r="AJ28" s="9"/>
      <c r="AK28" s="10"/>
      <c r="AL28" s="10"/>
    </row>
    <row r="29" spans="1:38" ht="22.5" hidden="1">
      <c r="A29" s="1">
        <f t="shared" si="3"/>
        <v>0</v>
      </c>
      <c r="B29" s="2" t="s">
        <v>720</v>
      </c>
      <c r="C29" s="3" t="s">
        <v>721</v>
      </c>
      <c r="D29" s="15" t="s">
        <v>11353</v>
      </c>
      <c r="E29" s="4" t="s">
        <v>720</v>
      </c>
      <c r="F29" s="37" t="s">
        <v>721</v>
      </c>
      <c r="G29" s="38">
        <v>0</v>
      </c>
      <c r="H29" s="38">
        <v>0</v>
      </c>
      <c r="I29" s="15"/>
      <c r="J29" s="494">
        <v>10101050102</v>
      </c>
      <c r="K29" s="517"/>
      <c r="L29" s="517" t="s">
        <v>13300</v>
      </c>
      <c r="M29" s="517" t="s">
        <v>145</v>
      </c>
      <c r="N29" s="518" t="s">
        <v>719</v>
      </c>
      <c r="O29" s="517">
        <v>1</v>
      </c>
      <c r="P29" s="517" t="s">
        <v>632</v>
      </c>
      <c r="Q29" s="517" t="s">
        <v>632</v>
      </c>
      <c r="R29" s="517" t="s">
        <v>714</v>
      </c>
      <c r="S29" s="517" t="s">
        <v>632</v>
      </c>
      <c r="T29" s="518" t="s">
        <v>718</v>
      </c>
      <c r="U29" s="38">
        <f t="shared" si="2"/>
        <v>0</v>
      </c>
      <c r="V29" s="15" t="str">
        <f t="shared" si="1"/>
        <v>101010501</v>
      </c>
      <c r="W29" s="39">
        <v>1</v>
      </c>
      <c r="X29" s="40" t="s">
        <v>632</v>
      </c>
      <c r="Y29" s="40" t="s">
        <v>632</v>
      </c>
      <c r="Z29" s="50" t="str">
        <f t="shared" ref="Z29:Z31" si="4">Z28</f>
        <v>05</v>
      </c>
      <c r="AA29" s="40" t="s">
        <v>632</v>
      </c>
      <c r="AB29" s="41" t="s">
        <v>718</v>
      </c>
      <c r="AC29" s="9"/>
      <c r="AD29" s="517">
        <v>0</v>
      </c>
      <c r="AE29" s="517" t="s">
        <v>13300</v>
      </c>
      <c r="AF29" s="517" t="s">
        <v>145</v>
      </c>
      <c r="AG29" s="520" t="s">
        <v>719</v>
      </c>
      <c r="AH29" s="9"/>
      <c r="AI29" s="10"/>
      <c r="AJ29" s="9"/>
      <c r="AK29" s="10"/>
      <c r="AL29" s="10"/>
    </row>
    <row r="30" spans="1:38" ht="22.5" hidden="1">
      <c r="A30" s="1">
        <f t="shared" si="3"/>
        <v>0</v>
      </c>
      <c r="B30" s="2" t="s">
        <v>722</v>
      </c>
      <c r="C30" s="3" t="s">
        <v>723</v>
      </c>
      <c r="D30" s="15" t="s">
        <v>11353</v>
      </c>
      <c r="E30" s="4" t="s">
        <v>722</v>
      </c>
      <c r="F30" s="37" t="s">
        <v>723</v>
      </c>
      <c r="G30" s="38">
        <v>2174042.96</v>
      </c>
      <c r="H30" s="38">
        <v>2178851.12</v>
      </c>
      <c r="I30" s="15"/>
      <c r="J30" s="494">
        <v>10101050103</v>
      </c>
      <c r="L30" s="523" t="s">
        <v>13300</v>
      </c>
      <c r="M30" s="523" t="s">
        <v>145</v>
      </c>
      <c r="N30" s="518" t="s">
        <v>719</v>
      </c>
      <c r="O30" s="523">
        <v>1</v>
      </c>
      <c r="P30" s="523" t="s">
        <v>632</v>
      </c>
      <c r="Q30" s="523" t="s">
        <v>632</v>
      </c>
      <c r="R30" s="523" t="s">
        <v>714</v>
      </c>
      <c r="S30" s="523" t="s">
        <v>632</v>
      </c>
      <c r="T30" s="518" t="s">
        <v>718</v>
      </c>
      <c r="U30" s="38">
        <f t="shared" si="2"/>
        <v>2178851.12</v>
      </c>
      <c r="V30" s="15" t="str">
        <f t="shared" si="1"/>
        <v>101010501</v>
      </c>
      <c r="W30" s="39">
        <v>1</v>
      </c>
      <c r="X30" s="40" t="s">
        <v>632</v>
      </c>
      <c r="Y30" s="40" t="s">
        <v>632</v>
      </c>
      <c r="Z30" s="50" t="str">
        <f t="shared" si="4"/>
        <v>05</v>
      </c>
      <c r="AA30" s="40" t="s">
        <v>632</v>
      </c>
      <c r="AB30" s="41" t="s">
        <v>718</v>
      </c>
      <c r="AC30" s="9"/>
      <c r="AD30" s="523">
        <v>0</v>
      </c>
      <c r="AE30" s="523" t="s">
        <v>13300</v>
      </c>
      <c r="AF30" s="523" t="s">
        <v>145</v>
      </c>
      <c r="AG30" s="524" t="s">
        <v>719</v>
      </c>
      <c r="AH30" s="9"/>
      <c r="AI30" s="10"/>
      <c r="AJ30" s="9"/>
      <c r="AK30" s="10"/>
      <c r="AL30" s="10"/>
    </row>
    <row r="31" spans="1:38" ht="22.5" hidden="1">
      <c r="A31" s="1">
        <f t="shared" si="3"/>
        <v>0</v>
      </c>
      <c r="B31" s="2" t="s">
        <v>724</v>
      </c>
      <c r="C31" s="3" t="s">
        <v>725</v>
      </c>
      <c r="D31" s="15" t="s">
        <v>11353</v>
      </c>
      <c r="E31" s="4" t="s">
        <v>724</v>
      </c>
      <c r="F31" s="37" t="s">
        <v>725</v>
      </c>
      <c r="G31" s="38">
        <v>0</v>
      </c>
      <c r="H31" s="38">
        <v>0</v>
      </c>
      <c r="I31" s="15"/>
      <c r="J31" s="494">
        <v>10101050104</v>
      </c>
      <c r="L31" s="523" t="s">
        <v>13300</v>
      </c>
      <c r="M31" s="523" t="s">
        <v>145</v>
      </c>
      <c r="N31" s="518" t="s">
        <v>719</v>
      </c>
      <c r="O31" s="523">
        <v>1</v>
      </c>
      <c r="P31" s="523" t="s">
        <v>632</v>
      </c>
      <c r="Q31" s="523" t="s">
        <v>632</v>
      </c>
      <c r="R31" s="523" t="s">
        <v>714</v>
      </c>
      <c r="S31" s="523" t="s">
        <v>632</v>
      </c>
      <c r="T31" s="518" t="s">
        <v>718</v>
      </c>
      <c r="U31" s="38">
        <f t="shared" si="2"/>
        <v>0</v>
      </c>
      <c r="V31" s="15" t="str">
        <f t="shared" si="1"/>
        <v>101010501</v>
      </c>
      <c r="W31" s="39">
        <v>1</v>
      </c>
      <c r="X31" s="40" t="s">
        <v>632</v>
      </c>
      <c r="Y31" s="40" t="s">
        <v>632</v>
      </c>
      <c r="Z31" s="50" t="str">
        <f t="shared" si="4"/>
        <v>05</v>
      </c>
      <c r="AA31" s="40" t="s">
        <v>632</v>
      </c>
      <c r="AB31" s="41" t="s">
        <v>718</v>
      </c>
      <c r="AC31" s="9"/>
      <c r="AD31" s="523">
        <v>0</v>
      </c>
      <c r="AE31" s="523" t="s">
        <v>13300</v>
      </c>
      <c r="AF31" s="523" t="s">
        <v>145</v>
      </c>
      <c r="AG31" s="524" t="s">
        <v>719</v>
      </c>
      <c r="AH31" s="9"/>
      <c r="AI31" s="10"/>
      <c r="AJ31" s="9"/>
      <c r="AK31" s="10"/>
      <c r="AL31" s="10"/>
    </row>
    <row r="32" spans="1:38" ht="33.75" hidden="1">
      <c r="A32" s="1">
        <f t="shared" si="3"/>
        <v>0</v>
      </c>
      <c r="B32" s="2" t="s">
        <v>726</v>
      </c>
      <c r="C32" s="3" t="s">
        <v>727</v>
      </c>
      <c r="D32" s="15" t="s">
        <v>11354</v>
      </c>
      <c r="E32" s="4" t="s">
        <v>726</v>
      </c>
      <c r="F32" s="37" t="s">
        <v>727</v>
      </c>
      <c r="G32" s="38">
        <v>201458.73</v>
      </c>
      <c r="H32" s="38">
        <v>250817.67</v>
      </c>
      <c r="I32" s="15"/>
      <c r="J32" s="494">
        <v>10101050201</v>
      </c>
      <c r="K32" s="517"/>
      <c r="L32" s="517" t="s">
        <v>13301</v>
      </c>
      <c r="M32" s="517" t="s">
        <v>729</v>
      </c>
      <c r="N32" s="518" t="s">
        <v>730</v>
      </c>
      <c r="O32" s="517">
        <v>1</v>
      </c>
      <c r="P32" s="517" t="s">
        <v>632</v>
      </c>
      <c r="Q32" s="517" t="s">
        <v>632</v>
      </c>
      <c r="R32" s="517" t="s">
        <v>714</v>
      </c>
      <c r="S32" s="517" t="s">
        <v>647</v>
      </c>
      <c r="T32" s="518" t="s">
        <v>728</v>
      </c>
      <c r="U32" s="38">
        <f t="shared" si="2"/>
        <v>250817.67</v>
      </c>
      <c r="V32" s="15" t="str">
        <f t="shared" si="1"/>
        <v>101010502</v>
      </c>
      <c r="W32" s="39">
        <v>1</v>
      </c>
      <c r="X32" s="40" t="s">
        <v>632</v>
      </c>
      <c r="Y32" s="40" t="s">
        <v>632</v>
      </c>
      <c r="Z32" s="50" t="str">
        <f>Z28</f>
        <v>05</v>
      </c>
      <c r="AA32" s="40" t="s">
        <v>647</v>
      </c>
      <c r="AB32" s="41" t="s">
        <v>728</v>
      </c>
      <c r="AC32" s="519">
        <f>H32+H33+H34+H35</f>
        <v>2033637.52</v>
      </c>
      <c r="AD32" s="517">
        <v>0</v>
      </c>
      <c r="AE32" s="517" t="s">
        <v>13301</v>
      </c>
      <c r="AF32" s="517" t="s">
        <v>729</v>
      </c>
      <c r="AG32" s="520" t="s">
        <v>730</v>
      </c>
      <c r="AH32" s="67">
        <f>AC32</f>
        <v>2033637.52</v>
      </c>
      <c r="AI32" s="10"/>
      <c r="AJ32" s="9"/>
      <c r="AK32" s="10"/>
      <c r="AL32" s="10"/>
    </row>
    <row r="33" spans="1:38" ht="33.75" hidden="1">
      <c r="A33" s="1">
        <f t="shared" si="3"/>
        <v>0</v>
      </c>
      <c r="B33" s="2" t="s">
        <v>731</v>
      </c>
      <c r="C33" s="3" t="s">
        <v>732</v>
      </c>
      <c r="D33" s="15" t="s">
        <v>11354</v>
      </c>
      <c r="E33" s="4" t="s">
        <v>731</v>
      </c>
      <c r="F33" s="37" t="s">
        <v>732</v>
      </c>
      <c r="G33" s="38">
        <v>0</v>
      </c>
      <c r="H33" s="38">
        <v>0</v>
      </c>
      <c r="I33" s="15"/>
      <c r="J33" s="494">
        <v>10101050202</v>
      </c>
      <c r="L33" s="523" t="s">
        <v>13301</v>
      </c>
      <c r="M33" s="523" t="s">
        <v>729</v>
      </c>
      <c r="N33" s="518" t="s">
        <v>730</v>
      </c>
      <c r="O33" s="523">
        <v>1</v>
      </c>
      <c r="P33" s="523" t="s">
        <v>632</v>
      </c>
      <c r="Q33" s="523" t="s">
        <v>632</v>
      </c>
      <c r="R33" s="523" t="s">
        <v>714</v>
      </c>
      <c r="S33" s="523" t="s">
        <v>647</v>
      </c>
      <c r="T33" s="518" t="s">
        <v>728</v>
      </c>
      <c r="U33" s="38">
        <f t="shared" si="2"/>
        <v>0</v>
      </c>
      <c r="V33" s="15" t="str">
        <f t="shared" si="1"/>
        <v>101010502</v>
      </c>
      <c r="W33" s="39">
        <v>1</v>
      </c>
      <c r="X33" s="40" t="s">
        <v>632</v>
      </c>
      <c r="Y33" s="40" t="s">
        <v>632</v>
      </c>
      <c r="Z33" s="50" t="str">
        <f t="shared" ref="Z33:Z35" si="5">Z29</f>
        <v>05</v>
      </c>
      <c r="AA33" s="40" t="s">
        <v>647</v>
      </c>
      <c r="AB33" s="41" t="s">
        <v>728</v>
      </c>
      <c r="AC33" s="9"/>
      <c r="AD33" s="523">
        <v>0</v>
      </c>
      <c r="AE33" s="523" t="s">
        <v>13301</v>
      </c>
      <c r="AF33" s="523" t="s">
        <v>729</v>
      </c>
      <c r="AG33" s="524" t="s">
        <v>730</v>
      </c>
      <c r="AH33" s="9"/>
      <c r="AI33" s="10"/>
      <c r="AJ33" s="9"/>
      <c r="AK33" s="10"/>
      <c r="AL33" s="10"/>
    </row>
    <row r="34" spans="1:38" ht="33.75" hidden="1">
      <c r="A34" s="1">
        <f t="shared" si="3"/>
        <v>0</v>
      </c>
      <c r="B34" s="2" t="s">
        <v>733</v>
      </c>
      <c r="C34" s="3" t="s">
        <v>734</v>
      </c>
      <c r="D34" s="15" t="s">
        <v>11354</v>
      </c>
      <c r="E34" s="4" t="s">
        <v>733</v>
      </c>
      <c r="F34" s="37" t="s">
        <v>734</v>
      </c>
      <c r="G34" s="38">
        <v>1599867.96</v>
      </c>
      <c r="H34" s="38">
        <v>1782819.85</v>
      </c>
      <c r="I34" s="15"/>
      <c r="J34" s="494">
        <v>10101050203</v>
      </c>
      <c r="L34" s="523" t="s">
        <v>13301</v>
      </c>
      <c r="M34" s="523" t="s">
        <v>729</v>
      </c>
      <c r="N34" s="518" t="s">
        <v>730</v>
      </c>
      <c r="O34" s="523">
        <v>1</v>
      </c>
      <c r="P34" s="523" t="s">
        <v>632</v>
      </c>
      <c r="Q34" s="523" t="s">
        <v>632</v>
      </c>
      <c r="R34" s="523" t="s">
        <v>714</v>
      </c>
      <c r="S34" s="523" t="s">
        <v>647</v>
      </c>
      <c r="T34" s="518" t="s">
        <v>728</v>
      </c>
      <c r="U34" s="38">
        <f t="shared" si="2"/>
        <v>1782819.85</v>
      </c>
      <c r="V34" s="15" t="str">
        <f t="shared" si="1"/>
        <v>101010502</v>
      </c>
      <c r="W34" s="39">
        <v>1</v>
      </c>
      <c r="X34" s="40" t="s">
        <v>632</v>
      </c>
      <c r="Y34" s="40" t="s">
        <v>632</v>
      </c>
      <c r="Z34" s="50" t="str">
        <f t="shared" si="5"/>
        <v>05</v>
      </c>
      <c r="AA34" s="40" t="s">
        <v>647</v>
      </c>
      <c r="AB34" s="41" t="s">
        <v>728</v>
      </c>
      <c r="AC34" s="9"/>
      <c r="AD34" s="523">
        <v>0</v>
      </c>
      <c r="AE34" s="523" t="s">
        <v>13301</v>
      </c>
      <c r="AF34" s="523" t="s">
        <v>729</v>
      </c>
      <c r="AG34" s="524" t="s">
        <v>730</v>
      </c>
      <c r="AH34" s="9"/>
      <c r="AI34" s="10"/>
      <c r="AJ34" s="9"/>
      <c r="AK34" s="10"/>
      <c r="AL34" s="10"/>
    </row>
    <row r="35" spans="1:38" ht="33.75" hidden="1">
      <c r="A35" s="1">
        <f t="shared" si="3"/>
        <v>0</v>
      </c>
      <c r="B35" s="2" t="s">
        <v>735</v>
      </c>
      <c r="C35" s="3" t="s">
        <v>736</v>
      </c>
      <c r="D35" s="15" t="s">
        <v>11354</v>
      </c>
      <c r="E35" s="4" t="s">
        <v>735</v>
      </c>
      <c r="F35" s="37" t="s">
        <v>736</v>
      </c>
      <c r="G35" s="38">
        <v>0</v>
      </c>
      <c r="H35" s="38">
        <v>0</v>
      </c>
      <c r="I35" s="15"/>
      <c r="J35" s="494">
        <v>10101050204</v>
      </c>
      <c r="L35" s="523" t="s">
        <v>13301</v>
      </c>
      <c r="M35" s="523" t="s">
        <v>729</v>
      </c>
      <c r="N35" s="518" t="s">
        <v>730</v>
      </c>
      <c r="O35" s="523">
        <v>1</v>
      </c>
      <c r="P35" s="523" t="s">
        <v>632</v>
      </c>
      <c r="Q35" s="523" t="s">
        <v>632</v>
      </c>
      <c r="R35" s="523" t="s">
        <v>714</v>
      </c>
      <c r="S35" s="523" t="s">
        <v>647</v>
      </c>
      <c r="T35" s="518" t="s">
        <v>728</v>
      </c>
      <c r="U35" s="38">
        <f t="shared" si="2"/>
        <v>0</v>
      </c>
      <c r="V35" s="15" t="str">
        <f t="shared" si="1"/>
        <v>101010502</v>
      </c>
      <c r="W35" s="39">
        <v>1</v>
      </c>
      <c r="X35" s="40" t="s">
        <v>632</v>
      </c>
      <c r="Y35" s="40" t="s">
        <v>632</v>
      </c>
      <c r="Z35" s="50" t="str">
        <f t="shared" si="5"/>
        <v>05</v>
      </c>
      <c r="AA35" s="40" t="s">
        <v>647</v>
      </c>
      <c r="AB35" s="41" t="s">
        <v>728</v>
      </c>
      <c r="AC35" s="9"/>
      <c r="AD35" s="523">
        <v>0</v>
      </c>
      <c r="AE35" s="523" t="s">
        <v>13301</v>
      </c>
      <c r="AF35" s="523" t="s">
        <v>729</v>
      </c>
      <c r="AG35" s="524" t="s">
        <v>730</v>
      </c>
      <c r="AH35" s="9"/>
      <c r="AI35" s="10"/>
      <c r="AJ35" s="9">
        <f t="shared" ref="AJ35:AJ70" si="6">AH35-H35</f>
        <v>0</v>
      </c>
      <c r="AK35" s="10"/>
      <c r="AL35" s="10"/>
    </row>
    <row r="36" spans="1:38" ht="33.75" hidden="1">
      <c r="A36" s="1">
        <f t="shared" si="3"/>
        <v>0</v>
      </c>
      <c r="C36" s="3" t="s">
        <v>737</v>
      </c>
      <c r="D36" s="15" t="s">
        <v>16</v>
      </c>
      <c r="E36" s="30"/>
      <c r="F36" s="31" t="s">
        <v>738</v>
      </c>
      <c r="G36" s="32">
        <f>G37-G40</f>
        <v>19386499.650000002</v>
      </c>
      <c r="H36" s="32">
        <f>H37-H40</f>
        <v>23874051.080000002</v>
      </c>
      <c r="I36" s="507"/>
      <c r="J36" s="508"/>
      <c r="K36" s="513"/>
      <c r="L36" s="513"/>
      <c r="M36" s="513"/>
      <c r="N36" s="514"/>
      <c r="O36" s="513"/>
      <c r="P36" s="513"/>
      <c r="Q36" s="513"/>
      <c r="R36" s="513"/>
      <c r="S36" s="513"/>
      <c r="T36" s="514"/>
      <c r="U36" s="32">
        <f>U37-U40</f>
        <v>23874051.080000002</v>
      </c>
      <c r="V36" s="15" t="str">
        <f t="shared" si="1"/>
        <v>101010600</v>
      </c>
      <c r="W36" s="33">
        <v>1</v>
      </c>
      <c r="X36" s="34" t="s">
        <v>632</v>
      </c>
      <c r="Y36" s="34" t="s">
        <v>632</v>
      </c>
      <c r="Z36" s="35" t="s">
        <v>739</v>
      </c>
      <c r="AA36" s="35" t="s">
        <v>630</v>
      </c>
      <c r="AB36" s="31" t="s">
        <v>738</v>
      </c>
      <c r="AC36" s="529">
        <f>AC37-AC40</f>
        <v>23874051.080000002</v>
      </c>
      <c r="AD36" s="513">
        <v>0</v>
      </c>
      <c r="AE36" s="513">
        <v>0</v>
      </c>
      <c r="AF36" s="513">
        <v>0</v>
      </c>
      <c r="AG36" s="514">
        <v>0</v>
      </c>
      <c r="AH36" s="44">
        <f>AH37-AH40</f>
        <v>23874051.080000002</v>
      </c>
      <c r="AI36" s="10"/>
      <c r="AJ36" s="9">
        <f t="shared" si="6"/>
        <v>0</v>
      </c>
      <c r="AK36" s="10"/>
      <c r="AL36" s="10"/>
    </row>
    <row r="37" spans="1:38" ht="22.5" hidden="1">
      <c r="A37" s="1">
        <f t="shared" si="3"/>
        <v>0</v>
      </c>
      <c r="B37" s="2" t="s">
        <v>740</v>
      </c>
      <c r="C37" s="3" t="s">
        <v>741</v>
      </c>
      <c r="D37" s="15" t="s">
        <v>11355</v>
      </c>
      <c r="E37" s="45" t="s">
        <v>740</v>
      </c>
      <c r="F37" s="46" t="s">
        <v>741</v>
      </c>
      <c r="G37" s="38">
        <v>33854687.350000001</v>
      </c>
      <c r="H37" s="38">
        <v>39495043.350000001</v>
      </c>
      <c r="I37" s="15"/>
      <c r="J37" s="494">
        <v>10101060101</v>
      </c>
      <c r="K37" s="517"/>
      <c r="L37" s="517" t="s">
        <v>13302</v>
      </c>
      <c r="M37" s="517" t="s">
        <v>146</v>
      </c>
      <c r="N37" s="518" t="s">
        <v>743</v>
      </c>
      <c r="O37" s="517">
        <v>1</v>
      </c>
      <c r="P37" s="517" t="s">
        <v>632</v>
      </c>
      <c r="Q37" s="517" t="s">
        <v>632</v>
      </c>
      <c r="R37" s="517" t="s">
        <v>739</v>
      </c>
      <c r="S37" s="517" t="s">
        <v>632</v>
      </c>
      <c r="T37" s="518" t="s">
        <v>742</v>
      </c>
      <c r="U37" s="38">
        <f t="shared" si="2"/>
        <v>39495043.350000001</v>
      </c>
      <c r="V37" s="15" t="str">
        <f t="shared" si="1"/>
        <v>101010601</v>
      </c>
      <c r="W37" s="39">
        <v>1</v>
      </c>
      <c r="X37" s="40" t="s">
        <v>632</v>
      </c>
      <c r="Y37" s="40" t="s">
        <v>632</v>
      </c>
      <c r="Z37" s="50" t="str">
        <f>Z36</f>
        <v>06</v>
      </c>
      <c r="AA37" s="40" t="s">
        <v>632</v>
      </c>
      <c r="AB37" s="41" t="s">
        <v>742</v>
      </c>
      <c r="AC37" s="519">
        <f>H37+H38+H39</f>
        <v>39495043.350000001</v>
      </c>
      <c r="AD37" s="517">
        <v>0</v>
      </c>
      <c r="AE37" s="517" t="s">
        <v>13302</v>
      </c>
      <c r="AF37" s="517" t="s">
        <v>146</v>
      </c>
      <c r="AG37" s="520" t="s">
        <v>743</v>
      </c>
      <c r="AH37" s="67">
        <f>AC37</f>
        <v>39495043.350000001</v>
      </c>
      <c r="AI37" s="10"/>
      <c r="AJ37" s="9">
        <f t="shared" si="6"/>
        <v>0</v>
      </c>
      <c r="AK37" s="10"/>
      <c r="AL37" s="10"/>
    </row>
    <row r="38" spans="1:38" ht="33.75" hidden="1">
      <c r="A38" s="1">
        <f t="shared" si="3"/>
        <v>0</v>
      </c>
      <c r="B38" s="2" t="s">
        <v>744</v>
      </c>
      <c r="C38" s="3" t="s">
        <v>745</v>
      </c>
      <c r="D38" s="15" t="s">
        <v>11355</v>
      </c>
      <c r="E38" s="45" t="s">
        <v>744</v>
      </c>
      <c r="F38" s="46" t="s">
        <v>745</v>
      </c>
      <c r="G38" s="38">
        <v>0</v>
      </c>
      <c r="H38" s="38">
        <v>0</v>
      </c>
      <c r="I38" s="15"/>
      <c r="J38" s="494">
        <v>10101060102</v>
      </c>
      <c r="K38" s="517"/>
      <c r="L38" s="517" t="s">
        <v>13302</v>
      </c>
      <c r="M38" s="517" t="s">
        <v>146</v>
      </c>
      <c r="N38" s="518" t="s">
        <v>743</v>
      </c>
      <c r="O38" s="517">
        <v>1</v>
      </c>
      <c r="P38" s="517" t="s">
        <v>632</v>
      </c>
      <c r="Q38" s="517" t="s">
        <v>632</v>
      </c>
      <c r="R38" s="517" t="s">
        <v>739</v>
      </c>
      <c r="S38" s="517" t="s">
        <v>632</v>
      </c>
      <c r="T38" s="518" t="s">
        <v>742</v>
      </c>
      <c r="U38" s="38">
        <f t="shared" si="2"/>
        <v>0</v>
      </c>
      <c r="V38" s="15" t="str">
        <f t="shared" si="1"/>
        <v>101010601</v>
      </c>
      <c r="W38" s="39">
        <v>1</v>
      </c>
      <c r="X38" s="40" t="s">
        <v>632</v>
      </c>
      <c r="Y38" s="40" t="s">
        <v>632</v>
      </c>
      <c r="Z38" s="50" t="str">
        <f t="shared" ref="Z38:Z39" si="7">Z37</f>
        <v>06</v>
      </c>
      <c r="AA38" s="40" t="s">
        <v>632</v>
      </c>
      <c r="AB38" s="41" t="s">
        <v>742</v>
      </c>
      <c r="AC38" s="519"/>
      <c r="AD38" s="517">
        <v>0</v>
      </c>
      <c r="AE38" s="517" t="s">
        <v>13302</v>
      </c>
      <c r="AF38" s="517" t="s">
        <v>146</v>
      </c>
      <c r="AG38" s="520" t="s">
        <v>743</v>
      </c>
      <c r="AH38" s="67"/>
      <c r="AI38" s="10"/>
      <c r="AJ38" s="9">
        <f t="shared" si="6"/>
        <v>0</v>
      </c>
      <c r="AK38" s="10"/>
      <c r="AL38" s="10"/>
    </row>
    <row r="39" spans="1:38" ht="22.5" hidden="1">
      <c r="A39" s="1">
        <f t="shared" si="3"/>
        <v>0</v>
      </c>
      <c r="B39" s="2" t="s">
        <v>746</v>
      </c>
      <c r="C39" s="3" t="s">
        <v>747</v>
      </c>
      <c r="D39" s="15" t="s">
        <v>11355</v>
      </c>
      <c r="E39" s="45" t="s">
        <v>746</v>
      </c>
      <c r="F39" s="48" t="s">
        <v>747</v>
      </c>
      <c r="G39" s="38">
        <v>0</v>
      </c>
      <c r="H39" s="38">
        <v>0</v>
      </c>
      <c r="I39" s="15"/>
      <c r="J39" s="494">
        <v>10101060103</v>
      </c>
      <c r="K39" s="517"/>
      <c r="L39" s="517" t="s">
        <v>13302</v>
      </c>
      <c r="M39" s="517" t="s">
        <v>146</v>
      </c>
      <c r="N39" s="518" t="s">
        <v>743</v>
      </c>
      <c r="O39" s="517">
        <v>1</v>
      </c>
      <c r="P39" s="517" t="s">
        <v>632</v>
      </c>
      <c r="Q39" s="517" t="s">
        <v>632</v>
      </c>
      <c r="R39" s="517" t="s">
        <v>739</v>
      </c>
      <c r="S39" s="517" t="s">
        <v>632</v>
      </c>
      <c r="T39" s="518" t="s">
        <v>742</v>
      </c>
      <c r="U39" s="38">
        <f t="shared" si="2"/>
        <v>0</v>
      </c>
      <c r="V39" s="15" t="str">
        <f t="shared" si="1"/>
        <v>101010601</v>
      </c>
      <c r="W39" s="39">
        <v>1</v>
      </c>
      <c r="X39" s="40" t="s">
        <v>632</v>
      </c>
      <c r="Y39" s="40" t="s">
        <v>632</v>
      </c>
      <c r="Z39" s="50" t="str">
        <f t="shared" si="7"/>
        <v>06</v>
      </c>
      <c r="AA39" s="40" t="s">
        <v>632</v>
      </c>
      <c r="AB39" s="41" t="s">
        <v>742</v>
      </c>
      <c r="AC39" s="519"/>
      <c r="AD39" s="517">
        <v>0</v>
      </c>
      <c r="AE39" s="517" t="s">
        <v>13302</v>
      </c>
      <c r="AF39" s="517" t="s">
        <v>146</v>
      </c>
      <c r="AG39" s="520" t="s">
        <v>743</v>
      </c>
      <c r="AH39" s="67"/>
      <c r="AI39" s="10"/>
      <c r="AJ39" s="9">
        <f t="shared" si="6"/>
        <v>0</v>
      </c>
      <c r="AK39" s="10"/>
      <c r="AL39" s="10"/>
    </row>
    <row r="40" spans="1:38" ht="22.5" hidden="1">
      <c r="A40" s="1">
        <f t="shared" si="3"/>
        <v>0</v>
      </c>
      <c r="B40" s="2" t="s">
        <v>748</v>
      </c>
      <c r="C40" s="3" t="s">
        <v>749</v>
      </c>
      <c r="D40" s="15" t="s">
        <v>11356</v>
      </c>
      <c r="E40" s="45" t="s">
        <v>748</v>
      </c>
      <c r="F40" s="48" t="s">
        <v>749</v>
      </c>
      <c r="G40" s="38">
        <v>14468187.699999999</v>
      </c>
      <c r="H40" s="38">
        <v>15620992.27</v>
      </c>
      <c r="I40" s="15"/>
      <c r="J40" s="494">
        <v>10101060201</v>
      </c>
      <c r="K40" s="517"/>
      <c r="L40" s="517" t="s">
        <v>13303</v>
      </c>
      <c r="M40" s="517" t="s">
        <v>751</v>
      </c>
      <c r="N40" s="518" t="s">
        <v>752</v>
      </c>
      <c r="O40" s="517">
        <v>1</v>
      </c>
      <c r="P40" s="517" t="s">
        <v>632</v>
      </c>
      <c r="Q40" s="517" t="s">
        <v>632</v>
      </c>
      <c r="R40" s="517" t="s">
        <v>739</v>
      </c>
      <c r="S40" s="517" t="s">
        <v>647</v>
      </c>
      <c r="T40" s="518" t="s">
        <v>750</v>
      </c>
      <c r="U40" s="38">
        <f t="shared" si="2"/>
        <v>15620992.27</v>
      </c>
      <c r="V40" s="15" t="str">
        <f t="shared" si="1"/>
        <v>101010602</v>
      </c>
      <c r="W40" s="39">
        <v>1</v>
      </c>
      <c r="X40" s="40" t="s">
        <v>632</v>
      </c>
      <c r="Y40" s="40" t="s">
        <v>632</v>
      </c>
      <c r="Z40" s="50" t="str">
        <f>Z37</f>
        <v>06</v>
      </c>
      <c r="AA40" s="40" t="s">
        <v>647</v>
      </c>
      <c r="AB40" s="41" t="s">
        <v>750</v>
      </c>
      <c r="AC40" s="519">
        <f>H40</f>
        <v>15620992.27</v>
      </c>
      <c r="AD40" s="517">
        <v>0</v>
      </c>
      <c r="AE40" s="517" t="s">
        <v>13303</v>
      </c>
      <c r="AF40" s="517" t="s">
        <v>751</v>
      </c>
      <c r="AG40" s="520" t="s">
        <v>752</v>
      </c>
      <c r="AH40" s="67">
        <f>AC40</f>
        <v>15620992.27</v>
      </c>
      <c r="AI40" s="10"/>
      <c r="AJ40" s="9">
        <f t="shared" si="6"/>
        <v>0</v>
      </c>
      <c r="AK40" s="10"/>
      <c r="AL40" s="10"/>
    </row>
    <row r="41" spans="1:38" ht="22.5" hidden="1">
      <c r="A41" s="1">
        <f t="shared" si="3"/>
        <v>0</v>
      </c>
      <c r="C41" s="3" t="s">
        <v>753</v>
      </c>
      <c r="D41" s="15" t="s">
        <v>16</v>
      </c>
      <c r="E41" s="30"/>
      <c r="F41" s="31" t="s">
        <v>754</v>
      </c>
      <c r="G41" s="32">
        <f>G42-G43</f>
        <v>0</v>
      </c>
      <c r="H41" s="32">
        <f>H42-H43</f>
        <v>0</v>
      </c>
      <c r="I41" s="15"/>
      <c r="J41" s="494"/>
      <c r="K41" s="513"/>
      <c r="L41" s="513"/>
      <c r="M41" s="513"/>
      <c r="N41" s="514"/>
      <c r="O41" s="513"/>
      <c r="P41" s="513"/>
      <c r="Q41" s="513"/>
      <c r="R41" s="513"/>
      <c r="S41" s="513"/>
      <c r="T41" s="514"/>
      <c r="U41" s="32">
        <f>U42-U43</f>
        <v>0</v>
      </c>
      <c r="V41" s="15" t="str">
        <f t="shared" si="1"/>
        <v>101010700</v>
      </c>
      <c r="W41" s="33">
        <v>1</v>
      </c>
      <c r="X41" s="34" t="s">
        <v>632</v>
      </c>
      <c r="Y41" s="34" t="s">
        <v>632</v>
      </c>
      <c r="Z41" s="35" t="s">
        <v>755</v>
      </c>
      <c r="AA41" s="35" t="s">
        <v>630</v>
      </c>
      <c r="AB41" s="31" t="s">
        <v>754</v>
      </c>
      <c r="AC41" s="529">
        <f>AC42-AC43</f>
        <v>0</v>
      </c>
      <c r="AD41" s="513">
        <v>0</v>
      </c>
      <c r="AE41" s="513">
        <v>0</v>
      </c>
      <c r="AF41" s="513">
        <v>0</v>
      </c>
      <c r="AG41" s="514">
        <v>0</v>
      </c>
      <c r="AH41" s="44">
        <f>AH42-AH43</f>
        <v>0</v>
      </c>
      <c r="AI41" s="10"/>
      <c r="AJ41" s="9">
        <f t="shared" si="6"/>
        <v>0</v>
      </c>
      <c r="AK41" s="10"/>
      <c r="AL41" s="10"/>
    </row>
    <row r="42" spans="1:38" hidden="1">
      <c r="A42" s="1">
        <f t="shared" si="3"/>
        <v>0</v>
      </c>
      <c r="B42" s="2" t="s">
        <v>756</v>
      </c>
      <c r="C42" s="3" t="s">
        <v>757</v>
      </c>
      <c r="D42" s="15" t="s">
        <v>11357</v>
      </c>
      <c r="E42" s="4" t="s">
        <v>756</v>
      </c>
      <c r="F42" s="37" t="s">
        <v>757</v>
      </c>
      <c r="G42" s="38">
        <v>0</v>
      </c>
      <c r="H42" s="38">
        <v>0</v>
      </c>
      <c r="I42" s="15"/>
      <c r="J42" s="494">
        <v>10101070101</v>
      </c>
      <c r="K42" s="517"/>
      <c r="L42" s="517" t="s">
        <v>13304</v>
      </c>
      <c r="M42" s="517" t="s">
        <v>147</v>
      </c>
      <c r="N42" s="518" t="s">
        <v>758</v>
      </c>
      <c r="O42" s="517">
        <v>1</v>
      </c>
      <c r="P42" s="517" t="s">
        <v>632</v>
      </c>
      <c r="Q42" s="517" t="s">
        <v>632</v>
      </c>
      <c r="R42" s="517" t="s">
        <v>755</v>
      </c>
      <c r="S42" s="517" t="s">
        <v>632</v>
      </c>
      <c r="T42" s="518" t="s">
        <v>28</v>
      </c>
      <c r="U42" s="38">
        <f t="shared" si="2"/>
        <v>0</v>
      </c>
      <c r="V42" s="15" t="str">
        <f t="shared" si="1"/>
        <v>101010701</v>
      </c>
      <c r="W42" s="39">
        <v>1</v>
      </c>
      <c r="X42" s="40" t="s">
        <v>632</v>
      </c>
      <c r="Y42" s="40" t="s">
        <v>632</v>
      </c>
      <c r="Z42" s="50" t="str">
        <f>Z41</f>
        <v>07</v>
      </c>
      <c r="AA42" s="40" t="s">
        <v>632</v>
      </c>
      <c r="AB42" s="41" t="s">
        <v>28</v>
      </c>
      <c r="AC42" s="519">
        <f>H42</f>
        <v>0</v>
      </c>
      <c r="AD42" s="517">
        <v>0</v>
      </c>
      <c r="AE42" s="517" t="s">
        <v>13304</v>
      </c>
      <c r="AF42" s="517" t="s">
        <v>147</v>
      </c>
      <c r="AG42" s="520" t="s">
        <v>758</v>
      </c>
      <c r="AH42" s="67">
        <f>AC42</f>
        <v>0</v>
      </c>
      <c r="AI42" s="10"/>
      <c r="AJ42" s="9">
        <f t="shared" si="6"/>
        <v>0</v>
      </c>
      <c r="AK42" s="10"/>
      <c r="AL42" s="10"/>
    </row>
    <row r="43" spans="1:38" ht="22.5" hidden="1">
      <c r="A43" s="1">
        <f t="shared" si="3"/>
        <v>0</v>
      </c>
      <c r="B43" s="2" t="s">
        <v>759</v>
      </c>
      <c r="C43" s="3" t="s">
        <v>760</v>
      </c>
      <c r="D43" s="15" t="s">
        <v>11358</v>
      </c>
      <c r="E43" s="4" t="s">
        <v>759</v>
      </c>
      <c r="F43" s="37" t="s">
        <v>760</v>
      </c>
      <c r="G43" s="38">
        <v>0</v>
      </c>
      <c r="H43" s="38">
        <v>0</v>
      </c>
      <c r="I43" s="15"/>
      <c r="J43" s="494">
        <v>10101070201</v>
      </c>
      <c r="K43" s="517"/>
      <c r="L43" s="517" t="s">
        <v>13305</v>
      </c>
      <c r="M43" s="517" t="s">
        <v>762</v>
      </c>
      <c r="N43" s="518" t="s">
        <v>763</v>
      </c>
      <c r="O43" s="517">
        <v>1</v>
      </c>
      <c r="P43" s="517" t="s">
        <v>632</v>
      </c>
      <c r="Q43" s="517" t="s">
        <v>632</v>
      </c>
      <c r="R43" s="517" t="s">
        <v>755</v>
      </c>
      <c r="S43" s="517" t="s">
        <v>647</v>
      </c>
      <c r="T43" s="518" t="s">
        <v>761</v>
      </c>
      <c r="U43" s="38">
        <f t="shared" si="2"/>
        <v>0</v>
      </c>
      <c r="V43" s="15" t="str">
        <f t="shared" si="1"/>
        <v>101010702</v>
      </c>
      <c r="W43" s="39">
        <v>1</v>
      </c>
      <c r="X43" s="40" t="s">
        <v>632</v>
      </c>
      <c r="Y43" s="40" t="s">
        <v>632</v>
      </c>
      <c r="Z43" s="50" t="str">
        <f>Z42</f>
        <v>07</v>
      </c>
      <c r="AA43" s="40" t="s">
        <v>647</v>
      </c>
      <c r="AB43" s="41" t="s">
        <v>761</v>
      </c>
      <c r="AC43" s="519">
        <f>H43</f>
        <v>0</v>
      </c>
      <c r="AD43" s="517">
        <v>0</v>
      </c>
      <c r="AE43" s="517" t="s">
        <v>13305</v>
      </c>
      <c r="AF43" s="517" t="s">
        <v>762</v>
      </c>
      <c r="AG43" s="520" t="s">
        <v>763</v>
      </c>
      <c r="AH43" s="67">
        <f>AC45</f>
        <v>0</v>
      </c>
      <c r="AI43" s="10"/>
      <c r="AJ43" s="9">
        <f t="shared" si="6"/>
        <v>0</v>
      </c>
      <c r="AK43" s="10"/>
      <c r="AL43" s="10"/>
    </row>
    <row r="44" spans="1:38" ht="33.75" hidden="1">
      <c r="A44" s="1">
        <f t="shared" si="3"/>
        <v>0</v>
      </c>
      <c r="C44" s="3" t="s">
        <v>764</v>
      </c>
      <c r="D44" s="15" t="s">
        <v>16</v>
      </c>
      <c r="E44" s="30"/>
      <c r="F44" s="31" t="s">
        <v>765</v>
      </c>
      <c r="G44" s="32">
        <f>G45-G46</f>
        <v>0</v>
      </c>
      <c r="H44" s="32">
        <f>H45-H46</f>
        <v>0</v>
      </c>
      <c r="I44" s="15"/>
      <c r="J44" s="494"/>
      <c r="K44" s="513"/>
      <c r="L44" s="513"/>
      <c r="M44" s="513"/>
      <c r="N44" s="514"/>
      <c r="O44" s="513"/>
      <c r="P44" s="513"/>
      <c r="Q44" s="513"/>
      <c r="R44" s="513"/>
      <c r="S44" s="513"/>
      <c r="T44" s="514"/>
      <c r="U44" s="32">
        <f>U45-U46</f>
        <v>0</v>
      </c>
      <c r="V44" s="15" t="str">
        <f t="shared" si="1"/>
        <v>101010800</v>
      </c>
      <c r="W44" s="33">
        <v>1</v>
      </c>
      <c r="X44" s="34" t="s">
        <v>632</v>
      </c>
      <c r="Y44" s="34" t="s">
        <v>632</v>
      </c>
      <c r="Z44" s="35" t="s">
        <v>766</v>
      </c>
      <c r="AA44" s="35" t="s">
        <v>630</v>
      </c>
      <c r="AB44" s="31" t="s">
        <v>765</v>
      </c>
      <c r="AC44" s="529">
        <f>AC45-AC46</f>
        <v>0</v>
      </c>
      <c r="AD44" s="513">
        <v>0</v>
      </c>
      <c r="AE44" s="513">
        <v>0</v>
      </c>
      <c r="AF44" s="513">
        <v>0</v>
      </c>
      <c r="AG44" s="514">
        <v>0</v>
      </c>
      <c r="AH44" s="44">
        <f>AH45-AH46</f>
        <v>0</v>
      </c>
      <c r="AI44" s="10"/>
      <c r="AJ44" s="9">
        <f t="shared" si="6"/>
        <v>0</v>
      </c>
      <c r="AK44" s="10"/>
      <c r="AL44" s="10"/>
    </row>
    <row r="45" spans="1:38" ht="22.5" hidden="1">
      <c r="A45" s="1">
        <f t="shared" si="3"/>
        <v>0</v>
      </c>
      <c r="B45" s="2" t="s">
        <v>767</v>
      </c>
      <c r="C45" s="3" t="s">
        <v>768</v>
      </c>
      <c r="D45" s="15" t="s">
        <v>11359</v>
      </c>
      <c r="E45" s="4" t="s">
        <v>767</v>
      </c>
      <c r="F45" s="37" t="s">
        <v>768</v>
      </c>
      <c r="G45" s="38">
        <v>0</v>
      </c>
      <c r="H45" s="38">
        <v>0</v>
      </c>
      <c r="I45" s="15"/>
      <c r="J45" s="494">
        <v>10101080101</v>
      </c>
      <c r="K45" s="517"/>
      <c r="L45" s="517" t="s">
        <v>13306</v>
      </c>
      <c r="M45" s="517" t="s">
        <v>770</v>
      </c>
      <c r="N45" s="518" t="s">
        <v>771</v>
      </c>
      <c r="O45" s="517">
        <v>1</v>
      </c>
      <c r="P45" s="517" t="s">
        <v>632</v>
      </c>
      <c r="Q45" s="517" t="s">
        <v>632</v>
      </c>
      <c r="R45" s="517" t="s">
        <v>766</v>
      </c>
      <c r="S45" s="517" t="s">
        <v>632</v>
      </c>
      <c r="T45" s="518" t="s">
        <v>769</v>
      </c>
      <c r="U45" s="38">
        <f t="shared" si="2"/>
        <v>0</v>
      </c>
      <c r="V45" s="15" t="str">
        <f t="shared" si="1"/>
        <v>101010801</v>
      </c>
      <c r="W45" s="39">
        <v>1</v>
      </c>
      <c r="X45" s="40" t="s">
        <v>632</v>
      </c>
      <c r="Y45" s="40" t="s">
        <v>632</v>
      </c>
      <c r="Z45" s="50" t="str">
        <f>Z44</f>
        <v>08</v>
      </c>
      <c r="AA45" s="40" t="s">
        <v>632</v>
      </c>
      <c r="AB45" s="41" t="s">
        <v>769</v>
      </c>
      <c r="AC45" s="519">
        <f>H45</f>
        <v>0</v>
      </c>
      <c r="AD45" s="517">
        <v>0</v>
      </c>
      <c r="AE45" s="517" t="s">
        <v>13306</v>
      </c>
      <c r="AF45" s="517" t="s">
        <v>770</v>
      </c>
      <c r="AG45" s="520" t="s">
        <v>771</v>
      </c>
      <c r="AH45" s="67">
        <f>AC45</f>
        <v>0</v>
      </c>
      <c r="AI45" s="10"/>
      <c r="AJ45" s="9">
        <f t="shared" si="6"/>
        <v>0</v>
      </c>
      <c r="AK45" s="10"/>
      <c r="AL45" s="10"/>
    </row>
    <row r="46" spans="1:38" ht="22.5" hidden="1">
      <c r="A46" s="1">
        <f t="shared" si="3"/>
        <v>0</v>
      </c>
      <c r="B46" s="2" t="s">
        <v>772</v>
      </c>
      <c r="C46" s="3" t="s">
        <v>773</v>
      </c>
      <c r="D46" s="15" t="s">
        <v>11360</v>
      </c>
      <c r="E46" s="4" t="s">
        <v>772</v>
      </c>
      <c r="F46" s="37" t="s">
        <v>773</v>
      </c>
      <c r="G46" s="38">
        <v>0</v>
      </c>
      <c r="H46" s="38">
        <v>0</v>
      </c>
      <c r="I46" s="15"/>
      <c r="J46" s="494">
        <v>10101080201</v>
      </c>
      <c r="K46" s="517"/>
      <c r="L46" s="517" t="s">
        <v>13307</v>
      </c>
      <c r="M46" s="517" t="s">
        <v>775</v>
      </c>
      <c r="N46" s="518" t="s">
        <v>776</v>
      </c>
      <c r="O46" s="517">
        <v>1</v>
      </c>
      <c r="P46" s="517" t="s">
        <v>632</v>
      </c>
      <c r="Q46" s="517" t="s">
        <v>632</v>
      </c>
      <c r="R46" s="517" t="s">
        <v>766</v>
      </c>
      <c r="S46" s="517" t="s">
        <v>647</v>
      </c>
      <c r="T46" s="518" t="s">
        <v>774</v>
      </c>
      <c r="U46" s="38">
        <f t="shared" si="2"/>
        <v>0</v>
      </c>
      <c r="V46" s="15" t="str">
        <f t="shared" si="1"/>
        <v>101010802</v>
      </c>
      <c r="W46" s="39">
        <v>1</v>
      </c>
      <c r="X46" s="40" t="s">
        <v>632</v>
      </c>
      <c r="Y46" s="40" t="s">
        <v>632</v>
      </c>
      <c r="Z46" s="50" t="str">
        <f>Z45</f>
        <v>08</v>
      </c>
      <c r="AA46" s="40" t="s">
        <v>647</v>
      </c>
      <c r="AB46" s="41" t="s">
        <v>774</v>
      </c>
      <c r="AC46" s="519">
        <f>H46</f>
        <v>0</v>
      </c>
      <c r="AD46" s="517">
        <v>0</v>
      </c>
      <c r="AE46" s="517" t="s">
        <v>13307</v>
      </c>
      <c r="AF46" s="517" t="s">
        <v>775</v>
      </c>
      <c r="AG46" s="520" t="s">
        <v>776</v>
      </c>
      <c r="AH46" s="67">
        <f>AC46</f>
        <v>0</v>
      </c>
      <c r="AI46" s="10"/>
      <c r="AJ46" s="9">
        <f t="shared" si="6"/>
        <v>0</v>
      </c>
      <c r="AK46" s="10"/>
      <c r="AL46" s="10"/>
    </row>
    <row r="47" spans="1:38" ht="33.75" hidden="1">
      <c r="A47" s="1">
        <f t="shared" si="3"/>
        <v>0</v>
      </c>
      <c r="C47" s="3" t="s">
        <v>777</v>
      </c>
      <c r="D47" s="15" t="s">
        <v>16</v>
      </c>
      <c r="E47" s="30"/>
      <c r="F47" s="31" t="s">
        <v>778</v>
      </c>
      <c r="G47" s="32">
        <f>SUM(G48:G51)</f>
        <v>0</v>
      </c>
      <c r="H47" s="32">
        <f>SUM(H48:H51)</f>
        <v>0</v>
      </c>
      <c r="I47" s="15"/>
      <c r="J47" s="494"/>
      <c r="K47" s="513"/>
      <c r="L47" s="513"/>
      <c r="M47" s="513"/>
      <c r="N47" s="514"/>
      <c r="O47" s="513"/>
      <c r="P47" s="513"/>
      <c r="Q47" s="513"/>
      <c r="R47" s="513"/>
      <c r="S47" s="513"/>
      <c r="T47" s="514"/>
      <c r="U47" s="32">
        <f>SUM(U48:U51)</f>
        <v>0</v>
      </c>
      <c r="V47" s="15" t="str">
        <f t="shared" si="1"/>
        <v>101010900</v>
      </c>
      <c r="W47" s="33">
        <v>1</v>
      </c>
      <c r="X47" s="34" t="s">
        <v>632</v>
      </c>
      <c r="Y47" s="34" t="s">
        <v>632</v>
      </c>
      <c r="Z47" s="35" t="s">
        <v>779</v>
      </c>
      <c r="AA47" s="35" t="s">
        <v>630</v>
      </c>
      <c r="AB47" s="31" t="s">
        <v>778</v>
      </c>
      <c r="AC47" s="529">
        <f>SUM(AC48:AC51)</f>
        <v>0</v>
      </c>
      <c r="AD47" s="513">
        <v>0</v>
      </c>
      <c r="AE47" s="513" t="s">
        <v>13311</v>
      </c>
      <c r="AF47" s="513" t="s">
        <v>780</v>
      </c>
      <c r="AG47" s="514" t="s">
        <v>781</v>
      </c>
      <c r="AH47" s="44">
        <f>SUM(AH48:AH51)</f>
        <v>0</v>
      </c>
      <c r="AI47" s="10"/>
      <c r="AJ47" s="9">
        <f t="shared" si="6"/>
        <v>0</v>
      </c>
      <c r="AK47" s="10"/>
      <c r="AL47" s="10"/>
    </row>
    <row r="48" spans="1:38" ht="22.5" hidden="1">
      <c r="A48" s="1">
        <f t="shared" si="3"/>
        <v>0</v>
      </c>
      <c r="B48" s="2" t="s">
        <v>782</v>
      </c>
      <c r="C48" s="3" t="s">
        <v>783</v>
      </c>
      <c r="D48" s="15" t="s">
        <v>11361</v>
      </c>
      <c r="E48" s="4" t="s">
        <v>782</v>
      </c>
      <c r="F48" s="37" t="s">
        <v>783</v>
      </c>
      <c r="G48" s="38">
        <v>0</v>
      </c>
      <c r="H48" s="38">
        <v>0</v>
      </c>
      <c r="I48" s="15"/>
      <c r="J48" s="494">
        <v>10101090101</v>
      </c>
      <c r="K48" s="517"/>
      <c r="L48" s="517" t="s">
        <v>13308</v>
      </c>
      <c r="M48" s="517" t="s">
        <v>785</v>
      </c>
      <c r="N48" s="518" t="s">
        <v>786</v>
      </c>
      <c r="O48" s="517">
        <v>1</v>
      </c>
      <c r="P48" s="517" t="s">
        <v>632</v>
      </c>
      <c r="Q48" s="517" t="s">
        <v>632</v>
      </c>
      <c r="R48" s="517" t="s">
        <v>779</v>
      </c>
      <c r="S48" s="517" t="s">
        <v>632</v>
      </c>
      <c r="T48" s="518" t="s">
        <v>784</v>
      </c>
      <c r="U48" s="38">
        <f t="shared" si="2"/>
        <v>0</v>
      </c>
      <c r="V48" s="15" t="str">
        <f t="shared" si="1"/>
        <v>101010901</v>
      </c>
      <c r="W48" s="39">
        <v>1</v>
      </c>
      <c r="X48" s="40" t="s">
        <v>632</v>
      </c>
      <c r="Y48" s="40" t="s">
        <v>632</v>
      </c>
      <c r="Z48" s="50" t="str">
        <f>Z47</f>
        <v>09</v>
      </c>
      <c r="AA48" s="40" t="s">
        <v>632</v>
      </c>
      <c r="AB48" s="41" t="s">
        <v>784</v>
      </c>
      <c r="AC48" s="519">
        <f>H48</f>
        <v>0</v>
      </c>
      <c r="AD48" s="517">
        <v>0</v>
      </c>
      <c r="AE48" s="517" t="s">
        <v>13308</v>
      </c>
      <c r="AF48" s="517" t="s">
        <v>785</v>
      </c>
      <c r="AG48" s="520" t="s">
        <v>786</v>
      </c>
      <c r="AH48" s="67">
        <f>AC48</f>
        <v>0</v>
      </c>
      <c r="AI48" s="10"/>
      <c r="AJ48" s="9">
        <f t="shared" si="6"/>
        <v>0</v>
      </c>
      <c r="AK48" s="10"/>
      <c r="AL48" s="10"/>
    </row>
    <row r="49" spans="1:38" ht="22.5" hidden="1">
      <c r="A49" s="1">
        <f t="shared" si="3"/>
        <v>0</v>
      </c>
      <c r="B49" s="2" t="s">
        <v>787</v>
      </c>
      <c r="C49" s="3" t="s">
        <v>788</v>
      </c>
      <c r="D49" s="15" t="s">
        <v>11362</v>
      </c>
      <c r="E49" s="4" t="s">
        <v>787</v>
      </c>
      <c r="F49" s="37" t="s">
        <v>788</v>
      </c>
      <c r="G49" s="38">
        <v>0</v>
      </c>
      <c r="H49" s="38">
        <v>0</v>
      </c>
      <c r="I49" s="15"/>
      <c r="J49" s="494">
        <v>10101090201</v>
      </c>
      <c r="K49" s="517"/>
      <c r="L49" s="517" t="s">
        <v>13309</v>
      </c>
      <c r="M49" s="517" t="s">
        <v>790</v>
      </c>
      <c r="N49" s="518" t="s">
        <v>791</v>
      </c>
      <c r="O49" s="517">
        <v>1</v>
      </c>
      <c r="P49" s="517" t="s">
        <v>632</v>
      </c>
      <c r="Q49" s="517" t="s">
        <v>632</v>
      </c>
      <c r="R49" s="517" t="s">
        <v>779</v>
      </c>
      <c r="S49" s="517" t="s">
        <v>647</v>
      </c>
      <c r="T49" s="518" t="s">
        <v>789</v>
      </c>
      <c r="U49" s="38">
        <f t="shared" si="2"/>
        <v>0</v>
      </c>
      <c r="V49" s="15" t="str">
        <f t="shared" si="1"/>
        <v>101010902</v>
      </c>
      <c r="W49" s="39">
        <v>1</v>
      </c>
      <c r="X49" s="40" t="s">
        <v>632</v>
      </c>
      <c r="Y49" s="40" t="s">
        <v>632</v>
      </c>
      <c r="Z49" s="50" t="str">
        <f>Z48</f>
        <v>09</v>
      </c>
      <c r="AA49" s="40" t="s">
        <v>647</v>
      </c>
      <c r="AB49" s="41" t="s">
        <v>789</v>
      </c>
      <c r="AC49" s="519">
        <f>H49</f>
        <v>0</v>
      </c>
      <c r="AD49" s="517">
        <v>0</v>
      </c>
      <c r="AE49" s="517" t="s">
        <v>13309</v>
      </c>
      <c r="AF49" s="517" t="s">
        <v>790</v>
      </c>
      <c r="AG49" s="520" t="s">
        <v>791</v>
      </c>
      <c r="AH49" s="67">
        <f>AC49</f>
        <v>0</v>
      </c>
      <c r="AI49" s="10"/>
      <c r="AJ49" s="9">
        <f t="shared" si="6"/>
        <v>0</v>
      </c>
      <c r="AK49" s="10"/>
      <c r="AL49" s="10"/>
    </row>
    <row r="50" spans="1:38" ht="45" hidden="1">
      <c r="A50" s="1">
        <f t="shared" si="3"/>
        <v>0</v>
      </c>
      <c r="B50" s="2" t="s">
        <v>792</v>
      </c>
      <c r="C50" s="3" t="s">
        <v>793</v>
      </c>
      <c r="D50" s="15" t="s">
        <v>11363</v>
      </c>
      <c r="E50" s="4" t="s">
        <v>792</v>
      </c>
      <c r="F50" s="37" t="s">
        <v>793</v>
      </c>
      <c r="G50" s="38">
        <v>0</v>
      </c>
      <c r="H50" s="38">
        <v>0</v>
      </c>
      <c r="I50" s="15"/>
      <c r="J50" s="494">
        <v>10101090301</v>
      </c>
      <c r="K50" s="517"/>
      <c r="L50" s="517" t="s">
        <v>13310</v>
      </c>
      <c r="M50" s="517" t="s">
        <v>795</v>
      </c>
      <c r="N50" s="518" t="s">
        <v>796</v>
      </c>
      <c r="O50" s="517">
        <v>1</v>
      </c>
      <c r="P50" s="517" t="s">
        <v>632</v>
      </c>
      <c r="Q50" s="517" t="s">
        <v>632</v>
      </c>
      <c r="R50" s="517" t="s">
        <v>779</v>
      </c>
      <c r="S50" s="517" t="s">
        <v>671</v>
      </c>
      <c r="T50" s="518" t="s">
        <v>794</v>
      </c>
      <c r="U50" s="38">
        <f t="shared" si="2"/>
        <v>0</v>
      </c>
      <c r="V50" s="15" t="str">
        <f t="shared" si="1"/>
        <v>101010903</v>
      </c>
      <c r="W50" s="39">
        <v>1</v>
      </c>
      <c r="X50" s="40" t="s">
        <v>632</v>
      </c>
      <c r="Y50" s="40" t="s">
        <v>632</v>
      </c>
      <c r="Z50" s="50" t="str">
        <f>Z49</f>
        <v>09</v>
      </c>
      <c r="AA50" s="40" t="s">
        <v>671</v>
      </c>
      <c r="AB50" s="41" t="s">
        <v>794</v>
      </c>
      <c r="AC50" s="519">
        <f>H50</f>
        <v>0</v>
      </c>
      <c r="AD50" s="517">
        <v>0</v>
      </c>
      <c r="AE50" s="517" t="s">
        <v>13310</v>
      </c>
      <c r="AF50" s="517" t="s">
        <v>795</v>
      </c>
      <c r="AG50" s="520" t="s">
        <v>796</v>
      </c>
      <c r="AH50" s="67">
        <f>AC50</f>
        <v>0</v>
      </c>
      <c r="AI50" s="10"/>
      <c r="AJ50" s="9">
        <f t="shared" si="6"/>
        <v>0</v>
      </c>
      <c r="AK50" s="10"/>
      <c r="AL50" s="10"/>
    </row>
    <row r="51" spans="1:38" ht="22.5" hidden="1">
      <c r="A51" s="1">
        <f t="shared" si="3"/>
        <v>0</v>
      </c>
      <c r="B51" s="2" t="s">
        <v>797</v>
      </c>
      <c r="C51" s="3" t="s">
        <v>798</v>
      </c>
      <c r="D51" s="15" t="s">
        <v>11364</v>
      </c>
      <c r="E51" s="4" t="s">
        <v>797</v>
      </c>
      <c r="F51" s="37" t="s">
        <v>798</v>
      </c>
      <c r="G51" s="38">
        <v>0</v>
      </c>
      <c r="H51" s="38">
        <v>0</v>
      </c>
      <c r="I51" s="15"/>
      <c r="J51" s="494">
        <v>10101090401</v>
      </c>
      <c r="K51" s="517"/>
      <c r="L51" s="517" t="s">
        <v>13311</v>
      </c>
      <c r="M51" s="517" t="s">
        <v>780</v>
      </c>
      <c r="N51" s="518" t="s">
        <v>781</v>
      </c>
      <c r="O51" s="517">
        <v>1</v>
      </c>
      <c r="P51" s="517" t="s">
        <v>632</v>
      </c>
      <c r="Q51" s="517" t="s">
        <v>632</v>
      </c>
      <c r="R51" s="517" t="s">
        <v>779</v>
      </c>
      <c r="S51" s="517" t="s">
        <v>693</v>
      </c>
      <c r="T51" s="518" t="s">
        <v>799</v>
      </c>
      <c r="U51" s="38">
        <f t="shared" si="2"/>
        <v>0</v>
      </c>
      <c r="V51" s="15" t="str">
        <f t="shared" si="1"/>
        <v>101010904</v>
      </c>
      <c r="W51" s="39">
        <v>1</v>
      </c>
      <c r="X51" s="40" t="s">
        <v>632</v>
      </c>
      <c r="Y51" s="40" t="s">
        <v>632</v>
      </c>
      <c r="Z51" s="50" t="str">
        <f>Z50</f>
        <v>09</v>
      </c>
      <c r="AA51" s="40" t="s">
        <v>693</v>
      </c>
      <c r="AB51" s="41" t="s">
        <v>799</v>
      </c>
      <c r="AC51" s="519">
        <f>H51</f>
        <v>0</v>
      </c>
      <c r="AD51" s="517">
        <v>0</v>
      </c>
      <c r="AE51" s="517" t="s">
        <v>13311</v>
      </c>
      <c r="AF51" s="517" t="s">
        <v>780</v>
      </c>
      <c r="AG51" s="520" t="s">
        <v>781</v>
      </c>
      <c r="AH51" s="67">
        <f>AC51</f>
        <v>0</v>
      </c>
      <c r="AI51" s="10"/>
      <c r="AJ51" s="9">
        <f t="shared" si="6"/>
        <v>0</v>
      </c>
      <c r="AK51" s="10"/>
      <c r="AL51" s="10"/>
    </row>
    <row r="52" spans="1:38" ht="22.5" hidden="1">
      <c r="A52" s="1">
        <f t="shared" si="3"/>
        <v>0</v>
      </c>
      <c r="C52" s="3" t="s">
        <v>24</v>
      </c>
      <c r="D52" s="15" t="s">
        <v>16</v>
      </c>
      <c r="E52" s="24"/>
      <c r="F52" s="25" t="s">
        <v>24</v>
      </c>
      <c r="G52" s="26">
        <f>G53+G58+G63+G70+G99+G114+G123+G130+G132+G141-G143</f>
        <v>48692971.319999993</v>
      </c>
      <c r="H52" s="26">
        <f>H53+H58+H63+H70+H99+H114+H123+H130+H132+H141-H143</f>
        <v>46457922.630000003</v>
      </c>
      <c r="I52" s="500">
        <f>46457922.63-H52</f>
        <v>0</v>
      </c>
      <c r="J52" s="501"/>
      <c r="K52" s="509"/>
      <c r="L52" s="509" t="s">
        <v>800</v>
      </c>
      <c r="M52" s="509" t="s">
        <v>801</v>
      </c>
      <c r="N52" s="510" t="s">
        <v>802</v>
      </c>
      <c r="O52" s="509">
        <v>1</v>
      </c>
      <c r="P52" s="509" t="s">
        <v>632</v>
      </c>
      <c r="Q52" s="509" t="s">
        <v>647</v>
      </c>
      <c r="R52" s="509" t="s">
        <v>630</v>
      </c>
      <c r="S52" s="509" t="s">
        <v>630</v>
      </c>
      <c r="T52" s="510" t="s">
        <v>24</v>
      </c>
      <c r="U52" s="26">
        <f>U53+U58+U63+U70+U99+U114+U123+U130+U132+U141-U143</f>
        <v>46457922.630000003</v>
      </c>
      <c r="V52" s="15" t="str">
        <f t="shared" si="1"/>
        <v>101020000</v>
      </c>
      <c r="W52" s="27">
        <v>1</v>
      </c>
      <c r="X52" s="28" t="s">
        <v>632</v>
      </c>
      <c r="Y52" s="28" t="s">
        <v>647</v>
      </c>
      <c r="Z52" s="28" t="s">
        <v>630</v>
      </c>
      <c r="AA52" s="28" t="s">
        <v>630</v>
      </c>
      <c r="AB52" s="25" t="s">
        <v>24</v>
      </c>
      <c r="AC52" s="530">
        <f>AC53+AC58+AC63+AC70+AC99+AC114+AC123+AC130+AC132+AC141-AC143</f>
        <v>28454761.66</v>
      </c>
      <c r="AD52" s="509">
        <v>0</v>
      </c>
      <c r="AE52" s="509" t="s">
        <v>800</v>
      </c>
      <c r="AF52" s="509" t="s">
        <v>801</v>
      </c>
      <c r="AG52" s="510" t="s">
        <v>802</v>
      </c>
      <c r="AH52" s="53">
        <f>AH53+AH58+AH63+AH70+AH99+AH114+AH123+AH130+AH132+AH141-AH143</f>
        <v>28454761.66</v>
      </c>
      <c r="AI52" s="10"/>
      <c r="AJ52" s="9">
        <f t="shared" si="6"/>
        <v>-18003160.970000003</v>
      </c>
      <c r="AK52" s="10"/>
      <c r="AL52" s="10"/>
    </row>
    <row r="53" spans="1:38" hidden="1">
      <c r="A53" s="1">
        <f t="shared" si="3"/>
        <v>0</v>
      </c>
      <c r="C53" s="3" t="s">
        <v>803</v>
      </c>
      <c r="D53" s="15" t="s">
        <v>16</v>
      </c>
      <c r="E53" s="30"/>
      <c r="F53" s="31" t="s">
        <v>804</v>
      </c>
      <c r="G53" s="32">
        <f>SUM(G54:G57)</f>
        <v>0</v>
      </c>
      <c r="H53" s="32">
        <f>SUM(H54:H57)</f>
        <v>0</v>
      </c>
      <c r="I53" s="15"/>
      <c r="J53" s="494"/>
      <c r="K53" s="513"/>
      <c r="L53" s="513"/>
      <c r="M53" s="513"/>
      <c r="N53" s="514"/>
      <c r="O53" s="513"/>
      <c r="P53" s="513"/>
      <c r="Q53" s="513"/>
      <c r="R53" s="513"/>
      <c r="S53" s="513"/>
      <c r="T53" s="514"/>
      <c r="U53" s="32">
        <f>SUM(U54:U57)</f>
        <v>0</v>
      </c>
      <c r="V53" s="15" t="str">
        <f t="shared" si="1"/>
        <v>101020100</v>
      </c>
      <c r="W53" s="33">
        <v>1</v>
      </c>
      <c r="X53" s="34" t="s">
        <v>632</v>
      </c>
      <c r="Y53" s="34" t="s">
        <v>647</v>
      </c>
      <c r="Z53" s="34" t="s">
        <v>632</v>
      </c>
      <c r="AA53" s="35" t="s">
        <v>630</v>
      </c>
      <c r="AB53" s="31" t="s">
        <v>804</v>
      </c>
      <c r="AC53" s="529">
        <f>SUM(AC54:AC57)</f>
        <v>0</v>
      </c>
      <c r="AD53" s="513">
        <v>0</v>
      </c>
      <c r="AE53" s="513" t="s">
        <v>13329</v>
      </c>
      <c r="AF53" s="513" t="s">
        <v>805</v>
      </c>
      <c r="AG53" s="514" t="s">
        <v>13330</v>
      </c>
      <c r="AH53" s="44">
        <f>SUM(AH54:AH57)</f>
        <v>0</v>
      </c>
      <c r="AI53" s="10"/>
      <c r="AJ53" s="9">
        <f t="shared" si="6"/>
        <v>0</v>
      </c>
      <c r="AK53" s="10"/>
      <c r="AL53" s="10"/>
    </row>
    <row r="54" spans="1:38" hidden="1">
      <c r="A54" s="1">
        <f t="shared" si="3"/>
        <v>0</v>
      </c>
      <c r="B54" s="2" t="s">
        <v>806</v>
      </c>
      <c r="C54" s="3" t="s">
        <v>807</v>
      </c>
      <c r="D54" s="15" t="s">
        <v>11365</v>
      </c>
      <c r="E54" s="4" t="s">
        <v>806</v>
      </c>
      <c r="F54" s="37" t="s">
        <v>807</v>
      </c>
      <c r="G54" s="38">
        <v>0</v>
      </c>
      <c r="H54" s="38">
        <v>0</v>
      </c>
      <c r="I54" s="15"/>
      <c r="J54" s="494">
        <v>10102010101</v>
      </c>
      <c r="K54" s="517"/>
      <c r="L54" s="517" t="s">
        <v>13312</v>
      </c>
      <c r="M54" s="517" t="s">
        <v>148</v>
      </c>
      <c r="N54" s="518" t="s">
        <v>808</v>
      </c>
      <c r="O54" s="517">
        <v>1</v>
      </c>
      <c r="P54" s="517" t="s">
        <v>632</v>
      </c>
      <c r="Q54" s="517" t="s">
        <v>647</v>
      </c>
      <c r="R54" s="517" t="s">
        <v>632</v>
      </c>
      <c r="S54" s="517" t="s">
        <v>632</v>
      </c>
      <c r="T54" s="518" t="s">
        <v>134</v>
      </c>
      <c r="U54" s="38">
        <f t="shared" si="2"/>
        <v>0</v>
      </c>
      <c r="V54" s="15" t="str">
        <f t="shared" si="1"/>
        <v>101020101</v>
      </c>
      <c r="W54" s="39">
        <v>1</v>
      </c>
      <c r="X54" s="40" t="s">
        <v>632</v>
      </c>
      <c r="Y54" s="40" t="s">
        <v>647</v>
      </c>
      <c r="Z54" s="40" t="s">
        <v>632</v>
      </c>
      <c r="AA54" s="40" t="s">
        <v>632</v>
      </c>
      <c r="AB54" s="41" t="s">
        <v>134</v>
      </c>
      <c r="AC54" s="519">
        <f>H54+H55+H56</f>
        <v>0</v>
      </c>
      <c r="AD54" s="517">
        <v>0</v>
      </c>
      <c r="AE54" s="517" t="s">
        <v>13312</v>
      </c>
      <c r="AF54" s="517" t="s">
        <v>148</v>
      </c>
      <c r="AG54" s="520" t="s">
        <v>808</v>
      </c>
      <c r="AH54" s="67">
        <f>AC54</f>
        <v>0</v>
      </c>
      <c r="AI54" s="10"/>
      <c r="AJ54" s="9">
        <f t="shared" si="6"/>
        <v>0</v>
      </c>
      <c r="AK54" s="10"/>
      <c r="AL54" s="10"/>
    </row>
    <row r="55" spans="1:38" hidden="1">
      <c r="A55" s="1">
        <f t="shared" si="3"/>
        <v>0</v>
      </c>
      <c r="B55" s="2" t="s">
        <v>809</v>
      </c>
      <c r="C55" s="3" t="s">
        <v>810</v>
      </c>
      <c r="D55" s="15" t="s">
        <v>11365</v>
      </c>
      <c r="E55" s="4" t="s">
        <v>809</v>
      </c>
      <c r="F55" s="37" t="s">
        <v>810</v>
      </c>
      <c r="G55" s="38">
        <v>0</v>
      </c>
      <c r="H55" s="38">
        <v>0</v>
      </c>
      <c r="I55" s="15"/>
      <c r="J55" s="494">
        <v>10102010102</v>
      </c>
      <c r="K55" s="517"/>
      <c r="L55" s="517" t="s">
        <v>13312</v>
      </c>
      <c r="M55" s="517" t="s">
        <v>148</v>
      </c>
      <c r="N55" s="518" t="s">
        <v>808</v>
      </c>
      <c r="O55" s="517">
        <v>1</v>
      </c>
      <c r="P55" s="517" t="s">
        <v>632</v>
      </c>
      <c r="Q55" s="517" t="s">
        <v>647</v>
      </c>
      <c r="R55" s="517" t="s">
        <v>632</v>
      </c>
      <c r="S55" s="517" t="s">
        <v>632</v>
      </c>
      <c r="T55" s="518" t="s">
        <v>134</v>
      </c>
      <c r="U55" s="38">
        <f t="shared" si="2"/>
        <v>0</v>
      </c>
      <c r="V55" s="15" t="str">
        <f t="shared" si="1"/>
        <v>101020101</v>
      </c>
      <c r="W55" s="39">
        <v>1</v>
      </c>
      <c r="X55" s="40" t="s">
        <v>632</v>
      </c>
      <c r="Y55" s="40" t="s">
        <v>647</v>
      </c>
      <c r="Z55" s="40" t="s">
        <v>632</v>
      </c>
      <c r="AA55" s="40" t="s">
        <v>632</v>
      </c>
      <c r="AB55" s="41" t="s">
        <v>134</v>
      </c>
      <c r="AC55" s="9"/>
      <c r="AD55" s="517">
        <v>0</v>
      </c>
      <c r="AE55" s="517" t="s">
        <v>13312</v>
      </c>
      <c r="AF55" s="517" t="s">
        <v>148</v>
      </c>
      <c r="AG55" s="520" t="s">
        <v>808</v>
      </c>
      <c r="AH55" s="9"/>
      <c r="AI55" s="10"/>
      <c r="AJ55" s="9">
        <f t="shared" si="6"/>
        <v>0</v>
      </c>
      <c r="AK55" s="10"/>
      <c r="AL55" s="10"/>
    </row>
    <row r="56" spans="1:38" hidden="1">
      <c r="A56" s="1">
        <f t="shared" si="3"/>
        <v>0</v>
      </c>
      <c r="B56" s="2" t="s">
        <v>811</v>
      </c>
      <c r="C56" s="3" t="s">
        <v>812</v>
      </c>
      <c r="D56" s="15" t="s">
        <v>11365</v>
      </c>
      <c r="E56" s="4" t="s">
        <v>811</v>
      </c>
      <c r="F56" s="37" t="s">
        <v>812</v>
      </c>
      <c r="G56" s="38">
        <v>0</v>
      </c>
      <c r="H56" s="38">
        <v>0</v>
      </c>
      <c r="I56" s="15"/>
      <c r="J56" s="494">
        <v>10102010103</v>
      </c>
      <c r="L56" s="523" t="s">
        <v>13312</v>
      </c>
      <c r="M56" s="523" t="s">
        <v>148</v>
      </c>
      <c r="N56" s="518" t="s">
        <v>808</v>
      </c>
      <c r="O56" s="523">
        <v>1</v>
      </c>
      <c r="P56" s="523" t="s">
        <v>632</v>
      </c>
      <c r="Q56" s="523" t="s">
        <v>647</v>
      </c>
      <c r="R56" s="523" t="s">
        <v>632</v>
      </c>
      <c r="S56" s="523" t="s">
        <v>632</v>
      </c>
      <c r="T56" s="518" t="s">
        <v>134</v>
      </c>
      <c r="U56" s="38">
        <f t="shared" si="2"/>
        <v>0</v>
      </c>
      <c r="V56" s="15" t="str">
        <f t="shared" si="1"/>
        <v>101020101</v>
      </c>
      <c r="W56" s="39">
        <v>1</v>
      </c>
      <c r="X56" s="40" t="s">
        <v>632</v>
      </c>
      <c r="Y56" s="40" t="s">
        <v>647</v>
      </c>
      <c r="Z56" s="40" t="s">
        <v>632</v>
      </c>
      <c r="AA56" s="40" t="s">
        <v>632</v>
      </c>
      <c r="AB56" s="41" t="s">
        <v>134</v>
      </c>
      <c r="AC56" s="9"/>
      <c r="AD56" s="523">
        <v>0</v>
      </c>
      <c r="AE56" s="523" t="s">
        <v>13312</v>
      </c>
      <c r="AF56" s="523" t="s">
        <v>148</v>
      </c>
      <c r="AG56" s="524" t="s">
        <v>808</v>
      </c>
      <c r="AH56" s="9"/>
      <c r="AI56" s="10"/>
      <c r="AJ56" s="9">
        <f t="shared" si="6"/>
        <v>0</v>
      </c>
      <c r="AK56" s="10"/>
      <c r="AL56" s="10"/>
    </row>
    <row r="57" spans="1:38" hidden="1">
      <c r="A57" s="1">
        <f t="shared" si="3"/>
        <v>0</v>
      </c>
      <c r="B57" s="2" t="s">
        <v>813</v>
      </c>
      <c r="C57" s="3" t="s">
        <v>814</v>
      </c>
      <c r="D57" s="15" t="s">
        <v>11366</v>
      </c>
      <c r="E57" s="4" t="s">
        <v>813</v>
      </c>
      <c r="F57" s="37" t="s">
        <v>814</v>
      </c>
      <c r="G57" s="38">
        <v>0</v>
      </c>
      <c r="H57" s="38">
        <v>0</v>
      </c>
      <c r="I57" s="15"/>
      <c r="J57" s="494">
        <v>10102010201</v>
      </c>
      <c r="K57" s="517"/>
      <c r="L57" s="517" t="s">
        <v>13313</v>
      </c>
      <c r="M57" s="517" t="s">
        <v>149</v>
      </c>
      <c r="N57" s="518" t="s">
        <v>815</v>
      </c>
      <c r="O57" s="517">
        <v>1</v>
      </c>
      <c r="P57" s="517" t="s">
        <v>632</v>
      </c>
      <c r="Q57" s="517" t="s">
        <v>647</v>
      </c>
      <c r="R57" s="517" t="s">
        <v>632</v>
      </c>
      <c r="S57" s="517" t="s">
        <v>647</v>
      </c>
      <c r="T57" s="518" t="s">
        <v>25</v>
      </c>
      <c r="U57" s="38">
        <f t="shared" si="2"/>
        <v>0</v>
      </c>
      <c r="V57" s="15" t="str">
        <f t="shared" si="1"/>
        <v>101020102</v>
      </c>
      <c r="W57" s="39">
        <v>1</v>
      </c>
      <c r="X57" s="40" t="s">
        <v>632</v>
      </c>
      <c r="Y57" s="40" t="s">
        <v>647</v>
      </c>
      <c r="Z57" s="40" t="s">
        <v>632</v>
      </c>
      <c r="AA57" s="40" t="s">
        <v>647</v>
      </c>
      <c r="AB57" s="41" t="s">
        <v>25</v>
      </c>
      <c r="AC57" s="519">
        <f>H57</f>
        <v>0</v>
      </c>
      <c r="AD57" s="517">
        <v>0</v>
      </c>
      <c r="AE57" s="517" t="s">
        <v>13313</v>
      </c>
      <c r="AF57" s="517" t="s">
        <v>149</v>
      </c>
      <c r="AG57" s="520" t="s">
        <v>815</v>
      </c>
      <c r="AH57" s="67">
        <f>AC57</f>
        <v>0</v>
      </c>
      <c r="AI57" s="10"/>
      <c r="AJ57" s="9">
        <f t="shared" si="6"/>
        <v>0</v>
      </c>
      <c r="AK57" s="10"/>
      <c r="AL57" s="10"/>
    </row>
    <row r="58" spans="1:38" ht="33.75" hidden="1">
      <c r="A58" s="1">
        <f t="shared" si="3"/>
        <v>0</v>
      </c>
      <c r="C58" s="3" t="s">
        <v>816</v>
      </c>
      <c r="D58" s="15" t="s">
        <v>16</v>
      </c>
      <c r="E58" s="30"/>
      <c r="F58" s="31" t="s">
        <v>817</v>
      </c>
      <c r="G58" s="32">
        <f>G59+G60-G61-G62</f>
        <v>287550.70999999996</v>
      </c>
      <c r="H58" s="32">
        <f>H59+H60-H61-H62</f>
        <v>240555.97999999998</v>
      </c>
      <c r="I58" s="507"/>
      <c r="J58" s="508"/>
      <c r="K58" s="513"/>
      <c r="L58" s="513"/>
      <c r="M58" s="513"/>
      <c r="N58" s="514"/>
      <c r="O58" s="513"/>
      <c r="P58" s="513"/>
      <c r="Q58" s="513"/>
      <c r="R58" s="513"/>
      <c r="S58" s="513"/>
      <c r="T58" s="514"/>
      <c r="U58" s="32">
        <f>U59+U60-U61-U62</f>
        <v>240555.97999999998</v>
      </c>
      <c r="V58" s="15" t="str">
        <f t="shared" si="1"/>
        <v>101020200</v>
      </c>
      <c r="W58" s="33">
        <v>1</v>
      </c>
      <c r="X58" s="34" t="s">
        <v>632</v>
      </c>
      <c r="Y58" s="34" t="s">
        <v>647</v>
      </c>
      <c r="Z58" s="35" t="s">
        <v>647</v>
      </c>
      <c r="AA58" s="35" t="s">
        <v>630</v>
      </c>
      <c r="AB58" s="31" t="s">
        <v>817</v>
      </c>
      <c r="AC58" s="529">
        <f>AC59+AC60-AC61-AC62</f>
        <v>240555.97999999998</v>
      </c>
      <c r="AD58" s="513">
        <v>0</v>
      </c>
      <c r="AE58" s="513" t="s">
        <v>13331</v>
      </c>
      <c r="AF58" s="513" t="s">
        <v>150</v>
      </c>
      <c r="AG58" s="514" t="s">
        <v>818</v>
      </c>
      <c r="AH58" s="54">
        <f>AH59+AH60-AH61-AH62</f>
        <v>240555.97999999998</v>
      </c>
      <c r="AI58" s="10"/>
      <c r="AJ58" s="9">
        <f t="shared" si="6"/>
        <v>0</v>
      </c>
      <c r="AK58" s="10"/>
      <c r="AL58" s="10"/>
    </row>
    <row r="59" spans="1:38" ht="22.5" hidden="1">
      <c r="A59" s="1">
        <f t="shared" si="3"/>
        <v>0</v>
      </c>
      <c r="B59" s="2" t="s">
        <v>819</v>
      </c>
      <c r="C59" s="3" t="s">
        <v>820</v>
      </c>
      <c r="D59" s="15" t="s">
        <v>11367</v>
      </c>
      <c r="E59" s="4" t="s">
        <v>819</v>
      </c>
      <c r="F59" s="37" t="s">
        <v>820</v>
      </c>
      <c r="G59" s="38">
        <v>655743.44999999995</v>
      </c>
      <c r="H59" s="38">
        <v>655743.44999999995</v>
      </c>
      <c r="I59" s="15"/>
      <c r="J59" s="494">
        <v>10102020101</v>
      </c>
      <c r="K59" s="517"/>
      <c r="L59" s="517" t="s">
        <v>13314</v>
      </c>
      <c r="M59" s="517" t="s">
        <v>822</v>
      </c>
      <c r="N59" s="518" t="s">
        <v>823</v>
      </c>
      <c r="O59" s="517">
        <v>1</v>
      </c>
      <c r="P59" s="517" t="s">
        <v>632</v>
      </c>
      <c r="Q59" s="517" t="s">
        <v>647</v>
      </c>
      <c r="R59" s="517" t="s">
        <v>647</v>
      </c>
      <c r="S59" s="517" t="s">
        <v>632</v>
      </c>
      <c r="T59" s="518" t="s">
        <v>821</v>
      </c>
      <c r="U59" s="38">
        <f t="shared" si="2"/>
        <v>655743.44999999995</v>
      </c>
      <c r="V59" s="15" t="str">
        <f t="shared" si="1"/>
        <v>101020201</v>
      </c>
      <c r="W59" s="39">
        <v>1</v>
      </c>
      <c r="X59" s="40" t="s">
        <v>632</v>
      </c>
      <c r="Y59" s="40" t="s">
        <v>647</v>
      </c>
      <c r="Z59" s="40" t="s">
        <v>647</v>
      </c>
      <c r="AA59" s="40" t="s">
        <v>632</v>
      </c>
      <c r="AB59" s="41" t="s">
        <v>821</v>
      </c>
      <c r="AC59" s="519">
        <f>H59+H60</f>
        <v>655743.44999999995</v>
      </c>
      <c r="AD59" s="517">
        <v>0</v>
      </c>
      <c r="AE59" s="517" t="s">
        <v>13314</v>
      </c>
      <c r="AF59" s="517" t="s">
        <v>822</v>
      </c>
      <c r="AG59" s="520" t="s">
        <v>823</v>
      </c>
      <c r="AH59" s="67">
        <f>AC59</f>
        <v>655743.44999999995</v>
      </c>
      <c r="AI59" s="10"/>
      <c r="AJ59" s="9">
        <f t="shared" si="6"/>
        <v>0</v>
      </c>
      <c r="AK59" s="10"/>
      <c r="AL59" s="10"/>
    </row>
    <row r="60" spans="1:38" ht="22.5" hidden="1">
      <c r="A60" s="1">
        <f t="shared" si="3"/>
        <v>0</v>
      </c>
      <c r="B60" s="2" t="s">
        <v>824</v>
      </c>
      <c r="C60" s="3" t="s">
        <v>825</v>
      </c>
      <c r="D60" s="15" t="s">
        <v>11367</v>
      </c>
      <c r="E60" s="4" t="s">
        <v>824</v>
      </c>
      <c r="F60" s="37" t="s">
        <v>825</v>
      </c>
      <c r="G60" s="38">
        <v>0</v>
      </c>
      <c r="H60" s="38">
        <v>0</v>
      </c>
      <c r="I60" s="15"/>
      <c r="J60" s="494">
        <v>10102020102</v>
      </c>
      <c r="K60" s="517"/>
      <c r="L60" s="517" t="s">
        <v>13314</v>
      </c>
      <c r="M60" s="517" t="s">
        <v>822</v>
      </c>
      <c r="N60" s="518" t="s">
        <v>823</v>
      </c>
      <c r="O60" s="517">
        <v>1</v>
      </c>
      <c r="P60" s="517" t="s">
        <v>632</v>
      </c>
      <c r="Q60" s="517" t="s">
        <v>647</v>
      </c>
      <c r="R60" s="517" t="s">
        <v>647</v>
      </c>
      <c r="S60" s="517" t="s">
        <v>632</v>
      </c>
      <c r="T60" s="518" t="s">
        <v>821</v>
      </c>
      <c r="U60" s="38">
        <f t="shared" si="2"/>
        <v>0</v>
      </c>
      <c r="V60" s="15" t="str">
        <f t="shared" si="1"/>
        <v>101020201</v>
      </c>
      <c r="W60" s="39">
        <v>1</v>
      </c>
      <c r="X60" s="40" t="s">
        <v>632</v>
      </c>
      <c r="Y60" s="40" t="s">
        <v>647</v>
      </c>
      <c r="Z60" s="40" t="s">
        <v>647</v>
      </c>
      <c r="AA60" s="40" t="s">
        <v>632</v>
      </c>
      <c r="AB60" s="41" t="s">
        <v>821</v>
      </c>
      <c r="AC60" s="9"/>
      <c r="AD60" s="517">
        <v>0</v>
      </c>
      <c r="AE60" s="517" t="s">
        <v>13314</v>
      </c>
      <c r="AF60" s="517" t="s">
        <v>822</v>
      </c>
      <c r="AG60" s="520" t="s">
        <v>823</v>
      </c>
      <c r="AH60" s="9"/>
      <c r="AI60" s="10"/>
      <c r="AJ60" s="9">
        <f t="shared" si="6"/>
        <v>0</v>
      </c>
      <c r="AK60" s="10"/>
      <c r="AL60" s="10"/>
    </row>
    <row r="61" spans="1:38" ht="33.75" hidden="1">
      <c r="A61" s="1">
        <f t="shared" si="3"/>
        <v>0</v>
      </c>
      <c r="B61" s="2" t="s">
        <v>826</v>
      </c>
      <c r="C61" s="3" t="s">
        <v>827</v>
      </c>
      <c r="D61" s="15" t="s">
        <v>11368</v>
      </c>
      <c r="E61" s="4" t="s">
        <v>826</v>
      </c>
      <c r="F61" s="37" t="s">
        <v>827</v>
      </c>
      <c r="G61" s="38">
        <v>368192.74</v>
      </c>
      <c r="H61" s="38">
        <v>415187.47</v>
      </c>
      <c r="I61" s="15"/>
      <c r="J61" s="494">
        <v>10102020201</v>
      </c>
      <c r="K61" s="517"/>
      <c r="L61" s="517" t="s">
        <v>13315</v>
      </c>
      <c r="M61" s="517" t="s">
        <v>829</v>
      </c>
      <c r="N61" s="518" t="s">
        <v>830</v>
      </c>
      <c r="O61" s="517">
        <v>1</v>
      </c>
      <c r="P61" s="517" t="s">
        <v>632</v>
      </c>
      <c r="Q61" s="517" t="s">
        <v>647</v>
      </c>
      <c r="R61" s="517" t="s">
        <v>647</v>
      </c>
      <c r="S61" s="517" t="s">
        <v>647</v>
      </c>
      <c r="T61" s="518" t="s">
        <v>828</v>
      </c>
      <c r="U61" s="38">
        <f t="shared" si="2"/>
        <v>415187.47</v>
      </c>
      <c r="V61" s="15" t="str">
        <f t="shared" si="1"/>
        <v>101020202</v>
      </c>
      <c r="W61" s="39">
        <v>1</v>
      </c>
      <c r="X61" s="40" t="s">
        <v>632</v>
      </c>
      <c r="Y61" s="40" t="s">
        <v>647</v>
      </c>
      <c r="Z61" s="40" t="s">
        <v>647</v>
      </c>
      <c r="AA61" s="40" t="s">
        <v>647</v>
      </c>
      <c r="AB61" s="41" t="s">
        <v>828</v>
      </c>
      <c r="AC61" s="519">
        <f>H61+H62</f>
        <v>415187.47</v>
      </c>
      <c r="AD61" s="517">
        <v>0</v>
      </c>
      <c r="AE61" s="517" t="s">
        <v>13315</v>
      </c>
      <c r="AF61" s="517" t="s">
        <v>829</v>
      </c>
      <c r="AG61" s="520" t="s">
        <v>830</v>
      </c>
      <c r="AH61" s="67">
        <f>AC61</f>
        <v>415187.47</v>
      </c>
      <c r="AI61" s="10"/>
      <c r="AJ61" s="9">
        <f t="shared" si="6"/>
        <v>0</v>
      </c>
      <c r="AK61" s="10"/>
      <c r="AL61" s="10"/>
    </row>
    <row r="62" spans="1:38" ht="33.75" hidden="1">
      <c r="A62" s="1">
        <f t="shared" si="3"/>
        <v>0</v>
      </c>
      <c r="B62" s="2" t="s">
        <v>831</v>
      </c>
      <c r="C62" s="3" t="s">
        <v>832</v>
      </c>
      <c r="D62" s="15" t="s">
        <v>11368</v>
      </c>
      <c r="E62" s="4" t="s">
        <v>831</v>
      </c>
      <c r="F62" s="37" t="s">
        <v>832</v>
      </c>
      <c r="G62" s="38">
        <v>0</v>
      </c>
      <c r="H62" s="38">
        <v>0</v>
      </c>
      <c r="I62" s="15"/>
      <c r="J62" s="494">
        <v>10102020202</v>
      </c>
      <c r="L62" s="523" t="s">
        <v>13315</v>
      </c>
      <c r="M62" s="523" t="s">
        <v>829</v>
      </c>
      <c r="N62" s="518" t="s">
        <v>830</v>
      </c>
      <c r="O62" s="523">
        <v>1</v>
      </c>
      <c r="P62" s="523" t="s">
        <v>632</v>
      </c>
      <c r="Q62" s="523" t="s">
        <v>647</v>
      </c>
      <c r="R62" s="523" t="s">
        <v>647</v>
      </c>
      <c r="S62" s="523" t="s">
        <v>647</v>
      </c>
      <c r="T62" s="518" t="s">
        <v>828</v>
      </c>
      <c r="U62" s="38">
        <f t="shared" si="2"/>
        <v>0</v>
      </c>
      <c r="V62" s="15" t="str">
        <f t="shared" si="1"/>
        <v>101020202</v>
      </c>
      <c r="W62" s="39">
        <v>1</v>
      </c>
      <c r="X62" s="40" t="s">
        <v>632</v>
      </c>
      <c r="Y62" s="40" t="s">
        <v>647</v>
      </c>
      <c r="Z62" s="40" t="s">
        <v>647</v>
      </c>
      <c r="AA62" s="40" t="s">
        <v>647</v>
      </c>
      <c r="AB62" s="41" t="s">
        <v>828</v>
      </c>
      <c r="AC62" s="9"/>
      <c r="AD62" s="523">
        <v>0</v>
      </c>
      <c r="AE62" s="523" t="s">
        <v>13315</v>
      </c>
      <c r="AF62" s="523" t="s">
        <v>829</v>
      </c>
      <c r="AG62" s="524" t="s">
        <v>830</v>
      </c>
      <c r="AH62" s="9"/>
      <c r="AI62" s="10"/>
      <c r="AJ62" s="9">
        <f t="shared" si="6"/>
        <v>0</v>
      </c>
      <c r="AK62" s="10"/>
      <c r="AL62" s="10"/>
    </row>
    <row r="63" spans="1:38" ht="33.75" hidden="1">
      <c r="A63" s="1">
        <f t="shared" si="3"/>
        <v>0</v>
      </c>
      <c r="C63" s="3" t="s">
        <v>833</v>
      </c>
      <c r="D63" s="15" t="s">
        <v>16</v>
      </c>
      <c r="E63" s="30"/>
      <c r="F63" s="31" t="s">
        <v>834</v>
      </c>
      <c r="G63" s="32">
        <f>G64-G65-G66-G67-G68-G69</f>
        <v>0</v>
      </c>
      <c r="H63" s="32">
        <f>H64-H65-H66-H67-H68-H69</f>
        <v>0</v>
      </c>
      <c r="I63" s="15"/>
      <c r="J63" s="494"/>
      <c r="K63" s="513"/>
      <c r="L63" s="513"/>
      <c r="M63" s="513"/>
      <c r="N63" s="514"/>
      <c r="O63" s="513"/>
      <c r="P63" s="513"/>
      <c r="Q63" s="513"/>
      <c r="R63" s="513"/>
      <c r="S63" s="513"/>
      <c r="T63" s="514"/>
      <c r="U63" s="32">
        <f>U64-U65-U66-U67-U68-U69</f>
        <v>0</v>
      </c>
      <c r="V63" s="15" t="str">
        <f t="shared" si="1"/>
        <v>101020300</v>
      </c>
      <c r="W63" s="33">
        <v>1</v>
      </c>
      <c r="X63" s="34" t="s">
        <v>632</v>
      </c>
      <c r="Y63" s="34" t="s">
        <v>647</v>
      </c>
      <c r="Z63" s="35" t="s">
        <v>671</v>
      </c>
      <c r="AA63" s="35" t="s">
        <v>630</v>
      </c>
      <c r="AB63" s="31" t="s">
        <v>834</v>
      </c>
      <c r="AC63" s="529">
        <f>AC64-AC65-AC66-AC67-AC68-AC69</f>
        <v>0</v>
      </c>
      <c r="AD63" s="513">
        <v>0</v>
      </c>
      <c r="AE63" s="513" t="s">
        <v>13316</v>
      </c>
      <c r="AF63" s="513" t="s">
        <v>839</v>
      </c>
      <c r="AG63" s="514" t="s">
        <v>835</v>
      </c>
      <c r="AH63" s="44">
        <f>AH64-AH65-AH66-AH67-AH68-AH69</f>
        <v>0</v>
      </c>
      <c r="AI63" s="10"/>
      <c r="AJ63" s="9">
        <f t="shared" si="6"/>
        <v>0</v>
      </c>
      <c r="AK63" s="10"/>
      <c r="AL63" s="10"/>
    </row>
    <row r="64" spans="1:38" ht="22.5" hidden="1">
      <c r="A64" s="1">
        <f t="shared" si="3"/>
        <v>0</v>
      </c>
      <c r="B64" s="2" t="s">
        <v>836</v>
      </c>
      <c r="C64" s="3" t="s">
        <v>837</v>
      </c>
      <c r="D64" s="15" t="s">
        <v>11369</v>
      </c>
      <c r="E64" s="4" t="s">
        <v>836</v>
      </c>
      <c r="F64" s="37" t="s">
        <v>837</v>
      </c>
      <c r="G64" s="38">
        <v>0</v>
      </c>
      <c r="H64" s="38">
        <v>0</v>
      </c>
      <c r="I64" s="15"/>
      <c r="J64" s="494">
        <v>10102030101</v>
      </c>
      <c r="K64" s="517"/>
      <c r="L64" s="517" t="s">
        <v>13316</v>
      </c>
      <c r="M64" s="517" t="s">
        <v>839</v>
      </c>
      <c r="N64" s="518" t="s">
        <v>835</v>
      </c>
      <c r="O64" s="517">
        <v>1</v>
      </c>
      <c r="P64" s="517" t="s">
        <v>632</v>
      </c>
      <c r="Q64" s="517" t="s">
        <v>647</v>
      </c>
      <c r="R64" s="517" t="s">
        <v>671</v>
      </c>
      <c r="S64" s="517" t="s">
        <v>632</v>
      </c>
      <c r="T64" s="518" t="s">
        <v>838</v>
      </c>
      <c r="U64" s="38">
        <f t="shared" si="2"/>
        <v>0</v>
      </c>
      <c r="V64" s="15" t="str">
        <f t="shared" si="1"/>
        <v>101020301</v>
      </c>
      <c r="W64" s="39">
        <v>1</v>
      </c>
      <c r="X64" s="40" t="s">
        <v>632</v>
      </c>
      <c r="Y64" s="40" t="s">
        <v>647</v>
      </c>
      <c r="Z64" s="40" t="s">
        <v>671</v>
      </c>
      <c r="AA64" s="40" t="s">
        <v>632</v>
      </c>
      <c r="AB64" s="41" t="s">
        <v>838</v>
      </c>
      <c r="AC64" s="519">
        <f>H64</f>
        <v>0</v>
      </c>
      <c r="AD64" s="517">
        <v>0</v>
      </c>
      <c r="AE64" s="517" t="s">
        <v>13316</v>
      </c>
      <c r="AF64" s="517" t="s">
        <v>839</v>
      </c>
      <c r="AG64" s="520" t="s">
        <v>835</v>
      </c>
      <c r="AH64" s="67">
        <f>AC64</f>
        <v>0</v>
      </c>
      <c r="AI64" s="10"/>
      <c r="AJ64" s="9">
        <f t="shared" si="6"/>
        <v>0</v>
      </c>
      <c r="AK64" s="10"/>
      <c r="AL64" s="10"/>
    </row>
    <row r="65" spans="1:38" ht="33.75" hidden="1">
      <c r="A65" s="1">
        <f t="shared" si="3"/>
        <v>0</v>
      </c>
      <c r="B65" s="2" t="s">
        <v>840</v>
      </c>
      <c r="C65" s="3" t="s">
        <v>841</v>
      </c>
      <c r="D65" s="15" t="s">
        <v>11370</v>
      </c>
      <c r="E65" s="4" t="s">
        <v>840</v>
      </c>
      <c r="F65" s="37" t="s">
        <v>841</v>
      </c>
      <c r="G65" s="38">
        <v>0</v>
      </c>
      <c r="H65" s="38">
        <v>0</v>
      </c>
      <c r="I65" s="15"/>
      <c r="J65" s="494">
        <v>10102030201</v>
      </c>
      <c r="K65" s="517"/>
      <c r="L65" s="517" t="s">
        <v>13317</v>
      </c>
      <c r="M65" s="517" t="s">
        <v>843</v>
      </c>
      <c r="N65" s="518" t="s">
        <v>844</v>
      </c>
      <c r="O65" s="517">
        <v>1</v>
      </c>
      <c r="P65" s="517" t="s">
        <v>632</v>
      </c>
      <c r="Q65" s="517" t="s">
        <v>647</v>
      </c>
      <c r="R65" s="517" t="s">
        <v>671</v>
      </c>
      <c r="S65" s="517" t="s">
        <v>647</v>
      </c>
      <c r="T65" s="518" t="s">
        <v>842</v>
      </c>
      <c r="U65" s="38">
        <f t="shared" si="2"/>
        <v>0</v>
      </c>
      <c r="V65" s="15" t="str">
        <f t="shared" si="1"/>
        <v>101020302</v>
      </c>
      <c r="W65" s="39">
        <v>1</v>
      </c>
      <c r="X65" s="40" t="s">
        <v>632</v>
      </c>
      <c r="Y65" s="40" t="s">
        <v>647</v>
      </c>
      <c r="Z65" s="40" t="s">
        <v>671</v>
      </c>
      <c r="AA65" s="40" t="s">
        <v>647</v>
      </c>
      <c r="AB65" s="41" t="s">
        <v>842</v>
      </c>
      <c r="AC65" s="519">
        <f>H65+H66+H67+H68+H69</f>
        <v>0</v>
      </c>
      <c r="AD65" s="517">
        <v>0</v>
      </c>
      <c r="AE65" s="517" t="s">
        <v>13317</v>
      </c>
      <c r="AF65" s="517" t="s">
        <v>843</v>
      </c>
      <c r="AG65" s="520" t="s">
        <v>844</v>
      </c>
      <c r="AH65" s="67">
        <f>AC65</f>
        <v>0</v>
      </c>
      <c r="AI65" s="10"/>
      <c r="AJ65" s="9">
        <f t="shared" si="6"/>
        <v>0</v>
      </c>
      <c r="AK65" s="10"/>
      <c r="AL65" s="10"/>
    </row>
    <row r="66" spans="1:38" ht="33.75" hidden="1">
      <c r="A66" s="1">
        <f t="shared" si="3"/>
        <v>0</v>
      </c>
      <c r="B66" s="2" t="s">
        <v>845</v>
      </c>
      <c r="C66" s="3" t="s">
        <v>846</v>
      </c>
      <c r="D66" s="15" t="s">
        <v>11370</v>
      </c>
      <c r="E66" s="4" t="s">
        <v>845</v>
      </c>
      <c r="F66" s="37" t="s">
        <v>846</v>
      </c>
      <c r="G66" s="38">
        <v>0</v>
      </c>
      <c r="H66" s="38">
        <v>0</v>
      </c>
      <c r="I66" s="15"/>
      <c r="J66" s="494">
        <v>10102030202</v>
      </c>
      <c r="L66" s="523" t="s">
        <v>13317</v>
      </c>
      <c r="M66" s="523" t="s">
        <v>843</v>
      </c>
      <c r="N66" s="518" t="s">
        <v>844</v>
      </c>
      <c r="O66" s="523">
        <v>1</v>
      </c>
      <c r="P66" s="523" t="s">
        <v>632</v>
      </c>
      <c r="Q66" s="523" t="s">
        <v>647</v>
      </c>
      <c r="R66" s="523" t="s">
        <v>671</v>
      </c>
      <c r="S66" s="523" t="s">
        <v>647</v>
      </c>
      <c r="T66" s="518" t="s">
        <v>842</v>
      </c>
      <c r="U66" s="38">
        <f t="shared" si="2"/>
        <v>0</v>
      </c>
      <c r="V66" s="15" t="str">
        <f t="shared" si="1"/>
        <v>101020302</v>
      </c>
      <c r="W66" s="39">
        <v>1</v>
      </c>
      <c r="X66" s="40" t="s">
        <v>632</v>
      </c>
      <c r="Y66" s="40" t="s">
        <v>647</v>
      </c>
      <c r="Z66" s="40" t="s">
        <v>671</v>
      </c>
      <c r="AA66" s="40" t="s">
        <v>647</v>
      </c>
      <c r="AB66" s="41" t="s">
        <v>842</v>
      </c>
      <c r="AC66" s="9"/>
      <c r="AD66" s="523">
        <v>0</v>
      </c>
      <c r="AE66" s="523" t="s">
        <v>13317</v>
      </c>
      <c r="AF66" s="523" t="s">
        <v>843</v>
      </c>
      <c r="AG66" s="524" t="s">
        <v>844</v>
      </c>
      <c r="AH66" s="9"/>
      <c r="AI66" s="10"/>
      <c r="AJ66" s="9">
        <f t="shared" si="6"/>
        <v>0</v>
      </c>
      <c r="AK66" s="10"/>
      <c r="AL66" s="10"/>
    </row>
    <row r="67" spans="1:38" ht="33.75" hidden="1">
      <c r="A67" s="1">
        <f t="shared" si="3"/>
        <v>0</v>
      </c>
      <c r="B67" s="2" t="s">
        <v>847</v>
      </c>
      <c r="C67" s="3" t="s">
        <v>848</v>
      </c>
      <c r="D67" s="15" t="s">
        <v>11370</v>
      </c>
      <c r="E67" s="4" t="s">
        <v>847</v>
      </c>
      <c r="F67" s="37" t="s">
        <v>848</v>
      </c>
      <c r="G67" s="38">
        <v>0</v>
      </c>
      <c r="H67" s="38">
        <v>0</v>
      </c>
      <c r="I67" s="15"/>
      <c r="J67" s="494">
        <v>10102030203</v>
      </c>
      <c r="L67" s="523" t="s">
        <v>13317</v>
      </c>
      <c r="M67" s="523" t="s">
        <v>843</v>
      </c>
      <c r="N67" s="518" t="s">
        <v>844</v>
      </c>
      <c r="O67" s="523">
        <v>1</v>
      </c>
      <c r="P67" s="523" t="s">
        <v>632</v>
      </c>
      <c r="Q67" s="523" t="s">
        <v>647</v>
      </c>
      <c r="R67" s="523" t="s">
        <v>671</v>
      </c>
      <c r="S67" s="523" t="s">
        <v>647</v>
      </c>
      <c r="T67" s="518" t="s">
        <v>842</v>
      </c>
      <c r="U67" s="38">
        <f t="shared" si="2"/>
        <v>0</v>
      </c>
      <c r="V67" s="15" t="str">
        <f t="shared" ref="V67:V130" si="8">CONCATENATE(W67,X67,Y67,Z67,AA67)</f>
        <v>101020302</v>
      </c>
      <c r="W67" s="39">
        <v>1</v>
      </c>
      <c r="X67" s="40" t="s">
        <v>632</v>
      </c>
      <c r="Y67" s="40" t="s">
        <v>647</v>
      </c>
      <c r="Z67" s="40" t="s">
        <v>671</v>
      </c>
      <c r="AA67" s="40" t="s">
        <v>647</v>
      </c>
      <c r="AB67" s="41" t="s">
        <v>842</v>
      </c>
      <c r="AC67" s="9"/>
      <c r="AD67" s="523">
        <v>0</v>
      </c>
      <c r="AE67" s="523" t="s">
        <v>13317</v>
      </c>
      <c r="AF67" s="523" t="s">
        <v>843</v>
      </c>
      <c r="AG67" s="524" t="s">
        <v>844</v>
      </c>
      <c r="AH67" s="9"/>
      <c r="AI67" s="10"/>
      <c r="AJ67" s="9">
        <f t="shared" si="6"/>
        <v>0</v>
      </c>
      <c r="AK67" s="10"/>
      <c r="AL67" s="10"/>
    </row>
    <row r="68" spans="1:38" ht="33.75" hidden="1">
      <c r="A68" s="1">
        <f t="shared" si="3"/>
        <v>0</v>
      </c>
      <c r="B68" s="2" t="s">
        <v>849</v>
      </c>
      <c r="C68" s="3" t="s">
        <v>850</v>
      </c>
      <c r="D68" s="15" t="s">
        <v>11370</v>
      </c>
      <c r="E68" s="4" t="s">
        <v>849</v>
      </c>
      <c r="F68" s="37" t="s">
        <v>850</v>
      </c>
      <c r="G68" s="38">
        <v>0</v>
      </c>
      <c r="H68" s="38">
        <v>0</v>
      </c>
      <c r="I68" s="15"/>
      <c r="J68" s="494">
        <v>10102030204</v>
      </c>
      <c r="L68" s="523" t="s">
        <v>13317</v>
      </c>
      <c r="M68" s="523" t="s">
        <v>843</v>
      </c>
      <c r="N68" s="518" t="s">
        <v>844</v>
      </c>
      <c r="O68" s="523">
        <v>1</v>
      </c>
      <c r="P68" s="523" t="s">
        <v>632</v>
      </c>
      <c r="Q68" s="523" t="s">
        <v>647</v>
      </c>
      <c r="R68" s="523" t="s">
        <v>671</v>
      </c>
      <c r="S68" s="523" t="s">
        <v>647</v>
      </c>
      <c r="T68" s="518" t="s">
        <v>842</v>
      </c>
      <c r="U68" s="38">
        <f t="shared" si="2"/>
        <v>0</v>
      </c>
      <c r="V68" s="15" t="str">
        <f t="shared" si="8"/>
        <v>101020302</v>
      </c>
      <c r="W68" s="39">
        <v>1</v>
      </c>
      <c r="X68" s="40" t="s">
        <v>632</v>
      </c>
      <c r="Y68" s="40" t="s">
        <v>647</v>
      </c>
      <c r="Z68" s="40" t="s">
        <v>671</v>
      </c>
      <c r="AA68" s="40" t="s">
        <v>647</v>
      </c>
      <c r="AB68" s="41" t="s">
        <v>842</v>
      </c>
      <c r="AC68" s="9"/>
      <c r="AD68" s="523">
        <v>0</v>
      </c>
      <c r="AE68" s="523" t="s">
        <v>13317</v>
      </c>
      <c r="AF68" s="523" t="s">
        <v>843</v>
      </c>
      <c r="AG68" s="524" t="s">
        <v>844</v>
      </c>
      <c r="AH68" s="9"/>
      <c r="AI68" s="10"/>
      <c r="AJ68" s="9">
        <f t="shared" si="6"/>
        <v>0</v>
      </c>
      <c r="AK68" s="10"/>
      <c r="AL68" s="10"/>
    </row>
    <row r="69" spans="1:38" ht="33.75" hidden="1">
      <c r="A69" s="1">
        <f t="shared" si="3"/>
        <v>0</v>
      </c>
      <c r="B69" s="2" t="s">
        <v>851</v>
      </c>
      <c r="C69" s="3" t="s">
        <v>852</v>
      </c>
      <c r="D69" s="15" t="s">
        <v>11370</v>
      </c>
      <c r="E69" s="4" t="s">
        <v>851</v>
      </c>
      <c r="F69" s="37" t="s">
        <v>852</v>
      </c>
      <c r="G69" s="38">
        <v>0</v>
      </c>
      <c r="H69" s="38">
        <v>0</v>
      </c>
      <c r="I69" s="15"/>
      <c r="J69" s="494">
        <v>10102030205</v>
      </c>
      <c r="L69" s="523" t="s">
        <v>13317</v>
      </c>
      <c r="M69" s="523" t="s">
        <v>843</v>
      </c>
      <c r="N69" s="518" t="s">
        <v>844</v>
      </c>
      <c r="O69" s="523">
        <v>1</v>
      </c>
      <c r="P69" s="523" t="s">
        <v>632</v>
      </c>
      <c r="Q69" s="523" t="s">
        <v>647</v>
      </c>
      <c r="R69" s="523" t="s">
        <v>671</v>
      </c>
      <c r="S69" s="523" t="s">
        <v>647</v>
      </c>
      <c r="T69" s="518" t="s">
        <v>842</v>
      </c>
      <c r="U69" s="38">
        <f t="shared" ref="U69:U129" si="9">H69</f>
        <v>0</v>
      </c>
      <c r="V69" s="15" t="str">
        <f t="shared" si="8"/>
        <v>101020302</v>
      </c>
      <c r="W69" s="39">
        <v>1</v>
      </c>
      <c r="X69" s="40" t="s">
        <v>632</v>
      </c>
      <c r="Y69" s="40" t="s">
        <v>647</v>
      </c>
      <c r="Z69" s="40" t="s">
        <v>671</v>
      </c>
      <c r="AA69" s="40" t="s">
        <v>647</v>
      </c>
      <c r="AB69" s="41" t="s">
        <v>842</v>
      </c>
      <c r="AC69" s="9"/>
      <c r="AD69" s="523">
        <v>0</v>
      </c>
      <c r="AE69" s="523" t="s">
        <v>13317</v>
      </c>
      <c r="AF69" s="523" t="s">
        <v>843</v>
      </c>
      <c r="AG69" s="524" t="s">
        <v>844</v>
      </c>
      <c r="AH69" s="9"/>
      <c r="AI69" s="10"/>
      <c r="AJ69" s="9">
        <f t="shared" si="6"/>
        <v>0</v>
      </c>
      <c r="AK69" s="10"/>
      <c r="AL69" s="10"/>
    </row>
    <row r="70" spans="1:38" ht="22.5" hidden="1">
      <c r="A70" s="1">
        <f t="shared" ref="A70:A133" si="10">IF(E70=B70,0,1)</f>
        <v>0</v>
      </c>
      <c r="C70" s="3" t="s">
        <v>853</v>
      </c>
      <c r="D70" s="15" t="s">
        <v>16</v>
      </c>
      <c r="E70" s="30"/>
      <c r="F70" s="31" t="s">
        <v>854</v>
      </c>
      <c r="G70" s="32">
        <f>G71+G72+G73+G74+G75+G76+G77+G78+G79+G80+G81+G82+G83+G84-G85-G86-G87-G88-G89-G90-G91-G92-G93-G94-G95-G96-G97-G98</f>
        <v>6047107.0499999942</v>
      </c>
      <c r="H70" s="32">
        <f>H71+H72+H73+H74+H75+H76+H77+H78+H79+H80+H81+H82+H83+H84-H85-H86-H87-H88-H89-H90-H91-H92-H93-H94-H95-H96-H97-H98</f>
        <v>7463158.5600000015</v>
      </c>
      <c r="I70" s="507"/>
      <c r="J70" s="508"/>
      <c r="K70" s="513"/>
      <c r="L70" s="513"/>
      <c r="M70" s="513"/>
      <c r="N70" s="514"/>
      <c r="O70" s="513"/>
      <c r="P70" s="513"/>
      <c r="Q70" s="513"/>
      <c r="R70" s="513"/>
      <c r="S70" s="513"/>
      <c r="T70" s="514"/>
      <c r="U70" s="32">
        <f>U71+U72+U73+U74+U75+U76+U77+U78+U79+U80+U81+U82+U83+U84-U85-U86-U87-U88-U89-U90-U91-U92-U93-U94-U95-U96-U97-U98</f>
        <v>7463158.5600000015</v>
      </c>
      <c r="V70" s="15" t="str">
        <f t="shared" si="8"/>
        <v>101020400</v>
      </c>
      <c r="W70" s="33">
        <v>1</v>
      </c>
      <c r="X70" s="34" t="s">
        <v>632</v>
      </c>
      <c r="Y70" s="34" t="s">
        <v>647</v>
      </c>
      <c r="Z70" s="35" t="s">
        <v>693</v>
      </c>
      <c r="AA70" s="35" t="s">
        <v>630</v>
      </c>
      <c r="AB70" s="31" t="s">
        <v>854</v>
      </c>
      <c r="AC70" s="529">
        <f>AC71+AC72+AC73+AC74+AC75+AC76+AC77+AC78+AC79+AC80+AC81+AC82+AC83+AC84-AC85-AC86-AC87-AC88-AC89-AC90-AC91-AC92-AC93-AC94-AC95-AC96-AC97-AC98</f>
        <v>0</v>
      </c>
      <c r="AD70" s="513">
        <v>0</v>
      </c>
      <c r="AE70" s="513" t="s">
        <v>13332</v>
      </c>
      <c r="AF70" s="513" t="s">
        <v>152</v>
      </c>
      <c r="AG70" s="514" t="s">
        <v>855</v>
      </c>
      <c r="AH70" s="44">
        <f>AH71+AH72+AH73+AH74+AH75+AH76+AH77+AH78+AH79+AH80+AH81+AH82+AH83+AH84-AH85-AH86-AH87-AH88-AH89-AH90-AH91-AH92-AH93-AH94-AH95-AH96-AH97-AH98</f>
        <v>0</v>
      </c>
      <c r="AI70" s="10"/>
      <c r="AJ70" s="9">
        <f t="shared" si="6"/>
        <v>-7463158.5600000015</v>
      </c>
      <c r="AK70" s="10"/>
      <c r="AL70" s="10"/>
    </row>
    <row r="71" spans="1:38" ht="22.5" hidden="1">
      <c r="A71" s="1">
        <f t="shared" si="10"/>
        <v>0</v>
      </c>
      <c r="B71" s="2" t="s">
        <v>856</v>
      </c>
      <c r="C71" s="3" t="s">
        <v>857</v>
      </c>
      <c r="D71" s="15" t="s">
        <v>11371</v>
      </c>
      <c r="E71" s="4" t="s">
        <v>856</v>
      </c>
      <c r="F71" s="37" t="s">
        <v>857</v>
      </c>
      <c r="G71" s="38">
        <v>1656944.29</v>
      </c>
      <c r="H71" s="38">
        <v>1603096.7</v>
      </c>
      <c r="I71" s="15"/>
      <c r="J71" s="494">
        <v>10102040101</v>
      </c>
      <c r="K71" s="517"/>
      <c r="L71" s="517" t="s">
        <v>13318</v>
      </c>
      <c r="M71" s="517" t="s">
        <v>859</v>
      </c>
      <c r="N71" s="518" t="s">
        <v>860</v>
      </c>
      <c r="O71" s="517">
        <v>1</v>
      </c>
      <c r="P71" s="517" t="s">
        <v>632</v>
      </c>
      <c r="Q71" s="517" t="s">
        <v>647</v>
      </c>
      <c r="R71" s="517" t="s">
        <v>693</v>
      </c>
      <c r="S71" s="517" t="s">
        <v>632</v>
      </c>
      <c r="T71" s="518" t="s">
        <v>858</v>
      </c>
      <c r="U71" s="38">
        <f t="shared" si="9"/>
        <v>1603096.7</v>
      </c>
      <c r="V71" s="15" t="str">
        <f t="shared" si="8"/>
        <v>101020401</v>
      </c>
      <c r="W71" s="39">
        <v>1</v>
      </c>
      <c r="X71" s="40" t="s">
        <v>632</v>
      </c>
      <c r="Y71" s="40" t="s">
        <v>647</v>
      </c>
      <c r="Z71" s="50" t="str">
        <f>Z70</f>
        <v>04</v>
      </c>
      <c r="AA71" s="40" t="s">
        <v>632</v>
      </c>
      <c r="AB71" s="42" t="s">
        <v>858</v>
      </c>
      <c r="AC71" s="519">
        <f>SUBTOTAL(9,H71:H84)</f>
        <v>0</v>
      </c>
      <c r="AD71" s="517">
        <v>0</v>
      </c>
      <c r="AE71" s="517" t="s">
        <v>13318</v>
      </c>
      <c r="AF71" s="517" t="s">
        <v>859</v>
      </c>
      <c r="AG71" s="518" t="s">
        <v>860</v>
      </c>
      <c r="AH71" s="67">
        <f>AC71</f>
        <v>0</v>
      </c>
      <c r="AI71" s="10"/>
      <c r="AJ71" s="9"/>
      <c r="AK71" s="10"/>
      <c r="AL71" s="10"/>
    </row>
    <row r="72" spans="1:38" ht="22.5" hidden="1">
      <c r="A72" s="1">
        <f t="shared" si="10"/>
        <v>0</v>
      </c>
      <c r="B72" s="2" t="s">
        <v>861</v>
      </c>
      <c r="C72" s="3" t="s">
        <v>862</v>
      </c>
      <c r="D72" s="15" t="s">
        <v>11371</v>
      </c>
      <c r="E72" s="4" t="s">
        <v>861</v>
      </c>
      <c r="F72" s="37" t="s">
        <v>862</v>
      </c>
      <c r="G72" s="38">
        <v>781335.29</v>
      </c>
      <c r="H72" s="38">
        <v>781335.29</v>
      </c>
      <c r="I72" s="15"/>
      <c r="J72" s="494">
        <v>10102040102</v>
      </c>
      <c r="K72" s="517"/>
      <c r="L72" s="517" t="s">
        <v>13318</v>
      </c>
      <c r="M72" s="517" t="s">
        <v>859</v>
      </c>
      <c r="N72" s="518" t="s">
        <v>860</v>
      </c>
      <c r="O72" s="517">
        <v>1</v>
      </c>
      <c r="P72" s="517" t="s">
        <v>632</v>
      </c>
      <c r="Q72" s="517" t="s">
        <v>647</v>
      </c>
      <c r="R72" s="517" t="s">
        <v>693</v>
      </c>
      <c r="S72" s="517" t="s">
        <v>632</v>
      </c>
      <c r="T72" s="518" t="s">
        <v>858</v>
      </c>
      <c r="U72" s="38">
        <f t="shared" si="9"/>
        <v>781335.29</v>
      </c>
      <c r="V72" s="15" t="str">
        <f t="shared" si="8"/>
        <v>101020401</v>
      </c>
      <c r="W72" s="39">
        <v>1</v>
      </c>
      <c r="X72" s="40" t="s">
        <v>632</v>
      </c>
      <c r="Y72" s="40" t="s">
        <v>647</v>
      </c>
      <c r="Z72" s="50" t="str">
        <f t="shared" ref="Z72:Z84" si="11">Z71</f>
        <v>04</v>
      </c>
      <c r="AA72" s="40" t="s">
        <v>632</v>
      </c>
      <c r="AB72" s="42" t="s">
        <v>858</v>
      </c>
      <c r="AC72" s="9"/>
      <c r="AD72" s="517">
        <v>0</v>
      </c>
      <c r="AE72" s="517" t="s">
        <v>13318</v>
      </c>
      <c r="AF72" s="517" t="s">
        <v>859</v>
      </c>
      <c r="AG72" s="520" t="s">
        <v>860</v>
      </c>
      <c r="AH72" s="9"/>
      <c r="AI72" s="10"/>
      <c r="AJ72" s="9"/>
      <c r="AK72" s="10"/>
      <c r="AL72" s="10"/>
    </row>
    <row r="73" spans="1:38" ht="22.5" hidden="1">
      <c r="A73" s="1">
        <f t="shared" si="10"/>
        <v>0</v>
      </c>
      <c r="B73" s="2" t="s">
        <v>863</v>
      </c>
      <c r="C73" s="3" t="s">
        <v>864</v>
      </c>
      <c r="D73" s="15" t="s">
        <v>11371</v>
      </c>
      <c r="E73" s="4" t="s">
        <v>863</v>
      </c>
      <c r="F73" s="37" t="s">
        <v>864</v>
      </c>
      <c r="G73" s="38">
        <v>9424170</v>
      </c>
      <c r="H73" s="38">
        <v>10314844.93</v>
      </c>
      <c r="I73" s="15"/>
      <c r="J73" s="494">
        <v>10102040103</v>
      </c>
      <c r="L73" s="523" t="s">
        <v>13318</v>
      </c>
      <c r="M73" s="523" t="s">
        <v>859</v>
      </c>
      <c r="N73" s="518" t="s">
        <v>860</v>
      </c>
      <c r="O73" s="523">
        <v>1</v>
      </c>
      <c r="P73" s="523" t="s">
        <v>632</v>
      </c>
      <c r="Q73" s="523" t="s">
        <v>647</v>
      </c>
      <c r="R73" s="523" t="s">
        <v>693</v>
      </c>
      <c r="S73" s="523" t="s">
        <v>632</v>
      </c>
      <c r="T73" s="518" t="s">
        <v>858</v>
      </c>
      <c r="U73" s="38">
        <f t="shared" si="9"/>
        <v>10314844.93</v>
      </c>
      <c r="V73" s="15" t="str">
        <f t="shared" si="8"/>
        <v>101020401</v>
      </c>
      <c r="W73" s="39">
        <v>1</v>
      </c>
      <c r="X73" s="40" t="s">
        <v>632</v>
      </c>
      <c r="Y73" s="40" t="s">
        <v>647</v>
      </c>
      <c r="Z73" s="50" t="str">
        <f t="shared" si="11"/>
        <v>04</v>
      </c>
      <c r="AA73" s="40" t="s">
        <v>632</v>
      </c>
      <c r="AB73" s="42" t="s">
        <v>858</v>
      </c>
      <c r="AC73" s="9"/>
      <c r="AD73" s="523">
        <v>0</v>
      </c>
      <c r="AE73" s="523" t="s">
        <v>13318</v>
      </c>
      <c r="AF73" s="523" t="s">
        <v>859</v>
      </c>
      <c r="AG73" s="524" t="s">
        <v>860</v>
      </c>
      <c r="AH73" s="9"/>
      <c r="AI73" s="10"/>
      <c r="AJ73" s="9"/>
      <c r="AK73" s="10"/>
      <c r="AL73" s="10"/>
    </row>
    <row r="74" spans="1:38" ht="22.5" hidden="1">
      <c r="A74" s="1">
        <f t="shared" si="10"/>
        <v>0</v>
      </c>
      <c r="B74" s="2" t="s">
        <v>865</v>
      </c>
      <c r="C74" s="3" t="s">
        <v>866</v>
      </c>
      <c r="D74" s="15" t="s">
        <v>11371</v>
      </c>
      <c r="E74" s="4" t="s">
        <v>865</v>
      </c>
      <c r="F74" s="37" t="s">
        <v>866</v>
      </c>
      <c r="G74" s="38">
        <v>0</v>
      </c>
      <c r="H74" s="38">
        <v>0</v>
      </c>
      <c r="I74" s="15"/>
      <c r="J74" s="494">
        <v>10102040104</v>
      </c>
      <c r="L74" s="523" t="s">
        <v>13318</v>
      </c>
      <c r="M74" s="523" t="s">
        <v>859</v>
      </c>
      <c r="N74" s="518" t="s">
        <v>860</v>
      </c>
      <c r="O74" s="523">
        <v>1</v>
      </c>
      <c r="P74" s="523" t="s">
        <v>632</v>
      </c>
      <c r="Q74" s="523" t="s">
        <v>647</v>
      </c>
      <c r="R74" s="523" t="s">
        <v>693</v>
      </c>
      <c r="S74" s="523" t="s">
        <v>632</v>
      </c>
      <c r="T74" s="518" t="s">
        <v>858</v>
      </c>
      <c r="U74" s="38">
        <f t="shared" si="9"/>
        <v>0</v>
      </c>
      <c r="V74" s="15" t="str">
        <f t="shared" si="8"/>
        <v>101020401</v>
      </c>
      <c r="W74" s="39">
        <v>1</v>
      </c>
      <c r="X74" s="40" t="s">
        <v>632</v>
      </c>
      <c r="Y74" s="40" t="s">
        <v>647</v>
      </c>
      <c r="Z74" s="50" t="str">
        <f t="shared" si="11"/>
        <v>04</v>
      </c>
      <c r="AA74" s="40" t="s">
        <v>632</v>
      </c>
      <c r="AB74" s="42" t="s">
        <v>858</v>
      </c>
      <c r="AC74" s="9"/>
      <c r="AD74" s="523">
        <v>0</v>
      </c>
      <c r="AE74" s="523" t="s">
        <v>13318</v>
      </c>
      <c r="AF74" s="523" t="s">
        <v>859</v>
      </c>
      <c r="AG74" s="524" t="s">
        <v>860</v>
      </c>
      <c r="AH74" s="9"/>
      <c r="AI74" s="10"/>
      <c r="AJ74" s="9"/>
      <c r="AK74" s="10"/>
      <c r="AL74" s="10"/>
    </row>
    <row r="75" spans="1:38" ht="22.5" hidden="1">
      <c r="A75" s="1">
        <f t="shared" si="10"/>
        <v>0</v>
      </c>
      <c r="B75" s="2" t="s">
        <v>867</v>
      </c>
      <c r="C75" s="3" t="s">
        <v>868</v>
      </c>
      <c r="D75" s="15" t="s">
        <v>11371</v>
      </c>
      <c r="E75" s="4" t="s">
        <v>867</v>
      </c>
      <c r="F75" s="37" t="s">
        <v>868</v>
      </c>
      <c r="G75" s="38">
        <v>0</v>
      </c>
      <c r="H75" s="38">
        <v>0</v>
      </c>
      <c r="I75" s="15"/>
      <c r="J75" s="494">
        <v>10102040105</v>
      </c>
      <c r="L75" s="523" t="s">
        <v>13318</v>
      </c>
      <c r="M75" s="523" t="s">
        <v>859</v>
      </c>
      <c r="N75" s="518" t="s">
        <v>860</v>
      </c>
      <c r="O75" s="523">
        <v>1</v>
      </c>
      <c r="P75" s="523" t="s">
        <v>632</v>
      </c>
      <c r="Q75" s="523" t="s">
        <v>647</v>
      </c>
      <c r="R75" s="523" t="s">
        <v>693</v>
      </c>
      <c r="S75" s="523" t="s">
        <v>632</v>
      </c>
      <c r="T75" s="518" t="s">
        <v>858</v>
      </c>
      <c r="U75" s="38">
        <f t="shared" si="9"/>
        <v>0</v>
      </c>
      <c r="V75" s="15" t="str">
        <f t="shared" si="8"/>
        <v>101020401</v>
      </c>
      <c r="W75" s="39">
        <v>1</v>
      </c>
      <c r="X75" s="40" t="s">
        <v>632</v>
      </c>
      <c r="Y75" s="40" t="s">
        <v>647</v>
      </c>
      <c r="Z75" s="50" t="str">
        <f t="shared" si="11"/>
        <v>04</v>
      </c>
      <c r="AA75" s="40" t="s">
        <v>632</v>
      </c>
      <c r="AB75" s="42" t="s">
        <v>858</v>
      </c>
      <c r="AC75" s="9"/>
      <c r="AD75" s="523">
        <v>0</v>
      </c>
      <c r="AE75" s="523" t="s">
        <v>13318</v>
      </c>
      <c r="AF75" s="523" t="s">
        <v>859</v>
      </c>
      <c r="AG75" s="524" t="s">
        <v>860</v>
      </c>
      <c r="AH75" s="9"/>
      <c r="AI75" s="10"/>
      <c r="AJ75" s="9"/>
      <c r="AK75" s="10"/>
      <c r="AL75" s="10"/>
    </row>
    <row r="76" spans="1:38" ht="22.5" hidden="1">
      <c r="A76" s="1">
        <f t="shared" si="10"/>
        <v>0</v>
      </c>
      <c r="B76" s="2" t="s">
        <v>869</v>
      </c>
      <c r="C76" s="3" t="s">
        <v>870</v>
      </c>
      <c r="D76" s="15" t="s">
        <v>11371</v>
      </c>
      <c r="E76" s="4" t="s">
        <v>869</v>
      </c>
      <c r="F76" s="37" t="s">
        <v>870</v>
      </c>
      <c r="G76" s="38">
        <v>2902616.61</v>
      </c>
      <c r="H76" s="38">
        <v>2950819.61</v>
      </c>
      <c r="I76" s="15"/>
      <c r="J76" s="494">
        <v>10102040106</v>
      </c>
      <c r="L76" s="523" t="s">
        <v>13318</v>
      </c>
      <c r="M76" s="523" t="s">
        <v>859</v>
      </c>
      <c r="N76" s="518" t="s">
        <v>860</v>
      </c>
      <c r="O76" s="523">
        <v>1</v>
      </c>
      <c r="P76" s="523" t="s">
        <v>632</v>
      </c>
      <c r="Q76" s="523" t="s">
        <v>647</v>
      </c>
      <c r="R76" s="523" t="s">
        <v>693</v>
      </c>
      <c r="S76" s="523" t="s">
        <v>632</v>
      </c>
      <c r="T76" s="518" t="s">
        <v>858</v>
      </c>
      <c r="U76" s="38">
        <f t="shared" si="9"/>
        <v>2950819.61</v>
      </c>
      <c r="V76" s="15" t="str">
        <f t="shared" si="8"/>
        <v>101020401</v>
      </c>
      <c r="W76" s="39">
        <v>1</v>
      </c>
      <c r="X76" s="40" t="s">
        <v>632</v>
      </c>
      <c r="Y76" s="40" t="s">
        <v>647</v>
      </c>
      <c r="Z76" s="50" t="str">
        <f t="shared" si="11"/>
        <v>04</v>
      </c>
      <c r="AA76" s="40" t="s">
        <v>632</v>
      </c>
      <c r="AB76" s="42" t="s">
        <v>858</v>
      </c>
      <c r="AC76" s="9"/>
      <c r="AD76" s="523">
        <v>0</v>
      </c>
      <c r="AE76" s="523" t="s">
        <v>13318</v>
      </c>
      <c r="AF76" s="523" t="s">
        <v>859</v>
      </c>
      <c r="AG76" s="524" t="s">
        <v>860</v>
      </c>
      <c r="AH76" s="9"/>
      <c r="AI76" s="10"/>
      <c r="AJ76" s="9"/>
      <c r="AK76" s="10"/>
      <c r="AL76" s="10"/>
    </row>
    <row r="77" spans="1:38" ht="22.5" hidden="1">
      <c r="A77" s="1">
        <f t="shared" si="10"/>
        <v>0</v>
      </c>
      <c r="B77" s="2" t="s">
        <v>871</v>
      </c>
      <c r="C77" s="3" t="s">
        <v>872</v>
      </c>
      <c r="D77" s="15" t="s">
        <v>11371</v>
      </c>
      <c r="E77" s="4" t="s">
        <v>871</v>
      </c>
      <c r="F77" s="37" t="s">
        <v>872</v>
      </c>
      <c r="G77" s="38">
        <v>2644807.6</v>
      </c>
      <c r="H77" s="38">
        <v>2824576.02</v>
      </c>
      <c r="I77" s="15"/>
      <c r="J77" s="494">
        <v>10102040107</v>
      </c>
      <c r="L77" s="523" t="s">
        <v>13318</v>
      </c>
      <c r="M77" s="523" t="s">
        <v>859</v>
      </c>
      <c r="N77" s="518" t="s">
        <v>860</v>
      </c>
      <c r="O77" s="523">
        <v>1</v>
      </c>
      <c r="P77" s="523" t="s">
        <v>632</v>
      </c>
      <c r="Q77" s="523" t="s">
        <v>647</v>
      </c>
      <c r="R77" s="523" t="s">
        <v>693</v>
      </c>
      <c r="S77" s="523" t="s">
        <v>632</v>
      </c>
      <c r="T77" s="518" t="s">
        <v>858</v>
      </c>
      <c r="U77" s="38">
        <f t="shared" si="9"/>
        <v>2824576.02</v>
      </c>
      <c r="V77" s="15" t="str">
        <f t="shared" si="8"/>
        <v>101020401</v>
      </c>
      <c r="W77" s="39">
        <v>1</v>
      </c>
      <c r="X77" s="40" t="s">
        <v>632</v>
      </c>
      <c r="Y77" s="40" t="s">
        <v>647</v>
      </c>
      <c r="Z77" s="50" t="str">
        <f t="shared" si="11"/>
        <v>04</v>
      </c>
      <c r="AA77" s="40" t="s">
        <v>632</v>
      </c>
      <c r="AB77" s="42" t="s">
        <v>858</v>
      </c>
      <c r="AC77" s="9"/>
      <c r="AD77" s="523">
        <v>0</v>
      </c>
      <c r="AE77" s="523" t="s">
        <v>13318</v>
      </c>
      <c r="AF77" s="523" t="s">
        <v>859</v>
      </c>
      <c r="AG77" s="524" t="s">
        <v>860</v>
      </c>
      <c r="AH77" s="9"/>
      <c r="AI77" s="10"/>
      <c r="AJ77" s="9"/>
      <c r="AK77" s="10"/>
      <c r="AL77" s="10"/>
    </row>
    <row r="78" spans="1:38" ht="22.5" hidden="1">
      <c r="A78" s="1">
        <f t="shared" si="10"/>
        <v>0</v>
      </c>
      <c r="B78" s="2" t="s">
        <v>873</v>
      </c>
      <c r="C78" s="3" t="s">
        <v>874</v>
      </c>
      <c r="D78" s="15" t="s">
        <v>11371</v>
      </c>
      <c r="E78" s="4" t="s">
        <v>873</v>
      </c>
      <c r="F78" s="37" t="s">
        <v>874</v>
      </c>
      <c r="G78" s="38">
        <v>4693348.51</v>
      </c>
      <c r="H78" s="38">
        <v>4968191.63</v>
      </c>
      <c r="I78" s="15"/>
      <c r="J78" s="494">
        <v>10102040108</v>
      </c>
      <c r="L78" s="523" t="s">
        <v>13318</v>
      </c>
      <c r="M78" s="523" t="s">
        <v>859</v>
      </c>
      <c r="N78" s="518" t="s">
        <v>860</v>
      </c>
      <c r="O78" s="523">
        <v>1</v>
      </c>
      <c r="P78" s="523" t="s">
        <v>632</v>
      </c>
      <c r="Q78" s="523" t="s">
        <v>647</v>
      </c>
      <c r="R78" s="523" t="s">
        <v>693</v>
      </c>
      <c r="S78" s="523" t="s">
        <v>632</v>
      </c>
      <c r="T78" s="518" t="s">
        <v>858</v>
      </c>
      <c r="U78" s="38">
        <f t="shared" si="9"/>
        <v>4968191.63</v>
      </c>
      <c r="V78" s="15" t="str">
        <f t="shared" si="8"/>
        <v>101020401</v>
      </c>
      <c r="W78" s="39">
        <v>1</v>
      </c>
      <c r="X78" s="40" t="s">
        <v>632</v>
      </c>
      <c r="Y78" s="40" t="s">
        <v>647</v>
      </c>
      <c r="Z78" s="50" t="str">
        <f t="shared" si="11"/>
        <v>04</v>
      </c>
      <c r="AA78" s="40" t="s">
        <v>632</v>
      </c>
      <c r="AB78" s="42" t="s">
        <v>858</v>
      </c>
      <c r="AC78" s="9"/>
      <c r="AD78" s="523">
        <v>0</v>
      </c>
      <c r="AE78" s="523" t="s">
        <v>13318</v>
      </c>
      <c r="AF78" s="523" t="s">
        <v>859</v>
      </c>
      <c r="AG78" s="524" t="s">
        <v>860</v>
      </c>
      <c r="AH78" s="9"/>
      <c r="AI78" s="10"/>
      <c r="AJ78" s="9"/>
      <c r="AK78" s="10"/>
      <c r="AL78" s="10"/>
    </row>
    <row r="79" spans="1:38" ht="22.5" hidden="1">
      <c r="A79" s="1">
        <f t="shared" si="10"/>
        <v>0</v>
      </c>
      <c r="B79" s="2" t="s">
        <v>875</v>
      </c>
      <c r="C79" s="3" t="s">
        <v>876</v>
      </c>
      <c r="D79" s="15" t="s">
        <v>11371</v>
      </c>
      <c r="E79" s="4" t="s">
        <v>875</v>
      </c>
      <c r="F79" s="37" t="s">
        <v>876</v>
      </c>
      <c r="G79" s="38">
        <v>1448334.73</v>
      </c>
      <c r="H79" s="38">
        <v>1448334.73</v>
      </c>
      <c r="I79" s="15"/>
      <c r="J79" s="494">
        <v>10102040109</v>
      </c>
      <c r="L79" s="523" t="s">
        <v>13318</v>
      </c>
      <c r="M79" s="523" t="s">
        <v>859</v>
      </c>
      <c r="N79" s="518" t="s">
        <v>860</v>
      </c>
      <c r="O79" s="523">
        <v>1</v>
      </c>
      <c r="P79" s="523" t="s">
        <v>632</v>
      </c>
      <c r="Q79" s="523" t="s">
        <v>647</v>
      </c>
      <c r="R79" s="523" t="s">
        <v>693</v>
      </c>
      <c r="S79" s="523" t="s">
        <v>632</v>
      </c>
      <c r="T79" s="518" t="s">
        <v>858</v>
      </c>
      <c r="U79" s="38">
        <f t="shared" si="9"/>
        <v>1448334.73</v>
      </c>
      <c r="V79" s="15" t="str">
        <f t="shared" si="8"/>
        <v>101020401</v>
      </c>
      <c r="W79" s="39">
        <v>1</v>
      </c>
      <c r="X79" s="40" t="s">
        <v>632</v>
      </c>
      <c r="Y79" s="40" t="s">
        <v>647</v>
      </c>
      <c r="Z79" s="50" t="str">
        <f t="shared" si="11"/>
        <v>04</v>
      </c>
      <c r="AA79" s="40" t="s">
        <v>632</v>
      </c>
      <c r="AB79" s="42" t="s">
        <v>858</v>
      </c>
      <c r="AC79" s="9"/>
      <c r="AD79" s="523">
        <v>0</v>
      </c>
      <c r="AE79" s="523" t="s">
        <v>13318</v>
      </c>
      <c r="AF79" s="523" t="s">
        <v>859</v>
      </c>
      <c r="AG79" s="524" t="s">
        <v>860</v>
      </c>
      <c r="AH79" s="9"/>
      <c r="AI79" s="10"/>
      <c r="AJ79" s="9"/>
      <c r="AK79" s="10"/>
      <c r="AL79" s="10"/>
    </row>
    <row r="80" spans="1:38" ht="22.5" hidden="1">
      <c r="A80" s="1">
        <f t="shared" si="10"/>
        <v>0</v>
      </c>
      <c r="B80" s="2" t="s">
        <v>877</v>
      </c>
      <c r="C80" s="3" t="s">
        <v>878</v>
      </c>
      <c r="D80" s="15" t="s">
        <v>11371</v>
      </c>
      <c r="E80" s="4" t="s">
        <v>877</v>
      </c>
      <c r="F80" s="37" t="s">
        <v>878</v>
      </c>
      <c r="G80" s="38">
        <v>883298.02</v>
      </c>
      <c r="H80" s="38">
        <v>883298.02</v>
      </c>
      <c r="I80" s="15"/>
      <c r="J80" s="494">
        <v>10102040110</v>
      </c>
      <c r="L80" s="523" t="s">
        <v>13318</v>
      </c>
      <c r="M80" s="523" t="s">
        <v>859</v>
      </c>
      <c r="N80" s="518" t="s">
        <v>860</v>
      </c>
      <c r="O80" s="523">
        <v>1</v>
      </c>
      <c r="P80" s="523" t="s">
        <v>632</v>
      </c>
      <c r="Q80" s="523" t="s">
        <v>647</v>
      </c>
      <c r="R80" s="523" t="s">
        <v>693</v>
      </c>
      <c r="S80" s="523" t="s">
        <v>632</v>
      </c>
      <c r="T80" s="518" t="s">
        <v>858</v>
      </c>
      <c r="U80" s="38">
        <f t="shared" si="9"/>
        <v>883298.02</v>
      </c>
      <c r="V80" s="15" t="str">
        <f t="shared" si="8"/>
        <v>101020401</v>
      </c>
      <c r="W80" s="39">
        <v>1</v>
      </c>
      <c r="X80" s="40" t="s">
        <v>632</v>
      </c>
      <c r="Y80" s="40" t="s">
        <v>647</v>
      </c>
      <c r="Z80" s="50" t="str">
        <f t="shared" si="11"/>
        <v>04</v>
      </c>
      <c r="AA80" s="40" t="s">
        <v>632</v>
      </c>
      <c r="AB80" s="42" t="s">
        <v>858</v>
      </c>
      <c r="AC80" s="9"/>
      <c r="AD80" s="523">
        <v>0</v>
      </c>
      <c r="AE80" s="523" t="s">
        <v>13318</v>
      </c>
      <c r="AF80" s="523" t="s">
        <v>859</v>
      </c>
      <c r="AG80" s="524" t="s">
        <v>860</v>
      </c>
      <c r="AH80" s="9"/>
      <c r="AI80" s="10"/>
      <c r="AJ80" s="9"/>
      <c r="AK80" s="10"/>
      <c r="AL80" s="10"/>
    </row>
    <row r="81" spans="1:38" ht="22.5" hidden="1">
      <c r="A81" s="1">
        <f t="shared" si="10"/>
        <v>0</v>
      </c>
      <c r="B81" s="2" t="s">
        <v>879</v>
      </c>
      <c r="C81" s="3" t="s">
        <v>880</v>
      </c>
      <c r="D81" s="15" t="s">
        <v>11371</v>
      </c>
      <c r="E81" s="4" t="s">
        <v>879</v>
      </c>
      <c r="F81" s="37" t="s">
        <v>880</v>
      </c>
      <c r="G81" s="38">
        <v>2053669.06</v>
      </c>
      <c r="H81" s="38">
        <v>2062598.24</v>
      </c>
      <c r="I81" s="15"/>
      <c r="J81" s="494">
        <v>10102040111</v>
      </c>
      <c r="L81" s="523" t="s">
        <v>13318</v>
      </c>
      <c r="M81" s="523" t="s">
        <v>859</v>
      </c>
      <c r="N81" s="518" t="s">
        <v>860</v>
      </c>
      <c r="O81" s="523">
        <v>1</v>
      </c>
      <c r="P81" s="523" t="s">
        <v>632</v>
      </c>
      <c r="Q81" s="523" t="s">
        <v>647</v>
      </c>
      <c r="R81" s="523" t="s">
        <v>693</v>
      </c>
      <c r="S81" s="523" t="s">
        <v>632</v>
      </c>
      <c r="T81" s="518" t="s">
        <v>858</v>
      </c>
      <c r="U81" s="38">
        <f t="shared" si="9"/>
        <v>2062598.24</v>
      </c>
      <c r="V81" s="15" t="str">
        <f t="shared" si="8"/>
        <v>101020401</v>
      </c>
      <c r="W81" s="39">
        <v>1</v>
      </c>
      <c r="X81" s="40" t="s">
        <v>632</v>
      </c>
      <c r="Y81" s="40" t="s">
        <v>647</v>
      </c>
      <c r="Z81" s="50" t="str">
        <f t="shared" si="11"/>
        <v>04</v>
      </c>
      <c r="AA81" s="40" t="s">
        <v>632</v>
      </c>
      <c r="AB81" s="42" t="s">
        <v>858</v>
      </c>
      <c r="AC81" s="9"/>
      <c r="AD81" s="523">
        <v>0</v>
      </c>
      <c r="AE81" s="523" t="s">
        <v>13318</v>
      </c>
      <c r="AF81" s="523" t="s">
        <v>859</v>
      </c>
      <c r="AG81" s="524" t="s">
        <v>860</v>
      </c>
      <c r="AH81" s="9"/>
      <c r="AI81" s="10"/>
      <c r="AJ81" s="9"/>
      <c r="AK81" s="10"/>
      <c r="AL81" s="10"/>
    </row>
    <row r="82" spans="1:38" ht="22.5" hidden="1">
      <c r="A82" s="1">
        <f t="shared" si="10"/>
        <v>0</v>
      </c>
      <c r="B82" s="2" t="s">
        <v>881</v>
      </c>
      <c r="C82" s="3" t="s">
        <v>882</v>
      </c>
      <c r="D82" s="15" t="s">
        <v>11371</v>
      </c>
      <c r="E82" s="4" t="s">
        <v>881</v>
      </c>
      <c r="F82" s="37" t="s">
        <v>882</v>
      </c>
      <c r="G82" s="38">
        <v>1241731.52</v>
      </c>
      <c r="H82" s="38">
        <v>1241731.52</v>
      </c>
      <c r="I82" s="15"/>
      <c r="J82" s="494">
        <v>10102040112</v>
      </c>
      <c r="L82" s="523" t="s">
        <v>13318</v>
      </c>
      <c r="M82" s="523" t="s">
        <v>859</v>
      </c>
      <c r="N82" s="518" t="s">
        <v>860</v>
      </c>
      <c r="O82" s="523">
        <v>1</v>
      </c>
      <c r="P82" s="523" t="s">
        <v>632</v>
      </c>
      <c r="Q82" s="523" t="s">
        <v>647</v>
      </c>
      <c r="R82" s="523" t="s">
        <v>693</v>
      </c>
      <c r="S82" s="523" t="s">
        <v>632</v>
      </c>
      <c r="T82" s="518" t="s">
        <v>858</v>
      </c>
      <c r="U82" s="38">
        <f t="shared" si="9"/>
        <v>1241731.52</v>
      </c>
      <c r="V82" s="15" t="str">
        <f t="shared" si="8"/>
        <v>101020401</v>
      </c>
      <c r="W82" s="39">
        <v>1</v>
      </c>
      <c r="X82" s="40" t="s">
        <v>632</v>
      </c>
      <c r="Y82" s="40" t="s">
        <v>647</v>
      </c>
      <c r="Z82" s="50" t="str">
        <f t="shared" si="11"/>
        <v>04</v>
      </c>
      <c r="AA82" s="40" t="s">
        <v>632</v>
      </c>
      <c r="AB82" s="42" t="s">
        <v>858</v>
      </c>
      <c r="AC82" s="9"/>
      <c r="AD82" s="523">
        <v>0</v>
      </c>
      <c r="AE82" s="523" t="s">
        <v>13318</v>
      </c>
      <c r="AF82" s="523" t="s">
        <v>859</v>
      </c>
      <c r="AG82" s="524" t="s">
        <v>860</v>
      </c>
      <c r="AH82" s="9"/>
      <c r="AI82" s="10"/>
      <c r="AJ82" s="9"/>
      <c r="AK82" s="10"/>
      <c r="AL82" s="10"/>
    </row>
    <row r="83" spans="1:38" ht="22.5" hidden="1">
      <c r="A83" s="1">
        <f t="shared" si="10"/>
        <v>0</v>
      </c>
      <c r="B83" s="2" t="s">
        <v>883</v>
      </c>
      <c r="C83" s="3" t="s">
        <v>884</v>
      </c>
      <c r="D83" s="15" t="s">
        <v>11371</v>
      </c>
      <c r="E83" s="4" t="s">
        <v>883</v>
      </c>
      <c r="F83" s="37" t="s">
        <v>884</v>
      </c>
      <c r="G83" s="38">
        <v>158982.73000000001</v>
      </c>
      <c r="H83" s="38">
        <v>158982.73000000001</v>
      </c>
      <c r="I83" s="15"/>
      <c r="J83" s="494">
        <v>10102040113</v>
      </c>
      <c r="L83" s="523" t="s">
        <v>13318</v>
      </c>
      <c r="M83" s="523" t="s">
        <v>859</v>
      </c>
      <c r="N83" s="518" t="s">
        <v>860</v>
      </c>
      <c r="O83" s="523">
        <v>1</v>
      </c>
      <c r="P83" s="523" t="s">
        <v>632</v>
      </c>
      <c r="Q83" s="523" t="s">
        <v>647</v>
      </c>
      <c r="R83" s="523" t="s">
        <v>693</v>
      </c>
      <c r="S83" s="523" t="s">
        <v>632</v>
      </c>
      <c r="T83" s="518" t="s">
        <v>858</v>
      </c>
      <c r="U83" s="38">
        <f t="shared" si="9"/>
        <v>158982.73000000001</v>
      </c>
      <c r="V83" s="15" t="str">
        <f t="shared" si="8"/>
        <v>101020401</v>
      </c>
      <c r="W83" s="39">
        <v>1</v>
      </c>
      <c r="X83" s="40" t="s">
        <v>632</v>
      </c>
      <c r="Y83" s="40" t="s">
        <v>647</v>
      </c>
      <c r="Z83" s="50" t="str">
        <f t="shared" si="11"/>
        <v>04</v>
      </c>
      <c r="AA83" s="40" t="s">
        <v>632</v>
      </c>
      <c r="AB83" s="42" t="s">
        <v>858</v>
      </c>
      <c r="AC83" s="9"/>
      <c r="AD83" s="523">
        <v>0</v>
      </c>
      <c r="AE83" s="523" t="s">
        <v>13318</v>
      </c>
      <c r="AF83" s="523" t="s">
        <v>859</v>
      </c>
      <c r="AG83" s="524" t="s">
        <v>860</v>
      </c>
      <c r="AH83" s="9"/>
      <c r="AI83" s="10"/>
      <c r="AJ83" s="9"/>
      <c r="AK83" s="10"/>
      <c r="AL83" s="10"/>
    </row>
    <row r="84" spans="1:38" ht="22.5" hidden="1">
      <c r="A84" s="1">
        <f t="shared" si="10"/>
        <v>0</v>
      </c>
      <c r="B84" s="2" t="s">
        <v>885</v>
      </c>
      <c r="C84" s="3" t="s">
        <v>886</v>
      </c>
      <c r="D84" s="15" t="s">
        <v>11371</v>
      </c>
      <c r="E84" s="4" t="s">
        <v>885</v>
      </c>
      <c r="F84" s="37" t="s">
        <v>886</v>
      </c>
      <c r="G84" s="38">
        <v>0</v>
      </c>
      <c r="H84" s="38">
        <v>0</v>
      </c>
      <c r="I84" s="15"/>
      <c r="J84" s="494">
        <v>10102040114</v>
      </c>
      <c r="K84" s="517"/>
      <c r="L84" s="517" t="s">
        <v>13318</v>
      </c>
      <c r="M84" s="517" t="s">
        <v>859</v>
      </c>
      <c r="N84" s="518" t="s">
        <v>860</v>
      </c>
      <c r="O84" s="517">
        <v>1</v>
      </c>
      <c r="P84" s="517" t="s">
        <v>632</v>
      </c>
      <c r="Q84" s="517" t="s">
        <v>647</v>
      </c>
      <c r="R84" s="517" t="s">
        <v>693</v>
      </c>
      <c r="S84" s="517" t="s">
        <v>632</v>
      </c>
      <c r="T84" s="518" t="s">
        <v>858</v>
      </c>
      <c r="U84" s="38">
        <f t="shared" si="9"/>
        <v>0</v>
      </c>
      <c r="V84" s="15" t="str">
        <f t="shared" si="8"/>
        <v>101020401</v>
      </c>
      <c r="W84" s="39">
        <v>1</v>
      </c>
      <c r="X84" s="40" t="s">
        <v>632</v>
      </c>
      <c r="Y84" s="40" t="s">
        <v>647</v>
      </c>
      <c r="Z84" s="50" t="str">
        <f t="shared" si="11"/>
        <v>04</v>
      </c>
      <c r="AA84" s="40" t="s">
        <v>632</v>
      </c>
      <c r="AB84" s="42" t="s">
        <v>858</v>
      </c>
      <c r="AC84" s="9"/>
      <c r="AD84" s="517">
        <v>0</v>
      </c>
      <c r="AE84" s="517" t="s">
        <v>13318</v>
      </c>
      <c r="AF84" s="517" t="s">
        <v>859</v>
      </c>
      <c r="AG84" s="520" t="s">
        <v>860</v>
      </c>
      <c r="AH84" s="9"/>
      <c r="AI84" s="10"/>
      <c r="AJ84" s="9"/>
      <c r="AK84" s="10"/>
      <c r="AL84" s="10"/>
    </row>
    <row r="85" spans="1:38" ht="22.5" hidden="1">
      <c r="A85" s="1">
        <f t="shared" si="10"/>
        <v>0</v>
      </c>
      <c r="B85" s="2" t="s">
        <v>887</v>
      </c>
      <c r="C85" s="3" t="s">
        <v>888</v>
      </c>
      <c r="D85" s="15" t="s">
        <v>11372</v>
      </c>
      <c r="E85" s="4" t="s">
        <v>887</v>
      </c>
      <c r="F85" s="37" t="s">
        <v>888</v>
      </c>
      <c r="G85" s="38">
        <v>1222157.72</v>
      </c>
      <c r="H85" s="38">
        <v>1288838.42</v>
      </c>
      <c r="I85" s="15"/>
      <c r="J85" s="494">
        <v>10102040201</v>
      </c>
      <c r="K85" s="517"/>
      <c r="L85" s="517" t="s">
        <v>13319</v>
      </c>
      <c r="M85" s="517" t="s">
        <v>890</v>
      </c>
      <c r="N85" s="518" t="s">
        <v>891</v>
      </c>
      <c r="O85" s="517">
        <v>1</v>
      </c>
      <c r="P85" s="517" t="s">
        <v>632</v>
      </c>
      <c r="Q85" s="517" t="s">
        <v>647</v>
      </c>
      <c r="R85" s="517" t="s">
        <v>693</v>
      </c>
      <c r="S85" s="517" t="s">
        <v>647</v>
      </c>
      <c r="T85" s="518" t="s">
        <v>889</v>
      </c>
      <c r="U85" s="38">
        <f t="shared" si="9"/>
        <v>1288838.42</v>
      </c>
      <c r="V85" s="15" t="str">
        <f t="shared" si="8"/>
        <v>101020402</v>
      </c>
      <c r="W85" s="39">
        <v>1</v>
      </c>
      <c r="X85" s="40" t="s">
        <v>632</v>
      </c>
      <c r="Y85" s="40" t="s">
        <v>647</v>
      </c>
      <c r="Z85" s="50" t="str">
        <f>Z71</f>
        <v>04</v>
      </c>
      <c r="AA85" s="40" t="s">
        <v>647</v>
      </c>
      <c r="AB85" s="41" t="s">
        <v>889</v>
      </c>
      <c r="AC85" s="519">
        <f>SUBTOTAL(9,H85:H98)</f>
        <v>0</v>
      </c>
      <c r="AD85" s="517">
        <v>0</v>
      </c>
      <c r="AE85" s="517" t="s">
        <v>13319</v>
      </c>
      <c r="AF85" s="517" t="s">
        <v>890</v>
      </c>
      <c r="AG85" s="520" t="s">
        <v>891</v>
      </c>
      <c r="AH85" s="67">
        <f>AC85</f>
        <v>0</v>
      </c>
      <c r="AI85" s="10"/>
      <c r="AJ85" s="9"/>
      <c r="AK85" s="10"/>
      <c r="AL85" s="10"/>
    </row>
    <row r="86" spans="1:38" ht="22.5" hidden="1">
      <c r="A86" s="1">
        <f t="shared" si="10"/>
        <v>0</v>
      </c>
      <c r="B86" s="2" t="s">
        <v>892</v>
      </c>
      <c r="C86" s="3" t="s">
        <v>893</v>
      </c>
      <c r="D86" s="15" t="s">
        <v>11372</v>
      </c>
      <c r="E86" s="4" t="s">
        <v>892</v>
      </c>
      <c r="F86" s="37" t="s">
        <v>893</v>
      </c>
      <c r="G86" s="38">
        <v>780211.39</v>
      </c>
      <c r="H86" s="38">
        <v>780973.89</v>
      </c>
      <c r="I86" s="15"/>
      <c r="J86" s="494">
        <v>10102040202</v>
      </c>
      <c r="L86" s="523" t="s">
        <v>13319</v>
      </c>
      <c r="M86" s="523" t="s">
        <v>890</v>
      </c>
      <c r="N86" s="518" t="s">
        <v>891</v>
      </c>
      <c r="O86" s="523">
        <v>1</v>
      </c>
      <c r="P86" s="523" t="s">
        <v>632</v>
      </c>
      <c r="Q86" s="523" t="s">
        <v>647</v>
      </c>
      <c r="R86" s="523" t="s">
        <v>693</v>
      </c>
      <c r="S86" s="523" t="s">
        <v>647</v>
      </c>
      <c r="T86" s="518" t="s">
        <v>889</v>
      </c>
      <c r="U86" s="38">
        <f t="shared" si="9"/>
        <v>780973.89</v>
      </c>
      <c r="V86" s="15" t="str">
        <f t="shared" si="8"/>
        <v>101020402</v>
      </c>
      <c r="W86" s="39">
        <v>1</v>
      </c>
      <c r="X86" s="40" t="s">
        <v>632</v>
      </c>
      <c r="Y86" s="40" t="s">
        <v>647</v>
      </c>
      <c r="Z86" s="50" t="str">
        <f t="shared" ref="Z86:Z98" si="12">Z72</f>
        <v>04</v>
      </c>
      <c r="AA86" s="40" t="s">
        <v>647</v>
      </c>
      <c r="AB86" s="41" t="s">
        <v>889</v>
      </c>
      <c r="AC86" s="9"/>
      <c r="AD86" s="523">
        <v>0</v>
      </c>
      <c r="AE86" s="523" t="s">
        <v>13319</v>
      </c>
      <c r="AF86" s="523" t="s">
        <v>890</v>
      </c>
      <c r="AG86" s="524" t="s">
        <v>891</v>
      </c>
      <c r="AH86" s="9"/>
      <c r="AI86" s="10"/>
      <c r="AJ86" s="9"/>
      <c r="AK86" s="10"/>
      <c r="AL86" s="10"/>
    </row>
    <row r="87" spans="1:38" ht="22.5" hidden="1">
      <c r="A87" s="1">
        <f t="shared" si="10"/>
        <v>0</v>
      </c>
      <c r="B87" s="2" t="s">
        <v>894</v>
      </c>
      <c r="C87" s="3" t="s">
        <v>895</v>
      </c>
      <c r="D87" s="15" t="s">
        <v>11372</v>
      </c>
      <c r="E87" s="4" t="s">
        <v>894</v>
      </c>
      <c r="F87" s="37" t="s">
        <v>895</v>
      </c>
      <c r="G87" s="38">
        <v>6712007.2999999998</v>
      </c>
      <c r="H87" s="38">
        <v>5924505.2000000002</v>
      </c>
      <c r="I87" s="15"/>
      <c r="J87" s="494">
        <v>10102040203</v>
      </c>
      <c r="L87" s="523" t="s">
        <v>13319</v>
      </c>
      <c r="M87" s="523" t="s">
        <v>890</v>
      </c>
      <c r="N87" s="518" t="s">
        <v>891</v>
      </c>
      <c r="O87" s="523">
        <v>1</v>
      </c>
      <c r="P87" s="523" t="s">
        <v>632</v>
      </c>
      <c r="Q87" s="523" t="s">
        <v>647</v>
      </c>
      <c r="R87" s="523" t="s">
        <v>693</v>
      </c>
      <c r="S87" s="523" t="s">
        <v>647</v>
      </c>
      <c r="T87" s="518" t="s">
        <v>889</v>
      </c>
      <c r="U87" s="38">
        <f t="shared" si="9"/>
        <v>5924505.2000000002</v>
      </c>
      <c r="V87" s="15" t="str">
        <f t="shared" si="8"/>
        <v>101020402</v>
      </c>
      <c r="W87" s="39">
        <v>1</v>
      </c>
      <c r="X87" s="40" t="s">
        <v>632</v>
      </c>
      <c r="Y87" s="40" t="s">
        <v>647</v>
      </c>
      <c r="Z87" s="50" t="str">
        <f t="shared" si="12"/>
        <v>04</v>
      </c>
      <c r="AA87" s="40" t="s">
        <v>647</v>
      </c>
      <c r="AB87" s="41" t="s">
        <v>889</v>
      </c>
      <c r="AC87" s="9"/>
      <c r="AD87" s="523">
        <v>0</v>
      </c>
      <c r="AE87" s="523" t="s">
        <v>13319</v>
      </c>
      <c r="AF87" s="523" t="s">
        <v>890</v>
      </c>
      <c r="AG87" s="524" t="s">
        <v>891</v>
      </c>
      <c r="AH87" s="9"/>
      <c r="AI87" s="10"/>
      <c r="AJ87" s="9"/>
      <c r="AK87" s="10"/>
      <c r="AL87" s="10"/>
    </row>
    <row r="88" spans="1:38" ht="22.5" hidden="1">
      <c r="A88" s="1">
        <f t="shared" si="10"/>
        <v>0</v>
      </c>
      <c r="B88" s="2" t="s">
        <v>896</v>
      </c>
      <c r="C88" s="3" t="s">
        <v>897</v>
      </c>
      <c r="D88" s="15" t="s">
        <v>11372</v>
      </c>
      <c r="E88" s="4" t="s">
        <v>896</v>
      </c>
      <c r="F88" s="37" t="s">
        <v>897</v>
      </c>
      <c r="G88" s="38">
        <v>0</v>
      </c>
      <c r="H88" s="38">
        <v>0</v>
      </c>
      <c r="I88" s="15"/>
      <c r="J88" s="494">
        <v>10102040204</v>
      </c>
      <c r="L88" s="523" t="s">
        <v>13319</v>
      </c>
      <c r="M88" s="523" t="s">
        <v>890</v>
      </c>
      <c r="N88" s="518" t="s">
        <v>891</v>
      </c>
      <c r="O88" s="523">
        <v>1</v>
      </c>
      <c r="P88" s="523" t="s">
        <v>632</v>
      </c>
      <c r="Q88" s="523" t="s">
        <v>647</v>
      </c>
      <c r="R88" s="523" t="s">
        <v>693</v>
      </c>
      <c r="S88" s="523" t="s">
        <v>647</v>
      </c>
      <c r="T88" s="518" t="s">
        <v>889</v>
      </c>
      <c r="U88" s="38">
        <f t="shared" si="9"/>
        <v>0</v>
      </c>
      <c r="V88" s="15" t="str">
        <f t="shared" si="8"/>
        <v>101020402</v>
      </c>
      <c r="W88" s="39">
        <v>1</v>
      </c>
      <c r="X88" s="40" t="s">
        <v>632</v>
      </c>
      <c r="Y88" s="40" t="s">
        <v>647</v>
      </c>
      <c r="Z88" s="50" t="str">
        <f t="shared" si="12"/>
        <v>04</v>
      </c>
      <c r="AA88" s="40" t="s">
        <v>647</v>
      </c>
      <c r="AB88" s="41" t="s">
        <v>889</v>
      </c>
      <c r="AC88" s="9"/>
      <c r="AD88" s="523">
        <v>0</v>
      </c>
      <c r="AE88" s="523" t="s">
        <v>13319</v>
      </c>
      <c r="AF88" s="523" t="s">
        <v>890</v>
      </c>
      <c r="AG88" s="524" t="s">
        <v>891</v>
      </c>
      <c r="AH88" s="9"/>
      <c r="AI88" s="10"/>
      <c r="AJ88" s="9"/>
      <c r="AK88" s="10"/>
      <c r="AL88" s="10"/>
    </row>
    <row r="89" spans="1:38" ht="22.5" hidden="1">
      <c r="A89" s="1">
        <f t="shared" si="10"/>
        <v>0</v>
      </c>
      <c r="B89" s="2" t="s">
        <v>898</v>
      </c>
      <c r="C89" s="3" t="s">
        <v>899</v>
      </c>
      <c r="D89" s="15" t="s">
        <v>11372</v>
      </c>
      <c r="E89" s="4" t="s">
        <v>898</v>
      </c>
      <c r="F89" s="37" t="s">
        <v>899</v>
      </c>
      <c r="G89" s="38">
        <v>0</v>
      </c>
      <c r="H89" s="38">
        <v>0</v>
      </c>
      <c r="I89" s="15"/>
      <c r="J89" s="494">
        <v>10102040205</v>
      </c>
      <c r="L89" s="523" t="s">
        <v>13319</v>
      </c>
      <c r="M89" s="523" t="s">
        <v>890</v>
      </c>
      <c r="N89" s="518" t="s">
        <v>891</v>
      </c>
      <c r="O89" s="523">
        <v>1</v>
      </c>
      <c r="P89" s="523" t="s">
        <v>632</v>
      </c>
      <c r="Q89" s="523" t="s">
        <v>647</v>
      </c>
      <c r="R89" s="523" t="s">
        <v>693</v>
      </c>
      <c r="S89" s="523" t="s">
        <v>647</v>
      </c>
      <c r="T89" s="518" t="s">
        <v>889</v>
      </c>
      <c r="U89" s="38">
        <f t="shared" si="9"/>
        <v>0</v>
      </c>
      <c r="V89" s="15" t="str">
        <f t="shared" si="8"/>
        <v>101020402</v>
      </c>
      <c r="W89" s="39">
        <v>1</v>
      </c>
      <c r="X89" s="40" t="s">
        <v>632</v>
      </c>
      <c r="Y89" s="40" t="s">
        <v>647</v>
      </c>
      <c r="Z89" s="50" t="str">
        <f t="shared" si="12"/>
        <v>04</v>
      </c>
      <c r="AA89" s="40" t="s">
        <v>647</v>
      </c>
      <c r="AB89" s="41" t="s">
        <v>889</v>
      </c>
      <c r="AC89" s="9"/>
      <c r="AD89" s="523">
        <v>0</v>
      </c>
      <c r="AE89" s="523" t="s">
        <v>13319</v>
      </c>
      <c r="AF89" s="523" t="s">
        <v>890</v>
      </c>
      <c r="AG89" s="524" t="s">
        <v>891</v>
      </c>
      <c r="AH89" s="9"/>
      <c r="AI89" s="10"/>
      <c r="AJ89" s="9"/>
      <c r="AK89" s="10"/>
      <c r="AL89" s="10"/>
    </row>
    <row r="90" spans="1:38" ht="33.75" hidden="1">
      <c r="A90" s="1">
        <f t="shared" si="10"/>
        <v>0</v>
      </c>
      <c r="B90" s="2" t="s">
        <v>900</v>
      </c>
      <c r="C90" s="3" t="s">
        <v>901</v>
      </c>
      <c r="D90" s="15" t="s">
        <v>11372</v>
      </c>
      <c r="E90" s="4" t="s">
        <v>900</v>
      </c>
      <c r="F90" s="37" t="s">
        <v>901</v>
      </c>
      <c r="G90" s="38">
        <v>2490027.89</v>
      </c>
      <c r="H90" s="38">
        <v>2617854.27</v>
      </c>
      <c r="I90" s="15"/>
      <c r="J90" s="494">
        <v>10102040206</v>
      </c>
      <c r="L90" s="523" t="s">
        <v>13319</v>
      </c>
      <c r="M90" s="523" t="s">
        <v>890</v>
      </c>
      <c r="N90" s="518" t="s">
        <v>891</v>
      </c>
      <c r="O90" s="523">
        <v>1</v>
      </c>
      <c r="P90" s="523" t="s">
        <v>632</v>
      </c>
      <c r="Q90" s="523" t="s">
        <v>647</v>
      </c>
      <c r="R90" s="523" t="s">
        <v>693</v>
      </c>
      <c r="S90" s="523" t="s">
        <v>647</v>
      </c>
      <c r="T90" s="518" t="s">
        <v>889</v>
      </c>
      <c r="U90" s="38">
        <f t="shared" si="9"/>
        <v>2617854.27</v>
      </c>
      <c r="V90" s="15" t="str">
        <f t="shared" si="8"/>
        <v>101020402</v>
      </c>
      <c r="W90" s="39">
        <v>1</v>
      </c>
      <c r="X90" s="40" t="s">
        <v>632</v>
      </c>
      <c r="Y90" s="40" t="s">
        <v>647</v>
      </c>
      <c r="Z90" s="50" t="str">
        <f t="shared" si="12"/>
        <v>04</v>
      </c>
      <c r="AA90" s="40" t="s">
        <v>647</v>
      </c>
      <c r="AB90" s="41" t="s">
        <v>889</v>
      </c>
      <c r="AC90" s="9"/>
      <c r="AD90" s="523">
        <v>0</v>
      </c>
      <c r="AE90" s="523" t="s">
        <v>13319</v>
      </c>
      <c r="AF90" s="523" t="s">
        <v>890</v>
      </c>
      <c r="AG90" s="524" t="s">
        <v>891</v>
      </c>
      <c r="AH90" s="9"/>
      <c r="AI90" s="10"/>
      <c r="AJ90" s="9"/>
      <c r="AK90" s="10"/>
      <c r="AL90" s="10"/>
    </row>
    <row r="91" spans="1:38" ht="22.5" hidden="1">
      <c r="A91" s="1">
        <f t="shared" si="10"/>
        <v>0</v>
      </c>
      <c r="B91" s="2" t="s">
        <v>902</v>
      </c>
      <c r="C91" s="3" t="s">
        <v>903</v>
      </c>
      <c r="D91" s="15" t="s">
        <v>11372</v>
      </c>
      <c r="E91" s="4" t="s">
        <v>902</v>
      </c>
      <c r="F91" s="37" t="s">
        <v>903</v>
      </c>
      <c r="G91" s="38">
        <v>2010421.54</v>
      </c>
      <c r="H91" s="38">
        <v>2153763.0499999998</v>
      </c>
      <c r="I91" s="15"/>
      <c r="J91" s="494">
        <v>10102040207</v>
      </c>
      <c r="L91" s="523" t="s">
        <v>13319</v>
      </c>
      <c r="M91" s="523" t="s">
        <v>890</v>
      </c>
      <c r="N91" s="518" t="s">
        <v>891</v>
      </c>
      <c r="O91" s="523">
        <v>1</v>
      </c>
      <c r="P91" s="523" t="s">
        <v>632</v>
      </c>
      <c r="Q91" s="523" t="s">
        <v>647</v>
      </c>
      <c r="R91" s="523" t="s">
        <v>693</v>
      </c>
      <c r="S91" s="523" t="s">
        <v>647</v>
      </c>
      <c r="T91" s="518" t="s">
        <v>889</v>
      </c>
      <c r="U91" s="38">
        <f t="shared" si="9"/>
        <v>2153763.0499999998</v>
      </c>
      <c r="V91" s="15" t="str">
        <f t="shared" si="8"/>
        <v>101020402</v>
      </c>
      <c r="W91" s="39">
        <v>1</v>
      </c>
      <c r="X91" s="40" t="s">
        <v>632</v>
      </c>
      <c r="Y91" s="40" t="s">
        <v>647</v>
      </c>
      <c r="Z91" s="50" t="str">
        <f t="shared" si="12"/>
        <v>04</v>
      </c>
      <c r="AA91" s="40" t="s">
        <v>647</v>
      </c>
      <c r="AB91" s="41" t="s">
        <v>889</v>
      </c>
      <c r="AC91" s="9"/>
      <c r="AD91" s="523">
        <v>0</v>
      </c>
      <c r="AE91" s="523" t="s">
        <v>13319</v>
      </c>
      <c r="AF91" s="523" t="s">
        <v>890</v>
      </c>
      <c r="AG91" s="524" t="s">
        <v>891</v>
      </c>
      <c r="AH91" s="9"/>
      <c r="AI91" s="10"/>
      <c r="AJ91" s="9"/>
      <c r="AK91" s="10"/>
      <c r="AL91" s="10"/>
    </row>
    <row r="92" spans="1:38" ht="22.5" hidden="1">
      <c r="A92" s="1">
        <f t="shared" si="10"/>
        <v>0</v>
      </c>
      <c r="B92" s="2" t="s">
        <v>904</v>
      </c>
      <c r="C92" s="3" t="s">
        <v>905</v>
      </c>
      <c r="D92" s="15" t="s">
        <v>11372</v>
      </c>
      <c r="E92" s="4" t="s">
        <v>904</v>
      </c>
      <c r="F92" s="37" t="s">
        <v>905</v>
      </c>
      <c r="G92" s="38">
        <v>3804388.12</v>
      </c>
      <c r="H92" s="38">
        <v>4020923.84</v>
      </c>
      <c r="I92" s="15"/>
      <c r="J92" s="494">
        <v>10102040208</v>
      </c>
      <c r="L92" s="523" t="s">
        <v>13319</v>
      </c>
      <c r="M92" s="523" t="s">
        <v>890</v>
      </c>
      <c r="N92" s="518" t="s">
        <v>891</v>
      </c>
      <c r="O92" s="523">
        <v>1</v>
      </c>
      <c r="P92" s="523" t="s">
        <v>632</v>
      </c>
      <c r="Q92" s="523" t="s">
        <v>647</v>
      </c>
      <c r="R92" s="523" t="s">
        <v>693</v>
      </c>
      <c r="S92" s="523" t="s">
        <v>647</v>
      </c>
      <c r="T92" s="518" t="s">
        <v>889</v>
      </c>
      <c r="U92" s="38">
        <f t="shared" si="9"/>
        <v>4020923.84</v>
      </c>
      <c r="V92" s="15" t="str">
        <f t="shared" si="8"/>
        <v>101020402</v>
      </c>
      <c r="W92" s="39">
        <v>1</v>
      </c>
      <c r="X92" s="40" t="s">
        <v>632</v>
      </c>
      <c r="Y92" s="40" t="s">
        <v>647</v>
      </c>
      <c r="Z92" s="50" t="str">
        <f t="shared" si="12"/>
        <v>04</v>
      </c>
      <c r="AA92" s="40" t="s">
        <v>647</v>
      </c>
      <c r="AB92" s="41" t="s">
        <v>889</v>
      </c>
      <c r="AC92" s="9"/>
      <c r="AD92" s="523">
        <v>0</v>
      </c>
      <c r="AE92" s="523" t="s">
        <v>13319</v>
      </c>
      <c r="AF92" s="523" t="s">
        <v>890</v>
      </c>
      <c r="AG92" s="524" t="s">
        <v>891</v>
      </c>
      <c r="AH92" s="9"/>
      <c r="AI92" s="10"/>
      <c r="AJ92" s="9"/>
      <c r="AK92" s="10"/>
      <c r="AL92" s="10"/>
    </row>
    <row r="93" spans="1:38" ht="22.5" hidden="1">
      <c r="A93" s="1">
        <f t="shared" si="10"/>
        <v>0</v>
      </c>
      <c r="B93" s="2" t="s">
        <v>906</v>
      </c>
      <c r="C93" s="3" t="s">
        <v>907</v>
      </c>
      <c r="D93" s="15" t="s">
        <v>11372</v>
      </c>
      <c r="E93" s="4" t="s">
        <v>906</v>
      </c>
      <c r="F93" s="37" t="s">
        <v>907</v>
      </c>
      <c r="G93" s="38">
        <v>1439979.06</v>
      </c>
      <c r="H93" s="38">
        <v>1443138.29</v>
      </c>
      <c r="I93" s="15"/>
      <c r="J93" s="494">
        <v>10102040209</v>
      </c>
      <c r="L93" s="523" t="s">
        <v>13319</v>
      </c>
      <c r="M93" s="523" t="s">
        <v>890</v>
      </c>
      <c r="N93" s="518" t="s">
        <v>891</v>
      </c>
      <c r="O93" s="523">
        <v>1</v>
      </c>
      <c r="P93" s="523" t="s">
        <v>632</v>
      </c>
      <c r="Q93" s="523" t="s">
        <v>647</v>
      </c>
      <c r="R93" s="523" t="s">
        <v>693</v>
      </c>
      <c r="S93" s="523" t="s">
        <v>647</v>
      </c>
      <c r="T93" s="518" t="s">
        <v>889</v>
      </c>
      <c r="U93" s="38">
        <f t="shared" si="9"/>
        <v>1443138.29</v>
      </c>
      <c r="V93" s="15" t="str">
        <f t="shared" si="8"/>
        <v>101020402</v>
      </c>
      <c r="W93" s="39">
        <v>1</v>
      </c>
      <c r="X93" s="40" t="s">
        <v>632</v>
      </c>
      <c r="Y93" s="40" t="s">
        <v>647</v>
      </c>
      <c r="Z93" s="50" t="str">
        <f t="shared" si="12"/>
        <v>04</v>
      </c>
      <c r="AA93" s="40" t="s">
        <v>647</v>
      </c>
      <c r="AB93" s="41" t="s">
        <v>889</v>
      </c>
      <c r="AC93" s="9"/>
      <c r="AD93" s="523">
        <v>0</v>
      </c>
      <c r="AE93" s="523" t="s">
        <v>13319</v>
      </c>
      <c r="AF93" s="523" t="s">
        <v>890</v>
      </c>
      <c r="AG93" s="524" t="s">
        <v>891</v>
      </c>
      <c r="AH93" s="9"/>
      <c r="AI93" s="10"/>
      <c r="AJ93" s="9"/>
      <c r="AK93" s="10"/>
      <c r="AL93" s="10"/>
    </row>
    <row r="94" spans="1:38" ht="22.5" hidden="1">
      <c r="A94" s="1">
        <f t="shared" si="10"/>
        <v>0</v>
      </c>
      <c r="B94" s="2" t="s">
        <v>908</v>
      </c>
      <c r="C94" s="3" t="s">
        <v>909</v>
      </c>
      <c r="D94" s="15" t="s">
        <v>11372</v>
      </c>
      <c r="E94" s="4" t="s">
        <v>908</v>
      </c>
      <c r="F94" s="37" t="s">
        <v>909</v>
      </c>
      <c r="G94" s="38">
        <v>1777887.77</v>
      </c>
      <c r="H94" s="38">
        <v>1821319.52</v>
      </c>
      <c r="I94" s="15"/>
      <c r="J94" s="494">
        <v>10102040210</v>
      </c>
      <c r="L94" s="523" t="s">
        <v>13319</v>
      </c>
      <c r="M94" s="523" t="s">
        <v>890</v>
      </c>
      <c r="N94" s="518" t="s">
        <v>891</v>
      </c>
      <c r="O94" s="523">
        <v>1</v>
      </c>
      <c r="P94" s="523" t="s">
        <v>632</v>
      </c>
      <c r="Q94" s="523" t="s">
        <v>647</v>
      </c>
      <c r="R94" s="523" t="s">
        <v>693</v>
      </c>
      <c r="S94" s="523" t="s">
        <v>647</v>
      </c>
      <c r="T94" s="518" t="s">
        <v>889</v>
      </c>
      <c r="U94" s="38">
        <f t="shared" si="9"/>
        <v>1821319.52</v>
      </c>
      <c r="V94" s="15" t="str">
        <f t="shared" si="8"/>
        <v>101020402</v>
      </c>
      <c r="W94" s="39">
        <v>1</v>
      </c>
      <c r="X94" s="40" t="s">
        <v>632</v>
      </c>
      <c r="Y94" s="40" t="s">
        <v>647</v>
      </c>
      <c r="Z94" s="50" t="str">
        <f t="shared" si="12"/>
        <v>04</v>
      </c>
      <c r="AA94" s="40" t="s">
        <v>647</v>
      </c>
      <c r="AB94" s="41" t="s">
        <v>889</v>
      </c>
      <c r="AC94" s="9"/>
      <c r="AD94" s="523">
        <v>0</v>
      </c>
      <c r="AE94" s="523" t="s">
        <v>13319</v>
      </c>
      <c r="AF94" s="523" t="s">
        <v>890</v>
      </c>
      <c r="AG94" s="524" t="s">
        <v>891</v>
      </c>
      <c r="AH94" s="9"/>
      <c r="AI94" s="10"/>
      <c r="AJ94" s="9"/>
      <c r="AK94" s="10"/>
      <c r="AL94" s="10"/>
    </row>
    <row r="95" spans="1:38" ht="22.5" hidden="1">
      <c r="A95" s="1">
        <f t="shared" si="10"/>
        <v>0</v>
      </c>
      <c r="B95" s="2" t="s">
        <v>910</v>
      </c>
      <c r="C95" s="3" t="s">
        <v>911</v>
      </c>
      <c r="D95" s="15" t="s">
        <v>11372</v>
      </c>
      <c r="E95" s="4" t="s">
        <v>910</v>
      </c>
      <c r="F95" s="37" t="s">
        <v>911</v>
      </c>
      <c r="G95" s="38">
        <v>1002799.66</v>
      </c>
      <c r="H95" s="38">
        <v>1046615.28</v>
      </c>
      <c r="I95" s="15"/>
      <c r="J95" s="494">
        <v>10102040211</v>
      </c>
      <c r="L95" s="523" t="s">
        <v>13319</v>
      </c>
      <c r="M95" s="523" t="s">
        <v>890</v>
      </c>
      <c r="N95" s="518" t="s">
        <v>891</v>
      </c>
      <c r="O95" s="523">
        <v>1</v>
      </c>
      <c r="P95" s="523" t="s">
        <v>632</v>
      </c>
      <c r="Q95" s="523" t="s">
        <v>647</v>
      </c>
      <c r="R95" s="523" t="s">
        <v>693</v>
      </c>
      <c r="S95" s="523" t="s">
        <v>647</v>
      </c>
      <c r="T95" s="518" t="s">
        <v>889</v>
      </c>
      <c r="U95" s="38">
        <f t="shared" si="9"/>
        <v>1046615.28</v>
      </c>
      <c r="V95" s="15" t="str">
        <f t="shared" si="8"/>
        <v>101020402</v>
      </c>
      <c r="W95" s="39">
        <v>1</v>
      </c>
      <c r="X95" s="40" t="s">
        <v>632</v>
      </c>
      <c r="Y95" s="40" t="s">
        <v>647</v>
      </c>
      <c r="Z95" s="50" t="str">
        <f t="shared" si="12"/>
        <v>04</v>
      </c>
      <c r="AA95" s="40" t="s">
        <v>647</v>
      </c>
      <c r="AB95" s="41" t="s">
        <v>889</v>
      </c>
      <c r="AC95" s="9"/>
      <c r="AD95" s="523">
        <v>0</v>
      </c>
      <c r="AE95" s="523" t="s">
        <v>13319</v>
      </c>
      <c r="AF95" s="523" t="s">
        <v>890</v>
      </c>
      <c r="AG95" s="524" t="s">
        <v>891</v>
      </c>
      <c r="AH95" s="9"/>
      <c r="AI95" s="10"/>
      <c r="AJ95" s="9"/>
      <c r="AK95" s="10"/>
      <c r="AL95" s="10"/>
    </row>
    <row r="96" spans="1:38" ht="22.5" hidden="1">
      <c r="A96" s="1">
        <f t="shared" si="10"/>
        <v>0</v>
      </c>
      <c r="B96" s="2" t="s">
        <v>912</v>
      </c>
      <c r="C96" s="3" t="s">
        <v>913</v>
      </c>
      <c r="D96" s="15" t="s">
        <v>11372</v>
      </c>
      <c r="E96" s="4" t="s">
        <v>912</v>
      </c>
      <c r="F96" s="37" t="s">
        <v>913</v>
      </c>
      <c r="G96" s="38">
        <v>111274.98</v>
      </c>
      <c r="H96" s="38">
        <v>123479.5</v>
      </c>
      <c r="I96" s="15"/>
      <c r="J96" s="494">
        <v>10102040212</v>
      </c>
      <c r="L96" s="523" t="s">
        <v>13319</v>
      </c>
      <c r="M96" s="523" t="s">
        <v>890</v>
      </c>
      <c r="N96" s="518" t="s">
        <v>891</v>
      </c>
      <c r="O96" s="523">
        <v>1</v>
      </c>
      <c r="P96" s="523" t="s">
        <v>632</v>
      </c>
      <c r="Q96" s="523" t="s">
        <v>647</v>
      </c>
      <c r="R96" s="523" t="s">
        <v>693</v>
      </c>
      <c r="S96" s="523" t="s">
        <v>647</v>
      </c>
      <c r="T96" s="518" t="s">
        <v>889</v>
      </c>
      <c r="U96" s="38">
        <f t="shared" si="9"/>
        <v>123479.5</v>
      </c>
      <c r="V96" s="15" t="str">
        <f t="shared" si="8"/>
        <v>101020402</v>
      </c>
      <c r="W96" s="39">
        <v>1</v>
      </c>
      <c r="X96" s="40" t="s">
        <v>632</v>
      </c>
      <c r="Y96" s="40" t="s">
        <v>647</v>
      </c>
      <c r="Z96" s="50" t="str">
        <f t="shared" si="12"/>
        <v>04</v>
      </c>
      <c r="AA96" s="40" t="s">
        <v>647</v>
      </c>
      <c r="AB96" s="41" t="s">
        <v>889</v>
      </c>
      <c r="AC96" s="9"/>
      <c r="AD96" s="523">
        <v>0</v>
      </c>
      <c r="AE96" s="523" t="s">
        <v>13319</v>
      </c>
      <c r="AF96" s="523" t="s">
        <v>890</v>
      </c>
      <c r="AG96" s="524" t="s">
        <v>891</v>
      </c>
      <c r="AH96" s="9"/>
      <c r="AI96" s="10"/>
      <c r="AJ96" s="9"/>
      <c r="AK96" s="10"/>
      <c r="AL96" s="10"/>
    </row>
    <row r="97" spans="1:38" ht="33.75" hidden="1">
      <c r="A97" s="1">
        <f t="shared" si="10"/>
        <v>0</v>
      </c>
      <c r="B97" s="2" t="s">
        <v>914</v>
      </c>
      <c r="C97" s="3" t="s">
        <v>915</v>
      </c>
      <c r="D97" s="15" t="s">
        <v>11372</v>
      </c>
      <c r="E97" s="4" t="s">
        <v>914</v>
      </c>
      <c r="F97" s="37" t="s">
        <v>915</v>
      </c>
      <c r="G97" s="38">
        <v>0</v>
      </c>
      <c r="H97" s="38">
        <v>0</v>
      </c>
      <c r="I97" s="15"/>
      <c r="J97" s="494">
        <v>10102040213</v>
      </c>
      <c r="L97" s="523" t="s">
        <v>13319</v>
      </c>
      <c r="M97" s="523" t="s">
        <v>890</v>
      </c>
      <c r="N97" s="518" t="s">
        <v>891</v>
      </c>
      <c r="O97" s="523">
        <v>1</v>
      </c>
      <c r="P97" s="523" t="s">
        <v>632</v>
      </c>
      <c r="Q97" s="523" t="s">
        <v>647</v>
      </c>
      <c r="R97" s="523" t="s">
        <v>693</v>
      </c>
      <c r="S97" s="523" t="s">
        <v>647</v>
      </c>
      <c r="T97" s="518" t="s">
        <v>889</v>
      </c>
      <c r="U97" s="38">
        <f t="shared" si="9"/>
        <v>0</v>
      </c>
      <c r="V97" s="15" t="str">
        <f t="shared" si="8"/>
        <v>101020402</v>
      </c>
      <c r="W97" s="39">
        <v>1</v>
      </c>
      <c r="X97" s="40" t="s">
        <v>632</v>
      </c>
      <c r="Y97" s="40" t="s">
        <v>647</v>
      </c>
      <c r="Z97" s="50" t="str">
        <f t="shared" si="12"/>
        <v>04</v>
      </c>
      <c r="AA97" s="40" t="s">
        <v>647</v>
      </c>
      <c r="AB97" s="41" t="s">
        <v>889</v>
      </c>
      <c r="AC97" s="9"/>
      <c r="AD97" s="523">
        <v>0</v>
      </c>
      <c r="AE97" s="523" t="s">
        <v>13319</v>
      </c>
      <c r="AF97" s="523" t="s">
        <v>890</v>
      </c>
      <c r="AG97" s="524" t="s">
        <v>891</v>
      </c>
      <c r="AH97" s="9"/>
      <c r="AI97" s="10"/>
      <c r="AJ97" s="9"/>
      <c r="AK97" s="10"/>
      <c r="AL97" s="10"/>
    </row>
    <row r="98" spans="1:38" ht="22.5" hidden="1">
      <c r="A98" s="1">
        <f t="shared" si="10"/>
        <v>0</v>
      </c>
      <c r="B98" s="2" t="s">
        <v>916</v>
      </c>
      <c r="C98" s="3" t="s">
        <v>917</v>
      </c>
      <c r="D98" s="15" t="s">
        <v>11372</v>
      </c>
      <c r="E98" s="4" t="s">
        <v>916</v>
      </c>
      <c r="F98" s="37" t="s">
        <v>917</v>
      </c>
      <c r="G98" s="38">
        <v>490975.88</v>
      </c>
      <c r="H98" s="38">
        <v>553239.6</v>
      </c>
      <c r="I98" s="15"/>
      <c r="J98" s="494">
        <v>10102040214</v>
      </c>
      <c r="L98" s="523" t="s">
        <v>13319</v>
      </c>
      <c r="M98" s="523" t="s">
        <v>890</v>
      </c>
      <c r="N98" s="518" t="s">
        <v>891</v>
      </c>
      <c r="O98" s="523">
        <v>1</v>
      </c>
      <c r="P98" s="523" t="s">
        <v>632</v>
      </c>
      <c r="Q98" s="523" t="s">
        <v>647</v>
      </c>
      <c r="R98" s="523" t="s">
        <v>693</v>
      </c>
      <c r="S98" s="523" t="s">
        <v>647</v>
      </c>
      <c r="T98" s="518" t="s">
        <v>889</v>
      </c>
      <c r="U98" s="38">
        <f t="shared" si="9"/>
        <v>553239.6</v>
      </c>
      <c r="V98" s="15" t="str">
        <f t="shared" si="8"/>
        <v>101020402</v>
      </c>
      <c r="W98" s="39">
        <v>1</v>
      </c>
      <c r="X98" s="40" t="s">
        <v>632</v>
      </c>
      <c r="Y98" s="40" t="s">
        <v>647</v>
      </c>
      <c r="Z98" s="50" t="str">
        <f t="shared" si="12"/>
        <v>04</v>
      </c>
      <c r="AA98" s="40" t="s">
        <v>647</v>
      </c>
      <c r="AB98" s="41" t="s">
        <v>889</v>
      </c>
      <c r="AC98" s="9"/>
      <c r="AD98" s="523">
        <v>0</v>
      </c>
      <c r="AE98" s="523" t="s">
        <v>13319</v>
      </c>
      <c r="AF98" s="523" t="s">
        <v>890</v>
      </c>
      <c r="AG98" s="524" t="s">
        <v>891</v>
      </c>
      <c r="AH98" s="9"/>
      <c r="AI98" s="10"/>
      <c r="AJ98" s="9"/>
      <c r="AK98" s="10"/>
      <c r="AL98" s="10"/>
    </row>
    <row r="99" spans="1:38" ht="33.75" hidden="1">
      <c r="A99" s="1">
        <f t="shared" si="10"/>
        <v>0</v>
      </c>
      <c r="C99" s="3" t="s">
        <v>918</v>
      </c>
      <c r="D99" s="15" t="s">
        <v>16</v>
      </c>
      <c r="E99" s="30"/>
      <c r="F99" s="31" t="s">
        <v>919</v>
      </c>
      <c r="G99" s="32">
        <f>G100+G101+G102+G103+G104+G105+G106-G107-G108-G109-G110-G111-G112-G113</f>
        <v>10904875.970000003</v>
      </c>
      <c r="H99" s="32">
        <f>H100+H101+H102+H103+H104+H105+H106-H107-H108-H109-H110-H111-H112-H113</f>
        <v>9841148.5999999978</v>
      </c>
      <c r="I99" s="507"/>
      <c r="J99" s="508"/>
      <c r="K99" s="513"/>
      <c r="L99" s="513"/>
      <c r="M99" s="513"/>
      <c r="N99" s="514"/>
      <c r="O99" s="513"/>
      <c r="P99" s="513"/>
      <c r="Q99" s="513"/>
      <c r="R99" s="513"/>
      <c r="S99" s="513"/>
      <c r="T99" s="514"/>
      <c r="U99" s="32">
        <f>U100+U101+U102+U103+U104+U105+U106-U107-U108-U109-U110-U111-U112-U113</f>
        <v>9841148.5999999978</v>
      </c>
      <c r="V99" s="15" t="str">
        <f t="shared" si="8"/>
        <v>101020500</v>
      </c>
      <c r="W99" s="33">
        <v>1</v>
      </c>
      <c r="X99" s="34" t="s">
        <v>632</v>
      </c>
      <c r="Y99" s="34" t="s">
        <v>647</v>
      </c>
      <c r="Z99" s="35" t="s">
        <v>714</v>
      </c>
      <c r="AA99" s="35" t="s">
        <v>630</v>
      </c>
      <c r="AB99" s="31" t="s">
        <v>919</v>
      </c>
      <c r="AC99" s="529">
        <f>AC100+AC101+AC102+AC103+AC104+AC105+AC106-AC107-AC108-AC109-AC110-AC111-AC112-AC113</f>
        <v>0</v>
      </c>
      <c r="AD99" s="513">
        <v>0</v>
      </c>
      <c r="AE99" s="513" t="s">
        <v>13333</v>
      </c>
      <c r="AF99" s="513" t="s">
        <v>615</v>
      </c>
      <c r="AG99" s="514" t="s">
        <v>920</v>
      </c>
      <c r="AH99" s="44">
        <f>AH100+AH101+AH102+AH103+AH104+AH105+AH106-AH107-AH108-AH109-AH110-AH111-AH112-AH113</f>
        <v>0</v>
      </c>
      <c r="AI99" s="10"/>
      <c r="AJ99" s="9">
        <f>AH99-H99</f>
        <v>-9841148.5999999978</v>
      </c>
      <c r="AK99" s="10"/>
      <c r="AL99" s="10"/>
    </row>
    <row r="100" spans="1:38" ht="22.5" hidden="1">
      <c r="A100" s="1">
        <f t="shared" si="10"/>
        <v>0</v>
      </c>
      <c r="B100" s="2" t="s">
        <v>921</v>
      </c>
      <c r="C100" s="3" t="s">
        <v>922</v>
      </c>
      <c r="D100" s="15" t="s">
        <v>11373</v>
      </c>
      <c r="E100" s="4" t="s">
        <v>921</v>
      </c>
      <c r="F100" s="37" t="s">
        <v>922</v>
      </c>
      <c r="G100" s="38">
        <v>12012226.630000001</v>
      </c>
      <c r="H100" s="38">
        <v>13239506.59</v>
      </c>
      <c r="I100" s="15"/>
      <c r="J100" s="494">
        <v>10102050101</v>
      </c>
      <c r="K100" s="517"/>
      <c r="L100" s="517" t="s">
        <v>13320</v>
      </c>
      <c r="M100" s="517" t="s">
        <v>924</v>
      </c>
      <c r="N100" s="518" t="s">
        <v>925</v>
      </c>
      <c r="O100" s="517">
        <v>1</v>
      </c>
      <c r="P100" s="517" t="s">
        <v>632</v>
      </c>
      <c r="Q100" s="517" t="s">
        <v>647</v>
      </c>
      <c r="R100" s="517" t="s">
        <v>714</v>
      </c>
      <c r="S100" s="517" t="s">
        <v>632</v>
      </c>
      <c r="T100" s="518" t="s">
        <v>923</v>
      </c>
      <c r="U100" s="38">
        <f t="shared" si="9"/>
        <v>13239506.59</v>
      </c>
      <c r="V100" s="15" t="str">
        <f t="shared" si="8"/>
        <v>101020501</v>
      </c>
      <c r="W100" s="39">
        <v>1</v>
      </c>
      <c r="X100" s="40" t="s">
        <v>632</v>
      </c>
      <c r="Y100" s="40" t="s">
        <v>647</v>
      </c>
      <c r="Z100" s="50" t="str">
        <f>Z99</f>
        <v>05</v>
      </c>
      <c r="AA100" s="40" t="s">
        <v>632</v>
      </c>
      <c r="AB100" s="41" t="s">
        <v>923</v>
      </c>
      <c r="AC100" s="519">
        <f>SUBTOTAL(9,H100:H106)</f>
        <v>0</v>
      </c>
      <c r="AD100" s="517">
        <v>0</v>
      </c>
      <c r="AE100" s="517" t="s">
        <v>13320</v>
      </c>
      <c r="AF100" s="517" t="s">
        <v>924</v>
      </c>
      <c r="AG100" s="520" t="s">
        <v>925</v>
      </c>
      <c r="AH100" s="67">
        <f>AC100</f>
        <v>0</v>
      </c>
      <c r="AI100" s="10"/>
      <c r="AJ100" s="9"/>
      <c r="AK100" s="10"/>
      <c r="AL100" s="10"/>
    </row>
    <row r="101" spans="1:38" ht="22.5" hidden="1">
      <c r="A101" s="1">
        <f t="shared" si="10"/>
        <v>0</v>
      </c>
      <c r="B101" s="2" t="s">
        <v>926</v>
      </c>
      <c r="C101" s="3" t="s">
        <v>927</v>
      </c>
      <c r="D101" s="15" t="s">
        <v>11373</v>
      </c>
      <c r="E101" s="4" t="s">
        <v>926</v>
      </c>
      <c r="F101" s="37" t="s">
        <v>927</v>
      </c>
      <c r="G101" s="38">
        <v>0</v>
      </c>
      <c r="H101" s="38">
        <v>0</v>
      </c>
      <c r="I101" s="15"/>
      <c r="J101" s="494">
        <v>10102050102</v>
      </c>
      <c r="K101" s="517"/>
      <c r="L101" s="517" t="s">
        <v>13320</v>
      </c>
      <c r="M101" s="517" t="s">
        <v>924</v>
      </c>
      <c r="N101" s="518" t="s">
        <v>925</v>
      </c>
      <c r="O101" s="517">
        <v>1</v>
      </c>
      <c r="P101" s="517" t="s">
        <v>632</v>
      </c>
      <c r="Q101" s="517" t="s">
        <v>647</v>
      </c>
      <c r="R101" s="517" t="s">
        <v>714</v>
      </c>
      <c r="S101" s="517" t="s">
        <v>632</v>
      </c>
      <c r="T101" s="518" t="s">
        <v>923</v>
      </c>
      <c r="U101" s="38">
        <f t="shared" si="9"/>
        <v>0</v>
      </c>
      <c r="V101" s="15" t="str">
        <f t="shared" si="8"/>
        <v>101020501</v>
      </c>
      <c r="W101" s="39">
        <v>1</v>
      </c>
      <c r="X101" s="40" t="s">
        <v>632</v>
      </c>
      <c r="Y101" s="40" t="s">
        <v>647</v>
      </c>
      <c r="Z101" s="50" t="str">
        <f t="shared" ref="Z101:Z106" si="13">Z100</f>
        <v>05</v>
      </c>
      <c r="AA101" s="40" t="s">
        <v>632</v>
      </c>
      <c r="AB101" s="41" t="s">
        <v>923</v>
      </c>
      <c r="AC101" s="9"/>
      <c r="AD101" s="517">
        <v>0</v>
      </c>
      <c r="AE101" s="517" t="s">
        <v>13320</v>
      </c>
      <c r="AF101" s="517" t="s">
        <v>924</v>
      </c>
      <c r="AG101" s="520" t="s">
        <v>925</v>
      </c>
      <c r="AH101" s="9"/>
      <c r="AI101" s="10"/>
      <c r="AJ101" s="9"/>
      <c r="AK101" s="10"/>
      <c r="AL101" s="10"/>
    </row>
    <row r="102" spans="1:38" ht="22.5" hidden="1">
      <c r="A102" s="1">
        <f t="shared" si="10"/>
        <v>0</v>
      </c>
      <c r="B102" s="2" t="s">
        <v>928</v>
      </c>
      <c r="C102" s="3" t="s">
        <v>929</v>
      </c>
      <c r="D102" s="15" t="s">
        <v>11373</v>
      </c>
      <c r="E102" s="4" t="s">
        <v>928</v>
      </c>
      <c r="F102" s="37" t="s">
        <v>929</v>
      </c>
      <c r="G102" s="38">
        <v>11220781.65</v>
      </c>
      <c r="H102" s="38">
        <v>11127033.630000001</v>
      </c>
      <c r="I102" s="15"/>
      <c r="J102" s="494">
        <v>10102050103</v>
      </c>
      <c r="L102" s="523" t="s">
        <v>13320</v>
      </c>
      <c r="M102" s="523" t="s">
        <v>924</v>
      </c>
      <c r="N102" s="518" t="s">
        <v>925</v>
      </c>
      <c r="O102" s="523">
        <v>1</v>
      </c>
      <c r="P102" s="523" t="s">
        <v>632</v>
      </c>
      <c r="Q102" s="523" t="s">
        <v>647</v>
      </c>
      <c r="R102" s="523" t="s">
        <v>714</v>
      </c>
      <c r="S102" s="523" t="s">
        <v>632</v>
      </c>
      <c r="T102" s="518" t="s">
        <v>923</v>
      </c>
      <c r="U102" s="38">
        <f t="shared" si="9"/>
        <v>11127033.630000001</v>
      </c>
      <c r="V102" s="15" t="str">
        <f t="shared" si="8"/>
        <v>101020501</v>
      </c>
      <c r="W102" s="39">
        <v>1</v>
      </c>
      <c r="X102" s="40" t="s">
        <v>632</v>
      </c>
      <c r="Y102" s="40" t="s">
        <v>647</v>
      </c>
      <c r="Z102" s="50" t="str">
        <f t="shared" si="13"/>
        <v>05</v>
      </c>
      <c r="AA102" s="40" t="s">
        <v>632</v>
      </c>
      <c r="AB102" s="41" t="s">
        <v>923</v>
      </c>
      <c r="AC102" s="9"/>
      <c r="AD102" s="523">
        <v>0</v>
      </c>
      <c r="AE102" s="523" t="s">
        <v>13320</v>
      </c>
      <c r="AF102" s="523" t="s">
        <v>924</v>
      </c>
      <c r="AG102" s="524" t="s">
        <v>925</v>
      </c>
      <c r="AH102" s="9"/>
      <c r="AI102" s="10"/>
      <c r="AJ102" s="9"/>
      <c r="AK102" s="10"/>
      <c r="AL102" s="10"/>
    </row>
    <row r="103" spans="1:38" ht="22.5" hidden="1">
      <c r="A103" s="1">
        <f t="shared" si="10"/>
        <v>0</v>
      </c>
      <c r="B103" s="2" t="s">
        <v>930</v>
      </c>
      <c r="C103" s="3" t="s">
        <v>931</v>
      </c>
      <c r="D103" s="15" t="s">
        <v>11373</v>
      </c>
      <c r="E103" s="4" t="s">
        <v>930</v>
      </c>
      <c r="F103" s="37" t="s">
        <v>931</v>
      </c>
      <c r="G103" s="38">
        <v>533222.79</v>
      </c>
      <c r="H103" s="38">
        <v>650047.55000000005</v>
      </c>
      <c r="I103" s="15"/>
      <c r="J103" s="494">
        <v>10102050104</v>
      </c>
      <c r="L103" s="523" t="s">
        <v>13320</v>
      </c>
      <c r="M103" s="523" t="s">
        <v>924</v>
      </c>
      <c r="N103" s="518" t="s">
        <v>925</v>
      </c>
      <c r="O103" s="523">
        <v>1</v>
      </c>
      <c r="P103" s="523" t="s">
        <v>632</v>
      </c>
      <c r="Q103" s="523" t="s">
        <v>647</v>
      </c>
      <c r="R103" s="523" t="s">
        <v>714</v>
      </c>
      <c r="S103" s="523" t="s">
        <v>632</v>
      </c>
      <c r="T103" s="518" t="s">
        <v>923</v>
      </c>
      <c r="U103" s="38">
        <f t="shared" si="9"/>
        <v>650047.55000000005</v>
      </c>
      <c r="V103" s="15" t="str">
        <f t="shared" si="8"/>
        <v>101020501</v>
      </c>
      <c r="W103" s="39">
        <v>1</v>
      </c>
      <c r="X103" s="40" t="s">
        <v>632</v>
      </c>
      <c r="Y103" s="40" t="s">
        <v>647</v>
      </c>
      <c r="Z103" s="50" t="str">
        <f t="shared" si="13"/>
        <v>05</v>
      </c>
      <c r="AA103" s="40" t="s">
        <v>632</v>
      </c>
      <c r="AB103" s="41" t="s">
        <v>923</v>
      </c>
      <c r="AC103" s="9"/>
      <c r="AD103" s="523">
        <v>0</v>
      </c>
      <c r="AE103" s="523" t="s">
        <v>13320</v>
      </c>
      <c r="AF103" s="523" t="s">
        <v>924</v>
      </c>
      <c r="AG103" s="524" t="s">
        <v>925</v>
      </c>
      <c r="AH103" s="9"/>
      <c r="AI103" s="10"/>
      <c r="AJ103" s="9"/>
      <c r="AK103" s="10"/>
      <c r="AL103" s="10"/>
    </row>
    <row r="104" spans="1:38" ht="22.5" hidden="1">
      <c r="A104" s="1">
        <f t="shared" si="10"/>
        <v>0</v>
      </c>
      <c r="B104" s="2" t="s">
        <v>932</v>
      </c>
      <c r="C104" s="3" t="s">
        <v>933</v>
      </c>
      <c r="D104" s="15" t="s">
        <v>11373</v>
      </c>
      <c r="E104" s="4" t="s">
        <v>932</v>
      </c>
      <c r="F104" s="37" t="s">
        <v>933</v>
      </c>
      <c r="G104" s="38">
        <v>0</v>
      </c>
      <c r="H104" s="38">
        <v>0</v>
      </c>
      <c r="I104" s="15"/>
      <c r="J104" s="494">
        <v>10102050105</v>
      </c>
      <c r="L104" s="523" t="s">
        <v>13320</v>
      </c>
      <c r="M104" s="523" t="s">
        <v>924</v>
      </c>
      <c r="N104" s="518" t="s">
        <v>925</v>
      </c>
      <c r="O104" s="523">
        <v>1</v>
      </c>
      <c r="P104" s="523" t="s">
        <v>632</v>
      </c>
      <c r="Q104" s="523" t="s">
        <v>647</v>
      </c>
      <c r="R104" s="523" t="s">
        <v>714</v>
      </c>
      <c r="S104" s="523" t="s">
        <v>632</v>
      </c>
      <c r="T104" s="518" t="s">
        <v>923</v>
      </c>
      <c r="U104" s="38">
        <f t="shared" si="9"/>
        <v>0</v>
      </c>
      <c r="V104" s="15" t="str">
        <f t="shared" si="8"/>
        <v>101020501</v>
      </c>
      <c r="W104" s="39">
        <v>1</v>
      </c>
      <c r="X104" s="40" t="s">
        <v>632</v>
      </c>
      <c r="Y104" s="40" t="s">
        <v>647</v>
      </c>
      <c r="Z104" s="50" t="str">
        <f t="shared" si="13"/>
        <v>05</v>
      </c>
      <c r="AA104" s="40" t="s">
        <v>632</v>
      </c>
      <c r="AB104" s="41" t="s">
        <v>923</v>
      </c>
      <c r="AC104" s="9"/>
      <c r="AD104" s="523">
        <v>0</v>
      </c>
      <c r="AE104" s="523" t="s">
        <v>13320</v>
      </c>
      <c r="AF104" s="523" t="s">
        <v>924</v>
      </c>
      <c r="AG104" s="524" t="s">
        <v>925</v>
      </c>
      <c r="AH104" s="9"/>
      <c r="AI104" s="10"/>
      <c r="AJ104" s="9"/>
      <c r="AK104" s="10"/>
      <c r="AL104" s="10"/>
    </row>
    <row r="105" spans="1:38" ht="22.5" hidden="1">
      <c r="A105" s="1">
        <f t="shared" si="10"/>
        <v>0</v>
      </c>
      <c r="B105" s="2" t="s">
        <v>934</v>
      </c>
      <c r="C105" s="3" t="s">
        <v>935</v>
      </c>
      <c r="D105" s="15" t="s">
        <v>11373</v>
      </c>
      <c r="E105" s="4" t="s">
        <v>934</v>
      </c>
      <c r="F105" s="37" t="s">
        <v>935</v>
      </c>
      <c r="G105" s="38">
        <v>30470485.559999999</v>
      </c>
      <c r="H105" s="38">
        <v>31310918.780000001</v>
      </c>
      <c r="I105" s="15"/>
      <c r="J105" s="494">
        <v>10102050106</v>
      </c>
      <c r="L105" s="523" t="s">
        <v>13320</v>
      </c>
      <c r="M105" s="523" t="s">
        <v>924</v>
      </c>
      <c r="N105" s="518" t="s">
        <v>925</v>
      </c>
      <c r="O105" s="523">
        <v>1</v>
      </c>
      <c r="P105" s="523" t="s">
        <v>632</v>
      </c>
      <c r="Q105" s="523" t="s">
        <v>647</v>
      </c>
      <c r="R105" s="523" t="s">
        <v>714</v>
      </c>
      <c r="S105" s="523" t="s">
        <v>632</v>
      </c>
      <c r="T105" s="518" t="s">
        <v>923</v>
      </c>
      <c r="U105" s="38">
        <f t="shared" si="9"/>
        <v>31310918.780000001</v>
      </c>
      <c r="V105" s="15" t="str">
        <f t="shared" si="8"/>
        <v>101020501</v>
      </c>
      <c r="W105" s="39">
        <v>1</v>
      </c>
      <c r="X105" s="40" t="s">
        <v>632</v>
      </c>
      <c r="Y105" s="40" t="s">
        <v>647</v>
      </c>
      <c r="Z105" s="50" t="str">
        <f t="shared" si="13"/>
        <v>05</v>
      </c>
      <c r="AA105" s="40" t="s">
        <v>632</v>
      </c>
      <c r="AB105" s="41" t="s">
        <v>923</v>
      </c>
      <c r="AC105" s="9"/>
      <c r="AD105" s="523">
        <v>0</v>
      </c>
      <c r="AE105" s="523" t="s">
        <v>13320</v>
      </c>
      <c r="AF105" s="523" t="s">
        <v>924</v>
      </c>
      <c r="AG105" s="524" t="s">
        <v>925</v>
      </c>
      <c r="AH105" s="9"/>
      <c r="AI105" s="10"/>
      <c r="AJ105" s="9"/>
      <c r="AK105" s="10"/>
      <c r="AL105" s="10"/>
    </row>
    <row r="106" spans="1:38" ht="22.5" hidden="1">
      <c r="A106" s="1">
        <f t="shared" si="10"/>
        <v>0</v>
      </c>
      <c r="B106" s="2" t="s">
        <v>936</v>
      </c>
      <c r="C106" s="3" t="s">
        <v>937</v>
      </c>
      <c r="D106" s="15" t="s">
        <v>11373</v>
      </c>
      <c r="E106" s="4" t="s">
        <v>936</v>
      </c>
      <c r="F106" s="37" t="s">
        <v>937</v>
      </c>
      <c r="G106" s="38">
        <v>4056010.52</v>
      </c>
      <c r="H106" s="38">
        <v>4181975.15</v>
      </c>
      <c r="I106" s="15"/>
      <c r="J106" s="494">
        <v>10102050107</v>
      </c>
      <c r="L106" s="523" t="s">
        <v>13320</v>
      </c>
      <c r="M106" s="523" t="s">
        <v>924</v>
      </c>
      <c r="N106" s="518" t="s">
        <v>925</v>
      </c>
      <c r="O106" s="523">
        <v>1</v>
      </c>
      <c r="P106" s="523" t="s">
        <v>632</v>
      </c>
      <c r="Q106" s="523" t="s">
        <v>647</v>
      </c>
      <c r="R106" s="523" t="s">
        <v>714</v>
      </c>
      <c r="S106" s="523" t="s">
        <v>632</v>
      </c>
      <c r="T106" s="518" t="s">
        <v>923</v>
      </c>
      <c r="U106" s="38">
        <f t="shared" si="9"/>
        <v>4181975.15</v>
      </c>
      <c r="V106" s="15" t="str">
        <f t="shared" si="8"/>
        <v>101020501</v>
      </c>
      <c r="W106" s="39">
        <v>1</v>
      </c>
      <c r="X106" s="40" t="s">
        <v>632</v>
      </c>
      <c r="Y106" s="40" t="s">
        <v>647</v>
      </c>
      <c r="Z106" s="50" t="str">
        <f t="shared" si="13"/>
        <v>05</v>
      </c>
      <c r="AA106" s="40" t="s">
        <v>632</v>
      </c>
      <c r="AB106" s="41" t="s">
        <v>923</v>
      </c>
      <c r="AC106" s="9"/>
      <c r="AD106" s="523">
        <v>0</v>
      </c>
      <c r="AE106" s="523" t="s">
        <v>13320</v>
      </c>
      <c r="AF106" s="523" t="s">
        <v>924</v>
      </c>
      <c r="AG106" s="524" t="s">
        <v>925</v>
      </c>
      <c r="AH106" s="9"/>
      <c r="AI106" s="10"/>
      <c r="AJ106" s="9"/>
      <c r="AK106" s="10"/>
      <c r="AL106" s="10"/>
    </row>
    <row r="107" spans="1:38" ht="33.75" hidden="1">
      <c r="A107" s="1">
        <f t="shared" si="10"/>
        <v>0</v>
      </c>
      <c r="B107" s="2" t="s">
        <v>938</v>
      </c>
      <c r="C107" s="3" t="s">
        <v>939</v>
      </c>
      <c r="D107" s="15" t="s">
        <v>11374</v>
      </c>
      <c r="E107" s="4" t="s">
        <v>938</v>
      </c>
      <c r="F107" s="37" t="s">
        <v>939</v>
      </c>
      <c r="G107" s="38">
        <v>9309561.8300000001</v>
      </c>
      <c r="H107" s="38">
        <v>10031806.390000001</v>
      </c>
      <c r="I107" s="15"/>
      <c r="J107" s="494">
        <v>10102050201</v>
      </c>
      <c r="K107" s="517"/>
      <c r="L107" s="517" t="s">
        <v>13321</v>
      </c>
      <c r="M107" s="517" t="s">
        <v>941</v>
      </c>
      <c r="N107" s="518" t="s">
        <v>942</v>
      </c>
      <c r="O107" s="517">
        <v>1</v>
      </c>
      <c r="P107" s="517" t="s">
        <v>632</v>
      </c>
      <c r="Q107" s="517" t="s">
        <v>647</v>
      </c>
      <c r="R107" s="517" t="s">
        <v>714</v>
      </c>
      <c r="S107" s="517" t="s">
        <v>647</v>
      </c>
      <c r="T107" s="518" t="s">
        <v>940</v>
      </c>
      <c r="U107" s="38">
        <f t="shared" si="9"/>
        <v>10031806.390000001</v>
      </c>
      <c r="V107" s="15" t="str">
        <f t="shared" si="8"/>
        <v>101020502</v>
      </c>
      <c r="W107" s="39">
        <v>1</v>
      </c>
      <c r="X107" s="40" t="s">
        <v>632</v>
      </c>
      <c r="Y107" s="40" t="s">
        <v>647</v>
      </c>
      <c r="Z107" s="50" t="str">
        <f>Z100</f>
        <v>05</v>
      </c>
      <c r="AA107" s="40" t="s">
        <v>647</v>
      </c>
      <c r="AB107" s="41" t="s">
        <v>940</v>
      </c>
      <c r="AC107" s="519">
        <f>SUBTOTAL(9,H107:H113)</f>
        <v>0</v>
      </c>
      <c r="AD107" s="517">
        <v>0</v>
      </c>
      <c r="AE107" s="517" t="s">
        <v>13321</v>
      </c>
      <c r="AF107" s="517" t="s">
        <v>941</v>
      </c>
      <c r="AG107" s="520" t="s">
        <v>942</v>
      </c>
      <c r="AH107" s="67">
        <f>AC107</f>
        <v>0</v>
      </c>
      <c r="AI107" s="10"/>
      <c r="AJ107" s="9"/>
      <c r="AK107" s="10"/>
      <c r="AL107" s="10"/>
    </row>
    <row r="108" spans="1:38" ht="33.75" hidden="1">
      <c r="A108" s="1">
        <f t="shared" si="10"/>
        <v>0</v>
      </c>
      <c r="B108" s="2" t="s">
        <v>943</v>
      </c>
      <c r="C108" s="3" t="s">
        <v>944</v>
      </c>
      <c r="D108" s="15" t="s">
        <v>11374</v>
      </c>
      <c r="E108" s="4" t="s">
        <v>943</v>
      </c>
      <c r="F108" s="37" t="s">
        <v>944</v>
      </c>
      <c r="G108" s="38">
        <v>0</v>
      </c>
      <c r="H108" s="38">
        <v>0</v>
      </c>
      <c r="I108" s="15"/>
      <c r="J108" s="494">
        <v>10102050202</v>
      </c>
      <c r="L108" s="523" t="s">
        <v>13321</v>
      </c>
      <c r="M108" s="523" t="s">
        <v>941</v>
      </c>
      <c r="N108" s="518" t="s">
        <v>942</v>
      </c>
      <c r="O108" s="523">
        <v>1</v>
      </c>
      <c r="P108" s="523" t="s">
        <v>632</v>
      </c>
      <c r="Q108" s="523" t="s">
        <v>647</v>
      </c>
      <c r="R108" s="523" t="s">
        <v>714</v>
      </c>
      <c r="S108" s="523" t="s">
        <v>647</v>
      </c>
      <c r="T108" s="518" t="s">
        <v>940</v>
      </c>
      <c r="U108" s="38">
        <f t="shared" si="9"/>
        <v>0</v>
      </c>
      <c r="V108" s="15" t="str">
        <f t="shared" si="8"/>
        <v>101020502</v>
      </c>
      <c r="W108" s="39">
        <v>1</v>
      </c>
      <c r="X108" s="40" t="s">
        <v>632</v>
      </c>
      <c r="Y108" s="40" t="s">
        <v>647</v>
      </c>
      <c r="Z108" s="50" t="str">
        <f t="shared" ref="Z108:Z113" si="14">Z101</f>
        <v>05</v>
      </c>
      <c r="AA108" s="40" t="s">
        <v>647</v>
      </c>
      <c r="AB108" s="41" t="s">
        <v>940</v>
      </c>
      <c r="AC108" s="9"/>
      <c r="AD108" s="523">
        <v>0</v>
      </c>
      <c r="AE108" s="523" t="s">
        <v>13321</v>
      </c>
      <c r="AF108" s="523" t="s">
        <v>941</v>
      </c>
      <c r="AG108" s="524" t="s">
        <v>942</v>
      </c>
      <c r="AH108" s="9"/>
      <c r="AI108" s="10"/>
      <c r="AJ108" s="9"/>
      <c r="AK108" s="10"/>
      <c r="AL108" s="10"/>
    </row>
    <row r="109" spans="1:38" ht="33.75" hidden="1">
      <c r="A109" s="1">
        <f t="shared" si="10"/>
        <v>0</v>
      </c>
      <c r="B109" s="2" t="s">
        <v>945</v>
      </c>
      <c r="C109" s="3" t="s">
        <v>946</v>
      </c>
      <c r="D109" s="15" t="s">
        <v>11374</v>
      </c>
      <c r="E109" s="4" t="s">
        <v>945</v>
      </c>
      <c r="F109" s="37" t="s">
        <v>946</v>
      </c>
      <c r="G109" s="38">
        <v>10291388.640000001</v>
      </c>
      <c r="H109" s="38">
        <v>10557906.880000001</v>
      </c>
      <c r="I109" s="15"/>
      <c r="J109" s="494">
        <v>10102050203</v>
      </c>
      <c r="L109" s="523" t="s">
        <v>13321</v>
      </c>
      <c r="M109" s="523" t="s">
        <v>941</v>
      </c>
      <c r="N109" s="518" t="s">
        <v>942</v>
      </c>
      <c r="O109" s="523">
        <v>1</v>
      </c>
      <c r="P109" s="523" t="s">
        <v>632</v>
      </c>
      <c r="Q109" s="523" t="s">
        <v>647</v>
      </c>
      <c r="R109" s="523" t="s">
        <v>714</v>
      </c>
      <c r="S109" s="523" t="s">
        <v>647</v>
      </c>
      <c r="T109" s="518" t="s">
        <v>940</v>
      </c>
      <c r="U109" s="38">
        <f t="shared" si="9"/>
        <v>10557906.880000001</v>
      </c>
      <c r="V109" s="15" t="str">
        <f t="shared" si="8"/>
        <v>101020502</v>
      </c>
      <c r="W109" s="39">
        <v>1</v>
      </c>
      <c r="X109" s="40" t="s">
        <v>632</v>
      </c>
      <c r="Y109" s="40" t="s">
        <v>647</v>
      </c>
      <c r="Z109" s="50" t="str">
        <f t="shared" si="14"/>
        <v>05</v>
      </c>
      <c r="AA109" s="40" t="s">
        <v>647</v>
      </c>
      <c r="AB109" s="41" t="s">
        <v>940</v>
      </c>
      <c r="AC109" s="9"/>
      <c r="AD109" s="523">
        <v>0</v>
      </c>
      <c r="AE109" s="523" t="s">
        <v>13321</v>
      </c>
      <c r="AF109" s="523" t="s">
        <v>941</v>
      </c>
      <c r="AG109" s="524" t="s">
        <v>942</v>
      </c>
      <c r="AH109" s="9"/>
      <c r="AI109" s="10"/>
      <c r="AJ109" s="9"/>
      <c r="AK109" s="10"/>
      <c r="AL109" s="10"/>
    </row>
    <row r="110" spans="1:38" ht="33.75" hidden="1">
      <c r="A110" s="1">
        <f t="shared" si="10"/>
        <v>0</v>
      </c>
      <c r="B110" s="2" t="s">
        <v>947</v>
      </c>
      <c r="C110" s="3" t="s">
        <v>948</v>
      </c>
      <c r="D110" s="15" t="s">
        <v>11374</v>
      </c>
      <c r="E110" s="4" t="s">
        <v>947</v>
      </c>
      <c r="F110" s="37" t="s">
        <v>948</v>
      </c>
      <c r="G110" s="38">
        <v>454747.15</v>
      </c>
      <c r="H110" s="38">
        <v>481849.44</v>
      </c>
      <c r="I110" s="15"/>
      <c r="J110" s="494">
        <v>10102050204</v>
      </c>
      <c r="L110" s="523" t="s">
        <v>13321</v>
      </c>
      <c r="M110" s="523" t="s">
        <v>941</v>
      </c>
      <c r="N110" s="518" t="s">
        <v>942</v>
      </c>
      <c r="O110" s="523">
        <v>1</v>
      </c>
      <c r="P110" s="523" t="s">
        <v>632</v>
      </c>
      <c r="Q110" s="523" t="s">
        <v>647</v>
      </c>
      <c r="R110" s="523" t="s">
        <v>714</v>
      </c>
      <c r="S110" s="523" t="s">
        <v>647</v>
      </c>
      <c r="T110" s="518" t="s">
        <v>940</v>
      </c>
      <c r="U110" s="38">
        <f t="shared" si="9"/>
        <v>481849.44</v>
      </c>
      <c r="V110" s="15" t="str">
        <f t="shared" si="8"/>
        <v>101020502</v>
      </c>
      <c r="W110" s="39">
        <v>1</v>
      </c>
      <c r="X110" s="40" t="s">
        <v>632</v>
      </c>
      <c r="Y110" s="40" t="s">
        <v>647</v>
      </c>
      <c r="Z110" s="50" t="str">
        <f t="shared" si="14"/>
        <v>05</v>
      </c>
      <c r="AA110" s="40" t="s">
        <v>647</v>
      </c>
      <c r="AB110" s="41" t="s">
        <v>940</v>
      </c>
      <c r="AC110" s="9"/>
      <c r="AD110" s="523">
        <v>0</v>
      </c>
      <c r="AE110" s="523" t="s">
        <v>13321</v>
      </c>
      <c r="AF110" s="523" t="s">
        <v>941</v>
      </c>
      <c r="AG110" s="524" t="s">
        <v>942</v>
      </c>
      <c r="AH110" s="9"/>
      <c r="AI110" s="10"/>
      <c r="AJ110" s="9"/>
      <c r="AK110" s="10"/>
      <c r="AL110" s="10"/>
    </row>
    <row r="111" spans="1:38" ht="33.75" hidden="1">
      <c r="A111" s="1">
        <f t="shared" si="10"/>
        <v>0</v>
      </c>
      <c r="B111" s="2" t="s">
        <v>949</v>
      </c>
      <c r="C111" s="3" t="s">
        <v>950</v>
      </c>
      <c r="D111" s="15" t="s">
        <v>11374</v>
      </c>
      <c r="E111" s="4" t="s">
        <v>949</v>
      </c>
      <c r="F111" s="37" t="s">
        <v>950</v>
      </c>
      <c r="G111" s="38">
        <v>0</v>
      </c>
      <c r="H111" s="38">
        <v>0</v>
      </c>
      <c r="I111" s="15"/>
      <c r="J111" s="494">
        <v>10102050205</v>
      </c>
      <c r="L111" s="523" t="s">
        <v>13321</v>
      </c>
      <c r="M111" s="523" t="s">
        <v>941</v>
      </c>
      <c r="N111" s="518" t="s">
        <v>942</v>
      </c>
      <c r="O111" s="523">
        <v>1</v>
      </c>
      <c r="P111" s="523" t="s">
        <v>632</v>
      </c>
      <c r="Q111" s="523" t="s">
        <v>647</v>
      </c>
      <c r="R111" s="523" t="s">
        <v>714</v>
      </c>
      <c r="S111" s="523" t="s">
        <v>647</v>
      </c>
      <c r="T111" s="518" t="s">
        <v>940</v>
      </c>
      <c r="U111" s="38">
        <f t="shared" si="9"/>
        <v>0</v>
      </c>
      <c r="V111" s="15" t="str">
        <f t="shared" si="8"/>
        <v>101020502</v>
      </c>
      <c r="W111" s="39">
        <v>1</v>
      </c>
      <c r="X111" s="40" t="s">
        <v>632</v>
      </c>
      <c r="Y111" s="40" t="s">
        <v>647</v>
      </c>
      <c r="Z111" s="50" t="str">
        <f t="shared" si="14"/>
        <v>05</v>
      </c>
      <c r="AA111" s="40" t="s">
        <v>647</v>
      </c>
      <c r="AB111" s="41" t="s">
        <v>940</v>
      </c>
      <c r="AC111" s="9"/>
      <c r="AD111" s="523">
        <v>0</v>
      </c>
      <c r="AE111" s="523" t="s">
        <v>13321</v>
      </c>
      <c r="AF111" s="523" t="s">
        <v>941</v>
      </c>
      <c r="AG111" s="524" t="s">
        <v>942</v>
      </c>
      <c r="AH111" s="9"/>
      <c r="AI111" s="10"/>
      <c r="AJ111" s="9"/>
      <c r="AK111" s="10"/>
      <c r="AL111" s="10"/>
    </row>
    <row r="112" spans="1:38" ht="33.75" hidden="1">
      <c r="A112" s="1">
        <f t="shared" si="10"/>
        <v>0</v>
      </c>
      <c r="B112" s="2" t="s">
        <v>951</v>
      </c>
      <c r="C112" s="3" t="s">
        <v>952</v>
      </c>
      <c r="D112" s="15" t="s">
        <v>11374</v>
      </c>
      <c r="E112" s="4" t="s">
        <v>951</v>
      </c>
      <c r="F112" s="37" t="s">
        <v>952</v>
      </c>
      <c r="G112" s="38">
        <v>3652562.36</v>
      </c>
      <c r="H112" s="38">
        <v>3784326.15</v>
      </c>
      <c r="I112" s="15"/>
      <c r="J112" s="494">
        <v>10102050206</v>
      </c>
      <c r="L112" s="523" t="s">
        <v>13321</v>
      </c>
      <c r="M112" s="523" t="s">
        <v>941</v>
      </c>
      <c r="N112" s="518" t="s">
        <v>942</v>
      </c>
      <c r="O112" s="523">
        <v>1</v>
      </c>
      <c r="P112" s="523" t="s">
        <v>632</v>
      </c>
      <c r="Q112" s="523" t="s">
        <v>647</v>
      </c>
      <c r="R112" s="523" t="s">
        <v>714</v>
      </c>
      <c r="S112" s="523" t="s">
        <v>647</v>
      </c>
      <c r="T112" s="518" t="s">
        <v>940</v>
      </c>
      <c r="U112" s="38">
        <f t="shared" si="9"/>
        <v>3784326.15</v>
      </c>
      <c r="V112" s="15" t="str">
        <f t="shared" si="8"/>
        <v>101020502</v>
      </c>
      <c r="W112" s="39">
        <v>1</v>
      </c>
      <c r="X112" s="40" t="s">
        <v>632</v>
      </c>
      <c r="Y112" s="40" t="s">
        <v>647</v>
      </c>
      <c r="Z112" s="50" t="str">
        <f t="shared" si="14"/>
        <v>05</v>
      </c>
      <c r="AA112" s="40" t="s">
        <v>647</v>
      </c>
      <c r="AB112" s="41" t="s">
        <v>940</v>
      </c>
      <c r="AC112" s="9"/>
      <c r="AD112" s="523">
        <v>0</v>
      </c>
      <c r="AE112" s="523" t="s">
        <v>13321</v>
      </c>
      <c r="AF112" s="523" t="s">
        <v>941</v>
      </c>
      <c r="AG112" s="524" t="s">
        <v>942</v>
      </c>
      <c r="AH112" s="9"/>
      <c r="AI112" s="10"/>
      <c r="AJ112" s="9"/>
      <c r="AK112" s="10"/>
      <c r="AL112" s="10"/>
    </row>
    <row r="113" spans="1:38" ht="33.75" hidden="1">
      <c r="A113" s="1">
        <f t="shared" si="10"/>
        <v>0</v>
      </c>
      <c r="B113" s="2" t="s">
        <v>953</v>
      </c>
      <c r="C113" s="3" t="s">
        <v>954</v>
      </c>
      <c r="D113" s="15" t="s">
        <v>11374</v>
      </c>
      <c r="E113" s="4" t="s">
        <v>953</v>
      </c>
      <c r="F113" s="37" t="s">
        <v>954</v>
      </c>
      <c r="G113" s="38">
        <v>23679591.199999999</v>
      </c>
      <c r="H113" s="38">
        <v>25812444.239999998</v>
      </c>
      <c r="I113" s="15"/>
      <c r="J113" s="494">
        <v>10102050207</v>
      </c>
      <c r="L113" s="523" t="s">
        <v>13321</v>
      </c>
      <c r="M113" s="523" t="s">
        <v>941</v>
      </c>
      <c r="N113" s="518" t="s">
        <v>942</v>
      </c>
      <c r="O113" s="523">
        <v>1</v>
      </c>
      <c r="P113" s="523" t="s">
        <v>632</v>
      </c>
      <c r="Q113" s="523" t="s">
        <v>647</v>
      </c>
      <c r="R113" s="523" t="s">
        <v>714</v>
      </c>
      <c r="S113" s="523" t="s">
        <v>647</v>
      </c>
      <c r="T113" s="518" t="s">
        <v>940</v>
      </c>
      <c r="U113" s="38">
        <f t="shared" si="9"/>
        <v>25812444.239999998</v>
      </c>
      <c r="V113" s="15" t="str">
        <f t="shared" si="8"/>
        <v>101020502</v>
      </c>
      <c r="W113" s="39">
        <v>1</v>
      </c>
      <c r="X113" s="40" t="s">
        <v>632</v>
      </c>
      <c r="Y113" s="40" t="s">
        <v>647</v>
      </c>
      <c r="Z113" s="50" t="str">
        <f t="shared" si="14"/>
        <v>05</v>
      </c>
      <c r="AA113" s="40" t="s">
        <v>647</v>
      </c>
      <c r="AB113" s="41" t="s">
        <v>940</v>
      </c>
      <c r="AC113" s="9"/>
      <c r="AD113" s="523">
        <v>0</v>
      </c>
      <c r="AE113" s="523" t="s">
        <v>13321</v>
      </c>
      <c r="AF113" s="523" t="s">
        <v>941</v>
      </c>
      <c r="AG113" s="524" t="s">
        <v>942</v>
      </c>
      <c r="AH113" s="9"/>
      <c r="AI113" s="10"/>
      <c r="AJ113" s="9"/>
      <c r="AK113" s="10"/>
      <c r="AL113" s="10"/>
    </row>
    <row r="114" spans="1:38" ht="22.5" hidden="1">
      <c r="A114" s="1">
        <f t="shared" si="10"/>
        <v>0</v>
      </c>
      <c r="C114" s="3" t="s">
        <v>955</v>
      </c>
      <c r="D114" s="15" t="s">
        <v>16</v>
      </c>
      <c r="E114" s="30"/>
      <c r="F114" s="31" t="s">
        <v>956</v>
      </c>
      <c r="G114" s="32">
        <f>G115+G116+G117+G118+G119-G120-G121-G122</f>
        <v>556816.80000000028</v>
      </c>
      <c r="H114" s="32">
        <f>H115+H116+H117+H118+H119-H120-H121-H122</f>
        <v>533398.11999999965</v>
      </c>
      <c r="I114" s="507"/>
      <c r="J114" s="508"/>
      <c r="K114" s="513"/>
      <c r="L114" s="513"/>
      <c r="M114" s="513"/>
      <c r="N114" s="514"/>
      <c r="O114" s="513"/>
      <c r="P114" s="513"/>
      <c r="Q114" s="513"/>
      <c r="R114" s="513"/>
      <c r="S114" s="513"/>
      <c r="T114" s="514"/>
      <c r="U114" s="32">
        <f>U115+U116+U117+U118+U119-U120-U121-U122</f>
        <v>533398.11999999965</v>
      </c>
      <c r="V114" s="15" t="str">
        <f t="shared" si="8"/>
        <v>101020600</v>
      </c>
      <c r="W114" s="33">
        <v>1</v>
      </c>
      <c r="X114" s="34" t="s">
        <v>632</v>
      </c>
      <c r="Y114" s="34" t="s">
        <v>647</v>
      </c>
      <c r="Z114" s="35" t="s">
        <v>739</v>
      </c>
      <c r="AA114" s="35" t="s">
        <v>630</v>
      </c>
      <c r="AB114" s="31" t="s">
        <v>956</v>
      </c>
      <c r="AC114" s="529">
        <f>AC115+AC116+AC117+AC118+AC119-AC120-AC121-AC122</f>
        <v>0</v>
      </c>
      <c r="AD114" s="513">
        <v>0</v>
      </c>
      <c r="AE114" s="513" t="s">
        <v>13322</v>
      </c>
      <c r="AF114" s="513" t="s">
        <v>961</v>
      </c>
      <c r="AG114" s="514" t="s">
        <v>957</v>
      </c>
      <c r="AH114" s="44">
        <f>AH115+AH116+AH117+AH118+AH119-AH120-AH121-AH122</f>
        <v>0</v>
      </c>
      <c r="AI114" s="10"/>
      <c r="AJ114" s="9"/>
      <c r="AK114" s="10"/>
      <c r="AL114" s="10"/>
    </row>
    <row r="115" spans="1:38" hidden="1">
      <c r="A115" s="1">
        <f t="shared" si="10"/>
        <v>0</v>
      </c>
      <c r="B115" s="2" t="s">
        <v>958</v>
      </c>
      <c r="C115" s="3" t="s">
        <v>959</v>
      </c>
      <c r="D115" s="15" t="s">
        <v>11375</v>
      </c>
      <c r="E115" s="4" t="s">
        <v>958</v>
      </c>
      <c r="F115" s="37" t="s">
        <v>959</v>
      </c>
      <c r="G115" s="38">
        <v>751647.35</v>
      </c>
      <c r="H115" s="38">
        <v>861801.54</v>
      </c>
      <c r="I115" s="15"/>
      <c r="J115" s="494">
        <v>10102060101</v>
      </c>
      <c r="K115" s="517"/>
      <c r="L115" s="517" t="s">
        <v>13322</v>
      </c>
      <c r="M115" s="517" t="s">
        <v>961</v>
      </c>
      <c r="N115" s="518" t="s">
        <v>957</v>
      </c>
      <c r="O115" s="517">
        <v>1</v>
      </c>
      <c r="P115" s="517" t="s">
        <v>632</v>
      </c>
      <c r="Q115" s="517" t="s">
        <v>647</v>
      </c>
      <c r="R115" s="517" t="s">
        <v>739</v>
      </c>
      <c r="S115" s="517" t="s">
        <v>632</v>
      </c>
      <c r="T115" s="518" t="s">
        <v>960</v>
      </c>
      <c r="U115" s="38">
        <f t="shared" si="9"/>
        <v>861801.54</v>
      </c>
      <c r="V115" s="15" t="str">
        <f t="shared" si="8"/>
        <v>101020601</v>
      </c>
      <c r="W115" s="39">
        <v>1</v>
      </c>
      <c r="X115" s="40" t="s">
        <v>632</v>
      </c>
      <c r="Y115" s="40" t="s">
        <v>647</v>
      </c>
      <c r="Z115" s="50" t="str">
        <f>Z114</f>
        <v>06</v>
      </c>
      <c r="AA115" s="40" t="s">
        <v>632</v>
      </c>
      <c r="AB115" s="41" t="s">
        <v>960</v>
      </c>
      <c r="AC115" s="519">
        <f>SUBTOTAL(9,H115:H119)</f>
        <v>0</v>
      </c>
      <c r="AD115" s="517">
        <v>0</v>
      </c>
      <c r="AE115" s="517" t="s">
        <v>13322</v>
      </c>
      <c r="AF115" s="517" t="s">
        <v>961</v>
      </c>
      <c r="AG115" s="520" t="s">
        <v>957</v>
      </c>
      <c r="AH115" s="67">
        <f>AC115</f>
        <v>0</v>
      </c>
      <c r="AI115" s="10"/>
      <c r="AJ115" s="9"/>
      <c r="AK115" s="10"/>
      <c r="AL115" s="10"/>
    </row>
    <row r="116" spans="1:38" hidden="1">
      <c r="A116" s="1">
        <f t="shared" si="10"/>
        <v>0</v>
      </c>
      <c r="B116" s="2" t="s">
        <v>962</v>
      </c>
      <c r="C116" s="3" t="s">
        <v>963</v>
      </c>
      <c r="D116" s="15" t="s">
        <v>11375</v>
      </c>
      <c r="E116" s="4" t="s">
        <v>962</v>
      </c>
      <c r="F116" s="37" t="s">
        <v>963</v>
      </c>
      <c r="G116" s="38">
        <v>34404.839999999997</v>
      </c>
      <c r="H116" s="38">
        <v>43388.92</v>
      </c>
      <c r="I116" s="15"/>
      <c r="J116" s="494">
        <v>10102060102</v>
      </c>
      <c r="K116" s="517"/>
      <c r="L116" s="517" t="s">
        <v>13322</v>
      </c>
      <c r="M116" s="517" t="s">
        <v>961</v>
      </c>
      <c r="N116" s="518" t="s">
        <v>957</v>
      </c>
      <c r="O116" s="517">
        <v>1</v>
      </c>
      <c r="P116" s="517" t="s">
        <v>632</v>
      </c>
      <c r="Q116" s="517" t="s">
        <v>647</v>
      </c>
      <c r="R116" s="517" t="s">
        <v>739</v>
      </c>
      <c r="S116" s="517" t="s">
        <v>632</v>
      </c>
      <c r="T116" s="518" t="s">
        <v>960</v>
      </c>
      <c r="U116" s="38">
        <f t="shared" si="9"/>
        <v>43388.92</v>
      </c>
      <c r="V116" s="15" t="str">
        <f t="shared" si="8"/>
        <v>101020601</v>
      </c>
      <c r="W116" s="39">
        <v>1</v>
      </c>
      <c r="X116" s="40" t="s">
        <v>632</v>
      </c>
      <c r="Y116" s="40" t="s">
        <v>647</v>
      </c>
      <c r="Z116" s="50" t="str">
        <f t="shared" ref="Z116:Z119" si="15">Z115</f>
        <v>06</v>
      </c>
      <c r="AA116" s="40" t="s">
        <v>632</v>
      </c>
      <c r="AB116" s="41" t="s">
        <v>960</v>
      </c>
      <c r="AC116" s="9"/>
      <c r="AD116" s="517">
        <v>0</v>
      </c>
      <c r="AE116" s="517" t="s">
        <v>13322</v>
      </c>
      <c r="AF116" s="517" t="s">
        <v>961</v>
      </c>
      <c r="AG116" s="520" t="s">
        <v>957</v>
      </c>
      <c r="AH116" s="9"/>
      <c r="AI116" s="10"/>
      <c r="AJ116" s="9"/>
      <c r="AK116" s="10"/>
      <c r="AL116" s="10"/>
    </row>
    <row r="117" spans="1:38" hidden="1">
      <c r="A117" s="1">
        <f t="shared" si="10"/>
        <v>0</v>
      </c>
      <c r="B117" s="2" t="s">
        <v>964</v>
      </c>
      <c r="C117" s="3" t="s">
        <v>965</v>
      </c>
      <c r="D117" s="15" t="s">
        <v>11375</v>
      </c>
      <c r="E117" s="4" t="s">
        <v>964</v>
      </c>
      <c r="F117" s="37" t="s">
        <v>965</v>
      </c>
      <c r="G117" s="38">
        <v>2790706.21</v>
      </c>
      <c r="H117" s="38">
        <v>2790226.21</v>
      </c>
      <c r="I117" s="15"/>
      <c r="J117" s="494">
        <v>10102060103</v>
      </c>
      <c r="L117" s="523" t="s">
        <v>13322</v>
      </c>
      <c r="M117" s="523" t="s">
        <v>961</v>
      </c>
      <c r="N117" s="518" t="s">
        <v>957</v>
      </c>
      <c r="O117" s="523">
        <v>1</v>
      </c>
      <c r="P117" s="523" t="s">
        <v>632</v>
      </c>
      <c r="Q117" s="523" t="s">
        <v>647</v>
      </c>
      <c r="R117" s="523" t="s">
        <v>739</v>
      </c>
      <c r="S117" s="523" t="s">
        <v>632</v>
      </c>
      <c r="T117" s="518" t="s">
        <v>960</v>
      </c>
      <c r="U117" s="38">
        <f t="shared" si="9"/>
        <v>2790226.21</v>
      </c>
      <c r="V117" s="15" t="str">
        <f t="shared" si="8"/>
        <v>101020601</v>
      </c>
      <c r="W117" s="39">
        <v>1</v>
      </c>
      <c r="X117" s="40" t="s">
        <v>632</v>
      </c>
      <c r="Y117" s="40" t="s">
        <v>647</v>
      </c>
      <c r="Z117" s="50" t="str">
        <f t="shared" si="15"/>
        <v>06</v>
      </c>
      <c r="AA117" s="40" t="s">
        <v>632</v>
      </c>
      <c r="AB117" s="41" t="s">
        <v>960</v>
      </c>
      <c r="AC117" s="9"/>
      <c r="AD117" s="523">
        <v>0</v>
      </c>
      <c r="AE117" s="523" t="s">
        <v>13322</v>
      </c>
      <c r="AF117" s="523" t="s">
        <v>961</v>
      </c>
      <c r="AG117" s="524" t="s">
        <v>957</v>
      </c>
      <c r="AH117" s="9"/>
      <c r="AI117" s="10"/>
      <c r="AJ117" s="9"/>
      <c r="AK117" s="10"/>
      <c r="AL117" s="10"/>
    </row>
    <row r="118" spans="1:38" ht="22.5" hidden="1">
      <c r="A118" s="1">
        <f t="shared" si="10"/>
        <v>0</v>
      </c>
      <c r="B118" s="2" t="s">
        <v>966</v>
      </c>
      <c r="C118" s="3" t="s">
        <v>967</v>
      </c>
      <c r="D118" s="15" t="s">
        <v>11375</v>
      </c>
      <c r="E118" s="4" t="s">
        <v>966</v>
      </c>
      <c r="F118" s="37" t="s">
        <v>967</v>
      </c>
      <c r="G118" s="38">
        <v>0</v>
      </c>
      <c r="H118" s="38">
        <v>0</v>
      </c>
      <c r="I118" s="15"/>
      <c r="J118" s="494">
        <v>10102060104</v>
      </c>
      <c r="L118" s="523" t="s">
        <v>13322</v>
      </c>
      <c r="M118" s="523" t="s">
        <v>961</v>
      </c>
      <c r="N118" s="518" t="s">
        <v>957</v>
      </c>
      <c r="O118" s="523">
        <v>1</v>
      </c>
      <c r="P118" s="523" t="s">
        <v>632</v>
      </c>
      <c r="Q118" s="523" t="s">
        <v>647</v>
      </c>
      <c r="R118" s="523" t="s">
        <v>739</v>
      </c>
      <c r="S118" s="523" t="s">
        <v>632</v>
      </c>
      <c r="T118" s="518" t="s">
        <v>960</v>
      </c>
      <c r="U118" s="38">
        <f t="shared" si="9"/>
        <v>0</v>
      </c>
      <c r="V118" s="15" t="str">
        <f t="shared" si="8"/>
        <v>101020601</v>
      </c>
      <c r="W118" s="39">
        <v>1</v>
      </c>
      <c r="X118" s="40" t="s">
        <v>632</v>
      </c>
      <c r="Y118" s="40" t="s">
        <v>647</v>
      </c>
      <c r="Z118" s="50" t="str">
        <f t="shared" si="15"/>
        <v>06</v>
      </c>
      <c r="AA118" s="40" t="s">
        <v>632</v>
      </c>
      <c r="AB118" s="41" t="s">
        <v>960</v>
      </c>
      <c r="AC118" s="9"/>
      <c r="AD118" s="523">
        <v>0</v>
      </c>
      <c r="AE118" s="523" t="s">
        <v>13322</v>
      </c>
      <c r="AF118" s="523" t="s">
        <v>961</v>
      </c>
      <c r="AG118" s="524" t="s">
        <v>957</v>
      </c>
      <c r="AH118" s="9"/>
      <c r="AI118" s="10"/>
      <c r="AJ118" s="9"/>
      <c r="AK118" s="10"/>
      <c r="AL118" s="10"/>
    </row>
    <row r="119" spans="1:38" ht="22.5" hidden="1">
      <c r="A119" s="1">
        <f t="shared" si="10"/>
        <v>0</v>
      </c>
      <c r="B119" s="2" t="s">
        <v>968</v>
      </c>
      <c r="C119" s="3" t="s">
        <v>969</v>
      </c>
      <c r="D119" s="15" t="s">
        <v>11375</v>
      </c>
      <c r="E119" s="4" t="s">
        <v>968</v>
      </c>
      <c r="F119" s="37" t="s">
        <v>969</v>
      </c>
      <c r="G119" s="38">
        <v>0</v>
      </c>
      <c r="H119" s="38">
        <v>0</v>
      </c>
      <c r="I119" s="15"/>
      <c r="J119" s="494">
        <v>10102060105</v>
      </c>
      <c r="L119" s="523" t="s">
        <v>13322</v>
      </c>
      <c r="M119" s="523" t="s">
        <v>961</v>
      </c>
      <c r="N119" s="518" t="s">
        <v>957</v>
      </c>
      <c r="O119" s="523">
        <v>1</v>
      </c>
      <c r="P119" s="523" t="s">
        <v>632</v>
      </c>
      <c r="Q119" s="523" t="s">
        <v>647</v>
      </c>
      <c r="R119" s="523" t="s">
        <v>739</v>
      </c>
      <c r="S119" s="523" t="s">
        <v>632</v>
      </c>
      <c r="T119" s="518" t="s">
        <v>960</v>
      </c>
      <c r="U119" s="38">
        <f t="shared" si="9"/>
        <v>0</v>
      </c>
      <c r="V119" s="15" t="str">
        <f t="shared" si="8"/>
        <v>101020601</v>
      </c>
      <c r="W119" s="39">
        <v>1</v>
      </c>
      <c r="X119" s="40" t="s">
        <v>632</v>
      </c>
      <c r="Y119" s="40" t="s">
        <v>647</v>
      </c>
      <c r="Z119" s="50" t="str">
        <f t="shared" si="15"/>
        <v>06</v>
      </c>
      <c r="AA119" s="40" t="s">
        <v>632</v>
      </c>
      <c r="AB119" s="41" t="s">
        <v>960</v>
      </c>
      <c r="AC119" s="9"/>
      <c r="AD119" s="523">
        <v>0</v>
      </c>
      <c r="AE119" s="523" t="s">
        <v>13322</v>
      </c>
      <c r="AF119" s="523" t="s">
        <v>961</v>
      </c>
      <c r="AG119" s="524" t="s">
        <v>957</v>
      </c>
      <c r="AH119" s="9"/>
      <c r="AI119" s="10"/>
      <c r="AJ119" s="9"/>
      <c r="AK119" s="10"/>
      <c r="AL119" s="10"/>
    </row>
    <row r="120" spans="1:38" ht="22.5" hidden="1">
      <c r="A120" s="1">
        <f t="shared" si="10"/>
        <v>0</v>
      </c>
      <c r="B120" s="2" t="s">
        <v>970</v>
      </c>
      <c r="C120" s="3" t="s">
        <v>971</v>
      </c>
      <c r="D120" s="15" t="s">
        <v>11376</v>
      </c>
      <c r="E120" s="4" t="s">
        <v>970</v>
      </c>
      <c r="F120" s="37" t="s">
        <v>971</v>
      </c>
      <c r="G120" s="38">
        <v>334458.49</v>
      </c>
      <c r="H120" s="38">
        <v>426803.74</v>
      </c>
      <c r="I120" s="15"/>
      <c r="J120" s="494">
        <v>10102060201</v>
      </c>
      <c r="K120" s="517"/>
      <c r="L120" s="517" t="s">
        <v>13323</v>
      </c>
      <c r="M120" s="517" t="s">
        <v>973</v>
      </c>
      <c r="N120" s="518" t="s">
        <v>974</v>
      </c>
      <c r="O120" s="517">
        <v>1</v>
      </c>
      <c r="P120" s="517" t="s">
        <v>632</v>
      </c>
      <c r="Q120" s="517" t="s">
        <v>647</v>
      </c>
      <c r="R120" s="517" t="s">
        <v>739</v>
      </c>
      <c r="S120" s="517" t="s">
        <v>647</v>
      </c>
      <c r="T120" s="518" t="s">
        <v>972</v>
      </c>
      <c r="U120" s="38">
        <f t="shared" si="9"/>
        <v>426803.74</v>
      </c>
      <c r="V120" s="15" t="str">
        <f t="shared" si="8"/>
        <v>101020602</v>
      </c>
      <c r="W120" s="39">
        <v>1</v>
      </c>
      <c r="X120" s="40" t="s">
        <v>632</v>
      </c>
      <c r="Y120" s="40" t="s">
        <v>647</v>
      </c>
      <c r="Z120" s="50" t="str">
        <f>Z115</f>
        <v>06</v>
      </c>
      <c r="AA120" s="40" t="s">
        <v>647</v>
      </c>
      <c r="AB120" s="41" t="s">
        <v>972</v>
      </c>
      <c r="AC120" s="519">
        <f>SUBTOTAL(9,H120:H122)</f>
        <v>0</v>
      </c>
      <c r="AD120" s="517">
        <v>0</v>
      </c>
      <c r="AE120" s="517" t="s">
        <v>13323</v>
      </c>
      <c r="AF120" s="517" t="s">
        <v>973</v>
      </c>
      <c r="AG120" s="520" t="s">
        <v>974</v>
      </c>
      <c r="AH120" s="67">
        <f>AC120</f>
        <v>0</v>
      </c>
      <c r="AI120" s="10"/>
      <c r="AJ120" s="9"/>
      <c r="AK120" s="10"/>
      <c r="AL120" s="10"/>
    </row>
    <row r="121" spans="1:38" ht="22.5" hidden="1">
      <c r="A121" s="1">
        <f t="shared" si="10"/>
        <v>0</v>
      </c>
      <c r="B121" s="2" t="s">
        <v>975</v>
      </c>
      <c r="C121" s="3" t="s">
        <v>976</v>
      </c>
      <c r="D121" s="15" t="s">
        <v>11376</v>
      </c>
      <c r="E121" s="4" t="s">
        <v>975</v>
      </c>
      <c r="F121" s="37" t="s">
        <v>976</v>
      </c>
      <c r="G121" s="38">
        <v>22485.38</v>
      </c>
      <c r="H121" s="38">
        <v>33966.730000000003</v>
      </c>
      <c r="I121" s="15"/>
      <c r="J121" s="494">
        <v>10102060202</v>
      </c>
      <c r="L121" s="523" t="s">
        <v>13323</v>
      </c>
      <c r="M121" s="523" t="s">
        <v>973</v>
      </c>
      <c r="N121" s="518" t="s">
        <v>974</v>
      </c>
      <c r="O121" s="523">
        <v>1</v>
      </c>
      <c r="P121" s="523" t="s">
        <v>632</v>
      </c>
      <c r="Q121" s="523" t="s">
        <v>647</v>
      </c>
      <c r="R121" s="523" t="s">
        <v>739</v>
      </c>
      <c r="S121" s="523" t="s">
        <v>647</v>
      </c>
      <c r="T121" s="518" t="s">
        <v>972</v>
      </c>
      <c r="U121" s="38">
        <f t="shared" si="9"/>
        <v>33966.730000000003</v>
      </c>
      <c r="V121" s="15" t="str">
        <f t="shared" si="8"/>
        <v>101020602</v>
      </c>
      <c r="W121" s="39">
        <v>1</v>
      </c>
      <c r="X121" s="40" t="s">
        <v>632</v>
      </c>
      <c r="Y121" s="40" t="s">
        <v>647</v>
      </c>
      <c r="Z121" s="50" t="str">
        <f t="shared" ref="Z121:Z122" si="16">Z116</f>
        <v>06</v>
      </c>
      <c r="AA121" s="40" t="s">
        <v>647</v>
      </c>
      <c r="AB121" s="41" t="s">
        <v>972</v>
      </c>
      <c r="AC121" s="9"/>
      <c r="AD121" s="523">
        <v>0</v>
      </c>
      <c r="AE121" s="523" t="s">
        <v>13323</v>
      </c>
      <c r="AF121" s="523" t="s">
        <v>973</v>
      </c>
      <c r="AG121" s="524" t="s">
        <v>974</v>
      </c>
      <c r="AH121" s="9"/>
      <c r="AI121" s="10"/>
      <c r="AJ121" s="9"/>
      <c r="AK121" s="10"/>
      <c r="AL121" s="10"/>
    </row>
    <row r="122" spans="1:38" ht="22.5" hidden="1">
      <c r="A122" s="1">
        <f t="shared" si="10"/>
        <v>0</v>
      </c>
      <c r="B122" s="2" t="s">
        <v>977</v>
      </c>
      <c r="C122" s="3" t="s">
        <v>978</v>
      </c>
      <c r="D122" s="15" t="s">
        <v>11376</v>
      </c>
      <c r="E122" s="4" t="s">
        <v>977</v>
      </c>
      <c r="F122" s="37" t="s">
        <v>978</v>
      </c>
      <c r="G122" s="38">
        <v>2662997.73</v>
      </c>
      <c r="H122" s="38">
        <v>2701248.08</v>
      </c>
      <c r="I122" s="15"/>
      <c r="J122" s="494">
        <v>10102060203</v>
      </c>
      <c r="L122" s="523" t="s">
        <v>13323</v>
      </c>
      <c r="M122" s="523" t="s">
        <v>973</v>
      </c>
      <c r="N122" s="518" t="s">
        <v>974</v>
      </c>
      <c r="O122" s="523">
        <v>1</v>
      </c>
      <c r="P122" s="523" t="s">
        <v>632</v>
      </c>
      <c r="Q122" s="523" t="s">
        <v>647</v>
      </c>
      <c r="R122" s="523" t="s">
        <v>739</v>
      </c>
      <c r="S122" s="523" t="s">
        <v>647</v>
      </c>
      <c r="T122" s="518" t="s">
        <v>972</v>
      </c>
      <c r="U122" s="38">
        <f t="shared" si="9"/>
        <v>2701248.08</v>
      </c>
      <c r="V122" s="15" t="str">
        <f t="shared" si="8"/>
        <v>101020602</v>
      </c>
      <c r="W122" s="39">
        <v>1</v>
      </c>
      <c r="X122" s="40" t="s">
        <v>632</v>
      </c>
      <c r="Y122" s="40" t="s">
        <v>647</v>
      </c>
      <c r="Z122" s="50" t="str">
        <f t="shared" si="16"/>
        <v>06</v>
      </c>
      <c r="AA122" s="40" t="s">
        <v>647</v>
      </c>
      <c r="AB122" s="41" t="s">
        <v>972</v>
      </c>
      <c r="AC122" s="9"/>
      <c r="AD122" s="523">
        <v>0</v>
      </c>
      <c r="AE122" s="523" t="s">
        <v>13323</v>
      </c>
      <c r="AF122" s="523" t="s">
        <v>973</v>
      </c>
      <c r="AG122" s="524" t="s">
        <v>974</v>
      </c>
      <c r="AH122" s="9"/>
      <c r="AI122" s="10"/>
      <c r="AJ122" s="9"/>
      <c r="AK122" s="10"/>
      <c r="AL122" s="10"/>
    </row>
    <row r="123" spans="1:38" ht="33.75" hidden="1">
      <c r="A123" s="1">
        <f t="shared" si="10"/>
        <v>0</v>
      </c>
      <c r="C123" s="3" t="s">
        <v>979</v>
      </c>
      <c r="D123" s="15" t="s">
        <v>16</v>
      </c>
      <c r="E123" s="30"/>
      <c r="F123" s="31" t="s">
        <v>980</v>
      </c>
      <c r="G123" s="32">
        <f>G124+G125+G126-G127-G128-G129</f>
        <v>92127.700000000012</v>
      </c>
      <c r="H123" s="32">
        <f>H124+H125+H126-H127-H128-H129</f>
        <v>68329.669999999984</v>
      </c>
      <c r="I123" s="507"/>
      <c r="J123" s="508"/>
      <c r="K123" s="513"/>
      <c r="L123" s="513"/>
      <c r="M123" s="513"/>
      <c r="N123" s="514"/>
      <c r="O123" s="513"/>
      <c r="P123" s="513"/>
      <c r="Q123" s="513"/>
      <c r="R123" s="513"/>
      <c r="S123" s="513"/>
      <c r="T123" s="514"/>
      <c r="U123" s="32">
        <f>U124+U125+U126-U127-U128-U129</f>
        <v>68329.669999999984</v>
      </c>
      <c r="V123" s="15" t="str">
        <f t="shared" si="8"/>
        <v>101020700</v>
      </c>
      <c r="W123" s="33">
        <v>1</v>
      </c>
      <c r="X123" s="34" t="s">
        <v>632</v>
      </c>
      <c r="Y123" s="34" t="s">
        <v>647</v>
      </c>
      <c r="Z123" s="35" t="s">
        <v>755</v>
      </c>
      <c r="AA123" s="35" t="s">
        <v>630</v>
      </c>
      <c r="AB123" s="31" t="s">
        <v>980</v>
      </c>
      <c r="AC123" s="529">
        <f>AC124+AC125+AC126-AC127-AC128-AC129</f>
        <v>0</v>
      </c>
      <c r="AD123" s="513">
        <v>0</v>
      </c>
      <c r="AE123" s="513" t="s">
        <v>13334</v>
      </c>
      <c r="AF123" s="513" t="s">
        <v>154</v>
      </c>
      <c r="AG123" s="514" t="s">
        <v>981</v>
      </c>
      <c r="AH123" s="44">
        <f>AH124+AH125+AH126-AH127-AH128-AH129</f>
        <v>0</v>
      </c>
      <c r="AI123" s="10"/>
      <c r="AJ123" s="9"/>
      <c r="AK123" s="10"/>
      <c r="AL123" s="10"/>
    </row>
    <row r="124" spans="1:38" hidden="1">
      <c r="A124" s="1">
        <f t="shared" si="10"/>
        <v>0</v>
      </c>
      <c r="B124" s="2" t="s">
        <v>982</v>
      </c>
      <c r="C124" s="3" t="s">
        <v>983</v>
      </c>
      <c r="D124" s="15" t="s">
        <v>11377</v>
      </c>
      <c r="E124" s="4" t="s">
        <v>982</v>
      </c>
      <c r="F124" s="37" t="s">
        <v>983</v>
      </c>
      <c r="G124" s="38">
        <v>95770</v>
      </c>
      <c r="H124" s="38">
        <v>95770</v>
      </c>
      <c r="I124" s="15"/>
      <c r="J124" s="494">
        <v>10102070101</v>
      </c>
      <c r="K124" s="517"/>
      <c r="L124" s="517" t="s">
        <v>13324</v>
      </c>
      <c r="M124" s="517" t="s">
        <v>985</v>
      </c>
      <c r="N124" s="518" t="s">
        <v>986</v>
      </c>
      <c r="O124" s="517">
        <v>1</v>
      </c>
      <c r="P124" s="517" t="s">
        <v>632</v>
      </c>
      <c r="Q124" s="517" t="s">
        <v>647</v>
      </c>
      <c r="R124" s="517" t="s">
        <v>755</v>
      </c>
      <c r="S124" s="517" t="s">
        <v>632</v>
      </c>
      <c r="T124" s="518" t="s">
        <v>984</v>
      </c>
      <c r="U124" s="38">
        <f t="shared" si="9"/>
        <v>95770</v>
      </c>
      <c r="V124" s="15" t="str">
        <f t="shared" si="8"/>
        <v>101020701</v>
      </c>
      <c r="W124" s="39">
        <v>1</v>
      </c>
      <c r="X124" s="40" t="s">
        <v>632</v>
      </c>
      <c r="Y124" s="40" t="s">
        <v>647</v>
      </c>
      <c r="Z124" s="50" t="str">
        <f>Z123</f>
        <v>07</v>
      </c>
      <c r="AA124" s="40" t="s">
        <v>632</v>
      </c>
      <c r="AB124" s="41" t="s">
        <v>984</v>
      </c>
      <c r="AC124" s="519">
        <f>SUBTOTAL(9,H124:H126)</f>
        <v>0</v>
      </c>
      <c r="AD124" s="517">
        <v>0</v>
      </c>
      <c r="AE124" s="517" t="s">
        <v>13324</v>
      </c>
      <c r="AF124" s="517" t="s">
        <v>985</v>
      </c>
      <c r="AG124" s="520" t="s">
        <v>986</v>
      </c>
      <c r="AH124" s="67">
        <f>AC124</f>
        <v>0</v>
      </c>
      <c r="AI124" s="10"/>
      <c r="AJ124" s="9"/>
      <c r="AK124" s="10"/>
      <c r="AL124" s="10"/>
    </row>
    <row r="125" spans="1:38" hidden="1">
      <c r="A125" s="1">
        <f t="shared" si="10"/>
        <v>0</v>
      </c>
      <c r="B125" s="2" t="s">
        <v>987</v>
      </c>
      <c r="C125" s="3" t="s">
        <v>988</v>
      </c>
      <c r="D125" s="15" t="s">
        <v>11377</v>
      </c>
      <c r="E125" s="4" t="s">
        <v>987</v>
      </c>
      <c r="F125" s="37" t="s">
        <v>988</v>
      </c>
      <c r="G125" s="38">
        <v>22215</v>
      </c>
      <c r="H125" s="38">
        <v>22215</v>
      </c>
      <c r="I125" s="15"/>
      <c r="J125" s="494">
        <v>10102070102</v>
      </c>
      <c r="K125" s="517"/>
      <c r="L125" s="517" t="s">
        <v>13324</v>
      </c>
      <c r="M125" s="517" t="s">
        <v>985</v>
      </c>
      <c r="N125" s="518" t="s">
        <v>986</v>
      </c>
      <c r="O125" s="517">
        <v>1</v>
      </c>
      <c r="P125" s="517" t="s">
        <v>632</v>
      </c>
      <c r="Q125" s="517" t="s">
        <v>647</v>
      </c>
      <c r="R125" s="517" t="s">
        <v>755</v>
      </c>
      <c r="S125" s="517" t="s">
        <v>632</v>
      </c>
      <c r="T125" s="518" t="s">
        <v>984</v>
      </c>
      <c r="U125" s="38">
        <f t="shared" si="9"/>
        <v>22215</v>
      </c>
      <c r="V125" s="15" t="str">
        <f t="shared" si="8"/>
        <v>101020701</v>
      </c>
      <c r="W125" s="39">
        <v>1</v>
      </c>
      <c r="X125" s="40" t="s">
        <v>632</v>
      </c>
      <c r="Y125" s="40" t="s">
        <v>647</v>
      </c>
      <c r="Z125" s="50" t="str">
        <f t="shared" ref="Z125:Z126" si="17">Z124</f>
        <v>07</v>
      </c>
      <c r="AA125" s="40" t="s">
        <v>632</v>
      </c>
      <c r="AB125" s="41" t="s">
        <v>984</v>
      </c>
      <c r="AC125" s="9"/>
      <c r="AD125" s="517">
        <v>0</v>
      </c>
      <c r="AE125" s="517" t="s">
        <v>13324</v>
      </c>
      <c r="AF125" s="517" t="s">
        <v>985</v>
      </c>
      <c r="AG125" s="520" t="s">
        <v>986</v>
      </c>
      <c r="AH125" s="9"/>
      <c r="AI125" s="10"/>
      <c r="AJ125" s="9"/>
      <c r="AK125" s="10"/>
      <c r="AL125" s="10"/>
    </row>
    <row r="126" spans="1:38" hidden="1">
      <c r="A126" s="1">
        <f t="shared" si="10"/>
        <v>0</v>
      </c>
      <c r="B126" s="2" t="s">
        <v>989</v>
      </c>
      <c r="C126" s="3" t="s">
        <v>990</v>
      </c>
      <c r="D126" s="15" t="s">
        <v>11377</v>
      </c>
      <c r="E126" s="4" t="s">
        <v>989</v>
      </c>
      <c r="F126" s="37" t="s">
        <v>990</v>
      </c>
      <c r="G126" s="38">
        <v>51148.62</v>
      </c>
      <c r="H126" s="38">
        <v>51148.62</v>
      </c>
      <c r="I126" s="15"/>
      <c r="J126" s="494">
        <v>10102070103</v>
      </c>
      <c r="L126" s="523" t="s">
        <v>13324</v>
      </c>
      <c r="M126" s="523" t="s">
        <v>985</v>
      </c>
      <c r="N126" s="518" t="s">
        <v>986</v>
      </c>
      <c r="O126" s="523">
        <v>1</v>
      </c>
      <c r="P126" s="523" t="s">
        <v>632</v>
      </c>
      <c r="Q126" s="523" t="s">
        <v>647</v>
      </c>
      <c r="R126" s="523" t="s">
        <v>755</v>
      </c>
      <c r="S126" s="523" t="s">
        <v>632</v>
      </c>
      <c r="T126" s="518" t="s">
        <v>984</v>
      </c>
      <c r="U126" s="38">
        <f t="shared" si="9"/>
        <v>51148.62</v>
      </c>
      <c r="V126" s="15" t="str">
        <f t="shared" si="8"/>
        <v>101020701</v>
      </c>
      <c r="W126" s="39">
        <v>1</v>
      </c>
      <c r="X126" s="40" t="s">
        <v>632</v>
      </c>
      <c r="Y126" s="40" t="s">
        <v>647</v>
      </c>
      <c r="Z126" s="50" t="str">
        <f t="shared" si="17"/>
        <v>07</v>
      </c>
      <c r="AA126" s="40" t="s">
        <v>632</v>
      </c>
      <c r="AB126" s="41" t="s">
        <v>984</v>
      </c>
      <c r="AC126" s="9"/>
      <c r="AD126" s="523">
        <v>0</v>
      </c>
      <c r="AE126" s="523" t="s">
        <v>13324</v>
      </c>
      <c r="AF126" s="523" t="s">
        <v>985</v>
      </c>
      <c r="AG126" s="524" t="s">
        <v>986</v>
      </c>
      <c r="AH126" s="9"/>
      <c r="AI126" s="10"/>
      <c r="AJ126" s="9"/>
      <c r="AK126" s="10"/>
      <c r="AL126" s="10"/>
    </row>
    <row r="127" spans="1:38" ht="22.5" hidden="1">
      <c r="A127" s="1">
        <f t="shared" si="10"/>
        <v>0</v>
      </c>
      <c r="B127" s="2" t="s">
        <v>991</v>
      </c>
      <c r="C127" s="3" t="s">
        <v>992</v>
      </c>
      <c r="D127" s="15" t="s">
        <v>11378</v>
      </c>
      <c r="E127" s="4" t="s">
        <v>991</v>
      </c>
      <c r="F127" s="37" t="s">
        <v>992</v>
      </c>
      <c r="G127" s="38">
        <v>3642.3</v>
      </c>
      <c r="H127" s="38">
        <v>27440.33</v>
      </c>
      <c r="I127" s="15"/>
      <c r="J127" s="494">
        <v>10102070201</v>
      </c>
      <c r="K127" s="517"/>
      <c r="L127" s="517" t="s">
        <v>13325</v>
      </c>
      <c r="M127" s="517" t="s">
        <v>994</v>
      </c>
      <c r="N127" s="518" t="s">
        <v>995</v>
      </c>
      <c r="O127" s="517">
        <v>1</v>
      </c>
      <c r="P127" s="517" t="s">
        <v>632</v>
      </c>
      <c r="Q127" s="517" t="s">
        <v>647</v>
      </c>
      <c r="R127" s="517" t="s">
        <v>755</v>
      </c>
      <c r="S127" s="517" t="s">
        <v>647</v>
      </c>
      <c r="T127" s="518" t="s">
        <v>993</v>
      </c>
      <c r="U127" s="38">
        <f t="shared" si="9"/>
        <v>27440.33</v>
      </c>
      <c r="V127" s="15" t="str">
        <f t="shared" si="8"/>
        <v>101020702</v>
      </c>
      <c r="W127" s="39">
        <v>1</v>
      </c>
      <c r="X127" s="40" t="s">
        <v>632</v>
      </c>
      <c r="Y127" s="40" t="s">
        <v>647</v>
      </c>
      <c r="Z127" s="50" t="str">
        <f>Z124</f>
        <v>07</v>
      </c>
      <c r="AA127" s="40" t="s">
        <v>647</v>
      </c>
      <c r="AB127" s="41" t="s">
        <v>993</v>
      </c>
      <c r="AC127" s="519">
        <f>SUBTOTAL(9,H127:H129)</f>
        <v>0</v>
      </c>
      <c r="AD127" s="517">
        <v>0</v>
      </c>
      <c r="AE127" s="517" t="s">
        <v>13325</v>
      </c>
      <c r="AF127" s="517" t="s">
        <v>994</v>
      </c>
      <c r="AG127" s="520" t="s">
        <v>995</v>
      </c>
      <c r="AH127" s="67">
        <f>AC127</f>
        <v>0</v>
      </c>
      <c r="AI127" s="10"/>
      <c r="AJ127" s="9"/>
      <c r="AK127" s="10"/>
      <c r="AL127" s="10"/>
    </row>
    <row r="128" spans="1:38" ht="22.5" hidden="1">
      <c r="A128" s="1">
        <f t="shared" si="10"/>
        <v>0</v>
      </c>
      <c r="B128" s="2" t="s">
        <v>996</v>
      </c>
      <c r="C128" s="3" t="s">
        <v>997</v>
      </c>
      <c r="D128" s="15" t="s">
        <v>11378</v>
      </c>
      <c r="E128" s="4" t="s">
        <v>996</v>
      </c>
      <c r="F128" s="37" t="s">
        <v>997</v>
      </c>
      <c r="G128" s="38">
        <v>22215</v>
      </c>
      <c r="H128" s="38">
        <v>22215</v>
      </c>
      <c r="I128" s="15"/>
      <c r="J128" s="494">
        <v>10102070202</v>
      </c>
      <c r="L128" s="523" t="s">
        <v>13325</v>
      </c>
      <c r="M128" s="523" t="s">
        <v>994</v>
      </c>
      <c r="N128" s="518" t="s">
        <v>995</v>
      </c>
      <c r="O128" s="523">
        <v>1</v>
      </c>
      <c r="P128" s="523" t="s">
        <v>632</v>
      </c>
      <c r="Q128" s="523" t="s">
        <v>647</v>
      </c>
      <c r="R128" s="523" t="s">
        <v>755</v>
      </c>
      <c r="S128" s="523" t="s">
        <v>647</v>
      </c>
      <c r="T128" s="518" t="s">
        <v>993</v>
      </c>
      <c r="U128" s="38">
        <f t="shared" si="9"/>
        <v>22215</v>
      </c>
      <c r="V128" s="15" t="str">
        <f t="shared" si="8"/>
        <v>101020702</v>
      </c>
      <c r="W128" s="39">
        <v>1</v>
      </c>
      <c r="X128" s="40" t="s">
        <v>632</v>
      </c>
      <c r="Y128" s="40" t="s">
        <v>647</v>
      </c>
      <c r="Z128" s="50" t="str">
        <f t="shared" ref="Z128:Z129" si="18">Z125</f>
        <v>07</v>
      </c>
      <c r="AA128" s="40" t="s">
        <v>647</v>
      </c>
      <c r="AB128" s="41" t="s">
        <v>993</v>
      </c>
      <c r="AC128" s="9"/>
      <c r="AD128" s="523">
        <v>0</v>
      </c>
      <c r="AE128" s="523" t="s">
        <v>13325</v>
      </c>
      <c r="AF128" s="523" t="s">
        <v>994</v>
      </c>
      <c r="AG128" s="524" t="s">
        <v>995</v>
      </c>
      <c r="AH128" s="9"/>
      <c r="AI128" s="10"/>
      <c r="AJ128" s="9"/>
      <c r="AK128" s="10"/>
      <c r="AL128" s="10"/>
    </row>
    <row r="129" spans="1:38" ht="22.5" hidden="1">
      <c r="A129" s="1">
        <f t="shared" si="10"/>
        <v>0</v>
      </c>
      <c r="B129" s="2" t="s">
        <v>998</v>
      </c>
      <c r="C129" s="3" t="s">
        <v>999</v>
      </c>
      <c r="D129" s="15" t="s">
        <v>11378</v>
      </c>
      <c r="E129" s="4" t="s">
        <v>998</v>
      </c>
      <c r="F129" s="37" t="s">
        <v>999</v>
      </c>
      <c r="G129" s="38">
        <v>51148.62</v>
      </c>
      <c r="H129" s="38">
        <v>51148.62</v>
      </c>
      <c r="I129" s="15"/>
      <c r="J129" s="494">
        <v>10102070203</v>
      </c>
      <c r="L129" s="523" t="s">
        <v>13325</v>
      </c>
      <c r="M129" s="523" t="s">
        <v>994</v>
      </c>
      <c r="N129" s="518" t="s">
        <v>995</v>
      </c>
      <c r="O129" s="523">
        <v>1</v>
      </c>
      <c r="P129" s="523" t="s">
        <v>632</v>
      </c>
      <c r="Q129" s="523" t="s">
        <v>647</v>
      </c>
      <c r="R129" s="523" t="s">
        <v>755</v>
      </c>
      <c r="S129" s="523" t="s">
        <v>647</v>
      </c>
      <c r="T129" s="518" t="s">
        <v>993</v>
      </c>
      <c r="U129" s="38">
        <f t="shared" si="9"/>
        <v>51148.62</v>
      </c>
      <c r="V129" s="15" t="str">
        <f t="shared" si="8"/>
        <v>101020702</v>
      </c>
      <c r="W129" s="39">
        <v>1</v>
      </c>
      <c r="X129" s="40" t="s">
        <v>632</v>
      </c>
      <c r="Y129" s="40" t="s">
        <v>647</v>
      </c>
      <c r="Z129" s="50" t="str">
        <f t="shared" si="18"/>
        <v>07</v>
      </c>
      <c r="AA129" s="40" t="s">
        <v>647</v>
      </c>
      <c r="AB129" s="41" t="s">
        <v>993</v>
      </c>
      <c r="AC129" s="9"/>
      <c r="AD129" s="523">
        <v>0</v>
      </c>
      <c r="AE129" s="523" t="s">
        <v>13325</v>
      </c>
      <c r="AF129" s="523" t="s">
        <v>994</v>
      </c>
      <c r="AG129" s="524" t="s">
        <v>995</v>
      </c>
      <c r="AH129" s="9"/>
      <c r="AI129" s="10"/>
      <c r="AJ129" s="9"/>
      <c r="AK129" s="10"/>
      <c r="AL129" s="10"/>
    </row>
    <row r="130" spans="1:38" hidden="1">
      <c r="A130" s="1">
        <f t="shared" si="10"/>
        <v>0</v>
      </c>
      <c r="C130" s="3" t="s">
        <v>1000</v>
      </c>
      <c r="D130" s="15" t="s">
        <v>16</v>
      </c>
      <c r="E130" s="30"/>
      <c r="F130" s="31" t="s">
        <v>26</v>
      </c>
      <c r="G130" s="32">
        <f>G131</f>
        <v>0</v>
      </c>
      <c r="H130" s="32">
        <f>H131</f>
        <v>0</v>
      </c>
      <c r="I130" s="15"/>
      <c r="J130" s="494"/>
      <c r="K130" s="513"/>
      <c r="L130" s="513"/>
      <c r="M130" s="513"/>
      <c r="N130" s="514"/>
      <c r="O130" s="513"/>
      <c r="P130" s="513"/>
      <c r="Q130" s="513"/>
      <c r="R130" s="513"/>
      <c r="S130" s="513"/>
      <c r="T130" s="514"/>
      <c r="U130" s="32">
        <f>U131</f>
        <v>0</v>
      </c>
      <c r="V130" s="15" t="str">
        <f t="shared" si="8"/>
        <v>101020800</v>
      </c>
      <c r="W130" s="33">
        <v>1</v>
      </c>
      <c r="X130" s="34" t="s">
        <v>632</v>
      </c>
      <c r="Y130" s="34" t="s">
        <v>647</v>
      </c>
      <c r="Z130" s="35" t="s">
        <v>766</v>
      </c>
      <c r="AA130" s="35" t="s">
        <v>630</v>
      </c>
      <c r="AB130" s="31" t="s">
        <v>26</v>
      </c>
      <c r="AC130" s="529">
        <f>AC131</f>
        <v>0</v>
      </c>
      <c r="AD130" s="513">
        <v>0</v>
      </c>
      <c r="AE130" s="513" t="s">
        <v>13326</v>
      </c>
      <c r="AF130" s="513" t="s">
        <v>155</v>
      </c>
      <c r="AG130" s="514" t="s">
        <v>1001</v>
      </c>
      <c r="AH130" s="44">
        <f>AH131</f>
        <v>0</v>
      </c>
      <c r="AI130" s="10"/>
      <c r="AJ130" s="9"/>
      <c r="AK130" s="10"/>
      <c r="AL130" s="10"/>
    </row>
    <row r="131" spans="1:38" ht="22.5" hidden="1">
      <c r="A131" s="1">
        <f t="shared" si="10"/>
        <v>0</v>
      </c>
      <c r="B131" s="2" t="s">
        <v>1002</v>
      </c>
      <c r="C131" s="3" t="s">
        <v>1003</v>
      </c>
      <c r="D131" s="15" t="s">
        <v>11379</v>
      </c>
      <c r="E131" s="4" t="s">
        <v>1002</v>
      </c>
      <c r="F131" s="37" t="s">
        <v>1003</v>
      </c>
      <c r="G131" s="38">
        <v>0</v>
      </c>
      <c r="H131" s="38">
        <v>0</v>
      </c>
      <c r="I131" s="15"/>
      <c r="J131" s="494">
        <v>10102080101</v>
      </c>
      <c r="K131" s="517"/>
      <c r="L131" s="517" t="s">
        <v>13326</v>
      </c>
      <c r="M131" s="517" t="s">
        <v>155</v>
      </c>
      <c r="N131" s="518" t="s">
        <v>1001</v>
      </c>
      <c r="O131" s="517">
        <v>1</v>
      </c>
      <c r="P131" s="517" t="s">
        <v>632</v>
      </c>
      <c r="Q131" s="517" t="s">
        <v>647</v>
      </c>
      <c r="R131" s="517" t="s">
        <v>766</v>
      </c>
      <c r="S131" s="517" t="s">
        <v>632</v>
      </c>
      <c r="T131" s="518" t="s">
        <v>26</v>
      </c>
      <c r="U131" s="38">
        <f t="shared" ref="U131:U194" si="19">H131</f>
        <v>0</v>
      </c>
      <c r="V131" s="15" t="str">
        <f t="shared" ref="V131:V194" si="20">CONCATENATE(W131,X131,Y131,Z131,AA131)</f>
        <v>101020801</v>
      </c>
      <c r="W131" s="39">
        <v>1</v>
      </c>
      <c r="X131" s="40" t="s">
        <v>632</v>
      </c>
      <c r="Y131" s="40" t="s">
        <v>647</v>
      </c>
      <c r="Z131" s="50" t="str">
        <f>Z130</f>
        <v>08</v>
      </c>
      <c r="AA131" s="40" t="s">
        <v>632</v>
      </c>
      <c r="AB131" s="41" t="s">
        <v>26</v>
      </c>
      <c r="AC131" s="519">
        <f>H131</f>
        <v>0</v>
      </c>
      <c r="AD131" s="517">
        <v>0</v>
      </c>
      <c r="AE131" s="517" t="s">
        <v>13326</v>
      </c>
      <c r="AF131" s="517" t="s">
        <v>155</v>
      </c>
      <c r="AG131" s="520" t="s">
        <v>1001</v>
      </c>
      <c r="AH131" s="67">
        <f>AC131</f>
        <v>0</v>
      </c>
      <c r="AI131" s="10"/>
      <c r="AJ131" s="9"/>
      <c r="AK131" s="10"/>
      <c r="AL131" s="10"/>
    </row>
    <row r="132" spans="1:38" ht="33.75" hidden="1">
      <c r="A132" s="1">
        <f t="shared" si="10"/>
        <v>0</v>
      </c>
      <c r="C132" s="3" t="s">
        <v>1004</v>
      </c>
      <c r="D132" s="15" t="s">
        <v>16</v>
      </c>
      <c r="E132" s="30"/>
      <c r="F132" s="31" t="s">
        <v>1005</v>
      </c>
      <c r="G132" s="32">
        <f>G133+G134+G135+G136-G137-G138-G139-G140</f>
        <v>123159.25000000004</v>
      </c>
      <c r="H132" s="32">
        <f>H133+H134+H135+H136-H137-H138-H139-H140</f>
        <v>97126.019999999946</v>
      </c>
      <c r="I132" s="507"/>
      <c r="J132" s="508"/>
      <c r="K132" s="513"/>
      <c r="L132" s="513"/>
      <c r="M132" s="513"/>
      <c r="N132" s="514"/>
      <c r="O132" s="513"/>
      <c r="P132" s="513"/>
      <c r="Q132" s="513"/>
      <c r="R132" s="513"/>
      <c r="S132" s="513"/>
      <c r="T132" s="514"/>
      <c r="U132" s="32">
        <f>U133+U134+U135+U136-U137-U138-U139-U140</f>
        <v>97126.019999999946</v>
      </c>
      <c r="V132" s="15" t="str">
        <f t="shared" si="20"/>
        <v>101020900</v>
      </c>
      <c r="W132" s="33">
        <v>1</v>
      </c>
      <c r="X132" s="34" t="s">
        <v>632</v>
      </c>
      <c r="Y132" s="34" t="s">
        <v>647</v>
      </c>
      <c r="Z132" s="35" t="s">
        <v>779</v>
      </c>
      <c r="AA132" s="35" t="s">
        <v>630</v>
      </c>
      <c r="AB132" s="31" t="s">
        <v>1005</v>
      </c>
      <c r="AC132" s="529">
        <f>AC133+AC134+AC135+AC136-AC137-AC138-AC139-AC140</f>
        <v>0</v>
      </c>
      <c r="AD132" s="513">
        <v>0</v>
      </c>
      <c r="AE132" s="513" t="s">
        <v>13335</v>
      </c>
      <c r="AF132" s="513" t="s">
        <v>156</v>
      </c>
      <c r="AG132" s="514" t="s">
        <v>1006</v>
      </c>
      <c r="AH132" s="44">
        <f>AH133+AH134+AH135+AH136-AH137-AH138-AH139-AH140</f>
        <v>0</v>
      </c>
      <c r="AI132" s="10"/>
      <c r="AJ132" s="9"/>
      <c r="AK132" s="10"/>
      <c r="AL132" s="10"/>
    </row>
    <row r="133" spans="1:38" ht="22.5" hidden="1">
      <c r="A133" s="1">
        <f t="shared" si="10"/>
        <v>0</v>
      </c>
      <c r="B133" s="2" t="s">
        <v>1007</v>
      </c>
      <c r="C133" s="3" t="s">
        <v>1008</v>
      </c>
      <c r="D133" s="15" t="s">
        <v>11380</v>
      </c>
      <c r="E133" s="4" t="s">
        <v>1007</v>
      </c>
      <c r="F133" s="37" t="s">
        <v>1008</v>
      </c>
      <c r="G133" s="38">
        <v>187500.46</v>
      </c>
      <c r="H133" s="38">
        <v>187500.46</v>
      </c>
      <c r="I133" s="15"/>
      <c r="J133" s="494">
        <v>10102090101</v>
      </c>
      <c r="K133" s="517"/>
      <c r="L133" s="517" t="s">
        <v>13327</v>
      </c>
      <c r="M133" s="517" t="s">
        <v>1010</v>
      </c>
      <c r="N133" s="518" t="s">
        <v>1011</v>
      </c>
      <c r="O133" s="517">
        <v>1</v>
      </c>
      <c r="P133" s="517" t="s">
        <v>632</v>
      </c>
      <c r="Q133" s="517" t="s">
        <v>647</v>
      </c>
      <c r="R133" s="517" t="s">
        <v>779</v>
      </c>
      <c r="S133" s="517" t="s">
        <v>632</v>
      </c>
      <c r="T133" s="518" t="s">
        <v>1009</v>
      </c>
      <c r="U133" s="38">
        <f t="shared" si="19"/>
        <v>187500.46</v>
      </c>
      <c r="V133" s="15" t="str">
        <f t="shared" si="20"/>
        <v>101020901</v>
      </c>
      <c r="W133" s="39">
        <v>1</v>
      </c>
      <c r="X133" s="40" t="s">
        <v>632</v>
      </c>
      <c r="Y133" s="40" t="s">
        <v>647</v>
      </c>
      <c r="Z133" s="50" t="str">
        <f>Z132</f>
        <v>09</v>
      </c>
      <c r="AA133" s="40" t="s">
        <v>632</v>
      </c>
      <c r="AB133" s="41" t="s">
        <v>1009</v>
      </c>
      <c r="AC133" s="519">
        <f>SUBTOTAL(9,H133:H136)</f>
        <v>0</v>
      </c>
      <c r="AD133" s="517">
        <v>0</v>
      </c>
      <c r="AE133" s="517" t="s">
        <v>13327</v>
      </c>
      <c r="AF133" s="517" t="s">
        <v>1010</v>
      </c>
      <c r="AG133" s="520" t="s">
        <v>1011</v>
      </c>
      <c r="AH133" s="67">
        <f>AC133</f>
        <v>0</v>
      </c>
      <c r="AI133" s="10"/>
      <c r="AJ133" s="9"/>
      <c r="AK133" s="10"/>
      <c r="AL133" s="10"/>
    </row>
    <row r="134" spans="1:38" ht="22.5" hidden="1">
      <c r="A134" s="1">
        <f t="shared" ref="A134:A197" si="21">IF(E134=B134,0,1)</f>
        <v>0</v>
      </c>
      <c r="B134" s="2" t="s">
        <v>1012</v>
      </c>
      <c r="C134" s="3" t="s">
        <v>1013</v>
      </c>
      <c r="D134" s="15" t="s">
        <v>11380</v>
      </c>
      <c r="E134" s="4" t="s">
        <v>1012</v>
      </c>
      <c r="F134" s="37" t="s">
        <v>1013</v>
      </c>
      <c r="G134" s="38">
        <v>641148.28</v>
      </c>
      <c r="H134" s="38">
        <v>650135.6</v>
      </c>
      <c r="I134" s="15"/>
      <c r="J134" s="494">
        <v>10102090102</v>
      </c>
      <c r="K134" s="517"/>
      <c r="L134" s="517" t="s">
        <v>13327</v>
      </c>
      <c r="M134" s="517" t="s">
        <v>1010</v>
      </c>
      <c r="N134" s="518" t="s">
        <v>1011</v>
      </c>
      <c r="O134" s="517">
        <v>1</v>
      </c>
      <c r="P134" s="517" t="s">
        <v>632</v>
      </c>
      <c r="Q134" s="517" t="s">
        <v>647</v>
      </c>
      <c r="R134" s="517" t="s">
        <v>779</v>
      </c>
      <c r="S134" s="517" t="s">
        <v>632</v>
      </c>
      <c r="T134" s="518" t="s">
        <v>1009</v>
      </c>
      <c r="U134" s="38">
        <f t="shared" si="19"/>
        <v>650135.6</v>
      </c>
      <c r="V134" s="15" t="str">
        <f t="shared" si="20"/>
        <v>101020901</v>
      </c>
      <c r="W134" s="39">
        <v>1</v>
      </c>
      <c r="X134" s="40" t="s">
        <v>632</v>
      </c>
      <c r="Y134" s="40" t="s">
        <v>647</v>
      </c>
      <c r="Z134" s="50" t="str">
        <f t="shared" ref="Z134:Z136" si="22">Z133</f>
        <v>09</v>
      </c>
      <c r="AA134" s="40" t="s">
        <v>632</v>
      </c>
      <c r="AB134" s="41" t="s">
        <v>1009</v>
      </c>
      <c r="AC134" s="9"/>
      <c r="AD134" s="517">
        <v>0</v>
      </c>
      <c r="AE134" s="517" t="s">
        <v>13327</v>
      </c>
      <c r="AF134" s="517" t="s">
        <v>1010</v>
      </c>
      <c r="AG134" s="520" t="s">
        <v>1011</v>
      </c>
      <c r="AH134" s="9"/>
      <c r="AI134" s="10"/>
      <c r="AJ134" s="9"/>
      <c r="AK134" s="10"/>
      <c r="AL134" s="10"/>
    </row>
    <row r="135" spans="1:38" ht="22.5" hidden="1">
      <c r="A135" s="1">
        <f t="shared" si="21"/>
        <v>0</v>
      </c>
      <c r="B135" s="2" t="s">
        <v>1014</v>
      </c>
      <c r="C135" s="3" t="s">
        <v>1015</v>
      </c>
      <c r="D135" s="15" t="s">
        <v>11380</v>
      </c>
      <c r="E135" s="4" t="s">
        <v>1014</v>
      </c>
      <c r="F135" s="37" t="s">
        <v>1015</v>
      </c>
      <c r="G135" s="38">
        <v>98405.26</v>
      </c>
      <c r="H135" s="38">
        <v>98405.26</v>
      </c>
      <c r="I135" s="15"/>
      <c r="J135" s="494">
        <v>10102090103</v>
      </c>
      <c r="K135" s="517"/>
      <c r="L135" s="517" t="s">
        <v>13327</v>
      </c>
      <c r="M135" s="517" t="s">
        <v>1010</v>
      </c>
      <c r="N135" s="518" t="s">
        <v>1011</v>
      </c>
      <c r="O135" s="517">
        <v>1</v>
      </c>
      <c r="P135" s="517" t="s">
        <v>632</v>
      </c>
      <c r="Q135" s="517" t="s">
        <v>647</v>
      </c>
      <c r="R135" s="517" t="s">
        <v>779</v>
      </c>
      <c r="S135" s="517" t="s">
        <v>632</v>
      </c>
      <c r="T135" s="518" t="s">
        <v>1009</v>
      </c>
      <c r="U135" s="38">
        <f t="shared" si="19"/>
        <v>98405.26</v>
      </c>
      <c r="V135" s="15" t="str">
        <f t="shared" si="20"/>
        <v>101020901</v>
      </c>
      <c r="W135" s="39">
        <v>1</v>
      </c>
      <c r="X135" s="40" t="s">
        <v>632</v>
      </c>
      <c r="Y135" s="40" t="s">
        <v>647</v>
      </c>
      <c r="Z135" s="50" t="str">
        <f t="shared" si="22"/>
        <v>09</v>
      </c>
      <c r="AA135" s="40" t="s">
        <v>632</v>
      </c>
      <c r="AB135" s="41" t="s">
        <v>1009</v>
      </c>
      <c r="AC135" s="9"/>
      <c r="AD135" s="517">
        <v>0</v>
      </c>
      <c r="AE135" s="517" t="s">
        <v>13327</v>
      </c>
      <c r="AF135" s="517" t="s">
        <v>1010</v>
      </c>
      <c r="AG135" s="520" t="s">
        <v>1011</v>
      </c>
      <c r="AH135" s="9"/>
      <c r="AI135" s="10"/>
      <c r="AJ135" s="9"/>
      <c r="AK135" s="10"/>
      <c r="AL135" s="10"/>
    </row>
    <row r="136" spans="1:38" ht="22.5" hidden="1">
      <c r="A136" s="1">
        <f t="shared" si="21"/>
        <v>0</v>
      </c>
      <c r="B136" s="2" t="s">
        <v>1016</v>
      </c>
      <c r="C136" s="3" t="s">
        <v>1017</v>
      </c>
      <c r="D136" s="15" t="s">
        <v>11380</v>
      </c>
      <c r="E136" s="4" t="s">
        <v>1016</v>
      </c>
      <c r="F136" s="37" t="s">
        <v>1017</v>
      </c>
      <c r="G136" s="38">
        <v>30640.11</v>
      </c>
      <c r="H136" s="38">
        <v>30640.11</v>
      </c>
      <c r="I136" s="15"/>
      <c r="J136" s="494">
        <v>10102090104</v>
      </c>
      <c r="K136" s="517"/>
      <c r="L136" s="517" t="s">
        <v>13327</v>
      </c>
      <c r="M136" s="517" t="s">
        <v>1010</v>
      </c>
      <c r="N136" s="518" t="s">
        <v>1011</v>
      </c>
      <c r="O136" s="517">
        <v>1</v>
      </c>
      <c r="P136" s="517" t="s">
        <v>632</v>
      </c>
      <c r="Q136" s="517" t="s">
        <v>647</v>
      </c>
      <c r="R136" s="517" t="s">
        <v>779</v>
      </c>
      <c r="S136" s="517" t="s">
        <v>632</v>
      </c>
      <c r="T136" s="518" t="s">
        <v>1009</v>
      </c>
      <c r="U136" s="38">
        <f t="shared" si="19"/>
        <v>30640.11</v>
      </c>
      <c r="V136" s="15" t="str">
        <f t="shared" si="20"/>
        <v>101020901</v>
      </c>
      <c r="W136" s="39">
        <v>1</v>
      </c>
      <c r="X136" s="40" t="s">
        <v>632</v>
      </c>
      <c r="Y136" s="40" t="s">
        <v>647</v>
      </c>
      <c r="Z136" s="50" t="str">
        <f t="shared" si="22"/>
        <v>09</v>
      </c>
      <c r="AA136" s="40" t="s">
        <v>632</v>
      </c>
      <c r="AB136" s="41" t="s">
        <v>1009</v>
      </c>
      <c r="AC136" s="9"/>
      <c r="AD136" s="517">
        <v>0</v>
      </c>
      <c r="AE136" s="517" t="s">
        <v>13327</v>
      </c>
      <c r="AF136" s="517" t="s">
        <v>1010</v>
      </c>
      <c r="AG136" s="520" t="s">
        <v>1011</v>
      </c>
      <c r="AH136" s="9"/>
      <c r="AI136" s="10"/>
      <c r="AJ136" s="9"/>
      <c r="AK136" s="10"/>
      <c r="AL136" s="10"/>
    </row>
    <row r="137" spans="1:38" ht="22.5" hidden="1">
      <c r="A137" s="1">
        <f t="shared" si="21"/>
        <v>0</v>
      </c>
      <c r="B137" s="2" t="s">
        <v>1018</v>
      </c>
      <c r="C137" s="3" t="s">
        <v>1019</v>
      </c>
      <c r="D137" s="15" t="s">
        <v>11381</v>
      </c>
      <c r="E137" s="4" t="s">
        <v>1018</v>
      </c>
      <c r="F137" s="37" t="s">
        <v>1019</v>
      </c>
      <c r="G137" s="38">
        <v>187500.46</v>
      </c>
      <c r="H137" s="38">
        <v>187500.46</v>
      </c>
      <c r="I137" s="15"/>
      <c r="J137" s="494">
        <v>10102090201</v>
      </c>
      <c r="K137" s="517"/>
      <c r="L137" s="517" t="s">
        <v>13328</v>
      </c>
      <c r="M137" s="517" t="s">
        <v>1021</v>
      </c>
      <c r="N137" s="518" t="s">
        <v>1022</v>
      </c>
      <c r="O137" s="517">
        <v>1</v>
      </c>
      <c r="P137" s="517" t="s">
        <v>632</v>
      </c>
      <c r="Q137" s="517" t="s">
        <v>647</v>
      </c>
      <c r="R137" s="517" t="s">
        <v>779</v>
      </c>
      <c r="S137" s="517" t="s">
        <v>647</v>
      </c>
      <c r="T137" s="518" t="s">
        <v>1020</v>
      </c>
      <c r="U137" s="38">
        <f t="shared" si="19"/>
        <v>187500.46</v>
      </c>
      <c r="V137" s="15" t="str">
        <f t="shared" si="20"/>
        <v>101020902</v>
      </c>
      <c r="W137" s="39">
        <v>1</v>
      </c>
      <c r="X137" s="40" t="s">
        <v>632</v>
      </c>
      <c r="Y137" s="40" t="s">
        <v>647</v>
      </c>
      <c r="Z137" s="50" t="str">
        <f>Z133</f>
        <v>09</v>
      </c>
      <c r="AA137" s="40" t="s">
        <v>647</v>
      </c>
      <c r="AB137" s="41" t="s">
        <v>1020</v>
      </c>
      <c r="AC137" s="519">
        <f>SUBTOTAL(9,H137:H140)</f>
        <v>0</v>
      </c>
      <c r="AD137" s="517">
        <v>0</v>
      </c>
      <c r="AE137" s="517" t="s">
        <v>13328</v>
      </c>
      <c r="AF137" s="517" t="s">
        <v>1021</v>
      </c>
      <c r="AG137" s="520" t="s">
        <v>1022</v>
      </c>
      <c r="AH137" s="67">
        <f>AC137</f>
        <v>0</v>
      </c>
      <c r="AI137" s="10"/>
      <c r="AJ137" s="9"/>
      <c r="AK137" s="10"/>
      <c r="AL137" s="10"/>
    </row>
    <row r="138" spans="1:38" ht="22.5" hidden="1">
      <c r="A138" s="1">
        <f t="shared" si="21"/>
        <v>0</v>
      </c>
      <c r="B138" s="2" t="s">
        <v>1023</v>
      </c>
      <c r="C138" s="3" t="s">
        <v>1024</v>
      </c>
      <c r="D138" s="15" t="s">
        <v>11381</v>
      </c>
      <c r="E138" s="4" t="s">
        <v>1023</v>
      </c>
      <c r="F138" s="37" t="s">
        <v>1024</v>
      </c>
      <c r="G138" s="38">
        <v>518670.1</v>
      </c>
      <c r="H138" s="38">
        <v>553151.41</v>
      </c>
      <c r="I138" s="15"/>
      <c r="J138" s="494">
        <v>10102090202</v>
      </c>
      <c r="K138" s="517"/>
      <c r="L138" s="517" t="s">
        <v>13328</v>
      </c>
      <c r="M138" s="517" t="s">
        <v>1021</v>
      </c>
      <c r="N138" s="518" t="s">
        <v>1022</v>
      </c>
      <c r="O138" s="517">
        <v>1</v>
      </c>
      <c r="P138" s="517" t="s">
        <v>632</v>
      </c>
      <c r="Q138" s="517" t="s">
        <v>647</v>
      </c>
      <c r="R138" s="517" t="s">
        <v>779</v>
      </c>
      <c r="S138" s="517" t="s">
        <v>647</v>
      </c>
      <c r="T138" s="518" t="s">
        <v>1020</v>
      </c>
      <c r="U138" s="38">
        <f t="shared" si="19"/>
        <v>553151.41</v>
      </c>
      <c r="V138" s="15" t="str">
        <f t="shared" si="20"/>
        <v>101020902</v>
      </c>
      <c r="W138" s="39">
        <v>1</v>
      </c>
      <c r="X138" s="40" t="s">
        <v>632</v>
      </c>
      <c r="Y138" s="40" t="s">
        <v>647</v>
      </c>
      <c r="Z138" s="50" t="str">
        <f t="shared" ref="Z138:Z140" si="23">Z134</f>
        <v>09</v>
      </c>
      <c r="AA138" s="40" t="s">
        <v>647</v>
      </c>
      <c r="AB138" s="41" t="s">
        <v>1020</v>
      </c>
      <c r="AC138" s="9"/>
      <c r="AD138" s="517">
        <v>0</v>
      </c>
      <c r="AE138" s="517" t="s">
        <v>13328</v>
      </c>
      <c r="AF138" s="517" t="s">
        <v>1021</v>
      </c>
      <c r="AG138" s="520" t="s">
        <v>1022</v>
      </c>
      <c r="AH138" s="9"/>
      <c r="AI138" s="10"/>
      <c r="AJ138" s="9"/>
      <c r="AK138" s="10"/>
      <c r="AL138" s="10"/>
    </row>
    <row r="139" spans="1:38" ht="22.5" hidden="1">
      <c r="A139" s="1">
        <f t="shared" si="21"/>
        <v>0</v>
      </c>
      <c r="B139" s="2" t="s">
        <v>1025</v>
      </c>
      <c r="C139" s="3" t="s">
        <v>1026</v>
      </c>
      <c r="D139" s="15" t="s">
        <v>11381</v>
      </c>
      <c r="E139" s="4" t="s">
        <v>1025</v>
      </c>
      <c r="F139" s="37" t="s">
        <v>1026</v>
      </c>
      <c r="G139" s="38">
        <v>29959.040000000001</v>
      </c>
      <c r="H139" s="38">
        <v>30498.28</v>
      </c>
      <c r="I139" s="15"/>
      <c r="J139" s="494">
        <v>10102090203</v>
      </c>
      <c r="K139" s="517"/>
      <c r="L139" s="517" t="s">
        <v>13328</v>
      </c>
      <c r="M139" s="517" t="s">
        <v>1021</v>
      </c>
      <c r="N139" s="518" t="s">
        <v>1022</v>
      </c>
      <c r="O139" s="517">
        <v>1</v>
      </c>
      <c r="P139" s="517" t="s">
        <v>632</v>
      </c>
      <c r="Q139" s="517" t="s">
        <v>647</v>
      </c>
      <c r="R139" s="517" t="s">
        <v>779</v>
      </c>
      <c r="S139" s="517" t="s">
        <v>647</v>
      </c>
      <c r="T139" s="518" t="s">
        <v>1020</v>
      </c>
      <c r="U139" s="38">
        <f t="shared" si="19"/>
        <v>30498.28</v>
      </c>
      <c r="V139" s="15" t="str">
        <f t="shared" si="20"/>
        <v>101020902</v>
      </c>
      <c r="W139" s="39">
        <v>1</v>
      </c>
      <c r="X139" s="40" t="s">
        <v>632</v>
      </c>
      <c r="Y139" s="40" t="s">
        <v>647</v>
      </c>
      <c r="Z139" s="50" t="str">
        <f t="shared" si="23"/>
        <v>09</v>
      </c>
      <c r="AA139" s="40" t="s">
        <v>647</v>
      </c>
      <c r="AB139" s="41" t="s">
        <v>1020</v>
      </c>
      <c r="AC139" s="9"/>
      <c r="AD139" s="517">
        <v>0</v>
      </c>
      <c r="AE139" s="517" t="s">
        <v>13328</v>
      </c>
      <c r="AF139" s="517" t="s">
        <v>1021</v>
      </c>
      <c r="AG139" s="520" t="s">
        <v>1022</v>
      </c>
      <c r="AH139" s="9"/>
      <c r="AI139" s="10"/>
      <c r="AJ139" s="9"/>
      <c r="AK139" s="10"/>
      <c r="AL139" s="10"/>
    </row>
    <row r="140" spans="1:38" ht="22.5" hidden="1">
      <c r="A140" s="1">
        <f t="shared" si="21"/>
        <v>0</v>
      </c>
      <c r="B140" s="2" t="s">
        <v>1027</v>
      </c>
      <c r="C140" s="3" t="s">
        <v>1028</v>
      </c>
      <c r="D140" s="15" t="s">
        <v>11381</v>
      </c>
      <c r="E140" s="4" t="s">
        <v>1027</v>
      </c>
      <c r="F140" s="37" t="s">
        <v>1028</v>
      </c>
      <c r="G140" s="38">
        <v>98405.26</v>
      </c>
      <c r="H140" s="38">
        <v>98405.26</v>
      </c>
      <c r="I140" s="15"/>
      <c r="J140" s="494">
        <v>10102090204</v>
      </c>
      <c r="K140" s="517"/>
      <c r="L140" s="517" t="s">
        <v>13328</v>
      </c>
      <c r="M140" s="517" t="s">
        <v>1021</v>
      </c>
      <c r="N140" s="518" t="s">
        <v>1022</v>
      </c>
      <c r="O140" s="517">
        <v>1</v>
      </c>
      <c r="P140" s="517" t="s">
        <v>632</v>
      </c>
      <c r="Q140" s="517" t="s">
        <v>647</v>
      </c>
      <c r="R140" s="517" t="s">
        <v>779</v>
      </c>
      <c r="S140" s="517" t="s">
        <v>647</v>
      </c>
      <c r="T140" s="518" t="s">
        <v>1020</v>
      </c>
      <c r="U140" s="38">
        <f t="shared" si="19"/>
        <v>98405.26</v>
      </c>
      <c r="V140" s="15" t="str">
        <f t="shared" si="20"/>
        <v>101020902</v>
      </c>
      <c r="W140" s="39">
        <v>1</v>
      </c>
      <c r="X140" s="40" t="s">
        <v>632</v>
      </c>
      <c r="Y140" s="40" t="s">
        <v>647</v>
      </c>
      <c r="Z140" s="50" t="str">
        <f t="shared" si="23"/>
        <v>09</v>
      </c>
      <c r="AA140" s="40" t="s">
        <v>647</v>
      </c>
      <c r="AB140" s="41" t="s">
        <v>1020</v>
      </c>
      <c r="AC140" s="9"/>
      <c r="AD140" s="517">
        <v>0</v>
      </c>
      <c r="AE140" s="517" t="s">
        <v>13328</v>
      </c>
      <c r="AF140" s="517" t="s">
        <v>1021</v>
      </c>
      <c r="AG140" s="520" t="s">
        <v>1022</v>
      </c>
      <c r="AH140" s="9"/>
      <c r="AI140" s="10"/>
      <c r="AJ140" s="9"/>
      <c r="AK140" s="10"/>
      <c r="AL140" s="10"/>
    </row>
    <row r="141" spans="1:38" ht="36" hidden="1">
      <c r="A141" s="1">
        <f t="shared" si="21"/>
        <v>0</v>
      </c>
      <c r="C141" s="3" t="s">
        <v>1029</v>
      </c>
      <c r="D141" s="15" t="s">
        <v>16</v>
      </c>
      <c r="E141" s="30"/>
      <c r="F141" s="31" t="s">
        <v>1030</v>
      </c>
      <c r="G141" s="32">
        <f>G142</f>
        <v>30681333.84</v>
      </c>
      <c r="H141" s="32">
        <f>H142</f>
        <v>28214205.68</v>
      </c>
      <c r="I141" s="507"/>
      <c r="J141" s="508"/>
      <c r="K141" s="513"/>
      <c r="L141" s="513"/>
      <c r="M141" s="525" t="s">
        <v>157</v>
      </c>
      <c r="N141" s="526" t="s">
        <v>1032</v>
      </c>
      <c r="O141" s="527">
        <v>1</v>
      </c>
      <c r="P141" s="527" t="s">
        <v>632</v>
      </c>
      <c r="Q141" s="527" t="s">
        <v>647</v>
      </c>
      <c r="R141" s="528">
        <v>10</v>
      </c>
      <c r="S141" s="528" t="s">
        <v>630</v>
      </c>
      <c r="T141" s="526" t="s">
        <v>1030</v>
      </c>
      <c r="U141" s="32">
        <f>U142</f>
        <v>28214205.68</v>
      </c>
      <c r="V141" s="15" t="str">
        <f t="shared" si="20"/>
        <v>101021000</v>
      </c>
      <c r="W141" s="33">
        <v>1</v>
      </c>
      <c r="X141" s="34" t="s">
        <v>632</v>
      </c>
      <c r="Y141" s="34" t="s">
        <v>647</v>
      </c>
      <c r="Z141" s="34">
        <v>10</v>
      </c>
      <c r="AA141" s="35" t="s">
        <v>630</v>
      </c>
      <c r="AB141" s="31" t="s">
        <v>1030</v>
      </c>
      <c r="AC141" s="529">
        <f>AC142</f>
        <v>28214205.68</v>
      </c>
      <c r="AD141" s="513">
        <v>0</v>
      </c>
      <c r="AE141" s="513" t="s">
        <v>1031</v>
      </c>
      <c r="AF141" s="513" t="s">
        <v>157</v>
      </c>
      <c r="AG141" s="514" t="s">
        <v>1032</v>
      </c>
      <c r="AH141" s="44">
        <f>AH142</f>
        <v>28214205.68</v>
      </c>
      <c r="AI141" s="10"/>
      <c r="AJ141" s="9"/>
      <c r="AK141" s="10"/>
      <c r="AL141" s="10"/>
    </row>
    <row r="142" spans="1:38" ht="22.5" hidden="1">
      <c r="A142" s="1">
        <f t="shared" si="21"/>
        <v>0</v>
      </c>
      <c r="B142" s="2" t="s">
        <v>1033</v>
      </c>
      <c r="C142" s="3" t="s">
        <v>1029</v>
      </c>
      <c r="D142" s="15" t="s">
        <v>11382</v>
      </c>
      <c r="E142" s="4" t="s">
        <v>1033</v>
      </c>
      <c r="F142" s="37" t="s">
        <v>1029</v>
      </c>
      <c r="G142" s="38">
        <v>30681333.84</v>
      </c>
      <c r="H142" s="38">
        <v>28214205.68</v>
      </c>
      <c r="I142" s="15"/>
      <c r="J142" s="494">
        <v>10102100101</v>
      </c>
      <c r="K142" s="531"/>
      <c r="L142" s="525" t="s">
        <v>1031</v>
      </c>
      <c r="U142" s="38">
        <f t="shared" si="19"/>
        <v>28214205.68</v>
      </c>
      <c r="V142" s="15" t="str">
        <f t="shared" si="20"/>
        <v>10102100</v>
      </c>
      <c r="W142" s="39">
        <v>1</v>
      </c>
      <c r="X142" s="40" t="s">
        <v>632</v>
      </c>
      <c r="Y142" s="40" t="s">
        <v>647</v>
      </c>
      <c r="Z142" s="50">
        <f>Z141</f>
        <v>10</v>
      </c>
      <c r="AA142" s="50">
        <v>0</v>
      </c>
      <c r="AB142" s="37" t="s">
        <v>1029</v>
      </c>
      <c r="AC142" s="519">
        <f>H142</f>
        <v>28214205.68</v>
      </c>
      <c r="AD142" s="531" t="e">
        <v>#N/A</v>
      </c>
      <c r="AE142" s="531" t="e">
        <v>#N/A</v>
      </c>
      <c r="AF142" s="531" t="e">
        <v>#N/A</v>
      </c>
      <c r="AG142" s="532" t="e">
        <v>#N/A</v>
      </c>
      <c r="AH142" s="67">
        <f>AC142</f>
        <v>28214205.68</v>
      </c>
      <c r="AI142" s="10"/>
      <c r="AJ142" s="9"/>
      <c r="AK142" s="10"/>
      <c r="AL142" s="10"/>
    </row>
    <row r="143" spans="1:38" ht="45" hidden="1">
      <c r="A143" s="1">
        <f t="shared" si="21"/>
        <v>0</v>
      </c>
      <c r="C143" s="3" t="s">
        <v>1034</v>
      </c>
      <c r="D143" s="15" t="s">
        <v>16</v>
      </c>
      <c r="E143" s="30"/>
      <c r="F143" s="31" t="s">
        <v>1035</v>
      </c>
      <c r="G143" s="32">
        <f>SUM(G144:G151)</f>
        <v>0</v>
      </c>
      <c r="H143" s="32">
        <f>SUM(H144:H151)</f>
        <v>0</v>
      </c>
      <c r="I143" s="15"/>
      <c r="J143" s="494"/>
      <c r="K143" s="513"/>
      <c r="L143" s="513"/>
      <c r="M143" s="513"/>
      <c r="N143" s="514"/>
      <c r="O143" s="513"/>
      <c r="P143" s="513"/>
      <c r="Q143" s="513"/>
      <c r="R143" s="513"/>
      <c r="S143" s="513"/>
      <c r="T143" s="514"/>
      <c r="U143" s="32">
        <f>SUM(U144:U151)</f>
        <v>0</v>
      </c>
      <c r="V143" s="15" t="str">
        <f t="shared" si="20"/>
        <v>101021100</v>
      </c>
      <c r="W143" s="33">
        <v>1</v>
      </c>
      <c r="X143" s="34" t="s">
        <v>632</v>
      </c>
      <c r="Y143" s="34" t="s">
        <v>647</v>
      </c>
      <c r="Z143" s="34">
        <v>11</v>
      </c>
      <c r="AA143" s="35" t="s">
        <v>630</v>
      </c>
      <c r="AB143" s="31" t="s">
        <v>1035</v>
      </c>
      <c r="AC143" s="529">
        <f>SUM(AC144:AC151)</f>
        <v>0</v>
      </c>
      <c r="AD143" s="513">
        <v>0</v>
      </c>
      <c r="AE143" s="513" t="s">
        <v>13336</v>
      </c>
      <c r="AF143" s="513" t="s">
        <v>1036</v>
      </c>
      <c r="AG143" s="514" t="s">
        <v>1037</v>
      </c>
      <c r="AH143" s="44">
        <f>SUM(AH144:AH151)</f>
        <v>0</v>
      </c>
      <c r="AI143" s="10"/>
      <c r="AJ143" s="9">
        <f t="shared" ref="AJ143:AJ178" si="24">AH143-H143</f>
        <v>0</v>
      </c>
      <c r="AK143" s="10"/>
      <c r="AL143" s="10"/>
    </row>
    <row r="144" spans="1:38" ht="22.5" hidden="1">
      <c r="A144" s="1">
        <f t="shared" si="21"/>
        <v>0</v>
      </c>
      <c r="B144" s="2" t="s">
        <v>1038</v>
      </c>
      <c r="C144" s="3" t="s">
        <v>1039</v>
      </c>
      <c r="D144" s="15" t="s">
        <v>11383</v>
      </c>
      <c r="E144" s="4" t="s">
        <v>1038</v>
      </c>
      <c r="F144" s="37" t="s">
        <v>1039</v>
      </c>
      <c r="G144" s="38">
        <v>0</v>
      </c>
      <c r="H144" s="38">
        <v>0</v>
      </c>
      <c r="I144" s="15"/>
      <c r="J144" s="494">
        <v>10102110101</v>
      </c>
      <c r="K144" s="517"/>
      <c r="L144" s="517" t="s">
        <v>13337</v>
      </c>
      <c r="M144" s="517" t="s">
        <v>1041</v>
      </c>
      <c r="N144" s="518" t="s">
        <v>1042</v>
      </c>
      <c r="O144" s="517">
        <v>1</v>
      </c>
      <c r="P144" s="517" t="s">
        <v>632</v>
      </c>
      <c r="Q144" s="517" t="s">
        <v>647</v>
      </c>
      <c r="R144" s="517">
        <v>11</v>
      </c>
      <c r="S144" s="517" t="s">
        <v>632</v>
      </c>
      <c r="T144" s="518" t="s">
        <v>1040</v>
      </c>
      <c r="U144" s="38">
        <f t="shared" si="19"/>
        <v>0</v>
      </c>
      <c r="V144" s="15" t="str">
        <f t="shared" si="20"/>
        <v>101021101</v>
      </c>
      <c r="W144" s="39">
        <v>1</v>
      </c>
      <c r="X144" s="40" t="s">
        <v>632</v>
      </c>
      <c r="Y144" s="40" t="s">
        <v>647</v>
      </c>
      <c r="Z144" s="50">
        <f t="shared" ref="Z144:Z151" si="25">Z143</f>
        <v>11</v>
      </c>
      <c r="AA144" s="40" t="s">
        <v>632</v>
      </c>
      <c r="AB144" s="41" t="s">
        <v>1040</v>
      </c>
      <c r="AC144" s="519">
        <f t="shared" ref="AC144:AC151" si="26">H144</f>
        <v>0</v>
      </c>
      <c r="AD144" s="517">
        <v>0</v>
      </c>
      <c r="AE144" s="517" t="s">
        <v>13337</v>
      </c>
      <c r="AF144" s="517" t="s">
        <v>1041</v>
      </c>
      <c r="AG144" s="520" t="s">
        <v>1042</v>
      </c>
      <c r="AH144" s="67">
        <f t="shared" ref="AH144:AH151" si="27">AC144</f>
        <v>0</v>
      </c>
      <c r="AI144" s="10"/>
      <c r="AJ144" s="9">
        <f t="shared" si="24"/>
        <v>0</v>
      </c>
      <c r="AK144" s="10"/>
      <c r="AL144" s="10"/>
    </row>
    <row r="145" spans="1:38" ht="22.5" hidden="1">
      <c r="A145" s="1">
        <f t="shared" si="21"/>
        <v>0</v>
      </c>
      <c r="B145" s="2" t="s">
        <v>1043</v>
      </c>
      <c r="C145" s="3" t="s">
        <v>1044</v>
      </c>
      <c r="D145" s="15" t="s">
        <v>11384</v>
      </c>
      <c r="E145" s="4" t="s">
        <v>1043</v>
      </c>
      <c r="F145" s="37" t="s">
        <v>1044</v>
      </c>
      <c r="G145" s="38">
        <v>0</v>
      </c>
      <c r="H145" s="38">
        <v>0</v>
      </c>
      <c r="I145" s="15"/>
      <c r="J145" s="494">
        <v>10102110201</v>
      </c>
      <c r="K145" s="517"/>
      <c r="L145" s="517" t="s">
        <v>13338</v>
      </c>
      <c r="M145" s="517" t="s">
        <v>1046</v>
      </c>
      <c r="N145" s="518" t="s">
        <v>1047</v>
      </c>
      <c r="O145" s="517">
        <v>1</v>
      </c>
      <c r="P145" s="517" t="s">
        <v>632</v>
      </c>
      <c r="Q145" s="517" t="s">
        <v>647</v>
      </c>
      <c r="R145" s="517">
        <v>11</v>
      </c>
      <c r="S145" s="517" t="s">
        <v>647</v>
      </c>
      <c r="T145" s="518" t="s">
        <v>1045</v>
      </c>
      <c r="U145" s="38">
        <f t="shared" si="19"/>
        <v>0</v>
      </c>
      <c r="V145" s="15" t="str">
        <f t="shared" si="20"/>
        <v>101021102</v>
      </c>
      <c r="W145" s="39">
        <v>1</v>
      </c>
      <c r="X145" s="40" t="s">
        <v>632</v>
      </c>
      <c r="Y145" s="40" t="s">
        <v>647</v>
      </c>
      <c r="Z145" s="50">
        <f t="shared" si="25"/>
        <v>11</v>
      </c>
      <c r="AA145" s="40" t="s">
        <v>647</v>
      </c>
      <c r="AB145" s="41" t="s">
        <v>1045</v>
      </c>
      <c r="AC145" s="519">
        <f t="shared" si="26"/>
        <v>0</v>
      </c>
      <c r="AD145" s="517">
        <v>0</v>
      </c>
      <c r="AE145" s="517" t="s">
        <v>13338</v>
      </c>
      <c r="AF145" s="517" t="s">
        <v>1046</v>
      </c>
      <c r="AG145" s="520" t="s">
        <v>1047</v>
      </c>
      <c r="AH145" s="67">
        <f t="shared" si="27"/>
        <v>0</v>
      </c>
      <c r="AI145" s="10"/>
      <c r="AJ145" s="9">
        <f t="shared" si="24"/>
        <v>0</v>
      </c>
      <c r="AK145" s="10"/>
      <c r="AL145" s="10"/>
    </row>
    <row r="146" spans="1:38" ht="22.5" hidden="1">
      <c r="A146" s="1">
        <f t="shared" si="21"/>
        <v>0</v>
      </c>
      <c r="B146" s="2" t="s">
        <v>1048</v>
      </c>
      <c r="C146" s="3" t="s">
        <v>1049</v>
      </c>
      <c r="D146" s="15" t="s">
        <v>11385</v>
      </c>
      <c r="E146" s="4" t="s">
        <v>1048</v>
      </c>
      <c r="F146" s="37" t="s">
        <v>1049</v>
      </c>
      <c r="G146" s="38">
        <v>0</v>
      </c>
      <c r="H146" s="38">
        <v>0</v>
      </c>
      <c r="I146" s="15"/>
      <c r="J146" s="494">
        <v>10102110301</v>
      </c>
      <c r="K146" s="517"/>
      <c r="L146" s="517" t="s">
        <v>13339</v>
      </c>
      <c r="M146" s="517" t="s">
        <v>1051</v>
      </c>
      <c r="N146" s="518" t="s">
        <v>1052</v>
      </c>
      <c r="O146" s="517">
        <v>1</v>
      </c>
      <c r="P146" s="517" t="s">
        <v>632</v>
      </c>
      <c r="Q146" s="517" t="s">
        <v>647</v>
      </c>
      <c r="R146" s="517">
        <v>11</v>
      </c>
      <c r="S146" s="517" t="s">
        <v>671</v>
      </c>
      <c r="T146" s="518" t="s">
        <v>1050</v>
      </c>
      <c r="U146" s="38">
        <f t="shared" si="19"/>
        <v>0</v>
      </c>
      <c r="V146" s="15" t="str">
        <f t="shared" si="20"/>
        <v>101021103</v>
      </c>
      <c r="W146" s="39">
        <v>1</v>
      </c>
      <c r="X146" s="40" t="s">
        <v>632</v>
      </c>
      <c r="Y146" s="40" t="s">
        <v>647</v>
      </c>
      <c r="Z146" s="50">
        <f t="shared" si="25"/>
        <v>11</v>
      </c>
      <c r="AA146" s="40" t="s">
        <v>671</v>
      </c>
      <c r="AB146" s="41" t="s">
        <v>1050</v>
      </c>
      <c r="AC146" s="519">
        <f t="shared" si="26"/>
        <v>0</v>
      </c>
      <c r="AD146" s="517">
        <v>0</v>
      </c>
      <c r="AE146" s="517" t="s">
        <v>13339</v>
      </c>
      <c r="AF146" s="517" t="s">
        <v>1051</v>
      </c>
      <c r="AG146" s="520" t="s">
        <v>1052</v>
      </c>
      <c r="AH146" s="67">
        <f t="shared" si="27"/>
        <v>0</v>
      </c>
      <c r="AI146" s="10"/>
      <c r="AJ146" s="9">
        <f t="shared" si="24"/>
        <v>0</v>
      </c>
      <c r="AK146" s="10"/>
      <c r="AL146" s="10"/>
    </row>
    <row r="147" spans="1:38" ht="33.75" hidden="1">
      <c r="A147" s="1">
        <f t="shared" si="21"/>
        <v>0</v>
      </c>
      <c r="B147" s="2" t="s">
        <v>1053</v>
      </c>
      <c r="C147" s="3" t="s">
        <v>1054</v>
      </c>
      <c r="D147" s="15" t="s">
        <v>11386</v>
      </c>
      <c r="E147" s="4" t="s">
        <v>1053</v>
      </c>
      <c r="F147" s="37" t="s">
        <v>1054</v>
      </c>
      <c r="G147" s="38">
        <v>0</v>
      </c>
      <c r="H147" s="38">
        <v>0</v>
      </c>
      <c r="I147" s="15"/>
      <c r="J147" s="494">
        <v>10102110401</v>
      </c>
      <c r="K147" s="517"/>
      <c r="L147" s="517" t="s">
        <v>13340</v>
      </c>
      <c r="M147" s="517" t="s">
        <v>1056</v>
      </c>
      <c r="N147" s="518" t="s">
        <v>1057</v>
      </c>
      <c r="O147" s="517">
        <v>1</v>
      </c>
      <c r="P147" s="517" t="s">
        <v>632</v>
      </c>
      <c r="Q147" s="517" t="s">
        <v>647</v>
      </c>
      <c r="R147" s="517">
        <v>11</v>
      </c>
      <c r="S147" s="517" t="s">
        <v>693</v>
      </c>
      <c r="T147" s="518" t="s">
        <v>1055</v>
      </c>
      <c r="U147" s="38">
        <f t="shared" si="19"/>
        <v>0</v>
      </c>
      <c r="V147" s="15" t="str">
        <f t="shared" si="20"/>
        <v>101021104</v>
      </c>
      <c r="W147" s="39">
        <v>1</v>
      </c>
      <c r="X147" s="40" t="s">
        <v>632</v>
      </c>
      <c r="Y147" s="40" t="s">
        <v>647</v>
      </c>
      <c r="Z147" s="50">
        <f t="shared" si="25"/>
        <v>11</v>
      </c>
      <c r="AA147" s="40" t="s">
        <v>693</v>
      </c>
      <c r="AB147" s="41" t="s">
        <v>1055</v>
      </c>
      <c r="AC147" s="519">
        <f t="shared" si="26"/>
        <v>0</v>
      </c>
      <c r="AD147" s="517">
        <v>0</v>
      </c>
      <c r="AE147" s="517" t="s">
        <v>13340</v>
      </c>
      <c r="AF147" s="517" t="s">
        <v>1056</v>
      </c>
      <c r="AG147" s="520" t="s">
        <v>1057</v>
      </c>
      <c r="AH147" s="67">
        <f t="shared" si="27"/>
        <v>0</v>
      </c>
      <c r="AI147" s="10"/>
      <c r="AJ147" s="9">
        <f t="shared" si="24"/>
        <v>0</v>
      </c>
      <c r="AK147" s="10"/>
      <c r="AL147" s="10"/>
    </row>
    <row r="148" spans="1:38" ht="22.5" hidden="1">
      <c r="A148" s="1">
        <f t="shared" si="21"/>
        <v>0</v>
      </c>
      <c r="B148" s="2" t="s">
        <v>1058</v>
      </c>
      <c r="C148" s="3" t="s">
        <v>1059</v>
      </c>
      <c r="D148" s="15" t="s">
        <v>11387</v>
      </c>
      <c r="E148" s="4" t="s">
        <v>1058</v>
      </c>
      <c r="F148" s="37" t="s">
        <v>1059</v>
      </c>
      <c r="G148" s="38">
        <v>0</v>
      </c>
      <c r="H148" s="38">
        <v>0</v>
      </c>
      <c r="I148" s="15"/>
      <c r="J148" s="494">
        <v>10102110501</v>
      </c>
      <c r="K148" s="517"/>
      <c r="L148" s="517" t="s">
        <v>13341</v>
      </c>
      <c r="M148" s="517" t="s">
        <v>1061</v>
      </c>
      <c r="N148" s="518" t="s">
        <v>1062</v>
      </c>
      <c r="O148" s="517">
        <v>1</v>
      </c>
      <c r="P148" s="517" t="s">
        <v>632</v>
      </c>
      <c r="Q148" s="517" t="s">
        <v>647</v>
      </c>
      <c r="R148" s="517">
        <v>11</v>
      </c>
      <c r="S148" s="517" t="s">
        <v>714</v>
      </c>
      <c r="T148" s="518" t="s">
        <v>1060</v>
      </c>
      <c r="U148" s="38">
        <f t="shared" si="19"/>
        <v>0</v>
      </c>
      <c r="V148" s="15" t="str">
        <f t="shared" si="20"/>
        <v>101021105</v>
      </c>
      <c r="W148" s="39">
        <v>1</v>
      </c>
      <c r="X148" s="40" t="s">
        <v>632</v>
      </c>
      <c r="Y148" s="40" t="s">
        <v>647</v>
      </c>
      <c r="Z148" s="50">
        <f t="shared" si="25"/>
        <v>11</v>
      </c>
      <c r="AA148" s="40" t="s">
        <v>714</v>
      </c>
      <c r="AB148" s="41" t="s">
        <v>1060</v>
      </c>
      <c r="AC148" s="519">
        <f t="shared" si="26"/>
        <v>0</v>
      </c>
      <c r="AD148" s="517">
        <v>0</v>
      </c>
      <c r="AE148" s="517" t="s">
        <v>13341</v>
      </c>
      <c r="AF148" s="517" t="s">
        <v>1061</v>
      </c>
      <c r="AG148" s="520" t="s">
        <v>1062</v>
      </c>
      <c r="AH148" s="67">
        <f t="shared" si="27"/>
        <v>0</v>
      </c>
      <c r="AI148" s="10"/>
      <c r="AJ148" s="9">
        <f t="shared" si="24"/>
        <v>0</v>
      </c>
      <c r="AK148" s="10"/>
      <c r="AL148" s="10"/>
    </row>
    <row r="149" spans="1:38" ht="22.5" hidden="1">
      <c r="A149" s="1">
        <f t="shared" si="21"/>
        <v>0</v>
      </c>
      <c r="B149" s="2" t="s">
        <v>1063</v>
      </c>
      <c r="C149" s="3" t="s">
        <v>1064</v>
      </c>
      <c r="D149" s="15" t="s">
        <v>11388</v>
      </c>
      <c r="E149" s="4" t="s">
        <v>1063</v>
      </c>
      <c r="F149" s="37" t="s">
        <v>1064</v>
      </c>
      <c r="G149" s="38">
        <v>0</v>
      </c>
      <c r="H149" s="38">
        <v>0</v>
      </c>
      <c r="I149" s="15"/>
      <c r="J149" s="494">
        <v>10102110601</v>
      </c>
      <c r="K149" s="517"/>
      <c r="L149" s="517" t="s">
        <v>13342</v>
      </c>
      <c r="M149" s="517" t="s">
        <v>1066</v>
      </c>
      <c r="N149" s="518" t="s">
        <v>1067</v>
      </c>
      <c r="O149" s="517">
        <v>1</v>
      </c>
      <c r="P149" s="517" t="s">
        <v>632</v>
      </c>
      <c r="Q149" s="517" t="s">
        <v>647</v>
      </c>
      <c r="R149" s="517">
        <v>11</v>
      </c>
      <c r="S149" s="517" t="s">
        <v>739</v>
      </c>
      <c r="T149" s="518" t="s">
        <v>1065</v>
      </c>
      <c r="U149" s="38">
        <f t="shared" si="19"/>
        <v>0</v>
      </c>
      <c r="V149" s="15" t="str">
        <f t="shared" si="20"/>
        <v>101021106</v>
      </c>
      <c r="W149" s="39">
        <v>1</v>
      </c>
      <c r="X149" s="40" t="s">
        <v>632</v>
      </c>
      <c r="Y149" s="40" t="s">
        <v>647</v>
      </c>
      <c r="Z149" s="50">
        <f t="shared" si="25"/>
        <v>11</v>
      </c>
      <c r="AA149" s="40" t="s">
        <v>739</v>
      </c>
      <c r="AB149" s="41" t="s">
        <v>1065</v>
      </c>
      <c r="AC149" s="519">
        <f t="shared" si="26"/>
        <v>0</v>
      </c>
      <c r="AD149" s="517">
        <v>0</v>
      </c>
      <c r="AE149" s="517" t="s">
        <v>13342</v>
      </c>
      <c r="AF149" s="517" t="s">
        <v>1066</v>
      </c>
      <c r="AG149" s="520" t="s">
        <v>1067</v>
      </c>
      <c r="AH149" s="67">
        <f t="shared" si="27"/>
        <v>0</v>
      </c>
      <c r="AI149" s="10"/>
      <c r="AJ149" s="9">
        <f t="shared" si="24"/>
        <v>0</v>
      </c>
      <c r="AK149" s="10"/>
      <c r="AL149" s="10"/>
    </row>
    <row r="150" spans="1:38" ht="22.5" hidden="1">
      <c r="A150" s="1">
        <f t="shared" si="21"/>
        <v>0</v>
      </c>
      <c r="B150" s="2" t="s">
        <v>1068</v>
      </c>
      <c r="C150" s="3" t="s">
        <v>1069</v>
      </c>
      <c r="D150" s="15" t="s">
        <v>11389</v>
      </c>
      <c r="E150" s="4" t="s">
        <v>1068</v>
      </c>
      <c r="F150" s="37" t="s">
        <v>1069</v>
      </c>
      <c r="G150" s="38">
        <v>0</v>
      </c>
      <c r="H150" s="38">
        <v>0</v>
      </c>
      <c r="I150" s="15"/>
      <c r="J150" s="494">
        <v>10102110701</v>
      </c>
      <c r="K150" s="517"/>
      <c r="L150" s="517" t="s">
        <v>13343</v>
      </c>
      <c r="M150" s="517" t="s">
        <v>1071</v>
      </c>
      <c r="N150" s="518" t="s">
        <v>1072</v>
      </c>
      <c r="O150" s="517">
        <v>1</v>
      </c>
      <c r="P150" s="517" t="s">
        <v>632</v>
      </c>
      <c r="Q150" s="517" t="s">
        <v>647</v>
      </c>
      <c r="R150" s="517">
        <v>11</v>
      </c>
      <c r="S150" s="517" t="s">
        <v>755</v>
      </c>
      <c r="T150" s="518" t="s">
        <v>1070</v>
      </c>
      <c r="U150" s="38">
        <f t="shared" si="19"/>
        <v>0</v>
      </c>
      <c r="V150" s="15" t="str">
        <f t="shared" si="20"/>
        <v>101021107</v>
      </c>
      <c r="W150" s="39">
        <v>1</v>
      </c>
      <c r="X150" s="40" t="s">
        <v>632</v>
      </c>
      <c r="Y150" s="40" t="s">
        <v>647</v>
      </c>
      <c r="Z150" s="50">
        <f t="shared" si="25"/>
        <v>11</v>
      </c>
      <c r="AA150" s="40" t="s">
        <v>755</v>
      </c>
      <c r="AB150" s="41" t="s">
        <v>1070</v>
      </c>
      <c r="AC150" s="519">
        <f t="shared" si="26"/>
        <v>0</v>
      </c>
      <c r="AD150" s="517">
        <v>0</v>
      </c>
      <c r="AE150" s="517" t="s">
        <v>13343</v>
      </c>
      <c r="AF150" s="517" t="s">
        <v>1071</v>
      </c>
      <c r="AG150" s="520" t="s">
        <v>1072</v>
      </c>
      <c r="AH150" s="67">
        <f t="shared" si="27"/>
        <v>0</v>
      </c>
      <c r="AI150" s="10"/>
      <c r="AJ150" s="9">
        <f t="shared" si="24"/>
        <v>0</v>
      </c>
      <c r="AK150" s="10"/>
      <c r="AL150" s="10"/>
    </row>
    <row r="151" spans="1:38" ht="22.5" hidden="1">
      <c r="A151" s="1">
        <f t="shared" si="21"/>
        <v>0</v>
      </c>
      <c r="B151" s="2" t="s">
        <v>1073</v>
      </c>
      <c r="C151" s="3" t="s">
        <v>1074</v>
      </c>
      <c r="D151" s="15" t="s">
        <v>11390</v>
      </c>
      <c r="E151" s="4" t="s">
        <v>1073</v>
      </c>
      <c r="F151" s="37" t="s">
        <v>1074</v>
      </c>
      <c r="G151" s="38">
        <v>0</v>
      </c>
      <c r="H151" s="38">
        <v>0</v>
      </c>
      <c r="I151" s="15"/>
      <c r="J151" s="494">
        <v>10102110801</v>
      </c>
      <c r="K151" s="517"/>
      <c r="L151" s="517" t="s">
        <v>13344</v>
      </c>
      <c r="M151" s="517" t="s">
        <v>1076</v>
      </c>
      <c r="N151" s="518" t="s">
        <v>1077</v>
      </c>
      <c r="O151" s="517">
        <v>1</v>
      </c>
      <c r="P151" s="517" t="s">
        <v>632</v>
      </c>
      <c r="Q151" s="517" t="s">
        <v>647</v>
      </c>
      <c r="R151" s="517">
        <v>11</v>
      </c>
      <c r="S151" s="517" t="s">
        <v>766</v>
      </c>
      <c r="T151" s="518" t="s">
        <v>1075</v>
      </c>
      <c r="U151" s="38">
        <f t="shared" si="19"/>
        <v>0</v>
      </c>
      <c r="V151" s="15" t="str">
        <f t="shared" si="20"/>
        <v>101021108</v>
      </c>
      <c r="W151" s="39">
        <v>1</v>
      </c>
      <c r="X151" s="40" t="s">
        <v>632</v>
      </c>
      <c r="Y151" s="40" t="s">
        <v>647</v>
      </c>
      <c r="Z151" s="50">
        <f t="shared" si="25"/>
        <v>11</v>
      </c>
      <c r="AA151" s="40" t="s">
        <v>766</v>
      </c>
      <c r="AB151" s="41" t="s">
        <v>1075</v>
      </c>
      <c r="AC151" s="519">
        <f t="shared" si="26"/>
        <v>0</v>
      </c>
      <c r="AD151" s="517">
        <v>0</v>
      </c>
      <c r="AE151" s="517" t="s">
        <v>13344</v>
      </c>
      <c r="AF151" s="517" t="s">
        <v>1076</v>
      </c>
      <c r="AG151" s="520" t="s">
        <v>1077</v>
      </c>
      <c r="AH151" s="67">
        <f t="shared" si="27"/>
        <v>0</v>
      </c>
      <c r="AI151" s="10"/>
      <c r="AJ151" s="9">
        <f t="shared" si="24"/>
        <v>0</v>
      </c>
      <c r="AK151" s="10"/>
      <c r="AL151" s="10"/>
    </row>
    <row r="152" spans="1:38" ht="22.5" hidden="1">
      <c r="A152" s="1">
        <f t="shared" si="21"/>
        <v>0</v>
      </c>
      <c r="C152" s="3" t="s">
        <v>1078</v>
      </c>
      <c r="D152" s="15" t="s">
        <v>16</v>
      </c>
      <c r="E152" s="24"/>
      <c r="F152" s="25" t="s">
        <v>1078</v>
      </c>
      <c r="G152" s="26">
        <f>G153+G155+G157+G160+G166+G171</f>
        <v>178000</v>
      </c>
      <c r="H152" s="26">
        <f>H153+H155+H157+H160+H166+H171</f>
        <v>178000</v>
      </c>
      <c r="I152" s="507"/>
      <c r="J152" s="508"/>
      <c r="K152" s="509"/>
      <c r="L152" s="509"/>
      <c r="M152" s="509"/>
      <c r="N152" s="510"/>
      <c r="O152" s="509"/>
      <c r="P152" s="509"/>
      <c r="Q152" s="509"/>
      <c r="R152" s="509"/>
      <c r="S152" s="509"/>
      <c r="T152" s="510"/>
      <c r="U152" s="26">
        <f>U153+U155+U157+U160+U166+U171</f>
        <v>178000</v>
      </c>
      <c r="V152" s="15" t="str">
        <f t="shared" si="20"/>
        <v>101030000</v>
      </c>
      <c r="W152" s="27">
        <v>1</v>
      </c>
      <c r="X152" s="28" t="s">
        <v>632</v>
      </c>
      <c r="Y152" s="28" t="s">
        <v>671</v>
      </c>
      <c r="Z152" s="28" t="s">
        <v>630</v>
      </c>
      <c r="AA152" s="28" t="s">
        <v>630</v>
      </c>
      <c r="AB152" s="25" t="s">
        <v>1078</v>
      </c>
      <c r="AC152" s="530">
        <f>AC153+AC155+AC157+AC160+AC166+AC171</f>
        <v>178000</v>
      </c>
      <c r="AD152" s="509">
        <v>0</v>
      </c>
      <c r="AE152" s="509" t="s">
        <v>13345</v>
      </c>
      <c r="AF152" s="509" t="s">
        <v>1079</v>
      </c>
      <c r="AG152" s="510" t="s">
        <v>13346</v>
      </c>
      <c r="AH152" s="53">
        <f>AH153+AH155+AH157+AH160+AH166+AH171</f>
        <v>178000</v>
      </c>
      <c r="AI152" s="10"/>
      <c r="AJ152" s="9">
        <f t="shared" si="24"/>
        <v>0</v>
      </c>
      <c r="AK152" s="10"/>
      <c r="AL152" s="10"/>
    </row>
    <row r="153" spans="1:38" ht="22.5" hidden="1">
      <c r="A153" s="1">
        <f t="shared" si="21"/>
        <v>0</v>
      </c>
      <c r="C153" s="3" t="s">
        <v>1080</v>
      </c>
      <c r="D153" s="15" t="s">
        <v>16</v>
      </c>
      <c r="E153" s="30"/>
      <c r="F153" s="31" t="s">
        <v>1081</v>
      </c>
      <c r="G153" s="32">
        <f>G154</f>
        <v>0</v>
      </c>
      <c r="H153" s="32">
        <f>H154</f>
        <v>0</v>
      </c>
      <c r="I153" s="15"/>
      <c r="J153" s="494"/>
      <c r="K153" s="513"/>
      <c r="L153" s="513"/>
      <c r="M153" s="513"/>
      <c r="N153" s="514"/>
      <c r="O153" s="513"/>
      <c r="P153" s="513"/>
      <c r="Q153" s="513"/>
      <c r="R153" s="513"/>
      <c r="S153" s="513"/>
      <c r="T153" s="514"/>
      <c r="U153" s="32">
        <f>U154</f>
        <v>0</v>
      </c>
      <c r="V153" s="15" t="str">
        <f t="shared" si="20"/>
        <v>101030100</v>
      </c>
      <c r="W153" s="33">
        <v>1</v>
      </c>
      <c r="X153" s="34" t="s">
        <v>632</v>
      </c>
      <c r="Y153" s="34" t="s">
        <v>671</v>
      </c>
      <c r="Z153" s="34" t="s">
        <v>632</v>
      </c>
      <c r="AA153" s="35" t="s">
        <v>630</v>
      </c>
      <c r="AB153" s="31" t="s">
        <v>1081</v>
      </c>
      <c r="AC153" s="529">
        <f>AC154</f>
        <v>0</v>
      </c>
      <c r="AD153" s="513">
        <v>0</v>
      </c>
      <c r="AE153" s="513" t="s">
        <v>13347</v>
      </c>
      <c r="AF153" s="513" t="s">
        <v>158</v>
      </c>
      <c r="AG153" s="514" t="s">
        <v>1082</v>
      </c>
      <c r="AH153" s="44">
        <f>AH154</f>
        <v>0</v>
      </c>
      <c r="AI153" s="10"/>
      <c r="AJ153" s="9">
        <f t="shared" si="24"/>
        <v>0</v>
      </c>
      <c r="AK153" s="10"/>
      <c r="AL153" s="10"/>
    </row>
    <row r="154" spans="1:38" ht="22.5" hidden="1">
      <c r="A154" s="1">
        <f t="shared" si="21"/>
        <v>0</v>
      </c>
      <c r="B154" s="2" t="s">
        <v>1083</v>
      </c>
      <c r="C154" s="3" t="s">
        <v>1080</v>
      </c>
      <c r="D154" s="15" t="s">
        <v>11391</v>
      </c>
      <c r="E154" s="4" t="s">
        <v>1083</v>
      </c>
      <c r="F154" s="37" t="s">
        <v>1080</v>
      </c>
      <c r="G154" s="38">
        <v>0</v>
      </c>
      <c r="H154" s="38">
        <v>0</v>
      </c>
      <c r="I154" s="15"/>
      <c r="J154" s="494">
        <v>10103010101</v>
      </c>
      <c r="K154" s="517"/>
      <c r="L154" s="517" t="s">
        <v>13348</v>
      </c>
      <c r="M154" s="517" t="s">
        <v>159</v>
      </c>
      <c r="N154" s="518" t="s">
        <v>1084</v>
      </c>
      <c r="O154" s="517">
        <v>1</v>
      </c>
      <c r="P154" s="517" t="s">
        <v>632</v>
      </c>
      <c r="Q154" s="517" t="s">
        <v>671</v>
      </c>
      <c r="R154" s="517" t="s">
        <v>632</v>
      </c>
      <c r="S154" s="517" t="s">
        <v>632</v>
      </c>
      <c r="T154" s="518" t="s">
        <v>1081</v>
      </c>
      <c r="U154" s="38">
        <f t="shared" si="19"/>
        <v>0</v>
      </c>
      <c r="V154" s="15" t="str">
        <f t="shared" si="20"/>
        <v>101030101</v>
      </c>
      <c r="W154" s="39">
        <v>1</v>
      </c>
      <c r="X154" s="40" t="s">
        <v>632</v>
      </c>
      <c r="Y154" s="40" t="s">
        <v>671</v>
      </c>
      <c r="Z154" s="40" t="s">
        <v>632</v>
      </c>
      <c r="AA154" s="40" t="s">
        <v>632</v>
      </c>
      <c r="AB154" s="41" t="s">
        <v>1081</v>
      </c>
      <c r="AC154" s="519">
        <f>H154</f>
        <v>0</v>
      </c>
      <c r="AD154" s="517">
        <v>0</v>
      </c>
      <c r="AE154" s="517" t="s">
        <v>13348</v>
      </c>
      <c r="AF154" s="517" t="s">
        <v>159</v>
      </c>
      <c r="AG154" s="520" t="s">
        <v>1084</v>
      </c>
      <c r="AH154" s="67">
        <f>AC154</f>
        <v>0</v>
      </c>
      <c r="AI154" s="10"/>
      <c r="AJ154" s="9">
        <f t="shared" si="24"/>
        <v>0</v>
      </c>
      <c r="AK154" s="10"/>
      <c r="AL154" s="10"/>
    </row>
    <row r="155" spans="1:38" ht="22.5" hidden="1">
      <c r="A155" s="1">
        <f t="shared" si="21"/>
        <v>0</v>
      </c>
      <c r="C155" s="3" t="s">
        <v>1085</v>
      </c>
      <c r="D155" s="15" t="s">
        <v>16</v>
      </c>
      <c r="E155" s="30"/>
      <c r="F155" s="31" t="s">
        <v>1086</v>
      </c>
      <c r="G155" s="32">
        <f>G156</f>
        <v>0</v>
      </c>
      <c r="H155" s="32">
        <f>H156</f>
        <v>0</v>
      </c>
      <c r="I155" s="15"/>
      <c r="J155" s="494"/>
      <c r="K155" s="513"/>
      <c r="L155" s="513"/>
      <c r="M155" s="513"/>
      <c r="N155" s="514"/>
      <c r="O155" s="513"/>
      <c r="P155" s="513"/>
      <c r="Q155" s="513"/>
      <c r="R155" s="513"/>
      <c r="S155" s="513"/>
      <c r="T155" s="514"/>
      <c r="U155" s="32">
        <f>U156</f>
        <v>0</v>
      </c>
      <c r="V155" s="15" t="str">
        <f t="shared" si="20"/>
        <v>101030200</v>
      </c>
      <c r="W155" s="33">
        <v>1</v>
      </c>
      <c r="X155" s="34" t="s">
        <v>632</v>
      </c>
      <c r="Y155" s="34" t="s">
        <v>671</v>
      </c>
      <c r="Z155" s="35" t="s">
        <v>647</v>
      </c>
      <c r="AA155" s="35" t="s">
        <v>630</v>
      </c>
      <c r="AB155" s="31" t="s">
        <v>1086</v>
      </c>
      <c r="AC155" s="529">
        <f>AC156</f>
        <v>0</v>
      </c>
      <c r="AD155" s="513">
        <v>0</v>
      </c>
      <c r="AE155" s="513" t="s">
        <v>13348</v>
      </c>
      <c r="AF155" s="513" t="s">
        <v>159</v>
      </c>
      <c r="AG155" s="514" t="s">
        <v>1084</v>
      </c>
      <c r="AH155" s="44">
        <f>AH156</f>
        <v>0</v>
      </c>
      <c r="AI155" s="10"/>
      <c r="AJ155" s="9">
        <f t="shared" si="24"/>
        <v>0</v>
      </c>
      <c r="AK155" s="10"/>
      <c r="AL155" s="10"/>
    </row>
    <row r="156" spans="1:38" ht="22.5" hidden="1">
      <c r="A156" s="1">
        <f t="shared" si="21"/>
        <v>0</v>
      </c>
      <c r="B156" s="2" t="s">
        <v>1087</v>
      </c>
      <c r="C156" s="3" t="s">
        <v>1085</v>
      </c>
      <c r="D156" s="15" t="s">
        <v>11392</v>
      </c>
      <c r="E156" s="4" t="s">
        <v>1087</v>
      </c>
      <c r="F156" s="37" t="s">
        <v>1085</v>
      </c>
      <c r="G156" s="38">
        <v>0</v>
      </c>
      <c r="H156" s="38">
        <v>0</v>
      </c>
      <c r="I156" s="15"/>
      <c r="J156" s="494">
        <v>10103020101</v>
      </c>
      <c r="K156" s="517"/>
      <c r="L156" s="517" t="s">
        <v>13348</v>
      </c>
      <c r="M156" s="517" t="s">
        <v>159</v>
      </c>
      <c r="N156" s="518" t="s">
        <v>1084</v>
      </c>
      <c r="O156" s="517">
        <v>1</v>
      </c>
      <c r="P156" s="517" t="s">
        <v>632</v>
      </c>
      <c r="Q156" s="517" t="s">
        <v>671</v>
      </c>
      <c r="R156" s="517" t="s">
        <v>647</v>
      </c>
      <c r="S156" s="517" t="s">
        <v>632</v>
      </c>
      <c r="T156" s="518" t="s">
        <v>1086</v>
      </c>
      <c r="U156" s="38">
        <f t="shared" si="19"/>
        <v>0</v>
      </c>
      <c r="V156" s="15" t="str">
        <f t="shared" si="20"/>
        <v>101030201</v>
      </c>
      <c r="W156" s="39">
        <v>1</v>
      </c>
      <c r="X156" s="40" t="s">
        <v>632</v>
      </c>
      <c r="Y156" s="40" t="s">
        <v>671</v>
      </c>
      <c r="Z156" s="40" t="s">
        <v>647</v>
      </c>
      <c r="AA156" s="40" t="s">
        <v>632</v>
      </c>
      <c r="AB156" s="41" t="s">
        <v>1086</v>
      </c>
      <c r="AC156" s="519">
        <f>H156</f>
        <v>0</v>
      </c>
      <c r="AD156" s="517">
        <v>0</v>
      </c>
      <c r="AE156" s="517" t="s">
        <v>13348</v>
      </c>
      <c r="AF156" s="517" t="s">
        <v>159</v>
      </c>
      <c r="AG156" s="520" t="s">
        <v>1084</v>
      </c>
      <c r="AH156" s="67">
        <f>AC156</f>
        <v>0</v>
      </c>
      <c r="AI156" s="10"/>
      <c r="AJ156" s="9">
        <f t="shared" si="24"/>
        <v>0</v>
      </c>
      <c r="AK156" s="10"/>
      <c r="AL156" s="10"/>
    </row>
    <row r="157" spans="1:38" ht="22.5" hidden="1">
      <c r="A157" s="1">
        <f t="shared" si="21"/>
        <v>0</v>
      </c>
      <c r="C157" s="3" t="s">
        <v>1088</v>
      </c>
      <c r="D157" s="15" t="s">
        <v>16</v>
      </c>
      <c r="E157" s="30"/>
      <c r="F157" s="31" t="s">
        <v>1089</v>
      </c>
      <c r="G157" s="32">
        <f>G158+G159</f>
        <v>0</v>
      </c>
      <c r="H157" s="32">
        <f>H158+H159</f>
        <v>0</v>
      </c>
      <c r="I157" s="15"/>
      <c r="J157" s="494"/>
      <c r="K157" s="513"/>
      <c r="L157" s="513"/>
      <c r="M157" s="513"/>
      <c r="N157" s="514"/>
      <c r="O157" s="513"/>
      <c r="P157" s="513"/>
      <c r="Q157" s="513"/>
      <c r="R157" s="513"/>
      <c r="S157" s="513"/>
      <c r="T157" s="514"/>
      <c r="U157" s="32">
        <f>U158+U159</f>
        <v>0</v>
      </c>
      <c r="V157" s="15" t="str">
        <f t="shared" si="20"/>
        <v>101030300</v>
      </c>
      <c r="W157" s="33">
        <v>1</v>
      </c>
      <c r="X157" s="34" t="s">
        <v>632</v>
      </c>
      <c r="Y157" s="34" t="s">
        <v>671</v>
      </c>
      <c r="Z157" s="35" t="s">
        <v>671</v>
      </c>
      <c r="AA157" s="35" t="s">
        <v>630</v>
      </c>
      <c r="AB157" s="31" t="s">
        <v>1089</v>
      </c>
      <c r="AC157" s="529">
        <f>AC158+AC159</f>
        <v>0</v>
      </c>
      <c r="AD157" s="513">
        <v>0</v>
      </c>
      <c r="AE157" s="513" t="s">
        <v>13349</v>
      </c>
      <c r="AF157" s="513" t="s">
        <v>160</v>
      </c>
      <c r="AG157" s="514" t="s">
        <v>1090</v>
      </c>
      <c r="AH157" s="44">
        <f>AH158+AH159</f>
        <v>0</v>
      </c>
      <c r="AI157" s="10"/>
      <c r="AJ157" s="9">
        <f t="shared" si="24"/>
        <v>0</v>
      </c>
      <c r="AK157" s="10"/>
      <c r="AL157" s="10"/>
    </row>
    <row r="158" spans="1:38" ht="22.5" hidden="1">
      <c r="A158" s="1">
        <f t="shared" si="21"/>
        <v>0</v>
      </c>
      <c r="B158" s="2" t="s">
        <v>1091</v>
      </c>
      <c r="C158" s="3" t="s">
        <v>1092</v>
      </c>
      <c r="D158" s="15" t="s">
        <v>11393</v>
      </c>
      <c r="E158" s="4" t="s">
        <v>1091</v>
      </c>
      <c r="F158" s="37" t="s">
        <v>1092</v>
      </c>
      <c r="G158" s="38">
        <v>0</v>
      </c>
      <c r="H158" s="38">
        <v>0</v>
      </c>
      <c r="I158" s="15"/>
      <c r="J158" s="494">
        <v>10103030101</v>
      </c>
      <c r="K158" s="517"/>
      <c r="L158" s="517" t="s">
        <v>13348</v>
      </c>
      <c r="M158" s="517" t="s">
        <v>159</v>
      </c>
      <c r="N158" s="518" t="s">
        <v>1084</v>
      </c>
      <c r="O158" s="517">
        <v>1</v>
      </c>
      <c r="P158" s="517" t="s">
        <v>632</v>
      </c>
      <c r="Q158" s="517" t="s">
        <v>671</v>
      </c>
      <c r="R158" s="517" t="s">
        <v>671</v>
      </c>
      <c r="S158" s="517" t="s">
        <v>632</v>
      </c>
      <c r="T158" s="518" t="s">
        <v>1093</v>
      </c>
      <c r="U158" s="38">
        <f t="shared" si="19"/>
        <v>0</v>
      </c>
      <c r="V158" s="15" t="str">
        <f t="shared" si="20"/>
        <v>101030301</v>
      </c>
      <c r="W158" s="39">
        <v>1</v>
      </c>
      <c r="X158" s="40" t="s">
        <v>632</v>
      </c>
      <c r="Y158" s="40" t="s">
        <v>671</v>
      </c>
      <c r="Z158" s="40" t="s">
        <v>671</v>
      </c>
      <c r="AA158" s="40" t="s">
        <v>632</v>
      </c>
      <c r="AB158" s="41" t="s">
        <v>1093</v>
      </c>
      <c r="AC158" s="519">
        <f>H158</f>
        <v>0</v>
      </c>
      <c r="AD158" s="517">
        <v>0</v>
      </c>
      <c r="AE158" s="517" t="s">
        <v>13348</v>
      </c>
      <c r="AF158" s="517" t="s">
        <v>159</v>
      </c>
      <c r="AG158" s="520" t="s">
        <v>1084</v>
      </c>
      <c r="AH158" s="67">
        <f>AC158</f>
        <v>0</v>
      </c>
      <c r="AI158" s="10"/>
      <c r="AJ158" s="9">
        <f t="shared" si="24"/>
        <v>0</v>
      </c>
      <c r="AK158" s="10"/>
      <c r="AL158" s="10"/>
    </row>
    <row r="159" spans="1:38" ht="22.5" hidden="1">
      <c r="A159" s="1">
        <f t="shared" si="21"/>
        <v>0</v>
      </c>
      <c r="B159" s="2" t="s">
        <v>1094</v>
      </c>
      <c r="C159" s="3" t="s">
        <v>1095</v>
      </c>
      <c r="D159" s="15" t="s">
        <v>11394</v>
      </c>
      <c r="E159" s="4" t="s">
        <v>1094</v>
      </c>
      <c r="F159" s="37" t="s">
        <v>1095</v>
      </c>
      <c r="G159" s="38">
        <v>0</v>
      </c>
      <c r="H159" s="38">
        <v>0</v>
      </c>
      <c r="I159" s="15"/>
      <c r="J159" s="494">
        <v>10103030201</v>
      </c>
      <c r="K159" s="517"/>
      <c r="L159" s="517" t="s">
        <v>13349</v>
      </c>
      <c r="M159" s="517" t="s">
        <v>160</v>
      </c>
      <c r="N159" s="518" t="s">
        <v>1090</v>
      </c>
      <c r="O159" s="517">
        <v>1</v>
      </c>
      <c r="P159" s="517" t="s">
        <v>632</v>
      </c>
      <c r="Q159" s="517" t="s">
        <v>671</v>
      </c>
      <c r="R159" s="517" t="s">
        <v>671</v>
      </c>
      <c r="S159" s="517" t="s">
        <v>647</v>
      </c>
      <c r="T159" s="518" t="s">
        <v>1096</v>
      </c>
      <c r="U159" s="38">
        <f t="shared" si="19"/>
        <v>0</v>
      </c>
      <c r="V159" s="15" t="str">
        <f t="shared" si="20"/>
        <v>101030302</v>
      </c>
      <c r="W159" s="39">
        <v>1</v>
      </c>
      <c r="X159" s="40" t="s">
        <v>632</v>
      </c>
      <c r="Y159" s="40" t="s">
        <v>671</v>
      </c>
      <c r="Z159" s="40" t="s">
        <v>671</v>
      </c>
      <c r="AA159" s="40" t="s">
        <v>647</v>
      </c>
      <c r="AB159" s="41" t="s">
        <v>1096</v>
      </c>
      <c r="AC159" s="519">
        <f>H159</f>
        <v>0</v>
      </c>
      <c r="AD159" s="517">
        <v>0</v>
      </c>
      <c r="AE159" s="517" t="s">
        <v>13349</v>
      </c>
      <c r="AF159" s="517" t="s">
        <v>160</v>
      </c>
      <c r="AG159" s="520" t="s">
        <v>1090</v>
      </c>
      <c r="AH159" s="67">
        <f>AC159</f>
        <v>0</v>
      </c>
      <c r="AI159" s="10"/>
      <c r="AJ159" s="9">
        <f t="shared" si="24"/>
        <v>0</v>
      </c>
      <c r="AK159" s="10"/>
      <c r="AL159" s="10"/>
    </row>
    <row r="160" spans="1:38" ht="22.5" hidden="1">
      <c r="A160" s="1">
        <f t="shared" si="21"/>
        <v>0</v>
      </c>
      <c r="C160" s="3" t="s">
        <v>1097</v>
      </c>
      <c r="D160" s="15" t="s">
        <v>16</v>
      </c>
      <c r="E160" s="30"/>
      <c r="F160" s="31" t="s">
        <v>1098</v>
      </c>
      <c r="G160" s="32">
        <f>SUM(G161:G165)</f>
        <v>0</v>
      </c>
      <c r="H160" s="32">
        <f>SUM(H161:H165)</f>
        <v>0</v>
      </c>
      <c r="I160" s="15"/>
      <c r="J160" s="494"/>
      <c r="K160" s="513"/>
      <c r="L160" s="513"/>
      <c r="M160" s="513"/>
      <c r="N160" s="514"/>
      <c r="O160" s="513"/>
      <c r="P160" s="513"/>
      <c r="Q160" s="513"/>
      <c r="R160" s="513"/>
      <c r="S160" s="513"/>
      <c r="T160" s="514"/>
      <c r="U160" s="32">
        <f>SUM(U161:U165)</f>
        <v>0</v>
      </c>
      <c r="V160" s="15" t="str">
        <f t="shared" si="20"/>
        <v>101030400</v>
      </c>
      <c r="W160" s="33">
        <v>1</v>
      </c>
      <c r="X160" s="34" t="s">
        <v>632</v>
      </c>
      <c r="Y160" s="34" t="s">
        <v>671</v>
      </c>
      <c r="Z160" s="35" t="s">
        <v>693</v>
      </c>
      <c r="AA160" s="35" t="s">
        <v>630</v>
      </c>
      <c r="AB160" s="31" t="s">
        <v>1098</v>
      </c>
      <c r="AC160" s="529">
        <f>SUM(AC161:AC165)</f>
        <v>0</v>
      </c>
      <c r="AD160" s="513">
        <v>0</v>
      </c>
      <c r="AE160" s="513" t="s">
        <v>13350</v>
      </c>
      <c r="AF160" s="513" t="s">
        <v>161</v>
      </c>
      <c r="AG160" s="514" t="s">
        <v>1099</v>
      </c>
      <c r="AH160" s="44">
        <f>SUM(AH161:AH165)</f>
        <v>0</v>
      </c>
      <c r="AI160" s="10"/>
      <c r="AJ160" s="9">
        <f t="shared" si="24"/>
        <v>0</v>
      </c>
      <c r="AK160" s="10"/>
      <c r="AL160" s="10"/>
    </row>
    <row r="161" spans="1:38" ht="22.5" hidden="1">
      <c r="A161" s="1">
        <f t="shared" si="21"/>
        <v>0</v>
      </c>
      <c r="B161" s="2" t="s">
        <v>1100</v>
      </c>
      <c r="C161" s="3" t="s">
        <v>1101</v>
      </c>
      <c r="D161" s="15" t="s">
        <v>11395</v>
      </c>
      <c r="E161" s="4" t="s">
        <v>1100</v>
      </c>
      <c r="F161" s="37" t="s">
        <v>1101</v>
      </c>
      <c r="G161" s="38">
        <v>0</v>
      </c>
      <c r="H161" s="38">
        <v>0</v>
      </c>
      <c r="I161" s="15"/>
      <c r="J161" s="494">
        <v>10103040101</v>
      </c>
      <c r="K161" s="517"/>
      <c r="L161" s="517" t="s">
        <v>13350</v>
      </c>
      <c r="M161" s="517" t="s">
        <v>161</v>
      </c>
      <c r="N161" s="518" t="s">
        <v>1099</v>
      </c>
      <c r="O161" s="517">
        <v>1</v>
      </c>
      <c r="P161" s="517" t="s">
        <v>632</v>
      </c>
      <c r="Q161" s="517" t="s">
        <v>671</v>
      </c>
      <c r="R161" s="517" t="s">
        <v>693</v>
      </c>
      <c r="S161" s="517" t="s">
        <v>632</v>
      </c>
      <c r="T161" s="518" t="s">
        <v>1102</v>
      </c>
      <c r="U161" s="38">
        <f t="shared" si="19"/>
        <v>0</v>
      </c>
      <c r="V161" s="15" t="str">
        <f t="shared" si="20"/>
        <v>101030401</v>
      </c>
      <c r="W161" s="39">
        <v>1</v>
      </c>
      <c r="X161" s="40" t="s">
        <v>632</v>
      </c>
      <c r="Y161" s="40" t="s">
        <v>671</v>
      </c>
      <c r="Z161" s="40" t="s">
        <v>693</v>
      </c>
      <c r="AA161" s="40" t="s">
        <v>632</v>
      </c>
      <c r="AB161" s="41" t="s">
        <v>1102</v>
      </c>
      <c r="AC161" s="519">
        <f>H161</f>
        <v>0</v>
      </c>
      <c r="AD161" s="517">
        <v>0</v>
      </c>
      <c r="AE161" s="517" t="s">
        <v>13350</v>
      </c>
      <c r="AF161" s="517" t="s">
        <v>161</v>
      </c>
      <c r="AG161" s="520" t="s">
        <v>1099</v>
      </c>
      <c r="AH161" s="67">
        <f>AC161</f>
        <v>0</v>
      </c>
      <c r="AI161" s="10"/>
      <c r="AJ161" s="9">
        <f t="shared" si="24"/>
        <v>0</v>
      </c>
      <c r="AK161" s="10"/>
      <c r="AL161" s="10"/>
    </row>
    <row r="162" spans="1:38" ht="22.5" hidden="1">
      <c r="A162" s="1">
        <f t="shared" si="21"/>
        <v>0</v>
      </c>
      <c r="B162" s="2" t="s">
        <v>1103</v>
      </c>
      <c r="C162" s="3" t="s">
        <v>1104</v>
      </c>
      <c r="D162" s="15" t="s">
        <v>11396</v>
      </c>
      <c r="E162" s="4" t="s">
        <v>1103</v>
      </c>
      <c r="F162" s="37" t="s">
        <v>1104</v>
      </c>
      <c r="G162" s="38">
        <v>0</v>
      </c>
      <c r="H162" s="38">
        <v>0</v>
      </c>
      <c r="I162" s="15"/>
      <c r="J162" s="494">
        <v>10103040201</v>
      </c>
      <c r="K162" s="517"/>
      <c r="L162" s="517" t="s">
        <v>13350</v>
      </c>
      <c r="M162" s="517" t="s">
        <v>161</v>
      </c>
      <c r="N162" s="518" t="s">
        <v>1099</v>
      </c>
      <c r="O162" s="517">
        <v>1</v>
      </c>
      <c r="P162" s="517" t="s">
        <v>632</v>
      </c>
      <c r="Q162" s="517" t="s">
        <v>671</v>
      </c>
      <c r="R162" s="517" t="s">
        <v>693</v>
      </c>
      <c r="S162" s="517" t="s">
        <v>647</v>
      </c>
      <c r="T162" s="518" t="s">
        <v>1105</v>
      </c>
      <c r="U162" s="38">
        <f t="shared" si="19"/>
        <v>0</v>
      </c>
      <c r="V162" s="15" t="str">
        <f t="shared" si="20"/>
        <v>101030402</v>
      </c>
      <c r="W162" s="39">
        <v>1</v>
      </c>
      <c r="X162" s="40" t="s">
        <v>632</v>
      </c>
      <c r="Y162" s="40" t="s">
        <v>671</v>
      </c>
      <c r="Z162" s="40" t="s">
        <v>693</v>
      </c>
      <c r="AA162" s="40" t="s">
        <v>647</v>
      </c>
      <c r="AB162" s="41" t="s">
        <v>1105</v>
      </c>
      <c r="AC162" s="519">
        <f>H162</f>
        <v>0</v>
      </c>
      <c r="AD162" s="517">
        <v>0</v>
      </c>
      <c r="AE162" s="517" t="s">
        <v>13350</v>
      </c>
      <c r="AF162" s="517" t="s">
        <v>161</v>
      </c>
      <c r="AG162" s="520" t="s">
        <v>1099</v>
      </c>
      <c r="AH162" s="67">
        <f>AC162</f>
        <v>0</v>
      </c>
      <c r="AI162" s="10"/>
      <c r="AJ162" s="9">
        <f t="shared" si="24"/>
        <v>0</v>
      </c>
      <c r="AK162" s="10"/>
      <c r="AL162" s="10"/>
    </row>
    <row r="163" spans="1:38" ht="22.5" hidden="1">
      <c r="A163" s="1">
        <f t="shared" si="21"/>
        <v>0</v>
      </c>
      <c r="B163" s="2" t="s">
        <v>1106</v>
      </c>
      <c r="C163" s="3" t="s">
        <v>1097</v>
      </c>
      <c r="D163" s="15" t="s">
        <v>11397</v>
      </c>
      <c r="E163" s="4" t="s">
        <v>1106</v>
      </c>
      <c r="F163" s="37" t="s">
        <v>1097</v>
      </c>
      <c r="G163" s="38">
        <v>0</v>
      </c>
      <c r="H163" s="38">
        <v>0</v>
      </c>
      <c r="I163" s="15"/>
      <c r="J163" s="494">
        <v>10103040301</v>
      </c>
      <c r="K163" s="517"/>
      <c r="L163" s="517" t="s">
        <v>13350</v>
      </c>
      <c r="M163" s="517" t="s">
        <v>161</v>
      </c>
      <c r="N163" s="518" t="s">
        <v>1099</v>
      </c>
      <c r="O163" s="517">
        <v>1</v>
      </c>
      <c r="P163" s="517" t="s">
        <v>632</v>
      </c>
      <c r="Q163" s="517" t="s">
        <v>671</v>
      </c>
      <c r="R163" s="517" t="s">
        <v>693</v>
      </c>
      <c r="S163" s="517" t="s">
        <v>671</v>
      </c>
      <c r="T163" s="518" t="s">
        <v>1098</v>
      </c>
      <c r="U163" s="38">
        <f t="shared" si="19"/>
        <v>0</v>
      </c>
      <c r="V163" s="15" t="str">
        <f t="shared" si="20"/>
        <v>101030403</v>
      </c>
      <c r="W163" s="39">
        <v>1</v>
      </c>
      <c r="X163" s="40" t="s">
        <v>632</v>
      </c>
      <c r="Y163" s="40" t="s">
        <v>671</v>
      </c>
      <c r="Z163" s="40" t="s">
        <v>693</v>
      </c>
      <c r="AA163" s="40" t="s">
        <v>671</v>
      </c>
      <c r="AB163" s="41" t="s">
        <v>1098</v>
      </c>
      <c r="AC163" s="519">
        <f>H163</f>
        <v>0</v>
      </c>
      <c r="AD163" s="517">
        <v>0</v>
      </c>
      <c r="AE163" s="517" t="s">
        <v>13350</v>
      </c>
      <c r="AF163" s="517" t="s">
        <v>161</v>
      </c>
      <c r="AG163" s="520" t="s">
        <v>1099</v>
      </c>
      <c r="AH163" s="67">
        <f>AC163</f>
        <v>0</v>
      </c>
      <c r="AI163" s="10"/>
      <c r="AJ163" s="9">
        <f t="shared" si="24"/>
        <v>0</v>
      </c>
      <c r="AK163" s="10"/>
      <c r="AL163" s="10"/>
    </row>
    <row r="164" spans="1:38" ht="22.5" hidden="1">
      <c r="A164" s="1">
        <f t="shared" si="21"/>
        <v>0</v>
      </c>
      <c r="B164" s="2" t="s">
        <v>1107</v>
      </c>
      <c r="C164" s="3" t="s">
        <v>1108</v>
      </c>
      <c r="D164" s="15" t="s">
        <v>11398</v>
      </c>
      <c r="E164" s="4" t="s">
        <v>1107</v>
      </c>
      <c r="F164" s="37" t="s">
        <v>1108</v>
      </c>
      <c r="G164" s="38">
        <v>0</v>
      </c>
      <c r="H164" s="38">
        <v>0</v>
      </c>
      <c r="I164" s="15"/>
      <c r="J164" s="494">
        <v>10103040401</v>
      </c>
      <c r="K164" s="517"/>
      <c r="L164" s="517" t="s">
        <v>13350</v>
      </c>
      <c r="M164" s="517" t="s">
        <v>161</v>
      </c>
      <c r="N164" s="518" t="s">
        <v>1099</v>
      </c>
      <c r="O164" s="517">
        <v>1</v>
      </c>
      <c r="P164" s="517" t="s">
        <v>632</v>
      </c>
      <c r="Q164" s="517" t="s">
        <v>671</v>
      </c>
      <c r="R164" s="517" t="s">
        <v>693</v>
      </c>
      <c r="S164" s="517" t="s">
        <v>693</v>
      </c>
      <c r="T164" s="518" t="s">
        <v>27</v>
      </c>
      <c r="U164" s="38">
        <f t="shared" si="19"/>
        <v>0</v>
      </c>
      <c r="V164" s="15" t="str">
        <f t="shared" si="20"/>
        <v>101030404</v>
      </c>
      <c r="W164" s="39">
        <v>1</v>
      </c>
      <c r="X164" s="40" t="s">
        <v>632</v>
      </c>
      <c r="Y164" s="40" t="s">
        <v>671</v>
      </c>
      <c r="Z164" s="40" t="s">
        <v>693</v>
      </c>
      <c r="AA164" s="40" t="s">
        <v>693</v>
      </c>
      <c r="AB164" s="41" t="s">
        <v>27</v>
      </c>
      <c r="AC164" s="519">
        <f>H164</f>
        <v>0</v>
      </c>
      <c r="AD164" s="517">
        <v>0</v>
      </c>
      <c r="AE164" s="517" t="s">
        <v>13350</v>
      </c>
      <c r="AF164" s="517" t="s">
        <v>161</v>
      </c>
      <c r="AG164" s="520" t="s">
        <v>1099</v>
      </c>
      <c r="AH164" s="67">
        <f>AC164</f>
        <v>0</v>
      </c>
      <c r="AI164" s="10"/>
      <c r="AJ164" s="9">
        <f t="shared" si="24"/>
        <v>0</v>
      </c>
      <c r="AK164" s="10"/>
      <c r="AL164" s="10"/>
    </row>
    <row r="165" spans="1:38" ht="22.5" hidden="1">
      <c r="A165" s="1">
        <f t="shared" si="21"/>
        <v>0</v>
      </c>
      <c r="B165" s="2" t="s">
        <v>1109</v>
      </c>
      <c r="C165" s="3" t="s">
        <v>11</v>
      </c>
      <c r="D165" s="15" t="s">
        <v>11399</v>
      </c>
      <c r="E165" s="4" t="s">
        <v>1109</v>
      </c>
      <c r="F165" s="37" t="s">
        <v>11</v>
      </c>
      <c r="G165" s="38">
        <v>0</v>
      </c>
      <c r="H165" s="38">
        <v>0</v>
      </c>
      <c r="I165" s="15"/>
      <c r="J165" s="494">
        <v>10103040501</v>
      </c>
      <c r="K165" s="517"/>
      <c r="L165" s="517" t="s">
        <v>13350</v>
      </c>
      <c r="M165" s="517" t="s">
        <v>161</v>
      </c>
      <c r="N165" s="518" t="s">
        <v>1099</v>
      </c>
      <c r="O165" s="517">
        <v>1</v>
      </c>
      <c r="P165" s="517" t="s">
        <v>632</v>
      </c>
      <c r="Q165" s="517" t="s">
        <v>671</v>
      </c>
      <c r="R165" s="517" t="s">
        <v>693</v>
      </c>
      <c r="S165" s="517" t="s">
        <v>714</v>
      </c>
      <c r="T165" s="518" t="s">
        <v>1110</v>
      </c>
      <c r="U165" s="38">
        <f t="shared" si="19"/>
        <v>0</v>
      </c>
      <c r="V165" s="15" t="str">
        <f t="shared" si="20"/>
        <v>101030405</v>
      </c>
      <c r="W165" s="39">
        <v>1</v>
      </c>
      <c r="X165" s="40" t="s">
        <v>632</v>
      </c>
      <c r="Y165" s="40" t="s">
        <v>671</v>
      </c>
      <c r="Z165" s="40" t="s">
        <v>693</v>
      </c>
      <c r="AA165" s="40" t="s">
        <v>714</v>
      </c>
      <c r="AB165" s="41" t="s">
        <v>1110</v>
      </c>
      <c r="AC165" s="519">
        <f>H165</f>
        <v>0</v>
      </c>
      <c r="AD165" s="517">
        <v>0</v>
      </c>
      <c r="AE165" s="517" t="s">
        <v>13350</v>
      </c>
      <c r="AF165" s="517" t="s">
        <v>161</v>
      </c>
      <c r="AG165" s="520" t="s">
        <v>1099</v>
      </c>
      <c r="AH165" s="67">
        <f>AC165</f>
        <v>0</v>
      </c>
      <c r="AI165" s="10"/>
      <c r="AJ165" s="9">
        <f t="shared" si="24"/>
        <v>0</v>
      </c>
      <c r="AK165" s="10"/>
      <c r="AL165" s="10"/>
    </row>
    <row r="166" spans="1:38" hidden="1">
      <c r="A166" s="1">
        <f t="shared" si="21"/>
        <v>0</v>
      </c>
      <c r="C166" s="3" t="s">
        <v>1111</v>
      </c>
      <c r="D166" s="15" t="s">
        <v>16</v>
      </c>
      <c r="E166" s="30"/>
      <c r="F166" s="31" t="s">
        <v>1112</v>
      </c>
      <c r="G166" s="32">
        <f>SUM(G167:G170)</f>
        <v>178000</v>
      </c>
      <c r="H166" s="32">
        <f>SUM(H167:H170)</f>
        <v>178000</v>
      </c>
      <c r="I166" s="507"/>
      <c r="J166" s="508"/>
      <c r="K166" s="513"/>
      <c r="L166" s="513"/>
      <c r="M166" s="513"/>
      <c r="N166" s="514"/>
      <c r="O166" s="513"/>
      <c r="P166" s="513"/>
      <c r="Q166" s="513"/>
      <c r="R166" s="513"/>
      <c r="S166" s="513"/>
      <c r="T166" s="514"/>
      <c r="U166" s="32">
        <f>SUM(U167:U170)</f>
        <v>178000</v>
      </c>
      <c r="V166" s="15" t="str">
        <f t="shared" si="20"/>
        <v>101030500</v>
      </c>
      <c r="W166" s="33">
        <v>1</v>
      </c>
      <c r="X166" s="34" t="s">
        <v>632</v>
      </c>
      <c r="Y166" s="34" t="s">
        <v>671</v>
      </c>
      <c r="Z166" s="35" t="s">
        <v>714</v>
      </c>
      <c r="AA166" s="35" t="s">
        <v>630</v>
      </c>
      <c r="AB166" s="31" t="s">
        <v>1112</v>
      </c>
      <c r="AC166" s="529">
        <f>SUM(AC167:AC170)</f>
        <v>178000</v>
      </c>
      <c r="AD166" s="513">
        <v>0</v>
      </c>
      <c r="AE166" s="513" t="s">
        <v>13351</v>
      </c>
      <c r="AF166" s="513" t="s">
        <v>166</v>
      </c>
      <c r="AG166" s="514" t="s">
        <v>1113</v>
      </c>
      <c r="AH166" s="44">
        <f>SUM(AH167:AH170)</f>
        <v>178000</v>
      </c>
      <c r="AI166" s="10"/>
      <c r="AJ166" s="9">
        <f t="shared" si="24"/>
        <v>0</v>
      </c>
      <c r="AK166" s="10"/>
      <c r="AL166" s="10"/>
    </row>
    <row r="167" spans="1:38" ht="22.5" hidden="1">
      <c r="A167" s="1">
        <f t="shared" si="21"/>
        <v>0</v>
      </c>
      <c r="B167" s="2" t="s">
        <v>1114</v>
      </c>
      <c r="C167" s="3" t="s">
        <v>1115</v>
      </c>
      <c r="D167" s="15" t="s">
        <v>11400</v>
      </c>
      <c r="E167" s="4" t="s">
        <v>1114</v>
      </c>
      <c r="F167" s="37" t="s">
        <v>1115</v>
      </c>
      <c r="G167" s="38">
        <v>0</v>
      </c>
      <c r="H167" s="38">
        <v>0</v>
      </c>
      <c r="I167" s="15"/>
      <c r="J167" s="494">
        <v>10103050101</v>
      </c>
      <c r="K167" s="517"/>
      <c r="L167" s="517" t="s">
        <v>13351</v>
      </c>
      <c r="M167" s="517" t="s">
        <v>166</v>
      </c>
      <c r="N167" s="518" t="s">
        <v>1113</v>
      </c>
      <c r="O167" s="517">
        <v>1</v>
      </c>
      <c r="P167" s="517" t="s">
        <v>632</v>
      </c>
      <c r="Q167" s="517" t="s">
        <v>671</v>
      </c>
      <c r="R167" s="517" t="s">
        <v>714</v>
      </c>
      <c r="S167" s="517" t="s">
        <v>632</v>
      </c>
      <c r="T167" s="518" t="s">
        <v>1116</v>
      </c>
      <c r="U167" s="38">
        <f t="shared" si="19"/>
        <v>0</v>
      </c>
      <c r="V167" s="15" t="str">
        <f t="shared" si="20"/>
        <v>101030501</v>
      </c>
      <c r="W167" s="39">
        <v>1</v>
      </c>
      <c r="X167" s="40" t="s">
        <v>632</v>
      </c>
      <c r="Y167" s="40" t="s">
        <v>671</v>
      </c>
      <c r="Z167" s="40" t="s">
        <v>714</v>
      </c>
      <c r="AA167" s="40" t="s">
        <v>632</v>
      </c>
      <c r="AB167" s="41" t="s">
        <v>1116</v>
      </c>
      <c r="AC167" s="519">
        <f>H167+H168</f>
        <v>0</v>
      </c>
      <c r="AD167" s="517">
        <v>0</v>
      </c>
      <c r="AE167" s="517" t="s">
        <v>13351</v>
      </c>
      <c r="AF167" s="517" t="s">
        <v>166</v>
      </c>
      <c r="AG167" s="520" t="s">
        <v>1113</v>
      </c>
      <c r="AH167" s="67">
        <f>AC167</f>
        <v>0</v>
      </c>
      <c r="AI167" s="10"/>
      <c r="AJ167" s="9">
        <f t="shared" si="24"/>
        <v>0</v>
      </c>
      <c r="AK167" s="10"/>
      <c r="AL167" s="10"/>
    </row>
    <row r="168" spans="1:38" ht="33.75" hidden="1">
      <c r="A168" s="1">
        <f t="shared" si="21"/>
        <v>0</v>
      </c>
      <c r="B168" s="2" t="s">
        <v>1117</v>
      </c>
      <c r="C168" s="3" t="s">
        <v>1118</v>
      </c>
      <c r="D168" s="15" t="s">
        <v>11400</v>
      </c>
      <c r="E168" s="4" t="s">
        <v>1117</v>
      </c>
      <c r="F168" s="37" t="s">
        <v>1118</v>
      </c>
      <c r="G168" s="38">
        <v>0</v>
      </c>
      <c r="H168" s="38">
        <v>0</v>
      </c>
      <c r="I168" s="15"/>
      <c r="J168" s="494">
        <v>10103050102</v>
      </c>
      <c r="K168" s="517"/>
      <c r="L168" s="517" t="s">
        <v>13351</v>
      </c>
      <c r="M168" s="517" t="s">
        <v>166</v>
      </c>
      <c r="N168" s="518" t="s">
        <v>1113</v>
      </c>
      <c r="O168" s="517">
        <v>1</v>
      </c>
      <c r="P168" s="517" t="s">
        <v>632</v>
      </c>
      <c r="Q168" s="517" t="s">
        <v>671</v>
      </c>
      <c r="R168" s="517" t="s">
        <v>714</v>
      </c>
      <c r="S168" s="517" t="s">
        <v>632</v>
      </c>
      <c r="T168" s="518" t="s">
        <v>1116</v>
      </c>
      <c r="U168" s="38">
        <f t="shared" si="19"/>
        <v>0</v>
      </c>
      <c r="V168" s="15" t="str">
        <f t="shared" si="20"/>
        <v>101030501</v>
      </c>
      <c r="W168" s="39">
        <v>1</v>
      </c>
      <c r="X168" s="40" t="s">
        <v>632</v>
      </c>
      <c r="Y168" s="40" t="s">
        <v>671</v>
      </c>
      <c r="Z168" s="40" t="s">
        <v>714</v>
      </c>
      <c r="AA168" s="40" t="s">
        <v>632</v>
      </c>
      <c r="AB168" s="41" t="s">
        <v>1116</v>
      </c>
      <c r="AC168" s="9"/>
      <c r="AD168" s="517">
        <v>0</v>
      </c>
      <c r="AE168" s="517" t="s">
        <v>13351</v>
      </c>
      <c r="AF168" s="517" t="s">
        <v>166</v>
      </c>
      <c r="AG168" s="520" t="s">
        <v>1113</v>
      </c>
      <c r="AH168" s="9"/>
      <c r="AI168" s="10"/>
      <c r="AJ168" s="9">
        <f t="shared" si="24"/>
        <v>0</v>
      </c>
      <c r="AK168" s="10"/>
      <c r="AL168" s="10"/>
    </row>
    <row r="169" spans="1:38" ht="22.5" hidden="1">
      <c r="A169" s="1">
        <f t="shared" si="21"/>
        <v>0</v>
      </c>
      <c r="B169" s="2" t="s">
        <v>1119</v>
      </c>
      <c r="C169" s="3" t="s">
        <v>1120</v>
      </c>
      <c r="D169" s="15" t="s">
        <v>11401</v>
      </c>
      <c r="E169" s="4" t="s">
        <v>1119</v>
      </c>
      <c r="F169" s="37" t="s">
        <v>1120</v>
      </c>
      <c r="G169" s="38">
        <v>0</v>
      </c>
      <c r="H169" s="38">
        <v>0</v>
      </c>
      <c r="I169" s="15"/>
      <c r="J169" s="494">
        <v>10103050201</v>
      </c>
      <c r="K169" s="517"/>
      <c r="L169" s="517" t="s">
        <v>13351</v>
      </c>
      <c r="M169" s="517" t="s">
        <v>166</v>
      </c>
      <c r="N169" s="518" t="s">
        <v>1113</v>
      </c>
      <c r="O169" s="517">
        <v>1</v>
      </c>
      <c r="P169" s="517" t="s">
        <v>632</v>
      </c>
      <c r="Q169" s="517" t="s">
        <v>671</v>
      </c>
      <c r="R169" s="517" t="s">
        <v>714</v>
      </c>
      <c r="S169" s="517" t="s">
        <v>647</v>
      </c>
      <c r="T169" s="518" t="s">
        <v>1121</v>
      </c>
      <c r="U169" s="38">
        <f t="shared" si="19"/>
        <v>0</v>
      </c>
      <c r="V169" s="15" t="str">
        <f t="shared" si="20"/>
        <v>101030502</v>
      </c>
      <c r="W169" s="39">
        <v>1</v>
      </c>
      <c r="X169" s="40" t="s">
        <v>632</v>
      </c>
      <c r="Y169" s="40" t="s">
        <v>671</v>
      </c>
      <c r="Z169" s="40" t="s">
        <v>714</v>
      </c>
      <c r="AA169" s="40" t="s">
        <v>647</v>
      </c>
      <c r="AB169" s="41" t="s">
        <v>1121</v>
      </c>
      <c r="AC169" s="519">
        <f>H169</f>
        <v>0</v>
      </c>
      <c r="AD169" s="517">
        <v>0</v>
      </c>
      <c r="AE169" s="517" t="s">
        <v>13351</v>
      </c>
      <c r="AF169" s="517" t="s">
        <v>166</v>
      </c>
      <c r="AG169" s="520" t="s">
        <v>1113</v>
      </c>
      <c r="AH169" s="67">
        <f>AC169</f>
        <v>0</v>
      </c>
      <c r="AI169" s="10"/>
      <c r="AJ169" s="9">
        <f t="shared" si="24"/>
        <v>0</v>
      </c>
      <c r="AK169" s="10"/>
      <c r="AL169" s="10"/>
    </row>
    <row r="170" spans="1:38" ht="22.5" hidden="1">
      <c r="A170" s="1">
        <f t="shared" si="21"/>
        <v>0</v>
      </c>
      <c r="B170" s="2" t="s">
        <v>1122</v>
      </c>
      <c r="C170" s="3" t="s">
        <v>1123</v>
      </c>
      <c r="D170" s="15" t="s">
        <v>11402</v>
      </c>
      <c r="E170" s="4" t="s">
        <v>1122</v>
      </c>
      <c r="F170" s="37" t="s">
        <v>1123</v>
      </c>
      <c r="G170" s="38">
        <v>178000</v>
      </c>
      <c r="H170" s="38">
        <v>178000</v>
      </c>
      <c r="I170" s="15"/>
      <c r="J170" s="494">
        <v>10103059901</v>
      </c>
      <c r="K170" s="517"/>
      <c r="L170" s="517" t="s">
        <v>13351</v>
      </c>
      <c r="M170" s="517" t="s">
        <v>166</v>
      </c>
      <c r="N170" s="518" t="s">
        <v>1113</v>
      </c>
      <c r="O170" s="517">
        <v>1</v>
      </c>
      <c r="P170" s="517" t="s">
        <v>632</v>
      </c>
      <c r="Q170" s="517" t="s">
        <v>671</v>
      </c>
      <c r="R170" s="517" t="s">
        <v>714</v>
      </c>
      <c r="S170" s="517" t="s">
        <v>1124</v>
      </c>
      <c r="T170" s="518" t="s">
        <v>1125</v>
      </c>
      <c r="U170" s="38">
        <f t="shared" si="19"/>
        <v>178000</v>
      </c>
      <c r="V170" s="15" t="str">
        <f t="shared" si="20"/>
        <v>101030599</v>
      </c>
      <c r="W170" s="39">
        <v>1</v>
      </c>
      <c r="X170" s="40" t="s">
        <v>632</v>
      </c>
      <c r="Y170" s="40" t="s">
        <v>671</v>
      </c>
      <c r="Z170" s="40" t="s">
        <v>714</v>
      </c>
      <c r="AA170" s="40" t="s">
        <v>1124</v>
      </c>
      <c r="AB170" s="41" t="s">
        <v>1125</v>
      </c>
      <c r="AC170" s="519">
        <f>H170</f>
        <v>178000</v>
      </c>
      <c r="AD170" s="517">
        <v>0</v>
      </c>
      <c r="AE170" s="517" t="s">
        <v>13351</v>
      </c>
      <c r="AF170" s="517" t="s">
        <v>166</v>
      </c>
      <c r="AG170" s="520" t="s">
        <v>1113</v>
      </c>
      <c r="AH170" s="67">
        <f>AC170</f>
        <v>178000</v>
      </c>
      <c r="AI170" s="10"/>
      <c r="AJ170" s="9">
        <f t="shared" si="24"/>
        <v>0</v>
      </c>
      <c r="AK170" s="10"/>
      <c r="AL170" s="10"/>
    </row>
    <row r="171" spans="1:38" hidden="1">
      <c r="A171" s="1">
        <f t="shared" si="21"/>
        <v>0</v>
      </c>
      <c r="C171" s="3" t="s">
        <v>1126</v>
      </c>
      <c r="D171" s="15" t="s">
        <v>16</v>
      </c>
      <c r="E171" s="30"/>
      <c r="F171" s="31" t="s">
        <v>1127</v>
      </c>
      <c r="G171" s="32">
        <f>SUM(G172:G175)</f>
        <v>0</v>
      </c>
      <c r="H171" s="32">
        <f>SUM(H172:H175)</f>
        <v>0</v>
      </c>
      <c r="I171" s="15"/>
      <c r="J171" s="494"/>
      <c r="K171" s="513"/>
      <c r="L171" s="513"/>
      <c r="M171" s="513"/>
      <c r="N171" s="514"/>
      <c r="O171" s="513"/>
      <c r="P171" s="513"/>
      <c r="Q171" s="513"/>
      <c r="R171" s="513"/>
      <c r="S171" s="513"/>
      <c r="T171" s="514"/>
      <c r="U171" s="32">
        <f>SUM(U172:U175)</f>
        <v>0</v>
      </c>
      <c r="V171" s="15" t="str">
        <f t="shared" si="20"/>
        <v>101030600</v>
      </c>
      <c r="W171" s="33">
        <v>1</v>
      </c>
      <c r="X171" s="34" t="s">
        <v>632</v>
      </c>
      <c r="Y171" s="34" t="s">
        <v>671</v>
      </c>
      <c r="Z171" s="35" t="s">
        <v>739</v>
      </c>
      <c r="AA171" s="35" t="s">
        <v>630</v>
      </c>
      <c r="AB171" s="31" t="s">
        <v>1127</v>
      </c>
      <c r="AC171" s="529">
        <f>SUM(AC172:AC175)</f>
        <v>0</v>
      </c>
      <c r="AD171" s="513">
        <v>0</v>
      </c>
      <c r="AE171" s="513" t="s">
        <v>13352</v>
      </c>
      <c r="AF171" s="513" t="s">
        <v>167</v>
      </c>
      <c r="AG171" s="514" t="s">
        <v>1128</v>
      </c>
      <c r="AH171" s="44">
        <f>SUM(AH172:AH175)</f>
        <v>0</v>
      </c>
      <c r="AI171" s="10"/>
      <c r="AJ171" s="9">
        <f t="shared" si="24"/>
        <v>0</v>
      </c>
      <c r="AK171" s="10"/>
      <c r="AL171" s="10"/>
    </row>
    <row r="172" spans="1:38" hidden="1">
      <c r="A172" s="1">
        <f t="shared" si="21"/>
        <v>0</v>
      </c>
      <c r="B172" s="2" t="s">
        <v>1129</v>
      </c>
      <c r="C172" s="3" t="s">
        <v>1130</v>
      </c>
      <c r="D172" s="15" t="s">
        <v>11403</v>
      </c>
      <c r="E172" s="4" t="s">
        <v>1129</v>
      </c>
      <c r="F172" s="37" t="s">
        <v>1130</v>
      </c>
      <c r="G172" s="38">
        <v>0</v>
      </c>
      <c r="H172" s="38">
        <v>0</v>
      </c>
      <c r="I172" s="15"/>
      <c r="J172" s="494">
        <v>10103060101</v>
      </c>
      <c r="K172" s="517"/>
      <c r="L172" s="517" t="s">
        <v>13353</v>
      </c>
      <c r="M172" s="517" t="s">
        <v>162</v>
      </c>
      <c r="N172" s="518" t="s">
        <v>1132</v>
      </c>
      <c r="O172" s="517">
        <v>1</v>
      </c>
      <c r="P172" s="517" t="s">
        <v>632</v>
      </c>
      <c r="Q172" s="517" t="s">
        <v>671</v>
      </c>
      <c r="R172" s="517" t="s">
        <v>739</v>
      </c>
      <c r="S172" s="517" t="s">
        <v>632</v>
      </c>
      <c r="T172" s="518" t="s">
        <v>1131</v>
      </c>
      <c r="U172" s="38">
        <f t="shared" si="19"/>
        <v>0</v>
      </c>
      <c r="V172" s="15" t="str">
        <f t="shared" si="20"/>
        <v>101030601</v>
      </c>
      <c r="W172" s="39">
        <v>1</v>
      </c>
      <c r="X172" s="40" t="s">
        <v>632</v>
      </c>
      <c r="Y172" s="40" t="s">
        <v>671</v>
      </c>
      <c r="Z172" s="40" t="s">
        <v>739</v>
      </c>
      <c r="AA172" s="40" t="s">
        <v>632</v>
      </c>
      <c r="AB172" s="41" t="s">
        <v>1131</v>
      </c>
      <c r="AC172" s="519">
        <f>H172</f>
        <v>0</v>
      </c>
      <c r="AD172" s="517">
        <v>0</v>
      </c>
      <c r="AE172" s="517" t="s">
        <v>13353</v>
      </c>
      <c r="AF172" s="517" t="s">
        <v>162</v>
      </c>
      <c r="AG172" s="520" t="s">
        <v>1132</v>
      </c>
      <c r="AH172" s="67">
        <f>AC172</f>
        <v>0</v>
      </c>
      <c r="AI172" s="10"/>
      <c r="AJ172" s="9">
        <f t="shared" si="24"/>
        <v>0</v>
      </c>
      <c r="AK172" s="10"/>
      <c r="AL172" s="10"/>
    </row>
    <row r="173" spans="1:38" hidden="1">
      <c r="A173" s="1">
        <f t="shared" si="21"/>
        <v>0</v>
      </c>
      <c r="B173" s="2" t="s">
        <v>1133</v>
      </c>
      <c r="C173" s="3" t="s">
        <v>1134</v>
      </c>
      <c r="D173" s="15" t="s">
        <v>11404</v>
      </c>
      <c r="E173" s="4" t="s">
        <v>1133</v>
      </c>
      <c r="F173" s="37" t="s">
        <v>1134</v>
      </c>
      <c r="G173" s="38">
        <v>0</v>
      </c>
      <c r="H173" s="38">
        <v>0</v>
      </c>
      <c r="I173" s="15"/>
      <c r="J173" s="494">
        <v>10103060201</v>
      </c>
      <c r="K173" s="517"/>
      <c r="L173" s="517" t="s">
        <v>13354</v>
      </c>
      <c r="M173" s="517" t="s">
        <v>163</v>
      </c>
      <c r="N173" s="518" t="s">
        <v>1136</v>
      </c>
      <c r="O173" s="517">
        <v>1</v>
      </c>
      <c r="P173" s="517" t="s">
        <v>632</v>
      </c>
      <c r="Q173" s="517" t="s">
        <v>671</v>
      </c>
      <c r="R173" s="517" t="s">
        <v>739</v>
      </c>
      <c r="S173" s="517" t="s">
        <v>647</v>
      </c>
      <c r="T173" s="518" t="s">
        <v>1135</v>
      </c>
      <c r="U173" s="38">
        <f t="shared" si="19"/>
        <v>0</v>
      </c>
      <c r="V173" s="15" t="str">
        <f t="shared" si="20"/>
        <v>101030602</v>
      </c>
      <c r="W173" s="39">
        <v>1</v>
      </c>
      <c r="X173" s="40" t="s">
        <v>632</v>
      </c>
      <c r="Y173" s="40" t="s">
        <v>671</v>
      </c>
      <c r="Z173" s="40" t="s">
        <v>739</v>
      </c>
      <c r="AA173" s="40" t="s">
        <v>647</v>
      </c>
      <c r="AB173" s="41" t="s">
        <v>1135</v>
      </c>
      <c r="AC173" s="519">
        <f>H173</f>
        <v>0</v>
      </c>
      <c r="AD173" s="517">
        <v>0</v>
      </c>
      <c r="AE173" s="517" t="s">
        <v>13354</v>
      </c>
      <c r="AF173" s="517" t="s">
        <v>163</v>
      </c>
      <c r="AG173" s="520" t="s">
        <v>1136</v>
      </c>
      <c r="AH173" s="67">
        <f>AC173</f>
        <v>0</v>
      </c>
      <c r="AI173" s="10"/>
      <c r="AJ173" s="9">
        <f t="shared" si="24"/>
        <v>0</v>
      </c>
      <c r="AK173" s="10"/>
      <c r="AL173" s="10"/>
    </row>
    <row r="174" spans="1:38" ht="22.5" hidden="1">
      <c r="A174" s="1">
        <f t="shared" si="21"/>
        <v>0</v>
      </c>
      <c r="B174" s="2" t="s">
        <v>1137</v>
      </c>
      <c r="C174" s="3" t="s">
        <v>1138</v>
      </c>
      <c r="D174" s="15" t="s">
        <v>11405</v>
      </c>
      <c r="E174" s="4" t="s">
        <v>1137</v>
      </c>
      <c r="F174" s="37" t="s">
        <v>1138</v>
      </c>
      <c r="G174" s="38">
        <v>0</v>
      </c>
      <c r="H174" s="38">
        <v>0</v>
      </c>
      <c r="I174" s="15"/>
      <c r="J174" s="494">
        <v>10103060301</v>
      </c>
      <c r="K174" s="517"/>
      <c r="L174" s="517" t="s">
        <v>13355</v>
      </c>
      <c r="M174" s="517" t="s">
        <v>164</v>
      </c>
      <c r="N174" s="518" t="s">
        <v>1140</v>
      </c>
      <c r="O174" s="517">
        <v>1</v>
      </c>
      <c r="P174" s="517" t="s">
        <v>632</v>
      </c>
      <c r="Q174" s="517" t="s">
        <v>671</v>
      </c>
      <c r="R174" s="517" t="s">
        <v>739</v>
      </c>
      <c r="S174" s="517" t="s">
        <v>671</v>
      </c>
      <c r="T174" s="518" t="s">
        <v>1139</v>
      </c>
      <c r="U174" s="38">
        <f t="shared" si="19"/>
        <v>0</v>
      </c>
      <c r="V174" s="15" t="str">
        <f t="shared" si="20"/>
        <v>101030603</v>
      </c>
      <c r="W174" s="39">
        <v>1</v>
      </c>
      <c r="X174" s="40" t="s">
        <v>632</v>
      </c>
      <c r="Y174" s="40" t="s">
        <v>671</v>
      </c>
      <c r="Z174" s="40" t="s">
        <v>739</v>
      </c>
      <c r="AA174" s="40" t="s">
        <v>671</v>
      </c>
      <c r="AB174" s="41" t="s">
        <v>1139</v>
      </c>
      <c r="AC174" s="519">
        <f>H174</f>
        <v>0</v>
      </c>
      <c r="AD174" s="517">
        <v>0</v>
      </c>
      <c r="AE174" s="517" t="s">
        <v>13355</v>
      </c>
      <c r="AF174" s="517" t="s">
        <v>164</v>
      </c>
      <c r="AG174" s="520" t="s">
        <v>1140</v>
      </c>
      <c r="AH174" s="67">
        <f>AC174</f>
        <v>0</v>
      </c>
      <c r="AI174" s="10"/>
      <c r="AJ174" s="9">
        <f t="shared" si="24"/>
        <v>0</v>
      </c>
      <c r="AK174" s="10"/>
      <c r="AL174" s="10"/>
    </row>
    <row r="175" spans="1:38" hidden="1">
      <c r="A175" s="1">
        <f t="shared" si="21"/>
        <v>0</v>
      </c>
      <c r="B175" s="2" t="s">
        <v>1141</v>
      </c>
      <c r="C175" s="3" t="s">
        <v>1126</v>
      </c>
      <c r="D175" s="15" t="s">
        <v>11406</v>
      </c>
      <c r="E175" s="4" t="s">
        <v>1141</v>
      </c>
      <c r="F175" s="37" t="s">
        <v>1126</v>
      </c>
      <c r="G175" s="38">
        <v>0</v>
      </c>
      <c r="H175" s="38">
        <v>0</v>
      </c>
      <c r="I175" s="15"/>
      <c r="J175" s="494">
        <v>10103060401</v>
      </c>
      <c r="K175" s="517"/>
      <c r="L175" s="517" t="s">
        <v>13356</v>
      </c>
      <c r="M175" s="517" t="s">
        <v>165</v>
      </c>
      <c r="N175" s="518" t="s">
        <v>1143</v>
      </c>
      <c r="O175" s="517">
        <v>1</v>
      </c>
      <c r="P175" s="517" t="s">
        <v>632</v>
      </c>
      <c r="Q175" s="517" t="s">
        <v>671</v>
      </c>
      <c r="R175" s="517" t="s">
        <v>739</v>
      </c>
      <c r="S175" s="517" t="s">
        <v>693</v>
      </c>
      <c r="T175" s="518" t="s">
        <v>1142</v>
      </c>
      <c r="U175" s="38">
        <f t="shared" si="19"/>
        <v>0</v>
      </c>
      <c r="V175" s="15" t="str">
        <f t="shared" si="20"/>
        <v>101030604</v>
      </c>
      <c r="W175" s="39">
        <v>1</v>
      </c>
      <c r="X175" s="40" t="s">
        <v>632</v>
      </c>
      <c r="Y175" s="40" t="s">
        <v>671</v>
      </c>
      <c r="Z175" s="40" t="s">
        <v>739</v>
      </c>
      <c r="AA175" s="40" t="s">
        <v>693</v>
      </c>
      <c r="AB175" s="41" t="s">
        <v>1142</v>
      </c>
      <c r="AC175" s="519">
        <f>H175</f>
        <v>0</v>
      </c>
      <c r="AD175" s="517">
        <v>0</v>
      </c>
      <c r="AE175" s="517" t="s">
        <v>13356</v>
      </c>
      <c r="AF175" s="517" t="s">
        <v>165</v>
      </c>
      <c r="AG175" s="520" t="s">
        <v>1143</v>
      </c>
      <c r="AH175" s="67">
        <f>AC175</f>
        <v>0</v>
      </c>
      <c r="AI175" s="10"/>
      <c r="AJ175" s="9">
        <f t="shared" si="24"/>
        <v>0</v>
      </c>
      <c r="AK175" s="10"/>
      <c r="AL175" s="10"/>
    </row>
    <row r="176" spans="1:38" hidden="1">
      <c r="A176" s="1">
        <f t="shared" si="21"/>
        <v>0</v>
      </c>
      <c r="C176" s="3" t="s">
        <v>1144</v>
      </c>
      <c r="D176" s="15" t="s">
        <v>16</v>
      </c>
      <c r="E176" s="18"/>
      <c r="F176" s="19" t="s">
        <v>1144</v>
      </c>
      <c r="G176" s="20">
        <f>G177+G247+G615+G622</f>
        <v>187277170.65000001</v>
      </c>
      <c r="H176" s="20">
        <f>H177+H247+H615+H622</f>
        <v>198589566.35000002</v>
      </c>
      <c r="I176" s="533">
        <f>H176-511722137.59</f>
        <v>-313132571.23999995</v>
      </c>
      <c r="J176" s="534"/>
      <c r="K176" s="535" t="s">
        <v>1145</v>
      </c>
      <c r="L176" s="535" t="s">
        <v>1146</v>
      </c>
      <c r="M176" s="536"/>
      <c r="N176" s="503"/>
      <c r="O176" s="537">
        <v>1</v>
      </c>
      <c r="P176" s="538" t="s">
        <v>647</v>
      </c>
      <c r="Q176" s="538" t="s">
        <v>630</v>
      </c>
      <c r="R176" s="538" t="s">
        <v>630</v>
      </c>
      <c r="S176" s="538" t="s">
        <v>630</v>
      </c>
      <c r="T176" s="539" t="s">
        <v>1144</v>
      </c>
      <c r="U176" s="20">
        <f>U177+U247+U615+U622</f>
        <v>198589566.35000002</v>
      </c>
      <c r="V176" s="15" t="str">
        <f t="shared" si="20"/>
        <v>102000000</v>
      </c>
      <c r="W176" s="21">
        <v>1</v>
      </c>
      <c r="X176" s="22" t="s">
        <v>647</v>
      </c>
      <c r="Y176" s="22" t="s">
        <v>630</v>
      </c>
      <c r="Z176" s="22" t="s">
        <v>630</v>
      </c>
      <c r="AA176" s="22" t="s">
        <v>630</v>
      </c>
      <c r="AB176" s="19" t="s">
        <v>1144</v>
      </c>
      <c r="AC176" s="540" t="e">
        <f>AC177+AC247+AC615+AC622</f>
        <v>#REF!</v>
      </c>
      <c r="AD176" s="502">
        <v>0</v>
      </c>
      <c r="AE176" s="502" t="s">
        <v>1145</v>
      </c>
      <c r="AF176" s="502" t="s">
        <v>1146</v>
      </c>
      <c r="AG176" s="505" t="s">
        <v>13357</v>
      </c>
      <c r="AH176" s="55" t="e">
        <f>AH177+AH247+AH615+AH622</f>
        <v>#REF!</v>
      </c>
      <c r="AI176" s="10"/>
      <c r="AJ176" s="9" t="e">
        <f t="shared" si="24"/>
        <v>#REF!</v>
      </c>
      <c r="AK176" s="10"/>
      <c r="AL176" s="10"/>
    </row>
    <row r="177" spans="1:38" hidden="1">
      <c r="A177" s="1">
        <f t="shared" si="21"/>
        <v>0</v>
      </c>
      <c r="C177" s="3" t="s">
        <v>5</v>
      </c>
      <c r="D177" s="15" t="s">
        <v>16</v>
      </c>
      <c r="E177" s="24"/>
      <c r="F177" s="25" t="s">
        <v>5</v>
      </c>
      <c r="G177" s="26">
        <f>G178+G191+G195+G217+G219+G221+G223+G226+G231+G233+G235+G237+G239+G241+G243+G245</f>
        <v>16190786.779999999</v>
      </c>
      <c r="H177" s="26">
        <f>H178+H191+H195+H217+H219+H221+H223+H226+H231+H233+H235+H237+H239+H241+H243+H245</f>
        <v>24861543.750000004</v>
      </c>
      <c r="I177" s="15">
        <f>24861543.75-H177</f>
        <v>0</v>
      </c>
      <c r="J177" s="494"/>
      <c r="K177" s="541" t="s">
        <v>1147</v>
      </c>
      <c r="L177" s="541" t="s">
        <v>1148</v>
      </c>
      <c r="M177" s="542"/>
      <c r="N177" s="542"/>
      <c r="O177" s="543">
        <v>1</v>
      </c>
      <c r="P177" s="543" t="s">
        <v>647</v>
      </c>
      <c r="Q177" s="543" t="s">
        <v>632</v>
      </c>
      <c r="R177" s="543" t="s">
        <v>630</v>
      </c>
      <c r="S177" s="543" t="s">
        <v>630</v>
      </c>
      <c r="T177" s="542" t="s">
        <v>5</v>
      </c>
      <c r="U177" s="26">
        <f>U178+U191+U195+U217+U219+U221+U223+U226+U231+U233+U235+U237+U239+U241+U243+U245</f>
        <v>24861543.750000004</v>
      </c>
      <c r="V177" s="15" t="str">
        <f t="shared" si="20"/>
        <v>102010000</v>
      </c>
      <c r="W177" s="27">
        <v>1</v>
      </c>
      <c r="X177" s="28" t="s">
        <v>647</v>
      </c>
      <c r="Y177" s="28" t="s">
        <v>632</v>
      </c>
      <c r="Z177" s="28" t="s">
        <v>630</v>
      </c>
      <c r="AA177" s="28" t="s">
        <v>630</v>
      </c>
      <c r="AB177" s="25" t="s">
        <v>5</v>
      </c>
      <c r="AC177" s="530">
        <f>AC178+AC191+AC195+AC217+AC219+AC221+AC223+AC226+AC231+AC233+AC235+AC237+AC239+AC241+AC243+AC245</f>
        <v>24861543.750000004</v>
      </c>
      <c r="AD177" s="509">
        <v>0</v>
      </c>
      <c r="AE177" s="509" t="s">
        <v>1147</v>
      </c>
      <c r="AF177" s="509" t="s">
        <v>1148</v>
      </c>
      <c r="AG177" s="510" t="s">
        <v>13358</v>
      </c>
      <c r="AH177" s="53">
        <f>AH178+AH191+AH195+AH217+AH219+AH221+AH223+AH226+AH231+AH233+AH235+AH237+AH239+AH241+AH243+AH245</f>
        <v>24861543.750000004</v>
      </c>
      <c r="AI177" s="10"/>
      <c r="AJ177" s="9">
        <f t="shared" si="24"/>
        <v>0</v>
      </c>
      <c r="AK177" s="10"/>
      <c r="AL177" s="10"/>
    </row>
    <row r="178" spans="1:38" ht="33.75" hidden="1">
      <c r="A178" s="1">
        <f t="shared" si="21"/>
        <v>0</v>
      </c>
      <c r="C178" s="3" t="s">
        <v>1149</v>
      </c>
      <c r="D178" s="15" t="s">
        <v>16</v>
      </c>
      <c r="E178" s="30"/>
      <c r="F178" s="31" t="s">
        <v>1150</v>
      </c>
      <c r="G178" s="32">
        <f>SUM(G179:G190)</f>
        <v>11221515.789999999</v>
      </c>
      <c r="H178" s="32">
        <f>SUM(H179:H190)</f>
        <v>9284663.4400000013</v>
      </c>
      <c r="I178" s="15">
        <f>9284663.44-H178</f>
        <v>0</v>
      </c>
      <c r="J178" s="494"/>
      <c r="K178" s="513"/>
      <c r="L178" s="513"/>
      <c r="M178" s="513"/>
      <c r="N178" s="514"/>
      <c r="O178" s="513"/>
      <c r="P178" s="513"/>
      <c r="Q178" s="513"/>
      <c r="R178" s="513"/>
      <c r="S178" s="513"/>
      <c r="T178" s="514"/>
      <c r="U178" s="32">
        <f>SUM(U179:U190)</f>
        <v>9284663.4400000013</v>
      </c>
      <c r="V178" s="15" t="str">
        <f t="shared" si="20"/>
        <v>102010100</v>
      </c>
      <c r="W178" s="33">
        <v>1</v>
      </c>
      <c r="X178" s="34" t="s">
        <v>647</v>
      </c>
      <c r="Y178" s="34" t="s">
        <v>632</v>
      </c>
      <c r="Z178" s="34" t="s">
        <v>632</v>
      </c>
      <c r="AA178" s="35" t="s">
        <v>630</v>
      </c>
      <c r="AB178" s="31" t="s">
        <v>1150</v>
      </c>
      <c r="AC178" s="544">
        <f>H178</f>
        <v>9284663.4400000013</v>
      </c>
      <c r="AD178" s="513">
        <v>0</v>
      </c>
      <c r="AE178" s="513" t="s">
        <v>13359</v>
      </c>
      <c r="AF178" s="513" t="s">
        <v>168</v>
      </c>
      <c r="AG178" s="514" t="s">
        <v>13360</v>
      </c>
      <c r="AH178" s="516">
        <f>AC178</f>
        <v>9284663.4400000013</v>
      </c>
      <c r="AI178" s="10"/>
      <c r="AJ178" s="9">
        <f t="shared" si="24"/>
        <v>0</v>
      </c>
      <c r="AK178" s="10"/>
      <c r="AL178" s="10"/>
    </row>
    <row r="179" spans="1:38" ht="45" hidden="1">
      <c r="A179" s="1">
        <f t="shared" si="21"/>
        <v>0</v>
      </c>
      <c r="B179" s="2" t="s">
        <v>1151</v>
      </c>
      <c r="C179" s="3" t="s">
        <v>1152</v>
      </c>
      <c r="D179" s="15" t="s">
        <v>11407</v>
      </c>
      <c r="E179" s="4" t="s">
        <v>1151</v>
      </c>
      <c r="F179" s="37" t="s">
        <v>1152</v>
      </c>
      <c r="G179" s="38">
        <v>2261764.0499999998</v>
      </c>
      <c r="H179" s="38">
        <v>1680598.04</v>
      </c>
      <c r="I179" s="15"/>
      <c r="J179" s="494">
        <v>10201010101</v>
      </c>
      <c r="K179" s="517"/>
      <c r="L179" s="517" t="s">
        <v>13359</v>
      </c>
      <c r="M179" s="517" t="s">
        <v>168</v>
      </c>
      <c r="N179" s="518" t="s">
        <v>1154</v>
      </c>
      <c r="O179" s="517">
        <v>1</v>
      </c>
      <c r="P179" s="517" t="s">
        <v>647</v>
      </c>
      <c r="Q179" s="517" t="s">
        <v>632</v>
      </c>
      <c r="R179" s="517" t="s">
        <v>632</v>
      </c>
      <c r="S179" s="517" t="s">
        <v>632</v>
      </c>
      <c r="T179" s="518" t="s">
        <v>1153</v>
      </c>
      <c r="U179" s="38">
        <f t="shared" si="19"/>
        <v>1680598.04</v>
      </c>
      <c r="V179" s="15" t="str">
        <f t="shared" si="20"/>
        <v>102010101</v>
      </c>
      <c r="W179" s="39">
        <v>1</v>
      </c>
      <c r="X179" s="40" t="s">
        <v>647</v>
      </c>
      <c r="Y179" s="40" t="s">
        <v>632</v>
      </c>
      <c r="Z179" s="40" t="s">
        <v>632</v>
      </c>
      <c r="AA179" s="40" t="s">
        <v>632</v>
      </c>
      <c r="AB179" s="42" t="s">
        <v>1153</v>
      </c>
      <c r="AC179" s="519">
        <f>SUM(H179:H184)</f>
        <v>8253857.4100000001</v>
      </c>
      <c r="AD179" s="517">
        <v>0</v>
      </c>
      <c r="AE179" s="517" t="s">
        <v>13359</v>
      </c>
      <c r="AF179" s="517" t="s">
        <v>168</v>
      </c>
      <c r="AG179" s="518" t="s">
        <v>1154</v>
      </c>
      <c r="AH179" s="67">
        <f>AC179</f>
        <v>8253857.4100000001</v>
      </c>
      <c r="AI179" s="10"/>
      <c r="AJ179" s="9"/>
      <c r="AK179" s="10"/>
      <c r="AL179" s="10"/>
    </row>
    <row r="180" spans="1:38" ht="45" hidden="1">
      <c r="A180" s="1">
        <f t="shared" si="21"/>
        <v>0</v>
      </c>
      <c r="B180" s="2" t="s">
        <v>1155</v>
      </c>
      <c r="C180" s="3" t="s">
        <v>1156</v>
      </c>
      <c r="D180" s="15" t="s">
        <v>11407</v>
      </c>
      <c r="E180" s="4" t="s">
        <v>1155</v>
      </c>
      <c r="F180" s="37" t="s">
        <v>1156</v>
      </c>
      <c r="G180" s="38">
        <v>6914869.2199999997</v>
      </c>
      <c r="H180" s="38">
        <v>4886593.71</v>
      </c>
      <c r="I180" s="15"/>
      <c r="J180" s="494">
        <v>10201010102</v>
      </c>
      <c r="K180" s="517"/>
      <c r="L180" s="517" t="s">
        <v>13359</v>
      </c>
      <c r="M180" s="517" t="s">
        <v>168</v>
      </c>
      <c r="N180" s="518" t="s">
        <v>1154</v>
      </c>
      <c r="O180" s="517">
        <v>1</v>
      </c>
      <c r="P180" s="517" t="s">
        <v>647</v>
      </c>
      <c r="Q180" s="517" t="s">
        <v>632</v>
      </c>
      <c r="R180" s="517" t="s">
        <v>632</v>
      </c>
      <c r="S180" s="517" t="s">
        <v>632</v>
      </c>
      <c r="T180" s="518" t="s">
        <v>1153</v>
      </c>
      <c r="U180" s="38">
        <f t="shared" si="19"/>
        <v>4886593.71</v>
      </c>
      <c r="V180" s="15" t="str">
        <f t="shared" si="20"/>
        <v>102010101</v>
      </c>
      <c r="W180" s="39">
        <v>1</v>
      </c>
      <c r="X180" s="40" t="s">
        <v>647</v>
      </c>
      <c r="Y180" s="40" t="s">
        <v>632</v>
      </c>
      <c r="Z180" s="40" t="s">
        <v>632</v>
      </c>
      <c r="AA180" s="40" t="s">
        <v>632</v>
      </c>
      <c r="AB180" s="42" t="s">
        <v>1153</v>
      </c>
      <c r="AC180" s="9"/>
      <c r="AD180" s="517">
        <v>0</v>
      </c>
      <c r="AE180" s="517" t="s">
        <v>13359</v>
      </c>
      <c r="AF180" s="517" t="s">
        <v>168</v>
      </c>
      <c r="AG180" s="520" t="s">
        <v>1154</v>
      </c>
      <c r="AH180" s="9"/>
      <c r="AI180" s="10"/>
      <c r="AJ180" s="9"/>
      <c r="AK180" s="10"/>
      <c r="AL180" s="10"/>
    </row>
    <row r="181" spans="1:38" ht="45" hidden="1">
      <c r="A181" s="1">
        <f t="shared" si="21"/>
        <v>0</v>
      </c>
      <c r="B181" s="2" t="s">
        <v>1157</v>
      </c>
      <c r="C181" s="3" t="s">
        <v>1158</v>
      </c>
      <c r="D181" s="15" t="s">
        <v>11407</v>
      </c>
      <c r="E181" s="4" t="s">
        <v>1157</v>
      </c>
      <c r="F181" s="37" t="s">
        <v>1158</v>
      </c>
      <c r="G181" s="38">
        <v>1183997.8699999999</v>
      </c>
      <c r="H181" s="38">
        <v>1641302</v>
      </c>
      <c r="I181" s="15"/>
      <c r="J181" s="494">
        <v>10201010103</v>
      </c>
      <c r="K181" s="517"/>
      <c r="L181" s="517" t="s">
        <v>13359</v>
      </c>
      <c r="M181" s="517" t="s">
        <v>168</v>
      </c>
      <c r="N181" s="518" t="s">
        <v>1154</v>
      </c>
      <c r="O181" s="517">
        <v>1</v>
      </c>
      <c r="P181" s="517" t="s">
        <v>647</v>
      </c>
      <c r="Q181" s="517" t="s">
        <v>632</v>
      </c>
      <c r="R181" s="517" t="s">
        <v>632</v>
      </c>
      <c r="S181" s="517" t="s">
        <v>632</v>
      </c>
      <c r="T181" s="518" t="s">
        <v>1153</v>
      </c>
      <c r="U181" s="38">
        <f t="shared" si="19"/>
        <v>1641302</v>
      </c>
      <c r="V181" s="15" t="str">
        <f t="shared" si="20"/>
        <v>102010101</v>
      </c>
      <c r="W181" s="39">
        <v>1</v>
      </c>
      <c r="X181" s="40" t="s">
        <v>647</v>
      </c>
      <c r="Y181" s="40" t="s">
        <v>632</v>
      </c>
      <c r="Z181" s="40" t="s">
        <v>632</v>
      </c>
      <c r="AA181" s="40" t="s">
        <v>632</v>
      </c>
      <c r="AB181" s="42" t="s">
        <v>1153</v>
      </c>
      <c r="AC181" s="9"/>
      <c r="AD181" s="517">
        <v>0</v>
      </c>
      <c r="AE181" s="517" t="s">
        <v>13359</v>
      </c>
      <c r="AF181" s="517" t="s">
        <v>168</v>
      </c>
      <c r="AG181" s="520" t="s">
        <v>1154</v>
      </c>
      <c r="AH181" s="9"/>
      <c r="AI181" s="10"/>
      <c r="AJ181" s="9"/>
      <c r="AK181" s="10"/>
      <c r="AL181" s="10"/>
    </row>
    <row r="182" spans="1:38" ht="45" hidden="1">
      <c r="A182" s="1">
        <f t="shared" si="21"/>
        <v>0</v>
      </c>
      <c r="B182" s="2" t="s">
        <v>1159</v>
      </c>
      <c r="C182" s="3" t="s">
        <v>1160</v>
      </c>
      <c r="D182" s="15" t="s">
        <v>11407</v>
      </c>
      <c r="E182" s="4" t="s">
        <v>1159</v>
      </c>
      <c r="F182" s="37" t="s">
        <v>1160</v>
      </c>
      <c r="G182" s="38">
        <v>0</v>
      </c>
      <c r="H182" s="38">
        <v>-140717.42000000001</v>
      </c>
      <c r="I182" s="15"/>
      <c r="J182" s="494">
        <v>10201010104</v>
      </c>
      <c r="K182" s="517"/>
      <c r="L182" s="517" t="s">
        <v>13359</v>
      </c>
      <c r="M182" s="517" t="s">
        <v>168</v>
      </c>
      <c r="N182" s="518" t="s">
        <v>1154</v>
      </c>
      <c r="O182" s="517">
        <v>1</v>
      </c>
      <c r="P182" s="517" t="s">
        <v>647</v>
      </c>
      <c r="Q182" s="517" t="s">
        <v>632</v>
      </c>
      <c r="R182" s="517" t="s">
        <v>632</v>
      </c>
      <c r="S182" s="517" t="s">
        <v>632</v>
      </c>
      <c r="T182" s="518" t="s">
        <v>1153</v>
      </c>
      <c r="U182" s="38">
        <f t="shared" si="19"/>
        <v>-140717.42000000001</v>
      </c>
      <c r="V182" s="15" t="str">
        <f t="shared" si="20"/>
        <v>102010101</v>
      </c>
      <c r="W182" s="39">
        <v>1</v>
      </c>
      <c r="X182" s="40" t="s">
        <v>647</v>
      </c>
      <c r="Y182" s="40" t="s">
        <v>632</v>
      </c>
      <c r="Z182" s="40" t="s">
        <v>632</v>
      </c>
      <c r="AA182" s="40" t="s">
        <v>632</v>
      </c>
      <c r="AB182" s="42" t="s">
        <v>1153</v>
      </c>
      <c r="AC182" s="9"/>
      <c r="AD182" s="517">
        <v>0</v>
      </c>
      <c r="AE182" s="517" t="s">
        <v>13359</v>
      </c>
      <c r="AF182" s="517" t="s">
        <v>168</v>
      </c>
      <c r="AG182" s="520" t="s">
        <v>1154</v>
      </c>
      <c r="AH182" s="9"/>
      <c r="AI182" s="10"/>
      <c r="AJ182" s="9"/>
      <c r="AK182" s="10"/>
      <c r="AL182" s="10"/>
    </row>
    <row r="183" spans="1:38" ht="45" hidden="1">
      <c r="A183" s="1">
        <f t="shared" si="21"/>
        <v>0</v>
      </c>
      <c r="B183" s="2" t="s">
        <v>1161</v>
      </c>
      <c r="C183" s="3" t="s">
        <v>1162</v>
      </c>
      <c r="D183" s="15" t="s">
        <v>11407</v>
      </c>
      <c r="E183" s="4" t="s">
        <v>1161</v>
      </c>
      <c r="F183" s="37" t="s">
        <v>1162</v>
      </c>
      <c r="G183" s="38">
        <v>140706.43</v>
      </c>
      <c r="H183" s="38">
        <v>186081.08</v>
      </c>
      <c r="I183" s="15"/>
      <c r="J183" s="494">
        <v>10201010105</v>
      </c>
      <c r="K183" s="517"/>
      <c r="L183" s="517" t="s">
        <v>13359</v>
      </c>
      <c r="M183" s="517" t="s">
        <v>168</v>
      </c>
      <c r="N183" s="518" t="s">
        <v>1154</v>
      </c>
      <c r="O183" s="517">
        <v>1</v>
      </c>
      <c r="P183" s="517" t="s">
        <v>647</v>
      </c>
      <c r="Q183" s="517" t="s">
        <v>632</v>
      </c>
      <c r="R183" s="517" t="s">
        <v>632</v>
      </c>
      <c r="S183" s="517" t="s">
        <v>632</v>
      </c>
      <c r="T183" s="518" t="s">
        <v>1153</v>
      </c>
      <c r="U183" s="38">
        <f t="shared" si="19"/>
        <v>186081.08</v>
      </c>
      <c r="V183" s="15" t="str">
        <f t="shared" si="20"/>
        <v>102010101</v>
      </c>
      <c r="W183" s="39">
        <v>1</v>
      </c>
      <c r="X183" s="40" t="s">
        <v>647</v>
      </c>
      <c r="Y183" s="40" t="s">
        <v>632</v>
      </c>
      <c r="Z183" s="40" t="s">
        <v>632</v>
      </c>
      <c r="AA183" s="40" t="s">
        <v>632</v>
      </c>
      <c r="AB183" s="42" t="s">
        <v>1153</v>
      </c>
      <c r="AC183" s="9"/>
      <c r="AD183" s="517">
        <v>0</v>
      </c>
      <c r="AE183" s="517" t="s">
        <v>13359</v>
      </c>
      <c r="AF183" s="517" t="s">
        <v>168</v>
      </c>
      <c r="AG183" s="520" t="s">
        <v>1154</v>
      </c>
      <c r="AH183" s="9"/>
      <c r="AI183" s="10"/>
      <c r="AJ183" s="9"/>
      <c r="AK183" s="10"/>
      <c r="AL183" s="10"/>
    </row>
    <row r="184" spans="1:38" ht="45" hidden="1">
      <c r="A184" s="1">
        <f t="shared" si="21"/>
        <v>0</v>
      </c>
      <c r="B184" s="2" t="s">
        <v>1163</v>
      </c>
      <c r="C184" s="3" t="s">
        <v>1164</v>
      </c>
      <c r="D184" s="15" t="s">
        <v>11407</v>
      </c>
      <c r="E184" s="4" t="s">
        <v>1163</v>
      </c>
      <c r="F184" s="37" t="s">
        <v>1164</v>
      </c>
      <c r="G184" s="38">
        <v>0</v>
      </c>
      <c r="H184" s="38">
        <v>0</v>
      </c>
      <c r="I184" s="15"/>
      <c r="J184" s="494">
        <v>10201010106</v>
      </c>
      <c r="K184" s="517"/>
      <c r="L184" s="517" t="s">
        <v>13359</v>
      </c>
      <c r="M184" s="517" t="s">
        <v>168</v>
      </c>
      <c r="N184" s="518" t="s">
        <v>1154</v>
      </c>
      <c r="O184" s="517">
        <v>1</v>
      </c>
      <c r="P184" s="517" t="s">
        <v>647</v>
      </c>
      <c r="Q184" s="517" t="s">
        <v>632</v>
      </c>
      <c r="R184" s="517" t="s">
        <v>632</v>
      </c>
      <c r="S184" s="517" t="s">
        <v>632</v>
      </c>
      <c r="T184" s="518" t="s">
        <v>1153</v>
      </c>
      <c r="U184" s="38">
        <f t="shared" si="19"/>
        <v>0</v>
      </c>
      <c r="V184" s="15" t="str">
        <f t="shared" si="20"/>
        <v>102010101</v>
      </c>
      <c r="W184" s="39">
        <v>1</v>
      </c>
      <c r="X184" s="40" t="s">
        <v>647</v>
      </c>
      <c r="Y184" s="40" t="s">
        <v>632</v>
      </c>
      <c r="Z184" s="40" t="s">
        <v>632</v>
      </c>
      <c r="AA184" s="40" t="s">
        <v>632</v>
      </c>
      <c r="AB184" s="42" t="s">
        <v>1153</v>
      </c>
      <c r="AC184" s="9"/>
      <c r="AD184" s="517">
        <v>0</v>
      </c>
      <c r="AE184" s="517" t="s">
        <v>13359</v>
      </c>
      <c r="AF184" s="517" t="s">
        <v>168</v>
      </c>
      <c r="AG184" s="520" t="s">
        <v>1154</v>
      </c>
      <c r="AH184" s="9"/>
      <c r="AI184" s="10"/>
      <c r="AJ184" s="9"/>
      <c r="AK184" s="10"/>
      <c r="AL184" s="10"/>
    </row>
    <row r="185" spans="1:38" ht="22.5" hidden="1">
      <c r="A185" s="1">
        <f t="shared" si="21"/>
        <v>0</v>
      </c>
      <c r="B185" s="2" t="s">
        <v>1165</v>
      </c>
      <c r="C185" s="3" t="s">
        <v>1166</v>
      </c>
      <c r="D185" s="15" t="s">
        <v>11408</v>
      </c>
      <c r="E185" s="4" t="s">
        <v>1165</v>
      </c>
      <c r="F185" s="37" t="s">
        <v>1166</v>
      </c>
      <c r="G185" s="38">
        <v>181839.37</v>
      </c>
      <c r="H185" s="38">
        <v>312412.71000000002</v>
      </c>
      <c r="I185" s="15"/>
      <c r="J185" s="494">
        <v>10201010201</v>
      </c>
      <c r="K185" s="517"/>
      <c r="L185" s="517" t="s">
        <v>13359</v>
      </c>
      <c r="M185" s="517" t="s">
        <v>168</v>
      </c>
      <c r="N185" s="518" t="s">
        <v>1154</v>
      </c>
      <c r="O185" s="517">
        <v>1</v>
      </c>
      <c r="P185" s="517" t="s">
        <v>647</v>
      </c>
      <c r="Q185" s="517" t="s">
        <v>632</v>
      </c>
      <c r="R185" s="517" t="s">
        <v>632</v>
      </c>
      <c r="S185" s="517" t="s">
        <v>647</v>
      </c>
      <c r="T185" s="518" t="s">
        <v>1167</v>
      </c>
      <c r="U185" s="38">
        <f t="shared" si="19"/>
        <v>312412.71000000002</v>
      </c>
      <c r="V185" s="15" t="str">
        <f t="shared" si="20"/>
        <v>102010102</v>
      </c>
      <c r="W185" s="39">
        <v>1</v>
      </c>
      <c r="X185" s="40" t="s">
        <v>647</v>
      </c>
      <c r="Y185" s="40" t="s">
        <v>632</v>
      </c>
      <c r="Z185" s="40" t="s">
        <v>632</v>
      </c>
      <c r="AA185" s="40" t="s">
        <v>647</v>
      </c>
      <c r="AB185" s="42" t="s">
        <v>1167</v>
      </c>
      <c r="AC185" s="519">
        <f t="shared" ref="AC185:AC190" si="28">H185</f>
        <v>312412.71000000002</v>
      </c>
      <c r="AD185" s="517">
        <v>0</v>
      </c>
      <c r="AE185" s="517" t="s">
        <v>13359</v>
      </c>
      <c r="AF185" s="517" t="s">
        <v>168</v>
      </c>
      <c r="AG185" s="518" t="s">
        <v>1154</v>
      </c>
      <c r="AH185" s="67">
        <f t="shared" ref="AH185:AH190" si="29">AC185</f>
        <v>312412.71000000002</v>
      </c>
      <c r="AI185" s="10"/>
      <c r="AJ185" s="9">
        <f t="shared" ref="AJ185:AJ205" si="30">AH185-H185</f>
        <v>0</v>
      </c>
      <c r="AK185" s="10"/>
      <c r="AL185" s="10"/>
    </row>
    <row r="186" spans="1:38" ht="22.5" hidden="1">
      <c r="A186" s="1">
        <f t="shared" si="21"/>
        <v>0</v>
      </c>
      <c r="B186" s="2" t="s">
        <v>1168</v>
      </c>
      <c r="C186" s="3" t="s">
        <v>1169</v>
      </c>
      <c r="D186" s="15" t="s">
        <v>11409</v>
      </c>
      <c r="E186" s="4" t="s">
        <v>1168</v>
      </c>
      <c r="F186" s="37" t="s">
        <v>1169</v>
      </c>
      <c r="G186" s="38">
        <v>40762.080000000002</v>
      </c>
      <c r="H186" s="38">
        <v>111750.9</v>
      </c>
      <c r="I186" s="15"/>
      <c r="J186" s="494">
        <v>10201010301</v>
      </c>
      <c r="K186" s="517"/>
      <c r="L186" s="517" t="s">
        <v>13359</v>
      </c>
      <c r="M186" s="517" t="s">
        <v>168</v>
      </c>
      <c r="N186" s="518" t="s">
        <v>1154</v>
      </c>
      <c r="O186" s="517">
        <v>1</v>
      </c>
      <c r="P186" s="517" t="s">
        <v>647</v>
      </c>
      <c r="Q186" s="517" t="s">
        <v>632</v>
      </c>
      <c r="R186" s="517" t="s">
        <v>632</v>
      </c>
      <c r="S186" s="517" t="s">
        <v>671</v>
      </c>
      <c r="T186" s="518" t="s">
        <v>1170</v>
      </c>
      <c r="U186" s="38">
        <f t="shared" si="19"/>
        <v>111750.9</v>
      </c>
      <c r="V186" s="15" t="str">
        <f t="shared" si="20"/>
        <v>102010103</v>
      </c>
      <c r="W186" s="39">
        <v>1</v>
      </c>
      <c r="X186" s="40" t="s">
        <v>647</v>
      </c>
      <c r="Y186" s="40" t="s">
        <v>632</v>
      </c>
      <c r="Z186" s="40" t="s">
        <v>632</v>
      </c>
      <c r="AA186" s="40" t="s">
        <v>671</v>
      </c>
      <c r="AB186" s="42" t="s">
        <v>1170</v>
      </c>
      <c r="AC186" s="519">
        <f t="shared" si="28"/>
        <v>111750.9</v>
      </c>
      <c r="AD186" s="517">
        <v>0</v>
      </c>
      <c r="AE186" s="517" t="s">
        <v>13359</v>
      </c>
      <c r="AF186" s="517" t="s">
        <v>168</v>
      </c>
      <c r="AG186" s="518" t="s">
        <v>1154</v>
      </c>
      <c r="AH186" s="67">
        <f t="shared" si="29"/>
        <v>111750.9</v>
      </c>
      <c r="AI186" s="10"/>
      <c r="AJ186" s="9">
        <f t="shared" si="30"/>
        <v>0</v>
      </c>
      <c r="AK186" s="10"/>
      <c r="AL186" s="10"/>
    </row>
    <row r="187" spans="1:38" ht="45" hidden="1">
      <c r="A187" s="1">
        <f t="shared" si="21"/>
        <v>0</v>
      </c>
      <c r="B187" s="2" t="s">
        <v>1171</v>
      </c>
      <c r="C187" s="3" t="s">
        <v>1172</v>
      </c>
      <c r="D187" s="15" t="s">
        <v>11410</v>
      </c>
      <c r="E187" s="4" t="s">
        <v>1171</v>
      </c>
      <c r="F187" s="37" t="s">
        <v>1172</v>
      </c>
      <c r="G187" s="38">
        <v>382483.76</v>
      </c>
      <c r="H187" s="38">
        <v>358630.49</v>
      </c>
      <c r="I187" s="15"/>
      <c r="J187" s="494">
        <v>10201010401</v>
      </c>
      <c r="K187" s="517"/>
      <c r="L187" s="517" t="s">
        <v>13359</v>
      </c>
      <c r="M187" s="517" t="s">
        <v>168</v>
      </c>
      <c r="N187" s="518" t="s">
        <v>1154</v>
      </c>
      <c r="O187" s="517">
        <v>1</v>
      </c>
      <c r="P187" s="517" t="s">
        <v>647</v>
      </c>
      <c r="Q187" s="517" t="s">
        <v>632</v>
      </c>
      <c r="R187" s="517" t="s">
        <v>632</v>
      </c>
      <c r="S187" s="517" t="s">
        <v>693</v>
      </c>
      <c r="T187" s="518" t="s">
        <v>1173</v>
      </c>
      <c r="U187" s="38">
        <f t="shared" si="19"/>
        <v>358630.49</v>
      </c>
      <c r="V187" s="15" t="str">
        <f t="shared" si="20"/>
        <v>102010104</v>
      </c>
      <c r="W187" s="39">
        <v>1</v>
      </c>
      <c r="X187" s="40" t="s">
        <v>647</v>
      </c>
      <c r="Y187" s="40" t="s">
        <v>632</v>
      </c>
      <c r="Z187" s="40" t="s">
        <v>632</v>
      </c>
      <c r="AA187" s="40" t="s">
        <v>693</v>
      </c>
      <c r="AB187" s="42" t="s">
        <v>1173</v>
      </c>
      <c r="AC187" s="519">
        <f t="shared" si="28"/>
        <v>358630.49</v>
      </c>
      <c r="AD187" s="517">
        <v>0</v>
      </c>
      <c r="AE187" s="517" t="s">
        <v>13359</v>
      </c>
      <c r="AF187" s="517" t="s">
        <v>168</v>
      </c>
      <c r="AG187" s="518" t="s">
        <v>1154</v>
      </c>
      <c r="AH187" s="67">
        <f t="shared" si="29"/>
        <v>358630.49</v>
      </c>
      <c r="AI187" s="10"/>
      <c r="AJ187" s="9">
        <f t="shared" si="30"/>
        <v>0</v>
      </c>
      <c r="AK187" s="10"/>
      <c r="AL187" s="10"/>
    </row>
    <row r="188" spans="1:38" ht="22.5" hidden="1">
      <c r="A188" s="1">
        <f t="shared" si="21"/>
        <v>0</v>
      </c>
      <c r="B188" s="2" t="s">
        <v>1174</v>
      </c>
      <c r="C188" s="3" t="s">
        <v>1175</v>
      </c>
      <c r="D188" s="15" t="s">
        <v>11411</v>
      </c>
      <c r="E188" s="4" t="s">
        <v>1174</v>
      </c>
      <c r="F188" s="37" t="s">
        <v>1175</v>
      </c>
      <c r="G188" s="38">
        <v>77707.209999999992</v>
      </c>
      <c r="H188" s="38">
        <v>0</v>
      </c>
      <c r="I188" s="15"/>
      <c r="J188" s="494">
        <v>10201010501</v>
      </c>
      <c r="K188" s="517"/>
      <c r="L188" s="517" t="s">
        <v>13359</v>
      </c>
      <c r="M188" s="517" t="s">
        <v>168</v>
      </c>
      <c r="N188" s="518" t="s">
        <v>1154</v>
      </c>
      <c r="O188" s="517">
        <v>1</v>
      </c>
      <c r="P188" s="517" t="s">
        <v>647</v>
      </c>
      <c r="Q188" s="517" t="s">
        <v>632</v>
      </c>
      <c r="R188" s="517" t="s">
        <v>632</v>
      </c>
      <c r="S188" s="517" t="s">
        <v>714</v>
      </c>
      <c r="T188" s="518" t="s">
        <v>1176</v>
      </c>
      <c r="U188" s="38">
        <f t="shared" si="19"/>
        <v>0</v>
      </c>
      <c r="V188" s="15" t="str">
        <f t="shared" si="20"/>
        <v>102010105</v>
      </c>
      <c r="W188" s="39">
        <v>1</v>
      </c>
      <c r="X188" s="40" t="s">
        <v>647</v>
      </c>
      <c r="Y188" s="40" t="s">
        <v>632</v>
      </c>
      <c r="Z188" s="40" t="s">
        <v>632</v>
      </c>
      <c r="AA188" s="40" t="s">
        <v>714</v>
      </c>
      <c r="AB188" s="42" t="s">
        <v>1176</v>
      </c>
      <c r="AC188" s="519">
        <f t="shared" si="28"/>
        <v>0</v>
      </c>
      <c r="AD188" s="517">
        <v>0</v>
      </c>
      <c r="AE188" s="517" t="s">
        <v>13359</v>
      </c>
      <c r="AF188" s="517" t="s">
        <v>168</v>
      </c>
      <c r="AG188" s="518" t="s">
        <v>1154</v>
      </c>
      <c r="AH188" s="67">
        <f t="shared" si="29"/>
        <v>0</v>
      </c>
      <c r="AI188" s="10"/>
      <c r="AJ188" s="9">
        <f t="shared" si="30"/>
        <v>0</v>
      </c>
      <c r="AK188" s="10"/>
      <c r="AL188" s="10"/>
    </row>
    <row r="189" spans="1:38" ht="33.75" hidden="1">
      <c r="A189" s="1">
        <f t="shared" si="21"/>
        <v>0</v>
      </c>
      <c r="B189" s="2" t="s">
        <v>1177</v>
      </c>
      <c r="C189" s="3" t="s">
        <v>1178</v>
      </c>
      <c r="D189" s="15" t="s">
        <v>11412</v>
      </c>
      <c r="E189" s="4" t="s">
        <v>1177</v>
      </c>
      <c r="F189" s="37" t="s">
        <v>1178</v>
      </c>
      <c r="G189" s="38">
        <v>37385.799999999996</v>
      </c>
      <c r="H189" s="38">
        <v>248011.93</v>
      </c>
      <c r="I189" s="15"/>
      <c r="J189" s="494">
        <v>10201010601</v>
      </c>
      <c r="K189" s="517"/>
      <c r="L189" s="517" t="s">
        <v>13359</v>
      </c>
      <c r="M189" s="517" t="s">
        <v>168</v>
      </c>
      <c r="N189" s="518" t="s">
        <v>1154</v>
      </c>
      <c r="O189" s="517">
        <v>1</v>
      </c>
      <c r="P189" s="517" t="s">
        <v>647</v>
      </c>
      <c r="Q189" s="517" t="s">
        <v>632</v>
      </c>
      <c r="R189" s="517" t="s">
        <v>632</v>
      </c>
      <c r="S189" s="517" t="s">
        <v>739</v>
      </c>
      <c r="T189" s="518" t="s">
        <v>1179</v>
      </c>
      <c r="U189" s="38">
        <f t="shared" si="19"/>
        <v>248011.93</v>
      </c>
      <c r="V189" s="15" t="str">
        <f t="shared" si="20"/>
        <v>102010106</v>
      </c>
      <c r="W189" s="39">
        <v>1</v>
      </c>
      <c r="X189" s="40" t="s">
        <v>647</v>
      </c>
      <c r="Y189" s="40" t="s">
        <v>632</v>
      </c>
      <c r="Z189" s="40" t="s">
        <v>632</v>
      </c>
      <c r="AA189" s="40" t="s">
        <v>739</v>
      </c>
      <c r="AB189" s="42" t="s">
        <v>1179</v>
      </c>
      <c r="AC189" s="519">
        <f t="shared" si="28"/>
        <v>248011.93</v>
      </c>
      <c r="AD189" s="517">
        <v>0</v>
      </c>
      <c r="AE189" s="517" t="s">
        <v>13359</v>
      </c>
      <c r="AF189" s="517" t="s">
        <v>168</v>
      </c>
      <c r="AG189" s="518" t="s">
        <v>1154</v>
      </c>
      <c r="AH189" s="67">
        <f t="shared" si="29"/>
        <v>248011.93</v>
      </c>
      <c r="AI189" s="10"/>
      <c r="AJ189" s="9">
        <f t="shared" si="30"/>
        <v>0</v>
      </c>
      <c r="AK189" s="10"/>
      <c r="AL189" s="10"/>
    </row>
    <row r="190" spans="1:38" ht="33.75" hidden="1">
      <c r="A190" s="1">
        <f t="shared" si="21"/>
        <v>0</v>
      </c>
      <c r="B190" s="2" t="s">
        <v>1180</v>
      </c>
      <c r="C190" s="3" t="s">
        <v>1181</v>
      </c>
      <c r="D190" s="15" t="s">
        <v>11413</v>
      </c>
      <c r="E190" s="4" t="s">
        <v>1180</v>
      </c>
      <c r="F190" s="37" t="s">
        <v>1181</v>
      </c>
      <c r="G190" s="38">
        <v>0</v>
      </c>
      <c r="H190" s="38">
        <v>0</v>
      </c>
      <c r="I190" s="15"/>
      <c r="J190" s="494">
        <v>10201010701</v>
      </c>
      <c r="K190" s="517"/>
      <c r="L190" s="517" t="s">
        <v>13359</v>
      </c>
      <c r="M190" s="517" t="s">
        <v>168</v>
      </c>
      <c r="N190" s="518" t="s">
        <v>1154</v>
      </c>
      <c r="O190" s="517">
        <v>1</v>
      </c>
      <c r="P190" s="517" t="s">
        <v>647</v>
      </c>
      <c r="Q190" s="517" t="s">
        <v>632</v>
      </c>
      <c r="R190" s="517" t="s">
        <v>632</v>
      </c>
      <c r="S190" s="517" t="s">
        <v>755</v>
      </c>
      <c r="T190" s="518" t="s">
        <v>1182</v>
      </c>
      <c r="U190" s="38">
        <f t="shared" si="19"/>
        <v>0</v>
      </c>
      <c r="V190" s="15" t="str">
        <f t="shared" si="20"/>
        <v>102010107</v>
      </c>
      <c r="W190" s="39">
        <v>1</v>
      </c>
      <c r="X190" s="40" t="s">
        <v>647</v>
      </c>
      <c r="Y190" s="40" t="s">
        <v>632</v>
      </c>
      <c r="Z190" s="40" t="s">
        <v>632</v>
      </c>
      <c r="AA190" s="40" t="s">
        <v>755</v>
      </c>
      <c r="AB190" s="42" t="s">
        <v>1182</v>
      </c>
      <c r="AC190" s="519">
        <f t="shared" si="28"/>
        <v>0</v>
      </c>
      <c r="AD190" s="517">
        <v>0</v>
      </c>
      <c r="AE190" s="517" t="s">
        <v>13359</v>
      </c>
      <c r="AF190" s="517" t="s">
        <v>168</v>
      </c>
      <c r="AG190" s="518" t="s">
        <v>1154</v>
      </c>
      <c r="AH190" s="67">
        <f t="shared" si="29"/>
        <v>0</v>
      </c>
      <c r="AI190" s="10"/>
      <c r="AJ190" s="9">
        <f t="shared" si="30"/>
        <v>0</v>
      </c>
      <c r="AK190" s="10"/>
      <c r="AL190" s="10"/>
    </row>
    <row r="191" spans="1:38" ht="22.5" hidden="1">
      <c r="A191" s="1">
        <f t="shared" si="21"/>
        <v>0</v>
      </c>
      <c r="C191" s="3" t="s">
        <v>1183</v>
      </c>
      <c r="D191" s="15" t="s">
        <v>16</v>
      </c>
      <c r="E191" s="30"/>
      <c r="F191" s="31" t="s">
        <v>124</v>
      </c>
      <c r="G191" s="32">
        <f>SUM(G192:G194)</f>
        <v>0</v>
      </c>
      <c r="H191" s="32">
        <f>SUM(H192:H194)</f>
        <v>221555.19</v>
      </c>
      <c r="I191" s="15"/>
      <c r="J191" s="494"/>
      <c r="K191" s="513"/>
      <c r="L191" s="513"/>
      <c r="M191" s="513"/>
      <c r="N191" s="514"/>
      <c r="O191" s="513"/>
      <c r="P191" s="513"/>
      <c r="Q191" s="513"/>
      <c r="R191" s="513"/>
      <c r="S191" s="513"/>
      <c r="T191" s="514"/>
      <c r="U191" s="32">
        <f>SUM(U192:U194)</f>
        <v>221555.19</v>
      </c>
      <c r="V191" s="15" t="str">
        <f t="shared" si="20"/>
        <v>102010200</v>
      </c>
      <c r="W191" s="33">
        <v>1</v>
      </c>
      <c r="X191" s="34" t="s">
        <v>647</v>
      </c>
      <c r="Y191" s="34" t="s">
        <v>632</v>
      </c>
      <c r="Z191" s="35" t="s">
        <v>647</v>
      </c>
      <c r="AA191" s="35" t="s">
        <v>630</v>
      </c>
      <c r="AB191" s="31" t="s">
        <v>124</v>
      </c>
      <c r="AC191" s="529">
        <f>SUM(AC192:AC194)</f>
        <v>221555.19</v>
      </c>
      <c r="AD191" s="513">
        <v>0</v>
      </c>
      <c r="AE191" s="513" t="s">
        <v>13361</v>
      </c>
      <c r="AF191" s="513" t="s">
        <v>169</v>
      </c>
      <c r="AG191" s="514" t="s">
        <v>13362</v>
      </c>
      <c r="AH191" s="44">
        <f>SUM(AH192:AH194)</f>
        <v>221555.19</v>
      </c>
      <c r="AI191" s="10"/>
      <c r="AJ191" s="9">
        <f t="shared" si="30"/>
        <v>0</v>
      </c>
      <c r="AK191" s="10"/>
      <c r="AL191" s="10"/>
    </row>
    <row r="192" spans="1:38" ht="56.25" hidden="1">
      <c r="A192" s="1">
        <f t="shared" si="21"/>
        <v>0</v>
      </c>
      <c r="B192" s="2" t="s">
        <v>1184</v>
      </c>
      <c r="C192" s="3" t="s">
        <v>1185</v>
      </c>
      <c r="D192" s="15" t="s">
        <v>11414</v>
      </c>
      <c r="E192" s="4" t="s">
        <v>1184</v>
      </c>
      <c r="F192" s="37" t="s">
        <v>1185</v>
      </c>
      <c r="G192" s="38">
        <v>0</v>
      </c>
      <c r="H192" s="38">
        <v>0</v>
      </c>
      <c r="I192" s="15"/>
      <c r="J192" s="494">
        <v>10201020101</v>
      </c>
      <c r="K192" s="517"/>
      <c r="L192" s="517" t="s">
        <v>13361</v>
      </c>
      <c r="M192" s="517" t="s">
        <v>169</v>
      </c>
      <c r="N192" s="518" t="s">
        <v>1187</v>
      </c>
      <c r="O192" s="517">
        <v>1</v>
      </c>
      <c r="P192" s="517" t="s">
        <v>647</v>
      </c>
      <c r="Q192" s="517" t="s">
        <v>632</v>
      </c>
      <c r="R192" s="517" t="s">
        <v>647</v>
      </c>
      <c r="S192" s="517" t="s">
        <v>632</v>
      </c>
      <c r="T192" s="518" t="s">
        <v>1186</v>
      </c>
      <c r="U192" s="38">
        <f t="shared" si="19"/>
        <v>0</v>
      </c>
      <c r="V192" s="15" t="str">
        <f t="shared" si="20"/>
        <v>102010201</v>
      </c>
      <c r="W192" s="39">
        <v>1</v>
      </c>
      <c r="X192" s="40" t="s">
        <v>647</v>
      </c>
      <c r="Y192" s="40" t="s">
        <v>632</v>
      </c>
      <c r="Z192" s="40" t="s">
        <v>647</v>
      </c>
      <c r="AA192" s="40" t="s">
        <v>632</v>
      </c>
      <c r="AB192" s="42" t="s">
        <v>1186</v>
      </c>
      <c r="AC192" s="519">
        <f t="shared" ref="AC192:AC205" si="31">H192</f>
        <v>0</v>
      </c>
      <c r="AD192" s="517">
        <v>0</v>
      </c>
      <c r="AE192" s="517" t="s">
        <v>13361</v>
      </c>
      <c r="AF192" s="517" t="s">
        <v>169</v>
      </c>
      <c r="AG192" s="518" t="s">
        <v>1187</v>
      </c>
      <c r="AH192" s="67">
        <f t="shared" ref="AH192:AH206" si="32">AC192</f>
        <v>0</v>
      </c>
      <c r="AI192" s="10"/>
      <c r="AJ192" s="9">
        <f t="shared" si="30"/>
        <v>0</v>
      </c>
      <c r="AK192" s="10"/>
      <c r="AL192" s="10"/>
    </row>
    <row r="193" spans="1:38" ht="56.25" hidden="1">
      <c r="A193" s="1">
        <f t="shared" si="21"/>
        <v>0</v>
      </c>
      <c r="B193" s="2" t="s">
        <v>1188</v>
      </c>
      <c r="C193" s="3" t="s">
        <v>1189</v>
      </c>
      <c r="D193" s="15" t="s">
        <v>11415</v>
      </c>
      <c r="E193" s="4" t="s">
        <v>1188</v>
      </c>
      <c r="F193" s="37" t="s">
        <v>1189</v>
      </c>
      <c r="G193" s="38">
        <v>0</v>
      </c>
      <c r="H193" s="38">
        <v>0</v>
      </c>
      <c r="I193" s="15"/>
      <c r="J193" s="494">
        <v>10201020201</v>
      </c>
      <c r="K193" s="517"/>
      <c r="L193" s="517" t="s">
        <v>13361</v>
      </c>
      <c r="M193" s="517" t="s">
        <v>169</v>
      </c>
      <c r="N193" s="518" t="s">
        <v>1187</v>
      </c>
      <c r="O193" s="517">
        <v>1</v>
      </c>
      <c r="P193" s="517" t="s">
        <v>647</v>
      </c>
      <c r="Q193" s="517" t="s">
        <v>632</v>
      </c>
      <c r="R193" s="517" t="s">
        <v>647</v>
      </c>
      <c r="S193" s="517" t="s">
        <v>647</v>
      </c>
      <c r="T193" s="518" t="s">
        <v>1190</v>
      </c>
      <c r="U193" s="38">
        <f t="shared" si="19"/>
        <v>0</v>
      </c>
      <c r="V193" s="15" t="str">
        <f t="shared" si="20"/>
        <v>102010202</v>
      </c>
      <c r="W193" s="39">
        <v>1</v>
      </c>
      <c r="X193" s="40" t="s">
        <v>647</v>
      </c>
      <c r="Y193" s="40" t="s">
        <v>632</v>
      </c>
      <c r="Z193" s="40" t="s">
        <v>647</v>
      </c>
      <c r="AA193" s="40" t="s">
        <v>647</v>
      </c>
      <c r="AB193" s="42" t="s">
        <v>1190</v>
      </c>
      <c r="AC193" s="519">
        <f t="shared" si="31"/>
        <v>0</v>
      </c>
      <c r="AD193" s="517">
        <v>0</v>
      </c>
      <c r="AE193" s="517" t="s">
        <v>13361</v>
      </c>
      <c r="AF193" s="517" t="s">
        <v>169</v>
      </c>
      <c r="AG193" s="518" t="s">
        <v>1187</v>
      </c>
      <c r="AH193" s="67">
        <f t="shared" si="32"/>
        <v>0</v>
      </c>
      <c r="AI193" s="10"/>
      <c r="AJ193" s="9">
        <f t="shared" si="30"/>
        <v>0</v>
      </c>
      <c r="AK193" s="10"/>
      <c r="AL193" s="10"/>
    </row>
    <row r="194" spans="1:38" ht="33.75" hidden="1">
      <c r="A194" s="1">
        <f t="shared" si="21"/>
        <v>0</v>
      </c>
      <c r="B194" s="2" t="s">
        <v>1191</v>
      </c>
      <c r="C194" s="3" t="s">
        <v>1192</v>
      </c>
      <c r="D194" s="15" t="s">
        <v>11416</v>
      </c>
      <c r="E194" s="4" t="s">
        <v>1191</v>
      </c>
      <c r="F194" s="37" t="s">
        <v>1192</v>
      </c>
      <c r="G194" s="38">
        <v>0</v>
      </c>
      <c r="H194" s="38">
        <v>221555.19</v>
      </c>
      <c r="I194" s="15"/>
      <c r="J194" s="494">
        <v>10201020301</v>
      </c>
      <c r="K194" s="517"/>
      <c r="L194" s="517" t="s">
        <v>13361</v>
      </c>
      <c r="M194" s="517" t="s">
        <v>169</v>
      </c>
      <c r="N194" s="518" t="s">
        <v>1187</v>
      </c>
      <c r="O194" s="517">
        <v>1</v>
      </c>
      <c r="P194" s="517" t="s">
        <v>647</v>
      </c>
      <c r="Q194" s="517" t="s">
        <v>632</v>
      </c>
      <c r="R194" s="517" t="s">
        <v>647</v>
      </c>
      <c r="S194" s="517" t="s">
        <v>671</v>
      </c>
      <c r="T194" s="518" t="s">
        <v>1193</v>
      </c>
      <c r="U194" s="38">
        <f t="shared" si="19"/>
        <v>221555.19</v>
      </c>
      <c r="V194" s="15" t="str">
        <f t="shared" si="20"/>
        <v>102010203</v>
      </c>
      <c r="W194" s="39">
        <v>1</v>
      </c>
      <c r="X194" s="40" t="s">
        <v>647</v>
      </c>
      <c r="Y194" s="40" t="s">
        <v>632</v>
      </c>
      <c r="Z194" s="40" t="s">
        <v>647</v>
      </c>
      <c r="AA194" s="40" t="s">
        <v>671</v>
      </c>
      <c r="AB194" s="42" t="s">
        <v>1193</v>
      </c>
      <c r="AC194" s="519">
        <f t="shared" si="31"/>
        <v>221555.19</v>
      </c>
      <c r="AD194" s="517">
        <v>0</v>
      </c>
      <c r="AE194" s="517" t="s">
        <v>13361</v>
      </c>
      <c r="AF194" s="517" t="s">
        <v>169</v>
      </c>
      <c r="AG194" s="518" t="s">
        <v>1187</v>
      </c>
      <c r="AH194" s="67">
        <f t="shared" si="32"/>
        <v>221555.19</v>
      </c>
      <c r="AI194" s="10"/>
      <c r="AJ194" s="9">
        <f t="shared" si="30"/>
        <v>0</v>
      </c>
      <c r="AK194" s="10"/>
      <c r="AL194" s="10"/>
    </row>
    <row r="195" spans="1:38" ht="22.5" hidden="1">
      <c r="A195" s="1">
        <f t="shared" si="21"/>
        <v>0</v>
      </c>
      <c r="C195" s="3" t="s">
        <v>1194</v>
      </c>
      <c r="D195" s="15" t="s">
        <v>16</v>
      </c>
      <c r="E195" s="30"/>
      <c r="F195" s="31" t="s">
        <v>137</v>
      </c>
      <c r="G195" s="32">
        <f>SUM(G196:G216)</f>
        <v>4293849.8899999987</v>
      </c>
      <c r="H195" s="32">
        <f>SUM(H196:H216)</f>
        <v>13424969.82</v>
      </c>
      <c r="I195" s="15"/>
      <c r="J195" s="494"/>
      <c r="K195" s="513"/>
      <c r="L195" s="513"/>
      <c r="M195" s="513"/>
      <c r="N195" s="514"/>
      <c r="O195" s="513"/>
      <c r="P195" s="513"/>
      <c r="Q195" s="513"/>
      <c r="R195" s="513"/>
      <c r="S195" s="513"/>
      <c r="T195" s="514"/>
      <c r="U195" s="32">
        <f>SUM(U196:U216)</f>
        <v>13424969.82</v>
      </c>
      <c r="V195" s="15" t="str">
        <f t="shared" ref="V195:V258" si="33">CONCATENATE(W195,X195,Y195,Z195,AA195)</f>
        <v>102010300</v>
      </c>
      <c r="W195" s="33">
        <v>1</v>
      </c>
      <c r="X195" s="34" t="s">
        <v>647</v>
      </c>
      <c r="Y195" s="34" t="s">
        <v>632</v>
      </c>
      <c r="Z195" s="35" t="s">
        <v>671</v>
      </c>
      <c r="AA195" s="35" t="s">
        <v>630</v>
      </c>
      <c r="AB195" s="31" t="s">
        <v>137</v>
      </c>
      <c r="AC195" s="544">
        <f t="shared" si="31"/>
        <v>13424969.82</v>
      </c>
      <c r="AD195" s="513">
        <v>0</v>
      </c>
      <c r="AE195" s="513" t="s">
        <v>13363</v>
      </c>
      <c r="AF195" s="513" t="s">
        <v>170</v>
      </c>
      <c r="AG195" s="514" t="s">
        <v>13364</v>
      </c>
      <c r="AH195" s="545">
        <f t="shared" si="32"/>
        <v>13424969.82</v>
      </c>
      <c r="AI195" s="10"/>
      <c r="AJ195" s="9">
        <f t="shared" si="30"/>
        <v>0</v>
      </c>
      <c r="AK195" s="10"/>
      <c r="AL195" s="10"/>
    </row>
    <row r="196" spans="1:38" ht="33.75" hidden="1">
      <c r="A196" s="1">
        <f t="shared" si="21"/>
        <v>0</v>
      </c>
      <c r="B196" s="2" t="s">
        <v>1195</v>
      </c>
      <c r="C196" s="3" t="s">
        <v>1196</v>
      </c>
      <c r="D196" s="15" t="s">
        <v>11417</v>
      </c>
      <c r="E196" s="4" t="s">
        <v>1195</v>
      </c>
      <c r="F196" s="37" t="s">
        <v>1196</v>
      </c>
      <c r="G196" s="38">
        <v>252803.24</v>
      </c>
      <c r="H196" s="38">
        <v>645977.56000000006</v>
      </c>
      <c r="I196" s="15"/>
      <c r="J196" s="494">
        <v>10201030101</v>
      </c>
      <c r="K196" s="517"/>
      <c r="L196" s="517" t="s">
        <v>13363</v>
      </c>
      <c r="M196" s="517" t="s">
        <v>170</v>
      </c>
      <c r="N196" s="518" t="s">
        <v>1198</v>
      </c>
      <c r="O196" s="517">
        <v>1</v>
      </c>
      <c r="P196" s="517" t="s">
        <v>647</v>
      </c>
      <c r="Q196" s="517" t="s">
        <v>632</v>
      </c>
      <c r="R196" s="517" t="s">
        <v>671</v>
      </c>
      <c r="S196" s="517" t="s">
        <v>632</v>
      </c>
      <c r="T196" s="518" t="s">
        <v>1197</v>
      </c>
      <c r="U196" s="38">
        <f t="shared" ref="U196:U251" si="34">H196</f>
        <v>645977.56000000006</v>
      </c>
      <c r="V196" s="15" t="str">
        <f t="shared" si="33"/>
        <v>102010301</v>
      </c>
      <c r="W196" s="39">
        <v>1</v>
      </c>
      <c r="X196" s="40" t="s">
        <v>647</v>
      </c>
      <c r="Y196" s="40" t="s">
        <v>632</v>
      </c>
      <c r="Z196" s="40" t="s">
        <v>671</v>
      </c>
      <c r="AA196" s="40" t="s">
        <v>632</v>
      </c>
      <c r="AB196" s="42" t="s">
        <v>1197</v>
      </c>
      <c r="AC196" s="519">
        <f t="shared" si="31"/>
        <v>645977.56000000006</v>
      </c>
      <c r="AD196" s="517">
        <v>0</v>
      </c>
      <c r="AE196" s="517" t="s">
        <v>13363</v>
      </c>
      <c r="AF196" s="517" t="s">
        <v>170</v>
      </c>
      <c r="AG196" s="518" t="s">
        <v>1198</v>
      </c>
      <c r="AH196" s="67">
        <f t="shared" si="32"/>
        <v>645977.56000000006</v>
      </c>
      <c r="AI196" s="10"/>
      <c r="AJ196" s="9">
        <f t="shared" si="30"/>
        <v>0</v>
      </c>
      <c r="AK196" s="10"/>
      <c r="AL196" s="10"/>
    </row>
    <row r="197" spans="1:38" ht="45" hidden="1">
      <c r="A197" s="1">
        <f t="shared" si="21"/>
        <v>0</v>
      </c>
      <c r="B197" s="2" t="s">
        <v>1199</v>
      </c>
      <c r="C197" s="3" t="s">
        <v>1200</v>
      </c>
      <c r="D197" s="15" t="s">
        <v>11418</v>
      </c>
      <c r="E197" s="4" t="s">
        <v>1199</v>
      </c>
      <c r="F197" s="37" t="s">
        <v>1200</v>
      </c>
      <c r="G197" s="38">
        <v>269808.40000000002</v>
      </c>
      <c r="H197" s="38">
        <v>1621795.82</v>
      </c>
      <c r="I197" s="15"/>
      <c r="J197" s="494">
        <v>10201030201</v>
      </c>
      <c r="K197" s="517"/>
      <c r="L197" s="517" t="s">
        <v>13363</v>
      </c>
      <c r="M197" s="517" t="s">
        <v>170</v>
      </c>
      <c r="N197" s="518" t="s">
        <v>1198</v>
      </c>
      <c r="O197" s="517">
        <v>1</v>
      </c>
      <c r="P197" s="517" t="s">
        <v>647</v>
      </c>
      <c r="Q197" s="517" t="s">
        <v>632</v>
      </c>
      <c r="R197" s="517" t="s">
        <v>671</v>
      </c>
      <c r="S197" s="517" t="s">
        <v>647</v>
      </c>
      <c r="T197" s="518" t="s">
        <v>1201</v>
      </c>
      <c r="U197" s="38">
        <f t="shared" si="34"/>
        <v>1621795.82</v>
      </c>
      <c r="V197" s="15" t="str">
        <f t="shared" si="33"/>
        <v>102010302</v>
      </c>
      <c r="W197" s="39">
        <v>1</v>
      </c>
      <c r="X197" s="40" t="s">
        <v>647</v>
      </c>
      <c r="Y197" s="40" t="s">
        <v>632</v>
      </c>
      <c r="Z197" s="40" t="s">
        <v>671</v>
      </c>
      <c r="AA197" s="40" t="s">
        <v>647</v>
      </c>
      <c r="AB197" s="42" t="s">
        <v>1201</v>
      </c>
      <c r="AC197" s="519">
        <f t="shared" si="31"/>
        <v>1621795.82</v>
      </c>
      <c r="AD197" s="517">
        <v>0</v>
      </c>
      <c r="AE197" s="517" t="s">
        <v>13363</v>
      </c>
      <c r="AF197" s="517" t="s">
        <v>170</v>
      </c>
      <c r="AG197" s="518" t="s">
        <v>1198</v>
      </c>
      <c r="AH197" s="67">
        <f t="shared" si="32"/>
        <v>1621795.82</v>
      </c>
      <c r="AI197" s="10"/>
      <c r="AJ197" s="9">
        <f t="shared" si="30"/>
        <v>0</v>
      </c>
      <c r="AK197" s="10"/>
      <c r="AL197" s="10"/>
    </row>
    <row r="198" spans="1:38" ht="33.75" hidden="1">
      <c r="A198" s="1">
        <f t="shared" ref="A198:A261" si="35">IF(E198=B198,0,1)</f>
        <v>0</v>
      </c>
      <c r="B198" s="2" t="s">
        <v>1202</v>
      </c>
      <c r="C198" s="3" t="s">
        <v>1203</v>
      </c>
      <c r="D198" s="15" t="s">
        <v>11419</v>
      </c>
      <c r="E198" s="4" t="s">
        <v>1202</v>
      </c>
      <c r="F198" s="37" t="s">
        <v>1203</v>
      </c>
      <c r="G198" s="38">
        <v>667235.64</v>
      </c>
      <c r="H198" s="38">
        <v>1176659.1200000001</v>
      </c>
      <c r="I198" s="15"/>
      <c r="J198" s="494">
        <v>10201030301</v>
      </c>
      <c r="K198" s="517"/>
      <c r="L198" s="517" t="s">
        <v>13363</v>
      </c>
      <c r="M198" s="517" t="s">
        <v>170</v>
      </c>
      <c r="N198" s="518" t="s">
        <v>1198</v>
      </c>
      <c r="O198" s="517">
        <v>1</v>
      </c>
      <c r="P198" s="517" t="s">
        <v>647</v>
      </c>
      <c r="Q198" s="517" t="s">
        <v>632</v>
      </c>
      <c r="R198" s="517" t="s">
        <v>671</v>
      </c>
      <c r="S198" s="517" t="s">
        <v>671</v>
      </c>
      <c r="T198" s="518" t="s">
        <v>1204</v>
      </c>
      <c r="U198" s="38">
        <f t="shared" si="34"/>
        <v>1176659.1200000001</v>
      </c>
      <c r="V198" s="15" t="str">
        <f t="shared" si="33"/>
        <v>102010303</v>
      </c>
      <c r="W198" s="39">
        <v>1</v>
      </c>
      <c r="X198" s="40" t="s">
        <v>647</v>
      </c>
      <c r="Y198" s="40" t="s">
        <v>632</v>
      </c>
      <c r="Z198" s="40" t="s">
        <v>671</v>
      </c>
      <c r="AA198" s="40" t="s">
        <v>671</v>
      </c>
      <c r="AB198" s="42" t="s">
        <v>1204</v>
      </c>
      <c r="AC198" s="519">
        <f t="shared" si="31"/>
        <v>1176659.1200000001</v>
      </c>
      <c r="AD198" s="517">
        <v>0</v>
      </c>
      <c r="AE198" s="517" t="s">
        <v>13363</v>
      </c>
      <c r="AF198" s="517" t="s">
        <v>170</v>
      </c>
      <c r="AG198" s="518" t="s">
        <v>1198</v>
      </c>
      <c r="AH198" s="67">
        <f t="shared" si="32"/>
        <v>1176659.1200000001</v>
      </c>
      <c r="AI198" s="10"/>
      <c r="AJ198" s="9">
        <f t="shared" si="30"/>
        <v>0</v>
      </c>
      <c r="AK198" s="10"/>
      <c r="AL198" s="10"/>
    </row>
    <row r="199" spans="1:38" ht="33.75" hidden="1">
      <c r="A199" s="1">
        <f t="shared" si="35"/>
        <v>0</v>
      </c>
      <c r="B199" s="2" t="s">
        <v>1205</v>
      </c>
      <c r="C199" s="3" t="s">
        <v>1206</v>
      </c>
      <c r="D199" s="15" t="s">
        <v>11420</v>
      </c>
      <c r="E199" s="4" t="s">
        <v>1205</v>
      </c>
      <c r="F199" s="37" t="s">
        <v>1206</v>
      </c>
      <c r="G199" s="38">
        <v>226851.35</v>
      </c>
      <c r="H199" s="38">
        <v>1431983.46</v>
      </c>
      <c r="I199" s="15"/>
      <c r="J199" s="494">
        <v>10201030401</v>
      </c>
      <c r="K199" s="517"/>
      <c r="L199" s="517" t="s">
        <v>13363</v>
      </c>
      <c r="M199" s="517" t="s">
        <v>170</v>
      </c>
      <c r="N199" s="518" t="s">
        <v>1198</v>
      </c>
      <c r="O199" s="517">
        <v>1</v>
      </c>
      <c r="P199" s="517" t="s">
        <v>647</v>
      </c>
      <c r="Q199" s="517" t="s">
        <v>632</v>
      </c>
      <c r="R199" s="517" t="s">
        <v>671</v>
      </c>
      <c r="S199" s="517" t="s">
        <v>693</v>
      </c>
      <c r="T199" s="518" t="s">
        <v>1207</v>
      </c>
      <c r="U199" s="38">
        <f t="shared" si="34"/>
        <v>1431983.46</v>
      </c>
      <c r="V199" s="15" t="str">
        <f t="shared" si="33"/>
        <v>102010304</v>
      </c>
      <c r="W199" s="39">
        <v>1</v>
      </c>
      <c r="X199" s="40" t="s">
        <v>647</v>
      </c>
      <c r="Y199" s="40" t="s">
        <v>632</v>
      </c>
      <c r="Z199" s="40" t="s">
        <v>671</v>
      </c>
      <c r="AA199" s="40" t="s">
        <v>693</v>
      </c>
      <c r="AB199" s="42" t="s">
        <v>1207</v>
      </c>
      <c r="AC199" s="519">
        <f t="shared" si="31"/>
        <v>1431983.46</v>
      </c>
      <c r="AD199" s="517">
        <v>0</v>
      </c>
      <c r="AE199" s="517" t="s">
        <v>13363</v>
      </c>
      <c r="AF199" s="517" t="s">
        <v>170</v>
      </c>
      <c r="AG199" s="518" t="s">
        <v>1198</v>
      </c>
      <c r="AH199" s="67">
        <f t="shared" si="32"/>
        <v>1431983.46</v>
      </c>
      <c r="AI199" s="10"/>
      <c r="AJ199" s="9">
        <f t="shared" si="30"/>
        <v>0</v>
      </c>
      <c r="AK199" s="10"/>
      <c r="AL199" s="10"/>
    </row>
    <row r="200" spans="1:38" ht="45" hidden="1">
      <c r="A200" s="1">
        <f t="shared" si="35"/>
        <v>0</v>
      </c>
      <c r="B200" s="2" t="s">
        <v>1208</v>
      </c>
      <c r="C200" s="3" t="s">
        <v>1209</v>
      </c>
      <c r="D200" s="15" t="s">
        <v>11421</v>
      </c>
      <c r="E200" s="4" t="s">
        <v>1208</v>
      </c>
      <c r="F200" s="37" t="s">
        <v>1209</v>
      </c>
      <c r="G200" s="38">
        <v>52855.14</v>
      </c>
      <c r="H200" s="38">
        <v>108960.51</v>
      </c>
      <c r="I200" s="15"/>
      <c r="J200" s="494">
        <v>10201030501</v>
      </c>
      <c r="K200" s="517"/>
      <c r="L200" s="517" t="s">
        <v>13363</v>
      </c>
      <c r="M200" s="517" t="s">
        <v>170</v>
      </c>
      <c r="N200" s="518" t="s">
        <v>1198</v>
      </c>
      <c r="O200" s="517">
        <v>1</v>
      </c>
      <c r="P200" s="517" t="s">
        <v>647</v>
      </c>
      <c r="Q200" s="517" t="s">
        <v>632</v>
      </c>
      <c r="R200" s="517" t="s">
        <v>671</v>
      </c>
      <c r="S200" s="517" t="s">
        <v>714</v>
      </c>
      <c r="T200" s="518" t="s">
        <v>1210</v>
      </c>
      <c r="U200" s="38">
        <f t="shared" si="34"/>
        <v>108960.51</v>
      </c>
      <c r="V200" s="15" t="str">
        <f t="shared" si="33"/>
        <v>102010305</v>
      </c>
      <c r="W200" s="39">
        <v>1</v>
      </c>
      <c r="X200" s="40" t="s">
        <v>647</v>
      </c>
      <c r="Y200" s="40" t="s">
        <v>632</v>
      </c>
      <c r="Z200" s="40" t="s">
        <v>671</v>
      </c>
      <c r="AA200" s="40" t="s">
        <v>714</v>
      </c>
      <c r="AB200" s="42" t="s">
        <v>1210</v>
      </c>
      <c r="AC200" s="519">
        <f t="shared" si="31"/>
        <v>108960.51</v>
      </c>
      <c r="AD200" s="517">
        <v>0</v>
      </c>
      <c r="AE200" s="517" t="s">
        <v>13363</v>
      </c>
      <c r="AF200" s="517" t="s">
        <v>170</v>
      </c>
      <c r="AG200" s="518" t="s">
        <v>1198</v>
      </c>
      <c r="AH200" s="67">
        <f t="shared" si="32"/>
        <v>108960.51</v>
      </c>
      <c r="AI200" s="10"/>
      <c r="AJ200" s="9">
        <f t="shared" si="30"/>
        <v>0</v>
      </c>
      <c r="AK200" s="10"/>
      <c r="AL200" s="10"/>
    </row>
    <row r="201" spans="1:38" ht="22.5" hidden="1">
      <c r="A201" s="1">
        <f t="shared" si="35"/>
        <v>0</v>
      </c>
      <c r="B201" s="2" t="s">
        <v>1211</v>
      </c>
      <c r="C201" s="3" t="s">
        <v>1212</v>
      </c>
      <c r="D201" s="15" t="s">
        <v>11422</v>
      </c>
      <c r="E201" s="4" t="s">
        <v>1211</v>
      </c>
      <c r="F201" s="37" t="s">
        <v>1212</v>
      </c>
      <c r="G201" s="38">
        <v>28309.34</v>
      </c>
      <c r="H201" s="38">
        <v>185284.32</v>
      </c>
      <c r="I201" s="15"/>
      <c r="J201" s="494">
        <v>10201030601</v>
      </c>
      <c r="K201" s="517"/>
      <c r="L201" s="517" t="s">
        <v>13363</v>
      </c>
      <c r="M201" s="517" t="s">
        <v>170</v>
      </c>
      <c r="N201" s="518" t="s">
        <v>1198</v>
      </c>
      <c r="O201" s="517">
        <v>1</v>
      </c>
      <c r="P201" s="517" t="s">
        <v>647</v>
      </c>
      <c r="Q201" s="517" t="s">
        <v>632</v>
      </c>
      <c r="R201" s="517" t="s">
        <v>671</v>
      </c>
      <c r="S201" s="517" t="s">
        <v>739</v>
      </c>
      <c r="T201" s="518" t="s">
        <v>1213</v>
      </c>
      <c r="U201" s="38">
        <f t="shared" si="34"/>
        <v>185284.32</v>
      </c>
      <c r="V201" s="15" t="str">
        <f t="shared" si="33"/>
        <v>102010306</v>
      </c>
      <c r="W201" s="39">
        <v>1</v>
      </c>
      <c r="X201" s="40" t="s">
        <v>647</v>
      </c>
      <c r="Y201" s="40" t="s">
        <v>632</v>
      </c>
      <c r="Z201" s="40" t="s">
        <v>671</v>
      </c>
      <c r="AA201" s="40" t="s">
        <v>739</v>
      </c>
      <c r="AB201" s="42" t="s">
        <v>1213</v>
      </c>
      <c r="AC201" s="519">
        <f t="shared" si="31"/>
        <v>185284.32</v>
      </c>
      <c r="AD201" s="517">
        <v>0</v>
      </c>
      <c r="AE201" s="517" t="s">
        <v>13363</v>
      </c>
      <c r="AF201" s="517" t="s">
        <v>170</v>
      </c>
      <c r="AG201" s="518" t="s">
        <v>1198</v>
      </c>
      <c r="AH201" s="67">
        <f t="shared" si="32"/>
        <v>185284.32</v>
      </c>
      <c r="AI201" s="10"/>
      <c r="AJ201" s="9">
        <f t="shared" si="30"/>
        <v>0</v>
      </c>
      <c r="AK201" s="10"/>
      <c r="AL201" s="10"/>
    </row>
    <row r="202" spans="1:38" ht="33.75" hidden="1">
      <c r="A202" s="1">
        <f t="shared" si="35"/>
        <v>0</v>
      </c>
      <c r="B202" s="2" t="s">
        <v>1214</v>
      </c>
      <c r="C202" s="3" t="s">
        <v>1215</v>
      </c>
      <c r="D202" s="15" t="s">
        <v>11423</v>
      </c>
      <c r="E202" s="4" t="s">
        <v>1214</v>
      </c>
      <c r="F202" s="37" t="s">
        <v>1215</v>
      </c>
      <c r="G202" s="38">
        <v>50230.61</v>
      </c>
      <c r="H202" s="38">
        <v>732650.41</v>
      </c>
      <c r="I202" s="15"/>
      <c r="J202" s="494">
        <v>10201030701</v>
      </c>
      <c r="K202" s="517"/>
      <c r="L202" s="517" t="s">
        <v>13363</v>
      </c>
      <c r="M202" s="517" t="s">
        <v>170</v>
      </c>
      <c r="N202" s="518" t="s">
        <v>1198</v>
      </c>
      <c r="O202" s="517">
        <v>1</v>
      </c>
      <c r="P202" s="517" t="s">
        <v>647</v>
      </c>
      <c r="Q202" s="517" t="s">
        <v>632</v>
      </c>
      <c r="R202" s="517" t="s">
        <v>671</v>
      </c>
      <c r="S202" s="517" t="s">
        <v>755</v>
      </c>
      <c r="T202" s="518" t="s">
        <v>1216</v>
      </c>
      <c r="U202" s="38">
        <f t="shared" si="34"/>
        <v>732650.41</v>
      </c>
      <c r="V202" s="15" t="str">
        <f t="shared" si="33"/>
        <v>102010307</v>
      </c>
      <c r="W202" s="39">
        <v>1</v>
      </c>
      <c r="X202" s="40" t="s">
        <v>647</v>
      </c>
      <c r="Y202" s="40" t="s">
        <v>632</v>
      </c>
      <c r="Z202" s="40" t="s">
        <v>671</v>
      </c>
      <c r="AA202" s="40" t="s">
        <v>755</v>
      </c>
      <c r="AB202" s="42" t="s">
        <v>1216</v>
      </c>
      <c r="AC202" s="519">
        <f t="shared" si="31"/>
        <v>732650.41</v>
      </c>
      <c r="AD202" s="517">
        <v>0</v>
      </c>
      <c r="AE202" s="517" t="s">
        <v>13363</v>
      </c>
      <c r="AF202" s="517" t="s">
        <v>170</v>
      </c>
      <c r="AG202" s="518" t="s">
        <v>1198</v>
      </c>
      <c r="AH202" s="67">
        <f t="shared" si="32"/>
        <v>732650.41</v>
      </c>
      <c r="AI202" s="10"/>
      <c r="AJ202" s="9">
        <f t="shared" si="30"/>
        <v>0</v>
      </c>
      <c r="AK202" s="10"/>
      <c r="AL202" s="10"/>
    </row>
    <row r="203" spans="1:38" ht="22.5" hidden="1">
      <c r="A203" s="1">
        <f t="shared" si="35"/>
        <v>0</v>
      </c>
      <c r="B203" s="2" t="s">
        <v>1217</v>
      </c>
      <c r="C203" s="3" t="s">
        <v>1218</v>
      </c>
      <c r="D203" s="15" t="s">
        <v>11424</v>
      </c>
      <c r="E203" s="4" t="s">
        <v>1217</v>
      </c>
      <c r="F203" s="37" t="s">
        <v>1218</v>
      </c>
      <c r="G203" s="38">
        <v>16541.080000000002</v>
      </c>
      <c r="H203" s="38">
        <v>16183.09</v>
      </c>
      <c r="I203" s="15"/>
      <c r="J203" s="494">
        <v>10201030801</v>
      </c>
      <c r="K203" s="517"/>
      <c r="L203" s="517" t="s">
        <v>13363</v>
      </c>
      <c r="M203" s="517" t="s">
        <v>170</v>
      </c>
      <c r="N203" s="518" t="s">
        <v>1198</v>
      </c>
      <c r="O203" s="517">
        <v>1</v>
      </c>
      <c r="P203" s="517" t="s">
        <v>647</v>
      </c>
      <c r="Q203" s="517" t="s">
        <v>632</v>
      </c>
      <c r="R203" s="517" t="s">
        <v>671</v>
      </c>
      <c r="S203" s="517" t="s">
        <v>766</v>
      </c>
      <c r="T203" s="518" t="s">
        <v>1219</v>
      </c>
      <c r="U203" s="38">
        <f t="shared" si="34"/>
        <v>16183.09</v>
      </c>
      <c r="V203" s="15" t="str">
        <f t="shared" si="33"/>
        <v>102010308</v>
      </c>
      <c r="W203" s="39">
        <v>1</v>
      </c>
      <c r="X203" s="40" t="s">
        <v>647</v>
      </c>
      <c r="Y203" s="40" t="s">
        <v>632</v>
      </c>
      <c r="Z203" s="40" t="s">
        <v>671</v>
      </c>
      <c r="AA203" s="40" t="s">
        <v>766</v>
      </c>
      <c r="AB203" s="42" t="s">
        <v>1219</v>
      </c>
      <c r="AC203" s="519">
        <f t="shared" si="31"/>
        <v>16183.09</v>
      </c>
      <c r="AD203" s="517">
        <v>0</v>
      </c>
      <c r="AE203" s="517" t="s">
        <v>13363</v>
      </c>
      <c r="AF203" s="517" t="s">
        <v>170</v>
      </c>
      <c r="AG203" s="518" t="s">
        <v>1198</v>
      </c>
      <c r="AH203" s="67">
        <f t="shared" si="32"/>
        <v>16183.09</v>
      </c>
      <c r="AI203" s="10"/>
      <c r="AJ203" s="9">
        <f t="shared" si="30"/>
        <v>0</v>
      </c>
      <c r="AK203" s="10"/>
      <c r="AL203" s="10"/>
    </row>
    <row r="204" spans="1:38" ht="33.75" hidden="1">
      <c r="A204" s="1">
        <f t="shared" si="35"/>
        <v>0</v>
      </c>
      <c r="B204" s="2" t="s">
        <v>1220</v>
      </c>
      <c r="C204" s="3" t="s">
        <v>1221</v>
      </c>
      <c r="D204" s="15" t="s">
        <v>11425</v>
      </c>
      <c r="E204" s="4" t="s">
        <v>1220</v>
      </c>
      <c r="F204" s="37" t="s">
        <v>1221</v>
      </c>
      <c r="G204" s="38">
        <v>1928.61</v>
      </c>
      <c r="H204" s="38">
        <v>21560.82</v>
      </c>
      <c r="I204" s="15"/>
      <c r="J204" s="494">
        <v>10201030901</v>
      </c>
      <c r="K204" s="517"/>
      <c r="L204" s="517" t="s">
        <v>13363</v>
      </c>
      <c r="M204" s="517" t="s">
        <v>170</v>
      </c>
      <c r="N204" s="518" t="s">
        <v>1198</v>
      </c>
      <c r="O204" s="517">
        <v>1</v>
      </c>
      <c r="P204" s="517" t="s">
        <v>647</v>
      </c>
      <c r="Q204" s="517" t="s">
        <v>632</v>
      </c>
      <c r="R204" s="517" t="s">
        <v>671</v>
      </c>
      <c r="S204" s="517" t="s">
        <v>779</v>
      </c>
      <c r="T204" s="518" t="s">
        <v>1222</v>
      </c>
      <c r="U204" s="38">
        <f t="shared" si="34"/>
        <v>21560.82</v>
      </c>
      <c r="V204" s="15" t="str">
        <f t="shared" si="33"/>
        <v>102010309</v>
      </c>
      <c r="W204" s="39">
        <v>1</v>
      </c>
      <c r="X204" s="40" t="s">
        <v>647</v>
      </c>
      <c r="Y204" s="40" t="s">
        <v>632</v>
      </c>
      <c r="Z204" s="40" t="s">
        <v>671</v>
      </c>
      <c r="AA204" s="40" t="s">
        <v>779</v>
      </c>
      <c r="AB204" s="42" t="s">
        <v>1222</v>
      </c>
      <c r="AC204" s="519">
        <f t="shared" si="31"/>
        <v>21560.82</v>
      </c>
      <c r="AD204" s="517">
        <v>0</v>
      </c>
      <c r="AE204" s="517" t="s">
        <v>13363</v>
      </c>
      <c r="AF204" s="517" t="s">
        <v>170</v>
      </c>
      <c r="AG204" s="518" t="s">
        <v>1198</v>
      </c>
      <c r="AH204" s="67">
        <f t="shared" si="32"/>
        <v>21560.82</v>
      </c>
      <c r="AI204" s="10"/>
      <c r="AJ204" s="9">
        <f t="shared" si="30"/>
        <v>0</v>
      </c>
      <c r="AK204" s="10"/>
      <c r="AL204" s="10"/>
    </row>
    <row r="205" spans="1:38" ht="22.5" hidden="1">
      <c r="A205" s="1">
        <f t="shared" si="35"/>
        <v>0</v>
      </c>
      <c r="B205" s="2" t="s">
        <v>1223</v>
      </c>
      <c r="C205" s="3" t="s">
        <v>1224</v>
      </c>
      <c r="D205" s="15" t="s">
        <v>11426</v>
      </c>
      <c r="E205" s="4" t="s">
        <v>1223</v>
      </c>
      <c r="F205" s="37" t="s">
        <v>1224</v>
      </c>
      <c r="G205" s="38">
        <v>7080.69</v>
      </c>
      <c r="H205" s="38">
        <v>34028.25</v>
      </c>
      <c r="I205" s="15"/>
      <c r="J205" s="494">
        <v>10201031001</v>
      </c>
      <c r="K205" s="517"/>
      <c r="L205" s="517" t="s">
        <v>13363</v>
      </c>
      <c r="M205" s="517" t="s">
        <v>170</v>
      </c>
      <c r="N205" s="518" t="s">
        <v>1198</v>
      </c>
      <c r="O205" s="517">
        <v>1</v>
      </c>
      <c r="P205" s="517" t="s">
        <v>647</v>
      </c>
      <c r="Q205" s="517" t="s">
        <v>632</v>
      </c>
      <c r="R205" s="517" t="s">
        <v>671</v>
      </c>
      <c r="S205" s="517" t="s">
        <v>1225</v>
      </c>
      <c r="T205" s="518" t="s">
        <v>1226</v>
      </c>
      <c r="U205" s="38">
        <f t="shared" si="34"/>
        <v>34028.25</v>
      </c>
      <c r="V205" s="15" t="str">
        <f t="shared" si="33"/>
        <v>102010310</v>
      </c>
      <c r="W205" s="39">
        <v>1</v>
      </c>
      <c r="X205" s="40" t="s">
        <v>647</v>
      </c>
      <c r="Y205" s="40" t="s">
        <v>632</v>
      </c>
      <c r="Z205" s="40" t="s">
        <v>671</v>
      </c>
      <c r="AA205" s="40" t="s">
        <v>1225</v>
      </c>
      <c r="AB205" s="42" t="s">
        <v>1226</v>
      </c>
      <c r="AC205" s="519">
        <f t="shared" si="31"/>
        <v>34028.25</v>
      </c>
      <c r="AD205" s="517">
        <v>0</v>
      </c>
      <c r="AE205" s="517" t="s">
        <v>13363</v>
      </c>
      <c r="AF205" s="517" t="s">
        <v>170</v>
      </c>
      <c r="AG205" s="518" t="s">
        <v>1198</v>
      </c>
      <c r="AH205" s="67">
        <f t="shared" si="32"/>
        <v>34028.25</v>
      </c>
      <c r="AI205" s="10"/>
      <c r="AJ205" s="9">
        <f t="shared" si="30"/>
        <v>0</v>
      </c>
      <c r="AK205" s="10"/>
      <c r="AL205" s="10"/>
    </row>
    <row r="206" spans="1:38" ht="45" hidden="1">
      <c r="A206" s="1">
        <f t="shared" si="35"/>
        <v>0</v>
      </c>
      <c r="B206" s="2" t="s">
        <v>1227</v>
      </c>
      <c r="C206" s="3" t="s">
        <v>1228</v>
      </c>
      <c r="D206" s="15" t="s">
        <v>11427</v>
      </c>
      <c r="E206" s="4" t="s">
        <v>1227</v>
      </c>
      <c r="F206" s="37" t="s">
        <v>1228</v>
      </c>
      <c r="G206" s="38">
        <v>529278.71999999997</v>
      </c>
      <c r="H206" s="38">
        <v>76630.13</v>
      </c>
      <c r="I206" s="15"/>
      <c r="J206" s="494">
        <v>10201031101</v>
      </c>
      <c r="K206" s="517"/>
      <c r="L206" s="517" t="s">
        <v>13363</v>
      </c>
      <c r="M206" s="517" t="s">
        <v>170</v>
      </c>
      <c r="N206" s="518" t="s">
        <v>1198</v>
      </c>
      <c r="O206" s="517">
        <v>1</v>
      </c>
      <c r="P206" s="517" t="s">
        <v>647</v>
      </c>
      <c r="Q206" s="517" t="s">
        <v>632</v>
      </c>
      <c r="R206" s="517" t="s">
        <v>671</v>
      </c>
      <c r="S206" s="517" t="s">
        <v>1229</v>
      </c>
      <c r="T206" s="518" t="s">
        <v>1230</v>
      </c>
      <c r="U206" s="38">
        <f t="shared" si="34"/>
        <v>76630.13</v>
      </c>
      <c r="V206" s="15" t="str">
        <f t="shared" si="33"/>
        <v>102010311</v>
      </c>
      <c r="W206" s="39">
        <v>1</v>
      </c>
      <c r="X206" s="40" t="s">
        <v>647</v>
      </c>
      <c r="Y206" s="40" t="s">
        <v>632</v>
      </c>
      <c r="Z206" s="40" t="s">
        <v>671</v>
      </c>
      <c r="AA206" s="40" t="s">
        <v>1229</v>
      </c>
      <c r="AB206" s="42" t="s">
        <v>1230</v>
      </c>
      <c r="AC206" s="519">
        <f>SUM(H206:H211)</f>
        <v>1661763.37</v>
      </c>
      <c r="AD206" s="517">
        <v>0</v>
      </c>
      <c r="AE206" s="517" t="s">
        <v>13363</v>
      </c>
      <c r="AF206" s="517" t="s">
        <v>170</v>
      </c>
      <c r="AG206" s="518" t="s">
        <v>1198</v>
      </c>
      <c r="AH206" s="67">
        <f t="shared" si="32"/>
        <v>1661763.37</v>
      </c>
      <c r="AI206" s="10"/>
      <c r="AJ206" s="9"/>
      <c r="AK206" s="10"/>
      <c r="AL206" s="10"/>
    </row>
    <row r="207" spans="1:38" ht="45" hidden="1">
      <c r="A207" s="1">
        <f t="shared" si="35"/>
        <v>0</v>
      </c>
      <c r="B207" s="2" t="s">
        <v>1231</v>
      </c>
      <c r="C207" s="3" t="s">
        <v>1232</v>
      </c>
      <c r="D207" s="15" t="s">
        <v>11427</v>
      </c>
      <c r="E207" s="4" t="s">
        <v>1231</v>
      </c>
      <c r="F207" s="37" t="s">
        <v>1232</v>
      </c>
      <c r="G207" s="38">
        <v>10668.32</v>
      </c>
      <c r="H207" s="38">
        <v>612669.85</v>
      </c>
      <c r="I207" s="15"/>
      <c r="J207" s="494">
        <v>10201031102</v>
      </c>
      <c r="K207" s="517"/>
      <c r="L207" s="517" t="s">
        <v>13363</v>
      </c>
      <c r="M207" s="517" t="s">
        <v>170</v>
      </c>
      <c r="N207" s="518" t="s">
        <v>1198</v>
      </c>
      <c r="O207" s="517">
        <v>1</v>
      </c>
      <c r="P207" s="517" t="s">
        <v>647</v>
      </c>
      <c r="Q207" s="517" t="s">
        <v>632</v>
      </c>
      <c r="R207" s="517" t="s">
        <v>671</v>
      </c>
      <c r="S207" s="517" t="s">
        <v>1229</v>
      </c>
      <c r="T207" s="518" t="s">
        <v>1230</v>
      </c>
      <c r="U207" s="38">
        <f t="shared" si="34"/>
        <v>612669.85</v>
      </c>
      <c r="V207" s="15" t="str">
        <f t="shared" si="33"/>
        <v>102010311</v>
      </c>
      <c r="W207" s="39">
        <v>1</v>
      </c>
      <c r="X207" s="40" t="s">
        <v>647</v>
      </c>
      <c r="Y207" s="40" t="s">
        <v>632</v>
      </c>
      <c r="Z207" s="40" t="s">
        <v>671</v>
      </c>
      <c r="AA207" s="40" t="s">
        <v>1229</v>
      </c>
      <c r="AB207" s="42" t="s">
        <v>1230</v>
      </c>
      <c r="AC207" s="9"/>
      <c r="AD207" s="517">
        <v>0</v>
      </c>
      <c r="AE207" s="517" t="s">
        <v>13363</v>
      </c>
      <c r="AF207" s="517" t="s">
        <v>170</v>
      </c>
      <c r="AG207" s="520" t="s">
        <v>1198</v>
      </c>
      <c r="AH207" s="9"/>
      <c r="AI207" s="10"/>
      <c r="AJ207" s="9"/>
      <c r="AK207" s="10"/>
      <c r="AL207" s="10"/>
    </row>
    <row r="208" spans="1:38" ht="45" hidden="1">
      <c r="A208" s="1">
        <f t="shared" si="35"/>
        <v>0</v>
      </c>
      <c r="B208" s="2" t="s">
        <v>1233</v>
      </c>
      <c r="C208" s="3" t="s">
        <v>1234</v>
      </c>
      <c r="D208" s="15" t="s">
        <v>11427</v>
      </c>
      <c r="E208" s="4" t="s">
        <v>1233</v>
      </c>
      <c r="F208" s="37" t="s">
        <v>1234</v>
      </c>
      <c r="G208" s="38">
        <v>40000.57</v>
      </c>
      <c r="H208" s="38">
        <v>74467.8</v>
      </c>
      <c r="I208" s="15"/>
      <c r="J208" s="494">
        <v>10201031103</v>
      </c>
      <c r="K208" s="517"/>
      <c r="L208" s="517" t="s">
        <v>13363</v>
      </c>
      <c r="M208" s="517" t="s">
        <v>170</v>
      </c>
      <c r="N208" s="518" t="s">
        <v>1198</v>
      </c>
      <c r="O208" s="517">
        <v>1</v>
      </c>
      <c r="P208" s="517" t="s">
        <v>647</v>
      </c>
      <c r="Q208" s="517" t="s">
        <v>632</v>
      </c>
      <c r="R208" s="517" t="s">
        <v>671</v>
      </c>
      <c r="S208" s="517" t="s">
        <v>1229</v>
      </c>
      <c r="T208" s="518" t="s">
        <v>1230</v>
      </c>
      <c r="U208" s="38">
        <f t="shared" si="34"/>
        <v>74467.8</v>
      </c>
      <c r="V208" s="15" t="str">
        <f t="shared" si="33"/>
        <v>102010311</v>
      </c>
      <c r="W208" s="39">
        <v>1</v>
      </c>
      <c r="X208" s="40" t="s">
        <v>647</v>
      </c>
      <c r="Y208" s="40" t="s">
        <v>632</v>
      </c>
      <c r="Z208" s="40" t="s">
        <v>671</v>
      </c>
      <c r="AA208" s="40" t="s">
        <v>1229</v>
      </c>
      <c r="AB208" s="42" t="s">
        <v>1230</v>
      </c>
      <c r="AC208" s="9"/>
      <c r="AD208" s="517">
        <v>0</v>
      </c>
      <c r="AE208" s="517" t="s">
        <v>13363</v>
      </c>
      <c r="AF208" s="517" t="s">
        <v>170</v>
      </c>
      <c r="AG208" s="520" t="s">
        <v>1198</v>
      </c>
      <c r="AH208" s="9"/>
      <c r="AI208" s="10"/>
      <c r="AJ208" s="9"/>
      <c r="AK208" s="10"/>
      <c r="AL208" s="10"/>
    </row>
    <row r="209" spans="1:38" ht="45" hidden="1">
      <c r="A209" s="1">
        <f t="shared" si="35"/>
        <v>0</v>
      </c>
      <c r="B209" s="2" t="s">
        <v>1235</v>
      </c>
      <c r="C209" s="3" t="s">
        <v>1236</v>
      </c>
      <c r="D209" s="15" t="s">
        <v>11427</v>
      </c>
      <c r="E209" s="4" t="s">
        <v>1235</v>
      </c>
      <c r="F209" s="37" t="s">
        <v>1236</v>
      </c>
      <c r="G209" s="38">
        <v>10056.26</v>
      </c>
      <c r="H209" s="38">
        <v>739168.05</v>
      </c>
      <c r="I209" s="15"/>
      <c r="J209" s="494">
        <v>10201031104</v>
      </c>
      <c r="K209" s="517"/>
      <c r="L209" s="517" t="s">
        <v>13363</v>
      </c>
      <c r="M209" s="517" t="s">
        <v>170</v>
      </c>
      <c r="N209" s="518" t="s">
        <v>1198</v>
      </c>
      <c r="O209" s="517">
        <v>1</v>
      </c>
      <c r="P209" s="517" t="s">
        <v>647</v>
      </c>
      <c r="Q209" s="517" t="s">
        <v>632</v>
      </c>
      <c r="R209" s="517" t="s">
        <v>671</v>
      </c>
      <c r="S209" s="517" t="s">
        <v>1229</v>
      </c>
      <c r="T209" s="518" t="s">
        <v>1230</v>
      </c>
      <c r="U209" s="38">
        <f t="shared" si="34"/>
        <v>739168.05</v>
      </c>
      <c r="V209" s="15" t="str">
        <f t="shared" si="33"/>
        <v>102010311</v>
      </c>
      <c r="W209" s="39">
        <v>1</v>
      </c>
      <c r="X209" s="40" t="s">
        <v>647</v>
      </c>
      <c r="Y209" s="40" t="s">
        <v>632</v>
      </c>
      <c r="Z209" s="40" t="s">
        <v>671</v>
      </c>
      <c r="AA209" s="40" t="s">
        <v>1229</v>
      </c>
      <c r="AB209" s="42" t="s">
        <v>1230</v>
      </c>
      <c r="AC209" s="9"/>
      <c r="AD209" s="517">
        <v>0</v>
      </c>
      <c r="AE209" s="517" t="s">
        <v>13363</v>
      </c>
      <c r="AF209" s="517" t="s">
        <v>170</v>
      </c>
      <c r="AG209" s="520" t="s">
        <v>1198</v>
      </c>
      <c r="AH209" s="9"/>
      <c r="AI209" s="10"/>
      <c r="AJ209" s="9"/>
      <c r="AK209" s="10"/>
      <c r="AL209" s="10"/>
    </row>
    <row r="210" spans="1:38" ht="45" hidden="1">
      <c r="A210" s="1">
        <f t="shared" si="35"/>
        <v>0</v>
      </c>
      <c r="B210" s="2" t="s">
        <v>1237</v>
      </c>
      <c r="C210" s="3" t="s">
        <v>1238</v>
      </c>
      <c r="D210" s="15" t="s">
        <v>11427</v>
      </c>
      <c r="E210" s="4" t="s">
        <v>1237</v>
      </c>
      <c r="F210" s="37" t="s">
        <v>1238</v>
      </c>
      <c r="G210" s="38">
        <v>18846.63</v>
      </c>
      <c r="H210" s="38">
        <v>86434.29</v>
      </c>
      <c r="I210" s="15"/>
      <c r="J210" s="494">
        <v>10201031105</v>
      </c>
      <c r="K210" s="517"/>
      <c r="L210" s="517" t="s">
        <v>13363</v>
      </c>
      <c r="M210" s="517" t="s">
        <v>170</v>
      </c>
      <c r="N210" s="518" t="s">
        <v>1198</v>
      </c>
      <c r="O210" s="517">
        <v>1</v>
      </c>
      <c r="P210" s="517" t="s">
        <v>647</v>
      </c>
      <c r="Q210" s="517" t="s">
        <v>632</v>
      </c>
      <c r="R210" s="517" t="s">
        <v>671</v>
      </c>
      <c r="S210" s="517" t="s">
        <v>1229</v>
      </c>
      <c r="T210" s="518" t="s">
        <v>1230</v>
      </c>
      <c r="U210" s="38">
        <f t="shared" si="34"/>
        <v>86434.29</v>
      </c>
      <c r="V210" s="15" t="str">
        <f t="shared" si="33"/>
        <v>102010311</v>
      </c>
      <c r="W210" s="39">
        <v>1</v>
      </c>
      <c r="X210" s="40" t="s">
        <v>647</v>
      </c>
      <c r="Y210" s="40" t="s">
        <v>632</v>
      </c>
      <c r="Z210" s="40" t="s">
        <v>671</v>
      </c>
      <c r="AA210" s="40" t="s">
        <v>1229</v>
      </c>
      <c r="AB210" s="42" t="s">
        <v>1230</v>
      </c>
      <c r="AC210" s="9"/>
      <c r="AD210" s="517">
        <v>0</v>
      </c>
      <c r="AE210" s="517" t="s">
        <v>13363</v>
      </c>
      <c r="AF210" s="517" t="s">
        <v>170</v>
      </c>
      <c r="AG210" s="520" t="s">
        <v>1198</v>
      </c>
      <c r="AH210" s="9"/>
      <c r="AI210" s="10"/>
      <c r="AJ210" s="9"/>
      <c r="AK210" s="10"/>
      <c r="AL210" s="10"/>
    </row>
    <row r="211" spans="1:38" ht="45" hidden="1">
      <c r="A211" s="1">
        <f t="shared" si="35"/>
        <v>0</v>
      </c>
      <c r="B211" s="2" t="s">
        <v>1239</v>
      </c>
      <c r="C211" s="3" t="s">
        <v>1240</v>
      </c>
      <c r="D211" s="15" t="s">
        <v>11427</v>
      </c>
      <c r="E211" s="4" t="s">
        <v>1239</v>
      </c>
      <c r="F211" s="37" t="s">
        <v>1240</v>
      </c>
      <c r="G211" s="38">
        <v>0</v>
      </c>
      <c r="H211" s="38">
        <v>72393.25</v>
      </c>
      <c r="I211" s="15"/>
      <c r="J211" s="494">
        <v>10201031106</v>
      </c>
      <c r="K211" s="517"/>
      <c r="L211" s="517" t="s">
        <v>13363</v>
      </c>
      <c r="M211" s="517" t="s">
        <v>170</v>
      </c>
      <c r="N211" s="518" t="s">
        <v>1198</v>
      </c>
      <c r="O211" s="517">
        <v>1</v>
      </c>
      <c r="P211" s="517" t="s">
        <v>647</v>
      </c>
      <c r="Q211" s="517" t="s">
        <v>632</v>
      </c>
      <c r="R211" s="517" t="s">
        <v>671</v>
      </c>
      <c r="S211" s="517" t="s">
        <v>1229</v>
      </c>
      <c r="T211" s="518" t="s">
        <v>1230</v>
      </c>
      <c r="U211" s="38">
        <f t="shared" si="34"/>
        <v>72393.25</v>
      </c>
      <c r="V211" s="15" t="str">
        <f t="shared" si="33"/>
        <v>102010311</v>
      </c>
      <c r="W211" s="39">
        <v>1</v>
      </c>
      <c r="X211" s="40" t="s">
        <v>647</v>
      </c>
      <c r="Y211" s="40" t="s">
        <v>632</v>
      </c>
      <c r="Z211" s="40" t="s">
        <v>671</v>
      </c>
      <c r="AA211" s="40" t="s">
        <v>1229</v>
      </c>
      <c r="AB211" s="42" t="s">
        <v>1230</v>
      </c>
      <c r="AC211" s="9"/>
      <c r="AD211" s="517">
        <v>0</v>
      </c>
      <c r="AE211" s="517" t="s">
        <v>13363</v>
      </c>
      <c r="AF211" s="517" t="s">
        <v>170</v>
      </c>
      <c r="AG211" s="520" t="s">
        <v>1198</v>
      </c>
      <c r="AH211" s="9"/>
      <c r="AI211" s="10"/>
      <c r="AJ211" s="9"/>
      <c r="AK211" s="10"/>
      <c r="AL211" s="10"/>
    </row>
    <row r="212" spans="1:38" ht="22.5" hidden="1">
      <c r="A212" s="1">
        <f t="shared" si="35"/>
        <v>0</v>
      </c>
      <c r="B212" s="2" t="s">
        <v>1241</v>
      </c>
      <c r="C212" s="3" t="s">
        <v>1242</v>
      </c>
      <c r="D212" s="15" t="s">
        <v>11428</v>
      </c>
      <c r="E212" s="4" t="s">
        <v>1241</v>
      </c>
      <c r="F212" s="37" t="s">
        <v>1242</v>
      </c>
      <c r="G212" s="38">
        <v>54218.32</v>
      </c>
      <c r="H212" s="38">
        <v>98759.13</v>
      </c>
      <c r="I212" s="15"/>
      <c r="J212" s="494">
        <v>10201031201</v>
      </c>
      <c r="K212" s="517"/>
      <c r="L212" s="517" t="s">
        <v>13363</v>
      </c>
      <c r="M212" s="517" t="s">
        <v>170</v>
      </c>
      <c r="N212" s="518" t="s">
        <v>1198</v>
      </c>
      <c r="O212" s="517">
        <v>1</v>
      </c>
      <c r="P212" s="517" t="s">
        <v>647</v>
      </c>
      <c r="Q212" s="517" t="s">
        <v>632</v>
      </c>
      <c r="R212" s="517" t="s">
        <v>671</v>
      </c>
      <c r="S212" s="517" t="s">
        <v>1243</v>
      </c>
      <c r="T212" s="518" t="s">
        <v>1244</v>
      </c>
      <c r="U212" s="38">
        <f t="shared" si="34"/>
        <v>98759.13</v>
      </c>
      <c r="V212" s="15" t="str">
        <f t="shared" si="33"/>
        <v>102010312</v>
      </c>
      <c r="W212" s="39">
        <v>1</v>
      </c>
      <c r="X212" s="40" t="s">
        <v>647</v>
      </c>
      <c r="Y212" s="40" t="s">
        <v>632</v>
      </c>
      <c r="Z212" s="40" t="s">
        <v>671</v>
      </c>
      <c r="AA212" s="40" t="s">
        <v>1243</v>
      </c>
      <c r="AB212" s="42" t="s">
        <v>1244</v>
      </c>
      <c r="AC212" s="519">
        <f>H212</f>
        <v>98759.13</v>
      </c>
      <c r="AD212" s="517">
        <v>0</v>
      </c>
      <c r="AE212" s="517" t="s">
        <v>13363</v>
      </c>
      <c r="AF212" s="517" t="s">
        <v>170</v>
      </c>
      <c r="AG212" s="518" t="s">
        <v>1198</v>
      </c>
      <c r="AH212" s="67">
        <f>AC212</f>
        <v>98759.13</v>
      </c>
      <c r="AI212" s="10"/>
      <c r="AJ212" s="9">
        <f>AH212-H212</f>
        <v>0</v>
      </c>
      <c r="AK212" s="10"/>
      <c r="AL212" s="10"/>
    </row>
    <row r="213" spans="1:38" ht="33.75" hidden="1">
      <c r="A213" s="1">
        <f t="shared" si="35"/>
        <v>0</v>
      </c>
      <c r="B213" s="2" t="s">
        <v>1245</v>
      </c>
      <c r="C213" s="3" t="s">
        <v>1246</v>
      </c>
      <c r="D213" s="15" t="s">
        <v>11429</v>
      </c>
      <c r="E213" s="4" t="s">
        <v>1245</v>
      </c>
      <c r="F213" s="37" t="s">
        <v>1246</v>
      </c>
      <c r="G213" s="38">
        <v>71957.759999999995</v>
      </c>
      <c r="H213" s="38">
        <v>0</v>
      </c>
      <c r="I213" s="15"/>
      <c r="J213" s="494">
        <v>10201031301</v>
      </c>
      <c r="K213" s="517"/>
      <c r="L213" s="517" t="s">
        <v>13363</v>
      </c>
      <c r="M213" s="517" t="s">
        <v>170</v>
      </c>
      <c r="N213" s="518" t="s">
        <v>1198</v>
      </c>
      <c r="O213" s="517">
        <v>1</v>
      </c>
      <c r="P213" s="517" t="s">
        <v>647</v>
      </c>
      <c r="Q213" s="517" t="s">
        <v>632</v>
      </c>
      <c r="R213" s="517" t="s">
        <v>671</v>
      </c>
      <c r="S213" s="517" t="s">
        <v>1247</v>
      </c>
      <c r="T213" s="518" t="s">
        <v>1248</v>
      </c>
      <c r="U213" s="38">
        <f t="shared" si="34"/>
        <v>0</v>
      </c>
      <c r="V213" s="15" t="str">
        <f t="shared" si="33"/>
        <v>102010313</v>
      </c>
      <c r="W213" s="39">
        <v>1</v>
      </c>
      <c r="X213" s="40" t="s">
        <v>647</v>
      </c>
      <c r="Y213" s="40" t="s">
        <v>632</v>
      </c>
      <c r="Z213" s="40" t="s">
        <v>671</v>
      </c>
      <c r="AA213" s="40" t="s">
        <v>1247</v>
      </c>
      <c r="AB213" s="42" t="s">
        <v>1248</v>
      </c>
      <c r="AC213" s="519">
        <f>H213+H214</f>
        <v>2020606.58</v>
      </c>
      <c r="AD213" s="517">
        <v>0</v>
      </c>
      <c r="AE213" s="517" t="s">
        <v>13363</v>
      </c>
      <c r="AF213" s="517" t="s">
        <v>170</v>
      </c>
      <c r="AG213" s="518" t="s">
        <v>1198</v>
      </c>
      <c r="AH213" s="67">
        <f>AC213</f>
        <v>2020606.58</v>
      </c>
      <c r="AI213" s="10"/>
      <c r="AJ213" s="9"/>
      <c r="AK213" s="10"/>
      <c r="AL213" s="10"/>
    </row>
    <row r="214" spans="1:38" ht="22.5" hidden="1">
      <c r="A214" s="1">
        <f t="shared" si="35"/>
        <v>0</v>
      </c>
      <c r="B214" s="2" t="s">
        <v>1249</v>
      </c>
      <c r="C214" s="3" t="s">
        <v>1250</v>
      </c>
      <c r="D214" s="15" t="s">
        <v>11429</v>
      </c>
      <c r="E214" s="4" t="s">
        <v>1249</v>
      </c>
      <c r="F214" s="37" t="s">
        <v>1250</v>
      </c>
      <c r="G214" s="38">
        <v>1919495.1400000001</v>
      </c>
      <c r="H214" s="38">
        <v>2020606.58</v>
      </c>
      <c r="I214" s="15"/>
      <c r="J214" s="494">
        <v>10201031302</v>
      </c>
      <c r="K214" s="517"/>
      <c r="L214" s="517" t="s">
        <v>13363</v>
      </c>
      <c r="M214" s="517" t="s">
        <v>170</v>
      </c>
      <c r="N214" s="518" t="s">
        <v>1198</v>
      </c>
      <c r="O214" s="517">
        <v>1</v>
      </c>
      <c r="P214" s="517" t="s">
        <v>647</v>
      </c>
      <c r="Q214" s="517" t="s">
        <v>632</v>
      </c>
      <c r="R214" s="517" t="s">
        <v>671</v>
      </c>
      <c r="S214" s="517" t="s">
        <v>1247</v>
      </c>
      <c r="T214" s="518" t="s">
        <v>1248</v>
      </c>
      <c r="U214" s="38">
        <f t="shared" si="34"/>
        <v>2020606.58</v>
      </c>
      <c r="V214" s="15" t="str">
        <f t="shared" si="33"/>
        <v>102010313</v>
      </c>
      <c r="W214" s="39">
        <v>1</v>
      </c>
      <c r="X214" s="40" t="s">
        <v>647</v>
      </c>
      <c r="Y214" s="40" t="s">
        <v>632</v>
      </c>
      <c r="Z214" s="40" t="s">
        <v>671</v>
      </c>
      <c r="AA214" s="40" t="s">
        <v>1247</v>
      </c>
      <c r="AB214" s="42" t="s">
        <v>1248</v>
      </c>
      <c r="AC214" s="9"/>
      <c r="AD214" s="517">
        <v>0</v>
      </c>
      <c r="AE214" s="517" t="s">
        <v>13363</v>
      </c>
      <c r="AF214" s="517" t="s">
        <v>170</v>
      </c>
      <c r="AG214" s="520" t="s">
        <v>1198</v>
      </c>
      <c r="AH214" s="9"/>
      <c r="AI214" s="10"/>
      <c r="AJ214" s="9"/>
      <c r="AK214" s="10"/>
      <c r="AL214" s="10"/>
    </row>
    <row r="215" spans="1:38" ht="22.5" hidden="1">
      <c r="A215" s="1">
        <f t="shared" si="35"/>
        <v>0</v>
      </c>
      <c r="B215" s="2" t="s">
        <v>1251</v>
      </c>
      <c r="C215" s="3" t="s">
        <v>1252</v>
      </c>
      <c r="D215" s="15" t="s">
        <v>11430</v>
      </c>
      <c r="E215" s="4" t="s">
        <v>1251</v>
      </c>
      <c r="F215" s="37" t="s">
        <v>1252</v>
      </c>
      <c r="G215" s="38">
        <v>57128.18</v>
      </c>
      <c r="H215" s="38">
        <v>2949323.4</v>
      </c>
      <c r="I215" s="15"/>
      <c r="J215" s="494">
        <v>10201031401</v>
      </c>
      <c r="K215" s="517"/>
      <c r="L215" s="517" t="s">
        <v>13363</v>
      </c>
      <c r="M215" s="517" t="s">
        <v>170</v>
      </c>
      <c r="N215" s="518" t="s">
        <v>1198</v>
      </c>
      <c r="O215" s="517">
        <v>1</v>
      </c>
      <c r="P215" s="517" t="s">
        <v>647</v>
      </c>
      <c r="Q215" s="517" t="s">
        <v>632</v>
      </c>
      <c r="R215" s="517" t="s">
        <v>671</v>
      </c>
      <c r="S215" s="517" t="s">
        <v>1253</v>
      </c>
      <c r="T215" s="518" t="s">
        <v>1254</v>
      </c>
      <c r="U215" s="38">
        <f t="shared" si="34"/>
        <v>2949323.4</v>
      </c>
      <c r="V215" s="15" t="str">
        <f t="shared" si="33"/>
        <v>102010314</v>
      </c>
      <c r="W215" s="39">
        <v>1</v>
      </c>
      <c r="X215" s="40" t="s">
        <v>647</v>
      </c>
      <c r="Y215" s="40" t="s">
        <v>632</v>
      </c>
      <c r="Z215" s="40" t="s">
        <v>671</v>
      </c>
      <c r="AA215" s="40" t="s">
        <v>1253</v>
      </c>
      <c r="AB215" s="42" t="s">
        <v>1254</v>
      </c>
      <c r="AC215" s="519">
        <f>H215</f>
        <v>2949323.4</v>
      </c>
      <c r="AD215" s="517">
        <v>0</v>
      </c>
      <c r="AE215" s="517" t="s">
        <v>13363</v>
      </c>
      <c r="AF215" s="517" t="s">
        <v>170</v>
      </c>
      <c r="AG215" s="518" t="s">
        <v>1198</v>
      </c>
      <c r="AH215" s="67">
        <f t="shared" ref="AH215:AH227" si="36">AC215</f>
        <v>2949323.4</v>
      </c>
      <c r="AI215" s="10"/>
      <c r="AJ215" s="9">
        <f t="shared" ref="AJ215:AJ226" si="37">AH215-H215</f>
        <v>0</v>
      </c>
      <c r="AK215" s="10"/>
      <c r="AL215" s="10"/>
    </row>
    <row r="216" spans="1:38" ht="33.75" hidden="1">
      <c r="A216" s="1">
        <f t="shared" si="35"/>
        <v>0</v>
      </c>
      <c r="B216" s="2" t="s">
        <v>1255</v>
      </c>
      <c r="C216" s="3" t="s">
        <v>1256</v>
      </c>
      <c r="D216" s="15" t="s">
        <v>11431</v>
      </c>
      <c r="E216" s="4" t="s">
        <v>1255</v>
      </c>
      <c r="F216" s="37" t="s">
        <v>1256</v>
      </c>
      <c r="G216" s="38">
        <v>8555.89</v>
      </c>
      <c r="H216" s="38">
        <v>719433.98</v>
      </c>
      <c r="I216" s="15"/>
      <c r="J216" s="494">
        <v>10201031501</v>
      </c>
      <c r="K216" s="517"/>
      <c r="L216" s="517" t="s">
        <v>13363</v>
      </c>
      <c r="M216" s="517" t="s">
        <v>170</v>
      </c>
      <c r="N216" s="518" t="s">
        <v>1198</v>
      </c>
      <c r="O216" s="517">
        <v>1</v>
      </c>
      <c r="P216" s="517" t="s">
        <v>647</v>
      </c>
      <c r="Q216" s="517" t="s">
        <v>632</v>
      </c>
      <c r="R216" s="517" t="s">
        <v>671</v>
      </c>
      <c r="S216" s="517" t="s">
        <v>1257</v>
      </c>
      <c r="T216" s="518" t="s">
        <v>1258</v>
      </c>
      <c r="U216" s="38">
        <f t="shared" si="34"/>
        <v>719433.98</v>
      </c>
      <c r="V216" s="15" t="str">
        <f t="shared" si="33"/>
        <v>102010315</v>
      </c>
      <c r="W216" s="39">
        <v>1</v>
      </c>
      <c r="X216" s="40" t="s">
        <v>647</v>
      </c>
      <c r="Y216" s="40" t="s">
        <v>632</v>
      </c>
      <c r="Z216" s="40" t="s">
        <v>671</v>
      </c>
      <c r="AA216" s="40" t="s">
        <v>1257</v>
      </c>
      <c r="AB216" s="42" t="s">
        <v>1258</v>
      </c>
      <c r="AC216" s="519">
        <f>H216</f>
        <v>719433.98</v>
      </c>
      <c r="AD216" s="517">
        <v>0</v>
      </c>
      <c r="AE216" s="517" t="s">
        <v>13363</v>
      </c>
      <c r="AF216" s="517" t="s">
        <v>170</v>
      </c>
      <c r="AG216" s="518" t="s">
        <v>1198</v>
      </c>
      <c r="AH216" s="67">
        <f t="shared" si="36"/>
        <v>719433.98</v>
      </c>
      <c r="AI216" s="10"/>
      <c r="AJ216" s="9">
        <f t="shared" si="37"/>
        <v>0</v>
      </c>
      <c r="AK216" s="10"/>
      <c r="AL216" s="10"/>
    </row>
    <row r="217" spans="1:38" hidden="1">
      <c r="A217" s="1">
        <f t="shared" si="35"/>
        <v>0</v>
      </c>
      <c r="C217" s="3" t="s">
        <v>1259</v>
      </c>
      <c r="D217" s="15" t="s">
        <v>16</v>
      </c>
      <c r="E217" s="30"/>
      <c r="F217" s="31" t="s">
        <v>125</v>
      </c>
      <c r="G217" s="32">
        <f>G218</f>
        <v>8555.89</v>
      </c>
      <c r="H217" s="32">
        <f>H218</f>
        <v>2148.77</v>
      </c>
      <c r="I217" s="15"/>
      <c r="J217" s="494"/>
      <c r="K217" s="513"/>
      <c r="L217" s="513"/>
      <c r="M217" s="513"/>
      <c r="N217" s="514"/>
      <c r="O217" s="513"/>
      <c r="P217" s="513"/>
      <c r="Q217" s="513"/>
      <c r="R217" s="513"/>
      <c r="S217" s="513"/>
      <c r="T217" s="514"/>
      <c r="U217" s="32">
        <f>U218</f>
        <v>2148.77</v>
      </c>
      <c r="V217" s="15" t="str">
        <f t="shared" si="33"/>
        <v>102010400</v>
      </c>
      <c r="W217" s="33">
        <v>1</v>
      </c>
      <c r="X217" s="34" t="s">
        <v>647</v>
      </c>
      <c r="Y217" s="34" t="s">
        <v>632</v>
      </c>
      <c r="Z217" s="35" t="s">
        <v>693</v>
      </c>
      <c r="AA217" s="35" t="s">
        <v>630</v>
      </c>
      <c r="AB217" s="31" t="s">
        <v>125</v>
      </c>
      <c r="AC217" s="529">
        <f>AC218</f>
        <v>2148.77</v>
      </c>
      <c r="AD217" s="513">
        <v>0</v>
      </c>
      <c r="AE217" s="513" t="s">
        <v>13365</v>
      </c>
      <c r="AF217" s="513" t="s">
        <v>171</v>
      </c>
      <c r="AG217" s="514" t="s">
        <v>13366</v>
      </c>
      <c r="AH217" s="545">
        <f t="shared" si="36"/>
        <v>2148.77</v>
      </c>
      <c r="AI217" s="10"/>
      <c r="AJ217" s="9">
        <f t="shared" si="37"/>
        <v>0</v>
      </c>
      <c r="AK217" s="10"/>
      <c r="AL217" s="10"/>
    </row>
    <row r="218" spans="1:38" ht="22.5" hidden="1">
      <c r="A218" s="1">
        <f t="shared" si="35"/>
        <v>0</v>
      </c>
      <c r="B218" s="2" t="s">
        <v>1260</v>
      </c>
      <c r="C218" s="3" t="s">
        <v>1261</v>
      </c>
      <c r="D218" s="15" t="s">
        <v>11432</v>
      </c>
      <c r="E218" s="4" t="s">
        <v>1260</v>
      </c>
      <c r="F218" s="37" t="s">
        <v>1261</v>
      </c>
      <c r="G218" s="38">
        <v>8555.89</v>
      </c>
      <c r="H218" s="38">
        <v>2148.77</v>
      </c>
      <c r="I218" s="15"/>
      <c r="J218" s="494">
        <v>10201040101</v>
      </c>
      <c r="K218" s="517"/>
      <c r="L218" s="517" t="s">
        <v>13365</v>
      </c>
      <c r="M218" s="517" t="s">
        <v>171</v>
      </c>
      <c r="N218" s="518" t="s">
        <v>1263</v>
      </c>
      <c r="O218" s="517">
        <v>1</v>
      </c>
      <c r="P218" s="517" t="s">
        <v>647</v>
      </c>
      <c r="Q218" s="517" t="s">
        <v>632</v>
      </c>
      <c r="R218" s="517" t="s">
        <v>693</v>
      </c>
      <c r="S218" s="517" t="s">
        <v>632</v>
      </c>
      <c r="T218" s="518" t="s">
        <v>1262</v>
      </c>
      <c r="U218" s="38">
        <f t="shared" si="34"/>
        <v>2148.77</v>
      </c>
      <c r="V218" s="15" t="str">
        <f t="shared" si="33"/>
        <v>102010401</v>
      </c>
      <c r="W218" s="39">
        <v>1</v>
      </c>
      <c r="X218" s="40" t="s">
        <v>647</v>
      </c>
      <c r="Y218" s="40" t="s">
        <v>632</v>
      </c>
      <c r="Z218" s="40" t="s">
        <v>693</v>
      </c>
      <c r="AA218" s="40" t="s">
        <v>632</v>
      </c>
      <c r="AB218" s="42" t="s">
        <v>1262</v>
      </c>
      <c r="AC218" s="9">
        <f>H218</f>
        <v>2148.77</v>
      </c>
      <c r="AD218" s="517">
        <v>0</v>
      </c>
      <c r="AE218" s="517" t="s">
        <v>13365</v>
      </c>
      <c r="AF218" s="517" t="s">
        <v>171</v>
      </c>
      <c r="AG218" s="518" t="s">
        <v>1263</v>
      </c>
      <c r="AH218" s="67">
        <f t="shared" si="36"/>
        <v>2148.77</v>
      </c>
      <c r="AI218" s="10"/>
      <c r="AJ218" s="9">
        <f t="shared" si="37"/>
        <v>0</v>
      </c>
      <c r="AK218" s="10"/>
      <c r="AL218" s="10"/>
    </row>
    <row r="219" spans="1:38" ht="22.5" hidden="1">
      <c r="A219" s="1">
        <f t="shared" si="35"/>
        <v>0</v>
      </c>
      <c r="C219" s="3" t="s">
        <v>1264</v>
      </c>
      <c r="D219" s="15" t="s">
        <v>16</v>
      </c>
      <c r="E219" s="30"/>
      <c r="F219" s="31" t="s">
        <v>126</v>
      </c>
      <c r="G219" s="32">
        <f>G220</f>
        <v>0</v>
      </c>
      <c r="H219" s="32">
        <f>H220</f>
        <v>0</v>
      </c>
      <c r="I219" s="15"/>
      <c r="J219" s="494"/>
      <c r="K219" s="513"/>
      <c r="L219" s="513"/>
      <c r="M219" s="513"/>
      <c r="N219" s="514"/>
      <c r="O219" s="513"/>
      <c r="P219" s="513"/>
      <c r="Q219" s="513"/>
      <c r="R219" s="513"/>
      <c r="S219" s="513"/>
      <c r="T219" s="514"/>
      <c r="U219" s="32">
        <f>U220</f>
        <v>0</v>
      </c>
      <c r="V219" s="15" t="str">
        <f t="shared" si="33"/>
        <v>102010500</v>
      </c>
      <c r="W219" s="33">
        <v>1</v>
      </c>
      <c r="X219" s="34" t="s">
        <v>647</v>
      </c>
      <c r="Y219" s="34" t="s">
        <v>632</v>
      </c>
      <c r="Z219" s="35" t="s">
        <v>714</v>
      </c>
      <c r="AA219" s="35" t="s">
        <v>630</v>
      </c>
      <c r="AB219" s="31" t="s">
        <v>126</v>
      </c>
      <c r="AC219" s="529">
        <f>AC220</f>
        <v>0</v>
      </c>
      <c r="AD219" s="513">
        <v>0</v>
      </c>
      <c r="AE219" s="513" t="s">
        <v>13367</v>
      </c>
      <c r="AF219" s="513" t="s">
        <v>172</v>
      </c>
      <c r="AG219" s="514" t="s">
        <v>13368</v>
      </c>
      <c r="AH219" s="545">
        <f t="shared" si="36"/>
        <v>0</v>
      </c>
      <c r="AI219" s="10"/>
      <c r="AJ219" s="9">
        <f t="shared" si="37"/>
        <v>0</v>
      </c>
      <c r="AK219" s="10"/>
      <c r="AL219" s="10"/>
    </row>
    <row r="220" spans="1:38" ht="22.5" hidden="1">
      <c r="A220" s="1">
        <f t="shared" si="35"/>
        <v>0</v>
      </c>
      <c r="B220" s="2" t="s">
        <v>1265</v>
      </c>
      <c r="C220" s="3" t="s">
        <v>1266</v>
      </c>
      <c r="D220" s="15" t="s">
        <v>11433</v>
      </c>
      <c r="E220" s="4" t="s">
        <v>1265</v>
      </c>
      <c r="F220" s="37" t="s">
        <v>1266</v>
      </c>
      <c r="G220" s="38">
        <v>0</v>
      </c>
      <c r="H220" s="38">
        <v>0</v>
      </c>
      <c r="I220" s="15"/>
      <c r="J220" s="494">
        <v>10201050101</v>
      </c>
      <c r="K220" s="517"/>
      <c r="L220" s="517" t="s">
        <v>13367</v>
      </c>
      <c r="M220" s="517" t="s">
        <v>172</v>
      </c>
      <c r="N220" s="518" t="s">
        <v>1268</v>
      </c>
      <c r="O220" s="517">
        <v>1</v>
      </c>
      <c r="P220" s="517" t="s">
        <v>647</v>
      </c>
      <c r="Q220" s="517" t="s">
        <v>632</v>
      </c>
      <c r="R220" s="517" t="s">
        <v>714</v>
      </c>
      <c r="S220" s="517" t="s">
        <v>632</v>
      </c>
      <c r="T220" s="518" t="s">
        <v>1267</v>
      </c>
      <c r="U220" s="38">
        <f t="shared" si="34"/>
        <v>0</v>
      </c>
      <c r="V220" s="15" t="str">
        <f t="shared" si="33"/>
        <v>102010501</v>
      </c>
      <c r="W220" s="39">
        <v>1</v>
      </c>
      <c r="X220" s="40" t="s">
        <v>647</v>
      </c>
      <c r="Y220" s="40" t="s">
        <v>632</v>
      </c>
      <c r="Z220" s="40" t="s">
        <v>714</v>
      </c>
      <c r="AA220" s="40" t="s">
        <v>632</v>
      </c>
      <c r="AB220" s="42" t="s">
        <v>1267</v>
      </c>
      <c r="AC220" s="9">
        <f>H220</f>
        <v>0</v>
      </c>
      <c r="AD220" s="517">
        <v>0</v>
      </c>
      <c r="AE220" s="517" t="s">
        <v>13367</v>
      </c>
      <c r="AF220" s="517" t="s">
        <v>172</v>
      </c>
      <c r="AG220" s="518" t="s">
        <v>1268</v>
      </c>
      <c r="AH220" s="67">
        <f t="shared" si="36"/>
        <v>0</v>
      </c>
      <c r="AI220" s="10"/>
      <c r="AJ220" s="9">
        <f t="shared" si="37"/>
        <v>0</v>
      </c>
      <c r="AK220" s="10"/>
      <c r="AL220" s="10"/>
    </row>
    <row r="221" spans="1:38" hidden="1">
      <c r="A221" s="1">
        <f t="shared" si="35"/>
        <v>0</v>
      </c>
      <c r="C221" s="3" t="s">
        <v>1269</v>
      </c>
      <c r="D221" s="15" t="s">
        <v>16</v>
      </c>
      <c r="E221" s="30"/>
      <c r="F221" s="31" t="s">
        <v>127</v>
      </c>
      <c r="G221" s="32">
        <f>G222</f>
        <v>0</v>
      </c>
      <c r="H221" s="32">
        <f>H222</f>
        <v>0</v>
      </c>
      <c r="I221" s="15"/>
      <c r="J221" s="494"/>
      <c r="K221" s="513"/>
      <c r="L221" s="513"/>
      <c r="M221" s="513"/>
      <c r="N221" s="514"/>
      <c r="O221" s="513"/>
      <c r="P221" s="513"/>
      <c r="Q221" s="513"/>
      <c r="R221" s="513"/>
      <c r="S221" s="513"/>
      <c r="T221" s="514"/>
      <c r="U221" s="32">
        <f>U222</f>
        <v>0</v>
      </c>
      <c r="V221" s="15" t="str">
        <f t="shared" si="33"/>
        <v>102010600</v>
      </c>
      <c r="W221" s="33">
        <v>1</v>
      </c>
      <c r="X221" s="34" t="s">
        <v>647</v>
      </c>
      <c r="Y221" s="34" t="s">
        <v>632</v>
      </c>
      <c r="Z221" s="35" t="s">
        <v>739</v>
      </c>
      <c r="AA221" s="35" t="s">
        <v>630</v>
      </c>
      <c r="AB221" s="31" t="s">
        <v>127</v>
      </c>
      <c r="AC221" s="529">
        <f>AC222</f>
        <v>0</v>
      </c>
      <c r="AD221" s="513">
        <v>0</v>
      </c>
      <c r="AE221" s="513" t="s">
        <v>13369</v>
      </c>
      <c r="AF221" s="513" t="s">
        <v>173</v>
      </c>
      <c r="AG221" s="514" t="s">
        <v>13370</v>
      </c>
      <c r="AH221" s="545">
        <f t="shared" si="36"/>
        <v>0</v>
      </c>
      <c r="AI221" s="10"/>
      <c r="AJ221" s="9">
        <f t="shared" si="37"/>
        <v>0</v>
      </c>
      <c r="AK221" s="10"/>
      <c r="AL221" s="10"/>
    </row>
    <row r="222" spans="1:38" ht="22.5" hidden="1">
      <c r="A222" s="1">
        <f t="shared" si="35"/>
        <v>0</v>
      </c>
      <c r="B222" s="2" t="s">
        <v>1270</v>
      </c>
      <c r="C222" s="3" t="s">
        <v>1271</v>
      </c>
      <c r="D222" s="15" t="s">
        <v>11434</v>
      </c>
      <c r="E222" s="4" t="s">
        <v>1270</v>
      </c>
      <c r="F222" s="37" t="s">
        <v>1271</v>
      </c>
      <c r="G222" s="38">
        <v>0</v>
      </c>
      <c r="H222" s="38">
        <v>0</v>
      </c>
      <c r="I222" s="15"/>
      <c r="J222" s="494">
        <v>10201060101</v>
      </c>
      <c r="K222" s="517"/>
      <c r="L222" s="517" t="s">
        <v>13369</v>
      </c>
      <c r="M222" s="517" t="s">
        <v>173</v>
      </c>
      <c r="N222" s="518" t="s">
        <v>1273</v>
      </c>
      <c r="O222" s="517">
        <v>1</v>
      </c>
      <c r="P222" s="517" t="s">
        <v>647</v>
      </c>
      <c r="Q222" s="517" t="s">
        <v>632</v>
      </c>
      <c r="R222" s="517" t="s">
        <v>739</v>
      </c>
      <c r="S222" s="517" t="s">
        <v>632</v>
      </c>
      <c r="T222" s="518" t="s">
        <v>1272</v>
      </c>
      <c r="U222" s="38">
        <f t="shared" si="34"/>
        <v>0</v>
      </c>
      <c r="V222" s="15" t="str">
        <f t="shared" si="33"/>
        <v>102010601</v>
      </c>
      <c r="W222" s="39">
        <v>1</v>
      </c>
      <c r="X222" s="40" t="s">
        <v>647</v>
      </c>
      <c r="Y222" s="40" t="s">
        <v>632</v>
      </c>
      <c r="Z222" s="40" t="s">
        <v>739</v>
      </c>
      <c r="AA222" s="40" t="s">
        <v>632</v>
      </c>
      <c r="AB222" s="42" t="s">
        <v>1272</v>
      </c>
      <c r="AC222" s="9">
        <f>H222</f>
        <v>0</v>
      </c>
      <c r="AD222" s="517">
        <v>0</v>
      </c>
      <c r="AE222" s="517" t="s">
        <v>13369</v>
      </c>
      <c r="AF222" s="517" t="s">
        <v>173</v>
      </c>
      <c r="AG222" s="518" t="s">
        <v>1273</v>
      </c>
      <c r="AH222" s="67">
        <f t="shared" si="36"/>
        <v>0</v>
      </c>
      <c r="AI222" s="10"/>
      <c r="AJ222" s="9">
        <f t="shared" si="37"/>
        <v>0</v>
      </c>
      <c r="AK222" s="10"/>
      <c r="AL222" s="10"/>
    </row>
    <row r="223" spans="1:38" ht="33.75" hidden="1">
      <c r="A223" s="1">
        <f t="shared" si="35"/>
        <v>0</v>
      </c>
      <c r="C223" s="3" t="s">
        <v>1274</v>
      </c>
      <c r="D223" s="15" t="s">
        <v>16</v>
      </c>
      <c r="E223" s="30"/>
      <c r="F223" s="31" t="s">
        <v>128</v>
      </c>
      <c r="G223" s="32">
        <f>SUM(G224:G225)</f>
        <v>0</v>
      </c>
      <c r="H223" s="32">
        <f>SUM(H224:H225)</f>
        <v>0</v>
      </c>
      <c r="I223" s="15"/>
      <c r="J223" s="494"/>
      <c r="K223" s="513"/>
      <c r="L223" s="513"/>
      <c r="M223" s="513"/>
      <c r="N223" s="514"/>
      <c r="O223" s="513"/>
      <c r="P223" s="513"/>
      <c r="Q223" s="513"/>
      <c r="R223" s="513"/>
      <c r="S223" s="513"/>
      <c r="T223" s="514"/>
      <c r="U223" s="32">
        <f>SUM(U224:U225)</f>
        <v>0</v>
      </c>
      <c r="V223" s="15" t="str">
        <f t="shared" si="33"/>
        <v>102010700</v>
      </c>
      <c r="W223" s="33">
        <v>1</v>
      </c>
      <c r="X223" s="34" t="s">
        <v>647</v>
      </c>
      <c r="Y223" s="34" t="s">
        <v>632</v>
      </c>
      <c r="Z223" s="35" t="s">
        <v>755</v>
      </c>
      <c r="AA223" s="35" t="s">
        <v>630</v>
      </c>
      <c r="AB223" s="31" t="s">
        <v>128</v>
      </c>
      <c r="AC223" s="529">
        <f>SUM(AC224:AC225)</f>
        <v>0</v>
      </c>
      <c r="AD223" s="513">
        <v>0</v>
      </c>
      <c r="AE223" s="513" t="s">
        <v>13371</v>
      </c>
      <c r="AF223" s="513" t="s">
        <v>174</v>
      </c>
      <c r="AG223" s="514" t="s">
        <v>13372</v>
      </c>
      <c r="AH223" s="545">
        <f t="shared" si="36"/>
        <v>0</v>
      </c>
      <c r="AI223" s="10"/>
      <c r="AJ223" s="9">
        <f t="shared" si="37"/>
        <v>0</v>
      </c>
      <c r="AK223" s="10"/>
      <c r="AL223" s="10"/>
    </row>
    <row r="224" spans="1:38" ht="22.5" hidden="1">
      <c r="A224" s="1">
        <f t="shared" si="35"/>
        <v>0</v>
      </c>
      <c r="B224" s="2" t="s">
        <v>1275</v>
      </c>
      <c r="C224" s="3" t="s">
        <v>1276</v>
      </c>
      <c r="D224" s="15" t="s">
        <v>11435</v>
      </c>
      <c r="E224" s="4" t="s">
        <v>1275</v>
      </c>
      <c r="F224" s="37" t="s">
        <v>1276</v>
      </c>
      <c r="G224" s="38">
        <v>0</v>
      </c>
      <c r="H224" s="38">
        <v>0</v>
      </c>
      <c r="I224" s="15"/>
      <c r="J224" s="494">
        <v>10201070101</v>
      </c>
      <c r="K224" s="517"/>
      <c r="L224" s="517" t="s">
        <v>13371</v>
      </c>
      <c r="M224" s="517" t="s">
        <v>174</v>
      </c>
      <c r="N224" s="518" t="s">
        <v>1278</v>
      </c>
      <c r="O224" s="517">
        <v>1</v>
      </c>
      <c r="P224" s="517" t="s">
        <v>647</v>
      </c>
      <c r="Q224" s="517" t="s">
        <v>632</v>
      </c>
      <c r="R224" s="517" t="s">
        <v>755</v>
      </c>
      <c r="S224" s="517" t="s">
        <v>632</v>
      </c>
      <c r="T224" s="518" t="s">
        <v>1277</v>
      </c>
      <c r="U224" s="38">
        <f t="shared" si="34"/>
        <v>0</v>
      </c>
      <c r="V224" s="15" t="str">
        <f t="shared" si="33"/>
        <v>102010701</v>
      </c>
      <c r="W224" s="39">
        <v>1</v>
      </c>
      <c r="X224" s="40" t="s">
        <v>647</v>
      </c>
      <c r="Y224" s="40" t="s">
        <v>632</v>
      </c>
      <c r="Z224" s="40" t="s">
        <v>755</v>
      </c>
      <c r="AA224" s="40" t="s">
        <v>632</v>
      </c>
      <c r="AB224" s="42" t="s">
        <v>1277</v>
      </c>
      <c r="AC224" s="519">
        <f>H224</f>
        <v>0</v>
      </c>
      <c r="AD224" s="517">
        <v>0</v>
      </c>
      <c r="AE224" s="517" t="s">
        <v>13371</v>
      </c>
      <c r="AF224" s="517" t="s">
        <v>174</v>
      </c>
      <c r="AG224" s="518" t="s">
        <v>1278</v>
      </c>
      <c r="AH224" s="67">
        <f t="shared" si="36"/>
        <v>0</v>
      </c>
      <c r="AI224" s="10"/>
      <c r="AJ224" s="9">
        <f t="shared" si="37"/>
        <v>0</v>
      </c>
      <c r="AK224" s="10"/>
      <c r="AL224" s="10"/>
    </row>
    <row r="225" spans="1:38" ht="33.75" hidden="1">
      <c r="A225" s="1">
        <f t="shared" si="35"/>
        <v>0</v>
      </c>
      <c r="B225" s="2" t="s">
        <v>1279</v>
      </c>
      <c r="C225" s="3" t="s">
        <v>1280</v>
      </c>
      <c r="D225" s="15" t="s">
        <v>11436</v>
      </c>
      <c r="E225" s="4" t="s">
        <v>1279</v>
      </c>
      <c r="F225" s="37" t="s">
        <v>1280</v>
      </c>
      <c r="G225" s="38">
        <v>0</v>
      </c>
      <c r="H225" s="38">
        <v>0</v>
      </c>
      <c r="I225" s="15"/>
      <c r="J225" s="494">
        <v>10201070201</v>
      </c>
      <c r="K225" s="517"/>
      <c r="L225" s="517" t="s">
        <v>13371</v>
      </c>
      <c r="M225" s="517" t="s">
        <v>174</v>
      </c>
      <c r="N225" s="518" t="s">
        <v>1278</v>
      </c>
      <c r="O225" s="517">
        <v>1</v>
      </c>
      <c r="P225" s="517" t="s">
        <v>647</v>
      </c>
      <c r="Q225" s="517" t="s">
        <v>632</v>
      </c>
      <c r="R225" s="517" t="s">
        <v>755</v>
      </c>
      <c r="S225" s="517" t="s">
        <v>647</v>
      </c>
      <c r="T225" s="518" t="s">
        <v>1281</v>
      </c>
      <c r="U225" s="38">
        <f t="shared" si="34"/>
        <v>0</v>
      </c>
      <c r="V225" s="15" t="str">
        <f t="shared" si="33"/>
        <v>102010702</v>
      </c>
      <c r="W225" s="39">
        <v>1</v>
      </c>
      <c r="X225" s="40" t="s">
        <v>647</v>
      </c>
      <c r="Y225" s="40" t="s">
        <v>632</v>
      </c>
      <c r="Z225" s="40" t="s">
        <v>755</v>
      </c>
      <c r="AA225" s="40" t="s">
        <v>647</v>
      </c>
      <c r="AB225" s="42" t="s">
        <v>1281</v>
      </c>
      <c r="AC225" s="519">
        <f>H225</f>
        <v>0</v>
      </c>
      <c r="AD225" s="517">
        <v>0</v>
      </c>
      <c r="AE225" s="517" t="s">
        <v>13371</v>
      </c>
      <c r="AF225" s="517" t="s">
        <v>174</v>
      </c>
      <c r="AG225" s="518" t="s">
        <v>1278</v>
      </c>
      <c r="AH225" s="67">
        <f t="shared" si="36"/>
        <v>0</v>
      </c>
      <c r="AI225" s="10"/>
      <c r="AJ225" s="9">
        <f t="shared" si="37"/>
        <v>0</v>
      </c>
      <c r="AK225" s="10"/>
      <c r="AL225" s="10"/>
    </row>
    <row r="226" spans="1:38" ht="22.5" hidden="1">
      <c r="A226" s="1">
        <f t="shared" si="35"/>
        <v>0</v>
      </c>
      <c r="C226" s="3" t="s">
        <v>1282</v>
      </c>
      <c r="D226" s="15" t="s">
        <v>16</v>
      </c>
      <c r="E226" s="30"/>
      <c r="F226" s="31" t="s">
        <v>1283</v>
      </c>
      <c r="G226" s="32">
        <f>SUM(G227:G230)</f>
        <v>634596.98</v>
      </c>
      <c r="H226" s="32">
        <f>SUM(H227:H229)</f>
        <v>1848621.5799999998</v>
      </c>
      <c r="I226" s="15"/>
      <c r="J226" s="494"/>
      <c r="K226" s="513"/>
      <c r="L226" s="513"/>
      <c r="M226" s="513"/>
      <c r="N226" s="514"/>
      <c r="O226" s="513"/>
      <c r="P226" s="513"/>
      <c r="Q226" s="513"/>
      <c r="R226" s="513"/>
      <c r="S226" s="513"/>
      <c r="T226" s="514"/>
      <c r="U226" s="32">
        <f>SUM(U227:U229)</f>
        <v>1848621.5799999998</v>
      </c>
      <c r="V226" s="15" t="str">
        <f t="shared" si="33"/>
        <v>102010800</v>
      </c>
      <c r="W226" s="33">
        <v>1</v>
      </c>
      <c r="X226" s="34" t="s">
        <v>647</v>
      </c>
      <c r="Y226" s="34" t="s">
        <v>632</v>
      </c>
      <c r="Z226" s="35" t="s">
        <v>766</v>
      </c>
      <c r="AA226" s="35" t="s">
        <v>630</v>
      </c>
      <c r="AB226" s="31" t="s">
        <v>1283</v>
      </c>
      <c r="AC226" s="529">
        <f>SUM(AC227:AC230)</f>
        <v>1848621.5799999998</v>
      </c>
      <c r="AD226" s="513">
        <v>0</v>
      </c>
      <c r="AE226" s="513" t="s">
        <v>13373</v>
      </c>
      <c r="AF226" s="513" t="s">
        <v>175</v>
      </c>
      <c r="AG226" s="514" t="s">
        <v>13374</v>
      </c>
      <c r="AH226" s="545">
        <f t="shared" si="36"/>
        <v>1848621.5799999998</v>
      </c>
      <c r="AI226" s="10"/>
      <c r="AJ226" s="9">
        <f t="shared" si="37"/>
        <v>0</v>
      </c>
      <c r="AK226" s="10"/>
      <c r="AL226" s="10"/>
    </row>
    <row r="227" spans="1:38" ht="33.75" hidden="1">
      <c r="A227" s="1">
        <f t="shared" si="35"/>
        <v>0</v>
      </c>
      <c r="B227" s="2" t="s">
        <v>1284</v>
      </c>
      <c r="C227" s="3" t="s">
        <v>1285</v>
      </c>
      <c r="D227" s="15" t="s">
        <v>11437</v>
      </c>
      <c r="E227" s="4" t="s">
        <v>1284</v>
      </c>
      <c r="F227" s="37" t="s">
        <v>1285</v>
      </c>
      <c r="G227" s="38">
        <v>0</v>
      </c>
      <c r="H227" s="38">
        <v>0</v>
      </c>
      <c r="I227" s="15"/>
      <c r="J227" s="494">
        <v>10201080101</v>
      </c>
      <c r="K227" s="517"/>
      <c r="L227" s="517" t="s">
        <v>13373</v>
      </c>
      <c r="M227" s="517" t="s">
        <v>175</v>
      </c>
      <c r="N227" s="518" t="s">
        <v>1287</v>
      </c>
      <c r="O227" s="517">
        <v>1</v>
      </c>
      <c r="P227" s="517" t="s">
        <v>647</v>
      </c>
      <c r="Q227" s="517" t="s">
        <v>632</v>
      </c>
      <c r="R227" s="517" t="s">
        <v>766</v>
      </c>
      <c r="S227" s="517" t="s">
        <v>632</v>
      </c>
      <c r="T227" s="518" t="s">
        <v>1286</v>
      </c>
      <c r="U227" s="38">
        <f t="shared" si="34"/>
        <v>0</v>
      </c>
      <c r="V227" s="15" t="str">
        <f t="shared" si="33"/>
        <v>102010801</v>
      </c>
      <c r="W227" s="39">
        <v>1</v>
      </c>
      <c r="X227" s="40" t="s">
        <v>647</v>
      </c>
      <c r="Y227" s="40" t="s">
        <v>632</v>
      </c>
      <c r="Z227" s="50" t="str">
        <f>Z226</f>
        <v>08</v>
      </c>
      <c r="AA227" s="40" t="s">
        <v>632</v>
      </c>
      <c r="AB227" s="42" t="s">
        <v>1286</v>
      </c>
      <c r="AC227" s="519">
        <f>SUM(H227:H229)</f>
        <v>1848621.5799999998</v>
      </c>
      <c r="AD227" s="517">
        <v>0</v>
      </c>
      <c r="AE227" s="517" t="s">
        <v>13373</v>
      </c>
      <c r="AF227" s="517" t="s">
        <v>175</v>
      </c>
      <c r="AG227" s="518" t="s">
        <v>1287</v>
      </c>
      <c r="AH227" s="67">
        <f t="shared" si="36"/>
        <v>1848621.5799999998</v>
      </c>
      <c r="AI227" s="10"/>
      <c r="AJ227" s="9"/>
      <c r="AK227" s="10"/>
      <c r="AL227" s="10"/>
    </row>
    <row r="228" spans="1:38" ht="22.5" hidden="1">
      <c r="A228" s="1">
        <f t="shared" si="35"/>
        <v>0</v>
      </c>
      <c r="B228" s="2" t="s">
        <v>1288</v>
      </c>
      <c r="C228" s="3" t="s">
        <v>1289</v>
      </c>
      <c r="D228" s="15" t="s">
        <v>11437</v>
      </c>
      <c r="E228" s="4" t="s">
        <v>1288</v>
      </c>
      <c r="F228" s="37" t="s">
        <v>1289</v>
      </c>
      <c r="G228" s="38">
        <v>634596.98</v>
      </c>
      <c r="H228" s="38">
        <v>1244356.3899999999</v>
      </c>
      <c r="I228" s="15"/>
      <c r="J228" s="494">
        <v>10201080102</v>
      </c>
      <c r="K228" s="517"/>
      <c r="L228" s="517" t="s">
        <v>13373</v>
      </c>
      <c r="M228" s="517" t="s">
        <v>175</v>
      </c>
      <c r="N228" s="518" t="s">
        <v>1287</v>
      </c>
      <c r="O228" s="517">
        <v>1</v>
      </c>
      <c r="P228" s="517" t="s">
        <v>647</v>
      </c>
      <c r="Q228" s="517" t="s">
        <v>632</v>
      </c>
      <c r="R228" s="517" t="s">
        <v>766</v>
      </c>
      <c r="S228" s="517" t="s">
        <v>632</v>
      </c>
      <c r="T228" s="518" t="s">
        <v>1286</v>
      </c>
      <c r="U228" s="38">
        <f t="shared" si="34"/>
        <v>1244356.3899999999</v>
      </c>
      <c r="V228" s="15" t="str">
        <f t="shared" si="33"/>
        <v>102010801</v>
      </c>
      <c r="W228" s="39">
        <v>1</v>
      </c>
      <c r="X228" s="40" t="s">
        <v>647</v>
      </c>
      <c r="Y228" s="40" t="s">
        <v>632</v>
      </c>
      <c r="Z228" s="50" t="str">
        <f t="shared" ref="Z228:Z230" si="38">Z227</f>
        <v>08</v>
      </c>
      <c r="AA228" s="40" t="s">
        <v>632</v>
      </c>
      <c r="AB228" s="42" t="s">
        <v>1286</v>
      </c>
      <c r="AC228" s="9"/>
      <c r="AD228" s="517">
        <v>0</v>
      </c>
      <c r="AE228" s="517" t="s">
        <v>13373</v>
      </c>
      <c r="AF228" s="517" t="s">
        <v>175</v>
      </c>
      <c r="AG228" s="520" t="s">
        <v>1287</v>
      </c>
      <c r="AH228" s="9"/>
      <c r="AI228" s="10"/>
      <c r="AJ228" s="9"/>
      <c r="AK228" s="10"/>
      <c r="AL228" s="10"/>
    </row>
    <row r="229" spans="1:38" ht="33.75" hidden="1">
      <c r="A229" s="1">
        <f t="shared" si="35"/>
        <v>0</v>
      </c>
      <c r="B229" s="2" t="s">
        <v>1290</v>
      </c>
      <c r="C229" s="3" t="s">
        <v>1291</v>
      </c>
      <c r="D229" s="15" t="s">
        <v>11437</v>
      </c>
      <c r="E229" s="4" t="s">
        <v>1290</v>
      </c>
      <c r="F229" s="37" t="s">
        <v>1291</v>
      </c>
      <c r="G229" s="38">
        <v>0</v>
      </c>
      <c r="H229" s="38">
        <v>604265.18999999994</v>
      </c>
      <c r="I229" s="15"/>
      <c r="J229" s="494">
        <v>10201080103</v>
      </c>
      <c r="K229" s="517"/>
      <c r="L229" s="517" t="s">
        <v>13373</v>
      </c>
      <c r="M229" s="517" t="s">
        <v>175</v>
      </c>
      <c r="N229" s="518" t="s">
        <v>1287</v>
      </c>
      <c r="O229" s="517">
        <v>1</v>
      </c>
      <c r="P229" s="517" t="s">
        <v>647</v>
      </c>
      <c r="Q229" s="517" t="s">
        <v>632</v>
      </c>
      <c r="R229" s="517" t="s">
        <v>766</v>
      </c>
      <c r="S229" s="517" t="s">
        <v>632</v>
      </c>
      <c r="T229" s="518" t="s">
        <v>1286</v>
      </c>
      <c r="U229" s="38">
        <f t="shared" si="34"/>
        <v>604265.18999999994</v>
      </c>
      <c r="V229" s="15" t="str">
        <f t="shared" si="33"/>
        <v>102010801</v>
      </c>
      <c r="W229" s="39">
        <v>1</v>
      </c>
      <c r="X229" s="40" t="s">
        <v>647</v>
      </c>
      <c r="Y229" s="40" t="s">
        <v>632</v>
      </c>
      <c r="Z229" s="50" t="str">
        <f t="shared" si="38"/>
        <v>08</v>
      </c>
      <c r="AA229" s="40" t="s">
        <v>632</v>
      </c>
      <c r="AB229" s="42" t="s">
        <v>1286</v>
      </c>
      <c r="AC229" s="9"/>
      <c r="AD229" s="517">
        <v>0</v>
      </c>
      <c r="AE229" s="517" t="s">
        <v>13373</v>
      </c>
      <c r="AF229" s="517" t="s">
        <v>175</v>
      </c>
      <c r="AG229" s="520" t="s">
        <v>1287</v>
      </c>
      <c r="AH229" s="9"/>
      <c r="AI229" s="10"/>
      <c r="AJ229" s="9"/>
      <c r="AK229" s="10"/>
      <c r="AL229" s="10"/>
    </row>
    <row r="230" spans="1:38" ht="33.75" hidden="1">
      <c r="A230" s="1">
        <f t="shared" si="35"/>
        <v>0</v>
      </c>
      <c r="B230" s="2" t="s">
        <v>1292</v>
      </c>
      <c r="C230" s="3" t="s">
        <v>1293</v>
      </c>
      <c r="D230" s="15" t="s">
        <v>11437</v>
      </c>
      <c r="E230" s="4" t="s">
        <v>1292</v>
      </c>
      <c r="F230" s="37" t="s">
        <v>1293</v>
      </c>
      <c r="G230" s="38">
        <v>0</v>
      </c>
      <c r="H230" s="38">
        <v>0</v>
      </c>
      <c r="I230" s="15"/>
      <c r="J230" s="494">
        <v>10201080104</v>
      </c>
      <c r="K230" s="517"/>
      <c r="L230" s="517" t="s">
        <v>13373</v>
      </c>
      <c r="M230" s="517" t="s">
        <v>175</v>
      </c>
      <c r="N230" s="518" t="s">
        <v>1287</v>
      </c>
      <c r="O230" s="517">
        <v>1</v>
      </c>
      <c r="P230" s="517" t="s">
        <v>647</v>
      </c>
      <c r="Q230" s="517" t="s">
        <v>632</v>
      </c>
      <c r="R230" s="517" t="s">
        <v>766</v>
      </c>
      <c r="S230" s="517" t="s">
        <v>632</v>
      </c>
      <c r="T230" s="518" t="s">
        <v>1286</v>
      </c>
      <c r="U230" s="38">
        <f t="shared" si="34"/>
        <v>0</v>
      </c>
      <c r="V230" s="15" t="str">
        <f t="shared" si="33"/>
        <v>102010801</v>
      </c>
      <c r="W230" s="39">
        <v>1</v>
      </c>
      <c r="X230" s="40" t="s">
        <v>647</v>
      </c>
      <c r="Y230" s="40" t="s">
        <v>632</v>
      </c>
      <c r="Z230" s="50" t="str">
        <f t="shared" si="38"/>
        <v>08</v>
      </c>
      <c r="AA230" s="40" t="s">
        <v>632</v>
      </c>
      <c r="AB230" s="42" t="s">
        <v>1286</v>
      </c>
      <c r="AC230" s="9"/>
      <c r="AD230" s="517">
        <v>0</v>
      </c>
      <c r="AE230" s="517" t="s">
        <v>13373</v>
      </c>
      <c r="AF230" s="517" t="s">
        <v>175</v>
      </c>
      <c r="AG230" s="520" t="s">
        <v>1287</v>
      </c>
      <c r="AH230" s="9"/>
      <c r="AI230" s="10"/>
      <c r="AJ230" s="9"/>
      <c r="AK230" s="10"/>
      <c r="AL230" s="10"/>
    </row>
    <row r="231" spans="1:38" ht="33.75" hidden="1">
      <c r="A231" s="1">
        <f t="shared" si="35"/>
        <v>0</v>
      </c>
      <c r="C231" s="3" t="s">
        <v>1294</v>
      </c>
      <c r="D231" s="15" t="s">
        <v>16</v>
      </c>
      <c r="E231" s="30"/>
      <c r="F231" s="31" t="s">
        <v>1295</v>
      </c>
      <c r="G231" s="32">
        <f>G232</f>
        <v>0</v>
      </c>
      <c r="H231" s="32">
        <f>H232</f>
        <v>0</v>
      </c>
      <c r="I231" s="15"/>
      <c r="J231" s="494"/>
      <c r="K231" s="513"/>
      <c r="L231" s="513"/>
      <c r="M231" s="513"/>
      <c r="N231" s="514"/>
      <c r="O231" s="513"/>
      <c r="P231" s="513"/>
      <c r="Q231" s="513"/>
      <c r="R231" s="513"/>
      <c r="S231" s="513"/>
      <c r="T231" s="514"/>
      <c r="U231" s="32">
        <f>U232</f>
        <v>0</v>
      </c>
      <c r="V231" s="15" t="str">
        <f t="shared" si="33"/>
        <v>102010900</v>
      </c>
      <c r="W231" s="33">
        <v>1</v>
      </c>
      <c r="X231" s="34" t="s">
        <v>647</v>
      </c>
      <c r="Y231" s="34" t="s">
        <v>632</v>
      </c>
      <c r="Z231" s="35" t="s">
        <v>779</v>
      </c>
      <c r="AA231" s="35" t="s">
        <v>630</v>
      </c>
      <c r="AB231" s="31" t="s">
        <v>1295</v>
      </c>
      <c r="AC231" s="529">
        <f>AC232</f>
        <v>0</v>
      </c>
      <c r="AD231" s="513">
        <v>0</v>
      </c>
      <c r="AE231" s="513" t="s">
        <v>13375</v>
      </c>
      <c r="AF231" s="513" t="s">
        <v>176</v>
      </c>
      <c r="AG231" s="514" t="s">
        <v>13376</v>
      </c>
      <c r="AH231" s="516">
        <f t="shared" ref="AH231:AH246" si="39">AC231</f>
        <v>0</v>
      </c>
      <c r="AI231" s="10"/>
      <c r="AJ231" s="9">
        <f t="shared" ref="AJ231:AJ265" si="40">AH231-H231</f>
        <v>0</v>
      </c>
      <c r="AK231" s="10"/>
      <c r="AL231" s="10"/>
    </row>
    <row r="232" spans="1:38" ht="22.5" hidden="1">
      <c r="A232" s="1">
        <f t="shared" si="35"/>
        <v>0</v>
      </c>
      <c r="B232" s="2" t="s">
        <v>1296</v>
      </c>
      <c r="C232" s="3" t="s">
        <v>1294</v>
      </c>
      <c r="D232" s="15" t="s">
        <v>11438</v>
      </c>
      <c r="E232" s="4" t="s">
        <v>1296</v>
      </c>
      <c r="F232" s="37" t="s">
        <v>1294</v>
      </c>
      <c r="G232" s="38">
        <v>0</v>
      </c>
      <c r="H232" s="38">
        <v>0</v>
      </c>
      <c r="I232" s="15"/>
      <c r="J232" s="494">
        <v>10201090101</v>
      </c>
      <c r="K232" s="517"/>
      <c r="L232" s="517" t="s">
        <v>13375</v>
      </c>
      <c r="M232" s="517" t="s">
        <v>176</v>
      </c>
      <c r="N232" s="518" t="s">
        <v>1297</v>
      </c>
      <c r="O232" s="517">
        <v>1</v>
      </c>
      <c r="P232" s="517" t="s">
        <v>647</v>
      </c>
      <c r="Q232" s="517" t="s">
        <v>632</v>
      </c>
      <c r="R232" s="517" t="s">
        <v>779</v>
      </c>
      <c r="S232" s="517" t="s">
        <v>632</v>
      </c>
      <c r="T232" s="518" t="s">
        <v>1295</v>
      </c>
      <c r="U232" s="38">
        <f t="shared" si="34"/>
        <v>0</v>
      </c>
      <c r="V232" s="15" t="str">
        <f t="shared" si="33"/>
        <v>102010901</v>
      </c>
      <c r="W232" s="39">
        <v>1</v>
      </c>
      <c r="X232" s="40" t="s">
        <v>647</v>
      </c>
      <c r="Y232" s="40" t="s">
        <v>632</v>
      </c>
      <c r="Z232" s="40" t="s">
        <v>779</v>
      </c>
      <c r="AA232" s="40" t="s">
        <v>632</v>
      </c>
      <c r="AB232" s="41" t="s">
        <v>1295</v>
      </c>
      <c r="AC232" s="519">
        <f>H232</f>
        <v>0</v>
      </c>
      <c r="AD232" s="517">
        <v>0</v>
      </c>
      <c r="AE232" s="517" t="s">
        <v>13375</v>
      </c>
      <c r="AF232" s="517" t="s">
        <v>176</v>
      </c>
      <c r="AG232" s="520" t="s">
        <v>1297</v>
      </c>
      <c r="AH232" s="67">
        <f t="shared" si="39"/>
        <v>0</v>
      </c>
      <c r="AI232" s="10"/>
      <c r="AJ232" s="9">
        <f t="shared" si="40"/>
        <v>0</v>
      </c>
      <c r="AK232" s="10"/>
      <c r="AL232" s="10"/>
    </row>
    <row r="233" spans="1:38" ht="22.5" hidden="1">
      <c r="A233" s="1">
        <f t="shared" si="35"/>
        <v>0</v>
      </c>
      <c r="C233" s="3" t="s">
        <v>1298</v>
      </c>
      <c r="D233" s="15" t="s">
        <v>16</v>
      </c>
      <c r="E233" s="30"/>
      <c r="F233" s="31" t="s">
        <v>129</v>
      </c>
      <c r="G233" s="32">
        <f>G234</f>
        <v>0</v>
      </c>
      <c r="H233" s="32">
        <f>H234</f>
        <v>1079.06</v>
      </c>
      <c r="I233" s="15"/>
      <c r="J233" s="494"/>
      <c r="K233" s="513"/>
      <c r="L233" s="513"/>
      <c r="M233" s="513"/>
      <c r="N233" s="514"/>
      <c r="O233" s="513"/>
      <c r="P233" s="513"/>
      <c r="Q233" s="513"/>
      <c r="R233" s="513"/>
      <c r="S233" s="513"/>
      <c r="T233" s="514"/>
      <c r="U233" s="32">
        <f>U234</f>
        <v>1079.06</v>
      </c>
      <c r="V233" s="15" t="str">
        <f t="shared" si="33"/>
        <v>102011000</v>
      </c>
      <c r="W233" s="33">
        <v>1</v>
      </c>
      <c r="X233" s="34" t="s">
        <v>647</v>
      </c>
      <c r="Y233" s="34" t="s">
        <v>632</v>
      </c>
      <c r="Z233" s="35" t="s">
        <v>1225</v>
      </c>
      <c r="AA233" s="35" t="s">
        <v>630</v>
      </c>
      <c r="AB233" s="31" t="s">
        <v>129</v>
      </c>
      <c r="AC233" s="546">
        <f>AC234</f>
        <v>1079.06</v>
      </c>
      <c r="AD233" s="513">
        <v>0</v>
      </c>
      <c r="AE233" s="513" t="s">
        <v>13377</v>
      </c>
      <c r="AF233" s="513" t="s">
        <v>177</v>
      </c>
      <c r="AG233" s="514" t="s">
        <v>13378</v>
      </c>
      <c r="AH233" s="522">
        <f t="shared" si="39"/>
        <v>1079.06</v>
      </c>
      <c r="AI233" s="10"/>
      <c r="AJ233" s="9">
        <f t="shared" si="40"/>
        <v>0</v>
      </c>
      <c r="AK233" s="10"/>
      <c r="AL233" s="10"/>
    </row>
    <row r="234" spans="1:38" ht="22.5" hidden="1">
      <c r="A234" s="1">
        <f t="shared" si="35"/>
        <v>0</v>
      </c>
      <c r="B234" s="2" t="s">
        <v>1299</v>
      </c>
      <c r="C234" s="3" t="s">
        <v>1300</v>
      </c>
      <c r="D234" s="15" t="s">
        <v>11439</v>
      </c>
      <c r="E234" s="4" t="s">
        <v>1299</v>
      </c>
      <c r="F234" s="37" t="s">
        <v>1300</v>
      </c>
      <c r="G234" s="38">
        <v>0</v>
      </c>
      <c r="H234" s="38">
        <v>1079.06</v>
      </c>
      <c r="I234" s="15"/>
      <c r="J234" s="494">
        <v>10201100101</v>
      </c>
      <c r="K234" s="517"/>
      <c r="L234" s="517" t="s">
        <v>13377</v>
      </c>
      <c r="M234" s="517" t="s">
        <v>177</v>
      </c>
      <c r="N234" s="518" t="s">
        <v>1302</v>
      </c>
      <c r="O234" s="517">
        <v>1</v>
      </c>
      <c r="P234" s="517" t="s">
        <v>647</v>
      </c>
      <c r="Q234" s="517" t="s">
        <v>632</v>
      </c>
      <c r="R234" s="517" t="s">
        <v>1225</v>
      </c>
      <c r="S234" s="517" t="s">
        <v>632</v>
      </c>
      <c r="T234" s="518" t="s">
        <v>1301</v>
      </c>
      <c r="U234" s="38">
        <f t="shared" si="34"/>
        <v>1079.06</v>
      </c>
      <c r="V234" s="15" t="str">
        <f t="shared" si="33"/>
        <v>102011001</v>
      </c>
      <c r="W234" s="39">
        <v>1</v>
      </c>
      <c r="X234" s="40" t="s">
        <v>647</v>
      </c>
      <c r="Y234" s="40" t="s">
        <v>632</v>
      </c>
      <c r="Z234" s="40" t="s">
        <v>1225</v>
      </c>
      <c r="AA234" s="40" t="s">
        <v>632</v>
      </c>
      <c r="AB234" s="42" t="s">
        <v>1301</v>
      </c>
      <c r="AC234" s="519">
        <f>H234</f>
        <v>1079.06</v>
      </c>
      <c r="AD234" s="517">
        <v>0</v>
      </c>
      <c r="AE234" s="517" t="s">
        <v>13377</v>
      </c>
      <c r="AF234" s="517" t="s">
        <v>177</v>
      </c>
      <c r="AG234" s="518" t="s">
        <v>1302</v>
      </c>
      <c r="AH234" s="67">
        <f t="shared" si="39"/>
        <v>1079.06</v>
      </c>
      <c r="AI234" s="10"/>
      <c r="AJ234" s="9">
        <f t="shared" si="40"/>
        <v>0</v>
      </c>
      <c r="AK234" s="10"/>
      <c r="AL234" s="10"/>
    </row>
    <row r="235" spans="1:38" ht="33.75" hidden="1">
      <c r="A235" s="1">
        <f t="shared" si="35"/>
        <v>0</v>
      </c>
      <c r="C235" s="3" t="s">
        <v>1303</v>
      </c>
      <c r="D235" s="15" t="s">
        <v>16</v>
      </c>
      <c r="E235" s="30"/>
      <c r="F235" s="31" t="s">
        <v>1304</v>
      </c>
      <c r="G235" s="32">
        <f>G236</f>
        <v>2197.2800000000002</v>
      </c>
      <c r="H235" s="32">
        <f>H236</f>
        <v>529.04999999999995</v>
      </c>
      <c r="I235" s="15"/>
      <c r="J235" s="494"/>
      <c r="K235" s="513"/>
      <c r="L235" s="513"/>
      <c r="M235" s="513"/>
      <c r="N235" s="514"/>
      <c r="O235" s="513"/>
      <c r="P235" s="513"/>
      <c r="Q235" s="513"/>
      <c r="R235" s="513"/>
      <c r="S235" s="513"/>
      <c r="T235" s="514"/>
      <c r="U235" s="32">
        <f>U236</f>
        <v>529.04999999999995</v>
      </c>
      <c r="V235" s="15" t="str">
        <f t="shared" si="33"/>
        <v>102011100</v>
      </c>
      <c r="W235" s="33">
        <v>1</v>
      </c>
      <c r="X235" s="34" t="s">
        <v>647</v>
      </c>
      <c r="Y235" s="34" t="s">
        <v>632</v>
      </c>
      <c r="Z235" s="35" t="s">
        <v>1229</v>
      </c>
      <c r="AA235" s="35" t="s">
        <v>630</v>
      </c>
      <c r="AB235" s="31" t="s">
        <v>1304</v>
      </c>
      <c r="AC235" s="546">
        <f>AC236</f>
        <v>529.04999999999995</v>
      </c>
      <c r="AD235" s="513">
        <v>0</v>
      </c>
      <c r="AE235" s="513" t="s">
        <v>13379</v>
      </c>
      <c r="AF235" s="513" t="s">
        <v>178</v>
      </c>
      <c r="AG235" s="514" t="s">
        <v>1305</v>
      </c>
      <c r="AH235" s="522">
        <f t="shared" si="39"/>
        <v>529.04999999999995</v>
      </c>
      <c r="AI235" s="10"/>
      <c r="AJ235" s="9">
        <f t="shared" si="40"/>
        <v>0</v>
      </c>
      <c r="AK235" s="10"/>
      <c r="AL235" s="10"/>
    </row>
    <row r="236" spans="1:38" ht="33.75" hidden="1">
      <c r="A236" s="1">
        <f t="shared" si="35"/>
        <v>0</v>
      </c>
      <c r="B236" s="2" t="s">
        <v>1306</v>
      </c>
      <c r="C236" s="3" t="s">
        <v>1307</v>
      </c>
      <c r="D236" s="15" t="s">
        <v>11440</v>
      </c>
      <c r="E236" s="4" t="s">
        <v>1306</v>
      </c>
      <c r="F236" s="37" t="s">
        <v>1307</v>
      </c>
      <c r="G236" s="38">
        <v>2197.2800000000002</v>
      </c>
      <c r="H236" s="38">
        <v>529.04999999999995</v>
      </c>
      <c r="I236" s="15"/>
      <c r="J236" s="494">
        <v>10201110101</v>
      </c>
      <c r="K236" s="517"/>
      <c r="L236" s="517" t="s">
        <v>13379</v>
      </c>
      <c r="M236" s="517" t="s">
        <v>178</v>
      </c>
      <c r="N236" s="518" t="s">
        <v>1305</v>
      </c>
      <c r="O236" s="517">
        <v>1</v>
      </c>
      <c r="P236" s="517" t="s">
        <v>647</v>
      </c>
      <c r="Q236" s="517" t="s">
        <v>632</v>
      </c>
      <c r="R236" s="517" t="s">
        <v>1229</v>
      </c>
      <c r="S236" s="517" t="s">
        <v>632</v>
      </c>
      <c r="T236" s="518" t="s">
        <v>1308</v>
      </c>
      <c r="U236" s="38">
        <f t="shared" si="34"/>
        <v>529.04999999999995</v>
      </c>
      <c r="V236" s="15" t="str">
        <f t="shared" si="33"/>
        <v>102011101</v>
      </c>
      <c r="W236" s="39">
        <v>1</v>
      </c>
      <c r="X236" s="40" t="s">
        <v>647</v>
      </c>
      <c r="Y236" s="40" t="s">
        <v>632</v>
      </c>
      <c r="Z236" s="40" t="s">
        <v>1229</v>
      </c>
      <c r="AA236" s="40" t="s">
        <v>632</v>
      </c>
      <c r="AB236" s="42" t="s">
        <v>1308</v>
      </c>
      <c r="AC236" s="519">
        <f>H236</f>
        <v>529.04999999999995</v>
      </c>
      <c r="AD236" s="517">
        <v>0</v>
      </c>
      <c r="AE236" s="517" t="s">
        <v>13379</v>
      </c>
      <c r="AF236" s="517" t="s">
        <v>178</v>
      </c>
      <c r="AG236" s="518" t="s">
        <v>1305</v>
      </c>
      <c r="AH236" s="67">
        <f t="shared" si="39"/>
        <v>529.04999999999995</v>
      </c>
      <c r="AI236" s="10"/>
      <c r="AJ236" s="9">
        <f t="shared" si="40"/>
        <v>0</v>
      </c>
      <c r="AK236" s="10"/>
      <c r="AL236" s="10"/>
    </row>
    <row r="237" spans="1:38" ht="22.5" hidden="1">
      <c r="A237" s="1">
        <f t="shared" si="35"/>
        <v>0</v>
      </c>
      <c r="C237" s="3" t="s">
        <v>1309</v>
      </c>
      <c r="D237" s="15" t="s">
        <v>16</v>
      </c>
      <c r="E237" s="30"/>
      <c r="F237" s="31" t="s">
        <v>131</v>
      </c>
      <c r="G237" s="32">
        <f>G238</f>
        <v>0</v>
      </c>
      <c r="H237" s="32">
        <f>H238</f>
        <v>0</v>
      </c>
      <c r="I237" s="15"/>
      <c r="J237" s="494"/>
      <c r="K237" s="513"/>
      <c r="L237" s="513"/>
      <c r="M237" s="513"/>
      <c r="N237" s="514"/>
      <c r="O237" s="513"/>
      <c r="P237" s="513"/>
      <c r="Q237" s="513"/>
      <c r="R237" s="513"/>
      <c r="S237" s="513"/>
      <c r="T237" s="514"/>
      <c r="U237" s="32">
        <f>U238</f>
        <v>0</v>
      </c>
      <c r="V237" s="15" t="str">
        <f t="shared" si="33"/>
        <v>102011200</v>
      </c>
      <c r="W237" s="33">
        <v>1</v>
      </c>
      <c r="X237" s="34" t="s">
        <v>647</v>
      </c>
      <c r="Y237" s="34" t="s">
        <v>632</v>
      </c>
      <c r="Z237" s="35" t="s">
        <v>1243</v>
      </c>
      <c r="AA237" s="35" t="s">
        <v>630</v>
      </c>
      <c r="AB237" s="31" t="s">
        <v>131</v>
      </c>
      <c r="AC237" s="546">
        <f>AC238</f>
        <v>0</v>
      </c>
      <c r="AD237" s="513">
        <v>0</v>
      </c>
      <c r="AE237" s="513" t="s">
        <v>13380</v>
      </c>
      <c r="AF237" s="513" t="s">
        <v>179</v>
      </c>
      <c r="AG237" s="514" t="s">
        <v>1310</v>
      </c>
      <c r="AH237" s="522">
        <f t="shared" si="39"/>
        <v>0</v>
      </c>
      <c r="AI237" s="10"/>
      <c r="AJ237" s="9">
        <f t="shared" si="40"/>
        <v>0</v>
      </c>
      <c r="AK237" s="10"/>
      <c r="AL237" s="10"/>
    </row>
    <row r="238" spans="1:38" ht="33.75" hidden="1">
      <c r="A238" s="1">
        <f t="shared" si="35"/>
        <v>0</v>
      </c>
      <c r="B238" s="2" t="s">
        <v>1311</v>
      </c>
      <c r="C238" s="3" t="s">
        <v>1312</v>
      </c>
      <c r="D238" s="15" t="s">
        <v>11441</v>
      </c>
      <c r="E238" s="4" t="s">
        <v>1311</v>
      </c>
      <c r="F238" s="37" t="s">
        <v>1312</v>
      </c>
      <c r="G238" s="38">
        <v>0</v>
      </c>
      <c r="H238" s="38">
        <v>0</v>
      </c>
      <c r="I238" s="15"/>
      <c r="J238" s="494">
        <v>10201120101</v>
      </c>
      <c r="K238" s="517"/>
      <c r="L238" s="517" t="s">
        <v>13380</v>
      </c>
      <c r="M238" s="517" t="s">
        <v>179</v>
      </c>
      <c r="N238" s="518" t="s">
        <v>1310</v>
      </c>
      <c r="O238" s="517">
        <v>1</v>
      </c>
      <c r="P238" s="517" t="s">
        <v>647</v>
      </c>
      <c r="Q238" s="517" t="s">
        <v>632</v>
      </c>
      <c r="R238" s="517" t="s">
        <v>1243</v>
      </c>
      <c r="S238" s="517" t="s">
        <v>632</v>
      </c>
      <c r="T238" s="518" t="s">
        <v>1313</v>
      </c>
      <c r="U238" s="38">
        <f t="shared" si="34"/>
        <v>0</v>
      </c>
      <c r="V238" s="15" t="str">
        <f t="shared" si="33"/>
        <v>102011201</v>
      </c>
      <c r="W238" s="39">
        <v>1</v>
      </c>
      <c r="X238" s="40" t="s">
        <v>647</v>
      </c>
      <c r="Y238" s="40" t="s">
        <v>632</v>
      </c>
      <c r="Z238" s="40" t="s">
        <v>1243</v>
      </c>
      <c r="AA238" s="40" t="s">
        <v>632</v>
      </c>
      <c r="AB238" s="42" t="s">
        <v>1313</v>
      </c>
      <c r="AC238" s="519">
        <f>H238</f>
        <v>0</v>
      </c>
      <c r="AD238" s="517">
        <v>0</v>
      </c>
      <c r="AE238" s="517" t="s">
        <v>13380</v>
      </c>
      <c r="AF238" s="517" t="s">
        <v>179</v>
      </c>
      <c r="AG238" s="518" t="s">
        <v>1310</v>
      </c>
      <c r="AH238" s="67">
        <f t="shared" si="39"/>
        <v>0</v>
      </c>
      <c r="AI238" s="10"/>
      <c r="AJ238" s="9">
        <f t="shared" si="40"/>
        <v>0</v>
      </c>
      <c r="AK238" s="10"/>
      <c r="AL238" s="10"/>
    </row>
    <row r="239" spans="1:38" ht="22.5" hidden="1">
      <c r="A239" s="1">
        <f t="shared" si="35"/>
        <v>0</v>
      </c>
      <c r="C239" s="3" t="s">
        <v>1314</v>
      </c>
      <c r="D239" s="15" t="s">
        <v>16</v>
      </c>
      <c r="E239" s="30"/>
      <c r="F239" s="31" t="s">
        <v>132</v>
      </c>
      <c r="G239" s="32">
        <f>G240</f>
        <v>21963.309999999998</v>
      </c>
      <c r="H239" s="32">
        <f>H240</f>
        <v>97753.17</v>
      </c>
      <c r="I239" s="15"/>
      <c r="J239" s="494"/>
      <c r="K239" s="513"/>
      <c r="L239" s="513"/>
      <c r="M239" s="513"/>
      <c r="N239" s="514"/>
      <c r="O239" s="513"/>
      <c r="P239" s="513"/>
      <c r="Q239" s="513"/>
      <c r="R239" s="513"/>
      <c r="S239" s="513"/>
      <c r="T239" s="514"/>
      <c r="U239" s="32">
        <f>U240</f>
        <v>97753.17</v>
      </c>
      <c r="V239" s="15" t="str">
        <f t="shared" si="33"/>
        <v>102011300</v>
      </c>
      <c r="W239" s="33">
        <v>1</v>
      </c>
      <c r="X239" s="34" t="s">
        <v>647</v>
      </c>
      <c r="Y239" s="34" t="s">
        <v>632</v>
      </c>
      <c r="Z239" s="35" t="s">
        <v>1247</v>
      </c>
      <c r="AA239" s="35" t="s">
        <v>630</v>
      </c>
      <c r="AB239" s="31" t="s">
        <v>132</v>
      </c>
      <c r="AC239" s="546">
        <f>AC240</f>
        <v>97753.17</v>
      </c>
      <c r="AD239" s="513">
        <v>0</v>
      </c>
      <c r="AE239" s="513" t="s">
        <v>13381</v>
      </c>
      <c r="AF239" s="513" t="s">
        <v>180</v>
      </c>
      <c r="AG239" s="514" t="s">
        <v>1315</v>
      </c>
      <c r="AH239" s="522">
        <f t="shared" si="39"/>
        <v>97753.17</v>
      </c>
      <c r="AI239" s="10"/>
      <c r="AJ239" s="9">
        <f t="shared" si="40"/>
        <v>0</v>
      </c>
      <c r="AK239" s="10"/>
      <c r="AL239" s="10"/>
    </row>
    <row r="240" spans="1:38" ht="22.5" hidden="1">
      <c r="A240" s="1">
        <f t="shared" si="35"/>
        <v>0</v>
      </c>
      <c r="B240" s="2" t="s">
        <v>1316</v>
      </c>
      <c r="C240" s="3" t="s">
        <v>1317</v>
      </c>
      <c r="D240" s="15" t="s">
        <v>11442</v>
      </c>
      <c r="E240" s="4" t="s">
        <v>1316</v>
      </c>
      <c r="F240" s="37" t="s">
        <v>1317</v>
      </c>
      <c r="G240" s="38">
        <v>21963.309999999998</v>
      </c>
      <c r="H240" s="38">
        <v>97753.17</v>
      </c>
      <c r="I240" s="15"/>
      <c r="J240" s="494">
        <v>10201130101</v>
      </c>
      <c r="K240" s="517"/>
      <c r="L240" s="517" t="s">
        <v>13381</v>
      </c>
      <c r="M240" s="517" t="s">
        <v>180</v>
      </c>
      <c r="N240" s="518" t="s">
        <v>1315</v>
      </c>
      <c r="O240" s="517">
        <v>1</v>
      </c>
      <c r="P240" s="517" t="s">
        <v>647</v>
      </c>
      <c r="Q240" s="517" t="s">
        <v>632</v>
      </c>
      <c r="R240" s="517" t="s">
        <v>1247</v>
      </c>
      <c r="S240" s="517" t="s">
        <v>632</v>
      </c>
      <c r="T240" s="518" t="s">
        <v>1318</v>
      </c>
      <c r="U240" s="38">
        <f t="shared" si="34"/>
        <v>97753.17</v>
      </c>
      <c r="V240" s="15" t="str">
        <f t="shared" si="33"/>
        <v>102011301</v>
      </c>
      <c r="W240" s="39">
        <v>1</v>
      </c>
      <c r="X240" s="40" t="s">
        <v>647</v>
      </c>
      <c r="Y240" s="40" t="s">
        <v>632</v>
      </c>
      <c r="Z240" s="40" t="s">
        <v>1247</v>
      </c>
      <c r="AA240" s="40" t="s">
        <v>632</v>
      </c>
      <c r="AB240" s="42" t="s">
        <v>1318</v>
      </c>
      <c r="AC240" s="519">
        <f>H240</f>
        <v>97753.17</v>
      </c>
      <c r="AD240" s="517">
        <v>0</v>
      </c>
      <c r="AE240" s="517" t="s">
        <v>13381</v>
      </c>
      <c r="AF240" s="517" t="s">
        <v>180</v>
      </c>
      <c r="AG240" s="518" t="s">
        <v>1315</v>
      </c>
      <c r="AH240" s="67">
        <f t="shared" si="39"/>
        <v>97753.17</v>
      </c>
      <c r="AI240" s="10"/>
      <c r="AJ240" s="9">
        <f t="shared" si="40"/>
        <v>0</v>
      </c>
      <c r="AK240" s="10"/>
      <c r="AL240" s="10"/>
    </row>
    <row r="241" spans="1:38" ht="22.5" hidden="1">
      <c r="A241" s="1">
        <f t="shared" si="35"/>
        <v>0</v>
      </c>
      <c r="C241" s="3" t="s">
        <v>1319</v>
      </c>
      <c r="D241" s="15" t="s">
        <v>16</v>
      </c>
      <c r="E241" s="30"/>
      <c r="F241" s="31" t="s">
        <v>133</v>
      </c>
      <c r="G241" s="32">
        <f>G242</f>
        <v>8107.64</v>
      </c>
      <c r="H241" s="32">
        <f>H242</f>
        <v>-19776.330000000002</v>
      </c>
      <c r="I241" s="15"/>
      <c r="J241" s="494"/>
      <c r="K241" s="513"/>
      <c r="L241" s="513"/>
      <c r="M241" s="513"/>
      <c r="N241" s="514"/>
      <c r="O241" s="513"/>
      <c r="P241" s="513"/>
      <c r="Q241" s="513"/>
      <c r="R241" s="513"/>
      <c r="S241" s="513"/>
      <c r="T241" s="514"/>
      <c r="U241" s="32">
        <f>U242</f>
        <v>-19776.330000000002</v>
      </c>
      <c r="V241" s="15" t="str">
        <f t="shared" si="33"/>
        <v>102011400</v>
      </c>
      <c r="W241" s="33">
        <v>1</v>
      </c>
      <c r="X241" s="34" t="s">
        <v>647</v>
      </c>
      <c r="Y241" s="34" t="s">
        <v>632</v>
      </c>
      <c r="Z241" s="35" t="s">
        <v>1253</v>
      </c>
      <c r="AA241" s="35" t="s">
        <v>630</v>
      </c>
      <c r="AB241" s="31" t="s">
        <v>133</v>
      </c>
      <c r="AC241" s="546">
        <f>AC242</f>
        <v>-19776.330000000002</v>
      </c>
      <c r="AD241" s="513">
        <v>0</v>
      </c>
      <c r="AE241" s="513" t="s">
        <v>13382</v>
      </c>
      <c r="AF241" s="513" t="s">
        <v>181</v>
      </c>
      <c r="AG241" s="514" t="s">
        <v>1320</v>
      </c>
      <c r="AH241" s="522">
        <f t="shared" si="39"/>
        <v>-19776.330000000002</v>
      </c>
      <c r="AI241" s="10"/>
      <c r="AJ241" s="9">
        <f t="shared" si="40"/>
        <v>0</v>
      </c>
      <c r="AK241" s="10"/>
      <c r="AL241" s="10"/>
    </row>
    <row r="242" spans="1:38" ht="22.5" hidden="1">
      <c r="A242" s="1">
        <f t="shared" si="35"/>
        <v>0</v>
      </c>
      <c r="B242" s="2" t="s">
        <v>1321</v>
      </c>
      <c r="C242" s="3" t="s">
        <v>1322</v>
      </c>
      <c r="D242" s="15" t="s">
        <v>11443</v>
      </c>
      <c r="E242" s="4" t="s">
        <v>1321</v>
      </c>
      <c r="F242" s="37" t="s">
        <v>1322</v>
      </c>
      <c r="G242" s="38">
        <v>8107.64</v>
      </c>
      <c r="H242" s="38">
        <v>-19776.330000000002</v>
      </c>
      <c r="I242" s="15"/>
      <c r="J242" s="494">
        <v>10201140101</v>
      </c>
      <c r="K242" s="517"/>
      <c r="L242" s="517" t="s">
        <v>13382</v>
      </c>
      <c r="M242" s="517" t="s">
        <v>181</v>
      </c>
      <c r="N242" s="518" t="s">
        <v>1320</v>
      </c>
      <c r="O242" s="517">
        <v>1</v>
      </c>
      <c r="P242" s="517" t="s">
        <v>647</v>
      </c>
      <c r="Q242" s="517" t="s">
        <v>632</v>
      </c>
      <c r="R242" s="517" t="s">
        <v>1253</v>
      </c>
      <c r="S242" s="517" t="s">
        <v>632</v>
      </c>
      <c r="T242" s="518" t="s">
        <v>1323</v>
      </c>
      <c r="U242" s="38">
        <f t="shared" si="34"/>
        <v>-19776.330000000002</v>
      </c>
      <c r="V242" s="15" t="str">
        <f t="shared" si="33"/>
        <v>102011401</v>
      </c>
      <c r="W242" s="39">
        <v>1</v>
      </c>
      <c r="X242" s="40" t="s">
        <v>647</v>
      </c>
      <c r="Y242" s="40" t="s">
        <v>632</v>
      </c>
      <c r="Z242" s="40" t="s">
        <v>1253</v>
      </c>
      <c r="AA242" s="40" t="s">
        <v>632</v>
      </c>
      <c r="AB242" s="42" t="s">
        <v>1323</v>
      </c>
      <c r="AC242" s="519">
        <f>H242</f>
        <v>-19776.330000000002</v>
      </c>
      <c r="AD242" s="517">
        <v>0</v>
      </c>
      <c r="AE242" s="517" t="s">
        <v>13382</v>
      </c>
      <c r="AF242" s="517" t="s">
        <v>181</v>
      </c>
      <c r="AG242" s="518" t="s">
        <v>1320</v>
      </c>
      <c r="AH242" s="67">
        <f t="shared" si="39"/>
        <v>-19776.330000000002</v>
      </c>
      <c r="AI242" s="10"/>
      <c r="AJ242" s="9">
        <f t="shared" si="40"/>
        <v>0</v>
      </c>
      <c r="AK242" s="10"/>
      <c r="AL242" s="10"/>
    </row>
    <row r="243" spans="1:38" ht="22.5" hidden="1">
      <c r="A243" s="1">
        <f t="shared" si="35"/>
        <v>0</v>
      </c>
      <c r="C243" s="3" t="s">
        <v>1324</v>
      </c>
      <c r="D243" s="15" t="s">
        <v>16</v>
      </c>
      <c r="E243" s="30"/>
      <c r="F243" s="31" t="s">
        <v>1325</v>
      </c>
      <c r="G243" s="32">
        <f>G244</f>
        <v>0</v>
      </c>
      <c r="H243" s="32">
        <f>H244</f>
        <v>0</v>
      </c>
      <c r="I243" s="15"/>
      <c r="J243" s="494"/>
      <c r="K243" s="513"/>
      <c r="L243" s="513"/>
      <c r="M243" s="513"/>
      <c r="N243" s="514"/>
      <c r="O243" s="513"/>
      <c r="P243" s="513"/>
      <c r="Q243" s="513"/>
      <c r="R243" s="513"/>
      <c r="S243" s="513"/>
      <c r="T243" s="514"/>
      <c r="U243" s="32">
        <f>U244</f>
        <v>0</v>
      </c>
      <c r="V243" s="15" t="str">
        <f t="shared" si="33"/>
        <v>102011500</v>
      </c>
      <c r="W243" s="33">
        <v>1</v>
      </c>
      <c r="X243" s="34" t="s">
        <v>647</v>
      </c>
      <c r="Y243" s="34" t="s">
        <v>632</v>
      </c>
      <c r="Z243" s="35" t="s">
        <v>1257</v>
      </c>
      <c r="AA243" s="35" t="s">
        <v>630</v>
      </c>
      <c r="AB243" s="31" t="s">
        <v>1325</v>
      </c>
      <c r="AC243" s="546">
        <f>AC244</f>
        <v>0</v>
      </c>
      <c r="AD243" s="513">
        <v>0</v>
      </c>
      <c r="AE243" s="513" t="s">
        <v>13383</v>
      </c>
      <c r="AF243" s="513" t="s">
        <v>182</v>
      </c>
      <c r="AG243" s="514" t="s">
        <v>1326</v>
      </c>
      <c r="AH243" s="522">
        <f t="shared" si="39"/>
        <v>0</v>
      </c>
      <c r="AI243" s="10"/>
      <c r="AJ243" s="9">
        <f t="shared" si="40"/>
        <v>0</v>
      </c>
      <c r="AK243" s="10"/>
      <c r="AL243" s="10"/>
    </row>
    <row r="244" spans="1:38" ht="22.5" hidden="1">
      <c r="A244" s="1">
        <f t="shared" si="35"/>
        <v>0</v>
      </c>
      <c r="B244" s="2" t="s">
        <v>1327</v>
      </c>
      <c r="C244" s="3" t="s">
        <v>1328</v>
      </c>
      <c r="D244" s="15" t="s">
        <v>11444</v>
      </c>
      <c r="E244" s="4" t="s">
        <v>1327</v>
      </c>
      <c r="F244" s="37" t="s">
        <v>1328</v>
      </c>
      <c r="G244" s="38">
        <v>0</v>
      </c>
      <c r="H244" s="38">
        <v>0</v>
      </c>
      <c r="I244" s="15"/>
      <c r="J244" s="494">
        <v>10201150101</v>
      </c>
      <c r="K244" s="517"/>
      <c r="L244" s="517" t="s">
        <v>13383</v>
      </c>
      <c r="M244" s="517" t="s">
        <v>182</v>
      </c>
      <c r="N244" s="518" t="s">
        <v>1326</v>
      </c>
      <c r="O244" s="517">
        <v>1</v>
      </c>
      <c r="P244" s="517" t="s">
        <v>647</v>
      </c>
      <c r="Q244" s="517" t="s">
        <v>632</v>
      </c>
      <c r="R244" s="517" t="s">
        <v>1257</v>
      </c>
      <c r="S244" s="517" t="s">
        <v>632</v>
      </c>
      <c r="T244" s="518" t="s">
        <v>1329</v>
      </c>
      <c r="U244" s="38">
        <f t="shared" si="34"/>
        <v>0</v>
      </c>
      <c r="V244" s="15" t="str">
        <f t="shared" si="33"/>
        <v>102011501</v>
      </c>
      <c r="W244" s="39">
        <v>1</v>
      </c>
      <c r="X244" s="40" t="s">
        <v>647</v>
      </c>
      <c r="Y244" s="40" t="s">
        <v>632</v>
      </c>
      <c r="Z244" s="40" t="s">
        <v>1257</v>
      </c>
      <c r="AA244" s="40" t="s">
        <v>632</v>
      </c>
      <c r="AB244" s="42" t="s">
        <v>1329</v>
      </c>
      <c r="AC244" s="519">
        <f>H244</f>
        <v>0</v>
      </c>
      <c r="AD244" s="517">
        <v>0</v>
      </c>
      <c r="AE244" s="517" t="s">
        <v>13383</v>
      </c>
      <c r="AF244" s="517" t="s">
        <v>182</v>
      </c>
      <c r="AG244" s="518" t="s">
        <v>1326</v>
      </c>
      <c r="AH244" s="67">
        <f t="shared" si="39"/>
        <v>0</v>
      </c>
      <c r="AI244" s="10"/>
      <c r="AJ244" s="9">
        <f t="shared" si="40"/>
        <v>0</v>
      </c>
      <c r="AK244" s="10"/>
      <c r="AL244" s="10"/>
    </row>
    <row r="245" spans="1:38" ht="33.75" hidden="1">
      <c r="A245" s="1">
        <f t="shared" si="35"/>
        <v>0</v>
      </c>
      <c r="C245" s="3" t="s">
        <v>1330</v>
      </c>
      <c r="D245" s="15" t="s">
        <v>16</v>
      </c>
      <c r="E245" s="30"/>
      <c r="F245" s="31" t="s">
        <v>1331</v>
      </c>
      <c r="G245" s="32">
        <f>G246</f>
        <v>0</v>
      </c>
      <c r="H245" s="32">
        <f>H246</f>
        <v>0</v>
      </c>
      <c r="I245" s="15"/>
      <c r="J245" s="494"/>
      <c r="K245" s="513"/>
      <c r="L245" s="513"/>
      <c r="M245" s="513"/>
      <c r="N245" s="514"/>
      <c r="O245" s="513"/>
      <c r="P245" s="513"/>
      <c r="Q245" s="513"/>
      <c r="R245" s="513"/>
      <c r="S245" s="513"/>
      <c r="T245" s="514"/>
      <c r="U245" s="32">
        <f>U246</f>
        <v>0</v>
      </c>
      <c r="V245" s="15" t="str">
        <f t="shared" si="33"/>
        <v>102011600</v>
      </c>
      <c r="W245" s="33">
        <v>1</v>
      </c>
      <c r="X245" s="34" t="s">
        <v>647</v>
      </c>
      <c r="Y245" s="34" t="s">
        <v>632</v>
      </c>
      <c r="Z245" s="35" t="s">
        <v>1332</v>
      </c>
      <c r="AA245" s="35" t="s">
        <v>630</v>
      </c>
      <c r="AB245" s="31" t="s">
        <v>1331</v>
      </c>
      <c r="AC245" s="546">
        <f>AC246</f>
        <v>0</v>
      </c>
      <c r="AD245" s="513">
        <v>0</v>
      </c>
      <c r="AE245" s="513" t="s">
        <v>13384</v>
      </c>
      <c r="AF245" s="513" t="s">
        <v>183</v>
      </c>
      <c r="AG245" s="514" t="s">
        <v>13385</v>
      </c>
      <c r="AH245" s="522">
        <f t="shared" si="39"/>
        <v>0</v>
      </c>
      <c r="AI245" s="10"/>
      <c r="AJ245" s="9">
        <f t="shared" si="40"/>
        <v>0</v>
      </c>
      <c r="AK245" s="10"/>
      <c r="AL245" s="10"/>
    </row>
    <row r="246" spans="1:38" ht="33.75" hidden="1">
      <c r="A246" s="1">
        <f t="shared" si="35"/>
        <v>0</v>
      </c>
      <c r="B246" s="2" t="s">
        <v>1333</v>
      </c>
      <c r="C246" s="3" t="s">
        <v>1330</v>
      </c>
      <c r="D246" s="15" t="s">
        <v>11445</v>
      </c>
      <c r="E246" s="4" t="s">
        <v>1333</v>
      </c>
      <c r="F246" s="37" t="s">
        <v>1330</v>
      </c>
      <c r="G246" s="38">
        <v>0</v>
      </c>
      <c r="H246" s="38">
        <v>0</v>
      </c>
      <c r="I246" s="15"/>
      <c r="J246" s="494">
        <v>10201160101</v>
      </c>
      <c r="K246" s="517"/>
      <c r="L246" s="517" t="s">
        <v>13384</v>
      </c>
      <c r="M246" s="517" t="s">
        <v>183</v>
      </c>
      <c r="N246" s="518" t="s">
        <v>1334</v>
      </c>
      <c r="O246" s="517">
        <v>1</v>
      </c>
      <c r="P246" s="517" t="s">
        <v>647</v>
      </c>
      <c r="Q246" s="517" t="s">
        <v>632</v>
      </c>
      <c r="R246" s="517" t="s">
        <v>1332</v>
      </c>
      <c r="S246" s="517" t="s">
        <v>632</v>
      </c>
      <c r="T246" s="518" t="s">
        <v>1331</v>
      </c>
      <c r="U246" s="38">
        <f t="shared" si="34"/>
        <v>0</v>
      </c>
      <c r="V246" s="15" t="str">
        <f t="shared" si="33"/>
        <v>102011601</v>
      </c>
      <c r="W246" s="39">
        <v>1</v>
      </c>
      <c r="X246" s="40" t="s">
        <v>647</v>
      </c>
      <c r="Y246" s="40" t="s">
        <v>632</v>
      </c>
      <c r="Z246" s="40" t="s">
        <v>1332</v>
      </c>
      <c r="AA246" s="40" t="s">
        <v>632</v>
      </c>
      <c r="AB246" s="41" t="s">
        <v>1331</v>
      </c>
      <c r="AC246" s="519">
        <f>H246</f>
        <v>0</v>
      </c>
      <c r="AD246" s="517">
        <v>0</v>
      </c>
      <c r="AE246" s="517" t="s">
        <v>13384</v>
      </c>
      <c r="AF246" s="517" t="s">
        <v>183</v>
      </c>
      <c r="AG246" s="520" t="s">
        <v>1334</v>
      </c>
      <c r="AH246" s="67">
        <f t="shared" si="39"/>
        <v>0</v>
      </c>
      <c r="AI246" s="10"/>
      <c r="AJ246" s="9">
        <f t="shared" si="40"/>
        <v>0</v>
      </c>
      <c r="AK246" s="10"/>
      <c r="AL246" s="10"/>
    </row>
    <row r="247" spans="1:38" hidden="1">
      <c r="A247" s="1">
        <f t="shared" si="35"/>
        <v>0</v>
      </c>
      <c r="C247" s="3" t="s">
        <v>123</v>
      </c>
      <c r="D247" s="15" t="s">
        <v>16</v>
      </c>
      <c r="E247" s="24"/>
      <c r="F247" s="25" t="s">
        <v>123</v>
      </c>
      <c r="G247" s="26">
        <f>G248+G250+G252+G254+G256+G258+G260+G263+G265+G272+G278+G280+G401+G440+G442+G444+G448+G487+G489+G491+G494+G497+G500+G502+G505+G526+G546+G548+G555+G557-G608</f>
        <v>166588199.03</v>
      </c>
      <c r="H247" s="26">
        <f>H248+H250+H252+H254+H256+H258+H260+H263+H265+H272+H278+H280+H401+H440+H442+H444+H448+H487+H489+H491+H494+H497+H500+H502+H505+H526+H546+H548+H555+H557+H608</f>
        <v>169536873.68000004</v>
      </c>
      <c r="I247" s="15"/>
      <c r="J247" s="494"/>
      <c r="K247" s="509"/>
      <c r="L247" s="509"/>
      <c r="M247" s="509"/>
      <c r="N247" s="510"/>
      <c r="O247" s="509"/>
      <c r="P247" s="509"/>
      <c r="Q247" s="509"/>
      <c r="R247" s="509"/>
      <c r="S247" s="509"/>
      <c r="T247" s="510"/>
      <c r="U247" s="26">
        <f>U248+U250+U252+U254+U256+U258+U260+U263+U265+U272+U278+U280+U401+U440+U442+U444+U448+U487+U489+U491+U494+U497+U500+U502+U505+U526+U546+U548+U555+U557+U608</f>
        <v>169536873.68000004</v>
      </c>
      <c r="V247" s="15" t="str">
        <f t="shared" si="33"/>
        <v>102020000</v>
      </c>
      <c r="W247" s="27">
        <v>1</v>
      </c>
      <c r="X247" s="28" t="s">
        <v>647</v>
      </c>
      <c r="Y247" s="28" t="s">
        <v>647</v>
      </c>
      <c r="Z247" s="28" t="s">
        <v>630</v>
      </c>
      <c r="AA247" s="28" t="s">
        <v>630</v>
      </c>
      <c r="AB247" s="25" t="s">
        <v>123</v>
      </c>
      <c r="AC247" s="547">
        <f>AC248+AC250+AC252+AC254+AC256+AC258+AC260+AC263+AC265+AC272+AC278+AC280+AC401+AC440+AC442+AC444+AC448+AC487+AC489+AC491+AC494+AC497+AC500+AC502+AC505+AC526+AC546+AC548+AC555+AC557+AC608</f>
        <v>169536873.68000004</v>
      </c>
      <c r="AD247" s="509">
        <v>0</v>
      </c>
      <c r="AE247" s="509" t="s">
        <v>13386</v>
      </c>
      <c r="AF247" s="509" t="s">
        <v>1335</v>
      </c>
      <c r="AG247" s="510" t="s">
        <v>13387</v>
      </c>
      <c r="AH247" s="26">
        <f>AH248+AH250+AH252+AH254+AH256+AH258+AH260+AH263+AH265+AH272+AH278+AH280+AH401+AH440+AH442+AH444+AH448+AH487+AH489+AH491+AH494+AH497+AH500+AH502+AH505+AH526+AH546+AH548+AH555+AH557+AH608</f>
        <v>169536873.68000004</v>
      </c>
      <c r="AI247" s="10"/>
      <c r="AJ247" s="9">
        <f t="shared" si="40"/>
        <v>0</v>
      </c>
      <c r="AK247" s="10"/>
      <c r="AL247" s="10"/>
    </row>
    <row r="248" spans="1:38" ht="33.75" hidden="1">
      <c r="A248" s="1">
        <f t="shared" si="35"/>
        <v>0</v>
      </c>
      <c r="C248" s="3" t="s">
        <v>1336</v>
      </c>
      <c r="D248" s="15" t="s">
        <v>16</v>
      </c>
      <c r="E248" s="30"/>
      <c r="F248" s="31" t="s">
        <v>1337</v>
      </c>
      <c r="G248" s="32">
        <f>G249</f>
        <v>0</v>
      </c>
      <c r="H248" s="32">
        <f>H249</f>
        <v>0</v>
      </c>
      <c r="I248" s="15"/>
      <c r="J248" s="494"/>
      <c r="K248" s="513"/>
      <c r="L248" s="513"/>
      <c r="M248" s="513"/>
      <c r="N248" s="514"/>
      <c r="O248" s="513"/>
      <c r="P248" s="513"/>
      <c r="Q248" s="513"/>
      <c r="R248" s="513"/>
      <c r="S248" s="513"/>
      <c r="T248" s="514"/>
      <c r="U248" s="32">
        <f>U249</f>
        <v>0</v>
      </c>
      <c r="V248" s="15" t="str">
        <f t="shared" si="33"/>
        <v>102022700</v>
      </c>
      <c r="W248" s="33">
        <v>1</v>
      </c>
      <c r="X248" s="34" t="s">
        <v>647</v>
      </c>
      <c r="Y248" s="34" t="s">
        <v>647</v>
      </c>
      <c r="Z248" s="34" t="s">
        <v>1338</v>
      </c>
      <c r="AA248" s="35" t="s">
        <v>630</v>
      </c>
      <c r="AB248" s="31" t="s">
        <v>1339</v>
      </c>
      <c r="AC248" s="529">
        <f>AC249</f>
        <v>0</v>
      </c>
      <c r="AD248" s="513" t="s">
        <v>1340</v>
      </c>
      <c r="AE248" s="513" t="s">
        <v>13388</v>
      </c>
      <c r="AF248" s="513" t="s">
        <v>1341</v>
      </c>
      <c r="AG248" s="514" t="s">
        <v>1339</v>
      </c>
      <c r="AH248" s="516">
        <f t="shared" ref="AH248:AH259" si="41">AC248</f>
        <v>0</v>
      </c>
      <c r="AI248" s="10"/>
      <c r="AJ248" s="9">
        <f t="shared" si="40"/>
        <v>0</v>
      </c>
      <c r="AK248" s="10"/>
      <c r="AL248" s="10"/>
    </row>
    <row r="249" spans="1:38" ht="33.75" hidden="1">
      <c r="A249" s="57">
        <f t="shared" si="35"/>
        <v>1</v>
      </c>
      <c r="B249" s="58" t="s">
        <v>1342</v>
      </c>
      <c r="C249" s="59" t="s">
        <v>1336</v>
      </c>
      <c r="D249" s="15" t="s">
        <v>11446</v>
      </c>
      <c r="E249" s="4" t="s">
        <v>1343</v>
      </c>
      <c r="F249" s="37" t="s">
        <v>1337</v>
      </c>
      <c r="G249" s="38">
        <v>0</v>
      </c>
      <c r="H249" s="38">
        <v>0</v>
      </c>
      <c r="I249" s="15"/>
      <c r="J249" s="494">
        <v>10202270101</v>
      </c>
      <c r="K249" s="517" t="s">
        <v>1340</v>
      </c>
      <c r="L249" s="517" t="s">
        <v>13388</v>
      </c>
      <c r="M249" s="517" t="s">
        <v>1341</v>
      </c>
      <c r="N249" s="518" t="s">
        <v>1339</v>
      </c>
      <c r="O249" s="517">
        <v>1</v>
      </c>
      <c r="P249" s="517" t="s">
        <v>647</v>
      </c>
      <c r="Q249" s="517" t="s">
        <v>647</v>
      </c>
      <c r="R249" s="517" t="s">
        <v>1338</v>
      </c>
      <c r="S249" s="517" t="s">
        <v>632</v>
      </c>
      <c r="T249" s="518" t="s">
        <v>1339</v>
      </c>
      <c r="U249" s="38">
        <f t="shared" si="34"/>
        <v>0</v>
      </c>
      <c r="V249" s="15" t="str">
        <f t="shared" si="33"/>
        <v>102022701</v>
      </c>
      <c r="W249" s="39">
        <v>1</v>
      </c>
      <c r="X249" s="40" t="s">
        <v>647</v>
      </c>
      <c r="Y249" s="40" t="s">
        <v>647</v>
      </c>
      <c r="Z249" s="40" t="s">
        <v>1338</v>
      </c>
      <c r="AA249" s="40" t="s">
        <v>632</v>
      </c>
      <c r="AB249" s="41" t="s">
        <v>1339</v>
      </c>
      <c r="AC249" s="519">
        <f>H249</f>
        <v>0</v>
      </c>
      <c r="AD249" s="517" t="s">
        <v>1340</v>
      </c>
      <c r="AE249" s="517" t="s">
        <v>13388</v>
      </c>
      <c r="AF249" s="517" t="s">
        <v>1341</v>
      </c>
      <c r="AG249" s="520" t="s">
        <v>1339</v>
      </c>
      <c r="AH249" s="67">
        <f t="shared" si="41"/>
        <v>0</v>
      </c>
      <c r="AI249" s="10"/>
      <c r="AJ249" s="9">
        <f t="shared" si="40"/>
        <v>0</v>
      </c>
      <c r="AK249" s="10"/>
      <c r="AL249" s="10"/>
    </row>
    <row r="250" spans="1:38" ht="33.75" hidden="1">
      <c r="A250" s="1">
        <f t="shared" si="35"/>
        <v>0</v>
      </c>
      <c r="C250" s="3" t="s">
        <v>1344</v>
      </c>
      <c r="D250" s="15" t="s">
        <v>16</v>
      </c>
      <c r="E250" s="30"/>
      <c r="F250" s="31" t="s">
        <v>1344</v>
      </c>
      <c r="G250" s="32">
        <f>G251</f>
        <v>0</v>
      </c>
      <c r="H250" s="32">
        <f>H251</f>
        <v>0</v>
      </c>
      <c r="I250" s="15"/>
      <c r="J250" s="494"/>
      <c r="K250" s="513"/>
      <c r="L250" s="513"/>
      <c r="M250" s="513"/>
      <c r="N250" s="514"/>
      <c r="O250" s="513"/>
      <c r="P250" s="513"/>
      <c r="Q250" s="513"/>
      <c r="R250" s="513"/>
      <c r="S250" s="513"/>
      <c r="T250" s="514"/>
      <c r="U250" s="32">
        <f>U251</f>
        <v>0</v>
      </c>
      <c r="V250" s="15" t="str">
        <f t="shared" si="33"/>
        <v>102020200</v>
      </c>
      <c r="W250" s="33">
        <v>1</v>
      </c>
      <c r="X250" s="34" t="s">
        <v>647</v>
      </c>
      <c r="Y250" s="34" t="s">
        <v>647</v>
      </c>
      <c r="Z250" s="35" t="s">
        <v>647</v>
      </c>
      <c r="AA250" s="35" t="s">
        <v>630</v>
      </c>
      <c r="AB250" s="31" t="s">
        <v>1344</v>
      </c>
      <c r="AC250" s="546">
        <f>AC251</f>
        <v>0</v>
      </c>
      <c r="AD250" s="513" t="s">
        <v>1340</v>
      </c>
      <c r="AE250" s="513" t="s">
        <v>13389</v>
      </c>
      <c r="AF250" s="513" t="s">
        <v>184</v>
      </c>
      <c r="AG250" s="514" t="s">
        <v>1345</v>
      </c>
      <c r="AH250" s="522">
        <f t="shared" si="41"/>
        <v>0</v>
      </c>
      <c r="AI250" s="10"/>
      <c r="AJ250" s="9">
        <f t="shared" si="40"/>
        <v>0</v>
      </c>
      <c r="AK250" s="10"/>
      <c r="AL250" s="10"/>
    </row>
    <row r="251" spans="1:38" ht="33.75" hidden="1">
      <c r="A251" s="1">
        <f t="shared" si="35"/>
        <v>0</v>
      </c>
      <c r="B251" s="2" t="s">
        <v>1346</v>
      </c>
      <c r="C251" s="3" t="s">
        <v>1344</v>
      </c>
      <c r="D251" s="15" t="s">
        <v>11447</v>
      </c>
      <c r="E251" s="4" t="s">
        <v>1346</v>
      </c>
      <c r="F251" s="37" t="s">
        <v>1344</v>
      </c>
      <c r="G251" s="38">
        <v>0</v>
      </c>
      <c r="H251" s="38">
        <v>0</v>
      </c>
      <c r="I251" s="15"/>
      <c r="J251" s="494">
        <v>10202020101</v>
      </c>
      <c r="K251" s="517" t="s">
        <v>1340</v>
      </c>
      <c r="L251" s="517" t="s">
        <v>13389</v>
      </c>
      <c r="M251" s="517" t="s">
        <v>184</v>
      </c>
      <c r="N251" s="518" t="s">
        <v>1345</v>
      </c>
      <c r="O251" s="517">
        <v>1</v>
      </c>
      <c r="P251" s="517" t="s">
        <v>647</v>
      </c>
      <c r="Q251" s="517" t="s">
        <v>647</v>
      </c>
      <c r="R251" s="517" t="s">
        <v>647</v>
      </c>
      <c r="S251" s="517" t="s">
        <v>632</v>
      </c>
      <c r="T251" s="518" t="s">
        <v>1344</v>
      </c>
      <c r="U251" s="38">
        <f t="shared" si="34"/>
        <v>0</v>
      </c>
      <c r="V251" s="15" t="str">
        <f t="shared" si="33"/>
        <v>102020201</v>
      </c>
      <c r="W251" s="39">
        <v>1</v>
      </c>
      <c r="X251" s="40" t="s">
        <v>647</v>
      </c>
      <c r="Y251" s="40" t="s">
        <v>647</v>
      </c>
      <c r="Z251" s="40" t="s">
        <v>647</v>
      </c>
      <c r="AA251" s="40" t="s">
        <v>632</v>
      </c>
      <c r="AB251" s="41" t="s">
        <v>1344</v>
      </c>
      <c r="AC251" s="519">
        <f>H251</f>
        <v>0</v>
      </c>
      <c r="AD251" s="517" t="s">
        <v>1340</v>
      </c>
      <c r="AE251" s="517" t="s">
        <v>13389</v>
      </c>
      <c r="AF251" s="517" t="s">
        <v>184</v>
      </c>
      <c r="AG251" s="520" t="s">
        <v>1345</v>
      </c>
      <c r="AH251" s="67">
        <f t="shared" si="41"/>
        <v>0</v>
      </c>
      <c r="AI251" s="10"/>
      <c r="AJ251" s="9">
        <f t="shared" si="40"/>
        <v>0</v>
      </c>
      <c r="AK251" s="10"/>
      <c r="AL251" s="10"/>
    </row>
    <row r="252" spans="1:38" ht="33.75" hidden="1">
      <c r="A252" s="1">
        <f t="shared" si="35"/>
        <v>0</v>
      </c>
      <c r="C252" s="3" t="s">
        <v>1347</v>
      </c>
      <c r="D252" s="15" t="s">
        <v>16</v>
      </c>
      <c r="E252" s="30"/>
      <c r="F252" s="31" t="s">
        <v>1348</v>
      </c>
      <c r="G252" s="32">
        <f>G253</f>
        <v>0</v>
      </c>
      <c r="H252" s="32">
        <f>H253</f>
        <v>0</v>
      </c>
      <c r="I252" s="15"/>
      <c r="J252" s="494"/>
      <c r="K252" s="513"/>
      <c r="L252" s="513"/>
      <c r="M252" s="513"/>
      <c r="N252" s="514"/>
      <c r="O252" s="513"/>
      <c r="P252" s="513"/>
      <c r="Q252" s="513"/>
      <c r="R252" s="513"/>
      <c r="S252" s="513"/>
      <c r="T252" s="514"/>
      <c r="U252" s="32">
        <f>U253</f>
        <v>0</v>
      </c>
      <c r="V252" s="15" t="str">
        <f t="shared" si="33"/>
        <v>102020300</v>
      </c>
      <c r="W252" s="33">
        <v>1</v>
      </c>
      <c r="X252" s="34" t="s">
        <v>647</v>
      </c>
      <c r="Y252" s="34" t="s">
        <v>647</v>
      </c>
      <c r="Z252" s="35" t="s">
        <v>671</v>
      </c>
      <c r="AA252" s="35" t="s">
        <v>630</v>
      </c>
      <c r="AB252" s="31" t="s">
        <v>1348</v>
      </c>
      <c r="AC252" s="546">
        <f>AC253</f>
        <v>0</v>
      </c>
      <c r="AD252" s="513" t="s">
        <v>1349</v>
      </c>
      <c r="AE252" s="513" t="s">
        <v>13390</v>
      </c>
      <c r="AF252" s="513" t="s">
        <v>185</v>
      </c>
      <c r="AG252" s="514" t="s">
        <v>1350</v>
      </c>
      <c r="AH252" s="522">
        <f t="shared" si="41"/>
        <v>0</v>
      </c>
      <c r="AI252" s="10"/>
      <c r="AJ252" s="9">
        <f t="shared" si="40"/>
        <v>0</v>
      </c>
      <c r="AK252" s="10"/>
      <c r="AL252" s="10"/>
    </row>
    <row r="253" spans="1:38" ht="22.5" hidden="1">
      <c r="A253" s="1">
        <f t="shared" si="35"/>
        <v>0</v>
      </c>
      <c r="B253" s="2" t="s">
        <v>1351</v>
      </c>
      <c r="C253" s="3" t="s">
        <v>1348</v>
      </c>
      <c r="D253" s="15" t="s">
        <v>11448</v>
      </c>
      <c r="E253" s="4" t="s">
        <v>1351</v>
      </c>
      <c r="F253" s="37" t="s">
        <v>1348</v>
      </c>
      <c r="G253" s="38">
        <v>0</v>
      </c>
      <c r="H253" s="38">
        <v>0</v>
      </c>
      <c r="I253" s="15"/>
      <c r="J253" s="494">
        <v>10202030101</v>
      </c>
      <c r="K253" s="517" t="s">
        <v>1349</v>
      </c>
      <c r="L253" s="517" t="s">
        <v>13390</v>
      </c>
      <c r="M253" s="517" t="s">
        <v>185</v>
      </c>
      <c r="N253" s="518" t="s">
        <v>1350</v>
      </c>
      <c r="O253" s="517">
        <v>1</v>
      </c>
      <c r="P253" s="517" t="s">
        <v>647</v>
      </c>
      <c r="Q253" s="517" t="s">
        <v>647</v>
      </c>
      <c r="R253" s="517" t="s">
        <v>671</v>
      </c>
      <c r="S253" s="517" t="s">
        <v>632</v>
      </c>
      <c r="T253" s="518" t="s">
        <v>1348</v>
      </c>
      <c r="U253" s="38">
        <v>0</v>
      </c>
      <c r="V253" s="15" t="str">
        <f t="shared" si="33"/>
        <v>102020301</v>
      </c>
      <c r="W253" s="39">
        <v>1</v>
      </c>
      <c r="X253" s="40" t="s">
        <v>647</v>
      </c>
      <c r="Y253" s="40" t="s">
        <v>647</v>
      </c>
      <c r="Z253" s="40" t="s">
        <v>671</v>
      </c>
      <c r="AA253" s="40" t="s">
        <v>632</v>
      </c>
      <c r="AB253" s="41" t="s">
        <v>1348</v>
      </c>
      <c r="AC253" s="519">
        <f>H253</f>
        <v>0</v>
      </c>
      <c r="AD253" s="517" t="s">
        <v>1349</v>
      </c>
      <c r="AE253" s="517" t="s">
        <v>13390</v>
      </c>
      <c r="AF253" s="517" t="s">
        <v>185</v>
      </c>
      <c r="AG253" s="520" t="s">
        <v>1350</v>
      </c>
      <c r="AH253" s="67">
        <f t="shared" si="41"/>
        <v>0</v>
      </c>
      <c r="AI253" s="10"/>
      <c r="AJ253" s="9">
        <f t="shared" si="40"/>
        <v>0</v>
      </c>
      <c r="AK253" s="10"/>
      <c r="AL253" s="10"/>
    </row>
    <row r="254" spans="1:38" ht="33.75" hidden="1">
      <c r="A254" s="1">
        <f t="shared" si="35"/>
        <v>0</v>
      </c>
      <c r="C254" s="3" t="s">
        <v>1352</v>
      </c>
      <c r="D254" s="15" t="s">
        <v>16</v>
      </c>
      <c r="E254" s="30"/>
      <c r="F254" s="31" t="s">
        <v>1353</v>
      </c>
      <c r="G254" s="32">
        <f>G255</f>
        <v>0</v>
      </c>
      <c r="H254" s="32">
        <f>H255</f>
        <v>0</v>
      </c>
      <c r="I254" s="15"/>
      <c r="J254" s="494"/>
      <c r="K254" s="513"/>
      <c r="L254" s="513"/>
      <c r="M254" s="513"/>
      <c r="N254" s="514"/>
      <c r="O254" s="513"/>
      <c r="P254" s="513"/>
      <c r="Q254" s="513"/>
      <c r="R254" s="513"/>
      <c r="S254" s="513"/>
      <c r="T254" s="514"/>
      <c r="U254" s="32">
        <f>U255</f>
        <v>0</v>
      </c>
      <c r="V254" s="15" t="str">
        <f t="shared" si="33"/>
        <v>102020400</v>
      </c>
      <c r="W254" s="33">
        <v>1</v>
      </c>
      <c r="X254" s="34" t="s">
        <v>647</v>
      </c>
      <c r="Y254" s="34" t="s">
        <v>647</v>
      </c>
      <c r="Z254" s="35" t="s">
        <v>693</v>
      </c>
      <c r="AA254" s="35" t="s">
        <v>630</v>
      </c>
      <c r="AB254" s="31" t="s">
        <v>1353</v>
      </c>
      <c r="AC254" s="546">
        <f>AC255</f>
        <v>0</v>
      </c>
      <c r="AD254" s="513">
        <v>0</v>
      </c>
      <c r="AE254" s="513" t="s">
        <v>13391</v>
      </c>
      <c r="AF254" s="513" t="s">
        <v>186</v>
      </c>
      <c r="AG254" s="514" t="s">
        <v>1354</v>
      </c>
      <c r="AH254" s="522">
        <f t="shared" si="41"/>
        <v>0</v>
      </c>
      <c r="AI254" s="10"/>
      <c r="AJ254" s="9">
        <f t="shared" si="40"/>
        <v>0</v>
      </c>
      <c r="AK254" s="10"/>
      <c r="AL254" s="10"/>
    </row>
    <row r="255" spans="1:38" ht="22.5" hidden="1">
      <c r="A255" s="1">
        <f t="shared" si="35"/>
        <v>0</v>
      </c>
      <c r="B255" s="2" t="s">
        <v>1355</v>
      </c>
      <c r="C255" s="3" t="s">
        <v>1356</v>
      </c>
      <c r="D255" s="15" t="s">
        <v>11449</v>
      </c>
      <c r="E255" s="4" t="s">
        <v>1355</v>
      </c>
      <c r="F255" s="37" t="s">
        <v>1356</v>
      </c>
      <c r="G255" s="38">
        <v>0</v>
      </c>
      <c r="H255" s="38">
        <v>0</v>
      </c>
      <c r="I255" s="15"/>
      <c r="J255" s="494">
        <v>10202040101</v>
      </c>
      <c r="K255" s="517"/>
      <c r="L255" s="517" t="s">
        <v>13391</v>
      </c>
      <c r="M255" s="517" t="s">
        <v>186</v>
      </c>
      <c r="N255" s="518" t="s">
        <v>1354</v>
      </c>
      <c r="O255" s="517">
        <v>1</v>
      </c>
      <c r="P255" s="517" t="s">
        <v>647</v>
      </c>
      <c r="Q255" s="517" t="s">
        <v>647</v>
      </c>
      <c r="R255" s="517" t="s">
        <v>693</v>
      </c>
      <c r="S255" s="517" t="s">
        <v>632</v>
      </c>
      <c r="T255" s="518" t="s">
        <v>1353</v>
      </c>
      <c r="U255" s="38">
        <v>0</v>
      </c>
      <c r="V255" s="15" t="str">
        <f t="shared" si="33"/>
        <v>102020401</v>
      </c>
      <c r="W255" s="39">
        <v>1</v>
      </c>
      <c r="X255" s="40" t="s">
        <v>647</v>
      </c>
      <c r="Y255" s="40" t="s">
        <v>647</v>
      </c>
      <c r="Z255" s="40" t="s">
        <v>693</v>
      </c>
      <c r="AA255" s="40" t="s">
        <v>632</v>
      </c>
      <c r="AB255" s="41" t="s">
        <v>1353</v>
      </c>
      <c r="AC255" s="519">
        <f>H255</f>
        <v>0</v>
      </c>
      <c r="AD255" s="517">
        <v>0</v>
      </c>
      <c r="AE255" s="517" t="s">
        <v>13391</v>
      </c>
      <c r="AF255" s="517" t="s">
        <v>186</v>
      </c>
      <c r="AG255" s="520" t="s">
        <v>1354</v>
      </c>
      <c r="AH255" s="67">
        <f t="shared" si="41"/>
        <v>0</v>
      </c>
      <c r="AI255" s="10"/>
      <c r="AJ255" s="9">
        <f t="shared" si="40"/>
        <v>0</v>
      </c>
      <c r="AK255" s="10"/>
      <c r="AL255" s="10"/>
    </row>
    <row r="256" spans="1:38" ht="45" hidden="1">
      <c r="A256" s="1">
        <f t="shared" si="35"/>
        <v>0</v>
      </c>
      <c r="C256" s="3" t="s">
        <v>1357</v>
      </c>
      <c r="D256" s="15" t="s">
        <v>16</v>
      </c>
      <c r="E256" s="30"/>
      <c r="F256" s="31" t="s">
        <v>1358</v>
      </c>
      <c r="G256" s="32">
        <f>G257</f>
        <v>0</v>
      </c>
      <c r="H256" s="32">
        <f>H257</f>
        <v>0</v>
      </c>
      <c r="I256" s="15"/>
      <c r="J256" s="494"/>
      <c r="K256" s="513"/>
      <c r="L256" s="513"/>
      <c r="M256" s="513"/>
      <c r="N256" s="514"/>
      <c r="O256" s="513"/>
      <c r="P256" s="513"/>
      <c r="Q256" s="513"/>
      <c r="R256" s="513"/>
      <c r="S256" s="513"/>
      <c r="T256" s="514"/>
      <c r="U256" s="32">
        <f>U257</f>
        <v>0</v>
      </c>
      <c r="V256" s="15" t="str">
        <f t="shared" si="33"/>
        <v>102020500</v>
      </c>
      <c r="W256" s="33">
        <v>1</v>
      </c>
      <c r="X256" s="34" t="s">
        <v>647</v>
      </c>
      <c r="Y256" s="34" t="s">
        <v>647</v>
      </c>
      <c r="Z256" s="35" t="s">
        <v>714</v>
      </c>
      <c r="AA256" s="35" t="s">
        <v>630</v>
      </c>
      <c r="AB256" s="31" t="s">
        <v>1358</v>
      </c>
      <c r="AC256" s="546">
        <f>AC257</f>
        <v>0</v>
      </c>
      <c r="AD256" s="513" t="s">
        <v>1340</v>
      </c>
      <c r="AE256" s="513" t="s">
        <v>13392</v>
      </c>
      <c r="AF256" s="513" t="s">
        <v>187</v>
      </c>
      <c r="AG256" s="514" t="s">
        <v>1359</v>
      </c>
      <c r="AH256" s="522">
        <f t="shared" si="41"/>
        <v>0</v>
      </c>
      <c r="AI256" s="10"/>
      <c r="AJ256" s="9">
        <f t="shared" si="40"/>
        <v>0</v>
      </c>
      <c r="AK256" s="10"/>
      <c r="AL256" s="10"/>
    </row>
    <row r="257" spans="1:38" ht="33.75" hidden="1">
      <c r="A257" s="1">
        <f t="shared" si="35"/>
        <v>0</v>
      </c>
      <c r="B257" s="2" t="s">
        <v>1360</v>
      </c>
      <c r="C257" s="3" t="s">
        <v>1357</v>
      </c>
      <c r="D257" s="15" t="s">
        <v>11450</v>
      </c>
      <c r="E257" s="4" t="s">
        <v>1360</v>
      </c>
      <c r="F257" s="37" t="s">
        <v>1357</v>
      </c>
      <c r="G257" s="38">
        <v>0</v>
      </c>
      <c r="H257" s="38">
        <v>0</v>
      </c>
      <c r="I257" s="15"/>
      <c r="J257" s="494">
        <v>10202050101</v>
      </c>
      <c r="K257" s="517" t="s">
        <v>1340</v>
      </c>
      <c r="L257" s="517" t="s">
        <v>13392</v>
      </c>
      <c r="M257" s="517" t="s">
        <v>187</v>
      </c>
      <c r="N257" s="518" t="s">
        <v>1359</v>
      </c>
      <c r="O257" s="517">
        <v>1</v>
      </c>
      <c r="P257" s="517" t="s">
        <v>647</v>
      </c>
      <c r="Q257" s="517" t="s">
        <v>647</v>
      </c>
      <c r="R257" s="517" t="s">
        <v>714</v>
      </c>
      <c r="S257" s="517" t="s">
        <v>632</v>
      </c>
      <c r="T257" s="518" t="s">
        <v>1358</v>
      </c>
      <c r="U257" s="38">
        <v>0</v>
      </c>
      <c r="V257" s="15" t="str">
        <f t="shared" si="33"/>
        <v>102020501</v>
      </c>
      <c r="W257" s="39">
        <v>1</v>
      </c>
      <c r="X257" s="40" t="s">
        <v>647</v>
      </c>
      <c r="Y257" s="40" t="s">
        <v>647</v>
      </c>
      <c r="Z257" s="40" t="s">
        <v>714</v>
      </c>
      <c r="AA257" s="40" t="s">
        <v>632</v>
      </c>
      <c r="AB257" s="41" t="s">
        <v>1358</v>
      </c>
      <c r="AC257" s="519">
        <f>H257</f>
        <v>0</v>
      </c>
      <c r="AD257" s="517" t="s">
        <v>1340</v>
      </c>
      <c r="AE257" s="517" t="s">
        <v>13392</v>
      </c>
      <c r="AF257" s="517" t="s">
        <v>187</v>
      </c>
      <c r="AG257" s="520" t="s">
        <v>1359</v>
      </c>
      <c r="AH257" s="67">
        <f t="shared" si="41"/>
        <v>0</v>
      </c>
      <c r="AI257" s="10"/>
      <c r="AJ257" s="9">
        <f t="shared" si="40"/>
        <v>0</v>
      </c>
      <c r="AK257" s="10"/>
      <c r="AL257" s="10"/>
    </row>
    <row r="258" spans="1:38" ht="45" hidden="1">
      <c r="A258" s="1">
        <f t="shared" si="35"/>
        <v>0</v>
      </c>
      <c r="C258" s="3" t="s">
        <v>1361</v>
      </c>
      <c r="D258" s="15" t="s">
        <v>16</v>
      </c>
      <c r="E258" s="30"/>
      <c r="F258" s="31" t="s">
        <v>1362</v>
      </c>
      <c r="G258" s="32">
        <f>G259</f>
        <v>0</v>
      </c>
      <c r="H258" s="32">
        <f>H259</f>
        <v>0</v>
      </c>
      <c r="I258" s="15"/>
      <c r="J258" s="494"/>
      <c r="K258" s="513"/>
      <c r="L258" s="513"/>
      <c r="M258" s="513"/>
      <c r="N258" s="514"/>
      <c r="O258" s="513"/>
      <c r="P258" s="513"/>
      <c r="Q258" s="513"/>
      <c r="R258" s="513"/>
      <c r="S258" s="513"/>
      <c r="T258" s="514"/>
      <c r="U258" s="32">
        <f>U259</f>
        <v>0</v>
      </c>
      <c r="V258" s="15" t="str">
        <f t="shared" si="33"/>
        <v>102020600</v>
      </c>
      <c r="W258" s="33">
        <v>1</v>
      </c>
      <c r="X258" s="34" t="s">
        <v>647</v>
      </c>
      <c r="Y258" s="34" t="s">
        <v>647</v>
      </c>
      <c r="Z258" s="35" t="s">
        <v>739</v>
      </c>
      <c r="AA258" s="35" t="s">
        <v>630</v>
      </c>
      <c r="AB258" s="31" t="s">
        <v>1362</v>
      </c>
      <c r="AC258" s="546">
        <f>AC259</f>
        <v>0</v>
      </c>
      <c r="AD258" s="513" t="s">
        <v>1340</v>
      </c>
      <c r="AE258" s="513" t="s">
        <v>13393</v>
      </c>
      <c r="AF258" s="513" t="s">
        <v>188</v>
      </c>
      <c r="AG258" s="514" t="s">
        <v>1363</v>
      </c>
      <c r="AH258" s="522">
        <f t="shared" si="41"/>
        <v>0</v>
      </c>
      <c r="AI258" s="10"/>
      <c r="AJ258" s="9">
        <f t="shared" si="40"/>
        <v>0</v>
      </c>
      <c r="AK258" s="10"/>
      <c r="AL258" s="10"/>
    </row>
    <row r="259" spans="1:38" ht="33.75" hidden="1">
      <c r="A259" s="1">
        <f t="shared" si="35"/>
        <v>0</v>
      </c>
      <c r="B259" s="2" t="s">
        <v>1364</v>
      </c>
      <c r="C259" s="3" t="s">
        <v>1361</v>
      </c>
      <c r="D259" s="15" t="s">
        <v>11451</v>
      </c>
      <c r="E259" s="4" t="s">
        <v>1364</v>
      </c>
      <c r="F259" s="37" t="s">
        <v>1361</v>
      </c>
      <c r="G259" s="38">
        <v>0</v>
      </c>
      <c r="H259" s="38">
        <v>0</v>
      </c>
      <c r="I259" s="15"/>
      <c r="J259" s="494">
        <v>10202060101</v>
      </c>
      <c r="K259" s="517" t="s">
        <v>1340</v>
      </c>
      <c r="L259" s="517" t="s">
        <v>13393</v>
      </c>
      <c r="M259" s="517" t="s">
        <v>188</v>
      </c>
      <c r="N259" s="518" t="s">
        <v>1363</v>
      </c>
      <c r="O259" s="517">
        <v>1</v>
      </c>
      <c r="P259" s="517" t="s">
        <v>647</v>
      </c>
      <c r="Q259" s="517" t="s">
        <v>647</v>
      </c>
      <c r="R259" s="517" t="s">
        <v>739</v>
      </c>
      <c r="S259" s="517" t="s">
        <v>632</v>
      </c>
      <c r="T259" s="518" t="s">
        <v>1362</v>
      </c>
      <c r="U259" s="38">
        <v>0</v>
      </c>
      <c r="V259" s="15" t="str">
        <f t="shared" ref="V259:V322" si="42">CONCATENATE(W259,X259,Y259,Z259,AA259)</f>
        <v>102020601</v>
      </c>
      <c r="W259" s="39">
        <v>1</v>
      </c>
      <c r="X259" s="40" t="s">
        <v>647</v>
      </c>
      <c r="Y259" s="40" t="s">
        <v>647</v>
      </c>
      <c r="Z259" s="40" t="s">
        <v>739</v>
      </c>
      <c r="AA259" s="40" t="s">
        <v>632</v>
      </c>
      <c r="AB259" s="41" t="s">
        <v>1362</v>
      </c>
      <c r="AC259" s="519">
        <f>H259</f>
        <v>0</v>
      </c>
      <c r="AD259" s="517" t="s">
        <v>1340</v>
      </c>
      <c r="AE259" s="517" t="s">
        <v>13393</v>
      </c>
      <c r="AF259" s="517" t="s">
        <v>188</v>
      </c>
      <c r="AG259" s="520" t="s">
        <v>1363</v>
      </c>
      <c r="AH259" s="67">
        <f t="shared" si="41"/>
        <v>0</v>
      </c>
      <c r="AI259" s="10"/>
      <c r="AJ259" s="9">
        <f t="shared" si="40"/>
        <v>0</v>
      </c>
      <c r="AK259" s="10"/>
      <c r="AL259" s="10"/>
    </row>
    <row r="260" spans="1:38" ht="33.75" hidden="1">
      <c r="A260" s="1">
        <f t="shared" si="35"/>
        <v>0</v>
      </c>
      <c r="C260" s="3" t="s">
        <v>1365</v>
      </c>
      <c r="D260" s="15" t="s">
        <v>16</v>
      </c>
      <c r="E260" s="30"/>
      <c r="F260" s="31" t="s">
        <v>1366</v>
      </c>
      <c r="G260" s="32">
        <f>SUM(G261)</f>
        <v>0</v>
      </c>
      <c r="H260" s="32">
        <f>SUM(H261)</f>
        <v>0</v>
      </c>
      <c r="I260" s="15"/>
      <c r="J260" s="494"/>
      <c r="K260" s="513"/>
      <c r="L260" s="513"/>
      <c r="M260" s="513"/>
      <c r="N260" s="514"/>
      <c r="O260" s="513"/>
      <c r="P260" s="513"/>
      <c r="Q260" s="513"/>
      <c r="R260" s="513"/>
      <c r="S260" s="513"/>
      <c r="T260" s="514"/>
      <c r="U260" s="32">
        <f>SUM(U261)</f>
        <v>0</v>
      </c>
      <c r="V260" s="15" t="str">
        <f t="shared" si="42"/>
        <v>102020700</v>
      </c>
      <c r="W260" s="33">
        <v>1</v>
      </c>
      <c r="X260" s="34" t="s">
        <v>647</v>
      </c>
      <c r="Y260" s="34" t="s">
        <v>647</v>
      </c>
      <c r="Z260" s="35" t="s">
        <v>755</v>
      </c>
      <c r="AA260" s="35" t="s">
        <v>630</v>
      </c>
      <c r="AB260" s="31" t="s">
        <v>1366</v>
      </c>
      <c r="AC260" s="546">
        <f>SUM(AC261)</f>
        <v>0</v>
      </c>
      <c r="AD260" s="513" t="s">
        <v>1340</v>
      </c>
      <c r="AE260" s="513" t="s">
        <v>13394</v>
      </c>
      <c r="AF260" s="513" t="s">
        <v>189</v>
      </c>
      <c r="AG260" s="514" t="s">
        <v>1367</v>
      </c>
      <c r="AH260" s="522">
        <f>AH261</f>
        <v>0</v>
      </c>
      <c r="AI260" s="10"/>
      <c r="AJ260" s="9">
        <f t="shared" si="40"/>
        <v>0</v>
      </c>
      <c r="AK260" s="10"/>
      <c r="AL260" s="10"/>
    </row>
    <row r="261" spans="1:38" ht="22.5" hidden="1">
      <c r="A261" s="1">
        <f t="shared" si="35"/>
        <v>0</v>
      </c>
      <c r="B261" s="2" t="s">
        <v>1368</v>
      </c>
      <c r="C261" s="3" t="s">
        <v>1366</v>
      </c>
      <c r="D261" s="15" t="s">
        <v>11452</v>
      </c>
      <c r="E261" s="4" t="s">
        <v>1368</v>
      </c>
      <c r="F261" s="37" t="s">
        <v>1366</v>
      </c>
      <c r="G261" s="38">
        <v>0</v>
      </c>
      <c r="H261" s="38">
        <v>0</v>
      </c>
      <c r="I261" s="15"/>
      <c r="J261" s="494">
        <v>10202070101</v>
      </c>
      <c r="K261" s="517" t="s">
        <v>1340</v>
      </c>
      <c r="L261" s="517" t="s">
        <v>13394</v>
      </c>
      <c r="M261" s="517" t="s">
        <v>189</v>
      </c>
      <c r="N261" s="518" t="s">
        <v>1367</v>
      </c>
      <c r="O261" s="517">
        <v>1</v>
      </c>
      <c r="P261" s="517" t="s">
        <v>647</v>
      </c>
      <c r="Q261" s="517" t="s">
        <v>647</v>
      </c>
      <c r="R261" s="517" t="s">
        <v>755</v>
      </c>
      <c r="S261" s="517" t="s">
        <v>632</v>
      </c>
      <c r="T261" s="518" t="s">
        <v>1366</v>
      </c>
      <c r="U261" s="38">
        <v>0</v>
      </c>
      <c r="V261" s="15" t="str">
        <f t="shared" si="42"/>
        <v>102020701</v>
      </c>
      <c r="W261" s="39">
        <v>1</v>
      </c>
      <c r="X261" s="40" t="s">
        <v>647</v>
      </c>
      <c r="Y261" s="40" t="s">
        <v>647</v>
      </c>
      <c r="Z261" s="40" t="s">
        <v>755</v>
      </c>
      <c r="AA261" s="40" t="s">
        <v>632</v>
      </c>
      <c r="AB261" s="41" t="s">
        <v>1366</v>
      </c>
      <c r="AC261" s="519">
        <f>H261+H262</f>
        <v>0</v>
      </c>
      <c r="AD261" s="517" t="s">
        <v>1340</v>
      </c>
      <c r="AE261" s="517" t="s">
        <v>13394</v>
      </c>
      <c r="AF261" s="517" t="s">
        <v>189</v>
      </c>
      <c r="AG261" s="520" t="s">
        <v>1367</v>
      </c>
      <c r="AH261" s="67">
        <f>AC261</f>
        <v>0</v>
      </c>
      <c r="AI261" s="10"/>
      <c r="AJ261" s="9">
        <f t="shared" si="40"/>
        <v>0</v>
      </c>
      <c r="AK261" s="10"/>
      <c r="AL261" s="10"/>
    </row>
    <row r="262" spans="1:38" ht="22.5" hidden="1">
      <c r="A262" s="1">
        <f t="shared" ref="A262:A325" si="43">IF(E262=B262,0,1)</f>
        <v>0</v>
      </c>
      <c r="B262" s="2" t="s">
        <v>1369</v>
      </c>
      <c r="C262" s="3" t="s">
        <v>1370</v>
      </c>
      <c r="D262" s="15" t="s">
        <v>11452</v>
      </c>
      <c r="E262" s="4" t="s">
        <v>1369</v>
      </c>
      <c r="F262" s="37" t="s">
        <v>1370</v>
      </c>
      <c r="G262" s="38">
        <v>0</v>
      </c>
      <c r="H262" s="38">
        <v>0</v>
      </c>
      <c r="I262" s="15"/>
      <c r="J262" s="494">
        <v>10202070102</v>
      </c>
      <c r="K262" s="517" t="s">
        <v>1340</v>
      </c>
      <c r="L262" s="517" t="s">
        <v>13394</v>
      </c>
      <c r="M262" s="517" t="s">
        <v>189</v>
      </c>
      <c r="N262" s="518" t="s">
        <v>1367</v>
      </c>
      <c r="O262" s="517">
        <v>1</v>
      </c>
      <c r="P262" s="517" t="s">
        <v>647</v>
      </c>
      <c r="Q262" s="517" t="s">
        <v>647</v>
      </c>
      <c r="R262" s="517" t="s">
        <v>755</v>
      </c>
      <c r="S262" s="517" t="s">
        <v>632</v>
      </c>
      <c r="T262" s="518" t="s">
        <v>1366</v>
      </c>
      <c r="U262" s="38">
        <v>0</v>
      </c>
      <c r="V262" s="15" t="str">
        <f t="shared" si="42"/>
        <v>102020701</v>
      </c>
      <c r="W262" s="39">
        <v>1</v>
      </c>
      <c r="X262" s="40" t="s">
        <v>647</v>
      </c>
      <c r="Y262" s="40" t="s">
        <v>647</v>
      </c>
      <c r="Z262" s="40" t="s">
        <v>755</v>
      </c>
      <c r="AA262" s="40" t="s">
        <v>632</v>
      </c>
      <c r="AB262" s="41" t="s">
        <v>1366</v>
      </c>
      <c r="AC262" s="548"/>
      <c r="AD262" s="517" t="s">
        <v>1340</v>
      </c>
      <c r="AE262" s="517" t="s">
        <v>13394</v>
      </c>
      <c r="AF262" s="517" t="s">
        <v>189</v>
      </c>
      <c r="AG262" s="520" t="s">
        <v>1367</v>
      </c>
      <c r="AH262" s="60"/>
      <c r="AI262" s="10"/>
      <c r="AJ262" s="9">
        <f t="shared" si="40"/>
        <v>0</v>
      </c>
      <c r="AK262" s="10"/>
      <c r="AL262" s="10"/>
    </row>
    <row r="263" spans="1:38" ht="33.75" hidden="1">
      <c r="A263" s="1">
        <f t="shared" si="43"/>
        <v>0</v>
      </c>
      <c r="D263" s="15" t="s">
        <v>16</v>
      </c>
      <c r="E263" s="30"/>
      <c r="F263" s="31" t="s">
        <v>1371</v>
      </c>
      <c r="G263" s="32">
        <f>G264</f>
        <v>0</v>
      </c>
      <c r="H263" s="32">
        <f>H264</f>
        <v>0</v>
      </c>
      <c r="I263" s="15"/>
      <c r="J263" s="494"/>
      <c r="K263" s="513"/>
      <c r="L263" s="513"/>
      <c r="M263" s="513"/>
      <c r="N263" s="514"/>
      <c r="O263" s="513"/>
      <c r="P263" s="513"/>
      <c r="Q263" s="513"/>
      <c r="R263" s="513"/>
      <c r="S263" s="513"/>
      <c r="T263" s="514"/>
      <c r="U263" s="32">
        <f>U264</f>
        <v>0</v>
      </c>
      <c r="V263" s="15" t="str">
        <f t="shared" si="42"/>
        <v>102022800</v>
      </c>
      <c r="W263" s="33">
        <v>1</v>
      </c>
      <c r="X263" s="34" t="s">
        <v>647</v>
      </c>
      <c r="Y263" s="34" t="s">
        <v>647</v>
      </c>
      <c r="Z263" s="34" t="s">
        <v>1372</v>
      </c>
      <c r="AA263" s="35" t="s">
        <v>630</v>
      </c>
      <c r="AB263" s="31" t="s">
        <v>1371</v>
      </c>
      <c r="AC263" s="546">
        <f>AC264</f>
        <v>0</v>
      </c>
      <c r="AD263" s="513" t="s">
        <v>1340</v>
      </c>
      <c r="AE263" s="513" t="s">
        <v>13395</v>
      </c>
      <c r="AF263" s="513" t="s">
        <v>1373</v>
      </c>
      <c r="AG263" s="514" t="s">
        <v>1374</v>
      </c>
      <c r="AH263" s="522">
        <f>AC263</f>
        <v>0</v>
      </c>
      <c r="AI263" s="10"/>
      <c r="AJ263" s="9">
        <f t="shared" si="40"/>
        <v>0</v>
      </c>
      <c r="AK263" s="10"/>
      <c r="AL263" s="10"/>
    </row>
    <row r="264" spans="1:38" ht="33.75" hidden="1">
      <c r="A264" s="57">
        <f t="shared" si="43"/>
        <v>1</v>
      </c>
      <c r="B264" s="58"/>
      <c r="C264" s="59"/>
      <c r="D264" s="15" t="s">
        <v>11453</v>
      </c>
      <c r="E264" s="4" t="s">
        <v>1375</v>
      </c>
      <c r="F264" s="37" t="s">
        <v>1371</v>
      </c>
      <c r="G264" s="38">
        <v>0</v>
      </c>
      <c r="H264" s="38">
        <v>0</v>
      </c>
      <c r="I264" s="15"/>
      <c r="J264" s="494">
        <v>10202280101</v>
      </c>
      <c r="K264" s="517" t="s">
        <v>1340</v>
      </c>
      <c r="L264" s="517" t="s">
        <v>13395</v>
      </c>
      <c r="M264" s="517" t="s">
        <v>1373</v>
      </c>
      <c r="N264" s="518" t="s">
        <v>1374</v>
      </c>
      <c r="O264" s="517">
        <v>1</v>
      </c>
      <c r="P264" s="517" t="s">
        <v>647</v>
      </c>
      <c r="Q264" s="517" t="s">
        <v>647</v>
      </c>
      <c r="R264" s="517" t="s">
        <v>1372</v>
      </c>
      <c r="S264" s="517" t="s">
        <v>632</v>
      </c>
      <c r="T264" s="518" t="s">
        <v>1371</v>
      </c>
      <c r="U264" s="38">
        <v>0</v>
      </c>
      <c r="V264" s="15" t="str">
        <f t="shared" si="42"/>
        <v>102022801</v>
      </c>
      <c r="W264" s="39">
        <v>1</v>
      </c>
      <c r="X264" s="40" t="s">
        <v>647</v>
      </c>
      <c r="Y264" s="40" t="s">
        <v>647</v>
      </c>
      <c r="Z264" s="40" t="s">
        <v>1372</v>
      </c>
      <c r="AA264" s="40" t="s">
        <v>632</v>
      </c>
      <c r="AB264" s="41" t="s">
        <v>1371</v>
      </c>
      <c r="AC264" s="519">
        <f>H264</f>
        <v>0</v>
      </c>
      <c r="AD264" s="517" t="s">
        <v>1340</v>
      </c>
      <c r="AE264" s="517" t="s">
        <v>13395</v>
      </c>
      <c r="AF264" s="517" t="s">
        <v>1373</v>
      </c>
      <c r="AG264" s="520" t="s">
        <v>1374</v>
      </c>
      <c r="AH264" s="67">
        <f>AC264</f>
        <v>0</v>
      </c>
      <c r="AI264" s="10"/>
      <c r="AJ264" s="9">
        <f t="shared" si="40"/>
        <v>0</v>
      </c>
      <c r="AK264" s="10"/>
      <c r="AL264" s="10"/>
    </row>
    <row r="265" spans="1:38" ht="33.75" hidden="1">
      <c r="A265" s="1">
        <f t="shared" si="43"/>
        <v>0</v>
      </c>
      <c r="C265" s="3" t="s">
        <v>1376</v>
      </c>
      <c r="D265" s="15" t="s">
        <v>16</v>
      </c>
      <c r="E265" s="30"/>
      <c r="F265" s="31" t="s">
        <v>1377</v>
      </c>
      <c r="G265" s="32">
        <f>SUM(G266:G269)</f>
        <v>0</v>
      </c>
      <c r="H265" s="32">
        <f>SUM(H266:H271)</f>
        <v>1770138</v>
      </c>
      <c r="I265" s="15"/>
      <c r="J265" s="494"/>
      <c r="K265" s="513"/>
      <c r="L265" s="513"/>
      <c r="M265" s="513"/>
      <c r="N265" s="514"/>
      <c r="O265" s="513"/>
      <c r="P265" s="513"/>
      <c r="Q265" s="513"/>
      <c r="R265" s="513"/>
      <c r="S265" s="513"/>
      <c r="T265" s="514"/>
      <c r="U265" s="32">
        <f>SUM(U266:U271)</f>
        <v>1770138</v>
      </c>
      <c r="V265" s="15" t="str">
        <f t="shared" si="42"/>
        <v>102020800</v>
      </c>
      <c r="W265" s="33">
        <v>1</v>
      </c>
      <c r="X265" s="34" t="s">
        <v>647</v>
      </c>
      <c r="Y265" s="34" t="s">
        <v>647</v>
      </c>
      <c r="Z265" s="35" t="s">
        <v>766</v>
      </c>
      <c r="AA265" s="35" t="s">
        <v>630</v>
      </c>
      <c r="AB265" s="31" t="s">
        <v>1377</v>
      </c>
      <c r="AC265" s="546">
        <f>SUM(AC266:AC269)</f>
        <v>1770138</v>
      </c>
      <c r="AD265" s="513" t="s">
        <v>1340</v>
      </c>
      <c r="AE265" s="513" t="s">
        <v>13396</v>
      </c>
      <c r="AF265" s="513" t="s">
        <v>190</v>
      </c>
      <c r="AG265" s="514" t="s">
        <v>1378</v>
      </c>
      <c r="AH265" s="522">
        <f>AC265</f>
        <v>1770138</v>
      </c>
      <c r="AI265" s="10"/>
      <c r="AJ265" s="9">
        <f t="shared" si="40"/>
        <v>0</v>
      </c>
      <c r="AK265" s="10"/>
      <c r="AL265" s="10"/>
    </row>
    <row r="266" spans="1:38" ht="33.75" hidden="1">
      <c r="A266" s="1">
        <f t="shared" si="43"/>
        <v>0</v>
      </c>
      <c r="B266" s="2" t="s">
        <v>1379</v>
      </c>
      <c r="C266" s="3" t="s">
        <v>1380</v>
      </c>
      <c r="D266" s="15" t="s">
        <v>11454</v>
      </c>
      <c r="E266" s="4" t="s">
        <v>1379</v>
      </c>
      <c r="F266" s="37" t="s">
        <v>1380</v>
      </c>
      <c r="G266" s="38">
        <v>0</v>
      </c>
      <c r="H266" s="38">
        <v>0</v>
      </c>
      <c r="I266" s="15"/>
      <c r="J266" s="494">
        <v>10202080101</v>
      </c>
      <c r="K266" s="517" t="s">
        <v>1340</v>
      </c>
      <c r="L266" s="517" t="s">
        <v>13396</v>
      </c>
      <c r="M266" s="517" t="s">
        <v>190</v>
      </c>
      <c r="N266" s="518" t="s">
        <v>1378</v>
      </c>
      <c r="O266" s="517">
        <v>1</v>
      </c>
      <c r="P266" s="517" t="s">
        <v>647</v>
      </c>
      <c r="Q266" s="517" t="s">
        <v>647</v>
      </c>
      <c r="R266" s="517" t="s">
        <v>766</v>
      </c>
      <c r="S266" s="517" t="s">
        <v>632</v>
      </c>
      <c r="T266" s="518" t="s">
        <v>1377</v>
      </c>
      <c r="U266" s="38">
        <v>0</v>
      </c>
      <c r="V266" s="15" t="str">
        <f t="shared" si="42"/>
        <v>102020801</v>
      </c>
      <c r="W266" s="39">
        <v>1</v>
      </c>
      <c r="X266" s="40" t="s">
        <v>647</v>
      </c>
      <c r="Y266" s="40" t="s">
        <v>647</v>
      </c>
      <c r="Z266" s="40" t="s">
        <v>766</v>
      </c>
      <c r="AA266" s="40" t="s">
        <v>632</v>
      </c>
      <c r="AB266" s="41" t="s">
        <v>1377</v>
      </c>
      <c r="AC266" s="519">
        <f>SUM(H266:H271)</f>
        <v>1770138</v>
      </c>
      <c r="AD266" s="517" t="s">
        <v>1340</v>
      </c>
      <c r="AE266" s="517" t="s">
        <v>13396</v>
      </c>
      <c r="AF266" s="517" t="s">
        <v>190</v>
      </c>
      <c r="AG266" s="520" t="s">
        <v>1378</v>
      </c>
      <c r="AH266" s="67">
        <f>AC266</f>
        <v>1770138</v>
      </c>
      <c r="AI266" s="10"/>
      <c r="AJ266" s="9"/>
      <c r="AK266" s="10"/>
      <c r="AL266" s="10"/>
    </row>
    <row r="267" spans="1:38" ht="33.75" hidden="1">
      <c r="A267" s="1">
        <f t="shared" si="43"/>
        <v>0</v>
      </c>
      <c r="B267" s="2" t="s">
        <v>1381</v>
      </c>
      <c r="C267" s="3" t="s">
        <v>1382</v>
      </c>
      <c r="D267" s="15" t="s">
        <v>11454</v>
      </c>
      <c r="E267" s="4" t="s">
        <v>1381</v>
      </c>
      <c r="F267" s="37" t="s">
        <v>1382</v>
      </c>
      <c r="G267" s="38">
        <v>0</v>
      </c>
      <c r="H267" s="38">
        <v>0</v>
      </c>
      <c r="I267" s="15"/>
      <c r="J267" s="494">
        <v>10202080102</v>
      </c>
      <c r="K267" s="517" t="s">
        <v>1340</v>
      </c>
      <c r="L267" s="517" t="s">
        <v>13396</v>
      </c>
      <c r="M267" s="517" t="s">
        <v>190</v>
      </c>
      <c r="N267" s="518" t="s">
        <v>1378</v>
      </c>
      <c r="O267" s="517">
        <v>1</v>
      </c>
      <c r="P267" s="517" t="s">
        <v>647</v>
      </c>
      <c r="Q267" s="517" t="s">
        <v>647</v>
      </c>
      <c r="R267" s="517" t="s">
        <v>766</v>
      </c>
      <c r="S267" s="517" t="s">
        <v>632</v>
      </c>
      <c r="T267" s="518" t="s">
        <v>1377</v>
      </c>
      <c r="U267" s="38">
        <v>0</v>
      </c>
      <c r="V267" s="15" t="str">
        <f t="shared" si="42"/>
        <v>102020801</v>
      </c>
      <c r="W267" s="39">
        <v>1</v>
      </c>
      <c r="X267" s="40" t="s">
        <v>647</v>
      </c>
      <c r="Y267" s="40" t="s">
        <v>647</v>
      </c>
      <c r="Z267" s="40" t="s">
        <v>766</v>
      </c>
      <c r="AA267" s="40" t="s">
        <v>632</v>
      </c>
      <c r="AB267" s="41" t="s">
        <v>1377</v>
      </c>
      <c r="AC267" s="9"/>
      <c r="AD267" s="517" t="s">
        <v>1340</v>
      </c>
      <c r="AE267" s="517" t="s">
        <v>13396</v>
      </c>
      <c r="AF267" s="517" t="s">
        <v>190</v>
      </c>
      <c r="AG267" s="520" t="s">
        <v>1378</v>
      </c>
      <c r="AH267" s="9"/>
      <c r="AI267" s="10"/>
      <c r="AJ267" s="9"/>
      <c r="AK267" s="10"/>
      <c r="AL267" s="10"/>
    </row>
    <row r="268" spans="1:38" ht="33.75" hidden="1">
      <c r="A268" s="1">
        <f t="shared" si="43"/>
        <v>0</v>
      </c>
      <c r="B268" s="2" t="s">
        <v>1383</v>
      </c>
      <c r="C268" s="3" t="s">
        <v>1384</v>
      </c>
      <c r="D268" s="15" t="s">
        <v>11454</v>
      </c>
      <c r="E268" s="4" t="s">
        <v>1383</v>
      </c>
      <c r="F268" s="37" t="s">
        <v>1384</v>
      </c>
      <c r="G268" s="38">
        <v>0</v>
      </c>
      <c r="H268" s="38">
        <v>0</v>
      </c>
      <c r="I268" s="15"/>
      <c r="J268" s="494">
        <v>10202080103</v>
      </c>
      <c r="K268" s="517" t="s">
        <v>1340</v>
      </c>
      <c r="L268" s="517" t="s">
        <v>13396</v>
      </c>
      <c r="M268" s="517" t="s">
        <v>190</v>
      </c>
      <c r="N268" s="518" t="s">
        <v>1378</v>
      </c>
      <c r="O268" s="517">
        <v>1</v>
      </c>
      <c r="P268" s="517" t="s">
        <v>647</v>
      </c>
      <c r="Q268" s="517" t="s">
        <v>647</v>
      </c>
      <c r="R268" s="517" t="s">
        <v>766</v>
      </c>
      <c r="S268" s="517" t="s">
        <v>632</v>
      </c>
      <c r="T268" s="518" t="s">
        <v>1377</v>
      </c>
      <c r="U268" s="38">
        <v>0</v>
      </c>
      <c r="V268" s="15" t="str">
        <f t="shared" si="42"/>
        <v>102020801</v>
      </c>
      <c r="W268" s="39">
        <v>1</v>
      </c>
      <c r="X268" s="40" t="s">
        <v>647</v>
      </c>
      <c r="Y268" s="40" t="s">
        <v>647</v>
      </c>
      <c r="Z268" s="40" t="s">
        <v>766</v>
      </c>
      <c r="AA268" s="40" t="s">
        <v>632</v>
      </c>
      <c r="AB268" s="41" t="s">
        <v>1377</v>
      </c>
      <c r="AC268" s="9"/>
      <c r="AD268" s="517" t="s">
        <v>1340</v>
      </c>
      <c r="AE268" s="517" t="s">
        <v>13396</v>
      </c>
      <c r="AF268" s="517" t="s">
        <v>190</v>
      </c>
      <c r="AG268" s="520" t="s">
        <v>1378</v>
      </c>
      <c r="AH268" s="9"/>
      <c r="AI268" s="10"/>
      <c r="AJ268" s="9"/>
      <c r="AK268" s="10"/>
      <c r="AL268" s="10"/>
    </row>
    <row r="269" spans="1:38" ht="33.75" hidden="1">
      <c r="A269" s="1">
        <f t="shared" si="43"/>
        <v>0</v>
      </c>
      <c r="B269" s="2" t="s">
        <v>1385</v>
      </c>
      <c r="C269" s="3" t="s">
        <v>1386</v>
      </c>
      <c r="D269" s="15" t="s">
        <v>11454</v>
      </c>
      <c r="E269" s="4" t="s">
        <v>1385</v>
      </c>
      <c r="F269" s="37" t="s">
        <v>1386</v>
      </c>
      <c r="G269" s="38">
        <v>0</v>
      </c>
      <c r="H269" s="38">
        <v>0</v>
      </c>
      <c r="I269" s="15"/>
      <c r="J269" s="494">
        <v>10202080104</v>
      </c>
      <c r="K269" s="517" t="s">
        <v>1340</v>
      </c>
      <c r="L269" s="517" t="s">
        <v>13396</v>
      </c>
      <c r="M269" s="517" t="s">
        <v>190</v>
      </c>
      <c r="N269" s="518" t="s">
        <v>1378</v>
      </c>
      <c r="O269" s="517">
        <v>1</v>
      </c>
      <c r="P269" s="517" t="s">
        <v>647</v>
      </c>
      <c r="Q269" s="517" t="s">
        <v>647</v>
      </c>
      <c r="R269" s="517" t="s">
        <v>766</v>
      </c>
      <c r="S269" s="517" t="s">
        <v>632</v>
      </c>
      <c r="T269" s="518" t="s">
        <v>1377</v>
      </c>
      <c r="U269" s="38">
        <v>0</v>
      </c>
      <c r="V269" s="15" t="str">
        <f t="shared" si="42"/>
        <v>102020801</v>
      </c>
      <c r="W269" s="39">
        <v>1</v>
      </c>
      <c r="X269" s="40" t="s">
        <v>647</v>
      </c>
      <c r="Y269" s="40" t="s">
        <v>647</v>
      </c>
      <c r="Z269" s="40" t="s">
        <v>766</v>
      </c>
      <c r="AA269" s="40" t="s">
        <v>632</v>
      </c>
      <c r="AB269" s="41" t="s">
        <v>1377</v>
      </c>
      <c r="AC269" s="9"/>
      <c r="AD269" s="517" t="s">
        <v>1340</v>
      </c>
      <c r="AE269" s="517" t="s">
        <v>13396</v>
      </c>
      <c r="AF269" s="517" t="s">
        <v>190</v>
      </c>
      <c r="AG269" s="520" t="s">
        <v>1378</v>
      </c>
      <c r="AH269" s="9"/>
      <c r="AI269" s="10"/>
      <c r="AJ269" s="9"/>
      <c r="AK269" s="10"/>
      <c r="AL269" s="10"/>
    </row>
    <row r="270" spans="1:38" ht="33.75" hidden="1">
      <c r="A270" s="1">
        <f t="shared" si="43"/>
        <v>0</v>
      </c>
      <c r="B270" s="2" t="s">
        <v>1387</v>
      </c>
      <c r="C270" s="3" t="s">
        <v>1388</v>
      </c>
      <c r="D270" s="15" t="s">
        <v>11454</v>
      </c>
      <c r="E270" s="2" t="s">
        <v>1387</v>
      </c>
      <c r="F270" s="3" t="s">
        <v>1388</v>
      </c>
      <c r="G270" s="38"/>
      <c r="H270" s="38">
        <v>1254245</v>
      </c>
      <c r="I270" s="15"/>
      <c r="J270" s="494">
        <v>10202080105</v>
      </c>
      <c r="K270" s="517" t="s">
        <v>1340</v>
      </c>
      <c r="L270" s="517" t="s">
        <v>13396</v>
      </c>
      <c r="M270" s="517" t="s">
        <v>190</v>
      </c>
      <c r="N270" s="518" t="s">
        <v>1378</v>
      </c>
      <c r="O270" s="517">
        <v>1</v>
      </c>
      <c r="P270" s="517" t="s">
        <v>647</v>
      </c>
      <c r="Q270" s="517" t="s">
        <v>647</v>
      </c>
      <c r="R270" s="517" t="s">
        <v>766</v>
      </c>
      <c r="S270" s="517" t="s">
        <v>632</v>
      </c>
      <c r="T270" s="518" t="s">
        <v>1377</v>
      </c>
      <c r="U270" s="38">
        <v>1254245</v>
      </c>
      <c r="V270" s="15" t="str">
        <f t="shared" si="42"/>
        <v>102020801</v>
      </c>
      <c r="W270" s="39">
        <v>1</v>
      </c>
      <c r="X270" s="40" t="s">
        <v>647</v>
      </c>
      <c r="Y270" s="40" t="s">
        <v>647</v>
      </c>
      <c r="Z270" s="40" t="s">
        <v>766</v>
      </c>
      <c r="AA270" s="40" t="s">
        <v>632</v>
      </c>
      <c r="AB270" s="41" t="s">
        <v>1377</v>
      </c>
      <c r="AC270" s="9"/>
      <c r="AD270" s="517" t="s">
        <v>1340</v>
      </c>
      <c r="AE270" s="517" t="s">
        <v>13396</v>
      </c>
      <c r="AF270" s="517" t="s">
        <v>190</v>
      </c>
      <c r="AG270" s="520" t="s">
        <v>1378</v>
      </c>
      <c r="AH270" s="9"/>
      <c r="AI270" s="10"/>
      <c r="AJ270" s="9"/>
      <c r="AK270" s="10"/>
      <c r="AL270" s="10"/>
    </row>
    <row r="271" spans="1:38" ht="45" hidden="1">
      <c r="A271" s="1">
        <f t="shared" si="43"/>
        <v>0</v>
      </c>
      <c r="B271" s="2" t="s">
        <v>1389</v>
      </c>
      <c r="C271" s="3" t="s">
        <v>1390</v>
      </c>
      <c r="D271" s="15" t="s">
        <v>11454</v>
      </c>
      <c r="E271" s="2" t="s">
        <v>1389</v>
      </c>
      <c r="F271" s="3" t="s">
        <v>1390</v>
      </c>
      <c r="G271" s="38"/>
      <c r="H271" s="38">
        <v>515893</v>
      </c>
      <c r="I271" s="15"/>
      <c r="J271" s="494">
        <v>10202080106</v>
      </c>
      <c r="K271" s="517" t="s">
        <v>1340</v>
      </c>
      <c r="L271" s="517" t="s">
        <v>13396</v>
      </c>
      <c r="M271" s="517" t="s">
        <v>190</v>
      </c>
      <c r="N271" s="518" t="s">
        <v>1378</v>
      </c>
      <c r="O271" s="517">
        <v>1</v>
      </c>
      <c r="P271" s="517" t="s">
        <v>647</v>
      </c>
      <c r="Q271" s="517" t="s">
        <v>647</v>
      </c>
      <c r="R271" s="517" t="s">
        <v>766</v>
      </c>
      <c r="S271" s="517" t="s">
        <v>632</v>
      </c>
      <c r="T271" s="518" t="s">
        <v>1377</v>
      </c>
      <c r="U271" s="38">
        <v>515893</v>
      </c>
      <c r="V271" s="15" t="str">
        <f t="shared" si="42"/>
        <v>102020801</v>
      </c>
      <c r="W271" s="39">
        <v>1</v>
      </c>
      <c r="X271" s="40" t="s">
        <v>647</v>
      </c>
      <c r="Y271" s="40" t="s">
        <v>647</v>
      </c>
      <c r="Z271" s="40" t="s">
        <v>766</v>
      </c>
      <c r="AA271" s="40" t="s">
        <v>632</v>
      </c>
      <c r="AB271" s="41" t="s">
        <v>1377</v>
      </c>
      <c r="AC271" s="9"/>
      <c r="AD271" s="517" t="s">
        <v>1340</v>
      </c>
      <c r="AE271" s="517" t="s">
        <v>13396</v>
      </c>
      <c r="AF271" s="517" t="s">
        <v>190</v>
      </c>
      <c r="AG271" s="520" t="s">
        <v>1378</v>
      </c>
      <c r="AH271" s="9"/>
      <c r="AI271" s="10"/>
      <c r="AJ271" s="9"/>
      <c r="AK271" s="10"/>
      <c r="AL271" s="10"/>
    </row>
    <row r="272" spans="1:38" ht="22.5" hidden="1">
      <c r="A272" s="1">
        <f t="shared" si="43"/>
        <v>0</v>
      </c>
      <c r="C272" s="3" t="s">
        <v>1391</v>
      </c>
      <c r="D272" s="15" t="s">
        <v>16</v>
      </c>
      <c r="E272" s="30"/>
      <c r="F272" s="31" t="s">
        <v>1392</v>
      </c>
      <c r="G272" s="32">
        <f>SUM(G273:G277)</f>
        <v>0</v>
      </c>
      <c r="H272" s="32">
        <f>SUM(H273:H277)</f>
        <v>1574499.59</v>
      </c>
      <c r="I272" s="15"/>
      <c r="J272" s="494"/>
      <c r="K272" s="513"/>
      <c r="L272" s="513"/>
      <c r="M272" s="513"/>
      <c r="N272" s="514"/>
      <c r="O272" s="513"/>
      <c r="P272" s="513"/>
      <c r="Q272" s="513"/>
      <c r="R272" s="513"/>
      <c r="S272" s="513"/>
      <c r="T272" s="514"/>
      <c r="U272" s="32">
        <f>SUM(U273:U277)</f>
        <v>1574499.59</v>
      </c>
      <c r="V272" s="15" t="str">
        <f t="shared" si="42"/>
        <v>102020900</v>
      </c>
      <c r="W272" s="33">
        <v>1</v>
      </c>
      <c r="X272" s="34" t="s">
        <v>647</v>
      </c>
      <c r="Y272" s="34" t="s">
        <v>647</v>
      </c>
      <c r="Z272" s="35" t="s">
        <v>779</v>
      </c>
      <c r="AA272" s="35" t="s">
        <v>630</v>
      </c>
      <c r="AB272" s="31" t="s">
        <v>1392</v>
      </c>
      <c r="AC272" s="529">
        <f>SUM(AC273:AC277)</f>
        <v>1574499.59</v>
      </c>
      <c r="AD272" s="513">
        <v>0</v>
      </c>
      <c r="AE272" s="513" t="s">
        <v>13397</v>
      </c>
      <c r="AF272" s="513" t="s">
        <v>1393</v>
      </c>
      <c r="AG272" s="514" t="s">
        <v>13398</v>
      </c>
      <c r="AH272" s="516">
        <f>AC272</f>
        <v>1574499.59</v>
      </c>
      <c r="AI272" s="10"/>
      <c r="AJ272" s="9">
        <f>AH272-H272</f>
        <v>0</v>
      </c>
      <c r="AK272" s="10"/>
      <c r="AL272" s="10"/>
    </row>
    <row r="273" spans="1:38" ht="33.75" hidden="1">
      <c r="A273" s="1">
        <f t="shared" si="43"/>
        <v>0</v>
      </c>
      <c r="B273" s="2" t="s">
        <v>1394</v>
      </c>
      <c r="C273" s="3" t="s">
        <v>1395</v>
      </c>
      <c r="D273" s="15" t="s">
        <v>11455</v>
      </c>
      <c r="E273" s="4" t="s">
        <v>1394</v>
      </c>
      <c r="F273" s="37" t="s">
        <v>1395</v>
      </c>
      <c r="G273" s="38">
        <v>0</v>
      </c>
      <c r="H273" s="38">
        <v>0</v>
      </c>
      <c r="I273" s="15"/>
      <c r="J273" s="494">
        <v>10202090101</v>
      </c>
      <c r="K273" s="517" t="s">
        <v>1340</v>
      </c>
      <c r="L273" s="517" t="s">
        <v>13399</v>
      </c>
      <c r="M273" s="517" t="s">
        <v>191</v>
      </c>
      <c r="N273" s="518" t="s">
        <v>1397</v>
      </c>
      <c r="O273" s="517">
        <v>1</v>
      </c>
      <c r="P273" s="517" t="s">
        <v>647</v>
      </c>
      <c r="Q273" s="517" t="s">
        <v>647</v>
      </c>
      <c r="R273" s="517" t="s">
        <v>779</v>
      </c>
      <c r="S273" s="517" t="s">
        <v>632</v>
      </c>
      <c r="T273" s="518" t="s">
        <v>1396</v>
      </c>
      <c r="U273" s="38">
        <v>0</v>
      </c>
      <c r="V273" s="15" t="str">
        <f t="shared" si="42"/>
        <v>102020901</v>
      </c>
      <c r="W273" s="39">
        <v>1</v>
      </c>
      <c r="X273" s="40" t="s">
        <v>647</v>
      </c>
      <c r="Y273" s="40" t="s">
        <v>647</v>
      </c>
      <c r="Z273" s="40" t="s">
        <v>779</v>
      </c>
      <c r="AA273" s="40" t="s">
        <v>632</v>
      </c>
      <c r="AB273" s="41" t="s">
        <v>1396</v>
      </c>
      <c r="AC273" s="519">
        <f>H273</f>
        <v>0</v>
      </c>
      <c r="AD273" s="517" t="s">
        <v>1340</v>
      </c>
      <c r="AE273" s="517" t="s">
        <v>13399</v>
      </c>
      <c r="AF273" s="517" t="s">
        <v>191</v>
      </c>
      <c r="AG273" s="520" t="s">
        <v>1397</v>
      </c>
      <c r="AH273" s="67">
        <f>AC273</f>
        <v>0</v>
      </c>
      <c r="AI273" s="10"/>
      <c r="AJ273" s="9"/>
      <c r="AK273" s="10"/>
      <c r="AL273" s="10"/>
    </row>
    <row r="274" spans="1:38" ht="33.75" hidden="1">
      <c r="A274" s="1">
        <f t="shared" si="43"/>
        <v>0</v>
      </c>
      <c r="B274" s="2" t="s">
        <v>1398</v>
      </c>
      <c r="C274" s="3" t="s">
        <v>1399</v>
      </c>
      <c r="D274" s="15" t="s">
        <v>11456</v>
      </c>
      <c r="E274" s="4" t="s">
        <v>1398</v>
      </c>
      <c r="F274" s="37" t="s">
        <v>1399</v>
      </c>
      <c r="G274" s="38">
        <v>0</v>
      </c>
      <c r="H274" s="38">
        <v>0</v>
      </c>
      <c r="I274" s="15"/>
      <c r="J274" s="494">
        <v>10202090201</v>
      </c>
      <c r="K274" s="517" t="s">
        <v>1340</v>
      </c>
      <c r="L274" s="517" t="s">
        <v>13400</v>
      </c>
      <c r="M274" s="517" t="s">
        <v>192</v>
      </c>
      <c r="N274" s="518" t="s">
        <v>1401</v>
      </c>
      <c r="O274" s="517">
        <v>1</v>
      </c>
      <c r="P274" s="517" t="s">
        <v>647</v>
      </c>
      <c r="Q274" s="517" t="s">
        <v>647</v>
      </c>
      <c r="R274" s="517" t="s">
        <v>779</v>
      </c>
      <c r="S274" s="517" t="s">
        <v>647</v>
      </c>
      <c r="T274" s="518" t="s">
        <v>1400</v>
      </c>
      <c r="U274" s="38">
        <v>0</v>
      </c>
      <c r="V274" s="15" t="str">
        <f t="shared" si="42"/>
        <v>102020902</v>
      </c>
      <c r="W274" s="39">
        <v>1</v>
      </c>
      <c r="X274" s="40" t="s">
        <v>647</v>
      </c>
      <c r="Y274" s="40" t="s">
        <v>647</v>
      </c>
      <c r="Z274" s="40" t="s">
        <v>779</v>
      </c>
      <c r="AA274" s="40" t="s">
        <v>647</v>
      </c>
      <c r="AB274" s="41" t="s">
        <v>1400</v>
      </c>
      <c r="AC274" s="519">
        <f>H274+H275</f>
        <v>1574499.59</v>
      </c>
      <c r="AD274" s="517" t="s">
        <v>1340</v>
      </c>
      <c r="AE274" s="517" t="s">
        <v>13400</v>
      </c>
      <c r="AF274" s="517" t="s">
        <v>192</v>
      </c>
      <c r="AG274" s="520" t="s">
        <v>1401</v>
      </c>
      <c r="AH274" s="67">
        <f>AC274</f>
        <v>1574499.59</v>
      </c>
      <c r="AI274" s="10"/>
      <c r="AJ274" s="9"/>
      <c r="AK274" s="10"/>
      <c r="AL274" s="10"/>
    </row>
    <row r="275" spans="1:38" ht="33.75" hidden="1">
      <c r="A275" s="1">
        <f t="shared" si="43"/>
        <v>0</v>
      </c>
      <c r="B275" s="2" t="s">
        <v>1402</v>
      </c>
      <c r="C275" s="3" t="s">
        <v>1403</v>
      </c>
      <c r="D275" s="15" t="s">
        <v>11456</v>
      </c>
      <c r="E275" s="2" t="s">
        <v>1402</v>
      </c>
      <c r="F275" s="3" t="s">
        <v>1403</v>
      </c>
      <c r="G275" s="38"/>
      <c r="H275" s="38">
        <v>1574499.59</v>
      </c>
      <c r="I275" s="15"/>
      <c r="J275" s="494">
        <v>10202090202</v>
      </c>
      <c r="K275" s="517" t="s">
        <v>1340</v>
      </c>
      <c r="L275" s="517" t="s">
        <v>13400</v>
      </c>
      <c r="M275" s="517" t="s">
        <v>192</v>
      </c>
      <c r="N275" s="518" t="s">
        <v>1401</v>
      </c>
      <c r="O275" s="517">
        <v>1</v>
      </c>
      <c r="P275" s="517" t="s">
        <v>647</v>
      </c>
      <c r="Q275" s="517" t="s">
        <v>647</v>
      </c>
      <c r="R275" s="517" t="s">
        <v>779</v>
      </c>
      <c r="S275" s="517" t="s">
        <v>647</v>
      </c>
      <c r="T275" s="518" t="s">
        <v>1400</v>
      </c>
      <c r="U275" s="38">
        <v>1574499.59</v>
      </c>
      <c r="V275" s="15" t="str">
        <f t="shared" si="42"/>
        <v>102020902</v>
      </c>
      <c r="W275" s="39">
        <v>1</v>
      </c>
      <c r="X275" s="40" t="s">
        <v>647</v>
      </c>
      <c r="Y275" s="40" t="s">
        <v>647</v>
      </c>
      <c r="Z275" s="40" t="s">
        <v>779</v>
      </c>
      <c r="AA275" s="40" t="s">
        <v>647</v>
      </c>
      <c r="AB275" s="41" t="s">
        <v>1400</v>
      </c>
      <c r="AC275" s="519"/>
      <c r="AD275" s="517" t="s">
        <v>1340</v>
      </c>
      <c r="AE275" s="517" t="s">
        <v>13400</v>
      </c>
      <c r="AF275" s="517" t="s">
        <v>192</v>
      </c>
      <c r="AG275" s="520" t="s">
        <v>1401</v>
      </c>
      <c r="AH275" s="67"/>
      <c r="AI275" s="10"/>
      <c r="AJ275" s="9"/>
      <c r="AK275" s="10"/>
      <c r="AL275" s="10"/>
    </row>
    <row r="276" spans="1:38" ht="33.75" hidden="1">
      <c r="A276" s="1">
        <f t="shared" si="43"/>
        <v>0</v>
      </c>
      <c r="B276" s="2" t="s">
        <v>1404</v>
      </c>
      <c r="C276" s="3" t="s">
        <v>1405</v>
      </c>
      <c r="D276" s="15" t="s">
        <v>11457</v>
      </c>
      <c r="E276" s="4" t="s">
        <v>1404</v>
      </c>
      <c r="F276" s="37" t="s">
        <v>1405</v>
      </c>
      <c r="G276" s="38">
        <v>0</v>
      </c>
      <c r="H276" s="38">
        <v>0</v>
      </c>
      <c r="I276" s="15"/>
      <c r="J276" s="494">
        <v>10202090301</v>
      </c>
      <c r="K276" s="517" t="s">
        <v>1340</v>
      </c>
      <c r="L276" s="517" t="s">
        <v>13401</v>
      </c>
      <c r="M276" s="517" t="s">
        <v>193</v>
      </c>
      <c r="N276" s="518" t="s">
        <v>13402</v>
      </c>
      <c r="O276" s="517">
        <v>1</v>
      </c>
      <c r="P276" s="517" t="s">
        <v>647</v>
      </c>
      <c r="Q276" s="517" t="s">
        <v>647</v>
      </c>
      <c r="R276" s="517" t="s">
        <v>779</v>
      </c>
      <c r="S276" s="517" t="s">
        <v>671</v>
      </c>
      <c r="T276" s="518" t="s">
        <v>1406</v>
      </c>
      <c r="U276" s="38">
        <v>0</v>
      </c>
      <c r="V276" s="15" t="str">
        <f t="shared" si="42"/>
        <v>102020903</v>
      </c>
      <c r="W276" s="39">
        <v>1</v>
      </c>
      <c r="X276" s="40" t="s">
        <v>647</v>
      </c>
      <c r="Y276" s="40" t="s">
        <v>647</v>
      </c>
      <c r="Z276" s="40" t="s">
        <v>779</v>
      </c>
      <c r="AA276" s="40" t="s">
        <v>671</v>
      </c>
      <c r="AB276" s="41" t="s">
        <v>1406</v>
      </c>
      <c r="AC276" s="519">
        <f>H276</f>
        <v>0</v>
      </c>
      <c r="AD276" s="517" t="s">
        <v>1340</v>
      </c>
      <c r="AE276" s="517" t="s">
        <v>13401</v>
      </c>
      <c r="AF276" s="517" t="s">
        <v>193</v>
      </c>
      <c r="AG276" s="520" t="s">
        <v>13402</v>
      </c>
      <c r="AH276" s="67">
        <f t="shared" ref="AH276:AH281" si="44">AC276</f>
        <v>0</v>
      </c>
      <c r="AI276" s="10"/>
      <c r="AJ276" s="9"/>
      <c r="AK276" s="10"/>
      <c r="AL276" s="10"/>
    </row>
    <row r="277" spans="1:38" ht="33.75" hidden="1">
      <c r="A277" s="1">
        <f t="shared" si="43"/>
        <v>0</v>
      </c>
      <c r="B277" s="2" t="s">
        <v>1407</v>
      </c>
      <c r="C277" s="3" t="s">
        <v>1408</v>
      </c>
      <c r="D277" s="15" t="s">
        <v>11458</v>
      </c>
      <c r="E277" s="4" t="s">
        <v>1407</v>
      </c>
      <c r="F277" s="37" t="s">
        <v>1408</v>
      </c>
      <c r="G277" s="38">
        <v>0</v>
      </c>
      <c r="H277" s="38">
        <v>0</v>
      </c>
      <c r="I277" s="15"/>
      <c r="J277" s="494">
        <v>10202090401</v>
      </c>
      <c r="K277" s="517" t="s">
        <v>1340</v>
      </c>
      <c r="L277" s="517" t="s">
        <v>13403</v>
      </c>
      <c r="M277" s="517" t="s">
        <v>194</v>
      </c>
      <c r="N277" s="518" t="s">
        <v>1410</v>
      </c>
      <c r="O277" s="517">
        <v>1</v>
      </c>
      <c r="P277" s="517" t="s">
        <v>647</v>
      </c>
      <c r="Q277" s="517" t="s">
        <v>647</v>
      </c>
      <c r="R277" s="517" t="s">
        <v>779</v>
      </c>
      <c r="S277" s="517" t="s">
        <v>693</v>
      </c>
      <c r="T277" s="518" t="s">
        <v>1409</v>
      </c>
      <c r="U277" s="38">
        <v>0</v>
      </c>
      <c r="V277" s="15" t="str">
        <f t="shared" si="42"/>
        <v>102020904</v>
      </c>
      <c r="W277" s="39">
        <v>1</v>
      </c>
      <c r="X277" s="40" t="s">
        <v>647</v>
      </c>
      <c r="Y277" s="40" t="s">
        <v>647</v>
      </c>
      <c r="Z277" s="40" t="s">
        <v>779</v>
      </c>
      <c r="AA277" s="40" t="s">
        <v>693</v>
      </c>
      <c r="AB277" s="41" t="s">
        <v>1409</v>
      </c>
      <c r="AC277" s="519">
        <f>H277</f>
        <v>0</v>
      </c>
      <c r="AD277" s="517" t="s">
        <v>1340</v>
      </c>
      <c r="AE277" s="517" t="s">
        <v>13403</v>
      </c>
      <c r="AF277" s="517" t="s">
        <v>194</v>
      </c>
      <c r="AG277" s="520" t="s">
        <v>1410</v>
      </c>
      <c r="AH277" s="67">
        <f t="shared" si="44"/>
        <v>0</v>
      </c>
      <c r="AI277" s="10"/>
      <c r="AJ277" s="9"/>
      <c r="AK277" s="10"/>
      <c r="AL277" s="10"/>
    </row>
    <row r="278" spans="1:38" ht="22.5" hidden="1">
      <c r="A278" s="1">
        <f t="shared" si="43"/>
        <v>0</v>
      </c>
      <c r="C278" s="3" t="s">
        <v>1411</v>
      </c>
      <c r="D278" s="15" t="s">
        <v>16</v>
      </c>
      <c r="E278" s="30"/>
      <c r="F278" s="31" t="s">
        <v>1412</v>
      </c>
      <c r="G278" s="32">
        <f>G279</f>
        <v>1917.86</v>
      </c>
      <c r="H278" s="32">
        <f>H279</f>
        <v>5723.86</v>
      </c>
      <c r="I278" s="15"/>
      <c r="J278" s="494"/>
      <c r="K278" s="513"/>
      <c r="L278" s="513"/>
      <c r="M278" s="513"/>
      <c r="N278" s="514"/>
      <c r="O278" s="513"/>
      <c r="P278" s="513"/>
      <c r="Q278" s="513"/>
      <c r="R278" s="513"/>
      <c r="S278" s="513"/>
      <c r="T278" s="514"/>
      <c r="U278" s="32">
        <f>U279</f>
        <v>5723.86</v>
      </c>
      <c r="V278" s="15" t="str">
        <f t="shared" si="42"/>
        <v>102021000</v>
      </c>
      <c r="W278" s="33">
        <v>1</v>
      </c>
      <c r="X278" s="34" t="s">
        <v>647</v>
      </c>
      <c r="Y278" s="34" t="s">
        <v>647</v>
      </c>
      <c r="Z278" s="35" t="s">
        <v>1225</v>
      </c>
      <c r="AA278" s="35" t="s">
        <v>630</v>
      </c>
      <c r="AB278" s="31" t="s">
        <v>1412</v>
      </c>
      <c r="AC278" s="529">
        <f>AC279</f>
        <v>5723.86</v>
      </c>
      <c r="AD278" s="513">
        <v>0</v>
      </c>
      <c r="AE278" s="513" t="s">
        <v>13404</v>
      </c>
      <c r="AF278" s="513" t="s">
        <v>195</v>
      </c>
      <c r="AG278" s="514" t="s">
        <v>1413</v>
      </c>
      <c r="AH278" s="516">
        <f t="shared" si="44"/>
        <v>5723.86</v>
      </c>
      <c r="AI278" s="10"/>
      <c r="AJ278" s="9">
        <f>AH278-H278</f>
        <v>0</v>
      </c>
      <c r="AK278" s="10"/>
      <c r="AL278" s="10"/>
    </row>
    <row r="279" spans="1:38" hidden="1">
      <c r="A279" s="1">
        <f t="shared" si="43"/>
        <v>0</v>
      </c>
      <c r="B279" s="2" t="s">
        <v>1414</v>
      </c>
      <c r="C279" s="3" t="s">
        <v>1411</v>
      </c>
      <c r="D279" s="15" t="s">
        <v>11459</v>
      </c>
      <c r="E279" s="4" t="s">
        <v>1414</v>
      </c>
      <c r="F279" s="37" t="s">
        <v>1411</v>
      </c>
      <c r="G279" s="38">
        <v>1917.86</v>
      </c>
      <c r="H279" s="38">
        <v>5723.86</v>
      </c>
      <c r="I279" s="15"/>
      <c r="J279" s="494">
        <v>10202100101</v>
      </c>
      <c r="K279" s="517"/>
      <c r="L279" s="517" t="s">
        <v>13404</v>
      </c>
      <c r="M279" s="517" t="s">
        <v>195</v>
      </c>
      <c r="N279" s="518" t="s">
        <v>1413</v>
      </c>
      <c r="O279" s="517">
        <v>1</v>
      </c>
      <c r="P279" s="517" t="s">
        <v>647</v>
      </c>
      <c r="Q279" s="517" t="s">
        <v>647</v>
      </c>
      <c r="R279" s="517" t="s">
        <v>1225</v>
      </c>
      <c r="S279" s="517" t="s">
        <v>632</v>
      </c>
      <c r="T279" s="518" t="s">
        <v>1412</v>
      </c>
      <c r="U279" s="38">
        <v>5723.86</v>
      </c>
      <c r="V279" s="15" t="str">
        <f t="shared" si="42"/>
        <v>102021001</v>
      </c>
      <c r="W279" s="39">
        <v>1</v>
      </c>
      <c r="X279" s="40" t="s">
        <v>647</v>
      </c>
      <c r="Y279" s="40" t="s">
        <v>647</v>
      </c>
      <c r="Z279" s="40" t="s">
        <v>1225</v>
      </c>
      <c r="AA279" s="40" t="s">
        <v>632</v>
      </c>
      <c r="AB279" s="41" t="s">
        <v>1412</v>
      </c>
      <c r="AC279" s="9">
        <f>H279</f>
        <v>5723.86</v>
      </c>
      <c r="AD279" s="517">
        <v>0</v>
      </c>
      <c r="AE279" s="517" t="s">
        <v>13404</v>
      </c>
      <c r="AF279" s="517" t="s">
        <v>195</v>
      </c>
      <c r="AG279" s="520" t="s">
        <v>1413</v>
      </c>
      <c r="AH279" s="67">
        <f t="shared" si="44"/>
        <v>5723.86</v>
      </c>
      <c r="AI279" s="10"/>
      <c r="AJ279" s="9">
        <f>AH279-H279</f>
        <v>0</v>
      </c>
      <c r="AK279" s="10"/>
      <c r="AL279" s="10"/>
    </row>
    <row r="280" spans="1:38" ht="45" hidden="1">
      <c r="A280" s="1">
        <f t="shared" si="43"/>
        <v>0</v>
      </c>
      <c r="C280" s="3" t="s">
        <v>1415</v>
      </c>
      <c r="D280" s="15" t="s">
        <v>16</v>
      </c>
      <c r="E280" s="30"/>
      <c r="F280" s="31" t="s">
        <v>1416</v>
      </c>
      <c r="G280" s="32">
        <f>SUM(G283:G400)</f>
        <v>94730674.560000002</v>
      </c>
      <c r="H280" s="32">
        <f>SUM(H283:H400)</f>
        <v>81833320.250000015</v>
      </c>
      <c r="I280" s="15"/>
      <c r="J280" s="494"/>
      <c r="K280" s="513"/>
      <c r="L280" s="513"/>
      <c r="M280" s="513"/>
      <c r="N280" s="514"/>
      <c r="O280" s="513"/>
      <c r="P280" s="513"/>
      <c r="Q280" s="513"/>
      <c r="R280" s="513"/>
      <c r="S280" s="513"/>
      <c r="T280" s="514"/>
      <c r="U280" s="32">
        <f>SUM(U281:U400)</f>
        <v>81833320.250000015</v>
      </c>
      <c r="V280" s="15" t="str">
        <f t="shared" si="42"/>
        <v>102021100</v>
      </c>
      <c r="W280" s="33">
        <v>1</v>
      </c>
      <c r="X280" s="34" t="s">
        <v>647</v>
      </c>
      <c r="Y280" s="34" t="s">
        <v>647</v>
      </c>
      <c r="Z280" s="35" t="s">
        <v>1229</v>
      </c>
      <c r="AA280" s="35" t="s">
        <v>630</v>
      </c>
      <c r="AB280" s="31" t="s">
        <v>1416</v>
      </c>
      <c r="AC280" s="529">
        <f>SUM(AC281:AC400)</f>
        <v>81833320.25</v>
      </c>
      <c r="AD280" s="513">
        <v>0</v>
      </c>
      <c r="AE280" s="513" t="s">
        <v>1417</v>
      </c>
      <c r="AF280" s="513" t="s">
        <v>1418</v>
      </c>
      <c r="AG280" s="514" t="s">
        <v>1419</v>
      </c>
      <c r="AH280" s="516">
        <f t="shared" si="44"/>
        <v>81833320.25</v>
      </c>
      <c r="AI280" s="10"/>
      <c r="AJ280" s="9">
        <f>AH280-H280</f>
        <v>0</v>
      </c>
      <c r="AK280" s="10"/>
      <c r="AL280" s="10"/>
    </row>
    <row r="281" spans="1:38" ht="33.75" hidden="1">
      <c r="A281" s="1">
        <f t="shared" si="43"/>
        <v>0</v>
      </c>
      <c r="B281" s="2" t="s">
        <v>1420</v>
      </c>
      <c r="C281" s="3" t="s">
        <v>1415</v>
      </c>
      <c r="D281" s="15">
        <v>102021101</v>
      </c>
      <c r="E281" s="4" t="s">
        <v>1420</v>
      </c>
      <c r="F281" s="37" t="s">
        <v>1415</v>
      </c>
      <c r="G281" s="38">
        <v>0</v>
      </c>
      <c r="H281" s="38">
        <v>0</v>
      </c>
      <c r="I281" s="15"/>
      <c r="J281" s="494">
        <v>10202110101</v>
      </c>
      <c r="K281" s="517"/>
      <c r="L281" s="517" t="s">
        <v>1417</v>
      </c>
      <c r="M281" s="517" t="s">
        <v>1418</v>
      </c>
      <c r="N281" s="518" t="s">
        <v>1419</v>
      </c>
      <c r="O281" s="517">
        <v>1</v>
      </c>
      <c r="P281" s="517" t="s">
        <v>647</v>
      </c>
      <c r="Q281" s="517" t="s">
        <v>647</v>
      </c>
      <c r="R281" s="517" t="s">
        <v>1229</v>
      </c>
      <c r="S281" s="517" t="s">
        <v>630</v>
      </c>
      <c r="T281" s="518" t="s">
        <v>1416</v>
      </c>
      <c r="U281" s="38">
        <v>0</v>
      </c>
      <c r="V281" s="15" t="str">
        <f t="shared" si="42"/>
        <v>102021103</v>
      </c>
      <c r="W281" s="39">
        <v>1</v>
      </c>
      <c r="X281" s="40" t="s">
        <v>647</v>
      </c>
      <c r="Y281" s="40" t="s">
        <v>647</v>
      </c>
      <c r="Z281" s="40" t="s">
        <v>1229</v>
      </c>
      <c r="AA281" s="40" t="s">
        <v>671</v>
      </c>
      <c r="AB281" s="41" t="s">
        <v>1421</v>
      </c>
      <c r="AC281" s="519">
        <f>SUM(H281:H327)</f>
        <v>60780290.689999998</v>
      </c>
      <c r="AD281" s="517" t="s">
        <v>1422</v>
      </c>
      <c r="AE281" s="517" t="s">
        <v>13405</v>
      </c>
      <c r="AF281" s="517" t="s">
        <v>196</v>
      </c>
      <c r="AG281" s="520" t="s">
        <v>1423</v>
      </c>
      <c r="AH281" s="67">
        <f t="shared" si="44"/>
        <v>60780290.689999998</v>
      </c>
      <c r="AI281" s="10"/>
      <c r="AJ281" s="9"/>
      <c r="AK281" s="10"/>
      <c r="AL281" s="10"/>
    </row>
    <row r="282" spans="1:38" ht="33.75" hidden="1">
      <c r="A282" s="1">
        <f t="shared" si="43"/>
        <v>0</v>
      </c>
      <c r="B282" s="2" t="s">
        <v>1424</v>
      </c>
      <c r="C282" s="3" t="s">
        <v>1425</v>
      </c>
      <c r="D282" s="15" t="s">
        <v>11460</v>
      </c>
      <c r="E282" s="4" t="s">
        <v>1424</v>
      </c>
      <c r="F282" s="37" t="s">
        <v>1425</v>
      </c>
      <c r="G282" s="38">
        <v>0</v>
      </c>
      <c r="H282" s="38">
        <v>0</v>
      </c>
      <c r="I282" s="15"/>
      <c r="J282" s="494">
        <v>10202110201</v>
      </c>
      <c r="L282" s="517" t="s">
        <v>1417</v>
      </c>
      <c r="M282" s="517" t="s">
        <v>1418</v>
      </c>
      <c r="N282" s="518" t="s">
        <v>1419</v>
      </c>
      <c r="O282" s="517">
        <v>1</v>
      </c>
      <c r="P282" s="517" t="s">
        <v>647</v>
      </c>
      <c r="Q282" s="517" t="s">
        <v>647</v>
      </c>
      <c r="R282" s="517" t="s">
        <v>1229</v>
      </c>
      <c r="S282" s="517" t="s">
        <v>630</v>
      </c>
      <c r="T282" s="518" t="s">
        <v>1416</v>
      </c>
      <c r="U282" s="38">
        <v>0</v>
      </c>
      <c r="V282" s="15" t="str">
        <f t="shared" si="42"/>
        <v>102021103</v>
      </c>
      <c r="W282" s="39">
        <v>1</v>
      </c>
      <c r="X282" s="40" t="s">
        <v>647</v>
      </c>
      <c r="Y282" s="40" t="s">
        <v>647</v>
      </c>
      <c r="Z282" s="40" t="s">
        <v>1229</v>
      </c>
      <c r="AA282" s="40" t="s">
        <v>671</v>
      </c>
      <c r="AB282" s="41" t="s">
        <v>1421</v>
      </c>
      <c r="AD282" s="523" t="s">
        <v>1422</v>
      </c>
      <c r="AE282" s="523" t="s">
        <v>13405</v>
      </c>
      <c r="AF282" s="523" t="s">
        <v>196</v>
      </c>
      <c r="AG282" s="524" t="s">
        <v>1423</v>
      </c>
      <c r="AI282" s="10"/>
      <c r="AJ282" s="9"/>
      <c r="AK282" s="10"/>
      <c r="AL282" s="10"/>
    </row>
    <row r="283" spans="1:38" ht="33.75" hidden="1">
      <c r="A283" s="1">
        <f t="shared" si="43"/>
        <v>0</v>
      </c>
      <c r="B283" s="2" t="s">
        <v>1426</v>
      </c>
      <c r="C283" s="3" t="s">
        <v>1427</v>
      </c>
      <c r="D283" s="15" t="s">
        <v>11461</v>
      </c>
      <c r="E283" s="4" t="s">
        <v>1426</v>
      </c>
      <c r="F283" s="37" t="s">
        <v>1427</v>
      </c>
      <c r="G283" s="61">
        <v>48449369.039999999</v>
      </c>
      <c r="H283" s="38">
        <v>12728388.48</v>
      </c>
      <c r="I283" s="15"/>
      <c r="J283" s="494">
        <v>10202110301</v>
      </c>
      <c r="K283" s="523" t="s">
        <v>1422</v>
      </c>
      <c r="L283" s="523" t="s">
        <v>13405</v>
      </c>
      <c r="M283" s="523" t="s">
        <v>196</v>
      </c>
      <c r="N283" s="518" t="s">
        <v>1423</v>
      </c>
      <c r="O283" s="523">
        <v>1</v>
      </c>
      <c r="P283" s="523" t="s">
        <v>647</v>
      </c>
      <c r="Q283" s="523" t="s">
        <v>647</v>
      </c>
      <c r="R283" s="523" t="s">
        <v>1229</v>
      </c>
      <c r="S283" s="523" t="s">
        <v>671</v>
      </c>
      <c r="T283" s="518" t="s">
        <v>1421</v>
      </c>
      <c r="U283" s="38">
        <v>12728388.48</v>
      </c>
      <c r="V283" s="15" t="str">
        <f t="shared" si="42"/>
        <v>102021103</v>
      </c>
      <c r="W283" s="39">
        <v>1</v>
      </c>
      <c r="X283" s="40" t="s">
        <v>647</v>
      </c>
      <c r="Y283" s="40" t="s">
        <v>647</v>
      </c>
      <c r="Z283" s="40" t="s">
        <v>1229</v>
      </c>
      <c r="AA283" s="40" t="s">
        <v>671</v>
      </c>
      <c r="AB283" s="41" t="s">
        <v>1421</v>
      </c>
      <c r="AD283" s="523" t="s">
        <v>1422</v>
      </c>
      <c r="AE283" s="523" t="s">
        <v>13405</v>
      </c>
      <c r="AF283" s="523" t="s">
        <v>196</v>
      </c>
      <c r="AG283" s="524" t="s">
        <v>1423</v>
      </c>
      <c r="AI283" s="10"/>
      <c r="AJ283" s="9"/>
      <c r="AK283" s="10"/>
      <c r="AL283" s="10"/>
    </row>
    <row r="284" spans="1:38" ht="33.75" hidden="1">
      <c r="A284" s="1">
        <f t="shared" si="43"/>
        <v>0</v>
      </c>
      <c r="B284" s="2" t="s">
        <v>1428</v>
      </c>
      <c r="C284" s="3" t="s">
        <v>1429</v>
      </c>
      <c r="D284" s="15" t="s">
        <v>11461</v>
      </c>
      <c r="E284" s="4" t="s">
        <v>1428</v>
      </c>
      <c r="F284" s="37" t="s">
        <v>1429</v>
      </c>
      <c r="G284" s="38">
        <v>0</v>
      </c>
      <c r="H284" s="38">
        <v>0</v>
      </c>
      <c r="I284" s="15"/>
      <c r="J284" s="494">
        <v>10202110302</v>
      </c>
      <c r="K284" s="517" t="s">
        <v>1422</v>
      </c>
      <c r="L284" s="517" t="s">
        <v>13405</v>
      </c>
      <c r="M284" s="517" t="s">
        <v>196</v>
      </c>
      <c r="N284" s="518" t="s">
        <v>1423</v>
      </c>
      <c r="O284" s="517">
        <v>1</v>
      </c>
      <c r="P284" s="517" t="s">
        <v>647</v>
      </c>
      <c r="Q284" s="517" t="s">
        <v>647</v>
      </c>
      <c r="R284" s="517" t="s">
        <v>1229</v>
      </c>
      <c r="S284" s="517" t="s">
        <v>671</v>
      </c>
      <c r="T284" s="518" t="s">
        <v>1421</v>
      </c>
      <c r="U284" s="38">
        <v>0</v>
      </c>
      <c r="V284" s="15" t="str">
        <f t="shared" si="42"/>
        <v>102021103</v>
      </c>
      <c r="W284" s="39">
        <v>1</v>
      </c>
      <c r="X284" s="40" t="s">
        <v>647</v>
      </c>
      <c r="Y284" s="40" t="s">
        <v>647</v>
      </c>
      <c r="Z284" s="40" t="s">
        <v>1229</v>
      </c>
      <c r="AA284" s="40" t="s">
        <v>671</v>
      </c>
      <c r="AB284" s="41" t="s">
        <v>1421</v>
      </c>
      <c r="AC284" s="9"/>
      <c r="AD284" s="517" t="s">
        <v>1422</v>
      </c>
      <c r="AE284" s="517" t="s">
        <v>13405</v>
      </c>
      <c r="AF284" s="517" t="s">
        <v>196</v>
      </c>
      <c r="AG284" s="520" t="s">
        <v>1423</v>
      </c>
      <c r="AH284" s="9"/>
      <c r="AI284" s="10"/>
      <c r="AJ284" s="9"/>
      <c r="AK284" s="10"/>
      <c r="AL284" s="10"/>
    </row>
    <row r="285" spans="1:38" ht="33.75" hidden="1">
      <c r="A285" s="1">
        <f t="shared" si="43"/>
        <v>0</v>
      </c>
      <c r="B285" s="2" t="s">
        <v>1430</v>
      </c>
      <c r="C285" s="3" t="s">
        <v>1431</v>
      </c>
      <c r="D285" s="15" t="s">
        <v>11461</v>
      </c>
      <c r="E285" s="4" t="s">
        <v>1430</v>
      </c>
      <c r="F285" s="37" t="s">
        <v>1431</v>
      </c>
      <c r="G285" s="38">
        <v>0</v>
      </c>
      <c r="H285" s="38">
        <v>0</v>
      </c>
      <c r="I285" s="15"/>
      <c r="J285" s="494">
        <v>10202110303</v>
      </c>
      <c r="K285" s="517" t="s">
        <v>1422</v>
      </c>
      <c r="L285" s="517" t="s">
        <v>13405</v>
      </c>
      <c r="M285" s="517" t="s">
        <v>196</v>
      </c>
      <c r="N285" s="518" t="s">
        <v>1423</v>
      </c>
      <c r="O285" s="517">
        <v>1</v>
      </c>
      <c r="P285" s="517" t="s">
        <v>647</v>
      </c>
      <c r="Q285" s="517" t="s">
        <v>647</v>
      </c>
      <c r="R285" s="517" t="s">
        <v>1229</v>
      </c>
      <c r="S285" s="517" t="s">
        <v>671</v>
      </c>
      <c r="T285" s="518" t="s">
        <v>1421</v>
      </c>
      <c r="U285" s="38">
        <v>0</v>
      </c>
      <c r="V285" s="15" t="str">
        <f t="shared" si="42"/>
        <v>102021103</v>
      </c>
      <c r="W285" s="39">
        <v>1</v>
      </c>
      <c r="X285" s="40" t="s">
        <v>647</v>
      </c>
      <c r="Y285" s="40" t="s">
        <v>647</v>
      </c>
      <c r="Z285" s="40" t="s">
        <v>1229</v>
      </c>
      <c r="AA285" s="40" t="s">
        <v>671</v>
      </c>
      <c r="AB285" s="41" t="s">
        <v>1421</v>
      </c>
      <c r="AC285" s="9"/>
      <c r="AD285" s="517" t="s">
        <v>1422</v>
      </c>
      <c r="AE285" s="517" t="s">
        <v>13405</v>
      </c>
      <c r="AF285" s="517" t="s">
        <v>196</v>
      </c>
      <c r="AG285" s="520" t="s">
        <v>1423</v>
      </c>
      <c r="AH285" s="9"/>
      <c r="AI285" s="10"/>
      <c r="AJ285" s="9"/>
      <c r="AK285" s="10"/>
      <c r="AL285" s="10"/>
    </row>
    <row r="286" spans="1:38" ht="33.75" hidden="1">
      <c r="A286" s="1">
        <f t="shared" si="43"/>
        <v>0</v>
      </c>
      <c r="B286" s="2" t="s">
        <v>1432</v>
      </c>
      <c r="C286" s="3" t="s">
        <v>1433</v>
      </c>
      <c r="D286" s="15" t="s">
        <v>11461</v>
      </c>
      <c r="E286" s="4" t="s">
        <v>1432</v>
      </c>
      <c r="F286" s="37" t="s">
        <v>1433</v>
      </c>
      <c r="G286" s="38">
        <v>2821.77</v>
      </c>
      <c r="H286" s="38">
        <v>2821.77</v>
      </c>
      <c r="I286" s="15"/>
      <c r="J286" s="494">
        <v>10202110304</v>
      </c>
      <c r="K286" s="517" t="s">
        <v>1422</v>
      </c>
      <c r="L286" s="517" t="s">
        <v>13405</v>
      </c>
      <c r="M286" s="517" t="s">
        <v>196</v>
      </c>
      <c r="N286" s="518" t="s">
        <v>1423</v>
      </c>
      <c r="O286" s="517">
        <v>1</v>
      </c>
      <c r="P286" s="517" t="s">
        <v>647</v>
      </c>
      <c r="Q286" s="517" t="s">
        <v>647</v>
      </c>
      <c r="R286" s="517" t="s">
        <v>1229</v>
      </c>
      <c r="S286" s="517" t="s">
        <v>671</v>
      </c>
      <c r="T286" s="518" t="s">
        <v>1421</v>
      </c>
      <c r="U286" s="38">
        <v>2821.77</v>
      </c>
      <c r="V286" s="15" t="str">
        <f t="shared" si="42"/>
        <v>102021103</v>
      </c>
      <c r="W286" s="39">
        <v>1</v>
      </c>
      <c r="X286" s="40" t="s">
        <v>647</v>
      </c>
      <c r="Y286" s="40" t="s">
        <v>647</v>
      </c>
      <c r="Z286" s="40" t="s">
        <v>1229</v>
      </c>
      <c r="AA286" s="40" t="s">
        <v>671</v>
      </c>
      <c r="AB286" s="41" t="s">
        <v>1421</v>
      </c>
      <c r="AC286" s="9"/>
      <c r="AD286" s="517" t="s">
        <v>1422</v>
      </c>
      <c r="AE286" s="517" t="s">
        <v>13405</v>
      </c>
      <c r="AF286" s="517" t="s">
        <v>196</v>
      </c>
      <c r="AG286" s="520" t="s">
        <v>1423</v>
      </c>
      <c r="AH286" s="9"/>
      <c r="AI286" s="10"/>
      <c r="AJ286" s="9"/>
      <c r="AK286" s="10"/>
      <c r="AL286" s="10"/>
    </row>
    <row r="287" spans="1:38" ht="33.75" hidden="1">
      <c r="A287" s="1">
        <f t="shared" si="43"/>
        <v>0</v>
      </c>
      <c r="B287" s="2" t="s">
        <v>1434</v>
      </c>
      <c r="C287" s="3" t="s">
        <v>1435</v>
      </c>
      <c r="D287" s="15" t="s">
        <v>11461</v>
      </c>
      <c r="E287" s="4" t="s">
        <v>1434</v>
      </c>
      <c r="F287" s="37" t="s">
        <v>1435</v>
      </c>
      <c r="G287" s="38">
        <v>6255.11</v>
      </c>
      <c r="H287" s="38">
        <v>6255.11</v>
      </c>
      <c r="I287" s="15"/>
      <c r="J287" s="494">
        <v>10202110305</v>
      </c>
      <c r="K287" s="517" t="s">
        <v>1422</v>
      </c>
      <c r="L287" s="517" t="s">
        <v>13405</v>
      </c>
      <c r="M287" s="517" t="s">
        <v>196</v>
      </c>
      <c r="N287" s="518" t="s">
        <v>1423</v>
      </c>
      <c r="O287" s="517">
        <v>1</v>
      </c>
      <c r="P287" s="517" t="s">
        <v>647</v>
      </c>
      <c r="Q287" s="517" t="s">
        <v>647</v>
      </c>
      <c r="R287" s="517" t="s">
        <v>1229</v>
      </c>
      <c r="S287" s="517" t="s">
        <v>671</v>
      </c>
      <c r="T287" s="518" t="s">
        <v>1421</v>
      </c>
      <c r="U287" s="38">
        <v>6255.11</v>
      </c>
      <c r="V287" s="15" t="str">
        <f t="shared" si="42"/>
        <v>102021103</v>
      </c>
      <c r="W287" s="39">
        <v>1</v>
      </c>
      <c r="X287" s="40" t="s">
        <v>647</v>
      </c>
      <c r="Y287" s="40" t="s">
        <v>647</v>
      </c>
      <c r="Z287" s="40" t="s">
        <v>1229</v>
      </c>
      <c r="AA287" s="40" t="s">
        <v>671</v>
      </c>
      <c r="AB287" s="41" t="s">
        <v>1421</v>
      </c>
      <c r="AC287" s="9"/>
      <c r="AD287" s="517" t="s">
        <v>1422</v>
      </c>
      <c r="AE287" s="517" t="s">
        <v>13405</v>
      </c>
      <c r="AF287" s="517" t="s">
        <v>196</v>
      </c>
      <c r="AG287" s="520" t="s">
        <v>1423</v>
      </c>
      <c r="AH287" s="9"/>
      <c r="AI287" s="10"/>
      <c r="AJ287" s="9"/>
      <c r="AK287" s="10"/>
      <c r="AL287" s="10"/>
    </row>
    <row r="288" spans="1:38" ht="33.75" hidden="1">
      <c r="A288" s="1">
        <f t="shared" si="43"/>
        <v>0</v>
      </c>
      <c r="B288" s="2" t="s">
        <v>1436</v>
      </c>
      <c r="C288" s="3" t="s">
        <v>1437</v>
      </c>
      <c r="D288" s="15" t="s">
        <v>11461</v>
      </c>
      <c r="E288" s="4" t="s">
        <v>1436</v>
      </c>
      <c r="F288" s="37" t="s">
        <v>1437</v>
      </c>
      <c r="G288" s="38">
        <v>23010</v>
      </c>
      <c r="H288" s="38">
        <v>23010</v>
      </c>
      <c r="I288" s="15"/>
      <c r="J288" s="494">
        <v>10202110306</v>
      </c>
      <c r="K288" s="517" t="s">
        <v>1422</v>
      </c>
      <c r="L288" s="517" t="s">
        <v>13405</v>
      </c>
      <c r="M288" s="517" t="s">
        <v>196</v>
      </c>
      <c r="N288" s="518" t="s">
        <v>1423</v>
      </c>
      <c r="O288" s="517">
        <v>1</v>
      </c>
      <c r="P288" s="517" t="s">
        <v>647</v>
      </c>
      <c r="Q288" s="517" t="s">
        <v>647</v>
      </c>
      <c r="R288" s="517" t="s">
        <v>1229</v>
      </c>
      <c r="S288" s="517" t="s">
        <v>671</v>
      </c>
      <c r="T288" s="518" t="s">
        <v>1421</v>
      </c>
      <c r="U288" s="38">
        <v>23010</v>
      </c>
      <c r="V288" s="15" t="str">
        <f t="shared" si="42"/>
        <v>102021103</v>
      </c>
      <c r="W288" s="39">
        <v>1</v>
      </c>
      <c r="X288" s="40" t="s">
        <v>647</v>
      </c>
      <c r="Y288" s="40" t="s">
        <v>647</v>
      </c>
      <c r="Z288" s="40" t="s">
        <v>1229</v>
      </c>
      <c r="AA288" s="40" t="s">
        <v>671</v>
      </c>
      <c r="AB288" s="41" t="s">
        <v>1421</v>
      </c>
      <c r="AC288" s="9"/>
      <c r="AD288" s="517" t="s">
        <v>1422</v>
      </c>
      <c r="AE288" s="517" t="s">
        <v>13405</v>
      </c>
      <c r="AF288" s="517" t="s">
        <v>196</v>
      </c>
      <c r="AG288" s="520" t="s">
        <v>1423</v>
      </c>
      <c r="AH288" s="9"/>
      <c r="AI288" s="10"/>
      <c r="AJ288" s="9"/>
      <c r="AK288" s="10"/>
      <c r="AL288" s="10"/>
    </row>
    <row r="289" spans="1:38" ht="33.75" hidden="1">
      <c r="A289" s="1">
        <f t="shared" si="43"/>
        <v>0</v>
      </c>
      <c r="B289" s="2" t="s">
        <v>1438</v>
      </c>
      <c r="C289" s="3" t="s">
        <v>1439</v>
      </c>
      <c r="D289" s="15" t="s">
        <v>11461</v>
      </c>
      <c r="E289" s="4" t="s">
        <v>1438</v>
      </c>
      <c r="F289" s="37" t="s">
        <v>1439</v>
      </c>
      <c r="G289" s="38">
        <v>0</v>
      </c>
      <c r="H289" s="38">
        <v>0</v>
      </c>
      <c r="I289" s="15"/>
      <c r="J289" s="494">
        <v>10202110307</v>
      </c>
      <c r="K289" s="517" t="s">
        <v>1422</v>
      </c>
      <c r="L289" s="517" t="s">
        <v>13405</v>
      </c>
      <c r="M289" s="517" t="s">
        <v>196</v>
      </c>
      <c r="N289" s="518" t="s">
        <v>1423</v>
      </c>
      <c r="O289" s="517">
        <v>1</v>
      </c>
      <c r="P289" s="517" t="s">
        <v>647</v>
      </c>
      <c r="Q289" s="517" t="s">
        <v>647</v>
      </c>
      <c r="R289" s="517" t="s">
        <v>1229</v>
      </c>
      <c r="S289" s="517" t="s">
        <v>671</v>
      </c>
      <c r="T289" s="518" t="s">
        <v>1421</v>
      </c>
      <c r="U289" s="38">
        <v>0</v>
      </c>
      <c r="V289" s="15" t="str">
        <f t="shared" si="42"/>
        <v>102021103</v>
      </c>
      <c r="W289" s="39">
        <v>1</v>
      </c>
      <c r="X289" s="40" t="s">
        <v>647</v>
      </c>
      <c r="Y289" s="40" t="s">
        <v>647</v>
      </c>
      <c r="Z289" s="40" t="s">
        <v>1229</v>
      </c>
      <c r="AA289" s="40" t="s">
        <v>671</v>
      </c>
      <c r="AB289" s="41" t="s">
        <v>1421</v>
      </c>
      <c r="AC289" s="9"/>
      <c r="AD289" s="517" t="s">
        <v>1422</v>
      </c>
      <c r="AE289" s="517" t="s">
        <v>13405</v>
      </c>
      <c r="AF289" s="517" t="s">
        <v>196</v>
      </c>
      <c r="AG289" s="520" t="s">
        <v>1423</v>
      </c>
      <c r="AH289" s="9"/>
      <c r="AI289" s="10"/>
      <c r="AJ289" s="9"/>
      <c r="AK289" s="10"/>
      <c r="AL289" s="10"/>
    </row>
    <row r="290" spans="1:38" ht="33.75" hidden="1">
      <c r="A290" s="1">
        <f t="shared" si="43"/>
        <v>0</v>
      </c>
      <c r="B290" s="2" t="s">
        <v>1440</v>
      </c>
      <c r="C290" s="3" t="s">
        <v>1441</v>
      </c>
      <c r="D290" s="15" t="s">
        <v>11461</v>
      </c>
      <c r="E290" s="4" t="s">
        <v>1440</v>
      </c>
      <c r="F290" s="37" t="s">
        <v>1441</v>
      </c>
      <c r="G290" s="38">
        <v>0.4</v>
      </c>
      <c r="H290" s="38">
        <v>0.4</v>
      </c>
      <c r="I290" s="15"/>
      <c r="J290" s="494">
        <v>10202110308</v>
      </c>
      <c r="K290" s="517" t="s">
        <v>1422</v>
      </c>
      <c r="L290" s="517" t="s">
        <v>13405</v>
      </c>
      <c r="M290" s="517" t="s">
        <v>196</v>
      </c>
      <c r="N290" s="518" t="s">
        <v>1423</v>
      </c>
      <c r="O290" s="517">
        <v>1</v>
      </c>
      <c r="P290" s="517" t="s">
        <v>647</v>
      </c>
      <c r="Q290" s="517" t="s">
        <v>647</v>
      </c>
      <c r="R290" s="517" t="s">
        <v>1229</v>
      </c>
      <c r="S290" s="517" t="s">
        <v>671</v>
      </c>
      <c r="T290" s="518" t="s">
        <v>1421</v>
      </c>
      <c r="U290" s="38">
        <v>0.4</v>
      </c>
      <c r="V290" s="15" t="str">
        <f t="shared" si="42"/>
        <v>102021103</v>
      </c>
      <c r="W290" s="39">
        <v>1</v>
      </c>
      <c r="X290" s="40" t="s">
        <v>647</v>
      </c>
      <c r="Y290" s="40" t="s">
        <v>647</v>
      </c>
      <c r="Z290" s="40" t="s">
        <v>1229</v>
      </c>
      <c r="AA290" s="40" t="s">
        <v>671</v>
      </c>
      <c r="AB290" s="41" t="s">
        <v>1421</v>
      </c>
      <c r="AC290" s="9"/>
      <c r="AD290" s="517" t="s">
        <v>1422</v>
      </c>
      <c r="AE290" s="517" t="s">
        <v>13405</v>
      </c>
      <c r="AF290" s="517" t="s">
        <v>196</v>
      </c>
      <c r="AG290" s="520" t="s">
        <v>1423</v>
      </c>
      <c r="AH290" s="9"/>
      <c r="AI290" s="10"/>
      <c r="AJ290" s="9"/>
      <c r="AK290" s="10"/>
      <c r="AL290" s="10"/>
    </row>
    <row r="291" spans="1:38" ht="33.75" hidden="1">
      <c r="A291" s="1">
        <f t="shared" si="43"/>
        <v>0</v>
      </c>
      <c r="B291" s="2" t="s">
        <v>1442</v>
      </c>
      <c r="C291" s="3" t="s">
        <v>1443</v>
      </c>
      <c r="D291" s="15" t="s">
        <v>11461</v>
      </c>
      <c r="E291" s="4" t="s">
        <v>1442</v>
      </c>
      <c r="F291" s="37" t="s">
        <v>1443</v>
      </c>
      <c r="G291" s="38">
        <v>3281145.42</v>
      </c>
      <c r="H291" s="38">
        <v>-1</v>
      </c>
      <c r="I291" s="15"/>
      <c r="J291" s="494">
        <v>10202110309</v>
      </c>
      <c r="K291" s="517" t="s">
        <v>1422</v>
      </c>
      <c r="L291" s="517" t="s">
        <v>13405</v>
      </c>
      <c r="M291" s="517" t="s">
        <v>196</v>
      </c>
      <c r="N291" s="518" t="s">
        <v>1423</v>
      </c>
      <c r="O291" s="517">
        <v>1</v>
      </c>
      <c r="P291" s="517" t="s">
        <v>647</v>
      </c>
      <c r="Q291" s="517" t="s">
        <v>647</v>
      </c>
      <c r="R291" s="517" t="s">
        <v>1229</v>
      </c>
      <c r="S291" s="517" t="s">
        <v>671</v>
      </c>
      <c r="T291" s="518" t="s">
        <v>1421</v>
      </c>
      <c r="U291" s="38">
        <v>-1</v>
      </c>
      <c r="V291" s="15" t="str">
        <f t="shared" si="42"/>
        <v>102021103</v>
      </c>
      <c r="W291" s="39">
        <v>1</v>
      </c>
      <c r="X291" s="40" t="s">
        <v>647</v>
      </c>
      <c r="Y291" s="40" t="s">
        <v>647</v>
      </c>
      <c r="Z291" s="40" t="s">
        <v>1229</v>
      </c>
      <c r="AA291" s="40" t="s">
        <v>671</v>
      </c>
      <c r="AB291" s="41" t="s">
        <v>1421</v>
      </c>
      <c r="AC291" s="9"/>
      <c r="AD291" s="517" t="s">
        <v>1422</v>
      </c>
      <c r="AE291" s="517" t="s">
        <v>13405</v>
      </c>
      <c r="AF291" s="517" t="s">
        <v>196</v>
      </c>
      <c r="AG291" s="520" t="s">
        <v>1423</v>
      </c>
      <c r="AH291" s="9"/>
      <c r="AI291" s="10"/>
      <c r="AJ291" s="9"/>
      <c r="AK291" s="10"/>
      <c r="AL291" s="10"/>
    </row>
    <row r="292" spans="1:38" ht="33.75" hidden="1">
      <c r="A292" s="1">
        <f t="shared" si="43"/>
        <v>0</v>
      </c>
      <c r="B292" s="2" t="s">
        <v>1444</v>
      </c>
      <c r="C292" s="3" t="s">
        <v>1445</v>
      </c>
      <c r="D292" s="15" t="s">
        <v>11461</v>
      </c>
      <c r="E292" s="4" t="s">
        <v>1444</v>
      </c>
      <c r="F292" s="37" t="s">
        <v>1445</v>
      </c>
      <c r="G292" s="38">
        <v>0</v>
      </c>
      <c r="H292" s="38">
        <v>0</v>
      </c>
      <c r="I292" s="15"/>
      <c r="J292" s="494">
        <v>10202110310</v>
      </c>
      <c r="K292" s="517" t="s">
        <v>1422</v>
      </c>
      <c r="L292" s="517" t="s">
        <v>13405</v>
      </c>
      <c r="M292" s="517" t="s">
        <v>196</v>
      </c>
      <c r="N292" s="518" t="s">
        <v>1423</v>
      </c>
      <c r="O292" s="517">
        <v>1</v>
      </c>
      <c r="P292" s="517" t="s">
        <v>647</v>
      </c>
      <c r="Q292" s="517" t="s">
        <v>647</v>
      </c>
      <c r="R292" s="517" t="s">
        <v>1229</v>
      </c>
      <c r="S292" s="517" t="s">
        <v>671</v>
      </c>
      <c r="T292" s="518" t="s">
        <v>1421</v>
      </c>
      <c r="U292" s="38">
        <v>0</v>
      </c>
      <c r="V292" s="15" t="str">
        <f t="shared" si="42"/>
        <v>102021103</v>
      </c>
      <c r="W292" s="39">
        <v>1</v>
      </c>
      <c r="X292" s="40" t="s">
        <v>647</v>
      </c>
      <c r="Y292" s="40" t="s">
        <v>647</v>
      </c>
      <c r="Z292" s="40" t="s">
        <v>1229</v>
      </c>
      <c r="AA292" s="40" t="s">
        <v>671</v>
      </c>
      <c r="AB292" s="41" t="s">
        <v>1421</v>
      </c>
      <c r="AC292" s="9"/>
      <c r="AD292" s="517" t="s">
        <v>1422</v>
      </c>
      <c r="AE292" s="517" t="s">
        <v>13405</v>
      </c>
      <c r="AF292" s="517" t="s">
        <v>196</v>
      </c>
      <c r="AG292" s="520" t="s">
        <v>1423</v>
      </c>
      <c r="AH292" s="9"/>
      <c r="AI292" s="10"/>
      <c r="AJ292" s="9"/>
      <c r="AK292" s="10"/>
      <c r="AL292" s="10"/>
    </row>
    <row r="293" spans="1:38" ht="33.75" hidden="1">
      <c r="A293" s="1">
        <f t="shared" si="43"/>
        <v>0</v>
      </c>
      <c r="B293" s="2" t="s">
        <v>1446</v>
      </c>
      <c r="C293" s="3" t="s">
        <v>1447</v>
      </c>
      <c r="D293" s="15" t="s">
        <v>11461</v>
      </c>
      <c r="E293" s="4" t="s">
        <v>1446</v>
      </c>
      <c r="F293" s="37" t="s">
        <v>1437</v>
      </c>
      <c r="G293" s="38">
        <v>0</v>
      </c>
      <c r="H293" s="38">
        <v>0</v>
      </c>
      <c r="I293" s="15"/>
      <c r="J293" s="494">
        <v>10202110311</v>
      </c>
      <c r="K293" s="517" t="s">
        <v>1422</v>
      </c>
      <c r="L293" s="517" t="s">
        <v>13405</v>
      </c>
      <c r="M293" s="517" t="s">
        <v>196</v>
      </c>
      <c r="N293" s="518" t="s">
        <v>1423</v>
      </c>
      <c r="O293" s="517">
        <v>1</v>
      </c>
      <c r="P293" s="517" t="s">
        <v>647</v>
      </c>
      <c r="Q293" s="517" t="s">
        <v>647</v>
      </c>
      <c r="R293" s="517" t="s">
        <v>1229</v>
      </c>
      <c r="S293" s="517" t="s">
        <v>671</v>
      </c>
      <c r="T293" s="518" t="s">
        <v>1421</v>
      </c>
      <c r="U293" s="38">
        <v>0</v>
      </c>
      <c r="V293" s="15" t="str">
        <f t="shared" si="42"/>
        <v>102021103</v>
      </c>
      <c r="W293" s="39">
        <v>1</v>
      </c>
      <c r="X293" s="40" t="s">
        <v>647</v>
      </c>
      <c r="Y293" s="40" t="s">
        <v>647</v>
      </c>
      <c r="Z293" s="40" t="s">
        <v>1229</v>
      </c>
      <c r="AA293" s="40" t="s">
        <v>671</v>
      </c>
      <c r="AB293" s="41" t="s">
        <v>1421</v>
      </c>
      <c r="AC293" s="9"/>
      <c r="AD293" s="517" t="s">
        <v>1422</v>
      </c>
      <c r="AE293" s="517" t="s">
        <v>13405</v>
      </c>
      <c r="AF293" s="517" t="s">
        <v>196</v>
      </c>
      <c r="AG293" s="520" t="s">
        <v>1423</v>
      </c>
      <c r="AH293" s="9"/>
      <c r="AI293" s="10"/>
      <c r="AJ293" s="9"/>
      <c r="AK293" s="10"/>
      <c r="AL293" s="10"/>
    </row>
    <row r="294" spans="1:38" ht="33.75" hidden="1">
      <c r="A294" s="1">
        <f t="shared" si="43"/>
        <v>0</v>
      </c>
      <c r="B294" s="2" t="s">
        <v>1448</v>
      </c>
      <c r="C294" s="3" t="s">
        <v>1449</v>
      </c>
      <c r="D294" s="15" t="s">
        <v>11461</v>
      </c>
      <c r="E294" s="4" t="s">
        <v>1448</v>
      </c>
      <c r="F294" s="37" t="s">
        <v>1439</v>
      </c>
      <c r="G294" s="38">
        <v>0</v>
      </c>
      <c r="H294" s="38">
        <v>0</v>
      </c>
      <c r="I294" s="15"/>
      <c r="J294" s="494">
        <v>10202110312</v>
      </c>
      <c r="K294" s="517" t="s">
        <v>1422</v>
      </c>
      <c r="L294" s="517" t="s">
        <v>13405</v>
      </c>
      <c r="M294" s="517" t="s">
        <v>196</v>
      </c>
      <c r="N294" s="518" t="s">
        <v>1423</v>
      </c>
      <c r="O294" s="517">
        <v>1</v>
      </c>
      <c r="P294" s="517" t="s">
        <v>647</v>
      </c>
      <c r="Q294" s="517" t="s">
        <v>647</v>
      </c>
      <c r="R294" s="517" t="s">
        <v>1229</v>
      </c>
      <c r="S294" s="517" t="s">
        <v>671</v>
      </c>
      <c r="T294" s="518" t="s">
        <v>1421</v>
      </c>
      <c r="U294" s="38">
        <v>0</v>
      </c>
      <c r="V294" s="15" t="str">
        <f t="shared" si="42"/>
        <v>102021103</v>
      </c>
      <c r="W294" s="39">
        <v>1</v>
      </c>
      <c r="X294" s="40" t="s">
        <v>647</v>
      </c>
      <c r="Y294" s="40" t="s">
        <v>647</v>
      </c>
      <c r="Z294" s="40" t="s">
        <v>1229</v>
      </c>
      <c r="AA294" s="40" t="s">
        <v>671</v>
      </c>
      <c r="AB294" s="41" t="s">
        <v>1421</v>
      </c>
      <c r="AC294" s="9"/>
      <c r="AD294" s="517" t="s">
        <v>1422</v>
      </c>
      <c r="AE294" s="517" t="s">
        <v>13405</v>
      </c>
      <c r="AF294" s="517" t="s">
        <v>196</v>
      </c>
      <c r="AG294" s="520" t="s">
        <v>1423</v>
      </c>
      <c r="AH294" s="9"/>
      <c r="AI294" s="10"/>
      <c r="AJ294" s="9"/>
      <c r="AK294" s="10"/>
      <c r="AL294" s="10"/>
    </row>
    <row r="295" spans="1:38" ht="33.75" hidden="1">
      <c r="A295" s="1">
        <f t="shared" si="43"/>
        <v>0</v>
      </c>
      <c r="B295" s="2" t="s">
        <v>1450</v>
      </c>
      <c r="C295" s="3" t="s">
        <v>1451</v>
      </c>
      <c r="D295" s="15" t="s">
        <v>11461</v>
      </c>
      <c r="E295" s="4" t="s">
        <v>1450</v>
      </c>
      <c r="F295" s="37" t="s">
        <v>1441</v>
      </c>
      <c r="G295" s="38">
        <v>0</v>
      </c>
      <c r="H295" s="38">
        <v>0</v>
      </c>
      <c r="I295" s="15"/>
      <c r="J295" s="494">
        <v>10202110313</v>
      </c>
      <c r="K295" s="517" t="s">
        <v>1422</v>
      </c>
      <c r="L295" s="517" t="s">
        <v>13405</v>
      </c>
      <c r="M295" s="517" t="s">
        <v>196</v>
      </c>
      <c r="N295" s="518" t="s">
        <v>1423</v>
      </c>
      <c r="O295" s="517">
        <v>1</v>
      </c>
      <c r="P295" s="517" t="s">
        <v>647</v>
      </c>
      <c r="Q295" s="517" t="s">
        <v>647</v>
      </c>
      <c r="R295" s="517" t="s">
        <v>1229</v>
      </c>
      <c r="S295" s="517" t="s">
        <v>671</v>
      </c>
      <c r="T295" s="518" t="s">
        <v>1421</v>
      </c>
      <c r="U295" s="38">
        <v>0</v>
      </c>
      <c r="V295" s="15" t="str">
        <f t="shared" si="42"/>
        <v>102021103</v>
      </c>
      <c r="W295" s="39">
        <v>1</v>
      </c>
      <c r="X295" s="40" t="s">
        <v>647</v>
      </c>
      <c r="Y295" s="40" t="s">
        <v>647</v>
      </c>
      <c r="Z295" s="40" t="s">
        <v>1229</v>
      </c>
      <c r="AA295" s="40" t="s">
        <v>671</v>
      </c>
      <c r="AB295" s="41" t="s">
        <v>1421</v>
      </c>
      <c r="AC295" s="9"/>
      <c r="AD295" s="517" t="s">
        <v>1422</v>
      </c>
      <c r="AE295" s="517" t="s">
        <v>13405</v>
      </c>
      <c r="AF295" s="517" t="s">
        <v>196</v>
      </c>
      <c r="AG295" s="520" t="s">
        <v>1423</v>
      </c>
      <c r="AH295" s="9"/>
      <c r="AI295" s="10"/>
      <c r="AJ295" s="9"/>
      <c r="AK295" s="10"/>
      <c r="AL295" s="10"/>
    </row>
    <row r="296" spans="1:38" ht="33.75" hidden="1">
      <c r="A296" s="1">
        <f t="shared" si="43"/>
        <v>0</v>
      </c>
      <c r="B296" s="2" t="s">
        <v>1452</v>
      </c>
      <c r="C296" s="3" t="s">
        <v>1453</v>
      </c>
      <c r="D296" s="15" t="s">
        <v>11461</v>
      </c>
      <c r="E296" s="4" t="s">
        <v>1452</v>
      </c>
      <c r="F296" s="37" t="s">
        <v>1443</v>
      </c>
      <c r="G296" s="38">
        <v>0</v>
      </c>
      <c r="H296" s="38">
        <v>0</v>
      </c>
      <c r="I296" s="15"/>
      <c r="J296" s="494">
        <v>10202110314</v>
      </c>
      <c r="K296" s="517" t="s">
        <v>1422</v>
      </c>
      <c r="L296" s="517" t="s">
        <v>13405</v>
      </c>
      <c r="M296" s="517" t="s">
        <v>196</v>
      </c>
      <c r="N296" s="518" t="s">
        <v>1423</v>
      </c>
      <c r="O296" s="517">
        <v>1</v>
      </c>
      <c r="P296" s="517" t="s">
        <v>647</v>
      </c>
      <c r="Q296" s="517" t="s">
        <v>647</v>
      </c>
      <c r="R296" s="517" t="s">
        <v>1229</v>
      </c>
      <c r="S296" s="517" t="s">
        <v>671</v>
      </c>
      <c r="T296" s="518" t="s">
        <v>1421</v>
      </c>
      <c r="U296" s="38">
        <v>0</v>
      </c>
      <c r="V296" s="15" t="str">
        <f t="shared" si="42"/>
        <v>102021103</v>
      </c>
      <c r="W296" s="39">
        <v>1</v>
      </c>
      <c r="X296" s="40" t="s">
        <v>647</v>
      </c>
      <c r="Y296" s="40" t="s">
        <v>647</v>
      </c>
      <c r="Z296" s="40" t="s">
        <v>1229</v>
      </c>
      <c r="AA296" s="40" t="s">
        <v>671</v>
      </c>
      <c r="AB296" s="41" t="s">
        <v>1421</v>
      </c>
      <c r="AC296" s="9"/>
      <c r="AD296" s="517" t="s">
        <v>1422</v>
      </c>
      <c r="AE296" s="517" t="s">
        <v>13405</v>
      </c>
      <c r="AF296" s="517" t="s">
        <v>196</v>
      </c>
      <c r="AG296" s="520" t="s">
        <v>1423</v>
      </c>
      <c r="AH296" s="9"/>
      <c r="AI296" s="10"/>
      <c r="AJ296" s="9"/>
      <c r="AK296" s="10"/>
      <c r="AL296" s="10"/>
    </row>
    <row r="297" spans="1:38" ht="33.75" hidden="1">
      <c r="A297" s="1">
        <f t="shared" si="43"/>
        <v>0</v>
      </c>
      <c r="B297" s="2" t="s">
        <v>1454</v>
      </c>
      <c r="C297" s="3" t="s">
        <v>1455</v>
      </c>
      <c r="D297" s="15" t="s">
        <v>11461</v>
      </c>
      <c r="E297" s="4" t="s">
        <v>1454</v>
      </c>
      <c r="F297" s="37" t="s">
        <v>1445</v>
      </c>
      <c r="G297" s="38">
        <v>0</v>
      </c>
      <c r="H297" s="38">
        <v>0</v>
      </c>
      <c r="I297" s="15"/>
      <c r="J297" s="494">
        <v>10202110315</v>
      </c>
      <c r="K297" s="517" t="s">
        <v>1422</v>
      </c>
      <c r="L297" s="517" t="s">
        <v>13405</v>
      </c>
      <c r="M297" s="517" t="s">
        <v>196</v>
      </c>
      <c r="N297" s="518" t="s">
        <v>1423</v>
      </c>
      <c r="O297" s="517">
        <v>1</v>
      </c>
      <c r="P297" s="517" t="s">
        <v>647</v>
      </c>
      <c r="Q297" s="517" t="s">
        <v>647</v>
      </c>
      <c r="R297" s="517" t="s">
        <v>1229</v>
      </c>
      <c r="S297" s="517" t="s">
        <v>671</v>
      </c>
      <c r="T297" s="518" t="s">
        <v>1421</v>
      </c>
      <c r="U297" s="38">
        <v>0</v>
      </c>
      <c r="V297" s="15" t="str">
        <f t="shared" si="42"/>
        <v>102021103</v>
      </c>
      <c r="W297" s="39">
        <v>1</v>
      </c>
      <c r="X297" s="40" t="s">
        <v>647</v>
      </c>
      <c r="Y297" s="40" t="s">
        <v>647</v>
      </c>
      <c r="Z297" s="40" t="s">
        <v>1229</v>
      </c>
      <c r="AA297" s="40" t="s">
        <v>671</v>
      </c>
      <c r="AB297" s="41" t="s">
        <v>1421</v>
      </c>
      <c r="AC297" s="9"/>
      <c r="AD297" s="517" t="s">
        <v>1422</v>
      </c>
      <c r="AE297" s="517" t="s">
        <v>13405</v>
      </c>
      <c r="AF297" s="517" t="s">
        <v>196</v>
      </c>
      <c r="AG297" s="520" t="s">
        <v>1423</v>
      </c>
      <c r="AH297" s="9"/>
      <c r="AI297" s="10"/>
      <c r="AJ297" s="9"/>
      <c r="AK297" s="10"/>
      <c r="AL297" s="10"/>
    </row>
    <row r="298" spans="1:38" ht="33.75" hidden="1">
      <c r="A298" s="1">
        <f t="shared" si="43"/>
        <v>0</v>
      </c>
      <c r="B298" s="2" t="s">
        <v>1456</v>
      </c>
      <c r="C298" s="3" t="s">
        <v>1457</v>
      </c>
      <c r="D298" s="15" t="s">
        <v>11461</v>
      </c>
      <c r="E298" s="4" t="s">
        <v>1456</v>
      </c>
      <c r="F298" s="37" t="s">
        <v>1447</v>
      </c>
      <c r="G298" s="38">
        <v>0</v>
      </c>
      <c r="H298" s="38">
        <v>0</v>
      </c>
      <c r="I298" s="15"/>
      <c r="J298" s="494">
        <v>10202110316</v>
      </c>
      <c r="K298" s="517" t="s">
        <v>1422</v>
      </c>
      <c r="L298" s="517" t="s">
        <v>13405</v>
      </c>
      <c r="M298" s="517" t="s">
        <v>196</v>
      </c>
      <c r="N298" s="518" t="s">
        <v>1423</v>
      </c>
      <c r="O298" s="517">
        <v>1</v>
      </c>
      <c r="P298" s="517" t="s">
        <v>647</v>
      </c>
      <c r="Q298" s="517" t="s">
        <v>647</v>
      </c>
      <c r="R298" s="517" t="s">
        <v>1229</v>
      </c>
      <c r="S298" s="517" t="s">
        <v>671</v>
      </c>
      <c r="T298" s="518" t="s">
        <v>1421</v>
      </c>
      <c r="U298" s="38">
        <v>0</v>
      </c>
      <c r="V298" s="15" t="str">
        <f t="shared" si="42"/>
        <v>102021103</v>
      </c>
      <c r="W298" s="39">
        <v>1</v>
      </c>
      <c r="X298" s="40" t="s">
        <v>647</v>
      </c>
      <c r="Y298" s="40" t="s">
        <v>647</v>
      </c>
      <c r="Z298" s="40" t="s">
        <v>1229</v>
      </c>
      <c r="AA298" s="40" t="s">
        <v>671</v>
      </c>
      <c r="AB298" s="41" t="s">
        <v>1421</v>
      </c>
      <c r="AC298" s="9"/>
      <c r="AD298" s="517" t="s">
        <v>1422</v>
      </c>
      <c r="AE298" s="517" t="s">
        <v>13405</v>
      </c>
      <c r="AF298" s="517" t="s">
        <v>196</v>
      </c>
      <c r="AG298" s="520" t="s">
        <v>1423</v>
      </c>
      <c r="AH298" s="9"/>
      <c r="AI298" s="10"/>
      <c r="AJ298" s="9"/>
      <c r="AK298" s="10"/>
      <c r="AL298" s="10"/>
    </row>
    <row r="299" spans="1:38" ht="67.5" hidden="1">
      <c r="A299" s="1">
        <f t="shared" si="43"/>
        <v>0</v>
      </c>
      <c r="B299" s="2" t="s">
        <v>1458</v>
      </c>
      <c r="C299" s="3" t="s">
        <v>1459</v>
      </c>
      <c r="D299" s="15" t="s">
        <v>11461</v>
      </c>
      <c r="E299" s="4" t="s">
        <v>1458</v>
      </c>
      <c r="F299" s="37" t="s">
        <v>1449</v>
      </c>
      <c r="G299" s="38">
        <v>0</v>
      </c>
      <c r="H299" s="38">
        <v>0</v>
      </c>
      <c r="I299" s="15"/>
      <c r="J299" s="494">
        <v>10202110317</v>
      </c>
      <c r="K299" s="517" t="s">
        <v>1422</v>
      </c>
      <c r="L299" s="517" t="s">
        <v>13405</v>
      </c>
      <c r="M299" s="517" t="s">
        <v>196</v>
      </c>
      <c r="N299" s="518" t="s">
        <v>1423</v>
      </c>
      <c r="O299" s="517">
        <v>1</v>
      </c>
      <c r="P299" s="517" t="s">
        <v>647</v>
      </c>
      <c r="Q299" s="517" t="s">
        <v>647</v>
      </c>
      <c r="R299" s="517" t="s">
        <v>1229</v>
      </c>
      <c r="S299" s="517" t="s">
        <v>671</v>
      </c>
      <c r="T299" s="518" t="s">
        <v>1421</v>
      </c>
      <c r="U299" s="38">
        <v>0</v>
      </c>
      <c r="V299" s="15" t="str">
        <f t="shared" si="42"/>
        <v>102021103</v>
      </c>
      <c r="W299" s="39">
        <v>1</v>
      </c>
      <c r="X299" s="40" t="s">
        <v>647</v>
      </c>
      <c r="Y299" s="40" t="s">
        <v>647</v>
      </c>
      <c r="Z299" s="40" t="s">
        <v>1229</v>
      </c>
      <c r="AA299" s="40" t="s">
        <v>671</v>
      </c>
      <c r="AB299" s="41" t="s">
        <v>1421</v>
      </c>
      <c r="AC299" s="9"/>
      <c r="AD299" s="517" t="s">
        <v>1422</v>
      </c>
      <c r="AE299" s="517" t="s">
        <v>13405</v>
      </c>
      <c r="AF299" s="517" t="s">
        <v>196</v>
      </c>
      <c r="AG299" s="520" t="s">
        <v>1423</v>
      </c>
      <c r="AH299" s="9"/>
      <c r="AI299" s="10"/>
      <c r="AJ299" s="9"/>
      <c r="AK299" s="10"/>
      <c r="AL299" s="10"/>
    </row>
    <row r="300" spans="1:38" ht="45" hidden="1">
      <c r="A300" s="1">
        <f t="shared" si="43"/>
        <v>0</v>
      </c>
      <c r="B300" s="2" t="s">
        <v>1460</v>
      </c>
      <c r="C300" s="3" t="s">
        <v>1461</v>
      </c>
      <c r="D300" s="15" t="s">
        <v>11461</v>
      </c>
      <c r="E300" s="4" t="s">
        <v>1460</v>
      </c>
      <c r="F300" s="37" t="s">
        <v>1451</v>
      </c>
      <c r="G300" s="38">
        <v>0</v>
      </c>
      <c r="H300" s="38">
        <v>0</v>
      </c>
      <c r="I300" s="15"/>
      <c r="J300" s="494">
        <v>10202110318</v>
      </c>
      <c r="K300" s="517" t="s">
        <v>1422</v>
      </c>
      <c r="L300" s="517" t="s">
        <v>13405</v>
      </c>
      <c r="M300" s="517" t="s">
        <v>196</v>
      </c>
      <c r="N300" s="518" t="s">
        <v>1423</v>
      </c>
      <c r="O300" s="517">
        <v>1</v>
      </c>
      <c r="P300" s="517" t="s">
        <v>647</v>
      </c>
      <c r="Q300" s="517" t="s">
        <v>647</v>
      </c>
      <c r="R300" s="517" t="s">
        <v>1229</v>
      </c>
      <c r="S300" s="517" t="s">
        <v>671</v>
      </c>
      <c r="T300" s="518" t="s">
        <v>1421</v>
      </c>
      <c r="U300" s="38">
        <v>0</v>
      </c>
      <c r="V300" s="15" t="str">
        <f t="shared" si="42"/>
        <v>102021103</v>
      </c>
      <c r="W300" s="39">
        <v>1</v>
      </c>
      <c r="X300" s="40" t="s">
        <v>647</v>
      </c>
      <c r="Y300" s="40" t="s">
        <v>647</v>
      </c>
      <c r="Z300" s="40" t="s">
        <v>1229</v>
      </c>
      <c r="AA300" s="40" t="s">
        <v>671</v>
      </c>
      <c r="AB300" s="41" t="s">
        <v>1421</v>
      </c>
      <c r="AC300" s="9"/>
      <c r="AD300" s="517" t="s">
        <v>1422</v>
      </c>
      <c r="AE300" s="517" t="s">
        <v>13405</v>
      </c>
      <c r="AF300" s="517" t="s">
        <v>196</v>
      </c>
      <c r="AG300" s="520" t="s">
        <v>1423</v>
      </c>
      <c r="AH300" s="9"/>
      <c r="AI300" s="10"/>
      <c r="AJ300" s="9"/>
      <c r="AK300" s="10"/>
      <c r="AL300" s="10"/>
    </row>
    <row r="301" spans="1:38" ht="45" hidden="1">
      <c r="A301" s="1">
        <f t="shared" si="43"/>
        <v>0</v>
      </c>
      <c r="B301" s="2" t="s">
        <v>1462</v>
      </c>
      <c r="C301" s="3" t="s">
        <v>1463</v>
      </c>
      <c r="D301" s="15" t="s">
        <v>11461</v>
      </c>
      <c r="E301" s="4" t="s">
        <v>1462</v>
      </c>
      <c r="F301" s="37" t="s">
        <v>1453</v>
      </c>
      <c r="G301" s="38">
        <v>0</v>
      </c>
      <c r="H301" s="38">
        <v>0</v>
      </c>
      <c r="I301" s="15"/>
      <c r="J301" s="494">
        <v>10202110319</v>
      </c>
      <c r="K301" s="517" t="s">
        <v>1422</v>
      </c>
      <c r="L301" s="517" t="s">
        <v>13405</v>
      </c>
      <c r="M301" s="517" t="s">
        <v>196</v>
      </c>
      <c r="N301" s="518" t="s">
        <v>1423</v>
      </c>
      <c r="O301" s="517">
        <v>1</v>
      </c>
      <c r="P301" s="517" t="s">
        <v>647</v>
      </c>
      <c r="Q301" s="517" t="s">
        <v>647</v>
      </c>
      <c r="R301" s="517" t="s">
        <v>1229</v>
      </c>
      <c r="S301" s="517" t="s">
        <v>671</v>
      </c>
      <c r="T301" s="518" t="s">
        <v>1421</v>
      </c>
      <c r="U301" s="38">
        <v>0</v>
      </c>
      <c r="V301" s="15" t="str">
        <f t="shared" si="42"/>
        <v>102021103</v>
      </c>
      <c r="W301" s="39">
        <v>1</v>
      </c>
      <c r="X301" s="40" t="s">
        <v>647</v>
      </c>
      <c r="Y301" s="40" t="s">
        <v>647</v>
      </c>
      <c r="Z301" s="40" t="s">
        <v>1229</v>
      </c>
      <c r="AA301" s="40" t="s">
        <v>671</v>
      </c>
      <c r="AB301" s="41" t="s">
        <v>1421</v>
      </c>
      <c r="AC301" s="9"/>
      <c r="AD301" s="517" t="s">
        <v>1422</v>
      </c>
      <c r="AE301" s="517" t="s">
        <v>13405</v>
      </c>
      <c r="AF301" s="517" t="s">
        <v>196</v>
      </c>
      <c r="AG301" s="520" t="s">
        <v>1423</v>
      </c>
      <c r="AH301" s="9"/>
      <c r="AI301" s="10"/>
      <c r="AJ301" s="9"/>
      <c r="AK301" s="10"/>
      <c r="AL301" s="10"/>
    </row>
    <row r="302" spans="1:38" ht="45" hidden="1">
      <c r="A302" s="1">
        <f t="shared" si="43"/>
        <v>0</v>
      </c>
      <c r="B302" s="2" t="s">
        <v>1464</v>
      </c>
      <c r="C302" s="3" t="s">
        <v>1465</v>
      </c>
      <c r="D302" s="15" t="s">
        <v>11461</v>
      </c>
      <c r="E302" s="4" t="s">
        <v>1464</v>
      </c>
      <c r="F302" s="37" t="s">
        <v>1455</v>
      </c>
      <c r="G302" s="38">
        <v>0</v>
      </c>
      <c r="H302" s="38">
        <v>0</v>
      </c>
      <c r="I302" s="15"/>
      <c r="J302" s="494">
        <v>10202110320</v>
      </c>
      <c r="K302" s="517" t="s">
        <v>1422</v>
      </c>
      <c r="L302" s="517" t="s">
        <v>13405</v>
      </c>
      <c r="M302" s="517" t="s">
        <v>196</v>
      </c>
      <c r="N302" s="518" t="s">
        <v>1423</v>
      </c>
      <c r="O302" s="517">
        <v>1</v>
      </c>
      <c r="P302" s="517" t="s">
        <v>647</v>
      </c>
      <c r="Q302" s="517" t="s">
        <v>647</v>
      </c>
      <c r="R302" s="517" t="s">
        <v>1229</v>
      </c>
      <c r="S302" s="517" t="s">
        <v>671</v>
      </c>
      <c r="T302" s="518" t="s">
        <v>1421</v>
      </c>
      <c r="U302" s="38">
        <v>0</v>
      </c>
      <c r="V302" s="15" t="str">
        <f t="shared" si="42"/>
        <v>102021103</v>
      </c>
      <c r="W302" s="39">
        <v>1</v>
      </c>
      <c r="X302" s="40" t="s">
        <v>647</v>
      </c>
      <c r="Y302" s="40" t="s">
        <v>647</v>
      </c>
      <c r="Z302" s="40" t="s">
        <v>1229</v>
      </c>
      <c r="AA302" s="40" t="s">
        <v>671</v>
      </c>
      <c r="AB302" s="41" t="s">
        <v>1421</v>
      </c>
      <c r="AC302" s="9"/>
      <c r="AD302" s="517" t="s">
        <v>1422</v>
      </c>
      <c r="AE302" s="517" t="s">
        <v>13405</v>
      </c>
      <c r="AF302" s="517" t="s">
        <v>196</v>
      </c>
      <c r="AG302" s="520" t="s">
        <v>1423</v>
      </c>
      <c r="AH302" s="9"/>
      <c r="AI302" s="10"/>
      <c r="AJ302" s="9"/>
      <c r="AK302" s="10"/>
      <c r="AL302" s="10"/>
    </row>
    <row r="303" spans="1:38" ht="45" hidden="1">
      <c r="A303" s="1">
        <f t="shared" si="43"/>
        <v>0</v>
      </c>
      <c r="B303" s="2" t="s">
        <v>1466</v>
      </c>
      <c r="C303" s="3" t="s">
        <v>1467</v>
      </c>
      <c r="D303" s="15" t="s">
        <v>11461</v>
      </c>
      <c r="E303" s="4" t="s">
        <v>1466</v>
      </c>
      <c r="F303" s="37" t="s">
        <v>1457</v>
      </c>
      <c r="G303" s="38">
        <v>0</v>
      </c>
      <c r="H303" s="38">
        <v>0</v>
      </c>
      <c r="I303" s="15"/>
      <c r="J303" s="494">
        <v>10202110321</v>
      </c>
      <c r="K303" s="517" t="s">
        <v>1422</v>
      </c>
      <c r="L303" s="517" t="s">
        <v>13405</v>
      </c>
      <c r="M303" s="517" t="s">
        <v>196</v>
      </c>
      <c r="N303" s="518" t="s">
        <v>1423</v>
      </c>
      <c r="O303" s="517">
        <v>1</v>
      </c>
      <c r="P303" s="517" t="s">
        <v>647</v>
      </c>
      <c r="Q303" s="517" t="s">
        <v>647</v>
      </c>
      <c r="R303" s="517" t="s">
        <v>1229</v>
      </c>
      <c r="S303" s="517" t="s">
        <v>671</v>
      </c>
      <c r="T303" s="518" t="s">
        <v>1421</v>
      </c>
      <c r="U303" s="38">
        <v>0</v>
      </c>
      <c r="V303" s="15" t="str">
        <f t="shared" si="42"/>
        <v>102021103</v>
      </c>
      <c r="W303" s="39">
        <v>1</v>
      </c>
      <c r="X303" s="40" t="s">
        <v>647</v>
      </c>
      <c r="Y303" s="40" t="s">
        <v>647</v>
      </c>
      <c r="Z303" s="40" t="s">
        <v>1229</v>
      </c>
      <c r="AA303" s="40" t="s">
        <v>671</v>
      </c>
      <c r="AB303" s="41" t="s">
        <v>1421</v>
      </c>
      <c r="AC303" s="9"/>
      <c r="AD303" s="517" t="s">
        <v>1422</v>
      </c>
      <c r="AE303" s="517" t="s">
        <v>13405</v>
      </c>
      <c r="AF303" s="517" t="s">
        <v>196</v>
      </c>
      <c r="AG303" s="520" t="s">
        <v>1423</v>
      </c>
      <c r="AH303" s="9"/>
      <c r="AI303" s="10"/>
      <c r="AJ303" s="9"/>
      <c r="AK303" s="10"/>
      <c r="AL303" s="10"/>
    </row>
    <row r="304" spans="1:38" ht="56.25" hidden="1">
      <c r="A304" s="1">
        <f t="shared" si="43"/>
        <v>0</v>
      </c>
      <c r="B304" s="2" t="s">
        <v>1468</v>
      </c>
      <c r="C304" s="3" t="s">
        <v>1469</v>
      </c>
      <c r="D304" s="15" t="s">
        <v>11461</v>
      </c>
      <c r="E304" s="4" t="s">
        <v>1468</v>
      </c>
      <c r="F304" s="37" t="s">
        <v>1459</v>
      </c>
      <c r="G304" s="38">
        <v>0</v>
      </c>
      <c r="H304" s="38">
        <v>0</v>
      </c>
      <c r="I304" s="15"/>
      <c r="J304" s="494">
        <v>10202110322</v>
      </c>
      <c r="K304" s="517" t="s">
        <v>1422</v>
      </c>
      <c r="L304" s="517" t="s">
        <v>13405</v>
      </c>
      <c r="M304" s="517" t="s">
        <v>196</v>
      </c>
      <c r="N304" s="518" t="s">
        <v>1423</v>
      </c>
      <c r="O304" s="517">
        <v>1</v>
      </c>
      <c r="P304" s="517" t="s">
        <v>647</v>
      </c>
      <c r="Q304" s="517" t="s">
        <v>647</v>
      </c>
      <c r="R304" s="517" t="s">
        <v>1229</v>
      </c>
      <c r="S304" s="517" t="s">
        <v>671</v>
      </c>
      <c r="T304" s="518" t="s">
        <v>1421</v>
      </c>
      <c r="U304" s="38">
        <v>0</v>
      </c>
      <c r="V304" s="15" t="str">
        <f t="shared" si="42"/>
        <v>102021103</v>
      </c>
      <c r="W304" s="39">
        <v>1</v>
      </c>
      <c r="X304" s="40" t="s">
        <v>647</v>
      </c>
      <c r="Y304" s="40" t="s">
        <v>647</v>
      </c>
      <c r="Z304" s="40" t="s">
        <v>1229</v>
      </c>
      <c r="AA304" s="40" t="s">
        <v>671</v>
      </c>
      <c r="AB304" s="41" t="s">
        <v>1421</v>
      </c>
      <c r="AC304" s="9"/>
      <c r="AD304" s="517" t="s">
        <v>1422</v>
      </c>
      <c r="AE304" s="517" t="s">
        <v>13405</v>
      </c>
      <c r="AF304" s="517" t="s">
        <v>196</v>
      </c>
      <c r="AG304" s="520" t="s">
        <v>1423</v>
      </c>
      <c r="AH304" s="9"/>
      <c r="AI304" s="10"/>
      <c r="AJ304" s="9"/>
      <c r="AK304" s="10"/>
      <c r="AL304" s="10"/>
    </row>
    <row r="305" spans="1:38" ht="33.75" hidden="1">
      <c r="A305" s="1">
        <f t="shared" si="43"/>
        <v>0</v>
      </c>
      <c r="B305" s="2" t="s">
        <v>1470</v>
      </c>
      <c r="C305" s="3" t="s">
        <v>1471</v>
      </c>
      <c r="D305" s="15" t="s">
        <v>11461</v>
      </c>
      <c r="E305" s="4" t="s">
        <v>1470</v>
      </c>
      <c r="F305" s="37" t="s">
        <v>1461</v>
      </c>
      <c r="G305" s="38">
        <v>0</v>
      </c>
      <c r="H305" s="38">
        <v>0</v>
      </c>
      <c r="I305" s="15"/>
      <c r="J305" s="494">
        <v>10202110323</v>
      </c>
      <c r="K305" s="517" t="s">
        <v>1422</v>
      </c>
      <c r="L305" s="517" t="s">
        <v>13405</v>
      </c>
      <c r="M305" s="517" t="s">
        <v>196</v>
      </c>
      <c r="N305" s="518" t="s">
        <v>1423</v>
      </c>
      <c r="O305" s="517">
        <v>1</v>
      </c>
      <c r="P305" s="517" t="s">
        <v>647</v>
      </c>
      <c r="Q305" s="517" t="s">
        <v>647</v>
      </c>
      <c r="R305" s="517" t="s">
        <v>1229</v>
      </c>
      <c r="S305" s="517" t="s">
        <v>671</v>
      </c>
      <c r="T305" s="518" t="s">
        <v>1421</v>
      </c>
      <c r="U305" s="38">
        <v>0</v>
      </c>
      <c r="V305" s="15" t="str">
        <f t="shared" si="42"/>
        <v>102021103</v>
      </c>
      <c r="W305" s="39">
        <v>1</v>
      </c>
      <c r="X305" s="40" t="s">
        <v>647</v>
      </c>
      <c r="Y305" s="40" t="s">
        <v>647</v>
      </c>
      <c r="Z305" s="40" t="s">
        <v>1229</v>
      </c>
      <c r="AA305" s="40" t="s">
        <v>671</v>
      </c>
      <c r="AB305" s="41" t="s">
        <v>1421</v>
      </c>
      <c r="AC305" s="9"/>
      <c r="AD305" s="517" t="s">
        <v>1422</v>
      </c>
      <c r="AE305" s="517" t="s">
        <v>13405</v>
      </c>
      <c r="AF305" s="517" t="s">
        <v>196</v>
      </c>
      <c r="AG305" s="520" t="s">
        <v>1423</v>
      </c>
      <c r="AH305" s="9"/>
      <c r="AI305" s="10"/>
      <c r="AJ305" s="9"/>
      <c r="AK305" s="10"/>
      <c r="AL305" s="10"/>
    </row>
    <row r="306" spans="1:38" ht="33.75" hidden="1">
      <c r="A306" s="1">
        <f t="shared" si="43"/>
        <v>0</v>
      </c>
      <c r="B306" s="2" t="s">
        <v>1472</v>
      </c>
      <c r="C306" s="3" t="s">
        <v>1473</v>
      </c>
      <c r="D306" s="15" t="s">
        <v>11461</v>
      </c>
      <c r="E306" s="4" t="s">
        <v>1472</v>
      </c>
      <c r="F306" s="37" t="s">
        <v>1463</v>
      </c>
      <c r="G306" s="38">
        <v>0</v>
      </c>
      <c r="H306" s="38">
        <v>0</v>
      </c>
      <c r="I306" s="15"/>
      <c r="J306" s="494">
        <v>10202110324</v>
      </c>
      <c r="K306" s="517" t="s">
        <v>1422</v>
      </c>
      <c r="L306" s="517" t="s">
        <v>13405</v>
      </c>
      <c r="M306" s="517" t="s">
        <v>196</v>
      </c>
      <c r="N306" s="518" t="s">
        <v>1423</v>
      </c>
      <c r="O306" s="517">
        <v>1</v>
      </c>
      <c r="P306" s="517" t="s">
        <v>647</v>
      </c>
      <c r="Q306" s="517" t="s">
        <v>647</v>
      </c>
      <c r="R306" s="517" t="s">
        <v>1229</v>
      </c>
      <c r="S306" s="517" t="s">
        <v>671</v>
      </c>
      <c r="T306" s="518" t="s">
        <v>1421</v>
      </c>
      <c r="U306" s="38">
        <v>0</v>
      </c>
      <c r="V306" s="15" t="str">
        <f t="shared" si="42"/>
        <v>102021103</v>
      </c>
      <c r="W306" s="39">
        <v>1</v>
      </c>
      <c r="X306" s="40" t="s">
        <v>647</v>
      </c>
      <c r="Y306" s="40" t="s">
        <v>647</v>
      </c>
      <c r="Z306" s="40" t="s">
        <v>1229</v>
      </c>
      <c r="AA306" s="40" t="s">
        <v>671</v>
      </c>
      <c r="AB306" s="41" t="s">
        <v>1421</v>
      </c>
      <c r="AC306" s="9"/>
      <c r="AD306" s="517" t="s">
        <v>1422</v>
      </c>
      <c r="AE306" s="517" t="s">
        <v>13405</v>
      </c>
      <c r="AF306" s="517" t="s">
        <v>196</v>
      </c>
      <c r="AG306" s="520" t="s">
        <v>1423</v>
      </c>
      <c r="AH306" s="9"/>
      <c r="AI306" s="10"/>
      <c r="AJ306" s="9"/>
      <c r="AK306" s="10"/>
      <c r="AL306" s="10"/>
    </row>
    <row r="307" spans="1:38" ht="33.75" hidden="1">
      <c r="A307" s="1">
        <f t="shared" si="43"/>
        <v>0</v>
      </c>
      <c r="B307" s="2" t="s">
        <v>1474</v>
      </c>
      <c r="C307" s="3" t="s">
        <v>1475</v>
      </c>
      <c r="D307" s="15" t="s">
        <v>11461</v>
      </c>
      <c r="E307" s="4" t="s">
        <v>1474</v>
      </c>
      <c r="F307" s="37" t="s">
        <v>1465</v>
      </c>
      <c r="G307" s="38">
        <v>0</v>
      </c>
      <c r="H307" s="38">
        <v>0</v>
      </c>
      <c r="I307" s="15"/>
      <c r="J307" s="494">
        <v>10202110325</v>
      </c>
      <c r="K307" s="517" t="s">
        <v>1422</v>
      </c>
      <c r="L307" s="517" t="s">
        <v>13405</v>
      </c>
      <c r="M307" s="517" t="s">
        <v>196</v>
      </c>
      <c r="N307" s="518" t="s">
        <v>1423</v>
      </c>
      <c r="O307" s="517">
        <v>1</v>
      </c>
      <c r="P307" s="517" t="s">
        <v>647</v>
      </c>
      <c r="Q307" s="517" t="s">
        <v>647</v>
      </c>
      <c r="R307" s="517" t="s">
        <v>1229</v>
      </c>
      <c r="S307" s="517" t="s">
        <v>671</v>
      </c>
      <c r="T307" s="518" t="s">
        <v>1421</v>
      </c>
      <c r="U307" s="38">
        <v>0</v>
      </c>
      <c r="V307" s="15" t="str">
        <f t="shared" si="42"/>
        <v>102021103</v>
      </c>
      <c r="W307" s="39">
        <v>1</v>
      </c>
      <c r="X307" s="40" t="s">
        <v>647</v>
      </c>
      <c r="Y307" s="40" t="s">
        <v>647</v>
      </c>
      <c r="Z307" s="40" t="s">
        <v>1229</v>
      </c>
      <c r="AA307" s="40" t="s">
        <v>671</v>
      </c>
      <c r="AB307" s="41" t="s">
        <v>1421</v>
      </c>
      <c r="AC307" s="9"/>
      <c r="AD307" s="517" t="s">
        <v>1422</v>
      </c>
      <c r="AE307" s="517" t="s">
        <v>13405</v>
      </c>
      <c r="AF307" s="517" t="s">
        <v>196</v>
      </c>
      <c r="AG307" s="520" t="s">
        <v>1423</v>
      </c>
      <c r="AH307" s="9"/>
      <c r="AI307" s="10"/>
      <c r="AJ307" s="9"/>
      <c r="AK307" s="10"/>
      <c r="AL307" s="10"/>
    </row>
    <row r="308" spans="1:38" ht="56.25" hidden="1">
      <c r="A308" s="1">
        <f t="shared" si="43"/>
        <v>0</v>
      </c>
      <c r="B308" s="2" t="s">
        <v>1476</v>
      </c>
      <c r="C308" s="3" t="s">
        <v>1477</v>
      </c>
      <c r="D308" s="15" t="s">
        <v>11461</v>
      </c>
      <c r="E308" s="4" t="s">
        <v>1476</v>
      </c>
      <c r="F308" s="37" t="s">
        <v>1467</v>
      </c>
      <c r="G308" s="38">
        <v>0</v>
      </c>
      <c r="H308" s="38">
        <v>0</v>
      </c>
      <c r="I308" s="15"/>
      <c r="J308" s="494">
        <v>10202110326</v>
      </c>
      <c r="K308" s="517" t="s">
        <v>1422</v>
      </c>
      <c r="L308" s="517" t="s">
        <v>13405</v>
      </c>
      <c r="M308" s="517" t="s">
        <v>196</v>
      </c>
      <c r="N308" s="518" t="s">
        <v>1423</v>
      </c>
      <c r="O308" s="517">
        <v>1</v>
      </c>
      <c r="P308" s="517" t="s">
        <v>647</v>
      </c>
      <c r="Q308" s="517" t="s">
        <v>647</v>
      </c>
      <c r="R308" s="517" t="s">
        <v>1229</v>
      </c>
      <c r="S308" s="517" t="s">
        <v>671</v>
      </c>
      <c r="T308" s="518" t="s">
        <v>1421</v>
      </c>
      <c r="U308" s="38">
        <v>0</v>
      </c>
      <c r="V308" s="15" t="str">
        <f t="shared" si="42"/>
        <v>102021103</v>
      </c>
      <c r="W308" s="39">
        <v>1</v>
      </c>
      <c r="X308" s="40" t="s">
        <v>647</v>
      </c>
      <c r="Y308" s="40" t="s">
        <v>647</v>
      </c>
      <c r="Z308" s="40" t="s">
        <v>1229</v>
      </c>
      <c r="AA308" s="40" t="s">
        <v>671</v>
      </c>
      <c r="AB308" s="41" t="s">
        <v>1421</v>
      </c>
      <c r="AC308" s="9"/>
      <c r="AD308" s="517" t="s">
        <v>1422</v>
      </c>
      <c r="AE308" s="517" t="s">
        <v>13405</v>
      </c>
      <c r="AF308" s="517" t="s">
        <v>196</v>
      </c>
      <c r="AG308" s="520" t="s">
        <v>1423</v>
      </c>
      <c r="AH308" s="9"/>
      <c r="AI308" s="10"/>
      <c r="AJ308" s="9"/>
      <c r="AK308" s="10"/>
      <c r="AL308" s="10"/>
    </row>
    <row r="309" spans="1:38" ht="67.5" hidden="1">
      <c r="A309" s="1">
        <f t="shared" si="43"/>
        <v>0</v>
      </c>
      <c r="B309" s="2" t="s">
        <v>1478</v>
      </c>
      <c r="C309" s="3" t="s">
        <v>1479</v>
      </c>
      <c r="D309" s="15" t="s">
        <v>11461</v>
      </c>
      <c r="E309" s="4" t="s">
        <v>1478</v>
      </c>
      <c r="F309" s="37" t="s">
        <v>1469</v>
      </c>
      <c r="G309" s="38">
        <v>0</v>
      </c>
      <c r="H309" s="38">
        <v>0</v>
      </c>
      <c r="I309" s="15"/>
      <c r="J309" s="494">
        <v>10202110327</v>
      </c>
      <c r="K309" s="517" t="s">
        <v>1422</v>
      </c>
      <c r="L309" s="517" t="s">
        <v>13405</v>
      </c>
      <c r="M309" s="517" t="s">
        <v>196</v>
      </c>
      <c r="N309" s="518" t="s">
        <v>1423</v>
      </c>
      <c r="O309" s="517">
        <v>1</v>
      </c>
      <c r="P309" s="517" t="s">
        <v>647</v>
      </c>
      <c r="Q309" s="517" t="s">
        <v>647</v>
      </c>
      <c r="R309" s="517" t="s">
        <v>1229</v>
      </c>
      <c r="S309" s="517" t="s">
        <v>671</v>
      </c>
      <c r="T309" s="518" t="s">
        <v>1421</v>
      </c>
      <c r="U309" s="38">
        <v>0</v>
      </c>
      <c r="V309" s="15" t="str">
        <f t="shared" si="42"/>
        <v>102021103</v>
      </c>
      <c r="W309" s="39">
        <v>1</v>
      </c>
      <c r="X309" s="40" t="s">
        <v>647</v>
      </c>
      <c r="Y309" s="40" t="s">
        <v>647</v>
      </c>
      <c r="Z309" s="40" t="s">
        <v>1229</v>
      </c>
      <c r="AA309" s="40" t="s">
        <v>671</v>
      </c>
      <c r="AB309" s="41" t="s">
        <v>1421</v>
      </c>
      <c r="AC309" s="9"/>
      <c r="AD309" s="517" t="s">
        <v>1422</v>
      </c>
      <c r="AE309" s="517" t="s">
        <v>13405</v>
      </c>
      <c r="AF309" s="517" t="s">
        <v>196</v>
      </c>
      <c r="AG309" s="520" t="s">
        <v>1423</v>
      </c>
      <c r="AH309" s="9"/>
      <c r="AI309" s="10"/>
      <c r="AJ309" s="9"/>
      <c r="AK309" s="10"/>
      <c r="AL309" s="10"/>
    </row>
    <row r="310" spans="1:38" ht="56.25" hidden="1">
      <c r="A310" s="1">
        <f t="shared" si="43"/>
        <v>0</v>
      </c>
      <c r="B310" s="2" t="s">
        <v>1480</v>
      </c>
      <c r="C310" s="3" t="s">
        <v>1481</v>
      </c>
      <c r="D310" s="15" t="s">
        <v>11461</v>
      </c>
      <c r="E310" s="4" t="s">
        <v>1480</v>
      </c>
      <c r="F310" s="37" t="s">
        <v>1471</v>
      </c>
      <c r="G310" s="38">
        <v>0</v>
      </c>
      <c r="H310" s="38">
        <v>0</v>
      </c>
      <c r="I310" s="15"/>
      <c r="J310" s="494">
        <v>10202110328</v>
      </c>
      <c r="K310" s="517" t="s">
        <v>1422</v>
      </c>
      <c r="L310" s="517" t="s">
        <v>13405</v>
      </c>
      <c r="M310" s="517" t="s">
        <v>196</v>
      </c>
      <c r="N310" s="518" t="s">
        <v>1423</v>
      </c>
      <c r="O310" s="517">
        <v>1</v>
      </c>
      <c r="P310" s="517" t="s">
        <v>647</v>
      </c>
      <c r="Q310" s="517" t="s">
        <v>647</v>
      </c>
      <c r="R310" s="517" t="s">
        <v>1229</v>
      </c>
      <c r="S310" s="517" t="s">
        <v>671</v>
      </c>
      <c r="T310" s="518" t="s">
        <v>1421</v>
      </c>
      <c r="U310" s="38">
        <v>0</v>
      </c>
      <c r="V310" s="15" t="str">
        <f t="shared" si="42"/>
        <v>102021103</v>
      </c>
      <c r="W310" s="39">
        <v>1</v>
      </c>
      <c r="X310" s="40" t="s">
        <v>647</v>
      </c>
      <c r="Y310" s="40" t="s">
        <v>647</v>
      </c>
      <c r="Z310" s="40" t="s">
        <v>1229</v>
      </c>
      <c r="AA310" s="40" t="s">
        <v>671</v>
      </c>
      <c r="AB310" s="41" t="s">
        <v>1421</v>
      </c>
      <c r="AC310" s="9"/>
      <c r="AD310" s="517" t="s">
        <v>1422</v>
      </c>
      <c r="AE310" s="517" t="s">
        <v>13405</v>
      </c>
      <c r="AF310" s="517" t="s">
        <v>196</v>
      </c>
      <c r="AG310" s="520" t="s">
        <v>1423</v>
      </c>
      <c r="AH310" s="9"/>
      <c r="AI310" s="10"/>
      <c r="AJ310" s="9"/>
      <c r="AK310" s="10"/>
      <c r="AL310" s="10"/>
    </row>
    <row r="311" spans="1:38" ht="67.5" hidden="1">
      <c r="A311" s="1">
        <f t="shared" si="43"/>
        <v>0</v>
      </c>
      <c r="B311" s="2" t="s">
        <v>1482</v>
      </c>
      <c r="C311" s="3" t="s">
        <v>1483</v>
      </c>
      <c r="D311" s="15" t="s">
        <v>11461</v>
      </c>
      <c r="E311" s="4" t="s">
        <v>1482</v>
      </c>
      <c r="F311" s="37" t="s">
        <v>1473</v>
      </c>
      <c r="G311" s="38">
        <v>0</v>
      </c>
      <c r="H311" s="38">
        <v>0</v>
      </c>
      <c r="I311" s="15"/>
      <c r="J311" s="494">
        <v>10202110329</v>
      </c>
      <c r="K311" s="517" t="s">
        <v>1422</v>
      </c>
      <c r="L311" s="517" t="s">
        <v>13405</v>
      </c>
      <c r="M311" s="517" t="s">
        <v>196</v>
      </c>
      <c r="N311" s="518" t="s">
        <v>1423</v>
      </c>
      <c r="O311" s="517">
        <v>1</v>
      </c>
      <c r="P311" s="517" t="s">
        <v>647</v>
      </c>
      <c r="Q311" s="517" t="s">
        <v>647</v>
      </c>
      <c r="R311" s="517" t="s">
        <v>1229</v>
      </c>
      <c r="S311" s="517" t="s">
        <v>671</v>
      </c>
      <c r="T311" s="518" t="s">
        <v>1421</v>
      </c>
      <c r="U311" s="38">
        <v>0</v>
      </c>
      <c r="V311" s="15" t="str">
        <f t="shared" si="42"/>
        <v>102021103</v>
      </c>
      <c r="W311" s="39">
        <v>1</v>
      </c>
      <c r="X311" s="40" t="s">
        <v>647</v>
      </c>
      <c r="Y311" s="40" t="s">
        <v>647</v>
      </c>
      <c r="Z311" s="40" t="s">
        <v>1229</v>
      </c>
      <c r="AA311" s="40" t="s">
        <v>671</v>
      </c>
      <c r="AB311" s="41" t="s">
        <v>1421</v>
      </c>
      <c r="AC311" s="9"/>
      <c r="AD311" s="517" t="s">
        <v>1422</v>
      </c>
      <c r="AE311" s="517" t="s">
        <v>13405</v>
      </c>
      <c r="AF311" s="517" t="s">
        <v>196</v>
      </c>
      <c r="AG311" s="520" t="s">
        <v>1423</v>
      </c>
      <c r="AH311" s="9"/>
      <c r="AI311" s="10"/>
      <c r="AJ311" s="9"/>
      <c r="AK311" s="10"/>
      <c r="AL311" s="10"/>
    </row>
    <row r="312" spans="1:38" ht="67.5" hidden="1">
      <c r="A312" s="1">
        <f t="shared" si="43"/>
        <v>0</v>
      </c>
      <c r="B312" s="2" t="s">
        <v>1484</v>
      </c>
      <c r="C312" s="3" t="s">
        <v>1485</v>
      </c>
      <c r="D312" s="15" t="s">
        <v>11461</v>
      </c>
      <c r="E312" s="4" t="s">
        <v>1484</v>
      </c>
      <c r="F312" s="37" t="s">
        <v>1475</v>
      </c>
      <c r="G312" s="38">
        <v>0</v>
      </c>
      <c r="H312" s="38">
        <v>0</v>
      </c>
      <c r="I312" s="15"/>
      <c r="J312" s="494">
        <v>10202110330</v>
      </c>
      <c r="K312" s="517" t="s">
        <v>1422</v>
      </c>
      <c r="L312" s="517" t="s">
        <v>13405</v>
      </c>
      <c r="M312" s="517" t="s">
        <v>196</v>
      </c>
      <c r="N312" s="518" t="s">
        <v>1423</v>
      </c>
      <c r="O312" s="517">
        <v>1</v>
      </c>
      <c r="P312" s="517" t="s">
        <v>647</v>
      </c>
      <c r="Q312" s="517" t="s">
        <v>647</v>
      </c>
      <c r="R312" s="517" t="s">
        <v>1229</v>
      </c>
      <c r="S312" s="517" t="s">
        <v>671</v>
      </c>
      <c r="T312" s="518" t="s">
        <v>1421</v>
      </c>
      <c r="U312" s="38">
        <v>0</v>
      </c>
      <c r="V312" s="15" t="str">
        <f t="shared" si="42"/>
        <v>102021103</v>
      </c>
      <c r="W312" s="39">
        <v>1</v>
      </c>
      <c r="X312" s="40" t="s">
        <v>647</v>
      </c>
      <c r="Y312" s="40" t="s">
        <v>647</v>
      </c>
      <c r="Z312" s="40" t="s">
        <v>1229</v>
      </c>
      <c r="AA312" s="40" t="s">
        <v>671</v>
      </c>
      <c r="AB312" s="41" t="s">
        <v>1421</v>
      </c>
      <c r="AC312" s="9"/>
      <c r="AD312" s="517" t="s">
        <v>1422</v>
      </c>
      <c r="AE312" s="517" t="s">
        <v>13405</v>
      </c>
      <c r="AF312" s="517" t="s">
        <v>196</v>
      </c>
      <c r="AG312" s="520" t="s">
        <v>1423</v>
      </c>
      <c r="AH312" s="9"/>
      <c r="AI312" s="10"/>
      <c r="AJ312" s="9"/>
      <c r="AK312" s="10"/>
      <c r="AL312" s="10"/>
    </row>
    <row r="313" spans="1:38" ht="56.25" hidden="1">
      <c r="A313" s="1">
        <f t="shared" si="43"/>
        <v>0</v>
      </c>
      <c r="B313" s="2" t="s">
        <v>1486</v>
      </c>
      <c r="C313" s="3" t="s">
        <v>1487</v>
      </c>
      <c r="D313" s="15" t="s">
        <v>11461</v>
      </c>
      <c r="E313" s="4" t="s">
        <v>1486</v>
      </c>
      <c r="F313" s="37" t="s">
        <v>1477</v>
      </c>
      <c r="G313" s="38">
        <v>0</v>
      </c>
      <c r="H313" s="38">
        <v>0</v>
      </c>
      <c r="I313" s="15"/>
      <c r="J313" s="494">
        <v>10202110331</v>
      </c>
      <c r="K313" s="517" t="s">
        <v>1422</v>
      </c>
      <c r="L313" s="517" t="s">
        <v>13405</v>
      </c>
      <c r="M313" s="517" t="s">
        <v>196</v>
      </c>
      <c r="N313" s="518" t="s">
        <v>1423</v>
      </c>
      <c r="O313" s="517">
        <v>1</v>
      </c>
      <c r="P313" s="517" t="s">
        <v>647</v>
      </c>
      <c r="Q313" s="517" t="s">
        <v>647</v>
      </c>
      <c r="R313" s="517" t="s">
        <v>1229</v>
      </c>
      <c r="S313" s="517" t="s">
        <v>671</v>
      </c>
      <c r="T313" s="518" t="s">
        <v>1421</v>
      </c>
      <c r="U313" s="38">
        <v>0</v>
      </c>
      <c r="V313" s="15" t="str">
        <f t="shared" si="42"/>
        <v>102021103</v>
      </c>
      <c r="W313" s="39">
        <v>1</v>
      </c>
      <c r="X313" s="40" t="s">
        <v>647</v>
      </c>
      <c r="Y313" s="40" t="s">
        <v>647</v>
      </c>
      <c r="Z313" s="40" t="s">
        <v>1229</v>
      </c>
      <c r="AA313" s="40" t="s">
        <v>671</v>
      </c>
      <c r="AB313" s="41" t="s">
        <v>1421</v>
      </c>
      <c r="AC313" s="9"/>
      <c r="AD313" s="517" t="s">
        <v>1422</v>
      </c>
      <c r="AE313" s="517" t="s">
        <v>13405</v>
      </c>
      <c r="AF313" s="517" t="s">
        <v>196</v>
      </c>
      <c r="AG313" s="520" t="s">
        <v>1423</v>
      </c>
      <c r="AH313" s="9"/>
      <c r="AI313" s="10"/>
      <c r="AJ313" s="9"/>
      <c r="AK313" s="10"/>
      <c r="AL313" s="10"/>
    </row>
    <row r="314" spans="1:38" ht="45" hidden="1">
      <c r="A314" s="1">
        <f t="shared" si="43"/>
        <v>0</v>
      </c>
      <c r="B314" s="2" t="s">
        <v>1488</v>
      </c>
      <c r="C314" s="3" t="s">
        <v>1489</v>
      </c>
      <c r="D314" s="15" t="s">
        <v>11461</v>
      </c>
      <c r="E314" s="4" t="s">
        <v>1488</v>
      </c>
      <c r="F314" s="37" t="s">
        <v>1479</v>
      </c>
      <c r="G314" s="38">
        <v>0</v>
      </c>
      <c r="H314" s="38">
        <v>0</v>
      </c>
      <c r="I314" s="15"/>
      <c r="J314" s="494">
        <v>10202110332</v>
      </c>
      <c r="K314" s="517" t="s">
        <v>1422</v>
      </c>
      <c r="L314" s="517" t="s">
        <v>13405</v>
      </c>
      <c r="M314" s="517" t="s">
        <v>196</v>
      </c>
      <c r="N314" s="518" t="s">
        <v>1423</v>
      </c>
      <c r="O314" s="517">
        <v>1</v>
      </c>
      <c r="P314" s="517" t="s">
        <v>647</v>
      </c>
      <c r="Q314" s="517" t="s">
        <v>647</v>
      </c>
      <c r="R314" s="517" t="s">
        <v>1229</v>
      </c>
      <c r="S314" s="517" t="s">
        <v>671</v>
      </c>
      <c r="T314" s="518" t="s">
        <v>1421</v>
      </c>
      <c r="U314" s="38">
        <v>0</v>
      </c>
      <c r="V314" s="15" t="str">
        <f t="shared" si="42"/>
        <v>102021103</v>
      </c>
      <c r="W314" s="39">
        <v>1</v>
      </c>
      <c r="X314" s="40" t="s">
        <v>647</v>
      </c>
      <c r="Y314" s="40" t="s">
        <v>647</v>
      </c>
      <c r="Z314" s="40" t="s">
        <v>1229</v>
      </c>
      <c r="AA314" s="40" t="s">
        <v>671</v>
      </c>
      <c r="AB314" s="41" t="s">
        <v>1421</v>
      </c>
      <c r="AC314" s="9"/>
      <c r="AD314" s="517" t="s">
        <v>1422</v>
      </c>
      <c r="AE314" s="517" t="s">
        <v>13405</v>
      </c>
      <c r="AF314" s="517" t="s">
        <v>196</v>
      </c>
      <c r="AG314" s="520" t="s">
        <v>1423</v>
      </c>
      <c r="AH314" s="9"/>
      <c r="AI314" s="10"/>
      <c r="AJ314" s="9"/>
      <c r="AK314" s="10"/>
      <c r="AL314" s="10"/>
    </row>
    <row r="315" spans="1:38" ht="45" hidden="1">
      <c r="A315" s="1">
        <f t="shared" si="43"/>
        <v>0</v>
      </c>
      <c r="B315" s="2" t="s">
        <v>1490</v>
      </c>
      <c r="C315" s="3" t="s">
        <v>1491</v>
      </c>
      <c r="D315" s="15" t="s">
        <v>11461</v>
      </c>
      <c r="E315" s="4" t="s">
        <v>1490</v>
      </c>
      <c r="F315" s="37" t="s">
        <v>1481</v>
      </c>
      <c r="G315" s="38">
        <v>0</v>
      </c>
      <c r="H315" s="38">
        <v>0</v>
      </c>
      <c r="I315" s="15"/>
      <c r="J315" s="494">
        <v>10202110333</v>
      </c>
      <c r="K315" s="517" t="s">
        <v>1422</v>
      </c>
      <c r="L315" s="517" t="s">
        <v>13405</v>
      </c>
      <c r="M315" s="517" t="s">
        <v>196</v>
      </c>
      <c r="N315" s="518" t="s">
        <v>1423</v>
      </c>
      <c r="O315" s="517">
        <v>1</v>
      </c>
      <c r="P315" s="517" t="s">
        <v>647</v>
      </c>
      <c r="Q315" s="517" t="s">
        <v>647</v>
      </c>
      <c r="R315" s="517" t="s">
        <v>1229</v>
      </c>
      <c r="S315" s="517" t="s">
        <v>671</v>
      </c>
      <c r="T315" s="518" t="s">
        <v>1421</v>
      </c>
      <c r="U315" s="38">
        <v>0</v>
      </c>
      <c r="V315" s="15" t="str">
        <f t="shared" si="42"/>
        <v>102021103</v>
      </c>
      <c r="W315" s="39">
        <v>1</v>
      </c>
      <c r="X315" s="40" t="s">
        <v>647</v>
      </c>
      <c r="Y315" s="40" t="s">
        <v>647</v>
      </c>
      <c r="Z315" s="40" t="s">
        <v>1229</v>
      </c>
      <c r="AA315" s="40" t="s">
        <v>671</v>
      </c>
      <c r="AB315" s="41" t="s">
        <v>1421</v>
      </c>
      <c r="AC315" s="9"/>
      <c r="AD315" s="517" t="s">
        <v>1422</v>
      </c>
      <c r="AE315" s="517" t="s">
        <v>13405</v>
      </c>
      <c r="AF315" s="517" t="s">
        <v>196</v>
      </c>
      <c r="AG315" s="520" t="s">
        <v>1423</v>
      </c>
      <c r="AH315" s="9"/>
      <c r="AI315" s="10"/>
      <c r="AJ315" s="9"/>
      <c r="AK315" s="10"/>
      <c r="AL315" s="10"/>
    </row>
    <row r="316" spans="1:38" ht="45" hidden="1">
      <c r="A316" s="1">
        <f t="shared" si="43"/>
        <v>0</v>
      </c>
      <c r="B316" s="2" t="s">
        <v>1492</v>
      </c>
      <c r="C316" s="3" t="s">
        <v>1493</v>
      </c>
      <c r="D316" s="15" t="s">
        <v>11461</v>
      </c>
      <c r="E316" s="4" t="s">
        <v>1492</v>
      </c>
      <c r="F316" s="37" t="s">
        <v>1483</v>
      </c>
      <c r="G316" s="38">
        <v>0</v>
      </c>
      <c r="H316" s="38">
        <v>0</v>
      </c>
      <c r="I316" s="15"/>
      <c r="J316" s="494">
        <v>10202110334</v>
      </c>
      <c r="K316" s="517" t="s">
        <v>1422</v>
      </c>
      <c r="L316" s="517" t="s">
        <v>13405</v>
      </c>
      <c r="M316" s="517" t="s">
        <v>196</v>
      </c>
      <c r="N316" s="518" t="s">
        <v>1423</v>
      </c>
      <c r="O316" s="517">
        <v>1</v>
      </c>
      <c r="P316" s="517" t="s">
        <v>647</v>
      </c>
      <c r="Q316" s="517" t="s">
        <v>647</v>
      </c>
      <c r="R316" s="517" t="s">
        <v>1229</v>
      </c>
      <c r="S316" s="517" t="s">
        <v>671</v>
      </c>
      <c r="T316" s="518" t="s">
        <v>1421</v>
      </c>
      <c r="U316" s="38">
        <v>0</v>
      </c>
      <c r="V316" s="15" t="str">
        <f t="shared" si="42"/>
        <v>102021103</v>
      </c>
      <c r="W316" s="39">
        <v>1</v>
      </c>
      <c r="X316" s="40" t="s">
        <v>647</v>
      </c>
      <c r="Y316" s="40" t="s">
        <v>647</v>
      </c>
      <c r="Z316" s="40" t="s">
        <v>1229</v>
      </c>
      <c r="AA316" s="40" t="s">
        <v>671</v>
      </c>
      <c r="AB316" s="41" t="s">
        <v>1421</v>
      </c>
      <c r="AC316" s="9"/>
      <c r="AD316" s="517" t="s">
        <v>1422</v>
      </c>
      <c r="AE316" s="517" t="s">
        <v>13405</v>
      </c>
      <c r="AF316" s="517" t="s">
        <v>196</v>
      </c>
      <c r="AG316" s="520" t="s">
        <v>1423</v>
      </c>
      <c r="AH316" s="9"/>
      <c r="AI316" s="10"/>
      <c r="AJ316" s="9"/>
      <c r="AK316" s="10"/>
      <c r="AL316" s="10"/>
    </row>
    <row r="317" spans="1:38" ht="33.75" hidden="1">
      <c r="A317" s="1">
        <f t="shared" si="43"/>
        <v>0</v>
      </c>
      <c r="B317" s="2" t="s">
        <v>1494</v>
      </c>
      <c r="C317" s="3" t="s">
        <v>1495</v>
      </c>
      <c r="D317" s="15" t="s">
        <v>11461</v>
      </c>
      <c r="E317" s="4" t="s">
        <v>1494</v>
      </c>
      <c r="F317" s="37" t="s">
        <v>1485</v>
      </c>
      <c r="G317" s="38">
        <v>0</v>
      </c>
      <c r="H317" s="38">
        <v>0</v>
      </c>
      <c r="I317" s="15"/>
      <c r="J317" s="494">
        <v>10202110335</v>
      </c>
      <c r="K317" s="517" t="s">
        <v>1422</v>
      </c>
      <c r="L317" s="517" t="s">
        <v>13405</v>
      </c>
      <c r="M317" s="517" t="s">
        <v>196</v>
      </c>
      <c r="N317" s="518" t="s">
        <v>1423</v>
      </c>
      <c r="O317" s="517">
        <v>1</v>
      </c>
      <c r="P317" s="517" t="s">
        <v>647</v>
      </c>
      <c r="Q317" s="517" t="s">
        <v>647</v>
      </c>
      <c r="R317" s="517" t="s">
        <v>1229</v>
      </c>
      <c r="S317" s="517" t="s">
        <v>671</v>
      </c>
      <c r="T317" s="518" t="s">
        <v>1421</v>
      </c>
      <c r="U317" s="38">
        <v>0</v>
      </c>
      <c r="V317" s="15" t="str">
        <f t="shared" si="42"/>
        <v>102021103</v>
      </c>
      <c r="W317" s="39">
        <v>1</v>
      </c>
      <c r="X317" s="40" t="s">
        <v>647</v>
      </c>
      <c r="Y317" s="40" t="s">
        <v>647</v>
      </c>
      <c r="Z317" s="40" t="s">
        <v>1229</v>
      </c>
      <c r="AA317" s="40" t="s">
        <v>671</v>
      </c>
      <c r="AB317" s="41" t="s">
        <v>1421</v>
      </c>
      <c r="AC317" s="9"/>
      <c r="AD317" s="517" t="s">
        <v>1422</v>
      </c>
      <c r="AE317" s="517" t="s">
        <v>13405</v>
      </c>
      <c r="AF317" s="517" t="s">
        <v>196</v>
      </c>
      <c r="AG317" s="520" t="s">
        <v>1423</v>
      </c>
      <c r="AH317" s="9"/>
      <c r="AI317" s="10"/>
      <c r="AJ317" s="9"/>
      <c r="AK317" s="10"/>
      <c r="AL317" s="10"/>
    </row>
    <row r="318" spans="1:38" ht="56.25" hidden="1">
      <c r="A318" s="1">
        <f t="shared" si="43"/>
        <v>0</v>
      </c>
      <c r="B318" s="2" t="s">
        <v>1496</v>
      </c>
      <c r="C318" s="3" t="s">
        <v>1497</v>
      </c>
      <c r="D318" s="15" t="s">
        <v>11461</v>
      </c>
      <c r="E318" s="4" t="s">
        <v>1496</v>
      </c>
      <c r="F318" s="37" t="s">
        <v>1487</v>
      </c>
      <c r="G318" s="38">
        <v>0</v>
      </c>
      <c r="H318" s="38">
        <v>0</v>
      </c>
      <c r="I318" s="15"/>
      <c r="J318" s="494">
        <v>10202110336</v>
      </c>
      <c r="K318" s="517" t="s">
        <v>1422</v>
      </c>
      <c r="L318" s="517" t="s">
        <v>13405</v>
      </c>
      <c r="M318" s="517" t="s">
        <v>196</v>
      </c>
      <c r="N318" s="518" t="s">
        <v>1423</v>
      </c>
      <c r="O318" s="517">
        <v>1</v>
      </c>
      <c r="P318" s="517" t="s">
        <v>647</v>
      </c>
      <c r="Q318" s="517" t="s">
        <v>647</v>
      </c>
      <c r="R318" s="517" t="s">
        <v>1229</v>
      </c>
      <c r="S318" s="517" t="s">
        <v>671</v>
      </c>
      <c r="T318" s="518" t="s">
        <v>1421</v>
      </c>
      <c r="U318" s="38">
        <v>0</v>
      </c>
      <c r="V318" s="15" t="str">
        <f t="shared" si="42"/>
        <v>102021103</v>
      </c>
      <c r="W318" s="39">
        <v>1</v>
      </c>
      <c r="X318" s="40" t="s">
        <v>647</v>
      </c>
      <c r="Y318" s="40" t="s">
        <v>647</v>
      </c>
      <c r="Z318" s="40" t="s">
        <v>1229</v>
      </c>
      <c r="AA318" s="40" t="s">
        <v>671</v>
      </c>
      <c r="AB318" s="41" t="s">
        <v>1421</v>
      </c>
      <c r="AC318" s="9"/>
      <c r="AD318" s="517" t="s">
        <v>1422</v>
      </c>
      <c r="AE318" s="517" t="s">
        <v>13405</v>
      </c>
      <c r="AF318" s="517" t="s">
        <v>196</v>
      </c>
      <c r="AG318" s="520" t="s">
        <v>1423</v>
      </c>
      <c r="AH318" s="9"/>
      <c r="AI318" s="10"/>
      <c r="AJ318" s="9"/>
      <c r="AK318" s="10"/>
      <c r="AL318" s="10"/>
    </row>
    <row r="319" spans="1:38" ht="45" hidden="1">
      <c r="A319" s="1">
        <f t="shared" si="43"/>
        <v>0</v>
      </c>
      <c r="B319" s="2" t="s">
        <v>1498</v>
      </c>
      <c r="C319" s="3" t="s">
        <v>1499</v>
      </c>
      <c r="D319" s="15" t="s">
        <v>11461</v>
      </c>
      <c r="E319" s="4" t="s">
        <v>1498</v>
      </c>
      <c r="F319" s="37" t="s">
        <v>1499</v>
      </c>
      <c r="G319" s="38">
        <v>0</v>
      </c>
      <c r="H319" s="38">
        <v>0</v>
      </c>
      <c r="I319" s="15"/>
      <c r="J319" s="494">
        <v>10202110337</v>
      </c>
      <c r="K319" s="517" t="s">
        <v>1422</v>
      </c>
      <c r="L319" s="517" t="s">
        <v>13405</v>
      </c>
      <c r="M319" s="517" t="s">
        <v>196</v>
      </c>
      <c r="N319" s="518" t="s">
        <v>1423</v>
      </c>
      <c r="O319" s="517">
        <v>1</v>
      </c>
      <c r="P319" s="517" t="s">
        <v>647</v>
      </c>
      <c r="Q319" s="517" t="s">
        <v>647</v>
      </c>
      <c r="R319" s="517" t="s">
        <v>1229</v>
      </c>
      <c r="S319" s="517" t="s">
        <v>671</v>
      </c>
      <c r="T319" s="518" t="s">
        <v>1421</v>
      </c>
      <c r="U319" s="38">
        <v>0</v>
      </c>
      <c r="V319" s="15" t="str">
        <f t="shared" si="42"/>
        <v>102021103</v>
      </c>
      <c r="W319" s="39">
        <v>1</v>
      </c>
      <c r="X319" s="40" t="s">
        <v>647</v>
      </c>
      <c r="Y319" s="40" t="s">
        <v>647</v>
      </c>
      <c r="Z319" s="40" t="s">
        <v>1229</v>
      </c>
      <c r="AA319" s="40" t="s">
        <v>671</v>
      </c>
      <c r="AB319" s="41" t="s">
        <v>1421</v>
      </c>
      <c r="AC319" s="9"/>
      <c r="AD319" s="517" t="s">
        <v>1422</v>
      </c>
      <c r="AE319" s="517" t="s">
        <v>13405</v>
      </c>
      <c r="AF319" s="517" t="s">
        <v>196</v>
      </c>
      <c r="AG319" s="520" t="s">
        <v>1423</v>
      </c>
      <c r="AH319" s="9"/>
      <c r="AI319" s="10"/>
      <c r="AJ319" s="9"/>
      <c r="AK319" s="10"/>
      <c r="AL319" s="10"/>
    </row>
    <row r="320" spans="1:38" ht="56.25" hidden="1">
      <c r="A320" s="1">
        <f t="shared" si="43"/>
        <v>0</v>
      </c>
      <c r="B320" s="2" t="s">
        <v>1500</v>
      </c>
      <c r="C320" s="3" t="s">
        <v>1501</v>
      </c>
      <c r="D320" s="15" t="s">
        <v>11461</v>
      </c>
      <c r="E320" s="4" t="s">
        <v>1500</v>
      </c>
      <c r="F320" s="37" t="s">
        <v>1501</v>
      </c>
      <c r="G320" s="38">
        <v>0</v>
      </c>
      <c r="H320" s="38">
        <v>0</v>
      </c>
      <c r="I320" s="15"/>
      <c r="J320" s="494">
        <v>10202110338</v>
      </c>
      <c r="K320" s="517" t="s">
        <v>1422</v>
      </c>
      <c r="L320" s="517" t="s">
        <v>13405</v>
      </c>
      <c r="M320" s="517" t="s">
        <v>196</v>
      </c>
      <c r="N320" s="518" t="s">
        <v>1423</v>
      </c>
      <c r="O320" s="517">
        <v>1</v>
      </c>
      <c r="P320" s="517" t="s">
        <v>647</v>
      </c>
      <c r="Q320" s="517" t="s">
        <v>647</v>
      </c>
      <c r="R320" s="517" t="s">
        <v>1229</v>
      </c>
      <c r="S320" s="517" t="s">
        <v>671</v>
      </c>
      <c r="T320" s="518" t="s">
        <v>1421</v>
      </c>
      <c r="U320" s="38">
        <v>0</v>
      </c>
      <c r="V320" s="15" t="str">
        <f t="shared" si="42"/>
        <v>102021103</v>
      </c>
      <c r="W320" s="39">
        <v>1</v>
      </c>
      <c r="X320" s="40" t="s">
        <v>647</v>
      </c>
      <c r="Y320" s="40" t="s">
        <v>647</v>
      </c>
      <c r="Z320" s="40" t="s">
        <v>1229</v>
      </c>
      <c r="AA320" s="40" t="s">
        <v>671</v>
      </c>
      <c r="AB320" s="41" t="s">
        <v>1421</v>
      </c>
      <c r="AC320" s="9"/>
      <c r="AD320" s="517" t="s">
        <v>1422</v>
      </c>
      <c r="AE320" s="517" t="s">
        <v>13405</v>
      </c>
      <c r="AF320" s="517" t="s">
        <v>196</v>
      </c>
      <c r="AG320" s="520" t="s">
        <v>1423</v>
      </c>
      <c r="AH320" s="9"/>
      <c r="AI320" s="10"/>
      <c r="AJ320" s="9"/>
      <c r="AK320" s="10"/>
      <c r="AL320" s="10"/>
    </row>
    <row r="321" spans="1:38" ht="56.25" hidden="1">
      <c r="A321" s="1">
        <f t="shared" si="43"/>
        <v>0</v>
      </c>
      <c r="B321" s="2" t="s">
        <v>1502</v>
      </c>
      <c r="C321" s="3" t="s">
        <v>1503</v>
      </c>
      <c r="D321" s="15" t="s">
        <v>11461</v>
      </c>
      <c r="E321" s="4" t="s">
        <v>1502</v>
      </c>
      <c r="F321" s="37" t="s">
        <v>1503</v>
      </c>
      <c r="G321" s="38">
        <v>0</v>
      </c>
      <c r="H321" s="38">
        <v>0</v>
      </c>
      <c r="I321" s="15"/>
      <c r="J321" s="494">
        <v>10202110339</v>
      </c>
      <c r="K321" s="517" t="s">
        <v>1422</v>
      </c>
      <c r="L321" s="517" t="s">
        <v>13405</v>
      </c>
      <c r="M321" s="517" t="s">
        <v>196</v>
      </c>
      <c r="N321" s="518" t="s">
        <v>1423</v>
      </c>
      <c r="O321" s="517">
        <v>1</v>
      </c>
      <c r="P321" s="517" t="s">
        <v>647</v>
      </c>
      <c r="Q321" s="517" t="s">
        <v>647</v>
      </c>
      <c r="R321" s="517" t="s">
        <v>1229</v>
      </c>
      <c r="S321" s="517" t="s">
        <v>671</v>
      </c>
      <c r="T321" s="518" t="s">
        <v>1421</v>
      </c>
      <c r="U321" s="38">
        <v>0</v>
      </c>
      <c r="V321" s="15" t="str">
        <f t="shared" si="42"/>
        <v>102021103</v>
      </c>
      <c r="W321" s="39">
        <v>1</v>
      </c>
      <c r="X321" s="40" t="s">
        <v>647</v>
      </c>
      <c r="Y321" s="40" t="s">
        <v>647</v>
      </c>
      <c r="Z321" s="40" t="s">
        <v>1229</v>
      </c>
      <c r="AA321" s="40" t="s">
        <v>671</v>
      </c>
      <c r="AB321" s="41" t="s">
        <v>1421</v>
      </c>
      <c r="AC321" s="9"/>
      <c r="AD321" s="517" t="s">
        <v>1422</v>
      </c>
      <c r="AE321" s="517" t="s">
        <v>13405</v>
      </c>
      <c r="AF321" s="517" t="s">
        <v>196</v>
      </c>
      <c r="AG321" s="520" t="s">
        <v>1423</v>
      </c>
      <c r="AH321" s="9"/>
      <c r="AI321" s="10"/>
      <c r="AJ321" s="9"/>
      <c r="AK321" s="10"/>
      <c r="AL321" s="10"/>
    </row>
    <row r="322" spans="1:38" ht="33.75" hidden="1">
      <c r="A322" s="1">
        <f t="shared" si="43"/>
        <v>0</v>
      </c>
      <c r="B322" s="2" t="s">
        <v>1504</v>
      </c>
      <c r="C322" s="3" t="s">
        <v>1505</v>
      </c>
      <c r="D322" s="15" t="s">
        <v>11461</v>
      </c>
      <c r="E322" s="4" t="s">
        <v>1504</v>
      </c>
      <c r="F322" s="37" t="s">
        <v>1505</v>
      </c>
      <c r="G322" s="38">
        <v>5259548.18</v>
      </c>
      <c r="H322" s="38">
        <v>5259548.18</v>
      </c>
      <c r="I322" s="15"/>
      <c r="J322" s="494">
        <v>10202110340</v>
      </c>
      <c r="K322" s="517" t="s">
        <v>1422</v>
      </c>
      <c r="L322" s="517" t="s">
        <v>13405</v>
      </c>
      <c r="M322" s="517" t="s">
        <v>196</v>
      </c>
      <c r="N322" s="518" t="s">
        <v>1423</v>
      </c>
      <c r="O322" s="517">
        <v>1</v>
      </c>
      <c r="P322" s="517" t="s">
        <v>647</v>
      </c>
      <c r="Q322" s="517" t="s">
        <v>647</v>
      </c>
      <c r="R322" s="517" t="s">
        <v>1229</v>
      </c>
      <c r="S322" s="517" t="s">
        <v>671</v>
      </c>
      <c r="T322" s="518" t="s">
        <v>1421</v>
      </c>
      <c r="U322" s="38">
        <v>5259548.18</v>
      </c>
      <c r="V322" s="15" t="str">
        <f t="shared" si="42"/>
        <v>102021103</v>
      </c>
      <c r="W322" s="39">
        <v>1</v>
      </c>
      <c r="X322" s="40" t="s">
        <v>647</v>
      </c>
      <c r="Y322" s="40" t="s">
        <v>647</v>
      </c>
      <c r="Z322" s="40" t="s">
        <v>1229</v>
      </c>
      <c r="AA322" s="40" t="s">
        <v>671</v>
      </c>
      <c r="AB322" s="41" t="s">
        <v>1421</v>
      </c>
      <c r="AC322" s="9"/>
      <c r="AD322" s="517" t="s">
        <v>1422</v>
      </c>
      <c r="AE322" s="517" t="s">
        <v>13405</v>
      </c>
      <c r="AF322" s="517" t="s">
        <v>196</v>
      </c>
      <c r="AG322" s="520" t="s">
        <v>1423</v>
      </c>
      <c r="AH322" s="9"/>
      <c r="AI322" s="10"/>
      <c r="AJ322" s="9"/>
      <c r="AK322" s="10"/>
      <c r="AL322" s="10"/>
    </row>
    <row r="323" spans="1:38" ht="56.25" hidden="1">
      <c r="A323" s="1">
        <f t="shared" si="43"/>
        <v>0</v>
      </c>
      <c r="B323" s="2" t="s">
        <v>1506</v>
      </c>
      <c r="C323" s="3" t="s">
        <v>1507</v>
      </c>
      <c r="D323" s="15" t="s">
        <v>11461</v>
      </c>
      <c r="E323" s="4" t="s">
        <v>1506</v>
      </c>
      <c r="F323" s="37" t="s">
        <v>1507</v>
      </c>
      <c r="G323" s="38">
        <v>0</v>
      </c>
      <c r="H323" s="38">
        <v>0</v>
      </c>
      <c r="I323" s="15"/>
      <c r="J323" s="494">
        <v>10202110341</v>
      </c>
      <c r="K323" s="517" t="s">
        <v>1422</v>
      </c>
      <c r="L323" s="517" t="s">
        <v>13405</v>
      </c>
      <c r="M323" s="517" t="s">
        <v>196</v>
      </c>
      <c r="N323" s="518" t="s">
        <v>1423</v>
      </c>
      <c r="O323" s="517">
        <v>1</v>
      </c>
      <c r="P323" s="517" t="s">
        <v>647</v>
      </c>
      <c r="Q323" s="517" t="s">
        <v>647</v>
      </c>
      <c r="R323" s="517" t="s">
        <v>1229</v>
      </c>
      <c r="S323" s="517" t="s">
        <v>671</v>
      </c>
      <c r="T323" s="518" t="s">
        <v>1421</v>
      </c>
      <c r="U323" s="38">
        <v>0</v>
      </c>
      <c r="V323" s="15" t="str">
        <f t="shared" ref="V323:V386" si="45">CONCATENATE(W323,X323,Y323,Z323,AA323)</f>
        <v>102021103</v>
      </c>
      <c r="W323" s="39">
        <v>1</v>
      </c>
      <c r="X323" s="40" t="s">
        <v>647</v>
      </c>
      <c r="Y323" s="40" t="s">
        <v>647</v>
      </c>
      <c r="Z323" s="40" t="s">
        <v>1229</v>
      </c>
      <c r="AA323" s="40" t="s">
        <v>671</v>
      </c>
      <c r="AB323" s="41" t="s">
        <v>1421</v>
      </c>
      <c r="AC323" s="9"/>
      <c r="AD323" s="517" t="s">
        <v>1422</v>
      </c>
      <c r="AE323" s="517" t="s">
        <v>13405</v>
      </c>
      <c r="AF323" s="517" t="s">
        <v>196</v>
      </c>
      <c r="AG323" s="520" t="s">
        <v>1423</v>
      </c>
      <c r="AH323" s="9"/>
      <c r="AI323" s="10"/>
      <c r="AJ323" s="9"/>
      <c r="AK323" s="10"/>
      <c r="AL323" s="10"/>
    </row>
    <row r="324" spans="1:38" ht="33.75" hidden="1">
      <c r="A324" s="1">
        <f t="shared" si="43"/>
        <v>0</v>
      </c>
      <c r="B324" s="2" t="s">
        <v>1508</v>
      </c>
      <c r="C324" s="3" t="s">
        <v>1509</v>
      </c>
      <c r="D324" s="15" t="s">
        <v>11461</v>
      </c>
      <c r="E324" s="4" t="s">
        <v>1508</v>
      </c>
      <c r="F324" s="37" t="s">
        <v>1509</v>
      </c>
      <c r="G324" s="38">
        <v>14187183</v>
      </c>
      <c r="H324" s="38">
        <v>14187183</v>
      </c>
      <c r="I324" s="15"/>
      <c r="J324" s="494">
        <v>10202110342</v>
      </c>
      <c r="K324" s="517" t="s">
        <v>1422</v>
      </c>
      <c r="L324" s="517" t="s">
        <v>13405</v>
      </c>
      <c r="M324" s="517" t="s">
        <v>196</v>
      </c>
      <c r="N324" s="518" t="s">
        <v>1423</v>
      </c>
      <c r="O324" s="517">
        <v>1</v>
      </c>
      <c r="P324" s="517" t="s">
        <v>647</v>
      </c>
      <c r="Q324" s="517" t="s">
        <v>647</v>
      </c>
      <c r="R324" s="517" t="s">
        <v>1229</v>
      </c>
      <c r="S324" s="517" t="s">
        <v>671</v>
      </c>
      <c r="T324" s="518" t="s">
        <v>1421</v>
      </c>
      <c r="U324" s="38">
        <v>14187183</v>
      </c>
      <c r="V324" s="15" t="str">
        <f t="shared" si="45"/>
        <v>102021103</v>
      </c>
      <c r="W324" s="39">
        <v>1</v>
      </c>
      <c r="X324" s="40" t="s">
        <v>647</v>
      </c>
      <c r="Y324" s="40" t="s">
        <v>647</v>
      </c>
      <c r="Z324" s="40" t="s">
        <v>1229</v>
      </c>
      <c r="AA324" s="40" t="s">
        <v>671</v>
      </c>
      <c r="AB324" s="41" t="s">
        <v>1421</v>
      </c>
      <c r="AC324" s="9"/>
      <c r="AD324" s="517" t="s">
        <v>1422</v>
      </c>
      <c r="AE324" s="517" t="s">
        <v>13405</v>
      </c>
      <c r="AF324" s="517" t="s">
        <v>196</v>
      </c>
      <c r="AG324" s="520" t="s">
        <v>1423</v>
      </c>
      <c r="AH324" s="9"/>
      <c r="AI324" s="10"/>
      <c r="AJ324" s="9"/>
      <c r="AK324" s="10"/>
      <c r="AL324" s="10"/>
    </row>
    <row r="325" spans="1:38" ht="33.75" hidden="1">
      <c r="A325" s="1">
        <f t="shared" si="43"/>
        <v>0</v>
      </c>
      <c r="B325" s="2" t="s">
        <v>1510</v>
      </c>
      <c r="C325" s="3" t="s">
        <v>1511</v>
      </c>
      <c r="D325" s="15" t="s">
        <v>11461</v>
      </c>
      <c r="E325" s="4" t="s">
        <v>1510</v>
      </c>
      <c r="F325" s="37" t="s">
        <v>1511</v>
      </c>
      <c r="G325" s="38">
        <v>0</v>
      </c>
      <c r="H325" s="38">
        <v>0</v>
      </c>
      <c r="I325" s="15"/>
      <c r="J325" s="494">
        <v>10202110343</v>
      </c>
      <c r="K325" s="517" t="s">
        <v>1422</v>
      </c>
      <c r="L325" s="517" t="s">
        <v>13405</v>
      </c>
      <c r="M325" s="517" t="s">
        <v>196</v>
      </c>
      <c r="N325" s="518" t="s">
        <v>1423</v>
      </c>
      <c r="O325" s="517">
        <v>1</v>
      </c>
      <c r="P325" s="517" t="s">
        <v>647</v>
      </c>
      <c r="Q325" s="517" t="s">
        <v>647</v>
      </c>
      <c r="R325" s="517" t="s">
        <v>1229</v>
      </c>
      <c r="S325" s="517" t="s">
        <v>671</v>
      </c>
      <c r="T325" s="518" t="s">
        <v>1421</v>
      </c>
      <c r="U325" s="38">
        <v>0</v>
      </c>
      <c r="V325" s="15" t="str">
        <f t="shared" si="45"/>
        <v>102021103</v>
      </c>
      <c r="W325" s="39">
        <v>1</v>
      </c>
      <c r="X325" s="40" t="s">
        <v>647</v>
      </c>
      <c r="Y325" s="40" t="s">
        <v>647</v>
      </c>
      <c r="Z325" s="40" t="s">
        <v>1229</v>
      </c>
      <c r="AA325" s="40" t="s">
        <v>671</v>
      </c>
      <c r="AB325" s="41" t="s">
        <v>1421</v>
      </c>
      <c r="AC325" s="9"/>
      <c r="AD325" s="517" t="s">
        <v>1422</v>
      </c>
      <c r="AE325" s="517" t="s">
        <v>13405</v>
      </c>
      <c r="AF325" s="517" t="s">
        <v>196</v>
      </c>
      <c r="AG325" s="520" t="s">
        <v>1423</v>
      </c>
      <c r="AH325" s="9"/>
      <c r="AI325" s="10"/>
      <c r="AJ325" s="9"/>
      <c r="AK325" s="10"/>
      <c r="AL325" s="10"/>
    </row>
    <row r="326" spans="1:38" ht="33.75" hidden="1">
      <c r="A326" s="1">
        <f t="shared" ref="A326:A389" si="46">IF(E326=B326,0,1)</f>
        <v>0</v>
      </c>
      <c r="B326" s="2" t="s">
        <v>1512</v>
      </c>
      <c r="C326" s="3" t="s">
        <v>1513</v>
      </c>
      <c r="D326" s="15" t="s">
        <v>11461</v>
      </c>
      <c r="E326" s="4" t="s">
        <v>1512</v>
      </c>
      <c r="F326" s="37" t="s">
        <v>1513</v>
      </c>
      <c r="G326" s="61">
        <v>8619459.0900000036</v>
      </c>
      <c r="H326" s="38">
        <v>8619416.0899999999</v>
      </c>
      <c r="I326" s="15"/>
      <c r="J326" s="494">
        <v>10202110344</v>
      </c>
      <c r="K326" s="517" t="s">
        <v>1422</v>
      </c>
      <c r="L326" s="517" t="s">
        <v>13405</v>
      </c>
      <c r="M326" s="517" t="s">
        <v>196</v>
      </c>
      <c r="N326" s="518" t="s">
        <v>1423</v>
      </c>
      <c r="O326" s="517">
        <v>1</v>
      </c>
      <c r="P326" s="517" t="s">
        <v>647</v>
      </c>
      <c r="Q326" s="517" t="s">
        <v>647</v>
      </c>
      <c r="R326" s="517" t="s">
        <v>1229</v>
      </c>
      <c r="S326" s="517" t="s">
        <v>671</v>
      </c>
      <c r="T326" s="518" t="s">
        <v>1421</v>
      </c>
      <c r="U326" s="38">
        <v>8619416.0899999999</v>
      </c>
      <c r="V326" s="15" t="str">
        <f t="shared" si="45"/>
        <v>102021103</v>
      </c>
      <c r="W326" s="39">
        <v>1</v>
      </c>
      <c r="X326" s="40" t="s">
        <v>647</v>
      </c>
      <c r="Y326" s="40" t="s">
        <v>647</v>
      </c>
      <c r="Z326" s="40" t="s">
        <v>1229</v>
      </c>
      <c r="AA326" s="40" t="s">
        <v>671</v>
      </c>
      <c r="AB326" s="41" t="s">
        <v>1421</v>
      </c>
      <c r="AC326" s="9"/>
      <c r="AD326" s="517" t="s">
        <v>1422</v>
      </c>
      <c r="AE326" s="517" t="s">
        <v>13405</v>
      </c>
      <c r="AF326" s="517" t="s">
        <v>196</v>
      </c>
      <c r="AG326" s="520" t="s">
        <v>1423</v>
      </c>
      <c r="AH326" s="9"/>
      <c r="AI326" s="10"/>
      <c r="AJ326" s="9"/>
      <c r="AK326" s="10"/>
      <c r="AL326" s="10"/>
    </row>
    <row r="327" spans="1:38" ht="33.75" hidden="1">
      <c r="A327" s="1">
        <f t="shared" si="46"/>
        <v>0</v>
      </c>
      <c r="B327" s="2" t="s">
        <v>1514</v>
      </c>
      <c r="C327" s="3" t="s">
        <v>1515</v>
      </c>
      <c r="D327" s="15" t="s">
        <v>11461</v>
      </c>
      <c r="E327" s="2" t="s">
        <v>1514</v>
      </c>
      <c r="F327" s="3" t="s">
        <v>1515</v>
      </c>
      <c r="G327" s="61"/>
      <c r="H327" s="38">
        <v>19953668.66</v>
      </c>
      <c r="I327" s="15"/>
      <c r="J327" s="494">
        <v>10202110345</v>
      </c>
      <c r="K327" s="517" t="s">
        <v>1422</v>
      </c>
      <c r="L327" s="517" t="s">
        <v>13405</v>
      </c>
      <c r="M327" s="517" t="s">
        <v>196</v>
      </c>
      <c r="N327" s="518" t="s">
        <v>1423</v>
      </c>
      <c r="O327" s="517">
        <v>1</v>
      </c>
      <c r="P327" s="517" t="s">
        <v>647</v>
      </c>
      <c r="Q327" s="517" t="s">
        <v>647</v>
      </c>
      <c r="R327" s="517" t="s">
        <v>1229</v>
      </c>
      <c r="S327" s="517" t="s">
        <v>671</v>
      </c>
      <c r="T327" s="518" t="s">
        <v>1421</v>
      </c>
      <c r="U327" s="38">
        <v>19953668.66</v>
      </c>
      <c r="V327" s="15" t="str">
        <f t="shared" si="45"/>
        <v>102021103</v>
      </c>
      <c r="W327" s="39">
        <v>1</v>
      </c>
      <c r="X327" s="40" t="s">
        <v>647</v>
      </c>
      <c r="Y327" s="40" t="s">
        <v>647</v>
      </c>
      <c r="Z327" s="40" t="s">
        <v>1229</v>
      </c>
      <c r="AA327" s="40" t="s">
        <v>671</v>
      </c>
      <c r="AB327" s="41" t="s">
        <v>1421</v>
      </c>
      <c r="AC327" s="9"/>
      <c r="AD327" s="517" t="s">
        <v>1422</v>
      </c>
      <c r="AE327" s="517" t="s">
        <v>13405</v>
      </c>
      <c r="AF327" s="517" t="s">
        <v>196</v>
      </c>
      <c r="AG327" s="520" t="s">
        <v>1423</v>
      </c>
      <c r="AH327" s="9"/>
      <c r="AI327" s="10"/>
      <c r="AJ327" s="9"/>
      <c r="AK327" s="10"/>
      <c r="AL327" s="10"/>
    </row>
    <row r="328" spans="1:38" ht="45" hidden="1">
      <c r="A328" s="1">
        <f t="shared" si="46"/>
        <v>0</v>
      </c>
      <c r="B328" s="2" t="s">
        <v>1516</v>
      </c>
      <c r="C328" s="3" t="s">
        <v>1517</v>
      </c>
      <c r="D328" s="15" t="s">
        <v>11462</v>
      </c>
      <c r="E328" s="4" t="s">
        <v>1516</v>
      </c>
      <c r="F328" s="37" t="s">
        <v>1517</v>
      </c>
      <c r="G328" s="38">
        <v>0</v>
      </c>
      <c r="H328" s="38">
        <v>0</v>
      </c>
      <c r="I328" s="15"/>
      <c r="J328" s="494">
        <v>10202110401</v>
      </c>
      <c r="K328" s="517" t="s">
        <v>1519</v>
      </c>
      <c r="L328" s="517" t="s">
        <v>13406</v>
      </c>
      <c r="M328" s="517" t="s">
        <v>197</v>
      </c>
      <c r="N328" s="518" t="s">
        <v>13407</v>
      </c>
      <c r="O328" s="517">
        <v>1</v>
      </c>
      <c r="P328" s="517" t="s">
        <v>647</v>
      </c>
      <c r="Q328" s="517" t="s">
        <v>647</v>
      </c>
      <c r="R328" s="517" t="s">
        <v>1229</v>
      </c>
      <c r="S328" s="517" t="s">
        <v>693</v>
      </c>
      <c r="T328" s="518" t="s">
        <v>1518</v>
      </c>
      <c r="U328" s="38">
        <v>0</v>
      </c>
      <c r="V328" s="15" t="str">
        <f t="shared" si="45"/>
        <v>102021104</v>
      </c>
      <c r="W328" s="39">
        <v>1</v>
      </c>
      <c r="X328" s="40" t="s">
        <v>647</v>
      </c>
      <c r="Y328" s="40" t="s">
        <v>647</v>
      </c>
      <c r="Z328" s="40" t="s">
        <v>1229</v>
      </c>
      <c r="AA328" s="40" t="s">
        <v>693</v>
      </c>
      <c r="AB328" s="41" t="s">
        <v>1518</v>
      </c>
      <c r="AC328" s="519">
        <f>H328</f>
        <v>0</v>
      </c>
      <c r="AD328" s="517" t="s">
        <v>1519</v>
      </c>
      <c r="AE328" s="517" t="s">
        <v>13406</v>
      </c>
      <c r="AF328" s="517" t="s">
        <v>197</v>
      </c>
      <c r="AG328" s="520" t="s">
        <v>13407</v>
      </c>
      <c r="AH328" s="67">
        <f t="shared" ref="AH328:AH333" si="47">AC328</f>
        <v>0</v>
      </c>
      <c r="AI328" s="10"/>
      <c r="AJ328" s="9">
        <f>AH328-H328</f>
        <v>0</v>
      </c>
      <c r="AK328" s="10"/>
      <c r="AL328" s="10"/>
    </row>
    <row r="329" spans="1:38" ht="45" hidden="1">
      <c r="A329" s="1">
        <f t="shared" si="46"/>
        <v>0</v>
      </c>
      <c r="B329" s="2" t="s">
        <v>1520</v>
      </c>
      <c r="C329" s="3" t="s">
        <v>1521</v>
      </c>
      <c r="D329" s="15" t="s">
        <v>11463</v>
      </c>
      <c r="E329" s="4" t="s">
        <v>1520</v>
      </c>
      <c r="F329" s="37" t="s">
        <v>1521</v>
      </c>
      <c r="G329" s="38">
        <v>0</v>
      </c>
      <c r="H329" s="38">
        <v>0</v>
      </c>
      <c r="I329" s="15"/>
      <c r="J329" s="494">
        <v>10202110501</v>
      </c>
      <c r="K329" s="517" t="s">
        <v>1422</v>
      </c>
      <c r="L329" s="517" t="s">
        <v>13408</v>
      </c>
      <c r="M329" s="517" t="s">
        <v>198</v>
      </c>
      <c r="N329" s="518" t="s">
        <v>13409</v>
      </c>
      <c r="O329" s="517">
        <v>1</v>
      </c>
      <c r="P329" s="517" t="s">
        <v>647</v>
      </c>
      <c r="Q329" s="517" t="s">
        <v>647</v>
      </c>
      <c r="R329" s="517" t="s">
        <v>1229</v>
      </c>
      <c r="S329" s="517" t="s">
        <v>714</v>
      </c>
      <c r="T329" s="518" t="s">
        <v>1522</v>
      </c>
      <c r="U329" s="38">
        <v>0</v>
      </c>
      <c r="V329" s="15" t="str">
        <f t="shared" si="45"/>
        <v>102021105</v>
      </c>
      <c r="W329" s="39">
        <v>1</v>
      </c>
      <c r="X329" s="40" t="s">
        <v>647</v>
      </c>
      <c r="Y329" s="40" t="s">
        <v>647</v>
      </c>
      <c r="Z329" s="40" t="s">
        <v>1229</v>
      </c>
      <c r="AA329" s="40" t="s">
        <v>714</v>
      </c>
      <c r="AB329" s="41" t="s">
        <v>1522</v>
      </c>
      <c r="AC329" s="519">
        <f>H329</f>
        <v>0</v>
      </c>
      <c r="AD329" s="517" t="s">
        <v>1422</v>
      </c>
      <c r="AE329" s="517" t="s">
        <v>13408</v>
      </c>
      <c r="AF329" s="517" t="s">
        <v>198</v>
      </c>
      <c r="AG329" s="520" t="s">
        <v>13409</v>
      </c>
      <c r="AH329" s="67">
        <f t="shared" si="47"/>
        <v>0</v>
      </c>
      <c r="AI329" s="10"/>
      <c r="AJ329" s="9">
        <f>AH329-H329</f>
        <v>0</v>
      </c>
      <c r="AK329" s="10"/>
      <c r="AL329" s="10"/>
    </row>
    <row r="330" spans="1:38" ht="33.75" hidden="1">
      <c r="A330" s="1">
        <f t="shared" si="46"/>
        <v>0</v>
      </c>
      <c r="B330" s="2" t="s">
        <v>1523</v>
      </c>
      <c r="C330" s="3" t="s">
        <v>1524</v>
      </c>
      <c r="D330" s="15" t="s">
        <v>11464</v>
      </c>
      <c r="E330" s="4" t="s">
        <v>1523</v>
      </c>
      <c r="F330" s="37" t="s">
        <v>1524</v>
      </c>
      <c r="G330" s="38">
        <v>0</v>
      </c>
      <c r="H330" s="38">
        <v>0</v>
      </c>
      <c r="I330" s="15"/>
      <c r="J330" s="494">
        <v>10202110601</v>
      </c>
      <c r="K330" s="517" t="s">
        <v>1422</v>
      </c>
      <c r="L330" s="517" t="s">
        <v>13410</v>
      </c>
      <c r="M330" s="517" t="s">
        <v>199</v>
      </c>
      <c r="N330" s="518" t="s">
        <v>1526</v>
      </c>
      <c r="O330" s="517">
        <v>1</v>
      </c>
      <c r="P330" s="517" t="s">
        <v>647</v>
      </c>
      <c r="Q330" s="517" t="s">
        <v>647</v>
      </c>
      <c r="R330" s="517" t="s">
        <v>1229</v>
      </c>
      <c r="S330" s="517" t="s">
        <v>739</v>
      </c>
      <c r="T330" s="518" t="s">
        <v>1525</v>
      </c>
      <c r="U330" s="38">
        <v>0</v>
      </c>
      <c r="V330" s="15" t="str">
        <f t="shared" si="45"/>
        <v>102021106</v>
      </c>
      <c r="W330" s="39">
        <v>1</v>
      </c>
      <c r="X330" s="40" t="s">
        <v>647</v>
      </c>
      <c r="Y330" s="40" t="s">
        <v>647</v>
      </c>
      <c r="Z330" s="40" t="s">
        <v>1229</v>
      </c>
      <c r="AA330" s="40" t="s">
        <v>739</v>
      </c>
      <c r="AB330" s="41" t="s">
        <v>1525</v>
      </c>
      <c r="AC330" s="519">
        <f>H330</f>
        <v>0</v>
      </c>
      <c r="AD330" s="517" t="s">
        <v>1422</v>
      </c>
      <c r="AE330" s="517" t="s">
        <v>13410</v>
      </c>
      <c r="AF330" s="517" t="s">
        <v>199</v>
      </c>
      <c r="AG330" s="520" t="s">
        <v>1526</v>
      </c>
      <c r="AH330" s="67">
        <f t="shared" si="47"/>
        <v>0</v>
      </c>
      <c r="AI330" s="10"/>
      <c r="AJ330" s="9">
        <f>AH330-H330</f>
        <v>0</v>
      </c>
      <c r="AK330" s="10"/>
      <c r="AL330" s="10"/>
    </row>
    <row r="331" spans="1:38" ht="45" hidden="1">
      <c r="A331" s="1">
        <f t="shared" si="46"/>
        <v>0</v>
      </c>
      <c r="B331" s="2" t="s">
        <v>1527</v>
      </c>
      <c r="C331" s="3" t="s">
        <v>1528</v>
      </c>
      <c r="D331" s="15" t="s">
        <v>11465</v>
      </c>
      <c r="E331" s="4" t="s">
        <v>1527</v>
      </c>
      <c r="F331" s="37" t="s">
        <v>1528</v>
      </c>
      <c r="G331" s="38">
        <v>0</v>
      </c>
      <c r="H331" s="38">
        <v>0</v>
      </c>
      <c r="I331" s="15"/>
      <c r="J331" s="494">
        <v>10202110701</v>
      </c>
      <c r="K331" s="517" t="s">
        <v>1422</v>
      </c>
      <c r="L331" s="517" t="s">
        <v>13411</v>
      </c>
      <c r="M331" s="517" t="s">
        <v>200</v>
      </c>
      <c r="N331" s="518" t="s">
        <v>13412</v>
      </c>
      <c r="O331" s="517">
        <v>1</v>
      </c>
      <c r="P331" s="517" t="s">
        <v>647</v>
      </c>
      <c r="Q331" s="517" t="s">
        <v>647</v>
      </c>
      <c r="R331" s="517" t="s">
        <v>1229</v>
      </c>
      <c r="S331" s="517" t="s">
        <v>755</v>
      </c>
      <c r="T331" s="518" t="s">
        <v>1529</v>
      </c>
      <c r="U331" s="38">
        <v>0</v>
      </c>
      <c r="V331" s="15" t="str">
        <f t="shared" si="45"/>
        <v>102021107</v>
      </c>
      <c r="W331" s="39">
        <v>1</v>
      </c>
      <c r="X331" s="40" t="s">
        <v>647</v>
      </c>
      <c r="Y331" s="40" t="s">
        <v>647</v>
      </c>
      <c r="Z331" s="40" t="s">
        <v>1229</v>
      </c>
      <c r="AA331" s="40" t="s">
        <v>755</v>
      </c>
      <c r="AB331" s="41" t="s">
        <v>1529</v>
      </c>
      <c r="AC331" s="519">
        <f>H331</f>
        <v>0</v>
      </c>
      <c r="AD331" s="517" t="s">
        <v>1422</v>
      </c>
      <c r="AE331" s="517" t="s">
        <v>13411</v>
      </c>
      <c r="AF331" s="517" t="s">
        <v>200</v>
      </c>
      <c r="AG331" s="520" t="s">
        <v>13412</v>
      </c>
      <c r="AH331" s="67">
        <f t="shared" si="47"/>
        <v>0</v>
      </c>
      <c r="AI331" s="10"/>
      <c r="AJ331" s="9">
        <f>AH331-H331</f>
        <v>0</v>
      </c>
      <c r="AK331" s="10"/>
      <c r="AL331" s="10"/>
    </row>
    <row r="332" spans="1:38" ht="56.25" hidden="1">
      <c r="A332" s="1">
        <f t="shared" si="46"/>
        <v>0</v>
      </c>
      <c r="B332" s="2" t="s">
        <v>1530</v>
      </c>
      <c r="C332" s="3" t="s">
        <v>1531</v>
      </c>
      <c r="D332" s="15" t="s">
        <v>11466</v>
      </c>
      <c r="E332" s="4" t="s">
        <v>1530</v>
      </c>
      <c r="F332" s="37" t="s">
        <v>1531</v>
      </c>
      <c r="G332" s="38">
        <v>0</v>
      </c>
      <c r="H332" s="38">
        <v>0</v>
      </c>
      <c r="I332" s="15"/>
      <c r="J332" s="494">
        <v>10202110801</v>
      </c>
      <c r="K332" s="517" t="s">
        <v>1422</v>
      </c>
      <c r="L332" s="517" t="s">
        <v>13413</v>
      </c>
      <c r="M332" s="517" t="s">
        <v>201</v>
      </c>
      <c r="N332" s="518" t="s">
        <v>13414</v>
      </c>
      <c r="O332" s="517">
        <v>1</v>
      </c>
      <c r="P332" s="517" t="s">
        <v>647</v>
      </c>
      <c r="Q332" s="517" t="s">
        <v>647</v>
      </c>
      <c r="R332" s="517" t="s">
        <v>1229</v>
      </c>
      <c r="S332" s="517" t="s">
        <v>766</v>
      </c>
      <c r="T332" s="518" t="s">
        <v>1532</v>
      </c>
      <c r="U332" s="38">
        <v>0</v>
      </c>
      <c r="V332" s="15" t="str">
        <f t="shared" si="45"/>
        <v>102021108</v>
      </c>
      <c r="W332" s="39">
        <v>1</v>
      </c>
      <c r="X332" s="40" t="s">
        <v>647</v>
      </c>
      <c r="Y332" s="40" t="s">
        <v>647</v>
      </c>
      <c r="Z332" s="40" t="s">
        <v>1229</v>
      </c>
      <c r="AA332" s="40" t="s">
        <v>766</v>
      </c>
      <c r="AB332" s="41" t="s">
        <v>1532</v>
      </c>
      <c r="AC332" s="519">
        <f>H332</f>
        <v>0</v>
      </c>
      <c r="AD332" s="517" t="s">
        <v>1422</v>
      </c>
      <c r="AE332" s="517" t="s">
        <v>13413</v>
      </c>
      <c r="AF332" s="517" t="s">
        <v>201</v>
      </c>
      <c r="AG332" s="520" t="s">
        <v>13414</v>
      </c>
      <c r="AH332" s="67">
        <f t="shared" si="47"/>
        <v>0</v>
      </c>
      <c r="AI332" s="10"/>
      <c r="AJ332" s="9">
        <f>AH332-H332</f>
        <v>0</v>
      </c>
      <c r="AK332" s="10"/>
      <c r="AL332" s="10"/>
    </row>
    <row r="333" spans="1:38" ht="33.75" hidden="1">
      <c r="A333" s="1">
        <f t="shared" si="46"/>
        <v>0</v>
      </c>
      <c r="B333" s="2" t="s">
        <v>1533</v>
      </c>
      <c r="C333" s="3" t="s">
        <v>1534</v>
      </c>
      <c r="D333" s="15" t="s">
        <v>11467</v>
      </c>
      <c r="E333" s="4" t="s">
        <v>1533</v>
      </c>
      <c r="F333" s="37" t="s">
        <v>1534</v>
      </c>
      <c r="G333" s="38">
        <v>11875154.460000001</v>
      </c>
      <c r="H333" s="38">
        <v>16586365.460000001</v>
      </c>
      <c r="I333" s="15"/>
      <c r="J333" s="494">
        <v>10202110901</v>
      </c>
      <c r="K333" s="517" t="s">
        <v>1422</v>
      </c>
      <c r="L333" s="517" t="s">
        <v>13415</v>
      </c>
      <c r="M333" s="517" t="s">
        <v>202</v>
      </c>
      <c r="N333" s="518" t="s">
        <v>1536</v>
      </c>
      <c r="O333" s="517">
        <v>1</v>
      </c>
      <c r="P333" s="517" t="s">
        <v>647</v>
      </c>
      <c r="Q333" s="517" t="s">
        <v>647</v>
      </c>
      <c r="R333" s="517" t="s">
        <v>1229</v>
      </c>
      <c r="S333" s="517" t="s">
        <v>779</v>
      </c>
      <c r="T333" s="518" t="s">
        <v>1535</v>
      </c>
      <c r="U333" s="38">
        <v>16586365.460000001</v>
      </c>
      <c r="V333" s="15" t="str">
        <f t="shared" si="45"/>
        <v>102021109</v>
      </c>
      <c r="W333" s="39">
        <v>1</v>
      </c>
      <c r="X333" s="40" t="s">
        <v>647</v>
      </c>
      <c r="Y333" s="40" t="s">
        <v>647</v>
      </c>
      <c r="Z333" s="40" t="s">
        <v>1229</v>
      </c>
      <c r="AA333" s="40" t="s">
        <v>779</v>
      </c>
      <c r="AB333" s="41" t="s">
        <v>1535</v>
      </c>
      <c r="AC333" s="519">
        <f>SUM(H333:H338)</f>
        <v>20454996.129999999</v>
      </c>
      <c r="AD333" s="517" t="s">
        <v>1422</v>
      </c>
      <c r="AE333" s="517" t="s">
        <v>13415</v>
      </c>
      <c r="AF333" s="517" t="s">
        <v>202</v>
      </c>
      <c r="AG333" s="520" t="s">
        <v>1536</v>
      </c>
      <c r="AH333" s="67">
        <f t="shared" si="47"/>
        <v>20454996.129999999</v>
      </c>
      <c r="AI333" s="10"/>
      <c r="AJ333" s="9"/>
      <c r="AK333" s="10"/>
      <c r="AL333" s="10"/>
    </row>
    <row r="334" spans="1:38" ht="33.75" hidden="1">
      <c r="A334" s="1">
        <f t="shared" si="46"/>
        <v>0</v>
      </c>
      <c r="B334" s="2" t="s">
        <v>1537</v>
      </c>
      <c r="C334" s="3" t="s">
        <v>1538</v>
      </c>
      <c r="D334" s="15" t="s">
        <v>11467</v>
      </c>
      <c r="E334" s="4" t="s">
        <v>1537</v>
      </c>
      <c r="F334" s="37" t="s">
        <v>1507</v>
      </c>
      <c r="G334" s="38">
        <v>1500000</v>
      </c>
      <c r="H334" s="38">
        <v>1500000</v>
      </c>
      <c r="I334" s="15"/>
      <c r="J334" s="494">
        <v>10202110902</v>
      </c>
      <c r="K334" s="517" t="s">
        <v>1422</v>
      </c>
      <c r="L334" s="517" t="s">
        <v>13415</v>
      </c>
      <c r="M334" s="517" t="s">
        <v>202</v>
      </c>
      <c r="N334" s="518" t="s">
        <v>1536</v>
      </c>
      <c r="O334" s="517">
        <v>1</v>
      </c>
      <c r="P334" s="517" t="s">
        <v>647</v>
      </c>
      <c r="Q334" s="517" t="s">
        <v>647</v>
      </c>
      <c r="R334" s="517" t="s">
        <v>1229</v>
      </c>
      <c r="S334" s="517" t="s">
        <v>779</v>
      </c>
      <c r="T334" s="518" t="s">
        <v>1535</v>
      </c>
      <c r="U334" s="38">
        <v>1500000</v>
      </c>
      <c r="V334" s="15" t="str">
        <f t="shared" si="45"/>
        <v>102021109</v>
      </c>
      <c r="W334" s="39">
        <v>1</v>
      </c>
      <c r="X334" s="40" t="s">
        <v>647</v>
      </c>
      <c r="Y334" s="40" t="s">
        <v>647</v>
      </c>
      <c r="Z334" s="40" t="s">
        <v>1229</v>
      </c>
      <c r="AA334" s="40" t="s">
        <v>779</v>
      </c>
      <c r="AB334" s="41" t="s">
        <v>1535</v>
      </c>
      <c r="AC334" s="519"/>
      <c r="AD334" s="517" t="s">
        <v>1422</v>
      </c>
      <c r="AE334" s="517" t="s">
        <v>13415</v>
      </c>
      <c r="AF334" s="517" t="s">
        <v>202</v>
      </c>
      <c r="AG334" s="520" t="s">
        <v>1536</v>
      </c>
      <c r="AH334" s="67"/>
      <c r="AI334" s="10"/>
      <c r="AJ334" s="9"/>
      <c r="AK334" s="10"/>
      <c r="AL334" s="10"/>
    </row>
    <row r="335" spans="1:38" ht="56.25" hidden="1">
      <c r="A335" s="1">
        <f t="shared" si="46"/>
        <v>0</v>
      </c>
      <c r="B335" s="2" t="s">
        <v>1539</v>
      </c>
      <c r="C335" s="3" t="s">
        <v>1540</v>
      </c>
      <c r="D335" s="15" t="s">
        <v>11467</v>
      </c>
      <c r="E335" s="4" t="s">
        <v>1539</v>
      </c>
      <c r="F335" s="37" t="s">
        <v>1509</v>
      </c>
      <c r="G335" s="38">
        <v>0</v>
      </c>
      <c r="H335" s="38">
        <v>0</v>
      </c>
      <c r="I335" s="15"/>
      <c r="J335" s="494">
        <v>10202110903</v>
      </c>
      <c r="K335" s="517" t="s">
        <v>1422</v>
      </c>
      <c r="L335" s="517" t="s">
        <v>13415</v>
      </c>
      <c r="M335" s="517" t="s">
        <v>202</v>
      </c>
      <c r="N335" s="518" t="s">
        <v>1536</v>
      </c>
      <c r="O335" s="517">
        <v>1</v>
      </c>
      <c r="P335" s="517" t="s">
        <v>647</v>
      </c>
      <c r="Q335" s="517" t="s">
        <v>647</v>
      </c>
      <c r="R335" s="517" t="s">
        <v>1229</v>
      </c>
      <c r="S335" s="517" t="s">
        <v>779</v>
      </c>
      <c r="T335" s="518" t="s">
        <v>1535</v>
      </c>
      <c r="U335" s="38">
        <v>0</v>
      </c>
      <c r="V335" s="15" t="str">
        <f t="shared" si="45"/>
        <v>102021109</v>
      </c>
      <c r="W335" s="39">
        <v>1</v>
      </c>
      <c r="X335" s="40" t="s">
        <v>647</v>
      </c>
      <c r="Y335" s="40" t="s">
        <v>647</v>
      </c>
      <c r="Z335" s="40" t="s">
        <v>1229</v>
      </c>
      <c r="AA335" s="40" t="s">
        <v>779</v>
      </c>
      <c r="AB335" s="41" t="s">
        <v>1535</v>
      </c>
      <c r="AC335" s="519"/>
      <c r="AD335" s="517" t="s">
        <v>1422</v>
      </c>
      <c r="AE335" s="517" t="s">
        <v>13415</v>
      </c>
      <c r="AF335" s="517" t="s">
        <v>202</v>
      </c>
      <c r="AG335" s="520" t="s">
        <v>1536</v>
      </c>
      <c r="AH335" s="67"/>
      <c r="AI335" s="10"/>
      <c r="AJ335" s="9"/>
      <c r="AK335" s="10"/>
      <c r="AL335" s="10"/>
    </row>
    <row r="336" spans="1:38" ht="33.75" hidden="1">
      <c r="A336" s="1">
        <f t="shared" si="46"/>
        <v>0</v>
      </c>
      <c r="B336" s="2" t="s">
        <v>1541</v>
      </c>
      <c r="C336" s="3" t="s">
        <v>1542</v>
      </c>
      <c r="D336" s="15" t="s">
        <v>11467</v>
      </c>
      <c r="E336" s="4" t="s">
        <v>1541</v>
      </c>
      <c r="F336" s="37" t="s">
        <v>1542</v>
      </c>
      <c r="G336" s="38">
        <v>936742.83</v>
      </c>
      <c r="H336" s="38">
        <v>936742.83</v>
      </c>
      <c r="I336" s="15"/>
      <c r="J336" s="494">
        <v>10202110904</v>
      </c>
      <c r="K336" s="517" t="s">
        <v>1422</v>
      </c>
      <c r="L336" s="517" t="s">
        <v>13415</v>
      </c>
      <c r="M336" s="517" t="s">
        <v>202</v>
      </c>
      <c r="N336" s="518" t="s">
        <v>1536</v>
      </c>
      <c r="O336" s="517">
        <v>1</v>
      </c>
      <c r="P336" s="517" t="s">
        <v>647</v>
      </c>
      <c r="Q336" s="517" t="s">
        <v>647</v>
      </c>
      <c r="R336" s="517" t="s">
        <v>1229</v>
      </c>
      <c r="S336" s="517" t="s">
        <v>779</v>
      </c>
      <c r="T336" s="518" t="s">
        <v>1535</v>
      </c>
      <c r="U336" s="38">
        <v>936742.83</v>
      </c>
      <c r="V336" s="15" t="str">
        <f t="shared" si="45"/>
        <v>102021109</v>
      </c>
      <c r="W336" s="39">
        <v>1</v>
      </c>
      <c r="X336" s="40" t="s">
        <v>647</v>
      </c>
      <c r="Y336" s="40" t="s">
        <v>647</v>
      </c>
      <c r="Z336" s="40" t="s">
        <v>1229</v>
      </c>
      <c r="AA336" s="40" t="s">
        <v>779</v>
      </c>
      <c r="AB336" s="41" t="s">
        <v>1535</v>
      </c>
      <c r="AC336" s="519"/>
      <c r="AD336" s="517" t="s">
        <v>1422</v>
      </c>
      <c r="AE336" s="517" t="s">
        <v>13415</v>
      </c>
      <c r="AF336" s="517" t="s">
        <v>202</v>
      </c>
      <c r="AG336" s="520" t="s">
        <v>1536</v>
      </c>
      <c r="AH336" s="67"/>
      <c r="AI336" s="10"/>
      <c r="AJ336" s="9"/>
      <c r="AK336" s="10"/>
      <c r="AL336" s="10"/>
    </row>
    <row r="337" spans="1:38" ht="45" hidden="1">
      <c r="A337" s="1">
        <f t="shared" si="46"/>
        <v>0</v>
      </c>
      <c r="B337" s="2" t="s">
        <v>1543</v>
      </c>
      <c r="C337" s="3" t="s">
        <v>1544</v>
      </c>
      <c r="D337" s="15" t="s">
        <v>11467</v>
      </c>
      <c r="E337" s="4" t="s">
        <v>1543</v>
      </c>
      <c r="F337" s="37" t="s">
        <v>1544</v>
      </c>
      <c r="G337" s="38">
        <v>40000</v>
      </c>
      <c r="H337" s="38">
        <v>40000</v>
      </c>
      <c r="I337" s="15"/>
      <c r="J337" s="494">
        <v>10202110905</v>
      </c>
      <c r="K337" s="517" t="s">
        <v>1422</v>
      </c>
      <c r="L337" s="517" t="s">
        <v>13415</v>
      </c>
      <c r="M337" s="517" t="s">
        <v>202</v>
      </c>
      <c r="N337" s="518" t="s">
        <v>1536</v>
      </c>
      <c r="O337" s="517">
        <v>1</v>
      </c>
      <c r="P337" s="517" t="s">
        <v>647</v>
      </c>
      <c r="Q337" s="517" t="s">
        <v>647</v>
      </c>
      <c r="R337" s="517" t="s">
        <v>1229</v>
      </c>
      <c r="S337" s="517" t="s">
        <v>779</v>
      </c>
      <c r="T337" s="518" t="s">
        <v>1535</v>
      </c>
      <c r="U337" s="38">
        <v>40000</v>
      </c>
      <c r="V337" s="15" t="str">
        <f t="shared" si="45"/>
        <v>102021109</v>
      </c>
      <c r="W337" s="39">
        <v>1</v>
      </c>
      <c r="X337" s="40" t="s">
        <v>647</v>
      </c>
      <c r="Y337" s="40" t="s">
        <v>647</v>
      </c>
      <c r="Z337" s="40" t="s">
        <v>1229</v>
      </c>
      <c r="AA337" s="40" t="s">
        <v>779</v>
      </c>
      <c r="AB337" s="41" t="s">
        <v>1535</v>
      </c>
      <c r="AC337" s="519"/>
      <c r="AD337" s="517" t="s">
        <v>1422</v>
      </c>
      <c r="AE337" s="517" t="s">
        <v>13415</v>
      </c>
      <c r="AF337" s="517" t="s">
        <v>202</v>
      </c>
      <c r="AG337" s="520" t="s">
        <v>1536</v>
      </c>
      <c r="AH337" s="67"/>
      <c r="AI337" s="10"/>
      <c r="AJ337" s="9"/>
      <c r="AK337" s="10"/>
      <c r="AL337" s="10"/>
    </row>
    <row r="338" spans="1:38" ht="33.75" hidden="1">
      <c r="A338" s="1">
        <f t="shared" si="46"/>
        <v>0</v>
      </c>
      <c r="B338" s="2" t="s">
        <v>1545</v>
      </c>
      <c r="C338" s="3" t="s">
        <v>1546</v>
      </c>
      <c r="D338" s="15" t="s">
        <v>11467</v>
      </c>
      <c r="E338" s="4" t="s">
        <v>1545</v>
      </c>
      <c r="F338" s="37" t="s">
        <v>1546</v>
      </c>
      <c r="G338" s="38"/>
      <c r="H338" s="38">
        <v>1391887.84</v>
      </c>
      <c r="I338" s="15"/>
      <c r="J338" s="494">
        <v>10202110906</v>
      </c>
      <c r="K338" s="517" t="s">
        <v>1422</v>
      </c>
      <c r="L338" s="517" t="s">
        <v>13415</v>
      </c>
      <c r="M338" s="517" t="s">
        <v>202</v>
      </c>
      <c r="N338" s="518" t="s">
        <v>1536</v>
      </c>
      <c r="O338" s="517">
        <v>1</v>
      </c>
      <c r="P338" s="517" t="s">
        <v>647</v>
      </c>
      <c r="Q338" s="517" t="s">
        <v>647</v>
      </c>
      <c r="R338" s="517" t="s">
        <v>1229</v>
      </c>
      <c r="S338" s="517" t="s">
        <v>779</v>
      </c>
      <c r="T338" s="518" t="s">
        <v>1535</v>
      </c>
      <c r="U338" s="38">
        <v>1391887.84</v>
      </c>
      <c r="V338" s="15" t="str">
        <f t="shared" si="45"/>
        <v>102021109</v>
      </c>
      <c r="W338" s="39">
        <v>1</v>
      </c>
      <c r="X338" s="40" t="s">
        <v>647</v>
      </c>
      <c r="Y338" s="40" t="s">
        <v>647</v>
      </c>
      <c r="Z338" s="40" t="s">
        <v>1229</v>
      </c>
      <c r="AA338" s="40" t="s">
        <v>779</v>
      </c>
      <c r="AB338" s="41" t="s">
        <v>1535</v>
      </c>
      <c r="AC338" s="519"/>
      <c r="AD338" s="517" t="s">
        <v>1422</v>
      </c>
      <c r="AE338" s="517" t="s">
        <v>13415</v>
      </c>
      <c r="AF338" s="517" t="s">
        <v>202</v>
      </c>
      <c r="AG338" s="520" t="s">
        <v>1536</v>
      </c>
      <c r="AH338" s="67"/>
      <c r="AI338" s="10"/>
      <c r="AJ338" s="9"/>
      <c r="AK338" s="10"/>
      <c r="AL338" s="10"/>
    </row>
    <row r="339" spans="1:38" ht="33.75" hidden="1">
      <c r="A339" s="1">
        <f t="shared" si="46"/>
        <v>0</v>
      </c>
      <c r="B339" s="2" t="s">
        <v>1551</v>
      </c>
      <c r="C339" s="3" t="s">
        <v>1552</v>
      </c>
      <c r="D339" s="15" t="s">
        <v>11468</v>
      </c>
      <c r="E339" s="4" t="s">
        <v>1551</v>
      </c>
      <c r="F339" s="37" t="s">
        <v>1552</v>
      </c>
      <c r="G339" s="38">
        <v>0</v>
      </c>
      <c r="H339" s="38">
        <v>0</v>
      </c>
      <c r="I339" s="15"/>
      <c r="J339" s="494">
        <v>10202111001</v>
      </c>
      <c r="K339" s="517" t="s">
        <v>1422</v>
      </c>
      <c r="L339" s="517" t="s">
        <v>13416</v>
      </c>
      <c r="M339" s="517" t="s">
        <v>203</v>
      </c>
      <c r="N339" s="518" t="s">
        <v>1554</v>
      </c>
      <c r="O339" s="517">
        <v>1</v>
      </c>
      <c r="P339" s="517" t="s">
        <v>647</v>
      </c>
      <c r="Q339" s="517" t="s">
        <v>647</v>
      </c>
      <c r="R339" s="517" t="s">
        <v>1229</v>
      </c>
      <c r="S339" s="517" t="s">
        <v>1225</v>
      </c>
      <c r="T339" s="518" t="s">
        <v>1553</v>
      </c>
      <c r="U339" s="38">
        <v>0</v>
      </c>
      <c r="V339" s="15" t="str">
        <f t="shared" si="45"/>
        <v>102021110</v>
      </c>
      <c r="W339" s="39">
        <v>1</v>
      </c>
      <c r="X339" s="40" t="s">
        <v>647</v>
      </c>
      <c r="Y339" s="40" t="s">
        <v>647</v>
      </c>
      <c r="Z339" s="40" t="s">
        <v>1229</v>
      </c>
      <c r="AA339" s="40" t="s">
        <v>1225</v>
      </c>
      <c r="AB339" s="41" t="s">
        <v>1553</v>
      </c>
      <c r="AC339" s="519">
        <f>SUM(H339:H387)</f>
        <v>248397.14</v>
      </c>
      <c r="AD339" s="517" t="s">
        <v>1422</v>
      </c>
      <c r="AE339" s="517" t="s">
        <v>13416</v>
      </c>
      <c r="AF339" s="517" t="s">
        <v>203</v>
      </c>
      <c r="AG339" s="520" t="s">
        <v>1554</v>
      </c>
      <c r="AH339" s="67">
        <f>AC339</f>
        <v>248397.14</v>
      </c>
      <c r="AI339" s="10"/>
      <c r="AJ339" s="9"/>
      <c r="AK339" s="10"/>
      <c r="AL339" s="10"/>
    </row>
    <row r="340" spans="1:38" ht="33.75" hidden="1">
      <c r="A340" s="1">
        <f t="shared" si="46"/>
        <v>0</v>
      </c>
      <c r="B340" s="2" t="s">
        <v>1555</v>
      </c>
      <c r="C340" s="3" t="s">
        <v>1445</v>
      </c>
      <c r="D340" s="15" t="s">
        <v>11468</v>
      </c>
      <c r="E340" s="4" t="s">
        <v>1555</v>
      </c>
      <c r="F340" s="37" t="s">
        <v>1445</v>
      </c>
      <c r="G340" s="38">
        <v>0</v>
      </c>
      <c r="H340" s="38">
        <v>0</v>
      </c>
      <c r="I340" s="15"/>
      <c r="J340" s="494">
        <v>10202111002</v>
      </c>
      <c r="K340" s="523" t="s">
        <v>1422</v>
      </c>
      <c r="L340" s="523" t="s">
        <v>13416</v>
      </c>
      <c r="M340" s="523" t="s">
        <v>203</v>
      </c>
      <c r="N340" s="518" t="s">
        <v>1554</v>
      </c>
      <c r="O340" s="523">
        <v>1</v>
      </c>
      <c r="P340" s="523" t="s">
        <v>647</v>
      </c>
      <c r="Q340" s="523" t="s">
        <v>647</v>
      </c>
      <c r="R340" s="523" t="s">
        <v>1229</v>
      </c>
      <c r="S340" s="523" t="s">
        <v>1225</v>
      </c>
      <c r="T340" s="518" t="s">
        <v>1553</v>
      </c>
      <c r="U340" s="38">
        <v>0</v>
      </c>
      <c r="V340" s="15" t="str">
        <f t="shared" si="45"/>
        <v>102021110</v>
      </c>
      <c r="W340" s="39">
        <v>1</v>
      </c>
      <c r="X340" s="40" t="s">
        <v>647</v>
      </c>
      <c r="Y340" s="40" t="s">
        <v>647</v>
      </c>
      <c r="Z340" s="40" t="s">
        <v>1229</v>
      </c>
      <c r="AA340" s="40" t="s">
        <v>1225</v>
      </c>
      <c r="AB340" s="41" t="s">
        <v>1553</v>
      </c>
      <c r="AC340" s="9"/>
      <c r="AD340" s="523" t="s">
        <v>1422</v>
      </c>
      <c r="AE340" s="523" t="s">
        <v>13416</v>
      </c>
      <c r="AF340" s="523" t="s">
        <v>203</v>
      </c>
      <c r="AG340" s="524" t="s">
        <v>1554</v>
      </c>
      <c r="AH340" s="9"/>
      <c r="AI340" s="10"/>
      <c r="AJ340" s="9"/>
      <c r="AK340" s="10"/>
      <c r="AL340" s="10"/>
    </row>
    <row r="341" spans="1:38" ht="33.75" hidden="1">
      <c r="A341" s="1">
        <f t="shared" si="46"/>
        <v>0</v>
      </c>
      <c r="B341" s="2" t="s">
        <v>1556</v>
      </c>
      <c r="C341" s="3" t="s">
        <v>1447</v>
      </c>
      <c r="D341" s="15" t="s">
        <v>11468</v>
      </c>
      <c r="E341" s="4" t="s">
        <v>1556</v>
      </c>
      <c r="F341" s="37" t="s">
        <v>1447</v>
      </c>
      <c r="G341" s="38">
        <v>0</v>
      </c>
      <c r="H341" s="38">
        <v>0</v>
      </c>
      <c r="I341" s="15"/>
      <c r="J341" s="494">
        <v>10202111003</v>
      </c>
      <c r="K341" s="523" t="s">
        <v>1422</v>
      </c>
      <c r="L341" s="523" t="s">
        <v>13416</v>
      </c>
      <c r="M341" s="523" t="s">
        <v>203</v>
      </c>
      <c r="N341" s="518" t="s">
        <v>1554</v>
      </c>
      <c r="O341" s="523">
        <v>1</v>
      </c>
      <c r="P341" s="523" t="s">
        <v>647</v>
      </c>
      <c r="Q341" s="523" t="s">
        <v>647</v>
      </c>
      <c r="R341" s="523" t="s">
        <v>1229</v>
      </c>
      <c r="S341" s="523" t="s">
        <v>1225</v>
      </c>
      <c r="T341" s="518" t="s">
        <v>1553</v>
      </c>
      <c r="U341" s="38">
        <v>0</v>
      </c>
      <c r="V341" s="15" t="str">
        <f t="shared" si="45"/>
        <v>102021110</v>
      </c>
      <c r="W341" s="39">
        <v>1</v>
      </c>
      <c r="X341" s="40" t="s">
        <v>647</v>
      </c>
      <c r="Y341" s="40" t="s">
        <v>647</v>
      </c>
      <c r="Z341" s="40" t="s">
        <v>1229</v>
      </c>
      <c r="AA341" s="40" t="s">
        <v>1225</v>
      </c>
      <c r="AB341" s="41" t="s">
        <v>1553</v>
      </c>
      <c r="AC341" s="10"/>
      <c r="AD341" s="523" t="s">
        <v>1422</v>
      </c>
      <c r="AE341" s="523" t="s">
        <v>13416</v>
      </c>
      <c r="AF341" s="523" t="s">
        <v>203</v>
      </c>
      <c r="AG341" s="524" t="s">
        <v>1554</v>
      </c>
      <c r="AH341" s="9"/>
      <c r="AI341" s="10"/>
      <c r="AJ341" s="9"/>
      <c r="AK341" s="10"/>
      <c r="AL341" s="10"/>
    </row>
    <row r="342" spans="1:38" ht="33.75" hidden="1">
      <c r="A342" s="1">
        <f t="shared" si="46"/>
        <v>0</v>
      </c>
      <c r="B342" s="2" t="s">
        <v>1557</v>
      </c>
      <c r="C342" s="3" t="s">
        <v>1558</v>
      </c>
      <c r="D342" s="15" t="s">
        <v>11468</v>
      </c>
      <c r="E342" s="4" t="s">
        <v>1557</v>
      </c>
      <c r="F342" s="37" t="s">
        <v>1558</v>
      </c>
      <c r="G342" s="38">
        <v>0</v>
      </c>
      <c r="H342" s="38">
        <v>0</v>
      </c>
      <c r="I342" s="15"/>
      <c r="J342" s="494">
        <v>10202111004</v>
      </c>
      <c r="K342" s="523" t="s">
        <v>1422</v>
      </c>
      <c r="L342" s="523" t="s">
        <v>13416</v>
      </c>
      <c r="M342" s="523" t="s">
        <v>203</v>
      </c>
      <c r="N342" s="518" t="s">
        <v>1554</v>
      </c>
      <c r="O342" s="523">
        <v>1</v>
      </c>
      <c r="P342" s="523" t="s">
        <v>647</v>
      </c>
      <c r="Q342" s="523" t="s">
        <v>647</v>
      </c>
      <c r="R342" s="523" t="s">
        <v>1229</v>
      </c>
      <c r="S342" s="523" t="s">
        <v>1225</v>
      </c>
      <c r="T342" s="518" t="s">
        <v>1553</v>
      </c>
      <c r="U342" s="38">
        <v>0</v>
      </c>
      <c r="V342" s="15" t="str">
        <f t="shared" si="45"/>
        <v>102021110</v>
      </c>
      <c r="W342" s="39">
        <v>1</v>
      </c>
      <c r="X342" s="40" t="s">
        <v>647</v>
      </c>
      <c r="Y342" s="40" t="s">
        <v>647</v>
      </c>
      <c r="Z342" s="40" t="s">
        <v>1229</v>
      </c>
      <c r="AA342" s="40" t="s">
        <v>1225</v>
      </c>
      <c r="AB342" s="41" t="s">
        <v>1553</v>
      </c>
      <c r="AC342" s="10"/>
      <c r="AD342" s="523" t="s">
        <v>1422</v>
      </c>
      <c r="AE342" s="523" t="s">
        <v>13416</v>
      </c>
      <c r="AF342" s="523" t="s">
        <v>203</v>
      </c>
      <c r="AG342" s="524" t="s">
        <v>1554</v>
      </c>
      <c r="AH342" s="9"/>
      <c r="AI342" s="10"/>
      <c r="AJ342" s="9"/>
      <c r="AK342" s="10"/>
      <c r="AL342" s="10"/>
    </row>
    <row r="343" spans="1:38" ht="33.75" hidden="1">
      <c r="A343" s="1">
        <f t="shared" si="46"/>
        <v>0</v>
      </c>
      <c r="B343" s="2" t="s">
        <v>1559</v>
      </c>
      <c r="C343" s="3" t="s">
        <v>1560</v>
      </c>
      <c r="D343" s="15" t="s">
        <v>11468</v>
      </c>
      <c r="E343" s="4" t="s">
        <v>1559</v>
      </c>
      <c r="F343" s="37" t="s">
        <v>1560</v>
      </c>
      <c r="G343" s="38">
        <v>0</v>
      </c>
      <c r="H343" s="38">
        <v>0</v>
      </c>
      <c r="I343" s="15"/>
      <c r="J343" s="494">
        <v>10202111005</v>
      </c>
      <c r="K343" s="523" t="s">
        <v>1422</v>
      </c>
      <c r="L343" s="523" t="s">
        <v>13416</v>
      </c>
      <c r="M343" s="523" t="s">
        <v>203</v>
      </c>
      <c r="N343" s="518" t="s">
        <v>1554</v>
      </c>
      <c r="O343" s="523">
        <v>1</v>
      </c>
      <c r="P343" s="523" t="s">
        <v>647</v>
      </c>
      <c r="Q343" s="523" t="s">
        <v>647</v>
      </c>
      <c r="R343" s="523" t="s">
        <v>1229</v>
      </c>
      <c r="S343" s="523" t="s">
        <v>1225</v>
      </c>
      <c r="T343" s="518" t="s">
        <v>1553</v>
      </c>
      <c r="U343" s="38">
        <v>0</v>
      </c>
      <c r="V343" s="15" t="str">
        <f t="shared" si="45"/>
        <v>102021110</v>
      </c>
      <c r="W343" s="39">
        <v>1</v>
      </c>
      <c r="X343" s="40" t="s">
        <v>647</v>
      </c>
      <c r="Y343" s="40" t="s">
        <v>647</v>
      </c>
      <c r="Z343" s="40" t="s">
        <v>1229</v>
      </c>
      <c r="AA343" s="40" t="s">
        <v>1225</v>
      </c>
      <c r="AB343" s="41" t="s">
        <v>1553</v>
      </c>
      <c r="AC343" s="10"/>
      <c r="AD343" s="523" t="s">
        <v>1422</v>
      </c>
      <c r="AE343" s="523" t="s">
        <v>13416</v>
      </c>
      <c r="AF343" s="523" t="s">
        <v>203</v>
      </c>
      <c r="AG343" s="524" t="s">
        <v>1554</v>
      </c>
      <c r="AH343" s="9"/>
      <c r="AI343" s="10"/>
      <c r="AJ343" s="9"/>
      <c r="AK343" s="10"/>
      <c r="AL343" s="10"/>
    </row>
    <row r="344" spans="1:38" ht="33.75" hidden="1">
      <c r="A344" s="1">
        <f t="shared" si="46"/>
        <v>0</v>
      </c>
      <c r="B344" s="2" t="s">
        <v>1561</v>
      </c>
      <c r="C344" s="3" t="s">
        <v>1562</v>
      </c>
      <c r="D344" s="15" t="s">
        <v>11468</v>
      </c>
      <c r="E344" s="4" t="s">
        <v>1561</v>
      </c>
      <c r="F344" s="37" t="s">
        <v>1562</v>
      </c>
      <c r="G344" s="38">
        <v>0</v>
      </c>
      <c r="H344" s="38">
        <v>0</v>
      </c>
      <c r="I344" s="15"/>
      <c r="J344" s="494">
        <v>10202111006</v>
      </c>
      <c r="K344" s="523" t="s">
        <v>1422</v>
      </c>
      <c r="L344" s="523" t="s">
        <v>13416</v>
      </c>
      <c r="M344" s="523" t="s">
        <v>203</v>
      </c>
      <c r="N344" s="518" t="s">
        <v>1554</v>
      </c>
      <c r="O344" s="523">
        <v>1</v>
      </c>
      <c r="P344" s="523" t="s">
        <v>647</v>
      </c>
      <c r="Q344" s="523" t="s">
        <v>647</v>
      </c>
      <c r="R344" s="523" t="s">
        <v>1229</v>
      </c>
      <c r="S344" s="523" t="s">
        <v>1225</v>
      </c>
      <c r="T344" s="518" t="s">
        <v>1553</v>
      </c>
      <c r="U344" s="38">
        <v>0</v>
      </c>
      <c r="V344" s="15" t="str">
        <f t="shared" si="45"/>
        <v>102021110</v>
      </c>
      <c r="W344" s="39">
        <v>1</v>
      </c>
      <c r="X344" s="40" t="s">
        <v>647</v>
      </c>
      <c r="Y344" s="40" t="s">
        <v>647</v>
      </c>
      <c r="Z344" s="40" t="s">
        <v>1229</v>
      </c>
      <c r="AA344" s="40" t="s">
        <v>1225</v>
      </c>
      <c r="AB344" s="41" t="s">
        <v>1553</v>
      </c>
      <c r="AC344" s="10"/>
      <c r="AD344" s="523" t="s">
        <v>1422</v>
      </c>
      <c r="AE344" s="523" t="s">
        <v>13416</v>
      </c>
      <c r="AF344" s="523" t="s">
        <v>203</v>
      </c>
      <c r="AG344" s="524" t="s">
        <v>1554</v>
      </c>
      <c r="AH344" s="9"/>
      <c r="AI344" s="10"/>
      <c r="AJ344" s="9"/>
      <c r="AK344" s="10"/>
      <c r="AL344" s="10"/>
    </row>
    <row r="345" spans="1:38" ht="33.75" hidden="1">
      <c r="A345" s="1">
        <f t="shared" si="46"/>
        <v>0</v>
      </c>
      <c r="B345" s="2" t="s">
        <v>1563</v>
      </c>
      <c r="C345" s="3" t="s">
        <v>1564</v>
      </c>
      <c r="D345" s="15" t="s">
        <v>11468</v>
      </c>
      <c r="E345" s="4" t="s">
        <v>1563</v>
      </c>
      <c r="F345" s="37" t="s">
        <v>1564</v>
      </c>
      <c r="G345" s="38">
        <v>0</v>
      </c>
      <c r="H345" s="38">
        <v>0</v>
      </c>
      <c r="I345" s="15"/>
      <c r="J345" s="494">
        <v>10202111007</v>
      </c>
      <c r="K345" s="523" t="s">
        <v>1422</v>
      </c>
      <c r="L345" s="523" t="s">
        <v>13416</v>
      </c>
      <c r="M345" s="523" t="s">
        <v>203</v>
      </c>
      <c r="N345" s="518" t="s">
        <v>1554</v>
      </c>
      <c r="O345" s="523">
        <v>1</v>
      </c>
      <c r="P345" s="523" t="s">
        <v>647</v>
      </c>
      <c r="Q345" s="523" t="s">
        <v>647</v>
      </c>
      <c r="R345" s="523" t="s">
        <v>1229</v>
      </c>
      <c r="S345" s="523" t="s">
        <v>1225</v>
      </c>
      <c r="T345" s="518" t="s">
        <v>1553</v>
      </c>
      <c r="U345" s="38">
        <v>0</v>
      </c>
      <c r="V345" s="15" t="str">
        <f t="shared" si="45"/>
        <v>102021110</v>
      </c>
      <c r="W345" s="39">
        <v>1</v>
      </c>
      <c r="X345" s="40" t="s">
        <v>647</v>
      </c>
      <c r="Y345" s="40" t="s">
        <v>647</v>
      </c>
      <c r="Z345" s="40" t="s">
        <v>1229</v>
      </c>
      <c r="AA345" s="40" t="s">
        <v>1225</v>
      </c>
      <c r="AB345" s="41" t="s">
        <v>1553</v>
      </c>
      <c r="AC345" s="10"/>
      <c r="AD345" s="523" t="s">
        <v>1422</v>
      </c>
      <c r="AE345" s="523" t="s">
        <v>13416</v>
      </c>
      <c r="AF345" s="523" t="s">
        <v>203</v>
      </c>
      <c r="AG345" s="524" t="s">
        <v>1554</v>
      </c>
      <c r="AH345" s="9"/>
      <c r="AI345" s="10"/>
      <c r="AJ345" s="9"/>
      <c r="AK345" s="10"/>
      <c r="AL345" s="10"/>
    </row>
    <row r="346" spans="1:38" ht="33.75" hidden="1">
      <c r="A346" s="1">
        <f t="shared" si="46"/>
        <v>0</v>
      </c>
      <c r="B346" s="2" t="s">
        <v>1565</v>
      </c>
      <c r="C346" s="3" t="s">
        <v>1566</v>
      </c>
      <c r="D346" s="15" t="s">
        <v>11468</v>
      </c>
      <c r="E346" s="4" t="s">
        <v>1565</v>
      </c>
      <c r="F346" s="37" t="s">
        <v>1566</v>
      </c>
      <c r="G346" s="38">
        <v>0</v>
      </c>
      <c r="H346" s="38">
        <v>0</v>
      </c>
      <c r="I346" s="15"/>
      <c r="J346" s="494">
        <v>10202111008</v>
      </c>
      <c r="K346" s="523" t="s">
        <v>1422</v>
      </c>
      <c r="L346" s="523" t="s">
        <v>13416</v>
      </c>
      <c r="M346" s="523" t="s">
        <v>203</v>
      </c>
      <c r="N346" s="518" t="s">
        <v>1554</v>
      </c>
      <c r="O346" s="523">
        <v>1</v>
      </c>
      <c r="P346" s="523" t="s">
        <v>647</v>
      </c>
      <c r="Q346" s="523" t="s">
        <v>647</v>
      </c>
      <c r="R346" s="523" t="s">
        <v>1229</v>
      </c>
      <c r="S346" s="523" t="s">
        <v>1225</v>
      </c>
      <c r="T346" s="518" t="s">
        <v>1553</v>
      </c>
      <c r="U346" s="38">
        <v>0</v>
      </c>
      <c r="V346" s="15" t="str">
        <f t="shared" si="45"/>
        <v>102021110</v>
      </c>
      <c r="W346" s="39">
        <v>1</v>
      </c>
      <c r="X346" s="40" t="s">
        <v>647</v>
      </c>
      <c r="Y346" s="40" t="s">
        <v>647</v>
      </c>
      <c r="Z346" s="40" t="s">
        <v>1229</v>
      </c>
      <c r="AA346" s="40" t="s">
        <v>1225</v>
      </c>
      <c r="AB346" s="41" t="s">
        <v>1553</v>
      </c>
      <c r="AC346" s="10"/>
      <c r="AD346" s="523" t="s">
        <v>1422</v>
      </c>
      <c r="AE346" s="523" t="s">
        <v>13416</v>
      </c>
      <c r="AF346" s="523" t="s">
        <v>203</v>
      </c>
      <c r="AG346" s="524" t="s">
        <v>1554</v>
      </c>
      <c r="AH346" s="9"/>
      <c r="AI346" s="10"/>
      <c r="AJ346" s="9"/>
      <c r="AK346" s="10"/>
      <c r="AL346" s="10"/>
    </row>
    <row r="347" spans="1:38" ht="33.75" hidden="1">
      <c r="A347" s="1">
        <f t="shared" si="46"/>
        <v>0</v>
      </c>
      <c r="B347" s="2" t="s">
        <v>1567</v>
      </c>
      <c r="C347" s="3" t="s">
        <v>1568</v>
      </c>
      <c r="D347" s="15" t="s">
        <v>11468</v>
      </c>
      <c r="E347" s="4" t="s">
        <v>1567</v>
      </c>
      <c r="F347" s="37" t="s">
        <v>1568</v>
      </c>
      <c r="G347" s="38">
        <v>0</v>
      </c>
      <c r="H347" s="38">
        <v>0</v>
      </c>
      <c r="I347" s="15"/>
      <c r="J347" s="494">
        <v>10202111009</v>
      </c>
      <c r="K347" s="523" t="s">
        <v>1422</v>
      </c>
      <c r="L347" s="523" t="s">
        <v>13416</v>
      </c>
      <c r="M347" s="523" t="s">
        <v>203</v>
      </c>
      <c r="N347" s="518" t="s">
        <v>1554</v>
      </c>
      <c r="O347" s="523">
        <v>1</v>
      </c>
      <c r="P347" s="523" t="s">
        <v>647</v>
      </c>
      <c r="Q347" s="523" t="s">
        <v>647</v>
      </c>
      <c r="R347" s="523" t="s">
        <v>1229</v>
      </c>
      <c r="S347" s="523" t="s">
        <v>1225</v>
      </c>
      <c r="T347" s="518" t="s">
        <v>1553</v>
      </c>
      <c r="U347" s="38">
        <v>0</v>
      </c>
      <c r="V347" s="15" t="str">
        <f t="shared" si="45"/>
        <v>102021110</v>
      </c>
      <c r="W347" s="39">
        <v>1</v>
      </c>
      <c r="X347" s="40" t="s">
        <v>647</v>
      </c>
      <c r="Y347" s="40" t="s">
        <v>647</v>
      </c>
      <c r="Z347" s="40" t="s">
        <v>1229</v>
      </c>
      <c r="AA347" s="40" t="s">
        <v>1225</v>
      </c>
      <c r="AB347" s="41" t="s">
        <v>1553</v>
      </c>
      <c r="AC347" s="10"/>
      <c r="AD347" s="523" t="s">
        <v>1422</v>
      </c>
      <c r="AE347" s="523" t="s">
        <v>13416</v>
      </c>
      <c r="AF347" s="523" t="s">
        <v>203</v>
      </c>
      <c r="AG347" s="524" t="s">
        <v>1554</v>
      </c>
      <c r="AH347" s="9"/>
      <c r="AI347" s="10"/>
      <c r="AJ347" s="9"/>
      <c r="AK347" s="10"/>
      <c r="AL347" s="10"/>
    </row>
    <row r="348" spans="1:38" ht="33.75" hidden="1">
      <c r="A348" s="1">
        <f t="shared" si="46"/>
        <v>0</v>
      </c>
      <c r="B348" s="2" t="s">
        <v>1569</v>
      </c>
      <c r="C348" s="3" t="s">
        <v>1570</v>
      </c>
      <c r="D348" s="15" t="s">
        <v>11468</v>
      </c>
      <c r="E348" s="4" t="s">
        <v>1569</v>
      </c>
      <c r="F348" s="37" t="s">
        <v>1570</v>
      </c>
      <c r="G348" s="38">
        <v>0</v>
      </c>
      <c r="H348" s="38">
        <v>0</v>
      </c>
      <c r="I348" s="15"/>
      <c r="J348" s="494">
        <v>10202111010</v>
      </c>
      <c r="K348" s="523" t="s">
        <v>1422</v>
      </c>
      <c r="L348" s="523" t="s">
        <v>13416</v>
      </c>
      <c r="M348" s="523" t="s">
        <v>203</v>
      </c>
      <c r="N348" s="518" t="s">
        <v>1554</v>
      </c>
      <c r="O348" s="523">
        <v>1</v>
      </c>
      <c r="P348" s="523" t="s">
        <v>647</v>
      </c>
      <c r="Q348" s="523" t="s">
        <v>647</v>
      </c>
      <c r="R348" s="523" t="s">
        <v>1229</v>
      </c>
      <c r="S348" s="523" t="s">
        <v>1225</v>
      </c>
      <c r="T348" s="518" t="s">
        <v>1553</v>
      </c>
      <c r="U348" s="38">
        <v>0</v>
      </c>
      <c r="V348" s="15" t="str">
        <f t="shared" si="45"/>
        <v>102021110</v>
      </c>
      <c r="W348" s="39">
        <v>1</v>
      </c>
      <c r="X348" s="40" t="s">
        <v>647</v>
      </c>
      <c r="Y348" s="40" t="s">
        <v>647</v>
      </c>
      <c r="Z348" s="40" t="s">
        <v>1229</v>
      </c>
      <c r="AA348" s="40" t="s">
        <v>1225</v>
      </c>
      <c r="AB348" s="41" t="s">
        <v>1553</v>
      </c>
      <c r="AC348" s="10"/>
      <c r="AD348" s="523" t="s">
        <v>1422</v>
      </c>
      <c r="AE348" s="523" t="s">
        <v>13416</v>
      </c>
      <c r="AF348" s="523" t="s">
        <v>203</v>
      </c>
      <c r="AG348" s="524" t="s">
        <v>1554</v>
      </c>
      <c r="AH348" s="9"/>
      <c r="AI348" s="10"/>
      <c r="AJ348" s="9"/>
      <c r="AK348" s="10"/>
      <c r="AL348" s="10"/>
    </row>
    <row r="349" spans="1:38" ht="33.75" hidden="1">
      <c r="A349" s="1">
        <f t="shared" si="46"/>
        <v>0</v>
      </c>
      <c r="B349" s="2" t="s">
        <v>1571</v>
      </c>
      <c r="C349" s="3" t="s">
        <v>1572</v>
      </c>
      <c r="D349" s="15" t="s">
        <v>11468</v>
      </c>
      <c r="E349" s="4" t="s">
        <v>1571</v>
      </c>
      <c r="F349" s="37" t="s">
        <v>1572</v>
      </c>
      <c r="G349" s="38">
        <v>0</v>
      </c>
      <c r="H349" s="38">
        <v>0</v>
      </c>
      <c r="I349" s="15"/>
      <c r="J349" s="494">
        <v>10202111011</v>
      </c>
      <c r="K349" s="523" t="s">
        <v>1422</v>
      </c>
      <c r="L349" s="523" t="s">
        <v>13416</v>
      </c>
      <c r="M349" s="523" t="s">
        <v>203</v>
      </c>
      <c r="N349" s="518" t="s">
        <v>1554</v>
      </c>
      <c r="O349" s="523">
        <v>1</v>
      </c>
      <c r="P349" s="523" t="s">
        <v>647</v>
      </c>
      <c r="Q349" s="523" t="s">
        <v>647</v>
      </c>
      <c r="R349" s="523" t="s">
        <v>1229</v>
      </c>
      <c r="S349" s="523" t="s">
        <v>1225</v>
      </c>
      <c r="T349" s="518" t="s">
        <v>1553</v>
      </c>
      <c r="U349" s="38">
        <v>0</v>
      </c>
      <c r="V349" s="15" t="str">
        <f t="shared" si="45"/>
        <v>102021110</v>
      </c>
      <c r="W349" s="39">
        <v>1</v>
      </c>
      <c r="X349" s="40" t="s">
        <v>647</v>
      </c>
      <c r="Y349" s="40" t="s">
        <v>647</v>
      </c>
      <c r="Z349" s="40" t="s">
        <v>1229</v>
      </c>
      <c r="AA349" s="40" t="s">
        <v>1225</v>
      </c>
      <c r="AB349" s="41" t="s">
        <v>1553</v>
      </c>
      <c r="AC349" s="10"/>
      <c r="AD349" s="523" t="s">
        <v>1422</v>
      </c>
      <c r="AE349" s="523" t="s">
        <v>13416</v>
      </c>
      <c r="AF349" s="523" t="s">
        <v>203</v>
      </c>
      <c r="AG349" s="524" t="s">
        <v>1554</v>
      </c>
      <c r="AH349" s="9"/>
      <c r="AI349" s="10"/>
      <c r="AJ349" s="9"/>
      <c r="AK349" s="10"/>
      <c r="AL349" s="10"/>
    </row>
    <row r="350" spans="1:38" ht="33.75" hidden="1">
      <c r="A350" s="1">
        <f t="shared" si="46"/>
        <v>0</v>
      </c>
      <c r="B350" s="2" t="s">
        <v>1573</v>
      </c>
      <c r="C350" s="3" t="s">
        <v>1574</v>
      </c>
      <c r="D350" s="15" t="s">
        <v>11468</v>
      </c>
      <c r="E350" s="4" t="s">
        <v>1573</v>
      </c>
      <c r="F350" s="37" t="s">
        <v>1574</v>
      </c>
      <c r="G350" s="38">
        <v>0</v>
      </c>
      <c r="H350" s="38">
        <v>0</v>
      </c>
      <c r="I350" s="15"/>
      <c r="J350" s="494">
        <v>10202111012</v>
      </c>
      <c r="K350" s="523" t="s">
        <v>1422</v>
      </c>
      <c r="L350" s="523" t="s">
        <v>13416</v>
      </c>
      <c r="M350" s="523" t="s">
        <v>203</v>
      </c>
      <c r="N350" s="518" t="s">
        <v>1554</v>
      </c>
      <c r="O350" s="523">
        <v>1</v>
      </c>
      <c r="P350" s="523" t="s">
        <v>647</v>
      </c>
      <c r="Q350" s="523" t="s">
        <v>647</v>
      </c>
      <c r="R350" s="523" t="s">
        <v>1229</v>
      </c>
      <c r="S350" s="523" t="s">
        <v>1225</v>
      </c>
      <c r="T350" s="518" t="s">
        <v>1553</v>
      </c>
      <c r="U350" s="38">
        <v>0</v>
      </c>
      <c r="V350" s="15" t="str">
        <f t="shared" si="45"/>
        <v>102021110</v>
      </c>
      <c r="W350" s="39">
        <v>1</v>
      </c>
      <c r="X350" s="40" t="s">
        <v>647</v>
      </c>
      <c r="Y350" s="40" t="s">
        <v>647</v>
      </c>
      <c r="Z350" s="40" t="s">
        <v>1229</v>
      </c>
      <c r="AA350" s="40" t="s">
        <v>1225</v>
      </c>
      <c r="AB350" s="41" t="s">
        <v>1553</v>
      </c>
      <c r="AC350" s="10"/>
      <c r="AD350" s="523" t="s">
        <v>1422</v>
      </c>
      <c r="AE350" s="523" t="s">
        <v>13416</v>
      </c>
      <c r="AF350" s="523" t="s">
        <v>203</v>
      </c>
      <c r="AG350" s="524" t="s">
        <v>1554</v>
      </c>
      <c r="AH350" s="9"/>
      <c r="AI350" s="10"/>
      <c r="AJ350" s="9"/>
      <c r="AK350" s="10"/>
      <c r="AL350" s="10"/>
    </row>
    <row r="351" spans="1:38" ht="33.75" hidden="1">
      <c r="A351" s="1">
        <f t="shared" si="46"/>
        <v>0</v>
      </c>
      <c r="B351" s="2" t="s">
        <v>1575</v>
      </c>
      <c r="C351" s="3" t="s">
        <v>1576</v>
      </c>
      <c r="D351" s="15" t="s">
        <v>11468</v>
      </c>
      <c r="E351" s="4" t="s">
        <v>1575</v>
      </c>
      <c r="F351" s="37" t="s">
        <v>1576</v>
      </c>
      <c r="G351" s="38">
        <v>0</v>
      </c>
      <c r="H351" s="38">
        <v>0</v>
      </c>
      <c r="I351" s="15"/>
      <c r="J351" s="494">
        <v>10202111013</v>
      </c>
      <c r="K351" s="523" t="s">
        <v>1422</v>
      </c>
      <c r="L351" s="523" t="s">
        <v>13416</v>
      </c>
      <c r="M351" s="523" t="s">
        <v>203</v>
      </c>
      <c r="N351" s="518" t="s">
        <v>1554</v>
      </c>
      <c r="O351" s="523">
        <v>1</v>
      </c>
      <c r="P351" s="523" t="s">
        <v>647</v>
      </c>
      <c r="Q351" s="523" t="s">
        <v>647</v>
      </c>
      <c r="R351" s="523" t="s">
        <v>1229</v>
      </c>
      <c r="S351" s="523" t="s">
        <v>1225</v>
      </c>
      <c r="T351" s="518" t="s">
        <v>1553</v>
      </c>
      <c r="U351" s="38">
        <v>0</v>
      </c>
      <c r="V351" s="15" t="str">
        <f t="shared" si="45"/>
        <v>102021110</v>
      </c>
      <c r="W351" s="39">
        <v>1</v>
      </c>
      <c r="X351" s="40" t="s">
        <v>647</v>
      </c>
      <c r="Y351" s="40" t="s">
        <v>647</v>
      </c>
      <c r="Z351" s="40" t="s">
        <v>1229</v>
      </c>
      <c r="AA351" s="40" t="s">
        <v>1225</v>
      </c>
      <c r="AB351" s="41" t="s">
        <v>1553</v>
      </c>
      <c r="AC351" s="10"/>
      <c r="AD351" s="523" t="s">
        <v>1422</v>
      </c>
      <c r="AE351" s="523" t="s">
        <v>13416</v>
      </c>
      <c r="AF351" s="523" t="s">
        <v>203</v>
      </c>
      <c r="AG351" s="524" t="s">
        <v>1554</v>
      </c>
      <c r="AH351" s="9"/>
      <c r="AI351" s="10"/>
      <c r="AJ351" s="9"/>
      <c r="AK351" s="10"/>
      <c r="AL351" s="10"/>
    </row>
    <row r="352" spans="1:38" ht="33.75" hidden="1">
      <c r="A352" s="1">
        <f t="shared" si="46"/>
        <v>0</v>
      </c>
      <c r="B352" s="2" t="s">
        <v>1577</v>
      </c>
      <c r="C352" s="3" t="s">
        <v>1578</v>
      </c>
      <c r="D352" s="15" t="s">
        <v>11468</v>
      </c>
      <c r="E352" s="4" t="s">
        <v>1577</v>
      </c>
      <c r="F352" s="37" t="s">
        <v>1578</v>
      </c>
      <c r="G352" s="38">
        <v>0</v>
      </c>
      <c r="H352" s="38">
        <v>0</v>
      </c>
      <c r="I352" s="15"/>
      <c r="J352" s="494">
        <v>10202111014</v>
      </c>
      <c r="K352" s="523" t="s">
        <v>1422</v>
      </c>
      <c r="L352" s="523" t="s">
        <v>13416</v>
      </c>
      <c r="M352" s="523" t="s">
        <v>203</v>
      </c>
      <c r="N352" s="518" t="s">
        <v>1554</v>
      </c>
      <c r="O352" s="523">
        <v>1</v>
      </c>
      <c r="P352" s="523" t="s">
        <v>647</v>
      </c>
      <c r="Q352" s="523" t="s">
        <v>647</v>
      </c>
      <c r="R352" s="523" t="s">
        <v>1229</v>
      </c>
      <c r="S352" s="523" t="s">
        <v>1225</v>
      </c>
      <c r="T352" s="518" t="s">
        <v>1553</v>
      </c>
      <c r="U352" s="38">
        <v>0</v>
      </c>
      <c r="V352" s="15" t="str">
        <f t="shared" si="45"/>
        <v>102021110</v>
      </c>
      <c r="W352" s="39">
        <v>1</v>
      </c>
      <c r="X352" s="40" t="s">
        <v>647</v>
      </c>
      <c r="Y352" s="40" t="s">
        <v>647</v>
      </c>
      <c r="Z352" s="40" t="s">
        <v>1229</v>
      </c>
      <c r="AA352" s="40" t="s">
        <v>1225</v>
      </c>
      <c r="AB352" s="41" t="s">
        <v>1553</v>
      </c>
      <c r="AC352" s="10"/>
      <c r="AD352" s="523" t="s">
        <v>1422</v>
      </c>
      <c r="AE352" s="523" t="s">
        <v>13416</v>
      </c>
      <c r="AF352" s="523" t="s">
        <v>203</v>
      </c>
      <c r="AG352" s="524" t="s">
        <v>1554</v>
      </c>
      <c r="AH352" s="9"/>
      <c r="AI352" s="10"/>
      <c r="AJ352" s="9"/>
      <c r="AK352" s="10"/>
      <c r="AL352" s="10"/>
    </row>
    <row r="353" spans="1:38" ht="33.75" hidden="1">
      <c r="A353" s="1">
        <f t="shared" si="46"/>
        <v>0</v>
      </c>
      <c r="B353" s="2" t="s">
        <v>1579</v>
      </c>
      <c r="C353" s="3" t="s">
        <v>1580</v>
      </c>
      <c r="D353" s="15" t="s">
        <v>11468</v>
      </c>
      <c r="E353" s="4" t="s">
        <v>1579</v>
      </c>
      <c r="F353" s="37" t="s">
        <v>1580</v>
      </c>
      <c r="G353" s="38">
        <v>0</v>
      </c>
      <c r="H353" s="38">
        <v>0</v>
      </c>
      <c r="I353" s="15"/>
      <c r="J353" s="494">
        <v>10202111015</v>
      </c>
      <c r="K353" s="523" t="s">
        <v>1422</v>
      </c>
      <c r="L353" s="523" t="s">
        <v>13416</v>
      </c>
      <c r="M353" s="523" t="s">
        <v>203</v>
      </c>
      <c r="N353" s="518" t="s">
        <v>1554</v>
      </c>
      <c r="O353" s="523">
        <v>1</v>
      </c>
      <c r="P353" s="523" t="s">
        <v>647</v>
      </c>
      <c r="Q353" s="523" t="s">
        <v>647</v>
      </c>
      <c r="R353" s="523" t="s">
        <v>1229</v>
      </c>
      <c r="S353" s="523" t="s">
        <v>1225</v>
      </c>
      <c r="T353" s="518" t="s">
        <v>1553</v>
      </c>
      <c r="U353" s="38">
        <v>0</v>
      </c>
      <c r="V353" s="15" t="str">
        <f t="shared" si="45"/>
        <v>102021110</v>
      </c>
      <c r="W353" s="39">
        <v>1</v>
      </c>
      <c r="X353" s="40" t="s">
        <v>647</v>
      </c>
      <c r="Y353" s="40" t="s">
        <v>647</v>
      </c>
      <c r="Z353" s="40" t="s">
        <v>1229</v>
      </c>
      <c r="AA353" s="40" t="s">
        <v>1225</v>
      </c>
      <c r="AB353" s="41" t="s">
        <v>1553</v>
      </c>
      <c r="AC353" s="10"/>
      <c r="AD353" s="523" t="s">
        <v>1422</v>
      </c>
      <c r="AE353" s="523" t="s">
        <v>13416</v>
      </c>
      <c r="AF353" s="523" t="s">
        <v>203</v>
      </c>
      <c r="AG353" s="524" t="s">
        <v>1554</v>
      </c>
      <c r="AH353" s="9"/>
      <c r="AI353" s="10"/>
      <c r="AJ353" s="9"/>
      <c r="AK353" s="10"/>
      <c r="AL353" s="10"/>
    </row>
    <row r="354" spans="1:38" ht="45" hidden="1">
      <c r="A354" s="1">
        <f t="shared" si="46"/>
        <v>0</v>
      </c>
      <c r="B354" s="2" t="s">
        <v>1581</v>
      </c>
      <c r="C354" s="3" t="s">
        <v>1582</v>
      </c>
      <c r="D354" s="15" t="s">
        <v>11468</v>
      </c>
      <c r="E354" s="4" t="s">
        <v>1581</v>
      </c>
      <c r="F354" s="37" t="s">
        <v>1582</v>
      </c>
      <c r="G354" s="38">
        <v>0</v>
      </c>
      <c r="H354" s="38">
        <v>0</v>
      </c>
      <c r="I354" s="15"/>
      <c r="J354" s="494">
        <v>10202111016</v>
      </c>
      <c r="K354" s="523" t="s">
        <v>1422</v>
      </c>
      <c r="L354" s="523" t="s">
        <v>13416</v>
      </c>
      <c r="M354" s="523" t="s">
        <v>203</v>
      </c>
      <c r="N354" s="518" t="s">
        <v>1554</v>
      </c>
      <c r="O354" s="523">
        <v>1</v>
      </c>
      <c r="P354" s="523" t="s">
        <v>647</v>
      </c>
      <c r="Q354" s="523" t="s">
        <v>647</v>
      </c>
      <c r="R354" s="523" t="s">
        <v>1229</v>
      </c>
      <c r="S354" s="523" t="s">
        <v>1225</v>
      </c>
      <c r="T354" s="518" t="s">
        <v>1553</v>
      </c>
      <c r="U354" s="38">
        <v>0</v>
      </c>
      <c r="V354" s="15" t="str">
        <f t="shared" si="45"/>
        <v>102021110</v>
      </c>
      <c r="W354" s="39">
        <v>1</v>
      </c>
      <c r="X354" s="40" t="s">
        <v>647</v>
      </c>
      <c r="Y354" s="40" t="s">
        <v>647</v>
      </c>
      <c r="Z354" s="40" t="s">
        <v>1229</v>
      </c>
      <c r="AA354" s="40" t="s">
        <v>1225</v>
      </c>
      <c r="AB354" s="41" t="s">
        <v>1553</v>
      </c>
      <c r="AC354" s="10"/>
      <c r="AD354" s="523" t="s">
        <v>1422</v>
      </c>
      <c r="AE354" s="523" t="s">
        <v>13416</v>
      </c>
      <c r="AF354" s="523" t="s">
        <v>203</v>
      </c>
      <c r="AG354" s="524" t="s">
        <v>1554</v>
      </c>
      <c r="AH354" s="9"/>
      <c r="AI354" s="10"/>
      <c r="AJ354" s="9"/>
      <c r="AK354" s="10"/>
      <c r="AL354" s="10"/>
    </row>
    <row r="355" spans="1:38" ht="45" hidden="1">
      <c r="A355" s="1">
        <f t="shared" si="46"/>
        <v>0</v>
      </c>
      <c r="B355" s="2" t="s">
        <v>1583</v>
      </c>
      <c r="C355" s="3" t="s">
        <v>1584</v>
      </c>
      <c r="D355" s="15" t="s">
        <v>11468</v>
      </c>
      <c r="E355" s="4" t="s">
        <v>1583</v>
      </c>
      <c r="F355" s="37" t="s">
        <v>1584</v>
      </c>
      <c r="G355" s="38">
        <v>0</v>
      </c>
      <c r="H355" s="38">
        <v>0</v>
      </c>
      <c r="I355" s="15"/>
      <c r="J355" s="494">
        <v>10202111017</v>
      </c>
      <c r="K355" s="523" t="s">
        <v>1422</v>
      </c>
      <c r="L355" s="523" t="s">
        <v>13416</v>
      </c>
      <c r="M355" s="523" t="s">
        <v>203</v>
      </c>
      <c r="N355" s="518" t="s">
        <v>1554</v>
      </c>
      <c r="O355" s="523">
        <v>1</v>
      </c>
      <c r="P355" s="523" t="s">
        <v>647</v>
      </c>
      <c r="Q355" s="523" t="s">
        <v>647</v>
      </c>
      <c r="R355" s="523" t="s">
        <v>1229</v>
      </c>
      <c r="S355" s="523" t="s">
        <v>1225</v>
      </c>
      <c r="T355" s="518" t="s">
        <v>1553</v>
      </c>
      <c r="U355" s="38">
        <v>0</v>
      </c>
      <c r="V355" s="15" t="str">
        <f t="shared" si="45"/>
        <v>102021110</v>
      </c>
      <c r="W355" s="39">
        <v>1</v>
      </c>
      <c r="X355" s="40" t="s">
        <v>647</v>
      </c>
      <c r="Y355" s="40" t="s">
        <v>647</v>
      </c>
      <c r="Z355" s="40" t="s">
        <v>1229</v>
      </c>
      <c r="AA355" s="40" t="s">
        <v>1225</v>
      </c>
      <c r="AB355" s="41" t="s">
        <v>1553</v>
      </c>
      <c r="AC355" s="10"/>
      <c r="AD355" s="523" t="s">
        <v>1422</v>
      </c>
      <c r="AE355" s="523" t="s">
        <v>13416</v>
      </c>
      <c r="AF355" s="523" t="s">
        <v>203</v>
      </c>
      <c r="AG355" s="524" t="s">
        <v>1554</v>
      </c>
      <c r="AH355" s="9"/>
      <c r="AI355" s="10"/>
      <c r="AJ355" s="9"/>
      <c r="AK355" s="10"/>
      <c r="AL355" s="10"/>
    </row>
    <row r="356" spans="1:38" ht="33.75" hidden="1">
      <c r="A356" s="1">
        <f t="shared" si="46"/>
        <v>0</v>
      </c>
      <c r="B356" s="2" t="s">
        <v>1585</v>
      </c>
      <c r="C356" s="3" t="s">
        <v>1586</v>
      </c>
      <c r="D356" s="15" t="s">
        <v>11468</v>
      </c>
      <c r="E356" s="4" t="s">
        <v>1585</v>
      </c>
      <c r="F356" s="37" t="s">
        <v>1586</v>
      </c>
      <c r="G356" s="38">
        <v>0</v>
      </c>
      <c r="H356" s="38">
        <v>0</v>
      </c>
      <c r="I356" s="15"/>
      <c r="J356" s="494">
        <v>10202111018</v>
      </c>
      <c r="K356" s="523" t="s">
        <v>1422</v>
      </c>
      <c r="L356" s="523" t="s">
        <v>13416</v>
      </c>
      <c r="M356" s="523" t="s">
        <v>203</v>
      </c>
      <c r="N356" s="518" t="s">
        <v>1554</v>
      </c>
      <c r="O356" s="523">
        <v>1</v>
      </c>
      <c r="P356" s="523" t="s">
        <v>647</v>
      </c>
      <c r="Q356" s="523" t="s">
        <v>647</v>
      </c>
      <c r="R356" s="523" t="s">
        <v>1229</v>
      </c>
      <c r="S356" s="523" t="s">
        <v>1225</v>
      </c>
      <c r="T356" s="518" t="s">
        <v>1553</v>
      </c>
      <c r="U356" s="38">
        <v>0</v>
      </c>
      <c r="V356" s="15" t="str">
        <f t="shared" si="45"/>
        <v>102021110</v>
      </c>
      <c r="W356" s="39">
        <v>1</v>
      </c>
      <c r="X356" s="40" t="s">
        <v>647</v>
      </c>
      <c r="Y356" s="40" t="s">
        <v>647</v>
      </c>
      <c r="Z356" s="40" t="s">
        <v>1229</v>
      </c>
      <c r="AA356" s="40" t="s">
        <v>1225</v>
      </c>
      <c r="AB356" s="41" t="s">
        <v>1553</v>
      </c>
      <c r="AC356" s="10"/>
      <c r="AD356" s="523" t="s">
        <v>1422</v>
      </c>
      <c r="AE356" s="523" t="s">
        <v>13416</v>
      </c>
      <c r="AF356" s="523" t="s">
        <v>203</v>
      </c>
      <c r="AG356" s="524" t="s">
        <v>1554</v>
      </c>
      <c r="AH356" s="9"/>
      <c r="AI356" s="10"/>
      <c r="AJ356" s="9"/>
      <c r="AK356" s="10"/>
      <c r="AL356" s="10"/>
    </row>
    <row r="357" spans="1:38" ht="33.75" hidden="1">
      <c r="A357" s="1">
        <f t="shared" si="46"/>
        <v>0</v>
      </c>
      <c r="B357" s="2" t="s">
        <v>1587</v>
      </c>
      <c r="C357" s="3" t="s">
        <v>1588</v>
      </c>
      <c r="D357" s="15" t="s">
        <v>11468</v>
      </c>
      <c r="E357" s="4" t="s">
        <v>1587</v>
      </c>
      <c r="F357" s="37" t="s">
        <v>1588</v>
      </c>
      <c r="G357" s="38">
        <v>0</v>
      </c>
      <c r="H357" s="38">
        <v>0</v>
      </c>
      <c r="I357" s="15"/>
      <c r="J357" s="494">
        <v>10202111019</v>
      </c>
      <c r="K357" s="523" t="s">
        <v>1422</v>
      </c>
      <c r="L357" s="523" t="s">
        <v>13416</v>
      </c>
      <c r="M357" s="523" t="s">
        <v>203</v>
      </c>
      <c r="N357" s="518" t="s">
        <v>1554</v>
      </c>
      <c r="O357" s="523">
        <v>1</v>
      </c>
      <c r="P357" s="523" t="s">
        <v>647</v>
      </c>
      <c r="Q357" s="523" t="s">
        <v>647</v>
      </c>
      <c r="R357" s="523" t="s">
        <v>1229</v>
      </c>
      <c r="S357" s="523" t="s">
        <v>1225</v>
      </c>
      <c r="T357" s="518" t="s">
        <v>1553</v>
      </c>
      <c r="U357" s="38">
        <v>0</v>
      </c>
      <c r="V357" s="15" t="str">
        <f t="shared" si="45"/>
        <v>102021110</v>
      </c>
      <c r="W357" s="39">
        <v>1</v>
      </c>
      <c r="X357" s="40" t="s">
        <v>647</v>
      </c>
      <c r="Y357" s="40" t="s">
        <v>647</v>
      </c>
      <c r="Z357" s="40" t="s">
        <v>1229</v>
      </c>
      <c r="AA357" s="40" t="s">
        <v>1225</v>
      </c>
      <c r="AB357" s="41" t="s">
        <v>1553</v>
      </c>
      <c r="AC357" s="9"/>
      <c r="AD357" s="523" t="s">
        <v>1422</v>
      </c>
      <c r="AE357" s="523" t="s">
        <v>13416</v>
      </c>
      <c r="AF357" s="523" t="s">
        <v>203</v>
      </c>
      <c r="AG357" s="524" t="s">
        <v>1554</v>
      </c>
      <c r="AH357" s="9"/>
      <c r="AI357" s="10"/>
      <c r="AJ357" s="9"/>
      <c r="AK357" s="10"/>
      <c r="AL357" s="10"/>
    </row>
    <row r="358" spans="1:38" ht="33.75" hidden="1">
      <c r="A358" s="1">
        <f t="shared" si="46"/>
        <v>0</v>
      </c>
      <c r="B358" s="2" t="s">
        <v>1589</v>
      </c>
      <c r="C358" s="3" t="s">
        <v>1590</v>
      </c>
      <c r="D358" s="15" t="s">
        <v>11468</v>
      </c>
      <c r="E358" s="4" t="s">
        <v>1589</v>
      </c>
      <c r="F358" s="37" t="s">
        <v>1590</v>
      </c>
      <c r="G358" s="38">
        <v>0</v>
      </c>
      <c r="H358" s="38">
        <v>0</v>
      </c>
      <c r="I358" s="15"/>
      <c r="J358" s="494">
        <v>10202111020</v>
      </c>
      <c r="K358" s="523" t="s">
        <v>1422</v>
      </c>
      <c r="L358" s="523" t="s">
        <v>13416</v>
      </c>
      <c r="M358" s="523" t="s">
        <v>203</v>
      </c>
      <c r="N358" s="518" t="s">
        <v>1554</v>
      </c>
      <c r="O358" s="523">
        <v>1</v>
      </c>
      <c r="P358" s="523" t="s">
        <v>647</v>
      </c>
      <c r="Q358" s="523" t="s">
        <v>647</v>
      </c>
      <c r="R358" s="523" t="s">
        <v>1229</v>
      </c>
      <c r="S358" s="523" t="s">
        <v>1225</v>
      </c>
      <c r="T358" s="518" t="s">
        <v>1553</v>
      </c>
      <c r="U358" s="38">
        <v>0</v>
      </c>
      <c r="V358" s="15" t="str">
        <f t="shared" si="45"/>
        <v>102021110</v>
      </c>
      <c r="W358" s="39">
        <v>1</v>
      </c>
      <c r="X358" s="40" t="s">
        <v>647</v>
      </c>
      <c r="Y358" s="40" t="s">
        <v>647</v>
      </c>
      <c r="Z358" s="40" t="s">
        <v>1229</v>
      </c>
      <c r="AA358" s="40" t="s">
        <v>1225</v>
      </c>
      <c r="AB358" s="41" t="s">
        <v>1553</v>
      </c>
      <c r="AC358" s="9"/>
      <c r="AD358" s="523" t="s">
        <v>1422</v>
      </c>
      <c r="AE358" s="523" t="s">
        <v>13416</v>
      </c>
      <c r="AF358" s="523" t="s">
        <v>203</v>
      </c>
      <c r="AG358" s="524" t="s">
        <v>1554</v>
      </c>
      <c r="AH358" s="9"/>
      <c r="AI358" s="10"/>
      <c r="AJ358" s="9"/>
      <c r="AK358" s="10"/>
      <c r="AL358" s="10"/>
    </row>
    <row r="359" spans="1:38" ht="33.75" hidden="1">
      <c r="A359" s="1">
        <f t="shared" si="46"/>
        <v>0</v>
      </c>
      <c r="B359" s="2" t="s">
        <v>1591</v>
      </c>
      <c r="C359" s="3" t="s">
        <v>1592</v>
      </c>
      <c r="D359" s="15" t="s">
        <v>11468</v>
      </c>
      <c r="E359" s="4" t="s">
        <v>1591</v>
      </c>
      <c r="F359" s="37" t="s">
        <v>1592</v>
      </c>
      <c r="G359" s="38">
        <v>0</v>
      </c>
      <c r="H359" s="38">
        <v>0</v>
      </c>
      <c r="I359" s="15"/>
      <c r="J359" s="494">
        <v>10202111021</v>
      </c>
      <c r="K359" s="523" t="s">
        <v>1422</v>
      </c>
      <c r="L359" s="523" t="s">
        <v>13416</v>
      </c>
      <c r="M359" s="523" t="s">
        <v>203</v>
      </c>
      <c r="N359" s="518" t="s">
        <v>1554</v>
      </c>
      <c r="O359" s="523">
        <v>1</v>
      </c>
      <c r="P359" s="523" t="s">
        <v>647</v>
      </c>
      <c r="Q359" s="523" t="s">
        <v>647</v>
      </c>
      <c r="R359" s="523" t="s">
        <v>1229</v>
      </c>
      <c r="S359" s="523" t="s">
        <v>1225</v>
      </c>
      <c r="T359" s="518" t="s">
        <v>1553</v>
      </c>
      <c r="U359" s="38">
        <v>0</v>
      </c>
      <c r="V359" s="15" t="str">
        <f t="shared" si="45"/>
        <v>102021110</v>
      </c>
      <c r="W359" s="39">
        <v>1</v>
      </c>
      <c r="X359" s="40" t="s">
        <v>647</v>
      </c>
      <c r="Y359" s="40" t="s">
        <v>647</v>
      </c>
      <c r="Z359" s="40" t="s">
        <v>1229</v>
      </c>
      <c r="AA359" s="40" t="s">
        <v>1225</v>
      </c>
      <c r="AB359" s="41" t="s">
        <v>1553</v>
      </c>
      <c r="AC359" s="9"/>
      <c r="AD359" s="523" t="s">
        <v>1422</v>
      </c>
      <c r="AE359" s="523" t="s">
        <v>13416</v>
      </c>
      <c r="AF359" s="523" t="s">
        <v>203</v>
      </c>
      <c r="AG359" s="524" t="s">
        <v>1554</v>
      </c>
      <c r="AH359" s="9"/>
      <c r="AI359" s="10"/>
      <c r="AJ359" s="9"/>
      <c r="AK359" s="10"/>
      <c r="AL359" s="10"/>
    </row>
    <row r="360" spans="1:38" ht="33.75" hidden="1">
      <c r="A360" s="1">
        <f t="shared" si="46"/>
        <v>0</v>
      </c>
      <c r="B360" s="2" t="s">
        <v>1593</v>
      </c>
      <c r="C360" s="3" t="s">
        <v>1594</v>
      </c>
      <c r="D360" s="15" t="s">
        <v>11468</v>
      </c>
      <c r="E360" s="4" t="s">
        <v>1593</v>
      </c>
      <c r="F360" s="37" t="s">
        <v>1594</v>
      </c>
      <c r="G360" s="38">
        <v>0</v>
      </c>
      <c r="H360" s="38">
        <v>0</v>
      </c>
      <c r="I360" s="15"/>
      <c r="J360" s="494">
        <v>10202111022</v>
      </c>
      <c r="K360" s="523" t="s">
        <v>1422</v>
      </c>
      <c r="L360" s="523" t="s">
        <v>13416</v>
      </c>
      <c r="M360" s="523" t="s">
        <v>203</v>
      </c>
      <c r="N360" s="518" t="s">
        <v>1554</v>
      </c>
      <c r="O360" s="523">
        <v>1</v>
      </c>
      <c r="P360" s="523" t="s">
        <v>647</v>
      </c>
      <c r="Q360" s="523" t="s">
        <v>647</v>
      </c>
      <c r="R360" s="523" t="s">
        <v>1229</v>
      </c>
      <c r="S360" s="523" t="s">
        <v>1225</v>
      </c>
      <c r="T360" s="518" t="s">
        <v>1553</v>
      </c>
      <c r="U360" s="38">
        <v>0</v>
      </c>
      <c r="V360" s="15" t="str">
        <f t="shared" si="45"/>
        <v>102021110</v>
      </c>
      <c r="W360" s="39">
        <v>1</v>
      </c>
      <c r="X360" s="40" t="s">
        <v>647</v>
      </c>
      <c r="Y360" s="40" t="s">
        <v>647</v>
      </c>
      <c r="Z360" s="40" t="s">
        <v>1229</v>
      </c>
      <c r="AA360" s="40" t="s">
        <v>1225</v>
      </c>
      <c r="AB360" s="41" t="s">
        <v>1553</v>
      </c>
      <c r="AC360" s="9"/>
      <c r="AD360" s="523" t="s">
        <v>1422</v>
      </c>
      <c r="AE360" s="523" t="s">
        <v>13416</v>
      </c>
      <c r="AF360" s="523" t="s">
        <v>203</v>
      </c>
      <c r="AG360" s="524" t="s">
        <v>1554</v>
      </c>
      <c r="AH360" s="9"/>
      <c r="AI360" s="10"/>
      <c r="AJ360" s="9"/>
      <c r="AK360" s="10"/>
      <c r="AL360" s="10"/>
    </row>
    <row r="361" spans="1:38" ht="33.75" hidden="1">
      <c r="A361" s="1">
        <f t="shared" si="46"/>
        <v>0</v>
      </c>
      <c r="B361" s="2" t="s">
        <v>1595</v>
      </c>
      <c r="C361" s="3" t="s">
        <v>1596</v>
      </c>
      <c r="D361" s="15" t="s">
        <v>11468</v>
      </c>
      <c r="E361" s="4" t="s">
        <v>1595</v>
      </c>
      <c r="F361" s="37" t="s">
        <v>1596</v>
      </c>
      <c r="G361" s="38">
        <v>0</v>
      </c>
      <c r="H361" s="38">
        <v>0</v>
      </c>
      <c r="I361" s="15"/>
      <c r="J361" s="494">
        <v>10202111023</v>
      </c>
      <c r="K361" s="523" t="s">
        <v>1422</v>
      </c>
      <c r="L361" s="523" t="s">
        <v>13416</v>
      </c>
      <c r="M361" s="523" t="s">
        <v>203</v>
      </c>
      <c r="N361" s="518" t="s">
        <v>1554</v>
      </c>
      <c r="O361" s="523">
        <v>1</v>
      </c>
      <c r="P361" s="523" t="s">
        <v>647</v>
      </c>
      <c r="Q361" s="523" t="s">
        <v>647</v>
      </c>
      <c r="R361" s="523" t="s">
        <v>1229</v>
      </c>
      <c r="S361" s="523" t="s">
        <v>1225</v>
      </c>
      <c r="T361" s="518" t="s">
        <v>1553</v>
      </c>
      <c r="U361" s="38">
        <v>0</v>
      </c>
      <c r="V361" s="15" t="str">
        <f t="shared" si="45"/>
        <v>102021110</v>
      </c>
      <c r="W361" s="39">
        <v>1</v>
      </c>
      <c r="X361" s="40" t="s">
        <v>647</v>
      </c>
      <c r="Y361" s="40" t="s">
        <v>647</v>
      </c>
      <c r="Z361" s="40" t="s">
        <v>1229</v>
      </c>
      <c r="AA361" s="40" t="s">
        <v>1225</v>
      </c>
      <c r="AB361" s="41" t="s">
        <v>1553</v>
      </c>
      <c r="AC361" s="9"/>
      <c r="AD361" s="523" t="s">
        <v>1422</v>
      </c>
      <c r="AE361" s="523" t="s">
        <v>13416</v>
      </c>
      <c r="AF361" s="523" t="s">
        <v>203</v>
      </c>
      <c r="AG361" s="524" t="s">
        <v>1554</v>
      </c>
      <c r="AH361" s="9"/>
      <c r="AI361" s="10"/>
      <c r="AJ361" s="9"/>
      <c r="AK361" s="10"/>
      <c r="AL361" s="10"/>
    </row>
    <row r="362" spans="1:38" ht="33.75" hidden="1">
      <c r="A362" s="1">
        <f t="shared" si="46"/>
        <v>0</v>
      </c>
      <c r="B362" s="2" t="s">
        <v>1597</v>
      </c>
      <c r="C362" s="3" t="s">
        <v>1598</v>
      </c>
      <c r="D362" s="15" t="s">
        <v>11468</v>
      </c>
      <c r="E362" s="4" t="s">
        <v>1597</v>
      </c>
      <c r="F362" s="37" t="s">
        <v>1598</v>
      </c>
      <c r="G362" s="38">
        <v>0</v>
      </c>
      <c r="H362" s="38">
        <v>0</v>
      </c>
      <c r="I362" s="15"/>
      <c r="J362" s="494">
        <v>10202111024</v>
      </c>
      <c r="K362" s="523" t="s">
        <v>1422</v>
      </c>
      <c r="L362" s="523" t="s">
        <v>13416</v>
      </c>
      <c r="M362" s="523" t="s">
        <v>203</v>
      </c>
      <c r="N362" s="518" t="s">
        <v>1554</v>
      </c>
      <c r="O362" s="523">
        <v>1</v>
      </c>
      <c r="P362" s="523" t="s">
        <v>647</v>
      </c>
      <c r="Q362" s="523" t="s">
        <v>647</v>
      </c>
      <c r="R362" s="523" t="s">
        <v>1229</v>
      </c>
      <c r="S362" s="523" t="s">
        <v>1225</v>
      </c>
      <c r="T362" s="518" t="s">
        <v>1553</v>
      </c>
      <c r="U362" s="38">
        <v>0</v>
      </c>
      <c r="V362" s="15" t="str">
        <f t="shared" si="45"/>
        <v>102021110</v>
      </c>
      <c r="W362" s="39">
        <v>1</v>
      </c>
      <c r="X362" s="40" t="s">
        <v>647</v>
      </c>
      <c r="Y362" s="40" t="s">
        <v>647</v>
      </c>
      <c r="Z362" s="40" t="s">
        <v>1229</v>
      </c>
      <c r="AA362" s="40" t="s">
        <v>1225</v>
      </c>
      <c r="AB362" s="41" t="s">
        <v>1553</v>
      </c>
      <c r="AC362" s="9"/>
      <c r="AD362" s="523" t="s">
        <v>1422</v>
      </c>
      <c r="AE362" s="523" t="s">
        <v>13416</v>
      </c>
      <c r="AF362" s="523" t="s">
        <v>203</v>
      </c>
      <c r="AG362" s="524" t="s">
        <v>1554</v>
      </c>
      <c r="AH362" s="9"/>
      <c r="AI362" s="10"/>
      <c r="AJ362" s="9"/>
      <c r="AK362" s="10"/>
      <c r="AL362" s="10"/>
    </row>
    <row r="363" spans="1:38" ht="33.75" hidden="1">
      <c r="A363" s="1">
        <f t="shared" si="46"/>
        <v>0</v>
      </c>
      <c r="B363" s="2" t="s">
        <v>1599</v>
      </c>
      <c r="C363" s="3" t="s">
        <v>1453</v>
      </c>
      <c r="D363" s="15" t="s">
        <v>11468</v>
      </c>
      <c r="E363" s="4" t="s">
        <v>1599</v>
      </c>
      <c r="F363" s="37" t="s">
        <v>1453</v>
      </c>
      <c r="G363" s="38">
        <v>0</v>
      </c>
      <c r="H363" s="38">
        <v>0</v>
      </c>
      <c r="I363" s="15"/>
      <c r="J363" s="494">
        <v>10202111025</v>
      </c>
      <c r="K363" s="523" t="s">
        <v>1422</v>
      </c>
      <c r="L363" s="523" t="s">
        <v>13416</v>
      </c>
      <c r="M363" s="523" t="s">
        <v>203</v>
      </c>
      <c r="N363" s="518" t="s">
        <v>1554</v>
      </c>
      <c r="O363" s="523">
        <v>1</v>
      </c>
      <c r="P363" s="523" t="s">
        <v>647</v>
      </c>
      <c r="Q363" s="523" t="s">
        <v>647</v>
      </c>
      <c r="R363" s="523" t="s">
        <v>1229</v>
      </c>
      <c r="S363" s="523" t="s">
        <v>1225</v>
      </c>
      <c r="T363" s="518" t="s">
        <v>1553</v>
      </c>
      <c r="U363" s="38">
        <v>0</v>
      </c>
      <c r="V363" s="15" t="str">
        <f t="shared" si="45"/>
        <v>102021110</v>
      </c>
      <c r="W363" s="39">
        <v>1</v>
      </c>
      <c r="X363" s="40" t="s">
        <v>647</v>
      </c>
      <c r="Y363" s="40" t="s">
        <v>647</v>
      </c>
      <c r="Z363" s="40" t="s">
        <v>1229</v>
      </c>
      <c r="AA363" s="40" t="s">
        <v>1225</v>
      </c>
      <c r="AB363" s="41" t="s">
        <v>1553</v>
      </c>
      <c r="AC363" s="9"/>
      <c r="AD363" s="523" t="s">
        <v>1422</v>
      </c>
      <c r="AE363" s="523" t="s">
        <v>13416</v>
      </c>
      <c r="AF363" s="523" t="s">
        <v>203</v>
      </c>
      <c r="AG363" s="524" t="s">
        <v>1554</v>
      </c>
      <c r="AH363" s="9"/>
      <c r="AI363" s="10"/>
      <c r="AJ363" s="9"/>
      <c r="AK363" s="10"/>
      <c r="AL363" s="10"/>
    </row>
    <row r="364" spans="1:38" ht="33.75" hidden="1">
      <c r="A364" s="1">
        <f t="shared" si="46"/>
        <v>0</v>
      </c>
      <c r="B364" s="2" t="s">
        <v>1600</v>
      </c>
      <c r="C364" s="3" t="s">
        <v>1455</v>
      </c>
      <c r="D364" s="15" t="s">
        <v>11468</v>
      </c>
      <c r="E364" s="4" t="s">
        <v>1600</v>
      </c>
      <c r="F364" s="37" t="s">
        <v>1455</v>
      </c>
      <c r="G364" s="38">
        <v>0</v>
      </c>
      <c r="H364" s="38">
        <v>0</v>
      </c>
      <c r="I364" s="15"/>
      <c r="J364" s="494">
        <v>10202111026</v>
      </c>
      <c r="K364" s="523" t="s">
        <v>1422</v>
      </c>
      <c r="L364" s="523" t="s">
        <v>13416</v>
      </c>
      <c r="M364" s="523" t="s">
        <v>203</v>
      </c>
      <c r="N364" s="518" t="s">
        <v>1554</v>
      </c>
      <c r="O364" s="523">
        <v>1</v>
      </c>
      <c r="P364" s="523" t="s">
        <v>647</v>
      </c>
      <c r="Q364" s="523" t="s">
        <v>647</v>
      </c>
      <c r="R364" s="523" t="s">
        <v>1229</v>
      </c>
      <c r="S364" s="523" t="s">
        <v>1225</v>
      </c>
      <c r="T364" s="518" t="s">
        <v>1553</v>
      </c>
      <c r="U364" s="38">
        <v>0</v>
      </c>
      <c r="V364" s="15" t="str">
        <f t="shared" si="45"/>
        <v>102021110</v>
      </c>
      <c r="W364" s="39">
        <v>1</v>
      </c>
      <c r="X364" s="40" t="s">
        <v>647</v>
      </c>
      <c r="Y364" s="40" t="s">
        <v>647</v>
      </c>
      <c r="Z364" s="40" t="s">
        <v>1229</v>
      </c>
      <c r="AA364" s="40" t="s">
        <v>1225</v>
      </c>
      <c r="AB364" s="41" t="s">
        <v>1553</v>
      </c>
      <c r="AC364" s="9"/>
      <c r="AD364" s="523" t="s">
        <v>1422</v>
      </c>
      <c r="AE364" s="523" t="s">
        <v>13416</v>
      </c>
      <c r="AF364" s="523" t="s">
        <v>203</v>
      </c>
      <c r="AG364" s="524" t="s">
        <v>1554</v>
      </c>
      <c r="AH364" s="9"/>
      <c r="AI364" s="10"/>
      <c r="AJ364" s="9"/>
      <c r="AK364" s="10"/>
      <c r="AL364" s="10"/>
    </row>
    <row r="365" spans="1:38" ht="33.75" hidden="1">
      <c r="A365" s="1">
        <f t="shared" si="46"/>
        <v>0</v>
      </c>
      <c r="B365" s="2" t="s">
        <v>1601</v>
      </c>
      <c r="C365" s="3" t="s">
        <v>1602</v>
      </c>
      <c r="D365" s="15" t="s">
        <v>11468</v>
      </c>
      <c r="E365" s="4" t="s">
        <v>1601</v>
      </c>
      <c r="F365" s="37" t="s">
        <v>1602</v>
      </c>
      <c r="G365" s="38">
        <v>0</v>
      </c>
      <c r="H365" s="38">
        <v>0</v>
      </c>
      <c r="I365" s="15"/>
      <c r="J365" s="494">
        <v>10202111027</v>
      </c>
      <c r="K365" s="523" t="s">
        <v>1422</v>
      </c>
      <c r="L365" s="523" t="s">
        <v>13416</v>
      </c>
      <c r="M365" s="523" t="s">
        <v>203</v>
      </c>
      <c r="N365" s="518" t="s">
        <v>1554</v>
      </c>
      <c r="O365" s="523">
        <v>1</v>
      </c>
      <c r="P365" s="523" t="s">
        <v>647</v>
      </c>
      <c r="Q365" s="523" t="s">
        <v>647</v>
      </c>
      <c r="R365" s="523" t="s">
        <v>1229</v>
      </c>
      <c r="S365" s="523" t="s">
        <v>1225</v>
      </c>
      <c r="T365" s="518" t="s">
        <v>1553</v>
      </c>
      <c r="U365" s="38">
        <v>0</v>
      </c>
      <c r="V365" s="15" t="str">
        <f t="shared" si="45"/>
        <v>102021110</v>
      </c>
      <c r="W365" s="39">
        <v>1</v>
      </c>
      <c r="X365" s="40" t="s">
        <v>647</v>
      </c>
      <c r="Y365" s="40" t="s">
        <v>647</v>
      </c>
      <c r="Z365" s="40" t="s">
        <v>1229</v>
      </c>
      <c r="AA365" s="40" t="s">
        <v>1225</v>
      </c>
      <c r="AB365" s="41" t="s">
        <v>1553</v>
      </c>
      <c r="AC365" s="9"/>
      <c r="AD365" s="523" t="s">
        <v>1422</v>
      </c>
      <c r="AE365" s="523" t="s">
        <v>13416</v>
      </c>
      <c r="AF365" s="523" t="s">
        <v>203</v>
      </c>
      <c r="AG365" s="524" t="s">
        <v>1554</v>
      </c>
      <c r="AH365" s="9"/>
      <c r="AI365" s="10"/>
      <c r="AJ365" s="9"/>
      <c r="AK365" s="10"/>
      <c r="AL365" s="10"/>
    </row>
    <row r="366" spans="1:38" ht="33.75" hidden="1">
      <c r="A366" s="1">
        <f t="shared" si="46"/>
        <v>0</v>
      </c>
      <c r="B366" s="2" t="s">
        <v>1603</v>
      </c>
      <c r="C366" s="3" t="s">
        <v>1604</v>
      </c>
      <c r="D366" s="15" t="s">
        <v>11468</v>
      </c>
      <c r="E366" s="4" t="s">
        <v>1603</v>
      </c>
      <c r="F366" s="37" t="s">
        <v>1604</v>
      </c>
      <c r="G366" s="38">
        <v>0</v>
      </c>
      <c r="H366" s="38">
        <v>0</v>
      </c>
      <c r="I366" s="15"/>
      <c r="J366" s="494">
        <v>10202111028</v>
      </c>
      <c r="K366" s="523" t="s">
        <v>1422</v>
      </c>
      <c r="L366" s="523" t="s">
        <v>13416</v>
      </c>
      <c r="M366" s="523" t="s">
        <v>203</v>
      </c>
      <c r="N366" s="518" t="s">
        <v>1554</v>
      </c>
      <c r="O366" s="523">
        <v>1</v>
      </c>
      <c r="P366" s="523" t="s">
        <v>647</v>
      </c>
      <c r="Q366" s="523" t="s">
        <v>647</v>
      </c>
      <c r="R366" s="523" t="s">
        <v>1229</v>
      </c>
      <c r="S366" s="523" t="s">
        <v>1225</v>
      </c>
      <c r="T366" s="518" t="s">
        <v>1553</v>
      </c>
      <c r="U366" s="38">
        <v>0</v>
      </c>
      <c r="V366" s="15" t="str">
        <f t="shared" si="45"/>
        <v>102021110</v>
      </c>
      <c r="W366" s="39">
        <v>1</v>
      </c>
      <c r="X366" s="40" t="s">
        <v>647</v>
      </c>
      <c r="Y366" s="40" t="s">
        <v>647</v>
      </c>
      <c r="Z366" s="40" t="s">
        <v>1229</v>
      </c>
      <c r="AA366" s="40" t="s">
        <v>1225</v>
      </c>
      <c r="AB366" s="41" t="s">
        <v>1553</v>
      </c>
      <c r="AC366" s="9"/>
      <c r="AD366" s="523" t="s">
        <v>1422</v>
      </c>
      <c r="AE366" s="523" t="s">
        <v>13416</v>
      </c>
      <c r="AF366" s="523" t="s">
        <v>203</v>
      </c>
      <c r="AG366" s="524" t="s">
        <v>1554</v>
      </c>
      <c r="AH366" s="9"/>
      <c r="AI366" s="10"/>
      <c r="AJ366" s="9"/>
      <c r="AK366" s="10"/>
      <c r="AL366" s="10"/>
    </row>
    <row r="367" spans="1:38" ht="33.75" hidden="1">
      <c r="A367" s="1">
        <f t="shared" si="46"/>
        <v>0</v>
      </c>
      <c r="B367" s="2" t="s">
        <v>1605</v>
      </c>
      <c r="C367" s="3" t="s">
        <v>1606</v>
      </c>
      <c r="D367" s="15" t="s">
        <v>11468</v>
      </c>
      <c r="E367" s="4" t="s">
        <v>1605</v>
      </c>
      <c r="F367" s="37" t="s">
        <v>1606</v>
      </c>
      <c r="G367" s="38">
        <v>0</v>
      </c>
      <c r="H367" s="38">
        <v>0</v>
      </c>
      <c r="I367" s="15"/>
      <c r="J367" s="494">
        <v>10202111029</v>
      </c>
      <c r="K367" s="523" t="s">
        <v>1422</v>
      </c>
      <c r="L367" s="523" t="s">
        <v>13416</v>
      </c>
      <c r="M367" s="523" t="s">
        <v>203</v>
      </c>
      <c r="N367" s="518" t="s">
        <v>1554</v>
      </c>
      <c r="O367" s="523">
        <v>1</v>
      </c>
      <c r="P367" s="523" t="s">
        <v>647</v>
      </c>
      <c r="Q367" s="523" t="s">
        <v>647</v>
      </c>
      <c r="R367" s="523" t="s">
        <v>1229</v>
      </c>
      <c r="S367" s="523" t="s">
        <v>1225</v>
      </c>
      <c r="T367" s="518" t="s">
        <v>1553</v>
      </c>
      <c r="U367" s="38">
        <v>0</v>
      </c>
      <c r="V367" s="15" t="str">
        <f t="shared" si="45"/>
        <v>102021110</v>
      </c>
      <c r="W367" s="39">
        <v>1</v>
      </c>
      <c r="X367" s="40" t="s">
        <v>647</v>
      </c>
      <c r="Y367" s="40" t="s">
        <v>647</v>
      </c>
      <c r="Z367" s="40" t="s">
        <v>1229</v>
      </c>
      <c r="AA367" s="40" t="s">
        <v>1225</v>
      </c>
      <c r="AB367" s="41" t="s">
        <v>1553</v>
      </c>
      <c r="AC367" s="9"/>
      <c r="AD367" s="523" t="s">
        <v>1422</v>
      </c>
      <c r="AE367" s="523" t="s">
        <v>13416</v>
      </c>
      <c r="AF367" s="523" t="s">
        <v>203</v>
      </c>
      <c r="AG367" s="524" t="s">
        <v>1554</v>
      </c>
      <c r="AH367" s="9"/>
      <c r="AI367" s="10"/>
      <c r="AJ367" s="9"/>
      <c r="AK367" s="10"/>
      <c r="AL367" s="10"/>
    </row>
    <row r="368" spans="1:38" ht="33.75" hidden="1">
      <c r="A368" s="1">
        <f t="shared" si="46"/>
        <v>0</v>
      </c>
      <c r="B368" s="2" t="s">
        <v>1607</v>
      </c>
      <c r="C368" s="3" t="s">
        <v>1608</v>
      </c>
      <c r="D368" s="15" t="s">
        <v>11468</v>
      </c>
      <c r="E368" s="4" t="s">
        <v>1607</v>
      </c>
      <c r="F368" s="37" t="s">
        <v>1608</v>
      </c>
      <c r="G368" s="38">
        <v>0</v>
      </c>
      <c r="H368" s="38">
        <v>0</v>
      </c>
      <c r="I368" s="15"/>
      <c r="J368" s="494">
        <v>10202111030</v>
      </c>
      <c r="K368" s="523" t="s">
        <v>1422</v>
      </c>
      <c r="L368" s="523" t="s">
        <v>13416</v>
      </c>
      <c r="M368" s="523" t="s">
        <v>203</v>
      </c>
      <c r="N368" s="518" t="s">
        <v>1554</v>
      </c>
      <c r="O368" s="523">
        <v>1</v>
      </c>
      <c r="P368" s="523" t="s">
        <v>647</v>
      </c>
      <c r="Q368" s="523" t="s">
        <v>647</v>
      </c>
      <c r="R368" s="523" t="s">
        <v>1229</v>
      </c>
      <c r="S368" s="523" t="s">
        <v>1225</v>
      </c>
      <c r="T368" s="518" t="s">
        <v>1553</v>
      </c>
      <c r="U368" s="38">
        <v>0</v>
      </c>
      <c r="V368" s="15" t="str">
        <f t="shared" si="45"/>
        <v>102021110</v>
      </c>
      <c r="W368" s="39">
        <v>1</v>
      </c>
      <c r="X368" s="40" t="s">
        <v>647</v>
      </c>
      <c r="Y368" s="40" t="s">
        <v>647</v>
      </c>
      <c r="Z368" s="40" t="s">
        <v>1229</v>
      </c>
      <c r="AA368" s="40" t="s">
        <v>1225</v>
      </c>
      <c r="AB368" s="41" t="s">
        <v>1553</v>
      </c>
      <c r="AC368" s="9"/>
      <c r="AD368" s="523" t="s">
        <v>1422</v>
      </c>
      <c r="AE368" s="523" t="s">
        <v>13416</v>
      </c>
      <c r="AF368" s="523" t="s">
        <v>203</v>
      </c>
      <c r="AG368" s="524" t="s">
        <v>1554</v>
      </c>
      <c r="AH368" s="9"/>
      <c r="AI368" s="10"/>
      <c r="AJ368" s="9"/>
      <c r="AK368" s="10"/>
      <c r="AL368" s="10"/>
    </row>
    <row r="369" spans="1:38" ht="33.75" hidden="1">
      <c r="A369" s="1">
        <f t="shared" si="46"/>
        <v>0</v>
      </c>
      <c r="B369" s="2" t="s">
        <v>1609</v>
      </c>
      <c r="C369" s="3" t="s">
        <v>1457</v>
      </c>
      <c r="D369" s="15" t="s">
        <v>11468</v>
      </c>
      <c r="E369" s="4" t="s">
        <v>1609</v>
      </c>
      <c r="F369" s="37" t="s">
        <v>1457</v>
      </c>
      <c r="G369" s="38">
        <v>0</v>
      </c>
      <c r="H369" s="38">
        <v>0</v>
      </c>
      <c r="I369" s="15"/>
      <c r="J369" s="494">
        <v>10202111031</v>
      </c>
      <c r="K369" s="523" t="s">
        <v>1422</v>
      </c>
      <c r="L369" s="523" t="s">
        <v>13416</v>
      </c>
      <c r="M369" s="523" t="s">
        <v>203</v>
      </c>
      <c r="N369" s="518" t="s">
        <v>1554</v>
      </c>
      <c r="O369" s="523">
        <v>1</v>
      </c>
      <c r="P369" s="523" t="s">
        <v>647</v>
      </c>
      <c r="Q369" s="523" t="s">
        <v>647</v>
      </c>
      <c r="R369" s="523" t="s">
        <v>1229</v>
      </c>
      <c r="S369" s="523" t="s">
        <v>1225</v>
      </c>
      <c r="T369" s="518" t="s">
        <v>1553</v>
      </c>
      <c r="U369" s="38">
        <v>0</v>
      </c>
      <c r="V369" s="15" t="str">
        <f t="shared" si="45"/>
        <v>102021110</v>
      </c>
      <c r="W369" s="39">
        <v>1</v>
      </c>
      <c r="X369" s="40" t="s">
        <v>647</v>
      </c>
      <c r="Y369" s="40" t="s">
        <v>647</v>
      </c>
      <c r="Z369" s="40" t="s">
        <v>1229</v>
      </c>
      <c r="AA369" s="40" t="s">
        <v>1225</v>
      </c>
      <c r="AB369" s="41" t="s">
        <v>1553</v>
      </c>
      <c r="AC369" s="9"/>
      <c r="AD369" s="523" t="s">
        <v>1422</v>
      </c>
      <c r="AE369" s="523" t="s">
        <v>13416</v>
      </c>
      <c r="AF369" s="523" t="s">
        <v>203</v>
      </c>
      <c r="AG369" s="524" t="s">
        <v>1554</v>
      </c>
      <c r="AH369" s="9"/>
      <c r="AI369" s="10"/>
      <c r="AJ369" s="9"/>
      <c r="AK369" s="10"/>
      <c r="AL369" s="10"/>
    </row>
    <row r="370" spans="1:38" ht="67.5" hidden="1">
      <c r="A370" s="1">
        <f t="shared" si="46"/>
        <v>0</v>
      </c>
      <c r="B370" s="2" t="s">
        <v>1610</v>
      </c>
      <c r="C370" s="3" t="s">
        <v>1459</v>
      </c>
      <c r="D370" s="15" t="s">
        <v>11468</v>
      </c>
      <c r="E370" s="4" t="s">
        <v>1610</v>
      </c>
      <c r="F370" s="37" t="s">
        <v>1459</v>
      </c>
      <c r="G370" s="38">
        <v>0</v>
      </c>
      <c r="H370" s="38">
        <v>0</v>
      </c>
      <c r="I370" s="15"/>
      <c r="J370" s="494">
        <v>10202111032</v>
      </c>
      <c r="K370" s="523" t="s">
        <v>1422</v>
      </c>
      <c r="L370" s="523" t="s">
        <v>13416</v>
      </c>
      <c r="M370" s="523" t="s">
        <v>203</v>
      </c>
      <c r="N370" s="518" t="s">
        <v>1554</v>
      </c>
      <c r="O370" s="523">
        <v>1</v>
      </c>
      <c r="P370" s="523" t="s">
        <v>647</v>
      </c>
      <c r="Q370" s="523" t="s">
        <v>647</v>
      </c>
      <c r="R370" s="523" t="s">
        <v>1229</v>
      </c>
      <c r="S370" s="523" t="s">
        <v>1225</v>
      </c>
      <c r="T370" s="518" t="s">
        <v>1553</v>
      </c>
      <c r="U370" s="38">
        <v>0</v>
      </c>
      <c r="V370" s="15" t="str">
        <f t="shared" si="45"/>
        <v>102021110</v>
      </c>
      <c r="W370" s="39">
        <v>1</v>
      </c>
      <c r="X370" s="40" t="s">
        <v>647</v>
      </c>
      <c r="Y370" s="40" t="s">
        <v>647</v>
      </c>
      <c r="Z370" s="40" t="s">
        <v>1229</v>
      </c>
      <c r="AA370" s="40" t="s">
        <v>1225</v>
      </c>
      <c r="AB370" s="41" t="s">
        <v>1553</v>
      </c>
      <c r="AC370" s="9"/>
      <c r="AD370" s="523" t="s">
        <v>1422</v>
      </c>
      <c r="AE370" s="523" t="s">
        <v>13416</v>
      </c>
      <c r="AF370" s="523" t="s">
        <v>203</v>
      </c>
      <c r="AG370" s="524" t="s">
        <v>1554</v>
      </c>
      <c r="AH370" s="9"/>
      <c r="AI370" s="10"/>
      <c r="AJ370" s="9"/>
      <c r="AK370" s="10"/>
      <c r="AL370" s="10"/>
    </row>
    <row r="371" spans="1:38" ht="33.75" hidden="1">
      <c r="A371" s="1">
        <f t="shared" si="46"/>
        <v>0</v>
      </c>
      <c r="B371" s="2" t="s">
        <v>1611</v>
      </c>
      <c r="C371" s="3" t="s">
        <v>1612</v>
      </c>
      <c r="D371" s="15" t="s">
        <v>11468</v>
      </c>
      <c r="E371" s="4" t="s">
        <v>1611</v>
      </c>
      <c r="F371" s="37" t="s">
        <v>1612</v>
      </c>
      <c r="G371" s="38">
        <v>0</v>
      </c>
      <c r="H371" s="38">
        <v>0</v>
      </c>
      <c r="I371" s="15"/>
      <c r="J371" s="494">
        <v>10202111033</v>
      </c>
      <c r="K371" s="523" t="s">
        <v>1422</v>
      </c>
      <c r="L371" s="523" t="s">
        <v>13416</v>
      </c>
      <c r="M371" s="523" t="s">
        <v>203</v>
      </c>
      <c r="N371" s="518" t="s">
        <v>1554</v>
      </c>
      <c r="O371" s="523">
        <v>1</v>
      </c>
      <c r="P371" s="523" t="s">
        <v>647</v>
      </c>
      <c r="Q371" s="523" t="s">
        <v>647</v>
      </c>
      <c r="R371" s="523" t="s">
        <v>1229</v>
      </c>
      <c r="S371" s="523" t="s">
        <v>1225</v>
      </c>
      <c r="T371" s="518" t="s">
        <v>1553</v>
      </c>
      <c r="U371" s="38">
        <v>0</v>
      </c>
      <c r="V371" s="15" t="str">
        <f t="shared" si="45"/>
        <v>102021110</v>
      </c>
      <c r="W371" s="39">
        <v>1</v>
      </c>
      <c r="X371" s="40" t="s">
        <v>647</v>
      </c>
      <c r="Y371" s="40" t="s">
        <v>647</v>
      </c>
      <c r="Z371" s="40" t="s">
        <v>1229</v>
      </c>
      <c r="AA371" s="40" t="s">
        <v>1225</v>
      </c>
      <c r="AB371" s="41" t="s">
        <v>1553</v>
      </c>
      <c r="AC371" s="9"/>
      <c r="AD371" s="523" t="s">
        <v>1422</v>
      </c>
      <c r="AE371" s="523" t="s">
        <v>13416</v>
      </c>
      <c r="AF371" s="523" t="s">
        <v>203</v>
      </c>
      <c r="AG371" s="524" t="s">
        <v>1554</v>
      </c>
      <c r="AH371" s="9"/>
      <c r="AI371" s="10"/>
      <c r="AJ371" s="9"/>
      <c r="AK371" s="10"/>
      <c r="AL371" s="10"/>
    </row>
    <row r="372" spans="1:38" ht="33.75" hidden="1">
      <c r="A372" s="1">
        <f t="shared" si="46"/>
        <v>0</v>
      </c>
      <c r="B372" s="2" t="s">
        <v>1613</v>
      </c>
      <c r="C372" s="3" t="s">
        <v>1614</v>
      </c>
      <c r="D372" s="15" t="s">
        <v>11468</v>
      </c>
      <c r="E372" s="4" t="s">
        <v>1613</v>
      </c>
      <c r="F372" s="37" t="s">
        <v>1614</v>
      </c>
      <c r="G372" s="38">
        <v>0</v>
      </c>
      <c r="H372" s="38">
        <v>0</v>
      </c>
      <c r="I372" s="15"/>
      <c r="J372" s="494">
        <v>10202111035</v>
      </c>
      <c r="K372" s="523" t="s">
        <v>1422</v>
      </c>
      <c r="L372" s="523" t="s">
        <v>13416</v>
      </c>
      <c r="M372" s="523" t="s">
        <v>203</v>
      </c>
      <c r="N372" s="518" t="s">
        <v>1554</v>
      </c>
      <c r="O372" s="523">
        <v>1</v>
      </c>
      <c r="P372" s="523" t="s">
        <v>647</v>
      </c>
      <c r="Q372" s="523" t="s">
        <v>647</v>
      </c>
      <c r="R372" s="523" t="s">
        <v>1229</v>
      </c>
      <c r="S372" s="523" t="s">
        <v>1225</v>
      </c>
      <c r="T372" s="518" t="s">
        <v>1553</v>
      </c>
      <c r="U372" s="38">
        <v>0</v>
      </c>
      <c r="V372" s="15" t="str">
        <f t="shared" si="45"/>
        <v>102021110</v>
      </c>
      <c r="W372" s="39">
        <v>1</v>
      </c>
      <c r="X372" s="40" t="s">
        <v>647</v>
      </c>
      <c r="Y372" s="40" t="s">
        <v>647</v>
      </c>
      <c r="Z372" s="40" t="s">
        <v>1229</v>
      </c>
      <c r="AA372" s="40" t="s">
        <v>1225</v>
      </c>
      <c r="AB372" s="41" t="s">
        <v>1553</v>
      </c>
      <c r="AC372" s="9"/>
      <c r="AD372" s="523" t="s">
        <v>1422</v>
      </c>
      <c r="AE372" s="523" t="s">
        <v>13416</v>
      </c>
      <c r="AF372" s="523" t="s">
        <v>203</v>
      </c>
      <c r="AG372" s="524" t="s">
        <v>1554</v>
      </c>
      <c r="AH372" s="9"/>
      <c r="AI372" s="10"/>
      <c r="AJ372" s="9"/>
      <c r="AK372" s="10"/>
      <c r="AL372" s="10"/>
    </row>
    <row r="373" spans="1:38" ht="33.75" hidden="1">
      <c r="A373" s="1">
        <f t="shared" si="46"/>
        <v>0</v>
      </c>
      <c r="B373" s="2" t="s">
        <v>1615</v>
      </c>
      <c r="C373" s="3" t="s">
        <v>1616</v>
      </c>
      <c r="D373" s="15" t="s">
        <v>11468</v>
      </c>
      <c r="E373" s="4" t="s">
        <v>1615</v>
      </c>
      <c r="F373" s="37" t="s">
        <v>1616</v>
      </c>
      <c r="G373" s="38">
        <v>0</v>
      </c>
      <c r="H373" s="38">
        <v>0</v>
      </c>
      <c r="I373" s="15"/>
      <c r="J373" s="494">
        <v>10202111036</v>
      </c>
      <c r="K373" s="523" t="s">
        <v>1422</v>
      </c>
      <c r="L373" s="523" t="s">
        <v>13416</v>
      </c>
      <c r="M373" s="523" t="s">
        <v>203</v>
      </c>
      <c r="N373" s="518" t="s">
        <v>1554</v>
      </c>
      <c r="O373" s="523">
        <v>1</v>
      </c>
      <c r="P373" s="523" t="s">
        <v>647</v>
      </c>
      <c r="Q373" s="523" t="s">
        <v>647</v>
      </c>
      <c r="R373" s="523" t="s">
        <v>1229</v>
      </c>
      <c r="S373" s="523" t="s">
        <v>1225</v>
      </c>
      <c r="T373" s="518" t="s">
        <v>1553</v>
      </c>
      <c r="U373" s="38">
        <v>0</v>
      </c>
      <c r="V373" s="15" t="str">
        <f t="shared" si="45"/>
        <v>102021110</v>
      </c>
      <c r="W373" s="39">
        <v>1</v>
      </c>
      <c r="X373" s="40" t="s">
        <v>647</v>
      </c>
      <c r="Y373" s="40" t="s">
        <v>647</v>
      </c>
      <c r="Z373" s="40" t="s">
        <v>1229</v>
      </c>
      <c r="AA373" s="40" t="s">
        <v>1225</v>
      </c>
      <c r="AB373" s="41" t="s">
        <v>1553</v>
      </c>
      <c r="AC373" s="9"/>
      <c r="AD373" s="523" t="s">
        <v>1422</v>
      </c>
      <c r="AE373" s="523" t="s">
        <v>13416</v>
      </c>
      <c r="AF373" s="523" t="s">
        <v>203</v>
      </c>
      <c r="AG373" s="524" t="s">
        <v>1554</v>
      </c>
      <c r="AH373" s="9"/>
      <c r="AI373" s="10"/>
      <c r="AJ373" s="9"/>
      <c r="AK373" s="10"/>
      <c r="AL373" s="10"/>
    </row>
    <row r="374" spans="1:38" ht="33.75" hidden="1">
      <c r="A374" s="1">
        <f t="shared" si="46"/>
        <v>0</v>
      </c>
      <c r="B374" s="2" t="s">
        <v>1617</v>
      </c>
      <c r="C374" s="3" t="s">
        <v>1618</v>
      </c>
      <c r="D374" s="15" t="s">
        <v>11468</v>
      </c>
      <c r="E374" s="4" t="s">
        <v>1617</v>
      </c>
      <c r="F374" s="37" t="s">
        <v>1618</v>
      </c>
      <c r="G374" s="38">
        <v>0</v>
      </c>
      <c r="H374" s="38">
        <v>0</v>
      </c>
      <c r="I374" s="15"/>
      <c r="J374" s="494">
        <v>10202111038</v>
      </c>
      <c r="K374" s="523" t="s">
        <v>1422</v>
      </c>
      <c r="L374" s="523" t="s">
        <v>13416</v>
      </c>
      <c r="M374" s="523" t="s">
        <v>203</v>
      </c>
      <c r="N374" s="518" t="s">
        <v>1554</v>
      </c>
      <c r="O374" s="523">
        <v>1</v>
      </c>
      <c r="P374" s="523" t="s">
        <v>647</v>
      </c>
      <c r="Q374" s="523" t="s">
        <v>647</v>
      </c>
      <c r="R374" s="523" t="s">
        <v>1229</v>
      </c>
      <c r="S374" s="523" t="s">
        <v>1225</v>
      </c>
      <c r="T374" s="518" t="s">
        <v>1553</v>
      </c>
      <c r="U374" s="38">
        <v>0</v>
      </c>
      <c r="V374" s="15" t="str">
        <f t="shared" si="45"/>
        <v>102021110</v>
      </c>
      <c r="W374" s="39">
        <v>1</v>
      </c>
      <c r="X374" s="40" t="s">
        <v>647</v>
      </c>
      <c r="Y374" s="40" t="s">
        <v>647</v>
      </c>
      <c r="Z374" s="40" t="s">
        <v>1229</v>
      </c>
      <c r="AA374" s="40" t="s">
        <v>1225</v>
      </c>
      <c r="AB374" s="41" t="s">
        <v>1553</v>
      </c>
      <c r="AC374" s="9"/>
      <c r="AD374" s="523" t="s">
        <v>1422</v>
      </c>
      <c r="AE374" s="523" t="s">
        <v>13416</v>
      </c>
      <c r="AF374" s="523" t="s">
        <v>203</v>
      </c>
      <c r="AG374" s="524" t="s">
        <v>1554</v>
      </c>
      <c r="AH374" s="9"/>
      <c r="AI374" s="10"/>
      <c r="AJ374" s="9"/>
      <c r="AK374" s="10"/>
      <c r="AL374" s="10"/>
    </row>
    <row r="375" spans="1:38" ht="33.75" hidden="1">
      <c r="A375" s="1">
        <f t="shared" si="46"/>
        <v>0</v>
      </c>
      <c r="B375" s="2" t="s">
        <v>1619</v>
      </c>
      <c r="C375" s="3" t="s">
        <v>1620</v>
      </c>
      <c r="D375" s="15" t="s">
        <v>11468</v>
      </c>
      <c r="E375" s="4" t="s">
        <v>1619</v>
      </c>
      <c r="F375" s="37" t="s">
        <v>1620</v>
      </c>
      <c r="G375" s="38">
        <v>0</v>
      </c>
      <c r="H375" s="38">
        <v>0</v>
      </c>
      <c r="I375" s="15"/>
      <c r="J375" s="494">
        <v>10202111039</v>
      </c>
      <c r="K375" s="523" t="s">
        <v>1422</v>
      </c>
      <c r="L375" s="523" t="s">
        <v>13416</v>
      </c>
      <c r="M375" s="523" t="s">
        <v>203</v>
      </c>
      <c r="N375" s="518" t="s">
        <v>1554</v>
      </c>
      <c r="O375" s="523">
        <v>1</v>
      </c>
      <c r="P375" s="523" t="s">
        <v>647</v>
      </c>
      <c r="Q375" s="523" t="s">
        <v>647</v>
      </c>
      <c r="R375" s="523" t="s">
        <v>1229</v>
      </c>
      <c r="S375" s="523" t="s">
        <v>1225</v>
      </c>
      <c r="T375" s="518" t="s">
        <v>1553</v>
      </c>
      <c r="U375" s="38">
        <v>0</v>
      </c>
      <c r="V375" s="15" t="str">
        <f t="shared" si="45"/>
        <v>102021110</v>
      </c>
      <c r="W375" s="39">
        <v>1</v>
      </c>
      <c r="X375" s="40" t="s">
        <v>647</v>
      </c>
      <c r="Y375" s="40" t="s">
        <v>647</v>
      </c>
      <c r="Z375" s="40" t="s">
        <v>1229</v>
      </c>
      <c r="AA375" s="40" t="s">
        <v>1225</v>
      </c>
      <c r="AB375" s="41" t="s">
        <v>1553</v>
      </c>
      <c r="AC375" s="9"/>
      <c r="AD375" s="523" t="s">
        <v>1422</v>
      </c>
      <c r="AE375" s="523" t="s">
        <v>13416</v>
      </c>
      <c r="AF375" s="523" t="s">
        <v>203</v>
      </c>
      <c r="AG375" s="524" t="s">
        <v>1554</v>
      </c>
      <c r="AH375" s="9"/>
      <c r="AI375" s="10"/>
      <c r="AJ375" s="9"/>
      <c r="AK375" s="10"/>
      <c r="AL375" s="10"/>
    </row>
    <row r="376" spans="1:38" ht="56.25" hidden="1">
      <c r="A376" s="1">
        <f t="shared" si="46"/>
        <v>0</v>
      </c>
      <c r="B376" s="2" t="s">
        <v>1621</v>
      </c>
      <c r="C376" s="3" t="s">
        <v>1622</v>
      </c>
      <c r="D376" s="15" t="s">
        <v>11468</v>
      </c>
      <c r="E376" s="4" t="s">
        <v>1621</v>
      </c>
      <c r="F376" s="37" t="s">
        <v>1623</v>
      </c>
      <c r="G376" s="38">
        <v>0</v>
      </c>
      <c r="H376" s="38">
        <v>0</v>
      </c>
      <c r="I376" s="15"/>
      <c r="J376" s="494">
        <v>10202111040</v>
      </c>
      <c r="K376" s="523" t="s">
        <v>1422</v>
      </c>
      <c r="L376" s="523" t="s">
        <v>13416</v>
      </c>
      <c r="M376" s="523" t="s">
        <v>203</v>
      </c>
      <c r="N376" s="518" t="s">
        <v>1554</v>
      </c>
      <c r="O376" s="523">
        <v>1</v>
      </c>
      <c r="P376" s="523" t="s">
        <v>647</v>
      </c>
      <c r="Q376" s="523" t="s">
        <v>647</v>
      </c>
      <c r="R376" s="523" t="s">
        <v>1229</v>
      </c>
      <c r="S376" s="523" t="s">
        <v>1225</v>
      </c>
      <c r="T376" s="518" t="s">
        <v>1553</v>
      </c>
      <c r="U376" s="38">
        <v>0</v>
      </c>
      <c r="V376" s="15" t="str">
        <f t="shared" si="45"/>
        <v>102021110</v>
      </c>
      <c r="W376" s="39">
        <v>1</v>
      </c>
      <c r="X376" s="40" t="s">
        <v>647</v>
      </c>
      <c r="Y376" s="40" t="s">
        <v>647</v>
      </c>
      <c r="Z376" s="40" t="s">
        <v>1229</v>
      </c>
      <c r="AA376" s="40" t="s">
        <v>1225</v>
      </c>
      <c r="AB376" s="41" t="s">
        <v>1553</v>
      </c>
      <c r="AC376" s="9"/>
      <c r="AD376" s="523" t="s">
        <v>1422</v>
      </c>
      <c r="AE376" s="523" t="s">
        <v>13416</v>
      </c>
      <c r="AF376" s="523" t="s">
        <v>203</v>
      </c>
      <c r="AG376" s="524" t="s">
        <v>1554</v>
      </c>
      <c r="AH376" s="9"/>
      <c r="AI376" s="10"/>
      <c r="AJ376" s="9"/>
      <c r="AK376" s="10"/>
      <c r="AL376" s="10"/>
    </row>
    <row r="377" spans="1:38" ht="33.75" hidden="1">
      <c r="A377" s="1">
        <f t="shared" si="46"/>
        <v>0</v>
      </c>
      <c r="B377" s="2" t="s">
        <v>1624</v>
      </c>
      <c r="C377" s="3" t="s">
        <v>1625</v>
      </c>
      <c r="D377" s="15" t="s">
        <v>11468</v>
      </c>
      <c r="E377" s="4" t="s">
        <v>1624</v>
      </c>
      <c r="F377" s="37" t="s">
        <v>1625</v>
      </c>
      <c r="G377" s="38">
        <v>0</v>
      </c>
      <c r="H377" s="38">
        <v>0</v>
      </c>
      <c r="I377" s="15"/>
      <c r="J377" s="494">
        <v>10202111041</v>
      </c>
      <c r="K377" s="523" t="s">
        <v>1422</v>
      </c>
      <c r="L377" s="523" t="s">
        <v>13416</v>
      </c>
      <c r="M377" s="523" t="s">
        <v>203</v>
      </c>
      <c r="N377" s="518" t="s">
        <v>1554</v>
      </c>
      <c r="O377" s="523">
        <v>1</v>
      </c>
      <c r="P377" s="523" t="s">
        <v>647</v>
      </c>
      <c r="Q377" s="523" t="s">
        <v>647</v>
      </c>
      <c r="R377" s="523" t="s">
        <v>1229</v>
      </c>
      <c r="S377" s="523" t="s">
        <v>1225</v>
      </c>
      <c r="T377" s="518" t="s">
        <v>1553</v>
      </c>
      <c r="U377" s="38">
        <v>0</v>
      </c>
      <c r="V377" s="15" t="str">
        <f t="shared" si="45"/>
        <v>102021110</v>
      </c>
      <c r="W377" s="39">
        <v>1</v>
      </c>
      <c r="X377" s="40" t="s">
        <v>647</v>
      </c>
      <c r="Y377" s="40" t="s">
        <v>647</v>
      </c>
      <c r="Z377" s="40" t="s">
        <v>1229</v>
      </c>
      <c r="AA377" s="40" t="s">
        <v>1225</v>
      </c>
      <c r="AB377" s="41" t="s">
        <v>1553</v>
      </c>
      <c r="AC377" s="9"/>
      <c r="AD377" s="523" t="s">
        <v>1422</v>
      </c>
      <c r="AE377" s="523" t="s">
        <v>13416</v>
      </c>
      <c r="AF377" s="523" t="s">
        <v>203</v>
      </c>
      <c r="AG377" s="524" t="s">
        <v>1554</v>
      </c>
      <c r="AH377" s="9"/>
      <c r="AI377" s="10"/>
      <c r="AJ377" s="9"/>
      <c r="AK377" s="10"/>
      <c r="AL377" s="10"/>
    </row>
    <row r="378" spans="1:38" ht="33.75" hidden="1">
      <c r="A378" s="1">
        <f t="shared" si="46"/>
        <v>0</v>
      </c>
      <c r="B378" s="2" t="s">
        <v>1626</v>
      </c>
      <c r="C378" s="3" t="s">
        <v>1627</v>
      </c>
      <c r="D378" s="15" t="s">
        <v>11468</v>
      </c>
      <c r="E378" s="4" t="s">
        <v>1626</v>
      </c>
      <c r="F378" s="37" t="s">
        <v>1627</v>
      </c>
      <c r="G378" s="38">
        <v>0</v>
      </c>
      <c r="H378" s="38">
        <v>0</v>
      </c>
      <c r="I378" s="15"/>
      <c r="J378" s="494">
        <v>10202111042</v>
      </c>
      <c r="K378" s="523" t="s">
        <v>1422</v>
      </c>
      <c r="L378" s="523" t="s">
        <v>13416</v>
      </c>
      <c r="M378" s="523" t="s">
        <v>203</v>
      </c>
      <c r="N378" s="518" t="s">
        <v>1554</v>
      </c>
      <c r="O378" s="523">
        <v>1</v>
      </c>
      <c r="P378" s="523" t="s">
        <v>647</v>
      </c>
      <c r="Q378" s="523" t="s">
        <v>647</v>
      </c>
      <c r="R378" s="523" t="s">
        <v>1229</v>
      </c>
      <c r="S378" s="523" t="s">
        <v>1225</v>
      </c>
      <c r="T378" s="518" t="s">
        <v>1553</v>
      </c>
      <c r="U378" s="38">
        <v>0</v>
      </c>
      <c r="V378" s="15" t="str">
        <f t="shared" si="45"/>
        <v>102021110</v>
      </c>
      <c r="W378" s="39">
        <v>1</v>
      </c>
      <c r="X378" s="40" t="s">
        <v>647</v>
      </c>
      <c r="Y378" s="40" t="s">
        <v>647</v>
      </c>
      <c r="Z378" s="40" t="s">
        <v>1229</v>
      </c>
      <c r="AA378" s="40" t="s">
        <v>1225</v>
      </c>
      <c r="AB378" s="41" t="s">
        <v>1553</v>
      </c>
      <c r="AC378" s="9"/>
      <c r="AD378" s="523" t="s">
        <v>1422</v>
      </c>
      <c r="AE378" s="523" t="s">
        <v>13416</v>
      </c>
      <c r="AF378" s="523" t="s">
        <v>203</v>
      </c>
      <c r="AG378" s="524" t="s">
        <v>1554</v>
      </c>
      <c r="AH378" s="9"/>
      <c r="AI378" s="10"/>
      <c r="AJ378" s="9"/>
      <c r="AK378" s="10"/>
      <c r="AL378" s="10"/>
    </row>
    <row r="379" spans="1:38" ht="33.75" hidden="1">
      <c r="A379" s="1">
        <f t="shared" si="46"/>
        <v>0</v>
      </c>
      <c r="B379" s="2" t="s">
        <v>1628</v>
      </c>
      <c r="C379" s="3" t="s">
        <v>1629</v>
      </c>
      <c r="D379" s="15" t="s">
        <v>11468</v>
      </c>
      <c r="E379" s="4" t="s">
        <v>1628</v>
      </c>
      <c r="F379" s="37" t="s">
        <v>1629</v>
      </c>
      <c r="G379" s="38">
        <v>0</v>
      </c>
      <c r="H379" s="38">
        <v>0</v>
      </c>
      <c r="I379" s="15"/>
      <c r="J379" s="494">
        <v>10202111043</v>
      </c>
      <c r="K379" s="523" t="s">
        <v>1422</v>
      </c>
      <c r="L379" s="523" t="s">
        <v>13416</v>
      </c>
      <c r="M379" s="523" t="s">
        <v>203</v>
      </c>
      <c r="N379" s="518" t="s">
        <v>1554</v>
      </c>
      <c r="O379" s="523">
        <v>1</v>
      </c>
      <c r="P379" s="523" t="s">
        <v>647</v>
      </c>
      <c r="Q379" s="523" t="s">
        <v>647</v>
      </c>
      <c r="R379" s="523" t="s">
        <v>1229</v>
      </c>
      <c r="S379" s="523" t="s">
        <v>1225</v>
      </c>
      <c r="T379" s="518" t="s">
        <v>1553</v>
      </c>
      <c r="U379" s="38">
        <v>0</v>
      </c>
      <c r="V379" s="15" t="str">
        <f t="shared" si="45"/>
        <v>102021110</v>
      </c>
      <c r="W379" s="39">
        <v>1</v>
      </c>
      <c r="X379" s="40" t="s">
        <v>647</v>
      </c>
      <c r="Y379" s="40" t="s">
        <v>647</v>
      </c>
      <c r="Z379" s="40" t="s">
        <v>1229</v>
      </c>
      <c r="AA379" s="40" t="s">
        <v>1225</v>
      </c>
      <c r="AB379" s="41" t="s">
        <v>1553</v>
      </c>
      <c r="AC379" s="9"/>
      <c r="AD379" s="523" t="s">
        <v>1422</v>
      </c>
      <c r="AE379" s="523" t="s">
        <v>13416</v>
      </c>
      <c r="AF379" s="523" t="s">
        <v>203</v>
      </c>
      <c r="AG379" s="524" t="s">
        <v>1554</v>
      </c>
      <c r="AH379" s="9"/>
      <c r="AI379" s="10"/>
      <c r="AJ379" s="9"/>
      <c r="AK379" s="10"/>
      <c r="AL379" s="10"/>
    </row>
    <row r="380" spans="1:38" ht="33.75" hidden="1">
      <c r="A380" s="1">
        <f t="shared" si="46"/>
        <v>0</v>
      </c>
      <c r="B380" s="2" t="s">
        <v>1630</v>
      </c>
      <c r="C380" s="3" t="s">
        <v>1449</v>
      </c>
      <c r="D380" s="15" t="s">
        <v>11468</v>
      </c>
      <c r="E380" s="4" t="s">
        <v>1630</v>
      </c>
      <c r="F380" s="37" t="s">
        <v>1449</v>
      </c>
      <c r="G380" s="38">
        <v>0</v>
      </c>
      <c r="H380" s="38">
        <v>0</v>
      </c>
      <c r="I380" s="15"/>
      <c r="J380" s="494">
        <v>10202111044</v>
      </c>
      <c r="K380" s="523" t="s">
        <v>1422</v>
      </c>
      <c r="L380" s="523" t="s">
        <v>13416</v>
      </c>
      <c r="M380" s="523" t="s">
        <v>203</v>
      </c>
      <c r="N380" s="518" t="s">
        <v>1554</v>
      </c>
      <c r="O380" s="523">
        <v>1</v>
      </c>
      <c r="P380" s="523" t="s">
        <v>647</v>
      </c>
      <c r="Q380" s="523" t="s">
        <v>647</v>
      </c>
      <c r="R380" s="523" t="s">
        <v>1229</v>
      </c>
      <c r="S380" s="523" t="s">
        <v>1225</v>
      </c>
      <c r="T380" s="518" t="s">
        <v>1553</v>
      </c>
      <c r="U380" s="38">
        <v>0</v>
      </c>
      <c r="V380" s="15" t="str">
        <f t="shared" si="45"/>
        <v>102021110</v>
      </c>
      <c r="W380" s="39">
        <v>1</v>
      </c>
      <c r="X380" s="40" t="s">
        <v>647</v>
      </c>
      <c r="Y380" s="40" t="s">
        <v>647</v>
      </c>
      <c r="Z380" s="40" t="s">
        <v>1229</v>
      </c>
      <c r="AA380" s="40" t="s">
        <v>1225</v>
      </c>
      <c r="AB380" s="41" t="s">
        <v>1553</v>
      </c>
      <c r="AC380" s="9"/>
      <c r="AD380" s="523" t="s">
        <v>1422</v>
      </c>
      <c r="AE380" s="523" t="s">
        <v>13416</v>
      </c>
      <c r="AF380" s="523" t="s">
        <v>203</v>
      </c>
      <c r="AG380" s="524" t="s">
        <v>1554</v>
      </c>
      <c r="AH380" s="9"/>
      <c r="AI380" s="10"/>
      <c r="AJ380" s="9"/>
      <c r="AK380" s="10"/>
      <c r="AL380" s="10"/>
    </row>
    <row r="381" spans="1:38" ht="33.75" hidden="1">
      <c r="A381" s="1">
        <f t="shared" si="46"/>
        <v>0</v>
      </c>
      <c r="B381" s="2" t="s">
        <v>1631</v>
      </c>
      <c r="C381" s="3" t="s">
        <v>1451</v>
      </c>
      <c r="D381" s="15" t="s">
        <v>11468</v>
      </c>
      <c r="E381" s="4" t="s">
        <v>1631</v>
      </c>
      <c r="F381" s="37" t="s">
        <v>1451</v>
      </c>
      <c r="G381" s="38">
        <v>0</v>
      </c>
      <c r="H381" s="38">
        <v>0</v>
      </c>
      <c r="I381" s="15"/>
      <c r="J381" s="494">
        <v>10202111045</v>
      </c>
      <c r="K381" s="523" t="s">
        <v>1422</v>
      </c>
      <c r="L381" s="523" t="s">
        <v>13416</v>
      </c>
      <c r="M381" s="523" t="s">
        <v>203</v>
      </c>
      <c r="N381" s="518" t="s">
        <v>1554</v>
      </c>
      <c r="O381" s="523">
        <v>1</v>
      </c>
      <c r="P381" s="523" t="s">
        <v>647</v>
      </c>
      <c r="Q381" s="523" t="s">
        <v>647</v>
      </c>
      <c r="R381" s="523" t="s">
        <v>1229</v>
      </c>
      <c r="S381" s="523" t="s">
        <v>1225</v>
      </c>
      <c r="T381" s="518" t="s">
        <v>1553</v>
      </c>
      <c r="U381" s="38">
        <v>0</v>
      </c>
      <c r="V381" s="15" t="str">
        <f t="shared" si="45"/>
        <v>102021110</v>
      </c>
      <c r="W381" s="39">
        <v>1</v>
      </c>
      <c r="X381" s="40" t="s">
        <v>647</v>
      </c>
      <c r="Y381" s="40" t="s">
        <v>647</v>
      </c>
      <c r="Z381" s="40" t="s">
        <v>1229</v>
      </c>
      <c r="AA381" s="40" t="s">
        <v>1225</v>
      </c>
      <c r="AB381" s="41" t="s">
        <v>1553</v>
      </c>
      <c r="AC381" s="9"/>
      <c r="AD381" s="523" t="s">
        <v>1422</v>
      </c>
      <c r="AE381" s="523" t="s">
        <v>13416</v>
      </c>
      <c r="AF381" s="523" t="s">
        <v>203</v>
      </c>
      <c r="AG381" s="524" t="s">
        <v>1554</v>
      </c>
      <c r="AH381" s="9"/>
      <c r="AI381" s="10"/>
      <c r="AJ381" s="9"/>
      <c r="AK381" s="10"/>
      <c r="AL381" s="10"/>
    </row>
    <row r="382" spans="1:38" ht="56.25" hidden="1">
      <c r="A382" s="1">
        <f t="shared" si="46"/>
        <v>0</v>
      </c>
      <c r="B382" s="2" t="s">
        <v>1632</v>
      </c>
      <c r="C382" s="3" t="s">
        <v>1633</v>
      </c>
      <c r="D382" s="15" t="s">
        <v>11468</v>
      </c>
      <c r="E382" s="4" t="s">
        <v>1632</v>
      </c>
      <c r="F382" s="37" t="s">
        <v>1633</v>
      </c>
      <c r="G382" s="38">
        <v>0</v>
      </c>
      <c r="H382" s="38">
        <v>0</v>
      </c>
      <c r="I382" s="15"/>
      <c r="J382" s="494">
        <v>10202111046</v>
      </c>
      <c r="K382" s="523" t="s">
        <v>1422</v>
      </c>
      <c r="L382" s="523" t="s">
        <v>13416</v>
      </c>
      <c r="M382" s="523" t="s">
        <v>203</v>
      </c>
      <c r="N382" s="518" t="s">
        <v>1554</v>
      </c>
      <c r="O382" s="523">
        <v>1</v>
      </c>
      <c r="P382" s="523" t="s">
        <v>647</v>
      </c>
      <c r="Q382" s="523" t="s">
        <v>647</v>
      </c>
      <c r="R382" s="523" t="s">
        <v>1229</v>
      </c>
      <c r="S382" s="523" t="s">
        <v>1225</v>
      </c>
      <c r="T382" s="518" t="s">
        <v>1553</v>
      </c>
      <c r="U382" s="38">
        <v>0</v>
      </c>
      <c r="V382" s="15" t="str">
        <f t="shared" si="45"/>
        <v>102021110</v>
      </c>
      <c r="W382" s="39">
        <v>1</v>
      </c>
      <c r="X382" s="40" t="s">
        <v>647</v>
      </c>
      <c r="Y382" s="40" t="s">
        <v>647</v>
      </c>
      <c r="Z382" s="40" t="s">
        <v>1229</v>
      </c>
      <c r="AA382" s="40" t="s">
        <v>1225</v>
      </c>
      <c r="AB382" s="41" t="s">
        <v>1553</v>
      </c>
      <c r="AC382" s="9"/>
      <c r="AD382" s="523" t="s">
        <v>1422</v>
      </c>
      <c r="AE382" s="523" t="s">
        <v>13416</v>
      </c>
      <c r="AF382" s="523" t="s">
        <v>203</v>
      </c>
      <c r="AG382" s="524" t="s">
        <v>1554</v>
      </c>
      <c r="AH382" s="9"/>
      <c r="AI382" s="10"/>
      <c r="AJ382" s="9"/>
      <c r="AK382" s="10"/>
      <c r="AL382" s="10"/>
    </row>
    <row r="383" spans="1:38" ht="56.25" hidden="1">
      <c r="A383" s="1">
        <f t="shared" si="46"/>
        <v>0</v>
      </c>
      <c r="B383" s="2" t="s">
        <v>1634</v>
      </c>
      <c r="C383" s="3" t="s">
        <v>1635</v>
      </c>
      <c r="D383" s="15" t="s">
        <v>11468</v>
      </c>
      <c r="E383" s="4" t="s">
        <v>1634</v>
      </c>
      <c r="F383" s="37" t="s">
        <v>1635</v>
      </c>
      <c r="G383" s="38">
        <v>47749.64</v>
      </c>
      <c r="H383" s="38">
        <v>47749.64</v>
      </c>
      <c r="I383" s="15"/>
      <c r="J383" s="494">
        <v>10202111047</v>
      </c>
      <c r="K383" s="523" t="s">
        <v>1422</v>
      </c>
      <c r="L383" s="523" t="s">
        <v>13416</v>
      </c>
      <c r="M383" s="523" t="s">
        <v>203</v>
      </c>
      <c r="N383" s="518" t="s">
        <v>1554</v>
      </c>
      <c r="O383" s="523">
        <v>1</v>
      </c>
      <c r="P383" s="523" t="s">
        <v>647</v>
      </c>
      <c r="Q383" s="523" t="s">
        <v>647</v>
      </c>
      <c r="R383" s="523" t="s">
        <v>1229</v>
      </c>
      <c r="S383" s="523" t="s">
        <v>1225</v>
      </c>
      <c r="T383" s="518" t="s">
        <v>1553</v>
      </c>
      <c r="U383" s="38">
        <v>47749.64</v>
      </c>
      <c r="V383" s="15" t="str">
        <f t="shared" si="45"/>
        <v>102021110</v>
      </c>
      <c r="W383" s="39">
        <v>1</v>
      </c>
      <c r="X383" s="40" t="s">
        <v>647</v>
      </c>
      <c r="Y383" s="40" t="s">
        <v>647</v>
      </c>
      <c r="Z383" s="40" t="s">
        <v>1229</v>
      </c>
      <c r="AA383" s="40" t="s">
        <v>1225</v>
      </c>
      <c r="AB383" s="41" t="s">
        <v>1553</v>
      </c>
      <c r="AC383" s="9"/>
      <c r="AD383" s="523" t="s">
        <v>1422</v>
      </c>
      <c r="AE383" s="523" t="s">
        <v>13416</v>
      </c>
      <c r="AF383" s="523" t="s">
        <v>203</v>
      </c>
      <c r="AG383" s="524" t="s">
        <v>1554</v>
      </c>
      <c r="AH383" s="9"/>
      <c r="AI383" s="10"/>
      <c r="AJ383" s="9"/>
      <c r="AK383" s="10"/>
      <c r="AL383" s="10"/>
    </row>
    <row r="384" spans="1:38" ht="90" hidden="1">
      <c r="A384" s="1">
        <f t="shared" si="46"/>
        <v>0</v>
      </c>
      <c r="B384" s="2" t="s">
        <v>1636</v>
      </c>
      <c r="C384" s="3" t="s">
        <v>1637</v>
      </c>
      <c r="D384" s="15" t="s">
        <v>11468</v>
      </c>
      <c r="E384" s="4" t="s">
        <v>1636</v>
      </c>
      <c r="F384" s="37" t="s">
        <v>1637</v>
      </c>
      <c r="G384" s="38">
        <v>200647.5</v>
      </c>
      <c r="H384" s="38">
        <v>200647.5</v>
      </c>
      <c r="I384" s="15"/>
      <c r="J384" s="494">
        <v>10202111048</v>
      </c>
      <c r="K384" s="523" t="s">
        <v>1422</v>
      </c>
      <c r="L384" s="523" t="s">
        <v>13416</v>
      </c>
      <c r="M384" s="523" t="s">
        <v>203</v>
      </c>
      <c r="N384" s="518" t="s">
        <v>1554</v>
      </c>
      <c r="O384" s="523">
        <v>1</v>
      </c>
      <c r="P384" s="523" t="s">
        <v>647</v>
      </c>
      <c r="Q384" s="523" t="s">
        <v>647</v>
      </c>
      <c r="R384" s="523" t="s">
        <v>1229</v>
      </c>
      <c r="S384" s="523" t="s">
        <v>1225</v>
      </c>
      <c r="T384" s="518" t="s">
        <v>1553</v>
      </c>
      <c r="U384" s="38">
        <v>200647.5</v>
      </c>
      <c r="V384" s="15" t="str">
        <f t="shared" si="45"/>
        <v>102021110</v>
      </c>
      <c r="W384" s="39">
        <v>1</v>
      </c>
      <c r="X384" s="40" t="s">
        <v>647</v>
      </c>
      <c r="Y384" s="40" t="s">
        <v>647</v>
      </c>
      <c r="Z384" s="40" t="s">
        <v>1229</v>
      </c>
      <c r="AA384" s="40" t="s">
        <v>1225</v>
      </c>
      <c r="AB384" s="41" t="s">
        <v>1553</v>
      </c>
      <c r="AC384" s="9"/>
      <c r="AD384" s="523" t="s">
        <v>1422</v>
      </c>
      <c r="AE384" s="523" t="s">
        <v>13416</v>
      </c>
      <c r="AF384" s="523" t="s">
        <v>203</v>
      </c>
      <c r="AG384" s="524" t="s">
        <v>1554</v>
      </c>
      <c r="AH384" s="9"/>
      <c r="AI384" s="10"/>
      <c r="AJ384" s="9"/>
      <c r="AK384" s="10"/>
      <c r="AL384" s="10"/>
    </row>
    <row r="385" spans="1:38" ht="45" hidden="1">
      <c r="A385" s="1">
        <f t="shared" si="46"/>
        <v>0</v>
      </c>
      <c r="B385" s="2" t="s">
        <v>1638</v>
      </c>
      <c r="C385" s="3" t="s">
        <v>1639</v>
      </c>
      <c r="D385" s="15" t="s">
        <v>11468</v>
      </c>
      <c r="E385" s="4" t="s">
        <v>1638</v>
      </c>
      <c r="F385" s="62" t="s">
        <v>1639</v>
      </c>
      <c r="G385" s="38">
        <v>60048</v>
      </c>
      <c r="H385" s="38">
        <v>0</v>
      </c>
      <c r="I385" s="15"/>
      <c r="J385" s="494">
        <v>10202111049</v>
      </c>
      <c r="K385" s="523" t="s">
        <v>1422</v>
      </c>
      <c r="L385" s="523" t="s">
        <v>13416</v>
      </c>
      <c r="M385" s="523" t="s">
        <v>203</v>
      </c>
      <c r="N385" s="518" t="s">
        <v>1554</v>
      </c>
      <c r="O385" s="523">
        <v>1</v>
      </c>
      <c r="P385" s="523" t="s">
        <v>647</v>
      </c>
      <c r="Q385" s="523" t="s">
        <v>647</v>
      </c>
      <c r="R385" s="523" t="s">
        <v>1229</v>
      </c>
      <c r="S385" s="523" t="s">
        <v>1225</v>
      </c>
      <c r="T385" s="518" t="s">
        <v>1553</v>
      </c>
      <c r="U385" s="38">
        <v>0</v>
      </c>
      <c r="V385" s="15" t="str">
        <f t="shared" si="45"/>
        <v>102021110</v>
      </c>
      <c r="W385" s="39">
        <v>1</v>
      </c>
      <c r="X385" s="40" t="s">
        <v>647</v>
      </c>
      <c r="Y385" s="40" t="s">
        <v>647</v>
      </c>
      <c r="Z385" s="40" t="s">
        <v>1229</v>
      </c>
      <c r="AA385" s="40" t="s">
        <v>1225</v>
      </c>
      <c r="AB385" s="41" t="s">
        <v>1553</v>
      </c>
      <c r="AC385" s="9"/>
      <c r="AD385" s="523" t="s">
        <v>1422</v>
      </c>
      <c r="AE385" s="523" t="s">
        <v>13416</v>
      </c>
      <c r="AF385" s="523" t="s">
        <v>203</v>
      </c>
      <c r="AG385" s="524" t="s">
        <v>1554</v>
      </c>
      <c r="AH385" s="9"/>
      <c r="AI385" s="10"/>
      <c r="AJ385" s="9"/>
      <c r="AK385" s="10"/>
      <c r="AL385" s="10"/>
    </row>
    <row r="386" spans="1:38" ht="56.25" hidden="1">
      <c r="A386" s="1">
        <f t="shared" si="46"/>
        <v>0</v>
      </c>
      <c r="B386" s="2" t="s">
        <v>1640</v>
      </c>
      <c r="C386" s="3" t="s">
        <v>1641</v>
      </c>
      <c r="D386" s="15" t="s">
        <v>11468</v>
      </c>
      <c r="E386" s="63" t="s">
        <v>1640</v>
      </c>
      <c r="F386" s="64" t="s">
        <v>1540</v>
      </c>
      <c r="G386" s="38">
        <v>0</v>
      </c>
      <c r="H386" s="38">
        <v>0</v>
      </c>
      <c r="I386" s="15"/>
      <c r="J386" s="494">
        <v>10202111050</v>
      </c>
      <c r="K386" s="523" t="s">
        <v>1422</v>
      </c>
      <c r="L386" s="523" t="s">
        <v>13416</v>
      </c>
      <c r="M386" s="523" t="s">
        <v>203</v>
      </c>
      <c r="N386" s="518" t="s">
        <v>1554</v>
      </c>
      <c r="O386" s="523">
        <v>1</v>
      </c>
      <c r="P386" s="523" t="s">
        <v>647</v>
      </c>
      <c r="Q386" s="523" t="s">
        <v>647</v>
      </c>
      <c r="R386" s="523" t="s">
        <v>1229</v>
      </c>
      <c r="S386" s="523" t="s">
        <v>1225</v>
      </c>
      <c r="T386" s="518" t="s">
        <v>1553</v>
      </c>
      <c r="U386" s="38">
        <v>0</v>
      </c>
      <c r="V386" s="15" t="str">
        <f t="shared" si="45"/>
        <v>102021110</v>
      </c>
      <c r="W386" s="39">
        <v>1</v>
      </c>
      <c r="X386" s="40" t="s">
        <v>647</v>
      </c>
      <c r="Y386" s="40" t="s">
        <v>647</v>
      </c>
      <c r="Z386" s="40" t="s">
        <v>1229</v>
      </c>
      <c r="AA386" s="40" t="s">
        <v>1225</v>
      </c>
      <c r="AB386" s="41" t="s">
        <v>1553</v>
      </c>
      <c r="AC386" s="9"/>
      <c r="AD386" s="523" t="s">
        <v>1422</v>
      </c>
      <c r="AE386" s="523" t="s">
        <v>13416</v>
      </c>
      <c r="AF386" s="523" t="s">
        <v>203</v>
      </c>
      <c r="AG386" s="524" t="s">
        <v>1554</v>
      </c>
      <c r="AH386" s="9"/>
      <c r="AI386" s="10"/>
      <c r="AJ386" s="9"/>
      <c r="AK386" s="10"/>
      <c r="AL386" s="10"/>
    </row>
    <row r="387" spans="1:38" ht="33.75" hidden="1">
      <c r="A387" s="1">
        <f t="shared" si="46"/>
        <v>0</v>
      </c>
      <c r="B387" s="2" t="s">
        <v>1642</v>
      </c>
      <c r="C387" s="3" t="s">
        <v>1643</v>
      </c>
      <c r="D387" s="15" t="s">
        <v>11468</v>
      </c>
      <c r="E387" s="4" t="s">
        <v>1642</v>
      </c>
      <c r="F387" s="65" t="s">
        <v>1644</v>
      </c>
      <c r="G387" s="38">
        <v>0</v>
      </c>
      <c r="H387" s="38">
        <v>0</v>
      </c>
      <c r="I387" s="15"/>
      <c r="J387" s="494">
        <v>10202111051</v>
      </c>
      <c r="K387" s="523" t="s">
        <v>1422</v>
      </c>
      <c r="L387" s="523" t="s">
        <v>13416</v>
      </c>
      <c r="M387" s="523" t="s">
        <v>203</v>
      </c>
      <c r="N387" s="518" t="s">
        <v>1554</v>
      </c>
      <c r="O387" s="523">
        <v>1</v>
      </c>
      <c r="P387" s="523" t="s">
        <v>647</v>
      </c>
      <c r="Q387" s="523" t="s">
        <v>647</v>
      </c>
      <c r="R387" s="523" t="s">
        <v>1229</v>
      </c>
      <c r="S387" s="523" t="s">
        <v>1225</v>
      </c>
      <c r="T387" s="518" t="s">
        <v>1553</v>
      </c>
      <c r="U387" s="38">
        <v>0</v>
      </c>
      <c r="V387" s="15" t="str">
        <f t="shared" ref="V387:V450" si="48">CONCATENATE(W387,X387,Y387,Z387,AA387)</f>
        <v>102021110</v>
      </c>
      <c r="W387" s="39">
        <v>1</v>
      </c>
      <c r="X387" s="40" t="s">
        <v>647</v>
      </c>
      <c r="Y387" s="40" t="s">
        <v>647</v>
      </c>
      <c r="Z387" s="40" t="s">
        <v>1229</v>
      </c>
      <c r="AA387" s="40" t="s">
        <v>1225</v>
      </c>
      <c r="AB387" s="41" t="s">
        <v>1553</v>
      </c>
      <c r="AC387" s="9"/>
      <c r="AD387" s="523" t="s">
        <v>1422</v>
      </c>
      <c r="AE387" s="523" t="s">
        <v>13416</v>
      </c>
      <c r="AF387" s="523" t="s">
        <v>203</v>
      </c>
      <c r="AG387" s="524" t="s">
        <v>1554</v>
      </c>
      <c r="AH387" s="9"/>
      <c r="AI387" s="10"/>
      <c r="AJ387" s="9">
        <f>AH387-H387</f>
        <v>0</v>
      </c>
      <c r="AK387" s="10"/>
      <c r="AL387" s="10"/>
    </row>
    <row r="388" spans="1:38" ht="45" hidden="1">
      <c r="A388" s="1">
        <f t="shared" si="46"/>
        <v>1</v>
      </c>
      <c r="B388" s="2" t="s">
        <v>1645</v>
      </c>
      <c r="C388" s="3" t="s">
        <v>1646</v>
      </c>
      <c r="D388" s="15" t="s">
        <v>11469</v>
      </c>
      <c r="E388" s="4" t="s">
        <v>1647</v>
      </c>
      <c r="F388" s="37" t="s">
        <v>1648</v>
      </c>
      <c r="G388" s="47">
        <v>0</v>
      </c>
      <c r="H388" s="38">
        <v>0</v>
      </c>
      <c r="I388" s="15"/>
      <c r="J388" s="494">
        <v>10202111201</v>
      </c>
      <c r="K388" s="517" t="s">
        <v>1422</v>
      </c>
      <c r="L388" s="517" t="s">
        <v>13417</v>
      </c>
      <c r="M388" s="517" t="s">
        <v>1650</v>
      </c>
      <c r="N388" s="518" t="s">
        <v>1651</v>
      </c>
      <c r="O388" s="517">
        <v>1</v>
      </c>
      <c r="P388" s="517" t="s">
        <v>647</v>
      </c>
      <c r="Q388" s="517" t="s">
        <v>647</v>
      </c>
      <c r="R388" s="517" t="s">
        <v>1229</v>
      </c>
      <c r="S388" s="517" t="s">
        <v>1243</v>
      </c>
      <c r="T388" s="518" t="s">
        <v>1649</v>
      </c>
      <c r="U388" s="38">
        <v>0</v>
      </c>
      <c r="V388" s="15" t="str">
        <f t="shared" si="48"/>
        <v>102021112</v>
      </c>
      <c r="W388" s="39">
        <v>1</v>
      </c>
      <c r="X388" s="40" t="s">
        <v>647</v>
      </c>
      <c r="Y388" s="40" t="s">
        <v>647</v>
      </c>
      <c r="Z388" s="40" t="s">
        <v>1229</v>
      </c>
      <c r="AA388" s="40" t="s">
        <v>1243</v>
      </c>
      <c r="AB388" s="41" t="s">
        <v>1649</v>
      </c>
      <c r="AC388" s="519">
        <f t="shared" ref="AC388:AC400" si="49">H388</f>
        <v>0</v>
      </c>
      <c r="AD388" s="517" t="s">
        <v>1422</v>
      </c>
      <c r="AE388" s="517" t="s">
        <v>13417</v>
      </c>
      <c r="AF388" s="517" t="s">
        <v>1650</v>
      </c>
      <c r="AG388" s="520" t="s">
        <v>1651</v>
      </c>
      <c r="AH388" s="67">
        <f>SUM(AC388:AC400)</f>
        <v>349636.29</v>
      </c>
      <c r="AI388" s="10"/>
      <c r="AJ388" s="9"/>
      <c r="AK388" s="10"/>
      <c r="AL388" s="10"/>
    </row>
    <row r="389" spans="1:38" ht="56.25" hidden="1">
      <c r="A389" s="1">
        <f t="shared" si="46"/>
        <v>0</v>
      </c>
      <c r="B389" s="2" t="s">
        <v>1652</v>
      </c>
      <c r="C389" s="3" t="s">
        <v>1653</v>
      </c>
      <c r="D389" s="15" t="s">
        <v>11468</v>
      </c>
      <c r="E389" s="4" t="s">
        <v>1652</v>
      </c>
      <c r="F389" s="37" t="s">
        <v>1653</v>
      </c>
      <c r="G389" s="47">
        <v>0</v>
      </c>
      <c r="H389" s="38">
        <v>0</v>
      </c>
      <c r="I389" s="15"/>
      <c r="J389" s="494">
        <v>10202111053</v>
      </c>
      <c r="K389" s="517" t="s">
        <v>1422</v>
      </c>
      <c r="L389" s="517" t="s">
        <v>13416</v>
      </c>
      <c r="M389" s="517" t="s">
        <v>203</v>
      </c>
      <c r="N389" s="518" t="s">
        <v>1554</v>
      </c>
      <c r="O389" s="517">
        <v>1</v>
      </c>
      <c r="P389" s="517" t="s">
        <v>647</v>
      </c>
      <c r="Q389" s="517" t="s">
        <v>647</v>
      </c>
      <c r="R389" s="517" t="s">
        <v>1229</v>
      </c>
      <c r="S389" s="517" t="s">
        <v>1225</v>
      </c>
      <c r="T389" s="518" t="s">
        <v>1553</v>
      </c>
      <c r="U389" s="38">
        <v>0</v>
      </c>
      <c r="V389" s="15" t="str">
        <f t="shared" si="48"/>
        <v>102021112</v>
      </c>
      <c r="W389" s="39">
        <v>1</v>
      </c>
      <c r="X389" s="40" t="s">
        <v>647</v>
      </c>
      <c r="Y389" s="40" t="s">
        <v>647</v>
      </c>
      <c r="Z389" s="40" t="s">
        <v>1229</v>
      </c>
      <c r="AA389" s="40" t="s">
        <v>1243</v>
      </c>
      <c r="AB389" s="41" t="s">
        <v>1649</v>
      </c>
      <c r="AC389" s="519">
        <f t="shared" si="49"/>
        <v>0</v>
      </c>
      <c r="AD389" s="517" t="s">
        <v>1422</v>
      </c>
      <c r="AE389" s="517" t="s">
        <v>13417</v>
      </c>
      <c r="AF389" s="517" t="s">
        <v>1650</v>
      </c>
      <c r="AG389" s="520" t="s">
        <v>1651</v>
      </c>
      <c r="AH389" s="66"/>
      <c r="AI389" s="10"/>
      <c r="AJ389" s="9"/>
      <c r="AK389" s="10"/>
      <c r="AL389" s="10"/>
    </row>
    <row r="390" spans="1:38" ht="45" hidden="1">
      <c r="A390" s="1">
        <f t="shared" ref="A390:A456" si="50">IF(E390=B390,0,1)</f>
        <v>0</v>
      </c>
      <c r="B390" s="2" t="s">
        <v>1654</v>
      </c>
      <c r="C390" s="3" t="s">
        <v>1655</v>
      </c>
      <c r="D390" s="15" t="s">
        <v>11468</v>
      </c>
      <c r="E390" s="4" t="s">
        <v>1654</v>
      </c>
      <c r="F390" s="37" t="s">
        <v>1655</v>
      </c>
      <c r="G390" s="47">
        <v>0</v>
      </c>
      <c r="H390" s="38">
        <v>0</v>
      </c>
      <c r="I390" s="15"/>
      <c r="J390" s="494">
        <v>10202111054</v>
      </c>
      <c r="K390" s="517" t="s">
        <v>1422</v>
      </c>
      <c r="L390" s="517" t="s">
        <v>13416</v>
      </c>
      <c r="M390" s="517" t="s">
        <v>203</v>
      </c>
      <c r="N390" s="518" t="s">
        <v>1554</v>
      </c>
      <c r="O390" s="517">
        <v>1</v>
      </c>
      <c r="P390" s="517" t="s">
        <v>647</v>
      </c>
      <c r="Q390" s="517" t="s">
        <v>647</v>
      </c>
      <c r="R390" s="517" t="s">
        <v>1229</v>
      </c>
      <c r="S390" s="517" t="s">
        <v>1225</v>
      </c>
      <c r="T390" s="518" t="s">
        <v>1553</v>
      </c>
      <c r="U390" s="38">
        <v>0</v>
      </c>
      <c r="V390" s="15" t="str">
        <f t="shared" si="48"/>
        <v>102021112</v>
      </c>
      <c r="W390" s="39">
        <v>1</v>
      </c>
      <c r="X390" s="40" t="s">
        <v>647</v>
      </c>
      <c r="Y390" s="40" t="s">
        <v>647</v>
      </c>
      <c r="Z390" s="40" t="s">
        <v>1229</v>
      </c>
      <c r="AA390" s="40" t="s">
        <v>1243</v>
      </c>
      <c r="AB390" s="41" t="s">
        <v>1649</v>
      </c>
      <c r="AC390" s="519">
        <f t="shared" si="49"/>
        <v>0</v>
      </c>
      <c r="AD390" s="517" t="s">
        <v>1422</v>
      </c>
      <c r="AE390" s="517" t="s">
        <v>13417</v>
      </c>
      <c r="AF390" s="517" t="s">
        <v>1650</v>
      </c>
      <c r="AG390" s="520" t="s">
        <v>1651</v>
      </c>
      <c r="AH390" s="66"/>
      <c r="AI390" s="10"/>
      <c r="AJ390" s="9"/>
      <c r="AK390" s="10"/>
      <c r="AL390" s="10"/>
    </row>
    <row r="391" spans="1:38" ht="45" hidden="1">
      <c r="A391" s="1">
        <f t="shared" si="50"/>
        <v>0</v>
      </c>
      <c r="B391" s="2" t="s">
        <v>1656</v>
      </c>
      <c r="C391" s="3" t="s">
        <v>1657</v>
      </c>
      <c r="D391" s="15" t="s">
        <v>11468</v>
      </c>
      <c r="E391" s="4" t="s">
        <v>1656</v>
      </c>
      <c r="F391" s="37" t="s">
        <v>1657</v>
      </c>
      <c r="G391" s="47">
        <v>0</v>
      </c>
      <c r="H391" s="38">
        <v>0</v>
      </c>
      <c r="I391" s="15"/>
      <c r="J391" s="494">
        <v>10202111055</v>
      </c>
      <c r="K391" s="517" t="s">
        <v>1422</v>
      </c>
      <c r="L391" s="517" t="s">
        <v>13416</v>
      </c>
      <c r="M391" s="517" t="s">
        <v>203</v>
      </c>
      <c r="N391" s="518" t="s">
        <v>1554</v>
      </c>
      <c r="O391" s="517">
        <v>1</v>
      </c>
      <c r="P391" s="517" t="s">
        <v>647</v>
      </c>
      <c r="Q391" s="517" t="s">
        <v>647</v>
      </c>
      <c r="R391" s="517" t="s">
        <v>1229</v>
      </c>
      <c r="S391" s="517" t="s">
        <v>1225</v>
      </c>
      <c r="T391" s="518" t="s">
        <v>1553</v>
      </c>
      <c r="U391" s="38">
        <v>0</v>
      </c>
      <c r="V391" s="15" t="str">
        <f t="shared" si="48"/>
        <v>102021112</v>
      </c>
      <c r="W391" s="39">
        <v>1</v>
      </c>
      <c r="X391" s="40" t="s">
        <v>647</v>
      </c>
      <c r="Y391" s="40" t="s">
        <v>647</v>
      </c>
      <c r="Z391" s="40" t="s">
        <v>1229</v>
      </c>
      <c r="AA391" s="40" t="s">
        <v>1243</v>
      </c>
      <c r="AB391" s="41" t="s">
        <v>1649</v>
      </c>
      <c r="AC391" s="519">
        <f t="shared" si="49"/>
        <v>0</v>
      </c>
      <c r="AD391" s="517" t="s">
        <v>1422</v>
      </c>
      <c r="AE391" s="517" t="s">
        <v>13417</v>
      </c>
      <c r="AF391" s="517" t="s">
        <v>1650</v>
      </c>
      <c r="AG391" s="520" t="s">
        <v>1651</v>
      </c>
      <c r="AH391" s="66"/>
      <c r="AI391" s="10"/>
      <c r="AJ391" s="9"/>
      <c r="AK391" s="10"/>
      <c r="AL391" s="10"/>
    </row>
    <row r="392" spans="1:38" ht="67.5" hidden="1">
      <c r="A392" s="1">
        <f t="shared" si="50"/>
        <v>0</v>
      </c>
      <c r="B392" s="2" t="s">
        <v>1658</v>
      </c>
      <c r="C392" s="3" t="s">
        <v>1659</v>
      </c>
      <c r="D392" s="15" t="s">
        <v>11468</v>
      </c>
      <c r="E392" s="4" t="s">
        <v>1658</v>
      </c>
      <c r="F392" s="37" t="s">
        <v>1659</v>
      </c>
      <c r="G392" s="47">
        <v>0</v>
      </c>
      <c r="H392" s="38">
        <v>0</v>
      </c>
      <c r="I392" s="15"/>
      <c r="J392" s="494">
        <v>10202111056</v>
      </c>
      <c r="K392" s="517" t="s">
        <v>1422</v>
      </c>
      <c r="L392" s="517" t="s">
        <v>13416</v>
      </c>
      <c r="M392" s="517" t="s">
        <v>203</v>
      </c>
      <c r="N392" s="518" t="s">
        <v>1554</v>
      </c>
      <c r="O392" s="517">
        <v>1</v>
      </c>
      <c r="P392" s="517" t="s">
        <v>647</v>
      </c>
      <c r="Q392" s="517" t="s">
        <v>647</v>
      </c>
      <c r="R392" s="517" t="s">
        <v>1229</v>
      </c>
      <c r="S392" s="517" t="s">
        <v>1225</v>
      </c>
      <c r="T392" s="518" t="s">
        <v>1553</v>
      </c>
      <c r="U392" s="38">
        <v>0</v>
      </c>
      <c r="V392" s="15" t="str">
        <f t="shared" si="48"/>
        <v>102021112</v>
      </c>
      <c r="W392" s="39">
        <v>1</v>
      </c>
      <c r="X392" s="40" t="s">
        <v>647</v>
      </c>
      <c r="Y392" s="40" t="s">
        <v>647</v>
      </c>
      <c r="Z392" s="40" t="s">
        <v>1229</v>
      </c>
      <c r="AA392" s="40" t="s">
        <v>1243</v>
      </c>
      <c r="AB392" s="41" t="s">
        <v>1649</v>
      </c>
      <c r="AC392" s="519">
        <f t="shared" si="49"/>
        <v>0</v>
      </c>
      <c r="AD392" s="517" t="s">
        <v>1422</v>
      </c>
      <c r="AE392" s="517" t="s">
        <v>13417</v>
      </c>
      <c r="AF392" s="517" t="s">
        <v>1650</v>
      </c>
      <c r="AG392" s="520" t="s">
        <v>1651</v>
      </c>
      <c r="AH392" s="66"/>
      <c r="AI392" s="10"/>
      <c r="AJ392" s="9"/>
      <c r="AK392" s="10"/>
      <c r="AL392" s="10"/>
    </row>
    <row r="393" spans="1:38" ht="45" hidden="1">
      <c r="A393" s="1">
        <f t="shared" si="50"/>
        <v>0</v>
      </c>
      <c r="B393" s="2" t="s">
        <v>1660</v>
      </c>
      <c r="C393" s="3" t="s">
        <v>1661</v>
      </c>
      <c r="D393" s="15" t="s">
        <v>11468</v>
      </c>
      <c r="E393" s="4" t="s">
        <v>1660</v>
      </c>
      <c r="F393" s="37" t="s">
        <v>1661</v>
      </c>
      <c r="G393" s="47">
        <v>0</v>
      </c>
      <c r="H393" s="38">
        <v>0</v>
      </c>
      <c r="I393" s="15"/>
      <c r="J393" s="494">
        <v>10202111057</v>
      </c>
      <c r="K393" s="517" t="s">
        <v>1422</v>
      </c>
      <c r="L393" s="517" t="s">
        <v>13416</v>
      </c>
      <c r="M393" s="517" t="s">
        <v>203</v>
      </c>
      <c r="N393" s="518" t="s">
        <v>1554</v>
      </c>
      <c r="O393" s="517">
        <v>1</v>
      </c>
      <c r="P393" s="517" t="s">
        <v>647</v>
      </c>
      <c r="Q393" s="517" t="s">
        <v>647</v>
      </c>
      <c r="R393" s="517" t="s">
        <v>1229</v>
      </c>
      <c r="S393" s="517" t="s">
        <v>1225</v>
      </c>
      <c r="T393" s="518" t="s">
        <v>1553</v>
      </c>
      <c r="U393" s="38">
        <v>0</v>
      </c>
      <c r="V393" s="15" t="str">
        <f t="shared" si="48"/>
        <v>102021112</v>
      </c>
      <c r="W393" s="39">
        <v>1</v>
      </c>
      <c r="X393" s="40" t="s">
        <v>647</v>
      </c>
      <c r="Y393" s="40" t="s">
        <v>647</v>
      </c>
      <c r="Z393" s="40" t="s">
        <v>1229</v>
      </c>
      <c r="AA393" s="40" t="s">
        <v>1243</v>
      </c>
      <c r="AB393" s="41" t="s">
        <v>1649</v>
      </c>
      <c r="AC393" s="519">
        <f t="shared" si="49"/>
        <v>0</v>
      </c>
      <c r="AD393" s="517" t="s">
        <v>1422</v>
      </c>
      <c r="AE393" s="517" t="s">
        <v>13417</v>
      </c>
      <c r="AF393" s="517" t="s">
        <v>1650</v>
      </c>
      <c r="AG393" s="520" t="s">
        <v>1651</v>
      </c>
      <c r="AH393" s="66"/>
      <c r="AI393" s="10"/>
      <c r="AJ393" s="9"/>
      <c r="AK393" s="10"/>
      <c r="AL393" s="10"/>
    </row>
    <row r="394" spans="1:38" ht="67.5" hidden="1">
      <c r="A394" s="1">
        <f t="shared" si="50"/>
        <v>0</v>
      </c>
      <c r="B394" s="2" t="s">
        <v>1662</v>
      </c>
      <c r="C394" s="3" t="s">
        <v>1663</v>
      </c>
      <c r="D394" s="15" t="s">
        <v>11468</v>
      </c>
      <c r="E394" s="4" t="s">
        <v>1662</v>
      </c>
      <c r="F394" s="37" t="s">
        <v>1663</v>
      </c>
      <c r="G394" s="47">
        <v>0</v>
      </c>
      <c r="H394" s="38">
        <v>0</v>
      </c>
      <c r="I394" s="15"/>
      <c r="J394" s="494">
        <v>10202111058</v>
      </c>
      <c r="K394" s="517" t="s">
        <v>1422</v>
      </c>
      <c r="L394" s="517" t="s">
        <v>13416</v>
      </c>
      <c r="M394" s="517" t="s">
        <v>203</v>
      </c>
      <c r="N394" s="518" t="s">
        <v>1554</v>
      </c>
      <c r="O394" s="517">
        <v>1</v>
      </c>
      <c r="P394" s="517" t="s">
        <v>647</v>
      </c>
      <c r="Q394" s="517" t="s">
        <v>647</v>
      </c>
      <c r="R394" s="517" t="s">
        <v>1229</v>
      </c>
      <c r="S394" s="517" t="s">
        <v>1225</v>
      </c>
      <c r="T394" s="518" t="s">
        <v>1553</v>
      </c>
      <c r="U394" s="38">
        <v>0</v>
      </c>
      <c r="V394" s="15" t="str">
        <f t="shared" si="48"/>
        <v>102021112</v>
      </c>
      <c r="W394" s="39">
        <v>1</v>
      </c>
      <c r="X394" s="40" t="s">
        <v>647</v>
      </c>
      <c r="Y394" s="40" t="s">
        <v>647</v>
      </c>
      <c r="Z394" s="40" t="s">
        <v>1229</v>
      </c>
      <c r="AA394" s="40" t="s">
        <v>1243</v>
      </c>
      <c r="AB394" s="41" t="s">
        <v>1649</v>
      </c>
      <c r="AC394" s="519">
        <f t="shared" si="49"/>
        <v>0</v>
      </c>
      <c r="AD394" s="517" t="s">
        <v>1422</v>
      </c>
      <c r="AE394" s="517" t="s">
        <v>13417</v>
      </c>
      <c r="AF394" s="517" t="s">
        <v>1650</v>
      </c>
      <c r="AG394" s="520" t="s">
        <v>1651</v>
      </c>
      <c r="AH394" s="66"/>
      <c r="AI394" s="10"/>
      <c r="AJ394" s="9"/>
      <c r="AK394" s="10"/>
      <c r="AL394" s="10"/>
    </row>
    <row r="395" spans="1:38" ht="56.25" hidden="1">
      <c r="A395" s="1">
        <f t="shared" si="50"/>
        <v>0</v>
      </c>
      <c r="B395" s="2" t="s">
        <v>1664</v>
      </c>
      <c r="C395" s="3" t="s">
        <v>1665</v>
      </c>
      <c r="D395" s="15" t="s">
        <v>11468</v>
      </c>
      <c r="E395" s="4" t="s">
        <v>1664</v>
      </c>
      <c r="F395" s="37" t="s">
        <v>1665</v>
      </c>
      <c r="G395" s="47">
        <v>0</v>
      </c>
      <c r="H395" s="38">
        <v>0</v>
      </c>
      <c r="I395" s="15"/>
      <c r="J395" s="494">
        <v>10202111059</v>
      </c>
      <c r="K395" s="517" t="s">
        <v>1422</v>
      </c>
      <c r="L395" s="517" t="s">
        <v>13416</v>
      </c>
      <c r="M395" s="517" t="s">
        <v>203</v>
      </c>
      <c r="N395" s="518" t="s">
        <v>1554</v>
      </c>
      <c r="O395" s="517">
        <v>1</v>
      </c>
      <c r="P395" s="517" t="s">
        <v>647</v>
      </c>
      <c r="Q395" s="517" t="s">
        <v>647</v>
      </c>
      <c r="R395" s="517" t="s">
        <v>1229</v>
      </c>
      <c r="S395" s="517" t="s">
        <v>1225</v>
      </c>
      <c r="T395" s="518" t="s">
        <v>1553</v>
      </c>
      <c r="U395" s="38">
        <v>0</v>
      </c>
      <c r="V395" s="15" t="str">
        <f t="shared" si="48"/>
        <v>102021112</v>
      </c>
      <c r="W395" s="39">
        <v>1</v>
      </c>
      <c r="X395" s="40" t="s">
        <v>647</v>
      </c>
      <c r="Y395" s="40" t="s">
        <v>647</v>
      </c>
      <c r="Z395" s="40" t="s">
        <v>1229</v>
      </c>
      <c r="AA395" s="40" t="s">
        <v>1243</v>
      </c>
      <c r="AB395" s="41" t="s">
        <v>1649</v>
      </c>
      <c r="AC395" s="519">
        <f t="shared" si="49"/>
        <v>0</v>
      </c>
      <c r="AD395" s="517" t="s">
        <v>1422</v>
      </c>
      <c r="AE395" s="517" t="s">
        <v>13417</v>
      </c>
      <c r="AF395" s="517" t="s">
        <v>1650</v>
      </c>
      <c r="AG395" s="520" t="s">
        <v>1651</v>
      </c>
      <c r="AH395" s="66"/>
      <c r="AI395" s="10"/>
      <c r="AJ395" s="9"/>
      <c r="AK395" s="10"/>
      <c r="AL395" s="10"/>
    </row>
    <row r="396" spans="1:38" s="552" customFormat="1" ht="33.75" hidden="1">
      <c r="A396" s="549">
        <f t="shared" si="50"/>
        <v>0</v>
      </c>
      <c r="B396" s="550" t="s">
        <v>1666</v>
      </c>
      <c r="C396" s="551" t="s">
        <v>1667</v>
      </c>
      <c r="D396" s="15" t="s">
        <v>11468</v>
      </c>
      <c r="E396" s="550" t="s">
        <v>1666</v>
      </c>
      <c r="F396" s="551" t="s">
        <v>1667</v>
      </c>
      <c r="G396" s="553"/>
      <c r="H396" s="38">
        <v>303000</v>
      </c>
      <c r="I396" s="533"/>
      <c r="J396" s="534">
        <v>10202111060</v>
      </c>
      <c r="K396" s="554" t="s">
        <v>1422</v>
      </c>
      <c r="L396" s="554" t="s">
        <v>13416</v>
      </c>
      <c r="M396" s="554" t="s">
        <v>203</v>
      </c>
      <c r="N396" s="555" t="s">
        <v>1554</v>
      </c>
      <c r="O396" s="554">
        <v>1</v>
      </c>
      <c r="P396" s="554" t="s">
        <v>647</v>
      </c>
      <c r="Q396" s="554" t="s">
        <v>647</v>
      </c>
      <c r="R396" s="554" t="s">
        <v>1229</v>
      </c>
      <c r="S396" s="554" t="s">
        <v>1225</v>
      </c>
      <c r="T396" s="555" t="s">
        <v>1553</v>
      </c>
      <c r="U396" s="38">
        <v>303000</v>
      </c>
      <c r="V396" s="15" t="str">
        <f t="shared" si="48"/>
        <v>102021112</v>
      </c>
      <c r="W396" s="39">
        <v>1</v>
      </c>
      <c r="X396" s="40" t="s">
        <v>647</v>
      </c>
      <c r="Y396" s="40" t="s">
        <v>647</v>
      </c>
      <c r="Z396" s="40" t="s">
        <v>1229</v>
      </c>
      <c r="AA396" s="40" t="s">
        <v>1243</v>
      </c>
      <c r="AB396" s="41" t="s">
        <v>1649</v>
      </c>
      <c r="AC396" s="519">
        <f t="shared" si="49"/>
        <v>303000</v>
      </c>
      <c r="AD396" s="554" t="s">
        <v>1422</v>
      </c>
      <c r="AE396" s="554" t="s">
        <v>13417</v>
      </c>
      <c r="AF396" s="554" t="s">
        <v>1650</v>
      </c>
      <c r="AG396" s="556" t="s">
        <v>1651</v>
      </c>
      <c r="AH396" s="557"/>
      <c r="AI396" s="558"/>
      <c r="AJ396" s="9"/>
      <c r="AK396" s="558"/>
      <c r="AL396" s="558"/>
    </row>
    <row r="397" spans="1:38" s="552" customFormat="1" ht="45" hidden="1">
      <c r="A397" s="549">
        <f t="shared" si="50"/>
        <v>0</v>
      </c>
      <c r="B397" s="550" t="s">
        <v>1547</v>
      </c>
      <c r="C397" s="551" t="s">
        <v>1548</v>
      </c>
      <c r="D397" s="15" t="s">
        <v>11470</v>
      </c>
      <c r="E397" s="559" t="s">
        <v>1547</v>
      </c>
      <c r="F397" s="560" t="s">
        <v>1548</v>
      </c>
      <c r="G397" s="553">
        <v>241540.12</v>
      </c>
      <c r="H397" s="38">
        <v>46636.29</v>
      </c>
      <c r="I397" s="533"/>
      <c r="J397" s="534">
        <v>10202111101</v>
      </c>
      <c r="K397" s="554" t="s">
        <v>1422</v>
      </c>
      <c r="L397" s="554" t="s">
        <v>13602</v>
      </c>
      <c r="M397" s="554" t="s">
        <v>1549</v>
      </c>
      <c r="N397" s="555" t="s">
        <v>1550</v>
      </c>
      <c r="O397" s="554">
        <v>1</v>
      </c>
      <c r="P397" s="554" t="s">
        <v>647</v>
      </c>
      <c r="Q397" s="554" t="s">
        <v>647</v>
      </c>
      <c r="R397" s="554" t="s">
        <v>1229</v>
      </c>
      <c r="S397" s="554" t="s">
        <v>1229</v>
      </c>
      <c r="T397" s="555" t="s">
        <v>1548</v>
      </c>
      <c r="U397" s="38">
        <v>46636.29</v>
      </c>
      <c r="V397" s="15" t="str">
        <f t="shared" si="48"/>
        <v>102021112</v>
      </c>
      <c r="W397" s="39">
        <v>1</v>
      </c>
      <c r="X397" s="40" t="s">
        <v>647</v>
      </c>
      <c r="Y397" s="40" t="s">
        <v>647</v>
      </c>
      <c r="Z397" s="40" t="s">
        <v>1229</v>
      </c>
      <c r="AA397" s="40" t="s">
        <v>1243</v>
      </c>
      <c r="AB397" s="41" t="s">
        <v>1649</v>
      </c>
      <c r="AC397" s="519">
        <f t="shared" si="49"/>
        <v>46636.29</v>
      </c>
      <c r="AD397" s="554" t="s">
        <v>1422</v>
      </c>
      <c r="AE397" s="554" t="s">
        <v>13417</v>
      </c>
      <c r="AF397" s="554" t="s">
        <v>1650</v>
      </c>
      <c r="AG397" s="556" t="s">
        <v>1651</v>
      </c>
      <c r="AH397" s="557"/>
      <c r="AI397" s="558"/>
      <c r="AJ397" s="9"/>
      <c r="AK397" s="558"/>
      <c r="AL397" s="558"/>
    </row>
    <row r="398" spans="1:38" ht="33.75" hidden="1">
      <c r="A398" s="1">
        <f t="shared" si="50"/>
        <v>0</v>
      </c>
      <c r="B398" s="2" t="s">
        <v>1647</v>
      </c>
      <c r="C398" s="3" t="s">
        <v>1648</v>
      </c>
      <c r="D398" s="15" t="s">
        <v>11469</v>
      </c>
      <c r="E398" s="4" t="s">
        <v>1647</v>
      </c>
      <c r="F398" s="37" t="s">
        <v>1648</v>
      </c>
      <c r="G398" s="47">
        <v>0</v>
      </c>
      <c r="H398" s="38">
        <v>0</v>
      </c>
      <c r="I398" s="15"/>
      <c r="J398" s="494">
        <v>10202111201</v>
      </c>
      <c r="K398" s="517" t="s">
        <v>1422</v>
      </c>
      <c r="L398" s="517" t="s">
        <v>13417</v>
      </c>
      <c r="M398" s="517" t="s">
        <v>1650</v>
      </c>
      <c r="N398" s="518" t="s">
        <v>1651</v>
      </c>
      <c r="O398" s="517">
        <v>1</v>
      </c>
      <c r="P398" s="517" t="s">
        <v>647</v>
      </c>
      <c r="Q398" s="517" t="s">
        <v>647</v>
      </c>
      <c r="R398" s="517" t="s">
        <v>1229</v>
      </c>
      <c r="S398" s="517" t="s">
        <v>1243</v>
      </c>
      <c r="T398" s="518" t="s">
        <v>1649</v>
      </c>
      <c r="U398" s="38">
        <v>0</v>
      </c>
      <c r="V398" s="15" t="str">
        <f t="shared" si="48"/>
        <v>102021112</v>
      </c>
      <c r="W398" s="39">
        <v>1</v>
      </c>
      <c r="X398" s="40" t="s">
        <v>647</v>
      </c>
      <c r="Y398" s="40" t="s">
        <v>647</v>
      </c>
      <c r="Z398" s="40" t="s">
        <v>1229</v>
      </c>
      <c r="AA398" s="40" t="s">
        <v>1243</v>
      </c>
      <c r="AB398" s="41" t="s">
        <v>1649</v>
      </c>
      <c r="AC398" s="519">
        <f t="shared" si="49"/>
        <v>0</v>
      </c>
      <c r="AD398" s="517" t="s">
        <v>1422</v>
      </c>
      <c r="AE398" s="517" t="s">
        <v>13417</v>
      </c>
      <c r="AF398" s="517" t="s">
        <v>1650</v>
      </c>
      <c r="AG398" s="520" t="s">
        <v>1651</v>
      </c>
      <c r="AH398" s="66"/>
      <c r="AI398" s="10"/>
      <c r="AJ398" s="9">
        <f>AH398-H398</f>
        <v>0</v>
      </c>
      <c r="AK398" s="10"/>
      <c r="AL398" s="10"/>
    </row>
    <row r="399" spans="1:38" ht="33.75" hidden="1">
      <c r="A399" s="1">
        <f t="shared" si="50"/>
        <v>0</v>
      </c>
      <c r="B399" s="2" t="s">
        <v>1668</v>
      </c>
      <c r="C399" s="3" t="s">
        <v>1669</v>
      </c>
      <c r="D399" s="15" t="s">
        <v>11471</v>
      </c>
      <c r="E399" s="4" t="s">
        <v>1668</v>
      </c>
      <c r="F399" s="37" t="s">
        <v>1669</v>
      </c>
      <c r="G399" s="47">
        <v>0</v>
      </c>
      <c r="H399" s="38">
        <v>0</v>
      </c>
      <c r="I399" s="15"/>
      <c r="J399" s="494">
        <v>10202112014</v>
      </c>
      <c r="K399" s="517"/>
      <c r="L399" s="517" t="s">
        <v>1417</v>
      </c>
      <c r="M399" s="517" t="s">
        <v>1418</v>
      </c>
      <c r="N399" s="518" t="s">
        <v>1419</v>
      </c>
      <c r="O399" s="517">
        <v>1</v>
      </c>
      <c r="P399" s="517" t="s">
        <v>647</v>
      </c>
      <c r="Q399" s="517" t="s">
        <v>647</v>
      </c>
      <c r="R399" s="517" t="s">
        <v>1229</v>
      </c>
      <c r="S399" s="517" t="s">
        <v>630</v>
      </c>
      <c r="T399" s="518" t="s">
        <v>1416</v>
      </c>
      <c r="U399" s="38">
        <v>0</v>
      </c>
      <c r="V399" s="15" t="str">
        <f t="shared" si="48"/>
        <v>102021112</v>
      </c>
      <c r="W399" s="39">
        <v>1</v>
      </c>
      <c r="X399" s="40" t="s">
        <v>647</v>
      </c>
      <c r="Y399" s="40" t="s">
        <v>647</v>
      </c>
      <c r="Z399" s="40" t="s">
        <v>1229</v>
      </c>
      <c r="AA399" s="40" t="s">
        <v>1243</v>
      </c>
      <c r="AB399" s="41" t="s">
        <v>1649</v>
      </c>
      <c r="AC399" s="519">
        <f t="shared" si="49"/>
        <v>0</v>
      </c>
      <c r="AD399" s="517" t="s">
        <v>1422</v>
      </c>
      <c r="AE399" s="517" t="s">
        <v>13417</v>
      </c>
      <c r="AF399" s="517" t="s">
        <v>1650</v>
      </c>
      <c r="AG399" s="520" t="s">
        <v>1651</v>
      </c>
      <c r="AH399" s="66"/>
      <c r="AI399" s="10"/>
      <c r="AJ399" s="9">
        <f>AH399-H399</f>
        <v>0</v>
      </c>
      <c r="AK399" s="10"/>
      <c r="AL399" s="10"/>
    </row>
    <row r="400" spans="1:38" ht="33.75" hidden="1">
      <c r="A400" s="1">
        <f t="shared" si="50"/>
        <v>0</v>
      </c>
      <c r="B400" s="2" t="s">
        <v>1670</v>
      </c>
      <c r="C400" s="3" t="s">
        <v>1671</v>
      </c>
      <c r="D400" s="15" t="s">
        <v>11471</v>
      </c>
      <c r="E400" s="4" t="s">
        <v>1670</v>
      </c>
      <c r="F400" s="37" t="s">
        <v>1671</v>
      </c>
      <c r="G400" s="47">
        <v>0</v>
      </c>
      <c r="H400" s="38">
        <v>0</v>
      </c>
      <c r="I400" s="15"/>
      <c r="J400" s="494">
        <v>10202112015</v>
      </c>
      <c r="K400" s="517"/>
      <c r="L400" s="517" t="s">
        <v>1417</v>
      </c>
      <c r="M400" s="517" t="s">
        <v>1418</v>
      </c>
      <c r="N400" s="518" t="s">
        <v>1419</v>
      </c>
      <c r="O400" s="517">
        <v>1</v>
      </c>
      <c r="P400" s="517" t="s">
        <v>647</v>
      </c>
      <c r="Q400" s="517" t="s">
        <v>647</v>
      </c>
      <c r="R400" s="517" t="s">
        <v>1229</v>
      </c>
      <c r="S400" s="517" t="s">
        <v>630</v>
      </c>
      <c r="T400" s="518" t="s">
        <v>1416</v>
      </c>
      <c r="U400" s="38">
        <v>0</v>
      </c>
      <c r="V400" s="15" t="str">
        <f t="shared" si="48"/>
        <v>102021112</v>
      </c>
      <c r="W400" s="39">
        <v>1</v>
      </c>
      <c r="X400" s="40" t="s">
        <v>647</v>
      </c>
      <c r="Y400" s="40" t="s">
        <v>647</v>
      </c>
      <c r="Z400" s="40" t="s">
        <v>1229</v>
      </c>
      <c r="AA400" s="40" t="s">
        <v>1243</v>
      </c>
      <c r="AB400" s="41" t="s">
        <v>1649</v>
      </c>
      <c r="AC400" s="519">
        <f t="shared" si="49"/>
        <v>0</v>
      </c>
      <c r="AD400" s="517" t="s">
        <v>1422</v>
      </c>
      <c r="AE400" s="517" t="s">
        <v>13417</v>
      </c>
      <c r="AF400" s="517" t="s">
        <v>1650</v>
      </c>
      <c r="AG400" s="520" t="s">
        <v>1651</v>
      </c>
      <c r="AH400" s="66"/>
      <c r="AI400" s="10"/>
      <c r="AJ400" s="9">
        <f>AH400-H400</f>
        <v>0</v>
      </c>
      <c r="AK400" s="10"/>
      <c r="AL400" s="10"/>
    </row>
    <row r="401" spans="1:38" ht="45" hidden="1">
      <c r="A401" s="1">
        <f t="shared" si="50"/>
        <v>0</v>
      </c>
      <c r="C401" s="3" t="s">
        <v>1672</v>
      </c>
      <c r="D401" s="15" t="s">
        <v>16</v>
      </c>
      <c r="E401" s="30"/>
      <c r="F401" s="31" t="s">
        <v>1673</v>
      </c>
      <c r="G401" s="32">
        <f>SUM(G402:G439)</f>
        <v>32095466.129999999</v>
      </c>
      <c r="H401" s="32">
        <f>SUM(H402:H439)</f>
        <v>39168330.500000007</v>
      </c>
      <c r="I401" s="15"/>
      <c r="J401" s="494"/>
      <c r="K401" s="513"/>
      <c r="L401" s="513"/>
      <c r="M401" s="513"/>
      <c r="N401" s="514"/>
      <c r="O401" s="513"/>
      <c r="P401" s="513"/>
      <c r="Q401" s="513"/>
      <c r="R401" s="513"/>
      <c r="S401" s="513"/>
      <c r="T401" s="514"/>
      <c r="U401" s="32">
        <f>SUM(U402:U439)</f>
        <v>39168330.500000007</v>
      </c>
      <c r="V401" s="15" t="str">
        <f t="shared" si="48"/>
        <v>102021200</v>
      </c>
      <c r="W401" s="33">
        <v>1</v>
      </c>
      <c r="X401" s="34" t="s">
        <v>647</v>
      </c>
      <c r="Y401" s="34" t="s">
        <v>647</v>
      </c>
      <c r="Z401" s="35" t="s">
        <v>1243</v>
      </c>
      <c r="AA401" s="35" t="s">
        <v>630</v>
      </c>
      <c r="AB401" s="31" t="s">
        <v>1673</v>
      </c>
      <c r="AC401" s="561">
        <f>SUM(AC402:AC439)</f>
        <v>39168330.500000007</v>
      </c>
      <c r="AD401" s="513">
        <v>0</v>
      </c>
      <c r="AE401" s="513" t="s">
        <v>13418</v>
      </c>
      <c r="AF401" s="513" t="s">
        <v>1674</v>
      </c>
      <c r="AG401" s="514" t="s">
        <v>1675</v>
      </c>
      <c r="AH401" s="545">
        <f>AC401</f>
        <v>39168330.500000007</v>
      </c>
      <c r="AI401" s="10"/>
      <c r="AJ401" s="9">
        <f>AH401-H401</f>
        <v>0</v>
      </c>
      <c r="AK401" s="10"/>
      <c r="AL401" s="10"/>
    </row>
    <row r="402" spans="1:38" ht="45" hidden="1">
      <c r="A402" s="1">
        <f t="shared" si="50"/>
        <v>0</v>
      </c>
      <c r="B402" s="2" t="s">
        <v>1676</v>
      </c>
      <c r="C402" s="3" t="s">
        <v>1677</v>
      </c>
      <c r="D402" s="15" t="s">
        <v>11472</v>
      </c>
      <c r="E402" s="4" t="s">
        <v>1676</v>
      </c>
      <c r="F402" s="37" t="s">
        <v>1677</v>
      </c>
      <c r="G402" s="38">
        <v>0</v>
      </c>
      <c r="H402" s="38">
        <v>0</v>
      </c>
      <c r="I402" s="15"/>
      <c r="J402" s="494">
        <v>10202120101</v>
      </c>
      <c r="K402" s="517" t="s">
        <v>1422</v>
      </c>
      <c r="L402" s="517" t="s">
        <v>1679</v>
      </c>
      <c r="M402" s="517" t="s">
        <v>204</v>
      </c>
      <c r="N402" s="518" t="s">
        <v>1680</v>
      </c>
      <c r="O402" s="517">
        <v>1</v>
      </c>
      <c r="P402" s="517" t="s">
        <v>647</v>
      </c>
      <c r="Q402" s="517" t="s">
        <v>647</v>
      </c>
      <c r="R402" s="517" t="s">
        <v>1243</v>
      </c>
      <c r="S402" s="517" t="s">
        <v>632</v>
      </c>
      <c r="T402" s="518" t="s">
        <v>1678</v>
      </c>
      <c r="U402" s="38">
        <v>0</v>
      </c>
      <c r="V402" s="15" t="str">
        <f t="shared" si="48"/>
        <v>102021201</v>
      </c>
      <c r="W402" s="39">
        <v>1</v>
      </c>
      <c r="X402" s="40" t="s">
        <v>647</v>
      </c>
      <c r="Y402" s="40" t="s">
        <v>647</v>
      </c>
      <c r="Z402" s="40" t="s">
        <v>1243</v>
      </c>
      <c r="AA402" s="40" t="s">
        <v>632</v>
      </c>
      <c r="AB402" s="41" t="s">
        <v>1678</v>
      </c>
      <c r="AC402" s="519">
        <f>SUM(H402:H434)</f>
        <v>39168330.500000007</v>
      </c>
      <c r="AD402" s="517" t="s">
        <v>1422</v>
      </c>
      <c r="AE402" s="517" t="s">
        <v>1679</v>
      </c>
      <c r="AF402" s="517" t="s">
        <v>204</v>
      </c>
      <c r="AG402" s="520" t="s">
        <v>1680</v>
      </c>
      <c r="AH402" s="67">
        <f>AC402</f>
        <v>39168330.500000007</v>
      </c>
      <c r="AI402" s="10"/>
      <c r="AJ402" s="9"/>
      <c r="AK402" s="10"/>
      <c r="AL402" s="10"/>
    </row>
    <row r="403" spans="1:38" ht="45" hidden="1">
      <c r="A403" s="1">
        <f t="shared" si="50"/>
        <v>0</v>
      </c>
      <c r="B403" s="2" t="s">
        <v>1681</v>
      </c>
      <c r="C403" s="3" t="s">
        <v>1682</v>
      </c>
      <c r="D403" s="15" t="s">
        <v>11472</v>
      </c>
      <c r="E403" s="4" t="s">
        <v>1681</v>
      </c>
      <c r="F403" s="37" t="s">
        <v>1682</v>
      </c>
      <c r="G403" s="38">
        <v>0</v>
      </c>
      <c r="H403" s="38">
        <v>0</v>
      </c>
      <c r="I403" s="15"/>
      <c r="J403" s="494">
        <v>10202120102</v>
      </c>
      <c r="K403" s="523" t="s">
        <v>1422</v>
      </c>
      <c r="L403" s="523" t="s">
        <v>1679</v>
      </c>
      <c r="M403" s="523" t="s">
        <v>204</v>
      </c>
      <c r="N403" s="518" t="s">
        <v>1680</v>
      </c>
      <c r="O403" s="523">
        <v>1</v>
      </c>
      <c r="P403" s="523" t="s">
        <v>647</v>
      </c>
      <c r="Q403" s="523" t="s">
        <v>647</v>
      </c>
      <c r="R403" s="523" t="s">
        <v>1243</v>
      </c>
      <c r="S403" s="523" t="s">
        <v>632</v>
      </c>
      <c r="T403" s="518" t="s">
        <v>1678</v>
      </c>
      <c r="U403" s="38">
        <v>0</v>
      </c>
      <c r="V403" s="15" t="str">
        <f t="shared" si="48"/>
        <v/>
      </c>
      <c r="W403" s="10"/>
      <c r="X403" s="10"/>
      <c r="Y403" s="10"/>
      <c r="Z403" s="10"/>
      <c r="AA403" s="10"/>
      <c r="AB403" s="10"/>
      <c r="AC403" s="10"/>
      <c r="AD403" s="523" t="e">
        <v>#N/A</v>
      </c>
      <c r="AE403" s="523" t="e">
        <v>#N/A</v>
      </c>
      <c r="AF403" s="523" t="e">
        <v>#N/A</v>
      </c>
      <c r="AG403" s="524" t="e">
        <v>#N/A</v>
      </c>
      <c r="AH403" s="9"/>
      <c r="AI403" s="10"/>
      <c r="AJ403" s="9"/>
      <c r="AK403" s="10"/>
      <c r="AL403" s="10"/>
    </row>
    <row r="404" spans="1:38" ht="45" hidden="1">
      <c r="A404" s="1">
        <f t="shared" si="50"/>
        <v>0</v>
      </c>
      <c r="B404" s="2" t="s">
        <v>1683</v>
      </c>
      <c r="C404" s="3" t="s">
        <v>1684</v>
      </c>
      <c r="D404" s="15" t="s">
        <v>11472</v>
      </c>
      <c r="E404" s="4" t="s">
        <v>1683</v>
      </c>
      <c r="F404" s="37" t="s">
        <v>1684</v>
      </c>
      <c r="G404" s="38">
        <v>100476.07</v>
      </c>
      <c r="H404" s="38">
        <v>100476.07</v>
      </c>
      <c r="I404" s="15"/>
      <c r="J404" s="494">
        <v>10202120103</v>
      </c>
      <c r="K404" s="523" t="s">
        <v>1422</v>
      </c>
      <c r="L404" s="523" t="s">
        <v>1679</v>
      </c>
      <c r="M404" s="523" t="s">
        <v>204</v>
      </c>
      <c r="N404" s="518" t="s">
        <v>1680</v>
      </c>
      <c r="O404" s="523">
        <v>1</v>
      </c>
      <c r="P404" s="523" t="s">
        <v>647</v>
      </c>
      <c r="Q404" s="523" t="s">
        <v>647</v>
      </c>
      <c r="R404" s="523" t="s">
        <v>1243</v>
      </c>
      <c r="S404" s="523" t="s">
        <v>632</v>
      </c>
      <c r="T404" s="518" t="s">
        <v>1678</v>
      </c>
      <c r="U404" s="38">
        <v>100476.07</v>
      </c>
      <c r="V404" s="15" t="str">
        <f t="shared" si="48"/>
        <v/>
      </c>
      <c r="W404" s="10"/>
      <c r="X404" s="10"/>
      <c r="Y404" s="10"/>
      <c r="Z404" s="10"/>
      <c r="AA404" s="10"/>
      <c r="AB404" s="10"/>
      <c r="AC404" s="10"/>
      <c r="AD404" s="523" t="e">
        <v>#N/A</v>
      </c>
      <c r="AE404" s="523" t="e">
        <v>#N/A</v>
      </c>
      <c r="AF404" s="523" t="e">
        <v>#N/A</v>
      </c>
      <c r="AG404" s="524" t="e">
        <v>#N/A</v>
      </c>
      <c r="AH404" s="9"/>
      <c r="AI404" s="10"/>
      <c r="AJ404" s="9"/>
      <c r="AK404" s="10"/>
      <c r="AL404" s="10"/>
    </row>
    <row r="405" spans="1:38" ht="45" hidden="1">
      <c r="A405" s="1">
        <f t="shared" si="50"/>
        <v>0</v>
      </c>
      <c r="B405" s="2" t="s">
        <v>1685</v>
      </c>
      <c r="C405" s="3" t="s">
        <v>1686</v>
      </c>
      <c r="D405" s="15" t="s">
        <v>11472</v>
      </c>
      <c r="E405" s="4" t="s">
        <v>1685</v>
      </c>
      <c r="F405" s="37" t="s">
        <v>1686</v>
      </c>
      <c r="G405" s="38">
        <v>0</v>
      </c>
      <c r="H405" s="38">
        <v>0</v>
      </c>
      <c r="I405" s="15"/>
      <c r="J405" s="494">
        <v>10202120104</v>
      </c>
      <c r="K405" s="523" t="s">
        <v>1422</v>
      </c>
      <c r="L405" s="523" t="s">
        <v>1679</v>
      </c>
      <c r="M405" s="523" t="s">
        <v>204</v>
      </c>
      <c r="N405" s="518" t="s">
        <v>1680</v>
      </c>
      <c r="O405" s="523">
        <v>1</v>
      </c>
      <c r="P405" s="523" t="s">
        <v>647</v>
      </c>
      <c r="Q405" s="523" t="s">
        <v>647</v>
      </c>
      <c r="R405" s="523" t="s">
        <v>1243</v>
      </c>
      <c r="S405" s="523" t="s">
        <v>632</v>
      </c>
      <c r="T405" s="518" t="s">
        <v>1678</v>
      </c>
      <c r="U405" s="38">
        <v>0</v>
      </c>
      <c r="V405" s="15" t="str">
        <f t="shared" si="48"/>
        <v/>
      </c>
      <c r="W405" s="10"/>
      <c r="X405" s="10"/>
      <c r="Y405" s="10"/>
      <c r="Z405" s="10"/>
      <c r="AA405" s="10"/>
      <c r="AB405" s="10"/>
      <c r="AC405" s="10"/>
      <c r="AD405" s="523" t="e">
        <v>#N/A</v>
      </c>
      <c r="AE405" s="523" t="e">
        <v>#N/A</v>
      </c>
      <c r="AF405" s="523" t="e">
        <v>#N/A</v>
      </c>
      <c r="AG405" s="524" t="e">
        <v>#N/A</v>
      </c>
      <c r="AH405" s="9"/>
      <c r="AI405" s="10"/>
      <c r="AJ405" s="9"/>
      <c r="AK405" s="10"/>
      <c r="AL405" s="10"/>
    </row>
    <row r="406" spans="1:38" ht="45" hidden="1">
      <c r="A406" s="1">
        <f t="shared" si="50"/>
        <v>0</v>
      </c>
      <c r="B406" s="2" t="s">
        <v>1687</v>
      </c>
      <c r="C406" s="3" t="s">
        <v>1688</v>
      </c>
      <c r="D406" s="15" t="s">
        <v>11472</v>
      </c>
      <c r="E406" s="4" t="s">
        <v>1687</v>
      </c>
      <c r="F406" s="37" t="s">
        <v>1688</v>
      </c>
      <c r="G406" s="38">
        <v>0</v>
      </c>
      <c r="H406" s="38">
        <v>0</v>
      </c>
      <c r="I406" s="15"/>
      <c r="J406" s="494">
        <v>10202120105</v>
      </c>
      <c r="K406" s="523" t="s">
        <v>1422</v>
      </c>
      <c r="L406" s="523" t="s">
        <v>1679</v>
      </c>
      <c r="M406" s="523" t="s">
        <v>204</v>
      </c>
      <c r="N406" s="518" t="s">
        <v>1680</v>
      </c>
      <c r="O406" s="523">
        <v>1</v>
      </c>
      <c r="P406" s="523" t="s">
        <v>647</v>
      </c>
      <c r="Q406" s="523" t="s">
        <v>647</v>
      </c>
      <c r="R406" s="523" t="s">
        <v>1243</v>
      </c>
      <c r="S406" s="523" t="s">
        <v>632</v>
      </c>
      <c r="T406" s="518" t="s">
        <v>1678</v>
      </c>
      <c r="U406" s="38">
        <v>0</v>
      </c>
      <c r="V406" s="15" t="str">
        <f t="shared" si="48"/>
        <v/>
      </c>
      <c r="W406" s="10"/>
      <c r="X406" s="10"/>
      <c r="Y406" s="10"/>
      <c r="Z406" s="10"/>
      <c r="AA406" s="10"/>
      <c r="AB406" s="10"/>
      <c r="AC406" s="10"/>
      <c r="AD406" s="523" t="e">
        <v>#N/A</v>
      </c>
      <c r="AE406" s="523" t="e">
        <v>#N/A</v>
      </c>
      <c r="AF406" s="523" t="e">
        <v>#N/A</v>
      </c>
      <c r="AG406" s="524" t="e">
        <v>#N/A</v>
      </c>
      <c r="AH406" s="9"/>
      <c r="AI406" s="10"/>
      <c r="AJ406" s="9"/>
      <c r="AK406" s="10"/>
      <c r="AL406" s="10"/>
    </row>
    <row r="407" spans="1:38" ht="45" hidden="1">
      <c r="A407" s="1">
        <f t="shared" si="50"/>
        <v>0</v>
      </c>
      <c r="B407" s="2" t="s">
        <v>1689</v>
      </c>
      <c r="C407" s="3" t="s">
        <v>1690</v>
      </c>
      <c r="D407" s="15" t="s">
        <v>11472</v>
      </c>
      <c r="E407" s="4" t="s">
        <v>1689</v>
      </c>
      <c r="F407" s="37" t="s">
        <v>1690</v>
      </c>
      <c r="G407" s="38">
        <v>207126.75</v>
      </c>
      <c r="H407" s="38">
        <v>207126.75</v>
      </c>
      <c r="I407" s="15"/>
      <c r="J407" s="494">
        <v>10202120106</v>
      </c>
      <c r="K407" s="523" t="s">
        <v>1422</v>
      </c>
      <c r="L407" s="523" t="s">
        <v>1679</v>
      </c>
      <c r="M407" s="523" t="s">
        <v>204</v>
      </c>
      <c r="N407" s="518" t="s">
        <v>1680</v>
      </c>
      <c r="O407" s="523">
        <v>1</v>
      </c>
      <c r="P407" s="523" t="s">
        <v>647</v>
      </c>
      <c r="Q407" s="523" t="s">
        <v>647</v>
      </c>
      <c r="R407" s="523" t="s">
        <v>1243</v>
      </c>
      <c r="S407" s="523" t="s">
        <v>632</v>
      </c>
      <c r="T407" s="518" t="s">
        <v>1678</v>
      </c>
      <c r="U407" s="38">
        <v>207126.75</v>
      </c>
      <c r="V407" s="15" t="str">
        <f t="shared" si="48"/>
        <v/>
      </c>
      <c r="W407" s="10"/>
      <c r="X407" s="10"/>
      <c r="Y407" s="10"/>
      <c r="Z407" s="10"/>
      <c r="AA407" s="10"/>
      <c r="AB407" s="10"/>
      <c r="AC407" s="10"/>
      <c r="AD407" s="523" t="e">
        <v>#N/A</v>
      </c>
      <c r="AE407" s="523" t="e">
        <v>#N/A</v>
      </c>
      <c r="AF407" s="523" t="e">
        <v>#N/A</v>
      </c>
      <c r="AG407" s="524" t="e">
        <v>#N/A</v>
      </c>
      <c r="AH407" s="9"/>
      <c r="AI407" s="10"/>
      <c r="AJ407" s="9"/>
      <c r="AK407" s="10"/>
      <c r="AL407" s="10"/>
    </row>
    <row r="408" spans="1:38" ht="45" hidden="1">
      <c r="A408" s="1">
        <f t="shared" si="50"/>
        <v>0</v>
      </c>
      <c r="B408" s="2" t="s">
        <v>1691</v>
      </c>
      <c r="C408" s="3" t="s">
        <v>1692</v>
      </c>
      <c r="D408" s="15" t="s">
        <v>11472</v>
      </c>
      <c r="E408" s="4" t="s">
        <v>1691</v>
      </c>
      <c r="F408" s="37" t="s">
        <v>1692</v>
      </c>
      <c r="G408" s="38">
        <v>253000.88</v>
      </c>
      <c r="H408" s="38">
        <v>253000.88</v>
      </c>
      <c r="I408" s="15"/>
      <c r="J408" s="494">
        <v>10202120107</v>
      </c>
      <c r="K408" s="523" t="s">
        <v>1422</v>
      </c>
      <c r="L408" s="523" t="s">
        <v>1679</v>
      </c>
      <c r="M408" s="523" t="s">
        <v>204</v>
      </c>
      <c r="N408" s="518" t="s">
        <v>1680</v>
      </c>
      <c r="O408" s="523">
        <v>1</v>
      </c>
      <c r="P408" s="523" t="s">
        <v>647</v>
      </c>
      <c r="Q408" s="523" t="s">
        <v>647</v>
      </c>
      <c r="R408" s="523" t="s">
        <v>1243</v>
      </c>
      <c r="S408" s="523" t="s">
        <v>632</v>
      </c>
      <c r="T408" s="518" t="s">
        <v>1678</v>
      </c>
      <c r="U408" s="38">
        <v>253000.88</v>
      </c>
      <c r="V408" s="15" t="str">
        <f t="shared" si="48"/>
        <v/>
      </c>
      <c r="W408" s="10"/>
      <c r="X408" s="10"/>
      <c r="Y408" s="10"/>
      <c r="Z408" s="10"/>
      <c r="AA408" s="10"/>
      <c r="AB408" s="10"/>
      <c r="AC408" s="10"/>
      <c r="AD408" s="523" t="e">
        <v>#N/A</v>
      </c>
      <c r="AE408" s="523" t="e">
        <v>#N/A</v>
      </c>
      <c r="AF408" s="523" t="e">
        <v>#N/A</v>
      </c>
      <c r="AG408" s="524" t="e">
        <v>#N/A</v>
      </c>
      <c r="AH408" s="9"/>
      <c r="AI408" s="10"/>
      <c r="AJ408" s="9"/>
      <c r="AK408" s="10"/>
      <c r="AL408" s="10"/>
    </row>
    <row r="409" spans="1:38" ht="45" hidden="1">
      <c r="A409" s="1">
        <f t="shared" si="50"/>
        <v>0</v>
      </c>
      <c r="B409" s="2" t="s">
        <v>1693</v>
      </c>
      <c r="C409" s="3" t="s">
        <v>1694</v>
      </c>
      <c r="D409" s="15" t="s">
        <v>11472</v>
      </c>
      <c r="E409" s="4" t="s">
        <v>1693</v>
      </c>
      <c r="F409" s="37" t="s">
        <v>1694</v>
      </c>
      <c r="G409" s="38">
        <v>0</v>
      </c>
      <c r="H409" s="38">
        <v>0</v>
      </c>
      <c r="I409" s="15"/>
      <c r="J409" s="494">
        <v>10202120108</v>
      </c>
      <c r="K409" s="523" t="s">
        <v>1422</v>
      </c>
      <c r="L409" s="523" t="s">
        <v>1679</v>
      </c>
      <c r="M409" s="523" t="s">
        <v>204</v>
      </c>
      <c r="N409" s="518" t="s">
        <v>1680</v>
      </c>
      <c r="O409" s="523">
        <v>1</v>
      </c>
      <c r="P409" s="523" t="s">
        <v>647</v>
      </c>
      <c r="Q409" s="523" t="s">
        <v>647</v>
      </c>
      <c r="R409" s="523" t="s">
        <v>1243</v>
      </c>
      <c r="S409" s="523" t="s">
        <v>632</v>
      </c>
      <c r="T409" s="518" t="s">
        <v>1678</v>
      </c>
      <c r="U409" s="38">
        <v>0</v>
      </c>
      <c r="V409" s="15" t="str">
        <f t="shared" si="48"/>
        <v/>
      </c>
      <c r="W409" s="10"/>
      <c r="X409" s="10"/>
      <c r="Y409" s="10"/>
      <c r="Z409" s="10"/>
      <c r="AA409" s="10"/>
      <c r="AB409" s="10"/>
      <c r="AC409" s="10"/>
      <c r="AD409" s="523" t="e">
        <v>#N/A</v>
      </c>
      <c r="AE409" s="523" t="e">
        <v>#N/A</v>
      </c>
      <c r="AF409" s="523" t="e">
        <v>#N/A</v>
      </c>
      <c r="AG409" s="524" t="e">
        <v>#N/A</v>
      </c>
      <c r="AH409" s="9"/>
      <c r="AI409" s="10"/>
      <c r="AJ409" s="9"/>
      <c r="AK409" s="10"/>
      <c r="AL409" s="10"/>
    </row>
    <row r="410" spans="1:38" ht="45" hidden="1">
      <c r="A410" s="1">
        <f t="shared" si="50"/>
        <v>0</v>
      </c>
      <c r="B410" s="2" t="s">
        <v>1695</v>
      </c>
      <c r="C410" s="3" t="s">
        <v>1696</v>
      </c>
      <c r="D410" s="15" t="s">
        <v>11472</v>
      </c>
      <c r="E410" s="4" t="s">
        <v>1695</v>
      </c>
      <c r="F410" s="37" t="s">
        <v>1696</v>
      </c>
      <c r="G410" s="38">
        <v>480000</v>
      </c>
      <c r="H410" s="38">
        <v>480000</v>
      </c>
      <c r="I410" s="15"/>
      <c r="J410" s="494">
        <v>10202120109</v>
      </c>
      <c r="K410" s="523" t="s">
        <v>1422</v>
      </c>
      <c r="L410" s="523" t="s">
        <v>1679</v>
      </c>
      <c r="M410" s="523" t="s">
        <v>204</v>
      </c>
      <c r="N410" s="518" t="s">
        <v>1680</v>
      </c>
      <c r="O410" s="523">
        <v>1</v>
      </c>
      <c r="P410" s="523" t="s">
        <v>647</v>
      </c>
      <c r="Q410" s="523" t="s">
        <v>647</v>
      </c>
      <c r="R410" s="523" t="s">
        <v>1243</v>
      </c>
      <c r="S410" s="523" t="s">
        <v>632</v>
      </c>
      <c r="T410" s="518" t="s">
        <v>1678</v>
      </c>
      <c r="U410" s="38">
        <v>480000</v>
      </c>
      <c r="V410" s="15" t="str">
        <f t="shared" si="48"/>
        <v/>
      </c>
      <c r="W410" s="10"/>
      <c r="X410" s="10"/>
      <c r="Y410" s="10"/>
      <c r="Z410" s="10"/>
      <c r="AA410" s="10"/>
      <c r="AB410" s="10"/>
      <c r="AC410" s="10"/>
      <c r="AD410" s="523" t="e">
        <v>#N/A</v>
      </c>
      <c r="AE410" s="523" t="e">
        <v>#N/A</v>
      </c>
      <c r="AF410" s="523" t="e">
        <v>#N/A</v>
      </c>
      <c r="AG410" s="524" t="e">
        <v>#N/A</v>
      </c>
      <c r="AH410" s="9"/>
      <c r="AI410" s="10"/>
      <c r="AJ410" s="9"/>
      <c r="AK410" s="10"/>
      <c r="AL410" s="10"/>
    </row>
    <row r="411" spans="1:38" ht="45" hidden="1">
      <c r="A411" s="1">
        <f t="shared" si="50"/>
        <v>0</v>
      </c>
      <c r="B411" s="2" t="s">
        <v>1697</v>
      </c>
      <c r="C411" s="3" t="s">
        <v>1698</v>
      </c>
      <c r="D411" s="15" t="s">
        <v>11472</v>
      </c>
      <c r="E411" s="4" t="s">
        <v>1697</v>
      </c>
      <c r="F411" s="37" t="s">
        <v>1698</v>
      </c>
      <c r="G411" s="38">
        <v>0</v>
      </c>
      <c r="H411" s="38">
        <v>0</v>
      </c>
      <c r="I411" s="15"/>
      <c r="J411" s="494">
        <v>10202120110</v>
      </c>
      <c r="K411" s="523" t="s">
        <v>1422</v>
      </c>
      <c r="L411" s="523" t="s">
        <v>1679</v>
      </c>
      <c r="M411" s="523" t="s">
        <v>204</v>
      </c>
      <c r="N411" s="518" t="s">
        <v>1680</v>
      </c>
      <c r="O411" s="523">
        <v>1</v>
      </c>
      <c r="P411" s="523" t="s">
        <v>647</v>
      </c>
      <c r="Q411" s="523" t="s">
        <v>647</v>
      </c>
      <c r="R411" s="523" t="s">
        <v>1243</v>
      </c>
      <c r="S411" s="523" t="s">
        <v>632</v>
      </c>
      <c r="T411" s="518" t="s">
        <v>1678</v>
      </c>
      <c r="U411" s="38">
        <v>0</v>
      </c>
      <c r="V411" s="15" t="str">
        <f t="shared" si="48"/>
        <v/>
      </c>
      <c r="W411" s="10"/>
      <c r="X411" s="10"/>
      <c r="Y411" s="10"/>
      <c r="Z411" s="10"/>
      <c r="AA411" s="10"/>
      <c r="AB411" s="10"/>
      <c r="AC411" s="10"/>
      <c r="AD411" s="523" t="e">
        <v>#N/A</v>
      </c>
      <c r="AE411" s="523" t="e">
        <v>#N/A</v>
      </c>
      <c r="AF411" s="523" t="e">
        <v>#N/A</v>
      </c>
      <c r="AG411" s="524" t="e">
        <v>#N/A</v>
      </c>
      <c r="AH411" s="9"/>
      <c r="AI411" s="10"/>
      <c r="AJ411" s="9"/>
      <c r="AK411" s="10"/>
      <c r="AL411" s="10"/>
    </row>
    <row r="412" spans="1:38" ht="45" hidden="1">
      <c r="A412" s="1">
        <f t="shared" si="50"/>
        <v>0</v>
      </c>
      <c r="B412" s="2" t="s">
        <v>1699</v>
      </c>
      <c r="C412" s="3" t="s">
        <v>1700</v>
      </c>
      <c r="D412" s="15" t="s">
        <v>11472</v>
      </c>
      <c r="E412" s="4" t="s">
        <v>1699</v>
      </c>
      <c r="F412" s="37" t="s">
        <v>1700</v>
      </c>
      <c r="G412" s="38">
        <v>0</v>
      </c>
      <c r="H412" s="38">
        <v>0</v>
      </c>
      <c r="I412" s="15"/>
      <c r="J412" s="494">
        <v>10202120111</v>
      </c>
      <c r="K412" s="523" t="s">
        <v>1422</v>
      </c>
      <c r="L412" s="523" t="s">
        <v>1679</v>
      </c>
      <c r="M412" s="523" t="s">
        <v>204</v>
      </c>
      <c r="N412" s="518" t="s">
        <v>1680</v>
      </c>
      <c r="O412" s="523">
        <v>1</v>
      </c>
      <c r="P412" s="523" t="s">
        <v>647</v>
      </c>
      <c r="Q412" s="523" t="s">
        <v>647</v>
      </c>
      <c r="R412" s="523" t="s">
        <v>1243</v>
      </c>
      <c r="S412" s="523" t="s">
        <v>632</v>
      </c>
      <c r="T412" s="518" t="s">
        <v>1678</v>
      </c>
      <c r="U412" s="38">
        <v>0</v>
      </c>
      <c r="V412" s="15" t="str">
        <f t="shared" si="48"/>
        <v/>
      </c>
      <c r="W412" s="10"/>
      <c r="X412" s="10"/>
      <c r="Y412" s="10"/>
      <c r="Z412" s="10"/>
      <c r="AA412" s="10"/>
      <c r="AB412" s="10"/>
      <c r="AC412" s="10"/>
      <c r="AD412" s="523" t="e">
        <v>#N/A</v>
      </c>
      <c r="AE412" s="523" t="e">
        <v>#N/A</v>
      </c>
      <c r="AF412" s="523" t="e">
        <v>#N/A</v>
      </c>
      <c r="AG412" s="524" t="e">
        <v>#N/A</v>
      </c>
      <c r="AH412" s="9"/>
      <c r="AI412" s="10"/>
      <c r="AJ412" s="9"/>
      <c r="AK412" s="10"/>
      <c r="AL412" s="10"/>
    </row>
    <row r="413" spans="1:38" ht="45" hidden="1">
      <c r="A413" s="1">
        <f t="shared" si="50"/>
        <v>0</v>
      </c>
      <c r="B413" s="2" t="s">
        <v>1701</v>
      </c>
      <c r="C413" s="3" t="s">
        <v>1702</v>
      </c>
      <c r="D413" s="15" t="s">
        <v>11472</v>
      </c>
      <c r="E413" s="4" t="s">
        <v>1701</v>
      </c>
      <c r="F413" s="37" t="s">
        <v>1702</v>
      </c>
      <c r="G413" s="38">
        <v>989780.98</v>
      </c>
      <c r="H413" s="38">
        <v>7831634.75</v>
      </c>
      <c r="I413" s="15"/>
      <c r="J413" s="494">
        <v>10202120112</v>
      </c>
      <c r="K413" s="523" t="s">
        <v>1422</v>
      </c>
      <c r="L413" s="523" t="s">
        <v>1679</v>
      </c>
      <c r="M413" s="523" t="s">
        <v>204</v>
      </c>
      <c r="N413" s="518" t="s">
        <v>1680</v>
      </c>
      <c r="O413" s="523">
        <v>1</v>
      </c>
      <c r="P413" s="523" t="s">
        <v>647</v>
      </c>
      <c r="Q413" s="523" t="s">
        <v>647</v>
      </c>
      <c r="R413" s="523" t="s">
        <v>1243</v>
      </c>
      <c r="S413" s="523" t="s">
        <v>632</v>
      </c>
      <c r="T413" s="518" t="s">
        <v>1678</v>
      </c>
      <c r="U413" s="38">
        <v>7831634.75</v>
      </c>
      <c r="V413" s="15" t="str">
        <f t="shared" si="48"/>
        <v/>
      </c>
      <c r="W413" s="10"/>
      <c r="X413" s="10"/>
      <c r="Y413" s="10"/>
      <c r="Z413" s="10"/>
      <c r="AA413" s="10"/>
      <c r="AB413" s="10"/>
      <c r="AC413" s="10"/>
      <c r="AD413" s="523" t="e">
        <v>#N/A</v>
      </c>
      <c r="AE413" s="523" t="e">
        <v>#N/A</v>
      </c>
      <c r="AF413" s="523" t="e">
        <v>#N/A</v>
      </c>
      <c r="AG413" s="524" t="e">
        <v>#N/A</v>
      </c>
      <c r="AH413" s="9"/>
      <c r="AI413" s="10"/>
      <c r="AJ413" s="9"/>
      <c r="AK413" s="10"/>
      <c r="AL413" s="10"/>
    </row>
    <row r="414" spans="1:38" ht="45" hidden="1">
      <c r="A414" s="1">
        <f t="shared" si="50"/>
        <v>0</v>
      </c>
      <c r="B414" s="2" t="s">
        <v>1703</v>
      </c>
      <c r="C414" s="3" t="s">
        <v>1704</v>
      </c>
      <c r="D414" s="15" t="s">
        <v>11472</v>
      </c>
      <c r="E414" s="4" t="s">
        <v>1703</v>
      </c>
      <c r="F414" s="37" t="s">
        <v>1704</v>
      </c>
      <c r="G414" s="38">
        <v>903193.25</v>
      </c>
      <c r="H414" s="38">
        <v>903193.25</v>
      </c>
      <c r="I414" s="15"/>
      <c r="J414" s="494">
        <v>10202120113</v>
      </c>
      <c r="K414" s="523" t="s">
        <v>1422</v>
      </c>
      <c r="L414" s="523" t="s">
        <v>1679</v>
      </c>
      <c r="M414" s="523" t="s">
        <v>204</v>
      </c>
      <c r="N414" s="518" t="s">
        <v>1680</v>
      </c>
      <c r="O414" s="523">
        <v>1</v>
      </c>
      <c r="P414" s="523" t="s">
        <v>647</v>
      </c>
      <c r="Q414" s="523" t="s">
        <v>647</v>
      </c>
      <c r="R414" s="523" t="s">
        <v>1243</v>
      </c>
      <c r="S414" s="523" t="s">
        <v>632</v>
      </c>
      <c r="T414" s="518" t="s">
        <v>1678</v>
      </c>
      <c r="U414" s="38">
        <v>903193.25</v>
      </c>
      <c r="V414" s="15" t="str">
        <f t="shared" si="48"/>
        <v/>
      </c>
      <c r="W414" s="10"/>
      <c r="X414" s="10"/>
      <c r="Y414" s="10"/>
      <c r="Z414" s="10"/>
      <c r="AA414" s="10"/>
      <c r="AB414" s="10"/>
      <c r="AC414" s="10"/>
      <c r="AD414" s="523" t="e">
        <v>#N/A</v>
      </c>
      <c r="AE414" s="523" t="e">
        <v>#N/A</v>
      </c>
      <c r="AF414" s="523" t="e">
        <v>#N/A</v>
      </c>
      <c r="AG414" s="524" t="e">
        <v>#N/A</v>
      </c>
      <c r="AH414" s="9"/>
      <c r="AI414" s="10"/>
      <c r="AJ414" s="9"/>
      <c r="AK414" s="10"/>
      <c r="AL414" s="10"/>
    </row>
    <row r="415" spans="1:38" ht="45" hidden="1">
      <c r="A415" s="1">
        <f t="shared" si="50"/>
        <v>0</v>
      </c>
      <c r="B415" s="2" t="s">
        <v>1705</v>
      </c>
      <c r="C415" s="3" t="s">
        <v>1706</v>
      </c>
      <c r="D415" s="15" t="s">
        <v>11472</v>
      </c>
      <c r="E415" s="4" t="s">
        <v>1705</v>
      </c>
      <c r="F415" s="37" t="s">
        <v>1706</v>
      </c>
      <c r="G415" s="38">
        <v>0</v>
      </c>
      <c r="H415" s="38">
        <v>0</v>
      </c>
      <c r="I415" s="15"/>
      <c r="J415" s="494">
        <v>10202120114</v>
      </c>
      <c r="K415" s="523" t="s">
        <v>1422</v>
      </c>
      <c r="L415" s="523" t="s">
        <v>1679</v>
      </c>
      <c r="M415" s="523" t="s">
        <v>204</v>
      </c>
      <c r="N415" s="518" t="s">
        <v>1680</v>
      </c>
      <c r="O415" s="523">
        <v>1</v>
      </c>
      <c r="P415" s="523" t="s">
        <v>647</v>
      </c>
      <c r="Q415" s="523" t="s">
        <v>647</v>
      </c>
      <c r="R415" s="523" t="s">
        <v>1243</v>
      </c>
      <c r="S415" s="523" t="s">
        <v>632</v>
      </c>
      <c r="T415" s="518" t="s">
        <v>1678</v>
      </c>
      <c r="U415" s="38">
        <v>0</v>
      </c>
      <c r="V415" s="15" t="str">
        <f t="shared" si="48"/>
        <v/>
      </c>
      <c r="W415" s="10"/>
      <c r="X415" s="10"/>
      <c r="Y415" s="10"/>
      <c r="Z415" s="10"/>
      <c r="AA415" s="10"/>
      <c r="AB415" s="10"/>
      <c r="AC415" s="10"/>
      <c r="AD415" s="523" t="e">
        <v>#N/A</v>
      </c>
      <c r="AE415" s="523" t="e">
        <v>#N/A</v>
      </c>
      <c r="AF415" s="523" t="e">
        <v>#N/A</v>
      </c>
      <c r="AG415" s="524" t="e">
        <v>#N/A</v>
      </c>
      <c r="AH415" s="9"/>
      <c r="AI415" s="10"/>
      <c r="AJ415" s="9"/>
      <c r="AK415" s="10"/>
      <c r="AL415" s="10"/>
    </row>
    <row r="416" spans="1:38" ht="45" hidden="1">
      <c r="A416" s="1">
        <f t="shared" si="50"/>
        <v>0</v>
      </c>
      <c r="B416" s="2" t="s">
        <v>1707</v>
      </c>
      <c r="C416" s="3" t="s">
        <v>1708</v>
      </c>
      <c r="D416" s="15" t="s">
        <v>11472</v>
      </c>
      <c r="E416" s="4" t="s">
        <v>1707</v>
      </c>
      <c r="F416" s="37" t="s">
        <v>1708</v>
      </c>
      <c r="G416" s="38">
        <v>0</v>
      </c>
      <c r="H416" s="38">
        <v>0</v>
      </c>
      <c r="I416" s="15"/>
      <c r="J416" s="494">
        <v>10202120115</v>
      </c>
      <c r="K416" s="523" t="s">
        <v>1422</v>
      </c>
      <c r="L416" s="523" t="s">
        <v>1679</v>
      </c>
      <c r="M416" s="523" t="s">
        <v>204</v>
      </c>
      <c r="N416" s="518" t="s">
        <v>1680</v>
      </c>
      <c r="O416" s="523">
        <v>1</v>
      </c>
      <c r="P416" s="523" t="s">
        <v>647</v>
      </c>
      <c r="Q416" s="523" t="s">
        <v>647</v>
      </c>
      <c r="R416" s="523" t="s">
        <v>1243</v>
      </c>
      <c r="S416" s="523" t="s">
        <v>632</v>
      </c>
      <c r="T416" s="518" t="s">
        <v>1678</v>
      </c>
      <c r="U416" s="38">
        <v>0</v>
      </c>
      <c r="V416" s="15" t="str">
        <f t="shared" si="48"/>
        <v/>
      </c>
      <c r="W416" s="10"/>
      <c r="X416" s="10"/>
      <c r="Y416" s="10"/>
      <c r="Z416" s="10"/>
      <c r="AA416" s="10"/>
      <c r="AB416" s="10"/>
      <c r="AC416" s="10"/>
      <c r="AD416" s="523" t="e">
        <v>#N/A</v>
      </c>
      <c r="AE416" s="523" t="e">
        <v>#N/A</v>
      </c>
      <c r="AF416" s="523" t="e">
        <v>#N/A</v>
      </c>
      <c r="AG416" s="524" t="e">
        <v>#N/A</v>
      </c>
      <c r="AH416" s="9"/>
      <c r="AI416" s="10"/>
      <c r="AJ416" s="9"/>
      <c r="AK416" s="10"/>
      <c r="AL416" s="10"/>
    </row>
    <row r="417" spans="1:38" ht="45" hidden="1">
      <c r="A417" s="1">
        <f t="shared" si="50"/>
        <v>0</v>
      </c>
      <c r="B417" s="2" t="s">
        <v>1709</v>
      </c>
      <c r="C417" s="3" t="s">
        <v>1710</v>
      </c>
      <c r="D417" s="15" t="s">
        <v>11472</v>
      </c>
      <c r="E417" s="4" t="s">
        <v>1709</v>
      </c>
      <c r="F417" s="37" t="s">
        <v>1710</v>
      </c>
      <c r="G417" s="38">
        <v>88000</v>
      </c>
      <c r="H417" s="38">
        <v>88000</v>
      </c>
      <c r="I417" s="15"/>
      <c r="J417" s="494">
        <v>10202120116</v>
      </c>
      <c r="K417" s="523" t="s">
        <v>1422</v>
      </c>
      <c r="L417" s="523" t="s">
        <v>1679</v>
      </c>
      <c r="M417" s="523" t="s">
        <v>204</v>
      </c>
      <c r="N417" s="518" t="s">
        <v>1680</v>
      </c>
      <c r="O417" s="523">
        <v>1</v>
      </c>
      <c r="P417" s="523" t="s">
        <v>647</v>
      </c>
      <c r="Q417" s="523" t="s">
        <v>647</v>
      </c>
      <c r="R417" s="523" t="s">
        <v>1243</v>
      </c>
      <c r="S417" s="523" t="s">
        <v>632</v>
      </c>
      <c r="T417" s="518" t="s">
        <v>1678</v>
      </c>
      <c r="U417" s="38">
        <v>88000</v>
      </c>
      <c r="V417" s="15" t="str">
        <f t="shared" si="48"/>
        <v/>
      </c>
      <c r="W417" s="10"/>
      <c r="X417" s="10"/>
      <c r="Y417" s="10"/>
      <c r="Z417" s="10"/>
      <c r="AA417" s="10"/>
      <c r="AB417" s="10"/>
      <c r="AC417" s="10"/>
      <c r="AD417" s="523" t="e">
        <v>#N/A</v>
      </c>
      <c r="AE417" s="523" t="e">
        <v>#N/A</v>
      </c>
      <c r="AF417" s="523" t="e">
        <v>#N/A</v>
      </c>
      <c r="AG417" s="524" t="e">
        <v>#N/A</v>
      </c>
      <c r="AH417" s="9"/>
      <c r="AI417" s="10"/>
      <c r="AJ417" s="9"/>
      <c r="AK417" s="10"/>
      <c r="AL417" s="10"/>
    </row>
    <row r="418" spans="1:38" ht="45" hidden="1">
      <c r="A418" s="1">
        <f t="shared" si="50"/>
        <v>0</v>
      </c>
      <c r="B418" s="2" t="s">
        <v>1711</v>
      </c>
      <c r="C418" s="3" t="s">
        <v>1712</v>
      </c>
      <c r="D418" s="15" t="s">
        <v>11472</v>
      </c>
      <c r="E418" s="4" t="s">
        <v>1711</v>
      </c>
      <c r="F418" s="37" t="s">
        <v>1712</v>
      </c>
      <c r="G418" s="38">
        <v>2571219.65</v>
      </c>
      <c r="H418" s="38">
        <v>2571219.65</v>
      </c>
      <c r="I418" s="15"/>
      <c r="J418" s="494">
        <v>10202120117</v>
      </c>
      <c r="K418" s="523" t="s">
        <v>1422</v>
      </c>
      <c r="L418" s="523" t="s">
        <v>1679</v>
      </c>
      <c r="M418" s="523" t="s">
        <v>204</v>
      </c>
      <c r="N418" s="518" t="s">
        <v>1680</v>
      </c>
      <c r="O418" s="523">
        <v>1</v>
      </c>
      <c r="P418" s="523" t="s">
        <v>647</v>
      </c>
      <c r="Q418" s="523" t="s">
        <v>647</v>
      </c>
      <c r="R418" s="523" t="s">
        <v>1243</v>
      </c>
      <c r="S418" s="523" t="s">
        <v>632</v>
      </c>
      <c r="T418" s="518" t="s">
        <v>1678</v>
      </c>
      <c r="U418" s="38">
        <v>2571219.65</v>
      </c>
      <c r="V418" s="15" t="str">
        <f t="shared" si="48"/>
        <v/>
      </c>
      <c r="W418" s="10"/>
      <c r="X418" s="10"/>
      <c r="Y418" s="10"/>
      <c r="Z418" s="10"/>
      <c r="AA418" s="10"/>
      <c r="AB418" s="10"/>
      <c r="AC418" s="10"/>
      <c r="AD418" s="523" t="e">
        <v>#N/A</v>
      </c>
      <c r="AE418" s="523" t="e">
        <v>#N/A</v>
      </c>
      <c r="AF418" s="523" t="e">
        <v>#N/A</v>
      </c>
      <c r="AG418" s="524" t="e">
        <v>#N/A</v>
      </c>
      <c r="AH418" s="9"/>
      <c r="AI418" s="10"/>
      <c r="AJ418" s="9"/>
      <c r="AK418" s="10"/>
      <c r="AL418" s="10"/>
    </row>
    <row r="419" spans="1:38" ht="45" hidden="1">
      <c r="A419" s="1">
        <f t="shared" si="50"/>
        <v>0</v>
      </c>
      <c r="B419" s="2" t="s">
        <v>1713</v>
      </c>
      <c r="C419" s="3" t="s">
        <v>1714</v>
      </c>
      <c r="D419" s="15" t="s">
        <v>11472</v>
      </c>
      <c r="E419" s="4" t="s">
        <v>1713</v>
      </c>
      <c r="F419" s="37" t="s">
        <v>1714</v>
      </c>
      <c r="G419" s="38">
        <v>0</v>
      </c>
      <c r="H419" s="38">
        <v>0</v>
      </c>
      <c r="I419" s="15"/>
      <c r="J419" s="494">
        <v>10202120118</v>
      </c>
      <c r="K419" s="523" t="s">
        <v>1422</v>
      </c>
      <c r="L419" s="523" t="s">
        <v>1679</v>
      </c>
      <c r="M419" s="523" t="s">
        <v>204</v>
      </c>
      <c r="N419" s="518" t="s">
        <v>1680</v>
      </c>
      <c r="O419" s="523">
        <v>1</v>
      </c>
      <c r="P419" s="523" t="s">
        <v>647</v>
      </c>
      <c r="Q419" s="523" t="s">
        <v>647</v>
      </c>
      <c r="R419" s="523" t="s">
        <v>1243</v>
      </c>
      <c r="S419" s="523" t="s">
        <v>632</v>
      </c>
      <c r="T419" s="518" t="s">
        <v>1678</v>
      </c>
      <c r="U419" s="38">
        <v>0</v>
      </c>
      <c r="V419" s="15" t="str">
        <f t="shared" si="48"/>
        <v/>
      </c>
      <c r="W419" s="10"/>
      <c r="X419" s="10"/>
      <c r="Y419" s="10"/>
      <c r="Z419" s="10"/>
      <c r="AA419" s="10"/>
      <c r="AB419" s="10"/>
      <c r="AC419" s="9"/>
      <c r="AD419" s="523" t="e">
        <v>#N/A</v>
      </c>
      <c r="AE419" s="523" t="e">
        <v>#N/A</v>
      </c>
      <c r="AF419" s="523" t="e">
        <v>#N/A</v>
      </c>
      <c r="AG419" s="524" t="e">
        <v>#N/A</v>
      </c>
      <c r="AH419" s="9"/>
      <c r="AI419" s="10"/>
      <c r="AJ419" s="9"/>
      <c r="AK419" s="10"/>
      <c r="AL419" s="10"/>
    </row>
    <row r="420" spans="1:38" ht="45" hidden="1">
      <c r="A420" s="1">
        <f t="shared" si="50"/>
        <v>0</v>
      </c>
      <c r="B420" s="2" t="s">
        <v>1715</v>
      </c>
      <c r="C420" s="3" t="s">
        <v>1716</v>
      </c>
      <c r="D420" s="15" t="s">
        <v>11472</v>
      </c>
      <c r="E420" s="4" t="s">
        <v>1715</v>
      </c>
      <c r="F420" s="37" t="s">
        <v>1716</v>
      </c>
      <c r="G420" s="38">
        <v>0</v>
      </c>
      <c r="H420" s="38">
        <v>0</v>
      </c>
      <c r="I420" s="15"/>
      <c r="J420" s="494">
        <v>10202120119</v>
      </c>
      <c r="K420" s="523" t="s">
        <v>1422</v>
      </c>
      <c r="L420" s="523" t="s">
        <v>1679</v>
      </c>
      <c r="M420" s="523" t="s">
        <v>204</v>
      </c>
      <c r="N420" s="518" t="s">
        <v>1680</v>
      </c>
      <c r="O420" s="523">
        <v>1</v>
      </c>
      <c r="P420" s="523" t="s">
        <v>647</v>
      </c>
      <c r="Q420" s="523" t="s">
        <v>647</v>
      </c>
      <c r="R420" s="523" t="s">
        <v>1243</v>
      </c>
      <c r="S420" s="523" t="s">
        <v>632</v>
      </c>
      <c r="T420" s="518" t="s">
        <v>1678</v>
      </c>
      <c r="U420" s="38">
        <v>0</v>
      </c>
      <c r="V420" s="15" t="str">
        <f t="shared" si="48"/>
        <v/>
      </c>
      <c r="W420" s="10"/>
      <c r="X420" s="10"/>
      <c r="Y420" s="10"/>
      <c r="Z420" s="10"/>
      <c r="AA420" s="10"/>
      <c r="AB420" s="10"/>
      <c r="AC420" s="9"/>
      <c r="AD420" s="523" t="e">
        <v>#N/A</v>
      </c>
      <c r="AE420" s="523" t="e">
        <v>#N/A</v>
      </c>
      <c r="AF420" s="523" t="e">
        <v>#N/A</v>
      </c>
      <c r="AG420" s="524" t="e">
        <v>#N/A</v>
      </c>
      <c r="AH420" s="9"/>
      <c r="AI420" s="10"/>
      <c r="AJ420" s="9"/>
      <c r="AK420" s="10"/>
      <c r="AL420" s="10"/>
    </row>
    <row r="421" spans="1:38" ht="45" hidden="1">
      <c r="A421" s="1">
        <f t="shared" si="50"/>
        <v>0</v>
      </c>
      <c r="B421" s="2" t="s">
        <v>1717</v>
      </c>
      <c r="C421" s="3" t="s">
        <v>1718</v>
      </c>
      <c r="D421" s="15" t="s">
        <v>11472</v>
      </c>
      <c r="E421" s="4" t="s">
        <v>1717</v>
      </c>
      <c r="F421" s="37" t="s">
        <v>1718</v>
      </c>
      <c r="G421" s="38">
        <v>0</v>
      </c>
      <c r="H421" s="38">
        <v>0</v>
      </c>
      <c r="I421" s="15"/>
      <c r="J421" s="494">
        <v>10202120120</v>
      </c>
      <c r="K421" s="523" t="s">
        <v>1422</v>
      </c>
      <c r="L421" s="523" t="s">
        <v>1679</v>
      </c>
      <c r="M421" s="523" t="s">
        <v>204</v>
      </c>
      <c r="N421" s="518" t="s">
        <v>1680</v>
      </c>
      <c r="O421" s="523">
        <v>1</v>
      </c>
      <c r="P421" s="523" t="s">
        <v>647</v>
      </c>
      <c r="Q421" s="523" t="s">
        <v>647</v>
      </c>
      <c r="R421" s="523" t="s">
        <v>1243</v>
      </c>
      <c r="S421" s="523" t="s">
        <v>632</v>
      </c>
      <c r="T421" s="518" t="s">
        <v>1678</v>
      </c>
      <c r="U421" s="38">
        <v>0</v>
      </c>
      <c r="V421" s="15" t="str">
        <f t="shared" si="48"/>
        <v/>
      </c>
      <c r="W421" s="10"/>
      <c r="X421" s="10"/>
      <c r="Y421" s="10"/>
      <c r="Z421" s="10"/>
      <c r="AA421" s="10"/>
      <c r="AB421" s="10"/>
      <c r="AC421" s="9"/>
      <c r="AD421" s="523" t="e">
        <v>#N/A</v>
      </c>
      <c r="AE421" s="523" t="e">
        <v>#N/A</v>
      </c>
      <c r="AF421" s="523" t="e">
        <v>#N/A</v>
      </c>
      <c r="AG421" s="524" t="e">
        <v>#N/A</v>
      </c>
      <c r="AH421" s="9"/>
      <c r="AI421" s="10"/>
      <c r="AJ421" s="9"/>
      <c r="AK421" s="10"/>
      <c r="AL421" s="10"/>
    </row>
    <row r="422" spans="1:38" ht="45" hidden="1">
      <c r="A422" s="1">
        <f t="shared" si="50"/>
        <v>0</v>
      </c>
      <c r="B422" s="2" t="s">
        <v>1719</v>
      </c>
      <c r="C422" s="3" t="s">
        <v>1720</v>
      </c>
      <c r="D422" s="15" t="s">
        <v>11472</v>
      </c>
      <c r="E422" s="4" t="s">
        <v>1719</v>
      </c>
      <c r="F422" s="37" t="s">
        <v>1720</v>
      </c>
      <c r="G422" s="38">
        <v>2371470.27</v>
      </c>
      <c r="H422" s="38">
        <v>2371470.27</v>
      </c>
      <c r="I422" s="15"/>
      <c r="J422" s="494">
        <v>10202120121</v>
      </c>
      <c r="K422" s="523" t="s">
        <v>1422</v>
      </c>
      <c r="L422" s="523" t="s">
        <v>1679</v>
      </c>
      <c r="M422" s="523" t="s">
        <v>204</v>
      </c>
      <c r="N422" s="518" t="s">
        <v>1680</v>
      </c>
      <c r="O422" s="523">
        <v>1</v>
      </c>
      <c r="P422" s="523" t="s">
        <v>647</v>
      </c>
      <c r="Q422" s="523" t="s">
        <v>647</v>
      </c>
      <c r="R422" s="523" t="s">
        <v>1243</v>
      </c>
      <c r="S422" s="523" t="s">
        <v>632</v>
      </c>
      <c r="T422" s="518" t="s">
        <v>1678</v>
      </c>
      <c r="U422" s="38">
        <v>2371470.27</v>
      </c>
      <c r="V422" s="15" t="str">
        <f t="shared" si="48"/>
        <v/>
      </c>
      <c r="W422" s="10"/>
      <c r="X422" s="10"/>
      <c r="Y422" s="10"/>
      <c r="Z422" s="10"/>
      <c r="AA422" s="10"/>
      <c r="AB422" s="10"/>
      <c r="AC422" s="9"/>
      <c r="AD422" s="523" t="e">
        <v>#N/A</v>
      </c>
      <c r="AE422" s="523" t="e">
        <v>#N/A</v>
      </c>
      <c r="AF422" s="523" t="e">
        <v>#N/A</v>
      </c>
      <c r="AG422" s="524" t="e">
        <v>#N/A</v>
      </c>
      <c r="AH422" s="9"/>
      <c r="AI422" s="10"/>
      <c r="AJ422" s="9"/>
      <c r="AK422" s="10"/>
      <c r="AL422" s="10"/>
    </row>
    <row r="423" spans="1:38" ht="45" hidden="1">
      <c r="A423" s="1">
        <f t="shared" si="50"/>
        <v>0</v>
      </c>
      <c r="B423" s="2" t="s">
        <v>1721</v>
      </c>
      <c r="C423" s="3" t="s">
        <v>1722</v>
      </c>
      <c r="D423" s="15" t="s">
        <v>11472</v>
      </c>
      <c r="E423" s="4" t="s">
        <v>1721</v>
      </c>
      <c r="F423" s="37" t="s">
        <v>1722</v>
      </c>
      <c r="G423" s="38">
        <v>0</v>
      </c>
      <c r="H423" s="38">
        <v>0</v>
      </c>
      <c r="I423" s="15"/>
      <c r="J423" s="494">
        <v>10202120122</v>
      </c>
      <c r="K423" s="523" t="s">
        <v>1422</v>
      </c>
      <c r="L423" s="523" t="s">
        <v>1679</v>
      </c>
      <c r="M423" s="523" t="s">
        <v>204</v>
      </c>
      <c r="N423" s="518" t="s">
        <v>1680</v>
      </c>
      <c r="O423" s="523">
        <v>1</v>
      </c>
      <c r="P423" s="523" t="s">
        <v>647</v>
      </c>
      <c r="Q423" s="523" t="s">
        <v>647</v>
      </c>
      <c r="R423" s="523" t="s">
        <v>1243</v>
      </c>
      <c r="S423" s="523" t="s">
        <v>632</v>
      </c>
      <c r="T423" s="518" t="s">
        <v>1678</v>
      </c>
      <c r="U423" s="38">
        <v>0</v>
      </c>
      <c r="V423" s="15" t="str">
        <f t="shared" si="48"/>
        <v/>
      </c>
      <c r="W423" s="10"/>
      <c r="X423" s="10"/>
      <c r="Y423" s="10"/>
      <c r="Z423" s="10"/>
      <c r="AA423" s="10"/>
      <c r="AB423" s="10"/>
      <c r="AC423" s="9"/>
      <c r="AD423" s="523" t="e">
        <v>#N/A</v>
      </c>
      <c r="AE423" s="523" t="e">
        <v>#N/A</v>
      </c>
      <c r="AF423" s="523" t="e">
        <v>#N/A</v>
      </c>
      <c r="AG423" s="524" t="e">
        <v>#N/A</v>
      </c>
      <c r="AH423" s="9"/>
      <c r="AI423" s="10"/>
      <c r="AJ423" s="9"/>
      <c r="AK423" s="10"/>
      <c r="AL423" s="10"/>
    </row>
    <row r="424" spans="1:38" ht="45" hidden="1">
      <c r="A424" s="1">
        <f t="shared" si="50"/>
        <v>0</v>
      </c>
      <c r="B424" s="2" t="s">
        <v>1723</v>
      </c>
      <c r="C424" s="3" t="s">
        <v>1724</v>
      </c>
      <c r="D424" s="15" t="s">
        <v>11472</v>
      </c>
      <c r="E424" s="4" t="s">
        <v>1723</v>
      </c>
      <c r="F424" s="37" t="s">
        <v>1724</v>
      </c>
      <c r="G424" s="38">
        <v>0</v>
      </c>
      <c r="H424" s="38">
        <v>0</v>
      </c>
      <c r="I424" s="15"/>
      <c r="J424" s="494">
        <v>10202120123</v>
      </c>
      <c r="K424" s="523" t="s">
        <v>1422</v>
      </c>
      <c r="L424" s="523" t="s">
        <v>1679</v>
      </c>
      <c r="M424" s="523" t="s">
        <v>204</v>
      </c>
      <c r="N424" s="518" t="s">
        <v>1680</v>
      </c>
      <c r="O424" s="523">
        <v>1</v>
      </c>
      <c r="P424" s="523" t="s">
        <v>647</v>
      </c>
      <c r="Q424" s="523" t="s">
        <v>647</v>
      </c>
      <c r="R424" s="523" t="s">
        <v>1243</v>
      </c>
      <c r="S424" s="523" t="s">
        <v>632</v>
      </c>
      <c r="T424" s="518" t="s">
        <v>1678</v>
      </c>
      <c r="U424" s="38">
        <v>0</v>
      </c>
      <c r="V424" s="15" t="str">
        <f t="shared" si="48"/>
        <v/>
      </c>
      <c r="W424" s="10"/>
      <c r="X424" s="10"/>
      <c r="Y424" s="10"/>
      <c r="Z424" s="10"/>
      <c r="AA424" s="10"/>
      <c r="AB424" s="10"/>
      <c r="AC424" s="9"/>
      <c r="AD424" s="523" t="e">
        <v>#N/A</v>
      </c>
      <c r="AE424" s="523" t="e">
        <v>#N/A</v>
      </c>
      <c r="AF424" s="523" t="e">
        <v>#N/A</v>
      </c>
      <c r="AG424" s="524" t="e">
        <v>#N/A</v>
      </c>
      <c r="AH424" s="9"/>
      <c r="AI424" s="10"/>
      <c r="AJ424" s="9"/>
      <c r="AK424" s="10"/>
      <c r="AL424" s="10"/>
    </row>
    <row r="425" spans="1:38" ht="45" hidden="1">
      <c r="A425" s="1">
        <f t="shared" si="50"/>
        <v>0</v>
      </c>
      <c r="B425" s="2" t="s">
        <v>1725</v>
      </c>
      <c r="C425" s="3" t="s">
        <v>1726</v>
      </c>
      <c r="D425" s="15" t="s">
        <v>11472</v>
      </c>
      <c r="E425" s="4" t="s">
        <v>1725</v>
      </c>
      <c r="F425" s="37" t="s">
        <v>1726</v>
      </c>
      <c r="G425" s="38">
        <v>170984.08</v>
      </c>
      <c r="H425" s="38">
        <v>170984.08</v>
      </c>
      <c r="I425" s="15"/>
      <c r="J425" s="494">
        <v>10202120124</v>
      </c>
      <c r="K425" s="517" t="s">
        <v>1422</v>
      </c>
      <c r="L425" s="517" t="s">
        <v>1679</v>
      </c>
      <c r="M425" s="517" t="s">
        <v>204</v>
      </c>
      <c r="N425" s="518" t="s">
        <v>1680</v>
      </c>
      <c r="O425" s="517">
        <v>1</v>
      </c>
      <c r="P425" s="517" t="s">
        <v>647</v>
      </c>
      <c r="Q425" s="517" t="s">
        <v>647</v>
      </c>
      <c r="R425" s="517" t="s">
        <v>1243</v>
      </c>
      <c r="S425" s="517" t="s">
        <v>632</v>
      </c>
      <c r="T425" s="518" t="s">
        <v>1678</v>
      </c>
      <c r="U425" s="38">
        <v>170984.08</v>
      </c>
      <c r="V425" s="15" t="str">
        <f t="shared" si="48"/>
        <v/>
      </c>
      <c r="W425" s="1"/>
      <c r="X425" s="1"/>
      <c r="Y425" s="1"/>
      <c r="Z425" s="1"/>
      <c r="AA425" s="1"/>
      <c r="AB425" s="3"/>
      <c r="AC425" s="9"/>
      <c r="AD425" s="517" t="e">
        <v>#N/A</v>
      </c>
      <c r="AE425" s="517" t="e">
        <v>#N/A</v>
      </c>
      <c r="AF425" s="517" t="e">
        <v>#N/A</v>
      </c>
      <c r="AG425" s="520" t="e">
        <v>#N/A</v>
      </c>
      <c r="AH425" s="9"/>
      <c r="AI425" s="10"/>
      <c r="AJ425" s="9"/>
      <c r="AK425" s="10"/>
      <c r="AL425" s="10"/>
    </row>
    <row r="426" spans="1:38" ht="56.25" hidden="1">
      <c r="A426" s="1">
        <f t="shared" si="50"/>
        <v>0</v>
      </c>
      <c r="B426" s="2" t="s">
        <v>1727</v>
      </c>
      <c r="C426" s="3" t="s">
        <v>1728</v>
      </c>
      <c r="D426" s="15" t="s">
        <v>11472</v>
      </c>
      <c r="E426" s="4" t="s">
        <v>1727</v>
      </c>
      <c r="F426" s="37" t="s">
        <v>1729</v>
      </c>
      <c r="G426" s="38">
        <v>1000000</v>
      </c>
      <c r="H426" s="38">
        <v>1000000</v>
      </c>
      <c r="I426" s="15"/>
      <c r="J426" s="494">
        <v>10202120125</v>
      </c>
      <c r="K426" s="517" t="s">
        <v>1422</v>
      </c>
      <c r="L426" s="517" t="s">
        <v>1679</v>
      </c>
      <c r="M426" s="517" t="s">
        <v>204</v>
      </c>
      <c r="N426" s="518" t="s">
        <v>1680</v>
      </c>
      <c r="O426" s="517">
        <v>1</v>
      </c>
      <c r="P426" s="517" t="s">
        <v>647</v>
      </c>
      <c r="Q426" s="517" t="s">
        <v>647</v>
      </c>
      <c r="R426" s="517" t="s">
        <v>1243</v>
      </c>
      <c r="S426" s="517" t="s">
        <v>632</v>
      </c>
      <c r="T426" s="518" t="s">
        <v>1678</v>
      </c>
      <c r="U426" s="38">
        <v>1000000</v>
      </c>
      <c r="V426" s="15" t="str">
        <f t="shared" si="48"/>
        <v/>
      </c>
      <c r="W426" s="1"/>
      <c r="X426" s="1"/>
      <c r="Y426" s="1"/>
      <c r="Z426" s="1"/>
      <c r="AA426" s="1"/>
      <c r="AB426" s="3"/>
      <c r="AC426" s="9"/>
      <c r="AD426" s="517" t="e">
        <v>#N/A</v>
      </c>
      <c r="AE426" s="517" t="e">
        <v>#N/A</v>
      </c>
      <c r="AF426" s="517" t="e">
        <v>#N/A</v>
      </c>
      <c r="AG426" s="520" t="e">
        <v>#N/A</v>
      </c>
      <c r="AH426" s="9"/>
      <c r="AI426" s="10"/>
      <c r="AJ426" s="9"/>
      <c r="AK426" s="10"/>
      <c r="AL426" s="10"/>
    </row>
    <row r="427" spans="1:38" ht="56.25" hidden="1">
      <c r="A427" s="1">
        <f t="shared" si="50"/>
        <v>0</v>
      </c>
      <c r="B427" s="2" t="s">
        <v>1730</v>
      </c>
      <c r="C427" s="3" t="s">
        <v>1731</v>
      </c>
      <c r="D427" s="15" t="s">
        <v>11473</v>
      </c>
      <c r="E427" s="4" t="s">
        <v>1730</v>
      </c>
      <c r="F427" s="37" t="s">
        <v>1731</v>
      </c>
      <c r="G427" s="38">
        <v>8748741.4000000004</v>
      </c>
      <c r="H427" s="38">
        <v>8748741.4000000004</v>
      </c>
      <c r="I427" s="15"/>
      <c r="J427" s="494">
        <v>10202129501</v>
      </c>
      <c r="K427" s="517" t="s">
        <v>1422</v>
      </c>
      <c r="L427" s="517" t="s">
        <v>1679</v>
      </c>
      <c r="M427" s="517" t="s">
        <v>204</v>
      </c>
      <c r="N427" s="518" t="s">
        <v>1680</v>
      </c>
      <c r="O427" s="517">
        <v>1</v>
      </c>
      <c r="P427" s="517" t="s">
        <v>647</v>
      </c>
      <c r="Q427" s="517" t="s">
        <v>647</v>
      </c>
      <c r="R427" s="517" t="s">
        <v>1243</v>
      </c>
      <c r="S427" s="517" t="s">
        <v>632</v>
      </c>
      <c r="T427" s="518" t="s">
        <v>1678</v>
      </c>
      <c r="U427" s="38">
        <v>8748741.4000000004</v>
      </c>
      <c r="V427" s="15" t="str">
        <f t="shared" si="48"/>
        <v/>
      </c>
      <c r="W427" s="1"/>
      <c r="X427" s="1"/>
      <c r="Y427" s="1"/>
      <c r="Z427" s="1"/>
      <c r="AA427" s="1"/>
      <c r="AB427" s="3"/>
      <c r="AC427" s="9"/>
      <c r="AD427" s="517" t="e">
        <v>#N/A</v>
      </c>
      <c r="AE427" s="517" t="e">
        <v>#N/A</v>
      </c>
      <c r="AF427" s="517" t="e">
        <v>#N/A</v>
      </c>
      <c r="AG427" s="520" t="e">
        <v>#N/A</v>
      </c>
      <c r="AH427" s="9"/>
      <c r="AI427" s="10"/>
      <c r="AJ427" s="9"/>
      <c r="AK427" s="10"/>
      <c r="AL427" s="10"/>
    </row>
    <row r="428" spans="1:38" ht="45" hidden="1">
      <c r="A428" s="1">
        <f t="shared" si="50"/>
        <v>0</v>
      </c>
      <c r="B428" s="2" t="s">
        <v>1732</v>
      </c>
      <c r="C428" s="3" t="s">
        <v>1733</v>
      </c>
      <c r="D428" s="15" t="s">
        <v>11474</v>
      </c>
      <c r="E428" s="4" t="s">
        <v>1732</v>
      </c>
      <c r="F428" s="37" t="s">
        <v>1733</v>
      </c>
      <c r="G428" s="38">
        <v>2520000</v>
      </c>
      <c r="H428" s="38">
        <v>2520000</v>
      </c>
      <c r="I428" s="15"/>
      <c r="J428" s="494">
        <v>10202129601</v>
      </c>
      <c r="K428" s="517" t="s">
        <v>1422</v>
      </c>
      <c r="L428" s="517" t="s">
        <v>1679</v>
      </c>
      <c r="M428" s="517" t="s">
        <v>204</v>
      </c>
      <c r="N428" s="518" t="s">
        <v>1680</v>
      </c>
      <c r="O428" s="517">
        <v>1</v>
      </c>
      <c r="P428" s="517" t="s">
        <v>647</v>
      </c>
      <c r="Q428" s="517" t="s">
        <v>647</v>
      </c>
      <c r="R428" s="517" t="s">
        <v>1243</v>
      </c>
      <c r="S428" s="517" t="s">
        <v>632</v>
      </c>
      <c r="T428" s="518" t="s">
        <v>1678</v>
      </c>
      <c r="U428" s="38">
        <v>2520000</v>
      </c>
      <c r="V428" s="15" t="str">
        <f t="shared" si="48"/>
        <v/>
      </c>
      <c r="W428" s="1"/>
      <c r="X428" s="1"/>
      <c r="Y428" s="1"/>
      <c r="Z428" s="1"/>
      <c r="AA428" s="1"/>
      <c r="AB428" s="3"/>
      <c r="AC428" s="9"/>
      <c r="AD428" s="517" t="e">
        <v>#N/A</v>
      </c>
      <c r="AE428" s="517" t="e">
        <v>#N/A</v>
      </c>
      <c r="AF428" s="517" t="e">
        <v>#N/A</v>
      </c>
      <c r="AG428" s="520" t="e">
        <v>#N/A</v>
      </c>
      <c r="AH428" s="9"/>
      <c r="AI428" s="10"/>
      <c r="AJ428" s="9"/>
      <c r="AK428" s="10"/>
      <c r="AL428" s="10"/>
    </row>
    <row r="429" spans="1:38" ht="56.25" hidden="1">
      <c r="A429" s="1">
        <f t="shared" si="50"/>
        <v>0</v>
      </c>
      <c r="B429" s="2" t="s">
        <v>1734</v>
      </c>
      <c r="C429" s="3" t="s">
        <v>1735</v>
      </c>
      <c r="D429" s="15" t="s">
        <v>11474</v>
      </c>
      <c r="E429" s="4" t="s">
        <v>1734</v>
      </c>
      <c r="F429" s="37" t="s">
        <v>1735</v>
      </c>
      <c r="G429" s="38">
        <v>0</v>
      </c>
      <c r="H429" s="38">
        <v>0</v>
      </c>
      <c r="I429" s="15"/>
      <c r="J429" s="494">
        <v>10202129602</v>
      </c>
      <c r="K429" s="517" t="s">
        <v>1422</v>
      </c>
      <c r="L429" s="517" t="s">
        <v>1679</v>
      </c>
      <c r="M429" s="517" t="s">
        <v>204</v>
      </c>
      <c r="N429" s="518" t="s">
        <v>1680</v>
      </c>
      <c r="O429" s="517">
        <v>1</v>
      </c>
      <c r="P429" s="517" t="s">
        <v>647</v>
      </c>
      <c r="Q429" s="517" t="s">
        <v>647</v>
      </c>
      <c r="R429" s="517" t="s">
        <v>1243</v>
      </c>
      <c r="S429" s="517" t="s">
        <v>632</v>
      </c>
      <c r="T429" s="518" t="s">
        <v>1678</v>
      </c>
      <c r="U429" s="38">
        <v>0</v>
      </c>
      <c r="V429" s="15" t="str">
        <f t="shared" si="48"/>
        <v/>
      </c>
      <c r="W429" s="1"/>
      <c r="X429" s="1"/>
      <c r="Y429" s="1"/>
      <c r="Z429" s="1"/>
      <c r="AA429" s="1"/>
      <c r="AB429" s="3"/>
      <c r="AC429" s="9"/>
      <c r="AD429" s="517" t="e">
        <v>#N/A</v>
      </c>
      <c r="AE429" s="517" t="e">
        <v>#N/A</v>
      </c>
      <c r="AF429" s="517" t="e">
        <v>#N/A</v>
      </c>
      <c r="AG429" s="520" t="e">
        <v>#N/A</v>
      </c>
      <c r="AH429" s="9"/>
      <c r="AI429" s="10"/>
      <c r="AJ429" s="9"/>
      <c r="AK429" s="10"/>
      <c r="AL429" s="10"/>
    </row>
    <row r="430" spans="1:38" ht="45" hidden="1">
      <c r="A430" s="1">
        <f t="shared" si="50"/>
        <v>0</v>
      </c>
      <c r="B430" s="2" t="s">
        <v>1736</v>
      </c>
      <c r="C430" s="3" t="s">
        <v>1737</v>
      </c>
      <c r="D430" s="15" t="s">
        <v>11475</v>
      </c>
      <c r="E430" s="4" t="s">
        <v>1736</v>
      </c>
      <c r="F430" s="37" t="s">
        <v>1737</v>
      </c>
      <c r="G430" s="38">
        <v>10097785.800000001</v>
      </c>
      <c r="H430" s="38">
        <v>10097785.800000001</v>
      </c>
      <c r="I430" s="15"/>
      <c r="J430" s="494">
        <v>10202129701</v>
      </c>
      <c r="K430" s="517" t="s">
        <v>1422</v>
      </c>
      <c r="L430" s="517" t="s">
        <v>1679</v>
      </c>
      <c r="M430" s="517" t="s">
        <v>204</v>
      </c>
      <c r="N430" s="518" t="s">
        <v>1680</v>
      </c>
      <c r="O430" s="517">
        <v>1</v>
      </c>
      <c r="P430" s="517" t="s">
        <v>647</v>
      </c>
      <c r="Q430" s="517" t="s">
        <v>647</v>
      </c>
      <c r="R430" s="517" t="s">
        <v>1243</v>
      </c>
      <c r="S430" s="517" t="s">
        <v>632</v>
      </c>
      <c r="T430" s="518" t="s">
        <v>1678</v>
      </c>
      <c r="U430" s="38">
        <v>10097785.800000001</v>
      </c>
      <c r="V430" s="15" t="str">
        <f t="shared" si="48"/>
        <v/>
      </c>
      <c r="W430" s="1"/>
      <c r="X430" s="1"/>
      <c r="Y430" s="1"/>
      <c r="Z430" s="1"/>
      <c r="AA430" s="1"/>
      <c r="AB430" s="3"/>
      <c r="AC430" s="9"/>
      <c r="AD430" s="517" t="e">
        <v>#N/A</v>
      </c>
      <c r="AE430" s="517" t="e">
        <v>#N/A</v>
      </c>
      <c r="AF430" s="517" t="e">
        <v>#N/A</v>
      </c>
      <c r="AG430" s="520" t="e">
        <v>#N/A</v>
      </c>
      <c r="AH430" s="9"/>
      <c r="AI430" s="10"/>
      <c r="AJ430" s="9"/>
      <c r="AK430" s="10"/>
      <c r="AL430" s="10"/>
    </row>
    <row r="431" spans="1:38" ht="45" hidden="1">
      <c r="A431" s="1">
        <f t="shared" si="50"/>
        <v>0</v>
      </c>
      <c r="B431" s="2" t="s">
        <v>1738</v>
      </c>
      <c r="C431" s="3" t="s">
        <v>1739</v>
      </c>
      <c r="D431" s="15" t="s">
        <v>11476</v>
      </c>
      <c r="E431" s="4" t="s">
        <v>1738</v>
      </c>
      <c r="F431" s="37" t="s">
        <v>1739</v>
      </c>
      <c r="G431" s="38">
        <v>885928</v>
      </c>
      <c r="H431" s="38">
        <v>885928</v>
      </c>
      <c r="I431" s="15"/>
      <c r="J431" s="494">
        <v>10202129801</v>
      </c>
      <c r="K431" s="517" t="s">
        <v>1422</v>
      </c>
      <c r="L431" s="517" t="s">
        <v>1679</v>
      </c>
      <c r="M431" s="517" t="s">
        <v>204</v>
      </c>
      <c r="N431" s="518" t="s">
        <v>1680</v>
      </c>
      <c r="O431" s="517">
        <v>1</v>
      </c>
      <c r="P431" s="517" t="s">
        <v>647</v>
      </c>
      <c r="Q431" s="517" t="s">
        <v>647</v>
      </c>
      <c r="R431" s="517" t="s">
        <v>1243</v>
      </c>
      <c r="S431" s="517" t="s">
        <v>632</v>
      </c>
      <c r="T431" s="518" t="s">
        <v>1678</v>
      </c>
      <c r="U431" s="38">
        <v>885928</v>
      </c>
      <c r="V431" s="15" t="str">
        <f t="shared" si="48"/>
        <v/>
      </c>
      <c r="W431" s="1"/>
      <c r="X431" s="1"/>
      <c r="Y431" s="1"/>
      <c r="Z431" s="1"/>
      <c r="AA431" s="1"/>
      <c r="AB431" s="3"/>
      <c r="AC431" s="9"/>
      <c r="AD431" s="517" t="e">
        <v>#N/A</v>
      </c>
      <c r="AE431" s="517" t="e">
        <v>#N/A</v>
      </c>
      <c r="AF431" s="517" t="e">
        <v>#N/A</v>
      </c>
      <c r="AG431" s="520" t="e">
        <v>#N/A</v>
      </c>
      <c r="AH431" s="9"/>
      <c r="AI431" s="10"/>
      <c r="AJ431" s="9"/>
      <c r="AK431" s="10"/>
      <c r="AL431" s="10"/>
    </row>
    <row r="432" spans="1:38" ht="45" hidden="1">
      <c r="A432" s="1">
        <f t="shared" si="50"/>
        <v>0</v>
      </c>
      <c r="B432" s="2" t="s">
        <v>1740</v>
      </c>
      <c r="C432" s="3" t="s">
        <v>1741</v>
      </c>
      <c r="D432" s="15" t="s">
        <v>11476</v>
      </c>
      <c r="E432" s="4" t="s">
        <v>1740</v>
      </c>
      <c r="F432" s="37" t="s">
        <v>1390</v>
      </c>
      <c r="G432" s="38">
        <v>707759</v>
      </c>
      <c r="H432" s="38">
        <v>0</v>
      </c>
      <c r="I432" s="15"/>
      <c r="J432" s="494">
        <v>10202129802</v>
      </c>
      <c r="K432" s="517" t="s">
        <v>1422</v>
      </c>
      <c r="L432" s="517" t="s">
        <v>1679</v>
      </c>
      <c r="M432" s="517" t="s">
        <v>204</v>
      </c>
      <c r="N432" s="518" t="s">
        <v>1680</v>
      </c>
      <c r="O432" s="517">
        <v>1</v>
      </c>
      <c r="P432" s="517" t="s">
        <v>647</v>
      </c>
      <c r="Q432" s="517" t="s">
        <v>647</v>
      </c>
      <c r="R432" s="517" t="s">
        <v>1243</v>
      </c>
      <c r="S432" s="517" t="s">
        <v>632</v>
      </c>
      <c r="T432" s="518" t="s">
        <v>1678</v>
      </c>
      <c r="U432" s="38">
        <v>0</v>
      </c>
      <c r="V432" s="15" t="str">
        <f t="shared" si="48"/>
        <v/>
      </c>
      <c r="W432" s="1"/>
      <c r="X432" s="1"/>
      <c r="Y432" s="1"/>
      <c r="Z432" s="1"/>
      <c r="AA432" s="1"/>
      <c r="AB432" s="3"/>
      <c r="AC432" s="9"/>
      <c r="AD432" s="517" t="e">
        <v>#N/A</v>
      </c>
      <c r="AE432" s="517" t="e">
        <v>#N/A</v>
      </c>
      <c r="AF432" s="517" t="e">
        <v>#N/A</v>
      </c>
      <c r="AG432" s="520" t="e">
        <v>#N/A</v>
      </c>
      <c r="AH432" s="9"/>
      <c r="AI432" s="10"/>
      <c r="AJ432" s="9"/>
      <c r="AK432" s="10"/>
      <c r="AL432" s="10"/>
    </row>
    <row r="433" spans="1:38" ht="45" hidden="1">
      <c r="A433" s="1">
        <f t="shared" si="50"/>
        <v>0</v>
      </c>
      <c r="B433" s="2" t="s">
        <v>1742</v>
      </c>
      <c r="C433" s="3" t="s">
        <v>1743</v>
      </c>
      <c r="D433" s="15" t="s">
        <v>11476</v>
      </c>
      <c r="E433" s="2" t="s">
        <v>1742</v>
      </c>
      <c r="F433" s="3" t="s">
        <v>1743</v>
      </c>
      <c r="G433" s="38"/>
      <c r="H433" s="38">
        <v>938769.6</v>
      </c>
      <c r="I433" s="15"/>
      <c r="J433" s="494">
        <v>10202129803</v>
      </c>
      <c r="K433" s="517" t="s">
        <v>1422</v>
      </c>
      <c r="L433" s="517" t="s">
        <v>1679</v>
      </c>
      <c r="M433" s="517" t="s">
        <v>204</v>
      </c>
      <c r="N433" s="518" t="s">
        <v>1680</v>
      </c>
      <c r="O433" s="517">
        <v>1</v>
      </c>
      <c r="P433" s="517" t="s">
        <v>647</v>
      </c>
      <c r="Q433" s="517" t="s">
        <v>647</v>
      </c>
      <c r="R433" s="517" t="s">
        <v>1243</v>
      </c>
      <c r="S433" s="517" t="s">
        <v>632</v>
      </c>
      <c r="T433" s="518" t="s">
        <v>1678</v>
      </c>
      <c r="U433" s="38">
        <v>938769.6</v>
      </c>
      <c r="V433" s="15" t="str">
        <f t="shared" si="48"/>
        <v/>
      </c>
      <c r="W433" s="1"/>
      <c r="X433" s="1"/>
      <c r="Y433" s="1"/>
      <c r="Z433" s="1"/>
      <c r="AA433" s="1"/>
      <c r="AB433" s="3"/>
      <c r="AC433" s="9"/>
      <c r="AD433" s="517" t="e">
        <v>#N/A</v>
      </c>
      <c r="AE433" s="517" t="e">
        <v>#N/A</v>
      </c>
      <c r="AF433" s="517" t="e">
        <v>#N/A</v>
      </c>
      <c r="AG433" s="520" t="e">
        <v>#N/A</v>
      </c>
      <c r="AH433" s="9"/>
      <c r="AI433" s="10"/>
      <c r="AJ433" s="9"/>
      <c r="AK433" s="10"/>
      <c r="AL433" s="10"/>
    </row>
    <row r="434" spans="1:38" ht="45" hidden="1">
      <c r="A434" s="1">
        <f t="shared" si="50"/>
        <v>0</v>
      </c>
      <c r="B434" s="2" t="s">
        <v>1744</v>
      </c>
      <c r="C434" s="3" t="s">
        <v>1745</v>
      </c>
      <c r="D434" s="15" t="s">
        <v>11476</v>
      </c>
      <c r="E434" s="2" t="s">
        <v>1744</v>
      </c>
      <c r="F434" s="3" t="s">
        <v>1745</v>
      </c>
      <c r="G434" s="38"/>
      <c r="H434" s="38">
        <v>0</v>
      </c>
      <c r="I434" s="15"/>
      <c r="J434" s="494">
        <v>10202129804</v>
      </c>
      <c r="K434" s="517" t="s">
        <v>1422</v>
      </c>
      <c r="L434" s="517" t="s">
        <v>1679</v>
      </c>
      <c r="M434" s="517" t="s">
        <v>204</v>
      </c>
      <c r="N434" s="518" t="s">
        <v>1680</v>
      </c>
      <c r="O434" s="517">
        <v>1</v>
      </c>
      <c r="P434" s="517" t="s">
        <v>647</v>
      </c>
      <c r="Q434" s="517" t="s">
        <v>647</v>
      </c>
      <c r="R434" s="517" t="s">
        <v>1243</v>
      </c>
      <c r="S434" s="517" t="s">
        <v>632</v>
      </c>
      <c r="T434" s="518" t="s">
        <v>1678</v>
      </c>
      <c r="U434" s="38">
        <v>0</v>
      </c>
      <c r="V434" s="15" t="str">
        <f t="shared" si="48"/>
        <v/>
      </c>
      <c r="W434" s="1"/>
      <c r="X434" s="1"/>
      <c r="Y434" s="1"/>
      <c r="Z434" s="1"/>
      <c r="AA434" s="1"/>
      <c r="AB434" s="3"/>
      <c r="AC434" s="9"/>
      <c r="AD434" s="517" t="e">
        <v>#N/A</v>
      </c>
      <c r="AE434" s="517" t="e">
        <v>#N/A</v>
      </c>
      <c r="AF434" s="517" t="e">
        <v>#N/A</v>
      </c>
      <c r="AG434" s="520" t="e">
        <v>#N/A</v>
      </c>
      <c r="AH434" s="9"/>
      <c r="AI434" s="10"/>
      <c r="AJ434" s="9"/>
      <c r="AK434" s="10"/>
      <c r="AL434" s="10"/>
    </row>
    <row r="435" spans="1:38" ht="45" hidden="1">
      <c r="A435" s="1">
        <f t="shared" si="50"/>
        <v>0</v>
      </c>
      <c r="B435" s="2" t="s">
        <v>1746</v>
      </c>
      <c r="C435" s="3" t="s">
        <v>1747</v>
      </c>
      <c r="D435" s="15" t="s">
        <v>11477</v>
      </c>
      <c r="E435" s="4" t="s">
        <v>1746</v>
      </c>
      <c r="F435" s="37" t="s">
        <v>1747</v>
      </c>
      <c r="G435" s="38">
        <v>0</v>
      </c>
      <c r="H435" s="38">
        <v>0</v>
      </c>
      <c r="I435" s="15"/>
      <c r="J435" s="494">
        <v>10202120201</v>
      </c>
      <c r="K435" s="517" t="s">
        <v>1422</v>
      </c>
      <c r="L435" s="517" t="s">
        <v>13419</v>
      </c>
      <c r="M435" s="517" t="s">
        <v>205</v>
      </c>
      <c r="N435" s="518" t="s">
        <v>13420</v>
      </c>
      <c r="O435" s="517">
        <v>1</v>
      </c>
      <c r="P435" s="517" t="s">
        <v>647</v>
      </c>
      <c r="Q435" s="517" t="s">
        <v>647</v>
      </c>
      <c r="R435" s="517" t="s">
        <v>1243</v>
      </c>
      <c r="S435" s="517" t="s">
        <v>647</v>
      </c>
      <c r="T435" s="518" t="s">
        <v>1748</v>
      </c>
      <c r="U435" s="38">
        <v>0</v>
      </c>
      <c r="V435" s="15" t="str">
        <f t="shared" si="48"/>
        <v>102021202</v>
      </c>
      <c r="W435" s="39">
        <v>1</v>
      </c>
      <c r="X435" s="40" t="s">
        <v>647</v>
      </c>
      <c r="Y435" s="40" t="s">
        <v>647</v>
      </c>
      <c r="Z435" s="40" t="s">
        <v>1243</v>
      </c>
      <c r="AA435" s="40" t="s">
        <v>647</v>
      </c>
      <c r="AB435" s="41" t="s">
        <v>1748</v>
      </c>
      <c r="AC435" s="519">
        <f>H435</f>
        <v>0</v>
      </c>
      <c r="AD435" s="517" t="s">
        <v>1422</v>
      </c>
      <c r="AE435" s="517" t="s">
        <v>13419</v>
      </c>
      <c r="AF435" s="517" t="s">
        <v>205</v>
      </c>
      <c r="AG435" s="520" t="s">
        <v>13420</v>
      </c>
      <c r="AH435" s="67">
        <f>AC435</f>
        <v>0</v>
      </c>
      <c r="AI435" s="10"/>
      <c r="AJ435" s="9">
        <f t="shared" ref="AJ435:AJ491" si="51">AH435-H435</f>
        <v>0</v>
      </c>
      <c r="AK435" s="10"/>
      <c r="AL435" s="10"/>
    </row>
    <row r="436" spans="1:38" ht="33.75" hidden="1">
      <c r="A436" s="1">
        <f t="shared" si="50"/>
        <v>0</v>
      </c>
      <c r="B436" s="2" t="s">
        <v>1749</v>
      </c>
      <c r="C436" s="3" t="s">
        <v>1750</v>
      </c>
      <c r="D436" s="15" t="s">
        <v>11478</v>
      </c>
      <c r="E436" s="4" t="s">
        <v>1749</v>
      </c>
      <c r="F436" s="37" t="s">
        <v>1750</v>
      </c>
      <c r="G436" s="38">
        <v>0</v>
      </c>
      <c r="H436" s="38">
        <v>0</v>
      </c>
      <c r="I436" s="15"/>
      <c r="J436" s="494">
        <v>10202120301</v>
      </c>
      <c r="K436" s="517" t="s">
        <v>1422</v>
      </c>
      <c r="L436" s="517" t="s">
        <v>13421</v>
      </c>
      <c r="M436" s="517" t="s">
        <v>206</v>
      </c>
      <c r="N436" s="518" t="s">
        <v>1752</v>
      </c>
      <c r="O436" s="517">
        <v>1</v>
      </c>
      <c r="P436" s="517" t="s">
        <v>647</v>
      </c>
      <c r="Q436" s="517" t="s">
        <v>647</v>
      </c>
      <c r="R436" s="517" t="s">
        <v>1243</v>
      </c>
      <c r="S436" s="517" t="s">
        <v>671</v>
      </c>
      <c r="T436" s="518" t="s">
        <v>1751</v>
      </c>
      <c r="U436" s="38">
        <v>0</v>
      </c>
      <c r="V436" s="15" t="str">
        <f t="shared" si="48"/>
        <v>102021203</v>
      </c>
      <c r="W436" s="39">
        <v>1</v>
      </c>
      <c r="X436" s="40" t="s">
        <v>647</v>
      </c>
      <c r="Y436" s="40" t="s">
        <v>647</v>
      </c>
      <c r="Z436" s="40" t="s">
        <v>1243</v>
      </c>
      <c r="AA436" s="40" t="s">
        <v>671</v>
      </c>
      <c r="AB436" s="41" t="s">
        <v>1751</v>
      </c>
      <c r="AC436" s="519">
        <f>H436</f>
        <v>0</v>
      </c>
      <c r="AD436" s="517" t="s">
        <v>1422</v>
      </c>
      <c r="AE436" s="517" t="s">
        <v>13421</v>
      </c>
      <c r="AF436" s="517" t="s">
        <v>206</v>
      </c>
      <c r="AG436" s="520" t="s">
        <v>1752</v>
      </c>
      <c r="AH436" s="67">
        <f>AC436</f>
        <v>0</v>
      </c>
      <c r="AI436" s="10"/>
      <c r="AJ436" s="9">
        <f t="shared" si="51"/>
        <v>0</v>
      </c>
      <c r="AK436" s="10"/>
      <c r="AL436" s="10"/>
    </row>
    <row r="437" spans="1:38" ht="67.5" hidden="1">
      <c r="A437" s="1">
        <f t="shared" si="50"/>
        <v>0</v>
      </c>
      <c r="B437" s="2" t="s">
        <v>1753</v>
      </c>
      <c r="C437" s="3" t="s">
        <v>1754</v>
      </c>
      <c r="D437" s="15" t="s">
        <v>11479</v>
      </c>
      <c r="E437" s="4" t="s">
        <v>1753</v>
      </c>
      <c r="F437" s="37" t="s">
        <v>1754</v>
      </c>
      <c r="G437" s="38">
        <v>0</v>
      </c>
      <c r="H437" s="38">
        <v>0</v>
      </c>
      <c r="I437" s="15"/>
      <c r="J437" s="494">
        <v>10202120601</v>
      </c>
      <c r="K437" s="517" t="s">
        <v>1422</v>
      </c>
      <c r="L437" s="517" t="s">
        <v>13422</v>
      </c>
      <c r="M437" s="517" t="s">
        <v>1755</v>
      </c>
      <c r="N437" s="518" t="s">
        <v>1756</v>
      </c>
      <c r="O437" s="517">
        <v>1</v>
      </c>
      <c r="P437" s="517" t="s">
        <v>647</v>
      </c>
      <c r="Q437" s="517" t="s">
        <v>647</v>
      </c>
      <c r="R437" s="517" t="s">
        <v>1243</v>
      </c>
      <c r="S437" s="517" t="s">
        <v>739</v>
      </c>
      <c r="T437" s="518" t="s">
        <v>1754</v>
      </c>
      <c r="U437" s="38">
        <v>0</v>
      </c>
      <c r="V437" s="15" t="str">
        <f t="shared" si="48"/>
        <v>102021206</v>
      </c>
      <c r="W437" s="39">
        <v>1</v>
      </c>
      <c r="X437" s="40" t="s">
        <v>647</v>
      </c>
      <c r="Y437" s="40" t="s">
        <v>647</v>
      </c>
      <c r="Z437" s="40" t="s">
        <v>1243</v>
      </c>
      <c r="AA437" s="40" t="s">
        <v>739</v>
      </c>
      <c r="AB437" s="41" t="s">
        <v>1754</v>
      </c>
      <c r="AC437" s="519">
        <f>H437</f>
        <v>0</v>
      </c>
      <c r="AD437" s="517" t="s">
        <v>1422</v>
      </c>
      <c r="AE437" s="517" t="s">
        <v>13422</v>
      </c>
      <c r="AF437" s="517" t="s">
        <v>1755</v>
      </c>
      <c r="AG437" s="520" t="s">
        <v>1756</v>
      </c>
      <c r="AH437" s="67">
        <f>AC437</f>
        <v>0</v>
      </c>
      <c r="AI437" s="10"/>
      <c r="AJ437" s="9">
        <f t="shared" si="51"/>
        <v>0</v>
      </c>
      <c r="AK437" s="10"/>
      <c r="AL437" s="10"/>
    </row>
    <row r="438" spans="1:38" ht="33.75" hidden="1">
      <c r="A438" s="1">
        <f t="shared" si="50"/>
        <v>0</v>
      </c>
      <c r="B438" s="2" t="s">
        <v>1757</v>
      </c>
      <c r="C438" s="3" t="s">
        <v>1758</v>
      </c>
      <c r="D438" s="15" t="s">
        <v>11480</v>
      </c>
      <c r="E438" s="4" t="s">
        <v>1757</v>
      </c>
      <c r="F438" s="37" t="s">
        <v>1758</v>
      </c>
      <c r="G438" s="38">
        <v>0</v>
      </c>
      <c r="H438" s="38">
        <v>0</v>
      </c>
      <c r="I438" s="15"/>
      <c r="J438" s="494">
        <v>10202120401</v>
      </c>
      <c r="K438" s="517" t="s">
        <v>1422</v>
      </c>
      <c r="L438" s="517" t="s">
        <v>13423</v>
      </c>
      <c r="M438" s="517" t="s">
        <v>207</v>
      </c>
      <c r="N438" s="518" t="s">
        <v>1760</v>
      </c>
      <c r="O438" s="517">
        <v>1</v>
      </c>
      <c r="P438" s="517" t="s">
        <v>647</v>
      </c>
      <c r="Q438" s="517" t="s">
        <v>647</v>
      </c>
      <c r="R438" s="517" t="s">
        <v>1243</v>
      </c>
      <c r="S438" s="517" t="s">
        <v>693</v>
      </c>
      <c r="T438" s="518" t="s">
        <v>1759</v>
      </c>
      <c r="U438" s="38">
        <v>0</v>
      </c>
      <c r="V438" s="15" t="str">
        <f t="shared" si="48"/>
        <v>102021204</v>
      </c>
      <c r="W438" s="39">
        <v>1</v>
      </c>
      <c r="X438" s="40" t="s">
        <v>647</v>
      </c>
      <c r="Y438" s="40" t="s">
        <v>647</v>
      </c>
      <c r="Z438" s="40" t="s">
        <v>1243</v>
      </c>
      <c r="AA438" s="40" t="s">
        <v>693</v>
      </c>
      <c r="AB438" s="41" t="s">
        <v>1759</v>
      </c>
      <c r="AC438" s="519">
        <f>H438</f>
        <v>0</v>
      </c>
      <c r="AD438" s="517" t="s">
        <v>1422</v>
      </c>
      <c r="AE438" s="517" t="s">
        <v>13423</v>
      </c>
      <c r="AF438" s="517" t="s">
        <v>207</v>
      </c>
      <c r="AG438" s="520" t="s">
        <v>1760</v>
      </c>
      <c r="AH438" s="67">
        <f>AC438</f>
        <v>0</v>
      </c>
      <c r="AI438" s="10"/>
      <c r="AJ438" s="9">
        <f t="shared" si="51"/>
        <v>0</v>
      </c>
      <c r="AK438" s="10"/>
      <c r="AL438" s="10"/>
    </row>
    <row r="439" spans="1:38" ht="56.25" hidden="1">
      <c r="A439" s="1">
        <f t="shared" si="50"/>
        <v>0</v>
      </c>
      <c r="B439" s="2" t="s">
        <v>1761</v>
      </c>
      <c r="C439" s="3" t="s">
        <v>1762</v>
      </c>
      <c r="D439" s="15" t="s">
        <v>11481</v>
      </c>
      <c r="E439" s="4" t="s">
        <v>1761</v>
      </c>
      <c r="F439" s="37" t="s">
        <v>1762</v>
      </c>
      <c r="G439" s="38">
        <v>0</v>
      </c>
      <c r="H439" s="38">
        <v>0</v>
      </c>
      <c r="I439" s="15"/>
      <c r="J439" s="494">
        <v>10202120501</v>
      </c>
      <c r="K439" s="517" t="s">
        <v>1422</v>
      </c>
      <c r="L439" s="517" t="s">
        <v>13424</v>
      </c>
      <c r="M439" s="517" t="s">
        <v>208</v>
      </c>
      <c r="N439" s="518" t="s">
        <v>13425</v>
      </c>
      <c r="O439" s="517">
        <v>1</v>
      </c>
      <c r="P439" s="517" t="s">
        <v>647</v>
      </c>
      <c r="Q439" s="517" t="s">
        <v>647</v>
      </c>
      <c r="R439" s="517" t="s">
        <v>1243</v>
      </c>
      <c r="S439" s="517" t="s">
        <v>714</v>
      </c>
      <c r="T439" s="518" t="s">
        <v>1763</v>
      </c>
      <c r="U439" s="38">
        <v>0</v>
      </c>
      <c r="V439" s="15" t="str">
        <f t="shared" si="48"/>
        <v>102021205</v>
      </c>
      <c r="W439" s="39">
        <v>1</v>
      </c>
      <c r="X439" s="40" t="s">
        <v>647</v>
      </c>
      <c r="Y439" s="40" t="s">
        <v>647</v>
      </c>
      <c r="Z439" s="40" t="s">
        <v>1243</v>
      </c>
      <c r="AA439" s="40" t="s">
        <v>714</v>
      </c>
      <c r="AB439" s="41" t="s">
        <v>1763</v>
      </c>
      <c r="AC439" s="519">
        <f>H439</f>
        <v>0</v>
      </c>
      <c r="AD439" s="517" t="s">
        <v>1422</v>
      </c>
      <c r="AE439" s="517" t="s">
        <v>13424</v>
      </c>
      <c r="AF439" s="517" t="s">
        <v>208</v>
      </c>
      <c r="AG439" s="520" t="s">
        <v>13425</v>
      </c>
      <c r="AH439" s="67">
        <f>AC439</f>
        <v>0</v>
      </c>
      <c r="AI439" s="10"/>
      <c r="AJ439" s="9">
        <f t="shared" si="51"/>
        <v>0</v>
      </c>
      <c r="AK439" s="10"/>
      <c r="AL439" s="10"/>
    </row>
    <row r="440" spans="1:38" ht="45" hidden="1">
      <c r="A440" s="1">
        <f t="shared" si="50"/>
        <v>0</v>
      </c>
      <c r="B440" s="11"/>
      <c r="C440" s="11"/>
      <c r="D440" s="15" t="s">
        <v>16</v>
      </c>
      <c r="E440" s="30"/>
      <c r="F440" s="31" t="s">
        <v>1764</v>
      </c>
      <c r="G440" s="32">
        <f>G441</f>
        <v>0</v>
      </c>
      <c r="H440" s="32">
        <f>H441</f>
        <v>0</v>
      </c>
      <c r="I440" s="15"/>
      <c r="J440" s="494"/>
      <c r="K440" s="513"/>
      <c r="L440" s="513"/>
      <c r="M440" s="513"/>
      <c r="N440" s="514"/>
      <c r="O440" s="513"/>
      <c r="P440" s="513"/>
      <c r="Q440" s="513"/>
      <c r="R440" s="513"/>
      <c r="S440" s="513"/>
      <c r="T440" s="514"/>
      <c r="U440" s="32">
        <f>U441</f>
        <v>0</v>
      </c>
      <c r="V440" s="15" t="str">
        <f t="shared" si="48"/>
        <v>102022900</v>
      </c>
      <c r="W440" s="33">
        <v>1</v>
      </c>
      <c r="X440" s="34" t="s">
        <v>647</v>
      </c>
      <c r="Y440" s="34" t="s">
        <v>647</v>
      </c>
      <c r="Z440" s="35" t="s">
        <v>1765</v>
      </c>
      <c r="AA440" s="35" t="s">
        <v>630</v>
      </c>
      <c r="AB440" s="31" t="s">
        <v>1764</v>
      </c>
      <c r="AC440" s="529">
        <f>AC441</f>
        <v>0</v>
      </c>
      <c r="AD440" s="513">
        <v>0</v>
      </c>
      <c r="AE440" s="513" t="s">
        <v>13426</v>
      </c>
      <c r="AF440" s="513" t="s">
        <v>1766</v>
      </c>
      <c r="AG440" s="514" t="s">
        <v>1767</v>
      </c>
      <c r="AH440" s="545">
        <f>AH441</f>
        <v>0</v>
      </c>
      <c r="AI440" s="10"/>
      <c r="AJ440" s="9">
        <f t="shared" si="51"/>
        <v>0</v>
      </c>
      <c r="AK440" s="10"/>
      <c r="AL440" s="10"/>
    </row>
    <row r="441" spans="1:38" s="572" customFormat="1" ht="33.75" hidden="1">
      <c r="A441" s="562">
        <f t="shared" si="50"/>
        <v>0</v>
      </c>
      <c r="B441" s="563" t="s">
        <v>1768</v>
      </c>
      <c r="C441" s="564" t="s">
        <v>1764</v>
      </c>
      <c r="D441" s="15" t="s">
        <v>11482</v>
      </c>
      <c r="E441" s="565" t="s">
        <v>1768</v>
      </c>
      <c r="F441" s="566" t="s">
        <v>1764</v>
      </c>
      <c r="G441" s="38">
        <v>0</v>
      </c>
      <c r="H441" s="38">
        <v>0</v>
      </c>
      <c r="I441" s="567"/>
      <c r="J441" s="568">
        <v>10202290101</v>
      </c>
      <c r="K441" s="517"/>
      <c r="L441" s="517" t="s">
        <v>13426</v>
      </c>
      <c r="M441" s="517" t="s">
        <v>1766</v>
      </c>
      <c r="N441" s="518" t="s">
        <v>1767</v>
      </c>
      <c r="O441" s="517">
        <v>1</v>
      </c>
      <c r="P441" s="517" t="s">
        <v>647</v>
      </c>
      <c r="Q441" s="517" t="s">
        <v>647</v>
      </c>
      <c r="R441" s="517" t="s">
        <v>1765</v>
      </c>
      <c r="S441" s="517" t="s">
        <v>632</v>
      </c>
      <c r="T441" s="518" t="s">
        <v>1764</v>
      </c>
      <c r="U441" s="38">
        <v>0</v>
      </c>
      <c r="V441" s="15" t="str">
        <f t="shared" si="48"/>
        <v>102022901</v>
      </c>
      <c r="W441" s="39">
        <v>1</v>
      </c>
      <c r="X441" s="40" t="s">
        <v>647</v>
      </c>
      <c r="Y441" s="40" t="s">
        <v>647</v>
      </c>
      <c r="Z441" s="40" t="s">
        <v>1765</v>
      </c>
      <c r="AA441" s="40" t="s">
        <v>632</v>
      </c>
      <c r="AB441" s="41" t="s">
        <v>1764</v>
      </c>
      <c r="AC441" s="569">
        <f>H441</f>
        <v>0</v>
      </c>
      <c r="AD441" s="517">
        <v>0</v>
      </c>
      <c r="AE441" s="517" t="s">
        <v>13426</v>
      </c>
      <c r="AF441" s="517" t="s">
        <v>1766</v>
      </c>
      <c r="AG441" s="520" t="s">
        <v>1767</v>
      </c>
      <c r="AH441" s="570">
        <f>AC441</f>
        <v>0</v>
      </c>
      <c r="AI441" s="571"/>
      <c r="AJ441" s="9">
        <f t="shared" si="51"/>
        <v>0</v>
      </c>
      <c r="AK441" s="571"/>
      <c r="AL441" s="571"/>
    </row>
    <row r="442" spans="1:38" ht="45" hidden="1">
      <c r="A442" s="1">
        <f t="shared" si="50"/>
        <v>0</v>
      </c>
      <c r="B442" s="11"/>
      <c r="C442" s="11"/>
      <c r="D442" s="15" t="s">
        <v>16</v>
      </c>
      <c r="E442" s="30"/>
      <c r="F442" s="31" t="s">
        <v>1769</v>
      </c>
      <c r="G442" s="32">
        <f>G443</f>
        <v>0</v>
      </c>
      <c r="H442" s="32">
        <f>H443</f>
        <v>0</v>
      </c>
      <c r="I442" s="15"/>
      <c r="J442" s="494"/>
      <c r="K442" s="513"/>
      <c r="L442" s="513"/>
      <c r="M442" s="513"/>
      <c r="N442" s="514"/>
      <c r="O442" s="513"/>
      <c r="P442" s="513"/>
      <c r="Q442" s="513"/>
      <c r="R442" s="513"/>
      <c r="S442" s="513"/>
      <c r="T442" s="514"/>
      <c r="U442" s="32">
        <f>U443</f>
        <v>0</v>
      </c>
      <c r="V442" s="15" t="str">
        <f t="shared" si="48"/>
        <v>102023000</v>
      </c>
      <c r="W442" s="33">
        <v>1</v>
      </c>
      <c r="X442" s="34" t="s">
        <v>647</v>
      </c>
      <c r="Y442" s="34" t="s">
        <v>647</v>
      </c>
      <c r="Z442" s="35" t="s">
        <v>1770</v>
      </c>
      <c r="AA442" s="35" t="s">
        <v>630</v>
      </c>
      <c r="AB442" s="31" t="s">
        <v>1769</v>
      </c>
      <c r="AC442" s="529">
        <f>AC443</f>
        <v>0</v>
      </c>
      <c r="AD442" s="513" t="s">
        <v>1422</v>
      </c>
      <c r="AE442" s="513" t="s">
        <v>13427</v>
      </c>
      <c r="AF442" s="513" t="s">
        <v>1771</v>
      </c>
      <c r="AG442" s="514" t="s">
        <v>1772</v>
      </c>
      <c r="AH442" s="545">
        <f>AC442</f>
        <v>0</v>
      </c>
      <c r="AI442" s="10"/>
      <c r="AJ442" s="9">
        <f t="shared" si="51"/>
        <v>0</v>
      </c>
      <c r="AK442" s="10"/>
      <c r="AL442" s="10"/>
    </row>
    <row r="443" spans="1:38" s="572" customFormat="1" ht="45" hidden="1">
      <c r="A443" s="562">
        <f t="shared" si="50"/>
        <v>0</v>
      </c>
      <c r="B443" s="563" t="s">
        <v>1773</v>
      </c>
      <c r="C443" s="564" t="s">
        <v>1774</v>
      </c>
      <c r="D443" s="15" t="s">
        <v>11483</v>
      </c>
      <c r="E443" s="565" t="s">
        <v>1773</v>
      </c>
      <c r="F443" s="566" t="s">
        <v>1774</v>
      </c>
      <c r="G443" s="573">
        <v>0</v>
      </c>
      <c r="H443" s="38">
        <v>0</v>
      </c>
      <c r="I443" s="567"/>
      <c r="J443" s="568">
        <v>10202300101</v>
      </c>
      <c r="K443" s="574" t="s">
        <v>1422</v>
      </c>
      <c r="L443" s="574" t="s">
        <v>13427</v>
      </c>
      <c r="M443" s="574" t="s">
        <v>1771</v>
      </c>
      <c r="N443" s="575" t="s">
        <v>1772</v>
      </c>
      <c r="O443" s="574">
        <v>1</v>
      </c>
      <c r="P443" s="574" t="s">
        <v>647</v>
      </c>
      <c r="Q443" s="574" t="s">
        <v>647</v>
      </c>
      <c r="R443" s="574" t="s">
        <v>1770</v>
      </c>
      <c r="S443" s="574" t="s">
        <v>632</v>
      </c>
      <c r="T443" s="575" t="s">
        <v>1769</v>
      </c>
      <c r="U443" s="38">
        <v>0</v>
      </c>
      <c r="V443" s="15" t="str">
        <f t="shared" si="48"/>
        <v>102023001</v>
      </c>
      <c r="W443" s="576">
        <v>1</v>
      </c>
      <c r="X443" s="577" t="s">
        <v>647</v>
      </c>
      <c r="Y443" s="577" t="s">
        <v>647</v>
      </c>
      <c r="Z443" s="577" t="s">
        <v>1770</v>
      </c>
      <c r="AA443" s="577" t="s">
        <v>632</v>
      </c>
      <c r="AB443" s="578" t="s">
        <v>1769</v>
      </c>
      <c r="AC443" s="569">
        <f>H443</f>
        <v>0</v>
      </c>
      <c r="AD443" s="574" t="s">
        <v>1422</v>
      </c>
      <c r="AE443" s="574" t="s">
        <v>13427</v>
      </c>
      <c r="AF443" s="574" t="s">
        <v>1771</v>
      </c>
      <c r="AG443" s="579" t="s">
        <v>1772</v>
      </c>
      <c r="AH443" s="570">
        <f>AC443</f>
        <v>0</v>
      </c>
      <c r="AI443" s="571"/>
      <c r="AJ443" s="9">
        <f t="shared" si="51"/>
        <v>0</v>
      </c>
      <c r="AK443" s="571"/>
      <c r="AL443" s="571"/>
    </row>
    <row r="444" spans="1:38" hidden="1">
      <c r="A444" s="1">
        <f t="shared" si="50"/>
        <v>0</v>
      </c>
      <c r="C444" s="3" t="s">
        <v>1775</v>
      </c>
      <c r="D444" s="15" t="s">
        <v>16</v>
      </c>
      <c r="E444" s="30"/>
      <c r="F444" s="31" t="s">
        <v>1776</v>
      </c>
      <c r="G444" s="32">
        <f>SUM(G445:G447)</f>
        <v>0</v>
      </c>
      <c r="H444" s="32">
        <f>SUM(H445:H447)</f>
        <v>2102</v>
      </c>
      <c r="I444" s="15"/>
      <c r="J444" s="494"/>
      <c r="K444" s="513"/>
      <c r="L444" s="513"/>
      <c r="M444" s="513"/>
      <c r="N444" s="514"/>
      <c r="O444" s="513"/>
      <c r="P444" s="513"/>
      <c r="Q444" s="513"/>
      <c r="R444" s="513"/>
      <c r="S444" s="513"/>
      <c r="T444" s="514"/>
      <c r="U444" s="32">
        <f>SUM(U445:U447)</f>
        <v>2102</v>
      </c>
      <c r="V444" s="15" t="str">
        <f t="shared" si="48"/>
        <v>102021300</v>
      </c>
      <c r="W444" s="33">
        <v>1</v>
      </c>
      <c r="X444" s="34" t="s">
        <v>647</v>
      </c>
      <c r="Y444" s="34" t="s">
        <v>647</v>
      </c>
      <c r="Z444" s="35" t="s">
        <v>1247</v>
      </c>
      <c r="AA444" s="35" t="s">
        <v>630</v>
      </c>
      <c r="AB444" s="31" t="s">
        <v>1776</v>
      </c>
      <c r="AC444" s="529">
        <f>SUM(AC445:AC447)</f>
        <v>2102</v>
      </c>
      <c r="AD444" s="513">
        <v>0</v>
      </c>
      <c r="AE444" s="513" t="s">
        <v>13428</v>
      </c>
      <c r="AF444" s="513" t="s">
        <v>209</v>
      </c>
      <c r="AG444" s="514" t="s">
        <v>13429</v>
      </c>
      <c r="AH444" s="545">
        <f>AC444</f>
        <v>2102</v>
      </c>
      <c r="AI444" s="10"/>
      <c r="AJ444" s="9">
        <f t="shared" si="51"/>
        <v>0</v>
      </c>
      <c r="AK444" s="10"/>
      <c r="AL444" s="10"/>
    </row>
    <row r="445" spans="1:38" hidden="1">
      <c r="A445" s="1">
        <f t="shared" si="50"/>
        <v>0</v>
      </c>
      <c r="B445" s="2" t="s">
        <v>1777</v>
      </c>
      <c r="C445" s="3" t="s">
        <v>1775</v>
      </c>
      <c r="D445" s="15" t="s">
        <v>11484</v>
      </c>
      <c r="E445" s="4" t="s">
        <v>1777</v>
      </c>
      <c r="F445" s="37" t="s">
        <v>1775</v>
      </c>
      <c r="G445" s="38">
        <v>0</v>
      </c>
      <c r="H445" s="38">
        <v>2102</v>
      </c>
      <c r="I445" s="15"/>
      <c r="J445" s="494">
        <v>10202130101</v>
      </c>
      <c r="K445" s="517"/>
      <c r="L445" s="517" t="s">
        <v>13428</v>
      </c>
      <c r="M445" s="517" t="s">
        <v>209</v>
      </c>
      <c r="N445" s="518" t="s">
        <v>1778</v>
      </c>
      <c r="O445" s="517">
        <v>1</v>
      </c>
      <c r="P445" s="517" t="s">
        <v>647</v>
      </c>
      <c r="Q445" s="517" t="s">
        <v>647</v>
      </c>
      <c r="R445" s="517" t="s">
        <v>1247</v>
      </c>
      <c r="S445" s="517" t="s">
        <v>632</v>
      </c>
      <c r="T445" s="518" t="s">
        <v>1776</v>
      </c>
      <c r="U445" s="38">
        <v>2102</v>
      </c>
      <c r="V445" s="15" t="str">
        <f t="shared" si="48"/>
        <v>102021301</v>
      </c>
      <c r="W445" s="39">
        <v>1</v>
      </c>
      <c r="X445" s="40" t="s">
        <v>647</v>
      </c>
      <c r="Y445" s="40" t="s">
        <v>647</v>
      </c>
      <c r="Z445" s="40" t="s">
        <v>1247</v>
      </c>
      <c r="AA445" s="40" t="s">
        <v>632</v>
      </c>
      <c r="AB445" s="41" t="s">
        <v>1776</v>
      </c>
      <c r="AC445" s="519">
        <f>SUM(H445:H447)</f>
        <v>2102</v>
      </c>
      <c r="AD445" s="517">
        <v>0</v>
      </c>
      <c r="AE445" s="517" t="s">
        <v>13428</v>
      </c>
      <c r="AF445" s="517" t="s">
        <v>209</v>
      </c>
      <c r="AG445" s="520" t="s">
        <v>1778</v>
      </c>
      <c r="AH445" s="67">
        <f>AC445</f>
        <v>2102</v>
      </c>
      <c r="AI445" s="10"/>
      <c r="AJ445" s="9">
        <f t="shared" si="51"/>
        <v>0</v>
      </c>
      <c r="AK445" s="10"/>
      <c r="AL445" s="10"/>
    </row>
    <row r="446" spans="1:38" ht="22.5" hidden="1">
      <c r="A446" s="1">
        <f t="shared" si="50"/>
        <v>0</v>
      </c>
      <c r="B446" s="2" t="s">
        <v>1779</v>
      </c>
      <c r="C446" s="3" t="s">
        <v>1780</v>
      </c>
      <c r="D446" s="15" t="s">
        <v>11484</v>
      </c>
      <c r="E446" s="4" t="s">
        <v>1779</v>
      </c>
      <c r="F446" s="37" t="s">
        <v>1780</v>
      </c>
      <c r="G446" s="38">
        <v>0</v>
      </c>
      <c r="H446" s="38">
        <v>0</v>
      </c>
      <c r="I446" s="15"/>
      <c r="J446" s="494">
        <v>10202130102</v>
      </c>
      <c r="L446" s="523" t="s">
        <v>13428</v>
      </c>
      <c r="M446" s="523" t="s">
        <v>209</v>
      </c>
      <c r="N446" s="518" t="s">
        <v>1778</v>
      </c>
      <c r="O446" s="523">
        <v>1</v>
      </c>
      <c r="P446" s="523" t="s">
        <v>647</v>
      </c>
      <c r="Q446" s="523" t="s">
        <v>647</v>
      </c>
      <c r="R446" s="523" t="s">
        <v>1247</v>
      </c>
      <c r="S446" s="523" t="s">
        <v>632</v>
      </c>
      <c r="T446" s="518" t="s">
        <v>1776</v>
      </c>
      <c r="U446" s="38">
        <v>0</v>
      </c>
      <c r="V446" s="15" t="str">
        <f t="shared" si="48"/>
        <v/>
      </c>
      <c r="W446" s="10"/>
      <c r="X446" s="10"/>
      <c r="Y446" s="10"/>
      <c r="Z446" s="10"/>
      <c r="AA446" s="10"/>
      <c r="AB446" s="10"/>
      <c r="AC446" s="9"/>
      <c r="AD446" s="523" t="e">
        <v>#N/A</v>
      </c>
      <c r="AE446" s="523" t="e">
        <v>#N/A</v>
      </c>
      <c r="AF446" s="523" t="e">
        <v>#N/A</v>
      </c>
      <c r="AG446" s="524" t="e">
        <v>#N/A</v>
      </c>
      <c r="AH446" s="9"/>
      <c r="AI446" s="10"/>
      <c r="AJ446" s="9">
        <f t="shared" si="51"/>
        <v>0</v>
      </c>
      <c r="AK446" s="10"/>
      <c r="AL446" s="10"/>
    </row>
    <row r="447" spans="1:38" hidden="1">
      <c r="A447" s="1">
        <f t="shared" si="50"/>
        <v>0</v>
      </c>
      <c r="B447" s="2" t="s">
        <v>1781</v>
      </c>
      <c r="C447" s="3" t="s">
        <v>1782</v>
      </c>
      <c r="D447" s="15" t="s">
        <v>11484</v>
      </c>
      <c r="E447" s="4" t="s">
        <v>1781</v>
      </c>
      <c r="F447" s="37" t="s">
        <v>1782</v>
      </c>
      <c r="G447" s="38">
        <v>0</v>
      </c>
      <c r="H447" s="38">
        <v>0</v>
      </c>
      <c r="I447" s="15"/>
      <c r="J447" s="494">
        <v>10202130103</v>
      </c>
      <c r="L447" s="523" t="s">
        <v>13428</v>
      </c>
      <c r="M447" s="523" t="s">
        <v>209</v>
      </c>
      <c r="N447" s="518" t="s">
        <v>1778</v>
      </c>
      <c r="O447" s="523">
        <v>1</v>
      </c>
      <c r="P447" s="523" t="s">
        <v>647</v>
      </c>
      <c r="Q447" s="523" t="s">
        <v>647</v>
      </c>
      <c r="R447" s="523" t="s">
        <v>1247</v>
      </c>
      <c r="S447" s="523" t="s">
        <v>632</v>
      </c>
      <c r="T447" s="518" t="s">
        <v>1776</v>
      </c>
      <c r="U447" s="38">
        <v>0</v>
      </c>
      <c r="V447" s="15" t="str">
        <f t="shared" si="48"/>
        <v/>
      </c>
      <c r="W447" s="10"/>
      <c r="X447" s="10"/>
      <c r="Y447" s="10"/>
      <c r="Z447" s="10"/>
      <c r="AA447" s="10"/>
      <c r="AB447" s="10"/>
      <c r="AC447" s="9"/>
      <c r="AD447" s="523" t="e">
        <v>#N/A</v>
      </c>
      <c r="AE447" s="523" t="e">
        <v>#N/A</v>
      </c>
      <c r="AF447" s="523" t="e">
        <v>#N/A</v>
      </c>
      <c r="AG447" s="524" t="e">
        <v>#N/A</v>
      </c>
      <c r="AH447" s="9"/>
      <c r="AI447" s="10"/>
      <c r="AJ447" s="9">
        <f t="shared" si="51"/>
        <v>0</v>
      </c>
      <c r="AK447" s="10"/>
      <c r="AL447" s="10"/>
    </row>
    <row r="448" spans="1:38" ht="33.75" hidden="1">
      <c r="A448" s="1">
        <f t="shared" si="50"/>
        <v>0</v>
      </c>
      <c r="C448" s="3" t="s">
        <v>1783</v>
      </c>
      <c r="D448" s="15" t="s">
        <v>16</v>
      </c>
      <c r="E448" s="30"/>
      <c r="F448" s="31" t="s">
        <v>1784</v>
      </c>
      <c r="G448" s="32">
        <f>SUM(G449:G485)-G486</f>
        <v>2833280.55</v>
      </c>
      <c r="H448" s="32">
        <f>SUM(H449:H485)-H486</f>
        <v>3100392.4000000004</v>
      </c>
      <c r="I448" s="15"/>
      <c r="J448" s="494"/>
      <c r="K448" s="513"/>
      <c r="L448" s="513"/>
      <c r="M448" s="513"/>
      <c r="N448" s="514"/>
      <c r="O448" s="513"/>
      <c r="P448" s="513"/>
      <c r="Q448" s="513"/>
      <c r="R448" s="513"/>
      <c r="S448" s="513"/>
      <c r="T448" s="514"/>
      <c r="U448" s="32">
        <f>SUM(U449:U485)-U486</f>
        <v>3100392.4000000004</v>
      </c>
      <c r="V448" s="15" t="str">
        <f t="shared" si="48"/>
        <v>102021400</v>
      </c>
      <c r="W448" s="33">
        <v>1</v>
      </c>
      <c r="X448" s="34" t="s">
        <v>647</v>
      </c>
      <c r="Y448" s="34" t="s">
        <v>647</v>
      </c>
      <c r="Z448" s="35" t="s">
        <v>1253</v>
      </c>
      <c r="AA448" s="35" t="s">
        <v>630</v>
      </c>
      <c r="AB448" s="31" t="s">
        <v>1784</v>
      </c>
      <c r="AC448" s="529">
        <f>SUM(AC449:AC485)-AC486</f>
        <v>3100392.4000000004</v>
      </c>
      <c r="AD448" s="513">
        <v>0</v>
      </c>
      <c r="AE448" s="513" t="s">
        <v>13430</v>
      </c>
      <c r="AF448" s="513" t="s">
        <v>1785</v>
      </c>
      <c r="AG448" s="514" t="s">
        <v>1786</v>
      </c>
      <c r="AH448" s="516">
        <f t="shared" ref="AH448:AH492" si="52">AC448</f>
        <v>3100392.4000000004</v>
      </c>
      <c r="AI448" s="10"/>
      <c r="AJ448" s="9">
        <f t="shared" si="51"/>
        <v>0</v>
      </c>
      <c r="AK448" s="10"/>
      <c r="AL448" s="10"/>
    </row>
    <row r="449" spans="1:38" ht="45" hidden="1">
      <c r="A449" s="1">
        <f t="shared" si="50"/>
        <v>0</v>
      </c>
      <c r="B449" s="2" t="s">
        <v>1787</v>
      </c>
      <c r="C449" s="3" t="s">
        <v>1788</v>
      </c>
      <c r="D449" s="15" t="s">
        <v>11485</v>
      </c>
      <c r="E449" s="4" t="s">
        <v>1787</v>
      </c>
      <c r="F449" s="37" t="s">
        <v>1788</v>
      </c>
      <c r="G449" s="38">
        <v>0</v>
      </c>
      <c r="H449" s="38">
        <v>0</v>
      </c>
      <c r="I449" s="15"/>
      <c r="J449" s="494">
        <v>10202140101</v>
      </c>
      <c r="K449" s="517" t="s">
        <v>1519</v>
      </c>
      <c r="L449" s="517" t="s">
        <v>13431</v>
      </c>
      <c r="M449" s="517" t="s">
        <v>223</v>
      </c>
      <c r="N449" s="518" t="s">
        <v>13432</v>
      </c>
      <c r="O449" s="517">
        <v>1</v>
      </c>
      <c r="P449" s="517" t="s">
        <v>647</v>
      </c>
      <c r="Q449" s="517" t="s">
        <v>647</v>
      </c>
      <c r="R449" s="517" t="s">
        <v>1253</v>
      </c>
      <c r="S449" s="517" t="s">
        <v>632</v>
      </c>
      <c r="T449" s="518" t="s">
        <v>1789</v>
      </c>
      <c r="U449" s="38">
        <v>0</v>
      </c>
      <c r="V449" s="15" t="str">
        <f t="shared" si="48"/>
        <v>102021401</v>
      </c>
      <c r="W449" s="39">
        <v>1</v>
      </c>
      <c r="X449" s="40" t="s">
        <v>647</v>
      </c>
      <c r="Y449" s="40" t="s">
        <v>647</v>
      </c>
      <c r="Z449" s="40" t="s">
        <v>1253</v>
      </c>
      <c r="AA449" s="40" t="s">
        <v>632</v>
      </c>
      <c r="AB449" s="41" t="s">
        <v>1789</v>
      </c>
      <c r="AC449" s="519">
        <f t="shared" ref="AC449:AC486" si="53">H449</f>
        <v>0</v>
      </c>
      <c r="AD449" s="517" t="s">
        <v>1519</v>
      </c>
      <c r="AE449" s="517" t="s">
        <v>13431</v>
      </c>
      <c r="AF449" s="517" t="s">
        <v>223</v>
      </c>
      <c r="AG449" s="520" t="s">
        <v>13432</v>
      </c>
      <c r="AH449" s="67">
        <f t="shared" si="52"/>
        <v>0</v>
      </c>
      <c r="AI449" s="10"/>
      <c r="AJ449" s="9">
        <f t="shared" si="51"/>
        <v>0</v>
      </c>
      <c r="AK449" s="10"/>
      <c r="AL449" s="10"/>
    </row>
    <row r="450" spans="1:38" ht="45" hidden="1">
      <c r="A450" s="1">
        <f t="shared" si="50"/>
        <v>0</v>
      </c>
      <c r="B450" s="2" t="s">
        <v>1790</v>
      </c>
      <c r="C450" s="3" t="s">
        <v>1791</v>
      </c>
      <c r="D450" s="15" t="s">
        <v>11486</v>
      </c>
      <c r="E450" s="4" t="s">
        <v>1790</v>
      </c>
      <c r="F450" s="37" t="s">
        <v>1791</v>
      </c>
      <c r="G450" s="38">
        <v>0</v>
      </c>
      <c r="H450" s="38">
        <v>0</v>
      </c>
      <c r="I450" s="15"/>
      <c r="J450" s="494">
        <v>10202140201</v>
      </c>
      <c r="K450" s="517" t="s">
        <v>1519</v>
      </c>
      <c r="L450" s="517" t="s">
        <v>13433</v>
      </c>
      <c r="M450" s="517" t="s">
        <v>210</v>
      </c>
      <c r="N450" s="518" t="s">
        <v>1793</v>
      </c>
      <c r="O450" s="517">
        <v>1</v>
      </c>
      <c r="P450" s="517" t="s">
        <v>647</v>
      </c>
      <c r="Q450" s="517" t="s">
        <v>647</v>
      </c>
      <c r="R450" s="517" t="s">
        <v>1253</v>
      </c>
      <c r="S450" s="517" t="s">
        <v>647</v>
      </c>
      <c r="T450" s="518" t="s">
        <v>1792</v>
      </c>
      <c r="U450" s="38">
        <v>0</v>
      </c>
      <c r="V450" s="15" t="str">
        <f t="shared" si="48"/>
        <v>102021402</v>
      </c>
      <c r="W450" s="39">
        <v>1</v>
      </c>
      <c r="X450" s="40" t="s">
        <v>647</v>
      </c>
      <c r="Y450" s="40" t="s">
        <v>647</v>
      </c>
      <c r="Z450" s="40" t="s">
        <v>1253</v>
      </c>
      <c r="AA450" s="40" t="s">
        <v>647</v>
      </c>
      <c r="AB450" s="41" t="s">
        <v>1792</v>
      </c>
      <c r="AC450" s="519">
        <f t="shared" si="53"/>
        <v>0</v>
      </c>
      <c r="AD450" s="517" t="s">
        <v>1519</v>
      </c>
      <c r="AE450" s="517" t="s">
        <v>13433</v>
      </c>
      <c r="AF450" s="517" t="s">
        <v>210</v>
      </c>
      <c r="AG450" s="520" t="s">
        <v>1793</v>
      </c>
      <c r="AH450" s="67">
        <f t="shared" si="52"/>
        <v>0</v>
      </c>
      <c r="AI450" s="10"/>
      <c r="AJ450" s="9">
        <f t="shared" si="51"/>
        <v>0</v>
      </c>
      <c r="AK450" s="10"/>
      <c r="AL450" s="10"/>
    </row>
    <row r="451" spans="1:38" ht="45" hidden="1">
      <c r="A451" s="1">
        <f t="shared" si="50"/>
        <v>0</v>
      </c>
      <c r="B451" s="2" t="s">
        <v>1794</v>
      </c>
      <c r="C451" s="3" t="s">
        <v>1795</v>
      </c>
      <c r="D451" s="15" t="s">
        <v>11487</v>
      </c>
      <c r="E451" s="4" t="s">
        <v>1794</v>
      </c>
      <c r="F451" s="37" t="s">
        <v>1795</v>
      </c>
      <c r="G451" s="38">
        <v>0</v>
      </c>
      <c r="H451" s="38">
        <v>0</v>
      </c>
      <c r="I451" s="15"/>
      <c r="J451" s="494">
        <v>10202140301</v>
      </c>
      <c r="K451" s="517" t="s">
        <v>1519</v>
      </c>
      <c r="L451" s="517" t="s">
        <v>13433</v>
      </c>
      <c r="M451" s="517" t="s">
        <v>210</v>
      </c>
      <c r="N451" s="518" t="s">
        <v>1793</v>
      </c>
      <c r="O451" s="517">
        <v>1</v>
      </c>
      <c r="P451" s="517" t="s">
        <v>647</v>
      </c>
      <c r="Q451" s="517" t="s">
        <v>647</v>
      </c>
      <c r="R451" s="517" t="s">
        <v>1253</v>
      </c>
      <c r="S451" s="517" t="s">
        <v>671</v>
      </c>
      <c r="T451" s="518" t="s">
        <v>1796</v>
      </c>
      <c r="U451" s="38">
        <v>0</v>
      </c>
      <c r="V451" s="15" t="str">
        <f t="shared" ref="V451:V514" si="54">CONCATENATE(W451,X451,Y451,Z451,AA451)</f>
        <v>102021403</v>
      </c>
      <c r="W451" s="39">
        <v>1</v>
      </c>
      <c r="X451" s="40" t="s">
        <v>647</v>
      </c>
      <c r="Y451" s="40" t="s">
        <v>647</v>
      </c>
      <c r="Z451" s="40" t="s">
        <v>1253</v>
      </c>
      <c r="AA451" s="40" t="s">
        <v>671</v>
      </c>
      <c r="AB451" s="41" t="s">
        <v>1796</v>
      </c>
      <c r="AC451" s="519">
        <f t="shared" si="53"/>
        <v>0</v>
      </c>
      <c r="AD451" s="517" t="s">
        <v>1519</v>
      </c>
      <c r="AE451" s="517" t="s">
        <v>13433</v>
      </c>
      <c r="AF451" s="517" t="s">
        <v>210</v>
      </c>
      <c r="AG451" s="520" t="s">
        <v>1793</v>
      </c>
      <c r="AH451" s="67">
        <f t="shared" si="52"/>
        <v>0</v>
      </c>
      <c r="AI451" s="10"/>
      <c r="AJ451" s="9">
        <f t="shared" si="51"/>
        <v>0</v>
      </c>
      <c r="AK451" s="10"/>
      <c r="AL451" s="10"/>
    </row>
    <row r="452" spans="1:38" ht="45" hidden="1">
      <c r="A452" s="1">
        <f t="shared" si="50"/>
        <v>0</v>
      </c>
      <c r="B452" s="2" t="s">
        <v>1797</v>
      </c>
      <c r="C452" s="3" t="s">
        <v>1798</v>
      </c>
      <c r="D452" s="15" t="s">
        <v>11488</v>
      </c>
      <c r="E452" s="4" t="s">
        <v>1797</v>
      </c>
      <c r="F452" s="37" t="s">
        <v>1798</v>
      </c>
      <c r="G452" s="38">
        <v>0</v>
      </c>
      <c r="H452" s="38">
        <v>0</v>
      </c>
      <c r="I452" s="15"/>
      <c r="J452" s="494">
        <v>10202140401</v>
      </c>
      <c r="K452" s="517" t="s">
        <v>1519</v>
      </c>
      <c r="L452" s="517" t="s">
        <v>13433</v>
      </c>
      <c r="M452" s="517" t="s">
        <v>210</v>
      </c>
      <c r="N452" s="518" t="s">
        <v>1793</v>
      </c>
      <c r="O452" s="517">
        <v>1</v>
      </c>
      <c r="P452" s="517" t="s">
        <v>647</v>
      </c>
      <c r="Q452" s="517" t="s">
        <v>647</v>
      </c>
      <c r="R452" s="517" t="s">
        <v>1253</v>
      </c>
      <c r="S452" s="517" t="s">
        <v>693</v>
      </c>
      <c r="T452" s="518" t="s">
        <v>1799</v>
      </c>
      <c r="U452" s="38">
        <v>0</v>
      </c>
      <c r="V452" s="15" t="str">
        <f t="shared" si="54"/>
        <v>102021404</v>
      </c>
      <c r="W452" s="39">
        <v>1</v>
      </c>
      <c r="X452" s="40" t="s">
        <v>647</v>
      </c>
      <c r="Y452" s="40" t="s">
        <v>647</v>
      </c>
      <c r="Z452" s="40" t="s">
        <v>1253</v>
      </c>
      <c r="AA452" s="40" t="s">
        <v>693</v>
      </c>
      <c r="AB452" s="41" t="s">
        <v>1799</v>
      </c>
      <c r="AC452" s="519">
        <f t="shared" si="53"/>
        <v>0</v>
      </c>
      <c r="AD452" s="517" t="s">
        <v>1519</v>
      </c>
      <c r="AE452" s="517" t="s">
        <v>13433</v>
      </c>
      <c r="AF452" s="517" t="s">
        <v>210</v>
      </c>
      <c r="AG452" s="520" t="s">
        <v>1793</v>
      </c>
      <c r="AH452" s="67">
        <f t="shared" si="52"/>
        <v>0</v>
      </c>
      <c r="AI452" s="10"/>
      <c r="AJ452" s="9">
        <f t="shared" si="51"/>
        <v>0</v>
      </c>
      <c r="AK452" s="10"/>
      <c r="AL452" s="10"/>
    </row>
    <row r="453" spans="1:38" ht="45" hidden="1">
      <c r="A453" s="1">
        <f t="shared" si="50"/>
        <v>0</v>
      </c>
      <c r="B453" s="2" t="s">
        <v>1800</v>
      </c>
      <c r="C453" s="3" t="s">
        <v>1801</v>
      </c>
      <c r="D453" s="15" t="s">
        <v>11489</v>
      </c>
      <c r="E453" s="4" t="s">
        <v>1800</v>
      </c>
      <c r="F453" s="37" t="s">
        <v>1801</v>
      </c>
      <c r="G453" s="38">
        <v>0</v>
      </c>
      <c r="H453" s="38">
        <v>0</v>
      </c>
      <c r="I453" s="15"/>
      <c r="J453" s="494">
        <v>10202140501</v>
      </c>
      <c r="K453" s="517" t="s">
        <v>1519</v>
      </c>
      <c r="L453" s="517" t="s">
        <v>13433</v>
      </c>
      <c r="M453" s="517" t="s">
        <v>210</v>
      </c>
      <c r="N453" s="518" t="s">
        <v>1793</v>
      </c>
      <c r="O453" s="517">
        <v>1</v>
      </c>
      <c r="P453" s="517" t="s">
        <v>647</v>
      </c>
      <c r="Q453" s="517" t="s">
        <v>647</v>
      </c>
      <c r="R453" s="517" t="s">
        <v>1253</v>
      </c>
      <c r="S453" s="517" t="s">
        <v>714</v>
      </c>
      <c r="T453" s="518" t="s">
        <v>1802</v>
      </c>
      <c r="U453" s="38">
        <v>0</v>
      </c>
      <c r="V453" s="15" t="str">
        <f t="shared" si="54"/>
        <v>102021405</v>
      </c>
      <c r="W453" s="39">
        <v>1</v>
      </c>
      <c r="X453" s="40" t="s">
        <v>647</v>
      </c>
      <c r="Y453" s="40" t="s">
        <v>647</v>
      </c>
      <c r="Z453" s="40" t="s">
        <v>1253</v>
      </c>
      <c r="AA453" s="40" t="s">
        <v>714</v>
      </c>
      <c r="AB453" s="41" t="s">
        <v>1802</v>
      </c>
      <c r="AC453" s="519">
        <f t="shared" si="53"/>
        <v>0</v>
      </c>
      <c r="AD453" s="517" t="s">
        <v>1519</v>
      </c>
      <c r="AE453" s="517" t="s">
        <v>13433</v>
      </c>
      <c r="AF453" s="517" t="s">
        <v>210</v>
      </c>
      <c r="AG453" s="520" t="s">
        <v>1793</v>
      </c>
      <c r="AH453" s="67">
        <f t="shared" si="52"/>
        <v>0</v>
      </c>
      <c r="AI453" s="10"/>
      <c r="AJ453" s="9">
        <f t="shared" si="51"/>
        <v>0</v>
      </c>
      <c r="AK453" s="10"/>
      <c r="AL453" s="10"/>
    </row>
    <row r="454" spans="1:38" ht="45" hidden="1">
      <c r="A454" s="1">
        <f t="shared" si="50"/>
        <v>0</v>
      </c>
      <c r="B454" s="2" t="s">
        <v>1803</v>
      </c>
      <c r="C454" s="3" t="s">
        <v>1804</v>
      </c>
      <c r="D454" s="15" t="s">
        <v>11490</v>
      </c>
      <c r="E454" s="4" t="s">
        <v>1803</v>
      </c>
      <c r="F454" s="37" t="s">
        <v>1804</v>
      </c>
      <c r="G454" s="38">
        <v>0</v>
      </c>
      <c r="H454" s="38">
        <v>0</v>
      </c>
      <c r="I454" s="15"/>
      <c r="J454" s="494">
        <v>10202140601</v>
      </c>
      <c r="K454" s="517" t="s">
        <v>1519</v>
      </c>
      <c r="L454" s="517" t="s">
        <v>13433</v>
      </c>
      <c r="M454" s="517" t="s">
        <v>210</v>
      </c>
      <c r="N454" s="518" t="s">
        <v>1793</v>
      </c>
      <c r="O454" s="517">
        <v>1</v>
      </c>
      <c r="P454" s="517" t="s">
        <v>647</v>
      </c>
      <c r="Q454" s="517" t="s">
        <v>647</v>
      </c>
      <c r="R454" s="517" t="s">
        <v>1253</v>
      </c>
      <c r="S454" s="517" t="s">
        <v>739</v>
      </c>
      <c r="T454" s="518" t="s">
        <v>1805</v>
      </c>
      <c r="U454" s="38">
        <v>0</v>
      </c>
      <c r="V454" s="15" t="str">
        <f t="shared" si="54"/>
        <v>102021406</v>
      </c>
      <c r="W454" s="39">
        <v>1</v>
      </c>
      <c r="X454" s="40" t="s">
        <v>647</v>
      </c>
      <c r="Y454" s="40" t="s">
        <v>647</v>
      </c>
      <c r="Z454" s="40" t="s">
        <v>1253</v>
      </c>
      <c r="AA454" s="40" t="s">
        <v>739</v>
      </c>
      <c r="AB454" s="41" t="s">
        <v>1805</v>
      </c>
      <c r="AC454" s="519">
        <f t="shared" si="53"/>
        <v>0</v>
      </c>
      <c r="AD454" s="517" t="s">
        <v>1519</v>
      </c>
      <c r="AE454" s="517" t="s">
        <v>13433</v>
      </c>
      <c r="AF454" s="517" t="s">
        <v>210</v>
      </c>
      <c r="AG454" s="520" t="s">
        <v>1793</v>
      </c>
      <c r="AH454" s="67">
        <f t="shared" si="52"/>
        <v>0</v>
      </c>
      <c r="AI454" s="10"/>
      <c r="AJ454" s="9">
        <f t="shared" si="51"/>
        <v>0</v>
      </c>
      <c r="AK454" s="10"/>
      <c r="AL454" s="10"/>
    </row>
    <row r="455" spans="1:38" ht="45" hidden="1">
      <c r="A455" s="1">
        <f t="shared" si="50"/>
        <v>0</v>
      </c>
      <c r="B455" s="2" t="s">
        <v>1806</v>
      </c>
      <c r="C455" s="3" t="s">
        <v>1807</v>
      </c>
      <c r="D455" s="15" t="s">
        <v>11491</v>
      </c>
      <c r="E455" s="4" t="s">
        <v>1806</v>
      </c>
      <c r="F455" s="37" t="s">
        <v>1807</v>
      </c>
      <c r="G455" s="38">
        <v>0</v>
      </c>
      <c r="H455" s="38">
        <v>0</v>
      </c>
      <c r="I455" s="15"/>
      <c r="J455" s="494">
        <v>10202140701</v>
      </c>
      <c r="K455" s="517" t="s">
        <v>1519</v>
      </c>
      <c r="L455" s="517" t="s">
        <v>13433</v>
      </c>
      <c r="M455" s="517" t="s">
        <v>210</v>
      </c>
      <c r="N455" s="518" t="s">
        <v>1793</v>
      </c>
      <c r="O455" s="517">
        <v>1</v>
      </c>
      <c r="P455" s="517" t="s">
        <v>647</v>
      </c>
      <c r="Q455" s="517" t="s">
        <v>647</v>
      </c>
      <c r="R455" s="517" t="s">
        <v>1253</v>
      </c>
      <c r="S455" s="517" t="s">
        <v>755</v>
      </c>
      <c r="T455" s="518" t="s">
        <v>1808</v>
      </c>
      <c r="U455" s="38">
        <v>0</v>
      </c>
      <c r="V455" s="15" t="str">
        <f t="shared" si="54"/>
        <v>102021407</v>
      </c>
      <c r="W455" s="39">
        <v>1</v>
      </c>
      <c r="X455" s="40" t="s">
        <v>647</v>
      </c>
      <c r="Y455" s="40" t="s">
        <v>647</v>
      </c>
      <c r="Z455" s="40" t="s">
        <v>1253</v>
      </c>
      <c r="AA455" s="40" t="s">
        <v>755</v>
      </c>
      <c r="AB455" s="41" t="s">
        <v>1808</v>
      </c>
      <c r="AC455" s="519">
        <f t="shared" si="53"/>
        <v>0</v>
      </c>
      <c r="AD455" s="517" t="s">
        <v>1519</v>
      </c>
      <c r="AE455" s="517" t="s">
        <v>13433</v>
      </c>
      <c r="AF455" s="517" t="s">
        <v>210</v>
      </c>
      <c r="AG455" s="520" t="s">
        <v>1793</v>
      </c>
      <c r="AH455" s="67">
        <f t="shared" si="52"/>
        <v>0</v>
      </c>
      <c r="AI455" s="10"/>
      <c r="AJ455" s="9">
        <f t="shared" si="51"/>
        <v>0</v>
      </c>
      <c r="AK455" s="10"/>
      <c r="AL455" s="10"/>
    </row>
    <row r="456" spans="1:38" ht="45" hidden="1">
      <c r="A456" s="1">
        <f t="shared" si="50"/>
        <v>0</v>
      </c>
      <c r="B456" s="2" t="s">
        <v>1809</v>
      </c>
      <c r="C456" s="3" t="s">
        <v>1810</v>
      </c>
      <c r="D456" s="15" t="s">
        <v>11492</v>
      </c>
      <c r="E456" s="4" t="s">
        <v>1809</v>
      </c>
      <c r="F456" s="37" t="s">
        <v>1810</v>
      </c>
      <c r="G456" s="38">
        <v>0</v>
      </c>
      <c r="H456" s="38">
        <v>0</v>
      </c>
      <c r="I456" s="15"/>
      <c r="J456" s="494">
        <v>10202140801</v>
      </c>
      <c r="K456" s="517" t="s">
        <v>1519</v>
      </c>
      <c r="L456" s="517" t="s">
        <v>13433</v>
      </c>
      <c r="M456" s="517" t="s">
        <v>210</v>
      </c>
      <c r="N456" s="518" t="s">
        <v>1793</v>
      </c>
      <c r="O456" s="517">
        <v>1</v>
      </c>
      <c r="P456" s="517" t="s">
        <v>647</v>
      </c>
      <c r="Q456" s="517" t="s">
        <v>647</v>
      </c>
      <c r="R456" s="517" t="s">
        <v>1253</v>
      </c>
      <c r="S456" s="517" t="s">
        <v>766</v>
      </c>
      <c r="T456" s="518" t="s">
        <v>1811</v>
      </c>
      <c r="U456" s="38">
        <v>0</v>
      </c>
      <c r="V456" s="15" t="str">
        <f t="shared" si="54"/>
        <v>102021408</v>
      </c>
      <c r="W456" s="39">
        <v>1</v>
      </c>
      <c r="X456" s="40" t="s">
        <v>647</v>
      </c>
      <c r="Y456" s="40" t="s">
        <v>647</v>
      </c>
      <c r="Z456" s="40" t="s">
        <v>1253</v>
      </c>
      <c r="AA456" s="40" t="s">
        <v>766</v>
      </c>
      <c r="AB456" s="41" t="s">
        <v>1811</v>
      </c>
      <c r="AC456" s="519">
        <f t="shared" si="53"/>
        <v>0</v>
      </c>
      <c r="AD456" s="517" t="s">
        <v>1519</v>
      </c>
      <c r="AE456" s="517" t="s">
        <v>13433</v>
      </c>
      <c r="AF456" s="517" t="s">
        <v>210</v>
      </c>
      <c r="AG456" s="520" t="s">
        <v>1793</v>
      </c>
      <c r="AH456" s="67">
        <f t="shared" si="52"/>
        <v>0</v>
      </c>
      <c r="AI456" s="10"/>
      <c r="AJ456" s="9">
        <f t="shared" si="51"/>
        <v>0</v>
      </c>
      <c r="AK456" s="10"/>
      <c r="AL456" s="10"/>
    </row>
    <row r="457" spans="1:38" ht="45" hidden="1">
      <c r="A457" s="1">
        <f t="shared" ref="A457:A522" si="55">IF(E457=B457,0,1)</f>
        <v>0</v>
      </c>
      <c r="B457" s="2" t="s">
        <v>1812</v>
      </c>
      <c r="C457" s="3" t="s">
        <v>1813</v>
      </c>
      <c r="D457" s="15" t="s">
        <v>11493</v>
      </c>
      <c r="E457" s="4" t="s">
        <v>1812</v>
      </c>
      <c r="F457" s="37" t="s">
        <v>1813</v>
      </c>
      <c r="G457" s="38">
        <v>0</v>
      </c>
      <c r="H457" s="38">
        <v>0</v>
      </c>
      <c r="I457" s="15"/>
      <c r="J457" s="494">
        <v>10202140901</v>
      </c>
      <c r="K457" s="517" t="s">
        <v>1519</v>
      </c>
      <c r="L457" s="517" t="s">
        <v>13433</v>
      </c>
      <c r="M457" s="517" t="s">
        <v>210</v>
      </c>
      <c r="N457" s="518" t="s">
        <v>1793</v>
      </c>
      <c r="O457" s="517">
        <v>1</v>
      </c>
      <c r="P457" s="517" t="s">
        <v>647</v>
      </c>
      <c r="Q457" s="517" t="s">
        <v>647</v>
      </c>
      <c r="R457" s="517" t="s">
        <v>1253</v>
      </c>
      <c r="S457" s="517" t="s">
        <v>779</v>
      </c>
      <c r="T457" s="518" t="s">
        <v>1814</v>
      </c>
      <c r="U457" s="38">
        <v>0</v>
      </c>
      <c r="V457" s="15" t="str">
        <f t="shared" si="54"/>
        <v>102021409</v>
      </c>
      <c r="W457" s="39">
        <v>1</v>
      </c>
      <c r="X457" s="40" t="s">
        <v>647</v>
      </c>
      <c r="Y457" s="40" t="s">
        <v>647</v>
      </c>
      <c r="Z457" s="40" t="s">
        <v>1253</v>
      </c>
      <c r="AA457" s="40" t="s">
        <v>779</v>
      </c>
      <c r="AB457" s="41" t="s">
        <v>1814</v>
      </c>
      <c r="AC457" s="519">
        <f t="shared" si="53"/>
        <v>0</v>
      </c>
      <c r="AD457" s="517" t="s">
        <v>1519</v>
      </c>
      <c r="AE457" s="517" t="s">
        <v>13433</v>
      </c>
      <c r="AF457" s="517" t="s">
        <v>210</v>
      </c>
      <c r="AG457" s="520" t="s">
        <v>1793</v>
      </c>
      <c r="AH457" s="67">
        <f t="shared" si="52"/>
        <v>0</v>
      </c>
      <c r="AI457" s="10"/>
      <c r="AJ457" s="9">
        <f t="shared" si="51"/>
        <v>0</v>
      </c>
      <c r="AK457" s="10"/>
      <c r="AL457" s="10"/>
    </row>
    <row r="458" spans="1:38" ht="45" hidden="1">
      <c r="A458" s="1">
        <f t="shared" si="55"/>
        <v>0</v>
      </c>
      <c r="B458" s="2" t="s">
        <v>1815</v>
      </c>
      <c r="C458" s="3" t="s">
        <v>1816</v>
      </c>
      <c r="D458" s="15" t="s">
        <v>11494</v>
      </c>
      <c r="E458" s="4" t="s">
        <v>1815</v>
      </c>
      <c r="F458" s="37" t="s">
        <v>1816</v>
      </c>
      <c r="G458" s="38">
        <v>0</v>
      </c>
      <c r="H458" s="38">
        <v>0</v>
      </c>
      <c r="I458" s="15"/>
      <c r="J458" s="494">
        <v>10202141001</v>
      </c>
      <c r="K458" s="517" t="s">
        <v>1519</v>
      </c>
      <c r="L458" s="517" t="s">
        <v>13433</v>
      </c>
      <c r="M458" s="517" t="s">
        <v>210</v>
      </c>
      <c r="N458" s="518" t="s">
        <v>1793</v>
      </c>
      <c r="O458" s="517">
        <v>1</v>
      </c>
      <c r="P458" s="517" t="s">
        <v>647</v>
      </c>
      <c r="Q458" s="517" t="s">
        <v>647</v>
      </c>
      <c r="R458" s="517" t="s">
        <v>1253</v>
      </c>
      <c r="S458" s="517" t="s">
        <v>1225</v>
      </c>
      <c r="T458" s="518" t="s">
        <v>1817</v>
      </c>
      <c r="U458" s="38">
        <v>0</v>
      </c>
      <c r="V458" s="15" t="str">
        <f t="shared" si="54"/>
        <v>102021410</v>
      </c>
      <c r="W458" s="39">
        <v>1</v>
      </c>
      <c r="X458" s="40" t="s">
        <v>647</v>
      </c>
      <c r="Y458" s="40" t="s">
        <v>647</v>
      </c>
      <c r="Z458" s="40" t="s">
        <v>1253</v>
      </c>
      <c r="AA458" s="40" t="s">
        <v>1225</v>
      </c>
      <c r="AB458" s="41" t="s">
        <v>1817</v>
      </c>
      <c r="AC458" s="519">
        <f t="shared" si="53"/>
        <v>0</v>
      </c>
      <c r="AD458" s="517" t="s">
        <v>1519</v>
      </c>
      <c r="AE458" s="517" t="s">
        <v>13433</v>
      </c>
      <c r="AF458" s="517" t="s">
        <v>210</v>
      </c>
      <c r="AG458" s="520" t="s">
        <v>1793</v>
      </c>
      <c r="AH458" s="67">
        <f t="shared" si="52"/>
        <v>0</v>
      </c>
      <c r="AI458" s="10"/>
      <c r="AJ458" s="9">
        <f t="shared" si="51"/>
        <v>0</v>
      </c>
      <c r="AK458" s="10"/>
      <c r="AL458" s="10"/>
    </row>
    <row r="459" spans="1:38" ht="45" hidden="1">
      <c r="A459" s="1">
        <f t="shared" si="55"/>
        <v>0</v>
      </c>
      <c r="B459" s="2" t="s">
        <v>1818</v>
      </c>
      <c r="C459" s="3" t="s">
        <v>1819</v>
      </c>
      <c r="D459" s="15" t="s">
        <v>11495</v>
      </c>
      <c r="E459" s="4" t="s">
        <v>1818</v>
      </c>
      <c r="F459" s="37" t="s">
        <v>1819</v>
      </c>
      <c r="G459" s="38">
        <v>0</v>
      </c>
      <c r="H459" s="38">
        <v>0</v>
      </c>
      <c r="I459" s="15"/>
      <c r="J459" s="494">
        <v>10202141101</v>
      </c>
      <c r="K459" s="517" t="s">
        <v>1519</v>
      </c>
      <c r="L459" s="517" t="s">
        <v>13433</v>
      </c>
      <c r="M459" s="517" t="s">
        <v>210</v>
      </c>
      <c r="N459" s="518" t="s">
        <v>1793</v>
      </c>
      <c r="O459" s="517">
        <v>1</v>
      </c>
      <c r="P459" s="517" t="s">
        <v>647</v>
      </c>
      <c r="Q459" s="517" t="s">
        <v>647</v>
      </c>
      <c r="R459" s="517" t="s">
        <v>1253</v>
      </c>
      <c r="S459" s="517" t="s">
        <v>1229</v>
      </c>
      <c r="T459" s="518" t="s">
        <v>1820</v>
      </c>
      <c r="U459" s="38">
        <v>0</v>
      </c>
      <c r="V459" s="15" t="str">
        <f t="shared" si="54"/>
        <v>102021411</v>
      </c>
      <c r="W459" s="39">
        <v>1</v>
      </c>
      <c r="X459" s="40" t="s">
        <v>647</v>
      </c>
      <c r="Y459" s="40" t="s">
        <v>647</v>
      </c>
      <c r="Z459" s="40" t="s">
        <v>1253</v>
      </c>
      <c r="AA459" s="40" t="s">
        <v>1229</v>
      </c>
      <c r="AB459" s="41" t="s">
        <v>1820</v>
      </c>
      <c r="AC459" s="519">
        <f t="shared" si="53"/>
        <v>0</v>
      </c>
      <c r="AD459" s="517" t="s">
        <v>1519</v>
      </c>
      <c r="AE459" s="517" t="s">
        <v>13433</v>
      </c>
      <c r="AF459" s="517" t="s">
        <v>210</v>
      </c>
      <c r="AG459" s="520" t="s">
        <v>1793</v>
      </c>
      <c r="AH459" s="67">
        <f t="shared" si="52"/>
        <v>0</v>
      </c>
      <c r="AI459" s="10"/>
      <c r="AJ459" s="9">
        <f t="shared" si="51"/>
        <v>0</v>
      </c>
      <c r="AK459" s="10"/>
      <c r="AL459" s="10"/>
    </row>
    <row r="460" spans="1:38" ht="45" hidden="1">
      <c r="A460" s="1">
        <f t="shared" si="55"/>
        <v>0</v>
      </c>
      <c r="B460" s="2" t="s">
        <v>1821</v>
      </c>
      <c r="C460" s="3" t="s">
        <v>1822</v>
      </c>
      <c r="D460" s="15" t="s">
        <v>11496</v>
      </c>
      <c r="E460" s="4" t="s">
        <v>1821</v>
      </c>
      <c r="F460" s="37" t="s">
        <v>1822</v>
      </c>
      <c r="G460" s="38">
        <v>0</v>
      </c>
      <c r="H460" s="38">
        <v>0</v>
      </c>
      <c r="I460" s="15"/>
      <c r="J460" s="494">
        <v>10202141201</v>
      </c>
      <c r="K460" s="517" t="s">
        <v>1519</v>
      </c>
      <c r="L460" s="517" t="s">
        <v>13433</v>
      </c>
      <c r="M460" s="517" t="s">
        <v>210</v>
      </c>
      <c r="N460" s="518" t="s">
        <v>1793</v>
      </c>
      <c r="O460" s="517">
        <v>1</v>
      </c>
      <c r="P460" s="517" t="s">
        <v>647</v>
      </c>
      <c r="Q460" s="517" t="s">
        <v>647</v>
      </c>
      <c r="R460" s="517" t="s">
        <v>1253</v>
      </c>
      <c r="S460" s="517" t="s">
        <v>1243</v>
      </c>
      <c r="T460" s="518" t="s">
        <v>1823</v>
      </c>
      <c r="U460" s="38">
        <v>0</v>
      </c>
      <c r="V460" s="15" t="str">
        <f t="shared" si="54"/>
        <v>102021412</v>
      </c>
      <c r="W460" s="39">
        <v>1</v>
      </c>
      <c r="X460" s="40" t="s">
        <v>647</v>
      </c>
      <c r="Y460" s="40" t="s">
        <v>647</v>
      </c>
      <c r="Z460" s="40" t="s">
        <v>1253</v>
      </c>
      <c r="AA460" s="40" t="s">
        <v>1243</v>
      </c>
      <c r="AB460" s="41" t="s">
        <v>1823</v>
      </c>
      <c r="AC460" s="519">
        <f t="shared" si="53"/>
        <v>0</v>
      </c>
      <c r="AD460" s="517" t="s">
        <v>1519</v>
      </c>
      <c r="AE460" s="517" t="s">
        <v>13433</v>
      </c>
      <c r="AF460" s="517" t="s">
        <v>210</v>
      </c>
      <c r="AG460" s="520" t="s">
        <v>1793</v>
      </c>
      <c r="AH460" s="67">
        <f t="shared" si="52"/>
        <v>0</v>
      </c>
      <c r="AI460" s="10"/>
      <c r="AJ460" s="9">
        <f t="shared" si="51"/>
        <v>0</v>
      </c>
      <c r="AK460" s="10"/>
      <c r="AL460" s="10"/>
    </row>
    <row r="461" spans="1:38" ht="45" hidden="1">
      <c r="A461" s="1">
        <f t="shared" si="55"/>
        <v>0</v>
      </c>
      <c r="B461" s="2" t="s">
        <v>1824</v>
      </c>
      <c r="C461" s="3" t="s">
        <v>1825</v>
      </c>
      <c r="D461" s="15" t="s">
        <v>11497</v>
      </c>
      <c r="E461" s="4" t="s">
        <v>1824</v>
      </c>
      <c r="F461" s="37" t="s">
        <v>1825</v>
      </c>
      <c r="G461" s="38">
        <v>0</v>
      </c>
      <c r="H461" s="38">
        <v>0</v>
      </c>
      <c r="I461" s="15"/>
      <c r="J461" s="494">
        <v>10202141301</v>
      </c>
      <c r="K461" s="517" t="s">
        <v>1519</v>
      </c>
      <c r="L461" s="517" t="s">
        <v>13433</v>
      </c>
      <c r="M461" s="517" t="s">
        <v>210</v>
      </c>
      <c r="N461" s="518" t="s">
        <v>1793</v>
      </c>
      <c r="O461" s="517">
        <v>1</v>
      </c>
      <c r="P461" s="517" t="s">
        <v>647</v>
      </c>
      <c r="Q461" s="517" t="s">
        <v>647</v>
      </c>
      <c r="R461" s="517" t="s">
        <v>1253</v>
      </c>
      <c r="S461" s="517" t="s">
        <v>1247</v>
      </c>
      <c r="T461" s="518" t="s">
        <v>1826</v>
      </c>
      <c r="U461" s="38">
        <v>0</v>
      </c>
      <c r="V461" s="15" t="str">
        <f t="shared" si="54"/>
        <v>102021413</v>
      </c>
      <c r="W461" s="39">
        <v>1</v>
      </c>
      <c r="X461" s="40" t="s">
        <v>647</v>
      </c>
      <c r="Y461" s="40" t="s">
        <v>647</v>
      </c>
      <c r="Z461" s="40" t="s">
        <v>1253</v>
      </c>
      <c r="AA461" s="40" t="s">
        <v>1247</v>
      </c>
      <c r="AB461" s="41" t="s">
        <v>1826</v>
      </c>
      <c r="AC461" s="519">
        <f t="shared" si="53"/>
        <v>0</v>
      </c>
      <c r="AD461" s="517" t="s">
        <v>1519</v>
      </c>
      <c r="AE461" s="517" t="s">
        <v>13433</v>
      </c>
      <c r="AF461" s="517" t="s">
        <v>210</v>
      </c>
      <c r="AG461" s="520" t="s">
        <v>1793</v>
      </c>
      <c r="AH461" s="67">
        <f t="shared" si="52"/>
        <v>0</v>
      </c>
      <c r="AI461" s="10"/>
      <c r="AJ461" s="9">
        <f t="shared" si="51"/>
        <v>0</v>
      </c>
      <c r="AK461" s="10"/>
      <c r="AL461" s="10"/>
    </row>
    <row r="462" spans="1:38" ht="45" hidden="1">
      <c r="A462" s="1">
        <f t="shared" si="55"/>
        <v>0</v>
      </c>
      <c r="B462" s="2" t="s">
        <v>1827</v>
      </c>
      <c r="C462" s="3" t="s">
        <v>1828</v>
      </c>
      <c r="D462" s="15" t="s">
        <v>11498</v>
      </c>
      <c r="E462" s="4" t="s">
        <v>1827</v>
      </c>
      <c r="F462" s="37" t="s">
        <v>1828</v>
      </c>
      <c r="G462" s="38">
        <v>0</v>
      </c>
      <c r="H462" s="38">
        <v>0</v>
      </c>
      <c r="I462" s="15"/>
      <c r="J462" s="494">
        <v>10202141401</v>
      </c>
      <c r="K462" s="517" t="s">
        <v>1519</v>
      </c>
      <c r="L462" s="517" t="s">
        <v>13433</v>
      </c>
      <c r="M462" s="517" t="s">
        <v>210</v>
      </c>
      <c r="N462" s="518" t="s">
        <v>1793</v>
      </c>
      <c r="O462" s="517">
        <v>1</v>
      </c>
      <c r="P462" s="517" t="s">
        <v>647</v>
      </c>
      <c r="Q462" s="517" t="s">
        <v>647</v>
      </c>
      <c r="R462" s="517" t="s">
        <v>1253</v>
      </c>
      <c r="S462" s="517" t="s">
        <v>1253</v>
      </c>
      <c r="T462" s="518" t="s">
        <v>1829</v>
      </c>
      <c r="U462" s="38">
        <v>0</v>
      </c>
      <c r="V462" s="15" t="str">
        <f t="shared" si="54"/>
        <v>102021414</v>
      </c>
      <c r="W462" s="39">
        <v>1</v>
      </c>
      <c r="X462" s="40" t="s">
        <v>647</v>
      </c>
      <c r="Y462" s="40" t="s">
        <v>647</v>
      </c>
      <c r="Z462" s="40" t="s">
        <v>1253</v>
      </c>
      <c r="AA462" s="40" t="s">
        <v>1253</v>
      </c>
      <c r="AB462" s="41" t="s">
        <v>1829</v>
      </c>
      <c r="AC462" s="519">
        <f t="shared" si="53"/>
        <v>0</v>
      </c>
      <c r="AD462" s="517" t="s">
        <v>1519</v>
      </c>
      <c r="AE462" s="517" t="s">
        <v>13433</v>
      </c>
      <c r="AF462" s="517" t="s">
        <v>210</v>
      </c>
      <c r="AG462" s="520" t="s">
        <v>1793</v>
      </c>
      <c r="AH462" s="67">
        <f t="shared" si="52"/>
        <v>0</v>
      </c>
      <c r="AI462" s="10"/>
      <c r="AJ462" s="9">
        <f t="shared" si="51"/>
        <v>0</v>
      </c>
      <c r="AK462" s="10"/>
      <c r="AL462" s="10"/>
    </row>
    <row r="463" spans="1:38" ht="45" hidden="1">
      <c r="A463" s="1">
        <f t="shared" si="55"/>
        <v>0</v>
      </c>
      <c r="B463" s="2" t="s">
        <v>1830</v>
      </c>
      <c r="C463" s="3" t="s">
        <v>1831</v>
      </c>
      <c r="D463" s="15" t="s">
        <v>11499</v>
      </c>
      <c r="E463" s="4" t="s">
        <v>1830</v>
      </c>
      <c r="F463" s="37" t="s">
        <v>1831</v>
      </c>
      <c r="G463" s="38">
        <v>0</v>
      </c>
      <c r="H463" s="38">
        <v>0</v>
      </c>
      <c r="I463" s="15"/>
      <c r="J463" s="494">
        <v>10202141501</v>
      </c>
      <c r="K463" s="517" t="s">
        <v>1519</v>
      </c>
      <c r="L463" s="517" t="s">
        <v>13433</v>
      </c>
      <c r="M463" s="517" t="s">
        <v>210</v>
      </c>
      <c r="N463" s="518" t="s">
        <v>1793</v>
      </c>
      <c r="O463" s="517">
        <v>1</v>
      </c>
      <c r="P463" s="517" t="s">
        <v>647</v>
      </c>
      <c r="Q463" s="517" t="s">
        <v>647</v>
      </c>
      <c r="R463" s="517" t="s">
        <v>1253</v>
      </c>
      <c r="S463" s="517" t="s">
        <v>1257</v>
      </c>
      <c r="T463" s="518" t="s">
        <v>1832</v>
      </c>
      <c r="U463" s="38">
        <v>0</v>
      </c>
      <c r="V463" s="15" t="str">
        <f t="shared" si="54"/>
        <v>102021415</v>
      </c>
      <c r="W463" s="39">
        <v>1</v>
      </c>
      <c r="X463" s="40" t="s">
        <v>647</v>
      </c>
      <c r="Y463" s="40" t="s">
        <v>647</v>
      </c>
      <c r="Z463" s="40" t="s">
        <v>1253</v>
      </c>
      <c r="AA463" s="40" t="s">
        <v>1257</v>
      </c>
      <c r="AB463" s="41" t="s">
        <v>1832</v>
      </c>
      <c r="AC463" s="519">
        <f t="shared" si="53"/>
        <v>0</v>
      </c>
      <c r="AD463" s="517" t="s">
        <v>1519</v>
      </c>
      <c r="AE463" s="517" t="s">
        <v>13433</v>
      </c>
      <c r="AF463" s="517" t="s">
        <v>210</v>
      </c>
      <c r="AG463" s="520" t="s">
        <v>1793</v>
      </c>
      <c r="AH463" s="67">
        <f t="shared" si="52"/>
        <v>0</v>
      </c>
      <c r="AI463" s="10"/>
      <c r="AJ463" s="9">
        <f t="shared" si="51"/>
        <v>0</v>
      </c>
      <c r="AK463" s="10"/>
      <c r="AL463" s="10"/>
    </row>
    <row r="464" spans="1:38" ht="45" hidden="1">
      <c r="A464" s="1">
        <f t="shared" si="55"/>
        <v>0</v>
      </c>
      <c r="B464" s="2" t="s">
        <v>1833</v>
      </c>
      <c r="C464" s="3" t="s">
        <v>1834</v>
      </c>
      <c r="D464" s="15" t="s">
        <v>11500</v>
      </c>
      <c r="E464" s="4" t="s">
        <v>1833</v>
      </c>
      <c r="F464" s="37" t="s">
        <v>1834</v>
      </c>
      <c r="G464" s="38">
        <v>0</v>
      </c>
      <c r="H464" s="38">
        <v>0</v>
      </c>
      <c r="I464" s="15"/>
      <c r="J464" s="494">
        <v>10202141601</v>
      </c>
      <c r="K464" s="517" t="s">
        <v>1519</v>
      </c>
      <c r="L464" s="517" t="s">
        <v>13433</v>
      </c>
      <c r="M464" s="517" t="s">
        <v>210</v>
      </c>
      <c r="N464" s="518" t="s">
        <v>1793</v>
      </c>
      <c r="O464" s="517">
        <v>1</v>
      </c>
      <c r="P464" s="517" t="s">
        <v>647</v>
      </c>
      <c r="Q464" s="517" t="s">
        <v>647</v>
      </c>
      <c r="R464" s="517" t="s">
        <v>1253</v>
      </c>
      <c r="S464" s="517" t="s">
        <v>1332</v>
      </c>
      <c r="T464" s="518" t="s">
        <v>1835</v>
      </c>
      <c r="U464" s="38">
        <v>0</v>
      </c>
      <c r="V464" s="15" t="str">
        <f t="shared" si="54"/>
        <v>102021416</v>
      </c>
      <c r="W464" s="39">
        <v>1</v>
      </c>
      <c r="X464" s="40" t="s">
        <v>647</v>
      </c>
      <c r="Y464" s="40" t="s">
        <v>647</v>
      </c>
      <c r="Z464" s="40" t="s">
        <v>1253</v>
      </c>
      <c r="AA464" s="40" t="s">
        <v>1332</v>
      </c>
      <c r="AB464" s="41" t="s">
        <v>1835</v>
      </c>
      <c r="AC464" s="519">
        <f t="shared" si="53"/>
        <v>0</v>
      </c>
      <c r="AD464" s="517" t="s">
        <v>1519</v>
      </c>
      <c r="AE464" s="517" t="s">
        <v>13433</v>
      </c>
      <c r="AF464" s="517" t="s">
        <v>210</v>
      </c>
      <c r="AG464" s="520" t="s">
        <v>1793</v>
      </c>
      <c r="AH464" s="67">
        <f t="shared" si="52"/>
        <v>0</v>
      </c>
      <c r="AI464" s="10"/>
      <c r="AJ464" s="9">
        <f t="shared" si="51"/>
        <v>0</v>
      </c>
      <c r="AK464" s="10"/>
      <c r="AL464" s="10"/>
    </row>
    <row r="465" spans="1:38" ht="45" hidden="1">
      <c r="A465" s="1">
        <f t="shared" si="55"/>
        <v>0</v>
      </c>
      <c r="B465" s="2" t="s">
        <v>1836</v>
      </c>
      <c r="C465" s="3" t="s">
        <v>1837</v>
      </c>
      <c r="D465" s="15" t="s">
        <v>11501</v>
      </c>
      <c r="E465" s="4" t="s">
        <v>1836</v>
      </c>
      <c r="F465" s="37" t="s">
        <v>1837</v>
      </c>
      <c r="G465" s="38">
        <v>0</v>
      </c>
      <c r="H465" s="38">
        <v>0</v>
      </c>
      <c r="I465" s="15"/>
      <c r="J465" s="494">
        <v>10202141701</v>
      </c>
      <c r="K465" s="517" t="s">
        <v>1519</v>
      </c>
      <c r="L465" s="517" t="s">
        <v>13433</v>
      </c>
      <c r="M465" s="517" t="s">
        <v>210</v>
      </c>
      <c r="N465" s="518" t="s">
        <v>1793</v>
      </c>
      <c r="O465" s="517">
        <v>1</v>
      </c>
      <c r="P465" s="517" t="s">
        <v>647</v>
      </c>
      <c r="Q465" s="517" t="s">
        <v>647</v>
      </c>
      <c r="R465" s="517" t="s">
        <v>1253</v>
      </c>
      <c r="S465" s="517" t="s">
        <v>1838</v>
      </c>
      <c r="T465" s="518" t="s">
        <v>1839</v>
      </c>
      <c r="U465" s="38">
        <v>0</v>
      </c>
      <c r="V465" s="15" t="str">
        <f t="shared" si="54"/>
        <v>102021417</v>
      </c>
      <c r="W465" s="39">
        <v>1</v>
      </c>
      <c r="X465" s="40" t="s">
        <v>647</v>
      </c>
      <c r="Y465" s="40" t="s">
        <v>647</v>
      </c>
      <c r="Z465" s="40" t="s">
        <v>1253</v>
      </c>
      <c r="AA465" s="40" t="s">
        <v>1838</v>
      </c>
      <c r="AB465" s="41" t="s">
        <v>1839</v>
      </c>
      <c r="AC465" s="519">
        <f t="shared" si="53"/>
        <v>0</v>
      </c>
      <c r="AD465" s="517" t="s">
        <v>1519</v>
      </c>
      <c r="AE465" s="517" t="s">
        <v>13433</v>
      </c>
      <c r="AF465" s="517" t="s">
        <v>210</v>
      </c>
      <c r="AG465" s="520" t="s">
        <v>1793</v>
      </c>
      <c r="AH465" s="67">
        <f t="shared" si="52"/>
        <v>0</v>
      </c>
      <c r="AI465" s="10"/>
      <c r="AJ465" s="9">
        <f t="shared" si="51"/>
        <v>0</v>
      </c>
      <c r="AK465" s="10"/>
      <c r="AL465" s="10"/>
    </row>
    <row r="466" spans="1:38" ht="45" hidden="1">
      <c r="A466" s="1">
        <f t="shared" si="55"/>
        <v>0</v>
      </c>
      <c r="B466" s="2" t="s">
        <v>1840</v>
      </c>
      <c r="C466" s="3" t="s">
        <v>1841</v>
      </c>
      <c r="D466" s="15" t="s">
        <v>11502</v>
      </c>
      <c r="E466" s="4" t="s">
        <v>1840</v>
      </c>
      <c r="F466" s="37" t="s">
        <v>1841</v>
      </c>
      <c r="G466" s="38">
        <v>0</v>
      </c>
      <c r="H466" s="38">
        <v>0</v>
      </c>
      <c r="I466" s="15"/>
      <c r="J466" s="494">
        <v>10202141801</v>
      </c>
      <c r="K466" s="517" t="s">
        <v>1519</v>
      </c>
      <c r="L466" s="517" t="s">
        <v>13433</v>
      </c>
      <c r="M466" s="517" t="s">
        <v>210</v>
      </c>
      <c r="N466" s="518" t="s">
        <v>1793</v>
      </c>
      <c r="O466" s="517">
        <v>1</v>
      </c>
      <c r="P466" s="517" t="s">
        <v>647</v>
      </c>
      <c r="Q466" s="517" t="s">
        <v>647</v>
      </c>
      <c r="R466" s="517" t="s">
        <v>1253</v>
      </c>
      <c r="S466" s="517" t="s">
        <v>1842</v>
      </c>
      <c r="T466" s="518" t="s">
        <v>1843</v>
      </c>
      <c r="U466" s="38">
        <v>0</v>
      </c>
      <c r="V466" s="15" t="str">
        <f t="shared" si="54"/>
        <v>102021418</v>
      </c>
      <c r="W466" s="39">
        <v>1</v>
      </c>
      <c r="X466" s="40" t="s">
        <v>647</v>
      </c>
      <c r="Y466" s="40" t="s">
        <v>647</v>
      </c>
      <c r="Z466" s="40" t="s">
        <v>1253</v>
      </c>
      <c r="AA466" s="40" t="s">
        <v>1842</v>
      </c>
      <c r="AB466" s="41" t="s">
        <v>1843</v>
      </c>
      <c r="AC466" s="519">
        <f t="shared" si="53"/>
        <v>0</v>
      </c>
      <c r="AD466" s="517" t="s">
        <v>1519</v>
      </c>
      <c r="AE466" s="517" t="s">
        <v>13433</v>
      </c>
      <c r="AF466" s="517" t="s">
        <v>210</v>
      </c>
      <c r="AG466" s="520" t="s">
        <v>1793</v>
      </c>
      <c r="AH466" s="67">
        <f t="shared" si="52"/>
        <v>0</v>
      </c>
      <c r="AI466" s="10"/>
      <c r="AJ466" s="9">
        <f t="shared" si="51"/>
        <v>0</v>
      </c>
      <c r="AK466" s="10"/>
      <c r="AL466" s="10"/>
    </row>
    <row r="467" spans="1:38" ht="45" hidden="1">
      <c r="A467" s="1">
        <f t="shared" si="55"/>
        <v>0</v>
      </c>
      <c r="B467" s="2" t="s">
        <v>1844</v>
      </c>
      <c r="C467" s="3" t="s">
        <v>1845</v>
      </c>
      <c r="D467" s="15" t="s">
        <v>11503</v>
      </c>
      <c r="E467" s="4" t="s">
        <v>1844</v>
      </c>
      <c r="F467" s="37" t="s">
        <v>1845</v>
      </c>
      <c r="G467" s="38">
        <v>0</v>
      </c>
      <c r="H467" s="38">
        <v>0</v>
      </c>
      <c r="I467" s="15"/>
      <c r="J467" s="494">
        <v>10202141901</v>
      </c>
      <c r="K467" s="517" t="s">
        <v>1519</v>
      </c>
      <c r="L467" s="517" t="s">
        <v>13433</v>
      </c>
      <c r="M467" s="517" t="s">
        <v>210</v>
      </c>
      <c r="N467" s="518" t="s">
        <v>1793</v>
      </c>
      <c r="O467" s="517">
        <v>1</v>
      </c>
      <c r="P467" s="517" t="s">
        <v>647</v>
      </c>
      <c r="Q467" s="517" t="s">
        <v>647</v>
      </c>
      <c r="R467" s="517" t="s">
        <v>1253</v>
      </c>
      <c r="S467" s="517" t="s">
        <v>1846</v>
      </c>
      <c r="T467" s="518" t="s">
        <v>1847</v>
      </c>
      <c r="U467" s="38">
        <v>0</v>
      </c>
      <c r="V467" s="15" t="str">
        <f t="shared" si="54"/>
        <v>102021419</v>
      </c>
      <c r="W467" s="39">
        <v>1</v>
      </c>
      <c r="X467" s="40" t="s">
        <v>647</v>
      </c>
      <c r="Y467" s="40" t="s">
        <v>647</v>
      </c>
      <c r="Z467" s="40" t="s">
        <v>1253</v>
      </c>
      <c r="AA467" s="40" t="s">
        <v>1846</v>
      </c>
      <c r="AB467" s="41" t="s">
        <v>1847</v>
      </c>
      <c r="AC467" s="519">
        <f t="shared" si="53"/>
        <v>0</v>
      </c>
      <c r="AD467" s="517" t="s">
        <v>1519</v>
      </c>
      <c r="AE467" s="517" t="s">
        <v>13433</v>
      </c>
      <c r="AF467" s="517" t="s">
        <v>210</v>
      </c>
      <c r="AG467" s="520" t="s">
        <v>1793</v>
      </c>
      <c r="AH467" s="67">
        <f t="shared" si="52"/>
        <v>0</v>
      </c>
      <c r="AI467" s="10"/>
      <c r="AJ467" s="9">
        <f t="shared" si="51"/>
        <v>0</v>
      </c>
      <c r="AK467" s="10"/>
      <c r="AL467" s="10"/>
    </row>
    <row r="468" spans="1:38" ht="45" hidden="1">
      <c r="A468" s="1">
        <f t="shared" si="55"/>
        <v>0</v>
      </c>
      <c r="B468" s="2" t="s">
        <v>1848</v>
      </c>
      <c r="C468" s="3" t="s">
        <v>1849</v>
      </c>
      <c r="D468" s="15" t="s">
        <v>11504</v>
      </c>
      <c r="E468" s="4" t="s">
        <v>1848</v>
      </c>
      <c r="F468" s="37" t="s">
        <v>1849</v>
      </c>
      <c r="G468" s="38">
        <v>694312.15</v>
      </c>
      <c r="H468" s="38">
        <v>485427.46</v>
      </c>
      <c r="I468" s="15"/>
      <c r="J468" s="494">
        <v>10202142001</v>
      </c>
      <c r="K468" s="517" t="s">
        <v>1519</v>
      </c>
      <c r="L468" s="517" t="s">
        <v>13434</v>
      </c>
      <c r="M468" s="517" t="s">
        <v>211</v>
      </c>
      <c r="N468" s="518" t="s">
        <v>1852</v>
      </c>
      <c r="O468" s="517">
        <v>1</v>
      </c>
      <c r="P468" s="517" t="s">
        <v>647</v>
      </c>
      <c r="Q468" s="517" t="s">
        <v>647</v>
      </c>
      <c r="R468" s="517" t="s">
        <v>1253</v>
      </c>
      <c r="S468" s="517" t="s">
        <v>1850</v>
      </c>
      <c r="T468" s="518" t="s">
        <v>1851</v>
      </c>
      <c r="U468" s="38">
        <v>485427.46</v>
      </c>
      <c r="V468" s="15" t="str">
        <f t="shared" si="54"/>
        <v>102021420</v>
      </c>
      <c r="W468" s="39">
        <v>1</v>
      </c>
      <c r="X468" s="40" t="s">
        <v>647</v>
      </c>
      <c r="Y468" s="40" t="s">
        <v>647</v>
      </c>
      <c r="Z468" s="40" t="s">
        <v>1253</v>
      </c>
      <c r="AA468" s="40" t="s">
        <v>1850</v>
      </c>
      <c r="AB468" s="41" t="s">
        <v>1851</v>
      </c>
      <c r="AC468" s="519">
        <f t="shared" si="53"/>
        <v>485427.46</v>
      </c>
      <c r="AD468" s="517" t="s">
        <v>1519</v>
      </c>
      <c r="AE468" s="517" t="s">
        <v>13434</v>
      </c>
      <c r="AF468" s="517" t="s">
        <v>211</v>
      </c>
      <c r="AG468" s="520" t="s">
        <v>1852</v>
      </c>
      <c r="AH468" s="67">
        <f t="shared" si="52"/>
        <v>485427.46</v>
      </c>
      <c r="AI468" s="10"/>
      <c r="AJ468" s="9">
        <f t="shared" si="51"/>
        <v>0</v>
      </c>
      <c r="AK468" s="10"/>
      <c r="AL468" s="10"/>
    </row>
    <row r="469" spans="1:38" ht="45" hidden="1">
      <c r="A469" s="1">
        <f t="shared" si="55"/>
        <v>0</v>
      </c>
      <c r="B469" s="2" t="s">
        <v>1853</v>
      </c>
      <c r="C469" s="3" t="s">
        <v>1854</v>
      </c>
      <c r="D469" s="15" t="s">
        <v>11505</v>
      </c>
      <c r="E469" s="4" t="s">
        <v>1853</v>
      </c>
      <c r="F469" s="37" t="s">
        <v>1854</v>
      </c>
      <c r="G469" s="38">
        <v>48238.5</v>
      </c>
      <c r="H469" s="38">
        <v>30798.35</v>
      </c>
      <c r="I469" s="15"/>
      <c r="J469" s="494">
        <v>10202142101</v>
      </c>
      <c r="K469" s="517" t="s">
        <v>1519</v>
      </c>
      <c r="L469" s="517" t="s">
        <v>13434</v>
      </c>
      <c r="M469" s="517" t="s">
        <v>211</v>
      </c>
      <c r="N469" s="518" t="s">
        <v>1852</v>
      </c>
      <c r="O469" s="517">
        <v>1</v>
      </c>
      <c r="P469" s="517" t="s">
        <v>647</v>
      </c>
      <c r="Q469" s="517" t="s">
        <v>647</v>
      </c>
      <c r="R469" s="517" t="s">
        <v>1253</v>
      </c>
      <c r="S469" s="517" t="s">
        <v>1855</v>
      </c>
      <c r="T469" s="518" t="s">
        <v>1856</v>
      </c>
      <c r="U469" s="38">
        <v>30798.35</v>
      </c>
      <c r="V469" s="15" t="str">
        <f t="shared" si="54"/>
        <v>102021421</v>
      </c>
      <c r="W469" s="39">
        <v>1</v>
      </c>
      <c r="X469" s="40" t="s">
        <v>647</v>
      </c>
      <c r="Y469" s="40" t="s">
        <v>647</v>
      </c>
      <c r="Z469" s="40" t="s">
        <v>1253</v>
      </c>
      <c r="AA469" s="40" t="s">
        <v>1855</v>
      </c>
      <c r="AB469" s="41" t="s">
        <v>1856</v>
      </c>
      <c r="AC469" s="519">
        <f t="shared" si="53"/>
        <v>30798.35</v>
      </c>
      <c r="AD469" s="517" t="s">
        <v>1519</v>
      </c>
      <c r="AE469" s="517" t="s">
        <v>13434</v>
      </c>
      <c r="AF469" s="517" t="s">
        <v>211</v>
      </c>
      <c r="AG469" s="520" t="s">
        <v>1852</v>
      </c>
      <c r="AH469" s="67">
        <f t="shared" si="52"/>
        <v>30798.35</v>
      </c>
      <c r="AI469" s="10"/>
      <c r="AJ469" s="9">
        <f t="shared" si="51"/>
        <v>0</v>
      </c>
      <c r="AK469" s="10"/>
      <c r="AL469" s="10"/>
    </row>
    <row r="470" spans="1:38" ht="45" hidden="1">
      <c r="A470" s="1">
        <f t="shared" si="55"/>
        <v>0</v>
      </c>
      <c r="B470" s="2" t="s">
        <v>1857</v>
      </c>
      <c r="C470" s="3" t="s">
        <v>1858</v>
      </c>
      <c r="D470" s="15" t="s">
        <v>11506</v>
      </c>
      <c r="E470" s="4" t="s">
        <v>1857</v>
      </c>
      <c r="F470" s="37" t="s">
        <v>1858</v>
      </c>
      <c r="G470" s="38">
        <v>57082.9</v>
      </c>
      <c r="H470" s="38">
        <v>57082.9</v>
      </c>
      <c r="I470" s="15"/>
      <c r="J470" s="494">
        <v>10202142201</v>
      </c>
      <c r="K470" s="517" t="s">
        <v>1519</v>
      </c>
      <c r="L470" s="517" t="s">
        <v>13434</v>
      </c>
      <c r="M470" s="517" t="s">
        <v>211</v>
      </c>
      <c r="N470" s="518" t="s">
        <v>1852</v>
      </c>
      <c r="O470" s="517">
        <v>1</v>
      </c>
      <c r="P470" s="517" t="s">
        <v>647</v>
      </c>
      <c r="Q470" s="517" t="s">
        <v>647</v>
      </c>
      <c r="R470" s="517" t="s">
        <v>1253</v>
      </c>
      <c r="S470" s="517" t="s">
        <v>1859</v>
      </c>
      <c r="T470" s="518" t="s">
        <v>1860</v>
      </c>
      <c r="U470" s="38">
        <v>57082.9</v>
      </c>
      <c r="V470" s="15" t="str">
        <f t="shared" si="54"/>
        <v>102021422</v>
      </c>
      <c r="W470" s="39">
        <v>1</v>
      </c>
      <c r="X470" s="40" t="s">
        <v>647</v>
      </c>
      <c r="Y470" s="40" t="s">
        <v>647</v>
      </c>
      <c r="Z470" s="40" t="s">
        <v>1253</v>
      </c>
      <c r="AA470" s="40" t="s">
        <v>1859</v>
      </c>
      <c r="AB470" s="41" t="s">
        <v>1860</v>
      </c>
      <c r="AC470" s="519">
        <f t="shared" si="53"/>
        <v>57082.9</v>
      </c>
      <c r="AD470" s="517" t="s">
        <v>1519</v>
      </c>
      <c r="AE470" s="517" t="s">
        <v>13434</v>
      </c>
      <c r="AF470" s="517" t="s">
        <v>211</v>
      </c>
      <c r="AG470" s="520" t="s">
        <v>1852</v>
      </c>
      <c r="AH470" s="67">
        <f t="shared" si="52"/>
        <v>57082.9</v>
      </c>
      <c r="AI470" s="10"/>
      <c r="AJ470" s="9">
        <f t="shared" si="51"/>
        <v>0</v>
      </c>
      <c r="AK470" s="10"/>
      <c r="AL470" s="10"/>
    </row>
    <row r="471" spans="1:38" ht="45" hidden="1">
      <c r="A471" s="1">
        <f t="shared" si="55"/>
        <v>0</v>
      </c>
      <c r="B471" s="2" t="s">
        <v>1861</v>
      </c>
      <c r="C471" s="3" t="s">
        <v>1862</v>
      </c>
      <c r="D471" s="15" t="s">
        <v>11507</v>
      </c>
      <c r="E471" s="4" t="s">
        <v>1861</v>
      </c>
      <c r="F471" s="37" t="s">
        <v>1862</v>
      </c>
      <c r="G471" s="38">
        <v>12151.5</v>
      </c>
      <c r="H471" s="38">
        <v>13414.61</v>
      </c>
      <c r="I471" s="15"/>
      <c r="J471" s="494">
        <v>10202142301</v>
      </c>
      <c r="K471" s="517" t="s">
        <v>1519</v>
      </c>
      <c r="L471" s="517" t="s">
        <v>13434</v>
      </c>
      <c r="M471" s="517" t="s">
        <v>211</v>
      </c>
      <c r="N471" s="518" t="s">
        <v>1852</v>
      </c>
      <c r="O471" s="517">
        <v>1</v>
      </c>
      <c r="P471" s="517" t="s">
        <v>647</v>
      </c>
      <c r="Q471" s="517" t="s">
        <v>647</v>
      </c>
      <c r="R471" s="517" t="s">
        <v>1253</v>
      </c>
      <c r="S471" s="517" t="s">
        <v>1863</v>
      </c>
      <c r="T471" s="518" t="s">
        <v>1864</v>
      </c>
      <c r="U471" s="38">
        <v>13414.61</v>
      </c>
      <c r="V471" s="15" t="str">
        <f t="shared" si="54"/>
        <v>102021423</v>
      </c>
      <c r="W471" s="39">
        <v>1</v>
      </c>
      <c r="X471" s="40" t="s">
        <v>647</v>
      </c>
      <c r="Y471" s="40" t="s">
        <v>647</v>
      </c>
      <c r="Z471" s="40" t="s">
        <v>1253</v>
      </c>
      <c r="AA471" s="40" t="s">
        <v>1863</v>
      </c>
      <c r="AB471" s="41" t="s">
        <v>1864</v>
      </c>
      <c r="AC471" s="519">
        <f t="shared" si="53"/>
        <v>13414.61</v>
      </c>
      <c r="AD471" s="517" t="s">
        <v>1519</v>
      </c>
      <c r="AE471" s="517" t="s">
        <v>13434</v>
      </c>
      <c r="AF471" s="517" t="s">
        <v>211</v>
      </c>
      <c r="AG471" s="520" t="s">
        <v>1852</v>
      </c>
      <c r="AH471" s="67">
        <f t="shared" si="52"/>
        <v>13414.61</v>
      </c>
      <c r="AI471" s="10"/>
      <c r="AJ471" s="9">
        <f t="shared" si="51"/>
        <v>0</v>
      </c>
      <c r="AK471" s="10"/>
      <c r="AL471" s="10"/>
    </row>
    <row r="472" spans="1:38" ht="45" hidden="1">
      <c r="A472" s="1">
        <f t="shared" si="55"/>
        <v>0</v>
      </c>
      <c r="B472" s="2" t="s">
        <v>1865</v>
      </c>
      <c r="C472" s="3" t="s">
        <v>1866</v>
      </c>
      <c r="D472" s="15" t="s">
        <v>11508</v>
      </c>
      <c r="E472" s="4" t="s">
        <v>1865</v>
      </c>
      <c r="F472" s="37" t="s">
        <v>1866</v>
      </c>
      <c r="G472" s="38">
        <v>44812.98</v>
      </c>
      <c r="H472" s="38">
        <v>44812.98</v>
      </c>
      <c r="I472" s="15"/>
      <c r="J472" s="494">
        <v>10202142401</v>
      </c>
      <c r="K472" s="517" t="s">
        <v>1519</v>
      </c>
      <c r="L472" s="517" t="s">
        <v>13434</v>
      </c>
      <c r="M472" s="517" t="s">
        <v>211</v>
      </c>
      <c r="N472" s="518" t="s">
        <v>1852</v>
      </c>
      <c r="O472" s="517">
        <v>1</v>
      </c>
      <c r="P472" s="517" t="s">
        <v>647</v>
      </c>
      <c r="Q472" s="517" t="s">
        <v>647</v>
      </c>
      <c r="R472" s="517" t="s">
        <v>1253</v>
      </c>
      <c r="S472" s="517" t="s">
        <v>1867</v>
      </c>
      <c r="T472" s="518" t="s">
        <v>1868</v>
      </c>
      <c r="U472" s="38">
        <v>44812.98</v>
      </c>
      <c r="V472" s="15" t="str">
        <f t="shared" si="54"/>
        <v>102021424</v>
      </c>
      <c r="W472" s="39">
        <v>1</v>
      </c>
      <c r="X472" s="40" t="s">
        <v>647</v>
      </c>
      <c r="Y472" s="40" t="s">
        <v>647</v>
      </c>
      <c r="Z472" s="40" t="s">
        <v>1253</v>
      </c>
      <c r="AA472" s="40" t="s">
        <v>1867</v>
      </c>
      <c r="AB472" s="41" t="s">
        <v>1868</v>
      </c>
      <c r="AC472" s="519">
        <f t="shared" si="53"/>
        <v>44812.98</v>
      </c>
      <c r="AD472" s="517" t="s">
        <v>1519</v>
      </c>
      <c r="AE472" s="517" t="s">
        <v>13434</v>
      </c>
      <c r="AF472" s="517" t="s">
        <v>211</v>
      </c>
      <c r="AG472" s="520" t="s">
        <v>1852</v>
      </c>
      <c r="AH472" s="67">
        <f t="shared" si="52"/>
        <v>44812.98</v>
      </c>
      <c r="AI472" s="10"/>
      <c r="AJ472" s="9">
        <f t="shared" si="51"/>
        <v>0</v>
      </c>
      <c r="AK472" s="10"/>
      <c r="AL472" s="10"/>
    </row>
    <row r="473" spans="1:38" ht="45" hidden="1">
      <c r="A473" s="1">
        <f t="shared" si="55"/>
        <v>0</v>
      </c>
      <c r="B473" s="2" t="s">
        <v>1869</v>
      </c>
      <c r="C473" s="3" t="s">
        <v>1870</v>
      </c>
      <c r="D473" s="15" t="s">
        <v>11509</v>
      </c>
      <c r="E473" s="4" t="s">
        <v>1869</v>
      </c>
      <c r="F473" s="37" t="s">
        <v>1870</v>
      </c>
      <c r="G473" s="38">
        <v>648964.87</v>
      </c>
      <c r="H473" s="38">
        <v>927856.17</v>
      </c>
      <c r="I473" s="15"/>
      <c r="J473" s="494">
        <v>10202142501</v>
      </c>
      <c r="K473" s="517" t="s">
        <v>1519</v>
      </c>
      <c r="L473" s="517" t="s">
        <v>13434</v>
      </c>
      <c r="M473" s="517" t="s">
        <v>211</v>
      </c>
      <c r="N473" s="518" t="s">
        <v>1852</v>
      </c>
      <c r="O473" s="517">
        <v>1</v>
      </c>
      <c r="P473" s="517" t="s">
        <v>647</v>
      </c>
      <c r="Q473" s="517" t="s">
        <v>647</v>
      </c>
      <c r="R473" s="517" t="s">
        <v>1253</v>
      </c>
      <c r="S473" s="517" t="s">
        <v>1871</v>
      </c>
      <c r="T473" s="518" t="s">
        <v>1872</v>
      </c>
      <c r="U473" s="38">
        <v>927856.17</v>
      </c>
      <c r="V473" s="15" t="str">
        <f t="shared" si="54"/>
        <v>102021425</v>
      </c>
      <c r="W473" s="39">
        <v>1</v>
      </c>
      <c r="X473" s="40" t="s">
        <v>647</v>
      </c>
      <c r="Y473" s="40" t="s">
        <v>647</v>
      </c>
      <c r="Z473" s="40" t="s">
        <v>1253</v>
      </c>
      <c r="AA473" s="40" t="s">
        <v>1871</v>
      </c>
      <c r="AB473" s="41" t="s">
        <v>1872</v>
      </c>
      <c r="AC473" s="519">
        <f t="shared" si="53"/>
        <v>927856.17</v>
      </c>
      <c r="AD473" s="517" t="s">
        <v>1519</v>
      </c>
      <c r="AE473" s="517" t="s">
        <v>13434</v>
      </c>
      <c r="AF473" s="517" t="s">
        <v>211</v>
      </c>
      <c r="AG473" s="520" t="s">
        <v>1852</v>
      </c>
      <c r="AH473" s="67">
        <f t="shared" si="52"/>
        <v>927856.17</v>
      </c>
      <c r="AI473" s="10"/>
      <c r="AJ473" s="9">
        <f t="shared" si="51"/>
        <v>0</v>
      </c>
      <c r="AK473" s="10"/>
      <c r="AL473" s="10"/>
    </row>
    <row r="474" spans="1:38" ht="45" hidden="1">
      <c r="A474" s="1">
        <f t="shared" si="55"/>
        <v>0</v>
      </c>
      <c r="B474" s="2" t="s">
        <v>1873</v>
      </c>
      <c r="C474" s="3" t="s">
        <v>1874</v>
      </c>
      <c r="D474" s="15" t="s">
        <v>11510</v>
      </c>
      <c r="E474" s="4" t="s">
        <v>1873</v>
      </c>
      <c r="F474" s="37" t="s">
        <v>1874</v>
      </c>
      <c r="G474" s="38">
        <v>12153.99</v>
      </c>
      <c r="H474" s="38">
        <v>13907.37</v>
      </c>
      <c r="I474" s="15"/>
      <c r="J474" s="494">
        <v>10202142601</v>
      </c>
      <c r="K474" s="517" t="s">
        <v>1519</v>
      </c>
      <c r="L474" s="517" t="s">
        <v>13434</v>
      </c>
      <c r="M474" s="517" t="s">
        <v>211</v>
      </c>
      <c r="N474" s="518" t="s">
        <v>1852</v>
      </c>
      <c r="O474" s="517">
        <v>1</v>
      </c>
      <c r="P474" s="517" t="s">
        <v>647</v>
      </c>
      <c r="Q474" s="517" t="s">
        <v>647</v>
      </c>
      <c r="R474" s="517" t="s">
        <v>1253</v>
      </c>
      <c r="S474" s="517" t="s">
        <v>1875</v>
      </c>
      <c r="T474" s="518" t="s">
        <v>1876</v>
      </c>
      <c r="U474" s="38">
        <v>13907.37</v>
      </c>
      <c r="V474" s="15" t="str">
        <f t="shared" si="54"/>
        <v>102021426</v>
      </c>
      <c r="W474" s="39">
        <v>1</v>
      </c>
      <c r="X474" s="40" t="s">
        <v>647</v>
      </c>
      <c r="Y474" s="40" t="s">
        <v>647</v>
      </c>
      <c r="Z474" s="40" t="s">
        <v>1253</v>
      </c>
      <c r="AA474" s="40" t="s">
        <v>1875</v>
      </c>
      <c r="AB474" s="41" t="s">
        <v>1876</v>
      </c>
      <c r="AC474" s="519">
        <f t="shared" si="53"/>
        <v>13907.37</v>
      </c>
      <c r="AD474" s="517" t="s">
        <v>1519</v>
      </c>
      <c r="AE474" s="517" t="s">
        <v>13434</v>
      </c>
      <c r="AF474" s="517" t="s">
        <v>211</v>
      </c>
      <c r="AG474" s="520" t="s">
        <v>1852</v>
      </c>
      <c r="AH474" s="67">
        <f t="shared" si="52"/>
        <v>13907.37</v>
      </c>
      <c r="AI474" s="10"/>
      <c r="AJ474" s="9">
        <f t="shared" si="51"/>
        <v>0</v>
      </c>
      <c r="AK474" s="10"/>
      <c r="AL474" s="10"/>
    </row>
    <row r="475" spans="1:38" ht="45" hidden="1">
      <c r="A475" s="1">
        <f t="shared" si="55"/>
        <v>0</v>
      </c>
      <c r="B475" s="2" t="s">
        <v>1877</v>
      </c>
      <c r="C475" s="3" t="s">
        <v>1878</v>
      </c>
      <c r="D475" s="15" t="s">
        <v>11511</v>
      </c>
      <c r="E475" s="4" t="s">
        <v>1877</v>
      </c>
      <c r="F475" s="37" t="s">
        <v>1878</v>
      </c>
      <c r="G475" s="38">
        <v>0</v>
      </c>
      <c r="H475" s="38">
        <v>10655.39</v>
      </c>
      <c r="I475" s="15"/>
      <c r="J475" s="494">
        <v>10202142701</v>
      </c>
      <c r="K475" s="517" t="s">
        <v>1519</v>
      </c>
      <c r="L475" s="517" t="s">
        <v>13434</v>
      </c>
      <c r="M475" s="517" t="s">
        <v>211</v>
      </c>
      <c r="N475" s="518" t="s">
        <v>1852</v>
      </c>
      <c r="O475" s="517">
        <v>1</v>
      </c>
      <c r="P475" s="517" t="s">
        <v>647</v>
      </c>
      <c r="Q475" s="517" t="s">
        <v>647</v>
      </c>
      <c r="R475" s="517" t="s">
        <v>1253</v>
      </c>
      <c r="S475" s="517" t="s">
        <v>1338</v>
      </c>
      <c r="T475" s="518" t="s">
        <v>1879</v>
      </c>
      <c r="U475" s="38">
        <v>10655.39</v>
      </c>
      <c r="V475" s="15" t="str">
        <f t="shared" si="54"/>
        <v>102021427</v>
      </c>
      <c r="W475" s="39">
        <v>1</v>
      </c>
      <c r="X475" s="40" t="s">
        <v>647</v>
      </c>
      <c r="Y475" s="40" t="s">
        <v>647</v>
      </c>
      <c r="Z475" s="40" t="s">
        <v>1253</v>
      </c>
      <c r="AA475" s="40" t="s">
        <v>1338</v>
      </c>
      <c r="AB475" s="41" t="s">
        <v>1879</v>
      </c>
      <c r="AC475" s="519">
        <f t="shared" si="53"/>
        <v>10655.39</v>
      </c>
      <c r="AD475" s="517" t="s">
        <v>1519</v>
      </c>
      <c r="AE475" s="517" t="s">
        <v>13434</v>
      </c>
      <c r="AF475" s="517" t="s">
        <v>211</v>
      </c>
      <c r="AG475" s="520" t="s">
        <v>1852</v>
      </c>
      <c r="AH475" s="67">
        <f t="shared" si="52"/>
        <v>10655.39</v>
      </c>
      <c r="AI475" s="10"/>
      <c r="AJ475" s="9">
        <f t="shared" si="51"/>
        <v>0</v>
      </c>
      <c r="AK475" s="10"/>
      <c r="AL475" s="10"/>
    </row>
    <row r="476" spans="1:38" ht="45" hidden="1">
      <c r="A476" s="1">
        <f t="shared" si="55"/>
        <v>0</v>
      </c>
      <c r="B476" s="2" t="s">
        <v>1880</v>
      </c>
      <c r="C476" s="3" t="s">
        <v>1881</v>
      </c>
      <c r="D476" s="15" t="s">
        <v>11512</v>
      </c>
      <c r="E476" s="4" t="s">
        <v>1880</v>
      </c>
      <c r="F476" s="37" t="s">
        <v>1881</v>
      </c>
      <c r="G476" s="38">
        <v>74776.73</v>
      </c>
      <c r="H476" s="38">
        <v>216456.62</v>
      </c>
      <c r="I476" s="15"/>
      <c r="J476" s="494">
        <v>10202142801</v>
      </c>
      <c r="K476" s="517" t="s">
        <v>1519</v>
      </c>
      <c r="L476" s="517" t="s">
        <v>13434</v>
      </c>
      <c r="M476" s="517" t="s">
        <v>211</v>
      </c>
      <c r="N476" s="518" t="s">
        <v>1852</v>
      </c>
      <c r="O476" s="517">
        <v>1</v>
      </c>
      <c r="P476" s="517" t="s">
        <v>647</v>
      </c>
      <c r="Q476" s="517" t="s">
        <v>647</v>
      </c>
      <c r="R476" s="517" t="s">
        <v>1253</v>
      </c>
      <c r="S476" s="517" t="s">
        <v>1372</v>
      </c>
      <c r="T476" s="518" t="s">
        <v>1882</v>
      </c>
      <c r="U476" s="38">
        <v>216456.62</v>
      </c>
      <c r="V476" s="15" t="str">
        <f t="shared" si="54"/>
        <v>102021428</v>
      </c>
      <c r="W476" s="39">
        <v>1</v>
      </c>
      <c r="X476" s="40" t="s">
        <v>647</v>
      </c>
      <c r="Y476" s="40" t="s">
        <v>647</v>
      </c>
      <c r="Z476" s="40" t="s">
        <v>1253</v>
      </c>
      <c r="AA476" s="40" t="s">
        <v>1372</v>
      </c>
      <c r="AB476" s="41" t="s">
        <v>1882</v>
      </c>
      <c r="AC476" s="519">
        <f t="shared" si="53"/>
        <v>216456.62</v>
      </c>
      <c r="AD476" s="517" t="s">
        <v>1519</v>
      </c>
      <c r="AE476" s="517" t="s">
        <v>13434</v>
      </c>
      <c r="AF476" s="517" t="s">
        <v>211</v>
      </c>
      <c r="AG476" s="520" t="s">
        <v>1852</v>
      </c>
      <c r="AH476" s="67">
        <f t="shared" si="52"/>
        <v>216456.62</v>
      </c>
      <c r="AI476" s="10"/>
      <c r="AJ476" s="9">
        <f t="shared" si="51"/>
        <v>0</v>
      </c>
      <c r="AK476" s="10"/>
      <c r="AL476" s="10"/>
    </row>
    <row r="477" spans="1:38" ht="45" hidden="1">
      <c r="A477" s="1">
        <f t="shared" si="55"/>
        <v>0</v>
      </c>
      <c r="B477" s="2" t="s">
        <v>1883</v>
      </c>
      <c r="C477" s="3" t="s">
        <v>1884</v>
      </c>
      <c r="D477" s="15" t="s">
        <v>11513</v>
      </c>
      <c r="E477" s="4" t="s">
        <v>1883</v>
      </c>
      <c r="F477" s="37" t="s">
        <v>1884</v>
      </c>
      <c r="G477" s="38">
        <v>0</v>
      </c>
      <c r="H477" s="38">
        <v>0</v>
      </c>
      <c r="I477" s="15"/>
      <c r="J477" s="494">
        <v>10202142901</v>
      </c>
      <c r="K477" s="517" t="s">
        <v>1519</v>
      </c>
      <c r="L477" s="517" t="s">
        <v>13434</v>
      </c>
      <c r="M477" s="517" t="s">
        <v>211</v>
      </c>
      <c r="N477" s="518" t="s">
        <v>1852</v>
      </c>
      <c r="O477" s="517">
        <v>1</v>
      </c>
      <c r="P477" s="517" t="s">
        <v>647</v>
      </c>
      <c r="Q477" s="517" t="s">
        <v>647</v>
      </c>
      <c r="R477" s="517" t="s">
        <v>1253</v>
      </c>
      <c r="S477" s="517" t="s">
        <v>1765</v>
      </c>
      <c r="T477" s="518" t="s">
        <v>1885</v>
      </c>
      <c r="U477" s="38">
        <v>0</v>
      </c>
      <c r="V477" s="15" t="str">
        <f t="shared" si="54"/>
        <v>102021429</v>
      </c>
      <c r="W477" s="39">
        <v>1</v>
      </c>
      <c r="X477" s="40" t="s">
        <v>647</v>
      </c>
      <c r="Y477" s="40" t="s">
        <v>647</v>
      </c>
      <c r="Z477" s="40" t="s">
        <v>1253</v>
      </c>
      <c r="AA477" s="40" t="s">
        <v>1765</v>
      </c>
      <c r="AB477" s="41" t="s">
        <v>1885</v>
      </c>
      <c r="AC477" s="519">
        <f t="shared" si="53"/>
        <v>0</v>
      </c>
      <c r="AD477" s="517" t="s">
        <v>1519</v>
      </c>
      <c r="AE477" s="517" t="s">
        <v>13434</v>
      </c>
      <c r="AF477" s="517" t="s">
        <v>211</v>
      </c>
      <c r="AG477" s="520" t="s">
        <v>1852</v>
      </c>
      <c r="AH477" s="67">
        <f t="shared" si="52"/>
        <v>0</v>
      </c>
      <c r="AI477" s="10"/>
      <c r="AJ477" s="9">
        <f t="shared" si="51"/>
        <v>0</v>
      </c>
      <c r="AK477" s="10"/>
      <c r="AL477" s="10"/>
    </row>
    <row r="478" spans="1:38" ht="45" hidden="1">
      <c r="A478" s="1">
        <f t="shared" si="55"/>
        <v>0</v>
      </c>
      <c r="B478" s="2" t="s">
        <v>1886</v>
      </c>
      <c r="C478" s="3" t="s">
        <v>1887</v>
      </c>
      <c r="D478" s="15" t="s">
        <v>11514</v>
      </c>
      <c r="E478" s="4" t="s">
        <v>1886</v>
      </c>
      <c r="F478" s="37" t="s">
        <v>1887</v>
      </c>
      <c r="G478" s="38">
        <v>12412.28</v>
      </c>
      <c r="H478" s="38">
        <v>14326.42</v>
      </c>
      <c r="I478" s="15"/>
      <c r="J478" s="494">
        <v>10202143001</v>
      </c>
      <c r="K478" s="517" t="s">
        <v>1519</v>
      </c>
      <c r="L478" s="517" t="s">
        <v>13434</v>
      </c>
      <c r="M478" s="517" t="s">
        <v>211</v>
      </c>
      <c r="N478" s="518" t="s">
        <v>1852</v>
      </c>
      <c r="O478" s="517">
        <v>1</v>
      </c>
      <c r="P478" s="517" t="s">
        <v>647</v>
      </c>
      <c r="Q478" s="517" t="s">
        <v>647</v>
      </c>
      <c r="R478" s="517" t="s">
        <v>1253</v>
      </c>
      <c r="S478" s="517" t="s">
        <v>1770</v>
      </c>
      <c r="T478" s="518" t="s">
        <v>1888</v>
      </c>
      <c r="U478" s="38">
        <v>14326.42</v>
      </c>
      <c r="V478" s="15" t="str">
        <f t="shared" si="54"/>
        <v>102021430</v>
      </c>
      <c r="W478" s="39">
        <v>1</v>
      </c>
      <c r="X478" s="40" t="s">
        <v>647</v>
      </c>
      <c r="Y478" s="40" t="s">
        <v>647</v>
      </c>
      <c r="Z478" s="40" t="s">
        <v>1253</v>
      </c>
      <c r="AA478" s="40" t="s">
        <v>1770</v>
      </c>
      <c r="AB478" s="41" t="s">
        <v>1888</v>
      </c>
      <c r="AC478" s="519">
        <f t="shared" si="53"/>
        <v>14326.42</v>
      </c>
      <c r="AD478" s="517" t="s">
        <v>1519</v>
      </c>
      <c r="AE478" s="517" t="s">
        <v>13434</v>
      </c>
      <c r="AF478" s="517" t="s">
        <v>211</v>
      </c>
      <c r="AG478" s="520" t="s">
        <v>1852</v>
      </c>
      <c r="AH478" s="67">
        <f t="shared" si="52"/>
        <v>14326.42</v>
      </c>
      <c r="AI478" s="10"/>
      <c r="AJ478" s="9">
        <f t="shared" si="51"/>
        <v>0</v>
      </c>
      <c r="AK478" s="10"/>
      <c r="AL478" s="10"/>
    </row>
    <row r="479" spans="1:38" ht="45" hidden="1">
      <c r="A479" s="1">
        <f t="shared" si="55"/>
        <v>0</v>
      </c>
      <c r="B479" s="2" t="s">
        <v>1889</v>
      </c>
      <c r="C479" s="3" t="s">
        <v>1890</v>
      </c>
      <c r="D479" s="15" t="s">
        <v>11515</v>
      </c>
      <c r="E479" s="4" t="s">
        <v>1889</v>
      </c>
      <c r="F479" s="37" t="s">
        <v>1891</v>
      </c>
      <c r="G479" s="38">
        <v>5088.9799999999996</v>
      </c>
      <c r="H479" s="38">
        <v>5088.9799999999996</v>
      </c>
      <c r="I479" s="15"/>
      <c r="J479" s="494">
        <v>10202143101</v>
      </c>
      <c r="K479" s="517" t="s">
        <v>1519</v>
      </c>
      <c r="L479" s="517" t="s">
        <v>13434</v>
      </c>
      <c r="M479" s="517" t="s">
        <v>211</v>
      </c>
      <c r="N479" s="518" t="s">
        <v>1852</v>
      </c>
      <c r="O479" s="517">
        <v>1</v>
      </c>
      <c r="P479" s="517" t="s">
        <v>647</v>
      </c>
      <c r="Q479" s="517" t="s">
        <v>647</v>
      </c>
      <c r="R479" s="517" t="s">
        <v>1253</v>
      </c>
      <c r="S479" s="517" t="s">
        <v>1892</v>
      </c>
      <c r="T479" s="518" t="s">
        <v>1893</v>
      </c>
      <c r="U479" s="38">
        <v>5088.9799999999996</v>
      </c>
      <c r="V479" s="15" t="str">
        <f t="shared" si="54"/>
        <v>102021431</v>
      </c>
      <c r="W479" s="39">
        <v>1</v>
      </c>
      <c r="X479" s="40" t="s">
        <v>647</v>
      </c>
      <c r="Y479" s="40" t="s">
        <v>647</v>
      </c>
      <c r="Z479" s="40" t="s">
        <v>1253</v>
      </c>
      <c r="AA479" s="40" t="s">
        <v>1892</v>
      </c>
      <c r="AB479" s="41" t="s">
        <v>1893</v>
      </c>
      <c r="AC479" s="519">
        <f t="shared" si="53"/>
        <v>5088.9799999999996</v>
      </c>
      <c r="AD479" s="517" t="s">
        <v>1519</v>
      </c>
      <c r="AE479" s="517" t="s">
        <v>13434</v>
      </c>
      <c r="AF479" s="517" t="s">
        <v>211</v>
      </c>
      <c r="AG479" s="520" t="s">
        <v>1852</v>
      </c>
      <c r="AH479" s="67">
        <f t="shared" si="52"/>
        <v>5088.9799999999996</v>
      </c>
      <c r="AI479" s="10"/>
      <c r="AJ479" s="9">
        <f t="shared" si="51"/>
        <v>0</v>
      </c>
      <c r="AK479" s="10"/>
      <c r="AL479" s="10"/>
    </row>
    <row r="480" spans="1:38" ht="45" hidden="1">
      <c r="A480" s="1">
        <f t="shared" si="55"/>
        <v>0</v>
      </c>
      <c r="B480" s="2" t="s">
        <v>1894</v>
      </c>
      <c r="C480" s="3" t="s">
        <v>1895</v>
      </c>
      <c r="D480" s="15" t="s">
        <v>11516</v>
      </c>
      <c r="E480" s="4" t="s">
        <v>1894</v>
      </c>
      <c r="F480" s="37" t="s">
        <v>1895</v>
      </c>
      <c r="G480" s="38">
        <v>24116.13</v>
      </c>
      <c r="H480" s="38">
        <v>29311.439999999999</v>
      </c>
      <c r="I480" s="15"/>
      <c r="J480" s="494">
        <v>10202143201</v>
      </c>
      <c r="K480" s="517" t="s">
        <v>1519</v>
      </c>
      <c r="L480" s="517" t="s">
        <v>13434</v>
      </c>
      <c r="M480" s="517" t="s">
        <v>211</v>
      </c>
      <c r="N480" s="518" t="s">
        <v>1852</v>
      </c>
      <c r="O480" s="517">
        <v>1</v>
      </c>
      <c r="P480" s="517" t="s">
        <v>647</v>
      </c>
      <c r="Q480" s="517" t="s">
        <v>647</v>
      </c>
      <c r="R480" s="517" t="s">
        <v>1253</v>
      </c>
      <c r="S480" s="517" t="s">
        <v>1896</v>
      </c>
      <c r="T480" s="518" t="s">
        <v>1897</v>
      </c>
      <c r="U480" s="38">
        <v>29311.439999999999</v>
      </c>
      <c r="V480" s="15" t="str">
        <f t="shared" si="54"/>
        <v>102021432</v>
      </c>
      <c r="W480" s="39">
        <v>1</v>
      </c>
      <c r="X480" s="40" t="s">
        <v>647</v>
      </c>
      <c r="Y480" s="40" t="s">
        <v>647</v>
      </c>
      <c r="Z480" s="40" t="s">
        <v>1253</v>
      </c>
      <c r="AA480" s="40" t="s">
        <v>1896</v>
      </c>
      <c r="AB480" s="41" t="s">
        <v>1897</v>
      </c>
      <c r="AC480" s="519">
        <f t="shared" si="53"/>
        <v>29311.439999999999</v>
      </c>
      <c r="AD480" s="517" t="s">
        <v>1519</v>
      </c>
      <c r="AE480" s="517" t="s">
        <v>13434</v>
      </c>
      <c r="AF480" s="517" t="s">
        <v>211</v>
      </c>
      <c r="AG480" s="520" t="s">
        <v>1852</v>
      </c>
      <c r="AH480" s="67">
        <f t="shared" si="52"/>
        <v>29311.439999999999</v>
      </c>
      <c r="AI480" s="10"/>
      <c r="AJ480" s="9">
        <f t="shared" si="51"/>
        <v>0</v>
      </c>
      <c r="AK480" s="10"/>
      <c r="AL480" s="10"/>
    </row>
    <row r="481" spans="1:38" ht="45" hidden="1">
      <c r="A481" s="1">
        <f t="shared" si="55"/>
        <v>0</v>
      </c>
      <c r="B481" s="2" t="s">
        <v>1898</v>
      </c>
      <c r="C481" s="3" t="s">
        <v>1899</v>
      </c>
      <c r="D481" s="15" t="s">
        <v>11517</v>
      </c>
      <c r="E481" s="4" t="s">
        <v>1898</v>
      </c>
      <c r="F481" s="37" t="s">
        <v>1899</v>
      </c>
      <c r="G481" s="38">
        <v>63876.79</v>
      </c>
      <c r="H481" s="38">
        <v>63876.79</v>
      </c>
      <c r="I481" s="15"/>
      <c r="J481" s="494">
        <v>10202143301</v>
      </c>
      <c r="K481" s="517" t="s">
        <v>1519</v>
      </c>
      <c r="L481" s="517" t="s">
        <v>13434</v>
      </c>
      <c r="M481" s="517" t="s">
        <v>211</v>
      </c>
      <c r="N481" s="518" t="s">
        <v>1852</v>
      </c>
      <c r="O481" s="517">
        <v>1</v>
      </c>
      <c r="P481" s="517" t="s">
        <v>647</v>
      </c>
      <c r="Q481" s="517" t="s">
        <v>647</v>
      </c>
      <c r="R481" s="517" t="s">
        <v>1253</v>
      </c>
      <c r="S481" s="517" t="s">
        <v>1900</v>
      </c>
      <c r="T481" s="518" t="s">
        <v>1901</v>
      </c>
      <c r="U481" s="38">
        <v>63876.79</v>
      </c>
      <c r="V481" s="15" t="str">
        <f t="shared" si="54"/>
        <v>102021433</v>
      </c>
      <c r="W481" s="39">
        <v>1</v>
      </c>
      <c r="X481" s="40" t="s">
        <v>647</v>
      </c>
      <c r="Y481" s="40" t="s">
        <v>647</v>
      </c>
      <c r="Z481" s="40" t="s">
        <v>1253</v>
      </c>
      <c r="AA481" s="40" t="s">
        <v>1900</v>
      </c>
      <c r="AB481" s="41" t="s">
        <v>1901</v>
      </c>
      <c r="AC481" s="519">
        <f t="shared" si="53"/>
        <v>63876.79</v>
      </c>
      <c r="AD481" s="517" t="s">
        <v>1519</v>
      </c>
      <c r="AE481" s="517" t="s">
        <v>13434</v>
      </c>
      <c r="AF481" s="517" t="s">
        <v>211</v>
      </c>
      <c r="AG481" s="520" t="s">
        <v>1852</v>
      </c>
      <c r="AH481" s="67">
        <f t="shared" si="52"/>
        <v>63876.79</v>
      </c>
      <c r="AI481" s="10"/>
      <c r="AJ481" s="9">
        <f t="shared" si="51"/>
        <v>0</v>
      </c>
      <c r="AK481" s="10"/>
      <c r="AL481" s="10"/>
    </row>
    <row r="482" spans="1:38" ht="45" hidden="1">
      <c r="A482" s="1">
        <f t="shared" si="55"/>
        <v>0</v>
      </c>
      <c r="B482" s="2" t="s">
        <v>1902</v>
      </c>
      <c r="C482" s="3" t="s">
        <v>1903</v>
      </c>
      <c r="D482" s="15" t="s">
        <v>11518</v>
      </c>
      <c r="E482" s="4" t="s">
        <v>1902</v>
      </c>
      <c r="F482" s="37" t="s">
        <v>1903</v>
      </c>
      <c r="G482" s="38">
        <v>447249.21</v>
      </c>
      <c r="H482" s="38">
        <v>420878.81</v>
      </c>
      <c r="I482" s="15"/>
      <c r="J482" s="494">
        <v>10202143401</v>
      </c>
      <c r="K482" s="517" t="s">
        <v>1519</v>
      </c>
      <c r="L482" s="517" t="s">
        <v>13434</v>
      </c>
      <c r="M482" s="517" t="s">
        <v>211</v>
      </c>
      <c r="N482" s="518" t="s">
        <v>1852</v>
      </c>
      <c r="O482" s="517">
        <v>1</v>
      </c>
      <c r="P482" s="517" t="s">
        <v>647</v>
      </c>
      <c r="Q482" s="517" t="s">
        <v>647</v>
      </c>
      <c r="R482" s="517" t="s">
        <v>1253</v>
      </c>
      <c r="S482" s="517" t="s">
        <v>1904</v>
      </c>
      <c r="T482" s="518" t="s">
        <v>1905</v>
      </c>
      <c r="U482" s="38">
        <v>420878.81</v>
      </c>
      <c r="V482" s="15" t="str">
        <f t="shared" si="54"/>
        <v>102021434</v>
      </c>
      <c r="W482" s="39">
        <v>1</v>
      </c>
      <c r="X482" s="40" t="s">
        <v>647</v>
      </c>
      <c r="Y482" s="40" t="s">
        <v>647</v>
      </c>
      <c r="Z482" s="40" t="s">
        <v>1253</v>
      </c>
      <c r="AA482" s="40" t="s">
        <v>1904</v>
      </c>
      <c r="AB482" s="41" t="s">
        <v>1905</v>
      </c>
      <c r="AC482" s="519">
        <f t="shared" si="53"/>
        <v>420878.81</v>
      </c>
      <c r="AD482" s="517" t="s">
        <v>1519</v>
      </c>
      <c r="AE482" s="517" t="s">
        <v>13434</v>
      </c>
      <c r="AF482" s="517" t="s">
        <v>211</v>
      </c>
      <c r="AG482" s="520" t="s">
        <v>1852</v>
      </c>
      <c r="AH482" s="67">
        <f t="shared" si="52"/>
        <v>420878.81</v>
      </c>
      <c r="AI482" s="10"/>
      <c r="AJ482" s="9">
        <f t="shared" si="51"/>
        <v>0</v>
      </c>
      <c r="AK482" s="10"/>
      <c r="AL482" s="10"/>
    </row>
    <row r="483" spans="1:38" ht="45" hidden="1">
      <c r="A483" s="1">
        <f t="shared" si="55"/>
        <v>0</v>
      </c>
      <c r="B483" s="2" t="s">
        <v>1906</v>
      </c>
      <c r="C483" s="3" t="s">
        <v>1907</v>
      </c>
      <c r="D483" s="15" t="s">
        <v>11519</v>
      </c>
      <c r="E483" s="4" t="s">
        <v>1906</v>
      </c>
      <c r="F483" s="37" t="s">
        <v>1907</v>
      </c>
      <c r="G483" s="38">
        <v>687996.87</v>
      </c>
      <c r="H483" s="38">
        <v>766544.78</v>
      </c>
      <c r="I483" s="15"/>
      <c r="J483" s="494">
        <v>10202143501</v>
      </c>
      <c r="K483" s="517" t="s">
        <v>1519</v>
      </c>
      <c r="L483" s="517" t="s">
        <v>13434</v>
      </c>
      <c r="M483" s="517" t="s">
        <v>211</v>
      </c>
      <c r="N483" s="518" t="s">
        <v>1852</v>
      </c>
      <c r="O483" s="517">
        <v>1</v>
      </c>
      <c r="P483" s="517" t="s">
        <v>647</v>
      </c>
      <c r="Q483" s="517" t="s">
        <v>647</v>
      </c>
      <c r="R483" s="517" t="s">
        <v>1253</v>
      </c>
      <c r="S483" s="517" t="s">
        <v>1908</v>
      </c>
      <c r="T483" s="518" t="s">
        <v>1909</v>
      </c>
      <c r="U483" s="38">
        <v>766544.78</v>
      </c>
      <c r="V483" s="15" t="str">
        <f t="shared" si="54"/>
        <v>102021435</v>
      </c>
      <c r="W483" s="39">
        <v>1</v>
      </c>
      <c r="X483" s="40" t="s">
        <v>647</v>
      </c>
      <c r="Y483" s="40" t="s">
        <v>647</v>
      </c>
      <c r="Z483" s="40" t="s">
        <v>1253</v>
      </c>
      <c r="AA483" s="40" t="s">
        <v>1908</v>
      </c>
      <c r="AB483" s="41" t="s">
        <v>1909</v>
      </c>
      <c r="AC483" s="519">
        <f t="shared" si="53"/>
        <v>766544.78</v>
      </c>
      <c r="AD483" s="517" t="s">
        <v>1519</v>
      </c>
      <c r="AE483" s="517" t="s">
        <v>13434</v>
      </c>
      <c r="AF483" s="517" t="s">
        <v>211</v>
      </c>
      <c r="AG483" s="520" t="s">
        <v>1852</v>
      </c>
      <c r="AH483" s="67">
        <f t="shared" si="52"/>
        <v>766544.78</v>
      </c>
      <c r="AI483" s="10"/>
      <c r="AJ483" s="9">
        <f t="shared" si="51"/>
        <v>0</v>
      </c>
      <c r="AK483" s="10"/>
      <c r="AL483" s="10"/>
    </row>
    <row r="484" spans="1:38" ht="45" hidden="1">
      <c r="A484" s="1">
        <f t="shared" si="55"/>
        <v>0</v>
      </c>
      <c r="B484" s="2" t="s">
        <v>1910</v>
      </c>
      <c r="C484" s="3" t="s">
        <v>1911</v>
      </c>
      <c r="D484" s="15" t="s">
        <v>11520</v>
      </c>
      <c r="E484" s="4" t="s">
        <v>1910</v>
      </c>
      <c r="F484" s="37" t="s">
        <v>1911</v>
      </c>
      <c r="G484" s="38">
        <v>0</v>
      </c>
      <c r="H484" s="38">
        <v>0</v>
      </c>
      <c r="I484" s="15"/>
      <c r="J484" s="494">
        <v>10202143601</v>
      </c>
      <c r="K484" s="517" t="s">
        <v>1519</v>
      </c>
      <c r="L484" s="517" t="s">
        <v>13434</v>
      </c>
      <c r="M484" s="517" t="s">
        <v>211</v>
      </c>
      <c r="N484" s="518" t="s">
        <v>1852</v>
      </c>
      <c r="O484" s="517">
        <v>1</v>
      </c>
      <c r="P484" s="517" t="s">
        <v>647</v>
      </c>
      <c r="Q484" s="517" t="s">
        <v>647</v>
      </c>
      <c r="R484" s="517" t="s">
        <v>1253</v>
      </c>
      <c r="S484" s="517" t="s">
        <v>1912</v>
      </c>
      <c r="T484" s="518" t="s">
        <v>1913</v>
      </c>
      <c r="U484" s="38">
        <v>0</v>
      </c>
      <c r="V484" s="15" t="str">
        <f t="shared" si="54"/>
        <v>102021436</v>
      </c>
      <c r="W484" s="39">
        <v>1</v>
      </c>
      <c r="X484" s="40" t="s">
        <v>647</v>
      </c>
      <c r="Y484" s="40" t="s">
        <v>647</v>
      </c>
      <c r="Z484" s="40" t="s">
        <v>1253</v>
      </c>
      <c r="AA484" s="40" t="s">
        <v>1912</v>
      </c>
      <c r="AB484" s="41" t="s">
        <v>1913</v>
      </c>
      <c r="AC484" s="519">
        <f t="shared" si="53"/>
        <v>0</v>
      </c>
      <c r="AD484" s="517" t="s">
        <v>1519</v>
      </c>
      <c r="AE484" s="517" t="s">
        <v>13434</v>
      </c>
      <c r="AF484" s="517" t="s">
        <v>211</v>
      </c>
      <c r="AG484" s="520" t="s">
        <v>1852</v>
      </c>
      <c r="AH484" s="67">
        <f t="shared" si="52"/>
        <v>0</v>
      </c>
      <c r="AI484" s="10"/>
      <c r="AJ484" s="9">
        <f t="shared" si="51"/>
        <v>0</v>
      </c>
      <c r="AK484" s="10"/>
      <c r="AL484" s="10"/>
    </row>
    <row r="485" spans="1:38" ht="45" hidden="1">
      <c r="A485" s="1">
        <f t="shared" si="55"/>
        <v>0</v>
      </c>
      <c r="B485" s="2" t="s">
        <v>1914</v>
      </c>
      <c r="C485" s="3" t="s">
        <v>1915</v>
      </c>
      <c r="D485" s="15" t="s">
        <v>11521</v>
      </c>
      <c r="E485" s="4" t="s">
        <v>1914</v>
      </c>
      <c r="F485" s="37" t="s">
        <v>1915</v>
      </c>
      <c r="G485" s="38">
        <v>46.67</v>
      </c>
      <c r="H485" s="38">
        <v>-46.67</v>
      </c>
      <c r="I485" s="15"/>
      <c r="J485" s="494">
        <v>10202143701</v>
      </c>
      <c r="K485" s="517" t="s">
        <v>1519</v>
      </c>
      <c r="L485" s="517" t="s">
        <v>13434</v>
      </c>
      <c r="M485" s="517" t="s">
        <v>211</v>
      </c>
      <c r="N485" s="518" t="s">
        <v>1852</v>
      </c>
      <c r="O485" s="517">
        <v>1</v>
      </c>
      <c r="P485" s="517" t="s">
        <v>647</v>
      </c>
      <c r="Q485" s="517" t="s">
        <v>647</v>
      </c>
      <c r="R485" s="517" t="s">
        <v>1253</v>
      </c>
      <c r="S485" s="517" t="s">
        <v>1916</v>
      </c>
      <c r="T485" s="518" t="s">
        <v>1917</v>
      </c>
      <c r="U485" s="38">
        <v>-46.67</v>
      </c>
      <c r="V485" s="15" t="str">
        <f t="shared" si="54"/>
        <v>102021437</v>
      </c>
      <c r="W485" s="39">
        <v>1</v>
      </c>
      <c r="X485" s="40" t="s">
        <v>647</v>
      </c>
      <c r="Y485" s="40" t="s">
        <v>647</v>
      </c>
      <c r="Z485" s="40" t="s">
        <v>1253</v>
      </c>
      <c r="AA485" s="40" t="s">
        <v>1916</v>
      </c>
      <c r="AB485" s="41" t="s">
        <v>1917</v>
      </c>
      <c r="AC485" s="519">
        <f t="shared" si="53"/>
        <v>-46.67</v>
      </c>
      <c r="AD485" s="517" t="s">
        <v>1519</v>
      </c>
      <c r="AE485" s="517" t="s">
        <v>13434</v>
      </c>
      <c r="AF485" s="517" t="s">
        <v>211</v>
      </c>
      <c r="AG485" s="520" t="s">
        <v>1852</v>
      </c>
      <c r="AH485" s="67">
        <f t="shared" si="52"/>
        <v>-46.67</v>
      </c>
      <c r="AI485" s="10"/>
      <c r="AJ485" s="9">
        <f t="shared" si="51"/>
        <v>0</v>
      </c>
      <c r="AK485" s="10"/>
      <c r="AL485" s="10"/>
    </row>
    <row r="486" spans="1:38" ht="45" hidden="1">
      <c r="A486" s="1">
        <f t="shared" si="55"/>
        <v>0</v>
      </c>
      <c r="B486" s="2" t="s">
        <v>1918</v>
      </c>
      <c r="C486" s="3" t="s">
        <v>1919</v>
      </c>
      <c r="D486" s="15" t="s">
        <v>11522</v>
      </c>
      <c r="E486" s="4" t="s">
        <v>1918</v>
      </c>
      <c r="F486" s="37" t="s">
        <v>1919</v>
      </c>
      <c r="G486" s="38">
        <v>0</v>
      </c>
      <c r="H486" s="38">
        <v>0</v>
      </c>
      <c r="I486" s="15"/>
      <c r="J486" s="494">
        <v>10202143801</v>
      </c>
      <c r="K486" s="517" t="s">
        <v>1519</v>
      </c>
      <c r="L486" s="517" t="s">
        <v>13434</v>
      </c>
      <c r="M486" s="517" t="s">
        <v>211</v>
      </c>
      <c r="N486" s="518" t="s">
        <v>1852</v>
      </c>
      <c r="O486" s="517">
        <v>1</v>
      </c>
      <c r="P486" s="517" t="s">
        <v>647</v>
      </c>
      <c r="Q486" s="517" t="s">
        <v>647</v>
      </c>
      <c r="R486" s="517" t="s">
        <v>1253</v>
      </c>
      <c r="S486" s="517" t="s">
        <v>1920</v>
      </c>
      <c r="T486" s="518" t="s">
        <v>1919</v>
      </c>
      <c r="U486" s="38">
        <v>0</v>
      </c>
      <c r="V486" s="15" t="str">
        <f t="shared" si="54"/>
        <v>102021438</v>
      </c>
      <c r="W486" s="39">
        <v>1</v>
      </c>
      <c r="X486" s="40" t="s">
        <v>647</v>
      </c>
      <c r="Y486" s="40" t="s">
        <v>647</v>
      </c>
      <c r="Z486" s="40" t="s">
        <v>1253</v>
      </c>
      <c r="AA486" s="40" t="s">
        <v>1920</v>
      </c>
      <c r="AB486" s="41" t="s">
        <v>1919</v>
      </c>
      <c r="AC486" s="519">
        <f t="shared" si="53"/>
        <v>0</v>
      </c>
      <c r="AD486" s="517" t="s">
        <v>1519</v>
      </c>
      <c r="AE486" s="517" t="s">
        <v>13434</v>
      </c>
      <c r="AF486" s="517" t="s">
        <v>211</v>
      </c>
      <c r="AG486" s="520" t="s">
        <v>1852</v>
      </c>
      <c r="AH486" s="67">
        <f t="shared" si="52"/>
        <v>0</v>
      </c>
      <c r="AI486" s="10"/>
      <c r="AJ486" s="9">
        <f t="shared" si="51"/>
        <v>0</v>
      </c>
      <c r="AK486" s="10"/>
      <c r="AL486" s="10"/>
    </row>
    <row r="487" spans="1:38" ht="22.5" hidden="1">
      <c r="A487" s="1">
        <f t="shared" si="55"/>
        <v>0</v>
      </c>
      <c r="C487" s="3" t="s">
        <v>1921</v>
      </c>
      <c r="D487" s="15" t="s">
        <v>16</v>
      </c>
      <c r="E487" s="30"/>
      <c r="F487" s="31" t="s">
        <v>1922</v>
      </c>
      <c r="G487" s="32">
        <f>G488</f>
        <v>0</v>
      </c>
      <c r="H487" s="32">
        <f>H488</f>
        <v>0</v>
      </c>
      <c r="I487" s="15"/>
      <c r="J487" s="494"/>
      <c r="K487" s="513"/>
      <c r="L487" s="513"/>
      <c r="M487" s="513"/>
      <c r="N487" s="514"/>
      <c r="O487" s="513"/>
      <c r="P487" s="513"/>
      <c r="Q487" s="513"/>
      <c r="R487" s="513"/>
      <c r="S487" s="513"/>
      <c r="T487" s="514"/>
      <c r="U487" s="32">
        <f>U488</f>
        <v>0</v>
      </c>
      <c r="V487" s="15" t="str">
        <f t="shared" si="54"/>
        <v>102021500</v>
      </c>
      <c r="W487" s="33">
        <v>1</v>
      </c>
      <c r="X487" s="34" t="s">
        <v>647</v>
      </c>
      <c r="Y487" s="34" t="s">
        <v>647</v>
      </c>
      <c r="Z487" s="35" t="s">
        <v>1257</v>
      </c>
      <c r="AA487" s="35" t="s">
        <v>630</v>
      </c>
      <c r="AB487" s="31" t="s">
        <v>1922</v>
      </c>
      <c r="AC487" s="529">
        <f>AC488</f>
        <v>0</v>
      </c>
      <c r="AD487" s="513" t="s">
        <v>1422</v>
      </c>
      <c r="AE487" s="513" t="s">
        <v>13435</v>
      </c>
      <c r="AF487" s="513" t="s">
        <v>212</v>
      </c>
      <c r="AG487" s="514" t="s">
        <v>13436</v>
      </c>
      <c r="AH487" s="522">
        <f t="shared" si="52"/>
        <v>0</v>
      </c>
      <c r="AI487" s="10"/>
      <c r="AJ487" s="9">
        <f t="shared" si="51"/>
        <v>0</v>
      </c>
      <c r="AK487" s="10"/>
      <c r="AL487" s="10"/>
    </row>
    <row r="488" spans="1:38" ht="33.75" hidden="1">
      <c r="A488" s="1">
        <f t="shared" si="55"/>
        <v>0</v>
      </c>
      <c r="B488" s="2" t="s">
        <v>1923</v>
      </c>
      <c r="C488" s="3" t="s">
        <v>1924</v>
      </c>
      <c r="D488" s="15" t="s">
        <v>11523</v>
      </c>
      <c r="E488" s="4" t="s">
        <v>1923</v>
      </c>
      <c r="F488" s="37" t="s">
        <v>1924</v>
      </c>
      <c r="G488" s="38">
        <v>0</v>
      </c>
      <c r="H488" s="38">
        <v>0</v>
      </c>
      <c r="I488" s="15"/>
      <c r="J488" s="494">
        <v>10202150101</v>
      </c>
      <c r="K488" s="517" t="s">
        <v>1422</v>
      </c>
      <c r="L488" s="517" t="s">
        <v>13435</v>
      </c>
      <c r="M488" s="517" t="s">
        <v>212</v>
      </c>
      <c r="N488" s="518" t="s">
        <v>1926</v>
      </c>
      <c r="O488" s="517">
        <v>1</v>
      </c>
      <c r="P488" s="517" t="s">
        <v>647</v>
      </c>
      <c r="Q488" s="517" t="s">
        <v>647</v>
      </c>
      <c r="R488" s="517" t="s">
        <v>1257</v>
      </c>
      <c r="S488" s="517" t="s">
        <v>632</v>
      </c>
      <c r="T488" s="518" t="s">
        <v>1925</v>
      </c>
      <c r="U488" s="38">
        <v>0</v>
      </c>
      <c r="V488" s="15" t="str">
        <f t="shared" si="54"/>
        <v>102021501</v>
      </c>
      <c r="W488" s="39">
        <v>1</v>
      </c>
      <c r="X488" s="40" t="s">
        <v>647</v>
      </c>
      <c r="Y488" s="40" t="s">
        <v>647</v>
      </c>
      <c r="Z488" s="40" t="s">
        <v>1257</v>
      </c>
      <c r="AA488" s="40" t="s">
        <v>632</v>
      </c>
      <c r="AB488" s="41" t="s">
        <v>1925</v>
      </c>
      <c r="AC488" s="519">
        <f>H488</f>
        <v>0</v>
      </c>
      <c r="AD488" s="517" t="s">
        <v>1422</v>
      </c>
      <c r="AE488" s="517" t="s">
        <v>13435</v>
      </c>
      <c r="AF488" s="517" t="s">
        <v>212</v>
      </c>
      <c r="AG488" s="520" t="s">
        <v>1926</v>
      </c>
      <c r="AH488" s="67">
        <f t="shared" si="52"/>
        <v>0</v>
      </c>
      <c r="AI488" s="10"/>
      <c r="AJ488" s="9">
        <f t="shared" si="51"/>
        <v>0</v>
      </c>
      <c r="AK488" s="10"/>
      <c r="AL488" s="10"/>
    </row>
    <row r="489" spans="1:38" ht="90" hidden="1">
      <c r="A489" s="1">
        <f t="shared" si="55"/>
        <v>0</v>
      </c>
      <c r="B489" s="11"/>
      <c r="C489" s="11"/>
      <c r="D489" s="15" t="s">
        <v>16</v>
      </c>
      <c r="E489" s="30"/>
      <c r="F489" s="31" t="s">
        <v>1927</v>
      </c>
      <c r="G489" s="32">
        <f>G490</f>
        <v>0</v>
      </c>
      <c r="H489" s="32">
        <f>H490</f>
        <v>0</v>
      </c>
      <c r="I489" s="15"/>
      <c r="J489" s="494"/>
      <c r="K489" s="513"/>
      <c r="L489" s="513"/>
      <c r="M489" s="513"/>
      <c r="N489" s="514"/>
      <c r="O489" s="513"/>
      <c r="P489" s="513"/>
      <c r="Q489" s="513"/>
      <c r="R489" s="513"/>
      <c r="S489" s="513"/>
      <c r="T489" s="514"/>
      <c r="U489" s="32">
        <f>U490</f>
        <v>0</v>
      </c>
      <c r="V489" s="15" t="str">
        <f t="shared" si="54"/>
        <v>102023100</v>
      </c>
      <c r="W489" s="33">
        <v>1</v>
      </c>
      <c r="X489" s="34" t="s">
        <v>647</v>
      </c>
      <c r="Y489" s="34" t="s">
        <v>647</v>
      </c>
      <c r="Z489" s="35" t="s">
        <v>1892</v>
      </c>
      <c r="AA489" s="35" t="s">
        <v>630</v>
      </c>
      <c r="AB489" s="31" t="s">
        <v>1927</v>
      </c>
      <c r="AC489" s="529">
        <f>AC490</f>
        <v>0</v>
      </c>
      <c r="AD489" s="513" t="s">
        <v>1422</v>
      </c>
      <c r="AE489" s="513" t="s">
        <v>13437</v>
      </c>
      <c r="AF489" s="513" t="s">
        <v>1928</v>
      </c>
      <c r="AG489" s="514" t="s">
        <v>1929</v>
      </c>
      <c r="AH489" s="522">
        <f t="shared" si="52"/>
        <v>0</v>
      </c>
      <c r="AI489" s="10"/>
      <c r="AJ489" s="9">
        <f t="shared" si="51"/>
        <v>0</v>
      </c>
      <c r="AK489" s="10"/>
      <c r="AL489" s="10"/>
    </row>
    <row r="490" spans="1:38" ht="78.75" hidden="1">
      <c r="A490" s="1">
        <f t="shared" si="55"/>
        <v>0</v>
      </c>
      <c r="B490" s="2" t="s">
        <v>1930</v>
      </c>
      <c r="C490" s="3" t="s">
        <v>1927</v>
      </c>
      <c r="D490" s="15" t="s">
        <v>11524</v>
      </c>
      <c r="E490" s="4" t="s">
        <v>1930</v>
      </c>
      <c r="F490" s="37" t="s">
        <v>1927</v>
      </c>
      <c r="G490" s="38">
        <v>0</v>
      </c>
      <c r="H490" s="38">
        <v>0</v>
      </c>
      <c r="I490" s="15"/>
      <c r="J490" s="494">
        <v>10202310101</v>
      </c>
      <c r="K490" s="517" t="s">
        <v>1422</v>
      </c>
      <c r="L490" s="517" t="s">
        <v>13437</v>
      </c>
      <c r="M490" s="517" t="s">
        <v>1928</v>
      </c>
      <c r="N490" s="518" t="s">
        <v>1929</v>
      </c>
      <c r="O490" s="517">
        <v>1</v>
      </c>
      <c r="P490" s="517" t="s">
        <v>647</v>
      </c>
      <c r="Q490" s="517" t="s">
        <v>647</v>
      </c>
      <c r="R490" s="517" t="s">
        <v>1892</v>
      </c>
      <c r="S490" s="517" t="s">
        <v>632</v>
      </c>
      <c r="T490" s="518" t="s">
        <v>1927</v>
      </c>
      <c r="U490" s="38">
        <v>0</v>
      </c>
      <c r="V490" s="15" t="str">
        <f t="shared" si="54"/>
        <v>102023101</v>
      </c>
      <c r="W490" s="39">
        <v>1</v>
      </c>
      <c r="X490" s="40" t="s">
        <v>647</v>
      </c>
      <c r="Y490" s="40" t="s">
        <v>647</v>
      </c>
      <c r="Z490" s="40" t="s">
        <v>1892</v>
      </c>
      <c r="AA490" s="40" t="s">
        <v>632</v>
      </c>
      <c r="AB490" s="41" t="s">
        <v>1927</v>
      </c>
      <c r="AC490" s="519">
        <f>H490</f>
        <v>0</v>
      </c>
      <c r="AD490" s="517" t="s">
        <v>1422</v>
      </c>
      <c r="AE490" s="517" t="s">
        <v>13437</v>
      </c>
      <c r="AF490" s="517" t="s">
        <v>1928</v>
      </c>
      <c r="AG490" s="520" t="s">
        <v>1929</v>
      </c>
      <c r="AH490" s="67">
        <f t="shared" si="52"/>
        <v>0</v>
      </c>
      <c r="AI490" s="10"/>
      <c r="AJ490" s="9">
        <f t="shared" si="51"/>
        <v>0</v>
      </c>
      <c r="AK490" s="10"/>
      <c r="AL490" s="10"/>
    </row>
    <row r="491" spans="1:38" ht="33.75" hidden="1">
      <c r="A491" s="1">
        <f t="shared" si="55"/>
        <v>0</v>
      </c>
      <c r="C491" s="3" t="s">
        <v>1931</v>
      </c>
      <c r="D491" s="15" t="s">
        <v>16</v>
      </c>
      <c r="E491" s="30"/>
      <c r="F491" s="31" t="s">
        <v>1932</v>
      </c>
      <c r="G491" s="32">
        <f>G492</f>
        <v>85514.559999999998</v>
      </c>
      <c r="H491" s="32">
        <f>H492+H493</f>
        <v>6240379.9400000004</v>
      </c>
      <c r="I491" s="15"/>
      <c r="J491" s="494"/>
      <c r="K491" s="513"/>
      <c r="L491" s="513"/>
      <c r="M491" s="513"/>
      <c r="N491" s="514"/>
      <c r="O491" s="513"/>
      <c r="P491" s="513"/>
      <c r="Q491" s="513"/>
      <c r="R491" s="513"/>
      <c r="S491" s="513"/>
      <c r="T491" s="514"/>
      <c r="U491" s="32">
        <f>U492+U493</f>
        <v>6240379.9400000004</v>
      </c>
      <c r="V491" s="15" t="str">
        <f t="shared" si="54"/>
        <v>102021600</v>
      </c>
      <c r="W491" s="33">
        <v>1</v>
      </c>
      <c r="X491" s="34" t="s">
        <v>647</v>
      </c>
      <c r="Y491" s="34" t="s">
        <v>647</v>
      </c>
      <c r="Z491" s="35" t="s">
        <v>1332</v>
      </c>
      <c r="AA491" s="35" t="s">
        <v>630</v>
      </c>
      <c r="AB491" s="31" t="s">
        <v>1932</v>
      </c>
      <c r="AC491" s="529">
        <f>AC492</f>
        <v>6240379.9400000004</v>
      </c>
      <c r="AD491" s="513" t="s">
        <v>1340</v>
      </c>
      <c r="AE491" s="513" t="s">
        <v>13438</v>
      </c>
      <c r="AF491" s="513" t="s">
        <v>213</v>
      </c>
      <c r="AG491" s="514" t="s">
        <v>1933</v>
      </c>
      <c r="AH491" s="522">
        <f t="shared" si="52"/>
        <v>6240379.9400000004</v>
      </c>
      <c r="AI491" s="10"/>
      <c r="AJ491" s="9">
        <f t="shared" si="51"/>
        <v>0</v>
      </c>
      <c r="AK491" s="10"/>
      <c r="AL491" s="10"/>
    </row>
    <row r="492" spans="1:38" ht="33.75" hidden="1">
      <c r="A492" s="1">
        <f t="shared" si="55"/>
        <v>0</v>
      </c>
      <c r="B492" s="2" t="s">
        <v>1934</v>
      </c>
      <c r="C492" s="3" t="s">
        <v>1931</v>
      </c>
      <c r="D492" s="15" t="s">
        <v>11525</v>
      </c>
      <c r="E492" s="4" t="s">
        <v>1934</v>
      </c>
      <c r="F492" s="37" t="s">
        <v>1931</v>
      </c>
      <c r="G492" s="38">
        <v>85514.559999999998</v>
      </c>
      <c r="H492" s="38">
        <v>164948.94</v>
      </c>
      <c r="I492" s="15"/>
      <c r="J492" s="494">
        <v>10202160101</v>
      </c>
      <c r="K492" s="517" t="s">
        <v>1340</v>
      </c>
      <c r="L492" s="517" t="s">
        <v>13438</v>
      </c>
      <c r="M492" s="517" t="s">
        <v>213</v>
      </c>
      <c r="N492" s="518" t="s">
        <v>1933</v>
      </c>
      <c r="O492" s="517">
        <v>1</v>
      </c>
      <c r="P492" s="517" t="s">
        <v>647</v>
      </c>
      <c r="Q492" s="517" t="s">
        <v>647</v>
      </c>
      <c r="R492" s="517" t="s">
        <v>1332</v>
      </c>
      <c r="S492" s="517" t="s">
        <v>632</v>
      </c>
      <c r="T492" s="518" t="s">
        <v>1932</v>
      </c>
      <c r="U492" s="38">
        <v>164948.94</v>
      </c>
      <c r="V492" s="15" t="str">
        <f t="shared" si="54"/>
        <v>102021601</v>
      </c>
      <c r="W492" s="39">
        <v>1</v>
      </c>
      <c r="X492" s="40" t="s">
        <v>647</v>
      </c>
      <c r="Y492" s="40" t="s">
        <v>647</v>
      </c>
      <c r="Z492" s="40" t="s">
        <v>1332</v>
      </c>
      <c r="AA492" s="40" t="s">
        <v>632</v>
      </c>
      <c r="AB492" s="41" t="s">
        <v>1932</v>
      </c>
      <c r="AC492" s="519">
        <f>H492+H493</f>
        <v>6240379.9400000004</v>
      </c>
      <c r="AD492" s="517" t="s">
        <v>1340</v>
      </c>
      <c r="AE492" s="517" t="s">
        <v>13438</v>
      </c>
      <c r="AF492" s="517" t="s">
        <v>213</v>
      </c>
      <c r="AG492" s="520" t="s">
        <v>1933</v>
      </c>
      <c r="AH492" s="67">
        <f t="shared" si="52"/>
        <v>6240379.9400000004</v>
      </c>
      <c r="AI492" s="10"/>
      <c r="AJ492" s="9"/>
      <c r="AK492" s="10"/>
      <c r="AL492" s="10"/>
    </row>
    <row r="493" spans="1:38" ht="33.75" hidden="1">
      <c r="A493" s="1">
        <f t="shared" si="55"/>
        <v>0</v>
      </c>
      <c r="B493" s="2" t="s">
        <v>1935</v>
      </c>
      <c r="C493" s="3" t="s">
        <v>1936</v>
      </c>
      <c r="D493" s="15" t="s">
        <v>11525</v>
      </c>
      <c r="E493" s="2" t="s">
        <v>1935</v>
      </c>
      <c r="F493" s="3" t="s">
        <v>1936</v>
      </c>
      <c r="G493" s="38"/>
      <c r="H493" s="38">
        <v>6075431</v>
      </c>
      <c r="I493" s="15"/>
      <c r="J493" s="494">
        <v>10202160102</v>
      </c>
      <c r="K493" s="517" t="s">
        <v>1340</v>
      </c>
      <c r="L493" s="517" t="s">
        <v>13438</v>
      </c>
      <c r="M493" s="517" t="s">
        <v>213</v>
      </c>
      <c r="N493" s="518" t="s">
        <v>1933</v>
      </c>
      <c r="O493" s="517">
        <v>1</v>
      </c>
      <c r="P493" s="517" t="s">
        <v>647</v>
      </c>
      <c r="Q493" s="517" t="s">
        <v>647</v>
      </c>
      <c r="R493" s="517" t="s">
        <v>1332</v>
      </c>
      <c r="S493" s="517" t="s">
        <v>632</v>
      </c>
      <c r="T493" s="518" t="s">
        <v>1932</v>
      </c>
      <c r="U493" s="38">
        <v>6075431</v>
      </c>
      <c r="V493" s="15" t="str">
        <f t="shared" si="54"/>
        <v/>
      </c>
      <c r="W493" s="39"/>
      <c r="X493" s="40"/>
      <c r="Y493" s="40"/>
      <c r="Z493" s="40"/>
      <c r="AA493" s="40"/>
      <c r="AB493" s="41"/>
      <c r="AC493" s="580"/>
      <c r="AD493" s="517" t="e">
        <v>#N/A</v>
      </c>
      <c r="AE493" s="517" t="e">
        <v>#N/A</v>
      </c>
      <c r="AF493" s="517" t="e">
        <v>#N/A</v>
      </c>
      <c r="AG493" s="520" t="e">
        <v>#N/A</v>
      </c>
      <c r="AH493" s="60"/>
      <c r="AI493" s="10"/>
      <c r="AJ493" s="9"/>
      <c r="AK493" s="10"/>
      <c r="AL493" s="10"/>
    </row>
    <row r="494" spans="1:38" ht="78.75" hidden="1">
      <c r="A494" s="1">
        <f t="shared" si="55"/>
        <v>0</v>
      </c>
      <c r="B494" s="11"/>
      <c r="C494" s="11"/>
      <c r="D494" s="15" t="s">
        <v>16</v>
      </c>
      <c r="E494" s="30"/>
      <c r="F494" s="31" t="s">
        <v>1937</v>
      </c>
      <c r="G494" s="32">
        <f>G495</f>
        <v>0</v>
      </c>
      <c r="H494" s="32">
        <f>H495+H496</f>
        <v>225000</v>
      </c>
      <c r="I494" s="15"/>
      <c r="J494" s="494"/>
      <c r="K494" s="513"/>
      <c r="L494" s="513"/>
      <c r="M494" s="513"/>
      <c r="N494" s="514"/>
      <c r="O494" s="513"/>
      <c r="P494" s="513"/>
      <c r="Q494" s="513"/>
      <c r="R494" s="513"/>
      <c r="S494" s="513"/>
      <c r="T494" s="514"/>
      <c r="U494" s="32">
        <f>U495+U496</f>
        <v>225000</v>
      </c>
      <c r="V494" s="15" t="str">
        <f t="shared" si="54"/>
        <v>102023200</v>
      </c>
      <c r="W494" s="33">
        <v>1</v>
      </c>
      <c r="X494" s="34" t="s">
        <v>647</v>
      </c>
      <c r="Y494" s="34" t="s">
        <v>647</v>
      </c>
      <c r="Z494" s="35" t="s">
        <v>1896</v>
      </c>
      <c r="AA494" s="35" t="s">
        <v>630</v>
      </c>
      <c r="AB494" s="31" t="s">
        <v>1937</v>
      </c>
      <c r="AC494" s="529">
        <f>AC495+AC496</f>
        <v>225000</v>
      </c>
      <c r="AD494" s="513" t="s">
        <v>1519</v>
      </c>
      <c r="AE494" s="513" t="s">
        <v>13439</v>
      </c>
      <c r="AF494" s="513" t="s">
        <v>1938</v>
      </c>
      <c r="AG494" s="514" t="s">
        <v>1939</v>
      </c>
      <c r="AH494" s="522">
        <f t="shared" ref="AH494:AH507" si="56">AC494</f>
        <v>225000</v>
      </c>
      <c r="AI494" s="10"/>
      <c r="AJ494" s="9">
        <f t="shared" ref="AJ494:AJ510" si="57">AH494-H494</f>
        <v>0</v>
      </c>
      <c r="AK494" s="10"/>
      <c r="AL494" s="10"/>
    </row>
    <row r="495" spans="1:38" ht="67.5" hidden="1">
      <c r="A495" s="1">
        <f t="shared" si="55"/>
        <v>1</v>
      </c>
      <c r="B495" s="11"/>
      <c r="C495" s="11"/>
      <c r="D495" s="15" t="s">
        <v>11526</v>
      </c>
      <c r="E495" s="4" t="s">
        <v>1940</v>
      </c>
      <c r="F495" s="37" t="s">
        <v>1941</v>
      </c>
      <c r="G495" s="38">
        <v>0</v>
      </c>
      <c r="H495" s="38">
        <v>0</v>
      </c>
      <c r="I495" s="15"/>
      <c r="J495" s="494">
        <v>10202320101</v>
      </c>
      <c r="K495" s="517" t="s">
        <v>1519</v>
      </c>
      <c r="L495" s="517" t="s">
        <v>13439</v>
      </c>
      <c r="M495" s="517" t="s">
        <v>1938</v>
      </c>
      <c r="N495" s="518" t="s">
        <v>1939</v>
      </c>
      <c r="O495" s="517">
        <v>1</v>
      </c>
      <c r="P495" s="517" t="s">
        <v>647</v>
      </c>
      <c r="Q495" s="517" t="s">
        <v>647</v>
      </c>
      <c r="R495" s="517" t="s">
        <v>1896</v>
      </c>
      <c r="S495" s="517" t="s">
        <v>632</v>
      </c>
      <c r="T495" s="518" t="s">
        <v>1937</v>
      </c>
      <c r="U495" s="38">
        <v>0</v>
      </c>
      <c r="V495" s="15" t="str">
        <f t="shared" si="54"/>
        <v>102023201</v>
      </c>
      <c r="W495" s="39">
        <v>1</v>
      </c>
      <c r="X495" s="40" t="s">
        <v>647</v>
      </c>
      <c r="Y495" s="40" t="s">
        <v>647</v>
      </c>
      <c r="Z495" s="40" t="s">
        <v>1896</v>
      </c>
      <c r="AA495" s="40" t="s">
        <v>632</v>
      </c>
      <c r="AB495" s="41" t="s">
        <v>1937</v>
      </c>
      <c r="AC495" s="519">
        <f>H495</f>
        <v>0</v>
      </c>
      <c r="AD495" s="517" t="s">
        <v>1519</v>
      </c>
      <c r="AE495" s="517" t="s">
        <v>13439</v>
      </c>
      <c r="AF495" s="517" t="s">
        <v>1938</v>
      </c>
      <c r="AG495" s="520" t="s">
        <v>1939</v>
      </c>
      <c r="AH495" s="67">
        <f t="shared" si="56"/>
        <v>0</v>
      </c>
      <c r="AI495" s="10"/>
      <c r="AJ495" s="9">
        <f t="shared" si="57"/>
        <v>0</v>
      </c>
      <c r="AK495" s="10"/>
      <c r="AL495" s="10"/>
    </row>
    <row r="496" spans="1:38" s="572" customFormat="1" ht="67.5" hidden="1">
      <c r="A496" s="562">
        <f>IF(E496=B496,0,1)</f>
        <v>0</v>
      </c>
      <c r="B496" s="563" t="s">
        <v>2207</v>
      </c>
      <c r="C496" s="564" t="s">
        <v>2208</v>
      </c>
      <c r="D496" s="15" t="s">
        <v>11526</v>
      </c>
      <c r="E496" s="563" t="s">
        <v>2207</v>
      </c>
      <c r="F496" s="564" t="s">
        <v>2208</v>
      </c>
      <c r="G496" s="47"/>
      <c r="H496" s="38">
        <v>225000</v>
      </c>
      <c r="I496" s="567"/>
      <c r="J496" s="568">
        <v>10202320102</v>
      </c>
      <c r="K496" s="517" t="s">
        <v>1519</v>
      </c>
      <c r="L496" s="517" t="s">
        <v>13439</v>
      </c>
      <c r="M496" s="517" t="s">
        <v>1938</v>
      </c>
      <c r="N496" s="518" t="s">
        <v>1939</v>
      </c>
      <c r="O496" s="517">
        <v>1</v>
      </c>
      <c r="P496" s="517" t="s">
        <v>647</v>
      </c>
      <c r="Q496" s="517" t="s">
        <v>647</v>
      </c>
      <c r="R496" s="517" t="s">
        <v>1896</v>
      </c>
      <c r="S496" s="517" t="s">
        <v>632</v>
      </c>
      <c r="T496" s="518" t="s">
        <v>1937</v>
      </c>
      <c r="U496" s="38">
        <v>225000</v>
      </c>
      <c r="V496" s="15" t="str">
        <f t="shared" si="54"/>
        <v/>
      </c>
      <c r="W496" s="39"/>
      <c r="X496" s="40"/>
      <c r="Y496" s="40"/>
      <c r="Z496" s="40"/>
      <c r="AA496" s="40"/>
      <c r="AB496" s="41"/>
      <c r="AC496" s="519">
        <f>H496</f>
        <v>225000</v>
      </c>
      <c r="AD496" s="517" t="e">
        <v>#N/A</v>
      </c>
      <c r="AE496" s="517" t="e">
        <v>#N/A</v>
      </c>
      <c r="AF496" s="517" t="e">
        <v>#N/A</v>
      </c>
      <c r="AG496" s="520" t="e">
        <v>#N/A</v>
      </c>
      <c r="AH496" s="67">
        <f t="shared" si="56"/>
        <v>225000</v>
      </c>
      <c r="AI496" s="571"/>
      <c r="AJ496" s="9">
        <f t="shared" si="57"/>
        <v>0</v>
      </c>
      <c r="AK496" s="571"/>
      <c r="AL496" s="571"/>
    </row>
    <row r="497" spans="1:38" ht="22.5" hidden="1">
      <c r="A497" s="1">
        <f t="shared" si="55"/>
        <v>0</v>
      </c>
      <c r="C497" s="3" t="s">
        <v>1942</v>
      </c>
      <c r="D497" s="15" t="s">
        <v>16</v>
      </c>
      <c r="E497" s="30"/>
      <c r="F497" s="31" t="s">
        <v>1943</v>
      </c>
      <c r="G497" s="32">
        <f>G498+G499</f>
        <v>4408.13</v>
      </c>
      <c r="H497" s="32">
        <f>H498+H499</f>
        <v>0</v>
      </c>
      <c r="I497" s="15"/>
      <c r="J497" s="494"/>
      <c r="K497" s="513"/>
      <c r="L497" s="513"/>
      <c r="M497" s="513"/>
      <c r="N497" s="514"/>
      <c r="O497" s="513"/>
      <c r="P497" s="513"/>
      <c r="Q497" s="513"/>
      <c r="R497" s="513"/>
      <c r="S497" s="513"/>
      <c r="T497" s="514"/>
      <c r="U497" s="32">
        <f>U498+U499</f>
        <v>0</v>
      </c>
      <c r="V497" s="15" t="str">
        <f t="shared" si="54"/>
        <v>102021700</v>
      </c>
      <c r="W497" s="33">
        <v>1</v>
      </c>
      <c r="X497" s="34" t="s">
        <v>647</v>
      </c>
      <c r="Y497" s="34" t="s">
        <v>647</v>
      </c>
      <c r="Z497" s="35" t="s">
        <v>1838</v>
      </c>
      <c r="AA497" s="35" t="s">
        <v>630</v>
      </c>
      <c r="AB497" s="31" t="s">
        <v>1943</v>
      </c>
      <c r="AC497" s="529">
        <f>AC498+AC499</f>
        <v>0</v>
      </c>
      <c r="AD497" s="513">
        <v>0</v>
      </c>
      <c r="AE497" s="513" t="s">
        <v>13440</v>
      </c>
      <c r="AF497" s="513" t="s">
        <v>214</v>
      </c>
      <c r="AG497" s="514" t="s">
        <v>1944</v>
      </c>
      <c r="AH497" s="522">
        <f t="shared" si="56"/>
        <v>0</v>
      </c>
      <c r="AI497" s="10"/>
      <c r="AJ497" s="9">
        <f t="shared" si="57"/>
        <v>0</v>
      </c>
      <c r="AK497" s="10"/>
      <c r="AL497" s="10"/>
    </row>
    <row r="498" spans="1:38" ht="22.5" hidden="1">
      <c r="A498" s="1">
        <f t="shared" si="55"/>
        <v>0</v>
      </c>
      <c r="B498" s="2" t="s">
        <v>1945</v>
      </c>
      <c r="C498" s="3" t="s">
        <v>1946</v>
      </c>
      <c r="D498" s="15" t="s">
        <v>11527</v>
      </c>
      <c r="E498" s="4" t="s">
        <v>1945</v>
      </c>
      <c r="F498" s="37" t="s">
        <v>1946</v>
      </c>
      <c r="G498" s="38">
        <v>0</v>
      </c>
      <c r="H498" s="38">
        <v>0</v>
      </c>
      <c r="I498" s="15"/>
      <c r="J498" s="494">
        <v>10202170101</v>
      </c>
      <c r="K498" s="517"/>
      <c r="L498" s="517" t="s">
        <v>13440</v>
      </c>
      <c r="M498" s="517" t="s">
        <v>214</v>
      </c>
      <c r="N498" s="518" t="s">
        <v>1944</v>
      </c>
      <c r="O498" s="517">
        <v>1</v>
      </c>
      <c r="P498" s="517" t="s">
        <v>647</v>
      </c>
      <c r="Q498" s="517" t="s">
        <v>647</v>
      </c>
      <c r="R498" s="517" t="s">
        <v>1838</v>
      </c>
      <c r="S498" s="517" t="s">
        <v>632</v>
      </c>
      <c r="T498" s="518" t="s">
        <v>1947</v>
      </c>
      <c r="U498" s="38">
        <v>0</v>
      </c>
      <c r="V498" s="15" t="str">
        <f t="shared" si="54"/>
        <v>102021701</v>
      </c>
      <c r="W498" s="39">
        <v>1</v>
      </c>
      <c r="X498" s="40" t="s">
        <v>647</v>
      </c>
      <c r="Y498" s="40" t="s">
        <v>647</v>
      </c>
      <c r="Z498" s="40" t="s">
        <v>1838</v>
      </c>
      <c r="AA498" s="40" t="s">
        <v>632</v>
      </c>
      <c r="AB498" s="41" t="s">
        <v>1947</v>
      </c>
      <c r="AC498" s="519">
        <f>H498</f>
        <v>0</v>
      </c>
      <c r="AD498" s="517">
        <v>0</v>
      </c>
      <c r="AE498" s="517" t="s">
        <v>13440</v>
      </c>
      <c r="AF498" s="517" t="s">
        <v>214</v>
      </c>
      <c r="AG498" s="520" t="s">
        <v>1944</v>
      </c>
      <c r="AH498" s="67">
        <f t="shared" si="56"/>
        <v>0</v>
      </c>
      <c r="AI498" s="10"/>
      <c r="AJ498" s="9">
        <f t="shared" si="57"/>
        <v>0</v>
      </c>
      <c r="AK498" s="10"/>
      <c r="AL498" s="10"/>
    </row>
    <row r="499" spans="1:38" ht="22.5" hidden="1">
      <c r="A499" s="1">
        <f t="shared" si="55"/>
        <v>0</v>
      </c>
      <c r="B499" s="2" t="s">
        <v>1948</v>
      </c>
      <c r="C499" s="3" t="s">
        <v>1942</v>
      </c>
      <c r="D499" s="15" t="s">
        <v>11528</v>
      </c>
      <c r="E499" s="4" t="s">
        <v>1948</v>
      </c>
      <c r="F499" s="37" t="s">
        <v>1942</v>
      </c>
      <c r="G499" s="38">
        <v>4408.13</v>
      </c>
      <c r="H499" s="38">
        <v>0</v>
      </c>
      <c r="I499" s="15"/>
      <c r="J499" s="494">
        <v>10202170201</v>
      </c>
      <c r="K499" s="517"/>
      <c r="L499" s="517" t="s">
        <v>13440</v>
      </c>
      <c r="M499" s="517" t="s">
        <v>214</v>
      </c>
      <c r="N499" s="518" t="s">
        <v>1944</v>
      </c>
      <c r="O499" s="517">
        <v>1</v>
      </c>
      <c r="P499" s="517" t="s">
        <v>647</v>
      </c>
      <c r="Q499" s="517" t="s">
        <v>647</v>
      </c>
      <c r="R499" s="517" t="s">
        <v>1838</v>
      </c>
      <c r="S499" s="517" t="s">
        <v>647</v>
      </c>
      <c r="T499" s="518" t="s">
        <v>1943</v>
      </c>
      <c r="U499" s="38">
        <v>0</v>
      </c>
      <c r="V499" s="15" t="str">
        <f t="shared" si="54"/>
        <v>102021702</v>
      </c>
      <c r="W499" s="39">
        <v>1</v>
      </c>
      <c r="X499" s="40" t="s">
        <v>647</v>
      </c>
      <c r="Y499" s="40" t="s">
        <v>647</v>
      </c>
      <c r="Z499" s="40" t="s">
        <v>1838</v>
      </c>
      <c r="AA499" s="40" t="s">
        <v>647</v>
      </c>
      <c r="AB499" s="41" t="s">
        <v>1943</v>
      </c>
      <c r="AC499" s="519">
        <f>H499</f>
        <v>0</v>
      </c>
      <c r="AD499" s="517">
        <v>0</v>
      </c>
      <c r="AE499" s="517" t="s">
        <v>13440</v>
      </c>
      <c r="AF499" s="517" t="s">
        <v>214</v>
      </c>
      <c r="AG499" s="520" t="s">
        <v>1944</v>
      </c>
      <c r="AH499" s="67">
        <f t="shared" si="56"/>
        <v>0</v>
      </c>
      <c r="AI499" s="10"/>
      <c r="AJ499" s="9">
        <f t="shared" si="57"/>
        <v>0</v>
      </c>
      <c r="AK499" s="10"/>
      <c r="AL499" s="10"/>
    </row>
    <row r="500" spans="1:38" ht="33.75" hidden="1">
      <c r="A500" s="1">
        <f t="shared" si="55"/>
        <v>0</v>
      </c>
      <c r="C500" s="3" t="s">
        <v>1949</v>
      </c>
      <c r="D500" s="15" t="s">
        <v>16</v>
      </c>
      <c r="E500" s="30"/>
      <c r="F500" s="31" t="s">
        <v>1950</v>
      </c>
      <c r="G500" s="32">
        <f>G501</f>
        <v>0</v>
      </c>
      <c r="H500" s="32">
        <f>H501</f>
        <v>0</v>
      </c>
      <c r="I500" s="15"/>
      <c r="J500" s="494"/>
      <c r="K500" s="513"/>
      <c r="L500" s="513"/>
      <c r="M500" s="513"/>
      <c r="N500" s="514"/>
      <c r="O500" s="513"/>
      <c r="P500" s="513"/>
      <c r="Q500" s="513"/>
      <c r="R500" s="513"/>
      <c r="S500" s="513"/>
      <c r="T500" s="514"/>
      <c r="U500" s="32">
        <f>U501</f>
        <v>0</v>
      </c>
      <c r="V500" s="15" t="str">
        <f t="shared" si="54"/>
        <v>102021800</v>
      </c>
      <c r="W500" s="33">
        <v>1</v>
      </c>
      <c r="X500" s="34" t="s">
        <v>647</v>
      </c>
      <c r="Y500" s="34" t="s">
        <v>647</v>
      </c>
      <c r="Z500" s="35" t="s">
        <v>1842</v>
      </c>
      <c r="AA500" s="35" t="s">
        <v>630</v>
      </c>
      <c r="AB500" s="31" t="s">
        <v>1950</v>
      </c>
      <c r="AC500" s="529">
        <f>AC501</f>
        <v>0</v>
      </c>
      <c r="AD500" s="513">
        <v>0</v>
      </c>
      <c r="AE500" s="513" t="s">
        <v>13441</v>
      </c>
      <c r="AF500" s="513" t="s">
        <v>215</v>
      </c>
      <c r="AG500" s="514" t="s">
        <v>1951</v>
      </c>
      <c r="AH500" s="522">
        <f t="shared" si="56"/>
        <v>0</v>
      </c>
      <c r="AI500" s="10"/>
      <c r="AJ500" s="9">
        <f t="shared" si="57"/>
        <v>0</v>
      </c>
      <c r="AK500" s="10"/>
      <c r="AL500" s="10"/>
    </row>
    <row r="501" spans="1:38" ht="22.5" hidden="1">
      <c r="A501" s="1">
        <f t="shared" si="55"/>
        <v>0</v>
      </c>
      <c r="B501" s="2" t="s">
        <v>1952</v>
      </c>
      <c r="C501" s="3" t="s">
        <v>1949</v>
      </c>
      <c r="D501" s="15" t="s">
        <v>11529</v>
      </c>
      <c r="E501" s="4" t="s">
        <v>1952</v>
      </c>
      <c r="F501" s="37" t="s">
        <v>1949</v>
      </c>
      <c r="G501" s="38">
        <v>0</v>
      </c>
      <c r="H501" s="38">
        <v>0</v>
      </c>
      <c r="I501" s="15"/>
      <c r="J501" s="494">
        <v>10202180101</v>
      </c>
      <c r="K501" s="517"/>
      <c r="L501" s="517" t="s">
        <v>13441</v>
      </c>
      <c r="M501" s="517" t="s">
        <v>215</v>
      </c>
      <c r="N501" s="518" t="s">
        <v>1951</v>
      </c>
      <c r="O501" s="517">
        <v>1</v>
      </c>
      <c r="P501" s="517" t="s">
        <v>647</v>
      </c>
      <c r="Q501" s="517" t="s">
        <v>647</v>
      </c>
      <c r="R501" s="517" t="s">
        <v>1842</v>
      </c>
      <c r="S501" s="517" t="s">
        <v>632</v>
      </c>
      <c r="T501" s="518" t="s">
        <v>1950</v>
      </c>
      <c r="U501" s="38">
        <v>0</v>
      </c>
      <c r="V501" s="15" t="str">
        <f t="shared" si="54"/>
        <v>102021801</v>
      </c>
      <c r="W501" s="39">
        <v>1</v>
      </c>
      <c r="X501" s="40" t="s">
        <v>647</v>
      </c>
      <c r="Y501" s="40" t="s">
        <v>647</v>
      </c>
      <c r="Z501" s="40" t="s">
        <v>1842</v>
      </c>
      <c r="AA501" s="40" t="s">
        <v>632</v>
      </c>
      <c r="AB501" s="41" t="s">
        <v>1950</v>
      </c>
      <c r="AC501" s="519">
        <f>H501</f>
        <v>0</v>
      </c>
      <c r="AD501" s="517">
        <v>0</v>
      </c>
      <c r="AE501" s="517" t="s">
        <v>13441</v>
      </c>
      <c r="AF501" s="517" t="s">
        <v>215</v>
      </c>
      <c r="AG501" s="520" t="s">
        <v>1951</v>
      </c>
      <c r="AH501" s="67">
        <f t="shared" si="56"/>
        <v>0</v>
      </c>
      <c r="AI501" s="10"/>
      <c r="AJ501" s="9">
        <f t="shared" si="57"/>
        <v>0</v>
      </c>
      <c r="AK501" s="10"/>
      <c r="AL501" s="10"/>
    </row>
    <row r="502" spans="1:38" ht="22.5" hidden="1">
      <c r="A502" s="1">
        <f t="shared" si="55"/>
        <v>0</v>
      </c>
      <c r="C502" s="3" t="s">
        <v>1953</v>
      </c>
      <c r="D502" s="15" t="s">
        <v>16</v>
      </c>
      <c r="E502" s="30"/>
      <c r="F502" s="31" t="s">
        <v>1954</v>
      </c>
      <c r="G502" s="32">
        <f>SUM(G503:G504)</f>
        <v>0</v>
      </c>
      <c r="H502" s="32">
        <f>SUM(H503:H504)</f>
        <v>0</v>
      </c>
      <c r="I502" s="15"/>
      <c r="J502" s="494"/>
      <c r="K502" s="513"/>
      <c r="L502" s="513"/>
      <c r="M502" s="513"/>
      <c r="N502" s="514"/>
      <c r="O502" s="513"/>
      <c r="P502" s="513"/>
      <c r="Q502" s="513"/>
      <c r="R502" s="513"/>
      <c r="S502" s="513"/>
      <c r="T502" s="514"/>
      <c r="U502" s="32">
        <f>SUM(U503:U504)</f>
        <v>0</v>
      </c>
      <c r="V502" s="15" t="str">
        <f t="shared" si="54"/>
        <v>102021900</v>
      </c>
      <c r="W502" s="33">
        <v>1</v>
      </c>
      <c r="X502" s="34" t="s">
        <v>647</v>
      </c>
      <c r="Y502" s="34" t="s">
        <v>647</v>
      </c>
      <c r="Z502" s="35" t="s">
        <v>1846</v>
      </c>
      <c r="AA502" s="35" t="s">
        <v>630</v>
      </c>
      <c r="AB502" s="31" t="s">
        <v>1954</v>
      </c>
      <c r="AC502" s="529">
        <f>SUM(AC503:AC504)</f>
        <v>0</v>
      </c>
      <c r="AD502" s="513">
        <v>0</v>
      </c>
      <c r="AE502" s="513" t="s">
        <v>13442</v>
      </c>
      <c r="AF502" s="513" t="s">
        <v>216</v>
      </c>
      <c r="AG502" s="514" t="s">
        <v>1955</v>
      </c>
      <c r="AH502" s="522">
        <f t="shared" si="56"/>
        <v>0</v>
      </c>
      <c r="AI502" s="10"/>
      <c r="AJ502" s="9">
        <f t="shared" si="57"/>
        <v>0</v>
      </c>
      <c r="AK502" s="10"/>
      <c r="AL502" s="10"/>
    </row>
    <row r="503" spans="1:38" ht="22.5" hidden="1">
      <c r="A503" s="1">
        <f t="shared" si="55"/>
        <v>0</v>
      </c>
      <c r="B503" s="2" t="s">
        <v>1956</v>
      </c>
      <c r="C503" s="3" t="s">
        <v>1957</v>
      </c>
      <c r="D503" s="15" t="s">
        <v>11530</v>
      </c>
      <c r="E503" s="4" t="s">
        <v>1956</v>
      </c>
      <c r="F503" s="37" t="s">
        <v>1957</v>
      </c>
      <c r="G503" s="38">
        <v>0</v>
      </c>
      <c r="H503" s="38">
        <v>0</v>
      </c>
      <c r="I503" s="15"/>
      <c r="J503" s="494">
        <v>10202190101</v>
      </c>
      <c r="K503" s="517"/>
      <c r="L503" s="517" t="s">
        <v>13442</v>
      </c>
      <c r="M503" s="517" t="s">
        <v>216</v>
      </c>
      <c r="N503" s="518" t="s">
        <v>1955</v>
      </c>
      <c r="O503" s="517">
        <v>1</v>
      </c>
      <c r="P503" s="517" t="s">
        <v>647</v>
      </c>
      <c r="Q503" s="517" t="s">
        <v>647</v>
      </c>
      <c r="R503" s="517" t="s">
        <v>1846</v>
      </c>
      <c r="S503" s="517" t="s">
        <v>632</v>
      </c>
      <c r="T503" s="518" t="s">
        <v>1958</v>
      </c>
      <c r="U503" s="38">
        <v>0</v>
      </c>
      <c r="V503" s="15" t="str">
        <f t="shared" si="54"/>
        <v>102021901</v>
      </c>
      <c r="W503" s="39">
        <v>1</v>
      </c>
      <c r="X503" s="40" t="s">
        <v>647</v>
      </c>
      <c r="Y503" s="40" t="s">
        <v>647</v>
      </c>
      <c r="Z503" s="40" t="s">
        <v>1846</v>
      </c>
      <c r="AA503" s="40" t="s">
        <v>632</v>
      </c>
      <c r="AB503" s="42" t="s">
        <v>1958</v>
      </c>
      <c r="AC503" s="519">
        <f>H503</f>
        <v>0</v>
      </c>
      <c r="AD503" s="517">
        <v>0</v>
      </c>
      <c r="AE503" s="517" t="s">
        <v>13442</v>
      </c>
      <c r="AF503" s="517" t="s">
        <v>216</v>
      </c>
      <c r="AG503" s="518" t="s">
        <v>1955</v>
      </c>
      <c r="AH503" s="67">
        <f t="shared" si="56"/>
        <v>0</v>
      </c>
      <c r="AI503" s="10"/>
      <c r="AJ503" s="9">
        <f t="shared" si="57"/>
        <v>0</v>
      </c>
      <c r="AK503" s="10"/>
      <c r="AL503" s="10"/>
    </row>
    <row r="504" spans="1:38" ht="22.5" hidden="1">
      <c r="A504" s="1">
        <f t="shared" si="55"/>
        <v>0</v>
      </c>
      <c r="B504" s="2" t="s">
        <v>1959</v>
      </c>
      <c r="C504" s="3" t="s">
        <v>1953</v>
      </c>
      <c r="D504" s="15" t="s">
        <v>11531</v>
      </c>
      <c r="E504" s="4" t="s">
        <v>1959</v>
      </c>
      <c r="F504" s="37" t="s">
        <v>1953</v>
      </c>
      <c r="G504" s="38">
        <v>0</v>
      </c>
      <c r="H504" s="38">
        <v>0</v>
      </c>
      <c r="I504" s="15"/>
      <c r="J504" s="494">
        <v>10202190201</v>
      </c>
      <c r="K504" s="517"/>
      <c r="L504" s="517" t="s">
        <v>13442</v>
      </c>
      <c r="M504" s="517" t="s">
        <v>216</v>
      </c>
      <c r="N504" s="518" t="s">
        <v>1955</v>
      </c>
      <c r="O504" s="517">
        <v>1</v>
      </c>
      <c r="P504" s="517" t="s">
        <v>647</v>
      </c>
      <c r="Q504" s="517" t="s">
        <v>647</v>
      </c>
      <c r="R504" s="517" t="s">
        <v>1846</v>
      </c>
      <c r="S504" s="517" t="s">
        <v>647</v>
      </c>
      <c r="T504" s="518" t="s">
        <v>1954</v>
      </c>
      <c r="U504" s="38">
        <v>0</v>
      </c>
      <c r="V504" s="15" t="str">
        <f t="shared" si="54"/>
        <v>102021902</v>
      </c>
      <c r="W504" s="39">
        <v>1</v>
      </c>
      <c r="X504" s="40" t="s">
        <v>647</v>
      </c>
      <c r="Y504" s="40" t="s">
        <v>647</v>
      </c>
      <c r="Z504" s="40" t="s">
        <v>1846</v>
      </c>
      <c r="AA504" s="40" t="s">
        <v>647</v>
      </c>
      <c r="AB504" s="41" t="s">
        <v>1954</v>
      </c>
      <c r="AC504" s="519">
        <f>H504</f>
        <v>0</v>
      </c>
      <c r="AD504" s="517">
        <v>0</v>
      </c>
      <c r="AE504" s="517" t="s">
        <v>13442</v>
      </c>
      <c r="AF504" s="517" t="s">
        <v>216</v>
      </c>
      <c r="AG504" s="520" t="s">
        <v>1955</v>
      </c>
      <c r="AH504" s="67">
        <f t="shared" si="56"/>
        <v>0</v>
      </c>
      <c r="AI504" s="10"/>
      <c r="AJ504" s="9">
        <f t="shared" si="57"/>
        <v>0</v>
      </c>
      <c r="AK504" s="10"/>
      <c r="AL504" s="10"/>
    </row>
    <row r="505" spans="1:38" hidden="1">
      <c r="A505" s="1">
        <f t="shared" si="55"/>
        <v>0</v>
      </c>
      <c r="C505" s="3" t="s">
        <v>1960</v>
      </c>
      <c r="D505" s="15" t="s">
        <v>16</v>
      </c>
      <c r="E505" s="30"/>
      <c r="F505" s="31" t="s">
        <v>1961</v>
      </c>
      <c r="G505" s="32">
        <f>SUM(G506:G525)</f>
        <v>466813.33</v>
      </c>
      <c r="H505" s="32">
        <f>SUM(H506:H525)</f>
        <v>1208592.2</v>
      </c>
      <c r="I505" s="15"/>
      <c r="J505" s="494"/>
      <c r="K505" s="513"/>
      <c r="L505" s="513"/>
      <c r="M505" s="513"/>
      <c r="N505" s="514"/>
      <c r="O505" s="513"/>
      <c r="P505" s="513"/>
      <c r="Q505" s="513"/>
      <c r="R505" s="513"/>
      <c r="S505" s="513"/>
      <c r="T505" s="514"/>
      <c r="U505" s="32">
        <f>SUM(U506:U525)</f>
        <v>1208592.2</v>
      </c>
      <c r="V505" s="15" t="str">
        <f t="shared" si="54"/>
        <v>102022000</v>
      </c>
      <c r="W505" s="33">
        <v>1</v>
      </c>
      <c r="X505" s="34" t="s">
        <v>647</v>
      </c>
      <c r="Y505" s="34" t="s">
        <v>647</v>
      </c>
      <c r="Z505" s="35" t="s">
        <v>1850</v>
      </c>
      <c r="AA505" s="35" t="s">
        <v>630</v>
      </c>
      <c r="AB505" s="31" t="s">
        <v>1961</v>
      </c>
      <c r="AC505" s="529">
        <f>SUM(AC506:AC525)</f>
        <v>1208592.2</v>
      </c>
      <c r="AD505" s="513">
        <v>0</v>
      </c>
      <c r="AE505" s="513" t="s">
        <v>13443</v>
      </c>
      <c r="AF505" s="513" t="s">
        <v>217</v>
      </c>
      <c r="AG505" s="514" t="s">
        <v>1962</v>
      </c>
      <c r="AH505" s="522">
        <f t="shared" si="56"/>
        <v>1208592.2</v>
      </c>
      <c r="AI505" s="10"/>
      <c r="AJ505" s="9">
        <f t="shared" si="57"/>
        <v>0</v>
      </c>
      <c r="AK505" s="10"/>
      <c r="AL505" s="10"/>
    </row>
    <row r="506" spans="1:38" hidden="1">
      <c r="A506" s="1">
        <f t="shared" si="55"/>
        <v>0</v>
      </c>
      <c r="B506" s="2" t="s">
        <v>1963</v>
      </c>
      <c r="C506" s="3" t="s">
        <v>1964</v>
      </c>
      <c r="D506" s="15" t="s">
        <v>11532</v>
      </c>
      <c r="E506" s="4" t="s">
        <v>1963</v>
      </c>
      <c r="F506" s="37" t="s">
        <v>1964</v>
      </c>
      <c r="G506" s="38">
        <v>0</v>
      </c>
      <c r="H506" s="38">
        <v>0</v>
      </c>
      <c r="I506" s="15"/>
      <c r="J506" s="494">
        <v>10202200101</v>
      </c>
      <c r="K506" s="517"/>
      <c r="L506" s="517" t="s">
        <v>13443</v>
      </c>
      <c r="M506" s="517" t="s">
        <v>217</v>
      </c>
      <c r="N506" s="518" t="s">
        <v>1962</v>
      </c>
      <c r="O506" s="517">
        <v>1</v>
      </c>
      <c r="P506" s="517" t="s">
        <v>647</v>
      </c>
      <c r="Q506" s="517" t="s">
        <v>647</v>
      </c>
      <c r="R506" s="517" t="s">
        <v>1850</v>
      </c>
      <c r="S506" s="517" t="s">
        <v>632</v>
      </c>
      <c r="T506" s="518" t="s">
        <v>1965</v>
      </c>
      <c r="U506" s="38">
        <v>0</v>
      </c>
      <c r="V506" s="15" t="str">
        <f t="shared" si="54"/>
        <v>102022001</v>
      </c>
      <c r="W506" s="39">
        <v>1</v>
      </c>
      <c r="X506" s="40" t="s">
        <v>647</v>
      </c>
      <c r="Y506" s="40" t="s">
        <v>647</v>
      </c>
      <c r="Z506" s="40" t="s">
        <v>1850</v>
      </c>
      <c r="AA506" s="40" t="s">
        <v>632</v>
      </c>
      <c r="AB506" s="42" t="s">
        <v>1965</v>
      </c>
      <c r="AC506" s="519">
        <f>H506</f>
        <v>0</v>
      </c>
      <c r="AD506" s="517">
        <v>0</v>
      </c>
      <c r="AE506" s="517" t="s">
        <v>13443</v>
      </c>
      <c r="AF506" s="517" t="s">
        <v>217</v>
      </c>
      <c r="AG506" s="518" t="s">
        <v>1962</v>
      </c>
      <c r="AH506" s="67">
        <f t="shared" si="56"/>
        <v>0</v>
      </c>
      <c r="AI506" s="10"/>
      <c r="AJ506" s="9">
        <f t="shared" si="57"/>
        <v>0</v>
      </c>
      <c r="AK506" s="10"/>
      <c r="AL506" s="10"/>
    </row>
    <row r="507" spans="1:38" ht="22.5" hidden="1">
      <c r="A507" s="1">
        <f t="shared" si="55"/>
        <v>0</v>
      </c>
      <c r="B507" s="2" t="s">
        <v>1966</v>
      </c>
      <c r="C507" s="3" t="s">
        <v>1967</v>
      </c>
      <c r="D507" s="15" t="s">
        <v>11533</v>
      </c>
      <c r="E507" s="4" t="s">
        <v>1966</v>
      </c>
      <c r="F507" s="37" t="s">
        <v>1967</v>
      </c>
      <c r="G507" s="38">
        <v>0</v>
      </c>
      <c r="H507" s="38">
        <v>0</v>
      </c>
      <c r="I507" s="15"/>
      <c r="J507" s="494">
        <v>10202200201</v>
      </c>
      <c r="K507" s="517"/>
      <c r="L507" s="517" t="s">
        <v>13443</v>
      </c>
      <c r="M507" s="517" t="s">
        <v>217</v>
      </c>
      <c r="N507" s="518" t="s">
        <v>1962</v>
      </c>
      <c r="O507" s="517">
        <v>1</v>
      </c>
      <c r="P507" s="517" t="s">
        <v>647</v>
      </c>
      <c r="Q507" s="517" t="s">
        <v>647</v>
      </c>
      <c r="R507" s="517" t="s">
        <v>1850</v>
      </c>
      <c r="S507" s="517" t="s">
        <v>647</v>
      </c>
      <c r="T507" s="518" t="s">
        <v>1968</v>
      </c>
      <c r="U507" s="38">
        <v>0</v>
      </c>
      <c r="V507" s="15" t="str">
        <f t="shared" si="54"/>
        <v>102022002</v>
      </c>
      <c r="W507" s="39">
        <v>1</v>
      </c>
      <c r="X507" s="40" t="s">
        <v>647</v>
      </c>
      <c r="Y507" s="40" t="s">
        <v>647</v>
      </c>
      <c r="Z507" s="40" t="s">
        <v>1850</v>
      </c>
      <c r="AA507" s="40" t="s">
        <v>647</v>
      </c>
      <c r="AB507" s="42" t="s">
        <v>1968</v>
      </c>
      <c r="AC507" s="519">
        <f>SUM(H507:H509)</f>
        <v>0</v>
      </c>
      <c r="AD507" s="517">
        <v>0</v>
      </c>
      <c r="AE507" s="517" t="s">
        <v>13443</v>
      </c>
      <c r="AF507" s="517" t="s">
        <v>217</v>
      </c>
      <c r="AG507" s="518" t="s">
        <v>1962</v>
      </c>
      <c r="AH507" s="67">
        <f t="shared" si="56"/>
        <v>0</v>
      </c>
      <c r="AI507" s="10"/>
      <c r="AJ507" s="9">
        <f t="shared" si="57"/>
        <v>0</v>
      </c>
      <c r="AK507" s="10"/>
      <c r="AL507" s="10"/>
    </row>
    <row r="508" spans="1:38" ht="22.5" hidden="1">
      <c r="A508" s="1">
        <f t="shared" si="55"/>
        <v>0</v>
      </c>
      <c r="B508" s="2" t="s">
        <v>1969</v>
      </c>
      <c r="C508" s="3" t="s">
        <v>1970</v>
      </c>
      <c r="D508" s="15" t="s">
        <v>11533</v>
      </c>
      <c r="E508" s="4" t="s">
        <v>1969</v>
      </c>
      <c r="F508" s="37" t="s">
        <v>1970</v>
      </c>
      <c r="G508" s="38">
        <v>0</v>
      </c>
      <c r="H508" s="38">
        <v>0</v>
      </c>
      <c r="I508" s="15"/>
      <c r="J508" s="494">
        <v>10202200202</v>
      </c>
      <c r="K508" s="517"/>
      <c r="L508" s="517" t="s">
        <v>13443</v>
      </c>
      <c r="M508" s="517" t="s">
        <v>217</v>
      </c>
      <c r="N508" s="518" t="s">
        <v>1962</v>
      </c>
      <c r="O508" s="517">
        <v>1</v>
      </c>
      <c r="P508" s="517" t="s">
        <v>647</v>
      </c>
      <c r="Q508" s="517" t="s">
        <v>647</v>
      </c>
      <c r="R508" s="517" t="s">
        <v>1850</v>
      </c>
      <c r="S508" s="517" t="s">
        <v>647</v>
      </c>
      <c r="T508" s="518" t="s">
        <v>1968</v>
      </c>
      <c r="U508" s="38">
        <v>0</v>
      </c>
      <c r="V508" s="15" t="str">
        <f t="shared" si="54"/>
        <v/>
      </c>
      <c r="W508" s="1"/>
      <c r="X508" s="1"/>
      <c r="Y508" s="1"/>
      <c r="Z508" s="1"/>
      <c r="AA508" s="1"/>
      <c r="AB508" s="3"/>
      <c r="AC508" s="9"/>
      <c r="AD508" s="517" t="e">
        <v>#N/A</v>
      </c>
      <c r="AE508" s="517" t="e">
        <v>#N/A</v>
      </c>
      <c r="AF508" s="517" t="e">
        <v>#N/A</v>
      </c>
      <c r="AG508" s="520" t="e">
        <v>#N/A</v>
      </c>
      <c r="AH508" s="9"/>
      <c r="AI508" s="10"/>
      <c r="AJ508" s="9">
        <f t="shared" si="57"/>
        <v>0</v>
      </c>
      <c r="AK508" s="10"/>
      <c r="AL508" s="10"/>
    </row>
    <row r="509" spans="1:38" ht="22.5" hidden="1">
      <c r="A509" s="1">
        <f t="shared" si="55"/>
        <v>0</v>
      </c>
      <c r="B509" s="2" t="s">
        <v>1971</v>
      </c>
      <c r="C509" s="3" t="s">
        <v>1972</v>
      </c>
      <c r="D509" s="15" t="s">
        <v>11533</v>
      </c>
      <c r="E509" s="4" t="s">
        <v>1971</v>
      </c>
      <c r="F509" s="37" t="s">
        <v>1972</v>
      </c>
      <c r="G509" s="38">
        <v>0</v>
      </c>
      <c r="H509" s="38">
        <v>0</v>
      </c>
      <c r="I509" s="15"/>
      <c r="J509" s="494">
        <v>10202200203</v>
      </c>
      <c r="K509" s="517"/>
      <c r="L509" s="517" t="s">
        <v>13443</v>
      </c>
      <c r="M509" s="517" t="s">
        <v>217</v>
      </c>
      <c r="N509" s="518" t="s">
        <v>1962</v>
      </c>
      <c r="O509" s="517">
        <v>1</v>
      </c>
      <c r="P509" s="517" t="s">
        <v>647</v>
      </c>
      <c r="Q509" s="517" t="s">
        <v>647</v>
      </c>
      <c r="R509" s="517" t="s">
        <v>1850</v>
      </c>
      <c r="S509" s="517" t="s">
        <v>647</v>
      </c>
      <c r="T509" s="518" t="s">
        <v>1968</v>
      </c>
      <c r="U509" s="38">
        <v>0</v>
      </c>
      <c r="V509" s="15" t="str">
        <f t="shared" si="54"/>
        <v/>
      </c>
      <c r="W509" s="1"/>
      <c r="X509" s="1"/>
      <c r="Y509" s="1"/>
      <c r="Z509" s="1"/>
      <c r="AA509" s="1"/>
      <c r="AB509" s="3"/>
      <c r="AC509" s="9"/>
      <c r="AD509" s="517" t="e">
        <v>#N/A</v>
      </c>
      <c r="AE509" s="517" t="e">
        <v>#N/A</v>
      </c>
      <c r="AF509" s="517" t="e">
        <v>#N/A</v>
      </c>
      <c r="AG509" s="520" t="e">
        <v>#N/A</v>
      </c>
      <c r="AH509" s="9"/>
      <c r="AI509" s="10"/>
      <c r="AJ509" s="9">
        <f t="shared" si="57"/>
        <v>0</v>
      </c>
      <c r="AK509" s="10"/>
      <c r="AL509" s="10"/>
    </row>
    <row r="510" spans="1:38" hidden="1">
      <c r="A510" s="1">
        <f t="shared" si="55"/>
        <v>0</v>
      </c>
      <c r="B510" s="2" t="s">
        <v>1973</v>
      </c>
      <c r="C510" s="3" t="s">
        <v>1974</v>
      </c>
      <c r="D510" s="15" t="s">
        <v>11534</v>
      </c>
      <c r="E510" s="4" t="s">
        <v>1973</v>
      </c>
      <c r="F510" s="37" t="s">
        <v>1974</v>
      </c>
      <c r="G510" s="38">
        <v>0</v>
      </c>
      <c r="H510" s="38">
        <v>0</v>
      </c>
      <c r="I510" s="15"/>
      <c r="J510" s="494">
        <v>10202200301</v>
      </c>
      <c r="K510" s="517"/>
      <c r="L510" s="517" t="s">
        <v>13443</v>
      </c>
      <c r="M510" s="517" t="s">
        <v>217</v>
      </c>
      <c r="N510" s="518" t="s">
        <v>1962</v>
      </c>
      <c r="O510" s="517">
        <v>1</v>
      </c>
      <c r="P510" s="517" t="s">
        <v>647</v>
      </c>
      <c r="Q510" s="517" t="s">
        <v>647</v>
      </c>
      <c r="R510" s="517" t="s">
        <v>1850</v>
      </c>
      <c r="S510" s="517" t="s">
        <v>671</v>
      </c>
      <c r="T510" s="518" t="s">
        <v>1975</v>
      </c>
      <c r="U510" s="38">
        <v>0</v>
      </c>
      <c r="V510" s="15" t="str">
        <f t="shared" si="54"/>
        <v>102022003</v>
      </c>
      <c r="W510" s="39">
        <v>1</v>
      </c>
      <c r="X510" s="40" t="s">
        <v>647</v>
      </c>
      <c r="Y510" s="40" t="s">
        <v>647</v>
      </c>
      <c r="Z510" s="40" t="s">
        <v>1850</v>
      </c>
      <c r="AA510" s="40" t="s">
        <v>671</v>
      </c>
      <c r="AB510" s="42" t="s">
        <v>1975</v>
      </c>
      <c r="AC510" s="519">
        <f>H510</f>
        <v>0</v>
      </c>
      <c r="AD510" s="517">
        <v>0</v>
      </c>
      <c r="AE510" s="517" t="s">
        <v>13443</v>
      </c>
      <c r="AF510" s="517" t="s">
        <v>217</v>
      </c>
      <c r="AG510" s="518" t="s">
        <v>1962</v>
      </c>
      <c r="AH510" s="67">
        <f>AC510</f>
        <v>0</v>
      </c>
      <c r="AI510" s="10"/>
      <c r="AJ510" s="9">
        <f t="shared" si="57"/>
        <v>0</v>
      </c>
      <c r="AK510" s="10"/>
      <c r="AL510" s="10"/>
    </row>
    <row r="511" spans="1:38" hidden="1">
      <c r="A511" s="1">
        <f t="shared" si="55"/>
        <v>0</v>
      </c>
      <c r="B511" s="2" t="s">
        <v>1976</v>
      </c>
      <c r="C511" s="3" t="s">
        <v>1977</v>
      </c>
      <c r="D511" s="15" t="s">
        <v>11535</v>
      </c>
      <c r="E511" s="4" t="s">
        <v>1976</v>
      </c>
      <c r="F511" s="37" t="s">
        <v>1977</v>
      </c>
      <c r="G511" s="38">
        <v>110651.48</v>
      </c>
      <c r="H511" s="38">
        <v>13357.97</v>
      </c>
      <c r="I511" s="15"/>
      <c r="J511" s="494">
        <v>10202200401</v>
      </c>
      <c r="K511" s="517"/>
      <c r="L511" s="517" t="s">
        <v>13443</v>
      </c>
      <c r="M511" s="517" t="s">
        <v>217</v>
      </c>
      <c r="N511" s="518" t="s">
        <v>1962</v>
      </c>
      <c r="O511" s="517">
        <v>1</v>
      </c>
      <c r="P511" s="517" t="s">
        <v>647</v>
      </c>
      <c r="Q511" s="517" t="s">
        <v>647</v>
      </c>
      <c r="R511" s="517" t="s">
        <v>1850</v>
      </c>
      <c r="S511" s="517" t="s">
        <v>693</v>
      </c>
      <c r="T511" s="518" t="s">
        <v>1978</v>
      </c>
      <c r="U511" s="38">
        <v>13357.97</v>
      </c>
      <c r="V511" s="15" t="str">
        <f t="shared" si="54"/>
        <v>102022004</v>
      </c>
      <c r="W511" s="39">
        <v>1</v>
      </c>
      <c r="X511" s="40" t="s">
        <v>647</v>
      </c>
      <c r="Y511" s="40" t="s">
        <v>647</v>
      </c>
      <c r="Z511" s="40" t="s">
        <v>1850</v>
      </c>
      <c r="AA511" s="40" t="s">
        <v>693</v>
      </c>
      <c r="AB511" s="42" t="s">
        <v>1978</v>
      </c>
      <c r="AC511" s="519">
        <f>H511+H512</f>
        <v>18618.46</v>
      </c>
      <c r="AD511" s="517">
        <v>0</v>
      </c>
      <c r="AE511" s="517" t="s">
        <v>13443</v>
      </c>
      <c r="AF511" s="517" t="s">
        <v>217</v>
      </c>
      <c r="AG511" s="518" t="s">
        <v>1962</v>
      </c>
      <c r="AH511" s="67">
        <f>AC511</f>
        <v>18618.46</v>
      </c>
      <c r="AI511" s="10"/>
      <c r="AJ511" s="9"/>
      <c r="AK511" s="10"/>
      <c r="AL511" s="10"/>
    </row>
    <row r="512" spans="1:38" hidden="1">
      <c r="A512" s="1">
        <f t="shared" si="55"/>
        <v>0</v>
      </c>
      <c r="B512" s="2" t="s">
        <v>1979</v>
      </c>
      <c r="C512" s="3" t="s">
        <v>1980</v>
      </c>
      <c r="D512" s="15" t="s">
        <v>11535</v>
      </c>
      <c r="E512" s="4" t="s">
        <v>1979</v>
      </c>
      <c r="F512" s="37" t="s">
        <v>1980</v>
      </c>
      <c r="G512" s="38">
        <v>11563.95</v>
      </c>
      <c r="H512" s="38">
        <v>5260.49</v>
      </c>
      <c r="I512" s="15"/>
      <c r="J512" s="494">
        <v>10202200402</v>
      </c>
      <c r="L512" s="523" t="s">
        <v>13443</v>
      </c>
      <c r="M512" s="523" t="s">
        <v>217</v>
      </c>
      <c r="N512" s="518" t="s">
        <v>1962</v>
      </c>
      <c r="O512" s="523">
        <v>1</v>
      </c>
      <c r="P512" s="523" t="s">
        <v>647</v>
      </c>
      <c r="Q512" s="523" t="s">
        <v>647</v>
      </c>
      <c r="R512" s="523" t="s">
        <v>1850</v>
      </c>
      <c r="S512" s="523" t="s">
        <v>693</v>
      </c>
      <c r="T512" s="518" t="s">
        <v>1978</v>
      </c>
      <c r="U512" s="38">
        <v>5260.49</v>
      </c>
      <c r="V512" s="15" t="str">
        <f t="shared" si="54"/>
        <v/>
      </c>
      <c r="W512" s="10"/>
      <c r="X512" s="10"/>
      <c r="Y512" s="10"/>
      <c r="Z512" s="10"/>
      <c r="AA512" s="10"/>
      <c r="AB512" s="10"/>
      <c r="AC512" s="9"/>
      <c r="AD512" s="523" t="e">
        <v>#N/A</v>
      </c>
      <c r="AE512" s="523" t="e">
        <v>#N/A</v>
      </c>
      <c r="AF512" s="523" t="e">
        <v>#N/A</v>
      </c>
      <c r="AG512" s="524" t="e">
        <v>#N/A</v>
      </c>
      <c r="AH512" s="9"/>
      <c r="AI512" s="10"/>
      <c r="AJ512" s="9"/>
      <c r="AK512" s="10"/>
      <c r="AL512" s="10"/>
    </row>
    <row r="513" spans="1:38" ht="22.5" hidden="1">
      <c r="A513" s="1">
        <f t="shared" si="55"/>
        <v>0</v>
      </c>
      <c r="B513" s="2" t="s">
        <v>1981</v>
      </c>
      <c r="C513" s="3" t="s">
        <v>1982</v>
      </c>
      <c r="D513" s="15" t="s">
        <v>11536</v>
      </c>
      <c r="E513" s="4" t="s">
        <v>1981</v>
      </c>
      <c r="F513" s="37" t="s">
        <v>1982</v>
      </c>
      <c r="G513" s="38">
        <v>214.2</v>
      </c>
      <c r="H513" s="38">
        <v>214.2</v>
      </c>
      <c r="I513" s="15"/>
      <c r="J513" s="494">
        <v>10202200501</v>
      </c>
      <c r="K513" s="517"/>
      <c r="L513" s="517" t="s">
        <v>13443</v>
      </c>
      <c r="M513" s="517" t="s">
        <v>217</v>
      </c>
      <c r="N513" s="518" t="s">
        <v>1962</v>
      </c>
      <c r="O513" s="517">
        <v>1</v>
      </c>
      <c r="P513" s="517" t="s">
        <v>647</v>
      </c>
      <c r="Q513" s="517" t="s">
        <v>647</v>
      </c>
      <c r="R513" s="517" t="s">
        <v>1850</v>
      </c>
      <c r="S513" s="517" t="s">
        <v>714</v>
      </c>
      <c r="T513" s="518" t="s">
        <v>1983</v>
      </c>
      <c r="U513" s="38">
        <v>214.2</v>
      </c>
      <c r="V513" s="15" t="str">
        <f t="shared" si="54"/>
        <v>102022005</v>
      </c>
      <c r="W513" s="39">
        <v>1</v>
      </c>
      <c r="X513" s="40" t="s">
        <v>647</v>
      </c>
      <c r="Y513" s="40" t="s">
        <v>647</v>
      </c>
      <c r="Z513" s="40" t="s">
        <v>1850</v>
      </c>
      <c r="AA513" s="40" t="s">
        <v>714</v>
      </c>
      <c r="AB513" s="42" t="s">
        <v>1983</v>
      </c>
      <c r="AC513" s="519">
        <f>SUM(H513:H525)</f>
        <v>1189973.74</v>
      </c>
      <c r="AD513" s="517">
        <v>0</v>
      </c>
      <c r="AE513" s="517" t="s">
        <v>13443</v>
      </c>
      <c r="AF513" s="517" t="s">
        <v>217</v>
      </c>
      <c r="AG513" s="518" t="s">
        <v>1962</v>
      </c>
      <c r="AH513" s="67">
        <f>AC513</f>
        <v>1189973.74</v>
      </c>
      <c r="AI513" s="10"/>
      <c r="AJ513" s="9"/>
      <c r="AK513" s="10"/>
      <c r="AL513" s="10"/>
    </row>
    <row r="514" spans="1:38" ht="22.5" hidden="1">
      <c r="A514" s="1">
        <f t="shared" si="55"/>
        <v>0</v>
      </c>
      <c r="B514" s="2" t="s">
        <v>1984</v>
      </c>
      <c r="C514" s="3" t="s">
        <v>1985</v>
      </c>
      <c r="D514" s="15" t="s">
        <v>11536</v>
      </c>
      <c r="E514" s="4" t="s">
        <v>1984</v>
      </c>
      <c r="F514" s="37" t="s">
        <v>1985</v>
      </c>
      <c r="G514" s="38">
        <v>0</v>
      </c>
      <c r="H514" s="38">
        <v>0</v>
      </c>
      <c r="I514" s="15"/>
      <c r="J514" s="494">
        <v>10202200502</v>
      </c>
      <c r="K514" s="517"/>
      <c r="L514" s="517" t="s">
        <v>13443</v>
      </c>
      <c r="M514" s="517" t="s">
        <v>217</v>
      </c>
      <c r="N514" s="518" t="s">
        <v>1962</v>
      </c>
      <c r="O514" s="517">
        <v>1</v>
      </c>
      <c r="P514" s="517" t="s">
        <v>647</v>
      </c>
      <c r="Q514" s="517" t="s">
        <v>647</v>
      </c>
      <c r="R514" s="517" t="s">
        <v>1850</v>
      </c>
      <c r="S514" s="517" t="s">
        <v>714</v>
      </c>
      <c r="T514" s="518" t="s">
        <v>1983</v>
      </c>
      <c r="U514" s="38">
        <v>0</v>
      </c>
      <c r="V514" s="15" t="str">
        <f t="shared" si="54"/>
        <v/>
      </c>
      <c r="W514" s="1"/>
      <c r="X514" s="1"/>
      <c r="Y514" s="1"/>
      <c r="Z514" s="1"/>
      <c r="AA514" s="1"/>
      <c r="AB514" s="3"/>
      <c r="AC514" s="9"/>
      <c r="AD514" s="517" t="e">
        <v>#N/A</v>
      </c>
      <c r="AE514" s="517" t="e">
        <v>#N/A</v>
      </c>
      <c r="AF514" s="517" t="e">
        <v>#N/A</v>
      </c>
      <c r="AG514" s="520" t="e">
        <v>#N/A</v>
      </c>
      <c r="AH514" s="9"/>
      <c r="AI514" s="10"/>
      <c r="AJ514" s="9"/>
      <c r="AK514" s="10"/>
      <c r="AL514" s="10"/>
    </row>
    <row r="515" spans="1:38" ht="22.5" hidden="1">
      <c r="A515" s="1">
        <f t="shared" si="55"/>
        <v>0</v>
      </c>
      <c r="B515" s="2" t="s">
        <v>1986</v>
      </c>
      <c r="C515" s="3" t="s">
        <v>1987</v>
      </c>
      <c r="D515" s="15" t="s">
        <v>11536</v>
      </c>
      <c r="E515" s="4" t="s">
        <v>1986</v>
      </c>
      <c r="F515" s="37" t="s">
        <v>1987</v>
      </c>
      <c r="G515" s="38">
        <v>0</v>
      </c>
      <c r="H515" s="38">
        <v>0</v>
      </c>
      <c r="I515" s="15"/>
      <c r="J515" s="494">
        <v>10202200503</v>
      </c>
      <c r="K515" s="517"/>
      <c r="L515" s="517" t="s">
        <v>13443</v>
      </c>
      <c r="M515" s="517" t="s">
        <v>217</v>
      </c>
      <c r="N515" s="518" t="s">
        <v>1962</v>
      </c>
      <c r="O515" s="517">
        <v>1</v>
      </c>
      <c r="P515" s="517" t="s">
        <v>647</v>
      </c>
      <c r="Q515" s="517" t="s">
        <v>647</v>
      </c>
      <c r="R515" s="517" t="s">
        <v>1850</v>
      </c>
      <c r="S515" s="517" t="s">
        <v>714</v>
      </c>
      <c r="T515" s="518" t="s">
        <v>1983</v>
      </c>
      <c r="U515" s="38">
        <v>0</v>
      </c>
      <c r="V515" s="15" t="str">
        <f t="shared" ref="V515:V578" si="58">CONCATENATE(W515,X515,Y515,Z515,AA515)</f>
        <v/>
      </c>
      <c r="W515" s="1"/>
      <c r="X515" s="1"/>
      <c r="Y515" s="1"/>
      <c r="Z515" s="1"/>
      <c r="AA515" s="1"/>
      <c r="AB515" s="3"/>
      <c r="AC515" s="9"/>
      <c r="AD515" s="517" t="e">
        <v>#N/A</v>
      </c>
      <c r="AE515" s="517" t="e">
        <v>#N/A</v>
      </c>
      <c r="AF515" s="517" t="e">
        <v>#N/A</v>
      </c>
      <c r="AG515" s="520" t="e">
        <v>#N/A</v>
      </c>
      <c r="AH515" s="9"/>
      <c r="AI515" s="10"/>
      <c r="AJ515" s="9"/>
      <c r="AK515" s="10"/>
      <c r="AL515" s="10"/>
    </row>
    <row r="516" spans="1:38" ht="22.5" hidden="1">
      <c r="A516" s="1">
        <f t="shared" si="55"/>
        <v>0</v>
      </c>
      <c r="B516" s="2" t="s">
        <v>1988</v>
      </c>
      <c r="C516" s="3" t="s">
        <v>1989</v>
      </c>
      <c r="D516" s="15" t="s">
        <v>11536</v>
      </c>
      <c r="E516" s="4" t="s">
        <v>1988</v>
      </c>
      <c r="F516" s="37" t="s">
        <v>1989</v>
      </c>
      <c r="G516" s="38">
        <v>321367.59999999998</v>
      </c>
      <c r="H516" s="38">
        <v>321367.59999999998</v>
      </c>
      <c r="I516" s="15"/>
      <c r="J516" s="494">
        <v>10202200504</v>
      </c>
      <c r="K516" s="517"/>
      <c r="L516" s="517" t="s">
        <v>13443</v>
      </c>
      <c r="M516" s="517" t="s">
        <v>217</v>
      </c>
      <c r="N516" s="518" t="s">
        <v>1962</v>
      </c>
      <c r="O516" s="517">
        <v>1</v>
      </c>
      <c r="P516" s="517" t="s">
        <v>647</v>
      </c>
      <c r="Q516" s="517" t="s">
        <v>647</v>
      </c>
      <c r="R516" s="517" t="s">
        <v>1850</v>
      </c>
      <c r="S516" s="517" t="s">
        <v>714</v>
      </c>
      <c r="T516" s="518" t="s">
        <v>1983</v>
      </c>
      <c r="U516" s="38">
        <v>321367.59999999998</v>
      </c>
      <c r="V516" s="15" t="str">
        <f t="shared" si="58"/>
        <v/>
      </c>
      <c r="W516" s="1"/>
      <c r="X516" s="1"/>
      <c r="Y516" s="1"/>
      <c r="Z516" s="1"/>
      <c r="AA516" s="1"/>
      <c r="AB516" s="3"/>
      <c r="AC516" s="9"/>
      <c r="AD516" s="517" t="e">
        <v>#N/A</v>
      </c>
      <c r="AE516" s="517" t="e">
        <v>#N/A</v>
      </c>
      <c r="AF516" s="517" t="e">
        <v>#N/A</v>
      </c>
      <c r="AG516" s="520" t="e">
        <v>#N/A</v>
      </c>
      <c r="AH516" s="9"/>
      <c r="AI516" s="10"/>
      <c r="AJ516" s="9"/>
      <c r="AK516" s="10"/>
      <c r="AL516" s="10"/>
    </row>
    <row r="517" spans="1:38" ht="22.5" hidden="1">
      <c r="A517" s="1">
        <f t="shared" si="55"/>
        <v>0</v>
      </c>
      <c r="B517" s="2" t="s">
        <v>1990</v>
      </c>
      <c r="C517" s="3" t="s">
        <v>1991</v>
      </c>
      <c r="D517" s="15" t="s">
        <v>11536</v>
      </c>
      <c r="E517" s="4" t="s">
        <v>1990</v>
      </c>
      <c r="F517" s="37" t="s">
        <v>1991</v>
      </c>
      <c r="G517" s="38">
        <v>7535.81</v>
      </c>
      <c r="H517" s="38">
        <v>0</v>
      </c>
      <c r="I517" s="15"/>
      <c r="J517" s="494">
        <v>10202200506</v>
      </c>
      <c r="K517" s="517"/>
      <c r="L517" s="517" t="s">
        <v>13443</v>
      </c>
      <c r="M517" s="517" t="s">
        <v>217</v>
      </c>
      <c r="N517" s="518" t="s">
        <v>1962</v>
      </c>
      <c r="O517" s="517">
        <v>1</v>
      </c>
      <c r="P517" s="517" t="s">
        <v>647</v>
      </c>
      <c r="Q517" s="517" t="s">
        <v>647</v>
      </c>
      <c r="R517" s="517" t="s">
        <v>1850</v>
      </c>
      <c r="S517" s="517" t="s">
        <v>714</v>
      </c>
      <c r="T517" s="518" t="s">
        <v>1983</v>
      </c>
      <c r="U517" s="38">
        <v>0</v>
      </c>
      <c r="V517" s="15" t="str">
        <f t="shared" si="58"/>
        <v/>
      </c>
      <c r="W517" s="1"/>
      <c r="X517" s="1"/>
      <c r="Y517" s="1"/>
      <c r="Z517" s="1"/>
      <c r="AA517" s="1"/>
      <c r="AB517" s="3"/>
      <c r="AC517" s="9"/>
      <c r="AD517" s="517" t="e">
        <v>#N/A</v>
      </c>
      <c r="AE517" s="517" t="e">
        <v>#N/A</v>
      </c>
      <c r="AF517" s="517" t="e">
        <v>#N/A</v>
      </c>
      <c r="AG517" s="520" t="e">
        <v>#N/A</v>
      </c>
      <c r="AH517" s="9"/>
      <c r="AI517" s="10"/>
      <c r="AJ517" s="9"/>
      <c r="AK517" s="10"/>
      <c r="AL517" s="10"/>
    </row>
    <row r="518" spans="1:38" ht="22.5" hidden="1">
      <c r="A518" s="1">
        <f t="shared" si="55"/>
        <v>0</v>
      </c>
      <c r="B518" s="2" t="s">
        <v>1992</v>
      </c>
      <c r="C518" s="3" t="s">
        <v>1993</v>
      </c>
      <c r="D518" s="15" t="s">
        <v>11536</v>
      </c>
      <c r="E518" s="4" t="s">
        <v>1992</v>
      </c>
      <c r="F518" s="37" t="s">
        <v>1993</v>
      </c>
      <c r="G518" s="38">
        <v>0</v>
      </c>
      <c r="H518" s="38">
        <v>4448.72</v>
      </c>
      <c r="I518" s="15"/>
      <c r="J518" s="494">
        <v>10202200507</v>
      </c>
      <c r="K518" s="517"/>
      <c r="L518" s="517" t="s">
        <v>13443</v>
      </c>
      <c r="M518" s="517" t="s">
        <v>217</v>
      </c>
      <c r="N518" s="518" t="s">
        <v>1962</v>
      </c>
      <c r="O518" s="517">
        <v>1</v>
      </c>
      <c r="P518" s="517" t="s">
        <v>647</v>
      </c>
      <c r="Q518" s="517" t="s">
        <v>647</v>
      </c>
      <c r="R518" s="517" t="s">
        <v>1850</v>
      </c>
      <c r="S518" s="517" t="s">
        <v>714</v>
      </c>
      <c r="T518" s="518" t="s">
        <v>1983</v>
      </c>
      <c r="U518" s="38">
        <v>4448.72</v>
      </c>
      <c r="V518" s="15" t="str">
        <f t="shared" si="58"/>
        <v/>
      </c>
      <c r="W518" s="1"/>
      <c r="X518" s="1"/>
      <c r="Y518" s="1"/>
      <c r="Z518" s="1"/>
      <c r="AA518" s="1"/>
      <c r="AB518" s="3"/>
      <c r="AC518" s="9"/>
      <c r="AD518" s="517" t="e">
        <v>#N/A</v>
      </c>
      <c r="AE518" s="517" t="e">
        <v>#N/A</v>
      </c>
      <c r="AF518" s="517" t="e">
        <v>#N/A</v>
      </c>
      <c r="AG518" s="520" t="e">
        <v>#N/A</v>
      </c>
      <c r="AH518" s="9"/>
      <c r="AI518" s="10"/>
      <c r="AJ518" s="9"/>
      <c r="AK518" s="10"/>
      <c r="AL518" s="10"/>
    </row>
    <row r="519" spans="1:38" ht="22.5" hidden="1">
      <c r="A519" s="1">
        <f t="shared" si="55"/>
        <v>0</v>
      </c>
      <c r="B519" s="2" t="s">
        <v>1994</v>
      </c>
      <c r="C519" s="3" t="s">
        <v>1995</v>
      </c>
      <c r="D519" s="15" t="s">
        <v>11536</v>
      </c>
      <c r="E519" s="4" t="s">
        <v>1994</v>
      </c>
      <c r="F519" s="37" t="s">
        <v>1995</v>
      </c>
      <c r="G519" s="38">
        <v>1093.7</v>
      </c>
      <c r="H519" s="38">
        <v>642.96</v>
      </c>
      <c r="I519" s="15"/>
      <c r="J519" s="494">
        <v>10202200508</v>
      </c>
      <c r="K519" s="517"/>
      <c r="L519" s="517" t="s">
        <v>13443</v>
      </c>
      <c r="M519" s="517" t="s">
        <v>217</v>
      </c>
      <c r="N519" s="518" t="s">
        <v>1962</v>
      </c>
      <c r="O519" s="517">
        <v>1</v>
      </c>
      <c r="P519" s="517" t="s">
        <v>647</v>
      </c>
      <c r="Q519" s="517" t="s">
        <v>647</v>
      </c>
      <c r="R519" s="517" t="s">
        <v>1850</v>
      </c>
      <c r="S519" s="517" t="s">
        <v>714</v>
      </c>
      <c r="T519" s="518" t="s">
        <v>1983</v>
      </c>
      <c r="U519" s="38">
        <v>642.96</v>
      </c>
      <c r="V519" s="15" t="str">
        <f t="shared" si="58"/>
        <v/>
      </c>
      <c r="W519" s="1"/>
      <c r="X519" s="1"/>
      <c r="Y519" s="1"/>
      <c r="Z519" s="1"/>
      <c r="AA519" s="1"/>
      <c r="AB519" s="3"/>
      <c r="AC519" s="9"/>
      <c r="AD519" s="517" t="e">
        <v>#N/A</v>
      </c>
      <c r="AE519" s="517" t="e">
        <v>#N/A</v>
      </c>
      <c r="AF519" s="517" t="e">
        <v>#N/A</v>
      </c>
      <c r="AG519" s="520" t="e">
        <v>#N/A</v>
      </c>
      <c r="AH519" s="9"/>
      <c r="AI519" s="10"/>
      <c r="AJ519" s="9"/>
      <c r="AK519" s="10"/>
      <c r="AL519" s="10"/>
    </row>
    <row r="520" spans="1:38" ht="22.5" hidden="1">
      <c r="A520" s="1">
        <f t="shared" si="55"/>
        <v>0</v>
      </c>
      <c r="B520" s="2" t="s">
        <v>1996</v>
      </c>
      <c r="C520" s="3" t="s">
        <v>1997</v>
      </c>
      <c r="D520" s="15" t="s">
        <v>11536</v>
      </c>
      <c r="E520" s="4" t="s">
        <v>1996</v>
      </c>
      <c r="F520" s="37" t="s">
        <v>1997</v>
      </c>
      <c r="G520" s="38">
        <v>14386.59</v>
      </c>
      <c r="H520" s="38">
        <v>863300.26</v>
      </c>
      <c r="I520" s="15"/>
      <c r="J520" s="494">
        <v>10202200509</v>
      </c>
      <c r="K520" s="517"/>
      <c r="L520" s="517" t="s">
        <v>13443</v>
      </c>
      <c r="M520" s="517" t="s">
        <v>217</v>
      </c>
      <c r="N520" s="518" t="s">
        <v>1962</v>
      </c>
      <c r="O520" s="517">
        <v>1</v>
      </c>
      <c r="P520" s="517" t="s">
        <v>647</v>
      </c>
      <c r="Q520" s="517" t="s">
        <v>647</v>
      </c>
      <c r="R520" s="517" t="s">
        <v>1850</v>
      </c>
      <c r="S520" s="517" t="s">
        <v>714</v>
      </c>
      <c r="T520" s="518" t="s">
        <v>1983</v>
      </c>
      <c r="U520" s="38">
        <v>863300.26</v>
      </c>
      <c r="V520" s="15" t="str">
        <f t="shared" si="58"/>
        <v/>
      </c>
      <c r="W520" s="1"/>
      <c r="X520" s="1"/>
      <c r="Y520" s="1"/>
      <c r="Z520" s="1"/>
      <c r="AA520" s="1"/>
      <c r="AB520" s="3"/>
      <c r="AC520" s="9"/>
      <c r="AD520" s="517" t="e">
        <v>#N/A</v>
      </c>
      <c r="AE520" s="517" t="e">
        <v>#N/A</v>
      </c>
      <c r="AF520" s="517" t="e">
        <v>#N/A</v>
      </c>
      <c r="AG520" s="520" t="e">
        <v>#N/A</v>
      </c>
      <c r="AH520" s="9"/>
      <c r="AI520" s="10"/>
      <c r="AJ520" s="9"/>
      <c r="AK520" s="10"/>
      <c r="AL520" s="10"/>
    </row>
    <row r="521" spans="1:38" ht="22.5" hidden="1">
      <c r="A521" s="1">
        <f t="shared" si="55"/>
        <v>0</v>
      </c>
      <c r="B521" s="2" t="s">
        <v>1998</v>
      </c>
      <c r="C521" s="3" t="s">
        <v>1999</v>
      </c>
      <c r="D521" s="15" t="s">
        <v>11536</v>
      </c>
      <c r="E521" s="4" t="s">
        <v>1998</v>
      </c>
      <c r="F521" s="37" t="s">
        <v>1999</v>
      </c>
      <c r="G521" s="38">
        <v>0</v>
      </c>
      <c r="H521" s="38">
        <v>0</v>
      </c>
      <c r="I521" s="15"/>
      <c r="J521" s="494">
        <v>10202200510</v>
      </c>
      <c r="K521" s="517"/>
      <c r="L521" s="517" t="s">
        <v>13443</v>
      </c>
      <c r="M521" s="517" t="s">
        <v>217</v>
      </c>
      <c r="N521" s="518" t="s">
        <v>1962</v>
      </c>
      <c r="O521" s="517">
        <v>1</v>
      </c>
      <c r="P521" s="517" t="s">
        <v>647</v>
      </c>
      <c r="Q521" s="517" t="s">
        <v>647</v>
      </c>
      <c r="R521" s="517" t="s">
        <v>1850</v>
      </c>
      <c r="S521" s="517" t="s">
        <v>714</v>
      </c>
      <c r="T521" s="518" t="s">
        <v>1983</v>
      </c>
      <c r="U521" s="38">
        <v>0</v>
      </c>
      <c r="V521" s="15" t="str">
        <f t="shared" si="58"/>
        <v/>
      </c>
      <c r="W521" s="1"/>
      <c r="X521" s="1"/>
      <c r="Y521" s="1"/>
      <c r="Z521" s="1"/>
      <c r="AA521" s="1"/>
      <c r="AB521" s="3"/>
      <c r="AC521" s="9"/>
      <c r="AD521" s="517" t="e">
        <v>#N/A</v>
      </c>
      <c r="AE521" s="517" t="e">
        <v>#N/A</v>
      </c>
      <c r="AF521" s="517" t="e">
        <v>#N/A</v>
      </c>
      <c r="AG521" s="520" t="e">
        <v>#N/A</v>
      </c>
      <c r="AH521" s="9"/>
      <c r="AI521" s="10"/>
      <c r="AJ521" s="9"/>
      <c r="AK521" s="10"/>
      <c r="AL521" s="10"/>
    </row>
    <row r="522" spans="1:38" ht="22.5" hidden="1">
      <c r="A522" s="1">
        <f t="shared" si="55"/>
        <v>0</v>
      </c>
      <c r="B522" s="2" t="s">
        <v>2000</v>
      </c>
      <c r="C522" s="3" t="s">
        <v>2001</v>
      </c>
      <c r="D522" s="15" t="s">
        <v>11536</v>
      </c>
      <c r="E522" s="4" t="s">
        <v>2000</v>
      </c>
      <c r="F522" s="37" t="s">
        <v>2001</v>
      </c>
      <c r="G522" s="38">
        <v>0</v>
      </c>
      <c r="H522" s="38">
        <v>0</v>
      </c>
      <c r="I522" s="15"/>
      <c r="J522" s="494">
        <v>10202200511</v>
      </c>
      <c r="K522" s="517"/>
      <c r="L522" s="517" t="s">
        <v>13443</v>
      </c>
      <c r="M522" s="517" t="s">
        <v>217</v>
      </c>
      <c r="N522" s="518" t="s">
        <v>1962</v>
      </c>
      <c r="O522" s="517">
        <v>1</v>
      </c>
      <c r="P522" s="517" t="s">
        <v>647</v>
      </c>
      <c r="Q522" s="517" t="s">
        <v>647</v>
      </c>
      <c r="R522" s="517" t="s">
        <v>1850</v>
      </c>
      <c r="S522" s="517" t="s">
        <v>714</v>
      </c>
      <c r="T522" s="518" t="s">
        <v>1983</v>
      </c>
      <c r="U522" s="38">
        <v>0</v>
      </c>
      <c r="V522" s="15" t="str">
        <f t="shared" si="58"/>
        <v/>
      </c>
      <c r="W522" s="1"/>
      <c r="X522" s="1"/>
      <c r="Y522" s="1"/>
      <c r="Z522" s="1"/>
      <c r="AA522" s="1"/>
      <c r="AB522" s="3"/>
      <c r="AC522" s="9"/>
      <c r="AD522" s="517" t="e">
        <v>#N/A</v>
      </c>
      <c r="AE522" s="517" t="e">
        <v>#N/A</v>
      </c>
      <c r="AF522" s="517" t="e">
        <v>#N/A</v>
      </c>
      <c r="AG522" s="520" t="e">
        <v>#N/A</v>
      </c>
      <c r="AH522" s="9"/>
      <c r="AI522" s="10"/>
      <c r="AJ522" s="9"/>
      <c r="AK522" s="10"/>
      <c r="AL522" s="10"/>
    </row>
    <row r="523" spans="1:38" ht="22.5" hidden="1">
      <c r="A523" s="1">
        <f t="shared" ref="A523:A587" si="59">IF(E523=B523,0,1)</f>
        <v>0</v>
      </c>
      <c r="B523" s="2" t="s">
        <v>2002</v>
      </c>
      <c r="C523" s="3" t="s">
        <v>2003</v>
      </c>
      <c r="D523" s="15" t="s">
        <v>11536</v>
      </c>
      <c r="E523" s="4" t="s">
        <v>2002</v>
      </c>
      <c r="F523" s="37" t="s">
        <v>2003</v>
      </c>
      <c r="G523" s="38">
        <v>0</v>
      </c>
      <c r="H523" s="38">
        <v>0</v>
      </c>
      <c r="I523" s="15"/>
      <c r="J523" s="494">
        <v>10202200512</v>
      </c>
      <c r="K523" s="517"/>
      <c r="L523" s="517" t="s">
        <v>13443</v>
      </c>
      <c r="M523" s="517" t="s">
        <v>217</v>
      </c>
      <c r="N523" s="518" t="s">
        <v>1962</v>
      </c>
      <c r="O523" s="517">
        <v>1</v>
      </c>
      <c r="P523" s="517" t="s">
        <v>647</v>
      </c>
      <c r="Q523" s="517" t="s">
        <v>647</v>
      </c>
      <c r="R523" s="517" t="s">
        <v>1850</v>
      </c>
      <c r="S523" s="517" t="s">
        <v>714</v>
      </c>
      <c r="T523" s="518" t="s">
        <v>1983</v>
      </c>
      <c r="U523" s="38">
        <v>0</v>
      </c>
      <c r="V523" s="15" t="str">
        <f t="shared" si="58"/>
        <v/>
      </c>
      <c r="W523" s="1"/>
      <c r="X523" s="1"/>
      <c r="Y523" s="1"/>
      <c r="Z523" s="1"/>
      <c r="AA523" s="1"/>
      <c r="AB523" s="3"/>
      <c r="AC523" s="9"/>
      <c r="AD523" s="517" t="e">
        <v>#N/A</v>
      </c>
      <c r="AE523" s="517" t="e">
        <v>#N/A</v>
      </c>
      <c r="AF523" s="517" t="e">
        <v>#N/A</v>
      </c>
      <c r="AG523" s="520" t="e">
        <v>#N/A</v>
      </c>
      <c r="AH523" s="9"/>
      <c r="AI523" s="10"/>
      <c r="AJ523" s="9"/>
      <c r="AK523" s="10"/>
      <c r="AL523" s="10"/>
    </row>
    <row r="524" spans="1:38" ht="22.5" hidden="1">
      <c r="A524" s="1">
        <f t="shared" si="59"/>
        <v>0</v>
      </c>
      <c r="B524" s="2" t="s">
        <v>2004</v>
      </c>
      <c r="C524" s="3" t="s">
        <v>2005</v>
      </c>
      <c r="D524" s="15" t="s">
        <v>11536</v>
      </c>
      <c r="E524" s="4" t="s">
        <v>2004</v>
      </c>
      <c r="F524" s="37" t="s">
        <v>2005</v>
      </c>
      <c r="G524" s="38">
        <v>0</v>
      </c>
      <c r="H524" s="38">
        <v>0</v>
      </c>
      <c r="I524" s="15"/>
      <c r="J524" s="494">
        <v>10202200513</v>
      </c>
      <c r="K524" s="517"/>
      <c r="L524" s="517" t="s">
        <v>13443</v>
      </c>
      <c r="M524" s="517" t="s">
        <v>217</v>
      </c>
      <c r="N524" s="518" t="s">
        <v>1962</v>
      </c>
      <c r="O524" s="517">
        <v>1</v>
      </c>
      <c r="P524" s="517" t="s">
        <v>647</v>
      </c>
      <c r="Q524" s="517" t="s">
        <v>647</v>
      </c>
      <c r="R524" s="517" t="s">
        <v>1850</v>
      </c>
      <c r="S524" s="517" t="s">
        <v>714</v>
      </c>
      <c r="T524" s="518" t="s">
        <v>1983</v>
      </c>
      <c r="U524" s="38">
        <v>0</v>
      </c>
      <c r="V524" s="15" t="str">
        <f t="shared" si="58"/>
        <v/>
      </c>
      <c r="W524" s="1"/>
      <c r="X524" s="1"/>
      <c r="Y524" s="1"/>
      <c r="Z524" s="1"/>
      <c r="AA524" s="1"/>
      <c r="AB524" s="3"/>
      <c r="AC524" s="9"/>
      <c r="AD524" s="517" t="e">
        <v>#N/A</v>
      </c>
      <c r="AE524" s="517" t="e">
        <v>#N/A</v>
      </c>
      <c r="AF524" s="517" t="e">
        <v>#N/A</v>
      </c>
      <c r="AG524" s="520" t="e">
        <v>#N/A</v>
      </c>
      <c r="AH524" s="9"/>
      <c r="AI524" s="10"/>
      <c r="AJ524" s="9"/>
      <c r="AK524" s="10"/>
      <c r="AL524" s="10"/>
    </row>
    <row r="525" spans="1:38" ht="22.5" hidden="1">
      <c r="A525" s="1">
        <f t="shared" si="59"/>
        <v>0</v>
      </c>
      <c r="B525" s="2" t="s">
        <v>2006</v>
      </c>
      <c r="C525" s="3" t="s">
        <v>2007</v>
      </c>
      <c r="D525" s="15" t="s">
        <v>11536</v>
      </c>
      <c r="E525" s="4" t="s">
        <v>2006</v>
      </c>
      <c r="F525" s="37" t="s">
        <v>2007</v>
      </c>
      <c r="G525" s="38">
        <v>0</v>
      </c>
      <c r="H525" s="38">
        <v>0</v>
      </c>
      <c r="I525" s="15"/>
      <c r="J525" s="494">
        <v>10202200514</v>
      </c>
      <c r="K525" s="517"/>
      <c r="L525" s="517" t="s">
        <v>13443</v>
      </c>
      <c r="M525" s="517" t="s">
        <v>217</v>
      </c>
      <c r="N525" s="518" t="s">
        <v>1962</v>
      </c>
      <c r="O525" s="517">
        <v>1</v>
      </c>
      <c r="P525" s="517" t="s">
        <v>647</v>
      </c>
      <c r="Q525" s="517" t="s">
        <v>647</v>
      </c>
      <c r="R525" s="517" t="s">
        <v>1850</v>
      </c>
      <c r="S525" s="517" t="s">
        <v>714</v>
      </c>
      <c r="T525" s="518" t="s">
        <v>1983</v>
      </c>
      <c r="U525" s="38">
        <v>0</v>
      </c>
      <c r="V525" s="15" t="str">
        <f t="shared" si="58"/>
        <v/>
      </c>
      <c r="W525" s="1"/>
      <c r="X525" s="1"/>
      <c r="Y525" s="1"/>
      <c r="Z525" s="1"/>
      <c r="AA525" s="1"/>
      <c r="AB525" s="3"/>
      <c r="AC525" s="9"/>
      <c r="AD525" s="517" t="e">
        <v>#N/A</v>
      </c>
      <c r="AE525" s="517" t="e">
        <v>#N/A</v>
      </c>
      <c r="AF525" s="517" t="e">
        <v>#N/A</v>
      </c>
      <c r="AG525" s="520" t="e">
        <v>#N/A</v>
      </c>
      <c r="AH525" s="9"/>
      <c r="AI525" s="10"/>
      <c r="AJ525" s="9"/>
      <c r="AK525" s="10"/>
      <c r="AL525" s="10"/>
    </row>
    <row r="526" spans="1:38" ht="22.5" hidden="1">
      <c r="A526" s="1">
        <f t="shared" si="59"/>
        <v>0</v>
      </c>
      <c r="C526" s="3" t="s">
        <v>2008</v>
      </c>
      <c r="D526" s="15" t="s">
        <v>16</v>
      </c>
      <c r="E526" s="30"/>
      <c r="F526" s="31" t="s">
        <v>2009</v>
      </c>
      <c r="G526" s="32">
        <f>SUM(G527:G543)</f>
        <v>5663116.6000000006</v>
      </c>
      <c r="H526" s="32">
        <f>SUM(H527:H543)</f>
        <v>5824998.8599999994</v>
      </c>
      <c r="I526" s="15"/>
      <c r="J526" s="494"/>
      <c r="K526" s="513"/>
      <c r="L526" s="513"/>
      <c r="M526" s="513"/>
      <c r="N526" s="514"/>
      <c r="O526" s="513"/>
      <c r="P526" s="513"/>
      <c r="Q526" s="513"/>
      <c r="R526" s="513"/>
      <c r="S526" s="513"/>
      <c r="T526" s="514"/>
      <c r="U526" s="32">
        <f>SUM(U527:U543)</f>
        <v>5824998.8599999994</v>
      </c>
      <c r="V526" s="15" t="str">
        <f t="shared" si="58"/>
        <v>102022100</v>
      </c>
      <c r="W526" s="33">
        <v>1</v>
      </c>
      <c r="X526" s="34" t="s">
        <v>647</v>
      </c>
      <c r="Y526" s="34" t="s">
        <v>647</v>
      </c>
      <c r="Z526" s="35" t="s">
        <v>1855</v>
      </c>
      <c r="AA526" s="35" t="s">
        <v>630</v>
      </c>
      <c r="AB526" s="31" t="s">
        <v>2009</v>
      </c>
      <c r="AC526" s="529">
        <f>SUM(AC527:AC543)</f>
        <v>5824998.8599999994</v>
      </c>
      <c r="AD526" s="513">
        <v>0</v>
      </c>
      <c r="AE526" s="513" t="s">
        <v>13444</v>
      </c>
      <c r="AF526" s="513" t="s">
        <v>218</v>
      </c>
      <c r="AG526" s="514" t="s">
        <v>2010</v>
      </c>
      <c r="AH526" s="516">
        <f>AC526</f>
        <v>5824998.8599999994</v>
      </c>
      <c r="AI526" s="10"/>
      <c r="AJ526" s="9">
        <f>AH526-H526</f>
        <v>0</v>
      </c>
      <c r="AK526" s="10"/>
      <c r="AL526" s="10"/>
    </row>
    <row r="527" spans="1:38" ht="33.75" hidden="1">
      <c r="A527" s="1">
        <f t="shared" si="59"/>
        <v>0</v>
      </c>
      <c r="B527" s="2" t="s">
        <v>2011</v>
      </c>
      <c r="C527" s="3" t="s">
        <v>2012</v>
      </c>
      <c r="D527" s="15" t="s">
        <v>11537</v>
      </c>
      <c r="E527" s="4" t="s">
        <v>2011</v>
      </c>
      <c r="F527" s="37" t="s">
        <v>2012</v>
      </c>
      <c r="G527" s="38">
        <v>4094155.7</v>
      </c>
      <c r="H527" s="38">
        <v>4044751.5</v>
      </c>
      <c r="I527" s="15"/>
      <c r="J527" s="494">
        <v>10202210101</v>
      </c>
      <c r="K527" s="517"/>
      <c r="L527" s="517" t="s">
        <v>13444</v>
      </c>
      <c r="M527" s="517" t="s">
        <v>218</v>
      </c>
      <c r="N527" s="518" t="s">
        <v>2010</v>
      </c>
      <c r="O527" s="517">
        <v>1</v>
      </c>
      <c r="P527" s="517" t="s">
        <v>647</v>
      </c>
      <c r="Q527" s="517" t="s">
        <v>647</v>
      </c>
      <c r="R527" s="517" t="s">
        <v>1855</v>
      </c>
      <c r="S527" s="517" t="s">
        <v>632</v>
      </c>
      <c r="T527" s="518" t="s">
        <v>2009</v>
      </c>
      <c r="U527" s="38">
        <v>4044751.5</v>
      </c>
      <c r="V527" s="15" t="str">
        <f t="shared" si="58"/>
        <v>102022101</v>
      </c>
      <c r="W527" s="39">
        <v>1</v>
      </c>
      <c r="X527" s="40" t="s">
        <v>647</v>
      </c>
      <c r="Y527" s="40" t="s">
        <v>647</v>
      </c>
      <c r="Z527" s="40" t="s">
        <v>1855</v>
      </c>
      <c r="AA527" s="40" t="s">
        <v>632</v>
      </c>
      <c r="AB527" s="41" t="s">
        <v>2009</v>
      </c>
      <c r="AC527" s="519">
        <f>SUM(H527:H541)</f>
        <v>5824998.8599999994</v>
      </c>
      <c r="AD527" s="517">
        <v>0</v>
      </c>
      <c r="AE527" s="517" t="s">
        <v>13444</v>
      </c>
      <c r="AF527" s="517" t="s">
        <v>218</v>
      </c>
      <c r="AG527" s="520" t="s">
        <v>2010</v>
      </c>
      <c r="AH527" s="67">
        <f>AC527</f>
        <v>5824998.8599999994</v>
      </c>
      <c r="AI527" s="10"/>
      <c r="AJ527" s="9"/>
      <c r="AK527" s="10"/>
      <c r="AL527" s="10"/>
    </row>
    <row r="528" spans="1:38" ht="33.75" hidden="1">
      <c r="A528" s="1">
        <f t="shared" si="59"/>
        <v>0</v>
      </c>
      <c r="B528" s="2" t="s">
        <v>2013</v>
      </c>
      <c r="C528" s="3" t="s">
        <v>2014</v>
      </c>
      <c r="D528" s="15" t="s">
        <v>11537</v>
      </c>
      <c r="E528" s="4" t="s">
        <v>2013</v>
      </c>
      <c r="F528" s="37" t="s">
        <v>2014</v>
      </c>
      <c r="G528" s="38">
        <v>47251.96</v>
      </c>
      <c r="H528" s="38">
        <v>47251.96</v>
      </c>
      <c r="I528" s="15"/>
      <c r="J528" s="494">
        <v>10202210102</v>
      </c>
      <c r="K528" s="517"/>
      <c r="L528" s="517" t="s">
        <v>13444</v>
      </c>
      <c r="M528" s="517" t="s">
        <v>218</v>
      </c>
      <c r="N528" s="518" t="s">
        <v>2010</v>
      </c>
      <c r="O528" s="517">
        <v>1</v>
      </c>
      <c r="P528" s="517" t="s">
        <v>647</v>
      </c>
      <c r="Q528" s="517" t="s">
        <v>647</v>
      </c>
      <c r="R528" s="517" t="s">
        <v>1855</v>
      </c>
      <c r="S528" s="517" t="s">
        <v>632</v>
      </c>
      <c r="T528" s="518" t="s">
        <v>2009</v>
      </c>
      <c r="U528" s="38">
        <v>47251.96</v>
      </c>
      <c r="V528" s="15" t="str">
        <f t="shared" si="58"/>
        <v/>
      </c>
      <c r="W528" s="1"/>
      <c r="X528" s="1"/>
      <c r="Y528" s="1"/>
      <c r="Z528" s="1"/>
      <c r="AA528" s="1"/>
      <c r="AB528" s="3"/>
      <c r="AC528" s="9"/>
      <c r="AD528" s="517" t="e">
        <v>#N/A</v>
      </c>
      <c r="AE528" s="517" t="e">
        <v>#N/A</v>
      </c>
      <c r="AF528" s="517" t="e">
        <v>#N/A</v>
      </c>
      <c r="AG528" s="520" t="e">
        <v>#N/A</v>
      </c>
      <c r="AH528" s="9"/>
      <c r="AI528" s="10"/>
      <c r="AJ528" s="9"/>
      <c r="AK528" s="10"/>
      <c r="AL528" s="10"/>
    </row>
    <row r="529" spans="1:38" ht="22.5" hidden="1">
      <c r="A529" s="1">
        <f t="shared" si="59"/>
        <v>0</v>
      </c>
      <c r="B529" s="2" t="s">
        <v>2015</v>
      </c>
      <c r="C529" s="3" t="s">
        <v>2016</v>
      </c>
      <c r="D529" s="15" t="s">
        <v>11537</v>
      </c>
      <c r="E529" s="4" t="s">
        <v>2015</v>
      </c>
      <c r="F529" s="37" t="s">
        <v>2016</v>
      </c>
      <c r="G529" s="38">
        <v>71688.58</v>
      </c>
      <c r="H529" s="38">
        <v>71688.58</v>
      </c>
      <c r="I529" s="15"/>
      <c r="J529" s="494">
        <v>10202210103</v>
      </c>
      <c r="K529" s="517"/>
      <c r="L529" s="517" t="s">
        <v>13444</v>
      </c>
      <c r="M529" s="517" t="s">
        <v>218</v>
      </c>
      <c r="N529" s="518" t="s">
        <v>2010</v>
      </c>
      <c r="O529" s="517">
        <v>1</v>
      </c>
      <c r="P529" s="517" t="s">
        <v>647</v>
      </c>
      <c r="Q529" s="517" t="s">
        <v>647</v>
      </c>
      <c r="R529" s="517" t="s">
        <v>1855</v>
      </c>
      <c r="S529" s="517" t="s">
        <v>632</v>
      </c>
      <c r="T529" s="518" t="s">
        <v>2009</v>
      </c>
      <c r="U529" s="38">
        <v>71688.58</v>
      </c>
      <c r="V529" s="15" t="str">
        <f t="shared" si="58"/>
        <v/>
      </c>
      <c r="W529" s="1"/>
      <c r="X529" s="1"/>
      <c r="Y529" s="1"/>
      <c r="Z529" s="1"/>
      <c r="AA529" s="1"/>
      <c r="AB529" s="3"/>
      <c r="AC529" s="9"/>
      <c r="AD529" s="517" t="e">
        <v>#N/A</v>
      </c>
      <c r="AE529" s="517" t="e">
        <v>#N/A</v>
      </c>
      <c r="AF529" s="517" t="e">
        <v>#N/A</v>
      </c>
      <c r="AG529" s="520" t="e">
        <v>#N/A</v>
      </c>
      <c r="AH529" s="9"/>
      <c r="AI529" s="10"/>
      <c r="AJ529" s="9"/>
      <c r="AK529" s="10"/>
      <c r="AL529" s="10"/>
    </row>
    <row r="530" spans="1:38" ht="33.75" hidden="1">
      <c r="A530" s="1">
        <f t="shared" si="59"/>
        <v>0</v>
      </c>
      <c r="B530" s="2" t="s">
        <v>2017</v>
      </c>
      <c r="C530" s="3" t="s">
        <v>2018</v>
      </c>
      <c r="D530" s="15" t="s">
        <v>11537</v>
      </c>
      <c r="E530" s="4" t="s">
        <v>2017</v>
      </c>
      <c r="F530" s="37" t="s">
        <v>2019</v>
      </c>
      <c r="G530" s="38">
        <v>395670.15</v>
      </c>
      <c r="H530" s="38">
        <v>393991.72</v>
      </c>
      <c r="I530" s="15"/>
      <c r="J530" s="494">
        <v>10202210104</v>
      </c>
      <c r="K530" s="517"/>
      <c r="L530" s="517" t="s">
        <v>13444</v>
      </c>
      <c r="M530" s="517" t="s">
        <v>218</v>
      </c>
      <c r="N530" s="518" t="s">
        <v>2010</v>
      </c>
      <c r="O530" s="517">
        <v>1</v>
      </c>
      <c r="P530" s="517" t="s">
        <v>647</v>
      </c>
      <c r="Q530" s="517" t="s">
        <v>647</v>
      </c>
      <c r="R530" s="517" t="s">
        <v>1855</v>
      </c>
      <c r="S530" s="517" t="s">
        <v>632</v>
      </c>
      <c r="T530" s="518" t="s">
        <v>2009</v>
      </c>
      <c r="U530" s="38">
        <v>393991.72</v>
      </c>
      <c r="V530" s="15" t="str">
        <f t="shared" si="58"/>
        <v/>
      </c>
      <c r="W530" s="1"/>
      <c r="X530" s="1"/>
      <c r="Y530" s="1"/>
      <c r="Z530" s="1"/>
      <c r="AA530" s="1"/>
      <c r="AB530" s="3"/>
      <c r="AC530" s="9"/>
      <c r="AD530" s="517" t="e">
        <v>#N/A</v>
      </c>
      <c r="AE530" s="517" t="e">
        <v>#N/A</v>
      </c>
      <c r="AF530" s="517" t="e">
        <v>#N/A</v>
      </c>
      <c r="AG530" s="520" t="e">
        <v>#N/A</v>
      </c>
      <c r="AH530" s="9"/>
      <c r="AI530" s="10"/>
      <c r="AJ530" s="9"/>
      <c r="AK530" s="10"/>
      <c r="AL530" s="10"/>
    </row>
    <row r="531" spans="1:38" ht="33.75" hidden="1">
      <c r="A531" s="1">
        <f t="shared" si="59"/>
        <v>0</v>
      </c>
      <c r="B531" s="2" t="s">
        <v>2020</v>
      </c>
      <c r="C531" s="3" t="s">
        <v>2021</v>
      </c>
      <c r="D531" s="15" t="s">
        <v>11537</v>
      </c>
      <c r="E531" s="4" t="s">
        <v>2020</v>
      </c>
      <c r="F531" s="37" t="s">
        <v>2021</v>
      </c>
      <c r="G531" s="38">
        <v>0</v>
      </c>
      <c r="H531" s="38">
        <v>0</v>
      </c>
      <c r="I531" s="15"/>
      <c r="J531" s="494">
        <v>10202210105</v>
      </c>
      <c r="K531" s="517"/>
      <c r="L531" s="517" t="s">
        <v>13444</v>
      </c>
      <c r="M531" s="517" t="s">
        <v>218</v>
      </c>
      <c r="N531" s="518" t="s">
        <v>2010</v>
      </c>
      <c r="O531" s="517">
        <v>1</v>
      </c>
      <c r="P531" s="517" t="s">
        <v>647</v>
      </c>
      <c r="Q531" s="517" t="s">
        <v>647</v>
      </c>
      <c r="R531" s="517" t="s">
        <v>1855</v>
      </c>
      <c r="S531" s="517" t="s">
        <v>632</v>
      </c>
      <c r="T531" s="518" t="s">
        <v>2009</v>
      </c>
      <c r="U531" s="38">
        <v>0</v>
      </c>
      <c r="V531" s="15" t="str">
        <f t="shared" si="58"/>
        <v/>
      </c>
      <c r="W531" s="1"/>
      <c r="X531" s="1"/>
      <c r="Y531" s="1"/>
      <c r="Z531" s="1"/>
      <c r="AA531" s="1"/>
      <c r="AB531" s="3"/>
      <c r="AC531" s="9"/>
      <c r="AD531" s="517" t="e">
        <v>#N/A</v>
      </c>
      <c r="AE531" s="517" t="e">
        <v>#N/A</v>
      </c>
      <c r="AF531" s="517" t="e">
        <v>#N/A</v>
      </c>
      <c r="AG531" s="520" t="e">
        <v>#N/A</v>
      </c>
      <c r="AH531" s="9"/>
      <c r="AI531" s="10"/>
      <c r="AJ531" s="9"/>
      <c r="AK531" s="10"/>
      <c r="AL531" s="10"/>
    </row>
    <row r="532" spans="1:38" ht="22.5" hidden="1">
      <c r="A532" s="1">
        <f t="shared" si="59"/>
        <v>0</v>
      </c>
      <c r="B532" s="2" t="s">
        <v>2022</v>
      </c>
      <c r="C532" s="3" t="s">
        <v>2023</v>
      </c>
      <c r="D532" s="15" t="s">
        <v>11537</v>
      </c>
      <c r="E532" s="4" t="s">
        <v>2022</v>
      </c>
      <c r="F532" s="37" t="s">
        <v>2024</v>
      </c>
      <c r="G532" s="38">
        <v>747947.39</v>
      </c>
      <c r="H532" s="38">
        <v>968480.79</v>
      </c>
      <c r="I532" s="15"/>
      <c r="J532" s="494">
        <v>10202210106</v>
      </c>
      <c r="K532" s="517"/>
      <c r="L532" s="517" t="s">
        <v>13444</v>
      </c>
      <c r="M532" s="517" t="s">
        <v>218</v>
      </c>
      <c r="N532" s="518" t="s">
        <v>2010</v>
      </c>
      <c r="O532" s="517">
        <v>1</v>
      </c>
      <c r="P532" s="517" t="s">
        <v>647</v>
      </c>
      <c r="Q532" s="517" t="s">
        <v>647</v>
      </c>
      <c r="R532" s="517" t="s">
        <v>1855</v>
      </c>
      <c r="S532" s="517" t="s">
        <v>632</v>
      </c>
      <c r="T532" s="518" t="s">
        <v>2009</v>
      </c>
      <c r="U532" s="38">
        <v>968480.79</v>
      </c>
      <c r="V532" s="15" t="str">
        <f t="shared" si="58"/>
        <v/>
      </c>
      <c r="W532" s="1"/>
      <c r="X532" s="1"/>
      <c r="Y532" s="1"/>
      <c r="Z532" s="1"/>
      <c r="AA532" s="1"/>
      <c r="AB532" s="3"/>
      <c r="AC532" s="9"/>
      <c r="AD532" s="517" t="e">
        <v>#N/A</v>
      </c>
      <c r="AE532" s="517" t="e">
        <v>#N/A</v>
      </c>
      <c r="AF532" s="517" t="e">
        <v>#N/A</v>
      </c>
      <c r="AG532" s="520" t="e">
        <v>#N/A</v>
      </c>
      <c r="AH532" s="9"/>
      <c r="AI532" s="10"/>
      <c r="AJ532" s="9"/>
      <c r="AK532" s="10"/>
      <c r="AL532" s="10"/>
    </row>
    <row r="533" spans="1:38" ht="33.75" hidden="1">
      <c r="A533" s="1">
        <f t="shared" si="59"/>
        <v>0</v>
      </c>
      <c r="B533" s="2" t="s">
        <v>2025</v>
      </c>
      <c r="C533" s="3" t="s">
        <v>2026</v>
      </c>
      <c r="D533" s="15" t="s">
        <v>11537</v>
      </c>
      <c r="E533" s="4" t="s">
        <v>2025</v>
      </c>
      <c r="F533" s="37" t="s">
        <v>2026</v>
      </c>
      <c r="G533" s="38">
        <v>217403.91</v>
      </c>
      <c r="H533" s="38">
        <v>210063.97</v>
      </c>
      <c r="I533" s="15"/>
      <c r="J533" s="494">
        <v>10202210107</v>
      </c>
      <c r="K533" s="517"/>
      <c r="L533" s="517" t="s">
        <v>13444</v>
      </c>
      <c r="M533" s="517" t="s">
        <v>218</v>
      </c>
      <c r="N533" s="518" t="s">
        <v>2010</v>
      </c>
      <c r="O533" s="517">
        <v>1</v>
      </c>
      <c r="P533" s="517" t="s">
        <v>647</v>
      </c>
      <c r="Q533" s="517" t="s">
        <v>647</v>
      </c>
      <c r="R533" s="517" t="s">
        <v>1855</v>
      </c>
      <c r="S533" s="517" t="s">
        <v>632</v>
      </c>
      <c r="T533" s="518" t="s">
        <v>2009</v>
      </c>
      <c r="U533" s="38">
        <v>210063.97</v>
      </c>
      <c r="V533" s="15" t="str">
        <f t="shared" si="58"/>
        <v/>
      </c>
      <c r="W533" s="1"/>
      <c r="X533" s="1"/>
      <c r="Y533" s="1"/>
      <c r="Z533" s="1"/>
      <c r="AA533" s="1"/>
      <c r="AB533" s="3"/>
      <c r="AC533" s="9"/>
      <c r="AD533" s="517" t="e">
        <v>#N/A</v>
      </c>
      <c r="AE533" s="517" t="e">
        <v>#N/A</v>
      </c>
      <c r="AF533" s="517" t="e">
        <v>#N/A</v>
      </c>
      <c r="AG533" s="520" t="e">
        <v>#N/A</v>
      </c>
      <c r="AH533" s="9"/>
      <c r="AI533" s="10"/>
      <c r="AJ533" s="9"/>
      <c r="AK533" s="10"/>
      <c r="AL533" s="10"/>
    </row>
    <row r="534" spans="1:38" ht="22.5" hidden="1">
      <c r="A534" s="1">
        <f t="shared" si="59"/>
        <v>0</v>
      </c>
      <c r="B534" s="2" t="s">
        <v>2027</v>
      </c>
      <c r="C534" s="3" t="s">
        <v>2028</v>
      </c>
      <c r="D534" s="15" t="s">
        <v>11537</v>
      </c>
      <c r="E534" s="4" t="s">
        <v>2027</v>
      </c>
      <c r="F534" s="37" t="s">
        <v>2028</v>
      </c>
      <c r="G534" s="38">
        <v>1272.3599999999999</v>
      </c>
      <c r="H534" s="38">
        <v>1272.3599999999999</v>
      </c>
      <c r="I534" s="15"/>
      <c r="J534" s="494">
        <v>10202210108</v>
      </c>
      <c r="K534" s="517"/>
      <c r="L534" s="517" t="s">
        <v>13444</v>
      </c>
      <c r="M534" s="517" t="s">
        <v>218</v>
      </c>
      <c r="N534" s="518" t="s">
        <v>2010</v>
      </c>
      <c r="O534" s="517">
        <v>1</v>
      </c>
      <c r="P534" s="517" t="s">
        <v>647</v>
      </c>
      <c r="Q534" s="517" t="s">
        <v>647</v>
      </c>
      <c r="R534" s="517" t="s">
        <v>1855</v>
      </c>
      <c r="S534" s="517" t="s">
        <v>632</v>
      </c>
      <c r="T534" s="518" t="s">
        <v>2009</v>
      </c>
      <c r="U534" s="38">
        <v>1272.3599999999999</v>
      </c>
      <c r="V534" s="15" t="str">
        <f t="shared" si="58"/>
        <v/>
      </c>
      <c r="W534" s="1"/>
      <c r="X534" s="1"/>
      <c r="Y534" s="1"/>
      <c r="Z534" s="1"/>
      <c r="AA534" s="1"/>
      <c r="AB534" s="3"/>
      <c r="AC534" s="9"/>
      <c r="AD534" s="517" t="e">
        <v>#N/A</v>
      </c>
      <c r="AE534" s="517" t="e">
        <v>#N/A</v>
      </c>
      <c r="AF534" s="517" t="e">
        <v>#N/A</v>
      </c>
      <c r="AG534" s="520" t="e">
        <v>#N/A</v>
      </c>
      <c r="AH534" s="9"/>
      <c r="AI534" s="10"/>
      <c r="AJ534" s="9"/>
      <c r="AK534" s="10"/>
      <c r="AL534" s="10"/>
    </row>
    <row r="535" spans="1:38" ht="22.5" hidden="1">
      <c r="A535" s="1">
        <f t="shared" si="59"/>
        <v>0</v>
      </c>
      <c r="B535" s="2" t="s">
        <v>2029</v>
      </c>
      <c r="C535" s="3" t="s">
        <v>2030</v>
      </c>
      <c r="D535" s="15" t="s">
        <v>11537</v>
      </c>
      <c r="E535" s="4" t="s">
        <v>2029</v>
      </c>
      <c r="F535" s="37" t="s">
        <v>2030</v>
      </c>
      <c r="G535" s="38">
        <v>2801.02</v>
      </c>
      <c r="H535" s="38">
        <v>2801.02</v>
      </c>
      <c r="I535" s="15"/>
      <c r="J535" s="494">
        <v>10202210109</v>
      </c>
      <c r="K535" s="517"/>
      <c r="L535" s="517" t="s">
        <v>13444</v>
      </c>
      <c r="M535" s="517" t="s">
        <v>218</v>
      </c>
      <c r="N535" s="518" t="s">
        <v>2010</v>
      </c>
      <c r="O535" s="517">
        <v>1</v>
      </c>
      <c r="P535" s="517" t="s">
        <v>647</v>
      </c>
      <c r="Q535" s="517" t="s">
        <v>647</v>
      </c>
      <c r="R535" s="517" t="s">
        <v>1855</v>
      </c>
      <c r="S535" s="517" t="s">
        <v>632</v>
      </c>
      <c r="T535" s="518" t="s">
        <v>2009</v>
      </c>
      <c r="U535" s="38">
        <v>2801.02</v>
      </c>
      <c r="V535" s="15" t="str">
        <f t="shared" si="58"/>
        <v/>
      </c>
      <c r="W535" s="1"/>
      <c r="X535" s="1"/>
      <c r="Y535" s="1"/>
      <c r="Z535" s="1"/>
      <c r="AA535" s="1"/>
      <c r="AB535" s="3"/>
      <c r="AC535" s="9"/>
      <c r="AD535" s="517" t="e">
        <v>#N/A</v>
      </c>
      <c r="AE535" s="517" t="e">
        <v>#N/A</v>
      </c>
      <c r="AF535" s="517" t="e">
        <v>#N/A</v>
      </c>
      <c r="AG535" s="520" t="e">
        <v>#N/A</v>
      </c>
      <c r="AH535" s="9"/>
      <c r="AI535" s="10"/>
      <c r="AJ535" s="9"/>
      <c r="AK535" s="10"/>
      <c r="AL535" s="10"/>
    </row>
    <row r="536" spans="1:38" ht="22.5" hidden="1">
      <c r="A536" s="1">
        <f t="shared" si="59"/>
        <v>0</v>
      </c>
      <c r="B536" s="2" t="s">
        <v>2031</v>
      </c>
      <c r="C536" s="3" t="s">
        <v>2032</v>
      </c>
      <c r="D536" s="15" t="s">
        <v>11537</v>
      </c>
      <c r="E536" s="4" t="s">
        <v>2031</v>
      </c>
      <c r="F536" s="37" t="s">
        <v>2032</v>
      </c>
      <c r="G536" s="38">
        <v>3869.03</v>
      </c>
      <c r="H536" s="38">
        <v>3869.03</v>
      </c>
      <c r="I536" s="15"/>
      <c r="J536" s="494">
        <v>10202210110</v>
      </c>
      <c r="K536" s="517"/>
      <c r="L536" s="517" t="s">
        <v>13444</v>
      </c>
      <c r="M536" s="517" t="s">
        <v>218</v>
      </c>
      <c r="N536" s="518" t="s">
        <v>2010</v>
      </c>
      <c r="O536" s="517">
        <v>1</v>
      </c>
      <c r="P536" s="517" t="s">
        <v>647</v>
      </c>
      <c r="Q536" s="517" t="s">
        <v>647</v>
      </c>
      <c r="R536" s="517" t="s">
        <v>1855</v>
      </c>
      <c r="S536" s="517" t="s">
        <v>632</v>
      </c>
      <c r="T536" s="518" t="s">
        <v>2009</v>
      </c>
      <c r="U536" s="38">
        <v>3869.03</v>
      </c>
      <c r="V536" s="15" t="str">
        <f t="shared" si="58"/>
        <v/>
      </c>
      <c r="W536" s="1"/>
      <c r="X536" s="1"/>
      <c r="Y536" s="1"/>
      <c r="Z536" s="1"/>
      <c r="AA536" s="1"/>
      <c r="AB536" s="3"/>
      <c r="AC536" s="9"/>
      <c r="AD536" s="517" t="e">
        <v>#N/A</v>
      </c>
      <c r="AE536" s="517" t="e">
        <v>#N/A</v>
      </c>
      <c r="AF536" s="517" t="e">
        <v>#N/A</v>
      </c>
      <c r="AG536" s="520" t="e">
        <v>#N/A</v>
      </c>
      <c r="AH536" s="9"/>
      <c r="AI536" s="10"/>
      <c r="AJ536" s="9"/>
      <c r="AK536" s="10"/>
      <c r="AL536" s="10"/>
    </row>
    <row r="537" spans="1:38" ht="22.5" hidden="1">
      <c r="A537" s="1">
        <f t="shared" si="59"/>
        <v>0</v>
      </c>
      <c r="B537" s="2" t="s">
        <v>2033</v>
      </c>
      <c r="C537" s="3" t="s">
        <v>2034</v>
      </c>
      <c r="D537" s="15" t="s">
        <v>11537</v>
      </c>
      <c r="E537" s="4" t="s">
        <v>2033</v>
      </c>
      <c r="F537" s="37" t="s">
        <v>2034</v>
      </c>
      <c r="G537" s="38">
        <v>4844.99</v>
      </c>
      <c r="H537" s="38">
        <v>4844.99</v>
      </c>
      <c r="I537" s="15"/>
      <c r="J537" s="494">
        <v>10202210111</v>
      </c>
      <c r="K537" s="517"/>
      <c r="L537" s="517" t="s">
        <v>13444</v>
      </c>
      <c r="M537" s="517" t="s">
        <v>218</v>
      </c>
      <c r="N537" s="518" t="s">
        <v>2010</v>
      </c>
      <c r="O537" s="517">
        <v>1</v>
      </c>
      <c r="P537" s="517" t="s">
        <v>647</v>
      </c>
      <c r="Q537" s="517" t="s">
        <v>647</v>
      </c>
      <c r="R537" s="517" t="s">
        <v>1855</v>
      </c>
      <c r="S537" s="517" t="s">
        <v>632</v>
      </c>
      <c r="T537" s="518" t="s">
        <v>2009</v>
      </c>
      <c r="U537" s="38">
        <v>4844.99</v>
      </c>
      <c r="V537" s="15" t="str">
        <f t="shared" si="58"/>
        <v/>
      </c>
      <c r="W537" s="1"/>
      <c r="X537" s="1"/>
      <c r="Y537" s="1"/>
      <c r="Z537" s="1"/>
      <c r="AA537" s="1"/>
      <c r="AB537" s="3"/>
      <c r="AC537" s="9"/>
      <c r="AD537" s="517" t="e">
        <v>#N/A</v>
      </c>
      <c r="AE537" s="517" t="e">
        <v>#N/A</v>
      </c>
      <c r="AF537" s="517" t="e">
        <v>#N/A</v>
      </c>
      <c r="AG537" s="520" t="e">
        <v>#N/A</v>
      </c>
      <c r="AH537" s="9"/>
      <c r="AI537" s="10"/>
      <c r="AJ537" s="9"/>
      <c r="AK537" s="10"/>
      <c r="AL537" s="10"/>
    </row>
    <row r="538" spans="1:38" ht="22.5" hidden="1">
      <c r="A538" s="1">
        <f t="shared" si="59"/>
        <v>0</v>
      </c>
      <c r="B538" s="2" t="s">
        <v>2035</v>
      </c>
      <c r="C538" s="3" t="s">
        <v>2036</v>
      </c>
      <c r="D538" s="15" t="s">
        <v>11537</v>
      </c>
      <c r="E538" s="4" t="s">
        <v>2035</v>
      </c>
      <c r="F538" s="37" t="s">
        <v>2036</v>
      </c>
      <c r="G538" s="38">
        <v>0</v>
      </c>
      <c r="H538" s="38">
        <v>0</v>
      </c>
      <c r="I538" s="15"/>
      <c r="J538" s="494">
        <v>10202210112</v>
      </c>
      <c r="K538" s="517"/>
      <c r="L538" s="517" t="s">
        <v>13444</v>
      </c>
      <c r="M538" s="517" t="s">
        <v>218</v>
      </c>
      <c r="N538" s="518" t="s">
        <v>2010</v>
      </c>
      <c r="O538" s="517">
        <v>1</v>
      </c>
      <c r="P538" s="517" t="s">
        <v>647</v>
      </c>
      <c r="Q538" s="517" t="s">
        <v>647</v>
      </c>
      <c r="R538" s="517" t="s">
        <v>1855</v>
      </c>
      <c r="S538" s="517" t="s">
        <v>632</v>
      </c>
      <c r="T538" s="518" t="s">
        <v>2009</v>
      </c>
      <c r="U538" s="38">
        <v>0</v>
      </c>
      <c r="V538" s="15" t="str">
        <f t="shared" si="58"/>
        <v/>
      </c>
      <c r="W538" s="1"/>
      <c r="X538" s="1"/>
      <c r="Y538" s="1"/>
      <c r="Z538" s="1"/>
      <c r="AA538" s="1"/>
      <c r="AB538" s="3"/>
      <c r="AC538" s="9"/>
      <c r="AD538" s="517" t="e">
        <v>#N/A</v>
      </c>
      <c r="AE538" s="517" t="e">
        <v>#N/A</v>
      </c>
      <c r="AF538" s="517" t="e">
        <v>#N/A</v>
      </c>
      <c r="AG538" s="520" t="e">
        <v>#N/A</v>
      </c>
      <c r="AH538" s="9"/>
      <c r="AI538" s="10"/>
      <c r="AJ538" s="9"/>
      <c r="AK538" s="10"/>
      <c r="AL538" s="10"/>
    </row>
    <row r="539" spans="1:38" ht="22.5" hidden="1">
      <c r="A539" s="1">
        <f t="shared" si="59"/>
        <v>0</v>
      </c>
      <c r="B539" s="2" t="s">
        <v>2037</v>
      </c>
      <c r="C539" s="3" t="s">
        <v>2038</v>
      </c>
      <c r="D539" s="15" t="s">
        <v>11537</v>
      </c>
      <c r="E539" s="4" t="s">
        <v>2037</v>
      </c>
      <c r="F539" s="37" t="s">
        <v>2038</v>
      </c>
      <c r="G539" s="38">
        <v>67660.960000000006</v>
      </c>
      <c r="H539" s="38">
        <v>67432.39</v>
      </c>
      <c r="I539" s="15"/>
      <c r="J539" s="494">
        <v>10202210113</v>
      </c>
      <c r="K539" s="517"/>
      <c r="L539" s="517" t="s">
        <v>13444</v>
      </c>
      <c r="M539" s="517" t="s">
        <v>218</v>
      </c>
      <c r="N539" s="518" t="s">
        <v>2010</v>
      </c>
      <c r="O539" s="517">
        <v>1</v>
      </c>
      <c r="P539" s="517" t="s">
        <v>647</v>
      </c>
      <c r="Q539" s="517" t="s">
        <v>647</v>
      </c>
      <c r="R539" s="517" t="s">
        <v>1855</v>
      </c>
      <c r="S539" s="517" t="s">
        <v>632</v>
      </c>
      <c r="T539" s="518" t="s">
        <v>2009</v>
      </c>
      <c r="U539" s="38">
        <v>67432.39</v>
      </c>
      <c r="V539" s="15" t="str">
        <f t="shared" si="58"/>
        <v/>
      </c>
      <c r="W539" s="1"/>
      <c r="X539" s="1"/>
      <c r="Y539" s="1"/>
      <c r="Z539" s="1"/>
      <c r="AA539" s="1"/>
      <c r="AB539" s="3"/>
      <c r="AC539" s="9"/>
      <c r="AD539" s="517" t="e">
        <v>#N/A</v>
      </c>
      <c r="AE539" s="517" t="e">
        <v>#N/A</v>
      </c>
      <c r="AF539" s="517" t="e">
        <v>#N/A</v>
      </c>
      <c r="AG539" s="520" t="e">
        <v>#N/A</v>
      </c>
      <c r="AH539" s="9"/>
      <c r="AI539" s="10"/>
      <c r="AJ539" s="9"/>
      <c r="AK539" s="10"/>
      <c r="AL539" s="10"/>
    </row>
    <row r="540" spans="1:38" ht="22.5" hidden="1">
      <c r="A540" s="1">
        <f t="shared" si="59"/>
        <v>0</v>
      </c>
      <c r="B540" s="2" t="s">
        <v>2039</v>
      </c>
      <c r="C540" s="3" t="s">
        <v>2040</v>
      </c>
      <c r="D540" s="15" t="s">
        <v>11537</v>
      </c>
      <c r="E540" s="4" t="s">
        <v>2039</v>
      </c>
      <c r="F540" s="37" t="s">
        <v>2040</v>
      </c>
      <c r="G540" s="38">
        <v>0</v>
      </c>
      <c r="H540" s="38">
        <v>0</v>
      </c>
      <c r="I540" s="15"/>
      <c r="J540" s="494">
        <v>10202210114</v>
      </c>
      <c r="K540" s="517"/>
      <c r="L540" s="517" t="s">
        <v>13444</v>
      </c>
      <c r="M540" s="517" t="s">
        <v>218</v>
      </c>
      <c r="N540" s="518" t="s">
        <v>2010</v>
      </c>
      <c r="O540" s="517">
        <v>1</v>
      </c>
      <c r="P540" s="517" t="s">
        <v>647</v>
      </c>
      <c r="Q540" s="517" t="s">
        <v>647</v>
      </c>
      <c r="R540" s="517" t="s">
        <v>1855</v>
      </c>
      <c r="S540" s="517" t="s">
        <v>632</v>
      </c>
      <c r="T540" s="518" t="s">
        <v>2009</v>
      </c>
      <c r="U540" s="38">
        <v>0</v>
      </c>
      <c r="V540" s="15" t="str">
        <f t="shared" si="58"/>
        <v/>
      </c>
      <c r="W540" s="1"/>
      <c r="X540" s="1"/>
      <c r="Y540" s="1"/>
      <c r="Z540" s="1"/>
      <c r="AA540" s="1"/>
      <c r="AB540" s="3"/>
      <c r="AC540" s="9"/>
      <c r="AD540" s="517" t="e">
        <v>#N/A</v>
      </c>
      <c r="AE540" s="517" t="e">
        <v>#N/A</v>
      </c>
      <c r="AF540" s="517" t="e">
        <v>#N/A</v>
      </c>
      <c r="AG540" s="520" t="e">
        <v>#N/A</v>
      </c>
      <c r="AH540" s="9"/>
      <c r="AI540" s="10"/>
      <c r="AJ540" s="9"/>
      <c r="AK540" s="10"/>
      <c r="AL540" s="10"/>
    </row>
    <row r="541" spans="1:38" ht="22.5" hidden="1">
      <c r="A541" s="1">
        <f t="shared" si="59"/>
        <v>0</v>
      </c>
      <c r="B541" s="2" t="s">
        <v>2041</v>
      </c>
      <c r="C541" s="3" t="s">
        <v>2042</v>
      </c>
      <c r="D541" s="15" t="s">
        <v>11537</v>
      </c>
      <c r="E541" s="4" t="s">
        <v>2041</v>
      </c>
      <c r="F541" s="37" t="s">
        <v>2042</v>
      </c>
      <c r="G541" s="38">
        <v>8550.5499999999993</v>
      </c>
      <c r="H541" s="38">
        <v>8550.5499999999993</v>
      </c>
      <c r="I541" s="15"/>
      <c r="J541" s="494">
        <v>10202210115</v>
      </c>
      <c r="K541" s="517"/>
      <c r="L541" s="517" t="s">
        <v>13444</v>
      </c>
      <c r="M541" s="517" t="s">
        <v>218</v>
      </c>
      <c r="N541" s="518" t="s">
        <v>2010</v>
      </c>
      <c r="O541" s="517">
        <v>1</v>
      </c>
      <c r="P541" s="517" t="s">
        <v>647</v>
      </c>
      <c r="Q541" s="517" t="s">
        <v>647</v>
      </c>
      <c r="R541" s="517" t="s">
        <v>1855</v>
      </c>
      <c r="S541" s="517" t="s">
        <v>632</v>
      </c>
      <c r="T541" s="518" t="s">
        <v>2009</v>
      </c>
      <c r="U541" s="38">
        <v>8550.5499999999993</v>
      </c>
      <c r="V541" s="15" t="str">
        <f t="shared" si="58"/>
        <v/>
      </c>
      <c r="W541" s="1"/>
      <c r="X541" s="1"/>
      <c r="Y541" s="1"/>
      <c r="Z541" s="1"/>
      <c r="AA541" s="1"/>
      <c r="AB541" s="3"/>
      <c r="AC541" s="9"/>
      <c r="AD541" s="517" t="e">
        <v>#N/A</v>
      </c>
      <c r="AE541" s="517" t="e">
        <v>#N/A</v>
      </c>
      <c r="AF541" s="517" t="e">
        <v>#N/A</v>
      </c>
      <c r="AG541" s="520" t="e">
        <v>#N/A</v>
      </c>
      <c r="AH541" s="9"/>
      <c r="AI541" s="10"/>
      <c r="AJ541" s="9"/>
      <c r="AK541" s="10"/>
      <c r="AL541" s="10"/>
    </row>
    <row r="542" spans="1:38" ht="22.5" hidden="1">
      <c r="A542" s="1">
        <f t="shared" si="59"/>
        <v>0</v>
      </c>
      <c r="B542" s="2" t="s">
        <v>2043</v>
      </c>
      <c r="C542" s="3" t="s">
        <v>2044</v>
      </c>
      <c r="D542" s="15" t="s">
        <v>11538</v>
      </c>
      <c r="E542" s="4" t="s">
        <v>2043</v>
      </c>
      <c r="F542" s="37" t="s">
        <v>2044</v>
      </c>
      <c r="G542" s="38">
        <v>0</v>
      </c>
      <c r="H542" s="38">
        <v>0</v>
      </c>
      <c r="I542" s="15"/>
      <c r="J542" s="494">
        <v>10202210201</v>
      </c>
      <c r="K542" s="517"/>
      <c r="L542" s="517" t="s">
        <v>13444</v>
      </c>
      <c r="M542" s="517" t="s">
        <v>218</v>
      </c>
      <c r="N542" s="518" t="s">
        <v>2010</v>
      </c>
      <c r="O542" s="517">
        <v>1</v>
      </c>
      <c r="P542" s="517" t="s">
        <v>647</v>
      </c>
      <c r="Q542" s="517" t="s">
        <v>647</v>
      </c>
      <c r="R542" s="517" t="s">
        <v>1855</v>
      </c>
      <c r="S542" s="517" t="s">
        <v>647</v>
      </c>
      <c r="T542" s="518" t="s">
        <v>2045</v>
      </c>
      <c r="U542" s="38">
        <v>0</v>
      </c>
      <c r="V542" s="15" t="str">
        <f t="shared" si="58"/>
        <v>102022102</v>
      </c>
      <c r="W542" s="39">
        <v>1</v>
      </c>
      <c r="X542" s="40" t="s">
        <v>647</v>
      </c>
      <c r="Y542" s="40" t="s">
        <v>647</v>
      </c>
      <c r="Z542" s="40" t="s">
        <v>1855</v>
      </c>
      <c r="AA542" s="40" t="s">
        <v>647</v>
      </c>
      <c r="AB542" s="42" t="s">
        <v>2045</v>
      </c>
      <c r="AC542" s="519">
        <f>H542</f>
        <v>0</v>
      </c>
      <c r="AD542" s="517">
        <v>0</v>
      </c>
      <c r="AE542" s="517" t="s">
        <v>13444</v>
      </c>
      <c r="AF542" s="517" t="s">
        <v>218</v>
      </c>
      <c r="AG542" s="518" t="s">
        <v>2010</v>
      </c>
      <c r="AH542" s="67">
        <f>AC542</f>
        <v>0</v>
      </c>
      <c r="AI542" s="10"/>
      <c r="AJ542" s="9">
        <f t="shared" ref="AJ542:AJ548" si="60">AH542-H542</f>
        <v>0</v>
      </c>
      <c r="AK542" s="10"/>
      <c r="AL542" s="10"/>
    </row>
    <row r="543" spans="1:38" ht="22.5" hidden="1">
      <c r="A543" s="1">
        <f t="shared" si="59"/>
        <v>0</v>
      </c>
      <c r="B543" s="2" t="s">
        <v>2046</v>
      </c>
      <c r="C543" s="3" t="s">
        <v>2047</v>
      </c>
      <c r="D543" s="15" t="s">
        <v>11539</v>
      </c>
      <c r="E543" s="4" t="s">
        <v>2046</v>
      </c>
      <c r="F543" s="37" t="s">
        <v>2047</v>
      </c>
      <c r="G543" s="38">
        <v>0</v>
      </c>
      <c r="H543" s="38">
        <v>0</v>
      </c>
      <c r="I543" s="15"/>
      <c r="J543" s="494">
        <v>10202210301</v>
      </c>
      <c r="K543" s="517"/>
      <c r="L543" s="517" t="s">
        <v>13444</v>
      </c>
      <c r="M543" s="517" t="s">
        <v>218</v>
      </c>
      <c r="N543" s="518" t="s">
        <v>2010</v>
      </c>
      <c r="O543" s="517">
        <v>1</v>
      </c>
      <c r="P543" s="517" t="s">
        <v>647</v>
      </c>
      <c r="Q543" s="517" t="s">
        <v>647</v>
      </c>
      <c r="R543" s="517" t="s">
        <v>1855</v>
      </c>
      <c r="S543" s="517" t="s">
        <v>671</v>
      </c>
      <c r="T543" s="518" t="s">
        <v>2047</v>
      </c>
      <c r="U543" s="38">
        <v>0</v>
      </c>
      <c r="V543" s="15" t="str">
        <f t="shared" si="58"/>
        <v>102022103</v>
      </c>
      <c r="W543" s="39">
        <v>1</v>
      </c>
      <c r="X543" s="40" t="s">
        <v>647</v>
      </c>
      <c r="Y543" s="40" t="s">
        <v>647</v>
      </c>
      <c r="Z543" s="40" t="s">
        <v>1855</v>
      </c>
      <c r="AA543" s="40" t="s">
        <v>671</v>
      </c>
      <c r="AB543" s="42" t="s">
        <v>2047</v>
      </c>
      <c r="AC543" s="519">
        <f>H543</f>
        <v>0</v>
      </c>
      <c r="AD543" s="517">
        <v>0</v>
      </c>
      <c r="AE543" s="517" t="s">
        <v>13444</v>
      </c>
      <c r="AF543" s="517" t="s">
        <v>218</v>
      </c>
      <c r="AG543" s="518" t="s">
        <v>2010</v>
      </c>
      <c r="AH543" s="67">
        <f>AC543</f>
        <v>0</v>
      </c>
      <c r="AI543" s="10"/>
      <c r="AJ543" s="9">
        <f t="shared" si="60"/>
        <v>0</v>
      </c>
      <c r="AK543" s="10"/>
      <c r="AL543" s="10"/>
    </row>
    <row r="544" spans="1:38" ht="33.75" hidden="1">
      <c r="A544" s="1">
        <f t="shared" si="59"/>
        <v>0</v>
      </c>
      <c r="B544" s="2" t="s">
        <v>2048</v>
      </c>
      <c r="C544" s="3" t="s">
        <v>2026</v>
      </c>
      <c r="D544" s="15" t="s">
        <v>11539</v>
      </c>
      <c r="E544" s="4" t="s">
        <v>2048</v>
      </c>
      <c r="F544" s="37" t="s">
        <v>2026</v>
      </c>
      <c r="G544" s="38">
        <v>0</v>
      </c>
      <c r="H544" s="38">
        <v>0</v>
      </c>
      <c r="I544" s="15"/>
      <c r="J544" s="494">
        <v>10202210302</v>
      </c>
      <c r="K544" s="517"/>
      <c r="L544" s="517" t="s">
        <v>13444</v>
      </c>
      <c r="M544" s="517" t="s">
        <v>218</v>
      </c>
      <c r="N544" s="518" t="s">
        <v>2010</v>
      </c>
      <c r="O544" s="517">
        <v>1</v>
      </c>
      <c r="P544" s="517" t="s">
        <v>647</v>
      </c>
      <c r="Q544" s="517" t="s">
        <v>647</v>
      </c>
      <c r="R544" s="517" t="s">
        <v>1855</v>
      </c>
      <c r="S544" s="517" t="s">
        <v>671</v>
      </c>
      <c r="T544" s="518" t="s">
        <v>2047</v>
      </c>
      <c r="U544" s="38">
        <v>0</v>
      </c>
      <c r="V544" s="15" t="str">
        <f t="shared" si="58"/>
        <v/>
      </c>
      <c r="W544" s="39"/>
      <c r="X544" s="40"/>
      <c r="Y544" s="40"/>
      <c r="Z544" s="40"/>
      <c r="AA544" s="40"/>
      <c r="AB544" s="42"/>
      <c r="AC544" s="580"/>
      <c r="AD544" s="517" t="e">
        <v>#N/A</v>
      </c>
      <c r="AE544" s="517" t="e">
        <v>#N/A</v>
      </c>
      <c r="AF544" s="517" t="e">
        <v>#N/A</v>
      </c>
      <c r="AG544" s="518" t="e">
        <v>#N/A</v>
      </c>
      <c r="AH544" s="66"/>
      <c r="AI544" s="10"/>
      <c r="AJ544" s="9">
        <f t="shared" si="60"/>
        <v>0</v>
      </c>
      <c r="AK544" s="10"/>
      <c r="AL544" s="10"/>
    </row>
    <row r="545" spans="1:38" ht="22.5" hidden="1">
      <c r="A545" s="1">
        <f t="shared" si="59"/>
        <v>0</v>
      </c>
      <c r="B545" s="2" t="s">
        <v>2049</v>
      </c>
      <c r="C545" s="3" t="s">
        <v>2050</v>
      </c>
      <c r="D545" s="15" t="s">
        <v>11539</v>
      </c>
      <c r="E545" s="4" t="s">
        <v>2049</v>
      </c>
      <c r="F545" s="37" t="s">
        <v>2050</v>
      </c>
      <c r="G545" s="38">
        <v>0</v>
      </c>
      <c r="H545" s="38">
        <v>0</v>
      </c>
      <c r="I545" s="15"/>
      <c r="J545" s="494">
        <v>10202210303</v>
      </c>
      <c r="K545" s="517"/>
      <c r="L545" s="517" t="s">
        <v>13444</v>
      </c>
      <c r="M545" s="517" t="s">
        <v>218</v>
      </c>
      <c r="N545" s="518" t="s">
        <v>2010</v>
      </c>
      <c r="O545" s="517">
        <v>1</v>
      </c>
      <c r="P545" s="517" t="s">
        <v>647</v>
      </c>
      <c r="Q545" s="517" t="s">
        <v>647</v>
      </c>
      <c r="R545" s="517" t="s">
        <v>1855</v>
      </c>
      <c r="S545" s="517" t="s">
        <v>671</v>
      </c>
      <c r="T545" s="518" t="s">
        <v>2047</v>
      </c>
      <c r="U545" s="38">
        <v>0</v>
      </c>
      <c r="V545" s="15" t="str">
        <f t="shared" si="58"/>
        <v/>
      </c>
      <c r="W545" s="39"/>
      <c r="X545" s="40"/>
      <c r="Y545" s="40"/>
      <c r="Z545" s="40"/>
      <c r="AA545" s="40"/>
      <c r="AB545" s="42"/>
      <c r="AC545" s="580"/>
      <c r="AD545" s="517" t="e">
        <v>#N/A</v>
      </c>
      <c r="AE545" s="517" t="e">
        <v>#N/A</v>
      </c>
      <c r="AF545" s="517" t="e">
        <v>#N/A</v>
      </c>
      <c r="AG545" s="518" t="e">
        <v>#N/A</v>
      </c>
      <c r="AH545" s="66"/>
      <c r="AI545" s="10"/>
      <c r="AJ545" s="9">
        <f t="shared" si="60"/>
        <v>0</v>
      </c>
      <c r="AK545" s="10"/>
      <c r="AL545" s="10"/>
    </row>
    <row r="546" spans="1:38" ht="22.5" hidden="1">
      <c r="A546" s="1">
        <f t="shared" si="59"/>
        <v>0</v>
      </c>
      <c r="C546" s="3" t="s">
        <v>2051</v>
      </c>
      <c r="D546" s="15" t="s">
        <v>16</v>
      </c>
      <c r="E546" s="30"/>
      <c r="F546" s="31" t="s">
        <v>2052</v>
      </c>
      <c r="G546" s="32">
        <f>G547</f>
        <v>0</v>
      </c>
      <c r="H546" s="32">
        <f>H547</f>
        <v>0</v>
      </c>
      <c r="I546" s="15"/>
      <c r="J546" s="494"/>
      <c r="K546" s="513"/>
      <c r="L546" s="513"/>
      <c r="M546" s="513"/>
      <c r="N546" s="514"/>
      <c r="O546" s="513"/>
      <c r="P546" s="513"/>
      <c r="Q546" s="513"/>
      <c r="R546" s="513"/>
      <c r="S546" s="513"/>
      <c r="T546" s="514"/>
      <c r="U546" s="32">
        <f>U547</f>
        <v>0</v>
      </c>
      <c r="V546" s="15" t="str">
        <f t="shared" si="58"/>
        <v>102022200</v>
      </c>
      <c r="W546" s="33">
        <v>1</v>
      </c>
      <c r="X546" s="34" t="s">
        <v>647</v>
      </c>
      <c r="Y546" s="34" t="s">
        <v>647</v>
      </c>
      <c r="Z546" s="35" t="s">
        <v>1859</v>
      </c>
      <c r="AA546" s="35" t="s">
        <v>630</v>
      </c>
      <c r="AB546" s="31" t="s">
        <v>2052</v>
      </c>
      <c r="AC546" s="529">
        <f>AC547</f>
        <v>0</v>
      </c>
      <c r="AD546" s="513">
        <v>0</v>
      </c>
      <c r="AE546" s="513" t="s">
        <v>13445</v>
      </c>
      <c r="AF546" s="513" t="s">
        <v>219</v>
      </c>
      <c r="AG546" s="514" t="s">
        <v>2053</v>
      </c>
      <c r="AH546" s="545">
        <f>AC546</f>
        <v>0</v>
      </c>
      <c r="AI546" s="10"/>
      <c r="AJ546" s="9">
        <f t="shared" si="60"/>
        <v>0</v>
      </c>
      <c r="AK546" s="10"/>
      <c r="AL546" s="10"/>
    </row>
    <row r="547" spans="1:38" ht="22.5" hidden="1">
      <c r="A547" s="1">
        <f t="shared" si="59"/>
        <v>0</v>
      </c>
      <c r="B547" s="2" t="s">
        <v>2054</v>
      </c>
      <c r="C547" s="3" t="s">
        <v>2051</v>
      </c>
      <c r="D547" s="15" t="s">
        <v>11540</v>
      </c>
      <c r="E547" s="4" t="s">
        <v>2054</v>
      </c>
      <c r="F547" s="37" t="s">
        <v>2051</v>
      </c>
      <c r="G547" s="38">
        <v>0</v>
      </c>
      <c r="H547" s="38">
        <v>0</v>
      </c>
      <c r="I547" s="15"/>
      <c r="J547" s="494">
        <v>10202220101</v>
      </c>
      <c r="K547" s="517"/>
      <c r="L547" s="517" t="s">
        <v>13445</v>
      </c>
      <c r="M547" s="517" t="s">
        <v>219</v>
      </c>
      <c r="N547" s="518" t="s">
        <v>2053</v>
      </c>
      <c r="O547" s="517">
        <v>1</v>
      </c>
      <c r="P547" s="517" t="s">
        <v>647</v>
      </c>
      <c r="Q547" s="517" t="s">
        <v>647</v>
      </c>
      <c r="R547" s="517" t="s">
        <v>1859</v>
      </c>
      <c r="S547" s="517" t="s">
        <v>632</v>
      </c>
      <c r="T547" s="518" t="s">
        <v>2052</v>
      </c>
      <c r="U547" s="38">
        <v>0</v>
      </c>
      <c r="V547" s="15" t="str">
        <f t="shared" si="58"/>
        <v>102022201</v>
      </c>
      <c r="W547" s="39">
        <v>1</v>
      </c>
      <c r="X547" s="40" t="s">
        <v>647</v>
      </c>
      <c r="Y547" s="40" t="s">
        <v>647</v>
      </c>
      <c r="Z547" s="40" t="s">
        <v>1859</v>
      </c>
      <c r="AA547" s="40" t="s">
        <v>632</v>
      </c>
      <c r="AB547" s="41" t="s">
        <v>2052</v>
      </c>
      <c r="AC547" s="9">
        <f>H547</f>
        <v>0</v>
      </c>
      <c r="AD547" s="517">
        <v>0</v>
      </c>
      <c r="AE547" s="517" t="s">
        <v>13445</v>
      </c>
      <c r="AF547" s="517" t="s">
        <v>219</v>
      </c>
      <c r="AG547" s="520" t="s">
        <v>2053</v>
      </c>
      <c r="AH547" s="67">
        <f>AC547</f>
        <v>0</v>
      </c>
      <c r="AI547" s="10"/>
      <c r="AJ547" s="9">
        <f t="shared" si="60"/>
        <v>0</v>
      </c>
      <c r="AK547" s="10"/>
      <c r="AL547" s="10"/>
    </row>
    <row r="548" spans="1:38" ht="22.5" hidden="1">
      <c r="A548" s="1">
        <f t="shared" si="59"/>
        <v>0</v>
      </c>
      <c r="C548" s="3" t="s">
        <v>2055</v>
      </c>
      <c r="D548" s="15" t="s">
        <v>16</v>
      </c>
      <c r="E548" s="30"/>
      <c r="F548" s="31" t="s">
        <v>2056</v>
      </c>
      <c r="G548" s="32">
        <f>SUM(G549:G553)</f>
        <v>26197447.559999999</v>
      </c>
      <c r="H548" s="32">
        <f>SUM(H549:H554)</f>
        <v>23461209.879999999</v>
      </c>
      <c r="I548" s="15"/>
      <c r="J548" s="494"/>
      <c r="K548" s="513"/>
      <c r="L548" s="513"/>
      <c r="M548" s="513"/>
      <c r="N548" s="514"/>
      <c r="O548" s="513"/>
      <c r="P548" s="513"/>
      <c r="Q548" s="513"/>
      <c r="R548" s="513"/>
      <c r="S548" s="513"/>
      <c r="T548" s="514"/>
      <c r="U548" s="32">
        <f>SUM(U549:U554)</f>
        <v>23461209.879999999</v>
      </c>
      <c r="V548" s="15" t="str">
        <f t="shared" si="58"/>
        <v>102022300</v>
      </c>
      <c r="W548" s="33">
        <v>1</v>
      </c>
      <c r="X548" s="34" t="s">
        <v>647</v>
      </c>
      <c r="Y548" s="34" t="s">
        <v>647</v>
      </c>
      <c r="Z548" s="35" t="s">
        <v>1863</v>
      </c>
      <c r="AA548" s="35" t="s">
        <v>630</v>
      </c>
      <c r="AB548" s="31" t="s">
        <v>2056</v>
      </c>
      <c r="AC548" s="529">
        <f>SUM(AC549:AC553)</f>
        <v>23461209.879999999</v>
      </c>
      <c r="AD548" s="513">
        <v>0</v>
      </c>
      <c r="AE548" s="513" t="s">
        <v>13446</v>
      </c>
      <c r="AF548" s="513" t="s">
        <v>220</v>
      </c>
      <c r="AG548" s="514" t="s">
        <v>2057</v>
      </c>
      <c r="AH548" s="545">
        <f>AC548</f>
        <v>23461209.879999999</v>
      </c>
      <c r="AI548" s="10"/>
      <c r="AJ548" s="9">
        <f t="shared" si="60"/>
        <v>0</v>
      </c>
      <c r="AK548" s="10"/>
      <c r="AL548" s="10"/>
    </row>
    <row r="549" spans="1:38" ht="22.5" hidden="1">
      <c r="A549" s="1">
        <f t="shared" si="59"/>
        <v>0</v>
      </c>
      <c r="B549" s="2" t="s">
        <v>2058</v>
      </c>
      <c r="C549" s="3" t="s">
        <v>2055</v>
      </c>
      <c r="D549" s="15" t="s">
        <v>11541</v>
      </c>
      <c r="E549" s="4" t="s">
        <v>2058</v>
      </c>
      <c r="F549" s="37" t="s">
        <v>2055</v>
      </c>
      <c r="G549" s="38">
        <v>151153.13</v>
      </c>
      <c r="H549" s="38">
        <v>151183.13</v>
      </c>
      <c r="I549" s="15"/>
      <c r="J549" s="494">
        <v>10202230101</v>
      </c>
      <c r="K549" s="517"/>
      <c r="L549" s="517" t="s">
        <v>13446</v>
      </c>
      <c r="M549" s="517" t="s">
        <v>220</v>
      </c>
      <c r="N549" s="518" t="s">
        <v>2057</v>
      </c>
      <c r="O549" s="517">
        <v>1</v>
      </c>
      <c r="P549" s="517" t="s">
        <v>647</v>
      </c>
      <c r="Q549" s="517" t="s">
        <v>647</v>
      </c>
      <c r="R549" s="517" t="s">
        <v>1863</v>
      </c>
      <c r="S549" s="517" t="s">
        <v>632</v>
      </c>
      <c r="T549" s="518" t="s">
        <v>2056</v>
      </c>
      <c r="U549" s="38">
        <v>151183.13</v>
      </c>
      <c r="V549" s="15" t="str">
        <f t="shared" si="58"/>
        <v>102022301</v>
      </c>
      <c r="W549" s="39">
        <v>1</v>
      </c>
      <c r="X549" s="40" t="s">
        <v>647</v>
      </c>
      <c r="Y549" s="40" t="s">
        <v>647</v>
      </c>
      <c r="Z549" s="40" t="s">
        <v>1863</v>
      </c>
      <c r="AA549" s="40" t="s">
        <v>632</v>
      </c>
      <c r="AB549" s="41" t="s">
        <v>2056</v>
      </c>
      <c r="AC549" s="519">
        <f>SUM(H549:H554)</f>
        <v>23461209.879999999</v>
      </c>
      <c r="AD549" s="517">
        <v>0</v>
      </c>
      <c r="AE549" s="517" t="s">
        <v>13446</v>
      </c>
      <c r="AF549" s="517" t="s">
        <v>220</v>
      </c>
      <c r="AG549" s="520" t="s">
        <v>2057</v>
      </c>
      <c r="AH549" s="67">
        <f>AC549</f>
        <v>23461209.879999999</v>
      </c>
      <c r="AI549" s="10"/>
      <c r="AJ549" s="9"/>
      <c r="AK549" s="10"/>
      <c r="AL549" s="10"/>
    </row>
    <row r="550" spans="1:38" ht="22.5" hidden="1">
      <c r="A550" s="1">
        <f t="shared" si="59"/>
        <v>0</v>
      </c>
      <c r="B550" s="2" t="s">
        <v>2059</v>
      </c>
      <c r="C550" s="3" t="s">
        <v>2060</v>
      </c>
      <c r="D550" s="15" t="s">
        <v>11541</v>
      </c>
      <c r="E550" s="4" t="s">
        <v>2059</v>
      </c>
      <c r="F550" s="37" t="s">
        <v>2060</v>
      </c>
      <c r="G550" s="38">
        <v>106354.95</v>
      </c>
      <c r="H550" s="38">
        <v>111424.95</v>
      </c>
      <c r="I550" s="15"/>
      <c r="J550" s="494">
        <v>10202230102</v>
      </c>
      <c r="K550" s="517"/>
      <c r="L550" s="517" t="s">
        <v>13446</v>
      </c>
      <c r="M550" s="517" t="s">
        <v>220</v>
      </c>
      <c r="N550" s="518" t="s">
        <v>2057</v>
      </c>
      <c r="O550" s="517">
        <v>1</v>
      </c>
      <c r="P550" s="517" t="s">
        <v>647</v>
      </c>
      <c r="Q550" s="517" t="s">
        <v>647</v>
      </c>
      <c r="R550" s="517" t="s">
        <v>1863</v>
      </c>
      <c r="S550" s="517" t="s">
        <v>632</v>
      </c>
      <c r="T550" s="518" t="s">
        <v>2056</v>
      </c>
      <c r="U550" s="38">
        <v>111424.95</v>
      </c>
      <c r="V550" s="15" t="str">
        <f t="shared" si="58"/>
        <v/>
      </c>
      <c r="W550" s="1"/>
      <c r="X550" s="1"/>
      <c r="Y550" s="1"/>
      <c r="Z550" s="1"/>
      <c r="AA550" s="1"/>
      <c r="AB550" s="3"/>
      <c r="AC550" s="9"/>
      <c r="AD550" s="517" t="e">
        <v>#N/A</v>
      </c>
      <c r="AE550" s="517" t="e">
        <v>#N/A</v>
      </c>
      <c r="AF550" s="517" t="e">
        <v>#N/A</v>
      </c>
      <c r="AG550" s="520" t="e">
        <v>#N/A</v>
      </c>
      <c r="AH550" s="9"/>
      <c r="AI550" s="10"/>
      <c r="AJ550" s="9"/>
      <c r="AK550" s="10"/>
      <c r="AL550" s="10"/>
    </row>
    <row r="551" spans="1:38" ht="22.5" hidden="1">
      <c r="A551" s="1">
        <f t="shared" si="59"/>
        <v>0</v>
      </c>
      <c r="B551" s="2" t="s">
        <v>2061</v>
      </c>
      <c r="C551" s="3" t="s">
        <v>2062</v>
      </c>
      <c r="D551" s="15" t="s">
        <v>11541</v>
      </c>
      <c r="E551" s="4" t="s">
        <v>2061</v>
      </c>
      <c r="F551" s="37" t="s">
        <v>2062</v>
      </c>
      <c r="G551" s="38">
        <v>488738.76</v>
      </c>
      <c r="H551" s="38">
        <v>488738.76</v>
      </c>
      <c r="I551" s="15"/>
      <c r="J551" s="494">
        <v>10202230103</v>
      </c>
      <c r="K551" s="517"/>
      <c r="L551" s="517" t="s">
        <v>13446</v>
      </c>
      <c r="M551" s="517" t="s">
        <v>220</v>
      </c>
      <c r="N551" s="518" t="s">
        <v>2057</v>
      </c>
      <c r="O551" s="517">
        <v>1</v>
      </c>
      <c r="P551" s="517" t="s">
        <v>647</v>
      </c>
      <c r="Q551" s="517" t="s">
        <v>647</v>
      </c>
      <c r="R551" s="517" t="s">
        <v>1863</v>
      </c>
      <c r="S551" s="517" t="s">
        <v>632</v>
      </c>
      <c r="T551" s="518" t="s">
        <v>2056</v>
      </c>
      <c r="U551" s="38">
        <v>488738.76</v>
      </c>
      <c r="V551" s="15" t="str">
        <f t="shared" si="58"/>
        <v/>
      </c>
      <c r="W551" s="1"/>
      <c r="X551" s="1"/>
      <c r="Y551" s="1"/>
      <c r="Z551" s="1"/>
      <c r="AA551" s="1"/>
      <c r="AB551" s="3"/>
      <c r="AC551" s="9"/>
      <c r="AD551" s="517" t="e">
        <v>#N/A</v>
      </c>
      <c r="AE551" s="517" t="e">
        <v>#N/A</v>
      </c>
      <c r="AF551" s="517" t="e">
        <v>#N/A</v>
      </c>
      <c r="AG551" s="520" t="e">
        <v>#N/A</v>
      </c>
      <c r="AH551" s="9"/>
      <c r="AI551" s="10"/>
      <c r="AJ551" s="9"/>
      <c r="AK551" s="10"/>
      <c r="AL551" s="10"/>
    </row>
    <row r="552" spans="1:38" ht="22.5" hidden="1">
      <c r="A552" s="1">
        <f t="shared" si="59"/>
        <v>0</v>
      </c>
      <c r="B552" s="2" t="s">
        <v>2063</v>
      </c>
      <c r="C552" s="3" t="s">
        <v>2064</v>
      </c>
      <c r="D552" s="15" t="s">
        <v>11541</v>
      </c>
      <c r="E552" s="4" t="s">
        <v>2063</v>
      </c>
      <c r="F552" s="37" t="s">
        <v>2064</v>
      </c>
      <c r="G552" s="38">
        <v>25451200.719999999</v>
      </c>
      <c r="H552" s="38">
        <v>22625200.719999999</v>
      </c>
      <c r="I552" s="15"/>
      <c r="J552" s="494">
        <v>10202230104</v>
      </c>
      <c r="K552" s="517"/>
      <c r="L552" s="517" t="s">
        <v>13446</v>
      </c>
      <c r="M552" s="517" t="s">
        <v>220</v>
      </c>
      <c r="N552" s="518" t="s">
        <v>2057</v>
      </c>
      <c r="O552" s="517">
        <v>1</v>
      </c>
      <c r="P552" s="517" t="s">
        <v>647</v>
      </c>
      <c r="Q552" s="517" t="s">
        <v>647</v>
      </c>
      <c r="R552" s="517" t="s">
        <v>1863</v>
      </c>
      <c r="S552" s="517" t="s">
        <v>632</v>
      </c>
      <c r="T552" s="518" t="s">
        <v>2056</v>
      </c>
      <c r="U552" s="38">
        <v>22625200.719999999</v>
      </c>
      <c r="V552" s="15" t="str">
        <f t="shared" si="58"/>
        <v/>
      </c>
      <c r="W552" s="1"/>
      <c r="X552" s="1"/>
      <c r="Y552" s="1"/>
      <c r="Z552" s="1"/>
      <c r="AA552" s="1"/>
      <c r="AB552" s="3"/>
      <c r="AC552" s="9"/>
      <c r="AD552" s="517" t="e">
        <v>#N/A</v>
      </c>
      <c r="AE552" s="517" t="e">
        <v>#N/A</v>
      </c>
      <c r="AF552" s="517" t="e">
        <v>#N/A</v>
      </c>
      <c r="AG552" s="520" t="e">
        <v>#N/A</v>
      </c>
      <c r="AH552" s="9"/>
      <c r="AI552" s="10"/>
      <c r="AJ552" s="9"/>
      <c r="AK552" s="10"/>
      <c r="AL552" s="10"/>
    </row>
    <row r="553" spans="1:38" ht="22.5" hidden="1">
      <c r="A553" s="1">
        <f t="shared" si="59"/>
        <v>0</v>
      </c>
      <c r="B553" s="2" t="s">
        <v>2065</v>
      </c>
      <c r="C553" s="3" t="s">
        <v>2066</v>
      </c>
      <c r="D553" s="15" t="s">
        <v>11541</v>
      </c>
      <c r="E553" s="4" t="s">
        <v>2065</v>
      </c>
      <c r="F553" s="37" t="s">
        <v>2066</v>
      </c>
      <c r="G553" s="38">
        <v>0</v>
      </c>
      <c r="H553" s="38">
        <v>0</v>
      </c>
      <c r="I553" s="15"/>
      <c r="J553" s="494">
        <v>10202230105</v>
      </c>
      <c r="K553" s="517"/>
      <c r="L553" s="517" t="s">
        <v>13446</v>
      </c>
      <c r="M553" s="517" t="s">
        <v>220</v>
      </c>
      <c r="N553" s="518" t="s">
        <v>2057</v>
      </c>
      <c r="O553" s="517">
        <v>1</v>
      </c>
      <c r="P553" s="517" t="s">
        <v>647</v>
      </c>
      <c r="Q553" s="517" t="s">
        <v>647</v>
      </c>
      <c r="R553" s="517" t="s">
        <v>1863</v>
      </c>
      <c r="S553" s="517" t="s">
        <v>632</v>
      </c>
      <c r="T553" s="518" t="s">
        <v>2056</v>
      </c>
      <c r="U553" s="38">
        <v>0</v>
      </c>
      <c r="V553" s="15" t="str">
        <f t="shared" si="58"/>
        <v/>
      </c>
      <c r="W553" s="1"/>
      <c r="X553" s="1"/>
      <c r="Y553" s="1"/>
      <c r="Z553" s="1"/>
      <c r="AA553" s="1"/>
      <c r="AB553" s="3"/>
      <c r="AC553" s="9"/>
      <c r="AD553" s="517" t="e">
        <v>#N/A</v>
      </c>
      <c r="AE553" s="517" t="e">
        <v>#N/A</v>
      </c>
      <c r="AF553" s="517" t="e">
        <v>#N/A</v>
      </c>
      <c r="AG553" s="520" t="e">
        <v>#N/A</v>
      </c>
      <c r="AH553" s="9"/>
      <c r="AI553" s="10"/>
      <c r="AJ553" s="9"/>
      <c r="AK553" s="10"/>
      <c r="AL553" s="10"/>
    </row>
    <row r="554" spans="1:38" ht="33.75" hidden="1">
      <c r="A554" s="1">
        <f t="shared" si="59"/>
        <v>0</v>
      </c>
      <c r="B554" s="2" t="s">
        <v>2067</v>
      </c>
      <c r="C554" s="3" t="s">
        <v>2068</v>
      </c>
      <c r="D554" s="15" t="s">
        <v>11541</v>
      </c>
      <c r="E554" s="2" t="s">
        <v>2067</v>
      </c>
      <c r="F554" s="3" t="s">
        <v>2068</v>
      </c>
      <c r="G554" s="38"/>
      <c r="H554" s="38">
        <v>84662.32</v>
      </c>
      <c r="I554" s="15"/>
      <c r="J554" s="494">
        <v>10202230106</v>
      </c>
      <c r="K554" s="517"/>
      <c r="L554" s="517" t="s">
        <v>13446</v>
      </c>
      <c r="M554" s="517" t="s">
        <v>220</v>
      </c>
      <c r="N554" s="518" t="s">
        <v>2057</v>
      </c>
      <c r="O554" s="517">
        <v>1</v>
      </c>
      <c r="P554" s="517" t="s">
        <v>647</v>
      </c>
      <c r="Q554" s="517" t="s">
        <v>647</v>
      </c>
      <c r="R554" s="517" t="s">
        <v>1863</v>
      </c>
      <c r="S554" s="517" t="s">
        <v>632</v>
      </c>
      <c r="T554" s="518" t="s">
        <v>2056</v>
      </c>
      <c r="U554" s="38">
        <v>84662.32</v>
      </c>
      <c r="V554" s="15" t="str">
        <f t="shared" si="58"/>
        <v/>
      </c>
      <c r="W554" s="1"/>
      <c r="X554" s="1"/>
      <c r="Y554" s="1"/>
      <c r="Z554" s="1"/>
      <c r="AA554" s="1"/>
      <c r="AB554" s="3"/>
      <c r="AC554" s="9"/>
      <c r="AD554" s="517" t="e">
        <v>#N/A</v>
      </c>
      <c r="AE554" s="517" t="e">
        <v>#N/A</v>
      </c>
      <c r="AF554" s="517" t="e">
        <v>#N/A</v>
      </c>
      <c r="AG554" s="520" t="e">
        <v>#N/A</v>
      </c>
      <c r="AH554" s="9"/>
      <c r="AI554" s="10"/>
      <c r="AJ554" s="9"/>
      <c r="AK554" s="10"/>
      <c r="AL554" s="10"/>
    </row>
    <row r="555" spans="1:38" ht="33.75" hidden="1">
      <c r="A555" s="1">
        <f t="shared" si="59"/>
        <v>0</v>
      </c>
      <c r="C555" s="3" t="s">
        <v>2069</v>
      </c>
      <c r="D555" s="15" t="s">
        <v>16</v>
      </c>
      <c r="E555" s="30"/>
      <c r="F555" s="31" t="s">
        <v>2070</v>
      </c>
      <c r="G555" s="32">
        <f>G556</f>
        <v>308250</v>
      </c>
      <c r="H555" s="32">
        <f>H556</f>
        <v>354690.59</v>
      </c>
      <c r="I555" s="15"/>
      <c r="J555" s="494"/>
      <c r="K555" s="513"/>
      <c r="L555" s="513"/>
      <c r="M555" s="513"/>
      <c r="N555" s="514"/>
      <c r="O555" s="513"/>
      <c r="P555" s="513"/>
      <c r="Q555" s="513"/>
      <c r="R555" s="513"/>
      <c r="S555" s="513"/>
      <c r="T555" s="514"/>
      <c r="U555" s="32">
        <f>U556</f>
        <v>354690.59</v>
      </c>
      <c r="V555" s="15" t="str">
        <f t="shared" si="58"/>
        <v>102022400</v>
      </c>
      <c r="W555" s="33">
        <v>1</v>
      </c>
      <c r="X555" s="34" t="s">
        <v>647</v>
      </c>
      <c r="Y555" s="34" t="s">
        <v>647</v>
      </c>
      <c r="Z555" s="35" t="s">
        <v>1867</v>
      </c>
      <c r="AA555" s="35" t="s">
        <v>630</v>
      </c>
      <c r="AB555" s="31" t="s">
        <v>2070</v>
      </c>
      <c r="AC555" s="529">
        <f>AC556</f>
        <v>354690.59</v>
      </c>
      <c r="AD555" s="513">
        <v>0</v>
      </c>
      <c r="AE555" s="513" t="s">
        <v>13447</v>
      </c>
      <c r="AF555" s="513" t="s">
        <v>221</v>
      </c>
      <c r="AG555" s="514" t="s">
        <v>2071</v>
      </c>
      <c r="AH555" s="516">
        <f>AC555</f>
        <v>354690.59</v>
      </c>
      <c r="AI555" s="10"/>
      <c r="AJ555" s="9">
        <f>AH555-H555</f>
        <v>0</v>
      </c>
      <c r="AK555" s="10"/>
      <c r="AL555" s="10"/>
    </row>
    <row r="556" spans="1:38" ht="22.5" hidden="1">
      <c r="A556" s="1">
        <f t="shared" si="59"/>
        <v>0</v>
      </c>
      <c r="B556" s="2" t="s">
        <v>2072</v>
      </c>
      <c r="C556" s="3" t="s">
        <v>2069</v>
      </c>
      <c r="D556" s="15" t="s">
        <v>11542</v>
      </c>
      <c r="E556" s="4" t="s">
        <v>2072</v>
      </c>
      <c r="F556" s="37" t="s">
        <v>2069</v>
      </c>
      <c r="G556" s="38">
        <v>308250</v>
      </c>
      <c r="H556" s="38">
        <v>354690.59</v>
      </c>
      <c r="I556" s="15"/>
      <c r="J556" s="494">
        <v>10202240101</v>
      </c>
      <c r="K556" s="517"/>
      <c r="L556" s="517" t="s">
        <v>13447</v>
      </c>
      <c r="M556" s="517" t="s">
        <v>221</v>
      </c>
      <c r="N556" s="518" t="s">
        <v>2071</v>
      </c>
      <c r="O556" s="517">
        <v>1</v>
      </c>
      <c r="P556" s="517" t="s">
        <v>647</v>
      </c>
      <c r="Q556" s="517" t="s">
        <v>647</v>
      </c>
      <c r="R556" s="517" t="s">
        <v>1867</v>
      </c>
      <c r="S556" s="517" t="s">
        <v>632</v>
      </c>
      <c r="T556" s="518" t="s">
        <v>2070</v>
      </c>
      <c r="U556" s="38">
        <v>354690.59</v>
      </c>
      <c r="V556" s="15" t="str">
        <f t="shared" si="58"/>
        <v>102022401</v>
      </c>
      <c r="W556" s="39">
        <v>1</v>
      </c>
      <c r="X556" s="40" t="s">
        <v>647</v>
      </c>
      <c r="Y556" s="40" t="s">
        <v>647</v>
      </c>
      <c r="Z556" s="40" t="s">
        <v>1867</v>
      </c>
      <c r="AA556" s="40" t="s">
        <v>632</v>
      </c>
      <c r="AB556" s="41" t="s">
        <v>2070</v>
      </c>
      <c r="AC556" s="519">
        <f>H556</f>
        <v>354690.59</v>
      </c>
      <c r="AD556" s="517">
        <v>0</v>
      </c>
      <c r="AE556" s="517" t="s">
        <v>13447</v>
      </c>
      <c r="AF556" s="517" t="s">
        <v>221</v>
      </c>
      <c r="AG556" s="520" t="s">
        <v>2071</v>
      </c>
      <c r="AH556" s="67">
        <f>AC556</f>
        <v>354690.59</v>
      </c>
      <c r="AI556" s="10"/>
      <c r="AJ556" s="9">
        <f>AH556-H556</f>
        <v>0</v>
      </c>
      <c r="AK556" s="10"/>
      <c r="AL556" s="10"/>
    </row>
    <row r="557" spans="1:38" ht="22.5" hidden="1">
      <c r="A557" s="1">
        <f t="shared" si="59"/>
        <v>0</v>
      </c>
      <c r="C557" s="3" t="s">
        <v>2073</v>
      </c>
      <c r="D557" s="15" t="s">
        <v>16</v>
      </c>
      <c r="E557" s="30"/>
      <c r="F557" s="31" t="s">
        <v>2074</v>
      </c>
      <c r="G557" s="32">
        <f>SUM(G558:G605)</f>
        <v>4839329.8899999987</v>
      </c>
      <c r="H557" s="32">
        <f>SUM(H558:H607)</f>
        <v>5405515.75</v>
      </c>
      <c r="I557" s="15"/>
      <c r="J557" s="494"/>
      <c r="K557" s="513"/>
      <c r="L557" s="513"/>
      <c r="M557" s="513"/>
      <c r="N557" s="514"/>
      <c r="O557" s="513"/>
      <c r="P557" s="513"/>
      <c r="Q557" s="513"/>
      <c r="R557" s="513"/>
      <c r="S557" s="513"/>
      <c r="T557" s="514"/>
      <c r="U557" s="32">
        <f>SUM(U558:U607)</f>
        <v>5405515.75</v>
      </c>
      <c r="V557" s="15" t="str">
        <f t="shared" si="58"/>
        <v>102022500</v>
      </c>
      <c r="W557" s="33">
        <v>1</v>
      </c>
      <c r="X557" s="34" t="s">
        <v>647</v>
      </c>
      <c r="Y557" s="34" t="s">
        <v>647</v>
      </c>
      <c r="Z557" s="35" t="s">
        <v>1871</v>
      </c>
      <c r="AA557" s="35" t="s">
        <v>630</v>
      </c>
      <c r="AB557" s="31" t="s">
        <v>2074</v>
      </c>
      <c r="AC557" s="529">
        <f>SUM(AC558:AC607)</f>
        <v>5405515.75</v>
      </c>
      <c r="AD557" s="513">
        <v>0</v>
      </c>
      <c r="AE557" s="513" t="s">
        <v>2075</v>
      </c>
      <c r="AF557" s="513" t="s">
        <v>222</v>
      </c>
      <c r="AG557" s="514" t="s">
        <v>2076</v>
      </c>
      <c r="AH557" s="522">
        <f>AC557</f>
        <v>5405515.75</v>
      </c>
      <c r="AI557" s="10"/>
      <c r="AJ557" s="9">
        <f>AH557-H557</f>
        <v>0</v>
      </c>
      <c r="AK557" s="10"/>
      <c r="AL557" s="10"/>
    </row>
    <row r="558" spans="1:38" ht="22.5" hidden="1">
      <c r="A558" s="1">
        <f t="shared" si="59"/>
        <v>0</v>
      </c>
      <c r="B558" s="2" t="s">
        <v>2077</v>
      </c>
      <c r="C558" s="3" t="s">
        <v>2078</v>
      </c>
      <c r="D558" s="15" t="s">
        <v>11543</v>
      </c>
      <c r="E558" s="4" t="s">
        <v>2077</v>
      </c>
      <c r="F558" s="37" t="s">
        <v>2078</v>
      </c>
      <c r="G558" s="38">
        <v>171816.19</v>
      </c>
      <c r="H558" s="38">
        <v>199831.19</v>
      </c>
      <c r="I558" s="15"/>
      <c r="J558" s="494">
        <v>10202250101</v>
      </c>
      <c r="K558" s="517"/>
      <c r="L558" s="517" t="s">
        <v>13448</v>
      </c>
      <c r="M558" s="517" t="s">
        <v>2080</v>
      </c>
      <c r="N558" s="518" t="s">
        <v>2081</v>
      </c>
      <c r="O558" s="517">
        <v>1</v>
      </c>
      <c r="P558" s="517" t="s">
        <v>647</v>
      </c>
      <c r="Q558" s="517" t="s">
        <v>647</v>
      </c>
      <c r="R558" s="517" t="s">
        <v>1871</v>
      </c>
      <c r="S558" s="517" t="s">
        <v>632</v>
      </c>
      <c r="T558" s="518" t="s">
        <v>2079</v>
      </c>
      <c r="U558" s="38">
        <v>199831.19</v>
      </c>
      <c r="V558" s="15" t="str">
        <f t="shared" si="58"/>
        <v>102022501</v>
      </c>
      <c r="W558" s="39">
        <v>1</v>
      </c>
      <c r="X558" s="40" t="s">
        <v>647</v>
      </c>
      <c r="Y558" s="40" t="s">
        <v>647</v>
      </c>
      <c r="Z558" s="40" t="s">
        <v>1871</v>
      </c>
      <c r="AA558" s="40" t="s">
        <v>632</v>
      </c>
      <c r="AB558" s="42" t="s">
        <v>2079</v>
      </c>
      <c r="AC558" s="519">
        <f>SUM(H558:H568)</f>
        <v>1683772.52</v>
      </c>
      <c r="AD558" s="517">
        <v>0</v>
      </c>
      <c r="AE558" s="517" t="s">
        <v>13448</v>
      </c>
      <c r="AF558" s="517" t="s">
        <v>2080</v>
      </c>
      <c r="AG558" s="518" t="s">
        <v>2081</v>
      </c>
      <c r="AH558" s="67">
        <f>AC558</f>
        <v>1683772.52</v>
      </c>
      <c r="AI558" s="10"/>
      <c r="AJ558" s="9"/>
      <c r="AK558" s="10"/>
      <c r="AL558" s="10"/>
    </row>
    <row r="559" spans="1:38" ht="22.5" hidden="1">
      <c r="A559" s="1">
        <f t="shared" si="59"/>
        <v>0</v>
      </c>
      <c r="B559" s="2" t="s">
        <v>2082</v>
      </c>
      <c r="C559" s="3" t="s">
        <v>2083</v>
      </c>
      <c r="D559" s="15" t="s">
        <v>11543</v>
      </c>
      <c r="E559" s="4" t="s">
        <v>2082</v>
      </c>
      <c r="F559" s="37" t="s">
        <v>2083</v>
      </c>
      <c r="G559" s="38">
        <v>0</v>
      </c>
      <c r="H559" s="38">
        <v>0</v>
      </c>
      <c r="I559" s="15"/>
      <c r="J559" s="494">
        <v>10202250102</v>
      </c>
      <c r="K559" s="517"/>
      <c r="L559" s="517" t="s">
        <v>13448</v>
      </c>
      <c r="M559" s="517" t="s">
        <v>2080</v>
      </c>
      <c r="N559" s="518" t="s">
        <v>2081</v>
      </c>
      <c r="O559" s="517">
        <v>1</v>
      </c>
      <c r="P559" s="517" t="s">
        <v>647</v>
      </c>
      <c r="Q559" s="517" t="s">
        <v>647</v>
      </c>
      <c r="R559" s="517" t="s">
        <v>1871</v>
      </c>
      <c r="S559" s="517" t="s">
        <v>632</v>
      </c>
      <c r="T559" s="518" t="s">
        <v>2079</v>
      </c>
      <c r="U559" s="38">
        <v>0</v>
      </c>
      <c r="V559" s="15" t="str">
        <f t="shared" si="58"/>
        <v/>
      </c>
      <c r="W559" s="1"/>
      <c r="X559" s="1"/>
      <c r="Y559" s="1"/>
      <c r="Z559" s="1"/>
      <c r="AA559" s="1"/>
      <c r="AB559" s="3"/>
      <c r="AC559" s="9"/>
      <c r="AD559" s="517" t="e">
        <v>#N/A</v>
      </c>
      <c r="AE559" s="517" t="e">
        <v>#N/A</v>
      </c>
      <c r="AF559" s="517" t="e">
        <v>#N/A</v>
      </c>
      <c r="AG559" s="520" t="e">
        <v>#N/A</v>
      </c>
      <c r="AH559" s="9"/>
      <c r="AI559" s="10"/>
      <c r="AJ559" s="9"/>
      <c r="AK559" s="10"/>
      <c r="AL559" s="10"/>
    </row>
    <row r="560" spans="1:38" ht="22.5" hidden="1">
      <c r="A560" s="1">
        <f t="shared" si="59"/>
        <v>0</v>
      </c>
      <c r="B560" s="2" t="s">
        <v>2084</v>
      </c>
      <c r="C560" s="3" t="s">
        <v>2085</v>
      </c>
      <c r="D560" s="15" t="s">
        <v>11543</v>
      </c>
      <c r="E560" s="4" t="s">
        <v>2084</v>
      </c>
      <c r="F560" s="37" t="s">
        <v>2085</v>
      </c>
      <c r="G560" s="38">
        <v>0</v>
      </c>
      <c r="H560" s="38">
        <v>0</v>
      </c>
      <c r="I560" s="15"/>
      <c r="J560" s="494">
        <v>10202250103</v>
      </c>
      <c r="K560" s="517"/>
      <c r="L560" s="517" t="s">
        <v>13448</v>
      </c>
      <c r="M560" s="517" t="s">
        <v>2080</v>
      </c>
      <c r="N560" s="518" t="s">
        <v>2081</v>
      </c>
      <c r="O560" s="517">
        <v>1</v>
      </c>
      <c r="P560" s="517" t="s">
        <v>647</v>
      </c>
      <c r="Q560" s="517" t="s">
        <v>647</v>
      </c>
      <c r="R560" s="517" t="s">
        <v>1871</v>
      </c>
      <c r="S560" s="517" t="s">
        <v>632</v>
      </c>
      <c r="T560" s="518" t="s">
        <v>2079</v>
      </c>
      <c r="U560" s="38">
        <v>0</v>
      </c>
      <c r="V560" s="15" t="str">
        <f t="shared" si="58"/>
        <v/>
      </c>
      <c r="W560" s="1"/>
      <c r="X560" s="1"/>
      <c r="Y560" s="1"/>
      <c r="Z560" s="1"/>
      <c r="AA560" s="1"/>
      <c r="AB560" s="3"/>
      <c r="AC560" s="9"/>
      <c r="AD560" s="517" t="e">
        <v>#N/A</v>
      </c>
      <c r="AE560" s="517" t="e">
        <v>#N/A</v>
      </c>
      <c r="AF560" s="517" t="e">
        <v>#N/A</v>
      </c>
      <c r="AG560" s="520" t="e">
        <v>#N/A</v>
      </c>
      <c r="AH560" s="9"/>
      <c r="AI560" s="10"/>
      <c r="AJ560" s="9"/>
      <c r="AK560" s="10"/>
      <c r="AL560" s="10"/>
    </row>
    <row r="561" spans="1:38" ht="22.5" hidden="1">
      <c r="A561" s="1">
        <f t="shared" si="59"/>
        <v>0</v>
      </c>
      <c r="B561" s="2" t="s">
        <v>2086</v>
      </c>
      <c r="C561" s="3" t="s">
        <v>2087</v>
      </c>
      <c r="D561" s="15" t="s">
        <v>11543</v>
      </c>
      <c r="E561" s="4" t="s">
        <v>2086</v>
      </c>
      <c r="F561" s="37" t="s">
        <v>2087</v>
      </c>
      <c r="G561" s="38">
        <v>4733.1499999999996</v>
      </c>
      <c r="H561" s="38">
        <v>4733.1499999999996</v>
      </c>
      <c r="I561" s="15"/>
      <c r="J561" s="494">
        <v>10202250104</v>
      </c>
      <c r="K561" s="517"/>
      <c r="L561" s="517" t="s">
        <v>13448</v>
      </c>
      <c r="M561" s="517" t="s">
        <v>2080</v>
      </c>
      <c r="N561" s="518" t="s">
        <v>2081</v>
      </c>
      <c r="O561" s="517">
        <v>1</v>
      </c>
      <c r="P561" s="517" t="s">
        <v>647</v>
      </c>
      <c r="Q561" s="517" t="s">
        <v>647</v>
      </c>
      <c r="R561" s="517" t="s">
        <v>1871</v>
      </c>
      <c r="S561" s="517" t="s">
        <v>632</v>
      </c>
      <c r="T561" s="518" t="s">
        <v>2079</v>
      </c>
      <c r="U561" s="38">
        <v>4733.1499999999996</v>
      </c>
      <c r="V561" s="15" t="str">
        <f t="shared" si="58"/>
        <v/>
      </c>
      <c r="W561" s="1"/>
      <c r="X561" s="1"/>
      <c r="Y561" s="1"/>
      <c r="Z561" s="1"/>
      <c r="AA561" s="1"/>
      <c r="AB561" s="3"/>
      <c r="AC561" s="9"/>
      <c r="AD561" s="517" t="e">
        <v>#N/A</v>
      </c>
      <c r="AE561" s="517" t="e">
        <v>#N/A</v>
      </c>
      <c r="AF561" s="517" t="e">
        <v>#N/A</v>
      </c>
      <c r="AG561" s="520" t="e">
        <v>#N/A</v>
      </c>
      <c r="AH561" s="9"/>
      <c r="AI561" s="10"/>
      <c r="AJ561" s="9"/>
      <c r="AK561" s="10"/>
      <c r="AL561" s="10"/>
    </row>
    <row r="562" spans="1:38" ht="22.5" hidden="1">
      <c r="A562" s="1">
        <f t="shared" si="59"/>
        <v>0</v>
      </c>
      <c r="B562" s="2" t="s">
        <v>2088</v>
      </c>
      <c r="C562" s="3" t="s">
        <v>2089</v>
      </c>
      <c r="D562" s="15" t="s">
        <v>11543</v>
      </c>
      <c r="E562" s="4" t="s">
        <v>2088</v>
      </c>
      <c r="F562" s="37" t="s">
        <v>2089</v>
      </c>
      <c r="G562" s="38">
        <v>0</v>
      </c>
      <c r="H562" s="38">
        <v>0</v>
      </c>
      <c r="I562" s="15"/>
      <c r="J562" s="494">
        <v>10202250105</v>
      </c>
      <c r="K562" s="517"/>
      <c r="L562" s="517" t="s">
        <v>13448</v>
      </c>
      <c r="M562" s="517" t="s">
        <v>2080</v>
      </c>
      <c r="N562" s="518" t="s">
        <v>2081</v>
      </c>
      <c r="O562" s="517">
        <v>1</v>
      </c>
      <c r="P562" s="517" t="s">
        <v>647</v>
      </c>
      <c r="Q562" s="517" t="s">
        <v>647</v>
      </c>
      <c r="R562" s="517" t="s">
        <v>1871</v>
      </c>
      <c r="S562" s="517" t="s">
        <v>632</v>
      </c>
      <c r="T562" s="518" t="s">
        <v>2079</v>
      </c>
      <c r="U562" s="38">
        <v>0</v>
      </c>
      <c r="V562" s="15" t="str">
        <f t="shared" si="58"/>
        <v/>
      </c>
      <c r="W562" s="1"/>
      <c r="X562" s="1"/>
      <c r="Y562" s="1"/>
      <c r="Z562" s="1"/>
      <c r="AA562" s="1"/>
      <c r="AB562" s="3"/>
      <c r="AC562" s="9"/>
      <c r="AD562" s="517" t="e">
        <v>#N/A</v>
      </c>
      <c r="AE562" s="517" t="e">
        <v>#N/A</v>
      </c>
      <c r="AF562" s="517" t="e">
        <v>#N/A</v>
      </c>
      <c r="AG562" s="520" t="e">
        <v>#N/A</v>
      </c>
      <c r="AH562" s="9"/>
      <c r="AI562" s="10"/>
      <c r="AJ562" s="9"/>
      <c r="AK562" s="10"/>
      <c r="AL562" s="10"/>
    </row>
    <row r="563" spans="1:38" ht="22.5" hidden="1">
      <c r="A563" s="1">
        <f t="shared" si="59"/>
        <v>0</v>
      </c>
      <c r="B563" s="2" t="s">
        <v>2090</v>
      </c>
      <c r="C563" s="3" t="s">
        <v>2091</v>
      </c>
      <c r="D563" s="15" t="s">
        <v>11543</v>
      </c>
      <c r="E563" s="4" t="s">
        <v>2090</v>
      </c>
      <c r="F563" s="37" t="s">
        <v>2091</v>
      </c>
      <c r="G563" s="38">
        <v>0</v>
      </c>
      <c r="H563" s="38">
        <v>0</v>
      </c>
      <c r="I563" s="15"/>
      <c r="J563" s="494">
        <v>10202250106</v>
      </c>
      <c r="K563" s="517"/>
      <c r="L563" s="517" t="s">
        <v>13448</v>
      </c>
      <c r="M563" s="517" t="s">
        <v>2080</v>
      </c>
      <c r="N563" s="518" t="s">
        <v>2081</v>
      </c>
      <c r="O563" s="517">
        <v>1</v>
      </c>
      <c r="P563" s="517" t="s">
        <v>647</v>
      </c>
      <c r="Q563" s="517" t="s">
        <v>647</v>
      </c>
      <c r="R563" s="517" t="s">
        <v>1871</v>
      </c>
      <c r="S563" s="517" t="s">
        <v>632</v>
      </c>
      <c r="T563" s="518" t="s">
        <v>2079</v>
      </c>
      <c r="U563" s="38">
        <v>0</v>
      </c>
      <c r="V563" s="15" t="str">
        <f t="shared" si="58"/>
        <v/>
      </c>
      <c r="W563" s="1"/>
      <c r="X563" s="1"/>
      <c r="Y563" s="1"/>
      <c r="Z563" s="1"/>
      <c r="AA563" s="1"/>
      <c r="AB563" s="3"/>
      <c r="AC563" s="9"/>
      <c r="AD563" s="517" t="e">
        <v>#N/A</v>
      </c>
      <c r="AE563" s="517" t="e">
        <v>#N/A</v>
      </c>
      <c r="AF563" s="517" t="e">
        <v>#N/A</v>
      </c>
      <c r="AG563" s="520" t="e">
        <v>#N/A</v>
      </c>
      <c r="AH563" s="9"/>
      <c r="AI563" s="10"/>
      <c r="AJ563" s="9"/>
      <c r="AK563" s="10"/>
      <c r="AL563" s="10"/>
    </row>
    <row r="564" spans="1:38" ht="22.5" hidden="1">
      <c r="A564" s="1">
        <f t="shared" si="59"/>
        <v>0</v>
      </c>
      <c r="B564" s="2" t="s">
        <v>2092</v>
      </c>
      <c r="C564" s="3" t="s">
        <v>2093</v>
      </c>
      <c r="D564" s="15" t="s">
        <v>11543</v>
      </c>
      <c r="E564" s="4" t="s">
        <v>2092</v>
      </c>
      <c r="F564" s="37" t="s">
        <v>2093</v>
      </c>
      <c r="G564" s="38">
        <v>0</v>
      </c>
      <c r="H564" s="38">
        <v>0</v>
      </c>
      <c r="I564" s="15"/>
      <c r="J564" s="494">
        <v>10202250107</v>
      </c>
      <c r="K564" s="517"/>
      <c r="L564" s="517" t="s">
        <v>13448</v>
      </c>
      <c r="M564" s="517" t="s">
        <v>2080</v>
      </c>
      <c r="N564" s="518" t="s">
        <v>2081</v>
      </c>
      <c r="O564" s="517">
        <v>1</v>
      </c>
      <c r="P564" s="517" t="s">
        <v>647</v>
      </c>
      <c r="Q564" s="517" t="s">
        <v>647</v>
      </c>
      <c r="R564" s="517" t="s">
        <v>1871</v>
      </c>
      <c r="S564" s="517" t="s">
        <v>632</v>
      </c>
      <c r="T564" s="518" t="s">
        <v>2079</v>
      </c>
      <c r="U564" s="38">
        <v>0</v>
      </c>
      <c r="V564" s="15" t="str">
        <f t="shared" si="58"/>
        <v/>
      </c>
      <c r="W564" s="1"/>
      <c r="X564" s="1"/>
      <c r="Y564" s="1"/>
      <c r="Z564" s="1"/>
      <c r="AA564" s="1"/>
      <c r="AB564" s="3"/>
      <c r="AC564" s="9"/>
      <c r="AD564" s="517" t="e">
        <v>#N/A</v>
      </c>
      <c r="AE564" s="517" t="e">
        <v>#N/A</v>
      </c>
      <c r="AF564" s="517" t="e">
        <v>#N/A</v>
      </c>
      <c r="AG564" s="520" t="e">
        <v>#N/A</v>
      </c>
      <c r="AH564" s="9"/>
      <c r="AI564" s="10"/>
      <c r="AJ564" s="9"/>
      <c r="AK564" s="10"/>
      <c r="AL564" s="10"/>
    </row>
    <row r="565" spans="1:38" ht="22.5" hidden="1">
      <c r="A565" s="1">
        <f t="shared" si="59"/>
        <v>0</v>
      </c>
      <c r="B565" s="2" t="s">
        <v>2094</v>
      </c>
      <c r="C565" s="3" t="s">
        <v>2095</v>
      </c>
      <c r="D565" s="15" t="s">
        <v>11543</v>
      </c>
      <c r="E565" s="4" t="s">
        <v>2094</v>
      </c>
      <c r="F565" s="37" t="s">
        <v>2095</v>
      </c>
      <c r="G565" s="38">
        <v>0</v>
      </c>
      <c r="H565" s="38">
        <v>0</v>
      </c>
      <c r="I565" s="15"/>
      <c r="J565" s="494">
        <v>10202250108</v>
      </c>
      <c r="K565" s="517"/>
      <c r="L565" s="517" t="s">
        <v>13448</v>
      </c>
      <c r="M565" s="517" t="s">
        <v>2080</v>
      </c>
      <c r="N565" s="518" t="s">
        <v>2081</v>
      </c>
      <c r="O565" s="517">
        <v>1</v>
      </c>
      <c r="P565" s="517" t="s">
        <v>647</v>
      </c>
      <c r="Q565" s="517" t="s">
        <v>647</v>
      </c>
      <c r="R565" s="517" t="s">
        <v>1871</v>
      </c>
      <c r="S565" s="517" t="s">
        <v>632</v>
      </c>
      <c r="T565" s="518" t="s">
        <v>2079</v>
      </c>
      <c r="U565" s="38">
        <v>0</v>
      </c>
      <c r="V565" s="15" t="str">
        <f t="shared" si="58"/>
        <v/>
      </c>
      <c r="W565" s="1"/>
      <c r="X565" s="1"/>
      <c r="Y565" s="1"/>
      <c r="Z565" s="1"/>
      <c r="AA565" s="1"/>
      <c r="AB565" s="3"/>
      <c r="AC565" s="9"/>
      <c r="AD565" s="517" t="e">
        <v>#N/A</v>
      </c>
      <c r="AE565" s="517" t="e">
        <v>#N/A</v>
      </c>
      <c r="AF565" s="517" t="e">
        <v>#N/A</v>
      </c>
      <c r="AG565" s="520" t="e">
        <v>#N/A</v>
      </c>
      <c r="AH565" s="9"/>
      <c r="AI565" s="10"/>
      <c r="AJ565" s="9"/>
      <c r="AK565" s="10"/>
      <c r="AL565" s="10"/>
    </row>
    <row r="566" spans="1:38" ht="22.5" hidden="1">
      <c r="A566" s="1">
        <f t="shared" si="59"/>
        <v>0</v>
      </c>
      <c r="B566" s="2" t="s">
        <v>2096</v>
      </c>
      <c r="C566" s="3" t="s">
        <v>2097</v>
      </c>
      <c r="D566" s="15" t="s">
        <v>11543</v>
      </c>
      <c r="E566" s="4" t="s">
        <v>2096</v>
      </c>
      <c r="F566" s="37" t="s">
        <v>2097</v>
      </c>
      <c r="G566" s="38">
        <v>5268.65</v>
      </c>
      <c r="H566" s="38">
        <v>5268.65</v>
      </c>
      <c r="I566" s="15"/>
      <c r="J566" s="494">
        <v>10202250109</v>
      </c>
      <c r="K566" s="517"/>
      <c r="L566" s="517" t="s">
        <v>13448</v>
      </c>
      <c r="M566" s="517" t="s">
        <v>2080</v>
      </c>
      <c r="N566" s="518" t="s">
        <v>2081</v>
      </c>
      <c r="O566" s="517">
        <v>1</v>
      </c>
      <c r="P566" s="517" t="s">
        <v>647</v>
      </c>
      <c r="Q566" s="517" t="s">
        <v>647</v>
      </c>
      <c r="R566" s="517" t="s">
        <v>1871</v>
      </c>
      <c r="S566" s="517" t="s">
        <v>632</v>
      </c>
      <c r="T566" s="518" t="s">
        <v>2079</v>
      </c>
      <c r="U566" s="38">
        <v>5268.65</v>
      </c>
      <c r="V566" s="15" t="str">
        <f t="shared" si="58"/>
        <v/>
      </c>
      <c r="W566" s="1"/>
      <c r="X566" s="1"/>
      <c r="Y566" s="1"/>
      <c r="Z566" s="1"/>
      <c r="AA566" s="1"/>
      <c r="AB566" s="3"/>
      <c r="AC566" s="9"/>
      <c r="AD566" s="517" t="e">
        <v>#N/A</v>
      </c>
      <c r="AE566" s="517" t="e">
        <v>#N/A</v>
      </c>
      <c r="AF566" s="517" t="e">
        <v>#N/A</v>
      </c>
      <c r="AG566" s="520" t="e">
        <v>#N/A</v>
      </c>
      <c r="AH566" s="9"/>
      <c r="AI566" s="10"/>
      <c r="AJ566" s="9"/>
      <c r="AK566" s="10"/>
      <c r="AL566" s="10"/>
    </row>
    <row r="567" spans="1:38" ht="22.5" hidden="1">
      <c r="A567" s="1">
        <f t="shared" si="59"/>
        <v>0</v>
      </c>
      <c r="B567" s="2" t="s">
        <v>2098</v>
      </c>
      <c r="C567" s="3" t="s">
        <v>2099</v>
      </c>
      <c r="D567" s="15" t="s">
        <v>11543</v>
      </c>
      <c r="E567" s="4" t="s">
        <v>2098</v>
      </c>
      <c r="F567" s="37" t="s">
        <v>2099</v>
      </c>
      <c r="G567" s="38">
        <v>1095780.76</v>
      </c>
      <c r="H567" s="38">
        <v>133185.35999999999</v>
      </c>
      <c r="I567" s="15"/>
      <c r="J567" s="494">
        <v>10202250110</v>
      </c>
      <c r="K567" s="517"/>
      <c r="L567" s="517" t="s">
        <v>13448</v>
      </c>
      <c r="M567" s="517" t="s">
        <v>2080</v>
      </c>
      <c r="N567" s="518" t="s">
        <v>2081</v>
      </c>
      <c r="O567" s="517">
        <v>1</v>
      </c>
      <c r="P567" s="517" t="s">
        <v>647</v>
      </c>
      <c r="Q567" s="517" t="s">
        <v>647</v>
      </c>
      <c r="R567" s="517" t="s">
        <v>1871</v>
      </c>
      <c r="S567" s="517" t="s">
        <v>632</v>
      </c>
      <c r="T567" s="518" t="s">
        <v>2079</v>
      </c>
      <c r="U567" s="38">
        <v>133185.35999999999</v>
      </c>
      <c r="V567" s="15" t="str">
        <f t="shared" si="58"/>
        <v/>
      </c>
      <c r="W567" s="1"/>
      <c r="X567" s="1"/>
      <c r="Y567" s="1"/>
      <c r="Z567" s="1"/>
      <c r="AA567" s="1"/>
      <c r="AB567" s="3"/>
      <c r="AC567" s="9"/>
      <c r="AD567" s="517" t="e">
        <v>#N/A</v>
      </c>
      <c r="AE567" s="517" t="e">
        <v>#N/A</v>
      </c>
      <c r="AF567" s="517" t="e">
        <v>#N/A</v>
      </c>
      <c r="AG567" s="520" t="e">
        <v>#N/A</v>
      </c>
      <c r="AH567" s="9"/>
      <c r="AI567" s="10"/>
      <c r="AJ567" s="9"/>
      <c r="AK567" s="10"/>
      <c r="AL567" s="10"/>
    </row>
    <row r="568" spans="1:38" ht="22.5" hidden="1">
      <c r="A568" s="1">
        <f t="shared" si="59"/>
        <v>0</v>
      </c>
      <c r="B568" s="2" t="s">
        <v>2100</v>
      </c>
      <c r="C568" s="3" t="s">
        <v>2101</v>
      </c>
      <c r="D568" s="15" t="s">
        <v>11543</v>
      </c>
      <c r="E568" s="4" t="s">
        <v>2100</v>
      </c>
      <c r="F568" s="37" t="s">
        <v>2101</v>
      </c>
      <c r="G568" s="38"/>
      <c r="H568" s="38">
        <v>1340754.17</v>
      </c>
      <c r="I568" s="15"/>
      <c r="J568" s="494">
        <v>10202250111</v>
      </c>
      <c r="K568" s="517"/>
      <c r="L568" s="517" t="s">
        <v>13448</v>
      </c>
      <c r="M568" s="517" t="s">
        <v>2080</v>
      </c>
      <c r="N568" s="518" t="s">
        <v>2081</v>
      </c>
      <c r="O568" s="517">
        <v>1</v>
      </c>
      <c r="P568" s="517" t="s">
        <v>647</v>
      </c>
      <c r="Q568" s="517" t="s">
        <v>647</v>
      </c>
      <c r="R568" s="517" t="s">
        <v>1871</v>
      </c>
      <c r="S568" s="517" t="s">
        <v>632</v>
      </c>
      <c r="T568" s="518" t="s">
        <v>2079</v>
      </c>
      <c r="U568" s="38">
        <v>1340754.17</v>
      </c>
      <c r="V568" s="15" t="str">
        <f t="shared" si="58"/>
        <v/>
      </c>
      <c r="W568" s="1"/>
      <c r="X568" s="1"/>
      <c r="Y568" s="1"/>
      <c r="Z568" s="1"/>
      <c r="AA568" s="1"/>
      <c r="AB568" s="3"/>
      <c r="AC568" s="9"/>
      <c r="AD568" s="517" t="e">
        <v>#N/A</v>
      </c>
      <c r="AE568" s="517" t="e">
        <v>#N/A</v>
      </c>
      <c r="AF568" s="517" t="e">
        <v>#N/A</v>
      </c>
      <c r="AG568" s="520" t="e">
        <v>#N/A</v>
      </c>
      <c r="AH568" s="9"/>
      <c r="AI568" s="10"/>
      <c r="AJ568" s="9"/>
      <c r="AK568" s="10"/>
      <c r="AL568" s="10"/>
    </row>
    <row r="569" spans="1:38" ht="22.5" hidden="1">
      <c r="A569" s="1">
        <f t="shared" si="59"/>
        <v>0</v>
      </c>
      <c r="B569" s="2" t="s">
        <v>2102</v>
      </c>
      <c r="C569" s="3" t="s">
        <v>2103</v>
      </c>
      <c r="D569" s="15" t="s">
        <v>11544</v>
      </c>
      <c r="E569" s="4" t="s">
        <v>2102</v>
      </c>
      <c r="F569" s="37" t="s">
        <v>2103</v>
      </c>
      <c r="G569" s="38">
        <v>22716.78</v>
      </c>
      <c r="H569" s="38">
        <v>22716.78</v>
      </c>
      <c r="I569" s="15"/>
      <c r="J569" s="494">
        <v>10202250301</v>
      </c>
      <c r="K569" s="517"/>
      <c r="L569" s="517" t="s">
        <v>13448</v>
      </c>
      <c r="M569" s="517" t="s">
        <v>2080</v>
      </c>
      <c r="N569" s="518" t="s">
        <v>2081</v>
      </c>
      <c r="O569" s="517">
        <v>1</v>
      </c>
      <c r="P569" s="517" t="s">
        <v>647</v>
      </c>
      <c r="Q569" s="517" t="s">
        <v>647</v>
      </c>
      <c r="R569" s="517" t="s">
        <v>1871</v>
      </c>
      <c r="S569" s="517" t="s">
        <v>671</v>
      </c>
      <c r="T569" s="518" t="s">
        <v>2104</v>
      </c>
      <c r="U569" s="38">
        <v>22716.78</v>
      </c>
      <c r="V569" s="15" t="str">
        <f t="shared" si="58"/>
        <v>102022503</v>
      </c>
      <c r="W569" s="39">
        <v>1</v>
      </c>
      <c r="X569" s="40" t="s">
        <v>647</v>
      </c>
      <c r="Y569" s="40" t="s">
        <v>647</v>
      </c>
      <c r="Z569" s="40" t="s">
        <v>1871</v>
      </c>
      <c r="AA569" s="40" t="s">
        <v>671</v>
      </c>
      <c r="AB569" s="42" t="s">
        <v>2104</v>
      </c>
      <c r="AC569" s="519">
        <f>SUM(H569:H571)</f>
        <v>2193708.7199999997</v>
      </c>
      <c r="AD569" s="517">
        <v>0</v>
      </c>
      <c r="AE569" s="517" t="s">
        <v>13448</v>
      </c>
      <c r="AF569" s="517" t="s">
        <v>2080</v>
      </c>
      <c r="AG569" s="518" t="s">
        <v>2081</v>
      </c>
      <c r="AH569" s="67">
        <f>AC569</f>
        <v>2193708.7199999997</v>
      </c>
      <c r="AI569" s="10"/>
      <c r="AJ569" s="9"/>
      <c r="AK569" s="10"/>
      <c r="AL569" s="10"/>
    </row>
    <row r="570" spans="1:38" ht="22.5" hidden="1">
      <c r="A570" s="1">
        <f t="shared" si="59"/>
        <v>0</v>
      </c>
      <c r="B570" s="2" t="s">
        <v>2105</v>
      </c>
      <c r="C570" s="3" t="s">
        <v>2106</v>
      </c>
      <c r="D570" s="15" t="s">
        <v>11544</v>
      </c>
      <c r="E570" s="4" t="s">
        <v>2105</v>
      </c>
      <c r="F570" s="37" t="s">
        <v>2106</v>
      </c>
      <c r="G570" s="38">
        <v>0</v>
      </c>
      <c r="H570" s="38">
        <v>0</v>
      </c>
      <c r="I570" s="15"/>
      <c r="J570" s="494">
        <v>10202250302</v>
      </c>
      <c r="K570" s="517"/>
      <c r="L570" s="517" t="s">
        <v>13448</v>
      </c>
      <c r="M570" s="517" t="s">
        <v>2080</v>
      </c>
      <c r="N570" s="518" t="s">
        <v>2081</v>
      </c>
      <c r="O570" s="517">
        <v>1</v>
      </c>
      <c r="P570" s="517" t="s">
        <v>647</v>
      </c>
      <c r="Q570" s="517" t="s">
        <v>647</v>
      </c>
      <c r="R570" s="517" t="s">
        <v>1871</v>
      </c>
      <c r="S570" s="517" t="s">
        <v>671</v>
      </c>
      <c r="T570" s="518" t="s">
        <v>2104</v>
      </c>
      <c r="U570" s="38">
        <v>0</v>
      </c>
      <c r="V570" s="15" t="str">
        <f t="shared" si="58"/>
        <v/>
      </c>
      <c r="W570" s="1"/>
      <c r="X570" s="1"/>
      <c r="Y570" s="1"/>
      <c r="Z570" s="1"/>
      <c r="AA570" s="1"/>
      <c r="AB570" s="3"/>
      <c r="AC570" s="9"/>
      <c r="AD570" s="517" t="e">
        <v>#N/A</v>
      </c>
      <c r="AE570" s="517" t="e">
        <v>#N/A</v>
      </c>
      <c r="AF570" s="517" t="e">
        <v>#N/A</v>
      </c>
      <c r="AG570" s="520" t="e">
        <v>#N/A</v>
      </c>
      <c r="AH570" s="9"/>
      <c r="AI570" s="10"/>
      <c r="AJ570" s="9"/>
      <c r="AK570" s="10"/>
      <c r="AL570" s="10"/>
    </row>
    <row r="571" spans="1:38" ht="22.5" hidden="1">
      <c r="A571" s="1">
        <f t="shared" si="59"/>
        <v>0</v>
      </c>
      <c r="B571" s="2" t="s">
        <v>2107</v>
      </c>
      <c r="C571" s="3" t="s">
        <v>2108</v>
      </c>
      <c r="D571" s="15" t="s">
        <v>11544</v>
      </c>
      <c r="E571" s="4" t="s">
        <v>2107</v>
      </c>
      <c r="F571" s="37" t="s">
        <v>2108</v>
      </c>
      <c r="G571" s="38">
        <v>1229934.8999999999</v>
      </c>
      <c r="H571" s="38">
        <v>2170991.94</v>
      </c>
      <c r="I571" s="15"/>
      <c r="J571" s="494">
        <v>10202250303</v>
      </c>
      <c r="K571" s="517"/>
      <c r="L571" s="517" t="s">
        <v>13448</v>
      </c>
      <c r="M571" s="517" t="s">
        <v>2080</v>
      </c>
      <c r="N571" s="518" t="s">
        <v>2081</v>
      </c>
      <c r="O571" s="517">
        <v>1</v>
      </c>
      <c r="P571" s="517" t="s">
        <v>647</v>
      </c>
      <c r="Q571" s="517" t="s">
        <v>647</v>
      </c>
      <c r="R571" s="517" t="s">
        <v>1871</v>
      </c>
      <c r="S571" s="517" t="s">
        <v>671</v>
      </c>
      <c r="T571" s="518" t="s">
        <v>2104</v>
      </c>
      <c r="U571" s="38">
        <v>2170991.94</v>
      </c>
      <c r="V571" s="15" t="str">
        <f t="shared" si="58"/>
        <v/>
      </c>
      <c r="W571" s="1"/>
      <c r="X571" s="1"/>
      <c r="Y571" s="1"/>
      <c r="Z571" s="1"/>
      <c r="AA571" s="1"/>
      <c r="AB571" s="3"/>
      <c r="AC571" s="9"/>
      <c r="AD571" s="517" t="e">
        <v>#N/A</v>
      </c>
      <c r="AE571" s="517" t="e">
        <v>#N/A</v>
      </c>
      <c r="AF571" s="517" t="e">
        <v>#N/A</v>
      </c>
      <c r="AG571" s="520" t="e">
        <v>#N/A</v>
      </c>
      <c r="AH571" s="9"/>
      <c r="AI571" s="10"/>
      <c r="AJ571" s="9"/>
      <c r="AK571" s="10"/>
      <c r="AL571" s="10"/>
    </row>
    <row r="572" spans="1:38" ht="22.5" hidden="1">
      <c r="A572" s="1">
        <f t="shared" si="59"/>
        <v>0</v>
      </c>
      <c r="B572" s="2" t="s">
        <v>2109</v>
      </c>
      <c r="C572" s="3" t="s">
        <v>2110</v>
      </c>
      <c r="D572" s="15" t="s">
        <v>11545</v>
      </c>
      <c r="E572" s="4" t="s">
        <v>2109</v>
      </c>
      <c r="F572" s="37" t="s">
        <v>2111</v>
      </c>
      <c r="G572" s="38">
        <v>237234.41</v>
      </c>
      <c r="H572" s="38">
        <v>133754.65</v>
      </c>
      <c r="I572" s="15"/>
      <c r="J572" s="494">
        <v>10202250401</v>
      </c>
      <c r="K572" s="517"/>
      <c r="L572" s="517" t="s">
        <v>13448</v>
      </c>
      <c r="M572" s="517" t="s">
        <v>2080</v>
      </c>
      <c r="N572" s="518" t="s">
        <v>2081</v>
      </c>
      <c r="O572" s="517">
        <v>1</v>
      </c>
      <c r="P572" s="517" t="s">
        <v>647</v>
      </c>
      <c r="Q572" s="517" t="s">
        <v>647</v>
      </c>
      <c r="R572" s="517" t="s">
        <v>1871</v>
      </c>
      <c r="S572" s="517" t="s">
        <v>693</v>
      </c>
      <c r="T572" s="518" t="s">
        <v>2112</v>
      </c>
      <c r="U572" s="38">
        <v>133754.65</v>
      </c>
      <c r="V572" s="15" t="str">
        <f t="shared" si="58"/>
        <v>102022504</v>
      </c>
      <c r="W572" s="39">
        <v>1</v>
      </c>
      <c r="X572" s="40" t="s">
        <v>647</v>
      </c>
      <c r="Y572" s="40" t="s">
        <v>647</v>
      </c>
      <c r="Z572" s="40" t="s">
        <v>1871</v>
      </c>
      <c r="AA572" s="40" t="s">
        <v>693</v>
      </c>
      <c r="AB572" s="42" t="s">
        <v>2112</v>
      </c>
      <c r="AC572" s="519">
        <f>SUM(H572:H596)</f>
        <v>1589371.8599999999</v>
      </c>
      <c r="AD572" s="517">
        <v>0</v>
      </c>
      <c r="AE572" s="517" t="s">
        <v>13448</v>
      </c>
      <c r="AF572" s="517" t="s">
        <v>2080</v>
      </c>
      <c r="AG572" s="518" t="s">
        <v>2081</v>
      </c>
      <c r="AH572" s="67">
        <f>AC572</f>
        <v>1589371.8599999999</v>
      </c>
      <c r="AI572" s="10"/>
      <c r="AJ572" s="9"/>
      <c r="AK572" s="10"/>
      <c r="AL572" s="10"/>
    </row>
    <row r="573" spans="1:38" ht="33.75" hidden="1">
      <c r="A573" s="1">
        <f t="shared" si="59"/>
        <v>0</v>
      </c>
      <c r="B573" s="2" t="s">
        <v>2113</v>
      </c>
      <c r="C573" s="3" t="s">
        <v>2114</v>
      </c>
      <c r="D573" s="15" t="s">
        <v>11545</v>
      </c>
      <c r="E573" s="4" t="s">
        <v>2113</v>
      </c>
      <c r="F573" s="37" t="s">
        <v>2114</v>
      </c>
      <c r="G573" s="38">
        <v>382240.32</v>
      </c>
      <c r="H573" s="38">
        <v>382240.32</v>
      </c>
      <c r="I573" s="15"/>
      <c r="J573" s="494">
        <v>10202250402</v>
      </c>
      <c r="K573" s="517"/>
      <c r="L573" s="517" t="s">
        <v>13448</v>
      </c>
      <c r="M573" s="517" t="s">
        <v>2080</v>
      </c>
      <c r="N573" s="518" t="s">
        <v>2081</v>
      </c>
      <c r="O573" s="517">
        <v>1</v>
      </c>
      <c r="P573" s="517" t="s">
        <v>647</v>
      </c>
      <c r="Q573" s="517" t="s">
        <v>647</v>
      </c>
      <c r="R573" s="517" t="s">
        <v>1871</v>
      </c>
      <c r="S573" s="517" t="s">
        <v>693</v>
      </c>
      <c r="T573" s="518" t="s">
        <v>2112</v>
      </c>
      <c r="U573" s="38">
        <v>382240.32</v>
      </c>
      <c r="V573" s="15" t="str">
        <f t="shared" si="58"/>
        <v/>
      </c>
      <c r="W573" s="1"/>
      <c r="X573" s="1"/>
      <c r="Y573" s="1"/>
      <c r="Z573" s="1"/>
      <c r="AA573" s="1"/>
      <c r="AB573" s="3"/>
      <c r="AC573" s="9"/>
      <c r="AD573" s="517" t="e">
        <v>#N/A</v>
      </c>
      <c r="AE573" s="517" t="e">
        <v>#N/A</v>
      </c>
      <c r="AF573" s="517" t="e">
        <v>#N/A</v>
      </c>
      <c r="AG573" s="520" t="e">
        <v>#N/A</v>
      </c>
      <c r="AH573" s="9"/>
      <c r="AI573" s="10"/>
      <c r="AJ573" s="9"/>
      <c r="AK573" s="10"/>
      <c r="AL573" s="10"/>
    </row>
    <row r="574" spans="1:38" ht="22.5" hidden="1">
      <c r="A574" s="1">
        <f t="shared" si="59"/>
        <v>0</v>
      </c>
      <c r="B574" s="2" t="s">
        <v>2115</v>
      </c>
      <c r="C574" s="3" t="s">
        <v>2116</v>
      </c>
      <c r="D574" s="15" t="s">
        <v>11545</v>
      </c>
      <c r="E574" s="4" t="s">
        <v>2115</v>
      </c>
      <c r="F574" s="37" t="s">
        <v>2116</v>
      </c>
      <c r="G574" s="38">
        <v>10291.11</v>
      </c>
      <c r="H574" s="38">
        <v>10291.11</v>
      </c>
      <c r="I574" s="15"/>
      <c r="J574" s="494">
        <v>10202250403</v>
      </c>
      <c r="K574" s="517"/>
      <c r="L574" s="517" t="s">
        <v>13448</v>
      </c>
      <c r="M574" s="517" t="s">
        <v>2080</v>
      </c>
      <c r="N574" s="518" t="s">
        <v>2081</v>
      </c>
      <c r="O574" s="517">
        <v>1</v>
      </c>
      <c r="P574" s="517" t="s">
        <v>647</v>
      </c>
      <c r="Q574" s="517" t="s">
        <v>647</v>
      </c>
      <c r="R574" s="517" t="s">
        <v>1871</v>
      </c>
      <c r="S574" s="517" t="s">
        <v>693</v>
      </c>
      <c r="T574" s="518" t="s">
        <v>2112</v>
      </c>
      <c r="U574" s="38">
        <v>10291.11</v>
      </c>
      <c r="V574" s="15" t="str">
        <f t="shared" si="58"/>
        <v/>
      </c>
      <c r="W574" s="1"/>
      <c r="X574" s="1"/>
      <c r="Y574" s="1"/>
      <c r="Z574" s="1"/>
      <c r="AA574" s="1"/>
      <c r="AB574" s="3"/>
      <c r="AC574" s="9"/>
      <c r="AD574" s="517" t="e">
        <v>#N/A</v>
      </c>
      <c r="AE574" s="517" t="e">
        <v>#N/A</v>
      </c>
      <c r="AF574" s="517" t="e">
        <v>#N/A</v>
      </c>
      <c r="AG574" s="520" t="e">
        <v>#N/A</v>
      </c>
      <c r="AH574" s="9"/>
      <c r="AI574" s="10"/>
      <c r="AJ574" s="9"/>
      <c r="AK574" s="10"/>
      <c r="AL574" s="10"/>
    </row>
    <row r="575" spans="1:38" ht="33.75" hidden="1">
      <c r="A575" s="1">
        <f t="shared" si="59"/>
        <v>0</v>
      </c>
      <c r="B575" s="2" t="s">
        <v>2117</v>
      </c>
      <c r="C575" s="3" t="s">
        <v>2118</v>
      </c>
      <c r="D575" s="15" t="s">
        <v>11545</v>
      </c>
      <c r="E575" s="4" t="s">
        <v>2117</v>
      </c>
      <c r="F575" s="37" t="s">
        <v>2118</v>
      </c>
      <c r="G575" s="38">
        <v>1369344.94</v>
      </c>
      <c r="H575" s="38">
        <v>753162.1</v>
      </c>
      <c r="I575" s="15"/>
      <c r="J575" s="494">
        <v>10202250404</v>
      </c>
      <c r="K575" s="517"/>
      <c r="L575" s="517" t="s">
        <v>13448</v>
      </c>
      <c r="M575" s="517" t="s">
        <v>2080</v>
      </c>
      <c r="N575" s="518" t="s">
        <v>2081</v>
      </c>
      <c r="O575" s="517">
        <v>1</v>
      </c>
      <c r="P575" s="517" t="s">
        <v>647</v>
      </c>
      <c r="Q575" s="517" t="s">
        <v>647</v>
      </c>
      <c r="R575" s="517" t="s">
        <v>1871</v>
      </c>
      <c r="S575" s="517" t="s">
        <v>693</v>
      </c>
      <c r="T575" s="518" t="s">
        <v>2112</v>
      </c>
      <c r="U575" s="38">
        <v>753162.1</v>
      </c>
      <c r="V575" s="15" t="str">
        <f t="shared" si="58"/>
        <v/>
      </c>
      <c r="W575" s="1"/>
      <c r="X575" s="1"/>
      <c r="Y575" s="1"/>
      <c r="Z575" s="1"/>
      <c r="AA575" s="1"/>
      <c r="AB575" s="3"/>
      <c r="AC575" s="9"/>
      <c r="AD575" s="517" t="e">
        <v>#N/A</v>
      </c>
      <c r="AE575" s="517" t="e">
        <v>#N/A</v>
      </c>
      <c r="AF575" s="517" t="e">
        <v>#N/A</v>
      </c>
      <c r="AG575" s="520" t="e">
        <v>#N/A</v>
      </c>
      <c r="AH575" s="9"/>
      <c r="AI575" s="10"/>
      <c r="AJ575" s="9"/>
      <c r="AK575" s="10"/>
      <c r="AL575" s="10"/>
    </row>
    <row r="576" spans="1:38" ht="33.75" hidden="1">
      <c r="A576" s="1">
        <f t="shared" si="59"/>
        <v>0</v>
      </c>
      <c r="B576" s="2" t="s">
        <v>2119</v>
      </c>
      <c r="C576" s="3" t="s">
        <v>2120</v>
      </c>
      <c r="D576" s="15" t="s">
        <v>11545</v>
      </c>
      <c r="E576" s="4" t="s">
        <v>2119</v>
      </c>
      <c r="F576" s="37" t="s">
        <v>2120</v>
      </c>
      <c r="G576" s="38">
        <v>309923.68</v>
      </c>
      <c r="H576" s="38">
        <v>309923.68</v>
      </c>
      <c r="I576" s="15"/>
      <c r="J576" s="494">
        <v>10202250405</v>
      </c>
      <c r="K576" s="517"/>
      <c r="L576" s="517" t="s">
        <v>13448</v>
      </c>
      <c r="M576" s="517" t="s">
        <v>2080</v>
      </c>
      <c r="N576" s="518" t="s">
        <v>2081</v>
      </c>
      <c r="O576" s="517">
        <v>1</v>
      </c>
      <c r="P576" s="517" t="s">
        <v>647</v>
      </c>
      <c r="Q576" s="517" t="s">
        <v>647</v>
      </c>
      <c r="R576" s="517" t="s">
        <v>1871</v>
      </c>
      <c r="S576" s="517" t="s">
        <v>693</v>
      </c>
      <c r="T576" s="518" t="s">
        <v>2112</v>
      </c>
      <c r="U576" s="38">
        <v>309923.68</v>
      </c>
      <c r="V576" s="15" t="str">
        <f t="shared" si="58"/>
        <v/>
      </c>
      <c r="W576" s="1"/>
      <c r="X576" s="1"/>
      <c r="Y576" s="1"/>
      <c r="Z576" s="1"/>
      <c r="AA576" s="1"/>
      <c r="AB576" s="3"/>
      <c r="AC576" s="9"/>
      <c r="AD576" s="517" t="e">
        <v>#N/A</v>
      </c>
      <c r="AE576" s="517" t="e">
        <v>#N/A</v>
      </c>
      <c r="AF576" s="517" t="e">
        <v>#N/A</v>
      </c>
      <c r="AG576" s="520" t="e">
        <v>#N/A</v>
      </c>
      <c r="AH576" s="9"/>
      <c r="AI576" s="10"/>
      <c r="AJ576" s="9"/>
      <c r="AK576" s="10"/>
      <c r="AL576" s="10"/>
    </row>
    <row r="577" spans="1:38" ht="33.75" hidden="1">
      <c r="A577" s="1">
        <f t="shared" si="59"/>
        <v>0</v>
      </c>
      <c r="B577" s="2" t="s">
        <v>2121</v>
      </c>
      <c r="C577" s="3" t="s">
        <v>2122</v>
      </c>
      <c r="D577" s="15" t="s">
        <v>11545</v>
      </c>
      <c r="E577" s="45" t="s">
        <v>2121</v>
      </c>
      <c r="F577" s="46" t="s">
        <v>2122</v>
      </c>
      <c r="G577" s="38">
        <v>0</v>
      </c>
      <c r="H577" s="38">
        <v>0</v>
      </c>
      <c r="I577" s="15"/>
      <c r="J577" s="494">
        <v>10202250406</v>
      </c>
      <c r="K577" s="517"/>
      <c r="L577" s="517" t="s">
        <v>13448</v>
      </c>
      <c r="M577" s="517" t="s">
        <v>2080</v>
      </c>
      <c r="N577" s="518" t="s">
        <v>2081</v>
      </c>
      <c r="O577" s="517">
        <v>1</v>
      </c>
      <c r="P577" s="517" t="s">
        <v>647</v>
      </c>
      <c r="Q577" s="517" t="s">
        <v>647</v>
      </c>
      <c r="R577" s="517" t="s">
        <v>1871</v>
      </c>
      <c r="S577" s="517" t="s">
        <v>693</v>
      </c>
      <c r="T577" s="518" t="s">
        <v>2112</v>
      </c>
      <c r="U577" s="38">
        <v>0</v>
      </c>
      <c r="V577" s="15" t="str">
        <f t="shared" si="58"/>
        <v/>
      </c>
      <c r="W577" s="1"/>
      <c r="X577" s="1"/>
      <c r="Y577" s="1"/>
      <c r="Z577" s="1"/>
      <c r="AA577" s="1"/>
      <c r="AB577" s="3"/>
      <c r="AC577" s="9"/>
      <c r="AD577" s="517" t="e">
        <v>#N/A</v>
      </c>
      <c r="AE577" s="517" t="e">
        <v>#N/A</v>
      </c>
      <c r="AF577" s="517" t="e">
        <v>#N/A</v>
      </c>
      <c r="AG577" s="520" t="e">
        <v>#N/A</v>
      </c>
      <c r="AH577" s="9"/>
      <c r="AI577" s="10"/>
      <c r="AJ577" s="9"/>
      <c r="AK577" s="10"/>
      <c r="AL577" s="10"/>
    </row>
    <row r="578" spans="1:38" ht="22.5" hidden="1">
      <c r="A578" s="1">
        <f t="shared" si="59"/>
        <v>0</v>
      </c>
      <c r="B578" s="2" t="s">
        <v>2123</v>
      </c>
      <c r="C578" s="3" t="s">
        <v>2124</v>
      </c>
      <c r="D578" s="15" t="s">
        <v>11545</v>
      </c>
      <c r="E578" s="45" t="s">
        <v>2123</v>
      </c>
      <c r="F578" s="46" t="s">
        <v>2124</v>
      </c>
      <c r="G578" s="38">
        <v>0</v>
      </c>
      <c r="H578" s="38">
        <v>0</v>
      </c>
      <c r="I578" s="15"/>
      <c r="J578" s="494">
        <v>10202250407</v>
      </c>
      <c r="K578" s="517"/>
      <c r="L578" s="517" t="s">
        <v>13448</v>
      </c>
      <c r="M578" s="517" t="s">
        <v>2080</v>
      </c>
      <c r="N578" s="518" t="s">
        <v>2081</v>
      </c>
      <c r="O578" s="517">
        <v>1</v>
      </c>
      <c r="P578" s="517" t="s">
        <v>647</v>
      </c>
      <c r="Q578" s="517" t="s">
        <v>647</v>
      </c>
      <c r="R578" s="517" t="s">
        <v>1871</v>
      </c>
      <c r="S578" s="517" t="s">
        <v>693</v>
      </c>
      <c r="T578" s="518" t="s">
        <v>2112</v>
      </c>
      <c r="U578" s="38">
        <v>0</v>
      </c>
      <c r="V578" s="15" t="str">
        <f t="shared" si="58"/>
        <v/>
      </c>
      <c r="W578" s="1"/>
      <c r="X578" s="1"/>
      <c r="Y578" s="1"/>
      <c r="Z578" s="1"/>
      <c r="AA578" s="1"/>
      <c r="AB578" s="3"/>
      <c r="AC578" s="9"/>
      <c r="AD578" s="517" t="e">
        <v>#N/A</v>
      </c>
      <c r="AE578" s="517" t="e">
        <v>#N/A</v>
      </c>
      <c r="AF578" s="517" t="e">
        <v>#N/A</v>
      </c>
      <c r="AG578" s="520" t="e">
        <v>#N/A</v>
      </c>
      <c r="AH578" s="9"/>
      <c r="AI578" s="10"/>
      <c r="AJ578" s="9"/>
      <c r="AK578" s="10"/>
      <c r="AL578" s="10"/>
    </row>
    <row r="579" spans="1:38" ht="33.75" hidden="1">
      <c r="A579" s="1">
        <f t="shared" si="59"/>
        <v>0</v>
      </c>
      <c r="B579" s="2" t="s">
        <v>2125</v>
      </c>
      <c r="C579" s="3" t="s">
        <v>2126</v>
      </c>
      <c r="D579" s="15" t="s">
        <v>11546</v>
      </c>
      <c r="E579" s="45" t="s">
        <v>2125</v>
      </c>
      <c r="F579" s="46" t="s">
        <v>2126</v>
      </c>
      <c r="G579" s="38">
        <v>0</v>
      </c>
      <c r="H579" s="38">
        <v>0</v>
      </c>
      <c r="I579" s="15"/>
      <c r="J579" s="494">
        <v>10202250501</v>
      </c>
      <c r="K579" s="517"/>
      <c r="L579" s="517" t="s">
        <v>2075</v>
      </c>
      <c r="M579" s="517" t="s">
        <v>222</v>
      </c>
      <c r="N579" s="518" t="s">
        <v>2076</v>
      </c>
      <c r="O579" s="517">
        <v>1</v>
      </c>
      <c r="P579" s="517" t="s">
        <v>647</v>
      </c>
      <c r="Q579" s="517" t="s">
        <v>647</v>
      </c>
      <c r="R579" s="517" t="s">
        <v>1871</v>
      </c>
      <c r="S579" s="517" t="s">
        <v>630</v>
      </c>
      <c r="T579" s="518" t="s">
        <v>2074</v>
      </c>
      <c r="U579" s="38">
        <v>0</v>
      </c>
      <c r="V579" s="15" t="str">
        <f t="shared" ref="V579:V642" si="61">CONCATENATE(W579,X579,Y579,Z579,AA579)</f>
        <v/>
      </c>
      <c r="W579" s="1"/>
      <c r="X579" s="1"/>
      <c r="Y579" s="1"/>
      <c r="Z579" s="1"/>
      <c r="AA579" s="1"/>
      <c r="AB579" s="3"/>
      <c r="AC579" s="9"/>
      <c r="AD579" s="517" t="e">
        <v>#N/A</v>
      </c>
      <c r="AE579" s="517" t="e">
        <v>#N/A</v>
      </c>
      <c r="AF579" s="517" t="e">
        <v>#N/A</v>
      </c>
      <c r="AG579" s="520" t="e">
        <v>#N/A</v>
      </c>
      <c r="AH579" s="9"/>
      <c r="AI579" s="10"/>
      <c r="AJ579" s="9"/>
      <c r="AK579" s="10"/>
      <c r="AL579" s="10"/>
    </row>
    <row r="580" spans="1:38" ht="33.75" hidden="1">
      <c r="A580" s="1">
        <f t="shared" si="59"/>
        <v>0</v>
      </c>
      <c r="B580" s="2" t="s">
        <v>2127</v>
      </c>
      <c r="C580" s="3" t="s">
        <v>2128</v>
      </c>
      <c r="D580" s="15" t="s">
        <v>11547</v>
      </c>
      <c r="E580" s="45" t="s">
        <v>2127</v>
      </c>
      <c r="F580" s="46" t="s">
        <v>2128</v>
      </c>
      <c r="G580" s="38">
        <v>0</v>
      </c>
      <c r="H580" s="38">
        <v>0</v>
      </c>
      <c r="I580" s="15"/>
      <c r="J580" s="494">
        <v>10202250601</v>
      </c>
      <c r="K580" s="517"/>
      <c r="L580" s="517" t="s">
        <v>2075</v>
      </c>
      <c r="M580" s="517" t="s">
        <v>222</v>
      </c>
      <c r="N580" s="518" t="s">
        <v>2076</v>
      </c>
      <c r="O580" s="517">
        <v>1</v>
      </c>
      <c r="P580" s="517" t="s">
        <v>647</v>
      </c>
      <c r="Q580" s="517" t="s">
        <v>647</v>
      </c>
      <c r="R580" s="517" t="s">
        <v>1871</v>
      </c>
      <c r="S580" s="517" t="s">
        <v>630</v>
      </c>
      <c r="T580" s="518" t="s">
        <v>2074</v>
      </c>
      <c r="U580" s="38">
        <v>0</v>
      </c>
      <c r="V580" s="15" t="str">
        <f t="shared" si="61"/>
        <v/>
      </c>
      <c r="W580" s="1"/>
      <c r="X580" s="1"/>
      <c r="Y580" s="1"/>
      <c r="Z580" s="1"/>
      <c r="AA580" s="1"/>
      <c r="AB580" s="3"/>
      <c r="AC580" s="9"/>
      <c r="AD580" s="517" t="e">
        <v>#N/A</v>
      </c>
      <c r="AE580" s="517" t="e">
        <v>#N/A</v>
      </c>
      <c r="AF580" s="517" t="e">
        <v>#N/A</v>
      </c>
      <c r="AG580" s="520" t="e">
        <v>#N/A</v>
      </c>
      <c r="AH580" s="9"/>
      <c r="AI580" s="10"/>
      <c r="AJ580" s="9"/>
      <c r="AK580" s="10"/>
      <c r="AL580" s="10"/>
    </row>
    <row r="581" spans="1:38" ht="33.75" hidden="1">
      <c r="A581" s="1">
        <f t="shared" si="59"/>
        <v>0</v>
      </c>
      <c r="B581" s="2" t="s">
        <v>2129</v>
      </c>
      <c r="C581" s="3" t="s">
        <v>2130</v>
      </c>
      <c r="D581" s="15" t="s">
        <v>11548</v>
      </c>
      <c r="E581" s="45" t="s">
        <v>2129</v>
      </c>
      <c r="F581" s="46" t="s">
        <v>2130</v>
      </c>
      <c r="G581" s="38">
        <v>0</v>
      </c>
      <c r="H581" s="38">
        <v>0</v>
      </c>
      <c r="I581" s="15"/>
      <c r="J581" s="494">
        <v>10202250701</v>
      </c>
      <c r="K581" s="517"/>
      <c r="L581" s="517" t="s">
        <v>2075</v>
      </c>
      <c r="M581" s="517" t="s">
        <v>222</v>
      </c>
      <c r="N581" s="518" t="s">
        <v>2076</v>
      </c>
      <c r="O581" s="517">
        <v>1</v>
      </c>
      <c r="P581" s="517" t="s">
        <v>647</v>
      </c>
      <c r="Q581" s="517" t="s">
        <v>647</v>
      </c>
      <c r="R581" s="517" t="s">
        <v>1871</v>
      </c>
      <c r="S581" s="517" t="s">
        <v>630</v>
      </c>
      <c r="T581" s="518" t="s">
        <v>2074</v>
      </c>
      <c r="U581" s="38">
        <v>0</v>
      </c>
      <c r="V581" s="15" t="str">
        <f t="shared" si="61"/>
        <v/>
      </c>
      <c r="W581" s="1"/>
      <c r="X581" s="1"/>
      <c r="Y581" s="1"/>
      <c r="Z581" s="1"/>
      <c r="AA581" s="1"/>
      <c r="AB581" s="3"/>
      <c r="AC581" s="9"/>
      <c r="AD581" s="517" t="e">
        <v>#N/A</v>
      </c>
      <c r="AE581" s="517" t="e">
        <v>#N/A</v>
      </c>
      <c r="AF581" s="517" t="e">
        <v>#N/A</v>
      </c>
      <c r="AG581" s="520" t="e">
        <v>#N/A</v>
      </c>
      <c r="AH581" s="9"/>
      <c r="AI581" s="10"/>
      <c r="AJ581" s="9"/>
      <c r="AK581" s="10"/>
      <c r="AL581" s="10"/>
    </row>
    <row r="582" spans="1:38" ht="22.5" hidden="1">
      <c r="A582" s="1">
        <f t="shared" si="59"/>
        <v>0</v>
      </c>
      <c r="B582" s="2" t="s">
        <v>2131</v>
      </c>
      <c r="C582" s="3" t="s">
        <v>2132</v>
      </c>
      <c r="D582" s="15" t="s">
        <v>11549</v>
      </c>
      <c r="E582" s="45" t="s">
        <v>2131</v>
      </c>
      <c r="F582" s="46" t="s">
        <v>2132</v>
      </c>
      <c r="G582" s="38">
        <v>0</v>
      </c>
      <c r="H582" s="38">
        <v>0</v>
      </c>
      <c r="I582" s="15"/>
      <c r="J582" s="494">
        <v>10202250801</v>
      </c>
      <c r="K582" s="517"/>
      <c r="L582" s="517" t="s">
        <v>2075</v>
      </c>
      <c r="M582" s="517" t="s">
        <v>222</v>
      </c>
      <c r="N582" s="518" t="s">
        <v>2076</v>
      </c>
      <c r="O582" s="517">
        <v>1</v>
      </c>
      <c r="P582" s="517" t="s">
        <v>647</v>
      </c>
      <c r="Q582" s="517" t="s">
        <v>647</v>
      </c>
      <c r="R582" s="517" t="s">
        <v>1871</v>
      </c>
      <c r="S582" s="517" t="s">
        <v>630</v>
      </c>
      <c r="T582" s="518" t="s">
        <v>2074</v>
      </c>
      <c r="U582" s="38">
        <v>0</v>
      </c>
      <c r="V582" s="15" t="str">
        <f t="shared" si="61"/>
        <v/>
      </c>
      <c r="W582" s="1"/>
      <c r="X582" s="1"/>
      <c r="Y582" s="1"/>
      <c r="Z582" s="1"/>
      <c r="AA582" s="1"/>
      <c r="AB582" s="3"/>
      <c r="AC582" s="9"/>
      <c r="AD582" s="517" t="e">
        <v>#N/A</v>
      </c>
      <c r="AE582" s="517" t="e">
        <v>#N/A</v>
      </c>
      <c r="AF582" s="517" t="e">
        <v>#N/A</v>
      </c>
      <c r="AG582" s="520" t="e">
        <v>#N/A</v>
      </c>
      <c r="AH582" s="9"/>
      <c r="AI582" s="10"/>
      <c r="AJ582" s="9"/>
      <c r="AK582" s="10"/>
      <c r="AL582" s="10"/>
    </row>
    <row r="583" spans="1:38" ht="22.5" hidden="1">
      <c r="A583" s="1">
        <f t="shared" si="59"/>
        <v>0</v>
      </c>
      <c r="B583" s="2" t="s">
        <v>2133</v>
      </c>
      <c r="C583" s="3" t="s">
        <v>2134</v>
      </c>
      <c r="D583" s="15" t="s">
        <v>11549</v>
      </c>
      <c r="E583" s="45" t="s">
        <v>2133</v>
      </c>
      <c r="F583" s="46" t="s">
        <v>2134</v>
      </c>
      <c r="G583" s="38">
        <v>0</v>
      </c>
      <c r="H583" s="38">
        <v>0</v>
      </c>
      <c r="I583" s="15"/>
      <c r="J583" s="494">
        <v>10202250802</v>
      </c>
      <c r="K583" s="517"/>
      <c r="L583" s="517" t="s">
        <v>2075</v>
      </c>
      <c r="M583" s="517" t="s">
        <v>222</v>
      </c>
      <c r="N583" s="518" t="s">
        <v>2076</v>
      </c>
      <c r="O583" s="517">
        <v>1</v>
      </c>
      <c r="P583" s="517" t="s">
        <v>647</v>
      </c>
      <c r="Q583" s="517" t="s">
        <v>647</v>
      </c>
      <c r="R583" s="517" t="s">
        <v>1871</v>
      </c>
      <c r="S583" s="517" t="s">
        <v>630</v>
      </c>
      <c r="T583" s="518" t="s">
        <v>2074</v>
      </c>
      <c r="U583" s="38">
        <v>0</v>
      </c>
      <c r="V583" s="15" t="str">
        <f t="shared" si="61"/>
        <v/>
      </c>
      <c r="W583" s="1"/>
      <c r="X583" s="1"/>
      <c r="Y583" s="1"/>
      <c r="Z583" s="1"/>
      <c r="AA583" s="1"/>
      <c r="AB583" s="3"/>
      <c r="AC583" s="9"/>
      <c r="AD583" s="517" t="e">
        <v>#N/A</v>
      </c>
      <c r="AE583" s="517" t="e">
        <v>#N/A</v>
      </c>
      <c r="AF583" s="517" t="e">
        <v>#N/A</v>
      </c>
      <c r="AG583" s="520" t="e">
        <v>#N/A</v>
      </c>
      <c r="AH583" s="9"/>
      <c r="AI583" s="10"/>
      <c r="AJ583" s="9"/>
      <c r="AK583" s="10"/>
      <c r="AL583" s="10"/>
    </row>
    <row r="584" spans="1:38" ht="22.5" hidden="1">
      <c r="A584" s="1">
        <f t="shared" si="59"/>
        <v>0</v>
      </c>
      <c r="B584" s="2" t="s">
        <v>2135</v>
      </c>
      <c r="C584" s="3" t="s">
        <v>2136</v>
      </c>
      <c r="D584" s="15" t="s">
        <v>11549</v>
      </c>
      <c r="E584" s="45" t="s">
        <v>2135</v>
      </c>
      <c r="F584" s="46" t="s">
        <v>2136</v>
      </c>
      <c r="G584" s="38">
        <v>0</v>
      </c>
      <c r="H584" s="38">
        <v>0</v>
      </c>
      <c r="I584" s="15"/>
      <c r="J584" s="494">
        <v>10202250803</v>
      </c>
      <c r="K584" s="517"/>
      <c r="L584" s="517" t="s">
        <v>2075</v>
      </c>
      <c r="M584" s="517" t="s">
        <v>222</v>
      </c>
      <c r="N584" s="518" t="s">
        <v>2076</v>
      </c>
      <c r="O584" s="517">
        <v>1</v>
      </c>
      <c r="P584" s="517" t="s">
        <v>647</v>
      </c>
      <c r="Q584" s="517" t="s">
        <v>647</v>
      </c>
      <c r="R584" s="517" t="s">
        <v>1871</v>
      </c>
      <c r="S584" s="517" t="s">
        <v>630</v>
      </c>
      <c r="T584" s="518" t="s">
        <v>2074</v>
      </c>
      <c r="U584" s="38">
        <v>0</v>
      </c>
      <c r="V584" s="15" t="str">
        <f t="shared" si="61"/>
        <v/>
      </c>
      <c r="W584" s="1"/>
      <c r="X584" s="1"/>
      <c r="Y584" s="1"/>
      <c r="Z584" s="1"/>
      <c r="AA584" s="1"/>
      <c r="AB584" s="3"/>
      <c r="AC584" s="9"/>
      <c r="AD584" s="517" t="e">
        <v>#N/A</v>
      </c>
      <c r="AE584" s="517" t="e">
        <v>#N/A</v>
      </c>
      <c r="AF584" s="517" t="e">
        <v>#N/A</v>
      </c>
      <c r="AG584" s="520" t="e">
        <v>#N/A</v>
      </c>
      <c r="AH584" s="9"/>
      <c r="AI584" s="10"/>
      <c r="AJ584" s="9"/>
      <c r="AK584" s="10"/>
      <c r="AL584" s="10"/>
    </row>
    <row r="585" spans="1:38" ht="22.5" hidden="1">
      <c r="A585" s="1">
        <f t="shared" si="59"/>
        <v>0</v>
      </c>
      <c r="B585" s="2" t="s">
        <v>2137</v>
      </c>
      <c r="C585" s="3" t="s">
        <v>2138</v>
      </c>
      <c r="D585" s="15" t="s">
        <v>11549</v>
      </c>
      <c r="E585" s="45" t="s">
        <v>2137</v>
      </c>
      <c r="F585" s="46" t="s">
        <v>2138</v>
      </c>
      <c r="G585" s="38">
        <v>0</v>
      </c>
      <c r="H585" s="38">
        <v>0</v>
      </c>
      <c r="I585" s="15"/>
      <c r="J585" s="494">
        <v>10202250804</v>
      </c>
      <c r="K585" s="517"/>
      <c r="L585" s="517" t="s">
        <v>2075</v>
      </c>
      <c r="M585" s="517" t="s">
        <v>222</v>
      </c>
      <c r="N585" s="518" t="s">
        <v>2076</v>
      </c>
      <c r="O585" s="517">
        <v>1</v>
      </c>
      <c r="P585" s="517" t="s">
        <v>647</v>
      </c>
      <c r="Q585" s="517" t="s">
        <v>647</v>
      </c>
      <c r="R585" s="517" t="s">
        <v>1871</v>
      </c>
      <c r="S585" s="517" t="s">
        <v>630</v>
      </c>
      <c r="T585" s="518" t="s">
        <v>2074</v>
      </c>
      <c r="U585" s="38">
        <v>0</v>
      </c>
      <c r="V585" s="15" t="str">
        <f t="shared" si="61"/>
        <v/>
      </c>
      <c r="W585" s="1"/>
      <c r="X585" s="1"/>
      <c r="Y585" s="1"/>
      <c r="Z585" s="1"/>
      <c r="AA585" s="1"/>
      <c r="AB585" s="3"/>
      <c r="AC585" s="9"/>
      <c r="AD585" s="517" t="e">
        <v>#N/A</v>
      </c>
      <c r="AE585" s="517" t="e">
        <v>#N/A</v>
      </c>
      <c r="AF585" s="517" t="e">
        <v>#N/A</v>
      </c>
      <c r="AG585" s="520" t="e">
        <v>#N/A</v>
      </c>
      <c r="AH585" s="9"/>
      <c r="AI585" s="10"/>
      <c r="AJ585" s="9"/>
      <c r="AK585" s="10"/>
      <c r="AL585" s="10"/>
    </row>
    <row r="586" spans="1:38" ht="22.5" hidden="1">
      <c r="A586" s="1">
        <f t="shared" si="59"/>
        <v>0</v>
      </c>
      <c r="B586" s="2" t="s">
        <v>2139</v>
      </c>
      <c r="C586" s="3" t="s">
        <v>2140</v>
      </c>
      <c r="D586" s="15" t="s">
        <v>11549</v>
      </c>
      <c r="E586" s="45" t="s">
        <v>2139</v>
      </c>
      <c r="F586" s="46" t="s">
        <v>2140</v>
      </c>
      <c r="G586" s="38">
        <v>0</v>
      </c>
      <c r="H586" s="38">
        <v>0</v>
      </c>
      <c r="I586" s="15"/>
      <c r="J586" s="494">
        <v>10202250805</v>
      </c>
      <c r="K586" s="517"/>
      <c r="L586" s="517" t="s">
        <v>2075</v>
      </c>
      <c r="M586" s="517" t="s">
        <v>222</v>
      </c>
      <c r="N586" s="518" t="s">
        <v>2076</v>
      </c>
      <c r="O586" s="517">
        <v>1</v>
      </c>
      <c r="P586" s="517" t="s">
        <v>647</v>
      </c>
      <c r="Q586" s="517" t="s">
        <v>647</v>
      </c>
      <c r="R586" s="517" t="s">
        <v>1871</v>
      </c>
      <c r="S586" s="517" t="s">
        <v>630</v>
      </c>
      <c r="T586" s="518" t="s">
        <v>2074</v>
      </c>
      <c r="U586" s="38">
        <v>0</v>
      </c>
      <c r="V586" s="15" t="str">
        <f t="shared" si="61"/>
        <v/>
      </c>
      <c r="W586" s="1"/>
      <c r="X586" s="1"/>
      <c r="Y586" s="1"/>
      <c r="Z586" s="1"/>
      <c r="AA586" s="1"/>
      <c r="AB586" s="3"/>
      <c r="AC586" s="9"/>
      <c r="AD586" s="517" t="e">
        <v>#N/A</v>
      </c>
      <c r="AE586" s="517" t="e">
        <v>#N/A</v>
      </c>
      <c r="AF586" s="517" t="e">
        <v>#N/A</v>
      </c>
      <c r="AG586" s="520" t="e">
        <v>#N/A</v>
      </c>
      <c r="AH586" s="9"/>
      <c r="AI586" s="10"/>
      <c r="AJ586" s="9"/>
      <c r="AK586" s="10"/>
      <c r="AL586" s="10"/>
    </row>
    <row r="587" spans="1:38" ht="22.5" hidden="1">
      <c r="A587" s="1">
        <f t="shared" si="59"/>
        <v>0</v>
      </c>
      <c r="B587" s="2" t="s">
        <v>2141</v>
      </c>
      <c r="C587" s="3" t="s">
        <v>2142</v>
      </c>
      <c r="D587" s="15" t="s">
        <v>11550</v>
      </c>
      <c r="E587" s="45" t="s">
        <v>2141</v>
      </c>
      <c r="F587" s="46" t="s">
        <v>2142</v>
      </c>
      <c r="G587" s="38">
        <v>0</v>
      </c>
      <c r="H587" s="38">
        <v>0</v>
      </c>
      <c r="I587" s="15"/>
      <c r="J587" s="494">
        <v>10202250901</v>
      </c>
      <c r="K587" s="517"/>
      <c r="L587" s="517" t="s">
        <v>13449</v>
      </c>
      <c r="M587" s="517" t="s">
        <v>2158</v>
      </c>
      <c r="N587" s="518" t="s">
        <v>2159</v>
      </c>
      <c r="O587" s="517">
        <v>1</v>
      </c>
      <c r="P587" s="517" t="s">
        <v>647</v>
      </c>
      <c r="Q587" s="517" t="s">
        <v>647</v>
      </c>
      <c r="R587" s="517" t="s">
        <v>1871</v>
      </c>
      <c r="S587" s="517" t="s">
        <v>779</v>
      </c>
      <c r="T587" s="518" t="s">
        <v>2157</v>
      </c>
      <c r="U587" s="38">
        <v>0</v>
      </c>
      <c r="V587" s="15" t="str">
        <f t="shared" si="61"/>
        <v/>
      </c>
      <c r="W587" s="1"/>
      <c r="X587" s="1"/>
      <c r="Y587" s="1"/>
      <c r="Z587" s="1"/>
      <c r="AA587" s="1"/>
      <c r="AB587" s="3"/>
      <c r="AC587" s="9"/>
      <c r="AD587" s="517" t="e">
        <v>#N/A</v>
      </c>
      <c r="AE587" s="517" t="e">
        <v>#N/A</v>
      </c>
      <c r="AF587" s="517" t="e">
        <v>#N/A</v>
      </c>
      <c r="AG587" s="520" t="e">
        <v>#N/A</v>
      </c>
      <c r="AH587" s="9"/>
      <c r="AI587" s="10"/>
      <c r="AJ587" s="9"/>
      <c r="AK587" s="10"/>
      <c r="AL587" s="10"/>
    </row>
    <row r="588" spans="1:38" ht="22.5" hidden="1">
      <c r="A588" s="1">
        <f t="shared" ref="A588:A651" si="62">IF(E588=B588,0,1)</f>
        <v>0</v>
      </c>
      <c r="B588" s="2" t="s">
        <v>2143</v>
      </c>
      <c r="C588" s="3" t="s">
        <v>2030</v>
      </c>
      <c r="D588" s="15" t="s">
        <v>11550</v>
      </c>
      <c r="E588" s="45" t="s">
        <v>2143</v>
      </c>
      <c r="F588" s="46" t="s">
        <v>2030</v>
      </c>
      <c r="G588" s="38">
        <v>0</v>
      </c>
      <c r="H588" s="38">
        <v>0</v>
      </c>
      <c r="I588" s="15"/>
      <c r="J588" s="494">
        <v>10202250902</v>
      </c>
      <c r="K588" s="517"/>
      <c r="L588" s="517" t="s">
        <v>13449</v>
      </c>
      <c r="M588" s="517" t="s">
        <v>2158</v>
      </c>
      <c r="N588" s="518" t="s">
        <v>2159</v>
      </c>
      <c r="O588" s="517">
        <v>1</v>
      </c>
      <c r="P588" s="517" t="s">
        <v>647</v>
      </c>
      <c r="Q588" s="517" t="s">
        <v>647</v>
      </c>
      <c r="R588" s="517" t="s">
        <v>1871</v>
      </c>
      <c r="S588" s="517" t="s">
        <v>779</v>
      </c>
      <c r="T588" s="518" t="s">
        <v>2157</v>
      </c>
      <c r="U588" s="38">
        <v>0</v>
      </c>
      <c r="V588" s="15" t="str">
        <f t="shared" si="61"/>
        <v/>
      </c>
      <c r="W588" s="1"/>
      <c r="X588" s="1"/>
      <c r="Y588" s="1"/>
      <c r="Z588" s="1"/>
      <c r="AA588" s="1"/>
      <c r="AB588" s="3"/>
      <c r="AC588" s="9"/>
      <c r="AD588" s="517" t="e">
        <v>#N/A</v>
      </c>
      <c r="AE588" s="517" t="e">
        <v>#N/A</v>
      </c>
      <c r="AF588" s="517" t="e">
        <v>#N/A</v>
      </c>
      <c r="AG588" s="520" t="e">
        <v>#N/A</v>
      </c>
      <c r="AH588" s="9"/>
      <c r="AI588" s="10"/>
      <c r="AJ588" s="9"/>
      <c r="AK588" s="10"/>
      <c r="AL588" s="10"/>
    </row>
    <row r="589" spans="1:38" ht="22.5" hidden="1">
      <c r="A589" s="1">
        <f t="shared" si="62"/>
        <v>0</v>
      </c>
      <c r="B589" s="2" t="s">
        <v>2144</v>
      </c>
      <c r="C589" s="3" t="s">
        <v>2145</v>
      </c>
      <c r="D589" s="15" t="s">
        <v>11550</v>
      </c>
      <c r="E589" s="45" t="s">
        <v>2144</v>
      </c>
      <c r="F589" s="46" t="s">
        <v>2145</v>
      </c>
      <c r="G589" s="38">
        <v>0</v>
      </c>
      <c r="H589" s="38">
        <v>0</v>
      </c>
      <c r="I589" s="15"/>
      <c r="J589" s="494">
        <v>10202250903</v>
      </c>
      <c r="K589" s="517"/>
      <c r="L589" s="517" t="s">
        <v>13449</v>
      </c>
      <c r="M589" s="517" t="s">
        <v>2158</v>
      </c>
      <c r="N589" s="518" t="s">
        <v>2159</v>
      </c>
      <c r="O589" s="517">
        <v>1</v>
      </c>
      <c r="P589" s="517" t="s">
        <v>647</v>
      </c>
      <c r="Q589" s="517" t="s">
        <v>647</v>
      </c>
      <c r="R589" s="517" t="s">
        <v>1871</v>
      </c>
      <c r="S589" s="517" t="s">
        <v>779</v>
      </c>
      <c r="T589" s="518" t="s">
        <v>2157</v>
      </c>
      <c r="U589" s="38">
        <v>0</v>
      </c>
      <c r="V589" s="15" t="str">
        <f t="shared" si="61"/>
        <v/>
      </c>
      <c r="W589" s="1"/>
      <c r="X589" s="1"/>
      <c r="Y589" s="1"/>
      <c r="Z589" s="1"/>
      <c r="AA589" s="1"/>
      <c r="AB589" s="3"/>
      <c r="AC589" s="9"/>
      <c r="AD589" s="517" t="e">
        <v>#N/A</v>
      </c>
      <c r="AE589" s="517" t="e">
        <v>#N/A</v>
      </c>
      <c r="AF589" s="517" t="e">
        <v>#N/A</v>
      </c>
      <c r="AG589" s="520" t="e">
        <v>#N/A</v>
      </c>
      <c r="AH589" s="9"/>
      <c r="AI589" s="10"/>
      <c r="AJ589" s="9"/>
      <c r="AK589" s="10"/>
      <c r="AL589" s="10"/>
    </row>
    <row r="590" spans="1:38" ht="22.5" hidden="1">
      <c r="A590" s="1">
        <f t="shared" si="62"/>
        <v>0</v>
      </c>
      <c r="B590" s="2" t="s">
        <v>2146</v>
      </c>
      <c r="C590" s="3" t="s">
        <v>2147</v>
      </c>
      <c r="D590" s="15" t="s">
        <v>11550</v>
      </c>
      <c r="E590" s="45" t="s">
        <v>2146</v>
      </c>
      <c r="F590" s="46" t="s">
        <v>2147</v>
      </c>
      <c r="G590" s="38">
        <v>0</v>
      </c>
      <c r="H590" s="38">
        <v>0</v>
      </c>
      <c r="I590" s="15"/>
      <c r="J590" s="494">
        <v>10202250904</v>
      </c>
      <c r="K590" s="517"/>
      <c r="L590" s="517" t="s">
        <v>13449</v>
      </c>
      <c r="M590" s="517" t="s">
        <v>2158</v>
      </c>
      <c r="N590" s="518" t="s">
        <v>2159</v>
      </c>
      <c r="O590" s="517">
        <v>1</v>
      </c>
      <c r="P590" s="517" t="s">
        <v>647</v>
      </c>
      <c r="Q590" s="517" t="s">
        <v>647</v>
      </c>
      <c r="R590" s="517" t="s">
        <v>1871</v>
      </c>
      <c r="S590" s="517" t="s">
        <v>779</v>
      </c>
      <c r="T590" s="518" t="s">
        <v>2157</v>
      </c>
      <c r="U590" s="38">
        <v>0</v>
      </c>
      <c r="V590" s="15" t="str">
        <f t="shared" si="61"/>
        <v/>
      </c>
      <c r="W590" s="1"/>
      <c r="X590" s="1"/>
      <c r="Y590" s="1"/>
      <c r="Z590" s="1"/>
      <c r="AA590" s="1"/>
      <c r="AB590" s="3"/>
      <c r="AC590" s="9"/>
      <c r="AD590" s="517" t="e">
        <v>#N/A</v>
      </c>
      <c r="AE590" s="517" t="e">
        <v>#N/A</v>
      </c>
      <c r="AF590" s="517" t="e">
        <v>#N/A</v>
      </c>
      <c r="AG590" s="520" t="e">
        <v>#N/A</v>
      </c>
      <c r="AH590" s="9"/>
      <c r="AI590" s="10"/>
      <c r="AJ590" s="9"/>
      <c r="AK590" s="10"/>
      <c r="AL590" s="10"/>
    </row>
    <row r="591" spans="1:38" ht="22.5" hidden="1">
      <c r="A591" s="1">
        <f t="shared" si="62"/>
        <v>0</v>
      </c>
      <c r="B591" s="2" t="s">
        <v>2148</v>
      </c>
      <c r="C591" s="3" t="s">
        <v>2032</v>
      </c>
      <c r="D591" s="15" t="s">
        <v>11550</v>
      </c>
      <c r="E591" s="45" t="s">
        <v>2148</v>
      </c>
      <c r="F591" s="46" t="s">
        <v>2032</v>
      </c>
      <c r="G591" s="38">
        <v>0</v>
      </c>
      <c r="H591" s="38">
        <v>0</v>
      </c>
      <c r="I591" s="15"/>
      <c r="J591" s="494">
        <v>10202250905</v>
      </c>
      <c r="K591" s="517"/>
      <c r="L591" s="517" t="s">
        <v>13449</v>
      </c>
      <c r="M591" s="517" t="s">
        <v>2158</v>
      </c>
      <c r="N591" s="518" t="s">
        <v>2159</v>
      </c>
      <c r="O591" s="517">
        <v>1</v>
      </c>
      <c r="P591" s="517" t="s">
        <v>647</v>
      </c>
      <c r="Q591" s="517" t="s">
        <v>647</v>
      </c>
      <c r="R591" s="517" t="s">
        <v>1871</v>
      </c>
      <c r="S591" s="517" t="s">
        <v>779</v>
      </c>
      <c r="T591" s="518" t="s">
        <v>2157</v>
      </c>
      <c r="U591" s="38">
        <v>0</v>
      </c>
      <c r="V591" s="15" t="str">
        <f t="shared" si="61"/>
        <v/>
      </c>
      <c r="W591" s="1"/>
      <c r="X591" s="1"/>
      <c r="Y591" s="1"/>
      <c r="Z591" s="1"/>
      <c r="AA591" s="1"/>
      <c r="AB591" s="3"/>
      <c r="AC591" s="9"/>
      <c r="AD591" s="517" t="e">
        <v>#N/A</v>
      </c>
      <c r="AE591" s="517" t="e">
        <v>#N/A</v>
      </c>
      <c r="AF591" s="517" t="e">
        <v>#N/A</v>
      </c>
      <c r="AG591" s="520" t="e">
        <v>#N/A</v>
      </c>
      <c r="AH591" s="9"/>
      <c r="AI591" s="10"/>
      <c r="AJ591" s="9"/>
      <c r="AK591" s="10"/>
      <c r="AL591" s="10"/>
    </row>
    <row r="592" spans="1:38" ht="22.5" hidden="1">
      <c r="A592" s="1">
        <f t="shared" si="62"/>
        <v>0</v>
      </c>
      <c r="B592" s="2" t="s">
        <v>2149</v>
      </c>
      <c r="C592" s="3" t="s">
        <v>2034</v>
      </c>
      <c r="D592" s="15" t="s">
        <v>11550</v>
      </c>
      <c r="E592" s="45" t="s">
        <v>2149</v>
      </c>
      <c r="F592" s="46" t="s">
        <v>2034</v>
      </c>
      <c r="G592" s="38">
        <v>0</v>
      </c>
      <c r="H592" s="38">
        <v>0</v>
      </c>
      <c r="I592" s="15"/>
      <c r="J592" s="494">
        <v>10202250906</v>
      </c>
      <c r="K592" s="517"/>
      <c r="L592" s="517" t="s">
        <v>13449</v>
      </c>
      <c r="M592" s="517" t="s">
        <v>2158</v>
      </c>
      <c r="N592" s="518" t="s">
        <v>2159</v>
      </c>
      <c r="O592" s="517">
        <v>1</v>
      </c>
      <c r="P592" s="517" t="s">
        <v>647</v>
      </c>
      <c r="Q592" s="517" t="s">
        <v>647</v>
      </c>
      <c r="R592" s="517" t="s">
        <v>1871</v>
      </c>
      <c r="S592" s="517" t="s">
        <v>779</v>
      </c>
      <c r="T592" s="518" t="s">
        <v>2157</v>
      </c>
      <c r="U592" s="38">
        <v>0</v>
      </c>
      <c r="V592" s="15" t="str">
        <f t="shared" si="61"/>
        <v/>
      </c>
      <c r="W592" s="1"/>
      <c r="X592" s="1"/>
      <c r="Y592" s="1"/>
      <c r="Z592" s="1"/>
      <c r="AA592" s="1"/>
      <c r="AB592" s="3"/>
      <c r="AC592" s="9"/>
      <c r="AD592" s="517" t="e">
        <v>#N/A</v>
      </c>
      <c r="AE592" s="517" t="e">
        <v>#N/A</v>
      </c>
      <c r="AF592" s="517" t="e">
        <v>#N/A</v>
      </c>
      <c r="AG592" s="520" t="e">
        <v>#N/A</v>
      </c>
      <c r="AH592" s="9"/>
      <c r="AI592" s="10"/>
      <c r="AJ592" s="9"/>
      <c r="AK592" s="10"/>
      <c r="AL592" s="10"/>
    </row>
    <row r="593" spans="1:38" ht="22.5" hidden="1">
      <c r="A593" s="1">
        <f t="shared" si="62"/>
        <v>0</v>
      </c>
      <c r="B593" s="2" t="s">
        <v>2150</v>
      </c>
      <c r="C593" s="3" t="s">
        <v>2036</v>
      </c>
      <c r="D593" s="15" t="s">
        <v>11550</v>
      </c>
      <c r="E593" s="45" t="s">
        <v>2150</v>
      </c>
      <c r="F593" s="46" t="s">
        <v>2036</v>
      </c>
      <c r="G593" s="38">
        <v>0</v>
      </c>
      <c r="H593" s="38">
        <v>0</v>
      </c>
      <c r="I593" s="15"/>
      <c r="J593" s="494">
        <v>10202250907</v>
      </c>
      <c r="K593" s="517"/>
      <c r="L593" s="517" t="s">
        <v>13449</v>
      </c>
      <c r="M593" s="517" t="s">
        <v>2158</v>
      </c>
      <c r="N593" s="518" t="s">
        <v>2159</v>
      </c>
      <c r="O593" s="517">
        <v>1</v>
      </c>
      <c r="P593" s="517" t="s">
        <v>647</v>
      </c>
      <c r="Q593" s="517" t="s">
        <v>647</v>
      </c>
      <c r="R593" s="517" t="s">
        <v>1871</v>
      </c>
      <c r="S593" s="517" t="s">
        <v>779</v>
      </c>
      <c r="T593" s="518" t="s">
        <v>2157</v>
      </c>
      <c r="U593" s="38">
        <v>0</v>
      </c>
      <c r="V593" s="15" t="str">
        <f t="shared" si="61"/>
        <v/>
      </c>
      <c r="W593" s="1"/>
      <c r="X593" s="1"/>
      <c r="Y593" s="1"/>
      <c r="Z593" s="1"/>
      <c r="AA593" s="1"/>
      <c r="AB593" s="3"/>
      <c r="AC593" s="9"/>
      <c r="AD593" s="517" t="e">
        <v>#N/A</v>
      </c>
      <c r="AE593" s="517" t="e">
        <v>#N/A</v>
      </c>
      <c r="AF593" s="517" t="e">
        <v>#N/A</v>
      </c>
      <c r="AG593" s="520" t="e">
        <v>#N/A</v>
      </c>
      <c r="AH593" s="9"/>
      <c r="AI593" s="10"/>
      <c r="AJ593" s="9"/>
      <c r="AK593" s="10"/>
      <c r="AL593" s="10"/>
    </row>
    <row r="594" spans="1:38" ht="22.5" hidden="1">
      <c r="A594" s="1">
        <f t="shared" si="62"/>
        <v>0</v>
      </c>
      <c r="B594" s="2" t="s">
        <v>2151</v>
      </c>
      <c r="C594" s="3" t="s">
        <v>2038</v>
      </c>
      <c r="D594" s="15" t="s">
        <v>11550</v>
      </c>
      <c r="E594" s="45" t="s">
        <v>2151</v>
      </c>
      <c r="F594" s="46" t="s">
        <v>2038</v>
      </c>
      <c r="G594" s="38">
        <v>0</v>
      </c>
      <c r="H594" s="38">
        <v>0</v>
      </c>
      <c r="I594" s="15"/>
      <c r="J594" s="494">
        <v>10202250908</v>
      </c>
      <c r="K594" s="517"/>
      <c r="L594" s="517" t="s">
        <v>13449</v>
      </c>
      <c r="M594" s="517" t="s">
        <v>2158</v>
      </c>
      <c r="N594" s="518" t="s">
        <v>2159</v>
      </c>
      <c r="O594" s="517">
        <v>1</v>
      </c>
      <c r="P594" s="517" t="s">
        <v>647</v>
      </c>
      <c r="Q594" s="517" t="s">
        <v>647</v>
      </c>
      <c r="R594" s="517" t="s">
        <v>1871</v>
      </c>
      <c r="S594" s="517" t="s">
        <v>779</v>
      </c>
      <c r="T594" s="518" t="s">
        <v>2157</v>
      </c>
      <c r="U594" s="38">
        <v>0</v>
      </c>
      <c r="V594" s="15" t="str">
        <f t="shared" si="61"/>
        <v/>
      </c>
      <c r="W594" s="1"/>
      <c r="X594" s="1"/>
      <c r="Y594" s="1"/>
      <c r="Z594" s="1"/>
      <c r="AA594" s="1"/>
      <c r="AB594" s="3"/>
      <c r="AC594" s="9"/>
      <c r="AD594" s="517" t="e">
        <v>#N/A</v>
      </c>
      <c r="AE594" s="517" t="e">
        <v>#N/A</v>
      </c>
      <c r="AF594" s="517" t="e">
        <v>#N/A</v>
      </c>
      <c r="AG594" s="520" t="e">
        <v>#N/A</v>
      </c>
      <c r="AH594" s="9"/>
      <c r="AI594" s="10"/>
      <c r="AJ594" s="9"/>
      <c r="AK594" s="10"/>
      <c r="AL594" s="10"/>
    </row>
    <row r="595" spans="1:38" ht="22.5" hidden="1">
      <c r="A595" s="1">
        <f t="shared" si="62"/>
        <v>0</v>
      </c>
      <c r="B595" s="2" t="s">
        <v>2152</v>
      </c>
      <c r="C595" s="3" t="s">
        <v>2153</v>
      </c>
      <c r="D595" s="15" t="s">
        <v>11550</v>
      </c>
      <c r="E595" s="45" t="s">
        <v>2152</v>
      </c>
      <c r="F595" s="46" t="s">
        <v>2153</v>
      </c>
      <c r="G595" s="38">
        <v>0</v>
      </c>
      <c r="H595" s="38">
        <v>0</v>
      </c>
      <c r="I595" s="15"/>
      <c r="J595" s="494">
        <v>10202250909</v>
      </c>
      <c r="K595" s="517"/>
      <c r="L595" s="517" t="s">
        <v>13449</v>
      </c>
      <c r="M595" s="517" t="s">
        <v>2158</v>
      </c>
      <c r="N595" s="518" t="s">
        <v>2159</v>
      </c>
      <c r="O595" s="517">
        <v>1</v>
      </c>
      <c r="P595" s="517" t="s">
        <v>647</v>
      </c>
      <c r="Q595" s="517" t="s">
        <v>647</v>
      </c>
      <c r="R595" s="517" t="s">
        <v>1871</v>
      </c>
      <c r="S595" s="517" t="s">
        <v>779</v>
      </c>
      <c r="T595" s="518" t="s">
        <v>2157</v>
      </c>
      <c r="U595" s="38">
        <v>0</v>
      </c>
      <c r="V595" s="15" t="str">
        <f t="shared" si="61"/>
        <v/>
      </c>
      <c r="W595" s="1"/>
      <c r="X595" s="1"/>
      <c r="Y595" s="1"/>
      <c r="Z595" s="1"/>
      <c r="AA595" s="1"/>
      <c r="AB595" s="3"/>
      <c r="AC595" s="9"/>
      <c r="AD595" s="517" t="e">
        <v>#N/A</v>
      </c>
      <c r="AE595" s="517" t="e">
        <v>#N/A</v>
      </c>
      <c r="AF595" s="517" t="e">
        <v>#N/A</v>
      </c>
      <c r="AG595" s="520" t="e">
        <v>#N/A</v>
      </c>
      <c r="AH595" s="9"/>
      <c r="AI595" s="10"/>
      <c r="AJ595" s="9"/>
      <c r="AK595" s="10"/>
      <c r="AL595" s="10"/>
    </row>
    <row r="596" spans="1:38" ht="22.5" hidden="1">
      <c r="A596" s="1">
        <f t="shared" si="62"/>
        <v>0</v>
      </c>
      <c r="B596" s="2" t="s">
        <v>2154</v>
      </c>
      <c r="C596" s="3" t="s">
        <v>2042</v>
      </c>
      <c r="D596" s="15" t="s">
        <v>11550</v>
      </c>
      <c r="E596" s="45" t="s">
        <v>2154</v>
      </c>
      <c r="F596" s="46" t="s">
        <v>2042</v>
      </c>
      <c r="G596" s="38">
        <v>0</v>
      </c>
      <c r="H596" s="38">
        <v>0</v>
      </c>
      <c r="I596" s="15"/>
      <c r="J596" s="494">
        <v>10202250910</v>
      </c>
      <c r="K596" s="517"/>
      <c r="L596" s="517" t="s">
        <v>13449</v>
      </c>
      <c r="M596" s="517" t="s">
        <v>2158</v>
      </c>
      <c r="N596" s="518" t="s">
        <v>2159</v>
      </c>
      <c r="O596" s="517">
        <v>1</v>
      </c>
      <c r="P596" s="517" t="s">
        <v>647</v>
      </c>
      <c r="Q596" s="517" t="s">
        <v>647</v>
      </c>
      <c r="R596" s="517" t="s">
        <v>1871</v>
      </c>
      <c r="S596" s="517" t="s">
        <v>779</v>
      </c>
      <c r="T596" s="518" t="s">
        <v>2157</v>
      </c>
      <c r="U596" s="38">
        <v>0</v>
      </c>
      <c r="V596" s="15" t="str">
        <f t="shared" si="61"/>
        <v/>
      </c>
      <c r="W596" s="1"/>
      <c r="X596" s="1"/>
      <c r="Y596" s="1"/>
      <c r="Z596" s="1"/>
      <c r="AA596" s="1"/>
      <c r="AB596" s="3"/>
      <c r="AC596" s="9"/>
      <c r="AD596" s="517" t="e">
        <v>#N/A</v>
      </c>
      <c r="AE596" s="517" t="e">
        <v>#N/A</v>
      </c>
      <c r="AF596" s="517" t="e">
        <v>#N/A</v>
      </c>
      <c r="AG596" s="520" t="e">
        <v>#N/A</v>
      </c>
      <c r="AH596" s="9"/>
      <c r="AI596" s="10"/>
      <c r="AJ596" s="9"/>
      <c r="AK596" s="10"/>
      <c r="AL596" s="10"/>
    </row>
    <row r="597" spans="1:38" ht="22.5" hidden="1">
      <c r="A597" s="1">
        <f t="shared" si="62"/>
        <v>0</v>
      </c>
      <c r="B597" s="2" t="s">
        <v>2155</v>
      </c>
      <c r="C597" s="3" t="s">
        <v>2156</v>
      </c>
      <c r="D597" s="15" t="s">
        <v>11550</v>
      </c>
      <c r="E597" s="45" t="s">
        <v>2155</v>
      </c>
      <c r="F597" s="46" t="s">
        <v>2156</v>
      </c>
      <c r="G597" s="38">
        <v>0</v>
      </c>
      <c r="H597" s="38">
        <v>0</v>
      </c>
      <c r="I597" s="15"/>
      <c r="J597" s="494">
        <v>10202250911</v>
      </c>
      <c r="K597" s="517"/>
      <c r="L597" s="517" t="s">
        <v>13449</v>
      </c>
      <c r="M597" s="517" t="s">
        <v>2158</v>
      </c>
      <c r="N597" s="518" t="s">
        <v>2159</v>
      </c>
      <c r="O597" s="517">
        <v>1</v>
      </c>
      <c r="P597" s="517" t="s">
        <v>647</v>
      </c>
      <c r="Q597" s="517" t="s">
        <v>647</v>
      </c>
      <c r="R597" s="517" t="s">
        <v>1871</v>
      </c>
      <c r="S597" s="517" t="s">
        <v>779</v>
      </c>
      <c r="T597" s="518" t="s">
        <v>2157</v>
      </c>
      <c r="U597" s="38">
        <v>0</v>
      </c>
      <c r="V597" s="15" t="str">
        <f t="shared" si="61"/>
        <v>102022509</v>
      </c>
      <c r="W597" s="39">
        <v>1</v>
      </c>
      <c r="X597" s="40" t="s">
        <v>647</v>
      </c>
      <c r="Y597" s="40" t="s">
        <v>647</v>
      </c>
      <c r="Z597" s="40" t="s">
        <v>1871</v>
      </c>
      <c r="AA597" s="40" t="s">
        <v>779</v>
      </c>
      <c r="AB597" s="41" t="s">
        <v>2157</v>
      </c>
      <c r="AC597" s="519">
        <f>H597</f>
        <v>0</v>
      </c>
      <c r="AD597" s="517">
        <v>0</v>
      </c>
      <c r="AE597" s="517" t="s">
        <v>13449</v>
      </c>
      <c r="AF597" s="517" t="s">
        <v>2158</v>
      </c>
      <c r="AG597" s="520" t="s">
        <v>2159</v>
      </c>
      <c r="AH597" s="67">
        <f>AC597</f>
        <v>0</v>
      </c>
      <c r="AI597" s="10"/>
      <c r="AJ597" s="9">
        <f>AH597-H597</f>
        <v>0</v>
      </c>
      <c r="AK597" s="10"/>
      <c r="AL597" s="10"/>
    </row>
    <row r="598" spans="1:38" ht="45" hidden="1">
      <c r="A598" s="1">
        <f t="shared" si="62"/>
        <v>0</v>
      </c>
      <c r="B598" s="2" t="s">
        <v>2160</v>
      </c>
      <c r="C598" s="3" t="s">
        <v>2161</v>
      </c>
      <c r="D598" s="15" t="s">
        <v>11551</v>
      </c>
      <c r="E598" s="45" t="s">
        <v>2160</v>
      </c>
      <c r="F598" s="46" t="s">
        <v>2161</v>
      </c>
      <c r="G598" s="38">
        <v>45</v>
      </c>
      <c r="H598" s="38">
        <v>45</v>
      </c>
      <c r="I598" s="15"/>
      <c r="J598" s="494">
        <v>10202250201</v>
      </c>
      <c r="K598" s="517"/>
      <c r="L598" s="517" t="s">
        <v>13450</v>
      </c>
      <c r="M598" s="517" t="s">
        <v>2163</v>
      </c>
      <c r="N598" s="518" t="s">
        <v>2164</v>
      </c>
      <c r="O598" s="517">
        <v>1</v>
      </c>
      <c r="P598" s="517" t="s">
        <v>647</v>
      </c>
      <c r="Q598" s="517" t="s">
        <v>647</v>
      </c>
      <c r="R598" s="517">
        <v>25</v>
      </c>
      <c r="S598" s="517" t="s">
        <v>647</v>
      </c>
      <c r="T598" s="518" t="s">
        <v>2162</v>
      </c>
      <c r="U598" s="38">
        <v>45</v>
      </c>
      <c r="V598" s="15" t="str">
        <f t="shared" si="61"/>
        <v>102022502</v>
      </c>
      <c r="W598" s="39">
        <v>1</v>
      </c>
      <c r="X598" s="40" t="s">
        <v>647</v>
      </c>
      <c r="Y598" s="40" t="s">
        <v>647</v>
      </c>
      <c r="Z598" s="50">
        <v>25</v>
      </c>
      <c r="AA598" s="40" t="s">
        <v>647</v>
      </c>
      <c r="AB598" s="41" t="s">
        <v>2162</v>
      </c>
      <c r="AC598" s="519">
        <f>H598</f>
        <v>45</v>
      </c>
      <c r="AD598" s="517">
        <v>0</v>
      </c>
      <c r="AE598" s="517" t="s">
        <v>13450</v>
      </c>
      <c r="AF598" s="517" t="s">
        <v>2163</v>
      </c>
      <c r="AG598" s="520" t="s">
        <v>2164</v>
      </c>
      <c r="AH598" s="67">
        <f>AC598</f>
        <v>45</v>
      </c>
      <c r="AI598" s="10"/>
      <c r="AJ598" s="9">
        <f>AH598-H598</f>
        <v>0</v>
      </c>
      <c r="AK598" s="10"/>
      <c r="AL598" s="10"/>
    </row>
    <row r="599" spans="1:38" ht="33.75" hidden="1">
      <c r="A599" s="1">
        <f t="shared" si="62"/>
        <v>0</v>
      </c>
      <c r="B599" s="2" t="s">
        <v>2165</v>
      </c>
      <c r="C599" s="3" t="s">
        <v>2166</v>
      </c>
      <c r="D599" s="15" t="s">
        <v>11552</v>
      </c>
      <c r="E599" s="45" t="s">
        <v>2165</v>
      </c>
      <c r="F599" s="46" t="s">
        <v>2166</v>
      </c>
      <c r="G599" s="38">
        <v>0</v>
      </c>
      <c r="H599" s="38">
        <v>0</v>
      </c>
      <c r="I599" s="15"/>
      <c r="J599" s="494">
        <v>10202251001</v>
      </c>
      <c r="K599" s="517"/>
      <c r="L599" s="517" t="s">
        <v>13451</v>
      </c>
      <c r="M599" s="517" t="s">
        <v>2168</v>
      </c>
      <c r="N599" s="518" t="s">
        <v>2169</v>
      </c>
      <c r="O599" s="517">
        <v>1</v>
      </c>
      <c r="P599" s="517" t="s">
        <v>647</v>
      </c>
      <c r="Q599" s="517" t="s">
        <v>647</v>
      </c>
      <c r="R599" s="517">
        <v>25</v>
      </c>
      <c r="S599" s="517" t="s">
        <v>1225</v>
      </c>
      <c r="T599" s="518" t="s">
        <v>2167</v>
      </c>
      <c r="U599" s="38">
        <v>0</v>
      </c>
      <c r="V599" s="15" t="str">
        <f t="shared" si="61"/>
        <v>102022510</v>
      </c>
      <c r="W599" s="39">
        <v>1</v>
      </c>
      <c r="X599" s="40" t="s">
        <v>647</v>
      </c>
      <c r="Y599" s="40" t="s">
        <v>647</v>
      </c>
      <c r="Z599" s="50">
        <v>25</v>
      </c>
      <c r="AA599" s="40" t="s">
        <v>1225</v>
      </c>
      <c r="AB599" s="41" t="s">
        <v>2167</v>
      </c>
      <c r="AC599" s="519">
        <f>SUM(H599:H607)</f>
        <v>-61382.35</v>
      </c>
      <c r="AD599" s="517">
        <v>0</v>
      </c>
      <c r="AE599" s="517" t="s">
        <v>13451</v>
      </c>
      <c r="AF599" s="517" t="s">
        <v>2168</v>
      </c>
      <c r="AG599" s="520" t="s">
        <v>2169</v>
      </c>
      <c r="AH599" s="67">
        <f>AC599</f>
        <v>-61382.35</v>
      </c>
      <c r="AI599" s="10"/>
      <c r="AJ599" s="9"/>
      <c r="AK599" s="10"/>
      <c r="AL599" s="10"/>
    </row>
    <row r="600" spans="1:38" ht="33.75" hidden="1">
      <c r="A600" s="1">
        <f t="shared" si="62"/>
        <v>0</v>
      </c>
      <c r="B600" s="2" t="s">
        <v>2170</v>
      </c>
      <c r="C600" s="3" t="s">
        <v>2171</v>
      </c>
      <c r="D600" s="15" t="s">
        <v>11552</v>
      </c>
      <c r="E600" s="45" t="s">
        <v>2170</v>
      </c>
      <c r="F600" s="46" t="s">
        <v>2171</v>
      </c>
      <c r="G600" s="38">
        <v>0</v>
      </c>
      <c r="H600" s="38">
        <v>0</v>
      </c>
      <c r="I600" s="15"/>
      <c r="J600" s="494">
        <v>10202251002</v>
      </c>
      <c r="L600" s="523" t="s">
        <v>13451</v>
      </c>
      <c r="M600" s="523" t="s">
        <v>2168</v>
      </c>
      <c r="N600" s="518" t="s">
        <v>2169</v>
      </c>
      <c r="O600" s="523">
        <v>1</v>
      </c>
      <c r="P600" s="523" t="s">
        <v>647</v>
      </c>
      <c r="Q600" s="523" t="s">
        <v>647</v>
      </c>
      <c r="R600" s="523">
        <v>25</v>
      </c>
      <c r="S600" s="523" t="s">
        <v>1225</v>
      </c>
      <c r="T600" s="518" t="s">
        <v>2167</v>
      </c>
      <c r="U600" s="38">
        <v>0</v>
      </c>
      <c r="V600" s="15" t="str">
        <f t="shared" si="61"/>
        <v/>
      </c>
      <c r="W600" s="10"/>
      <c r="X600" s="10"/>
      <c r="Y600" s="10"/>
      <c r="Z600" s="10"/>
      <c r="AA600" s="10"/>
      <c r="AB600" s="10"/>
      <c r="AC600" s="9"/>
      <c r="AD600" s="523" t="e">
        <v>#N/A</v>
      </c>
      <c r="AE600" s="523" t="e">
        <v>#N/A</v>
      </c>
      <c r="AF600" s="523" t="e">
        <v>#N/A</v>
      </c>
      <c r="AG600" s="524" t="e">
        <v>#N/A</v>
      </c>
      <c r="AH600" s="9"/>
      <c r="AI600" s="10"/>
      <c r="AJ600" s="9"/>
      <c r="AK600" s="10"/>
      <c r="AL600" s="10"/>
    </row>
    <row r="601" spans="1:38" ht="33.75" hidden="1">
      <c r="A601" s="1">
        <f t="shared" si="62"/>
        <v>0</v>
      </c>
      <c r="B601" s="2" t="s">
        <v>2172</v>
      </c>
      <c r="C601" s="3" t="s">
        <v>2173</v>
      </c>
      <c r="D601" s="15" t="s">
        <v>11552</v>
      </c>
      <c r="E601" s="4" t="s">
        <v>2172</v>
      </c>
      <c r="F601" s="37" t="s">
        <v>2173</v>
      </c>
      <c r="G601" s="38">
        <v>0</v>
      </c>
      <c r="H601" s="38">
        <v>0</v>
      </c>
      <c r="I601" s="15"/>
      <c r="J601" s="494">
        <v>10202251003</v>
      </c>
      <c r="K601" s="517"/>
      <c r="L601" s="517" t="s">
        <v>13451</v>
      </c>
      <c r="M601" s="517" t="s">
        <v>2168</v>
      </c>
      <c r="N601" s="518" t="s">
        <v>2169</v>
      </c>
      <c r="O601" s="517">
        <v>1</v>
      </c>
      <c r="P601" s="517" t="s">
        <v>647</v>
      </c>
      <c r="Q601" s="517" t="s">
        <v>647</v>
      </c>
      <c r="R601" s="517">
        <v>25</v>
      </c>
      <c r="S601" s="517" t="s">
        <v>1225</v>
      </c>
      <c r="T601" s="518" t="s">
        <v>2167</v>
      </c>
      <c r="U601" s="38">
        <v>0</v>
      </c>
      <c r="V601" s="15" t="str">
        <f t="shared" si="61"/>
        <v/>
      </c>
      <c r="W601" s="1"/>
      <c r="X601" s="1"/>
      <c r="Y601" s="1"/>
      <c r="Z601" s="1"/>
      <c r="AA601" s="1"/>
      <c r="AB601" s="3"/>
      <c r="AC601" s="9"/>
      <c r="AD601" s="517" t="e">
        <v>#N/A</v>
      </c>
      <c r="AE601" s="517" t="e">
        <v>#N/A</v>
      </c>
      <c r="AF601" s="517" t="e">
        <v>#N/A</v>
      </c>
      <c r="AG601" s="520" t="e">
        <v>#N/A</v>
      </c>
      <c r="AH601" s="9"/>
      <c r="AI601" s="10"/>
      <c r="AJ601" s="9"/>
      <c r="AK601" s="10"/>
      <c r="AL601" s="10"/>
    </row>
    <row r="602" spans="1:38" ht="33.75" hidden="1">
      <c r="A602" s="1">
        <f t="shared" si="62"/>
        <v>0</v>
      </c>
      <c r="B602" s="2" t="s">
        <v>2174</v>
      </c>
      <c r="C602" s="3" t="s">
        <v>2175</v>
      </c>
      <c r="D602" s="15" t="s">
        <v>11552</v>
      </c>
      <c r="E602" s="4" t="s">
        <v>2174</v>
      </c>
      <c r="F602" s="37" t="s">
        <v>2175</v>
      </c>
      <c r="G602" s="38">
        <v>0</v>
      </c>
      <c r="H602" s="38">
        <v>0</v>
      </c>
      <c r="I602" s="15"/>
      <c r="J602" s="494">
        <v>10202251004</v>
      </c>
      <c r="K602" s="517"/>
      <c r="L602" s="517" t="s">
        <v>13451</v>
      </c>
      <c r="M602" s="517" t="s">
        <v>2168</v>
      </c>
      <c r="N602" s="518" t="s">
        <v>2169</v>
      </c>
      <c r="O602" s="517">
        <v>1</v>
      </c>
      <c r="P602" s="517" t="s">
        <v>647</v>
      </c>
      <c r="Q602" s="517" t="s">
        <v>647</v>
      </c>
      <c r="R602" s="517">
        <v>25</v>
      </c>
      <c r="S602" s="517" t="s">
        <v>1225</v>
      </c>
      <c r="T602" s="518" t="s">
        <v>2167</v>
      </c>
      <c r="U602" s="38">
        <v>0</v>
      </c>
      <c r="V602" s="15" t="str">
        <f t="shared" si="61"/>
        <v/>
      </c>
      <c r="W602" s="1"/>
      <c r="X602" s="1"/>
      <c r="Y602" s="1"/>
      <c r="Z602" s="1"/>
      <c r="AA602" s="1"/>
      <c r="AB602" s="3"/>
      <c r="AC602" s="9"/>
      <c r="AD602" s="517" t="e">
        <v>#N/A</v>
      </c>
      <c r="AE602" s="517" t="e">
        <v>#N/A</v>
      </c>
      <c r="AF602" s="517" t="e">
        <v>#N/A</v>
      </c>
      <c r="AG602" s="520" t="e">
        <v>#N/A</v>
      </c>
      <c r="AH602" s="9"/>
      <c r="AI602" s="10"/>
      <c r="AJ602" s="9"/>
      <c r="AK602" s="10"/>
      <c r="AL602" s="10"/>
    </row>
    <row r="603" spans="1:38" ht="33.75" hidden="1">
      <c r="A603" s="1">
        <f t="shared" si="62"/>
        <v>0</v>
      </c>
      <c r="B603" s="2" t="s">
        <v>2176</v>
      </c>
      <c r="C603" s="3" t="s">
        <v>2177</v>
      </c>
      <c r="D603" s="15" t="s">
        <v>11552</v>
      </c>
      <c r="E603" s="4" t="s">
        <v>2176</v>
      </c>
      <c r="F603" s="37" t="s">
        <v>2178</v>
      </c>
      <c r="G603" s="38">
        <v>0</v>
      </c>
      <c r="H603" s="38">
        <v>0</v>
      </c>
      <c r="I603" s="15"/>
      <c r="J603" s="494">
        <v>10202251005</v>
      </c>
      <c r="K603" s="517"/>
      <c r="L603" s="517" t="s">
        <v>13451</v>
      </c>
      <c r="M603" s="517" t="s">
        <v>2168</v>
      </c>
      <c r="N603" s="518" t="s">
        <v>2169</v>
      </c>
      <c r="O603" s="517">
        <v>1</v>
      </c>
      <c r="P603" s="517" t="s">
        <v>647</v>
      </c>
      <c r="Q603" s="517" t="s">
        <v>647</v>
      </c>
      <c r="R603" s="517">
        <v>25</v>
      </c>
      <c r="S603" s="517" t="s">
        <v>1225</v>
      </c>
      <c r="T603" s="518" t="s">
        <v>2167</v>
      </c>
      <c r="U603" s="38">
        <v>0</v>
      </c>
      <c r="V603" s="15" t="str">
        <f t="shared" si="61"/>
        <v/>
      </c>
      <c r="W603" s="1"/>
      <c r="X603" s="1"/>
      <c r="Y603" s="1"/>
      <c r="Z603" s="1"/>
      <c r="AA603" s="1"/>
      <c r="AB603" s="3"/>
      <c r="AC603" s="9"/>
      <c r="AD603" s="517" t="e">
        <v>#N/A</v>
      </c>
      <c r="AE603" s="517" t="e">
        <v>#N/A</v>
      </c>
      <c r="AF603" s="517" t="e">
        <v>#N/A</v>
      </c>
      <c r="AG603" s="520" t="e">
        <v>#N/A</v>
      </c>
      <c r="AH603" s="9"/>
      <c r="AI603" s="10"/>
      <c r="AJ603" s="9"/>
      <c r="AK603" s="10"/>
      <c r="AL603" s="10"/>
    </row>
    <row r="604" spans="1:38" ht="33.75" hidden="1">
      <c r="A604" s="1">
        <f t="shared" si="62"/>
        <v>0</v>
      </c>
      <c r="B604" s="2" t="s">
        <v>2179</v>
      </c>
      <c r="C604" s="3" t="s">
        <v>2180</v>
      </c>
      <c r="D604" s="15" t="s">
        <v>11552</v>
      </c>
      <c r="E604" s="4" t="s">
        <v>2179</v>
      </c>
      <c r="F604" s="37" t="s">
        <v>2181</v>
      </c>
      <c r="G604" s="38">
        <v>0</v>
      </c>
      <c r="H604" s="38">
        <v>0</v>
      </c>
      <c r="I604" s="15"/>
      <c r="J604" s="494">
        <v>10202251006</v>
      </c>
      <c r="K604" s="517"/>
      <c r="L604" s="517" t="s">
        <v>13451</v>
      </c>
      <c r="M604" s="517" t="s">
        <v>2168</v>
      </c>
      <c r="N604" s="518" t="s">
        <v>2169</v>
      </c>
      <c r="O604" s="517">
        <v>1</v>
      </c>
      <c r="P604" s="517" t="s">
        <v>647</v>
      </c>
      <c r="Q604" s="517" t="s">
        <v>647</v>
      </c>
      <c r="R604" s="517">
        <v>25</v>
      </c>
      <c r="S604" s="517" t="s">
        <v>1225</v>
      </c>
      <c r="T604" s="518" t="s">
        <v>2167</v>
      </c>
      <c r="U604" s="38">
        <v>0</v>
      </c>
      <c r="V604" s="15" t="str">
        <f t="shared" si="61"/>
        <v/>
      </c>
      <c r="W604" s="1"/>
      <c r="X604" s="1"/>
      <c r="Y604" s="1"/>
      <c r="Z604" s="1"/>
      <c r="AA604" s="1"/>
      <c r="AB604" s="3"/>
      <c r="AC604" s="9"/>
      <c r="AD604" s="517" t="e">
        <v>#N/A</v>
      </c>
      <c r="AE604" s="517" t="e">
        <v>#N/A</v>
      </c>
      <c r="AF604" s="517" t="e">
        <v>#N/A</v>
      </c>
      <c r="AG604" s="520" t="e">
        <v>#N/A</v>
      </c>
      <c r="AH604" s="9"/>
      <c r="AI604" s="10"/>
      <c r="AJ604" s="9"/>
      <c r="AK604" s="10"/>
      <c r="AL604" s="10"/>
    </row>
    <row r="605" spans="1:38" ht="33.75" hidden="1">
      <c r="A605" s="1">
        <f t="shared" si="62"/>
        <v>0</v>
      </c>
      <c r="B605" s="2" t="s">
        <v>2182</v>
      </c>
      <c r="C605" s="3" t="s">
        <v>2183</v>
      </c>
      <c r="D605" s="15" t="s">
        <v>11552</v>
      </c>
      <c r="E605" s="4" t="s">
        <v>2182</v>
      </c>
      <c r="F605" s="68" t="s">
        <v>2183</v>
      </c>
      <c r="G605" s="38">
        <v>0</v>
      </c>
      <c r="H605" s="38">
        <v>0</v>
      </c>
      <c r="I605" s="15"/>
      <c r="J605" s="494">
        <v>10202251007</v>
      </c>
      <c r="K605" s="517"/>
      <c r="L605" s="517" t="s">
        <v>13451</v>
      </c>
      <c r="M605" s="517" t="s">
        <v>2168</v>
      </c>
      <c r="N605" s="518" t="s">
        <v>2169</v>
      </c>
      <c r="O605" s="517">
        <v>1</v>
      </c>
      <c r="P605" s="517" t="s">
        <v>647</v>
      </c>
      <c r="Q605" s="517" t="s">
        <v>647</v>
      </c>
      <c r="R605" s="517">
        <v>25</v>
      </c>
      <c r="S605" s="517" t="s">
        <v>1225</v>
      </c>
      <c r="T605" s="518" t="s">
        <v>2167</v>
      </c>
      <c r="U605" s="38">
        <v>0</v>
      </c>
      <c r="V605" s="15" t="str">
        <f t="shared" si="61"/>
        <v/>
      </c>
      <c r="W605" s="1"/>
      <c r="X605" s="1"/>
      <c r="Y605" s="1"/>
      <c r="Z605" s="1"/>
      <c r="AA605" s="1"/>
      <c r="AB605" s="3"/>
      <c r="AC605" s="9"/>
      <c r="AD605" s="517" t="e">
        <v>#N/A</v>
      </c>
      <c r="AE605" s="517" t="e">
        <v>#N/A</v>
      </c>
      <c r="AF605" s="517" t="e">
        <v>#N/A</v>
      </c>
      <c r="AG605" s="520" t="e">
        <v>#N/A</v>
      </c>
      <c r="AH605" s="9"/>
      <c r="AI605" s="10"/>
      <c r="AJ605" s="9"/>
      <c r="AK605" s="10"/>
      <c r="AL605" s="10"/>
    </row>
    <row r="606" spans="1:38" ht="33.75" hidden="1">
      <c r="A606" s="1">
        <f t="shared" si="62"/>
        <v>0</v>
      </c>
      <c r="B606" s="2" t="s">
        <v>2184</v>
      </c>
      <c r="C606" s="3" t="s">
        <v>2185</v>
      </c>
      <c r="D606" s="15" t="s">
        <v>11552</v>
      </c>
      <c r="E606" s="4" t="s">
        <v>2184</v>
      </c>
      <c r="F606" s="68" t="s">
        <v>2185</v>
      </c>
      <c r="G606" s="38">
        <v>30110.42</v>
      </c>
      <c r="H606" s="38">
        <v>6186.65</v>
      </c>
      <c r="I606" s="15"/>
      <c r="J606" s="494">
        <v>10202251008</v>
      </c>
      <c r="K606" s="517"/>
      <c r="L606" s="517" t="s">
        <v>13451</v>
      </c>
      <c r="M606" s="517" t="s">
        <v>2168</v>
      </c>
      <c r="N606" s="518" t="s">
        <v>2169</v>
      </c>
      <c r="O606" s="517">
        <v>1</v>
      </c>
      <c r="P606" s="517" t="s">
        <v>647</v>
      </c>
      <c r="Q606" s="517" t="s">
        <v>647</v>
      </c>
      <c r="R606" s="517">
        <v>25</v>
      </c>
      <c r="S606" s="517" t="s">
        <v>1225</v>
      </c>
      <c r="T606" s="518" t="s">
        <v>2167</v>
      </c>
      <c r="U606" s="38">
        <v>6186.65</v>
      </c>
      <c r="V606" s="15" t="str">
        <f t="shared" si="61"/>
        <v/>
      </c>
      <c r="W606" s="1"/>
      <c r="X606" s="1"/>
      <c r="Y606" s="1"/>
      <c r="Z606" s="1"/>
      <c r="AA606" s="1"/>
      <c r="AB606" s="3"/>
      <c r="AC606" s="9"/>
      <c r="AD606" s="517" t="e">
        <v>#N/A</v>
      </c>
      <c r="AE606" s="517" t="e">
        <v>#N/A</v>
      </c>
      <c r="AF606" s="517" t="e">
        <v>#N/A</v>
      </c>
      <c r="AG606" s="520" t="e">
        <v>#N/A</v>
      </c>
      <c r="AH606" s="9"/>
      <c r="AI606" s="10"/>
      <c r="AJ606" s="9"/>
      <c r="AK606" s="10"/>
      <c r="AL606" s="10"/>
    </row>
    <row r="607" spans="1:38" ht="33.75" hidden="1">
      <c r="A607" s="1">
        <f t="shared" si="62"/>
        <v>0</v>
      </c>
      <c r="B607" s="2" t="s">
        <v>2186</v>
      </c>
      <c r="C607" s="3" t="s">
        <v>2187</v>
      </c>
      <c r="D607" s="15" t="s">
        <v>11552</v>
      </c>
      <c r="E607" s="2" t="s">
        <v>2186</v>
      </c>
      <c r="F607" s="3" t="s">
        <v>2187</v>
      </c>
      <c r="G607" s="38"/>
      <c r="H607" s="38">
        <v>-67569</v>
      </c>
      <c r="I607" s="15"/>
      <c r="J607" s="494">
        <v>10202251009</v>
      </c>
      <c r="K607" s="517"/>
      <c r="L607" s="517" t="s">
        <v>13451</v>
      </c>
      <c r="M607" s="517" t="s">
        <v>2168</v>
      </c>
      <c r="N607" s="518" t="s">
        <v>2169</v>
      </c>
      <c r="O607" s="517">
        <v>1</v>
      </c>
      <c r="P607" s="517" t="s">
        <v>647</v>
      </c>
      <c r="Q607" s="517" t="s">
        <v>647</v>
      </c>
      <c r="R607" s="517">
        <v>25</v>
      </c>
      <c r="S607" s="517" t="s">
        <v>1225</v>
      </c>
      <c r="T607" s="518" t="s">
        <v>2167</v>
      </c>
      <c r="U607" s="38">
        <v>-67569</v>
      </c>
      <c r="V607" s="15" t="str">
        <f t="shared" si="61"/>
        <v/>
      </c>
      <c r="W607" s="1"/>
      <c r="X607" s="1"/>
      <c r="Y607" s="1"/>
      <c r="Z607" s="1"/>
      <c r="AA607" s="1"/>
      <c r="AB607" s="3"/>
      <c r="AC607" s="9"/>
      <c r="AD607" s="517" t="e">
        <v>#N/A</v>
      </c>
      <c r="AE607" s="517" t="e">
        <v>#N/A</v>
      </c>
      <c r="AF607" s="517" t="e">
        <v>#N/A</v>
      </c>
      <c r="AG607" s="520" t="e">
        <v>#N/A</v>
      </c>
      <c r="AH607" s="9"/>
      <c r="AI607" s="10"/>
      <c r="AJ607" s="9"/>
      <c r="AK607" s="10"/>
      <c r="AL607" s="10"/>
    </row>
    <row r="608" spans="1:38" ht="22.5" hidden="1">
      <c r="A608" s="1">
        <f t="shared" si="62"/>
        <v>0</v>
      </c>
      <c r="C608" s="3" t="s">
        <v>11</v>
      </c>
      <c r="D608" s="15" t="s">
        <v>16</v>
      </c>
      <c r="E608" s="30"/>
      <c r="F608" s="31" t="s">
        <v>1110</v>
      </c>
      <c r="G608" s="32">
        <f>SUM(G609:G614)</f>
        <v>638020.14</v>
      </c>
      <c r="H608" s="32">
        <f>SUM(H609:H614)</f>
        <v>-638020.14</v>
      </c>
      <c r="I608" s="15"/>
      <c r="J608" s="494"/>
      <c r="K608" s="513"/>
      <c r="L608" s="513"/>
      <c r="M608" s="513"/>
      <c r="N608" s="514"/>
      <c r="O608" s="513"/>
      <c r="P608" s="513"/>
      <c r="Q608" s="513"/>
      <c r="R608" s="513"/>
      <c r="S608" s="513"/>
      <c r="T608" s="514"/>
      <c r="U608" s="32">
        <f>SUM(U609:U614)</f>
        <v>-638020.14</v>
      </c>
      <c r="V608" s="15" t="str">
        <f t="shared" si="61"/>
        <v>102022600</v>
      </c>
      <c r="W608" s="33">
        <v>1</v>
      </c>
      <c r="X608" s="34" t="s">
        <v>647</v>
      </c>
      <c r="Y608" s="34" t="s">
        <v>647</v>
      </c>
      <c r="Z608" s="35" t="s">
        <v>1875</v>
      </c>
      <c r="AA608" s="35" t="s">
        <v>630</v>
      </c>
      <c r="AB608" s="31" t="s">
        <v>1110</v>
      </c>
      <c r="AC608" s="529">
        <f>SUM(AC609:AC614)</f>
        <v>-638020.14</v>
      </c>
      <c r="AD608" s="513">
        <v>0</v>
      </c>
      <c r="AE608" s="513">
        <v>0</v>
      </c>
      <c r="AF608" s="513">
        <v>0</v>
      </c>
      <c r="AG608" s="514">
        <v>0</v>
      </c>
      <c r="AH608" s="516">
        <f t="shared" ref="AH608:AH621" si="63">AC608</f>
        <v>-638020.14</v>
      </c>
      <c r="AI608" s="10"/>
      <c r="AJ608" s="9">
        <f t="shared" ref="AJ608:AJ623" si="64">AH608-H608</f>
        <v>0</v>
      </c>
      <c r="AK608" s="10"/>
      <c r="AL608" s="10"/>
    </row>
    <row r="609" spans="1:38" ht="22.5" hidden="1">
      <c r="A609" s="1">
        <f t="shared" si="62"/>
        <v>0</v>
      </c>
      <c r="B609" s="2" t="s">
        <v>2188</v>
      </c>
      <c r="C609" s="3" t="s">
        <v>2189</v>
      </c>
      <c r="D609" s="15" t="s">
        <v>11553</v>
      </c>
      <c r="E609" s="4" t="s">
        <v>2188</v>
      </c>
      <c r="F609" s="37" t="s">
        <v>2189</v>
      </c>
      <c r="G609" s="38">
        <v>626202.14</v>
      </c>
      <c r="H609" s="38">
        <v>-626202.14</v>
      </c>
      <c r="I609" s="15"/>
      <c r="J609" s="494">
        <v>10202260101</v>
      </c>
      <c r="K609" s="517"/>
      <c r="L609" s="517" t="s">
        <v>13444</v>
      </c>
      <c r="M609" s="517" t="s">
        <v>218</v>
      </c>
      <c r="N609" s="518" t="s">
        <v>2010</v>
      </c>
      <c r="O609" s="517">
        <v>1</v>
      </c>
      <c r="P609" s="517" t="s">
        <v>647</v>
      </c>
      <c r="Q609" s="517" t="s">
        <v>647</v>
      </c>
      <c r="R609" s="517" t="s">
        <v>1875</v>
      </c>
      <c r="S609" s="517" t="s">
        <v>632</v>
      </c>
      <c r="T609" s="518" t="s">
        <v>2190</v>
      </c>
      <c r="U609" s="38">
        <v>-626202.14</v>
      </c>
      <c r="V609" s="15" t="str">
        <f t="shared" si="61"/>
        <v>102022601</v>
      </c>
      <c r="W609" s="39">
        <v>1</v>
      </c>
      <c r="X609" s="40" t="s">
        <v>647</v>
      </c>
      <c r="Y609" s="40" t="s">
        <v>647</v>
      </c>
      <c r="Z609" s="40" t="s">
        <v>1875</v>
      </c>
      <c r="AA609" s="40" t="s">
        <v>632</v>
      </c>
      <c r="AB609" s="41" t="s">
        <v>2190</v>
      </c>
      <c r="AC609" s="519">
        <f t="shared" ref="AC609:AC614" si="65">H609</f>
        <v>-626202.14</v>
      </c>
      <c r="AD609" s="517">
        <v>0</v>
      </c>
      <c r="AE609" s="517" t="s">
        <v>13444</v>
      </c>
      <c r="AF609" s="517" t="s">
        <v>218</v>
      </c>
      <c r="AG609" s="520" t="s">
        <v>2010</v>
      </c>
      <c r="AH609" s="67">
        <f t="shared" si="63"/>
        <v>-626202.14</v>
      </c>
      <c r="AI609" s="10"/>
      <c r="AJ609" s="9">
        <f t="shared" si="64"/>
        <v>0</v>
      </c>
      <c r="AK609" s="10"/>
      <c r="AL609" s="10"/>
    </row>
    <row r="610" spans="1:38" ht="22.5" hidden="1">
      <c r="A610" s="1">
        <f t="shared" si="62"/>
        <v>0</v>
      </c>
      <c r="B610" s="2" t="s">
        <v>2191</v>
      </c>
      <c r="C610" s="3" t="s">
        <v>2192</v>
      </c>
      <c r="D610" s="15" t="s">
        <v>11554</v>
      </c>
      <c r="E610" s="4" t="s">
        <v>2191</v>
      </c>
      <c r="F610" s="37" t="s">
        <v>2192</v>
      </c>
      <c r="G610" s="38">
        <v>0</v>
      </c>
      <c r="H610" s="38">
        <v>0</v>
      </c>
      <c r="I610" s="15"/>
      <c r="J610" s="494">
        <v>10202260201</v>
      </c>
      <c r="K610" s="517"/>
      <c r="L610" s="517" t="s">
        <v>13445</v>
      </c>
      <c r="M610" s="517" t="s">
        <v>219</v>
      </c>
      <c r="N610" s="518" t="s">
        <v>2053</v>
      </c>
      <c r="O610" s="517">
        <v>1</v>
      </c>
      <c r="P610" s="517" t="s">
        <v>647</v>
      </c>
      <c r="Q610" s="517" t="s">
        <v>647</v>
      </c>
      <c r="R610" s="517" t="s">
        <v>1875</v>
      </c>
      <c r="S610" s="517" t="s">
        <v>647</v>
      </c>
      <c r="T610" s="518" t="s">
        <v>2193</v>
      </c>
      <c r="U610" s="38">
        <v>0</v>
      </c>
      <c r="V610" s="15" t="str">
        <f t="shared" si="61"/>
        <v>102022602</v>
      </c>
      <c r="W610" s="39">
        <v>1</v>
      </c>
      <c r="X610" s="40" t="s">
        <v>647</v>
      </c>
      <c r="Y610" s="40" t="s">
        <v>647</v>
      </c>
      <c r="Z610" s="40" t="s">
        <v>1875</v>
      </c>
      <c r="AA610" s="40" t="s">
        <v>647</v>
      </c>
      <c r="AB610" s="41" t="s">
        <v>2193</v>
      </c>
      <c r="AC610" s="519">
        <f t="shared" si="65"/>
        <v>0</v>
      </c>
      <c r="AD610" s="517">
        <v>0</v>
      </c>
      <c r="AE610" s="517" t="s">
        <v>13445</v>
      </c>
      <c r="AF610" s="517" t="s">
        <v>219</v>
      </c>
      <c r="AG610" s="520" t="s">
        <v>2053</v>
      </c>
      <c r="AH610" s="67">
        <f t="shared" si="63"/>
        <v>0</v>
      </c>
      <c r="AI610" s="10"/>
      <c r="AJ610" s="9">
        <f t="shared" si="64"/>
        <v>0</v>
      </c>
      <c r="AK610" s="10"/>
      <c r="AL610" s="10"/>
    </row>
    <row r="611" spans="1:38" ht="22.5" hidden="1">
      <c r="A611" s="1">
        <f t="shared" si="62"/>
        <v>0</v>
      </c>
      <c r="B611" s="2" t="s">
        <v>2194</v>
      </c>
      <c r="C611" s="3" t="s">
        <v>2195</v>
      </c>
      <c r="D611" s="15" t="s">
        <v>11555</v>
      </c>
      <c r="E611" s="4" t="s">
        <v>2194</v>
      </c>
      <c r="F611" s="37" t="s">
        <v>2195</v>
      </c>
      <c r="G611" s="38">
        <v>0</v>
      </c>
      <c r="H611" s="38">
        <v>0</v>
      </c>
      <c r="I611" s="15"/>
      <c r="J611" s="494">
        <v>10202260301</v>
      </c>
      <c r="K611" s="517"/>
      <c r="L611" s="517" t="s">
        <v>13446</v>
      </c>
      <c r="M611" s="517" t="s">
        <v>220</v>
      </c>
      <c r="N611" s="518" t="s">
        <v>2057</v>
      </c>
      <c r="O611" s="517">
        <v>1</v>
      </c>
      <c r="P611" s="517" t="s">
        <v>647</v>
      </c>
      <c r="Q611" s="517" t="s">
        <v>647</v>
      </c>
      <c r="R611" s="517" t="s">
        <v>1875</v>
      </c>
      <c r="S611" s="517" t="s">
        <v>671</v>
      </c>
      <c r="T611" s="518" t="s">
        <v>2196</v>
      </c>
      <c r="U611" s="38">
        <v>0</v>
      </c>
      <c r="V611" s="15" t="str">
        <f t="shared" si="61"/>
        <v>102022603</v>
      </c>
      <c r="W611" s="39">
        <v>1</v>
      </c>
      <c r="X611" s="40" t="s">
        <v>647</v>
      </c>
      <c r="Y611" s="40" t="s">
        <v>647</v>
      </c>
      <c r="Z611" s="40" t="s">
        <v>1875</v>
      </c>
      <c r="AA611" s="40" t="s">
        <v>671</v>
      </c>
      <c r="AB611" s="41" t="s">
        <v>2196</v>
      </c>
      <c r="AC611" s="519">
        <f t="shared" si="65"/>
        <v>0</v>
      </c>
      <c r="AD611" s="517">
        <v>0</v>
      </c>
      <c r="AE611" s="517" t="s">
        <v>13446</v>
      </c>
      <c r="AF611" s="517" t="s">
        <v>220</v>
      </c>
      <c r="AG611" s="520" t="s">
        <v>2057</v>
      </c>
      <c r="AH611" s="67">
        <f t="shared" si="63"/>
        <v>0</v>
      </c>
      <c r="AI611" s="10"/>
      <c r="AJ611" s="9">
        <f t="shared" si="64"/>
        <v>0</v>
      </c>
      <c r="AK611" s="10"/>
      <c r="AL611" s="10"/>
    </row>
    <row r="612" spans="1:38" ht="33.75" hidden="1">
      <c r="A612" s="1">
        <f t="shared" si="62"/>
        <v>0</v>
      </c>
      <c r="B612" s="2" t="s">
        <v>2197</v>
      </c>
      <c r="C612" s="3" t="s">
        <v>2198</v>
      </c>
      <c r="D612" s="15" t="s">
        <v>11556</v>
      </c>
      <c r="E612" s="4" t="s">
        <v>2197</v>
      </c>
      <c r="F612" s="37" t="s">
        <v>2198</v>
      </c>
      <c r="G612" s="38">
        <v>0</v>
      </c>
      <c r="H612" s="38">
        <v>0</v>
      </c>
      <c r="I612" s="15"/>
      <c r="J612" s="494">
        <v>10202260401</v>
      </c>
      <c r="K612" s="517"/>
      <c r="L612" s="517" t="s">
        <v>13447</v>
      </c>
      <c r="M612" s="517" t="s">
        <v>221</v>
      </c>
      <c r="N612" s="518" t="s">
        <v>2071</v>
      </c>
      <c r="O612" s="517">
        <v>1</v>
      </c>
      <c r="P612" s="517" t="s">
        <v>647</v>
      </c>
      <c r="Q612" s="517" t="s">
        <v>647</v>
      </c>
      <c r="R612" s="517" t="s">
        <v>1875</v>
      </c>
      <c r="S612" s="517" t="s">
        <v>693</v>
      </c>
      <c r="T612" s="518" t="s">
        <v>2199</v>
      </c>
      <c r="U612" s="38">
        <v>0</v>
      </c>
      <c r="V612" s="15" t="str">
        <f t="shared" si="61"/>
        <v>102022604</v>
      </c>
      <c r="W612" s="39">
        <v>1</v>
      </c>
      <c r="X612" s="40" t="s">
        <v>647</v>
      </c>
      <c r="Y612" s="40" t="s">
        <v>647</v>
      </c>
      <c r="Z612" s="40" t="s">
        <v>1875</v>
      </c>
      <c r="AA612" s="40" t="s">
        <v>693</v>
      </c>
      <c r="AB612" s="41" t="s">
        <v>2199</v>
      </c>
      <c r="AC612" s="519">
        <f t="shared" si="65"/>
        <v>0</v>
      </c>
      <c r="AD612" s="517">
        <v>0</v>
      </c>
      <c r="AE612" s="517" t="s">
        <v>13447</v>
      </c>
      <c r="AF612" s="517" t="s">
        <v>221</v>
      </c>
      <c r="AG612" s="520" t="s">
        <v>2071</v>
      </c>
      <c r="AH612" s="67">
        <f t="shared" si="63"/>
        <v>0</v>
      </c>
      <c r="AI612" s="10"/>
      <c r="AJ612" s="9">
        <f t="shared" si="64"/>
        <v>0</v>
      </c>
      <c r="AK612" s="10"/>
      <c r="AL612" s="10"/>
    </row>
    <row r="613" spans="1:38" ht="22.5" hidden="1">
      <c r="A613" s="1">
        <f t="shared" si="62"/>
        <v>0</v>
      </c>
      <c r="B613" s="2" t="s">
        <v>2200</v>
      </c>
      <c r="C613" s="3" t="s">
        <v>2201</v>
      </c>
      <c r="D613" s="15" t="s">
        <v>11557</v>
      </c>
      <c r="E613" s="4" t="s">
        <v>2200</v>
      </c>
      <c r="F613" s="37" t="s">
        <v>2201</v>
      </c>
      <c r="G613" s="38">
        <v>11818</v>
      </c>
      <c r="H613" s="38">
        <v>-11818</v>
      </c>
      <c r="I613" s="15"/>
      <c r="J613" s="494">
        <v>10202260501</v>
      </c>
      <c r="K613" s="517"/>
      <c r="L613" s="517" t="s">
        <v>2075</v>
      </c>
      <c r="M613" s="517" t="s">
        <v>222</v>
      </c>
      <c r="N613" s="518" t="s">
        <v>2076</v>
      </c>
      <c r="O613" s="517">
        <v>1</v>
      </c>
      <c r="P613" s="517" t="s">
        <v>647</v>
      </c>
      <c r="Q613" s="517" t="s">
        <v>647</v>
      </c>
      <c r="R613" s="517" t="s">
        <v>1875</v>
      </c>
      <c r="S613" s="517" t="s">
        <v>714</v>
      </c>
      <c r="T613" s="518" t="s">
        <v>2202</v>
      </c>
      <c r="U613" s="38">
        <v>-11818</v>
      </c>
      <c r="V613" s="15" t="str">
        <f t="shared" si="61"/>
        <v>102022605</v>
      </c>
      <c r="W613" s="39">
        <v>1</v>
      </c>
      <c r="X613" s="40" t="s">
        <v>647</v>
      </c>
      <c r="Y613" s="40" t="s">
        <v>647</v>
      </c>
      <c r="Z613" s="40" t="s">
        <v>1875</v>
      </c>
      <c r="AA613" s="40" t="s">
        <v>714</v>
      </c>
      <c r="AB613" s="41" t="s">
        <v>2202</v>
      </c>
      <c r="AC613" s="519">
        <f t="shared" si="65"/>
        <v>-11818</v>
      </c>
      <c r="AD613" s="517">
        <v>0</v>
      </c>
      <c r="AE613" s="517" t="s">
        <v>2075</v>
      </c>
      <c r="AF613" s="517" t="s">
        <v>222</v>
      </c>
      <c r="AG613" s="520" t="s">
        <v>2076</v>
      </c>
      <c r="AH613" s="67">
        <f t="shared" si="63"/>
        <v>-11818</v>
      </c>
      <c r="AI613" s="10"/>
      <c r="AJ613" s="9">
        <f t="shared" si="64"/>
        <v>0</v>
      </c>
      <c r="AK613" s="10"/>
      <c r="AL613" s="10"/>
    </row>
    <row r="614" spans="1:38" ht="56.25" hidden="1">
      <c r="A614" s="1">
        <f t="shared" si="62"/>
        <v>0</v>
      </c>
      <c r="B614" s="2" t="s">
        <v>2203</v>
      </c>
      <c r="C614" s="3" t="s">
        <v>2204</v>
      </c>
      <c r="D614" s="15" t="s">
        <v>11558</v>
      </c>
      <c r="E614" s="4" t="s">
        <v>2203</v>
      </c>
      <c r="F614" s="37" t="s">
        <v>2204</v>
      </c>
      <c r="G614" s="47">
        <v>0</v>
      </c>
      <c r="H614" s="38">
        <v>0</v>
      </c>
      <c r="I614" s="15"/>
      <c r="J614" s="494">
        <v>10202260601</v>
      </c>
      <c r="K614" s="517"/>
      <c r="L614" s="517" t="s">
        <v>2075</v>
      </c>
      <c r="M614" s="517" t="s">
        <v>2205</v>
      </c>
      <c r="N614" s="518" t="s">
        <v>2206</v>
      </c>
      <c r="O614" s="517">
        <v>1</v>
      </c>
      <c r="P614" s="517" t="s">
        <v>647</v>
      </c>
      <c r="Q614" s="517" t="s">
        <v>647</v>
      </c>
      <c r="R614" s="517" t="s">
        <v>1875</v>
      </c>
      <c r="S614" s="517" t="s">
        <v>739</v>
      </c>
      <c r="T614" s="518" t="s">
        <v>2204</v>
      </c>
      <c r="U614" s="38">
        <v>0</v>
      </c>
      <c r="V614" s="15" t="str">
        <f t="shared" si="61"/>
        <v>102022606</v>
      </c>
      <c r="W614" s="39">
        <v>1</v>
      </c>
      <c r="X614" s="40" t="s">
        <v>647</v>
      </c>
      <c r="Y614" s="40" t="s">
        <v>647</v>
      </c>
      <c r="Z614" s="40" t="s">
        <v>1875</v>
      </c>
      <c r="AA614" s="40" t="s">
        <v>739</v>
      </c>
      <c r="AB614" s="41" t="s">
        <v>2204</v>
      </c>
      <c r="AC614" s="519">
        <f t="shared" si="65"/>
        <v>0</v>
      </c>
      <c r="AD614" s="517">
        <v>0</v>
      </c>
      <c r="AE614" s="517" t="s">
        <v>2075</v>
      </c>
      <c r="AF614" s="517" t="s">
        <v>2205</v>
      </c>
      <c r="AG614" s="520" t="s">
        <v>2206</v>
      </c>
      <c r="AH614" s="67">
        <f t="shared" si="63"/>
        <v>0</v>
      </c>
      <c r="AI614" s="10"/>
      <c r="AJ614" s="9">
        <f t="shared" si="64"/>
        <v>0</v>
      </c>
      <c r="AK614" s="10"/>
      <c r="AL614" s="10"/>
    </row>
    <row r="615" spans="1:38" ht="45" hidden="1">
      <c r="A615" s="1">
        <f t="shared" si="62"/>
        <v>0</v>
      </c>
      <c r="C615" s="3" t="s">
        <v>1774</v>
      </c>
      <c r="D615" s="15" t="s">
        <v>16</v>
      </c>
      <c r="E615" s="24"/>
      <c r="F615" s="25" t="s">
        <v>12</v>
      </c>
      <c r="G615" s="26">
        <f>G616+G620</f>
        <v>0</v>
      </c>
      <c r="H615" s="26">
        <f>H616+H620</f>
        <v>0</v>
      </c>
      <c r="I615" s="15"/>
      <c r="J615" s="494"/>
      <c r="K615" s="509"/>
      <c r="L615" s="509"/>
      <c r="M615" s="509"/>
      <c r="N615" s="510"/>
      <c r="O615" s="509"/>
      <c r="P615" s="509"/>
      <c r="Q615" s="509"/>
      <c r="R615" s="509"/>
      <c r="S615" s="509"/>
      <c r="T615" s="510"/>
      <c r="U615" s="26">
        <f>U616+U620</f>
        <v>0</v>
      </c>
      <c r="V615" s="15" t="str">
        <f t="shared" si="61"/>
        <v>102030000</v>
      </c>
      <c r="W615" s="27">
        <v>1</v>
      </c>
      <c r="X615" s="28" t="s">
        <v>647</v>
      </c>
      <c r="Y615" s="28" t="s">
        <v>671</v>
      </c>
      <c r="Z615" s="28" t="s">
        <v>630</v>
      </c>
      <c r="AA615" s="28" t="s">
        <v>630</v>
      </c>
      <c r="AB615" s="25" t="s">
        <v>12</v>
      </c>
      <c r="AC615" s="530" t="e">
        <f>AC616+AC620</f>
        <v>#REF!</v>
      </c>
      <c r="AD615" s="509">
        <v>0</v>
      </c>
      <c r="AE615" s="509" t="s">
        <v>13452</v>
      </c>
      <c r="AF615" s="509" t="s">
        <v>2209</v>
      </c>
      <c r="AG615" s="510" t="s">
        <v>13453</v>
      </c>
      <c r="AH615" s="581" t="e">
        <f t="shared" si="63"/>
        <v>#REF!</v>
      </c>
      <c r="AI615" s="10"/>
      <c r="AJ615" s="9" t="e">
        <f t="shared" si="64"/>
        <v>#REF!</v>
      </c>
      <c r="AK615" s="10"/>
      <c r="AL615" s="10"/>
    </row>
    <row r="616" spans="1:38" ht="33.75" hidden="1">
      <c r="A616" s="1">
        <f t="shared" si="62"/>
        <v>0</v>
      </c>
      <c r="B616" s="11"/>
      <c r="C616" s="11"/>
      <c r="D616" s="15" t="s">
        <v>16</v>
      </c>
      <c r="E616" s="30"/>
      <c r="F616" s="31" t="s">
        <v>2210</v>
      </c>
      <c r="G616" s="32">
        <f>SUM(G617:G619)</f>
        <v>0</v>
      </c>
      <c r="H616" s="32">
        <f>SUM(H617:H619)</f>
        <v>0</v>
      </c>
      <c r="I616" s="15"/>
      <c r="J616" s="494"/>
      <c r="K616" s="513"/>
      <c r="L616" s="513"/>
      <c r="M616" s="513"/>
      <c r="N616" s="514"/>
      <c r="O616" s="513"/>
      <c r="P616" s="513"/>
      <c r="Q616" s="513"/>
      <c r="R616" s="513"/>
      <c r="S616" s="513"/>
      <c r="T616" s="514"/>
      <c r="U616" s="32">
        <f>SUM(U617:U619)</f>
        <v>0</v>
      </c>
      <c r="V616" s="15" t="str">
        <f t="shared" si="61"/>
        <v>102030100</v>
      </c>
      <c r="W616" s="33">
        <v>1</v>
      </c>
      <c r="X616" s="34" t="s">
        <v>647</v>
      </c>
      <c r="Y616" s="34" t="s">
        <v>671</v>
      </c>
      <c r="Z616" s="34" t="s">
        <v>632</v>
      </c>
      <c r="AA616" s="35" t="s">
        <v>630</v>
      </c>
      <c r="AB616" s="31" t="s">
        <v>2210</v>
      </c>
      <c r="AC616" s="582" t="e">
        <f>#REF!</f>
        <v>#REF!</v>
      </c>
      <c r="AD616" s="513">
        <v>0</v>
      </c>
      <c r="AE616" s="513" t="s">
        <v>13454</v>
      </c>
      <c r="AF616" s="513" t="s">
        <v>225</v>
      </c>
      <c r="AG616" s="514" t="s">
        <v>13455</v>
      </c>
      <c r="AH616" s="516" t="e">
        <f t="shared" si="63"/>
        <v>#REF!</v>
      </c>
      <c r="AI616" s="10"/>
      <c r="AJ616" s="9" t="e">
        <f t="shared" si="64"/>
        <v>#REF!</v>
      </c>
      <c r="AK616" s="10"/>
      <c r="AL616" s="10"/>
    </row>
    <row r="617" spans="1:38" ht="33.75" hidden="1">
      <c r="A617" s="1">
        <f t="shared" si="62"/>
        <v>0</v>
      </c>
      <c r="B617" s="2" t="s">
        <v>2211</v>
      </c>
      <c r="C617" s="3" t="s">
        <v>2212</v>
      </c>
      <c r="D617" s="15" t="s">
        <v>11559</v>
      </c>
      <c r="E617" s="4" t="s">
        <v>2211</v>
      </c>
      <c r="F617" s="37" t="s">
        <v>2212</v>
      </c>
      <c r="G617" s="38">
        <v>0</v>
      </c>
      <c r="H617" s="38">
        <v>0</v>
      </c>
      <c r="I617" s="15"/>
      <c r="J617" s="494">
        <v>10203010101</v>
      </c>
      <c r="K617" s="517"/>
      <c r="L617" s="517" t="s">
        <v>13454</v>
      </c>
      <c r="M617" s="517" t="s">
        <v>225</v>
      </c>
      <c r="N617" s="518" t="s">
        <v>2213</v>
      </c>
      <c r="O617" s="517">
        <v>1</v>
      </c>
      <c r="P617" s="517" t="s">
        <v>647</v>
      </c>
      <c r="Q617" s="517" t="s">
        <v>671</v>
      </c>
      <c r="R617" s="517" t="s">
        <v>632</v>
      </c>
      <c r="S617" s="517" t="s">
        <v>632</v>
      </c>
      <c r="T617" s="518" t="s">
        <v>1116</v>
      </c>
      <c r="U617" s="38">
        <v>0</v>
      </c>
      <c r="V617" s="15" t="str">
        <f t="shared" si="61"/>
        <v>102030101</v>
      </c>
      <c r="W617" s="39">
        <v>1</v>
      </c>
      <c r="X617" s="40" t="s">
        <v>647</v>
      </c>
      <c r="Y617" s="40" t="s">
        <v>671</v>
      </c>
      <c r="Z617" s="40" t="s">
        <v>632</v>
      </c>
      <c r="AA617" s="40" t="s">
        <v>632</v>
      </c>
      <c r="AB617" s="41" t="s">
        <v>1116</v>
      </c>
      <c r="AC617" s="519">
        <f>H617</f>
        <v>0</v>
      </c>
      <c r="AD617" s="517">
        <v>0</v>
      </c>
      <c r="AE617" s="517" t="s">
        <v>13454</v>
      </c>
      <c r="AF617" s="517" t="s">
        <v>225</v>
      </c>
      <c r="AG617" s="520" t="s">
        <v>2213</v>
      </c>
      <c r="AH617" s="67">
        <f t="shared" si="63"/>
        <v>0</v>
      </c>
      <c r="AI617" s="10"/>
      <c r="AJ617" s="9">
        <f t="shared" si="64"/>
        <v>0</v>
      </c>
      <c r="AK617" s="10"/>
      <c r="AL617" s="10"/>
    </row>
    <row r="618" spans="1:38" ht="33.75" hidden="1">
      <c r="A618" s="1">
        <f t="shared" si="62"/>
        <v>0</v>
      </c>
      <c r="B618" s="2" t="s">
        <v>2214</v>
      </c>
      <c r="C618" s="3" t="s">
        <v>1120</v>
      </c>
      <c r="D618" s="15" t="s">
        <v>11560</v>
      </c>
      <c r="E618" s="4" t="s">
        <v>2214</v>
      </c>
      <c r="F618" s="37" t="s">
        <v>1120</v>
      </c>
      <c r="G618" s="38">
        <v>0</v>
      </c>
      <c r="H618" s="38">
        <v>0</v>
      </c>
      <c r="I618" s="15"/>
      <c r="J618" s="494">
        <v>10203010201</v>
      </c>
      <c r="K618" s="517"/>
      <c r="L618" s="517" t="s">
        <v>13454</v>
      </c>
      <c r="M618" s="517" t="s">
        <v>225</v>
      </c>
      <c r="N618" s="518" t="s">
        <v>2213</v>
      </c>
      <c r="O618" s="517">
        <v>1</v>
      </c>
      <c r="P618" s="517" t="s">
        <v>647</v>
      </c>
      <c r="Q618" s="517" t="s">
        <v>671</v>
      </c>
      <c r="R618" s="517" t="s">
        <v>632</v>
      </c>
      <c r="S618" s="517" t="s">
        <v>647</v>
      </c>
      <c r="T618" s="518" t="s">
        <v>1121</v>
      </c>
      <c r="U618" s="38">
        <v>0</v>
      </c>
      <c r="V618" s="15" t="str">
        <f t="shared" si="61"/>
        <v>102030102</v>
      </c>
      <c r="W618" s="39">
        <v>1</v>
      </c>
      <c r="X618" s="40" t="s">
        <v>647</v>
      </c>
      <c r="Y618" s="40" t="s">
        <v>671</v>
      </c>
      <c r="Z618" s="40" t="s">
        <v>632</v>
      </c>
      <c r="AA618" s="40" t="s">
        <v>647</v>
      </c>
      <c r="AB618" s="41" t="s">
        <v>1121</v>
      </c>
      <c r="AC618" s="519">
        <f>H618</f>
        <v>0</v>
      </c>
      <c r="AD618" s="517">
        <v>0</v>
      </c>
      <c r="AE618" s="517" t="s">
        <v>13454</v>
      </c>
      <c r="AF618" s="517" t="s">
        <v>225</v>
      </c>
      <c r="AG618" s="520" t="s">
        <v>2213</v>
      </c>
      <c r="AH618" s="67">
        <f t="shared" si="63"/>
        <v>0</v>
      </c>
      <c r="AI618" s="10"/>
      <c r="AJ618" s="9">
        <f t="shared" si="64"/>
        <v>0</v>
      </c>
      <c r="AK618" s="10"/>
      <c r="AL618" s="10"/>
    </row>
    <row r="619" spans="1:38" ht="33.75" hidden="1">
      <c r="A619" s="1">
        <f t="shared" si="62"/>
        <v>0</v>
      </c>
      <c r="B619" s="2" t="s">
        <v>2215</v>
      </c>
      <c r="C619" s="3" t="s">
        <v>1123</v>
      </c>
      <c r="D619" s="15" t="s">
        <v>11561</v>
      </c>
      <c r="E619" s="4" t="s">
        <v>2215</v>
      </c>
      <c r="F619" s="37" t="s">
        <v>1123</v>
      </c>
      <c r="G619" s="38">
        <v>0</v>
      </c>
      <c r="H619" s="38">
        <v>0</v>
      </c>
      <c r="I619" s="15"/>
      <c r="J619" s="494">
        <v>10203019901</v>
      </c>
      <c r="K619" s="517"/>
      <c r="L619" s="517" t="s">
        <v>13454</v>
      </c>
      <c r="M619" s="517" t="s">
        <v>225</v>
      </c>
      <c r="N619" s="518" t="s">
        <v>2213</v>
      </c>
      <c r="O619" s="517">
        <v>1</v>
      </c>
      <c r="P619" s="517" t="s">
        <v>647</v>
      </c>
      <c r="Q619" s="517" t="s">
        <v>671</v>
      </c>
      <c r="R619" s="517" t="s">
        <v>632</v>
      </c>
      <c r="S619" s="517" t="s">
        <v>1124</v>
      </c>
      <c r="T619" s="518" t="s">
        <v>1125</v>
      </c>
      <c r="U619" s="38">
        <v>0</v>
      </c>
      <c r="V619" s="15" t="str">
        <f t="shared" si="61"/>
        <v>102030199</v>
      </c>
      <c r="W619" s="39">
        <v>1</v>
      </c>
      <c r="X619" s="40" t="s">
        <v>647</v>
      </c>
      <c r="Y619" s="40" t="s">
        <v>671</v>
      </c>
      <c r="Z619" s="40" t="s">
        <v>632</v>
      </c>
      <c r="AA619" s="40" t="s">
        <v>1124</v>
      </c>
      <c r="AB619" s="41" t="s">
        <v>1125</v>
      </c>
      <c r="AC619" s="519">
        <f>H619</f>
        <v>0</v>
      </c>
      <c r="AD619" s="517">
        <v>0</v>
      </c>
      <c r="AE619" s="517" t="s">
        <v>13454</v>
      </c>
      <c r="AF619" s="517" t="s">
        <v>225</v>
      </c>
      <c r="AG619" s="520" t="s">
        <v>2213</v>
      </c>
      <c r="AH619" s="67">
        <f t="shared" si="63"/>
        <v>0</v>
      </c>
      <c r="AI619" s="10"/>
      <c r="AJ619" s="9">
        <f t="shared" si="64"/>
        <v>0</v>
      </c>
      <c r="AK619" s="10"/>
      <c r="AL619" s="10"/>
    </row>
    <row r="620" spans="1:38" ht="33.75" hidden="1">
      <c r="A620" s="1">
        <f t="shared" si="62"/>
        <v>0</v>
      </c>
      <c r="C620" s="3" t="s">
        <v>2216</v>
      </c>
      <c r="D620" s="15" t="s">
        <v>16</v>
      </c>
      <c r="E620" s="30"/>
      <c r="F620" s="31" t="s">
        <v>2217</v>
      </c>
      <c r="G620" s="32">
        <f>G621</f>
        <v>0</v>
      </c>
      <c r="H620" s="32">
        <f>H621</f>
        <v>0</v>
      </c>
      <c r="I620" s="15"/>
      <c r="J620" s="494"/>
      <c r="K620" s="513"/>
      <c r="L620" s="513"/>
      <c r="M620" s="513"/>
      <c r="N620" s="514"/>
      <c r="O620" s="513"/>
      <c r="P620" s="513"/>
      <c r="Q620" s="513"/>
      <c r="R620" s="513"/>
      <c r="S620" s="513"/>
      <c r="T620" s="514"/>
      <c r="U620" s="32">
        <f>U621</f>
        <v>0</v>
      </c>
      <c r="V620" s="15" t="str">
        <f t="shared" si="61"/>
        <v>102030200</v>
      </c>
      <c r="W620" s="33">
        <v>1</v>
      </c>
      <c r="X620" s="34" t="s">
        <v>647</v>
      </c>
      <c r="Y620" s="34" t="s">
        <v>671</v>
      </c>
      <c r="Z620" s="34" t="s">
        <v>647</v>
      </c>
      <c r="AA620" s="35" t="s">
        <v>630</v>
      </c>
      <c r="AB620" s="31" t="s">
        <v>2217</v>
      </c>
      <c r="AC620" s="529">
        <f>AC621</f>
        <v>0</v>
      </c>
      <c r="AD620" s="513">
        <v>0</v>
      </c>
      <c r="AE620" s="513" t="s">
        <v>13456</v>
      </c>
      <c r="AF620" s="513" t="s">
        <v>224</v>
      </c>
      <c r="AG620" s="514" t="s">
        <v>13457</v>
      </c>
      <c r="AH620" s="516">
        <f t="shared" si="63"/>
        <v>0</v>
      </c>
      <c r="AI620" s="10"/>
      <c r="AJ620" s="9">
        <f t="shared" si="64"/>
        <v>0</v>
      </c>
      <c r="AK620" s="10"/>
      <c r="AL620" s="10"/>
    </row>
    <row r="621" spans="1:38" ht="33.75" hidden="1">
      <c r="A621" s="1">
        <f t="shared" si="62"/>
        <v>0</v>
      </c>
      <c r="B621" s="2" t="s">
        <v>2218</v>
      </c>
      <c r="C621" s="3" t="s">
        <v>2216</v>
      </c>
      <c r="D621" s="15" t="s">
        <v>11562</v>
      </c>
      <c r="E621" s="4" t="s">
        <v>2218</v>
      </c>
      <c r="F621" s="37" t="s">
        <v>2216</v>
      </c>
      <c r="G621" s="38">
        <v>0</v>
      </c>
      <c r="H621" s="38">
        <v>0</v>
      </c>
      <c r="I621" s="15"/>
      <c r="J621" s="494">
        <v>10203020101</v>
      </c>
      <c r="K621" s="517"/>
      <c r="L621" s="517" t="s">
        <v>13456</v>
      </c>
      <c r="M621" s="517" t="s">
        <v>224</v>
      </c>
      <c r="N621" s="518" t="s">
        <v>2219</v>
      </c>
      <c r="O621" s="517">
        <v>1</v>
      </c>
      <c r="P621" s="517" t="s">
        <v>647</v>
      </c>
      <c r="Q621" s="517" t="s">
        <v>671</v>
      </c>
      <c r="R621" s="517" t="s">
        <v>647</v>
      </c>
      <c r="S621" s="517" t="s">
        <v>632</v>
      </c>
      <c r="T621" s="518" t="s">
        <v>2217</v>
      </c>
      <c r="U621" s="38">
        <v>0</v>
      </c>
      <c r="V621" s="15" t="str">
        <f t="shared" si="61"/>
        <v>102030201</v>
      </c>
      <c r="W621" s="39">
        <v>1</v>
      </c>
      <c r="X621" s="40" t="s">
        <v>647</v>
      </c>
      <c r="Y621" s="40" t="s">
        <v>671</v>
      </c>
      <c r="Z621" s="40" t="s">
        <v>647</v>
      </c>
      <c r="AA621" s="40" t="s">
        <v>632</v>
      </c>
      <c r="AB621" s="41" t="s">
        <v>2217</v>
      </c>
      <c r="AC621" s="9">
        <f>H621</f>
        <v>0</v>
      </c>
      <c r="AD621" s="517">
        <v>0</v>
      </c>
      <c r="AE621" s="517" t="s">
        <v>13456</v>
      </c>
      <c r="AF621" s="517" t="s">
        <v>224</v>
      </c>
      <c r="AG621" s="520" t="s">
        <v>2219</v>
      </c>
      <c r="AH621" s="67">
        <f t="shared" si="63"/>
        <v>0</v>
      </c>
      <c r="AI621" s="10"/>
      <c r="AJ621" s="9">
        <f t="shared" si="64"/>
        <v>0</v>
      </c>
      <c r="AK621" s="10"/>
      <c r="AL621" s="10"/>
    </row>
    <row r="622" spans="1:38" ht="22.5" hidden="1">
      <c r="A622" s="1">
        <f t="shared" si="62"/>
        <v>0</v>
      </c>
      <c r="C622" s="3" t="s">
        <v>13</v>
      </c>
      <c r="D622" s="15" t="s">
        <v>16</v>
      </c>
      <c r="E622" s="24"/>
      <c r="F622" s="25" t="s">
        <v>13</v>
      </c>
      <c r="G622" s="26">
        <f>G623+G645+G654+G656</f>
        <v>4498184.84</v>
      </c>
      <c r="H622" s="26">
        <f>H623+H645+H654+H656</f>
        <v>4191148.92</v>
      </c>
      <c r="I622" s="15"/>
      <c r="J622" s="494"/>
      <c r="K622" s="509"/>
      <c r="L622" s="509"/>
      <c r="M622" s="509"/>
      <c r="N622" s="510"/>
      <c r="O622" s="509"/>
      <c r="P622" s="509"/>
      <c r="Q622" s="509"/>
      <c r="R622" s="509"/>
      <c r="S622" s="509"/>
      <c r="T622" s="510"/>
      <c r="U622" s="26">
        <f>U623+U645+U654+U656</f>
        <v>4191148.92</v>
      </c>
      <c r="V622" s="15" t="str">
        <f t="shared" si="61"/>
        <v>102040000</v>
      </c>
      <c r="W622" s="27">
        <v>1</v>
      </c>
      <c r="X622" s="28" t="s">
        <v>647</v>
      </c>
      <c r="Y622" s="28" t="s">
        <v>693</v>
      </c>
      <c r="Z622" s="28" t="s">
        <v>630</v>
      </c>
      <c r="AA622" s="28" t="s">
        <v>630</v>
      </c>
      <c r="AB622" s="25" t="s">
        <v>13</v>
      </c>
      <c r="AC622" s="530">
        <f>AC623+AC645+AC654+AC656</f>
        <v>4191148.92</v>
      </c>
      <c r="AD622" s="509">
        <v>0</v>
      </c>
      <c r="AE622" s="509" t="s">
        <v>13458</v>
      </c>
      <c r="AF622" s="509" t="s">
        <v>2220</v>
      </c>
      <c r="AG622" s="510" t="s">
        <v>13459</v>
      </c>
      <c r="AH622" s="53">
        <f>AH623+AH645+AH654+AH656</f>
        <v>4191148.92</v>
      </c>
      <c r="AI622" s="10"/>
      <c r="AJ622" s="9">
        <f t="shared" si="64"/>
        <v>0</v>
      </c>
      <c r="AK622" s="10"/>
      <c r="AL622" s="10"/>
    </row>
    <row r="623" spans="1:38" hidden="1">
      <c r="A623" s="1">
        <f t="shared" si="62"/>
        <v>0</v>
      </c>
      <c r="C623" s="3" t="s">
        <v>2221</v>
      </c>
      <c r="D623" s="15" t="s">
        <v>16</v>
      </c>
      <c r="E623" s="30"/>
      <c r="F623" s="31" t="s">
        <v>2222</v>
      </c>
      <c r="G623" s="32">
        <f>SUM(G624:G642)</f>
        <v>26046.92</v>
      </c>
      <c r="H623" s="32">
        <f>SUM(H624:H642)</f>
        <v>22578.9</v>
      </c>
      <c r="I623" s="15"/>
      <c r="J623" s="494"/>
      <c r="K623" s="513"/>
      <c r="L623" s="513"/>
      <c r="M623" s="513"/>
      <c r="N623" s="514"/>
      <c r="O623" s="513"/>
      <c r="P623" s="513"/>
      <c r="Q623" s="513"/>
      <c r="R623" s="513"/>
      <c r="S623" s="513"/>
      <c r="T623" s="514"/>
      <c r="U623" s="32">
        <f>SUM(U624:U642)</f>
        <v>22578.9</v>
      </c>
      <c r="V623" s="15" t="str">
        <f t="shared" si="61"/>
        <v>102040100</v>
      </c>
      <c r="W623" s="33">
        <v>1</v>
      </c>
      <c r="X623" s="34" t="s">
        <v>647</v>
      </c>
      <c r="Y623" s="34" t="s">
        <v>693</v>
      </c>
      <c r="Z623" s="34" t="s">
        <v>632</v>
      </c>
      <c r="AA623" s="35" t="s">
        <v>630</v>
      </c>
      <c r="AB623" s="31" t="s">
        <v>2222</v>
      </c>
      <c r="AC623" s="529">
        <f>SUM(AC624:AC642)</f>
        <v>22578.9</v>
      </c>
      <c r="AD623" s="513">
        <v>0</v>
      </c>
      <c r="AE623" s="513" t="s">
        <v>13460</v>
      </c>
      <c r="AF623" s="513" t="s">
        <v>226</v>
      </c>
      <c r="AG623" s="514" t="s">
        <v>13461</v>
      </c>
      <c r="AH623" s="44">
        <f>SUM(AH624:AH642)</f>
        <v>22578.9</v>
      </c>
      <c r="AI623" s="10"/>
      <c r="AJ623" s="9">
        <f t="shared" si="64"/>
        <v>0</v>
      </c>
      <c r="AK623" s="10"/>
      <c r="AL623" s="10"/>
    </row>
    <row r="624" spans="1:38" hidden="1">
      <c r="A624" s="1">
        <f t="shared" si="62"/>
        <v>0</v>
      </c>
      <c r="B624" s="2" t="s">
        <v>2223</v>
      </c>
      <c r="C624" s="3" t="s">
        <v>2224</v>
      </c>
      <c r="D624" s="15" t="s">
        <v>11563</v>
      </c>
      <c r="E624" s="4" t="s">
        <v>2223</v>
      </c>
      <c r="F624" s="37" t="s">
        <v>2224</v>
      </c>
      <c r="G624" s="38">
        <v>443.3</v>
      </c>
      <c r="H624" s="38">
        <v>329.8</v>
      </c>
      <c r="I624" s="15"/>
      <c r="J624" s="494">
        <v>10204010101</v>
      </c>
      <c r="K624" s="517"/>
      <c r="L624" s="517" t="s">
        <v>13460</v>
      </c>
      <c r="M624" s="517" t="s">
        <v>226</v>
      </c>
      <c r="N624" s="518" t="s">
        <v>2226</v>
      </c>
      <c r="O624" s="517">
        <v>1</v>
      </c>
      <c r="P624" s="517" t="s">
        <v>647</v>
      </c>
      <c r="Q624" s="517" t="s">
        <v>693</v>
      </c>
      <c r="R624" s="517" t="s">
        <v>632</v>
      </c>
      <c r="S624" s="517" t="s">
        <v>632</v>
      </c>
      <c r="T624" s="518" t="s">
        <v>2225</v>
      </c>
      <c r="U624" s="38">
        <v>329.8</v>
      </c>
      <c r="V624" s="15" t="str">
        <f t="shared" si="61"/>
        <v>102040101</v>
      </c>
      <c r="W624" s="39">
        <v>1</v>
      </c>
      <c r="X624" s="40" t="s">
        <v>647</v>
      </c>
      <c r="Y624" s="40" t="s">
        <v>693</v>
      </c>
      <c r="Z624" s="40" t="s">
        <v>632</v>
      </c>
      <c r="AA624" s="40" t="s">
        <v>632</v>
      </c>
      <c r="AB624" s="41" t="s">
        <v>2225</v>
      </c>
      <c r="AC624" s="519">
        <f>SUM(H624:H631)</f>
        <v>38.520000000000039</v>
      </c>
      <c r="AD624" s="517">
        <v>0</v>
      </c>
      <c r="AE624" s="517" t="s">
        <v>13460</v>
      </c>
      <c r="AF624" s="517" t="s">
        <v>226</v>
      </c>
      <c r="AG624" s="520" t="s">
        <v>2226</v>
      </c>
      <c r="AH624" s="67">
        <f>AC624</f>
        <v>38.520000000000039</v>
      </c>
      <c r="AI624" s="10"/>
      <c r="AJ624" s="9"/>
      <c r="AK624" s="10"/>
      <c r="AL624" s="10"/>
    </row>
    <row r="625" spans="1:38" hidden="1">
      <c r="A625" s="1">
        <f t="shared" si="62"/>
        <v>0</v>
      </c>
      <c r="B625" s="2" t="s">
        <v>2227</v>
      </c>
      <c r="C625" s="3" t="s">
        <v>2228</v>
      </c>
      <c r="D625" s="15" t="s">
        <v>11563</v>
      </c>
      <c r="E625" s="4" t="s">
        <v>2227</v>
      </c>
      <c r="F625" s="37" t="s">
        <v>2228</v>
      </c>
      <c r="G625" s="38">
        <v>0</v>
      </c>
      <c r="H625" s="38">
        <v>64</v>
      </c>
      <c r="I625" s="15"/>
      <c r="J625" s="494">
        <v>10204010102</v>
      </c>
      <c r="K625" s="517"/>
      <c r="L625" s="517" t="s">
        <v>13460</v>
      </c>
      <c r="M625" s="517" t="s">
        <v>226</v>
      </c>
      <c r="N625" s="518" t="s">
        <v>2226</v>
      </c>
      <c r="O625" s="517">
        <v>1</v>
      </c>
      <c r="P625" s="517" t="s">
        <v>647</v>
      </c>
      <c r="Q625" s="517" t="s">
        <v>693</v>
      </c>
      <c r="R625" s="517" t="s">
        <v>632</v>
      </c>
      <c r="S625" s="517" t="s">
        <v>632</v>
      </c>
      <c r="T625" s="518" t="s">
        <v>2225</v>
      </c>
      <c r="U625" s="38">
        <v>64</v>
      </c>
      <c r="V625" s="15" t="str">
        <f t="shared" si="61"/>
        <v/>
      </c>
      <c r="W625" s="1"/>
      <c r="X625" s="1"/>
      <c r="Y625" s="1"/>
      <c r="Z625" s="1"/>
      <c r="AA625" s="1"/>
      <c r="AB625" s="3"/>
      <c r="AC625" s="9"/>
      <c r="AD625" s="517" t="e">
        <v>#N/A</v>
      </c>
      <c r="AE625" s="517" t="e">
        <v>#N/A</v>
      </c>
      <c r="AF625" s="517" t="e">
        <v>#N/A</v>
      </c>
      <c r="AG625" s="520" t="e">
        <v>#N/A</v>
      </c>
      <c r="AH625" s="9"/>
      <c r="AI625" s="10"/>
      <c r="AJ625" s="9"/>
      <c r="AK625" s="10"/>
      <c r="AL625" s="10"/>
    </row>
    <row r="626" spans="1:38" hidden="1">
      <c r="A626" s="1">
        <f t="shared" si="62"/>
        <v>0</v>
      </c>
      <c r="B626" s="2" t="s">
        <v>2229</v>
      </c>
      <c r="C626" s="3" t="s">
        <v>2230</v>
      </c>
      <c r="D626" s="15" t="s">
        <v>11563</v>
      </c>
      <c r="E626" s="4" t="s">
        <v>2229</v>
      </c>
      <c r="F626" s="37" t="s">
        <v>2230</v>
      </c>
      <c r="G626" s="38">
        <v>0</v>
      </c>
      <c r="H626" s="38">
        <v>0</v>
      </c>
      <c r="I626" s="15"/>
      <c r="J626" s="494">
        <v>10204010103</v>
      </c>
      <c r="K626" s="517"/>
      <c r="L626" s="517" t="s">
        <v>13460</v>
      </c>
      <c r="M626" s="517" t="s">
        <v>226</v>
      </c>
      <c r="N626" s="518" t="s">
        <v>2226</v>
      </c>
      <c r="O626" s="517">
        <v>1</v>
      </c>
      <c r="P626" s="517" t="s">
        <v>647</v>
      </c>
      <c r="Q626" s="517" t="s">
        <v>693</v>
      </c>
      <c r="R626" s="517" t="s">
        <v>632</v>
      </c>
      <c r="S626" s="517" t="s">
        <v>632</v>
      </c>
      <c r="T626" s="518" t="s">
        <v>2225</v>
      </c>
      <c r="U626" s="38">
        <v>0</v>
      </c>
      <c r="V626" s="15" t="str">
        <f t="shared" si="61"/>
        <v/>
      </c>
      <c r="W626" s="1"/>
      <c r="X626" s="1"/>
      <c r="Y626" s="1"/>
      <c r="Z626" s="1"/>
      <c r="AA626" s="1"/>
      <c r="AB626" s="3"/>
      <c r="AC626" s="9"/>
      <c r="AD626" s="517" t="e">
        <v>#N/A</v>
      </c>
      <c r="AE626" s="517" t="e">
        <v>#N/A</v>
      </c>
      <c r="AF626" s="517" t="e">
        <v>#N/A</v>
      </c>
      <c r="AG626" s="520" t="e">
        <v>#N/A</v>
      </c>
      <c r="AH626" s="9"/>
      <c r="AI626" s="10"/>
      <c r="AJ626" s="9"/>
      <c r="AK626" s="10"/>
      <c r="AL626" s="10"/>
    </row>
    <row r="627" spans="1:38" hidden="1">
      <c r="A627" s="1">
        <f t="shared" si="62"/>
        <v>0</v>
      </c>
      <c r="B627" s="2" t="s">
        <v>2231</v>
      </c>
      <c r="C627" s="3" t="s">
        <v>2232</v>
      </c>
      <c r="D627" s="15" t="s">
        <v>11563</v>
      </c>
      <c r="E627" s="4" t="s">
        <v>2231</v>
      </c>
      <c r="F627" s="37" t="s">
        <v>2232</v>
      </c>
      <c r="G627" s="38">
        <v>4181.8999999999996</v>
      </c>
      <c r="H627" s="38">
        <v>-355.28</v>
      </c>
      <c r="I627" s="15"/>
      <c r="J627" s="494">
        <v>10204010104</v>
      </c>
      <c r="K627" s="517"/>
      <c r="L627" s="517" t="s">
        <v>13460</v>
      </c>
      <c r="M627" s="517" t="s">
        <v>226</v>
      </c>
      <c r="N627" s="518" t="s">
        <v>2226</v>
      </c>
      <c r="O627" s="517">
        <v>1</v>
      </c>
      <c r="P627" s="517" t="s">
        <v>647</v>
      </c>
      <c r="Q627" s="517" t="s">
        <v>693</v>
      </c>
      <c r="R627" s="517" t="s">
        <v>632</v>
      </c>
      <c r="S627" s="517" t="s">
        <v>632</v>
      </c>
      <c r="T627" s="518" t="s">
        <v>2225</v>
      </c>
      <c r="U627" s="38">
        <v>-355.28</v>
      </c>
      <c r="V627" s="15" t="str">
        <f t="shared" si="61"/>
        <v/>
      </c>
      <c r="W627" s="1"/>
      <c r="X627" s="1"/>
      <c r="Y627" s="1"/>
      <c r="Z627" s="1"/>
      <c r="AA627" s="1"/>
      <c r="AB627" s="3"/>
      <c r="AC627" s="9"/>
      <c r="AD627" s="517" t="e">
        <v>#N/A</v>
      </c>
      <c r="AE627" s="517" t="e">
        <v>#N/A</v>
      </c>
      <c r="AF627" s="517" t="e">
        <v>#N/A</v>
      </c>
      <c r="AG627" s="520" t="e">
        <v>#N/A</v>
      </c>
      <c r="AH627" s="9"/>
      <c r="AI627" s="10"/>
      <c r="AJ627" s="9"/>
      <c r="AK627" s="10"/>
      <c r="AL627" s="10"/>
    </row>
    <row r="628" spans="1:38" ht="22.5" hidden="1">
      <c r="A628" s="1">
        <f t="shared" si="62"/>
        <v>0</v>
      </c>
      <c r="B628" s="2" t="s">
        <v>2233</v>
      </c>
      <c r="C628" s="3" t="s">
        <v>2234</v>
      </c>
      <c r="D628" s="15" t="s">
        <v>11563</v>
      </c>
      <c r="E628" s="4" t="s">
        <v>2233</v>
      </c>
      <c r="F628" s="37" t="s">
        <v>2234</v>
      </c>
      <c r="G628" s="38">
        <v>0</v>
      </c>
      <c r="H628" s="38">
        <v>0</v>
      </c>
      <c r="I628" s="15"/>
      <c r="J628" s="494">
        <v>10204010105</v>
      </c>
      <c r="K628" s="517"/>
      <c r="L628" s="517" t="s">
        <v>13460</v>
      </c>
      <c r="M628" s="517" t="s">
        <v>226</v>
      </c>
      <c r="N628" s="518" t="s">
        <v>2226</v>
      </c>
      <c r="O628" s="517">
        <v>1</v>
      </c>
      <c r="P628" s="517" t="s">
        <v>647</v>
      </c>
      <c r="Q628" s="517" t="s">
        <v>693</v>
      </c>
      <c r="R628" s="517" t="s">
        <v>632</v>
      </c>
      <c r="S628" s="517" t="s">
        <v>632</v>
      </c>
      <c r="T628" s="518" t="s">
        <v>2225</v>
      </c>
      <c r="U628" s="38">
        <v>0</v>
      </c>
      <c r="V628" s="15" t="str">
        <f t="shared" si="61"/>
        <v/>
      </c>
      <c r="W628" s="1"/>
      <c r="X628" s="1"/>
      <c r="Y628" s="1"/>
      <c r="Z628" s="1"/>
      <c r="AA628" s="1"/>
      <c r="AB628" s="3"/>
      <c r="AC628" s="9"/>
      <c r="AD628" s="517" t="e">
        <v>#N/A</v>
      </c>
      <c r="AE628" s="517" t="e">
        <v>#N/A</v>
      </c>
      <c r="AF628" s="517" t="e">
        <v>#N/A</v>
      </c>
      <c r="AG628" s="520" t="e">
        <v>#N/A</v>
      </c>
      <c r="AH628" s="9"/>
      <c r="AI628" s="10"/>
      <c r="AJ628" s="9"/>
      <c r="AK628" s="10"/>
      <c r="AL628" s="10"/>
    </row>
    <row r="629" spans="1:38" hidden="1">
      <c r="A629" s="1">
        <f t="shared" si="62"/>
        <v>0</v>
      </c>
      <c r="B629" s="2" t="s">
        <v>2235</v>
      </c>
      <c r="C629" s="3" t="s">
        <v>2236</v>
      </c>
      <c r="D629" s="15" t="s">
        <v>11563</v>
      </c>
      <c r="E629" s="4" t="s">
        <v>2235</v>
      </c>
      <c r="F629" s="37" t="s">
        <v>2236</v>
      </c>
      <c r="G629" s="38">
        <v>0</v>
      </c>
      <c r="H629" s="38">
        <v>0</v>
      </c>
      <c r="I629" s="15"/>
      <c r="J629" s="494">
        <v>10204010106</v>
      </c>
      <c r="K629" s="517"/>
      <c r="L629" s="517" t="s">
        <v>13460</v>
      </c>
      <c r="M629" s="517" t="s">
        <v>226</v>
      </c>
      <c r="N629" s="518" t="s">
        <v>2226</v>
      </c>
      <c r="O629" s="517">
        <v>1</v>
      </c>
      <c r="P629" s="517" t="s">
        <v>647</v>
      </c>
      <c r="Q629" s="517" t="s">
        <v>693</v>
      </c>
      <c r="R629" s="517" t="s">
        <v>632</v>
      </c>
      <c r="S629" s="517" t="s">
        <v>632</v>
      </c>
      <c r="T629" s="518" t="s">
        <v>2225</v>
      </c>
      <c r="U629" s="38">
        <v>0</v>
      </c>
      <c r="V629" s="15" t="str">
        <f t="shared" si="61"/>
        <v/>
      </c>
      <c r="W629" s="1"/>
      <c r="X629" s="1"/>
      <c r="Y629" s="1"/>
      <c r="Z629" s="1"/>
      <c r="AA629" s="1"/>
      <c r="AB629" s="3"/>
      <c r="AC629" s="9"/>
      <c r="AD629" s="517" t="e">
        <v>#N/A</v>
      </c>
      <c r="AE629" s="517" t="e">
        <v>#N/A</v>
      </c>
      <c r="AF629" s="517" t="e">
        <v>#N/A</v>
      </c>
      <c r="AG629" s="520" t="e">
        <v>#N/A</v>
      </c>
      <c r="AH629" s="9"/>
      <c r="AI629" s="10"/>
      <c r="AJ629" s="9"/>
      <c r="AK629" s="10"/>
      <c r="AL629" s="10"/>
    </row>
    <row r="630" spans="1:38" hidden="1">
      <c r="A630" s="1">
        <f t="shared" si="62"/>
        <v>0</v>
      </c>
      <c r="B630" s="2" t="s">
        <v>2237</v>
      </c>
      <c r="C630" s="3" t="s">
        <v>2238</v>
      </c>
      <c r="D630" s="15" t="s">
        <v>11563</v>
      </c>
      <c r="E630" s="4" t="s">
        <v>2237</v>
      </c>
      <c r="F630" s="37" t="s">
        <v>2238</v>
      </c>
      <c r="G630" s="38">
        <v>0</v>
      </c>
      <c r="H630" s="38">
        <v>0</v>
      </c>
      <c r="I630" s="15"/>
      <c r="J630" s="494">
        <v>10204010107</v>
      </c>
      <c r="K630" s="517"/>
      <c r="L630" s="517" t="s">
        <v>13460</v>
      </c>
      <c r="M630" s="517" t="s">
        <v>226</v>
      </c>
      <c r="N630" s="518" t="s">
        <v>2226</v>
      </c>
      <c r="O630" s="517">
        <v>1</v>
      </c>
      <c r="P630" s="517" t="s">
        <v>647</v>
      </c>
      <c r="Q630" s="517" t="s">
        <v>693</v>
      </c>
      <c r="R630" s="517" t="s">
        <v>632</v>
      </c>
      <c r="S630" s="517" t="s">
        <v>632</v>
      </c>
      <c r="T630" s="518" t="s">
        <v>2225</v>
      </c>
      <c r="U630" s="38">
        <v>0</v>
      </c>
      <c r="V630" s="15" t="str">
        <f t="shared" si="61"/>
        <v/>
      </c>
      <c r="W630" s="1"/>
      <c r="X630" s="1"/>
      <c r="Y630" s="1"/>
      <c r="Z630" s="1"/>
      <c r="AA630" s="1"/>
      <c r="AB630" s="3"/>
      <c r="AC630" s="9"/>
      <c r="AD630" s="517" t="e">
        <v>#N/A</v>
      </c>
      <c r="AE630" s="517" t="e">
        <v>#N/A</v>
      </c>
      <c r="AF630" s="517" t="e">
        <v>#N/A</v>
      </c>
      <c r="AG630" s="520" t="e">
        <v>#N/A</v>
      </c>
      <c r="AH630" s="9"/>
      <c r="AI630" s="10"/>
      <c r="AJ630" s="9"/>
      <c r="AK630" s="10"/>
      <c r="AL630" s="10"/>
    </row>
    <row r="631" spans="1:38" ht="22.5" hidden="1">
      <c r="A631" s="1">
        <f t="shared" si="62"/>
        <v>0</v>
      </c>
      <c r="B631" s="2" t="s">
        <v>2239</v>
      </c>
      <c r="C631" s="3" t="s">
        <v>2240</v>
      </c>
      <c r="D631" s="15" t="s">
        <v>11563</v>
      </c>
      <c r="E631" s="4" t="s">
        <v>2239</v>
      </c>
      <c r="F631" s="37" t="s">
        <v>2240</v>
      </c>
      <c r="G631" s="38">
        <v>0</v>
      </c>
      <c r="H631" s="38">
        <v>0</v>
      </c>
      <c r="I631" s="15"/>
      <c r="J631" s="494">
        <v>10204010108</v>
      </c>
      <c r="K631" s="517"/>
      <c r="L631" s="517" t="s">
        <v>13460</v>
      </c>
      <c r="M631" s="517" t="s">
        <v>226</v>
      </c>
      <c r="N631" s="518" t="s">
        <v>2226</v>
      </c>
      <c r="O631" s="517">
        <v>1</v>
      </c>
      <c r="P631" s="517" t="s">
        <v>647</v>
      </c>
      <c r="Q631" s="517" t="s">
        <v>693</v>
      </c>
      <c r="R631" s="517" t="s">
        <v>632</v>
      </c>
      <c r="S631" s="517" t="s">
        <v>632</v>
      </c>
      <c r="T631" s="518" t="s">
        <v>2225</v>
      </c>
      <c r="U631" s="38">
        <v>0</v>
      </c>
      <c r="V631" s="15" t="str">
        <f t="shared" si="61"/>
        <v/>
      </c>
      <c r="W631" s="1"/>
      <c r="X631" s="1"/>
      <c r="Y631" s="1"/>
      <c r="Z631" s="1"/>
      <c r="AA631" s="1"/>
      <c r="AB631" s="3"/>
      <c r="AC631" s="9"/>
      <c r="AD631" s="517" t="e">
        <v>#N/A</v>
      </c>
      <c r="AE631" s="517" t="e">
        <v>#N/A</v>
      </c>
      <c r="AF631" s="517" t="e">
        <v>#N/A</v>
      </c>
      <c r="AG631" s="520" t="e">
        <v>#N/A</v>
      </c>
      <c r="AH631" s="9"/>
      <c r="AI631" s="10"/>
      <c r="AJ631" s="9"/>
      <c r="AK631" s="10"/>
      <c r="AL631" s="10"/>
    </row>
    <row r="632" spans="1:38" hidden="1">
      <c r="A632" s="1">
        <f t="shared" si="62"/>
        <v>0</v>
      </c>
      <c r="B632" s="2" t="s">
        <v>2241</v>
      </c>
      <c r="C632" s="3" t="s">
        <v>2242</v>
      </c>
      <c r="D632" s="15" t="s">
        <v>11564</v>
      </c>
      <c r="E632" s="4" t="s">
        <v>2241</v>
      </c>
      <c r="F632" s="37" t="s">
        <v>2242</v>
      </c>
      <c r="G632" s="38">
        <v>0</v>
      </c>
      <c r="H632" s="38">
        <v>0</v>
      </c>
      <c r="I632" s="15"/>
      <c r="J632" s="494">
        <v>10204010201</v>
      </c>
      <c r="K632" s="517"/>
      <c r="L632" s="517" t="s">
        <v>13460</v>
      </c>
      <c r="M632" s="517" t="s">
        <v>226</v>
      </c>
      <c r="N632" s="518" t="s">
        <v>2226</v>
      </c>
      <c r="O632" s="517">
        <v>1</v>
      </c>
      <c r="P632" s="517" t="s">
        <v>647</v>
      </c>
      <c r="Q632" s="517" t="s">
        <v>693</v>
      </c>
      <c r="R632" s="517" t="s">
        <v>632</v>
      </c>
      <c r="S632" s="517" t="s">
        <v>647</v>
      </c>
      <c r="T632" s="518" t="s">
        <v>2243</v>
      </c>
      <c r="U632" s="38">
        <v>0</v>
      </c>
      <c r="V632" s="15" t="str">
        <f t="shared" si="61"/>
        <v>102040102</v>
      </c>
      <c r="W632" s="39">
        <v>1</v>
      </c>
      <c r="X632" s="40" t="s">
        <v>647</v>
      </c>
      <c r="Y632" s="40" t="s">
        <v>693</v>
      </c>
      <c r="Z632" s="40" t="s">
        <v>632</v>
      </c>
      <c r="AA632" s="40" t="s">
        <v>647</v>
      </c>
      <c r="AB632" s="41" t="s">
        <v>2243</v>
      </c>
      <c r="AC632" s="519">
        <f>SUM(H632:H641)</f>
        <v>17570.260000000002</v>
      </c>
      <c r="AD632" s="517">
        <v>0</v>
      </c>
      <c r="AE632" s="517" t="s">
        <v>13460</v>
      </c>
      <c r="AF632" s="517" t="s">
        <v>226</v>
      </c>
      <c r="AG632" s="520" t="s">
        <v>2226</v>
      </c>
      <c r="AH632" s="67">
        <f>AC632</f>
        <v>17570.260000000002</v>
      </c>
      <c r="AI632" s="10"/>
      <c r="AJ632" s="9"/>
      <c r="AK632" s="10"/>
      <c r="AL632" s="10"/>
    </row>
    <row r="633" spans="1:38" hidden="1">
      <c r="A633" s="1">
        <f t="shared" si="62"/>
        <v>0</v>
      </c>
      <c r="B633" s="2" t="s">
        <v>2244</v>
      </c>
      <c r="C633" s="3" t="s">
        <v>2245</v>
      </c>
      <c r="D633" s="15" t="s">
        <v>11564</v>
      </c>
      <c r="E633" s="4" t="s">
        <v>2244</v>
      </c>
      <c r="F633" s="37" t="s">
        <v>2245</v>
      </c>
      <c r="G633" s="38">
        <v>1505.32</v>
      </c>
      <c r="H633" s="38">
        <v>711.13</v>
      </c>
      <c r="I633" s="15"/>
      <c r="J633" s="494">
        <v>10204010202</v>
      </c>
      <c r="L633" s="523" t="s">
        <v>13460</v>
      </c>
      <c r="M633" s="523" t="s">
        <v>226</v>
      </c>
      <c r="N633" s="518" t="s">
        <v>2226</v>
      </c>
      <c r="O633" s="523">
        <v>1</v>
      </c>
      <c r="P633" s="523" t="s">
        <v>647</v>
      </c>
      <c r="Q633" s="523" t="s">
        <v>693</v>
      </c>
      <c r="R633" s="523" t="s">
        <v>632</v>
      </c>
      <c r="S633" s="523" t="s">
        <v>647</v>
      </c>
      <c r="T633" s="518" t="s">
        <v>2243</v>
      </c>
      <c r="U633" s="38">
        <v>711.13</v>
      </c>
      <c r="V633" s="15" t="str">
        <f t="shared" si="61"/>
        <v/>
      </c>
      <c r="W633" s="10"/>
      <c r="X633" s="10"/>
      <c r="Y633" s="10"/>
      <c r="Z633" s="10"/>
      <c r="AA633" s="10"/>
      <c r="AB633" s="10"/>
      <c r="AC633" s="9"/>
      <c r="AD633" s="523" t="e">
        <v>#N/A</v>
      </c>
      <c r="AE633" s="523" t="e">
        <v>#N/A</v>
      </c>
      <c r="AF633" s="523" t="e">
        <v>#N/A</v>
      </c>
      <c r="AG633" s="524" t="e">
        <v>#N/A</v>
      </c>
      <c r="AH633" s="9"/>
      <c r="AI633" s="10"/>
      <c r="AJ633" s="9"/>
      <c r="AK633" s="10"/>
      <c r="AL633" s="10"/>
    </row>
    <row r="634" spans="1:38" hidden="1">
      <c r="A634" s="1">
        <f t="shared" si="62"/>
        <v>0</v>
      </c>
      <c r="B634" s="2" t="s">
        <v>2246</v>
      </c>
      <c r="C634" s="3" t="s">
        <v>2247</v>
      </c>
      <c r="D634" s="15" t="s">
        <v>11564</v>
      </c>
      <c r="E634" s="4" t="s">
        <v>2246</v>
      </c>
      <c r="F634" s="37" t="s">
        <v>2247</v>
      </c>
      <c r="G634" s="38">
        <v>50.15</v>
      </c>
      <c r="H634" s="38">
        <v>0</v>
      </c>
      <c r="I634" s="15"/>
      <c r="J634" s="494">
        <v>10204010203</v>
      </c>
      <c r="K634" s="517"/>
      <c r="L634" s="517" t="s">
        <v>13460</v>
      </c>
      <c r="M634" s="517" t="s">
        <v>226</v>
      </c>
      <c r="N634" s="518" t="s">
        <v>2226</v>
      </c>
      <c r="O634" s="517">
        <v>1</v>
      </c>
      <c r="P634" s="517" t="s">
        <v>647</v>
      </c>
      <c r="Q634" s="517" t="s">
        <v>693</v>
      </c>
      <c r="R634" s="517" t="s">
        <v>632</v>
      </c>
      <c r="S634" s="517" t="s">
        <v>647</v>
      </c>
      <c r="T634" s="518" t="s">
        <v>2243</v>
      </c>
      <c r="U634" s="38">
        <v>0</v>
      </c>
      <c r="V634" s="15" t="str">
        <f t="shared" si="61"/>
        <v/>
      </c>
      <c r="W634" s="1"/>
      <c r="X634" s="1"/>
      <c r="Y634" s="1"/>
      <c r="Z634" s="1"/>
      <c r="AA634" s="1"/>
      <c r="AB634" s="3"/>
      <c r="AC634" s="9"/>
      <c r="AD634" s="517" t="e">
        <v>#N/A</v>
      </c>
      <c r="AE634" s="517" t="e">
        <v>#N/A</v>
      </c>
      <c r="AF634" s="517" t="e">
        <v>#N/A</v>
      </c>
      <c r="AG634" s="520" t="e">
        <v>#N/A</v>
      </c>
      <c r="AH634" s="9"/>
      <c r="AI634" s="10"/>
      <c r="AJ634" s="9"/>
      <c r="AK634" s="10"/>
      <c r="AL634" s="10"/>
    </row>
    <row r="635" spans="1:38" hidden="1">
      <c r="A635" s="1">
        <f t="shared" si="62"/>
        <v>0</v>
      </c>
      <c r="B635" s="2" t="s">
        <v>2248</v>
      </c>
      <c r="C635" s="3" t="s">
        <v>2249</v>
      </c>
      <c r="D635" s="15" t="s">
        <v>11564</v>
      </c>
      <c r="E635" s="4" t="s">
        <v>2248</v>
      </c>
      <c r="F635" s="37" t="s">
        <v>2249</v>
      </c>
      <c r="G635" s="38">
        <v>0</v>
      </c>
      <c r="H635" s="38">
        <v>0</v>
      </c>
      <c r="I635" s="15"/>
      <c r="J635" s="494">
        <v>10204010204</v>
      </c>
      <c r="K635" s="517"/>
      <c r="L635" s="517" t="s">
        <v>13460</v>
      </c>
      <c r="M635" s="517" t="s">
        <v>226</v>
      </c>
      <c r="N635" s="518" t="s">
        <v>2226</v>
      </c>
      <c r="O635" s="517">
        <v>1</v>
      </c>
      <c r="P635" s="517" t="s">
        <v>647</v>
      </c>
      <c r="Q635" s="517" t="s">
        <v>693</v>
      </c>
      <c r="R635" s="517" t="s">
        <v>632</v>
      </c>
      <c r="S635" s="517" t="s">
        <v>647</v>
      </c>
      <c r="T635" s="518" t="s">
        <v>2243</v>
      </c>
      <c r="U635" s="38">
        <v>0</v>
      </c>
      <c r="V635" s="15" t="str">
        <f t="shared" si="61"/>
        <v/>
      </c>
      <c r="W635" s="1"/>
      <c r="X635" s="1"/>
      <c r="Y635" s="1"/>
      <c r="Z635" s="1"/>
      <c r="AA635" s="1"/>
      <c r="AB635" s="3"/>
      <c r="AC635" s="9"/>
      <c r="AD635" s="517" t="e">
        <v>#N/A</v>
      </c>
      <c r="AE635" s="517" t="e">
        <v>#N/A</v>
      </c>
      <c r="AF635" s="517" t="e">
        <v>#N/A</v>
      </c>
      <c r="AG635" s="520" t="e">
        <v>#N/A</v>
      </c>
      <c r="AH635" s="9"/>
      <c r="AI635" s="10"/>
      <c r="AJ635" s="9"/>
      <c r="AK635" s="10"/>
      <c r="AL635" s="10"/>
    </row>
    <row r="636" spans="1:38" hidden="1">
      <c r="A636" s="1">
        <f t="shared" si="62"/>
        <v>0</v>
      </c>
      <c r="B636" s="2" t="s">
        <v>2250</v>
      </c>
      <c r="C636" s="3" t="s">
        <v>2251</v>
      </c>
      <c r="D636" s="15" t="s">
        <v>11564</v>
      </c>
      <c r="E636" s="4" t="s">
        <v>2250</v>
      </c>
      <c r="F636" s="37" t="s">
        <v>2251</v>
      </c>
      <c r="G636" s="38">
        <v>0</v>
      </c>
      <c r="H636" s="38">
        <v>0</v>
      </c>
      <c r="I636" s="15"/>
      <c r="J636" s="494">
        <v>10204010205</v>
      </c>
      <c r="K636" s="517"/>
      <c r="L636" s="517" t="s">
        <v>13460</v>
      </c>
      <c r="M636" s="517" t="s">
        <v>226</v>
      </c>
      <c r="N636" s="518" t="s">
        <v>2226</v>
      </c>
      <c r="O636" s="517">
        <v>1</v>
      </c>
      <c r="P636" s="517" t="s">
        <v>647</v>
      </c>
      <c r="Q636" s="517" t="s">
        <v>693</v>
      </c>
      <c r="R636" s="517" t="s">
        <v>632</v>
      </c>
      <c r="S636" s="517" t="s">
        <v>647</v>
      </c>
      <c r="T636" s="518" t="s">
        <v>2243</v>
      </c>
      <c r="U636" s="38">
        <v>0</v>
      </c>
      <c r="V636" s="15" t="str">
        <f t="shared" si="61"/>
        <v/>
      </c>
      <c r="W636" s="1"/>
      <c r="X636" s="1"/>
      <c r="Y636" s="1"/>
      <c r="Z636" s="1"/>
      <c r="AA636" s="1"/>
      <c r="AB636" s="3"/>
      <c r="AC636" s="9"/>
      <c r="AD636" s="517" t="e">
        <v>#N/A</v>
      </c>
      <c r="AE636" s="517" t="e">
        <v>#N/A</v>
      </c>
      <c r="AF636" s="517" t="e">
        <v>#N/A</v>
      </c>
      <c r="AG636" s="520" t="e">
        <v>#N/A</v>
      </c>
      <c r="AH636" s="9"/>
      <c r="AI636" s="10"/>
      <c r="AJ636" s="9"/>
      <c r="AK636" s="10"/>
      <c r="AL636" s="10"/>
    </row>
    <row r="637" spans="1:38" hidden="1">
      <c r="A637" s="1">
        <f t="shared" si="62"/>
        <v>0</v>
      </c>
      <c r="B637" s="2" t="s">
        <v>2252</v>
      </c>
      <c r="C637" s="3" t="s">
        <v>2253</v>
      </c>
      <c r="D637" s="15" t="s">
        <v>11564</v>
      </c>
      <c r="E637" s="4" t="s">
        <v>2252</v>
      </c>
      <c r="F637" s="37" t="s">
        <v>2253</v>
      </c>
      <c r="G637" s="38">
        <v>0</v>
      </c>
      <c r="H637" s="38">
        <v>0</v>
      </c>
      <c r="I637" s="15"/>
      <c r="J637" s="494">
        <v>10204010206</v>
      </c>
      <c r="K637" s="517"/>
      <c r="L637" s="517" t="s">
        <v>13460</v>
      </c>
      <c r="M637" s="517" t="s">
        <v>226</v>
      </c>
      <c r="N637" s="518" t="s">
        <v>2226</v>
      </c>
      <c r="O637" s="517">
        <v>1</v>
      </c>
      <c r="P637" s="517" t="s">
        <v>647</v>
      </c>
      <c r="Q637" s="517" t="s">
        <v>693</v>
      </c>
      <c r="R637" s="517" t="s">
        <v>632</v>
      </c>
      <c r="S637" s="517" t="s">
        <v>647</v>
      </c>
      <c r="T637" s="518" t="s">
        <v>2243</v>
      </c>
      <c r="U637" s="38">
        <v>0</v>
      </c>
      <c r="V637" s="15" t="str">
        <f t="shared" si="61"/>
        <v/>
      </c>
      <c r="W637" s="1"/>
      <c r="X637" s="1"/>
      <c r="Y637" s="1"/>
      <c r="Z637" s="1"/>
      <c r="AA637" s="1"/>
      <c r="AB637" s="3"/>
      <c r="AC637" s="9"/>
      <c r="AD637" s="517" t="e">
        <v>#N/A</v>
      </c>
      <c r="AE637" s="517" t="e">
        <v>#N/A</v>
      </c>
      <c r="AF637" s="517" t="e">
        <v>#N/A</v>
      </c>
      <c r="AG637" s="520" t="e">
        <v>#N/A</v>
      </c>
      <c r="AH637" s="9"/>
      <c r="AI637" s="10"/>
      <c r="AJ637" s="9"/>
      <c r="AK637" s="10"/>
      <c r="AL637" s="10"/>
    </row>
    <row r="638" spans="1:38" hidden="1">
      <c r="A638" s="1">
        <f t="shared" si="62"/>
        <v>0</v>
      </c>
      <c r="B638" s="2" t="s">
        <v>2254</v>
      </c>
      <c r="C638" s="3" t="s">
        <v>2255</v>
      </c>
      <c r="D638" s="15" t="s">
        <v>11564</v>
      </c>
      <c r="E638" s="4" t="s">
        <v>2254</v>
      </c>
      <c r="F638" s="37" t="s">
        <v>2255</v>
      </c>
      <c r="G638" s="38">
        <v>0</v>
      </c>
      <c r="H638" s="38">
        <v>0</v>
      </c>
      <c r="I638" s="15"/>
      <c r="J638" s="494">
        <v>10204010207</v>
      </c>
      <c r="K638" s="517"/>
      <c r="L638" s="517" t="s">
        <v>13460</v>
      </c>
      <c r="M638" s="517" t="s">
        <v>226</v>
      </c>
      <c r="N638" s="518" t="s">
        <v>2226</v>
      </c>
      <c r="O638" s="517">
        <v>1</v>
      </c>
      <c r="P638" s="517" t="s">
        <v>647</v>
      </c>
      <c r="Q638" s="517" t="s">
        <v>693</v>
      </c>
      <c r="R638" s="517" t="s">
        <v>632</v>
      </c>
      <c r="S638" s="517" t="s">
        <v>647</v>
      </c>
      <c r="T638" s="518" t="s">
        <v>2243</v>
      </c>
      <c r="U638" s="38">
        <v>0</v>
      </c>
      <c r="V638" s="15" t="str">
        <f t="shared" si="61"/>
        <v/>
      </c>
      <c r="W638" s="1"/>
      <c r="X638" s="1"/>
      <c r="Y638" s="1"/>
      <c r="Z638" s="1"/>
      <c r="AA638" s="1"/>
      <c r="AB638" s="3"/>
      <c r="AC638" s="9"/>
      <c r="AD638" s="517" t="e">
        <v>#N/A</v>
      </c>
      <c r="AE638" s="517" t="e">
        <v>#N/A</v>
      </c>
      <c r="AF638" s="517" t="e">
        <v>#N/A</v>
      </c>
      <c r="AG638" s="520" t="e">
        <v>#N/A</v>
      </c>
      <c r="AH638" s="9"/>
      <c r="AI638" s="10"/>
      <c r="AJ638" s="9"/>
      <c r="AK638" s="10"/>
      <c r="AL638" s="10"/>
    </row>
    <row r="639" spans="1:38" ht="22.5" hidden="1">
      <c r="A639" s="1">
        <f t="shared" si="62"/>
        <v>0</v>
      </c>
      <c r="B639" s="2" t="s">
        <v>2256</v>
      </c>
      <c r="C639" s="3" t="s">
        <v>2257</v>
      </c>
      <c r="D639" s="15" t="s">
        <v>11564</v>
      </c>
      <c r="E639" s="4" t="s">
        <v>2256</v>
      </c>
      <c r="F639" s="37" t="s">
        <v>2257</v>
      </c>
      <c r="G639" s="38">
        <v>16859.13</v>
      </c>
      <c r="H639" s="38">
        <v>16859.13</v>
      </c>
      <c r="I639" s="15"/>
      <c r="J639" s="494">
        <v>10204010208</v>
      </c>
      <c r="K639" s="517"/>
      <c r="L639" s="517" t="s">
        <v>13460</v>
      </c>
      <c r="M639" s="517" t="s">
        <v>226</v>
      </c>
      <c r="N639" s="518" t="s">
        <v>2226</v>
      </c>
      <c r="O639" s="517">
        <v>1</v>
      </c>
      <c r="P639" s="517" t="s">
        <v>647</v>
      </c>
      <c r="Q639" s="517" t="s">
        <v>693</v>
      </c>
      <c r="R639" s="517" t="s">
        <v>632</v>
      </c>
      <c r="S639" s="517" t="s">
        <v>647</v>
      </c>
      <c r="T639" s="518" t="s">
        <v>2243</v>
      </c>
      <c r="U639" s="38">
        <v>16859.13</v>
      </c>
      <c r="V639" s="15" t="str">
        <f t="shared" si="61"/>
        <v/>
      </c>
      <c r="W639" s="1"/>
      <c r="X639" s="1"/>
      <c r="Y639" s="1"/>
      <c r="Z639" s="1"/>
      <c r="AA639" s="1"/>
      <c r="AB639" s="3"/>
      <c r="AC639" s="9"/>
      <c r="AD639" s="517" t="e">
        <v>#N/A</v>
      </c>
      <c r="AE639" s="517" t="e">
        <v>#N/A</v>
      </c>
      <c r="AF639" s="517" t="e">
        <v>#N/A</v>
      </c>
      <c r="AG639" s="520" t="e">
        <v>#N/A</v>
      </c>
      <c r="AH639" s="9"/>
      <c r="AI639" s="10"/>
      <c r="AJ639" s="9"/>
      <c r="AK639" s="10"/>
      <c r="AL639" s="10"/>
    </row>
    <row r="640" spans="1:38" ht="22.5" hidden="1">
      <c r="A640" s="1">
        <f t="shared" si="62"/>
        <v>0</v>
      </c>
      <c r="B640" s="2" t="s">
        <v>2258</v>
      </c>
      <c r="C640" s="3" t="s">
        <v>2259</v>
      </c>
      <c r="D640" s="15" t="s">
        <v>11564</v>
      </c>
      <c r="E640" s="4" t="s">
        <v>2258</v>
      </c>
      <c r="F640" s="37" t="s">
        <v>2259</v>
      </c>
      <c r="G640" s="38">
        <v>0</v>
      </c>
      <c r="H640" s="38">
        <v>0</v>
      </c>
      <c r="I640" s="15"/>
      <c r="J640" s="494">
        <v>10204010209</v>
      </c>
      <c r="K640" s="517"/>
      <c r="L640" s="517" t="s">
        <v>13460</v>
      </c>
      <c r="M640" s="517" t="s">
        <v>226</v>
      </c>
      <c r="N640" s="518" t="s">
        <v>2226</v>
      </c>
      <c r="O640" s="517">
        <v>1</v>
      </c>
      <c r="P640" s="517" t="s">
        <v>647</v>
      </c>
      <c r="Q640" s="517" t="s">
        <v>693</v>
      </c>
      <c r="R640" s="517" t="s">
        <v>632</v>
      </c>
      <c r="S640" s="517" t="s">
        <v>647</v>
      </c>
      <c r="T640" s="518" t="s">
        <v>2243</v>
      </c>
      <c r="U640" s="38">
        <v>0</v>
      </c>
      <c r="V640" s="15" t="str">
        <f t="shared" si="61"/>
        <v/>
      </c>
      <c r="W640" s="1"/>
      <c r="X640" s="1"/>
      <c r="Y640" s="1"/>
      <c r="Z640" s="1"/>
      <c r="AA640" s="1"/>
      <c r="AB640" s="3"/>
      <c r="AC640" s="9"/>
      <c r="AD640" s="517" t="e">
        <v>#N/A</v>
      </c>
      <c r="AE640" s="517" t="e">
        <v>#N/A</v>
      </c>
      <c r="AF640" s="517" t="e">
        <v>#N/A</v>
      </c>
      <c r="AG640" s="520" t="e">
        <v>#N/A</v>
      </c>
      <c r="AH640" s="9"/>
      <c r="AI640" s="10"/>
      <c r="AJ640" s="9"/>
      <c r="AK640" s="10"/>
      <c r="AL640" s="10"/>
    </row>
    <row r="641" spans="1:38" hidden="1">
      <c r="A641" s="1">
        <f t="shared" si="62"/>
        <v>0</v>
      </c>
      <c r="B641" s="2" t="s">
        <v>2260</v>
      </c>
      <c r="C641" s="3" t="s">
        <v>2261</v>
      </c>
      <c r="D641" s="15" t="s">
        <v>11564</v>
      </c>
      <c r="E641" s="4" t="s">
        <v>2260</v>
      </c>
      <c r="F641" s="37" t="s">
        <v>2261</v>
      </c>
      <c r="G641" s="38">
        <v>0</v>
      </c>
      <c r="H641" s="38">
        <v>0</v>
      </c>
      <c r="I641" s="15"/>
      <c r="J641" s="494">
        <v>10204010210</v>
      </c>
      <c r="K641" s="517"/>
      <c r="L641" s="517" t="s">
        <v>13460</v>
      </c>
      <c r="M641" s="517" t="s">
        <v>226</v>
      </c>
      <c r="N641" s="518" t="s">
        <v>2226</v>
      </c>
      <c r="O641" s="517">
        <v>1</v>
      </c>
      <c r="P641" s="517" t="s">
        <v>647</v>
      </c>
      <c r="Q641" s="517" t="s">
        <v>693</v>
      </c>
      <c r="R641" s="517" t="s">
        <v>632</v>
      </c>
      <c r="S641" s="517" t="s">
        <v>647</v>
      </c>
      <c r="T641" s="518" t="s">
        <v>2243</v>
      </c>
      <c r="U641" s="38">
        <v>0</v>
      </c>
      <c r="V641" s="15" t="str">
        <f t="shared" si="61"/>
        <v/>
      </c>
      <c r="W641" s="1"/>
      <c r="X641" s="1"/>
      <c r="Y641" s="1"/>
      <c r="Z641" s="1"/>
      <c r="AA641" s="1"/>
      <c r="AB641" s="3"/>
      <c r="AC641" s="9"/>
      <c r="AD641" s="517" t="e">
        <v>#N/A</v>
      </c>
      <c r="AE641" s="517" t="e">
        <v>#N/A</v>
      </c>
      <c r="AF641" s="517" t="e">
        <v>#N/A</v>
      </c>
      <c r="AG641" s="520" t="e">
        <v>#N/A</v>
      </c>
      <c r="AH641" s="9"/>
      <c r="AI641" s="10"/>
      <c r="AJ641" s="9"/>
      <c r="AK641" s="10"/>
      <c r="AL641" s="10"/>
    </row>
    <row r="642" spans="1:38" hidden="1">
      <c r="A642" s="1">
        <f t="shared" si="62"/>
        <v>0</v>
      </c>
      <c r="B642" s="2" t="s">
        <v>2262</v>
      </c>
      <c r="C642" s="3" t="s">
        <v>2263</v>
      </c>
      <c r="D642" s="15" t="s">
        <v>11565</v>
      </c>
      <c r="E642" s="4" t="s">
        <v>2262</v>
      </c>
      <c r="F642" s="37" t="s">
        <v>2263</v>
      </c>
      <c r="G642" s="38">
        <v>3007.12</v>
      </c>
      <c r="H642" s="38">
        <v>4970.12</v>
      </c>
      <c r="I642" s="15"/>
      <c r="J642" s="494">
        <v>10204010301</v>
      </c>
      <c r="K642" s="517"/>
      <c r="L642" s="517" t="s">
        <v>13460</v>
      </c>
      <c r="M642" s="517" t="s">
        <v>226</v>
      </c>
      <c r="N642" s="518" t="s">
        <v>2226</v>
      </c>
      <c r="O642" s="517">
        <v>1</v>
      </c>
      <c r="P642" s="517" t="s">
        <v>647</v>
      </c>
      <c r="Q642" s="517" t="s">
        <v>693</v>
      </c>
      <c r="R642" s="517" t="s">
        <v>632</v>
      </c>
      <c r="S642" s="517" t="s">
        <v>671</v>
      </c>
      <c r="T642" s="518" t="s">
        <v>2264</v>
      </c>
      <c r="U642" s="38">
        <v>4970.12</v>
      </c>
      <c r="V642" s="15" t="str">
        <f t="shared" si="61"/>
        <v>102040103</v>
      </c>
      <c r="W642" s="39">
        <v>1</v>
      </c>
      <c r="X642" s="40" t="s">
        <v>647</v>
      </c>
      <c r="Y642" s="40" t="s">
        <v>693</v>
      </c>
      <c r="Z642" s="40" t="s">
        <v>632</v>
      </c>
      <c r="AA642" s="40" t="s">
        <v>671</v>
      </c>
      <c r="AB642" s="41" t="s">
        <v>2264</v>
      </c>
      <c r="AC642" s="519">
        <f>H642</f>
        <v>4970.12</v>
      </c>
      <c r="AD642" s="517">
        <v>0</v>
      </c>
      <c r="AE642" s="517" t="s">
        <v>13460</v>
      </c>
      <c r="AF642" s="517" t="s">
        <v>226</v>
      </c>
      <c r="AG642" s="520" t="s">
        <v>2226</v>
      </c>
      <c r="AH642" s="67">
        <f>AC642</f>
        <v>4970.12</v>
      </c>
      <c r="AI642" s="10"/>
      <c r="AJ642" s="9">
        <f>AH642-H642</f>
        <v>0</v>
      </c>
      <c r="AK642" s="10"/>
      <c r="AL642" s="10"/>
    </row>
    <row r="643" spans="1:38" hidden="1">
      <c r="A643" s="1">
        <f t="shared" si="62"/>
        <v>0</v>
      </c>
      <c r="B643" s="2" t="s">
        <v>2265</v>
      </c>
      <c r="C643" s="3" t="s">
        <v>2266</v>
      </c>
      <c r="D643" s="15" t="s">
        <v>11565</v>
      </c>
      <c r="E643" s="4" t="s">
        <v>2265</v>
      </c>
      <c r="F643" s="37" t="s">
        <v>2266</v>
      </c>
      <c r="G643" s="38">
        <v>0</v>
      </c>
      <c r="H643" s="38">
        <v>0</v>
      </c>
      <c r="I643" s="15"/>
      <c r="J643" s="494">
        <v>10204010302</v>
      </c>
      <c r="K643" s="517"/>
      <c r="L643" s="517" t="s">
        <v>13460</v>
      </c>
      <c r="M643" s="517" t="s">
        <v>226</v>
      </c>
      <c r="N643" s="518" t="s">
        <v>2226</v>
      </c>
      <c r="O643" s="517">
        <v>1</v>
      </c>
      <c r="P643" s="517" t="s">
        <v>647</v>
      </c>
      <c r="Q643" s="517" t="s">
        <v>693</v>
      </c>
      <c r="R643" s="517" t="s">
        <v>632</v>
      </c>
      <c r="S643" s="517" t="s">
        <v>671</v>
      </c>
      <c r="T643" s="518" t="s">
        <v>2264</v>
      </c>
      <c r="U643" s="38">
        <v>0</v>
      </c>
      <c r="V643" s="15" t="str">
        <f t="shared" ref="V643:V706" si="66">CONCATENATE(W643,X643,Y643,Z643,AA643)</f>
        <v/>
      </c>
      <c r="W643" s="39"/>
      <c r="X643" s="40"/>
      <c r="Y643" s="40"/>
      <c r="Z643" s="40"/>
      <c r="AA643" s="40"/>
      <c r="AB643" s="41"/>
      <c r="AC643" s="580"/>
      <c r="AD643" s="517" t="e">
        <v>#N/A</v>
      </c>
      <c r="AE643" s="517" t="e">
        <v>#N/A</v>
      </c>
      <c r="AF643" s="517" t="e">
        <v>#N/A</v>
      </c>
      <c r="AG643" s="520" t="e">
        <v>#N/A</v>
      </c>
      <c r="AH643" s="66"/>
      <c r="AI643" s="10"/>
      <c r="AJ643" s="9">
        <f>AH643-H643</f>
        <v>0</v>
      </c>
      <c r="AK643" s="10"/>
      <c r="AL643" s="10"/>
    </row>
    <row r="644" spans="1:38" ht="22.5" hidden="1">
      <c r="A644" s="1">
        <f t="shared" si="62"/>
        <v>0</v>
      </c>
      <c r="B644" s="2" t="s">
        <v>2267</v>
      </c>
      <c r="C644" s="3" t="s">
        <v>2268</v>
      </c>
      <c r="D644" s="15" t="s">
        <v>11565</v>
      </c>
      <c r="E644" s="4" t="s">
        <v>2267</v>
      </c>
      <c r="F644" s="37" t="s">
        <v>2268</v>
      </c>
      <c r="G644" s="38">
        <v>0</v>
      </c>
      <c r="H644" s="38">
        <v>0</v>
      </c>
      <c r="I644" s="15"/>
      <c r="J644" s="494">
        <v>10204010303</v>
      </c>
      <c r="K644" s="517"/>
      <c r="L644" s="517" t="s">
        <v>13460</v>
      </c>
      <c r="M644" s="517" t="s">
        <v>226</v>
      </c>
      <c r="N644" s="518" t="s">
        <v>2226</v>
      </c>
      <c r="O644" s="517">
        <v>1</v>
      </c>
      <c r="P644" s="517" t="s">
        <v>647</v>
      </c>
      <c r="Q644" s="517" t="s">
        <v>693</v>
      </c>
      <c r="R644" s="517" t="s">
        <v>632</v>
      </c>
      <c r="S644" s="517" t="s">
        <v>671</v>
      </c>
      <c r="T644" s="518" t="s">
        <v>2264</v>
      </c>
      <c r="U644" s="38">
        <v>0</v>
      </c>
      <c r="V644" s="15" t="str">
        <f t="shared" si="66"/>
        <v/>
      </c>
      <c r="W644" s="39"/>
      <c r="X644" s="40"/>
      <c r="Y644" s="40"/>
      <c r="Z644" s="40"/>
      <c r="AA644" s="40"/>
      <c r="AB644" s="41"/>
      <c r="AC644" s="580"/>
      <c r="AD644" s="517" t="e">
        <v>#N/A</v>
      </c>
      <c r="AE644" s="517" t="e">
        <v>#N/A</v>
      </c>
      <c r="AF644" s="517" t="e">
        <v>#N/A</v>
      </c>
      <c r="AG644" s="520" t="e">
        <v>#N/A</v>
      </c>
      <c r="AH644" s="66"/>
      <c r="AI644" s="10"/>
      <c r="AJ644" s="9">
        <f>AH644-H644</f>
        <v>0</v>
      </c>
      <c r="AK644" s="10"/>
      <c r="AL644" s="10"/>
    </row>
    <row r="645" spans="1:38" hidden="1">
      <c r="A645" s="1">
        <f t="shared" si="62"/>
        <v>0</v>
      </c>
      <c r="C645" s="3" t="s">
        <v>2269</v>
      </c>
      <c r="D645" s="15" t="s">
        <v>16</v>
      </c>
      <c r="E645" s="30"/>
      <c r="F645" s="31" t="s">
        <v>2270</v>
      </c>
      <c r="G645" s="32">
        <f>SUM(G646:G653)</f>
        <v>4446331.05</v>
      </c>
      <c r="H645" s="32">
        <f>SUM(H646:H653)</f>
        <v>4162598.87</v>
      </c>
      <c r="I645" s="15"/>
      <c r="J645" s="494"/>
      <c r="K645" s="513"/>
      <c r="L645" s="513"/>
      <c r="M645" s="513"/>
      <c r="N645" s="514"/>
      <c r="O645" s="513"/>
      <c r="P645" s="513"/>
      <c r="Q645" s="513"/>
      <c r="R645" s="513"/>
      <c r="S645" s="513"/>
      <c r="T645" s="514"/>
      <c r="U645" s="32">
        <f>SUM(U646:U653)</f>
        <v>4162598.87</v>
      </c>
      <c r="V645" s="15" t="str">
        <f t="shared" si="66"/>
        <v>102040200</v>
      </c>
      <c r="W645" s="33">
        <v>1</v>
      </c>
      <c r="X645" s="34" t="s">
        <v>647</v>
      </c>
      <c r="Y645" s="34" t="s">
        <v>693</v>
      </c>
      <c r="Z645" s="34" t="s">
        <v>647</v>
      </c>
      <c r="AA645" s="35" t="s">
        <v>630</v>
      </c>
      <c r="AB645" s="31" t="s">
        <v>2270</v>
      </c>
      <c r="AC645" s="529">
        <f>SUM(AC646:AC653)</f>
        <v>4162598.87</v>
      </c>
      <c r="AD645" s="513">
        <v>0</v>
      </c>
      <c r="AE645" s="513" t="s">
        <v>2271</v>
      </c>
      <c r="AF645" s="513" t="s">
        <v>227</v>
      </c>
      <c r="AG645" s="514" t="s">
        <v>2272</v>
      </c>
      <c r="AH645" s="545">
        <f>AC645</f>
        <v>4162598.87</v>
      </c>
      <c r="AI645" s="10"/>
      <c r="AJ645" s="9">
        <f>AH645-H645</f>
        <v>0</v>
      </c>
      <c r="AK645" s="10"/>
      <c r="AL645" s="10"/>
    </row>
    <row r="646" spans="1:38" ht="22.5" hidden="1">
      <c r="A646" s="1">
        <f t="shared" si="62"/>
        <v>0</v>
      </c>
      <c r="B646" s="2" t="s">
        <v>2273</v>
      </c>
      <c r="C646" s="3" t="s">
        <v>2274</v>
      </c>
      <c r="D646" s="15" t="s">
        <v>11566</v>
      </c>
      <c r="E646" s="4" t="s">
        <v>2273</v>
      </c>
      <c r="F646" s="37" t="s">
        <v>2274</v>
      </c>
      <c r="G646" s="38">
        <v>0</v>
      </c>
      <c r="H646" s="38">
        <v>0</v>
      </c>
      <c r="I646" s="15"/>
      <c r="J646" s="494">
        <v>10204020101</v>
      </c>
      <c r="K646" s="517"/>
      <c r="L646" s="517" t="s">
        <v>2271</v>
      </c>
      <c r="M646" s="517" t="s">
        <v>227</v>
      </c>
      <c r="N646" s="518" t="s">
        <v>2272</v>
      </c>
      <c r="O646" s="517">
        <v>1</v>
      </c>
      <c r="P646" s="517" t="s">
        <v>647</v>
      </c>
      <c r="Q646" s="517" t="s">
        <v>693</v>
      </c>
      <c r="R646" s="517" t="s">
        <v>647</v>
      </c>
      <c r="S646" s="517" t="s">
        <v>632</v>
      </c>
      <c r="T646" s="518" t="s">
        <v>2270</v>
      </c>
      <c r="U646" s="38">
        <v>0</v>
      </c>
      <c r="V646" s="15" t="str">
        <f t="shared" si="66"/>
        <v>102040201</v>
      </c>
      <c r="W646" s="39">
        <v>1</v>
      </c>
      <c r="X646" s="40" t="s">
        <v>647</v>
      </c>
      <c r="Y646" s="40" t="s">
        <v>693</v>
      </c>
      <c r="Z646" s="40" t="s">
        <v>647</v>
      </c>
      <c r="AA646" s="40" t="s">
        <v>632</v>
      </c>
      <c r="AB646" s="41" t="s">
        <v>2270</v>
      </c>
      <c r="AC646" s="519">
        <f>SUM(H646:H653)</f>
        <v>4162598.87</v>
      </c>
      <c r="AD646" s="517">
        <v>0</v>
      </c>
      <c r="AE646" s="517" t="s">
        <v>2271</v>
      </c>
      <c r="AF646" s="517" t="s">
        <v>227</v>
      </c>
      <c r="AG646" s="520" t="s">
        <v>2272</v>
      </c>
      <c r="AH646" s="67">
        <f>AC646</f>
        <v>4162598.87</v>
      </c>
      <c r="AI646" s="10"/>
      <c r="AJ646" s="9"/>
      <c r="AK646" s="10"/>
      <c r="AL646" s="10"/>
    </row>
    <row r="647" spans="1:38" ht="22.5" hidden="1">
      <c r="A647" s="1">
        <f t="shared" si="62"/>
        <v>0</v>
      </c>
      <c r="B647" s="2" t="s">
        <v>2275</v>
      </c>
      <c r="C647" s="3" t="s">
        <v>2276</v>
      </c>
      <c r="D647" s="15" t="s">
        <v>11566</v>
      </c>
      <c r="E647" s="4" t="s">
        <v>2275</v>
      </c>
      <c r="F647" s="37" t="s">
        <v>2276</v>
      </c>
      <c r="G647" s="38">
        <v>4447.38</v>
      </c>
      <c r="H647" s="38">
        <v>4447.38</v>
      </c>
      <c r="I647" s="15"/>
      <c r="J647" s="494">
        <v>10204020102</v>
      </c>
      <c r="K647" s="517"/>
      <c r="L647" s="517" t="s">
        <v>2271</v>
      </c>
      <c r="M647" s="517" t="s">
        <v>227</v>
      </c>
      <c r="N647" s="518" t="s">
        <v>2272</v>
      </c>
      <c r="O647" s="517">
        <v>1</v>
      </c>
      <c r="P647" s="517" t="s">
        <v>647</v>
      </c>
      <c r="Q647" s="517" t="s">
        <v>693</v>
      </c>
      <c r="R647" s="517" t="s">
        <v>647</v>
      </c>
      <c r="S647" s="517" t="s">
        <v>632</v>
      </c>
      <c r="T647" s="518" t="s">
        <v>2270</v>
      </c>
      <c r="U647" s="38">
        <v>4447.38</v>
      </c>
      <c r="V647" s="15" t="str">
        <f t="shared" si="66"/>
        <v/>
      </c>
      <c r="W647" s="1"/>
      <c r="X647" s="1"/>
      <c r="Y647" s="1"/>
      <c r="Z647" s="1"/>
      <c r="AA647" s="1"/>
      <c r="AB647" s="3"/>
      <c r="AC647" s="9"/>
      <c r="AD647" s="517" t="e">
        <v>#N/A</v>
      </c>
      <c r="AE647" s="517" t="e">
        <v>#N/A</v>
      </c>
      <c r="AF647" s="517" t="e">
        <v>#N/A</v>
      </c>
      <c r="AG647" s="520" t="e">
        <v>#N/A</v>
      </c>
      <c r="AH647" s="9"/>
      <c r="AI647" s="10"/>
      <c r="AJ647" s="9"/>
      <c r="AK647" s="10"/>
      <c r="AL647" s="10"/>
    </row>
    <row r="648" spans="1:38" hidden="1">
      <c r="A648" s="1">
        <f t="shared" si="62"/>
        <v>0</v>
      </c>
      <c r="B648" s="2" t="s">
        <v>2277</v>
      </c>
      <c r="C648" s="3" t="s">
        <v>2278</v>
      </c>
      <c r="D648" s="15" t="s">
        <v>11566</v>
      </c>
      <c r="E648" s="4" t="s">
        <v>2277</v>
      </c>
      <c r="F648" s="37" t="s">
        <v>2278</v>
      </c>
      <c r="G648" s="38">
        <v>0</v>
      </c>
      <c r="H648" s="38">
        <v>0</v>
      </c>
      <c r="I648" s="15"/>
      <c r="J648" s="494">
        <v>10204020103</v>
      </c>
      <c r="K648" s="517"/>
      <c r="L648" s="517" t="s">
        <v>2271</v>
      </c>
      <c r="M648" s="517" t="s">
        <v>227</v>
      </c>
      <c r="N648" s="518" t="s">
        <v>2272</v>
      </c>
      <c r="O648" s="517">
        <v>1</v>
      </c>
      <c r="P648" s="517" t="s">
        <v>647</v>
      </c>
      <c r="Q648" s="517" t="s">
        <v>693</v>
      </c>
      <c r="R648" s="517" t="s">
        <v>647</v>
      </c>
      <c r="S648" s="517" t="s">
        <v>632</v>
      </c>
      <c r="T648" s="518" t="s">
        <v>2270</v>
      </c>
      <c r="U648" s="38">
        <v>0</v>
      </c>
      <c r="V648" s="15" t="str">
        <f t="shared" si="66"/>
        <v/>
      </c>
      <c r="W648" s="1"/>
      <c r="X648" s="1"/>
      <c r="Y648" s="1"/>
      <c r="Z648" s="1"/>
      <c r="AA648" s="1"/>
      <c r="AB648" s="3"/>
      <c r="AC648" s="9"/>
      <c r="AD648" s="517" t="e">
        <v>#N/A</v>
      </c>
      <c r="AE648" s="517" t="e">
        <v>#N/A</v>
      </c>
      <c r="AF648" s="517" t="e">
        <v>#N/A</v>
      </c>
      <c r="AG648" s="520" t="e">
        <v>#N/A</v>
      </c>
      <c r="AH648" s="9"/>
      <c r="AI648" s="10"/>
      <c r="AJ648" s="9"/>
      <c r="AK648" s="10"/>
      <c r="AL648" s="10"/>
    </row>
    <row r="649" spans="1:38" hidden="1">
      <c r="A649" s="1">
        <f t="shared" si="62"/>
        <v>0</v>
      </c>
      <c r="B649" s="2" t="s">
        <v>2279</v>
      </c>
      <c r="C649" s="3" t="s">
        <v>2269</v>
      </c>
      <c r="D649" s="15" t="s">
        <v>11566</v>
      </c>
      <c r="E649" s="4" t="s">
        <v>2279</v>
      </c>
      <c r="F649" s="37" t="s">
        <v>2269</v>
      </c>
      <c r="G649" s="38">
        <v>4318460.78</v>
      </c>
      <c r="H649" s="38">
        <v>4034728.6</v>
      </c>
      <c r="I649" s="15"/>
      <c r="J649" s="494">
        <v>10204020104</v>
      </c>
      <c r="K649" s="517"/>
      <c r="L649" s="517" t="s">
        <v>2271</v>
      </c>
      <c r="M649" s="517" t="s">
        <v>227</v>
      </c>
      <c r="N649" s="518" t="s">
        <v>2272</v>
      </c>
      <c r="O649" s="517">
        <v>1</v>
      </c>
      <c r="P649" s="517" t="s">
        <v>647</v>
      </c>
      <c r="Q649" s="517" t="s">
        <v>693</v>
      </c>
      <c r="R649" s="517" t="s">
        <v>647</v>
      </c>
      <c r="S649" s="517" t="s">
        <v>632</v>
      </c>
      <c r="T649" s="518" t="s">
        <v>2270</v>
      </c>
      <c r="U649" s="38">
        <v>4034728.6</v>
      </c>
      <c r="V649" s="15" t="str">
        <f t="shared" si="66"/>
        <v/>
      </c>
      <c r="W649" s="1"/>
      <c r="X649" s="69"/>
      <c r="Y649" s="69"/>
      <c r="Z649" s="1"/>
      <c r="AA649" s="1"/>
      <c r="AB649" s="3"/>
      <c r="AC649" s="9"/>
      <c r="AD649" s="517" t="e">
        <v>#N/A</v>
      </c>
      <c r="AE649" s="517" t="e">
        <v>#N/A</v>
      </c>
      <c r="AF649" s="517" t="e">
        <v>#N/A</v>
      </c>
      <c r="AG649" s="520" t="e">
        <v>#N/A</v>
      </c>
      <c r="AH649" s="9"/>
      <c r="AI649" s="10"/>
      <c r="AJ649" s="9"/>
      <c r="AK649" s="10"/>
      <c r="AL649" s="10"/>
    </row>
    <row r="650" spans="1:38" ht="22.5" hidden="1">
      <c r="A650" s="1">
        <f t="shared" si="62"/>
        <v>0</v>
      </c>
      <c r="B650" s="2" t="s">
        <v>2280</v>
      </c>
      <c r="C650" s="3" t="s">
        <v>2281</v>
      </c>
      <c r="D650" s="15" t="s">
        <v>11566</v>
      </c>
      <c r="E650" s="4" t="s">
        <v>2280</v>
      </c>
      <c r="F650" s="37" t="s">
        <v>2281</v>
      </c>
      <c r="G650" s="38">
        <v>123422.89</v>
      </c>
      <c r="H650" s="38">
        <v>123422.89</v>
      </c>
      <c r="I650" s="15"/>
      <c r="J650" s="494">
        <v>10204020105</v>
      </c>
      <c r="K650" s="517"/>
      <c r="L650" s="517" t="s">
        <v>2271</v>
      </c>
      <c r="M650" s="517" t="s">
        <v>227</v>
      </c>
      <c r="N650" s="518" t="s">
        <v>2272</v>
      </c>
      <c r="O650" s="517">
        <v>1</v>
      </c>
      <c r="P650" s="517" t="s">
        <v>647</v>
      </c>
      <c r="Q650" s="517" t="s">
        <v>693</v>
      </c>
      <c r="R650" s="517" t="s">
        <v>647</v>
      </c>
      <c r="S650" s="517" t="s">
        <v>632</v>
      </c>
      <c r="T650" s="518" t="s">
        <v>2270</v>
      </c>
      <c r="U650" s="38">
        <v>123422.89</v>
      </c>
      <c r="V650" s="15" t="str">
        <f t="shared" si="66"/>
        <v/>
      </c>
      <c r="W650" s="1"/>
      <c r="X650" s="1"/>
      <c r="Y650" s="1"/>
      <c r="Z650" s="1"/>
      <c r="AA650" s="1"/>
      <c r="AB650" s="3"/>
      <c r="AC650" s="9"/>
      <c r="AD650" s="517" t="e">
        <v>#N/A</v>
      </c>
      <c r="AE650" s="517" t="e">
        <v>#N/A</v>
      </c>
      <c r="AF650" s="517" t="e">
        <v>#N/A</v>
      </c>
      <c r="AG650" s="520" t="e">
        <v>#N/A</v>
      </c>
      <c r="AH650" s="9"/>
      <c r="AI650" s="10"/>
      <c r="AJ650" s="9"/>
      <c r="AK650" s="10"/>
      <c r="AL650" s="10"/>
    </row>
    <row r="651" spans="1:38" ht="22.5" hidden="1">
      <c r="A651" s="1">
        <f t="shared" si="62"/>
        <v>0</v>
      </c>
      <c r="B651" s="2" t="s">
        <v>2282</v>
      </c>
      <c r="C651" s="3" t="s">
        <v>2283</v>
      </c>
      <c r="D651" s="15" t="s">
        <v>11566</v>
      </c>
      <c r="E651" s="4" t="s">
        <v>2282</v>
      </c>
      <c r="F651" s="37" t="s">
        <v>2283</v>
      </c>
      <c r="G651" s="38">
        <v>0</v>
      </c>
      <c r="H651" s="38">
        <v>0</v>
      </c>
      <c r="I651" s="15"/>
      <c r="J651" s="494">
        <v>10204020106</v>
      </c>
      <c r="K651" s="517"/>
      <c r="L651" s="517" t="s">
        <v>2271</v>
      </c>
      <c r="M651" s="517" t="s">
        <v>227</v>
      </c>
      <c r="N651" s="518" t="s">
        <v>2272</v>
      </c>
      <c r="O651" s="517">
        <v>1</v>
      </c>
      <c r="P651" s="517" t="s">
        <v>647</v>
      </c>
      <c r="Q651" s="517" t="s">
        <v>693</v>
      </c>
      <c r="R651" s="517" t="s">
        <v>647</v>
      </c>
      <c r="S651" s="517" t="s">
        <v>632</v>
      </c>
      <c r="T651" s="518" t="s">
        <v>2270</v>
      </c>
      <c r="U651" s="38">
        <v>0</v>
      </c>
      <c r="V651" s="15" t="str">
        <f t="shared" si="66"/>
        <v/>
      </c>
      <c r="W651" s="1"/>
      <c r="X651" s="1"/>
      <c r="Y651" s="1"/>
      <c r="Z651" s="1"/>
      <c r="AA651" s="1"/>
      <c r="AB651" s="3"/>
      <c r="AC651" s="9"/>
      <c r="AD651" s="517" t="e">
        <v>#N/A</v>
      </c>
      <c r="AE651" s="517" t="e">
        <v>#N/A</v>
      </c>
      <c r="AF651" s="517" t="e">
        <v>#N/A</v>
      </c>
      <c r="AG651" s="520" t="e">
        <v>#N/A</v>
      </c>
      <c r="AH651" s="9"/>
      <c r="AI651" s="10"/>
      <c r="AJ651" s="9"/>
      <c r="AK651" s="10"/>
      <c r="AL651" s="10"/>
    </row>
    <row r="652" spans="1:38" ht="22.5" hidden="1">
      <c r="A652" s="1">
        <f t="shared" ref="A652:A715" si="67">IF(E652=B652,0,1)</f>
        <v>0</v>
      </c>
      <c r="B652" s="2" t="s">
        <v>2284</v>
      </c>
      <c r="C652" s="3" t="s">
        <v>2285</v>
      </c>
      <c r="D652" s="15" t="s">
        <v>11566</v>
      </c>
      <c r="E652" s="4" t="s">
        <v>2284</v>
      </c>
      <c r="F652" s="37" t="s">
        <v>2285</v>
      </c>
      <c r="G652" s="38">
        <v>0</v>
      </c>
      <c r="H652" s="38">
        <v>0</v>
      </c>
      <c r="I652" s="15"/>
      <c r="J652" s="494">
        <v>10204020107</v>
      </c>
      <c r="K652" s="517"/>
      <c r="L652" s="517" t="s">
        <v>2271</v>
      </c>
      <c r="M652" s="517" t="s">
        <v>227</v>
      </c>
      <c r="N652" s="518" t="s">
        <v>2272</v>
      </c>
      <c r="O652" s="517">
        <v>1</v>
      </c>
      <c r="P652" s="517" t="s">
        <v>647</v>
      </c>
      <c r="Q652" s="517" t="s">
        <v>693</v>
      </c>
      <c r="R652" s="517" t="s">
        <v>647</v>
      </c>
      <c r="S652" s="517" t="s">
        <v>632</v>
      </c>
      <c r="T652" s="518" t="s">
        <v>2270</v>
      </c>
      <c r="U652" s="38">
        <v>0</v>
      </c>
      <c r="V652" s="15" t="str">
        <f t="shared" si="66"/>
        <v/>
      </c>
      <c r="W652" s="1"/>
      <c r="X652" s="1"/>
      <c r="Y652" s="1"/>
      <c r="Z652" s="1"/>
      <c r="AA652" s="1"/>
      <c r="AB652" s="3"/>
      <c r="AC652" s="9"/>
      <c r="AD652" s="517" t="e">
        <v>#N/A</v>
      </c>
      <c r="AE652" s="517" t="e">
        <v>#N/A</v>
      </c>
      <c r="AF652" s="517" t="e">
        <v>#N/A</v>
      </c>
      <c r="AG652" s="520" t="e">
        <v>#N/A</v>
      </c>
      <c r="AH652" s="9"/>
      <c r="AI652" s="10"/>
      <c r="AJ652" s="9"/>
      <c r="AK652" s="10"/>
      <c r="AL652" s="10"/>
    </row>
    <row r="653" spans="1:38" hidden="1">
      <c r="A653" s="1">
        <f t="shared" si="67"/>
        <v>0</v>
      </c>
      <c r="B653" s="2" t="s">
        <v>2286</v>
      </c>
      <c r="C653" s="3" t="s">
        <v>2287</v>
      </c>
      <c r="D653" s="15" t="s">
        <v>11566</v>
      </c>
      <c r="E653" s="4" t="s">
        <v>2286</v>
      </c>
      <c r="F653" s="37" t="s">
        <v>2287</v>
      </c>
      <c r="G653" s="38">
        <v>0</v>
      </c>
      <c r="H653" s="38">
        <v>0</v>
      </c>
      <c r="I653" s="15"/>
      <c r="J653" s="494">
        <v>10204020108</v>
      </c>
      <c r="K653" s="517"/>
      <c r="L653" s="517" t="s">
        <v>2271</v>
      </c>
      <c r="M653" s="517" t="s">
        <v>227</v>
      </c>
      <c r="N653" s="518" t="s">
        <v>2272</v>
      </c>
      <c r="O653" s="517">
        <v>1</v>
      </c>
      <c r="P653" s="517" t="s">
        <v>647</v>
      </c>
      <c r="Q653" s="517" t="s">
        <v>693</v>
      </c>
      <c r="R653" s="517" t="s">
        <v>647</v>
      </c>
      <c r="S653" s="517" t="s">
        <v>632</v>
      </c>
      <c r="T653" s="518" t="s">
        <v>2270</v>
      </c>
      <c r="U653" s="38">
        <v>0</v>
      </c>
      <c r="V653" s="15" t="str">
        <f t="shared" si="66"/>
        <v/>
      </c>
      <c r="W653" s="1"/>
      <c r="X653" s="1"/>
      <c r="Y653" s="1"/>
      <c r="Z653" s="1"/>
      <c r="AA653" s="1"/>
      <c r="AB653" s="3"/>
      <c r="AC653" s="9"/>
      <c r="AD653" s="517" t="e">
        <v>#N/A</v>
      </c>
      <c r="AE653" s="517" t="e">
        <v>#N/A</v>
      </c>
      <c r="AF653" s="517" t="e">
        <v>#N/A</v>
      </c>
      <c r="AG653" s="520" t="e">
        <v>#N/A</v>
      </c>
      <c r="AH653" s="9"/>
      <c r="AI653" s="10"/>
      <c r="AJ653" s="9"/>
      <c r="AK653" s="10"/>
      <c r="AL653" s="10"/>
    </row>
    <row r="654" spans="1:38" hidden="1">
      <c r="A654" s="1">
        <f t="shared" si="67"/>
        <v>0</v>
      </c>
      <c r="C654" s="3" t="s">
        <v>2288</v>
      </c>
      <c r="D654" s="15" t="s">
        <v>16</v>
      </c>
      <c r="E654" s="30"/>
      <c r="F654" s="31" t="s">
        <v>2289</v>
      </c>
      <c r="G654" s="32">
        <f>G655</f>
        <v>0</v>
      </c>
      <c r="H654" s="32">
        <f>H655</f>
        <v>0</v>
      </c>
      <c r="I654" s="15"/>
      <c r="J654" s="494"/>
      <c r="K654" s="513"/>
      <c r="L654" s="513"/>
      <c r="M654" s="513"/>
      <c r="N654" s="514"/>
      <c r="O654" s="513"/>
      <c r="P654" s="513"/>
      <c r="Q654" s="513"/>
      <c r="R654" s="513"/>
      <c r="S654" s="513"/>
      <c r="T654" s="514"/>
      <c r="U654" s="32">
        <f>U655</f>
        <v>0</v>
      </c>
      <c r="V654" s="15" t="str">
        <f t="shared" si="66"/>
        <v>102040300</v>
      </c>
      <c r="W654" s="33">
        <v>1</v>
      </c>
      <c r="X654" s="34" t="s">
        <v>647</v>
      </c>
      <c r="Y654" s="34" t="s">
        <v>693</v>
      </c>
      <c r="Z654" s="34" t="s">
        <v>671</v>
      </c>
      <c r="AA654" s="35" t="s">
        <v>630</v>
      </c>
      <c r="AB654" s="31" t="s">
        <v>2289</v>
      </c>
      <c r="AC654" s="529">
        <f>AC655</f>
        <v>0</v>
      </c>
      <c r="AD654" s="513">
        <v>0</v>
      </c>
      <c r="AE654" s="513" t="s">
        <v>13462</v>
      </c>
      <c r="AF654" s="513" t="s">
        <v>228</v>
      </c>
      <c r="AG654" s="514" t="s">
        <v>2290</v>
      </c>
      <c r="AH654" s="516">
        <f t="shared" ref="AH654:AH661" si="68">AC654</f>
        <v>0</v>
      </c>
      <c r="AI654" s="10"/>
      <c r="AJ654" s="9">
        <f t="shared" ref="AJ654:AJ696" si="69">AH654-H654</f>
        <v>0</v>
      </c>
      <c r="AK654" s="10"/>
      <c r="AL654" s="10"/>
    </row>
    <row r="655" spans="1:38" hidden="1">
      <c r="A655" s="1">
        <f t="shared" si="67"/>
        <v>0</v>
      </c>
      <c r="B655" s="2" t="s">
        <v>2291</v>
      </c>
      <c r="C655" s="3" t="s">
        <v>2288</v>
      </c>
      <c r="D655" s="15" t="s">
        <v>11567</v>
      </c>
      <c r="E655" s="4" t="s">
        <v>2291</v>
      </c>
      <c r="F655" s="37" t="s">
        <v>2288</v>
      </c>
      <c r="G655" s="38">
        <v>0</v>
      </c>
      <c r="H655" s="38">
        <v>0</v>
      </c>
      <c r="I655" s="15"/>
      <c r="J655" s="494">
        <v>10204030101</v>
      </c>
      <c r="K655" s="517"/>
      <c r="L655" s="517" t="s">
        <v>13462</v>
      </c>
      <c r="M655" s="517" t="s">
        <v>228</v>
      </c>
      <c r="N655" s="518" t="s">
        <v>2290</v>
      </c>
      <c r="O655" s="517">
        <v>1</v>
      </c>
      <c r="P655" s="517" t="s">
        <v>647</v>
      </c>
      <c r="Q655" s="517" t="s">
        <v>693</v>
      </c>
      <c r="R655" s="517" t="s">
        <v>671</v>
      </c>
      <c r="S655" s="517" t="s">
        <v>632</v>
      </c>
      <c r="T655" s="518" t="s">
        <v>2289</v>
      </c>
      <c r="U655" s="38">
        <v>0</v>
      </c>
      <c r="V655" s="15" t="str">
        <f t="shared" si="66"/>
        <v>102040301</v>
      </c>
      <c r="W655" s="39">
        <v>1</v>
      </c>
      <c r="X655" s="40" t="s">
        <v>647</v>
      </c>
      <c r="Y655" s="40" t="s">
        <v>693</v>
      </c>
      <c r="Z655" s="40" t="s">
        <v>671</v>
      </c>
      <c r="AA655" s="40" t="s">
        <v>632</v>
      </c>
      <c r="AB655" s="41" t="s">
        <v>2289</v>
      </c>
      <c r="AC655" s="9">
        <f>H655</f>
        <v>0</v>
      </c>
      <c r="AD655" s="517">
        <v>0</v>
      </c>
      <c r="AE655" s="517" t="s">
        <v>13462</v>
      </c>
      <c r="AF655" s="517" t="s">
        <v>228</v>
      </c>
      <c r="AG655" s="520" t="s">
        <v>2290</v>
      </c>
      <c r="AH655" s="67">
        <f t="shared" si="68"/>
        <v>0</v>
      </c>
      <c r="AI655" s="10"/>
      <c r="AJ655" s="9">
        <f t="shared" si="69"/>
        <v>0</v>
      </c>
      <c r="AK655" s="10"/>
      <c r="AL655" s="10"/>
    </row>
    <row r="656" spans="1:38" ht="22.5" hidden="1">
      <c r="A656" s="1">
        <f t="shared" si="67"/>
        <v>0</v>
      </c>
      <c r="C656" s="3" t="s">
        <v>2292</v>
      </c>
      <c r="D656" s="15" t="s">
        <v>16</v>
      </c>
      <c r="E656" s="30"/>
      <c r="F656" s="31" t="s">
        <v>2293</v>
      </c>
      <c r="G656" s="32">
        <f>G657</f>
        <v>25806.87</v>
      </c>
      <c r="H656" s="32">
        <f>H657</f>
        <v>5971.15</v>
      </c>
      <c r="I656" s="15"/>
      <c r="J656" s="494"/>
      <c r="K656" s="513"/>
      <c r="L656" s="513"/>
      <c r="M656" s="513"/>
      <c r="N656" s="514"/>
      <c r="O656" s="513"/>
      <c r="P656" s="513"/>
      <c r="Q656" s="513"/>
      <c r="R656" s="513"/>
      <c r="S656" s="513"/>
      <c r="T656" s="514"/>
      <c r="U656" s="32">
        <f>U657</f>
        <v>5971.15</v>
      </c>
      <c r="V656" s="15" t="str">
        <f t="shared" si="66"/>
        <v>102040400</v>
      </c>
      <c r="W656" s="33">
        <v>1</v>
      </c>
      <c r="X656" s="34" t="s">
        <v>647</v>
      </c>
      <c r="Y656" s="34" t="s">
        <v>693</v>
      </c>
      <c r="Z656" s="34" t="s">
        <v>693</v>
      </c>
      <c r="AA656" s="35" t="s">
        <v>630</v>
      </c>
      <c r="AB656" s="31" t="s">
        <v>2293</v>
      </c>
      <c r="AC656" s="529">
        <f>AC657</f>
        <v>5971.15</v>
      </c>
      <c r="AD656" s="513">
        <v>0</v>
      </c>
      <c r="AE656" s="513" t="s">
        <v>13463</v>
      </c>
      <c r="AF656" s="513" t="s">
        <v>229</v>
      </c>
      <c r="AG656" s="514" t="s">
        <v>2294</v>
      </c>
      <c r="AH656" s="522">
        <f t="shared" si="68"/>
        <v>5971.15</v>
      </c>
      <c r="AI656" s="10"/>
      <c r="AJ656" s="9">
        <f t="shared" si="69"/>
        <v>0</v>
      </c>
      <c r="AK656" s="10"/>
      <c r="AL656" s="10"/>
    </row>
    <row r="657" spans="1:38" ht="22.5" hidden="1">
      <c r="A657" s="1">
        <f t="shared" si="67"/>
        <v>0</v>
      </c>
      <c r="B657" s="2" t="s">
        <v>2295</v>
      </c>
      <c r="C657" s="3" t="s">
        <v>2296</v>
      </c>
      <c r="D657" s="15" t="s">
        <v>11568</v>
      </c>
      <c r="E657" s="4" t="s">
        <v>2295</v>
      </c>
      <c r="F657" s="37" t="s">
        <v>2296</v>
      </c>
      <c r="G657" s="38">
        <v>25806.87</v>
      </c>
      <c r="H657" s="38">
        <v>5971.15</v>
      </c>
      <c r="I657" s="15"/>
      <c r="J657" s="494">
        <v>10204040101</v>
      </c>
      <c r="K657" s="517"/>
      <c r="L657" s="517" t="s">
        <v>13463</v>
      </c>
      <c r="M657" s="517" t="s">
        <v>229</v>
      </c>
      <c r="N657" s="518" t="s">
        <v>2294</v>
      </c>
      <c r="O657" s="517">
        <v>1</v>
      </c>
      <c r="P657" s="517" t="s">
        <v>647</v>
      </c>
      <c r="Q657" s="517" t="s">
        <v>693</v>
      </c>
      <c r="R657" s="517" t="s">
        <v>693</v>
      </c>
      <c r="S657" s="517" t="s">
        <v>632</v>
      </c>
      <c r="T657" s="518" t="s">
        <v>2293</v>
      </c>
      <c r="U657" s="38">
        <v>5971.15</v>
      </c>
      <c r="V657" s="15" t="str">
        <f t="shared" si="66"/>
        <v>102040401</v>
      </c>
      <c r="W657" s="39">
        <v>1</v>
      </c>
      <c r="X657" s="40" t="s">
        <v>647</v>
      </c>
      <c r="Y657" s="40" t="s">
        <v>693</v>
      </c>
      <c r="Z657" s="40" t="s">
        <v>693</v>
      </c>
      <c r="AA657" s="40" t="s">
        <v>632</v>
      </c>
      <c r="AB657" s="41" t="s">
        <v>2293</v>
      </c>
      <c r="AC657" s="9">
        <f>H657</f>
        <v>5971.15</v>
      </c>
      <c r="AD657" s="517">
        <v>0</v>
      </c>
      <c r="AE657" s="517" t="s">
        <v>13463</v>
      </c>
      <c r="AF657" s="517" t="s">
        <v>229</v>
      </c>
      <c r="AG657" s="520" t="s">
        <v>2294</v>
      </c>
      <c r="AH657" s="67">
        <f t="shared" si="68"/>
        <v>5971.15</v>
      </c>
      <c r="AI657" s="10"/>
      <c r="AJ657" s="9">
        <f t="shared" si="69"/>
        <v>0</v>
      </c>
      <c r="AK657" s="10"/>
      <c r="AL657" s="10"/>
    </row>
    <row r="658" spans="1:38" ht="22.5" hidden="1">
      <c r="A658" s="1">
        <f t="shared" si="67"/>
        <v>0</v>
      </c>
      <c r="C658" s="3" t="s">
        <v>2297</v>
      </c>
      <c r="D658" s="15" t="s">
        <v>16</v>
      </c>
      <c r="E658" s="18"/>
      <c r="F658" s="19" t="s">
        <v>2297</v>
      </c>
      <c r="G658" s="20">
        <f>G659+G670</f>
        <v>0</v>
      </c>
      <c r="H658" s="20">
        <f>H659+H670</f>
        <v>0</v>
      </c>
      <c r="I658" s="15"/>
      <c r="J658" s="494"/>
      <c r="K658" s="502"/>
      <c r="L658" s="502"/>
      <c r="M658" s="502"/>
      <c r="N658" s="503"/>
      <c r="O658" s="502"/>
      <c r="P658" s="502"/>
      <c r="Q658" s="502"/>
      <c r="R658" s="502"/>
      <c r="S658" s="502"/>
      <c r="T658" s="503"/>
      <c r="U658" s="20">
        <f>U659+U670</f>
        <v>0</v>
      </c>
      <c r="V658" s="15" t="str">
        <f t="shared" si="66"/>
        <v>103000000</v>
      </c>
      <c r="W658" s="21">
        <v>1</v>
      </c>
      <c r="X658" s="22" t="s">
        <v>671</v>
      </c>
      <c r="Y658" s="22" t="s">
        <v>630</v>
      </c>
      <c r="Z658" s="22" t="s">
        <v>630</v>
      </c>
      <c r="AA658" s="22" t="s">
        <v>630</v>
      </c>
      <c r="AB658" s="19" t="s">
        <v>2297</v>
      </c>
      <c r="AC658" s="540" t="e">
        <f>AC659+AC670</f>
        <v>#REF!</v>
      </c>
      <c r="AD658" s="502">
        <v>0</v>
      </c>
      <c r="AE658" s="502" t="s">
        <v>2298</v>
      </c>
      <c r="AF658" s="502" t="s">
        <v>2299</v>
      </c>
      <c r="AG658" s="505" t="s">
        <v>13464</v>
      </c>
      <c r="AH658" s="583" t="e">
        <f t="shared" si="68"/>
        <v>#REF!</v>
      </c>
      <c r="AI658" s="10"/>
      <c r="AJ658" s="9" t="e">
        <f t="shared" si="69"/>
        <v>#REF!</v>
      </c>
      <c r="AK658" s="10"/>
      <c r="AL658" s="10"/>
    </row>
    <row r="659" spans="1:38" hidden="1">
      <c r="A659" s="1">
        <f t="shared" si="67"/>
        <v>0</v>
      </c>
      <c r="C659" s="3" t="s">
        <v>14</v>
      </c>
      <c r="D659" s="15" t="s">
        <v>16</v>
      </c>
      <c r="E659" s="24"/>
      <c r="F659" s="25" t="s">
        <v>14</v>
      </c>
      <c r="G659" s="26">
        <f>G660+G666</f>
        <v>0</v>
      </c>
      <c r="H659" s="26">
        <f>H660+H666</f>
        <v>0</v>
      </c>
      <c r="I659" s="15"/>
      <c r="J659" s="494"/>
      <c r="K659" s="509"/>
      <c r="L659" s="509"/>
      <c r="M659" s="509"/>
      <c r="N659" s="510"/>
      <c r="O659" s="509"/>
      <c r="P659" s="509"/>
      <c r="Q659" s="509"/>
      <c r="R659" s="509"/>
      <c r="S659" s="509"/>
      <c r="T659" s="510"/>
      <c r="U659" s="26">
        <f>U660+U666</f>
        <v>0</v>
      </c>
      <c r="V659" s="15" t="str">
        <f t="shared" si="66"/>
        <v>103010000</v>
      </c>
      <c r="W659" s="27">
        <v>1</v>
      </c>
      <c r="X659" s="28" t="s">
        <v>671</v>
      </c>
      <c r="Y659" s="28" t="s">
        <v>632</v>
      </c>
      <c r="Z659" s="28" t="s">
        <v>630</v>
      </c>
      <c r="AA659" s="28" t="s">
        <v>630</v>
      </c>
      <c r="AB659" s="25" t="s">
        <v>14</v>
      </c>
      <c r="AC659" s="530">
        <f>AC660+AC666</f>
        <v>0</v>
      </c>
      <c r="AD659" s="509">
        <v>0</v>
      </c>
      <c r="AE659" s="509" t="s">
        <v>13465</v>
      </c>
      <c r="AF659" s="509" t="s">
        <v>2300</v>
      </c>
      <c r="AG659" s="510" t="s">
        <v>2301</v>
      </c>
      <c r="AH659" s="581">
        <f t="shared" si="68"/>
        <v>0</v>
      </c>
      <c r="AI659" s="10"/>
      <c r="AJ659" s="9">
        <f t="shared" si="69"/>
        <v>0</v>
      </c>
      <c r="AK659" s="10"/>
      <c r="AL659" s="10"/>
    </row>
    <row r="660" spans="1:38" hidden="1">
      <c r="A660" s="1">
        <f t="shared" si="67"/>
        <v>0</v>
      </c>
      <c r="C660" s="3" t="s">
        <v>14</v>
      </c>
      <c r="D660" s="15" t="s">
        <v>16</v>
      </c>
      <c r="E660" s="30"/>
      <c r="F660" s="31" t="s">
        <v>2302</v>
      </c>
      <c r="G660" s="32">
        <f>SUM(G661:G665)</f>
        <v>0</v>
      </c>
      <c r="H660" s="32">
        <f>SUM(H661:H665)</f>
        <v>0</v>
      </c>
      <c r="I660" s="15"/>
      <c r="J660" s="494"/>
      <c r="K660" s="513"/>
      <c r="L660" s="513"/>
      <c r="M660" s="513"/>
      <c r="N660" s="514"/>
      <c r="O660" s="513"/>
      <c r="P660" s="513"/>
      <c r="Q660" s="513"/>
      <c r="R660" s="513"/>
      <c r="S660" s="513"/>
      <c r="T660" s="514"/>
      <c r="U660" s="32">
        <f>SUM(U661:U665)</f>
        <v>0</v>
      </c>
      <c r="V660" s="15" t="str">
        <f t="shared" si="66"/>
        <v>103010100</v>
      </c>
      <c r="W660" s="33">
        <v>1</v>
      </c>
      <c r="X660" s="34" t="s">
        <v>671</v>
      </c>
      <c r="Y660" s="34" t="s">
        <v>632</v>
      </c>
      <c r="Z660" s="34" t="s">
        <v>632</v>
      </c>
      <c r="AA660" s="35" t="s">
        <v>630</v>
      </c>
      <c r="AB660" s="31" t="s">
        <v>2302</v>
      </c>
      <c r="AC660" s="529">
        <f>SUM(AC661:AC665)</f>
        <v>0</v>
      </c>
      <c r="AD660" s="513">
        <v>0</v>
      </c>
      <c r="AE660" s="513" t="s">
        <v>13466</v>
      </c>
      <c r="AF660" s="513" t="s">
        <v>2303</v>
      </c>
      <c r="AG660" s="514" t="s">
        <v>13467</v>
      </c>
      <c r="AH660" s="516">
        <f t="shared" si="68"/>
        <v>0</v>
      </c>
      <c r="AI660" s="10"/>
      <c r="AJ660" s="9">
        <f t="shared" si="69"/>
        <v>0</v>
      </c>
      <c r="AK660" s="10"/>
      <c r="AL660" s="10"/>
    </row>
    <row r="661" spans="1:38" hidden="1">
      <c r="A661" s="1">
        <f t="shared" si="67"/>
        <v>0</v>
      </c>
      <c r="B661" s="2" t="s">
        <v>2304</v>
      </c>
      <c r="C661" s="3" t="s">
        <v>14</v>
      </c>
      <c r="D661" s="15" t="s">
        <v>11569</v>
      </c>
      <c r="E661" s="4" t="s">
        <v>2304</v>
      </c>
      <c r="F661" s="37" t="s">
        <v>14</v>
      </c>
      <c r="G661" s="38">
        <v>0</v>
      </c>
      <c r="H661" s="38">
        <v>0</v>
      </c>
      <c r="I661" s="15"/>
      <c r="J661" s="494">
        <v>10301010101</v>
      </c>
      <c r="K661" s="517"/>
      <c r="L661" s="517" t="s">
        <v>13466</v>
      </c>
      <c r="M661" s="517" t="s">
        <v>2303</v>
      </c>
      <c r="N661" s="518" t="s">
        <v>2305</v>
      </c>
      <c r="O661" s="517">
        <v>1</v>
      </c>
      <c r="P661" s="517" t="s">
        <v>671</v>
      </c>
      <c r="Q661" s="517" t="s">
        <v>632</v>
      </c>
      <c r="R661" s="517" t="s">
        <v>632</v>
      </c>
      <c r="S661" s="517" t="s">
        <v>632</v>
      </c>
      <c r="T661" s="518" t="s">
        <v>2302</v>
      </c>
      <c r="U661" s="38">
        <v>0</v>
      </c>
      <c r="V661" s="15" t="str">
        <f t="shared" si="66"/>
        <v>103010101</v>
      </c>
      <c r="W661" s="39">
        <v>1</v>
      </c>
      <c r="X661" s="40" t="s">
        <v>671</v>
      </c>
      <c r="Y661" s="40" t="s">
        <v>632</v>
      </c>
      <c r="Z661" s="40" t="s">
        <v>632</v>
      </c>
      <c r="AA661" s="40" t="s">
        <v>632</v>
      </c>
      <c r="AB661" s="41" t="s">
        <v>2302</v>
      </c>
      <c r="AC661" s="519">
        <f>SUM(H661:H665)</f>
        <v>0</v>
      </c>
      <c r="AD661" s="517">
        <v>0</v>
      </c>
      <c r="AE661" s="517" t="s">
        <v>13466</v>
      </c>
      <c r="AF661" s="517" t="s">
        <v>2303</v>
      </c>
      <c r="AG661" s="520" t="s">
        <v>2305</v>
      </c>
      <c r="AH661" s="67">
        <f t="shared" si="68"/>
        <v>0</v>
      </c>
      <c r="AI661" s="10"/>
      <c r="AJ661" s="9">
        <f t="shared" si="69"/>
        <v>0</v>
      </c>
      <c r="AK661" s="10"/>
      <c r="AL661" s="10"/>
    </row>
    <row r="662" spans="1:38" hidden="1">
      <c r="A662" s="1">
        <f t="shared" si="67"/>
        <v>0</v>
      </c>
      <c r="B662" s="2" t="s">
        <v>2306</v>
      </c>
      <c r="C662" s="3" t="s">
        <v>2307</v>
      </c>
      <c r="D662" s="15" t="s">
        <v>11569</v>
      </c>
      <c r="E662" s="4" t="s">
        <v>2306</v>
      </c>
      <c r="F662" s="37" t="s">
        <v>2307</v>
      </c>
      <c r="G662" s="38">
        <v>0</v>
      </c>
      <c r="H662" s="38">
        <v>0</v>
      </c>
      <c r="I662" s="15"/>
      <c r="J662" s="494">
        <v>10301010103</v>
      </c>
      <c r="K662" s="517"/>
      <c r="L662" s="517" t="s">
        <v>13466</v>
      </c>
      <c r="M662" s="517" t="s">
        <v>2303</v>
      </c>
      <c r="N662" s="518" t="s">
        <v>2305</v>
      </c>
      <c r="O662" s="517">
        <v>1</v>
      </c>
      <c r="P662" s="517" t="s">
        <v>671</v>
      </c>
      <c r="Q662" s="517" t="s">
        <v>632</v>
      </c>
      <c r="R662" s="517" t="s">
        <v>632</v>
      </c>
      <c r="S662" s="517" t="s">
        <v>632</v>
      </c>
      <c r="T662" s="518" t="s">
        <v>2302</v>
      </c>
      <c r="U662" s="38">
        <v>0</v>
      </c>
      <c r="V662" s="15" t="str">
        <f t="shared" si="66"/>
        <v/>
      </c>
      <c r="W662" s="1"/>
      <c r="X662" s="1"/>
      <c r="Y662" s="1"/>
      <c r="Z662" s="1"/>
      <c r="AA662" s="1"/>
      <c r="AB662" s="3"/>
      <c r="AC662" s="9"/>
      <c r="AD662" s="517" t="e">
        <v>#N/A</v>
      </c>
      <c r="AE662" s="517" t="e">
        <v>#N/A</v>
      </c>
      <c r="AF662" s="517" t="e">
        <v>#N/A</v>
      </c>
      <c r="AG662" s="520" t="e">
        <v>#N/A</v>
      </c>
      <c r="AH662" s="9"/>
      <c r="AI662" s="10"/>
      <c r="AJ662" s="9">
        <f t="shared" si="69"/>
        <v>0</v>
      </c>
      <c r="AK662" s="10"/>
      <c r="AL662" s="10"/>
    </row>
    <row r="663" spans="1:38" hidden="1">
      <c r="A663" s="1">
        <f t="shared" si="67"/>
        <v>0</v>
      </c>
      <c r="B663" s="2" t="s">
        <v>2308</v>
      </c>
      <c r="C663" s="3" t="s">
        <v>2309</v>
      </c>
      <c r="D663" s="15" t="s">
        <v>11569</v>
      </c>
      <c r="E663" s="4" t="s">
        <v>2308</v>
      </c>
      <c r="F663" s="37" t="s">
        <v>2309</v>
      </c>
      <c r="G663" s="38">
        <v>0</v>
      </c>
      <c r="H663" s="38">
        <v>0</v>
      </c>
      <c r="I663" s="15"/>
      <c r="J663" s="494">
        <v>10301010104</v>
      </c>
      <c r="K663" s="517"/>
      <c r="L663" s="517" t="s">
        <v>13466</v>
      </c>
      <c r="M663" s="517" t="s">
        <v>2303</v>
      </c>
      <c r="N663" s="518" t="s">
        <v>2305</v>
      </c>
      <c r="O663" s="517">
        <v>1</v>
      </c>
      <c r="P663" s="517" t="s">
        <v>671</v>
      </c>
      <c r="Q663" s="517" t="s">
        <v>632</v>
      </c>
      <c r="R663" s="517" t="s">
        <v>632</v>
      </c>
      <c r="S663" s="517" t="s">
        <v>632</v>
      </c>
      <c r="T663" s="518" t="s">
        <v>2302</v>
      </c>
      <c r="U663" s="38">
        <v>0</v>
      </c>
      <c r="V663" s="15" t="str">
        <f t="shared" si="66"/>
        <v/>
      </c>
      <c r="W663" s="1"/>
      <c r="X663" s="1"/>
      <c r="Y663" s="1"/>
      <c r="Z663" s="1"/>
      <c r="AA663" s="1"/>
      <c r="AB663" s="3"/>
      <c r="AC663" s="9"/>
      <c r="AD663" s="517" t="e">
        <v>#N/A</v>
      </c>
      <c r="AE663" s="517" t="e">
        <v>#N/A</v>
      </c>
      <c r="AF663" s="517" t="e">
        <v>#N/A</v>
      </c>
      <c r="AG663" s="520" t="e">
        <v>#N/A</v>
      </c>
      <c r="AH663" s="9"/>
      <c r="AI663" s="10"/>
      <c r="AJ663" s="9">
        <f t="shared" si="69"/>
        <v>0</v>
      </c>
      <c r="AK663" s="10"/>
      <c r="AL663" s="10"/>
    </row>
    <row r="664" spans="1:38" hidden="1">
      <c r="A664" s="1">
        <f t="shared" si="67"/>
        <v>0</v>
      </c>
      <c r="B664" s="2" t="s">
        <v>2310</v>
      </c>
      <c r="C664" s="3" t="s">
        <v>2311</v>
      </c>
      <c r="D664" s="15" t="s">
        <v>11569</v>
      </c>
      <c r="E664" s="4" t="s">
        <v>2310</v>
      </c>
      <c r="F664" s="37" t="s">
        <v>2311</v>
      </c>
      <c r="G664" s="38">
        <v>0</v>
      </c>
      <c r="H664" s="38">
        <v>0</v>
      </c>
      <c r="I664" s="15"/>
      <c r="J664" s="494">
        <v>10301010105</v>
      </c>
      <c r="K664" s="517"/>
      <c r="L664" s="517" t="s">
        <v>13466</v>
      </c>
      <c r="M664" s="517" t="s">
        <v>2303</v>
      </c>
      <c r="N664" s="518" t="s">
        <v>2305</v>
      </c>
      <c r="O664" s="517">
        <v>1</v>
      </c>
      <c r="P664" s="517" t="s">
        <v>671</v>
      </c>
      <c r="Q664" s="517" t="s">
        <v>632</v>
      </c>
      <c r="R664" s="517" t="s">
        <v>632</v>
      </c>
      <c r="S664" s="517" t="s">
        <v>632</v>
      </c>
      <c r="T664" s="518" t="s">
        <v>2302</v>
      </c>
      <c r="U664" s="38">
        <v>0</v>
      </c>
      <c r="V664" s="15" t="str">
        <f t="shared" si="66"/>
        <v/>
      </c>
      <c r="W664" s="1"/>
      <c r="X664" s="1"/>
      <c r="Y664" s="1"/>
      <c r="Z664" s="1"/>
      <c r="AA664" s="1"/>
      <c r="AB664" s="3"/>
      <c r="AC664" s="9"/>
      <c r="AD664" s="517" t="e">
        <v>#N/A</v>
      </c>
      <c r="AE664" s="517" t="e">
        <v>#N/A</v>
      </c>
      <c r="AF664" s="517" t="e">
        <v>#N/A</v>
      </c>
      <c r="AG664" s="520" t="e">
        <v>#N/A</v>
      </c>
      <c r="AH664" s="9"/>
      <c r="AI664" s="10"/>
      <c r="AJ664" s="9">
        <f t="shared" si="69"/>
        <v>0</v>
      </c>
      <c r="AK664" s="10"/>
      <c r="AL664" s="10"/>
    </row>
    <row r="665" spans="1:38" hidden="1">
      <c r="A665" s="1">
        <f t="shared" si="67"/>
        <v>0</v>
      </c>
      <c r="B665" s="2" t="s">
        <v>2312</v>
      </c>
      <c r="C665" s="3" t="s">
        <v>2313</v>
      </c>
      <c r="D665" s="15" t="s">
        <v>11569</v>
      </c>
      <c r="E665" s="4" t="s">
        <v>2312</v>
      </c>
      <c r="F665" s="37" t="s">
        <v>2313</v>
      </c>
      <c r="G665" s="38">
        <v>0</v>
      </c>
      <c r="H665" s="38">
        <v>0</v>
      </c>
      <c r="I665" s="15"/>
      <c r="J665" s="494">
        <v>10301010106</v>
      </c>
      <c r="K665" s="517"/>
      <c r="L665" s="517" t="s">
        <v>13466</v>
      </c>
      <c r="M665" s="517" t="s">
        <v>2303</v>
      </c>
      <c r="N665" s="518" t="s">
        <v>2305</v>
      </c>
      <c r="O665" s="517">
        <v>1</v>
      </c>
      <c r="P665" s="517" t="s">
        <v>671</v>
      </c>
      <c r="Q665" s="517" t="s">
        <v>632</v>
      </c>
      <c r="R665" s="517" t="s">
        <v>632</v>
      </c>
      <c r="S665" s="517" t="s">
        <v>632</v>
      </c>
      <c r="T665" s="518" t="s">
        <v>2302</v>
      </c>
      <c r="U665" s="38">
        <v>0</v>
      </c>
      <c r="V665" s="15" t="str">
        <f t="shared" si="66"/>
        <v/>
      </c>
      <c r="W665" s="1"/>
      <c r="X665" s="1"/>
      <c r="Y665" s="1"/>
      <c r="Z665" s="1"/>
      <c r="AA665" s="1"/>
      <c r="AB665" s="3"/>
      <c r="AC665" s="9"/>
      <c r="AD665" s="517" t="e">
        <v>#N/A</v>
      </c>
      <c r="AE665" s="517" t="e">
        <v>#N/A</v>
      </c>
      <c r="AF665" s="517" t="e">
        <v>#N/A</v>
      </c>
      <c r="AG665" s="520" t="e">
        <v>#N/A</v>
      </c>
      <c r="AH665" s="9"/>
      <c r="AI665" s="10"/>
      <c r="AJ665" s="9">
        <f t="shared" si="69"/>
        <v>0</v>
      </c>
      <c r="AK665" s="10"/>
      <c r="AL665" s="10"/>
    </row>
    <row r="666" spans="1:38" ht="33.75" hidden="1">
      <c r="A666" s="1">
        <f t="shared" si="67"/>
        <v>0</v>
      </c>
      <c r="C666" s="3" t="s">
        <v>2314</v>
      </c>
      <c r="D666" s="15" t="s">
        <v>16</v>
      </c>
      <c r="E666" s="30"/>
      <c r="F666" s="31" t="s">
        <v>2315</v>
      </c>
      <c r="G666" s="32">
        <f>SUM(G667:G669)</f>
        <v>0</v>
      </c>
      <c r="H666" s="32">
        <f>SUM(H667:H669)</f>
        <v>0</v>
      </c>
      <c r="I666" s="15"/>
      <c r="J666" s="494"/>
      <c r="K666" s="513"/>
      <c r="L666" s="513"/>
      <c r="M666" s="513"/>
      <c r="N666" s="514"/>
      <c r="O666" s="513"/>
      <c r="P666" s="513"/>
      <c r="Q666" s="513"/>
      <c r="R666" s="513"/>
      <c r="S666" s="513"/>
      <c r="T666" s="514"/>
      <c r="U666" s="32">
        <f>SUM(U667:U669)</f>
        <v>0</v>
      </c>
      <c r="V666" s="15" t="str">
        <f t="shared" si="66"/>
        <v>103010200</v>
      </c>
      <c r="W666" s="33">
        <v>1</v>
      </c>
      <c r="X666" s="34" t="s">
        <v>671</v>
      </c>
      <c r="Y666" s="34" t="s">
        <v>632</v>
      </c>
      <c r="Z666" s="34" t="s">
        <v>647</v>
      </c>
      <c r="AA666" s="35" t="s">
        <v>630</v>
      </c>
      <c r="AB666" s="31" t="s">
        <v>2315</v>
      </c>
      <c r="AC666" s="529">
        <f>SUM(AC667:AC669)</f>
        <v>0</v>
      </c>
      <c r="AD666" s="513" t="s">
        <v>1519</v>
      </c>
      <c r="AE666" s="513" t="s">
        <v>13468</v>
      </c>
      <c r="AF666" s="513" t="s">
        <v>2316</v>
      </c>
      <c r="AG666" s="514" t="s">
        <v>2317</v>
      </c>
      <c r="AH666" s="516">
        <f>AC666</f>
        <v>0</v>
      </c>
      <c r="AI666" s="10"/>
      <c r="AJ666" s="9">
        <f t="shared" si="69"/>
        <v>0</v>
      </c>
      <c r="AK666" s="10"/>
      <c r="AL666" s="10"/>
    </row>
    <row r="667" spans="1:38" ht="33.75" hidden="1">
      <c r="A667" s="1">
        <f t="shared" si="67"/>
        <v>0</v>
      </c>
      <c r="B667" s="2" t="s">
        <v>2318</v>
      </c>
      <c r="C667" s="3" t="s">
        <v>2319</v>
      </c>
      <c r="D667" s="15" t="s">
        <v>11570</v>
      </c>
      <c r="E667" s="4" t="s">
        <v>2318</v>
      </c>
      <c r="F667" s="37" t="s">
        <v>2319</v>
      </c>
      <c r="G667" s="38">
        <v>0</v>
      </c>
      <c r="H667" s="38">
        <v>0</v>
      </c>
      <c r="I667" s="15"/>
      <c r="J667" s="494">
        <v>10301020101</v>
      </c>
      <c r="K667" s="517" t="s">
        <v>1519</v>
      </c>
      <c r="L667" s="517" t="s">
        <v>13468</v>
      </c>
      <c r="M667" s="517" t="s">
        <v>2316</v>
      </c>
      <c r="N667" s="518" t="s">
        <v>2317</v>
      </c>
      <c r="O667" s="517">
        <v>1</v>
      </c>
      <c r="P667" s="517" t="s">
        <v>671</v>
      </c>
      <c r="Q667" s="517" t="s">
        <v>632</v>
      </c>
      <c r="R667" s="517" t="s">
        <v>647</v>
      </c>
      <c r="S667" s="517" t="s">
        <v>632</v>
      </c>
      <c r="T667" s="518" t="s">
        <v>2315</v>
      </c>
      <c r="U667" s="38">
        <v>0</v>
      </c>
      <c r="V667" s="15" t="str">
        <f t="shared" si="66"/>
        <v>103010201</v>
      </c>
      <c r="W667" s="39">
        <v>1</v>
      </c>
      <c r="X667" s="40" t="s">
        <v>671</v>
      </c>
      <c r="Y667" s="40" t="s">
        <v>632</v>
      </c>
      <c r="Z667" s="40" t="s">
        <v>647</v>
      </c>
      <c r="AA667" s="40" t="s">
        <v>632</v>
      </c>
      <c r="AB667" s="41" t="s">
        <v>2315</v>
      </c>
      <c r="AC667" s="519">
        <f>SUM(H667:H669)</f>
        <v>0</v>
      </c>
      <c r="AD667" s="517" t="s">
        <v>1519</v>
      </c>
      <c r="AE667" s="517" t="s">
        <v>13468</v>
      </c>
      <c r="AF667" s="517" t="s">
        <v>2316</v>
      </c>
      <c r="AG667" s="520" t="s">
        <v>2317</v>
      </c>
      <c r="AH667" s="67">
        <f>AC667</f>
        <v>0</v>
      </c>
      <c r="AI667" s="10"/>
      <c r="AJ667" s="9">
        <f t="shared" si="69"/>
        <v>0</v>
      </c>
      <c r="AK667" s="10"/>
      <c r="AL667" s="10"/>
    </row>
    <row r="668" spans="1:38" ht="33.75" hidden="1">
      <c r="A668" s="1">
        <f t="shared" si="67"/>
        <v>0</v>
      </c>
      <c r="B668" s="2" t="s">
        <v>2320</v>
      </c>
      <c r="C668" s="3" t="s">
        <v>2321</v>
      </c>
      <c r="D668" s="15" t="s">
        <v>11570</v>
      </c>
      <c r="E668" s="4" t="s">
        <v>2320</v>
      </c>
      <c r="F668" s="37" t="s">
        <v>2321</v>
      </c>
      <c r="G668" s="38">
        <v>0</v>
      </c>
      <c r="H668" s="38">
        <v>0</v>
      </c>
      <c r="I668" s="15"/>
      <c r="J668" s="494">
        <v>10301020102</v>
      </c>
      <c r="K668" s="517" t="s">
        <v>1519</v>
      </c>
      <c r="L668" s="517" t="s">
        <v>13468</v>
      </c>
      <c r="M668" s="517" t="s">
        <v>2316</v>
      </c>
      <c r="N668" s="518" t="s">
        <v>2317</v>
      </c>
      <c r="O668" s="517">
        <v>1</v>
      </c>
      <c r="P668" s="517" t="s">
        <v>671</v>
      </c>
      <c r="Q668" s="517" t="s">
        <v>632</v>
      </c>
      <c r="R668" s="517" t="s">
        <v>647</v>
      </c>
      <c r="S668" s="517" t="s">
        <v>632</v>
      </c>
      <c r="T668" s="518" t="s">
        <v>2315</v>
      </c>
      <c r="U668" s="38">
        <v>0</v>
      </c>
      <c r="V668" s="15" t="str">
        <f t="shared" si="66"/>
        <v/>
      </c>
      <c r="W668" s="1"/>
      <c r="X668" s="1"/>
      <c r="Y668" s="1"/>
      <c r="Z668" s="1"/>
      <c r="AA668" s="1"/>
      <c r="AB668" s="3"/>
      <c r="AC668" s="9"/>
      <c r="AD668" s="517" t="e">
        <v>#N/A</v>
      </c>
      <c r="AE668" s="517" t="e">
        <v>#N/A</v>
      </c>
      <c r="AF668" s="517" t="e">
        <v>#N/A</v>
      </c>
      <c r="AG668" s="520" t="e">
        <v>#N/A</v>
      </c>
      <c r="AH668" s="9"/>
      <c r="AI668" s="10"/>
      <c r="AJ668" s="9">
        <f t="shared" si="69"/>
        <v>0</v>
      </c>
      <c r="AK668" s="10"/>
      <c r="AL668" s="10"/>
    </row>
    <row r="669" spans="1:38" ht="33.75" hidden="1">
      <c r="A669" s="1">
        <f t="shared" si="67"/>
        <v>0</v>
      </c>
      <c r="B669" s="2" t="s">
        <v>2322</v>
      </c>
      <c r="C669" s="3" t="s">
        <v>2323</v>
      </c>
      <c r="D669" s="15" t="s">
        <v>11570</v>
      </c>
      <c r="E669" s="4" t="s">
        <v>2322</v>
      </c>
      <c r="F669" s="37" t="s">
        <v>2323</v>
      </c>
      <c r="G669" s="38">
        <v>0</v>
      </c>
      <c r="H669" s="38">
        <v>0</v>
      </c>
      <c r="I669" s="15"/>
      <c r="J669" s="494">
        <v>10301020103</v>
      </c>
      <c r="K669" s="517" t="s">
        <v>1519</v>
      </c>
      <c r="L669" s="517" t="s">
        <v>13468</v>
      </c>
      <c r="M669" s="517" t="s">
        <v>2316</v>
      </c>
      <c r="N669" s="518" t="s">
        <v>2317</v>
      </c>
      <c r="O669" s="517">
        <v>1</v>
      </c>
      <c r="P669" s="517" t="s">
        <v>671</v>
      </c>
      <c r="Q669" s="517" t="s">
        <v>632</v>
      </c>
      <c r="R669" s="517" t="s">
        <v>647</v>
      </c>
      <c r="S669" s="517" t="s">
        <v>632</v>
      </c>
      <c r="T669" s="518" t="s">
        <v>2315</v>
      </c>
      <c r="U669" s="38">
        <v>0</v>
      </c>
      <c r="V669" s="15" t="str">
        <f t="shared" si="66"/>
        <v/>
      </c>
      <c r="W669" s="1"/>
      <c r="X669" s="1"/>
      <c r="Y669" s="1"/>
      <c r="Z669" s="1"/>
      <c r="AA669" s="1"/>
      <c r="AB669" s="3"/>
      <c r="AC669" s="9"/>
      <c r="AD669" s="517" t="e">
        <v>#N/A</v>
      </c>
      <c r="AE669" s="517" t="e">
        <v>#N/A</v>
      </c>
      <c r="AF669" s="517" t="e">
        <v>#N/A</v>
      </c>
      <c r="AG669" s="520" t="e">
        <v>#N/A</v>
      </c>
      <c r="AH669" s="9"/>
      <c r="AI669" s="10"/>
      <c r="AJ669" s="9">
        <f t="shared" si="69"/>
        <v>0</v>
      </c>
      <c r="AK669" s="10"/>
      <c r="AL669" s="10"/>
    </row>
    <row r="670" spans="1:38" hidden="1">
      <c r="A670" s="1">
        <f t="shared" si="67"/>
        <v>0</v>
      </c>
      <c r="C670" s="3" t="s">
        <v>15</v>
      </c>
      <c r="D670" s="15" t="s">
        <v>16</v>
      </c>
      <c r="E670" s="24"/>
      <c r="F670" s="25" t="s">
        <v>15</v>
      </c>
      <c r="G670" s="26">
        <f>G671+G677</f>
        <v>0</v>
      </c>
      <c r="H670" s="26">
        <f>H671+H677</f>
        <v>0</v>
      </c>
      <c r="I670" s="15"/>
      <c r="J670" s="494"/>
      <c r="K670" s="509"/>
      <c r="L670" s="509"/>
      <c r="M670" s="509"/>
      <c r="N670" s="510"/>
      <c r="O670" s="509"/>
      <c r="P670" s="509"/>
      <c r="Q670" s="509"/>
      <c r="R670" s="509"/>
      <c r="S670" s="509"/>
      <c r="T670" s="510"/>
      <c r="U670" s="26">
        <f>U671+U677</f>
        <v>0</v>
      </c>
      <c r="V670" s="15" t="str">
        <f t="shared" si="66"/>
        <v>103020000</v>
      </c>
      <c r="W670" s="27">
        <v>1</v>
      </c>
      <c r="X670" s="28" t="s">
        <v>671</v>
      </c>
      <c r="Y670" s="28" t="s">
        <v>647</v>
      </c>
      <c r="Z670" s="28" t="s">
        <v>630</v>
      </c>
      <c r="AA670" s="28" t="s">
        <v>630</v>
      </c>
      <c r="AB670" s="25" t="s">
        <v>15</v>
      </c>
      <c r="AC670" s="530" t="e">
        <f>AC671+AC677</f>
        <v>#REF!</v>
      </c>
      <c r="AD670" s="509">
        <v>0</v>
      </c>
      <c r="AE670" s="509" t="s">
        <v>13469</v>
      </c>
      <c r="AF670" s="509" t="s">
        <v>2324</v>
      </c>
      <c r="AG670" s="510" t="s">
        <v>13470</v>
      </c>
      <c r="AH670" s="581" t="e">
        <f>AC670</f>
        <v>#REF!</v>
      </c>
      <c r="AI670" s="10"/>
      <c r="AJ670" s="9" t="e">
        <f t="shared" si="69"/>
        <v>#REF!</v>
      </c>
      <c r="AK670" s="10"/>
      <c r="AL670" s="10"/>
    </row>
    <row r="671" spans="1:38" hidden="1">
      <c r="A671" s="1">
        <f t="shared" si="67"/>
        <v>0</v>
      </c>
      <c r="C671" s="3" t="s">
        <v>15</v>
      </c>
      <c r="D671" s="15" t="s">
        <v>16</v>
      </c>
      <c r="E671" s="30"/>
      <c r="F671" s="31" t="s">
        <v>2325</v>
      </c>
      <c r="G671" s="32">
        <f>SUM(G672:G676)</f>
        <v>0</v>
      </c>
      <c r="H671" s="32">
        <f>SUM(H672:H676)</f>
        <v>0</v>
      </c>
      <c r="I671" s="15"/>
      <c r="J671" s="494"/>
      <c r="K671" s="513"/>
      <c r="L671" s="513"/>
      <c r="M671" s="513"/>
      <c r="N671" s="514"/>
      <c r="O671" s="513"/>
      <c r="P671" s="513"/>
      <c r="Q671" s="513"/>
      <c r="R671" s="513"/>
      <c r="S671" s="513"/>
      <c r="T671" s="514"/>
      <c r="U671" s="32">
        <f>SUM(U672:U676)</f>
        <v>0</v>
      </c>
      <c r="V671" s="15" t="str">
        <f t="shared" si="66"/>
        <v>103020100</v>
      </c>
      <c r="W671" s="33">
        <v>1</v>
      </c>
      <c r="X671" s="34" t="s">
        <v>671</v>
      </c>
      <c r="Y671" s="34" t="s">
        <v>647</v>
      </c>
      <c r="Z671" s="34" t="s">
        <v>632</v>
      </c>
      <c r="AA671" s="35" t="s">
        <v>630</v>
      </c>
      <c r="AB671" s="31" t="s">
        <v>2325</v>
      </c>
      <c r="AC671" s="529" t="e">
        <f>SUM(AC672:AC676)</f>
        <v>#REF!</v>
      </c>
      <c r="AD671" s="513">
        <v>0</v>
      </c>
      <c r="AE671" s="513" t="s">
        <v>13471</v>
      </c>
      <c r="AF671" s="513" t="s">
        <v>2326</v>
      </c>
      <c r="AG671" s="514" t="s">
        <v>13472</v>
      </c>
      <c r="AH671" s="516" t="e">
        <f>AC671</f>
        <v>#REF!</v>
      </c>
      <c r="AI671" s="10"/>
      <c r="AJ671" s="9" t="e">
        <f t="shared" si="69"/>
        <v>#REF!</v>
      </c>
      <c r="AK671" s="10"/>
      <c r="AL671" s="10"/>
    </row>
    <row r="672" spans="1:38" ht="22.5" hidden="1">
      <c r="A672" s="1">
        <f t="shared" si="67"/>
        <v>0</v>
      </c>
      <c r="B672" s="2" t="s">
        <v>2327</v>
      </c>
      <c r="C672" s="3" t="s">
        <v>2328</v>
      </c>
      <c r="D672" s="15" t="s">
        <v>11571</v>
      </c>
      <c r="E672" s="4" t="s">
        <v>2327</v>
      </c>
      <c r="F672" s="37" t="s">
        <v>2328</v>
      </c>
      <c r="G672" s="38">
        <v>0</v>
      </c>
      <c r="H672" s="38">
        <v>0</v>
      </c>
      <c r="I672" s="15"/>
      <c r="J672" s="494">
        <v>10302010101</v>
      </c>
      <c r="K672" s="517"/>
      <c r="L672" s="517" t="s">
        <v>13471</v>
      </c>
      <c r="M672" s="517" t="s">
        <v>2326</v>
      </c>
      <c r="N672" s="518" t="s">
        <v>2329</v>
      </c>
      <c r="O672" s="517">
        <v>1</v>
      </c>
      <c r="P672" s="517" t="s">
        <v>671</v>
      </c>
      <c r="Q672" s="517" t="s">
        <v>647</v>
      </c>
      <c r="R672" s="517" t="s">
        <v>632</v>
      </c>
      <c r="S672" s="517" t="s">
        <v>632</v>
      </c>
      <c r="T672" s="518" t="s">
        <v>2325</v>
      </c>
      <c r="U672" s="38">
        <v>0</v>
      </c>
      <c r="V672" s="15" t="str">
        <f t="shared" si="66"/>
        <v>103020101</v>
      </c>
      <c r="W672" s="39">
        <v>1</v>
      </c>
      <c r="X672" s="40" t="s">
        <v>671</v>
      </c>
      <c r="Y672" s="40" t="s">
        <v>647</v>
      </c>
      <c r="Z672" s="40" t="s">
        <v>632</v>
      </c>
      <c r="AA672" s="40" t="s">
        <v>632</v>
      </c>
      <c r="AB672" s="41" t="s">
        <v>2325</v>
      </c>
      <c r="AC672" s="519" t="e">
        <f>SUM(#REF!)</f>
        <v>#REF!</v>
      </c>
      <c r="AD672" s="517">
        <v>0</v>
      </c>
      <c r="AE672" s="517" t="s">
        <v>13471</v>
      </c>
      <c r="AF672" s="517" t="s">
        <v>2326</v>
      </c>
      <c r="AG672" s="520" t="s">
        <v>2329</v>
      </c>
      <c r="AH672" s="67" t="e">
        <f>AC672</f>
        <v>#REF!</v>
      </c>
      <c r="AI672" s="10"/>
      <c r="AJ672" s="9" t="e">
        <f t="shared" si="69"/>
        <v>#REF!</v>
      </c>
      <c r="AK672" s="10"/>
      <c r="AL672" s="10"/>
    </row>
    <row r="673" spans="1:38" ht="22.5" hidden="1">
      <c r="A673" s="1">
        <f t="shared" si="67"/>
        <v>0</v>
      </c>
      <c r="B673" s="2" t="s">
        <v>2330</v>
      </c>
      <c r="C673" s="3" t="s">
        <v>2331</v>
      </c>
      <c r="D673" s="15" t="s">
        <v>11571</v>
      </c>
      <c r="E673" s="4" t="s">
        <v>2330</v>
      </c>
      <c r="F673" s="37" t="s">
        <v>2331</v>
      </c>
      <c r="G673" s="38">
        <v>0</v>
      </c>
      <c r="H673" s="38">
        <v>0</v>
      </c>
      <c r="I673" s="15"/>
      <c r="J673" s="494">
        <v>10302010102</v>
      </c>
      <c r="K673" s="517"/>
      <c r="L673" s="517" t="s">
        <v>13471</v>
      </c>
      <c r="M673" s="517" t="s">
        <v>2326</v>
      </c>
      <c r="N673" s="518" t="s">
        <v>2329</v>
      </c>
      <c r="O673" s="517">
        <v>1</v>
      </c>
      <c r="P673" s="517" t="s">
        <v>671</v>
      </c>
      <c r="Q673" s="517" t="s">
        <v>647</v>
      </c>
      <c r="R673" s="517" t="s">
        <v>632</v>
      </c>
      <c r="S673" s="517" t="s">
        <v>632</v>
      </c>
      <c r="T673" s="518" t="s">
        <v>2325</v>
      </c>
      <c r="U673" s="38">
        <v>0</v>
      </c>
      <c r="V673" s="15" t="str">
        <f t="shared" si="66"/>
        <v/>
      </c>
      <c r="W673" s="1"/>
      <c r="X673" s="1"/>
      <c r="Y673" s="1"/>
      <c r="Z673" s="1"/>
      <c r="AA673" s="1"/>
      <c r="AB673" s="3"/>
      <c r="AC673" s="9"/>
      <c r="AD673" s="517" t="e">
        <v>#N/A</v>
      </c>
      <c r="AE673" s="517" t="e">
        <v>#N/A</v>
      </c>
      <c r="AF673" s="517" t="e">
        <v>#N/A</v>
      </c>
      <c r="AG673" s="520" t="e">
        <v>#N/A</v>
      </c>
      <c r="AH673" s="9"/>
      <c r="AI673" s="10"/>
      <c r="AJ673" s="9">
        <f t="shared" si="69"/>
        <v>0</v>
      </c>
      <c r="AK673" s="10"/>
      <c r="AL673" s="10"/>
    </row>
    <row r="674" spans="1:38" ht="22.5" hidden="1">
      <c r="A674" s="1">
        <f t="shared" si="67"/>
        <v>0</v>
      </c>
      <c r="B674" s="2" t="s">
        <v>2332</v>
      </c>
      <c r="C674" s="3" t="s">
        <v>2333</v>
      </c>
      <c r="D674" s="15" t="s">
        <v>11571</v>
      </c>
      <c r="E674" s="4" t="s">
        <v>2332</v>
      </c>
      <c r="F674" s="37" t="s">
        <v>2333</v>
      </c>
      <c r="G674" s="38">
        <v>0</v>
      </c>
      <c r="H674" s="38">
        <v>0</v>
      </c>
      <c r="I674" s="15"/>
      <c r="J674" s="494">
        <v>10302010103</v>
      </c>
      <c r="K674" s="517"/>
      <c r="L674" s="517" t="s">
        <v>13471</v>
      </c>
      <c r="M674" s="517" t="s">
        <v>2326</v>
      </c>
      <c r="N674" s="518" t="s">
        <v>2329</v>
      </c>
      <c r="O674" s="517">
        <v>1</v>
      </c>
      <c r="P674" s="517" t="s">
        <v>671</v>
      </c>
      <c r="Q674" s="517" t="s">
        <v>647</v>
      </c>
      <c r="R674" s="517" t="s">
        <v>632</v>
      </c>
      <c r="S674" s="517" t="s">
        <v>632</v>
      </c>
      <c r="T674" s="518" t="s">
        <v>2325</v>
      </c>
      <c r="U674" s="38">
        <v>0</v>
      </c>
      <c r="V674" s="15" t="str">
        <f t="shared" si="66"/>
        <v/>
      </c>
      <c r="W674" s="1"/>
      <c r="X674" s="1"/>
      <c r="Y674" s="1"/>
      <c r="Z674" s="1"/>
      <c r="AA674" s="1"/>
      <c r="AB674" s="3"/>
      <c r="AC674" s="9"/>
      <c r="AD674" s="517" t="e">
        <v>#N/A</v>
      </c>
      <c r="AE674" s="517" t="e">
        <v>#N/A</v>
      </c>
      <c r="AF674" s="517" t="e">
        <v>#N/A</v>
      </c>
      <c r="AG674" s="520" t="e">
        <v>#N/A</v>
      </c>
      <c r="AH674" s="9"/>
      <c r="AI674" s="10"/>
      <c r="AJ674" s="9">
        <f t="shared" si="69"/>
        <v>0</v>
      </c>
      <c r="AK674" s="10"/>
      <c r="AL674" s="10"/>
    </row>
    <row r="675" spans="1:38" hidden="1">
      <c r="A675" s="1">
        <f t="shared" si="67"/>
        <v>0</v>
      </c>
      <c r="B675" s="2" t="s">
        <v>2334</v>
      </c>
      <c r="C675" s="3" t="s">
        <v>2335</v>
      </c>
      <c r="D675" s="15" t="s">
        <v>11571</v>
      </c>
      <c r="E675" s="4" t="s">
        <v>2334</v>
      </c>
      <c r="F675" s="37" t="s">
        <v>2335</v>
      </c>
      <c r="G675" s="38">
        <v>0</v>
      </c>
      <c r="H675" s="38">
        <v>0</v>
      </c>
      <c r="I675" s="15"/>
      <c r="J675" s="494">
        <v>10302010104</v>
      </c>
      <c r="K675" s="517"/>
      <c r="L675" s="517" t="s">
        <v>13471</v>
      </c>
      <c r="M675" s="517" t="s">
        <v>2326</v>
      </c>
      <c r="N675" s="518" t="s">
        <v>2329</v>
      </c>
      <c r="O675" s="517">
        <v>1</v>
      </c>
      <c r="P675" s="517" t="s">
        <v>671</v>
      </c>
      <c r="Q675" s="517" t="s">
        <v>647</v>
      </c>
      <c r="R675" s="517" t="s">
        <v>632</v>
      </c>
      <c r="S675" s="517" t="s">
        <v>632</v>
      </c>
      <c r="T675" s="518" t="s">
        <v>2325</v>
      </c>
      <c r="U675" s="38">
        <v>0</v>
      </c>
      <c r="V675" s="15" t="str">
        <f t="shared" si="66"/>
        <v/>
      </c>
      <c r="W675" s="1"/>
      <c r="X675" s="1"/>
      <c r="Y675" s="1"/>
      <c r="Z675" s="1"/>
      <c r="AA675" s="1"/>
      <c r="AB675" s="3"/>
      <c r="AC675" s="9"/>
      <c r="AD675" s="517" t="e">
        <v>#N/A</v>
      </c>
      <c r="AE675" s="517" t="e">
        <v>#N/A</v>
      </c>
      <c r="AF675" s="517" t="e">
        <v>#N/A</v>
      </c>
      <c r="AG675" s="520" t="e">
        <v>#N/A</v>
      </c>
      <c r="AH675" s="9"/>
      <c r="AI675" s="10"/>
      <c r="AJ675" s="9">
        <f t="shared" si="69"/>
        <v>0</v>
      </c>
      <c r="AK675" s="10"/>
      <c r="AL675" s="10"/>
    </row>
    <row r="676" spans="1:38" hidden="1">
      <c r="A676" s="1">
        <f t="shared" si="67"/>
        <v>0</v>
      </c>
      <c r="B676" s="2" t="s">
        <v>2336</v>
      </c>
      <c r="C676" s="3" t="s">
        <v>2337</v>
      </c>
      <c r="D676" s="15" t="s">
        <v>11571</v>
      </c>
      <c r="E676" s="45" t="s">
        <v>2336</v>
      </c>
      <c r="F676" s="46" t="s">
        <v>2337</v>
      </c>
      <c r="G676" s="38">
        <v>0</v>
      </c>
      <c r="H676" s="38">
        <v>0</v>
      </c>
      <c r="I676" s="15"/>
      <c r="J676" s="494">
        <v>10302010105</v>
      </c>
      <c r="K676" s="517"/>
      <c r="L676" s="517" t="s">
        <v>13471</v>
      </c>
      <c r="M676" s="517" t="s">
        <v>2326</v>
      </c>
      <c r="N676" s="518" t="s">
        <v>2329</v>
      </c>
      <c r="O676" s="517">
        <v>1</v>
      </c>
      <c r="P676" s="517" t="s">
        <v>671</v>
      </c>
      <c r="Q676" s="517" t="s">
        <v>647</v>
      </c>
      <c r="R676" s="517" t="s">
        <v>632</v>
      </c>
      <c r="S676" s="517" t="s">
        <v>632</v>
      </c>
      <c r="T676" s="518" t="s">
        <v>2325</v>
      </c>
      <c r="U676" s="38">
        <v>0</v>
      </c>
      <c r="V676" s="15" t="str">
        <f t="shared" si="66"/>
        <v/>
      </c>
      <c r="W676" s="1"/>
      <c r="X676" s="1"/>
      <c r="Y676" s="1"/>
      <c r="Z676" s="1"/>
      <c r="AA676" s="1"/>
      <c r="AB676" s="3"/>
      <c r="AC676" s="9"/>
      <c r="AD676" s="517" t="e">
        <v>#N/A</v>
      </c>
      <c r="AE676" s="517" t="e">
        <v>#N/A</v>
      </c>
      <c r="AF676" s="517" t="e">
        <v>#N/A</v>
      </c>
      <c r="AG676" s="520" t="e">
        <v>#N/A</v>
      </c>
      <c r="AH676" s="9"/>
      <c r="AI676" s="10"/>
      <c r="AJ676" s="9">
        <f t="shared" si="69"/>
        <v>0</v>
      </c>
      <c r="AK676" s="10"/>
      <c r="AL676" s="10"/>
    </row>
    <row r="677" spans="1:38" ht="33.75" hidden="1">
      <c r="A677" s="1">
        <f t="shared" si="67"/>
        <v>0</v>
      </c>
      <c r="C677" s="3" t="s">
        <v>2338</v>
      </c>
      <c r="D677" s="15" t="s">
        <v>16</v>
      </c>
      <c r="E677" s="30"/>
      <c r="F677" s="31" t="s">
        <v>2339</v>
      </c>
      <c r="G677" s="32">
        <f>SUM(G678:G681)</f>
        <v>0</v>
      </c>
      <c r="H677" s="32">
        <f>SUM(H678:H681)</f>
        <v>0</v>
      </c>
      <c r="I677" s="15"/>
      <c r="J677" s="494"/>
      <c r="K677" s="513"/>
      <c r="L677" s="513"/>
      <c r="M677" s="513"/>
      <c r="N677" s="514"/>
      <c r="O677" s="513"/>
      <c r="P677" s="513"/>
      <c r="Q677" s="513"/>
      <c r="R677" s="513"/>
      <c r="S677" s="513"/>
      <c r="T677" s="514"/>
      <c r="U677" s="32">
        <f>SUM(U678:U681)</f>
        <v>0</v>
      </c>
      <c r="V677" s="15" t="str">
        <f t="shared" si="66"/>
        <v>103020200</v>
      </c>
      <c r="W677" s="33">
        <v>1</v>
      </c>
      <c r="X677" s="34" t="s">
        <v>671</v>
      </c>
      <c r="Y677" s="34" t="s">
        <v>647</v>
      </c>
      <c r="Z677" s="34" t="s">
        <v>647</v>
      </c>
      <c r="AA677" s="35" t="s">
        <v>630</v>
      </c>
      <c r="AB677" s="31" t="s">
        <v>2339</v>
      </c>
      <c r="AC677" s="529">
        <f>SUM(AC678:AC681)</f>
        <v>0</v>
      </c>
      <c r="AD677" s="513" t="s">
        <v>1519</v>
      </c>
      <c r="AE677" s="513" t="s">
        <v>13473</v>
      </c>
      <c r="AF677" s="513" t="s">
        <v>2340</v>
      </c>
      <c r="AG677" s="514" t="s">
        <v>2341</v>
      </c>
      <c r="AH677" s="516">
        <f>AC677</f>
        <v>0</v>
      </c>
      <c r="AI677" s="10"/>
      <c r="AJ677" s="9">
        <f t="shared" si="69"/>
        <v>0</v>
      </c>
      <c r="AK677" s="10"/>
      <c r="AL677" s="10"/>
    </row>
    <row r="678" spans="1:38" ht="33.75" hidden="1">
      <c r="A678" s="1">
        <f t="shared" si="67"/>
        <v>0</v>
      </c>
      <c r="B678" s="2" t="s">
        <v>2342</v>
      </c>
      <c r="C678" s="3" t="s">
        <v>2343</v>
      </c>
      <c r="D678" s="15" t="s">
        <v>11572</v>
      </c>
      <c r="E678" s="4" t="s">
        <v>2342</v>
      </c>
      <c r="F678" s="37" t="s">
        <v>2343</v>
      </c>
      <c r="G678" s="38">
        <v>0</v>
      </c>
      <c r="H678" s="38">
        <v>0</v>
      </c>
      <c r="I678" s="15"/>
      <c r="J678" s="494">
        <v>10302020101</v>
      </c>
      <c r="K678" s="517" t="s">
        <v>1519</v>
      </c>
      <c r="L678" s="517" t="s">
        <v>13473</v>
      </c>
      <c r="M678" s="517" t="s">
        <v>2340</v>
      </c>
      <c r="N678" s="518" t="s">
        <v>2341</v>
      </c>
      <c r="O678" s="517">
        <v>1</v>
      </c>
      <c r="P678" s="517" t="s">
        <v>671</v>
      </c>
      <c r="Q678" s="517" t="s">
        <v>647</v>
      </c>
      <c r="R678" s="517" t="s">
        <v>647</v>
      </c>
      <c r="S678" s="517" t="s">
        <v>632</v>
      </c>
      <c r="T678" s="518" t="s">
        <v>2339</v>
      </c>
      <c r="U678" s="38">
        <v>0</v>
      </c>
      <c r="V678" s="15" t="str">
        <f t="shared" si="66"/>
        <v>103020201</v>
      </c>
      <c r="W678" s="39">
        <v>1</v>
      </c>
      <c r="X678" s="40" t="s">
        <v>671</v>
      </c>
      <c r="Y678" s="40" t="s">
        <v>647</v>
      </c>
      <c r="Z678" s="40" t="s">
        <v>647</v>
      </c>
      <c r="AA678" s="40" t="s">
        <v>632</v>
      </c>
      <c r="AB678" s="41" t="s">
        <v>2339</v>
      </c>
      <c r="AC678" s="519">
        <f>SUM(H678:H681)</f>
        <v>0</v>
      </c>
      <c r="AD678" s="517" t="s">
        <v>1519</v>
      </c>
      <c r="AE678" s="517" t="s">
        <v>13473</v>
      </c>
      <c r="AF678" s="517" t="s">
        <v>2340</v>
      </c>
      <c r="AG678" s="520" t="s">
        <v>2341</v>
      </c>
      <c r="AH678" s="67">
        <f>AC678</f>
        <v>0</v>
      </c>
      <c r="AI678" s="10"/>
      <c r="AJ678" s="9">
        <f t="shared" si="69"/>
        <v>0</v>
      </c>
      <c r="AK678" s="10"/>
      <c r="AL678" s="10"/>
    </row>
    <row r="679" spans="1:38" ht="33.75" hidden="1">
      <c r="A679" s="1">
        <f t="shared" si="67"/>
        <v>0</v>
      </c>
      <c r="B679" s="2" t="s">
        <v>2344</v>
      </c>
      <c r="C679" s="3" t="s">
        <v>2345</v>
      </c>
      <c r="D679" s="15" t="s">
        <v>11572</v>
      </c>
      <c r="E679" s="4" t="s">
        <v>2344</v>
      </c>
      <c r="F679" s="37" t="s">
        <v>2345</v>
      </c>
      <c r="G679" s="38">
        <v>0</v>
      </c>
      <c r="H679" s="38">
        <v>0</v>
      </c>
      <c r="I679" s="15"/>
      <c r="J679" s="494">
        <v>10302020102</v>
      </c>
      <c r="K679" s="523" t="s">
        <v>1519</v>
      </c>
      <c r="L679" s="523" t="s">
        <v>13473</v>
      </c>
      <c r="M679" s="523" t="s">
        <v>2340</v>
      </c>
      <c r="N679" s="518" t="s">
        <v>2341</v>
      </c>
      <c r="O679" s="523">
        <v>1</v>
      </c>
      <c r="P679" s="523" t="s">
        <v>671</v>
      </c>
      <c r="Q679" s="523" t="s">
        <v>647</v>
      </c>
      <c r="R679" s="523" t="s">
        <v>647</v>
      </c>
      <c r="S679" s="523" t="s">
        <v>632</v>
      </c>
      <c r="T679" s="518" t="s">
        <v>2339</v>
      </c>
      <c r="U679" s="38">
        <v>0</v>
      </c>
      <c r="V679" s="15" t="str">
        <f t="shared" si="66"/>
        <v/>
      </c>
      <c r="W679" s="10"/>
      <c r="X679" s="10"/>
      <c r="Y679" s="10"/>
      <c r="Z679" s="10"/>
      <c r="AA679" s="10"/>
      <c r="AB679" s="10"/>
      <c r="AC679" s="9"/>
      <c r="AD679" s="523" t="e">
        <v>#N/A</v>
      </c>
      <c r="AE679" s="523" t="e">
        <v>#N/A</v>
      </c>
      <c r="AF679" s="523" t="e">
        <v>#N/A</v>
      </c>
      <c r="AG679" s="524" t="e">
        <v>#N/A</v>
      </c>
      <c r="AH679" s="9"/>
      <c r="AI679" s="10"/>
      <c r="AJ679" s="9">
        <f t="shared" si="69"/>
        <v>0</v>
      </c>
      <c r="AK679" s="10"/>
      <c r="AL679" s="10"/>
    </row>
    <row r="680" spans="1:38" ht="33.75" hidden="1">
      <c r="A680" s="1">
        <f t="shared" si="67"/>
        <v>0</v>
      </c>
      <c r="B680" s="2" t="s">
        <v>2346</v>
      </c>
      <c r="C680" s="3" t="s">
        <v>2347</v>
      </c>
      <c r="D680" s="15" t="s">
        <v>11572</v>
      </c>
      <c r="E680" s="4" t="s">
        <v>2346</v>
      </c>
      <c r="F680" s="37" t="s">
        <v>2347</v>
      </c>
      <c r="G680" s="38">
        <v>0</v>
      </c>
      <c r="H680" s="38">
        <v>0</v>
      </c>
      <c r="I680" s="15"/>
      <c r="J680" s="494">
        <v>10302020103</v>
      </c>
      <c r="K680" s="523" t="s">
        <v>1519</v>
      </c>
      <c r="L680" s="523" t="s">
        <v>13473</v>
      </c>
      <c r="M680" s="523" t="s">
        <v>2340</v>
      </c>
      <c r="N680" s="518" t="s">
        <v>2341</v>
      </c>
      <c r="O680" s="523">
        <v>1</v>
      </c>
      <c r="P680" s="523" t="s">
        <v>671</v>
      </c>
      <c r="Q680" s="523" t="s">
        <v>647</v>
      </c>
      <c r="R680" s="523" t="s">
        <v>647</v>
      </c>
      <c r="S680" s="523" t="s">
        <v>632</v>
      </c>
      <c r="T680" s="518" t="s">
        <v>2339</v>
      </c>
      <c r="U680" s="38">
        <v>0</v>
      </c>
      <c r="V680" s="15" t="str">
        <f t="shared" si="66"/>
        <v/>
      </c>
      <c r="W680" s="10"/>
      <c r="X680" s="10"/>
      <c r="Y680" s="10"/>
      <c r="Z680" s="10"/>
      <c r="AA680" s="10"/>
      <c r="AB680" s="10"/>
      <c r="AC680" s="9"/>
      <c r="AD680" s="523" t="e">
        <v>#N/A</v>
      </c>
      <c r="AE680" s="523" t="e">
        <v>#N/A</v>
      </c>
      <c r="AF680" s="523" t="e">
        <v>#N/A</v>
      </c>
      <c r="AG680" s="524" t="e">
        <v>#N/A</v>
      </c>
      <c r="AH680" s="9"/>
      <c r="AI680" s="10"/>
      <c r="AJ680" s="9">
        <f t="shared" si="69"/>
        <v>0</v>
      </c>
      <c r="AK680" s="10"/>
      <c r="AL680" s="10"/>
    </row>
    <row r="681" spans="1:38" ht="33.75" hidden="1">
      <c r="A681" s="1">
        <f t="shared" si="67"/>
        <v>0</v>
      </c>
      <c r="B681" s="2" t="s">
        <v>2348</v>
      </c>
      <c r="C681" s="3" t="s">
        <v>2349</v>
      </c>
      <c r="D681" s="15" t="s">
        <v>11572</v>
      </c>
      <c r="E681" s="4" t="s">
        <v>2348</v>
      </c>
      <c r="F681" s="37" t="s">
        <v>2349</v>
      </c>
      <c r="G681" s="38">
        <v>0</v>
      </c>
      <c r="H681" s="38">
        <v>0</v>
      </c>
      <c r="I681" s="15"/>
      <c r="J681" s="494">
        <v>10302020104</v>
      </c>
      <c r="K681" s="523" t="s">
        <v>1519</v>
      </c>
      <c r="L681" s="523" t="s">
        <v>13473</v>
      </c>
      <c r="M681" s="523" t="s">
        <v>2340</v>
      </c>
      <c r="N681" s="518" t="s">
        <v>2341</v>
      </c>
      <c r="O681" s="523">
        <v>1</v>
      </c>
      <c r="P681" s="523" t="s">
        <v>671</v>
      </c>
      <c r="Q681" s="523" t="s">
        <v>647</v>
      </c>
      <c r="R681" s="523" t="s">
        <v>647</v>
      </c>
      <c r="S681" s="523" t="s">
        <v>632</v>
      </c>
      <c r="T681" s="518" t="s">
        <v>2339</v>
      </c>
      <c r="U681" s="38">
        <v>0</v>
      </c>
      <c r="V681" s="15" t="str">
        <f t="shared" si="66"/>
        <v/>
      </c>
      <c r="W681" s="10"/>
      <c r="X681" s="10"/>
      <c r="Y681" s="10"/>
      <c r="Z681" s="10"/>
      <c r="AA681" s="10"/>
      <c r="AB681" s="10"/>
      <c r="AC681" s="9"/>
      <c r="AD681" s="523" t="e">
        <v>#N/A</v>
      </c>
      <c r="AE681" s="523" t="e">
        <v>#N/A</v>
      </c>
      <c r="AF681" s="523" t="e">
        <v>#N/A</v>
      </c>
      <c r="AG681" s="524" t="e">
        <v>#N/A</v>
      </c>
      <c r="AH681" s="9"/>
      <c r="AI681" s="10"/>
      <c r="AJ681" s="9">
        <f t="shared" si="69"/>
        <v>0</v>
      </c>
      <c r="AK681" s="10"/>
      <c r="AL681" s="10"/>
    </row>
    <row r="682" spans="1:38" hidden="1">
      <c r="A682" s="1">
        <f t="shared" si="67"/>
        <v>0</v>
      </c>
      <c r="C682" s="3" t="s">
        <v>2350</v>
      </c>
      <c r="D682" s="15" t="s">
        <v>16</v>
      </c>
      <c r="E682" s="18"/>
      <c r="F682" s="19" t="s">
        <v>21</v>
      </c>
      <c r="G682" s="20">
        <f>G683+G686+G689+G692+G695</f>
        <v>290984078.96999997</v>
      </c>
      <c r="H682" s="20">
        <f>H683+H686+H689+H692+H695</f>
        <v>290984078.96999997</v>
      </c>
      <c r="I682" s="15"/>
      <c r="J682" s="494"/>
      <c r="K682" s="502"/>
      <c r="L682" s="502"/>
      <c r="M682" s="502"/>
      <c r="N682" s="503"/>
      <c r="O682" s="502"/>
      <c r="P682" s="502"/>
      <c r="Q682" s="502"/>
      <c r="R682" s="502"/>
      <c r="S682" s="502"/>
      <c r="T682" s="503"/>
      <c r="U682" s="20">
        <f>U683+U686+U689+U692+U695</f>
        <v>290984078.96999997</v>
      </c>
      <c r="V682" s="15" t="str">
        <f t="shared" si="66"/>
        <v>301000000</v>
      </c>
      <c r="W682" s="21">
        <v>3</v>
      </c>
      <c r="X682" s="22" t="s">
        <v>632</v>
      </c>
      <c r="Y682" s="22" t="s">
        <v>630</v>
      </c>
      <c r="Z682" s="22" t="s">
        <v>630</v>
      </c>
      <c r="AA682" s="22" t="s">
        <v>630</v>
      </c>
      <c r="AB682" s="19" t="s">
        <v>21</v>
      </c>
      <c r="AC682" s="540">
        <f>AC683+AC686+AC689+AC692+AC695</f>
        <v>287897837.58999997</v>
      </c>
      <c r="AD682" s="502">
        <v>0</v>
      </c>
      <c r="AE682" s="502" t="s">
        <v>2351</v>
      </c>
      <c r="AF682" s="502" t="s">
        <v>2352</v>
      </c>
      <c r="AG682" s="505" t="s">
        <v>13474</v>
      </c>
      <c r="AH682" s="506">
        <f t="shared" ref="AH682:AH697" si="70">AC682</f>
        <v>287897837.58999997</v>
      </c>
      <c r="AI682" s="10"/>
      <c r="AJ682" s="9">
        <f t="shared" si="69"/>
        <v>-3086241.3799999952</v>
      </c>
      <c r="AK682" s="10"/>
      <c r="AL682" s="10"/>
    </row>
    <row r="683" spans="1:38" ht="22.5" hidden="1">
      <c r="A683" s="1">
        <f t="shared" si="67"/>
        <v>0</v>
      </c>
      <c r="B683" s="11"/>
      <c r="C683" s="11"/>
      <c r="D683" s="15" t="s">
        <v>16</v>
      </c>
      <c r="E683" s="24"/>
      <c r="F683" s="25" t="s">
        <v>2353</v>
      </c>
      <c r="G683" s="26">
        <f t="shared" ref="G683:H684" si="71">G684</f>
        <v>0</v>
      </c>
      <c r="H683" s="26">
        <f t="shared" si="71"/>
        <v>0</v>
      </c>
      <c r="I683" s="15"/>
      <c r="J683" s="494"/>
      <c r="K683" s="509"/>
      <c r="L683" s="509"/>
      <c r="M683" s="509"/>
      <c r="N683" s="510"/>
      <c r="O683" s="509"/>
      <c r="P683" s="509"/>
      <c r="Q683" s="509"/>
      <c r="R683" s="509"/>
      <c r="S683" s="509"/>
      <c r="T683" s="510"/>
      <c r="U683" s="26">
        <f t="shared" ref="U683:U684" si="72">U684</f>
        <v>0</v>
      </c>
      <c r="V683" s="15" t="str">
        <f t="shared" si="66"/>
        <v>301010000</v>
      </c>
      <c r="W683" s="27">
        <v>3</v>
      </c>
      <c r="X683" s="28" t="s">
        <v>632</v>
      </c>
      <c r="Y683" s="28" t="s">
        <v>632</v>
      </c>
      <c r="Z683" s="28" t="s">
        <v>630</v>
      </c>
      <c r="AA683" s="28" t="s">
        <v>630</v>
      </c>
      <c r="AB683" s="25" t="s">
        <v>2353</v>
      </c>
      <c r="AC683" s="530">
        <f>AC684</f>
        <v>0</v>
      </c>
      <c r="AD683" s="509">
        <v>0</v>
      </c>
      <c r="AE683" s="509" t="s">
        <v>13475</v>
      </c>
      <c r="AF683" s="509" t="s">
        <v>2354</v>
      </c>
      <c r="AG683" s="510" t="s">
        <v>2355</v>
      </c>
      <c r="AH683" s="581">
        <f t="shared" si="70"/>
        <v>0</v>
      </c>
      <c r="AI683" s="10"/>
      <c r="AJ683" s="9">
        <f t="shared" si="69"/>
        <v>0</v>
      </c>
      <c r="AK683" s="10"/>
      <c r="AL683" s="10"/>
    </row>
    <row r="684" spans="1:38" ht="22.5" hidden="1">
      <c r="A684" s="1">
        <f t="shared" si="67"/>
        <v>0</v>
      </c>
      <c r="B684" s="11"/>
      <c r="C684" s="11"/>
      <c r="D684" s="15" t="s">
        <v>16</v>
      </c>
      <c r="E684" s="30"/>
      <c r="F684" s="31" t="s">
        <v>2356</v>
      </c>
      <c r="G684" s="32">
        <f t="shared" si="71"/>
        <v>0</v>
      </c>
      <c r="H684" s="32">
        <f t="shared" si="71"/>
        <v>0</v>
      </c>
      <c r="I684" s="15"/>
      <c r="J684" s="494"/>
      <c r="K684" s="513"/>
      <c r="L684" s="513"/>
      <c r="M684" s="513"/>
      <c r="N684" s="514"/>
      <c r="O684" s="513"/>
      <c r="P684" s="513"/>
      <c r="Q684" s="513"/>
      <c r="R684" s="513"/>
      <c r="S684" s="513"/>
      <c r="T684" s="514"/>
      <c r="U684" s="32">
        <f t="shared" si="72"/>
        <v>0</v>
      </c>
      <c r="V684" s="15" t="str">
        <f t="shared" si="66"/>
        <v>301010100</v>
      </c>
      <c r="W684" s="33">
        <v>3</v>
      </c>
      <c r="X684" s="34" t="s">
        <v>632</v>
      </c>
      <c r="Y684" s="34" t="s">
        <v>632</v>
      </c>
      <c r="Z684" s="34" t="s">
        <v>632</v>
      </c>
      <c r="AA684" s="35" t="s">
        <v>630</v>
      </c>
      <c r="AB684" s="31" t="s">
        <v>2356</v>
      </c>
      <c r="AC684" s="529">
        <f>AC685</f>
        <v>0</v>
      </c>
      <c r="AD684" s="513">
        <v>0</v>
      </c>
      <c r="AE684" s="513" t="s">
        <v>13475</v>
      </c>
      <c r="AF684" s="513" t="s">
        <v>2354</v>
      </c>
      <c r="AG684" s="514" t="s">
        <v>2355</v>
      </c>
      <c r="AH684" s="516">
        <f t="shared" si="70"/>
        <v>0</v>
      </c>
      <c r="AI684" s="10"/>
      <c r="AJ684" s="9">
        <f t="shared" si="69"/>
        <v>0</v>
      </c>
      <c r="AK684" s="10"/>
      <c r="AL684" s="10"/>
    </row>
    <row r="685" spans="1:38" ht="22.5" hidden="1">
      <c r="A685" s="1">
        <f t="shared" si="67"/>
        <v>0</v>
      </c>
      <c r="B685" s="2" t="s">
        <v>2357</v>
      </c>
      <c r="C685" s="3" t="s">
        <v>2353</v>
      </c>
      <c r="D685" s="15" t="s">
        <v>11573</v>
      </c>
      <c r="E685" s="4" t="s">
        <v>2357</v>
      </c>
      <c r="F685" s="37" t="s">
        <v>2353</v>
      </c>
      <c r="G685" s="38">
        <v>0</v>
      </c>
      <c r="H685" s="38">
        <v>0</v>
      </c>
      <c r="I685" s="15"/>
      <c r="J685" s="494">
        <v>30101010101</v>
      </c>
      <c r="K685" s="517"/>
      <c r="L685" s="517" t="s">
        <v>13475</v>
      </c>
      <c r="M685" s="517" t="s">
        <v>2354</v>
      </c>
      <c r="N685" s="518" t="s">
        <v>2355</v>
      </c>
      <c r="O685" s="517">
        <v>3</v>
      </c>
      <c r="P685" s="517" t="s">
        <v>632</v>
      </c>
      <c r="Q685" s="517" t="s">
        <v>632</v>
      </c>
      <c r="R685" s="517" t="s">
        <v>632</v>
      </c>
      <c r="S685" s="517" t="s">
        <v>632</v>
      </c>
      <c r="T685" s="518" t="s">
        <v>2356</v>
      </c>
      <c r="U685" s="38">
        <v>0</v>
      </c>
      <c r="V685" s="15" t="str">
        <f t="shared" si="66"/>
        <v>301010101</v>
      </c>
      <c r="W685" s="39">
        <v>3</v>
      </c>
      <c r="X685" s="40" t="s">
        <v>632</v>
      </c>
      <c r="Y685" s="40" t="s">
        <v>632</v>
      </c>
      <c r="Z685" s="40" t="s">
        <v>632</v>
      </c>
      <c r="AA685" s="40" t="s">
        <v>632</v>
      </c>
      <c r="AB685" s="41" t="s">
        <v>2356</v>
      </c>
      <c r="AC685" s="519">
        <f>H685</f>
        <v>0</v>
      </c>
      <c r="AD685" s="517">
        <v>0</v>
      </c>
      <c r="AE685" s="517" t="s">
        <v>13475</v>
      </c>
      <c r="AF685" s="517" t="s">
        <v>2354</v>
      </c>
      <c r="AG685" s="520" t="s">
        <v>2355</v>
      </c>
      <c r="AH685" s="9">
        <f t="shared" si="70"/>
        <v>0</v>
      </c>
      <c r="AI685" s="10"/>
      <c r="AJ685" s="9">
        <f t="shared" si="69"/>
        <v>0</v>
      </c>
      <c r="AK685" s="10"/>
      <c r="AL685" s="10"/>
    </row>
    <row r="686" spans="1:38" ht="22.5" hidden="1">
      <c r="A686" s="1">
        <f t="shared" si="67"/>
        <v>0</v>
      </c>
      <c r="B686" s="11"/>
      <c r="C686" s="11"/>
      <c r="D686" s="15" t="s">
        <v>16</v>
      </c>
      <c r="E686" s="24"/>
      <c r="F686" s="25" t="s">
        <v>1108</v>
      </c>
      <c r="G686" s="26">
        <f t="shared" ref="G686:H687" si="73">G687</f>
        <v>0</v>
      </c>
      <c r="H686" s="26">
        <f t="shared" si="73"/>
        <v>0</v>
      </c>
      <c r="I686" s="15"/>
      <c r="J686" s="494"/>
      <c r="K686" s="509"/>
      <c r="L686" s="509"/>
      <c r="M686" s="509"/>
      <c r="N686" s="510"/>
      <c r="O686" s="509"/>
      <c r="P686" s="509"/>
      <c r="Q686" s="509"/>
      <c r="R686" s="509"/>
      <c r="S686" s="509"/>
      <c r="T686" s="510"/>
      <c r="U686" s="26">
        <f t="shared" ref="U686:U687" si="74">U687</f>
        <v>0</v>
      </c>
      <c r="V686" s="15" t="str">
        <f t="shared" si="66"/>
        <v>301020000</v>
      </c>
      <c r="W686" s="27">
        <v>3</v>
      </c>
      <c r="X686" s="28" t="s">
        <v>632</v>
      </c>
      <c r="Y686" s="28" t="s">
        <v>647</v>
      </c>
      <c r="Z686" s="28" t="s">
        <v>630</v>
      </c>
      <c r="AA686" s="28" t="s">
        <v>630</v>
      </c>
      <c r="AB686" s="25" t="s">
        <v>1108</v>
      </c>
      <c r="AC686" s="584">
        <f>AC687</f>
        <v>0</v>
      </c>
      <c r="AD686" s="509">
        <v>0</v>
      </c>
      <c r="AE686" s="509" t="s">
        <v>13476</v>
      </c>
      <c r="AF686" s="509" t="s">
        <v>2358</v>
      </c>
      <c r="AG686" s="510" t="s">
        <v>2359</v>
      </c>
      <c r="AH686" s="581">
        <f t="shared" si="70"/>
        <v>0</v>
      </c>
      <c r="AI686" s="10"/>
      <c r="AJ686" s="9">
        <f t="shared" si="69"/>
        <v>0</v>
      </c>
      <c r="AK686" s="10"/>
      <c r="AL686" s="10"/>
    </row>
    <row r="687" spans="1:38" ht="22.5" hidden="1">
      <c r="A687" s="1">
        <f t="shared" si="67"/>
        <v>0</v>
      </c>
      <c r="B687" s="11"/>
      <c r="C687" s="11"/>
      <c r="D687" s="15" t="s">
        <v>16</v>
      </c>
      <c r="E687" s="30"/>
      <c r="F687" s="31" t="s">
        <v>27</v>
      </c>
      <c r="G687" s="32">
        <f t="shared" si="73"/>
        <v>0</v>
      </c>
      <c r="H687" s="32">
        <f t="shared" si="73"/>
        <v>0</v>
      </c>
      <c r="I687" s="15"/>
      <c r="J687" s="494"/>
      <c r="K687" s="513"/>
      <c r="L687" s="513"/>
      <c r="M687" s="513"/>
      <c r="N687" s="514"/>
      <c r="O687" s="513"/>
      <c r="P687" s="513"/>
      <c r="Q687" s="513"/>
      <c r="R687" s="513"/>
      <c r="S687" s="513"/>
      <c r="T687" s="514"/>
      <c r="U687" s="32">
        <f t="shared" si="74"/>
        <v>0</v>
      </c>
      <c r="V687" s="15" t="str">
        <f t="shared" si="66"/>
        <v>301020100</v>
      </c>
      <c r="W687" s="33">
        <v>3</v>
      </c>
      <c r="X687" s="34" t="s">
        <v>632</v>
      </c>
      <c r="Y687" s="34" t="s">
        <v>647</v>
      </c>
      <c r="Z687" s="34" t="s">
        <v>632</v>
      </c>
      <c r="AA687" s="35" t="s">
        <v>630</v>
      </c>
      <c r="AB687" s="31" t="s">
        <v>27</v>
      </c>
      <c r="AC687" s="529">
        <f>AC688</f>
        <v>0</v>
      </c>
      <c r="AD687" s="513">
        <v>0</v>
      </c>
      <c r="AE687" s="513" t="s">
        <v>13476</v>
      </c>
      <c r="AF687" s="513" t="s">
        <v>2358</v>
      </c>
      <c r="AG687" s="514" t="s">
        <v>2359</v>
      </c>
      <c r="AH687" s="516">
        <f t="shared" si="70"/>
        <v>0</v>
      </c>
      <c r="AI687" s="10"/>
      <c r="AJ687" s="9">
        <f t="shared" si="69"/>
        <v>0</v>
      </c>
      <c r="AK687" s="10"/>
      <c r="AL687" s="10"/>
    </row>
    <row r="688" spans="1:38" hidden="1">
      <c r="A688" s="1">
        <f t="shared" si="67"/>
        <v>0</v>
      </c>
      <c r="B688" s="2" t="s">
        <v>2360</v>
      </c>
      <c r="C688" s="3" t="s">
        <v>1108</v>
      </c>
      <c r="D688" s="15" t="s">
        <v>11574</v>
      </c>
      <c r="E688" s="2" t="s">
        <v>2360</v>
      </c>
      <c r="F688" s="37" t="s">
        <v>1108</v>
      </c>
      <c r="G688" s="38">
        <v>0</v>
      </c>
      <c r="H688" s="38">
        <v>0</v>
      </c>
      <c r="I688" s="15"/>
      <c r="J688" s="494">
        <v>30102010101</v>
      </c>
      <c r="K688" s="517"/>
      <c r="L688" s="517" t="s">
        <v>13476</v>
      </c>
      <c r="M688" s="517" t="s">
        <v>2358</v>
      </c>
      <c r="N688" s="518" t="s">
        <v>2359</v>
      </c>
      <c r="O688" s="517">
        <v>3</v>
      </c>
      <c r="P688" s="517" t="s">
        <v>632</v>
      </c>
      <c r="Q688" s="517" t="s">
        <v>647</v>
      </c>
      <c r="R688" s="517" t="s">
        <v>632</v>
      </c>
      <c r="S688" s="517" t="s">
        <v>632</v>
      </c>
      <c r="T688" s="518" t="s">
        <v>27</v>
      </c>
      <c r="U688" s="38">
        <v>0</v>
      </c>
      <c r="V688" s="15" t="str">
        <f t="shared" si="66"/>
        <v>301020101</v>
      </c>
      <c r="W688" s="39">
        <v>3</v>
      </c>
      <c r="X688" s="40" t="s">
        <v>632</v>
      </c>
      <c r="Y688" s="40" t="s">
        <v>647</v>
      </c>
      <c r="Z688" s="40" t="s">
        <v>632</v>
      </c>
      <c r="AA688" s="40" t="s">
        <v>632</v>
      </c>
      <c r="AB688" s="41" t="s">
        <v>27</v>
      </c>
      <c r="AC688" s="519">
        <f>H688</f>
        <v>0</v>
      </c>
      <c r="AD688" s="517">
        <v>0</v>
      </c>
      <c r="AE688" s="517" t="s">
        <v>13476</v>
      </c>
      <c r="AF688" s="517" t="s">
        <v>2358</v>
      </c>
      <c r="AG688" s="520" t="s">
        <v>2359</v>
      </c>
      <c r="AH688" s="9">
        <f t="shared" si="70"/>
        <v>0</v>
      </c>
      <c r="AI688" s="10"/>
      <c r="AJ688" s="9">
        <f t="shared" si="69"/>
        <v>0</v>
      </c>
      <c r="AK688" s="10"/>
      <c r="AL688" s="10"/>
    </row>
    <row r="689" spans="1:38" hidden="1">
      <c r="A689" s="1">
        <f t="shared" si="67"/>
        <v>0</v>
      </c>
      <c r="B689" s="11"/>
      <c r="C689" s="11"/>
      <c r="D689" s="15" t="s">
        <v>16</v>
      </c>
      <c r="E689" s="24"/>
      <c r="F689" s="25" t="s">
        <v>2361</v>
      </c>
      <c r="G689" s="26">
        <f t="shared" ref="G689:H690" si="75">G690</f>
        <v>287897837.58999997</v>
      </c>
      <c r="H689" s="26">
        <f t="shared" si="75"/>
        <v>287897837.58999997</v>
      </c>
      <c r="I689" s="15"/>
      <c r="J689" s="494"/>
      <c r="K689" s="509"/>
      <c r="L689" s="509"/>
      <c r="M689" s="509"/>
      <c r="N689" s="510"/>
      <c r="O689" s="509"/>
      <c r="P689" s="509"/>
      <c r="Q689" s="509"/>
      <c r="R689" s="509"/>
      <c r="S689" s="509"/>
      <c r="T689" s="510"/>
      <c r="U689" s="26">
        <f t="shared" ref="U689:U690" si="76">U690</f>
        <v>287897837.58999997</v>
      </c>
      <c r="V689" s="15" t="str">
        <f t="shared" si="66"/>
        <v>301030000</v>
      </c>
      <c r="W689" s="27">
        <v>3</v>
      </c>
      <c r="X689" s="28" t="s">
        <v>632</v>
      </c>
      <c r="Y689" s="28" t="s">
        <v>671</v>
      </c>
      <c r="Z689" s="28" t="s">
        <v>630</v>
      </c>
      <c r="AA689" s="28" t="s">
        <v>630</v>
      </c>
      <c r="AB689" s="25" t="s">
        <v>2361</v>
      </c>
      <c r="AC689" s="584">
        <f>AC690</f>
        <v>287897837.58999997</v>
      </c>
      <c r="AD689" s="509">
        <v>0</v>
      </c>
      <c r="AE689" s="509" t="s">
        <v>13477</v>
      </c>
      <c r="AF689" s="509" t="s">
        <v>2362</v>
      </c>
      <c r="AG689" s="510" t="s">
        <v>2363</v>
      </c>
      <c r="AH689" s="581">
        <f t="shared" si="70"/>
        <v>287897837.58999997</v>
      </c>
      <c r="AI689" s="10"/>
      <c r="AJ689" s="9">
        <f t="shared" si="69"/>
        <v>0</v>
      </c>
      <c r="AK689" s="10"/>
      <c r="AL689" s="10"/>
    </row>
    <row r="690" spans="1:38" hidden="1">
      <c r="A690" s="1">
        <f t="shared" si="67"/>
        <v>0</v>
      </c>
      <c r="B690" s="11"/>
      <c r="C690" s="11"/>
      <c r="D690" s="15" t="s">
        <v>16</v>
      </c>
      <c r="E690" s="30"/>
      <c r="F690" s="31" t="s">
        <v>2364</v>
      </c>
      <c r="G690" s="32">
        <f t="shared" si="75"/>
        <v>287897837.58999997</v>
      </c>
      <c r="H690" s="32">
        <f t="shared" si="75"/>
        <v>287897837.58999997</v>
      </c>
      <c r="I690" s="15"/>
      <c r="J690" s="494"/>
      <c r="K690" s="513"/>
      <c r="L690" s="513"/>
      <c r="M690" s="513"/>
      <c r="N690" s="514"/>
      <c r="O690" s="513"/>
      <c r="P690" s="513"/>
      <c r="Q690" s="513"/>
      <c r="R690" s="513"/>
      <c r="S690" s="513"/>
      <c r="T690" s="514"/>
      <c r="U690" s="32">
        <f t="shared" si="76"/>
        <v>287897837.58999997</v>
      </c>
      <c r="V690" s="15" t="str">
        <f t="shared" si="66"/>
        <v>301030100</v>
      </c>
      <c r="W690" s="33">
        <v>3</v>
      </c>
      <c r="X690" s="34" t="s">
        <v>632</v>
      </c>
      <c r="Y690" s="34" t="s">
        <v>671</v>
      </c>
      <c r="Z690" s="34" t="s">
        <v>632</v>
      </c>
      <c r="AA690" s="35" t="s">
        <v>630</v>
      </c>
      <c r="AB690" s="31" t="s">
        <v>2364</v>
      </c>
      <c r="AC690" s="529">
        <f>AC691</f>
        <v>287897837.58999997</v>
      </c>
      <c r="AD690" s="513">
        <v>0</v>
      </c>
      <c r="AE690" s="513" t="s">
        <v>13477</v>
      </c>
      <c r="AF690" s="513" t="s">
        <v>2362</v>
      </c>
      <c r="AG690" s="514" t="s">
        <v>2363</v>
      </c>
      <c r="AH690" s="516">
        <f t="shared" si="70"/>
        <v>287897837.58999997</v>
      </c>
      <c r="AI690" s="10"/>
      <c r="AJ690" s="9">
        <f t="shared" si="69"/>
        <v>0</v>
      </c>
      <c r="AK690" s="10"/>
      <c r="AL690" s="10"/>
    </row>
    <row r="691" spans="1:38" hidden="1">
      <c r="A691" s="1">
        <f t="shared" si="67"/>
        <v>0</v>
      </c>
      <c r="B691" s="2" t="s">
        <v>2365</v>
      </c>
      <c r="C691" s="3" t="s">
        <v>2361</v>
      </c>
      <c r="D691" s="15" t="s">
        <v>11575</v>
      </c>
      <c r="E691" s="4" t="s">
        <v>2365</v>
      </c>
      <c r="F691" s="37" t="s">
        <v>2361</v>
      </c>
      <c r="G691" s="38">
        <v>287897837.58999997</v>
      </c>
      <c r="H691" s="38">
        <v>287897837.58999997</v>
      </c>
      <c r="I691" s="15"/>
      <c r="J691" s="494">
        <v>30103010101</v>
      </c>
      <c r="K691" s="517"/>
      <c r="L691" s="517" t="s">
        <v>13477</v>
      </c>
      <c r="M691" s="517" t="s">
        <v>2362</v>
      </c>
      <c r="N691" s="518" t="s">
        <v>2363</v>
      </c>
      <c r="O691" s="517">
        <v>3</v>
      </c>
      <c r="P691" s="517" t="s">
        <v>632</v>
      </c>
      <c r="Q691" s="517" t="s">
        <v>671</v>
      </c>
      <c r="R691" s="517" t="s">
        <v>632</v>
      </c>
      <c r="S691" s="517" t="s">
        <v>632</v>
      </c>
      <c r="T691" s="518" t="s">
        <v>2364</v>
      </c>
      <c r="U691" s="38">
        <v>287897837.58999997</v>
      </c>
      <c r="V691" s="15" t="str">
        <f t="shared" si="66"/>
        <v>301030101</v>
      </c>
      <c r="W691" s="39">
        <v>3</v>
      </c>
      <c r="X691" s="40" t="s">
        <v>632</v>
      </c>
      <c r="Y691" s="40" t="s">
        <v>671</v>
      </c>
      <c r="Z691" s="40" t="s">
        <v>632</v>
      </c>
      <c r="AA691" s="40" t="s">
        <v>632</v>
      </c>
      <c r="AB691" s="41" t="s">
        <v>2364</v>
      </c>
      <c r="AC691" s="519">
        <f>H691</f>
        <v>287897837.58999997</v>
      </c>
      <c r="AD691" s="517">
        <v>0</v>
      </c>
      <c r="AE691" s="517" t="s">
        <v>13477</v>
      </c>
      <c r="AF691" s="517" t="s">
        <v>2362</v>
      </c>
      <c r="AG691" s="520" t="s">
        <v>2363</v>
      </c>
      <c r="AH691" s="9">
        <f t="shared" si="70"/>
        <v>287897837.58999997</v>
      </c>
      <c r="AI691" s="10"/>
      <c r="AJ691" s="9">
        <f t="shared" si="69"/>
        <v>0</v>
      </c>
      <c r="AK691" s="10"/>
      <c r="AL691" s="10"/>
    </row>
    <row r="692" spans="1:38" ht="33.75" hidden="1">
      <c r="A692" s="1">
        <f t="shared" si="67"/>
        <v>0</v>
      </c>
      <c r="B692" s="11"/>
      <c r="C692" s="11"/>
      <c r="D692" s="15" t="s">
        <v>16</v>
      </c>
      <c r="E692" s="24"/>
      <c r="F692" s="25" t="s">
        <v>2366</v>
      </c>
      <c r="G692" s="26">
        <f t="shared" ref="G692:H693" si="77">G693</f>
        <v>0</v>
      </c>
      <c r="H692" s="26">
        <f t="shared" si="77"/>
        <v>0</v>
      </c>
      <c r="I692" s="15"/>
      <c r="J692" s="494"/>
      <c r="K692" s="509"/>
      <c r="L692" s="509"/>
      <c r="M692" s="509"/>
      <c r="N692" s="510"/>
      <c r="O692" s="509"/>
      <c r="P692" s="509"/>
      <c r="Q692" s="509"/>
      <c r="R692" s="509"/>
      <c r="S692" s="509"/>
      <c r="T692" s="510"/>
      <c r="U692" s="26">
        <f t="shared" ref="U692:U693" si="78">U693</f>
        <v>0</v>
      </c>
      <c r="V692" s="15" t="str">
        <f t="shared" si="66"/>
        <v>301050000</v>
      </c>
      <c r="W692" s="27">
        <v>3</v>
      </c>
      <c r="X692" s="28" t="s">
        <v>632</v>
      </c>
      <c r="Y692" s="28" t="s">
        <v>714</v>
      </c>
      <c r="Z692" s="28" t="s">
        <v>630</v>
      </c>
      <c r="AA692" s="28" t="s">
        <v>630</v>
      </c>
      <c r="AB692" s="25" t="s">
        <v>2366</v>
      </c>
      <c r="AC692" s="584">
        <f>AC693</f>
        <v>0</v>
      </c>
      <c r="AD692" s="509">
        <v>0</v>
      </c>
      <c r="AE692" s="509" t="s">
        <v>13478</v>
      </c>
      <c r="AF692" s="509" t="s">
        <v>2367</v>
      </c>
      <c r="AG692" s="510" t="s">
        <v>2368</v>
      </c>
      <c r="AH692" s="581">
        <f t="shared" si="70"/>
        <v>0</v>
      </c>
      <c r="AI692" s="10"/>
      <c r="AJ692" s="9">
        <f t="shared" si="69"/>
        <v>0</v>
      </c>
      <c r="AK692" s="10"/>
      <c r="AL692" s="10"/>
    </row>
    <row r="693" spans="1:38" ht="33.75" hidden="1">
      <c r="A693" s="1">
        <f t="shared" si="67"/>
        <v>0</v>
      </c>
      <c r="B693" s="11"/>
      <c r="C693" s="11"/>
      <c r="D693" s="15" t="s">
        <v>16</v>
      </c>
      <c r="E693" s="30"/>
      <c r="F693" s="31" t="s">
        <v>2366</v>
      </c>
      <c r="G693" s="32">
        <f t="shared" si="77"/>
        <v>0</v>
      </c>
      <c r="H693" s="32">
        <f t="shared" si="77"/>
        <v>0</v>
      </c>
      <c r="I693" s="15"/>
      <c r="J693" s="494"/>
      <c r="K693" s="513"/>
      <c r="L693" s="513"/>
      <c r="M693" s="513"/>
      <c r="N693" s="514"/>
      <c r="O693" s="513"/>
      <c r="P693" s="513"/>
      <c r="Q693" s="513"/>
      <c r="R693" s="513"/>
      <c r="S693" s="513"/>
      <c r="T693" s="514"/>
      <c r="U693" s="32">
        <f t="shared" si="78"/>
        <v>0</v>
      </c>
      <c r="V693" s="15" t="str">
        <f t="shared" si="66"/>
        <v>301050100</v>
      </c>
      <c r="W693" s="33">
        <v>3</v>
      </c>
      <c r="X693" s="34" t="s">
        <v>632</v>
      </c>
      <c r="Y693" s="35" t="s">
        <v>714</v>
      </c>
      <c r="Z693" s="34" t="s">
        <v>632</v>
      </c>
      <c r="AA693" s="35" t="s">
        <v>630</v>
      </c>
      <c r="AB693" s="31" t="s">
        <v>2366</v>
      </c>
      <c r="AC693" s="529">
        <f>AC694</f>
        <v>0</v>
      </c>
      <c r="AD693" s="513">
        <v>0</v>
      </c>
      <c r="AE693" s="513" t="s">
        <v>13478</v>
      </c>
      <c r="AF693" s="513" t="s">
        <v>2367</v>
      </c>
      <c r="AG693" s="514" t="s">
        <v>2368</v>
      </c>
      <c r="AH693" s="516">
        <f t="shared" si="70"/>
        <v>0</v>
      </c>
      <c r="AI693" s="10"/>
      <c r="AJ693" s="9">
        <f t="shared" si="69"/>
        <v>0</v>
      </c>
      <c r="AK693" s="10"/>
      <c r="AL693" s="10"/>
    </row>
    <row r="694" spans="1:38" ht="33.75" hidden="1">
      <c r="A694" s="1">
        <f t="shared" si="67"/>
        <v>0</v>
      </c>
      <c r="B694" s="2" t="s">
        <v>2369</v>
      </c>
      <c r="C694" s="3" t="s">
        <v>2366</v>
      </c>
      <c r="D694" s="15" t="s">
        <v>11576</v>
      </c>
      <c r="E694" s="4" t="s">
        <v>2369</v>
      </c>
      <c r="F694" s="41" t="s">
        <v>2366</v>
      </c>
      <c r="G694" s="38">
        <v>0</v>
      </c>
      <c r="H694" s="38">
        <v>0</v>
      </c>
      <c r="I694" s="15"/>
      <c r="J694" s="494">
        <v>30105010101</v>
      </c>
      <c r="K694" s="517"/>
      <c r="L694" s="517" t="s">
        <v>13478</v>
      </c>
      <c r="M694" s="517" t="s">
        <v>2367</v>
      </c>
      <c r="N694" s="518" t="s">
        <v>2368</v>
      </c>
      <c r="O694" s="517">
        <v>3</v>
      </c>
      <c r="P694" s="517" t="s">
        <v>632</v>
      </c>
      <c r="Q694" s="517" t="s">
        <v>714</v>
      </c>
      <c r="R694" s="517" t="s">
        <v>632</v>
      </c>
      <c r="S694" s="517" t="s">
        <v>632</v>
      </c>
      <c r="T694" s="518" t="s">
        <v>2366</v>
      </c>
      <c r="U694" s="38">
        <v>0</v>
      </c>
      <c r="V694" s="15" t="str">
        <f t="shared" si="66"/>
        <v>301050101</v>
      </c>
      <c r="W694" s="39">
        <v>3</v>
      </c>
      <c r="X694" s="40" t="s">
        <v>632</v>
      </c>
      <c r="Y694" s="40" t="s">
        <v>714</v>
      </c>
      <c r="Z694" s="40" t="s">
        <v>632</v>
      </c>
      <c r="AA694" s="40" t="s">
        <v>632</v>
      </c>
      <c r="AB694" s="41" t="s">
        <v>2366</v>
      </c>
      <c r="AC694" s="519">
        <f>H694</f>
        <v>0</v>
      </c>
      <c r="AD694" s="517">
        <v>0</v>
      </c>
      <c r="AE694" s="517" t="s">
        <v>13478</v>
      </c>
      <c r="AF694" s="517" t="s">
        <v>2367</v>
      </c>
      <c r="AG694" s="520" t="s">
        <v>2368</v>
      </c>
      <c r="AH694" s="9">
        <f t="shared" si="70"/>
        <v>0</v>
      </c>
      <c r="AI694" s="10"/>
      <c r="AJ694" s="9">
        <f t="shared" si="69"/>
        <v>0</v>
      </c>
      <c r="AK694" s="10"/>
      <c r="AL694" s="10"/>
    </row>
    <row r="695" spans="1:38" ht="22.5" hidden="1">
      <c r="A695" s="1">
        <f t="shared" si="67"/>
        <v>0</v>
      </c>
      <c r="B695" s="11"/>
      <c r="C695" s="11"/>
      <c r="D695" s="15" t="s">
        <v>16</v>
      </c>
      <c r="E695" s="24"/>
      <c r="F695" s="25" t="s">
        <v>2370</v>
      </c>
      <c r="G695" s="26">
        <f>G696</f>
        <v>3086241.38</v>
      </c>
      <c r="H695" s="26">
        <f>H696</f>
        <v>3086241.38</v>
      </c>
      <c r="I695" s="15"/>
      <c r="J695" s="494"/>
      <c r="K695" s="509"/>
      <c r="L695" s="509"/>
      <c r="M695" s="509"/>
      <c r="N695" s="510"/>
      <c r="O695" s="509"/>
      <c r="P695" s="509"/>
      <c r="Q695" s="509"/>
      <c r="R695" s="509"/>
      <c r="S695" s="509"/>
      <c r="T695" s="510"/>
      <c r="U695" s="26">
        <f>U696</f>
        <v>3086241.38</v>
      </c>
      <c r="V695" s="15" t="str">
        <f t="shared" si="66"/>
        <v>301040000</v>
      </c>
      <c r="W695" s="27">
        <v>3</v>
      </c>
      <c r="X695" s="28" t="s">
        <v>632</v>
      </c>
      <c r="Y695" s="28" t="s">
        <v>693</v>
      </c>
      <c r="Z695" s="28" t="s">
        <v>630</v>
      </c>
      <c r="AA695" s="28" t="s">
        <v>630</v>
      </c>
      <c r="AB695" s="25" t="s">
        <v>2370</v>
      </c>
      <c r="AC695" s="584">
        <f>AC696</f>
        <v>0</v>
      </c>
      <c r="AD695" s="509">
        <v>0</v>
      </c>
      <c r="AE695" s="509" t="s">
        <v>13479</v>
      </c>
      <c r="AF695" s="509" t="s">
        <v>2371</v>
      </c>
      <c r="AG695" s="510" t="s">
        <v>2372</v>
      </c>
      <c r="AH695" s="581">
        <f t="shared" si="70"/>
        <v>0</v>
      </c>
      <c r="AI695" s="10"/>
      <c r="AJ695" s="9">
        <f t="shared" si="69"/>
        <v>-3086241.38</v>
      </c>
      <c r="AK695" s="10"/>
      <c r="AL695" s="10"/>
    </row>
    <row r="696" spans="1:38" ht="22.5" hidden="1">
      <c r="A696" s="1">
        <f t="shared" si="67"/>
        <v>0</v>
      </c>
      <c r="B696" s="11"/>
      <c r="C696" s="11"/>
      <c r="D696" s="15" t="s">
        <v>16</v>
      </c>
      <c r="E696" s="30"/>
      <c r="F696" s="31" t="s">
        <v>2373</v>
      </c>
      <c r="G696" s="32">
        <f>SUM(G697:G702)</f>
        <v>3086241.38</v>
      </c>
      <c r="H696" s="32">
        <f>SUM(H697:H702)</f>
        <v>3086241.38</v>
      </c>
      <c r="I696" s="15"/>
      <c r="J696" s="494"/>
      <c r="K696" s="513"/>
      <c r="L696" s="513"/>
      <c r="M696" s="513"/>
      <c r="N696" s="514"/>
      <c r="O696" s="513"/>
      <c r="P696" s="513"/>
      <c r="Q696" s="513"/>
      <c r="R696" s="513"/>
      <c r="S696" s="513"/>
      <c r="T696" s="514"/>
      <c r="U696" s="32">
        <f>SUM(U697:U702)</f>
        <v>3086241.38</v>
      </c>
      <c r="V696" s="15" t="str">
        <f t="shared" si="66"/>
        <v>301040100</v>
      </c>
      <c r="W696" s="33">
        <v>3</v>
      </c>
      <c r="X696" s="34" t="s">
        <v>632</v>
      </c>
      <c r="Y696" s="34" t="s">
        <v>693</v>
      </c>
      <c r="Z696" s="34" t="s">
        <v>632</v>
      </c>
      <c r="AA696" s="35" t="s">
        <v>630</v>
      </c>
      <c r="AB696" s="31" t="s">
        <v>2373</v>
      </c>
      <c r="AC696" s="529">
        <f>SUM(AC697:AC702)</f>
        <v>0</v>
      </c>
      <c r="AD696" s="513">
        <v>0</v>
      </c>
      <c r="AE696" s="513" t="s">
        <v>13479</v>
      </c>
      <c r="AF696" s="513" t="s">
        <v>2371</v>
      </c>
      <c r="AG696" s="514" t="s">
        <v>2372</v>
      </c>
      <c r="AH696" s="516">
        <f t="shared" si="70"/>
        <v>0</v>
      </c>
      <c r="AI696" s="10"/>
      <c r="AJ696" s="9">
        <f t="shared" si="69"/>
        <v>-3086241.38</v>
      </c>
      <c r="AK696" s="10"/>
      <c r="AL696" s="10"/>
    </row>
    <row r="697" spans="1:38" hidden="1">
      <c r="A697" s="1">
        <f t="shared" si="67"/>
        <v>0</v>
      </c>
      <c r="B697" s="2" t="s">
        <v>2374</v>
      </c>
      <c r="C697" s="3" t="s">
        <v>2375</v>
      </c>
      <c r="D697" s="15" t="s">
        <v>11577</v>
      </c>
      <c r="E697" s="4" t="s">
        <v>2374</v>
      </c>
      <c r="F697" s="37" t="s">
        <v>2375</v>
      </c>
      <c r="G697" s="38">
        <v>0</v>
      </c>
      <c r="H697" s="38">
        <v>0</v>
      </c>
      <c r="I697" s="15"/>
      <c r="J697" s="494">
        <v>30104010101</v>
      </c>
      <c r="K697" s="517"/>
      <c r="L697" s="517" t="s">
        <v>13479</v>
      </c>
      <c r="M697" s="517" t="s">
        <v>2371</v>
      </c>
      <c r="N697" s="518" t="s">
        <v>2372</v>
      </c>
      <c r="O697" s="517">
        <v>3</v>
      </c>
      <c r="P697" s="517" t="s">
        <v>632</v>
      </c>
      <c r="Q697" s="517" t="s">
        <v>693</v>
      </c>
      <c r="R697" s="517" t="s">
        <v>632</v>
      </c>
      <c r="S697" s="517" t="s">
        <v>632</v>
      </c>
      <c r="T697" s="518" t="s">
        <v>2373</v>
      </c>
      <c r="U697" s="38">
        <v>0</v>
      </c>
      <c r="V697" s="15" t="str">
        <f t="shared" si="66"/>
        <v>301040101</v>
      </c>
      <c r="W697" s="39">
        <v>3</v>
      </c>
      <c r="X697" s="40" t="s">
        <v>632</v>
      </c>
      <c r="Y697" s="40" t="s">
        <v>693</v>
      </c>
      <c r="Z697" s="40" t="s">
        <v>632</v>
      </c>
      <c r="AA697" s="40" t="s">
        <v>632</v>
      </c>
      <c r="AB697" s="41" t="s">
        <v>2373</v>
      </c>
      <c r="AC697" s="519">
        <f>SUBTOTAL(9,H697:H702)</f>
        <v>0</v>
      </c>
      <c r="AD697" s="517">
        <v>0</v>
      </c>
      <c r="AE697" s="517" t="s">
        <v>13479</v>
      </c>
      <c r="AF697" s="517" t="s">
        <v>2371</v>
      </c>
      <c r="AG697" s="520" t="s">
        <v>2372</v>
      </c>
      <c r="AH697" s="67">
        <f t="shared" si="70"/>
        <v>0</v>
      </c>
      <c r="AI697" s="10"/>
      <c r="AJ697" s="9"/>
      <c r="AK697" s="10"/>
      <c r="AL697" s="10"/>
    </row>
    <row r="698" spans="1:38" ht="22.5" hidden="1">
      <c r="A698" s="1">
        <f t="shared" si="67"/>
        <v>0</v>
      </c>
      <c r="B698" s="2" t="s">
        <v>2376</v>
      </c>
      <c r="C698" s="3" t="s">
        <v>2377</v>
      </c>
      <c r="D698" s="15" t="s">
        <v>11577</v>
      </c>
      <c r="E698" s="4" t="s">
        <v>2376</v>
      </c>
      <c r="F698" s="37" t="s">
        <v>2377</v>
      </c>
      <c r="G698" s="38">
        <v>3086241.38</v>
      </c>
      <c r="H698" s="38">
        <v>3086241.38</v>
      </c>
      <c r="I698" s="15"/>
      <c r="J698" s="494">
        <v>30104010102</v>
      </c>
      <c r="L698" s="523" t="s">
        <v>13479</v>
      </c>
      <c r="M698" s="523" t="s">
        <v>2371</v>
      </c>
      <c r="N698" s="518" t="s">
        <v>2372</v>
      </c>
      <c r="O698" s="523">
        <v>3</v>
      </c>
      <c r="P698" s="523" t="s">
        <v>632</v>
      </c>
      <c r="Q698" s="523" t="s">
        <v>693</v>
      </c>
      <c r="R698" s="523" t="s">
        <v>632</v>
      </c>
      <c r="S698" s="523" t="s">
        <v>632</v>
      </c>
      <c r="T698" s="518" t="s">
        <v>2373</v>
      </c>
      <c r="U698" s="38">
        <v>3086241.38</v>
      </c>
      <c r="V698" s="15" t="str">
        <f t="shared" si="66"/>
        <v/>
      </c>
      <c r="W698" s="10"/>
      <c r="X698" s="10"/>
      <c r="Y698" s="10"/>
      <c r="Z698" s="10"/>
      <c r="AA698" s="10"/>
      <c r="AB698" s="10"/>
      <c r="AC698" s="9"/>
      <c r="AD698" s="523" t="e">
        <v>#N/A</v>
      </c>
      <c r="AE698" s="523" t="e">
        <v>#N/A</v>
      </c>
      <c r="AF698" s="523" t="e">
        <v>#N/A</v>
      </c>
      <c r="AG698" s="524" t="e">
        <v>#N/A</v>
      </c>
      <c r="AH698" s="9"/>
      <c r="AI698" s="10"/>
      <c r="AJ698" s="9"/>
      <c r="AK698" s="10"/>
      <c r="AL698" s="10"/>
    </row>
    <row r="699" spans="1:38" hidden="1">
      <c r="A699" s="1">
        <f t="shared" si="67"/>
        <v>0</v>
      </c>
      <c r="B699" s="2" t="s">
        <v>2378</v>
      </c>
      <c r="C699" s="3" t="s">
        <v>2379</v>
      </c>
      <c r="D699" s="15" t="s">
        <v>11577</v>
      </c>
      <c r="E699" s="4" t="s">
        <v>2378</v>
      </c>
      <c r="F699" s="37" t="s">
        <v>2379</v>
      </c>
      <c r="G699" s="38">
        <v>0</v>
      </c>
      <c r="H699" s="38">
        <v>0</v>
      </c>
      <c r="I699" s="15"/>
      <c r="J699" s="494">
        <v>30104010103</v>
      </c>
      <c r="L699" s="523" t="s">
        <v>13479</v>
      </c>
      <c r="M699" s="523" t="s">
        <v>2371</v>
      </c>
      <c r="N699" s="518" t="s">
        <v>2372</v>
      </c>
      <c r="O699" s="523">
        <v>3</v>
      </c>
      <c r="P699" s="523" t="s">
        <v>632</v>
      </c>
      <c r="Q699" s="523" t="s">
        <v>693</v>
      </c>
      <c r="R699" s="523" t="s">
        <v>632</v>
      </c>
      <c r="S699" s="523" t="s">
        <v>632</v>
      </c>
      <c r="T699" s="518" t="s">
        <v>2373</v>
      </c>
      <c r="U699" s="38">
        <v>0</v>
      </c>
      <c r="V699" s="15" t="str">
        <f t="shared" si="66"/>
        <v/>
      </c>
      <c r="W699" s="10"/>
      <c r="X699" s="10"/>
      <c r="Y699" s="10"/>
      <c r="Z699" s="10"/>
      <c r="AA699" s="10"/>
      <c r="AB699" s="10"/>
      <c r="AC699" s="9"/>
      <c r="AD699" s="523" t="e">
        <v>#N/A</v>
      </c>
      <c r="AE699" s="523" t="e">
        <v>#N/A</v>
      </c>
      <c r="AF699" s="523" t="e">
        <v>#N/A</v>
      </c>
      <c r="AG699" s="524" t="e">
        <v>#N/A</v>
      </c>
      <c r="AH699" s="9"/>
      <c r="AI699" s="10"/>
      <c r="AJ699" s="9"/>
      <c r="AK699" s="10"/>
      <c r="AL699" s="10"/>
    </row>
    <row r="700" spans="1:38" ht="22.5" hidden="1">
      <c r="A700" s="1">
        <f t="shared" si="67"/>
        <v>0</v>
      </c>
      <c r="B700" s="2" t="s">
        <v>2380</v>
      </c>
      <c r="C700" s="3" t="s">
        <v>2381</v>
      </c>
      <c r="D700" s="15" t="s">
        <v>11577</v>
      </c>
      <c r="E700" s="4" t="s">
        <v>2380</v>
      </c>
      <c r="F700" s="37" t="s">
        <v>2381</v>
      </c>
      <c r="G700" s="38">
        <v>0</v>
      </c>
      <c r="H700" s="38">
        <v>0</v>
      </c>
      <c r="I700" s="15"/>
      <c r="J700" s="494">
        <v>30104010104</v>
      </c>
      <c r="L700" s="523" t="s">
        <v>13479</v>
      </c>
      <c r="M700" s="523" t="s">
        <v>2371</v>
      </c>
      <c r="N700" s="518" t="s">
        <v>2372</v>
      </c>
      <c r="O700" s="523">
        <v>3</v>
      </c>
      <c r="P700" s="523" t="s">
        <v>632</v>
      </c>
      <c r="Q700" s="523" t="s">
        <v>693</v>
      </c>
      <c r="R700" s="523" t="s">
        <v>632</v>
      </c>
      <c r="S700" s="523" t="s">
        <v>632</v>
      </c>
      <c r="T700" s="518" t="s">
        <v>2373</v>
      </c>
      <c r="U700" s="38">
        <v>0</v>
      </c>
      <c r="V700" s="15" t="str">
        <f t="shared" si="66"/>
        <v/>
      </c>
      <c r="W700" s="10"/>
      <c r="X700" s="10"/>
      <c r="Y700" s="10"/>
      <c r="Z700" s="10"/>
      <c r="AA700" s="10"/>
      <c r="AB700" s="10"/>
      <c r="AC700" s="9"/>
      <c r="AD700" s="523" t="e">
        <v>#N/A</v>
      </c>
      <c r="AE700" s="523" t="e">
        <v>#N/A</v>
      </c>
      <c r="AF700" s="523" t="e">
        <v>#N/A</v>
      </c>
      <c r="AG700" s="524" t="e">
        <v>#N/A</v>
      </c>
      <c r="AH700" s="9"/>
      <c r="AI700" s="10"/>
      <c r="AJ700" s="9"/>
      <c r="AK700" s="10"/>
      <c r="AL700" s="10"/>
    </row>
    <row r="701" spans="1:38" hidden="1">
      <c r="A701" s="1">
        <f t="shared" si="67"/>
        <v>0</v>
      </c>
      <c r="B701" s="2" t="s">
        <v>2382</v>
      </c>
      <c r="C701" s="3" t="s">
        <v>2383</v>
      </c>
      <c r="D701" s="15" t="s">
        <v>11577</v>
      </c>
      <c r="E701" s="4" t="s">
        <v>2382</v>
      </c>
      <c r="F701" s="37" t="s">
        <v>2383</v>
      </c>
      <c r="G701" s="38">
        <v>0</v>
      </c>
      <c r="H701" s="38">
        <v>0</v>
      </c>
      <c r="I701" s="15"/>
      <c r="J701" s="494">
        <v>30104010105</v>
      </c>
      <c r="L701" s="523" t="s">
        <v>13479</v>
      </c>
      <c r="M701" s="523" t="s">
        <v>2371</v>
      </c>
      <c r="N701" s="518" t="s">
        <v>2372</v>
      </c>
      <c r="O701" s="523">
        <v>3</v>
      </c>
      <c r="P701" s="523" t="s">
        <v>632</v>
      </c>
      <c r="Q701" s="523" t="s">
        <v>693</v>
      </c>
      <c r="R701" s="523" t="s">
        <v>632</v>
      </c>
      <c r="S701" s="523" t="s">
        <v>632</v>
      </c>
      <c r="T701" s="518" t="s">
        <v>2373</v>
      </c>
      <c r="U701" s="38">
        <v>0</v>
      </c>
      <c r="V701" s="15" t="str">
        <f t="shared" si="66"/>
        <v/>
      </c>
      <c r="W701" s="10"/>
      <c r="X701" s="9"/>
      <c r="Y701" s="10"/>
      <c r="Z701" s="10"/>
      <c r="AA701" s="10"/>
      <c r="AB701" s="10"/>
      <c r="AC701" s="9"/>
      <c r="AD701" s="523" t="e">
        <v>#N/A</v>
      </c>
      <c r="AE701" s="523" t="e">
        <v>#N/A</v>
      </c>
      <c r="AF701" s="523" t="e">
        <v>#N/A</v>
      </c>
      <c r="AG701" s="524" t="e">
        <v>#N/A</v>
      </c>
      <c r="AH701" s="9"/>
      <c r="AI701" s="10"/>
      <c r="AJ701" s="9"/>
      <c r="AK701" s="10"/>
      <c r="AL701" s="10"/>
    </row>
    <row r="702" spans="1:38" hidden="1">
      <c r="A702" s="1">
        <f t="shared" si="67"/>
        <v>0</v>
      </c>
      <c r="B702" s="2" t="s">
        <v>2384</v>
      </c>
      <c r="C702" s="3" t="s">
        <v>2385</v>
      </c>
      <c r="D702" s="15" t="s">
        <v>11577</v>
      </c>
      <c r="E702" s="4" t="s">
        <v>2384</v>
      </c>
      <c r="F702" s="37" t="s">
        <v>2385</v>
      </c>
      <c r="G702" s="38">
        <v>0</v>
      </c>
      <c r="H702" s="38">
        <v>0</v>
      </c>
      <c r="I702" s="15"/>
      <c r="J702" s="494">
        <v>30104010106</v>
      </c>
      <c r="L702" s="523" t="s">
        <v>13479</v>
      </c>
      <c r="M702" s="523" t="s">
        <v>2371</v>
      </c>
      <c r="N702" s="518" t="s">
        <v>2372</v>
      </c>
      <c r="O702" s="523">
        <v>3</v>
      </c>
      <c r="P702" s="523" t="s">
        <v>632</v>
      </c>
      <c r="Q702" s="523" t="s">
        <v>693</v>
      </c>
      <c r="R702" s="523" t="s">
        <v>632</v>
      </c>
      <c r="S702" s="523" t="s">
        <v>632</v>
      </c>
      <c r="T702" s="518" t="s">
        <v>2373</v>
      </c>
      <c r="U702" s="38">
        <v>0</v>
      </c>
      <c r="V702" s="15" t="str">
        <f t="shared" si="66"/>
        <v/>
      </c>
      <c r="W702" s="10"/>
      <c r="X702" s="10"/>
      <c r="Y702" s="9"/>
      <c r="Z702" s="10"/>
      <c r="AA702" s="10"/>
      <c r="AB702" s="10"/>
      <c r="AC702" s="9"/>
      <c r="AD702" s="523" t="e">
        <v>#N/A</v>
      </c>
      <c r="AE702" s="523" t="e">
        <v>#N/A</v>
      </c>
      <c r="AF702" s="523" t="e">
        <v>#N/A</v>
      </c>
      <c r="AG702" s="524" t="e">
        <v>#N/A</v>
      </c>
      <c r="AH702" s="9"/>
      <c r="AI702" s="10"/>
      <c r="AJ702" s="9"/>
      <c r="AK702" s="10"/>
      <c r="AL702" s="10"/>
    </row>
    <row r="703" spans="1:38" hidden="1">
      <c r="A703" s="1">
        <f t="shared" si="67"/>
        <v>0</v>
      </c>
      <c r="B703" s="11"/>
      <c r="C703" s="11"/>
      <c r="D703" s="15" t="s">
        <v>16</v>
      </c>
      <c r="E703" s="12"/>
      <c r="F703" s="70" t="s">
        <v>2350</v>
      </c>
      <c r="G703" s="14">
        <f>G704+G888+G1071+G1081+G1698</f>
        <v>298388043.09033334</v>
      </c>
      <c r="H703" s="14">
        <f>H704+H888+H1071+H1081+H1698</f>
        <v>304320706.76000005</v>
      </c>
      <c r="I703" s="15"/>
      <c r="J703" s="494"/>
      <c r="K703" s="495"/>
      <c r="L703" s="495"/>
      <c r="M703" s="495"/>
      <c r="N703" s="496"/>
      <c r="O703" s="495"/>
      <c r="P703" s="495"/>
      <c r="Q703" s="495"/>
      <c r="R703" s="495"/>
      <c r="S703" s="495"/>
      <c r="T703" s="496"/>
      <c r="U703" s="14">
        <f>U704+U888+U1071+U1081+U1698</f>
        <v>304320706.76000005</v>
      </c>
      <c r="V703" s="15" t="str">
        <f t="shared" si="66"/>
        <v>200000000</v>
      </c>
      <c r="W703" s="71">
        <v>2</v>
      </c>
      <c r="X703" s="72" t="s">
        <v>630</v>
      </c>
      <c r="Y703" s="72" t="s">
        <v>630</v>
      </c>
      <c r="Z703" s="72" t="s">
        <v>630</v>
      </c>
      <c r="AA703" s="72" t="s">
        <v>630</v>
      </c>
      <c r="AB703" s="70" t="s">
        <v>2350</v>
      </c>
      <c r="AC703" s="585" t="e">
        <f>AC704+AC888+AC1071+AC1081+AC1698</f>
        <v>#REF!</v>
      </c>
      <c r="AD703" s="495">
        <v>0</v>
      </c>
      <c r="AE703" s="495">
        <v>0</v>
      </c>
      <c r="AF703" s="495">
        <v>0</v>
      </c>
      <c r="AG703" s="586" t="s">
        <v>2350</v>
      </c>
      <c r="AH703" s="14" t="e">
        <f>AH704+AH888+AH1071+AH1081+AH1698</f>
        <v>#REF!</v>
      </c>
      <c r="AI703" s="10"/>
      <c r="AJ703" s="9" t="e">
        <f>AH703-H703</f>
        <v>#REF!</v>
      </c>
      <c r="AK703" s="10"/>
      <c r="AL703" s="10"/>
    </row>
    <row r="704" spans="1:38" hidden="1">
      <c r="A704" s="1">
        <f t="shared" si="67"/>
        <v>0</v>
      </c>
      <c r="C704" s="3" t="s">
        <v>17</v>
      </c>
      <c r="D704" s="15" t="s">
        <v>16</v>
      </c>
      <c r="E704" s="18"/>
      <c r="F704" s="23" t="s">
        <v>17</v>
      </c>
      <c r="G704" s="20">
        <f>G705+G709+G810+G835+G848+G866+G885</f>
        <v>140384185.51033333</v>
      </c>
      <c r="H704" s="20">
        <f>H705+H709+H810+H835+H848+H866+H885</f>
        <v>137794700.22000003</v>
      </c>
      <c r="I704" s="15"/>
      <c r="J704" s="494"/>
      <c r="K704" s="502"/>
      <c r="L704" s="502"/>
      <c r="M704" s="502"/>
      <c r="N704" s="503"/>
      <c r="O704" s="502"/>
      <c r="P704" s="502"/>
      <c r="Q704" s="502"/>
      <c r="R704" s="502"/>
      <c r="S704" s="502"/>
      <c r="T704" s="503"/>
      <c r="U704" s="20">
        <f>U705+U709+U810+U835+U848+U866+U885</f>
        <v>137794700.22000003</v>
      </c>
      <c r="V704" s="15" t="str">
        <f t="shared" si="66"/>
        <v>201000000</v>
      </c>
      <c r="W704" s="21">
        <v>2</v>
      </c>
      <c r="X704" s="22" t="s">
        <v>632</v>
      </c>
      <c r="Y704" s="22" t="s">
        <v>630</v>
      </c>
      <c r="Z704" s="22" t="s">
        <v>630</v>
      </c>
      <c r="AA704" s="22" t="s">
        <v>630</v>
      </c>
      <c r="AB704" s="23" t="s">
        <v>17</v>
      </c>
      <c r="AC704" s="587" t="e">
        <f>AC705+AC709+AC810+AC835+AC848+AC866+AC885</f>
        <v>#REF!</v>
      </c>
      <c r="AD704" s="502">
        <v>0</v>
      </c>
      <c r="AE704" s="502" t="s">
        <v>13480</v>
      </c>
      <c r="AF704" s="502" t="s">
        <v>2390</v>
      </c>
      <c r="AG704" s="503" t="s">
        <v>13481</v>
      </c>
      <c r="AH704" s="20" t="e">
        <f>AH705+AH709+AH810+AH835+AH848+AH866+AH885</f>
        <v>#REF!</v>
      </c>
      <c r="AI704" s="10"/>
      <c r="AJ704" s="9" t="e">
        <f>AH704-H704</f>
        <v>#REF!</v>
      </c>
      <c r="AK704" s="10"/>
      <c r="AL704" s="10"/>
    </row>
    <row r="705" spans="1:38" hidden="1">
      <c r="A705" s="1">
        <f t="shared" si="67"/>
        <v>0</v>
      </c>
      <c r="C705" s="3" t="s">
        <v>2391</v>
      </c>
      <c r="D705" s="15" t="s">
        <v>16</v>
      </c>
      <c r="E705" s="24"/>
      <c r="F705" s="25" t="s">
        <v>2392</v>
      </c>
      <c r="G705" s="26">
        <f>G706</f>
        <v>10821541.51</v>
      </c>
      <c r="H705" s="26">
        <f>H706</f>
        <v>10821541.51</v>
      </c>
      <c r="I705" s="15"/>
      <c r="J705" s="494"/>
      <c r="K705" s="509"/>
      <c r="L705" s="509"/>
      <c r="M705" s="509"/>
      <c r="N705" s="510"/>
      <c r="O705" s="509"/>
      <c r="P705" s="509"/>
      <c r="Q705" s="509"/>
      <c r="R705" s="509"/>
      <c r="S705" s="509"/>
      <c r="T705" s="510"/>
      <c r="U705" s="26">
        <f>U706</f>
        <v>10821541.51</v>
      </c>
      <c r="V705" s="15" t="str">
        <f t="shared" si="66"/>
        <v>201010000</v>
      </c>
      <c r="W705" s="27">
        <v>2</v>
      </c>
      <c r="X705" s="28" t="s">
        <v>632</v>
      </c>
      <c r="Y705" s="28" t="s">
        <v>632</v>
      </c>
      <c r="Z705" s="28" t="s">
        <v>630</v>
      </c>
      <c r="AA705" s="28" t="s">
        <v>630</v>
      </c>
      <c r="AB705" s="25" t="s">
        <v>2392</v>
      </c>
      <c r="AC705" s="530">
        <f>AC706</f>
        <v>10821541.51</v>
      </c>
      <c r="AD705" s="509">
        <v>0</v>
      </c>
      <c r="AE705" s="509" t="s">
        <v>13287</v>
      </c>
      <c r="AF705" s="509" t="s">
        <v>230</v>
      </c>
      <c r="AG705" s="510" t="s">
        <v>2393</v>
      </c>
      <c r="AH705" s="53">
        <f>AH706</f>
        <v>10821541.51</v>
      </c>
      <c r="AI705" s="10"/>
      <c r="AJ705" s="9">
        <f>AH705-H705</f>
        <v>0</v>
      </c>
      <c r="AK705" s="10"/>
      <c r="AL705" s="10"/>
    </row>
    <row r="706" spans="1:38" hidden="1">
      <c r="A706" s="1">
        <f t="shared" si="67"/>
        <v>0</v>
      </c>
      <c r="C706" s="3" t="s">
        <v>2391</v>
      </c>
      <c r="D706" s="15" t="s">
        <v>16</v>
      </c>
      <c r="E706" s="30"/>
      <c r="F706" s="31" t="s">
        <v>2394</v>
      </c>
      <c r="G706" s="32">
        <f>G707-G708</f>
        <v>10821541.51</v>
      </c>
      <c r="H706" s="32">
        <f>H707-H708</f>
        <v>10821541.51</v>
      </c>
      <c r="I706" s="15"/>
      <c r="J706" s="494"/>
      <c r="K706" s="513"/>
      <c r="L706" s="513"/>
      <c r="M706" s="513" t="s">
        <v>230</v>
      </c>
      <c r="N706" s="514"/>
      <c r="O706" s="513"/>
      <c r="P706" s="513"/>
      <c r="Q706" s="513"/>
      <c r="R706" s="513"/>
      <c r="S706" s="513"/>
      <c r="T706" s="514"/>
      <c r="U706" s="32">
        <f>U707-U708</f>
        <v>10821541.51</v>
      </c>
      <c r="V706" s="15" t="str">
        <f t="shared" si="66"/>
        <v>201010100</v>
      </c>
      <c r="W706" s="33">
        <v>2</v>
      </c>
      <c r="X706" s="34" t="s">
        <v>632</v>
      </c>
      <c r="Y706" s="34" t="s">
        <v>632</v>
      </c>
      <c r="Z706" s="34" t="s">
        <v>632</v>
      </c>
      <c r="AA706" s="35" t="s">
        <v>630</v>
      </c>
      <c r="AB706" s="31" t="s">
        <v>2394</v>
      </c>
      <c r="AC706" s="529">
        <f>AC707-AC708</f>
        <v>10821541.51</v>
      </c>
      <c r="AD706" s="513">
        <v>0</v>
      </c>
      <c r="AE706" s="513" t="s">
        <v>13287</v>
      </c>
      <c r="AF706" s="513" t="s">
        <v>230</v>
      </c>
      <c r="AG706" s="514" t="s">
        <v>2393</v>
      </c>
      <c r="AH706" s="44">
        <f>AH707-AH708</f>
        <v>10821541.51</v>
      </c>
      <c r="AI706" s="10"/>
      <c r="AJ706" s="9">
        <f>AH706-H706</f>
        <v>0</v>
      </c>
      <c r="AK706" s="10"/>
      <c r="AL706" s="10"/>
    </row>
    <row r="707" spans="1:38" hidden="1">
      <c r="A707" s="1">
        <f t="shared" si="67"/>
        <v>0</v>
      </c>
      <c r="B707" s="2" t="s">
        <v>2395</v>
      </c>
      <c r="C707" s="3" t="s">
        <v>2396</v>
      </c>
      <c r="D707" s="15" t="s">
        <v>11578</v>
      </c>
      <c r="E707" s="4" t="s">
        <v>2395</v>
      </c>
      <c r="F707" s="37" t="s">
        <v>2396</v>
      </c>
      <c r="G707" s="38">
        <v>11611134.52</v>
      </c>
      <c r="H707" s="38">
        <v>11611134.52</v>
      </c>
      <c r="I707" s="15"/>
      <c r="J707" s="494">
        <v>20101010101</v>
      </c>
      <c r="K707" s="517"/>
      <c r="L707" s="517" t="s">
        <v>13287</v>
      </c>
      <c r="M707" s="517"/>
      <c r="N707" s="518" t="s">
        <v>2393</v>
      </c>
      <c r="O707" s="517">
        <v>2</v>
      </c>
      <c r="P707" s="517" t="s">
        <v>632</v>
      </c>
      <c r="Q707" s="517" t="s">
        <v>632</v>
      </c>
      <c r="R707" s="517" t="s">
        <v>632</v>
      </c>
      <c r="S707" s="517" t="s">
        <v>632</v>
      </c>
      <c r="T707" s="518" t="s">
        <v>2394</v>
      </c>
      <c r="U707" s="38">
        <v>11611134.52</v>
      </c>
      <c r="V707" s="15" t="str">
        <f t="shared" ref="V707:V770" si="79">CONCATENATE(W707,X707,Y707,Z707,AA707)</f>
        <v>201010101</v>
      </c>
      <c r="W707" s="39">
        <v>2</v>
      </c>
      <c r="X707" s="40" t="s">
        <v>632</v>
      </c>
      <c r="Y707" s="40" t="s">
        <v>632</v>
      </c>
      <c r="Z707" s="40" t="s">
        <v>632</v>
      </c>
      <c r="AA707" s="40" t="s">
        <v>632</v>
      </c>
      <c r="AB707" s="41" t="s">
        <v>2394</v>
      </c>
      <c r="AC707" s="519">
        <f>H707-H708</f>
        <v>10821541.51</v>
      </c>
      <c r="AD707" s="517">
        <v>0</v>
      </c>
      <c r="AE707" s="517" t="s">
        <v>13287</v>
      </c>
      <c r="AF707" s="517" t="s">
        <v>230</v>
      </c>
      <c r="AG707" s="520" t="s">
        <v>2393</v>
      </c>
      <c r="AH707" s="67">
        <f>AC707</f>
        <v>10821541.51</v>
      </c>
      <c r="AI707" s="10"/>
      <c r="AJ707" s="9"/>
      <c r="AK707" s="10"/>
      <c r="AL707" s="10"/>
    </row>
    <row r="708" spans="1:38" ht="22.5" hidden="1">
      <c r="A708" s="1">
        <f t="shared" si="67"/>
        <v>0</v>
      </c>
      <c r="B708" s="2" t="s">
        <v>2397</v>
      </c>
      <c r="C708" s="3" t="s">
        <v>2398</v>
      </c>
      <c r="D708" s="15" t="s">
        <v>11578</v>
      </c>
      <c r="E708" s="4" t="s">
        <v>2397</v>
      </c>
      <c r="F708" s="37" t="s">
        <v>2398</v>
      </c>
      <c r="G708" s="38">
        <v>789593.01</v>
      </c>
      <c r="H708" s="38">
        <v>789593.01</v>
      </c>
      <c r="I708" s="15"/>
      <c r="J708" s="494">
        <v>20101010102</v>
      </c>
      <c r="L708" s="523" t="s">
        <v>13287</v>
      </c>
      <c r="N708" s="518" t="s">
        <v>2393</v>
      </c>
      <c r="O708" s="523">
        <v>2</v>
      </c>
      <c r="P708" s="523" t="s">
        <v>632</v>
      </c>
      <c r="Q708" s="523" t="s">
        <v>632</v>
      </c>
      <c r="R708" s="523" t="s">
        <v>632</v>
      </c>
      <c r="S708" s="523" t="s">
        <v>632</v>
      </c>
      <c r="T708" s="518" t="s">
        <v>2394</v>
      </c>
      <c r="U708" s="38">
        <v>789593.01</v>
      </c>
      <c r="V708" s="15" t="str">
        <f t="shared" si="79"/>
        <v/>
      </c>
      <c r="W708" s="10"/>
      <c r="X708" s="10"/>
      <c r="Y708" s="10"/>
      <c r="Z708" s="10"/>
      <c r="AA708" s="10"/>
      <c r="AB708" s="10"/>
      <c r="AC708" s="9"/>
      <c r="AD708" s="523" t="e">
        <v>#N/A</v>
      </c>
      <c r="AE708" s="523" t="e">
        <v>#N/A</v>
      </c>
      <c r="AF708" s="523" t="e">
        <v>#N/A</v>
      </c>
      <c r="AG708" s="524" t="e">
        <v>#N/A</v>
      </c>
      <c r="AH708" s="9"/>
      <c r="AI708" s="10"/>
      <c r="AJ708" s="9"/>
      <c r="AK708" s="10"/>
      <c r="AL708" s="10"/>
    </row>
    <row r="709" spans="1:38" ht="22.5" hidden="1">
      <c r="A709" s="1">
        <f t="shared" si="67"/>
        <v>0</v>
      </c>
      <c r="D709" s="15" t="s">
        <v>16</v>
      </c>
      <c r="E709" s="24"/>
      <c r="F709" s="25" t="s">
        <v>2399</v>
      </c>
      <c r="G709" s="26">
        <f>G710+G712+G716+G718+G730+G769+G773</f>
        <v>109993647.77000001</v>
      </c>
      <c r="H709" s="26">
        <f>H710+H712+H716+H718+H730+H769+H773</f>
        <v>108428615.37999998</v>
      </c>
      <c r="I709" s="15"/>
      <c r="J709" s="494"/>
      <c r="K709" s="509"/>
      <c r="L709" s="509"/>
      <c r="M709" s="509"/>
      <c r="N709" s="510"/>
      <c r="O709" s="509"/>
      <c r="P709" s="509"/>
      <c r="Q709" s="509"/>
      <c r="R709" s="509"/>
      <c r="S709" s="509"/>
      <c r="T709" s="510"/>
      <c r="U709" s="26">
        <f>U710+U712+U716+U718+U730+U769+U773</f>
        <v>108428615.37999998</v>
      </c>
      <c r="V709" s="15" t="str">
        <f t="shared" si="79"/>
        <v>201020000</v>
      </c>
      <c r="W709" s="27">
        <v>2</v>
      </c>
      <c r="X709" s="28" t="s">
        <v>632</v>
      </c>
      <c r="Y709" s="28" t="s">
        <v>647</v>
      </c>
      <c r="Z709" s="28" t="s">
        <v>630</v>
      </c>
      <c r="AA709" s="28" t="s">
        <v>630</v>
      </c>
      <c r="AB709" s="25" t="s">
        <v>2399</v>
      </c>
      <c r="AC709" s="547" t="e">
        <f>AC710+AC712+AC716+AC718+AC730+AC769+AC773</f>
        <v>#REF!</v>
      </c>
      <c r="AD709" s="509">
        <v>0</v>
      </c>
      <c r="AE709" s="509" t="s">
        <v>13482</v>
      </c>
      <c r="AF709" s="509" t="s">
        <v>231</v>
      </c>
      <c r="AG709" s="510" t="s">
        <v>2400</v>
      </c>
      <c r="AH709" s="26" t="e">
        <f>AH710+AH712+AH716+AH718+AH730+AH769+AH773</f>
        <v>#REF!</v>
      </c>
      <c r="AI709" s="10"/>
      <c r="AJ709" s="9" t="e">
        <f t="shared" ref="AJ709:AJ718" si="80">AH709-H709</f>
        <v>#REF!</v>
      </c>
      <c r="AK709" s="10"/>
      <c r="AL709" s="10"/>
    </row>
    <row r="710" spans="1:38" ht="22.5" hidden="1">
      <c r="A710" s="1">
        <f t="shared" si="67"/>
        <v>0</v>
      </c>
      <c r="D710" s="15" t="s">
        <v>16</v>
      </c>
      <c r="E710" s="30"/>
      <c r="F710" s="31" t="s">
        <v>2401</v>
      </c>
      <c r="G710" s="32">
        <f>G711</f>
        <v>0</v>
      </c>
      <c r="H710" s="32">
        <f>H711</f>
        <v>0</v>
      </c>
      <c r="I710" s="15"/>
      <c r="J710" s="494"/>
      <c r="K710" s="513"/>
      <c r="L710" s="513"/>
      <c r="M710" s="513"/>
      <c r="N710" s="514"/>
      <c r="O710" s="513"/>
      <c r="P710" s="513"/>
      <c r="Q710" s="513"/>
      <c r="R710" s="513"/>
      <c r="S710" s="513"/>
      <c r="T710" s="514"/>
      <c r="U710" s="32">
        <f>U711</f>
        <v>0</v>
      </c>
      <c r="V710" s="15" t="str">
        <f t="shared" si="79"/>
        <v>201020100</v>
      </c>
      <c r="W710" s="33">
        <v>2</v>
      </c>
      <c r="X710" s="34" t="s">
        <v>632</v>
      </c>
      <c r="Y710" s="34" t="s">
        <v>647</v>
      </c>
      <c r="Z710" s="34" t="s">
        <v>632</v>
      </c>
      <c r="AA710" s="35" t="s">
        <v>630</v>
      </c>
      <c r="AB710" s="31" t="s">
        <v>2401</v>
      </c>
      <c r="AC710" s="529">
        <f>AC711</f>
        <v>0</v>
      </c>
      <c r="AD710" s="513">
        <v>0</v>
      </c>
      <c r="AE710" s="513" t="s">
        <v>13483</v>
      </c>
      <c r="AF710" s="513" t="s">
        <v>232</v>
      </c>
      <c r="AG710" s="514" t="s">
        <v>2402</v>
      </c>
      <c r="AH710" s="588">
        <f>AC710</f>
        <v>0</v>
      </c>
      <c r="AI710" s="10"/>
      <c r="AJ710" s="9">
        <f t="shared" si="80"/>
        <v>0</v>
      </c>
      <c r="AK710" s="10"/>
      <c r="AL710" s="10"/>
    </row>
    <row r="711" spans="1:38" ht="22.5" hidden="1">
      <c r="A711" s="1">
        <f t="shared" si="67"/>
        <v>0</v>
      </c>
      <c r="B711" s="2" t="s">
        <v>2403</v>
      </c>
      <c r="C711" s="3" t="s">
        <v>2401</v>
      </c>
      <c r="D711" s="15" t="s">
        <v>11579</v>
      </c>
      <c r="E711" s="4" t="s">
        <v>2403</v>
      </c>
      <c r="F711" s="37" t="s">
        <v>2401</v>
      </c>
      <c r="G711" s="38">
        <v>0</v>
      </c>
      <c r="H711" s="38">
        <v>0</v>
      </c>
      <c r="I711" s="15"/>
      <c r="J711" s="494">
        <v>20102010101</v>
      </c>
      <c r="K711" s="517"/>
      <c r="L711" s="517" t="s">
        <v>13483</v>
      </c>
      <c r="M711" s="517" t="s">
        <v>232</v>
      </c>
      <c r="N711" s="518" t="s">
        <v>2402</v>
      </c>
      <c r="O711" s="517">
        <v>2</v>
      </c>
      <c r="P711" s="517" t="s">
        <v>632</v>
      </c>
      <c r="Q711" s="517" t="s">
        <v>647</v>
      </c>
      <c r="R711" s="517" t="s">
        <v>632</v>
      </c>
      <c r="S711" s="517" t="s">
        <v>632</v>
      </c>
      <c r="T711" s="518" t="s">
        <v>2401</v>
      </c>
      <c r="U711" s="38">
        <v>0</v>
      </c>
      <c r="V711" s="15" t="str">
        <f t="shared" si="79"/>
        <v>201020101</v>
      </c>
      <c r="W711" s="39">
        <v>2</v>
      </c>
      <c r="X711" s="40" t="s">
        <v>632</v>
      </c>
      <c r="Y711" s="40" t="s">
        <v>647</v>
      </c>
      <c r="Z711" s="40" t="s">
        <v>632</v>
      </c>
      <c r="AA711" s="40" t="s">
        <v>632</v>
      </c>
      <c r="AB711" s="41" t="s">
        <v>2401</v>
      </c>
      <c r="AC711" s="9">
        <f>H711</f>
        <v>0</v>
      </c>
      <c r="AD711" s="517">
        <v>0</v>
      </c>
      <c r="AE711" s="517" t="s">
        <v>13483</v>
      </c>
      <c r="AF711" s="517" t="s">
        <v>232</v>
      </c>
      <c r="AG711" s="520" t="s">
        <v>2402</v>
      </c>
      <c r="AH711" s="9">
        <f>AC711</f>
        <v>0</v>
      </c>
      <c r="AI711" s="10"/>
      <c r="AJ711" s="9">
        <f t="shared" si="80"/>
        <v>0</v>
      </c>
      <c r="AK711" s="10"/>
      <c r="AL711" s="10"/>
    </row>
    <row r="712" spans="1:38" ht="33.75" hidden="1">
      <c r="A712" s="1">
        <f t="shared" si="67"/>
        <v>0</v>
      </c>
      <c r="D712" s="15" t="s">
        <v>16</v>
      </c>
      <c r="E712" s="30"/>
      <c r="F712" s="31" t="s">
        <v>2404</v>
      </c>
      <c r="G712" s="32">
        <f>SUM(G713:G715)</f>
        <v>129454.79</v>
      </c>
      <c r="H712" s="32">
        <f>SUM(H713:H715)</f>
        <v>129454.79</v>
      </c>
      <c r="I712" s="15"/>
      <c r="J712" s="494"/>
      <c r="K712" s="513"/>
      <c r="L712" s="513"/>
      <c r="M712" s="513"/>
      <c r="N712" s="514"/>
      <c r="O712" s="513"/>
      <c r="P712" s="513"/>
      <c r="Q712" s="513"/>
      <c r="R712" s="513"/>
      <c r="S712" s="513"/>
      <c r="T712" s="514"/>
      <c r="U712" s="32">
        <f>SUM(U713:U715)</f>
        <v>129454.79</v>
      </c>
      <c r="V712" s="15" t="str">
        <f t="shared" si="79"/>
        <v>201020200</v>
      </c>
      <c r="W712" s="33">
        <v>2</v>
      </c>
      <c r="X712" s="34" t="s">
        <v>632</v>
      </c>
      <c r="Y712" s="34" t="s">
        <v>647</v>
      </c>
      <c r="Z712" s="34" t="s">
        <v>647</v>
      </c>
      <c r="AA712" s="35" t="s">
        <v>630</v>
      </c>
      <c r="AB712" s="31" t="s">
        <v>2404</v>
      </c>
      <c r="AC712" s="529">
        <f>SUM(AC713:AC715)</f>
        <v>0</v>
      </c>
      <c r="AD712" s="513">
        <v>0</v>
      </c>
      <c r="AE712" s="513" t="s">
        <v>13331</v>
      </c>
      <c r="AF712" s="513" t="s">
        <v>234</v>
      </c>
      <c r="AG712" s="514" t="s">
        <v>2405</v>
      </c>
      <c r="AH712" s="516">
        <f>AC712</f>
        <v>0</v>
      </c>
      <c r="AI712" s="10"/>
      <c r="AJ712" s="9">
        <f t="shared" si="80"/>
        <v>-129454.79</v>
      </c>
      <c r="AK712" s="10"/>
      <c r="AL712" s="10"/>
    </row>
    <row r="713" spans="1:38" ht="33.75" hidden="1">
      <c r="A713" s="1">
        <f t="shared" si="67"/>
        <v>0</v>
      </c>
      <c r="B713" s="2" t="s">
        <v>2406</v>
      </c>
      <c r="C713" s="3" t="s">
        <v>2407</v>
      </c>
      <c r="D713" s="15" t="s">
        <v>11580</v>
      </c>
      <c r="E713" s="4" t="s">
        <v>2406</v>
      </c>
      <c r="F713" s="73" t="s">
        <v>2407</v>
      </c>
      <c r="G713" s="38">
        <v>129454.79</v>
      </c>
      <c r="H713" s="38">
        <v>129454.79</v>
      </c>
      <c r="I713" s="15"/>
      <c r="J713" s="494">
        <v>20102020101</v>
      </c>
      <c r="K713" s="517"/>
      <c r="L713" s="517" t="s">
        <v>13331</v>
      </c>
      <c r="M713" s="517" t="s">
        <v>234</v>
      </c>
      <c r="N713" s="518" t="s">
        <v>2405</v>
      </c>
      <c r="O713" s="517">
        <v>2</v>
      </c>
      <c r="P713" s="517" t="s">
        <v>632</v>
      </c>
      <c r="Q713" s="517" t="s">
        <v>647</v>
      </c>
      <c r="R713" s="517" t="s">
        <v>647</v>
      </c>
      <c r="S713" s="517" t="s">
        <v>632</v>
      </c>
      <c r="T713" s="518" t="s">
        <v>2404</v>
      </c>
      <c r="U713" s="38">
        <v>129454.79</v>
      </c>
      <c r="V713" s="15" t="str">
        <f t="shared" si="79"/>
        <v>201020201</v>
      </c>
      <c r="W713" s="50">
        <v>2</v>
      </c>
      <c r="X713" s="40" t="s">
        <v>632</v>
      </c>
      <c r="Y713" s="40" t="s">
        <v>647</v>
      </c>
      <c r="Z713" s="40" t="s">
        <v>647</v>
      </c>
      <c r="AA713" s="40" t="s">
        <v>632</v>
      </c>
      <c r="AB713" s="41" t="s">
        <v>2404</v>
      </c>
      <c r="AC713" s="519">
        <f>SUBTOTAL(9,H713:H715)</f>
        <v>0</v>
      </c>
      <c r="AD713" s="517">
        <v>0</v>
      </c>
      <c r="AE713" s="517" t="s">
        <v>13331</v>
      </c>
      <c r="AF713" s="517" t="s">
        <v>234</v>
      </c>
      <c r="AG713" s="520" t="s">
        <v>2405</v>
      </c>
      <c r="AH713" s="67">
        <f>AC713</f>
        <v>0</v>
      </c>
      <c r="AI713" s="10"/>
      <c r="AJ713" s="9">
        <f t="shared" si="80"/>
        <v>-129454.79</v>
      </c>
      <c r="AK713" s="10"/>
      <c r="AL713" s="10"/>
    </row>
    <row r="714" spans="1:38" ht="33.75" hidden="1">
      <c r="A714" s="1">
        <f t="shared" si="67"/>
        <v>0</v>
      </c>
      <c r="B714" s="2" t="s">
        <v>2408</v>
      </c>
      <c r="C714" s="3" t="s">
        <v>2409</v>
      </c>
      <c r="D714" s="15" t="s">
        <v>11580</v>
      </c>
      <c r="E714" s="4" t="s">
        <v>2408</v>
      </c>
      <c r="F714" s="73" t="s">
        <v>2409</v>
      </c>
      <c r="G714" s="38">
        <v>0</v>
      </c>
      <c r="H714" s="38">
        <v>0</v>
      </c>
      <c r="I714" s="15"/>
      <c r="J714" s="494">
        <v>20102020102</v>
      </c>
      <c r="K714" s="589"/>
      <c r="L714" s="589" t="s">
        <v>13331</v>
      </c>
      <c r="M714" s="589" t="s">
        <v>234</v>
      </c>
      <c r="N714" s="590" t="s">
        <v>2405</v>
      </c>
      <c r="O714" s="589">
        <v>2</v>
      </c>
      <c r="P714" s="589" t="s">
        <v>632</v>
      </c>
      <c r="Q714" s="589" t="s">
        <v>647</v>
      </c>
      <c r="R714" s="589" t="s">
        <v>647</v>
      </c>
      <c r="S714" s="589" t="s">
        <v>632</v>
      </c>
      <c r="T714" s="590" t="s">
        <v>2404</v>
      </c>
      <c r="U714" s="38">
        <v>0</v>
      </c>
      <c r="V714" s="15" t="str">
        <f t="shared" si="79"/>
        <v/>
      </c>
      <c r="W714" s="29"/>
      <c r="X714" s="29"/>
      <c r="Y714" s="29"/>
      <c r="Z714" s="29"/>
      <c r="AA714" s="29"/>
      <c r="AB714" s="74"/>
      <c r="AC714" s="9"/>
      <c r="AD714" s="589" t="e">
        <v>#N/A</v>
      </c>
      <c r="AE714" s="589" t="e">
        <v>#N/A</v>
      </c>
      <c r="AF714" s="589" t="e">
        <v>#N/A</v>
      </c>
      <c r="AG714" s="590" t="e">
        <v>#N/A</v>
      </c>
      <c r="AH714" s="9"/>
      <c r="AI714" s="10"/>
      <c r="AJ714" s="9">
        <f t="shared" si="80"/>
        <v>0</v>
      </c>
      <c r="AK714" s="10"/>
      <c r="AL714" s="10"/>
    </row>
    <row r="715" spans="1:38" ht="33.75" hidden="1">
      <c r="A715" s="1">
        <f t="shared" si="67"/>
        <v>0</v>
      </c>
      <c r="B715" s="2" t="s">
        <v>2410</v>
      </c>
      <c r="C715" s="3" t="s">
        <v>2404</v>
      </c>
      <c r="D715" s="15" t="s">
        <v>11580</v>
      </c>
      <c r="E715" s="4" t="s">
        <v>2410</v>
      </c>
      <c r="F715" s="37" t="s">
        <v>2404</v>
      </c>
      <c r="G715" s="38">
        <v>0</v>
      </c>
      <c r="H715" s="38">
        <v>0</v>
      </c>
      <c r="I715" s="15"/>
      <c r="J715" s="494">
        <v>20102020103</v>
      </c>
      <c r="L715" s="523" t="s">
        <v>13331</v>
      </c>
      <c r="M715" s="523" t="s">
        <v>234</v>
      </c>
      <c r="N715" s="518" t="s">
        <v>2405</v>
      </c>
      <c r="O715" s="523">
        <v>2</v>
      </c>
      <c r="P715" s="523" t="s">
        <v>632</v>
      </c>
      <c r="Q715" s="523" t="s">
        <v>647</v>
      </c>
      <c r="R715" s="523" t="s">
        <v>647</v>
      </c>
      <c r="S715" s="523" t="s">
        <v>632</v>
      </c>
      <c r="T715" s="518" t="s">
        <v>2404</v>
      </c>
      <c r="U715" s="38">
        <v>0</v>
      </c>
      <c r="V715" s="15" t="str">
        <f t="shared" si="79"/>
        <v/>
      </c>
      <c r="W715" s="10"/>
      <c r="X715" s="10"/>
      <c r="Y715" s="10"/>
      <c r="Z715" s="10"/>
      <c r="AA715" s="10"/>
      <c r="AB715" s="10"/>
      <c r="AC715" s="9"/>
      <c r="AD715" s="523" t="e">
        <v>#N/A</v>
      </c>
      <c r="AE715" s="523" t="e">
        <v>#N/A</v>
      </c>
      <c r="AF715" s="523" t="e">
        <v>#N/A</v>
      </c>
      <c r="AG715" s="524" t="e">
        <v>#N/A</v>
      </c>
      <c r="AH715" s="9"/>
      <c r="AI715" s="10"/>
      <c r="AJ715" s="9">
        <f t="shared" si="80"/>
        <v>0</v>
      </c>
      <c r="AK715" s="10"/>
      <c r="AL715" s="10"/>
    </row>
    <row r="716" spans="1:38" ht="33.75" hidden="1">
      <c r="A716" s="1">
        <f t="shared" ref="A716:A720" si="81">IF(E716=B716,0,1)</f>
        <v>0</v>
      </c>
      <c r="C716" s="3" t="s">
        <v>2411</v>
      </c>
      <c r="D716" s="15" t="s">
        <v>16</v>
      </c>
      <c r="E716" s="30"/>
      <c r="F716" s="31" t="s">
        <v>2412</v>
      </c>
      <c r="G716" s="32">
        <f>G717</f>
        <v>0</v>
      </c>
      <c r="H716" s="32">
        <f>H717</f>
        <v>0</v>
      </c>
      <c r="I716" s="15"/>
      <c r="J716" s="494"/>
      <c r="K716" s="513"/>
      <c r="L716" s="513"/>
      <c r="M716" s="513"/>
      <c r="N716" s="514"/>
      <c r="O716" s="513"/>
      <c r="P716" s="513"/>
      <c r="Q716" s="513"/>
      <c r="R716" s="513"/>
      <c r="S716" s="513"/>
      <c r="T716" s="514"/>
      <c r="U716" s="32">
        <f>U717</f>
        <v>0</v>
      </c>
      <c r="V716" s="15" t="str">
        <f t="shared" si="79"/>
        <v>201020300</v>
      </c>
      <c r="W716" s="33">
        <v>2</v>
      </c>
      <c r="X716" s="34" t="s">
        <v>632</v>
      </c>
      <c r="Y716" s="34" t="s">
        <v>647</v>
      </c>
      <c r="Z716" s="35" t="s">
        <v>671</v>
      </c>
      <c r="AA716" s="35" t="s">
        <v>630</v>
      </c>
      <c r="AB716" s="31" t="s">
        <v>2412</v>
      </c>
      <c r="AC716" s="582" t="e">
        <f>#REF!</f>
        <v>#REF!</v>
      </c>
      <c r="AD716" s="513">
        <v>0</v>
      </c>
      <c r="AE716" s="513" t="s">
        <v>13484</v>
      </c>
      <c r="AF716" s="513" t="s">
        <v>235</v>
      </c>
      <c r="AG716" s="514" t="s">
        <v>2413</v>
      </c>
      <c r="AH716" s="516" t="e">
        <f>AC716</f>
        <v>#REF!</v>
      </c>
      <c r="AI716" s="10"/>
      <c r="AJ716" s="9" t="e">
        <f t="shared" si="80"/>
        <v>#REF!</v>
      </c>
      <c r="AK716" s="10"/>
      <c r="AL716" s="10"/>
    </row>
    <row r="717" spans="1:38" ht="33.75" hidden="1">
      <c r="A717" s="1">
        <f t="shared" si="81"/>
        <v>0</v>
      </c>
      <c r="B717" s="2" t="s">
        <v>2414</v>
      </c>
      <c r="C717" s="3" t="s">
        <v>2415</v>
      </c>
      <c r="D717" s="15" t="s">
        <v>11581</v>
      </c>
      <c r="E717" s="4" t="s">
        <v>2414</v>
      </c>
      <c r="F717" s="37" t="s">
        <v>2415</v>
      </c>
      <c r="G717" s="38">
        <v>0</v>
      </c>
      <c r="H717" s="38">
        <v>0</v>
      </c>
      <c r="I717" s="15"/>
      <c r="J717" s="494">
        <v>20102030101</v>
      </c>
      <c r="K717" s="517"/>
      <c r="L717" s="517" t="s">
        <v>13484</v>
      </c>
      <c r="M717" s="517" t="s">
        <v>235</v>
      </c>
      <c r="N717" s="518" t="s">
        <v>2413</v>
      </c>
      <c r="O717" s="517">
        <v>2</v>
      </c>
      <c r="P717" s="517" t="s">
        <v>632</v>
      </c>
      <c r="Q717" s="517" t="s">
        <v>647</v>
      </c>
      <c r="R717" s="517" t="s">
        <v>671</v>
      </c>
      <c r="S717" s="517" t="s">
        <v>632</v>
      </c>
      <c r="T717" s="518" t="s">
        <v>2412</v>
      </c>
      <c r="U717" s="38">
        <v>0</v>
      </c>
      <c r="V717" s="15" t="str">
        <f t="shared" si="79"/>
        <v>201020301</v>
      </c>
      <c r="W717" s="39">
        <v>2</v>
      </c>
      <c r="X717" s="40" t="s">
        <v>632</v>
      </c>
      <c r="Y717" s="50" t="s">
        <v>647</v>
      </c>
      <c r="Z717" s="40" t="s">
        <v>671</v>
      </c>
      <c r="AA717" s="40" t="s">
        <v>632</v>
      </c>
      <c r="AB717" s="42" t="s">
        <v>2412</v>
      </c>
      <c r="AC717" s="9">
        <f>H717</f>
        <v>0</v>
      </c>
      <c r="AD717" s="517">
        <v>0</v>
      </c>
      <c r="AE717" s="517" t="s">
        <v>13484</v>
      </c>
      <c r="AF717" s="517" t="s">
        <v>235</v>
      </c>
      <c r="AG717" s="518" t="s">
        <v>2413</v>
      </c>
      <c r="AH717" s="67">
        <f>AC717</f>
        <v>0</v>
      </c>
      <c r="AI717" s="10"/>
      <c r="AJ717" s="9">
        <f t="shared" si="80"/>
        <v>0</v>
      </c>
      <c r="AK717" s="10"/>
      <c r="AL717" s="10"/>
    </row>
    <row r="718" spans="1:38" ht="33.75" hidden="1">
      <c r="A718" s="1">
        <f t="shared" si="81"/>
        <v>0</v>
      </c>
      <c r="C718" s="3" t="s">
        <v>2416</v>
      </c>
      <c r="D718" s="15" t="s">
        <v>16</v>
      </c>
      <c r="E718" s="30"/>
      <c r="F718" s="31" t="s">
        <v>2417</v>
      </c>
      <c r="G718" s="32">
        <f>SUM(G719:G727)</f>
        <v>29574291.16</v>
      </c>
      <c r="H718" s="32">
        <f>SUM(H719:H729)</f>
        <v>24748502.419999998</v>
      </c>
      <c r="I718" s="15"/>
      <c r="J718" s="494"/>
      <c r="K718" s="513"/>
      <c r="L718" s="513"/>
      <c r="M718" s="513"/>
      <c r="N718" s="514"/>
      <c r="O718" s="513"/>
      <c r="P718" s="513"/>
      <c r="Q718" s="513"/>
      <c r="R718" s="513"/>
      <c r="S718" s="513"/>
      <c r="T718" s="514"/>
      <c r="U718" s="32">
        <f>SUM(U719:U729)</f>
        <v>24748502.419999998</v>
      </c>
      <c r="V718" s="15" t="str">
        <f t="shared" si="79"/>
        <v>201020400</v>
      </c>
      <c r="W718" s="33">
        <v>2</v>
      </c>
      <c r="X718" s="34" t="s">
        <v>632</v>
      </c>
      <c r="Y718" s="34" t="s">
        <v>647</v>
      </c>
      <c r="Z718" s="35" t="s">
        <v>693</v>
      </c>
      <c r="AA718" s="35" t="s">
        <v>630</v>
      </c>
      <c r="AB718" s="31" t="s">
        <v>2417</v>
      </c>
      <c r="AC718" s="529">
        <f>AC719</f>
        <v>24748502.419999998</v>
      </c>
      <c r="AD718" s="513">
        <v>0</v>
      </c>
      <c r="AE718" s="513" t="s">
        <v>2418</v>
      </c>
      <c r="AF718" s="513" t="s">
        <v>236</v>
      </c>
      <c r="AG718" s="514" t="s">
        <v>2419</v>
      </c>
      <c r="AH718" s="516">
        <f>AC718</f>
        <v>24748502.419999998</v>
      </c>
      <c r="AI718" s="10"/>
      <c r="AJ718" s="9">
        <f t="shared" si="80"/>
        <v>0</v>
      </c>
      <c r="AK718" s="10"/>
      <c r="AL718" s="10"/>
    </row>
    <row r="719" spans="1:38" ht="22.5" hidden="1">
      <c r="A719" s="1">
        <f t="shared" si="81"/>
        <v>0</v>
      </c>
      <c r="B719" s="2" t="s">
        <v>2420</v>
      </c>
      <c r="C719" s="3" t="s">
        <v>2421</v>
      </c>
      <c r="D719" s="15" t="s">
        <v>11582</v>
      </c>
      <c r="E719" s="4" t="s">
        <v>2420</v>
      </c>
      <c r="F719" s="37" t="s">
        <v>2421</v>
      </c>
      <c r="G719" s="38">
        <v>48018.38</v>
      </c>
      <c r="H719" s="38">
        <v>48018.38</v>
      </c>
      <c r="I719" s="15"/>
      <c r="J719" s="494">
        <v>20102040101</v>
      </c>
      <c r="K719" s="517"/>
      <c r="L719" s="517" t="s">
        <v>2418</v>
      </c>
      <c r="M719" s="517" t="s">
        <v>236</v>
      </c>
      <c r="N719" s="518" t="s">
        <v>2419</v>
      </c>
      <c r="O719" s="517">
        <v>2</v>
      </c>
      <c r="P719" s="517" t="s">
        <v>632</v>
      </c>
      <c r="Q719" s="517" t="s">
        <v>647</v>
      </c>
      <c r="R719" s="517" t="s">
        <v>693</v>
      </c>
      <c r="S719" s="517" t="s">
        <v>632</v>
      </c>
      <c r="T719" s="518" t="s">
        <v>2417</v>
      </c>
      <c r="U719" s="38">
        <v>48018.38</v>
      </c>
      <c r="V719" s="15" t="str">
        <f t="shared" si="79"/>
        <v>201020401</v>
      </c>
      <c r="W719" s="39">
        <v>2</v>
      </c>
      <c r="X719" s="40" t="s">
        <v>632</v>
      </c>
      <c r="Y719" s="50" t="s">
        <v>647</v>
      </c>
      <c r="Z719" s="40" t="s">
        <v>693</v>
      </c>
      <c r="AA719" s="40" t="s">
        <v>632</v>
      </c>
      <c r="AB719" s="42" t="s">
        <v>2417</v>
      </c>
      <c r="AC719" s="519">
        <f>SUM(H719:H729)</f>
        <v>24748502.419999998</v>
      </c>
      <c r="AD719" s="517">
        <v>0</v>
      </c>
      <c r="AE719" s="517" t="s">
        <v>2418</v>
      </c>
      <c r="AF719" s="517" t="s">
        <v>236</v>
      </c>
      <c r="AG719" s="518" t="s">
        <v>2419</v>
      </c>
      <c r="AH719" s="67">
        <f>AC719</f>
        <v>24748502.419999998</v>
      </c>
      <c r="AI719" s="10"/>
      <c r="AJ719" s="9"/>
      <c r="AK719" s="10"/>
      <c r="AL719" s="10"/>
    </row>
    <row r="720" spans="1:38" ht="56.25" hidden="1">
      <c r="A720" s="1">
        <f t="shared" si="81"/>
        <v>0</v>
      </c>
      <c r="B720" s="2" t="s">
        <v>2422</v>
      </c>
      <c r="C720" s="3" t="s">
        <v>2423</v>
      </c>
      <c r="D720" s="15" t="s">
        <v>11582</v>
      </c>
      <c r="E720" s="4" t="s">
        <v>2422</v>
      </c>
      <c r="F720" s="37" t="s">
        <v>2423</v>
      </c>
      <c r="G720" s="38">
        <v>3192000</v>
      </c>
      <c r="H720" s="38">
        <v>3192000</v>
      </c>
      <c r="I720" s="15"/>
      <c r="J720" s="494">
        <v>20102040102</v>
      </c>
      <c r="L720" s="523" t="s">
        <v>2418</v>
      </c>
      <c r="M720" s="523" t="s">
        <v>236</v>
      </c>
      <c r="N720" s="518" t="s">
        <v>2419</v>
      </c>
      <c r="O720" s="523">
        <v>2</v>
      </c>
      <c r="P720" s="523" t="s">
        <v>632</v>
      </c>
      <c r="Q720" s="523" t="s">
        <v>647</v>
      </c>
      <c r="R720" s="523" t="s">
        <v>693</v>
      </c>
      <c r="S720" s="523" t="s">
        <v>632</v>
      </c>
      <c r="T720" s="518" t="s">
        <v>2417</v>
      </c>
      <c r="U720" s="38">
        <v>3192000</v>
      </c>
      <c r="V720" s="15" t="str">
        <f t="shared" si="79"/>
        <v/>
      </c>
      <c r="W720" s="10"/>
      <c r="X720" s="10"/>
      <c r="Y720" s="10"/>
      <c r="Z720" s="10"/>
      <c r="AA720" s="10"/>
      <c r="AB720" s="10"/>
      <c r="AC720" s="9"/>
      <c r="AD720" s="523" t="e">
        <v>#N/A</v>
      </c>
      <c r="AE720" s="523" t="e">
        <v>#N/A</v>
      </c>
      <c r="AF720" s="523" t="e">
        <v>#N/A</v>
      </c>
      <c r="AG720" s="524" t="e">
        <v>#N/A</v>
      </c>
      <c r="AH720" s="9"/>
      <c r="AI720" s="10"/>
      <c r="AJ720" s="9"/>
      <c r="AK720" s="10"/>
      <c r="AL720" s="10"/>
    </row>
    <row r="721" spans="1:38" ht="45" hidden="1">
      <c r="A721" s="1">
        <f>IF(E721=B721,0,1)</f>
        <v>0</v>
      </c>
      <c r="B721" s="2" t="s">
        <v>2424</v>
      </c>
      <c r="C721" s="3" t="s">
        <v>2425</v>
      </c>
      <c r="D721" s="15" t="s">
        <v>11582</v>
      </c>
      <c r="E721" s="4" t="s">
        <v>2424</v>
      </c>
      <c r="F721" s="37" t="s">
        <v>2425</v>
      </c>
      <c r="G721" s="38">
        <v>1000000</v>
      </c>
      <c r="H721" s="38">
        <v>1000000</v>
      </c>
      <c r="I721" s="15"/>
      <c r="J721" s="494">
        <v>20102040103</v>
      </c>
      <c r="L721" s="523" t="s">
        <v>2418</v>
      </c>
      <c r="M721" s="523" t="s">
        <v>236</v>
      </c>
      <c r="N721" s="518" t="s">
        <v>2419</v>
      </c>
      <c r="O721" s="523">
        <v>2</v>
      </c>
      <c r="P721" s="523" t="s">
        <v>632</v>
      </c>
      <c r="Q721" s="523" t="s">
        <v>647</v>
      </c>
      <c r="R721" s="523" t="s">
        <v>693</v>
      </c>
      <c r="S721" s="523" t="s">
        <v>632</v>
      </c>
      <c r="T721" s="518" t="s">
        <v>2417</v>
      </c>
      <c r="U721" s="38">
        <v>1000000</v>
      </c>
      <c r="V721" s="15" t="str">
        <f t="shared" si="79"/>
        <v/>
      </c>
      <c r="W721" s="10"/>
      <c r="X721" s="10"/>
      <c r="Y721" s="10"/>
      <c r="Z721" s="10"/>
      <c r="AA721" s="10"/>
      <c r="AB721" s="10"/>
      <c r="AC721" s="9"/>
      <c r="AD721" s="523" t="e">
        <v>#N/A</v>
      </c>
      <c r="AE721" s="523" t="e">
        <v>#N/A</v>
      </c>
      <c r="AF721" s="523" t="e">
        <v>#N/A</v>
      </c>
      <c r="AG721" s="524" t="e">
        <v>#N/A</v>
      </c>
      <c r="AH721" s="9"/>
      <c r="AI721" s="10"/>
      <c r="AJ721" s="9"/>
      <c r="AK721" s="10"/>
      <c r="AL721" s="10"/>
    </row>
    <row r="722" spans="1:38" ht="56.25" hidden="1">
      <c r="A722" s="1">
        <f t="shared" ref="A722:A786" si="82">IF(E722=B722,0,1)</f>
        <v>0</v>
      </c>
      <c r="B722" s="2" t="s">
        <v>2426</v>
      </c>
      <c r="C722" s="3" t="s">
        <v>2427</v>
      </c>
      <c r="D722" s="15" t="s">
        <v>11583</v>
      </c>
      <c r="E722" s="4" t="s">
        <v>2426</v>
      </c>
      <c r="F722" s="37" t="s">
        <v>2427</v>
      </c>
      <c r="G722" s="38">
        <v>9720823.7799999993</v>
      </c>
      <c r="H722" s="38">
        <v>3239191.01</v>
      </c>
      <c r="I722" s="15"/>
      <c r="J722" s="494">
        <v>20102049501</v>
      </c>
      <c r="L722" s="523" t="s">
        <v>2418</v>
      </c>
      <c r="M722" s="523" t="s">
        <v>236</v>
      </c>
      <c r="N722" s="518" t="s">
        <v>2419</v>
      </c>
      <c r="O722" s="523">
        <v>2</v>
      </c>
      <c r="P722" s="523" t="s">
        <v>632</v>
      </c>
      <c r="Q722" s="523" t="s">
        <v>647</v>
      </c>
      <c r="R722" s="523" t="s">
        <v>693</v>
      </c>
      <c r="S722" s="523" t="s">
        <v>630</v>
      </c>
      <c r="T722" s="518" t="s">
        <v>2417</v>
      </c>
      <c r="U722" s="38">
        <v>3239191.01</v>
      </c>
      <c r="V722" s="15" t="str">
        <f t="shared" si="79"/>
        <v/>
      </c>
      <c r="W722" s="10"/>
      <c r="X722" s="10"/>
      <c r="Y722" s="10"/>
      <c r="Z722" s="10"/>
      <c r="AA722" s="10"/>
      <c r="AB722" s="10"/>
      <c r="AC722" s="9"/>
      <c r="AD722" s="523" t="e">
        <v>#N/A</v>
      </c>
      <c r="AE722" s="523" t="e">
        <v>#N/A</v>
      </c>
      <c r="AF722" s="523" t="e">
        <v>#N/A</v>
      </c>
      <c r="AG722" s="524" t="e">
        <v>#N/A</v>
      </c>
      <c r="AH722" s="9"/>
      <c r="AI722" s="10"/>
      <c r="AJ722" s="9"/>
      <c r="AK722" s="10"/>
      <c r="AL722" s="10"/>
    </row>
    <row r="723" spans="1:38" ht="45" hidden="1">
      <c r="A723" s="1">
        <f t="shared" si="82"/>
        <v>0</v>
      </c>
      <c r="B723" s="2" t="s">
        <v>2428</v>
      </c>
      <c r="C723" s="3" t="s">
        <v>2429</v>
      </c>
      <c r="D723" s="15" t="s">
        <v>11584</v>
      </c>
      <c r="E723" s="4" t="s">
        <v>2428</v>
      </c>
      <c r="F723" s="37" t="s">
        <v>2429</v>
      </c>
      <c r="G723" s="38">
        <v>2800000</v>
      </c>
      <c r="H723" s="38">
        <v>2674162.0099999998</v>
      </c>
      <c r="I723" s="15"/>
      <c r="J723" s="494">
        <v>20102049601</v>
      </c>
      <c r="K723" s="591"/>
      <c r="L723" s="591" t="s">
        <v>2418</v>
      </c>
      <c r="M723" s="591" t="s">
        <v>236</v>
      </c>
      <c r="N723" s="592" t="s">
        <v>2419</v>
      </c>
      <c r="O723" s="591">
        <v>2</v>
      </c>
      <c r="P723" s="591" t="s">
        <v>632</v>
      </c>
      <c r="Q723" s="591" t="s">
        <v>647</v>
      </c>
      <c r="R723" s="591" t="s">
        <v>693</v>
      </c>
      <c r="S723" s="591" t="s">
        <v>630</v>
      </c>
      <c r="T723" s="592" t="s">
        <v>2417</v>
      </c>
      <c r="U723" s="38">
        <v>2674162.0099999998</v>
      </c>
      <c r="V723" s="15" t="str">
        <f t="shared" si="79"/>
        <v/>
      </c>
      <c r="W723" s="10"/>
      <c r="X723" s="10"/>
      <c r="Y723" s="10"/>
      <c r="Z723" s="10"/>
      <c r="AA723" s="10"/>
      <c r="AB723" s="75"/>
      <c r="AC723" s="9"/>
      <c r="AD723" s="591" t="e">
        <v>#N/A</v>
      </c>
      <c r="AE723" s="591" t="e">
        <v>#N/A</v>
      </c>
      <c r="AF723" s="591" t="e">
        <v>#N/A</v>
      </c>
      <c r="AG723" s="593" t="e">
        <v>#N/A</v>
      </c>
      <c r="AH723" s="9"/>
      <c r="AI723" s="10"/>
      <c r="AJ723" s="9"/>
      <c r="AK723" s="10"/>
      <c r="AL723" s="10"/>
    </row>
    <row r="724" spans="1:38" ht="45" hidden="1">
      <c r="A724" s="1">
        <f t="shared" si="82"/>
        <v>0</v>
      </c>
      <c r="B724" s="2" t="s">
        <v>2430</v>
      </c>
      <c r="C724" s="3" t="s">
        <v>2431</v>
      </c>
      <c r="D724" s="15" t="s">
        <v>11584</v>
      </c>
      <c r="E724" s="4" t="s">
        <v>2430</v>
      </c>
      <c r="F724" s="37" t="s">
        <v>2431</v>
      </c>
      <c r="G724" s="38">
        <v>0</v>
      </c>
      <c r="H724" s="38">
        <v>-1313.97</v>
      </c>
      <c r="I724" s="15"/>
      <c r="J724" s="494">
        <v>20102049602</v>
      </c>
      <c r="L724" s="523" t="s">
        <v>2418</v>
      </c>
      <c r="M724" s="523" t="s">
        <v>236</v>
      </c>
      <c r="N724" s="518" t="s">
        <v>2419</v>
      </c>
      <c r="O724" s="523">
        <v>2</v>
      </c>
      <c r="P724" s="523" t="s">
        <v>632</v>
      </c>
      <c r="Q724" s="523" t="s">
        <v>647</v>
      </c>
      <c r="R724" s="523" t="s">
        <v>693</v>
      </c>
      <c r="S724" s="523" t="s">
        <v>630</v>
      </c>
      <c r="T724" s="518" t="s">
        <v>2417</v>
      </c>
      <c r="U724" s="38">
        <v>-1313.97</v>
      </c>
      <c r="V724" s="15" t="str">
        <f t="shared" si="79"/>
        <v/>
      </c>
      <c r="W724" s="10"/>
      <c r="X724" s="10"/>
      <c r="Y724" s="10"/>
      <c r="Z724" s="10"/>
      <c r="AA724" s="10"/>
      <c r="AB724" s="10"/>
      <c r="AC724" s="9"/>
      <c r="AD724" s="523" t="e">
        <v>#N/A</v>
      </c>
      <c r="AE724" s="523" t="e">
        <v>#N/A</v>
      </c>
      <c r="AF724" s="523" t="e">
        <v>#N/A</v>
      </c>
      <c r="AG724" s="524" t="e">
        <v>#N/A</v>
      </c>
      <c r="AH724" s="9"/>
      <c r="AI724" s="10"/>
      <c r="AJ724" s="9"/>
      <c r="AK724" s="10"/>
      <c r="AL724" s="10"/>
    </row>
    <row r="725" spans="1:38" ht="45" hidden="1">
      <c r="A725" s="1">
        <f t="shared" si="82"/>
        <v>0</v>
      </c>
      <c r="B725" s="2" t="s">
        <v>2432</v>
      </c>
      <c r="C725" s="3" t="s">
        <v>2433</v>
      </c>
      <c r="D725" s="15" t="s">
        <v>11585</v>
      </c>
      <c r="E725" s="4" t="s">
        <v>2432</v>
      </c>
      <c r="F725" s="37" t="s">
        <v>2433</v>
      </c>
      <c r="G725" s="38">
        <v>11219762</v>
      </c>
      <c r="H725" s="38">
        <v>11219760.4</v>
      </c>
      <c r="I725" s="15"/>
      <c r="J725" s="494">
        <v>20102049701</v>
      </c>
      <c r="L725" s="523" t="s">
        <v>2418</v>
      </c>
      <c r="M725" s="523" t="s">
        <v>236</v>
      </c>
      <c r="N725" s="518" t="s">
        <v>2419</v>
      </c>
      <c r="O725" s="523">
        <v>2</v>
      </c>
      <c r="P725" s="523" t="s">
        <v>632</v>
      </c>
      <c r="Q725" s="523" t="s">
        <v>647</v>
      </c>
      <c r="R725" s="523" t="s">
        <v>693</v>
      </c>
      <c r="S725" s="523" t="s">
        <v>630</v>
      </c>
      <c r="T725" s="518" t="s">
        <v>2417</v>
      </c>
      <c r="U725" s="38">
        <v>11219760.4</v>
      </c>
      <c r="V725" s="15" t="str">
        <f t="shared" si="79"/>
        <v/>
      </c>
      <c r="W725" s="10"/>
      <c r="X725" s="10"/>
      <c r="Y725" s="10"/>
      <c r="Z725" s="10"/>
      <c r="AA725" s="10"/>
      <c r="AB725" s="10"/>
      <c r="AC725" s="9"/>
      <c r="AD725" s="523" t="e">
        <v>#N/A</v>
      </c>
      <c r="AE725" s="523" t="e">
        <v>#N/A</v>
      </c>
      <c r="AF725" s="523" t="e">
        <v>#N/A</v>
      </c>
      <c r="AG725" s="524" t="e">
        <v>#N/A</v>
      </c>
      <c r="AH725" s="9"/>
      <c r="AI725" s="10"/>
      <c r="AJ725" s="9"/>
      <c r="AK725" s="10"/>
      <c r="AL725" s="10"/>
    </row>
    <row r="726" spans="1:38" ht="45" hidden="1">
      <c r="A726" s="1">
        <f t="shared" si="82"/>
        <v>0</v>
      </c>
      <c r="B726" s="2" t="s">
        <v>2434</v>
      </c>
      <c r="C726" s="3" t="s">
        <v>2435</v>
      </c>
      <c r="D726" s="15" t="s">
        <v>11586</v>
      </c>
      <c r="E726" s="4" t="s">
        <v>2434</v>
      </c>
      <c r="F726" s="37" t="s">
        <v>2435</v>
      </c>
      <c r="G726" s="38">
        <v>885928</v>
      </c>
      <c r="H726" s="38">
        <v>885928</v>
      </c>
      <c r="I726" s="15"/>
      <c r="J726" s="494">
        <v>20102049801</v>
      </c>
      <c r="L726" s="523" t="s">
        <v>2418</v>
      </c>
      <c r="M726" s="523" t="s">
        <v>236</v>
      </c>
      <c r="N726" s="518" t="s">
        <v>2419</v>
      </c>
      <c r="O726" s="523">
        <v>2</v>
      </c>
      <c r="P726" s="523" t="s">
        <v>632</v>
      </c>
      <c r="Q726" s="523" t="s">
        <v>647</v>
      </c>
      <c r="R726" s="523" t="s">
        <v>693</v>
      </c>
      <c r="S726" s="523" t="s">
        <v>630</v>
      </c>
      <c r="T726" s="518" t="s">
        <v>2417</v>
      </c>
      <c r="U726" s="38">
        <v>885928</v>
      </c>
      <c r="V726" s="15" t="str">
        <f t="shared" si="79"/>
        <v/>
      </c>
      <c r="W726" s="10"/>
      <c r="X726" s="10"/>
      <c r="Y726" s="10"/>
      <c r="Z726" s="10"/>
      <c r="AA726" s="10"/>
      <c r="AB726" s="10"/>
      <c r="AC726" s="9"/>
      <c r="AD726" s="523" t="e">
        <v>#N/A</v>
      </c>
      <c r="AE726" s="523" t="e">
        <v>#N/A</v>
      </c>
      <c r="AF726" s="523" t="e">
        <v>#N/A</v>
      </c>
      <c r="AG726" s="524" t="e">
        <v>#N/A</v>
      </c>
      <c r="AH726" s="9"/>
      <c r="AI726" s="10"/>
      <c r="AJ726" s="9"/>
      <c r="AK726" s="10"/>
      <c r="AL726" s="10"/>
    </row>
    <row r="727" spans="1:38" ht="33.75" hidden="1">
      <c r="A727" s="1">
        <f t="shared" si="82"/>
        <v>0</v>
      </c>
      <c r="B727" s="2" t="s">
        <v>2436</v>
      </c>
      <c r="C727" s="3" t="s">
        <v>2437</v>
      </c>
      <c r="D727" s="15" t="s">
        <v>11586</v>
      </c>
      <c r="E727" s="4" t="s">
        <v>2436</v>
      </c>
      <c r="F727" s="37" t="s">
        <v>2437</v>
      </c>
      <c r="G727" s="38">
        <v>707759</v>
      </c>
      <c r="H727" s="38">
        <v>383812.99</v>
      </c>
      <c r="I727" s="15"/>
      <c r="J727" s="494">
        <v>20102049802</v>
      </c>
      <c r="L727" s="523" t="s">
        <v>2418</v>
      </c>
      <c r="M727" s="523" t="s">
        <v>236</v>
      </c>
      <c r="N727" s="518" t="s">
        <v>2419</v>
      </c>
      <c r="O727" s="523">
        <v>2</v>
      </c>
      <c r="P727" s="523" t="s">
        <v>632</v>
      </c>
      <c r="Q727" s="523" t="s">
        <v>647</v>
      </c>
      <c r="R727" s="523" t="s">
        <v>693</v>
      </c>
      <c r="S727" s="523" t="s">
        <v>630</v>
      </c>
      <c r="T727" s="518" t="s">
        <v>2417</v>
      </c>
      <c r="U727" s="38">
        <v>383812.99</v>
      </c>
      <c r="V727" s="15" t="str">
        <f t="shared" si="79"/>
        <v/>
      </c>
      <c r="W727" s="10"/>
      <c r="X727" s="10"/>
      <c r="Y727" s="10"/>
      <c r="Z727" s="10"/>
      <c r="AA727" s="10"/>
      <c r="AB727" s="10"/>
      <c r="AC727" s="9"/>
      <c r="AD727" s="523" t="e">
        <v>#N/A</v>
      </c>
      <c r="AE727" s="523" t="e">
        <v>#N/A</v>
      </c>
      <c r="AF727" s="523" t="e">
        <v>#N/A</v>
      </c>
      <c r="AG727" s="524" t="e">
        <v>#N/A</v>
      </c>
      <c r="AH727" s="9"/>
      <c r="AI727" s="10"/>
      <c r="AJ727" s="9"/>
      <c r="AK727" s="10"/>
      <c r="AL727" s="10"/>
    </row>
    <row r="728" spans="1:38" ht="33.75" hidden="1">
      <c r="A728" s="1">
        <f t="shared" si="82"/>
        <v>0</v>
      </c>
      <c r="B728" s="2" t="s">
        <v>2438</v>
      </c>
      <c r="C728" s="3" t="s">
        <v>2439</v>
      </c>
      <c r="D728" s="15" t="s">
        <v>11586</v>
      </c>
      <c r="E728" s="4" t="s">
        <v>2438</v>
      </c>
      <c r="F728" s="37" t="s">
        <v>2439</v>
      </c>
      <c r="G728" s="38"/>
      <c r="H728" s="38">
        <v>1254245</v>
      </c>
      <c r="I728" s="15"/>
      <c r="J728" s="494">
        <v>20102049803</v>
      </c>
      <c r="L728" s="523" t="s">
        <v>2418</v>
      </c>
      <c r="M728" s="523" t="s">
        <v>236</v>
      </c>
      <c r="N728" s="518" t="s">
        <v>2419</v>
      </c>
      <c r="O728" s="523">
        <v>2</v>
      </c>
      <c r="P728" s="523" t="s">
        <v>632</v>
      </c>
      <c r="Q728" s="523" t="s">
        <v>647</v>
      </c>
      <c r="R728" s="523" t="s">
        <v>693</v>
      </c>
      <c r="S728" s="523" t="s">
        <v>630</v>
      </c>
      <c r="T728" s="518" t="s">
        <v>2417</v>
      </c>
      <c r="U728" s="38">
        <v>1254245</v>
      </c>
      <c r="V728" s="15" t="str">
        <f t="shared" si="79"/>
        <v/>
      </c>
      <c r="W728" s="10"/>
      <c r="X728" s="10"/>
      <c r="Y728" s="10"/>
      <c r="Z728" s="10"/>
      <c r="AA728" s="10"/>
      <c r="AB728" s="10"/>
      <c r="AC728" s="9"/>
      <c r="AD728" s="523" t="e">
        <v>#N/A</v>
      </c>
      <c r="AE728" s="523" t="e">
        <v>#N/A</v>
      </c>
      <c r="AF728" s="523" t="e">
        <v>#N/A</v>
      </c>
      <c r="AG728" s="524" t="e">
        <v>#N/A</v>
      </c>
      <c r="AH728" s="9"/>
      <c r="AI728" s="10"/>
      <c r="AJ728" s="9"/>
      <c r="AK728" s="10"/>
      <c r="AL728" s="10"/>
    </row>
    <row r="729" spans="1:38" ht="45" hidden="1">
      <c r="A729" s="1">
        <f t="shared" si="82"/>
        <v>0</v>
      </c>
      <c r="B729" s="2" t="s">
        <v>2440</v>
      </c>
      <c r="C729" s="3" t="s">
        <v>2441</v>
      </c>
      <c r="D729" s="15" t="s">
        <v>11586</v>
      </c>
      <c r="E729" s="4" t="s">
        <v>2440</v>
      </c>
      <c r="F729" s="37" t="s">
        <v>2441</v>
      </c>
      <c r="G729" s="38"/>
      <c r="H729" s="38">
        <v>852698.6</v>
      </c>
      <c r="I729" s="15"/>
      <c r="J729" s="494">
        <v>20102049804</v>
      </c>
      <c r="L729" s="523" t="s">
        <v>2418</v>
      </c>
      <c r="M729" s="523" t="s">
        <v>236</v>
      </c>
      <c r="N729" s="518" t="s">
        <v>2419</v>
      </c>
      <c r="O729" s="523">
        <v>2</v>
      </c>
      <c r="P729" s="523" t="s">
        <v>632</v>
      </c>
      <c r="Q729" s="523" t="s">
        <v>647</v>
      </c>
      <c r="R729" s="523" t="s">
        <v>693</v>
      </c>
      <c r="S729" s="523" t="s">
        <v>630</v>
      </c>
      <c r="T729" s="518" t="s">
        <v>2417</v>
      </c>
      <c r="U729" s="38">
        <v>852698.6</v>
      </c>
      <c r="V729" s="15" t="str">
        <f t="shared" si="79"/>
        <v/>
      </c>
      <c r="W729" s="10"/>
      <c r="X729" s="10"/>
      <c r="Y729" s="10"/>
      <c r="Z729" s="10"/>
      <c r="AA729" s="10"/>
      <c r="AB729" s="10"/>
      <c r="AC729" s="9"/>
      <c r="AD729" s="523" t="e">
        <v>#N/A</v>
      </c>
      <c r="AE729" s="523" t="e">
        <v>#N/A</v>
      </c>
      <c r="AF729" s="523" t="e">
        <v>#N/A</v>
      </c>
      <c r="AG729" s="524" t="e">
        <v>#N/A</v>
      </c>
      <c r="AH729" s="9"/>
      <c r="AI729" s="10"/>
      <c r="AJ729" s="9"/>
      <c r="AK729" s="10"/>
      <c r="AL729" s="10"/>
    </row>
    <row r="730" spans="1:38" ht="33.75" hidden="1">
      <c r="A730" s="1">
        <f t="shared" si="82"/>
        <v>0</v>
      </c>
      <c r="B730" s="11"/>
      <c r="C730" s="11"/>
      <c r="D730" s="15" t="s">
        <v>16</v>
      </c>
      <c r="E730" s="30"/>
      <c r="F730" s="31" t="s">
        <v>2442</v>
      </c>
      <c r="G730" s="32">
        <f>SUM(G731:G768)</f>
        <v>23690465.730000004</v>
      </c>
      <c r="H730" s="32">
        <f>SUM(H731:H768)</f>
        <v>25776094.859999999</v>
      </c>
      <c r="I730" s="15"/>
      <c r="J730" s="494"/>
      <c r="K730" s="513"/>
      <c r="L730" s="513"/>
      <c r="M730" s="513"/>
      <c r="N730" s="514"/>
      <c r="O730" s="513"/>
      <c r="P730" s="513"/>
      <c r="Q730" s="513"/>
      <c r="R730" s="513"/>
      <c r="S730" s="513"/>
      <c r="T730" s="514"/>
      <c r="U730" s="32">
        <f>SUM(U731:U768)</f>
        <v>25776094.859999999</v>
      </c>
      <c r="V730" s="15" t="str">
        <f t="shared" si="79"/>
        <v>201020500</v>
      </c>
      <c r="W730" s="33">
        <v>2</v>
      </c>
      <c r="X730" s="34" t="s">
        <v>632</v>
      </c>
      <c r="Y730" s="34" t="s">
        <v>647</v>
      </c>
      <c r="Z730" s="35" t="s">
        <v>714</v>
      </c>
      <c r="AA730" s="35" t="s">
        <v>630</v>
      </c>
      <c r="AB730" s="31" t="s">
        <v>2442</v>
      </c>
      <c r="AC730" s="529">
        <f>SUM(AC731:AC768)</f>
        <v>25776094.859999999</v>
      </c>
      <c r="AD730" s="513">
        <v>0</v>
      </c>
      <c r="AE730" s="513" t="s">
        <v>2443</v>
      </c>
      <c r="AF730" s="513" t="s">
        <v>237</v>
      </c>
      <c r="AG730" s="514" t="s">
        <v>2444</v>
      </c>
      <c r="AH730" s="516">
        <f>AC730</f>
        <v>25776094.859999999</v>
      </c>
      <c r="AI730" s="10"/>
      <c r="AJ730" s="9">
        <f>AH730-H730</f>
        <v>0</v>
      </c>
      <c r="AK730" s="10"/>
      <c r="AL730" s="10"/>
    </row>
    <row r="731" spans="1:38" ht="33.75" hidden="1">
      <c r="A731" s="1">
        <f t="shared" si="82"/>
        <v>0</v>
      </c>
      <c r="B731" s="2" t="s">
        <v>2445</v>
      </c>
      <c r="C731" s="3" t="s">
        <v>2446</v>
      </c>
      <c r="D731" s="15" t="s">
        <v>11587</v>
      </c>
      <c r="E731" s="4" t="s">
        <v>2445</v>
      </c>
      <c r="F731" s="37" t="s">
        <v>2446</v>
      </c>
      <c r="G731" s="38">
        <v>1035336.85</v>
      </c>
      <c r="H731" s="38">
        <v>1035336.85</v>
      </c>
      <c r="I731" s="15"/>
      <c r="J731" s="494">
        <v>20102050101</v>
      </c>
      <c r="K731" s="517"/>
      <c r="L731" s="517" t="s">
        <v>2443</v>
      </c>
      <c r="M731" s="517" t="s">
        <v>237</v>
      </c>
      <c r="N731" s="518" t="s">
        <v>2444</v>
      </c>
      <c r="O731" s="517">
        <v>2</v>
      </c>
      <c r="P731" s="517" t="s">
        <v>632</v>
      </c>
      <c r="Q731" s="517" t="s">
        <v>647</v>
      </c>
      <c r="R731" s="517" t="s">
        <v>714</v>
      </c>
      <c r="S731" s="517" t="s">
        <v>632</v>
      </c>
      <c r="T731" s="518" t="s">
        <v>2442</v>
      </c>
      <c r="U731" s="38">
        <v>1035336.85</v>
      </c>
      <c r="V731" s="15" t="str">
        <f t="shared" si="79"/>
        <v>201020501</v>
      </c>
      <c r="W731" s="39">
        <v>2</v>
      </c>
      <c r="X731" s="40" t="s">
        <v>632</v>
      </c>
      <c r="Y731" s="40" t="s">
        <v>647</v>
      </c>
      <c r="Z731" s="40" t="s">
        <v>714</v>
      </c>
      <c r="AA731" s="40" t="s">
        <v>632</v>
      </c>
      <c r="AB731" s="41" t="s">
        <v>2442</v>
      </c>
      <c r="AC731" s="519">
        <f>SUM(H731:H768)</f>
        <v>25776094.859999999</v>
      </c>
      <c r="AD731" s="517">
        <v>0</v>
      </c>
      <c r="AE731" s="517" t="s">
        <v>2443</v>
      </c>
      <c r="AF731" s="517" t="s">
        <v>237</v>
      </c>
      <c r="AG731" s="520" t="s">
        <v>2444</v>
      </c>
      <c r="AH731" s="67">
        <f>AC731</f>
        <v>25776094.859999999</v>
      </c>
      <c r="AI731" s="10"/>
      <c r="AJ731" s="9"/>
      <c r="AK731" s="10"/>
      <c r="AL731" s="10"/>
    </row>
    <row r="732" spans="1:38" ht="22.5" hidden="1">
      <c r="A732" s="1">
        <f t="shared" si="82"/>
        <v>0</v>
      </c>
      <c r="B732" s="2" t="s">
        <v>2447</v>
      </c>
      <c r="C732" s="3" t="s">
        <v>2448</v>
      </c>
      <c r="D732" s="15" t="s">
        <v>11587</v>
      </c>
      <c r="E732" s="4" t="s">
        <v>2447</v>
      </c>
      <c r="F732" s="37" t="s">
        <v>2448</v>
      </c>
      <c r="G732" s="38">
        <v>11832.31</v>
      </c>
      <c r="H732" s="38">
        <v>11832.31</v>
      </c>
      <c r="I732" s="15"/>
      <c r="J732" s="494">
        <v>20102050102</v>
      </c>
      <c r="L732" s="523" t="s">
        <v>2443</v>
      </c>
      <c r="M732" s="523" t="s">
        <v>237</v>
      </c>
      <c r="N732" s="518" t="s">
        <v>2444</v>
      </c>
      <c r="O732" s="523">
        <v>2</v>
      </c>
      <c r="P732" s="523" t="s">
        <v>632</v>
      </c>
      <c r="Q732" s="523" t="s">
        <v>647</v>
      </c>
      <c r="R732" s="523" t="s">
        <v>714</v>
      </c>
      <c r="S732" s="523" t="s">
        <v>632</v>
      </c>
      <c r="T732" s="518" t="s">
        <v>2442</v>
      </c>
      <c r="U732" s="38">
        <v>11832.31</v>
      </c>
      <c r="V732" s="15" t="str">
        <f t="shared" si="79"/>
        <v/>
      </c>
      <c r="W732" s="10"/>
      <c r="X732" s="10"/>
      <c r="Y732" s="10"/>
      <c r="Z732" s="10"/>
      <c r="AA732" s="10"/>
      <c r="AB732" s="10"/>
      <c r="AC732" s="9"/>
      <c r="AD732" s="523" t="e">
        <v>#N/A</v>
      </c>
      <c r="AE732" s="523" t="e">
        <v>#N/A</v>
      </c>
      <c r="AF732" s="523" t="e">
        <v>#N/A</v>
      </c>
      <c r="AG732" s="524" t="e">
        <v>#N/A</v>
      </c>
      <c r="AH732" s="9"/>
      <c r="AI732" s="10"/>
      <c r="AJ732" s="9"/>
      <c r="AK732" s="10"/>
      <c r="AL732" s="10"/>
    </row>
    <row r="733" spans="1:38" ht="22.5" hidden="1">
      <c r="A733" s="1">
        <f t="shared" si="82"/>
        <v>0</v>
      </c>
      <c r="B733" s="2" t="s">
        <v>2449</v>
      </c>
      <c r="C733" s="3" t="s">
        <v>2450</v>
      </c>
      <c r="D733" s="15" t="s">
        <v>11587</v>
      </c>
      <c r="E733" s="4" t="s">
        <v>2449</v>
      </c>
      <c r="F733" s="37" t="s">
        <v>2450</v>
      </c>
      <c r="G733" s="38">
        <v>91668.91</v>
      </c>
      <c r="H733" s="38">
        <v>79668.73</v>
      </c>
      <c r="I733" s="15"/>
      <c r="J733" s="494">
        <v>20102050103</v>
      </c>
      <c r="L733" s="523" t="s">
        <v>2443</v>
      </c>
      <c r="M733" s="523" t="s">
        <v>237</v>
      </c>
      <c r="N733" s="518" t="s">
        <v>2444</v>
      </c>
      <c r="O733" s="523">
        <v>2</v>
      </c>
      <c r="P733" s="523" t="s">
        <v>632</v>
      </c>
      <c r="Q733" s="523" t="s">
        <v>647</v>
      </c>
      <c r="R733" s="523" t="s">
        <v>714</v>
      </c>
      <c r="S733" s="523" t="s">
        <v>632</v>
      </c>
      <c r="T733" s="518" t="s">
        <v>2442</v>
      </c>
      <c r="U733" s="38">
        <v>79668.73</v>
      </c>
      <c r="V733" s="15" t="str">
        <f t="shared" si="79"/>
        <v/>
      </c>
      <c r="W733" s="10"/>
      <c r="X733" s="10"/>
      <c r="Y733" s="10"/>
      <c r="Z733" s="10"/>
      <c r="AA733" s="10"/>
      <c r="AB733" s="10"/>
      <c r="AC733" s="9"/>
      <c r="AD733" s="523" t="e">
        <v>#N/A</v>
      </c>
      <c r="AE733" s="523" t="e">
        <v>#N/A</v>
      </c>
      <c r="AF733" s="523" t="e">
        <v>#N/A</v>
      </c>
      <c r="AG733" s="524" t="e">
        <v>#N/A</v>
      </c>
      <c r="AH733" s="9"/>
      <c r="AI733" s="10"/>
      <c r="AJ733" s="9"/>
      <c r="AK733" s="10"/>
      <c r="AL733" s="10"/>
    </row>
    <row r="734" spans="1:38" ht="22.5" hidden="1">
      <c r="A734" s="1">
        <f t="shared" si="82"/>
        <v>0</v>
      </c>
      <c r="B734" s="2" t="s">
        <v>2451</v>
      </c>
      <c r="C734" s="3" t="s">
        <v>2452</v>
      </c>
      <c r="D734" s="15" t="s">
        <v>11587</v>
      </c>
      <c r="E734" s="4" t="s">
        <v>2451</v>
      </c>
      <c r="F734" s="37" t="s">
        <v>2452</v>
      </c>
      <c r="G734" s="38">
        <v>0</v>
      </c>
      <c r="H734" s="38">
        <v>0</v>
      </c>
      <c r="I734" s="15"/>
      <c r="J734" s="494">
        <v>20102050104</v>
      </c>
      <c r="L734" s="523" t="s">
        <v>2443</v>
      </c>
      <c r="M734" s="523" t="s">
        <v>237</v>
      </c>
      <c r="N734" s="518" t="s">
        <v>2444</v>
      </c>
      <c r="O734" s="523">
        <v>2</v>
      </c>
      <c r="P734" s="523" t="s">
        <v>632</v>
      </c>
      <c r="Q734" s="523" t="s">
        <v>647</v>
      </c>
      <c r="R734" s="523" t="s">
        <v>714</v>
      </c>
      <c r="S734" s="523" t="s">
        <v>632</v>
      </c>
      <c r="T734" s="518" t="s">
        <v>2442</v>
      </c>
      <c r="U734" s="38">
        <v>0</v>
      </c>
      <c r="V734" s="15" t="str">
        <f t="shared" si="79"/>
        <v/>
      </c>
      <c r="W734" s="10"/>
      <c r="X734" s="10"/>
      <c r="Y734" s="10"/>
      <c r="Z734" s="10"/>
      <c r="AA734" s="10"/>
      <c r="AB734" s="10"/>
      <c r="AC734" s="9"/>
      <c r="AD734" s="523" t="e">
        <v>#N/A</v>
      </c>
      <c r="AE734" s="523" t="e">
        <v>#N/A</v>
      </c>
      <c r="AF734" s="523" t="e">
        <v>#N/A</v>
      </c>
      <c r="AG734" s="524" t="e">
        <v>#N/A</v>
      </c>
      <c r="AH734" s="9"/>
      <c r="AI734" s="10"/>
      <c r="AJ734" s="9"/>
      <c r="AK734" s="10"/>
      <c r="AL734" s="10"/>
    </row>
    <row r="735" spans="1:38" ht="33.75" hidden="1">
      <c r="A735" s="1">
        <f t="shared" si="82"/>
        <v>0</v>
      </c>
      <c r="B735" s="2" t="s">
        <v>2453</v>
      </c>
      <c r="C735" s="3" t="s">
        <v>2454</v>
      </c>
      <c r="D735" s="15" t="s">
        <v>11587</v>
      </c>
      <c r="E735" s="4" t="s">
        <v>2453</v>
      </c>
      <c r="F735" s="37" t="s">
        <v>2454</v>
      </c>
      <c r="G735" s="38">
        <v>769400</v>
      </c>
      <c r="H735" s="38">
        <v>769400</v>
      </c>
      <c r="I735" s="15"/>
      <c r="J735" s="494">
        <v>20102050105</v>
      </c>
      <c r="L735" s="523" t="s">
        <v>2443</v>
      </c>
      <c r="M735" s="523" t="s">
        <v>237</v>
      </c>
      <c r="N735" s="518" t="s">
        <v>2444</v>
      </c>
      <c r="O735" s="523">
        <v>2</v>
      </c>
      <c r="P735" s="523" t="s">
        <v>632</v>
      </c>
      <c r="Q735" s="523" t="s">
        <v>647</v>
      </c>
      <c r="R735" s="523" t="s">
        <v>714</v>
      </c>
      <c r="S735" s="523" t="s">
        <v>632</v>
      </c>
      <c r="T735" s="518" t="s">
        <v>2442</v>
      </c>
      <c r="U735" s="38">
        <v>769400</v>
      </c>
      <c r="V735" s="15" t="str">
        <f t="shared" si="79"/>
        <v/>
      </c>
      <c r="W735" s="10"/>
      <c r="X735" s="10"/>
      <c r="Y735" s="10"/>
      <c r="Z735" s="10"/>
      <c r="AA735" s="10"/>
      <c r="AB735" s="10"/>
      <c r="AC735" s="9"/>
      <c r="AD735" s="523" t="e">
        <v>#N/A</v>
      </c>
      <c r="AE735" s="523" t="e">
        <v>#N/A</v>
      </c>
      <c r="AF735" s="523" t="e">
        <v>#N/A</v>
      </c>
      <c r="AG735" s="524" t="e">
        <v>#N/A</v>
      </c>
      <c r="AH735" s="9"/>
      <c r="AI735" s="10"/>
      <c r="AJ735" s="9"/>
      <c r="AK735" s="10"/>
      <c r="AL735" s="10"/>
    </row>
    <row r="736" spans="1:38" ht="33.75" hidden="1">
      <c r="A736" s="1">
        <f t="shared" si="82"/>
        <v>0</v>
      </c>
      <c r="B736" s="2" t="s">
        <v>2455</v>
      </c>
      <c r="C736" s="3" t="s">
        <v>2456</v>
      </c>
      <c r="D736" s="15" t="s">
        <v>11587</v>
      </c>
      <c r="E736" s="4" t="s">
        <v>2455</v>
      </c>
      <c r="F736" s="37" t="s">
        <v>2456</v>
      </c>
      <c r="G736" s="38">
        <v>579254.03</v>
      </c>
      <c r="H736" s="38">
        <v>579254.03</v>
      </c>
      <c r="I736" s="15"/>
      <c r="J736" s="494">
        <v>20102050106</v>
      </c>
      <c r="L736" s="523" t="s">
        <v>2443</v>
      </c>
      <c r="M736" s="523" t="s">
        <v>237</v>
      </c>
      <c r="N736" s="518" t="s">
        <v>2444</v>
      </c>
      <c r="O736" s="523">
        <v>2</v>
      </c>
      <c r="P736" s="523" t="s">
        <v>632</v>
      </c>
      <c r="Q736" s="523" t="s">
        <v>647</v>
      </c>
      <c r="R736" s="523" t="s">
        <v>714</v>
      </c>
      <c r="S736" s="523" t="s">
        <v>632</v>
      </c>
      <c r="T736" s="518" t="s">
        <v>2442</v>
      </c>
      <c r="U736" s="38">
        <v>579254.03</v>
      </c>
      <c r="V736" s="15" t="str">
        <f t="shared" si="79"/>
        <v/>
      </c>
      <c r="W736" s="10"/>
      <c r="X736" s="10"/>
      <c r="Y736" s="10"/>
      <c r="Z736" s="10"/>
      <c r="AA736" s="10"/>
      <c r="AB736" s="10"/>
      <c r="AC736" s="9"/>
      <c r="AD736" s="523" t="e">
        <v>#N/A</v>
      </c>
      <c r="AE736" s="523" t="e">
        <v>#N/A</v>
      </c>
      <c r="AF736" s="523" t="e">
        <v>#N/A</v>
      </c>
      <c r="AG736" s="524" t="e">
        <v>#N/A</v>
      </c>
      <c r="AH736" s="9"/>
      <c r="AI736" s="10"/>
      <c r="AJ736" s="9"/>
      <c r="AK736" s="10"/>
      <c r="AL736" s="10"/>
    </row>
    <row r="737" spans="1:38" ht="22.5" hidden="1">
      <c r="A737" s="1">
        <f t="shared" si="82"/>
        <v>0</v>
      </c>
      <c r="B737" s="2" t="s">
        <v>2457</v>
      </c>
      <c r="C737" s="3" t="s">
        <v>2458</v>
      </c>
      <c r="D737" s="15" t="s">
        <v>11587</v>
      </c>
      <c r="E737" s="4" t="s">
        <v>2457</v>
      </c>
      <c r="F737" s="37" t="s">
        <v>2458</v>
      </c>
      <c r="G737" s="38">
        <v>233367.08</v>
      </c>
      <c r="H737" s="38">
        <v>233367.08</v>
      </c>
      <c r="I737" s="15"/>
      <c r="J737" s="494">
        <v>20102050107</v>
      </c>
      <c r="L737" s="523" t="s">
        <v>2443</v>
      </c>
      <c r="M737" s="523" t="s">
        <v>237</v>
      </c>
      <c r="N737" s="518" t="s">
        <v>2444</v>
      </c>
      <c r="O737" s="523">
        <v>2</v>
      </c>
      <c r="P737" s="523" t="s">
        <v>632</v>
      </c>
      <c r="Q737" s="523" t="s">
        <v>647</v>
      </c>
      <c r="R737" s="523" t="s">
        <v>714</v>
      </c>
      <c r="S737" s="523" t="s">
        <v>632</v>
      </c>
      <c r="T737" s="518" t="s">
        <v>2442</v>
      </c>
      <c r="U737" s="38">
        <v>233367.08</v>
      </c>
      <c r="V737" s="15" t="str">
        <f t="shared" si="79"/>
        <v/>
      </c>
      <c r="W737" s="10"/>
      <c r="X737" s="10"/>
      <c r="Y737" s="10"/>
      <c r="Z737" s="10"/>
      <c r="AA737" s="10"/>
      <c r="AB737" s="10"/>
      <c r="AC737" s="9"/>
      <c r="AD737" s="523" t="e">
        <v>#N/A</v>
      </c>
      <c r="AE737" s="523" t="e">
        <v>#N/A</v>
      </c>
      <c r="AF737" s="523" t="e">
        <v>#N/A</v>
      </c>
      <c r="AG737" s="524" t="e">
        <v>#N/A</v>
      </c>
      <c r="AH737" s="9"/>
      <c r="AI737" s="10"/>
      <c r="AJ737" s="9"/>
      <c r="AK737" s="10"/>
      <c r="AL737" s="10"/>
    </row>
    <row r="738" spans="1:38" ht="22.5" hidden="1">
      <c r="A738" s="1">
        <f t="shared" si="82"/>
        <v>0</v>
      </c>
      <c r="B738" s="2" t="s">
        <v>2459</v>
      </c>
      <c r="C738" s="3" t="s">
        <v>2460</v>
      </c>
      <c r="D738" s="15" t="s">
        <v>11587</v>
      </c>
      <c r="E738" s="4" t="s">
        <v>2459</v>
      </c>
      <c r="F738" s="37" t="s">
        <v>2460</v>
      </c>
      <c r="G738" s="38">
        <v>0</v>
      </c>
      <c r="H738" s="38">
        <v>0</v>
      </c>
      <c r="I738" s="15"/>
      <c r="J738" s="494">
        <v>20102050108</v>
      </c>
      <c r="L738" s="523" t="s">
        <v>2443</v>
      </c>
      <c r="M738" s="523" t="s">
        <v>237</v>
      </c>
      <c r="N738" s="518" t="s">
        <v>2444</v>
      </c>
      <c r="O738" s="523">
        <v>2</v>
      </c>
      <c r="P738" s="523" t="s">
        <v>632</v>
      </c>
      <c r="Q738" s="523" t="s">
        <v>647</v>
      </c>
      <c r="R738" s="523" t="s">
        <v>714</v>
      </c>
      <c r="S738" s="523" t="s">
        <v>632</v>
      </c>
      <c r="T738" s="518" t="s">
        <v>2442</v>
      </c>
      <c r="U738" s="38">
        <v>0</v>
      </c>
      <c r="V738" s="15" t="str">
        <f t="shared" si="79"/>
        <v/>
      </c>
      <c r="W738" s="10"/>
      <c r="X738" s="10"/>
      <c r="Y738" s="10"/>
      <c r="Z738" s="10"/>
      <c r="AA738" s="10"/>
      <c r="AB738" s="10"/>
      <c r="AC738" s="9"/>
      <c r="AD738" s="523" t="e">
        <v>#N/A</v>
      </c>
      <c r="AE738" s="523" t="e">
        <v>#N/A</v>
      </c>
      <c r="AF738" s="523" t="e">
        <v>#N/A</v>
      </c>
      <c r="AG738" s="524" t="e">
        <v>#N/A</v>
      </c>
      <c r="AH738" s="9"/>
      <c r="AI738" s="10"/>
      <c r="AJ738" s="9"/>
      <c r="AK738" s="10"/>
      <c r="AL738" s="10"/>
    </row>
    <row r="739" spans="1:38" ht="33.75" hidden="1">
      <c r="A739" s="1">
        <f t="shared" si="82"/>
        <v>0</v>
      </c>
      <c r="B739" s="2" t="s">
        <v>2461</v>
      </c>
      <c r="C739" s="3" t="s">
        <v>2462</v>
      </c>
      <c r="D739" s="15" t="s">
        <v>11587</v>
      </c>
      <c r="E739" s="4" t="s">
        <v>2461</v>
      </c>
      <c r="F739" s="37" t="s">
        <v>2462</v>
      </c>
      <c r="G739" s="38">
        <v>480000</v>
      </c>
      <c r="H739" s="38">
        <v>480000</v>
      </c>
      <c r="I739" s="15"/>
      <c r="J739" s="494">
        <v>20102050109</v>
      </c>
      <c r="L739" s="523" t="s">
        <v>2443</v>
      </c>
      <c r="M739" s="523" t="s">
        <v>237</v>
      </c>
      <c r="N739" s="518" t="s">
        <v>2444</v>
      </c>
      <c r="O739" s="523">
        <v>2</v>
      </c>
      <c r="P739" s="523" t="s">
        <v>632</v>
      </c>
      <c r="Q739" s="523" t="s">
        <v>647</v>
      </c>
      <c r="R739" s="523" t="s">
        <v>714</v>
      </c>
      <c r="S739" s="523" t="s">
        <v>632</v>
      </c>
      <c r="T739" s="518" t="s">
        <v>2442</v>
      </c>
      <c r="U739" s="38">
        <v>480000</v>
      </c>
      <c r="V739" s="15" t="str">
        <f t="shared" si="79"/>
        <v/>
      </c>
      <c r="W739" s="10"/>
      <c r="X739" s="10"/>
      <c r="Y739" s="10"/>
      <c r="Z739" s="10"/>
      <c r="AA739" s="10"/>
      <c r="AB739" s="10"/>
      <c r="AC739" s="9"/>
      <c r="AD739" s="523" t="e">
        <v>#N/A</v>
      </c>
      <c r="AE739" s="523" t="e">
        <v>#N/A</v>
      </c>
      <c r="AF739" s="523" t="e">
        <v>#N/A</v>
      </c>
      <c r="AG739" s="524" t="e">
        <v>#N/A</v>
      </c>
      <c r="AH739" s="9"/>
      <c r="AI739" s="10"/>
      <c r="AJ739" s="9"/>
      <c r="AK739" s="10"/>
      <c r="AL739" s="10"/>
    </row>
    <row r="740" spans="1:38" ht="33.75" hidden="1">
      <c r="A740" s="1">
        <f t="shared" si="82"/>
        <v>0</v>
      </c>
      <c r="B740" s="2" t="s">
        <v>2463</v>
      </c>
      <c r="C740" s="3" t="s">
        <v>2464</v>
      </c>
      <c r="D740" s="15" t="s">
        <v>11587</v>
      </c>
      <c r="E740" s="4" t="s">
        <v>2463</v>
      </c>
      <c r="F740" s="37" t="s">
        <v>2464</v>
      </c>
      <c r="G740" s="38">
        <v>2463285.77</v>
      </c>
      <c r="H740" s="38">
        <v>2463285.77</v>
      </c>
      <c r="I740" s="15"/>
      <c r="J740" s="494">
        <v>20102050110</v>
      </c>
      <c r="L740" s="523" t="s">
        <v>2443</v>
      </c>
      <c r="M740" s="523" t="s">
        <v>237</v>
      </c>
      <c r="N740" s="518" t="s">
        <v>2444</v>
      </c>
      <c r="O740" s="523">
        <v>2</v>
      </c>
      <c r="P740" s="523" t="s">
        <v>632</v>
      </c>
      <c r="Q740" s="523" t="s">
        <v>647</v>
      </c>
      <c r="R740" s="523" t="s">
        <v>714</v>
      </c>
      <c r="S740" s="523" t="s">
        <v>632</v>
      </c>
      <c r="T740" s="518" t="s">
        <v>2442</v>
      </c>
      <c r="U740" s="38">
        <v>2463285.77</v>
      </c>
      <c r="V740" s="15" t="str">
        <f t="shared" si="79"/>
        <v/>
      </c>
      <c r="W740" s="10"/>
      <c r="X740" s="10"/>
      <c r="Y740" s="10"/>
      <c r="Z740" s="10"/>
      <c r="AA740" s="10"/>
      <c r="AB740" s="10"/>
      <c r="AC740" s="9"/>
      <c r="AD740" s="523" t="e">
        <v>#N/A</v>
      </c>
      <c r="AE740" s="523" t="e">
        <v>#N/A</v>
      </c>
      <c r="AF740" s="523" t="e">
        <v>#N/A</v>
      </c>
      <c r="AG740" s="524" t="e">
        <v>#N/A</v>
      </c>
      <c r="AH740" s="9"/>
      <c r="AI740" s="10"/>
      <c r="AJ740" s="9"/>
      <c r="AK740" s="10"/>
      <c r="AL740" s="10"/>
    </row>
    <row r="741" spans="1:38" ht="33.75" hidden="1">
      <c r="A741" s="1">
        <f t="shared" si="82"/>
        <v>0</v>
      </c>
      <c r="B741" s="2" t="s">
        <v>2465</v>
      </c>
      <c r="C741" s="3" t="s">
        <v>2466</v>
      </c>
      <c r="D741" s="15" t="s">
        <v>11587</v>
      </c>
      <c r="E741" s="4" t="s">
        <v>2465</v>
      </c>
      <c r="F741" s="37" t="s">
        <v>2466</v>
      </c>
      <c r="G741" s="38">
        <v>2260009.31</v>
      </c>
      <c r="H741" s="38">
        <v>2260009.31</v>
      </c>
      <c r="I741" s="15"/>
      <c r="J741" s="494">
        <v>20102050111</v>
      </c>
      <c r="L741" s="523" t="s">
        <v>2443</v>
      </c>
      <c r="M741" s="523" t="s">
        <v>237</v>
      </c>
      <c r="N741" s="518" t="s">
        <v>2444</v>
      </c>
      <c r="O741" s="523">
        <v>2</v>
      </c>
      <c r="P741" s="523" t="s">
        <v>632</v>
      </c>
      <c r="Q741" s="523" t="s">
        <v>647</v>
      </c>
      <c r="R741" s="523" t="s">
        <v>714</v>
      </c>
      <c r="S741" s="523" t="s">
        <v>632</v>
      </c>
      <c r="T741" s="518" t="s">
        <v>2442</v>
      </c>
      <c r="U741" s="38">
        <v>2260009.31</v>
      </c>
      <c r="V741" s="15" t="str">
        <f t="shared" si="79"/>
        <v/>
      </c>
      <c r="W741" s="10"/>
      <c r="X741" s="9"/>
      <c r="Y741" s="10"/>
      <c r="Z741" s="10"/>
      <c r="AA741" s="10"/>
      <c r="AB741" s="10"/>
      <c r="AC741" s="9"/>
      <c r="AD741" s="523" t="e">
        <v>#N/A</v>
      </c>
      <c r="AE741" s="523" t="e">
        <v>#N/A</v>
      </c>
      <c r="AF741" s="523" t="e">
        <v>#N/A</v>
      </c>
      <c r="AG741" s="524" t="e">
        <v>#N/A</v>
      </c>
      <c r="AH741" s="9"/>
      <c r="AI741" s="10"/>
      <c r="AJ741" s="9"/>
      <c r="AK741" s="10"/>
      <c r="AL741" s="10"/>
    </row>
    <row r="742" spans="1:38" ht="22.5" hidden="1">
      <c r="A742" s="1">
        <f t="shared" si="82"/>
        <v>0</v>
      </c>
      <c r="B742" s="2" t="s">
        <v>2467</v>
      </c>
      <c r="C742" s="3" t="s">
        <v>2468</v>
      </c>
      <c r="D742" s="15" t="s">
        <v>11587</v>
      </c>
      <c r="E742" s="4" t="s">
        <v>2467</v>
      </c>
      <c r="F742" s="37" t="s">
        <v>2468</v>
      </c>
      <c r="G742" s="38">
        <v>3500000</v>
      </c>
      <c r="H742" s="38">
        <v>3500000</v>
      </c>
      <c r="I742" s="15"/>
      <c r="J742" s="494">
        <v>20102050112</v>
      </c>
      <c r="L742" s="523" t="s">
        <v>2443</v>
      </c>
      <c r="M742" s="523" t="s">
        <v>237</v>
      </c>
      <c r="N742" s="518" t="s">
        <v>2444</v>
      </c>
      <c r="O742" s="523">
        <v>2</v>
      </c>
      <c r="P742" s="523" t="s">
        <v>632</v>
      </c>
      <c r="Q742" s="523" t="s">
        <v>647</v>
      </c>
      <c r="R742" s="523" t="s">
        <v>714</v>
      </c>
      <c r="S742" s="523" t="s">
        <v>632</v>
      </c>
      <c r="T742" s="518" t="s">
        <v>2442</v>
      </c>
      <c r="U742" s="38">
        <v>3500000</v>
      </c>
      <c r="V742" s="15" t="str">
        <f t="shared" si="79"/>
        <v/>
      </c>
      <c r="W742" s="10"/>
      <c r="X742" s="10"/>
      <c r="Y742" s="10"/>
      <c r="Z742" s="10"/>
      <c r="AA742" s="10"/>
      <c r="AB742" s="10"/>
      <c r="AC742" s="9"/>
      <c r="AD742" s="523" t="e">
        <v>#N/A</v>
      </c>
      <c r="AE742" s="523" t="e">
        <v>#N/A</v>
      </c>
      <c r="AF742" s="523" t="e">
        <v>#N/A</v>
      </c>
      <c r="AG742" s="524" t="e">
        <v>#N/A</v>
      </c>
      <c r="AH742" s="9"/>
      <c r="AI742" s="10"/>
      <c r="AJ742" s="9"/>
      <c r="AK742" s="10"/>
      <c r="AL742" s="10"/>
    </row>
    <row r="743" spans="1:38" ht="33.75" hidden="1">
      <c r="A743" s="1">
        <f t="shared" si="82"/>
        <v>0</v>
      </c>
      <c r="B743" s="2" t="s">
        <v>2469</v>
      </c>
      <c r="C743" s="3" t="s">
        <v>2470</v>
      </c>
      <c r="D743" s="15" t="s">
        <v>11587</v>
      </c>
      <c r="E743" s="4" t="s">
        <v>2469</v>
      </c>
      <c r="F743" s="37" t="s">
        <v>2470</v>
      </c>
      <c r="G743" s="38">
        <v>80593.039999999994</v>
      </c>
      <c r="H743" s="38">
        <v>80593.039999999994</v>
      </c>
      <c r="I743" s="15"/>
      <c r="J743" s="494">
        <v>20102050113</v>
      </c>
      <c r="L743" s="523" t="s">
        <v>2443</v>
      </c>
      <c r="M743" s="523" t="s">
        <v>237</v>
      </c>
      <c r="N743" s="518" t="s">
        <v>2444</v>
      </c>
      <c r="O743" s="523">
        <v>2</v>
      </c>
      <c r="P743" s="523" t="s">
        <v>632</v>
      </c>
      <c r="Q743" s="523" t="s">
        <v>647</v>
      </c>
      <c r="R743" s="523" t="s">
        <v>714</v>
      </c>
      <c r="S743" s="523" t="s">
        <v>632</v>
      </c>
      <c r="T743" s="518" t="s">
        <v>2442</v>
      </c>
      <c r="U743" s="38">
        <v>80593.039999999994</v>
      </c>
      <c r="V743" s="15" t="str">
        <f t="shared" si="79"/>
        <v/>
      </c>
      <c r="W743" s="10"/>
      <c r="X743" s="10"/>
      <c r="Y743" s="10"/>
      <c r="Z743" s="10"/>
      <c r="AA743" s="10"/>
      <c r="AB743" s="10"/>
      <c r="AC743" s="9"/>
      <c r="AD743" s="523" t="e">
        <v>#N/A</v>
      </c>
      <c r="AE743" s="523" t="e">
        <v>#N/A</v>
      </c>
      <c r="AF743" s="523" t="e">
        <v>#N/A</v>
      </c>
      <c r="AG743" s="524" t="e">
        <v>#N/A</v>
      </c>
      <c r="AH743" s="9"/>
      <c r="AI743" s="10"/>
      <c r="AJ743" s="9"/>
      <c r="AK743" s="10"/>
      <c r="AL743" s="10"/>
    </row>
    <row r="744" spans="1:38" ht="22.5" hidden="1">
      <c r="A744" s="1">
        <f t="shared" si="82"/>
        <v>0</v>
      </c>
      <c r="B744" s="2" t="s">
        <v>2471</v>
      </c>
      <c r="C744" s="3" t="s">
        <v>2472</v>
      </c>
      <c r="D744" s="15" t="s">
        <v>11587</v>
      </c>
      <c r="E744" s="4" t="s">
        <v>2471</v>
      </c>
      <c r="F744" s="37" t="s">
        <v>2472</v>
      </c>
      <c r="G744" s="38">
        <v>241.88</v>
      </c>
      <c r="H744" s="38">
        <v>241.88</v>
      </c>
      <c r="I744" s="15"/>
      <c r="J744" s="494">
        <v>20102050114</v>
      </c>
      <c r="L744" s="523" t="s">
        <v>2443</v>
      </c>
      <c r="M744" s="523" t="s">
        <v>237</v>
      </c>
      <c r="N744" s="518" t="s">
        <v>2444</v>
      </c>
      <c r="O744" s="523">
        <v>2</v>
      </c>
      <c r="P744" s="523" t="s">
        <v>632</v>
      </c>
      <c r="Q744" s="523" t="s">
        <v>647</v>
      </c>
      <c r="R744" s="523" t="s">
        <v>714</v>
      </c>
      <c r="S744" s="523" t="s">
        <v>632</v>
      </c>
      <c r="T744" s="518" t="s">
        <v>2442</v>
      </c>
      <c r="U744" s="38">
        <v>241.88</v>
      </c>
      <c r="V744" s="15" t="str">
        <f t="shared" si="79"/>
        <v/>
      </c>
      <c r="W744" s="10"/>
      <c r="X744" s="10"/>
      <c r="Y744" s="10"/>
      <c r="Z744" s="10"/>
      <c r="AA744" s="10"/>
      <c r="AB744" s="10"/>
      <c r="AC744" s="9"/>
      <c r="AD744" s="523" t="e">
        <v>#N/A</v>
      </c>
      <c r="AE744" s="523" t="e">
        <v>#N/A</v>
      </c>
      <c r="AF744" s="523" t="e">
        <v>#N/A</v>
      </c>
      <c r="AG744" s="524" t="e">
        <v>#N/A</v>
      </c>
      <c r="AH744" s="9"/>
      <c r="AI744" s="10"/>
      <c r="AJ744" s="9"/>
      <c r="AK744" s="10"/>
      <c r="AL744" s="10"/>
    </row>
    <row r="745" spans="1:38" ht="22.5" hidden="1">
      <c r="A745" s="1">
        <f t="shared" si="82"/>
        <v>0</v>
      </c>
      <c r="B745" s="2" t="s">
        <v>2473</v>
      </c>
      <c r="C745" s="3" t="s">
        <v>2474</v>
      </c>
      <c r="D745" s="15" t="s">
        <v>11587</v>
      </c>
      <c r="E745" s="4" t="s">
        <v>2473</v>
      </c>
      <c r="F745" s="37" t="s">
        <v>2474</v>
      </c>
      <c r="G745" s="38">
        <v>0</v>
      </c>
      <c r="H745" s="38">
        <v>0</v>
      </c>
      <c r="I745" s="15"/>
      <c r="J745" s="494">
        <v>20102050115</v>
      </c>
      <c r="L745" s="523" t="s">
        <v>2443</v>
      </c>
      <c r="M745" s="523" t="s">
        <v>237</v>
      </c>
      <c r="N745" s="518" t="s">
        <v>2444</v>
      </c>
      <c r="O745" s="523">
        <v>2</v>
      </c>
      <c r="P745" s="523" t="s">
        <v>632</v>
      </c>
      <c r="Q745" s="523" t="s">
        <v>647</v>
      </c>
      <c r="R745" s="523" t="s">
        <v>714</v>
      </c>
      <c r="S745" s="523" t="s">
        <v>632</v>
      </c>
      <c r="T745" s="518" t="s">
        <v>2442</v>
      </c>
      <c r="U745" s="38">
        <v>0</v>
      </c>
      <c r="V745" s="15" t="str">
        <f t="shared" si="79"/>
        <v/>
      </c>
      <c r="W745" s="10"/>
      <c r="X745" s="10"/>
      <c r="Y745" s="10"/>
      <c r="Z745" s="10"/>
      <c r="AA745" s="10"/>
      <c r="AB745" s="10"/>
      <c r="AC745" s="9"/>
      <c r="AD745" s="523" t="e">
        <v>#N/A</v>
      </c>
      <c r="AE745" s="523" t="e">
        <v>#N/A</v>
      </c>
      <c r="AF745" s="523" t="e">
        <v>#N/A</v>
      </c>
      <c r="AG745" s="524" t="e">
        <v>#N/A</v>
      </c>
      <c r="AH745" s="9"/>
      <c r="AI745" s="10"/>
      <c r="AJ745" s="9"/>
      <c r="AK745" s="10"/>
      <c r="AL745" s="10"/>
    </row>
    <row r="746" spans="1:38" ht="22.5" hidden="1">
      <c r="A746" s="1">
        <f t="shared" si="82"/>
        <v>0</v>
      </c>
      <c r="B746" s="2" t="s">
        <v>2475</v>
      </c>
      <c r="C746" s="3" t="s">
        <v>2476</v>
      </c>
      <c r="D746" s="15" t="s">
        <v>11587</v>
      </c>
      <c r="E746" s="4" t="s">
        <v>2475</v>
      </c>
      <c r="F746" s="37" t="s">
        <v>2476</v>
      </c>
      <c r="G746" s="38">
        <v>0</v>
      </c>
      <c r="H746" s="38">
        <v>0</v>
      </c>
      <c r="I746" s="15"/>
      <c r="J746" s="494">
        <v>20102050116</v>
      </c>
      <c r="L746" s="523" t="s">
        <v>2443</v>
      </c>
      <c r="M746" s="523" t="s">
        <v>237</v>
      </c>
      <c r="N746" s="518" t="s">
        <v>2444</v>
      </c>
      <c r="O746" s="523">
        <v>2</v>
      </c>
      <c r="P746" s="523" t="s">
        <v>632</v>
      </c>
      <c r="Q746" s="523" t="s">
        <v>647</v>
      </c>
      <c r="R746" s="523" t="s">
        <v>714</v>
      </c>
      <c r="S746" s="523" t="s">
        <v>632</v>
      </c>
      <c r="T746" s="518" t="s">
        <v>2442</v>
      </c>
      <c r="U746" s="38">
        <v>0</v>
      </c>
      <c r="V746" s="15" t="str">
        <f t="shared" si="79"/>
        <v/>
      </c>
      <c r="W746" s="10"/>
      <c r="X746" s="10"/>
      <c r="Y746" s="10"/>
      <c r="Z746" s="10"/>
      <c r="AA746" s="10"/>
      <c r="AB746" s="10"/>
      <c r="AC746" s="9"/>
      <c r="AD746" s="523" t="e">
        <v>#N/A</v>
      </c>
      <c r="AE746" s="523" t="e">
        <v>#N/A</v>
      </c>
      <c r="AF746" s="523" t="e">
        <v>#N/A</v>
      </c>
      <c r="AG746" s="524" t="e">
        <v>#N/A</v>
      </c>
      <c r="AH746" s="9"/>
      <c r="AI746" s="10"/>
      <c r="AJ746" s="9"/>
      <c r="AK746" s="10"/>
      <c r="AL746" s="10"/>
    </row>
    <row r="747" spans="1:38" ht="22.5" hidden="1">
      <c r="A747" s="1">
        <f t="shared" si="82"/>
        <v>0</v>
      </c>
      <c r="B747" s="2" t="s">
        <v>2477</v>
      </c>
      <c r="C747" s="3" t="s">
        <v>2478</v>
      </c>
      <c r="D747" s="15" t="s">
        <v>11587</v>
      </c>
      <c r="E747" s="4" t="s">
        <v>2477</v>
      </c>
      <c r="F747" s="37" t="s">
        <v>2478</v>
      </c>
      <c r="G747" s="38">
        <v>48680</v>
      </c>
      <c r="H747" s="38">
        <v>48680</v>
      </c>
      <c r="I747" s="15"/>
      <c r="J747" s="494">
        <v>20102050117</v>
      </c>
      <c r="L747" s="523" t="s">
        <v>2443</v>
      </c>
      <c r="M747" s="523" t="s">
        <v>237</v>
      </c>
      <c r="N747" s="518" t="s">
        <v>2444</v>
      </c>
      <c r="O747" s="523">
        <v>2</v>
      </c>
      <c r="P747" s="523" t="s">
        <v>632</v>
      </c>
      <c r="Q747" s="523" t="s">
        <v>647</v>
      </c>
      <c r="R747" s="523" t="s">
        <v>714</v>
      </c>
      <c r="S747" s="523" t="s">
        <v>632</v>
      </c>
      <c r="T747" s="518" t="s">
        <v>2442</v>
      </c>
      <c r="U747" s="38">
        <v>48680</v>
      </c>
      <c r="V747" s="15" t="str">
        <f t="shared" si="79"/>
        <v/>
      </c>
      <c r="W747" s="10"/>
      <c r="X747" s="10"/>
      <c r="Y747" s="10"/>
      <c r="Z747" s="10"/>
      <c r="AA747" s="10"/>
      <c r="AB747" s="10"/>
      <c r="AC747" s="9"/>
      <c r="AD747" s="523" t="e">
        <v>#N/A</v>
      </c>
      <c r="AE747" s="523" t="e">
        <v>#N/A</v>
      </c>
      <c r="AF747" s="523" t="e">
        <v>#N/A</v>
      </c>
      <c r="AG747" s="524" t="e">
        <v>#N/A</v>
      </c>
      <c r="AH747" s="9"/>
      <c r="AI747" s="10"/>
      <c r="AJ747" s="9"/>
      <c r="AK747" s="10"/>
      <c r="AL747" s="10"/>
    </row>
    <row r="748" spans="1:38" ht="22.5" hidden="1">
      <c r="A748" s="1">
        <f t="shared" si="82"/>
        <v>0</v>
      </c>
      <c r="B748" s="2" t="s">
        <v>2479</v>
      </c>
      <c r="C748" s="3" t="s">
        <v>2480</v>
      </c>
      <c r="D748" s="15" t="s">
        <v>11587</v>
      </c>
      <c r="E748" s="4" t="s">
        <v>2479</v>
      </c>
      <c r="F748" s="37" t="s">
        <v>2480</v>
      </c>
      <c r="G748" s="38">
        <v>0.42</v>
      </c>
      <c r="H748" s="38">
        <v>-0.42</v>
      </c>
      <c r="I748" s="15"/>
      <c r="J748" s="494">
        <v>20102050118</v>
      </c>
      <c r="L748" s="523" t="s">
        <v>2443</v>
      </c>
      <c r="M748" s="523" t="s">
        <v>237</v>
      </c>
      <c r="N748" s="518" t="s">
        <v>2444</v>
      </c>
      <c r="O748" s="523">
        <v>2</v>
      </c>
      <c r="P748" s="523" t="s">
        <v>632</v>
      </c>
      <c r="Q748" s="523" t="s">
        <v>647</v>
      </c>
      <c r="R748" s="523" t="s">
        <v>714</v>
      </c>
      <c r="S748" s="523" t="s">
        <v>632</v>
      </c>
      <c r="T748" s="518" t="s">
        <v>2442</v>
      </c>
      <c r="U748" s="38">
        <v>-0.42</v>
      </c>
      <c r="V748" s="15" t="str">
        <f t="shared" si="79"/>
        <v/>
      </c>
      <c r="W748" s="10"/>
      <c r="X748" s="10"/>
      <c r="Y748" s="10"/>
      <c r="Z748" s="10"/>
      <c r="AA748" s="10"/>
      <c r="AB748" s="10"/>
      <c r="AC748" s="9"/>
      <c r="AD748" s="523" t="e">
        <v>#N/A</v>
      </c>
      <c r="AE748" s="523" t="e">
        <v>#N/A</v>
      </c>
      <c r="AF748" s="523" t="e">
        <v>#N/A</v>
      </c>
      <c r="AG748" s="524" t="e">
        <v>#N/A</v>
      </c>
      <c r="AH748" s="9"/>
      <c r="AI748" s="10"/>
      <c r="AJ748" s="9"/>
      <c r="AK748" s="10"/>
      <c r="AL748" s="10"/>
    </row>
    <row r="749" spans="1:38" ht="22.5" hidden="1">
      <c r="A749" s="1">
        <f t="shared" si="82"/>
        <v>0</v>
      </c>
      <c r="B749" s="2" t="s">
        <v>2481</v>
      </c>
      <c r="C749" s="3" t="s">
        <v>2482</v>
      </c>
      <c r="D749" s="15" t="s">
        <v>11587</v>
      </c>
      <c r="E749" s="4" t="s">
        <v>2481</v>
      </c>
      <c r="F749" s="37" t="s">
        <v>2482</v>
      </c>
      <c r="G749" s="38">
        <v>616457.59</v>
      </c>
      <c r="H749" s="38">
        <v>616457.59</v>
      </c>
      <c r="I749" s="15"/>
      <c r="J749" s="494">
        <v>20102050119</v>
      </c>
      <c r="L749" s="523" t="s">
        <v>2443</v>
      </c>
      <c r="M749" s="523" t="s">
        <v>237</v>
      </c>
      <c r="N749" s="518" t="s">
        <v>2444</v>
      </c>
      <c r="O749" s="523">
        <v>2</v>
      </c>
      <c r="P749" s="523" t="s">
        <v>632</v>
      </c>
      <c r="Q749" s="523" t="s">
        <v>647</v>
      </c>
      <c r="R749" s="523" t="s">
        <v>714</v>
      </c>
      <c r="S749" s="523" t="s">
        <v>632</v>
      </c>
      <c r="T749" s="518" t="s">
        <v>2442</v>
      </c>
      <c r="U749" s="38">
        <v>616457.59</v>
      </c>
      <c r="V749" s="15" t="str">
        <f t="shared" si="79"/>
        <v/>
      </c>
      <c r="W749" s="10"/>
      <c r="X749" s="10"/>
      <c r="Y749" s="10"/>
      <c r="Z749" s="10"/>
      <c r="AA749" s="10"/>
      <c r="AB749" s="10"/>
      <c r="AC749" s="9"/>
      <c r="AD749" s="523" t="e">
        <v>#N/A</v>
      </c>
      <c r="AE749" s="523" t="e">
        <v>#N/A</v>
      </c>
      <c r="AF749" s="523" t="e">
        <v>#N/A</v>
      </c>
      <c r="AG749" s="524" t="e">
        <v>#N/A</v>
      </c>
      <c r="AH749" s="9"/>
      <c r="AI749" s="10"/>
      <c r="AJ749" s="9"/>
      <c r="AK749" s="10"/>
      <c r="AL749" s="10"/>
    </row>
    <row r="750" spans="1:38" ht="33.75" hidden="1">
      <c r="A750" s="1">
        <f t="shared" si="82"/>
        <v>0</v>
      </c>
      <c r="B750" s="2" t="s">
        <v>2483</v>
      </c>
      <c r="C750" s="3" t="s">
        <v>2484</v>
      </c>
      <c r="D750" s="15" t="s">
        <v>11587</v>
      </c>
      <c r="E750" s="4" t="s">
        <v>2483</v>
      </c>
      <c r="F750" s="37" t="s">
        <v>2484</v>
      </c>
      <c r="G750" s="38">
        <v>3102608.24</v>
      </c>
      <c r="H750" s="38">
        <v>3102608.24</v>
      </c>
      <c r="I750" s="15"/>
      <c r="J750" s="494">
        <v>20102050120</v>
      </c>
      <c r="L750" s="523" t="s">
        <v>2443</v>
      </c>
      <c r="M750" s="523" t="s">
        <v>237</v>
      </c>
      <c r="N750" s="518" t="s">
        <v>2444</v>
      </c>
      <c r="O750" s="523">
        <v>2</v>
      </c>
      <c r="P750" s="523" t="s">
        <v>632</v>
      </c>
      <c r="Q750" s="523" t="s">
        <v>647</v>
      </c>
      <c r="R750" s="523" t="s">
        <v>714</v>
      </c>
      <c r="S750" s="523" t="s">
        <v>632</v>
      </c>
      <c r="T750" s="518" t="s">
        <v>2442</v>
      </c>
      <c r="U750" s="38">
        <v>3102608.24</v>
      </c>
      <c r="V750" s="15" t="str">
        <f t="shared" si="79"/>
        <v/>
      </c>
      <c r="W750" s="10"/>
      <c r="X750" s="10"/>
      <c r="Y750" s="10"/>
      <c r="Z750" s="10"/>
      <c r="AA750" s="10"/>
      <c r="AB750" s="76"/>
      <c r="AC750" s="9"/>
      <c r="AD750" s="523" t="e">
        <v>#N/A</v>
      </c>
      <c r="AE750" s="523" t="e">
        <v>#N/A</v>
      </c>
      <c r="AF750" s="523" t="e">
        <v>#N/A</v>
      </c>
      <c r="AG750" s="524" t="e">
        <v>#N/A</v>
      </c>
      <c r="AH750" s="9"/>
      <c r="AI750" s="10"/>
      <c r="AJ750" s="9"/>
      <c r="AK750" s="10"/>
      <c r="AL750" s="10"/>
    </row>
    <row r="751" spans="1:38" ht="22.5" hidden="1">
      <c r="A751" s="1">
        <f t="shared" si="82"/>
        <v>0</v>
      </c>
      <c r="B751" s="2" t="s">
        <v>2485</v>
      </c>
      <c r="C751" s="3" t="s">
        <v>2486</v>
      </c>
      <c r="D751" s="15" t="s">
        <v>11587</v>
      </c>
      <c r="E751" s="4" t="s">
        <v>2485</v>
      </c>
      <c r="F751" s="37" t="s">
        <v>2486</v>
      </c>
      <c r="G751" s="38">
        <v>2487158.2999999998</v>
      </c>
      <c r="H751" s="38">
        <v>-1065633.42</v>
      </c>
      <c r="I751" s="15"/>
      <c r="J751" s="494">
        <v>20102050121</v>
      </c>
      <c r="L751" s="523" t="s">
        <v>2443</v>
      </c>
      <c r="M751" s="523" t="s">
        <v>237</v>
      </c>
      <c r="N751" s="518" t="s">
        <v>2444</v>
      </c>
      <c r="O751" s="523">
        <v>2</v>
      </c>
      <c r="P751" s="523" t="s">
        <v>632</v>
      </c>
      <c r="Q751" s="523" t="s">
        <v>647</v>
      </c>
      <c r="R751" s="523" t="s">
        <v>714</v>
      </c>
      <c r="S751" s="523" t="s">
        <v>632</v>
      </c>
      <c r="T751" s="518" t="s">
        <v>2442</v>
      </c>
      <c r="U751" s="38">
        <v>-1065633.42</v>
      </c>
      <c r="V751" s="15" t="str">
        <f t="shared" si="79"/>
        <v/>
      </c>
      <c r="W751" s="10"/>
      <c r="X751" s="10"/>
      <c r="Y751" s="10"/>
      <c r="Z751" s="10"/>
      <c r="AA751" s="10"/>
      <c r="AB751" s="10"/>
      <c r="AC751" s="9"/>
      <c r="AD751" s="523" t="e">
        <v>#N/A</v>
      </c>
      <c r="AE751" s="523" t="e">
        <v>#N/A</v>
      </c>
      <c r="AF751" s="523" t="e">
        <v>#N/A</v>
      </c>
      <c r="AG751" s="524" t="e">
        <v>#N/A</v>
      </c>
      <c r="AH751" s="9"/>
      <c r="AI751" s="10"/>
      <c r="AJ751" s="9"/>
      <c r="AK751" s="10"/>
      <c r="AL751" s="10"/>
    </row>
    <row r="752" spans="1:38" ht="22.5" hidden="1">
      <c r="A752" s="1">
        <f t="shared" si="82"/>
        <v>0</v>
      </c>
      <c r="B752" s="2" t="s">
        <v>2487</v>
      </c>
      <c r="C752" s="3" t="s">
        <v>2488</v>
      </c>
      <c r="D752" s="15" t="s">
        <v>11587</v>
      </c>
      <c r="E752" s="4" t="s">
        <v>2487</v>
      </c>
      <c r="F752" s="37" t="s">
        <v>2488</v>
      </c>
      <c r="G752" s="38">
        <v>485649.47</v>
      </c>
      <c r="H752" s="38">
        <v>7189036.71</v>
      </c>
      <c r="I752" s="15"/>
      <c r="J752" s="494">
        <v>20102050122</v>
      </c>
      <c r="L752" s="523" t="s">
        <v>2443</v>
      </c>
      <c r="M752" s="523" t="s">
        <v>237</v>
      </c>
      <c r="N752" s="518" t="s">
        <v>2444</v>
      </c>
      <c r="O752" s="523">
        <v>2</v>
      </c>
      <c r="P752" s="523" t="s">
        <v>632</v>
      </c>
      <c r="Q752" s="523" t="s">
        <v>647</v>
      </c>
      <c r="R752" s="523" t="s">
        <v>714</v>
      </c>
      <c r="S752" s="523" t="s">
        <v>632</v>
      </c>
      <c r="T752" s="518" t="s">
        <v>2442</v>
      </c>
      <c r="U752" s="38">
        <v>7189036.71</v>
      </c>
      <c r="V752" s="15" t="str">
        <f t="shared" si="79"/>
        <v/>
      </c>
      <c r="W752" s="10"/>
      <c r="X752" s="10"/>
      <c r="Y752" s="10"/>
      <c r="Z752" s="10"/>
      <c r="AA752" s="10"/>
      <c r="AB752" s="10"/>
      <c r="AC752" s="9"/>
      <c r="AD752" s="523" t="e">
        <v>#N/A</v>
      </c>
      <c r="AE752" s="523" t="e">
        <v>#N/A</v>
      </c>
      <c r="AF752" s="523" t="e">
        <v>#N/A</v>
      </c>
      <c r="AG752" s="524" t="e">
        <v>#N/A</v>
      </c>
      <c r="AH752" s="9"/>
      <c r="AI752" s="10"/>
      <c r="AJ752" s="9"/>
      <c r="AK752" s="10"/>
      <c r="AL752" s="10"/>
    </row>
    <row r="753" spans="1:38" ht="22.5" hidden="1">
      <c r="A753" s="1">
        <f t="shared" si="82"/>
        <v>0</v>
      </c>
      <c r="B753" s="2" t="s">
        <v>2489</v>
      </c>
      <c r="C753" s="3" t="s">
        <v>2490</v>
      </c>
      <c r="D753" s="15" t="s">
        <v>11587</v>
      </c>
      <c r="E753" s="4" t="s">
        <v>2489</v>
      </c>
      <c r="F753" s="37" t="s">
        <v>2490</v>
      </c>
      <c r="G753" s="38">
        <v>379392.77</v>
      </c>
      <c r="H753" s="38">
        <v>379392.77</v>
      </c>
      <c r="I753" s="15"/>
      <c r="J753" s="494">
        <v>20102050123</v>
      </c>
      <c r="L753" s="523" t="s">
        <v>2443</v>
      </c>
      <c r="M753" s="523" t="s">
        <v>237</v>
      </c>
      <c r="N753" s="518" t="s">
        <v>2444</v>
      </c>
      <c r="O753" s="523">
        <v>2</v>
      </c>
      <c r="P753" s="523" t="s">
        <v>632</v>
      </c>
      <c r="Q753" s="523" t="s">
        <v>647</v>
      </c>
      <c r="R753" s="523" t="s">
        <v>714</v>
      </c>
      <c r="S753" s="523" t="s">
        <v>632</v>
      </c>
      <c r="T753" s="518" t="s">
        <v>2442</v>
      </c>
      <c r="U753" s="38">
        <v>379392.77</v>
      </c>
      <c r="V753" s="15" t="str">
        <f t="shared" si="79"/>
        <v/>
      </c>
      <c r="W753" s="10"/>
      <c r="X753" s="10"/>
      <c r="Y753" s="10"/>
      <c r="Z753" s="10"/>
      <c r="AA753" s="10"/>
      <c r="AB753" s="10"/>
      <c r="AC753" s="9"/>
      <c r="AD753" s="523" t="e">
        <v>#N/A</v>
      </c>
      <c r="AE753" s="523" t="e">
        <v>#N/A</v>
      </c>
      <c r="AF753" s="523" t="e">
        <v>#N/A</v>
      </c>
      <c r="AG753" s="524" t="e">
        <v>#N/A</v>
      </c>
      <c r="AH753" s="9"/>
      <c r="AI753" s="10"/>
      <c r="AJ753" s="9"/>
      <c r="AK753" s="10"/>
      <c r="AL753" s="10"/>
    </row>
    <row r="754" spans="1:38" ht="22.5" hidden="1">
      <c r="A754" s="1">
        <f t="shared" si="82"/>
        <v>0</v>
      </c>
      <c r="B754" s="2" t="s">
        <v>2491</v>
      </c>
      <c r="C754" s="3" t="s">
        <v>2492</v>
      </c>
      <c r="D754" s="15" t="s">
        <v>11587</v>
      </c>
      <c r="E754" s="4" t="s">
        <v>2491</v>
      </c>
      <c r="F754" s="37" t="s">
        <v>2492</v>
      </c>
      <c r="G754" s="38">
        <v>993.44</v>
      </c>
      <c r="H754" s="38">
        <v>993.44</v>
      </c>
      <c r="I754" s="15"/>
      <c r="J754" s="494">
        <v>20102050124</v>
      </c>
      <c r="L754" s="523" t="s">
        <v>2443</v>
      </c>
      <c r="M754" s="523" t="s">
        <v>237</v>
      </c>
      <c r="N754" s="518" t="s">
        <v>2444</v>
      </c>
      <c r="O754" s="523">
        <v>2</v>
      </c>
      <c r="P754" s="523" t="s">
        <v>632</v>
      </c>
      <c r="Q754" s="523" t="s">
        <v>647</v>
      </c>
      <c r="R754" s="523" t="s">
        <v>714</v>
      </c>
      <c r="S754" s="523" t="s">
        <v>632</v>
      </c>
      <c r="T754" s="518" t="s">
        <v>2442</v>
      </c>
      <c r="U754" s="38">
        <v>993.44</v>
      </c>
      <c r="V754" s="15" t="str">
        <f t="shared" si="79"/>
        <v/>
      </c>
      <c r="W754" s="10"/>
      <c r="X754" s="10"/>
      <c r="Y754" s="10"/>
      <c r="Z754" s="10"/>
      <c r="AA754" s="10"/>
      <c r="AB754" s="10"/>
      <c r="AC754" s="9"/>
      <c r="AD754" s="523" t="e">
        <v>#N/A</v>
      </c>
      <c r="AE754" s="523" t="e">
        <v>#N/A</v>
      </c>
      <c r="AF754" s="523" t="e">
        <v>#N/A</v>
      </c>
      <c r="AG754" s="524" t="e">
        <v>#N/A</v>
      </c>
      <c r="AH754" s="9"/>
      <c r="AI754" s="10"/>
      <c r="AJ754" s="9"/>
      <c r="AK754" s="10"/>
      <c r="AL754" s="10"/>
    </row>
    <row r="755" spans="1:38" ht="22.5" hidden="1">
      <c r="A755" s="1">
        <f t="shared" si="82"/>
        <v>0</v>
      </c>
      <c r="B755" s="2" t="s">
        <v>2493</v>
      </c>
      <c r="C755" s="3" t="s">
        <v>2494</v>
      </c>
      <c r="D755" s="15" t="s">
        <v>11587</v>
      </c>
      <c r="E755" s="4" t="s">
        <v>2493</v>
      </c>
      <c r="F755" s="37" t="s">
        <v>2494</v>
      </c>
      <c r="G755" s="38">
        <v>0</v>
      </c>
      <c r="H755" s="38">
        <v>0</v>
      </c>
      <c r="I755" s="15"/>
      <c r="J755" s="494">
        <v>20102050125</v>
      </c>
      <c r="L755" s="523" t="s">
        <v>2443</v>
      </c>
      <c r="M755" s="523" t="s">
        <v>237</v>
      </c>
      <c r="N755" s="518" t="s">
        <v>2444</v>
      </c>
      <c r="O755" s="523">
        <v>2</v>
      </c>
      <c r="P755" s="523" t="s">
        <v>632</v>
      </c>
      <c r="Q755" s="523" t="s">
        <v>647</v>
      </c>
      <c r="R755" s="523" t="s">
        <v>714</v>
      </c>
      <c r="S755" s="523" t="s">
        <v>632</v>
      </c>
      <c r="T755" s="518" t="s">
        <v>2442</v>
      </c>
      <c r="U755" s="38">
        <v>0</v>
      </c>
      <c r="V755" s="15" t="str">
        <f t="shared" si="79"/>
        <v/>
      </c>
      <c r="W755" s="10"/>
      <c r="X755" s="10"/>
      <c r="Y755" s="10"/>
      <c r="Z755" s="10"/>
      <c r="AA755" s="10"/>
      <c r="AB755" s="10"/>
      <c r="AC755" s="9"/>
      <c r="AD755" s="523" t="e">
        <v>#N/A</v>
      </c>
      <c r="AE755" s="523" t="e">
        <v>#N/A</v>
      </c>
      <c r="AF755" s="523" t="e">
        <v>#N/A</v>
      </c>
      <c r="AG755" s="524" t="e">
        <v>#N/A</v>
      </c>
      <c r="AH755" s="9"/>
      <c r="AI755" s="10"/>
      <c r="AJ755" s="9"/>
      <c r="AK755" s="10"/>
      <c r="AL755" s="10"/>
    </row>
    <row r="756" spans="1:38" ht="22.5" hidden="1">
      <c r="A756" s="1">
        <f t="shared" si="82"/>
        <v>0</v>
      </c>
      <c r="B756" s="2" t="s">
        <v>2495</v>
      </c>
      <c r="C756" s="3" t="s">
        <v>2496</v>
      </c>
      <c r="D756" s="15" t="s">
        <v>11587</v>
      </c>
      <c r="E756" s="4" t="s">
        <v>2495</v>
      </c>
      <c r="F756" s="37" t="s">
        <v>2496</v>
      </c>
      <c r="G756" s="38">
        <v>0</v>
      </c>
      <c r="H756" s="38">
        <v>0</v>
      </c>
      <c r="I756" s="15"/>
      <c r="J756" s="494">
        <v>20102050126</v>
      </c>
      <c r="L756" s="523" t="s">
        <v>2443</v>
      </c>
      <c r="M756" s="523" t="s">
        <v>237</v>
      </c>
      <c r="N756" s="518" t="s">
        <v>2444</v>
      </c>
      <c r="O756" s="523">
        <v>2</v>
      </c>
      <c r="P756" s="523" t="s">
        <v>632</v>
      </c>
      <c r="Q756" s="523" t="s">
        <v>647</v>
      </c>
      <c r="R756" s="523" t="s">
        <v>714</v>
      </c>
      <c r="S756" s="523" t="s">
        <v>632</v>
      </c>
      <c r="T756" s="518" t="s">
        <v>2442</v>
      </c>
      <c r="U756" s="38">
        <v>0</v>
      </c>
      <c r="V756" s="15" t="str">
        <f t="shared" si="79"/>
        <v/>
      </c>
      <c r="W756" s="10"/>
      <c r="X756" s="10"/>
      <c r="Y756" s="10"/>
      <c r="Z756" s="10"/>
      <c r="AA756" s="10"/>
      <c r="AB756" s="10"/>
      <c r="AC756" s="9"/>
      <c r="AD756" s="523" t="e">
        <v>#N/A</v>
      </c>
      <c r="AE756" s="523" t="e">
        <v>#N/A</v>
      </c>
      <c r="AF756" s="523" t="e">
        <v>#N/A</v>
      </c>
      <c r="AG756" s="524" t="e">
        <v>#N/A</v>
      </c>
      <c r="AH756" s="9"/>
      <c r="AI756" s="10"/>
      <c r="AJ756" s="9"/>
      <c r="AK756" s="10"/>
      <c r="AL756" s="10"/>
    </row>
    <row r="757" spans="1:38" ht="33.75" hidden="1">
      <c r="A757" s="1">
        <f t="shared" si="82"/>
        <v>0</v>
      </c>
      <c r="B757" s="2" t="s">
        <v>2497</v>
      </c>
      <c r="C757" s="3" t="s">
        <v>2498</v>
      </c>
      <c r="D757" s="15" t="s">
        <v>11587</v>
      </c>
      <c r="E757" s="4" t="s">
        <v>2497</v>
      </c>
      <c r="F757" s="37" t="s">
        <v>2498</v>
      </c>
      <c r="G757" s="38">
        <v>0</v>
      </c>
      <c r="H757" s="38">
        <v>0</v>
      </c>
      <c r="I757" s="15"/>
      <c r="J757" s="494">
        <v>20102050127</v>
      </c>
      <c r="L757" s="523" t="s">
        <v>2443</v>
      </c>
      <c r="M757" s="523" t="s">
        <v>237</v>
      </c>
      <c r="N757" s="518" t="s">
        <v>2444</v>
      </c>
      <c r="O757" s="523">
        <v>2</v>
      </c>
      <c r="P757" s="523" t="s">
        <v>632</v>
      </c>
      <c r="Q757" s="523" t="s">
        <v>647</v>
      </c>
      <c r="R757" s="523" t="s">
        <v>714</v>
      </c>
      <c r="S757" s="523" t="s">
        <v>632</v>
      </c>
      <c r="T757" s="518" t="s">
        <v>2442</v>
      </c>
      <c r="U757" s="38">
        <v>0</v>
      </c>
      <c r="V757" s="15" t="str">
        <f t="shared" si="79"/>
        <v/>
      </c>
      <c r="W757" s="10"/>
      <c r="X757" s="10"/>
      <c r="Y757" s="10"/>
      <c r="Z757" s="10"/>
      <c r="AA757" s="10"/>
      <c r="AB757" s="10"/>
      <c r="AC757" s="9"/>
      <c r="AD757" s="523" t="e">
        <v>#N/A</v>
      </c>
      <c r="AE757" s="523" t="e">
        <v>#N/A</v>
      </c>
      <c r="AF757" s="523" t="e">
        <v>#N/A</v>
      </c>
      <c r="AG757" s="524" t="e">
        <v>#N/A</v>
      </c>
      <c r="AH757" s="9"/>
      <c r="AI757" s="10"/>
      <c r="AJ757" s="9"/>
      <c r="AK757" s="10"/>
      <c r="AL757" s="10"/>
    </row>
    <row r="758" spans="1:38" ht="33.75" hidden="1">
      <c r="A758" s="1">
        <f t="shared" si="82"/>
        <v>0</v>
      </c>
      <c r="B758" s="2" t="s">
        <v>2499</v>
      </c>
      <c r="C758" s="3" t="s">
        <v>2500</v>
      </c>
      <c r="D758" s="15" t="s">
        <v>11587</v>
      </c>
      <c r="E758" s="4" t="s">
        <v>2499</v>
      </c>
      <c r="F758" s="37" t="s">
        <v>2500</v>
      </c>
      <c r="G758" s="38">
        <v>0</v>
      </c>
      <c r="H758" s="38">
        <v>0</v>
      </c>
      <c r="I758" s="15"/>
      <c r="J758" s="494">
        <v>20102050128</v>
      </c>
      <c r="L758" s="523" t="s">
        <v>2443</v>
      </c>
      <c r="M758" s="523" t="s">
        <v>237</v>
      </c>
      <c r="N758" s="518" t="s">
        <v>2444</v>
      </c>
      <c r="O758" s="523">
        <v>2</v>
      </c>
      <c r="P758" s="523" t="s">
        <v>632</v>
      </c>
      <c r="Q758" s="523" t="s">
        <v>647</v>
      </c>
      <c r="R758" s="523" t="s">
        <v>714</v>
      </c>
      <c r="S758" s="523" t="s">
        <v>632</v>
      </c>
      <c r="T758" s="518" t="s">
        <v>2442</v>
      </c>
      <c r="U758" s="38">
        <v>0</v>
      </c>
      <c r="V758" s="15" t="str">
        <f t="shared" si="79"/>
        <v/>
      </c>
      <c r="W758" s="10"/>
      <c r="X758" s="10"/>
      <c r="Y758" s="10"/>
      <c r="Z758" s="10"/>
      <c r="AA758" s="10"/>
      <c r="AB758" s="10"/>
      <c r="AC758" s="9"/>
      <c r="AD758" s="523" t="e">
        <v>#N/A</v>
      </c>
      <c r="AE758" s="523" t="e">
        <v>#N/A</v>
      </c>
      <c r="AF758" s="523" t="e">
        <v>#N/A</v>
      </c>
      <c r="AG758" s="524" t="e">
        <v>#N/A</v>
      </c>
      <c r="AH758" s="9"/>
      <c r="AI758" s="10"/>
      <c r="AJ758" s="9"/>
      <c r="AK758" s="10"/>
      <c r="AL758" s="10"/>
    </row>
    <row r="759" spans="1:38" ht="22.5" hidden="1">
      <c r="A759" s="1">
        <f t="shared" si="82"/>
        <v>0</v>
      </c>
      <c r="B759" s="2" t="s">
        <v>2501</v>
      </c>
      <c r="C759" s="3" t="s">
        <v>2502</v>
      </c>
      <c r="D759" s="15" t="s">
        <v>11587</v>
      </c>
      <c r="E759" s="4" t="s">
        <v>2501</v>
      </c>
      <c r="F759" s="37" t="s">
        <v>2502</v>
      </c>
      <c r="G759" s="38">
        <v>0</v>
      </c>
      <c r="H759" s="38">
        <v>0</v>
      </c>
      <c r="I759" s="15"/>
      <c r="J759" s="494">
        <v>20102050129</v>
      </c>
      <c r="L759" s="523" t="s">
        <v>2443</v>
      </c>
      <c r="M759" s="523" t="s">
        <v>237</v>
      </c>
      <c r="N759" s="518" t="s">
        <v>2444</v>
      </c>
      <c r="O759" s="523">
        <v>2</v>
      </c>
      <c r="P759" s="523" t="s">
        <v>632</v>
      </c>
      <c r="Q759" s="523" t="s">
        <v>647</v>
      </c>
      <c r="R759" s="523" t="s">
        <v>714</v>
      </c>
      <c r="S759" s="523" t="s">
        <v>632</v>
      </c>
      <c r="T759" s="518" t="s">
        <v>2442</v>
      </c>
      <c r="U759" s="38">
        <v>0</v>
      </c>
      <c r="V759" s="15" t="str">
        <f t="shared" si="79"/>
        <v/>
      </c>
      <c r="W759" s="10"/>
      <c r="X759" s="10"/>
      <c r="Y759" s="10"/>
      <c r="Z759" s="10"/>
      <c r="AA759" s="10"/>
      <c r="AB759" s="10"/>
      <c r="AC759" s="9"/>
      <c r="AD759" s="523" t="e">
        <v>#N/A</v>
      </c>
      <c r="AE759" s="523" t="e">
        <v>#N/A</v>
      </c>
      <c r="AF759" s="523" t="e">
        <v>#N/A</v>
      </c>
      <c r="AG759" s="524" t="e">
        <v>#N/A</v>
      </c>
      <c r="AH759" s="9"/>
      <c r="AI759" s="10"/>
      <c r="AJ759" s="9"/>
      <c r="AK759" s="10"/>
      <c r="AL759" s="10"/>
    </row>
    <row r="760" spans="1:38" ht="22.5" hidden="1">
      <c r="A760" s="1">
        <f t="shared" si="82"/>
        <v>0</v>
      </c>
      <c r="B760" s="2" t="s">
        <v>2503</v>
      </c>
      <c r="C760" s="3" t="s">
        <v>2504</v>
      </c>
      <c r="D760" s="15" t="s">
        <v>11587</v>
      </c>
      <c r="E760" s="4" t="s">
        <v>2503</v>
      </c>
      <c r="F760" s="37" t="s">
        <v>2504</v>
      </c>
      <c r="G760" s="38">
        <v>0</v>
      </c>
      <c r="H760" s="38">
        <v>0</v>
      </c>
      <c r="I760" s="15"/>
      <c r="J760" s="494">
        <v>20102050130</v>
      </c>
      <c r="L760" s="523" t="s">
        <v>2443</v>
      </c>
      <c r="M760" s="523" t="s">
        <v>237</v>
      </c>
      <c r="N760" s="518" t="s">
        <v>2444</v>
      </c>
      <c r="O760" s="523">
        <v>2</v>
      </c>
      <c r="P760" s="523" t="s">
        <v>632</v>
      </c>
      <c r="Q760" s="523" t="s">
        <v>647</v>
      </c>
      <c r="R760" s="523" t="s">
        <v>714</v>
      </c>
      <c r="S760" s="523" t="s">
        <v>632</v>
      </c>
      <c r="T760" s="518" t="s">
        <v>2442</v>
      </c>
      <c r="U760" s="38">
        <v>0</v>
      </c>
      <c r="V760" s="15" t="str">
        <f t="shared" si="79"/>
        <v/>
      </c>
      <c r="W760" s="10"/>
      <c r="X760" s="10"/>
      <c r="Y760" s="10"/>
      <c r="Z760" s="10"/>
      <c r="AA760" s="10"/>
      <c r="AB760" s="10"/>
      <c r="AC760" s="9"/>
      <c r="AD760" s="523" t="e">
        <v>#N/A</v>
      </c>
      <c r="AE760" s="523" t="e">
        <v>#N/A</v>
      </c>
      <c r="AF760" s="523" t="e">
        <v>#N/A</v>
      </c>
      <c r="AG760" s="524" t="e">
        <v>#N/A</v>
      </c>
      <c r="AH760" s="9"/>
      <c r="AI760" s="10"/>
      <c r="AJ760" s="9"/>
      <c r="AK760" s="10"/>
      <c r="AL760" s="10"/>
    </row>
    <row r="761" spans="1:38" ht="22.5" hidden="1">
      <c r="A761" s="1">
        <f t="shared" si="82"/>
        <v>0</v>
      </c>
      <c r="B761" s="2" t="s">
        <v>2505</v>
      </c>
      <c r="C761" s="3" t="s">
        <v>2506</v>
      </c>
      <c r="D761" s="15" t="s">
        <v>11587</v>
      </c>
      <c r="E761" s="4" t="s">
        <v>2505</v>
      </c>
      <c r="F761" s="37" t="s">
        <v>2506</v>
      </c>
      <c r="G761" s="38">
        <v>0</v>
      </c>
      <c r="H761" s="38">
        <v>0</v>
      </c>
      <c r="I761" s="15"/>
      <c r="J761" s="494">
        <v>20102050131</v>
      </c>
      <c r="L761" s="523" t="s">
        <v>2443</v>
      </c>
      <c r="M761" s="523" t="s">
        <v>237</v>
      </c>
      <c r="N761" s="518" t="s">
        <v>2444</v>
      </c>
      <c r="O761" s="523">
        <v>2</v>
      </c>
      <c r="P761" s="523" t="s">
        <v>632</v>
      </c>
      <c r="Q761" s="523" t="s">
        <v>647</v>
      </c>
      <c r="R761" s="523" t="s">
        <v>714</v>
      </c>
      <c r="S761" s="523" t="s">
        <v>632</v>
      </c>
      <c r="T761" s="518" t="s">
        <v>2442</v>
      </c>
      <c r="U761" s="38">
        <v>0</v>
      </c>
      <c r="V761" s="15" t="str">
        <f t="shared" si="79"/>
        <v/>
      </c>
      <c r="W761" s="10"/>
      <c r="X761" s="10"/>
      <c r="Y761" s="10"/>
      <c r="Z761" s="10"/>
      <c r="AA761" s="10"/>
      <c r="AB761" s="10"/>
      <c r="AC761" s="9"/>
      <c r="AD761" s="523" t="e">
        <v>#N/A</v>
      </c>
      <c r="AE761" s="523" t="e">
        <v>#N/A</v>
      </c>
      <c r="AF761" s="523" t="e">
        <v>#N/A</v>
      </c>
      <c r="AG761" s="524" t="e">
        <v>#N/A</v>
      </c>
      <c r="AH761" s="9"/>
      <c r="AI761" s="10"/>
      <c r="AJ761" s="9"/>
      <c r="AK761" s="10"/>
      <c r="AL761" s="10"/>
    </row>
    <row r="762" spans="1:38" ht="22.5" hidden="1">
      <c r="A762" s="1">
        <f t="shared" si="82"/>
        <v>0</v>
      </c>
      <c r="B762" s="2" t="s">
        <v>2507</v>
      </c>
      <c r="C762" s="3" t="s">
        <v>2508</v>
      </c>
      <c r="D762" s="15" t="s">
        <v>11587</v>
      </c>
      <c r="E762" s="4" t="s">
        <v>2507</v>
      </c>
      <c r="F762" s="37" t="s">
        <v>2508</v>
      </c>
      <c r="G762" s="38">
        <v>631445.43999999994</v>
      </c>
      <c r="H762" s="38">
        <v>630314.28</v>
      </c>
      <c r="I762" s="15"/>
      <c r="J762" s="494">
        <v>20102050132</v>
      </c>
      <c r="L762" s="523" t="s">
        <v>2443</v>
      </c>
      <c r="M762" s="523" t="s">
        <v>237</v>
      </c>
      <c r="N762" s="518" t="s">
        <v>2444</v>
      </c>
      <c r="O762" s="523">
        <v>2</v>
      </c>
      <c r="P762" s="523" t="s">
        <v>632</v>
      </c>
      <c r="Q762" s="523" t="s">
        <v>647</v>
      </c>
      <c r="R762" s="523" t="s">
        <v>714</v>
      </c>
      <c r="S762" s="523" t="s">
        <v>632</v>
      </c>
      <c r="T762" s="518" t="s">
        <v>2442</v>
      </c>
      <c r="U762" s="38">
        <v>630314.28</v>
      </c>
      <c r="V762" s="15" t="str">
        <f t="shared" si="79"/>
        <v/>
      </c>
      <c r="W762" s="10"/>
      <c r="X762" s="10"/>
      <c r="Y762" s="10"/>
      <c r="Z762" s="10"/>
      <c r="AA762" s="10"/>
      <c r="AB762" s="10"/>
      <c r="AC762" s="9"/>
      <c r="AD762" s="523" t="e">
        <v>#N/A</v>
      </c>
      <c r="AE762" s="523" t="e">
        <v>#N/A</v>
      </c>
      <c r="AF762" s="523" t="e">
        <v>#N/A</v>
      </c>
      <c r="AG762" s="524" t="e">
        <v>#N/A</v>
      </c>
      <c r="AH762" s="9"/>
      <c r="AI762" s="10"/>
      <c r="AJ762" s="9"/>
      <c r="AK762" s="10"/>
      <c r="AL762" s="10"/>
    </row>
    <row r="763" spans="1:38" ht="33.75" hidden="1">
      <c r="A763" s="1">
        <f t="shared" si="82"/>
        <v>0</v>
      </c>
      <c r="B763" s="2" t="s">
        <v>2509</v>
      </c>
      <c r="C763" s="3" t="s">
        <v>2510</v>
      </c>
      <c r="D763" s="15" t="s">
        <v>11587</v>
      </c>
      <c r="E763" s="4" t="s">
        <v>2509</v>
      </c>
      <c r="F763" s="37" t="s">
        <v>2510</v>
      </c>
      <c r="G763" s="38">
        <v>2013669.53</v>
      </c>
      <c r="H763" s="38">
        <v>961835.32</v>
      </c>
      <c r="I763" s="15"/>
      <c r="J763" s="494">
        <v>20102050133</v>
      </c>
      <c r="L763" s="523" t="s">
        <v>2443</v>
      </c>
      <c r="M763" s="523" t="s">
        <v>237</v>
      </c>
      <c r="N763" s="518" t="s">
        <v>2444</v>
      </c>
      <c r="O763" s="523">
        <v>2</v>
      </c>
      <c r="P763" s="523" t="s">
        <v>632</v>
      </c>
      <c r="Q763" s="523" t="s">
        <v>647</v>
      </c>
      <c r="R763" s="523" t="s">
        <v>714</v>
      </c>
      <c r="S763" s="523" t="s">
        <v>632</v>
      </c>
      <c r="T763" s="518" t="s">
        <v>2442</v>
      </c>
      <c r="U763" s="38">
        <v>961835.32</v>
      </c>
      <c r="V763" s="15" t="str">
        <f t="shared" si="79"/>
        <v/>
      </c>
      <c r="W763" s="10"/>
      <c r="X763" s="10"/>
      <c r="Y763" s="51"/>
      <c r="Z763" s="10"/>
      <c r="AA763" s="10"/>
      <c r="AB763" s="10"/>
      <c r="AC763" s="9"/>
      <c r="AD763" s="523" t="e">
        <v>#N/A</v>
      </c>
      <c r="AE763" s="523" t="e">
        <v>#N/A</v>
      </c>
      <c r="AF763" s="523" t="e">
        <v>#N/A</v>
      </c>
      <c r="AG763" s="524" t="e">
        <v>#N/A</v>
      </c>
      <c r="AH763" s="9"/>
      <c r="AI763" s="10"/>
      <c r="AJ763" s="9"/>
      <c r="AK763" s="10"/>
      <c r="AL763" s="10"/>
    </row>
    <row r="764" spans="1:38" ht="56.25" hidden="1">
      <c r="A764" s="1">
        <f t="shared" si="82"/>
        <v>0</v>
      </c>
      <c r="B764" s="2" t="s">
        <v>2511</v>
      </c>
      <c r="C764" s="3" t="s">
        <v>2512</v>
      </c>
      <c r="D764" s="15" t="s">
        <v>11587</v>
      </c>
      <c r="E764" s="4" t="s">
        <v>2511</v>
      </c>
      <c r="F764" s="37" t="s">
        <v>2512</v>
      </c>
      <c r="G764" s="38">
        <v>0</v>
      </c>
      <c r="H764" s="38">
        <v>0</v>
      </c>
      <c r="I764" s="15"/>
      <c r="J764" s="494">
        <v>20102050134</v>
      </c>
      <c r="L764" s="523" t="s">
        <v>2443</v>
      </c>
      <c r="M764" s="523" t="s">
        <v>237</v>
      </c>
      <c r="N764" s="518" t="s">
        <v>2444</v>
      </c>
      <c r="O764" s="523">
        <v>2</v>
      </c>
      <c r="P764" s="523" t="s">
        <v>632</v>
      </c>
      <c r="Q764" s="523" t="s">
        <v>647</v>
      </c>
      <c r="R764" s="523" t="s">
        <v>714</v>
      </c>
      <c r="S764" s="523" t="s">
        <v>632</v>
      </c>
      <c r="T764" s="518" t="s">
        <v>2442</v>
      </c>
      <c r="U764" s="38">
        <v>0</v>
      </c>
      <c r="V764" s="15" t="str">
        <f t="shared" si="79"/>
        <v/>
      </c>
      <c r="W764" s="10"/>
      <c r="X764" s="10"/>
      <c r="Y764" s="10"/>
      <c r="Z764" s="10"/>
      <c r="AA764" s="10"/>
      <c r="AB764" s="10"/>
      <c r="AC764" s="9"/>
      <c r="AD764" s="523" t="e">
        <v>#N/A</v>
      </c>
      <c r="AE764" s="523" t="e">
        <v>#N/A</v>
      </c>
      <c r="AF764" s="523" t="e">
        <v>#N/A</v>
      </c>
      <c r="AG764" s="524" t="e">
        <v>#N/A</v>
      </c>
      <c r="AH764" s="9"/>
      <c r="AI764" s="10"/>
      <c r="AJ764" s="9"/>
      <c r="AK764" s="10"/>
      <c r="AL764" s="10"/>
    </row>
    <row r="765" spans="1:38" ht="33.75" hidden="1">
      <c r="A765" s="1">
        <f t="shared" si="82"/>
        <v>0</v>
      </c>
      <c r="B765" s="2" t="s">
        <v>2513</v>
      </c>
      <c r="C765" s="3" t="s">
        <v>2514</v>
      </c>
      <c r="D765" s="15" t="s">
        <v>11587</v>
      </c>
      <c r="E765" s="4" t="s">
        <v>2513</v>
      </c>
      <c r="F765" s="37" t="s">
        <v>2514</v>
      </c>
      <c r="G765" s="38">
        <v>1342692.02</v>
      </c>
      <c r="H765" s="38">
        <v>1342692.02</v>
      </c>
      <c r="I765" s="15"/>
      <c r="J765" s="494">
        <v>20102050135</v>
      </c>
      <c r="L765" s="523" t="s">
        <v>2443</v>
      </c>
      <c r="M765" s="523" t="s">
        <v>237</v>
      </c>
      <c r="N765" s="518" t="s">
        <v>2444</v>
      </c>
      <c r="O765" s="523">
        <v>2</v>
      </c>
      <c r="P765" s="523" t="s">
        <v>632</v>
      </c>
      <c r="Q765" s="523" t="s">
        <v>647</v>
      </c>
      <c r="R765" s="523" t="s">
        <v>714</v>
      </c>
      <c r="S765" s="523" t="s">
        <v>632</v>
      </c>
      <c r="T765" s="518" t="s">
        <v>2442</v>
      </c>
      <c r="U765" s="38">
        <v>1342692.02</v>
      </c>
      <c r="V765" s="15" t="str">
        <f t="shared" si="79"/>
        <v/>
      </c>
      <c r="W765" s="10"/>
      <c r="X765" s="10"/>
      <c r="Y765" s="10"/>
      <c r="Z765" s="10"/>
      <c r="AA765" s="10"/>
      <c r="AB765" s="10"/>
      <c r="AC765" s="9"/>
      <c r="AD765" s="523" t="e">
        <v>#N/A</v>
      </c>
      <c r="AE765" s="523" t="e">
        <v>#N/A</v>
      </c>
      <c r="AF765" s="523" t="e">
        <v>#N/A</v>
      </c>
      <c r="AG765" s="524" t="e">
        <v>#N/A</v>
      </c>
      <c r="AH765" s="9"/>
      <c r="AI765" s="10"/>
      <c r="AJ765" s="9"/>
      <c r="AK765" s="10"/>
      <c r="AL765" s="10"/>
    </row>
    <row r="766" spans="1:38" ht="22.5" hidden="1">
      <c r="A766" s="1">
        <f t="shared" si="82"/>
        <v>0</v>
      </c>
      <c r="B766" s="2" t="s">
        <v>2515</v>
      </c>
      <c r="C766" s="3" t="s">
        <v>2516</v>
      </c>
      <c r="D766" s="15" t="s">
        <v>11587</v>
      </c>
      <c r="E766" s="4" t="s">
        <v>2515</v>
      </c>
      <c r="F766" s="37" t="s">
        <v>2516</v>
      </c>
      <c r="G766" s="38">
        <v>0</v>
      </c>
      <c r="H766" s="38">
        <v>0</v>
      </c>
      <c r="I766" s="15"/>
      <c r="J766" s="494">
        <v>20102050136</v>
      </c>
      <c r="L766" s="523" t="s">
        <v>2443</v>
      </c>
      <c r="M766" s="523" t="s">
        <v>237</v>
      </c>
      <c r="N766" s="518" t="s">
        <v>2444</v>
      </c>
      <c r="O766" s="523">
        <v>2</v>
      </c>
      <c r="P766" s="523" t="s">
        <v>632</v>
      </c>
      <c r="Q766" s="523" t="s">
        <v>647</v>
      </c>
      <c r="R766" s="523" t="s">
        <v>714</v>
      </c>
      <c r="S766" s="523" t="s">
        <v>632</v>
      </c>
      <c r="T766" s="518" t="s">
        <v>2442</v>
      </c>
      <c r="U766" s="38">
        <v>0</v>
      </c>
      <c r="V766" s="15" t="str">
        <f t="shared" si="79"/>
        <v/>
      </c>
      <c r="W766" s="10"/>
      <c r="X766" s="10"/>
      <c r="Y766" s="10"/>
      <c r="Z766" s="10"/>
      <c r="AA766" s="10"/>
      <c r="AB766" s="10"/>
      <c r="AC766" s="9"/>
      <c r="AD766" s="523" t="e">
        <v>#N/A</v>
      </c>
      <c r="AE766" s="523" t="e">
        <v>#N/A</v>
      </c>
      <c r="AF766" s="523" t="e">
        <v>#N/A</v>
      </c>
      <c r="AG766" s="524" t="e">
        <v>#N/A</v>
      </c>
      <c r="AH766" s="9"/>
      <c r="AI766" s="10"/>
      <c r="AJ766" s="9"/>
      <c r="AK766" s="10"/>
      <c r="AL766" s="10"/>
    </row>
    <row r="767" spans="1:38" ht="22.5" hidden="1">
      <c r="A767" s="1">
        <f t="shared" si="82"/>
        <v>0</v>
      </c>
      <c r="B767" s="2" t="s">
        <v>2517</v>
      </c>
      <c r="C767" s="3" t="s">
        <v>2518</v>
      </c>
      <c r="D767" s="15" t="s">
        <v>11587</v>
      </c>
      <c r="E767" s="4" t="s">
        <v>2517</v>
      </c>
      <c r="F767" s="37" t="s">
        <v>2518</v>
      </c>
      <c r="G767" s="38">
        <v>1076729.33</v>
      </c>
      <c r="H767" s="38">
        <v>1076729.33</v>
      </c>
      <c r="I767" s="15"/>
      <c r="J767" s="494">
        <v>20102050137</v>
      </c>
      <c r="L767" s="523" t="s">
        <v>2443</v>
      </c>
      <c r="M767" s="523" t="s">
        <v>237</v>
      </c>
      <c r="N767" s="518" t="s">
        <v>2444</v>
      </c>
      <c r="O767" s="523">
        <v>2</v>
      </c>
      <c r="P767" s="523" t="s">
        <v>632</v>
      </c>
      <c r="Q767" s="523" t="s">
        <v>647</v>
      </c>
      <c r="R767" s="523" t="s">
        <v>714</v>
      </c>
      <c r="S767" s="523" t="s">
        <v>632</v>
      </c>
      <c r="T767" s="518" t="s">
        <v>2442</v>
      </c>
      <c r="U767" s="38">
        <v>1076729.33</v>
      </c>
      <c r="V767" s="15" t="str">
        <f t="shared" si="79"/>
        <v/>
      </c>
      <c r="W767" s="10"/>
      <c r="X767" s="10"/>
      <c r="Y767" s="10"/>
      <c r="Z767" s="10"/>
      <c r="AA767" s="10"/>
      <c r="AB767" s="10"/>
      <c r="AC767" s="9"/>
      <c r="AD767" s="523" t="e">
        <v>#N/A</v>
      </c>
      <c r="AE767" s="523" t="e">
        <v>#N/A</v>
      </c>
      <c r="AF767" s="523" t="e">
        <v>#N/A</v>
      </c>
      <c r="AG767" s="524" t="e">
        <v>#N/A</v>
      </c>
      <c r="AH767" s="9"/>
      <c r="AI767" s="10"/>
      <c r="AJ767" s="9"/>
      <c r="AK767" s="10"/>
      <c r="AL767" s="10"/>
    </row>
    <row r="768" spans="1:38" ht="33.75" hidden="1">
      <c r="A768" s="1">
        <f t="shared" si="82"/>
        <v>0</v>
      </c>
      <c r="B768" s="2" t="s">
        <v>2519</v>
      </c>
      <c r="C768" s="3" t="s">
        <v>2520</v>
      </c>
      <c r="D768" s="15" t="s">
        <v>11588</v>
      </c>
      <c r="E768" s="4" t="s">
        <v>2519</v>
      </c>
      <c r="F768" s="37" t="s">
        <v>2520</v>
      </c>
      <c r="G768" s="38">
        <v>0</v>
      </c>
      <c r="H768" s="38">
        <v>0</v>
      </c>
      <c r="I768" s="15"/>
      <c r="J768" s="494">
        <v>20102050999</v>
      </c>
      <c r="L768" s="523" t="s">
        <v>2443</v>
      </c>
      <c r="M768" s="523" t="s">
        <v>237</v>
      </c>
      <c r="N768" s="518" t="s">
        <v>2444</v>
      </c>
      <c r="O768" s="523">
        <v>2</v>
      </c>
      <c r="P768" s="523" t="s">
        <v>632</v>
      </c>
      <c r="Q768" s="523" t="s">
        <v>647</v>
      </c>
      <c r="R768" s="523" t="s">
        <v>714</v>
      </c>
      <c r="S768" s="523" t="s">
        <v>630</v>
      </c>
      <c r="T768" s="518" t="s">
        <v>2442</v>
      </c>
      <c r="U768" s="38">
        <v>0</v>
      </c>
      <c r="V768" s="15" t="str">
        <f t="shared" si="79"/>
        <v/>
      </c>
      <c r="W768" s="10"/>
      <c r="X768" s="10"/>
      <c r="Y768" s="10"/>
      <c r="Z768" s="10"/>
      <c r="AA768" s="10"/>
      <c r="AB768" s="10"/>
      <c r="AC768" s="9"/>
      <c r="AD768" s="523" t="e">
        <v>#N/A</v>
      </c>
      <c r="AE768" s="523" t="e">
        <v>#N/A</v>
      </c>
      <c r="AF768" s="523" t="e">
        <v>#N/A</v>
      </c>
      <c r="AG768" s="524" t="e">
        <v>#N/A</v>
      </c>
      <c r="AH768" s="9"/>
      <c r="AI768" s="10"/>
      <c r="AJ768" s="9"/>
      <c r="AK768" s="10"/>
      <c r="AL768" s="10"/>
    </row>
    <row r="769" spans="1:38" ht="33.75" hidden="1">
      <c r="A769" s="1">
        <f t="shared" si="82"/>
        <v>0</v>
      </c>
      <c r="B769" s="11"/>
      <c r="C769" s="11"/>
      <c r="D769" s="15" t="s">
        <v>16</v>
      </c>
      <c r="E769" s="30"/>
      <c r="F769" s="31" t="s">
        <v>2521</v>
      </c>
      <c r="G769" s="32">
        <f>G770</f>
        <v>0</v>
      </c>
      <c r="H769" s="32">
        <f>H770+H771+H772</f>
        <v>1708767.73</v>
      </c>
      <c r="I769" s="15"/>
      <c r="J769" s="494"/>
      <c r="K769" s="513"/>
      <c r="L769" s="513"/>
      <c r="M769" s="513"/>
      <c r="N769" s="514"/>
      <c r="O769" s="513"/>
      <c r="P769" s="513"/>
      <c r="Q769" s="513"/>
      <c r="R769" s="513"/>
      <c r="S769" s="513"/>
      <c r="T769" s="514"/>
      <c r="U769" s="32">
        <f>U770+U771+U772</f>
        <v>1708767.73</v>
      </c>
      <c r="V769" s="15" t="str">
        <f t="shared" si="79"/>
        <v>201020600</v>
      </c>
      <c r="W769" s="33">
        <v>2</v>
      </c>
      <c r="X769" s="34" t="s">
        <v>632</v>
      </c>
      <c r="Y769" s="34" t="s">
        <v>647</v>
      </c>
      <c r="Z769" s="35" t="s">
        <v>739</v>
      </c>
      <c r="AA769" s="35" t="s">
        <v>630</v>
      </c>
      <c r="AB769" s="31" t="s">
        <v>2521</v>
      </c>
      <c r="AC769" s="594">
        <f>AC770+AC771+AC772</f>
        <v>1708767.73</v>
      </c>
      <c r="AD769" s="513">
        <v>0</v>
      </c>
      <c r="AE769" s="513" t="s">
        <v>13485</v>
      </c>
      <c r="AF769" s="513" t="s">
        <v>238</v>
      </c>
      <c r="AG769" s="514" t="s">
        <v>2522</v>
      </c>
      <c r="AH769" s="32">
        <f>AH770+AH771+AH772</f>
        <v>1708767.73</v>
      </c>
      <c r="AI769" s="10"/>
      <c r="AJ769" s="9">
        <f t="shared" ref="AJ769:AJ777" si="83">AH769-H769</f>
        <v>0</v>
      </c>
      <c r="AK769" s="10"/>
      <c r="AL769" s="10"/>
    </row>
    <row r="770" spans="1:38" ht="33.75" hidden="1">
      <c r="A770" s="1">
        <f t="shared" si="82"/>
        <v>0</v>
      </c>
      <c r="B770" s="2" t="s">
        <v>2523</v>
      </c>
      <c r="C770" s="3" t="s">
        <v>2524</v>
      </c>
      <c r="D770" s="15" t="s">
        <v>11589</v>
      </c>
      <c r="E770" s="4" t="s">
        <v>2523</v>
      </c>
      <c r="F770" s="37" t="s">
        <v>2524</v>
      </c>
      <c r="G770" s="38">
        <v>0</v>
      </c>
      <c r="H770" s="38">
        <v>0</v>
      </c>
      <c r="I770" s="15"/>
      <c r="J770" s="494">
        <v>20102060101</v>
      </c>
      <c r="K770" s="517"/>
      <c r="L770" s="517" t="s">
        <v>13485</v>
      </c>
      <c r="M770" s="517" t="s">
        <v>238</v>
      </c>
      <c r="N770" s="518" t="s">
        <v>2522</v>
      </c>
      <c r="O770" s="517">
        <v>2</v>
      </c>
      <c r="P770" s="517" t="s">
        <v>632</v>
      </c>
      <c r="Q770" s="517" t="s">
        <v>647</v>
      </c>
      <c r="R770" s="517" t="s">
        <v>739</v>
      </c>
      <c r="S770" s="517" t="s">
        <v>632</v>
      </c>
      <c r="T770" s="518" t="s">
        <v>2521</v>
      </c>
      <c r="U770" s="38">
        <v>0</v>
      </c>
      <c r="V770" s="15" t="str">
        <f t="shared" si="79"/>
        <v>201020601</v>
      </c>
      <c r="W770" s="39">
        <v>2</v>
      </c>
      <c r="X770" s="40" t="s">
        <v>632</v>
      </c>
      <c r="Y770" s="40" t="s">
        <v>647</v>
      </c>
      <c r="Z770" s="40" t="s">
        <v>739</v>
      </c>
      <c r="AA770" s="40" t="s">
        <v>632</v>
      </c>
      <c r="AB770" s="41" t="s">
        <v>2521</v>
      </c>
      <c r="AC770" s="9">
        <f>H770</f>
        <v>0</v>
      </c>
      <c r="AD770" s="517">
        <v>0</v>
      </c>
      <c r="AE770" s="517" t="s">
        <v>13485</v>
      </c>
      <c r="AF770" s="517" t="s">
        <v>238</v>
      </c>
      <c r="AG770" s="520" t="s">
        <v>2522</v>
      </c>
      <c r="AH770" s="67">
        <f t="shared" ref="AH770:AH775" si="84">AC770</f>
        <v>0</v>
      </c>
      <c r="AI770" s="10"/>
      <c r="AJ770" s="9">
        <f t="shared" si="83"/>
        <v>0</v>
      </c>
      <c r="AK770" s="10"/>
      <c r="AL770" s="10"/>
    </row>
    <row r="771" spans="1:38" ht="33.75" hidden="1">
      <c r="A771" s="1">
        <f t="shared" si="82"/>
        <v>0</v>
      </c>
      <c r="B771" s="2" t="s">
        <v>2525</v>
      </c>
      <c r="C771" s="3" t="s">
        <v>2526</v>
      </c>
      <c r="D771" s="15" t="s">
        <v>11589</v>
      </c>
      <c r="E771" s="4" t="s">
        <v>2525</v>
      </c>
      <c r="F771" s="37" t="s">
        <v>2526</v>
      </c>
      <c r="G771" s="38">
        <v>55200</v>
      </c>
      <c r="H771" s="38">
        <v>55200</v>
      </c>
      <c r="I771" s="15"/>
      <c r="J771" s="494">
        <v>20102060102</v>
      </c>
      <c r="K771" s="517"/>
      <c r="L771" s="517" t="s">
        <v>13485</v>
      </c>
      <c r="M771" s="517" t="s">
        <v>238</v>
      </c>
      <c r="N771" s="518" t="s">
        <v>2522</v>
      </c>
      <c r="O771" s="517">
        <v>2</v>
      </c>
      <c r="P771" s="517" t="s">
        <v>632</v>
      </c>
      <c r="Q771" s="517" t="s">
        <v>647</v>
      </c>
      <c r="R771" s="517" t="s">
        <v>739</v>
      </c>
      <c r="S771" s="517" t="s">
        <v>632</v>
      </c>
      <c r="T771" s="518" t="s">
        <v>2521</v>
      </c>
      <c r="U771" s="38">
        <v>55200</v>
      </c>
      <c r="V771" s="15" t="str">
        <f t="shared" ref="V771:V834" si="85">CONCATENATE(W771,X771,Y771,Z771,AA771)</f>
        <v/>
      </c>
      <c r="W771" s="39"/>
      <c r="X771" s="40"/>
      <c r="Y771" s="40"/>
      <c r="Z771" s="40"/>
      <c r="AA771" s="40"/>
      <c r="AB771" s="41"/>
      <c r="AC771" s="9">
        <f>H771</f>
        <v>55200</v>
      </c>
      <c r="AD771" s="517" t="e">
        <v>#N/A</v>
      </c>
      <c r="AE771" s="517" t="e">
        <v>#N/A</v>
      </c>
      <c r="AF771" s="517" t="e">
        <v>#N/A</v>
      </c>
      <c r="AG771" s="520" t="e">
        <v>#N/A</v>
      </c>
      <c r="AH771" s="67">
        <f t="shared" si="84"/>
        <v>55200</v>
      </c>
      <c r="AI771" s="10"/>
      <c r="AJ771" s="9">
        <f t="shared" si="83"/>
        <v>0</v>
      </c>
      <c r="AK771" s="10"/>
      <c r="AL771" s="10"/>
    </row>
    <row r="772" spans="1:38" ht="33.75" hidden="1">
      <c r="A772" s="1">
        <f t="shared" si="82"/>
        <v>0</v>
      </c>
      <c r="B772" s="2" t="s">
        <v>2527</v>
      </c>
      <c r="C772" s="3" t="s">
        <v>2528</v>
      </c>
      <c r="D772" s="15" t="s">
        <v>11589</v>
      </c>
      <c r="E772" s="2" t="s">
        <v>2527</v>
      </c>
      <c r="F772" s="3" t="s">
        <v>2528</v>
      </c>
      <c r="G772" s="38"/>
      <c r="H772" s="38">
        <v>1653567.73</v>
      </c>
      <c r="I772" s="15"/>
      <c r="J772" s="494">
        <v>20102060103</v>
      </c>
      <c r="K772" s="517"/>
      <c r="L772" s="517" t="s">
        <v>13485</v>
      </c>
      <c r="M772" s="517" t="s">
        <v>238</v>
      </c>
      <c r="N772" s="518" t="s">
        <v>2522</v>
      </c>
      <c r="O772" s="517">
        <v>2</v>
      </c>
      <c r="P772" s="517" t="s">
        <v>632</v>
      </c>
      <c r="Q772" s="517" t="s">
        <v>647</v>
      </c>
      <c r="R772" s="517" t="s">
        <v>739</v>
      </c>
      <c r="S772" s="517" t="s">
        <v>632</v>
      </c>
      <c r="T772" s="518" t="s">
        <v>2521</v>
      </c>
      <c r="U772" s="38">
        <v>1653567.73</v>
      </c>
      <c r="V772" s="15" t="str">
        <f t="shared" si="85"/>
        <v/>
      </c>
      <c r="W772" s="39"/>
      <c r="X772" s="40"/>
      <c r="Y772" s="40"/>
      <c r="Z772" s="40"/>
      <c r="AA772" s="40"/>
      <c r="AB772" s="41"/>
      <c r="AC772" s="9">
        <f>H772</f>
        <v>1653567.73</v>
      </c>
      <c r="AD772" s="517" t="e">
        <v>#N/A</v>
      </c>
      <c r="AE772" s="517" t="e">
        <v>#N/A</v>
      </c>
      <c r="AF772" s="517" t="e">
        <v>#N/A</v>
      </c>
      <c r="AG772" s="520" t="e">
        <v>#N/A</v>
      </c>
      <c r="AH772" s="67">
        <f t="shared" si="84"/>
        <v>1653567.73</v>
      </c>
      <c r="AI772" s="10"/>
      <c r="AJ772" s="9">
        <f t="shared" si="83"/>
        <v>0</v>
      </c>
      <c r="AK772" s="10"/>
      <c r="AL772" s="10"/>
    </row>
    <row r="773" spans="1:38" ht="45" hidden="1">
      <c r="A773" s="1">
        <f t="shared" si="82"/>
        <v>0</v>
      </c>
      <c r="B773" s="11"/>
      <c r="C773" s="11"/>
      <c r="D773" s="15" t="s">
        <v>16</v>
      </c>
      <c r="E773" s="30"/>
      <c r="F773" s="31" t="s">
        <v>2529</v>
      </c>
      <c r="G773" s="32">
        <f>SUM(G774:G809)</f>
        <v>56599436.089999996</v>
      </c>
      <c r="H773" s="32">
        <f>SUM(H774:H809)</f>
        <v>56065795.579999991</v>
      </c>
      <c r="I773" s="15"/>
      <c r="J773" s="494"/>
      <c r="K773" s="513"/>
      <c r="L773" s="513"/>
      <c r="M773" s="513"/>
      <c r="N773" s="514"/>
      <c r="O773" s="513"/>
      <c r="P773" s="513"/>
      <c r="Q773" s="513"/>
      <c r="R773" s="513"/>
      <c r="S773" s="513"/>
      <c r="T773" s="514"/>
      <c r="U773" s="32">
        <f>SUM(U774:U809)</f>
        <v>56065795.579999991</v>
      </c>
      <c r="V773" s="15" t="str">
        <f t="shared" si="85"/>
        <v>201020700</v>
      </c>
      <c r="W773" s="33">
        <v>2</v>
      </c>
      <c r="X773" s="34" t="s">
        <v>632</v>
      </c>
      <c r="Y773" s="34" t="s">
        <v>647</v>
      </c>
      <c r="Z773" s="35" t="s">
        <v>755</v>
      </c>
      <c r="AA773" s="35" t="s">
        <v>630</v>
      </c>
      <c r="AB773" s="31" t="s">
        <v>2529</v>
      </c>
      <c r="AC773" s="529">
        <f>SUM(AC774:AC805)</f>
        <v>56065795.579999998</v>
      </c>
      <c r="AD773" s="513">
        <v>0</v>
      </c>
      <c r="AE773" s="513" t="s">
        <v>13486</v>
      </c>
      <c r="AF773" s="513" t="s">
        <v>239</v>
      </c>
      <c r="AG773" s="514" t="s">
        <v>2530</v>
      </c>
      <c r="AH773" s="516">
        <f t="shared" si="84"/>
        <v>56065795.579999998</v>
      </c>
      <c r="AI773" s="10"/>
      <c r="AJ773" s="9">
        <f t="shared" si="83"/>
        <v>0</v>
      </c>
      <c r="AK773" s="10"/>
      <c r="AL773" s="10"/>
    </row>
    <row r="774" spans="1:38" ht="45" hidden="1">
      <c r="A774" s="1">
        <f t="shared" si="82"/>
        <v>0</v>
      </c>
      <c r="B774" s="2" t="s">
        <v>2531</v>
      </c>
      <c r="C774" s="3" t="s">
        <v>2532</v>
      </c>
      <c r="D774" s="15" t="s">
        <v>11590</v>
      </c>
      <c r="E774" s="4" t="s">
        <v>2531</v>
      </c>
      <c r="F774" s="37" t="s">
        <v>2532</v>
      </c>
      <c r="G774" s="38">
        <v>0</v>
      </c>
      <c r="H774" s="38">
        <v>0</v>
      </c>
      <c r="I774" s="15"/>
      <c r="J774" s="494">
        <v>20102070101</v>
      </c>
      <c r="K774" s="517"/>
      <c r="L774" s="517" t="s">
        <v>13486</v>
      </c>
      <c r="M774" s="517" t="s">
        <v>239</v>
      </c>
      <c r="N774" s="518" t="s">
        <v>2530</v>
      </c>
      <c r="O774" s="517">
        <v>2</v>
      </c>
      <c r="P774" s="517" t="s">
        <v>632</v>
      </c>
      <c r="Q774" s="517" t="s">
        <v>647</v>
      </c>
      <c r="R774" s="517" t="s">
        <v>755</v>
      </c>
      <c r="S774" s="517" t="s">
        <v>632</v>
      </c>
      <c r="T774" s="518" t="s">
        <v>2533</v>
      </c>
      <c r="U774" s="38">
        <v>0</v>
      </c>
      <c r="V774" s="15" t="str">
        <f t="shared" si="85"/>
        <v>201020701</v>
      </c>
      <c r="W774" s="39">
        <v>2</v>
      </c>
      <c r="X774" s="40" t="s">
        <v>632</v>
      </c>
      <c r="Y774" s="40" t="s">
        <v>647</v>
      </c>
      <c r="Z774" s="40" t="s">
        <v>755</v>
      </c>
      <c r="AA774" s="40" t="s">
        <v>632</v>
      </c>
      <c r="AB774" s="41" t="s">
        <v>2533</v>
      </c>
      <c r="AC774" s="519">
        <f>H774</f>
        <v>0</v>
      </c>
      <c r="AD774" s="517">
        <v>0</v>
      </c>
      <c r="AE774" s="517" t="s">
        <v>13486</v>
      </c>
      <c r="AF774" s="517" t="s">
        <v>239</v>
      </c>
      <c r="AG774" s="520" t="s">
        <v>2530</v>
      </c>
      <c r="AH774" s="67">
        <f t="shared" si="84"/>
        <v>0</v>
      </c>
      <c r="AI774" s="10"/>
      <c r="AJ774" s="9">
        <f t="shared" si="83"/>
        <v>0</v>
      </c>
      <c r="AK774" s="10"/>
      <c r="AL774" s="10"/>
    </row>
    <row r="775" spans="1:38" ht="45" hidden="1">
      <c r="A775" s="1">
        <f t="shared" si="82"/>
        <v>0</v>
      </c>
      <c r="B775" s="2" t="s">
        <v>2534</v>
      </c>
      <c r="C775" s="3" t="s">
        <v>2535</v>
      </c>
      <c r="D775" s="15" t="s">
        <v>11591</v>
      </c>
      <c r="E775" s="4" t="s">
        <v>2534</v>
      </c>
      <c r="F775" s="37" t="s">
        <v>2535</v>
      </c>
      <c r="G775" s="38">
        <v>53495345.43</v>
      </c>
      <c r="H775" s="38">
        <v>52085458.32</v>
      </c>
      <c r="I775" s="15"/>
      <c r="J775" s="494">
        <v>20102070201</v>
      </c>
      <c r="K775" s="517"/>
      <c r="L775" s="517" t="s">
        <v>13486</v>
      </c>
      <c r="M775" s="517" t="s">
        <v>239</v>
      </c>
      <c r="N775" s="518" t="s">
        <v>2530</v>
      </c>
      <c r="O775" s="517">
        <v>2</v>
      </c>
      <c r="P775" s="517" t="s">
        <v>632</v>
      </c>
      <c r="Q775" s="517" t="s">
        <v>647</v>
      </c>
      <c r="R775" s="517" t="s">
        <v>755</v>
      </c>
      <c r="S775" s="517" t="s">
        <v>647</v>
      </c>
      <c r="T775" s="518" t="s">
        <v>2536</v>
      </c>
      <c r="U775" s="38">
        <v>52085458.32</v>
      </c>
      <c r="V775" s="15" t="str">
        <f t="shared" si="85"/>
        <v>201020702</v>
      </c>
      <c r="W775" s="39">
        <v>2</v>
      </c>
      <c r="X775" s="40" t="s">
        <v>632</v>
      </c>
      <c r="Y775" s="40" t="s">
        <v>647</v>
      </c>
      <c r="Z775" s="40" t="s">
        <v>755</v>
      </c>
      <c r="AA775" s="40" t="s">
        <v>647</v>
      </c>
      <c r="AB775" s="41" t="s">
        <v>2536</v>
      </c>
      <c r="AC775" s="519">
        <f>SUM(H775)</f>
        <v>52085458.32</v>
      </c>
      <c r="AD775" s="517">
        <v>0</v>
      </c>
      <c r="AE775" s="517" t="s">
        <v>13486</v>
      </c>
      <c r="AF775" s="517" t="s">
        <v>239</v>
      </c>
      <c r="AG775" s="520" t="s">
        <v>2530</v>
      </c>
      <c r="AH775" s="67">
        <f t="shared" si="84"/>
        <v>52085458.32</v>
      </c>
      <c r="AI775" s="10"/>
      <c r="AJ775" s="9">
        <f t="shared" si="83"/>
        <v>0</v>
      </c>
      <c r="AK775" s="10"/>
      <c r="AL775" s="10"/>
    </row>
    <row r="776" spans="1:38" ht="33.75" hidden="1">
      <c r="A776" s="1">
        <f t="shared" si="82"/>
        <v>0</v>
      </c>
      <c r="B776" s="2" t="s">
        <v>2537</v>
      </c>
      <c r="C776" s="3" t="s">
        <v>2538</v>
      </c>
      <c r="D776" s="15" t="s">
        <v>11591</v>
      </c>
      <c r="E776" s="4" t="s">
        <v>2537</v>
      </c>
      <c r="F776" s="37" t="s">
        <v>2538</v>
      </c>
      <c r="G776" s="47">
        <v>0</v>
      </c>
      <c r="H776" s="38">
        <v>0</v>
      </c>
      <c r="I776" s="15"/>
      <c r="J776" s="494">
        <v>20102070202</v>
      </c>
      <c r="K776" s="517"/>
      <c r="L776" s="517" t="s">
        <v>13486</v>
      </c>
      <c r="M776" s="517" t="s">
        <v>239</v>
      </c>
      <c r="N776" s="518" t="s">
        <v>2530</v>
      </c>
      <c r="O776" s="517">
        <v>2</v>
      </c>
      <c r="P776" s="517" t="s">
        <v>632</v>
      </c>
      <c r="Q776" s="517" t="s">
        <v>647</v>
      </c>
      <c r="R776" s="517" t="s">
        <v>755</v>
      </c>
      <c r="S776" s="517" t="s">
        <v>647</v>
      </c>
      <c r="T776" s="518" t="s">
        <v>2536</v>
      </c>
      <c r="U776" s="38">
        <v>0</v>
      </c>
      <c r="V776" s="15" t="str">
        <f t="shared" si="85"/>
        <v/>
      </c>
      <c r="W776" s="39"/>
      <c r="X776" s="40"/>
      <c r="Y776" s="40"/>
      <c r="Z776" s="40"/>
      <c r="AA776" s="40"/>
      <c r="AB776" s="41"/>
      <c r="AC776" s="519"/>
      <c r="AD776" s="517" t="e">
        <v>#N/A</v>
      </c>
      <c r="AE776" s="517" t="e">
        <v>#N/A</v>
      </c>
      <c r="AF776" s="517" t="e">
        <v>#N/A</v>
      </c>
      <c r="AG776" s="520" t="e">
        <v>#N/A</v>
      </c>
      <c r="AH776" s="67"/>
      <c r="AI776" s="10"/>
      <c r="AJ776" s="9">
        <f t="shared" si="83"/>
        <v>0</v>
      </c>
      <c r="AK776" s="10"/>
      <c r="AL776" s="10"/>
    </row>
    <row r="777" spans="1:38" ht="45" hidden="1">
      <c r="A777" s="1">
        <f t="shared" si="82"/>
        <v>0</v>
      </c>
      <c r="B777" s="2" t="s">
        <v>2539</v>
      </c>
      <c r="C777" s="3" t="s">
        <v>2540</v>
      </c>
      <c r="D777" s="15" t="s">
        <v>11592</v>
      </c>
      <c r="E777" s="4" t="s">
        <v>2539</v>
      </c>
      <c r="F777" s="37" t="s">
        <v>2540</v>
      </c>
      <c r="G777" s="38">
        <v>198800</v>
      </c>
      <c r="H777" s="38">
        <v>198800</v>
      </c>
      <c r="I777" s="15"/>
      <c r="J777" s="494">
        <v>20102070301</v>
      </c>
      <c r="K777" s="517"/>
      <c r="L777" s="517" t="s">
        <v>13486</v>
      </c>
      <c r="M777" s="517" t="s">
        <v>239</v>
      </c>
      <c r="N777" s="518" t="s">
        <v>2530</v>
      </c>
      <c r="O777" s="517">
        <v>2</v>
      </c>
      <c r="P777" s="517" t="s">
        <v>632</v>
      </c>
      <c r="Q777" s="517" t="s">
        <v>647</v>
      </c>
      <c r="R777" s="517" t="s">
        <v>755</v>
      </c>
      <c r="S777" s="517" t="s">
        <v>671</v>
      </c>
      <c r="T777" s="518" t="s">
        <v>2541</v>
      </c>
      <c r="U777" s="38">
        <v>198800</v>
      </c>
      <c r="V777" s="15" t="str">
        <f t="shared" si="85"/>
        <v>201020703</v>
      </c>
      <c r="W777" s="39">
        <v>2</v>
      </c>
      <c r="X777" s="40" t="s">
        <v>632</v>
      </c>
      <c r="Y777" s="40" t="s">
        <v>647</v>
      </c>
      <c r="Z777" s="40" t="s">
        <v>755</v>
      </c>
      <c r="AA777" s="40" t="s">
        <v>671</v>
      </c>
      <c r="AB777" s="41" t="s">
        <v>2541</v>
      </c>
      <c r="AC777" s="519">
        <f>H777</f>
        <v>198800</v>
      </c>
      <c r="AD777" s="517">
        <v>0</v>
      </c>
      <c r="AE777" s="517" t="s">
        <v>13486</v>
      </c>
      <c r="AF777" s="517" t="s">
        <v>239</v>
      </c>
      <c r="AG777" s="520" t="s">
        <v>2530</v>
      </c>
      <c r="AH777" s="67">
        <f>AC777</f>
        <v>198800</v>
      </c>
      <c r="AI777" s="10"/>
      <c r="AJ777" s="9">
        <f t="shared" si="83"/>
        <v>0</v>
      </c>
      <c r="AK777" s="10"/>
      <c r="AL777" s="10"/>
    </row>
    <row r="778" spans="1:38" ht="56.25" hidden="1">
      <c r="A778" s="1">
        <f t="shared" si="82"/>
        <v>0</v>
      </c>
      <c r="B778" s="2" t="s">
        <v>2542</v>
      </c>
      <c r="C778" s="3" t="s">
        <v>2543</v>
      </c>
      <c r="D778" s="15" t="s">
        <v>11593</v>
      </c>
      <c r="E778" s="4" t="s">
        <v>2542</v>
      </c>
      <c r="F778" s="37" t="s">
        <v>2543</v>
      </c>
      <c r="G778" s="38">
        <v>0</v>
      </c>
      <c r="H778" s="38">
        <v>0</v>
      </c>
      <c r="I778" s="15"/>
      <c r="J778" s="494">
        <v>20102070401</v>
      </c>
      <c r="K778" s="517"/>
      <c r="L778" s="517" t="s">
        <v>13486</v>
      </c>
      <c r="M778" s="517" t="s">
        <v>239</v>
      </c>
      <c r="N778" s="518" t="s">
        <v>2530</v>
      </c>
      <c r="O778" s="517">
        <v>2</v>
      </c>
      <c r="P778" s="517" t="s">
        <v>632</v>
      </c>
      <c r="Q778" s="517" t="s">
        <v>647</v>
      </c>
      <c r="R778" s="517" t="s">
        <v>755</v>
      </c>
      <c r="S778" s="517" t="s">
        <v>693</v>
      </c>
      <c r="T778" s="518" t="s">
        <v>2544</v>
      </c>
      <c r="U778" s="38">
        <v>0</v>
      </c>
      <c r="V778" s="15" t="str">
        <f t="shared" si="85"/>
        <v>201020704</v>
      </c>
      <c r="W778" s="39">
        <v>2</v>
      </c>
      <c r="X778" s="40" t="s">
        <v>632</v>
      </c>
      <c r="Y778" s="40" t="s">
        <v>647</v>
      </c>
      <c r="Z778" s="40" t="s">
        <v>755</v>
      </c>
      <c r="AA778" s="40" t="s">
        <v>693</v>
      </c>
      <c r="AB778" s="41" t="s">
        <v>2544</v>
      </c>
      <c r="AC778" s="519">
        <f>SUM(H778:H809)</f>
        <v>3781537.26</v>
      </c>
      <c r="AD778" s="517">
        <v>0</v>
      </c>
      <c r="AE778" s="517" t="s">
        <v>13486</v>
      </c>
      <c r="AF778" s="517" t="s">
        <v>239</v>
      </c>
      <c r="AG778" s="520" t="s">
        <v>2530</v>
      </c>
      <c r="AH778" s="67">
        <f>AC778</f>
        <v>3781537.26</v>
      </c>
      <c r="AI778" s="10"/>
      <c r="AJ778" s="9"/>
      <c r="AK778" s="10"/>
      <c r="AL778" s="10"/>
    </row>
    <row r="779" spans="1:38" ht="45" hidden="1">
      <c r="A779" s="1">
        <f t="shared" si="82"/>
        <v>0</v>
      </c>
      <c r="B779" s="2" t="s">
        <v>2545</v>
      </c>
      <c r="C779" s="3" t="s">
        <v>2546</v>
      </c>
      <c r="D779" s="15" t="s">
        <v>11593</v>
      </c>
      <c r="E779" s="4" t="s">
        <v>2545</v>
      </c>
      <c r="F779" s="37" t="s">
        <v>2546</v>
      </c>
      <c r="G779" s="38">
        <v>0</v>
      </c>
      <c r="H779" s="38">
        <v>0</v>
      </c>
      <c r="I779" s="15"/>
      <c r="J779" s="494">
        <v>20102070402</v>
      </c>
      <c r="L779" s="523" t="s">
        <v>13486</v>
      </c>
      <c r="M779" s="523" t="s">
        <v>239</v>
      </c>
      <c r="N779" s="518" t="s">
        <v>2530</v>
      </c>
      <c r="O779" s="523">
        <v>2</v>
      </c>
      <c r="P779" s="523" t="s">
        <v>632</v>
      </c>
      <c r="Q779" s="523" t="s">
        <v>647</v>
      </c>
      <c r="R779" s="523" t="s">
        <v>755</v>
      </c>
      <c r="S779" s="523" t="s">
        <v>693</v>
      </c>
      <c r="T779" s="518" t="s">
        <v>2544</v>
      </c>
      <c r="U779" s="38">
        <v>0</v>
      </c>
      <c r="V779" s="15" t="str">
        <f t="shared" si="85"/>
        <v/>
      </c>
      <c r="W779" s="10"/>
      <c r="X779" s="10"/>
      <c r="Y779" s="10"/>
      <c r="Z779" s="10"/>
      <c r="AA779" s="10"/>
      <c r="AB779" s="10"/>
      <c r="AC779" s="9"/>
      <c r="AD779" s="523" t="e">
        <v>#N/A</v>
      </c>
      <c r="AE779" s="523" t="e">
        <v>#N/A</v>
      </c>
      <c r="AF779" s="523" t="e">
        <v>#N/A</v>
      </c>
      <c r="AG779" s="524" t="e">
        <v>#N/A</v>
      </c>
      <c r="AH779" s="9"/>
      <c r="AI779" s="10"/>
      <c r="AJ779" s="9"/>
      <c r="AK779" s="10"/>
      <c r="AL779" s="10"/>
    </row>
    <row r="780" spans="1:38" ht="45" hidden="1">
      <c r="A780" s="1">
        <f t="shared" si="82"/>
        <v>0</v>
      </c>
      <c r="B780" s="2" t="s">
        <v>2547</v>
      </c>
      <c r="C780" s="3" t="s">
        <v>2548</v>
      </c>
      <c r="D780" s="15" t="s">
        <v>11593</v>
      </c>
      <c r="E780" s="4" t="s">
        <v>2547</v>
      </c>
      <c r="F780" s="37" t="s">
        <v>2548</v>
      </c>
      <c r="G780" s="38">
        <v>20567</v>
      </c>
      <c r="H780" s="38">
        <v>20567</v>
      </c>
      <c r="I780" s="15"/>
      <c r="J780" s="494">
        <v>20102070403</v>
      </c>
      <c r="L780" s="523" t="s">
        <v>13486</v>
      </c>
      <c r="M780" s="523" t="s">
        <v>239</v>
      </c>
      <c r="N780" s="518" t="s">
        <v>2530</v>
      </c>
      <c r="O780" s="523">
        <v>2</v>
      </c>
      <c r="P780" s="523" t="s">
        <v>632</v>
      </c>
      <c r="Q780" s="523" t="s">
        <v>647</v>
      </c>
      <c r="R780" s="523" t="s">
        <v>755</v>
      </c>
      <c r="S780" s="523" t="s">
        <v>693</v>
      </c>
      <c r="T780" s="518" t="s">
        <v>2544</v>
      </c>
      <c r="U780" s="38">
        <v>20567</v>
      </c>
      <c r="V780" s="15" t="str">
        <f t="shared" si="85"/>
        <v/>
      </c>
      <c r="W780" s="10"/>
      <c r="X780" s="10"/>
      <c r="Y780" s="10"/>
      <c r="Z780" s="10"/>
      <c r="AA780" s="10"/>
      <c r="AB780" s="10"/>
      <c r="AC780" s="9"/>
      <c r="AD780" s="523" t="e">
        <v>#N/A</v>
      </c>
      <c r="AE780" s="523" t="e">
        <v>#N/A</v>
      </c>
      <c r="AF780" s="523" t="e">
        <v>#N/A</v>
      </c>
      <c r="AG780" s="524" t="e">
        <v>#N/A</v>
      </c>
      <c r="AH780" s="9"/>
      <c r="AI780" s="10"/>
      <c r="AJ780" s="9"/>
      <c r="AK780" s="10"/>
      <c r="AL780" s="10"/>
    </row>
    <row r="781" spans="1:38" ht="45" hidden="1">
      <c r="A781" s="1">
        <f t="shared" si="82"/>
        <v>0</v>
      </c>
      <c r="B781" s="2" t="s">
        <v>2549</v>
      </c>
      <c r="C781" s="3" t="s">
        <v>2550</v>
      </c>
      <c r="D781" s="15" t="s">
        <v>11593</v>
      </c>
      <c r="E781" s="4" t="s">
        <v>2549</v>
      </c>
      <c r="F781" s="37" t="s">
        <v>2550</v>
      </c>
      <c r="G781" s="38">
        <v>221844</v>
      </c>
      <c r="H781" s="38">
        <v>221844</v>
      </c>
      <c r="I781" s="15"/>
      <c r="J781" s="494">
        <v>20102070404</v>
      </c>
      <c r="L781" s="523" t="s">
        <v>13486</v>
      </c>
      <c r="M781" s="523" t="s">
        <v>239</v>
      </c>
      <c r="N781" s="518" t="s">
        <v>2530</v>
      </c>
      <c r="O781" s="523">
        <v>2</v>
      </c>
      <c r="P781" s="523" t="s">
        <v>632</v>
      </c>
      <c r="Q781" s="523" t="s">
        <v>647</v>
      </c>
      <c r="R781" s="523" t="s">
        <v>755</v>
      </c>
      <c r="S781" s="523" t="s">
        <v>693</v>
      </c>
      <c r="T781" s="518" t="s">
        <v>2544</v>
      </c>
      <c r="U781" s="38">
        <v>221844</v>
      </c>
      <c r="V781" s="15" t="str">
        <f t="shared" si="85"/>
        <v/>
      </c>
      <c r="W781" s="10"/>
      <c r="X781" s="10"/>
      <c r="Y781" s="10"/>
      <c r="Z781" s="10"/>
      <c r="AA781" s="10"/>
      <c r="AB781" s="10"/>
      <c r="AC781" s="9"/>
      <c r="AD781" s="523" t="e">
        <v>#N/A</v>
      </c>
      <c r="AE781" s="523" t="e">
        <v>#N/A</v>
      </c>
      <c r="AF781" s="523" t="e">
        <v>#N/A</v>
      </c>
      <c r="AG781" s="524" t="e">
        <v>#N/A</v>
      </c>
      <c r="AH781" s="9"/>
      <c r="AI781" s="10"/>
      <c r="AJ781" s="9"/>
      <c r="AK781" s="10"/>
      <c r="AL781" s="10"/>
    </row>
    <row r="782" spans="1:38" ht="45" hidden="1">
      <c r="A782" s="1">
        <f t="shared" si="82"/>
        <v>0</v>
      </c>
      <c r="B782" s="2" t="s">
        <v>2551</v>
      </c>
      <c r="C782" s="3" t="s">
        <v>2552</v>
      </c>
      <c r="D782" s="15" t="s">
        <v>11593</v>
      </c>
      <c r="E782" s="4" t="s">
        <v>2551</v>
      </c>
      <c r="F782" s="37" t="s">
        <v>2552</v>
      </c>
      <c r="G782" s="38">
        <v>0</v>
      </c>
      <c r="H782" s="38">
        <v>48436.5</v>
      </c>
      <c r="I782" s="15"/>
      <c r="J782" s="494">
        <v>20102070405</v>
      </c>
      <c r="L782" s="523" t="s">
        <v>13486</v>
      </c>
      <c r="M782" s="523" t="s">
        <v>239</v>
      </c>
      <c r="N782" s="518" t="s">
        <v>2530</v>
      </c>
      <c r="O782" s="523">
        <v>2</v>
      </c>
      <c r="P782" s="523" t="s">
        <v>632</v>
      </c>
      <c r="Q782" s="523" t="s">
        <v>647</v>
      </c>
      <c r="R782" s="523" t="s">
        <v>755</v>
      </c>
      <c r="S782" s="523" t="s">
        <v>693</v>
      </c>
      <c r="T782" s="518" t="s">
        <v>2544</v>
      </c>
      <c r="U782" s="38">
        <v>48436.5</v>
      </c>
      <c r="V782" s="15" t="str">
        <f t="shared" si="85"/>
        <v/>
      </c>
      <c r="W782" s="10"/>
      <c r="X782" s="10"/>
      <c r="Y782" s="10"/>
      <c r="Z782" s="10"/>
      <c r="AA782" s="10"/>
      <c r="AB782" s="10"/>
      <c r="AC782" s="9"/>
      <c r="AD782" s="523" t="e">
        <v>#N/A</v>
      </c>
      <c r="AE782" s="523" t="e">
        <v>#N/A</v>
      </c>
      <c r="AF782" s="523" t="e">
        <v>#N/A</v>
      </c>
      <c r="AG782" s="524" t="e">
        <v>#N/A</v>
      </c>
      <c r="AH782" s="9"/>
      <c r="AI782" s="10"/>
      <c r="AJ782" s="9"/>
      <c r="AK782" s="10"/>
      <c r="AL782" s="10"/>
    </row>
    <row r="783" spans="1:38" ht="45" hidden="1">
      <c r="A783" s="1">
        <f t="shared" si="82"/>
        <v>0</v>
      </c>
      <c r="B783" s="2" t="s">
        <v>2553</v>
      </c>
      <c r="C783" s="3" t="s">
        <v>2554</v>
      </c>
      <c r="D783" s="15" t="s">
        <v>11593</v>
      </c>
      <c r="E783" s="4" t="s">
        <v>2553</v>
      </c>
      <c r="F783" s="37" t="s">
        <v>2554</v>
      </c>
      <c r="G783" s="38">
        <v>0</v>
      </c>
      <c r="H783" s="38">
        <v>0</v>
      </c>
      <c r="I783" s="15"/>
      <c r="J783" s="494">
        <v>20102070406</v>
      </c>
      <c r="L783" s="523" t="s">
        <v>13486</v>
      </c>
      <c r="M783" s="523" t="s">
        <v>239</v>
      </c>
      <c r="N783" s="518" t="s">
        <v>2530</v>
      </c>
      <c r="O783" s="523">
        <v>2</v>
      </c>
      <c r="P783" s="523" t="s">
        <v>632</v>
      </c>
      <c r="Q783" s="523" t="s">
        <v>647</v>
      </c>
      <c r="R783" s="523" t="s">
        <v>755</v>
      </c>
      <c r="S783" s="523" t="s">
        <v>693</v>
      </c>
      <c r="T783" s="518" t="s">
        <v>2544</v>
      </c>
      <c r="U783" s="38">
        <v>0</v>
      </c>
      <c r="V783" s="15" t="str">
        <f t="shared" si="85"/>
        <v/>
      </c>
      <c r="W783" s="10"/>
      <c r="X783" s="10"/>
      <c r="Y783" s="10"/>
      <c r="Z783" s="10"/>
      <c r="AA783" s="10"/>
      <c r="AB783" s="10"/>
      <c r="AC783" s="9"/>
      <c r="AD783" s="523" t="e">
        <v>#N/A</v>
      </c>
      <c r="AE783" s="523" t="e">
        <v>#N/A</v>
      </c>
      <c r="AF783" s="523" t="e">
        <v>#N/A</v>
      </c>
      <c r="AG783" s="524" t="e">
        <v>#N/A</v>
      </c>
      <c r="AH783" s="9"/>
      <c r="AI783" s="10"/>
      <c r="AJ783" s="9"/>
      <c r="AK783" s="10"/>
      <c r="AL783" s="10"/>
    </row>
    <row r="784" spans="1:38" ht="45" hidden="1">
      <c r="A784" s="1">
        <f t="shared" si="82"/>
        <v>0</v>
      </c>
      <c r="B784" s="2" t="s">
        <v>2555</v>
      </c>
      <c r="C784" s="3" t="s">
        <v>2556</v>
      </c>
      <c r="D784" s="15" t="s">
        <v>11593</v>
      </c>
      <c r="E784" s="4" t="s">
        <v>2555</v>
      </c>
      <c r="F784" s="37" t="s">
        <v>2556</v>
      </c>
      <c r="G784" s="38">
        <v>0</v>
      </c>
      <c r="H784" s="38">
        <v>0</v>
      </c>
      <c r="I784" s="15"/>
      <c r="J784" s="494">
        <v>20102070407</v>
      </c>
      <c r="L784" s="523" t="s">
        <v>13486</v>
      </c>
      <c r="M784" s="523" t="s">
        <v>239</v>
      </c>
      <c r="N784" s="518" t="s">
        <v>2530</v>
      </c>
      <c r="O784" s="523">
        <v>2</v>
      </c>
      <c r="P784" s="523" t="s">
        <v>632</v>
      </c>
      <c r="Q784" s="523" t="s">
        <v>647</v>
      </c>
      <c r="R784" s="523" t="s">
        <v>755</v>
      </c>
      <c r="S784" s="523" t="s">
        <v>693</v>
      </c>
      <c r="T784" s="518" t="s">
        <v>2544</v>
      </c>
      <c r="U784" s="38">
        <v>0</v>
      </c>
      <c r="V784" s="15" t="str">
        <f t="shared" si="85"/>
        <v/>
      </c>
      <c r="W784" s="10"/>
      <c r="X784" s="10"/>
      <c r="Y784" s="10"/>
      <c r="Z784" s="10"/>
      <c r="AA784" s="10"/>
      <c r="AB784" s="10"/>
      <c r="AC784" s="9"/>
      <c r="AD784" s="523" t="e">
        <v>#N/A</v>
      </c>
      <c r="AE784" s="523" t="e">
        <v>#N/A</v>
      </c>
      <c r="AF784" s="523" t="e">
        <v>#N/A</v>
      </c>
      <c r="AG784" s="524" t="e">
        <v>#N/A</v>
      </c>
      <c r="AH784" s="9"/>
      <c r="AI784" s="10"/>
      <c r="AJ784" s="9"/>
      <c r="AK784" s="10"/>
      <c r="AL784" s="10"/>
    </row>
    <row r="785" spans="1:38" ht="45" hidden="1">
      <c r="A785" s="1">
        <f t="shared" si="82"/>
        <v>0</v>
      </c>
      <c r="B785" s="2" t="s">
        <v>2557</v>
      </c>
      <c r="C785" s="3" t="s">
        <v>2558</v>
      </c>
      <c r="D785" s="15" t="s">
        <v>11593</v>
      </c>
      <c r="E785" s="4" t="s">
        <v>2557</v>
      </c>
      <c r="F785" s="37" t="s">
        <v>2558</v>
      </c>
      <c r="G785" s="38">
        <v>0</v>
      </c>
      <c r="H785" s="38">
        <v>0</v>
      </c>
      <c r="I785" s="15"/>
      <c r="J785" s="494">
        <v>20102070408</v>
      </c>
      <c r="L785" s="523" t="s">
        <v>13486</v>
      </c>
      <c r="M785" s="523" t="s">
        <v>239</v>
      </c>
      <c r="N785" s="518" t="s">
        <v>2530</v>
      </c>
      <c r="O785" s="523">
        <v>2</v>
      </c>
      <c r="P785" s="523" t="s">
        <v>632</v>
      </c>
      <c r="Q785" s="523" t="s">
        <v>647</v>
      </c>
      <c r="R785" s="523" t="s">
        <v>755</v>
      </c>
      <c r="S785" s="523" t="s">
        <v>693</v>
      </c>
      <c r="T785" s="518" t="s">
        <v>2544</v>
      </c>
      <c r="U785" s="38">
        <v>0</v>
      </c>
      <c r="V785" s="15" t="str">
        <f t="shared" si="85"/>
        <v/>
      </c>
      <c r="W785" s="10"/>
      <c r="X785" s="10"/>
      <c r="Y785" s="10"/>
      <c r="Z785" s="10"/>
      <c r="AA785" s="10"/>
      <c r="AB785" s="10"/>
      <c r="AC785" s="9"/>
      <c r="AD785" s="523" t="e">
        <v>#N/A</v>
      </c>
      <c r="AE785" s="523" t="e">
        <v>#N/A</v>
      </c>
      <c r="AF785" s="523" t="e">
        <v>#N/A</v>
      </c>
      <c r="AG785" s="524" t="e">
        <v>#N/A</v>
      </c>
      <c r="AH785" s="9"/>
      <c r="AI785" s="10"/>
      <c r="AJ785" s="9"/>
      <c r="AK785" s="10"/>
      <c r="AL785" s="10"/>
    </row>
    <row r="786" spans="1:38" ht="45" hidden="1">
      <c r="A786" s="1">
        <f t="shared" si="82"/>
        <v>0</v>
      </c>
      <c r="B786" s="2" t="s">
        <v>2559</v>
      </c>
      <c r="C786" s="3" t="s">
        <v>2560</v>
      </c>
      <c r="D786" s="15" t="s">
        <v>11593</v>
      </c>
      <c r="E786" s="4" t="s">
        <v>2559</v>
      </c>
      <c r="F786" s="37" t="s">
        <v>2560</v>
      </c>
      <c r="G786" s="38">
        <v>0</v>
      </c>
      <c r="H786" s="38">
        <v>0</v>
      </c>
      <c r="I786" s="15"/>
      <c r="J786" s="494">
        <v>20102070409</v>
      </c>
      <c r="L786" s="523" t="s">
        <v>13486</v>
      </c>
      <c r="M786" s="523" t="s">
        <v>239</v>
      </c>
      <c r="N786" s="518" t="s">
        <v>2530</v>
      </c>
      <c r="O786" s="523">
        <v>2</v>
      </c>
      <c r="P786" s="523" t="s">
        <v>632</v>
      </c>
      <c r="Q786" s="523" t="s">
        <v>647</v>
      </c>
      <c r="R786" s="523" t="s">
        <v>755</v>
      </c>
      <c r="S786" s="523" t="s">
        <v>693</v>
      </c>
      <c r="T786" s="518" t="s">
        <v>2544</v>
      </c>
      <c r="U786" s="38">
        <v>0</v>
      </c>
      <c r="V786" s="15" t="str">
        <f t="shared" si="85"/>
        <v/>
      </c>
      <c r="W786" s="10"/>
      <c r="X786" s="10"/>
      <c r="Y786" s="10"/>
      <c r="Z786" s="10"/>
      <c r="AA786" s="10"/>
      <c r="AB786" s="10"/>
      <c r="AC786" s="9"/>
      <c r="AD786" s="523" t="e">
        <v>#N/A</v>
      </c>
      <c r="AE786" s="523" t="e">
        <v>#N/A</v>
      </c>
      <c r="AF786" s="523" t="e">
        <v>#N/A</v>
      </c>
      <c r="AG786" s="524" t="e">
        <v>#N/A</v>
      </c>
      <c r="AH786" s="9"/>
      <c r="AI786" s="10"/>
      <c r="AJ786" s="9"/>
      <c r="AK786" s="10"/>
      <c r="AL786" s="10"/>
    </row>
    <row r="787" spans="1:38" ht="45" hidden="1">
      <c r="A787" s="1">
        <f t="shared" ref="A787:A850" si="86">IF(E787=B787,0,1)</f>
        <v>0</v>
      </c>
      <c r="B787" s="2" t="s">
        <v>2561</v>
      </c>
      <c r="C787" s="3" t="s">
        <v>2562</v>
      </c>
      <c r="D787" s="15" t="s">
        <v>11593</v>
      </c>
      <c r="E787" s="4" t="s">
        <v>2561</v>
      </c>
      <c r="F787" s="37" t="s">
        <v>2562</v>
      </c>
      <c r="G787" s="38">
        <v>0</v>
      </c>
      <c r="H787" s="38">
        <v>0</v>
      </c>
      <c r="I787" s="15"/>
      <c r="J787" s="494">
        <v>20102070410</v>
      </c>
      <c r="L787" s="523" t="s">
        <v>13486</v>
      </c>
      <c r="M787" s="523" t="s">
        <v>239</v>
      </c>
      <c r="N787" s="518" t="s">
        <v>2530</v>
      </c>
      <c r="O787" s="523">
        <v>2</v>
      </c>
      <c r="P787" s="523" t="s">
        <v>632</v>
      </c>
      <c r="Q787" s="523" t="s">
        <v>647</v>
      </c>
      <c r="R787" s="523" t="s">
        <v>755</v>
      </c>
      <c r="S787" s="523" t="s">
        <v>693</v>
      </c>
      <c r="T787" s="518" t="s">
        <v>2544</v>
      </c>
      <c r="U787" s="38">
        <v>0</v>
      </c>
      <c r="V787" s="15" t="str">
        <f t="shared" si="85"/>
        <v/>
      </c>
      <c r="W787" s="10"/>
      <c r="X787" s="10"/>
      <c r="Y787" s="10"/>
      <c r="Z787" s="10"/>
      <c r="AA787" s="10"/>
      <c r="AB787" s="10"/>
      <c r="AC787" s="9"/>
      <c r="AD787" s="523" t="e">
        <v>#N/A</v>
      </c>
      <c r="AE787" s="523" t="e">
        <v>#N/A</v>
      </c>
      <c r="AF787" s="523" t="e">
        <v>#N/A</v>
      </c>
      <c r="AG787" s="524" t="e">
        <v>#N/A</v>
      </c>
      <c r="AH787" s="9"/>
      <c r="AI787" s="10"/>
      <c r="AJ787" s="9"/>
      <c r="AK787" s="10"/>
      <c r="AL787" s="10"/>
    </row>
    <row r="788" spans="1:38" ht="45" hidden="1">
      <c r="A788" s="1">
        <f t="shared" si="86"/>
        <v>0</v>
      </c>
      <c r="B788" s="2" t="s">
        <v>2563</v>
      </c>
      <c r="C788" s="3" t="s">
        <v>2564</v>
      </c>
      <c r="D788" s="15" t="s">
        <v>11593</v>
      </c>
      <c r="E788" s="4" t="s">
        <v>2563</v>
      </c>
      <c r="F788" s="37" t="s">
        <v>2564</v>
      </c>
      <c r="G788" s="38">
        <v>0</v>
      </c>
      <c r="H788" s="38">
        <v>0</v>
      </c>
      <c r="I788" s="15"/>
      <c r="J788" s="494">
        <v>20102070411</v>
      </c>
      <c r="L788" s="523" t="s">
        <v>13486</v>
      </c>
      <c r="M788" s="523" t="s">
        <v>239</v>
      </c>
      <c r="N788" s="518" t="s">
        <v>2530</v>
      </c>
      <c r="O788" s="523">
        <v>2</v>
      </c>
      <c r="P788" s="523" t="s">
        <v>632</v>
      </c>
      <c r="Q788" s="523" t="s">
        <v>647</v>
      </c>
      <c r="R788" s="523" t="s">
        <v>755</v>
      </c>
      <c r="S788" s="523" t="s">
        <v>693</v>
      </c>
      <c r="T788" s="518" t="s">
        <v>2544</v>
      </c>
      <c r="U788" s="38">
        <v>0</v>
      </c>
      <c r="V788" s="15" t="str">
        <f t="shared" si="85"/>
        <v/>
      </c>
      <c r="W788" s="10"/>
      <c r="X788" s="10"/>
      <c r="Y788" s="10"/>
      <c r="Z788" s="10"/>
      <c r="AA788" s="10"/>
      <c r="AB788" s="10"/>
      <c r="AC788" s="9"/>
      <c r="AD788" s="523" t="e">
        <v>#N/A</v>
      </c>
      <c r="AE788" s="523" t="e">
        <v>#N/A</v>
      </c>
      <c r="AF788" s="523" t="e">
        <v>#N/A</v>
      </c>
      <c r="AG788" s="524" t="e">
        <v>#N/A</v>
      </c>
      <c r="AH788" s="9"/>
      <c r="AI788" s="10"/>
      <c r="AJ788" s="9"/>
      <c r="AK788" s="10"/>
      <c r="AL788" s="10"/>
    </row>
    <row r="789" spans="1:38" ht="56.25" hidden="1">
      <c r="A789" s="1">
        <f t="shared" si="86"/>
        <v>0</v>
      </c>
      <c r="B789" s="2" t="s">
        <v>2565</v>
      </c>
      <c r="C789" s="3" t="s">
        <v>2566</v>
      </c>
      <c r="D789" s="15" t="s">
        <v>11593</v>
      </c>
      <c r="E789" s="4" t="s">
        <v>2565</v>
      </c>
      <c r="F789" s="37" t="s">
        <v>2566</v>
      </c>
      <c r="G789" s="38">
        <v>0</v>
      </c>
      <c r="H789" s="38">
        <v>0</v>
      </c>
      <c r="I789" s="15"/>
      <c r="J789" s="494">
        <v>20102070412</v>
      </c>
      <c r="L789" s="523" t="s">
        <v>13486</v>
      </c>
      <c r="M789" s="523" t="s">
        <v>239</v>
      </c>
      <c r="N789" s="518" t="s">
        <v>2530</v>
      </c>
      <c r="O789" s="523">
        <v>2</v>
      </c>
      <c r="P789" s="523" t="s">
        <v>632</v>
      </c>
      <c r="Q789" s="523" t="s">
        <v>647</v>
      </c>
      <c r="R789" s="523" t="s">
        <v>755</v>
      </c>
      <c r="S789" s="523" t="s">
        <v>693</v>
      </c>
      <c r="T789" s="518" t="s">
        <v>2544</v>
      </c>
      <c r="U789" s="38">
        <v>0</v>
      </c>
      <c r="V789" s="15" t="str">
        <f t="shared" si="85"/>
        <v/>
      </c>
      <c r="W789" s="10"/>
      <c r="X789" s="10"/>
      <c r="Y789" s="10"/>
      <c r="Z789" s="10"/>
      <c r="AA789" s="10"/>
      <c r="AB789" s="10"/>
      <c r="AC789" s="9"/>
      <c r="AD789" s="523" t="e">
        <v>#N/A</v>
      </c>
      <c r="AE789" s="523" t="e">
        <v>#N/A</v>
      </c>
      <c r="AF789" s="523" t="e">
        <v>#N/A</v>
      </c>
      <c r="AG789" s="524" t="e">
        <v>#N/A</v>
      </c>
      <c r="AH789" s="9"/>
      <c r="AI789" s="10"/>
      <c r="AJ789" s="9"/>
      <c r="AK789" s="10"/>
      <c r="AL789" s="10"/>
    </row>
    <row r="790" spans="1:38" ht="45" hidden="1">
      <c r="A790" s="1">
        <f t="shared" si="86"/>
        <v>0</v>
      </c>
      <c r="B790" s="2" t="s">
        <v>2567</v>
      </c>
      <c r="C790" s="3" t="s">
        <v>2568</v>
      </c>
      <c r="D790" s="15" t="s">
        <v>11593</v>
      </c>
      <c r="E790" s="4" t="s">
        <v>2567</v>
      </c>
      <c r="F790" s="37" t="s">
        <v>2568</v>
      </c>
      <c r="G790" s="38">
        <v>0</v>
      </c>
      <c r="H790" s="38">
        <v>0</v>
      </c>
      <c r="I790" s="15"/>
      <c r="J790" s="494">
        <v>20102070413</v>
      </c>
      <c r="L790" s="523" t="s">
        <v>13486</v>
      </c>
      <c r="M790" s="523" t="s">
        <v>239</v>
      </c>
      <c r="N790" s="518" t="s">
        <v>2530</v>
      </c>
      <c r="O790" s="523">
        <v>2</v>
      </c>
      <c r="P790" s="523" t="s">
        <v>632</v>
      </c>
      <c r="Q790" s="523" t="s">
        <v>647</v>
      </c>
      <c r="R790" s="523" t="s">
        <v>755</v>
      </c>
      <c r="S790" s="523" t="s">
        <v>693</v>
      </c>
      <c r="T790" s="518" t="s">
        <v>2544</v>
      </c>
      <c r="U790" s="38">
        <v>0</v>
      </c>
      <c r="V790" s="15" t="str">
        <f t="shared" si="85"/>
        <v/>
      </c>
      <c r="W790" s="10"/>
      <c r="X790" s="10"/>
      <c r="Y790" s="10"/>
      <c r="Z790" s="10"/>
      <c r="AA790" s="10"/>
      <c r="AB790" s="10"/>
      <c r="AC790" s="9"/>
      <c r="AD790" s="523" t="e">
        <v>#N/A</v>
      </c>
      <c r="AE790" s="523" t="e">
        <v>#N/A</v>
      </c>
      <c r="AF790" s="523" t="e">
        <v>#N/A</v>
      </c>
      <c r="AG790" s="524" t="e">
        <v>#N/A</v>
      </c>
      <c r="AH790" s="9"/>
      <c r="AI790" s="10"/>
      <c r="AJ790" s="9"/>
      <c r="AK790" s="10"/>
      <c r="AL790" s="10"/>
    </row>
    <row r="791" spans="1:38" ht="45" hidden="1">
      <c r="A791" s="1">
        <f t="shared" si="86"/>
        <v>0</v>
      </c>
      <c r="B791" s="2" t="s">
        <v>2569</v>
      </c>
      <c r="C791" s="3" t="s">
        <v>2570</v>
      </c>
      <c r="D791" s="15" t="s">
        <v>11593</v>
      </c>
      <c r="E791" s="4" t="s">
        <v>2569</v>
      </c>
      <c r="F791" s="37" t="s">
        <v>2570</v>
      </c>
      <c r="G791" s="38">
        <v>4072.98</v>
      </c>
      <c r="H791" s="38">
        <v>16158.54</v>
      </c>
      <c r="I791" s="15"/>
      <c r="J791" s="494">
        <v>20102070414</v>
      </c>
      <c r="L791" s="523" t="s">
        <v>13486</v>
      </c>
      <c r="M791" s="523" t="s">
        <v>239</v>
      </c>
      <c r="N791" s="518" t="s">
        <v>2530</v>
      </c>
      <c r="O791" s="523">
        <v>2</v>
      </c>
      <c r="P791" s="523" t="s">
        <v>632</v>
      </c>
      <c r="Q791" s="523" t="s">
        <v>647</v>
      </c>
      <c r="R791" s="523" t="s">
        <v>755</v>
      </c>
      <c r="S791" s="523" t="s">
        <v>693</v>
      </c>
      <c r="T791" s="518" t="s">
        <v>2544</v>
      </c>
      <c r="U791" s="38">
        <v>16158.54</v>
      </c>
      <c r="V791" s="15" t="str">
        <f t="shared" si="85"/>
        <v/>
      </c>
      <c r="W791" s="10"/>
      <c r="X791" s="10"/>
      <c r="Y791" s="10"/>
      <c r="Z791" s="10"/>
      <c r="AA791" s="10"/>
      <c r="AB791" s="10"/>
      <c r="AC791" s="9"/>
      <c r="AD791" s="523" t="e">
        <v>#N/A</v>
      </c>
      <c r="AE791" s="523" t="e">
        <v>#N/A</v>
      </c>
      <c r="AF791" s="523" t="e">
        <v>#N/A</v>
      </c>
      <c r="AG791" s="524" t="e">
        <v>#N/A</v>
      </c>
      <c r="AH791" s="9"/>
      <c r="AI791" s="10"/>
      <c r="AJ791" s="9"/>
      <c r="AK791" s="10"/>
      <c r="AL791" s="10"/>
    </row>
    <row r="792" spans="1:38" ht="45" hidden="1">
      <c r="A792" s="1">
        <f t="shared" si="86"/>
        <v>0</v>
      </c>
      <c r="B792" s="2" t="s">
        <v>2571</v>
      </c>
      <c r="C792" s="3" t="s">
        <v>2572</v>
      </c>
      <c r="D792" s="15" t="s">
        <v>11593</v>
      </c>
      <c r="E792" s="4" t="s">
        <v>2571</v>
      </c>
      <c r="F792" s="37" t="s">
        <v>2572</v>
      </c>
      <c r="G792" s="38">
        <v>0</v>
      </c>
      <c r="H792" s="38">
        <v>0</v>
      </c>
      <c r="I792" s="15"/>
      <c r="J792" s="494">
        <v>20102070415</v>
      </c>
      <c r="L792" s="523" t="s">
        <v>13486</v>
      </c>
      <c r="M792" s="523" t="s">
        <v>239</v>
      </c>
      <c r="N792" s="518" t="s">
        <v>2530</v>
      </c>
      <c r="O792" s="523">
        <v>2</v>
      </c>
      <c r="P792" s="523" t="s">
        <v>632</v>
      </c>
      <c r="Q792" s="523" t="s">
        <v>647</v>
      </c>
      <c r="R792" s="523" t="s">
        <v>755</v>
      </c>
      <c r="S792" s="523" t="s">
        <v>693</v>
      </c>
      <c r="T792" s="518" t="s">
        <v>2544</v>
      </c>
      <c r="U792" s="38">
        <v>0</v>
      </c>
      <c r="V792" s="15" t="str">
        <f t="shared" si="85"/>
        <v/>
      </c>
      <c r="W792" s="10"/>
      <c r="X792" s="10"/>
      <c r="Y792" s="10"/>
      <c r="Z792" s="10"/>
      <c r="AA792" s="10"/>
      <c r="AB792" s="10"/>
      <c r="AC792" s="9"/>
      <c r="AD792" s="523" t="e">
        <v>#N/A</v>
      </c>
      <c r="AE792" s="523" t="e">
        <v>#N/A</v>
      </c>
      <c r="AF792" s="523" t="e">
        <v>#N/A</v>
      </c>
      <c r="AG792" s="524" t="e">
        <v>#N/A</v>
      </c>
      <c r="AH792" s="9"/>
      <c r="AI792" s="10"/>
      <c r="AJ792" s="9"/>
      <c r="AK792" s="10"/>
      <c r="AL792" s="10"/>
    </row>
    <row r="793" spans="1:38" ht="45" hidden="1">
      <c r="A793" s="1">
        <f t="shared" si="86"/>
        <v>0</v>
      </c>
      <c r="B793" s="2" t="s">
        <v>2573</v>
      </c>
      <c r="C793" s="3" t="s">
        <v>2574</v>
      </c>
      <c r="D793" s="15" t="s">
        <v>11593</v>
      </c>
      <c r="E793" s="4" t="s">
        <v>2573</v>
      </c>
      <c r="F793" s="37" t="s">
        <v>2574</v>
      </c>
      <c r="G793" s="38">
        <v>0</v>
      </c>
      <c r="H793" s="38">
        <v>0</v>
      </c>
      <c r="I793" s="15"/>
      <c r="J793" s="494">
        <v>20102070416</v>
      </c>
      <c r="L793" s="523" t="s">
        <v>13486</v>
      </c>
      <c r="M793" s="523" t="s">
        <v>239</v>
      </c>
      <c r="N793" s="518" t="s">
        <v>2530</v>
      </c>
      <c r="O793" s="523">
        <v>2</v>
      </c>
      <c r="P793" s="523" t="s">
        <v>632</v>
      </c>
      <c r="Q793" s="523" t="s">
        <v>647</v>
      </c>
      <c r="R793" s="523" t="s">
        <v>755</v>
      </c>
      <c r="S793" s="523" t="s">
        <v>693</v>
      </c>
      <c r="T793" s="518" t="s">
        <v>2544</v>
      </c>
      <c r="U793" s="38">
        <v>0</v>
      </c>
      <c r="V793" s="15" t="str">
        <f t="shared" si="85"/>
        <v/>
      </c>
      <c r="W793" s="10"/>
      <c r="X793" s="10"/>
      <c r="Y793" s="10"/>
      <c r="Z793" s="10"/>
      <c r="AA793" s="10"/>
      <c r="AB793" s="10"/>
      <c r="AC793" s="9"/>
      <c r="AD793" s="523" t="e">
        <v>#N/A</v>
      </c>
      <c r="AE793" s="523" t="e">
        <v>#N/A</v>
      </c>
      <c r="AF793" s="523" t="e">
        <v>#N/A</v>
      </c>
      <c r="AG793" s="524" t="e">
        <v>#N/A</v>
      </c>
      <c r="AH793" s="9"/>
      <c r="AI793" s="10"/>
      <c r="AJ793" s="9"/>
      <c r="AK793" s="10"/>
      <c r="AL793" s="10"/>
    </row>
    <row r="794" spans="1:38" ht="45" hidden="1">
      <c r="A794" s="1">
        <f t="shared" si="86"/>
        <v>0</v>
      </c>
      <c r="B794" s="2" t="s">
        <v>2575</v>
      </c>
      <c r="C794" s="3" t="s">
        <v>2576</v>
      </c>
      <c r="D794" s="15" t="s">
        <v>11593</v>
      </c>
      <c r="E794" s="4" t="s">
        <v>2575</v>
      </c>
      <c r="F794" s="37" t="s">
        <v>2576</v>
      </c>
      <c r="G794" s="38">
        <v>26739.41</v>
      </c>
      <c r="H794" s="38">
        <v>26739.41</v>
      </c>
      <c r="I794" s="15"/>
      <c r="J794" s="494">
        <v>20102070417</v>
      </c>
      <c r="L794" s="523" t="s">
        <v>13486</v>
      </c>
      <c r="M794" s="523" t="s">
        <v>239</v>
      </c>
      <c r="N794" s="518" t="s">
        <v>2530</v>
      </c>
      <c r="O794" s="523">
        <v>2</v>
      </c>
      <c r="P794" s="523" t="s">
        <v>632</v>
      </c>
      <c r="Q794" s="523" t="s">
        <v>647</v>
      </c>
      <c r="R794" s="523" t="s">
        <v>755</v>
      </c>
      <c r="S794" s="523" t="s">
        <v>693</v>
      </c>
      <c r="T794" s="518" t="s">
        <v>2544</v>
      </c>
      <c r="U794" s="38">
        <v>26739.41</v>
      </c>
      <c r="V794" s="15" t="str">
        <f t="shared" si="85"/>
        <v/>
      </c>
      <c r="W794" s="10"/>
      <c r="X794" s="10"/>
      <c r="Y794" s="10"/>
      <c r="Z794" s="10"/>
      <c r="AA794" s="10"/>
      <c r="AB794" s="10"/>
      <c r="AC794" s="9"/>
      <c r="AD794" s="523" t="e">
        <v>#N/A</v>
      </c>
      <c r="AE794" s="523" t="e">
        <v>#N/A</v>
      </c>
      <c r="AF794" s="523" t="e">
        <v>#N/A</v>
      </c>
      <c r="AG794" s="524" t="e">
        <v>#N/A</v>
      </c>
      <c r="AH794" s="9"/>
      <c r="AI794" s="10"/>
      <c r="AJ794" s="9"/>
      <c r="AK794" s="10"/>
      <c r="AL794" s="10"/>
    </row>
    <row r="795" spans="1:38" ht="45" hidden="1">
      <c r="A795" s="1">
        <f t="shared" si="86"/>
        <v>0</v>
      </c>
      <c r="B795" s="2" t="s">
        <v>2577</v>
      </c>
      <c r="C795" s="3" t="s">
        <v>2578</v>
      </c>
      <c r="D795" s="15" t="s">
        <v>11593</v>
      </c>
      <c r="E795" s="4" t="s">
        <v>2577</v>
      </c>
      <c r="F795" s="37" t="s">
        <v>2578</v>
      </c>
      <c r="G795" s="38">
        <v>0</v>
      </c>
      <c r="H795" s="38">
        <v>0</v>
      </c>
      <c r="I795" s="15"/>
      <c r="J795" s="494">
        <v>20102070418</v>
      </c>
      <c r="L795" s="523" t="s">
        <v>13486</v>
      </c>
      <c r="M795" s="523" t="s">
        <v>239</v>
      </c>
      <c r="N795" s="518" t="s">
        <v>2530</v>
      </c>
      <c r="O795" s="523">
        <v>2</v>
      </c>
      <c r="P795" s="523" t="s">
        <v>632</v>
      </c>
      <c r="Q795" s="523" t="s">
        <v>647</v>
      </c>
      <c r="R795" s="523" t="s">
        <v>755</v>
      </c>
      <c r="S795" s="523" t="s">
        <v>693</v>
      </c>
      <c r="T795" s="518" t="s">
        <v>2544</v>
      </c>
      <c r="U795" s="38">
        <v>0</v>
      </c>
      <c r="V795" s="15" t="str">
        <f t="shared" si="85"/>
        <v/>
      </c>
      <c r="W795" s="10"/>
      <c r="X795" s="10"/>
      <c r="Y795" s="10"/>
      <c r="Z795" s="10"/>
      <c r="AA795" s="10"/>
      <c r="AB795" s="10"/>
      <c r="AC795" s="9"/>
      <c r="AD795" s="523" t="e">
        <v>#N/A</v>
      </c>
      <c r="AE795" s="523" t="e">
        <v>#N/A</v>
      </c>
      <c r="AF795" s="523" t="e">
        <v>#N/A</v>
      </c>
      <c r="AG795" s="524" t="e">
        <v>#N/A</v>
      </c>
      <c r="AH795" s="9"/>
      <c r="AI795" s="10"/>
      <c r="AJ795" s="9"/>
      <c r="AK795" s="10"/>
      <c r="AL795" s="10"/>
    </row>
    <row r="796" spans="1:38" ht="45" hidden="1">
      <c r="A796" s="1">
        <f t="shared" si="86"/>
        <v>0</v>
      </c>
      <c r="B796" s="2" t="s">
        <v>2579</v>
      </c>
      <c r="C796" s="3" t="s">
        <v>2580</v>
      </c>
      <c r="D796" s="15" t="s">
        <v>11593</v>
      </c>
      <c r="E796" s="4" t="s">
        <v>2579</v>
      </c>
      <c r="F796" s="37" t="s">
        <v>2580</v>
      </c>
      <c r="G796" s="38">
        <v>0</v>
      </c>
      <c r="H796" s="38">
        <v>42445</v>
      </c>
      <c r="I796" s="15"/>
      <c r="J796" s="494">
        <v>20102070419</v>
      </c>
      <c r="L796" s="523" t="s">
        <v>13486</v>
      </c>
      <c r="M796" s="523" t="s">
        <v>239</v>
      </c>
      <c r="N796" s="518" t="s">
        <v>2530</v>
      </c>
      <c r="O796" s="523">
        <v>2</v>
      </c>
      <c r="P796" s="523" t="s">
        <v>632</v>
      </c>
      <c r="Q796" s="523" t="s">
        <v>647</v>
      </c>
      <c r="R796" s="523" t="s">
        <v>755</v>
      </c>
      <c r="S796" s="523" t="s">
        <v>693</v>
      </c>
      <c r="T796" s="518" t="s">
        <v>2544</v>
      </c>
      <c r="U796" s="38">
        <v>42445</v>
      </c>
      <c r="V796" s="15" t="str">
        <f t="shared" si="85"/>
        <v/>
      </c>
      <c r="W796" s="10"/>
      <c r="X796" s="10"/>
      <c r="Y796" s="10"/>
      <c r="Z796" s="10"/>
      <c r="AA796" s="10"/>
      <c r="AB796" s="10"/>
      <c r="AC796" s="9"/>
      <c r="AD796" s="523" t="e">
        <v>#N/A</v>
      </c>
      <c r="AE796" s="523" t="e">
        <v>#N/A</v>
      </c>
      <c r="AF796" s="523" t="e">
        <v>#N/A</v>
      </c>
      <c r="AG796" s="524" t="e">
        <v>#N/A</v>
      </c>
      <c r="AH796" s="9"/>
      <c r="AI796" s="10"/>
      <c r="AJ796" s="9"/>
      <c r="AK796" s="10"/>
      <c r="AL796" s="10"/>
    </row>
    <row r="797" spans="1:38" ht="45" hidden="1">
      <c r="A797" s="1">
        <f t="shared" si="86"/>
        <v>0</v>
      </c>
      <c r="B797" s="2" t="s">
        <v>2581</v>
      </c>
      <c r="C797" s="3" t="s">
        <v>2582</v>
      </c>
      <c r="D797" s="15" t="s">
        <v>11593</v>
      </c>
      <c r="E797" s="4" t="s">
        <v>2581</v>
      </c>
      <c r="F797" s="37" t="s">
        <v>2582</v>
      </c>
      <c r="G797" s="38">
        <v>0</v>
      </c>
      <c r="H797" s="38">
        <v>0</v>
      </c>
      <c r="I797" s="15"/>
      <c r="J797" s="494">
        <v>20102070420</v>
      </c>
      <c r="L797" s="523" t="s">
        <v>13486</v>
      </c>
      <c r="M797" s="523" t="s">
        <v>239</v>
      </c>
      <c r="N797" s="518" t="s">
        <v>2530</v>
      </c>
      <c r="O797" s="523">
        <v>2</v>
      </c>
      <c r="P797" s="523" t="s">
        <v>632</v>
      </c>
      <c r="Q797" s="523" t="s">
        <v>647</v>
      </c>
      <c r="R797" s="523" t="s">
        <v>755</v>
      </c>
      <c r="S797" s="523" t="s">
        <v>693</v>
      </c>
      <c r="T797" s="518" t="s">
        <v>2544</v>
      </c>
      <c r="U797" s="38">
        <v>0</v>
      </c>
      <c r="V797" s="15" t="str">
        <f t="shared" si="85"/>
        <v/>
      </c>
      <c r="W797" s="10"/>
      <c r="X797" s="10"/>
      <c r="Y797" s="10"/>
      <c r="Z797" s="10"/>
      <c r="AA797" s="10"/>
      <c r="AB797" s="10"/>
      <c r="AC797" s="9"/>
      <c r="AD797" s="523" t="e">
        <v>#N/A</v>
      </c>
      <c r="AE797" s="523" t="e">
        <v>#N/A</v>
      </c>
      <c r="AF797" s="523" t="e">
        <v>#N/A</v>
      </c>
      <c r="AG797" s="524" t="e">
        <v>#N/A</v>
      </c>
      <c r="AH797" s="9"/>
      <c r="AI797" s="10"/>
      <c r="AJ797" s="9"/>
      <c r="AK797" s="10"/>
      <c r="AL797" s="10"/>
    </row>
    <row r="798" spans="1:38" ht="45" hidden="1">
      <c r="A798" s="1">
        <f t="shared" si="86"/>
        <v>0</v>
      </c>
      <c r="B798" s="2" t="s">
        <v>2583</v>
      </c>
      <c r="C798" s="3" t="s">
        <v>2584</v>
      </c>
      <c r="D798" s="15" t="s">
        <v>11593</v>
      </c>
      <c r="E798" s="4" t="s">
        <v>2583</v>
      </c>
      <c r="F798" s="37" t="s">
        <v>2584</v>
      </c>
      <c r="G798" s="38">
        <v>0</v>
      </c>
      <c r="H798" s="38">
        <v>0</v>
      </c>
      <c r="I798" s="15"/>
      <c r="J798" s="494">
        <v>20102070421</v>
      </c>
      <c r="L798" s="523" t="s">
        <v>13486</v>
      </c>
      <c r="M798" s="523" t="s">
        <v>239</v>
      </c>
      <c r="N798" s="518" t="s">
        <v>2530</v>
      </c>
      <c r="O798" s="523">
        <v>2</v>
      </c>
      <c r="P798" s="523" t="s">
        <v>632</v>
      </c>
      <c r="Q798" s="523" t="s">
        <v>647</v>
      </c>
      <c r="R798" s="523" t="s">
        <v>755</v>
      </c>
      <c r="S798" s="523" t="s">
        <v>693</v>
      </c>
      <c r="T798" s="518" t="s">
        <v>2544</v>
      </c>
      <c r="U798" s="38">
        <v>0</v>
      </c>
      <c r="V798" s="15" t="str">
        <f t="shared" si="85"/>
        <v/>
      </c>
      <c r="W798" s="10"/>
      <c r="X798" s="10"/>
      <c r="Y798" s="10"/>
      <c r="Z798" s="10"/>
      <c r="AA798" s="10"/>
      <c r="AB798" s="10"/>
      <c r="AC798" s="9"/>
      <c r="AD798" s="523" t="e">
        <v>#N/A</v>
      </c>
      <c r="AE798" s="523" t="e">
        <v>#N/A</v>
      </c>
      <c r="AF798" s="523" t="e">
        <v>#N/A</v>
      </c>
      <c r="AG798" s="524" t="e">
        <v>#N/A</v>
      </c>
      <c r="AH798" s="9"/>
      <c r="AI798" s="10"/>
      <c r="AJ798" s="9"/>
      <c r="AK798" s="10"/>
      <c r="AL798" s="10"/>
    </row>
    <row r="799" spans="1:38" ht="45" hidden="1">
      <c r="A799" s="1">
        <f t="shared" si="86"/>
        <v>0</v>
      </c>
      <c r="B799" s="2" t="s">
        <v>2585</v>
      </c>
      <c r="C799" s="3" t="s">
        <v>2586</v>
      </c>
      <c r="D799" s="15" t="s">
        <v>11593</v>
      </c>
      <c r="E799" s="4" t="s">
        <v>2585</v>
      </c>
      <c r="F799" s="37" t="s">
        <v>2586</v>
      </c>
      <c r="G799" s="38">
        <v>67076</v>
      </c>
      <c r="H799" s="38">
        <v>67076</v>
      </c>
      <c r="I799" s="15"/>
      <c r="J799" s="494">
        <v>20102070422</v>
      </c>
      <c r="L799" s="523" t="s">
        <v>13486</v>
      </c>
      <c r="M799" s="523" t="s">
        <v>239</v>
      </c>
      <c r="N799" s="518" t="s">
        <v>2530</v>
      </c>
      <c r="O799" s="523">
        <v>2</v>
      </c>
      <c r="P799" s="523" t="s">
        <v>632</v>
      </c>
      <c r="Q799" s="523" t="s">
        <v>647</v>
      </c>
      <c r="R799" s="523" t="s">
        <v>755</v>
      </c>
      <c r="S799" s="523" t="s">
        <v>693</v>
      </c>
      <c r="T799" s="518" t="s">
        <v>2544</v>
      </c>
      <c r="U799" s="38">
        <v>67076</v>
      </c>
      <c r="V799" s="15" t="str">
        <f t="shared" si="85"/>
        <v/>
      </c>
      <c r="W799" s="10"/>
      <c r="X799" s="10"/>
      <c r="Y799" s="10"/>
      <c r="Z799" s="10"/>
      <c r="AA799" s="10"/>
      <c r="AB799" s="10"/>
      <c r="AC799" s="9"/>
      <c r="AD799" s="523" t="e">
        <v>#N/A</v>
      </c>
      <c r="AE799" s="523" t="e">
        <v>#N/A</v>
      </c>
      <c r="AF799" s="523" t="e">
        <v>#N/A</v>
      </c>
      <c r="AG799" s="524" t="e">
        <v>#N/A</v>
      </c>
      <c r="AH799" s="9"/>
      <c r="AI799" s="10"/>
      <c r="AJ799" s="9"/>
      <c r="AK799" s="10"/>
      <c r="AL799" s="10"/>
    </row>
    <row r="800" spans="1:38" ht="45" hidden="1">
      <c r="A800" s="1">
        <f t="shared" si="86"/>
        <v>0</v>
      </c>
      <c r="B800" s="2" t="s">
        <v>2587</v>
      </c>
      <c r="C800" s="3" t="s">
        <v>2588</v>
      </c>
      <c r="D800" s="15" t="s">
        <v>11593</v>
      </c>
      <c r="E800" s="4" t="s">
        <v>2587</v>
      </c>
      <c r="F800" s="37" t="s">
        <v>2588</v>
      </c>
      <c r="G800" s="38">
        <v>976812.45</v>
      </c>
      <c r="H800" s="38">
        <v>1192959.1499999999</v>
      </c>
      <c r="I800" s="15"/>
      <c r="J800" s="494">
        <v>20102070423</v>
      </c>
      <c r="L800" s="523" t="s">
        <v>13486</v>
      </c>
      <c r="M800" s="523" t="s">
        <v>239</v>
      </c>
      <c r="N800" s="518" t="s">
        <v>2530</v>
      </c>
      <c r="O800" s="523">
        <v>2</v>
      </c>
      <c r="P800" s="523" t="s">
        <v>632</v>
      </c>
      <c r="Q800" s="523" t="s">
        <v>647</v>
      </c>
      <c r="R800" s="523" t="s">
        <v>755</v>
      </c>
      <c r="S800" s="523" t="s">
        <v>693</v>
      </c>
      <c r="T800" s="518" t="s">
        <v>2544</v>
      </c>
      <c r="U800" s="38">
        <v>1192959.1499999999</v>
      </c>
      <c r="V800" s="15" t="str">
        <f t="shared" si="85"/>
        <v/>
      </c>
      <c r="W800" s="10"/>
      <c r="X800" s="10"/>
      <c r="Y800" s="10"/>
      <c r="Z800" s="10"/>
      <c r="AA800" s="10"/>
      <c r="AB800" s="10"/>
      <c r="AC800" s="9"/>
      <c r="AD800" s="523" t="e">
        <v>#N/A</v>
      </c>
      <c r="AE800" s="523" t="e">
        <v>#N/A</v>
      </c>
      <c r="AF800" s="523" t="e">
        <v>#N/A</v>
      </c>
      <c r="AG800" s="524" t="e">
        <v>#N/A</v>
      </c>
      <c r="AH800" s="9"/>
      <c r="AI800" s="10"/>
      <c r="AJ800" s="9"/>
      <c r="AK800" s="10"/>
      <c r="AL800" s="10"/>
    </row>
    <row r="801" spans="1:38" ht="45" hidden="1">
      <c r="A801" s="1">
        <f t="shared" si="86"/>
        <v>0</v>
      </c>
      <c r="B801" s="2" t="s">
        <v>2589</v>
      </c>
      <c r="C801" s="3" t="s">
        <v>2590</v>
      </c>
      <c r="D801" s="15" t="s">
        <v>11593</v>
      </c>
      <c r="E801" s="4" t="s">
        <v>2589</v>
      </c>
      <c r="F801" s="37" t="s">
        <v>2590</v>
      </c>
      <c r="G801" s="38">
        <v>0</v>
      </c>
      <c r="H801" s="38">
        <v>85178.65</v>
      </c>
      <c r="I801" s="15"/>
      <c r="J801" s="494">
        <v>20102070424</v>
      </c>
      <c r="L801" s="523" t="s">
        <v>13486</v>
      </c>
      <c r="M801" s="523" t="s">
        <v>239</v>
      </c>
      <c r="N801" s="518" t="s">
        <v>2530</v>
      </c>
      <c r="O801" s="523">
        <v>2</v>
      </c>
      <c r="P801" s="523" t="s">
        <v>632</v>
      </c>
      <c r="Q801" s="523" t="s">
        <v>647</v>
      </c>
      <c r="R801" s="523" t="s">
        <v>755</v>
      </c>
      <c r="S801" s="523" t="s">
        <v>693</v>
      </c>
      <c r="T801" s="518" t="s">
        <v>2544</v>
      </c>
      <c r="U801" s="38">
        <v>85178.65</v>
      </c>
      <c r="V801" s="15" t="str">
        <f t="shared" si="85"/>
        <v/>
      </c>
      <c r="W801" s="10"/>
      <c r="X801" s="10"/>
      <c r="Y801" s="10"/>
      <c r="Z801" s="10"/>
      <c r="AA801" s="10"/>
      <c r="AB801" s="10"/>
      <c r="AC801" s="9"/>
      <c r="AD801" s="523" t="e">
        <v>#N/A</v>
      </c>
      <c r="AE801" s="523" t="e">
        <v>#N/A</v>
      </c>
      <c r="AF801" s="523" t="e">
        <v>#N/A</v>
      </c>
      <c r="AG801" s="524" t="e">
        <v>#N/A</v>
      </c>
      <c r="AH801" s="9"/>
      <c r="AI801" s="10"/>
      <c r="AJ801" s="9"/>
      <c r="AK801" s="10"/>
      <c r="AL801" s="10"/>
    </row>
    <row r="802" spans="1:38" ht="45" hidden="1">
      <c r="A802" s="1">
        <f t="shared" si="86"/>
        <v>0</v>
      </c>
      <c r="B802" s="2" t="s">
        <v>2591</v>
      </c>
      <c r="C802" s="3" t="s">
        <v>2592</v>
      </c>
      <c r="D802" s="15" t="s">
        <v>11593</v>
      </c>
      <c r="E802" s="4" t="s">
        <v>2591</v>
      </c>
      <c r="F802" s="37" t="s">
        <v>2592</v>
      </c>
      <c r="G802" s="38">
        <v>0</v>
      </c>
      <c r="H802" s="38">
        <v>331777.71000000002</v>
      </c>
      <c r="I802" s="15"/>
      <c r="J802" s="494">
        <v>20102070425</v>
      </c>
      <c r="L802" s="523" t="s">
        <v>13486</v>
      </c>
      <c r="M802" s="523" t="s">
        <v>239</v>
      </c>
      <c r="N802" s="518" t="s">
        <v>2530</v>
      </c>
      <c r="O802" s="523">
        <v>2</v>
      </c>
      <c r="P802" s="523" t="s">
        <v>632</v>
      </c>
      <c r="Q802" s="523" t="s">
        <v>647</v>
      </c>
      <c r="R802" s="523" t="s">
        <v>755</v>
      </c>
      <c r="S802" s="523" t="s">
        <v>693</v>
      </c>
      <c r="T802" s="518" t="s">
        <v>2544</v>
      </c>
      <c r="U802" s="38">
        <v>331777.71000000002</v>
      </c>
      <c r="V802" s="15" t="str">
        <f t="shared" si="85"/>
        <v/>
      </c>
      <c r="W802" s="10"/>
      <c r="X802" s="10"/>
      <c r="Y802" s="10"/>
      <c r="Z802" s="10"/>
      <c r="AA802" s="10"/>
      <c r="AB802" s="10"/>
      <c r="AC802" s="9"/>
      <c r="AD802" s="523" t="e">
        <v>#N/A</v>
      </c>
      <c r="AE802" s="523" t="e">
        <v>#N/A</v>
      </c>
      <c r="AF802" s="523" t="e">
        <v>#N/A</v>
      </c>
      <c r="AG802" s="524" t="e">
        <v>#N/A</v>
      </c>
      <c r="AH802" s="9"/>
      <c r="AI802" s="10"/>
      <c r="AJ802" s="9"/>
      <c r="AK802" s="10"/>
      <c r="AL802" s="10"/>
    </row>
    <row r="803" spans="1:38" ht="45" hidden="1">
      <c r="A803" s="1">
        <f t="shared" si="86"/>
        <v>0</v>
      </c>
      <c r="B803" s="2" t="s">
        <v>2593</v>
      </c>
      <c r="C803" s="3" t="s">
        <v>2594</v>
      </c>
      <c r="D803" s="15" t="s">
        <v>11593</v>
      </c>
      <c r="E803" s="4" t="s">
        <v>2593</v>
      </c>
      <c r="F803" s="37" t="s">
        <v>2594</v>
      </c>
      <c r="G803" s="38">
        <v>0</v>
      </c>
      <c r="H803" s="38">
        <v>0</v>
      </c>
      <c r="I803" s="15"/>
      <c r="J803" s="494">
        <v>20102070426</v>
      </c>
      <c r="L803" s="523" t="s">
        <v>13486</v>
      </c>
      <c r="M803" s="523" t="s">
        <v>239</v>
      </c>
      <c r="N803" s="518" t="s">
        <v>2530</v>
      </c>
      <c r="O803" s="523">
        <v>2</v>
      </c>
      <c r="P803" s="523" t="s">
        <v>632</v>
      </c>
      <c r="Q803" s="523" t="s">
        <v>647</v>
      </c>
      <c r="R803" s="523" t="s">
        <v>755</v>
      </c>
      <c r="S803" s="523" t="s">
        <v>693</v>
      </c>
      <c r="T803" s="518" t="s">
        <v>2544</v>
      </c>
      <c r="U803" s="38">
        <v>0</v>
      </c>
      <c r="V803" s="15" t="str">
        <f t="shared" si="85"/>
        <v/>
      </c>
      <c r="W803" s="10"/>
      <c r="X803" s="10"/>
      <c r="Y803" s="10"/>
      <c r="Z803" s="10"/>
      <c r="AA803" s="10"/>
      <c r="AB803" s="10"/>
      <c r="AC803" s="9"/>
      <c r="AD803" s="523" t="e">
        <v>#N/A</v>
      </c>
      <c r="AE803" s="523" t="e">
        <v>#N/A</v>
      </c>
      <c r="AF803" s="523" t="e">
        <v>#N/A</v>
      </c>
      <c r="AG803" s="524" t="e">
        <v>#N/A</v>
      </c>
      <c r="AH803" s="9"/>
      <c r="AI803" s="10"/>
      <c r="AJ803" s="9"/>
      <c r="AK803" s="10"/>
      <c r="AL803" s="10"/>
    </row>
    <row r="804" spans="1:38" ht="45" hidden="1">
      <c r="A804" s="1">
        <f t="shared" si="86"/>
        <v>0</v>
      </c>
      <c r="B804" s="2" t="s">
        <v>2595</v>
      </c>
      <c r="C804" s="3" t="s">
        <v>2596</v>
      </c>
      <c r="D804" s="15" t="s">
        <v>11593</v>
      </c>
      <c r="E804" s="4" t="s">
        <v>2595</v>
      </c>
      <c r="F804" s="37" t="s">
        <v>2596</v>
      </c>
      <c r="G804" s="38">
        <v>0</v>
      </c>
      <c r="H804" s="38">
        <v>0</v>
      </c>
      <c r="I804" s="15"/>
      <c r="J804" s="494">
        <v>20102070427</v>
      </c>
      <c r="L804" s="523" t="s">
        <v>13486</v>
      </c>
      <c r="M804" s="523" t="s">
        <v>239</v>
      </c>
      <c r="N804" s="518" t="s">
        <v>2530</v>
      </c>
      <c r="O804" s="523">
        <v>2</v>
      </c>
      <c r="P804" s="523" t="s">
        <v>632</v>
      </c>
      <c r="Q804" s="523" t="s">
        <v>647</v>
      </c>
      <c r="R804" s="523" t="s">
        <v>755</v>
      </c>
      <c r="S804" s="523" t="s">
        <v>693</v>
      </c>
      <c r="T804" s="518" t="s">
        <v>2544</v>
      </c>
      <c r="U804" s="38">
        <v>0</v>
      </c>
      <c r="V804" s="15" t="str">
        <f t="shared" si="85"/>
        <v/>
      </c>
      <c r="W804" s="10"/>
      <c r="X804" s="10"/>
      <c r="Y804" s="10"/>
      <c r="Z804" s="10"/>
      <c r="AA804" s="10"/>
      <c r="AB804" s="10"/>
      <c r="AC804" s="9"/>
      <c r="AD804" s="523" t="e">
        <v>#N/A</v>
      </c>
      <c r="AE804" s="523" t="e">
        <v>#N/A</v>
      </c>
      <c r="AF804" s="523" t="e">
        <v>#N/A</v>
      </c>
      <c r="AG804" s="524" t="e">
        <v>#N/A</v>
      </c>
      <c r="AH804" s="9"/>
      <c r="AI804" s="10"/>
      <c r="AJ804" s="9"/>
      <c r="AK804" s="10"/>
      <c r="AL804" s="10"/>
    </row>
    <row r="805" spans="1:38" ht="45" hidden="1">
      <c r="A805" s="1">
        <f t="shared" si="86"/>
        <v>0</v>
      </c>
      <c r="B805" s="2" t="s">
        <v>2597</v>
      </c>
      <c r="C805" s="3" t="s">
        <v>2598</v>
      </c>
      <c r="D805" s="15" t="s">
        <v>11593</v>
      </c>
      <c r="E805" s="4" t="s">
        <v>2597</v>
      </c>
      <c r="F805" s="37" t="s">
        <v>2598</v>
      </c>
      <c r="G805" s="38">
        <v>0</v>
      </c>
      <c r="H805" s="38">
        <v>0</v>
      </c>
      <c r="I805" s="15"/>
      <c r="J805" s="494">
        <v>20102070428</v>
      </c>
      <c r="L805" s="523" t="s">
        <v>13486</v>
      </c>
      <c r="M805" s="523" t="s">
        <v>239</v>
      </c>
      <c r="N805" s="518" t="s">
        <v>2530</v>
      </c>
      <c r="O805" s="523">
        <v>2</v>
      </c>
      <c r="P805" s="523" t="s">
        <v>632</v>
      </c>
      <c r="Q805" s="523" t="s">
        <v>647</v>
      </c>
      <c r="R805" s="523" t="s">
        <v>755</v>
      </c>
      <c r="S805" s="523" t="s">
        <v>693</v>
      </c>
      <c r="T805" s="518" t="s">
        <v>2544</v>
      </c>
      <c r="U805" s="38">
        <v>0</v>
      </c>
      <c r="V805" s="15" t="str">
        <f t="shared" si="85"/>
        <v/>
      </c>
      <c r="W805" s="10"/>
      <c r="X805" s="10"/>
      <c r="Y805" s="10"/>
      <c r="Z805" s="10"/>
      <c r="AA805" s="10"/>
      <c r="AB805" s="10"/>
      <c r="AC805" s="9"/>
      <c r="AD805" s="523" t="e">
        <v>#N/A</v>
      </c>
      <c r="AE805" s="523" t="e">
        <v>#N/A</v>
      </c>
      <c r="AF805" s="523" t="e">
        <v>#N/A</v>
      </c>
      <c r="AG805" s="524" t="e">
        <v>#N/A</v>
      </c>
      <c r="AH805" s="9"/>
      <c r="AI805" s="10"/>
      <c r="AJ805" s="9"/>
      <c r="AK805" s="10"/>
      <c r="AL805" s="10"/>
    </row>
    <row r="806" spans="1:38" ht="67.5" hidden="1">
      <c r="A806" s="1">
        <f t="shared" si="86"/>
        <v>0</v>
      </c>
      <c r="B806" s="2" t="s">
        <v>2599</v>
      </c>
      <c r="C806" s="3" t="s">
        <v>2600</v>
      </c>
      <c r="D806" s="15" t="s">
        <v>11593</v>
      </c>
      <c r="E806" s="4" t="s">
        <v>2599</v>
      </c>
      <c r="F806" s="37" t="s">
        <v>2600</v>
      </c>
      <c r="G806" s="38">
        <v>0</v>
      </c>
      <c r="H806" s="38">
        <v>0</v>
      </c>
      <c r="I806" s="15"/>
      <c r="J806" s="494">
        <v>20102070429</v>
      </c>
      <c r="L806" s="523" t="s">
        <v>13486</v>
      </c>
      <c r="M806" s="523" t="s">
        <v>239</v>
      </c>
      <c r="N806" s="518" t="s">
        <v>2530</v>
      </c>
      <c r="O806" s="523">
        <v>2</v>
      </c>
      <c r="P806" s="523" t="s">
        <v>632</v>
      </c>
      <c r="Q806" s="523" t="s">
        <v>647</v>
      </c>
      <c r="R806" s="523" t="s">
        <v>755</v>
      </c>
      <c r="S806" s="523" t="s">
        <v>693</v>
      </c>
      <c r="T806" s="518" t="s">
        <v>2544</v>
      </c>
      <c r="U806" s="38">
        <v>0</v>
      </c>
      <c r="V806" s="15" t="str">
        <f t="shared" si="85"/>
        <v/>
      </c>
      <c r="W806" s="10"/>
      <c r="X806" s="10"/>
      <c r="Y806" s="10"/>
      <c r="Z806" s="10"/>
      <c r="AA806" s="10"/>
      <c r="AB806" s="10"/>
      <c r="AC806" s="9"/>
      <c r="AD806" s="523" t="e">
        <v>#N/A</v>
      </c>
      <c r="AE806" s="523" t="e">
        <v>#N/A</v>
      </c>
      <c r="AF806" s="523" t="e">
        <v>#N/A</v>
      </c>
      <c r="AG806" s="524" t="e">
        <v>#N/A</v>
      </c>
      <c r="AH806" s="9"/>
      <c r="AI806" s="10"/>
      <c r="AJ806" s="9"/>
      <c r="AK806" s="10"/>
      <c r="AL806" s="10"/>
    </row>
    <row r="807" spans="1:38" ht="45" hidden="1">
      <c r="A807" s="1">
        <f t="shared" si="86"/>
        <v>0</v>
      </c>
      <c r="B807" s="2" t="s">
        <v>2601</v>
      </c>
      <c r="C807" s="3" t="s">
        <v>2602</v>
      </c>
      <c r="D807" s="15" t="s">
        <v>11593</v>
      </c>
      <c r="E807" s="4" t="s">
        <v>2601</v>
      </c>
      <c r="F807" s="37" t="s">
        <v>2602</v>
      </c>
      <c r="G807" s="38">
        <v>5488.42</v>
      </c>
      <c r="H807" s="38">
        <v>145664.9</v>
      </c>
      <c r="I807" s="15"/>
      <c r="J807" s="494">
        <v>20102070430</v>
      </c>
      <c r="L807" s="523" t="s">
        <v>13486</v>
      </c>
      <c r="M807" s="523" t="s">
        <v>239</v>
      </c>
      <c r="N807" s="518" t="s">
        <v>2530</v>
      </c>
      <c r="O807" s="523">
        <v>2</v>
      </c>
      <c r="P807" s="523" t="s">
        <v>632</v>
      </c>
      <c r="Q807" s="523" t="s">
        <v>647</v>
      </c>
      <c r="R807" s="523" t="s">
        <v>755</v>
      </c>
      <c r="S807" s="523" t="s">
        <v>693</v>
      </c>
      <c r="T807" s="518" t="s">
        <v>2544</v>
      </c>
      <c r="U807" s="38">
        <v>145664.9</v>
      </c>
      <c r="V807" s="15" t="str">
        <f t="shared" si="85"/>
        <v/>
      </c>
      <c r="W807" s="10"/>
      <c r="X807" s="10"/>
      <c r="Y807" s="10"/>
      <c r="Z807" s="10"/>
      <c r="AA807" s="10"/>
      <c r="AB807" s="10"/>
      <c r="AC807" s="9"/>
      <c r="AD807" s="523" t="e">
        <v>#N/A</v>
      </c>
      <c r="AE807" s="523" t="e">
        <v>#N/A</v>
      </c>
      <c r="AF807" s="523" t="e">
        <v>#N/A</v>
      </c>
      <c r="AG807" s="524" t="e">
        <v>#N/A</v>
      </c>
      <c r="AH807" s="9"/>
      <c r="AI807" s="10"/>
      <c r="AJ807" s="9"/>
      <c r="AK807" s="10"/>
      <c r="AL807" s="10"/>
    </row>
    <row r="808" spans="1:38" ht="45" hidden="1">
      <c r="A808" s="1">
        <f t="shared" si="86"/>
        <v>0</v>
      </c>
      <c r="B808" s="2" t="s">
        <v>2603</v>
      </c>
      <c r="C808" s="3" t="s">
        <v>2604</v>
      </c>
      <c r="D808" s="15" t="s">
        <v>11593</v>
      </c>
      <c r="E808" s="4" t="s">
        <v>2603</v>
      </c>
      <c r="F808" s="37" t="s">
        <v>2604</v>
      </c>
      <c r="G808" s="38">
        <v>0</v>
      </c>
      <c r="H808" s="38">
        <v>0</v>
      </c>
      <c r="I808" s="15"/>
      <c r="J808" s="494">
        <v>20102070431</v>
      </c>
      <c r="L808" s="523" t="s">
        <v>13486</v>
      </c>
      <c r="M808" s="523" t="s">
        <v>239</v>
      </c>
      <c r="N808" s="518" t="s">
        <v>2530</v>
      </c>
      <c r="O808" s="523">
        <v>2</v>
      </c>
      <c r="P808" s="523" t="s">
        <v>632</v>
      </c>
      <c r="Q808" s="523" t="s">
        <v>647</v>
      </c>
      <c r="R808" s="523" t="s">
        <v>755</v>
      </c>
      <c r="S808" s="523" t="s">
        <v>693</v>
      </c>
      <c r="T808" s="518" t="s">
        <v>2544</v>
      </c>
      <c r="U808" s="38">
        <v>0</v>
      </c>
      <c r="V808" s="15" t="str">
        <f t="shared" si="85"/>
        <v/>
      </c>
      <c r="W808" s="10"/>
      <c r="X808" s="10"/>
      <c r="Y808" s="10"/>
      <c r="Z808" s="10"/>
      <c r="AA808" s="10"/>
      <c r="AB808" s="10"/>
      <c r="AC808" s="9"/>
      <c r="AD808" s="523" t="e">
        <v>#N/A</v>
      </c>
      <c r="AE808" s="523" t="e">
        <v>#N/A</v>
      </c>
      <c r="AF808" s="523" t="e">
        <v>#N/A</v>
      </c>
      <c r="AG808" s="524" t="e">
        <v>#N/A</v>
      </c>
      <c r="AH808" s="9"/>
      <c r="AI808" s="10"/>
      <c r="AJ808" s="9"/>
      <c r="AK808" s="10"/>
      <c r="AL808" s="10"/>
    </row>
    <row r="809" spans="1:38" ht="45" hidden="1">
      <c r="A809" s="1">
        <f t="shared" si="86"/>
        <v>0</v>
      </c>
      <c r="B809" s="2" t="s">
        <v>2605</v>
      </c>
      <c r="C809" s="3" t="s">
        <v>2606</v>
      </c>
      <c r="D809" s="15" t="s">
        <v>11593</v>
      </c>
      <c r="E809" s="4" t="s">
        <v>2605</v>
      </c>
      <c r="F809" s="37" t="s">
        <v>2606</v>
      </c>
      <c r="G809" s="38">
        <v>1582690.4</v>
      </c>
      <c r="H809" s="38">
        <v>1582690.4</v>
      </c>
      <c r="I809" s="15"/>
      <c r="J809" s="494">
        <v>20102070432</v>
      </c>
      <c r="L809" s="523" t="s">
        <v>13486</v>
      </c>
      <c r="M809" s="523" t="s">
        <v>239</v>
      </c>
      <c r="N809" s="518" t="s">
        <v>2530</v>
      </c>
      <c r="O809" s="523">
        <v>2</v>
      </c>
      <c r="P809" s="523" t="s">
        <v>632</v>
      </c>
      <c r="Q809" s="523" t="s">
        <v>647</v>
      </c>
      <c r="R809" s="523" t="s">
        <v>755</v>
      </c>
      <c r="S809" s="523" t="s">
        <v>693</v>
      </c>
      <c r="T809" s="518" t="s">
        <v>2544</v>
      </c>
      <c r="U809" s="38">
        <v>1582690.4</v>
      </c>
      <c r="V809" s="15" t="str">
        <f t="shared" si="85"/>
        <v/>
      </c>
      <c r="W809" s="10"/>
      <c r="X809" s="10"/>
      <c r="Y809" s="10"/>
      <c r="Z809" s="10"/>
      <c r="AA809" s="10"/>
      <c r="AB809" s="10"/>
      <c r="AC809" s="9"/>
      <c r="AD809" s="523" t="e">
        <v>#N/A</v>
      </c>
      <c r="AE809" s="523" t="e">
        <v>#N/A</v>
      </c>
      <c r="AF809" s="523" t="e">
        <v>#N/A</v>
      </c>
      <c r="AG809" s="524" t="e">
        <v>#N/A</v>
      </c>
      <c r="AH809" s="9"/>
      <c r="AI809" s="10"/>
      <c r="AJ809" s="9"/>
      <c r="AK809" s="10"/>
      <c r="AL809" s="10"/>
    </row>
    <row r="810" spans="1:38" ht="45" hidden="1">
      <c r="A810" s="1">
        <f t="shared" si="86"/>
        <v>0</v>
      </c>
      <c r="B810" s="11"/>
      <c r="C810" s="11"/>
      <c r="D810" s="15" t="s">
        <v>16</v>
      </c>
      <c r="E810" s="24"/>
      <c r="F810" s="25" t="s">
        <v>2607</v>
      </c>
      <c r="G810" s="26">
        <f>G811</f>
        <v>1570542.3399999999</v>
      </c>
      <c r="H810" s="26">
        <f>H811</f>
        <v>1296320.1199999999</v>
      </c>
      <c r="I810" s="15"/>
      <c r="J810" s="494"/>
      <c r="K810" s="509"/>
      <c r="L810" s="509"/>
      <c r="M810" s="509"/>
      <c r="N810" s="510"/>
      <c r="O810" s="509"/>
      <c r="P810" s="509"/>
      <c r="Q810" s="509"/>
      <c r="R810" s="509"/>
      <c r="S810" s="509"/>
      <c r="T810" s="510"/>
      <c r="U810" s="26">
        <f>U811</f>
        <v>1296320.1199999999</v>
      </c>
      <c r="V810" s="15" t="str">
        <f t="shared" si="85"/>
        <v>201030000</v>
      </c>
      <c r="W810" s="27">
        <v>2</v>
      </c>
      <c r="X810" s="28" t="s">
        <v>632</v>
      </c>
      <c r="Y810" s="28" t="s">
        <v>671</v>
      </c>
      <c r="Z810" s="28" t="s">
        <v>630</v>
      </c>
      <c r="AA810" s="28" t="s">
        <v>630</v>
      </c>
      <c r="AB810" s="25" t="s">
        <v>2607</v>
      </c>
      <c r="AC810" s="530">
        <f>AC811</f>
        <v>1296320.1199999999</v>
      </c>
      <c r="AD810" s="509">
        <v>0</v>
      </c>
      <c r="AE810" s="509" t="s">
        <v>13487</v>
      </c>
      <c r="AF810" s="509" t="s">
        <v>240</v>
      </c>
      <c r="AG810" s="510" t="s">
        <v>2608</v>
      </c>
      <c r="AH810" s="53">
        <f>AH811</f>
        <v>1296320.1199999999</v>
      </c>
      <c r="AI810" s="10"/>
      <c r="AJ810" s="9">
        <f>AH810-H810</f>
        <v>0</v>
      </c>
      <c r="AK810" s="10"/>
      <c r="AL810" s="10"/>
    </row>
    <row r="811" spans="1:38" ht="45" hidden="1">
      <c r="A811" s="1">
        <f t="shared" si="86"/>
        <v>0</v>
      </c>
      <c r="B811" s="11"/>
      <c r="C811" s="11"/>
      <c r="D811" s="15" t="s">
        <v>16</v>
      </c>
      <c r="E811" s="30"/>
      <c r="F811" s="31" t="s">
        <v>2609</v>
      </c>
      <c r="G811" s="32">
        <f>SUM(G812:G834)</f>
        <v>1570542.3399999999</v>
      </c>
      <c r="H811" s="32">
        <f>SUM(H812:H834)</f>
        <v>1296320.1199999999</v>
      </c>
      <c r="I811" s="15"/>
      <c r="J811" s="494"/>
      <c r="K811" s="513"/>
      <c r="L811" s="513"/>
      <c r="M811" s="513"/>
      <c r="N811" s="514"/>
      <c r="O811" s="513"/>
      <c r="P811" s="513"/>
      <c r="Q811" s="513"/>
      <c r="R811" s="513"/>
      <c r="S811" s="513"/>
      <c r="T811" s="514"/>
      <c r="U811" s="32">
        <f>SUM(U812:U834)</f>
        <v>1296320.1199999999</v>
      </c>
      <c r="V811" s="15" t="str">
        <f t="shared" si="85"/>
        <v>201030100</v>
      </c>
      <c r="W811" s="33">
        <v>2</v>
      </c>
      <c r="X811" s="34" t="s">
        <v>632</v>
      </c>
      <c r="Y811" s="34" t="s">
        <v>671</v>
      </c>
      <c r="Z811" s="34" t="s">
        <v>632</v>
      </c>
      <c r="AA811" s="35" t="s">
        <v>630</v>
      </c>
      <c r="AB811" s="31" t="s">
        <v>2609</v>
      </c>
      <c r="AC811" s="529">
        <f>SUM(AC812:AC827)</f>
        <v>1296320.1199999999</v>
      </c>
      <c r="AD811" s="513">
        <v>0</v>
      </c>
      <c r="AE811" s="513" t="s">
        <v>13487</v>
      </c>
      <c r="AF811" s="513" t="s">
        <v>240</v>
      </c>
      <c r="AG811" s="514" t="s">
        <v>2608</v>
      </c>
      <c r="AH811" s="44">
        <f>SUM(AH812:AH827)</f>
        <v>1296320.1199999999</v>
      </c>
      <c r="AI811" s="10"/>
      <c r="AJ811" s="9">
        <f>AH811-H811</f>
        <v>0</v>
      </c>
      <c r="AK811" s="10"/>
      <c r="AL811" s="10"/>
    </row>
    <row r="812" spans="1:38" ht="45" hidden="1">
      <c r="A812" s="1">
        <f t="shared" si="86"/>
        <v>0</v>
      </c>
      <c r="B812" s="2" t="s">
        <v>2610</v>
      </c>
      <c r="C812" s="3" t="s">
        <v>2611</v>
      </c>
      <c r="D812" s="15" t="s">
        <v>11594</v>
      </c>
      <c r="E812" s="4" t="s">
        <v>2610</v>
      </c>
      <c r="F812" s="37" t="s">
        <v>2611</v>
      </c>
      <c r="G812" s="38">
        <v>0</v>
      </c>
      <c r="H812" s="38">
        <v>0</v>
      </c>
      <c r="I812" s="15"/>
      <c r="J812" s="494">
        <v>20103010101</v>
      </c>
      <c r="K812" s="517"/>
      <c r="L812" s="517" t="s">
        <v>13487</v>
      </c>
      <c r="M812" s="517" t="s">
        <v>240</v>
      </c>
      <c r="N812" s="518" t="s">
        <v>2608</v>
      </c>
      <c r="O812" s="517">
        <v>2</v>
      </c>
      <c r="P812" s="517" t="s">
        <v>632</v>
      </c>
      <c r="Q812" s="517" t="s">
        <v>671</v>
      </c>
      <c r="R812" s="517" t="s">
        <v>632</v>
      </c>
      <c r="S812" s="517" t="s">
        <v>632</v>
      </c>
      <c r="T812" s="518" t="s">
        <v>2609</v>
      </c>
      <c r="U812" s="38">
        <v>0</v>
      </c>
      <c r="V812" s="15" t="str">
        <f t="shared" si="85"/>
        <v>201030101</v>
      </c>
      <c r="W812" s="39">
        <v>2</v>
      </c>
      <c r="X812" s="40" t="s">
        <v>632</v>
      </c>
      <c r="Y812" s="40" t="s">
        <v>671</v>
      </c>
      <c r="Z812" s="40" t="s">
        <v>632</v>
      </c>
      <c r="AA812" s="40" t="s">
        <v>632</v>
      </c>
      <c r="AB812" s="41" t="s">
        <v>2609</v>
      </c>
      <c r="AC812" s="519">
        <f>SUM(H812:H834)</f>
        <v>1296320.1199999999</v>
      </c>
      <c r="AD812" s="517">
        <v>0</v>
      </c>
      <c r="AE812" s="517" t="s">
        <v>13487</v>
      </c>
      <c r="AF812" s="517" t="s">
        <v>240</v>
      </c>
      <c r="AG812" s="520" t="s">
        <v>2608</v>
      </c>
      <c r="AH812" s="67">
        <f>AC812</f>
        <v>1296320.1199999999</v>
      </c>
      <c r="AI812" s="10"/>
      <c r="AJ812" s="9"/>
      <c r="AK812" s="10"/>
      <c r="AL812" s="10"/>
    </row>
    <row r="813" spans="1:38" ht="45" hidden="1">
      <c r="A813" s="1">
        <f t="shared" si="86"/>
        <v>0</v>
      </c>
      <c r="B813" s="2" t="s">
        <v>2612</v>
      </c>
      <c r="C813" s="3" t="s">
        <v>2613</v>
      </c>
      <c r="D813" s="15" t="s">
        <v>11594</v>
      </c>
      <c r="E813" s="4" t="s">
        <v>2612</v>
      </c>
      <c r="F813" s="37" t="s">
        <v>2613</v>
      </c>
      <c r="G813" s="38">
        <v>0</v>
      </c>
      <c r="H813" s="38">
        <v>0</v>
      </c>
      <c r="I813" s="15"/>
      <c r="J813" s="494">
        <v>20103010102</v>
      </c>
      <c r="L813" s="523" t="s">
        <v>13487</v>
      </c>
      <c r="M813" s="523" t="s">
        <v>240</v>
      </c>
      <c r="N813" s="518" t="s">
        <v>2608</v>
      </c>
      <c r="O813" s="523">
        <v>2</v>
      </c>
      <c r="P813" s="523" t="s">
        <v>632</v>
      </c>
      <c r="Q813" s="523" t="s">
        <v>671</v>
      </c>
      <c r="R813" s="523" t="s">
        <v>632</v>
      </c>
      <c r="S813" s="523" t="s">
        <v>632</v>
      </c>
      <c r="T813" s="518" t="s">
        <v>2609</v>
      </c>
      <c r="U813" s="38">
        <v>0</v>
      </c>
      <c r="V813" s="15" t="str">
        <f t="shared" si="85"/>
        <v/>
      </c>
      <c r="W813" s="10"/>
      <c r="X813" s="10"/>
      <c r="Y813" s="10"/>
      <c r="Z813" s="10"/>
      <c r="AA813" s="10"/>
      <c r="AB813" s="10"/>
      <c r="AC813" s="9"/>
      <c r="AD813" s="523" t="e">
        <v>#N/A</v>
      </c>
      <c r="AE813" s="523" t="e">
        <v>#N/A</v>
      </c>
      <c r="AF813" s="523" t="e">
        <v>#N/A</v>
      </c>
      <c r="AG813" s="524" t="e">
        <v>#N/A</v>
      </c>
      <c r="AH813" s="9"/>
      <c r="AI813" s="10"/>
      <c r="AJ813" s="9"/>
      <c r="AK813" s="10"/>
      <c r="AL813" s="10"/>
    </row>
    <row r="814" spans="1:38" ht="45" hidden="1">
      <c r="A814" s="1">
        <f t="shared" si="86"/>
        <v>0</v>
      </c>
      <c r="B814" s="2" t="s">
        <v>2614</v>
      </c>
      <c r="C814" s="3" t="s">
        <v>2615</v>
      </c>
      <c r="D814" s="15" t="s">
        <v>11594</v>
      </c>
      <c r="E814" s="4" t="s">
        <v>2614</v>
      </c>
      <c r="F814" s="37" t="s">
        <v>2615</v>
      </c>
      <c r="G814" s="38">
        <v>0</v>
      </c>
      <c r="H814" s="38">
        <v>0</v>
      </c>
      <c r="I814" s="15"/>
      <c r="J814" s="494">
        <v>20103010103</v>
      </c>
      <c r="L814" s="523" t="s">
        <v>13487</v>
      </c>
      <c r="M814" s="523" t="s">
        <v>240</v>
      </c>
      <c r="N814" s="518" t="s">
        <v>2608</v>
      </c>
      <c r="O814" s="523">
        <v>2</v>
      </c>
      <c r="P814" s="523" t="s">
        <v>632</v>
      </c>
      <c r="Q814" s="523" t="s">
        <v>671</v>
      </c>
      <c r="R814" s="523" t="s">
        <v>632</v>
      </c>
      <c r="S814" s="523" t="s">
        <v>632</v>
      </c>
      <c r="T814" s="518" t="s">
        <v>2609</v>
      </c>
      <c r="U814" s="38">
        <v>0</v>
      </c>
      <c r="V814" s="15" t="str">
        <f t="shared" si="85"/>
        <v/>
      </c>
      <c r="W814" s="10"/>
      <c r="X814" s="10"/>
      <c r="Y814" s="10"/>
      <c r="Z814" s="10"/>
      <c r="AA814" s="10"/>
      <c r="AB814" s="10"/>
      <c r="AC814" s="9"/>
      <c r="AD814" s="523" t="e">
        <v>#N/A</v>
      </c>
      <c r="AE814" s="523" t="e">
        <v>#N/A</v>
      </c>
      <c r="AF814" s="523" t="e">
        <v>#N/A</v>
      </c>
      <c r="AG814" s="524" t="e">
        <v>#N/A</v>
      </c>
      <c r="AH814" s="9"/>
      <c r="AI814" s="10"/>
      <c r="AJ814" s="9"/>
      <c r="AK814" s="10"/>
      <c r="AL814" s="10"/>
    </row>
    <row r="815" spans="1:38" ht="45" hidden="1">
      <c r="A815" s="1">
        <f t="shared" si="86"/>
        <v>0</v>
      </c>
      <c r="B815" s="2" t="s">
        <v>2616</v>
      </c>
      <c r="C815" s="3" t="s">
        <v>2617</v>
      </c>
      <c r="D815" s="15" t="s">
        <v>11594</v>
      </c>
      <c r="E815" s="4" t="s">
        <v>2616</v>
      </c>
      <c r="F815" s="37" t="s">
        <v>2617</v>
      </c>
      <c r="G815" s="38">
        <v>0</v>
      </c>
      <c r="H815" s="38">
        <v>0</v>
      </c>
      <c r="I815" s="15"/>
      <c r="J815" s="494">
        <v>20103010104</v>
      </c>
      <c r="L815" s="523" t="s">
        <v>13487</v>
      </c>
      <c r="M815" s="523" t="s">
        <v>240</v>
      </c>
      <c r="N815" s="518" t="s">
        <v>2608</v>
      </c>
      <c r="O815" s="523">
        <v>2</v>
      </c>
      <c r="P815" s="523" t="s">
        <v>632</v>
      </c>
      <c r="Q815" s="523" t="s">
        <v>671</v>
      </c>
      <c r="R815" s="523" t="s">
        <v>632</v>
      </c>
      <c r="S815" s="523" t="s">
        <v>632</v>
      </c>
      <c r="T815" s="518" t="s">
        <v>2609</v>
      </c>
      <c r="U815" s="38">
        <v>0</v>
      </c>
      <c r="V815" s="15" t="str">
        <f t="shared" si="85"/>
        <v/>
      </c>
      <c r="W815" s="10"/>
      <c r="X815" s="10"/>
      <c r="Y815" s="10"/>
      <c r="Z815" s="10"/>
      <c r="AA815" s="10"/>
      <c r="AB815" s="10"/>
      <c r="AC815" s="9"/>
      <c r="AD815" s="523" t="e">
        <v>#N/A</v>
      </c>
      <c r="AE815" s="523" t="e">
        <v>#N/A</v>
      </c>
      <c r="AF815" s="523" t="e">
        <v>#N/A</v>
      </c>
      <c r="AG815" s="524" t="e">
        <v>#N/A</v>
      </c>
      <c r="AH815" s="9"/>
      <c r="AI815" s="10"/>
      <c r="AJ815" s="9"/>
      <c r="AK815" s="10"/>
      <c r="AL815" s="10"/>
    </row>
    <row r="816" spans="1:38" ht="45" hidden="1">
      <c r="A816" s="1">
        <f t="shared" si="86"/>
        <v>0</v>
      </c>
      <c r="B816" s="2" t="s">
        <v>2618</v>
      </c>
      <c r="C816" s="3" t="s">
        <v>2619</v>
      </c>
      <c r="D816" s="15" t="s">
        <v>11594</v>
      </c>
      <c r="E816" s="4" t="s">
        <v>2618</v>
      </c>
      <c r="F816" s="37" t="s">
        <v>2619</v>
      </c>
      <c r="G816" s="38">
        <v>0</v>
      </c>
      <c r="H816" s="38">
        <v>0</v>
      </c>
      <c r="I816" s="15"/>
      <c r="J816" s="494">
        <v>20103010105</v>
      </c>
      <c r="L816" s="523" t="s">
        <v>13487</v>
      </c>
      <c r="M816" s="523" t="s">
        <v>240</v>
      </c>
      <c r="N816" s="518" t="s">
        <v>2608</v>
      </c>
      <c r="O816" s="523">
        <v>2</v>
      </c>
      <c r="P816" s="523" t="s">
        <v>632</v>
      </c>
      <c r="Q816" s="523" t="s">
        <v>671</v>
      </c>
      <c r="R816" s="523" t="s">
        <v>632</v>
      </c>
      <c r="S816" s="523" t="s">
        <v>632</v>
      </c>
      <c r="T816" s="518" t="s">
        <v>2609</v>
      </c>
      <c r="U816" s="38">
        <v>0</v>
      </c>
      <c r="V816" s="15" t="str">
        <f t="shared" si="85"/>
        <v/>
      </c>
      <c r="W816" s="10"/>
      <c r="X816" s="10"/>
      <c r="Y816" s="10"/>
      <c r="Z816" s="10"/>
      <c r="AA816" s="10"/>
      <c r="AB816" s="10"/>
      <c r="AC816" s="9"/>
      <c r="AD816" s="523" t="e">
        <v>#N/A</v>
      </c>
      <c r="AE816" s="523" t="e">
        <v>#N/A</v>
      </c>
      <c r="AF816" s="523" t="e">
        <v>#N/A</v>
      </c>
      <c r="AG816" s="524" t="e">
        <v>#N/A</v>
      </c>
      <c r="AH816" s="9"/>
      <c r="AI816" s="10"/>
      <c r="AJ816" s="9"/>
      <c r="AK816" s="10"/>
      <c r="AL816" s="10"/>
    </row>
    <row r="817" spans="1:38" ht="45" hidden="1">
      <c r="A817" s="1">
        <f t="shared" si="86"/>
        <v>0</v>
      </c>
      <c r="B817" s="2" t="s">
        <v>2620</v>
      </c>
      <c r="C817" s="3" t="s">
        <v>2621</v>
      </c>
      <c r="D817" s="15" t="s">
        <v>11594</v>
      </c>
      <c r="E817" s="4" t="s">
        <v>2620</v>
      </c>
      <c r="F817" s="37" t="s">
        <v>2621</v>
      </c>
      <c r="G817" s="38">
        <v>1624.83</v>
      </c>
      <c r="H817" s="38">
        <v>1624.83</v>
      </c>
      <c r="I817" s="15"/>
      <c r="J817" s="494">
        <v>20103010106</v>
      </c>
      <c r="L817" s="523" t="s">
        <v>13487</v>
      </c>
      <c r="M817" s="523" t="s">
        <v>240</v>
      </c>
      <c r="N817" s="518" t="s">
        <v>2608</v>
      </c>
      <c r="O817" s="523">
        <v>2</v>
      </c>
      <c r="P817" s="523" t="s">
        <v>632</v>
      </c>
      <c r="Q817" s="523" t="s">
        <v>671</v>
      </c>
      <c r="R817" s="523" t="s">
        <v>632</v>
      </c>
      <c r="S817" s="523" t="s">
        <v>632</v>
      </c>
      <c r="T817" s="518" t="s">
        <v>2609</v>
      </c>
      <c r="U817" s="38">
        <v>1624.83</v>
      </c>
      <c r="V817" s="15" t="str">
        <f t="shared" si="85"/>
        <v/>
      </c>
      <c r="W817" s="10"/>
      <c r="X817" s="10"/>
      <c r="Y817" s="10"/>
      <c r="Z817" s="10"/>
      <c r="AA817" s="10"/>
      <c r="AB817" s="10"/>
      <c r="AC817" s="9"/>
      <c r="AD817" s="523" t="e">
        <v>#N/A</v>
      </c>
      <c r="AE817" s="523" t="e">
        <v>#N/A</v>
      </c>
      <c r="AF817" s="523" t="e">
        <v>#N/A</v>
      </c>
      <c r="AG817" s="524" t="e">
        <v>#N/A</v>
      </c>
      <c r="AH817" s="9"/>
      <c r="AI817" s="10"/>
      <c r="AJ817" s="9"/>
      <c r="AK817" s="10"/>
      <c r="AL817" s="10"/>
    </row>
    <row r="818" spans="1:38" ht="45" hidden="1">
      <c r="A818" s="1">
        <f t="shared" si="86"/>
        <v>0</v>
      </c>
      <c r="B818" s="2" t="s">
        <v>2622</v>
      </c>
      <c r="C818" s="3" t="s">
        <v>2623</v>
      </c>
      <c r="D818" s="15" t="s">
        <v>11594</v>
      </c>
      <c r="E818" s="4" t="s">
        <v>2622</v>
      </c>
      <c r="F818" s="37" t="s">
        <v>2623</v>
      </c>
      <c r="G818" s="38">
        <v>4398.71</v>
      </c>
      <c r="H818" s="38">
        <v>4398.71</v>
      </c>
      <c r="I818" s="15"/>
      <c r="J818" s="494">
        <v>20103010107</v>
      </c>
      <c r="L818" s="523" t="s">
        <v>13487</v>
      </c>
      <c r="M818" s="523" t="s">
        <v>240</v>
      </c>
      <c r="N818" s="518" t="s">
        <v>2608</v>
      </c>
      <c r="O818" s="523">
        <v>2</v>
      </c>
      <c r="P818" s="523" t="s">
        <v>632</v>
      </c>
      <c r="Q818" s="523" t="s">
        <v>671</v>
      </c>
      <c r="R818" s="523" t="s">
        <v>632</v>
      </c>
      <c r="S818" s="523" t="s">
        <v>632</v>
      </c>
      <c r="T818" s="518" t="s">
        <v>2609</v>
      </c>
      <c r="U818" s="38">
        <v>4398.71</v>
      </c>
      <c r="V818" s="15" t="str">
        <f t="shared" si="85"/>
        <v/>
      </c>
      <c r="W818" s="10"/>
      <c r="X818" s="10"/>
      <c r="Y818" s="10"/>
      <c r="Z818" s="10"/>
      <c r="AA818" s="10"/>
      <c r="AB818" s="10"/>
      <c r="AC818" s="9"/>
      <c r="AD818" s="523" t="e">
        <v>#N/A</v>
      </c>
      <c r="AE818" s="523" t="e">
        <v>#N/A</v>
      </c>
      <c r="AF818" s="523" t="e">
        <v>#N/A</v>
      </c>
      <c r="AG818" s="524" t="e">
        <v>#N/A</v>
      </c>
      <c r="AH818" s="9"/>
      <c r="AI818" s="10"/>
      <c r="AJ818" s="9"/>
      <c r="AK818" s="10"/>
      <c r="AL818" s="10"/>
    </row>
    <row r="819" spans="1:38" ht="45" hidden="1">
      <c r="A819" s="1">
        <f t="shared" si="86"/>
        <v>0</v>
      </c>
      <c r="B819" s="2" t="s">
        <v>2624</v>
      </c>
      <c r="C819" s="3" t="s">
        <v>2625</v>
      </c>
      <c r="D819" s="15" t="s">
        <v>11594</v>
      </c>
      <c r="E819" s="4" t="s">
        <v>2624</v>
      </c>
      <c r="F819" s="37" t="s">
        <v>2625</v>
      </c>
      <c r="G819" s="38">
        <v>420.09</v>
      </c>
      <c r="H819" s="38">
        <v>420.09</v>
      </c>
      <c r="I819" s="15"/>
      <c r="J819" s="494">
        <v>20103010108</v>
      </c>
      <c r="L819" s="523" t="s">
        <v>13487</v>
      </c>
      <c r="M819" s="523" t="s">
        <v>240</v>
      </c>
      <c r="N819" s="518" t="s">
        <v>2608</v>
      </c>
      <c r="O819" s="523">
        <v>2</v>
      </c>
      <c r="P819" s="523" t="s">
        <v>632</v>
      </c>
      <c r="Q819" s="523" t="s">
        <v>671</v>
      </c>
      <c r="R819" s="523" t="s">
        <v>632</v>
      </c>
      <c r="S819" s="523" t="s">
        <v>632</v>
      </c>
      <c r="T819" s="518" t="s">
        <v>2609</v>
      </c>
      <c r="U819" s="38">
        <v>420.09</v>
      </c>
      <c r="V819" s="15" t="str">
        <f t="shared" si="85"/>
        <v/>
      </c>
      <c r="W819" s="10"/>
      <c r="X819" s="10"/>
      <c r="Y819" s="10"/>
      <c r="Z819" s="10"/>
      <c r="AA819" s="10"/>
      <c r="AB819" s="10"/>
      <c r="AC819" s="9"/>
      <c r="AD819" s="523" t="e">
        <v>#N/A</v>
      </c>
      <c r="AE819" s="523" t="e">
        <v>#N/A</v>
      </c>
      <c r="AF819" s="523" t="e">
        <v>#N/A</v>
      </c>
      <c r="AG819" s="524" t="e">
        <v>#N/A</v>
      </c>
      <c r="AH819" s="9"/>
      <c r="AI819" s="10"/>
      <c r="AJ819" s="9"/>
      <c r="AK819" s="10"/>
      <c r="AL819" s="10"/>
    </row>
    <row r="820" spans="1:38" ht="45" hidden="1">
      <c r="A820" s="1">
        <f t="shared" si="86"/>
        <v>0</v>
      </c>
      <c r="B820" s="2" t="s">
        <v>2626</v>
      </c>
      <c r="C820" s="3" t="s">
        <v>2627</v>
      </c>
      <c r="D820" s="15" t="s">
        <v>11594</v>
      </c>
      <c r="E820" s="4" t="s">
        <v>2626</v>
      </c>
      <c r="F820" s="37" t="s">
        <v>2627</v>
      </c>
      <c r="G820" s="38">
        <v>4720.55</v>
      </c>
      <c r="H820" s="38">
        <v>4720.55</v>
      </c>
      <c r="I820" s="15"/>
      <c r="J820" s="494">
        <v>20103010109</v>
      </c>
      <c r="L820" s="523" t="s">
        <v>13487</v>
      </c>
      <c r="M820" s="523" t="s">
        <v>240</v>
      </c>
      <c r="N820" s="518" t="s">
        <v>2608</v>
      </c>
      <c r="O820" s="523">
        <v>2</v>
      </c>
      <c r="P820" s="523" t="s">
        <v>632</v>
      </c>
      <c r="Q820" s="523" t="s">
        <v>671</v>
      </c>
      <c r="R820" s="523" t="s">
        <v>632</v>
      </c>
      <c r="S820" s="523" t="s">
        <v>632</v>
      </c>
      <c r="T820" s="518" t="s">
        <v>2609</v>
      </c>
      <c r="U820" s="38">
        <v>4720.55</v>
      </c>
      <c r="V820" s="15" t="str">
        <f t="shared" si="85"/>
        <v/>
      </c>
      <c r="W820" s="10"/>
      <c r="X820" s="10"/>
      <c r="Y820" s="10"/>
      <c r="Z820" s="10"/>
      <c r="AA820" s="10"/>
      <c r="AB820" s="10"/>
      <c r="AC820" s="9"/>
      <c r="AD820" s="523" t="e">
        <v>#N/A</v>
      </c>
      <c r="AE820" s="523" t="e">
        <v>#N/A</v>
      </c>
      <c r="AF820" s="523" t="e">
        <v>#N/A</v>
      </c>
      <c r="AG820" s="524" t="e">
        <v>#N/A</v>
      </c>
      <c r="AH820" s="9"/>
      <c r="AI820" s="10"/>
      <c r="AJ820" s="9"/>
      <c r="AK820" s="10"/>
      <c r="AL820" s="10"/>
    </row>
    <row r="821" spans="1:38" ht="45" hidden="1">
      <c r="A821" s="1">
        <f t="shared" si="86"/>
        <v>0</v>
      </c>
      <c r="B821" s="2" t="s">
        <v>2628</v>
      </c>
      <c r="C821" s="3" t="s">
        <v>2629</v>
      </c>
      <c r="D821" s="15" t="s">
        <v>11594</v>
      </c>
      <c r="E821" s="4" t="s">
        <v>2628</v>
      </c>
      <c r="F821" s="37" t="s">
        <v>2629</v>
      </c>
      <c r="G821" s="38">
        <v>2003.82</v>
      </c>
      <c r="H821" s="38">
        <v>2003.82</v>
      </c>
      <c r="I821" s="15"/>
      <c r="J821" s="494">
        <v>20103010110</v>
      </c>
      <c r="L821" s="523" t="s">
        <v>13487</v>
      </c>
      <c r="M821" s="523" t="s">
        <v>240</v>
      </c>
      <c r="N821" s="518" t="s">
        <v>2608</v>
      </c>
      <c r="O821" s="523">
        <v>2</v>
      </c>
      <c r="P821" s="523" t="s">
        <v>632</v>
      </c>
      <c r="Q821" s="523" t="s">
        <v>671</v>
      </c>
      <c r="R821" s="523" t="s">
        <v>632</v>
      </c>
      <c r="S821" s="523" t="s">
        <v>632</v>
      </c>
      <c r="T821" s="518" t="s">
        <v>2609</v>
      </c>
      <c r="U821" s="38">
        <v>2003.82</v>
      </c>
      <c r="V821" s="15" t="str">
        <f t="shared" si="85"/>
        <v/>
      </c>
      <c r="W821" s="10"/>
      <c r="X821" s="10"/>
      <c r="Y821" s="10"/>
      <c r="Z821" s="10"/>
      <c r="AA821" s="10"/>
      <c r="AB821" s="10"/>
      <c r="AC821" s="9"/>
      <c r="AD821" s="523" t="e">
        <v>#N/A</v>
      </c>
      <c r="AE821" s="523" t="e">
        <v>#N/A</v>
      </c>
      <c r="AF821" s="523" t="e">
        <v>#N/A</v>
      </c>
      <c r="AG821" s="524" t="e">
        <v>#N/A</v>
      </c>
      <c r="AH821" s="9"/>
      <c r="AI821" s="10"/>
      <c r="AJ821" s="9"/>
      <c r="AK821" s="10"/>
      <c r="AL821" s="10"/>
    </row>
    <row r="822" spans="1:38" ht="45" hidden="1">
      <c r="A822" s="1">
        <f t="shared" si="86"/>
        <v>0</v>
      </c>
      <c r="B822" s="2" t="s">
        <v>2630</v>
      </c>
      <c r="C822" s="3" t="s">
        <v>2631</v>
      </c>
      <c r="D822" s="15" t="s">
        <v>11594</v>
      </c>
      <c r="E822" s="4" t="s">
        <v>2630</v>
      </c>
      <c r="F822" s="37" t="s">
        <v>2631</v>
      </c>
      <c r="G822" s="38">
        <v>0</v>
      </c>
      <c r="H822" s="38">
        <v>0</v>
      </c>
      <c r="I822" s="15"/>
      <c r="J822" s="494">
        <v>20103010111</v>
      </c>
      <c r="L822" s="523" t="s">
        <v>13487</v>
      </c>
      <c r="M822" s="523" t="s">
        <v>240</v>
      </c>
      <c r="N822" s="518" t="s">
        <v>2608</v>
      </c>
      <c r="O822" s="523">
        <v>2</v>
      </c>
      <c r="P822" s="523" t="s">
        <v>632</v>
      </c>
      <c r="Q822" s="523" t="s">
        <v>671</v>
      </c>
      <c r="R822" s="523" t="s">
        <v>632</v>
      </c>
      <c r="S822" s="523" t="s">
        <v>632</v>
      </c>
      <c r="T822" s="518" t="s">
        <v>2609</v>
      </c>
      <c r="U822" s="38">
        <v>0</v>
      </c>
      <c r="V822" s="15" t="str">
        <f t="shared" si="85"/>
        <v/>
      </c>
      <c r="W822" s="10"/>
      <c r="X822" s="10"/>
      <c r="Y822" s="10"/>
      <c r="Z822" s="10"/>
      <c r="AA822" s="10"/>
      <c r="AB822" s="10"/>
      <c r="AC822" s="9"/>
      <c r="AD822" s="523" t="e">
        <v>#N/A</v>
      </c>
      <c r="AE822" s="523" t="e">
        <v>#N/A</v>
      </c>
      <c r="AF822" s="523" t="e">
        <v>#N/A</v>
      </c>
      <c r="AG822" s="524" t="e">
        <v>#N/A</v>
      </c>
      <c r="AH822" s="9"/>
      <c r="AI822" s="10"/>
      <c r="AJ822" s="9"/>
      <c r="AK822" s="10"/>
      <c r="AL822" s="10"/>
    </row>
    <row r="823" spans="1:38" ht="45" hidden="1">
      <c r="A823" s="1">
        <f t="shared" si="86"/>
        <v>0</v>
      </c>
      <c r="B823" s="2" t="s">
        <v>2632</v>
      </c>
      <c r="C823" s="3" t="s">
        <v>2633</v>
      </c>
      <c r="D823" s="15" t="s">
        <v>11594</v>
      </c>
      <c r="E823" s="4" t="s">
        <v>2632</v>
      </c>
      <c r="F823" s="37" t="s">
        <v>2633</v>
      </c>
      <c r="G823" s="38">
        <v>0</v>
      </c>
      <c r="H823" s="38">
        <v>0</v>
      </c>
      <c r="I823" s="15"/>
      <c r="J823" s="494">
        <v>20103010112</v>
      </c>
      <c r="L823" s="523" t="s">
        <v>13487</v>
      </c>
      <c r="M823" s="523" t="s">
        <v>240</v>
      </c>
      <c r="N823" s="518" t="s">
        <v>2608</v>
      </c>
      <c r="O823" s="523">
        <v>2</v>
      </c>
      <c r="P823" s="523" t="s">
        <v>632</v>
      </c>
      <c r="Q823" s="523" t="s">
        <v>671</v>
      </c>
      <c r="R823" s="523" t="s">
        <v>632</v>
      </c>
      <c r="S823" s="523" t="s">
        <v>632</v>
      </c>
      <c r="T823" s="518" t="s">
        <v>2609</v>
      </c>
      <c r="U823" s="38">
        <v>0</v>
      </c>
      <c r="V823" s="15" t="str">
        <f t="shared" si="85"/>
        <v/>
      </c>
      <c r="W823" s="10"/>
      <c r="X823" s="10"/>
      <c r="Y823" s="10"/>
      <c r="Z823" s="10"/>
      <c r="AA823" s="10"/>
      <c r="AB823" s="10"/>
      <c r="AC823" s="9"/>
      <c r="AD823" s="523" t="e">
        <v>#N/A</v>
      </c>
      <c r="AE823" s="523" t="e">
        <v>#N/A</v>
      </c>
      <c r="AF823" s="523" t="e">
        <v>#N/A</v>
      </c>
      <c r="AG823" s="524" t="e">
        <v>#N/A</v>
      </c>
      <c r="AH823" s="9"/>
      <c r="AI823" s="10"/>
      <c r="AJ823" s="9"/>
      <c r="AK823" s="10"/>
      <c r="AL823" s="10"/>
    </row>
    <row r="824" spans="1:38" ht="45" hidden="1">
      <c r="A824" s="1">
        <f t="shared" si="86"/>
        <v>0</v>
      </c>
      <c r="B824" s="2" t="s">
        <v>2634</v>
      </c>
      <c r="C824" s="3" t="s">
        <v>2635</v>
      </c>
      <c r="D824" s="15" t="s">
        <v>11594</v>
      </c>
      <c r="E824" s="4" t="s">
        <v>2634</v>
      </c>
      <c r="F824" s="37" t="s">
        <v>2635</v>
      </c>
      <c r="G824" s="38">
        <v>0</v>
      </c>
      <c r="H824" s="38">
        <v>0</v>
      </c>
      <c r="I824" s="15"/>
      <c r="J824" s="494">
        <v>20103010113</v>
      </c>
      <c r="L824" s="523" t="s">
        <v>13487</v>
      </c>
      <c r="M824" s="523" t="s">
        <v>240</v>
      </c>
      <c r="N824" s="518" t="s">
        <v>2608</v>
      </c>
      <c r="O824" s="523">
        <v>2</v>
      </c>
      <c r="P824" s="523" t="s">
        <v>632</v>
      </c>
      <c r="Q824" s="523" t="s">
        <v>671</v>
      </c>
      <c r="R824" s="523" t="s">
        <v>632</v>
      </c>
      <c r="S824" s="523" t="s">
        <v>632</v>
      </c>
      <c r="T824" s="518" t="s">
        <v>2609</v>
      </c>
      <c r="U824" s="38">
        <v>0</v>
      </c>
      <c r="V824" s="15" t="str">
        <f t="shared" si="85"/>
        <v/>
      </c>
      <c r="W824" s="10"/>
      <c r="X824" s="10"/>
      <c r="Y824" s="10"/>
      <c r="Z824" s="10"/>
      <c r="AA824" s="10"/>
      <c r="AB824" s="10"/>
      <c r="AC824" s="9"/>
      <c r="AD824" s="523" t="e">
        <v>#N/A</v>
      </c>
      <c r="AE824" s="523" t="e">
        <v>#N/A</v>
      </c>
      <c r="AF824" s="523" t="e">
        <v>#N/A</v>
      </c>
      <c r="AG824" s="524" t="e">
        <v>#N/A</v>
      </c>
      <c r="AH824" s="9"/>
      <c r="AI824" s="10"/>
      <c r="AJ824" s="9"/>
      <c r="AK824" s="10"/>
      <c r="AL824" s="10"/>
    </row>
    <row r="825" spans="1:38" ht="45" hidden="1">
      <c r="A825" s="1">
        <f t="shared" si="86"/>
        <v>0</v>
      </c>
      <c r="B825" s="2" t="s">
        <v>2636</v>
      </c>
      <c r="C825" s="3" t="s">
        <v>2637</v>
      </c>
      <c r="D825" s="15" t="s">
        <v>11594</v>
      </c>
      <c r="E825" s="4" t="s">
        <v>2636</v>
      </c>
      <c r="F825" s="37" t="s">
        <v>2637</v>
      </c>
      <c r="G825" s="38">
        <v>46047.93</v>
      </c>
      <c r="H825" s="38">
        <v>46047.93</v>
      </c>
      <c r="I825" s="15"/>
      <c r="J825" s="494">
        <v>20103010114</v>
      </c>
      <c r="L825" s="523" t="s">
        <v>13487</v>
      </c>
      <c r="M825" s="523" t="s">
        <v>240</v>
      </c>
      <c r="N825" s="518" t="s">
        <v>2608</v>
      </c>
      <c r="O825" s="523">
        <v>2</v>
      </c>
      <c r="P825" s="523" t="s">
        <v>632</v>
      </c>
      <c r="Q825" s="523" t="s">
        <v>671</v>
      </c>
      <c r="R825" s="523" t="s">
        <v>632</v>
      </c>
      <c r="S825" s="523" t="s">
        <v>632</v>
      </c>
      <c r="T825" s="518" t="s">
        <v>2609</v>
      </c>
      <c r="U825" s="38">
        <v>46047.93</v>
      </c>
      <c r="V825" s="15" t="str">
        <f t="shared" si="85"/>
        <v/>
      </c>
      <c r="W825" s="10"/>
      <c r="X825" s="10"/>
      <c r="Y825" s="10"/>
      <c r="Z825" s="10"/>
      <c r="AA825" s="10"/>
      <c r="AB825" s="10"/>
      <c r="AC825" s="9"/>
      <c r="AD825" s="523" t="e">
        <v>#N/A</v>
      </c>
      <c r="AE825" s="523" t="e">
        <v>#N/A</v>
      </c>
      <c r="AF825" s="523" t="e">
        <v>#N/A</v>
      </c>
      <c r="AG825" s="524" t="e">
        <v>#N/A</v>
      </c>
      <c r="AH825" s="9"/>
      <c r="AI825" s="10"/>
      <c r="AJ825" s="9"/>
      <c r="AK825" s="10"/>
      <c r="AL825" s="10"/>
    </row>
    <row r="826" spans="1:38" ht="45" hidden="1">
      <c r="A826" s="1">
        <f t="shared" si="86"/>
        <v>0</v>
      </c>
      <c r="B826" s="2" t="s">
        <v>2638</v>
      </c>
      <c r="C826" s="3" t="s">
        <v>2639</v>
      </c>
      <c r="D826" s="15" t="s">
        <v>11594</v>
      </c>
      <c r="E826" s="4" t="s">
        <v>2638</v>
      </c>
      <c r="F826" s="37" t="s">
        <v>2639</v>
      </c>
      <c r="G826" s="38">
        <v>52246.21</v>
      </c>
      <c r="H826" s="38">
        <v>52003.9</v>
      </c>
      <c r="I826" s="15"/>
      <c r="J826" s="494">
        <v>20103010115</v>
      </c>
      <c r="L826" s="523" t="s">
        <v>13487</v>
      </c>
      <c r="M826" s="523" t="s">
        <v>240</v>
      </c>
      <c r="N826" s="518" t="s">
        <v>2608</v>
      </c>
      <c r="O826" s="523">
        <v>2</v>
      </c>
      <c r="P826" s="523" t="s">
        <v>632</v>
      </c>
      <c r="Q826" s="523" t="s">
        <v>671</v>
      </c>
      <c r="R826" s="523" t="s">
        <v>632</v>
      </c>
      <c r="S826" s="523" t="s">
        <v>632</v>
      </c>
      <c r="T826" s="518" t="s">
        <v>2609</v>
      </c>
      <c r="U826" s="38">
        <v>52003.9</v>
      </c>
      <c r="V826" s="15" t="str">
        <f t="shared" si="85"/>
        <v/>
      </c>
      <c r="W826" s="10"/>
      <c r="X826" s="10"/>
      <c r="Y826" s="10"/>
      <c r="Z826" s="10"/>
      <c r="AA826" s="10"/>
      <c r="AB826" s="10"/>
      <c r="AC826" s="9"/>
      <c r="AD826" s="523" t="e">
        <v>#N/A</v>
      </c>
      <c r="AE826" s="523" t="e">
        <v>#N/A</v>
      </c>
      <c r="AF826" s="523" t="e">
        <v>#N/A</v>
      </c>
      <c r="AG826" s="524" t="e">
        <v>#N/A</v>
      </c>
      <c r="AH826" s="9"/>
      <c r="AI826" s="10"/>
      <c r="AJ826" s="9"/>
      <c r="AK826" s="10"/>
      <c r="AL826" s="10"/>
    </row>
    <row r="827" spans="1:38" ht="45" hidden="1">
      <c r="A827" s="1">
        <f t="shared" si="86"/>
        <v>0</v>
      </c>
      <c r="B827" s="2" t="s">
        <v>2640</v>
      </c>
      <c r="C827" s="3" t="s">
        <v>2641</v>
      </c>
      <c r="D827" s="15" t="s">
        <v>11594</v>
      </c>
      <c r="E827" s="4" t="s">
        <v>2640</v>
      </c>
      <c r="F827" s="37" t="s">
        <v>2641</v>
      </c>
      <c r="G827" s="38">
        <v>1068.78</v>
      </c>
      <c r="H827" s="38">
        <v>318.22000000000003</v>
      </c>
      <c r="I827" s="15"/>
      <c r="J827" s="494">
        <v>20103010116</v>
      </c>
      <c r="L827" s="523" t="s">
        <v>13487</v>
      </c>
      <c r="M827" s="523" t="s">
        <v>240</v>
      </c>
      <c r="N827" s="518" t="s">
        <v>2608</v>
      </c>
      <c r="O827" s="523">
        <v>2</v>
      </c>
      <c r="P827" s="523" t="s">
        <v>632</v>
      </c>
      <c r="Q827" s="523" t="s">
        <v>671</v>
      </c>
      <c r="R827" s="523" t="s">
        <v>632</v>
      </c>
      <c r="S827" s="523" t="s">
        <v>632</v>
      </c>
      <c r="T827" s="518" t="s">
        <v>2609</v>
      </c>
      <c r="U827" s="38">
        <v>318.22000000000003</v>
      </c>
      <c r="V827" s="15" t="str">
        <f t="shared" si="85"/>
        <v/>
      </c>
      <c r="W827" s="10"/>
      <c r="X827" s="10"/>
      <c r="Y827" s="10"/>
      <c r="Z827" s="10"/>
      <c r="AA827" s="10"/>
      <c r="AB827" s="10"/>
      <c r="AC827" s="9"/>
      <c r="AD827" s="523" t="e">
        <v>#N/A</v>
      </c>
      <c r="AE827" s="523" t="e">
        <v>#N/A</v>
      </c>
      <c r="AF827" s="523" t="e">
        <v>#N/A</v>
      </c>
      <c r="AG827" s="524" t="e">
        <v>#N/A</v>
      </c>
      <c r="AH827" s="9"/>
      <c r="AI827" s="10"/>
      <c r="AJ827" s="9"/>
      <c r="AK827" s="10"/>
      <c r="AL827" s="10"/>
    </row>
    <row r="828" spans="1:38" ht="45" hidden="1">
      <c r="A828" s="1">
        <f t="shared" si="86"/>
        <v>0</v>
      </c>
      <c r="B828" s="2" t="s">
        <v>2642</v>
      </c>
      <c r="C828" s="3" t="s">
        <v>2643</v>
      </c>
      <c r="D828" s="15" t="s">
        <v>11594</v>
      </c>
      <c r="E828" s="4" t="s">
        <v>2642</v>
      </c>
      <c r="F828" s="37" t="s">
        <v>2643</v>
      </c>
      <c r="G828" s="38">
        <v>3318.4</v>
      </c>
      <c r="H828" s="38">
        <v>2859.01</v>
      </c>
      <c r="I828" s="15"/>
      <c r="J828" s="494">
        <v>20103010117</v>
      </c>
      <c r="L828" s="523" t="s">
        <v>13487</v>
      </c>
      <c r="M828" s="523" t="s">
        <v>240</v>
      </c>
      <c r="N828" s="518" t="s">
        <v>2608</v>
      </c>
      <c r="O828" s="523">
        <v>2</v>
      </c>
      <c r="P828" s="523" t="s">
        <v>632</v>
      </c>
      <c r="Q828" s="523" t="s">
        <v>671</v>
      </c>
      <c r="R828" s="523" t="s">
        <v>632</v>
      </c>
      <c r="S828" s="523" t="s">
        <v>632</v>
      </c>
      <c r="T828" s="518" t="s">
        <v>2609</v>
      </c>
      <c r="U828" s="38">
        <v>2859.01</v>
      </c>
      <c r="V828" s="15" t="str">
        <f t="shared" si="85"/>
        <v/>
      </c>
      <c r="W828" s="10"/>
      <c r="X828" s="10"/>
      <c r="Y828" s="10"/>
      <c r="Z828" s="10"/>
      <c r="AA828" s="10"/>
      <c r="AB828" s="10"/>
      <c r="AC828" s="9"/>
      <c r="AD828" s="523" t="e">
        <v>#N/A</v>
      </c>
      <c r="AE828" s="523" t="e">
        <v>#N/A</v>
      </c>
      <c r="AF828" s="523" t="e">
        <v>#N/A</v>
      </c>
      <c r="AG828" s="524" t="e">
        <v>#N/A</v>
      </c>
      <c r="AH828" s="9"/>
      <c r="AI828" s="10"/>
      <c r="AJ828" s="9"/>
      <c r="AK828" s="10"/>
      <c r="AL828" s="10"/>
    </row>
    <row r="829" spans="1:38" ht="45" hidden="1">
      <c r="A829" s="1">
        <f t="shared" si="86"/>
        <v>0</v>
      </c>
      <c r="B829" s="2" t="s">
        <v>2644</v>
      </c>
      <c r="C829" s="3" t="s">
        <v>2645</v>
      </c>
      <c r="D829" s="15" t="s">
        <v>11594</v>
      </c>
      <c r="E829" s="4" t="s">
        <v>2644</v>
      </c>
      <c r="F829" s="37" t="s">
        <v>2645</v>
      </c>
      <c r="G829" s="38">
        <v>839702.13</v>
      </c>
      <c r="H829" s="38">
        <v>752289.69</v>
      </c>
      <c r="I829" s="15"/>
      <c r="J829" s="494">
        <v>20103010118</v>
      </c>
      <c r="L829" s="523" t="s">
        <v>13487</v>
      </c>
      <c r="M829" s="523" t="s">
        <v>240</v>
      </c>
      <c r="N829" s="518" t="s">
        <v>2608</v>
      </c>
      <c r="O829" s="523">
        <v>2</v>
      </c>
      <c r="P829" s="523" t="s">
        <v>632</v>
      </c>
      <c r="Q829" s="523" t="s">
        <v>671</v>
      </c>
      <c r="R829" s="523" t="s">
        <v>632</v>
      </c>
      <c r="S829" s="523" t="s">
        <v>632</v>
      </c>
      <c r="T829" s="518" t="s">
        <v>2609</v>
      </c>
      <c r="U829" s="38">
        <v>752289.69</v>
      </c>
      <c r="V829" s="15" t="str">
        <f t="shared" si="85"/>
        <v/>
      </c>
      <c r="W829" s="10"/>
      <c r="X829" s="10"/>
      <c r="Y829" s="51"/>
      <c r="Z829" s="10"/>
      <c r="AA829" s="10"/>
      <c r="AB829" s="10"/>
      <c r="AC829" s="9"/>
      <c r="AD829" s="523" t="e">
        <v>#N/A</v>
      </c>
      <c r="AE829" s="523" t="e">
        <v>#N/A</v>
      </c>
      <c r="AF829" s="523" t="e">
        <v>#N/A</v>
      </c>
      <c r="AG829" s="524" t="e">
        <v>#N/A</v>
      </c>
      <c r="AH829" s="9"/>
      <c r="AI829" s="10"/>
      <c r="AJ829" s="9"/>
      <c r="AK829" s="10"/>
      <c r="AL829" s="10"/>
    </row>
    <row r="830" spans="1:38" ht="45" hidden="1">
      <c r="A830" s="1">
        <f t="shared" si="86"/>
        <v>0</v>
      </c>
      <c r="B830" s="2" t="s">
        <v>2646</v>
      </c>
      <c r="C830" s="3" t="s">
        <v>2647</v>
      </c>
      <c r="D830" s="15" t="s">
        <v>11594</v>
      </c>
      <c r="E830" s="4" t="s">
        <v>2646</v>
      </c>
      <c r="F830" s="37" t="s">
        <v>2647</v>
      </c>
      <c r="G830" s="38">
        <v>227179.94</v>
      </c>
      <c r="H830" s="38">
        <v>227179.94</v>
      </c>
      <c r="I830" s="15"/>
      <c r="J830" s="494">
        <v>20103010119</v>
      </c>
      <c r="L830" s="523" t="s">
        <v>13487</v>
      </c>
      <c r="M830" s="523" t="s">
        <v>240</v>
      </c>
      <c r="N830" s="518" t="s">
        <v>2608</v>
      </c>
      <c r="O830" s="523">
        <v>2</v>
      </c>
      <c r="P830" s="523" t="s">
        <v>632</v>
      </c>
      <c r="Q830" s="523" t="s">
        <v>671</v>
      </c>
      <c r="R830" s="523" t="s">
        <v>632</v>
      </c>
      <c r="S830" s="523" t="s">
        <v>632</v>
      </c>
      <c r="T830" s="518" t="s">
        <v>2609</v>
      </c>
      <c r="U830" s="38">
        <v>227179.94</v>
      </c>
      <c r="V830" s="15" t="str">
        <f t="shared" si="85"/>
        <v/>
      </c>
      <c r="W830" s="10"/>
      <c r="X830" s="10"/>
      <c r="Y830" s="10"/>
      <c r="Z830" s="10"/>
      <c r="AA830" s="10"/>
      <c r="AB830" s="10"/>
      <c r="AC830" s="9"/>
      <c r="AD830" s="523" t="e">
        <v>#N/A</v>
      </c>
      <c r="AE830" s="523" t="e">
        <v>#N/A</v>
      </c>
      <c r="AF830" s="523" t="e">
        <v>#N/A</v>
      </c>
      <c r="AG830" s="524" t="e">
        <v>#N/A</v>
      </c>
      <c r="AH830" s="9"/>
      <c r="AI830" s="10"/>
      <c r="AJ830" s="9"/>
      <c r="AK830" s="10"/>
      <c r="AL830" s="10"/>
    </row>
    <row r="831" spans="1:38" ht="45" hidden="1">
      <c r="A831" s="1">
        <f t="shared" si="86"/>
        <v>0</v>
      </c>
      <c r="B831" s="2" t="s">
        <v>2648</v>
      </c>
      <c r="C831" s="3" t="s">
        <v>2649</v>
      </c>
      <c r="D831" s="15" t="s">
        <v>11594</v>
      </c>
      <c r="E831" s="4" t="s">
        <v>2648</v>
      </c>
      <c r="F831" s="37" t="s">
        <v>2649</v>
      </c>
      <c r="G831" s="38">
        <v>17662.36</v>
      </c>
      <c r="H831" s="38">
        <v>12182.36</v>
      </c>
      <c r="I831" s="15"/>
      <c r="J831" s="494">
        <v>20103010120</v>
      </c>
      <c r="L831" s="523" t="s">
        <v>13487</v>
      </c>
      <c r="M831" s="523" t="s">
        <v>240</v>
      </c>
      <c r="N831" s="518" t="s">
        <v>2608</v>
      </c>
      <c r="O831" s="523">
        <v>2</v>
      </c>
      <c r="P831" s="523" t="s">
        <v>632</v>
      </c>
      <c r="Q831" s="523" t="s">
        <v>671</v>
      </c>
      <c r="R831" s="523" t="s">
        <v>632</v>
      </c>
      <c r="S831" s="523" t="s">
        <v>632</v>
      </c>
      <c r="T831" s="518" t="s">
        <v>2609</v>
      </c>
      <c r="U831" s="38">
        <v>12182.36</v>
      </c>
      <c r="V831" s="15" t="str">
        <f t="shared" si="85"/>
        <v/>
      </c>
      <c r="W831" s="10"/>
      <c r="X831" s="10"/>
      <c r="Y831" s="10"/>
      <c r="Z831" s="10"/>
      <c r="AA831" s="10"/>
      <c r="AB831" s="10"/>
      <c r="AC831" s="9"/>
      <c r="AD831" s="523" t="e">
        <v>#N/A</v>
      </c>
      <c r="AE831" s="523" t="e">
        <v>#N/A</v>
      </c>
      <c r="AF831" s="523" t="e">
        <v>#N/A</v>
      </c>
      <c r="AG831" s="524" t="e">
        <v>#N/A</v>
      </c>
      <c r="AH831" s="9"/>
      <c r="AI831" s="10"/>
      <c r="AJ831" s="9"/>
      <c r="AK831" s="10"/>
      <c r="AL831" s="10"/>
    </row>
    <row r="832" spans="1:38" ht="45" hidden="1">
      <c r="A832" s="1">
        <f t="shared" si="86"/>
        <v>0</v>
      </c>
      <c r="B832" s="2" t="s">
        <v>2650</v>
      </c>
      <c r="C832" s="3" t="s">
        <v>2651</v>
      </c>
      <c r="D832" s="15" t="s">
        <v>11594</v>
      </c>
      <c r="E832" s="4" t="s">
        <v>2650</v>
      </c>
      <c r="F832" s="37" t="s">
        <v>2651</v>
      </c>
      <c r="G832" s="38">
        <v>351114.88</v>
      </c>
      <c r="H832" s="38">
        <v>125816.18</v>
      </c>
      <c r="I832" s="15"/>
      <c r="J832" s="494">
        <v>20103010121</v>
      </c>
      <c r="L832" s="523" t="s">
        <v>13487</v>
      </c>
      <c r="M832" s="523" t="s">
        <v>240</v>
      </c>
      <c r="N832" s="518" t="s">
        <v>2608</v>
      </c>
      <c r="O832" s="523">
        <v>2</v>
      </c>
      <c r="P832" s="523" t="s">
        <v>632</v>
      </c>
      <c r="Q832" s="523" t="s">
        <v>671</v>
      </c>
      <c r="R832" s="523" t="s">
        <v>632</v>
      </c>
      <c r="S832" s="523" t="s">
        <v>632</v>
      </c>
      <c r="T832" s="518" t="s">
        <v>2609</v>
      </c>
      <c r="U832" s="38">
        <v>125816.18</v>
      </c>
      <c r="V832" s="15" t="str">
        <f t="shared" si="85"/>
        <v/>
      </c>
      <c r="W832" s="10"/>
      <c r="X832" s="10"/>
      <c r="Y832" s="10"/>
      <c r="Z832" s="10"/>
      <c r="AA832" s="10"/>
      <c r="AB832" s="10"/>
      <c r="AC832" s="9"/>
      <c r="AD832" s="523" t="e">
        <v>#N/A</v>
      </c>
      <c r="AE832" s="523" t="e">
        <v>#N/A</v>
      </c>
      <c r="AF832" s="523" t="e">
        <v>#N/A</v>
      </c>
      <c r="AG832" s="524" t="e">
        <v>#N/A</v>
      </c>
      <c r="AH832" s="9"/>
      <c r="AI832" s="10"/>
      <c r="AJ832" s="9"/>
      <c r="AK832" s="10"/>
      <c r="AL832" s="10"/>
    </row>
    <row r="833" spans="1:38" ht="45" hidden="1">
      <c r="A833" s="1">
        <f t="shared" si="86"/>
        <v>0</v>
      </c>
      <c r="B833" s="2" t="s">
        <v>2652</v>
      </c>
      <c r="C833" s="3" t="s">
        <v>2653</v>
      </c>
      <c r="D833" s="15" t="s">
        <v>11594</v>
      </c>
      <c r="E833" s="4" t="s">
        <v>2652</v>
      </c>
      <c r="F833" s="37" t="s">
        <v>2653</v>
      </c>
      <c r="G833" s="38">
        <v>19033.71</v>
      </c>
      <c r="H833" s="38">
        <v>-9493.35</v>
      </c>
      <c r="I833" s="15"/>
      <c r="J833" s="494">
        <v>20103010122</v>
      </c>
      <c r="L833" s="523" t="s">
        <v>13487</v>
      </c>
      <c r="M833" s="523" t="s">
        <v>240</v>
      </c>
      <c r="N833" s="518" t="s">
        <v>2608</v>
      </c>
      <c r="O833" s="523">
        <v>2</v>
      </c>
      <c r="P833" s="523" t="s">
        <v>632</v>
      </c>
      <c r="Q833" s="523" t="s">
        <v>671</v>
      </c>
      <c r="R833" s="523" t="s">
        <v>632</v>
      </c>
      <c r="S833" s="523" t="s">
        <v>632</v>
      </c>
      <c r="T833" s="518" t="s">
        <v>2609</v>
      </c>
      <c r="U833" s="38">
        <v>-9493.35</v>
      </c>
      <c r="V833" s="15" t="str">
        <f t="shared" si="85"/>
        <v/>
      </c>
      <c r="W833" s="10"/>
      <c r="X833" s="10"/>
      <c r="Y833" s="10"/>
      <c r="Z833" s="10"/>
      <c r="AA833" s="10"/>
      <c r="AB833" s="10"/>
      <c r="AC833" s="9"/>
      <c r="AD833" s="523" t="e">
        <v>#N/A</v>
      </c>
      <c r="AE833" s="523" t="e">
        <v>#N/A</v>
      </c>
      <c r="AF833" s="523" t="e">
        <v>#N/A</v>
      </c>
      <c r="AG833" s="524" t="e">
        <v>#N/A</v>
      </c>
      <c r="AH833" s="9"/>
      <c r="AI833" s="10"/>
      <c r="AJ833" s="9"/>
      <c r="AK833" s="10"/>
      <c r="AL833" s="10"/>
    </row>
    <row r="834" spans="1:38" ht="45" hidden="1">
      <c r="A834" s="1">
        <f t="shared" si="86"/>
        <v>0</v>
      </c>
      <c r="B834" s="2" t="s">
        <v>2654</v>
      </c>
      <c r="C834" s="3" t="s">
        <v>2655</v>
      </c>
      <c r="D834" s="15" t="s">
        <v>11594</v>
      </c>
      <c r="E834" s="4" t="s">
        <v>2654</v>
      </c>
      <c r="F834" s="37" t="s">
        <v>2655</v>
      </c>
      <c r="G834" s="38">
        <v>0</v>
      </c>
      <c r="H834" s="38">
        <v>73948.240000000005</v>
      </c>
      <c r="I834" s="15"/>
      <c r="J834" s="494">
        <v>20103010123</v>
      </c>
      <c r="L834" s="523" t="s">
        <v>13487</v>
      </c>
      <c r="M834" s="523" t="s">
        <v>240</v>
      </c>
      <c r="N834" s="518" t="s">
        <v>2608</v>
      </c>
      <c r="O834" s="523">
        <v>2</v>
      </c>
      <c r="P834" s="523" t="s">
        <v>632</v>
      </c>
      <c r="Q834" s="523" t="s">
        <v>671</v>
      </c>
      <c r="R834" s="523" t="s">
        <v>632</v>
      </c>
      <c r="S834" s="523" t="s">
        <v>632</v>
      </c>
      <c r="T834" s="518" t="s">
        <v>2609</v>
      </c>
      <c r="U834" s="38">
        <v>73948.240000000005</v>
      </c>
      <c r="V834" s="15" t="str">
        <f t="shared" si="85"/>
        <v/>
      </c>
      <c r="W834" s="10"/>
      <c r="X834" s="10"/>
      <c r="Y834" s="10"/>
      <c r="Z834" s="10"/>
      <c r="AA834" s="10"/>
      <c r="AB834" s="10"/>
      <c r="AC834" s="9"/>
      <c r="AD834" s="523" t="e">
        <v>#N/A</v>
      </c>
      <c r="AE834" s="523" t="e">
        <v>#N/A</v>
      </c>
      <c r="AF834" s="523" t="e">
        <v>#N/A</v>
      </c>
      <c r="AG834" s="524" t="e">
        <v>#N/A</v>
      </c>
      <c r="AH834" s="9"/>
      <c r="AI834" s="10"/>
      <c r="AJ834" s="9"/>
      <c r="AK834" s="10"/>
      <c r="AL834" s="10"/>
    </row>
    <row r="835" spans="1:38" hidden="1">
      <c r="A835" s="1">
        <f t="shared" si="86"/>
        <v>0</v>
      </c>
      <c r="B835" s="11"/>
      <c r="C835" s="11"/>
      <c r="D835" s="15" t="s">
        <v>16</v>
      </c>
      <c r="E835" s="24"/>
      <c r="F835" s="25" t="s">
        <v>2656</v>
      </c>
      <c r="G835" s="26">
        <f>G836+G838+G840+G842+G844</f>
        <v>0</v>
      </c>
      <c r="H835" s="26">
        <f>H836+H838+H840+H842+H844</f>
        <v>0</v>
      </c>
      <c r="I835" s="15"/>
      <c r="J835" s="494"/>
      <c r="K835" s="509"/>
      <c r="L835" s="509"/>
      <c r="M835" s="509"/>
      <c r="N835" s="510"/>
      <c r="O835" s="509"/>
      <c r="P835" s="509"/>
      <c r="Q835" s="509"/>
      <c r="R835" s="509"/>
      <c r="S835" s="509"/>
      <c r="T835" s="510"/>
      <c r="U835" s="26">
        <f>U836+U838+U840+U842+U844</f>
        <v>0</v>
      </c>
      <c r="V835" s="15" t="str">
        <f t="shared" ref="V835:V898" si="87">CONCATENATE(W835,X835,Y835,Z835,AA835)</f>
        <v>201040000</v>
      </c>
      <c r="W835" s="27">
        <v>2</v>
      </c>
      <c r="X835" s="28" t="s">
        <v>632</v>
      </c>
      <c r="Y835" s="28" t="s">
        <v>693</v>
      </c>
      <c r="Z835" s="28" t="s">
        <v>630</v>
      </c>
      <c r="AA835" s="28" t="s">
        <v>630</v>
      </c>
      <c r="AB835" s="25" t="s">
        <v>2656</v>
      </c>
      <c r="AC835" s="530">
        <f>AC836+AC838+AC840+AC842+AC844</f>
        <v>0</v>
      </c>
      <c r="AD835" s="509">
        <v>0</v>
      </c>
      <c r="AE835" s="509" t="s">
        <v>13488</v>
      </c>
      <c r="AF835" s="509" t="s">
        <v>241</v>
      </c>
      <c r="AG835" s="510" t="s">
        <v>2657</v>
      </c>
      <c r="AH835" s="53">
        <f>AH836+AH838+AH840+AH842+AH844</f>
        <v>0</v>
      </c>
      <c r="AI835" s="10"/>
      <c r="AJ835" s="9">
        <f t="shared" ref="AJ835:AJ844" si="88">AH835-H835</f>
        <v>0</v>
      </c>
      <c r="AK835" s="10"/>
      <c r="AL835" s="10"/>
    </row>
    <row r="836" spans="1:38" ht="22.5" hidden="1">
      <c r="A836" s="1">
        <f t="shared" si="86"/>
        <v>0</v>
      </c>
      <c r="B836" s="11"/>
      <c r="C836" s="11"/>
      <c r="D836" s="15" t="s">
        <v>16</v>
      </c>
      <c r="E836" s="30"/>
      <c r="F836" s="31" t="s">
        <v>2658</v>
      </c>
      <c r="G836" s="32">
        <f>G837</f>
        <v>0</v>
      </c>
      <c r="H836" s="32">
        <f>H837</f>
        <v>0</v>
      </c>
      <c r="I836" s="15"/>
      <c r="J836" s="494"/>
      <c r="K836" s="513"/>
      <c r="L836" s="513"/>
      <c r="M836" s="513"/>
      <c r="N836" s="514"/>
      <c r="O836" s="513"/>
      <c r="P836" s="513"/>
      <c r="Q836" s="513"/>
      <c r="R836" s="513"/>
      <c r="S836" s="513"/>
      <c r="T836" s="514"/>
      <c r="U836" s="32">
        <f>U837</f>
        <v>0</v>
      </c>
      <c r="V836" s="15" t="str">
        <f t="shared" si="87"/>
        <v>201040100</v>
      </c>
      <c r="W836" s="33">
        <v>2</v>
      </c>
      <c r="X836" s="34" t="s">
        <v>632</v>
      </c>
      <c r="Y836" s="34" t="s">
        <v>693</v>
      </c>
      <c r="Z836" s="34" t="s">
        <v>632</v>
      </c>
      <c r="AA836" s="35" t="s">
        <v>630</v>
      </c>
      <c r="AB836" s="31" t="s">
        <v>2658</v>
      </c>
      <c r="AC836" s="529">
        <f>AC837</f>
        <v>0</v>
      </c>
      <c r="AD836" s="513">
        <v>0</v>
      </c>
      <c r="AE836" s="513" t="s">
        <v>13489</v>
      </c>
      <c r="AF836" s="513" t="s">
        <v>242</v>
      </c>
      <c r="AG836" s="514" t="s">
        <v>2659</v>
      </c>
      <c r="AH836" s="44">
        <f>AH837</f>
        <v>0</v>
      </c>
      <c r="AI836" s="10"/>
      <c r="AJ836" s="9">
        <f t="shared" si="88"/>
        <v>0</v>
      </c>
      <c r="AK836" s="10"/>
      <c r="AL836" s="10"/>
    </row>
    <row r="837" spans="1:38" ht="22.5" hidden="1">
      <c r="A837" s="1">
        <f t="shared" si="86"/>
        <v>0</v>
      </c>
      <c r="B837" s="2" t="s">
        <v>2660</v>
      </c>
      <c r="C837" s="3" t="s">
        <v>2661</v>
      </c>
      <c r="D837" s="15" t="s">
        <v>11595</v>
      </c>
      <c r="E837" s="4" t="s">
        <v>2660</v>
      </c>
      <c r="F837" s="37" t="s">
        <v>2661</v>
      </c>
      <c r="G837" s="38">
        <v>0</v>
      </c>
      <c r="H837" s="38">
        <v>0</v>
      </c>
      <c r="I837" s="15"/>
      <c r="J837" s="494">
        <v>20104010101</v>
      </c>
      <c r="K837" s="517"/>
      <c r="L837" s="517" t="s">
        <v>13489</v>
      </c>
      <c r="M837" s="517" t="s">
        <v>242</v>
      </c>
      <c r="N837" s="518" t="s">
        <v>2659</v>
      </c>
      <c r="O837" s="517">
        <v>2</v>
      </c>
      <c r="P837" s="517" t="s">
        <v>632</v>
      </c>
      <c r="Q837" s="517" t="s">
        <v>693</v>
      </c>
      <c r="R837" s="517" t="s">
        <v>632</v>
      </c>
      <c r="S837" s="517" t="s">
        <v>632</v>
      </c>
      <c r="T837" s="518" t="s">
        <v>2658</v>
      </c>
      <c r="U837" s="38">
        <v>0</v>
      </c>
      <c r="V837" s="15" t="str">
        <f t="shared" si="87"/>
        <v>201040101</v>
      </c>
      <c r="W837" s="39">
        <v>2</v>
      </c>
      <c r="X837" s="40" t="s">
        <v>632</v>
      </c>
      <c r="Y837" s="40" t="s">
        <v>693</v>
      </c>
      <c r="Z837" s="40" t="s">
        <v>632</v>
      </c>
      <c r="AA837" s="40" t="s">
        <v>632</v>
      </c>
      <c r="AB837" s="41" t="s">
        <v>2658</v>
      </c>
      <c r="AC837" s="9">
        <f>H837</f>
        <v>0</v>
      </c>
      <c r="AD837" s="517">
        <v>0</v>
      </c>
      <c r="AE837" s="517" t="s">
        <v>13489</v>
      </c>
      <c r="AF837" s="517" t="s">
        <v>242</v>
      </c>
      <c r="AG837" s="520" t="s">
        <v>2659</v>
      </c>
      <c r="AH837" s="67">
        <f>AC837</f>
        <v>0</v>
      </c>
      <c r="AI837" s="10"/>
      <c r="AJ837" s="9">
        <f t="shared" si="88"/>
        <v>0</v>
      </c>
      <c r="AK837" s="10"/>
      <c r="AL837" s="10"/>
    </row>
    <row r="838" spans="1:38" ht="33.75" hidden="1">
      <c r="A838" s="1">
        <f t="shared" si="86"/>
        <v>0</v>
      </c>
      <c r="B838" s="11"/>
      <c r="C838" s="11"/>
      <c r="D838" s="15" t="s">
        <v>16</v>
      </c>
      <c r="E838" s="30"/>
      <c r="F838" s="31" t="s">
        <v>2662</v>
      </c>
      <c r="G838" s="32">
        <f>G839</f>
        <v>0</v>
      </c>
      <c r="H838" s="32">
        <f>H839</f>
        <v>0</v>
      </c>
      <c r="I838" s="15"/>
      <c r="J838" s="494"/>
      <c r="K838" s="513"/>
      <c r="L838" s="513"/>
      <c r="M838" s="513"/>
      <c r="N838" s="514"/>
      <c r="O838" s="513"/>
      <c r="P838" s="513"/>
      <c r="Q838" s="513"/>
      <c r="R838" s="513"/>
      <c r="S838" s="513"/>
      <c r="T838" s="514"/>
      <c r="U838" s="32">
        <f>U839</f>
        <v>0</v>
      </c>
      <c r="V838" s="15" t="str">
        <f t="shared" si="87"/>
        <v>201040200</v>
      </c>
      <c r="W838" s="33">
        <v>2</v>
      </c>
      <c r="X838" s="34" t="s">
        <v>632</v>
      </c>
      <c r="Y838" s="34" t="s">
        <v>693</v>
      </c>
      <c r="Z838" s="34" t="s">
        <v>647</v>
      </c>
      <c r="AA838" s="35" t="s">
        <v>630</v>
      </c>
      <c r="AB838" s="31" t="s">
        <v>2662</v>
      </c>
      <c r="AC838" s="529">
        <f>AC839</f>
        <v>0</v>
      </c>
      <c r="AD838" s="513">
        <v>0</v>
      </c>
      <c r="AE838" s="513" t="s">
        <v>13490</v>
      </c>
      <c r="AF838" s="513" t="s">
        <v>243</v>
      </c>
      <c r="AG838" s="514" t="s">
        <v>2663</v>
      </c>
      <c r="AH838" s="44">
        <f>AH839</f>
        <v>0</v>
      </c>
      <c r="AI838" s="10"/>
      <c r="AJ838" s="9">
        <f t="shared" si="88"/>
        <v>0</v>
      </c>
      <c r="AK838" s="10"/>
      <c r="AL838" s="10"/>
    </row>
    <row r="839" spans="1:38" ht="22.5" hidden="1">
      <c r="A839" s="1">
        <f t="shared" si="86"/>
        <v>0</v>
      </c>
      <c r="B839" s="2" t="s">
        <v>2664</v>
      </c>
      <c r="C839" s="3" t="s">
        <v>2665</v>
      </c>
      <c r="D839" s="15" t="s">
        <v>11596</v>
      </c>
      <c r="E839" s="4" t="s">
        <v>2664</v>
      </c>
      <c r="F839" s="37" t="s">
        <v>2665</v>
      </c>
      <c r="G839" s="38">
        <v>0</v>
      </c>
      <c r="H839" s="38">
        <v>0</v>
      </c>
      <c r="I839" s="15"/>
      <c r="J839" s="494">
        <v>20104020101</v>
      </c>
      <c r="K839" s="517"/>
      <c r="L839" s="517" t="s">
        <v>13490</v>
      </c>
      <c r="M839" s="517" t="s">
        <v>243</v>
      </c>
      <c r="N839" s="518" t="s">
        <v>2663</v>
      </c>
      <c r="O839" s="517">
        <v>2</v>
      </c>
      <c r="P839" s="517" t="s">
        <v>632</v>
      </c>
      <c r="Q839" s="517" t="s">
        <v>693</v>
      </c>
      <c r="R839" s="517" t="s">
        <v>647</v>
      </c>
      <c r="S839" s="517" t="s">
        <v>632</v>
      </c>
      <c r="T839" s="518" t="s">
        <v>2662</v>
      </c>
      <c r="U839" s="38">
        <v>0</v>
      </c>
      <c r="V839" s="15" t="str">
        <f t="shared" si="87"/>
        <v>201040201</v>
      </c>
      <c r="W839" s="39">
        <v>2</v>
      </c>
      <c r="X839" s="40" t="s">
        <v>632</v>
      </c>
      <c r="Y839" s="40" t="s">
        <v>693</v>
      </c>
      <c r="Z839" s="40" t="s">
        <v>647</v>
      </c>
      <c r="AA839" s="40" t="s">
        <v>632</v>
      </c>
      <c r="AB839" s="41" t="s">
        <v>2662</v>
      </c>
      <c r="AC839" s="9">
        <f>H839</f>
        <v>0</v>
      </c>
      <c r="AD839" s="517">
        <v>0</v>
      </c>
      <c r="AE839" s="517" t="s">
        <v>13490</v>
      </c>
      <c r="AF839" s="517" t="s">
        <v>243</v>
      </c>
      <c r="AG839" s="520" t="s">
        <v>2663</v>
      </c>
      <c r="AH839" s="67">
        <f>AC839</f>
        <v>0</v>
      </c>
      <c r="AI839" s="10"/>
      <c r="AJ839" s="9">
        <f t="shared" si="88"/>
        <v>0</v>
      </c>
      <c r="AK839" s="10"/>
      <c r="AL839" s="10"/>
    </row>
    <row r="840" spans="1:38" ht="22.5" hidden="1">
      <c r="A840" s="1">
        <f t="shared" si="86"/>
        <v>0</v>
      </c>
      <c r="B840" s="11"/>
      <c r="C840" s="11"/>
      <c r="D840" s="15" t="s">
        <v>16</v>
      </c>
      <c r="E840" s="30"/>
      <c r="F840" s="31" t="s">
        <v>2666</v>
      </c>
      <c r="G840" s="32">
        <f>G841</f>
        <v>0</v>
      </c>
      <c r="H840" s="32">
        <f>H841</f>
        <v>0</v>
      </c>
      <c r="I840" s="15"/>
      <c r="J840" s="494"/>
      <c r="K840" s="513"/>
      <c r="L840" s="513"/>
      <c r="M840" s="513"/>
      <c r="N840" s="514"/>
      <c r="O840" s="513"/>
      <c r="P840" s="513"/>
      <c r="Q840" s="513"/>
      <c r="R840" s="513"/>
      <c r="S840" s="513"/>
      <c r="T840" s="514"/>
      <c r="U840" s="32">
        <f>U841</f>
        <v>0</v>
      </c>
      <c r="V840" s="15" t="str">
        <f t="shared" si="87"/>
        <v>201040300</v>
      </c>
      <c r="W840" s="33">
        <v>2</v>
      </c>
      <c r="X840" s="34" t="s">
        <v>632</v>
      </c>
      <c r="Y840" s="34" t="s">
        <v>693</v>
      </c>
      <c r="Z840" s="34" t="s">
        <v>671</v>
      </c>
      <c r="AA840" s="35" t="s">
        <v>630</v>
      </c>
      <c r="AB840" s="31" t="s">
        <v>2666</v>
      </c>
      <c r="AC840" s="529">
        <f>AC841</f>
        <v>0</v>
      </c>
      <c r="AD840" s="513">
        <v>0</v>
      </c>
      <c r="AE840" s="513" t="s">
        <v>13491</v>
      </c>
      <c r="AF840" s="513" t="s">
        <v>244</v>
      </c>
      <c r="AG840" s="514" t="s">
        <v>2667</v>
      </c>
      <c r="AH840" s="44">
        <f>AH841</f>
        <v>0</v>
      </c>
      <c r="AI840" s="10"/>
      <c r="AJ840" s="9">
        <f t="shared" si="88"/>
        <v>0</v>
      </c>
      <c r="AK840" s="10"/>
      <c r="AL840" s="10"/>
    </row>
    <row r="841" spans="1:38" ht="22.5" hidden="1">
      <c r="A841" s="1">
        <f t="shared" si="86"/>
        <v>0</v>
      </c>
      <c r="B841" s="2" t="s">
        <v>2668</v>
      </c>
      <c r="C841" s="3" t="s">
        <v>2669</v>
      </c>
      <c r="D841" s="15" t="s">
        <v>11597</v>
      </c>
      <c r="E841" s="4" t="s">
        <v>2668</v>
      </c>
      <c r="F841" s="37" t="s">
        <v>2669</v>
      </c>
      <c r="G841" s="38">
        <v>0</v>
      </c>
      <c r="H841" s="38">
        <v>0</v>
      </c>
      <c r="I841" s="15"/>
      <c r="J841" s="494">
        <v>20104030101</v>
      </c>
      <c r="K841" s="517"/>
      <c r="L841" s="517" t="s">
        <v>13491</v>
      </c>
      <c r="M841" s="517" t="s">
        <v>244</v>
      </c>
      <c r="N841" s="518" t="s">
        <v>2667</v>
      </c>
      <c r="O841" s="517">
        <v>2</v>
      </c>
      <c r="P841" s="517" t="s">
        <v>632</v>
      </c>
      <c r="Q841" s="517" t="s">
        <v>693</v>
      </c>
      <c r="R841" s="517" t="s">
        <v>671</v>
      </c>
      <c r="S841" s="517" t="s">
        <v>632</v>
      </c>
      <c r="T841" s="518" t="s">
        <v>2666</v>
      </c>
      <c r="U841" s="38">
        <v>0</v>
      </c>
      <c r="V841" s="15" t="str">
        <f t="shared" si="87"/>
        <v>201040301</v>
      </c>
      <c r="W841" s="39">
        <v>2</v>
      </c>
      <c r="X841" s="40" t="s">
        <v>632</v>
      </c>
      <c r="Y841" s="40" t="s">
        <v>693</v>
      </c>
      <c r="Z841" s="40" t="s">
        <v>671</v>
      </c>
      <c r="AA841" s="40" t="s">
        <v>632</v>
      </c>
      <c r="AB841" s="41" t="s">
        <v>2666</v>
      </c>
      <c r="AC841" s="9">
        <f>H841</f>
        <v>0</v>
      </c>
      <c r="AD841" s="517">
        <v>0</v>
      </c>
      <c r="AE841" s="517" t="s">
        <v>13491</v>
      </c>
      <c r="AF841" s="517" t="s">
        <v>244</v>
      </c>
      <c r="AG841" s="520" t="s">
        <v>2667</v>
      </c>
      <c r="AH841" s="67">
        <f>AC841</f>
        <v>0</v>
      </c>
      <c r="AI841" s="10"/>
      <c r="AJ841" s="9">
        <f t="shared" si="88"/>
        <v>0</v>
      </c>
      <c r="AK841" s="10"/>
      <c r="AL841" s="10"/>
    </row>
    <row r="842" spans="1:38" ht="33.75" hidden="1">
      <c r="A842" s="1">
        <f t="shared" si="86"/>
        <v>0</v>
      </c>
      <c r="B842" s="11"/>
      <c r="C842" s="11"/>
      <c r="D842" s="15" t="s">
        <v>16</v>
      </c>
      <c r="E842" s="30"/>
      <c r="F842" s="31" t="s">
        <v>2670</v>
      </c>
      <c r="G842" s="32">
        <f>G843</f>
        <v>0</v>
      </c>
      <c r="H842" s="32">
        <f>H843</f>
        <v>0</v>
      </c>
      <c r="I842" s="15"/>
      <c r="J842" s="494"/>
      <c r="K842" s="513"/>
      <c r="L842" s="513"/>
      <c r="M842" s="513"/>
      <c r="N842" s="514"/>
      <c r="O842" s="513"/>
      <c r="P842" s="513"/>
      <c r="Q842" s="513"/>
      <c r="R842" s="513"/>
      <c r="S842" s="513"/>
      <c r="T842" s="514"/>
      <c r="U842" s="32">
        <f>U843</f>
        <v>0</v>
      </c>
      <c r="V842" s="15" t="str">
        <f t="shared" si="87"/>
        <v>201040400</v>
      </c>
      <c r="W842" s="33">
        <v>2</v>
      </c>
      <c r="X842" s="34" t="s">
        <v>632</v>
      </c>
      <c r="Y842" s="34" t="s">
        <v>693</v>
      </c>
      <c r="Z842" s="34" t="s">
        <v>693</v>
      </c>
      <c r="AA842" s="35" t="s">
        <v>630</v>
      </c>
      <c r="AB842" s="31" t="s">
        <v>2670</v>
      </c>
      <c r="AC842" s="529">
        <f>AC843</f>
        <v>0</v>
      </c>
      <c r="AD842" s="513">
        <v>0</v>
      </c>
      <c r="AE842" s="513" t="s">
        <v>13492</v>
      </c>
      <c r="AF842" s="513" t="s">
        <v>245</v>
      </c>
      <c r="AG842" s="514" t="s">
        <v>2671</v>
      </c>
      <c r="AH842" s="44">
        <f>AH843</f>
        <v>0</v>
      </c>
      <c r="AI842" s="10"/>
      <c r="AJ842" s="9">
        <f t="shared" si="88"/>
        <v>0</v>
      </c>
      <c r="AK842" s="10"/>
      <c r="AL842" s="10"/>
    </row>
    <row r="843" spans="1:38" ht="33.75" hidden="1">
      <c r="A843" s="1">
        <f t="shared" si="86"/>
        <v>0</v>
      </c>
      <c r="B843" s="2" t="s">
        <v>2672</v>
      </c>
      <c r="C843" s="3" t="s">
        <v>2673</v>
      </c>
      <c r="D843" s="15" t="s">
        <v>11598</v>
      </c>
      <c r="E843" s="4" t="s">
        <v>2672</v>
      </c>
      <c r="F843" s="37" t="s">
        <v>2673</v>
      </c>
      <c r="G843" s="38">
        <v>0</v>
      </c>
      <c r="H843" s="38">
        <v>0</v>
      </c>
      <c r="I843" s="15"/>
      <c r="J843" s="494">
        <v>20104040101</v>
      </c>
      <c r="K843" s="517"/>
      <c r="L843" s="517" t="s">
        <v>13492</v>
      </c>
      <c r="M843" s="517" t="s">
        <v>245</v>
      </c>
      <c r="N843" s="518" t="s">
        <v>2671</v>
      </c>
      <c r="O843" s="517">
        <v>2</v>
      </c>
      <c r="P843" s="517" t="s">
        <v>632</v>
      </c>
      <c r="Q843" s="517" t="s">
        <v>693</v>
      </c>
      <c r="R843" s="517" t="s">
        <v>693</v>
      </c>
      <c r="S843" s="517" t="s">
        <v>632</v>
      </c>
      <c r="T843" s="518" t="s">
        <v>2670</v>
      </c>
      <c r="U843" s="38">
        <v>0</v>
      </c>
      <c r="V843" s="15" t="str">
        <f t="shared" si="87"/>
        <v>201040401</v>
      </c>
      <c r="W843" s="39">
        <v>2</v>
      </c>
      <c r="X843" s="40" t="s">
        <v>632</v>
      </c>
      <c r="Y843" s="40" t="s">
        <v>693</v>
      </c>
      <c r="Z843" s="40" t="s">
        <v>693</v>
      </c>
      <c r="AA843" s="40" t="s">
        <v>632</v>
      </c>
      <c r="AB843" s="41" t="s">
        <v>2670</v>
      </c>
      <c r="AC843" s="9">
        <f>H843</f>
        <v>0</v>
      </c>
      <c r="AD843" s="517">
        <v>0</v>
      </c>
      <c r="AE843" s="517" t="s">
        <v>13492</v>
      </c>
      <c r="AF843" s="517" t="s">
        <v>245</v>
      </c>
      <c r="AG843" s="520" t="s">
        <v>2671</v>
      </c>
      <c r="AH843" s="67">
        <f>AC843</f>
        <v>0</v>
      </c>
      <c r="AI843" s="10"/>
      <c r="AJ843" s="9">
        <f t="shared" si="88"/>
        <v>0</v>
      </c>
      <c r="AK843" s="10"/>
      <c r="AL843" s="10"/>
    </row>
    <row r="844" spans="1:38" hidden="1">
      <c r="A844" s="1">
        <f t="shared" si="86"/>
        <v>0</v>
      </c>
      <c r="C844" s="3" t="s">
        <v>2656</v>
      </c>
      <c r="D844" s="15" t="s">
        <v>16</v>
      </c>
      <c r="E844" s="30"/>
      <c r="F844" s="31" t="s">
        <v>2674</v>
      </c>
      <c r="G844" s="32">
        <f>SUM(G845:G847)</f>
        <v>0</v>
      </c>
      <c r="H844" s="32">
        <f>SUM(H845:H847)</f>
        <v>0</v>
      </c>
      <c r="I844" s="15"/>
      <c r="J844" s="494"/>
      <c r="K844" s="513"/>
      <c r="L844" s="513"/>
      <c r="M844" s="513"/>
      <c r="N844" s="514"/>
      <c r="O844" s="513"/>
      <c r="P844" s="513"/>
      <c r="Q844" s="513"/>
      <c r="R844" s="513"/>
      <c r="S844" s="513"/>
      <c r="T844" s="514"/>
      <c r="U844" s="32">
        <f>SUM(U845:U847)</f>
        <v>0</v>
      </c>
      <c r="V844" s="15" t="str">
        <f t="shared" si="87"/>
        <v>201040500</v>
      </c>
      <c r="W844" s="33">
        <v>2</v>
      </c>
      <c r="X844" s="34" t="s">
        <v>632</v>
      </c>
      <c r="Y844" s="34" t="s">
        <v>693</v>
      </c>
      <c r="Z844" s="34" t="s">
        <v>714</v>
      </c>
      <c r="AA844" s="35" t="s">
        <v>630</v>
      </c>
      <c r="AB844" s="31" t="s">
        <v>2674</v>
      </c>
      <c r="AC844" s="529">
        <f>SUM(AC845:AC847)</f>
        <v>0</v>
      </c>
      <c r="AD844" s="513">
        <v>0</v>
      </c>
      <c r="AE844" s="513" t="s">
        <v>13493</v>
      </c>
      <c r="AF844" s="513" t="s">
        <v>246</v>
      </c>
      <c r="AG844" s="514" t="s">
        <v>2675</v>
      </c>
      <c r="AH844" s="44">
        <f>SUM(AH845:AH847)</f>
        <v>0</v>
      </c>
      <c r="AI844" s="10"/>
      <c r="AJ844" s="9">
        <f t="shared" si="88"/>
        <v>0</v>
      </c>
      <c r="AK844" s="10"/>
      <c r="AL844" s="10"/>
    </row>
    <row r="845" spans="1:38" ht="22.5" hidden="1">
      <c r="A845" s="1">
        <f t="shared" si="86"/>
        <v>0</v>
      </c>
      <c r="B845" s="2" t="s">
        <v>2676</v>
      </c>
      <c r="C845" s="3" t="s">
        <v>2677</v>
      </c>
      <c r="D845" s="15" t="s">
        <v>11599</v>
      </c>
      <c r="E845" s="4" t="s">
        <v>2676</v>
      </c>
      <c r="F845" s="37" t="s">
        <v>2677</v>
      </c>
      <c r="G845" s="38">
        <v>0</v>
      </c>
      <c r="H845" s="38">
        <v>0</v>
      </c>
      <c r="I845" s="15"/>
      <c r="J845" s="494">
        <v>20104050101</v>
      </c>
      <c r="K845" s="517"/>
      <c r="L845" s="517" t="s">
        <v>13493</v>
      </c>
      <c r="M845" s="517" t="s">
        <v>246</v>
      </c>
      <c r="N845" s="518" t="s">
        <v>2675</v>
      </c>
      <c r="O845" s="517">
        <v>2</v>
      </c>
      <c r="P845" s="517" t="s">
        <v>632</v>
      </c>
      <c r="Q845" s="517" t="s">
        <v>693</v>
      </c>
      <c r="R845" s="517" t="s">
        <v>714</v>
      </c>
      <c r="S845" s="517" t="s">
        <v>632</v>
      </c>
      <c r="T845" s="518" t="s">
        <v>2674</v>
      </c>
      <c r="U845" s="38">
        <v>0</v>
      </c>
      <c r="V845" s="15" t="str">
        <f t="shared" si="87"/>
        <v>201040501</v>
      </c>
      <c r="W845" s="39">
        <v>2</v>
      </c>
      <c r="X845" s="40" t="s">
        <v>632</v>
      </c>
      <c r="Y845" s="40" t="s">
        <v>693</v>
      </c>
      <c r="Z845" s="40" t="s">
        <v>714</v>
      </c>
      <c r="AA845" s="40" t="s">
        <v>632</v>
      </c>
      <c r="AB845" s="41" t="s">
        <v>2674</v>
      </c>
      <c r="AC845" s="519">
        <f>SUM(H845:H847)</f>
        <v>0</v>
      </c>
      <c r="AD845" s="517">
        <v>0</v>
      </c>
      <c r="AE845" s="517" t="s">
        <v>13493</v>
      </c>
      <c r="AF845" s="517" t="s">
        <v>246</v>
      </c>
      <c r="AG845" s="520" t="s">
        <v>2675</v>
      </c>
      <c r="AH845" s="67">
        <f>AC845</f>
        <v>0</v>
      </c>
      <c r="AI845" s="10"/>
      <c r="AJ845" s="9"/>
      <c r="AK845" s="10"/>
      <c r="AL845" s="10"/>
    </row>
    <row r="846" spans="1:38" ht="22.5" hidden="1">
      <c r="A846" s="1">
        <f t="shared" si="86"/>
        <v>0</v>
      </c>
      <c r="B846" s="2" t="s">
        <v>2678</v>
      </c>
      <c r="C846" s="3" t="s">
        <v>2679</v>
      </c>
      <c r="D846" s="15" t="s">
        <v>11599</v>
      </c>
      <c r="E846" s="4" t="s">
        <v>2678</v>
      </c>
      <c r="F846" s="37" t="s">
        <v>2679</v>
      </c>
      <c r="G846" s="38">
        <v>0</v>
      </c>
      <c r="H846" s="38">
        <v>0</v>
      </c>
      <c r="I846" s="15"/>
      <c r="J846" s="494">
        <v>20104050102</v>
      </c>
      <c r="K846" s="517"/>
      <c r="L846" s="517" t="s">
        <v>13493</v>
      </c>
      <c r="M846" s="517" t="s">
        <v>246</v>
      </c>
      <c r="N846" s="518" t="s">
        <v>2675</v>
      </c>
      <c r="O846" s="517">
        <v>2</v>
      </c>
      <c r="P846" s="517" t="s">
        <v>632</v>
      </c>
      <c r="Q846" s="517" t="s">
        <v>693</v>
      </c>
      <c r="R846" s="517" t="s">
        <v>714</v>
      </c>
      <c r="S846" s="517" t="s">
        <v>632</v>
      </c>
      <c r="T846" s="518" t="s">
        <v>2674</v>
      </c>
      <c r="U846" s="38">
        <v>0</v>
      </c>
      <c r="V846" s="15" t="str">
        <f t="shared" si="87"/>
        <v/>
      </c>
      <c r="W846" s="1"/>
      <c r="X846" s="1"/>
      <c r="Y846" s="1"/>
      <c r="Z846" s="1"/>
      <c r="AA846" s="1"/>
      <c r="AB846" s="3"/>
      <c r="AC846" s="9"/>
      <c r="AD846" s="517" t="e">
        <v>#N/A</v>
      </c>
      <c r="AE846" s="517" t="e">
        <v>#N/A</v>
      </c>
      <c r="AF846" s="517" t="e">
        <v>#N/A</v>
      </c>
      <c r="AG846" s="520" t="e">
        <v>#N/A</v>
      </c>
      <c r="AH846" s="9"/>
      <c r="AI846" s="10"/>
      <c r="AJ846" s="9"/>
      <c r="AK846" s="10"/>
      <c r="AL846" s="10"/>
    </row>
    <row r="847" spans="1:38" ht="22.5" hidden="1">
      <c r="A847" s="1">
        <f t="shared" si="86"/>
        <v>0</v>
      </c>
      <c r="B847" s="2" t="s">
        <v>2680</v>
      </c>
      <c r="C847" s="3" t="s">
        <v>2681</v>
      </c>
      <c r="D847" s="15" t="s">
        <v>11599</v>
      </c>
      <c r="E847" s="4" t="s">
        <v>2680</v>
      </c>
      <c r="F847" s="37" t="s">
        <v>2681</v>
      </c>
      <c r="G847" s="38">
        <v>0</v>
      </c>
      <c r="H847" s="38">
        <v>0</v>
      </c>
      <c r="I847" s="15"/>
      <c r="J847" s="494">
        <v>20104050103</v>
      </c>
      <c r="K847" s="517"/>
      <c r="L847" s="517" t="s">
        <v>13493</v>
      </c>
      <c r="M847" s="517" t="s">
        <v>246</v>
      </c>
      <c r="N847" s="518" t="s">
        <v>2675</v>
      </c>
      <c r="O847" s="517">
        <v>2</v>
      </c>
      <c r="P847" s="517" t="s">
        <v>632</v>
      </c>
      <c r="Q847" s="517" t="s">
        <v>693</v>
      </c>
      <c r="R847" s="517" t="s">
        <v>714</v>
      </c>
      <c r="S847" s="517" t="s">
        <v>632</v>
      </c>
      <c r="T847" s="518" t="s">
        <v>2674</v>
      </c>
      <c r="U847" s="38">
        <v>0</v>
      </c>
      <c r="V847" s="15" t="str">
        <f t="shared" si="87"/>
        <v/>
      </c>
      <c r="W847" s="1"/>
      <c r="X847" s="1"/>
      <c r="Y847" s="1"/>
      <c r="Z847" s="1"/>
      <c r="AA847" s="1"/>
      <c r="AB847" s="3"/>
      <c r="AC847" s="9"/>
      <c r="AD847" s="517" t="e">
        <v>#N/A</v>
      </c>
      <c r="AE847" s="517" t="e">
        <v>#N/A</v>
      </c>
      <c r="AF847" s="517" t="e">
        <v>#N/A</v>
      </c>
      <c r="AG847" s="520" t="e">
        <v>#N/A</v>
      </c>
      <c r="AH847" s="9"/>
      <c r="AI847" s="10"/>
      <c r="AJ847" s="9"/>
      <c r="AK847" s="10"/>
      <c r="AL847" s="10"/>
    </row>
    <row r="848" spans="1:38" ht="22.5" hidden="1">
      <c r="A848" s="1">
        <f t="shared" si="86"/>
        <v>0</v>
      </c>
      <c r="B848" s="11"/>
      <c r="C848" s="11"/>
      <c r="D848" s="15" t="s">
        <v>16</v>
      </c>
      <c r="E848" s="24"/>
      <c r="F848" s="25" t="s">
        <v>2682</v>
      </c>
      <c r="G848" s="26">
        <f>G849+G851+G853</f>
        <v>0</v>
      </c>
      <c r="H848" s="26">
        <f>H849+H851+H853</f>
        <v>0</v>
      </c>
      <c r="I848" s="15"/>
      <c r="J848" s="494"/>
      <c r="K848" s="509"/>
      <c r="L848" s="509"/>
      <c r="M848" s="509"/>
      <c r="N848" s="510"/>
      <c r="O848" s="509"/>
      <c r="P848" s="509"/>
      <c r="Q848" s="509"/>
      <c r="R848" s="509"/>
      <c r="S848" s="509"/>
      <c r="T848" s="510"/>
      <c r="U848" s="26">
        <f>U849+U851+U853</f>
        <v>0</v>
      </c>
      <c r="V848" s="15" t="str">
        <f t="shared" si="87"/>
        <v>201050000</v>
      </c>
      <c r="W848" s="27">
        <v>2</v>
      </c>
      <c r="X848" s="28" t="s">
        <v>632</v>
      </c>
      <c r="Y848" s="28" t="s">
        <v>714</v>
      </c>
      <c r="Z848" s="28" t="s">
        <v>630</v>
      </c>
      <c r="AA848" s="28" t="s">
        <v>630</v>
      </c>
      <c r="AB848" s="25" t="s">
        <v>2682</v>
      </c>
      <c r="AC848" s="530">
        <f>AC849+AC851+AC853</f>
        <v>0</v>
      </c>
      <c r="AD848" s="509">
        <v>0</v>
      </c>
      <c r="AE848" s="509" t="s">
        <v>13494</v>
      </c>
      <c r="AF848" s="509" t="s">
        <v>247</v>
      </c>
      <c r="AG848" s="510" t="s">
        <v>2683</v>
      </c>
      <c r="AH848" s="53">
        <f>AH849+AH851+AH853</f>
        <v>0</v>
      </c>
      <c r="AI848" s="10"/>
      <c r="AJ848" s="9">
        <f t="shared" ref="AJ848:AJ868" si="89">AH848-H848</f>
        <v>0</v>
      </c>
      <c r="AK848" s="10"/>
      <c r="AL848" s="10"/>
    </row>
    <row r="849" spans="1:38" ht="33.75" hidden="1">
      <c r="A849" s="1">
        <f t="shared" si="86"/>
        <v>0</v>
      </c>
      <c r="C849" s="3" t="s">
        <v>2669</v>
      </c>
      <c r="D849" s="15" t="s">
        <v>16</v>
      </c>
      <c r="E849" s="30"/>
      <c r="F849" s="31" t="s">
        <v>2684</v>
      </c>
      <c r="G849" s="32">
        <f>G850</f>
        <v>0</v>
      </c>
      <c r="H849" s="32">
        <f>H850</f>
        <v>0</v>
      </c>
      <c r="I849" s="15"/>
      <c r="J849" s="494"/>
      <c r="K849" s="513"/>
      <c r="L849" s="513"/>
      <c r="M849" s="513"/>
      <c r="N849" s="514"/>
      <c r="O849" s="513"/>
      <c r="P849" s="513"/>
      <c r="Q849" s="513"/>
      <c r="R849" s="513"/>
      <c r="S849" s="513"/>
      <c r="T849" s="514"/>
      <c r="U849" s="32">
        <f>U850</f>
        <v>0</v>
      </c>
      <c r="V849" s="15" t="str">
        <f t="shared" si="87"/>
        <v>201050100</v>
      </c>
      <c r="W849" s="33">
        <v>2</v>
      </c>
      <c r="X849" s="34" t="s">
        <v>632</v>
      </c>
      <c r="Y849" s="34" t="s">
        <v>714</v>
      </c>
      <c r="Z849" s="34" t="s">
        <v>632</v>
      </c>
      <c r="AA849" s="35" t="s">
        <v>630</v>
      </c>
      <c r="AB849" s="31" t="s">
        <v>2684</v>
      </c>
      <c r="AC849" s="529">
        <f>AC850</f>
        <v>0</v>
      </c>
      <c r="AD849" s="513">
        <v>0</v>
      </c>
      <c r="AE849" s="513" t="s">
        <v>13495</v>
      </c>
      <c r="AF849" s="513" t="s">
        <v>248</v>
      </c>
      <c r="AG849" s="514" t="s">
        <v>2685</v>
      </c>
      <c r="AH849" s="44">
        <f>AH850</f>
        <v>0</v>
      </c>
      <c r="AI849" s="10"/>
      <c r="AJ849" s="9">
        <f t="shared" si="89"/>
        <v>0</v>
      </c>
      <c r="AK849" s="10"/>
      <c r="AL849" s="10"/>
    </row>
    <row r="850" spans="1:38" ht="33.75" hidden="1">
      <c r="A850" s="1">
        <f t="shared" si="86"/>
        <v>0</v>
      </c>
      <c r="B850" s="2" t="s">
        <v>2686</v>
      </c>
      <c r="C850" s="3" t="s">
        <v>2687</v>
      </c>
      <c r="D850" s="15" t="s">
        <v>11600</v>
      </c>
      <c r="E850" s="77" t="s">
        <v>2686</v>
      </c>
      <c r="F850" s="52" t="s">
        <v>2688</v>
      </c>
      <c r="G850" s="38">
        <v>0</v>
      </c>
      <c r="H850" s="38">
        <v>0</v>
      </c>
      <c r="I850" s="15"/>
      <c r="J850" s="494">
        <v>20105010101</v>
      </c>
      <c r="K850" s="517"/>
      <c r="L850" s="517" t="s">
        <v>13495</v>
      </c>
      <c r="M850" s="517" t="s">
        <v>248</v>
      </c>
      <c r="N850" s="518" t="s">
        <v>2685</v>
      </c>
      <c r="O850" s="517">
        <v>2</v>
      </c>
      <c r="P850" s="517" t="s">
        <v>632</v>
      </c>
      <c r="Q850" s="517" t="s">
        <v>714</v>
      </c>
      <c r="R850" s="517" t="s">
        <v>632</v>
      </c>
      <c r="S850" s="517" t="s">
        <v>632</v>
      </c>
      <c r="T850" s="518" t="s">
        <v>2684</v>
      </c>
      <c r="U850" s="38">
        <v>0</v>
      </c>
      <c r="V850" s="15" t="str">
        <f t="shared" si="87"/>
        <v>201050101</v>
      </c>
      <c r="W850" s="39">
        <v>2</v>
      </c>
      <c r="X850" s="40" t="s">
        <v>632</v>
      </c>
      <c r="Y850" s="40" t="s">
        <v>714</v>
      </c>
      <c r="Z850" s="40" t="s">
        <v>632</v>
      </c>
      <c r="AA850" s="40" t="s">
        <v>632</v>
      </c>
      <c r="AB850" s="41" t="s">
        <v>2684</v>
      </c>
      <c r="AC850" s="9">
        <f>H850</f>
        <v>0</v>
      </c>
      <c r="AD850" s="517">
        <v>0</v>
      </c>
      <c r="AE850" s="517" t="s">
        <v>13495</v>
      </c>
      <c r="AF850" s="517" t="s">
        <v>248</v>
      </c>
      <c r="AG850" s="520" t="s">
        <v>2685</v>
      </c>
      <c r="AH850" s="67">
        <f>AC850</f>
        <v>0</v>
      </c>
      <c r="AI850" s="10"/>
      <c r="AJ850" s="9">
        <f t="shared" si="89"/>
        <v>0</v>
      </c>
      <c r="AK850" s="10"/>
      <c r="AL850" s="10"/>
    </row>
    <row r="851" spans="1:38" ht="45" hidden="1">
      <c r="A851" s="1">
        <f t="shared" ref="A851:A914" si="90">IF(E851=B851,0,1)</f>
        <v>0</v>
      </c>
      <c r="C851" s="3" t="s">
        <v>2673</v>
      </c>
      <c r="D851" s="15" t="s">
        <v>16</v>
      </c>
      <c r="E851" s="30"/>
      <c r="F851" s="31" t="s">
        <v>2688</v>
      </c>
      <c r="G851" s="32">
        <f>G852</f>
        <v>0</v>
      </c>
      <c r="H851" s="32">
        <f>H852</f>
        <v>0</v>
      </c>
      <c r="I851" s="15"/>
      <c r="J851" s="494"/>
      <c r="K851" s="513"/>
      <c r="L851" s="513"/>
      <c r="M851" s="513"/>
      <c r="N851" s="514"/>
      <c r="O851" s="513"/>
      <c r="P851" s="513"/>
      <c r="Q851" s="513"/>
      <c r="R851" s="513"/>
      <c r="S851" s="513"/>
      <c r="T851" s="514"/>
      <c r="U851" s="32">
        <f>U852</f>
        <v>0</v>
      </c>
      <c r="V851" s="15" t="str">
        <f t="shared" si="87"/>
        <v>201050200</v>
      </c>
      <c r="W851" s="33">
        <v>2</v>
      </c>
      <c r="X851" s="34" t="s">
        <v>632</v>
      </c>
      <c r="Y851" s="34" t="s">
        <v>714</v>
      </c>
      <c r="Z851" s="34" t="s">
        <v>647</v>
      </c>
      <c r="AA851" s="35" t="s">
        <v>630</v>
      </c>
      <c r="AB851" s="31" t="s">
        <v>2688</v>
      </c>
      <c r="AC851" s="529">
        <f>AC852</f>
        <v>0</v>
      </c>
      <c r="AD851" s="513">
        <v>0</v>
      </c>
      <c r="AE851" s="513" t="s">
        <v>13496</v>
      </c>
      <c r="AF851" s="513" t="s">
        <v>249</v>
      </c>
      <c r="AG851" s="514" t="s">
        <v>2689</v>
      </c>
      <c r="AH851" s="44">
        <f>AH852</f>
        <v>0</v>
      </c>
      <c r="AI851" s="10"/>
      <c r="AJ851" s="9">
        <f t="shared" si="89"/>
        <v>0</v>
      </c>
      <c r="AK851" s="10"/>
      <c r="AL851" s="10"/>
    </row>
    <row r="852" spans="1:38" ht="45" hidden="1">
      <c r="A852" s="1">
        <f t="shared" si="90"/>
        <v>0</v>
      </c>
      <c r="B852" s="2" t="s">
        <v>2690</v>
      </c>
      <c r="C852" s="3" t="s">
        <v>2691</v>
      </c>
      <c r="D852" s="15" t="s">
        <v>11601</v>
      </c>
      <c r="E852" s="4" t="s">
        <v>2690</v>
      </c>
      <c r="F852" s="37" t="s">
        <v>2691</v>
      </c>
      <c r="G852" s="38">
        <v>0</v>
      </c>
      <c r="H852" s="38">
        <v>0</v>
      </c>
      <c r="I852" s="15"/>
      <c r="J852" s="494">
        <v>20105020101</v>
      </c>
      <c r="K852" s="517"/>
      <c r="L852" s="517" t="s">
        <v>13496</v>
      </c>
      <c r="M852" s="517" t="s">
        <v>249</v>
      </c>
      <c r="N852" s="518" t="s">
        <v>2689</v>
      </c>
      <c r="O852" s="517">
        <v>2</v>
      </c>
      <c r="P852" s="517" t="s">
        <v>632</v>
      </c>
      <c r="Q852" s="517" t="s">
        <v>714</v>
      </c>
      <c r="R852" s="517" t="s">
        <v>647</v>
      </c>
      <c r="S852" s="517" t="s">
        <v>632</v>
      </c>
      <c r="T852" s="518" t="s">
        <v>2688</v>
      </c>
      <c r="U852" s="38">
        <v>0</v>
      </c>
      <c r="V852" s="15" t="str">
        <f t="shared" si="87"/>
        <v>201050201</v>
      </c>
      <c r="W852" s="39">
        <v>2</v>
      </c>
      <c r="X852" s="40" t="s">
        <v>632</v>
      </c>
      <c r="Y852" s="40" t="s">
        <v>714</v>
      </c>
      <c r="Z852" s="40" t="s">
        <v>647</v>
      </c>
      <c r="AA852" s="40" t="s">
        <v>632</v>
      </c>
      <c r="AB852" s="41" t="s">
        <v>2688</v>
      </c>
      <c r="AC852" s="9">
        <f>H852</f>
        <v>0</v>
      </c>
      <c r="AD852" s="517">
        <v>0</v>
      </c>
      <c r="AE852" s="517" t="s">
        <v>13496</v>
      </c>
      <c r="AF852" s="517" t="s">
        <v>249</v>
      </c>
      <c r="AG852" s="520" t="s">
        <v>2689</v>
      </c>
      <c r="AH852" s="67">
        <f>AC852</f>
        <v>0</v>
      </c>
      <c r="AI852" s="10"/>
      <c r="AJ852" s="9">
        <f t="shared" si="89"/>
        <v>0</v>
      </c>
      <c r="AK852" s="10"/>
      <c r="AL852" s="10"/>
    </row>
    <row r="853" spans="1:38" hidden="1">
      <c r="A853" s="1">
        <f t="shared" si="90"/>
        <v>0</v>
      </c>
      <c r="C853" s="3" t="s">
        <v>2692</v>
      </c>
      <c r="D853" s="15" t="s">
        <v>16</v>
      </c>
      <c r="E853" s="30"/>
      <c r="F853" s="31" t="s">
        <v>36</v>
      </c>
      <c r="G853" s="32">
        <f>SUM(G854:G865)</f>
        <v>0</v>
      </c>
      <c r="H853" s="32">
        <f>SUM(H854:H865)</f>
        <v>0</v>
      </c>
      <c r="I853" s="15"/>
      <c r="J853" s="494"/>
      <c r="K853" s="513"/>
      <c r="L853" s="513"/>
      <c r="M853" s="513"/>
      <c r="N853" s="514"/>
      <c r="O853" s="513"/>
      <c r="P853" s="513"/>
      <c r="Q853" s="513"/>
      <c r="R853" s="513"/>
      <c r="S853" s="513"/>
      <c r="T853" s="514"/>
      <c r="U853" s="32">
        <f>SUM(U854:U865)</f>
        <v>0</v>
      </c>
      <c r="V853" s="15" t="str">
        <f t="shared" si="87"/>
        <v>201050300</v>
      </c>
      <c r="W853" s="33">
        <v>2</v>
      </c>
      <c r="X853" s="34" t="s">
        <v>632</v>
      </c>
      <c r="Y853" s="34" t="s">
        <v>714</v>
      </c>
      <c r="Z853" s="34" t="s">
        <v>671</v>
      </c>
      <c r="AA853" s="35" t="s">
        <v>630</v>
      </c>
      <c r="AB853" s="31" t="s">
        <v>36</v>
      </c>
      <c r="AC853" s="529">
        <f>SUM(AC854:AC865)</f>
        <v>0</v>
      </c>
      <c r="AD853" s="513">
        <v>0</v>
      </c>
      <c r="AE853" s="513" t="s">
        <v>13497</v>
      </c>
      <c r="AF853" s="513" t="s">
        <v>250</v>
      </c>
      <c r="AG853" s="514" t="s">
        <v>2693</v>
      </c>
      <c r="AH853" s="44">
        <f>SUM(AH854:AH865)</f>
        <v>0</v>
      </c>
      <c r="AI853" s="10"/>
      <c r="AJ853" s="9">
        <f t="shared" si="89"/>
        <v>0</v>
      </c>
      <c r="AK853" s="10"/>
      <c r="AL853" s="10"/>
    </row>
    <row r="854" spans="1:38" ht="22.5" hidden="1">
      <c r="A854" s="1">
        <f t="shared" si="90"/>
        <v>0</v>
      </c>
      <c r="B854" s="2" t="s">
        <v>2694</v>
      </c>
      <c r="C854" s="3" t="s">
        <v>2695</v>
      </c>
      <c r="D854" s="15" t="s">
        <v>11602</v>
      </c>
      <c r="E854" s="4" t="s">
        <v>2694</v>
      </c>
      <c r="F854" s="37" t="s">
        <v>2695</v>
      </c>
      <c r="G854" s="38">
        <v>0</v>
      </c>
      <c r="H854" s="38">
        <v>0</v>
      </c>
      <c r="I854" s="15"/>
      <c r="J854" s="494">
        <v>20105030101</v>
      </c>
      <c r="K854" s="517"/>
      <c r="L854" s="517" t="s">
        <v>13497</v>
      </c>
      <c r="M854" s="517" t="s">
        <v>250</v>
      </c>
      <c r="N854" s="518" t="s">
        <v>2693</v>
      </c>
      <c r="O854" s="517">
        <v>2</v>
      </c>
      <c r="P854" s="517" t="s">
        <v>632</v>
      </c>
      <c r="Q854" s="517" t="s">
        <v>714</v>
      </c>
      <c r="R854" s="517" t="s">
        <v>671</v>
      </c>
      <c r="S854" s="517" t="s">
        <v>632</v>
      </c>
      <c r="T854" s="518" t="s">
        <v>2696</v>
      </c>
      <c r="U854" s="38">
        <v>0</v>
      </c>
      <c r="V854" s="15" t="str">
        <f t="shared" si="87"/>
        <v>201050301</v>
      </c>
      <c r="W854" s="39">
        <v>2</v>
      </c>
      <c r="X854" s="40" t="s">
        <v>632</v>
      </c>
      <c r="Y854" s="40" t="s">
        <v>714</v>
      </c>
      <c r="Z854" s="40" t="s">
        <v>671</v>
      </c>
      <c r="AA854" s="40" t="s">
        <v>632</v>
      </c>
      <c r="AB854" s="41" t="s">
        <v>2696</v>
      </c>
      <c r="AC854" s="9">
        <f>SUM(H854:H865)</f>
        <v>0</v>
      </c>
      <c r="AD854" s="517">
        <v>0</v>
      </c>
      <c r="AE854" s="517" t="s">
        <v>13497</v>
      </c>
      <c r="AF854" s="517" t="s">
        <v>250</v>
      </c>
      <c r="AG854" s="520" t="s">
        <v>2693</v>
      </c>
      <c r="AH854" s="67">
        <f>AC854</f>
        <v>0</v>
      </c>
      <c r="AI854" s="10"/>
      <c r="AJ854" s="9">
        <f t="shared" si="89"/>
        <v>0</v>
      </c>
      <c r="AK854" s="10"/>
      <c r="AL854" s="10"/>
    </row>
    <row r="855" spans="1:38" ht="22.5" hidden="1">
      <c r="A855" s="1">
        <f t="shared" si="90"/>
        <v>0</v>
      </c>
      <c r="B855" s="2" t="s">
        <v>2697</v>
      </c>
      <c r="C855" s="3" t="s">
        <v>2698</v>
      </c>
      <c r="D855" s="15" t="s">
        <v>11602</v>
      </c>
      <c r="E855" s="4" t="s">
        <v>2697</v>
      </c>
      <c r="F855" s="37" t="s">
        <v>2698</v>
      </c>
      <c r="G855" s="38">
        <v>0</v>
      </c>
      <c r="H855" s="38">
        <v>0</v>
      </c>
      <c r="I855" s="15"/>
      <c r="J855" s="494">
        <v>20105030102</v>
      </c>
      <c r="K855" s="517"/>
      <c r="L855" s="517" t="s">
        <v>13497</v>
      </c>
      <c r="M855" s="517" t="s">
        <v>250</v>
      </c>
      <c r="N855" s="518" t="s">
        <v>2693</v>
      </c>
      <c r="O855" s="517">
        <v>2</v>
      </c>
      <c r="P855" s="517" t="s">
        <v>632</v>
      </c>
      <c r="Q855" s="517" t="s">
        <v>714</v>
      </c>
      <c r="R855" s="517" t="s">
        <v>671</v>
      </c>
      <c r="S855" s="517" t="s">
        <v>632</v>
      </c>
      <c r="T855" s="518" t="s">
        <v>2696</v>
      </c>
      <c r="U855" s="38">
        <v>0</v>
      </c>
      <c r="V855" s="15" t="str">
        <f t="shared" si="87"/>
        <v/>
      </c>
      <c r="W855" s="1"/>
      <c r="X855" s="1"/>
      <c r="Y855" s="1"/>
      <c r="Z855" s="1"/>
      <c r="AA855" s="1"/>
      <c r="AB855" s="3"/>
      <c r="AC855" s="9"/>
      <c r="AD855" s="517" t="e">
        <v>#N/A</v>
      </c>
      <c r="AE855" s="517" t="e">
        <v>#N/A</v>
      </c>
      <c r="AF855" s="517" t="e">
        <v>#N/A</v>
      </c>
      <c r="AG855" s="520" t="e">
        <v>#N/A</v>
      </c>
      <c r="AH855" s="9"/>
      <c r="AI855" s="10"/>
      <c r="AJ855" s="9">
        <f t="shared" si="89"/>
        <v>0</v>
      </c>
      <c r="AK855" s="10"/>
      <c r="AL855" s="10"/>
    </row>
    <row r="856" spans="1:38" ht="22.5" hidden="1">
      <c r="A856" s="1">
        <f t="shared" si="90"/>
        <v>0</v>
      </c>
      <c r="B856" s="2" t="s">
        <v>2699</v>
      </c>
      <c r="C856" s="3" t="s">
        <v>2700</v>
      </c>
      <c r="D856" s="15" t="s">
        <v>11602</v>
      </c>
      <c r="E856" s="4" t="s">
        <v>2699</v>
      </c>
      <c r="F856" s="37" t="s">
        <v>2700</v>
      </c>
      <c r="G856" s="38">
        <v>0</v>
      </c>
      <c r="H856" s="38">
        <v>0</v>
      </c>
      <c r="I856" s="15"/>
      <c r="J856" s="494">
        <v>20105030103</v>
      </c>
      <c r="K856" s="517"/>
      <c r="L856" s="517" t="s">
        <v>13497</v>
      </c>
      <c r="M856" s="517" t="s">
        <v>250</v>
      </c>
      <c r="N856" s="518" t="s">
        <v>2693</v>
      </c>
      <c r="O856" s="517">
        <v>2</v>
      </c>
      <c r="P856" s="517" t="s">
        <v>632</v>
      </c>
      <c r="Q856" s="517" t="s">
        <v>714</v>
      </c>
      <c r="R856" s="517" t="s">
        <v>671</v>
      </c>
      <c r="S856" s="517" t="s">
        <v>632</v>
      </c>
      <c r="T856" s="518" t="s">
        <v>2696</v>
      </c>
      <c r="U856" s="38">
        <v>0</v>
      </c>
      <c r="V856" s="15" t="str">
        <f t="shared" si="87"/>
        <v/>
      </c>
      <c r="W856" s="1"/>
      <c r="X856" s="1"/>
      <c r="Y856" s="1"/>
      <c r="Z856" s="1"/>
      <c r="AA856" s="1"/>
      <c r="AB856" s="3"/>
      <c r="AC856" s="9"/>
      <c r="AD856" s="517" t="e">
        <v>#N/A</v>
      </c>
      <c r="AE856" s="517" t="e">
        <v>#N/A</v>
      </c>
      <c r="AF856" s="517" t="e">
        <v>#N/A</v>
      </c>
      <c r="AG856" s="520" t="e">
        <v>#N/A</v>
      </c>
      <c r="AH856" s="9"/>
      <c r="AI856" s="10"/>
      <c r="AJ856" s="9">
        <f t="shared" si="89"/>
        <v>0</v>
      </c>
      <c r="AK856" s="10"/>
      <c r="AL856" s="10"/>
    </row>
    <row r="857" spans="1:38" ht="22.5" hidden="1">
      <c r="A857" s="1">
        <f t="shared" si="90"/>
        <v>0</v>
      </c>
      <c r="B857" s="2" t="s">
        <v>2701</v>
      </c>
      <c r="C857" s="3" t="s">
        <v>2702</v>
      </c>
      <c r="D857" s="15" t="s">
        <v>11602</v>
      </c>
      <c r="E857" s="4" t="s">
        <v>2701</v>
      </c>
      <c r="F857" s="37" t="s">
        <v>2702</v>
      </c>
      <c r="G857" s="38">
        <v>0</v>
      </c>
      <c r="H857" s="38">
        <v>0</v>
      </c>
      <c r="I857" s="15"/>
      <c r="J857" s="494">
        <v>20105030104</v>
      </c>
      <c r="K857" s="517"/>
      <c r="L857" s="517" t="s">
        <v>13497</v>
      </c>
      <c r="M857" s="517" t="s">
        <v>250</v>
      </c>
      <c r="N857" s="518" t="s">
        <v>2693</v>
      </c>
      <c r="O857" s="517">
        <v>2</v>
      </c>
      <c r="P857" s="517" t="s">
        <v>632</v>
      </c>
      <c r="Q857" s="517" t="s">
        <v>714</v>
      </c>
      <c r="R857" s="517" t="s">
        <v>671</v>
      </c>
      <c r="S857" s="517" t="s">
        <v>632</v>
      </c>
      <c r="T857" s="518" t="s">
        <v>2696</v>
      </c>
      <c r="U857" s="38">
        <v>0</v>
      </c>
      <c r="V857" s="15" t="str">
        <f t="shared" si="87"/>
        <v/>
      </c>
      <c r="W857" s="1"/>
      <c r="X857" s="1"/>
      <c r="Y857" s="1"/>
      <c r="Z857" s="1"/>
      <c r="AA857" s="1"/>
      <c r="AB857" s="3"/>
      <c r="AC857" s="9"/>
      <c r="AD857" s="517" t="e">
        <v>#N/A</v>
      </c>
      <c r="AE857" s="517" t="e">
        <v>#N/A</v>
      </c>
      <c r="AF857" s="517" t="e">
        <v>#N/A</v>
      </c>
      <c r="AG857" s="520" t="e">
        <v>#N/A</v>
      </c>
      <c r="AH857" s="9"/>
      <c r="AI857" s="10"/>
      <c r="AJ857" s="9">
        <f t="shared" si="89"/>
        <v>0</v>
      </c>
      <c r="AK857" s="10"/>
      <c r="AL857" s="10"/>
    </row>
    <row r="858" spans="1:38" ht="22.5" hidden="1">
      <c r="A858" s="1">
        <f t="shared" si="90"/>
        <v>0</v>
      </c>
      <c r="B858" s="2" t="s">
        <v>2703</v>
      </c>
      <c r="C858" s="3" t="s">
        <v>2704</v>
      </c>
      <c r="D858" s="15" t="s">
        <v>11602</v>
      </c>
      <c r="E858" s="4" t="s">
        <v>2703</v>
      </c>
      <c r="F858" s="37" t="s">
        <v>2704</v>
      </c>
      <c r="G858" s="38">
        <v>0</v>
      </c>
      <c r="H858" s="38">
        <v>0</v>
      </c>
      <c r="I858" s="15"/>
      <c r="J858" s="494">
        <v>20105030105</v>
      </c>
      <c r="K858" s="517"/>
      <c r="L858" s="517" t="s">
        <v>13497</v>
      </c>
      <c r="M858" s="517" t="s">
        <v>250</v>
      </c>
      <c r="N858" s="518" t="s">
        <v>2693</v>
      </c>
      <c r="O858" s="517">
        <v>2</v>
      </c>
      <c r="P858" s="517" t="s">
        <v>632</v>
      </c>
      <c r="Q858" s="517" t="s">
        <v>714</v>
      </c>
      <c r="R858" s="517" t="s">
        <v>671</v>
      </c>
      <c r="S858" s="517" t="s">
        <v>632</v>
      </c>
      <c r="T858" s="518" t="s">
        <v>2696</v>
      </c>
      <c r="U858" s="38">
        <v>0</v>
      </c>
      <c r="V858" s="15" t="str">
        <f t="shared" si="87"/>
        <v/>
      </c>
      <c r="W858" s="1"/>
      <c r="X858" s="1"/>
      <c r="Y858" s="1"/>
      <c r="Z858" s="1"/>
      <c r="AA858" s="1"/>
      <c r="AB858" s="3"/>
      <c r="AC858" s="9"/>
      <c r="AD858" s="517" t="e">
        <v>#N/A</v>
      </c>
      <c r="AE858" s="517" t="e">
        <v>#N/A</v>
      </c>
      <c r="AF858" s="517" t="e">
        <v>#N/A</v>
      </c>
      <c r="AG858" s="520" t="e">
        <v>#N/A</v>
      </c>
      <c r="AH858" s="9"/>
      <c r="AI858" s="10"/>
      <c r="AJ858" s="9">
        <f t="shared" si="89"/>
        <v>0</v>
      </c>
      <c r="AK858" s="10"/>
      <c r="AL858" s="10"/>
    </row>
    <row r="859" spans="1:38" ht="22.5" hidden="1">
      <c r="A859" s="1">
        <f t="shared" si="90"/>
        <v>0</v>
      </c>
      <c r="B859" s="2" t="s">
        <v>2705</v>
      </c>
      <c r="C859" s="3" t="s">
        <v>2706</v>
      </c>
      <c r="D859" s="15" t="s">
        <v>11602</v>
      </c>
      <c r="E859" s="4" t="s">
        <v>2705</v>
      </c>
      <c r="F859" s="37" t="s">
        <v>2706</v>
      </c>
      <c r="G859" s="38">
        <v>0</v>
      </c>
      <c r="H859" s="38">
        <v>0</v>
      </c>
      <c r="I859" s="15"/>
      <c r="J859" s="494">
        <v>20105030106</v>
      </c>
      <c r="K859" s="517"/>
      <c r="L859" s="517" t="s">
        <v>13497</v>
      </c>
      <c r="M859" s="517" t="s">
        <v>250</v>
      </c>
      <c r="N859" s="518" t="s">
        <v>2693</v>
      </c>
      <c r="O859" s="517">
        <v>2</v>
      </c>
      <c r="P859" s="517" t="s">
        <v>632</v>
      </c>
      <c r="Q859" s="517" t="s">
        <v>714</v>
      </c>
      <c r="R859" s="517" t="s">
        <v>671</v>
      </c>
      <c r="S859" s="517" t="s">
        <v>632</v>
      </c>
      <c r="T859" s="518" t="s">
        <v>2696</v>
      </c>
      <c r="U859" s="38">
        <v>0</v>
      </c>
      <c r="V859" s="15" t="str">
        <f t="shared" si="87"/>
        <v/>
      </c>
      <c r="W859" s="1"/>
      <c r="X859" s="1"/>
      <c r="Y859" s="1"/>
      <c r="Z859" s="1"/>
      <c r="AA859" s="1"/>
      <c r="AB859" s="3"/>
      <c r="AC859" s="9"/>
      <c r="AD859" s="517" t="e">
        <v>#N/A</v>
      </c>
      <c r="AE859" s="517" t="e">
        <v>#N/A</v>
      </c>
      <c r="AF859" s="517" t="e">
        <v>#N/A</v>
      </c>
      <c r="AG859" s="520" t="e">
        <v>#N/A</v>
      </c>
      <c r="AH859" s="9"/>
      <c r="AI859" s="10"/>
      <c r="AJ859" s="9">
        <f t="shared" si="89"/>
        <v>0</v>
      </c>
      <c r="AK859" s="10"/>
      <c r="AL859" s="10"/>
    </row>
    <row r="860" spans="1:38" ht="22.5" hidden="1">
      <c r="A860" s="1">
        <f t="shared" si="90"/>
        <v>0</v>
      </c>
      <c r="B860" s="2" t="s">
        <v>2707</v>
      </c>
      <c r="C860" s="3" t="s">
        <v>2708</v>
      </c>
      <c r="D860" s="15" t="s">
        <v>11602</v>
      </c>
      <c r="E860" s="4" t="s">
        <v>2707</v>
      </c>
      <c r="F860" s="37" t="s">
        <v>2708</v>
      </c>
      <c r="G860" s="38">
        <v>0</v>
      </c>
      <c r="H860" s="38">
        <v>0</v>
      </c>
      <c r="I860" s="15"/>
      <c r="J860" s="494">
        <v>20105030107</v>
      </c>
      <c r="K860" s="517"/>
      <c r="L860" s="517" t="s">
        <v>13497</v>
      </c>
      <c r="M860" s="517" t="s">
        <v>250</v>
      </c>
      <c r="N860" s="518" t="s">
        <v>2693</v>
      </c>
      <c r="O860" s="517">
        <v>2</v>
      </c>
      <c r="P860" s="517" t="s">
        <v>632</v>
      </c>
      <c r="Q860" s="517" t="s">
        <v>714</v>
      </c>
      <c r="R860" s="517" t="s">
        <v>671</v>
      </c>
      <c r="S860" s="517" t="s">
        <v>632</v>
      </c>
      <c r="T860" s="518" t="s">
        <v>2696</v>
      </c>
      <c r="U860" s="38">
        <v>0</v>
      </c>
      <c r="V860" s="15" t="str">
        <f t="shared" si="87"/>
        <v/>
      </c>
      <c r="W860" s="1"/>
      <c r="X860" s="1"/>
      <c r="Y860" s="1"/>
      <c r="Z860" s="1"/>
      <c r="AA860" s="1"/>
      <c r="AB860" s="3"/>
      <c r="AC860" s="9"/>
      <c r="AD860" s="517" t="e">
        <v>#N/A</v>
      </c>
      <c r="AE860" s="517" t="e">
        <v>#N/A</v>
      </c>
      <c r="AF860" s="517" t="e">
        <v>#N/A</v>
      </c>
      <c r="AG860" s="520" t="e">
        <v>#N/A</v>
      </c>
      <c r="AH860" s="9"/>
      <c r="AI860" s="10"/>
      <c r="AJ860" s="9">
        <f t="shared" si="89"/>
        <v>0</v>
      </c>
      <c r="AK860" s="10"/>
      <c r="AL860" s="10"/>
    </row>
    <row r="861" spans="1:38" ht="22.5" hidden="1">
      <c r="A861" s="1">
        <f t="shared" si="90"/>
        <v>0</v>
      </c>
      <c r="B861" s="2" t="s">
        <v>2709</v>
      </c>
      <c r="C861" s="3" t="s">
        <v>2710</v>
      </c>
      <c r="D861" s="15" t="s">
        <v>11602</v>
      </c>
      <c r="E861" s="4" t="s">
        <v>2709</v>
      </c>
      <c r="F861" s="37" t="s">
        <v>2710</v>
      </c>
      <c r="G861" s="38">
        <v>0</v>
      </c>
      <c r="H861" s="38">
        <v>0</v>
      </c>
      <c r="I861" s="15"/>
      <c r="J861" s="494">
        <v>20105030108</v>
      </c>
      <c r="K861" s="517"/>
      <c r="L861" s="517" t="s">
        <v>13497</v>
      </c>
      <c r="M861" s="517" t="s">
        <v>250</v>
      </c>
      <c r="N861" s="518" t="s">
        <v>2693</v>
      </c>
      <c r="O861" s="517">
        <v>2</v>
      </c>
      <c r="P861" s="517" t="s">
        <v>632</v>
      </c>
      <c r="Q861" s="517" t="s">
        <v>714</v>
      </c>
      <c r="R861" s="517" t="s">
        <v>671</v>
      </c>
      <c r="S861" s="517" t="s">
        <v>632</v>
      </c>
      <c r="T861" s="518" t="s">
        <v>2696</v>
      </c>
      <c r="U861" s="38">
        <v>0</v>
      </c>
      <c r="V861" s="15" t="str">
        <f t="shared" si="87"/>
        <v/>
      </c>
      <c r="W861" s="1"/>
      <c r="X861" s="1"/>
      <c r="Y861" s="1"/>
      <c r="Z861" s="1"/>
      <c r="AA861" s="1"/>
      <c r="AB861" s="3"/>
      <c r="AC861" s="9"/>
      <c r="AD861" s="517" t="e">
        <v>#N/A</v>
      </c>
      <c r="AE861" s="517" t="e">
        <v>#N/A</v>
      </c>
      <c r="AF861" s="517" t="e">
        <v>#N/A</v>
      </c>
      <c r="AG861" s="520" t="e">
        <v>#N/A</v>
      </c>
      <c r="AH861" s="9"/>
      <c r="AI861" s="10"/>
      <c r="AJ861" s="9">
        <f t="shared" si="89"/>
        <v>0</v>
      </c>
      <c r="AK861" s="10"/>
      <c r="AL861" s="10"/>
    </row>
    <row r="862" spans="1:38" ht="22.5" hidden="1">
      <c r="A862" s="1">
        <f t="shared" si="90"/>
        <v>0</v>
      </c>
      <c r="B862" s="2" t="s">
        <v>2711</v>
      </c>
      <c r="C862" s="3" t="s">
        <v>2712</v>
      </c>
      <c r="D862" s="15" t="s">
        <v>11602</v>
      </c>
      <c r="E862" s="4" t="s">
        <v>2711</v>
      </c>
      <c r="F862" s="37" t="s">
        <v>2712</v>
      </c>
      <c r="G862" s="38">
        <v>0</v>
      </c>
      <c r="H862" s="38">
        <v>0</v>
      </c>
      <c r="I862" s="15"/>
      <c r="J862" s="494">
        <v>20105030109</v>
      </c>
      <c r="K862" s="517"/>
      <c r="L862" s="517" t="s">
        <v>13497</v>
      </c>
      <c r="M862" s="517" t="s">
        <v>250</v>
      </c>
      <c r="N862" s="518" t="s">
        <v>2693</v>
      </c>
      <c r="O862" s="517">
        <v>2</v>
      </c>
      <c r="P862" s="517" t="s">
        <v>632</v>
      </c>
      <c r="Q862" s="517" t="s">
        <v>714</v>
      </c>
      <c r="R862" s="517" t="s">
        <v>671</v>
      </c>
      <c r="S862" s="517" t="s">
        <v>632</v>
      </c>
      <c r="T862" s="518" t="s">
        <v>2696</v>
      </c>
      <c r="U862" s="38">
        <v>0</v>
      </c>
      <c r="V862" s="15" t="str">
        <f t="shared" si="87"/>
        <v/>
      </c>
      <c r="W862" s="1"/>
      <c r="X862" s="1"/>
      <c r="Y862" s="1"/>
      <c r="Z862" s="1"/>
      <c r="AA862" s="1"/>
      <c r="AB862" s="3"/>
      <c r="AC862" s="9"/>
      <c r="AD862" s="517" t="e">
        <v>#N/A</v>
      </c>
      <c r="AE862" s="517" t="e">
        <v>#N/A</v>
      </c>
      <c r="AF862" s="517" t="e">
        <v>#N/A</v>
      </c>
      <c r="AG862" s="520" t="e">
        <v>#N/A</v>
      </c>
      <c r="AH862" s="9"/>
      <c r="AI862" s="10"/>
      <c r="AJ862" s="9">
        <f t="shared" si="89"/>
        <v>0</v>
      </c>
      <c r="AK862" s="10"/>
      <c r="AL862" s="10"/>
    </row>
    <row r="863" spans="1:38" ht="22.5" hidden="1">
      <c r="A863" s="1">
        <f t="shared" si="90"/>
        <v>0</v>
      </c>
      <c r="B863" s="2" t="s">
        <v>2713</v>
      </c>
      <c r="C863" s="3" t="s">
        <v>2714</v>
      </c>
      <c r="D863" s="15" t="s">
        <v>11602</v>
      </c>
      <c r="E863" s="4" t="s">
        <v>2713</v>
      </c>
      <c r="F863" s="37" t="s">
        <v>2714</v>
      </c>
      <c r="G863" s="38">
        <v>0</v>
      </c>
      <c r="H863" s="38">
        <v>0</v>
      </c>
      <c r="I863" s="15"/>
      <c r="J863" s="494">
        <v>20105030110</v>
      </c>
      <c r="K863" s="517"/>
      <c r="L863" s="517" t="s">
        <v>13497</v>
      </c>
      <c r="M863" s="517" t="s">
        <v>250</v>
      </c>
      <c r="N863" s="518" t="s">
        <v>2693</v>
      </c>
      <c r="O863" s="517">
        <v>2</v>
      </c>
      <c r="P863" s="517" t="s">
        <v>632</v>
      </c>
      <c r="Q863" s="517" t="s">
        <v>714</v>
      </c>
      <c r="R863" s="517" t="s">
        <v>671</v>
      </c>
      <c r="S863" s="517" t="s">
        <v>632</v>
      </c>
      <c r="T863" s="518" t="s">
        <v>2696</v>
      </c>
      <c r="U863" s="38">
        <v>0</v>
      </c>
      <c r="V863" s="15" t="str">
        <f t="shared" si="87"/>
        <v/>
      </c>
      <c r="W863" s="1"/>
      <c r="X863" s="1"/>
      <c r="Y863" s="1"/>
      <c r="Z863" s="1"/>
      <c r="AA863" s="1"/>
      <c r="AB863" s="3"/>
      <c r="AC863" s="9"/>
      <c r="AD863" s="517" t="e">
        <v>#N/A</v>
      </c>
      <c r="AE863" s="517" t="e">
        <v>#N/A</v>
      </c>
      <c r="AF863" s="517" t="e">
        <v>#N/A</v>
      </c>
      <c r="AG863" s="520" t="e">
        <v>#N/A</v>
      </c>
      <c r="AH863" s="9"/>
      <c r="AI863" s="10"/>
      <c r="AJ863" s="9">
        <f t="shared" si="89"/>
        <v>0</v>
      </c>
      <c r="AK863" s="10"/>
      <c r="AL863" s="10"/>
    </row>
    <row r="864" spans="1:38" ht="22.5" hidden="1">
      <c r="A864" s="1">
        <f t="shared" si="90"/>
        <v>0</v>
      </c>
      <c r="B864" s="2" t="s">
        <v>2715</v>
      </c>
      <c r="C864" s="3" t="s">
        <v>2716</v>
      </c>
      <c r="D864" s="15" t="s">
        <v>11602</v>
      </c>
      <c r="E864" s="4" t="s">
        <v>2715</v>
      </c>
      <c r="F864" s="37" t="s">
        <v>2716</v>
      </c>
      <c r="G864" s="38">
        <v>0</v>
      </c>
      <c r="H864" s="38">
        <v>0</v>
      </c>
      <c r="I864" s="15"/>
      <c r="J864" s="494">
        <v>20105030111</v>
      </c>
      <c r="K864" s="517"/>
      <c r="L864" s="517" t="s">
        <v>13497</v>
      </c>
      <c r="M864" s="517" t="s">
        <v>250</v>
      </c>
      <c r="N864" s="518" t="s">
        <v>2693</v>
      </c>
      <c r="O864" s="517">
        <v>2</v>
      </c>
      <c r="P864" s="517" t="s">
        <v>632</v>
      </c>
      <c r="Q864" s="517" t="s">
        <v>714</v>
      </c>
      <c r="R864" s="517" t="s">
        <v>671</v>
      </c>
      <c r="S864" s="517" t="s">
        <v>632</v>
      </c>
      <c r="T864" s="518" t="s">
        <v>2696</v>
      </c>
      <c r="U864" s="38">
        <v>0</v>
      </c>
      <c r="V864" s="15" t="str">
        <f t="shared" si="87"/>
        <v/>
      </c>
      <c r="W864" s="1"/>
      <c r="X864" s="1"/>
      <c r="Y864" s="1"/>
      <c r="Z864" s="1"/>
      <c r="AA864" s="1"/>
      <c r="AB864" s="3"/>
      <c r="AC864" s="9"/>
      <c r="AD864" s="517" t="e">
        <v>#N/A</v>
      </c>
      <c r="AE864" s="517" t="e">
        <v>#N/A</v>
      </c>
      <c r="AF864" s="517" t="e">
        <v>#N/A</v>
      </c>
      <c r="AG864" s="520" t="e">
        <v>#N/A</v>
      </c>
      <c r="AH864" s="9"/>
      <c r="AI864" s="10"/>
      <c r="AJ864" s="9">
        <f t="shared" si="89"/>
        <v>0</v>
      </c>
      <c r="AK864" s="10"/>
      <c r="AL864" s="10"/>
    </row>
    <row r="865" spans="1:38" ht="22.5" hidden="1">
      <c r="A865" s="1">
        <f t="shared" si="90"/>
        <v>0</v>
      </c>
      <c r="B865" s="2" t="s">
        <v>2717</v>
      </c>
      <c r="C865" s="3" t="s">
        <v>2718</v>
      </c>
      <c r="D865" s="15" t="s">
        <v>11602</v>
      </c>
      <c r="E865" s="4" t="s">
        <v>2717</v>
      </c>
      <c r="F865" s="37" t="s">
        <v>2718</v>
      </c>
      <c r="G865" s="38">
        <v>0</v>
      </c>
      <c r="H865" s="38">
        <v>0</v>
      </c>
      <c r="I865" s="15"/>
      <c r="J865" s="494">
        <v>20105030112</v>
      </c>
      <c r="K865" s="517"/>
      <c r="L865" s="517" t="s">
        <v>13497</v>
      </c>
      <c r="M865" s="517" t="s">
        <v>250</v>
      </c>
      <c r="N865" s="518" t="s">
        <v>2693</v>
      </c>
      <c r="O865" s="517">
        <v>2</v>
      </c>
      <c r="P865" s="517" t="s">
        <v>632</v>
      </c>
      <c r="Q865" s="517" t="s">
        <v>714</v>
      </c>
      <c r="R865" s="517" t="s">
        <v>671</v>
      </c>
      <c r="S865" s="517" t="s">
        <v>632</v>
      </c>
      <c r="T865" s="518" t="s">
        <v>2696</v>
      </c>
      <c r="U865" s="38">
        <v>0</v>
      </c>
      <c r="V865" s="15" t="str">
        <f t="shared" si="87"/>
        <v/>
      </c>
      <c r="W865" s="1"/>
      <c r="X865" s="1"/>
      <c r="Y865" s="1"/>
      <c r="Z865" s="1"/>
      <c r="AA865" s="1"/>
      <c r="AB865" s="3"/>
      <c r="AC865" s="9"/>
      <c r="AD865" s="517" t="e">
        <v>#N/A</v>
      </c>
      <c r="AE865" s="517" t="e">
        <v>#N/A</v>
      </c>
      <c r="AF865" s="517" t="e">
        <v>#N/A</v>
      </c>
      <c r="AG865" s="520" t="e">
        <v>#N/A</v>
      </c>
      <c r="AH865" s="9"/>
      <c r="AI865" s="10"/>
      <c r="AJ865" s="9">
        <f t="shared" si="89"/>
        <v>0</v>
      </c>
      <c r="AK865" s="10"/>
      <c r="AL865" s="10"/>
    </row>
    <row r="866" spans="1:38" ht="22.5" hidden="1">
      <c r="A866" s="1">
        <f t="shared" si="90"/>
        <v>0</v>
      </c>
      <c r="B866" s="11"/>
      <c r="C866" s="11"/>
      <c r="D866" s="15" t="s">
        <v>16</v>
      </c>
      <c r="E866" s="24"/>
      <c r="F866" s="25" t="s">
        <v>2391</v>
      </c>
      <c r="G866" s="26">
        <f>G867</f>
        <v>17885743.160000004</v>
      </c>
      <c r="H866" s="26">
        <f>H867</f>
        <v>17098821.120000001</v>
      </c>
      <c r="I866" s="15"/>
      <c r="J866" s="494"/>
      <c r="K866" s="509"/>
      <c r="L866" s="509"/>
      <c r="M866" s="509"/>
      <c r="N866" s="510"/>
      <c r="O866" s="509"/>
      <c r="P866" s="509"/>
      <c r="Q866" s="509"/>
      <c r="R866" s="509"/>
      <c r="S866" s="509"/>
      <c r="T866" s="510"/>
      <c r="U866" s="26">
        <f>U867</f>
        <v>17098821.120000001</v>
      </c>
      <c r="V866" s="15" t="str">
        <f t="shared" si="87"/>
        <v>201060000</v>
      </c>
      <c r="W866" s="27">
        <v>2</v>
      </c>
      <c r="X866" s="28" t="s">
        <v>632</v>
      </c>
      <c r="Y866" s="28" t="s">
        <v>739</v>
      </c>
      <c r="Z866" s="28" t="s">
        <v>630</v>
      </c>
      <c r="AA866" s="28" t="s">
        <v>630</v>
      </c>
      <c r="AB866" s="25" t="s">
        <v>2391</v>
      </c>
      <c r="AC866" s="530">
        <f>AC867</f>
        <v>17098821.120000001</v>
      </c>
      <c r="AD866" s="509">
        <v>0</v>
      </c>
      <c r="AE866" s="509" t="s">
        <v>13498</v>
      </c>
      <c r="AF866" s="509" t="s">
        <v>251</v>
      </c>
      <c r="AG866" s="510" t="s">
        <v>2719</v>
      </c>
      <c r="AH866" s="53">
        <f>AH867</f>
        <v>17098821.120000001</v>
      </c>
      <c r="AI866" s="10"/>
      <c r="AJ866" s="9">
        <f t="shared" si="89"/>
        <v>0</v>
      </c>
      <c r="AK866" s="10"/>
      <c r="AL866" s="10"/>
    </row>
    <row r="867" spans="1:38" ht="22.5" hidden="1">
      <c r="A867" s="1">
        <f t="shared" si="90"/>
        <v>0</v>
      </c>
      <c r="B867" s="11"/>
      <c r="C867" s="11"/>
      <c r="D867" s="15" t="s">
        <v>16</v>
      </c>
      <c r="E867" s="30"/>
      <c r="F867" s="31" t="s">
        <v>2720</v>
      </c>
      <c r="G867" s="32">
        <f>SUM(G868:G884)</f>
        <v>17885743.160000004</v>
      </c>
      <c r="H867" s="32">
        <f>SUM(H868:H884)</f>
        <v>17098821.120000001</v>
      </c>
      <c r="I867" s="15"/>
      <c r="J867" s="494"/>
      <c r="K867" s="513"/>
      <c r="L867" s="513"/>
      <c r="M867" s="513"/>
      <c r="N867" s="514"/>
      <c r="O867" s="513"/>
      <c r="P867" s="513"/>
      <c r="Q867" s="513"/>
      <c r="R867" s="513"/>
      <c r="S867" s="513"/>
      <c r="T867" s="514"/>
      <c r="U867" s="32">
        <f>SUM(U868:U884)</f>
        <v>17098821.120000001</v>
      </c>
      <c r="V867" s="15" t="str">
        <f t="shared" si="87"/>
        <v>201060100</v>
      </c>
      <c r="W867" s="33">
        <v>2</v>
      </c>
      <c r="X867" s="34" t="s">
        <v>632</v>
      </c>
      <c r="Y867" s="34" t="s">
        <v>739</v>
      </c>
      <c r="Z867" s="34" t="s">
        <v>632</v>
      </c>
      <c r="AA867" s="35" t="s">
        <v>630</v>
      </c>
      <c r="AB867" s="31" t="s">
        <v>2720</v>
      </c>
      <c r="AC867" s="529">
        <f>SUM(AC868:AC884)</f>
        <v>17098821.120000001</v>
      </c>
      <c r="AD867" s="513">
        <v>0</v>
      </c>
      <c r="AE867" s="513" t="s">
        <v>13498</v>
      </c>
      <c r="AF867" s="513" t="s">
        <v>251</v>
      </c>
      <c r="AG867" s="514" t="s">
        <v>2719</v>
      </c>
      <c r="AH867" s="44">
        <f>SUM(AH868:AH884)</f>
        <v>17098821.120000001</v>
      </c>
      <c r="AI867" s="10"/>
      <c r="AJ867" s="9">
        <f t="shared" si="89"/>
        <v>0</v>
      </c>
      <c r="AK867" s="10"/>
      <c r="AL867" s="10"/>
    </row>
    <row r="868" spans="1:38" ht="22.5" hidden="1">
      <c r="A868" s="1">
        <f t="shared" si="90"/>
        <v>0</v>
      </c>
      <c r="B868" s="2" t="s">
        <v>2721</v>
      </c>
      <c r="C868" s="3" t="s">
        <v>2722</v>
      </c>
      <c r="D868" s="15" t="s">
        <v>11603</v>
      </c>
      <c r="E868" s="4" t="s">
        <v>2721</v>
      </c>
      <c r="F868" s="37" t="s">
        <v>2722</v>
      </c>
      <c r="G868" s="38">
        <v>17174529.260000002</v>
      </c>
      <c r="H868" s="38">
        <v>17306068.5</v>
      </c>
      <c r="I868" s="15"/>
      <c r="J868" s="494">
        <v>20106010101</v>
      </c>
      <c r="K868" s="517"/>
      <c r="L868" s="517" t="s">
        <v>13498</v>
      </c>
      <c r="M868" s="517" t="s">
        <v>251</v>
      </c>
      <c r="N868" s="518" t="s">
        <v>2719</v>
      </c>
      <c r="O868" s="517">
        <v>2</v>
      </c>
      <c r="P868" s="517" t="s">
        <v>632</v>
      </c>
      <c r="Q868" s="517" t="s">
        <v>739</v>
      </c>
      <c r="R868" s="517" t="s">
        <v>632</v>
      </c>
      <c r="S868" s="517" t="s">
        <v>632</v>
      </c>
      <c r="T868" s="518" t="s">
        <v>2723</v>
      </c>
      <c r="U868" s="38">
        <v>17306068.5</v>
      </c>
      <c r="V868" s="15" t="str">
        <f t="shared" si="87"/>
        <v>201060101</v>
      </c>
      <c r="W868" s="39">
        <v>2</v>
      </c>
      <c r="X868" s="40" t="s">
        <v>632</v>
      </c>
      <c r="Y868" s="40" t="s">
        <v>739</v>
      </c>
      <c r="Z868" s="40" t="s">
        <v>632</v>
      </c>
      <c r="AA868" s="40" t="s">
        <v>632</v>
      </c>
      <c r="AB868" s="41" t="s">
        <v>2723</v>
      </c>
      <c r="AC868" s="519">
        <f>H868</f>
        <v>17306068.5</v>
      </c>
      <c r="AD868" s="517">
        <v>0</v>
      </c>
      <c r="AE868" s="517" t="s">
        <v>13498</v>
      </c>
      <c r="AF868" s="517" t="s">
        <v>251</v>
      </c>
      <c r="AG868" s="520" t="s">
        <v>2719</v>
      </c>
      <c r="AH868" s="67">
        <f>AC868</f>
        <v>17306068.5</v>
      </c>
      <c r="AI868" s="10"/>
      <c r="AJ868" s="9">
        <f t="shared" si="89"/>
        <v>0</v>
      </c>
      <c r="AK868" s="10"/>
      <c r="AL868" s="10"/>
    </row>
    <row r="869" spans="1:38" ht="22.5" hidden="1">
      <c r="A869" s="1">
        <f t="shared" si="90"/>
        <v>0</v>
      </c>
      <c r="B869" s="2" t="s">
        <v>2724</v>
      </c>
      <c r="C869" s="3" t="s">
        <v>2725</v>
      </c>
      <c r="D869" s="15" t="s">
        <v>11603</v>
      </c>
      <c r="E869" s="4" t="s">
        <v>2724</v>
      </c>
      <c r="F869" s="37" t="s">
        <v>2725</v>
      </c>
      <c r="G869" s="38">
        <v>0</v>
      </c>
      <c r="H869" s="38">
        <v>0</v>
      </c>
      <c r="I869" s="15"/>
      <c r="J869" s="494">
        <v>20106010102</v>
      </c>
      <c r="K869" s="517"/>
      <c r="L869" s="517" t="s">
        <v>13498</v>
      </c>
      <c r="M869" s="517" t="s">
        <v>251</v>
      </c>
      <c r="N869" s="518" t="s">
        <v>2719</v>
      </c>
      <c r="O869" s="517">
        <v>2</v>
      </c>
      <c r="P869" s="517" t="s">
        <v>632</v>
      </c>
      <c r="Q869" s="517" t="s">
        <v>739</v>
      </c>
      <c r="R869" s="517" t="s">
        <v>632</v>
      </c>
      <c r="S869" s="517" t="s">
        <v>632</v>
      </c>
      <c r="T869" s="518" t="s">
        <v>2723</v>
      </c>
      <c r="U869" s="38">
        <v>0</v>
      </c>
      <c r="V869" s="15" t="str">
        <f t="shared" si="87"/>
        <v>201060102</v>
      </c>
      <c r="W869" s="39">
        <v>2</v>
      </c>
      <c r="X869" s="40" t="s">
        <v>632</v>
      </c>
      <c r="Y869" s="40" t="s">
        <v>739</v>
      </c>
      <c r="Z869" s="40" t="s">
        <v>632</v>
      </c>
      <c r="AA869" s="40" t="s">
        <v>647</v>
      </c>
      <c r="AB869" s="41" t="s">
        <v>2725</v>
      </c>
      <c r="AC869" s="519">
        <f>SUM(H869:H884)</f>
        <v>-207247.38</v>
      </c>
      <c r="AD869" s="517">
        <v>0</v>
      </c>
      <c r="AE869" s="517" t="s">
        <v>13498</v>
      </c>
      <c r="AF869" s="517" t="s">
        <v>251</v>
      </c>
      <c r="AG869" s="520" t="s">
        <v>2719</v>
      </c>
      <c r="AH869" s="67">
        <f>AC869</f>
        <v>-207247.38</v>
      </c>
      <c r="AI869" s="10"/>
      <c r="AJ869" s="9"/>
      <c r="AK869" s="10"/>
      <c r="AL869" s="10"/>
    </row>
    <row r="870" spans="1:38" ht="22.5" hidden="1">
      <c r="A870" s="1">
        <f t="shared" si="90"/>
        <v>0</v>
      </c>
      <c r="B870" s="2" t="s">
        <v>2726</v>
      </c>
      <c r="C870" s="3" t="s">
        <v>2727</v>
      </c>
      <c r="D870" s="15" t="s">
        <v>11604</v>
      </c>
      <c r="E870" s="4" t="s">
        <v>2726</v>
      </c>
      <c r="F870" s="37" t="s">
        <v>2727</v>
      </c>
      <c r="G870" s="38">
        <v>459230.64</v>
      </c>
      <c r="H870" s="38">
        <v>-459230.64</v>
      </c>
      <c r="I870" s="15"/>
      <c r="J870" s="494">
        <v>20106010201</v>
      </c>
      <c r="K870" s="517"/>
      <c r="L870" s="517" t="s">
        <v>13498</v>
      </c>
      <c r="M870" s="517" t="s">
        <v>251</v>
      </c>
      <c r="N870" s="518" t="s">
        <v>2719</v>
      </c>
      <c r="O870" s="517">
        <v>2</v>
      </c>
      <c r="P870" s="517" t="s">
        <v>632</v>
      </c>
      <c r="Q870" s="517" t="s">
        <v>739</v>
      </c>
      <c r="R870" s="517" t="s">
        <v>632</v>
      </c>
      <c r="S870" s="517" t="s">
        <v>647</v>
      </c>
      <c r="T870" s="518" t="s">
        <v>2725</v>
      </c>
      <c r="U870" s="38">
        <v>-459230.64</v>
      </c>
      <c r="V870" s="15" t="str">
        <f t="shared" si="87"/>
        <v/>
      </c>
      <c r="W870" s="1"/>
      <c r="X870" s="1"/>
      <c r="Y870" s="1"/>
      <c r="Z870" s="1"/>
      <c r="AA870" s="1"/>
      <c r="AB870" s="3"/>
      <c r="AC870" s="9"/>
      <c r="AD870" s="517" t="e">
        <v>#N/A</v>
      </c>
      <c r="AE870" s="517" t="e">
        <v>#N/A</v>
      </c>
      <c r="AF870" s="517" t="e">
        <v>#N/A</v>
      </c>
      <c r="AG870" s="520" t="e">
        <v>#N/A</v>
      </c>
      <c r="AH870" s="9"/>
      <c r="AI870" s="10"/>
      <c r="AJ870" s="9"/>
      <c r="AK870" s="10"/>
      <c r="AL870" s="10"/>
    </row>
    <row r="871" spans="1:38" ht="22.5" hidden="1">
      <c r="A871" s="1">
        <f t="shared" si="90"/>
        <v>0</v>
      </c>
      <c r="B871" s="2" t="s">
        <v>2728</v>
      </c>
      <c r="C871" s="3" t="s">
        <v>2729</v>
      </c>
      <c r="D871" s="15" t="s">
        <v>11604</v>
      </c>
      <c r="E871" s="4" t="s">
        <v>2728</v>
      </c>
      <c r="F871" s="37" t="s">
        <v>2729</v>
      </c>
      <c r="G871" s="38">
        <v>0</v>
      </c>
      <c r="H871" s="38">
        <v>0</v>
      </c>
      <c r="I871" s="15"/>
      <c r="J871" s="494">
        <v>20106010202</v>
      </c>
      <c r="K871" s="517"/>
      <c r="L871" s="517" t="s">
        <v>13498</v>
      </c>
      <c r="M871" s="517" t="s">
        <v>251</v>
      </c>
      <c r="N871" s="518" t="s">
        <v>2719</v>
      </c>
      <c r="O871" s="517">
        <v>2</v>
      </c>
      <c r="P871" s="517" t="s">
        <v>632</v>
      </c>
      <c r="Q871" s="517" t="s">
        <v>739</v>
      </c>
      <c r="R871" s="517" t="s">
        <v>632</v>
      </c>
      <c r="S871" s="517" t="s">
        <v>647</v>
      </c>
      <c r="T871" s="518" t="s">
        <v>2725</v>
      </c>
      <c r="U871" s="38">
        <v>0</v>
      </c>
      <c r="V871" s="15" t="str">
        <f t="shared" si="87"/>
        <v/>
      </c>
      <c r="W871" s="1"/>
      <c r="X871" s="1"/>
      <c r="Y871" s="1"/>
      <c r="Z871" s="1"/>
      <c r="AA871" s="1"/>
      <c r="AB871" s="3"/>
      <c r="AC871" s="9"/>
      <c r="AD871" s="517" t="e">
        <v>#N/A</v>
      </c>
      <c r="AE871" s="517" t="e">
        <v>#N/A</v>
      </c>
      <c r="AF871" s="517" t="e">
        <v>#N/A</v>
      </c>
      <c r="AG871" s="520" t="e">
        <v>#N/A</v>
      </c>
      <c r="AH871" s="9"/>
      <c r="AI871" s="10"/>
      <c r="AJ871" s="9"/>
      <c r="AK871" s="10"/>
      <c r="AL871" s="10"/>
    </row>
    <row r="872" spans="1:38" ht="22.5" hidden="1">
      <c r="A872" s="1">
        <f t="shared" si="90"/>
        <v>0</v>
      </c>
      <c r="B872" s="2" t="s">
        <v>2730</v>
      </c>
      <c r="C872" s="3" t="s">
        <v>2731</v>
      </c>
      <c r="D872" s="15" t="s">
        <v>11604</v>
      </c>
      <c r="E872" s="4" t="s">
        <v>2730</v>
      </c>
      <c r="F872" s="37" t="s">
        <v>2731</v>
      </c>
      <c r="G872" s="38">
        <v>0</v>
      </c>
      <c r="H872" s="38">
        <v>0</v>
      </c>
      <c r="I872" s="15"/>
      <c r="J872" s="494">
        <v>20106010203</v>
      </c>
      <c r="K872" s="517"/>
      <c r="L872" s="517" t="s">
        <v>13498</v>
      </c>
      <c r="M872" s="517" t="s">
        <v>251</v>
      </c>
      <c r="N872" s="518" t="s">
        <v>2719</v>
      </c>
      <c r="O872" s="517">
        <v>2</v>
      </c>
      <c r="P872" s="517" t="s">
        <v>632</v>
      </c>
      <c r="Q872" s="517" t="s">
        <v>739</v>
      </c>
      <c r="R872" s="517" t="s">
        <v>632</v>
      </c>
      <c r="S872" s="517" t="s">
        <v>647</v>
      </c>
      <c r="T872" s="518" t="s">
        <v>2725</v>
      </c>
      <c r="U872" s="38">
        <v>0</v>
      </c>
      <c r="V872" s="15" t="str">
        <f t="shared" si="87"/>
        <v/>
      </c>
      <c r="W872" s="1"/>
      <c r="X872" s="1"/>
      <c r="Y872" s="1"/>
      <c r="Z872" s="1"/>
      <c r="AA872" s="1"/>
      <c r="AB872" s="3"/>
      <c r="AC872" s="9"/>
      <c r="AD872" s="517" t="e">
        <v>#N/A</v>
      </c>
      <c r="AE872" s="517" t="e">
        <v>#N/A</v>
      </c>
      <c r="AF872" s="517" t="e">
        <v>#N/A</v>
      </c>
      <c r="AG872" s="520" t="e">
        <v>#N/A</v>
      </c>
      <c r="AH872" s="9"/>
      <c r="AI872" s="10"/>
      <c r="AJ872" s="9"/>
      <c r="AK872" s="10"/>
      <c r="AL872" s="10"/>
    </row>
    <row r="873" spans="1:38" ht="22.5" hidden="1">
      <c r="A873" s="1">
        <f t="shared" si="90"/>
        <v>0</v>
      </c>
      <c r="B873" s="2" t="s">
        <v>2732</v>
      </c>
      <c r="C873" s="3" t="s">
        <v>2733</v>
      </c>
      <c r="D873" s="15" t="s">
        <v>11604</v>
      </c>
      <c r="E873" s="4" t="s">
        <v>2732</v>
      </c>
      <c r="F873" s="37" t="s">
        <v>2733</v>
      </c>
      <c r="G873" s="38">
        <v>0</v>
      </c>
      <c r="H873" s="38">
        <v>0</v>
      </c>
      <c r="I873" s="15"/>
      <c r="J873" s="494">
        <v>20106010204</v>
      </c>
      <c r="K873" s="517"/>
      <c r="L873" s="517" t="s">
        <v>13498</v>
      </c>
      <c r="M873" s="517" t="s">
        <v>251</v>
      </c>
      <c r="N873" s="518" t="s">
        <v>2719</v>
      </c>
      <c r="O873" s="517">
        <v>2</v>
      </c>
      <c r="P873" s="517" t="s">
        <v>632</v>
      </c>
      <c r="Q873" s="517" t="s">
        <v>739</v>
      </c>
      <c r="R873" s="517" t="s">
        <v>632</v>
      </c>
      <c r="S873" s="517" t="s">
        <v>647</v>
      </c>
      <c r="T873" s="518" t="s">
        <v>2725</v>
      </c>
      <c r="U873" s="38">
        <v>0</v>
      </c>
      <c r="V873" s="15" t="str">
        <f t="shared" si="87"/>
        <v/>
      </c>
      <c r="W873" s="1"/>
      <c r="X873" s="1"/>
      <c r="Y873" s="1"/>
      <c r="Z873" s="1"/>
      <c r="AA873" s="1"/>
      <c r="AB873" s="3"/>
      <c r="AC873" s="9"/>
      <c r="AD873" s="517" t="e">
        <v>#N/A</v>
      </c>
      <c r="AE873" s="517" t="e">
        <v>#N/A</v>
      </c>
      <c r="AF873" s="517" t="e">
        <v>#N/A</v>
      </c>
      <c r="AG873" s="520" t="e">
        <v>#N/A</v>
      </c>
      <c r="AH873" s="9"/>
      <c r="AI873" s="10"/>
      <c r="AJ873" s="9"/>
      <c r="AK873" s="10"/>
      <c r="AL873" s="10"/>
    </row>
    <row r="874" spans="1:38" ht="22.5" hidden="1">
      <c r="A874" s="1">
        <f t="shared" si="90"/>
        <v>0</v>
      </c>
      <c r="B874" s="2" t="s">
        <v>2734</v>
      </c>
      <c r="C874" s="3" t="s">
        <v>2735</v>
      </c>
      <c r="D874" s="15" t="s">
        <v>11604</v>
      </c>
      <c r="E874" s="4" t="s">
        <v>2734</v>
      </c>
      <c r="F874" s="37" t="s">
        <v>2735</v>
      </c>
      <c r="G874" s="38">
        <v>0</v>
      </c>
      <c r="H874" s="38">
        <v>0</v>
      </c>
      <c r="I874" s="15"/>
      <c r="J874" s="494">
        <v>20106010205</v>
      </c>
      <c r="K874" s="517"/>
      <c r="L874" s="517" t="s">
        <v>13498</v>
      </c>
      <c r="M874" s="517" t="s">
        <v>251</v>
      </c>
      <c r="N874" s="518" t="s">
        <v>2719</v>
      </c>
      <c r="O874" s="517">
        <v>2</v>
      </c>
      <c r="P874" s="517" t="s">
        <v>632</v>
      </c>
      <c r="Q874" s="517" t="s">
        <v>739</v>
      </c>
      <c r="R874" s="517" t="s">
        <v>632</v>
      </c>
      <c r="S874" s="517" t="s">
        <v>647</v>
      </c>
      <c r="T874" s="518" t="s">
        <v>2725</v>
      </c>
      <c r="U874" s="38">
        <v>0</v>
      </c>
      <c r="V874" s="15" t="str">
        <f t="shared" si="87"/>
        <v/>
      </c>
      <c r="W874" s="1"/>
      <c r="X874" s="1"/>
      <c r="Y874" s="1"/>
      <c r="Z874" s="1"/>
      <c r="AA874" s="1"/>
      <c r="AB874" s="3"/>
      <c r="AC874" s="9"/>
      <c r="AD874" s="517" t="e">
        <v>#N/A</v>
      </c>
      <c r="AE874" s="517" t="e">
        <v>#N/A</v>
      </c>
      <c r="AF874" s="517" t="e">
        <v>#N/A</v>
      </c>
      <c r="AG874" s="520" t="e">
        <v>#N/A</v>
      </c>
      <c r="AH874" s="9"/>
      <c r="AI874" s="10"/>
      <c r="AJ874" s="9"/>
      <c r="AK874" s="10"/>
      <c r="AL874" s="10"/>
    </row>
    <row r="875" spans="1:38" ht="22.5" hidden="1">
      <c r="A875" s="1">
        <f t="shared" si="90"/>
        <v>0</v>
      </c>
      <c r="B875" s="2" t="s">
        <v>2736</v>
      </c>
      <c r="C875" s="3" t="s">
        <v>2737</v>
      </c>
      <c r="D875" s="15" t="s">
        <v>11604</v>
      </c>
      <c r="E875" s="4" t="s">
        <v>2736</v>
      </c>
      <c r="F875" s="37" t="s">
        <v>2737</v>
      </c>
      <c r="G875" s="38">
        <v>0</v>
      </c>
      <c r="H875" s="38">
        <v>0</v>
      </c>
      <c r="I875" s="15"/>
      <c r="J875" s="494">
        <v>20106010206</v>
      </c>
      <c r="K875" s="517"/>
      <c r="L875" s="517" t="s">
        <v>13498</v>
      </c>
      <c r="M875" s="517" t="s">
        <v>251</v>
      </c>
      <c r="N875" s="518" t="s">
        <v>2719</v>
      </c>
      <c r="O875" s="517">
        <v>2</v>
      </c>
      <c r="P875" s="517" t="s">
        <v>632</v>
      </c>
      <c r="Q875" s="517" t="s">
        <v>739</v>
      </c>
      <c r="R875" s="517" t="s">
        <v>632</v>
      </c>
      <c r="S875" s="517" t="s">
        <v>647</v>
      </c>
      <c r="T875" s="518" t="s">
        <v>2725</v>
      </c>
      <c r="U875" s="38">
        <v>0</v>
      </c>
      <c r="V875" s="15" t="str">
        <f t="shared" si="87"/>
        <v/>
      </c>
      <c r="W875" s="1"/>
      <c r="X875" s="1"/>
      <c r="Y875" s="1"/>
      <c r="Z875" s="1"/>
      <c r="AA875" s="1"/>
      <c r="AB875" s="3"/>
      <c r="AC875" s="9"/>
      <c r="AD875" s="517" t="e">
        <v>#N/A</v>
      </c>
      <c r="AE875" s="517" t="e">
        <v>#N/A</v>
      </c>
      <c r="AF875" s="517" t="e">
        <v>#N/A</v>
      </c>
      <c r="AG875" s="520" t="e">
        <v>#N/A</v>
      </c>
      <c r="AH875" s="9"/>
      <c r="AI875" s="10"/>
      <c r="AJ875" s="9"/>
      <c r="AK875" s="10"/>
      <c r="AL875" s="10"/>
    </row>
    <row r="876" spans="1:38" ht="22.5" hidden="1">
      <c r="A876" s="1">
        <f t="shared" si="90"/>
        <v>0</v>
      </c>
      <c r="B876" s="2" t="s">
        <v>2738</v>
      </c>
      <c r="C876" s="3" t="s">
        <v>2739</v>
      </c>
      <c r="D876" s="15" t="s">
        <v>11604</v>
      </c>
      <c r="E876" s="4" t="s">
        <v>2738</v>
      </c>
      <c r="F876" s="37" t="s">
        <v>2739</v>
      </c>
      <c r="G876" s="38">
        <v>0</v>
      </c>
      <c r="H876" s="38">
        <v>0</v>
      </c>
      <c r="I876" s="15"/>
      <c r="J876" s="494">
        <v>20106010207</v>
      </c>
      <c r="K876" s="517"/>
      <c r="L876" s="517" t="s">
        <v>13498</v>
      </c>
      <c r="M876" s="517" t="s">
        <v>251</v>
      </c>
      <c r="N876" s="518" t="s">
        <v>2719</v>
      </c>
      <c r="O876" s="517">
        <v>2</v>
      </c>
      <c r="P876" s="517" t="s">
        <v>632</v>
      </c>
      <c r="Q876" s="517" t="s">
        <v>739</v>
      </c>
      <c r="R876" s="517" t="s">
        <v>632</v>
      </c>
      <c r="S876" s="517" t="s">
        <v>647</v>
      </c>
      <c r="T876" s="518" t="s">
        <v>2725</v>
      </c>
      <c r="U876" s="38">
        <v>0</v>
      </c>
      <c r="V876" s="15" t="str">
        <f t="shared" si="87"/>
        <v/>
      </c>
      <c r="W876" s="1"/>
      <c r="X876" s="1"/>
      <c r="Y876" s="1"/>
      <c r="Z876" s="1"/>
      <c r="AA876" s="1"/>
      <c r="AB876" s="3"/>
      <c r="AC876" s="9"/>
      <c r="AD876" s="517" t="e">
        <v>#N/A</v>
      </c>
      <c r="AE876" s="517" t="e">
        <v>#N/A</v>
      </c>
      <c r="AF876" s="517" t="e">
        <v>#N/A</v>
      </c>
      <c r="AG876" s="520" t="e">
        <v>#N/A</v>
      </c>
      <c r="AH876" s="9"/>
      <c r="AI876" s="10"/>
      <c r="AJ876" s="9"/>
      <c r="AK876" s="10"/>
      <c r="AL876" s="10"/>
    </row>
    <row r="877" spans="1:38" ht="22.5" hidden="1">
      <c r="A877" s="1">
        <f t="shared" si="90"/>
        <v>0</v>
      </c>
      <c r="B877" s="2" t="s">
        <v>2740</v>
      </c>
      <c r="C877" s="3" t="s">
        <v>2741</v>
      </c>
      <c r="D877" s="15" t="s">
        <v>11604</v>
      </c>
      <c r="E877" s="4" t="s">
        <v>2740</v>
      </c>
      <c r="F877" s="37" t="s">
        <v>2741</v>
      </c>
      <c r="G877" s="38">
        <v>0</v>
      </c>
      <c r="H877" s="38">
        <v>0</v>
      </c>
      <c r="I877" s="15"/>
      <c r="J877" s="494">
        <v>20106010208</v>
      </c>
      <c r="K877" s="517"/>
      <c r="L877" s="517" t="s">
        <v>13498</v>
      </c>
      <c r="M877" s="517" t="s">
        <v>251</v>
      </c>
      <c r="N877" s="518" t="s">
        <v>2719</v>
      </c>
      <c r="O877" s="517">
        <v>2</v>
      </c>
      <c r="P877" s="517" t="s">
        <v>632</v>
      </c>
      <c r="Q877" s="517" t="s">
        <v>739</v>
      </c>
      <c r="R877" s="517" t="s">
        <v>632</v>
      </c>
      <c r="S877" s="517" t="s">
        <v>647</v>
      </c>
      <c r="T877" s="518" t="s">
        <v>2725</v>
      </c>
      <c r="U877" s="38">
        <v>0</v>
      </c>
      <c r="V877" s="15" t="str">
        <f t="shared" si="87"/>
        <v/>
      </c>
      <c r="W877" s="1"/>
      <c r="X877" s="1"/>
      <c r="Y877" s="1"/>
      <c r="Z877" s="1"/>
      <c r="AA877" s="1"/>
      <c r="AB877" s="3"/>
      <c r="AC877" s="9"/>
      <c r="AD877" s="517" t="e">
        <v>#N/A</v>
      </c>
      <c r="AE877" s="517" t="e">
        <v>#N/A</v>
      </c>
      <c r="AF877" s="517" t="e">
        <v>#N/A</v>
      </c>
      <c r="AG877" s="520" t="e">
        <v>#N/A</v>
      </c>
      <c r="AH877" s="9"/>
      <c r="AI877" s="10"/>
      <c r="AJ877" s="9"/>
      <c r="AK877" s="10"/>
      <c r="AL877" s="10"/>
    </row>
    <row r="878" spans="1:38" ht="22.5" hidden="1">
      <c r="A878" s="1">
        <f t="shared" si="90"/>
        <v>0</v>
      </c>
      <c r="B878" s="2" t="s">
        <v>2742</v>
      </c>
      <c r="C878" s="3" t="s">
        <v>2743</v>
      </c>
      <c r="D878" s="15" t="s">
        <v>11604</v>
      </c>
      <c r="E878" s="4" t="s">
        <v>2742</v>
      </c>
      <c r="F878" s="37" t="s">
        <v>2743</v>
      </c>
      <c r="G878" s="38">
        <v>0</v>
      </c>
      <c r="H878" s="38">
        <v>0</v>
      </c>
      <c r="I878" s="15"/>
      <c r="J878" s="494">
        <v>20106010209</v>
      </c>
      <c r="K878" s="517"/>
      <c r="L878" s="517" t="s">
        <v>13498</v>
      </c>
      <c r="M878" s="517" t="s">
        <v>251</v>
      </c>
      <c r="N878" s="518" t="s">
        <v>2719</v>
      </c>
      <c r="O878" s="517">
        <v>2</v>
      </c>
      <c r="P878" s="517" t="s">
        <v>632</v>
      </c>
      <c r="Q878" s="517" t="s">
        <v>739</v>
      </c>
      <c r="R878" s="517" t="s">
        <v>632</v>
      </c>
      <c r="S878" s="517" t="s">
        <v>647</v>
      </c>
      <c r="T878" s="518" t="s">
        <v>2725</v>
      </c>
      <c r="U878" s="38">
        <v>0</v>
      </c>
      <c r="V878" s="15" t="str">
        <f t="shared" si="87"/>
        <v/>
      </c>
      <c r="W878" s="1"/>
      <c r="X878" s="1"/>
      <c r="Y878" s="1"/>
      <c r="Z878" s="1"/>
      <c r="AA878" s="1"/>
      <c r="AB878" s="3"/>
      <c r="AC878" s="9"/>
      <c r="AD878" s="517" t="e">
        <v>#N/A</v>
      </c>
      <c r="AE878" s="517" t="e">
        <v>#N/A</v>
      </c>
      <c r="AF878" s="517" t="e">
        <v>#N/A</v>
      </c>
      <c r="AG878" s="520" t="e">
        <v>#N/A</v>
      </c>
      <c r="AH878" s="9"/>
      <c r="AI878" s="10"/>
      <c r="AJ878" s="9"/>
      <c r="AK878" s="10"/>
      <c r="AL878" s="10"/>
    </row>
    <row r="879" spans="1:38" ht="22.5" hidden="1">
      <c r="A879" s="1">
        <f t="shared" si="90"/>
        <v>0</v>
      </c>
      <c r="B879" s="2" t="s">
        <v>2744</v>
      </c>
      <c r="C879" s="3" t="s">
        <v>2745</v>
      </c>
      <c r="D879" s="15" t="s">
        <v>11604</v>
      </c>
      <c r="E879" s="4" t="s">
        <v>2744</v>
      </c>
      <c r="F879" s="37" t="s">
        <v>2745</v>
      </c>
      <c r="G879" s="38">
        <v>0</v>
      </c>
      <c r="H879" s="38">
        <v>0</v>
      </c>
      <c r="I879" s="15"/>
      <c r="J879" s="494">
        <v>20106010210</v>
      </c>
      <c r="K879" s="517"/>
      <c r="L879" s="517" t="s">
        <v>13498</v>
      </c>
      <c r="M879" s="517" t="s">
        <v>251</v>
      </c>
      <c r="N879" s="518" t="s">
        <v>2719</v>
      </c>
      <c r="O879" s="517">
        <v>2</v>
      </c>
      <c r="P879" s="517" t="s">
        <v>632</v>
      </c>
      <c r="Q879" s="517" t="s">
        <v>739</v>
      </c>
      <c r="R879" s="517" t="s">
        <v>632</v>
      </c>
      <c r="S879" s="517" t="s">
        <v>647</v>
      </c>
      <c r="T879" s="518" t="s">
        <v>2725</v>
      </c>
      <c r="U879" s="38">
        <v>0</v>
      </c>
      <c r="V879" s="15" t="str">
        <f t="shared" si="87"/>
        <v/>
      </c>
      <c r="W879" s="1"/>
      <c r="X879" s="1"/>
      <c r="Y879" s="1"/>
      <c r="Z879" s="1"/>
      <c r="AA879" s="1"/>
      <c r="AB879" s="3"/>
      <c r="AC879" s="9"/>
      <c r="AD879" s="517" t="e">
        <v>#N/A</v>
      </c>
      <c r="AE879" s="517" t="e">
        <v>#N/A</v>
      </c>
      <c r="AF879" s="517" t="e">
        <v>#N/A</v>
      </c>
      <c r="AG879" s="520" t="e">
        <v>#N/A</v>
      </c>
      <c r="AH879" s="9"/>
      <c r="AI879" s="10"/>
      <c r="AJ879" s="9"/>
      <c r="AK879" s="10"/>
      <c r="AL879" s="10"/>
    </row>
    <row r="880" spans="1:38" ht="22.5" hidden="1">
      <c r="A880" s="1">
        <f t="shared" si="90"/>
        <v>0</v>
      </c>
      <c r="B880" s="2" t="s">
        <v>2746</v>
      </c>
      <c r="C880" s="3" t="s">
        <v>2747</v>
      </c>
      <c r="D880" s="15" t="s">
        <v>11604</v>
      </c>
      <c r="E880" s="4" t="s">
        <v>2746</v>
      </c>
      <c r="F880" s="37" t="s">
        <v>2747</v>
      </c>
      <c r="G880" s="38">
        <v>0</v>
      </c>
      <c r="H880" s="38">
        <v>0</v>
      </c>
      <c r="I880" s="15"/>
      <c r="J880" s="494">
        <v>20106010211</v>
      </c>
      <c r="K880" s="517"/>
      <c r="L880" s="517" t="s">
        <v>13498</v>
      </c>
      <c r="M880" s="517" t="s">
        <v>251</v>
      </c>
      <c r="N880" s="518" t="s">
        <v>2719</v>
      </c>
      <c r="O880" s="517">
        <v>2</v>
      </c>
      <c r="P880" s="517" t="s">
        <v>632</v>
      </c>
      <c r="Q880" s="517" t="s">
        <v>739</v>
      </c>
      <c r="R880" s="517" t="s">
        <v>632</v>
      </c>
      <c r="S880" s="517" t="s">
        <v>647</v>
      </c>
      <c r="T880" s="518" t="s">
        <v>2725</v>
      </c>
      <c r="U880" s="38">
        <v>0</v>
      </c>
      <c r="V880" s="15" t="str">
        <f t="shared" si="87"/>
        <v/>
      </c>
      <c r="W880" s="1"/>
      <c r="X880" s="1"/>
      <c r="Y880" s="1"/>
      <c r="Z880" s="1"/>
      <c r="AA880" s="1"/>
      <c r="AB880" s="3"/>
      <c r="AC880" s="9"/>
      <c r="AD880" s="517" t="e">
        <v>#N/A</v>
      </c>
      <c r="AE880" s="517" t="e">
        <v>#N/A</v>
      </c>
      <c r="AF880" s="517" t="e">
        <v>#N/A</v>
      </c>
      <c r="AG880" s="520" t="e">
        <v>#N/A</v>
      </c>
      <c r="AH880" s="9"/>
      <c r="AI880" s="10"/>
      <c r="AJ880" s="9"/>
      <c r="AK880" s="10"/>
      <c r="AL880" s="10"/>
    </row>
    <row r="881" spans="1:38" ht="22.5" hidden="1">
      <c r="A881" s="1">
        <f t="shared" si="90"/>
        <v>0</v>
      </c>
      <c r="B881" s="2" t="s">
        <v>2748</v>
      </c>
      <c r="C881" s="3" t="s">
        <v>2749</v>
      </c>
      <c r="D881" s="15" t="s">
        <v>11604</v>
      </c>
      <c r="E881" s="4" t="s">
        <v>2748</v>
      </c>
      <c r="F881" s="37" t="s">
        <v>2749</v>
      </c>
      <c r="G881" s="38">
        <v>0</v>
      </c>
      <c r="H881" s="38">
        <v>0</v>
      </c>
      <c r="I881" s="15"/>
      <c r="J881" s="494">
        <v>20106010212</v>
      </c>
      <c r="K881" s="517"/>
      <c r="L881" s="517" t="s">
        <v>13498</v>
      </c>
      <c r="M881" s="517" t="s">
        <v>251</v>
      </c>
      <c r="N881" s="518" t="s">
        <v>2719</v>
      </c>
      <c r="O881" s="517">
        <v>2</v>
      </c>
      <c r="P881" s="517" t="s">
        <v>632</v>
      </c>
      <c r="Q881" s="517" t="s">
        <v>739</v>
      </c>
      <c r="R881" s="517" t="s">
        <v>632</v>
      </c>
      <c r="S881" s="517" t="s">
        <v>647</v>
      </c>
      <c r="T881" s="518" t="s">
        <v>2725</v>
      </c>
      <c r="U881" s="38">
        <v>0</v>
      </c>
      <c r="V881" s="15" t="str">
        <f t="shared" si="87"/>
        <v/>
      </c>
      <c r="W881" s="1"/>
      <c r="X881" s="1"/>
      <c r="Y881" s="1"/>
      <c r="Z881" s="1"/>
      <c r="AA881" s="1"/>
      <c r="AB881" s="3"/>
      <c r="AC881" s="9"/>
      <c r="AD881" s="517" t="e">
        <v>#N/A</v>
      </c>
      <c r="AE881" s="517" t="e">
        <v>#N/A</v>
      </c>
      <c r="AF881" s="517" t="e">
        <v>#N/A</v>
      </c>
      <c r="AG881" s="520" t="e">
        <v>#N/A</v>
      </c>
      <c r="AH881" s="9"/>
      <c r="AI881" s="10"/>
      <c r="AJ881" s="9"/>
      <c r="AK881" s="10"/>
      <c r="AL881" s="10"/>
    </row>
    <row r="882" spans="1:38" ht="22.5" hidden="1">
      <c r="A882" s="1">
        <f t="shared" si="90"/>
        <v>0</v>
      </c>
      <c r="B882" s="2" t="s">
        <v>2750</v>
      </c>
      <c r="C882" s="3" t="s">
        <v>2751</v>
      </c>
      <c r="D882" s="15" t="s">
        <v>11604</v>
      </c>
      <c r="E882" s="4" t="s">
        <v>2750</v>
      </c>
      <c r="F882" s="37" t="s">
        <v>2751</v>
      </c>
      <c r="G882" s="38">
        <v>0</v>
      </c>
      <c r="H882" s="38">
        <v>0</v>
      </c>
      <c r="I882" s="15"/>
      <c r="J882" s="494">
        <v>20106010213</v>
      </c>
      <c r="K882" s="517"/>
      <c r="L882" s="517" t="s">
        <v>13498</v>
      </c>
      <c r="M882" s="517" t="s">
        <v>251</v>
      </c>
      <c r="N882" s="518" t="s">
        <v>2719</v>
      </c>
      <c r="O882" s="517">
        <v>2</v>
      </c>
      <c r="P882" s="517" t="s">
        <v>632</v>
      </c>
      <c r="Q882" s="517" t="s">
        <v>739</v>
      </c>
      <c r="R882" s="517" t="s">
        <v>632</v>
      </c>
      <c r="S882" s="517" t="s">
        <v>647</v>
      </c>
      <c r="T882" s="518" t="s">
        <v>2725</v>
      </c>
      <c r="U882" s="38">
        <v>0</v>
      </c>
      <c r="V882" s="15" t="str">
        <f t="shared" si="87"/>
        <v/>
      </c>
      <c r="W882" s="1"/>
      <c r="X882" s="1"/>
      <c r="Y882" s="1"/>
      <c r="Z882" s="1"/>
      <c r="AA882" s="1"/>
      <c r="AB882" s="3"/>
      <c r="AC882" s="9"/>
      <c r="AD882" s="517" t="e">
        <v>#N/A</v>
      </c>
      <c r="AE882" s="517" t="e">
        <v>#N/A</v>
      </c>
      <c r="AF882" s="517" t="e">
        <v>#N/A</v>
      </c>
      <c r="AG882" s="520" t="e">
        <v>#N/A</v>
      </c>
      <c r="AH882" s="9"/>
      <c r="AI882" s="10"/>
      <c r="AJ882" s="9"/>
      <c r="AK882" s="10"/>
      <c r="AL882" s="10"/>
    </row>
    <row r="883" spans="1:38" ht="22.5" hidden="1">
      <c r="A883" s="1">
        <f t="shared" si="90"/>
        <v>0</v>
      </c>
      <c r="B883" s="2" t="s">
        <v>2752</v>
      </c>
      <c r="C883" s="3" t="s">
        <v>2753</v>
      </c>
      <c r="D883" s="15" t="s">
        <v>11604</v>
      </c>
      <c r="E883" s="4" t="s">
        <v>2752</v>
      </c>
      <c r="F883" s="37" t="s">
        <v>2753</v>
      </c>
      <c r="G883" s="38">
        <v>0</v>
      </c>
      <c r="H883" s="38">
        <v>0</v>
      </c>
      <c r="I883" s="15"/>
      <c r="J883" s="494">
        <v>20106010214</v>
      </c>
      <c r="K883" s="517"/>
      <c r="L883" s="517" t="s">
        <v>13498</v>
      </c>
      <c r="M883" s="517" t="s">
        <v>251</v>
      </c>
      <c r="N883" s="518" t="s">
        <v>2719</v>
      </c>
      <c r="O883" s="517">
        <v>2</v>
      </c>
      <c r="P883" s="517" t="s">
        <v>632</v>
      </c>
      <c r="Q883" s="517" t="s">
        <v>739</v>
      </c>
      <c r="R883" s="517" t="s">
        <v>632</v>
      </c>
      <c r="S883" s="517" t="s">
        <v>647</v>
      </c>
      <c r="T883" s="518" t="s">
        <v>2725</v>
      </c>
      <c r="U883" s="38">
        <v>0</v>
      </c>
      <c r="V883" s="15" t="str">
        <f t="shared" si="87"/>
        <v/>
      </c>
      <c r="W883" s="1"/>
      <c r="X883" s="1"/>
      <c r="Y883" s="1"/>
      <c r="Z883" s="1"/>
      <c r="AA883" s="1"/>
      <c r="AB883" s="3"/>
      <c r="AC883" s="9"/>
      <c r="AD883" s="517" t="e">
        <v>#N/A</v>
      </c>
      <c r="AE883" s="517" t="e">
        <v>#N/A</v>
      </c>
      <c r="AF883" s="517" t="e">
        <v>#N/A</v>
      </c>
      <c r="AG883" s="520" t="e">
        <v>#N/A</v>
      </c>
      <c r="AH883" s="9"/>
      <c r="AI883" s="10"/>
      <c r="AJ883" s="9"/>
      <c r="AK883" s="10"/>
      <c r="AL883" s="10"/>
    </row>
    <row r="884" spans="1:38" ht="22.5" hidden="1">
      <c r="A884" s="1">
        <f t="shared" si="90"/>
        <v>0</v>
      </c>
      <c r="B884" s="2" t="s">
        <v>2754</v>
      </c>
      <c r="C884" s="3" t="s">
        <v>2755</v>
      </c>
      <c r="D884" s="15" t="s">
        <v>11604</v>
      </c>
      <c r="E884" s="4" t="s">
        <v>2754</v>
      </c>
      <c r="F884" s="37" t="s">
        <v>2755</v>
      </c>
      <c r="G884" s="38">
        <v>251983.26</v>
      </c>
      <c r="H884" s="38">
        <v>251983.26</v>
      </c>
      <c r="I884" s="15"/>
      <c r="J884" s="494">
        <v>20106010215</v>
      </c>
      <c r="K884" s="517"/>
      <c r="L884" s="517" t="s">
        <v>13498</v>
      </c>
      <c r="M884" s="517" t="s">
        <v>251</v>
      </c>
      <c r="N884" s="518" t="s">
        <v>2719</v>
      </c>
      <c r="O884" s="517">
        <v>2</v>
      </c>
      <c r="P884" s="517" t="s">
        <v>632</v>
      </c>
      <c r="Q884" s="517" t="s">
        <v>739</v>
      </c>
      <c r="R884" s="517" t="s">
        <v>632</v>
      </c>
      <c r="S884" s="517" t="s">
        <v>647</v>
      </c>
      <c r="T884" s="518" t="s">
        <v>2725</v>
      </c>
      <c r="U884" s="38">
        <v>251983.26</v>
      </c>
      <c r="V884" s="15" t="str">
        <f t="shared" si="87"/>
        <v/>
      </c>
      <c r="W884" s="1"/>
      <c r="X884" s="1"/>
      <c r="Y884" s="1"/>
      <c r="Z884" s="1"/>
      <c r="AA884" s="1"/>
      <c r="AB884" s="3"/>
      <c r="AC884" s="9"/>
      <c r="AD884" s="517" t="e">
        <v>#N/A</v>
      </c>
      <c r="AE884" s="517" t="e">
        <v>#N/A</v>
      </c>
      <c r="AF884" s="517" t="e">
        <v>#N/A</v>
      </c>
      <c r="AG884" s="520" t="e">
        <v>#N/A</v>
      </c>
      <c r="AH884" s="9"/>
      <c r="AI884" s="10"/>
      <c r="AJ884" s="9"/>
      <c r="AK884" s="10"/>
      <c r="AL884" s="10"/>
    </row>
    <row r="885" spans="1:38" ht="22.5" hidden="1">
      <c r="A885" s="1">
        <f t="shared" si="90"/>
        <v>0</v>
      </c>
      <c r="B885" s="11"/>
      <c r="C885" s="11"/>
      <c r="D885" s="15" t="s">
        <v>16</v>
      </c>
      <c r="E885" s="24"/>
      <c r="F885" s="25" t="s">
        <v>2756</v>
      </c>
      <c r="G885" s="26">
        <f t="shared" ref="G885:H886" si="91">G886</f>
        <v>112710.73033330776</v>
      </c>
      <c r="H885" s="26">
        <f t="shared" si="91"/>
        <v>149402.09000003338</v>
      </c>
      <c r="I885" s="15"/>
      <c r="J885" s="494"/>
      <c r="K885" s="509"/>
      <c r="L885" s="509"/>
      <c r="M885" s="509"/>
      <c r="N885" s="510"/>
      <c r="O885" s="509"/>
      <c r="P885" s="509"/>
      <c r="Q885" s="509"/>
      <c r="R885" s="509"/>
      <c r="S885" s="509"/>
      <c r="T885" s="510"/>
      <c r="U885" s="26">
        <f t="shared" ref="U885:U886" si="92">U886</f>
        <v>149402.09000003338</v>
      </c>
      <c r="V885" s="15" t="str">
        <f t="shared" si="87"/>
        <v>201070000</v>
      </c>
      <c r="W885" s="27">
        <v>2</v>
      </c>
      <c r="X885" s="28" t="s">
        <v>632</v>
      </c>
      <c r="Y885" s="28" t="s">
        <v>755</v>
      </c>
      <c r="Z885" s="28" t="s">
        <v>630</v>
      </c>
      <c r="AA885" s="28" t="s">
        <v>630</v>
      </c>
      <c r="AB885" s="25" t="s">
        <v>2756</v>
      </c>
      <c r="AC885" s="530">
        <f>AC886</f>
        <v>149402.09000003338</v>
      </c>
      <c r="AD885" s="509">
        <v>0</v>
      </c>
      <c r="AE885" s="509" t="s">
        <v>13499</v>
      </c>
      <c r="AF885" s="509" t="s">
        <v>252</v>
      </c>
      <c r="AG885" s="510" t="s">
        <v>2757</v>
      </c>
      <c r="AH885" s="53">
        <f>AH886</f>
        <v>149402.09000003338</v>
      </c>
      <c r="AI885" s="10"/>
      <c r="AJ885" s="9">
        <f t="shared" ref="AJ885:AJ907" si="93">AH885-H885</f>
        <v>0</v>
      </c>
      <c r="AK885" s="10"/>
      <c r="AL885" s="10"/>
    </row>
    <row r="886" spans="1:38" ht="22.5" hidden="1">
      <c r="A886" s="1">
        <f t="shared" si="90"/>
        <v>0</v>
      </c>
      <c r="B886" s="11"/>
      <c r="C886" s="11"/>
      <c r="D886" s="15" t="s">
        <v>16</v>
      </c>
      <c r="E886" s="30"/>
      <c r="F886" s="31" t="s">
        <v>2758</v>
      </c>
      <c r="G886" s="32">
        <f t="shared" si="91"/>
        <v>112710.73033330776</v>
      </c>
      <c r="H886" s="32">
        <f t="shared" si="91"/>
        <v>149402.09000003338</v>
      </c>
      <c r="I886" s="15"/>
      <c r="J886" s="494"/>
      <c r="K886" s="513"/>
      <c r="L886" s="513"/>
      <c r="M886" s="513"/>
      <c r="N886" s="514"/>
      <c r="O886" s="513"/>
      <c r="P886" s="513"/>
      <c r="Q886" s="513"/>
      <c r="R886" s="513"/>
      <c r="S886" s="513"/>
      <c r="T886" s="514"/>
      <c r="U886" s="32">
        <f t="shared" si="92"/>
        <v>149402.09000003338</v>
      </c>
      <c r="V886" s="15" t="str">
        <f t="shared" si="87"/>
        <v>201070100</v>
      </c>
      <c r="W886" s="33">
        <v>2</v>
      </c>
      <c r="X886" s="34" t="s">
        <v>632</v>
      </c>
      <c r="Y886" s="34" t="s">
        <v>755</v>
      </c>
      <c r="Z886" s="34" t="s">
        <v>632</v>
      </c>
      <c r="AA886" s="35" t="s">
        <v>630</v>
      </c>
      <c r="AB886" s="31" t="s">
        <v>2758</v>
      </c>
      <c r="AC886" s="529">
        <f>AC887</f>
        <v>149402.09000003338</v>
      </c>
      <c r="AD886" s="513">
        <v>0</v>
      </c>
      <c r="AE886" s="513" t="s">
        <v>13499</v>
      </c>
      <c r="AF886" s="513" t="s">
        <v>252</v>
      </c>
      <c r="AG886" s="514" t="s">
        <v>2757</v>
      </c>
      <c r="AH886" s="44">
        <f>AH887</f>
        <v>149402.09000003338</v>
      </c>
      <c r="AI886" s="10"/>
      <c r="AJ886" s="9">
        <f t="shared" si="93"/>
        <v>0</v>
      </c>
      <c r="AK886" s="10"/>
      <c r="AL886" s="10"/>
    </row>
    <row r="887" spans="1:38" ht="22.5" hidden="1">
      <c r="A887" s="1">
        <f t="shared" si="90"/>
        <v>0</v>
      </c>
      <c r="B887" s="2" t="s">
        <v>2759</v>
      </c>
      <c r="C887" s="3" t="s">
        <v>2756</v>
      </c>
      <c r="D887" s="15" t="s">
        <v>11605</v>
      </c>
      <c r="E887" s="4" t="s">
        <v>2759</v>
      </c>
      <c r="F887" s="37" t="s">
        <v>2756</v>
      </c>
      <c r="G887" s="61">
        <v>112710.73033330776</v>
      </c>
      <c r="H887" s="38">
        <v>149402.09000003338</v>
      </c>
      <c r="I887" s="15"/>
      <c r="J887" s="494">
        <v>20107010101</v>
      </c>
      <c r="K887" s="517"/>
      <c r="L887" s="517" t="s">
        <v>13499</v>
      </c>
      <c r="M887" s="517" t="s">
        <v>252</v>
      </c>
      <c r="N887" s="518" t="s">
        <v>2757</v>
      </c>
      <c r="O887" s="517">
        <v>2</v>
      </c>
      <c r="P887" s="517" t="s">
        <v>632</v>
      </c>
      <c r="Q887" s="517" t="s">
        <v>755</v>
      </c>
      <c r="R887" s="517" t="s">
        <v>632</v>
      </c>
      <c r="S887" s="517" t="s">
        <v>632</v>
      </c>
      <c r="T887" s="518" t="s">
        <v>2756</v>
      </c>
      <c r="U887" s="38">
        <v>149402.09000003338</v>
      </c>
      <c r="V887" s="15" t="str">
        <f t="shared" si="87"/>
        <v>201070101</v>
      </c>
      <c r="W887" s="39">
        <v>2</v>
      </c>
      <c r="X887" s="40" t="s">
        <v>632</v>
      </c>
      <c r="Y887" s="40" t="s">
        <v>755</v>
      </c>
      <c r="Z887" s="40" t="s">
        <v>632</v>
      </c>
      <c r="AA887" s="40" t="s">
        <v>632</v>
      </c>
      <c r="AB887" s="41" t="s">
        <v>2756</v>
      </c>
      <c r="AC887" s="9">
        <f>H887</f>
        <v>149402.09000003338</v>
      </c>
      <c r="AD887" s="517">
        <v>0</v>
      </c>
      <c r="AE887" s="517" t="s">
        <v>13499</v>
      </c>
      <c r="AF887" s="517" t="s">
        <v>252</v>
      </c>
      <c r="AG887" s="520" t="s">
        <v>2757</v>
      </c>
      <c r="AH887" s="67">
        <f>AC887</f>
        <v>149402.09000003338</v>
      </c>
      <c r="AI887" s="10"/>
      <c r="AJ887" s="9">
        <f t="shared" si="93"/>
        <v>0</v>
      </c>
      <c r="AK887" s="10"/>
      <c r="AL887" s="10"/>
    </row>
    <row r="888" spans="1:38" ht="22.5" hidden="1">
      <c r="A888" s="1">
        <f t="shared" si="90"/>
        <v>0</v>
      </c>
      <c r="B888" s="11"/>
      <c r="C888" s="11"/>
      <c r="D888" s="15" t="s">
        <v>16</v>
      </c>
      <c r="E888" s="18"/>
      <c r="F888" s="23" t="s">
        <v>2760</v>
      </c>
      <c r="G888" s="20">
        <f>G889+G892+G913+G930+G1024</f>
        <v>54388641.720000006</v>
      </c>
      <c r="H888" s="20">
        <f>H889+H892+H913+H930+H1024</f>
        <v>61809855.740000002</v>
      </c>
      <c r="I888" s="15"/>
      <c r="J888" s="494"/>
      <c r="K888" s="502"/>
      <c r="L888" s="502"/>
      <c r="M888" s="502"/>
      <c r="N888" s="503"/>
      <c r="O888" s="502"/>
      <c r="P888" s="502"/>
      <c r="Q888" s="502"/>
      <c r="R888" s="502"/>
      <c r="S888" s="502"/>
      <c r="T888" s="503"/>
      <c r="U888" s="20">
        <f>U889+U892+U913+U930+U1024</f>
        <v>61809855.740000002</v>
      </c>
      <c r="V888" s="15" t="str">
        <f t="shared" si="87"/>
        <v>202000000</v>
      </c>
      <c r="W888" s="21">
        <v>2</v>
      </c>
      <c r="X888" s="22" t="s">
        <v>647</v>
      </c>
      <c r="Y888" s="22" t="s">
        <v>630</v>
      </c>
      <c r="Z888" s="22" t="s">
        <v>630</v>
      </c>
      <c r="AA888" s="22" t="s">
        <v>630</v>
      </c>
      <c r="AB888" s="23" t="s">
        <v>2760</v>
      </c>
      <c r="AC888" s="587">
        <f>AC889+AC892+AC913+AC930+AC1024</f>
        <v>61809855.740000002</v>
      </c>
      <c r="AD888" s="502">
        <v>0</v>
      </c>
      <c r="AE888" s="502" t="s">
        <v>2761</v>
      </c>
      <c r="AF888" s="502" t="s">
        <v>2762</v>
      </c>
      <c r="AG888" s="503" t="s">
        <v>13500</v>
      </c>
      <c r="AH888" s="20">
        <f>AH889+AH892+AH913+AH930+AH1024</f>
        <v>61809855.740000002</v>
      </c>
      <c r="AI888" s="10"/>
      <c r="AJ888" s="9">
        <f t="shared" si="93"/>
        <v>0</v>
      </c>
      <c r="AK888" s="10"/>
      <c r="AL888" s="10"/>
    </row>
    <row r="889" spans="1:38" ht="22.5" hidden="1">
      <c r="A889" s="1">
        <f t="shared" si="90"/>
        <v>0</v>
      </c>
      <c r="B889" s="11"/>
      <c r="C889" s="11"/>
      <c r="D889" s="15" t="s">
        <v>16</v>
      </c>
      <c r="E889" s="24"/>
      <c r="F889" s="25" t="s">
        <v>32</v>
      </c>
      <c r="G889" s="26">
        <f t="shared" ref="G889:H890" si="94">G890</f>
        <v>0</v>
      </c>
      <c r="H889" s="26">
        <f t="shared" si="94"/>
        <v>0</v>
      </c>
      <c r="I889" s="15"/>
      <c r="J889" s="494"/>
      <c r="K889" s="509"/>
      <c r="L889" s="509"/>
      <c r="M889" s="509"/>
      <c r="N889" s="510"/>
      <c r="O889" s="509"/>
      <c r="P889" s="509"/>
      <c r="Q889" s="509"/>
      <c r="R889" s="509"/>
      <c r="S889" s="509"/>
      <c r="T889" s="510"/>
      <c r="U889" s="26">
        <f t="shared" ref="U889:U890" si="95">U890</f>
        <v>0</v>
      </c>
      <c r="V889" s="15" t="str">
        <f t="shared" si="87"/>
        <v>202010000</v>
      </c>
      <c r="W889" s="27">
        <v>2</v>
      </c>
      <c r="X889" s="28" t="s">
        <v>647</v>
      </c>
      <c r="Y889" s="28" t="s">
        <v>632</v>
      </c>
      <c r="Z889" s="28" t="s">
        <v>630</v>
      </c>
      <c r="AA889" s="28" t="s">
        <v>630</v>
      </c>
      <c r="AB889" s="25" t="s">
        <v>32</v>
      </c>
      <c r="AC889" s="530">
        <f>AC890</f>
        <v>0</v>
      </c>
      <c r="AD889" s="509">
        <v>0</v>
      </c>
      <c r="AE889" s="509" t="s">
        <v>1147</v>
      </c>
      <c r="AF889" s="509" t="s">
        <v>253</v>
      </c>
      <c r="AG889" s="510" t="s">
        <v>13501</v>
      </c>
      <c r="AH889" s="53">
        <f>AH890</f>
        <v>0</v>
      </c>
      <c r="AI889" s="10"/>
      <c r="AJ889" s="9">
        <f t="shared" si="93"/>
        <v>0</v>
      </c>
      <c r="AK889" s="10"/>
      <c r="AL889" s="10"/>
    </row>
    <row r="890" spans="1:38" ht="22.5" hidden="1">
      <c r="A890" s="1">
        <f t="shared" si="90"/>
        <v>0</v>
      </c>
      <c r="B890" s="11"/>
      <c r="C890" s="11"/>
      <c r="D890" s="15" t="s">
        <v>16</v>
      </c>
      <c r="E890" s="30"/>
      <c r="F890" s="31" t="s">
        <v>2763</v>
      </c>
      <c r="G890" s="32">
        <f t="shared" si="94"/>
        <v>0</v>
      </c>
      <c r="H890" s="32">
        <f t="shared" si="94"/>
        <v>0</v>
      </c>
      <c r="I890" s="15"/>
      <c r="J890" s="494"/>
      <c r="K890" s="513"/>
      <c r="L890" s="513"/>
      <c r="M890" s="513"/>
      <c r="N890" s="514"/>
      <c r="O890" s="513"/>
      <c r="P890" s="513"/>
      <c r="Q890" s="513"/>
      <c r="R890" s="513"/>
      <c r="S890" s="513"/>
      <c r="T890" s="514"/>
      <c r="U890" s="32">
        <f t="shared" si="95"/>
        <v>0</v>
      </c>
      <c r="V890" s="15" t="str">
        <f t="shared" si="87"/>
        <v>202010100</v>
      </c>
      <c r="W890" s="33">
        <v>2</v>
      </c>
      <c r="X890" s="34" t="s">
        <v>647</v>
      </c>
      <c r="Y890" s="34" t="s">
        <v>632</v>
      </c>
      <c r="Z890" s="34" t="s">
        <v>632</v>
      </c>
      <c r="AA890" s="35" t="s">
        <v>630</v>
      </c>
      <c r="AB890" s="31" t="s">
        <v>2763</v>
      </c>
      <c r="AC890" s="529">
        <f>AC891</f>
        <v>0</v>
      </c>
      <c r="AD890" s="513">
        <v>0</v>
      </c>
      <c r="AE890" s="513" t="s">
        <v>1147</v>
      </c>
      <c r="AF890" s="513" t="s">
        <v>253</v>
      </c>
      <c r="AG890" s="514" t="s">
        <v>2764</v>
      </c>
      <c r="AH890" s="44">
        <f>AH891</f>
        <v>0</v>
      </c>
      <c r="AI890" s="10"/>
      <c r="AJ890" s="9">
        <f t="shared" si="93"/>
        <v>0</v>
      </c>
      <c r="AK890" s="10"/>
      <c r="AL890" s="10"/>
    </row>
    <row r="891" spans="1:38" ht="22.5" hidden="1">
      <c r="A891" s="1">
        <f t="shared" si="90"/>
        <v>0</v>
      </c>
      <c r="B891" s="2" t="s">
        <v>2765</v>
      </c>
      <c r="C891" s="3" t="s">
        <v>32</v>
      </c>
      <c r="D891" s="15" t="s">
        <v>11606</v>
      </c>
      <c r="E891" s="4" t="s">
        <v>2765</v>
      </c>
      <c r="F891" s="37" t="s">
        <v>32</v>
      </c>
      <c r="G891" s="38">
        <v>0</v>
      </c>
      <c r="H891" s="38">
        <v>0</v>
      </c>
      <c r="I891" s="15"/>
      <c r="J891" s="494">
        <v>20201010101</v>
      </c>
      <c r="K891" s="517"/>
      <c r="L891" s="517" t="s">
        <v>1147</v>
      </c>
      <c r="M891" s="517" t="s">
        <v>253</v>
      </c>
      <c r="N891" s="518" t="s">
        <v>2764</v>
      </c>
      <c r="O891" s="517">
        <v>2</v>
      </c>
      <c r="P891" s="517" t="s">
        <v>647</v>
      </c>
      <c r="Q891" s="517" t="s">
        <v>632</v>
      </c>
      <c r="R891" s="517" t="s">
        <v>632</v>
      </c>
      <c r="S891" s="517" t="s">
        <v>632</v>
      </c>
      <c r="T891" s="518" t="s">
        <v>2763</v>
      </c>
      <c r="U891" s="38">
        <v>0</v>
      </c>
      <c r="V891" s="15" t="str">
        <f t="shared" si="87"/>
        <v>202010101</v>
      </c>
      <c r="W891" s="39">
        <v>2</v>
      </c>
      <c r="X891" s="40" t="s">
        <v>647</v>
      </c>
      <c r="Y891" s="40" t="s">
        <v>632</v>
      </c>
      <c r="Z891" s="40" t="s">
        <v>632</v>
      </c>
      <c r="AA891" s="40" t="s">
        <v>632</v>
      </c>
      <c r="AB891" s="41" t="s">
        <v>2763</v>
      </c>
      <c r="AC891" s="9">
        <f>H891</f>
        <v>0</v>
      </c>
      <c r="AD891" s="517">
        <v>0</v>
      </c>
      <c r="AE891" s="517" t="s">
        <v>1147</v>
      </c>
      <c r="AF891" s="517" t="s">
        <v>253</v>
      </c>
      <c r="AG891" s="520" t="s">
        <v>2764</v>
      </c>
      <c r="AH891" s="9">
        <f>AC891</f>
        <v>0</v>
      </c>
      <c r="AI891" s="10"/>
      <c r="AJ891" s="9">
        <f t="shared" si="93"/>
        <v>0</v>
      </c>
      <c r="AK891" s="10"/>
      <c r="AL891" s="10"/>
    </row>
    <row r="892" spans="1:38" hidden="1">
      <c r="A892" s="1">
        <f t="shared" si="90"/>
        <v>0</v>
      </c>
      <c r="B892" s="11"/>
      <c r="C892" s="11"/>
      <c r="D892" s="15" t="s">
        <v>16</v>
      </c>
      <c r="E892" s="24"/>
      <c r="F892" s="25" t="s">
        <v>2766</v>
      </c>
      <c r="G892" s="26">
        <f>G893+G895+G898+G900+G902+G904+G906</f>
        <v>21963786.940000001</v>
      </c>
      <c r="H892" s="26">
        <f>H893+H895+H898+H900+H902+H904+H906</f>
        <v>23268722.379999999</v>
      </c>
      <c r="I892" s="15"/>
      <c r="J892" s="494"/>
      <c r="K892" s="509"/>
      <c r="L892" s="509"/>
      <c r="M892" s="509"/>
      <c r="N892" s="510"/>
      <c r="O892" s="509"/>
      <c r="P892" s="509"/>
      <c r="Q892" s="509"/>
      <c r="R892" s="509"/>
      <c r="S892" s="509"/>
      <c r="T892" s="510"/>
      <c r="U892" s="26">
        <f>U893+U895+U898+U900+U902+U904+U906</f>
        <v>23268722.379999999</v>
      </c>
      <c r="V892" s="15" t="str">
        <f t="shared" si="87"/>
        <v>202020000</v>
      </c>
      <c r="W892" s="27">
        <v>2</v>
      </c>
      <c r="X892" s="28" t="s">
        <v>647</v>
      </c>
      <c r="Y892" s="28" t="s">
        <v>647</v>
      </c>
      <c r="Z892" s="28" t="s">
        <v>630</v>
      </c>
      <c r="AA892" s="28" t="s">
        <v>630</v>
      </c>
      <c r="AB892" s="25" t="s">
        <v>2766</v>
      </c>
      <c r="AC892" s="530">
        <f>AC893+AC895+AC898+AC900+AC902+AC904+AC906</f>
        <v>23268722.379999999</v>
      </c>
      <c r="AD892" s="509">
        <v>0</v>
      </c>
      <c r="AE892" s="509" t="s">
        <v>13502</v>
      </c>
      <c r="AF892" s="509" t="s">
        <v>255</v>
      </c>
      <c r="AG892" s="510" t="s">
        <v>13503</v>
      </c>
      <c r="AH892" s="53">
        <f>AH893+AH895+AH898+AH900+AH902+AH904+AH906</f>
        <v>23268722.379999999</v>
      </c>
      <c r="AI892" s="10"/>
      <c r="AJ892" s="9">
        <f t="shared" si="93"/>
        <v>0</v>
      </c>
      <c r="AK892" s="10"/>
      <c r="AL892" s="10"/>
    </row>
    <row r="893" spans="1:38" ht="33.75" hidden="1">
      <c r="A893" s="1">
        <f t="shared" si="90"/>
        <v>0</v>
      </c>
      <c r="B893" s="11"/>
      <c r="C893" s="11"/>
      <c r="D893" s="15" t="s">
        <v>16</v>
      </c>
      <c r="E893" s="30"/>
      <c r="F893" s="31" t="s">
        <v>2767</v>
      </c>
      <c r="G893" s="32">
        <f>G894</f>
        <v>11105189.390000001</v>
      </c>
      <c r="H893" s="32">
        <f>H894</f>
        <v>16061835.890000001</v>
      </c>
      <c r="I893" s="15"/>
      <c r="J893" s="494"/>
      <c r="K893" s="513"/>
      <c r="L893" s="513"/>
      <c r="M893" s="513"/>
      <c r="N893" s="514"/>
      <c r="O893" s="513"/>
      <c r="P893" s="513"/>
      <c r="Q893" s="513"/>
      <c r="R893" s="513"/>
      <c r="S893" s="513"/>
      <c r="T893" s="514"/>
      <c r="U893" s="32">
        <f>U894</f>
        <v>16061835.890000001</v>
      </c>
      <c r="V893" s="15" t="str">
        <f t="shared" si="87"/>
        <v>202020100</v>
      </c>
      <c r="W893" s="33">
        <v>2</v>
      </c>
      <c r="X893" s="34" t="s">
        <v>647</v>
      </c>
      <c r="Y893" s="34" t="s">
        <v>647</v>
      </c>
      <c r="Z893" s="34" t="s">
        <v>632</v>
      </c>
      <c r="AA893" s="35" t="s">
        <v>630</v>
      </c>
      <c r="AB893" s="31" t="s">
        <v>2767</v>
      </c>
      <c r="AC893" s="529">
        <f>AC894</f>
        <v>16061835.890000001</v>
      </c>
      <c r="AD893" s="513">
        <v>0</v>
      </c>
      <c r="AE893" s="513" t="s">
        <v>13386</v>
      </c>
      <c r="AF893" s="513" t="s">
        <v>254</v>
      </c>
      <c r="AG893" s="514" t="s">
        <v>2768</v>
      </c>
      <c r="AH893" s="44">
        <f>AH894</f>
        <v>16061835.890000001</v>
      </c>
      <c r="AI893" s="10"/>
      <c r="AJ893" s="9">
        <f t="shared" si="93"/>
        <v>0</v>
      </c>
      <c r="AK893" s="10"/>
      <c r="AL893" s="10"/>
    </row>
    <row r="894" spans="1:38" ht="33.75" hidden="1">
      <c r="A894" s="1">
        <f t="shared" si="90"/>
        <v>0</v>
      </c>
      <c r="B894" s="2" t="s">
        <v>2769</v>
      </c>
      <c r="C894" s="3" t="s">
        <v>2770</v>
      </c>
      <c r="D894" s="15" t="s">
        <v>11607</v>
      </c>
      <c r="E894" s="4" t="s">
        <v>2769</v>
      </c>
      <c r="F894" s="37" t="s">
        <v>2770</v>
      </c>
      <c r="G894" s="61">
        <v>11105189.390000001</v>
      </c>
      <c r="H894" s="38">
        <v>16061835.890000001</v>
      </c>
      <c r="I894" s="15"/>
      <c r="J894" s="494">
        <v>20202010101</v>
      </c>
      <c r="K894" s="517"/>
      <c r="L894" s="517" t="s">
        <v>13386</v>
      </c>
      <c r="M894" s="517" t="s">
        <v>254</v>
      </c>
      <c r="N894" s="518" t="s">
        <v>2768</v>
      </c>
      <c r="O894" s="517">
        <v>2</v>
      </c>
      <c r="P894" s="517" t="s">
        <v>647</v>
      </c>
      <c r="Q894" s="517" t="s">
        <v>647</v>
      </c>
      <c r="R894" s="517" t="s">
        <v>632</v>
      </c>
      <c r="S894" s="517" t="s">
        <v>632</v>
      </c>
      <c r="T894" s="518" t="s">
        <v>2767</v>
      </c>
      <c r="U894" s="38">
        <v>16061835.890000001</v>
      </c>
      <c r="V894" s="15" t="str">
        <f t="shared" si="87"/>
        <v>202020101</v>
      </c>
      <c r="W894" s="39">
        <v>2</v>
      </c>
      <c r="X894" s="40" t="s">
        <v>647</v>
      </c>
      <c r="Y894" s="40" t="s">
        <v>647</v>
      </c>
      <c r="Z894" s="40" t="s">
        <v>632</v>
      </c>
      <c r="AA894" s="40" t="s">
        <v>632</v>
      </c>
      <c r="AB894" s="41" t="s">
        <v>2767</v>
      </c>
      <c r="AC894" s="9">
        <f>H894</f>
        <v>16061835.890000001</v>
      </c>
      <c r="AD894" s="517">
        <v>0</v>
      </c>
      <c r="AE894" s="517" t="s">
        <v>13386</v>
      </c>
      <c r="AF894" s="517" t="s">
        <v>254</v>
      </c>
      <c r="AG894" s="520" t="s">
        <v>2768</v>
      </c>
      <c r="AH894" s="67">
        <f>AC894</f>
        <v>16061835.890000001</v>
      </c>
      <c r="AI894" s="10"/>
      <c r="AJ894" s="9">
        <f t="shared" si="93"/>
        <v>0</v>
      </c>
      <c r="AK894" s="10"/>
      <c r="AL894" s="10"/>
    </row>
    <row r="895" spans="1:38" ht="33.75" hidden="1">
      <c r="A895" s="1">
        <f t="shared" si="90"/>
        <v>0</v>
      </c>
      <c r="D895" s="15" t="s">
        <v>16</v>
      </c>
      <c r="E895" s="30"/>
      <c r="F895" s="78" t="s">
        <v>2771</v>
      </c>
      <c r="G895" s="79">
        <f>SUM(G896:G897)</f>
        <v>2736390.72</v>
      </c>
      <c r="H895" s="79">
        <f>SUM(H896:H897)</f>
        <v>4708948.0599999996</v>
      </c>
      <c r="I895" s="15"/>
      <c r="J895" s="494"/>
      <c r="K895" s="595"/>
      <c r="L895" s="595"/>
      <c r="M895" s="595"/>
      <c r="N895" s="596"/>
      <c r="O895" s="595"/>
      <c r="P895" s="595"/>
      <c r="Q895" s="595"/>
      <c r="R895" s="595"/>
      <c r="S895" s="595"/>
      <c r="T895" s="596"/>
      <c r="U895" s="79">
        <f>SUM(U896:U897)</f>
        <v>4708948.0599999996</v>
      </c>
      <c r="V895" s="15" t="str">
        <f t="shared" si="87"/>
        <v>202020200</v>
      </c>
      <c r="W895" s="80">
        <v>2</v>
      </c>
      <c r="X895" s="81" t="s">
        <v>647</v>
      </c>
      <c r="Y895" s="81" t="s">
        <v>647</v>
      </c>
      <c r="Z895" s="81" t="s">
        <v>647</v>
      </c>
      <c r="AA895" s="82" t="s">
        <v>630</v>
      </c>
      <c r="AB895" s="78" t="s">
        <v>2771</v>
      </c>
      <c r="AC895" s="597">
        <f>SUM(AC896:AC897)</f>
        <v>4708948.0599999996</v>
      </c>
      <c r="AD895" s="595">
        <v>0</v>
      </c>
      <c r="AE895" s="595" t="s">
        <v>13504</v>
      </c>
      <c r="AF895" s="595" t="s">
        <v>256</v>
      </c>
      <c r="AG895" s="596" t="s">
        <v>2772</v>
      </c>
      <c r="AH895" s="83">
        <f>SUM(AH896:AH897)</f>
        <v>4708948.0599999996</v>
      </c>
      <c r="AI895" s="10"/>
      <c r="AJ895" s="9">
        <f t="shared" si="93"/>
        <v>0</v>
      </c>
      <c r="AK895" s="10"/>
      <c r="AL895" s="10"/>
    </row>
    <row r="896" spans="1:38" ht="33.75" hidden="1">
      <c r="A896" s="1">
        <f t="shared" si="90"/>
        <v>0</v>
      </c>
      <c r="B896" s="2" t="s">
        <v>2773</v>
      </c>
      <c r="C896" s="3" t="s">
        <v>2774</v>
      </c>
      <c r="D896" s="15" t="s">
        <v>11608</v>
      </c>
      <c r="E896" s="4" t="s">
        <v>2773</v>
      </c>
      <c r="F896" s="37" t="s">
        <v>2774</v>
      </c>
      <c r="G896" s="38">
        <v>2736390.72</v>
      </c>
      <c r="H896" s="38">
        <v>4708948.0599999996</v>
      </c>
      <c r="I896" s="15"/>
      <c r="J896" s="494">
        <v>20202020101</v>
      </c>
      <c r="K896" s="517"/>
      <c r="L896" s="517" t="s">
        <v>13504</v>
      </c>
      <c r="M896" s="517" t="s">
        <v>256</v>
      </c>
      <c r="N896" s="518" t="s">
        <v>2772</v>
      </c>
      <c r="O896" s="517">
        <v>2</v>
      </c>
      <c r="P896" s="517" t="s">
        <v>647</v>
      </c>
      <c r="Q896" s="517" t="s">
        <v>647</v>
      </c>
      <c r="R896" s="517" t="s">
        <v>647</v>
      </c>
      <c r="S896" s="517" t="s">
        <v>632</v>
      </c>
      <c r="T896" s="518" t="s">
        <v>2771</v>
      </c>
      <c r="U896" s="38">
        <v>4708948.0599999996</v>
      </c>
      <c r="V896" s="15" t="str">
        <f t="shared" si="87"/>
        <v>202020201</v>
      </c>
      <c r="W896" s="39">
        <v>2</v>
      </c>
      <c r="X896" s="40" t="s">
        <v>647</v>
      </c>
      <c r="Y896" s="40" t="s">
        <v>647</v>
      </c>
      <c r="Z896" s="40" t="s">
        <v>647</v>
      </c>
      <c r="AA896" s="40" t="s">
        <v>632</v>
      </c>
      <c r="AB896" s="41" t="s">
        <v>2771</v>
      </c>
      <c r="AC896" s="519">
        <f>SUM(H896:H897)</f>
        <v>4708948.0599999996</v>
      </c>
      <c r="AD896" s="517">
        <v>0</v>
      </c>
      <c r="AE896" s="517" t="s">
        <v>13504</v>
      </c>
      <c r="AF896" s="517" t="s">
        <v>256</v>
      </c>
      <c r="AG896" s="520" t="s">
        <v>2772</v>
      </c>
      <c r="AH896" s="67">
        <f>AC896</f>
        <v>4708948.0599999996</v>
      </c>
      <c r="AI896" s="10"/>
      <c r="AJ896" s="9">
        <f t="shared" si="93"/>
        <v>0</v>
      </c>
      <c r="AK896" s="10"/>
      <c r="AL896" s="10"/>
    </row>
    <row r="897" spans="1:38" ht="33.75" hidden="1">
      <c r="A897" s="1">
        <f t="shared" si="90"/>
        <v>0</v>
      </c>
      <c r="B897" s="2" t="s">
        <v>2775</v>
      </c>
      <c r="C897" s="3" t="s">
        <v>2776</v>
      </c>
      <c r="D897" s="15" t="s">
        <v>11608</v>
      </c>
      <c r="E897" s="4" t="s">
        <v>2775</v>
      </c>
      <c r="F897" s="37" t="s">
        <v>2776</v>
      </c>
      <c r="G897" s="38">
        <v>0</v>
      </c>
      <c r="H897" s="38">
        <v>0</v>
      </c>
      <c r="I897" s="15"/>
      <c r="J897" s="494">
        <v>20202020102</v>
      </c>
      <c r="K897" s="517"/>
      <c r="L897" s="517" t="s">
        <v>13504</v>
      </c>
      <c r="M897" s="517" t="s">
        <v>256</v>
      </c>
      <c r="N897" s="518" t="s">
        <v>2772</v>
      </c>
      <c r="O897" s="517">
        <v>2</v>
      </c>
      <c r="P897" s="517" t="s">
        <v>647</v>
      </c>
      <c r="Q897" s="517" t="s">
        <v>647</v>
      </c>
      <c r="R897" s="517" t="s">
        <v>647</v>
      </c>
      <c r="S897" s="517" t="s">
        <v>632</v>
      </c>
      <c r="T897" s="518" t="s">
        <v>2771</v>
      </c>
      <c r="U897" s="38">
        <v>0</v>
      </c>
      <c r="V897" s="15" t="str">
        <f t="shared" si="87"/>
        <v/>
      </c>
      <c r="W897" s="1"/>
      <c r="X897" s="1"/>
      <c r="Y897" s="1"/>
      <c r="Z897" s="1"/>
      <c r="AA897" s="1"/>
      <c r="AB897" s="3"/>
      <c r="AC897" s="9"/>
      <c r="AD897" s="517" t="e">
        <v>#N/A</v>
      </c>
      <c r="AE897" s="517" t="e">
        <v>#N/A</v>
      </c>
      <c r="AF897" s="517" t="e">
        <v>#N/A</v>
      </c>
      <c r="AG897" s="520" t="e">
        <v>#N/A</v>
      </c>
      <c r="AH897" s="9"/>
      <c r="AI897" s="10"/>
      <c r="AJ897" s="9">
        <f t="shared" si="93"/>
        <v>0</v>
      </c>
      <c r="AK897" s="10"/>
      <c r="AL897" s="10"/>
    </row>
    <row r="898" spans="1:38" ht="45" hidden="1">
      <c r="A898" s="1">
        <f t="shared" si="90"/>
        <v>0</v>
      </c>
      <c r="D898" s="15" t="s">
        <v>16</v>
      </c>
      <c r="E898" s="30"/>
      <c r="F898" s="31" t="s">
        <v>2777</v>
      </c>
      <c r="G898" s="32">
        <f>G899</f>
        <v>0</v>
      </c>
      <c r="H898" s="32">
        <f>H899</f>
        <v>0</v>
      </c>
      <c r="I898" s="15"/>
      <c r="J898" s="494"/>
      <c r="K898" s="513"/>
      <c r="L898" s="513"/>
      <c r="M898" s="513"/>
      <c r="N898" s="514"/>
      <c r="O898" s="513"/>
      <c r="P898" s="513"/>
      <c r="Q898" s="513"/>
      <c r="R898" s="513"/>
      <c r="S898" s="513"/>
      <c r="T898" s="514"/>
      <c r="U898" s="32">
        <f>U899</f>
        <v>0</v>
      </c>
      <c r="V898" s="15" t="str">
        <f t="shared" si="87"/>
        <v>202020300</v>
      </c>
      <c r="W898" s="33">
        <v>2</v>
      </c>
      <c r="X898" s="34" t="s">
        <v>647</v>
      </c>
      <c r="Y898" s="34" t="s">
        <v>647</v>
      </c>
      <c r="Z898" s="34" t="s">
        <v>671</v>
      </c>
      <c r="AA898" s="35" t="s">
        <v>630</v>
      </c>
      <c r="AB898" s="31" t="s">
        <v>2777</v>
      </c>
      <c r="AC898" s="598">
        <f>AC899</f>
        <v>0</v>
      </c>
      <c r="AD898" s="513">
        <v>0</v>
      </c>
      <c r="AE898" s="513" t="s">
        <v>13428</v>
      </c>
      <c r="AF898" s="513" t="s">
        <v>257</v>
      </c>
      <c r="AG898" s="514" t="s">
        <v>2778</v>
      </c>
      <c r="AH898" s="44">
        <f>AH899</f>
        <v>0</v>
      </c>
      <c r="AI898" s="10"/>
      <c r="AJ898" s="9">
        <f t="shared" si="93"/>
        <v>0</v>
      </c>
      <c r="AK898" s="10"/>
      <c r="AL898" s="10"/>
    </row>
    <row r="899" spans="1:38" ht="33.75" hidden="1">
      <c r="A899" s="1">
        <f t="shared" si="90"/>
        <v>0</v>
      </c>
      <c r="B899" s="2" t="s">
        <v>2779</v>
      </c>
      <c r="C899" s="3" t="s">
        <v>2780</v>
      </c>
      <c r="D899" s="15" t="s">
        <v>11609</v>
      </c>
      <c r="E899" s="4" t="s">
        <v>2779</v>
      </c>
      <c r="F899" s="37" t="s">
        <v>2780</v>
      </c>
      <c r="G899" s="38">
        <v>0</v>
      </c>
      <c r="H899" s="38">
        <v>0</v>
      </c>
      <c r="I899" s="15"/>
      <c r="J899" s="494">
        <v>20202030101</v>
      </c>
      <c r="K899" s="517"/>
      <c r="L899" s="517" t="s">
        <v>13428</v>
      </c>
      <c r="M899" s="517" t="s">
        <v>257</v>
      </c>
      <c r="N899" s="518" t="s">
        <v>2778</v>
      </c>
      <c r="O899" s="517">
        <v>2</v>
      </c>
      <c r="P899" s="517" t="s">
        <v>647</v>
      </c>
      <c r="Q899" s="517" t="s">
        <v>647</v>
      </c>
      <c r="R899" s="517" t="s">
        <v>671</v>
      </c>
      <c r="S899" s="517" t="s">
        <v>632</v>
      </c>
      <c r="T899" s="518" t="s">
        <v>2777</v>
      </c>
      <c r="U899" s="38">
        <v>0</v>
      </c>
      <c r="V899" s="15" t="str">
        <f t="shared" ref="V899:V962" si="96">CONCATENATE(W899,X899,Y899,Z899,AA899)</f>
        <v>202020301</v>
      </c>
      <c r="W899" s="39">
        <v>2</v>
      </c>
      <c r="X899" s="40" t="s">
        <v>647</v>
      </c>
      <c r="Y899" s="40" t="s">
        <v>647</v>
      </c>
      <c r="Z899" s="40" t="s">
        <v>671</v>
      </c>
      <c r="AA899" s="40" t="s">
        <v>632</v>
      </c>
      <c r="AB899" s="41" t="s">
        <v>2777</v>
      </c>
      <c r="AC899" s="519">
        <f>H899</f>
        <v>0</v>
      </c>
      <c r="AD899" s="517">
        <v>0</v>
      </c>
      <c r="AE899" s="517" t="s">
        <v>13428</v>
      </c>
      <c r="AF899" s="517" t="s">
        <v>257</v>
      </c>
      <c r="AG899" s="520" t="s">
        <v>2778</v>
      </c>
      <c r="AH899" s="67">
        <f>AC899</f>
        <v>0</v>
      </c>
      <c r="AI899" s="10"/>
      <c r="AJ899" s="9">
        <f t="shared" si="93"/>
        <v>0</v>
      </c>
      <c r="AK899" s="10"/>
      <c r="AL899" s="10"/>
    </row>
    <row r="900" spans="1:38" ht="45" hidden="1">
      <c r="A900" s="1">
        <f t="shared" si="90"/>
        <v>0</v>
      </c>
      <c r="B900" s="11"/>
      <c r="C900" s="11"/>
      <c r="D900" s="15" t="s">
        <v>16</v>
      </c>
      <c r="E900" s="30"/>
      <c r="F900" s="31" t="s">
        <v>2781</v>
      </c>
      <c r="G900" s="32">
        <f>G901</f>
        <v>7069318.8499999996</v>
      </c>
      <c r="H900" s="32">
        <f>H901</f>
        <v>1445050.45</v>
      </c>
      <c r="I900" s="15"/>
      <c r="J900" s="494"/>
      <c r="K900" s="513"/>
      <c r="L900" s="513"/>
      <c r="M900" s="513"/>
      <c r="N900" s="514"/>
      <c r="O900" s="513"/>
      <c r="P900" s="513"/>
      <c r="Q900" s="513"/>
      <c r="R900" s="513"/>
      <c r="S900" s="513"/>
      <c r="T900" s="514"/>
      <c r="U900" s="32">
        <f>U901</f>
        <v>1445050.45</v>
      </c>
      <c r="V900" s="15" t="str">
        <f t="shared" si="96"/>
        <v>202020400</v>
      </c>
      <c r="W900" s="33">
        <v>2</v>
      </c>
      <c r="X900" s="34" t="s">
        <v>647</v>
      </c>
      <c r="Y900" s="34" t="s">
        <v>647</v>
      </c>
      <c r="Z900" s="34" t="s">
        <v>693</v>
      </c>
      <c r="AA900" s="35" t="s">
        <v>630</v>
      </c>
      <c r="AB900" s="31" t="s">
        <v>2781</v>
      </c>
      <c r="AC900" s="598">
        <f>AC901</f>
        <v>1445050.45</v>
      </c>
      <c r="AD900" s="513">
        <v>0</v>
      </c>
      <c r="AE900" s="513" t="s">
        <v>13505</v>
      </c>
      <c r="AF900" s="513" t="s">
        <v>258</v>
      </c>
      <c r="AG900" s="514" t="s">
        <v>2782</v>
      </c>
      <c r="AH900" s="44">
        <f>AH901</f>
        <v>1445050.45</v>
      </c>
      <c r="AI900" s="10"/>
      <c r="AJ900" s="9">
        <f t="shared" si="93"/>
        <v>0</v>
      </c>
      <c r="AK900" s="10"/>
      <c r="AL900" s="10"/>
    </row>
    <row r="901" spans="1:38" ht="33.75" hidden="1">
      <c r="A901" s="1">
        <f t="shared" si="90"/>
        <v>0</v>
      </c>
      <c r="B901" s="2" t="s">
        <v>2783</v>
      </c>
      <c r="C901" s="3" t="s">
        <v>2784</v>
      </c>
      <c r="D901" s="15" t="s">
        <v>11610</v>
      </c>
      <c r="E901" s="4" t="s">
        <v>2783</v>
      </c>
      <c r="F901" s="37" t="s">
        <v>2784</v>
      </c>
      <c r="G901" s="38">
        <v>7069318.8499999996</v>
      </c>
      <c r="H901" s="38">
        <v>1445050.45</v>
      </c>
      <c r="I901" s="15"/>
      <c r="J901" s="494">
        <v>20202040101</v>
      </c>
      <c r="K901" s="517"/>
      <c r="L901" s="517" t="s">
        <v>13505</v>
      </c>
      <c r="M901" s="517" t="s">
        <v>258</v>
      </c>
      <c r="N901" s="518" t="s">
        <v>2782</v>
      </c>
      <c r="O901" s="517">
        <v>2</v>
      </c>
      <c r="P901" s="517" t="s">
        <v>647</v>
      </c>
      <c r="Q901" s="517" t="s">
        <v>647</v>
      </c>
      <c r="R901" s="517" t="s">
        <v>693</v>
      </c>
      <c r="S901" s="517" t="s">
        <v>632</v>
      </c>
      <c r="T901" s="518" t="s">
        <v>2781</v>
      </c>
      <c r="U901" s="38">
        <v>1445050.45</v>
      </c>
      <c r="V901" s="15" t="str">
        <f t="shared" si="96"/>
        <v>202020401</v>
      </c>
      <c r="W901" s="39">
        <v>2</v>
      </c>
      <c r="X901" s="40" t="s">
        <v>647</v>
      </c>
      <c r="Y901" s="40" t="s">
        <v>647</v>
      </c>
      <c r="Z901" s="40" t="s">
        <v>693</v>
      </c>
      <c r="AA901" s="40" t="s">
        <v>632</v>
      </c>
      <c r="AB901" s="41" t="s">
        <v>2781</v>
      </c>
      <c r="AC901" s="519">
        <f>H901</f>
        <v>1445050.45</v>
      </c>
      <c r="AD901" s="517">
        <v>0</v>
      </c>
      <c r="AE901" s="517" t="s">
        <v>13505</v>
      </c>
      <c r="AF901" s="517" t="s">
        <v>258</v>
      </c>
      <c r="AG901" s="520" t="s">
        <v>2782</v>
      </c>
      <c r="AH901" s="67">
        <f>AC901</f>
        <v>1445050.45</v>
      </c>
      <c r="AI901" s="10"/>
      <c r="AJ901" s="9">
        <f t="shared" si="93"/>
        <v>0</v>
      </c>
      <c r="AK901" s="10"/>
      <c r="AL901" s="10"/>
    </row>
    <row r="902" spans="1:38" ht="22.5" hidden="1">
      <c r="A902" s="1">
        <f t="shared" si="90"/>
        <v>0</v>
      </c>
      <c r="D902" s="15" t="s">
        <v>16</v>
      </c>
      <c r="E902" s="30"/>
      <c r="F902" s="31" t="s">
        <v>2785</v>
      </c>
      <c r="G902" s="32">
        <f>G903</f>
        <v>0</v>
      </c>
      <c r="H902" s="32">
        <f>H903</f>
        <v>0</v>
      </c>
      <c r="I902" s="15"/>
      <c r="J902" s="494"/>
      <c r="K902" s="513"/>
      <c r="L902" s="513"/>
      <c r="M902" s="513"/>
      <c r="N902" s="514"/>
      <c r="O902" s="513"/>
      <c r="P902" s="513"/>
      <c r="Q902" s="513"/>
      <c r="R902" s="513"/>
      <c r="S902" s="513"/>
      <c r="T902" s="514"/>
      <c r="U902" s="32">
        <f>U903</f>
        <v>0</v>
      </c>
      <c r="V902" s="15" t="str">
        <f t="shared" si="96"/>
        <v>202020600</v>
      </c>
      <c r="W902" s="33">
        <v>2</v>
      </c>
      <c r="X902" s="34" t="s">
        <v>647</v>
      </c>
      <c r="Y902" s="34" t="s">
        <v>647</v>
      </c>
      <c r="Z902" s="35" t="s">
        <v>739</v>
      </c>
      <c r="AA902" s="35" t="s">
        <v>630</v>
      </c>
      <c r="AB902" s="31" t="s">
        <v>2785</v>
      </c>
      <c r="AC902" s="598">
        <f>AC903</f>
        <v>0</v>
      </c>
      <c r="AD902" s="513">
        <v>0</v>
      </c>
      <c r="AE902" s="513" t="s">
        <v>13506</v>
      </c>
      <c r="AF902" s="513" t="s">
        <v>2786</v>
      </c>
      <c r="AG902" s="514" t="s">
        <v>2787</v>
      </c>
      <c r="AH902" s="44">
        <f>AH903</f>
        <v>0</v>
      </c>
      <c r="AI902" s="10"/>
      <c r="AJ902" s="9">
        <f t="shared" si="93"/>
        <v>0</v>
      </c>
      <c r="AK902" s="10"/>
      <c r="AL902" s="10"/>
    </row>
    <row r="903" spans="1:38" ht="22.5" hidden="1">
      <c r="A903" s="1">
        <f t="shared" si="90"/>
        <v>0</v>
      </c>
      <c r="B903" s="2" t="s">
        <v>2788</v>
      </c>
      <c r="C903" s="3" t="s">
        <v>2789</v>
      </c>
      <c r="D903" s="15" t="s">
        <v>11611</v>
      </c>
      <c r="E903" s="4" t="s">
        <v>2788</v>
      </c>
      <c r="F903" s="37" t="s">
        <v>2789</v>
      </c>
      <c r="G903" s="38">
        <v>0</v>
      </c>
      <c r="H903" s="38">
        <v>0</v>
      </c>
      <c r="I903" s="15"/>
      <c r="J903" s="494">
        <v>20202060101</v>
      </c>
      <c r="K903" s="517"/>
      <c r="L903" s="517" t="s">
        <v>13506</v>
      </c>
      <c r="M903" s="517" t="s">
        <v>2786</v>
      </c>
      <c r="N903" s="518" t="s">
        <v>2787</v>
      </c>
      <c r="O903" s="517">
        <v>2</v>
      </c>
      <c r="P903" s="517" t="s">
        <v>647</v>
      </c>
      <c r="Q903" s="517" t="s">
        <v>647</v>
      </c>
      <c r="R903" s="517" t="s">
        <v>739</v>
      </c>
      <c r="S903" s="517" t="s">
        <v>632</v>
      </c>
      <c r="T903" s="518" t="s">
        <v>2785</v>
      </c>
      <c r="U903" s="38">
        <v>0</v>
      </c>
      <c r="V903" s="15" t="str">
        <f t="shared" si="96"/>
        <v>202020601</v>
      </c>
      <c r="W903" s="39">
        <v>2</v>
      </c>
      <c r="X903" s="40" t="s">
        <v>647</v>
      </c>
      <c r="Y903" s="40" t="s">
        <v>647</v>
      </c>
      <c r="Z903" s="40" t="s">
        <v>739</v>
      </c>
      <c r="AA903" s="40" t="s">
        <v>632</v>
      </c>
      <c r="AB903" s="41" t="s">
        <v>2785</v>
      </c>
      <c r="AC903" s="519">
        <f>H903</f>
        <v>0</v>
      </c>
      <c r="AD903" s="517">
        <v>0</v>
      </c>
      <c r="AE903" s="517" t="s">
        <v>13506</v>
      </c>
      <c r="AF903" s="517" t="s">
        <v>2786</v>
      </c>
      <c r="AG903" s="520" t="s">
        <v>2787</v>
      </c>
      <c r="AH903" s="67">
        <f>AC903</f>
        <v>0</v>
      </c>
      <c r="AI903" s="10"/>
      <c r="AJ903" s="9">
        <f t="shared" si="93"/>
        <v>0</v>
      </c>
      <c r="AK903" s="10"/>
      <c r="AL903" s="10"/>
    </row>
    <row r="904" spans="1:38" ht="22.5" hidden="1">
      <c r="A904" s="1">
        <f t="shared" si="90"/>
        <v>0</v>
      </c>
      <c r="D904" s="15" t="s">
        <v>16</v>
      </c>
      <c r="E904" s="30"/>
      <c r="F904" s="31" t="s">
        <v>2790</v>
      </c>
      <c r="G904" s="32">
        <f>G905</f>
        <v>0</v>
      </c>
      <c r="H904" s="32">
        <f>H905</f>
        <v>0</v>
      </c>
      <c r="I904" s="15"/>
      <c r="J904" s="494"/>
      <c r="K904" s="513"/>
      <c r="L904" s="513"/>
      <c r="M904" s="513"/>
      <c r="N904" s="514"/>
      <c r="O904" s="513"/>
      <c r="P904" s="513"/>
      <c r="Q904" s="513"/>
      <c r="R904" s="513"/>
      <c r="S904" s="513"/>
      <c r="T904" s="514"/>
      <c r="U904" s="32">
        <f>U905</f>
        <v>0</v>
      </c>
      <c r="V904" s="15" t="str">
        <f t="shared" si="96"/>
        <v>202020700</v>
      </c>
      <c r="W904" s="33">
        <v>2</v>
      </c>
      <c r="X904" s="34" t="s">
        <v>647</v>
      </c>
      <c r="Y904" s="34" t="s">
        <v>647</v>
      </c>
      <c r="Z904" s="35" t="s">
        <v>755</v>
      </c>
      <c r="AA904" s="35" t="s">
        <v>630</v>
      </c>
      <c r="AB904" s="31" t="s">
        <v>2790</v>
      </c>
      <c r="AC904" s="598">
        <f>AC905</f>
        <v>0</v>
      </c>
      <c r="AD904" s="513">
        <v>0</v>
      </c>
      <c r="AE904" s="513" t="s">
        <v>13443</v>
      </c>
      <c r="AF904" s="513" t="s">
        <v>2791</v>
      </c>
      <c r="AG904" s="514" t="s">
        <v>2792</v>
      </c>
      <c r="AH904" s="44">
        <f>AH905</f>
        <v>0</v>
      </c>
      <c r="AI904" s="10"/>
      <c r="AJ904" s="9">
        <f t="shared" si="93"/>
        <v>0</v>
      </c>
      <c r="AK904" s="10"/>
      <c r="AL904" s="10"/>
    </row>
    <row r="905" spans="1:38" ht="22.5" hidden="1">
      <c r="A905" s="1">
        <f t="shared" si="90"/>
        <v>0</v>
      </c>
      <c r="B905" s="2" t="s">
        <v>2793</v>
      </c>
      <c r="C905" s="3" t="s">
        <v>2790</v>
      </c>
      <c r="D905" s="15" t="s">
        <v>11612</v>
      </c>
      <c r="E905" s="4" t="s">
        <v>2793</v>
      </c>
      <c r="F905" s="37" t="s">
        <v>2790</v>
      </c>
      <c r="G905" s="38">
        <v>0</v>
      </c>
      <c r="H905" s="38">
        <v>0</v>
      </c>
      <c r="I905" s="15"/>
      <c r="J905" s="494">
        <v>20202070101</v>
      </c>
      <c r="K905" s="517"/>
      <c r="L905" s="517" t="s">
        <v>13443</v>
      </c>
      <c r="M905" s="517" t="s">
        <v>2791</v>
      </c>
      <c r="N905" s="518" t="s">
        <v>2792</v>
      </c>
      <c r="O905" s="517">
        <v>2</v>
      </c>
      <c r="P905" s="517" t="s">
        <v>647</v>
      </c>
      <c r="Q905" s="517" t="s">
        <v>647</v>
      </c>
      <c r="R905" s="517" t="s">
        <v>755</v>
      </c>
      <c r="S905" s="517" t="s">
        <v>632</v>
      </c>
      <c r="T905" s="518" t="s">
        <v>2790</v>
      </c>
      <c r="U905" s="38">
        <v>0</v>
      </c>
      <c r="V905" s="15" t="str">
        <f t="shared" si="96"/>
        <v>202020701</v>
      </c>
      <c r="W905" s="39">
        <v>2</v>
      </c>
      <c r="X905" s="40" t="s">
        <v>647</v>
      </c>
      <c r="Y905" s="40" t="s">
        <v>647</v>
      </c>
      <c r="Z905" s="40" t="s">
        <v>755</v>
      </c>
      <c r="AA905" s="40" t="s">
        <v>632</v>
      </c>
      <c r="AB905" s="41" t="s">
        <v>2790</v>
      </c>
      <c r="AC905" s="519">
        <f>H905</f>
        <v>0</v>
      </c>
      <c r="AD905" s="517">
        <v>0</v>
      </c>
      <c r="AE905" s="517" t="s">
        <v>13443</v>
      </c>
      <c r="AF905" s="517" t="s">
        <v>2791</v>
      </c>
      <c r="AG905" s="520" t="s">
        <v>2792</v>
      </c>
      <c r="AH905" s="67">
        <f>AC905</f>
        <v>0</v>
      </c>
      <c r="AI905" s="10"/>
      <c r="AJ905" s="9">
        <f t="shared" si="93"/>
        <v>0</v>
      </c>
      <c r="AK905" s="10"/>
      <c r="AL905" s="10"/>
    </row>
    <row r="906" spans="1:38" hidden="1">
      <c r="A906" s="1">
        <f t="shared" si="90"/>
        <v>0</v>
      </c>
      <c r="B906" s="11"/>
      <c r="C906" s="11"/>
      <c r="D906" s="15" t="s">
        <v>16</v>
      </c>
      <c r="E906" s="30"/>
      <c r="F906" s="31" t="s">
        <v>2794</v>
      </c>
      <c r="G906" s="32">
        <f>SUM(G907:G912)</f>
        <v>1052887.98</v>
      </c>
      <c r="H906" s="32">
        <f>SUM(H907:H912)</f>
        <v>1052887.98</v>
      </c>
      <c r="I906" s="15"/>
      <c r="J906" s="494"/>
      <c r="K906" s="513"/>
      <c r="L906" s="513"/>
      <c r="M906" s="513"/>
      <c r="N906" s="514"/>
      <c r="O906" s="513"/>
      <c r="P906" s="513"/>
      <c r="Q906" s="513"/>
      <c r="R906" s="513"/>
      <c r="S906" s="513"/>
      <c r="T906" s="514"/>
      <c r="U906" s="32">
        <f>SUM(U907:U912)</f>
        <v>1052887.98</v>
      </c>
      <c r="V906" s="15" t="str">
        <f t="shared" si="96"/>
        <v>202020500</v>
      </c>
      <c r="W906" s="33">
        <v>2</v>
      </c>
      <c r="X906" s="34" t="s">
        <v>647</v>
      </c>
      <c r="Y906" s="34" t="s">
        <v>647</v>
      </c>
      <c r="Z906" s="34" t="s">
        <v>714</v>
      </c>
      <c r="AA906" s="35" t="s">
        <v>630</v>
      </c>
      <c r="AB906" s="31" t="s">
        <v>2794</v>
      </c>
      <c r="AC906" s="598">
        <f>SUM(AC907:AC912)</f>
        <v>1052887.98</v>
      </c>
      <c r="AD906" s="513">
        <v>0</v>
      </c>
      <c r="AE906" s="513" t="s">
        <v>13507</v>
      </c>
      <c r="AF906" s="513" t="s">
        <v>259</v>
      </c>
      <c r="AG906" s="514" t="s">
        <v>2795</v>
      </c>
      <c r="AH906" s="44">
        <f>SUM(AH907:AH912)</f>
        <v>1052887.98</v>
      </c>
      <c r="AI906" s="10"/>
      <c r="AJ906" s="9">
        <f t="shared" si="93"/>
        <v>0</v>
      </c>
      <c r="AK906" s="10"/>
      <c r="AL906" s="10"/>
    </row>
    <row r="907" spans="1:38">
      <c r="A907" s="1">
        <f t="shared" si="90"/>
        <v>0</v>
      </c>
      <c r="B907" s="2" t="s">
        <v>2796</v>
      </c>
      <c r="C907" s="3" t="s">
        <v>2797</v>
      </c>
      <c r="D907" s="15" t="s">
        <v>11613</v>
      </c>
      <c r="E907" s="4" t="s">
        <v>2796</v>
      </c>
      <c r="F907" s="37" t="s">
        <v>2797</v>
      </c>
      <c r="G907" s="38">
        <v>1052887.98</v>
      </c>
      <c r="H907" s="38">
        <v>1052887.98</v>
      </c>
      <c r="I907" s="15"/>
      <c r="J907" s="494">
        <v>20202050101</v>
      </c>
      <c r="K907" s="517"/>
      <c r="L907" s="517" t="s">
        <v>13507</v>
      </c>
      <c r="M907" s="517" t="s">
        <v>259</v>
      </c>
      <c r="N907" s="518" t="s">
        <v>2795</v>
      </c>
      <c r="O907" s="517">
        <v>2</v>
      </c>
      <c r="P907" s="517" t="s">
        <v>647</v>
      </c>
      <c r="Q907" s="517" t="s">
        <v>647</v>
      </c>
      <c r="R907" s="517" t="s">
        <v>714</v>
      </c>
      <c r="S907" s="517" t="s">
        <v>632</v>
      </c>
      <c r="T907" s="518" t="s">
        <v>2794</v>
      </c>
      <c r="U907" s="38">
        <v>1052887.98</v>
      </c>
      <c r="V907" s="15" t="str">
        <f t="shared" si="96"/>
        <v>202020501</v>
      </c>
      <c r="W907" s="39">
        <v>2</v>
      </c>
      <c r="X907" s="40" t="s">
        <v>647</v>
      </c>
      <c r="Y907" s="40" t="s">
        <v>647</v>
      </c>
      <c r="Z907" s="40" t="s">
        <v>714</v>
      </c>
      <c r="AA907" s="40" t="s">
        <v>632</v>
      </c>
      <c r="AB907" s="41" t="s">
        <v>2794</v>
      </c>
      <c r="AC907" s="519">
        <f>SUM(H907:H912)</f>
        <v>1052887.98</v>
      </c>
      <c r="AD907" s="517">
        <v>0</v>
      </c>
      <c r="AE907" s="517" t="s">
        <v>13507</v>
      </c>
      <c r="AF907" s="517" t="s">
        <v>259</v>
      </c>
      <c r="AG907" s="520" t="s">
        <v>2795</v>
      </c>
      <c r="AH907" s="67">
        <f>AC907</f>
        <v>1052887.98</v>
      </c>
      <c r="AI907" s="10"/>
      <c r="AJ907" s="9">
        <f t="shared" si="93"/>
        <v>0</v>
      </c>
      <c r="AK907" s="10"/>
      <c r="AL907" s="10"/>
    </row>
    <row r="908" spans="1:38" ht="22.5">
      <c r="A908" s="1">
        <f t="shared" si="90"/>
        <v>0</v>
      </c>
      <c r="B908" s="2" t="s">
        <v>2798</v>
      </c>
      <c r="C908" s="3" t="s">
        <v>2799</v>
      </c>
      <c r="D908" s="15" t="s">
        <v>11613</v>
      </c>
      <c r="E908" s="4" t="s">
        <v>2798</v>
      </c>
      <c r="F908" s="37" t="s">
        <v>2799</v>
      </c>
      <c r="G908" s="38">
        <v>0</v>
      </c>
      <c r="H908" s="38">
        <v>0</v>
      </c>
      <c r="I908" s="15"/>
      <c r="J908" s="494">
        <v>20202050102</v>
      </c>
      <c r="L908" s="523" t="s">
        <v>13507</v>
      </c>
      <c r="M908" s="523" t="s">
        <v>259</v>
      </c>
      <c r="N908" s="518" t="s">
        <v>2795</v>
      </c>
      <c r="O908" s="523">
        <v>2</v>
      </c>
      <c r="P908" s="523" t="s">
        <v>647</v>
      </c>
      <c r="Q908" s="523" t="s">
        <v>647</v>
      </c>
      <c r="R908" s="523" t="s">
        <v>714</v>
      </c>
      <c r="S908" s="523" t="s">
        <v>632</v>
      </c>
      <c r="T908" s="518" t="s">
        <v>2794</v>
      </c>
      <c r="U908" s="38">
        <v>0</v>
      </c>
      <c r="V908" s="15" t="str">
        <f t="shared" si="96"/>
        <v/>
      </c>
      <c r="W908" s="10"/>
      <c r="X908" s="10"/>
      <c r="Y908" s="10"/>
      <c r="Z908" s="10"/>
      <c r="AA908" s="10"/>
      <c r="AB908" s="10"/>
      <c r="AC908" s="9"/>
      <c r="AD908" s="523" t="e">
        <v>#N/A</v>
      </c>
      <c r="AE908" s="523" t="e">
        <v>#N/A</v>
      </c>
      <c r="AF908" s="523" t="e">
        <v>#N/A</v>
      </c>
      <c r="AG908" s="524" t="e">
        <v>#N/A</v>
      </c>
      <c r="AH908" s="9" t="s">
        <v>11614</v>
      </c>
      <c r="AI908" s="10"/>
      <c r="AJ908" s="9"/>
      <c r="AK908" s="10"/>
      <c r="AL908" s="10"/>
    </row>
    <row r="909" spans="1:38" ht="22.5">
      <c r="A909" s="1">
        <f t="shared" si="90"/>
        <v>0</v>
      </c>
      <c r="B909" s="2" t="s">
        <v>2800</v>
      </c>
      <c r="C909" s="3" t="s">
        <v>2801</v>
      </c>
      <c r="D909" s="15" t="s">
        <v>11613</v>
      </c>
      <c r="E909" s="4" t="s">
        <v>2800</v>
      </c>
      <c r="F909" s="37" t="s">
        <v>2801</v>
      </c>
      <c r="G909" s="38">
        <v>0</v>
      </c>
      <c r="H909" s="38">
        <v>0</v>
      </c>
      <c r="I909" s="15"/>
      <c r="J909" s="494">
        <v>20202050103</v>
      </c>
      <c r="L909" s="523" t="s">
        <v>13507</v>
      </c>
      <c r="M909" s="523" t="s">
        <v>259</v>
      </c>
      <c r="N909" s="518" t="s">
        <v>2795</v>
      </c>
      <c r="O909" s="523">
        <v>2</v>
      </c>
      <c r="P909" s="523" t="s">
        <v>647</v>
      </c>
      <c r="Q909" s="523" t="s">
        <v>647</v>
      </c>
      <c r="R909" s="523" t="s">
        <v>714</v>
      </c>
      <c r="S909" s="523" t="s">
        <v>632</v>
      </c>
      <c r="T909" s="518" t="s">
        <v>2794</v>
      </c>
      <c r="U909" s="38">
        <v>0</v>
      </c>
      <c r="V909" s="15" t="str">
        <f t="shared" si="96"/>
        <v/>
      </c>
      <c r="W909" s="10"/>
      <c r="X909" s="10"/>
      <c r="Y909" s="10"/>
      <c r="Z909" s="10"/>
      <c r="AA909" s="10"/>
      <c r="AB909" s="10"/>
      <c r="AC909" s="9"/>
      <c r="AD909" s="523" t="e">
        <v>#N/A</v>
      </c>
      <c r="AE909" s="523" t="e">
        <v>#N/A</v>
      </c>
      <c r="AF909" s="523" t="e">
        <v>#N/A</v>
      </c>
      <c r="AG909" s="524" t="e">
        <v>#N/A</v>
      </c>
      <c r="AH909" s="9"/>
      <c r="AI909" s="10"/>
      <c r="AJ909" s="9">
        <f t="shared" ref="AJ909:AJ934" si="97">AH909-H909</f>
        <v>0</v>
      </c>
      <c r="AK909" s="10"/>
      <c r="AL909" s="10"/>
    </row>
    <row r="910" spans="1:38" ht="22.5">
      <c r="A910" s="1">
        <f t="shared" si="90"/>
        <v>0</v>
      </c>
      <c r="B910" s="2" t="s">
        <v>2802</v>
      </c>
      <c r="C910" s="3" t="s">
        <v>2803</v>
      </c>
      <c r="D910" s="15" t="s">
        <v>11613</v>
      </c>
      <c r="E910" s="4" t="s">
        <v>2802</v>
      </c>
      <c r="F910" s="37" t="s">
        <v>2803</v>
      </c>
      <c r="G910" s="38">
        <v>0</v>
      </c>
      <c r="H910" s="38">
        <v>0</v>
      </c>
      <c r="I910" s="15"/>
      <c r="J910" s="494">
        <v>20202050104</v>
      </c>
      <c r="K910" s="517"/>
      <c r="L910" s="517" t="s">
        <v>13507</v>
      </c>
      <c r="M910" s="517" t="s">
        <v>259</v>
      </c>
      <c r="N910" s="518" t="s">
        <v>2795</v>
      </c>
      <c r="O910" s="517">
        <v>2</v>
      </c>
      <c r="P910" s="517" t="s">
        <v>647</v>
      </c>
      <c r="Q910" s="517" t="s">
        <v>647</v>
      </c>
      <c r="R910" s="517" t="s">
        <v>714</v>
      </c>
      <c r="S910" s="517" t="s">
        <v>632</v>
      </c>
      <c r="T910" s="518" t="s">
        <v>2794</v>
      </c>
      <c r="U910" s="38">
        <v>0</v>
      </c>
      <c r="V910" s="15" t="str">
        <f t="shared" si="96"/>
        <v/>
      </c>
      <c r="W910" s="1"/>
      <c r="X910" s="1"/>
      <c r="Y910" s="1"/>
      <c r="Z910" s="1"/>
      <c r="AA910" s="1"/>
      <c r="AB910" s="3"/>
      <c r="AC910" s="9"/>
      <c r="AD910" s="517" t="e">
        <v>#N/A</v>
      </c>
      <c r="AE910" s="517" t="e">
        <v>#N/A</v>
      </c>
      <c r="AF910" s="517" t="e">
        <v>#N/A</v>
      </c>
      <c r="AG910" s="520" t="e">
        <v>#N/A</v>
      </c>
      <c r="AH910" s="9"/>
      <c r="AI910" s="10"/>
      <c r="AJ910" s="9">
        <f t="shared" si="97"/>
        <v>0</v>
      </c>
      <c r="AK910" s="10"/>
      <c r="AL910" s="10"/>
    </row>
    <row r="911" spans="1:38" ht="22.5">
      <c r="A911" s="1">
        <f t="shared" si="90"/>
        <v>0</v>
      </c>
      <c r="B911" s="2" t="s">
        <v>2804</v>
      </c>
      <c r="C911" s="3" t="s">
        <v>2805</v>
      </c>
      <c r="D911" s="15" t="s">
        <v>11613</v>
      </c>
      <c r="E911" s="4" t="s">
        <v>2804</v>
      </c>
      <c r="F911" s="37" t="s">
        <v>2805</v>
      </c>
      <c r="G911" s="38">
        <v>0</v>
      </c>
      <c r="H911" s="38">
        <v>0</v>
      </c>
      <c r="I911" s="15"/>
      <c r="J911" s="494">
        <v>20202050105</v>
      </c>
      <c r="K911" s="517"/>
      <c r="L911" s="517" t="s">
        <v>13507</v>
      </c>
      <c r="M911" s="517" t="s">
        <v>259</v>
      </c>
      <c r="N911" s="518" t="s">
        <v>2795</v>
      </c>
      <c r="O911" s="517">
        <v>2</v>
      </c>
      <c r="P911" s="517" t="s">
        <v>647</v>
      </c>
      <c r="Q911" s="517" t="s">
        <v>647</v>
      </c>
      <c r="R911" s="517" t="s">
        <v>714</v>
      </c>
      <c r="S911" s="517" t="s">
        <v>632</v>
      </c>
      <c r="T911" s="518" t="s">
        <v>2794</v>
      </c>
      <c r="U911" s="38">
        <v>0</v>
      </c>
      <c r="V911" s="15" t="str">
        <f t="shared" si="96"/>
        <v/>
      </c>
      <c r="W911" s="1"/>
      <c r="X911" s="1"/>
      <c r="Y911" s="1"/>
      <c r="Z911" s="1"/>
      <c r="AA911" s="1"/>
      <c r="AB911" s="3"/>
      <c r="AC911" s="9"/>
      <c r="AD911" s="517" t="e">
        <v>#N/A</v>
      </c>
      <c r="AE911" s="517" t="e">
        <v>#N/A</v>
      </c>
      <c r="AF911" s="517" t="e">
        <v>#N/A</v>
      </c>
      <c r="AG911" s="520" t="e">
        <v>#N/A</v>
      </c>
      <c r="AH911" s="9"/>
      <c r="AI911" s="10"/>
      <c r="AJ911" s="9">
        <f t="shared" si="97"/>
        <v>0</v>
      </c>
      <c r="AK911" s="10"/>
      <c r="AL911" s="10"/>
    </row>
    <row r="912" spans="1:38" ht="22.5">
      <c r="A912" s="1">
        <f t="shared" si="90"/>
        <v>0</v>
      </c>
      <c r="B912" s="2" t="s">
        <v>2806</v>
      </c>
      <c r="C912" s="3" t="s">
        <v>2807</v>
      </c>
      <c r="D912" s="15" t="s">
        <v>11613</v>
      </c>
      <c r="E912" s="4" t="s">
        <v>2806</v>
      </c>
      <c r="F912" s="37" t="s">
        <v>2807</v>
      </c>
      <c r="G912" s="38">
        <v>0</v>
      </c>
      <c r="H912" s="38">
        <v>0</v>
      </c>
      <c r="I912" s="15"/>
      <c r="J912" s="494">
        <v>20202050106</v>
      </c>
      <c r="K912" s="517"/>
      <c r="L912" s="517" t="s">
        <v>13507</v>
      </c>
      <c r="M912" s="517" t="s">
        <v>259</v>
      </c>
      <c r="N912" s="518" t="s">
        <v>2795</v>
      </c>
      <c r="O912" s="517">
        <v>2</v>
      </c>
      <c r="P912" s="517" t="s">
        <v>647</v>
      </c>
      <c r="Q912" s="517" t="s">
        <v>647</v>
      </c>
      <c r="R912" s="517" t="s">
        <v>714</v>
      </c>
      <c r="S912" s="517" t="s">
        <v>632</v>
      </c>
      <c r="T912" s="518" t="s">
        <v>2794</v>
      </c>
      <c r="U912" s="38">
        <v>0</v>
      </c>
      <c r="V912" s="15" t="str">
        <f t="shared" si="96"/>
        <v/>
      </c>
      <c r="W912" s="1"/>
      <c r="X912" s="1"/>
      <c r="Y912" s="1"/>
      <c r="Z912" s="1"/>
      <c r="AA912" s="1"/>
      <c r="AB912" s="3"/>
      <c r="AC912" s="9"/>
      <c r="AD912" s="517" t="e">
        <v>#N/A</v>
      </c>
      <c r="AE912" s="517" t="e">
        <v>#N/A</v>
      </c>
      <c r="AF912" s="517" t="e">
        <v>#N/A</v>
      </c>
      <c r="AG912" s="520" t="e">
        <v>#N/A</v>
      </c>
      <c r="AH912" s="9"/>
      <c r="AI912" s="10"/>
      <c r="AJ912" s="9">
        <f t="shared" si="97"/>
        <v>0</v>
      </c>
      <c r="AK912" s="10"/>
      <c r="AL912" s="10"/>
    </row>
    <row r="913" spans="1:38" ht="22.5" hidden="1">
      <c r="A913" s="1">
        <f t="shared" si="90"/>
        <v>0</v>
      </c>
      <c r="B913" s="11"/>
      <c r="C913" s="11"/>
      <c r="D913" s="15" t="s">
        <v>16</v>
      </c>
      <c r="E913" s="24"/>
      <c r="F913" s="25" t="s">
        <v>2808</v>
      </c>
      <c r="G913" s="26">
        <f>G914+G916+G918+G920+G922+G924+G926+G928</f>
        <v>0</v>
      </c>
      <c r="H913" s="26">
        <f>H914+H916+H918+H920+H922+H924+H926+H928</f>
        <v>650804.80000000005</v>
      </c>
      <c r="I913" s="15"/>
      <c r="J913" s="494"/>
      <c r="K913" s="509"/>
      <c r="L913" s="509"/>
      <c r="M913" s="509"/>
      <c r="N913" s="510"/>
      <c r="O913" s="509"/>
      <c r="P913" s="509"/>
      <c r="Q913" s="509"/>
      <c r="R913" s="509"/>
      <c r="S913" s="509"/>
      <c r="T913" s="510"/>
      <c r="U913" s="26">
        <f>U914+U916+U918+U920+U922+U924+U926+U928</f>
        <v>650804.80000000005</v>
      </c>
      <c r="V913" s="15" t="str">
        <f t="shared" si="96"/>
        <v>202030000</v>
      </c>
      <c r="W913" s="27">
        <v>2</v>
      </c>
      <c r="X913" s="28" t="s">
        <v>647</v>
      </c>
      <c r="Y913" s="28" t="s">
        <v>671</v>
      </c>
      <c r="Z913" s="28" t="s">
        <v>630</v>
      </c>
      <c r="AA913" s="28" t="s">
        <v>630</v>
      </c>
      <c r="AB913" s="25" t="s">
        <v>2808</v>
      </c>
      <c r="AC913" s="530">
        <f>AC914+AC916+AC918+AC920+AC922+AC924+AC926+AC928</f>
        <v>650804.80000000005</v>
      </c>
      <c r="AD913" s="509">
        <v>0</v>
      </c>
      <c r="AE913" s="509" t="s">
        <v>13452</v>
      </c>
      <c r="AF913" s="509" t="s">
        <v>260</v>
      </c>
      <c r="AG913" s="510" t="s">
        <v>2809</v>
      </c>
      <c r="AH913" s="53">
        <f>AH914+AH916+AH918+AH920+AH922+AH924+AH926+AH928</f>
        <v>650804.80000000005</v>
      </c>
      <c r="AI913" s="10"/>
      <c r="AJ913" s="9">
        <f t="shared" si="97"/>
        <v>0</v>
      </c>
      <c r="AK913" s="10"/>
      <c r="AL913" s="10"/>
    </row>
    <row r="914" spans="1:38" ht="22.5" hidden="1">
      <c r="A914" s="1">
        <f t="shared" si="90"/>
        <v>0</v>
      </c>
      <c r="B914" s="11"/>
      <c r="C914" s="11"/>
      <c r="D914" s="15" t="s">
        <v>16</v>
      </c>
      <c r="E914" s="30"/>
      <c r="F914" s="31" t="s">
        <v>2810</v>
      </c>
      <c r="G914" s="32">
        <f>G915</f>
        <v>0</v>
      </c>
      <c r="H914" s="32">
        <f>H915</f>
        <v>0</v>
      </c>
      <c r="I914" s="15"/>
      <c r="J914" s="494"/>
      <c r="K914" s="513"/>
      <c r="L914" s="513"/>
      <c r="M914" s="513"/>
      <c r="N914" s="514"/>
      <c r="O914" s="513"/>
      <c r="P914" s="513"/>
      <c r="Q914" s="513"/>
      <c r="R914" s="513"/>
      <c r="S914" s="513"/>
      <c r="T914" s="514"/>
      <c r="U914" s="32">
        <f>U915</f>
        <v>0</v>
      </c>
      <c r="V914" s="15" t="str">
        <f t="shared" si="96"/>
        <v>202030100</v>
      </c>
      <c r="W914" s="33">
        <v>2</v>
      </c>
      <c r="X914" s="34" t="s">
        <v>647</v>
      </c>
      <c r="Y914" s="34" t="s">
        <v>671</v>
      </c>
      <c r="Z914" s="34" t="s">
        <v>632</v>
      </c>
      <c r="AA914" s="35" t="s">
        <v>630</v>
      </c>
      <c r="AB914" s="31" t="s">
        <v>2810</v>
      </c>
      <c r="AC914" s="529">
        <f>AC915</f>
        <v>0</v>
      </c>
      <c r="AD914" s="513">
        <v>0</v>
      </c>
      <c r="AE914" s="513" t="s">
        <v>13454</v>
      </c>
      <c r="AF914" s="513" t="s">
        <v>261</v>
      </c>
      <c r="AG914" s="514" t="s">
        <v>2811</v>
      </c>
      <c r="AH914" s="44">
        <f>AH915</f>
        <v>0</v>
      </c>
      <c r="AI914" s="10"/>
      <c r="AJ914" s="9">
        <f t="shared" si="97"/>
        <v>0</v>
      </c>
      <c r="AK914" s="10"/>
      <c r="AL914" s="10"/>
    </row>
    <row r="915" spans="1:38" ht="22.5" hidden="1">
      <c r="A915" s="1">
        <f t="shared" ref="A915:A978" si="98">IF(E915=B915,0,1)</f>
        <v>0</v>
      </c>
      <c r="B915" s="2" t="s">
        <v>2812</v>
      </c>
      <c r="C915" s="3" t="s">
        <v>2813</v>
      </c>
      <c r="D915" s="15" t="s">
        <v>11615</v>
      </c>
      <c r="E915" s="4" t="s">
        <v>2812</v>
      </c>
      <c r="F915" s="37" t="s">
        <v>2813</v>
      </c>
      <c r="G915" s="38">
        <v>0</v>
      </c>
      <c r="H915" s="38">
        <v>0</v>
      </c>
      <c r="I915" s="15"/>
      <c r="J915" s="494">
        <v>20203010101</v>
      </c>
      <c r="K915" s="517"/>
      <c r="L915" s="517" t="s">
        <v>13454</v>
      </c>
      <c r="M915" s="517" t="s">
        <v>261</v>
      </c>
      <c r="N915" s="518" t="s">
        <v>2811</v>
      </c>
      <c r="O915" s="517">
        <v>2</v>
      </c>
      <c r="P915" s="517" t="s">
        <v>647</v>
      </c>
      <c r="Q915" s="517" t="s">
        <v>671</v>
      </c>
      <c r="R915" s="517" t="s">
        <v>632</v>
      </c>
      <c r="S915" s="517" t="s">
        <v>632</v>
      </c>
      <c r="T915" s="518" t="s">
        <v>2810</v>
      </c>
      <c r="U915" s="38">
        <v>0</v>
      </c>
      <c r="V915" s="15" t="str">
        <f t="shared" si="96"/>
        <v>202030101</v>
      </c>
      <c r="W915" s="39">
        <v>2</v>
      </c>
      <c r="X915" s="40" t="s">
        <v>647</v>
      </c>
      <c r="Y915" s="40" t="s">
        <v>671</v>
      </c>
      <c r="Z915" s="40" t="s">
        <v>632</v>
      </c>
      <c r="AA915" s="40" t="s">
        <v>632</v>
      </c>
      <c r="AB915" s="41" t="s">
        <v>2810</v>
      </c>
      <c r="AC915" s="9">
        <f>H915</f>
        <v>0</v>
      </c>
      <c r="AD915" s="517">
        <v>0</v>
      </c>
      <c r="AE915" s="517" t="s">
        <v>13454</v>
      </c>
      <c r="AF915" s="517" t="s">
        <v>261</v>
      </c>
      <c r="AG915" s="520" t="s">
        <v>2811</v>
      </c>
      <c r="AH915" s="67">
        <f>AC915</f>
        <v>0</v>
      </c>
      <c r="AI915" s="10"/>
      <c r="AJ915" s="9">
        <f t="shared" si="97"/>
        <v>0</v>
      </c>
      <c r="AK915" s="10"/>
      <c r="AL915" s="10"/>
    </row>
    <row r="916" spans="1:38" ht="22.5" hidden="1">
      <c r="A916" s="1">
        <f t="shared" si="98"/>
        <v>0</v>
      </c>
      <c r="B916" s="11"/>
      <c r="C916" s="11"/>
      <c r="D916" s="15" t="s">
        <v>16</v>
      </c>
      <c r="E916" s="30"/>
      <c r="F916" s="31" t="s">
        <v>2814</v>
      </c>
      <c r="G916" s="32">
        <f>G917</f>
        <v>0</v>
      </c>
      <c r="H916" s="32">
        <f>H917</f>
        <v>0</v>
      </c>
      <c r="I916" s="15"/>
      <c r="J916" s="494"/>
      <c r="K916" s="513"/>
      <c r="L916" s="513"/>
      <c r="M916" s="513"/>
      <c r="N916" s="514"/>
      <c r="O916" s="513"/>
      <c r="P916" s="513"/>
      <c r="Q916" s="513"/>
      <c r="R916" s="513"/>
      <c r="S916" s="513"/>
      <c r="T916" s="514"/>
      <c r="U916" s="32">
        <f>U917</f>
        <v>0</v>
      </c>
      <c r="V916" s="15" t="str">
        <f t="shared" si="96"/>
        <v>202030200</v>
      </c>
      <c r="W916" s="33">
        <v>2</v>
      </c>
      <c r="X916" s="34" t="s">
        <v>647</v>
      </c>
      <c r="Y916" s="34" t="s">
        <v>671</v>
      </c>
      <c r="Z916" s="34" t="s">
        <v>647</v>
      </c>
      <c r="AA916" s="35" t="s">
        <v>630</v>
      </c>
      <c r="AB916" s="31" t="s">
        <v>2814</v>
      </c>
      <c r="AC916" s="529">
        <f>AC917</f>
        <v>0</v>
      </c>
      <c r="AD916" s="513">
        <v>0</v>
      </c>
      <c r="AE916" s="513" t="s">
        <v>13456</v>
      </c>
      <c r="AF916" s="513" t="s">
        <v>262</v>
      </c>
      <c r="AG916" s="514" t="s">
        <v>2815</v>
      </c>
      <c r="AH916" s="44">
        <f>AH917</f>
        <v>0</v>
      </c>
      <c r="AI916" s="10"/>
      <c r="AJ916" s="9">
        <f t="shared" si="97"/>
        <v>0</v>
      </c>
      <c r="AK916" s="10"/>
      <c r="AL916" s="10"/>
    </row>
    <row r="917" spans="1:38" ht="22.5" hidden="1">
      <c r="A917" s="1">
        <f t="shared" si="98"/>
        <v>0</v>
      </c>
      <c r="B917" s="2" t="s">
        <v>2816</v>
      </c>
      <c r="C917" s="3" t="s">
        <v>2817</v>
      </c>
      <c r="D917" s="15" t="s">
        <v>11616</v>
      </c>
      <c r="E917" s="4" t="s">
        <v>2816</v>
      </c>
      <c r="F917" s="37" t="s">
        <v>2817</v>
      </c>
      <c r="G917" s="38">
        <v>0</v>
      </c>
      <c r="H917" s="38">
        <v>0</v>
      </c>
      <c r="I917" s="15"/>
      <c r="J917" s="494">
        <v>20203020101</v>
      </c>
      <c r="K917" s="517"/>
      <c r="L917" s="517" t="s">
        <v>13456</v>
      </c>
      <c r="M917" s="517" t="s">
        <v>262</v>
      </c>
      <c r="N917" s="518" t="s">
        <v>2815</v>
      </c>
      <c r="O917" s="517">
        <v>2</v>
      </c>
      <c r="P917" s="517" t="s">
        <v>647</v>
      </c>
      <c r="Q917" s="517" t="s">
        <v>671</v>
      </c>
      <c r="R917" s="517" t="s">
        <v>647</v>
      </c>
      <c r="S917" s="517" t="s">
        <v>632</v>
      </c>
      <c r="T917" s="518" t="s">
        <v>2814</v>
      </c>
      <c r="U917" s="38">
        <v>0</v>
      </c>
      <c r="V917" s="15" t="str">
        <f t="shared" si="96"/>
        <v>202030201</v>
      </c>
      <c r="W917" s="39">
        <v>2</v>
      </c>
      <c r="X917" s="40" t="s">
        <v>647</v>
      </c>
      <c r="Y917" s="40" t="s">
        <v>671</v>
      </c>
      <c r="Z917" s="40" t="s">
        <v>647</v>
      </c>
      <c r="AA917" s="40" t="s">
        <v>632</v>
      </c>
      <c r="AB917" s="41" t="s">
        <v>2814</v>
      </c>
      <c r="AC917" s="9">
        <f>H917</f>
        <v>0</v>
      </c>
      <c r="AD917" s="517">
        <v>0</v>
      </c>
      <c r="AE917" s="517" t="s">
        <v>13456</v>
      </c>
      <c r="AF917" s="517" t="s">
        <v>262</v>
      </c>
      <c r="AG917" s="520" t="s">
        <v>2815</v>
      </c>
      <c r="AH917" s="67">
        <f>AC917</f>
        <v>0</v>
      </c>
      <c r="AI917" s="10"/>
      <c r="AJ917" s="9">
        <f t="shared" si="97"/>
        <v>0</v>
      </c>
      <c r="AK917" s="10"/>
      <c r="AL917" s="10"/>
    </row>
    <row r="918" spans="1:38" ht="22.5" hidden="1">
      <c r="A918" s="1">
        <f t="shared" si="98"/>
        <v>0</v>
      </c>
      <c r="D918" s="15" t="s">
        <v>16</v>
      </c>
      <c r="E918" s="30"/>
      <c r="F918" s="31" t="s">
        <v>2818</v>
      </c>
      <c r="G918" s="32">
        <f>G919</f>
        <v>0</v>
      </c>
      <c r="H918" s="32">
        <f>H919</f>
        <v>0</v>
      </c>
      <c r="I918" s="15"/>
      <c r="J918" s="494"/>
      <c r="K918" s="513"/>
      <c r="L918" s="513"/>
      <c r="M918" s="513"/>
      <c r="N918" s="514"/>
      <c r="O918" s="513"/>
      <c r="P918" s="513"/>
      <c r="Q918" s="513"/>
      <c r="R918" s="513"/>
      <c r="S918" s="513"/>
      <c r="T918" s="514"/>
      <c r="U918" s="32">
        <f>U919</f>
        <v>0</v>
      </c>
      <c r="V918" s="15" t="str">
        <f t="shared" si="96"/>
        <v>202030300</v>
      </c>
      <c r="W918" s="33">
        <v>2</v>
      </c>
      <c r="X918" s="34" t="s">
        <v>647</v>
      </c>
      <c r="Y918" s="34" t="s">
        <v>671</v>
      </c>
      <c r="Z918" s="34" t="s">
        <v>671</v>
      </c>
      <c r="AA918" s="35" t="s">
        <v>630</v>
      </c>
      <c r="AB918" s="31" t="s">
        <v>2818</v>
      </c>
      <c r="AC918" s="529">
        <f>AC919</f>
        <v>0</v>
      </c>
      <c r="AD918" s="513">
        <v>0</v>
      </c>
      <c r="AE918" s="513" t="s">
        <v>13508</v>
      </c>
      <c r="AF918" s="513" t="s">
        <v>263</v>
      </c>
      <c r="AG918" s="514" t="s">
        <v>2819</v>
      </c>
      <c r="AH918" s="44">
        <f>AH919</f>
        <v>0</v>
      </c>
      <c r="AI918" s="10"/>
      <c r="AJ918" s="9">
        <f t="shared" si="97"/>
        <v>0</v>
      </c>
      <c r="AK918" s="10"/>
      <c r="AL918" s="10"/>
    </row>
    <row r="919" spans="1:38" ht="22.5" hidden="1">
      <c r="A919" s="1">
        <f t="shared" si="98"/>
        <v>0</v>
      </c>
      <c r="B919" s="2" t="s">
        <v>2820</v>
      </c>
      <c r="C919" s="3" t="s">
        <v>2821</v>
      </c>
      <c r="D919" s="15" t="s">
        <v>11617</v>
      </c>
      <c r="E919" s="4" t="s">
        <v>2820</v>
      </c>
      <c r="F919" s="37" t="s">
        <v>2821</v>
      </c>
      <c r="G919" s="38">
        <v>0</v>
      </c>
      <c r="H919" s="38">
        <v>0</v>
      </c>
      <c r="I919" s="15"/>
      <c r="J919" s="494">
        <v>20203030101</v>
      </c>
      <c r="K919" s="517"/>
      <c r="L919" s="517" t="s">
        <v>13508</v>
      </c>
      <c r="M919" s="517" t="s">
        <v>263</v>
      </c>
      <c r="N919" s="518" t="s">
        <v>2819</v>
      </c>
      <c r="O919" s="517">
        <v>2</v>
      </c>
      <c r="P919" s="517" t="s">
        <v>647</v>
      </c>
      <c r="Q919" s="517" t="s">
        <v>671</v>
      </c>
      <c r="R919" s="517" t="s">
        <v>671</v>
      </c>
      <c r="S919" s="517" t="s">
        <v>632</v>
      </c>
      <c r="T919" s="518" t="s">
        <v>2818</v>
      </c>
      <c r="U919" s="38">
        <v>0</v>
      </c>
      <c r="V919" s="15" t="str">
        <f t="shared" si="96"/>
        <v>202030301</v>
      </c>
      <c r="W919" s="39">
        <v>2</v>
      </c>
      <c r="X919" s="40" t="s">
        <v>647</v>
      </c>
      <c r="Y919" s="40" t="s">
        <v>671</v>
      </c>
      <c r="Z919" s="40" t="s">
        <v>671</v>
      </c>
      <c r="AA919" s="40" t="s">
        <v>632</v>
      </c>
      <c r="AB919" s="41" t="s">
        <v>2818</v>
      </c>
      <c r="AC919" s="9">
        <f>H919</f>
        <v>0</v>
      </c>
      <c r="AD919" s="517">
        <v>0</v>
      </c>
      <c r="AE919" s="517" t="s">
        <v>13508</v>
      </c>
      <c r="AF919" s="517" t="s">
        <v>263</v>
      </c>
      <c r="AG919" s="520" t="s">
        <v>2819</v>
      </c>
      <c r="AH919" s="67">
        <f>AC919</f>
        <v>0</v>
      </c>
      <c r="AI919" s="10"/>
      <c r="AJ919" s="9">
        <f t="shared" si="97"/>
        <v>0</v>
      </c>
      <c r="AK919" s="10"/>
      <c r="AL919" s="10"/>
    </row>
    <row r="920" spans="1:38" ht="33.75" hidden="1">
      <c r="A920" s="1">
        <f t="shared" si="98"/>
        <v>0</v>
      </c>
      <c r="D920" s="15" t="s">
        <v>16</v>
      </c>
      <c r="E920" s="30"/>
      <c r="F920" s="31" t="s">
        <v>2822</v>
      </c>
      <c r="G920" s="32">
        <f>G921</f>
        <v>0</v>
      </c>
      <c r="H920" s="32">
        <f>H921</f>
        <v>0</v>
      </c>
      <c r="I920" s="15"/>
      <c r="J920" s="494"/>
      <c r="K920" s="513"/>
      <c r="L920" s="513"/>
      <c r="M920" s="513"/>
      <c r="N920" s="514"/>
      <c r="O920" s="513"/>
      <c r="P920" s="513"/>
      <c r="Q920" s="513"/>
      <c r="R920" s="513"/>
      <c r="S920" s="513"/>
      <c r="T920" s="514"/>
      <c r="U920" s="32">
        <f>U921</f>
        <v>0</v>
      </c>
      <c r="V920" s="15" t="str">
        <f t="shared" si="96"/>
        <v>202030400</v>
      </c>
      <c r="W920" s="33">
        <v>2</v>
      </c>
      <c r="X920" s="34" t="s">
        <v>647</v>
      </c>
      <c r="Y920" s="34" t="s">
        <v>671</v>
      </c>
      <c r="Z920" s="34" t="s">
        <v>693</v>
      </c>
      <c r="AA920" s="35" t="s">
        <v>630</v>
      </c>
      <c r="AB920" s="31" t="s">
        <v>2822</v>
      </c>
      <c r="AC920" s="529">
        <f>AC921</f>
        <v>0</v>
      </c>
      <c r="AD920" s="513">
        <v>0</v>
      </c>
      <c r="AE920" s="513" t="s">
        <v>13509</v>
      </c>
      <c r="AF920" s="513" t="s">
        <v>264</v>
      </c>
      <c r="AG920" s="514" t="s">
        <v>2823</v>
      </c>
      <c r="AH920" s="44">
        <f>AH921</f>
        <v>0</v>
      </c>
      <c r="AI920" s="10"/>
      <c r="AJ920" s="9">
        <f t="shared" si="97"/>
        <v>0</v>
      </c>
      <c r="AK920" s="10"/>
      <c r="AL920" s="10"/>
    </row>
    <row r="921" spans="1:38" ht="33.75" hidden="1">
      <c r="A921" s="1">
        <f t="shared" si="98"/>
        <v>0</v>
      </c>
      <c r="B921" s="2" t="s">
        <v>2824</v>
      </c>
      <c r="C921" s="3" t="s">
        <v>2825</v>
      </c>
      <c r="D921" s="15" t="s">
        <v>11618</v>
      </c>
      <c r="E921" s="4" t="s">
        <v>2824</v>
      </c>
      <c r="F921" s="37" t="s">
        <v>2825</v>
      </c>
      <c r="G921" s="38">
        <v>0</v>
      </c>
      <c r="H921" s="38">
        <v>0</v>
      </c>
      <c r="I921" s="15"/>
      <c r="J921" s="494">
        <v>20203040101</v>
      </c>
      <c r="K921" s="517"/>
      <c r="L921" s="517" t="s">
        <v>13509</v>
      </c>
      <c r="M921" s="517" t="s">
        <v>264</v>
      </c>
      <c r="N921" s="518" t="s">
        <v>2823</v>
      </c>
      <c r="O921" s="517">
        <v>2</v>
      </c>
      <c r="P921" s="517" t="s">
        <v>647</v>
      </c>
      <c r="Q921" s="517" t="s">
        <v>671</v>
      </c>
      <c r="R921" s="517" t="s">
        <v>693</v>
      </c>
      <c r="S921" s="517" t="s">
        <v>632</v>
      </c>
      <c r="T921" s="518" t="s">
        <v>2826</v>
      </c>
      <c r="U921" s="38">
        <v>0</v>
      </c>
      <c r="V921" s="15" t="str">
        <f t="shared" si="96"/>
        <v>202030401</v>
      </c>
      <c r="W921" s="39">
        <v>2</v>
      </c>
      <c r="X921" s="40" t="s">
        <v>647</v>
      </c>
      <c r="Y921" s="40" t="s">
        <v>671</v>
      </c>
      <c r="Z921" s="40" t="s">
        <v>693</v>
      </c>
      <c r="AA921" s="40" t="s">
        <v>632</v>
      </c>
      <c r="AB921" s="41" t="s">
        <v>2826</v>
      </c>
      <c r="AC921" s="9">
        <f>H921</f>
        <v>0</v>
      </c>
      <c r="AD921" s="517">
        <v>0</v>
      </c>
      <c r="AE921" s="517" t="s">
        <v>13509</v>
      </c>
      <c r="AF921" s="517" t="s">
        <v>264</v>
      </c>
      <c r="AG921" s="520" t="s">
        <v>2823</v>
      </c>
      <c r="AH921" s="67">
        <f>AC921</f>
        <v>0</v>
      </c>
      <c r="AI921" s="10"/>
      <c r="AJ921" s="9">
        <f t="shared" si="97"/>
        <v>0</v>
      </c>
      <c r="AK921" s="10"/>
      <c r="AL921" s="10"/>
    </row>
    <row r="922" spans="1:38" ht="45" hidden="1">
      <c r="A922" s="1">
        <f t="shared" si="98"/>
        <v>0</v>
      </c>
      <c r="D922" s="15" t="s">
        <v>16</v>
      </c>
      <c r="E922" s="30"/>
      <c r="F922" s="31" t="s">
        <v>2827</v>
      </c>
      <c r="G922" s="32">
        <f>G923</f>
        <v>0</v>
      </c>
      <c r="H922" s="32">
        <f>H923</f>
        <v>0</v>
      </c>
      <c r="I922" s="15"/>
      <c r="J922" s="494"/>
      <c r="K922" s="513"/>
      <c r="L922" s="513"/>
      <c r="M922" s="513"/>
      <c r="N922" s="514"/>
      <c r="O922" s="513"/>
      <c r="P922" s="513"/>
      <c r="Q922" s="513"/>
      <c r="R922" s="513"/>
      <c r="S922" s="513"/>
      <c r="T922" s="514"/>
      <c r="U922" s="32">
        <f>U923</f>
        <v>0</v>
      </c>
      <c r="V922" s="15" t="str">
        <f t="shared" si="96"/>
        <v>202030500</v>
      </c>
      <c r="W922" s="33">
        <v>2</v>
      </c>
      <c r="X922" s="34" t="s">
        <v>647</v>
      </c>
      <c r="Y922" s="34" t="s">
        <v>671</v>
      </c>
      <c r="Z922" s="34" t="s">
        <v>714</v>
      </c>
      <c r="AA922" s="35" t="s">
        <v>630</v>
      </c>
      <c r="AB922" s="31" t="s">
        <v>2827</v>
      </c>
      <c r="AC922" s="529">
        <f>AC923</f>
        <v>0</v>
      </c>
      <c r="AD922" s="513">
        <v>0</v>
      </c>
      <c r="AE922" s="513" t="s">
        <v>13510</v>
      </c>
      <c r="AF922" s="513" t="s">
        <v>265</v>
      </c>
      <c r="AG922" s="514" t="s">
        <v>2828</v>
      </c>
      <c r="AH922" s="44">
        <f>AH923</f>
        <v>0</v>
      </c>
      <c r="AI922" s="10"/>
      <c r="AJ922" s="9">
        <f t="shared" si="97"/>
        <v>0</v>
      </c>
      <c r="AK922" s="10"/>
      <c r="AL922" s="10"/>
    </row>
    <row r="923" spans="1:38" ht="33.75" hidden="1">
      <c r="A923" s="1">
        <f t="shared" si="98"/>
        <v>0</v>
      </c>
      <c r="B923" s="2" t="s">
        <v>2829</v>
      </c>
      <c r="C923" s="3" t="s">
        <v>2830</v>
      </c>
      <c r="D923" s="15" t="s">
        <v>11619</v>
      </c>
      <c r="E923" s="4" t="s">
        <v>2829</v>
      </c>
      <c r="F923" s="37" t="s">
        <v>2830</v>
      </c>
      <c r="G923" s="38">
        <v>0</v>
      </c>
      <c r="H923" s="38">
        <v>0</v>
      </c>
      <c r="I923" s="15"/>
      <c r="J923" s="494">
        <v>20203050101</v>
      </c>
      <c r="K923" s="517"/>
      <c r="L923" s="517" t="s">
        <v>13510</v>
      </c>
      <c r="M923" s="517" t="s">
        <v>265</v>
      </c>
      <c r="N923" s="518" t="s">
        <v>2828</v>
      </c>
      <c r="O923" s="517">
        <v>2</v>
      </c>
      <c r="P923" s="517" t="s">
        <v>647</v>
      </c>
      <c r="Q923" s="517" t="s">
        <v>671</v>
      </c>
      <c r="R923" s="517" t="s">
        <v>714</v>
      </c>
      <c r="S923" s="517" t="s">
        <v>632</v>
      </c>
      <c r="T923" s="518" t="s">
        <v>2831</v>
      </c>
      <c r="U923" s="38">
        <v>0</v>
      </c>
      <c r="V923" s="15" t="str">
        <f t="shared" si="96"/>
        <v>202030501</v>
      </c>
      <c r="W923" s="39">
        <v>2</v>
      </c>
      <c r="X923" s="40" t="s">
        <v>647</v>
      </c>
      <c r="Y923" s="40" t="s">
        <v>671</v>
      </c>
      <c r="Z923" s="40" t="s">
        <v>714</v>
      </c>
      <c r="AA923" s="40" t="s">
        <v>632</v>
      </c>
      <c r="AB923" s="41" t="s">
        <v>2831</v>
      </c>
      <c r="AC923" s="9">
        <f>H923</f>
        <v>0</v>
      </c>
      <c r="AD923" s="517">
        <v>0</v>
      </c>
      <c r="AE923" s="517" t="s">
        <v>13510</v>
      </c>
      <c r="AF923" s="517" t="s">
        <v>265</v>
      </c>
      <c r="AG923" s="520" t="s">
        <v>2828</v>
      </c>
      <c r="AH923" s="67">
        <f>AC923</f>
        <v>0</v>
      </c>
      <c r="AI923" s="10"/>
      <c r="AJ923" s="9">
        <f t="shared" si="97"/>
        <v>0</v>
      </c>
      <c r="AK923" s="10"/>
      <c r="AL923" s="10"/>
    </row>
    <row r="924" spans="1:38" ht="33.75" hidden="1">
      <c r="A924" s="1">
        <f t="shared" si="98"/>
        <v>0</v>
      </c>
      <c r="B924" s="11"/>
      <c r="C924" s="11"/>
      <c r="D924" s="15" t="s">
        <v>16</v>
      </c>
      <c r="E924" s="30"/>
      <c r="F924" s="31" t="s">
        <v>2832</v>
      </c>
      <c r="G924" s="32">
        <f>G925</f>
        <v>0</v>
      </c>
      <c r="H924" s="32">
        <f>H925</f>
        <v>0</v>
      </c>
      <c r="I924" s="15"/>
      <c r="J924" s="494"/>
      <c r="K924" s="513"/>
      <c r="L924" s="513"/>
      <c r="M924" s="513"/>
      <c r="N924" s="514"/>
      <c r="O924" s="513"/>
      <c r="P924" s="513"/>
      <c r="Q924" s="513"/>
      <c r="R924" s="513"/>
      <c r="S924" s="513"/>
      <c r="T924" s="514"/>
      <c r="U924" s="32">
        <f>U925</f>
        <v>0</v>
      </c>
      <c r="V924" s="15" t="str">
        <f t="shared" si="96"/>
        <v>202030600</v>
      </c>
      <c r="W924" s="33">
        <v>2</v>
      </c>
      <c r="X924" s="34" t="s">
        <v>647</v>
      </c>
      <c r="Y924" s="34" t="s">
        <v>671</v>
      </c>
      <c r="Z924" s="34" t="s">
        <v>739</v>
      </c>
      <c r="AA924" s="35" t="s">
        <v>630</v>
      </c>
      <c r="AB924" s="31" t="s">
        <v>2832</v>
      </c>
      <c r="AC924" s="529">
        <f>AC925</f>
        <v>0</v>
      </c>
      <c r="AD924" s="513">
        <v>0</v>
      </c>
      <c r="AE924" s="513" t="s">
        <v>13511</v>
      </c>
      <c r="AF924" s="513" t="s">
        <v>266</v>
      </c>
      <c r="AG924" s="514" t="s">
        <v>2833</v>
      </c>
      <c r="AH924" s="44">
        <f>AH925</f>
        <v>0</v>
      </c>
      <c r="AI924" s="10"/>
      <c r="AJ924" s="9">
        <f t="shared" si="97"/>
        <v>0</v>
      </c>
      <c r="AK924" s="10"/>
      <c r="AL924" s="10"/>
    </row>
    <row r="925" spans="1:38" ht="22.5" hidden="1">
      <c r="A925" s="1">
        <f t="shared" si="98"/>
        <v>0</v>
      </c>
      <c r="B925" s="2" t="s">
        <v>2834</v>
      </c>
      <c r="C925" s="3" t="s">
        <v>2835</v>
      </c>
      <c r="D925" s="15" t="s">
        <v>11620</v>
      </c>
      <c r="E925" s="4" t="s">
        <v>2834</v>
      </c>
      <c r="F925" s="37" t="s">
        <v>2835</v>
      </c>
      <c r="G925" s="38">
        <v>0</v>
      </c>
      <c r="H925" s="38">
        <v>0</v>
      </c>
      <c r="I925" s="15"/>
      <c r="J925" s="494">
        <v>20203060101</v>
      </c>
      <c r="K925" s="517"/>
      <c r="L925" s="517" t="s">
        <v>13511</v>
      </c>
      <c r="M925" s="517" t="s">
        <v>266</v>
      </c>
      <c r="N925" s="518" t="s">
        <v>2833</v>
      </c>
      <c r="O925" s="517">
        <v>2</v>
      </c>
      <c r="P925" s="517" t="s">
        <v>647</v>
      </c>
      <c r="Q925" s="517" t="s">
        <v>671</v>
      </c>
      <c r="R925" s="517" t="s">
        <v>739</v>
      </c>
      <c r="S925" s="517" t="s">
        <v>632</v>
      </c>
      <c r="T925" s="518" t="s">
        <v>2836</v>
      </c>
      <c r="U925" s="38">
        <v>0</v>
      </c>
      <c r="V925" s="15" t="str">
        <f t="shared" si="96"/>
        <v>202030601</v>
      </c>
      <c r="W925" s="39">
        <v>2</v>
      </c>
      <c r="X925" s="40" t="s">
        <v>647</v>
      </c>
      <c r="Y925" s="40" t="s">
        <v>671</v>
      </c>
      <c r="Z925" s="40" t="s">
        <v>739</v>
      </c>
      <c r="AA925" s="40" t="s">
        <v>632</v>
      </c>
      <c r="AB925" s="41" t="s">
        <v>2836</v>
      </c>
      <c r="AC925" s="9">
        <f>H925</f>
        <v>0</v>
      </c>
      <c r="AD925" s="517">
        <v>0</v>
      </c>
      <c r="AE925" s="517" t="s">
        <v>13511</v>
      </c>
      <c r="AF925" s="517" t="s">
        <v>266</v>
      </c>
      <c r="AG925" s="520" t="s">
        <v>2833</v>
      </c>
      <c r="AH925" s="67">
        <f>AC925</f>
        <v>0</v>
      </c>
      <c r="AI925" s="10"/>
      <c r="AJ925" s="9">
        <f t="shared" si="97"/>
        <v>0</v>
      </c>
      <c r="AK925" s="10"/>
      <c r="AL925" s="10"/>
    </row>
    <row r="926" spans="1:38" ht="33.75" hidden="1">
      <c r="A926" s="1">
        <f t="shared" si="98"/>
        <v>0</v>
      </c>
      <c r="B926" s="11"/>
      <c r="C926" s="11"/>
      <c r="D926" s="15" t="s">
        <v>16</v>
      </c>
      <c r="E926" s="30"/>
      <c r="F926" s="31" t="s">
        <v>2837</v>
      </c>
      <c r="G926" s="32">
        <f>G927</f>
        <v>0</v>
      </c>
      <c r="H926" s="32">
        <f>H927</f>
        <v>650804.80000000005</v>
      </c>
      <c r="I926" s="15"/>
      <c r="J926" s="494"/>
      <c r="K926" s="513"/>
      <c r="L926" s="513"/>
      <c r="M926" s="513"/>
      <c r="N926" s="514"/>
      <c r="O926" s="513"/>
      <c r="P926" s="513"/>
      <c r="Q926" s="513"/>
      <c r="R926" s="513"/>
      <c r="S926" s="513"/>
      <c r="T926" s="514"/>
      <c r="U926" s="32">
        <f>U927</f>
        <v>650804.80000000005</v>
      </c>
      <c r="V926" s="15" t="str">
        <f t="shared" si="96"/>
        <v>202030700</v>
      </c>
      <c r="W926" s="33">
        <v>2</v>
      </c>
      <c r="X926" s="34" t="s">
        <v>647</v>
      </c>
      <c r="Y926" s="34" t="s">
        <v>671</v>
      </c>
      <c r="Z926" s="34" t="s">
        <v>755</v>
      </c>
      <c r="AA926" s="35" t="s">
        <v>630</v>
      </c>
      <c r="AB926" s="31" t="s">
        <v>2837</v>
      </c>
      <c r="AC926" s="529">
        <f>AC927</f>
        <v>650804.80000000005</v>
      </c>
      <c r="AD926" s="513">
        <v>0</v>
      </c>
      <c r="AE926" s="513" t="s">
        <v>13512</v>
      </c>
      <c r="AF926" s="513" t="s">
        <v>267</v>
      </c>
      <c r="AG926" s="514" t="s">
        <v>2838</v>
      </c>
      <c r="AH926" s="44">
        <f>AH927</f>
        <v>650804.80000000005</v>
      </c>
      <c r="AI926" s="10"/>
      <c r="AJ926" s="9">
        <f t="shared" si="97"/>
        <v>0</v>
      </c>
      <c r="AK926" s="10"/>
      <c r="AL926" s="10"/>
    </row>
    <row r="927" spans="1:38" ht="22.5" hidden="1">
      <c r="A927" s="1">
        <f t="shared" si="98"/>
        <v>0</v>
      </c>
      <c r="B927" s="2" t="s">
        <v>2839</v>
      </c>
      <c r="C927" s="3" t="s">
        <v>2840</v>
      </c>
      <c r="D927" s="15" t="s">
        <v>11621</v>
      </c>
      <c r="E927" s="4" t="s">
        <v>2839</v>
      </c>
      <c r="F927" s="37" t="s">
        <v>2840</v>
      </c>
      <c r="G927" s="38">
        <v>0</v>
      </c>
      <c r="H927" s="38">
        <v>650804.80000000005</v>
      </c>
      <c r="I927" s="15"/>
      <c r="J927" s="494">
        <v>20203070101</v>
      </c>
      <c r="K927" s="517"/>
      <c r="L927" s="517" t="s">
        <v>13512</v>
      </c>
      <c r="M927" s="517" t="s">
        <v>267</v>
      </c>
      <c r="N927" s="518" t="s">
        <v>2838</v>
      </c>
      <c r="O927" s="517">
        <v>2</v>
      </c>
      <c r="P927" s="517" t="s">
        <v>647</v>
      </c>
      <c r="Q927" s="517" t="s">
        <v>671</v>
      </c>
      <c r="R927" s="517" t="s">
        <v>755</v>
      </c>
      <c r="S927" s="517" t="s">
        <v>632</v>
      </c>
      <c r="T927" s="518" t="s">
        <v>2841</v>
      </c>
      <c r="U927" s="38">
        <v>650804.80000000005</v>
      </c>
      <c r="V927" s="15" t="str">
        <f t="shared" si="96"/>
        <v>202030701</v>
      </c>
      <c r="W927" s="39">
        <v>2</v>
      </c>
      <c r="X927" s="40" t="s">
        <v>647</v>
      </c>
      <c r="Y927" s="40" t="s">
        <v>671</v>
      </c>
      <c r="Z927" s="40" t="s">
        <v>755</v>
      </c>
      <c r="AA927" s="40" t="s">
        <v>632</v>
      </c>
      <c r="AB927" s="41" t="s">
        <v>2841</v>
      </c>
      <c r="AC927" s="9">
        <f>H927</f>
        <v>650804.80000000005</v>
      </c>
      <c r="AD927" s="517">
        <v>0</v>
      </c>
      <c r="AE927" s="517" t="s">
        <v>13512</v>
      </c>
      <c r="AF927" s="517" t="s">
        <v>267</v>
      </c>
      <c r="AG927" s="520" t="s">
        <v>2838</v>
      </c>
      <c r="AH927" s="67">
        <f>AC927</f>
        <v>650804.80000000005</v>
      </c>
      <c r="AI927" s="10"/>
      <c r="AJ927" s="9">
        <f t="shared" si="97"/>
        <v>0</v>
      </c>
      <c r="AK927" s="10"/>
      <c r="AL927" s="10"/>
    </row>
    <row r="928" spans="1:38" ht="78.75" hidden="1">
      <c r="A928" s="1">
        <f t="shared" si="98"/>
        <v>0</v>
      </c>
      <c r="B928" s="11"/>
      <c r="C928" s="11"/>
      <c r="D928" s="15" t="s">
        <v>16</v>
      </c>
      <c r="E928" s="30"/>
      <c r="F928" s="31" t="s">
        <v>2842</v>
      </c>
      <c r="G928" s="32">
        <f>G929</f>
        <v>0</v>
      </c>
      <c r="H928" s="32">
        <f>H929</f>
        <v>0</v>
      </c>
      <c r="I928" s="15"/>
      <c r="J928" s="494"/>
      <c r="K928" s="513"/>
      <c r="L928" s="513"/>
      <c r="M928" s="513"/>
      <c r="N928" s="514"/>
      <c r="O928" s="513"/>
      <c r="P928" s="513"/>
      <c r="Q928" s="513"/>
      <c r="R928" s="513"/>
      <c r="S928" s="513"/>
      <c r="T928" s="514"/>
      <c r="U928" s="32">
        <f>U929</f>
        <v>0</v>
      </c>
      <c r="V928" s="15" t="str">
        <f t="shared" si="96"/>
        <v>202030800</v>
      </c>
      <c r="W928" s="33">
        <v>2</v>
      </c>
      <c r="X928" s="34" t="s">
        <v>647</v>
      </c>
      <c r="Y928" s="34" t="s">
        <v>671</v>
      </c>
      <c r="Z928" s="35" t="s">
        <v>766</v>
      </c>
      <c r="AA928" s="35" t="s">
        <v>630</v>
      </c>
      <c r="AB928" s="31" t="s">
        <v>2842</v>
      </c>
      <c r="AC928" s="529">
        <f>AC929</f>
        <v>0</v>
      </c>
      <c r="AD928" s="513">
        <v>0</v>
      </c>
      <c r="AE928" s="513" t="s">
        <v>13513</v>
      </c>
      <c r="AF928" s="513" t="s">
        <v>2843</v>
      </c>
      <c r="AG928" s="514" t="s">
        <v>2844</v>
      </c>
      <c r="AH928" s="44">
        <f>AH929</f>
        <v>0</v>
      </c>
      <c r="AI928" s="10"/>
      <c r="AJ928" s="9">
        <f t="shared" si="97"/>
        <v>0</v>
      </c>
      <c r="AK928" s="10"/>
      <c r="AL928" s="10"/>
    </row>
    <row r="929" spans="1:38" ht="67.5" hidden="1">
      <c r="A929" s="1">
        <f t="shared" si="98"/>
        <v>0</v>
      </c>
      <c r="B929" s="2" t="s">
        <v>2845</v>
      </c>
      <c r="C929" s="3" t="s">
        <v>2842</v>
      </c>
      <c r="D929" s="15" t="s">
        <v>11622</v>
      </c>
      <c r="E929" s="4" t="s">
        <v>2845</v>
      </c>
      <c r="F929" s="37" t="s">
        <v>2842</v>
      </c>
      <c r="G929" s="38">
        <v>0</v>
      </c>
      <c r="H929" s="38">
        <v>0</v>
      </c>
      <c r="I929" s="15"/>
      <c r="J929" s="494">
        <v>20203080101</v>
      </c>
      <c r="K929" s="517"/>
      <c r="L929" s="517" t="s">
        <v>13513</v>
      </c>
      <c r="M929" s="517" t="s">
        <v>2843</v>
      </c>
      <c r="N929" s="518" t="s">
        <v>2844</v>
      </c>
      <c r="O929" s="517">
        <v>2</v>
      </c>
      <c r="P929" s="517" t="s">
        <v>647</v>
      </c>
      <c r="Q929" s="517" t="s">
        <v>671</v>
      </c>
      <c r="R929" s="517" t="s">
        <v>766</v>
      </c>
      <c r="S929" s="517" t="s">
        <v>632</v>
      </c>
      <c r="T929" s="518" t="s">
        <v>2842</v>
      </c>
      <c r="U929" s="38">
        <v>0</v>
      </c>
      <c r="V929" s="15" t="str">
        <f t="shared" si="96"/>
        <v>202030801</v>
      </c>
      <c r="W929" s="39">
        <v>2</v>
      </c>
      <c r="X929" s="40" t="s">
        <v>647</v>
      </c>
      <c r="Y929" s="40" t="s">
        <v>671</v>
      </c>
      <c r="Z929" s="40" t="s">
        <v>766</v>
      </c>
      <c r="AA929" s="40" t="s">
        <v>632</v>
      </c>
      <c r="AB929" s="41" t="s">
        <v>2842</v>
      </c>
      <c r="AC929" s="9">
        <f>H929</f>
        <v>0</v>
      </c>
      <c r="AD929" s="517">
        <v>0</v>
      </c>
      <c r="AE929" s="517" t="s">
        <v>13513</v>
      </c>
      <c r="AF929" s="517" t="s">
        <v>2843</v>
      </c>
      <c r="AG929" s="520" t="s">
        <v>2844</v>
      </c>
      <c r="AH929" s="67">
        <f>AC929</f>
        <v>0</v>
      </c>
      <c r="AI929" s="10"/>
      <c r="AJ929" s="9">
        <f t="shared" si="97"/>
        <v>0</v>
      </c>
      <c r="AK929" s="10"/>
      <c r="AL929" s="10"/>
    </row>
    <row r="930" spans="1:38" ht="33.75" hidden="1">
      <c r="A930" s="1">
        <f t="shared" si="98"/>
        <v>0</v>
      </c>
      <c r="B930" s="11"/>
      <c r="C930" s="11"/>
      <c r="D930" s="15" t="s">
        <v>16</v>
      </c>
      <c r="E930" s="24"/>
      <c r="F930" s="25" t="s">
        <v>2846</v>
      </c>
      <c r="G930" s="26">
        <f>G931+G934+G995+G999+G1020</f>
        <v>25039134.580000002</v>
      </c>
      <c r="H930" s="26">
        <f>H931+H934+H995+H999+H1020</f>
        <v>29618288.890000001</v>
      </c>
      <c r="I930" s="15">
        <f>29618288.89-H930</f>
        <v>0</v>
      </c>
      <c r="J930" s="494"/>
      <c r="K930" s="509"/>
      <c r="L930" s="509"/>
      <c r="M930" s="509"/>
      <c r="N930" s="510"/>
      <c r="O930" s="509"/>
      <c r="P930" s="509"/>
      <c r="Q930" s="509"/>
      <c r="R930" s="509"/>
      <c r="S930" s="509"/>
      <c r="T930" s="510"/>
      <c r="U930" s="26">
        <f>U931+U934+U995+U999+U1020</f>
        <v>29618288.890000001</v>
      </c>
      <c r="V930" s="15" t="str">
        <f t="shared" si="96"/>
        <v>202040000</v>
      </c>
      <c r="W930" s="27">
        <v>2</v>
      </c>
      <c r="X930" s="28" t="s">
        <v>647</v>
      </c>
      <c r="Y930" s="28" t="s">
        <v>693</v>
      </c>
      <c r="Z930" s="28" t="s">
        <v>630</v>
      </c>
      <c r="AA930" s="28" t="s">
        <v>630</v>
      </c>
      <c r="AB930" s="25" t="s">
        <v>2846</v>
      </c>
      <c r="AC930" s="547">
        <f>AC931+AC934+AC995+AC999+AC1020</f>
        <v>29618288.890000001</v>
      </c>
      <c r="AD930" s="509">
        <v>0</v>
      </c>
      <c r="AE930" s="509" t="s">
        <v>13514</v>
      </c>
      <c r="AF930" s="509" t="s">
        <v>268</v>
      </c>
      <c r="AG930" s="510" t="s">
        <v>2847</v>
      </c>
      <c r="AH930" s="26">
        <f>AH931+AH934+AH995+AH999+AH1020</f>
        <v>29618288.890000001</v>
      </c>
      <c r="AI930" s="10"/>
      <c r="AJ930" s="9">
        <f t="shared" si="97"/>
        <v>0</v>
      </c>
      <c r="AK930" s="10"/>
      <c r="AL930" s="10"/>
    </row>
    <row r="931" spans="1:38" ht="45" hidden="1">
      <c r="A931" s="1">
        <f t="shared" si="98"/>
        <v>0</v>
      </c>
      <c r="B931" s="11"/>
      <c r="C931" s="11"/>
      <c r="D931" s="15" t="s">
        <v>16</v>
      </c>
      <c r="E931" s="30"/>
      <c r="F931" s="31" t="s">
        <v>2848</v>
      </c>
      <c r="G931" s="32">
        <f>G932</f>
        <v>1203709</v>
      </c>
      <c r="H931" s="32">
        <f>H932+H933</f>
        <v>345667.9</v>
      </c>
      <c r="I931" s="15"/>
      <c r="J931" s="494"/>
      <c r="K931" s="513"/>
      <c r="L931" s="513"/>
      <c r="M931" s="513"/>
      <c r="N931" s="514"/>
      <c r="O931" s="513"/>
      <c r="P931" s="513"/>
      <c r="Q931" s="513"/>
      <c r="R931" s="513"/>
      <c r="S931" s="513"/>
      <c r="T931" s="514"/>
      <c r="U931" s="32">
        <f>U932+U933</f>
        <v>345667.9</v>
      </c>
      <c r="V931" s="15" t="str">
        <f t="shared" si="96"/>
        <v>202040500</v>
      </c>
      <c r="W931" s="33">
        <v>2</v>
      </c>
      <c r="X931" s="34" t="s">
        <v>647</v>
      </c>
      <c r="Y931" s="34" t="s">
        <v>693</v>
      </c>
      <c r="Z931" s="35" t="s">
        <v>714</v>
      </c>
      <c r="AA931" s="35" t="s">
        <v>630</v>
      </c>
      <c r="AB931" s="31" t="s">
        <v>2848</v>
      </c>
      <c r="AC931" s="529">
        <f>AC932</f>
        <v>345667.9</v>
      </c>
      <c r="AD931" s="513">
        <v>0</v>
      </c>
      <c r="AE931" s="513" t="s">
        <v>13460</v>
      </c>
      <c r="AF931" s="513" t="s">
        <v>2849</v>
      </c>
      <c r="AG931" s="514" t="s">
        <v>2850</v>
      </c>
      <c r="AH931" s="44">
        <f>AH932</f>
        <v>345667.9</v>
      </c>
      <c r="AI931" s="10"/>
      <c r="AJ931" s="9">
        <f t="shared" si="97"/>
        <v>0</v>
      </c>
      <c r="AK931" s="10"/>
      <c r="AL931" s="10"/>
    </row>
    <row r="932" spans="1:38" ht="45" hidden="1">
      <c r="A932" s="1">
        <f t="shared" si="98"/>
        <v>0</v>
      </c>
      <c r="B932" s="58" t="s">
        <v>2851</v>
      </c>
      <c r="C932" s="59" t="s">
        <v>2852</v>
      </c>
      <c r="D932" s="15" t="s">
        <v>11623</v>
      </c>
      <c r="E932" s="4" t="s">
        <v>2851</v>
      </c>
      <c r="F932" s="37" t="s">
        <v>2852</v>
      </c>
      <c r="G932" s="47">
        <v>1203709</v>
      </c>
      <c r="H932" s="38">
        <v>345667.9</v>
      </c>
      <c r="I932" s="15"/>
      <c r="J932" s="494">
        <v>20204050101</v>
      </c>
      <c r="K932" s="517"/>
      <c r="L932" s="517" t="s">
        <v>13460</v>
      </c>
      <c r="M932" s="517" t="s">
        <v>2849</v>
      </c>
      <c r="N932" s="518" t="s">
        <v>2850</v>
      </c>
      <c r="O932" s="517">
        <v>2</v>
      </c>
      <c r="P932" s="517" t="s">
        <v>647</v>
      </c>
      <c r="Q932" s="517" t="s">
        <v>693</v>
      </c>
      <c r="R932" s="517" t="s">
        <v>714</v>
      </c>
      <c r="S932" s="517" t="s">
        <v>632</v>
      </c>
      <c r="T932" s="518" t="s">
        <v>2853</v>
      </c>
      <c r="U932" s="38">
        <v>345667.9</v>
      </c>
      <c r="V932" s="15" t="str">
        <f t="shared" si="96"/>
        <v>202040501</v>
      </c>
      <c r="W932" s="39">
        <v>2</v>
      </c>
      <c r="X932" s="40" t="s">
        <v>647</v>
      </c>
      <c r="Y932" s="40" t="s">
        <v>693</v>
      </c>
      <c r="Z932" s="40" t="s">
        <v>714</v>
      </c>
      <c r="AA932" s="40" t="s">
        <v>632</v>
      </c>
      <c r="AB932" s="42" t="s">
        <v>2853</v>
      </c>
      <c r="AC932" s="9">
        <f>H932</f>
        <v>345667.9</v>
      </c>
      <c r="AD932" s="517">
        <v>0</v>
      </c>
      <c r="AE932" s="517" t="s">
        <v>13460</v>
      </c>
      <c r="AF932" s="517" t="s">
        <v>2849</v>
      </c>
      <c r="AG932" s="518" t="s">
        <v>2850</v>
      </c>
      <c r="AH932" s="67">
        <f>AC932</f>
        <v>345667.9</v>
      </c>
      <c r="AI932" s="10"/>
      <c r="AJ932" s="9">
        <f t="shared" si="97"/>
        <v>0</v>
      </c>
      <c r="AK932" s="10"/>
      <c r="AL932" s="10"/>
    </row>
    <row r="933" spans="1:38" ht="45" hidden="1">
      <c r="A933" s="1">
        <f t="shared" si="98"/>
        <v>0</v>
      </c>
      <c r="B933" s="2" t="s">
        <v>2854</v>
      </c>
      <c r="C933" s="3" t="s">
        <v>2855</v>
      </c>
      <c r="D933" s="15" t="s">
        <v>11623</v>
      </c>
      <c r="E933" s="4" t="s">
        <v>2854</v>
      </c>
      <c r="F933" s="37" t="s">
        <v>2855</v>
      </c>
      <c r="G933" s="47"/>
      <c r="H933" s="38">
        <v>0</v>
      </c>
      <c r="I933" s="15"/>
      <c r="J933" s="494">
        <v>20204050102</v>
      </c>
      <c r="K933" s="517"/>
      <c r="L933" s="517" t="s">
        <v>13460</v>
      </c>
      <c r="M933" s="517" t="s">
        <v>2849</v>
      </c>
      <c r="N933" s="518" t="s">
        <v>2850</v>
      </c>
      <c r="O933" s="517">
        <v>2</v>
      </c>
      <c r="P933" s="517" t="s">
        <v>647</v>
      </c>
      <c r="Q933" s="517" t="s">
        <v>693</v>
      </c>
      <c r="R933" s="517" t="s">
        <v>714</v>
      </c>
      <c r="S933" s="517" t="s">
        <v>632</v>
      </c>
      <c r="T933" s="518" t="s">
        <v>2853</v>
      </c>
      <c r="U933" s="38">
        <v>0</v>
      </c>
      <c r="V933" s="15" t="str">
        <f t="shared" si="96"/>
        <v/>
      </c>
      <c r="W933" s="39"/>
      <c r="X933" s="40"/>
      <c r="Y933" s="40"/>
      <c r="Z933" s="40"/>
      <c r="AA933" s="40"/>
      <c r="AB933" s="42"/>
      <c r="AC933" s="9">
        <f>H933</f>
        <v>0</v>
      </c>
      <c r="AD933" s="517" t="e">
        <v>#N/A</v>
      </c>
      <c r="AE933" s="517" t="e">
        <v>#N/A</v>
      </c>
      <c r="AF933" s="517" t="e">
        <v>#N/A</v>
      </c>
      <c r="AG933" s="518" t="e">
        <v>#N/A</v>
      </c>
      <c r="AH933" s="67">
        <f>AC933</f>
        <v>0</v>
      </c>
      <c r="AI933" s="10"/>
      <c r="AJ933" s="9">
        <f t="shared" si="97"/>
        <v>0</v>
      </c>
      <c r="AK933" s="10"/>
      <c r="AL933" s="10"/>
    </row>
    <row r="934" spans="1:38" ht="45" hidden="1">
      <c r="A934" s="1">
        <f t="shared" si="98"/>
        <v>0</v>
      </c>
      <c r="D934" s="15" t="s">
        <v>16</v>
      </c>
      <c r="E934" s="30"/>
      <c r="F934" s="31" t="s">
        <v>2856</v>
      </c>
      <c r="G934" s="32">
        <f>SUM(G935:G992)</f>
        <v>20112135.650000002</v>
      </c>
      <c r="H934" s="32">
        <f>SUM(H935:H994)</f>
        <v>16866512.07</v>
      </c>
      <c r="I934" s="15"/>
      <c r="J934" s="494"/>
      <c r="K934" s="513"/>
      <c r="L934" s="513"/>
      <c r="M934" s="513"/>
      <c r="N934" s="514"/>
      <c r="O934" s="513"/>
      <c r="P934" s="513"/>
      <c r="Q934" s="513"/>
      <c r="R934" s="513"/>
      <c r="S934" s="513"/>
      <c r="T934" s="514"/>
      <c r="U934" s="32">
        <f>SUM(U935:U994)</f>
        <v>16866512.07</v>
      </c>
      <c r="V934" s="15" t="str">
        <f t="shared" si="96"/>
        <v>202040100</v>
      </c>
      <c r="W934" s="33">
        <v>2</v>
      </c>
      <c r="X934" s="34" t="s">
        <v>647</v>
      </c>
      <c r="Y934" s="34" t="s">
        <v>693</v>
      </c>
      <c r="Z934" s="34" t="s">
        <v>632</v>
      </c>
      <c r="AA934" s="35" t="s">
        <v>630</v>
      </c>
      <c r="AB934" s="31" t="s">
        <v>2856</v>
      </c>
      <c r="AC934" s="594">
        <f>SUM(AC935:AC994)</f>
        <v>16866512.07</v>
      </c>
      <c r="AD934" s="513">
        <v>0</v>
      </c>
      <c r="AE934" s="513" t="s">
        <v>2271</v>
      </c>
      <c r="AF934" s="513" t="s">
        <v>269</v>
      </c>
      <c r="AG934" s="514" t="s">
        <v>2857</v>
      </c>
      <c r="AH934" s="32">
        <f>SUM(AH935:AH994)</f>
        <v>16866512.07</v>
      </c>
      <c r="AI934" s="10"/>
      <c r="AJ934" s="9">
        <f t="shared" si="97"/>
        <v>0</v>
      </c>
      <c r="AK934" s="10"/>
      <c r="AL934" s="10"/>
    </row>
    <row r="935" spans="1:38" ht="45" hidden="1">
      <c r="A935" s="1">
        <f t="shared" si="98"/>
        <v>0</v>
      </c>
      <c r="B935" s="2" t="s">
        <v>2858</v>
      </c>
      <c r="C935" s="3" t="s">
        <v>2859</v>
      </c>
      <c r="D935" s="15" t="s">
        <v>11624</v>
      </c>
      <c r="E935" s="4" t="s">
        <v>2858</v>
      </c>
      <c r="F935" s="37" t="s">
        <v>2859</v>
      </c>
      <c r="G935" s="38">
        <v>0</v>
      </c>
      <c r="H935" s="38">
        <v>0</v>
      </c>
      <c r="I935" s="15"/>
      <c r="J935" s="494">
        <v>20204010201</v>
      </c>
      <c r="K935" s="517"/>
      <c r="L935" s="517" t="s">
        <v>2271</v>
      </c>
      <c r="M935" s="517" t="s">
        <v>269</v>
      </c>
      <c r="N935" s="518" t="s">
        <v>2857</v>
      </c>
      <c r="O935" s="517">
        <v>2</v>
      </c>
      <c r="P935" s="517" t="s">
        <v>647</v>
      </c>
      <c r="Q935" s="517" t="s">
        <v>693</v>
      </c>
      <c r="R935" s="517" t="s">
        <v>632</v>
      </c>
      <c r="S935" s="517" t="s">
        <v>647</v>
      </c>
      <c r="T935" s="518" t="s">
        <v>2860</v>
      </c>
      <c r="U935" s="38">
        <v>0</v>
      </c>
      <c r="V935" s="15" t="str">
        <f t="shared" si="96"/>
        <v>202040102</v>
      </c>
      <c r="W935" s="39">
        <v>2</v>
      </c>
      <c r="X935" s="40" t="s">
        <v>647</v>
      </c>
      <c r="Y935" s="40" t="s">
        <v>693</v>
      </c>
      <c r="Z935" s="40" t="s">
        <v>632</v>
      </c>
      <c r="AA935" s="40" t="s">
        <v>647</v>
      </c>
      <c r="AB935" s="42" t="s">
        <v>2860</v>
      </c>
      <c r="AC935" s="519">
        <f>SUM(H935:H973)</f>
        <v>10222327.800000001</v>
      </c>
      <c r="AD935" s="517">
        <v>0</v>
      </c>
      <c r="AE935" s="517" t="s">
        <v>2271</v>
      </c>
      <c r="AF935" s="517" t="s">
        <v>269</v>
      </c>
      <c r="AG935" s="518" t="s">
        <v>2857</v>
      </c>
      <c r="AH935" s="67">
        <f>AC935</f>
        <v>10222327.800000001</v>
      </c>
      <c r="AI935" s="10"/>
      <c r="AJ935" s="9"/>
      <c r="AK935" s="10"/>
      <c r="AL935" s="10"/>
    </row>
    <row r="936" spans="1:38" ht="45" hidden="1">
      <c r="A936" s="1">
        <f t="shared" si="98"/>
        <v>0</v>
      </c>
      <c r="B936" s="2" t="s">
        <v>2861</v>
      </c>
      <c r="C936" s="3" t="s">
        <v>2862</v>
      </c>
      <c r="D936" s="15" t="s">
        <v>11624</v>
      </c>
      <c r="E936" s="4" t="s">
        <v>2861</v>
      </c>
      <c r="F936" s="37" t="s">
        <v>2862</v>
      </c>
      <c r="G936" s="38">
        <v>0</v>
      </c>
      <c r="H936" s="38">
        <v>0</v>
      </c>
      <c r="I936" s="15"/>
      <c r="J936" s="494">
        <v>20204010202</v>
      </c>
      <c r="K936" s="517"/>
      <c r="L936" s="517" t="s">
        <v>2271</v>
      </c>
      <c r="M936" s="517" t="s">
        <v>269</v>
      </c>
      <c r="N936" s="518" t="s">
        <v>2857</v>
      </c>
      <c r="O936" s="517">
        <v>2</v>
      </c>
      <c r="P936" s="517" t="s">
        <v>647</v>
      </c>
      <c r="Q936" s="517" t="s">
        <v>693</v>
      </c>
      <c r="R936" s="517" t="s">
        <v>632</v>
      </c>
      <c r="S936" s="517" t="s">
        <v>647</v>
      </c>
      <c r="T936" s="518" t="s">
        <v>2860</v>
      </c>
      <c r="U936" s="38">
        <v>0</v>
      </c>
      <c r="V936" s="15" t="str">
        <f t="shared" si="96"/>
        <v/>
      </c>
      <c r="W936" s="1"/>
      <c r="X936" s="1"/>
      <c r="Y936" s="1"/>
      <c r="Z936" s="1"/>
      <c r="AA936" s="1"/>
      <c r="AB936" s="3"/>
      <c r="AC936" s="9"/>
      <c r="AD936" s="517" t="e">
        <v>#N/A</v>
      </c>
      <c r="AE936" s="517" t="e">
        <v>#N/A</v>
      </c>
      <c r="AF936" s="517" t="e">
        <v>#N/A</v>
      </c>
      <c r="AG936" s="520" t="e">
        <v>#N/A</v>
      </c>
      <c r="AH936" s="9"/>
      <c r="AI936" s="10"/>
      <c r="AJ936" s="9"/>
      <c r="AK936" s="10"/>
      <c r="AL936" s="10"/>
    </row>
    <row r="937" spans="1:38" ht="45" hidden="1">
      <c r="A937" s="1">
        <f t="shared" si="98"/>
        <v>0</v>
      </c>
      <c r="B937" s="2" t="s">
        <v>2863</v>
      </c>
      <c r="C937" s="3" t="s">
        <v>2864</v>
      </c>
      <c r="D937" s="15" t="s">
        <v>11624</v>
      </c>
      <c r="E937" s="4" t="s">
        <v>2863</v>
      </c>
      <c r="F937" s="37" t="s">
        <v>2864</v>
      </c>
      <c r="G937" s="38">
        <v>-0.49</v>
      </c>
      <c r="H937" s="38">
        <v>0.49</v>
      </c>
      <c r="I937" s="15"/>
      <c r="J937" s="494">
        <v>20204010203</v>
      </c>
      <c r="K937" s="517"/>
      <c r="L937" s="517" t="s">
        <v>2271</v>
      </c>
      <c r="M937" s="517" t="s">
        <v>269</v>
      </c>
      <c r="N937" s="518" t="s">
        <v>2857</v>
      </c>
      <c r="O937" s="517">
        <v>2</v>
      </c>
      <c r="P937" s="517" t="s">
        <v>647</v>
      </c>
      <c r="Q937" s="517" t="s">
        <v>693</v>
      </c>
      <c r="R937" s="517" t="s">
        <v>632</v>
      </c>
      <c r="S937" s="517" t="s">
        <v>647</v>
      </c>
      <c r="T937" s="518" t="s">
        <v>2860</v>
      </c>
      <c r="U937" s="38">
        <v>0.49</v>
      </c>
      <c r="V937" s="15" t="str">
        <f t="shared" si="96"/>
        <v/>
      </c>
      <c r="W937" s="1"/>
      <c r="X937" s="1"/>
      <c r="Y937" s="1"/>
      <c r="Z937" s="1"/>
      <c r="AA937" s="1"/>
      <c r="AB937" s="3"/>
      <c r="AC937" s="9"/>
      <c r="AD937" s="517" t="e">
        <v>#N/A</v>
      </c>
      <c r="AE937" s="517" t="e">
        <v>#N/A</v>
      </c>
      <c r="AF937" s="517" t="e">
        <v>#N/A</v>
      </c>
      <c r="AG937" s="520" t="e">
        <v>#N/A</v>
      </c>
      <c r="AH937" s="9"/>
      <c r="AI937" s="10"/>
      <c r="AJ937" s="9"/>
      <c r="AK937" s="10"/>
      <c r="AL937" s="10"/>
    </row>
    <row r="938" spans="1:38" ht="45" hidden="1">
      <c r="A938" s="1">
        <f t="shared" si="98"/>
        <v>0</v>
      </c>
      <c r="B938" s="2" t="s">
        <v>2865</v>
      </c>
      <c r="C938" s="3" t="s">
        <v>2866</v>
      </c>
      <c r="D938" s="15" t="s">
        <v>11624</v>
      </c>
      <c r="E938" s="4" t="s">
        <v>2865</v>
      </c>
      <c r="F938" s="37" t="s">
        <v>2866</v>
      </c>
      <c r="G938" s="38">
        <v>464772.65</v>
      </c>
      <c r="H938" s="38">
        <v>399522.65</v>
      </c>
      <c r="I938" s="15"/>
      <c r="J938" s="494">
        <v>20204010204</v>
      </c>
      <c r="K938" s="517"/>
      <c r="L938" s="517" t="s">
        <v>2271</v>
      </c>
      <c r="M938" s="517" t="s">
        <v>269</v>
      </c>
      <c r="N938" s="518" t="s">
        <v>2857</v>
      </c>
      <c r="O938" s="517">
        <v>2</v>
      </c>
      <c r="P938" s="517" t="s">
        <v>647</v>
      </c>
      <c r="Q938" s="517" t="s">
        <v>693</v>
      </c>
      <c r="R938" s="517" t="s">
        <v>632</v>
      </c>
      <c r="S938" s="517" t="s">
        <v>647</v>
      </c>
      <c r="T938" s="518" t="s">
        <v>2860</v>
      </c>
      <c r="U938" s="38">
        <v>399522.65</v>
      </c>
      <c r="V938" s="15" t="str">
        <f t="shared" si="96"/>
        <v/>
      </c>
      <c r="W938" s="1"/>
      <c r="X938" s="1"/>
      <c r="Y938" s="1"/>
      <c r="Z938" s="1"/>
      <c r="AA938" s="1"/>
      <c r="AB938" s="3"/>
      <c r="AC938" s="9"/>
      <c r="AD938" s="517" t="e">
        <v>#N/A</v>
      </c>
      <c r="AE938" s="517" t="e">
        <v>#N/A</v>
      </c>
      <c r="AF938" s="517" t="e">
        <v>#N/A</v>
      </c>
      <c r="AG938" s="520" t="e">
        <v>#N/A</v>
      </c>
      <c r="AH938" s="9"/>
      <c r="AI938" s="10"/>
      <c r="AJ938" s="9"/>
      <c r="AK938" s="10"/>
      <c r="AL938" s="10"/>
    </row>
    <row r="939" spans="1:38" ht="45" hidden="1">
      <c r="A939" s="1">
        <f t="shared" si="98"/>
        <v>0</v>
      </c>
      <c r="B939" s="2" t="s">
        <v>2867</v>
      </c>
      <c r="C939" s="3" t="s">
        <v>2868</v>
      </c>
      <c r="D939" s="15" t="s">
        <v>11624</v>
      </c>
      <c r="E939" s="4" t="s">
        <v>2867</v>
      </c>
      <c r="F939" s="37" t="s">
        <v>2868</v>
      </c>
      <c r="G939" s="38">
        <v>210325.86</v>
      </c>
      <c r="H939" s="38">
        <v>78042.720000000001</v>
      </c>
      <c r="I939" s="15"/>
      <c r="J939" s="494">
        <v>20204010205</v>
      </c>
      <c r="K939" s="517"/>
      <c r="L939" s="517" t="s">
        <v>2271</v>
      </c>
      <c r="M939" s="517" t="s">
        <v>269</v>
      </c>
      <c r="N939" s="518" t="s">
        <v>2857</v>
      </c>
      <c r="O939" s="517">
        <v>2</v>
      </c>
      <c r="P939" s="517" t="s">
        <v>647</v>
      </c>
      <c r="Q939" s="517" t="s">
        <v>693</v>
      </c>
      <c r="R939" s="517" t="s">
        <v>632</v>
      </c>
      <c r="S939" s="517" t="s">
        <v>647</v>
      </c>
      <c r="T939" s="518" t="s">
        <v>2860</v>
      </c>
      <c r="U939" s="38">
        <v>78042.720000000001</v>
      </c>
      <c r="V939" s="15" t="str">
        <f t="shared" si="96"/>
        <v/>
      </c>
      <c r="W939" s="1"/>
      <c r="X939" s="1"/>
      <c r="Y939" s="1"/>
      <c r="Z939" s="1"/>
      <c r="AA939" s="1"/>
      <c r="AB939" s="3"/>
      <c r="AC939" s="9"/>
      <c r="AD939" s="517" t="e">
        <v>#N/A</v>
      </c>
      <c r="AE939" s="517" t="e">
        <v>#N/A</v>
      </c>
      <c r="AF939" s="517" t="e">
        <v>#N/A</v>
      </c>
      <c r="AG939" s="520" t="e">
        <v>#N/A</v>
      </c>
      <c r="AH939" s="9"/>
      <c r="AI939" s="10"/>
      <c r="AJ939" s="9"/>
      <c r="AK939" s="10"/>
      <c r="AL939" s="10"/>
    </row>
    <row r="940" spans="1:38" ht="45" hidden="1">
      <c r="A940" s="1">
        <f t="shared" si="98"/>
        <v>0</v>
      </c>
      <c r="B940" s="2" t="s">
        <v>2869</v>
      </c>
      <c r="C940" s="3" t="s">
        <v>2870</v>
      </c>
      <c r="D940" s="15" t="s">
        <v>11624</v>
      </c>
      <c r="E940" s="4" t="s">
        <v>2869</v>
      </c>
      <c r="F940" s="37" t="s">
        <v>2870</v>
      </c>
      <c r="G940" s="38">
        <v>0</v>
      </c>
      <c r="H940" s="38">
        <v>0</v>
      </c>
      <c r="I940" s="15"/>
      <c r="J940" s="494">
        <v>20204010206</v>
      </c>
      <c r="K940" s="599"/>
      <c r="L940" s="599" t="s">
        <v>2271</v>
      </c>
      <c r="M940" s="599" t="s">
        <v>269</v>
      </c>
      <c r="N940" s="592" t="s">
        <v>2857</v>
      </c>
      <c r="O940" s="599">
        <v>2</v>
      </c>
      <c r="P940" s="599" t="s">
        <v>647</v>
      </c>
      <c r="Q940" s="599" t="s">
        <v>693</v>
      </c>
      <c r="R940" s="599" t="s">
        <v>632</v>
      </c>
      <c r="S940" s="599" t="s">
        <v>647</v>
      </c>
      <c r="T940" s="592" t="s">
        <v>2860</v>
      </c>
      <c r="U940" s="38">
        <v>0</v>
      </c>
      <c r="V940" s="15" t="str">
        <f t="shared" si="96"/>
        <v/>
      </c>
      <c r="W940" s="1"/>
      <c r="X940" s="1"/>
      <c r="Y940" s="1"/>
      <c r="Z940" s="1"/>
      <c r="AA940" s="1"/>
      <c r="AB940" s="84"/>
      <c r="AC940" s="9"/>
      <c r="AD940" s="599" t="e">
        <v>#N/A</v>
      </c>
      <c r="AE940" s="599" t="e">
        <v>#N/A</v>
      </c>
      <c r="AF940" s="599" t="e">
        <v>#N/A</v>
      </c>
      <c r="AG940" s="600" t="e">
        <v>#N/A</v>
      </c>
      <c r="AH940" s="9"/>
      <c r="AI940" s="10"/>
      <c r="AJ940" s="9"/>
      <c r="AK940" s="10"/>
      <c r="AL940" s="10"/>
    </row>
    <row r="941" spans="1:38" ht="45" hidden="1">
      <c r="A941" s="1">
        <f t="shared" si="98"/>
        <v>0</v>
      </c>
      <c r="B941" s="2" t="s">
        <v>2871</v>
      </c>
      <c r="C941" s="3" t="s">
        <v>2872</v>
      </c>
      <c r="D941" s="15" t="s">
        <v>11624</v>
      </c>
      <c r="E941" s="4" t="s">
        <v>2871</v>
      </c>
      <c r="F941" s="37" t="s">
        <v>2872</v>
      </c>
      <c r="G941" s="38">
        <v>80571</v>
      </c>
      <c r="H941" s="38">
        <v>80571</v>
      </c>
      <c r="I941" s="15"/>
      <c r="J941" s="494">
        <v>20204010207</v>
      </c>
      <c r="K941" s="517"/>
      <c r="L941" s="517" t="s">
        <v>2271</v>
      </c>
      <c r="M941" s="517" t="s">
        <v>269</v>
      </c>
      <c r="N941" s="518" t="s">
        <v>2857</v>
      </c>
      <c r="O941" s="517">
        <v>2</v>
      </c>
      <c r="P941" s="517" t="s">
        <v>647</v>
      </c>
      <c r="Q941" s="517" t="s">
        <v>693</v>
      </c>
      <c r="R941" s="517" t="s">
        <v>632</v>
      </c>
      <c r="S941" s="517" t="s">
        <v>647</v>
      </c>
      <c r="T941" s="518" t="s">
        <v>2860</v>
      </c>
      <c r="U941" s="38">
        <v>80571</v>
      </c>
      <c r="V941" s="15" t="str">
        <f t="shared" si="96"/>
        <v/>
      </c>
      <c r="W941" s="1"/>
      <c r="X941" s="1"/>
      <c r="Y941" s="1"/>
      <c r="Z941" s="1"/>
      <c r="AA941" s="1"/>
      <c r="AB941" s="3"/>
      <c r="AC941" s="9"/>
      <c r="AD941" s="517" t="e">
        <v>#N/A</v>
      </c>
      <c r="AE941" s="517" t="e">
        <v>#N/A</v>
      </c>
      <c r="AF941" s="517" t="e">
        <v>#N/A</v>
      </c>
      <c r="AG941" s="520" t="e">
        <v>#N/A</v>
      </c>
      <c r="AH941" s="9"/>
      <c r="AI941" s="10"/>
      <c r="AJ941" s="9"/>
      <c r="AK941" s="10"/>
      <c r="AL941" s="10"/>
    </row>
    <row r="942" spans="1:38" ht="45" hidden="1">
      <c r="A942" s="1">
        <f t="shared" si="98"/>
        <v>0</v>
      </c>
      <c r="B942" s="2" t="s">
        <v>2873</v>
      </c>
      <c r="C942" s="3" t="s">
        <v>2874</v>
      </c>
      <c r="D942" s="15" t="s">
        <v>11624</v>
      </c>
      <c r="E942" s="4" t="s">
        <v>2873</v>
      </c>
      <c r="F942" s="37" t="s">
        <v>2874</v>
      </c>
      <c r="G942" s="38">
        <v>314288.75</v>
      </c>
      <c r="H942" s="38">
        <v>314288.75</v>
      </c>
      <c r="I942" s="15"/>
      <c r="J942" s="494">
        <v>20204010208</v>
      </c>
      <c r="K942" s="517"/>
      <c r="L942" s="517" t="s">
        <v>2271</v>
      </c>
      <c r="M942" s="517" t="s">
        <v>269</v>
      </c>
      <c r="N942" s="518" t="s">
        <v>2857</v>
      </c>
      <c r="O942" s="517">
        <v>2</v>
      </c>
      <c r="P942" s="517" t="s">
        <v>647</v>
      </c>
      <c r="Q942" s="517" t="s">
        <v>693</v>
      </c>
      <c r="R942" s="517" t="s">
        <v>632</v>
      </c>
      <c r="S942" s="517" t="s">
        <v>647</v>
      </c>
      <c r="T942" s="518" t="s">
        <v>2860</v>
      </c>
      <c r="U942" s="38">
        <v>314288.75</v>
      </c>
      <c r="V942" s="15" t="str">
        <f t="shared" si="96"/>
        <v/>
      </c>
      <c r="W942" s="1"/>
      <c r="X942" s="1"/>
      <c r="Y942" s="1"/>
      <c r="Z942" s="1"/>
      <c r="AA942" s="1"/>
      <c r="AB942" s="3"/>
      <c r="AC942" s="9"/>
      <c r="AD942" s="517" t="e">
        <v>#N/A</v>
      </c>
      <c r="AE942" s="517" t="e">
        <v>#N/A</v>
      </c>
      <c r="AF942" s="517" t="e">
        <v>#N/A</v>
      </c>
      <c r="AG942" s="520" t="e">
        <v>#N/A</v>
      </c>
      <c r="AH942" s="9"/>
      <c r="AI942" s="10"/>
      <c r="AJ942" s="9"/>
      <c r="AK942" s="10"/>
      <c r="AL942" s="10"/>
    </row>
    <row r="943" spans="1:38" ht="45" hidden="1">
      <c r="A943" s="1">
        <f t="shared" si="98"/>
        <v>0</v>
      </c>
      <c r="B943" s="2" t="s">
        <v>2875</v>
      </c>
      <c r="C943" s="3" t="s">
        <v>2876</v>
      </c>
      <c r="D943" s="15" t="s">
        <v>11624</v>
      </c>
      <c r="E943" s="4" t="s">
        <v>2875</v>
      </c>
      <c r="F943" s="37" t="s">
        <v>2876</v>
      </c>
      <c r="G943" s="38">
        <v>12668</v>
      </c>
      <c r="H943" s="38">
        <v>12668</v>
      </c>
      <c r="I943" s="15"/>
      <c r="J943" s="494">
        <v>20204010209</v>
      </c>
      <c r="K943" s="517"/>
      <c r="L943" s="517" t="s">
        <v>2271</v>
      </c>
      <c r="M943" s="517" t="s">
        <v>269</v>
      </c>
      <c r="N943" s="518" t="s">
        <v>2857</v>
      </c>
      <c r="O943" s="517">
        <v>2</v>
      </c>
      <c r="P943" s="517" t="s">
        <v>647</v>
      </c>
      <c r="Q943" s="517" t="s">
        <v>693</v>
      </c>
      <c r="R943" s="517" t="s">
        <v>632</v>
      </c>
      <c r="S943" s="517" t="s">
        <v>647</v>
      </c>
      <c r="T943" s="518" t="s">
        <v>2860</v>
      </c>
      <c r="U943" s="38">
        <v>12668</v>
      </c>
      <c r="V943" s="15" t="str">
        <f t="shared" si="96"/>
        <v/>
      </c>
      <c r="W943" s="1"/>
      <c r="X943" s="1"/>
      <c r="Y943" s="1"/>
      <c r="Z943" s="1"/>
      <c r="AA943" s="1"/>
      <c r="AB943" s="3"/>
      <c r="AC943" s="9"/>
      <c r="AD943" s="517" t="e">
        <v>#N/A</v>
      </c>
      <c r="AE943" s="517" t="e">
        <v>#N/A</v>
      </c>
      <c r="AF943" s="517" t="e">
        <v>#N/A</v>
      </c>
      <c r="AG943" s="520" t="e">
        <v>#N/A</v>
      </c>
      <c r="AH943" s="9"/>
      <c r="AI943" s="10"/>
      <c r="AJ943" s="9"/>
      <c r="AK943" s="10"/>
      <c r="AL943" s="10"/>
    </row>
    <row r="944" spans="1:38" ht="45" hidden="1">
      <c r="A944" s="1">
        <f t="shared" si="98"/>
        <v>0</v>
      </c>
      <c r="B944" s="2" t="s">
        <v>2877</v>
      </c>
      <c r="C944" s="3" t="s">
        <v>2878</v>
      </c>
      <c r="D944" s="15" t="s">
        <v>11624</v>
      </c>
      <c r="E944" s="4" t="s">
        <v>2877</v>
      </c>
      <c r="F944" s="37" t="s">
        <v>2878</v>
      </c>
      <c r="G944" s="38">
        <v>264387</v>
      </c>
      <c r="H944" s="38">
        <v>246678.67</v>
      </c>
      <c r="I944" s="15"/>
      <c r="J944" s="494">
        <v>20204010210</v>
      </c>
      <c r="K944" s="517"/>
      <c r="L944" s="517" t="s">
        <v>2271</v>
      </c>
      <c r="M944" s="517" t="s">
        <v>269</v>
      </c>
      <c r="N944" s="518" t="s">
        <v>2857</v>
      </c>
      <c r="O944" s="517">
        <v>2</v>
      </c>
      <c r="P944" s="517" t="s">
        <v>647</v>
      </c>
      <c r="Q944" s="517" t="s">
        <v>693</v>
      </c>
      <c r="R944" s="517" t="s">
        <v>632</v>
      </c>
      <c r="S944" s="517" t="s">
        <v>647</v>
      </c>
      <c r="T944" s="518" t="s">
        <v>2860</v>
      </c>
      <c r="U944" s="38">
        <v>246678.67</v>
      </c>
      <c r="V944" s="15" t="str">
        <f t="shared" si="96"/>
        <v/>
      </c>
      <c r="W944" s="1"/>
      <c r="X944" s="1"/>
      <c r="Y944" s="1"/>
      <c r="Z944" s="1"/>
      <c r="AA944" s="1"/>
      <c r="AB944" s="3"/>
      <c r="AC944" s="9"/>
      <c r="AD944" s="517" t="e">
        <v>#N/A</v>
      </c>
      <c r="AE944" s="517" t="e">
        <v>#N/A</v>
      </c>
      <c r="AF944" s="517" t="e">
        <v>#N/A</v>
      </c>
      <c r="AG944" s="520" t="e">
        <v>#N/A</v>
      </c>
      <c r="AH944" s="9"/>
      <c r="AI944" s="10"/>
      <c r="AJ944" s="9"/>
      <c r="AK944" s="10"/>
      <c r="AL944" s="10"/>
    </row>
    <row r="945" spans="1:38" ht="45" hidden="1">
      <c r="A945" s="1">
        <f t="shared" si="98"/>
        <v>0</v>
      </c>
      <c r="B945" s="2" t="s">
        <v>2879</v>
      </c>
      <c r="C945" s="3" t="s">
        <v>2880</v>
      </c>
      <c r="D945" s="15" t="s">
        <v>11624</v>
      </c>
      <c r="E945" s="4" t="s">
        <v>2879</v>
      </c>
      <c r="F945" s="37" t="s">
        <v>2880</v>
      </c>
      <c r="G945" s="38">
        <v>333388.33</v>
      </c>
      <c r="H945" s="38">
        <v>333388.33</v>
      </c>
      <c r="I945" s="15"/>
      <c r="J945" s="494">
        <v>20204010211</v>
      </c>
      <c r="K945" s="517"/>
      <c r="L945" s="517" t="s">
        <v>2271</v>
      </c>
      <c r="M945" s="517" t="s">
        <v>269</v>
      </c>
      <c r="N945" s="518" t="s">
        <v>2857</v>
      </c>
      <c r="O945" s="517">
        <v>2</v>
      </c>
      <c r="P945" s="517" t="s">
        <v>647</v>
      </c>
      <c r="Q945" s="517" t="s">
        <v>693</v>
      </c>
      <c r="R945" s="517" t="s">
        <v>632</v>
      </c>
      <c r="S945" s="517" t="s">
        <v>647</v>
      </c>
      <c r="T945" s="518" t="s">
        <v>2860</v>
      </c>
      <c r="U945" s="38">
        <v>333388.33</v>
      </c>
      <c r="V945" s="15" t="str">
        <f t="shared" si="96"/>
        <v/>
      </c>
      <c r="W945" s="1"/>
      <c r="X945" s="1"/>
      <c r="Y945" s="1"/>
      <c r="Z945" s="1"/>
      <c r="AA945" s="1"/>
      <c r="AB945" s="3"/>
      <c r="AC945" s="9"/>
      <c r="AD945" s="517" t="e">
        <v>#N/A</v>
      </c>
      <c r="AE945" s="517" t="e">
        <v>#N/A</v>
      </c>
      <c r="AF945" s="517" t="e">
        <v>#N/A</v>
      </c>
      <c r="AG945" s="520" t="e">
        <v>#N/A</v>
      </c>
      <c r="AH945" s="9"/>
      <c r="AI945" s="10"/>
      <c r="AJ945" s="9"/>
      <c r="AK945" s="10"/>
      <c r="AL945" s="10"/>
    </row>
    <row r="946" spans="1:38" ht="45" hidden="1">
      <c r="A946" s="1">
        <f t="shared" si="98"/>
        <v>0</v>
      </c>
      <c r="B946" s="2" t="s">
        <v>2881</v>
      </c>
      <c r="C946" s="3" t="s">
        <v>2882</v>
      </c>
      <c r="D946" s="15" t="s">
        <v>11624</v>
      </c>
      <c r="E946" s="45" t="s">
        <v>2881</v>
      </c>
      <c r="F946" s="46" t="s">
        <v>2882</v>
      </c>
      <c r="G946" s="38">
        <v>52271.67</v>
      </c>
      <c r="H946" s="38">
        <v>52271.67</v>
      </c>
      <c r="I946" s="15"/>
      <c r="J946" s="494">
        <v>20204010212</v>
      </c>
      <c r="K946" s="517"/>
      <c r="L946" s="517" t="s">
        <v>2271</v>
      </c>
      <c r="M946" s="517" t="s">
        <v>269</v>
      </c>
      <c r="N946" s="518" t="s">
        <v>2857</v>
      </c>
      <c r="O946" s="517">
        <v>2</v>
      </c>
      <c r="P946" s="517" t="s">
        <v>647</v>
      </c>
      <c r="Q946" s="517" t="s">
        <v>693</v>
      </c>
      <c r="R946" s="517" t="s">
        <v>632</v>
      </c>
      <c r="S946" s="517" t="s">
        <v>647</v>
      </c>
      <c r="T946" s="518" t="s">
        <v>2860</v>
      </c>
      <c r="U946" s="38">
        <v>52271.67</v>
      </c>
      <c r="V946" s="15" t="str">
        <f t="shared" si="96"/>
        <v/>
      </c>
      <c r="W946" s="1"/>
      <c r="X946" s="1"/>
      <c r="Y946" s="1"/>
      <c r="Z946" s="1"/>
      <c r="AA946" s="1"/>
      <c r="AB946" s="3"/>
      <c r="AC946" s="9"/>
      <c r="AD946" s="517" t="e">
        <v>#N/A</v>
      </c>
      <c r="AE946" s="517" t="e">
        <v>#N/A</v>
      </c>
      <c r="AF946" s="517" t="e">
        <v>#N/A</v>
      </c>
      <c r="AG946" s="520" t="e">
        <v>#N/A</v>
      </c>
      <c r="AH946" s="9"/>
      <c r="AI946" s="10"/>
      <c r="AJ946" s="9"/>
      <c r="AK946" s="10"/>
      <c r="AL946" s="10"/>
    </row>
    <row r="947" spans="1:38" ht="45" hidden="1">
      <c r="A947" s="1">
        <f t="shared" si="98"/>
        <v>0</v>
      </c>
      <c r="B947" s="2" t="s">
        <v>2883</v>
      </c>
      <c r="C947" s="3" t="s">
        <v>2884</v>
      </c>
      <c r="D947" s="15" t="s">
        <v>11624</v>
      </c>
      <c r="E947" s="4" t="s">
        <v>2883</v>
      </c>
      <c r="F947" s="37" t="s">
        <v>2884</v>
      </c>
      <c r="G947" s="38">
        <v>68332.67</v>
      </c>
      <c r="H947" s="38">
        <v>68332.67</v>
      </c>
      <c r="I947" s="15"/>
      <c r="J947" s="494">
        <v>20204010213</v>
      </c>
      <c r="K947" s="517"/>
      <c r="L947" s="517" t="s">
        <v>2271</v>
      </c>
      <c r="M947" s="517" t="s">
        <v>269</v>
      </c>
      <c r="N947" s="518" t="s">
        <v>2857</v>
      </c>
      <c r="O947" s="517">
        <v>2</v>
      </c>
      <c r="P947" s="517" t="s">
        <v>647</v>
      </c>
      <c r="Q947" s="517" t="s">
        <v>693</v>
      </c>
      <c r="R947" s="517" t="s">
        <v>632</v>
      </c>
      <c r="S947" s="517" t="s">
        <v>647</v>
      </c>
      <c r="T947" s="518" t="s">
        <v>2860</v>
      </c>
      <c r="U947" s="38">
        <v>68332.67</v>
      </c>
      <c r="V947" s="15" t="str">
        <f t="shared" si="96"/>
        <v/>
      </c>
      <c r="W947" s="1"/>
      <c r="X947" s="1"/>
      <c r="Y947" s="1"/>
      <c r="Z947" s="1"/>
      <c r="AA947" s="1"/>
      <c r="AB947" s="3"/>
      <c r="AC947" s="9"/>
      <c r="AD947" s="517" t="e">
        <v>#N/A</v>
      </c>
      <c r="AE947" s="517" t="e">
        <v>#N/A</v>
      </c>
      <c r="AF947" s="517" t="e">
        <v>#N/A</v>
      </c>
      <c r="AG947" s="520" t="e">
        <v>#N/A</v>
      </c>
      <c r="AH947" s="9"/>
      <c r="AI947" s="10"/>
      <c r="AJ947" s="9"/>
      <c r="AK947" s="10"/>
      <c r="AL947" s="10"/>
    </row>
    <row r="948" spans="1:38" ht="45" hidden="1">
      <c r="A948" s="1">
        <f t="shared" si="98"/>
        <v>0</v>
      </c>
      <c r="B948" s="2" t="s">
        <v>2885</v>
      </c>
      <c r="C948" s="3" t="s">
        <v>2886</v>
      </c>
      <c r="D948" s="15" t="s">
        <v>11624</v>
      </c>
      <c r="E948" s="4" t="s">
        <v>2885</v>
      </c>
      <c r="F948" s="37" t="s">
        <v>2886</v>
      </c>
      <c r="G948" s="38">
        <v>25061.03</v>
      </c>
      <c r="H948" s="38">
        <v>0.47</v>
      </c>
      <c r="I948" s="15"/>
      <c r="J948" s="494">
        <v>20204010214</v>
      </c>
      <c r="K948" s="517"/>
      <c r="L948" s="517" t="s">
        <v>2271</v>
      </c>
      <c r="M948" s="517" t="s">
        <v>269</v>
      </c>
      <c r="N948" s="518" t="s">
        <v>2857</v>
      </c>
      <c r="O948" s="517">
        <v>2</v>
      </c>
      <c r="P948" s="517" t="s">
        <v>647</v>
      </c>
      <c r="Q948" s="517" t="s">
        <v>693</v>
      </c>
      <c r="R948" s="517" t="s">
        <v>632</v>
      </c>
      <c r="S948" s="517" t="s">
        <v>647</v>
      </c>
      <c r="T948" s="518" t="s">
        <v>2860</v>
      </c>
      <c r="U948" s="38">
        <v>0.47</v>
      </c>
      <c r="V948" s="15" t="str">
        <f t="shared" si="96"/>
        <v/>
      </c>
      <c r="W948" s="1"/>
      <c r="X948" s="1"/>
      <c r="Y948" s="1"/>
      <c r="Z948" s="1"/>
      <c r="AA948" s="1"/>
      <c r="AB948" s="3"/>
      <c r="AC948" s="9"/>
      <c r="AD948" s="517" t="e">
        <v>#N/A</v>
      </c>
      <c r="AE948" s="517" t="e">
        <v>#N/A</v>
      </c>
      <c r="AF948" s="517" t="e">
        <v>#N/A</v>
      </c>
      <c r="AG948" s="520" t="e">
        <v>#N/A</v>
      </c>
      <c r="AH948" s="9"/>
      <c r="AI948" s="10"/>
      <c r="AJ948" s="9"/>
      <c r="AK948" s="10"/>
      <c r="AL948" s="10"/>
    </row>
    <row r="949" spans="1:38" ht="45" hidden="1">
      <c r="A949" s="1">
        <f t="shared" si="98"/>
        <v>0</v>
      </c>
      <c r="B949" s="2" t="s">
        <v>2887</v>
      </c>
      <c r="C949" s="3" t="s">
        <v>2888</v>
      </c>
      <c r="D949" s="15" t="s">
        <v>11624</v>
      </c>
      <c r="E949" s="4" t="s">
        <v>2887</v>
      </c>
      <c r="F949" s="37" t="s">
        <v>2888</v>
      </c>
      <c r="G949" s="38">
        <v>-0.05</v>
      </c>
      <c r="H949" s="38">
        <v>0.05</v>
      </c>
      <c r="I949" s="15"/>
      <c r="J949" s="494">
        <v>20204010215</v>
      </c>
      <c r="K949" s="517"/>
      <c r="L949" s="517" t="s">
        <v>2271</v>
      </c>
      <c r="M949" s="517" t="s">
        <v>269</v>
      </c>
      <c r="N949" s="518" t="s">
        <v>2857</v>
      </c>
      <c r="O949" s="517">
        <v>2</v>
      </c>
      <c r="P949" s="517" t="s">
        <v>647</v>
      </c>
      <c r="Q949" s="517" t="s">
        <v>693</v>
      </c>
      <c r="R949" s="517" t="s">
        <v>632</v>
      </c>
      <c r="S949" s="517" t="s">
        <v>647</v>
      </c>
      <c r="T949" s="518" t="s">
        <v>2860</v>
      </c>
      <c r="U949" s="38">
        <v>0.05</v>
      </c>
      <c r="V949" s="15" t="str">
        <f t="shared" si="96"/>
        <v/>
      </c>
      <c r="W949" s="1"/>
      <c r="X949" s="1"/>
      <c r="Y949" s="1"/>
      <c r="Z949" s="1"/>
      <c r="AA949" s="1"/>
      <c r="AB949" s="3"/>
      <c r="AC949" s="9"/>
      <c r="AD949" s="517" t="e">
        <v>#N/A</v>
      </c>
      <c r="AE949" s="517" t="e">
        <v>#N/A</v>
      </c>
      <c r="AF949" s="517" t="e">
        <v>#N/A</v>
      </c>
      <c r="AG949" s="520" t="e">
        <v>#N/A</v>
      </c>
      <c r="AH949" s="9"/>
      <c r="AI949" s="10"/>
      <c r="AJ949" s="9"/>
      <c r="AK949" s="10"/>
      <c r="AL949" s="10"/>
    </row>
    <row r="950" spans="1:38" ht="45" hidden="1">
      <c r="A950" s="1">
        <f t="shared" si="98"/>
        <v>0</v>
      </c>
      <c r="B950" s="2" t="s">
        <v>2889</v>
      </c>
      <c r="C950" s="3" t="s">
        <v>2890</v>
      </c>
      <c r="D950" s="15" t="s">
        <v>11624</v>
      </c>
      <c r="E950" s="4" t="s">
        <v>2889</v>
      </c>
      <c r="F950" s="37" t="s">
        <v>2890</v>
      </c>
      <c r="G950" s="38">
        <v>0</v>
      </c>
      <c r="H950" s="38">
        <v>0</v>
      </c>
      <c r="I950" s="15"/>
      <c r="J950" s="494">
        <v>20204010216</v>
      </c>
      <c r="K950" s="517"/>
      <c r="L950" s="517" t="s">
        <v>2271</v>
      </c>
      <c r="M950" s="517" t="s">
        <v>269</v>
      </c>
      <c r="N950" s="518" t="s">
        <v>2857</v>
      </c>
      <c r="O950" s="517">
        <v>2</v>
      </c>
      <c r="P950" s="517" t="s">
        <v>647</v>
      </c>
      <c r="Q950" s="517" t="s">
        <v>693</v>
      </c>
      <c r="R950" s="517" t="s">
        <v>632</v>
      </c>
      <c r="S950" s="517" t="s">
        <v>647</v>
      </c>
      <c r="T950" s="518" t="s">
        <v>2860</v>
      </c>
      <c r="U950" s="38">
        <v>0</v>
      </c>
      <c r="V950" s="15" t="str">
        <f t="shared" si="96"/>
        <v/>
      </c>
      <c r="W950" s="1"/>
      <c r="X950" s="1"/>
      <c r="Y950" s="1"/>
      <c r="Z950" s="1"/>
      <c r="AA950" s="1"/>
      <c r="AB950" s="3"/>
      <c r="AC950" s="9"/>
      <c r="AD950" s="517" t="e">
        <v>#N/A</v>
      </c>
      <c r="AE950" s="517" t="e">
        <v>#N/A</v>
      </c>
      <c r="AF950" s="517" t="e">
        <v>#N/A</v>
      </c>
      <c r="AG950" s="520" t="e">
        <v>#N/A</v>
      </c>
      <c r="AH950" s="9"/>
      <c r="AI950" s="10"/>
      <c r="AJ950" s="9"/>
      <c r="AK950" s="10"/>
      <c r="AL950" s="10"/>
    </row>
    <row r="951" spans="1:38" ht="45" hidden="1">
      <c r="A951" s="1">
        <f t="shared" si="98"/>
        <v>0</v>
      </c>
      <c r="B951" s="2" t="s">
        <v>2891</v>
      </c>
      <c r="C951" s="3" t="s">
        <v>2892</v>
      </c>
      <c r="D951" s="15" t="s">
        <v>11624</v>
      </c>
      <c r="E951" s="4" t="s">
        <v>2891</v>
      </c>
      <c r="F951" s="37" t="s">
        <v>2892</v>
      </c>
      <c r="G951" s="38">
        <v>49900.59</v>
      </c>
      <c r="H951" s="38">
        <v>5900.59</v>
      </c>
      <c r="I951" s="15"/>
      <c r="J951" s="494">
        <v>20204010217</v>
      </c>
      <c r="K951" s="517"/>
      <c r="L951" s="517" t="s">
        <v>2271</v>
      </c>
      <c r="M951" s="517" t="s">
        <v>269</v>
      </c>
      <c r="N951" s="518" t="s">
        <v>2857</v>
      </c>
      <c r="O951" s="517">
        <v>2</v>
      </c>
      <c r="P951" s="517" t="s">
        <v>647</v>
      </c>
      <c r="Q951" s="517" t="s">
        <v>693</v>
      </c>
      <c r="R951" s="517" t="s">
        <v>632</v>
      </c>
      <c r="S951" s="517" t="s">
        <v>647</v>
      </c>
      <c r="T951" s="518" t="s">
        <v>2860</v>
      </c>
      <c r="U951" s="38">
        <v>5900.59</v>
      </c>
      <c r="V951" s="15" t="str">
        <f t="shared" si="96"/>
        <v/>
      </c>
      <c r="W951" s="1"/>
      <c r="X951" s="1"/>
      <c r="Y951" s="1"/>
      <c r="Z951" s="1"/>
      <c r="AA951" s="1"/>
      <c r="AB951" s="3"/>
      <c r="AC951" s="9"/>
      <c r="AD951" s="517" t="e">
        <v>#N/A</v>
      </c>
      <c r="AE951" s="517" t="e">
        <v>#N/A</v>
      </c>
      <c r="AF951" s="517" t="e">
        <v>#N/A</v>
      </c>
      <c r="AG951" s="520" t="e">
        <v>#N/A</v>
      </c>
      <c r="AH951" s="9"/>
      <c r="AI951" s="10"/>
      <c r="AJ951" s="9"/>
      <c r="AK951" s="10"/>
      <c r="AL951" s="10"/>
    </row>
    <row r="952" spans="1:38" ht="45" hidden="1">
      <c r="A952" s="1">
        <f t="shared" si="98"/>
        <v>0</v>
      </c>
      <c r="B952" s="2" t="s">
        <v>2893</v>
      </c>
      <c r="C952" s="3" t="s">
        <v>2894</v>
      </c>
      <c r="D952" s="15" t="s">
        <v>11624</v>
      </c>
      <c r="E952" s="4" t="s">
        <v>2893</v>
      </c>
      <c r="F952" s="37" t="s">
        <v>2894</v>
      </c>
      <c r="G952" s="38">
        <v>0</v>
      </c>
      <c r="H952" s="38">
        <v>0</v>
      </c>
      <c r="I952" s="15"/>
      <c r="J952" s="494">
        <v>20204010218</v>
      </c>
      <c r="K952" s="517"/>
      <c r="L952" s="517" t="s">
        <v>2271</v>
      </c>
      <c r="M952" s="517" t="s">
        <v>269</v>
      </c>
      <c r="N952" s="518" t="s">
        <v>2857</v>
      </c>
      <c r="O952" s="517">
        <v>2</v>
      </c>
      <c r="P952" s="517" t="s">
        <v>647</v>
      </c>
      <c r="Q952" s="517" t="s">
        <v>693</v>
      </c>
      <c r="R952" s="517" t="s">
        <v>632</v>
      </c>
      <c r="S952" s="517" t="s">
        <v>647</v>
      </c>
      <c r="T952" s="518" t="s">
        <v>2860</v>
      </c>
      <c r="U952" s="38">
        <v>0</v>
      </c>
      <c r="V952" s="15" t="str">
        <f t="shared" si="96"/>
        <v/>
      </c>
      <c r="W952" s="1"/>
      <c r="X952" s="1"/>
      <c r="Y952" s="1"/>
      <c r="Z952" s="1"/>
      <c r="AA952" s="1"/>
      <c r="AB952" s="3"/>
      <c r="AC952" s="9"/>
      <c r="AD952" s="517" t="e">
        <v>#N/A</v>
      </c>
      <c r="AE952" s="517" t="e">
        <v>#N/A</v>
      </c>
      <c r="AF952" s="517" t="e">
        <v>#N/A</v>
      </c>
      <c r="AG952" s="520" t="e">
        <v>#N/A</v>
      </c>
      <c r="AH952" s="9"/>
      <c r="AI952" s="10"/>
      <c r="AJ952" s="9"/>
      <c r="AK952" s="10"/>
      <c r="AL952" s="10"/>
    </row>
    <row r="953" spans="1:38" ht="45" hidden="1">
      <c r="A953" s="1">
        <f t="shared" si="98"/>
        <v>0</v>
      </c>
      <c r="B953" s="2" t="s">
        <v>2895</v>
      </c>
      <c r="C953" s="3" t="s">
        <v>2896</v>
      </c>
      <c r="D953" s="15" t="s">
        <v>11624</v>
      </c>
      <c r="E953" s="4" t="s">
        <v>2895</v>
      </c>
      <c r="F953" s="37" t="s">
        <v>2896</v>
      </c>
      <c r="G953" s="38">
        <v>50088.34</v>
      </c>
      <c r="H953" s="38">
        <v>0.34</v>
      </c>
      <c r="I953" s="15"/>
      <c r="J953" s="494">
        <v>20204010219</v>
      </c>
      <c r="K953" s="517"/>
      <c r="L953" s="517" t="s">
        <v>2271</v>
      </c>
      <c r="M953" s="517" t="s">
        <v>269</v>
      </c>
      <c r="N953" s="518" t="s">
        <v>2857</v>
      </c>
      <c r="O953" s="517">
        <v>2</v>
      </c>
      <c r="P953" s="517" t="s">
        <v>647</v>
      </c>
      <c r="Q953" s="517" t="s">
        <v>693</v>
      </c>
      <c r="R953" s="517" t="s">
        <v>632</v>
      </c>
      <c r="S953" s="517" t="s">
        <v>647</v>
      </c>
      <c r="T953" s="518" t="s">
        <v>2860</v>
      </c>
      <c r="U953" s="38">
        <v>0.34</v>
      </c>
      <c r="V953" s="15" t="str">
        <f t="shared" si="96"/>
        <v/>
      </c>
      <c r="W953" s="1"/>
      <c r="X953" s="1"/>
      <c r="Y953" s="1"/>
      <c r="Z953" s="1"/>
      <c r="AA953" s="1"/>
      <c r="AB953" s="3"/>
      <c r="AC953" s="9"/>
      <c r="AD953" s="517" t="e">
        <v>#N/A</v>
      </c>
      <c r="AE953" s="517" t="e">
        <v>#N/A</v>
      </c>
      <c r="AF953" s="517" t="e">
        <v>#N/A</v>
      </c>
      <c r="AG953" s="520" t="e">
        <v>#N/A</v>
      </c>
      <c r="AH953" s="9"/>
      <c r="AI953" s="10"/>
      <c r="AJ953" s="9"/>
      <c r="AK953" s="10"/>
      <c r="AL953" s="10"/>
    </row>
    <row r="954" spans="1:38" ht="45" hidden="1">
      <c r="A954" s="1">
        <f t="shared" si="98"/>
        <v>0</v>
      </c>
      <c r="B954" s="2" t="s">
        <v>2897</v>
      </c>
      <c r="C954" s="3" t="s">
        <v>2898</v>
      </c>
      <c r="D954" s="15" t="s">
        <v>11624</v>
      </c>
      <c r="E954" s="4" t="s">
        <v>2897</v>
      </c>
      <c r="F954" s="37" t="s">
        <v>2898</v>
      </c>
      <c r="G954" s="38">
        <v>49825</v>
      </c>
      <c r="H954" s="38">
        <v>47808.7</v>
      </c>
      <c r="I954" s="15"/>
      <c r="J954" s="494">
        <v>20204010220</v>
      </c>
      <c r="K954" s="517"/>
      <c r="L954" s="517" t="s">
        <v>2271</v>
      </c>
      <c r="M954" s="517" t="s">
        <v>269</v>
      </c>
      <c r="N954" s="518" t="s">
        <v>2857</v>
      </c>
      <c r="O954" s="517">
        <v>2</v>
      </c>
      <c r="P954" s="517" t="s">
        <v>647</v>
      </c>
      <c r="Q954" s="517" t="s">
        <v>693</v>
      </c>
      <c r="R954" s="517" t="s">
        <v>632</v>
      </c>
      <c r="S954" s="517" t="s">
        <v>647</v>
      </c>
      <c r="T954" s="518" t="s">
        <v>2860</v>
      </c>
      <c r="U954" s="38">
        <v>47808.7</v>
      </c>
      <c r="V954" s="15" t="str">
        <f t="shared" si="96"/>
        <v/>
      </c>
      <c r="W954" s="1"/>
      <c r="X954" s="1"/>
      <c r="Y954" s="1"/>
      <c r="Z954" s="1"/>
      <c r="AA954" s="1"/>
      <c r="AB954" s="3"/>
      <c r="AC954" s="9"/>
      <c r="AD954" s="517" t="e">
        <v>#N/A</v>
      </c>
      <c r="AE954" s="517" t="e">
        <v>#N/A</v>
      </c>
      <c r="AF954" s="517" t="e">
        <v>#N/A</v>
      </c>
      <c r="AG954" s="520" t="e">
        <v>#N/A</v>
      </c>
      <c r="AH954" s="9"/>
      <c r="AI954" s="10"/>
      <c r="AJ954" s="9"/>
      <c r="AK954" s="10"/>
      <c r="AL954" s="10"/>
    </row>
    <row r="955" spans="1:38" ht="45" hidden="1">
      <c r="A955" s="1">
        <f t="shared" si="98"/>
        <v>0</v>
      </c>
      <c r="B955" s="2" t="s">
        <v>2899</v>
      </c>
      <c r="C955" s="3" t="s">
        <v>2900</v>
      </c>
      <c r="D955" s="15" t="s">
        <v>11624</v>
      </c>
      <c r="E955" s="4" t="s">
        <v>2899</v>
      </c>
      <c r="F955" s="37" t="s">
        <v>2900</v>
      </c>
      <c r="G955" s="38">
        <v>45349.08</v>
      </c>
      <c r="H955" s="38">
        <v>45349.08</v>
      </c>
      <c r="I955" s="15"/>
      <c r="J955" s="494">
        <v>20204010221</v>
      </c>
      <c r="K955" s="517"/>
      <c r="L955" s="517" t="s">
        <v>2271</v>
      </c>
      <c r="M955" s="517" t="s">
        <v>269</v>
      </c>
      <c r="N955" s="518" t="s">
        <v>2857</v>
      </c>
      <c r="O955" s="517">
        <v>2</v>
      </c>
      <c r="P955" s="517" t="s">
        <v>647</v>
      </c>
      <c r="Q955" s="517" t="s">
        <v>693</v>
      </c>
      <c r="R955" s="517" t="s">
        <v>632</v>
      </c>
      <c r="S955" s="517" t="s">
        <v>647</v>
      </c>
      <c r="T955" s="518" t="s">
        <v>2860</v>
      </c>
      <c r="U955" s="38">
        <v>45349.08</v>
      </c>
      <c r="V955" s="15" t="str">
        <f t="shared" si="96"/>
        <v/>
      </c>
      <c r="W955" s="1"/>
      <c r="X955" s="1"/>
      <c r="Y955" s="1"/>
      <c r="Z955" s="1"/>
      <c r="AA955" s="1"/>
      <c r="AB955" s="3"/>
      <c r="AC955" s="9"/>
      <c r="AD955" s="517" t="e">
        <v>#N/A</v>
      </c>
      <c r="AE955" s="517" t="e">
        <v>#N/A</v>
      </c>
      <c r="AF955" s="517" t="e">
        <v>#N/A</v>
      </c>
      <c r="AG955" s="520" t="e">
        <v>#N/A</v>
      </c>
      <c r="AH955" s="9"/>
      <c r="AI955" s="10"/>
      <c r="AJ955" s="9"/>
      <c r="AK955" s="10"/>
      <c r="AL955" s="10"/>
    </row>
    <row r="956" spans="1:38" ht="45" hidden="1">
      <c r="A956" s="1">
        <f t="shared" si="98"/>
        <v>0</v>
      </c>
      <c r="B956" s="2" t="s">
        <v>2901</v>
      </c>
      <c r="C956" s="3" t="s">
        <v>2902</v>
      </c>
      <c r="D956" s="15" t="s">
        <v>11624</v>
      </c>
      <c r="E956" s="4" t="s">
        <v>2901</v>
      </c>
      <c r="F956" s="37" t="s">
        <v>2902</v>
      </c>
      <c r="G956" s="38">
        <v>284065.62</v>
      </c>
      <c r="H956" s="38">
        <v>276398.62</v>
      </c>
      <c r="I956" s="15"/>
      <c r="J956" s="494">
        <v>20204010222</v>
      </c>
      <c r="K956" s="517"/>
      <c r="L956" s="517" t="s">
        <v>2271</v>
      </c>
      <c r="M956" s="517" t="s">
        <v>269</v>
      </c>
      <c r="N956" s="518" t="s">
        <v>2857</v>
      </c>
      <c r="O956" s="517">
        <v>2</v>
      </c>
      <c r="P956" s="517" t="s">
        <v>647</v>
      </c>
      <c r="Q956" s="517" t="s">
        <v>693</v>
      </c>
      <c r="R956" s="517" t="s">
        <v>632</v>
      </c>
      <c r="S956" s="517" t="s">
        <v>647</v>
      </c>
      <c r="T956" s="518" t="s">
        <v>2860</v>
      </c>
      <c r="U956" s="38">
        <v>276398.62</v>
      </c>
      <c r="V956" s="15" t="str">
        <f t="shared" si="96"/>
        <v/>
      </c>
      <c r="W956" s="1"/>
      <c r="X956" s="1"/>
      <c r="Y956" s="1"/>
      <c r="Z956" s="1"/>
      <c r="AA956" s="1"/>
      <c r="AB956" s="3"/>
      <c r="AC956" s="9"/>
      <c r="AD956" s="517" t="e">
        <v>#N/A</v>
      </c>
      <c r="AE956" s="517" t="e">
        <v>#N/A</v>
      </c>
      <c r="AF956" s="517" t="e">
        <v>#N/A</v>
      </c>
      <c r="AG956" s="520" t="e">
        <v>#N/A</v>
      </c>
      <c r="AH956" s="9"/>
      <c r="AI956" s="10"/>
      <c r="AJ956" s="9"/>
      <c r="AK956" s="10"/>
      <c r="AL956" s="10"/>
    </row>
    <row r="957" spans="1:38" ht="45" hidden="1">
      <c r="A957" s="1">
        <f t="shared" si="98"/>
        <v>0</v>
      </c>
      <c r="B957" s="2" t="s">
        <v>2903</v>
      </c>
      <c r="C957" s="3" t="s">
        <v>2904</v>
      </c>
      <c r="D957" s="15" t="s">
        <v>11624</v>
      </c>
      <c r="E957" s="4" t="s">
        <v>2903</v>
      </c>
      <c r="F957" s="37" t="s">
        <v>2905</v>
      </c>
      <c r="G957" s="38">
        <v>466293.87</v>
      </c>
      <c r="H957" s="38">
        <v>135125.5</v>
      </c>
      <c r="I957" s="15"/>
      <c r="J957" s="494">
        <v>20204010223</v>
      </c>
      <c r="K957" s="517"/>
      <c r="L957" s="517" t="s">
        <v>2271</v>
      </c>
      <c r="M957" s="517" t="s">
        <v>269</v>
      </c>
      <c r="N957" s="518" t="s">
        <v>2857</v>
      </c>
      <c r="O957" s="517">
        <v>2</v>
      </c>
      <c r="P957" s="517" t="s">
        <v>647</v>
      </c>
      <c r="Q957" s="517" t="s">
        <v>693</v>
      </c>
      <c r="R957" s="517" t="s">
        <v>632</v>
      </c>
      <c r="S957" s="517" t="s">
        <v>647</v>
      </c>
      <c r="T957" s="518" t="s">
        <v>2860</v>
      </c>
      <c r="U957" s="38">
        <v>135125.5</v>
      </c>
      <c r="V957" s="15" t="str">
        <f t="shared" si="96"/>
        <v/>
      </c>
      <c r="W957" s="1"/>
      <c r="X957" s="1"/>
      <c r="Y957" s="1"/>
      <c r="Z957" s="1"/>
      <c r="AA957" s="1"/>
      <c r="AB957" s="3"/>
      <c r="AC957" s="9"/>
      <c r="AD957" s="517" t="e">
        <v>#N/A</v>
      </c>
      <c r="AE957" s="517" t="e">
        <v>#N/A</v>
      </c>
      <c r="AF957" s="517" t="e">
        <v>#N/A</v>
      </c>
      <c r="AG957" s="520" t="e">
        <v>#N/A</v>
      </c>
      <c r="AH957" s="9"/>
      <c r="AI957" s="10"/>
      <c r="AJ957" s="9"/>
      <c r="AK957" s="10"/>
      <c r="AL957" s="10"/>
    </row>
    <row r="958" spans="1:38" ht="56.25" hidden="1">
      <c r="A958" s="1">
        <f t="shared" si="98"/>
        <v>0</v>
      </c>
      <c r="B958" s="2" t="s">
        <v>2906</v>
      </c>
      <c r="C958" s="3" t="s">
        <v>2907</v>
      </c>
      <c r="D958" s="15" t="s">
        <v>11624</v>
      </c>
      <c r="E958" s="4" t="s">
        <v>2906</v>
      </c>
      <c r="F958" s="37" t="s">
        <v>2907</v>
      </c>
      <c r="G958" s="38">
        <v>170381.24</v>
      </c>
      <c r="H958" s="38">
        <v>79702.59</v>
      </c>
      <c r="I958" s="15"/>
      <c r="J958" s="494">
        <v>20204010224</v>
      </c>
      <c r="K958" s="517"/>
      <c r="L958" s="517" t="s">
        <v>2271</v>
      </c>
      <c r="M958" s="517" t="s">
        <v>269</v>
      </c>
      <c r="N958" s="518" t="s">
        <v>2857</v>
      </c>
      <c r="O958" s="517">
        <v>2</v>
      </c>
      <c r="P958" s="517" t="s">
        <v>647</v>
      </c>
      <c r="Q958" s="517" t="s">
        <v>693</v>
      </c>
      <c r="R958" s="517" t="s">
        <v>632</v>
      </c>
      <c r="S958" s="517" t="s">
        <v>647</v>
      </c>
      <c r="T958" s="518" t="s">
        <v>2860</v>
      </c>
      <c r="U958" s="38">
        <v>79702.59</v>
      </c>
      <c r="V958" s="15" t="str">
        <f t="shared" si="96"/>
        <v/>
      </c>
      <c r="W958" s="1"/>
      <c r="X958" s="1"/>
      <c r="Y958" s="1"/>
      <c r="Z958" s="1"/>
      <c r="AA958" s="1"/>
      <c r="AB958" s="3"/>
      <c r="AC958" s="9"/>
      <c r="AD958" s="517" t="e">
        <v>#N/A</v>
      </c>
      <c r="AE958" s="517" t="e">
        <v>#N/A</v>
      </c>
      <c r="AF958" s="517" t="e">
        <v>#N/A</v>
      </c>
      <c r="AG958" s="520" t="e">
        <v>#N/A</v>
      </c>
      <c r="AH958" s="9"/>
      <c r="AI958" s="10"/>
      <c r="AJ958" s="9"/>
      <c r="AK958" s="10"/>
      <c r="AL958" s="10"/>
    </row>
    <row r="959" spans="1:38" ht="45" hidden="1">
      <c r="A959" s="1">
        <f t="shared" si="98"/>
        <v>0</v>
      </c>
      <c r="B959" s="2" t="s">
        <v>2908</v>
      </c>
      <c r="C959" s="3" t="s">
        <v>2909</v>
      </c>
      <c r="D959" s="15" t="s">
        <v>11624</v>
      </c>
      <c r="E959" s="4" t="s">
        <v>2908</v>
      </c>
      <c r="F959" s="37" t="s">
        <v>2909</v>
      </c>
      <c r="G959" s="38">
        <v>1717809</v>
      </c>
      <c r="H959" s="38">
        <v>1205881.43</v>
      </c>
      <c r="I959" s="15"/>
      <c r="J959" s="494">
        <v>20204010225</v>
      </c>
      <c r="K959" s="517"/>
      <c r="L959" s="517" t="s">
        <v>2271</v>
      </c>
      <c r="M959" s="517" t="s">
        <v>269</v>
      </c>
      <c r="N959" s="518" t="s">
        <v>2857</v>
      </c>
      <c r="O959" s="517">
        <v>2</v>
      </c>
      <c r="P959" s="517" t="s">
        <v>647</v>
      </c>
      <c r="Q959" s="517" t="s">
        <v>693</v>
      </c>
      <c r="R959" s="517" t="s">
        <v>632</v>
      </c>
      <c r="S959" s="517" t="s">
        <v>647</v>
      </c>
      <c r="T959" s="518" t="s">
        <v>2860</v>
      </c>
      <c r="U959" s="38">
        <v>1205881.43</v>
      </c>
      <c r="V959" s="15" t="str">
        <f t="shared" si="96"/>
        <v/>
      </c>
      <c r="W959" s="1"/>
      <c r="X959" s="1"/>
      <c r="Y959" s="1"/>
      <c r="Z959" s="1"/>
      <c r="AA959" s="1"/>
      <c r="AB959" s="3"/>
      <c r="AC959" s="9"/>
      <c r="AD959" s="517" t="e">
        <v>#N/A</v>
      </c>
      <c r="AE959" s="517" t="e">
        <v>#N/A</v>
      </c>
      <c r="AF959" s="517" t="e">
        <v>#N/A</v>
      </c>
      <c r="AG959" s="520" t="e">
        <v>#N/A</v>
      </c>
      <c r="AH959" s="9"/>
      <c r="AI959" s="10"/>
      <c r="AJ959" s="9"/>
      <c r="AK959" s="10"/>
      <c r="AL959" s="10"/>
    </row>
    <row r="960" spans="1:38" ht="45" hidden="1">
      <c r="A960" s="1">
        <f t="shared" si="98"/>
        <v>0</v>
      </c>
      <c r="B960" s="2" t="s">
        <v>2910</v>
      </c>
      <c r="C960" s="3" t="s">
        <v>2911</v>
      </c>
      <c r="D960" s="15" t="s">
        <v>11624</v>
      </c>
      <c r="E960" s="4" t="s">
        <v>2910</v>
      </c>
      <c r="F960" s="37" t="s">
        <v>2912</v>
      </c>
      <c r="G960" s="38">
        <v>224226.2</v>
      </c>
      <c r="H960" s="38">
        <v>158691.76999999999</v>
      </c>
      <c r="I960" s="15"/>
      <c r="J960" s="494">
        <v>20204010226</v>
      </c>
      <c r="K960" s="517"/>
      <c r="L960" s="517" t="s">
        <v>2271</v>
      </c>
      <c r="M960" s="517" t="s">
        <v>269</v>
      </c>
      <c r="N960" s="518" t="s">
        <v>2857</v>
      </c>
      <c r="O960" s="517">
        <v>2</v>
      </c>
      <c r="P960" s="517" t="s">
        <v>647</v>
      </c>
      <c r="Q960" s="517" t="s">
        <v>693</v>
      </c>
      <c r="R960" s="517" t="s">
        <v>632</v>
      </c>
      <c r="S960" s="517" t="s">
        <v>647</v>
      </c>
      <c r="T960" s="518" t="s">
        <v>2860</v>
      </c>
      <c r="U960" s="38">
        <v>158691.76999999999</v>
      </c>
      <c r="V960" s="15" t="str">
        <f t="shared" si="96"/>
        <v/>
      </c>
      <c r="W960" s="1"/>
      <c r="X960" s="1"/>
      <c r="Y960" s="1"/>
      <c r="Z960" s="1"/>
      <c r="AA960" s="1"/>
      <c r="AB960" s="3"/>
      <c r="AC960" s="9"/>
      <c r="AD960" s="517" t="e">
        <v>#N/A</v>
      </c>
      <c r="AE960" s="517" t="e">
        <v>#N/A</v>
      </c>
      <c r="AF960" s="517" t="e">
        <v>#N/A</v>
      </c>
      <c r="AG960" s="520" t="e">
        <v>#N/A</v>
      </c>
      <c r="AH960" s="9"/>
      <c r="AI960" s="10"/>
      <c r="AJ960" s="9"/>
      <c r="AK960" s="10"/>
      <c r="AL960" s="10"/>
    </row>
    <row r="961" spans="1:38" ht="78.75" hidden="1">
      <c r="A961" s="1">
        <f t="shared" si="98"/>
        <v>0</v>
      </c>
      <c r="B961" s="2" t="s">
        <v>2913</v>
      </c>
      <c r="C961" s="3" t="s">
        <v>2914</v>
      </c>
      <c r="D961" s="15" t="s">
        <v>11624</v>
      </c>
      <c r="E961" s="4" t="s">
        <v>2913</v>
      </c>
      <c r="F961" s="37" t="s">
        <v>2914</v>
      </c>
      <c r="G961" s="38">
        <v>0</v>
      </c>
      <c r="H961" s="38">
        <v>0</v>
      </c>
      <c r="I961" s="15"/>
      <c r="J961" s="494">
        <v>20204010227</v>
      </c>
      <c r="K961" s="517"/>
      <c r="L961" s="517" t="s">
        <v>2271</v>
      </c>
      <c r="M961" s="517" t="s">
        <v>269</v>
      </c>
      <c r="N961" s="518" t="s">
        <v>2857</v>
      </c>
      <c r="O961" s="517">
        <v>2</v>
      </c>
      <c r="P961" s="517" t="s">
        <v>647</v>
      </c>
      <c r="Q961" s="517" t="s">
        <v>693</v>
      </c>
      <c r="R961" s="517" t="s">
        <v>632</v>
      </c>
      <c r="S961" s="517" t="s">
        <v>647</v>
      </c>
      <c r="T961" s="518" t="s">
        <v>2860</v>
      </c>
      <c r="U961" s="38">
        <v>0</v>
      </c>
      <c r="V961" s="15" t="str">
        <f t="shared" si="96"/>
        <v/>
      </c>
      <c r="W961" s="1"/>
      <c r="X961" s="1"/>
      <c r="Y961" s="1"/>
      <c r="Z961" s="1"/>
      <c r="AA961" s="1"/>
      <c r="AB961" s="3"/>
      <c r="AC961" s="9"/>
      <c r="AD961" s="517" t="e">
        <v>#N/A</v>
      </c>
      <c r="AE961" s="517" t="e">
        <v>#N/A</v>
      </c>
      <c r="AF961" s="517" t="e">
        <v>#N/A</v>
      </c>
      <c r="AG961" s="520" t="e">
        <v>#N/A</v>
      </c>
      <c r="AH961" s="9"/>
      <c r="AI961" s="10"/>
      <c r="AJ961" s="9"/>
      <c r="AK961" s="10"/>
      <c r="AL961" s="10"/>
    </row>
    <row r="962" spans="1:38" ht="67.5" hidden="1">
      <c r="A962" s="1">
        <f t="shared" si="98"/>
        <v>0</v>
      </c>
      <c r="B962" s="2" t="s">
        <v>2915</v>
      </c>
      <c r="C962" s="3" t="s">
        <v>2916</v>
      </c>
      <c r="D962" s="15" t="s">
        <v>11624</v>
      </c>
      <c r="E962" s="4" t="s">
        <v>2915</v>
      </c>
      <c r="F962" s="37" t="s">
        <v>2917</v>
      </c>
      <c r="G962" s="38">
        <v>80643.58</v>
      </c>
      <c r="H962" s="38">
        <v>80643.58</v>
      </c>
      <c r="I962" s="15"/>
      <c r="J962" s="494">
        <v>20204010228</v>
      </c>
      <c r="K962" s="517"/>
      <c r="L962" s="517" t="s">
        <v>2271</v>
      </c>
      <c r="M962" s="517" t="s">
        <v>269</v>
      </c>
      <c r="N962" s="518" t="s">
        <v>2857</v>
      </c>
      <c r="O962" s="517">
        <v>2</v>
      </c>
      <c r="P962" s="517" t="s">
        <v>647</v>
      </c>
      <c r="Q962" s="517" t="s">
        <v>693</v>
      </c>
      <c r="R962" s="517" t="s">
        <v>632</v>
      </c>
      <c r="S962" s="517" t="s">
        <v>647</v>
      </c>
      <c r="T962" s="518" t="s">
        <v>2860</v>
      </c>
      <c r="U962" s="38">
        <v>80643.58</v>
      </c>
      <c r="V962" s="15" t="str">
        <f t="shared" si="96"/>
        <v/>
      </c>
      <c r="W962" s="1"/>
      <c r="X962" s="1"/>
      <c r="Y962" s="1"/>
      <c r="Z962" s="1"/>
      <c r="AA962" s="1"/>
      <c r="AB962" s="3"/>
      <c r="AC962" s="9"/>
      <c r="AD962" s="517" t="e">
        <v>#N/A</v>
      </c>
      <c r="AE962" s="517" t="e">
        <v>#N/A</v>
      </c>
      <c r="AF962" s="517" t="e">
        <v>#N/A</v>
      </c>
      <c r="AG962" s="520" t="e">
        <v>#N/A</v>
      </c>
      <c r="AH962" s="9"/>
      <c r="AI962" s="10"/>
      <c r="AJ962" s="9"/>
      <c r="AK962" s="10"/>
      <c r="AL962" s="10"/>
    </row>
    <row r="963" spans="1:38" ht="45" hidden="1">
      <c r="A963" s="1">
        <f t="shared" si="98"/>
        <v>0</v>
      </c>
      <c r="B963" s="2" t="s">
        <v>2918</v>
      </c>
      <c r="C963" s="3" t="s">
        <v>2919</v>
      </c>
      <c r="D963" s="15" t="s">
        <v>11624</v>
      </c>
      <c r="E963" s="4" t="s">
        <v>2918</v>
      </c>
      <c r="F963" s="37" t="s">
        <v>2920</v>
      </c>
      <c r="G963" s="38">
        <v>0</v>
      </c>
      <c r="H963" s="38">
        <v>0</v>
      </c>
      <c r="I963" s="15"/>
      <c r="J963" s="494">
        <v>20204010229</v>
      </c>
      <c r="K963" s="517"/>
      <c r="L963" s="517" t="s">
        <v>2271</v>
      </c>
      <c r="M963" s="517" t="s">
        <v>269</v>
      </c>
      <c r="N963" s="518" t="s">
        <v>2857</v>
      </c>
      <c r="O963" s="517">
        <v>2</v>
      </c>
      <c r="P963" s="517" t="s">
        <v>647</v>
      </c>
      <c r="Q963" s="517" t="s">
        <v>693</v>
      </c>
      <c r="R963" s="517" t="s">
        <v>632</v>
      </c>
      <c r="S963" s="517" t="s">
        <v>647</v>
      </c>
      <c r="T963" s="518" t="s">
        <v>2860</v>
      </c>
      <c r="U963" s="38">
        <v>0</v>
      </c>
      <c r="V963" s="15" t="str">
        <f t="shared" ref="V963:V1026" si="99">CONCATENATE(W963,X963,Y963,Z963,AA963)</f>
        <v/>
      </c>
      <c r="W963" s="1"/>
      <c r="X963" s="1"/>
      <c r="Y963" s="1"/>
      <c r="Z963" s="1"/>
      <c r="AA963" s="1"/>
      <c r="AB963" s="3"/>
      <c r="AC963" s="9"/>
      <c r="AD963" s="517" t="e">
        <v>#N/A</v>
      </c>
      <c r="AE963" s="517" t="e">
        <v>#N/A</v>
      </c>
      <c r="AF963" s="517" t="e">
        <v>#N/A</v>
      </c>
      <c r="AG963" s="520" t="e">
        <v>#N/A</v>
      </c>
      <c r="AH963" s="9"/>
      <c r="AI963" s="10"/>
      <c r="AJ963" s="9"/>
      <c r="AK963" s="10"/>
      <c r="AL963" s="10"/>
    </row>
    <row r="964" spans="1:38" ht="56.25" hidden="1">
      <c r="A964" s="1">
        <f t="shared" si="98"/>
        <v>0</v>
      </c>
      <c r="B964" s="2" t="s">
        <v>2921</v>
      </c>
      <c r="C964" s="3" t="s">
        <v>2922</v>
      </c>
      <c r="D964" s="15" t="s">
        <v>11624</v>
      </c>
      <c r="E964" s="4" t="s">
        <v>2921</v>
      </c>
      <c r="F964" s="37" t="s">
        <v>2923</v>
      </c>
      <c r="G964" s="38">
        <v>0</v>
      </c>
      <c r="H964" s="38">
        <v>0</v>
      </c>
      <c r="I964" s="15"/>
      <c r="J964" s="494">
        <v>20204010230</v>
      </c>
      <c r="K964" s="517"/>
      <c r="L964" s="517" t="s">
        <v>2271</v>
      </c>
      <c r="M964" s="517" t="s">
        <v>269</v>
      </c>
      <c r="N964" s="518" t="s">
        <v>2857</v>
      </c>
      <c r="O964" s="517">
        <v>2</v>
      </c>
      <c r="P964" s="517" t="s">
        <v>647</v>
      </c>
      <c r="Q964" s="517" t="s">
        <v>693</v>
      </c>
      <c r="R964" s="517" t="s">
        <v>632</v>
      </c>
      <c r="S964" s="517" t="s">
        <v>647</v>
      </c>
      <c r="T964" s="518" t="s">
        <v>2860</v>
      </c>
      <c r="U964" s="38">
        <v>0</v>
      </c>
      <c r="V964" s="15" t="str">
        <f t="shared" si="99"/>
        <v/>
      </c>
      <c r="W964" s="1"/>
      <c r="X964" s="1"/>
      <c r="Y964" s="1"/>
      <c r="Z964" s="1"/>
      <c r="AA964" s="1"/>
      <c r="AB964" s="3"/>
      <c r="AC964" s="9"/>
      <c r="AD964" s="517" t="e">
        <v>#N/A</v>
      </c>
      <c r="AE964" s="517" t="e">
        <v>#N/A</v>
      </c>
      <c r="AF964" s="517" t="e">
        <v>#N/A</v>
      </c>
      <c r="AG964" s="520" t="e">
        <v>#N/A</v>
      </c>
      <c r="AH964" s="9"/>
      <c r="AI964" s="10"/>
      <c r="AJ964" s="9"/>
      <c r="AK964" s="10"/>
      <c r="AL964" s="10"/>
    </row>
    <row r="965" spans="1:38" ht="45" hidden="1">
      <c r="A965" s="1">
        <f t="shared" si="98"/>
        <v>0</v>
      </c>
      <c r="B965" s="2" t="s">
        <v>2924</v>
      </c>
      <c r="C965" s="3" t="s">
        <v>2925</v>
      </c>
      <c r="D965" s="15" t="s">
        <v>11624</v>
      </c>
      <c r="E965" s="4" t="s">
        <v>2924</v>
      </c>
      <c r="F965" s="37" t="s">
        <v>2925</v>
      </c>
      <c r="G965" s="38">
        <v>659758.68000000005</v>
      </c>
      <c r="H965" s="38">
        <v>219976.49</v>
      </c>
      <c r="I965" s="15"/>
      <c r="J965" s="494">
        <v>20204010231</v>
      </c>
      <c r="K965" s="517"/>
      <c r="L965" s="517" t="s">
        <v>2271</v>
      </c>
      <c r="M965" s="517" t="s">
        <v>269</v>
      </c>
      <c r="N965" s="518" t="s">
        <v>2857</v>
      </c>
      <c r="O965" s="517">
        <v>2</v>
      </c>
      <c r="P965" s="517" t="s">
        <v>647</v>
      </c>
      <c r="Q965" s="517" t="s">
        <v>693</v>
      </c>
      <c r="R965" s="517" t="s">
        <v>632</v>
      </c>
      <c r="S965" s="517" t="s">
        <v>647</v>
      </c>
      <c r="T965" s="518" t="s">
        <v>2860</v>
      </c>
      <c r="U965" s="38">
        <v>219976.49</v>
      </c>
      <c r="V965" s="15" t="str">
        <f t="shared" si="99"/>
        <v/>
      </c>
      <c r="W965" s="1"/>
      <c r="X965" s="1"/>
      <c r="Y965" s="1"/>
      <c r="Z965" s="1"/>
      <c r="AA965" s="1"/>
      <c r="AB965" s="3"/>
      <c r="AC965" s="9"/>
      <c r="AD965" s="517" t="e">
        <v>#N/A</v>
      </c>
      <c r="AE965" s="517" t="e">
        <v>#N/A</v>
      </c>
      <c r="AF965" s="517" t="e">
        <v>#N/A</v>
      </c>
      <c r="AG965" s="520" t="e">
        <v>#N/A</v>
      </c>
      <c r="AH965" s="9"/>
      <c r="AI965" s="10"/>
      <c r="AJ965" s="9"/>
      <c r="AK965" s="10"/>
      <c r="AL965" s="10"/>
    </row>
    <row r="966" spans="1:38" ht="45" hidden="1">
      <c r="A966" s="1">
        <f t="shared" si="98"/>
        <v>0</v>
      </c>
      <c r="B966" s="2" t="s">
        <v>2926</v>
      </c>
      <c r="C966" s="3" t="s">
        <v>2927</v>
      </c>
      <c r="D966" s="15" t="s">
        <v>11624</v>
      </c>
      <c r="E966" s="4" t="s">
        <v>2926</v>
      </c>
      <c r="F966" s="37" t="s">
        <v>2927</v>
      </c>
      <c r="G966" s="38">
        <v>1020294</v>
      </c>
      <c r="H966" s="38">
        <v>889384.36</v>
      </c>
      <c r="I966" s="15"/>
      <c r="J966" s="494">
        <v>20204010232</v>
      </c>
      <c r="K966" s="517"/>
      <c r="L966" s="517" t="s">
        <v>2271</v>
      </c>
      <c r="M966" s="517" t="s">
        <v>269</v>
      </c>
      <c r="N966" s="518" t="s">
        <v>2857</v>
      </c>
      <c r="O966" s="517">
        <v>2</v>
      </c>
      <c r="P966" s="517" t="s">
        <v>647</v>
      </c>
      <c r="Q966" s="517" t="s">
        <v>693</v>
      </c>
      <c r="R966" s="517" t="s">
        <v>632</v>
      </c>
      <c r="S966" s="517" t="s">
        <v>647</v>
      </c>
      <c r="T966" s="518" t="s">
        <v>2860</v>
      </c>
      <c r="U966" s="38">
        <v>889384.36</v>
      </c>
      <c r="V966" s="15" t="str">
        <f t="shared" si="99"/>
        <v/>
      </c>
      <c r="W966" s="1"/>
      <c r="X966" s="1"/>
      <c r="Y966" s="1"/>
      <c r="Z966" s="1"/>
      <c r="AA966" s="1"/>
      <c r="AB966" s="3"/>
      <c r="AC966" s="9"/>
      <c r="AD966" s="517" t="e">
        <v>#N/A</v>
      </c>
      <c r="AE966" s="517" t="e">
        <v>#N/A</v>
      </c>
      <c r="AF966" s="517" t="e">
        <v>#N/A</v>
      </c>
      <c r="AG966" s="520" t="e">
        <v>#N/A</v>
      </c>
      <c r="AH966" s="9"/>
      <c r="AI966" s="10"/>
      <c r="AJ966" s="9"/>
      <c r="AK966" s="10"/>
      <c r="AL966" s="10"/>
    </row>
    <row r="967" spans="1:38" ht="45" hidden="1">
      <c r="A967" s="1">
        <f t="shared" si="98"/>
        <v>0</v>
      </c>
      <c r="B967" s="2" t="s">
        <v>2928</v>
      </c>
      <c r="C967" s="3" t="s">
        <v>2929</v>
      </c>
      <c r="D967" s="15" t="s">
        <v>11624</v>
      </c>
      <c r="E967" s="4" t="s">
        <v>2928</v>
      </c>
      <c r="F967" s="37" t="s">
        <v>2929</v>
      </c>
      <c r="G967" s="38">
        <v>622761</v>
      </c>
      <c r="H967" s="38">
        <v>457832.98</v>
      </c>
      <c r="I967" s="15"/>
      <c r="J967" s="494">
        <v>20204010233</v>
      </c>
      <c r="K967" s="517"/>
      <c r="L967" s="517" t="s">
        <v>2271</v>
      </c>
      <c r="M967" s="517" t="s">
        <v>269</v>
      </c>
      <c r="N967" s="518" t="s">
        <v>2857</v>
      </c>
      <c r="O967" s="517">
        <v>2</v>
      </c>
      <c r="P967" s="517" t="s">
        <v>647</v>
      </c>
      <c r="Q967" s="517" t="s">
        <v>693</v>
      </c>
      <c r="R967" s="517" t="s">
        <v>632</v>
      </c>
      <c r="S967" s="517" t="s">
        <v>647</v>
      </c>
      <c r="T967" s="518" t="s">
        <v>2860</v>
      </c>
      <c r="U967" s="38">
        <v>457832.98</v>
      </c>
      <c r="V967" s="15" t="str">
        <f t="shared" si="99"/>
        <v/>
      </c>
      <c r="W967" s="1"/>
      <c r="X967" s="1"/>
      <c r="Y967" s="1"/>
      <c r="Z967" s="1"/>
      <c r="AA967" s="1"/>
      <c r="AB967" s="3"/>
      <c r="AC967" s="9"/>
      <c r="AD967" s="517" t="e">
        <v>#N/A</v>
      </c>
      <c r="AE967" s="517" t="e">
        <v>#N/A</v>
      </c>
      <c r="AF967" s="517" t="e">
        <v>#N/A</v>
      </c>
      <c r="AG967" s="520" t="e">
        <v>#N/A</v>
      </c>
      <c r="AH967" s="9"/>
      <c r="AI967" s="10"/>
      <c r="AJ967" s="9"/>
      <c r="AK967" s="10"/>
      <c r="AL967" s="10"/>
    </row>
    <row r="968" spans="1:38" ht="45" hidden="1">
      <c r="A968" s="1">
        <f t="shared" si="98"/>
        <v>0</v>
      </c>
      <c r="B968" s="2" t="s">
        <v>2930</v>
      </c>
      <c r="C968" s="3" t="s">
        <v>2931</v>
      </c>
      <c r="D968" s="15" t="s">
        <v>11624</v>
      </c>
      <c r="E968" s="4" t="s">
        <v>2930</v>
      </c>
      <c r="F968" s="37" t="s">
        <v>2931</v>
      </c>
      <c r="G968" s="38">
        <v>2232348</v>
      </c>
      <c r="H968" s="38">
        <v>1450151.19</v>
      </c>
      <c r="I968" s="15"/>
      <c r="J968" s="494">
        <v>20204010234</v>
      </c>
      <c r="K968" s="517"/>
      <c r="L968" s="517" t="s">
        <v>2271</v>
      </c>
      <c r="M968" s="517" t="s">
        <v>269</v>
      </c>
      <c r="N968" s="518" t="s">
        <v>2857</v>
      </c>
      <c r="O968" s="517">
        <v>2</v>
      </c>
      <c r="P968" s="517" t="s">
        <v>647</v>
      </c>
      <c r="Q968" s="517" t="s">
        <v>693</v>
      </c>
      <c r="R968" s="517" t="s">
        <v>632</v>
      </c>
      <c r="S968" s="517" t="s">
        <v>647</v>
      </c>
      <c r="T968" s="518" t="s">
        <v>2860</v>
      </c>
      <c r="U968" s="38">
        <v>1450151.19</v>
      </c>
      <c r="V968" s="15" t="str">
        <f t="shared" si="99"/>
        <v/>
      </c>
      <c r="W968" s="1"/>
      <c r="X968" s="1"/>
      <c r="Y968" s="1"/>
      <c r="Z968" s="1"/>
      <c r="AA968" s="1"/>
      <c r="AB968" s="3"/>
      <c r="AC968" s="9"/>
      <c r="AD968" s="517" t="e">
        <v>#N/A</v>
      </c>
      <c r="AE968" s="517" t="e">
        <v>#N/A</v>
      </c>
      <c r="AF968" s="517" t="e">
        <v>#N/A</v>
      </c>
      <c r="AG968" s="520" t="e">
        <v>#N/A</v>
      </c>
      <c r="AH968" s="9"/>
      <c r="AI968" s="10"/>
      <c r="AJ968" s="9"/>
      <c r="AK968" s="10"/>
      <c r="AL968" s="10"/>
    </row>
    <row r="969" spans="1:38" ht="45" hidden="1">
      <c r="A969" s="1">
        <f t="shared" si="98"/>
        <v>0</v>
      </c>
      <c r="B969" s="2" t="s">
        <v>2932</v>
      </c>
      <c r="C969" s="3" t="s">
        <v>2933</v>
      </c>
      <c r="D969" s="15" t="s">
        <v>11624</v>
      </c>
      <c r="E969" s="4" t="s">
        <v>2932</v>
      </c>
      <c r="F969" s="37" t="s">
        <v>2933</v>
      </c>
      <c r="G969" s="38">
        <v>924387</v>
      </c>
      <c r="H969" s="38">
        <v>762627.09</v>
      </c>
      <c r="I969" s="15"/>
      <c r="J969" s="494">
        <v>20204010235</v>
      </c>
      <c r="K969" s="517"/>
      <c r="L969" s="517" t="s">
        <v>2271</v>
      </c>
      <c r="M969" s="517" t="s">
        <v>269</v>
      </c>
      <c r="N969" s="518" t="s">
        <v>2857</v>
      </c>
      <c r="O969" s="517">
        <v>2</v>
      </c>
      <c r="P969" s="517" t="s">
        <v>647</v>
      </c>
      <c r="Q969" s="517" t="s">
        <v>693</v>
      </c>
      <c r="R969" s="517" t="s">
        <v>632</v>
      </c>
      <c r="S969" s="517" t="s">
        <v>647</v>
      </c>
      <c r="T969" s="518" t="s">
        <v>2860</v>
      </c>
      <c r="U969" s="38">
        <v>762627.09</v>
      </c>
      <c r="V969" s="15" t="str">
        <f t="shared" si="99"/>
        <v/>
      </c>
      <c r="W969" s="1"/>
      <c r="X969" s="1"/>
      <c r="Y969" s="1"/>
      <c r="Z969" s="1"/>
      <c r="AA969" s="1"/>
      <c r="AB969" s="3"/>
      <c r="AC969" s="9"/>
      <c r="AD969" s="517" t="e">
        <v>#N/A</v>
      </c>
      <c r="AE969" s="517" t="e">
        <v>#N/A</v>
      </c>
      <c r="AF969" s="517" t="e">
        <v>#N/A</v>
      </c>
      <c r="AG969" s="520" t="e">
        <v>#N/A</v>
      </c>
      <c r="AH969" s="9"/>
      <c r="AI969" s="10"/>
      <c r="AJ969" s="9"/>
      <c r="AK969" s="10"/>
      <c r="AL969" s="10"/>
    </row>
    <row r="970" spans="1:38" ht="67.5" hidden="1">
      <c r="A970" s="1">
        <f t="shared" si="98"/>
        <v>0</v>
      </c>
      <c r="B970" s="2" t="s">
        <v>2934</v>
      </c>
      <c r="C970" s="3" t="s">
        <v>2935</v>
      </c>
      <c r="D970" s="15" t="s">
        <v>11624</v>
      </c>
      <c r="E970" s="4" t="s">
        <v>2934</v>
      </c>
      <c r="F970" s="37" t="s">
        <v>2935</v>
      </c>
      <c r="G970" s="38">
        <v>0</v>
      </c>
      <c r="H970" s="38">
        <v>0</v>
      </c>
      <c r="I970" s="15"/>
      <c r="J970" s="494">
        <v>20204010236</v>
      </c>
      <c r="K970" s="517"/>
      <c r="L970" s="517" t="s">
        <v>2271</v>
      </c>
      <c r="M970" s="517" t="s">
        <v>269</v>
      </c>
      <c r="N970" s="518" t="s">
        <v>2857</v>
      </c>
      <c r="O970" s="517">
        <v>2</v>
      </c>
      <c r="P970" s="517" t="s">
        <v>647</v>
      </c>
      <c r="Q970" s="517" t="s">
        <v>693</v>
      </c>
      <c r="R970" s="517" t="s">
        <v>632</v>
      </c>
      <c r="S970" s="517" t="s">
        <v>647</v>
      </c>
      <c r="T970" s="518" t="s">
        <v>2860</v>
      </c>
      <c r="U970" s="38">
        <v>0</v>
      </c>
      <c r="V970" s="15" t="str">
        <f t="shared" si="99"/>
        <v/>
      </c>
      <c r="W970" s="1"/>
      <c r="X970" s="1"/>
      <c r="Y970" s="1"/>
      <c r="Z970" s="1"/>
      <c r="AA970" s="1"/>
      <c r="AB970" s="3"/>
      <c r="AC970" s="9"/>
      <c r="AD970" s="517" t="e">
        <v>#N/A</v>
      </c>
      <c r="AE970" s="517" t="e">
        <v>#N/A</v>
      </c>
      <c r="AF970" s="517" t="e">
        <v>#N/A</v>
      </c>
      <c r="AG970" s="520" t="e">
        <v>#N/A</v>
      </c>
      <c r="AH970" s="9"/>
      <c r="AI970" s="10"/>
      <c r="AJ970" s="9"/>
      <c r="AK970" s="10"/>
      <c r="AL970" s="10"/>
    </row>
    <row r="971" spans="1:38" ht="67.5" hidden="1">
      <c r="A971" s="1">
        <f t="shared" si="98"/>
        <v>0</v>
      </c>
      <c r="B971" s="2" t="s">
        <v>2936</v>
      </c>
      <c r="C971" s="3" t="s">
        <v>2937</v>
      </c>
      <c r="D971" s="15" t="s">
        <v>11624</v>
      </c>
      <c r="E971" s="4" t="s">
        <v>2936</v>
      </c>
      <c r="F971" s="37" t="s">
        <v>2935</v>
      </c>
      <c r="G971" s="38">
        <v>510000</v>
      </c>
      <c r="H971" s="38">
        <v>186099.72</v>
      </c>
      <c r="I971" s="15"/>
      <c r="J971" s="494">
        <v>20204010237</v>
      </c>
      <c r="K971" s="517"/>
      <c r="L971" s="517" t="s">
        <v>2271</v>
      </c>
      <c r="M971" s="517" t="s">
        <v>269</v>
      </c>
      <c r="N971" s="518" t="s">
        <v>2857</v>
      </c>
      <c r="O971" s="517">
        <v>2</v>
      </c>
      <c r="P971" s="517" t="s">
        <v>647</v>
      </c>
      <c r="Q971" s="517" t="s">
        <v>693</v>
      </c>
      <c r="R971" s="517" t="s">
        <v>632</v>
      </c>
      <c r="S971" s="517" t="s">
        <v>647</v>
      </c>
      <c r="T971" s="518" t="s">
        <v>2860</v>
      </c>
      <c r="U971" s="38">
        <v>186099.72</v>
      </c>
      <c r="V971" s="15" t="str">
        <f t="shared" si="99"/>
        <v/>
      </c>
      <c r="W971" s="1"/>
      <c r="X971" s="1"/>
      <c r="Y971" s="1"/>
      <c r="Z971" s="1"/>
      <c r="AA971" s="1"/>
      <c r="AB971" s="3"/>
      <c r="AC971" s="9"/>
      <c r="AD971" s="517" t="e">
        <v>#N/A</v>
      </c>
      <c r="AE971" s="517" t="e">
        <v>#N/A</v>
      </c>
      <c r="AF971" s="517" t="e">
        <v>#N/A</v>
      </c>
      <c r="AG971" s="520" t="e">
        <v>#N/A</v>
      </c>
      <c r="AH971" s="9"/>
      <c r="AI971" s="10"/>
      <c r="AJ971" s="9"/>
      <c r="AK971" s="10"/>
      <c r="AL971" s="10"/>
    </row>
    <row r="972" spans="1:38" ht="45" hidden="1">
      <c r="A972" s="1">
        <f t="shared" si="98"/>
        <v>0</v>
      </c>
      <c r="B972" s="2" t="s">
        <v>2938</v>
      </c>
      <c r="C972" s="3" t="s">
        <v>2939</v>
      </c>
      <c r="D972" s="15" t="s">
        <v>11624</v>
      </c>
      <c r="E972" s="4" t="s">
        <v>2938</v>
      </c>
      <c r="F972" s="37" t="s">
        <v>2939</v>
      </c>
      <c r="G972" s="38">
        <v>2281274</v>
      </c>
      <c r="H972" s="38">
        <v>2281274</v>
      </c>
      <c r="I972" s="15"/>
      <c r="J972" s="494">
        <v>20204010238</v>
      </c>
      <c r="K972" s="517"/>
      <c r="L972" s="517" t="s">
        <v>2271</v>
      </c>
      <c r="M972" s="517" t="s">
        <v>269</v>
      </c>
      <c r="N972" s="518" t="s">
        <v>2857</v>
      </c>
      <c r="O972" s="517">
        <v>2</v>
      </c>
      <c r="P972" s="517" t="s">
        <v>647</v>
      </c>
      <c r="Q972" s="517" t="s">
        <v>693</v>
      </c>
      <c r="R972" s="517" t="s">
        <v>632</v>
      </c>
      <c r="S972" s="517" t="s">
        <v>647</v>
      </c>
      <c r="T972" s="518" t="s">
        <v>2860</v>
      </c>
      <c r="U972" s="38">
        <v>2281274</v>
      </c>
      <c r="V972" s="15" t="str">
        <f t="shared" si="99"/>
        <v/>
      </c>
      <c r="W972" s="1"/>
      <c r="X972" s="1"/>
      <c r="Y972" s="1"/>
      <c r="Z972" s="1"/>
      <c r="AA972" s="1"/>
      <c r="AB972" s="3"/>
      <c r="AC972" s="9"/>
      <c r="AD972" s="517" t="e">
        <v>#N/A</v>
      </c>
      <c r="AE972" s="517" t="e">
        <v>#N/A</v>
      </c>
      <c r="AF972" s="517" t="e">
        <v>#N/A</v>
      </c>
      <c r="AG972" s="520" t="e">
        <v>#N/A</v>
      </c>
      <c r="AH972" s="9"/>
      <c r="AI972" s="10"/>
      <c r="AJ972" s="9"/>
      <c r="AK972" s="10"/>
      <c r="AL972" s="10"/>
    </row>
    <row r="973" spans="1:38" ht="56.25" hidden="1">
      <c r="A973" s="1">
        <f t="shared" si="98"/>
        <v>0</v>
      </c>
      <c r="B973" s="2" t="s">
        <v>2940</v>
      </c>
      <c r="C973" s="3" t="s">
        <v>2941</v>
      </c>
      <c r="D973" s="15" t="s">
        <v>11624</v>
      </c>
      <c r="E973" s="2" t="s">
        <v>2940</v>
      </c>
      <c r="F973" s="3" t="s">
        <v>2941</v>
      </c>
      <c r="G973" s="38"/>
      <c r="H973" s="38">
        <v>353714.3</v>
      </c>
      <c r="I973" s="15"/>
      <c r="J973" s="494">
        <v>20204010239</v>
      </c>
      <c r="K973" s="517"/>
      <c r="L973" s="517" t="s">
        <v>2271</v>
      </c>
      <c r="M973" s="517" t="s">
        <v>269</v>
      </c>
      <c r="N973" s="518" t="s">
        <v>2857</v>
      </c>
      <c r="O973" s="517">
        <v>2</v>
      </c>
      <c r="P973" s="517" t="s">
        <v>647</v>
      </c>
      <c r="Q973" s="517" t="s">
        <v>693</v>
      </c>
      <c r="R973" s="517" t="s">
        <v>632</v>
      </c>
      <c r="S973" s="517" t="s">
        <v>647</v>
      </c>
      <c r="T973" s="518" t="s">
        <v>2860</v>
      </c>
      <c r="U973" s="38">
        <v>353714.3</v>
      </c>
      <c r="V973" s="15" t="str">
        <f t="shared" si="99"/>
        <v/>
      </c>
      <c r="W973" s="1"/>
      <c r="X973" s="1"/>
      <c r="Y973" s="1"/>
      <c r="Z973" s="1"/>
      <c r="AA973" s="1"/>
      <c r="AB973" s="3"/>
      <c r="AC973" s="9"/>
      <c r="AD973" s="517" t="e">
        <v>#N/A</v>
      </c>
      <c r="AE973" s="517" t="e">
        <v>#N/A</v>
      </c>
      <c r="AF973" s="517" t="e">
        <v>#N/A</v>
      </c>
      <c r="AG973" s="520" t="e">
        <v>#N/A</v>
      </c>
      <c r="AH973" s="9"/>
      <c r="AI973" s="10"/>
      <c r="AJ973" s="9"/>
      <c r="AK973" s="10"/>
      <c r="AL973" s="10"/>
    </row>
    <row r="974" spans="1:38" ht="45" hidden="1">
      <c r="A974" s="1">
        <f t="shared" si="98"/>
        <v>0</v>
      </c>
      <c r="B974" s="2" t="s">
        <v>2942</v>
      </c>
      <c r="C974" s="3" t="s">
        <v>2943</v>
      </c>
      <c r="D974" s="15" t="s">
        <v>11625</v>
      </c>
      <c r="E974" s="4" t="s">
        <v>2942</v>
      </c>
      <c r="F974" s="37" t="s">
        <v>2943</v>
      </c>
      <c r="G974" s="38">
        <v>0</v>
      </c>
      <c r="H974" s="38">
        <v>0</v>
      </c>
      <c r="I974" s="15"/>
      <c r="J974" s="494">
        <v>20204010301</v>
      </c>
      <c r="K974" s="517"/>
      <c r="L974" s="517" t="s">
        <v>2271</v>
      </c>
      <c r="M974" s="517" t="s">
        <v>269</v>
      </c>
      <c r="N974" s="518" t="s">
        <v>2857</v>
      </c>
      <c r="O974" s="517">
        <v>2</v>
      </c>
      <c r="P974" s="517" t="s">
        <v>647</v>
      </c>
      <c r="Q974" s="517" t="s">
        <v>693</v>
      </c>
      <c r="R974" s="517" t="s">
        <v>632</v>
      </c>
      <c r="S974" s="517" t="s">
        <v>671</v>
      </c>
      <c r="T974" s="518" t="s">
        <v>2944</v>
      </c>
      <c r="U974" s="38">
        <v>0</v>
      </c>
      <c r="V974" s="15" t="str">
        <f t="shared" si="99"/>
        <v>202040103</v>
      </c>
      <c r="W974" s="39">
        <v>2</v>
      </c>
      <c r="X974" s="40" t="s">
        <v>647</v>
      </c>
      <c r="Y974" s="40" t="s">
        <v>693</v>
      </c>
      <c r="Z974" s="40" t="s">
        <v>632</v>
      </c>
      <c r="AA974" s="40" t="s">
        <v>671</v>
      </c>
      <c r="AB974" s="42" t="s">
        <v>2944</v>
      </c>
      <c r="AC974" s="519">
        <f>H974</f>
        <v>0</v>
      </c>
      <c r="AD974" s="517">
        <v>0</v>
      </c>
      <c r="AE974" s="517" t="s">
        <v>2271</v>
      </c>
      <c r="AF974" s="517" t="s">
        <v>269</v>
      </c>
      <c r="AG974" s="518" t="s">
        <v>2857</v>
      </c>
      <c r="AH974" s="67">
        <f>AC974</f>
        <v>0</v>
      </c>
      <c r="AI974" s="10"/>
      <c r="AJ974" s="9">
        <f t="shared" ref="AJ974:AJ984" si="100">AH974-H974</f>
        <v>0</v>
      </c>
      <c r="AK974" s="10"/>
      <c r="AL974" s="10"/>
    </row>
    <row r="975" spans="1:38" ht="45" hidden="1">
      <c r="A975" s="1">
        <f t="shared" si="98"/>
        <v>0</v>
      </c>
      <c r="B975" s="2" t="s">
        <v>2945</v>
      </c>
      <c r="C975" s="3" t="s">
        <v>2946</v>
      </c>
      <c r="D975" s="15" t="s">
        <v>11626</v>
      </c>
      <c r="E975" s="4" t="s">
        <v>2945</v>
      </c>
      <c r="F975" s="37" t="s">
        <v>2946</v>
      </c>
      <c r="G975" s="38">
        <v>0</v>
      </c>
      <c r="H975" s="38">
        <v>0</v>
      </c>
      <c r="I975" s="15"/>
      <c r="J975" s="494">
        <v>20204010401</v>
      </c>
      <c r="K975" s="517"/>
      <c r="L975" s="517" t="s">
        <v>2271</v>
      </c>
      <c r="M975" s="517" t="s">
        <v>269</v>
      </c>
      <c r="N975" s="518" t="s">
        <v>2857</v>
      </c>
      <c r="O975" s="517">
        <v>2</v>
      </c>
      <c r="P975" s="517" t="s">
        <v>647</v>
      </c>
      <c r="Q975" s="517" t="s">
        <v>693</v>
      </c>
      <c r="R975" s="517" t="s">
        <v>632</v>
      </c>
      <c r="S975" s="517" t="s">
        <v>693</v>
      </c>
      <c r="T975" s="518" t="s">
        <v>2947</v>
      </c>
      <c r="U975" s="38">
        <v>0</v>
      </c>
      <c r="V975" s="15" t="str">
        <f t="shared" si="99"/>
        <v>202040104</v>
      </c>
      <c r="W975" s="39">
        <v>2</v>
      </c>
      <c r="X975" s="40" t="s">
        <v>647</v>
      </c>
      <c r="Y975" s="40" t="s">
        <v>693</v>
      </c>
      <c r="Z975" s="40" t="s">
        <v>632</v>
      </c>
      <c r="AA975" s="40" t="s">
        <v>693</v>
      </c>
      <c r="AB975" s="42" t="s">
        <v>2947</v>
      </c>
      <c r="AC975" s="519">
        <f>H975</f>
        <v>0</v>
      </c>
      <c r="AD975" s="517">
        <v>0</v>
      </c>
      <c r="AE975" s="517" t="s">
        <v>2271</v>
      </c>
      <c r="AF975" s="517" t="s">
        <v>269</v>
      </c>
      <c r="AG975" s="518" t="s">
        <v>2857</v>
      </c>
      <c r="AH975" s="67">
        <f>AC975</f>
        <v>0</v>
      </c>
      <c r="AI975" s="10"/>
      <c r="AJ975" s="9">
        <f t="shared" si="100"/>
        <v>0</v>
      </c>
      <c r="AK975" s="10"/>
      <c r="AL975" s="10"/>
    </row>
    <row r="976" spans="1:38" ht="45" hidden="1">
      <c r="A976" s="1">
        <f t="shared" si="98"/>
        <v>0</v>
      </c>
      <c r="B976" s="2" t="s">
        <v>2948</v>
      </c>
      <c r="C976" s="3" t="s">
        <v>2949</v>
      </c>
      <c r="D976" s="15" t="s">
        <v>11627</v>
      </c>
      <c r="E976" s="4" t="s">
        <v>2948</v>
      </c>
      <c r="F976" s="37" t="s">
        <v>2949</v>
      </c>
      <c r="G976" s="38">
        <v>0</v>
      </c>
      <c r="H976" s="38">
        <v>0</v>
      </c>
      <c r="I976" s="15"/>
      <c r="J976" s="494">
        <v>20204010501</v>
      </c>
      <c r="K976" s="517"/>
      <c r="L976" s="517" t="s">
        <v>2271</v>
      </c>
      <c r="M976" s="517" t="s">
        <v>269</v>
      </c>
      <c r="N976" s="518" t="s">
        <v>2857</v>
      </c>
      <c r="O976" s="517">
        <v>2</v>
      </c>
      <c r="P976" s="517" t="s">
        <v>647</v>
      </c>
      <c r="Q976" s="517" t="s">
        <v>693</v>
      </c>
      <c r="R976" s="517" t="s">
        <v>632</v>
      </c>
      <c r="S976" s="517" t="s">
        <v>714</v>
      </c>
      <c r="T976" s="518" t="s">
        <v>2950</v>
      </c>
      <c r="U976" s="38">
        <v>0</v>
      </c>
      <c r="V976" s="15" t="str">
        <f t="shared" si="99"/>
        <v>202040105</v>
      </c>
      <c r="W976" s="39">
        <v>2</v>
      </c>
      <c r="X976" s="40" t="s">
        <v>647</v>
      </c>
      <c r="Y976" s="40" t="s">
        <v>693</v>
      </c>
      <c r="Z976" s="40" t="s">
        <v>632</v>
      </c>
      <c r="AA976" s="40" t="s">
        <v>714</v>
      </c>
      <c r="AB976" s="42" t="s">
        <v>2950</v>
      </c>
      <c r="AC976" s="519">
        <f>H976</f>
        <v>0</v>
      </c>
      <c r="AD976" s="517">
        <v>0</v>
      </c>
      <c r="AE976" s="517" t="s">
        <v>2271</v>
      </c>
      <c r="AF976" s="517" t="s">
        <v>269</v>
      </c>
      <c r="AG976" s="518" t="s">
        <v>2857</v>
      </c>
      <c r="AH976" s="67">
        <f>AC976</f>
        <v>0</v>
      </c>
      <c r="AI976" s="10"/>
      <c r="AJ976" s="9">
        <f t="shared" si="100"/>
        <v>0</v>
      </c>
      <c r="AK976" s="10"/>
      <c r="AL976" s="10"/>
    </row>
    <row r="977" spans="1:38" ht="45" hidden="1">
      <c r="A977" s="1">
        <f t="shared" si="98"/>
        <v>0</v>
      </c>
      <c r="B977" s="2" t="s">
        <v>2951</v>
      </c>
      <c r="C977" s="3" t="s">
        <v>2952</v>
      </c>
      <c r="D977" s="15" t="s">
        <v>11628</v>
      </c>
      <c r="E977" s="4" t="s">
        <v>2951</v>
      </c>
      <c r="F977" s="37" t="s">
        <v>2952</v>
      </c>
      <c r="G977" s="38">
        <v>0</v>
      </c>
      <c r="H977" s="38">
        <v>0</v>
      </c>
      <c r="I977" s="15"/>
      <c r="J977" s="494">
        <v>20204010601</v>
      </c>
      <c r="K977" s="517"/>
      <c r="L977" s="517" t="s">
        <v>2271</v>
      </c>
      <c r="M977" s="517" t="s">
        <v>269</v>
      </c>
      <c r="N977" s="518" t="s">
        <v>2857</v>
      </c>
      <c r="O977" s="517">
        <v>2</v>
      </c>
      <c r="P977" s="517" t="s">
        <v>647</v>
      </c>
      <c r="Q977" s="517" t="s">
        <v>693</v>
      </c>
      <c r="R977" s="517" t="s">
        <v>632</v>
      </c>
      <c r="S977" s="517" t="s">
        <v>739</v>
      </c>
      <c r="T977" s="518" t="s">
        <v>2953</v>
      </c>
      <c r="U977" s="38">
        <v>0</v>
      </c>
      <c r="V977" s="15" t="str">
        <f t="shared" si="99"/>
        <v>202040106</v>
      </c>
      <c r="W977" s="39">
        <v>2</v>
      </c>
      <c r="X977" s="40" t="s">
        <v>647</v>
      </c>
      <c r="Y977" s="40" t="s">
        <v>693</v>
      </c>
      <c r="Z977" s="40" t="s">
        <v>632</v>
      </c>
      <c r="AA977" s="40" t="s">
        <v>739</v>
      </c>
      <c r="AB977" s="42" t="s">
        <v>2953</v>
      </c>
      <c r="AC977" s="519">
        <f>H977</f>
        <v>0</v>
      </c>
      <c r="AD977" s="517">
        <v>0</v>
      </c>
      <c r="AE977" s="517" t="s">
        <v>2271</v>
      </c>
      <c r="AF977" s="517" t="s">
        <v>269</v>
      </c>
      <c r="AG977" s="518" t="s">
        <v>2857</v>
      </c>
      <c r="AH977" s="67">
        <f>AC977</f>
        <v>0</v>
      </c>
      <c r="AI977" s="10"/>
      <c r="AJ977" s="9">
        <f t="shared" si="100"/>
        <v>0</v>
      </c>
      <c r="AK977" s="10"/>
      <c r="AL977" s="10"/>
    </row>
    <row r="978" spans="1:38" ht="45" hidden="1">
      <c r="A978" s="1">
        <f t="shared" si="98"/>
        <v>0</v>
      </c>
      <c r="B978" s="2" t="s">
        <v>2954</v>
      </c>
      <c r="C978" s="3" t="s">
        <v>2955</v>
      </c>
      <c r="D978" s="15" t="s">
        <v>11629</v>
      </c>
      <c r="E978" s="4" t="s">
        <v>2954</v>
      </c>
      <c r="F978" s="37" t="s">
        <v>2955</v>
      </c>
      <c r="G978" s="38">
        <v>0</v>
      </c>
      <c r="H978" s="38">
        <v>0</v>
      </c>
      <c r="I978" s="15"/>
      <c r="J978" s="494">
        <v>20204010701</v>
      </c>
      <c r="K978" s="517"/>
      <c r="L978" s="517" t="s">
        <v>2271</v>
      </c>
      <c r="M978" s="517" t="s">
        <v>269</v>
      </c>
      <c r="N978" s="518" t="s">
        <v>2857</v>
      </c>
      <c r="O978" s="517">
        <v>2</v>
      </c>
      <c r="P978" s="517" t="s">
        <v>647</v>
      </c>
      <c r="Q978" s="517" t="s">
        <v>693</v>
      </c>
      <c r="R978" s="517" t="s">
        <v>632</v>
      </c>
      <c r="S978" s="517" t="s">
        <v>755</v>
      </c>
      <c r="T978" s="518" t="s">
        <v>2956</v>
      </c>
      <c r="U978" s="38">
        <v>0</v>
      </c>
      <c r="V978" s="15" t="str">
        <f t="shared" si="99"/>
        <v>202040107</v>
      </c>
      <c r="W978" s="39">
        <v>2</v>
      </c>
      <c r="X978" s="40" t="s">
        <v>647</v>
      </c>
      <c r="Y978" s="40" t="s">
        <v>693</v>
      </c>
      <c r="Z978" s="40" t="s">
        <v>632</v>
      </c>
      <c r="AA978" s="40" t="s">
        <v>755</v>
      </c>
      <c r="AB978" s="42" t="s">
        <v>2956</v>
      </c>
      <c r="AC978" s="519">
        <f>H978</f>
        <v>0</v>
      </c>
      <c r="AD978" s="517">
        <v>0</v>
      </c>
      <c r="AE978" s="517" t="s">
        <v>2271</v>
      </c>
      <c r="AF978" s="517" t="s">
        <v>269</v>
      </c>
      <c r="AG978" s="518" t="s">
        <v>2857</v>
      </c>
      <c r="AH978" s="67">
        <f>AC978</f>
        <v>0</v>
      </c>
      <c r="AI978" s="10"/>
      <c r="AJ978" s="9">
        <f t="shared" si="100"/>
        <v>0</v>
      </c>
      <c r="AK978" s="10"/>
      <c r="AL978" s="10"/>
    </row>
    <row r="979" spans="1:38" ht="45" hidden="1">
      <c r="A979" s="1">
        <f t="shared" ref="A979:A1044" si="101">IF(E979=B979,0,1)</f>
        <v>0</v>
      </c>
      <c r="B979" s="2" t="s">
        <v>2957</v>
      </c>
      <c r="C979" s="3" t="s">
        <v>2958</v>
      </c>
      <c r="D979" s="15" t="s">
        <v>11630</v>
      </c>
      <c r="E979" s="4" t="s">
        <v>2957</v>
      </c>
      <c r="F979" s="37" t="s">
        <v>2958</v>
      </c>
      <c r="G979" s="47">
        <v>0</v>
      </c>
      <c r="H979" s="38">
        <v>0</v>
      </c>
      <c r="I979" s="15"/>
      <c r="J979" s="494">
        <v>20204010801</v>
      </c>
      <c r="K979" s="517"/>
      <c r="L979" s="517" t="s">
        <v>2271</v>
      </c>
      <c r="M979" s="517" t="s">
        <v>269</v>
      </c>
      <c r="N979" s="518" t="s">
        <v>2857</v>
      </c>
      <c r="O979" s="517">
        <v>2</v>
      </c>
      <c r="P979" s="517" t="s">
        <v>647</v>
      </c>
      <c r="Q979" s="517" t="s">
        <v>693</v>
      </c>
      <c r="R979" s="517" t="s">
        <v>632</v>
      </c>
      <c r="S979" s="517" t="s">
        <v>630</v>
      </c>
      <c r="T979" s="518" t="s">
        <v>2856</v>
      </c>
      <c r="U979" s="38">
        <v>0</v>
      </c>
      <c r="V979" s="15" t="str">
        <f t="shared" si="99"/>
        <v/>
      </c>
      <c r="W979" s="39"/>
      <c r="X979" s="40"/>
      <c r="Y979" s="40"/>
      <c r="Z979" s="40"/>
      <c r="AA979" s="40"/>
      <c r="AB979" s="42"/>
      <c r="AC979" s="519"/>
      <c r="AD979" s="517" t="e">
        <v>#N/A</v>
      </c>
      <c r="AE979" s="517" t="e">
        <v>#N/A</v>
      </c>
      <c r="AF979" s="517" t="e">
        <v>#N/A</v>
      </c>
      <c r="AG979" s="518" t="e">
        <v>#N/A</v>
      </c>
      <c r="AH979" s="67"/>
      <c r="AI979" s="10"/>
      <c r="AJ979" s="9">
        <f t="shared" si="100"/>
        <v>0</v>
      </c>
      <c r="AK979" s="10"/>
      <c r="AL979" s="10"/>
    </row>
    <row r="980" spans="1:38" ht="45" hidden="1">
      <c r="A980" s="1">
        <f t="shared" si="101"/>
        <v>0</v>
      </c>
      <c r="B980" s="2" t="s">
        <v>2959</v>
      </c>
      <c r="C980" s="3" t="s">
        <v>2960</v>
      </c>
      <c r="D980" s="15" t="s">
        <v>11631</v>
      </c>
      <c r="E980" s="4" t="s">
        <v>2959</v>
      </c>
      <c r="F980" s="37" t="s">
        <v>2960</v>
      </c>
      <c r="G980" s="47">
        <v>0</v>
      </c>
      <c r="H980" s="38">
        <v>0</v>
      </c>
      <c r="I980" s="15"/>
      <c r="J980" s="494">
        <v>20204010901</v>
      </c>
      <c r="K980" s="517"/>
      <c r="L980" s="517" t="s">
        <v>2271</v>
      </c>
      <c r="M980" s="517" t="s">
        <v>269</v>
      </c>
      <c r="N980" s="518" t="s">
        <v>2857</v>
      </c>
      <c r="O980" s="517">
        <v>2</v>
      </c>
      <c r="P980" s="517" t="s">
        <v>647</v>
      </c>
      <c r="Q980" s="517" t="s">
        <v>693</v>
      </c>
      <c r="R980" s="517" t="s">
        <v>632</v>
      </c>
      <c r="S980" s="517" t="s">
        <v>630</v>
      </c>
      <c r="T980" s="518" t="s">
        <v>2856</v>
      </c>
      <c r="U980" s="38">
        <v>0</v>
      </c>
      <c r="V980" s="15" t="str">
        <f t="shared" si="99"/>
        <v/>
      </c>
      <c r="W980" s="39"/>
      <c r="X980" s="40"/>
      <c r="Y980" s="40"/>
      <c r="Z980" s="40"/>
      <c r="AA980" s="40"/>
      <c r="AB980" s="42"/>
      <c r="AC980" s="519"/>
      <c r="AD980" s="517" t="e">
        <v>#N/A</v>
      </c>
      <c r="AE980" s="517" t="e">
        <v>#N/A</v>
      </c>
      <c r="AF980" s="517" t="e">
        <v>#N/A</v>
      </c>
      <c r="AG980" s="518" t="e">
        <v>#N/A</v>
      </c>
      <c r="AH980" s="67"/>
      <c r="AI980" s="10"/>
      <c r="AJ980" s="9">
        <f t="shared" si="100"/>
        <v>0</v>
      </c>
      <c r="AK980" s="10"/>
      <c r="AL980" s="10"/>
    </row>
    <row r="981" spans="1:38" ht="45" hidden="1">
      <c r="A981" s="1">
        <f t="shared" si="101"/>
        <v>0</v>
      </c>
      <c r="B981" s="2" t="s">
        <v>2961</v>
      </c>
      <c r="C981" s="3" t="s">
        <v>2962</v>
      </c>
      <c r="D981" s="15" t="s">
        <v>11632</v>
      </c>
      <c r="E981" s="4" t="s">
        <v>2961</v>
      </c>
      <c r="F981" s="37" t="s">
        <v>2962</v>
      </c>
      <c r="G981" s="38">
        <v>0</v>
      </c>
      <c r="H981" s="38">
        <v>0</v>
      </c>
      <c r="I981" s="15"/>
      <c r="J981" s="494">
        <v>20204011001</v>
      </c>
      <c r="K981" s="517"/>
      <c r="L981" s="517" t="s">
        <v>2271</v>
      </c>
      <c r="M981" s="517" t="s">
        <v>269</v>
      </c>
      <c r="N981" s="518" t="s">
        <v>2857</v>
      </c>
      <c r="O981" s="517">
        <v>2</v>
      </c>
      <c r="P981" s="517" t="s">
        <v>647</v>
      </c>
      <c r="Q981" s="517" t="s">
        <v>693</v>
      </c>
      <c r="R981" s="517" t="s">
        <v>632</v>
      </c>
      <c r="S981" s="517" t="s">
        <v>630</v>
      </c>
      <c r="T981" s="518" t="s">
        <v>2856</v>
      </c>
      <c r="U981" s="38">
        <v>0</v>
      </c>
      <c r="V981" s="15" t="str">
        <f t="shared" si="99"/>
        <v>202040110</v>
      </c>
      <c r="W981" s="39">
        <v>2</v>
      </c>
      <c r="X981" s="40" t="s">
        <v>647</v>
      </c>
      <c r="Y981" s="40" t="s">
        <v>693</v>
      </c>
      <c r="Z981" s="40" t="s">
        <v>632</v>
      </c>
      <c r="AA981" s="40" t="s">
        <v>1225</v>
      </c>
      <c r="AB981" s="42" t="s">
        <v>2963</v>
      </c>
      <c r="AC981" s="519">
        <f>H981</f>
        <v>0</v>
      </c>
      <c r="AD981" s="517">
        <v>0</v>
      </c>
      <c r="AE981" s="517" t="s">
        <v>2271</v>
      </c>
      <c r="AF981" s="517" t="s">
        <v>269</v>
      </c>
      <c r="AG981" s="518" t="s">
        <v>2857</v>
      </c>
      <c r="AH981" s="67">
        <f>AC981</f>
        <v>0</v>
      </c>
      <c r="AI981" s="10"/>
      <c r="AJ981" s="9">
        <f t="shared" si="100"/>
        <v>0</v>
      </c>
      <c r="AK981" s="10"/>
      <c r="AL981" s="10"/>
    </row>
    <row r="982" spans="1:38" ht="45" hidden="1">
      <c r="A982" s="1">
        <f t="shared" si="101"/>
        <v>0</v>
      </c>
      <c r="B982" s="2" t="s">
        <v>2964</v>
      </c>
      <c r="C982" s="3" t="s">
        <v>2965</v>
      </c>
      <c r="D982" s="15" t="s">
        <v>11633</v>
      </c>
      <c r="E982" s="4" t="s">
        <v>2964</v>
      </c>
      <c r="F982" s="37" t="s">
        <v>2965</v>
      </c>
      <c r="G982" s="38">
        <v>0</v>
      </c>
      <c r="H982" s="38">
        <v>0</v>
      </c>
      <c r="I982" s="15"/>
      <c r="J982" s="494">
        <v>20204011101</v>
      </c>
      <c r="K982" s="517"/>
      <c r="L982" s="517" t="s">
        <v>2271</v>
      </c>
      <c r="M982" s="517" t="s">
        <v>269</v>
      </c>
      <c r="N982" s="518" t="s">
        <v>2857</v>
      </c>
      <c r="O982" s="517">
        <v>2</v>
      </c>
      <c r="P982" s="517" t="s">
        <v>647</v>
      </c>
      <c r="Q982" s="517" t="s">
        <v>693</v>
      </c>
      <c r="R982" s="517" t="s">
        <v>632</v>
      </c>
      <c r="S982" s="517" t="s">
        <v>630</v>
      </c>
      <c r="T982" s="518" t="s">
        <v>2856</v>
      </c>
      <c r="U982" s="38">
        <v>0</v>
      </c>
      <c r="V982" s="15" t="str">
        <f t="shared" si="99"/>
        <v>202040111</v>
      </c>
      <c r="W982" s="39">
        <v>2</v>
      </c>
      <c r="X982" s="40" t="s">
        <v>647</v>
      </c>
      <c r="Y982" s="40" t="s">
        <v>693</v>
      </c>
      <c r="Z982" s="40" t="s">
        <v>632</v>
      </c>
      <c r="AA982" s="40" t="s">
        <v>1229</v>
      </c>
      <c r="AB982" s="42" t="s">
        <v>2966</v>
      </c>
      <c r="AC982" s="519">
        <f>H982</f>
        <v>0</v>
      </c>
      <c r="AD982" s="517">
        <v>0</v>
      </c>
      <c r="AE982" s="517" t="s">
        <v>2271</v>
      </c>
      <c r="AF982" s="517" t="s">
        <v>269</v>
      </c>
      <c r="AG982" s="518" t="s">
        <v>2857</v>
      </c>
      <c r="AH982" s="67">
        <f>AC982</f>
        <v>0</v>
      </c>
      <c r="AI982" s="10"/>
      <c r="AJ982" s="9">
        <f t="shared" si="100"/>
        <v>0</v>
      </c>
      <c r="AK982" s="10"/>
      <c r="AL982" s="10"/>
    </row>
    <row r="983" spans="1:38" ht="45" hidden="1">
      <c r="A983" s="1">
        <f t="shared" si="101"/>
        <v>0</v>
      </c>
      <c r="B983" s="2" t="s">
        <v>2967</v>
      </c>
      <c r="C983" s="3" t="s">
        <v>2968</v>
      </c>
      <c r="D983" s="15" t="s">
        <v>11634</v>
      </c>
      <c r="E983" s="4" t="s">
        <v>2967</v>
      </c>
      <c r="F983" s="37" t="s">
        <v>2968</v>
      </c>
      <c r="G983" s="38">
        <v>67759.600000000006</v>
      </c>
      <c r="H983" s="38">
        <v>67759.600000000006</v>
      </c>
      <c r="I983" s="15"/>
      <c r="J983" s="494">
        <v>20204011201</v>
      </c>
      <c r="K983" s="517"/>
      <c r="L983" s="517" t="s">
        <v>2271</v>
      </c>
      <c r="M983" s="517" t="s">
        <v>269</v>
      </c>
      <c r="N983" s="518" t="s">
        <v>2857</v>
      </c>
      <c r="O983" s="517">
        <v>2</v>
      </c>
      <c r="P983" s="517" t="s">
        <v>647</v>
      </c>
      <c r="Q983" s="517" t="s">
        <v>693</v>
      </c>
      <c r="R983" s="517" t="s">
        <v>632</v>
      </c>
      <c r="S983" s="517" t="s">
        <v>630</v>
      </c>
      <c r="T983" s="518" t="s">
        <v>2856</v>
      </c>
      <c r="U983" s="38">
        <v>67759.600000000006</v>
      </c>
      <c r="V983" s="15" t="str">
        <f t="shared" si="99"/>
        <v>202040112</v>
      </c>
      <c r="W983" s="39">
        <v>2</v>
      </c>
      <c r="X983" s="40" t="s">
        <v>647</v>
      </c>
      <c r="Y983" s="40" t="s">
        <v>693</v>
      </c>
      <c r="Z983" s="40" t="s">
        <v>632</v>
      </c>
      <c r="AA983" s="40" t="s">
        <v>1243</v>
      </c>
      <c r="AB983" s="42" t="s">
        <v>2969</v>
      </c>
      <c r="AC983" s="519">
        <f>H983</f>
        <v>67759.600000000006</v>
      </c>
      <c r="AD983" s="517">
        <v>0</v>
      </c>
      <c r="AE983" s="517" t="s">
        <v>2271</v>
      </c>
      <c r="AF983" s="517" t="s">
        <v>269</v>
      </c>
      <c r="AG983" s="518" t="s">
        <v>2857</v>
      </c>
      <c r="AH983" s="67">
        <f>AC983</f>
        <v>67759.600000000006</v>
      </c>
      <c r="AI983" s="10"/>
      <c r="AJ983" s="9">
        <f t="shared" si="100"/>
        <v>0</v>
      </c>
      <c r="AK983" s="10"/>
      <c r="AL983" s="10"/>
    </row>
    <row r="984" spans="1:38" ht="45" hidden="1">
      <c r="A984" s="1">
        <f t="shared" si="101"/>
        <v>0</v>
      </c>
      <c r="B984" s="2" t="s">
        <v>2970</v>
      </c>
      <c r="C984" s="3" t="s">
        <v>2971</v>
      </c>
      <c r="D984" s="15" t="s">
        <v>11635</v>
      </c>
      <c r="E984" s="4" t="s">
        <v>2970</v>
      </c>
      <c r="F984" s="37" t="s">
        <v>2972</v>
      </c>
      <c r="G984" s="38">
        <v>331360</v>
      </c>
      <c r="H984" s="38">
        <v>153454.07</v>
      </c>
      <c r="I984" s="15"/>
      <c r="J984" s="494">
        <v>20204019701</v>
      </c>
      <c r="K984" s="517"/>
      <c r="L984" s="517" t="s">
        <v>2271</v>
      </c>
      <c r="M984" s="517" t="s">
        <v>269</v>
      </c>
      <c r="N984" s="518" t="s">
        <v>2857</v>
      </c>
      <c r="O984" s="517">
        <v>2</v>
      </c>
      <c r="P984" s="517" t="s">
        <v>647</v>
      </c>
      <c r="Q984" s="517" t="s">
        <v>693</v>
      </c>
      <c r="R984" s="517" t="s">
        <v>632</v>
      </c>
      <c r="S984" s="517" t="s">
        <v>630</v>
      </c>
      <c r="T984" s="518" t="s">
        <v>2856</v>
      </c>
      <c r="U984" s="38">
        <v>153454.07</v>
      </c>
      <c r="V984" s="15" t="str">
        <f t="shared" si="99"/>
        <v>224197</v>
      </c>
      <c r="W984" s="39">
        <v>2</v>
      </c>
      <c r="X984" s="50">
        <v>2</v>
      </c>
      <c r="Y984" s="50">
        <v>4</v>
      </c>
      <c r="Z984" s="50">
        <v>1</v>
      </c>
      <c r="AA984" s="50">
        <v>97</v>
      </c>
      <c r="AB984" s="42" t="s">
        <v>2971</v>
      </c>
      <c r="AC984" s="519">
        <f>H984</f>
        <v>153454.07</v>
      </c>
      <c r="AD984" s="517" t="e">
        <v>#N/A</v>
      </c>
      <c r="AE984" s="517" t="e">
        <v>#N/A</v>
      </c>
      <c r="AF984" s="517" t="e">
        <v>#N/A</v>
      </c>
      <c r="AG984" s="518" t="e">
        <v>#N/A</v>
      </c>
      <c r="AH984" s="67">
        <f>AC984</f>
        <v>153454.07</v>
      </c>
      <c r="AI984" s="10"/>
      <c r="AJ984" s="9">
        <f t="shared" si="100"/>
        <v>0</v>
      </c>
      <c r="AK984" s="10"/>
      <c r="AL984" s="10"/>
    </row>
    <row r="985" spans="1:38" ht="45" hidden="1">
      <c r="A985" s="1">
        <f t="shared" si="101"/>
        <v>0</v>
      </c>
      <c r="B985" s="2" t="s">
        <v>2973</v>
      </c>
      <c r="C985" s="3" t="s">
        <v>2974</v>
      </c>
      <c r="D985" s="15" t="s">
        <v>11636</v>
      </c>
      <c r="E985" s="4" t="s">
        <v>2973</v>
      </c>
      <c r="F985" s="37" t="s">
        <v>2974</v>
      </c>
      <c r="G985" s="38">
        <v>822198</v>
      </c>
      <c r="H985" s="38">
        <v>822198</v>
      </c>
      <c r="I985" s="15"/>
      <c r="J985" s="494">
        <v>20204019901</v>
      </c>
      <c r="K985" s="517"/>
      <c r="L985" s="517" t="s">
        <v>2271</v>
      </c>
      <c r="M985" s="517" t="s">
        <v>269</v>
      </c>
      <c r="N985" s="518" t="s">
        <v>2857</v>
      </c>
      <c r="O985" s="517">
        <v>2</v>
      </c>
      <c r="P985" s="517" t="s">
        <v>647</v>
      </c>
      <c r="Q985" s="517" t="s">
        <v>693</v>
      </c>
      <c r="R985" s="517" t="s">
        <v>632</v>
      </c>
      <c r="S985" s="517" t="s">
        <v>1124</v>
      </c>
      <c r="T985" s="518" t="s">
        <v>2975</v>
      </c>
      <c r="U985" s="38">
        <v>822198</v>
      </c>
      <c r="V985" s="15" t="str">
        <f t="shared" si="99"/>
        <v>202040199</v>
      </c>
      <c r="W985" s="39">
        <v>2</v>
      </c>
      <c r="X985" s="40" t="s">
        <v>647</v>
      </c>
      <c r="Y985" s="40" t="s">
        <v>693</v>
      </c>
      <c r="Z985" s="40" t="s">
        <v>632</v>
      </c>
      <c r="AA985" s="40" t="s">
        <v>1124</v>
      </c>
      <c r="AB985" s="42" t="s">
        <v>2975</v>
      </c>
      <c r="AC985" s="519">
        <f>SUM(H985:H994)</f>
        <v>6422970.6000000006</v>
      </c>
      <c r="AD985" s="517">
        <v>0</v>
      </c>
      <c r="AE985" s="517" t="s">
        <v>2271</v>
      </c>
      <c r="AF985" s="517" t="s">
        <v>269</v>
      </c>
      <c r="AG985" s="518" t="s">
        <v>2857</v>
      </c>
      <c r="AH985" s="67">
        <f>AC985</f>
        <v>6422970.6000000006</v>
      </c>
      <c r="AI985" s="10"/>
      <c r="AJ985" s="9"/>
      <c r="AK985" s="10"/>
      <c r="AL985" s="10"/>
    </row>
    <row r="986" spans="1:38" ht="45" hidden="1">
      <c r="A986" s="1">
        <f t="shared" si="101"/>
        <v>0</v>
      </c>
      <c r="B986" s="2" t="s">
        <v>2977</v>
      </c>
      <c r="C986" s="3" t="s">
        <v>2978</v>
      </c>
      <c r="D986" s="15" t="s">
        <v>11636</v>
      </c>
      <c r="E986" s="4" t="s">
        <v>2977</v>
      </c>
      <c r="F986" s="37" t="s">
        <v>2978</v>
      </c>
      <c r="G986" s="38">
        <v>0</v>
      </c>
      <c r="H986" s="38">
        <v>0</v>
      </c>
      <c r="I986" s="15"/>
      <c r="J986" s="494">
        <v>20204019902</v>
      </c>
      <c r="K986" s="517"/>
      <c r="L986" s="517" t="s">
        <v>2271</v>
      </c>
      <c r="M986" s="517" t="s">
        <v>269</v>
      </c>
      <c r="N986" s="518" t="s">
        <v>2857</v>
      </c>
      <c r="O986" s="517">
        <v>2</v>
      </c>
      <c r="P986" s="517" t="s">
        <v>647</v>
      </c>
      <c r="Q986" s="517" t="s">
        <v>693</v>
      </c>
      <c r="R986" s="517" t="s">
        <v>632</v>
      </c>
      <c r="S986" s="517" t="s">
        <v>1124</v>
      </c>
      <c r="T986" s="518" t="s">
        <v>2975</v>
      </c>
      <c r="U986" s="38">
        <v>0</v>
      </c>
      <c r="V986" s="15" t="str">
        <f t="shared" si="99"/>
        <v/>
      </c>
      <c r="W986" s="1"/>
      <c r="X986" s="1"/>
      <c r="Y986" s="1"/>
      <c r="Z986" s="1"/>
      <c r="AA986" s="1"/>
      <c r="AB986" s="3"/>
      <c r="AC986" s="9"/>
      <c r="AD986" s="517" t="e">
        <v>#N/A</v>
      </c>
      <c r="AE986" s="517" t="e">
        <v>#N/A</v>
      </c>
      <c r="AF986" s="517" t="e">
        <v>#N/A</v>
      </c>
      <c r="AG986" s="520" t="e">
        <v>#N/A</v>
      </c>
      <c r="AH986" s="9"/>
      <c r="AI986" s="10"/>
      <c r="AJ986" s="9"/>
      <c r="AK986" s="10"/>
      <c r="AL986" s="10"/>
    </row>
    <row r="987" spans="1:38" ht="45" hidden="1">
      <c r="A987" s="1">
        <f t="shared" si="101"/>
        <v>0</v>
      </c>
      <c r="B987" s="2" t="s">
        <v>2979</v>
      </c>
      <c r="C987" s="3" t="s">
        <v>2980</v>
      </c>
      <c r="D987" s="15" t="s">
        <v>11636</v>
      </c>
      <c r="E987" s="4" t="s">
        <v>2979</v>
      </c>
      <c r="F987" s="37" t="s">
        <v>2980</v>
      </c>
      <c r="G987" s="38">
        <v>0</v>
      </c>
      <c r="H987" s="38">
        <v>0</v>
      </c>
      <c r="I987" s="15"/>
      <c r="J987" s="494">
        <v>20204019903</v>
      </c>
      <c r="K987" s="517"/>
      <c r="L987" s="517" t="s">
        <v>2271</v>
      </c>
      <c r="M987" s="517" t="s">
        <v>269</v>
      </c>
      <c r="N987" s="518" t="s">
        <v>2857</v>
      </c>
      <c r="O987" s="517">
        <v>2</v>
      </c>
      <c r="P987" s="517" t="s">
        <v>647</v>
      </c>
      <c r="Q987" s="517" t="s">
        <v>693</v>
      </c>
      <c r="R987" s="517" t="s">
        <v>632</v>
      </c>
      <c r="S987" s="517" t="s">
        <v>1124</v>
      </c>
      <c r="T987" s="518" t="s">
        <v>2975</v>
      </c>
      <c r="U987" s="38">
        <v>0</v>
      </c>
      <c r="V987" s="15" t="str">
        <f t="shared" si="99"/>
        <v/>
      </c>
      <c r="W987" s="1"/>
      <c r="X987" s="1"/>
      <c r="Y987" s="1"/>
      <c r="Z987" s="1"/>
      <c r="AA987" s="1"/>
      <c r="AB987" s="3"/>
      <c r="AC987" s="9"/>
      <c r="AD987" s="517" t="e">
        <v>#N/A</v>
      </c>
      <c r="AE987" s="517" t="e">
        <v>#N/A</v>
      </c>
      <c r="AF987" s="517" t="e">
        <v>#N/A</v>
      </c>
      <c r="AG987" s="520" t="e">
        <v>#N/A</v>
      </c>
      <c r="AH987" s="9"/>
      <c r="AI987" s="10"/>
      <c r="AJ987" s="9"/>
      <c r="AK987" s="10"/>
      <c r="AL987" s="10"/>
    </row>
    <row r="988" spans="1:38" ht="45" hidden="1">
      <c r="A988" s="1">
        <f t="shared" si="101"/>
        <v>0</v>
      </c>
      <c r="B988" s="2" t="s">
        <v>2981</v>
      </c>
      <c r="C988" s="3" t="s">
        <v>2982</v>
      </c>
      <c r="D988" s="15" t="s">
        <v>11636</v>
      </c>
      <c r="E988" s="4" t="s">
        <v>2981</v>
      </c>
      <c r="F988" s="37" t="s">
        <v>2982</v>
      </c>
      <c r="G988" s="38">
        <v>3496852.33</v>
      </c>
      <c r="H988" s="38">
        <v>3440809.05</v>
      </c>
      <c r="I988" s="15"/>
      <c r="J988" s="494">
        <v>20204019904</v>
      </c>
      <c r="K988" s="517"/>
      <c r="L988" s="517" t="s">
        <v>2271</v>
      </c>
      <c r="M988" s="517" t="s">
        <v>269</v>
      </c>
      <c r="N988" s="518" t="s">
        <v>2857</v>
      </c>
      <c r="O988" s="517">
        <v>2</v>
      </c>
      <c r="P988" s="517" t="s">
        <v>647</v>
      </c>
      <c r="Q988" s="517" t="s">
        <v>693</v>
      </c>
      <c r="R988" s="517" t="s">
        <v>632</v>
      </c>
      <c r="S988" s="517" t="s">
        <v>1124</v>
      </c>
      <c r="T988" s="518" t="s">
        <v>2975</v>
      </c>
      <c r="U988" s="38">
        <v>3440809.05</v>
      </c>
      <c r="V988" s="15" t="str">
        <f t="shared" si="99"/>
        <v/>
      </c>
      <c r="W988" s="1"/>
      <c r="X988" s="1"/>
      <c r="Y988" s="1"/>
      <c r="Z988" s="1"/>
      <c r="AA988" s="1"/>
      <c r="AB988" s="3"/>
      <c r="AC988" s="9"/>
      <c r="AD988" s="517" t="e">
        <v>#N/A</v>
      </c>
      <c r="AE988" s="517" t="e">
        <v>#N/A</v>
      </c>
      <c r="AF988" s="517" t="e">
        <v>#N/A</v>
      </c>
      <c r="AG988" s="520" t="e">
        <v>#N/A</v>
      </c>
      <c r="AH988" s="9"/>
      <c r="AI988" s="10"/>
      <c r="AJ988" s="9"/>
      <c r="AK988" s="10"/>
      <c r="AL988" s="10"/>
    </row>
    <row r="989" spans="1:38" ht="45" hidden="1">
      <c r="A989" s="1">
        <f t="shared" si="101"/>
        <v>0</v>
      </c>
      <c r="B989" s="2" t="s">
        <v>2983</v>
      </c>
      <c r="C989" s="3" t="s">
        <v>2984</v>
      </c>
      <c r="D989" s="15" t="s">
        <v>11636</v>
      </c>
      <c r="E989" s="4" t="s">
        <v>2983</v>
      </c>
      <c r="F989" s="37" t="s">
        <v>2984</v>
      </c>
      <c r="G989" s="38">
        <v>1496020.18</v>
      </c>
      <c r="H989" s="38">
        <v>1482992.1</v>
      </c>
      <c r="I989" s="15"/>
      <c r="J989" s="494">
        <v>20204019905</v>
      </c>
      <c r="K989" s="517"/>
      <c r="L989" s="517" t="s">
        <v>2271</v>
      </c>
      <c r="M989" s="517" t="s">
        <v>269</v>
      </c>
      <c r="N989" s="518" t="s">
        <v>2857</v>
      </c>
      <c r="O989" s="517">
        <v>2</v>
      </c>
      <c r="P989" s="517" t="s">
        <v>647</v>
      </c>
      <c r="Q989" s="517" t="s">
        <v>693</v>
      </c>
      <c r="R989" s="517" t="s">
        <v>632</v>
      </c>
      <c r="S989" s="517" t="s">
        <v>1124</v>
      </c>
      <c r="T989" s="518" t="s">
        <v>2975</v>
      </c>
      <c r="U989" s="38">
        <v>1482992.1</v>
      </c>
      <c r="V989" s="15" t="str">
        <f t="shared" si="99"/>
        <v/>
      </c>
      <c r="W989" s="1"/>
      <c r="X989" s="1"/>
      <c r="Y989" s="1"/>
      <c r="Z989" s="1"/>
      <c r="AA989" s="1"/>
      <c r="AB989" s="3"/>
      <c r="AC989" s="9"/>
      <c r="AD989" s="517" t="e">
        <v>#N/A</v>
      </c>
      <c r="AE989" s="517" t="e">
        <v>#N/A</v>
      </c>
      <c r="AF989" s="517" t="e">
        <v>#N/A</v>
      </c>
      <c r="AG989" s="520" t="e">
        <v>#N/A</v>
      </c>
      <c r="AH989" s="9"/>
      <c r="AI989" s="10"/>
      <c r="AJ989" s="9"/>
      <c r="AK989" s="10"/>
      <c r="AL989" s="10"/>
    </row>
    <row r="990" spans="1:38" ht="45" hidden="1">
      <c r="A990" s="1">
        <f t="shared" si="101"/>
        <v>0</v>
      </c>
      <c r="B990" s="2" t="s">
        <v>2985</v>
      </c>
      <c r="C990" s="3" t="s">
        <v>2986</v>
      </c>
      <c r="D990" s="15" t="s">
        <v>11636</v>
      </c>
      <c r="E990" s="4" t="s">
        <v>2985</v>
      </c>
      <c r="F990" s="37" t="s">
        <v>2986</v>
      </c>
      <c r="G990" s="38">
        <v>0</v>
      </c>
      <c r="H990" s="38">
        <v>658</v>
      </c>
      <c r="I990" s="15"/>
      <c r="J990" s="494">
        <v>20204019906</v>
      </c>
      <c r="K990" s="517"/>
      <c r="L990" s="517" t="s">
        <v>2271</v>
      </c>
      <c r="M990" s="517" t="s">
        <v>269</v>
      </c>
      <c r="N990" s="518" t="s">
        <v>2857</v>
      </c>
      <c r="O990" s="517">
        <v>2</v>
      </c>
      <c r="P990" s="517" t="s">
        <v>647</v>
      </c>
      <c r="Q990" s="517" t="s">
        <v>693</v>
      </c>
      <c r="R990" s="517" t="s">
        <v>632</v>
      </c>
      <c r="S990" s="517" t="s">
        <v>1124</v>
      </c>
      <c r="T990" s="518" t="s">
        <v>2975</v>
      </c>
      <c r="U990" s="38">
        <v>658</v>
      </c>
      <c r="V990" s="15" t="str">
        <f t="shared" si="99"/>
        <v/>
      </c>
      <c r="W990" s="1"/>
      <c r="X990" s="1"/>
      <c r="Y990" s="1"/>
      <c r="Z990" s="1"/>
      <c r="AA990" s="1"/>
      <c r="AB990" s="3"/>
      <c r="AC990" s="9"/>
      <c r="AD990" s="517" t="e">
        <v>#N/A</v>
      </c>
      <c r="AE990" s="517" t="e">
        <v>#N/A</v>
      </c>
      <c r="AF990" s="517" t="e">
        <v>#N/A</v>
      </c>
      <c r="AG990" s="520" t="e">
        <v>#N/A</v>
      </c>
      <c r="AH990" s="9"/>
      <c r="AI990" s="10"/>
      <c r="AJ990" s="9"/>
      <c r="AK990" s="10"/>
      <c r="AL990" s="10"/>
    </row>
    <row r="991" spans="1:38" ht="45" hidden="1">
      <c r="A991" s="1">
        <f t="shared" si="101"/>
        <v>0</v>
      </c>
      <c r="B991" s="2" t="s">
        <v>2987</v>
      </c>
      <c r="C991" s="3" t="s">
        <v>2988</v>
      </c>
      <c r="D991" s="15" t="s">
        <v>11636</v>
      </c>
      <c r="E991" s="4" t="s">
        <v>2987</v>
      </c>
      <c r="F991" s="37" t="s">
        <v>2988</v>
      </c>
      <c r="G991" s="38">
        <v>460000</v>
      </c>
      <c r="H991" s="38">
        <v>447666.69</v>
      </c>
      <c r="I991" s="15"/>
      <c r="J991" s="494">
        <v>20204019907</v>
      </c>
      <c r="K991" s="517"/>
      <c r="L991" s="517" t="s">
        <v>2271</v>
      </c>
      <c r="M991" s="517" t="s">
        <v>269</v>
      </c>
      <c r="N991" s="518" t="s">
        <v>2857</v>
      </c>
      <c r="O991" s="517">
        <v>2</v>
      </c>
      <c r="P991" s="517" t="s">
        <v>647</v>
      </c>
      <c r="Q991" s="517" t="s">
        <v>693</v>
      </c>
      <c r="R991" s="517" t="s">
        <v>632</v>
      </c>
      <c r="S991" s="517" t="s">
        <v>1124</v>
      </c>
      <c r="T991" s="518" t="s">
        <v>2975</v>
      </c>
      <c r="U991" s="38">
        <v>447666.69</v>
      </c>
      <c r="V991" s="15" t="str">
        <f t="shared" si="99"/>
        <v/>
      </c>
      <c r="W991" s="1"/>
      <c r="X991" s="1"/>
      <c r="Y991" s="1"/>
      <c r="Z991" s="1"/>
      <c r="AA991" s="1"/>
      <c r="AB991" s="3"/>
      <c r="AC991" s="9"/>
      <c r="AD991" s="517" t="e">
        <v>#N/A</v>
      </c>
      <c r="AE991" s="517" t="e">
        <v>#N/A</v>
      </c>
      <c r="AF991" s="517" t="e">
        <v>#N/A</v>
      </c>
      <c r="AG991" s="520" t="e">
        <v>#N/A</v>
      </c>
      <c r="AH991" s="9"/>
      <c r="AI991" s="10"/>
      <c r="AJ991" s="9"/>
      <c r="AK991" s="10"/>
      <c r="AL991" s="10"/>
    </row>
    <row r="992" spans="1:38" ht="67.5" hidden="1">
      <c r="A992" s="1">
        <f t="shared" si="101"/>
        <v>0</v>
      </c>
      <c r="B992" s="2" t="s">
        <v>2989</v>
      </c>
      <c r="C992" s="3" t="s">
        <v>2990</v>
      </c>
      <c r="D992" s="15" t="s">
        <v>11636</v>
      </c>
      <c r="E992" s="4" t="s">
        <v>2989</v>
      </c>
      <c r="F992" s="37" t="s">
        <v>2991</v>
      </c>
      <c r="G992" s="38">
        <v>222473.92</v>
      </c>
      <c r="H992" s="38">
        <v>222473.92</v>
      </c>
      <c r="I992" s="15"/>
      <c r="J992" s="494">
        <v>20204019908</v>
      </c>
      <c r="K992" s="517"/>
      <c r="L992" s="517" t="s">
        <v>2271</v>
      </c>
      <c r="M992" s="517" t="s">
        <v>269</v>
      </c>
      <c r="N992" s="518" t="s">
        <v>2857</v>
      </c>
      <c r="O992" s="517">
        <v>2</v>
      </c>
      <c r="P992" s="517" t="s">
        <v>647</v>
      </c>
      <c r="Q992" s="517" t="s">
        <v>693</v>
      </c>
      <c r="R992" s="517" t="s">
        <v>632</v>
      </c>
      <c r="S992" s="517" t="s">
        <v>1124</v>
      </c>
      <c r="T992" s="518" t="s">
        <v>2975</v>
      </c>
      <c r="U992" s="38">
        <v>222473.92</v>
      </c>
      <c r="V992" s="15" t="str">
        <f t="shared" si="99"/>
        <v/>
      </c>
      <c r="W992" s="1"/>
      <c r="X992" s="1"/>
      <c r="Y992" s="1"/>
      <c r="Z992" s="1"/>
      <c r="AA992" s="1"/>
      <c r="AB992" s="3"/>
      <c r="AC992" s="9"/>
      <c r="AD992" s="517" t="e">
        <v>#N/A</v>
      </c>
      <c r="AE992" s="517" t="e">
        <v>#N/A</v>
      </c>
      <c r="AF992" s="517" t="e">
        <v>#N/A</v>
      </c>
      <c r="AG992" s="520" t="e">
        <v>#N/A</v>
      </c>
      <c r="AH992" s="9"/>
      <c r="AI992" s="10"/>
      <c r="AJ992" s="9"/>
      <c r="AK992" s="10"/>
      <c r="AL992" s="10"/>
    </row>
    <row r="993" spans="1:38" ht="45" hidden="1">
      <c r="A993" s="1">
        <f t="shared" si="101"/>
        <v>0</v>
      </c>
      <c r="B993" s="2" t="s">
        <v>2992</v>
      </c>
      <c r="C993" s="3" t="s">
        <v>2993</v>
      </c>
      <c r="D993" s="15" t="s">
        <v>11636</v>
      </c>
      <c r="E993" s="4" t="s">
        <v>2992</v>
      </c>
      <c r="F993" s="37" t="s">
        <v>2993</v>
      </c>
      <c r="G993" s="47">
        <v>0</v>
      </c>
      <c r="H993" s="38">
        <v>0</v>
      </c>
      <c r="I993" s="15"/>
      <c r="J993" s="494">
        <v>20204019909</v>
      </c>
      <c r="K993" s="517"/>
      <c r="L993" s="517" t="s">
        <v>2271</v>
      </c>
      <c r="M993" s="517" t="s">
        <v>269</v>
      </c>
      <c r="N993" s="518" t="s">
        <v>2857</v>
      </c>
      <c r="O993" s="517">
        <v>2</v>
      </c>
      <c r="P993" s="517" t="s">
        <v>647</v>
      </c>
      <c r="Q993" s="517" t="s">
        <v>693</v>
      </c>
      <c r="R993" s="517" t="s">
        <v>632</v>
      </c>
      <c r="S993" s="517" t="s">
        <v>1124</v>
      </c>
      <c r="T993" s="518" t="s">
        <v>2975</v>
      </c>
      <c r="U993" s="38">
        <v>0</v>
      </c>
      <c r="V993" s="15" t="str">
        <f t="shared" si="99"/>
        <v/>
      </c>
      <c r="W993" s="1"/>
      <c r="X993" s="1"/>
      <c r="Y993" s="1"/>
      <c r="Z993" s="1"/>
      <c r="AA993" s="1"/>
      <c r="AB993" s="3"/>
      <c r="AC993" s="9"/>
      <c r="AD993" s="517" t="e">
        <v>#N/A</v>
      </c>
      <c r="AE993" s="517" t="e">
        <v>#N/A</v>
      </c>
      <c r="AF993" s="517" t="e">
        <v>#N/A</v>
      </c>
      <c r="AG993" s="520" t="e">
        <v>#N/A</v>
      </c>
      <c r="AH993" s="9"/>
      <c r="AI993" s="10"/>
      <c r="AJ993" s="9"/>
      <c r="AK993" s="10"/>
      <c r="AL993" s="10"/>
    </row>
    <row r="994" spans="1:38" ht="45" hidden="1">
      <c r="A994" s="1">
        <f t="shared" si="101"/>
        <v>0</v>
      </c>
      <c r="B994" s="2" t="s">
        <v>2994</v>
      </c>
      <c r="C994" s="3" t="s">
        <v>2995</v>
      </c>
      <c r="D994" s="15" t="s">
        <v>11636</v>
      </c>
      <c r="E994" s="4" t="s">
        <v>2994</v>
      </c>
      <c r="F994" s="37" t="s">
        <v>2995</v>
      </c>
      <c r="G994" s="47">
        <v>6172.84</v>
      </c>
      <c r="H994" s="38">
        <v>6172.84</v>
      </c>
      <c r="I994" s="15"/>
      <c r="J994" s="494">
        <v>20204019910</v>
      </c>
      <c r="K994" s="517"/>
      <c r="L994" s="517" t="s">
        <v>2271</v>
      </c>
      <c r="M994" s="517" t="s">
        <v>269</v>
      </c>
      <c r="N994" s="518" t="s">
        <v>2857</v>
      </c>
      <c r="O994" s="517">
        <v>2</v>
      </c>
      <c r="P994" s="517" t="s">
        <v>647</v>
      </c>
      <c r="Q994" s="517" t="s">
        <v>693</v>
      </c>
      <c r="R994" s="517" t="s">
        <v>632</v>
      </c>
      <c r="S994" s="517" t="s">
        <v>1124</v>
      </c>
      <c r="T994" s="518" t="s">
        <v>2975</v>
      </c>
      <c r="U994" s="38">
        <v>6172.84</v>
      </c>
      <c r="V994" s="15" t="str">
        <f t="shared" si="99"/>
        <v/>
      </c>
      <c r="W994" s="1"/>
      <c r="X994" s="1"/>
      <c r="Y994" s="1"/>
      <c r="Z994" s="1"/>
      <c r="AA994" s="1"/>
      <c r="AB994" s="3"/>
      <c r="AC994" s="9"/>
      <c r="AD994" s="517" t="e">
        <v>#N/A</v>
      </c>
      <c r="AE994" s="517" t="e">
        <v>#N/A</v>
      </c>
      <c r="AF994" s="517" t="e">
        <v>#N/A</v>
      </c>
      <c r="AG994" s="520" t="e">
        <v>#N/A</v>
      </c>
      <c r="AH994" s="9"/>
      <c r="AI994" s="10"/>
      <c r="AJ994" s="9"/>
      <c r="AK994" s="10"/>
      <c r="AL994" s="10"/>
    </row>
    <row r="995" spans="1:38" ht="45" hidden="1">
      <c r="A995" s="1">
        <f t="shared" si="101"/>
        <v>0</v>
      </c>
      <c r="B995" s="11"/>
      <c r="C995" s="11"/>
      <c r="D995" s="15" t="s">
        <v>16</v>
      </c>
      <c r="E995" s="30"/>
      <c r="F995" s="31" t="s">
        <v>2996</v>
      </c>
      <c r="G995" s="32">
        <f>G996+G997</f>
        <v>1500358.71</v>
      </c>
      <c r="H995" s="32">
        <f>H996+H997+H998</f>
        <v>4621414.8</v>
      </c>
      <c r="I995" s="15"/>
      <c r="J995" s="494"/>
      <c r="K995" s="513"/>
      <c r="L995" s="513"/>
      <c r="M995" s="513"/>
      <c r="N995" s="514"/>
      <c r="O995" s="513"/>
      <c r="P995" s="513"/>
      <c r="Q995" s="513"/>
      <c r="R995" s="513"/>
      <c r="S995" s="513"/>
      <c r="T995" s="514"/>
      <c r="U995" s="32">
        <f>U996+U997+U998</f>
        <v>4621414.8</v>
      </c>
      <c r="V995" s="15" t="str">
        <f t="shared" si="99"/>
        <v>202040200</v>
      </c>
      <c r="W995" s="33">
        <v>2</v>
      </c>
      <c r="X995" s="34" t="s">
        <v>647</v>
      </c>
      <c r="Y995" s="34" t="s">
        <v>693</v>
      </c>
      <c r="Z995" s="34" t="s">
        <v>647</v>
      </c>
      <c r="AA995" s="35" t="s">
        <v>630</v>
      </c>
      <c r="AB995" s="31" t="s">
        <v>2996</v>
      </c>
      <c r="AC995" s="529">
        <f>AC996</f>
        <v>4621414.8</v>
      </c>
      <c r="AD995" s="513">
        <v>0</v>
      </c>
      <c r="AE995" s="513" t="s">
        <v>13462</v>
      </c>
      <c r="AF995" s="513" t="s">
        <v>270</v>
      </c>
      <c r="AG995" s="514" t="s">
        <v>2997</v>
      </c>
      <c r="AH995" s="44">
        <f>AH996</f>
        <v>4621414.8</v>
      </c>
      <c r="AI995" s="10"/>
      <c r="AJ995" s="9">
        <f>AH995-H995</f>
        <v>0</v>
      </c>
      <c r="AK995" s="10"/>
      <c r="AL995" s="10"/>
    </row>
    <row r="996" spans="1:38" ht="45" hidden="1">
      <c r="A996" s="1">
        <f t="shared" si="101"/>
        <v>0</v>
      </c>
      <c r="B996" s="2" t="s">
        <v>2998</v>
      </c>
      <c r="C996" s="3" t="s">
        <v>2999</v>
      </c>
      <c r="D996" s="15" t="s">
        <v>11637</v>
      </c>
      <c r="E996" s="4" t="s">
        <v>2998</v>
      </c>
      <c r="F996" s="37" t="s">
        <v>2999</v>
      </c>
      <c r="G996" s="38">
        <v>1500358.71</v>
      </c>
      <c r="H996" s="38">
        <v>1520185.71</v>
      </c>
      <c r="I996" s="15"/>
      <c r="J996" s="494">
        <v>20204020101</v>
      </c>
      <c r="K996" s="517"/>
      <c r="L996" s="517" t="s">
        <v>13462</v>
      </c>
      <c r="M996" s="517" t="s">
        <v>270</v>
      </c>
      <c r="N996" s="518" t="s">
        <v>2997</v>
      </c>
      <c r="O996" s="517">
        <v>2</v>
      </c>
      <c r="P996" s="517" t="s">
        <v>647</v>
      </c>
      <c r="Q996" s="517" t="s">
        <v>693</v>
      </c>
      <c r="R996" s="517" t="s">
        <v>647</v>
      </c>
      <c r="S996" s="517" t="s">
        <v>632</v>
      </c>
      <c r="T996" s="518" t="s">
        <v>2996</v>
      </c>
      <c r="U996" s="38">
        <v>1520185.71</v>
      </c>
      <c r="V996" s="15" t="str">
        <f t="shared" si="99"/>
        <v>202040201</v>
      </c>
      <c r="W996" s="39">
        <v>2</v>
      </c>
      <c r="X996" s="40" t="s">
        <v>647</v>
      </c>
      <c r="Y996" s="40" t="s">
        <v>693</v>
      </c>
      <c r="Z996" s="40" t="s">
        <v>647</v>
      </c>
      <c r="AA996" s="40" t="s">
        <v>632</v>
      </c>
      <c r="AB996" s="41" t="s">
        <v>2996</v>
      </c>
      <c r="AC996" s="9">
        <f>H996+H997+H998</f>
        <v>4621414.8</v>
      </c>
      <c r="AD996" s="517">
        <v>0</v>
      </c>
      <c r="AE996" s="517" t="s">
        <v>13462</v>
      </c>
      <c r="AF996" s="517" t="s">
        <v>270</v>
      </c>
      <c r="AG996" s="520" t="s">
        <v>2997</v>
      </c>
      <c r="AH996" s="67">
        <f>AC996</f>
        <v>4621414.8</v>
      </c>
      <c r="AI996" s="10"/>
      <c r="AJ996" s="9"/>
      <c r="AK996" s="10"/>
      <c r="AL996" s="10"/>
    </row>
    <row r="997" spans="1:38" ht="45" hidden="1">
      <c r="A997" s="1">
        <f t="shared" si="101"/>
        <v>0</v>
      </c>
      <c r="B997" s="2" t="s">
        <v>3000</v>
      </c>
      <c r="C997" s="3" t="s">
        <v>3001</v>
      </c>
      <c r="D997" s="15" t="s">
        <v>11637</v>
      </c>
      <c r="E997" s="4" t="s">
        <v>3000</v>
      </c>
      <c r="F997" s="37" t="s">
        <v>3002</v>
      </c>
      <c r="G997" s="38">
        <v>0</v>
      </c>
      <c r="H997" s="38">
        <v>0</v>
      </c>
      <c r="I997" s="15"/>
      <c r="J997" s="494">
        <v>20204020102</v>
      </c>
      <c r="K997" s="517"/>
      <c r="L997" s="517" t="s">
        <v>13462</v>
      </c>
      <c r="M997" s="517" t="s">
        <v>270</v>
      </c>
      <c r="N997" s="518" t="s">
        <v>2997</v>
      </c>
      <c r="O997" s="517">
        <v>2</v>
      </c>
      <c r="P997" s="517" t="s">
        <v>647</v>
      </c>
      <c r="Q997" s="517" t="s">
        <v>693</v>
      </c>
      <c r="R997" s="517" t="s">
        <v>647</v>
      </c>
      <c r="S997" s="517" t="s">
        <v>632</v>
      </c>
      <c r="T997" s="518" t="s">
        <v>2996</v>
      </c>
      <c r="U997" s="38">
        <v>0</v>
      </c>
      <c r="V997" s="15" t="str">
        <f t="shared" si="99"/>
        <v/>
      </c>
      <c r="W997" s="39"/>
      <c r="X997" s="40"/>
      <c r="Y997" s="40"/>
      <c r="Z997" s="40"/>
      <c r="AA997" s="40"/>
      <c r="AB997" s="41"/>
      <c r="AC997" s="9"/>
      <c r="AD997" s="517" t="e">
        <v>#N/A</v>
      </c>
      <c r="AE997" s="517" t="e">
        <v>#N/A</v>
      </c>
      <c r="AF997" s="517" t="e">
        <v>#N/A</v>
      </c>
      <c r="AG997" s="520" t="e">
        <v>#N/A</v>
      </c>
      <c r="AH997" s="67"/>
      <c r="AI997" s="10"/>
      <c r="AJ997" s="9"/>
      <c r="AK997" s="10"/>
      <c r="AL997" s="10"/>
    </row>
    <row r="998" spans="1:38" ht="45" hidden="1">
      <c r="A998" s="1">
        <f t="shared" si="101"/>
        <v>0</v>
      </c>
      <c r="B998" s="2" t="s">
        <v>3003</v>
      </c>
      <c r="C998" s="3" t="s">
        <v>3004</v>
      </c>
      <c r="D998" s="15" t="s">
        <v>11637</v>
      </c>
      <c r="E998" s="4" t="s">
        <v>3003</v>
      </c>
      <c r="F998" s="37" t="s">
        <v>3004</v>
      </c>
      <c r="G998" s="38">
        <v>0</v>
      </c>
      <c r="H998" s="38">
        <v>3101229.09</v>
      </c>
      <c r="I998" s="15"/>
      <c r="J998" s="494">
        <v>20204020103</v>
      </c>
      <c r="K998" s="517"/>
      <c r="L998" s="517" t="s">
        <v>13462</v>
      </c>
      <c r="M998" s="517" t="s">
        <v>270</v>
      </c>
      <c r="N998" s="518" t="s">
        <v>2997</v>
      </c>
      <c r="O998" s="517">
        <v>2</v>
      </c>
      <c r="P998" s="517" t="s">
        <v>647</v>
      </c>
      <c r="Q998" s="517" t="s">
        <v>693</v>
      </c>
      <c r="R998" s="517" t="s">
        <v>647</v>
      </c>
      <c r="S998" s="517" t="s">
        <v>632</v>
      </c>
      <c r="T998" s="518" t="s">
        <v>2996</v>
      </c>
      <c r="U998" s="38">
        <v>3101229.09</v>
      </c>
      <c r="V998" s="15" t="str">
        <f t="shared" si="99"/>
        <v/>
      </c>
      <c r="W998" s="39"/>
      <c r="X998" s="40"/>
      <c r="Y998" s="40"/>
      <c r="Z998" s="40"/>
      <c r="AA998" s="40"/>
      <c r="AB998" s="41"/>
      <c r="AC998" s="9"/>
      <c r="AD998" s="517" t="e">
        <v>#N/A</v>
      </c>
      <c r="AE998" s="517" t="e">
        <v>#N/A</v>
      </c>
      <c r="AF998" s="517" t="e">
        <v>#N/A</v>
      </c>
      <c r="AG998" s="520" t="e">
        <v>#N/A</v>
      </c>
      <c r="AH998" s="67"/>
      <c r="AI998" s="10"/>
      <c r="AJ998" s="9"/>
      <c r="AK998" s="10"/>
      <c r="AL998" s="10"/>
    </row>
    <row r="999" spans="1:38" ht="22.5" hidden="1">
      <c r="A999" s="1">
        <f t="shared" si="101"/>
        <v>0</v>
      </c>
      <c r="B999" s="11"/>
      <c r="C999" s="11"/>
      <c r="D999" s="15" t="s">
        <v>16</v>
      </c>
      <c r="E999" s="30"/>
      <c r="F999" s="31" t="s">
        <v>3005</v>
      </c>
      <c r="G999" s="32">
        <f>SUM(G1000:G1017)</f>
        <v>2146834.2199999997</v>
      </c>
      <c r="H999" s="32">
        <f>SUM(H1000:H1019)</f>
        <v>7698597.1200000001</v>
      </c>
      <c r="I999" s="15"/>
      <c r="J999" s="494"/>
      <c r="K999" s="513"/>
      <c r="L999" s="513"/>
      <c r="M999" s="513"/>
      <c r="N999" s="514"/>
      <c r="O999" s="513"/>
      <c r="P999" s="513"/>
      <c r="Q999" s="513"/>
      <c r="R999" s="513"/>
      <c r="S999" s="513"/>
      <c r="T999" s="514"/>
      <c r="U999" s="32">
        <f>SUM(U1000:U1019)</f>
        <v>7698597.1200000001</v>
      </c>
      <c r="V999" s="15" t="str">
        <f t="shared" si="99"/>
        <v>202040300</v>
      </c>
      <c r="W999" s="33">
        <v>2</v>
      </c>
      <c r="X999" s="34" t="s">
        <v>647</v>
      </c>
      <c r="Y999" s="34" t="s">
        <v>693</v>
      </c>
      <c r="Z999" s="34" t="s">
        <v>671</v>
      </c>
      <c r="AA999" s="35" t="s">
        <v>630</v>
      </c>
      <c r="AB999" s="31" t="s">
        <v>3005</v>
      </c>
      <c r="AC999" s="594">
        <f>SUM(AC1000:AC1019)</f>
        <v>7698597.1200000001</v>
      </c>
      <c r="AD999" s="513">
        <v>0</v>
      </c>
      <c r="AE999" s="513" t="s">
        <v>13463</v>
      </c>
      <c r="AF999" s="513" t="s">
        <v>271</v>
      </c>
      <c r="AG999" s="514" t="s">
        <v>3006</v>
      </c>
      <c r="AH999" s="32">
        <f>SUM(AH1000:AH1019)</f>
        <v>7698597.1200000001</v>
      </c>
      <c r="AI999" s="10"/>
      <c r="AJ999" s="9">
        <f>AH999-H999</f>
        <v>0</v>
      </c>
      <c r="AK999" s="10"/>
      <c r="AL999" s="10"/>
    </row>
    <row r="1000" spans="1:38" ht="22.5" hidden="1">
      <c r="A1000" s="1">
        <f t="shared" si="101"/>
        <v>0</v>
      </c>
      <c r="B1000" s="2" t="s">
        <v>3007</v>
      </c>
      <c r="C1000" s="3" t="s">
        <v>3008</v>
      </c>
      <c r="D1000" s="15" t="s">
        <v>11638</v>
      </c>
      <c r="E1000" s="4" t="s">
        <v>3007</v>
      </c>
      <c r="F1000" s="37" t="s">
        <v>3008</v>
      </c>
      <c r="G1000" s="38">
        <v>190959.71</v>
      </c>
      <c r="H1000" s="38">
        <v>380959.71</v>
      </c>
      <c r="I1000" s="15"/>
      <c r="J1000" s="494">
        <v>20204030101</v>
      </c>
      <c r="K1000" s="517"/>
      <c r="L1000" s="517" t="s">
        <v>13463</v>
      </c>
      <c r="M1000" s="517" t="s">
        <v>271</v>
      </c>
      <c r="N1000" s="518" t="s">
        <v>3006</v>
      </c>
      <c r="O1000" s="517">
        <v>2</v>
      </c>
      <c r="P1000" s="517" t="s">
        <v>647</v>
      </c>
      <c r="Q1000" s="517" t="s">
        <v>693</v>
      </c>
      <c r="R1000" s="517" t="s">
        <v>671</v>
      </c>
      <c r="S1000" s="517" t="s">
        <v>632</v>
      </c>
      <c r="T1000" s="518" t="s">
        <v>3005</v>
      </c>
      <c r="U1000" s="38">
        <v>380959.71</v>
      </c>
      <c r="V1000" s="15" t="str">
        <f t="shared" si="99"/>
        <v>202040301</v>
      </c>
      <c r="W1000" s="39">
        <v>2</v>
      </c>
      <c r="X1000" s="40" t="s">
        <v>647</v>
      </c>
      <c r="Y1000" s="40" t="s">
        <v>693</v>
      </c>
      <c r="Z1000" s="40" t="s">
        <v>671</v>
      </c>
      <c r="AA1000" s="40" t="s">
        <v>632</v>
      </c>
      <c r="AB1000" s="41" t="s">
        <v>3005</v>
      </c>
      <c r="AC1000" s="519">
        <f>SUM(H1000:H1019)</f>
        <v>7698597.1200000001</v>
      </c>
      <c r="AD1000" s="517">
        <v>0</v>
      </c>
      <c r="AE1000" s="517" t="s">
        <v>13463</v>
      </c>
      <c r="AF1000" s="517" t="s">
        <v>271</v>
      </c>
      <c r="AG1000" s="520" t="s">
        <v>3006</v>
      </c>
      <c r="AH1000" s="67">
        <f>AC1000</f>
        <v>7698597.1200000001</v>
      </c>
      <c r="AI1000" s="10"/>
      <c r="AJ1000" s="9"/>
      <c r="AK1000" s="10"/>
      <c r="AL1000" s="10"/>
    </row>
    <row r="1001" spans="1:38" ht="45" hidden="1">
      <c r="A1001" s="1">
        <f t="shared" si="101"/>
        <v>0</v>
      </c>
      <c r="B1001" s="2" t="s">
        <v>3009</v>
      </c>
      <c r="C1001" s="3" t="s">
        <v>3010</v>
      </c>
      <c r="D1001" s="15" t="s">
        <v>11638</v>
      </c>
      <c r="E1001" s="4" t="s">
        <v>3009</v>
      </c>
      <c r="F1001" s="37" t="s">
        <v>3011</v>
      </c>
      <c r="G1001" s="38">
        <v>0.09</v>
      </c>
      <c r="H1001" s="38">
        <v>-0.09</v>
      </c>
      <c r="I1001" s="15"/>
      <c r="J1001" s="494">
        <v>20204030102</v>
      </c>
      <c r="K1001" s="517"/>
      <c r="L1001" s="517" t="s">
        <v>13463</v>
      </c>
      <c r="M1001" s="517" t="s">
        <v>271</v>
      </c>
      <c r="N1001" s="518" t="s">
        <v>3006</v>
      </c>
      <c r="O1001" s="517">
        <v>2</v>
      </c>
      <c r="P1001" s="517" t="s">
        <v>647</v>
      </c>
      <c r="Q1001" s="517" t="s">
        <v>693</v>
      </c>
      <c r="R1001" s="517" t="s">
        <v>671</v>
      </c>
      <c r="S1001" s="517" t="s">
        <v>632</v>
      </c>
      <c r="T1001" s="518" t="s">
        <v>3005</v>
      </c>
      <c r="U1001" s="38">
        <v>-0.09</v>
      </c>
      <c r="V1001" s="15" t="str">
        <f t="shared" si="99"/>
        <v/>
      </c>
      <c r="W1001" s="1"/>
      <c r="X1001" s="1"/>
      <c r="Y1001" s="1"/>
      <c r="Z1001" s="1"/>
      <c r="AA1001" s="1"/>
      <c r="AB1001" s="3"/>
      <c r="AC1001" s="9"/>
      <c r="AD1001" s="517" t="e">
        <v>#N/A</v>
      </c>
      <c r="AE1001" s="517" t="e">
        <v>#N/A</v>
      </c>
      <c r="AF1001" s="517" t="e">
        <v>#N/A</v>
      </c>
      <c r="AG1001" s="520" t="e">
        <v>#N/A</v>
      </c>
      <c r="AH1001" s="9"/>
      <c r="AI1001" s="10"/>
      <c r="AJ1001" s="9"/>
      <c r="AK1001" s="10"/>
      <c r="AL1001" s="10"/>
    </row>
    <row r="1002" spans="1:38" ht="45" hidden="1">
      <c r="A1002" s="1">
        <f t="shared" si="101"/>
        <v>0</v>
      </c>
      <c r="B1002" s="2" t="s">
        <v>3012</v>
      </c>
      <c r="C1002" s="3" t="s">
        <v>3013</v>
      </c>
      <c r="D1002" s="15" t="s">
        <v>11638</v>
      </c>
      <c r="E1002" s="4" t="s">
        <v>3012</v>
      </c>
      <c r="F1002" s="37" t="s">
        <v>3014</v>
      </c>
      <c r="G1002" s="38">
        <v>288000</v>
      </c>
      <c r="H1002" s="38">
        <v>148135.01999999999</v>
      </c>
      <c r="I1002" s="15"/>
      <c r="J1002" s="494">
        <v>20204030103</v>
      </c>
      <c r="K1002" s="517"/>
      <c r="L1002" s="517" t="s">
        <v>13463</v>
      </c>
      <c r="M1002" s="517" t="s">
        <v>271</v>
      </c>
      <c r="N1002" s="518" t="s">
        <v>3006</v>
      </c>
      <c r="O1002" s="517">
        <v>2</v>
      </c>
      <c r="P1002" s="517" t="s">
        <v>647</v>
      </c>
      <c r="Q1002" s="517" t="s">
        <v>693</v>
      </c>
      <c r="R1002" s="517" t="s">
        <v>671</v>
      </c>
      <c r="S1002" s="517" t="s">
        <v>632</v>
      </c>
      <c r="T1002" s="518" t="s">
        <v>3005</v>
      </c>
      <c r="U1002" s="38">
        <v>148135.01999999999</v>
      </c>
      <c r="V1002" s="15" t="str">
        <f t="shared" si="99"/>
        <v/>
      </c>
      <c r="W1002" s="1"/>
      <c r="X1002" s="1"/>
      <c r="Y1002" s="1"/>
      <c r="Z1002" s="1"/>
      <c r="AA1002" s="1"/>
      <c r="AB1002" s="3"/>
      <c r="AC1002" s="9"/>
      <c r="AD1002" s="517" t="e">
        <v>#N/A</v>
      </c>
      <c r="AE1002" s="517" t="e">
        <v>#N/A</v>
      </c>
      <c r="AF1002" s="517" t="e">
        <v>#N/A</v>
      </c>
      <c r="AG1002" s="520" t="e">
        <v>#N/A</v>
      </c>
      <c r="AH1002" s="9"/>
      <c r="AI1002" s="10"/>
      <c r="AJ1002" s="9"/>
      <c r="AK1002" s="10"/>
      <c r="AL1002" s="10"/>
    </row>
    <row r="1003" spans="1:38" ht="56.25" hidden="1">
      <c r="A1003" s="1">
        <f t="shared" si="101"/>
        <v>0</v>
      </c>
      <c r="B1003" s="2" t="s">
        <v>3015</v>
      </c>
      <c r="C1003" s="3" t="s">
        <v>3016</v>
      </c>
      <c r="D1003" s="15" t="s">
        <v>11638</v>
      </c>
      <c r="E1003" s="4" t="s">
        <v>3015</v>
      </c>
      <c r="F1003" s="37" t="s">
        <v>3017</v>
      </c>
      <c r="G1003" s="38">
        <v>199275.67</v>
      </c>
      <c r="H1003" s="38">
        <v>199275.67</v>
      </c>
      <c r="I1003" s="15"/>
      <c r="J1003" s="494">
        <v>20204030104</v>
      </c>
      <c r="K1003" s="517"/>
      <c r="L1003" s="517" t="s">
        <v>13463</v>
      </c>
      <c r="M1003" s="517" t="s">
        <v>271</v>
      </c>
      <c r="N1003" s="518" t="s">
        <v>3006</v>
      </c>
      <c r="O1003" s="517">
        <v>2</v>
      </c>
      <c r="P1003" s="517" t="s">
        <v>647</v>
      </c>
      <c r="Q1003" s="517" t="s">
        <v>693</v>
      </c>
      <c r="R1003" s="517" t="s">
        <v>671</v>
      </c>
      <c r="S1003" s="517" t="s">
        <v>632</v>
      </c>
      <c r="T1003" s="518" t="s">
        <v>3005</v>
      </c>
      <c r="U1003" s="38">
        <v>199275.67</v>
      </c>
      <c r="V1003" s="15" t="str">
        <f t="shared" si="99"/>
        <v/>
      </c>
      <c r="W1003" s="1"/>
      <c r="X1003" s="1"/>
      <c r="Y1003" s="1"/>
      <c r="Z1003" s="1"/>
      <c r="AA1003" s="1"/>
      <c r="AB1003" s="3"/>
      <c r="AC1003" s="9"/>
      <c r="AD1003" s="517" t="e">
        <v>#N/A</v>
      </c>
      <c r="AE1003" s="517" t="e">
        <v>#N/A</v>
      </c>
      <c r="AF1003" s="517" t="e">
        <v>#N/A</v>
      </c>
      <c r="AG1003" s="520" t="e">
        <v>#N/A</v>
      </c>
      <c r="AH1003" s="9"/>
      <c r="AI1003" s="10"/>
      <c r="AJ1003" s="9"/>
      <c r="AK1003" s="10"/>
      <c r="AL1003" s="10"/>
    </row>
    <row r="1004" spans="1:38" ht="56.25" hidden="1">
      <c r="A1004" s="1">
        <f t="shared" si="101"/>
        <v>0</v>
      </c>
      <c r="B1004" s="2" t="s">
        <v>3018</v>
      </c>
      <c r="C1004" s="3" t="s">
        <v>3019</v>
      </c>
      <c r="D1004" s="15" t="s">
        <v>11638</v>
      </c>
      <c r="E1004" s="4" t="s">
        <v>3018</v>
      </c>
      <c r="F1004" s="37" t="s">
        <v>3020</v>
      </c>
      <c r="G1004" s="38">
        <v>75666.67</v>
      </c>
      <c r="H1004" s="38">
        <v>75666.67</v>
      </c>
      <c r="I1004" s="15"/>
      <c r="J1004" s="494">
        <v>20204030105</v>
      </c>
      <c r="K1004" s="517"/>
      <c r="L1004" s="517" t="s">
        <v>13463</v>
      </c>
      <c r="M1004" s="517" t="s">
        <v>271</v>
      </c>
      <c r="N1004" s="518" t="s">
        <v>3006</v>
      </c>
      <c r="O1004" s="517">
        <v>2</v>
      </c>
      <c r="P1004" s="517" t="s">
        <v>647</v>
      </c>
      <c r="Q1004" s="517" t="s">
        <v>693</v>
      </c>
      <c r="R1004" s="517" t="s">
        <v>671</v>
      </c>
      <c r="S1004" s="517" t="s">
        <v>632</v>
      </c>
      <c r="T1004" s="518" t="s">
        <v>3005</v>
      </c>
      <c r="U1004" s="38">
        <v>75666.67</v>
      </c>
      <c r="V1004" s="15" t="str">
        <f t="shared" si="99"/>
        <v/>
      </c>
      <c r="W1004" s="1"/>
      <c r="X1004" s="1"/>
      <c r="Y1004" s="1"/>
      <c r="Z1004" s="1"/>
      <c r="AA1004" s="1"/>
      <c r="AB1004" s="3"/>
      <c r="AC1004" s="9"/>
      <c r="AD1004" s="517" t="e">
        <v>#N/A</v>
      </c>
      <c r="AE1004" s="517" t="e">
        <v>#N/A</v>
      </c>
      <c r="AF1004" s="517" t="e">
        <v>#N/A</v>
      </c>
      <c r="AG1004" s="520" t="e">
        <v>#N/A</v>
      </c>
      <c r="AH1004" s="9"/>
      <c r="AI1004" s="10"/>
      <c r="AJ1004" s="9"/>
      <c r="AK1004" s="10"/>
      <c r="AL1004" s="10"/>
    </row>
    <row r="1005" spans="1:38" ht="45" hidden="1">
      <c r="A1005" s="1">
        <f t="shared" si="101"/>
        <v>0</v>
      </c>
      <c r="B1005" s="2" t="s">
        <v>3021</v>
      </c>
      <c r="C1005" s="3" t="s">
        <v>3022</v>
      </c>
      <c r="D1005" s="15" t="s">
        <v>11638</v>
      </c>
      <c r="E1005" s="4" t="s">
        <v>3021</v>
      </c>
      <c r="F1005" s="37" t="s">
        <v>3023</v>
      </c>
      <c r="G1005" s="38">
        <v>86103.360000000001</v>
      </c>
      <c r="H1005" s="38">
        <v>7997.86</v>
      </c>
      <c r="I1005" s="15"/>
      <c r="J1005" s="494">
        <v>20204030106</v>
      </c>
      <c r="K1005" s="517"/>
      <c r="L1005" s="517" t="s">
        <v>13463</v>
      </c>
      <c r="M1005" s="517" t="s">
        <v>271</v>
      </c>
      <c r="N1005" s="518" t="s">
        <v>3006</v>
      </c>
      <c r="O1005" s="517">
        <v>2</v>
      </c>
      <c r="P1005" s="517" t="s">
        <v>647</v>
      </c>
      <c r="Q1005" s="517" t="s">
        <v>693</v>
      </c>
      <c r="R1005" s="517" t="s">
        <v>671</v>
      </c>
      <c r="S1005" s="517" t="s">
        <v>632</v>
      </c>
      <c r="T1005" s="518" t="s">
        <v>3005</v>
      </c>
      <c r="U1005" s="38">
        <v>7997.86</v>
      </c>
      <c r="V1005" s="15" t="str">
        <f t="shared" si="99"/>
        <v/>
      </c>
      <c r="W1005" s="1"/>
      <c r="X1005" s="1"/>
      <c r="Y1005" s="1"/>
      <c r="Z1005" s="1"/>
      <c r="AA1005" s="1"/>
      <c r="AB1005" s="3"/>
      <c r="AC1005" s="9"/>
      <c r="AD1005" s="517" t="e">
        <v>#N/A</v>
      </c>
      <c r="AE1005" s="517" t="e">
        <v>#N/A</v>
      </c>
      <c r="AF1005" s="517" t="e">
        <v>#N/A</v>
      </c>
      <c r="AG1005" s="520" t="e">
        <v>#N/A</v>
      </c>
      <c r="AH1005" s="9"/>
      <c r="AI1005" s="10"/>
      <c r="AJ1005" s="9"/>
      <c r="AK1005" s="10"/>
      <c r="AL1005" s="10"/>
    </row>
    <row r="1006" spans="1:38" ht="45" hidden="1">
      <c r="A1006" s="1">
        <f t="shared" si="101"/>
        <v>0</v>
      </c>
      <c r="B1006" s="2" t="s">
        <v>3024</v>
      </c>
      <c r="C1006" s="3" t="s">
        <v>3025</v>
      </c>
      <c r="D1006" s="15" t="s">
        <v>11638</v>
      </c>
      <c r="E1006" s="4" t="s">
        <v>3024</v>
      </c>
      <c r="F1006" s="37" t="s">
        <v>3025</v>
      </c>
      <c r="G1006" s="38">
        <v>15000</v>
      </c>
      <c r="H1006" s="38">
        <v>15000</v>
      </c>
      <c r="I1006" s="15"/>
      <c r="J1006" s="494">
        <v>20204030107</v>
      </c>
      <c r="K1006" s="517"/>
      <c r="L1006" s="517" t="s">
        <v>13463</v>
      </c>
      <c r="M1006" s="517" t="s">
        <v>271</v>
      </c>
      <c r="N1006" s="518" t="s">
        <v>3006</v>
      </c>
      <c r="O1006" s="517">
        <v>2</v>
      </c>
      <c r="P1006" s="517" t="s">
        <v>647</v>
      </c>
      <c r="Q1006" s="517" t="s">
        <v>693</v>
      </c>
      <c r="R1006" s="517" t="s">
        <v>671</v>
      </c>
      <c r="S1006" s="517" t="s">
        <v>632</v>
      </c>
      <c r="T1006" s="518" t="s">
        <v>3005</v>
      </c>
      <c r="U1006" s="38">
        <v>15000</v>
      </c>
      <c r="V1006" s="15" t="str">
        <f t="shared" si="99"/>
        <v/>
      </c>
      <c r="W1006" s="1"/>
      <c r="X1006" s="1"/>
      <c r="Y1006" s="1"/>
      <c r="Z1006" s="1"/>
      <c r="AA1006" s="1"/>
      <c r="AB1006" s="3"/>
      <c r="AC1006" s="9"/>
      <c r="AD1006" s="517" t="e">
        <v>#N/A</v>
      </c>
      <c r="AE1006" s="517" t="e">
        <v>#N/A</v>
      </c>
      <c r="AF1006" s="517" t="e">
        <v>#N/A</v>
      </c>
      <c r="AG1006" s="520" t="e">
        <v>#N/A</v>
      </c>
      <c r="AH1006" s="9"/>
      <c r="AI1006" s="10"/>
      <c r="AJ1006" s="9"/>
      <c r="AK1006" s="10"/>
      <c r="AL1006" s="10"/>
    </row>
    <row r="1007" spans="1:38" ht="67.5" hidden="1">
      <c r="A1007" s="1">
        <f t="shared" si="101"/>
        <v>0</v>
      </c>
      <c r="B1007" s="2" t="s">
        <v>3026</v>
      </c>
      <c r="C1007" s="3" t="s">
        <v>3027</v>
      </c>
      <c r="D1007" s="15" t="s">
        <v>11638</v>
      </c>
      <c r="E1007" s="4" t="s">
        <v>3026</v>
      </c>
      <c r="F1007" s="37" t="s">
        <v>3027</v>
      </c>
      <c r="G1007" s="38">
        <v>85647.46</v>
      </c>
      <c r="H1007" s="38">
        <v>116509.21</v>
      </c>
      <c r="I1007" s="15"/>
      <c r="J1007" s="494">
        <v>20204030108</v>
      </c>
      <c r="K1007" s="517"/>
      <c r="L1007" s="517" t="s">
        <v>13463</v>
      </c>
      <c r="M1007" s="517" t="s">
        <v>271</v>
      </c>
      <c r="N1007" s="518" t="s">
        <v>3006</v>
      </c>
      <c r="O1007" s="517">
        <v>2</v>
      </c>
      <c r="P1007" s="517" t="s">
        <v>647</v>
      </c>
      <c r="Q1007" s="517" t="s">
        <v>693</v>
      </c>
      <c r="R1007" s="517" t="s">
        <v>671</v>
      </c>
      <c r="S1007" s="517" t="s">
        <v>632</v>
      </c>
      <c r="T1007" s="518" t="s">
        <v>3005</v>
      </c>
      <c r="U1007" s="38">
        <v>116509.21</v>
      </c>
      <c r="V1007" s="15" t="str">
        <f t="shared" si="99"/>
        <v/>
      </c>
      <c r="W1007" s="1"/>
      <c r="X1007" s="1"/>
      <c r="Y1007" s="1"/>
      <c r="Z1007" s="1"/>
      <c r="AA1007" s="1"/>
      <c r="AB1007" s="3"/>
      <c r="AC1007" s="9"/>
      <c r="AD1007" s="517" t="e">
        <v>#N/A</v>
      </c>
      <c r="AE1007" s="517" t="e">
        <v>#N/A</v>
      </c>
      <c r="AF1007" s="517" t="e">
        <v>#N/A</v>
      </c>
      <c r="AG1007" s="520" t="e">
        <v>#N/A</v>
      </c>
      <c r="AH1007" s="9"/>
      <c r="AI1007" s="10"/>
      <c r="AJ1007" s="9"/>
      <c r="AK1007" s="10"/>
      <c r="AL1007" s="10"/>
    </row>
    <row r="1008" spans="1:38" ht="33.75" hidden="1">
      <c r="A1008" s="1">
        <f t="shared" si="101"/>
        <v>0</v>
      </c>
      <c r="B1008" s="2" t="s">
        <v>3028</v>
      </c>
      <c r="C1008" s="3" t="s">
        <v>3029</v>
      </c>
      <c r="D1008" s="15" t="s">
        <v>11638</v>
      </c>
      <c r="E1008" s="4" t="s">
        <v>3028</v>
      </c>
      <c r="F1008" s="37" t="s">
        <v>3029</v>
      </c>
      <c r="G1008" s="38">
        <v>381250</v>
      </c>
      <c r="H1008" s="38">
        <v>381250</v>
      </c>
      <c r="I1008" s="15"/>
      <c r="J1008" s="494">
        <v>20204030109</v>
      </c>
      <c r="K1008" s="517"/>
      <c r="L1008" s="517" t="s">
        <v>13463</v>
      </c>
      <c r="M1008" s="517" t="s">
        <v>271</v>
      </c>
      <c r="N1008" s="518" t="s">
        <v>3006</v>
      </c>
      <c r="O1008" s="517">
        <v>2</v>
      </c>
      <c r="P1008" s="517" t="s">
        <v>647</v>
      </c>
      <c r="Q1008" s="517" t="s">
        <v>693</v>
      </c>
      <c r="R1008" s="517" t="s">
        <v>671</v>
      </c>
      <c r="S1008" s="517" t="s">
        <v>632</v>
      </c>
      <c r="T1008" s="518" t="s">
        <v>3005</v>
      </c>
      <c r="U1008" s="38">
        <v>381250</v>
      </c>
      <c r="V1008" s="15" t="str">
        <f t="shared" si="99"/>
        <v/>
      </c>
      <c r="W1008" s="1"/>
      <c r="X1008" s="1"/>
      <c r="Y1008" s="1"/>
      <c r="Z1008" s="1"/>
      <c r="AA1008" s="1"/>
      <c r="AB1008" s="3"/>
      <c r="AC1008" s="9"/>
      <c r="AD1008" s="517" t="e">
        <v>#N/A</v>
      </c>
      <c r="AE1008" s="517" t="e">
        <v>#N/A</v>
      </c>
      <c r="AF1008" s="517" t="e">
        <v>#N/A</v>
      </c>
      <c r="AG1008" s="520" t="e">
        <v>#N/A</v>
      </c>
      <c r="AH1008" s="9"/>
      <c r="AI1008" s="10"/>
      <c r="AJ1008" s="9"/>
      <c r="AK1008" s="10"/>
      <c r="AL1008" s="10"/>
    </row>
    <row r="1009" spans="1:38" ht="67.5" hidden="1">
      <c r="A1009" s="1">
        <f t="shared" si="101"/>
        <v>0</v>
      </c>
      <c r="B1009" s="2" t="s">
        <v>3030</v>
      </c>
      <c r="C1009" s="3" t="s">
        <v>3031</v>
      </c>
      <c r="D1009" s="15" t="s">
        <v>11638</v>
      </c>
      <c r="E1009" s="4" t="s">
        <v>3030</v>
      </c>
      <c r="F1009" s="37" t="s">
        <v>3031</v>
      </c>
      <c r="G1009" s="38">
        <v>150000</v>
      </c>
      <c r="H1009" s="38">
        <v>114212.75</v>
      </c>
      <c r="I1009" s="15"/>
      <c r="J1009" s="494">
        <v>20204030110</v>
      </c>
      <c r="K1009" s="517"/>
      <c r="L1009" s="517" t="s">
        <v>13463</v>
      </c>
      <c r="M1009" s="517" t="s">
        <v>271</v>
      </c>
      <c r="N1009" s="518" t="s">
        <v>3006</v>
      </c>
      <c r="O1009" s="517">
        <v>2</v>
      </c>
      <c r="P1009" s="517" t="s">
        <v>647</v>
      </c>
      <c r="Q1009" s="517" t="s">
        <v>693</v>
      </c>
      <c r="R1009" s="517" t="s">
        <v>671</v>
      </c>
      <c r="S1009" s="517" t="s">
        <v>632</v>
      </c>
      <c r="T1009" s="518" t="s">
        <v>3005</v>
      </c>
      <c r="U1009" s="38">
        <v>114212.75</v>
      </c>
      <c r="V1009" s="15" t="str">
        <f t="shared" si="99"/>
        <v/>
      </c>
      <c r="W1009" s="1"/>
      <c r="X1009" s="1"/>
      <c r="Y1009" s="1"/>
      <c r="Z1009" s="1"/>
      <c r="AA1009" s="1"/>
      <c r="AB1009" s="3"/>
      <c r="AC1009" s="9"/>
      <c r="AD1009" s="517" t="e">
        <v>#N/A</v>
      </c>
      <c r="AE1009" s="517" t="e">
        <v>#N/A</v>
      </c>
      <c r="AF1009" s="517" t="e">
        <v>#N/A</v>
      </c>
      <c r="AG1009" s="520" t="e">
        <v>#N/A</v>
      </c>
      <c r="AH1009" s="9"/>
      <c r="AI1009" s="10"/>
      <c r="AJ1009" s="9"/>
      <c r="AK1009" s="10"/>
      <c r="AL1009" s="10"/>
    </row>
    <row r="1010" spans="1:38" ht="45" hidden="1">
      <c r="A1010" s="1">
        <f t="shared" si="101"/>
        <v>0</v>
      </c>
      <c r="B1010" s="2" t="s">
        <v>3032</v>
      </c>
      <c r="C1010" s="3" t="s">
        <v>3033</v>
      </c>
      <c r="D1010" s="15" t="s">
        <v>11638</v>
      </c>
      <c r="E1010" s="4" t="s">
        <v>3032</v>
      </c>
      <c r="F1010" s="37" t="s">
        <v>3033</v>
      </c>
      <c r="G1010" s="38">
        <v>145630.82999999999</v>
      </c>
      <c r="H1010" s="38">
        <v>145630.82999999999</v>
      </c>
      <c r="I1010" s="15"/>
      <c r="J1010" s="494">
        <v>20204030111</v>
      </c>
      <c r="K1010" s="517"/>
      <c r="L1010" s="517" t="s">
        <v>13463</v>
      </c>
      <c r="M1010" s="517" t="s">
        <v>271</v>
      </c>
      <c r="N1010" s="518" t="s">
        <v>3006</v>
      </c>
      <c r="O1010" s="517">
        <v>2</v>
      </c>
      <c r="P1010" s="517" t="s">
        <v>647</v>
      </c>
      <c r="Q1010" s="517" t="s">
        <v>693</v>
      </c>
      <c r="R1010" s="517" t="s">
        <v>671</v>
      </c>
      <c r="S1010" s="517" t="s">
        <v>632</v>
      </c>
      <c r="T1010" s="518" t="s">
        <v>3005</v>
      </c>
      <c r="U1010" s="38">
        <v>145630.82999999999</v>
      </c>
      <c r="V1010" s="15" t="str">
        <f t="shared" si="99"/>
        <v/>
      </c>
      <c r="W1010" s="1"/>
      <c r="X1010" s="1"/>
      <c r="Y1010" s="1"/>
      <c r="Z1010" s="1"/>
      <c r="AA1010" s="1"/>
      <c r="AB1010" s="3"/>
      <c r="AC1010" s="9"/>
      <c r="AD1010" s="517" t="e">
        <v>#N/A</v>
      </c>
      <c r="AE1010" s="517" t="e">
        <v>#N/A</v>
      </c>
      <c r="AF1010" s="517" t="e">
        <v>#N/A</v>
      </c>
      <c r="AG1010" s="520" t="e">
        <v>#N/A</v>
      </c>
      <c r="AH1010" s="9"/>
      <c r="AI1010" s="10"/>
      <c r="AJ1010" s="9"/>
      <c r="AK1010" s="10"/>
      <c r="AL1010" s="10"/>
    </row>
    <row r="1011" spans="1:38" ht="45" hidden="1">
      <c r="A1011" s="1">
        <f t="shared" si="101"/>
        <v>0</v>
      </c>
      <c r="B1011" s="2" t="s">
        <v>3034</v>
      </c>
      <c r="C1011" s="3" t="s">
        <v>3035</v>
      </c>
      <c r="D1011" s="15" t="s">
        <v>11638</v>
      </c>
      <c r="E1011" s="4" t="s">
        <v>3034</v>
      </c>
      <c r="F1011" s="37" t="s">
        <v>3035</v>
      </c>
      <c r="G1011" s="38">
        <v>0.27</v>
      </c>
      <c r="H1011" s="38">
        <v>-0.27</v>
      </c>
      <c r="I1011" s="15"/>
      <c r="J1011" s="494">
        <v>20204030112</v>
      </c>
      <c r="K1011" s="517"/>
      <c r="L1011" s="517" t="s">
        <v>13463</v>
      </c>
      <c r="M1011" s="517" t="s">
        <v>271</v>
      </c>
      <c r="N1011" s="518" t="s">
        <v>3006</v>
      </c>
      <c r="O1011" s="517">
        <v>2</v>
      </c>
      <c r="P1011" s="517" t="s">
        <v>647</v>
      </c>
      <c r="Q1011" s="517" t="s">
        <v>693</v>
      </c>
      <c r="R1011" s="517" t="s">
        <v>671</v>
      </c>
      <c r="S1011" s="517" t="s">
        <v>632</v>
      </c>
      <c r="T1011" s="518" t="s">
        <v>3005</v>
      </c>
      <c r="U1011" s="38">
        <v>-0.27</v>
      </c>
      <c r="V1011" s="15" t="str">
        <f t="shared" si="99"/>
        <v/>
      </c>
      <c r="W1011" s="1"/>
      <c r="X1011" s="1"/>
      <c r="Y1011" s="1"/>
      <c r="Z1011" s="1"/>
      <c r="AA1011" s="1"/>
      <c r="AB1011" s="3"/>
      <c r="AC1011" s="9"/>
      <c r="AD1011" s="517" t="e">
        <v>#N/A</v>
      </c>
      <c r="AE1011" s="517" t="e">
        <v>#N/A</v>
      </c>
      <c r="AF1011" s="517" t="e">
        <v>#N/A</v>
      </c>
      <c r="AG1011" s="520" t="e">
        <v>#N/A</v>
      </c>
      <c r="AH1011" s="9"/>
      <c r="AI1011" s="10"/>
      <c r="AJ1011" s="9"/>
      <c r="AK1011" s="10"/>
      <c r="AL1011" s="10"/>
    </row>
    <row r="1012" spans="1:38" ht="67.5" hidden="1">
      <c r="A1012" s="1">
        <f t="shared" si="101"/>
        <v>0</v>
      </c>
      <c r="B1012" s="2" t="s">
        <v>3036</v>
      </c>
      <c r="C1012" s="3" t="s">
        <v>3037</v>
      </c>
      <c r="D1012" s="15" t="s">
        <v>11638</v>
      </c>
      <c r="E1012" s="4" t="s">
        <v>3036</v>
      </c>
      <c r="F1012" s="37" t="s">
        <v>3037</v>
      </c>
      <c r="G1012" s="38">
        <v>72500</v>
      </c>
      <c r="H1012" s="38">
        <v>111526.99</v>
      </c>
      <c r="I1012" s="15"/>
      <c r="J1012" s="494">
        <v>20204030113</v>
      </c>
      <c r="K1012" s="517"/>
      <c r="L1012" s="517" t="s">
        <v>13463</v>
      </c>
      <c r="M1012" s="517" t="s">
        <v>271</v>
      </c>
      <c r="N1012" s="518" t="s">
        <v>3006</v>
      </c>
      <c r="O1012" s="517">
        <v>2</v>
      </c>
      <c r="P1012" s="517" t="s">
        <v>647</v>
      </c>
      <c r="Q1012" s="517" t="s">
        <v>693</v>
      </c>
      <c r="R1012" s="517" t="s">
        <v>671</v>
      </c>
      <c r="S1012" s="517" t="s">
        <v>632</v>
      </c>
      <c r="T1012" s="518" t="s">
        <v>3005</v>
      </c>
      <c r="U1012" s="38">
        <v>111526.99</v>
      </c>
      <c r="V1012" s="15" t="str">
        <f t="shared" si="99"/>
        <v/>
      </c>
      <c r="W1012" s="1"/>
      <c r="X1012" s="1"/>
      <c r="Y1012" s="1"/>
      <c r="Z1012" s="1"/>
      <c r="AA1012" s="1"/>
      <c r="AB1012" s="3"/>
      <c r="AC1012" s="9"/>
      <c r="AD1012" s="517" t="e">
        <v>#N/A</v>
      </c>
      <c r="AE1012" s="517" t="e">
        <v>#N/A</v>
      </c>
      <c r="AF1012" s="517" t="e">
        <v>#N/A</v>
      </c>
      <c r="AG1012" s="520" t="e">
        <v>#N/A</v>
      </c>
      <c r="AH1012" s="9"/>
      <c r="AI1012" s="10"/>
      <c r="AJ1012" s="9"/>
      <c r="AK1012" s="10"/>
      <c r="AL1012" s="10"/>
    </row>
    <row r="1013" spans="1:38" ht="78.75" hidden="1">
      <c r="A1013" s="1">
        <f t="shared" si="101"/>
        <v>0</v>
      </c>
      <c r="B1013" s="2" t="s">
        <v>3038</v>
      </c>
      <c r="C1013" s="3" t="s">
        <v>3039</v>
      </c>
      <c r="D1013" s="15" t="s">
        <v>11638</v>
      </c>
      <c r="E1013" s="4" t="s">
        <v>3038</v>
      </c>
      <c r="F1013" s="37" t="s">
        <v>3039</v>
      </c>
      <c r="G1013" s="38">
        <v>132700</v>
      </c>
      <c r="H1013" s="38">
        <v>82700</v>
      </c>
      <c r="I1013" s="15"/>
      <c r="J1013" s="494">
        <v>20204030114</v>
      </c>
      <c r="K1013" s="517"/>
      <c r="L1013" s="517" t="s">
        <v>13463</v>
      </c>
      <c r="M1013" s="517" t="s">
        <v>271</v>
      </c>
      <c r="N1013" s="518" t="s">
        <v>3006</v>
      </c>
      <c r="O1013" s="517">
        <v>2</v>
      </c>
      <c r="P1013" s="517" t="s">
        <v>647</v>
      </c>
      <c r="Q1013" s="517" t="s">
        <v>693</v>
      </c>
      <c r="R1013" s="517" t="s">
        <v>671</v>
      </c>
      <c r="S1013" s="517" t="s">
        <v>632</v>
      </c>
      <c r="T1013" s="518" t="s">
        <v>3005</v>
      </c>
      <c r="U1013" s="38">
        <v>82700</v>
      </c>
      <c r="V1013" s="15" t="str">
        <f t="shared" si="99"/>
        <v/>
      </c>
      <c r="W1013" s="1"/>
      <c r="X1013" s="1"/>
      <c r="Y1013" s="1"/>
      <c r="Z1013" s="1"/>
      <c r="AA1013" s="1"/>
      <c r="AB1013" s="3"/>
      <c r="AC1013" s="9"/>
      <c r="AD1013" s="517" t="e">
        <v>#N/A</v>
      </c>
      <c r="AE1013" s="517" t="e">
        <v>#N/A</v>
      </c>
      <c r="AF1013" s="517" t="e">
        <v>#N/A</v>
      </c>
      <c r="AG1013" s="520" t="e">
        <v>#N/A</v>
      </c>
      <c r="AH1013" s="9"/>
      <c r="AI1013" s="10"/>
      <c r="AJ1013" s="9"/>
      <c r="AK1013" s="10"/>
      <c r="AL1013" s="10"/>
    </row>
    <row r="1014" spans="1:38" ht="56.25" hidden="1">
      <c r="A1014" s="1">
        <f t="shared" si="101"/>
        <v>0</v>
      </c>
      <c r="B1014" s="2" t="s">
        <v>3040</v>
      </c>
      <c r="C1014" s="3" t="s">
        <v>3041</v>
      </c>
      <c r="D1014" s="15" t="s">
        <v>11638</v>
      </c>
      <c r="E1014" s="4" t="s">
        <v>3040</v>
      </c>
      <c r="F1014" s="37" t="s">
        <v>3042</v>
      </c>
      <c r="G1014" s="38">
        <v>76700</v>
      </c>
      <c r="H1014" s="38">
        <v>76700</v>
      </c>
      <c r="I1014" s="15"/>
      <c r="J1014" s="494">
        <v>20204030115</v>
      </c>
      <c r="K1014" s="517"/>
      <c r="L1014" s="517" t="s">
        <v>13463</v>
      </c>
      <c r="M1014" s="517" t="s">
        <v>271</v>
      </c>
      <c r="N1014" s="518" t="s">
        <v>3006</v>
      </c>
      <c r="O1014" s="517">
        <v>2</v>
      </c>
      <c r="P1014" s="517" t="s">
        <v>647</v>
      </c>
      <c r="Q1014" s="517" t="s">
        <v>693</v>
      </c>
      <c r="R1014" s="517" t="s">
        <v>671</v>
      </c>
      <c r="S1014" s="517" t="s">
        <v>632</v>
      </c>
      <c r="T1014" s="518" t="s">
        <v>3005</v>
      </c>
      <c r="U1014" s="38">
        <v>76700</v>
      </c>
      <c r="V1014" s="15" t="str">
        <f t="shared" si="99"/>
        <v/>
      </c>
      <c r="W1014" s="1"/>
      <c r="X1014" s="1"/>
      <c r="Y1014" s="1"/>
      <c r="Z1014" s="1"/>
      <c r="AA1014" s="1"/>
      <c r="AB1014" s="3"/>
      <c r="AC1014" s="9"/>
      <c r="AD1014" s="517" t="e">
        <v>#N/A</v>
      </c>
      <c r="AE1014" s="517" t="e">
        <v>#N/A</v>
      </c>
      <c r="AF1014" s="517" t="e">
        <v>#N/A</v>
      </c>
      <c r="AG1014" s="520" t="e">
        <v>#N/A</v>
      </c>
      <c r="AH1014" s="9"/>
      <c r="AI1014" s="10"/>
      <c r="AJ1014" s="9"/>
      <c r="AK1014" s="10"/>
      <c r="AL1014" s="10"/>
    </row>
    <row r="1015" spans="1:38" ht="56.25" hidden="1">
      <c r="A1015" s="1">
        <f t="shared" si="101"/>
        <v>0</v>
      </c>
      <c r="B1015" s="2" t="s">
        <v>3043</v>
      </c>
      <c r="C1015" s="3" t="s">
        <v>3044</v>
      </c>
      <c r="D1015" s="15" t="s">
        <v>11638</v>
      </c>
      <c r="E1015" s="4" t="s">
        <v>3043</v>
      </c>
      <c r="F1015" s="37" t="s">
        <v>3044</v>
      </c>
      <c r="G1015" s="38">
        <v>167400.16</v>
      </c>
      <c r="H1015" s="38">
        <v>167400.16</v>
      </c>
      <c r="I1015" s="15"/>
      <c r="J1015" s="494">
        <v>20204030116</v>
      </c>
      <c r="K1015" s="517"/>
      <c r="L1015" s="517" t="s">
        <v>13463</v>
      </c>
      <c r="M1015" s="517" t="s">
        <v>271</v>
      </c>
      <c r="N1015" s="518" t="s">
        <v>3006</v>
      </c>
      <c r="O1015" s="517">
        <v>2</v>
      </c>
      <c r="P1015" s="517" t="s">
        <v>647</v>
      </c>
      <c r="Q1015" s="517" t="s">
        <v>693</v>
      </c>
      <c r="R1015" s="517" t="s">
        <v>671</v>
      </c>
      <c r="S1015" s="517" t="s">
        <v>632</v>
      </c>
      <c r="T1015" s="518" t="s">
        <v>3005</v>
      </c>
      <c r="U1015" s="38">
        <v>167400.16</v>
      </c>
      <c r="V1015" s="15" t="str">
        <f t="shared" si="99"/>
        <v/>
      </c>
      <c r="W1015" s="1"/>
      <c r="X1015" s="1"/>
      <c r="Y1015" s="1"/>
      <c r="Z1015" s="1"/>
      <c r="AA1015" s="1"/>
      <c r="AB1015" s="3"/>
      <c r="AC1015" s="9"/>
      <c r="AD1015" s="517" t="e">
        <v>#N/A</v>
      </c>
      <c r="AE1015" s="517" t="e">
        <v>#N/A</v>
      </c>
      <c r="AF1015" s="517" t="e">
        <v>#N/A</v>
      </c>
      <c r="AG1015" s="520" t="e">
        <v>#N/A</v>
      </c>
      <c r="AH1015" s="9"/>
      <c r="AI1015" s="10"/>
      <c r="AJ1015" s="9"/>
      <c r="AK1015" s="10"/>
      <c r="AL1015" s="10"/>
    </row>
    <row r="1016" spans="1:38" ht="56.25" hidden="1">
      <c r="A1016" s="1">
        <f t="shared" si="101"/>
        <v>0</v>
      </c>
      <c r="B1016" s="2" t="s">
        <v>3045</v>
      </c>
      <c r="C1016" s="3" t="s">
        <v>3046</v>
      </c>
      <c r="D1016" s="15" t="s">
        <v>11638</v>
      </c>
      <c r="E1016" s="4" t="s">
        <v>3045</v>
      </c>
      <c r="F1016" s="37" t="s">
        <v>3046</v>
      </c>
      <c r="G1016" s="47">
        <v>80000</v>
      </c>
      <c r="H1016" s="38">
        <v>80000</v>
      </c>
      <c r="I1016" s="15"/>
      <c r="J1016" s="494">
        <v>20204030117</v>
      </c>
      <c r="K1016" s="517"/>
      <c r="L1016" s="517" t="s">
        <v>13463</v>
      </c>
      <c r="M1016" s="517" t="s">
        <v>271</v>
      </c>
      <c r="N1016" s="518" t="s">
        <v>3006</v>
      </c>
      <c r="O1016" s="517">
        <v>2</v>
      </c>
      <c r="P1016" s="517" t="s">
        <v>647</v>
      </c>
      <c r="Q1016" s="517" t="s">
        <v>693</v>
      </c>
      <c r="R1016" s="517" t="s">
        <v>671</v>
      </c>
      <c r="S1016" s="517" t="s">
        <v>632</v>
      </c>
      <c r="T1016" s="518" t="s">
        <v>3005</v>
      </c>
      <c r="U1016" s="38">
        <v>80000</v>
      </c>
      <c r="V1016" s="15" t="str">
        <f t="shared" si="99"/>
        <v/>
      </c>
      <c r="W1016" s="1"/>
      <c r="X1016" s="1"/>
      <c r="Y1016" s="1"/>
      <c r="Z1016" s="1"/>
      <c r="AA1016" s="1"/>
      <c r="AB1016" s="3"/>
      <c r="AC1016" s="9"/>
      <c r="AD1016" s="517" t="e">
        <v>#N/A</v>
      </c>
      <c r="AE1016" s="517" t="e">
        <v>#N/A</v>
      </c>
      <c r="AF1016" s="517" t="e">
        <v>#N/A</v>
      </c>
      <c r="AG1016" s="520" t="e">
        <v>#N/A</v>
      </c>
      <c r="AH1016" s="9"/>
      <c r="AI1016" s="10"/>
      <c r="AJ1016" s="9"/>
      <c r="AK1016" s="10"/>
      <c r="AL1016" s="10"/>
    </row>
    <row r="1017" spans="1:38" ht="33.75" hidden="1">
      <c r="A1017" s="1">
        <f t="shared" si="101"/>
        <v>0</v>
      </c>
      <c r="B1017" s="2" t="s">
        <v>3047</v>
      </c>
      <c r="C1017" s="3" t="s">
        <v>3048</v>
      </c>
      <c r="D1017" s="15" t="s">
        <v>11638</v>
      </c>
      <c r="E1017" s="4" t="s">
        <v>3047</v>
      </c>
      <c r="F1017" s="37" t="s">
        <v>3049</v>
      </c>
      <c r="G1017" s="47">
        <v>0</v>
      </c>
      <c r="H1017" s="38">
        <v>5359963.91</v>
      </c>
      <c r="I1017" s="15"/>
      <c r="J1017" s="494">
        <v>20204030118</v>
      </c>
      <c r="K1017" s="517"/>
      <c r="L1017" s="517" t="s">
        <v>13463</v>
      </c>
      <c r="M1017" s="517" t="s">
        <v>271</v>
      </c>
      <c r="N1017" s="518" t="s">
        <v>3006</v>
      </c>
      <c r="O1017" s="517">
        <v>2</v>
      </c>
      <c r="P1017" s="517" t="s">
        <v>647</v>
      </c>
      <c r="Q1017" s="517" t="s">
        <v>693</v>
      </c>
      <c r="R1017" s="517" t="s">
        <v>671</v>
      </c>
      <c r="S1017" s="517" t="s">
        <v>632</v>
      </c>
      <c r="T1017" s="518" t="s">
        <v>3005</v>
      </c>
      <c r="U1017" s="38">
        <v>5359963.91</v>
      </c>
      <c r="V1017" s="15" t="str">
        <f t="shared" si="99"/>
        <v/>
      </c>
      <c r="W1017" s="1"/>
      <c r="X1017" s="1"/>
      <c r="Y1017" s="1"/>
      <c r="Z1017" s="1"/>
      <c r="AA1017" s="1"/>
      <c r="AB1017" s="3"/>
      <c r="AC1017" s="9"/>
      <c r="AD1017" s="517" t="e">
        <v>#N/A</v>
      </c>
      <c r="AE1017" s="517" t="e">
        <v>#N/A</v>
      </c>
      <c r="AF1017" s="517" t="e">
        <v>#N/A</v>
      </c>
      <c r="AG1017" s="520" t="e">
        <v>#N/A</v>
      </c>
      <c r="AH1017" s="9"/>
      <c r="AI1017" s="10"/>
      <c r="AJ1017" s="9"/>
      <c r="AK1017" s="10"/>
      <c r="AL1017" s="10"/>
    </row>
    <row r="1018" spans="1:38" ht="22.5" hidden="1">
      <c r="A1018" s="1">
        <f t="shared" si="101"/>
        <v>0</v>
      </c>
      <c r="B1018" s="2" t="s">
        <v>3050</v>
      </c>
      <c r="C1018" s="3" t="s">
        <v>3051</v>
      </c>
      <c r="D1018" s="15" t="s">
        <v>11638</v>
      </c>
      <c r="E1018" s="2" t="s">
        <v>3050</v>
      </c>
      <c r="F1018" s="3" t="s">
        <v>3051</v>
      </c>
      <c r="G1018" s="47"/>
      <c r="H1018" s="38">
        <v>169325</v>
      </c>
      <c r="I1018" s="15"/>
      <c r="J1018" s="494">
        <v>20204030119</v>
      </c>
      <c r="K1018" s="517"/>
      <c r="L1018" s="517" t="s">
        <v>13463</v>
      </c>
      <c r="M1018" s="517" t="s">
        <v>271</v>
      </c>
      <c r="N1018" s="518" t="s">
        <v>3006</v>
      </c>
      <c r="O1018" s="517">
        <v>2</v>
      </c>
      <c r="P1018" s="517" t="s">
        <v>647</v>
      </c>
      <c r="Q1018" s="517" t="s">
        <v>693</v>
      </c>
      <c r="R1018" s="517" t="s">
        <v>671</v>
      </c>
      <c r="S1018" s="517" t="s">
        <v>632</v>
      </c>
      <c r="T1018" s="518" t="s">
        <v>3005</v>
      </c>
      <c r="U1018" s="38">
        <v>169325</v>
      </c>
      <c r="V1018" s="15" t="str">
        <f t="shared" si="99"/>
        <v/>
      </c>
      <c r="W1018" s="1"/>
      <c r="X1018" s="1"/>
      <c r="Y1018" s="1"/>
      <c r="Z1018" s="1"/>
      <c r="AA1018" s="1"/>
      <c r="AB1018" s="3"/>
      <c r="AC1018" s="9"/>
      <c r="AD1018" s="517" t="e">
        <v>#N/A</v>
      </c>
      <c r="AE1018" s="517" t="e">
        <v>#N/A</v>
      </c>
      <c r="AF1018" s="517" t="e">
        <v>#N/A</v>
      </c>
      <c r="AG1018" s="520" t="e">
        <v>#N/A</v>
      </c>
      <c r="AH1018" s="9"/>
      <c r="AI1018" s="10"/>
      <c r="AJ1018" s="9"/>
      <c r="AK1018" s="10"/>
      <c r="AL1018" s="10"/>
    </row>
    <row r="1019" spans="1:38" ht="45" hidden="1">
      <c r="A1019" s="1">
        <f t="shared" si="101"/>
        <v>0</v>
      </c>
      <c r="B1019" s="2" t="s">
        <v>3052</v>
      </c>
      <c r="C1019" s="3" t="s">
        <v>3053</v>
      </c>
      <c r="D1019" s="15" t="s">
        <v>11638</v>
      </c>
      <c r="E1019" s="2" t="s">
        <v>3052</v>
      </c>
      <c r="F1019" s="3" t="s">
        <v>3053</v>
      </c>
      <c r="G1019" s="47"/>
      <c r="H1019" s="38">
        <v>66343.7</v>
      </c>
      <c r="I1019" s="15"/>
      <c r="J1019" s="494">
        <v>20204030120</v>
      </c>
      <c r="K1019" s="517"/>
      <c r="L1019" s="517" t="s">
        <v>13463</v>
      </c>
      <c r="M1019" s="517" t="s">
        <v>271</v>
      </c>
      <c r="N1019" s="518" t="s">
        <v>3006</v>
      </c>
      <c r="O1019" s="517">
        <v>2</v>
      </c>
      <c r="P1019" s="517" t="s">
        <v>647</v>
      </c>
      <c r="Q1019" s="517" t="s">
        <v>693</v>
      </c>
      <c r="R1019" s="517" t="s">
        <v>671</v>
      </c>
      <c r="S1019" s="517" t="s">
        <v>632</v>
      </c>
      <c r="T1019" s="518" t="s">
        <v>3005</v>
      </c>
      <c r="U1019" s="38">
        <v>66343.7</v>
      </c>
      <c r="V1019" s="15" t="str">
        <f t="shared" si="99"/>
        <v/>
      </c>
      <c r="W1019" s="1"/>
      <c r="X1019" s="1"/>
      <c r="Y1019" s="1"/>
      <c r="Z1019" s="1"/>
      <c r="AA1019" s="1"/>
      <c r="AB1019" s="3"/>
      <c r="AC1019" s="9"/>
      <c r="AD1019" s="517" t="e">
        <v>#N/A</v>
      </c>
      <c r="AE1019" s="517" t="e">
        <v>#N/A</v>
      </c>
      <c r="AF1019" s="517" t="e">
        <v>#N/A</v>
      </c>
      <c r="AG1019" s="520" t="e">
        <v>#N/A</v>
      </c>
      <c r="AH1019" s="9"/>
      <c r="AI1019" s="10"/>
      <c r="AJ1019" s="9"/>
      <c r="AK1019" s="10"/>
      <c r="AL1019" s="10"/>
    </row>
    <row r="1020" spans="1:38" ht="33.75" hidden="1">
      <c r="A1020" s="1">
        <f t="shared" si="101"/>
        <v>0</v>
      </c>
      <c r="B1020" s="11"/>
      <c r="C1020" s="11"/>
      <c r="D1020" s="15" t="s">
        <v>16</v>
      </c>
      <c r="E1020" s="30"/>
      <c r="F1020" s="31" t="s">
        <v>3054</v>
      </c>
      <c r="G1020" s="32">
        <f>SUM(G1021:G1023)</f>
        <v>76097</v>
      </c>
      <c r="H1020" s="32">
        <f>SUM(H1021:H1023)</f>
        <v>86097</v>
      </c>
      <c r="I1020" s="15"/>
      <c r="J1020" s="494"/>
      <c r="K1020" s="513"/>
      <c r="L1020" s="513"/>
      <c r="M1020" s="513"/>
      <c r="N1020" s="514"/>
      <c r="O1020" s="513"/>
      <c r="P1020" s="513"/>
      <c r="Q1020" s="513"/>
      <c r="R1020" s="513"/>
      <c r="S1020" s="513"/>
      <c r="T1020" s="514"/>
      <c r="U1020" s="32">
        <f>SUM(U1021:U1023)</f>
        <v>86097</v>
      </c>
      <c r="V1020" s="15" t="str">
        <f t="shared" si="99"/>
        <v>202040400</v>
      </c>
      <c r="W1020" s="33">
        <v>2</v>
      </c>
      <c r="X1020" s="34" t="s">
        <v>647</v>
      </c>
      <c r="Y1020" s="34" t="s">
        <v>693</v>
      </c>
      <c r="Z1020" s="34" t="s">
        <v>693</v>
      </c>
      <c r="AA1020" s="35" t="s">
        <v>630</v>
      </c>
      <c r="AB1020" s="31" t="s">
        <v>3055</v>
      </c>
      <c r="AC1020" s="529">
        <f>SUM(AC1021:AC1023)</f>
        <v>86097</v>
      </c>
      <c r="AD1020" s="513">
        <v>0</v>
      </c>
      <c r="AE1020" s="513" t="s">
        <v>13515</v>
      </c>
      <c r="AF1020" s="513" t="s">
        <v>272</v>
      </c>
      <c r="AG1020" s="514" t="s">
        <v>3056</v>
      </c>
      <c r="AH1020" s="44">
        <f>SUM(AH1021:AH1023)</f>
        <v>86097</v>
      </c>
      <c r="AI1020" s="10"/>
      <c r="AJ1020" s="9">
        <f>AH1020-H1020</f>
        <v>0</v>
      </c>
      <c r="AK1020" s="10"/>
      <c r="AL1020" s="10"/>
    </row>
    <row r="1021" spans="1:38" ht="22.5" hidden="1">
      <c r="A1021" s="1">
        <f t="shared" si="101"/>
        <v>0</v>
      </c>
      <c r="B1021" s="2" t="s">
        <v>3057</v>
      </c>
      <c r="C1021" s="3" t="s">
        <v>3058</v>
      </c>
      <c r="D1021" s="15" t="s">
        <v>11639</v>
      </c>
      <c r="E1021" s="4" t="s">
        <v>3057</v>
      </c>
      <c r="F1021" s="37" t="s">
        <v>3058</v>
      </c>
      <c r="G1021" s="38">
        <v>18317</v>
      </c>
      <c r="H1021" s="38">
        <v>28317</v>
      </c>
      <c r="I1021" s="15"/>
      <c r="J1021" s="494">
        <v>20204040101</v>
      </c>
      <c r="K1021" s="517"/>
      <c r="L1021" s="517" t="s">
        <v>13515</v>
      </c>
      <c r="M1021" s="517" t="s">
        <v>272</v>
      </c>
      <c r="N1021" s="518" t="s">
        <v>3056</v>
      </c>
      <c r="O1021" s="517">
        <v>2</v>
      </c>
      <c r="P1021" s="517" t="s">
        <v>647</v>
      </c>
      <c r="Q1021" s="517" t="s">
        <v>693</v>
      </c>
      <c r="R1021" s="517" t="s">
        <v>693</v>
      </c>
      <c r="S1021" s="517" t="s">
        <v>632</v>
      </c>
      <c r="T1021" s="518" t="s">
        <v>3055</v>
      </c>
      <c r="U1021" s="38">
        <v>28317</v>
      </c>
      <c r="V1021" s="15" t="str">
        <f t="shared" si="99"/>
        <v>202040401</v>
      </c>
      <c r="W1021" s="39">
        <v>2</v>
      </c>
      <c r="X1021" s="40" t="s">
        <v>647</v>
      </c>
      <c r="Y1021" s="40" t="s">
        <v>693</v>
      </c>
      <c r="Z1021" s="40" t="s">
        <v>693</v>
      </c>
      <c r="AA1021" s="40" t="s">
        <v>632</v>
      </c>
      <c r="AB1021" s="41" t="s">
        <v>3055</v>
      </c>
      <c r="AC1021" s="519">
        <f>SUM(H1021:H1023)</f>
        <v>86097</v>
      </c>
      <c r="AD1021" s="517">
        <v>0</v>
      </c>
      <c r="AE1021" s="517" t="s">
        <v>13515</v>
      </c>
      <c r="AF1021" s="517" t="s">
        <v>272</v>
      </c>
      <c r="AG1021" s="520" t="s">
        <v>3056</v>
      </c>
      <c r="AH1021" s="67">
        <f>AC1021</f>
        <v>86097</v>
      </c>
      <c r="AI1021" s="10"/>
      <c r="AJ1021" s="9"/>
      <c r="AK1021" s="10"/>
      <c r="AL1021" s="10"/>
    </row>
    <row r="1022" spans="1:38" ht="45" hidden="1">
      <c r="A1022" s="1">
        <f t="shared" si="101"/>
        <v>0</v>
      </c>
      <c r="B1022" s="2" t="s">
        <v>3059</v>
      </c>
      <c r="C1022" s="3" t="s">
        <v>3060</v>
      </c>
      <c r="D1022" s="15" t="s">
        <v>11639</v>
      </c>
      <c r="E1022" s="4" t="s">
        <v>3059</v>
      </c>
      <c r="F1022" s="37" t="s">
        <v>3060</v>
      </c>
      <c r="G1022" s="38">
        <v>50000</v>
      </c>
      <c r="H1022" s="38">
        <v>50000</v>
      </c>
      <c r="I1022" s="15"/>
      <c r="J1022" s="494">
        <v>20204040102</v>
      </c>
      <c r="K1022" s="517"/>
      <c r="L1022" s="517" t="s">
        <v>13515</v>
      </c>
      <c r="M1022" s="517" t="s">
        <v>272</v>
      </c>
      <c r="N1022" s="518" t="s">
        <v>3056</v>
      </c>
      <c r="O1022" s="517">
        <v>2</v>
      </c>
      <c r="P1022" s="517" t="s">
        <v>647</v>
      </c>
      <c r="Q1022" s="517" t="s">
        <v>693</v>
      </c>
      <c r="R1022" s="517" t="s">
        <v>693</v>
      </c>
      <c r="S1022" s="517" t="s">
        <v>632</v>
      </c>
      <c r="T1022" s="518" t="s">
        <v>3055</v>
      </c>
      <c r="U1022" s="38">
        <v>50000</v>
      </c>
      <c r="V1022" s="15" t="str">
        <f t="shared" si="99"/>
        <v/>
      </c>
      <c r="W1022" s="1"/>
      <c r="X1022" s="1"/>
      <c r="Y1022" s="1"/>
      <c r="Z1022" s="1"/>
      <c r="AA1022" s="1"/>
      <c r="AB1022" s="3"/>
      <c r="AC1022" s="9"/>
      <c r="AD1022" s="517" t="e">
        <v>#N/A</v>
      </c>
      <c r="AE1022" s="517" t="e">
        <v>#N/A</v>
      </c>
      <c r="AF1022" s="517" t="e">
        <v>#N/A</v>
      </c>
      <c r="AG1022" s="520" t="e">
        <v>#N/A</v>
      </c>
      <c r="AH1022" s="9"/>
      <c r="AI1022" s="10"/>
      <c r="AJ1022" s="9"/>
      <c r="AK1022" s="10"/>
      <c r="AL1022" s="10"/>
    </row>
    <row r="1023" spans="1:38" ht="45" hidden="1">
      <c r="A1023" s="1">
        <f t="shared" si="101"/>
        <v>0</v>
      </c>
      <c r="B1023" s="2" t="s">
        <v>3061</v>
      </c>
      <c r="C1023" s="3" t="s">
        <v>3062</v>
      </c>
      <c r="D1023" s="15" t="s">
        <v>11639</v>
      </c>
      <c r="E1023" s="4" t="s">
        <v>3061</v>
      </c>
      <c r="F1023" s="37" t="s">
        <v>3062</v>
      </c>
      <c r="G1023" s="38">
        <v>7780</v>
      </c>
      <c r="H1023" s="38">
        <v>7780</v>
      </c>
      <c r="I1023" s="15"/>
      <c r="J1023" s="494">
        <v>20204040103</v>
      </c>
      <c r="K1023" s="517"/>
      <c r="L1023" s="517" t="s">
        <v>13515</v>
      </c>
      <c r="M1023" s="517" t="s">
        <v>272</v>
      </c>
      <c r="N1023" s="518" t="s">
        <v>3056</v>
      </c>
      <c r="O1023" s="517">
        <v>2</v>
      </c>
      <c r="P1023" s="517" t="s">
        <v>647</v>
      </c>
      <c r="Q1023" s="517" t="s">
        <v>693</v>
      </c>
      <c r="R1023" s="517" t="s">
        <v>693</v>
      </c>
      <c r="S1023" s="517" t="s">
        <v>632</v>
      </c>
      <c r="T1023" s="518" t="s">
        <v>3055</v>
      </c>
      <c r="U1023" s="38">
        <v>7780</v>
      </c>
      <c r="V1023" s="15" t="str">
        <f t="shared" si="99"/>
        <v/>
      </c>
      <c r="W1023" s="1"/>
      <c r="X1023" s="1"/>
      <c r="Y1023" s="1"/>
      <c r="Z1023" s="1"/>
      <c r="AA1023" s="1"/>
      <c r="AB1023" s="3"/>
      <c r="AC1023" s="9"/>
      <c r="AD1023" s="517" t="e">
        <v>#N/A</v>
      </c>
      <c r="AE1023" s="517" t="e">
        <v>#N/A</v>
      </c>
      <c r="AF1023" s="517" t="e">
        <v>#N/A</v>
      </c>
      <c r="AG1023" s="520" t="e">
        <v>#N/A</v>
      </c>
      <c r="AH1023" s="9"/>
      <c r="AI1023" s="10"/>
      <c r="AJ1023" s="9"/>
      <c r="AK1023" s="10"/>
      <c r="AL1023" s="10"/>
    </row>
    <row r="1024" spans="1:38" ht="22.5" hidden="1">
      <c r="A1024" s="1">
        <f t="shared" si="101"/>
        <v>0</v>
      </c>
      <c r="B1024" s="11"/>
      <c r="C1024" s="11"/>
      <c r="D1024" s="15" t="s">
        <v>16</v>
      </c>
      <c r="E1024" s="24"/>
      <c r="F1024" s="25" t="s">
        <v>3063</v>
      </c>
      <c r="G1024" s="85">
        <f>G1025+G1027+G1038+G1040+G1042+G1067</f>
        <v>7385720.2000000011</v>
      </c>
      <c r="H1024" s="85">
        <f>H1025+H1027+H1038+H1040+H1042+H1067</f>
        <v>8272039.6699999999</v>
      </c>
      <c r="I1024" s="15"/>
      <c r="J1024" s="494"/>
      <c r="K1024" s="509"/>
      <c r="L1024" s="509"/>
      <c r="M1024" s="509"/>
      <c r="N1024" s="510"/>
      <c r="O1024" s="509"/>
      <c r="P1024" s="509"/>
      <c r="Q1024" s="509"/>
      <c r="R1024" s="509"/>
      <c r="S1024" s="509"/>
      <c r="T1024" s="510"/>
      <c r="U1024" s="85">
        <f>U1025+U1027+U1038+U1040+U1042+U1067</f>
        <v>8272039.6699999999</v>
      </c>
      <c r="V1024" s="15" t="str">
        <f t="shared" si="99"/>
        <v>202050000</v>
      </c>
      <c r="W1024" s="86">
        <v>2</v>
      </c>
      <c r="X1024" s="87" t="s">
        <v>647</v>
      </c>
      <c r="Y1024" s="87" t="s">
        <v>714</v>
      </c>
      <c r="Z1024" s="87" t="s">
        <v>630</v>
      </c>
      <c r="AA1024" s="87" t="s">
        <v>630</v>
      </c>
      <c r="AB1024" s="88" t="s">
        <v>3063</v>
      </c>
      <c r="AC1024" s="601">
        <f>AC1025+AC1027+AC1038+AC1040+AC1042+AC1067</f>
        <v>8272039.6699999999</v>
      </c>
      <c r="AD1024" s="509">
        <v>0</v>
      </c>
      <c r="AE1024" s="509" t="s">
        <v>13516</v>
      </c>
      <c r="AF1024" s="509" t="s">
        <v>274</v>
      </c>
      <c r="AG1024" s="510" t="s">
        <v>13517</v>
      </c>
      <c r="AH1024" s="85">
        <f>AH1025+AH1027+AH1038+AH1040+AH1042+AH1067</f>
        <v>8272039.6699999999</v>
      </c>
      <c r="AI1024" s="10"/>
      <c r="AJ1024" s="9">
        <f>AH1024-H1024</f>
        <v>0</v>
      </c>
      <c r="AK1024" s="10"/>
      <c r="AL1024" s="10"/>
    </row>
    <row r="1025" spans="1:38" ht="22.5" hidden="1">
      <c r="A1025" s="1">
        <f t="shared" si="101"/>
        <v>0</v>
      </c>
      <c r="B1025" s="11"/>
      <c r="C1025" s="11"/>
      <c r="D1025" s="15" t="s">
        <v>16</v>
      </c>
      <c r="E1025" s="30"/>
      <c r="F1025" s="31" t="s">
        <v>3064</v>
      </c>
      <c r="G1025" s="32">
        <f>G1026</f>
        <v>0</v>
      </c>
      <c r="H1025" s="32">
        <f>H1026</f>
        <v>0</v>
      </c>
      <c r="I1025" s="15"/>
      <c r="J1025" s="494"/>
      <c r="K1025" s="513"/>
      <c r="L1025" s="513"/>
      <c r="M1025" s="513"/>
      <c r="N1025" s="514"/>
      <c r="O1025" s="513"/>
      <c r="P1025" s="513"/>
      <c r="Q1025" s="513"/>
      <c r="R1025" s="513"/>
      <c r="S1025" s="513"/>
      <c r="T1025" s="514"/>
      <c r="U1025" s="32">
        <f>U1026</f>
        <v>0</v>
      </c>
      <c r="V1025" s="15" t="str">
        <f t="shared" si="99"/>
        <v>202050100</v>
      </c>
      <c r="W1025" s="33">
        <v>2</v>
      </c>
      <c r="X1025" s="34" t="s">
        <v>647</v>
      </c>
      <c r="Y1025" s="34" t="s">
        <v>714</v>
      </c>
      <c r="Z1025" s="34" t="s">
        <v>632</v>
      </c>
      <c r="AA1025" s="35" t="s">
        <v>630</v>
      </c>
      <c r="AB1025" s="31" t="s">
        <v>3064</v>
      </c>
      <c r="AC1025" s="529">
        <f>AC1026</f>
        <v>0</v>
      </c>
      <c r="AD1025" s="513">
        <v>0</v>
      </c>
      <c r="AE1025" s="513" t="s">
        <v>13518</v>
      </c>
      <c r="AF1025" s="513" t="s">
        <v>273</v>
      </c>
      <c r="AG1025" s="514" t="s">
        <v>3065</v>
      </c>
      <c r="AH1025" s="44">
        <f>AH1026</f>
        <v>0</v>
      </c>
      <c r="AI1025" s="10"/>
      <c r="AJ1025" s="9">
        <f>AH1025-H1025</f>
        <v>0</v>
      </c>
      <c r="AK1025" s="10"/>
      <c r="AL1025" s="10"/>
    </row>
    <row r="1026" spans="1:38" ht="22.5" hidden="1">
      <c r="A1026" s="1">
        <f t="shared" si="101"/>
        <v>0</v>
      </c>
      <c r="B1026" s="2" t="s">
        <v>3066</v>
      </c>
      <c r="C1026" s="3" t="s">
        <v>3067</v>
      </c>
      <c r="D1026" s="15" t="s">
        <v>11640</v>
      </c>
      <c r="E1026" s="4" t="s">
        <v>3066</v>
      </c>
      <c r="F1026" s="37" t="s">
        <v>3067</v>
      </c>
      <c r="G1026" s="38">
        <v>0</v>
      </c>
      <c r="H1026" s="38">
        <v>0</v>
      </c>
      <c r="I1026" s="15"/>
      <c r="J1026" s="494">
        <v>20205010101</v>
      </c>
      <c r="K1026" s="517"/>
      <c r="L1026" s="517" t="s">
        <v>13518</v>
      </c>
      <c r="M1026" s="517" t="s">
        <v>273</v>
      </c>
      <c r="N1026" s="518" t="s">
        <v>3065</v>
      </c>
      <c r="O1026" s="517">
        <v>2</v>
      </c>
      <c r="P1026" s="517" t="s">
        <v>647</v>
      </c>
      <c r="Q1026" s="517" t="s">
        <v>714</v>
      </c>
      <c r="R1026" s="517" t="s">
        <v>632</v>
      </c>
      <c r="S1026" s="517" t="s">
        <v>632</v>
      </c>
      <c r="T1026" s="518" t="s">
        <v>3064</v>
      </c>
      <c r="U1026" s="38">
        <v>0</v>
      </c>
      <c r="V1026" s="15" t="str">
        <f t="shared" si="99"/>
        <v>202050101</v>
      </c>
      <c r="W1026" s="39">
        <v>2</v>
      </c>
      <c r="X1026" s="40" t="s">
        <v>647</v>
      </c>
      <c r="Y1026" s="40" t="s">
        <v>714</v>
      </c>
      <c r="Z1026" s="40" t="s">
        <v>632</v>
      </c>
      <c r="AA1026" s="40" t="s">
        <v>632</v>
      </c>
      <c r="AB1026" s="41" t="s">
        <v>3064</v>
      </c>
      <c r="AC1026" s="9">
        <f>H1026</f>
        <v>0</v>
      </c>
      <c r="AD1026" s="517">
        <v>0</v>
      </c>
      <c r="AE1026" s="517" t="s">
        <v>13518</v>
      </c>
      <c r="AF1026" s="517" t="s">
        <v>273</v>
      </c>
      <c r="AG1026" s="520" t="s">
        <v>3065</v>
      </c>
      <c r="AH1026" s="67">
        <f>AC1026</f>
        <v>0</v>
      </c>
      <c r="AI1026" s="10"/>
      <c r="AJ1026" s="9">
        <f>AH1026-H1026</f>
        <v>0</v>
      </c>
      <c r="AK1026" s="10"/>
      <c r="AL1026" s="10"/>
    </row>
    <row r="1027" spans="1:38" ht="33.75" hidden="1">
      <c r="A1027" s="1">
        <f t="shared" si="101"/>
        <v>0</v>
      </c>
      <c r="B1027" s="11"/>
      <c r="C1027" s="11"/>
      <c r="D1027" s="15" t="s">
        <v>16</v>
      </c>
      <c r="E1027" s="30"/>
      <c r="F1027" s="31" t="s">
        <v>3068</v>
      </c>
      <c r="G1027" s="32">
        <f>SUM(G1028:G1037)+921978+78030</f>
        <v>3765921.99</v>
      </c>
      <c r="H1027" s="32">
        <f>SUM(H1028:H1037)</f>
        <v>3711216.2</v>
      </c>
      <c r="I1027" s="15"/>
      <c r="J1027" s="494"/>
      <c r="K1027" s="513"/>
      <c r="L1027" s="513"/>
      <c r="M1027" s="513"/>
      <c r="N1027" s="514"/>
      <c r="O1027" s="513"/>
      <c r="P1027" s="513"/>
      <c r="Q1027" s="513"/>
      <c r="R1027" s="513"/>
      <c r="S1027" s="513"/>
      <c r="T1027" s="514"/>
      <c r="U1027" s="32">
        <f>SUM(U1028:U1037)</f>
        <v>3711216.2</v>
      </c>
      <c r="V1027" s="15" t="str">
        <f t="shared" ref="V1027:V1090" si="102">CONCATENATE(W1027,X1027,Y1027,Z1027,AA1027)</f>
        <v>202050200</v>
      </c>
      <c r="W1027" s="33">
        <v>2</v>
      </c>
      <c r="X1027" s="34" t="s">
        <v>647</v>
      </c>
      <c r="Y1027" s="34" t="s">
        <v>714</v>
      </c>
      <c r="Z1027" s="34" t="s">
        <v>647</v>
      </c>
      <c r="AA1027" s="35" t="s">
        <v>630</v>
      </c>
      <c r="AB1027" s="31" t="s">
        <v>3068</v>
      </c>
      <c r="AC1027" s="529">
        <f>SUM(AC1028:AC1036)</f>
        <v>3711216.2</v>
      </c>
      <c r="AD1027" s="513">
        <v>0</v>
      </c>
      <c r="AE1027" s="513" t="s">
        <v>13519</v>
      </c>
      <c r="AF1027" s="513" t="s">
        <v>307</v>
      </c>
      <c r="AG1027" s="514" t="s">
        <v>13520</v>
      </c>
      <c r="AH1027" s="44">
        <f>SUM(AH1028:AH1036)</f>
        <v>3711216.2</v>
      </c>
      <c r="AI1027" s="10"/>
      <c r="AJ1027" s="9">
        <f>AH1027-H1027</f>
        <v>0</v>
      </c>
      <c r="AK1027" s="10"/>
      <c r="AL1027" s="10"/>
    </row>
    <row r="1028" spans="1:38" ht="33.75" hidden="1">
      <c r="A1028" s="1">
        <f t="shared" si="101"/>
        <v>0</v>
      </c>
      <c r="B1028" s="2" t="s">
        <v>3069</v>
      </c>
      <c r="C1028" s="3" t="s">
        <v>3070</v>
      </c>
      <c r="D1028" s="15" t="s">
        <v>11641</v>
      </c>
      <c r="E1028" s="4" t="s">
        <v>3069</v>
      </c>
      <c r="F1028" s="37" t="s">
        <v>3070</v>
      </c>
      <c r="G1028" s="38">
        <v>0</v>
      </c>
      <c r="H1028" s="38">
        <v>-61766.7</v>
      </c>
      <c r="I1028" s="15"/>
      <c r="J1028" s="494">
        <v>20205020101</v>
      </c>
      <c r="K1028" s="517"/>
      <c r="L1028" s="517" t="s">
        <v>13519</v>
      </c>
      <c r="M1028" s="517" t="s">
        <v>307</v>
      </c>
      <c r="N1028" s="518" t="s">
        <v>13520</v>
      </c>
      <c r="O1028" s="517">
        <v>2</v>
      </c>
      <c r="P1028" s="517" t="s">
        <v>647</v>
      </c>
      <c r="Q1028" s="517" t="s">
        <v>714</v>
      </c>
      <c r="R1028" s="517" t="s">
        <v>647</v>
      </c>
      <c r="S1028" s="517" t="s">
        <v>632</v>
      </c>
      <c r="T1028" s="518" t="s">
        <v>3068</v>
      </c>
      <c r="U1028" s="38">
        <v>-61766.7</v>
      </c>
      <c r="V1028" s="15" t="str">
        <f t="shared" si="102"/>
        <v>202050201</v>
      </c>
      <c r="W1028" s="39">
        <v>2</v>
      </c>
      <c r="X1028" s="40" t="s">
        <v>647</v>
      </c>
      <c r="Y1028" s="40" t="s">
        <v>714</v>
      </c>
      <c r="Z1028" s="40" t="s">
        <v>647</v>
      </c>
      <c r="AA1028" s="40" t="s">
        <v>632</v>
      </c>
      <c r="AB1028" s="41" t="s">
        <v>3068</v>
      </c>
      <c r="AC1028" s="519">
        <f>SUM(H1028:H1037)</f>
        <v>3711216.2</v>
      </c>
      <c r="AD1028" s="517">
        <v>0</v>
      </c>
      <c r="AE1028" s="517" t="s">
        <v>13519</v>
      </c>
      <c r="AF1028" s="517" t="s">
        <v>307</v>
      </c>
      <c r="AG1028" s="520" t="s">
        <v>13520</v>
      </c>
      <c r="AH1028" s="67">
        <f>AC1028</f>
        <v>3711216.2</v>
      </c>
      <c r="AI1028" s="10"/>
      <c r="AJ1028" s="9"/>
      <c r="AK1028" s="10"/>
      <c r="AL1028" s="10"/>
    </row>
    <row r="1029" spans="1:38" ht="33.75" hidden="1">
      <c r="A1029" s="1">
        <f t="shared" si="101"/>
        <v>0</v>
      </c>
      <c r="B1029" s="2" t="s">
        <v>3071</v>
      </c>
      <c r="C1029" s="3" t="s">
        <v>3072</v>
      </c>
      <c r="D1029" s="15" t="s">
        <v>11641</v>
      </c>
      <c r="E1029" s="4" t="s">
        <v>3071</v>
      </c>
      <c r="F1029" s="37" t="s">
        <v>3072</v>
      </c>
      <c r="G1029" s="38">
        <v>2301702.7000000002</v>
      </c>
      <c r="H1029" s="38">
        <v>1760641.82</v>
      </c>
      <c r="I1029" s="15"/>
      <c r="J1029" s="494">
        <v>20205020102</v>
      </c>
      <c r="K1029" s="517"/>
      <c r="L1029" s="517" t="s">
        <v>13519</v>
      </c>
      <c r="M1029" s="517" t="s">
        <v>307</v>
      </c>
      <c r="N1029" s="518" t="s">
        <v>13520</v>
      </c>
      <c r="O1029" s="517">
        <v>2</v>
      </c>
      <c r="P1029" s="517" t="s">
        <v>647</v>
      </c>
      <c r="Q1029" s="517" t="s">
        <v>714</v>
      </c>
      <c r="R1029" s="517" t="s">
        <v>647</v>
      </c>
      <c r="S1029" s="517" t="s">
        <v>632</v>
      </c>
      <c r="T1029" s="518" t="s">
        <v>3068</v>
      </c>
      <c r="U1029" s="38">
        <v>1760641.82</v>
      </c>
      <c r="V1029" s="15" t="str">
        <f t="shared" si="102"/>
        <v/>
      </c>
      <c r="W1029" s="1"/>
      <c r="X1029" s="1"/>
      <c r="Y1029" s="1"/>
      <c r="Z1029" s="1"/>
      <c r="AA1029" s="1"/>
      <c r="AB1029" s="3"/>
      <c r="AC1029" s="9"/>
      <c r="AD1029" s="517" t="e">
        <v>#N/A</v>
      </c>
      <c r="AE1029" s="517" t="e">
        <v>#N/A</v>
      </c>
      <c r="AF1029" s="517" t="e">
        <v>#N/A</v>
      </c>
      <c r="AG1029" s="520" t="e">
        <v>#N/A</v>
      </c>
      <c r="AH1029" s="9"/>
      <c r="AI1029" s="10"/>
      <c r="AJ1029" s="9"/>
      <c r="AK1029" s="10"/>
      <c r="AL1029" s="10"/>
    </row>
    <row r="1030" spans="1:38" ht="33.75" hidden="1">
      <c r="A1030" s="1">
        <f t="shared" si="101"/>
        <v>0</v>
      </c>
      <c r="B1030" s="2" t="s">
        <v>3073</v>
      </c>
      <c r="C1030" s="3" t="s">
        <v>3074</v>
      </c>
      <c r="D1030" s="15" t="s">
        <v>11641</v>
      </c>
      <c r="E1030" s="4" t="s">
        <v>3073</v>
      </c>
      <c r="F1030" s="37" t="s">
        <v>3074</v>
      </c>
      <c r="G1030" s="38">
        <v>194823.31</v>
      </c>
      <c r="H1030" s="38">
        <v>5846.74</v>
      </c>
      <c r="I1030" s="15"/>
      <c r="J1030" s="494">
        <v>20205020103</v>
      </c>
      <c r="K1030" s="517"/>
      <c r="L1030" s="517" t="s">
        <v>13519</v>
      </c>
      <c r="M1030" s="517" t="s">
        <v>307</v>
      </c>
      <c r="N1030" s="518" t="s">
        <v>13520</v>
      </c>
      <c r="O1030" s="517">
        <v>2</v>
      </c>
      <c r="P1030" s="517" t="s">
        <v>647</v>
      </c>
      <c r="Q1030" s="517" t="s">
        <v>714</v>
      </c>
      <c r="R1030" s="517" t="s">
        <v>647</v>
      </c>
      <c r="S1030" s="517" t="s">
        <v>632</v>
      </c>
      <c r="T1030" s="518" t="s">
        <v>3068</v>
      </c>
      <c r="U1030" s="38">
        <v>5846.74</v>
      </c>
      <c r="V1030" s="15" t="str">
        <f t="shared" si="102"/>
        <v/>
      </c>
      <c r="W1030" s="1"/>
      <c r="X1030" s="1"/>
      <c r="Y1030" s="1"/>
      <c r="Z1030" s="1"/>
      <c r="AA1030" s="1"/>
      <c r="AB1030" s="3"/>
      <c r="AC1030" s="9"/>
      <c r="AD1030" s="517" t="e">
        <v>#N/A</v>
      </c>
      <c r="AE1030" s="517" t="e">
        <v>#N/A</v>
      </c>
      <c r="AF1030" s="517" t="e">
        <v>#N/A</v>
      </c>
      <c r="AG1030" s="520" t="e">
        <v>#N/A</v>
      </c>
      <c r="AH1030" s="9"/>
      <c r="AI1030" s="10"/>
      <c r="AJ1030" s="9"/>
      <c r="AK1030" s="10"/>
      <c r="AL1030" s="10"/>
    </row>
    <row r="1031" spans="1:38" ht="33.75" hidden="1">
      <c r="A1031" s="1">
        <f t="shared" si="101"/>
        <v>0</v>
      </c>
      <c r="B1031" s="2" t="s">
        <v>3075</v>
      </c>
      <c r="C1031" s="3" t="s">
        <v>3076</v>
      </c>
      <c r="D1031" s="15" t="s">
        <v>11641</v>
      </c>
      <c r="E1031" s="4" t="s">
        <v>3075</v>
      </c>
      <c r="F1031" s="37" t="s">
        <v>3076</v>
      </c>
      <c r="G1031" s="38">
        <v>269387.98</v>
      </c>
      <c r="H1031" s="38">
        <v>2006494.34</v>
      </c>
      <c r="I1031" s="15"/>
      <c r="J1031" s="494">
        <v>20205020104</v>
      </c>
      <c r="K1031" s="517"/>
      <c r="L1031" s="517" t="s">
        <v>13519</v>
      </c>
      <c r="M1031" s="517" t="s">
        <v>307</v>
      </c>
      <c r="N1031" s="518" t="s">
        <v>13520</v>
      </c>
      <c r="O1031" s="517">
        <v>2</v>
      </c>
      <c r="P1031" s="517" t="s">
        <v>647</v>
      </c>
      <c r="Q1031" s="517" t="s">
        <v>714</v>
      </c>
      <c r="R1031" s="517" t="s">
        <v>647</v>
      </c>
      <c r="S1031" s="517" t="s">
        <v>632</v>
      </c>
      <c r="T1031" s="518" t="s">
        <v>3068</v>
      </c>
      <c r="U1031" s="38">
        <v>2006494.34</v>
      </c>
      <c r="V1031" s="15" t="str">
        <f t="shared" si="102"/>
        <v/>
      </c>
      <c r="W1031" s="1"/>
      <c r="X1031" s="1"/>
      <c r="Y1031" s="1"/>
      <c r="Z1031" s="1"/>
      <c r="AA1031" s="1"/>
      <c r="AB1031" s="3"/>
      <c r="AC1031" s="9"/>
      <c r="AD1031" s="517" t="e">
        <v>#N/A</v>
      </c>
      <c r="AE1031" s="517" t="e">
        <v>#N/A</v>
      </c>
      <c r="AF1031" s="517" t="e">
        <v>#N/A</v>
      </c>
      <c r="AG1031" s="520" t="e">
        <v>#N/A</v>
      </c>
      <c r="AH1031" s="9"/>
      <c r="AI1031" s="10"/>
      <c r="AJ1031" s="9"/>
      <c r="AK1031" s="10"/>
      <c r="AL1031" s="10"/>
    </row>
    <row r="1032" spans="1:38" ht="33.75" hidden="1">
      <c r="A1032" s="1">
        <f t="shared" si="101"/>
        <v>0</v>
      </c>
      <c r="B1032" s="2" t="s">
        <v>3077</v>
      </c>
      <c r="C1032" s="3" t="s">
        <v>3078</v>
      </c>
      <c r="D1032" s="15" t="s">
        <v>11641</v>
      </c>
      <c r="E1032" s="4" t="s">
        <v>3077</v>
      </c>
      <c r="F1032" s="37" t="s">
        <v>3078</v>
      </c>
      <c r="G1032" s="38">
        <v>0</v>
      </c>
      <c r="H1032" s="38">
        <v>0</v>
      </c>
      <c r="I1032" s="15"/>
      <c r="J1032" s="494">
        <v>20205020105</v>
      </c>
      <c r="K1032" s="517"/>
      <c r="L1032" s="517" t="s">
        <v>13519</v>
      </c>
      <c r="M1032" s="517" t="s">
        <v>307</v>
      </c>
      <c r="N1032" s="518" t="s">
        <v>13520</v>
      </c>
      <c r="O1032" s="517">
        <v>2</v>
      </c>
      <c r="P1032" s="517" t="s">
        <v>647</v>
      </c>
      <c r="Q1032" s="517" t="s">
        <v>714</v>
      </c>
      <c r="R1032" s="517" t="s">
        <v>647</v>
      </c>
      <c r="S1032" s="517" t="s">
        <v>632</v>
      </c>
      <c r="T1032" s="518" t="s">
        <v>3068</v>
      </c>
      <c r="U1032" s="38">
        <v>0</v>
      </c>
      <c r="V1032" s="15" t="str">
        <f t="shared" si="102"/>
        <v/>
      </c>
      <c r="W1032" s="1"/>
      <c r="X1032" s="1"/>
      <c r="Y1032" s="1"/>
      <c r="Z1032" s="1"/>
      <c r="AA1032" s="1"/>
      <c r="AB1032" s="3"/>
      <c r="AC1032" s="9"/>
      <c r="AD1032" s="517" t="e">
        <v>#N/A</v>
      </c>
      <c r="AE1032" s="517" t="e">
        <v>#N/A</v>
      </c>
      <c r="AF1032" s="517" t="e">
        <v>#N/A</v>
      </c>
      <c r="AG1032" s="520" t="e">
        <v>#N/A</v>
      </c>
      <c r="AH1032" s="9"/>
      <c r="AI1032" s="10"/>
      <c r="AJ1032" s="9"/>
      <c r="AK1032" s="10"/>
      <c r="AL1032" s="10"/>
    </row>
    <row r="1033" spans="1:38" ht="33.75" hidden="1">
      <c r="A1033" s="1">
        <f t="shared" si="101"/>
        <v>0</v>
      </c>
      <c r="B1033" s="2" t="s">
        <v>3079</v>
      </c>
      <c r="C1033" s="3" t="s">
        <v>3080</v>
      </c>
      <c r="D1033" s="15" t="s">
        <v>11641</v>
      </c>
      <c r="E1033" s="4" t="s">
        <v>3079</v>
      </c>
      <c r="F1033" s="37" t="s">
        <v>3080</v>
      </c>
      <c r="G1033" s="38">
        <v>0</v>
      </c>
      <c r="H1033" s="38">
        <v>0</v>
      </c>
      <c r="I1033" s="15"/>
      <c r="J1033" s="494">
        <v>20205020106</v>
      </c>
      <c r="K1033" s="517"/>
      <c r="L1033" s="517" t="s">
        <v>13519</v>
      </c>
      <c r="M1033" s="517" t="s">
        <v>307</v>
      </c>
      <c r="N1033" s="518" t="s">
        <v>13520</v>
      </c>
      <c r="O1033" s="517">
        <v>2</v>
      </c>
      <c r="P1033" s="517" t="s">
        <v>647</v>
      </c>
      <c r="Q1033" s="517" t="s">
        <v>714</v>
      </c>
      <c r="R1033" s="517" t="s">
        <v>647</v>
      </c>
      <c r="S1033" s="517" t="s">
        <v>632</v>
      </c>
      <c r="T1033" s="518" t="s">
        <v>3068</v>
      </c>
      <c r="U1033" s="38">
        <v>0</v>
      </c>
      <c r="V1033" s="15" t="str">
        <f t="shared" si="102"/>
        <v/>
      </c>
      <c r="W1033" s="1"/>
      <c r="X1033" s="1"/>
      <c r="Y1033" s="1"/>
      <c r="Z1033" s="1"/>
      <c r="AA1033" s="1"/>
      <c r="AB1033" s="3"/>
      <c r="AC1033" s="9"/>
      <c r="AD1033" s="517" t="e">
        <v>#N/A</v>
      </c>
      <c r="AE1033" s="517" t="e">
        <v>#N/A</v>
      </c>
      <c r="AF1033" s="517" t="e">
        <v>#N/A</v>
      </c>
      <c r="AG1033" s="520" t="e">
        <v>#N/A</v>
      </c>
      <c r="AH1033" s="9"/>
      <c r="AI1033" s="10"/>
      <c r="AJ1033" s="9"/>
      <c r="AK1033" s="10"/>
      <c r="AL1033" s="10"/>
    </row>
    <row r="1034" spans="1:38" ht="33.75" hidden="1">
      <c r="A1034" s="1">
        <f t="shared" si="101"/>
        <v>0</v>
      </c>
      <c r="B1034" s="2" t="s">
        <v>3081</v>
      </c>
      <c r="C1034" s="3" t="s">
        <v>3082</v>
      </c>
      <c r="D1034" s="15" t="s">
        <v>11641</v>
      </c>
      <c r="E1034" s="4" t="s">
        <v>3081</v>
      </c>
      <c r="F1034" s="37" t="s">
        <v>3082</v>
      </c>
      <c r="G1034" s="38">
        <v>0</v>
      </c>
      <c r="H1034" s="38">
        <v>0</v>
      </c>
      <c r="I1034" s="15"/>
      <c r="J1034" s="494">
        <v>20205020107</v>
      </c>
      <c r="K1034" s="517"/>
      <c r="L1034" s="517" t="s">
        <v>13519</v>
      </c>
      <c r="M1034" s="517" t="s">
        <v>307</v>
      </c>
      <c r="N1034" s="518" t="s">
        <v>13520</v>
      </c>
      <c r="O1034" s="517">
        <v>2</v>
      </c>
      <c r="P1034" s="517" t="s">
        <v>647</v>
      </c>
      <c r="Q1034" s="517" t="s">
        <v>714</v>
      </c>
      <c r="R1034" s="517" t="s">
        <v>647</v>
      </c>
      <c r="S1034" s="517" t="s">
        <v>632</v>
      </c>
      <c r="T1034" s="518" t="s">
        <v>3068</v>
      </c>
      <c r="U1034" s="38">
        <v>0</v>
      </c>
      <c r="V1034" s="15" t="str">
        <f t="shared" si="102"/>
        <v/>
      </c>
      <c r="W1034" s="1"/>
      <c r="X1034" s="1"/>
      <c r="Y1034" s="1"/>
      <c r="Z1034" s="1"/>
      <c r="AA1034" s="1"/>
      <c r="AB1034" s="3"/>
      <c r="AC1034" s="9"/>
      <c r="AD1034" s="517" t="e">
        <v>#N/A</v>
      </c>
      <c r="AE1034" s="517" t="e">
        <v>#N/A</v>
      </c>
      <c r="AF1034" s="517" t="e">
        <v>#N/A</v>
      </c>
      <c r="AG1034" s="520" t="e">
        <v>#N/A</v>
      </c>
      <c r="AH1034" s="9"/>
      <c r="AI1034" s="10"/>
      <c r="AJ1034" s="9"/>
      <c r="AK1034" s="10"/>
      <c r="AL1034" s="10"/>
    </row>
    <row r="1035" spans="1:38" ht="33.75" hidden="1">
      <c r="A1035" s="1">
        <f t="shared" si="101"/>
        <v>0</v>
      </c>
      <c r="B1035" s="2" t="s">
        <v>3083</v>
      </c>
      <c r="C1035" s="3" t="s">
        <v>3084</v>
      </c>
      <c r="D1035" s="15" t="s">
        <v>11641</v>
      </c>
      <c r="E1035" s="4" t="s">
        <v>3083</v>
      </c>
      <c r="F1035" s="37" t="s">
        <v>3084</v>
      </c>
      <c r="G1035" s="38">
        <v>0</v>
      </c>
      <c r="H1035" s="38">
        <v>0</v>
      </c>
      <c r="I1035" s="15"/>
      <c r="J1035" s="494">
        <v>20205020108</v>
      </c>
      <c r="K1035" s="517"/>
      <c r="L1035" s="517" t="s">
        <v>13519</v>
      </c>
      <c r="M1035" s="517" t="s">
        <v>307</v>
      </c>
      <c r="N1035" s="518" t="s">
        <v>13520</v>
      </c>
      <c r="O1035" s="517">
        <v>2</v>
      </c>
      <c r="P1035" s="517" t="s">
        <v>647</v>
      </c>
      <c r="Q1035" s="517" t="s">
        <v>714</v>
      </c>
      <c r="R1035" s="517" t="s">
        <v>647</v>
      </c>
      <c r="S1035" s="517" t="s">
        <v>632</v>
      </c>
      <c r="T1035" s="518" t="s">
        <v>3068</v>
      </c>
      <c r="U1035" s="38">
        <v>0</v>
      </c>
      <c r="V1035" s="15" t="str">
        <f t="shared" si="102"/>
        <v/>
      </c>
      <c r="W1035" s="1"/>
      <c r="X1035" s="1"/>
      <c r="Y1035" s="1"/>
      <c r="Z1035" s="1"/>
      <c r="AA1035" s="1"/>
      <c r="AB1035" s="3"/>
      <c r="AC1035" s="9"/>
      <c r="AD1035" s="517" t="e">
        <v>#N/A</v>
      </c>
      <c r="AE1035" s="517" t="e">
        <v>#N/A</v>
      </c>
      <c r="AF1035" s="517" t="e">
        <v>#N/A</v>
      </c>
      <c r="AG1035" s="520" t="e">
        <v>#N/A</v>
      </c>
      <c r="AH1035" s="9"/>
      <c r="AI1035" s="10"/>
      <c r="AJ1035" s="9"/>
      <c r="AK1035" s="10"/>
      <c r="AL1035" s="10"/>
    </row>
    <row r="1036" spans="1:38" ht="33.75" hidden="1">
      <c r="A1036" s="1">
        <f t="shared" si="101"/>
        <v>0</v>
      </c>
      <c r="B1036" s="2" t="s">
        <v>3085</v>
      </c>
      <c r="C1036" s="3" t="s">
        <v>3086</v>
      </c>
      <c r="D1036" s="15" t="s">
        <v>11641</v>
      </c>
      <c r="E1036" s="4" t="s">
        <v>3085</v>
      </c>
      <c r="F1036" s="37" t="s">
        <v>3086</v>
      </c>
      <c r="G1036" s="38">
        <v>0</v>
      </c>
      <c r="H1036" s="38">
        <v>0</v>
      </c>
      <c r="I1036" s="15"/>
      <c r="J1036" s="494">
        <v>20205020109</v>
      </c>
      <c r="K1036" s="517"/>
      <c r="L1036" s="517" t="s">
        <v>13519</v>
      </c>
      <c r="M1036" s="517" t="s">
        <v>307</v>
      </c>
      <c r="N1036" s="518" t="s">
        <v>13520</v>
      </c>
      <c r="O1036" s="517">
        <v>2</v>
      </c>
      <c r="P1036" s="517" t="s">
        <v>647</v>
      </c>
      <c r="Q1036" s="517" t="s">
        <v>714</v>
      </c>
      <c r="R1036" s="517" t="s">
        <v>647</v>
      </c>
      <c r="S1036" s="517" t="s">
        <v>632</v>
      </c>
      <c r="T1036" s="518" t="s">
        <v>3068</v>
      </c>
      <c r="U1036" s="38">
        <v>0</v>
      </c>
      <c r="V1036" s="15" t="str">
        <f t="shared" si="102"/>
        <v/>
      </c>
      <c r="W1036" s="1"/>
      <c r="X1036" s="1"/>
      <c r="Y1036" s="1"/>
      <c r="Z1036" s="1"/>
      <c r="AA1036" s="1"/>
      <c r="AB1036" s="3"/>
      <c r="AC1036" s="9"/>
      <c r="AD1036" s="517" t="e">
        <v>#N/A</v>
      </c>
      <c r="AE1036" s="517" t="e">
        <v>#N/A</v>
      </c>
      <c r="AF1036" s="517" t="e">
        <v>#N/A</v>
      </c>
      <c r="AG1036" s="520" t="e">
        <v>#N/A</v>
      </c>
      <c r="AH1036" s="9"/>
      <c r="AI1036" s="10"/>
      <c r="AJ1036" s="9"/>
      <c r="AK1036" s="10"/>
      <c r="AL1036" s="10"/>
    </row>
    <row r="1037" spans="1:38" ht="33.75" hidden="1">
      <c r="A1037" s="1">
        <f t="shared" si="101"/>
        <v>0</v>
      </c>
      <c r="B1037" s="2" t="s">
        <v>3087</v>
      </c>
      <c r="C1037" s="3" t="s">
        <v>3088</v>
      </c>
      <c r="D1037" s="15" t="s">
        <v>11641</v>
      </c>
      <c r="E1037" s="4" t="s">
        <v>3087</v>
      </c>
      <c r="F1037" s="37" t="s">
        <v>3088</v>
      </c>
      <c r="G1037" s="38">
        <v>0</v>
      </c>
      <c r="H1037" s="38">
        <v>0</v>
      </c>
      <c r="I1037" s="15"/>
      <c r="J1037" s="494">
        <v>20205020110</v>
      </c>
      <c r="K1037" s="517"/>
      <c r="L1037" s="517" t="s">
        <v>13519</v>
      </c>
      <c r="M1037" s="517" t="s">
        <v>307</v>
      </c>
      <c r="N1037" s="518" t="s">
        <v>13520</v>
      </c>
      <c r="O1037" s="517">
        <v>2</v>
      </c>
      <c r="P1037" s="517" t="s">
        <v>647</v>
      </c>
      <c r="Q1037" s="517" t="s">
        <v>714</v>
      </c>
      <c r="R1037" s="517" t="s">
        <v>647</v>
      </c>
      <c r="S1037" s="517" t="s">
        <v>632</v>
      </c>
      <c r="T1037" s="518" t="s">
        <v>3068</v>
      </c>
      <c r="U1037" s="38">
        <v>0</v>
      </c>
      <c r="V1037" s="15" t="str">
        <f t="shared" si="102"/>
        <v/>
      </c>
      <c r="W1037" s="1"/>
      <c r="X1037" s="1"/>
      <c r="Y1037" s="1"/>
      <c r="Z1037" s="1"/>
      <c r="AA1037" s="1"/>
      <c r="AB1037" s="3"/>
      <c r="AC1037" s="9"/>
      <c r="AD1037" s="517" t="e">
        <v>#N/A</v>
      </c>
      <c r="AE1037" s="517" t="e">
        <v>#N/A</v>
      </c>
      <c r="AF1037" s="517" t="e">
        <v>#N/A</v>
      </c>
      <c r="AG1037" s="520" t="e">
        <v>#N/A</v>
      </c>
      <c r="AH1037" s="9"/>
      <c r="AI1037" s="10"/>
      <c r="AJ1037" s="9"/>
      <c r="AK1037" s="10"/>
      <c r="AL1037" s="10"/>
    </row>
    <row r="1038" spans="1:38" ht="33.75" hidden="1">
      <c r="A1038" s="1">
        <f t="shared" si="101"/>
        <v>0</v>
      </c>
      <c r="C1038" s="3" t="s">
        <v>3067</v>
      </c>
      <c r="D1038" s="15" t="s">
        <v>16</v>
      </c>
      <c r="E1038" s="30"/>
      <c r="F1038" s="31" t="s">
        <v>3089</v>
      </c>
      <c r="G1038" s="32">
        <f>G1039</f>
        <v>0</v>
      </c>
      <c r="H1038" s="32">
        <f>H1039</f>
        <v>0</v>
      </c>
      <c r="I1038" s="15"/>
      <c r="J1038" s="494"/>
      <c r="K1038" s="513"/>
      <c r="L1038" s="513"/>
      <c r="M1038" s="513"/>
      <c r="N1038" s="514"/>
      <c r="O1038" s="513"/>
      <c r="P1038" s="513"/>
      <c r="Q1038" s="513"/>
      <c r="R1038" s="513"/>
      <c r="S1038" s="513"/>
      <c r="T1038" s="514"/>
      <c r="U1038" s="32">
        <f>U1039</f>
        <v>0</v>
      </c>
      <c r="V1038" s="15" t="str">
        <f t="shared" si="102"/>
        <v>202050300</v>
      </c>
      <c r="W1038" s="33">
        <v>2</v>
      </c>
      <c r="X1038" s="34" t="s">
        <v>647</v>
      </c>
      <c r="Y1038" s="34" t="s">
        <v>714</v>
      </c>
      <c r="Z1038" s="35" t="s">
        <v>671</v>
      </c>
      <c r="AA1038" s="35" t="s">
        <v>630</v>
      </c>
      <c r="AB1038" s="31" t="s">
        <v>3089</v>
      </c>
      <c r="AC1038" s="529">
        <f>AC1039</f>
        <v>0</v>
      </c>
      <c r="AD1038" s="513">
        <v>0</v>
      </c>
      <c r="AE1038" s="513" t="s">
        <v>13521</v>
      </c>
      <c r="AF1038" s="513" t="s">
        <v>308</v>
      </c>
      <c r="AG1038" s="514" t="s">
        <v>3090</v>
      </c>
      <c r="AH1038" s="44">
        <f>AH1039</f>
        <v>0</v>
      </c>
      <c r="AI1038" s="10"/>
      <c r="AJ1038" s="9">
        <f>AH1038-H1038</f>
        <v>0</v>
      </c>
      <c r="AK1038" s="10"/>
      <c r="AL1038" s="10"/>
    </row>
    <row r="1039" spans="1:38" ht="22.5" hidden="1">
      <c r="A1039" s="1">
        <f t="shared" si="101"/>
        <v>0</v>
      </c>
      <c r="B1039" s="2" t="s">
        <v>3091</v>
      </c>
      <c r="C1039" s="3" t="s">
        <v>3092</v>
      </c>
      <c r="D1039" s="15" t="s">
        <v>11642</v>
      </c>
      <c r="E1039" s="4" t="s">
        <v>3091</v>
      </c>
      <c r="F1039" s="37" t="s">
        <v>3092</v>
      </c>
      <c r="G1039" s="38">
        <v>0</v>
      </c>
      <c r="H1039" s="38">
        <v>0</v>
      </c>
      <c r="I1039" s="15"/>
      <c r="J1039" s="494">
        <v>20205030101</v>
      </c>
      <c r="K1039" s="517"/>
      <c r="L1039" s="517" t="s">
        <v>13521</v>
      </c>
      <c r="M1039" s="517" t="s">
        <v>308</v>
      </c>
      <c r="N1039" s="518" t="s">
        <v>3090</v>
      </c>
      <c r="O1039" s="517">
        <v>2</v>
      </c>
      <c r="P1039" s="517" t="s">
        <v>647</v>
      </c>
      <c r="Q1039" s="517" t="s">
        <v>714</v>
      </c>
      <c r="R1039" s="517" t="s">
        <v>671</v>
      </c>
      <c r="S1039" s="517" t="s">
        <v>632</v>
      </c>
      <c r="T1039" s="518" t="s">
        <v>3089</v>
      </c>
      <c r="U1039" s="38">
        <v>0</v>
      </c>
      <c r="V1039" s="15" t="str">
        <f t="shared" si="102"/>
        <v>202050301</v>
      </c>
      <c r="W1039" s="39">
        <v>2</v>
      </c>
      <c r="X1039" s="40" t="s">
        <v>647</v>
      </c>
      <c r="Y1039" s="40" t="s">
        <v>714</v>
      </c>
      <c r="Z1039" s="40" t="s">
        <v>671</v>
      </c>
      <c r="AA1039" s="40" t="s">
        <v>632</v>
      </c>
      <c r="AB1039" s="41" t="s">
        <v>3089</v>
      </c>
      <c r="AC1039" s="9">
        <f>H1039</f>
        <v>0</v>
      </c>
      <c r="AD1039" s="517">
        <v>0</v>
      </c>
      <c r="AE1039" s="517" t="s">
        <v>13521</v>
      </c>
      <c r="AF1039" s="517" t="s">
        <v>308</v>
      </c>
      <c r="AG1039" s="520" t="s">
        <v>3090</v>
      </c>
      <c r="AH1039" s="67">
        <f>AC1039</f>
        <v>0</v>
      </c>
      <c r="AI1039" s="10"/>
      <c r="AJ1039" s="9">
        <f>AH1039-H1039</f>
        <v>0</v>
      </c>
      <c r="AK1039" s="10"/>
      <c r="AL1039" s="10"/>
    </row>
    <row r="1040" spans="1:38" ht="33.75" hidden="1">
      <c r="A1040" s="1">
        <f t="shared" si="101"/>
        <v>0</v>
      </c>
      <c r="C1040" s="3" t="s">
        <v>3093</v>
      </c>
      <c r="D1040" s="15" t="s">
        <v>16</v>
      </c>
      <c r="E1040" s="30"/>
      <c r="F1040" s="31" t="s">
        <v>3094</v>
      </c>
      <c r="G1040" s="32">
        <f>G1041</f>
        <v>0</v>
      </c>
      <c r="H1040" s="32">
        <f>H1041</f>
        <v>0</v>
      </c>
      <c r="I1040" s="15"/>
      <c r="J1040" s="494"/>
      <c r="K1040" s="513"/>
      <c r="L1040" s="513"/>
      <c r="M1040" s="513"/>
      <c r="N1040" s="514"/>
      <c r="O1040" s="513"/>
      <c r="P1040" s="513"/>
      <c r="Q1040" s="513"/>
      <c r="R1040" s="513"/>
      <c r="S1040" s="513"/>
      <c r="T1040" s="514"/>
      <c r="U1040" s="32">
        <f>U1041</f>
        <v>0</v>
      </c>
      <c r="V1040" s="15" t="str">
        <f t="shared" si="102"/>
        <v>202050400</v>
      </c>
      <c r="W1040" s="33">
        <v>2</v>
      </c>
      <c r="X1040" s="34" t="s">
        <v>647</v>
      </c>
      <c r="Y1040" s="34" t="s">
        <v>714</v>
      </c>
      <c r="Z1040" s="35" t="s">
        <v>693</v>
      </c>
      <c r="AA1040" s="35" t="s">
        <v>630</v>
      </c>
      <c r="AB1040" s="31" t="s">
        <v>3094</v>
      </c>
      <c r="AC1040" s="529">
        <f>AC1041</f>
        <v>0</v>
      </c>
      <c r="AD1040" s="513">
        <v>0</v>
      </c>
      <c r="AE1040" s="513" t="s">
        <v>13522</v>
      </c>
      <c r="AF1040" s="513" t="s">
        <v>275</v>
      </c>
      <c r="AG1040" s="514" t="s">
        <v>3095</v>
      </c>
      <c r="AH1040" s="44">
        <f>AH1041</f>
        <v>0</v>
      </c>
      <c r="AI1040" s="10"/>
      <c r="AJ1040" s="9">
        <f>AH1040-H1040</f>
        <v>0</v>
      </c>
      <c r="AK1040" s="10"/>
      <c r="AL1040" s="10"/>
    </row>
    <row r="1041" spans="1:38" ht="22.5" hidden="1">
      <c r="A1041" s="1">
        <f t="shared" si="101"/>
        <v>0</v>
      </c>
      <c r="B1041" s="2" t="s">
        <v>3096</v>
      </c>
      <c r="C1041" s="3" t="s">
        <v>3097</v>
      </c>
      <c r="D1041" s="15" t="s">
        <v>11643</v>
      </c>
      <c r="E1041" s="4" t="s">
        <v>3096</v>
      </c>
      <c r="F1041" s="37" t="s">
        <v>3097</v>
      </c>
      <c r="G1041" s="38">
        <v>0</v>
      </c>
      <c r="H1041" s="38">
        <v>0</v>
      </c>
      <c r="I1041" s="15"/>
      <c r="J1041" s="494">
        <v>20205040101</v>
      </c>
      <c r="K1041" s="517"/>
      <c r="L1041" s="517" t="s">
        <v>13522</v>
      </c>
      <c r="M1041" s="517" t="s">
        <v>275</v>
      </c>
      <c r="N1041" s="518" t="s">
        <v>3095</v>
      </c>
      <c r="O1041" s="517">
        <v>2</v>
      </c>
      <c r="P1041" s="517" t="s">
        <v>647</v>
      </c>
      <c r="Q1041" s="517" t="s">
        <v>714</v>
      </c>
      <c r="R1041" s="517" t="s">
        <v>693</v>
      </c>
      <c r="S1041" s="517" t="s">
        <v>632</v>
      </c>
      <c r="T1041" s="518" t="s">
        <v>3094</v>
      </c>
      <c r="U1041" s="38">
        <v>0</v>
      </c>
      <c r="V1041" s="15" t="str">
        <f t="shared" si="102"/>
        <v>202050401</v>
      </c>
      <c r="W1041" s="39">
        <v>2</v>
      </c>
      <c r="X1041" s="40" t="s">
        <v>647</v>
      </c>
      <c r="Y1041" s="40" t="s">
        <v>714</v>
      </c>
      <c r="Z1041" s="40" t="s">
        <v>693</v>
      </c>
      <c r="AA1041" s="40" t="s">
        <v>632</v>
      </c>
      <c r="AB1041" s="41" t="s">
        <v>3094</v>
      </c>
      <c r="AC1041" s="9">
        <f>H1041</f>
        <v>0</v>
      </c>
      <c r="AD1041" s="517">
        <v>0</v>
      </c>
      <c r="AE1041" s="517" t="s">
        <v>13522</v>
      </c>
      <c r="AF1041" s="517" t="s">
        <v>275</v>
      </c>
      <c r="AG1041" s="520" t="s">
        <v>3095</v>
      </c>
      <c r="AH1041" s="67">
        <f>AC1041</f>
        <v>0</v>
      </c>
      <c r="AI1041" s="10"/>
      <c r="AJ1041" s="9">
        <f>AH1041-H1041</f>
        <v>0</v>
      </c>
      <c r="AK1041" s="10"/>
      <c r="AL1041" s="10"/>
    </row>
    <row r="1042" spans="1:38" ht="22.5" hidden="1">
      <c r="A1042" s="1">
        <f t="shared" si="101"/>
        <v>0</v>
      </c>
      <c r="D1042" s="15" t="s">
        <v>16</v>
      </c>
      <c r="E1042" s="30"/>
      <c r="F1042" s="31" t="s">
        <v>3098</v>
      </c>
      <c r="G1042" s="32">
        <f>SUM(G1043:G1066)</f>
        <v>3619798.2100000004</v>
      </c>
      <c r="H1042" s="32">
        <f>SUM(H1043:H1066)</f>
        <v>4220823.47</v>
      </c>
      <c r="I1042" s="15"/>
      <c r="J1042" s="494"/>
      <c r="K1042" s="513"/>
      <c r="L1042" s="513"/>
      <c r="M1042" s="513"/>
      <c r="N1042" s="514"/>
      <c r="O1042" s="513"/>
      <c r="P1042" s="513"/>
      <c r="Q1042" s="513"/>
      <c r="R1042" s="513"/>
      <c r="S1042" s="513"/>
      <c r="T1042" s="514"/>
      <c r="U1042" s="32">
        <f>SUM(U1043:U1066)</f>
        <v>4220823.47</v>
      </c>
      <c r="V1042" s="15" t="str">
        <f t="shared" si="102"/>
        <v>202050500</v>
      </c>
      <c r="W1042" s="33">
        <v>2</v>
      </c>
      <c r="X1042" s="34" t="s">
        <v>647</v>
      </c>
      <c r="Y1042" s="34" t="s">
        <v>714</v>
      </c>
      <c r="Z1042" s="35" t="s">
        <v>714</v>
      </c>
      <c r="AA1042" s="35" t="s">
        <v>630</v>
      </c>
      <c r="AB1042" s="31" t="s">
        <v>3098</v>
      </c>
      <c r="AC1042" s="529">
        <f>SUM(AC1043:AC1064)</f>
        <v>4220823.47</v>
      </c>
      <c r="AD1042" s="513">
        <v>0</v>
      </c>
      <c r="AE1042" s="513" t="s">
        <v>13523</v>
      </c>
      <c r="AF1042" s="513" t="s">
        <v>309</v>
      </c>
      <c r="AG1042" s="514" t="s">
        <v>3099</v>
      </c>
      <c r="AH1042" s="44">
        <f>SUM(AH1043:AH1064)</f>
        <v>4220823.47</v>
      </c>
      <c r="AI1042" s="10"/>
      <c r="AJ1042" s="9">
        <f>AH1042-H1042</f>
        <v>0</v>
      </c>
      <c r="AK1042" s="10"/>
      <c r="AL1042" s="10"/>
    </row>
    <row r="1043" spans="1:38" ht="22.5" hidden="1">
      <c r="A1043" s="1">
        <f t="shared" si="101"/>
        <v>0</v>
      </c>
      <c r="B1043" s="2" t="s">
        <v>3100</v>
      </c>
      <c r="C1043" s="3" t="s">
        <v>3101</v>
      </c>
      <c r="D1043" s="15" t="s">
        <v>11644</v>
      </c>
      <c r="E1043" s="4" t="s">
        <v>3100</v>
      </c>
      <c r="F1043" s="37" t="s">
        <v>3101</v>
      </c>
      <c r="G1043" s="38">
        <v>0</v>
      </c>
      <c r="H1043" s="38">
        <v>0</v>
      </c>
      <c r="I1043" s="15"/>
      <c r="J1043" s="494">
        <v>20205050101</v>
      </c>
      <c r="K1043" s="517"/>
      <c r="L1043" s="517" t="s">
        <v>13523</v>
      </c>
      <c r="M1043" s="517" t="s">
        <v>309</v>
      </c>
      <c r="N1043" s="518" t="s">
        <v>3099</v>
      </c>
      <c r="O1043" s="517">
        <v>2</v>
      </c>
      <c r="P1043" s="517" t="s">
        <v>647</v>
      </c>
      <c r="Q1043" s="517" t="s">
        <v>714</v>
      </c>
      <c r="R1043" s="517" t="s">
        <v>714</v>
      </c>
      <c r="S1043" s="517" t="s">
        <v>632</v>
      </c>
      <c r="T1043" s="518" t="s">
        <v>3098</v>
      </c>
      <c r="U1043" s="38">
        <v>0</v>
      </c>
      <c r="V1043" s="15" t="str">
        <f t="shared" si="102"/>
        <v>202050501</v>
      </c>
      <c r="W1043" s="39">
        <v>2</v>
      </c>
      <c r="X1043" s="40" t="s">
        <v>647</v>
      </c>
      <c r="Y1043" s="40" t="s">
        <v>714</v>
      </c>
      <c r="Z1043" s="40" t="s">
        <v>714</v>
      </c>
      <c r="AA1043" s="40" t="s">
        <v>632</v>
      </c>
      <c r="AB1043" s="41" t="s">
        <v>3098</v>
      </c>
      <c r="AC1043" s="519">
        <f>SUM(H1043:H1066)</f>
        <v>4220823.47</v>
      </c>
      <c r="AD1043" s="517">
        <v>0</v>
      </c>
      <c r="AE1043" s="517" t="s">
        <v>13523</v>
      </c>
      <c r="AF1043" s="517" t="s">
        <v>309</v>
      </c>
      <c r="AG1043" s="520" t="s">
        <v>3099</v>
      </c>
      <c r="AH1043" s="67">
        <f>AC1043</f>
        <v>4220823.47</v>
      </c>
      <c r="AI1043" s="10"/>
      <c r="AJ1043" s="9"/>
      <c r="AK1043" s="10"/>
      <c r="AL1043" s="10"/>
    </row>
    <row r="1044" spans="1:38" ht="22.5" hidden="1">
      <c r="A1044" s="1">
        <f t="shared" si="101"/>
        <v>0</v>
      </c>
      <c r="B1044" s="2" t="s">
        <v>3102</v>
      </c>
      <c r="C1044" s="3" t="s">
        <v>3103</v>
      </c>
      <c r="D1044" s="15" t="s">
        <v>11644</v>
      </c>
      <c r="E1044" s="4" t="s">
        <v>3102</v>
      </c>
      <c r="F1044" s="37" t="s">
        <v>3103</v>
      </c>
      <c r="G1044" s="38">
        <v>0</v>
      </c>
      <c r="H1044" s="38">
        <v>0</v>
      </c>
      <c r="I1044" s="15"/>
      <c r="J1044" s="494">
        <v>20205050102</v>
      </c>
      <c r="K1044" s="517"/>
      <c r="L1044" s="517" t="s">
        <v>13523</v>
      </c>
      <c r="M1044" s="517" t="s">
        <v>309</v>
      </c>
      <c r="N1044" s="518" t="s">
        <v>3099</v>
      </c>
      <c r="O1044" s="517">
        <v>2</v>
      </c>
      <c r="P1044" s="517" t="s">
        <v>647</v>
      </c>
      <c r="Q1044" s="517" t="s">
        <v>714</v>
      </c>
      <c r="R1044" s="517" t="s">
        <v>714</v>
      </c>
      <c r="S1044" s="517" t="s">
        <v>632</v>
      </c>
      <c r="T1044" s="518" t="s">
        <v>3098</v>
      </c>
      <c r="U1044" s="38">
        <v>0</v>
      </c>
      <c r="V1044" s="15" t="str">
        <f t="shared" si="102"/>
        <v/>
      </c>
      <c r="W1044" s="1"/>
      <c r="X1044" s="1"/>
      <c r="Y1044" s="1"/>
      <c r="Z1044" s="1"/>
      <c r="AA1044" s="1"/>
      <c r="AB1044" s="3"/>
      <c r="AC1044" s="9"/>
      <c r="AD1044" s="517" t="e">
        <v>#N/A</v>
      </c>
      <c r="AE1044" s="517" t="e">
        <v>#N/A</v>
      </c>
      <c r="AF1044" s="517" t="e">
        <v>#N/A</v>
      </c>
      <c r="AG1044" s="520" t="e">
        <v>#N/A</v>
      </c>
      <c r="AH1044" s="9"/>
      <c r="AI1044" s="10"/>
      <c r="AJ1044" s="9"/>
      <c r="AK1044" s="10"/>
      <c r="AL1044" s="10"/>
    </row>
    <row r="1045" spans="1:38" ht="22.5" hidden="1">
      <c r="A1045" s="1">
        <f t="shared" ref="A1045:A1108" si="103">IF(E1045=B1045,0,1)</f>
        <v>0</v>
      </c>
      <c r="B1045" s="2" t="s">
        <v>3104</v>
      </c>
      <c r="C1045" s="3" t="s">
        <v>3105</v>
      </c>
      <c r="D1045" s="15" t="s">
        <v>11644</v>
      </c>
      <c r="E1045" s="4" t="s">
        <v>3104</v>
      </c>
      <c r="F1045" s="37" t="s">
        <v>3105</v>
      </c>
      <c r="G1045" s="38">
        <v>0</v>
      </c>
      <c r="H1045" s="38">
        <v>0</v>
      </c>
      <c r="I1045" s="15"/>
      <c r="J1045" s="494">
        <v>20205050103</v>
      </c>
      <c r="K1045" s="517"/>
      <c r="L1045" s="517" t="s">
        <v>13523</v>
      </c>
      <c r="M1045" s="517" t="s">
        <v>309</v>
      </c>
      <c r="N1045" s="518" t="s">
        <v>3099</v>
      </c>
      <c r="O1045" s="517">
        <v>2</v>
      </c>
      <c r="P1045" s="517" t="s">
        <v>647</v>
      </c>
      <c r="Q1045" s="517" t="s">
        <v>714</v>
      </c>
      <c r="R1045" s="517" t="s">
        <v>714</v>
      </c>
      <c r="S1045" s="517" t="s">
        <v>632</v>
      </c>
      <c r="T1045" s="518" t="s">
        <v>3098</v>
      </c>
      <c r="U1045" s="38">
        <v>0</v>
      </c>
      <c r="V1045" s="15" t="str">
        <f t="shared" si="102"/>
        <v/>
      </c>
      <c r="W1045" s="1"/>
      <c r="X1045" s="1"/>
      <c r="Y1045" s="1"/>
      <c r="Z1045" s="1"/>
      <c r="AA1045" s="1"/>
      <c r="AB1045" s="3"/>
      <c r="AC1045" s="9"/>
      <c r="AD1045" s="517" t="e">
        <v>#N/A</v>
      </c>
      <c r="AE1045" s="517" t="e">
        <v>#N/A</v>
      </c>
      <c r="AF1045" s="517" t="e">
        <v>#N/A</v>
      </c>
      <c r="AG1045" s="520" t="e">
        <v>#N/A</v>
      </c>
      <c r="AH1045" s="9"/>
      <c r="AI1045" s="10"/>
      <c r="AJ1045" s="9"/>
      <c r="AK1045" s="10"/>
      <c r="AL1045" s="10"/>
    </row>
    <row r="1046" spans="1:38" ht="22.5" hidden="1">
      <c r="A1046" s="1">
        <f t="shared" si="103"/>
        <v>0</v>
      </c>
      <c r="B1046" s="2" t="s">
        <v>3106</v>
      </c>
      <c r="C1046" s="3" t="s">
        <v>3107</v>
      </c>
      <c r="D1046" s="15" t="s">
        <v>11644</v>
      </c>
      <c r="E1046" s="4" t="s">
        <v>3106</v>
      </c>
      <c r="F1046" s="37" t="s">
        <v>3107</v>
      </c>
      <c r="G1046" s="38">
        <v>0</v>
      </c>
      <c r="H1046" s="38">
        <v>0</v>
      </c>
      <c r="I1046" s="15"/>
      <c r="J1046" s="494">
        <v>20205050104</v>
      </c>
      <c r="K1046" s="517"/>
      <c r="L1046" s="517" t="s">
        <v>13523</v>
      </c>
      <c r="M1046" s="517" t="s">
        <v>309</v>
      </c>
      <c r="N1046" s="518" t="s">
        <v>3099</v>
      </c>
      <c r="O1046" s="517">
        <v>2</v>
      </c>
      <c r="P1046" s="517" t="s">
        <v>647</v>
      </c>
      <c r="Q1046" s="517" t="s">
        <v>714</v>
      </c>
      <c r="R1046" s="517" t="s">
        <v>714</v>
      </c>
      <c r="S1046" s="517" t="s">
        <v>632</v>
      </c>
      <c r="T1046" s="518" t="s">
        <v>3098</v>
      </c>
      <c r="U1046" s="38">
        <v>0</v>
      </c>
      <c r="V1046" s="15" t="str">
        <f t="shared" si="102"/>
        <v/>
      </c>
      <c r="W1046" s="1"/>
      <c r="X1046" s="1"/>
      <c r="Y1046" s="1"/>
      <c r="Z1046" s="1"/>
      <c r="AA1046" s="1"/>
      <c r="AB1046" s="3"/>
      <c r="AC1046" s="9"/>
      <c r="AD1046" s="517" t="e">
        <v>#N/A</v>
      </c>
      <c r="AE1046" s="517" t="e">
        <v>#N/A</v>
      </c>
      <c r="AF1046" s="517" t="e">
        <v>#N/A</v>
      </c>
      <c r="AG1046" s="520" t="e">
        <v>#N/A</v>
      </c>
      <c r="AH1046" s="9"/>
      <c r="AI1046" s="10"/>
      <c r="AJ1046" s="9"/>
      <c r="AK1046" s="10"/>
      <c r="AL1046" s="10"/>
    </row>
    <row r="1047" spans="1:38" ht="22.5" hidden="1">
      <c r="A1047" s="1">
        <f t="shared" si="103"/>
        <v>0</v>
      </c>
      <c r="B1047" s="2" t="s">
        <v>3108</v>
      </c>
      <c r="C1047" s="3" t="s">
        <v>3109</v>
      </c>
      <c r="D1047" s="15" t="s">
        <v>11644</v>
      </c>
      <c r="E1047" s="4" t="s">
        <v>3108</v>
      </c>
      <c r="F1047" s="37" t="s">
        <v>3109</v>
      </c>
      <c r="G1047" s="38">
        <v>0</v>
      </c>
      <c r="H1047" s="38">
        <v>0</v>
      </c>
      <c r="I1047" s="15"/>
      <c r="J1047" s="494">
        <v>20205050105</v>
      </c>
      <c r="K1047" s="517"/>
      <c r="L1047" s="517" t="s">
        <v>13523</v>
      </c>
      <c r="M1047" s="517" t="s">
        <v>309</v>
      </c>
      <c r="N1047" s="518" t="s">
        <v>3099</v>
      </c>
      <c r="O1047" s="517">
        <v>2</v>
      </c>
      <c r="P1047" s="517" t="s">
        <v>647</v>
      </c>
      <c r="Q1047" s="517" t="s">
        <v>714</v>
      </c>
      <c r="R1047" s="517" t="s">
        <v>714</v>
      </c>
      <c r="S1047" s="517" t="s">
        <v>632</v>
      </c>
      <c r="T1047" s="518" t="s">
        <v>3098</v>
      </c>
      <c r="U1047" s="38">
        <v>0</v>
      </c>
      <c r="V1047" s="15" t="str">
        <f t="shared" si="102"/>
        <v/>
      </c>
      <c r="W1047" s="1"/>
      <c r="X1047" s="1"/>
      <c r="Y1047" s="1"/>
      <c r="Z1047" s="1"/>
      <c r="AA1047" s="1"/>
      <c r="AB1047" s="3"/>
      <c r="AC1047" s="9"/>
      <c r="AD1047" s="517" t="e">
        <v>#N/A</v>
      </c>
      <c r="AE1047" s="517" t="e">
        <v>#N/A</v>
      </c>
      <c r="AF1047" s="517" t="e">
        <v>#N/A</v>
      </c>
      <c r="AG1047" s="520" t="e">
        <v>#N/A</v>
      </c>
      <c r="AH1047" s="9"/>
      <c r="AI1047" s="10"/>
      <c r="AJ1047" s="9"/>
      <c r="AK1047" s="10"/>
      <c r="AL1047" s="10"/>
    </row>
    <row r="1048" spans="1:38" ht="22.5" hidden="1">
      <c r="A1048" s="1">
        <f t="shared" si="103"/>
        <v>0</v>
      </c>
      <c r="B1048" s="2" t="s">
        <v>3110</v>
      </c>
      <c r="C1048" s="3" t="s">
        <v>3067</v>
      </c>
      <c r="D1048" s="15" t="s">
        <v>11644</v>
      </c>
      <c r="E1048" s="4" t="s">
        <v>3110</v>
      </c>
      <c r="F1048" s="37" t="s">
        <v>3067</v>
      </c>
      <c r="G1048" s="38">
        <v>0</v>
      </c>
      <c r="H1048" s="38">
        <v>0</v>
      </c>
      <c r="I1048" s="15"/>
      <c r="J1048" s="494">
        <v>20205050106</v>
      </c>
      <c r="K1048" s="517"/>
      <c r="L1048" s="517" t="s">
        <v>13523</v>
      </c>
      <c r="M1048" s="517" t="s">
        <v>309</v>
      </c>
      <c r="N1048" s="518" t="s">
        <v>3099</v>
      </c>
      <c r="O1048" s="517">
        <v>2</v>
      </c>
      <c r="P1048" s="517" t="s">
        <v>647</v>
      </c>
      <c r="Q1048" s="517" t="s">
        <v>714</v>
      </c>
      <c r="R1048" s="517" t="s">
        <v>714</v>
      </c>
      <c r="S1048" s="517" t="s">
        <v>632</v>
      </c>
      <c r="T1048" s="518" t="s">
        <v>3098</v>
      </c>
      <c r="U1048" s="38">
        <v>0</v>
      </c>
      <c r="V1048" s="15" t="str">
        <f t="shared" si="102"/>
        <v/>
      </c>
      <c r="W1048" s="1"/>
      <c r="X1048" s="1"/>
      <c r="Y1048" s="1"/>
      <c r="Z1048" s="1"/>
      <c r="AA1048" s="1"/>
      <c r="AB1048" s="3"/>
      <c r="AC1048" s="9"/>
      <c r="AD1048" s="517" t="e">
        <v>#N/A</v>
      </c>
      <c r="AE1048" s="517" t="e">
        <v>#N/A</v>
      </c>
      <c r="AF1048" s="517" t="e">
        <v>#N/A</v>
      </c>
      <c r="AG1048" s="520" t="e">
        <v>#N/A</v>
      </c>
      <c r="AH1048" s="9"/>
      <c r="AI1048" s="10"/>
      <c r="AJ1048" s="9"/>
      <c r="AK1048" s="10"/>
      <c r="AL1048" s="10"/>
    </row>
    <row r="1049" spans="1:38" ht="22.5" hidden="1">
      <c r="A1049" s="1">
        <f t="shared" si="103"/>
        <v>0</v>
      </c>
      <c r="B1049" s="2" t="s">
        <v>3111</v>
      </c>
      <c r="C1049" s="3" t="s">
        <v>3063</v>
      </c>
      <c r="D1049" s="15" t="s">
        <v>11644</v>
      </c>
      <c r="E1049" s="4" t="s">
        <v>3111</v>
      </c>
      <c r="F1049" s="37" t="s">
        <v>3063</v>
      </c>
      <c r="G1049" s="38">
        <v>0</v>
      </c>
      <c r="H1049" s="38">
        <v>0</v>
      </c>
      <c r="I1049" s="15"/>
      <c r="J1049" s="494">
        <v>20205050107</v>
      </c>
      <c r="K1049" s="517"/>
      <c r="L1049" s="517" t="s">
        <v>13523</v>
      </c>
      <c r="M1049" s="517" t="s">
        <v>309</v>
      </c>
      <c r="N1049" s="518" t="s">
        <v>3099</v>
      </c>
      <c r="O1049" s="517">
        <v>2</v>
      </c>
      <c r="P1049" s="517" t="s">
        <v>647</v>
      </c>
      <c r="Q1049" s="517" t="s">
        <v>714</v>
      </c>
      <c r="R1049" s="517" t="s">
        <v>714</v>
      </c>
      <c r="S1049" s="517" t="s">
        <v>632</v>
      </c>
      <c r="T1049" s="518" t="s">
        <v>3098</v>
      </c>
      <c r="U1049" s="38">
        <v>0</v>
      </c>
      <c r="V1049" s="15" t="str">
        <f t="shared" si="102"/>
        <v/>
      </c>
      <c r="W1049" s="1"/>
      <c r="X1049" s="1"/>
      <c r="Y1049" s="1"/>
      <c r="Z1049" s="1"/>
      <c r="AA1049" s="1"/>
      <c r="AB1049" s="3"/>
      <c r="AC1049" s="9"/>
      <c r="AD1049" s="517" t="e">
        <v>#N/A</v>
      </c>
      <c r="AE1049" s="517" t="e">
        <v>#N/A</v>
      </c>
      <c r="AF1049" s="517" t="e">
        <v>#N/A</v>
      </c>
      <c r="AG1049" s="520" t="e">
        <v>#N/A</v>
      </c>
      <c r="AH1049" s="9"/>
      <c r="AI1049" s="10"/>
      <c r="AJ1049" s="9"/>
      <c r="AK1049" s="10"/>
      <c r="AL1049" s="10"/>
    </row>
    <row r="1050" spans="1:38" ht="22.5" hidden="1">
      <c r="A1050" s="1">
        <f t="shared" si="103"/>
        <v>0</v>
      </c>
      <c r="B1050" s="2" t="s">
        <v>3112</v>
      </c>
      <c r="C1050" s="3" t="s">
        <v>3113</v>
      </c>
      <c r="D1050" s="15" t="s">
        <v>11644</v>
      </c>
      <c r="E1050" s="4" t="s">
        <v>3112</v>
      </c>
      <c r="F1050" s="37" t="s">
        <v>3113</v>
      </c>
      <c r="G1050" s="38">
        <v>490104.59</v>
      </c>
      <c r="H1050" s="38">
        <v>787158.48</v>
      </c>
      <c r="I1050" s="15"/>
      <c r="J1050" s="494">
        <v>20205050108</v>
      </c>
      <c r="K1050" s="517"/>
      <c r="L1050" s="517" t="s">
        <v>13523</v>
      </c>
      <c r="M1050" s="517" t="s">
        <v>309</v>
      </c>
      <c r="N1050" s="518" t="s">
        <v>3099</v>
      </c>
      <c r="O1050" s="517">
        <v>2</v>
      </c>
      <c r="P1050" s="517" t="s">
        <v>647</v>
      </c>
      <c r="Q1050" s="517" t="s">
        <v>714</v>
      </c>
      <c r="R1050" s="517" t="s">
        <v>714</v>
      </c>
      <c r="S1050" s="517" t="s">
        <v>632</v>
      </c>
      <c r="T1050" s="518" t="s">
        <v>3098</v>
      </c>
      <c r="U1050" s="38">
        <v>787158.48</v>
      </c>
      <c r="V1050" s="15" t="str">
        <f t="shared" si="102"/>
        <v/>
      </c>
      <c r="W1050" s="1"/>
      <c r="X1050" s="89"/>
      <c r="Y1050" s="1"/>
      <c r="Z1050" s="1"/>
      <c r="AA1050" s="1"/>
      <c r="AB1050" s="3"/>
      <c r="AC1050" s="9"/>
      <c r="AD1050" s="517" t="e">
        <v>#N/A</v>
      </c>
      <c r="AE1050" s="517" t="e">
        <v>#N/A</v>
      </c>
      <c r="AF1050" s="517" t="e">
        <v>#N/A</v>
      </c>
      <c r="AG1050" s="520" t="e">
        <v>#N/A</v>
      </c>
      <c r="AH1050" s="9"/>
      <c r="AI1050" s="10"/>
      <c r="AJ1050" s="9"/>
      <c r="AK1050" s="10"/>
      <c r="AL1050" s="10"/>
    </row>
    <row r="1051" spans="1:38" ht="22.5" hidden="1">
      <c r="A1051" s="1">
        <f t="shared" si="103"/>
        <v>0</v>
      </c>
      <c r="B1051" s="2" t="s">
        <v>3114</v>
      </c>
      <c r="C1051" s="3" t="s">
        <v>3115</v>
      </c>
      <c r="D1051" s="15" t="s">
        <v>11644</v>
      </c>
      <c r="E1051" s="4" t="s">
        <v>3114</v>
      </c>
      <c r="F1051" s="37" t="s">
        <v>3115</v>
      </c>
      <c r="G1051" s="38">
        <v>0</v>
      </c>
      <c r="H1051" s="38">
        <v>0</v>
      </c>
      <c r="I1051" s="15"/>
      <c r="J1051" s="494">
        <v>20205050109</v>
      </c>
      <c r="K1051" s="517"/>
      <c r="L1051" s="517" t="s">
        <v>13523</v>
      </c>
      <c r="M1051" s="517" t="s">
        <v>309</v>
      </c>
      <c r="N1051" s="518" t="s">
        <v>3099</v>
      </c>
      <c r="O1051" s="517">
        <v>2</v>
      </c>
      <c r="P1051" s="517" t="s">
        <v>647</v>
      </c>
      <c r="Q1051" s="517" t="s">
        <v>714</v>
      </c>
      <c r="R1051" s="517" t="s">
        <v>714</v>
      </c>
      <c r="S1051" s="517" t="s">
        <v>632</v>
      </c>
      <c r="T1051" s="518" t="s">
        <v>3098</v>
      </c>
      <c r="U1051" s="38">
        <v>0</v>
      </c>
      <c r="V1051" s="15" t="str">
        <f t="shared" si="102"/>
        <v/>
      </c>
      <c r="W1051" s="1"/>
      <c r="X1051" s="1"/>
      <c r="Y1051" s="1"/>
      <c r="Z1051" s="1"/>
      <c r="AA1051" s="1"/>
      <c r="AB1051" s="3"/>
      <c r="AC1051" s="9"/>
      <c r="AD1051" s="517" t="e">
        <v>#N/A</v>
      </c>
      <c r="AE1051" s="517" t="e">
        <v>#N/A</v>
      </c>
      <c r="AF1051" s="517" t="e">
        <v>#N/A</v>
      </c>
      <c r="AG1051" s="520" t="e">
        <v>#N/A</v>
      </c>
      <c r="AH1051" s="9"/>
      <c r="AI1051" s="10"/>
      <c r="AJ1051" s="9"/>
      <c r="AK1051" s="10"/>
      <c r="AL1051" s="10"/>
    </row>
    <row r="1052" spans="1:38" ht="33.75" hidden="1">
      <c r="A1052" s="1">
        <f t="shared" si="103"/>
        <v>0</v>
      </c>
      <c r="B1052" s="2" t="s">
        <v>3116</v>
      </c>
      <c r="C1052" s="3" t="s">
        <v>3117</v>
      </c>
      <c r="D1052" s="15" t="s">
        <v>11644</v>
      </c>
      <c r="E1052" s="4" t="s">
        <v>3116</v>
      </c>
      <c r="F1052" s="37" t="s">
        <v>3117</v>
      </c>
      <c r="G1052" s="38">
        <v>0</v>
      </c>
      <c r="H1052" s="38">
        <v>0</v>
      </c>
      <c r="I1052" s="15"/>
      <c r="J1052" s="494">
        <v>20205050110</v>
      </c>
      <c r="K1052" s="517"/>
      <c r="L1052" s="517" t="s">
        <v>13523</v>
      </c>
      <c r="M1052" s="517" t="s">
        <v>309</v>
      </c>
      <c r="N1052" s="518" t="s">
        <v>3099</v>
      </c>
      <c r="O1052" s="517">
        <v>2</v>
      </c>
      <c r="P1052" s="517" t="s">
        <v>647</v>
      </c>
      <c r="Q1052" s="517" t="s">
        <v>714</v>
      </c>
      <c r="R1052" s="517" t="s">
        <v>714</v>
      </c>
      <c r="S1052" s="517" t="s">
        <v>632</v>
      </c>
      <c r="T1052" s="518" t="s">
        <v>3098</v>
      </c>
      <c r="U1052" s="38">
        <v>0</v>
      </c>
      <c r="V1052" s="15" t="str">
        <f t="shared" si="102"/>
        <v/>
      </c>
      <c r="W1052" s="1"/>
      <c r="X1052" s="1"/>
      <c r="Y1052" s="1"/>
      <c r="Z1052" s="1"/>
      <c r="AA1052" s="1"/>
      <c r="AB1052" s="3"/>
      <c r="AC1052" s="9"/>
      <c r="AD1052" s="517" t="e">
        <v>#N/A</v>
      </c>
      <c r="AE1052" s="517" t="e">
        <v>#N/A</v>
      </c>
      <c r="AF1052" s="517" t="e">
        <v>#N/A</v>
      </c>
      <c r="AG1052" s="520" t="e">
        <v>#N/A</v>
      </c>
      <c r="AH1052" s="9"/>
      <c r="AI1052" s="10"/>
      <c r="AJ1052" s="9"/>
      <c r="AK1052" s="10"/>
      <c r="AL1052" s="10"/>
    </row>
    <row r="1053" spans="1:38" s="615" customFormat="1" ht="22.5" hidden="1">
      <c r="A1053" s="602"/>
      <c r="B1053" s="603"/>
      <c r="C1053" s="604"/>
      <c r="D1053" s="15" t="s">
        <v>11644</v>
      </c>
      <c r="E1053" s="605" t="s">
        <v>11645</v>
      </c>
      <c r="F1053" s="606" t="s">
        <v>11646</v>
      </c>
      <c r="G1053" s="607"/>
      <c r="H1053" s="38">
        <v>250000</v>
      </c>
      <c r="I1053" s="608"/>
      <c r="J1053" s="609">
        <v>20205050111</v>
      </c>
      <c r="K1053" s="610"/>
      <c r="L1053" s="610" t="s">
        <v>13523</v>
      </c>
      <c r="M1053" s="610" t="s">
        <v>309</v>
      </c>
      <c r="N1053" s="611" t="s">
        <v>3099</v>
      </c>
      <c r="O1053" s="610">
        <v>2</v>
      </c>
      <c r="P1053" s="610" t="s">
        <v>647</v>
      </c>
      <c r="Q1053" s="610" t="s">
        <v>714</v>
      </c>
      <c r="R1053" s="610" t="s">
        <v>714</v>
      </c>
      <c r="S1053" s="610" t="s">
        <v>632</v>
      </c>
      <c r="T1053" s="611" t="s">
        <v>3098</v>
      </c>
      <c r="U1053" s="38">
        <v>250000</v>
      </c>
      <c r="V1053" s="15" t="str">
        <f t="shared" si="102"/>
        <v/>
      </c>
      <c r="W1053" s="602"/>
      <c r="X1053" s="602"/>
      <c r="Y1053" s="602"/>
      <c r="Z1053" s="602"/>
      <c r="AA1053" s="602"/>
      <c r="AB1053" s="604"/>
      <c r="AC1053" s="612"/>
      <c r="AD1053" s="610" t="e">
        <v>#N/A</v>
      </c>
      <c r="AE1053" s="610" t="e">
        <v>#N/A</v>
      </c>
      <c r="AF1053" s="610" t="e">
        <v>#N/A</v>
      </c>
      <c r="AG1053" s="613" t="e">
        <v>#N/A</v>
      </c>
      <c r="AH1053" s="612"/>
      <c r="AI1053" s="614"/>
      <c r="AJ1053" s="9">
        <f t="shared" ref="AJ1053:AJ1116" si="104">AH1053-H1053</f>
        <v>-250000</v>
      </c>
      <c r="AK1053" s="614"/>
      <c r="AL1053" s="614"/>
    </row>
    <row r="1054" spans="1:38" ht="22.5" hidden="1">
      <c r="A1054" s="1">
        <f t="shared" si="103"/>
        <v>0</v>
      </c>
      <c r="B1054" s="2" t="s">
        <v>3118</v>
      </c>
      <c r="C1054" s="3" t="s">
        <v>3119</v>
      </c>
      <c r="D1054" s="15" t="s">
        <v>11644</v>
      </c>
      <c r="E1054" s="4" t="s">
        <v>3118</v>
      </c>
      <c r="F1054" s="37" t="s">
        <v>3119</v>
      </c>
      <c r="G1054" s="38">
        <v>2195403.61</v>
      </c>
      <c r="H1054" s="38">
        <v>2222692.5</v>
      </c>
      <c r="I1054" s="15"/>
      <c r="J1054" s="494">
        <v>20205050112</v>
      </c>
      <c r="K1054" s="517"/>
      <c r="L1054" s="517" t="s">
        <v>13523</v>
      </c>
      <c r="M1054" s="517" t="s">
        <v>309</v>
      </c>
      <c r="N1054" s="518" t="s">
        <v>3099</v>
      </c>
      <c r="O1054" s="517">
        <v>2</v>
      </c>
      <c r="P1054" s="517" t="s">
        <v>647</v>
      </c>
      <c r="Q1054" s="517" t="s">
        <v>714</v>
      </c>
      <c r="R1054" s="517" t="s">
        <v>714</v>
      </c>
      <c r="S1054" s="517" t="s">
        <v>632</v>
      </c>
      <c r="T1054" s="518" t="s">
        <v>3098</v>
      </c>
      <c r="U1054" s="38">
        <v>2222692.5</v>
      </c>
      <c r="V1054" s="15" t="str">
        <f t="shared" si="102"/>
        <v/>
      </c>
      <c r="W1054" s="1"/>
      <c r="X1054" s="1"/>
      <c r="Y1054" s="1"/>
      <c r="Z1054" s="1"/>
      <c r="AA1054" s="1"/>
      <c r="AB1054" s="3"/>
      <c r="AC1054" s="9"/>
      <c r="AD1054" s="517" t="e">
        <v>#N/A</v>
      </c>
      <c r="AE1054" s="517" t="e">
        <v>#N/A</v>
      </c>
      <c r="AF1054" s="517" t="e">
        <v>#N/A</v>
      </c>
      <c r="AG1054" s="520" t="e">
        <v>#N/A</v>
      </c>
      <c r="AH1054" s="9"/>
      <c r="AI1054" s="10"/>
      <c r="AJ1054" s="9">
        <f t="shared" si="104"/>
        <v>-2222692.5</v>
      </c>
      <c r="AK1054" s="10"/>
      <c r="AL1054" s="10"/>
    </row>
    <row r="1055" spans="1:38" ht="22.5" hidden="1">
      <c r="A1055" s="1">
        <f t="shared" si="103"/>
        <v>0</v>
      </c>
      <c r="B1055" s="2" t="s">
        <v>3120</v>
      </c>
      <c r="C1055" s="3" t="s">
        <v>3121</v>
      </c>
      <c r="D1055" s="15" t="s">
        <v>11644</v>
      </c>
      <c r="E1055" s="4" t="s">
        <v>3120</v>
      </c>
      <c r="F1055" s="37" t="s">
        <v>3121</v>
      </c>
      <c r="G1055" s="38">
        <v>0</v>
      </c>
      <c r="H1055" s="38">
        <v>0</v>
      </c>
      <c r="I1055" s="15"/>
      <c r="J1055" s="494">
        <v>20205050113</v>
      </c>
      <c r="K1055" s="517"/>
      <c r="L1055" s="517" t="s">
        <v>13523</v>
      </c>
      <c r="M1055" s="517" t="s">
        <v>309</v>
      </c>
      <c r="N1055" s="518" t="s">
        <v>3099</v>
      </c>
      <c r="O1055" s="517">
        <v>2</v>
      </c>
      <c r="P1055" s="517" t="s">
        <v>647</v>
      </c>
      <c r="Q1055" s="517" t="s">
        <v>714</v>
      </c>
      <c r="R1055" s="517" t="s">
        <v>714</v>
      </c>
      <c r="S1055" s="517" t="s">
        <v>632</v>
      </c>
      <c r="T1055" s="518" t="s">
        <v>3098</v>
      </c>
      <c r="U1055" s="38">
        <v>0</v>
      </c>
      <c r="V1055" s="15" t="str">
        <f t="shared" si="102"/>
        <v/>
      </c>
      <c r="W1055" s="1"/>
      <c r="X1055" s="1"/>
      <c r="Y1055" s="1"/>
      <c r="Z1055" s="1"/>
      <c r="AA1055" s="1"/>
      <c r="AB1055" s="3"/>
      <c r="AC1055" s="9"/>
      <c r="AD1055" s="517" t="e">
        <v>#N/A</v>
      </c>
      <c r="AE1055" s="517" t="e">
        <v>#N/A</v>
      </c>
      <c r="AF1055" s="517" t="e">
        <v>#N/A</v>
      </c>
      <c r="AG1055" s="520" t="e">
        <v>#N/A</v>
      </c>
      <c r="AH1055" s="9"/>
      <c r="AI1055" s="10"/>
      <c r="AJ1055" s="9">
        <f t="shared" si="104"/>
        <v>0</v>
      </c>
      <c r="AK1055" s="10"/>
      <c r="AL1055" s="10"/>
    </row>
    <row r="1056" spans="1:38" ht="22.5" hidden="1">
      <c r="A1056" s="1">
        <f t="shared" si="103"/>
        <v>0</v>
      </c>
      <c r="B1056" s="2" t="s">
        <v>3122</v>
      </c>
      <c r="C1056" s="3" t="s">
        <v>3123</v>
      </c>
      <c r="D1056" s="15" t="s">
        <v>11644</v>
      </c>
      <c r="E1056" s="4" t="s">
        <v>3122</v>
      </c>
      <c r="F1056" s="37" t="s">
        <v>3123</v>
      </c>
      <c r="G1056" s="38">
        <v>0</v>
      </c>
      <c r="H1056" s="38">
        <v>0</v>
      </c>
      <c r="I1056" s="15"/>
      <c r="J1056" s="494">
        <v>20205050114</v>
      </c>
      <c r="K1056" s="517"/>
      <c r="L1056" s="517" t="s">
        <v>13523</v>
      </c>
      <c r="M1056" s="517" t="s">
        <v>309</v>
      </c>
      <c r="N1056" s="518" t="s">
        <v>3099</v>
      </c>
      <c r="O1056" s="517">
        <v>2</v>
      </c>
      <c r="P1056" s="517" t="s">
        <v>647</v>
      </c>
      <c r="Q1056" s="517" t="s">
        <v>714</v>
      </c>
      <c r="R1056" s="517" t="s">
        <v>714</v>
      </c>
      <c r="S1056" s="517" t="s">
        <v>632</v>
      </c>
      <c r="T1056" s="518" t="s">
        <v>3098</v>
      </c>
      <c r="U1056" s="38">
        <v>0</v>
      </c>
      <c r="V1056" s="15" t="str">
        <f t="shared" si="102"/>
        <v/>
      </c>
      <c r="W1056" s="1"/>
      <c r="X1056" s="1"/>
      <c r="Y1056" s="1"/>
      <c r="Z1056" s="1"/>
      <c r="AA1056" s="1"/>
      <c r="AB1056" s="3"/>
      <c r="AC1056" s="9"/>
      <c r="AD1056" s="517" t="e">
        <v>#N/A</v>
      </c>
      <c r="AE1056" s="517" t="e">
        <v>#N/A</v>
      </c>
      <c r="AF1056" s="517" t="e">
        <v>#N/A</v>
      </c>
      <c r="AG1056" s="520" t="e">
        <v>#N/A</v>
      </c>
      <c r="AH1056" s="9"/>
      <c r="AI1056" s="10"/>
      <c r="AJ1056" s="9">
        <f t="shared" si="104"/>
        <v>0</v>
      </c>
      <c r="AK1056" s="10"/>
      <c r="AL1056" s="10"/>
    </row>
    <row r="1057" spans="1:38" ht="22.5" hidden="1">
      <c r="A1057" s="1">
        <f t="shared" si="103"/>
        <v>0</v>
      </c>
      <c r="B1057" s="2" t="s">
        <v>3124</v>
      </c>
      <c r="C1057" s="3" t="s">
        <v>3125</v>
      </c>
      <c r="D1057" s="15" t="s">
        <v>11644</v>
      </c>
      <c r="E1057" s="4" t="s">
        <v>3124</v>
      </c>
      <c r="F1057" s="37" t="s">
        <v>3125</v>
      </c>
      <c r="G1057" s="38">
        <v>0</v>
      </c>
      <c r="H1057" s="38">
        <v>0</v>
      </c>
      <c r="I1057" s="15"/>
      <c r="J1057" s="494">
        <v>20205050115</v>
      </c>
      <c r="K1057" s="517"/>
      <c r="L1057" s="517" t="s">
        <v>13523</v>
      </c>
      <c r="M1057" s="517" t="s">
        <v>309</v>
      </c>
      <c r="N1057" s="518" t="s">
        <v>3099</v>
      </c>
      <c r="O1057" s="517">
        <v>2</v>
      </c>
      <c r="P1057" s="517" t="s">
        <v>647</v>
      </c>
      <c r="Q1057" s="517" t="s">
        <v>714</v>
      </c>
      <c r="R1057" s="517" t="s">
        <v>714</v>
      </c>
      <c r="S1057" s="517" t="s">
        <v>632</v>
      </c>
      <c r="T1057" s="518" t="s">
        <v>3098</v>
      </c>
      <c r="U1057" s="38">
        <v>0</v>
      </c>
      <c r="V1057" s="15" t="str">
        <f t="shared" si="102"/>
        <v/>
      </c>
      <c r="W1057" s="1"/>
      <c r="X1057" s="1"/>
      <c r="Y1057" s="1"/>
      <c r="Z1057" s="1"/>
      <c r="AA1057" s="1"/>
      <c r="AB1057" s="3"/>
      <c r="AC1057" s="9"/>
      <c r="AD1057" s="517" t="e">
        <v>#N/A</v>
      </c>
      <c r="AE1057" s="517" t="e">
        <v>#N/A</v>
      </c>
      <c r="AF1057" s="517" t="e">
        <v>#N/A</v>
      </c>
      <c r="AG1057" s="520" t="e">
        <v>#N/A</v>
      </c>
      <c r="AH1057" s="9"/>
      <c r="AI1057" s="10"/>
      <c r="AJ1057" s="9">
        <f t="shared" si="104"/>
        <v>0</v>
      </c>
      <c r="AK1057" s="10"/>
      <c r="AL1057" s="10"/>
    </row>
    <row r="1058" spans="1:38" ht="22.5" hidden="1">
      <c r="A1058" s="1">
        <f t="shared" si="103"/>
        <v>0</v>
      </c>
      <c r="B1058" s="2" t="s">
        <v>3126</v>
      </c>
      <c r="C1058" s="3" t="s">
        <v>3127</v>
      </c>
      <c r="D1058" s="15" t="s">
        <v>11644</v>
      </c>
      <c r="E1058" s="4" t="s">
        <v>3126</v>
      </c>
      <c r="F1058" s="37" t="s">
        <v>3128</v>
      </c>
      <c r="G1058" s="38">
        <v>0</v>
      </c>
      <c r="H1058" s="38">
        <v>0</v>
      </c>
      <c r="I1058" s="15"/>
      <c r="J1058" s="494">
        <v>20205050116</v>
      </c>
      <c r="K1058" s="517"/>
      <c r="L1058" s="517" t="s">
        <v>13523</v>
      </c>
      <c r="M1058" s="517" t="s">
        <v>309</v>
      </c>
      <c r="N1058" s="518" t="s">
        <v>3099</v>
      </c>
      <c r="O1058" s="517">
        <v>2</v>
      </c>
      <c r="P1058" s="517" t="s">
        <v>647</v>
      </c>
      <c r="Q1058" s="517" t="s">
        <v>714</v>
      </c>
      <c r="R1058" s="517" t="s">
        <v>714</v>
      </c>
      <c r="S1058" s="517" t="s">
        <v>632</v>
      </c>
      <c r="T1058" s="518" t="s">
        <v>3098</v>
      </c>
      <c r="U1058" s="38">
        <v>0</v>
      </c>
      <c r="V1058" s="15" t="str">
        <f t="shared" si="102"/>
        <v/>
      </c>
      <c r="W1058" s="1"/>
      <c r="X1058" s="1"/>
      <c r="Y1058" s="1"/>
      <c r="Z1058" s="1"/>
      <c r="AA1058" s="1"/>
      <c r="AB1058" s="3"/>
      <c r="AC1058" s="9"/>
      <c r="AD1058" s="517" t="e">
        <v>#N/A</v>
      </c>
      <c r="AE1058" s="517" t="e">
        <v>#N/A</v>
      </c>
      <c r="AF1058" s="517" t="e">
        <v>#N/A</v>
      </c>
      <c r="AG1058" s="520" t="e">
        <v>#N/A</v>
      </c>
      <c r="AH1058" s="9"/>
      <c r="AI1058" s="10"/>
      <c r="AJ1058" s="9">
        <f t="shared" si="104"/>
        <v>0</v>
      </c>
      <c r="AK1058" s="10"/>
      <c r="AL1058" s="10"/>
    </row>
    <row r="1059" spans="1:38" ht="33.75" hidden="1">
      <c r="A1059" s="1">
        <f t="shared" si="103"/>
        <v>0</v>
      </c>
      <c r="B1059" s="2" t="s">
        <v>3129</v>
      </c>
      <c r="C1059" s="3" t="s">
        <v>3130</v>
      </c>
      <c r="D1059" s="15" t="s">
        <v>11644</v>
      </c>
      <c r="E1059" s="4" t="s">
        <v>3129</v>
      </c>
      <c r="F1059" s="37" t="s">
        <v>3130</v>
      </c>
      <c r="G1059" s="38">
        <v>0</v>
      </c>
      <c r="H1059" s="38">
        <v>0</v>
      </c>
      <c r="I1059" s="15"/>
      <c r="J1059" s="494">
        <v>20205050117</v>
      </c>
      <c r="K1059" s="517"/>
      <c r="L1059" s="517" t="s">
        <v>13523</v>
      </c>
      <c r="M1059" s="517" t="s">
        <v>309</v>
      </c>
      <c r="N1059" s="518" t="s">
        <v>3099</v>
      </c>
      <c r="O1059" s="517">
        <v>2</v>
      </c>
      <c r="P1059" s="517" t="s">
        <v>647</v>
      </c>
      <c r="Q1059" s="517" t="s">
        <v>714</v>
      </c>
      <c r="R1059" s="517" t="s">
        <v>714</v>
      </c>
      <c r="S1059" s="517" t="s">
        <v>632</v>
      </c>
      <c r="T1059" s="518" t="s">
        <v>3098</v>
      </c>
      <c r="U1059" s="38">
        <v>0</v>
      </c>
      <c r="V1059" s="15" t="str">
        <f t="shared" si="102"/>
        <v/>
      </c>
      <c r="W1059" s="1"/>
      <c r="X1059" s="1"/>
      <c r="Y1059" s="1"/>
      <c r="Z1059" s="1"/>
      <c r="AA1059" s="1"/>
      <c r="AB1059" s="3"/>
      <c r="AC1059" s="9"/>
      <c r="AD1059" s="517" t="e">
        <v>#N/A</v>
      </c>
      <c r="AE1059" s="517" t="e">
        <v>#N/A</v>
      </c>
      <c r="AF1059" s="517" t="e">
        <v>#N/A</v>
      </c>
      <c r="AG1059" s="520" t="e">
        <v>#N/A</v>
      </c>
      <c r="AH1059" s="9"/>
      <c r="AI1059" s="10"/>
      <c r="AJ1059" s="9">
        <f t="shared" si="104"/>
        <v>0</v>
      </c>
      <c r="AK1059" s="10"/>
      <c r="AL1059" s="10"/>
    </row>
    <row r="1060" spans="1:38" ht="22.5" hidden="1">
      <c r="A1060" s="1">
        <f t="shared" si="103"/>
        <v>0</v>
      </c>
      <c r="B1060" s="2" t="s">
        <v>3131</v>
      </c>
      <c r="C1060" s="3" t="s">
        <v>3132</v>
      </c>
      <c r="D1060" s="15" t="s">
        <v>11644</v>
      </c>
      <c r="E1060" s="4" t="s">
        <v>3131</v>
      </c>
      <c r="F1060" s="37" t="s">
        <v>3132</v>
      </c>
      <c r="G1060" s="38">
        <v>0</v>
      </c>
      <c r="H1060" s="38">
        <v>0</v>
      </c>
      <c r="I1060" s="15"/>
      <c r="J1060" s="494">
        <v>20205050118</v>
      </c>
      <c r="K1060" s="517"/>
      <c r="L1060" s="517" t="s">
        <v>13523</v>
      </c>
      <c r="M1060" s="517" t="s">
        <v>309</v>
      </c>
      <c r="N1060" s="518" t="s">
        <v>3099</v>
      </c>
      <c r="O1060" s="517">
        <v>2</v>
      </c>
      <c r="P1060" s="517" t="s">
        <v>647</v>
      </c>
      <c r="Q1060" s="517" t="s">
        <v>714</v>
      </c>
      <c r="R1060" s="517" t="s">
        <v>714</v>
      </c>
      <c r="S1060" s="517" t="s">
        <v>632</v>
      </c>
      <c r="T1060" s="518" t="s">
        <v>3098</v>
      </c>
      <c r="U1060" s="38">
        <v>0</v>
      </c>
      <c r="V1060" s="15" t="str">
        <f t="shared" si="102"/>
        <v/>
      </c>
      <c r="W1060" s="1"/>
      <c r="X1060" s="1"/>
      <c r="Y1060" s="1"/>
      <c r="Z1060" s="1"/>
      <c r="AA1060" s="1"/>
      <c r="AB1060" s="3"/>
      <c r="AC1060" s="9"/>
      <c r="AD1060" s="517" t="e">
        <v>#N/A</v>
      </c>
      <c r="AE1060" s="517" t="e">
        <v>#N/A</v>
      </c>
      <c r="AF1060" s="517" t="e">
        <v>#N/A</v>
      </c>
      <c r="AG1060" s="520" t="e">
        <v>#N/A</v>
      </c>
      <c r="AH1060" s="9"/>
      <c r="AI1060" s="10"/>
      <c r="AJ1060" s="9">
        <f t="shared" si="104"/>
        <v>0</v>
      </c>
      <c r="AK1060" s="10"/>
      <c r="AL1060" s="10"/>
    </row>
    <row r="1061" spans="1:38" ht="22.5" hidden="1">
      <c r="A1061" s="1">
        <f t="shared" si="103"/>
        <v>0</v>
      </c>
      <c r="B1061" s="2" t="s">
        <v>3133</v>
      </c>
      <c r="C1061" s="3" t="s">
        <v>3134</v>
      </c>
      <c r="D1061" s="15" t="s">
        <v>11644</v>
      </c>
      <c r="E1061" s="4" t="s">
        <v>3133</v>
      </c>
      <c r="F1061" s="37" t="s">
        <v>3134</v>
      </c>
      <c r="G1061" s="38">
        <v>0</v>
      </c>
      <c r="H1061" s="38">
        <v>0</v>
      </c>
      <c r="I1061" s="15"/>
      <c r="J1061" s="494">
        <v>20205050119</v>
      </c>
      <c r="K1061" s="517"/>
      <c r="L1061" s="517" t="s">
        <v>13523</v>
      </c>
      <c r="M1061" s="517" t="s">
        <v>309</v>
      </c>
      <c r="N1061" s="518" t="s">
        <v>3099</v>
      </c>
      <c r="O1061" s="517">
        <v>2</v>
      </c>
      <c r="P1061" s="517" t="s">
        <v>647</v>
      </c>
      <c r="Q1061" s="517" t="s">
        <v>714</v>
      </c>
      <c r="R1061" s="517" t="s">
        <v>714</v>
      </c>
      <c r="S1061" s="517" t="s">
        <v>632</v>
      </c>
      <c r="T1061" s="518" t="s">
        <v>3098</v>
      </c>
      <c r="U1061" s="38">
        <v>0</v>
      </c>
      <c r="V1061" s="15" t="str">
        <f t="shared" si="102"/>
        <v/>
      </c>
      <c r="W1061" s="1"/>
      <c r="X1061" s="1"/>
      <c r="Y1061" s="1"/>
      <c r="Z1061" s="1"/>
      <c r="AA1061" s="1"/>
      <c r="AB1061" s="3"/>
      <c r="AC1061" s="9"/>
      <c r="AD1061" s="517" t="e">
        <v>#N/A</v>
      </c>
      <c r="AE1061" s="517" t="e">
        <v>#N/A</v>
      </c>
      <c r="AF1061" s="517" t="e">
        <v>#N/A</v>
      </c>
      <c r="AG1061" s="520" t="e">
        <v>#N/A</v>
      </c>
      <c r="AH1061" s="9"/>
      <c r="AI1061" s="10"/>
      <c r="AJ1061" s="9">
        <f t="shared" si="104"/>
        <v>0</v>
      </c>
      <c r="AK1061" s="10"/>
      <c r="AL1061" s="10"/>
    </row>
    <row r="1062" spans="1:38" ht="33.75" hidden="1">
      <c r="A1062" s="1">
        <f t="shared" si="103"/>
        <v>0</v>
      </c>
      <c r="B1062" s="2" t="s">
        <v>3135</v>
      </c>
      <c r="C1062" s="3" t="s">
        <v>3136</v>
      </c>
      <c r="D1062" s="15" t="s">
        <v>11644</v>
      </c>
      <c r="E1062" s="4" t="s">
        <v>3135</v>
      </c>
      <c r="F1062" s="37" t="s">
        <v>3136</v>
      </c>
      <c r="G1062" s="38">
        <v>35390.1</v>
      </c>
      <c r="H1062" s="38">
        <v>35390.1</v>
      </c>
      <c r="I1062" s="15"/>
      <c r="J1062" s="494">
        <v>20205050120</v>
      </c>
      <c r="K1062" s="517"/>
      <c r="L1062" s="517" t="s">
        <v>13523</v>
      </c>
      <c r="M1062" s="517" t="s">
        <v>309</v>
      </c>
      <c r="N1062" s="518" t="s">
        <v>3099</v>
      </c>
      <c r="O1062" s="517">
        <v>2</v>
      </c>
      <c r="P1062" s="517" t="s">
        <v>647</v>
      </c>
      <c r="Q1062" s="517" t="s">
        <v>714</v>
      </c>
      <c r="R1062" s="517" t="s">
        <v>714</v>
      </c>
      <c r="S1062" s="517" t="s">
        <v>632</v>
      </c>
      <c r="T1062" s="518" t="s">
        <v>3098</v>
      </c>
      <c r="U1062" s="38">
        <v>35390.1</v>
      </c>
      <c r="V1062" s="15" t="str">
        <f t="shared" si="102"/>
        <v/>
      </c>
      <c r="W1062" s="1"/>
      <c r="X1062" s="1"/>
      <c r="Y1062" s="1"/>
      <c r="Z1062" s="1"/>
      <c r="AA1062" s="1"/>
      <c r="AB1062" s="3"/>
      <c r="AC1062" s="9"/>
      <c r="AD1062" s="517" t="e">
        <v>#N/A</v>
      </c>
      <c r="AE1062" s="517" t="e">
        <v>#N/A</v>
      </c>
      <c r="AF1062" s="517" t="e">
        <v>#N/A</v>
      </c>
      <c r="AG1062" s="520" t="e">
        <v>#N/A</v>
      </c>
      <c r="AH1062" s="9"/>
      <c r="AI1062" s="10"/>
      <c r="AJ1062" s="9">
        <f t="shared" si="104"/>
        <v>-35390.1</v>
      </c>
      <c r="AK1062" s="10"/>
      <c r="AL1062" s="10"/>
    </row>
    <row r="1063" spans="1:38" ht="33.75" hidden="1">
      <c r="A1063" s="1">
        <f t="shared" si="103"/>
        <v>0</v>
      </c>
      <c r="B1063" s="2" t="s">
        <v>3137</v>
      </c>
      <c r="C1063" s="3" t="s">
        <v>3138</v>
      </c>
      <c r="D1063" s="15" t="s">
        <v>11644</v>
      </c>
      <c r="E1063" s="4" t="s">
        <v>3137</v>
      </c>
      <c r="F1063" s="37" t="s">
        <v>3138</v>
      </c>
      <c r="G1063" s="38">
        <v>592070.99</v>
      </c>
      <c r="H1063" s="38">
        <v>716953.3</v>
      </c>
      <c r="I1063" s="15"/>
      <c r="J1063" s="494">
        <v>20205050121</v>
      </c>
      <c r="K1063" s="517"/>
      <c r="L1063" s="517" t="s">
        <v>13523</v>
      </c>
      <c r="M1063" s="517" t="s">
        <v>309</v>
      </c>
      <c r="N1063" s="518" t="s">
        <v>3099</v>
      </c>
      <c r="O1063" s="517">
        <v>2</v>
      </c>
      <c r="P1063" s="517" t="s">
        <v>647</v>
      </c>
      <c r="Q1063" s="517" t="s">
        <v>714</v>
      </c>
      <c r="R1063" s="517" t="s">
        <v>714</v>
      </c>
      <c r="S1063" s="517" t="s">
        <v>632</v>
      </c>
      <c r="T1063" s="518" t="s">
        <v>3098</v>
      </c>
      <c r="U1063" s="38">
        <v>716953.3</v>
      </c>
      <c r="V1063" s="15" t="str">
        <f t="shared" si="102"/>
        <v/>
      </c>
      <c r="W1063" s="1"/>
      <c r="X1063" s="1"/>
      <c r="Y1063" s="1"/>
      <c r="Z1063" s="1"/>
      <c r="AA1063" s="1"/>
      <c r="AB1063" s="3"/>
      <c r="AC1063" s="9"/>
      <c r="AD1063" s="517" t="e">
        <v>#N/A</v>
      </c>
      <c r="AE1063" s="517" t="e">
        <v>#N/A</v>
      </c>
      <c r="AF1063" s="517" t="e">
        <v>#N/A</v>
      </c>
      <c r="AG1063" s="520" t="e">
        <v>#N/A</v>
      </c>
      <c r="AH1063" s="9"/>
      <c r="AI1063" s="10"/>
      <c r="AJ1063" s="9">
        <f t="shared" si="104"/>
        <v>-716953.3</v>
      </c>
      <c r="AK1063" s="10"/>
      <c r="AL1063" s="10"/>
    </row>
    <row r="1064" spans="1:38" ht="45" hidden="1">
      <c r="A1064" s="1">
        <f t="shared" si="103"/>
        <v>0</v>
      </c>
      <c r="B1064" s="2" t="s">
        <v>3139</v>
      </c>
      <c r="C1064" s="3" t="s">
        <v>3140</v>
      </c>
      <c r="D1064" s="15" t="s">
        <v>11644</v>
      </c>
      <c r="E1064" s="4" t="s">
        <v>3139</v>
      </c>
      <c r="F1064" s="37" t="s">
        <v>3140</v>
      </c>
      <c r="G1064" s="38">
        <v>229851.33</v>
      </c>
      <c r="H1064" s="38">
        <v>131651.5</v>
      </c>
      <c r="I1064" s="15"/>
      <c r="J1064" s="494">
        <v>20205050122</v>
      </c>
      <c r="L1064" s="523" t="s">
        <v>13523</v>
      </c>
      <c r="M1064" s="523" t="s">
        <v>309</v>
      </c>
      <c r="N1064" s="518" t="s">
        <v>3099</v>
      </c>
      <c r="O1064" s="523">
        <v>2</v>
      </c>
      <c r="P1064" s="523" t="s">
        <v>647</v>
      </c>
      <c r="Q1064" s="523" t="s">
        <v>714</v>
      </c>
      <c r="R1064" s="523" t="s">
        <v>714</v>
      </c>
      <c r="S1064" s="523" t="s">
        <v>632</v>
      </c>
      <c r="T1064" s="518" t="s">
        <v>3098</v>
      </c>
      <c r="U1064" s="38">
        <v>131651.5</v>
      </c>
      <c r="V1064" s="15" t="str">
        <f t="shared" si="102"/>
        <v/>
      </c>
      <c r="W1064" s="10"/>
      <c r="X1064" s="10"/>
      <c r="Y1064" s="10"/>
      <c r="Z1064" s="10"/>
      <c r="AA1064" s="10"/>
      <c r="AB1064" s="10"/>
      <c r="AC1064" s="9"/>
      <c r="AD1064" s="523" t="e">
        <v>#N/A</v>
      </c>
      <c r="AE1064" s="523" t="e">
        <v>#N/A</v>
      </c>
      <c r="AF1064" s="523" t="e">
        <v>#N/A</v>
      </c>
      <c r="AG1064" s="524" t="e">
        <v>#N/A</v>
      </c>
      <c r="AH1064" s="9"/>
      <c r="AI1064" s="10"/>
      <c r="AJ1064" s="9">
        <f t="shared" si="104"/>
        <v>-131651.5</v>
      </c>
      <c r="AK1064" s="10"/>
      <c r="AL1064" s="10"/>
    </row>
    <row r="1065" spans="1:38" ht="22.5" hidden="1">
      <c r="A1065" s="1">
        <f t="shared" si="103"/>
        <v>0</v>
      </c>
      <c r="B1065" s="2" t="s">
        <v>3141</v>
      </c>
      <c r="C1065" s="3" t="s">
        <v>3142</v>
      </c>
      <c r="D1065" s="15" t="s">
        <v>11644</v>
      </c>
      <c r="E1065" s="4" t="s">
        <v>3141</v>
      </c>
      <c r="F1065" s="37" t="s">
        <v>3142</v>
      </c>
      <c r="G1065" s="38">
        <v>43674.74</v>
      </c>
      <c r="H1065" s="38">
        <v>43674.74</v>
      </c>
      <c r="I1065" s="15"/>
      <c r="J1065" s="494">
        <v>20205050123</v>
      </c>
      <c r="L1065" s="523" t="s">
        <v>13523</v>
      </c>
      <c r="M1065" s="523" t="s">
        <v>309</v>
      </c>
      <c r="N1065" s="518" t="s">
        <v>3099</v>
      </c>
      <c r="O1065" s="523">
        <v>2</v>
      </c>
      <c r="P1065" s="523" t="s">
        <v>647</v>
      </c>
      <c r="Q1065" s="523" t="s">
        <v>714</v>
      </c>
      <c r="R1065" s="523" t="s">
        <v>714</v>
      </c>
      <c r="S1065" s="523" t="s">
        <v>632</v>
      </c>
      <c r="T1065" s="518" t="s">
        <v>3098</v>
      </c>
      <c r="U1065" s="38">
        <v>43674.74</v>
      </c>
      <c r="V1065" s="15" t="str">
        <f t="shared" si="102"/>
        <v/>
      </c>
      <c r="W1065" s="10"/>
      <c r="X1065" s="10"/>
      <c r="Y1065" s="10"/>
      <c r="Z1065" s="10"/>
      <c r="AA1065" s="10"/>
      <c r="AB1065" s="10"/>
      <c r="AC1065" s="9"/>
      <c r="AD1065" s="523" t="e">
        <v>#N/A</v>
      </c>
      <c r="AE1065" s="523" t="e">
        <v>#N/A</v>
      </c>
      <c r="AF1065" s="523" t="e">
        <v>#N/A</v>
      </c>
      <c r="AG1065" s="524" t="e">
        <v>#N/A</v>
      </c>
      <c r="AH1065" s="9"/>
      <c r="AI1065" s="10"/>
      <c r="AJ1065" s="9">
        <f t="shared" si="104"/>
        <v>-43674.74</v>
      </c>
      <c r="AK1065" s="10"/>
      <c r="AL1065" s="10"/>
    </row>
    <row r="1066" spans="1:38" ht="22.5" hidden="1">
      <c r="A1066" s="1">
        <f t="shared" si="103"/>
        <v>0</v>
      </c>
      <c r="B1066" s="2" t="s">
        <v>3143</v>
      </c>
      <c r="C1066" s="3" t="s">
        <v>3144</v>
      </c>
      <c r="D1066" s="15" t="s">
        <v>11644</v>
      </c>
      <c r="E1066" s="4" t="s">
        <v>3143</v>
      </c>
      <c r="F1066" s="37" t="s">
        <v>3144</v>
      </c>
      <c r="G1066" s="47">
        <v>33302.85</v>
      </c>
      <c r="H1066" s="38">
        <v>33302.85</v>
      </c>
      <c r="I1066" s="15"/>
      <c r="J1066" s="494">
        <v>20205050124</v>
      </c>
      <c r="L1066" s="523" t="s">
        <v>13523</v>
      </c>
      <c r="M1066" s="523" t="s">
        <v>309</v>
      </c>
      <c r="N1066" s="518" t="s">
        <v>3099</v>
      </c>
      <c r="O1066" s="523">
        <v>2</v>
      </c>
      <c r="P1066" s="523" t="s">
        <v>647</v>
      </c>
      <c r="Q1066" s="523" t="s">
        <v>714</v>
      </c>
      <c r="R1066" s="523" t="s">
        <v>714</v>
      </c>
      <c r="S1066" s="523" t="s">
        <v>632</v>
      </c>
      <c r="T1066" s="518" t="s">
        <v>3098</v>
      </c>
      <c r="U1066" s="38">
        <v>33302.85</v>
      </c>
      <c r="V1066" s="15" t="str">
        <f t="shared" si="102"/>
        <v/>
      </c>
      <c r="W1066" s="10"/>
      <c r="X1066" s="10"/>
      <c r="Y1066" s="10"/>
      <c r="Z1066" s="10"/>
      <c r="AA1066" s="10"/>
      <c r="AB1066" s="10"/>
      <c r="AC1066" s="9"/>
      <c r="AD1066" s="523" t="e">
        <v>#N/A</v>
      </c>
      <c r="AE1066" s="523" t="e">
        <v>#N/A</v>
      </c>
      <c r="AF1066" s="523" t="e">
        <v>#N/A</v>
      </c>
      <c r="AG1066" s="524" t="e">
        <v>#N/A</v>
      </c>
      <c r="AH1066" s="9"/>
      <c r="AI1066" s="10"/>
      <c r="AJ1066" s="9">
        <f t="shared" si="104"/>
        <v>-33302.85</v>
      </c>
      <c r="AK1066" s="10"/>
      <c r="AL1066" s="10"/>
    </row>
    <row r="1067" spans="1:38" ht="45" hidden="1">
      <c r="A1067" s="1">
        <f t="shared" si="103"/>
        <v>0</v>
      </c>
      <c r="D1067" s="15" t="s">
        <v>16</v>
      </c>
      <c r="E1067" s="30"/>
      <c r="F1067" s="31" t="s">
        <v>3145</v>
      </c>
      <c r="G1067" s="32">
        <f>G1068</f>
        <v>0</v>
      </c>
      <c r="H1067" s="32">
        <f>H1068+H1069+H1070</f>
        <v>340000</v>
      </c>
      <c r="I1067" s="15"/>
      <c r="J1067" s="494"/>
      <c r="K1067" s="513"/>
      <c r="L1067" s="513"/>
      <c r="M1067" s="513"/>
      <c r="N1067" s="514"/>
      <c r="O1067" s="513"/>
      <c r="P1067" s="513"/>
      <c r="Q1067" s="513"/>
      <c r="R1067" s="513"/>
      <c r="S1067" s="513"/>
      <c r="T1067" s="514"/>
      <c r="U1067" s="32">
        <f>U1068+U1069+U1070</f>
        <v>340000</v>
      </c>
      <c r="V1067" s="15" t="str">
        <f t="shared" si="102"/>
        <v>202050600</v>
      </c>
      <c r="W1067" s="33">
        <v>2</v>
      </c>
      <c r="X1067" s="34" t="s">
        <v>647</v>
      </c>
      <c r="Y1067" s="34" t="s">
        <v>714</v>
      </c>
      <c r="Z1067" s="35" t="s">
        <v>739</v>
      </c>
      <c r="AA1067" s="35" t="s">
        <v>630</v>
      </c>
      <c r="AB1067" s="31" t="s">
        <v>3145</v>
      </c>
      <c r="AC1067" s="594">
        <f>AC1068+AC1069+AC1070</f>
        <v>340000</v>
      </c>
      <c r="AD1067" s="513">
        <v>0</v>
      </c>
      <c r="AE1067" s="513" t="s">
        <v>13524</v>
      </c>
      <c r="AF1067" s="513" t="s">
        <v>3146</v>
      </c>
      <c r="AG1067" s="514" t="s">
        <v>3147</v>
      </c>
      <c r="AH1067" s="32">
        <f>AH1068+AH1069+AH1070</f>
        <v>340000</v>
      </c>
      <c r="AI1067" s="10"/>
      <c r="AJ1067" s="9">
        <f t="shared" si="104"/>
        <v>0</v>
      </c>
      <c r="AK1067" s="10"/>
      <c r="AL1067" s="10"/>
    </row>
    <row r="1068" spans="1:38" ht="33.75" hidden="1">
      <c r="A1068" s="1">
        <f t="shared" si="103"/>
        <v>0</v>
      </c>
      <c r="B1068" s="2" t="s">
        <v>3148</v>
      </c>
      <c r="C1068" s="3" t="s">
        <v>3145</v>
      </c>
      <c r="D1068" s="15" t="s">
        <v>11647</v>
      </c>
      <c r="E1068" s="4" t="s">
        <v>3148</v>
      </c>
      <c r="F1068" s="37" t="s">
        <v>11648</v>
      </c>
      <c r="G1068" s="38">
        <v>0</v>
      </c>
      <c r="H1068" s="38">
        <v>168267.91</v>
      </c>
      <c r="I1068" s="15"/>
      <c r="J1068" s="494">
        <v>20205060101</v>
      </c>
      <c r="K1068" s="517"/>
      <c r="L1068" s="517" t="s">
        <v>13524</v>
      </c>
      <c r="M1068" s="517" t="s">
        <v>3146</v>
      </c>
      <c r="N1068" s="518" t="s">
        <v>3147</v>
      </c>
      <c r="O1068" s="517">
        <v>2</v>
      </c>
      <c r="P1068" s="517" t="s">
        <v>647</v>
      </c>
      <c r="Q1068" s="517" t="s">
        <v>714</v>
      </c>
      <c r="R1068" s="517" t="s">
        <v>739</v>
      </c>
      <c r="S1068" s="517" t="s">
        <v>632</v>
      </c>
      <c r="T1068" s="518" t="s">
        <v>3145</v>
      </c>
      <c r="U1068" s="38">
        <v>168267.91</v>
      </c>
      <c r="V1068" s="15" t="str">
        <f t="shared" si="102"/>
        <v>202050601</v>
      </c>
      <c r="W1068" s="39">
        <v>2</v>
      </c>
      <c r="X1068" s="40" t="s">
        <v>647</v>
      </c>
      <c r="Y1068" s="40" t="s">
        <v>714</v>
      </c>
      <c r="Z1068" s="40" t="s">
        <v>739</v>
      </c>
      <c r="AA1068" s="40" t="s">
        <v>632</v>
      </c>
      <c r="AB1068" s="41" t="s">
        <v>3145</v>
      </c>
      <c r="AC1068" s="9">
        <f>H1068</f>
        <v>168267.91</v>
      </c>
      <c r="AD1068" s="517">
        <v>0</v>
      </c>
      <c r="AE1068" s="517" t="s">
        <v>13524</v>
      </c>
      <c r="AF1068" s="517" t="s">
        <v>3146</v>
      </c>
      <c r="AG1068" s="520" t="s">
        <v>3147</v>
      </c>
      <c r="AH1068" s="67">
        <f>AC1068</f>
        <v>168267.91</v>
      </c>
      <c r="AI1068" s="10"/>
      <c r="AJ1068" s="9">
        <f t="shared" si="104"/>
        <v>0</v>
      </c>
      <c r="AK1068" s="10"/>
      <c r="AL1068" s="10"/>
    </row>
    <row r="1069" spans="1:38" ht="33.75" hidden="1">
      <c r="D1069" s="15" t="s">
        <v>11647</v>
      </c>
      <c r="E1069" s="4" t="s">
        <v>11649</v>
      </c>
      <c r="F1069" s="37" t="s">
        <v>11650</v>
      </c>
      <c r="G1069" s="38"/>
      <c r="H1069" s="38">
        <v>98069.77</v>
      </c>
      <c r="I1069" s="15"/>
      <c r="J1069" s="494">
        <v>20205060102</v>
      </c>
      <c r="K1069" s="517"/>
      <c r="L1069" s="517" t="s">
        <v>13524</v>
      </c>
      <c r="M1069" s="517" t="s">
        <v>3146</v>
      </c>
      <c r="N1069" s="518" t="s">
        <v>3147</v>
      </c>
      <c r="O1069" s="517">
        <v>2</v>
      </c>
      <c r="P1069" s="517" t="s">
        <v>647</v>
      </c>
      <c r="Q1069" s="517" t="s">
        <v>714</v>
      </c>
      <c r="R1069" s="517" t="s">
        <v>739</v>
      </c>
      <c r="S1069" s="517" t="s">
        <v>632</v>
      </c>
      <c r="T1069" s="518" t="s">
        <v>3145</v>
      </c>
      <c r="U1069" s="38">
        <v>98069.77</v>
      </c>
      <c r="V1069" s="15" t="str">
        <f t="shared" si="102"/>
        <v/>
      </c>
      <c r="W1069" s="39"/>
      <c r="X1069" s="40"/>
      <c r="Y1069" s="40"/>
      <c r="Z1069" s="40"/>
      <c r="AA1069" s="40"/>
      <c r="AB1069" s="41"/>
      <c r="AC1069" s="9">
        <f>H1069</f>
        <v>98069.77</v>
      </c>
      <c r="AD1069" s="517" t="e">
        <v>#N/A</v>
      </c>
      <c r="AE1069" s="517" t="e">
        <v>#N/A</v>
      </c>
      <c r="AF1069" s="517" t="e">
        <v>#N/A</v>
      </c>
      <c r="AG1069" s="520" t="e">
        <v>#N/A</v>
      </c>
      <c r="AH1069" s="67">
        <f>AC1069</f>
        <v>98069.77</v>
      </c>
      <c r="AI1069" s="10"/>
      <c r="AJ1069" s="9">
        <f t="shared" si="104"/>
        <v>0</v>
      </c>
      <c r="AK1069" s="10"/>
      <c r="AL1069" s="10"/>
    </row>
    <row r="1070" spans="1:38" ht="33.75" hidden="1">
      <c r="D1070" s="15" t="s">
        <v>11647</v>
      </c>
      <c r="E1070" s="4" t="s">
        <v>11651</v>
      </c>
      <c r="F1070" s="37" t="s">
        <v>11652</v>
      </c>
      <c r="G1070" s="38"/>
      <c r="H1070" s="38">
        <v>73662.320000000007</v>
      </c>
      <c r="I1070" s="15"/>
      <c r="J1070" s="494">
        <v>20205060103</v>
      </c>
      <c r="K1070" s="517"/>
      <c r="L1070" s="517" t="s">
        <v>13524</v>
      </c>
      <c r="M1070" s="517" t="s">
        <v>3146</v>
      </c>
      <c r="N1070" s="518" t="s">
        <v>3147</v>
      </c>
      <c r="O1070" s="517">
        <v>2</v>
      </c>
      <c r="P1070" s="517" t="s">
        <v>647</v>
      </c>
      <c r="Q1070" s="517" t="s">
        <v>714</v>
      </c>
      <c r="R1070" s="517" t="s">
        <v>739</v>
      </c>
      <c r="S1070" s="517" t="s">
        <v>632</v>
      </c>
      <c r="T1070" s="518" t="s">
        <v>3145</v>
      </c>
      <c r="U1070" s="38">
        <v>73662.320000000007</v>
      </c>
      <c r="V1070" s="15" t="str">
        <f t="shared" si="102"/>
        <v/>
      </c>
      <c r="W1070" s="39"/>
      <c r="X1070" s="40"/>
      <c r="Y1070" s="40"/>
      <c r="Z1070" s="40"/>
      <c r="AA1070" s="40"/>
      <c r="AB1070" s="41"/>
      <c r="AC1070" s="9">
        <f>H1070</f>
        <v>73662.320000000007</v>
      </c>
      <c r="AD1070" s="517" t="e">
        <v>#N/A</v>
      </c>
      <c r="AE1070" s="517" t="e">
        <v>#N/A</v>
      </c>
      <c r="AF1070" s="517" t="e">
        <v>#N/A</v>
      </c>
      <c r="AG1070" s="520" t="e">
        <v>#N/A</v>
      </c>
      <c r="AH1070" s="67">
        <f>AC1070</f>
        <v>73662.320000000007</v>
      </c>
      <c r="AI1070" s="10"/>
      <c r="AJ1070" s="9">
        <f t="shared" si="104"/>
        <v>0</v>
      </c>
      <c r="AK1070" s="10"/>
      <c r="AL1070" s="10"/>
    </row>
    <row r="1071" spans="1:38" ht="22.5" hidden="1">
      <c r="A1071" s="1">
        <f t="shared" si="103"/>
        <v>0</v>
      </c>
      <c r="D1071" s="15" t="s">
        <v>16</v>
      </c>
      <c r="E1071" s="18"/>
      <c r="F1071" s="23" t="s">
        <v>3149</v>
      </c>
      <c r="G1071" s="20">
        <f>G1072+G1075+G1078</f>
        <v>367699.49</v>
      </c>
      <c r="H1071" s="20">
        <f>H1072+H1075+H1078</f>
        <v>367699.49</v>
      </c>
      <c r="I1071" s="15"/>
      <c r="J1071" s="494"/>
      <c r="K1071" s="502"/>
      <c r="L1071" s="502"/>
      <c r="M1071" s="502"/>
      <c r="N1071" s="503"/>
      <c r="O1071" s="502"/>
      <c r="P1071" s="502"/>
      <c r="Q1071" s="502"/>
      <c r="R1071" s="502"/>
      <c r="S1071" s="502"/>
      <c r="T1071" s="503"/>
      <c r="U1071" s="20">
        <f>U1072+U1075+U1078</f>
        <v>367699.49</v>
      </c>
      <c r="V1071" s="15" t="str">
        <f t="shared" si="102"/>
        <v>203000000</v>
      </c>
      <c r="W1071" s="21">
        <v>2</v>
      </c>
      <c r="X1071" s="22" t="s">
        <v>671</v>
      </c>
      <c r="Y1071" s="22" t="s">
        <v>630</v>
      </c>
      <c r="Z1071" s="22" t="s">
        <v>630</v>
      </c>
      <c r="AA1071" s="22" t="s">
        <v>630</v>
      </c>
      <c r="AB1071" s="23" t="s">
        <v>3149</v>
      </c>
      <c r="AC1071" s="540">
        <f>AC1072+AC1075+AC1078</f>
        <v>367699.49</v>
      </c>
      <c r="AD1071" s="502">
        <v>0</v>
      </c>
      <c r="AE1071" s="502" t="s">
        <v>2298</v>
      </c>
      <c r="AF1071" s="502" t="s">
        <v>3150</v>
      </c>
      <c r="AG1071" s="503" t="s">
        <v>13525</v>
      </c>
      <c r="AH1071" s="55">
        <f>AH1072+AH1075+AH1078</f>
        <v>367699.49</v>
      </c>
      <c r="AI1071" s="10"/>
      <c r="AJ1071" s="9">
        <f t="shared" si="104"/>
        <v>0</v>
      </c>
      <c r="AK1071" s="10"/>
      <c r="AL1071" s="10"/>
    </row>
    <row r="1072" spans="1:38" ht="33.75" hidden="1">
      <c r="A1072" s="1">
        <f t="shared" si="103"/>
        <v>0</v>
      </c>
      <c r="D1072" s="15" t="s">
        <v>16</v>
      </c>
      <c r="E1072" s="24"/>
      <c r="F1072" s="25" t="s">
        <v>3151</v>
      </c>
      <c r="G1072" s="26">
        <f t="shared" ref="G1072:H1073" si="105">G1073</f>
        <v>0</v>
      </c>
      <c r="H1072" s="26">
        <f t="shared" si="105"/>
        <v>0</v>
      </c>
      <c r="I1072" s="15"/>
      <c r="J1072" s="494"/>
      <c r="K1072" s="509"/>
      <c r="L1072" s="509"/>
      <c r="M1072" s="509"/>
      <c r="N1072" s="510"/>
      <c r="O1072" s="509"/>
      <c r="P1072" s="509"/>
      <c r="Q1072" s="509"/>
      <c r="R1072" s="509"/>
      <c r="S1072" s="509"/>
      <c r="T1072" s="510"/>
      <c r="U1072" s="26">
        <f t="shared" ref="U1072:U1073" si="106">U1073</f>
        <v>0</v>
      </c>
      <c r="V1072" s="15" t="str">
        <f t="shared" si="102"/>
        <v>203010000</v>
      </c>
      <c r="W1072" s="27">
        <v>2</v>
      </c>
      <c r="X1072" s="28" t="s">
        <v>671</v>
      </c>
      <c r="Y1072" s="28" t="s">
        <v>632</v>
      </c>
      <c r="Z1072" s="28" t="s">
        <v>630</v>
      </c>
      <c r="AA1072" s="28" t="s">
        <v>630</v>
      </c>
      <c r="AB1072" s="25" t="s">
        <v>3151</v>
      </c>
      <c r="AC1072" s="530">
        <f>AC1073</f>
        <v>0</v>
      </c>
      <c r="AD1072" s="509">
        <v>0</v>
      </c>
      <c r="AE1072" s="509" t="s">
        <v>13465</v>
      </c>
      <c r="AF1072" s="509" t="s">
        <v>3152</v>
      </c>
      <c r="AG1072" s="510" t="s">
        <v>13526</v>
      </c>
      <c r="AH1072" s="53">
        <f>AH1073</f>
        <v>0</v>
      </c>
      <c r="AI1072" s="10"/>
      <c r="AJ1072" s="9">
        <f t="shared" si="104"/>
        <v>0</v>
      </c>
      <c r="AK1072" s="10"/>
      <c r="AL1072" s="10"/>
    </row>
    <row r="1073" spans="1:38" ht="33.75" hidden="1">
      <c r="A1073" s="1">
        <f t="shared" si="103"/>
        <v>0</v>
      </c>
      <c r="D1073" s="15" t="s">
        <v>16</v>
      </c>
      <c r="E1073" s="30"/>
      <c r="F1073" s="31" t="s">
        <v>3153</v>
      </c>
      <c r="G1073" s="32">
        <f t="shared" si="105"/>
        <v>0</v>
      </c>
      <c r="H1073" s="32">
        <f t="shared" si="105"/>
        <v>0</v>
      </c>
      <c r="I1073" s="15"/>
      <c r="J1073" s="494"/>
      <c r="K1073" s="513"/>
      <c r="L1073" s="513"/>
      <c r="M1073" s="513"/>
      <c r="N1073" s="514"/>
      <c r="O1073" s="513"/>
      <c r="P1073" s="513"/>
      <c r="Q1073" s="513"/>
      <c r="R1073" s="513"/>
      <c r="S1073" s="513"/>
      <c r="T1073" s="514"/>
      <c r="U1073" s="32">
        <f t="shared" si="106"/>
        <v>0</v>
      </c>
      <c r="V1073" s="15" t="str">
        <f t="shared" si="102"/>
        <v>203010100</v>
      </c>
      <c r="W1073" s="33">
        <v>2</v>
      </c>
      <c r="X1073" s="34" t="s">
        <v>671</v>
      </c>
      <c r="Y1073" s="34" t="s">
        <v>632</v>
      </c>
      <c r="Z1073" s="34" t="s">
        <v>632</v>
      </c>
      <c r="AA1073" s="35" t="s">
        <v>630</v>
      </c>
      <c r="AB1073" s="31" t="s">
        <v>3153</v>
      </c>
      <c r="AC1073" s="529">
        <f>AC1074</f>
        <v>0</v>
      </c>
      <c r="AD1073" s="513">
        <v>0</v>
      </c>
      <c r="AE1073" s="513" t="s">
        <v>13465</v>
      </c>
      <c r="AF1073" s="513" t="s">
        <v>3152</v>
      </c>
      <c r="AG1073" s="514" t="s">
        <v>3154</v>
      </c>
      <c r="AH1073" s="44">
        <f>AH1074</f>
        <v>0</v>
      </c>
      <c r="AI1073" s="10"/>
      <c r="AJ1073" s="9">
        <f t="shared" si="104"/>
        <v>0</v>
      </c>
      <c r="AK1073" s="10"/>
      <c r="AL1073" s="10"/>
    </row>
    <row r="1074" spans="1:38" ht="22.5" hidden="1">
      <c r="A1074" s="1">
        <f t="shared" si="103"/>
        <v>0</v>
      </c>
      <c r="B1074" s="2" t="s">
        <v>3155</v>
      </c>
      <c r="C1074" s="3" t="s">
        <v>3156</v>
      </c>
      <c r="D1074" s="15" t="s">
        <v>11653</v>
      </c>
      <c r="E1074" s="4" t="s">
        <v>3155</v>
      </c>
      <c r="F1074" s="37" t="s">
        <v>3156</v>
      </c>
      <c r="G1074" s="38">
        <v>0</v>
      </c>
      <c r="H1074" s="38">
        <v>0</v>
      </c>
      <c r="I1074" s="15"/>
      <c r="J1074" s="494">
        <v>20301010101</v>
      </c>
      <c r="K1074" s="517"/>
      <c r="L1074" s="517" t="s">
        <v>13465</v>
      </c>
      <c r="M1074" s="517" t="s">
        <v>3152</v>
      </c>
      <c r="N1074" s="518" t="s">
        <v>3154</v>
      </c>
      <c r="O1074" s="517">
        <v>2</v>
      </c>
      <c r="P1074" s="517" t="s">
        <v>671</v>
      </c>
      <c r="Q1074" s="517" t="s">
        <v>632</v>
      </c>
      <c r="R1074" s="517" t="s">
        <v>632</v>
      </c>
      <c r="S1074" s="517" t="s">
        <v>632</v>
      </c>
      <c r="T1074" s="518" t="s">
        <v>3153</v>
      </c>
      <c r="U1074" s="38">
        <v>0</v>
      </c>
      <c r="V1074" s="15" t="str">
        <f t="shared" si="102"/>
        <v>203010101</v>
      </c>
      <c r="W1074" s="39">
        <v>2</v>
      </c>
      <c r="X1074" s="40" t="s">
        <v>671</v>
      </c>
      <c r="Y1074" s="40" t="s">
        <v>632</v>
      </c>
      <c r="Z1074" s="40" t="s">
        <v>632</v>
      </c>
      <c r="AA1074" s="40" t="s">
        <v>632</v>
      </c>
      <c r="AB1074" s="41" t="s">
        <v>3153</v>
      </c>
      <c r="AC1074" s="9">
        <f>H1074</f>
        <v>0</v>
      </c>
      <c r="AD1074" s="517">
        <v>0</v>
      </c>
      <c r="AE1074" s="517" t="s">
        <v>13465</v>
      </c>
      <c r="AF1074" s="517" t="s">
        <v>3152</v>
      </c>
      <c r="AG1074" s="520" t="s">
        <v>3154</v>
      </c>
      <c r="AH1074" s="67">
        <f>AC1074</f>
        <v>0</v>
      </c>
      <c r="AI1074" s="10"/>
      <c r="AJ1074" s="9">
        <f t="shared" si="104"/>
        <v>0</v>
      </c>
      <c r="AK1074" s="10"/>
      <c r="AL1074" s="10"/>
    </row>
    <row r="1075" spans="1:38" ht="33.75" hidden="1">
      <c r="A1075" s="1">
        <f t="shared" si="103"/>
        <v>0</v>
      </c>
      <c r="D1075" s="15" t="s">
        <v>16</v>
      </c>
      <c r="E1075" s="24"/>
      <c r="F1075" s="25" t="s">
        <v>3157</v>
      </c>
      <c r="G1075" s="26">
        <f t="shared" ref="G1075:H1076" si="107">G1076</f>
        <v>367699.49</v>
      </c>
      <c r="H1075" s="26">
        <f t="shared" si="107"/>
        <v>367699.49</v>
      </c>
      <c r="I1075" s="15"/>
      <c r="J1075" s="494"/>
      <c r="K1075" s="509"/>
      <c r="L1075" s="509"/>
      <c r="M1075" s="509"/>
      <c r="N1075" s="510"/>
      <c r="O1075" s="509"/>
      <c r="P1075" s="509"/>
      <c r="Q1075" s="509"/>
      <c r="R1075" s="509"/>
      <c r="S1075" s="509"/>
      <c r="T1075" s="510"/>
      <c r="U1075" s="26">
        <f t="shared" ref="U1075:U1076" si="108">U1076</f>
        <v>367699.49</v>
      </c>
      <c r="V1075" s="15" t="str">
        <f t="shared" si="102"/>
        <v>203020000</v>
      </c>
      <c r="W1075" s="27">
        <v>2</v>
      </c>
      <c r="X1075" s="28" t="s">
        <v>671</v>
      </c>
      <c r="Y1075" s="28" t="s">
        <v>647</v>
      </c>
      <c r="Z1075" s="28" t="s">
        <v>630</v>
      </c>
      <c r="AA1075" s="28" t="s">
        <v>630</v>
      </c>
      <c r="AB1075" s="25" t="s">
        <v>3157</v>
      </c>
      <c r="AC1075" s="530">
        <f>AC1076</f>
        <v>367699.49</v>
      </c>
      <c r="AD1075" s="509">
        <v>0</v>
      </c>
      <c r="AE1075" s="509" t="s">
        <v>13469</v>
      </c>
      <c r="AF1075" s="509" t="s">
        <v>276</v>
      </c>
      <c r="AG1075" s="510" t="s">
        <v>3158</v>
      </c>
      <c r="AH1075" s="53">
        <f>AH1076</f>
        <v>367699.49</v>
      </c>
      <c r="AI1075" s="10"/>
      <c r="AJ1075" s="9">
        <f t="shared" si="104"/>
        <v>0</v>
      </c>
      <c r="AK1075" s="10"/>
      <c r="AL1075" s="10"/>
    </row>
    <row r="1076" spans="1:38" ht="33.75" hidden="1">
      <c r="A1076" s="1">
        <f t="shared" si="103"/>
        <v>0</v>
      </c>
      <c r="D1076" s="15" t="s">
        <v>16</v>
      </c>
      <c r="E1076" s="30"/>
      <c r="F1076" s="31" t="s">
        <v>3159</v>
      </c>
      <c r="G1076" s="32">
        <f t="shared" si="107"/>
        <v>367699.49</v>
      </c>
      <c r="H1076" s="32">
        <f t="shared" si="107"/>
        <v>367699.49</v>
      </c>
      <c r="I1076" s="15"/>
      <c r="J1076" s="494"/>
      <c r="K1076" s="513"/>
      <c r="L1076" s="513"/>
      <c r="M1076" s="513"/>
      <c r="N1076" s="514"/>
      <c r="O1076" s="513"/>
      <c r="P1076" s="513"/>
      <c r="Q1076" s="513"/>
      <c r="R1076" s="513"/>
      <c r="S1076" s="513"/>
      <c r="T1076" s="514"/>
      <c r="U1076" s="32">
        <f t="shared" si="108"/>
        <v>367699.49</v>
      </c>
      <c r="V1076" s="15" t="str">
        <f t="shared" si="102"/>
        <v>203020100</v>
      </c>
      <c r="W1076" s="33">
        <v>2</v>
      </c>
      <c r="X1076" s="34" t="s">
        <v>671</v>
      </c>
      <c r="Y1076" s="34" t="s">
        <v>647</v>
      </c>
      <c r="Z1076" s="34" t="s">
        <v>632</v>
      </c>
      <c r="AA1076" s="35" t="s">
        <v>630</v>
      </c>
      <c r="AB1076" s="31" t="s">
        <v>3159</v>
      </c>
      <c r="AC1076" s="529">
        <f>AC1077</f>
        <v>367699.49</v>
      </c>
      <c r="AD1076" s="513">
        <v>0</v>
      </c>
      <c r="AE1076" s="513" t="s">
        <v>13469</v>
      </c>
      <c r="AF1076" s="513" t="s">
        <v>276</v>
      </c>
      <c r="AG1076" s="514" t="s">
        <v>3158</v>
      </c>
      <c r="AH1076" s="44">
        <f>AH1077</f>
        <v>367699.49</v>
      </c>
      <c r="AI1076" s="10"/>
      <c r="AJ1076" s="9">
        <f t="shared" si="104"/>
        <v>0</v>
      </c>
      <c r="AK1076" s="10"/>
      <c r="AL1076" s="10"/>
    </row>
    <row r="1077" spans="1:38" ht="33.75" hidden="1">
      <c r="A1077" s="1">
        <f t="shared" si="103"/>
        <v>0</v>
      </c>
      <c r="B1077" s="2" t="s">
        <v>3160</v>
      </c>
      <c r="C1077" s="3" t="s">
        <v>3157</v>
      </c>
      <c r="D1077" s="15" t="s">
        <v>11654</v>
      </c>
      <c r="E1077" s="4" t="s">
        <v>3160</v>
      </c>
      <c r="F1077" s="37" t="s">
        <v>3157</v>
      </c>
      <c r="G1077" s="38">
        <v>367699.49</v>
      </c>
      <c r="H1077" s="38">
        <v>367699.49</v>
      </c>
      <c r="I1077" s="15"/>
      <c r="J1077" s="494">
        <v>20302010101</v>
      </c>
      <c r="K1077" s="517"/>
      <c r="L1077" s="517" t="s">
        <v>13469</v>
      </c>
      <c r="M1077" s="517" t="s">
        <v>276</v>
      </c>
      <c r="N1077" s="518" t="s">
        <v>3158</v>
      </c>
      <c r="O1077" s="517">
        <v>2</v>
      </c>
      <c r="P1077" s="517" t="s">
        <v>671</v>
      </c>
      <c r="Q1077" s="517" t="s">
        <v>647</v>
      </c>
      <c r="R1077" s="517" t="s">
        <v>632</v>
      </c>
      <c r="S1077" s="517" t="s">
        <v>632</v>
      </c>
      <c r="T1077" s="518" t="s">
        <v>3159</v>
      </c>
      <c r="U1077" s="38">
        <v>367699.49</v>
      </c>
      <c r="V1077" s="15" t="str">
        <f t="shared" si="102"/>
        <v>203020101</v>
      </c>
      <c r="W1077" s="39">
        <v>2</v>
      </c>
      <c r="X1077" s="40" t="s">
        <v>671</v>
      </c>
      <c r="Y1077" s="40" t="s">
        <v>647</v>
      </c>
      <c r="Z1077" s="40" t="s">
        <v>632</v>
      </c>
      <c r="AA1077" s="40" t="s">
        <v>632</v>
      </c>
      <c r="AB1077" s="41" t="s">
        <v>3159</v>
      </c>
      <c r="AC1077" s="9">
        <f>H1077</f>
        <v>367699.49</v>
      </c>
      <c r="AD1077" s="517">
        <v>0</v>
      </c>
      <c r="AE1077" s="517" t="s">
        <v>13469</v>
      </c>
      <c r="AF1077" s="517" t="s">
        <v>276</v>
      </c>
      <c r="AG1077" s="520" t="s">
        <v>3158</v>
      </c>
      <c r="AH1077" s="9">
        <f>AC1077</f>
        <v>367699.49</v>
      </c>
      <c r="AI1077" s="10"/>
      <c r="AJ1077" s="9">
        <f t="shared" si="104"/>
        <v>0</v>
      </c>
      <c r="AK1077" s="10"/>
      <c r="AL1077" s="10"/>
    </row>
    <row r="1078" spans="1:38" ht="33.75" hidden="1">
      <c r="A1078" s="1">
        <f t="shared" si="103"/>
        <v>0</v>
      </c>
      <c r="D1078" s="15" t="s">
        <v>16</v>
      </c>
      <c r="E1078" s="24"/>
      <c r="F1078" s="25" t="s">
        <v>3161</v>
      </c>
      <c r="G1078" s="26">
        <f t="shared" ref="G1078:H1079" si="109">G1079</f>
        <v>0</v>
      </c>
      <c r="H1078" s="26">
        <f t="shared" si="109"/>
        <v>0</v>
      </c>
      <c r="I1078" s="15"/>
      <c r="J1078" s="494"/>
      <c r="K1078" s="509"/>
      <c r="L1078" s="509"/>
      <c r="M1078" s="509"/>
      <c r="N1078" s="510"/>
      <c r="O1078" s="509"/>
      <c r="P1078" s="509"/>
      <c r="Q1078" s="509"/>
      <c r="R1078" s="509"/>
      <c r="S1078" s="509"/>
      <c r="T1078" s="510"/>
      <c r="U1078" s="26">
        <f t="shared" ref="U1078:U1079" si="110">U1079</f>
        <v>0</v>
      </c>
      <c r="V1078" s="15" t="str">
        <f t="shared" si="102"/>
        <v>203030000</v>
      </c>
      <c r="W1078" s="27">
        <v>2</v>
      </c>
      <c r="X1078" s="28" t="s">
        <v>671</v>
      </c>
      <c r="Y1078" s="28" t="s">
        <v>671</v>
      </c>
      <c r="Z1078" s="28" t="s">
        <v>630</v>
      </c>
      <c r="AA1078" s="28" t="s">
        <v>630</v>
      </c>
      <c r="AB1078" s="25" t="s">
        <v>3161</v>
      </c>
      <c r="AC1078" s="530">
        <f>AC1079</f>
        <v>0</v>
      </c>
      <c r="AD1078" s="509">
        <v>0</v>
      </c>
      <c r="AE1078" s="509" t="s">
        <v>13527</v>
      </c>
      <c r="AF1078" s="509" t="s">
        <v>3162</v>
      </c>
      <c r="AG1078" s="510" t="s">
        <v>3163</v>
      </c>
      <c r="AH1078" s="53">
        <f>AH1079</f>
        <v>0</v>
      </c>
      <c r="AI1078" s="10"/>
      <c r="AJ1078" s="9">
        <f t="shared" si="104"/>
        <v>0</v>
      </c>
      <c r="AK1078" s="10"/>
      <c r="AL1078" s="10"/>
    </row>
    <row r="1079" spans="1:38" ht="33.75" hidden="1">
      <c r="A1079" s="1">
        <f t="shared" si="103"/>
        <v>0</v>
      </c>
      <c r="D1079" s="15" t="s">
        <v>16</v>
      </c>
      <c r="E1079" s="30"/>
      <c r="F1079" s="31" t="s">
        <v>3161</v>
      </c>
      <c r="G1079" s="32">
        <f t="shared" si="109"/>
        <v>0</v>
      </c>
      <c r="H1079" s="32">
        <f t="shared" si="109"/>
        <v>0</v>
      </c>
      <c r="I1079" s="15"/>
      <c r="J1079" s="494"/>
      <c r="K1079" s="513"/>
      <c r="L1079" s="513"/>
      <c r="M1079" s="513"/>
      <c r="N1079" s="514"/>
      <c r="O1079" s="513"/>
      <c r="P1079" s="513"/>
      <c r="Q1079" s="513"/>
      <c r="R1079" s="513"/>
      <c r="S1079" s="513"/>
      <c r="T1079" s="514"/>
      <c r="U1079" s="32">
        <f t="shared" si="110"/>
        <v>0</v>
      </c>
      <c r="V1079" s="15" t="str">
        <f t="shared" si="102"/>
        <v>203030100</v>
      </c>
      <c r="W1079" s="33">
        <v>2</v>
      </c>
      <c r="X1079" s="34" t="s">
        <v>671</v>
      </c>
      <c r="Y1079" s="35" t="s">
        <v>671</v>
      </c>
      <c r="Z1079" s="34" t="s">
        <v>632</v>
      </c>
      <c r="AA1079" s="35" t="s">
        <v>630</v>
      </c>
      <c r="AB1079" s="31" t="s">
        <v>3161</v>
      </c>
      <c r="AC1079" s="529">
        <f>AC1080</f>
        <v>0</v>
      </c>
      <c r="AD1079" s="513">
        <v>0</v>
      </c>
      <c r="AE1079" s="513" t="s">
        <v>13527</v>
      </c>
      <c r="AF1079" s="513" t="s">
        <v>3162</v>
      </c>
      <c r="AG1079" s="514" t="s">
        <v>3163</v>
      </c>
      <c r="AH1079" s="44">
        <f>AH1080</f>
        <v>0</v>
      </c>
      <c r="AI1079" s="10"/>
      <c r="AJ1079" s="9">
        <f t="shared" si="104"/>
        <v>0</v>
      </c>
      <c r="AK1079" s="10"/>
      <c r="AL1079" s="10"/>
    </row>
    <row r="1080" spans="1:38" ht="33.75" hidden="1">
      <c r="A1080" s="1">
        <f t="shared" si="103"/>
        <v>0</v>
      </c>
      <c r="B1080" s="2" t="s">
        <v>3164</v>
      </c>
      <c r="C1080" s="3" t="s">
        <v>3161</v>
      </c>
      <c r="D1080" s="15" t="s">
        <v>11655</v>
      </c>
      <c r="E1080" s="4" t="s">
        <v>3164</v>
      </c>
      <c r="F1080" s="37" t="s">
        <v>3161</v>
      </c>
      <c r="G1080" s="38">
        <v>0</v>
      </c>
      <c r="H1080" s="38">
        <v>0</v>
      </c>
      <c r="I1080" s="15"/>
      <c r="J1080" s="494">
        <v>20303010101</v>
      </c>
      <c r="K1080" s="517"/>
      <c r="L1080" s="517" t="s">
        <v>13527</v>
      </c>
      <c r="M1080" s="517" t="s">
        <v>3162</v>
      </c>
      <c r="N1080" s="518" t="s">
        <v>3163</v>
      </c>
      <c r="O1080" s="517">
        <v>2</v>
      </c>
      <c r="P1080" s="517" t="s">
        <v>671</v>
      </c>
      <c r="Q1080" s="517" t="s">
        <v>671</v>
      </c>
      <c r="R1080" s="517" t="s">
        <v>632</v>
      </c>
      <c r="S1080" s="517" t="s">
        <v>632</v>
      </c>
      <c r="T1080" s="518" t="s">
        <v>3161</v>
      </c>
      <c r="U1080" s="38">
        <v>0</v>
      </c>
      <c r="V1080" s="15" t="str">
        <f t="shared" si="102"/>
        <v>203030101</v>
      </c>
      <c r="W1080" s="39">
        <v>2</v>
      </c>
      <c r="X1080" s="40" t="s">
        <v>671</v>
      </c>
      <c r="Y1080" s="40" t="s">
        <v>671</v>
      </c>
      <c r="Z1080" s="40" t="s">
        <v>632</v>
      </c>
      <c r="AA1080" s="40" t="s">
        <v>632</v>
      </c>
      <c r="AB1080" s="41" t="s">
        <v>3161</v>
      </c>
      <c r="AC1080" s="9">
        <f>H1080</f>
        <v>0</v>
      </c>
      <c r="AD1080" s="517">
        <v>0</v>
      </c>
      <c r="AE1080" s="517" t="s">
        <v>13527</v>
      </c>
      <c r="AF1080" s="517" t="s">
        <v>3162</v>
      </c>
      <c r="AG1080" s="520" t="s">
        <v>3163</v>
      </c>
      <c r="AH1080" s="9">
        <f>AC1080</f>
        <v>0</v>
      </c>
      <c r="AI1080" s="10"/>
      <c r="AJ1080" s="9">
        <f t="shared" si="104"/>
        <v>0</v>
      </c>
      <c r="AK1080" s="10"/>
      <c r="AL1080" s="10"/>
    </row>
    <row r="1081" spans="1:38" hidden="1">
      <c r="A1081" s="1">
        <f t="shared" si="103"/>
        <v>0</v>
      </c>
      <c r="D1081" s="15" t="s">
        <v>16</v>
      </c>
      <c r="E1081" s="18"/>
      <c r="F1081" s="23" t="s">
        <v>18</v>
      </c>
      <c r="G1081" s="20">
        <f>G1082+G1086+G1098+G1125+G1128+G1223+G1232+G1280+G1290+G1306+G1323</f>
        <v>101397516.36999999</v>
      </c>
      <c r="H1081" s="20">
        <f>H1082+H1086+H1098+H1125+H1128+H1223+H1232+H1280+H1290+H1306+H1323</f>
        <v>102427517.65000001</v>
      </c>
      <c r="I1081" s="15"/>
      <c r="J1081" s="494"/>
      <c r="K1081" s="502"/>
      <c r="L1081" s="502"/>
      <c r="M1081" s="502"/>
      <c r="N1081" s="503"/>
      <c r="O1081" s="502"/>
      <c r="P1081" s="502"/>
      <c r="Q1081" s="502"/>
      <c r="R1081" s="502"/>
      <c r="S1081" s="502"/>
      <c r="T1081" s="503"/>
      <c r="U1081" s="20">
        <f>U1082+U1086+U1098+U1125+U1128+U1223+U1232+U1280+U1290+U1306+U1323</f>
        <v>102427517.65000001</v>
      </c>
      <c r="V1081" s="15" t="str">
        <f t="shared" si="102"/>
        <v>204000000</v>
      </c>
      <c r="W1081" s="21">
        <v>2</v>
      </c>
      <c r="X1081" s="22" t="s">
        <v>693</v>
      </c>
      <c r="Y1081" s="22" t="s">
        <v>630</v>
      </c>
      <c r="Z1081" s="22" t="s">
        <v>630</v>
      </c>
      <c r="AA1081" s="22" t="s">
        <v>630</v>
      </c>
      <c r="AB1081" s="23" t="s">
        <v>18</v>
      </c>
      <c r="AC1081" s="540" t="e">
        <f>AC1082+AC1086+AC1098+AC1125+AC1128+AC1223+AC1232+AC1280+AC1290+AC1306+AC1323</f>
        <v>#N/A</v>
      </c>
      <c r="AD1081" s="502">
        <v>0</v>
      </c>
      <c r="AE1081" s="502" t="s">
        <v>3165</v>
      </c>
      <c r="AF1081" s="502" t="s">
        <v>3166</v>
      </c>
      <c r="AG1081" s="503" t="s">
        <v>13528</v>
      </c>
      <c r="AH1081" s="55" t="e">
        <f>AH1082+AH1086+AH1098+AH1125+AH1128+AH1223+AH1232+AH1280+AH1290+AH1306+AH1323</f>
        <v>#REF!</v>
      </c>
      <c r="AI1081" s="10"/>
      <c r="AJ1081" s="9" t="e">
        <f t="shared" si="104"/>
        <v>#REF!</v>
      </c>
      <c r="AK1081" s="10"/>
      <c r="AL1081" s="10"/>
    </row>
    <row r="1082" spans="1:38" ht="22.5" hidden="1">
      <c r="A1082" s="1">
        <f t="shared" si="103"/>
        <v>0</v>
      </c>
      <c r="C1082" s="3" t="s">
        <v>3145</v>
      </c>
      <c r="D1082" s="15" t="s">
        <v>16</v>
      </c>
      <c r="E1082" s="24"/>
      <c r="F1082" s="25" t="s">
        <v>3167</v>
      </c>
      <c r="G1082" s="26">
        <f>G1083</f>
        <v>0</v>
      </c>
      <c r="H1082" s="26">
        <f>H1083</f>
        <v>0</v>
      </c>
      <c r="I1082" s="15"/>
      <c r="J1082" s="494"/>
      <c r="K1082" s="509"/>
      <c r="L1082" s="509"/>
      <c r="M1082" s="509"/>
      <c r="N1082" s="510"/>
      <c r="O1082" s="509"/>
      <c r="P1082" s="509"/>
      <c r="Q1082" s="509"/>
      <c r="R1082" s="509"/>
      <c r="S1082" s="509"/>
      <c r="T1082" s="510"/>
      <c r="U1082" s="26">
        <f>U1083</f>
        <v>0</v>
      </c>
      <c r="V1082" s="15" t="str">
        <f t="shared" si="102"/>
        <v>204010000</v>
      </c>
      <c r="W1082" s="27">
        <v>2</v>
      </c>
      <c r="X1082" s="28" t="s">
        <v>693</v>
      </c>
      <c r="Y1082" s="28" t="s">
        <v>632</v>
      </c>
      <c r="Z1082" s="28" t="s">
        <v>630</v>
      </c>
      <c r="AA1082" s="28" t="s">
        <v>630</v>
      </c>
      <c r="AB1082" s="25" t="s">
        <v>3167</v>
      </c>
      <c r="AC1082" s="530">
        <f>AC1083</f>
        <v>0</v>
      </c>
      <c r="AD1082" s="509">
        <v>0</v>
      </c>
      <c r="AE1082" s="509" t="s">
        <v>13529</v>
      </c>
      <c r="AF1082" s="509" t="s">
        <v>277</v>
      </c>
      <c r="AG1082" s="510" t="s">
        <v>3168</v>
      </c>
      <c r="AH1082" s="53">
        <f>AH1083</f>
        <v>0</v>
      </c>
      <c r="AI1082" s="10"/>
      <c r="AJ1082" s="9">
        <f t="shared" si="104"/>
        <v>0</v>
      </c>
      <c r="AK1082" s="10"/>
      <c r="AL1082" s="10"/>
    </row>
    <row r="1083" spans="1:38" ht="22.5" hidden="1">
      <c r="A1083" s="1">
        <f t="shared" si="103"/>
        <v>0</v>
      </c>
      <c r="D1083" s="15" t="s">
        <v>16</v>
      </c>
      <c r="E1083" s="30"/>
      <c r="F1083" s="31" t="s">
        <v>3169</v>
      </c>
      <c r="G1083" s="32">
        <f>SUM(G1084:G1085)</f>
        <v>0</v>
      </c>
      <c r="H1083" s="32">
        <f>SUM(H1084:H1085)</f>
        <v>0</v>
      </c>
      <c r="I1083" s="15"/>
      <c r="J1083" s="494"/>
      <c r="K1083" s="513"/>
      <c r="L1083" s="513"/>
      <c r="M1083" s="513"/>
      <c r="N1083" s="514"/>
      <c r="O1083" s="513"/>
      <c r="P1083" s="513"/>
      <c r="Q1083" s="513"/>
      <c r="R1083" s="513"/>
      <c r="S1083" s="513"/>
      <c r="T1083" s="514"/>
      <c r="U1083" s="32">
        <f>SUM(U1084:U1085)</f>
        <v>0</v>
      </c>
      <c r="V1083" s="15" t="str">
        <f t="shared" si="102"/>
        <v>204010100</v>
      </c>
      <c r="W1083" s="33">
        <v>2</v>
      </c>
      <c r="X1083" s="34" t="s">
        <v>693</v>
      </c>
      <c r="Y1083" s="34" t="s">
        <v>632</v>
      </c>
      <c r="Z1083" s="34" t="s">
        <v>632</v>
      </c>
      <c r="AA1083" s="35" t="s">
        <v>630</v>
      </c>
      <c r="AB1083" s="31" t="s">
        <v>3169</v>
      </c>
      <c r="AC1083" s="529">
        <f>SUM(AC1084:AC1085)</f>
        <v>0</v>
      </c>
      <c r="AD1083" s="513">
        <v>0</v>
      </c>
      <c r="AE1083" s="513" t="s">
        <v>13529</v>
      </c>
      <c r="AF1083" s="513" t="s">
        <v>277</v>
      </c>
      <c r="AG1083" s="514" t="s">
        <v>3168</v>
      </c>
      <c r="AH1083" s="44">
        <f>SUM(AH1084:AH1085)</f>
        <v>0</v>
      </c>
      <c r="AI1083" s="10"/>
      <c r="AJ1083" s="9">
        <f t="shared" si="104"/>
        <v>0</v>
      </c>
      <c r="AK1083" s="10"/>
      <c r="AL1083" s="10"/>
    </row>
    <row r="1084" spans="1:38" ht="22.5" hidden="1">
      <c r="A1084" s="1">
        <f t="shared" si="103"/>
        <v>0</v>
      </c>
      <c r="B1084" s="2" t="s">
        <v>3170</v>
      </c>
      <c r="C1084" s="3" t="s">
        <v>3171</v>
      </c>
      <c r="D1084" s="15" t="s">
        <v>11656</v>
      </c>
      <c r="E1084" s="4" t="s">
        <v>3170</v>
      </c>
      <c r="F1084" s="37" t="s">
        <v>3171</v>
      </c>
      <c r="G1084" s="38">
        <v>0</v>
      </c>
      <c r="H1084" s="38">
        <v>0</v>
      </c>
      <c r="I1084" s="15"/>
      <c r="J1084" s="494">
        <v>20401010101</v>
      </c>
      <c r="K1084" s="517"/>
      <c r="L1084" s="517" t="s">
        <v>13529</v>
      </c>
      <c r="M1084" s="517" t="s">
        <v>277</v>
      </c>
      <c r="N1084" s="518" t="s">
        <v>3168</v>
      </c>
      <c r="O1084" s="517">
        <v>2</v>
      </c>
      <c r="P1084" s="517" t="s">
        <v>693</v>
      </c>
      <c r="Q1084" s="517" t="s">
        <v>632</v>
      </c>
      <c r="R1084" s="517" t="s">
        <v>632</v>
      </c>
      <c r="S1084" s="517" t="s">
        <v>632</v>
      </c>
      <c r="T1084" s="518" t="s">
        <v>3169</v>
      </c>
      <c r="U1084" s="38">
        <v>0</v>
      </c>
      <c r="V1084" s="15" t="str">
        <f t="shared" si="102"/>
        <v>204010101</v>
      </c>
      <c r="W1084" s="39">
        <v>2</v>
      </c>
      <c r="X1084" s="40" t="s">
        <v>693</v>
      </c>
      <c r="Y1084" s="40" t="s">
        <v>632</v>
      </c>
      <c r="Z1084" s="40" t="s">
        <v>632</v>
      </c>
      <c r="AA1084" s="40" t="s">
        <v>632</v>
      </c>
      <c r="AB1084" s="41" t="s">
        <v>3169</v>
      </c>
      <c r="AC1084" s="519">
        <f>SUM(H1084:H1085)</f>
        <v>0</v>
      </c>
      <c r="AD1084" s="517">
        <v>0</v>
      </c>
      <c r="AE1084" s="517" t="s">
        <v>13529</v>
      </c>
      <c r="AF1084" s="517" t="s">
        <v>277</v>
      </c>
      <c r="AG1084" s="520" t="s">
        <v>3168</v>
      </c>
      <c r="AH1084" s="67">
        <f>AC1084</f>
        <v>0</v>
      </c>
      <c r="AI1084" s="10"/>
      <c r="AJ1084" s="9">
        <f t="shared" si="104"/>
        <v>0</v>
      </c>
      <c r="AK1084" s="10"/>
      <c r="AL1084" s="10"/>
    </row>
    <row r="1085" spans="1:38" ht="22.5" hidden="1">
      <c r="A1085" s="1">
        <f t="shared" si="103"/>
        <v>0</v>
      </c>
      <c r="B1085" s="2" t="s">
        <v>3172</v>
      </c>
      <c r="C1085" s="3" t="s">
        <v>3173</v>
      </c>
      <c r="D1085" s="15" t="s">
        <v>11656</v>
      </c>
      <c r="E1085" s="4" t="s">
        <v>3172</v>
      </c>
      <c r="F1085" s="37" t="s">
        <v>3173</v>
      </c>
      <c r="G1085" s="38">
        <v>0</v>
      </c>
      <c r="H1085" s="38">
        <v>0</v>
      </c>
      <c r="I1085" s="15"/>
      <c r="J1085" s="494">
        <v>20401010102</v>
      </c>
      <c r="L1085" s="523" t="s">
        <v>13529</v>
      </c>
      <c r="M1085" s="523" t="s">
        <v>277</v>
      </c>
      <c r="N1085" s="518" t="s">
        <v>3168</v>
      </c>
      <c r="O1085" s="523">
        <v>2</v>
      </c>
      <c r="P1085" s="523" t="s">
        <v>693</v>
      </c>
      <c r="Q1085" s="523" t="s">
        <v>632</v>
      </c>
      <c r="R1085" s="523" t="s">
        <v>632</v>
      </c>
      <c r="S1085" s="523" t="s">
        <v>632</v>
      </c>
      <c r="T1085" s="518" t="s">
        <v>3169</v>
      </c>
      <c r="U1085" s="38">
        <v>0</v>
      </c>
      <c r="V1085" s="15" t="str">
        <f t="shared" si="102"/>
        <v/>
      </c>
      <c r="W1085" s="10"/>
      <c r="X1085" s="10"/>
      <c r="Y1085" s="10"/>
      <c r="Z1085" s="10"/>
      <c r="AA1085" s="10"/>
      <c r="AB1085" s="10"/>
      <c r="AC1085" s="9"/>
      <c r="AD1085" s="523" t="e">
        <v>#N/A</v>
      </c>
      <c r="AE1085" s="523" t="e">
        <v>#N/A</v>
      </c>
      <c r="AF1085" s="523" t="e">
        <v>#N/A</v>
      </c>
      <c r="AG1085" s="524" t="e">
        <v>#N/A</v>
      </c>
      <c r="AH1085" s="9"/>
      <c r="AI1085" s="10"/>
      <c r="AJ1085" s="9">
        <f t="shared" si="104"/>
        <v>0</v>
      </c>
      <c r="AK1085" s="10"/>
      <c r="AL1085" s="10"/>
    </row>
    <row r="1086" spans="1:38" ht="22.5" hidden="1">
      <c r="A1086" s="1">
        <f t="shared" si="103"/>
        <v>0</v>
      </c>
      <c r="C1086" s="3" t="s">
        <v>3151</v>
      </c>
      <c r="D1086" s="15" t="s">
        <v>16</v>
      </c>
      <c r="E1086" s="24"/>
      <c r="F1086" s="25" t="s">
        <v>3174</v>
      </c>
      <c r="G1086" s="26">
        <f>G1087+G1090+G1092+G1094+G1096</f>
        <v>0</v>
      </c>
      <c r="H1086" s="26">
        <f>H1087+H1090+H1092+H1094+H1096</f>
        <v>0</v>
      </c>
      <c r="I1086" s="15"/>
      <c r="J1086" s="494"/>
      <c r="K1086" s="509"/>
      <c r="L1086" s="509"/>
      <c r="M1086" s="509"/>
      <c r="N1086" s="510"/>
      <c r="O1086" s="509"/>
      <c r="P1086" s="509"/>
      <c r="Q1086" s="509"/>
      <c r="R1086" s="509"/>
      <c r="S1086" s="509"/>
      <c r="T1086" s="510"/>
      <c r="U1086" s="26">
        <f>U1087+U1090+U1092+U1094+U1096</f>
        <v>0</v>
      </c>
      <c r="V1086" s="15" t="str">
        <f t="shared" si="102"/>
        <v>204020000</v>
      </c>
      <c r="W1086" s="27">
        <v>2</v>
      </c>
      <c r="X1086" s="28" t="s">
        <v>693</v>
      </c>
      <c r="Y1086" s="28" t="s">
        <v>647</v>
      </c>
      <c r="Z1086" s="28" t="s">
        <v>630</v>
      </c>
      <c r="AA1086" s="28" t="s">
        <v>630</v>
      </c>
      <c r="AB1086" s="25" t="s">
        <v>3174</v>
      </c>
      <c r="AC1086" s="530">
        <f>AC1087+AC1090+AC1092+AC1094+AC1096</f>
        <v>0</v>
      </c>
      <c r="AD1086" s="509">
        <v>0</v>
      </c>
      <c r="AE1086" s="509" t="s">
        <v>13530</v>
      </c>
      <c r="AF1086" s="509" t="s">
        <v>3175</v>
      </c>
      <c r="AG1086" s="510" t="s">
        <v>3176</v>
      </c>
      <c r="AH1086" s="53" t="e">
        <f>AH1087+AH1090+AH1092+AH1094+AH1096</f>
        <v>#REF!</v>
      </c>
      <c r="AI1086" s="10"/>
      <c r="AJ1086" s="9" t="e">
        <f t="shared" si="104"/>
        <v>#REF!</v>
      </c>
      <c r="AK1086" s="10"/>
      <c r="AL1086" s="10"/>
    </row>
    <row r="1087" spans="1:38" ht="33.75" hidden="1">
      <c r="A1087" s="1">
        <f t="shared" si="103"/>
        <v>0</v>
      </c>
      <c r="D1087" s="15" t="s">
        <v>16</v>
      </c>
      <c r="E1087" s="30"/>
      <c r="F1087" s="31" t="s">
        <v>3177</v>
      </c>
      <c r="G1087" s="32">
        <f>SUM(G1088:G1089)</f>
        <v>0</v>
      </c>
      <c r="H1087" s="32">
        <f>SUM(H1088:H1089)</f>
        <v>0</v>
      </c>
      <c r="I1087" s="15"/>
      <c r="J1087" s="494"/>
      <c r="K1087" s="513"/>
      <c r="L1087" s="513"/>
      <c r="M1087" s="513"/>
      <c r="N1087" s="514"/>
      <c r="O1087" s="513"/>
      <c r="P1087" s="513"/>
      <c r="Q1087" s="513"/>
      <c r="R1087" s="513"/>
      <c r="S1087" s="513"/>
      <c r="T1087" s="514"/>
      <c r="U1087" s="32">
        <f>SUM(U1088:U1089)</f>
        <v>0</v>
      </c>
      <c r="V1087" s="15" t="str">
        <f t="shared" si="102"/>
        <v>204020100</v>
      </c>
      <c r="W1087" s="33">
        <v>2</v>
      </c>
      <c r="X1087" s="34" t="s">
        <v>693</v>
      </c>
      <c r="Y1087" s="34" t="s">
        <v>647</v>
      </c>
      <c r="Z1087" s="34" t="s">
        <v>632</v>
      </c>
      <c r="AA1087" s="35" t="s">
        <v>630</v>
      </c>
      <c r="AB1087" s="31" t="s">
        <v>3177</v>
      </c>
      <c r="AC1087" s="529">
        <f>SUM(AC1088:AC1089)</f>
        <v>0</v>
      </c>
      <c r="AD1087" s="513" t="s">
        <v>1349</v>
      </c>
      <c r="AE1087" s="513" t="s">
        <v>13531</v>
      </c>
      <c r="AF1087" s="513" t="s">
        <v>280</v>
      </c>
      <c r="AG1087" s="514" t="s">
        <v>3178</v>
      </c>
      <c r="AH1087" s="44">
        <f>SUM(AH1088:AH1089)</f>
        <v>0</v>
      </c>
      <c r="AI1087" s="10"/>
      <c r="AJ1087" s="9">
        <f t="shared" si="104"/>
        <v>0</v>
      </c>
      <c r="AK1087" s="10"/>
      <c r="AL1087" s="10"/>
    </row>
    <row r="1088" spans="1:38" ht="33.75" hidden="1">
      <c r="A1088" s="1">
        <f t="shared" si="103"/>
        <v>0</v>
      </c>
      <c r="B1088" s="2" t="s">
        <v>3179</v>
      </c>
      <c r="C1088" s="3" t="s">
        <v>3180</v>
      </c>
      <c r="D1088" s="15" t="s">
        <v>11657</v>
      </c>
      <c r="E1088" s="4" t="s">
        <v>3179</v>
      </c>
      <c r="F1088" s="37" t="s">
        <v>3180</v>
      </c>
      <c r="G1088" s="38">
        <v>0</v>
      </c>
      <c r="H1088" s="38">
        <v>0</v>
      </c>
      <c r="I1088" s="15"/>
      <c r="J1088" s="494">
        <v>20402010101</v>
      </c>
      <c r="K1088" s="517" t="s">
        <v>1349</v>
      </c>
      <c r="L1088" s="517" t="s">
        <v>13531</v>
      </c>
      <c r="M1088" s="517" t="s">
        <v>280</v>
      </c>
      <c r="N1088" s="518" t="s">
        <v>3178</v>
      </c>
      <c r="O1088" s="517">
        <v>2</v>
      </c>
      <c r="P1088" s="517" t="s">
        <v>693</v>
      </c>
      <c r="Q1088" s="517" t="s">
        <v>647</v>
      </c>
      <c r="R1088" s="517" t="s">
        <v>632</v>
      </c>
      <c r="S1088" s="517" t="s">
        <v>632</v>
      </c>
      <c r="T1088" s="518" t="s">
        <v>3177</v>
      </c>
      <c r="U1088" s="38">
        <v>0</v>
      </c>
      <c r="V1088" s="15" t="str">
        <f t="shared" si="102"/>
        <v>204020101</v>
      </c>
      <c r="W1088" s="39">
        <v>2</v>
      </c>
      <c r="X1088" s="40" t="s">
        <v>693</v>
      </c>
      <c r="Y1088" s="40" t="s">
        <v>647</v>
      </c>
      <c r="Z1088" s="40" t="s">
        <v>632</v>
      </c>
      <c r="AA1088" s="40" t="s">
        <v>632</v>
      </c>
      <c r="AB1088" s="41" t="s">
        <v>3177</v>
      </c>
      <c r="AC1088" s="519">
        <f>SUM(H1088:H1089)</f>
        <v>0</v>
      </c>
      <c r="AD1088" s="517" t="s">
        <v>1349</v>
      </c>
      <c r="AE1088" s="517" t="s">
        <v>13531</v>
      </c>
      <c r="AF1088" s="517" t="s">
        <v>280</v>
      </c>
      <c r="AG1088" s="520" t="s">
        <v>3178</v>
      </c>
      <c r="AH1088" s="67">
        <f>AC1088</f>
        <v>0</v>
      </c>
      <c r="AI1088" s="10"/>
      <c r="AJ1088" s="9">
        <f t="shared" si="104"/>
        <v>0</v>
      </c>
      <c r="AK1088" s="10"/>
      <c r="AL1088" s="10"/>
    </row>
    <row r="1089" spans="1:38" ht="33.75" hidden="1">
      <c r="A1089" s="1">
        <f t="shared" si="103"/>
        <v>0</v>
      </c>
      <c r="B1089" s="2" t="s">
        <v>3181</v>
      </c>
      <c r="C1089" s="3" t="s">
        <v>3182</v>
      </c>
      <c r="D1089" s="15" t="s">
        <v>11657</v>
      </c>
      <c r="E1089" s="4" t="s">
        <v>3181</v>
      </c>
      <c r="F1089" s="37" t="s">
        <v>3182</v>
      </c>
      <c r="G1089" s="38">
        <v>0</v>
      </c>
      <c r="H1089" s="38">
        <v>0</v>
      </c>
      <c r="I1089" s="15"/>
      <c r="J1089" s="494">
        <v>20402010102</v>
      </c>
      <c r="K1089" s="523" t="s">
        <v>1349</v>
      </c>
      <c r="L1089" s="523" t="s">
        <v>13531</v>
      </c>
      <c r="M1089" s="523" t="s">
        <v>280</v>
      </c>
      <c r="N1089" s="518" t="s">
        <v>3178</v>
      </c>
      <c r="O1089" s="523">
        <v>2</v>
      </c>
      <c r="P1089" s="523" t="s">
        <v>693</v>
      </c>
      <c r="Q1089" s="523" t="s">
        <v>647</v>
      </c>
      <c r="R1089" s="523" t="s">
        <v>632</v>
      </c>
      <c r="S1089" s="523" t="s">
        <v>632</v>
      </c>
      <c r="T1089" s="518" t="s">
        <v>3177</v>
      </c>
      <c r="U1089" s="38">
        <v>0</v>
      </c>
      <c r="V1089" s="15" t="str">
        <f t="shared" si="102"/>
        <v/>
      </c>
      <c r="W1089" s="10"/>
      <c r="X1089" s="10"/>
      <c r="Y1089" s="10"/>
      <c r="Z1089" s="10"/>
      <c r="AA1089" s="10"/>
      <c r="AB1089" s="10"/>
      <c r="AC1089" s="9"/>
      <c r="AD1089" s="523" t="e">
        <v>#N/A</v>
      </c>
      <c r="AE1089" s="523" t="e">
        <v>#N/A</v>
      </c>
      <c r="AF1089" s="523" t="e">
        <v>#N/A</v>
      </c>
      <c r="AG1089" s="524" t="e">
        <v>#N/A</v>
      </c>
      <c r="AH1089" s="9"/>
      <c r="AI1089" s="10"/>
      <c r="AJ1089" s="9">
        <f t="shared" si="104"/>
        <v>0</v>
      </c>
      <c r="AK1089" s="10"/>
      <c r="AL1089" s="10"/>
    </row>
    <row r="1090" spans="1:38" ht="33.75" hidden="1">
      <c r="A1090" s="1">
        <f t="shared" si="103"/>
        <v>0</v>
      </c>
      <c r="D1090" s="15" t="s">
        <v>16</v>
      </c>
      <c r="E1090" s="30"/>
      <c r="F1090" s="31" t="s">
        <v>3183</v>
      </c>
      <c r="G1090" s="32">
        <f>G1091</f>
        <v>0</v>
      </c>
      <c r="H1090" s="32">
        <f>H1091</f>
        <v>0</v>
      </c>
      <c r="I1090" s="15"/>
      <c r="J1090" s="494"/>
      <c r="K1090" s="513"/>
      <c r="L1090" s="513"/>
      <c r="M1090" s="513"/>
      <c r="N1090" s="514"/>
      <c r="O1090" s="513"/>
      <c r="P1090" s="513"/>
      <c r="Q1090" s="513"/>
      <c r="R1090" s="513"/>
      <c r="S1090" s="513"/>
      <c r="T1090" s="514"/>
      <c r="U1090" s="32">
        <f>U1091</f>
        <v>0</v>
      </c>
      <c r="V1090" s="15" t="str">
        <f t="shared" si="102"/>
        <v>204020200</v>
      </c>
      <c r="W1090" s="33">
        <v>2</v>
      </c>
      <c r="X1090" s="34" t="s">
        <v>693</v>
      </c>
      <c r="Y1090" s="34" t="s">
        <v>647</v>
      </c>
      <c r="Z1090" s="34" t="s">
        <v>647</v>
      </c>
      <c r="AA1090" s="35" t="s">
        <v>630</v>
      </c>
      <c r="AB1090" s="31" t="s">
        <v>3183</v>
      </c>
      <c r="AC1090" s="529">
        <f>AC1091</f>
        <v>0</v>
      </c>
      <c r="AD1090" s="513">
        <v>0</v>
      </c>
      <c r="AE1090" s="513" t="s">
        <v>13532</v>
      </c>
      <c r="AF1090" s="513" t="s">
        <v>281</v>
      </c>
      <c r="AG1090" s="514" t="s">
        <v>3184</v>
      </c>
      <c r="AH1090" s="44" t="e">
        <f>AH1091</f>
        <v>#REF!</v>
      </c>
      <c r="AI1090" s="10"/>
      <c r="AJ1090" s="9" t="e">
        <f t="shared" si="104"/>
        <v>#REF!</v>
      </c>
      <c r="AK1090" s="10"/>
      <c r="AL1090" s="10"/>
    </row>
    <row r="1091" spans="1:38" ht="33.75" hidden="1">
      <c r="A1091" s="1">
        <f t="shared" si="103"/>
        <v>0</v>
      </c>
      <c r="B1091" s="2" t="s">
        <v>3185</v>
      </c>
      <c r="C1091" s="3" t="s">
        <v>3186</v>
      </c>
      <c r="D1091" s="15" t="s">
        <v>11658</v>
      </c>
      <c r="E1091" s="4" t="s">
        <v>3185</v>
      </c>
      <c r="F1091" s="37" t="s">
        <v>3186</v>
      </c>
      <c r="G1091" s="38">
        <v>0</v>
      </c>
      <c r="H1091" s="38">
        <v>0</v>
      </c>
      <c r="I1091" s="15"/>
      <c r="J1091" s="494">
        <v>20402020101</v>
      </c>
      <c r="K1091" s="517"/>
      <c r="L1091" s="517" t="s">
        <v>13532</v>
      </c>
      <c r="M1091" s="517" t="s">
        <v>281</v>
      </c>
      <c r="N1091" s="518" t="s">
        <v>3184</v>
      </c>
      <c r="O1091" s="517">
        <v>2</v>
      </c>
      <c r="P1091" s="517" t="s">
        <v>693</v>
      </c>
      <c r="Q1091" s="517" t="s">
        <v>647</v>
      </c>
      <c r="R1091" s="517" t="s">
        <v>647</v>
      </c>
      <c r="S1091" s="517" t="s">
        <v>632</v>
      </c>
      <c r="T1091" s="518" t="s">
        <v>3183</v>
      </c>
      <c r="U1091" s="38">
        <v>0</v>
      </c>
      <c r="V1091" s="15" t="str">
        <f t="shared" ref="V1091:V1154" si="111">CONCATENATE(W1091,X1091,Y1091,Z1091,AA1091)</f>
        <v>204020201</v>
      </c>
      <c r="W1091" s="39">
        <v>2</v>
      </c>
      <c r="X1091" s="40" t="s">
        <v>693</v>
      </c>
      <c r="Y1091" s="40" t="s">
        <v>647</v>
      </c>
      <c r="Z1091" s="40" t="s">
        <v>647</v>
      </c>
      <c r="AA1091" s="40" t="s">
        <v>632</v>
      </c>
      <c r="AB1091" s="41" t="s">
        <v>3183</v>
      </c>
      <c r="AC1091" s="9">
        <f>H1091</f>
        <v>0</v>
      </c>
      <c r="AD1091" s="517">
        <v>0</v>
      </c>
      <c r="AE1091" s="517" t="s">
        <v>13532</v>
      </c>
      <c r="AF1091" s="517" t="s">
        <v>281</v>
      </c>
      <c r="AG1091" s="520" t="s">
        <v>3184</v>
      </c>
      <c r="AH1091" s="67" t="e">
        <f>#REF!</f>
        <v>#REF!</v>
      </c>
      <c r="AI1091" s="10"/>
      <c r="AJ1091" s="9" t="e">
        <f t="shared" si="104"/>
        <v>#REF!</v>
      </c>
      <c r="AK1091" s="10"/>
      <c r="AL1091" s="10"/>
    </row>
    <row r="1092" spans="1:38" ht="22.5" hidden="1">
      <c r="A1092" s="1">
        <f t="shared" si="103"/>
        <v>0</v>
      </c>
      <c r="C1092" s="3" t="s">
        <v>3161</v>
      </c>
      <c r="D1092" s="15" t="s">
        <v>16</v>
      </c>
      <c r="E1092" s="30"/>
      <c r="F1092" s="31" t="s">
        <v>3187</v>
      </c>
      <c r="G1092" s="32">
        <f>G1093</f>
        <v>0</v>
      </c>
      <c r="H1092" s="32">
        <f>H1093</f>
        <v>0</v>
      </c>
      <c r="I1092" s="15"/>
      <c r="J1092" s="494"/>
      <c r="K1092" s="513"/>
      <c r="L1092" s="513"/>
      <c r="M1092" s="513"/>
      <c r="N1092" s="514"/>
      <c r="O1092" s="513"/>
      <c r="P1092" s="513"/>
      <c r="Q1092" s="513"/>
      <c r="R1092" s="513"/>
      <c r="S1092" s="513"/>
      <c r="T1092" s="514"/>
      <c r="U1092" s="32">
        <f>U1093</f>
        <v>0</v>
      </c>
      <c r="V1092" s="15" t="str">
        <f t="shared" si="111"/>
        <v>204020300</v>
      </c>
      <c r="W1092" s="33">
        <v>2</v>
      </c>
      <c r="X1092" s="34" t="s">
        <v>693</v>
      </c>
      <c r="Y1092" s="34" t="s">
        <v>647</v>
      </c>
      <c r="Z1092" s="34" t="s">
        <v>671</v>
      </c>
      <c r="AA1092" s="35" t="s">
        <v>630</v>
      </c>
      <c r="AB1092" s="31" t="s">
        <v>3187</v>
      </c>
      <c r="AC1092" s="529">
        <f>AC1093</f>
        <v>0</v>
      </c>
      <c r="AD1092" s="513" t="s">
        <v>1340</v>
      </c>
      <c r="AE1092" s="513" t="s">
        <v>13533</v>
      </c>
      <c r="AF1092" s="513" t="s">
        <v>282</v>
      </c>
      <c r="AG1092" s="514" t="s">
        <v>3188</v>
      </c>
      <c r="AH1092" s="44" t="e">
        <f>AH1093</f>
        <v>#REF!</v>
      </c>
      <c r="AI1092" s="10"/>
      <c r="AJ1092" s="9" t="e">
        <f t="shared" si="104"/>
        <v>#REF!</v>
      </c>
      <c r="AK1092" s="10"/>
      <c r="AL1092" s="10"/>
    </row>
    <row r="1093" spans="1:38" ht="22.5" hidden="1">
      <c r="A1093" s="1">
        <f t="shared" si="103"/>
        <v>0</v>
      </c>
      <c r="B1093" s="2" t="s">
        <v>3189</v>
      </c>
      <c r="C1093" s="3" t="s">
        <v>3190</v>
      </c>
      <c r="D1093" s="15" t="s">
        <v>11659</v>
      </c>
      <c r="E1093" s="4" t="s">
        <v>3189</v>
      </c>
      <c r="F1093" s="37" t="s">
        <v>3190</v>
      </c>
      <c r="G1093" s="38">
        <v>0</v>
      </c>
      <c r="H1093" s="38">
        <v>0</v>
      </c>
      <c r="I1093" s="15"/>
      <c r="J1093" s="494">
        <v>20402030101</v>
      </c>
      <c r="K1093" s="517" t="s">
        <v>1340</v>
      </c>
      <c r="L1093" s="517" t="s">
        <v>13533</v>
      </c>
      <c r="M1093" s="517" t="s">
        <v>282</v>
      </c>
      <c r="N1093" s="518" t="s">
        <v>3188</v>
      </c>
      <c r="O1093" s="517">
        <v>2</v>
      </c>
      <c r="P1093" s="517" t="s">
        <v>693</v>
      </c>
      <c r="Q1093" s="517" t="s">
        <v>647</v>
      </c>
      <c r="R1093" s="517" t="s">
        <v>671</v>
      </c>
      <c r="S1093" s="517" t="s">
        <v>632</v>
      </c>
      <c r="T1093" s="518" t="s">
        <v>3187</v>
      </c>
      <c r="U1093" s="38">
        <v>0</v>
      </c>
      <c r="V1093" s="15" t="str">
        <f t="shared" si="111"/>
        <v>204020301</v>
      </c>
      <c r="W1093" s="39">
        <v>2</v>
      </c>
      <c r="X1093" s="40" t="s">
        <v>693</v>
      </c>
      <c r="Y1093" s="40" t="s">
        <v>647</v>
      </c>
      <c r="Z1093" s="40" t="s">
        <v>671</v>
      </c>
      <c r="AA1093" s="40" t="s">
        <v>632</v>
      </c>
      <c r="AB1093" s="41" t="s">
        <v>3187</v>
      </c>
      <c r="AC1093" s="9">
        <f>H1093</f>
        <v>0</v>
      </c>
      <c r="AD1093" s="517" t="s">
        <v>1340</v>
      </c>
      <c r="AE1093" s="517" t="s">
        <v>13533</v>
      </c>
      <c r="AF1093" s="517" t="s">
        <v>282</v>
      </c>
      <c r="AG1093" s="520" t="s">
        <v>3188</v>
      </c>
      <c r="AH1093" s="67" t="e">
        <f>#REF!</f>
        <v>#REF!</v>
      </c>
      <c r="AI1093" s="10"/>
      <c r="AJ1093" s="9" t="e">
        <f t="shared" si="104"/>
        <v>#REF!</v>
      </c>
      <c r="AK1093" s="10"/>
      <c r="AL1093" s="10"/>
    </row>
    <row r="1094" spans="1:38" ht="45" hidden="1">
      <c r="A1094" s="1">
        <f t="shared" si="103"/>
        <v>0</v>
      </c>
      <c r="D1094" s="15" t="s">
        <v>16</v>
      </c>
      <c r="E1094" s="30"/>
      <c r="F1094" s="31" t="s">
        <v>3191</v>
      </c>
      <c r="G1094" s="32">
        <f>G1095</f>
        <v>0</v>
      </c>
      <c r="H1094" s="32">
        <f>H1095</f>
        <v>0</v>
      </c>
      <c r="I1094" s="15"/>
      <c r="J1094" s="494"/>
      <c r="K1094" s="513"/>
      <c r="L1094" s="513"/>
      <c r="M1094" s="513"/>
      <c r="N1094" s="514"/>
      <c r="O1094" s="513"/>
      <c r="P1094" s="513"/>
      <c r="Q1094" s="513"/>
      <c r="R1094" s="513"/>
      <c r="S1094" s="513"/>
      <c r="T1094" s="514"/>
      <c r="U1094" s="32">
        <f>U1095</f>
        <v>0</v>
      </c>
      <c r="V1094" s="15" t="str">
        <f t="shared" si="111"/>
        <v>204020400</v>
      </c>
      <c r="W1094" s="33">
        <v>2</v>
      </c>
      <c r="X1094" s="34" t="s">
        <v>693</v>
      </c>
      <c r="Y1094" s="34" t="s">
        <v>647</v>
      </c>
      <c r="Z1094" s="34" t="s">
        <v>693</v>
      </c>
      <c r="AA1094" s="35" t="s">
        <v>630</v>
      </c>
      <c r="AB1094" s="31" t="s">
        <v>3191</v>
      </c>
      <c r="AC1094" s="529">
        <f>AC1095</f>
        <v>0</v>
      </c>
      <c r="AD1094" s="513" t="s">
        <v>1340</v>
      </c>
      <c r="AE1094" s="513" t="s">
        <v>13534</v>
      </c>
      <c r="AF1094" s="513" t="s">
        <v>284</v>
      </c>
      <c r="AG1094" s="514" t="s">
        <v>3192</v>
      </c>
      <c r="AH1094" s="44" t="e">
        <f>AH1095</f>
        <v>#REF!</v>
      </c>
      <c r="AI1094" s="10"/>
      <c r="AJ1094" s="9" t="e">
        <f t="shared" si="104"/>
        <v>#REF!</v>
      </c>
      <c r="AK1094" s="10"/>
      <c r="AL1094" s="10"/>
    </row>
    <row r="1095" spans="1:38" ht="33.75" hidden="1">
      <c r="A1095" s="1">
        <f t="shared" si="103"/>
        <v>0</v>
      </c>
      <c r="B1095" s="2" t="s">
        <v>3193</v>
      </c>
      <c r="C1095" s="3" t="s">
        <v>3194</v>
      </c>
      <c r="D1095" s="15" t="s">
        <v>11660</v>
      </c>
      <c r="E1095" s="4" t="s">
        <v>3193</v>
      </c>
      <c r="F1095" s="37" t="s">
        <v>3194</v>
      </c>
      <c r="G1095" s="38">
        <v>0</v>
      </c>
      <c r="H1095" s="38">
        <v>0</v>
      </c>
      <c r="I1095" s="15"/>
      <c r="J1095" s="494">
        <v>20402040101</v>
      </c>
      <c r="K1095" s="517" t="s">
        <v>1340</v>
      </c>
      <c r="L1095" s="517" t="s">
        <v>13534</v>
      </c>
      <c r="M1095" s="517" t="s">
        <v>284</v>
      </c>
      <c r="N1095" s="518" t="s">
        <v>3192</v>
      </c>
      <c r="O1095" s="517">
        <v>2</v>
      </c>
      <c r="P1095" s="517" t="s">
        <v>693</v>
      </c>
      <c r="Q1095" s="517" t="s">
        <v>647</v>
      </c>
      <c r="R1095" s="517" t="s">
        <v>693</v>
      </c>
      <c r="S1095" s="517" t="s">
        <v>632</v>
      </c>
      <c r="T1095" s="518" t="s">
        <v>3191</v>
      </c>
      <c r="U1095" s="38">
        <v>0</v>
      </c>
      <c r="V1095" s="15" t="str">
        <f t="shared" si="111"/>
        <v>204020401</v>
      </c>
      <c r="W1095" s="39">
        <v>2</v>
      </c>
      <c r="X1095" s="40" t="s">
        <v>693</v>
      </c>
      <c r="Y1095" s="40" t="s">
        <v>647</v>
      </c>
      <c r="Z1095" s="40" t="s">
        <v>693</v>
      </c>
      <c r="AA1095" s="40" t="s">
        <v>632</v>
      </c>
      <c r="AB1095" s="41" t="s">
        <v>3191</v>
      </c>
      <c r="AC1095" s="9">
        <f>H1095</f>
        <v>0</v>
      </c>
      <c r="AD1095" s="517" t="s">
        <v>1340</v>
      </c>
      <c r="AE1095" s="517" t="s">
        <v>13534</v>
      </c>
      <c r="AF1095" s="517" t="s">
        <v>284</v>
      </c>
      <c r="AG1095" s="520" t="s">
        <v>3192</v>
      </c>
      <c r="AH1095" s="67" t="e">
        <f>#REF!</f>
        <v>#REF!</v>
      </c>
      <c r="AI1095" s="10"/>
      <c r="AJ1095" s="9" t="e">
        <f t="shared" si="104"/>
        <v>#REF!</v>
      </c>
      <c r="AK1095" s="10"/>
      <c r="AL1095" s="10"/>
    </row>
    <row r="1096" spans="1:38" hidden="1">
      <c r="A1096" s="1">
        <f t="shared" si="103"/>
        <v>0</v>
      </c>
      <c r="D1096" s="15" t="s">
        <v>16</v>
      </c>
      <c r="E1096" s="30"/>
      <c r="F1096" s="31" t="s">
        <v>3195</v>
      </c>
      <c r="G1096" s="32">
        <f>G1097</f>
        <v>0</v>
      </c>
      <c r="H1096" s="32">
        <f>H1097</f>
        <v>0</v>
      </c>
      <c r="I1096" s="15"/>
      <c r="J1096" s="494"/>
      <c r="K1096" s="513"/>
      <c r="L1096" s="513"/>
      <c r="M1096" s="513"/>
      <c r="N1096" s="514"/>
      <c r="O1096" s="513"/>
      <c r="P1096" s="513"/>
      <c r="Q1096" s="513"/>
      <c r="R1096" s="513"/>
      <c r="S1096" s="513"/>
      <c r="T1096" s="514"/>
      <c r="U1096" s="32">
        <f>U1097</f>
        <v>0</v>
      </c>
      <c r="V1096" s="15" t="str">
        <f t="shared" si="111"/>
        <v>204020500</v>
      </c>
      <c r="W1096" s="33">
        <v>2</v>
      </c>
      <c r="X1096" s="34" t="s">
        <v>693</v>
      </c>
      <c r="Y1096" s="34" t="s">
        <v>647</v>
      </c>
      <c r="Z1096" s="34" t="s">
        <v>714</v>
      </c>
      <c r="AA1096" s="35" t="s">
        <v>630</v>
      </c>
      <c r="AB1096" s="31" t="s">
        <v>3195</v>
      </c>
      <c r="AC1096" s="529">
        <f>AC1097</f>
        <v>0</v>
      </c>
      <c r="AD1096" s="513" t="s">
        <v>1340</v>
      </c>
      <c r="AE1096" s="513" t="s">
        <v>13535</v>
      </c>
      <c r="AF1096" s="513" t="s">
        <v>283</v>
      </c>
      <c r="AG1096" s="514" t="s">
        <v>3196</v>
      </c>
      <c r="AH1096" s="44" t="e">
        <f>AH1097</f>
        <v>#REF!</v>
      </c>
      <c r="AI1096" s="10"/>
      <c r="AJ1096" s="9" t="e">
        <f t="shared" si="104"/>
        <v>#REF!</v>
      </c>
      <c r="AK1096" s="10"/>
      <c r="AL1096" s="10"/>
    </row>
    <row r="1097" spans="1:38" hidden="1">
      <c r="A1097" s="1">
        <f t="shared" si="103"/>
        <v>0</v>
      </c>
      <c r="B1097" s="2" t="s">
        <v>3197</v>
      </c>
      <c r="C1097" s="3" t="s">
        <v>3198</v>
      </c>
      <c r="D1097" s="15" t="s">
        <v>11661</v>
      </c>
      <c r="E1097" s="4" t="s">
        <v>3197</v>
      </c>
      <c r="F1097" s="37" t="s">
        <v>3198</v>
      </c>
      <c r="G1097" s="38">
        <v>0</v>
      </c>
      <c r="H1097" s="38">
        <v>0</v>
      </c>
      <c r="I1097" s="15"/>
      <c r="J1097" s="494">
        <v>20402050101</v>
      </c>
      <c r="K1097" s="517" t="s">
        <v>1340</v>
      </c>
      <c r="L1097" s="517" t="s">
        <v>13535</v>
      </c>
      <c r="M1097" s="517" t="s">
        <v>283</v>
      </c>
      <c r="N1097" s="518" t="s">
        <v>3196</v>
      </c>
      <c r="O1097" s="517">
        <v>2</v>
      </c>
      <c r="P1097" s="517" t="s">
        <v>693</v>
      </c>
      <c r="Q1097" s="517" t="s">
        <v>647</v>
      </c>
      <c r="R1097" s="517" t="s">
        <v>714</v>
      </c>
      <c r="S1097" s="517" t="s">
        <v>632</v>
      </c>
      <c r="T1097" s="518" t="s">
        <v>3195</v>
      </c>
      <c r="U1097" s="38">
        <v>0</v>
      </c>
      <c r="V1097" s="15" t="str">
        <f t="shared" si="111"/>
        <v>204020501</v>
      </c>
      <c r="W1097" s="39">
        <v>2</v>
      </c>
      <c r="X1097" s="40" t="s">
        <v>693</v>
      </c>
      <c r="Y1097" s="40" t="s">
        <v>647</v>
      </c>
      <c r="Z1097" s="40" t="s">
        <v>714</v>
      </c>
      <c r="AA1097" s="40" t="s">
        <v>632</v>
      </c>
      <c r="AB1097" s="41" t="s">
        <v>3195</v>
      </c>
      <c r="AC1097" s="9">
        <f>H1097</f>
        <v>0</v>
      </c>
      <c r="AD1097" s="517" t="s">
        <v>1340</v>
      </c>
      <c r="AE1097" s="517" t="s">
        <v>13535</v>
      </c>
      <c r="AF1097" s="517" t="s">
        <v>283</v>
      </c>
      <c r="AG1097" s="520" t="s">
        <v>3196</v>
      </c>
      <c r="AH1097" s="67" t="e">
        <f>#REF!</f>
        <v>#REF!</v>
      </c>
      <c r="AI1097" s="10"/>
      <c r="AJ1097" s="9" t="e">
        <f t="shared" si="104"/>
        <v>#REF!</v>
      </c>
      <c r="AK1097" s="10"/>
      <c r="AL1097" s="10"/>
    </row>
    <row r="1098" spans="1:38" ht="22.5" hidden="1">
      <c r="A1098" s="1">
        <f t="shared" si="103"/>
        <v>0</v>
      </c>
      <c r="D1098" s="15" t="s">
        <v>16</v>
      </c>
      <c r="E1098" s="24"/>
      <c r="F1098" s="25" t="s">
        <v>3199</v>
      </c>
      <c r="G1098" s="26">
        <f>G1099+G1106+G1108+G1110+G1112+G1114+G1116+G1118+G1120+G1122</f>
        <v>90</v>
      </c>
      <c r="H1098" s="26">
        <f>H1099+H1106+H1108+H1110+H1112+H1114+H1116+H1118+H1120+H1122</f>
        <v>807211</v>
      </c>
      <c r="I1098" s="15"/>
      <c r="J1098" s="494"/>
      <c r="K1098" s="509"/>
      <c r="L1098" s="509"/>
      <c r="M1098" s="509"/>
      <c r="N1098" s="510"/>
      <c r="O1098" s="509"/>
      <c r="P1098" s="509"/>
      <c r="Q1098" s="509"/>
      <c r="R1098" s="509"/>
      <c r="S1098" s="509"/>
      <c r="T1098" s="510"/>
      <c r="U1098" s="26">
        <f>U1099+U1106+U1108+U1110+U1112+U1114+U1116+U1118+U1120+U1122</f>
        <v>807211</v>
      </c>
      <c r="V1098" s="15" t="str">
        <f t="shared" si="111"/>
        <v>204030000</v>
      </c>
      <c r="W1098" s="27">
        <v>2</v>
      </c>
      <c r="X1098" s="28" t="s">
        <v>693</v>
      </c>
      <c r="Y1098" s="28" t="s">
        <v>671</v>
      </c>
      <c r="Z1098" s="28" t="s">
        <v>630</v>
      </c>
      <c r="AA1098" s="28" t="s">
        <v>630</v>
      </c>
      <c r="AB1098" s="25" t="s">
        <v>3199</v>
      </c>
      <c r="AC1098" s="530">
        <f>AC1099+AC1106+AC1108+AC1110+AC1112+AC1114+AC1116+AC1118+AC1120+AC1122</f>
        <v>807211</v>
      </c>
      <c r="AD1098" s="509">
        <v>0</v>
      </c>
      <c r="AE1098" s="509" t="s">
        <v>13536</v>
      </c>
      <c r="AF1098" s="509" t="s">
        <v>3200</v>
      </c>
      <c r="AG1098" s="510" t="s">
        <v>3201</v>
      </c>
      <c r="AH1098" s="53" t="e">
        <f>AH1099+AH1106+AH1108+AH1110+AH1112+AH1114+AH1116+AH1118+AH1120+AH1122</f>
        <v>#REF!</v>
      </c>
      <c r="AI1098" s="10"/>
      <c r="AJ1098" s="9" t="e">
        <f t="shared" si="104"/>
        <v>#REF!</v>
      </c>
      <c r="AK1098" s="10"/>
      <c r="AL1098" s="10"/>
    </row>
    <row r="1099" spans="1:38" ht="33.75" hidden="1">
      <c r="A1099" s="1">
        <f t="shared" si="103"/>
        <v>0</v>
      </c>
      <c r="D1099" s="15" t="s">
        <v>16</v>
      </c>
      <c r="E1099" s="30"/>
      <c r="F1099" s="31" t="s">
        <v>3202</v>
      </c>
      <c r="G1099" s="32">
        <f>SUM(G1100:G1105)</f>
        <v>0</v>
      </c>
      <c r="H1099" s="32">
        <f>SUM(H1100:H1105)</f>
        <v>0</v>
      </c>
      <c r="I1099" s="15"/>
      <c r="J1099" s="494"/>
      <c r="K1099" s="513"/>
      <c r="L1099" s="513"/>
      <c r="M1099" s="513"/>
      <c r="N1099" s="514"/>
      <c r="O1099" s="513"/>
      <c r="P1099" s="513"/>
      <c r="Q1099" s="513"/>
      <c r="R1099" s="513"/>
      <c r="S1099" s="513"/>
      <c r="T1099" s="514"/>
      <c r="U1099" s="32">
        <f>SUM(U1100:U1105)</f>
        <v>0</v>
      </c>
      <c r="V1099" s="15" t="str">
        <f t="shared" si="111"/>
        <v>204030100</v>
      </c>
      <c r="W1099" s="33">
        <v>2</v>
      </c>
      <c r="X1099" s="34" t="s">
        <v>693</v>
      </c>
      <c r="Y1099" s="34" t="s">
        <v>671</v>
      </c>
      <c r="Z1099" s="34" t="s">
        <v>632</v>
      </c>
      <c r="AA1099" s="35" t="s">
        <v>630</v>
      </c>
      <c r="AB1099" s="31" t="s">
        <v>3202</v>
      </c>
      <c r="AC1099" s="529">
        <f>SUM(AC1100:AC1105)</f>
        <v>0</v>
      </c>
      <c r="AD1099" s="513" t="s">
        <v>1422</v>
      </c>
      <c r="AE1099" s="513" t="s">
        <v>13537</v>
      </c>
      <c r="AF1099" s="513" t="s">
        <v>285</v>
      </c>
      <c r="AG1099" s="514" t="s">
        <v>3203</v>
      </c>
      <c r="AH1099" s="44">
        <f>SUM(AH1100:AH1105)</f>
        <v>0</v>
      </c>
      <c r="AI1099" s="10"/>
      <c r="AJ1099" s="9">
        <f t="shared" si="104"/>
        <v>0</v>
      </c>
      <c r="AK1099" s="10"/>
      <c r="AL1099" s="10"/>
    </row>
    <row r="1100" spans="1:38" ht="33.75" hidden="1">
      <c r="A1100" s="1">
        <f t="shared" si="103"/>
        <v>0</v>
      </c>
      <c r="B1100" s="2" t="s">
        <v>3204</v>
      </c>
      <c r="C1100" s="3" t="s">
        <v>3205</v>
      </c>
      <c r="D1100" s="15" t="s">
        <v>11662</v>
      </c>
      <c r="E1100" s="4" t="s">
        <v>3204</v>
      </c>
      <c r="F1100" s="37" t="s">
        <v>3205</v>
      </c>
      <c r="G1100" s="38">
        <v>0</v>
      </c>
      <c r="H1100" s="38">
        <v>0</v>
      </c>
      <c r="I1100" s="15"/>
      <c r="J1100" s="494">
        <v>20403010101</v>
      </c>
      <c r="K1100" s="517" t="s">
        <v>1422</v>
      </c>
      <c r="L1100" s="517" t="s">
        <v>13537</v>
      </c>
      <c r="M1100" s="517" t="s">
        <v>285</v>
      </c>
      <c r="N1100" s="518" t="s">
        <v>3203</v>
      </c>
      <c r="O1100" s="517">
        <v>2</v>
      </c>
      <c r="P1100" s="517" t="s">
        <v>693</v>
      </c>
      <c r="Q1100" s="517" t="s">
        <v>671</v>
      </c>
      <c r="R1100" s="517" t="s">
        <v>632</v>
      </c>
      <c r="S1100" s="517" t="s">
        <v>632</v>
      </c>
      <c r="T1100" s="518" t="s">
        <v>3202</v>
      </c>
      <c r="U1100" s="38">
        <v>0</v>
      </c>
      <c r="V1100" s="15" t="str">
        <f t="shared" si="111"/>
        <v>204030101</v>
      </c>
      <c r="W1100" s="39">
        <v>2</v>
      </c>
      <c r="X1100" s="40" t="s">
        <v>693</v>
      </c>
      <c r="Y1100" s="40" t="s">
        <v>671</v>
      </c>
      <c r="Z1100" s="40" t="s">
        <v>632</v>
      </c>
      <c r="AA1100" s="40" t="s">
        <v>632</v>
      </c>
      <c r="AB1100" s="41" t="s">
        <v>3202</v>
      </c>
      <c r="AC1100" s="519">
        <f>SUM(H1100:H1105)</f>
        <v>0</v>
      </c>
      <c r="AD1100" s="517" t="s">
        <v>1422</v>
      </c>
      <c r="AE1100" s="517" t="s">
        <v>13537</v>
      </c>
      <c r="AF1100" s="517" t="s">
        <v>285</v>
      </c>
      <c r="AG1100" s="520" t="s">
        <v>3203</v>
      </c>
      <c r="AH1100" s="67">
        <f>AC1100</f>
        <v>0</v>
      </c>
      <c r="AI1100" s="10"/>
      <c r="AJ1100" s="9">
        <f t="shared" si="104"/>
        <v>0</v>
      </c>
      <c r="AK1100" s="10"/>
      <c r="AL1100" s="10"/>
    </row>
    <row r="1101" spans="1:38" ht="33.75" hidden="1">
      <c r="A1101" s="1">
        <f t="shared" si="103"/>
        <v>0</v>
      </c>
      <c r="B1101" s="2" t="s">
        <v>3206</v>
      </c>
      <c r="C1101" s="3" t="s">
        <v>3207</v>
      </c>
      <c r="D1101" s="15" t="s">
        <v>11662</v>
      </c>
      <c r="E1101" s="4" t="s">
        <v>3206</v>
      </c>
      <c r="F1101" s="37" t="s">
        <v>3207</v>
      </c>
      <c r="G1101" s="38">
        <v>0</v>
      </c>
      <c r="H1101" s="38">
        <v>0</v>
      </c>
      <c r="I1101" s="15"/>
      <c r="J1101" s="494">
        <v>20403010102</v>
      </c>
      <c r="K1101" s="523" t="s">
        <v>1422</v>
      </c>
      <c r="L1101" s="523" t="s">
        <v>13537</v>
      </c>
      <c r="M1101" s="523" t="s">
        <v>285</v>
      </c>
      <c r="N1101" s="518" t="s">
        <v>3203</v>
      </c>
      <c r="O1101" s="523">
        <v>2</v>
      </c>
      <c r="P1101" s="523" t="s">
        <v>693</v>
      </c>
      <c r="Q1101" s="523" t="s">
        <v>671</v>
      </c>
      <c r="R1101" s="523" t="s">
        <v>632</v>
      </c>
      <c r="S1101" s="523" t="s">
        <v>632</v>
      </c>
      <c r="T1101" s="518" t="s">
        <v>3202</v>
      </c>
      <c r="U1101" s="38">
        <v>0</v>
      </c>
      <c r="V1101" s="15" t="str">
        <f t="shared" si="111"/>
        <v/>
      </c>
      <c r="W1101" s="10"/>
      <c r="X1101" s="10"/>
      <c r="Y1101" s="10"/>
      <c r="Z1101" s="10"/>
      <c r="AA1101" s="10"/>
      <c r="AB1101" s="10"/>
      <c r="AC1101" s="9"/>
      <c r="AD1101" s="523" t="e">
        <v>#N/A</v>
      </c>
      <c r="AE1101" s="523" t="e">
        <v>#N/A</v>
      </c>
      <c r="AF1101" s="523" t="e">
        <v>#N/A</v>
      </c>
      <c r="AG1101" s="524" t="e">
        <v>#N/A</v>
      </c>
      <c r="AH1101" s="9"/>
      <c r="AI1101" s="10"/>
      <c r="AJ1101" s="9">
        <f t="shared" si="104"/>
        <v>0</v>
      </c>
      <c r="AK1101" s="10"/>
      <c r="AL1101" s="10"/>
    </row>
    <row r="1102" spans="1:38" ht="33.75" hidden="1">
      <c r="A1102" s="1">
        <f t="shared" si="103"/>
        <v>0</v>
      </c>
      <c r="B1102" s="2" t="s">
        <v>3208</v>
      </c>
      <c r="C1102" s="3" t="s">
        <v>3209</v>
      </c>
      <c r="D1102" s="15" t="s">
        <v>11662</v>
      </c>
      <c r="E1102" s="4" t="s">
        <v>3208</v>
      </c>
      <c r="F1102" s="37" t="s">
        <v>3209</v>
      </c>
      <c r="G1102" s="38">
        <v>0</v>
      </c>
      <c r="H1102" s="38">
        <v>0</v>
      </c>
      <c r="I1102" s="15"/>
      <c r="J1102" s="494">
        <v>20403010103</v>
      </c>
      <c r="K1102" s="523" t="s">
        <v>1422</v>
      </c>
      <c r="L1102" s="523" t="s">
        <v>13537</v>
      </c>
      <c r="M1102" s="523" t="s">
        <v>285</v>
      </c>
      <c r="N1102" s="518" t="s">
        <v>3203</v>
      </c>
      <c r="O1102" s="523">
        <v>2</v>
      </c>
      <c r="P1102" s="523" t="s">
        <v>693</v>
      </c>
      <c r="Q1102" s="523" t="s">
        <v>671</v>
      </c>
      <c r="R1102" s="523" t="s">
        <v>632</v>
      </c>
      <c r="S1102" s="523" t="s">
        <v>632</v>
      </c>
      <c r="T1102" s="518" t="s">
        <v>3202</v>
      </c>
      <c r="U1102" s="38">
        <v>0</v>
      </c>
      <c r="V1102" s="15" t="str">
        <f t="shared" si="111"/>
        <v/>
      </c>
      <c r="W1102" s="10"/>
      <c r="X1102" s="10"/>
      <c r="Y1102" s="10"/>
      <c r="Z1102" s="10"/>
      <c r="AA1102" s="10"/>
      <c r="AB1102" s="10"/>
      <c r="AC1102" s="9"/>
      <c r="AD1102" s="523" t="e">
        <v>#N/A</v>
      </c>
      <c r="AE1102" s="523" t="e">
        <v>#N/A</v>
      </c>
      <c r="AF1102" s="523" t="e">
        <v>#N/A</v>
      </c>
      <c r="AG1102" s="524" t="e">
        <v>#N/A</v>
      </c>
      <c r="AH1102" s="9"/>
      <c r="AI1102" s="10"/>
      <c r="AJ1102" s="9">
        <f t="shared" si="104"/>
        <v>0</v>
      </c>
      <c r="AK1102" s="10"/>
      <c r="AL1102" s="10"/>
    </row>
    <row r="1103" spans="1:38" ht="45" hidden="1">
      <c r="A1103" s="1">
        <f t="shared" si="103"/>
        <v>0</v>
      </c>
      <c r="B1103" s="2" t="s">
        <v>3210</v>
      </c>
      <c r="C1103" s="3" t="s">
        <v>3211</v>
      </c>
      <c r="D1103" s="15" t="s">
        <v>11662</v>
      </c>
      <c r="E1103" s="4" t="s">
        <v>3210</v>
      </c>
      <c r="F1103" s="37" t="s">
        <v>3211</v>
      </c>
      <c r="G1103" s="38">
        <v>0</v>
      </c>
      <c r="H1103" s="38">
        <v>0</v>
      </c>
      <c r="I1103" s="15"/>
      <c r="J1103" s="494">
        <v>20403010104</v>
      </c>
      <c r="K1103" s="523" t="s">
        <v>1422</v>
      </c>
      <c r="L1103" s="523" t="s">
        <v>13537</v>
      </c>
      <c r="M1103" s="523" t="s">
        <v>285</v>
      </c>
      <c r="N1103" s="518" t="s">
        <v>3203</v>
      </c>
      <c r="O1103" s="523">
        <v>2</v>
      </c>
      <c r="P1103" s="523" t="s">
        <v>693</v>
      </c>
      <c r="Q1103" s="523" t="s">
        <v>671</v>
      </c>
      <c r="R1103" s="523" t="s">
        <v>632</v>
      </c>
      <c r="S1103" s="523" t="s">
        <v>632</v>
      </c>
      <c r="T1103" s="518" t="s">
        <v>3202</v>
      </c>
      <c r="U1103" s="38">
        <v>0</v>
      </c>
      <c r="V1103" s="15" t="str">
        <f t="shared" si="111"/>
        <v/>
      </c>
      <c r="W1103" s="10"/>
      <c r="X1103" s="10"/>
      <c r="Y1103" s="10"/>
      <c r="Z1103" s="10"/>
      <c r="AA1103" s="10"/>
      <c r="AB1103" s="10"/>
      <c r="AC1103" s="9"/>
      <c r="AD1103" s="523" t="e">
        <v>#N/A</v>
      </c>
      <c r="AE1103" s="523" t="e">
        <v>#N/A</v>
      </c>
      <c r="AF1103" s="523" t="e">
        <v>#N/A</v>
      </c>
      <c r="AG1103" s="524" t="e">
        <v>#N/A</v>
      </c>
      <c r="AH1103" s="9"/>
      <c r="AI1103" s="10"/>
      <c r="AJ1103" s="9">
        <f t="shared" si="104"/>
        <v>0</v>
      </c>
      <c r="AK1103" s="10"/>
      <c r="AL1103" s="10"/>
    </row>
    <row r="1104" spans="1:38" ht="45" hidden="1">
      <c r="A1104" s="1">
        <f t="shared" si="103"/>
        <v>0</v>
      </c>
      <c r="B1104" s="2" t="s">
        <v>3212</v>
      </c>
      <c r="C1104" s="3" t="s">
        <v>3213</v>
      </c>
      <c r="D1104" s="15" t="s">
        <v>11662</v>
      </c>
      <c r="E1104" s="4" t="s">
        <v>3212</v>
      </c>
      <c r="F1104" s="37" t="s">
        <v>3213</v>
      </c>
      <c r="G1104" s="38">
        <v>0</v>
      </c>
      <c r="H1104" s="38">
        <v>0</v>
      </c>
      <c r="I1104" s="15"/>
      <c r="J1104" s="494">
        <v>20403010105</v>
      </c>
      <c r="K1104" s="523" t="s">
        <v>1422</v>
      </c>
      <c r="L1104" s="523" t="s">
        <v>13537</v>
      </c>
      <c r="M1104" s="523" t="s">
        <v>285</v>
      </c>
      <c r="N1104" s="518" t="s">
        <v>3203</v>
      </c>
      <c r="O1104" s="523">
        <v>2</v>
      </c>
      <c r="P1104" s="523" t="s">
        <v>693</v>
      </c>
      <c r="Q1104" s="523" t="s">
        <v>671</v>
      </c>
      <c r="R1104" s="523" t="s">
        <v>632</v>
      </c>
      <c r="S1104" s="523" t="s">
        <v>632</v>
      </c>
      <c r="T1104" s="518" t="s">
        <v>3202</v>
      </c>
      <c r="U1104" s="38">
        <v>0</v>
      </c>
      <c r="V1104" s="15" t="str">
        <f t="shared" si="111"/>
        <v/>
      </c>
      <c r="W1104" s="10"/>
      <c r="X1104" s="10"/>
      <c r="Y1104" s="10"/>
      <c r="Z1104" s="10"/>
      <c r="AA1104" s="10"/>
      <c r="AB1104" s="10"/>
      <c r="AC1104" s="9"/>
      <c r="AD1104" s="523" t="e">
        <v>#N/A</v>
      </c>
      <c r="AE1104" s="523" t="e">
        <v>#N/A</v>
      </c>
      <c r="AF1104" s="523" t="e">
        <v>#N/A</v>
      </c>
      <c r="AG1104" s="524" t="e">
        <v>#N/A</v>
      </c>
      <c r="AH1104" s="9"/>
      <c r="AI1104" s="10"/>
      <c r="AJ1104" s="9">
        <f t="shared" si="104"/>
        <v>0</v>
      </c>
      <c r="AK1104" s="10"/>
      <c r="AL1104" s="10"/>
    </row>
    <row r="1105" spans="1:38" ht="33.75" hidden="1">
      <c r="A1105" s="1">
        <f t="shared" si="103"/>
        <v>0</v>
      </c>
      <c r="B1105" s="2" t="s">
        <v>3214</v>
      </c>
      <c r="C1105" s="3" t="s">
        <v>3215</v>
      </c>
      <c r="D1105" s="15" t="s">
        <v>11662</v>
      </c>
      <c r="E1105" s="4" t="s">
        <v>3214</v>
      </c>
      <c r="F1105" s="37" t="s">
        <v>3215</v>
      </c>
      <c r="G1105" s="38">
        <v>0</v>
      </c>
      <c r="H1105" s="38">
        <v>0</v>
      </c>
      <c r="I1105" s="15"/>
      <c r="J1105" s="494">
        <v>20403010106</v>
      </c>
      <c r="K1105" s="523" t="s">
        <v>1422</v>
      </c>
      <c r="L1105" s="523" t="s">
        <v>13537</v>
      </c>
      <c r="M1105" s="523" t="s">
        <v>285</v>
      </c>
      <c r="N1105" s="518" t="s">
        <v>3203</v>
      </c>
      <c r="O1105" s="523">
        <v>2</v>
      </c>
      <c r="P1105" s="523" t="s">
        <v>693</v>
      </c>
      <c r="Q1105" s="523" t="s">
        <v>671</v>
      </c>
      <c r="R1105" s="523" t="s">
        <v>632</v>
      </c>
      <c r="S1105" s="523" t="s">
        <v>632</v>
      </c>
      <c r="T1105" s="518" t="s">
        <v>3202</v>
      </c>
      <c r="U1105" s="38">
        <v>0</v>
      </c>
      <c r="V1105" s="15" t="str">
        <f t="shared" si="111"/>
        <v/>
      </c>
      <c r="W1105" s="10"/>
      <c r="X1105" s="10"/>
      <c r="Y1105" s="10"/>
      <c r="Z1105" s="10"/>
      <c r="AA1105" s="10"/>
      <c r="AB1105" s="10"/>
      <c r="AC1105" s="9"/>
      <c r="AD1105" s="523" t="e">
        <v>#N/A</v>
      </c>
      <c r="AE1105" s="523" t="e">
        <v>#N/A</v>
      </c>
      <c r="AF1105" s="523" t="e">
        <v>#N/A</v>
      </c>
      <c r="AG1105" s="524" t="e">
        <v>#N/A</v>
      </c>
      <c r="AH1105" s="9"/>
      <c r="AI1105" s="10"/>
      <c r="AJ1105" s="9">
        <f t="shared" si="104"/>
        <v>0</v>
      </c>
      <c r="AK1105" s="10"/>
      <c r="AL1105" s="10"/>
    </row>
    <row r="1106" spans="1:38" ht="33.75" hidden="1">
      <c r="A1106" s="1">
        <f t="shared" si="103"/>
        <v>0</v>
      </c>
      <c r="D1106" s="15" t="s">
        <v>16</v>
      </c>
      <c r="E1106" s="30"/>
      <c r="F1106" s="31" t="s">
        <v>3202</v>
      </c>
      <c r="G1106" s="32">
        <f>G1107</f>
        <v>0</v>
      </c>
      <c r="H1106" s="32">
        <f>H1107</f>
        <v>0</v>
      </c>
      <c r="I1106" s="15"/>
      <c r="J1106" s="494"/>
      <c r="K1106" s="513"/>
      <c r="L1106" s="513"/>
      <c r="M1106" s="513"/>
      <c r="N1106" s="514"/>
      <c r="O1106" s="513"/>
      <c r="P1106" s="513"/>
      <c r="Q1106" s="513"/>
      <c r="R1106" s="513"/>
      <c r="S1106" s="513"/>
      <c r="T1106" s="514"/>
      <c r="U1106" s="32">
        <f>U1107</f>
        <v>0</v>
      </c>
      <c r="V1106" s="15" t="str">
        <f t="shared" si="111"/>
        <v>204030600</v>
      </c>
      <c r="W1106" s="33">
        <v>2</v>
      </c>
      <c r="X1106" s="34" t="s">
        <v>693</v>
      </c>
      <c r="Y1106" s="34" t="s">
        <v>671</v>
      </c>
      <c r="Z1106" s="35" t="s">
        <v>739</v>
      </c>
      <c r="AA1106" s="35" t="s">
        <v>630</v>
      </c>
      <c r="AB1106" s="31" t="s">
        <v>3202</v>
      </c>
      <c r="AC1106" s="529">
        <f>AC1107</f>
        <v>0</v>
      </c>
      <c r="AD1106" s="513">
        <v>0</v>
      </c>
      <c r="AE1106" s="513" t="s">
        <v>13538</v>
      </c>
      <c r="AF1106" s="513" t="s">
        <v>3216</v>
      </c>
      <c r="AG1106" s="514" t="s">
        <v>3217</v>
      </c>
      <c r="AH1106" s="44" t="e">
        <f>AH1107</f>
        <v>#REF!</v>
      </c>
      <c r="AI1106" s="10"/>
      <c r="AJ1106" s="9" t="e">
        <f t="shared" si="104"/>
        <v>#REF!</v>
      </c>
      <c r="AK1106" s="10"/>
      <c r="AL1106" s="10"/>
    </row>
    <row r="1107" spans="1:38" ht="33.75" hidden="1">
      <c r="A1107" s="57">
        <f t="shared" si="103"/>
        <v>1</v>
      </c>
      <c r="B1107" s="58"/>
      <c r="C1107" s="59"/>
      <c r="D1107" s="15" t="s">
        <v>11663</v>
      </c>
      <c r="E1107" s="4" t="s">
        <v>3218</v>
      </c>
      <c r="F1107" s="37" t="s">
        <v>3202</v>
      </c>
      <c r="G1107" s="38">
        <v>0</v>
      </c>
      <c r="H1107" s="38">
        <v>0</v>
      </c>
      <c r="I1107" s="15"/>
      <c r="J1107" s="494">
        <v>20403060101</v>
      </c>
      <c r="K1107" s="517"/>
      <c r="L1107" s="517" t="s">
        <v>13538</v>
      </c>
      <c r="M1107" s="517" t="s">
        <v>3216</v>
      </c>
      <c r="N1107" s="518" t="s">
        <v>3217</v>
      </c>
      <c r="O1107" s="517">
        <v>2</v>
      </c>
      <c r="P1107" s="517" t="s">
        <v>693</v>
      </c>
      <c r="Q1107" s="517" t="s">
        <v>671</v>
      </c>
      <c r="R1107" s="517" t="s">
        <v>739</v>
      </c>
      <c r="S1107" s="517" t="s">
        <v>632</v>
      </c>
      <c r="T1107" s="518" t="s">
        <v>3202</v>
      </c>
      <c r="U1107" s="38">
        <v>0</v>
      </c>
      <c r="V1107" s="15" t="str">
        <f t="shared" si="111"/>
        <v>204030601</v>
      </c>
      <c r="W1107" s="39">
        <v>2</v>
      </c>
      <c r="X1107" s="40" t="s">
        <v>693</v>
      </c>
      <c r="Y1107" s="40" t="s">
        <v>671</v>
      </c>
      <c r="Z1107" s="40" t="s">
        <v>739</v>
      </c>
      <c r="AA1107" s="40" t="s">
        <v>632</v>
      </c>
      <c r="AB1107" s="41" t="s">
        <v>3202</v>
      </c>
      <c r="AC1107" s="9">
        <f>H1107</f>
        <v>0</v>
      </c>
      <c r="AD1107" s="517">
        <v>0</v>
      </c>
      <c r="AE1107" s="517" t="s">
        <v>13538</v>
      </c>
      <c r="AF1107" s="517" t="s">
        <v>3216</v>
      </c>
      <c r="AG1107" s="520" t="s">
        <v>3217</v>
      </c>
      <c r="AH1107" s="67" t="e">
        <f>#REF!</f>
        <v>#REF!</v>
      </c>
      <c r="AI1107" s="10"/>
      <c r="AJ1107" s="9" t="e">
        <f t="shared" si="104"/>
        <v>#REF!</v>
      </c>
      <c r="AK1107" s="10"/>
      <c r="AL1107" s="10"/>
    </row>
    <row r="1108" spans="1:38" ht="45" hidden="1">
      <c r="A1108" s="1">
        <f t="shared" si="103"/>
        <v>0</v>
      </c>
      <c r="D1108" s="15" t="s">
        <v>16</v>
      </c>
      <c r="E1108" s="30"/>
      <c r="F1108" s="31" t="s">
        <v>3219</v>
      </c>
      <c r="G1108" s="32">
        <f>G1109</f>
        <v>90</v>
      </c>
      <c r="H1108" s="32">
        <f>H1109</f>
        <v>807211</v>
      </c>
      <c r="I1108" s="15"/>
      <c r="J1108" s="494"/>
      <c r="K1108" s="513"/>
      <c r="L1108" s="513"/>
      <c r="M1108" s="513"/>
      <c r="N1108" s="514"/>
      <c r="O1108" s="513"/>
      <c r="P1108" s="513"/>
      <c r="Q1108" s="513"/>
      <c r="R1108" s="513"/>
      <c r="S1108" s="513"/>
      <c r="T1108" s="514"/>
      <c r="U1108" s="32">
        <f>U1109</f>
        <v>807211</v>
      </c>
      <c r="V1108" s="15" t="str">
        <f t="shared" si="111"/>
        <v>204030200</v>
      </c>
      <c r="W1108" s="33">
        <v>2</v>
      </c>
      <c r="X1108" s="34" t="s">
        <v>693</v>
      </c>
      <c r="Y1108" s="34" t="s">
        <v>671</v>
      </c>
      <c r="Z1108" s="34" t="s">
        <v>647</v>
      </c>
      <c r="AA1108" s="35" t="s">
        <v>630</v>
      </c>
      <c r="AB1108" s="31" t="s">
        <v>3219</v>
      </c>
      <c r="AC1108" s="529">
        <f>AC1109</f>
        <v>807211</v>
      </c>
      <c r="AD1108" s="513" t="s">
        <v>1519</v>
      </c>
      <c r="AE1108" s="513" t="s">
        <v>13539</v>
      </c>
      <c r="AF1108" s="513" t="s">
        <v>286</v>
      </c>
      <c r="AG1108" s="514" t="s">
        <v>3220</v>
      </c>
      <c r="AH1108" s="44">
        <f>AH1109</f>
        <v>807211</v>
      </c>
      <c r="AI1108" s="10"/>
      <c r="AJ1108" s="9">
        <f t="shared" si="104"/>
        <v>0</v>
      </c>
      <c r="AK1108" s="10"/>
      <c r="AL1108" s="10"/>
    </row>
    <row r="1109" spans="1:38" ht="45" hidden="1">
      <c r="A1109" s="1">
        <f t="shared" ref="A1109:A1172" si="112">IF(E1109=B1109,0,1)</f>
        <v>0</v>
      </c>
      <c r="B1109" s="2" t="s">
        <v>3221</v>
      </c>
      <c r="C1109" s="3" t="s">
        <v>3222</v>
      </c>
      <c r="D1109" s="15" t="s">
        <v>11664</v>
      </c>
      <c r="E1109" s="4" t="s">
        <v>3221</v>
      </c>
      <c r="F1109" s="37" t="s">
        <v>3222</v>
      </c>
      <c r="G1109" s="38">
        <v>90</v>
      </c>
      <c r="H1109" s="38">
        <v>807211</v>
      </c>
      <c r="I1109" s="15"/>
      <c r="J1109" s="494">
        <v>20403020101</v>
      </c>
      <c r="K1109" s="517" t="s">
        <v>1519</v>
      </c>
      <c r="L1109" s="517" t="s">
        <v>13539</v>
      </c>
      <c r="M1109" s="517" t="s">
        <v>286</v>
      </c>
      <c r="N1109" s="518" t="s">
        <v>3220</v>
      </c>
      <c r="O1109" s="517">
        <v>2</v>
      </c>
      <c r="P1109" s="517" t="s">
        <v>693</v>
      </c>
      <c r="Q1109" s="517" t="s">
        <v>671</v>
      </c>
      <c r="R1109" s="517" t="s">
        <v>647</v>
      </c>
      <c r="S1109" s="517" t="s">
        <v>632</v>
      </c>
      <c r="T1109" s="518" t="s">
        <v>3219</v>
      </c>
      <c r="U1109" s="38">
        <v>807211</v>
      </c>
      <c r="V1109" s="15" t="str">
        <f t="shared" si="111"/>
        <v>204030201</v>
      </c>
      <c r="W1109" s="39">
        <v>2</v>
      </c>
      <c r="X1109" s="40" t="s">
        <v>693</v>
      </c>
      <c r="Y1109" s="40" t="s">
        <v>671</v>
      </c>
      <c r="Z1109" s="40" t="s">
        <v>647</v>
      </c>
      <c r="AA1109" s="40" t="s">
        <v>632</v>
      </c>
      <c r="AB1109" s="41" t="s">
        <v>3219</v>
      </c>
      <c r="AC1109" s="9">
        <f>H1109</f>
        <v>807211</v>
      </c>
      <c r="AD1109" s="517" t="s">
        <v>1519</v>
      </c>
      <c r="AE1109" s="517" t="s">
        <v>13539</v>
      </c>
      <c r="AF1109" s="517" t="s">
        <v>286</v>
      </c>
      <c r="AG1109" s="520" t="s">
        <v>3220</v>
      </c>
      <c r="AH1109" s="67">
        <f>AC1109</f>
        <v>807211</v>
      </c>
      <c r="AI1109" s="10"/>
      <c r="AJ1109" s="9">
        <f t="shared" si="104"/>
        <v>0</v>
      </c>
      <c r="AK1109" s="10"/>
      <c r="AL1109" s="10"/>
    </row>
    <row r="1110" spans="1:38" ht="45" hidden="1">
      <c r="A1110" s="1">
        <f t="shared" si="112"/>
        <v>0</v>
      </c>
      <c r="D1110" s="15" t="s">
        <v>16</v>
      </c>
      <c r="E1110" s="30"/>
      <c r="F1110" s="31" t="s">
        <v>3223</v>
      </c>
      <c r="G1110" s="32">
        <f>G1111</f>
        <v>0</v>
      </c>
      <c r="H1110" s="32">
        <f>H1111</f>
        <v>0</v>
      </c>
      <c r="I1110" s="15"/>
      <c r="J1110" s="494"/>
      <c r="K1110" s="513"/>
      <c r="L1110" s="513"/>
      <c r="M1110" s="513"/>
      <c r="N1110" s="514"/>
      <c r="O1110" s="513"/>
      <c r="P1110" s="513"/>
      <c r="Q1110" s="513"/>
      <c r="R1110" s="513"/>
      <c r="S1110" s="513"/>
      <c r="T1110" s="514"/>
      <c r="U1110" s="32">
        <f>U1111</f>
        <v>0</v>
      </c>
      <c r="V1110" s="15" t="str">
        <f t="shared" si="111"/>
        <v>204030300</v>
      </c>
      <c r="W1110" s="33">
        <v>2</v>
      </c>
      <c r="X1110" s="34" t="s">
        <v>693</v>
      </c>
      <c r="Y1110" s="34" t="s">
        <v>671</v>
      </c>
      <c r="Z1110" s="34" t="s">
        <v>671</v>
      </c>
      <c r="AA1110" s="35" t="s">
        <v>630</v>
      </c>
      <c r="AB1110" s="31" t="s">
        <v>3223</v>
      </c>
      <c r="AC1110" s="529">
        <f>AC1111</f>
        <v>0</v>
      </c>
      <c r="AD1110" s="513" t="s">
        <v>1422</v>
      </c>
      <c r="AE1110" s="513" t="s">
        <v>13540</v>
      </c>
      <c r="AF1110" s="513" t="s">
        <v>287</v>
      </c>
      <c r="AG1110" s="514" t="s">
        <v>3224</v>
      </c>
      <c r="AH1110" s="44">
        <f>AH1111</f>
        <v>0</v>
      </c>
      <c r="AI1110" s="10"/>
      <c r="AJ1110" s="9">
        <f t="shared" si="104"/>
        <v>0</v>
      </c>
      <c r="AK1110" s="10"/>
      <c r="AL1110" s="10"/>
    </row>
    <row r="1111" spans="1:38" ht="45" hidden="1">
      <c r="A1111" s="1">
        <f t="shared" si="112"/>
        <v>0</v>
      </c>
      <c r="B1111" s="2" t="s">
        <v>3225</v>
      </c>
      <c r="C1111" s="3" t="s">
        <v>3226</v>
      </c>
      <c r="D1111" s="15" t="s">
        <v>11665</v>
      </c>
      <c r="E1111" s="4" t="s">
        <v>3225</v>
      </c>
      <c r="F1111" s="37" t="s">
        <v>3226</v>
      </c>
      <c r="G1111" s="38">
        <v>0</v>
      </c>
      <c r="H1111" s="38">
        <v>0</v>
      </c>
      <c r="I1111" s="15"/>
      <c r="J1111" s="494">
        <v>20403030101</v>
      </c>
      <c r="K1111" s="517" t="s">
        <v>1422</v>
      </c>
      <c r="L1111" s="517" t="s">
        <v>13540</v>
      </c>
      <c r="M1111" s="517" t="s">
        <v>287</v>
      </c>
      <c r="N1111" s="518" t="s">
        <v>3224</v>
      </c>
      <c r="O1111" s="517">
        <v>2</v>
      </c>
      <c r="P1111" s="517" t="s">
        <v>693</v>
      </c>
      <c r="Q1111" s="517" t="s">
        <v>671</v>
      </c>
      <c r="R1111" s="517" t="s">
        <v>671</v>
      </c>
      <c r="S1111" s="517" t="s">
        <v>632</v>
      </c>
      <c r="T1111" s="518" t="s">
        <v>3223</v>
      </c>
      <c r="U1111" s="38">
        <v>0</v>
      </c>
      <c r="V1111" s="15" t="str">
        <f t="shared" si="111"/>
        <v>204030301</v>
      </c>
      <c r="W1111" s="39">
        <v>2</v>
      </c>
      <c r="X1111" s="40" t="s">
        <v>693</v>
      </c>
      <c r="Y1111" s="40" t="s">
        <v>671</v>
      </c>
      <c r="Z1111" s="40" t="s">
        <v>671</v>
      </c>
      <c r="AA1111" s="40" t="s">
        <v>632</v>
      </c>
      <c r="AB1111" s="41" t="s">
        <v>3223</v>
      </c>
      <c r="AC1111" s="9">
        <f>H1111</f>
        <v>0</v>
      </c>
      <c r="AD1111" s="517" t="s">
        <v>1422</v>
      </c>
      <c r="AE1111" s="517" t="s">
        <v>13540</v>
      </c>
      <c r="AF1111" s="517" t="s">
        <v>287</v>
      </c>
      <c r="AG1111" s="520" t="s">
        <v>3224</v>
      </c>
      <c r="AH1111" s="67">
        <f>AC1111</f>
        <v>0</v>
      </c>
      <c r="AI1111" s="10"/>
      <c r="AJ1111" s="9">
        <f t="shared" si="104"/>
        <v>0</v>
      </c>
      <c r="AK1111" s="10"/>
      <c r="AL1111" s="10"/>
    </row>
    <row r="1112" spans="1:38" ht="45" hidden="1">
      <c r="A1112" s="1">
        <f t="shared" si="112"/>
        <v>0</v>
      </c>
      <c r="C1112" s="3" t="s">
        <v>3227</v>
      </c>
      <c r="D1112" s="15" t="s">
        <v>16</v>
      </c>
      <c r="E1112" s="30"/>
      <c r="F1112" s="31" t="s">
        <v>3228</v>
      </c>
      <c r="G1112" s="32">
        <f>G1113</f>
        <v>0</v>
      </c>
      <c r="H1112" s="32">
        <f>H1113</f>
        <v>0</v>
      </c>
      <c r="I1112" s="15"/>
      <c r="J1112" s="494"/>
      <c r="K1112" s="513"/>
      <c r="L1112" s="513"/>
      <c r="M1112" s="513"/>
      <c r="N1112" s="514"/>
      <c r="O1112" s="513"/>
      <c r="P1112" s="513"/>
      <c r="Q1112" s="513"/>
      <c r="R1112" s="513"/>
      <c r="S1112" s="513"/>
      <c r="T1112" s="514"/>
      <c r="U1112" s="32">
        <f>U1113</f>
        <v>0</v>
      </c>
      <c r="V1112" s="15" t="str">
        <f t="shared" si="111"/>
        <v>204030700</v>
      </c>
      <c r="W1112" s="33">
        <v>2</v>
      </c>
      <c r="X1112" s="34" t="s">
        <v>693</v>
      </c>
      <c r="Y1112" s="34" t="s">
        <v>671</v>
      </c>
      <c r="Z1112" s="35" t="s">
        <v>755</v>
      </c>
      <c r="AA1112" s="35" t="s">
        <v>630</v>
      </c>
      <c r="AB1112" s="31" t="s">
        <v>3228</v>
      </c>
      <c r="AC1112" s="529">
        <f>AC1113</f>
        <v>0</v>
      </c>
      <c r="AD1112" s="513" t="s">
        <v>1422</v>
      </c>
      <c r="AE1112" s="513" t="s">
        <v>13541</v>
      </c>
      <c r="AF1112" s="513" t="s">
        <v>3229</v>
      </c>
      <c r="AG1112" s="514" t="s">
        <v>3230</v>
      </c>
      <c r="AH1112" s="44">
        <f>AH1113</f>
        <v>0</v>
      </c>
      <c r="AI1112" s="10"/>
      <c r="AJ1112" s="9">
        <f t="shared" si="104"/>
        <v>0</v>
      </c>
      <c r="AK1112" s="10"/>
      <c r="AL1112" s="10"/>
    </row>
    <row r="1113" spans="1:38" ht="45" hidden="1">
      <c r="A1113" s="1">
        <f t="shared" si="112"/>
        <v>0</v>
      </c>
      <c r="B1113" s="2" t="s">
        <v>3231</v>
      </c>
      <c r="C1113" s="3" t="s">
        <v>3232</v>
      </c>
      <c r="D1113" s="15" t="s">
        <v>11666</v>
      </c>
      <c r="E1113" s="4" t="s">
        <v>3231</v>
      </c>
      <c r="F1113" s="37" t="s">
        <v>3232</v>
      </c>
      <c r="G1113" s="38">
        <v>0</v>
      </c>
      <c r="H1113" s="38">
        <v>0</v>
      </c>
      <c r="I1113" s="15"/>
      <c r="J1113" s="494">
        <v>20403070101</v>
      </c>
      <c r="K1113" s="517" t="s">
        <v>1422</v>
      </c>
      <c r="L1113" s="517" t="s">
        <v>13541</v>
      </c>
      <c r="M1113" s="517" t="s">
        <v>3229</v>
      </c>
      <c r="N1113" s="518" t="s">
        <v>3230</v>
      </c>
      <c r="O1113" s="517">
        <v>2</v>
      </c>
      <c r="P1113" s="517" t="s">
        <v>693</v>
      </c>
      <c r="Q1113" s="517" t="s">
        <v>671</v>
      </c>
      <c r="R1113" s="517" t="s">
        <v>755</v>
      </c>
      <c r="S1113" s="517" t="s">
        <v>632</v>
      </c>
      <c r="T1113" s="518" t="s">
        <v>3228</v>
      </c>
      <c r="U1113" s="38">
        <v>0</v>
      </c>
      <c r="V1113" s="15" t="str">
        <f t="shared" si="111"/>
        <v>204030701</v>
      </c>
      <c r="W1113" s="39">
        <v>2</v>
      </c>
      <c r="X1113" s="40" t="s">
        <v>693</v>
      </c>
      <c r="Y1113" s="40" t="s">
        <v>671</v>
      </c>
      <c r="Z1113" s="40" t="s">
        <v>755</v>
      </c>
      <c r="AA1113" s="40" t="s">
        <v>632</v>
      </c>
      <c r="AB1113" s="41" t="s">
        <v>3228</v>
      </c>
      <c r="AC1113" s="9">
        <f>H1113</f>
        <v>0</v>
      </c>
      <c r="AD1113" s="517" t="s">
        <v>1422</v>
      </c>
      <c r="AE1113" s="517" t="s">
        <v>13541</v>
      </c>
      <c r="AF1113" s="517" t="s">
        <v>3229</v>
      </c>
      <c r="AG1113" s="520" t="s">
        <v>3230</v>
      </c>
      <c r="AH1113" s="67">
        <f>AC1113</f>
        <v>0</v>
      </c>
      <c r="AI1113" s="10"/>
      <c r="AJ1113" s="9">
        <f t="shared" si="104"/>
        <v>0</v>
      </c>
      <c r="AK1113" s="10"/>
      <c r="AL1113" s="10"/>
    </row>
    <row r="1114" spans="1:38" ht="33.75" hidden="1">
      <c r="A1114" s="1">
        <f t="shared" si="112"/>
        <v>0</v>
      </c>
      <c r="D1114" s="15" t="s">
        <v>16</v>
      </c>
      <c r="E1114" s="30"/>
      <c r="F1114" s="31" t="s">
        <v>3233</v>
      </c>
      <c r="G1114" s="32">
        <f>G1115</f>
        <v>0</v>
      </c>
      <c r="H1114" s="32">
        <f>H1115</f>
        <v>0</v>
      </c>
      <c r="I1114" s="15"/>
      <c r="J1114" s="494"/>
      <c r="K1114" s="513"/>
      <c r="L1114" s="513"/>
      <c r="M1114" s="513"/>
      <c r="N1114" s="514"/>
      <c r="O1114" s="513"/>
      <c r="P1114" s="513"/>
      <c r="Q1114" s="513"/>
      <c r="R1114" s="513"/>
      <c r="S1114" s="513"/>
      <c r="T1114" s="514"/>
      <c r="U1114" s="32">
        <f>U1115</f>
        <v>0</v>
      </c>
      <c r="V1114" s="15" t="str">
        <f t="shared" si="111"/>
        <v>204030400</v>
      </c>
      <c r="W1114" s="33">
        <v>2</v>
      </c>
      <c r="X1114" s="34" t="s">
        <v>693</v>
      </c>
      <c r="Y1114" s="34" t="s">
        <v>671</v>
      </c>
      <c r="Z1114" s="34" t="s">
        <v>693</v>
      </c>
      <c r="AA1114" s="35" t="s">
        <v>630</v>
      </c>
      <c r="AB1114" s="31" t="s">
        <v>3233</v>
      </c>
      <c r="AC1114" s="529">
        <f>AC1115</f>
        <v>0</v>
      </c>
      <c r="AD1114" s="513" t="s">
        <v>1422</v>
      </c>
      <c r="AE1114" s="513" t="s">
        <v>13542</v>
      </c>
      <c r="AF1114" s="513" t="s">
        <v>288</v>
      </c>
      <c r="AG1114" s="514" t="s">
        <v>3234</v>
      </c>
      <c r="AH1114" s="44">
        <f>AH1115</f>
        <v>0</v>
      </c>
      <c r="AI1114" s="10"/>
      <c r="AJ1114" s="9">
        <f t="shared" si="104"/>
        <v>0</v>
      </c>
      <c r="AK1114" s="10"/>
      <c r="AL1114" s="10"/>
    </row>
    <row r="1115" spans="1:38" ht="33.75" hidden="1">
      <c r="A1115" s="1">
        <f t="shared" si="112"/>
        <v>0</v>
      </c>
      <c r="B1115" s="2" t="s">
        <v>3235</v>
      </c>
      <c r="C1115" s="3" t="s">
        <v>3227</v>
      </c>
      <c r="D1115" s="15" t="s">
        <v>11667</v>
      </c>
      <c r="E1115" s="4" t="s">
        <v>3235</v>
      </c>
      <c r="F1115" s="37" t="s">
        <v>3227</v>
      </c>
      <c r="G1115" s="90"/>
      <c r="H1115" s="38">
        <v>0</v>
      </c>
      <c r="I1115" s="15"/>
      <c r="J1115" s="494">
        <v>20403040101</v>
      </c>
      <c r="K1115" s="517" t="s">
        <v>1422</v>
      </c>
      <c r="L1115" s="517" t="s">
        <v>13542</v>
      </c>
      <c r="M1115" s="517" t="s">
        <v>288</v>
      </c>
      <c r="N1115" s="518" t="s">
        <v>3234</v>
      </c>
      <c r="O1115" s="517">
        <v>2</v>
      </c>
      <c r="P1115" s="517" t="s">
        <v>693</v>
      </c>
      <c r="Q1115" s="517" t="s">
        <v>671</v>
      </c>
      <c r="R1115" s="517" t="s">
        <v>693</v>
      </c>
      <c r="S1115" s="517" t="s">
        <v>632</v>
      </c>
      <c r="T1115" s="518" t="s">
        <v>3233</v>
      </c>
      <c r="U1115" s="38">
        <v>0</v>
      </c>
      <c r="V1115" s="15" t="str">
        <f t="shared" si="111"/>
        <v>204030401</v>
      </c>
      <c r="W1115" s="39">
        <v>2</v>
      </c>
      <c r="X1115" s="40" t="s">
        <v>693</v>
      </c>
      <c r="Y1115" s="40" t="s">
        <v>671</v>
      </c>
      <c r="Z1115" s="40" t="s">
        <v>693</v>
      </c>
      <c r="AA1115" s="40" t="s">
        <v>632</v>
      </c>
      <c r="AB1115" s="41" t="s">
        <v>3233</v>
      </c>
      <c r="AC1115" s="9">
        <f>H1115</f>
        <v>0</v>
      </c>
      <c r="AD1115" s="517" t="s">
        <v>1422</v>
      </c>
      <c r="AE1115" s="517" t="s">
        <v>13542</v>
      </c>
      <c r="AF1115" s="517" t="s">
        <v>288</v>
      </c>
      <c r="AG1115" s="520" t="s">
        <v>3234</v>
      </c>
      <c r="AH1115" s="67">
        <f>AC1115</f>
        <v>0</v>
      </c>
      <c r="AI1115" s="10"/>
      <c r="AJ1115" s="9">
        <f t="shared" si="104"/>
        <v>0</v>
      </c>
      <c r="AK1115" s="10"/>
      <c r="AL1115" s="10"/>
    </row>
    <row r="1116" spans="1:38" ht="90" hidden="1">
      <c r="A1116" s="1">
        <f t="shared" si="112"/>
        <v>0</v>
      </c>
      <c r="D1116" s="15" t="s">
        <v>16</v>
      </c>
      <c r="E1116" s="30"/>
      <c r="F1116" s="31" t="s">
        <v>3236</v>
      </c>
      <c r="G1116" s="32">
        <f>G1117</f>
        <v>0</v>
      </c>
      <c r="H1116" s="32">
        <f>H1117</f>
        <v>0</v>
      </c>
      <c r="I1116" s="15"/>
      <c r="J1116" s="494"/>
      <c r="K1116" s="513"/>
      <c r="L1116" s="513"/>
      <c r="M1116" s="513"/>
      <c r="N1116" s="514"/>
      <c r="O1116" s="513"/>
      <c r="P1116" s="513"/>
      <c r="Q1116" s="513"/>
      <c r="R1116" s="513"/>
      <c r="S1116" s="513"/>
      <c r="T1116" s="514"/>
      <c r="U1116" s="32">
        <f>U1117</f>
        <v>0</v>
      </c>
      <c r="V1116" s="15" t="str">
        <f t="shared" si="111"/>
        <v>204030800</v>
      </c>
      <c r="W1116" s="33">
        <v>2</v>
      </c>
      <c r="X1116" s="34" t="s">
        <v>693</v>
      </c>
      <c r="Y1116" s="34" t="s">
        <v>671</v>
      </c>
      <c r="Z1116" s="35" t="s">
        <v>766</v>
      </c>
      <c r="AA1116" s="35" t="s">
        <v>630</v>
      </c>
      <c r="AB1116" s="31" t="s">
        <v>3236</v>
      </c>
      <c r="AC1116" s="529">
        <f>AC1117</f>
        <v>0</v>
      </c>
      <c r="AD1116" s="513" t="s">
        <v>1422</v>
      </c>
      <c r="AE1116" s="513" t="s">
        <v>13543</v>
      </c>
      <c r="AF1116" s="513" t="s">
        <v>3237</v>
      </c>
      <c r="AG1116" s="514" t="s">
        <v>3238</v>
      </c>
      <c r="AH1116" s="44">
        <f>AH1117</f>
        <v>0</v>
      </c>
      <c r="AI1116" s="10"/>
      <c r="AJ1116" s="9">
        <f t="shared" si="104"/>
        <v>0</v>
      </c>
      <c r="AK1116" s="10"/>
      <c r="AL1116" s="10"/>
    </row>
    <row r="1117" spans="1:38" ht="67.5" hidden="1">
      <c r="A1117" s="1">
        <f t="shared" si="112"/>
        <v>0</v>
      </c>
      <c r="B1117" s="2" t="s">
        <v>3239</v>
      </c>
      <c r="C1117" s="3" t="s">
        <v>3236</v>
      </c>
      <c r="D1117" s="15" t="s">
        <v>11668</v>
      </c>
      <c r="E1117" s="4" t="s">
        <v>3239</v>
      </c>
      <c r="F1117" s="37" t="s">
        <v>3236</v>
      </c>
      <c r="G1117" s="38">
        <v>0</v>
      </c>
      <c r="H1117" s="38">
        <v>0</v>
      </c>
      <c r="I1117" s="15"/>
      <c r="J1117" s="494">
        <v>20403080101</v>
      </c>
      <c r="K1117" s="517" t="s">
        <v>1422</v>
      </c>
      <c r="L1117" s="517" t="s">
        <v>13543</v>
      </c>
      <c r="M1117" s="517" t="s">
        <v>3237</v>
      </c>
      <c r="N1117" s="518" t="s">
        <v>3238</v>
      </c>
      <c r="O1117" s="517">
        <v>2</v>
      </c>
      <c r="P1117" s="517" t="s">
        <v>693</v>
      </c>
      <c r="Q1117" s="517" t="s">
        <v>671</v>
      </c>
      <c r="R1117" s="517" t="s">
        <v>766</v>
      </c>
      <c r="S1117" s="517" t="s">
        <v>632</v>
      </c>
      <c r="T1117" s="518" t="s">
        <v>3236</v>
      </c>
      <c r="U1117" s="38">
        <v>0</v>
      </c>
      <c r="V1117" s="15" t="str">
        <f t="shared" si="111"/>
        <v>204030801</v>
      </c>
      <c r="W1117" s="39">
        <v>2</v>
      </c>
      <c r="X1117" s="40" t="s">
        <v>693</v>
      </c>
      <c r="Y1117" s="40" t="s">
        <v>671</v>
      </c>
      <c r="Z1117" s="40" t="s">
        <v>766</v>
      </c>
      <c r="AA1117" s="40" t="s">
        <v>632</v>
      </c>
      <c r="AB1117" s="41" t="s">
        <v>3236</v>
      </c>
      <c r="AC1117" s="9">
        <f>H1117</f>
        <v>0</v>
      </c>
      <c r="AD1117" s="517" t="s">
        <v>1422</v>
      </c>
      <c r="AE1117" s="517" t="s">
        <v>13543</v>
      </c>
      <c r="AF1117" s="517" t="s">
        <v>3237</v>
      </c>
      <c r="AG1117" s="520" t="s">
        <v>3238</v>
      </c>
      <c r="AH1117" s="67">
        <f>AC1117</f>
        <v>0</v>
      </c>
      <c r="AI1117" s="10"/>
      <c r="AJ1117" s="9">
        <f t="shared" ref="AJ1117:AJ1180" si="113">AH1117-H1117</f>
        <v>0</v>
      </c>
      <c r="AK1117" s="10"/>
      <c r="AL1117" s="10"/>
    </row>
    <row r="1118" spans="1:38" ht="33.75" hidden="1">
      <c r="A1118" s="1">
        <f t="shared" si="112"/>
        <v>0</v>
      </c>
      <c r="D1118" s="15" t="s">
        <v>16</v>
      </c>
      <c r="E1118" s="30"/>
      <c r="F1118" s="31" t="s">
        <v>3240</v>
      </c>
      <c r="G1118" s="32">
        <f>G1119</f>
        <v>0</v>
      </c>
      <c r="H1118" s="32">
        <f>H1119</f>
        <v>0</v>
      </c>
      <c r="I1118" s="15"/>
      <c r="J1118" s="494"/>
      <c r="K1118" s="513"/>
      <c r="L1118" s="513"/>
      <c r="M1118" s="513"/>
      <c r="N1118" s="514"/>
      <c r="O1118" s="513"/>
      <c r="P1118" s="513"/>
      <c r="Q1118" s="513"/>
      <c r="R1118" s="513"/>
      <c r="S1118" s="513"/>
      <c r="T1118" s="514"/>
      <c r="U1118" s="32">
        <f>U1119</f>
        <v>0</v>
      </c>
      <c r="V1118" s="15" t="str">
        <f t="shared" si="111"/>
        <v>204030900</v>
      </c>
      <c r="W1118" s="33">
        <v>2</v>
      </c>
      <c r="X1118" s="34" t="s">
        <v>693</v>
      </c>
      <c r="Y1118" s="34" t="s">
        <v>671</v>
      </c>
      <c r="Z1118" s="35" t="s">
        <v>779</v>
      </c>
      <c r="AA1118" s="35" t="s">
        <v>630</v>
      </c>
      <c r="AB1118" s="31" t="s">
        <v>3240</v>
      </c>
      <c r="AC1118" s="529">
        <f>AC1119</f>
        <v>0</v>
      </c>
      <c r="AD1118" s="513">
        <v>0</v>
      </c>
      <c r="AE1118" s="513" t="s">
        <v>13544</v>
      </c>
      <c r="AF1118" s="513" t="s">
        <v>3241</v>
      </c>
      <c r="AG1118" s="514" t="s">
        <v>3242</v>
      </c>
      <c r="AH1118" s="44">
        <f>AH1119</f>
        <v>0</v>
      </c>
      <c r="AI1118" s="10"/>
      <c r="AJ1118" s="9">
        <f t="shared" si="113"/>
        <v>0</v>
      </c>
      <c r="AK1118" s="10"/>
      <c r="AL1118" s="10"/>
    </row>
    <row r="1119" spans="1:38" ht="33.75" hidden="1">
      <c r="A1119" s="1">
        <f t="shared" si="112"/>
        <v>0</v>
      </c>
      <c r="B1119" s="2" t="s">
        <v>3243</v>
      </c>
      <c r="C1119" s="3" t="s">
        <v>3244</v>
      </c>
      <c r="D1119" s="15" t="s">
        <v>11669</v>
      </c>
      <c r="E1119" s="4" t="s">
        <v>3243</v>
      </c>
      <c r="F1119" s="37" t="s">
        <v>3244</v>
      </c>
      <c r="G1119" s="38">
        <v>0</v>
      </c>
      <c r="H1119" s="38">
        <v>0</v>
      </c>
      <c r="I1119" s="15"/>
      <c r="J1119" s="494">
        <v>20403090101</v>
      </c>
      <c r="K1119" s="517"/>
      <c r="L1119" s="517" t="s">
        <v>13544</v>
      </c>
      <c r="M1119" s="517" t="s">
        <v>3241</v>
      </c>
      <c r="N1119" s="518" t="s">
        <v>3242</v>
      </c>
      <c r="O1119" s="517">
        <v>2</v>
      </c>
      <c r="P1119" s="517" t="s">
        <v>693</v>
      </c>
      <c r="Q1119" s="517" t="s">
        <v>671</v>
      </c>
      <c r="R1119" s="517" t="s">
        <v>779</v>
      </c>
      <c r="S1119" s="517" t="s">
        <v>632</v>
      </c>
      <c r="T1119" s="518" t="s">
        <v>3240</v>
      </c>
      <c r="U1119" s="38">
        <v>0</v>
      </c>
      <c r="V1119" s="15" t="str">
        <f t="shared" si="111"/>
        <v>204030901</v>
      </c>
      <c r="W1119" s="39">
        <v>2</v>
      </c>
      <c r="X1119" s="40" t="s">
        <v>693</v>
      </c>
      <c r="Y1119" s="40" t="s">
        <v>671</v>
      </c>
      <c r="Z1119" s="40" t="s">
        <v>779</v>
      </c>
      <c r="AA1119" s="40" t="s">
        <v>632</v>
      </c>
      <c r="AB1119" s="41" t="s">
        <v>3240</v>
      </c>
      <c r="AC1119" s="9">
        <f>H1119</f>
        <v>0</v>
      </c>
      <c r="AD1119" s="517">
        <v>0</v>
      </c>
      <c r="AE1119" s="517" t="s">
        <v>13544</v>
      </c>
      <c r="AF1119" s="517" t="s">
        <v>3241</v>
      </c>
      <c r="AG1119" s="520" t="s">
        <v>3242</v>
      </c>
      <c r="AH1119" s="67">
        <f>AC1119</f>
        <v>0</v>
      </c>
      <c r="AI1119" s="10"/>
      <c r="AJ1119" s="9">
        <f t="shared" si="113"/>
        <v>0</v>
      </c>
      <c r="AK1119" s="10"/>
      <c r="AL1119" s="10"/>
    </row>
    <row r="1120" spans="1:38" ht="33.75" hidden="1">
      <c r="A1120" s="1">
        <f t="shared" si="112"/>
        <v>0</v>
      </c>
      <c r="D1120" s="15" t="s">
        <v>16</v>
      </c>
      <c r="E1120" s="30"/>
      <c r="F1120" s="31" t="s">
        <v>3245</v>
      </c>
      <c r="G1120" s="32">
        <f>G1121</f>
        <v>0</v>
      </c>
      <c r="H1120" s="32">
        <f>H1121</f>
        <v>0</v>
      </c>
      <c r="I1120" s="15"/>
      <c r="J1120" s="494"/>
      <c r="K1120" s="513"/>
      <c r="L1120" s="513"/>
      <c r="M1120" s="513"/>
      <c r="N1120" s="514"/>
      <c r="O1120" s="513"/>
      <c r="P1120" s="513"/>
      <c r="Q1120" s="513"/>
      <c r="R1120" s="513"/>
      <c r="S1120" s="513"/>
      <c r="T1120" s="514"/>
      <c r="U1120" s="32">
        <f>U1121</f>
        <v>0</v>
      </c>
      <c r="V1120" s="15" t="str">
        <f t="shared" si="111"/>
        <v>204031000</v>
      </c>
      <c r="W1120" s="33">
        <v>2</v>
      </c>
      <c r="X1120" s="34" t="s">
        <v>693</v>
      </c>
      <c r="Y1120" s="34" t="s">
        <v>671</v>
      </c>
      <c r="Z1120" s="35" t="s">
        <v>1225</v>
      </c>
      <c r="AA1120" s="35" t="s">
        <v>630</v>
      </c>
      <c r="AB1120" s="31" t="s">
        <v>3245</v>
      </c>
      <c r="AC1120" s="529">
        <f>AC1121</f>
        <v>0</v>
      </c>
      <c r="AD1120" s="513" t="s">
        <v>1422</v>
      </c>
      <c r="AE1120" s="513" t="s">
        <v>13545</v>
      </c>
      <c r="AF1120" s="513" t="s">
        <v>289</v>
      </c>
      <c r="AG1120" s="514" t="s">
        <v>3246</v>
      </c>
      <c r="AH1120" s="44">
        <f>AH1121</f>
        <v>0</v>
      </c>
      <c r="AI1120" s="10"/>
      <c r="AJ1120" s="9">
        <f t="shared" si="113"/>
        <v>0</v>
      </c>
      <c r="AK1120" s="10"/>
      <c r="AL1120" s="10"/>
    </row>
    <row r="1121" spans="1:38" ht="33.75" hidden="1">
      <c r="A1121" s="1">
        <f t="shared" si="112"/>
        <v>0</v>
      </c>
      <c r="B1121" s="2" t="s">
        <v>3247</v>
      </c>
      <c r="C1121" s="3" t="s">
        <v>3248</v>
      </c>
      <c r="D1121" s="15" t="s">
        <v>11670</v>
      </c>
      <c r="E1121" s="4" t="s">
        <v>3247</v>
      </c>
      <c r="F1121" s="37" t="s">
        <v>3248</v>
      </c>
      <c r="G1121" s="38">
        <v>0</v>
      </c>
      <c r="H1121" s="38">
        <v>0</v>
      </c>
      <c r="I1121" s="15"/>
      <c r="J1121" s="494">
        <v>20403100101</v>
      </c>
      <c r="K1121" s="517" t="s">
        <v>1422</v>
      </c>
      <c r="L1121" s="517" t="s">
        <v>13545</v>
      </c>
      <c r="M1121" s="517" t="s">
        <v>289</v>
      </c>
      <c r="N1121" s="518" t="s">
        <v>3246</v>
      </c>
      <c r="O1121" s="517">
        <v>2</v>
      </c>
      <c r="P1121" s="517" t="s">
        <v>693</v>
      </c>
      <c r="Q1121" s="517" t="s">
        <v>671</v>
      </c>
      <c r="R1121" s="517" t="s">
        <v>1225</v>
      </c>
      <c r="S1121" s="517" t="s">
        <v>632</v>
      </c>
      <c r="T1121" s="518" t="s">
        <v>3245</v>
      </c>
      <c r="U1121" s="38">
        <v>0</v>
      </c>
      <c r="V1121" s="15" t="str">
        <f t="shared" si="111"/>
        <v>204031001</v>
      </c>
      <c r="W1121" s="39">
        <v>2</v>
      </c>
      <c r="X1121" s="40" t="s">
        <v>693</v>
      </c>
      <c r="Y1121" s="40" t="s">
        <v>671</v>
      </c>
      <c r="Z1121" s="40" t="s">
        <v>1225</v>
      </c>
      <c r="AA1121" s="40" t="s">
        <v>632</v>
      </c>
      <c r="AB1121" s="41" t="s">
        <v>3245</v>
      </c>
      <c r="AC1121" s="9">
        <f>H1121</f>
        <v>0</v>
      </c>
      <c r="AD1121" s="517" t="s">
        <v>1422</v>
      </c>
      <c r="AE1121" s="517" t="s">
        <v>13545</v>
      </c>
      <c r="AF1121" s="517" t="s">
        <v>289</v>
      </c>
      <c r="AG1121" s="520" t="s">
        <v>3246</v>
      </c>
      <c r="AH1121" s="67">
        <f>AC1121</f>
        <v>0</v>
      </c>
      <c r="AI1121" s="10"/>
      <c r="AJ1121" s="9">
        <f t="shared" si="113"/>
        <v>0</v>
      </c>
      <c r="AK1121" s="10"/>
      <c r="AL1121" s="10"/>
    </row>
    <row r="1122" spans="1:38" ht="33.75" hidden="1">
      <c r="A1122" s="1">
        <f t="shared" si="112"/>
        <v>0</v>
      </c>
      <c r="D1122" s="15" t="s">
        <v>16</v>
      </c>
      <c r="E1122" s="30"/>
      <c r="F1122" s="31" t="s">
        <v>3249</v>
      </c>
      <c r="G1122" s="32">
        <f>G1123</f>
        <v>0</v>
      </c>
      <c r="H1122" s="32">
        <f>H1123</f>
        <v>0</v>
      </c>
      <c r="I1122" s="15"/>
      <c r="J1122" s="494"/>
      <c r="K1122" s="513"/>
      <c r="L1122" s="513"/>
      <c r="M1122" s="513"/>
      <c r="N1122" s="514"/>
      <c r="O1122" s="513"/>
      <c r="P1122" s="513"/>
      <c r="Q1122" s="513"/>
      <c r="R1122" s="513"/>
      <c r="S1122" s="513"/>
      <c r="T1122" s="514"/>
      <c r="U1122" s="32">
        <f>U1123</f>
        <v>0</v>
      </c>
      <c r="V1122" s="15" t="str">
        <f t="shared" si="111"/>
        <v>204031100</v>
      </c>
      <c r="W1122" s="33">
        <v>2</v>
      </c>
      <c r="X1122" s="34" t="s">
        <v>693</v>
      </c>
      <c r="Y1122" s="34" t="s">
        <v>671</v>
      </c>
      <c r="Z1122" s="35" t="s">
        <v>1229</v>
      </c>
      <c r="AA1122" s="35" t="s">
        <v>630</v>
      </c>
      <c r="AB1122" s="31" t="s">
        <v>3249</v>
      </c>
      <c r="AC1122" s="529">
        <f>AC1123</f>
        <v>0</v>
      </c>
      <c r="AD1122" s="513">
        <v>0</v>
      </c>
      <c r="AE1122" s="513" t="s">
        <v>3250</v>
      </c>
      <c r="AF1122" s="513" t="s">
        <v>3251</v>
      </c>
      <c r="AG1122" s="514" t="s">
        <v>3252</v>
      </c>
      <c r="AH1122" s="44">
        <f>AH1123</f>
        <v>0</v>
      </c>
      <c r="AI1122" s="10"/>
      <c r="AJ1122" s="9">
        <f t="shared" si="113"/>
        <v>0</v>
      </c>
      <c r="AK1122" s="10"/>
      <c r="AL1122" s="10"/>
    </row>
    <row r="1123" spans="1:38" ht="22.5" hidden="1">
      <c r="A1123" s="1">
        <f t="shared" si="112"/>
        <v>0</v>
      </c>
      <c r="B1123" s="2" t="s">
        <v>3253</v>
      </c>
      <c r="C1123" s="3" t="s">
        <v>3249</v>
      </c>
      <c r="D1123" s="15" t="s">
        <v>11671</v>
      </c>
      <c r="E1123" s="4" t="s">
        <v>3253</v>
      </c>
      <c r="F1123" s="37" t="s">
        <v>3249</v>
      </c>
      <c r="G1123" s="38">
        <v>0</v>
      </c>
      <c r="H1123" s="38">
        <v>0</v>
      </c>
      <c r="I1123" s="15"/>
      <c r="J1123" s="494">
        <v>20403110101</v>
      </c>
      <c r="K1123" s="517"/>
      <c r="L1123" s="517" t="s">
        <v>3250</v>
      </c>
      <c r="M1123" s="517" t="s">
        <v>3251</v>
      </c>
      <c r="N1123" s="518" t="s">
        <v>3252</v>
      </c>
      <c r="O1123" s="517">
        <v>2</v>
      </c>
      <c r="P1123" s="517" t="s">
        <v>693</v>
      </c>
      <c r="Q1123" s="517" t="s">
        <v>671</v>
      </c>
      <c r="R1123" s="517" t="s">
        <v>1229</v>
      </c>
      <c r="S1123" s="517" t="s">
        <v>632</v>
      </c>
      <c r="T1123" s="518" t="s">
        <v>3249</v>
      </c>
      <c r="U1123" s="38">
        <v>0</v>
      </c>
      <c r="V1123" s="15" t="str">
        <f t="shared" si="111"/>
        <v>204031101</v>
      </c>
      <c r="W1123" s="39">
        <v>2</v>
      </c>
      <c r="X1123" s="40" t="s">
        <v>693</v>
      </c>
      <c r="Y1123" s="40" t="s">
        <v>671</v>
      </c>
      <c r="Z1123" s="40" t="s">
        <v>1229</v>
      </c>
      <c r="AA1123" s="40" t="s">
        <v>632</v>
      </c>
      <c r="AB1123" s="41" t="s">
        <v>3249</v>
      </c>
      <c r="AC1123" s="9">
        <f>H1123</f>
        <v>0</v>
      </c>
      <c r="AD1123" s="517">
        <v>0</v>
      </c>
      <c r="AE1123" s="517" t="s">
        <v>3250</v>
      </c>
      <c r="AF1123" s="517" t="s">
        <v>3251</v>
      </c>
      <c r="AG1123" s="520" t="s">
        <v>3252</v>
      </c>
      <c r="AH1123" s="67">
        <f>AC1123</f>
        <v>0</v>
      </c>
      <c r="AI1123" s="10"/>
      <c r="AJ1123" s="9">
        <f t="shared" si="113"/>
        <v>0</v>
      </c>
      <c r="AK1123" s="10"/>
      <c r="AL1123" s="10"/>
    </row>
    <row r="1124" spans="1:38" ht="22.5" hidden="1">
      <c r="A1124" s="57">
        <f t="shared" si="112"/>
        <v>0</v>
      </c>
      <c r="B1124" s="58" t="s">
        <v>3254</v>
      </c>
      <c r="C1124" s="59" t="s">
        <v>3255</v>
      </c>
      <c r="D1124" s="15" t="s">
        <v>11672</v>
      </c>
      <c r="E1124" s="2" t="s">
        <v>3254</v>
      </c>
      <c r="F1124" s="3" t="s">
        <v>3255</v>
      </c>
      <c r="G1124" s="38"/>
      <c r="H1124" s="38">
        <v>0</v>
      </c>
      <c r="I1124" s="15"/>
      <c r="J1124" s="494">
        <v>20403050101</v>
      </c>
      <c r="K1124" s="517"/>
      <c r="L1124" s="517" t="s">
        <v>3250</v>
      </c>
      <c r="M1124" s="517" t="s">
        <v>3251</v>
      </c>
      <c r="N1124" s="518" t="s">
        <v>3252</v>
      </c>
      <c r="O1124" s="517">
        <v>2</v>
      </c>
      <c r="P1124" s="517" t="s">
        <v>693</v>
      </c>
      <c r="Q1124" s="517" t="s">
        <v>671</v>
      </c>
      <c r="R1124" s="517" t="s">
        <v>1229</v>
      </c>
      <c r="S1124" s="517" t="s">
        <v>632</v>
      </c>
      <c r="T1124" s="518" t="s">
        <v>3249</v>
      </c>
      <c r="U1124" s="38">
        <v>0</v>
      </c>
      <c r="V1124" s="15" t="str">
        <f t="shared" si="111"/>
        <v/>
      </c>
      <c r="W1124" s="39"/>
      <c r="X1124" s="40"/>
      <c r="Y1124" s="40"/>
      <c r="Z1124" s="40"/>
      <c r="AA1124" s="40"/>
      <c r="AB1124" s="41"/>
      <c r="AC1124" s="9"/>
      <c r="AD1124" s="517" t="e">
        <v>#N/A</v>
      </c>
      <c r="AE1124" s="517" t="e">
        <v>#N/A</v>
      </c>
      <c r="AF1124" s="517" t="e">
        <v>#N/A</v>
      </c>
      <c r="AG1124" s="520" t="e">
        <v>#N/A</v>
      </c>
      <c r="AH1124" s="67"/>
      <c r="AI1124" s="10"/>
      <c r="AJ1124" s="9">
        <f t="shared" si="113"/>
        <v>0</v>
      </c>
      <c r="AK1124" s="10"/>
      <c r="AL1124" s="10"/>
    </row>
    <row r="1125" spans="1:38" hidden="1">
      <c r="A1125" s="1">
        <f t="shared" si="112"/>
        <v>0</v>
      </c>
      <c r="D1125" s="15" t="s">
        <v>16</v>
      </c>
      <c r="E1125" s="24"/>
      <c r="F1125" s="25" t="s">
        <v>3256</v>
      </c>
      <c r="G1125" s="26">
        <f t="shared" ref="G1125:H1126" si="114">G1126</f>
        <v>412</v>
      </c>
      <c r="H1125" s="26">
        <f t="shared" si="114"/>
        <v>400</v>
      </c>
      <c r="I1125" s="15"/>
      <c r="J1125" s="494"/>
      <c r="K1125" s="509"/>
      <c r="L1125" s="509"/>
      <c r="M1125" s="509"/>
      <c r="N1125" s="510"/>
      <c r="O1125" s="509"/>
      <c r="P1125" s="509"/>
      <c r="Q1125" s="509"/>
      <c r="R1125" s="509"/>
      <c r="S1125" s="509"/>
      <c r="T1125" s="510"/>
      <c r="U1125" s="26">
        <f t="shared" ref="U1125:U1126" si="115">U1126</f>
        <v>400</v>
      </c>
      <c r="V1125" s="15" t="str">
        <f t="shared" si="111"/>
        <v>204040000</v>
      </c>
      <c r="W1125" s="27">
        <v>2</v>
      </c>
      <c r="X1125" s="28" t="s">
        <v>693</v>
      </c>
      <c r="Y1125" s="28" t="s">
        <v>693</v>
      </c>
      <c r="Z1125" s="28" t="s">
        <v>630</v>
      </c>
      <c r="AA1125" s="28" t="s">
        <v>630</v>
      </c>
      <c r="AB1125" s="25" t="s">
        <v>3256</v>
      </c>
      <c r="AC1125" s="530">
        <f>AC1126</f>
        <v>400</v>
      </c>
      <c r="AD1125" s="509">
        <v>0</v>
      </c>
      <c r="AE1125" s="509" t="s">
        <v>13546</v>
      </c>
      <c r="AF1125" s="509" t="s">
        <v>298</v>
      </c>
      <c r="AG1125" s="510" t="s">
        <v>3257</v>
      </c>
      <c r="AH1125" s="53">
        <f>AH1126</f>
        <v>400</v>
      </c>
      <c r="AI1125" s="10"/>
      <c r="AJ1125" s="9">
        <f t="shared" si="113"/>
        <v>0</v>
      </c>
      <c r="AK1125" s="10"/>
      <c r="AL1125" s="10"/>
    </row>
    <row r="1126" spans="1:38" hidden="1">
      <c r="A1126" s="1">
        <f t="shared" si="112"/>
        <v>0</v>
      </c>
      <c r="D1126" s="15" t="s">
        <v>16</v>
      </c>
      <c r="E1126" s="30"/>
      <c r="F1126" s="31" t="s">
        <v>3258</v>
      </c>
      <c r="G1126" s="32">
        <f t="shared" si="114"/>
        <v>412</v>
      </c>
      <c r="H1126" s="32">
        <f t="shared" si="114"/>
        <v>400</v>
      </c>
      <c r="I1126" s="15"/>
      <c r="J1126" s="494"/>
      <c r="K1126" s="513"/>
      <c r="L1126" s="513"/>
      <c r="M1126" s="513"/>
      <c r="N1126" s="514"/>
      <c r="O1126" s="513"/>
      <c r="P1126" s="513"/>
      <c r="Q1126" s="513"/>
      <c r="R1126" s="513"/>
      <c r="S1126" s="513"/>
      <c r="T1126" s="514"/>
      <c r="U1126" s="32">
        <f t="shared" si="115"/>
        <v>400</v>
      </c>
      <c r="V1126" s="15" t="str">
        <f t="shared" si="111"/>
        <v>204040100</v>
      </c>
      <c r="W1126" s="33">
        <v>2</v>
      </c>
      <c r="X1126" s="34" t="s">
        <v>693</v>
      </c>
      <c r="Y1126" s="34" t="s">
        <v>693</v>
      </c>
      <c r="Z1126" s="34" t="s">
        <v>632</v>
      </c>
      <c r="AA1126" s="35" t="s">
        <v>630</v>
      </c>
      <c r="AB1126" s="31" t="s">
        <v>3258</v>
      </c>
      <c r="AC1126" s="529">
        <f>AC1127</f>
        <v>400</v>
      </c>
      <c r="AD1126" s="513">
        <v>0</v>
      </c>
      <c r="AE1126" s="513" t="s">
        <v>13546</v>
      </c>
      <c r="AF1126" s="513" t="s">
        <v>298</v>
      </c>
      <c r="AG1126" s="514" t="s">
        <v>3257</v>
      </c>
      <c r="AH1126" s="44">
        <f>AH1127</f>
        <v>400</v>
      </c>
      <c r="AI1126" s="10"/>
      <c r="AJ1126" s="9">
        <f t="shared" si="113"/>
        <v>0</v>
      </c>
      <c r="AK1126" s="10"/>
      <c r="AL1126" s="10"/>
    </row>
    <row r="1127" spans="1:38" hidden="1">
      <c r="A1127" s="1">
        <f t="shared" si="112"/>
        <v>0</v>
      </c>
      <c r="B1127" s="2" t="s">
        <v>3259</v>
      </c>
      <c r="C1127" s="3" t="s">
        <v>3256</v>
      </c>
      <c r="D1127" s="15" t="s">
        <v>11673</v>
      </c>
      <c r="E1127" s="4" t="s">
        <v>3259</v>
      </c>
      <c r="F1127" s="37" t="s">
        <v>3256</v>
      </c>
      <c r="G1127" s="38">
        <v>412</v>
      </c>
      <c r="H1127" s="38">
        <v>400</v>
      </c>
      <c r="I1127" s="15"/>
      <c r="J1127" s="494">
        <v>20404010101</v>
      </c>
      <c r="K1127" s="517"/>
      <c r="L1127" s="517" t="s">
        <v>13546</v>
      </c>
      <c r="M1127" s="517" t="s">
        <v>298</v>
      </c>
      <c r="N1127" s="518" t="s">
        <v>3257</v>
      </c>
      <c r="O1127" s="517">
        <v>2</v>
      </c>
      <c r="P1127" s="517" t="s">
        <v>693</v>
      </c>
      <c r="Q1127" s="517" t="s">
        <v>693</v>
      </c>
      <c r="R1127" s="517" t="s">
        <v>632</v>
      </c>
      <c r="S1127" s="517" t="s">
        <v>632</v>
      </c>
      <c r="T1127" s="518" t="s">
        <v>3258</v>
      </c>
      <c r="U1127" s="38">
        <v>400</v>
      </c>
      <c r="V1127" s="15" t="str">
        <f t="shared" si="111"/>
        <v>204040101</v>
      </c>
      <c r="W1127" s="39">
        <v>2</v>
      </c>
      <c r="X1127" s="40" t="s">
        <v>693</v>
      </c>
      <c r="Y1127" s="40" t="s">
        <v>693</v>
      </c>
      <c r="Z1127" s="40" t="s">
        <v>632</v>
      </c>
      <c r="AA1127" s="40" t="s">
        <v>632</v>
      </c>
      <c r="AB1127" s="41" t="s">
        <v>3258</v>
      </c>
      <c r="AC1127" s="9">
        <f>H1127</f>
        <v>400</v>
      </c>
      <c r="AD1127" s="517">
        <v>0</v>
      </c>
      <c r="AE1127" s="517" t="s">
        <v>13546</v>
      </c>
      <c r="AF1127" s="517" t="s">
        <v>298</v>
      </c>
      <c r="AG1127" s="520" t="s">
        <v>3257</v>
      </c>
      <c r="AH1127" s="9">
        <f>AC1127</f>
        <v>400</v>
      </c>
      <c r="AI1127" s="10"/>
      <c r="AJ1127" s="9">
        <f t="shared" si="113"/>
        <v>0</v>
      </c>
      <c r="AK1127" s="10"/>
      <c r="AL1127" s="10"/>
    </row>
    <row r="1128" spans="1:38" ht="22.5" hidden="1">
      <c r="A1128" s="1">
        <f t="shared" si="112"/>
        <v>0</v>
      </c>
      <c r="B1128" s="11"/>
      <c r="C1128" s="11"/>
      <c r="D1128" s="15" t="s">
        <v>16</v>
      </c>
      <c r="E1128" s="24"/>
      <c r="F1128" s="25" t="s">
        <v>3260</v>
      </c>
      <c r="G1128" s="26">
        <f>G1129+G1131+G1133+G1135+G1137+G1156+G1175+G1194+G1213+G1215+G1217</f>
        <v>8623919.0099999998</v>
      </c>
      <c r="H1128" s="26">
        <f>H1129+H1131+H1133+H1135+H1137+H1156+H1175+H1194+H1213+H1215+H1217</f>
        <v>8358018.29</v>
      </c>
      <c r="I1128" s="15"/>
      <c r="J1128" s="494"/>
      <c r="K1128" s="509"/>
      <c r="L1128" s="509"/>
      <c r="M1128" s="509"/>
      <c r="N1128" s="510"/>
      <c r="O1128" s="509"/>
      <c r="P1128" s="509"/>
      <c r="Q1128" s="509"/>
      <c r="R1128" s="509"/>
      <c r="S1128" s="509"/>
      <c r="T1128" s="510"/>
      <c r="U1128" s="26">
        <f>U1129+U1131+U1133+U1135+U1137+U1156+U1175+U1194+U1213+U1215+U1217</f>
        <v>8358018.29</v>
      </c>
      <c r="V1128" s="15" t="str">
        <f t="shared" si="111"/>
        <v>204050000</v>
      </c>
      <c r="W1128" s="27">
        <v>2</v>
      </c>
      <c r="X1128" s="28" t="s">
        <v>693</v>
      </c>
      <c r="Y1128" s="28" t="s">
        <v>714</v>
      </c>
      <c r="Z1128" s="28" t="s">
        <v>630</v>
      </c>
      <c r="AA1128" s="28" t="s">
        <v>630</v>
      </c>
      <c r="AB1128" s="25" t="s">
        <v>3260</v>
      </c>
      <c r="AC1128" s="530">
        <f>AC1129+AC1131+AC1133+AC1135+AC1137+AC1156+AC1175+AC1194+AC1213+AC1215+AC1217</f>
        <v>8358018.29</v>
      </c>
      <c r="AD1128" s="509">
        <v>0</v>
      </c>
      <c r="AE1128" s="509" t="s">
        <v>13547</v>
      </c>
      <c r="AF1128" s="509" t="s">
        <v>3261</v>
      </c>
      <c r="AG1128" s="510" t="s">
        <v>3262</v>
      </c>
      <c r="AH1128" s="53">
        <f>AH1129+AH1131+AH1133+AH1135+AH1137+AH1156+AH1175+AH1194+AH1213+AH1215+AH1217</f>
        <v>8358018.29</v>
      </c>
      <c r="AI1128" s="10"/>
      <c r="AJ1128" s="9">
        <f t="shared" si="113"/>
        <v>0</v>
      </c>
      <c r="AK1128" s="10"/>
      <c r="AL1128" s="10"/>
    </row>
    <row r="1129" spans="1:38" ht="33.75" hidden="1">
      <c r="A1129" s="1">
        <f t="shared" si="112"/>
        <v>0</v>
      </c>
      <c r="D1129" s="15" t="s">
        <v>16</v>
      </c>
      <c r="E1129" s="30"/>
      <c r="F1129" s="31" t="s">
        <v>3263</v>
      </c>
      <c r="G1129" s="32">
        <f>G1130</f>
        <v>0</v>
      </c>
      <c r="H1129" s="32">
        <f>H1130</f>
        <v>0</v>
      </c>
      <c r="I1129" s="15"/>
      <c r="J1129" s="494"/>
      <c r="K1129" s="513"/>
      <c r="L1129" s="513"/>
      <c r="M1129" s="513"/>
      <c r="N1129" s="514"/>
      <c r="O1129" s="513"/>
      <c r="P1129" s="513"/>
      <c r="Q1129" s="513"/>
      <c r="R1129" s="513"/>
      <c r="S1129" s="513"/>
      <c r="T1129" s="514"/>
      <c r="U1129" s="32">
        <f>U1130</f>
        <v>0</v>
      </c>
      <c r="V1129" s="15" t="str">
        <f t="shared" si="111"/>
        <v>204050100</v>
      </c>
      <c r="W1129" s="33">
        <v>2</v>
      </c>
      <c r="X1129" s="34" t="s">
        <v>693</v>
      </c>
      <c r="Y1129" s="34" t="s">
        <v>714</v>
      </c>
      <c r="Z1129" s="34" t="s">
        <v>632</v>
      </c>
      <c r="AA1129" s="35" t="s">
        <v>630</v>
      </c>
      <c r="AB1129" s="31" t="s">
        <v>3263</v>
      </c>
      <c r="AC1129" s="529">
        <f>AC1130</f>
        <v>0</v>
      </c>
      <c r="AD1129" s="513" t="s">
        <v>1422</v>
      </c>
      <c r="AE1129" s="513" t="s">
        <v>13548</v>
      </c>
      <c r="AF1129" s="513" t="s">
        <v>290</v>
      </c>
      <c r="AG1129" s="514" t="s">
        <v>3264</v>
      </c>
      <c r="AH1129" s="44">
        <f>AH1130</f>
        <v>0</v>
      </c>
      <c r="AI1129" s="10"/>
      <c r="AJ1129" s="9">
        <f t="shared" si="113"/>
        <v>0</v>
      </c>
      <c r="AK1129" s="10"/>
      <c r="AL1129" s="10"/>
    </row>
    <row r="1130" spans="1:38" ht="33.75" hidden="1">
      <c r="A1130" s="1">
        <f t="shared" si="112"/>
        <v>0</v>
      </c>
      <c r="B1130" s="2" t="s">
        <v>3265</v>
      </c>
      <c r="C1130" s="3" t="s">
        <v>3266</v>
      </c>
      <c r="D1130" s="15" t="s">
        <v>11674</v>
      </c>
      <c r="E1130" s="4" t="s">
        <v>3265</v>
      </c>
      <c r="F1130" s="37" t="s">
        <v>3266</v>
      </c>
      <c r="G1130" s="38">
        <v>0</v>
      </c>
      <c r="H1130" s="38">
        <v>0</v>
      </c>
      <c r="I1130" s="15"/>
      <c r="J1130" s="494">
        <v>20405010101</v>
      </c>
      <c r="K1130" s="517" t="s">
        <v>1422</v>
      </c>
      <c r="L1130" s="517" t="s">
        <v>13548</v>
      </c>
      <c r="M1130" s="517" t="s">
        <v>290</v>
      </c>
      <c r="N1130" s="518" t="s">
        <v>3264</v>
      </c>
      <c r="O1130" s="517">
        <v>2</v>
      </c>
      <c r="P1130" s="517" t="s">
        <v>693</v>
      </c>
      <c r="Q1130" s="517" t="s">
        <v>714</v>
      </c>
      <c r="R1130" s="517" t="s">
        <v>632</v>
      </c>
      <c r="S1130" s="517" t="s">
        <v>632</v>
      </c>
      <c r="T1130" s="518" t="s">
        <v>3263</v>
      </c>
      <c r="U1130" s="38">
        <v>0</v>
      </c>
      <c r="V1130" s="15" t="str">
        <f t="shared" si="111"/>
        <v>204050101</v>
      </c>
      <c r="W1130" s="39">
        <v>2</v>
      </c>
      <c r="X1130" s="40" t="s">
        <v>693</v>
      </c>
      <c r="Y1130" s="40" t="s">
        <v>714</v>
      </c>
      <c r="Z1130" s="40" t="s">
        <v>632</v>
      </c>
      <c r="AA1130" s="40" t="s">
        <v>632</v>
      </c>
      <c r="AB1130" s="41" t="s">
        <v>3263</v>
      </c>
      <c r="AC1130" s="9">
        <f>H1130</f>
        <v>0</v>
      </c>
      <c r="AD1130" s="517" t="s">
        <v>1422</v>
      </c>
      <c r="AE1130" s="517" t="s">
        <v>13548</v>
      </c>
      <c r="AF1130" s="517" t="s">
        <v>290</v>
      </c>
      <c r="AG1130" s="520" t="s">
        <v>3264</v>
      </c>
      <c r="AH1130" s="67">
        <f>AC1130</f>
        <v>0</v>
      </c>
      <c r="AI1130" s="10"/>
      <c r="AJ1130" s="9">
        <f t="shared" si="113"/>
        <v>0</v>
      </c>
      <c r="AK1130" s="10"/>
      <c r="AL1130" s="10"/>
    </row>
    <row r="1131" spans="1:38" ht="67.5" hidden="1">
      <c r="A1131" s="1">
        <f t="shared" si="112"/>
        <v>0</v>
      </c>
      <c r="C1131" s="3" t="s">
        <v>3267</v>
      </c>
      <c r="D1131" s="15" t="s">
        <v>16</v>
      </c>
      <c r="E1131" s="30"/>
      <c r="F1131" s="31" t="s">
        <v>3268</v>
      </c>
      <c r="G1131" s="32">
        <f>G1132</f>
        <v>0</v>
      </c>
      <c r="H1131" s="32">
        <f>H1132</f>
        <v>0</v>
      </c>
      <c r="I1131" s="15"/>
      <c r="J1131" s="494"/>
      <c r="K1131" s="513"/>
      <c r="L1131" s="513"/>
      <c r="M1131" s="513"/>
      <c r="N1131" s="514"/>
      <c r="O1131" s="513"/>
      <c r="P1131" s="513"/>
      <c r="Q1131" s="513"/>
      <c r="R1131" s="513"/>
      <c r="S1131" s="513"/>
      <c r="T1131" s="514"/>
      <c r="U1131" s="32">
        <f>U1132</f>
        <v>0</v>
      </c>
      <c r="V1131" s="15" t="str">
        <f t="shared" si="111"/>
        <v>204050200</v>
      </c>
      <c r="W1131" s="33">
        <v>2</v>
      </c>
      <c r="X1131" s="34" t="s">
        <v>693</v>
      </c>
      <c r="Y1131" s="34" t="s">
        <v>714</v>
      </c>
      <c r="Z1131" s="35" t="s">
        <v>647</v>
      </c>
      <c r="AA1131" s="35" t="s">
        <v>630</v>
      </c>
      <c r="AB1131" s="31" t="s">
        <v>3268</v>
      </c>
      <c r="AC1131" s="529">
        <f>AC1132</f>
        <v>0</v>
      </c>
      <c r="AD1131" s="513" t="s">
        <v>1422</v>
      </c>
      <c r="AE1131" s="513" t="s">
        <v>13549</v>
      </c>
      <c r="AF1131" s="513" t="s">
        <v>291</v>
      </c>
      <c r="AG1131" s="514" t="s">
        <v>13550</v>
      </c>
      <c r="AH1131" s="44">
        <f>AH1132</f>
        <v>0</v>
      </c>
      <c r="AI1131" s="10"/>
      <c r="AJ1131" s="9">
        <f t="shared" si="113"/>
        <v>0</v>
      </c>
      <c r="AK1131" s="10"/>
      <c r="AL1131" s="10"/>
    </row>
    <row r="1132" spans="1:38" ht="56.25" hidden="1">
      <c r="A1132" s="1">
        <f t="shared" si="112"/>
        <v>0</v>
      </c>
      <c r="B1132" s="2" t="s">
        <v>3269</v>
      </c>
      <c r="C1132" s="3" t="s">
        <v>3267</v>
      </c>
      <c r="D1132" s="15" t="s">
        <v>11675</v>
      </c>
      <c r="E1132" s="4" t="s">
        <v>3269</v>
      </c>
      <c r="F1132" s="37" t="s">
        <v>3267</v>
      </c>
      <c r="G1132" s="38">
        <v>0</v>
      </c>
      <c r="H1132" s="38">
        <v>0</v>
      </c>
      <c r="I1132" s="15"/>
      <c r="J1132" s="494">
        <v>20405020101</v>
      </c>
      <c r="K1132" s="517" t="s">
        <v>1422</v>
      </c>
      <c r="L1132" s="517" t="s">
        <v>13549</v>
      </c>
      <c r="M1132" s="517" t="s">
        <v>291</v>
      </c>
      <c r="N1132" s="518" t="s">
        <v>3270</v>
      </c>
      <c r="O1132" s="517">
        <v>2</v>
      </c>
      <c r="P1132" s="517" t="s">
        <v>693</v>
      </c>
      <c r="Q1132" s="517" t="s">
        <v>714</v>
      </c>
      <c r="R1132" s="517" t="s">
        <v>647</v>
      </c>
      <c r="S1132" s="517" t="s">
        <v>632</v>
      </c>
      <c r="T1132" s="518" t="s">
        <v>3268</v>
      </c>
      <c r="U1132" s="38">
        <v>0</v>
      </c>
      <c r="V1132" s="15" t="str">
        <f t="shared" si="111"/>
        <v>204050201</v>
      </c>
      <c r="W1132" s="39">
        <v>2</v>
      </c>
      <c r="X1132" s="40" t="s">
        <v>693</v>
      </c>
      <c r="Y1132" s="40" t="s">
        <v>714</v>
      </c>
      <c r="Z1132" s="40" t="s">
        <v>647</v>
      </c>
      <c r="AA1132" s="40" t="s">
        <v>632</v>
      </c>
      <c r="AB1132" s="41" t="s">
        <v>3268</v>
      </c>
      <c r="AC1132" s="9">
        <f>H1132</f>
        <v>0</v>
      </c>
      <c r="AD1132" s="517" t="s">
        <v>1422</v>
      </c>
      <c r="AE1132" s="517" t="s">
        <v>13549</v>
      </c>
      <c r="AF1132" s="517" t="s">
        <v>291</v>
      </c>
      <c r="AG1132" s="520" t="s">
        <v>3270</v>
      </c>
      <c r="AH1132" s="67">
        <f>AC1132</f>
        <v>0</v>
      </c>
      <c r="AI1132" s="10"/>
      <c r="AJ1132" s="9">
        <f t="shared" si="113"/>
        <v>0</v>
      </c>
      <c r="AK1132" s="10"/>
      <c r="AL1132" s="10"/>
    </row>
    <row r="1133" spans="1:38" ht="67.5" hidden="1">
      <c r="A1133" s="1">
        <f t="shared" si="112"/>
        <v>0</v>
      </c>
      <c r="C1133" s="3" t="s">
        <v>3271</v>
      </c>
      <c r="D1133" s="15" t="s">
        <v>16</v>
      </c>
      <c r="E1133" s="30"/>
      <c r="F1133" s="31" t="s">
        <v>3272</v>
      </c>
      <c r="G1133" s="32">
        <f>G1134</f>
        <v>0</v>
      </c>
      <c r="H1133" s="32">
        <f>H1134</f>
        <v>0</v>
      </c>
      <c r="I1133" s="15"/>
      <c r="J1133" s="494"/>
      <c r="K1133" s="513"/>
      <c r="L1133" s="513"/>
      <c r="M1133" s="513"/>
      <c r="N1133" s="514"/>
      <c r="O1133" s="513"/>
      <c r="P1133" s="513"/>
      <c r="Q1133" s="513"/>
      <c r="R1133" s="513"/>
      <c r="S1133" s="513"/>
      <c r="T1133" s="514"/>
      <c r="U1133" s="32">
        <f>U1134</f>
        <v>0</v>
      </c>
      <c r="V1133" s="15" t="str">
        <f t="shared" si="111"/>
        <v>204050300</v>
      </c>
      <c r="W1133" s="33">
        <v>2</v>
      </c>
      <c r="X1133" s="34" t="s">
        <v>693</v>
      </c>
      <c r="Y1133" s="34" t="s">
        <v>714</v>
      </c>
      <c r="Z1133" s="35" t="s">
        <v>671</v>
      </c>
      <c r="AA1133" s="35" t="s">
        <v>630</v>
      </c>
      <c r="AB1133" s="31" t="s">
        <v>3272</v>
      </c>
      <c r="AC1133" s="529">
        <f>AC1134</f>
        <v>0</v>
      </c>
      <c r="AD1133" s="513" t="s">
        <v>1422</v>
      </c>
      <c r="AE1133" s="513" t="s">
        <v>13551</v>
      </c>
      <c r="AF1133" s="513" t="s">
        <v>292</v>
      </c>
      <c r="AG1133" s="514" t="s">
        <v>13552</v>
      </c>
      <c r="AH1133" s="44">
        <f>AH1134</f>
        <v>0</v>
      </c>
      <c r="AI1133" s="10"/>
      <c r="AJ1133" s="9">
        <f t="shared" si="113"/>
        <v>0</v>
      </c>
      <c r="AK1133" s="10"/>
      <c r="AL1133" s="10"/>
    </row>
    <row r="1134" spans="1:38" ht="56.25" hidden="1">
      <c r="A1134" s="1">
        <f t="shared" si="112"/>
        <v>0</v>
      </c>
      <c r="B1134" s="2" t="s">
        <v>3273</v>
      </c>
      <c r="C1134" s="3" t="s">
        <v>3271</v>
      </c>
      <c r="D1134" s="15" t="s">
        <v>11676</v>
      </c>
      <c r="E1134" s="4" t="s">
        <v>3273</v>
      </c>
      <c r="F1134" s="37" t="s">
        <v>3271</v>
      </c>
      <c r="G1134" s="38">
        <v>0</v>
      </c>
      <c r="H1134" s="38">
        <v>0</v>
      </c>
      <c r="I1134" s="15"/>
      <c r="J1134" s="494">
        <v>20405030101</v>
      </c>
      <c r="K1134" s="517" t="s">
        <v>1422</v>
      </c>
      <c r="L1134" s="517" t="s">
        <v>13551</v>
      </c>
      <c r="M1134" s="517" t="s">
        <v>292</v>
      </c>
      <c r="N1134" s="518" t="s">
        <v>3274</v>
      </c>
      <c r="O1134" s="517">
        <v>2</v>
      </c>
      <c r="P1134" s="517" t="s">
        <v>693</v>
      </c>
      <c r="Q1134" s="517" t="s">
        <v>714</v>
      </c>
      <c r="R1134" s="517" t="s">
        <v>671</v>
      </c>
      <c r="S1134" s="517" t="s">
        <v>632</v>
      </c>
      <c r="T1134" s="518" t="s">
        <v>3272</v>
      </c>
      <c r="U1134" s="38">
        <v>0</v>
      </c>
      <c r="V1134" s="15" t="str">
        <f t="shared" si="111"/>
        <v>204050301</v>
      </c>
      <c r="W1134" s="39">
        <v>2</v>
      </c>
      <c r="X1134" s="40" t="s">
        <v>693</v>
      </c>
      <c r="Y1134" s="40" t="s">
        <v>714</v>
      </c>
      <c r="Z1134" s="40" t="s">
        <v>671</v>
      </c>
      <c r="AA1134" s="40" t="s">
        <v>632</v>
      </c>
      <c r="AB1134" s="41" t="s">
        <v>3272</v>
      </c>
      <c r="AC1134" s="9">
        <f>H1134</f>
        <v>0</v>
      </c>
      <c r="AD1134" s="517" t="s">
        <v>1422</v>
      </c>
      <c r="AE1134" s="517" t="s">
        <v>13551</v>
      </c>
      <c r="AF1134" s="517" t="s">
        <v>292</v>
      </c>
      <c r="AG1134" s="520" t="s">
        <v>3274</v>
      </c>
      <c r="AH1134" s="67">
        <f>AC1134</f>
        <v>0</v>
      </c>
      <c r="AI1134" s="10"/>
      <c r="AJ1134" s="9">
        <f t="shared" si="113"/>
        <v>0</v>
      </c>
      <c r="AK1134" s="10"/>
      <c r="AL1134" s="10"/>
    </row>
    <row r="1135" spans="1:38" ht="45" hidden="1">
      <c r="A1135" s="1">
        <f t="shared" si="112"/>
        <v>0</v>
      </c>
      <c r="C1135" s="3" t="s">
        <v>3275</v>
      </c>
      <c r="D1135" s="15" t="s">
        <v>16</v>
      </c>
      <c r="E1135" s="30"/>
      <c r="F1135" s="31" t="s">
        <v>3276</v>
      </c>
      <c r="G1135" s="32">
        <f>G1136</f>
        <v>0</v>
      </c>
      <c r="H1135" s="32">
        <f>H1136</f>
        <v>0</v>
      </c>
      <c r="I1135" s="15"/>
      <c r="J1135" s="494"/>
      <c r="K1135" s="513"/>
      <c r="L1135" s="513"/>
      <c r="M1135" s="513"/>
      <c r="N1135" s="514"/>
      <c r="O1135" s="513"/>
      <c r="P1135" s="513"/>
      <c r="Q1135" s="513"/>
      <c r="R1135" s="513"/>
      <c r="S1135" s="513"/>
      <c r="T1135" s="514"/>
      <c r="U1135" s="32">
        <f>U1136</f>
        <v>0</v>
      </c>
      <c r="V1135" s="15" t="str">
        <f t="shared" si="111"/>
        <v>204050400</v>
      </c>
      <c r="W1135" s="33">
        <v>2</v>
      </c>
      <c r="X1135" s="34" t="s">
        <v>693</v>
      </c>
      <c r="Y1135" s="34" t="s">
        <v>714</v>
      </c>
      <c r="Z1135" s="35" t="s">
        <v>693</v>
      </c>
      <c r="AA1135" s="35" t="s">
        <v>630</v>
      </c>
      <c r="AB1135" s="31" t="s">
        <v>3276</v>
      </c>
      <c r="AC1135" s="529">
        <f>AC1136</f>
        <v>0</v>
      </c>
      <c r="AD1135" s="513" t="s">
        <v>1519</v>
      </c>
      <c r="AE1135" s="513" t="s">
        <v>13553</v>
      </c>
      <c r="AF1135" s="513" t="s">
        <v>293</v>
      </c>
      <c r="AG1135" s="514" t="s">
        <v>3277</v>
      </c>
      <c r="AH1135" s="44">
        <f>AH1136</f>
        <v>0</v>
      </c>
      <c r="AI1135" s="10"/>
      <c r="AJ1135" s="9">
        <f t="shared" si="113"/>
        <v>0</v>
      </c>
      <c r="AK1135" s="10"/>
      <c r="AL1135" s="10"/>
    </row>
    <row r="1136" spans="1:38" ht="45" hidden="1">
      <c r="A1136" s="1">
        <f t="shared" si="112"/>
        <v>0</v>
      </c>
      <c r="B1136" s="2" t="s">
        <v>3278</v>
      </c>
      <c r="C1136" s="3" t="s">
        <v>3279</v>
      </c>
      <c r="D1136" s="15" t="s">
        <v>11677</v>
      </c>
      <c r="E1136" s="4" t="s">
        <v>3278</v>
      </c>
      <c r="F1136" s="37" t="s">
        <v>3279</v>
      </c>
      <c r="G1136" s="38">
        <v>0</v>
      </c>
      <c r="H1136" s="38">
        <v>0</v>
      </c>
      <c r="I1136" s="15"/>
      <c r="J1136" s="494">
        <v>20405040101</v>
      </c>
      <c r="K1136" s="517" t="s">
        <v>1519</v>
      </c>
      <c r="L1136" s="517" t="s">
        <v>13553</v>
      </c>
      <c r="M1136" s="517" t="s">
        <v>293</v>
      </c>
      <c r="N1136" s="518" t="s">
        <v>3277</v>
      </c>
      <c r="O1136" s="517">
        <v>2</v>
      </c>
      <c r="P1136" s="517" t="s">
        <v>693</v>
      </c>
      <c r="Q1136" s="517" t="s">
        <v>714</v>
      </c>
      <c r="R1136" s="517" t="s">
        <v>693</v>
      </c>
      <c r="S1136" s="517" t="s">
        <v>632</v>
      </c>
      <c r="T1136" s="518" t="s">
        <v>3276</v>
      </c>
      <c r="U1136" s="38">
        <v>0</v>
      </c>
      <c r="V1136" s="15" t="str">
        <f t="shared" si="111"/>
        <v>204050401</v>
      </c>
      <c r="W1136" s="39">
        <v>2</v>
      </c>
      <c r="X1136" s="40" t="s">
        <v>693</v>
      </c>
      <c r="Y1136" s="40" t="s">
        <v>714</v>
      </c>
      <c r="Z1136" s="40" t="s">
        <v>693</v>
      </c>
      <c r="AA1136" s="40" t="s">
        <v>632</v>
      </c>
      <c r="AB1136" s="41" t="s">
        <v>3276</v>
      </c>
      <c r="AC1136" s="9">
        <f>H1136</f>
        <v>0</v>
      </c>
      <c r="AD1136" s="517" t="s">
        <v>1519</v>
      </c>
      <c r="AE1136" s="517" t="s">
        <v>13553</v>
      </c>
      <c r="AF1136" s="517" t="s">
        <v>293</v>
      </c>
      <c r="AG1136" s="520" t="s">
        <v>3277</v>
      </c>
      <c r="AH1136" s="67">
        <f>AC1136</f>
        <v>0</v>
      </c>
      <c r="AI1136" s="10"/>
      <c r="AJ1136" s="9">
        <f t="shared" si="113"/>
        <v>0</v>
      </c>
      <c r="AK1136" s="10"/>
      <c r="AL1136" s="10"/>
    </row>
    <row r="1137" spans="1:38" ht="56.25" hidden="1">
      <c r="A1137" s="1">
        <f t="shared" si="112"/>
        <v>0</v>
      </c>
      <c r="C1137" s="3" t="s">
        <v>3280</v>
      </c>
      <c r="D1137" s="15" t="s">
        <v>16</v>
      </c>
      <c r="E1137" s="30"/>
      <c r="F1137" s="31" t="s">
        <v>3281</v>
      </c>
      <c r="G1137" s="32">
        <f>SUM(G1138:G1155)</f>
        <v>48712.5</v>
      </c>
      <c r="H1137" s="32">
        <f>SUM(H1138:H1155)</f>
        <v>16636.2</v>
      </c>
      <c r="I1137" s="15"/>
      <c r="J1137" s="494"/>
      <c r="K1137" s="513"/>
      <c r="L1137" s="513"/>
      <c r="M1137" s="513"/>
      <c r="N1137" s="514"/>
      <c r="O1137" s="513"/>
      <c r="P1137" s="513"/>
      <c r="Q1137" s="513"/>
      <c r="R1137" s="513"/>
      <c r="S1137" s="513"/>
      <c r="T1137" s="514"/>
      <c r="U1137" s="32">
        <f>SUM(U1138:U1155)</f>
        <v>16636.2</v>
      </c>
      <c r="V1137" s="15" t="str">
        <f t="shared" si="111"/>
        <v>204050500</v>
      </c>
      <c r="W1137" s="33">
        <v>2</v>
      </c>
      <c r="X1137" s="34" t="s">
        <v>693</v>
      </c>
      <c r="Y1137" s="34" t="s">
        <v>714</v>
      </c>
      <c r="Z1137" s="35" t="s">
        <v>714</v>
      </c>
      <c r="AA1137" s="35" t="s">
        <v>630</v>
      </c>
      <c r="AB1137" s="31" t="s">
        <v>3281</v>
      </c>
      <c r="AC1137" s="529">
        <f>SUM(AC1138:AC1155)</f>
        <v>16636.2</v>
      </c>
      <c r="AD1137" s="513" t="s">
        <v>1519</v>
      </c>
      <c r="AE1137" s="513" t="s">
        <v>13554</v>
      </c>
      <c r="AF1137" s="513" t="s">
        <v>294</v>
      </c>
      <c r="AG1137" s="514" t="s">
        <v>13555</v>
      </c>
      <c r="AH1137" s="44">
        <f>SUM(AH1138:AH1155)</f>
        <v>16636.2</v>
      </c>
      <c r="AI1137" s="10"/>
      <c r="AJ1137" s="9">
        <f t="shared" si="113"/>
        <v>0</v>
      </c>
      <c r="AK1137" s="10"/>
      <c r="AL1137" s="10"/>
    </row>
    <row r="1138" spans="1:38" ht="45" hidden="1">
      <c r="A1138" s="1">
        <f t="shared" si="112"/>
        <v>0</v>
      </c>
      <c r="B1138" s="2" t="s">
        <v>3282</v>
      </c>
      <c r="C1138" s="3" t="s">
        <v>3283</v>
      </c>
      <c r="D1138" s="15" t="s">
        <v>11678</v>
      </c>
      <c r="E1138" s="4" t="s">
        <v>3282</v>
      </c>
      <c r="F1138" s="37" t="s">
        <v>3283</v>
      </c>
      <c r="G1138" s="38">
        <v>48712.5</v>
      </c>
      <c r="H1138" s="38">
        <v>16636.2</v>
      </c>
      <c r="I1138" s="15"/>
      <c r="J1138" s="494">
        <v>20405050101</v>
      </c>
      <c r="K1138" s="517" t="s">
        <v>1519</v>
      </c>
      <c r="L1138" s="517" t="s">
        <v>13554</v>
      </c>
      <c r="M1138" s="517" t="s">
        <v>294</v>
      </c>
      <c r="N1138" s="518" t="s">
        <v>3285</v>
      </c>
      <c r="O1138" s="517">
        <v>2</v>
      </c>
      <c r="P1138" s="517" t="s">
        <v>693</v>
      </c>
      <c r="Q1138" s="517" t="s">
        <v>714</v>
      </c>
      <c r="R1138" s="517" t="s">
        <v>714</v>
      </c>
      <c r="S1138" s="517" t="s">
        <v>632</v>
      </c>
      <c r="T1138" s="518" t="s">
        <v>3284</v>
      </c>
      <c r="U1138" s="38">
        <v>16636.2</v>
      </c>
      <c r="V1138" s="15" t="str">
        <f t="shared" si="111"/>
        <v>204050501</v>
      </c>
      <c r="W1138" s="39">
        <v>2</v>
      </c>
      <c r="X1138" s="40" t="s">
        <v>693</v>
      </c>
      <c r="Y1138" s="40" t="s">
        <v>714</v>
      </c>
      <c r="Z1138" s="40" t="s">
        <v>714</v>
      </c>
      <c r="AA1138" s="40" t="s">
        <v>632</v>
      </c>
      <c r="AB1138" s="41" t="s">
        <v>3284</v>
      </c>
      <c r="AC1138" s="519">
        <f t="shared" ref="AC1138:AC1155" si="116">H1138</f>
        <v>16636.2</v>
      </c>
      <c r="AD1138" s="517" t="s">
        <v>1519</v>
      </c>
      <c r="AE1138" s="517" t="s">
        <v>13554</v>
      </c>
      <c r="AF1138" s="517" t="s">
        <v>294</v>
      </c>
      <c r="AG1138" s="520" t="s">
        <v>3285</v>
      </c>
      <c r="AH1138" s="67">
        <f t="shared" ref="AH1138:AH1155" si="117">AC1138</f>
        <v>16636.2</v>
      </c>
      <c r="AI1138" s="10"/>
      <c r="AJ1138" s="9">
        <f t="shared" si="113"/>
        <v>0</v>
      </c>
      <c r="AK1138" s="10"/>
      <c r="AL1138" s="10"/>
    </row>
    <row r="1139" spans="1:38" ht="45" hidden="1">
      <c r="A1139" s="1">
        <f t="shared" si="112"/>
        <v>0</v>
      </c>
      <c r="B1139" s="2" t="s">
        <v>3286</v>
      </c>
      <c r="C1139" s="3" t="s">
        <v>3287</v>
      </c>
      <c r="D1139" s="15" t="s">
        <v>11679</v>
      </c>
      <c r="E1139" s="4" t="s">
        <v>3286</v>
      </c>
      <c r="F1139" s="37" t="s">
        <v>3287</v>
      </c>
      <c r="G1139" s="38">
        <v>0</v>
      </c>
      <c r="H1139" s="38">
        <v>0</v>
      </c>
      <c r="I1139" s="15"/>
      <c r="J1139" s="494">
        <v>20405050201</v>
      </c>
      <c r="K1139" s="517" t="s">
        <v>1519</v>
      </c>
      <c r="L1139" s="517" t="s">
        <v>13554</v>
      </c>
      <c r="M1139" s="517" t="s">
        <v>294</v>
      </c>
      <c r="N1139" s="518" t="s">
        <v>3285</v>
      </c>
      <c r="O1139" s="517">
        <v>2</v>
      </c>
      <c r="P1139" s="517" t="s">
        <v>693</v>
      </c>
      <c r="Q1139" s="517" t="s">
        <v>714</v>
      </c>
      <c r="R1139" s="517" t="s">
        <v>714</v>
      </c>
      <c r="S1139" s="517" t="s">
        <v>647</v>
      </c>
      <c r="T1139" s="518" t="s">
        <v>3288</v>
      </c>
      <c r="U1139" s="38">
        <v>0</v>
      </c>
      <c r="V1139" s="15" t="str">
        <f t="shared" si="111"/>
        <v>204050502</v>
      </c>
      <c r="W1139" s="39">
        <v>2</v>
      </c>
      <c r="X1139" s="40" t="s">
        <v>693</v>
      </c>
      <c r="Y1139" s="40" t="s">
        <v>714</v>
      </c>
      <c r="Z1139" s="40" t="s">
        <v>714</v>
      </c>
      <c r="AA1139" s="40" t="s">
        <v>647</v>
      </c>
      <c r="AB1139" s="41" t="s">
        <v>3288</v>
      </c>
      <c r="AC1139" s="519">
        <f t="shared" si="116"/>
        <v>0</v>
      </c>
      <c r="AD1139" s="517" t="s">
        <v>1519</v>
      </c>
      <c r="AE1139" s="517" t="s">
        <v>13554</v>
      </c>
      <c r="AF1139" s="517" t="s">
        <v>294</v>
      </c>
      <c r="AG1139" s="520" t="s">
        <v>3285</v>
      </c>
      <c r="AH1139" s="67">
        <f t="shared" si="117"/>
        <v>0</v>
      </c>
      <c r="AI1139" s="10"/>
      <c r="AJ1139" s="9">
        <f t="shared" si="113"/>
        <v>0</v>
      </c>
      <c r="AK1139" s="10"/>
      <c r="AL1139" s="10"/>
    </row>
    <row r="1140" spans="1:38" ht="45" hidden="1">
      <c r="A1140" s="1">
        <f t="shared" si="112"/>
        <v>0</v>
      </c>
      <c r="B1140" s="2" t="s">
        <v>3289</v>
      </c>
      <c r="C1140" s="3" t="s">
        <v>3290</v>
      </c>
      <c r="D1140" s="15" t="s">
        <v>11680</v>
      </c>
      <c r="E1140" s="4" t="s">
        <v>3289</v>
      </c>
      <c r="F1140" s="37" t="s">
        <v>3290</v>
      </c>
      <c r="G1140" s="38">
        <v>0</v>
      </c>
      <c r="H1140" s="38">
        <v>0</v>
      </c>
      <c r="I1140" s="15"/>
      <c r="J1140" s="494">
        <v>20405050301</v>
      </c>
      <c r="K1140" s="517" t="s">
        <v>1519</v>
      </c>
      <c r="L1140" s="517" t="s">
        <v>13554</v>
      </c>
      <c r="M1140" s="517" t="s">
        <v>294</v>
      </c>
      <c r="N1140" s="518" t="s">
        <v>3285</v>
      </c>
      <c r="O1140" s="517">
        <v>2</v>
      </c>
      <c r="P1140" s="517" t="s">
        <v>693</v>
      </c>
      <c r="Q1140" s="517" t="s">
        <v>714</v>
      </c>
      <c r="R1140" s="517" t="s">
        <v>714</v>
      </c>
      <c r="S1140" s="517" t="s">
        <v>671</v>
      </c>
      <c r="T1140" s="518" t="s">
        <v>3291</v>
      </c>
      <c r="U1140" s="38">
        <v>0</v>
      </c>
      <c r="V1140" s="15" t="str">
        <f t="shared" si="111"/>
        <v>204050503</v>
      </c>
      <c r="W1140" s="39">
        <v>2</v>
      </c>
      <c r="X1140" s="40" t="s">
        <v>693</v>
      </c>
      <c r="Y1140" s="40" t="s">
        <v>714</v>
      </c>
      <c r="Z1140" s="40" t="s">
        <v>714</v>
      </c>
      <c r="AA1140" s="40" t="s">
        <v>671</v>
      </c>
      <c r="AB1140" s="41" t="s">
        <v>3291</v>
      </c>
      <c r="AC1140" s="519">
        <f t="shared" si="116"/>
        <v>0</v>
      </c>
      <c r="AD1140" s="517" t="s">
        <v>1519</v>
      </c>
      <c r="AE1140" s="517" t="s">
        <v>13554</v>
      </c>
      <c r="AF1140" s="517" t="s">
        <v>294</v>
      </c>
      <c r="AG1140" s="520" t="s">
        <v>3285</v>
      </c>
      <c r="AH1140" s="67">
        <f t="shared" si="117"/>
        <v>0</v>
      </c>
      <c r="AI1140" s="10"/>
      <c r="AJ1140" s="9">
        <f t="shared" si="113"/>
        <v>0</v>
      </c>
      <c r="AK1140" s="10"/>
      <c r="AL1140" s="10"/>
    </row>
    <row r="1141" spans="1:38" ht="45" hidden="1">
      <c r="A1141" s="1">
        <f t="shared" si="112"/>
        <v>0</v>
      </c>
      <c r="B1141" s="2" t="s">
        <v>3292</v>
      </c>
      <c r="C1141" s="3" t="s">
        <v>3293</v>
      </c>
      <c r="D1141" s="15" t="s">
        <v>11681</v>
      </c>
      <c r="E1141" s="4" t="s">
        <v>3292</v>
      </c>
      <c r="F1141" s="37" t="s">
        <v>3293</v>
      </c>
      <c r="G1141" s="38">
        <v>0</v>
      </c>
      <c r="H1141" s="38">
        <v>0</v>
      </c>
      <c r="I1141" s="15"/>
      <c r="J1141" s="494">
        <v>20405050401</v>
      </c>
      <c r="K1141" s="517" t="s">
        <v>1519</v>
      </c>
      <c r="L1141" s="517" t="s">
        <v>13554</v>
      </c>
      <c r="M1141" s="517" t="s">
        <v>294</v>
      </c>
      <c r="N1141" s="518" t="s">
        <v>3285</v>
      </c>
      <c r="O1141" s="517">
        <v>2</v>
      </c>
      <c r="P1141" s="517" t="s">
        <v>693</v>
      </c>
      <c r="Q1141" s="517" t="s">
        <v>714</v>
      </c>
      <c r="R1141" s="517" t="s">
        <v>714</v>
      </c>
      <c r="S1141" s="517" t="s">
        <v>693</v>
      </c>
      <c r="T1141" s="518" t="s">
        <v>3294</v>
      </c>
      <c r="U1141" s="38">
        <v>0</v>
      </c>
      <c r="V1141" s="15" t="str">
        <f t="shared" si="111"/>
        <v>204050504</v>
      </c>
      <c r="W1141" s="39">
        <v>2</v>
      </c>
      <c r="X1141" s="40" t="s">
        <v>693</v>
      </c>
      <c r="Y1141" s="40" t="s">
        <v>714</v>
      </c>
      <c r="Z1141" s="40" t="s">
        <v>714</v>
      </c>
      <c r="AA1141" s="40" t="s">
        <v>693</v>
      </c>
      <c r="AB1141" s="41" t="s">
        <v>3294</v>
      </c>
      <c r="AC1141" s="519">
        <f t="shared" si="116"/>
        <v>0</v>
      </c>
      <c r="AD1141" s="517" t="s">
        <v>1519</v>
      </c>
      <c r="AE1141" s="517" t="s">
        <v>13554</v>
      </c>
      <c r="AF1141" s="517" t="s">
        <v>294</v>
      </c>
      <c r="AG1141" s="520" t="s">
        <v>3285</v>
      </c>
      <c r="AH1141" s="67">
        <f t="shared" si="117"/>
        <v>0</v>
      </c>
      <c r="AI1141" s="10"/>
      <c r="AJ1141" s="9">
        <f t="shared" si="113"/>
        <v>0</v>
      </c>
      <c r="AK1141" s="10"/>
      <c r="AL1141" s="10"/>
    </row>
    <row r="1142" spans="1:38" ht="45" hidden="1">
      <c r="A1142" s="1">
        <f t="shared" si="112"/>
        <v>0</v>
      </c>
      <c r="B1142" s="2" t="s">
        <v>3295</v>
      </c>
      <c r="C1142" s="3" t="s">
        <v>3296</v>
      </c>
      <c r="D1142" s="15" t="s">
        <v>11682</v>
      </c>
      <c r="E1142" s="4" t="s">
        <v>3295</v>
      </c>
      <c r="F1142" s="37" t="s">
        <v>3296</v>
      </c>
      <c r="G1142" s="38">
        <v>0</v>
      </c>
      <c r="H1142" s="38">
        <v>0</v>
      </c>
      <c r="I1142" s="15"/>
      <c r="J1142" s="494">
        <v>20405050501</v>
      </c>
      <c r="K1142" s="517" t="s">
        <v>1519</v>
      </c>
      <c r="L1142" s="517" t="s">
        <v>13554</v>
      </c>
      <c r="M1142" s="517" t="s">
        <v>294</v>
      </c>
      <c r="N1142" s="518" t="s">
        <v>3285</v>
      </c>
      <c r="O1142" s="517">
        <v>2</v>
      </c>
      <c r="P1142" s="517" t="s">
        <v>693</v>
      </c>
      <c r="Q1142" s="517" t="s">
        <v>714</v>
      </c>
      <c r="R1142" s="517" t="s">
        <v>714</v>
      </c>
      <c r="S1142" s="517" t="s">
        <v>714</v>
      </c>
      <c r="T1142" s="518" t="s">
        <v>3297</v>
      </c>
      <c r="U1142" s="38">
        <v>0</v>
      </c>
      <c r="V1142" s="15" t="str">
        <f t="shared" si="111"/>
        <v>204050505</v>
      </c>
      <c r="W1142" s="39">
        <v>2</v>
      </c>
      <c r="X1142" s="40" t="s">
        <v>693</v>
      </c>
      <c r="Y1142" s="40" t="s">
        <v>714</v>
      </c>
      <c r="Z1142" s="40" t="s">
        <v>714</v>
      </c>
      <c r="AA1142" s="40" t="s">
        <v>714</v>
      </c>
      <c r="AB1142" s="41" t="s">
        <v>3297</v>
      </c>
      <c r="AC1142" s="519">
        <f t="shared" si="116"/>
        <v>0</v>
      </c>
      <c r="AD1142" s="517" t="s">
        <v>1519</v>
      </c>
      <c r="AE1142" s="517" t="s">
        <v>13554</v>
      </c>
      <c r="AF1142" s="517" t="s">
        <v>294</v>
      </c>
      <c r="AG1142" s="520" t="s">
        <v>3285</v>
      </c>
      <c r="AH1142" s="67">
        <f t="shared" si="117"/>
        <v>0</v>
      </c>
      <c r="AI1142" s="10"/>
      <c r="AJ1142" s="9">
        <f t="shared" si="113"/>
        <v>0</v>
      </c>
      <c r="AK1142" s="10"/>
      <c r="AL1142" s="10"/>
    </row>
    <row r="1143" spans="1:38" ht="45" hidden="1">
      <c r="A1143" s="1">
        <f t="shared" si="112"/>
        <v>0</v>
      </c>
      <c r="B1143" s="2" t="s">
        <v>3298</v>
      </c>
      <c r="C1143" s="3" t="s">
        <v>3299</v>
      </c>
      <c r="D1143" s="15" t="s">
        <v>11683</v>
      </c>
      <c r="E1143" s="4" t="s">
        <v>3298</v>
      </c>
      <c r="F1143" s="37" t="s">
        <v>3299</v>
      </c>
      <c r="G1143" s="38">
        <v>0</v>
      </c>
      <c r="H1143" s="38">
        <v>0</v>
      </c>
      <c r="I1143" s="15"/>
      <c r="J1143" s="494">
        <v>20405050601</v>
      </c>
      <c r="K1143" s="517" t="s">
        <v>1519</v>
      </c>
      <c r="L1143" s="517" t="s">
        <v>13554</v>
      </c>
      <c r="M1143" s="517" t="s">
        <v>294</v>
      </c>
      <c r="N1143" s="518" t="s">
        <v>3285</v>
      </c>
      <c r="O1143" s="517">
        <v>2</v>
      </c>
      <c r="P1143" s="517" t="s">
        <v>693</v>
      </c>
      <c r="Q1143" s="517" t="s">
        <v>714</v>
      </c>
      <c r="R1143" s="517" t="s">
        <v>714</v>
      </c>
      <c r="S1143" s="517" t="s">
        <v>739</v>
      </c>
      <c r="T1143" s="518" t="s">
        <v>3300</v>
      </c>
      <c r="U1143" s="38">
        <v>0</v>
      </c>
      <c r="V1143" s="15" t="str">
        <f t="shared" si="111"/>
        <v>204050506</v>
      </c>
      <c r="W1143" s="39">
        <v>2</v>
      </c>
      <c r="X1143" s="40" t="s">
        <v>693</v>
      </c>
      <c r="Y1143" s="40" t="s">
        <v>714</v>
      </c>
      <c r="Z1143" s="40" t="s">
        <v>714</v>
      </c>
      <c r="AA1143" s="40" t="s">
        <v>739</v>
      </c>
      <c r="AB1143" s="41" t="s">
        <v>3300</v>
      </c>
      <c r="AC1143" s="519">
        <f t="shared" si="116"/>
        <v>0</v>
      </c>
      <c r="AD1143" s="517" t="s">
        <v>1519</v>
      </c>
      <c r="AE1143" s="517" t="s">
        <v>13554</v>
      </c>
      <c r="AF1143" s="517" t="s">
        <v>294</v>
      </c>
      <c r="AG1143" s="520" t="s">
        <v>3285</v>
      </c>
      <c r="AH1143" s="67">
        <f t="shared" si="117"/>
        <v>0</v>
      </c>
      <c r="AI1143" s="10"/>
      <c r="AJ1143" s="9">
        <f t="shared" si="113"/>
        <v>0</v>
      </c>
      <c r="AK1143" s="10"/>
      <c r="AL1143" s="10"/>
    </row>
    <row r="1144" spans="1:38" ht="45" hidden="1">
      <c r="A1144" s="1">
        <f t="shared" si="112"/>
        <v>0</v>
      </c>
      <c r="B1144" s="2" t="s">
        <v>3301</v>
      </c>
      <c r="C1144" s="3" t="s">
        <v>3302</v>
      </c>
      <c r="D1144" s="15" t="s">
        <v>11684</v>
      </c>
      <c r="E1144" s="4" t="s">
        <v>3301</v>
      </c>
      <c r="F1144" s="37" t="s">
        <v>3302</v>
      </c>
      <c r="G1144" s="38">
        <v>0</v>
      </c>
      <c r="H1144" s="38">
        <v>0</v>
      </c>
      <c r="I1144" s="15"/>
      <c r="J1144" s="494">
        <v>20405050701</v>
      </c>
      <c r="K1144" s="517" t="s">
        <v>1519</v>
      </c>
      <c r="L1144" s="517" t="s">
        <v>13554</v>
      </c>
      <c r="M1144" s="517" t="s">
        <v>294</v>
      </c>
      <c r="N1144" s="518" t="s">
        <v>3285</v>
      </c>
      <c r="O1144" s="517">
        <v>2</v>
      </c>
      <c r="P1144" s="517" t="s">
        <v>693</v>
      </c>
      <c r="Q1144" s="517" t="s">
        <v>714</v>
      </c>
      <c r="R1144" s="517" t="s">
        <v>714</v>
      </c>
      <c r="S1144" s="517" t="s">
        <v>755</v>
      </c>
      <c r="T1144" s="518" t="s">
        <v>3303</v>
      </c>
      <c r="U1144" s="38">
        <v>0</v>
      </c>
      <c r="V1144" s="15" t="str">
        <f t="shared" si="111"/>
        <v>204050507</v>
      </c>
      <c r="W1144" s="39">
        <v>2</v>
      </c>
      <c r="X1144" s="40" t="s">
        <v>693</v>
      </c>
      <c r="Y1144" s="40" t="s">
        <v>714</v>
      </c>
      <c r="Z1144" s="40" t="s">
        <v>714</v>
      </c>
      <c r="AA1144" s="40" t="s">
        <v>755</v>
      </c>
      <c r="AB1144" s="41" t="s">
        <v>3303</v>
      </c>
      <c r="AC1144" s="519">
        <f t="shared" si="116"/>
        <v>0</v>
      </c>
      <c r="AD1144" s="517" t="s">
        <v>1519</v>
      </c>
      <c r="AE1144" s="517" t="s">
        <v>13554</v>
      </c>
      <c r="AF1144" s="517" t="s">
        <v>294</v>
      </c>
      <c r="AG1144" s="520" t="s">
        <v>3285</v>
      </c>
      <c r="AH1144" s="67">
        <f t="shared" si="117"/>
        <v>0</v>
      </c>
      <c r="AI1144" s="10"/>
      <c r="AJ1144" s="9">
        <f t="shared" si="113"/>
        <v>0</v>
      </c>
      <c r="AK1144" s="10"/>
      <c r="AL1144" s="10"/>
    </row>
    <row r="1145" spans="1:38" ht="45" hidden="1">
      <c r="A1145" s="1">
        <f t="shared" si="112"/>
        <v>0</v>
      </c>
      <c r="B1145" s="2" t="s">
        <v>3304</v>
      </c>
      <c r="C1145" s="3" t="s">
        <v>3305</v>
      </c>
      <c r="D1145" s="15" t="s">
        <v>11685</v>
      </c>
      <c r="E1145" s="4" t="s">
        <v>3304</v>
      </c>
      <c r="F1145" s="37" t="s">
        <v>3305</v>
      </c>
      <c r="G1145" s="38">
        <v>0</v>
      </c>
      <c r="H1145" s="38">
        <v>0</v>
      </c>
      <c r="I1145" s="15"/>
      <c r="J1145" s="494">
        <v>20405050801</v>
      </c>
      <c r="K1145" s="517" t="s">
        <v>1519</v>
      </c>
      <c r="L1145" s="517" t="s">
        <v>13554</v>
      </c>
      <c r="M1145" s="517" t="s">
        <v>294</v>
      </c>
      <c r="N1145" s="518" t="s">
        <v>3285</v>
      </c>
      <c r="O1145" s="517">
        <v>2</v>
      </c>
      <c r="P1145" s="517" t="s">
        <v>693</v>
      </c>
      <c r="Q1145" s="517" t="s">
        <v>714</v>
      </c>
      <c r="R1145" s="517" t="s">
        <v>714</v>
      </c>
      <c r="S1145" s="517" t="s">
        <v>766</v>
      </c>
      <c r="T1145" s="518" t="s">
        <v>3306</v>
      </c>
      <c r="U1145" s="38">
        <v>0</v>
      </c>
      <c r="V1145" s="15" t="str">
        <f t="shared" si="111"/>
        <v>204050508</v>
      </c>
      <c r="W1145" s="39">
        <v>2</v>
      </c>
      <c r="X1145" s="40" t="s">
        <v>693</v>
      </c>
      <c r="Y1145" s="40" t="s">
        <v>714</v>
      </c>
      <c r="Z1145" s="40" t="s">
        <v>714</v>
      </c>
      <c r="AA1145" s="40" t="s">
        <v>766</v>
      </c>
      <c r="AB1145" s="41" t="s">
        <v>3306</v>
      </c>
      <c r="AC1145" s="519">
        <f t="shared" si="116"/>
        <v>0</v>
      </c>
      <c r="AD1145" s="517" t="s">
        <v>1519</v>
      </c>
      <c r="AE1145" s="517" t="s">
        <v>13554</v>
      </c>
      <c r="AF1145" s="517" t="s">
        <v>294</v>
      </c>
      <c r="AG1145" s="520" t="s">
        <v>3285</v>
      </c>
      <c r="AH1145" s="67">
        <f t="shared" si="117"/>
        <v>0</v>
      </c>
      <c r="AI1145" s="10"/>
      <c r="AJ1145" s="9">
        <f t="shared" si="113"/>
        <v>0</v>
      </c>
      <c r="AK1145" s="10"/>
      <c r="AL1145" s="10"/>
    </row>
    <row r="1146" spans="1:38" ht="45" hidden="1">
      <c r="A1146" s="1">
        <f t="shared" si="112"/>
        <v>0</v>
      </c>
      <c r="B1146" s="2" t="s">
        <v>3307</v>
      </c>
      <c r="C1146" s="3" t="s">
        <v>3308</v>
      </c>
      <c r="D1146" s="15" t="s">
        <v>11686</v>
      </c>
      <c r="E1146" s="4" t="s">
        <v>3307</v>
      </c>
      <c r="F1146" s="37" t="s">
        <v>3308</v>
      </c>
      <c r="G1146" s="38">
        <v>0</v>
      </c>
      <c r="H1146" s="38">
        <v>0</v>
      </c>
      <c r="I1146" s="15"/>
      <c r="J1146" s="494">
        <v>20405050901</v>
      </c>
      <c r="K1146" s="517" t="s">
        <v>1519</v>
      </c>
      <c r="L1146" s="517" t="s">
        <v>13554</v>
      </c>
      <c r="M1146" s="517" t="s">
        <v>294</v>
      </c>
      <c r="N1146" s="518" t="s">
        <v>3285</v>
      </c>
      <c r="O1146" s="517">
        <v>2</v>
      </c>
      <c r="P1146" s="517" t="s">
        <v>693</v>
      </c>
      <c r="Q1146" s="517" t="s">
        <v>714</v>
      </c>
      <c r="R1146" s="517" t="s">
        <v>714</v>
      </c>
      <c r="S1146" s="517" t="s">
        <v>779</v>
      </c>
      <c r="T1146" s="518" t="s">
        <v>3309</v>
      </c>
      <c r="U1146" s="38">
        <v>0</v>
      </c>
      <c r="V1146" s="15" t="str">
        <f t="shared" si="111"/>
        <v>204050509</v>
      </c>
      <c r="W1146" s="39">
        <v>2</v>
      </c>
      <c r="X1146" s="40" t="s">
        <v>693</v>
      </c>
      <c r="Y1146" s="40" t="s">
        <v>714</v>
      </c>
      <c r="Z1146" s="40" t="s">
        <v>714</v>
      </c>
      <c r="AA1146" s="40" t="s">
        <v>779</v>
      </c>
      <c r="AB1146" s="41" t="s">
        <v>3309</v>
      </c>
      <c r="AC1146" s="519">
        <f t="shared" si="116"/>
        <v>0</v>
      </c>
      <c r="AD1146" s="517" t="s">
        <v>1519</v>
      </c>
      <c r="AE1146" s="517" t="s">
        <v>13554</v>
      </c>
      <c r="AF1146" s="517" t="s">
        <v>294</v>
      </c>
      <c r="AG1146" s="520" t="s">
        <v>3285</v>
      </c>
      <c r="AH1146" s="67">
        <f t="shared" si="117"/>
        <v>0</v>
      </c>
      <c r="AI1146" s="10"/>
      <c r="AJ1146" s="9">
        <f t="shared" si="113"/>
        <v>0</v>
      </c>
      <c r="AK1146" s="10"/>
      <c r="AL1146" s="10"/>
    </row>
    <row r="1147" spans="1:38" ht="45" hidden="1">
      <c r="A1147" s="1">
        <f t="shared" si="112"/>
        <v>0</v>
      </c>
      <c r="B1147" s="2" t="s">
        <v>3310</v>
      </c>
      <c r="C1147" s="3" t="s">
        <v>3311</v>
      </c>
      <c r="D1147" s="15" t="s">
        <v>11687</v>
      </c>
      <c r="E1147" s="4" t="s">
        <v>3310</v>
      </c>
      <c r="F1147" s="37" t="s">
        <v>3311</v>
      </c>
      <c r="G1147" s="38">
        <v>0</v>
      </c>
      <c r="H1147" s="38">
        <v>0</v>
      </c>
      <c r="I1147" s="15"/>
      <c r="J1147" s="494">
        <v>20405051001</v>
      </c>
      <c r="K1147" s="517" t="s">
        <v>1519</v>
      </c>
      <c r="L1147" s="517" t="s">
        <v>13554</v>
      </c>
      <c r="M1147" s="517" t="s">
        <v>294</v>
      </c>
      <c r="N1147" s="518" t="s">
        <v>3285</v>
      </c>
      <c r="O1147" s="517">
        <v>2</v>
      </c>
      <c r="P1147" s="517" t="s">
        <v>693</v>
      </c>
      <c r="Q1147" s="517" t="s">
        <v>714</v>
      </c>
      <c r="R1147" s="517" t="s">
        <v>714</v>
      </c>
      <c r="S1147" s="517" t="s">
        <v>1225</v>
      </c>
      <c r="T1147" s="518" t="s">
        <v>3312</v>
      </c>
      <c r="U1147" s="38">
        <v>0</v>
      </c>
      <c r="V1147" s="15" t="str">
        <f t="shared" si="111"/>
        <v>204050510</v>
      </c>
      <c r="W1147" s="39">
        <v>2</v>
      </c>
      <c r="X1147" s="40" t="s">
        <v>693</v>
      </c>
      <c r="Y1147" s="40" t="s">
        <v>714</v>
      </c>
      <c r="Z1147" s="40" t="s">
        <v>714</v>
      </c>
      <c r="AA1147" s="40" t="s">
        <v>1225</v>
      </c>
      <c r="AB1147" s="41" t="s">
        <v>3312</v>
      </c>
      <c r="AC1147" s="519">
        <f t="shared" si="116"/>
        <v>0</v>
      </c>
      <c r="AD1147" s="517" t="s">
        <v>1519</v>
      </c>
      <c r="AE1147" s="517" t="s">
        <v>13554</v>
      </c>
      <c r="AF1147" s="517" t="s">
        <v>294</v>
      </c>
      <c r="AG1147" s="520" t="s">
        <v>3285</v>
      </c>
      <c r="AH1147" s="67">
        <f t="shared" si="117"/>
        <v>0</v>
      </c>
      <c r="AI1147" s="10"/>
      <c r="AJ1147" s="9">
        <f t="shared" si="113"/>
        <v>0</v>
      </c>
      <c r="AK1147" s="10"/>
      <c r="AL1147" s="10"/>
    </row>
    <row r="1148" spans="1:38" ht="45" hidden="1">
      <c r="A1148" s="1">
        <f t="shared" si="112"/>
        <v>0</v>
      </c>
      <c r="B1148" s="2" t="s">
        <v>3313</v>
      </c>
      <c r="C1148" s="3" t="s">
        <v>3314</v>
      </c>
      <c r="D1148" s="15" t="s">
        <v>11688</v>
      </c>
      <c r="E1148" s="4" t="s">
        <v>3313</v>
      </c>
      <c r="F1148" s="37" t="s">
        <v>3314</v>
      </c>
      <c r="G1148" s="38">
        <v>0</v>
      </c>
      <c r="H1148" s="38">
        <v>0</v>
      </c>
      <c r="I1148" s="15"/>
      <c r="J1148" s="494">
        <v>20405051101</v>
      </c>
      <c r="K1148" s="517" t="s">
        <v>1519</v>
      </c>
      <c r="L1148" s="517" t="s">
        <v>13554</v>
      </c>
      <c r="M1148" s="517" t="s">
        <v>294</v>
      </c>
      <c r="N1148" s="518" t="s">
        <v>3285</v>
      </c>
      <c r="O1148" s="517">
        <v>2</v>
      </c>
      <c r="P1148" s="517" t="s">
        <v>693</v>
      </c>
      <c r="Q1148" s="517" t="s">
        <v>714</v>
      </c>
      <c r="R1148" s="517" t="s">
        <v>714</v>
      </c>
      <c r="S1148" s="517" t="s">
        <v>1229</v>
      </c>
      <c r="T1148" s="518" t="s">
        <v>3315</v>
      </c>
      <c r="U1148" s="38">
        <v>0</v>
      </c>
      <c r="V1148" s="15" t="str">
        <f t="shared" si="111"/>
        <v>204050511</v>
      </c>
      <c r="W1148" s="39">
        <v>2</v>
      </c>
      <c r="X1148" s="40" t="s">
        <v>693</v>
      </c>
      <c r="Y1148" s="40" t="s">
        <v>714</v>
      </c>
      <c r="Z1148" s="40" t="s">
        <v>714</v>
      </c>
      <c r="AA1148" s="40" t="s">
        <v>1229</v>
      </c>
      <c r="AB1148" s="41" t="s">
        <v>3315</v>
      </c>
      <c r="AC1148" s="519">
        <f t="shared" si="116"/>
        <v>0</v>
      </c>
      <c r="AD1148" s="517" t="s">
        <v>1519</v>
      </c>
      <c r="AE1148" s="517" t="s">
        <v>13554</v>
      </c>
      <c r="AF1148" s="517" t="s">
        <v>294</v>
      </c>
      <c r="AG1148" s="520" t="s">
        <v>3285</v>
      </c>
      <c r="AH1148" s="67">
        <f t="shared" si="117"/>
        <v>0</v>
      </c>
      <c r="AI1148" s="10"/>
      <c r="AJ1148" s="9">
        <f t="shared" si="113"/>
        <v>0</v>
      </c>
      <c r="AK1148" s="10"/>
      <c r="AL1148" s="10"/>
    </row>
    <row r="1149" spans="1:38" ht="45" hidden="1">
      <c r="A1149" s="1">
        <f t="shared" si="112"/>
        <v>0</v>
      </c>
      <c r="B1149" s="2" t="s">
        <v>3316</v>
      </c>
      <c r="C1149" s="3" t="s">
        <v>3317</v>
      </c>
      <c r="D1149" s="15" t="s">
        <v>11689</v>
      </c>
      <c r="E1149" s="4" t="s">
        <v>3316</v>
      </c>
      <c r="F1149" s="37" t="s">
        <v>3317</v>
      </c>
      <c r="G1149" s="38">
        <v>0</v>
      </c>
      <c r="H1149" s="38">
        <v>0</v>
      </c>
      <c r="I1149" s="15"/>
      <c r="J1149" s="494">
        <v>20405051201</v>
      </c>
      <c r="K1149" s="517" t="s">
        <v>1519</v>
      </c>
      <c r="L1149" s="517" t="s">
        <v>13554</v>
      </c>
      <c r="M1149" s="517" t="s">
        <v>294</v>
      </c>
      <c r="N1149" s="518" t="s">
        <v>3285</v>
      </c>
      <c r="O1149" s="517">
        <v>2</v>
      </c>
      <c r="P1149" s="517" t="s">
        <v>693</v>
      </c>
      <c r="Q1149" s="517" t="s">
        <v>714</v>
      </c>
      <c r="R1149" s="517" t="s">
        <v>714</v>
      </c>
      <c r="S1149" s="517" t="s">
        <v>1243</v>
      </c>
      <c r="T1149" s="518" t="s">
        <v>3318</v>
      </c>
      <c r="U1149" s="38">
        <v>0</v>
      </c>
      <c r="V1149" s="15" t="str">
        <f t="shared" si="111"/>
        <v>204050512</v>
      </c>
      <c r="W1149" s="39">
        <v>2</v>
      </c>
      <c r="X1149" s="40" t="s">
        <v>693</v>
      </c>
      <c r="Y1149" s="40" t="s">
        <v>714</v>
      </c>
      <c r="Z1149" s="40" t="s">
        <v>714</v>
      </c>
      <c r="AA1149" s="40" t="s">
        <v>1243</v>
      </c>
      <c r="AB1149" s="41" t="s">
        <v>3318</v>
      </c>
      <c r="AC1149" s="519">
        <f t="shared" si="116"/>
        <v>0</v>
      </c>
      <c r="AD1149" s="517" t="s">
        <v>1519</v>
      </c>
      <c r="AE1149" s="517" t="s">
        <v>13554</v>
      </c>
      <c r="AF1149" s="517" t="s">
        <v>294</v>
      </c>
      <c r="AG1149" s="520" t="s">
        <v>3285</v>
      </c>
      <c r="AH1149" s="67">
        <f t="shared" si="117"/>
        <v>0</v>
      </c>
      <c r="AI1149" s="10"/>
      <c r="AJ1149" s="9">
        <f t="shared" si="113"/>
        <v>0</v>
      </c>
      <c r="AK1149" s="10"/>
      <c r="AL1149" s="10"/>
    </row>
    <row r="1150" spans="1:38" ht="45" hidden="1">
      <c r="A1150" s="1">
        <f t="shared" si="112"/>
        <v>0</v>
      </c>
      <c r="B1150" s="2" t="s">
        <v>3319</v>
      </c>
      <c r="C1150" s="3" t="s">
        <v>3320</v>
      </c>
      <c r="D1150" s="15" t="s">
        <v>11690</v>
      </c>
      <c r="E1150" s="4" t="s">
        <v>3319</v>
      </c>
      <c r="F1150" s="37" t="s">
        <v>3320</v>
      </c>
      <c r="G1150" s="38">
        <v>0</v>
      </c>
      <c r="H1150" s="38">
        <v>0</v>
      </c>
      <c r="I1150" s="15"/>
      <c r="J1150" s="494">
        <v>20405051301</v>
      </c>
      <c r="K1150" s="517" t="s">
        <v>1519</v>
      </c>
      <c r="L1150" s="517" t="s">
        <v>13554</v>
      </c>
      <c r="M1150" s="517" t="s">
        <v>294</v>
      </c>
      <c r="N1150" s="518" t="s">
        <v>3285</v>
      </c>
      <c r="O1150" s="517">
        <v>2</v>
      </c>
      <c r="P1150" s="517" t="s">
        <v>693</v>
      </c>
      <c r="Q1150" s="517" t="s">
        <v>714</v>
      </c>
      <c r="R1150" s="517" t="s">
        <v>714</v>
      </c>
      <c r="S1150" s="517" t="s">
        <v>1247</v>
      </c>
      <c r="T1150" s="518" t="s">
        <v>3321</v>
      </c>
      <c r="U1150" s="38">
        <v>0</v>
      </c>
      <c r="V1150" s="15" t="str">
        <f t="shared" si="111"/>
        <v>204050513</v>
      </c>
      <c r="W1150" s="39">
        <v>2</v>
      </c>
      <c r="X1150" s="40" t="s">
        <v>693</v>
      </c>
      <c r="Y1150" s="40" t="s">
        <v>714</v>
      </c>
      <c r="Z1150" s="40" t="s">
        <v>714</v>
      </c>
      <c r="AA1150" s="40" t="s">
        <v>1247</v>
      </c>
      <c r="AB1150" s="41" t="s">
        <v>3321</v>
      </c>
      <c r="AC1150" s="519">
        <f t="shared" si="116"/>
        <v>0</v>
      </c>
      <c r="AD1150" s="517" t="s">
        <v>1519</v>
      </c>
      <c r="AE1150" s="517" t="s">
        <v>13554</v>
      </c>
      <c r="AF1150" s="517" t="s">
        <v>294</v>
      </c>
      <c r="AG1150" s="520" t="s">
        <v>3285</v>
      </c>
      <c r="AH1150" s="67">
        <f t="shared" si="117"/>
        <v>0</v>
      </c>
      <c r="AI1150" s="10"/>
      <c r="AJ1150" s="9">
        <f t="shared" si="113"/>
        <v>0</v>
      </c>
      <c r="AK1150" s="10"/>
      <c r="AL1150" s="10"/>
    </row>
    <row r="1151" spans="1:38" ht="45" hidden="1">
      <c r="A1151" s="1">
        <f t="shared" si="112"/>
        <v>0</v>
      </c>
      <c r="B1151" s="2" t="s">
        <v>3322</v>
      </c>
      <c r="C1151" s="3" t="s">
        <v>3323</v>
      </c>
      <c r="D1151" s="15" t="s">
        <v>11691</v>
      </c>
      <c r="E1151" s="4" t="s">
        <v>3322</v>
      </c>
      <c r="F1151" s="37" t="s">
        <v>3323</v>
      </c>
      <c r="G1151" s="38">
        <v>0</v>
      </c>
      <c r="H1151" s="38">
        <v>0</v>
      </c>
      <c r="I1151" s="15"/>
      <c r="J1151" s="494">
        <v>20405051401</v>
      </c>
      <c r="K1151" s="517" t="s">
        <v>1519</v>
      </c>
      <c r="L1151" s="517" t="s">
        <v>13554</v>
      </c>
      <c r="M1151" s="517" t="s">
        <v>294</v>
      </c>
      <c r="N1151" s="518" t="s">
        <v>3285</v>
      </c>
      <c r="O1151" s="517">
        <v>2</v>
      </c>
      <c r="P1151" s="517" t="s">
        <v>693</v>
      </c>
      <c r="Q1151" s="517" t="s">
        <v>714</v>
      </c>
      <c r="R1151" s="517" t="s">
        <v>714</v>
      </c>
      <c r="S1151" s="517" t="s">
        <v>1253</v>
      </c>
      <c r="T1151" s="518" t="s">
        <v>3324</v>
      </c>
      <c r="U1151" s="38">
        <v>0</v>
      </c>
      <c r="V1151" s="15" t="str">
        <f t="shared" si="111"/>
        <v>204050514</v>
      </c>
      <c r="W1151" s="39">
        <v>2</v>
      </c>
      <c r="X1151" s="40" t="s">
        <v>693</v>
      </c>
      <c r="Y1151" s="40" t="s">
        <v>714</v>
      </c>
      <c r="Z1151" s="40" t="s">
        <v>714</v>
      </c>
      <c r="AA1151" s="40" t="s">
        <v>1253</v>
      </c>
      <c r="AB1151" s="41" t="s">
        <v>3324</v>
      </c>
      <c r="AC1151" s="519">
        <f t="shared" si="116"/>
        <v>0</v>
      </c>
      <c r="AD1151" s="517" t="s">
        <v>1519</v>
      </c>
      <c r="AE1151" s="517" t="s">
        <v>13554</v>
      </c>
      <c r="AF1151" s="517" t="s">
        <v>294</v>
      </c>
      <c r="AG1151" s="520" t="s">
        <v>3285</v>
      </c>
      <c r="AH1151" s="67">
        <f t="shared" si="117"/>
        <v>0</v>
      </c>
      <c r="AI1151" s="10"/>
      <c r="AJ1151" s="9">
        <f t="shared" si="113"/>
        <v>0</v>
      </c>
      <c r="AK1151" s="10"/>
      <c r="AL1151" s="10"/>
    </row>
    <row r="1152" spans="1:38" ht="45" hidden="1">
      <c r="A1152" s="1">
        <f t="shared" si="112"/>
        <v>0</v>
      </c>
      <c r="B1152" s="2" t="s">
        <v>3325</v>
      </c>
      <c r="C1152" s="3" t="s">
        <v>3326</v>
      </c>
      <c r="D1152" s="15" t="s">
        <v>11692</v>
      </c>
      <c r="E1152" s="4" t="s">
        <v>3325</v>
      </c>
      <c r="F1152" s="37" t="s">
        <v>3326</v>
      </c>
      <c r="G1152" s="38">
        <v>0</v>
      </c>
      <c r="H1152" s="38">
        <v>0</v>
      </c>
      <c r="I1152" s="15"/>
      <c r="J1152" s="494">
        <v>20405051501</v>
      </c>
      <c r="K1152" s="517" t="s">
        <v>1519</v>
      </c>
      <c r="L1152" s="517" t="s">
        <v>13554</v>
      </c>
      <c r="M1152" s="517" t="s">
        <v>294</v>
      </c>
      <c r="N1152" s="518" t="s">
        <v>3285</v>
      </c>
      <c r="O1152" s="517">
        <v>2</v>
      </c>
      <c r="P1152" s="517" t="s">
        <v>693</v>
      </c>
      <c r="Q1152" s="517" t="s">
        <v>714</v>
      </c>
      <c r="R1152" s="517" t="s">
        <v>714</v>
      </c>
      <c r="S1152" s="517" t="s">
        <v>1257</v>
      </c>
      <c r="T1152" s="518" t="s">
        <v>3327</v>
      </c>
      <c r="U1152" s="38">
        <v>0</v>
      </c>
      <c r="V1152" s="15" t="str">
        <f t="shared" si="111"/>
        <v>204050515</v>
      </c>
      <c r="W1152" s="39">
        <v>2</v>
      </c>
      <c r="X1152" s="40" t="s">
        <v>693</v>
      </c>
      <c r="Y1152" s="40" t="s">
        <v>714</v>
      </c>
      <c r="Z1152" s="40" t="s">
        <v>714</v>
      </c>
      <c r="AA1152" s="40" t="s">
        <v>1257</v>
      </c>
      <c r="AB1152" s="41" t="s">
        <v>3327</v>
      </c>
      <c r="AC1152" s="519">
        <f t="shared" si="116"/>
        <v>0</v>
      </c>
      <c r="AD1152" s="517" t="s">
        <v>1519</v>
      </c>
      <c r="AE1152" s="517" t="s">
        <v>13554</v>
      </c>
      <c r="AF1152" s="517" t="s">
        <v>294</v>
      </c>
      <c r="AG1152" s="520" t="s">
        <v>3285</v>
      </c>
      <c r="AH1152" s="67">
        <f t="shared" si="117"/>
        <v>0</v>
      </c>
      <c r="AI1152" s="10"/>
      <c r="AJ1152" s="9">
        <f t="shared" si="113"/>
        <v>0</v>
      </c>
      <c r="AK1152" s="10"/>
      <c r="AL1152" s="10"/>
    </row>
    <row r="1153" spans="1:38" ht="45" hidden="1">
      <c r="A1153" s="1">
        <f t="shared" si="112"/>
        <v>0</v>
      </c>
      <c r="B1153" s="2" t="s">
        <v>3328</v>
      </c>
      <c r="C1153" s="3" t="s">
        <v>3329</v>
      </c>
      <c r="D1153" s="15" t="s">
        <v>11693</v>
      </c>
      <c r="E1153" s="4" t="s">
        <v>3328</v>
      </c>
      <c r="F1153" s="37" t="s">
        <v>3329</v>
      </c>
      <c r="G1153" s="38">
        <v>0</v>
      </c>
      <c r="H1153" s="38">
        <v>0</v>
      </c>
      <c r="I1153" s="15"/>
      <c r="J1153" s="494">
        <v>20405051601</v>
      </c>
      <c r="K1153" s="517" t="s">
        <v>1519</v>
      </c>
      <c r="L1153" s="517" t="s">
        <v>13554</v>
      </c>
      <c r="M1153" s="517" t="s">
        <v>294</v>
      </c>
      <c r="N1153" s="518" t="s">
        <v>3285</v>
      </c>
      <c r="O1153" s="517">
        <v>2</v>
      </c>
      <c r="P1153" s="517" t="s">
        <v>693</v>
      </c>
      <c r="Q1153" s="517" t="s">
        <v>714</v>
      </c>
      <c r="R1153" s="517" t="s">
        <v>714</v>
      </c>
      <c r="S1153" s="517" t="s">
        <v>1332</v>
      </c>
      <c r="T1153" s="518" t="s">
        <v>3330</v>
      </c>
      <c r="U1153" s="38">
        <v>0</v>
      </c>
      <c r="V1153" s="15" t="str">
        <f t="shared" si="111"/>
        <v>204050516</v>
      </c>
      <c r="W1153" s="39">
        <v>2</v>
      </c>
      <c r="X1153" s="40" t="s">
        <v>693</v>
      </c>
      <c r="Y1153" s="40" t="s">
        <v>714</v>
      </c>
      <c r="Z1153" s="40" t="s">
        <v>714</v>
      </c>
      <c r="AA1153" s="40" t="s">
        <v>1332</v>
      </c>
      <c r="AB1153" s="41" t="s">
        <v>3330</v>
      </c>
      <c r="AC1153" s="519">
        <f t="shared" si="116"/>
        <v>0</v>
      </c>
      <c r="AD1153" s="517" t="s">
        <v>1519</v>
      </c>
      <c r="AE1153" s="517" t="s">
        <v>13554</v>
      </c>
      <c r="AF1153" s="517" t="s">
        <v>294</v>
      </c>
      <c r="AG1153" s="520" t="s">
        <v>3285</v>
      </c>
      <c r="AH1153" s="67">
        <f t="shared" si="117"/>
        <v>0</v>
      </c>
      <c r="AI1153" s="10"/>
      <c r="AJ1153" s="9">
        <f t="shared" si="113"/>
        <v>0</v>
      </c>
      <c r="AK1153" s="10"/>
      <c r="AL1153" s="10"/>
    </row>
    <row r="1154" spans="1:38" ht="45" hidden="1">
      <c r="A1154" s="1">
        <f t="shared" si="112"/>
        <v>0</v>
      </c>
      <c r="B1154" s="2" t="s">
        <v>3331</v>
      </c>
      <c r="C1154" s="3" t="s">
        <v>3332</v>
      </c>
      <c r="D1154" s="15" t="s">
        <v>11694</v>
      </c>
      <c r="E1154" s="4" t="s">
        <v>3331</v>
      </c>
      <c r="F1154" s="37" t="s">
        <v>3332</v>
      </c>
      <c r="G1154" s="38">
        <v>0</v>
      </c>
      <c r="H1154" s="38">
        <v>0</v>
      </c>
      <c r="I1154" s="15"/>
      <c r="J1154" s="494">
        <v>20405051701</v>
      </c>
      <c r="K1154" s="517" t="s">
        <v>1519</v>
      </c>
      <c r="L1154" s="517" t="s">
        <v>13554</v>
      </c>
      <c r="M1154" s="517" t="s">
        <v>294</v>
      </c>
      <c r="N1154" s="518" t="s">
        <v>3285</v>
      </c>
      <c r="O1154" s="517">
        <v>2</v>
      </c>
      <c r="P1154" s="517" t="s">
        <v>693</v>
      </c>
      <c r="Q1154" s="517" t="s">
        <v>714</v>
      </c>
      <c r="R1154" s="517" t="s">
        <v>714</v>
      </c>
      <c r="S1154" s="517" t="s">
        <v>1838</v>
      </c>
      <c r="T1154" s="518" t="s">
        <v>3333</v>
      </c>
      <c r="U1154" s="38">
        <v>0</v>
      </c>
      <c r="V1154" s="15" t="str">
        <f t="shared" si="111"/>
        <v>204050517</v>
      </c>
      <c r="W1154" s="39">
        <v>2</v>
      </c>
      <c r="X1154" s="40" t="s">
        <v>693</v>
      </c>
      <c r="Y1154" s="40" t="s">
        <v>714</v>
      </c>
      <c r="Z1154" s="40" t="s">
        <v>714</v>
      </c>
      <c r="AA1154" s="40" t="s">
        <v>1838</v>
      </c>
      <c r="AB1154" s="41" t="s">
        <v>3333</v>
      </c>
      <c r="AC1154" s="519">
        <f t="shared" si="116"/>
        <v>0</v>
      </c>
      <c r="AD1154" s="517" t="s">
        <v>1519</v>
      </c>
      <c r="AE1154" s="517" t="s">
        <v>13554</v>
      </c>
      <c r="AF1154" s="517" t="s">
        <v>294</v>
      </c>
      <c r="AG1154" s="520" t="s">
        <v>3285</v>
      </c>
      <c r="AH1154" s="67">
        <f t="shared" si="117"/>
        <v>0</v>
      </c>
      <c r="AI1154" s="10"/>
      <c r="AJ1154" s="9">
        <f t="shared" si="113"/>
        <v>0</v>
      </c>
      <c r="AK1154" s="10"/>
      <c r="AL1154" s="10"/>
    </row>
    <row r="1155" spans="1:38" ht="45" hidden="1">
      <c r="A1155" s="1">
        <f t="shared" si="112"/>
        <v>0</v>
      </c>
      <c r="B1155" s="2" t="s">
        <v>3334</v>
      </c>
      <c r="C1155" s="3" t="s">
        <v>3335</v>
      </c>
      <c r="D1155" s="15" t="s">
        <v>11695</v>
      </c>
      <c r="E1155" s="4" t="s">
        <v>3334</v>
      </c>
      <c r="F1155" s="37" t="s">
        <v>3335</v>
      </c>
      <c r="G1155" s="38">
        <v>0</v>
      </c>
      <c r="H1155" s="38">
        <v>0</v>
      </c>
      <c r="I1155" s="15"/>
      <c r="J1155" s="494">
        <v>20405051801</v>
      </c>
      <c r="K1155" s="517" t="s">
        <v>1519</v>
      </c>
      <c r="L1155" s="517" t="s">
        <v>13554</v>
      </c>
      <c r="M1155" s="517" t="s">
        <v>294</v>
      </c>
      <c r="N1155" s="518" t="s">
        <v>3285</v>
      </c>
      <c r="O1155" s="517">
        <v>2</v>
      </c>
      <c r="P1155" s="517" t="s">
        <v>693</v>
      </c>
      <c r="Q1155" s="517" t="s">
        <v>714</v>
      </c>
      <c r="R1155" s="517" t="s">
        <v>714</v>
      </c>
      <c r="S1155" s="517" t="s">
        <v>1842</v>
      </c>
      <c r="T1155" s="518" t="s">
        <v>3336</v>
      </c>
      <c r="U1155" s="38">
        <v>0</v>
      </c>
      <c r="V1155" s="15" t="str">
        <f t="shared" ref="V1155:V1218" si="118">CONCATENATE(W1155,X1155,Y1155,Z1155,AA1155)</f>
        <v>204050518</v>
      </c>
      <c r="W1155" s="39">
        <v>2</v>
      </c>
      <c r="X1155" s="40" t="s">
        <v>693</v>
      </c>
      <c r="Y1155" s="40" t="s">
        <v>714</v>
      </c>
      <c r="Z1155" s="40" t="s">
        <v>714</v>
      </c>
      <c r="AA1155" s="40" t="s">
        <v>1842</v>
      </c>
      <c r="AB1155" s="41" t="s">
        <v>3336</v>
      </c>
      <c r="AC1155" s="519">
        <f t="shared" si="116"/>
        <v>0</v>
      </c>
      <c r="AD1155" s="517" t="s">
        <v>1519</v>
      </c>
      <c r="AE1155" s="517" t="s">
        <v>13554</v>
      </c>
      <c r="AF1155" s="517" t="s">
        <v>294</v>
      </c>
      <c r="AG1155" s="520" t="s">
        <v>3285</v>
      </c>
      <c r="AH1155" s="67">
        <f t="shared" si="117"/>
        <v>0</v>
      </c>
      <c r="AI1155" s="10"/>
      <c r="AJ1155" s="9">
        <f t="shared" si="113"/>
        <v>0</v>
      </c>
      <c r="AK1155" s="10"/>
      <c r="AL1155" s="10"/>
    </row>
    <row r="1156" spans="1:38" ht="45" hidden="1">
      <c r="A1156" s="1">
        <f t="shared" si="112"/>
        <v>0</v>
      </c>
      <c r="C1156" s="3" t="s">
        <v>3337</v>
      </c>
      <c r="D1156" s="15" t="s">
        <v>16</v>
      </c>
      <c r="E1156" s="30"/>
      <c r="F1156" s="31" t="s">
        <v>3338</v>
      </c>
      <c r="G1156" s="32">
        <f>SUM(G1157:G1174)</f>
        <v>8519785.0800000001</v>
      </c>
      <c r="H1156" s="32">
        <f>SUM(H1157:H1174)</f>
        <v>8286281.1600000001</v>
      </c>
      <c r="I1156" s="15"/>
      <c r="J1156" s="494"/>
      <c r="K1156" s="513"/>
      <c r="L1156" s="513"/>
      <c r="M1156" s="513"/>
      <c r="N1156" s="514"/>
      <c r="O1156" s="513"/>
      <c r="P1156" s="513"/>
      <c r="Q1156" s="513"/>
      <c r="R1156" s="513"/>
      <c r="S1156" s="513"/>
      <c r="T1156" s="514"/>
      <c r="U1156" s="32">
        <f>SUM(U1157:U1174)</f>
        <v>8286281.1600000001</v>
      </c>
      <c r="V1156" s="15" t="str">
        <f t="shared" si="118"/>
        <v>204050600</v>
      </c>
      <c r="W1156" s="33">
        <v>2</v>
      </c>
      <c r="X1156" s="34" t="s">
        <v>693</v>
      </c>
      <c r="Y1156" s="34" t="s">
        <v>714</v>
      </c>
      <c r="Z1156" s="35" t="s">
        <v>739</v>
      </c>
      <c r="AA1156" s="35" t="s">
        <v>630</v>
      </c>
      <c r="AB1156" s="31" t="s">
        <v>3338</v>
      </c>
      <c r="AC1156" s="529">
        <f>SUM(AC1157:AC1174)</f>
        <v>8286281.1600000001</v>
      </c>
      <c r="AD1156" s="513" t="s">
        <v>1519</v>
      </c>
      <c r="AE1156" s="513" t="s">
        <v>13556</v>
      </c>
      <c r="AF1156" s="513" t="s">
        <v>295</v>
      </c>
      <c r="AG1156" s="514" t="s">
        <v>3339</v>
      </c>
      <c r="AH1156" s="44">
        <f>SUM(AH1157:AH1174)</f>
        <v>8286281.1600000001</v>
      </c>
      <c r="AI1156" s="10"/>
      <c r="AJ1156" s="9">
        <f t="shared" si="113"/>
        <v>0</v>
      </c>
      <c r="AK1156" s="10"/>
      <c r="AL1156" s="10"/>
    </row>
    <row r="1157" spans="1:38" ht="45" hidden="1">
      <c r="A1157" s="1">
        <f t="shared" si="112"/>
        <v>0</v>
      </c>
      <c r="B1157" s="2" t="s">
        <v>3340</v>
      </c>
      <c r="C1157" s="3" t="s">
        <v>3341</v>
      </c>
      <c r="D1157" s="15" t="s">
        <v>11696</v>
      </c>
      <c r="E1157" s="4" t="s">
        <v>3340</v>
      </c>
      <c r="F1157" s="37" t="s">
        <v>3341</v>
      </c>
      <c r="G1157" s="38">
        <v>10316.790000000001</v>
      </c>
      <c r="H1157" s="38">
        <v>10316.790000000001</v>
      </c>
      <c r="I1157" s="15"/>
      <c r="J1157" s="494">
        <v>20405060101</v>
      </c>
      <c r="K1157" s="517" t="s">
        <v>1519</v>
      </c>
      <c r="L1157" s="517" t="s">
        <v>13556</v>
      </c>
      <c r="M1157" s="517" t="s">
        <v>295</v>
      </c>
      <c r="N1157" s="518" t="s">
        <v>3339</v>
      </c>
      <c r="O1157" s="517">
        <v>2</v>
      </c>
      <c r="P1157" s="517" t="s">
        <v>693</v>
      </c>
      <c r="Q1157" s="517" t="s">
        <v>714</v>
      </c>
      <c r="R1157" s="517" t="s">
        <v>739</v>
      </c>
      <c r="S1157" s="517" t="s">
        <v>632</v>
      </c>
      <c r="T1157" s="518" t="s">
        <v>3342</v>
      </c>
      <c r="U1157" s="38">
        <v>10316.790000000001</v>
      </c>
      <c r="V1157" s="15" t="str">
        <f t="shared" si="118"/>
        <v>204050601</v>
      </c>
      <c r="W1157" s="39">
        <v>2</v>
      </c>
      <c r="X1157" s="40" t="s">
        <v>693</v>
      </c>
      <c r="Y1157" s="40" t="s">
        <v>714</v>
      </c>
      <c r="Z1157" s="40" t="s">
        <v>739</v>
      </c>
      <c r="AA1157" s="40" t="s">
        <v>632</v>
      </c>
      <c r="AB1157" s="41" t="s">
        <v>3342</v>
      </c>
      <c r="AC1157" s="519">
        <f t="shared" ref="AC1157:AC1174" si="119">H1157</f>
        <v>10316.790000000001</v>
      </c>
      <c r="AD1157" s="517" t="s">
        <v>1519</v>
      </c>
      <c r="AE1157" s="517" t="s">
        <v>13556</v>
      </c>
      <c r="AF1157" s="517" t="s">
        <v>295</v>
      </c>
      <c r="AG1157" s="520" t="s">
        <v>3339</v>
      </c>
      <c r="AH1157" s="67">
        <f t="shared" ref="AH1157:AH1174" si="120">AC1157</f>
        <v>10316.790000000001</v>
      </c>
      <c r="AI1157" s="10"/>
      <c r="AJ1157" s="9">
        <f t="shared" si="113"/>
        <v>0</v>
      </c>
      <c r="AK1157" s="10"/>
      <c r="AL1157" s="10"/>
    </row>
    <row r="1158" spans="1:38" ht="45" hidden="1">
      <c r="A1158" s="1">
        <f t="shared" si="112"/>
        <v>0</v>
      </c>
      <c r="B1158" s="2" t="s">
        <v>3343</v>
      </c>
      <c r="C1158" s="3" t="s">
        <v>3344</v>
      </c>
      <c r="D1158" s="15" t="s">
        <v>11697</v>
      </c>
      <c r="E1158" s="4" t="s">
        <v>3343</v>
      </c>
      <c r="F1158" s="37" t="s">
        <v>3344</v>
      </c>
      <c r="G1158" s="38">
        <v>211822.98</v>
      </c>
      <c r="H1158" s="38">
        <v>196572.98</v>
      </c>
      <c r="I1158" s="15"/>
      <c r="J1158" s="494">
        <v>20405060201</v>
      </c>
      <c r="K1158" s="517" t="s">
        <v>1519</v>
      </c>
      <c r="L1158" s="517" t="s">
        <v>13556</v>
      </c>
      <c r="M1158" s="517" t="s">
        <v>295</v>
      </c>
      <c r="N1158" s="518" t="s">
        <v>3339</v>
      </c>
      <c r="O1158" s="517">
        <v>2</v>
      </c>
      <c r="P1158" s="517" t="s">
        <v>693</v>
      </c>
      <c r="Q1158" s="517" t="s">
        <v>714</v>
      </c>
      <c r="R1158" s="517" t="s">
        <v>739</v>
      </c>
      <c r="S1158" s="517" t="s">
        <v>647</v>
      </c>
      <c r="T1158" s="518" t="s">
        <v>3345</v>
      </c>
      <c r="U1158" s="38">
        <v>196572.98</v>
      </c>
      <c r="V1158" s="15" t="str">
        <f t="shared" si="118"/>
        <v>204050602</v>
      </c>
      <c r="W1158" s="39">
        <v>2</v>
      </c>
      <c r="X1158" s="40" t="s">
        <v>693</v>
      </c>
      <c r="Y1158" s="40" t="s">
        <v>714</v>
      </c>
      <c r="Z1158" s="40" t="s">
        <v>739</v>
      </c>
      <c r="AA1158" s="40" t="s">
        <v>647</v>
      </c>
      <c r="AB1158" s="41" t="s">
        <v>3345</v>
      </c>
      <c r="AC1158" s="519">
        <f t="shared" si="119"/>
        <v>196572.98</v>
      </c>
      <c r="AD1158" s="517" t="s">
        <v>1519</v>
      </c>
      <c r="AE1158" s="517" t="s">
        <v>13556</v>
      </c>
      <c r="AF1158" s="517" t="s">
        <v>295</v>
      </c>
      <c r="AG1158" s="520" t="s">
        <v>3339</v>
      </c>
      <c r="AH1158" s="67">
        <f t="shared" si="120"/>
        <v>196572.98</v>
      </c>
      <c r="AI1158" s="10"/>
      <c r="AJ1158" s="9">
        <f t="shared" si="113"/>
        <v>0</v>
      </c>
      <c r="AK1158" s="10"/>
      <c r="AL1158" s="10"/>
    </row>
    <row r="1159" spans="1:38" ht="45" hidden="1">
      <c r="A1159" s="1">
        <f t="shared" si="112"/>
        <v>0</v>
      </c>
      <c r="B1159" s="2" t="s">
        <v>3346</v>
      </c>
      <c r="C1159" s="3" t="s">
        <v>3347</v>
      </c>
      <c r="D1159" s="15" t="s">
        <v>11698</v>
      </c>
      <c r="E1159" s="4" t="s">
        <v>3346</v>
      </c>
      <c r="F1159" s="37" t="s">
        <v>3347</v>
      </c>
      <c r="G1159" s="38">
        <v>6753.81</v>
      </c>
      <c r="H1159" s="38">
        <v>6753.81</v>
      </c>
      <c r="I1159" s="15"/>
      <c r="J1159" s="494">
        <v>20405060301</v>
      </c>
      <c r="K1159" s="517" t="s">
        <v>1519</v>
      </c>
      <c r="L1159" s="517" t="s">
        <v>13556</v>
      </c>
      <c r="M1159" s="517" t="s">
        <v>295</v>
      </c>
      <c r="N1159" s="518" t="s">
        <v>3339</v>
      </c>
      <c r="O1159" s="517">
        <v>2</v>
      </c>
      <c r="P1159" s="517" t="s">
        <v>693</v>
      </c>
      <c r="Q1159" s="517" t="s">
        <v>714</v>
      </c>
      <c r="R1159" s="517" t="s">
        <v>739</v>
      </c>
      <c r="S1159" s="517" t="s">
        <v>671</v>
      </c>
      <c r="T1159" s="518" t="s">
        <v>3348</v>
      </c>
      <c r="U1159" s="38">
        <v>6753.81</v>
      </c>
      <c r="V1159" s="15" t="str">
        <f t="shared" si="118"/>
        <v>204050603</v>
      </c>
      <c r="W1159" s="39">
        <v>2</v>
      </c>
      <c r="X1159" s="40" t="s">
        <v>693</v>
      </c>
      <c r="Y1159" s="40" t="s">
        <v>714</v>
      </c>
      <c r="Z1159" s="40" t="s">
        <v>739</v>
      </c>
      <c r="AA1159" s="40" t="s">
        <v>671</v>
      </c>
      <c r="AB1159" s="41" t="s">
        <v>3348</v>
      </c>
      <c r="AC1159" s="519">
        <f t="shared" si="119"/>
        <v>6753.81</v>
      </c>
      <c r="AD1159" s="517" t="s">
        <v>1519</v>
      </c>
      <c r="AE1159" s="517" t="s">
        <v>13556</v>
      </c>
      <c r="AF1159" s="517" t="s">
        <v>295</v>
      </c>
      <c r="AG1159" s="520" t="s">
        <v>3339</v>
      </c>
      <c r="AH1159" s="67">
        <f t="shared" si="120"/>
        <v>6753.81</v>
      </c>
      <c r="AI1159" s="10"/>
      <c r="AJ1159" s="9">
        <f t="shared" si="113"/>
        <v>0</v>
      </c>
      <c r="AK1159" s="10"/>
      <c r="AL1159" s="10"/>
    </row>
    <row r="1160" spans="1:38" ht="45" hidden="1">
      <c r="A1160" s="1">
        <f t="shared" si="112"/>
        <v>0</v>
      </c>
      <c r="B1160" s="2" t="s">
        <v>3349</v>
      </c>
      <c r="C1160" s="3" t="s">
        <v>3350</v>
      </c>
      <c r="D1160" s="15" t="s">
        <v>11699</v>
      </c>
      <c r="E1160" s="4" t="s">
        <v>3349</v>
      </c>
      <c r="F1160" s="37" t="s">
        <v>3350</v>
      </c>
      <c r="G1160" s="38">
        <v>92997.34</v>
      </c>
      <c r="H1160" s="38">
        <v>1835.84</v>
      </c>
      <c r="I1160" s="15"/>
      <c r="J1160" s="494">
        <v>20405060401</v>
      </c>
      <c r="K1160" s="517" t="s">
        <v>1519</v>
      </c>
      <c r="L1160" s="517" t="s">
        <v>13556</v>
      </c>
      <c r="M1160" s="517" t="s">
        <v>295</v>
      </c>
      <c r="N1160" s="518" t="s">
        <v>3339</v>
      </c>
      <c r="O1160" s="517">
        <v>2</v>
      </c>
      <c r="P1160" s="517" t="s">
        <v>693</v>
      </c>
      <c r="Q1160" s="517" t="s">
        <v>714</v>
      </c>
      <c r="R1160" s="517" t="s">
        <v>739</v>
      </c>
      <c r="S1160" s="517" t="s">
        <v>693</v>
      </c>
      <c r="T1160" s="518" t="s">
        <v>3351</v>
      </c>
      <c r="U1160" s="38">
        <v>1835.84</v>
      </c>
      <c r="V1160" s="15" t="str">
        <f t="shared" si="118"/>
        <v>204050604</v>
      </c>
      <c r="W1160" s="39">
        <v>2</v>
      </c>
      <c r="X1160" s="40" t="s">
        <v>693</v>
      </c>
      <c r="Y1160" s="40" t="s">
        <v>714</v>
      </c>
      <c r="Z1160" s="40" t="s">
        <v>739</v>
      </c>
      <c r="AA1160" s="40" t="s">
        <v>693</v>
      </c>
      <c r="AB1160" s="41" t="s">
        <v>3351</v>
      </c>
      <c r="AC1160" s="519">
        <f t="shared" si="119"/>
        <v>1835.84</v>
      </c>
      <c r="AD1160" s="517" t="s">
        <v>1519</v>
      </c>
      <c r="AE1160" s="517" t="s">
        <v>13556</v>
      </c>
      <c r="AF1160" s="517" t="s">
        <v>295</v>
      </c>
      <c r="AG1160" s="520" t="s">
        <v>3339</v>
      </c>
      <c r="AH1160" s="67">
        <f t="shared" si="120"/>
        <v>1835.84</v>
      </c>
      <c r="AI1160" s="10"/>
      <c r="AJ1160" s="9">
        <f t="shared" si="113"/>
        <v>0</v>
      </c>
      <c r="AK1160" s="10"/>
      <c r="AL1160" s="10"/>
    </row>
    <row r="1161" spans="1:38" ht="45" hidden="1">
      <c r="A1161" s="1">
        <f t="shared" si="112"/>
        <v>0</v>
      </c>
      <c r="B1161" s="2" t="s">
        <v>3352</v>
      </c>
      <c r="C1161" s="3" t="s">
        <v>3353</v>
      </c>
      <c r="D1161" s="15" t="s">
        <v>11700</v>
      </c>
      <c r="E1161" s="4" t="s">
        <v>3352</v>
      </c>
      <c r="F1161" s="37" t="s">
        <v>3353</v>
      </c>
      <c r="G1161" s="38">
        <v>23840.35</v>
      </c>
      <c r="H1161" s="38">
        <v>23752.58</v>
      </c>
      <c r="I1161" s="15"/>
      <c r="J1161" s="494">
        <v>20405060501</v>
      </c>
      <c r="K1161" s="517" t="s">
        <v>1519</v>
      </c>
      <c r="L1161" s="517" t="s">
        <v>13556</v>
      </c>
      <c r="M1161" s="517" t="s">
        <v>295</v>
      </c>
      <c r="N1161" s="518" t="s">
        <v>3339</v>
      </c>
      <c r="O1161" s="517">
        <v>2</v>
      </c>
      <c r="P1161" s="517" t="s">
        <v>693</v>
      </c>
      <c r="Q1161" s="517" t="s">
        <v>714</v>
      </c>
      <c r="R1161" s="517" t="s">
        <v>739</v>
      </c>
      <c r="S1161" s="517" t="s">
        <v>714</v>
      </c>
      <c r="T1161" s="518" t="s">
        <v>3354</v>
      </c>
      <c r="U1161" s="38">
        <v>23752.58</v>
      </c>
      <c r="V1161" s="15" t="str">
        <f t="shared" si="118"/>
        <v>204050605</v>
      </c>
      <c r="W1161" s="39">
        <v>2</v>
      </c>
      <c r="X1161" s="40" t="s">
        <v>693</v>
      </c>
      <c r="Y1161" s="40" t="s">
        <v>714</v>
      </c>
      <c r="Z1161" s="40" t="s">
        <v>739</v>
      </c>
      <c r="AA1161" s="40" t="s">
        <v>714</v>
      </c>
      <c r="AB1161" s="41" t="s">
        <v>3354</v>
      </c>
      <c r="AC1161" s="519">
        <f t="shared" si="119"/>
        <v>23752.58</v>
      </c>
      <c r="AD1161" s="517" t="s">
        <v>1519</v>
      </c>
      <c r="AE1161" s="517" t="s">
        <v>13556</v>
      </c>
      <c r="AF1161" s="517" t="s">
        <v>295</v>
      </c>
      <c r="AG1161" s="520" t="s">
        <v>3339</v>
      </c>
      <c r="AH1161" s="67">
        <f t="shared" si="120"/>
        <v>23752.58</v>
      </c>
      <c r="AI1161" s="10"/>
      <c r="AJ1161" s="9">
        <f t="shared" si="113"/>
        <v>0</v>
      </c>
      <c r="AK1161" s="10"/>
      <c r="AL1161" s="10"/>
    </row>
    <row r="1162" spans="1:38" ht="45" hidden="1">
      <c r="A1162" s="1">
        <f t="shared" si="112"/>
        <v>0</v>
      </c>
      <c r="B1162" s="2" t="s">
        <v>3355</v>
      </c>
      <c r="C1162" s="3" t="s">
        <v>3356</v>
      </c>
      <c r="D1162" s="15" t="s">
        <v>11701</v>
      </c>
      <c r="E1162" s="4" t="s">
        <v>3355</v>
      </c>
      <c r="F1162" s="37" t="s">
        <v>3356</v>
      </c>
      <c r="G1162" s="38">
        <v>1210197.56</v>
      </c>
      <c r="H1162" s="38">
        <v>1210787.7</v>
      </c>
      <c r="I1162" s="15"/>
      <c r="J1162" s="494">
        <v>20405060601</v>
      </c>
      <c r="K1162" s="517" t="s">
        <v>1519</v>
      </c>
      <c r="L1162" s="517" t="s">
        <v>13556</v>
      </c>
      <c r="M1162" s="517" t="s">
        <v>295</v>
      </c>
      <c r="N1162" s="518" t="s">
        <v>3339</v>
      </c>
      <c r="O1162" s="517">
        <v>2</v>
      </c>
      <c r="P1162" s="517" t="s">
        <v>693</v>
      </c>
      <c r="Q1162" s="517" t="s">
        <v>714</v>
      </c>
      <c r="R1162" s="517" t="s">
        <v>739</v>
      </c>
      <c r="S1162" s="517" t="s">
        <v>739</v>
      </c>
      <c r="T1162" s="518" t="s">
        <v>3357</v>
      </c>
      <c r="U1162" s="38">
        <v>1210787.7</v>
      </c>
      <c r="V1162" s="15" t="str">
        <f t="shared" si="118"/>
        <v>204050606</v>
      </c>
      <c r="W1162" s="39">
        <v>2</v>
      </c>
      <c r="X1162" s="40" t="s">
        <v>693</v>
      </c>
      <c r="Y1162" s="40" t="s">
        <v>714</v>
      </c>
      <c r="Z1162" s="40" t="s">
        <v>739</v>
      </c>
      <c r="AA1162" s="40" t="s">
        <v>739</v>
      </c>
      <c r="AB1162" s="41" t="s">
        <v>3357</v>
      </c>
      <c r="AC1162" s="519">
        <f t="shared" si="119"/>
        <v>1210787.7</v>
      </c>
      <c r="AD1162" s="517" t="s">
        <v>1519</v>
      </c>
      <c r="AE1162" s="517" t="s">
        <v>13556</v>
      </c>
      <c r="AF1162" s="517" t="s">
        <v>295</v>
      </c>
      <c r="AG1162" s="520" t="s">
        <v>3339</v>
      </c>
      <c r="AH1162" s="67">
        <f t="shared" si="120"/>
        <v>1210787.7</v>
      </c>
      <c r="AI1162" s="10"/>
      <c r="AJ1162" s="9">
        <f t="shared" si="113"/>
        <v>0</v>
      </c>
      <c r="AK1162" s="10"/>
      <c r="AL1162" s="10"/>
    </row>
    <row r="1163" spans="1:38" ht="45" hidden="1">
      <c r="A1163" s="1">
        <f t="shared" si="112"/>
        <v>0</v>
      </c>
      <c r="B1163" s="2" t="s">
        <v>3358</v>
      </c>
      <c r="C1163" s="3" t="s">
        <v>3359</v>
      </c>
      <c r="D1163" s="15" t="s">
        <v>11702</v>
      </c>
      <c r="E1163" s="4" t="s">
        <v>3358</v>
      </c>
      <c r="F1163" s="37" t="s">
        <v>3359</v>
      </c>
      <c r="G1163" s="38">
        <v>10436.86</v>
      </c>
      <c r="H1163" s="38">
        <v>0</v>
      </c>
      <c r="I1163" s="15"/>
      <c r="J1163" s="494">
        <v>20405060701</v>
      </c>
      <c r="K1163" s="517" t="s">
        <v>1519</v>
      </c>
      <c r="L1163" s="517" t="s">
        <v>13556</v>
      </c>
      <c r="M1163" s="517" t="s">
        <v>295</v>
      </c>
      <c r="N1163" s="518" t="s">
        <v>3339</v>
      </c>
      <c r="O1163" s="517">
        <v>2</v>
      </c>
      <c r="P1163" s="517" t="s">
        <v>693</v>
      </c>
      <c r="Q1163" s="517" t="s">
        <v>714</v>
      </c>
      <c r="R1163" s="517" t="s">
        <v>739</v>
      </c>
      <c r="S1163" s="517" t="s">
        <v>755</v>
      </c>
      <c r="T1163" s="518" t="s">
        <v>3360</v>
      </c>
      <c r="U1163" s="38">
        <v>0</v>
      </c>
      <c r="V1163" s="15" t="str">
        <f t="shared" si="118"/>
        <v>204050607</v>
      </c>
      <c r="W1163" s="39">
        <v>2</v>
      </c>
      <c r="X1163" s="40" t="s">
        <v>693</v>
      </c>
      <c r="Y1163" s="40" t="s">
        <v>714</v>
      </c>
      <c r="Z1163" s="40" t="s">
        <v>739</v>
      </c>
      <c r="AA1163" s="40" t="s">
        <v>755</v>
      </c>
      <c r="AB1163" s="41" t="s">
        <v>3360</v>
      </c>
      <c r="AC1163" s="519">
        <f t="shared" si="119"/>
        <v>0</v>
      </c>
      <c r="AD1163" s="517" t="s">
        <v>1519</v>
      </c>
      <c r="AE1163" s="517" t="s">
        <v>13556</v>
      </c>
      <c r="AF1163" s="517" t="s">
        <v>295</v>
      </c>
      <c r="AG1163" s="520" t="s">
        <v>3339</v>
      </c>
      <c r="AH1163" s="67">
        <f t="shared" si="120"/>
        <v>0</v>
      </c>
      <c r="AI1163" s="10"/>
      <c r="AJ1163" s="9">
        <f t="shared" si="113"/>
        <v>0</v>
      </c>
      <c r="AK1163" s="10"/>
      <c r="AL1163" s="10"/>
    </row>
    <row r="1164" spans="1:38" ht="45" hidden="1">
      <c r="A1164" s="1">
        <f t="shared" si="112"/>
        <v>0</v>
      </c>
      <c r="B1164" s="2" t="s">
        <v>3361</v>
      </c>
      <c r="C1164" s="3" t="s">
        <v>3362</v>
      </c>
      <c r="D1164" s="15" t="s">
        <v>11703</v>
      </c>
      <c r="E1164" s="4" t="s">
        <v>3361</v>
      </c>
      <c r="F1164" s="37" t="s">
        <v>3362</v>
      </c>
      <c r="G1164" s="38">
        <v>2644.49</v>
      </c>
      <c r="H1164" s="38">
        <v>2644.49</v>
      </c>
      <c r="I1164" s="15"/>
      <c r="J1164" s="494">
        <v>20405060801</v>
      </c>
      <c r="K1164" s="517" t="s">
        <v>1519</v>
      </c>
      <c r="L1164" s="517" t="s">
        <v>13556</v>
      </c>
      <c r="M1164" s="517" t="s">
        <v>295</v>
      </c>
      <c r="N1164" s="518" t="s">
        <v>3339</v>
      </c>
      <c r="O1164" s="517">
        <v>2</v>
      </c>
      <c r="P1164" s="517" t="s">
        <v>693</v>
      </c>
      <c r="Q1164" s="517" t="s">
        <v>714</v>
      </c>
      <c r="R1164" s="517" t="s">
        <v>739</v>
      </c>
      <c r="S1164" s="517" t="s">
        <v>766</v>
      </c>
      <c r="T1164" s="518" t="s">
        <v>3363</v>
      </c>
      <c r="U1164" s="38">
        <v>2644.49</v>
      </c>
      <c r="V1164" s="15" t="str">
        <f t="shared" si="118"/>
        <v>204050608</v>
      </c>
      <c r="W1164" s="39">
        <v>2</v>
      </c>
      <c r="X1164" s="40" t="s">
        <v>693</v>
      </c>
      <c r="Y1164" s="40" t="s">
        <v>714</v>
      </c>
      <c r="Z1164" s="40" t="s">
        <v>739</v>
      </c>
      <c r="AA1164" s="40" t="s">
        <v>766</v>
      </c>
      <c r="AB1164" s="41" t="s">
        <v>3363</v>
      </c>
      <c r="AC1164" s="519">
        <f t="shared" si="119"/>
        <v>2644.49</v>
      </c>
      <c r="AD1164" s="517" t="s">
        <v>1519</v>
      </c>
      <c r="AE1164" s="517" t="s">
        <v>13556</v>
      </c>
      <c r="AF1164" s="517" t="s">
        <v>295</v>
      </c>
      <c r="AG1164" s="520" t="s">
        <v>3339</v>
      </c>
      <c r="AH1164" s="67">
        <f t="shared" si="120"/>
        <v>2644.49</v>
      </c>
      <c r="AI1164" s="10"/>
      <c r="AJ1164" s="9">
        <f t="shared" si="113"/>
        <v>0</v>
      </c>
      <c r="AK1164" s="10"/>
      <c r="AL1164" s="10"/>
    </row>
    <row r="1165" spans="1:38" ht="45" hidden="1">
      <c r="A1165" s="1">
        <f t="shared" si="112"/>
        <v>0</v>
      </c>
      <c r="B1165" s="2" t="s">
        <v>3364</v>
      </c>
      <c r="C1165" s="3" t="s">
        <v>3365</v>
      </c>
      <c r="D1165" s="15" t="s">
        <v>11704</v>
      </c>
      <c r="E1165" s="4" t="s">
        <v>3364</v>
      </c>
      <c r="F1165" s="37" t="s">
        <v>3365</v>
      </c>
      <c r="G1165" s="38">
        <v>125678.1</v>
      </c>
      <c r="H1165" s="38">
        <v>111159.6</v>
      </c>
      <c r="I1165" s="15"/>
      <c r="J1165" s="494">
        <v>20405060901</v>
      </c>
      <c r="K1165" s="517" t="s">
        <v>1519</v>
      </c>
      <c r="L1165" s="517" t="s">
        <v>13556</v>
      </c>
      <c r="M1165" s="517" t="s">
        <v>295</v>
      </c>
      <c r="N1165" s="518" t="s">
        <v>3339</v>
      </c>
      <c r="O1165" s="517">
        <v>2</v>
      </c>
      <c r="P1165" s="517" t="s">
        <v>693</v>
      </c>
      <c r="Q1165" s="517" t="s">
        <v>714</v>
      </c>
      <c r="R1165" s="517" t="s">
        <v>739</v>
      </c>
      <c r="S1165" s="517" t="s">
        <v>779</v>
      </c>
      <c r="T1165" s="518" t="s">
        <v>3366</v>
      </c>
      <c r="U1165" s="38">
        <v>111159.6</v>
      </c>
      <c r="V1165" s="15" t="str">
        <f t="shared" si="118"/>
        <v>204050609</v>
      </c>
      <c r="W1165" s="39">
        <v>2</v>
      </c>
      <c r="X1165" s="40" t="s">
        <v>693</v>
      </c>
      <c r="Y1165" s="40" t="s">
        <v>714</v>
      </c>
      <c r="Z1165" s="40" t="s">
        <v>739</v>
      </c>
      <c r="AA1165" s="40" t="s">
        <v>779</v>
      </c>
      <c r="AB1165" s="41" t="s">
        <v>3366</v>
      </c>
      <c r="AC1165" s="519">
        <f t="shared" si="119"/>
        <v>111159.6</v>
      </c>
      <c r="AD1165" s="517" t="s">
        <v>1519</v>
      </c>
      <c r="AE1165" s="517" t="s">
        <v>13556</v>
      </c>
      <c r="AF1165" s="517" t="s">
        <v>295</v>
      </c>
      <c r="AG1165" s="520" t="s">
        <v>3339</v>
      </c>
      <c r="AH1165" s="67">
        <f t="shared" si="120"/>
        <v>111159.6</v>
      </c>
      <c r="AI1165" s="10"/>
      <c r="AJ1165" s="9">
        <f t="shared" si="113"/>
        <v>0</v>
      </c>
      <c r="AK1165" s="10"/>
      <c r="AL1165" s="10"/>
    </row>
    <row r="1166" spans="1:38" ht="45" hidden="1">
      <c r="A1166" s="1">
        <f t="shared" si="112"/>
        <v>0</v>
      </c>
      <c r="B1166" s="2" t="s">
        <v>3367</v>
      </c>
      <c r="C1166" s="3" t="s">
        <v>3368</v>
      </c>
      <c r="D1166" s="15" t="s">
        <v>11705</v>
      </c>
      <c r="E1166" s="4" t="s">
        <v>3367</v>
      </c>
      <c r="F1166" s="37" t="s">
        <v>3368</v>
      </c>
      <c r="G1166" s="38">
        <v>2717</v>
      </c>
      <c r="H1166" s="38">
        <v>2717</v>
      </c>
      <c r="I1166" s="15"/>
      <c r="J1166" s="494">
        <v>20405061001</v>
      </c>
      <c r="K1166" s="517" t="s">
        <v>1519</v>
      </c>
      <c r="L1166" s="517" t="s">
        <v>13556</v>
      </c>
      <c r="M1166" s="517" t="s">
        <v>295</v>
      </c>
      <c r="N1166" s="518" t="s">
        <v>3339</v>
      </c>
      <c r="O1166" s="517">
        <v>2</v>
      </c>
      <c r="P1166" s="517" t="s">
        <v>693</v>
      </c>
      <c r="Q1166" s="517" t="s">
        <v>714</v>
      </c>
      <c r="R1166" s="517" t="s">
        <v>739</v>
      </c>
      <c r="S1166" s="517" t="s">
        <v>1225</v>
      </c>
      <c r="T1166" s="518" t="s">
        <v>3369</v>
      </c>
      <c r="U1166" s="38">
        <v>2717</v>
      </c>
      <c r="V1166" s="15" t="str">
        <f t="shared" si="118"/>
        <v>204050610</v>
      </c>
      <c r="W1166" s="39">
        <v>2</v>
      </c>
      <c r="X1166" s="40" t="s">
        <v>693</v>
      </c>
      <c r="Y1166" s="40" t="s">
        <v>714</v>
      </c>
      <c r="Z1166" s="40" t="s">
        <v>739</v>
      </c>
      <c r="AA1166" s="40" t="s">
        <v>1225</v>
      </c>
      <c r="AB1166" s="41" t="s">
        <v>3369</v>
      </c>
      <c r="AC1166" s="519">
        <f t="shared" si="119"/>
        <v>2717</v>
      </c>
      <c r="AD1166" s="517" t="s">
        <v>1519</v>
      </c>
      <c r="AE1166" s="517" t="s">
        <v>13556</v>
      </c>
      <c r="AF1166" s="517" t="s">
        <v>295</v>
      </c>
      <c r="AG1166" s="520" t="s">
        <v>3339</v>
      </c>
      <c r="AH1166" s="67">
        <f t="shared" si="120"/>
        <v>2717</v>
      </c>
      <c r="AI1166" s="10"/>
      <c r="AJ1166" s="9">
        <f t="shared" si="113"/>
        <v>0</v>
      </c>
      <c r="AK1166" s="10"/>
      <c r="AL1166" s="10"/>
    </row>
    <row r="1167" spans="1:38" ht="45" hidden="1">
      <c r="A1167" s="1">
        <f t="shared" si="112"/>
        <v>0</v>
      </c>
      <c r="B1167" s="2" t="s">
        <v>3370</v>
      </c>
      <c r="C1167" s="3" t="s">
        <v>3371</v>
      </c>
      <c r="D1167" s="15" t="s">
        <v>11706</v>
      </c>
      <c r="E1167" s="4" t="s">
        <v>3370</v>
      </c>
      <c r="F1167" s="37" t="s">
        <v>3371</v>
      </c>
      <c r="G1167" s="38">
        <v>0</v>
      </c>
      <c r="H1167" s="38">
        <v>0</v>
      </c>
      <c r="I1167" s="15"/>
      <c r="J1167" s="494">
        <v>20405061101</v>
      </c>
      <c r="K1167" s="517" t="s">
        <v>1519</v>
      </c>
      <c r="L1167" s="517" t="s">
        <v>13556</v>
      </c>
      <c r="M1167" s="517" t="s">
        <v>295</v>
      </c>
      <c r="N1167" s="518" t="s">
        <v>3339</v>
      </c>
      <c r="O1167" s="517">
        <v>2</v>
      </c>
      <c r="P1167" s="517" t="s">
        <v>693</v>
      </c>
      <c r="Q1167" s="517" t="s">
        <v>714</v>
      </c>
      <c r="R1167" s="517" t="s">
        <v>739</v>
      </c>
      <c r="S1167" s="517" t="s">
        <v>1229</v>
      </c>
      <c r="T1167" s="518" t="s">
        <v>3372</v>
      </c>
      <c r="U1167" s="38">
        <v>0</v>
      </c>
      <c r="V1167" s="15" t="str">
        <f t="shared" si="118"/>
        <v>204050611</v>
      </c>
      <c r="W1167" s="39">
        <v>2</v>
      </c>
      <c r="X1167" s="40" t="s">
        <v>693</v>
      </c>
      <c r="Y1167" s="40" t="s">
        <v>714</v>
      </c>
      <c r="Z1167" s="40" t="s">
        <v>739</v>
      </c>
      <c r="AA1167" s="40" t="s">
        <v>1229</v>
      </c>
      <c r="AB1167" s="41" t="s">
        <v>3372</v>
      </c>
      <c r="AC1167" s="519">
        <f t="shared" si="119"/>
        <v>0</v>
      </c>
      <c r="AD1167" s="517" t="s">
        <v>1519</v>
      </c>
      <c r="AE1167" s="517" t="s">
        <v>13556</v>
      </c>
      <c r="AF1167" s="517" t="s">
        <v>295</v>
      </c>
      <c r="AG1167" s="520" t="s">
        <v>3339</v>
      </c>
      <c r="AH1167" s="67">
        <f t="shared" si="120"/>
        <v>0</v>
      </c>
      <c r="AI1167" s="10"/>
      <c r="AJ1167" s="9">
        <f t="shared" si="113"/>
        <v>0</v>
      </c>
      <c r="AK1167" s="10"/>
      <c r="AL1167" s="10"/>
    </row>
    <row r="1168" spans="1:38" ht="45" hidden="1">
      <c r="A1168" s="1">
        <f t="shared" si="112"/>
        <v>0</v>
      </c>
      <c r="B1168" s="2" t="s">
        <v>3373</v>
      </c>
      <c r="C1168" s="3" t="s">
        <v>3374</v>
      </c>
      <c r="D1168" s="15" t="s">
        <v>11707</v>
      </c>
      <c r="E1168" s="4" t="s">
        <v>3373</v>
      </c>
      <c r="F1168" s="37" t="s">
        <v>3374</v>
      </c>
      <c r="G1168" s="38">
        <v>46942.67</v>
      </c>
      <c r="H1168" s="38">
        <v>9308.67</v>
      </c>
      <c r="I1168" s="15"/>
      <c r="J1168" s="494">
        <v>20405061201</v>
      </c>
      <c r="K1168" s="517" t="s">
        <v>1519</v>
      </c>
      <c r="L1168" s="517" t="s">
        <v>13556</v>
      </c>
      <c r="M1168" s="517" t="s">
        <v>295</v>
      </c>
      <c r="N1168" s="518" t="s">
        <v>3339</v>
      </c>
      <c r="O1168" s="517">
        <v>2</v>
      </c>
      <c r="P1168" s="517" t="s">
        <v>693</v>
      </c>
      <c r="Q1168" s="517" t="s">
        <v>714</v>
      </c>
      <c r="R1168" s="517" t="s">
        <v>739</v>
      </c>
      <c r="S1168" s="517" t="s">
        <v>1243</v>
      </c>
      <c r="T1168" s="518" t="s">
        <v>3375</v>
      </c>
      <c r="U1168" s="38">
        <v>9308.67</v>
      </c>
      <c r="V1168" s="15" t="str">
        <f t="shared" si="118"/>
        <v>204050612</v>
      </c>
      <c r="W1168" s="39">
        <v>2</v>
      </c>
      <c r="X1168" s="40" t="s">
        <v>693</v>
      </c>
      <c r="Y1168" s="40" t="s">
        <v>714</v>
      </c>
      <c r="Z1168" s="40" t="s">
        <v>739</v>
      </c>
      <c r="AA1168" s="40" t="s">
        <v>1243</v>
      </c>
      <c r="AB1168" s="41" t="s">
        <v>3375</v>
      </c>
      <c r="AC1168" s="519">
        <f t="shared" si="119"/>
        <v>9308.67</v>
      </c>
      <c r="AD1168" s="517" t="s">
        <v>1519</v>
      </c>
      <c r="AE1168" s="517" t="s">
        <v>13556</v>
      </c>
      <c r="AF1168" s="517" t="s">
        <v>295</v>
      </c>
      <c r="AG1168" s="520" t="s">
        <v>3339</v>
      </c>
      <c r="AH1168" s="67">
        <f t="shared" si="120"/>
        <v>9308.67</v>
      </c>
      <c r="AI1168" s="10"/>
      <c r="AJ1168" s="9">
        <f t="shared" si="113"/>
        <v>0</v>
      </c>
      <c r="AK1168" s="10"/>
      <c r="AL1168" s="10"/>
    </row>
    <row r="1169" spans="1:38" ht="45" hidden="1">
      <c r="A1169" s="1">
        <f t="shared" si="112"/>
        <v>0</v>
      </c>
      <c r="B1169" s="2" t="s">
        <v>3376</v>
      </c>
      <c r="C1169" s="3" t="s">
        <v>3377</v>
      </c>
      <c r="D1169" s="15" t="s">
        <v>11708</v>
      </c>
      <c r="E1169" s="4" t="s">
        <v>3376</v>
      </c>
      <c r="F1169" s="37" t="s">
        <v>3377</v>
      </c>
      <c r="G1169" s="38">
        <v>42260.160000000003</v>
      </c>
      <c r="H1169" s="38">
        <v>42260.160000000003</v>
      </c>
      <c r="I1169" s="15"/>
      <c r="J1169" s="494">
        <v>20405061301</v>
      </c>
      <c r="K1169" s="517" t="s">
        <v>1519</v>
      </c>
      <c r="L1169" s="517" t="s">
        <v>13556</v>
      </c>
      <c r="M1169" s="517" t="s">
        <v>295</v>
      </c>
      <c r="N1169" s="518" t="s">
        <v>3339</v>
      </c>
      <c r="O1169" s="517">
        <v>2</v>
      </c>
      <c r="P1169" s="517" t="s">
        <v>693</v>
      </c>
      <c r="Q1169" s="517" t="s">
        <v>714</v>
      </c>
      <c r="R1169" s="517" t="s">
        <v>739</v>
      </c>
      <c r="S1169" s="517" t="s">
        <v>1247</v>
      </c>
      <c r="T1169" s="518" t="s">
        <v>3378</v>
      </c>
      <c r="U1169" s="38">
        <v>42260.160000000003</v>
      </c>
      <c r="V1169" s="15" t="str">
        <f t="shared" si="118"/>
        <v>204050613</v>
      </c>
      <c r="W1169" s="39">
        <v>2</v>
      </c>
      <c r="X1169" s="40" t="s">
        <v>693</v>
      </c>
      <c r="Y1169" s="40" t="s">
        <v>714</v>
      </c>
      <c r="Z1169" s="40" t="s">
        <v>739</v>
      </c>
      <c r="AA1169" s="40" t="s">
        <v>1247</v>
      </c>
      <c r="AB1169" s="41" t="s">
        <v>3378</v>
      </c>
      <c r="AC1169" s="519">
        <f t="shared" si="119"/>
        <v>42260.160000000003</v>
      </c>
      <c r="AD1169" s="517" t="s">
        <v>1519</v>
      </c>
      <c r="AE1169" s="517" t="s">
        <v>13556</v>
      </c>
      <c r="AF1169" s="517" t="s">
        <v>295</v>
      </c>
      <c r="AG1169" s="520" t="s">
        <v>3339</v>
      </c>
      <c r="AH1169" s="67">
        <f t="shared" si="120"/>
        <v>42260.160000000003</v>
      </c>
      <c r="AI1169" s="10"/>
      <c r="AJ1169" s="9">
        <f t="shared" si="113"/>
        <v>0</v>
      </c>
      <c r="AK1169" s="10"/>
      <c r="AL1169" s="10"/>
    </row>
    <row r="1170" spans="1:38" ht="45" hidden="1">
      <c r="A1170" s="1">
        <f t="shared" si="112"/>
        <v>0</v>
      </c>
      <c r="B1170" s="2" t="s">
        <v>3379</v>
      </c>
      <c r="C1170" s="3" t="s">
        <v>3380</v>
      </c>
      <c r="D1170" s="15" t="s">
        <v>11709</v>
      </c>
      <c r="E1170" s="4" t="s">
        <v>3379</v>
      </c>
      <c r="F1170" s="37" t="s">
        <v>3380</v>
      </c>
      <c r="G1170" s="38">
        <v>42324.9</v>
      </c>
      <c r="H1170" s="38">
        <v>42324.9</v>
      </c>
      <c r="I1170" s="15"/>
      <c r="J1170" s="494">
        <v>20405061401</v>
      </c>
      <c r="K1170" s="517" t="s">
        <v>1519</v>
      </c>
      <c r="L1170" s="517" t="s">
        <v>13556</v>
      </c>
      <c r="M1170" s="517" t="s">
        <v>295</v>
      </c>
      <c r="N1170" s="518" t="s">
        <v>3339</v>
      </c>
      <c r="O1170" s="517">
        <v>2</v>
      </c>
      <c r="P1170" s="517" t="s">
        <v>693</v>
      </c>
      <c r="Q1170" s="517" t="s">
        <v>714</v>
      </c>
      <c r="R1170" s="517" t="s">
        <v>739</v>
      </c>
      <c r="S1170" s="517" t="s">
        <v>1253</v>
      </c>
      <c r="T1170" s="518" t="s">
        <v>3381</v>
      </c>
      <c r="U1170" s="38">
        <v>42324.9</v>
      </c>
      <c r="V1170" s="15" t="str">
        <f t="shared" si="118"/>
        <v>204050614</v>
      </c>
      <c r="W1170" s="39">
        <v>2</v>
      </c>
      <c r="X1170" s="40" t="s">
        <v>693</v>
      </c>
      <c r="Y1170" s="40" t="s">
        <v>714</v>
      </c>
      <c r="Z1170" s="40" t="s">
        <v>739</v>
      </c>
      <c r="AA1170" s="40" t="s">
        <v>1253</v>
      </c>
      <c r="AB1170" s="41" t="s">
        <v>3381</v>
      </c>
      <c r="AC1170" s="519">
        <f t="shared" si="119"/>
        <v>42324.9</v>
      </c>
      <c r="AD1170" s="517" t="s">
        <v>1519</v>
      </c>
      <c r="AE1170" s="517" t="s">
        <v>13556</v>
      </c>
      <c r="AF1170" s="517" t="s">
        <v>295</v>
      </c>
      <c r="AG1170" s="520" t="s">
        <v>3339</v>
      </c>
      <c r="AH1170" s="67">
        <f t="shared" si="120"/>
        <v>42324.9</v>
      </c>
      <c r="AI1170" s="10"/>
      <c r="AJ1170" s="9">
        <f t="shared" si="113"/>
        <v>0</v>
      </c>
      <c r="AK1170" s="10"/>
      <c r="AL1170" s="10"/>
    </row>
    <row r="1171" spans="1:38" ht="45" hidden="1">
      <c r="A1171" s="1">
        <f t="shared" si="112"/>
        <v>0</v>
      </c>
      <c r="B1171" s="2" t="s">
        <v>3382</v>
      </c>
      <c r="C1171" s="3" t="s">
        <v>3383</v>
      </c>
      <c r="D1171" s="15" t="s">
        <v>11710</v>
      </c>
      <c r="E1171" s="4" t="s">
        <v>3382</v>
      </c>
      <c r="F1171" s="37" t="s">
        <v>3383</v>
      </c>
      <c r="G1171" s="38">
        <v>3490415.9</v>
      </c>
      <c r="H1171" s="38">
        <v>3417419.47</v>
      </c>
      <c r="I1171" s="15"/>
      <c r="J1171" s="494">
        <v>20405061501</v>
      </c>
      <c r="K1171" s="517" t="s">
        <v>1519</v>
      </c>
      <c r="L1171" s="517" t="s">
        <v>13556</v>
      </c>
      <c r="M1171" s="517" t="s">
        <v>295</v>
      </c>
      <c r="N1171" s="518" t="s">
        <v>3339</v>
      </c>
      <c r="O1171" s="517">
        <v>2</v>
      </c>
      <c r="P1171" s="517" t="s">
        <v>693</v>
      </c>
      <c r="Q1171" s="517" t="s">
        <v>714</v>
      </c>
      <c r="R1171" s="517" t="s">
        <v>739</v>
      </c>
      <c r="S1171" s="517" t="s">
        <v>1257</v>
      </c>
      <c r="T1171" s="518" t="s">
        <v>3384</v>
      </c>
      <c r="U1171" s="38">
        <v>3417419.47</v>
      </c>
      <c r="V1171" s="15" t="str">
        <f t="shared" si="118"/>
        <v>204050615</v>
      </c>
      <c r="W1171" s="39">
        <v>2</v>
      </c>
      <c r="X1171" s="40" t="s">
        <v>693</v>
      </c>
      <c r="Y1171" s="40" t="s">
        <v>714</v>
      </c>
      <c r="Z1171" s="40" t="s">
        <v>739</v>
      </c>
      <c r="AA1171" s="40" t="s">
        <v>1257</v>
      </c>
      <c r="AB1171" s="41" t="s">
        <v>3384</v>
      </c>
      <c r="AC1171" s="519">
        <f t="shared" si="119"/>
        <v>3417419.47</v>
      </c>
      <c r="AD1171" s="517" t="s">
        <v>1519</v>
      </c>
      <c r="AE1171" s="517" t="s">
        <v>13556</v>
      </c>
      <c r="AF1171" s="517" t="s">
        <v>295</v>
      </c>
      <c r="AG1171" s="520" t="s">
        <v>3339</v>
      </c>
      <c r="AH1171" s="67">
        <f t="shared" si="120"/>
        <v>3417419.47</v>
      </c>
      <c r="AI1171" s="10"/>
      <c r="AJ1171" s="9">
        <f t="shared" si="113"/>
        <v>0</v>
      </c>
      <c r="AK1171" s="10"/>
      <c r="AL1171" s="10"/>
    </row>
    <row r="1172" spans="1:38" ht="45" hidden="1">
      <c r="A1172" s="1">
        <f t="shared" si="112"/>
        <v>0</v>
      </c>
      <c r="B1172" s="2" t="s">
        <v>3385</v>
      </c>
      <c r="C1172" s="3" t="s">
        <v>3386</v>
      </c>
      <c r="D1172" s="15" t="s">
        <v>11711</v>
      </c>
      <c r="E1172" s="4" t="s">
        <v>3385</v>
      </c>
      <c r="F1172" s="37" t="s">
        <v>3386</v>
      </c>
      <c r="G1172" s="38">
        <v>3200436.17</v>
      </c>
      <c r="H1172" s="38">
        <v>3208427.17</v>
      </c>
      <c r="I1172" s="15"/>
      <c r="J1172" s="494">
        <v>20405061601</v>
      </c>
      <c r="K1172" s="517" t="s">
        <v>1519</v>
      </c>
      <c r="L1172" s="517" t="s">
        <v>13556</v>
      </c>
      <c r="M1172" s="517" t="s">
        <v>295</v>
      </c>
      <c r="N1172" s="518" t="s">
        <v>3339</v>
      </c>
      <c r="O1172" s="517">
        <v>2</v>
      </c>
      <c r="P1172" s="517" t="s">
        <v>693</v>
      </c>
      <c r="Q1172" s="517" t="s">
        <v>714</v>
      </c>
      <c r="R1172" s="517" t="s">
        <v>739</v>
      </c>
      <c r="S1172" s="517" t="s">
        <v>1332</v>
      </c>
      <c r="T1172" s="518" t="s">
        <v>3387</v>
      </c>
      <c r="U1172" s="38">
        <v>3208427.17</v>
      </c>
      <c r="V1172" s="15" t="str">
        <f t="shared" si="118"/>
        <v>204050616</v>
      </c>
      <c r="W1172" s="39">
        <v>2</v>
      </c>
      <c r="X1172" s="40" t="s">
        <v>693</v>
      </c>
      <c r="Y1172" s="40" t="s">
        <v>714</v>
      </c>
      <c r="Z1172" s="40" t="s">
        <v>739</v>
      </c>
      <c r="AA1172" s="40" t="s">
        <v>1332</v>
      </c>
      <c r="AB1172" s="41" t="s">
        <v>3387</v>
      </c>
      <c r="AC1172" s="519">
        <f t="shared" si="119"/>
        <v>3208427.17</v>
      </c>
      <c r="AD1172" s="517" t="s">
        <v>1519</v>
      </c>
      <c r="AE1172" s="517" t="s">
        <v>13556</v>
      </c>
      <c r="AF1172" s="517" t="s">
        <v>295</v>
      </c>
      <c r="AG1172" s="520" t="s">
        <v>3339</v>
      </c>
      <c r="AH1172" s="67">
        <f t="shared" si="120"/>
        <v>3208427.17</v>
      </c>
      <c r="AI1172" s="10"/>
      <c r="AJ1172" s="9">
        <f t="shared" si="113"/>
        <v>0</v>
      </c>
      <c r="AK1172" s="10"/>
      <c r="AL1172" s="10"/>
    </row>
    <row r="1173" spans="1:38" ht="45" hidden="1">
      <c r="A1173" s="1">
        <f t="shared" ref="A1173:A1236" si="121">IF(E1173=B1173,0,1)</f>
        <v>0</v>
      </c>
      <c r="B1173" s="2" t="s">
        <v>3388</v>
      </c>
      <c r="C1173" s="3" t="s">
        <v>3389</v>
      </c>
      <c r="D1173" s="15" t="s">
        <v>11712</v>
      </c>
      <c r="E1173" s="4" t="s">
        <v>3388</v>
      </c>
      <c r="F1173" s="37" t="s">
        <v>3389</v>
      </c>
      <c r="G1173" s="38">
        <v>0</v>
      </c>
      <c r="H1173" s="38">
        <v>0</v>
      </c>
      <c r="I1173" s="15"/>
      <c r="J1173" s="494">
        <v>20405061701</v>
      </c>
      <c r="K1173" s="517" t="s">
        <v>1519</v>
      </c>
      <c r="L1173" s="517" t="s">
        <v>13556</v>
      </c>
      <c r="M1173" s="517" t="s">
        <v>295</v>
      </c>
      <c r="N1173" s="518" t="s">
        <v>3339</v>
      </c>
      <c r="O1173" s="517">
        <v>2</v>
      </c>
      <c r="P1173" s="517" t="s">
        <v>693</v>
      </c>
      <c r="Q1173" s="517" t="s">
        <v>714</v>
      </c>
      <c r="R1173" s="517" t="s">
        <v>739</v>
      </c>
      <c r="S1173" s="517" t="s">
        <v>1838</v>
      </c>
      <c r="T1173" s="518" t="s">
        <v>3390</v>
      </c>
      <c r="U1173" s="38">
        <v>0</v>
      </c>
      <c r="V1173" s="15" t="str">
        <f t="shared" si="118"/>
        <v>204050617</v>
      </c>
      <c r="W1173" s="39">
        <v>2</v>
      </c>
      <c r="X1173" s="40" t="s">
        <v>693</v>
      </c>
      <c r="Y1173" s="40" t="s">
        <v>714</v>
      </c>
      <c r="Z1173" s="40" t="s">
        <v>739</v>
      </c>
      <c r="AA1173" s="40" t="s">
        <v>1838</v>
      </c>
      <c r="AB1173" s="41" t="s">
        <v>3390</v>
      </c>
      <c r="AC1173" s="519">
        <f t="shared" si="119"/>
        <v>0</v>
      </c>
      <c r="AD1173" s="517" t="s">
        <v>1519</v>
      </c>
      <c r="AE1173" s="517" t="s">
        <v>13556</v>
      </c>
      <c r="AF1173" s="517" t="s">
        <v>295</v>
      </c>
      <c r="AG1173" s="520" t="s">
        <v>3339</v>
      </c>
      <c r="AH1173" s="67">
        <f t="shared" si="120"/>
        <v>0</v>
      </c>
      <c r="AI1173" s="10"/>
      <c r="AJ1173" s="9">
        <f t="shared" si="113"/>
        <v>0</v>
      </c>
      <c r="AK1173" s="10"/>
      <c r="AL1173" s="10"/>
    </row>
    <row r="1174" spans="1:38" ht="45" hidden="1">
      <c r="A1174" s="1">
        <f t="shared" si="121"/>
        <v>0</v>
      </c>
      <c r="B1174" s="2" t="s">
        <v>3391</v>
      </c>
      <c r="C1174" s="3" t="s">
        <v>3392</v>
      </c>
      <c r="D1174" s="15" t="s">
        <v>11713</v>
      </c>
      <c r="E1174" s="4" t="s">
        <v>3391</v>
      </c>
      <c r="F1174" s="37" t="s">
        <v>3392</v>
      </c>
      <c r="G1174" s="38">
        <v>0</v>
      </c>
      <c r="H1174" s="38">
        <v>0</v>
      </c>
      <c r="I1174" s="15"/>
      <c r="J1174" s="494">
        <v>20405061801</v>
      </c>
      <c r="K1174" s="517" t="s">
        <v>1519</v>
      </c>
      <c r="L1174" s="517" t="s">
        <v>13556</v>
      </c>
      <c r="M1174" s="517" t="s">
        <v>295</v>
      </c>
      <c r="N1174" s="518" t="s">
        <v>3339</v>
      </c>
      <c r="O1174" s="517">
        <v>2</v>
      </c>
      <c r="P1174" s="517" t="s">
        <v>693</v>
      </c>
      <c r="Q1174" s="517" t="s">
        <v>714</v>
      </c>
      <c r="R1174" s="517" t="s">
        <v>739</v>
      </c>
      <c r="S1174" s="517" t="s">
        <v>1842</v>
      </c>
      <c r="T1174" s="518" t="s">
        <v>3393</v>
      </c>
      <c r="U1174" s="38">
        <v>0</v>
      </c>
      <c r="V1174" s="15" t="str">
        <f t="shared" si="118"/>
        <v>204050618</v>
      </c>
      <c r="W1174" s="39">
        <v>2</v>
      </c>
      <c r="X1174" s="40" t="s">
        <v>693</v>
      </c>
      <c r="Y1174" s="40" t="s">
        <v>714</v>
      </c>
      <c r="Z1174" s="40" t="s">
        <v>739</v>
      </c>
      <c r="AA1174" s="40" t="s">
        <v>1842</v>
      </c>
      <c r="AB1174" s="41" t="s">
        <v>3393</v>
      </c>
      <c r="AC1174" s="519">
        <f t="shared" si="119"/>
        <v>0</v>
      </c>
      <c r="AD1174" s="517" t="s">
        <v>1519</v>
      </c>
      <c r="AE1174" s="517" t="s">
        <v>13556</v>
      </c>
      <c r="AF1174" s="517" t="s">
        <v>295</v>
      </c>
      <c r="AG1174" s="520" t="s">
        <v>3339</v>
      </c>
      <c r="AH1174" s="67">
        <f t="shared" si="120"/>
        <v>0</v>
      </c>
      <c r="AI1174" s="10"/>
      <c r="AJ1174" s="9">
        <f t="shared" si="113"/>
        <v>0</v>
      </c>
      <c r="AK1174" s="10"/>
      <c r="AL1174" s="10"/>
    </row>
    <row r="1175" spans="1:38" ht="45" hidden="1">
      <c r="A1175" s="1">
        <f t="shared" si="121"/>
        <v>0</v>
      </c>
      <c r="C1175" s="3" t="s">
        <v>3394</v>
      </c>
      <c r="D1175" s="15" t="s">
        <v>16</v>
      </c>
      <c r="E1175" s="30"/>
      <c r="F1175" s="31" t="s">
        <v>3394</v>
      </c>
      <c r="G1175" s="32">
        <f>SUM(G1176:G1193)</f>
        <v>0</v>
      </c>
      <c r="H1175" s="32">
        <f>SUM(H1176:H1193)</f>
        <v>0</v>
      </c>
      <c r="I1175" s="15"/>
      <c r="J1175" s="494"/>
      <c r="K1175" s="513"/>
      <c r="L1175" s="513"/>
      <c r="M1175" s="513"/>
      <c r="N1175" s="514"/>
      <c r="O1175" s="513"/>
      <c r="P1175" s="513"/>
      <c r="Q1175" s="513"/>
      <c r="R1175" s="513"/>
      <c r="S1175" s="513"/>
      <c r="T1175" s="514"/>
      <c r="U1175" s="32">
        <f>SUM(U1176:U1193)</f>
        <v>0</v>
      </c>
      <c r="V1175" s="15" t="str">
        <f t="shared" si="118"/>
        <v>204050900</v>
      </c>
      <c r="W1175" s="33">
        <v>2</v>
      </c>
      <c r="X1175" s="34" t="s">
        <v>693</v>
      </c>
      <c r="Y1175" s="34" t="s">
        <v>714</v>
      </c>
      <c r="Z1175" s="35" t="s">
        <v>779</v>
      </c>
      <c r="AA1175" s="35" t="s">
        <v>630</v>
      </c>
      <c r="AB1175" s="31" t="s">
        <v>3394</v>
      </c>
      <c r="AC1175" s="529">
        <f>SUM(AC1176:AC1193)</f>
        <v>0</v>
      </c>
      <c r="AD1175" s="513" t="s">
        <v>1422</v>
      </c>
      <c r="AE1175" s="513" t="s">
        <v>13557</v>
      </c>
      <c r="AF1175" s="513" t="s">
        <v>3395</v>
      </c>
      <c r="AG1175" s="514" t="s">
        <v>13558</v>
      </c>
      <c r="AH1175" s="44">
        <f>SUM(AH1176:AH1193)</f>
        <v>0</v>
      </c>
      <c r="AI1175" s="10"/>
      <c r="AJ1175" s="9">
        <f t="shared" si="113"/>
        <v>0</v>
      </c>
      <c r="AK1175" s="10"/>
      <c r="AL1175" s="10"/>
    </row>
    <row r="1176" spans="1:38" ht="45" hidden="1">
      <c r="A1176" s="1">
        <f t="shared" si="121"/>
        <v>0</v>
      </c>
      <c r="B1176" s="2" t="s">
        <v>3396</v>
      </c>
      <c r="C1176" s="3" t="s">
        <v>3397</v>
      </c>
      <c r="D1176" s="15" t="s">
        <v>11714</v>
      </c>
      <c r="E1176" s="4" t="s">
        <v>3396</v>
      </c>
      <c r="F1176" s="37" t="s">
        <v>3397</v>
      </c>
      <c r="G1176" s="38">
        <v>0</v>
      </c>
      <c r="H1176" s="38">
        <v>0</v>
      </c>
      <c r="I1176" s="15"/>
      <c r="J1176" s="494">
        <v>20405090101</v>
      </c>
      <c r="K1176" s="517" t="s">
        <v>1422</v>
      </c>
      <c r="L1176" s="517" t="s">
        <v>13557</v>
      </c>
      <c r="M1176" s="517" t="s">
        <v>3395</v>
      </c>
      <c r="N1176" s="518" t="s">
        <v>13558</v>
      </c>
      <c r="O1176" s="517">
        <v>2</v>
      </c>
      <c r="P1176" s="517" t="s">
        <v>693</v>
      </c>
      <c r="Q1176" s="517" t="s">
        <v>714</v>
      </c>
      <c r="R1176" s="517" t="s">
        <v>779</v>
      </c>
      <c r="S1176" s="517" t="s">
        <v>632</v>
      </c>
      <c r="T1176" s="518" t="s">
        <v>3397</v>
      </c>
      <c r="U1176" s="38">
        <v>0</v>
      </c>
      <c r="V1176" s="15" t="str">
        <f t="shared" si="118"/>
        <v>204050901</v>
      </c>
      <c r="W1176" s="39">
        <v>2</v>
      </c>
      <c r="X1176" s="40" t="s">
        <v>693</v>
      </c>
      <c r="Y1176" s="40" t="s">
        <v>714</v>
      </c>
      <c r="Z1176" s="40" t="s">
        <v>779</v>
      </c>
      <c r="AA1176" s="40" t="s">
        <v>632</v>
      </c>
      <c r="AB1176" s="41" t="s">
        <v>3397</v>
      </c>
      <c r="AC1176" s="519">
        <f t="shared" ref="AC1176:AC1193" si="122">H1176</f>
        <v>0</v>
      </c>
      <c r="AD1176" s="517" t="s">
        <v>1422</v>
      </c>
      <c r="AE1176" s="517" t="s">
        <v>13557</v>
      </c>
      <c r="AF1176" s="517" t="s">
        <v>3395</v>
      </c>
      <c r="AG1176" s="520" t="s">
        <v>13558</v>
      </c>
      <c r="AH1176" s="67">
        <f t="shared" ref="AH1176:AH1193" si="123">AC1176</f>
        <v>0</v>
      </c>
      <c r="AI1176" s="10"/>
      <c r="AJ1176" s="9">
        <f t="shared" si="113"/>
        <v>0</v>
      </c>
      <c r="AK1176" s="10"/>
      <c r="AL1176" s="10"/>
    </row>
    <row r="1177" spans="1:38" ht="45" hidden="1">
      <c r="A1177" s="1">
        <f t="shared" si="121"/>
        <v>0</v>
      </c>
      <c r="B1177" s="2" t="s">
        <v>3398</v>
      </c>
      <c r="C1177" s="3" t="s">
        <v>3399</v>
      </c>
      <c r="D1177" s="15" t="s">
        <v>11714</v>
      </c>
      <c r="E1177" s="4" t="s">
        <v>3398</v>
      </c>
      <c r="F1177" s="37" t="s">
        <v>3399</v>
      </c>
      <c r="G1177" s="38">
        <v>0</v>
      </c>
      <c r="H1177" s="38">
        <v>0</v>
      </c>
      <c r="I1177" s="15"/>
      <c r="J1177" s="494">
        <v>20405090102</v>
      </c>
      <c r="K1177" s="517" t="s">
        <v>1422</v>
      </c>
      <c r="L1177" s="517" t="s">
        <v>13557</v>
      </c>
      <c r="M1177" s="517" t="s">
        <v>3395</v>
      </c>
      <c r="N1177" s="518" t="s">
        <v>13558</v>
      </c>
      <c r="O1177" s="517">
        <v>2</v>
      </c>
      <c r="P1177" s="517" t="s">
        <v>693</v>
      </c>
      <c r="Q1177" s="517" t="s">
        <v>714</v>
      </c>
      <c r="R1177" s="517" t="s">
        <v>779</v>
      </c>
      <c r="S1177" s="517" t="s">
        <v>632</v>
      </c>
      <c r="T1177" s="518" t="s">
        <v>3397</v>
      </c>
      <c r="U1177" s="38">
        <v>0</v>
      </c>
      <c r="V1177" s="15" t="str">
        <f t="shared" si="118"/>
        <v>204050902</v>
      </c>
      <c r="W1177" s="39">
        <v>2</v>
      </c>
      <c r="X1177" s="40" t="s">
        <v>693</v>
      </c>
      <c r="Y1177" s="40" t="s">
        <v>714</v>
      </c>
      <c r="Z1177" s="40" t="s">
        <v>779</v>
      </c>
      <c r="AA1177" s="40" t="s">
        <v>647</v>
      </c>
      <c r="AB1177" s="41" t="s">
        <v>3399</v>
      </c>
      <c r="AC1177" s="519">
        <f t="shared" si="122"/>
        <v>0</v>
      </c>
      <c r="AD1177" s="517" t="s">
        <v>1422</v>
      </c>
      <c r="AE1177" s="517" t="s">
        <v>13557</v>
      </c>
      <c r="AF1177" s="517" t="s">
        <v>3395</v>
      </c>
      <c r="AG1177" s="520" t="s">
        <v>13558</v>
      </c>
      <c r="AH1177" s="67">
        <f t="shared" si="123"/>
        <v>0</v>
      </c>
      <c r="AI1177" s="10"/>
      <c r="AJ1177" s="9">
        <f t="shared" si="113"/>
        <v>0</v>
      </c>
      <c r="AK1177" s="10"/>
      <c r="AL1177" s="10"/>
    </row>
    <row r="1178" spans="1:38" ht="45" hidden="1">
      <c r="A1178" s="1">
        <f t="shared" si="121"/>
        <v>0</v>
      </c>
      <c r="B1178" s="2" t="s">
        <v>3400</v>
      </c>
      <c r="C1178" s="3" t="s">
        <v>3401</v>
      </c>
      <c r="D1178" s="15" t="s">
        <v>11714</v>
      </c>
      <c r="E1178" s="4" t="s">
        <v>3400</v>
      </c>
      <c r="F1178" s="37" t="s">
        <v>3401</v>
      </c>
      <c r="G1178" s="38">
        <v>0</v>
      </c>
      <c r="H1178" s="38">
        <v>0</v>
      </c>
      <c r="I1178" s="15"/>
      <c r="J1178" s="494">
        <v>20405090103</v>
      </c>
      <c r="K1178" s="517" t="s">
        <v>1422</v>
      </c>
      <c r="L1178" s="517" t="s">
        <v>13557</v>
      </c>
      <c r="M1178" s="517" t="s">
        <v>3395</v>
      </c>
      <c r="N1178" s="518" t="s">
        <v>13558</v>
      </c>
      <c r="O1178" s="517">
        <v>2</v>
      </c>
      <c r="P1178" s="517" t="s">
        <v>693</v>
      </c>
      <c r="Q1178" s="517" t="s">
        <v>714</v>
      </c>
      <c r="R1178" s="517" t="s">
        <v>779</v>
      </c>
      <c r="S1178" s="517" t="s">
        <v>632</v>
      </c>
      <c r="T1178" s="518" t="s">
        <v>3397</v>
      </c>
      <c r="U1178" s="38">
        <v>0</v>
      </c>
      <c r="V1178" s="15" t="str">
        <f t="shared" si="118"/>
        <v>204050903</v>
      </c>
      <c r="W1178" s="39">
        <v>2</v>
      </c>
      <c r="X1178" s="40" t="s">
        <v>693</v>
      </c>
      <c r="Y1178" s="40" t="s">
        <v>714</v>
      </c>
      <c r="Z1178" s="40" t="s">
        <v>779</v>
      </c>
      <c r="AA1178" s="40" t="s">
        <v>671</v>
      </c>
      <c r="AB1178" s="41" t="s">
        <v>3401</v>
      </c>
      <c r="AC1178" s="519">
        <f t="shared" si="122"/>
        <v>0</v>
      </c>
      <c r="AD1178" s="517" t="s">
        <v>1422</v>
      </c>
      <c r="AE1178" s="517" t="s">
        <v>13557</v>
      </c>
      <c r="AF1178" s="517" t="s">
        <v>3395</v>
      </c>
      <c r="AG1178" s="520" t="s">
        <v>13558</v>
      </c>
      <c r="AH1178" s="67">
        <f t="shared" si="123"/>
        <v>0</v>
      </c>
      <c r="AI1178" s="10"/>
      <c r="AJ1178" s="9">
        <f t="shared" si="113"/>
        <v>0</v>
      </c>
      <c r="AK1178" s="10"/>
      <c r="AL1178" s="10"/>
    </row>
    <row r="1179" spans="1:38" ht="45" hidden="1">
      <c r="A1179" s="1">
        <f t="shared" si="121"/>
        <v>0</v>
      </c>
      <c r="B1179" s="2" t="s">
        <v>3402</v>
      </c>
      <c r="C1179" s="3" t="s">
        <v>3403</v>
      </c>
      <c r="D1179" s="15" t="s">
        <v>11714</v>
      </c>
      <c r="E1179" s="4" t="s">
        <v>3402</v>
      </c>
      <c r="F1179" s="37" t="s">
        <v>3403</v>
      </c>
      <c r="G1179" s="38">
        <v>0</v>
      </c>
      <c r="H1179" s="38">
        <v>0</v>
      </c>
      <c r="I1179" s="15"/>
      <c r="J1179" s="494">
        <v>20405090104</v>
      </c>
      <c r="K1179" s="517" t="s">
        <v>1422</v>
      </c>
      <c r="L1179" s="517" t="s">
        <v>13557</v>
      </c>
      <c r="M1179" s="517" t="s">
        <v>3395</v>
      </c>
      <c r="N1179" s="518" t="s">
        <v>13558</v>
      </c>
      <c r="O1179" s="517">
        <v>2</v>
      </c>
      <c r="P1179" s="517" t="s">
        <v>693</v>
      </c>
      <c r="Q1179" s="517" t="s">
        <v>714</v>
      </c>
      <c r="R1179" s="517" t="s">
        <v>779</v>
      </c>
      <c r="S1179" s="517" t="s">
        <v>632</v>
      </c>
      <c r="T1179" s="518" t="s">
        <v>3397</v>
      </c>
      <c r="U1179" s="38">
        <v>0</v>
      </c>
      <c r="V1179" s="15" t="str">
        <f t="shared" si="118"/>
        <v>204050904</v>
      </c>
      <c r="W1179" s="39">
        <v>2</v>
      </c>
      <c r="X1179" s="40" t="s">
        <v>693</v>
      </c>
      <c r="Y1179" s="40" t="s">
        <v>714</v>
      </c>
      <c r="Z1179" s="40" t="s">
        <v>779</v>
      </c>
      <c r="AA1179" s="40" t="s">
        <v>693</v>
      </c>
      <c r="AB1179" s="41" t="s">
        <v>3403</v>
      </c>
      <c r="AC1179" s="519">
        <f t="shared" si="122"/>
        <v>0</v>
      </c>
      <c r="AD1179" s="517" t="s">
        <v>1422</v>
      </c>
      <c r="AE1179" s="517" t="s">
        <v>13557</v>
      </c>
      <c r="AF1179" s="517" t="s">
        <v>3395</v>
      </c>
      <c r="AG1179" s="520" t="s">
        <v>13558</v>
      </c>
      <c r="AH1179" s="67">
        <f t="shared" si="123"/>
        <v>0</v>
      </c>
      <c r="AI1179" s="10"/>
      <c r="AJ1179" s="9">
        <f t="shared" si="113"/>
        <v>0</v>
      </c>
      <c r="AK1179" s="10"/>
      <c r="AL1179" s="10"/>
    </row>
    <row r="1180" spans="1:38" ht="45" hidden="1">
      <c r="A1180" s="1">
        <f t="shared" si="121"/>
        <v>0</v>
      </c>
      <c r="B1180" s="2" t="s">
        <v>3404</v>
      </c>
      <c r="C1180" s="3" t="s">
        <v>3405</v>
      </c>
      <c r="D1180" s="15" t="s">
        <v>11714</v>
      </c>
      <c r="E1180" s="4" t="s">
        <v>3404</v>
      </c>
      <c r="F1180" s="37" t="s">
        <v>3405</v>
      </c>
      <c r="G1180" s="38">
        <v>0</v>
      </c>
      <c r="H1180" s="38">
        <v>0</v>
      </c>
      <c r="I1180" s="15"/>
      <c r="J1180" s="494">
        <v>20405090105</v>
      </c>
      <c r="K1180" s="517" t="s">
        <v>1422</v>
      </c>
      <c r="L1180" s="517" t="s">
        <v>13557</v>
      </c>
      <c r="M1180" s="517" t="s">
        <v>3395</v>
      </c>
      <c r="N1180" s="518" t="s">
        <v>13558</v>
      </c>
      <c r="O1180" s="517">
        <v>2</v>
      </c>
      <c r="P1180" s="517" t="s">
        <v>693</v>
      </c>
      <c r="Q1180" s="517" t="s">
        <v>714</v>
      </c>
      <c r="R1180" s="517" t="s">
        <v>779</v>
      </c>
      <c r="S1180" s="517" t="s">
        <v>632</v>
      </c>
      <c r="T1180" s="518" t="s">
        <v>3397</v>
      </c>
      <c r="U1180" s="38">
        <v>0</v>
      </c>
      <c r="V1180" s="15" t="str">
        <f t="shared" si="118"/>
        <v>204050905</v>
      </c>
      <c r="W1180" s="39">
        <v>2</v>
      </c>
      <c r="X1180" s="40" t="s">
        <v>693</v>
      </c>
      <c r="Y1180" s="40" t="s">
        <v>714</v>
      </c>
      <c r="Z1180" s="40" t="s">
        <v>779</v>
      </c>
      <c r="AA1180" s="40" t="s">
        <v>714</v>
      </c>
      <c r="AB1180" s="41" t="s">
        <v>3405</v>
      </c>
      <c r="AC1180" s="519">
        <f t="shared" si="122"/>
        <v>0</v>
      </c>
      <c r="AD1180" s="517" t="s">
        <v>1422</v>
      </c>
      <c r="AE1180" s="517" t="s">
        <v>13557</v>
      </c>
      <c r="AF1180" s="517" t="s">
        <v>3395</v>
      </c>
      <c r="AG1180" s="520" t="s">
        <v>13558</v>
      </c>
      <c r="AH1180" s="67">
        <f t="shared" si="123"/>
        <v>0</v>
      </c>
      <c r="AI1180" s="10"/>
      <c r="AJ1180" s="9">
        <f t="shared" si="113"/>
        <v>0</v>
      </c>
      <c r="AK1180" s="10"/>
      <c r="AL1180" s="10"/>
    </row>
    <row r="1181" spans="1:38" ht="45" hidden="1">
      <c r="A1181" s="1">
        <f t="shared" si="121"/>
        <v>0</v>
      </c>
      <c r="B1181" s="2" t="s">
        <v>3406</v>
      </c>
      <c r="C1181" s="3" t="s">
        <v>3407</v>
      </c>
      <c r="D1181" s="15" t="s">
        <v>11714</v>
      </c>
      <c r="E1181" s="4" t="s">
        <v>3406</v>
      </c>
      <c r="F1181" s="37" t="s">
        <v>3407</v>
      </c>
      <c r="G1181" s="38">
        <v>0</v>
      </c>
      <c r="H1181" s="38">
        <v>0</v>
      </c>
      <c r="I1181" s="15"/>
      <c r="J1181" s="494">
        <v>20405090106</v>
      </c>
      <c r="K1181" s="517" t="s">
        <v>1422</v>
      </c>
      <c r="L1181" s="517" t="s">
        <v>13557</v>
      </c>
      <c r="M1181" s="517" t="s">
        <v>3395</v>
      </c>
      <c r="N1181" s="518" t="s">
        <v>13558</v>
      </c>
      <c r="O1181" s="517">
        <v>2</v>
      </c>
      <c r="P1181" s="517" t="s">
        <v>693</v>
      </c>
      <c r="Q1181" s="517" t="s">
        <v>714</v>
      </c>
      <c r="R1181" s="517" t="s">
        <v>779</v>
      </c>
      <c r="S1181" s="517" t="s">
        <v>632</v>
      </c>
      <c r="T1181" s="518" t="s">
        <v>3397</v>
      </c>
      <c r="U1181" s="38">
        <v>0</v>
      </c>
      <c r="V1181" s="15" t="str">
        <f t="shared" si="118"/>
        <v>204050906</v>
      </c>
      <c r="W1181" s="39">
        <v>2</v>
      </c>
      <c r="X1181" s="40" t="s">
        <v>693</v>
      </c>
      <c r="Y1181" s="40" t="s">
        <v>714</v>
      </c>
      <c r="Z1181" s="40" t="s">
        <v>779</v>
      </c>
      <c r="AA1181" s="40" t="s">
        <v>739</v>
      </c>
      <c r="AB1181" s="41" t="s">
        <v>3407</v>
      </c>
      <c r="AC1181" s="519">
        <f t="shared" si="122"/>
        <v>0</v>
      </c>
      <c r="AD1181" s="517" t="s">
        <v>1422</v>
      </c>
      <c r="AE1181" s="517" t="s">
        <v>13557</v>
      </c>
      <c r="AF1181" s="517" t="s">
        <v>3395</v>
      </c>
      <c r="AG1181" s="520" t="s">
        <v>13558</v>
      </c>
      <c r="AH1181" s="67">
        <f t="shared" si="123"/>
        <v>0</v>
      </c>
      <c r="AI1181" s="10"/>
      <c r="AJ1181" s="9">
        <f t="shared" ref="AJ1181:AJ1244" si="124">AH1181-H1181</f>
        <v>0</v>
      </c>
      <c r="AK1181" s="10"/>
      <c r="AL1181" s="10"/>
    </row>
    <row r="1182" spans="1:38" ht="45" hidden="1">
      <c r="A1182" s="1">
        <f t="shared" si="121"/>
        <v>0</v>
      </c>
      <c r="B1182" s="2" t="s">
        <v>3408</v>
      </c>
      <c r="C1182" s="3" t="s">
        <v>3409</v>
      </c>
      <c r="D1182" s="15" t="s">
        <v>11714</v>
      </c>
      <c r="E1182" s="4" t="s">
        <v>3408</v>
      </c>
      <c r="F1182" s="37" t="s">
        <v>3409</v>
      </c>
      <c r="G1182" s="38">
        <v>0</v>
      </c>
      <c r="H1182" s="38">
        <v>0</v>
      </c>
      <c r="I1182" s="15"/>
      <c r="J1182" s="494">
        <v>20405090107</v>
      </c>
      <c r="K1182" s="517" t="s">
        <v>1422</v>
      </c>
      <c r="L1182" s="517" t="s">
        <v>13557</v>
      </c>
      <c r="M1182" s="517" t="s">
        <v>3395</v>
      </c>
      <c r="N1182" s="518" t="s">
        <v>13558</v>
      </c>
      <c r="O1182" s="517">
        <v>2</v>
      </c>
      <c r="P1182" s="517" t="s">
        <v>693</v>
      </c>
      <c r="Q1182" s="517" t="s">
        <v>714</v>
      </c>
      <c r="R1182" s="517" t="s">
        <v>779</v>
      </c>
      <c r="S1182" s="517" t="s">
        <v>632</v>
      </c>
      <c r="T1182" s="518" t="s">
        <v>3397</v>
      </c>
      <c r="U1182" s="38">
        <v>0</v>
      </c>
      <c r="V1182" s="15" t="str">
        <f t="shared" si="118"/>
        <v>204050907</v>
      </c>
      <c r="W1182" s="39">
        <v>2</v>
      </c>
      <c r="X1182" s="40" t="s">
        <v>693</v>
      </c>
      <c r="Y1182" s="40" t="s">
        <v>714</v>
      </c>
      <c r="Z1182" s="40" t="s">
        <v>779</v>
      </c>
      <c r="AA1182" s="40" t="s">
        <v>755</v>
      </c>
      <c r="AB1182" s="41" t="s">
        <v>3409</v>
      </c>
      <c r="AC1182" s="519">
        <f t="shared" si="122"/>
        <v>0</v>
      </c>
      <c r="AD1182" s="517" t="s">
        <v>1422</v>
      </c>
      <c r="AE1182" s="517" t="s">
        <v>13557</v>
      </c>
      <c r="AF1182" s="517" t="s">
        <v>3395</v>
      </c>
      <c r="AG1182" s="520" t="s">
        <v>13558</v>
      </c>
      <c r="AH1182" s="67">
        <f t="shared" si="123"/>
        <v>0</v>
      </c>
      <c r="AI1182" s="10"/>
      <c r="AJ1182" s="9">
        <f t="shared" si="124"/>
        <v>0</v>
      </c>
      <c r="AK1182" s="10"/>
      <c r="AL1182" s="10"/>
    </row>
    <row r="1183" spans="1:38" ht="45" hidden="1">
      <c r="A1183" s="1">
        <f t="shared" si="121"/>
        <v>0</v>
      </c>
      <c r="B1183" s="2" t="s">
        <v>3410</v>
      </c>
      <c r="C1183" s="3" t="s">
        <v>3411</v>
      </c>
      <c r="D1183" s="15" t="s">
        <v>11714</v>
      </c>
      <c r="E1183" s="4" t="s">
        <v>3410</v>
      </c>
      <c r="F1183" s="37" t="s">
        <v>3411</v>
      </c>
      <c r="G1183" s="38">
        <v>0</v>
      </c>
      <c r="H1183" s="38">
        <v>0</v>
      </c>
      <c r="I1183" s="15"/>
      <c r="J1183" s="494">
        <v>20405090108</v>
      </c>
      <c r="K1183" s="517" t="s">
        <v>1422</v>
      </c>
      <c r="L1183" s="517" t="s">
        <v>13557</v>
      </c>
      <c r="M1183" s="517" t="s">
        <v>3395</v>
      </c>
      <c r="N1183" s="518" t="s">
        <v>13558</v>
      </c>
      <c r="O1183" s="517">
        <v>2</v>
      </c>
      <c r="P1183" s="517" t="s">
        <v>693</v>
      </c>
      <c r="Q1183" s="517" t="s">
        <v>714</v>
      </c>
      <c r="R1183" s="517" t="s">
        <v>779</v>
      </c>
      <c r="S1183" s="517" t="s">
        <v>632</v>
      </c>
      <c r="T1183" s="518" t="s">
        <v>3397</v>
      </c>
      <c r="U1183" s="38">
        <v>0</v>
      </c>
      <c r="V1183" s="15" t="str">
        <f t="shared" si="118"/>
        <v>204050908</v>
      </c>
      <c r="W1183" s="39">
        <v>2</v>
      </c>
      <c r="X1183" s="40" t="s">
        <v>693</v>
      </c>
      <c r="Y1183" s="40" t="s">
        <v>714</v>
      </c>
      <c r="Z1183" s="40" t="s">
        <v>779</v>
      </c>
      <c r="AA1183" s="40" t="s">
        <v>766</v>
      </c>
      <c r="AB1183" s="41" t="s">
        <v>3411</v>
      </c>
      <c r="AC1183" s="519">
        <f t="shared" si="122"/>
        <v>0</v>
      </c>
      <c r="AD1183" s="517" t="s">
        <v>1422</v>
      </c>
      <c r="AE1183" s="517" t="s">
        <v>13557</v>
      </c>
      <c r="AF1183" s="517" t="s">
        <v>3395</v>
      </c>
      <c r="AG1183" s="520" t="s">
        <v>13558</v>
      </c>
      <c r="AH1183" s="67">
        <f t="shared" si="123"/>
        <v>0</v>
      </c>
      <c r="AI1183" s="10"/>
      <c r="AJ1183" s="9">
        <f t="shared" si="124"/>
        <v>0</v>
      </c>
      <c r="AK1183" s="10"/>
      <c r="AL1183" s="10"/>
    </row>
    <row r="1184" spans="1:38" ht="45" hidden="1">
      <c r="A1184" s="1">
        <f t="shared" si="121"/>
        <v>0</v>
      </c>
      <c r="B1184" s="2" t="s">
        <v>3412</v>
      </c>
      <c r="C1184" s="3" t="s">
        <v>3413</v>
      </c>
      <c r="D1184" s="15" t="s">
        <v>11714</v>
      </c>
      <c r="E1184" s="4" t="s">
        <v>3412</v>
      </c>
      <c r="F1184" s="37" t="s">
        <v>3413</v>
      </c>
      <c r="G1184" s="38">
        <v>0</v>
      </c>
      <c r="H1184" s="38">
        <v>0</v>
      </c>
      <c r="I1184" s="15"/>
      <c r="J1184" s="494">
        <v>20405090109</v>
      </c>
      <c r="K1184" s="517" t="s">
        <v>1422</v>
      </c>
      <c r="L1184" s="517" t="s">
        <v>13557</v>
      </c>
      <c r="M1184" s="517" t="s">
        <v>3395</v>
      </c>
      <c r="N1184" s="518" t="s">
        <v>13558</v>
      </c>
      <c r="O1184" s="517">
        <v>2</v>
      </c>
      <c r="P1184" s="517" t="s">
        <v>693</v>
      </c>
      <c r="Q1184" s="517" t="s">
        <v>714</v>
      </c>
      <c r="R1184" s="517" t="s">
        <v>779</v>
      </c>
      <c r="S1184" s="517" t="s">
        <v>632</v>
      </c>
      <c r="T1184" s="518" t="s">
        <v>3397</v>
      </c>
      <c r="U1184" s="38">
        <v>0</v>
      </c>
      <c r="V1184" s="15" t="str">
        <f t="shared" si="118"/>
        <v>204050909</v>
      </c>
      <c r="W1184" s="39">
        <v>2</v>
      </c>
      <c r="X1184" s="40" t="s">
        <v>693</v>
      </c>
      <c r="Y1184" s="40" t="s">
        <v>714</v>
      </c>
      <c r="Z1184" s="40" t="s">
        <v>779</v>
      </c>
      <c r="AA1184" s="40" t="s">
        <v>779</v>
      </c>
      <c r="AB1184" s="41" t="s">
        <v>3413</v>
      </c>
      <c r="AC1184" s="519">
        <f t="shared" si="122"/>
        <v>0</v>
      </c>
      <c r="AD1184" s="517" t="s">
        <v>1422</v>
      </c>
      <c r="AE1184" s="517" t="s">
        <v>13557</v>
      </c>
      <c r="AF1184" s="517" t="s">
        <v>3395</v>
      </c>
      <c r="AG1184" s="520" t="s">
        <v>13558</v>
      </c>
      <c r="AH1184" s="67">
        <f t="shared" si="123"/>
        <v>0</v>
      </c>
      <c r="AI1184" s="10"/>
      <c r="AJ1184" s="9">
        <f t="shared" si="124"/>
        <v>0</v>
      </c>
      <c r="AK1184" s="10"/>
      <c r="AL1184" s="10"/>
    </row>
    <row r="1185" spans="1:38" ht="45" hidden="1">
      <c r="A1185" s="1">
        <f t="shared" si="121"/>
        <v>0</v>
      </c>
      <c r="B1185" s="2" t="s">
        <v>3414</v>
      </c>
      <c r="C1185" s="3" t="s">
        <v>3415</v>
      </c>
      <c r="D1185" s="15" t="s">
        <v>11714</v>
      </c>
      <c r="E1185" s="4" t="s">
        <v>3414</v>
      </c>
      <c r="F1185" s="37" t="s">
        <v>3415</v>
      </c>
      <c r="G1185" s="38">
        <v>0</v>
      </c>
      <c r="H1185" s="38">
        <v>0</v>
      </c>
      <c r="I1185" s="15"/>
      <c r="J1185" s="494">
        <v>20405090110</v>
      </c>
      <c r="K1185" s="517" t="s">
        <v>1422</v>
      </c>
      <c r="L1185" s="517" t="s">
        <v>13557</v>
      </c>
      <c r="M1185" s="517" t="s">
        <v>3395</v>
      </c>
      <c r="N1185" s="518" t="s">
        <v>13558</v>
      </c>
      <c r="O1185" s="517">
        <v>2</v>
      </c>
      <c r="P1185" s="517" t="s">
        <v>693</v>
      </c>
      <c r="Q1185" s="517" t="s">
        <v>714</v>
      </c>
      <c r="R1185" s="517" t="s">
        <v>779</v>
      </c>
      <c r="S1185" s="517" t="s">
        <v>632</v>
      </c>
      <c r="T1185" s="518" t="s">
        <v>3397</v>
      </c>
      <c r="U1185" s="38">
        <v>0</v>
      </c>
      <c r="V1185" s="15" t="str">
        <f t="shared" si="118"/>
        <v>204050910</v>
      </c>
      <c r="W1185" s="39">
        <v>2</v>
      </c>
      <c r="X1185" s="40" t="s">
        <v>693</v>
      </c>
      <c r="Y1185" s="40" t="s">
        <v>714</v>
      </c>
      <c r="Z1185" s="40" t="s">
        <v>779</v>
      </c>
      <c r="AA1185" s="40" t="s">
        <v>1225</v>
      </c>
      <c r="AB1185" s="41" t="s">
        <v>3415</v>
      </c>
      <c r="AC1185" s="519">
        <f t="shared" si="122"/>
        <v>0</v>
      </c>
      <c r="AD1185" s="517" t="s">
        <v>1422</v>
      </c>
      <c r="AE1185" s="517" t="s">
        <v>13557</v>
      </c>
      <c r="AF1185" s="517" t="s">
        <v>3395</v>
      </c>
      <c r="AG1185" s="520" t="s">
        <v>13558</v>
      </c>
      <c r="AH1185" s="67">
        <f t="shared" si="123"/>
        <v>0</v>
      </c>
      <c r="AI1185" s="10"/>
      <c r="AJ1185" s="9">
        <f t="shared" si="124"/>
        <v>0</v>
      </c>
      <c r="AK1185" s="10"/>
      <c r="AL1185" s="10"/>
    </row>
    <row r="1186" spans="1:38" ht="45" hidden="1">
      <c r="A1186" s="1">
        <f t="shared" si="121"/>
        <v>0</v>
      </c>
      <c r="B1186" s="2" t="s">
        <v>3416</v>
      </c>
      <c r="C1186" s="3" t="s">
        <v>3417</v>
      </c>
      <c r="D1186" s="15" t="s">
        <v>11714</v>
      </c>
      <c r="E1186" s="4" t="s">
        <v>3416</v>
      </c>
      <c r="F1186" s="37" t="s">
        <v>3417</v>
      </c>
      <c r="G1186" s="38">
        <v>0</v>
      </c>
      <c r="H1186" s="38">
        <v>0</v>
      </c>
      <c r="I1186" s="15"/>
      <c r="J1186" s="494">
        <v>20405090111</v>
      </c>
      <c r="K1186" s="517" t="s">
        <v>1422</v>
      </c>
      <c r="L1186" s="517" t="s">
        <v>13557</v>
      </c>
      <c r="M1186" s="517" t="s">
        <v>3395</v>
      </c>
      <c r="N1186" s="518" t="s">
        <v>13558</v>
      </c>
      <c r="O1186" s="517">
        <v>2</v>
      </c>
      <c r="P1186" s="517" t="s">
        <v>693</v>
      </c>
      <c r="Q1186" s="517" t="s">
        <v>714</v>
      </c>
      <c r="R1186" s="517" t="s">
        <v>779</v>
      </c>
      <c r="S1186" s="517" t="s">
        <v>632</v>
      </c>
      <c r="T1186" s="518" t="s">
        <v>3397</v>
      </c>
      <c r="U1186" s="38">
        <v>0</v>
      </c>
      <c r="V1186" s="15" t="str">
        <f t="shared" si="118"/>
        <v>204050911</v>
      </c>
      <c r="W1186" s="39">
        <v>2</v>
      </c>
      <c r="X1186" s="40" t="s">
        <v>693</v>
      </c>
      <c r="Y1186" s="40" t="s">
        <v>714</v>
      </c>
      <c r="Z1186" s="40" t="s">
        <v>779</v>
      </c>
      <c r="AA1186" s="40" t="s">
        <v>1229</v>
      </c>
      <c r="AB1186" s="41" t="s">
        <v>3417</v>
      </c>
      <c r="AC1186" s="519">
        <f t="shared" si="122"/>
        <v>0</v>
      </c>
      <c r="AD1186" s="517" t="s">
        <v>1422</v>
      </c>
      <c r="AE1186" s="517" t="s">
        <v>13557</v>
      </c>
      <c r="AF1186" s="517" t="s">
        <v>3395</v>
      </c>
      <c r="AG1186" s="520" t="s">
        <v>13558</v>
      </c>
      <c r="AH1186" s="67">
        <f t="shared" si="123"/>
        <v>0</v>
      </c>
      <c r="AI1186" s="10"/>
      <c r="AJ1186" s="9">
        <f t="shared" si="124"/>
        <v>0</v>
      </c>
      <c r="AK1186" s="10"/>
      <c r="AL1186" s="10"/>
    </row>
    <row r="1187" spans="1:38" ht="45" hidden="1">
      <c r="A1187" s="1">
        <f t="shared" si="121"/>
        <v>0</v>
      </c>
      <c r="B1187" s="2" t="s">
        <v>3418</v>
      </c>
      <c r="C1187" s="3" t="s">
        <v>3419</v>
      </c>
      <c r="D1187" s="15" t="s">
        <v>11714</v>
      </c>
      <c r="E1187" s="4" t="s">
        <v>3418</v>
      </c>
      <c r="F1187" s="37" t="s">
        <v>3419</v>
      </c>
      <c r="G1187" s="38">
        <v>0</v>
      </c>
      <c r="H1187" s="38">
        <v>0</v>
      </c>
      <c r="I1187" s="15"/>
      <c r="J1187" s="494">
        <v>20405090112</v>
      </c>
      <c r="K1187" s="517" t="s">
        <v>1422</v>
      </c>
      <c r="L1187" s="517" t="s">
        <v>13557</v>
      </c>
      <c r="M1187" s="517" t="s">
        <v>3395</v>
      </c>
      <c r="N1187" s="518" t="s">
        <v>13558</v>
      </c>
      <c r="O1187" s="517">
        <v>2</v>
      </c>
      <c r="P1187" s="517" t="s">
        <v>693</v>
      </c>
      <c r="Q1187" s="517" t="s">
        <v>714</v>
      </c>
      <c r="R1187" s="517" t="s">
        <v>779</v>
      </c>
      <c r="S1187" s="517" t="s">
        <v>632</v>
      </c>
      <c r="T1187" s="518" t="s">
        <v>3397</v>
      </c>
      <c r="U1187" s="38">
        <v>0</v>
      </c>
      <c r="V1187" s="15" t="str">
        <f t="shared" si="118"/>
        <v>204050912</v>
      </c>
      <c r="W1187" s="39">
        <v>2</v>
      </c>
      <c r="X1187" s="40" t="s">
        <v>693</v>
      </c>
      <c r="Y1187" s="40" t="s">
        <v>714</v>
      </c>
      <c r="Z1187" s="40" t="s">
        <v>779</v>
      </c>
      <c r="AA1187" s="40" t="s">
        <v>1243</v>
      </c>
      <c r="AB1187" s="41" t="s">
        <v>3419</v>
      </c>
      <c r="AC1187" s="519">
        <f t="shared" si="122"/>
        <v>0</v>
      </c>
      <c r="AD1187" s="517" t="s">
        <v>1422</v>
      </c>
      <c r="AE1187" s="517" t="s">
        <v>13557</v>
      </c>
      <c r="AF1187" s="517" t="s">
        <v>3395</v>
      </c>
      <c r="AG1187" s="520" t="s">
        <v>13558</v>
      </c>
      <c r="AH1187" s="67">
        <f t="shared" si="123"/>
        <v>0</v>
      </c>
      <c r="AI1187" s="10"/>
      <c r="AJ1187" s="9">
        <f t="shared" si="124"/>
        <v>0</v>
      </c>
      <c r="AK1187" s="10"/>
      <c r="AL1187" s="10"/>
    </row>
    <row r="1188" spans="1:38" ht="45" hidden="1">
      <c r="A1188" s="1">
        <f t="shared" si="121"/>
        <v>0</v>
      </c>
      <c r="B1188" s="2" t="s">
        <v>3420</v>
      </c>
      <c r="C1188" s="3" t="s">
        <v>3421</v>
      </c>
      <c r="D1188" s="15" t="s">
        <v>11714</v>
      </c>
      <c r="E1188" s="4" t="s">
        <v>3420</v>
      </c>
      <c r="F1188" s="37" t="s">
        <v>3421</v>
      </c>
      <c r="G1188" s="38">
        <v>0</v>
      </c>
      <c r="H1188" s="38">
        <v>0</v>
      </c>
      <c r="I1188" s="15"/>
      <c r="J1188" s="494">
        <v>20405090113</v>
      </c>
      <c r="K1188" s="517" t="s">
        <v>1422</v>
      </c>
      <c r="L1188" s="517" t="s">
        <v>13557</v>
      </c>
      <c r="M1188" s="517" t="s">
        <v>3395</v>
      </c>
      <c r="N1188" s="518" t="s">
        <v>13558</v>
      </c>
      <c r="O1188" s="517">
        <v>2</v>
      </c>
      <c r="P1188" s="517" t="s">
        <v>693</v>
      </c>
      <c r="Q1188" s="517" t="s">
        <v>714</v>
      </c>
      <c r="R1188" s="517" t="s">
        <v>779</v>
      </c>
      <c r="S1188" s="517" t="s">
        <v>632</v>
      </c>
      <c r="T1188" s="518" t="s">
        <v>3397</v>
      </c>
      <c r="U1188" s="38">
        <v>0</v>
      </c>
      <c r="V1188" s="15" t="str">
        <f t="shared" si="118"/>
        <v>204050913</v>
      </c>
      <c r="W1188" s="39">
        <v>2</v>
      </c>
      <c r="X1188" s="40" t="s">
        <v>693</v>
      </c>
      <c r="Y1188" s="40" t="s">
        <v>714</v>
      </c>
      <c r="Z1188" s="40" t="s">
        <v>779</v>
      </c>
      <c r="AA1188" s="40" t="s">
        <v>1247</v>
      </c>
      <c r="AB1188" s="41" t="s">
        <v>3421</v>
      </c>
      <c r="AC1188" s="519">
        <f t="shared" si="122"/>
        <v>0</v>
      </c>
      <c r="AD1188" s="517" t="s">
        <v>1422</v>
      </c>
      <c r="AE1188" s="517" t="s">
        <v>13557</v>
      </c>
      <c r="AF1188" s="517" t="s">
        <v>3395</v>
      </c>
      <c r="AG1188" s="520" t="s">
        <v>13558</v>
      </c>
      <c r="AH1188" s="67">
        <f t="shared" si="123"/>
        <v>0</v>
      </c>
      <c r="AI1188" s="10"/>
      <c r="AJ1188" s="9">
        <f t="shared" si="124"/>
        <v>0</v>
      </c>
      <c r="AK1188" s="10"/>
      <c r="AL1188" s="10"/>
    </row>
    <row r="1189" spans="1:38" ht="45" hidden="1">
      <c r="A1189" s="1">
        <f t="shared" si="121"/>
        <v>0</v>
      </c>
      <c r="B1189" s="2" t="s">
        <v>3422</v>
      </c>
      <c r="C1189" s="3" t="s">
        <v>3423</v>
      </c>
      <c r="D1189" s="15" t="s">
        <v>11714</v>
      </c>
      <c r="E1189" s="4" t="s">
        <v>3422</v>
      </c>
      <c r="F1189" s="37" t="s">
        <v>3423</v>
      </c>
      <c r="G1189" s="38">
        <v>0</v>
      </c>
      <c r="H1189" s="38">
        <v>0</v>
      </c>
      <c r="I1189" s="15"/>
      <c r="J1189" s="494">
        <v>20405090114</v>
      </c>
      <c r="K1189" s="517" t="s">
        <v>1422</v>
      </c>
      <c r="L1189" s="517" t="s">
        <v>13557</v>
      </c>
      <c r="M1189" s="517" t="s">
        <v>3395</v>
      </c>
      <c r="N1189" s="518" t="s">
        <v>13558</v>
      </c>
      <c r="O1189" s="517">
        <v>2</v>
      </c>
      <c r="P1189" s="517" t="s">
        <v>693</v>
      </c>
      <c r="Q1189" s="517" t="s">
        <v>714</v>
      </c>
      <c r="R1189" s="517" t="s">
        <v>779</v>
      </c>
      <c r="S1189" s="517" t="s">
        <v>632</v>
      </c>
      <c r="T1189" s="518" t="s">
        <v>3397</v>
      </c>
      <c r="U1189" s="38">
        <v>0</v>
      </c>
      <c r="V1189" s="15" t="str">
        <f t="shared" si="118"/>
        <v>204050914</v>
      </c>
      <c r="W1189" s="39">
        <v>2</v>
      </c>
      <c r="X1189" s="40" t="s">
        <v>693</v>
      </c>
      <c r="Y1189" s="40" t="s">
        <v>714</v>
      </c>
      <c r="Z1189" s="40" t="s">
        <v>779</v>
      </c>
      <c r="AA1189" s="40" t="s">
        <v>1253</v>
      </c>
      <c r="AB1189" s="41" t="s">
        <v>3423</v>
      </c>
      <c r="AC1189" s="519">
        <f t="shared" si="122"/>
        <v>0</v>
      </c>
      <c r="AD1189" s="517" t="s">
        <v>1422</v>
      </c>
      <c r="AE1189" s="517" t="s">
        <v>13557</v>
      </c>
      <c r="AF1189" s="517" t="s">
        <v>3395</v>
      </c>
      <c r="AG1189" s="520" t="s">
        <v>13558</v>
      </c>
      <c r="AH1189" s="67">
        <f t="shared" si="123"/>
        <v>0</v>
      </c>
      <c r="AI1189" s="10"/>
      <c r="AJ1189" s="9">
        <f t="shared" si="124"/>
        <v>0</v>
      </c>
      <c r="AK1189" s="10"/>
      <c r="AL1189" s="10"/>
    </row>
    <row r="1190" spans="1:38" ht="45" hidden="1">
      <c r="A1190" s="1">
        <f t="shared" si="121"/>
        <v>0</v>
      </c>
      <c r="B1190" s="2" t="s">
        <v>3424</v>
      </c>
      <c r="C1190" s="3" t="s">
        <v>3425</v>
      </c>
      <c r="D1190" s="15" t="s">
        <v>11714</v>
      </c>
      <c r="E1190" s="4" t="s">
        <v>3424</v>
      </c>
      <c r="F1190" s="37" t="s">
        <v>3425</v>
      </c>
      <c r="G1190" s="38">
        <v>0</v>
      </c>
      <c r="H1190" s="38">
        <v>0</v>
      </c>
      <c r="I1190" s="15"/>
      <c r="J1190" s="494">
        <v>20405090115</v>
      </c>
      <c r="K1190" s="517" t="s">
        <v>1422</v>
      </c>
      <c r="L1190" s="517" t="s">
        <v>13557</v>
      </c>
      <c r="M1190" s="517" t="s">
        <v>3395</v>
      </c>
      <c r="N1190" s="518" t="s">
        <v>13558</v>
      </c>
      <c r="O1190" s="517">
        <v>2</v>
      </c>
      <c r="P1190" s="517" t="s">
        <v>693</v>
      </c>
      <c r="Q1190" s="517" t="s">
        <v>714</v>
      </c>
      <c r="R1190" s="517" t="s">
        <v>779</v>
      </c>
      <c r="S1190" s="517" t="s">
        <v>632</v>
      </c>
      <c r="T1190" s="518" t="s">
        <v>3397</v>
      </c>
      <c r="U1190" s="38">
        <v>0</v>
      </c>
      <c r="V1190" s="15" t="str">
        <f t="shared" si="118"/>
        <v>204050915</v>
      </c>
      <c r="W1190" s="39">
        <v>2</v>
      </c>
      <c r="X1190" s="40" t="s">
        <v>693</v>
      </c>
      <c r="Y1190" s="40" t="s">
        <v>714</v>
      </c>
      <c r="Z1190" s="40" t="s">
        <v>779</v>
      </c>
      <c r="AA1190" s="40" t="s">
        <v>1257</v>
      </c>
      <c r="AB1190" s="41" t="s">
        <v>3425</v>
      </c>
      <c r="AC1190" s="519">
        <f t="shared" si="122"/>
        <v>0</v>
      </c>
      <c r="AD1190" s="517" t="s">
        <v>1422</v>
      </c>
      <c r="AE1190" s="517" t="s">
        <v>13557</v>
      </c>
      <c r="AF1190" s="517" t="s">
        <v>3395</v>
      </c>
      <c r="AG1190" s="520" t="s">
        <v>13558</v>
      </c>
      <c r="AH1190" s="67">
        <f t="shared" si="123"/>
        <v>0</v>
      </c>
      <c r="AI1190" s="10"/>
      <c r="AJ1190" s="9">
        <f t="shared" si="124"/>
        <v>0</v>
      </c>
      <c r="AK1190" s="10"/>
      <c r="AL1190" s="10"/>
    </row>
    <row r="1191" spans="1:38" ht="45" hidden="1">
      <c r="A1191" s="1">
        <f t="shared" si="121"/>
        <v>0</v>
      </c>
      <c r="B1191" s="2" t="s">
        <v>3426</v>
      </c>
      <c r="C1191" s="3" t="s">
        <v>3427</v>
      </c>
      <c r="D1191" s="15" t="s">
        <v>11714</v>
      </c>
      <c r="E1191" s="4" t="s">
        <v>3426</v>
      </c>
      <c r="F1191" s="37" t="s">
        <v>3427</v>
      </c>
      <c r="G1191" s="38">
        <v>0</v>
      </c>
      <c r="H1191" s="38">
        <v>0</v>
      </c>
      <c r="I1191" s="15"/>
      <c r="J1191" s="494">
        <v>20405090116</v>
      </c>
      <c r="K1191" s="517" t="s">
        <v>1422</v>
      </c>
      <c r="L1191" s="517" t="s">
        <v>13557</v>
      </c>
      <c r="M1191" s="517" t="s">
        <v>3395</v>
      </c>
      <c r="N1191" s="518" t="s">
        <v>13558</v>
      </c>
      <c r="O1191" s="517">
        <v>2</v>
      </c>
      <c r="P1191" s="517" t="s">
        <v>693</v>
      </c>
      <c r="Q1191" s="517" t="s">
        <v>714</v>
      </c>
      <c r="R1191" s="517" t="s">
        <v>779</v>
      </c>
      <c r="S1191" s="517" t="s">
        <v>632</v>
      </c>
      <c r="T1191" s="518" t="s">
        <v>3397</v>
      </c>
      <c r="U1191" s="38">
        <v>0</v>
      </c>
      <c r="V1191" s="15" t="str">
        <f t="shared" si="118"/>
        <v>204050916</v>
      </c>
      <c r="W1191" s="39">
        <v>2</v>
      </c>
      <c r="X1191" s="40" t="s">
        <v>693</v>
      </c>
      <c r="Y1191" s="40" t="s">
        <v>714</v>
      </c>
      <c r="Z1191" s="40" t="s">
        <v>779</v>
      </c>
      <c r="AA1191" s="40" t="s">
        <v>1332</v>
      </c>
      <c r="AB1191" s="41" t="s">
        <v>3427</v>
      </c>
      <c r="AC1191" s="519">
        <f t="shared" si="122"/>
        <v>0</v>
      </c>
      <c r="AD1191" s="517" t="s">
        <v>1422</v>
      </c>
      <c r="AE1191" s="517" t="s">
        <v>13557</v>
      </c>
      <c r="AF1191" s="517" t="s">
        <v>3395</v>
      </c>
      <c r="AG1191" s="520" t="s">
        <v>13558</v>
      </c>
      <c r="AH1191" s="67">
        <f t="shared" si="123"/>
        <v>0</v>
      </c>
      <c r="AI1191" s="10"/>
      <c r="AJ1191" s="9">
        <f t="shared" si="124"/>
        <v>0</v>
      </c>
      <c r="AK1191" s="10"/>
      <c r="AL1191" s="10"/>
    </row>
    <row r="1192" spans="1:38" ht="45" hidden="1">
      <c r="A1192" s="1">
        <f t="shared" si="121"/>
        <v>0</v>
      </c>
      <c r="B1192" s="2" t="s">
        <v>3428</v>
      </c>
      <c r="C1192" s="3" t="s">
        <v>3429</v>
      </c>
      <c r="D1192" s="15" t="s">
        <v>11714</v>
      </c>
      <c r="E1192" s="4" t="s">
        <v>3428</v>
      </c>
      <c r="F1192" s="37" t="s">
        <v>3429</v>
      </c>
      <c r="G1192" s="38">
        <v>0</v>
      </c>
      <c r="H1192" s="38">
        <v>0</v>
      </c>
      <c r="I1192" s="15"/>
      <c r="J1192" s="494">
        <v>20405090117</v>
      </c>
      <c r="K1192" s="517" t="s">
        <v>1422</v>
      </c>
      <c r="L1192" s="517" t="s">
        <v>13557</v>
      </c>
      <c r="M1192" s="517" t="s">
        <v>3395</v>
      </c>
      <c r="N1192" s="518" t="s">
        <v>13558</v>
      </c>
      <c r="O1192" s="517">
        <v>2</v>
      </c>
      <c r="P1192" s="517" t="s">
        <v>693</v>
      </c>
      <c r="Q1192" s="517" t="s">
        <v>714</v>
      </c>
      <c r="R1192" s="517" t="s">
        <v>779</v>
      </c>
      <c r="S1192" s="517" t="s">
        <v>632</v>
      </c>
      <c r="T1192" s="518" t="s">
        <v>3397</v>
      </c>
      <c r="U1192" s="38">
        <v>0</v>
      </c>
      <c r="V1192" s="15" t="str">
        <f t="shared" si="118"/>
        <v>204050917</v>
      </c>
      <c r="W1192" s="39">
        <v>2</v>
      </c>
      <c r="X1192" s="40" t="s">
        <v>693</v>
      </c>
      <c r="Y1192" s="40" t="s">
        <v>714</v>
      </c>
      <c r="Z1192" s="40" t="s">
        <v>779</v>
      </c>
      <c r="AA1192" s="40" t="s">
        <v>1838</v>
      </c>
      <c r="AB1192" s="41" t="s">
        <v>3429</v>
      </c>
      <c r="AC1192" s="519">
        <f t="shared" si="122"/>
        <v>0</v>
      </c>
      <c r="AD1192" s="517" t="s">
        <v>1422</v>
      </c>
      <c r="AE1192" s="517" t="s">
        <v>13557</v>
      </c>
      <c r="AF1192" s="517" t="s">
        <v>3395</v>
      </c>
      <c r="AG1192" s="520" t="s">
        <v>13558</v>
      </c>
      <c r="AH1192" s="67">
        <f t="shared" si="123"/>
        <v>0</v>
      </c>
      <c r="AI1192" s="10"/>
      <c r="AJ1192" s="9">
        <f t="shared" si="124"/>
        <v>0</v>
      </c>
      <c r="AK1192" s="10"/>
      <c r="AL1192" s="10"/>
    </row>
    <row r="1193" spans="1:38" ht="45" hidden="1">
      <c r="A1193" s="1">
        <f t="shared" si="121"/>
        <v>0</v>
      </c>
      <c r="B1193" s="2" t="s">
        <v>3430</v>
      </c>
      <c r="C1193" s="3" t="s">
        <v>3431</v>
      </c>
      <c r="D1193" s="15" t="s">
        <v>11714</v>
      </c>
      <c r="E1193" s="4" t="s">
        <v>3430</v>
      </c>
      <c r="F1193" s="37" t="s">
        <v>3431</v>
      </c>
      <c r="G1193" s="38">
        <v>0</v>
      </c>
      <c r="H1193" s="38">
        <v>0</v>
      </c>
      <c r="I1193" s="15"/>
      <c r="J1193" s="494">
        <v>20405090118</v>
      </c>
      <c r="K1193" s="517" t="s">
        <v>1422</v>
      </c>
      <c r="L1193" s="517" t="s">
        <v>13557</v>
      </c>
      <c r="M1193" s="517" t="s">
        <v>3395</v>
      </c>
      <c r="N1193" s="518" t="s">
        <v>13558</v>
      </c>
      <c r="O1193" s="517">
        <v>2</v>
      </c>
      <c r="P1193" s="517" t="s">
        <v>693</v>
      </c>
      <c r="Q1193" s="517" t="s">
        <v>714</v>
      </c>
      <c r="R1193" s="517" t="s">
        <v>779</v>
      </c>
      <c r="S1193" s="517" t="s">
        <v>632</v>
      </c>
      <c r="T1193" s="518" t="s">
        <v>3397</v>
      </c>
      <c r="U1193" s="38">
        <v>0</v>
      </c>
      <c r="V1193" s="15" t="str">
        <f t="shared" si="118"/>
        <v>204050918</v>
      </c>
      <c r="W1193" s="39">
        <v>2</v>
      </c>
      <c r="X1193" s="40" t="s">
        <v>693</v>
      </c>
      <c r="Y1193" s="40" t="s">
        <v>714</v>
      </c>
      <c r="Z1193" s="40" t="s">
        <v>779</v>
      </c>
      <c r="AA1193" s="40" t="s">
        <v>1842</v>
      </c>
      <c r="AB1193" s="41" t="s">
        <v>3431</v>
      </c>
      <c r="AC1193" s="519">
        <f t="shared" si="122"/>
        <v>0</v>
      </c>
      <c r="AD1193" s="517" t="s">
        <v>1422</v>
      </c>
      <c r="AE1193" s="517" t="s">
        <v>13557</v>
      </c>
      <c r="AF1193" s="517" t="s">
        <v>3395</v>
      </c>
      <c r="AG1193" s="520" t="s">
        <v>13558</v>
      </c>
      <c r="AH1193" s="67">
        <f t="shared" si="123"/>
        <v>0</v>
      </c>
      <c r="AI1193" s="10"/>
      <c r="AJ1193" s="9">
        <f t="shared" si="124"/>
        <v>0</v>
      </c>
      <c r="AK1193" s="10"/>
      <c r="AL1193" s="10"/>
    </row>
    <row r="1194" spans="1:38" ht="78.75" hidden="1">
      <c r="A1194" s="1">
        <f t="shared" si="121"/>
        <v>0</v>
      </c>
      <c r="C1194" s="3" t="s">
        <v>3432</v>
      </c>
      <c r="D1194" s="15" t="s">
        <v>16</v>
      </c>
      <c r="E1194" s="30"/>
      <c r="F1194" s="31" t="s">
        <v>3433</v>
      </c>
      <c r="G1194" s="32">
        <f>SUM(G1195:G1212)</f>
        <v>0</v>
      </c>
      <c r="H1194" s="32">
        <f>SUM(H1195:H1212)</f>
        <v>0</v>
      </c>
      <c r="I1194" s="15"/>
      <c r="J1194" s="494"/>
      <c r="K1194" s="513"/>
      <c r="L1194" s="513"/>
      <c r="M1194" s="513"/>
      <c r="N1194" s="514"/>
      <c r="O1194" s="513"/>
      <c r="P1194" s="513"/>
      <c r="Q1194" s="513"/>
      <c r="R1194" s="513"/>
      <c r="S1194" s="513"/>
      <c r="T1194" s="514"/>
      <c r="U1194" s="32">
        <f>SUM(U1195:U1212)</f>
        <v>0</v>
      </c>
      <c r="V1194" s="15" t="str">
        <f t="shared" si="118"/>
        <v>204051000</v>
      </c>
      <c r="W1194" s="33">
        <v>2</v>
      </c>
      <c r="X1194" s="34" t="s">
        <v>693</v>
      </c>
      <c r="Y1194" s="34" t="s">
        <v>714</v>
      </c>
      <c r="Z1194" s="35" t="s">
        <v>1225</v>
      </c>
      <c r="AA1194" s="35" t="s">
        <v>630</v>
      </c>
      <c r="AB1194" s="31" t="s">
        <v>3433</v>
      </c>
      <c r="AC1194" s="529">
        <f>SUM(AC1195:AC1212)</f>
        <v>0</v>
      </c>
      <c r="AD1194" s="513" t="s">
        <v>1519</v>
      </c>
      <c r="AE1194" s="513" t="s">
        <v>13559</v>
      </c>
      <c r="AF1194" s="513" t="s">
        <v>3434</v>
      </c>
      <c r="AG1194" s="514" t="s">
        <v>3435</v>
      </c>
      <c r="AH1194" s="44">
        <f>SUM(AH1195:AH1212)</f>
        <v>0</v>
      </c>
      <c r="AI1194" s="10"/>
      <c r="AJ1194" s="9">
        <f t="shared" si="124"/>
        <v>0</v>
      </c>
      <c r="AK1194" s="10"/>
      <c r="AL1194" s="10"/>
    </row>
    <row r="1195" spans="1:38" ht="67.5" hidden="1">
      <c r="A1195" s="1">
        <f t="shared" si="121"/>
        <v>0</v>
      </c>
      <c r="B1195" s="2" t="s">
        <v>3436</v>
      </c>
      <c r="C1195" s="3" t="s">
        <v>3437</v>
      </c>
      <c r="D1195" s="15" t="s">
        <v>11715</v>
      </c>
      <c r="E1195" s="4" t="s">
        <v>3436</v>
      </c>
      <c r="F1195" s="37" t="s">
        <v>3437</v>
      </c>
      <c r="G1195" s="38">
        <v>0</v>
      </c>
      <c r="H1195" s="38">
        <v>0</v>
      </c>
      <c r="I1195" s="15"/>
      <c r="J1195" s="494">
        <v>20405100101</v>
      </c>
      <c r="K1195" s="517" t="s">
        <v>1519</v>
      </c>
      <c r="L1195" s="517" t="s">
        <v>13559</v>
      </c>
      <c r="M1195" s="517" t="s">
        <v>3434</v>
      </c>
      <c r="N1195" s="518" t="s">
        <v>3435</v>
      </c>
      <c r="O1195" s="517">
        <v>2</v>
      </c>
      <c r="P1195" s="517" t="s">
        <v>693</v>
      </c>
      <c r="Q1195" s="517" t="s">
        <v>714</v>
      </c>
      <c r="R1195" s="517" t="s">
        <v>1225</v>
      </c>
      <c r="S1195" s="517" t="s">
        <v>632</v>
      </c>
      <c r="T1195" s="518" t="s">
        <v>3438</v>
      </c>
      <c r="U1195" s="38">
        <v>0</v>
      </c>
      <c r="V1195" s="15" t="str">
        <f t="shared" si="118"/>
        <v>204051001</v>
      </c>
      <c r="W1195" s="39">
        <v>2</v>
      </c>
      <c r="X1195" s="40" t="s">
        <v>693</v>
      </c>
      <c r="Y1195" s="40" t="s">
        <v>714</v>
      </c>
      <c r="Z1195" s="40" t="s">
        <v>1225</v>
      </c>
      <c r="AA1195" s="40" t="s">
        <v>632</v>
      </c>
      <c r="AB1195" s="41" t="s">
        <v>3438</v>
      </c>
      <c r="AC1195" s="519">
        <f t="shared" ref="AC1195:AC1212" si="125">H1195</f>
        <v>0</v>
      </c>
      <c r="AD1195" s="517" t="s">
        <v>1519</v>
      </c>
      <c r="AE1195" s="517" t="s">
        <v>13559</v>
      </c>
      <c r="AF1195" s="517" t="s">
        <v>3434</v>
      </c>
      <c r="AG1195" s="520" t="s">
        <v>3435</v>
      </c>
      <c r="AH1195" s="67">
        <f t="shared" ref="AH1195:AH1212" si="126">AC1195</f>
        <v>0</v>
      </c>
      <c r="AI1195" s="10"/>
      <c r="AJ1195" s="9">
        <f t="shared" si="124"/>
        <v>0</v>
      </c>
      <c r="AK1195" s="10"/>
      <c r="AL1195" s="10"/>
    </row>
    <row r="1196" spans="1:38" ht="67.5" hidden="1">
      <c r="A1196" s="1">
        <f t="shared" si="121"/>
        <v>0</v>
      </c>
      <c r="B1196" s="2" t="s">
        <v>3439</v>
      </c>
      <c r="C1196" s="3" t="s">
        <v>3440</v>
      </c>
      <c r="D1196" s="15" t="s">
        <v>11715</v>
      </c>
      <c r="E1196" s="4" t="s">
        <v>3439</v>
      </c>
      <c r="F1196" s="37" t="s">
        <v>3440</v>
      </c>
      <c r="G1196" s="38">
        <v>0</v>
      </c>
      <c r="H1196" s="38">
        <v>0</v>
      </c>
      <c r="I1196" s="15"/>
      <c r="J1196" s="494">
        <v>20405100102</v>
      </c>
      <c r="K1196" s="517" t="s">
        <v>1519</v>
      </c>
      <c r="L1196" s="517" t="s">
        <v>13559</v>
      </c>
      <c r="M1196" s="517" t="s">
        <v>3434</v>
      </c>
      <c r="N1196" s="518" t="s">
        <v>3435</v>
      </c>
      <c r="O1196" s="517">
        <v>2</v>
      </c>
      <c r="P1196" s="517" t="s">
        <v>693</v>
      </c>
      <c r="Q1196" s="517" t="s">
        <v>714</v>
      </c>
      <c r="R1196" s="517" t="s">
        <v>1225</v>
      </c>
      <c r="S1196" s="517" t="s">
        <v>632</v>
      </c>
      <c r="T1196" s="518" t="s">
        <v>3438</v>
      </c>
      <c r="U1196" s="38">
        <v>0</v>
      </c>
      <c r="V1196" s="15" t="str">
        <f t="shared" si="118"/>
        <v>204051002</v>
      </c>
      <c r="W1196" s="39">
        <v>2</v>
      </c>
      <c r="X1196" s="40" t="s">
        <v>693</v>
      </c>
      <c r="Y1196" s="40" t="s">
        <v>714</v>
      </c>
      <c r="Z1196" s="40" t="s">
        <v>1225</v>
      </c>
      <c r="AA1196" s="40" t="s">
        <v>647</v>
      </c>
      <c r="AB1196" s="41" t="s">
        <v>3441</v>
      </c>
      <c r="AC1196" s="519">
        <f t="shared" si="125"/>
        <v>0</v>
      </c>
      <c r="AD1196" s="517" t="s">
        <v>1519</v>
      </c>
      <c r="AE1196" s="517" t="s">
        <v>13559</v>
      </c>
      <c r="AF1196" s="517" t="s">
        <v>3434</v>
      </c>
      <c r="AG1196" s="520" t="s">
        <v>3435</v>
      </c>
      <c r="AH1196" s="67">
        <f t="shared" si="126"/>
        <v>0</v>
      </c>
      <c r="AI1196" s="10"/>
      <c r="AJ1196" s="9">
        <f t="shared" si="124"/>
        <v>0</v>
      </c>
      <c r="AK1196" s="10"/>
      <c r="AL1196" s="10"/>
    </row>
    <row r="1197" spans="1:38" ht="67.5" hidden="1">
      <c r="A1197" s="1">
        <f t="shared" si="121"/>
        <v>0</v>
      </c>
      <c r="B1197" s="2" t="s">
        <v>3442</v>
      </c>
      <c r="C1197" s="3" t="s">
        <v>3443</v>
      </c>
      <c r="D1197" s="15" t="s">
        <v>11715</v>
      </c>
      <c r="E1197" s="4" t="s">
        <v>3442</v>
      </c>
      <c r="F1197" s="37" t="s">
        <v>3443</v>
      </c>
      <c r="G1197" s="38">
        <v>0</v>
      </c>
      <c r="H1197" s="38">
        <v>0</v>
      </c>
      <c r="I1197" s="15"/>
      <c r="J1197" s="494">
        <v>20405100103</v>
      </c>
      <c r="K1197" s="517" t="s">
        <v>1519</v>
      </c>
      <c r="L1197" s="517" t="s">
        <v>13559</v>
      </c>
      <c r="M1197" s="517" t="s">
        <v>3434</v>
      </c>
      <c r="N1197" s="518" t="s">
        <v>3435</v>
      </c>
      <c r="O1197" s="517">
        <v>2</v>
      </c>
      <c r="P1197" s="517" t="s">
        <v>693</v>
      </c>
      <c r="Q1197" s="517" t="s">
        <v>714</v>
      </c>
      <c r="R1197" s="517" t="s">
        <v>1225</v>
      </c>
      <c r="S1197" s="517" t="s">
        <v>632</v>
      </c>
      <c r="T1197" s="518" t="s">
        <v>3438</v>
      </c>
      <c r="U1197" s="38">
        <v>0</v>
      </c>
      <c r="V1197" s="15" t="str">
        <f t="shared" si="118"/>
        <v>204051003</v>
      </c>
      <c r="W1197" s="39">
        <v>2</v>
      </c>
      <c r="X1197" s="40" t="s">
        <v>693</v>
      </c>
      <c r="Y1197" s="40" t="s">
        <v>714</v>
      </c>
      <c r="Z1197" s="40" t="s">
        <v>1225</v>
      </c>
      <c r="AA1197" s="40" t="s">
        <v>671</v>
      </c>
      <c r="AB1197" s="41" t="s">
        <v>3444</v>
      </c>
      <c r="AC1197" s="519">
        <f t="shared" si="125"/>
        <v>0</v>
      </c>
      <c r="AD1197" s="517" t="s">
        <v>1519</v>
      </c>
      <c r="AE1197" s="517" t="s">
        <v>13559</v>
      </c>
      <c r="AF1197" s="517" t="s">
        <v>3434</v>
      </c>
      <c r="AG1197" s="520" t="s">
        <v>3435</v>
      </c>
      <c r="AH1197" s="67">
        <f t="shared" si="126"/>
        <v>0</v>
      </c>
      <c r="AI1197" s="10"/>
      <c r="AJ1197" s="9">
        <f t="shared" si="124"/>
        <v>0</v>
      </c>
      <c r="AK1197" s="10"/>
      <c r="AL1197" s="10"/>
    </row>
    <row r="1198" spans="1:38" ht="67.5" hidden="1">
      <c r="A1198" s="1">
        <f t="shared" si="121"/>
        <v>0</v>
      </c>
      <c r="B1198" s="2" t="s">
        <v>3445</v>
      </c>
      <c r="C1198" s="3" t="s">
        <v>3446</v>
      </c>
      <c r="D1198" s="15" t="s">
        <v>11715</v>
      </c>
      <c r="E1198" s="4" t="s">
        <v>3445</v>
      </c>
      <c r="F1198" s="37" t="s">
        <v>3446</v>
      </c>
      <c r="G1198" s="38">
        <v>0</v>
      </c>
      <c r="H1198" s="38">
        <v>0</v>
      </c>
      <c r="I1198" s="15"/>
      <c r="J1198" s="494">
        <v>20405100104</v>
      </c>
      <c r="K1198" s="517" t="s">
        <v>1519</v>
      </c>
      <c r="L1198" s="517" t="s">
        <v>13559</v>
      </c>
      <c r="M1198" s="517" t="s">
        <v>3434</v>
      </c>
      <c r="N1198" s="518" t="s">
        <v>3435</v>
      </c>
      <c r="O1198" s="517">
        <v>2</v>
      </c>
      <c r="P1198" s="517" t="s">
        <v>693</v>
      </c>
      <c r="Q1198" s="517" t="s">
        <v>714</v>
      </c>
      <c r="R1198" s="517" t="s">
        <v>1225</v>
      </c>
      <c r="S1198" s="517" t="s">
        <v>632</v>
      </c>
      <c r="T1198" s="518" t="s">
        <v>3438</v>
      </c>
      <c r="U1198" s="38">
        <v>0</v>
      </c>
      <c r="V1198" s="15" t="str">
        <f t="shared" si="118"/>
        <v>204051004</v>
      </c>
      <c r="W1198" s="39">
        <v>2</v>
      </c>
      <c r="X1198" s="40" t="s">
        <v>693</v>
      </c>
      <c r="Y1198" s="40" t="s">
        <v>714</v>
      </c>
      <c r="Z1198" s="40" t="s">
        <v>1225</v>
      </c>
      <c r="AA1198" s="40" t="s">
        <v>693</v>
      </c>
      <c r="AB1198" s="41" t="s">
        <v>3447</v>
      </c>
      <c r="AC1198" s="519">
        <f t="shared" si="125"/>
        <v>0</v>
      </c>
      <c r="AD1198" s="517" t="s">
        <v>1519</v>
      </c>
      <c r="AE1198" s="517" t="s">
        <v>13559</v>
      </c>
      <c r="AF1198" s="517" t="s">
        <v>3434</v>
      </c>
      <c r="AG1198" s="520" t="s">
        <v>3435</v>
      </c>
      <c r="AH1198" s="67">
        <f t="shared" si="126"/>
        <v>0</v>
      </c>
      <c r="AI1198" s="10"/>
      <c r="AJ1198" s="9">
        <f t="shared" si="124"/>
        <v>0</v>
      </c>
      <c r="AK1198" s="10"/>
      <c r="AL1198" s="10"/>
    </row>
    <row r="1199" spans="1:38" ht="67.5" hidden="1">
      <c r="A1199" s="1">
        <f t="shared" si="121"/>
        <v>0</v>
      </c>
      <c r="B1199" s="2" t="s">
        <v>3448</v>
      </c>
      <c r="C1199" s="3" t="s">
        <v>3449</v>
      </c>
      <c r="D1199" s="15" t="s">
        <v>11715</v>
      </c>
      <c r="E1199" s="4" t="s">
        <v>3448</v>
      </c>
      <c r="F1199" s="37" t="s">
        <v>3449</v>
      </c>
      <c r="G1199" s="38">
        <v>0</v>
      </c>
      <c r="H1199" s="38">
        <v>0</v>
      </c>
      <c r="I1199" s="15"/>
      <c r="J1199" s="494">
        <v>20405100105</v>
      </c>
      <c r="K1199" s="517" t="s">
        <v>1519</v>
      </c>
      <c r="L1199" s="517" t="s">
        <v>13559</v>
      </c>
      <c r="M1199" s="517" t="s">
        <v>3434</v>
      </c>
      <c r="N1199" s="518" t="s">
        <v>3435</v>
      </c>
      <c r="O1199" s="517">
        <v>2</v>
      </c>
      <c r="P1199" s="517" t="s">
        <v>693</v>
      </c>
      <c r="Q1199" s="517" t="s">
        <v>714</v>
      </c>
      <c r="R1199" s="517" t="s">
        <v>1225</v>
      </c>
      <c r="S1199" s="517" t="s">
        <v>632</v>
      </c>
      <c r="T1199" s="518" t="s">
        <v>3438</v>
      </c>
      <c r="U1199" s="38">
        <v>0</v>
      </c>
      <c r="V1199" s="15" t="str">
        <f t="shared" si="118"/>
        <v>204051005</v>
      </c>
      <c r="W1199" s="39">
        <v>2</v>
      </c>
      <c r="X1199" s="40" t="s">
        <v>693</v>
      </c>
      <c r="Y1199" s="40" t="s">
        <v>714</v>
      </c>
      <c r="Z1199" s="40" t="s">
        <v>1225</v>
      </c>
      <c r="AA1199" s="40" t="s">
        <v>714</v>
      </c>
      <c r="AB1199" s="41" t="s">
        <v>3450</v>
      </c>
      <c r="AC1199" s="519">
        <f t="shared" si="125"/>
        <v>0</v>
      </c>
      <c r="AD1199" s="517" t="s">
        <v>1519</v>
      </c>
      <c r="AE1199" s="517" t="s">
        <v>13559</v>
      </c>
      <c r="AF1199" s="517" t="s">
        <v>3434</v>
      </c>
      <c r="AG1199" s="520" t="s">
        <v>3435</v>
      </c>
      <c r="AH1199" s="67">
        <f t="shared" si="126"/>
        <v>0</v>
      </c>
      <c r="AI1199" s="10"/>
      <c r="AJ1199" s="9">
        <f t="shared" si="124"/>
        <v>0</v>
      </c>
      <c r="AK1199" s="10"/>
      <c r="AL1199" s="10"/>
    </row>
    <row r="1200" spans="1:38" ht="67.5" hidden="1">
      <c r="A1200" s="1">
        <f t="shared" si="121"/>
        <v>0</v>
      </c>
      <c r="B1200" s="2" t="s">
        <v>3451</v>
      </c>
      <c r="C1200" s="3" t="s">
        <v>3452</v>
      </c>
      <c r="D1200" s="15" t="s">
        <v>11715</v>
      </c>
      <c r="E1200" s="4" t="s">
        <v>3451</v>
      </c>
      <c r="F1200" s="37" t="s">
        <v>3452</v>
      </c>
      <c r="G1200" s="38">
        <v>0</v>
      </c>
      <c r="H1200" s="38">
        <v>0</v>
      </c>
      <c r="I1200" s="15"/>
      <c r="J1200" s="494">
        <v>20405100106</v>
      </c>
      <c r="K1200" s="517" t="s">
        <v>1519</v>
      </c>
      <c r="L1200" s="517" t="s">
        <v>13559</v>
      </c>
      <c r="M1200" s="517" t="s">
        <v>3434</v>
      </c>
      <c r="N1200" s="518" t="s">
        <v>3435</v>
      </c>
      <c r="O1200" s="517">
        <v>2</v>
      </c>
      <c r="P1200" s="517" t="s">
        <v>693</v>
      </c>
      <c r="Q1200" s="517" t="s">
        <v>714</v>
      </c>
      <c r="R1200" s="517" t="s">
        <v>1225</v>
      </c>
      <c r="S1200" s="517" t="s">
        <v>632</v>
      </c>
      <c r="T1200" s="518" t="s">
        <v>3438</v>
      </c>
      <c r="U1200" s="38">
        <v>0</v>
      </c>
      <c r="V1200" s="15" t="str">
        <f t="shared" si="118"/>
        <v>204051006</v>
      </c>
      <c r="W1200" s="39">
        <v>2</v>
      </c>
      <c r="X1200" s="40" t="s">
        <v>693</v>
      </c>
      <c r="Y1200" s="40" t="s">
        <v>714</v>
      </c>
      <c r="Z1200" s="40" t="s">
        <v>1225</v>
      </c>
      <c r="AA1200" s="40" t="s">
        <v>739</v>
      </c>
      <c r="AB1200" s="41" t="s">
        <v>3453</v>
      </c>
      <c r="AC1200" s="519">
        <f t="shared" si="125"/>
        <v>0</v>
      </c>
      <c r="AD1200" s="517" t="s">
        <v>1519</v>
      </c>
      <c r="AE1200" s="517" t="s">
        <v>13559</v>
      </c>
      <c r="AF1200" s="517" t="s">
        <v>3434</v>
      </c>
      <c r="AG1200" s="520" t="s">
        <v>3435</v>
      </c>
      <c r="AH1200" s="67">
        <f t="shared" si="126"/>
        <v>0</v>
      </c>
      <c r="AI1200" s="10"/>
      <c r="AJ1200" s="9">
        <f t="shared" si="124"/>
        <v>0</v>
      </c>
      <c r="AK1200" s="10"/>
      <c r="AL1200" s="10"/>
    </row>
    <row r="1201" spans="1:38" ht="67.5" hidden="1">
      <c r="A1201" s="1">
        <f t="shared" si="121"/>
        <v>0</v>
      </c>
      <c r="B1201" s="2" t="s">
        <v>3454</v>
      </c>
      <c r="C1201" s="3" t="s">
        <v>3455</v>
      </c>
      <c r="D1201" s="15" t="s">
        <v>11715</v>
      </c>
      <c r="E1201" s="4" t="s">
        <v>3454</v>
      </c>
      <c r="F1201" s="37" t="s">
        <v>3455</v>
      </c>
      <c r="G1201" s="38">
        <v>0</v>
      </c>
      <c r="H1201" s="38">
        <v>0</v>
      </c>
      <c r="I1201" s="15"/>
      <c r="J1201" s="494">
        <v>20405100107</v>
      </c>
      <c r="K1201" s="517" t="s">
        <v>1519</v>
      </c>
      <c r="L1201" s="517" t="s">
        <v>13559</v>
      </c>
      <c r="M1201" s="517" t="s">
        <v>3434</v>
      </c>
      <c r="N1201" s="518" t="s">
        <v>3435</v>
      </c>
      <c r="O1201" s="517">
        <v>2</v>
      </c>
      <c r="P1201" s="517" t="s">
        <v>693</v>
      </c>
      <c r="Q1201" s="517" t="s">
        <v>714</v>
      </c>
      <c r="R1201" s="517" t="s">
        <v>1225</v>
      </c>
      <c r="S1201" s="517" t="s">
        <v>632</v>
      </c>
      <c r="T1201" s="518" t="s">
        <v>3438</v>
      </c>
      <c r="U1201" s="38">
        <v>0</v>
      </c>
      <c r="V1201" s="15" t="str">
        <f t="shared" si="118"/>
        <v>204051007</v>
      </c>
      <c r="W1201" s="39">
        <v>2</v>
      </c>
      <c r="X1201" s="40" t="s">
        <v>693</v>
      </c>
      <c r="Y1201" s="40" t="s">
        <v>714</v>
      </c>
      <c r="Z1201" s="40" t="s">
        <v>1225</v>
      </c>
      <c r="AA1201" s="40" t="s">
        <v>755</v>
      </c>
      <c r="AB1201" s="41" t="s">
        <v>3456</v>
      </c>
      <c r="AC1201" s="519">
        <f t="shared" si="125"/>
        <v>0</v>
      </c>
      <c r="AD1201" s="517" t="s">
        <v>1519</v>
      </c>
      <c r="AE1201" s="517" t="s">
        <v>13559</v>
      </c>
      <c r="AF1201" s="517" t="s">
        <v>3434</v>
      </c>
      <c r="AG1201" s="520" t="s">
        <v>3435</v>
      </c>
      <c r="AH1201" s="67">
        <f t="shared" si="126"/>
        <v>0</v>
      </c>
      <c r="AI1201" s="10"/>
      <c r="AJ1201" s="9">
        <f t="shared" si="124"/>
        <v>0</v>
      </c>
      <c r="AK1201" s="10"/>
      <c r="AL1201" s="10"/>
    </row>
    <row r="1202" spans="1:38" ht="67.5" hidden="1">
      <c r="A1202" s="1">
        <f t="shared" si="121"/>
        <v>0</v>
      </c>
      <c r="B1202" s="2" t="s">
        <v>3457</v>
      </c>
      <c r="C1202" s="3" t="s">
        <v>3458</v>
      </c>
      <c r="D1202" s="15" t="s">
        <v>11715</v>
      </c>
      <c r="E1202" s="4" t="s">
        <v>3457</v>
      </c>
      <c r="F1202" s="37" t="s">
        <v>3458</v>
      </c>
      <c r="G1202" s="38">
        <v>0</v>
      </c>
      <c r="H1202" s="38">
        <v>0</v>
      </c>
      <c r="I1202" s="15"/>
      <c r="J1202" s="494">
        <v>20405100108</v>
      </c>
      <c r="K1202" s="517" t="s">
        <v>1519</v>
      </c>
      <c r="L1202" s="517" t="s">
        <v>13559</v>
      </c>
      <c r="M1202" s="517" t="s">
        <v>3434</v>
      </c>
      <c r="N1202" s="518" t="s">
        <v>3435</v>
      </c>
      <c r="O1202" s="517">
        <v>2</v>
      </c>
      <c r="P1202" s="517" t="s">
        <v>693</v>
      </c>
      <c r="Q1202" s="517" t="s">
        <v>714</v>
      </c>
      <c r="R1202" s="517" t="s">
        <v>1225</v>
      </c>
      <c r="S1202" s="517" t="s">
        <v>632</v>
      </c>
      <c r="T1202" s="518" t="s">
        <v>3438</v>
      </c>
      <c r="U1202" s="38">
        <v>0</v>
      </c>
      <c r="V1202" s="15" t="str">
        <f t="shared" si="118"/>
        <v>204051008</v>
      </c>
      <c r="W1202" s="39">
        <v>2</v>
      </c>
      <c r="X1202" s="40" t="s">
        <v>693</v>
      </c>
      <c r="Y1202" s="40" t="s">
        <v>714</v>
      </c>
      <c r="Z1202" s="40" t="s">
        <v>1225</v>
      </c>
      <c r="AA1202" s="40" t="s">
        <v>766</v>
      </c>
      <c r="AB1202" s="41" t="s">
        <v>3459</v>
      </c>
      <c r="AC1202" s="519">
        <f t="shared" si="125"/>
        <v>0</v>
      </c>
      <c r="AD1202" s="517" t="s">
        <v>1519</v>
      </c>
      <c r="AE1202" s="517" t="s">
        <v>13559</v>
      </c>
      <c r="AF1202" s="517" t="s">
        <v>3434</v>
      </c>
      <c r="AG1202" s="520" t="s">
        <v>3435</v>
      </c>
      <c r="AH1202" s="67">
        <f t="shared" si="126"/>
        <v>0</v>
      </c>
      <c r="AI1202" s="10"/>
      <c r="AJ1202" s="9">
        <f t="shared" si="124"/>
        <v>0</v>
      </c>
      <c r="AK1202" s="10"/>
      <c r="AL1202" s="10"/>
    </row>
    <row r="1203" spans="1:38" ht="67.5" hidden="1">
      <c r="A1203" s="1">
        <f t="shared" si="121"/>
        <v>0</v>
      </c>
      <c r="B1203" s="2" t="s">
        <v>3460</v>
      </c>
      <c r="C1203" s="3" t="s">
        <v>3461</v>
      </c>
      <c r="D1203" s="15" t="s">
        <v>11715</v>
      </c>
      <c r="E1203" s="4" t="s">
        <v>3460</v>
      </c>
      <c r="F1203" s="37" t="s">
        <v>3461</v>
      </c>
      <c r="G1203" s="38">
        <v>0</v>
      </c>
      <c r="H1203" s="38">
        <v>0</v>
      </c>
      <c r="I1203" s="15"/>
      <c r="J1203" s="494">
        <v>20405100109</v>
      </c>
      <c r="K1203" s="517" t="s">
        <v>1519</v>
      </c>
      <c r="L1203" s="517" t="s">
        <v>13559</v>
      </c>
      <c r="M1203" s="517" t="s">
        <v>3434</v>
      </c>
      <c r="N1203" s="518" t="s">
        <v>3435</v>
      </c>
      <c r="O1203" s="517">
        <v>2</v>
      </c>
      <c r="P1203" s="517" t="s">
        <v>693</v>
      </c>
      <c r="Q1203" s="517" t="s">
        <v>714</v>
      </c>
      <c r="R1203" s="517" t="s">
        <v>1225</v>
      </c>
      <c r="S1203" s="517" t="s">
        <v>632</v>
      </c>
      <c r="T1203" s="518" t="s">
        <v>3438</v>
      </c>
      <c r="U1203" s="38">
        <v>0</v>
      </c>
      <c r="V1203" s="15" t="str">
        <f t="shared" si="118"/>
        <v>204051009</v>
      </c>
      <c r="W1203" s="39">
        <v>2</v>
      </c>
      <c r="X1203" s="40" t="s">
        <v>693</v>
      </c>
      <c r="Y1203" s="40" t="s">
        <v>714</v>
      </c>
      <c r="Z1203" s="40" t="s">
        <v>1225</v>
      </c>
      <c r="AA1203" s="40" t="s">
        <v>779</v>
      </c>
      <c r="AB1203" s="41" t="s">
        <v>3462</v>
      </c>
      <c r="AC1203" s="519">
        <f t="shared" si="125"/>
        <v>0</v>
      </c>
      <c r="AD1203" s="517" t="s">
        <v>1519</v>
      </c>
      <c r="AE1203" s="517" t="s">
        <v>13559</v>
      </c>
      <c r="AF1203" s="517" t="s">
        <v>3434</v>
      </c>
      <c r="AG1203" s="520" t="s">
        <v>3435</v>
      </c>
      <c r="AH1203" s="67">
        <f t="shared" si="126"/>
        <v>0</v>
      </c>
      <c r="AI1203" s="10"/>
      <c r="AJ1203" s="9">
        <f t="shared" si="124"/>
        <v>0</v>
      </c>
      <c r="AK1203" s="10"/>
      <c r="AL1203" s="10"/>
    </row>
    <row r="1204" spans="1:38" ht="67.5" hidden="1">
      <c r="A1204" s="1">
        <f t="shared" si="121"/>
        <v>0</v>
      </c>
      <c r="B1204" s="2" t="s">
        <v>3463</v>
      </c>
      <c r="C1204" s="3" t="s">
        <v>3464</v>
      </c>
      <c r="D1204" s="15" t="s">
        <v>11715</v>
      </c>
      <c r="E1204" s="4" t="s">
        <v>3463</v>
      </c>
      <c r="F1204" s="37" t="s">
        <v>3464</v>
      </c>
      <c r="G1204" s="38">
        <v>0</v>
      </c>
      <c r="H1204" s="38">
        <v>0</v>
      </c>
      <c r="I1204" s="15"/>
      <c r="J1204" s="494">
        <v>20405100110</v>
      </c>
      <c r="K1204" s="517" t="s">
        <v>1519</v>
      </c>
      <c r="L1204" s="517" t="s">
        <v>13559</v>
      </c>
      <c r="M1204" s="517" t="s">
        <v>3434</v>
      </c>
      <c r="N1204" s="518" t="s">
        <v>3435</v>
      </c>
      <c r="O1204" s="517">
        <v>2</v>
      </c>
      <c r="P1204" s="517" t="s">
        <v>693</v>
      </c>
      <c r="Q1204" s="517" t="s">
        <v>714</v>
      </c>
      <c r="R1204" s="517" t="s">
        <v>1225</v>
      </c>
      <c r="S1204" s="517" t="s">
        <v>632</v>
      </c>
      <c r="T1204" s="518" t="s">
        <v>3438</v>
      </c>
      <c r="U1204" s="38">
        <v>0</v>
      </c>
      <c r="V1204" s="15" t="str">
        <f t="shared" si="118"/>
        <v>204051010</v>
      </c>
      <c r="W1204" s="39">
        <v>2</v>
      </c>
      <c r="X1204" s="40" t="s">
        <v>693</v>
      </c>
      <c r="Y1204" s="40" t="s">
        <v>714</v>
      </c>
      <c r="Z1204" s="40" t="s">
        <v>1225</v>
      </c>
      <c r="AA1204" s="40" t="s">
        <v>1225</v>
      </c>
      <c r="AB1204" s="41" t="s">
        <v>3465</v>
      </c>
      <c r="AC1204" s="519">
        <f t="shared" si="125"/>
        <v>0</v>
      </c>
      <c r="AD1204" s="517" t="s">
        <v>1519</v>
      </c>
      <c r="AE1204" s="517" t="s">
        <v>13559</v>
      </c>
      <c r="AF1204" s="517" t="s">
        <v>3434</v>
      </c>
      <c r="AG1204" s="520" t="s">
        <v>3435</v>
      </c>
      <c r="AH1204" s="67">
        <f t="shared" si="126"/>
        <v>0</v>
      </c>
      <c r="AI1204" s="10"/>
      <c r="AJ1204" s="9">
        <f t="shared" si="124"/>
        <v>0</v>
      </c>
      <c r="AK1204" s="10"/>
      <c r="AL1204" s="10"/>
    </row>
    <row r="1205" spans="1:38" ht="67.5" hidden="1">
      <c r="A1205" s="1">
        <f t="shared" si="121"/>
        <v>0</v>
      </c>
      <c r="B1205" s="2" t="s">
        <v>3466</v>
      </c>
      <c r="C1205" s="3" t="s">
        <v>3467</v>
      </c>
      <c r="D1205" s="15" t="s">
        <v>11715</v>
      </c>
      <c r="E1205" s="4" t="s">
        <v>3466</v>
      </c>
      <c r="F1205" s="37" t="s">
        <v>3467</v>
      </c>
      <c r="G1205" s="38">
        <v>0</v>
      </c>
      <c r="H1205" s="38">
        <v>0</v>
      </c>
      <c r="I1205" s="15"/>
      <c r="J1205" s="494">
        <v>20405100111</v>
      </c>
      <c r="K1205" s="517" t="s">
        <v>1519</v>
      </c>
      <c r="L1205" s="517" t="s">
        <v>13559</v>
      </c>
      <c r="M1205" s="517" t="s">
        <v>3434</v>
      </c>
      <c r="N1205" s="518" t="s">
        <v>3435</v>
      </c>
      <c r="O1205" s="517">
        <v>2</v>
      </c>
      <c r="P1205" s="517" t="s">
        <v>693</v>
      </c>
      <c r="Q1205" s="517" t="s">
        <v>714</v>
      </c>
      <c r="R1205" s="517" t="s">
        <v>1225</v>
      </c>
      <c r="S1205" s="517" t="s">
        <v>632</v>
      </c>
      <c r="T1205" s="518" t="s">
        <v>3438</v>
      </c>
      <c r="U1205" s="38">
        <v>0</v>
      </c>
      <c r="V1205" s="15" t="str">
        <f t="shared" si="118"/>
        <v>204051011</v>
      </c>
      <c r="W1205" s="39">
        <v>2</v>
      </c>
      <c r="X1205" s="40" t="s">
        <v>693</v>
      </c>
      <c r="Y1205" s="40" t="s">
        <v>714</v>
      </c>
      <c r="Z1205" s="40" t="s">
        <v>1225</v>
      </c>
      <c r="AA1205" s="40" t="s">
        <v>1229</v>
      </c>
      <c r="AB1205" s="41" t="s">
        <v>3468</v>
      </c>
      <c r="AC1205" s="519">
        <f t="shared" si="125"/>
        <v>0</v>
      </c>
      <c r="AD1205" s="517" t="s">
        <v>1519</v>
      </c>
      <c r="AE1205" s="517" t="s">
        <v>13559</v>
      </c>
      <c r="AF1205" s="517" t="s">
        <v>3434</v>
      </c>
      <c r="AG1205" s="520" t="s">
        <v>3435</v>
      </c>
      <c r="AH1205" s="67">
        <f t="shared" si="126"/>
        <v>0</v>
      </c>
      <c r="AI1205" s="10"/>
      <c r="AJ1205" s="9">
        <f t="shared" si="124"/>
        <v>0</v>
      </c>
      <c r="AK1205" s="10"/>
      <c r="AL1205" s="10"/>
    </row>
    <row r="1206" spans="1:38" ht="67.5" hidden="1">
      <c r="A1206" s="1">
        <f t="shared" si="121"/>
        <v>0</v>
      </c>
      <c r="B1206" s="2" t="s">
        <v>3469</v>
      </c>
      <c r="C1206" s="3" t="s">
        <v>3470</v>
      </c>
      <c r="D1206" s="15" t="s">
        <v>11715</v>
      </c>
      <c r="E1206" s="4" t="s">
        <v>3469</v>
      </c>
      <c r="F1206" s="37" t="s">
        <v>3470</v>
      </c>
      <c r="G1206" s="38">
        <v>0</v>
      </c>
      <c r="H1206" s="38">
        <v>0</v>
      </c>
      <c r="I1206" s="15"/>
      <c r="J1206" s="494">
        <v>20405100112</v>
      </c>
      <c r="K1206" s="517" t="s">
        <v>1519</v>
      </c>
      <c r="L1206" s="517" t="s">
        <v>13559</v>
      </c>
      <c r="M1206" s="517" t="s">
        <v>3434</v>
      </c>
      <c r="N1206" s="518" t="s">
        <v>3435</v>
      </c>
      <c r="O1206" s="517">
        <v>2</v>
      </c>
      <c r="P1206" s="517" t="s">
        <v>693</v>
      </c>
      <c r="Q1206" s="517" t="s">
        <v>714</v>
      </c>
      <c r="R1206" s="517" t="s">
        <v>1225</v>
      </c>
      <c r="S1206" s="517" t="s">
        <v>632</v>
      </c>
      <c r="T1206" s="518" t="s">
        <v>3438</v>
      </c>
      <c r="U1206" s="38">
        <v>0</v>
      </c>
      <c r="V1206" s="15" t="str">
        <f t="shared" si="118"/>
        <v>204051012</v>
      </c>
      <c r="W1206" s="39">
        <v>2</v>
      </c>
      <c r="X1206" s="40" t="s">
        <v>693</v>
      </c>
      <c r="Y1206" s="40" t="s">
        <v>714</v>
      </c>
      <c r="Z1206" s="40" t="s">
        <v>1225</v>
      </c>
      <c r="AA1206" s="40" t="s">
        <v>1243</v>
      </c>
      <c r="AB1206" s="41" t="s">
        <v>3471</v>
      </c>
      <c r="AC1206" s="519">
        <f t="shared" si="125"/>
        <v>0</v>
      </c>
      <c r="AD1206" s="517" t="s">
        <v>1519</v>
      </c>
      <c r="AE1206" s="517" t="s">
        <v>13559</v>
      </c>
      <c r="AF1206" s="517" t="s">
        <v>3434</v>
      </c>
      <c r="AG1206" s="520" t="s">
        <v>3435</v>
      </c>
      <c r="AH1206" s="67">
        <f t="shared" si="126"/>
        <v>0</v>
      </c>
      <c r="AI1206" s="10"/>
      <c r="AJ1206" s="9">
        <f t="shared" si="124"/>
        <v>0</v>
      </c>
      <c r="AK1206" s="10"/>
      <c r="AL1206" s="10"/>
    </row>
    <row r="1207" spans="1:38" ht="67.5" hidden="1">
      <c r="A1207" s="1">
        <f t="shared" si="121"/>
        <v>0</v>
      </c>
      <c r="B1207" s="2" t="s">
        <v>3472</v>
      </c>
      <c r="C1207" s="3" t="s">
        <v>3473</v>
      </c>
      <c r="D1207" s="15" t="s">
        <v>11715</v>
      </c>
      <c r="E1207" s="4" t="s">
        <v>3472</v>
      </c>
      <c r="F1207" s="37" t="s">
        <v>3473</v>
      </c>
      <c r="G1207" s="38">
        <v>0</v>
      </c>
      <c r="H1207" s="38">
        <v>0</v>
      </c>
      <c r="I1207" s="15"/>
      <c r="J1207" s="494">
        <v>20405100113</v>
      </c>
      <c r="K1207" s="517" t="s">
        <v>1519</v>
      </c>
      <c r="L1207" s="517" t="s">
        <v>13559</v>
      </c>
      <c r="M1207" s="517" t="s">
        <v>3434</v>
      </c>
      <c r="N1207" s="518" t="s">
        <v>3435</v>
      </c>
      <c r="O1207" s="517">
        <v>2</v>
      </c>
      <c r="P1207" s="517" t="s">
        <v>693</v>
      </c>
      <c r="Q1207" s="517" t="s">
        <v>714</v>
      </c>
      <c r="R1207" s="517" t="s">
        <v>1225</v>
      </c>
      <c r="S1207" s="517" t="s">
        <v>632</v>
      </c>
      <c r="T1207" s="518" t="s">
        <v>3438</v>
      </c>
      <c r="U1207" s="38">
        <v>0</v>
      </c>
      <c r="V1207" s="15" t="str">
        <f t="shared" si="118"/>
        <v>204051013</v>
      </c>
      <c r="W1207" s="39">
        <v>2</v>
      </c>
      <c r="X1207" s="40" t="s">
        <v>693</v>
      </c>
      <c r="Y1207" s="40" t="s">
        <v>714</v>
      </c>
      <c r="Z1207" s="40" t="s">
        <v>1225</v>
      </c>
      <c r="AA1207" s="40" t="s">
        <v>1247</v>
      </c>
      <c r="AB1207" s="41" t="s">
        <v>3474</v>
      </c>
      <c r="AC1207" s="519">
        <f t="shared" si="125"/>
        <v>0</v>
      </c>
      <c r="AD1207" s="517" t="s">
        <v>1519</v>
      </c>
      <c r="AE1207" s="517" t="s">
        <v>13559</v>
      </c>
      <c r="AF1207" s="517" t="s">
        <v>3434</v>
      </c>
      <c r="AG1207" s="520" t="s">
        <v>3435</v>
      </c>
      <c r="AH1207" s="67">
        <f t="shared" si="126"/>
        <v>0</v>
      </c>
      <c r="AI1207" s="10"/>
      <c r="AJ1207" s="9">
        <f t="shared" si="124"/>
        <v>0</v>
      </c>
      <c r="AK1207" s="10"/>
      <c r="AL1207" s="10"/>
    </row>
    <row r="1208" spans="1:38" ht="67.5" hidden="1">
      <c r="A1208" s="1">
        <f t="shared" si="121"/>
        <v>0</v>
      </c>
      <c r="B1208" s="2" t="s">
        <v>3475</v>
      </c>
      <c r="C1208" s="3" t="s">
        <v>3476</v>
      </c>
      <c r="D1208" s="15" t="s">
        <v>11715</v>
      </c>
      <c r="E1208" s="4" t="s">
        <v>3475</v>
      </c>
      <c r="F1208" s="37" t="s">
        <v>3476</v>
      </c>
      <c r="G1208" s="38">
        <v>0</v>
      </c>
      <c r="H1208" s="38">
        <v>0</v>
      </c>
      <c r="I1208" s="15"/>
      <c r="J1208" s="494">
        <v>20405100114</v>
      </c>
      <c r="K1208" s="517" t="s">
        <v>1519</v>
      </c>
      <c r="L1208" s="517" t="s">
        <v>13559</v>
      </c>
      <c r="M1208" s="517" t="s">
        <v>3434</v>
      </c>
      <c r="N1208" s="518" t="s">
        <v>3435</v>
      </c>
      <c r="O1208" s="517">
        <v>2</v>
      </c>
      <c r="P1208" s="517" t="s">
        <v>693</v>
      </c>
      <c r="Q1208" s="517" t="s">
        <v>714</v>
      </c>
      <c r="R1208" s="517" t="s">
        <v>1225</v>
      </c>
      <c r="S1208" s="517" t="s">
        <v>632</v>
      </c>
      <c r="T1208" s="518" t="s">
        <v>3438</v>
      </c>
      <c r="U1208" s="38">
        <v>0</v>
      </c>
      <c r="V1208" s="15" t="str">
        <f t="shared" si="118"/>
        <v>204051014</v>
      </c>
      <c r="W1208" s="39">
        <v>2</v>
      </c>
      <c r="X1208" s="40" t="s">
        <v>693</v>
      </c>
      <c r="Y1208" s="40" t="s">
        <v>714</v>
      </c>
      <c r="Z1208" s="40" t="s">
        <v>1225</v>
      </c>
      <c r="AA1208" s="40" t="s">
        <v>1253</v>
      </c>
      <c r="AB1208" s="41" t="s">
        <v>3477</v>
      </c>
      <c r="AC1208" s="519">
        <f t="shared" si="125"/>
        <v>0</v>
      </c>
      <c r="AD1208" s="517" t="s">
        <v>1519</v>
      </c>
      <c r="AE1208" s="517" t="s">
        <v>13559</v>
      </c>
      <c r="AF1208" s="517" t="s">
        <v>3434</v>
      </c>
      <c r="AG1208" s="520" t="s">
        <v>3435</v>
      </c>
      <c r="AH1208" s="67">
        <f t="shared" si="126"/>
        <v>0</v>
      </c>
      <c r="AI1208" s="10"/>
      <c r="AJ1208" s="9">
        <f t="shared" si="124"/>
        <v>0</v>
      </c>
      <c r="AK1208" s="10"/>
      <c r="AL1208" s="10"/>
    </row>
    <row r="1209" spans="1:38" ht="67.5" hidden="1">
      <c r="A1209" s="1">
        <f t="shared" si="121"/>
        <v>0</v>
      </c>
      <c r="B1209" s="2" t="s">
        <v>3478</v>
      </c>
      <c r="C1209" s="3" t="s">
        <v>3479</v>
      </c>
      <c r="D1209" s="15" t="s">
        <v>11715</v>
      </c>
      <c r="E1209" s="4" t="s">
        <v>3478</v>
      </c>
      <c r="F1209" s="37" t="s">
        <v>3479</v>
      </c>
      <c r="G1209" s="38">
        <v>0</v>
      </c>
      <c r="H1209" s="38">
        <v>0</v>
      </c>
      <c r="I1209" s="15"/>
      <c r="J1209" s="494">
        <v>20405100115</v>
      </c>
      <c r="K1209" s="517" t="s">
        <v>1519</v>
      </c>
      <c r="L1209" s="517" t="s">
        <v>13559</v>
      </c>
      <c r="M1209" s="517" t="s">
        <v>3434</v>
      </c>
      <c r="N1209" s="518" t="s">
        <v>3435</v>
      </c>
      <c r="O1209" s="517">
        <v>2</v>
      </c>
      <c r="P1209" s="517" t="s">
        <v>693</v>
      </c>
      <c r="Q1209" s="517" t="s">
        <v>714</v>
      </c>
      <c r="R1209" s="517" t="s">
        <v>1225</v>
      </c>
      <c r="S1209" s="517" t="s">
        <v>632</v>
      </c>
      <c r="T1209" s="518" t="s">
        <v>3438</v>
      </c>
      <c r="U1209" s="38">
        <v>0</v>
      </c>
      <c r="V1209" s="15" t="str">
        <f t="shared" si="118"/>
        <v>204051015</v>
      </c>
      <c r="W1209" s="39">
        <v>2</v>
      </c>
      <c r="X1209" s="40" t="s">
        <v>693</v>
      </c>
      <c r="Y1209" s="40" t="s">
        <v>714</v>
      </c>
      <c r="Z1209" s="40" t="s">
        <v>1225</v>
      </c>
      <c r="AA1209" s="40" t="s">
        <v>1257</v>
      </c>
      <c r="AB1209" s="41" t="s">
        <v>3480</v>
      </c>
      <c r="AC1209" s="519">
        <f t="shared" si="125"/>
        <v>0</v>
      </c>
      <c r="AD1209" s="517" t="s">
        <v>1519</v>
      </c>
      <c r="AE1209" s="517" t="s">
        <v>13559</v>
      </c>
      <c r="AF1209" s="517" t="s">
        <v>3434</v>
      </c>
      <c r="AG1209" s="520" t="s">
        <v>3435</v>
      </c>
      <c r="AH1209" s="67">
        <f t="shared" si="126"/>
        <v>0</v>
      </c>
      <c r="AI1209" s="10"/>
      <c r="AJ1209" s="9">
        <f t="shared" si="124"/>
        <v>0</v>
      </c>
      <c r="AK1209" s="10"/>
      <c r="AL1209" s="10"/>
    </row>
    <row r="1210" spans="1:38" ht="67.5" hidden="1">
      <c r="A1210" s="1">
        <f t="shared" si="121"/>
        <v>0</v>
      </c>
      <c r="B1210" s="2" t="s">
        <v>3481</v>
      </c>
      <c r="C1210" s="3" t="s">
        <v>3482</v>
      </c>
      <c r="D1210" s="15" t="s">
        <v>11715</v>
      </c>
      <c r="E1210" s="4" t="s">
        <v>3481</v>
      </c>
      <c r="F1210" s="37" t="s">
        <v>3482</v>
      </c>
      <c r="G1210" s="38">
        <v>0</v>
      </c>
      <c r="H1210" s="38">
        <v>0</v>
      </c>
      <c r="I1210" s="15"/>
      <c r="J1210" s="494">
        <v>20405100116</v>
      </c>
      <c r="K1210" s="517" t="s">
        <v>1519</v>
      </c>
      <c r="L1210" s="517" t="s">
        <v>13559</v>
      </c>
      <c r="M1210" s="517" t="s">
        <v>3434</v>
      </c>
      <c r="N1210" s="518" t="s">
        <v>3435</v>
      </c>
      <c r="O1210" s="517">
        <v>2</v>
      </c>
      <c r="P1210" s="517" t="s">
        <v>693</v>
      </c>
      <c r="Q1210" s="517" t="s">
        <v>714</v>
      </c>
      <c r="R1210" s="517" t="s">
        <v>1225</v>
      </c>
      <c r="S1210" s="517" t="s">
        <v>632</v>
      </c>
      <c r="T1210" s="518" t="s">
        <v>3438</v>
      </c>
      <c r="U1210" s="38">
        <v>0</v>
      </c>
      <c r="V1210" s="15" t="str">
        <f t="shared" si="118"/>
        <v>204051016</v>
      </c>
      <c r="W1210" s="39">
        <v>2</v>
      </c>
      <c r="X1210" s="40" t="s">
        <v>693</v>
      </c>
      <c r="Y1210" s="40" t="s">
        <v>714</v>
      </c>
      <c r="Z1210" s="40" t="s">
        <v>1225</v>
      </c>
      <c r="AA1210" s="40" t="s">
        <v>1332</v>
      </c>
      <c r="AB1210" s="41" t="s">
        <v>3483</v>
      </c>
      <c r="AC1210" s="519">
        <f t="shared" si="125"/>
        <v>0</v>
      </c>
      <c r="AD1210" s="517" t="s">
        <v>1519</v>
      </c>
      <c r="AE1210" s="517" t="s">
        <v>13559</v>
      </c>
      <c r="AF1210" s="517" t="s">
        <v>3434</v>
      </c>
      <c r="AG1210" s="520" t="s">
        <v>3435</v>
      </c>
      <c r="AH1210" s="67">
        <f t="shared" si="126"/>
        <v>0</v>
      </c>
      <c r="AI1210" s="10"/>
      <c r="AJ1210" s="9">
        <f t="shared" si="124"/>
        <v>0</v>
      </c>
      <c r="AK1210" s="10"/>
      <c r="AL1210" s="10"/>
    </row>
    <row r="1211" spans="1:38" ht="67.5" hidden="1">
      <c r="A1211" s="1">
        <f t="shared" si="121"/>
        <v>0</v>
      </c>
      <c r="B1211" s="2" t="s">
        <v>3484</v>
      </c>
      <c r="C1211" s="3" t="s">
        <v>3452</v>
      </c>
      <c r="D1211" s="15" t="s">
        <v>11715</v>
      </c>
      <c r="E1211" s="4" t="s">
        <v>3484</v>
      </c>
      <c r="F1211" s="37" t="s">
        <v>3452</v>
      </c>
      <c r="G1211" s="38">
        <v>0</v>
      </c>
      <c r="H1211" s="38">
        <v>0</v>
      </c>
      <c r="I1211" s="15"/>
      <c r="J1211" s="494">
        <v>20405100117</v>
      </c>
      <c r="K1211" s="517" t="s">
        <v>1519</v>
      </c>
      <c r="L1211" s="517" t="s">
        <v>13559</v>
      </c>
      <c r="M1211" s="517" t="s">
        <v>3434</v>
      </c>
      <c r="N1211" s="518" t="s">
        <v>3435</v>
      </c>
      <c r="O1211" s="517">
        <v>2</v>
      </c>
      <c r="P1211" s="517" t="s">
        <v>693</v>
      </c>
      <c r="Q1211" s="517" t="s">
        <v>714</v>
      </c>
      <c r="R1211" s="517" t="s">
        <v>1225</v>
      </c>
      <c r="S1211" s="517" t="s">
        <v>632</v>
      </c>
      <c r="T1211" s="518" t="s">
        <v>3438</v>
      </c>
      <c r="U1211" s="38">
        <v>0</v>
      </c>
      <c r="V1211" s="15" t="str">
        <f t="shared" si="118"/>
        <v>204051017</v>
      </c>
      <c r="W1211" s="39">
        <v>2</v>
      </c>
      <c r="X1211" s="40" t="s">
        <v>693</v>
      </c>
      <c r="Y1211" s="40" t="s">
        <v>714</v>
      </c>
      <c r="Z1211" s="40" t="s">
        <v>1225</v>
      </c>
      <c r="AA1211" s="40" t="s">
        <v>1838</v>
      </c>
      <c r="AB1211" s="41" t="s">
        <v>3485</v>
      </c>
      <c r="AC1211" s="519">
        <f t="shared" si="125"/>
        <v>0</v>
      </c>
      <c r="AD1211" s="517" t="s">
        <v>1519</v>
      </c>
      <c r="AE1211" s="517" t="s">
        <v>13559</v>
      </c>
      <c r="AF1211" s="517" t="s">
        <v>3434</v>
      </c>
      <c r="AG1211" s="520" t="s">
        <v>3435</v>
      </c>
      <c r="AH1211" s="67">
        <f t="shared" si="126"/>
        <v>0</v>
      </c>
      <c r="AI1211" s="10"/>
      <c r="AJ1211" s="9">
        <f t="shared" si="124"/>
        <v>0</v>
      </c>
      <c r="AK1211" s="10"/>
      <c r="AL1211" s="10"/>
    </row>
    <row r="1212" spans="1:38" ht="67.5" hidden="1">
      <c r="A1212" s="1">
        <f t="shared" si="121"/>
        <v>0</v>
      </c>
      <c r="B1212" s="2" t="s">
        <v>3486</v>
      </c>
      <c r="C1212" s="3" t="s">
        <v>3487</v>
      </c>
      <c r="D1212" s="15" t="s">
        <v>11715</v>
      </c>
      <c r="E1212" s="4" t="s">
        <v>3486</v>
      </c>
      <c r="F1212" s="37" t="s">
        <v>3487</v>
      </c>
      <c r="G1212" s="38">
        <v>0</v>
      </c>
      <c r="H1212" s="38">
        <v>0</v>
      </c>
      <c r="I1212" s="15"/>
      <c r="J1212" s="494">
        <v>20405100118</v>
      </c>
      <c r="K1212" s="517" t="s">
        <v>1519</v>
      </c>
      <c r="L1212" s="517" t="s">
        <v>13559</v>
      </c>
      <c r="M1212" s="517" t="s">
        <v>3434</v>
      </c>
      <c r="N1212" s="518" t="s">
        <v>3435</v>
      </c>
      <c r="O1212" s="517">
        <v>2</v>
      </c>
      <c r="P1212" s="517" t="s">
        <v>693</v>
      </c>
      <c r="Q1212" s="517" t="s">
        <v>714</v>
      </c>
      <c r="R1212" s="517" t="s">
        <v>1225</v>
      </c>
      <c r="S1212" s="517" t="s">
        <v>632</v>
      </c>
      <c r="T1212" s="518" t="s">
        <v>3438</v>
      </c>
      <c r="U1212" s="38">
        <v>0</v>
      </c>
      <c r="V1212" s="15" t="str">
        <f t="shared" si="118"/>
        <v>204051018</v>
      </c>
      <c r="W1212" s="39">
        <v>2</v>
      </c>
      <c r="X1212" s="40" t="s">
        <v>693</v>
      </c>
      <c r="Y1212" s="40" t="s">
        <v>714</v>
      </c>
      <c r="Z1212" s="40" t="s">
        <v>1225</v>
      </c>
      <c r="AA1212" s="40" t="s">
        <v>1842</v>
      </c>
      <c r="AB1212" s="41" t="s">
        <v>3488</v>
      </c>
      <c r="AC1212" s="519">
        <f t="shared" si="125"/>
        <v>0</v>
      </c>
      <c r="AD1212" s="517" t="s">
        <v>1519</v>
      </c>
      <c r="AE1212" s="517" t="s">
        <v>13559</v>
      </c>
      <c r="AF1212" s="517" t="s">
        <v>3434</v>
      </c>
      <c r="AG1212" s="520" t="s">
        <v>3435</v>
      </c>
      <c r="AH1212" s="67">
        <f t="shared" si="126"/>
        <v>0</v>
      </c>
      <c r="AI1212" s="10"/>
      <c r="AJ1212" s="9">
        <f t="shared" si="124"/>
        <v>0</v>
      </c>
      <c r="AK1212" s="10"/>
      <c r="AL1212" s="10"/>
    </row>
    <row r="1213" spans="1:38" ht="45" hidden="1">
      <c r="A1213" s="1">
        <f t="shared" si="121"/>
        <v>0</v>
      </c>
      <c r="B1213" s="11"/>
      <c r="C1213" s="11"/>
      <c r="D1213" s="15" t="s">
        <v>16</v>
      </c>
      <c r="E1213" s="30"/>
      <c r="F1213" s="31" t="s">
        <v>3489</v>
      </c>
      <c r="G1213" s="32">
        <f>G1214</f>
        <v>0</v>
      </c>
      <c r="H1213" s="32">
        <f>H1214</f>
        <v>0</v>
      </c>
      <c r="I1213" s="15"/>
      <c r="J1213" s="494"/>
      <c r="K1213" s="513"/>
      <c r="L1213" s="513"/>
      <c r="M1213" s="513"/>
      <c r="N1213" s="514"/>
      <c r="O1213" s="513"/>
      <c r="P1213" s="513"/>
      <c r="Q1213" s="513"/>
      <c r="R1213" s="513"/>
      <c r="S1213" s="513"/>
      <c r="T1213" s="514"/>
      <c r="U1213" s="32">
        <f>U1214</f>
        <v>0</v>
      </c>
      <c r="V1213" s="15" t="str">
        <f t="shared" si="118"/>
        <v>204051100</v>
      </c>
      <c r="W1213" s="33">
        <v>2</v>
      </c>
      <c r="X1213" s="34" t="s">
        <v>693</v>
      </c>
      <c r="Y1213" s="34" t="s">
        <v>714</v>
      </c>
      <c r="Z1213" s="35" t="s">
        <v>1229</v>
      </c>
      <c r="AA1213" s="35" t="s">
        <v>630</v>
      </c>
      <c r="AB1213" s="31" t="s">
        <v>3489</v>
      </c>
      <c r="AC1213" s="529">
        <f>AC1214</f>
        <v>0</v>
      </c>
      <c r="AD1213" s="513" t="s">
        <v>1422</v>
      </c>
      <c r="AE1213" s="513" t="s">
        <v>13560</v>
      </c>
      <c r="AF1213" s="513" t="s">
        <v>3490</v>
      </c>
      <c r="AG1213" s="514" t="s">
        <v>3491</v>
      </c>
      <c r="AH1213" s="44">
        <f>AH1214</f>
        <v>0</v>
      </c>
      <c r="AI1213" s="10"/>
      <c r="AJ1213" s="9">
        <f t="shared" si="124"/>
        <v>0</v>
      </c>
      <c r="AK1213" s="10"/>
      <c r="AL1213" s="10"/>
    </row>
    <row r="1214" spans="1:38" ht="45" hidden="1">
      <c r="A1214" s="1">
        <f t="shared" si="121"/>
        <v>0</v>
      </c>
      <c r="B1214" s="2" t="s">
        <v>3492</v>
      </c>
      <c r="C1214" s="3" t="s">
        <v>3493</v>
      </c>
      <c r="D1214" s="15" t="s">
        <v>11716</v>
      </c>
      <c r="E1214" s="4" t="s">
        <v>3492</v>
      </c>
      <c r="F1214" s="37" t="s">
        <v>3493</v>
      </c>
      <c r="G1214" s="38">
        <v>0</v>
      </c>
      <c r="H1214" s="38">
        <v>0</v>
      </c>
      <c r="I1214" s="15"/>
      <c r="J1214" s="494">
        <v>20405110101</v>
      </c>
      <c r="K1214" s="517" t="s">
        <v>1422</v>
      </c>
      <c r="L1214" s="517" t="s">
        <v>13560</v>
      </c>
      <c r="M1214" s="517" t="s">
        <v>3490</v>
      </c>
      <c r="N1214" s="518" t="s">
        <v>3491</v>
      </c>
      <c r="O1214" s="517">
        <v>2</v>
      </c>
      <c r="P1214" s="517" t="s">
        <v>693</v>
      </c>
      <c r="Q1214" s="517" t="s">
        <v>714</v>
      </c>
      <c r="R1214" s="517" t="s">
        <v>1229</v>
      </c>
      <c r="S1214" s="517" t="s">
        <v>632</v>
      </c>
      <c r="T1214" s="518" t="s">
        <v>3489</v>
      </c>
      <c r="U1214" s="38">
        <v>0</v>
      </c>
      <c r="V1214" s="15" t="str">
        <f t="shared" si="118"/>
        <v>204051101</v>
      </c>
      <c r="W1214" s="39">
        <v>2</v>
      </c>
      <c r="X1214" s="40" t="s">
        <v>693</v>
      </c>
      <c r="Y1214" s="40" t="s">
        <v>714</v>
      </c>
      <c r="Z1214" s="40" t="s">
        <v>1229</v>
      </c>
      <c r="AA1214" s="40" t="s">
        <v>632</v>
      </c>
      <c r="AB1214" s="41" t="s">
        <v>3489</v>
      </c>
      <c r="AC1214" s="9">
        <f>H1214</f>
        <v>0</v>
      </c>
      <c r="AD1214" s="517" t="s">
        <v>1422</v>
      </c>
      <c r="AE1214" s="517" t="s">
        <v>13560</v>
      </c>
      <c r="AF1214" s="517" t="s">
        <v>3490</v>
      </c>
      <c r="AG1214" s="520" t="s">
        <v>3491</v>
      </c>
      <c r="AH1214" s="67">
        <f>AC1214</f>
        <v>0</v>
      </c>
      <c r="AI1214" s="10"/>
      <c r="AJ1214" s="9">
        <f t="shared" si="124"/>
        <v>0</v>
      </c>
      <c r="AK1214" s="10"/>
      <c r="AL1214" s="10"/>
    </row>
    <row r="1215" spans="1:38" ht="33.75" hidden="1">
      <c r="A1215" s="1">
        <f t="shared" si="121"/>
        <v>0</v>
      </c>
      <c r="B1215" s="11"/>
      <c r="C1215" s="11"/>
      <c r="D1215" s="15" t="s">
        <v>16</v>
      </c>
      <c r="E1215" s="30"/>
      <c r="F1215" s="31" t="s">
        <v>3494</v>
      </c>
      <c r="G1215" s="32">
        <f>G1216</f>
        <v>55421.43</v>
      </c>
      <c r="H1215" s="32">
        <f>H1216</f>
        <v>55100.93</v>
      </c>
      <c r="I1215" s="15"/>
      <c r="J1215" s="494"/>
      <c r="K1215" s="513"/>
      <c r="L1215" s="513"/>
      <c r="M1215" s="513"/>
      <c r="N1215" s="514"/>
      <c r="O1215" s="513"/>
      <c r="P1215" s="513"/>
      <c r="Q1215" s="513"/>
      <c r="R1215" s="513"/>
      <c r="S1215" s="513"/>
      <c r="T1215" s="514"/>
      <c r="U1215" s="32">
        <f>U1216</f>
        <v>55100.93</v>
      </c>
      <c r="V1215" s="15" t="str">
        <f t="shared" si="118"/>
        <v>204050700</v>
      </c>
      <c r="W1215" s="33">
        <v>2</v>
      </c>
      <c r="X1215" s="34" t="s">
        <v>693</v>
      </c>
      <c r="Y1215" s="34" t="s">
        <v>714</v>
      </c>
      <c r="Z1215" s="35" t="s">
        <v>755</v>
      </c>
      <c r="AA1215" s="35" t="s">
        <v>630</v>
      </c>
      <c r="AB1215" s="31" t="s">
        <v>3494</v>
      </c>
      <c r="AC1215" s="529">
        <f>AC1216</f>
        <v>55100.93</v>
      </c>
      <c r="AD1215" s="513" t="s">
        <v>1340</v>
      </c>
      <c r="AE1215" s="513" t="s">
        <v>13561</v>
      </c>
      <c r="AF1215" s="513" t="s">
        <v>296</v>
      </c>
      <c r="AG1215" s="514" t="s">
        <v>13562</v>
      </c>
      <c r="AH1215" s="44">
        <f>AH1216</f>
        <v>55100.93</v>
      </c>
      <c r="AI1215" s="10"/>
      <c r="AJ1215" s="9">
        <f t="shared" si="124"/>
        <v>0</v>
      </c>
      <c r="AK1215" s="10"/>
      <c r="AL1215" s="10"/>
    </row>
    <row r="1216" spans="1:38" ht="33.75" hidden="1">
      <c r="A1216" s="1">
        <f t="shared" si="121"/>
        <v>0</v>
      </c>
      <c r="B1216" s="2" t="s">
        <v>3495</v>
      </c>
      <c r="C1216" s="3" t="s">
        <v>3496</v>
      </c>
      <c r="D1216" s="15" t="s">
        <v>11717</v>
      </c>
      <c r="E1216" s="4" t="s">
        <v>3495</v>
      </c>
      <c r="F1216" s="37" t="s">
        <v>3496</v>
      </c>
      <c r="G1216" s="38">
        <v>55421.43</v>
      </c>
      <c r="H1216" s="38">
        <v>55100.93</v>
      </c>
      <c r="I1216" s="15"/>
      <c r="J1216" s="494">
        <v>20405070101</v>
      </c>
      <c r="K1216" s="517" t="s">
        <v>1340</v>
      </c>
      <c r="L1216" s="517" t="s">
        <v>13561</v>
      </c>
      <c r="M1216" s="517" t="s">
        <v>296</v>
      </c>
      <c r="N1216" s="518" t="s">
        <v>13562</v>
      </c>
      <c r="O1216" s="517">
        <v>2</v>
      </c>
      <c r="P1216" s="517" t="s">
        <v>693</v>
      </c>
      <c r="Q1216" s="517" t="s">
        <v>714</v>
      </c>
      <c r="R1216" s="517" t="s">
        <v>755</v>
      </c>
      <c r="S1216" s="517" t="s">
        <v>632</v>
      </c>
      <c r="T1216" s="518" t="s">
        <v>3494</v>
      </c>
      <c r="U1216" s="38">
        <v>55100.93</v>
      </c>
      <c r="V1216" s="15" t="str">
        <f t="shared" si="118"/>
        <v>204050701</v>
      </c>
      <c r="W1216" s="39">
        <v>2</v>
      </c>
      <c r="X1216" s="40" t="s">
        <v>693</v>
      </c>
      <c r="Y1216" s="40" t="s">
        <v>714</v>
      </c>
      <c r="Z1216" s="40" t="s">
        <v>755</v>
      </c>
      <c r="AA1216" s="40" t="s">
        <v>632</v>
      </c>
      <c r="AB1216" s="41" t="s">
        <v>3494</v>
      </c>
      <c r="AC1216" s="9">
        <f>H1216</f>
        <v>55100.93</v>
      </c>
      <c r="AD1216" s="517" t="s">
        <v>1340</v>
      </c>
      <c r="AE1216" s="517" t="s">
        <v>13561</v>
      </c>
      <c r="AF1216" s="517" t="s">
        <v>296</v>
      </c>
      <c r="AG1216" s="520" t="s">
        <v>13562</v>
      </c>
      <c r="AH1216" s="67">
        <f>AC1216</f>
        <v>55100.93</v>
      </c>
      <c r="AI1216" s="10"/>
      <c r="AJ1216" s="9">
        <f t="shared" si="124"/>
        <v>0</v>
      </c>
      <c r="AK1216" s="10"/>
      <c r="AL1216" s="10"/>
    </row>
    <row r="1217" spans="1:38" ht="45" hidden="1">
      <c r="A1217" s="1">
        <f t="shared" si="121"/>
        <v>0</v>
      </c>
      <c r="D1217" s="15" t="s">
        <v>16</v>
      </c>
      <c r="E1217" s="30"/>
      <c r="F1217" s="31" t="s">
        <v>3497</v>
      </c>
      <c r="G1217" s="32">
        <f>SUM(G1218:G1222)</f>
        <v>0</v>
      </c>
      <c r="H1217" s="32">
        <f>SUM(H1218:H1222)</f>
        <v>0</v>
      </c>
      <c r="I1217" s="15"/>
      <c r="J1217" s="494"/>
      <c r="K1217" s="513"/>
      <c r="L1217" s="513"/>
      <c r="M1217" s="513"/>
      <c r="N1217" s="514"/>
      <c r="O1217" s="513"/>
      <c r="P1217" s="513"/>
      <c r="Q1217" s="513"/>
      <c r="R1217" s="513"/>
      <c r="S1217" s="513"/>
      <c r="T1217" s="514"/>
      <c r="U1217" s="32">
        <f>SUM(U1218:U1222)</f>
        <v>0</v>
      </c>
      <c r="V1217" s="15" t="str">
        <f t="shared" si="118"/>
        <v>204050800</v>
      </c>
      <c r="W1217" s="33">
        <v>2</v>
      </c>
      <c r="X1217" s="34" t="s">
        <v>693</v>
      </c>
      <c r="Y1217" s="34" t="s">
        <v>714</v>
      </c>
      <c r="Z1217" s="35" t="s">
        <v>766</v>
      </c>
      <c r="AA1217" s="35" t="s">
        <v>630</v>
      </c>
      <c r="AB1217" s="31" t="s">
        <v>3497</v>
      </c>
      <c r="AC1217" s="529">
        <f>SUM(AC1218:AC1222)</f>
        <v>0</v>
      </c>
      <c r="AD1217" s="513">
        <v>0</v>
      </c>
      <c r="AE1217" s="513" t="s">
        <v>13563</v>
      </c>
      <c r="AF1217" s="513" t="s">
        <v>297</v>
      </c>
      <c r="AG1217" s="514" t="s">
        <v>13564</v>
      </c>
      <c r="AH1217" s="44">
        <f>SUM(AH1218:AH1222)</f>
        <v>0</v>
      </c>
      <c r="AI1217" s="10"/>
      <c r="AJ1217" s="9">
        <f t="shared" si="124"/>
        <v>0</v>
      </c>
      <c r="AK1217" s="10"/>
      <c r="AL1217" s="10"/>
    </row>
    <row r="1218" spans="1:38" ht="67.5" hidden="1">
      <c r="A1218" s="1">
        <f t="shared" si="121"/>
        <v>1</v>
      </c>
      <c r="B1218" s="11"/>
      <c r="C1218" s="11"/>
      <c r="D1218" s="15" t="s">
        <v>11718</v>
      </c>
      <c r="E1218" s="4" t="s">
        <v>3498</v>
      </c>
      <c r="F1218" s="37" t="s">
        <v>3499</v>
      </c>
      <c r="G1218" s="38">
        <v>0</v>
      </c>
      <c r="H1218" s="38">
        <v>0</v>
      </c>
      <c r="I1218" s="15"/>
      <c r="J1218" s="494">
        <v>20405080201</v>
      </c>
      <c r="K1218" s="517" t="s">
        <v>1422</v>
      </c>
      <c r="L1218" s="517" t="s">
        <v>13565</v>
      </c>
      <c r="M1218" s="517" t="s">
        <v>3500</v>
      </c>
      <c r="N1218" s="518" t="s">
        <v>3501</v>
      </c>
      <c r="O1218" s="517">
        <v>2</v>
      </c>
      <c r="P1218" s="517" t="s">
        <v>693</v>
      </c>
      <c r="Q1218" s="517" t="s">
        <v>714</v>
      </c>
      <c r="R1218" s="517" t="s">
        <v>766</v>
      </c>
      <c r="S1218" s="517" t="s">
        <v>647</v>
      </c>
      <c r="T1218" s="518" t="s">
        <v>3499</v>
      </c>
      <c r="U1218" s="38">
        <v>0</v>
      </c>
      <c r="V1218" s="15" t="str">
        <f t="shared" si="118"/>
        <v>204050802</v>
      </c>
      <c r="W1218" s="39">
        <v>2</v>
      </c>
      <c r="X1218" s="40" t="s">
        <v>693</v>
      </c>
      <c r="Y1218" s="40" t="s">
        <v>714</v>
      </c>
      <c r="Z1218" s="40" t="s">
        <v>766</v>
      </c>
      <c r="AA1218" s="40" t="s">
        <v>647</v>
      </c>
      <c r="AB1218" s="41" t="s">
        <v>3499</v>
      </c>
      <c r="AC1218" s="519">
        <f>H1218</f>
        <v>0</v>
      </c>
      <c r="AD1218" s="517" t="s">
        <v>1422</v>
      </c>
      <c r="AE1218" s="517" t="s">
        <v>13565</v>
      </c>
      <c r="AF1218" s="517" t="s">
        <v>3500</v>
      </c>
      <c r="AG1218" s="520" t="s">
        <v>3501</v>
      </c>
      <c r="AH1218" s="67">
        <f>AC1218</f>
        <v>0</v>
      </c>
      <c r="AI1218" s="10"/>
      <c r="AJ1218" s="9">
        <f t="shared" si="124"/>
        <v>0</v>
      </c>
      <c r="AK1218" s="10"/>
      <c r="AL1218" s="10"/>
    </row>
    <row r="1219" spans="1:38" ht="56.25" hidden="1">
      <c r="A1219" s="1">
        <f t="shared" si="121"/>
        <v>1</v>
      </c>
      <c r="B1219" s="11"/>
      <c r="C1219" s="11"/>
      <c r="D1219" s="15" t="s">
        <v>11719</v>
      </c>
      <c r="E1219" s="4" t="s">
        <v>3502</v>
      </c>
      <c r="F1219" s="37" t="s">
        <v>3503</v>
      </c>
      <c r="G1219" s="38">
        <v>0</v>
      </c>
      <c r="H1219" s="38">
        <v>0</v>
      </c>
      <c r="I1219" s="15"/>
      <c r="J1219" s="494">
        <v>20405080301</v>
      </c>
      <c r="K1219" s="517" t="s">
        <v>1422</v>
      </c>
      <c r="L1219" s="517" t="s">
        <v>13566</v>
      </c>
      <c r="M1219" s="517" t="s">
        <v>3504</v>
      </c>
      <c r="N1219" s="518" t="s">
        <v>3505</v>
      </c>
      <c r="O1219" s="517">
        <v>2</v>
      </c>
      <c r="P1219" s="517" t="s">
        <v>693</v>
      </c>
      <c r="Q1219" s="517" t="s">
        <v>714</v>
      </c>
      <c r="R1219" s="517" t="s">
        <v>766</v>
      </c>
      <c r="S1219" s="517" t="s">
        <v>671</v>
      </c>
      <c r="T1219" s="518" t="s">
        <v>3503</v>
      </c>
      <c r="U1219" s="38">
        <v>0</v>
      </c>
      <c r="V1219" s="15" t="str">
        <f t="shared" ref="V1219:V1282" si="127">CONCATENATE(W1219,X1219,Y1219,Z1219,AA1219)</f>
        <v>204050803</v>
      </c>
      <c r="W1219" s="39">
        <v>2</v>
      </c>
      <c r="X1219" s="40" t="s">
        <v>693</v>
      </c>
      <c r="Y1219" s="40" t="s">
        <v>714</v>
      </c>
      <c r="Z1219" s="40" t="s">
        <v>766</v>
      </c>
      <c r="AA1219" s="40" t="s">
        <v>671</v>
      </c>
      <c r="AB1219" s="41" t="s">
        <v>3503</v>
      </c>
      <c r="AC1219" s="519">
        <f>H1219</f>
        <v>0</v>
      </c>
      <c r="AD1219" s="517" t="s">
        <v>1422</v>
      </c>
      <c r="AE1219" s="517" t="s">
        <v>13566</v>
      </c>
      <c r="AF1219" s="517" t="s">
        <v>3504</v>
      </c>
      <c r="AG1219" s="520" t="s">
        <v>3505</v>
      </c>
      <c r="AH1219" s="67">
        <f>AC1219</f>
        <v>0</v>
      </c>
      <c r="AI1219" s="10"/>
      <c r="AJ1219" s="9">
        <f t="shared" si="124"/>
        <v>0</v>
      </c>
      <c r="AK1219" s="10"/>
      <c r="AL1219" s="10"/>
    </row>
    <row r="1220" spans="1:38" ht="56.25" hidden="1">
      <c r="A1220" s="1">
        <f t="shared" si="121"/>
        <v>1</v>
      </c>
      <c r="D1220" s="15" t="s">
        <v>11720</v>
      </c>
      <c r="E1220" s="4" t="s">
        <v>3506</v>
      </c>
      <c r="F1220" s="37" t="s">
        <v>3507</v>
      </c>
      <c r="G1220" s="38">
        <v>0</v>
      </c>
      <c r="H1220" s="38">
        <v>0</v>
      </c>
      <c r="I1220" s="15"/>
      <c r="J1220" s="494">
        <v>20405080401</v>
      </c>
      <c r="K1220" s="517" t="s">
        <v>1422</v>
      </c>
      <c r="L1220" s="517" t="s">
        <v>13567</v>
      </c>
      <c r="M1220" s="517" t="s">
        <v>3508</v>
      </c>
      <c r="N1220" s="518" t="s">
        <v>3509</v>
      </c>
      <c r="O1220" s="517">
        <v>2</v>
      </c>
      <c r="P1220" s="517" t="s">
        <v>693</v>
      </c>
      <c r="Q1220" s="517" t="s">
        <v>714</v>
      </c>
      <c r="R1220" s="517" t="s">
        <v>766</v>
      </c>
      <c r="S1220" s="517" t="s">
        <v>693</v>
      </c>
      <c r="T1220" s="518" t="s">
        <v>3507</v>
      </c>
      <c r="U1220" s="38">
        <v>0</v>
      </c>
      <c r="V1220" s="15" t="str">
        <f t="shared" si="127"/>
        <v>204050804</v>
      </c>
      <c r="W1220" s="39">
        <v>2</v>
      </c>
      <c r="X1220" s="40" t="s">
        <v>693</v>
      </c>
      <c r="Y1220" s="40" t="s">
        <v>714</v>
      </c>
      <c r="Z1220" s="40" t="s">
        <v>766</v>
      </c>
      <c r="AA1220" s="40" t="s">
        <v>693</v>
      </c>
      <c r="AB1220" s="41" t="s">
        <v>3507</v>
      </c>
      <c r="AC1220" s="519">
        <f>H1220</f>
        <v>0</v>
      </c>
      <c r="AD1220" s="517" t="s">
        <v>1422</v>
      </c>
      <c r="AE1220" s="517" t="s">
        <v>13567</v>
      </c>
      <c r="AF1220" s="517" t="s">
        <v>3508</v>
      </c>
      <c r="AG1220" s="520" t="s">
        <v>3509</v>
      </c>
      <c r="AH1220" s="67">
        <f>AC1220</f>
        <v>0</v>
      </c>
      <c r="AI1220" s="10"/>
      <c r="AJ1220" s="9">
        <f t="shared" si="124"/>
        <v>0</v>
      </c>
      <c r="AK1220" s="10"/>
      <c r="AL1220" s="10"/>
    </row>
    <row r="1221" spans="1:38" ht="78.75" hidden="1">
      <c r="A1221" s="1">
        <f t="shared" si="121"/>
        <v>1</v>
      </c>
      <c r="B1221" s="11"/>
      <c r="C1221" s="11"/>
      <c r="D1221" s="15" t="s">
        <v>11721</v>
      </c>
      <c r="E1221" s="4" t="s">
        <v>3510</v>
      </c>
      <c r="F1221" s="37" t="s">
        <v>3511</v>
      </c>
      <c r="G1221" s="38">
        <v>0</v>
      </c>
      <c r="H1221" s="38">
        <v>0</v>
      </c>
      <c r="I1221" s="15"/>
      <c r="J1221" s="494">
        <v>20405080501</v>
      </c>
      <c r="K1221" s="517" t="s">
        <v>1422</v>
      </c>
      <c r="L1221" s="517" t="s">
        <v>13568</v>
      </c>
      <c r="M1221" s="517" t="s">
        <v>3512</v>
      </c>
      <c r="N1221" s="518" t="s">
        <v>3513</v>
      </c>
      <c r="O1221" s="517">
        <v>2</v>
      </c>
      <c r="P1221" s="517" t="s">
        <v>693</v>
      </c>
      <c r="Q1221" s="517" t="s">
        <v>714</v>
      </c>
      <c r="R1221" s="517" t="s">
        <v>766</v>
      </c>
      <c r="S1221" s="517" t="s">
        <v>714</v>
      </c>
      <c r="T1221" s="518" t="s">
        <v>3511</v>
      </c>
      <c r="U1221" s="38">
        <v>0</v>
      </c>
      <c r="V1221" s="15" t="str">
        <f t="shared" si="127"/>
        <v>204050805</v>
      </c>
      <c r="W1221" s="39">
        <v>2</v>
      </c>
      <c r="X1221" s="40" t="s">
        <v>693</v>
      </c>
      <c r="Y1221" s="40" t="s">
        <v>714</v>
      </c>
      <c r="Z1221" s="40" t="s">
        <v>766</v>
      </c>
      <c r="AA1221" s="40" t="s">
        <v>714</v>
      </c>
      <c r="AB1221" s="41" t="s">
        <v>3511</v>
      </c>
      <c r="AC1221" s="519">
        <f>H1221</f>
        <v>0</v>
      </c>
      <c r="AD1221" s="517" t="s">
        <v>1422</v>
      </c>
      <c r="AE1221" s="517" t="s">
        <v>13568</v>
      </c>
      <c r="AF1221" s="517" t="s">
        <v>3512</v>
      </c>
      <c r="AG1221" s="520" t="s">
        <v>3513</v>
      </c>
      <c r="AH1221" s="67">
        <f>AC1221</f>
        <v>0</v>
      </c>
      <c r="AI1221" s="10"/>
      <c r="AJ1221" s="9">
        <f t="shared" si="124"/>
        <v>0</v>
      </c>
      <c r="AK1221" s="10"/>
      <c r="AL1221" s="10"/>
    </row>
    <row r="1222" spans="1:38" ht="45" hidden="1">
      <c r="A1222" s="1">
        <f t="shared" si="121"/>
        <v>1</v>
      </c>
      <c r="B1222" s="11"/>
      <c r="C1222" s="11"/>
      <c r="D1222" s="15" t="s">
        <v>11722</v>
      </c>
      <c r="E1222" s="4" t="s">
        <v>3514</v>
      </c>
      <c r="F1222" s="37" t="s">
        <v>3515</v>
      </c>
      <c r="G1222" s="38">
        <v>0</v>
      </c>
      <c r="H1222" s="38">
        <v>0</v>
      </c>
      <c r="I1222" s="15"/>
      <c r="J1222" s="494">
        <v>20405080601</v>
      </c>
      <c r="K1222" s="517" t="s">
        <v>1422</v>
      </c>
      <c r="L1222" s="517" t="s">
        <v>13569</v>
      </c>
      <c r="M1222" s="517" t="s">
        <v>3516</v>
      </c>
      <c r="N1222" s="518" t="s">
        <v>3517</v>
      </c>
      <c r="O1222" s="517">
        <v>2</v>
      </c>
      <c r="P1222" s="517" t="s">
        <v>693</v>
      </c>
      <c r="Q1222" s="517" t="s">
        <v>714</v>
      </c>
      <c r="R1222" s="517" t="s">
        <v>766</v>
      </c>
      <c r="S1222" s="517" t="s">
        <v>739</v>
      </c>
      <c r="T1222" s="518" t="s">
        <v>3515</v>
      </c>
      <c r="U1222" s="38">
        <v>0</v>
      </c>
      <c r="V1222" s="15" t="str">
        <f t="shared" si="127"/>
        <v>204050806</v>
      </c>
      <c r="W1222" s="39">
        <v>2</v>
      </c>
      <c r="X1222" s="40" t="s">
        <v>693</v>
      </c>
      <c r="Y1222" s="40" t="s">
        <v>714</v>
      </c>
      <c r="Z1222" s="40" t="s">
        <v>766</v>
      </c>
      <c r="AA1222" s="40" t="s">
        <v>739</v>
      </c>
      <c r="AB1222" s="41" t="s">
        <v>3515</v>
      </c>
      <c r="AC1222" s="519">
        <f>H1222</f>
        <v>0</v>
      </c>
      <c r="AD1222" s="517" t="s">
        <v>1422</v>
      </c>
      <c r="AE1222" s="517" t="s">
        <v>13569</v>
      </c>
      <c r="AF1222" s="517" t="s">
        <v>3516</v>
      </c>
      <c r="AG1222" s="520" t="s">
        <v>3517</v>
      </c>
      <c r="AH1222" s="67">
        <f>AC1222</f>
        <v>0</v>
      </c>
      <c r="AI1222" s="10"/>
      <c r="AJ1222" s="9">
        <f t="shared" si="124"/>
        <v>0</v>
      </c>
      <c r="AK1222" s="10"/>
      <c r="AL1222" s="10"/>
    </row>
    <row r="1223" spans="1:38" ht="45" hidden="1">
      <c r="A1223" s="1">
        <f t="shared" si="121"/>
        <v>0</v>
      </c>
      <c r="B1223" s="11"/>
      <c r="C1223" s="11"/>
      <c r="D1223" s="15" t="s">
        <v>16</v>
      </c>
      <c r="E1223" s="24"/>
      <c r="F1223" s="25" t="s">
        <v>3518</v>
      </c>
      <c r="G1223" s="26">
        <f>G1224+G1227+G1229</f>
        <v>23407.75</v>
      </c>
      <c r="H1223" s="26">
        <f>H1224+H1227+H1229</f>
        <v>0</v>
      </c>
      <c r="I1223" s="15"/>
      <c r="J1223" s="494"/>
      <c r="K1223" s="509"/>
      <c r="L1223" s="509"/>
      <c r="M1223" s="509"/>
      <c r="N1223" s="510"/>
      <c r="O1223" s="509"/>
      <c r="P1223" s="509"/>
      <c r="Q1223" s="509"/>
      <c r="R1223" s="509"/>
      <c r="S1223" s="509"/>
      <c r="T1223" s="510"/>
      <c r="U1223" s="26">
        <f>U1224+U1227+U1229</f>
        <v>0</v>
      </c>
      <c r="V1223" s="15" t="str">
        <f t="shared" si="127"/>
        <v>204060000</v>
      </c>
      <c r="W1223" s="27">
        <v>2</v>
      </c>
      <c r="X1223" s="28" t="s">
        <v>693</v>
      </c>
      <c r="Y1223" s="28" t="s">
        <v>739</v>
      </c>
      <c r="Z1223" s="28" t="s">
        <v>630</v>
      </c>
      <c r="AA1223" s="28" t="s">
        <v>630</v>
      </c>
      <c r="AB1223" s="25" t="s">
        <v>3518</v>
      </c>
      <c r="AC1223" s="530">
        <f>AC1224+AC1227+AC1229</f>
        <v>0</v>
      </c>
      <c r="AD1223" s="509">
        <v>0</v>
      </c>
      <c r="AE1223" s="509" t="s">
        <v>13570</v>
      </c>
      <c r="AF1223" s="509" t="s">
        <v>3519</v>
      </c>
      <c r="AG1223" s="510" t="s">
        <v>3520</v>
      </c>
      <c r="AH1223" s="53">
        <f>AH1224+AH1227+AH1229</f>
        <v>0</v>
      </c>
      <c r="AI1223" s="10"/>
      <c r="AJ1223" s="9">
        <f t="shared" si="124"/>
        <v>0</v>
      </c>
      <c r="AK1223" s="10"/>
      <c r="AL1223" s="10"/>
    </row>
    <row r="1224" spans="1:38" ht="22.5" hidden="1">
      <c r="A1224" s="1">
        <f t="shared" si="121"/>
        <v>0</v>
      </c>
      <c r="B1224" s="11"/>
      <c r="C1224" s="11"/>
      <c r="D1224" s="15" t="s">
        <v>16</v>
      </c>
      <c r="E1224" s="30"/>
      <c r="F1224" s="31" t="s">
        <v>3521</v>
      </c>
      <c r="G1224" s="32">
        <f>SUM(G1225:G1226)</f>
        <v>23407.75</v>
      </c>
      <c r="H1224" s="32">
        <f>SUM(H1225:H1226)</f>
        <v>0</v>
      </c>
      <c r="I1224" s="15"/>
      <c r="J1224" s="494"/>
      <c r="K1224" s="513"/>
      <c r="L1224" s="513"/>
      <c r="M1224" s="513"/>
      <c r="N1224" s="514"/>
      <c r="O1224" s="513"/>
      <c r="P1224" s="513"/>
      <c r="Q1224" s="513"/>
      <c r="R1224" s="513"/>
      <c r="S1224" s="513"/>
      <c r="T1224" s="514"/>
      <c r="U1224" s="32">
        <f>SUM(U1225:U1226)</f>
        <v>0</v>
      </c>
      <c r="V1224" s="15" t="str">
        <f t="shared" si="127"/>
        <v>204060100</v>
      </c>
      <c r="W1224" s="33">
        <v>2</v>
      </c>
      <c r="X1224" s="34" t="s">
        <v>693</v>
      </c>
      <c r="Y1224" s="34" t="s">
        <v>739</v>
      </c>
      <c r="Z1224" s="34" t="s">
        <v>632</v>
      </c>
      <c r="AA1224" s="35" t="s">
        <v>630</v>
      </c>
      <c r="AB1224" s="31" t="s">
        <v>3521</v>
      </c>
      <c r="AC1224" s="529">
        <f>SUM(AC1225:AC1226)</f>
        <v>0</v>
      </c>
      <c r="AD1224" s="513">
        <v>0</v>
      </c>
      <c r="AE1224" s="513" t="s">
        <v>13571</v>
      </c>
      <c r="AF1224" s="513" t="s">
        <v>304</v>
      </c>
      <c r="AG1224" s="514" t="s">
        <v>3522</v>
      </c>
      <c r="AH1224" s="44">
        <f>SUM(AH1225:AH1226)</f>
        <v>0</v>
      </c>
      <c r="AI1224" s="10"/>
      <c r="AJ1224" s="9">
        <f t="shared" si="124"/>
        <v>0</v>
      </c>
      <c r="AK1224" s="10"/>
      <c r="AL1224" s="10"/>
    </row>
    <row r="1225" spans="1:38" ht="22.5" hidden="1">
      <c r="A1225" s="1">
        <f t="shared" si="121"/>
        <v>0</v>
      </c>
      <c r="B1225" s="2" t="s">
        <v>3523</v>
      </c>
      <c r="C1225" s="3" t="s">
        <v>3524</v>
      </c>
      <c r="D1225" s="15" t="s">
        <v>11723</v>
      </c>
      <c r="E1225" s="4" t="s">
        <v>3523</v>
      </c>
      <c r="F1225" s="37" t="s">
        <v>3524</v>
      </c>
      <c r="G1225" s="38">
        <v>0</v>
      </c>
      <c r="H1225" s="38">
        <v>0</v>
      </c>
      <c r="I1225" s="15"/>
      <c r="J1225" s="494">
        <v>20406010101</v>
      </c>
      <c r="K1225" s="517"/>
      <c r="L1225" s="517" t="s">
        <v>13572</v>
      </c>
      <c r="M1225" s="517" t="s">
        <v>306</v>
      </c>
      <c r="N1225" s="518" t="s">
        <v>3526</v>
      </c>
      <c r="O1225" s="517">
        <v>2</v>
      </c>
      <c r="P1225" s="517" t="s">
        <v>693</v>
      </c>
      <c r="Q1225" s="517" t="s">
        <v>739</v>
      </c>
      <c r="R1225" s="517" t="s">
        <v>632</v>
      </c>
      <c r="S1225" s="517" t="s">
        <v>632</v>
      </c>
      <c r="T1225" s="518" t="s">
        <v>3525</v>
      </c>
      <c r="U1225" s="38">
        <v>0</v>
      </c>
      <c r="V1225" s="15" t="str">
        <f t="shared" si="127"/>
        <v>204060101</v>
      </c>
      <c r="W1225" s="39">
        <v>2</v>
      </c>
      <c r="X1225" s="40" t="s">
        <v>693</v>
      </c>
      <c r="Y1225" s="40" t="s">
        <v>739</v>
      </c>
      <c r="Z1225" s="40" t="s">
        <v>632</v>
      </c>
      <c r="AA1225" s="40" t="s">
        <v>632</v>
      </c>
      <c r="AB1225" s="41" t="s">
        <v>3525</v>
      </c>
      <c r="AC1225" s="9">
        <f>H1225</f>
        <v>0</v>
      </c>
      <c r="AD1225" s="517">
        <v>0</v>
      </c>
      <c r="AE1225" s="517" t="s">
        <v>13572</v>
      </c>
      <c r="AF1225" s="517" t="s">
        <v>306</v>
      </c>
      <c r="AG1225" s="520" t="s">
        <v>3526</v>
      </c>
      <c r="AH1225" s="67">
        <f>AC1225</f>
        <v>0</v>
      </c>
      <c r="AI1225" s="10"/>
      <c r="AJ1225" s="9">
        <f t="shared" si="124"/>
        <v>0</v>
      </c>
      <c r="AK1225" s="10"/>
      <c r="AL1225" s="10"/>
    </row>
    <row r="1226" spans="1:38" hidden="1">
      <c r="A1226" s="1">
        <f t="shared" si="121"/>
        <v>0</v>
      </c>
      <c r="B1226" s="2" t="s">
        <v>3527</v>
      </c>
      <c r="C1226" s="3" t="s">
        <v>3528</v>
      </c>
      <c r="D1226" s="15" t="s">
        <v>11724</v>
      </c>
      <c r="E1226" s="4" t="s">
        <v>3527</v>
      </c>
      <c r="F1226" s="37" t="s">
        <v>3528</v>
      </c>
      <c r="G1226" s="38">
        <v>23407.75</v>
      </c>
      <c r="H1226" s="38">
        <v>0</v>
      </c>
      <c r="I1226" s="15"/>
      <c r="J1226" s="494">
        <v>20406010201</v>
      </c>
      <c r="K1226" s="517"/>
      <c r="L1226" s="517" t="s">
        <v>13571</v>
      </c>
      <c r="M1226" s="517" t="s">
        <v>304</v>
      </c>
      <c r="N1226" s="518" t="s">
        <v>3522</v>
      </c>
      <c r="O1226" s="517">
        <v>2</v>
      </c>
      <c r="P1226" s="517" t="s">
        <v>693</v>
      </c>
      <c r="Q1226" s="517" t="s">
        <v>739</v>
      </c>
      <c r="R1226" s="517" t="s">
        <v>632</v>
      </c>
      <c r="S1226" s="517" t="s">
        <v>647</v>
      </c>
      <c r="T1226" s="518" t="s">
        <v>3521</v>
      </c>
      <c r="U1226" s="38">
        <v>0</v>
      </c>
      <c r="V1226" s="15" t="str">
        <f t="shared" si="127"/>
        <v>204060102</v>
      </c>
      <c r="W1226" s="39">
        <v>2</v>
      </c>
      <c r="X1226" s="40" t="s">
        <v>693</v>
      </c>
      <c r="Y1226" s="40" t="s">
        <v>739</v>
      </c>
      <c r="Z1226" s="40" t="s">
        <v>632</v>
      </c>
      <c r="AA1226" s="40" t="s">
        <v>647</v>
      </c>
      <c r="AB1226" s="41" t="s">
        <v>3521</v>
      </c>
      <c r="AC1226" s="9">
        <f>H1226</f>
        <v>0</v>
      </c>
      <c r="AD1226" s="517">
        <v>0</v>
      </c>
      <c r="AE1226" s="517" t="s">
        <v>13571</v>
      </c>
      <c r="AF1226" s="517" t="s">
        <v>304</v>
      </c>
      <c r="AG1226" s="520" t="s">
        <v>3522</v>
      </c>
      <c r="AH1226" s="67">
        <f>AC1226</f>
        <v>0</v>
      </c>
      <c r="AI1226" s="10"/>
      <c r="AJ1226" s="9">
        <f t="shared" si="124"/>
        <v>0</v>
      </c>
      <c r="AK1226" s="10"/>
      <c r="AL1226" s="10"/>
    </row>
    <row r="1227" spans="1:38" ht="33.75" hidden="1">
      <c r="A1227" s="1">
        <f t="shared" si="121"/>
        <v>0</v>
      </c>
      <c r="B1227" s="11"/>
      <c r="C1227" s="11"/>
      <c r="D1227" s="15" t="s">
        <v>16</v>
      </c>
      <c r="E1227" s="30"/>
      <c r="F1227" s="31" t="s">
        <v>3529</v>
      </c>
      <c r="G1227" s="32">
        <f>G1228</f>
        <v>0</v>
      </c>
      <c r="H1227" s="32">
        <f>H1228</f>
        <v>0</v>
      </c>
      <c r="I1227" s="15"/>
      <c r="J1227" s="494"/>
      <c r="K1227" s="513"/>
      <c r="L1227" s="513"/>
      <c r="M1227" s="513"/>
      <c r="N1227" s="514"/>
      <c r="O1227" s="513"/>
      <c r="P1227" s="513"/>
      <c r="Q1227" s="513"/>
      <c r="R1227" s="513"/>
      <c r="S1227" s="513"/>
      <c r="T1227" s="514"/>
      <c r="U1227" s="32">
        <f>U1228</f>
        <v>0</v>
      </c>
      <c r="V1227" s="15" t="str">
        <f t="shared" si="127"/>
        <v>204060200</v>
      </c>
      <c r="W1227" s="33">
        <v>2</v>
      </c>
      <c r="X1227" s="34" t="s">
        <v>693</v>
      </c>
      <c r="Y1227" s="34" t="s">
        <v>739</v>
      </c>
      <c r="Z1227" s="34" t="s">
        <v>647</v>
      </c>
      <c r="AA1227" s="35" t="s">
        <v>630</v>
      </c>
      <c r="AB1227" s="31" t="s">
        <v>3529</v>
      </c>
      <c r="AC1227" s="529">
        <f>AC1228</f>
        <v>0</v>
      </c>
      <c r="AD1227" s="513">
        <v>0</v>
      </c>
      <c r="AE1227" s="513" t="s">
        <v>13573</v>
      </c>
      <c r="AF1227" s="513" t="s">
        <v>305</v>
      </c>
      <c r="AG1227" s="514" t="s">
        <v>3530</v>
      </c>
      <c r="AH1227" s="44">
        <f>AH1228</f>
        <v>0</v>
      </c>
      <c r="AI1227" s="10"/>
      <c r="AJ1227" s="9">
        <f t="shared" si="124"/>
        <v>0</v>
      </c>
      <c r="AK1227" s="10"/>
      <c r="AL1227" s="10"/>
    </row>
    <row r="1228" spans="1:38" ht="22.5" hidden="1">
      <c r="A1228" s="1">
        <f t="shared" si="121"/>
        <v>0</v>
      </c>
      <c r="B1228" s="2" t="s">
        <v>3531</v>
      </c>
      <c r="C1228" s="3" t="s">
        <v>3532</v>
      </c>
      <c r="D1228" s="15" t="s">
        <v>11725</v>
      </c>
      <c r="E1228" s="4" t="s">
        <v>3531</v>
      </c>
      <c r="F1228" s="37" t="s">
        <v>3532</v>
      </c>
      <c r="G1228" s="38">
        <v>0</v>
      </c>
      <c r="H1228" s="38">
        <v>0</v>
      </c>
      <c r="I1228" s="15"/>
      <c r="J1228" s="494">
        <v>20406020101</v>
      </c>
      <c r="K1228" s="517"/>
      <c r="L1228" s="517" t="s">
        <v>13573</v>
      </c>
      <c r="M1228" s="517" t="s">
        <v>305</v>
      </c>
      <c r="N1228" s="518" t="s">
        <v>3530</v>
      </c>
      <c r="O1228" s="517">
        <v>2</v>
      </c>
      <c r="P1228" s="517" t="s">
        <v>693</v>
      </c>
      <c r="Q1228" s="517" t="s">
        <v>739</v>
      </c>
      <c r="R1228" s="517" t="s">
        <v>647</v>
      </c>
      <c r="S1228" s="517" t="s">
        <v>632</v>
      </c>
      <c r="T1228" s="518" t="s">
        <v>3529</v>
      </c>
      <c r="U1228" s="38">
        <v>0</v>
      </c>
      <c r="V1228" s="15" t="str">
        <f t="shared" si="127"/>
        <v>204060201</v>
      </c>
      <c r="W1228" s="39">
        <v>2</v>
      </c>
      <c r="X1228" s="40" t="s">
        <v>693</v>
      </c>
      <c r="Y1228" s="40" t="s">
        <v>739</v>
      </c>
      <c r="Z1228" s="40" t="s">
        <v>647</v>
      </c>
      <c r="AA1228" s="40" t="s">
        <v>632</v>
      </c>
      <c r="AB1228" s="41" t="s">
        <v>3529</v>
      </c>
      <c r="AC1228" s="9">
        <f>H1228</f>
        <v>0</v>
      </c>
      <c r="AD1228" s="517">
        <v>0</v>
      </c>
      <c r="AE1228" s="517" t="s">
        <v>13573</v>
      </c>
      <c r="AF1228" s="517" t="s">
        <v>305</v>
      </c>
      <c r="AG1228" s="520" t="s">
        <v>3530</v>
      </c>
      <c r="AH1228" s="9">
        <f>AC1228</f>
        <v>0</v>
      </c>
      <c r="AI1228" s="10"/>
      <c r="AJ1228" s="9">
        <f t="shared" si="124"/>
        <v>0</v>
      </c>
      <c r="AK1228" s="10"/>
      <c r="AL1228" s="10"/>
    </row>
    <row r="1229" spans="1:38" ht="22.5" hidden="1">
      <c r="A1229" s="1">
        <f t="shared" si="121"/>
        <v>0</v>
      </c>
      <c r="B1229" s="11"/>
      <c r="C1229" s="11"/>
      <c r="D1229" s="15" t="s">
        <v>16</v>
      </c>
      <c r="E1229" s="30"/>
      <c r="F1229" s="31" t="s">
        <v>3533</v>
      </c>
      <c r="G1229" s="32">
        <f>SUM(G1230:G1231)</f>
        <v>0</v>
      </c>
      <c r="H1229" s="32">
        <f>SUM(H1230:H1231)</f>
        <v>0</v>
      </c>
      <c r="I1229" s="15"/>
      <c r="J1229" s="494"/>
      <c r="K1229" s="513"/>
      <c r="L1229" s="513"/>
      <c r="M1229" s="513"/>
      <c r="N1229" s="514"/>
      <c r="O1229" s="513"/>
      <c r="P1229" s="513"/>
      <c r="Q1229" s="513"/>
      <c r="R1229" s="513"/>
      <c r="S1229" s="513"/>
      <c r="T1229" s="514"/>
      <c r="U1229" s="32">
        <f>SUM(U1230:U1231)</f>
        <v>0</v>
      </c>
      <c r="V1229" s="15" t="str">
        <f t="shared" si="127"/>
        <v>204060300</v>
      </c>
      <c r="W1229" s="33">
        <v>2</v>
      </c>
      <c r="X1229" s="34" t="s">
        <v>693</v>
      </c>
      <c r="Y1229" s="34" t="s">
        <v>739</v>
      </c>
      <c r="Z1229" s="34" t="s">
        <v>671</v>
      </c>
      <c r="AA1229" s="35" t="s">
        <v>630</v>
      </c>
      <c r="AB1229" s="31" t="s">
        <v>3533</v>
      </c>
      <c r="AC1229" s="529">
        <f>SUM(AC1230:AC1231)</f>
        <v>0</v>
      </c>
      <c r="AD1229" s="513">
        <v>0</v>
      </c>
      <c r="AE1229" s="513" t="s">
        <v>13572</v>
      </c>
      <c r="AF1229" s="513" t="s">
        <v>306</v>
      </c>
      <c r="AG1229" s="514" t="s">
        <v>3526</v>
      </c>
      <c r="AH1229" s="44">
        <f>SUM(AH1230:AH1231)</f>
        <v>0</v>
      </c>
      <c r="AI1229" s="10"/>
      <c r="AJ1229" s="9">
        <f t="shared" si="124"/>
        <v>0</v>
      </c>
      <c r="AK1229" s="10"/>
      <c r="AL1229" s="10"/>
    </row>
    <row r="1230" spans="1:38" ht="22.5" hidden="1">
      <c r="A1230" s="1">
        <f t="shared" si="121"/>
        <v>0</v>
      </c>
      <c r="B1230" s="2" t="s">
        <v>3534</v>
      </c>
      <c r="C1230" s="3" t="s">
        <v>3535</v>
      </c>
      <c r="D1230" s="15" t="s">
        <v>11726</v>
      </c>
      <c r="E1230" s="4" t="s">
        <v>3534</v>
      </c>
      <c r="F1230" s="37" t="s">
        <v>3535</v>
      </c>
      <c r="G1230" s="38">
        <v>0</v>
      </c>
      <c r="H1230" s="38">
        <v>0</v>
      </c>
      <c r="I1230" s="15"/>
      <c r="J1230" s="494">
        <v>20406030101</v>
      </c>
      <c r="K1230" s="517"/>
      <c r="L1230" s="517" t="s">
        <v>13572</v>
      </c>
      <c r="M1230" s="517" t="s">
        <v>306</v>
      </c>
      <c r="N1230" s="518" t="s">
        <v>3526</v>
      </c>
      <c r="O1230" s="517">
        <v>2</v>
      </c>
      <c r="P1230" s="517" t="s">
        <v>693</v>
      </c>
      <c r="Q1230" s="517" t="s">
        <v>739</v>
      </c>
      <c r="R1230" s="517" t="s">
        <v>671</v>
      </c>
      <c r="S1230" s="517" t="s">
        <v>632</v>
      </c>
      <c r="T1230" s="518" t="s">
        <v>3536</v>
      </c>
      <c r="U1230" s="38">
        <v>0</v>
      </c>
      <c r="V1230" s="15" t="str">
        <f t="shared" si="127"/>
        <v>204060301</v>
      </c>
      <c r="W1230" s="39">
        <v>2</v>
      </c>
      <c r="X1230" s="40" t="s">
        <v>693</v>
      </c>
      <c r="Y1230" s="40" t="s">
        <v>739</v>
      </c>
      <c r="Z1230" s="40" t="s">
        <v>671</v>
      </c>
      <c r="AA1230" s="40" t="s">
        <v>632</v>
      </c>
      <c r="AB1230" s="42" t="s">
        <v>3536</v>
      </c>
      <c r="AC1230" s="9">
        <f>H1230</f>
        <v>0</v>
      </c>
      <c r="AD1230" s="517">
        <v>0</v>
      </c>
      <c r="AE1230" s="517" t="s">
        <v>13572</v>
      </c>
      <c r="AF1230" s="517" t="s">
        <v>306</v>
      </c>
      <c r="AG1230" s="518" t="s">
        <v>3526</v>
      </c>
      <c r="AH1230" s="67">
        <f>AC1230</f>
        <v>0</v>
      </c>
      <c r="AI1230" s="10"/>
      <c r="AJ1230" s="9">
        <f t="shared" si="124"/>
        <v>0</v>
      </c>
      <c r="AK1230" s="10"/>
      <c r="AL1230" s="10"/>
    </row>
    <row r="1231" spans="1:38" ht="22.5" hidden="1">
      <c r="A1231" s="1">
        <f t="shared" si="121"/>
        <v>0</v>
      </c>
      <c r="B1231" s="2" t="s">
        <v>3537</v>
      </c>
      <c r="C1231" s="3" t="s">
        <v>3538</v>
      </c>
      <c r="D1231" s="15" t="s">
        <v>11727</v>
      </c>
      <c r="E1231" s="4" t="s">
        <v>3537</v>
      </c>
      <c r="F1231" s="37" t="s">
        <v>3538</v>
      </c>
      <c r="G1231" s="38">
        <v>0</v>
      </c>
      <c r="H1231" s="38">
        <v>0</v>
      </c>
      <c r="I1231" s="15"/>
      <c r="J1231" s="494">
        <v>20406030201</v>
      </c>
      <c r="K1231" s="517"/>
      <c r="L1231" s="517" t="s">
        <v>13572</v>
      </c>
      <c r="M1231" s="517" t="s">
        <v>306</v>
      </c>
      <c r="N1231" s="518" t="s">
        <v>3526</v>
      </c>
      <c r="O1231" s="517">
        <v>2</v>
      </c>
      <c r="P1231" s="517" t="s">
        <v>693</v>
      </c>
      <c r="Q1231" s="517" t="s">
        <v>739</v>
      </c>
      <c r="R1231" s="517" t="s">
        <v>671</v>
      </c>
      <c r="S1231" s="517" t="s">
        <v>647</v>
      </c>
      <c r="T1231" s="518" t="s">
        <v>3533</v>
      </c>
      <c r="U1231" s="38">
        <v>0</v>
      </c>
      <c r="V1231" s="15" t="str">
        <f t="shared" si="127"/>
        <v>204060302</v>
      </c>
      <c r="W1231" s="39">
        <v>2</v>
      </c>
      <c r="X1231" s="40" t="s">
        <v>693</v>
      </c>
      <c r="Y1231" s="40" t="s">
        <v>739</v>
      </c>
      <c r="Z1231" s="40" t="s">
        <v>671</v>
      </c>
      <c r="AA1231" s="40" t="s">
        <v>647</v>
      </c>
      <c r="AB1231" s="41" t="s">
        <v>3533</v>
      </c>
      <c r="AC1231" s="9">
        <f>H1231</f>
        <v>0</v>
      </c>
      <c r="AD1231" s="517">
        <v>0</v>
      </c>
      <c r="AE1231" s="517" t="s">
        <v>13572</v>
      </c>
      <c r="AF1231" s="517" t="s">
        <v>306</v>
      </c>
      <c r="AG1231" s="520" t="s">
        <v>3526</v>
      </c>
      <c r="AH1231" s="67">
        <f>AC1231</f>
        <v>0</v>
      </c>
      <c r="AI1231" s="10"/>
      <c r="AJ1231" s="9">
        <f t="shared" si="124"/>
        <v>0</v>
      </c>
      <c r="AK1231" s="10"/>
      <c r="AL1231" s="10"/>
    </row>
    <row r="1232" spans="1:38" hidden="1">
      <c r="A1232" s="1">
        <f t="shared" si="121"/>
        <v>0</v>
      </c>
      <c r="B1232" s="11"/>
      <c r="C1232" s="11"/>
      <c r="D1232" s="15" t="s">
        <v>16</v>
      </c>
      <c r="E1232" s="24"/>
      <c r="F1232" s="25" t="s">
        <v>3539</v>
      </c>
      <c r="G1232" s="26">
        <f>G1233+G1250</f>
        <v>48438664.409999996</v>
      </c>
      <c r="H1232" s="26">
        <f>H1233+H1250</f>
        <v>42371216.859999999</v>
      </c>
      <c r="I1232" s="15"/>
      <c r="J1232" s="494"/>
      <c r="K1232" s="509"/>
      <c r="L1232" s="509"/>
      <c r="M1232" s="509"/>
      <c r="N1232" s="510"/>
      <c r="O1232" s="509"/>
      <c r="P1232" s="509"/>
      <c r="Q1232" s="509"/>
      <c r="R1232" s="509"/>
      <c r="S1232" s="509"/>
      <c r="T1232" s="510"/>
      <c r="U1232" s="26">
        <f>U1233+U1250</f>
        <v>42371216.859999999</v>
      </c>
      <c r="V1232" s="15" t="str">
        <f t="shared" si="127"/>
        <v>204070000</v>
      </c>
      <c r="W1232" s="27">
        <v>2</v>
      </c>
      <c r="X1232" s="28" t="s">
        <v>693</v>
      </c>
      <c r="Y1232" s="28" t="s">
        <v>755</v>
      </c>
      <c r="Z1232" s="28" t="s">
        <v>630</v>
      </c>
      <c r="AA1232" s="28" t="s">
        <v>630</v>
      </c>
      <c r="AB1232" s="25" t="s">
        <v>3539</v>
      </c>
      <c r="AC1232" s="530" t="e">
        <f>AC1233+AC1250</f>
        <v>#N/A</v>
      </c>
      <c r="AD1232" s="509">
        <v>0</v>
      </c>
      <c r="AE1232" s="509" t="s">
        <v>13574</v>
      </c>
      <c r="AF1232" s="509" t="s">
        <v>299</v>
      </c>
      <c r="AG1232" s="510" t="s">
        <v>3540</v>
      </c>
      <c r="AH1232" s="53">
        <f>AH1233+AH1250</f>
        <v>42371216.860000007</v>
      </c>
      <c r="AI1232" s="10"/>
      <c r="AJ1232" s="9">
        <f t="shared" si="124"/>
        <v>0</v>
      </c>
      <c r="AK1232" s="10"/>
      <c r="AL1232" s="10"/>
    </row>
    <row r="1233" spans="1:38" ht="56.25" hidden="1">
      <c r="A1233" s="1">
        <f t="shared" si="121"/>
        <v>0</v>
      </c>
      <c r="B1233" s="11"/>
      <c r="C1233" s="11"/>
      <c r="D1233" s="15" t="s">
        <v>16</v>
      </c>
      <c r="E1233" s="30"/>
      <c r="F1233" s="31" t="s">
        <v>135</v>
      </c>
      <c r="G1233" s="32">
        <f>SUM(G1234:G1249)</f>
        <v>2099.7399999999998</v>
      </c>
      <c r="H1233" s="32">
        <f>SUM(H1234:H1249)</f>
        <v>2099.7399999999998</v>
      </c>
      <c r="I1233" s="15"/>
      <c r="J1233" s="494"/>
      <c r="K1233" s="513"/>
      <c r="L1233" s="513"/>
      <c r="M1233" s="513"/>
      <c r="N1233" s="514"/>
      <c r="O1233" s="513"/>
      <c r="P1233" s="513"/>
      <c r="Q1233" s="513"/>
      <c r="R1233" s="513"/>
      <c r="S1233" s="513"/>
      <c r="T1233" s="514"/>
      <c r="U1233" s="32">
        <f>SUM(U1234:U1249)</f>
        <v>2099.7399999999998</v>
      </c>
      <c r="V1233" s="15" t="str">
        <f t="shared" si="127"/>
        <v>204070100</v>
      </c>
      <c r="W1233" s="33">
        <v>2</v>
      </c>
      <c r="X1233" s="34" t="s">
        <v>693</v>
      </c>
      <c r="Y1233" s="34" t="s">
        <v>755</v>
      </c>
      <c r="Z1233" s="34" t="s">
        <v>632</v>
      </c>
      <c r="AA1233" s="35" t="s">
        <v>630</v>
      </c>
      <c r="AB1233" s="31" t="s">
        <v>135</v>
      </c>
      <c r="AC1233" s="529">
        <f>SUM(AC1234:AC1249)</f>
        <v>2099.7399999999998</v>
      </c>
      <c r="AD1233" s="513">
        <v>0</v>
      </c>
      <c r="AE1233" s="513" t="s">
        <v>13575</v>
      </c>
      <c r="AF1233" s="513" t="s">
        <v>300</v>
      </c>
      <c r="AG1233" s="514" t="s">
        <v>13576</v>
      </c>
      <c r="AH1233" s="44">
        <f>SUM(AH1234:AH1249)</f>
        <v>2099.7399999999998</v>
      </c>
      <c r="AI1233" s="10"/>
      <c r="AJ1233" s="9">
        <f t="shared" si="124"/>
        <v>0</v>
      </c>
      <c r="AK1233" s="10"/>
      <c r="AL1233" s="10"/>
    </row>
    <row r="1234" spans="1:38" ht="45" hidden="1">
      <c r="A1234" s="1">
        <f t="shared" si="121"/>
        <v>0</v>
      </c>
      <c r="B1234" s="2" t="s">
        <v>3541</v>
      </c>
      <c r="C1234" s="3" t="s">
        <v>3542</v>
      </c>
      <c r="D1234" s="15" t="s">
        <v>11728</v>
      </c>
      <c r="E1234" s="4" t="s">
        <v>3541</v>
      </c>
      <c r="F1234" s="37" t="s">
        <v>3542</v>
      </c>
      <c r="G1234" s="38">
        <v>0</v>
      </c>
      <c r="H1234" s="38">
        <v>0</v>
      </c>
      <c r="I1234" s="15"/>
      <c r="J1234" s="494">
        <v>20407010101</v>
      </c>
      <c r="K1234" s="517"/>
      <c r="L1234" s="517" t="s">
        <v>13577</v>
      </c>
      <c r="M1234" s="517" t="s">
        <v>3544</v>
      </c>
      <c r="N1234" s="518" t="s">
        <v>3545</v>
      </c>
      <c r="O1234" s="517">
        <v>2</v>
      </c>
      <c r="P1234" s="517" t="s">
        <v>693</v>
      </c>
      <c r="Q1234" s="517" t="s">
        <v>755</v>
      </c>
      <c r="R1234" s="517" t="s">
        <v>632</v>
      </c>
      <c r="S1234" s="517" t="s">
        <v>632</v>
      </c>
      <c r="T1234" s="518" t="s">
        <v>3543</v>
      </c>
      <c r="U1234" s="38">
        <v>0</v>
      </c>
      <c r="V1234" s="15" t="str">
        <f t="shared" si="127"/>
        <v>204070101</v>
      </c>
      <c r="W1234" s="39">
        <v>2</v>
      </c>
      <c r="X1234" s="40" t="s">
        <v>693</v>
      </c>
      <c r="Y1234" s="40" t="s">
        <v>755</v>
      </c>
      <c r="Z1234" s="40" t="s">
        <v>632</v>
      </c>
      <c r="AA1234" s="40" t="s">
        <v>632</v>
      </c>
      <c r="AB1234" s="41" t="s">
        <v>3543</v>
      </c>
      <c r="AC1234" s="519">
        <f t="shared" ref="AC1234:AC1249" si="128">H1234</f>
        <v>0</v>
      </c>
      <c r="AD1234" s="517">
        <v>0</v>
      </c>
      <c r="AE1234" s="517" t="s">
        <v>13577</v>
      </c>
      <c r="AF1234" s="517" t="s">
        <v>3544</v>
      </c>
      <c r="AG1234" s="520" t="s">
        <v>3545</v>
      </c>
      <c r="AH1234" s="67">
        <f t="shared" ref="AH1234:AH1249" si="129">AC1234</f>
        <v>0</v>
      </c>
      <c r="AI1234" s="10"/>
      <c r="AJ1234" s="9">
        <f t="shared" si="124"/>
        <v>0</v>
      </c>
      <c r="AK1234" s="10"/>
      <c r="AL1234" s="10"/>
    </row>
    <row r="1235" spans="1:38" ht="45" hidden="1">
      <c r="A1235" s="1">
        <f t="shared" si="121"/>
        <v>0</v>
      </c>
      <c r="B1235" s="2" t="s">
        <v>3546</v>
      </c>
      <c r="C1235" s="3" t="s">
        <v>3547</v>
      </c>
      <c r="D1235" s="15" t="s">
        <v>11729</v>
      </c>
      <c r="E1235" s="4" t="s">
        <v>3546</v>
      </c>
      <c r="F1235" s="37" t="s">
        <v>3547</v>
      </c>
      <c r="G1235" s="38">
        <v>1156</v>
      </c>
      <c r="H1235" s="38">
        <v>1156</v>
      </c>
      <c r="I1235" s="15"/>
      <c r="J1235" s="494">
        <v>20407010201</v>
      </c>
      <c r="K1235" s="517"/>
      <c r="L1235" s="517" t="s">
        <v>13577</v>
      </c>
      <c r="M1235" s="517" t="s">
        <v>3544</v>
      </c>
      <c r="N1235" s="518" t="s">
        <v>3545</v>
      </c>
      <c r="O1235" s="517">
        <v>2</v>
      </c>
      <c r="P1235" s="517" t="s">
        <v>693</v>
      </c>
      <c r="Q1235" s="517" t="s">
        <v>755</v>
      </c>
      <c r="R1235" s="517" t="s">
        <v>632</v>
      </c>
      <c r="S1235" s="517" t="s">
        <v>647</v>
      </c>
      <c r="T1235" s="518" t="s">
        <v>3548</v>
      </c>
      <c r="U1235" s="38">
        <v>1156</v>
      </c>
      <c r="V1235" s="15" t="str">
        <f t="shared" si="127"/>
        <v>204070102</v>
      </c>
      <c r="W1235" s="39">
        <v>2</v>
      </c>
      <c r="X1235" s="40" t="s">
        <v>693</v>
      </c>
      <c r="Y1235" s="40" t="s">
        <v>755</v>
      </c>
      <c r="Z1235" s="40" t="s">
        <v>632</v>
      </c>
      <c r="AA1235" s="40" t="s">
        <v>647</v>
      </c>
      <c r="AB1235" s="42" t="s">
        <v>3548</v>
      </c>
      <c r="AC1235" s="519">
        <f t="shared" si="128"/>
        <v>1156</v>
      </c>
      <c r="AD1235" s="517">
        <v>0</v>
      </c>
      <c r="AE1235" s="517" t="s">
        <v>13577</v>
      </c>
      <c r="AF1235" s="517" t="s">
        <v>3544</v>
      </c>
      <c r="AG1235" s="518" t="s">
        <v>3545</v>
      </c>
      <c r="AH1235" s="67">
        <f t="shared" si="129"/>
        <v>1156</v>
      </c>
      <c r="AI1235" s="10"/>
      <c r="AJ1235" s="9">
        <f t="shared" si="124"/>
        <v>0</v>
      </c>
      <c r="AK1235" s="10"/>
      <c r="AL1235" s="10"/>
    </row>
    <row r="1236" spans="1:38" ht="45" hidden="1">
      <c r="A1236" s="1">
        <f t="shared" si="121"/>
        <v>0</v>
      </c>
      <c r="B1236" s="2" t="s">
        <v>3549</v>
      </c>
      <c r="C1236" s="3" t="s">
        <v>3550</v>
      </c>
      <c r="D1236" s="15" t="s">
        <v>11730</v>
      </c>
      <c r="E1236" s="4" t="s">
        <v>3549</v>
      </c>
      <c r="F1236" s="37" t="s">
        <v>3550</v>
      </c>
      <c r="G1236" s="38">
        <v>0</v>
      </c>
      <c r="H1236" s="38">
        <v>0</v>
      </c>
      <c r="I1236" s="15"/>
      <c r="J1236" s="494">
        <v>20407010301</v>
      </c>
      <c r="K1236" s="517"/>
      <c r="L1236" s="517" t="s">
        <v>13577</v>
      </c>
      <c r="M1236" s="517" t="s">
        <v>3544</v>
      </c>
      <c r="N1236" s="518" t="s">
        <v>3545</v>
      </c>
      <c r="O1236" s="517">
        <v>2</v>
      </c>
      <c r="P1236" s="517" t="s">
        <v>693</v>
      </c>
      <c r="Q1236" s="517" t="s">
        <v>755</v>
      </c>
      <c r="R1236" s="517" t="s">
        <v>632</v>
      </c>
      <c r="S1236" s="517" t="s">
        <v>671</v>
      </c>
      <c r="T1236" s="518" t="s">
        <v>3551</v>
      </c>
      <c r="U1236" s="38">
        <v>0</v>
      </c>
      <c r="V1236" s="15" t="str">
        <f t="shared" si="127"/>
        <v>204070103</v>
      </c>
      <c r="W1236" s="39">
        <v>2</v>
      </c>
      <c r="X1236" s="40" t="s">
        <v>693</v>
      </c>
      <c r="Y1236" s="40" t="s">
        <v>755</v>
      </c>
      <c r="Z1236" s="40" t="s">
        <v>632</v>
      </c>
      <c r="AA1236" s="40" t="s">
        <v>671</v>
      </c>
      <c r="AB1236" s="41" t="s">
        <v>3551</v>
      </c>
      <c r="AC1236" s="519">
        <f t="shared" si="128"/>
        <v>0</v>
      </c>
      <c r="AD1236" s="517">
        <v>0</v>
      </c>
      <c r="AE1236" s="517" t="s">
        <v>13577</v>
      </c>
      <c r="AF1236" s="517" t="s">
        <v>3544</v>
      </c>
      <c r="AG1236" s="520" t="s">
        <v>3545</v>
      </c>
      <c r="AH1236" s="67">
        <f t="shared" si="129"/>
        <v>0</v>
      </c>
      <c r="AI1236" s="10"/>
      <c r="AJ1236" s="9">
        <f t="shared" si="124"/>
        <v>0</v>
      </c>
      <c r="AK1236" s="10"/>
      <c r="AL1236" s="10"/>
    </row>
    <row r="1237" spans="1:38" ht="45" hidden="1">
      <c r="A1237" s="1">
        <f t="shared" ref="A1237:A1300" si="130">IF(E1237=B1237,0,1)</f>
        <v>0</v>
      </c>
      <c r="B1237" s="2" t="s">
        <v>3552</v>
      </c>
      <c r="C1237" s="3" t="s">
        <v>3553</v>
      </c>
      <c r="D1237" s="15" t="s">
        <v>11731</v>
      </c>
      <c r="E1237" s="4" t="s">
        <v>3552</v>
      </c>
      <c r="F1237" s="37" t="s">
        <v>3553</v>
      </c>
      <c r="G1237" s="38">
        <v>943.74</v>
      </c>
      <c r="H1237" s="38">
        <v>943.74</v>
      </c>
      <c r="I1237" s="15"/>
      <c r="J1237" s="494">
        <v>20407010401</v>
      </c>
      <c r="K1237" s="517"/>
      <c r="L1237" s="517" t="s">
        <v>13577</v>
      </c>
      <c r="M1237" s="517" t="s">
        <v>3544</v>
      </c>
      <c r="N1237" s="518" t="s">
        <v>3545</v>
      </c>
      <c r="O1237" s="517">
        <v>2</v>
      </c>
      <c r="P1237" s="517" t="s">
        <v>693</v>
      </c>
      <c r="Q1237" s="517" t="s">
        <v>755</v>
      </c>
      <c r="R1237" s="517" t="s">
        <v>632</v>
      </c>
      <c r="S1237" s="517" t="s">
        <v>693</v>
      </c>
      <c r="T1237" s="518" t="s">
        <v>3554</v>
      </c>
      <c r="U1237" s="38">
        <v>943.74</v>
      </c>
      <c r="V1237" s="15" t="str">
        <f t="shared" si="127"/>
        <v>204070104</v>
      </c>
      <c r="W1237" s="39">
        <v>2</v>
      </c>
      <c r="X1237" s="40" t="s">
        <v>693</v>
      </c>
      <c r="Y1237" s="40" t="s">
        <v>755</v>
      </c>
      <c r="Z1237" s="40" t="s">
        <v>632</v>
      </c>
      <c r="AA1237" s="40" t="s">
        <v>693</v>
      </c>
      <c r="AB1237" s="42" t="s">
        <v>3554</v>
      </c>
      <c r="AC1237" s="519">
        <f t="shared" si="128"/>
        <v>943.74</v>
      </c>
      <c r="AD1237" s="517">
        <v>0</v>
      </c>
      <c r="AE1237" s="517" t="s">
        <v>13577</v>
      </c>
      <c r="AF1237" s="517" t="s">
        <v>3544</v>
      </c>
      <c r="AG1237" s="518" t="s">
        <v>3545</v>
      </c>
      <c r="AH1237" s="67">
        <f t="shared" si="129"/>
        <v>943.74</v>
      </c>
      <c r="AI1237" s="10"/>
      <c r="AJ1237" s="9">
        <f t="shared" si="124"/>
        <v>0</v>
      </c>
      <c r="AK1237" s="10"/>
      <c r="AL1237" s="10"/>
    </row>
    <row r="1238" spans="1:38" ht="45" hidden="1">
      <c r="A1238" s="1">
        <f t="shared" si="130"/>
        <v>0</v>
      </c>
      <c r="B1238" s="2" t="s">
        <v>3555</v>
      </c>
      <c r="C1238" s="3" t="s">
        <v>3556</v>
      </c>
      <c r="D1238" s="15" t="s">
        <v>11732</v>
      </c>
      <c r="E1238" s="4" t="s">
        <v>3555</v>
      </c>
      <c r="F1238" s="37" t="s">
        <v>3556</v>
      </c>
      <c r="G1238" s="38">
        <v>0</v>
      </c>
      <c r="H1238" s="38">
        <v>0</v>
      </c>
      <c r="I1238" s="15"/>
      <c r="J1238" s="494">
        <v>20407010501</v>
      </c>
      <c r="K1238" s="517"/>
      <c r="L1238" s="517" t="s">
        <v>13577</v>
      </c>
      <c r="M1238" s="517" t="s">
        <v>3544</v>
      </c>
      <c r="N1238" s="518" t="s">
        <v>3545</v>
      </c>
      <c r="O1238" s="517">
        <v>2</v>
      </c>
      <c r="P1238" s="517" t="s">
        <v>693</v>
      </c>
      <c r="Q1238" s="517" t="s">
        <v>755</v>
      </c>
      <c r="R1238" s="517" t="s">
        <v>632</v>
      </c>
      <c r="S1238" s="517" t="s">
        <v>714</v>
      </c>
      <c r="T1238" s="518" t="s">
        <v>3557</v>
      </c>
      <c r="U1238" s="38">
        <v>0</v>
      </c>
      <c r="V1238" s="15" t="str">
        <f t="shared" si="127"/>
        <v>204070105</v>
      </c>
      <c r="W1238" s="39">
        <v>2</v>
      </c>
      <c r="X1238" s="40" t="s">
        <v>693</v>
      </c>
      <c r="Y1238" s="40" t="s">
        <v>755</v>
      </c>
      <c r="Z1238" s="40" t="s">
        <v>632</v>
      </c>
      <c r="AA1238" s="40" t="s">
        <v>714</v>
      </c>
      <c r="AB1238" s="42" t="s">
        <v>3557</v>
      </c>
      <c r="AC1238" s="519">
        <f t="shared" si="128"/>
        <v>0</v>
      </c>
      <c r="AD1238" s="517">
        <v>0</v>
      </c>
      <c r="AE1238" s="517" t="s">
        <v>13577</v>
      </c>
      <c r="AF1238" s="517" t="s">
        <v>3544</v>
      </c>
      <c r="AG1238" s="518" t="s">
        <v>3545</v>
      </c>
      <c r="AH1238" s="67">
        <f t="shared" si="129"/>
        <v>0</v>
      </c>
      <c r="AI1238" s="10"/>
      <c r="AJ1238" s="9">
        <f t="shared" si="124"/>
        <v>0</v>
      </c>
      <c r="AK1238" s="10"/>
      <c r="AL1238" s="10"/>
    </row>
    <row r="1239" spans="1:38" ht="45" hidden="1">
      <c r="A1239" s="1">
        <f t="shared" si="130"/>
        <v>0</v>
      </c>
      <c r="B1239" s="2" t="s">
        <v>3558</v>
      </c>
      <c r="C1239" s="3" t="s">
        <v>3559</v>
      </c>
      <c r="D1239" s="15" t="s">
        <v>11733</v>
      </c>
      <c r="E1239" s="4" t="s">
        <v>3558</v>
      </c>
      <c r="F1239" s="37" t="s">
        <v>3559</v>
      </c>
      <c r="G1239" s="38">
        <v>0</v>
      </c>
      <c r="H1239" s="38">
        <v>0</v>
      </c>
      <c r="I1239" s="15"/>
      <c r="J1239" s="494">
        <v>20407010601</v>
      </c>
      <c r="K1239" s="517"/>
      <c r="L1239" s="517" t="s">
        <v>13577</v>
      </c>
      <c r="M1239" s="517" t="s">
        <v>3544</v>
      </c>
      <c r="N1239" s="518" t="s">
        <v>3545</v>
      </c>
      <c r="O1239" s="517">
        <v>2</v>
      </c>
      <c r="P1239" s="517" t="s">
        <v>693</v>
      </c>
      <c r="Q1239" s="517" t="s">
        <v>755</v>
      </c>
      <c r="R1239" s="517" t="s">
        <v>632</v>
      </c>
      <c r="S1239" s="517" t="s">
        <v>739</v>
      </c>
      <c r="T1239" s="518" t="s">
        <v>3560</v>
      </c>
      <c r="U1239" s="38">
        <v>0</v>
      </c>
      <c r="V1239" s="15" t="str">
        <f t="shared" si="127"/>
        <v>204070106</v>
      </c>
      <c r="W1239" s="39">
        <v>2</v>
      </c>
      <c r="X1239" s="40" t="s">
        <v>693</v>
      </c>
      <c r="Y1239" s="40" t="s">
        <v>755</v>
      </c>
      <c r="Z1239" s="40" t="s">
        <v>632</v>
      </c>
      <c r="AA1239" s="40" t="s">
        <v>739</v>
      </c>
      <c r="AB1239" s="42" t="s">
        <v>3560</v>
      </c>
      <c r="AC1239" s="519">
        <f t="shared" si="128"/>
        <v>0</v>
      </c>
      <c r="AD1239" s="517">
        <v>0</v>
      </c>
      <c r="AE1239" s="517" t="s">
        <v>13577</v>
      </c>
      <c r="AF1239" s="517" t="s">
        <v>3544</v>
      </c>
      <c r="AG1239" s="518" t="s">
        <v>3545</v>
      </c>
      <c r="AH1239" s="67">
        <f t="shared" si="129"/>
        <v>0</v>
      </c>
      <c r="AI1239" s="10"/>
      <c r="AJ1239" s="9">
        <f t="shared" si="124"/>
        <v>0</v>
      </c>
      <c r="AK1239" s="10"/>
      <c r="AL1239" s="10"/>
    </row>
    <row r="1240" spans="1:38" ht="45" hidden="1">
      <c r="A1240" s="1">
        <f t="shared" si="130"/>
        <v>0</v>
      </c>
      <c r="B1240" s="2" t="s">
        <v>3561</v>
      </c>
      <c r="C1240" s="3" t="s">
        <v>3562</v>
      </c>
      <c r="D1240" s="15" t="s">
        <v>11734</v>
      </c>
      <c r="E1240" s="4" t="s">
        <v>3561</v>
      </c>
      <c r="F1240" s="37" t="s">
        <v>3562</v>
      </c>
      <c r="G1240" s="38">
        <v>0</v>
      </c>
      <c r="H1240" s="38">
        <v>0</v>
      </c>
      <c r="I1240" s="15"/>
      <c r="J1240" s="494">
        <v>20407010701</v>
      </c>
      <c r="K1240" s="517"/>
      <c r="L1240" s="517" t="s">
        <v>13577</v>
      </c>
      <c r="M1240" s="517" t="s">
        <v>3544</v>
      </c>
      <c r="N1240" s="518" t="s">
        <v>3545</v>
      </c>
      <c r="O1240" s="517">
        <v>2</v>
      </c>
      <c r="P1240" s="517" t="s">
        <v>693</v>
      </c>
      <c r="Q1240" s="517" t="s">
        <v>755</v>
      </c>
      <c r="R1240" s="517" t="s">
        <v>632</v>
      </c>
      <c r="S1240" s="517" t="s">
        <v>755</v>
      </c>
      <c r="T1240" s="518" t="s">
        <v>3563</v>
      </c>
      <c r="U1240" s="38">
        <v>0</v>
      </c>
      <c r="V1240" s="15" t="str">
        <f t="shared" si="127"/>
        <v>204070107</v>
      </c>
      <c r="W1240" s="39">
        <v>2</v>
      </c>
      <c r="X1240" s="40" t="s">
        <v>693</v>
      </c>
      <c r="Y1240" s="40" t="s">
        <v>755</v>
      </c>
      <c r="Z1240" s="40" t="s">
        <v>632</v>
      </c>
      <c r="AA1240" s="40" t="s">
        <v>755</v>
      </c>
      <c r="AB1240" s="41" t="s">
        <v>3563</v>
      </c>
      <c r="AC1240" s="519">
        <f t="shared" si="128"/>
        <v>0</v>
      </c>
      <c r="AD1240" s="517">
        <v>0</v>
      </c>
      <c r="AE1240" s="517" t="s">
        <v>13577</v>
      </c>
      <c r="AF1240" s="517" t="s">
        <v>3544</v>
      </c>
      <c r="AG1240" s="520" t="s">
        <v>3545</v>
      </c>
      <c r="AH1240" s="67">
        <f t="shared" si="129"/>
        <v>0</v>
      </c>
      <c r="AI1240" s="10"/>
      <c r="AJ1240" s="9">
        <f t="shared" si="124"/>
        <v>0</v>
      </c>
      <c r="AK1240" s="10"/>
      <c r="AL1240" s="10"/>
    </row>
    <row r="1241" spans="1:38" ht="56.25" hidden="1">
      <c r="A1241" s="1">
        <f t="shared" si="130"/>
        <v>0</v>
      </c>
      <c r="B1241" s="2" t="s">
        <v>3564</v>
      </c>
      <c r="C1241" s="3" t="s">
        <v>3565</v>
      </c>
      <c r="D1241" s="15" t="s">
        <v>11735</v>
      </c>
      <c r="E1241" s="4" t="s">
        <v>3564</v>
      </c>
      <c r="F1241" s="37" t="s">
        <v>3565</v>
      </c>
      <c r="G1241" s="38">
        <v>0</v>
      </c>
      <c r="H1241" s="38">
        <v>0</v>
      </c>
      <c r="I1241" s="15"/>
      <c r="J1241" s="494">
        <v>20407019901</v>
      </c>
      <c r="K1241" s="517"/>
      <c r="L1241" s="517" t="s">
        <v>13577</v>
      </c>
      <c r="M1241" s="517" t="s">
        <v>3544</v>
      </c>
      <c r="N1241" s="518" t="s">
        <v>3545</v>
      </c>
      <c r="O1241" s="517">
        <v>2</v>
      </c>
      <c r="P1241" s="517" t="s">
        <v>693</v>
      </c>
      <c r="Q1241" s="517" t="s">
        <v>755</v>
      </c>
      <c r="R1241" s="517" t="s">
        <v>632</v>
      </c>
      <c r="S1241" s="517" t="s">
        <v>1124</v>
      </c>
      <c r="T1241" s="518" t="s">
        <v>3565</v>
      </c>
      <c r="U1241" s="38">
        <v>0</v>
      </c>
      <c r="V1241" s="15" t="str">
        <f t="shared" si="127"/>
        <v>204070199</v>
      </c>
      <c r="W1241" s="39">
        <v>2</v>
      </c>
      <c r="X1241" s="40" t="s">
        <v>693</v>
      </c>
      <c r="Y1241" s="40" t="s">
        <v>755</v>
      </c>
      <c r="Z1241" s="40" t="s">
        <v>632</v>
      </c>
      <c r="AA1241" s="40" t="s">
        <v>1124</v>
      </c>
      <c r="AB1241" s="41" t="s">
        <v>3565</v>
      </c>
      <c r="AC1241" s="519">
        <f t="shared" si="128"/>
        <v>0</v>
      </c>
      <c r="AD1241" s="517">
        <v>0</v>
      </c>
      <c r="AE1241" s="517" t="s">
        <v>13577</v>
      </c>
      <c r="AF1241" s="517" t="s">
        <v>3544</v>
      </c>
      <c r="AG1241" s="520" t="s">
        <v>3545</v>
      </c>
      <c r="AH1241" s="67">
        <f t="shared" si="129"/>
        <v>0</v>
      </c>
      <c r="AI1241" s="10"/>
      <c r="AJ1241" s="9">
        <f t="shared" si="124"/>
        <v>0</v>
      </c>
      <c r="AK1241" s="10"/>
      <c r="AL1241" s="10"/>
    </row>
    <row r="1242" spans="1:38" ht="33.75" hidden="1">
      <c r="A1242" s="1">
        <f t="shared" si="130"/>
        <v>0</v>
      </c>
      <c r="B1242" s="2" t="s">
        <v>3566</v>
      </c>
      <c r="C1242" s="3" t="s">
        <v>3567</v>
      </c>
      <c r="D1242" s="15" t="s">
        <v>11736</v>
      </c>
      <c r="E1242" s="4" t="s">
        <v>3566</v>
      </c>
      <c r="F1242" s="37" t="s">
        <v>3567</v>
      </c>
      <c r="G1242" s="38">
        <v>0</v>
      </c>
      <c r="H1242" s="38">
        <v>0</v>
      </c>
      <c r="I1242" s="15"/>
      <c r="J1242" s="494">
        <v>20407010801</v>
      </c>
      <c r="K1242" s="517"/>
      <c r="L1242" s="517" t="s">
        <v>13578</v>
      </c>
      <c r="M1242" s="517" t="s">
        <v>3568</v>
      </c>
      <c r="N1242" s="518" t="s">
        <v>3569</v>
      </c>
      <c r="O1242" s="517">
        <v>2</v>
      </c>
      <c r="P1242" s="517" t="s">
        <v>693</v>
      </c>
      <c r="Q1242" s="517" t="s">
        <v>755</v>
      </c>
      <c r="R1242" s="517" t="s">
        <v>632</v>
      </c>
      <c r="S1242" s="517" t="s">
        <v>766</v>
      </c>
      <c r="T1242" s="518" t="s">
        <v>3567</v>
      </c>
      <c r="U1242" s="38">
        <v>0</v>
      </c>
      <c r="V1242" s="15" t="str">
        <f t="shared" si="127"/>
        <v>204070108</v>
      </c>
      <c r="W1242" s="39">
        <v>2</v>
      </c>
      <c r="X1242" s="40" t="s">
        <v>693</v>
      </c>
      <c r="Y1242" s="40" t="s">
        <v>755</v>
      </c>
      <c r="Z1242" s="40" t="s">
        <v>632</v>
      </c>
      <c r="AA1242" s="40" t="s">
        <v>766</v>
      </c>
      <c r="AB1242" s="41" t="s">
        <v>3567</v>
      </c>
      <c r="AC1242" s="519">
        <f t="shared" si="128"/>
        <v>0</v>
      </c>
      <c r="AD1242" s="517">
        <v>0</v>
      </c>
      <c r="AE1242" s="517" t="s">
        <v>13578</v>
      </c>
      <c r="AF1242" s="517" t="s">
        <v>3568</v>
      </c>
      <c r="AG1242" s="520" t="s">
        <v>3569</v>
      </c>
      <c r="AH1242" s="67">
        <f t="shared" si="129"/>
        <v>0</v>
      </c>
      <c r="AI1242" s="10"/>
      <c r="AJ1242" s="9">
        <f t="shared" si="124"/>
        <v>0</v>
      </c>
      <c r="AK1242" s="10"/>
      <c r="AL1242" s="10"/>
    </row>
    <row r="1243" spans="1:38" ht="33.75" hidden="1">
      <c r="A1243" s="1">
        <f t="shared" si="130"/>
        <v>0</v>
      </c>
      <c r="B1243" s="2" t="s">
        <v>3570</v>
      </c>
      <c r="C1243" s="3" t="s">
        <v>3571</v>
      </c>
      <c r="D1243" s="15" t="s">
        <v>11737</v>
      </c>
      <c r="E1243" s="4" t="s">
        <v>3570</v>
      </c>
      <c r="F1243" s="37" t="s">
        <v>3571</v>
      </c>
      <c r="G1243" s="38">
        <v>0</v>
      </c>
      <c r="H1243" s="38">
        <v>0</v>
      </c>
      <c r="I1243" s="15"/>
      <c r="J1243" s="494">
        <v>20407010901</v>
      </c>
      <c r="K1243" s="517"/>
      <c r="L1243" s="517" t="s">
        <v>13578</v>
      </c>
      <c r="M1243" s="517" t="s">
        <v>3568</v>
      </c>
      <c r="N1243" s="518" t="s">
        <v>3569</v>
      </c>
      <c r="O1243" s="517">
        <v>2</v>
      </c>
      <c r="P1243" s="517" t="s">
        <v>693</v>
      </c>
      <c r="Q1243" s="517" t="s">
        <v>755</v>
      </c>
      <c r="R1243" s="517" t="s">
        <v>632</v>
      </c>
      <c r="S1243" s="517" t="s">
        <v>779</v>
      </c>
      <c r="T1243" s="518" t="s">
        <v>3571</v>
      </c>
      <c r="U1243" s="38">
        <v>0</v>
      </c>
      <c r="V1243" s="15" t="str">
        <f t="shared" si="127"/>
        <v>204070109</v>
      </c>
      <c r="W1243" s="39">
        <v>2</v>
      </c>
      <c r="X1243" s="40" t="s">
        <v>693</v>
      </c>
      <c r="Y1243" s="40" t="s">
        <v>755</v>
      </c>
      <c r="Z1243" s="40" t="s">
        <v>632</v>
      </c>
      <c r="AA1243" s="40" t="s">
        <v>779</v>
      </c>
      <c r="AB1243" s="41" t="s">
        <v>3571</v>
      </c>
      <c r="AC1243" s="519">
        <f t="shared" si="128"/>
        <v>0</v>
      </c>
      <c r="AD1243" s="517">
        <v>0</v>
      </c>
      <c r="AE1243" s="517" t="s">
        <v>13578</v>
      </c>
      <c r="AF1243" s="517" t="s">
        <v>3568</v>
      </c>
      <c r="AG1243" s="520" t="s">
        <v>3569</v>
      </c>
      <c r="AH1243" s="67">
        <f t="shared" si="129"/>
        <v>0</v>
      </c>
      <c r="AI1243" s="10"/>
      <c r="AJ1243" s="9">
        <f t="shared" si="124"/>
        <v>0</v>
      </c>
      <c r="AK1243" s="10"/>
      <c r="AL1243" s="10"/>
    </row>
    <row r="1244" spans="1:38" ht="33.75" hidden="1">
      <c r="A1244" s="1">
        <f t="shared" si="130"/>
        <v>0</v>
      </c>
      <c r="B1244" s="2" t="s">
        <v>3572</v>
      </c>
      <c r="C1244" s="3" t="s">
        <v>3573</v>
      </c>
      <c r="D1244" s="15" t="s">
        <v>11738</v>
      </c>
      <c r="E1244" s="4" t="s">
        <v>3572</v>
      </c>
      <c r="F1244" s="37" t="s">
        <v>3573</v>
      </c>
      <c r="G1244" s="38">
        <v>0</v>
      </c>
      <c r="H1244" s="38">
        <v>0</v>
      </c>
      <c r="I1244" s="15"/>
      <c r="J1244" s="494">
        <v>20407011001</v>
      </c>
      <c r="K1244" s="517"/>
      <c r="L1244" s="517" t="s">
        <v>13578</v>
      </c>
      <c r="M1244" s="517" t="s">
        <v>3568</v>
      </c>
      <c r="N1244" s="518" t="s">
        <v>3569</v>
      </c>
      <c r="O1244" s="517">
        <v>2</v>
      </c>
      <c r="P1244" s="517" t="s">
        <v>693</v>
      </c>
      <c r="Q1244" s="517" t="s">
        <v>755</v>
      </c>
      <c r="R1244" s="517" t="s">
        <v>632</v>
      </c>
      <c r="S1244" s="517" t="s">
        <v>1225</v>
      </c>
      <c r="T1244" s="518" t="s">
        <v>3573</v>
      </c>
      <c r="U1244" s="38">
        <v>0</v>
      </c>
      <c r="V1244" s="15" t="str">
        <f t="shared" si="127"/>
        <v>204070110</v>
      </c>
      <c r="W1244" s="39">
        <v>2</v>
      </c>
      <c r="X1244" s="40" t="s">
        <v>693</v>
      </c>
      <c r="Y1244" s="40" t="s">
        <v>755</v>
      </c>
      <c r="Z1244" s="40" t="s">
        <v>632</v>
      </c>
      <c r="AA1244" s="40" t="s">
        <v>1225</v>
      </c>
      <c r="AB1244" s="41" t="s">
        <v>3573</v>
      </c>
      <c r="AC1244" s="519">
        <f t="shared" si="128"/>
        <v>0</v>
      </c>
      <c r="AD1244" s="517">
        <v>0</v>
      </c>
      <c r="AE1244" s="517" t="s">
        <v>13578</v>
      </c>
      <c r="AF1244" s="517" t="s">
        <v>3568</v>
      </c>
      <c r="AG1244" s="520" t="s">
        <v>3569</v>
      </c>
      <c r="AH1244" s="67">
        <f t="shared" si="129"/>
        <v>0</v>
      </c>
      <c r="AI1244" s="10"/>
      <c r="AJ1244" s="9">
        <f t="shared" si="124"/>
        <v>0</v>
      </c>
      <c r="AK1244" s="10"/>
      <c r="AL1244" s="10"/>
    </row>
    <row r="1245" spans="1:38" ht="45" hidden="1">
      <c r="A1245" s="1">
        <f t="shared" si="130"/>
        <v>0</v>
      </c>
      <c r="B1245" s="2" t="s">
        <v>3574</v>
      </c>
      <c r="C1245" s="3" t="s">
        <v>3575</v>
      </c>
      <c r="D1245" s="15" t="s">
        <v>11739</v>
      </c>
      <c r="E1245" s="4" t="s">
        <v>3574</v>
      </c>
      <c r="F1245" s="37" t="s">
        <v>3575</v>
      </c>
      <c r="G1245" s="38">
        <v>0</v>
      </c>
      <c r="H1245" s="38">
        <v>0</v>
      </c>
      <c r="I1245" s="15"/>
      <c r="J1245" s="494">
        <v>20407011101</v>
      </c>
      <c r="K1245" s="517"/>
      <c r="L1245" s="517" t="s">
        <v>13578</v>
      </c>
      <c r="M1245" s="517" t="s">
        <v>3568</v>
      </c>
      <c r="N1245" s="518" t="s">
        <v>3569</v>
      </c>
      <c r="O1245" s="517">
        <v>2</v>
      </c>
      <c r="P1245" s="517" t="s">
        <v>693</v>
      </c>
      <c r="Q1245" s="517" t="s">
        <v>755</v>
      </c>
      <c r="R1245" s="517" t="s">
        <v>632</v>
      </c>
      <c r="S1245" s="517" t="s">
        <v>1229</v>
      </c>
      <c r="T1245" s="518" t="s">
        <v>3575</v>
      </c>
      <c r="U1245" s="38">
        <v>0</v>
      </c>
      <c r="V1245" s="15" t="str">
        <f t="shared" si="127"/>
        <v>204070111</v>
      </c>
      <c r="W1245" s="39">
        <v>2</v>
      </c>
      <c r="X1245" s="40" t="s">
        <v>693</v>
      </c>
      <c r="Y1245" s="40" t="s">
        <v>755</v>
      </c>
      <c r="Z1245" s="40" t="s">
        <v>632</v>
      </c>
      <c r="AA1245" s="40" t="s">
        <v>1229</v>
      </c>
      <c r="AB1245" s="41" t="s">
        <v>3575</v>
      </c>
      <c r="AC1245" s="519">
        <f t="shared" si="128"/>
        <v>0</v>
      </c>
      <c r="AD1245" s="517">
        <v>0</v>
      </c>
      <c r="AE1245" s="517" t="s">
        <v>13578</v>
      </c>
      <c r="AF1245" s="517" t="s">
        <v>3568</v>
      </c>
      <c r="AG1245" s="520" t="s">
        <v>3569</v>
      </c>
      <c r="AH1245" s="67">
        <f t="shared" si="129"/>
        <v>0</v>
      </c>
      <c r="AI1245" s="10"/>
      <c r="AJ1245" s="9">
        <f t="shared" ref="AJ1245:AJ1250" si="131">AH1245-H1245</f>
        <v>0</v>
      </c>
      <c r="AK1245" s="10"/>
      <c r="AL1245" s="10"/>
    </row>
    <row r="1246" spans="1:38" ht="33.75" hidden="1">
      <c r="A1246" s="1">
        <f t="shared" si="130"/>
        <v>0</v>
      </c>
      <c r="B1246" s="2" t="s">
        <v>3576</v>
      </c>
      <c r="C1246" s="3" t="s">
        <v>3577</v>
      </c>
      <c r="D1246" s="15" t="s">
        <v>11740</v>
      </c>
      <c r="E1246" s="4" t="s">
        <v>3576</v>
      </c>
      <c r="F1246" s="37" t="s">
        <v>3577</v>
      </c>
      <c r="G1246" s="38">
        <v>0</v>
      </c>
      <c r="H1246" s="38">
        <v>0</v>
      </c>
      <c r="I1246" s="15"/>
      <c r="J1246" s="494">
        <v>20407011201</v>
      </c>
      <c r="K1246" s="517"/>
      <c r="L1246" s="517" t="s">
        <v>13578</v>
      </c>
      <c r="M1246" s="517" t="s">
        <v>3568</v>
      </c>
      <c r="N1246" s="518" t="s">
        <v>3569</v>
      </c>
      <c r="O1246" s="517">
        <v>2</v>
      </c>
      <c r="P1246" s="517" t="s">
        <v>693</v>
      </c>
      <c r="Q1246" s="517" t="s">
        <v>755</v>
      </c>
      <c r="R1246" s="517" t="s">
        <v>632</v>
      </c>
      <c r="S1246" s="517" t="s">
        <v>1243</v>
      </c>
      <c r="T1246" s="518" t="s">
        <v>3578</v>
      </c>
      <c r="U1246" s="38">
        <v>0</v>
      </c>
      <c r="V1246" s="15" t="str">
        <f t="shared" si="127"/>
        <v>204070112</v>
      </c>
      <c r="W1246" s="39">
        <v>2</v>
      </c>
      <c r="X1246" s="40" t="s">
        <v>693</v>
      </c>
      <c r="Y1246" s="40" t="s">
        <v>755</v>
      </c>
      <c r="Z1246" s="40" t="s">
        <v>632</v>
      </c>
      <c r="AA1246" s="40" t="s">
        <v>1243</v>
      </c>
      <c r="AB1246" s="41" t="s">
        <v>3578</v>
      </c>
      <c r="AC1246" s="519">
        <f t="shared" si="128"/>
        <v>0</v>
      </c>
      <c r="AD1246" s="517">
        <v>0</v>
      </c>
      <c r="AE1246" s="517" t="s">
        <v>13578</v>
      </c>
      <c r="AF1246" s="517" t="s">
        <v>3568</v>
      </c>
      <c r="AG1246" s="520" t="s">
        <v>3569</v>
      </c>
      <c r="AH1246" s="67">
        <f t="shared" si="129"/>
        <v>0</v>
      </c>
      <c r="AI1246" s="10"/>
      <c r="AJ1246" s="9">
        <f t="shared" si="131"/>
        <v>0</v>
      </c>
      <c r="AK1246" s="10"/>
      <c r="AL1246" s="10"/>
    </row>
    <row r="1247" spans="1:38" ht="33.75" hidden="1">
      <c r="A1247" s="1">
        <f t="shared" si="130"/>
        <v>0</v>
      </c>
      <c r="B1247" s="2" t="s">
        <v>3579</v>
      </c>
      <c r="C1247" s="3" t="s">
        <v>3580</v>
      </c>
      <c r="D1247" s="15" t="s">
        <v>11741</v>
      </c>
      <c r="E1247" s="4" t="s">
        <v>3579</v>
      </c>
      <c r="F1247" s="37" t="s">
        <v>3580</v>
      </c>
      <c r="G1247" s="38">
        <v>0</v>
      </c>
      <c r="H1247" s="38">
        <v>0</v>
      </c>
      <c r="I1247" s="15"/>
      <c r="J1247" s="494">
        <v>20407011301</v>
      </c>
      <c r="K1247" s="517"/>
      <c r="L1247" s="517" t="s">
        <v>13578</v>
      </c>
      <c r="M1247" s="517" t="s">
        <v>3568</v>
      </c>
      <c r="N1247" s="518" t="s">
        <v>3569</v>
      </c>
      <c r="O1247" s="517">
        <v>2</v>
      </c>
      <c r="P1247" s="517" t="s">
        <v>693</v>
      </c>
      <c r="Q1247" s="517" t="s">
        <v>755</v>
      </c>
      <c r="R1247" s="517" t="s">
        <v>632</v>
      </c>
      <c r="S1247" s="517" t="s">
        <v>1247</v>
      </c>
      <c r="T1247" s="518" t="s">
        <v>3580</v>
      </c>
      <c r="U1247" s="38">
        <v>0</v>
      </c>
      <c r="V1247" s="15" t="str">
        <f t="shared" si="127"/>
        <v>204070113</v>
      </c>
      <c r="W1247" s="39">
        <v>2</v>
      </c>
      <c r="X1247" s="40" t="s">
        <v>693</v>
      </c>
      <c r="Y1247" s="40" t="s">
        <v>755</v>
      </c>
      <c r="Z1247" s="40" t="s">
        <v>632</v>
      </c>
      <c r="AA1247" s="40" t="s">
        <v>1247</v>
      </c>
      <c r="AB1247" s="41" t="s">
        <v>3580</v>
      </c>
      <c r="AC1247" s="519">
        <f t="shared" si="128"/>
        <v>0</v>
      </c>
      <c r="AD1247" s="517">
        <v>0</v>
      </c>
      <c r="AE1247" s="517" t="s">
        <v>13578</v>
      </c>
      <c r="AF1247" s="517" t="s">
        <v>3568</v>
      </c>
      <c r="AG1247" s="520" t="s">
        <v>3569</v>
      </c>
      <c r="AH1247" s="67">
        <f t="shared" si="129"/>
        <v>0</v>
      </c>
      <c r="AI1247" s="10"/>
      <c r="AJ1247" s="9">
        <f t="shared" si="131"/>
        <v>0</v>
      </c>
      <c r="AK1247" s="10"/>
      <c r="AL1247" s="10"/>
    </row>
    <row r="1248" spans="1:38" ht="33.75" hidden="1">
      <c r="A1248" s="1">
        <f t="shared" si="130"/>
        <v>0</v>
      </c>
      <c r="B1248" s="2" t="s">
        <v>3581</v>
      </c>
      <c r="C1248" s="3" t="s">
        <v>3582</v>
      </c>
      <c r="D1248" s="15" t="s">
        <v>11742</v>
      </c>
      <c r="E1248" s="4" t="s">
        <v>3581</v>
      </c>
      <c r="F1248" s="37" t="s">
        <v>3582</v>
      </c>
      <c r="G1248" s="38">
        <v>0</v>
      </c>
      <c r="H1248" s="38">
        <v>0</v>
      </c>
      <c r="I1248" s="15"/>
      <c r="J1248" s="494">
        <v>20407011401</v>
      </c>
      <c r="K1248" s="517"/>
      <c r="L1248" s="517" t="s">
        <v>13578</v>
      </c>
      <c r="M1248" s="517" t="s">
        <v>3568</v>
      </c>
      <c r="N1248" s="518" t="s">
        <v>3569</v>
      </c>
      <c r="O1248" s="517">
        <v>2</v>
      </c>
      <c r="P1248" s="517" t="s">
        <v>693</v>
      </c>
      <c r="Q1248" s="517" t="s">
        <v>755</v>
      </c>
      <c r="R1248" s="517" t="s">
        <v>632</v>
      </c>
      <c r="S1248" s="517" t="s">
        <v>1253</v>
      </c>
      <c r="T1248" s="518" t="s">
        <v>3582</v>
      </c>
      <c r="U1248" s="38">
        <v>0</v>
      </c>
      <c r="V1248" s="15" t="str">
        <f t="shared" si="127"/>
        <v>204070114</v>
      </c>
      <c r="W1248" s="39">
        <v>2</v>
      </c>
      <c r="X1248" s="40" t="s">
        <v>693</v>
      </c>
      <c r="Y1248" s="40" t="s">
        <v>755</v>
      </c>
      <c r="Z1248" s="40" t="s">
        <v>632</v>
      </c>
      <c r="AA1248" s="40" t="s">
        <v>1253</v>
      </c>
      <c r="AB1248" s="41" t="s">
        <v>3582</v>
      </c>
      <c r="AC1248" s="519">
        <f t="shared" si="128"/>
        <v>0</v>
      </c>
      <c r="AD1248" s="517">
        <v>0</v>
      </c>
      <c r="AE1248" s="517" t="s">
        <v>13578</v>
      </c>
      <c r="AF1248" s="517" t="s">
        <v>3568</v>
      </c>
      <c r="AG1248" s="520" t="s">
        <v>3569</v>
      </c>
      <c r="AH1248" s="67">
        <f t="shared" si="129"/>
        <v>0</v>
      </c>
      <c r="AI1248" s="10"/>
      <c r="AJ1248" s="9">
        <f t="shared" si="131"/>
        <v>0</v>
      </c>
      <c r="AK1248" s="10"/>
      <c r="AL1248" s="10"/>
    </row>
    <row r="1249" spans="1:38" ht="33.75" hidden="1">
      <c r="A1249" s="1">
        <f t="shared" si="130"/>
        <v>0</v>
      </c>
      <c r="B1249" s="2" t="s">
        <v>3583</v>
      </c>
      <c r="C1249" s="3" t="s">
        <v>3584</v>
      </c>
      <c r="D1249" s="15" t="s">
        <v>11743</v>
      </c>
      <c r="E1249" s="4" t="s">
        <v>3583</v>
      </c>
      <c r="F1249" s="37" t="s">
        <v>3584</v>
      </c>
      <c r="G1249" s="38">
        <v>0</v>
      </c>
      <c r="H1249" s="38">
        <v>0</v>
      </c>
      <c r="I1249" s="15"/>
      <c r="J1249" s="494">
        <v>20407011501</v>
      </c>
      <c r="K1249" s="517"/>
      <c r="L1249" s="517" t="s">
        <v>13578</v>
      </c>
      <c r="M1249" s="517" t="s">
        <v>3568</v>
      </c>
      <c r="N1249" s="518" t="s">
        <v>3569</v>
      </c>
      <c r="O1249" s="517">
        <v>2</v>
      </c>
      <c r="P1249" s="517" t="s">
        <v>693</v>
      </c>
      <c r="Q1249" s="517" t="s">
        <v>755</v>
      </c>
      <c r="R1249" s="517" t="s">
        <v>632</v>
      </c>
      <c r="S1249" s="517" t="s">
        <v>1257</v>
      </c>
      <c r="T1249" s="518" t="s">
        <v>3584</v>
      </c>
      <c r="U1249" s="38">
        <v>0</v>
      </c>
      <c r="V1249" s="15" t="str">
        <f t="shared" si="127"/>
        <v>204070115</v>
      </c>
      <c r="W1249" s="39">
        <v>2</v>
      </c>
      <c r="X1249" s="40" t="s">
        <v>693</v>
      </c>
      <c r="Y1249" s="40" t="s">
        <v>755</v>
      </c>
      <c r="Z1249" s="40" t="s">
        <v>632</v>
      </c>
      <c r="AA1249" s="40" t="s">
        <v>1257</v>
      </c>
      <c r="AB1249" s="41" t="s">
        <v>3584</v>
      </c>
      <c r="AC1249" s="519">
        <f t="shared" si="128"/>
        <v>0</v>
      </c>
      <c r="AD1249" s="517">
        <v>0</v>
      </c>
      <c r="AE1249" s="517" t="s">
        <v>13578</v>
      </c>
      <c r="AF1249" s="517" t="s">
        <v>3568</v>
      </c>
      <c r="AG1249" s="520" t="s">
        <v>3569</v>
      </c>
      <c r="AH1249" s="67">
        <f t="shared" si="129"/>
        <v>0</v>
      </c>
      <c r="AI1249" s="10"/>
      <c r="AJ1249" s="9">
        <f t="shared" si="131"/>
        <v>0</v>
      </c>
      <c r="AK1249" s="10"/>
      <c r="AL1249" s="10"/>
    </row>
    <row r="1250" spans="1:38" ht="22.5" hidden="1">
      <c r="A1250" s="1">
        <f t="shared" si="130"/>
        <v>0</v>
      </c>
      <c r="B1250" s="11"/>
      <c r="C1250" s="11"/>
      <c r="D1250" s="15" t="s">
        <v>16</v>
      </c>
      <c r="E1250" s="30"/>
      <c r="F1250" s="31" t="s">
        <v>29</v>
      </c>
      <c r="G1250" s="32">
        <f>SUM(G1251:G1278)</f>
        <v>48436564.669999994</v>
      </c>
      <c r="H1250" s="32">
        <f>SUM(H1251:H1279)</f>
        <v>42369117.119999997</v>
      </c>
      <c r="I1250" s="15"/>
      <c r="J1250" s="494"/>
      <c r="K1250" s="513"/>
      <c r="L1250" s="513"/>
      <c r="M1250" s="513"/>
      <c r="N1250" s="514"/>
      <c r="O1250" s="513"/>
      <c r="P1250" s="513"/>
      <c r="Q1250" s="513"/>
      <c r="R1250" s="513"/>
      <c r="S1250" s="513"/>
      <c r="T1250" s="514"/>
      <c r="U1250" s="32">
        <f>SUM(U1251:U1279)</f>
        <v>42369117.119999997</v>
      </c>
      <c r="V1250" s="15" t="str">
        <f t="shared" si="127"/>
        <v>204070200</v>
      </c>
      <c r="W1250" s="33">
        <v>2</v>
      </c>
      <c r="X1250" s="34" t="s">
        <v>693</v>
      </c>
      <c r="Y1250" s="34" t="s">
        <v>755</v>
      </c>
      <c r="Z1250" s="34" t="s">
        <v>647</v>
      </c>
      <c r="AA1250" s="35" t="s">
        <v>630</v>
      </c>
      <c r="AB1250" s="31" t="s">
        <v>29</v>
      </c>
      <c r="AC1250" s="529" t="e">
        <f>SUM(AC1251:AE1279)</f>
        <v>#N/A</v>
      </c>
      <c r="AD1250" s="513">
        <v>0</v>
      </c>
      <c r="AE1250" s="513" t="s">
        <v>3585</v>
      </c>
      <c r="AF1250" s="513" t="s">
        <v>301</v>
      </c>
      <c r="AG1250" s="514" t="s">
        <v>3586</v>
      </c>
      <c r="AH1250" s="44">
        <f>SUM(AH1251:AH1274)</f>
        <v>42369117.120000005</v>
      </c>
      <c r="AI1250" s="10"/>
      <c r="AJ1250" s="9">
        <f t="shared" si="131"/>
        <v>0</v>
      </c>
      <c r="AK1250" s="10"/>
      <c r="AL1250" s="10"/>
    </row>
    <row r="1251" spans="1:38" ht="22.5" hidden="1">
      <c r="A1251" s="1">
        <f t="shared" si="130"/>
        <v>0</v>
      </c>
      <c r="B1251" s="2" t="s">
        <v>3587</v>
      </c>
      <c r="C1251" s="3" t="s">
        <v>3588</v>
      </c>
      <c r="D1251" s="15" t="s">
        <v>11744</v>
      </c>
      <c r="E1251" s="4" t="s">
        <v>3587</v>
      </c>
      <c r="F1251" s="37" t="s">
        <v>3588</v>
      </c>
      <c r="G1251" s="38">
        <v>30759995.300000001</v>
      </c>
      <c r="H1251" s="38">
        <v>28644388.940000001</v>
      </c>
      <c r="I1251" s="15"/>
      <c r="J1251" s="494">
        <v>20407020101</v>
      </c>
      <c r="K1251" s="517"/>
      <c r="L1251" s="517" t="s">
        <v>13579</v>
      </c>
      <c r="M1251" s="517" t="s">
        <v>3590</v>
      </c>
      <c r="N1251" s="518" t="s">
        <v>3591</v>
      </c>
      <c r="O1251" s="517">
        <v>2</v>
      </c>
      <c r="P1251" s="517" t="s">
        <v>693</v>
      </c>
      <c r="Q1251" s="517" t="s">
        <v>755</v>
      </c>
      <c r="R1251" s="517" t="s">
        <v>647</v>
      </c>
      <c r="S1251" s="517" t="s">
        <v>632</v>
      </c>
      <c r="T1251" s="518" t="s">
        <v>3589</v>
      </c>
      <c r="U1251" s="38">
        <v>28644388.940000001</v>
      </c>
      <c r="V1251" s="15" t="str">
        <f t="shared" si="127"/>
        <v>204070201</v>
      </c>
      <c r="W1251" s="39">
        <v>2</v>
      </c>
      <c r="X1251" s="40" t="s">
        <v>693</v>
      </c>
      <c r="Y1251" s="40" t="s">
        <v>755</v>
      </c>
      <c r="Z1251" s="40" t="s">
        <v>647</v>
      </c>
      <c r="AA1251" s="40" t="s">
        <v>632</v>
      </c>
      <c r="AB1251" s="41" t="s">
        <v>3589</v>
      </c>
      <c r="AC1251" s="519">
        <f>H1251</f>
        <v>28644388.940000001</v>
      </c>
      <c r="AD1251" s="517">
        <v>0</v>
      </c>
      <c r="AE1251" s="517" t="s">
        <v>13579</v>
      </c>
      <c r="AF1251" s="517" t="s">
        <v>3590</v>
      </c>
      <c r="AG1251" s="520" t="s">
        <v>3591</v>
      </c>
      <c r="AH1251" s="67">
        <f>AC1251</f>
        <v>28644388.940000001</v>
      </c>
      <c r="AI1251" s="10"/>
      <c r="AJ1251" s="9"/>
      <c r="AK1251" s="10"/>
      <c r="AL1251" s="10"/>
    </row>
    <row r="1252" spans="1:38" ht="22.5" hidden="1">
      <c r="A1252" s="1">
        <f t="shared" si="130"/>
        <v>0</v>
      </c>
      <c r="B1252" s="2" t="s">
        <v>3592</v>
      </c>
      <c r="C1252" s="3" t="s">
        <v>3593</v>
      </c>
      <c r="D1252" s="15" t="s">
        <v>11745</v>
      </c>
      <c r="E1252" s="4" t="s">
        <v>3592</v>
      </c>
      <c r="F1252" s="37" t="s">
        <v>3593</v>
      </c>
      <c r="G1252" s="38">
        <v>91310.47</v>
      </c>
      <c r="H1252" s="38">
        <v>52439.64</v>
      </c>
      <c r="I1252" s="15"/>
      <c r="J1252" s="494">
        <v>20407020201</v>
      </c>
      <c r="K1252" s="517"/>
      <c r="L1252" s="517" t="s">
        <v>13579</v>
      </c>
      <c r="M1252" s="517" t="s">
        <v>3590</v>
      </c>
      <c r="N1252" s="518" t="s">
        <v>3591</v>
      </c>
      <c r="O1252" s="517">
        <v>2</v>
      </c>
      <c r="P1252" s="517" t="s">
        <v>693</v>
      </c>
      <c r="Q1252" s="517" t="s">
        <v>755</v>
      </c>
      <c r="R1252" s="517" t="s">
        <v>647</v>
      </c>
      <c r="S1252" s="517" t="s">
        <v>647</v>
      </c>
      <c r="T1252" s="518" t="s">
        <v>3594</v>
      </c>
      <c r="U1252" s="38">
        <v>52439.64</v>
      </c>
      <c r="V1252" s="15" t="str">
        <f t="shared" si="127"/>
        <v>204070202</v>
      </c>
      <c r="W1252" s="39">
        <v>2</v>
      </c>
      <c r="X1252" s="40" t="s">
        <v>693</v>
      </c>
      <c r="Y1252" s="40" t="s">
        <v>755</v>
      </c>
      <c r="Z1252" s="40" t="s">
        <v>647</v>
      </c>
      <c r="AA1252" s="40" t="s">
        <v>647</v>
      </c>
      <c r="AB1252" s="41" t="s">
        <v>3594</v>
      </c>
      <c r="AC1252" s="519">
        <f>H1252</f>
        <v>52439.64</v>
      </c>
      <c r="AD1252" s="517">
        <v>0</v>
      </c>
      <c r="AE1252" s="517" t="s">
        <v>13579</v>
      </c>
      <c r="AF1252" s="517" t="s">
        <v>3590</v>
      </c>
      <c r="AG1252" s="520" t="s">
        <v>3591</v>
      </c>
      <c r="AH1252" s="67">
        <f>AC1252</f>
        <v>52439.64</v>
      </c>
      <c r="AI1252" s="10"/>
      <c r="AJ1252" s="9"/>
      <c r="AK1252" s="10"/>
      <c r="AL1252" s="10"/>
    </row>
    <row r="1253" spans="1:38" ht="33.75" hidden="1">
      <c r="A1253" s="1">
        <f t="shared" si="130"/>
        <v>0</v>
      </c>
      <c r="B1253" s="2" t="s">
        <v>3595</v>
      </c>
      <c r="C1253" s="3" t="s">
        <v>3596</v>
      </c>
      <c r="D1253" s="15" t="s">
        <v>11746</v>
      </c>
      <c r="E1253" s="4" t="s">
        <v>3595</v>
      </c>
      <c r="F1253" s="37" t="s">
        <v>3596</v>
      </c>
      <c r="G1253" s="38">
        <v>351396.81</v>
      </c>
      <c r="H1253" s="38">
        <v>258549.51</v>
      </c>
      <c r="I1253" s="15"/>
      <c r="J1253" s="494">
        <v>20407020301</v>
      </c>
      <c r="K1253" s="517"/>
      <c r="L1253" s="517" t="s">
        <v>13579</v>
      </c>
      <c r="M1253" s="517" t="s">
        <v>3590</v>
      </c>
      <c r="N1253" s="518" t="s">
        <v>3591</v>
      </c>
      <c r="O1253" s="517">
        <v>2</v>
      </c>
      <c r="P1253" s="517" t="s">
        <v>693</v>
      </c>
      <c r="Q1253" s="517" t="s">
        <v>755</v>
      </c>
      <c r="R1253" s="517" t="s">
        <v>647</v>
      </c>
      <c r="S1253" s="517" t="s">
        <v>671</v>
      </c>
      <c r="T1253" s="518" t="s">
        <v>3597</v>
      </c>
      <c r="U1253" s="38">
        <v>258549.51</v>
      </c>
      <c r="V1253" s="15" t="str">
        <f t="shared" si="127"/>
        <v>204070203</v>
      </c>
      <c r="W1253" s="50">
        <v>2</v>
      </c>
      <c r="X1253" s="40" t="s">
        <v>693</v>
      </c>
      <c r="Y1253" s="40" t="s">
        <v>755</v>
      </c>
      <c r="Z1253" s="40" t="s">
        <v>647</v>
      </c>
      <c r="AA1253" s="40" t="s">
        <v>671</v>
      </c>
      <c r="AB1253" s="41" t="s">
        <v>3597</v>
      </c>
      <c r="AC1253" s="519">
        <f>SUM(H1253:H1257)</f>
        <v>-2843989.97</v>
      </c>
      <c r="AD1253" s="517">
        <v>0</v>
      </c>
      <c r="AE1253" s="517" t="s">
        <v>13579</v>
      </c>
      <c r="AF1253" s="517" t="s">
        <v>3590</v>
      </c>
      <c r="AG1253" s="520" t="s">
        <v>3591</v>
      </c>
      <c r="AH1253" s="67">
        <f>AC1253</f>
        <v>-2843989.97</v>
      </c>
      <c r="AI1253" s="10"/>
      <c r="AJ1253" s="9"/>
      <c r="AK1253" s="10"/>
      <c r="AL1253" s="10"/>
    </row>
    <row r="1254" spans="1:38" ht="33.75" hidden="1">
      <c r="A1254" s="1">
        <f t="shared" si="130"/>
        <v>0</v>
      </c>
      <c r="B1254" s="2" t="s">
        <v>3598</v>
      </c>
      <c r="C1254" s="3" t="s">
        <v>3599</v>
      </c>
      <c r="D1254" s="15" t="s">
        <v>11746</v>
      </c>
      <c r="E1254" s="4" t="s">
        <v>3598</v>
      </c>
      <c r="F1254" s="37" t="s">
        <v>3599</v>
      </c>
      <c r="G1254" s="38">
        <v>2255.2600000000002</v>
      </c>
      <c r="H1254" s="38">
        <v>-3022558.62</v>
      </c>
      <c r="I1254" s="15"/>
      <c r="J1254" s="494">
        <v>20407020302</v>
      </c>
      <c r="K1254" s="517"/>
      <c r="L1254" s="517" t="s">
        <v>13579</v>
      </c>
      <c r="M1254" s="517" t="s">
        <v>3590</v>
      </c>
      <c r="N1254" s="518" t="s">
        <v>3591</v>
      </c>
      <c r="O1254" s="517">
        <v>2</v>
      </c>
      <c r="P1254" s="517" t="s">
        <v>693</v>
      </c>
      <c r="Q1254" s="517" t="s">
        <v>755</v>
      </c>
      <c r="R1254" s="517" t="s">
        <v>647</v>
      </c>
      <c r="S1254" s="517" t="s">
        <v>671</v>
      </c>
      <c r="T1254" s="518" t="s">
        <v>3597</v>
      </c>
      <c r="U1254" s="38">
        <v>-3022558.62</v>
      </c>
      <c r="V1254" s="15" t="str">
        <f t="shared" si="127"/>
        <v/>
      </c>
      <c r="W1254" s="1"/>
      <c r="X1254" s="1"/>
      <c r="Y1254" s="1"/>
      <c r="Z1254" s="1"/>
      <c r="AA1254" s="1"/>
      <c r="AB1254" s="3"/>
      <c r="AC1254" s="9"/>
      <c r="AD1254" s="517" t="e">
        <v>#N/A</v>
      </c>
      <c r="AE1254" s="517" t="e">
        <v>#N/A</v>
      </c>
      <c r="AF1254" s="517" t="e">
        <v>#N/A</v>
      </c>
      <c r="AG1254" s="520" t="e">
        <v>#N/A</v>
      </c>
      <c r="AH1254" s="9"/>
      <c r="AI1254" s="10"/>
      <c r="AJ1254" s="9"/>
      <c r="AK1254" s="10"/>
      <c r="AL1254" s="10"/>
    </row>
    <row r="1255" spans="1:38" ht="33.75" hidden="1">
      <c r="A1255" s="1">
        <f t="shared" si="130"/>
        <v>0</v>
      </c>
      <c r="B1255" s="2" t="s">
        <v>3600</v>
      </c>
      <c r="C1255" s="3" t="s">
        <v>3601</v>
      </c>
      <c r="D1255" s="15" t="s">
        <v>11746</v>
      </c>
      <c r="E1255" s="4" t="s">
        <v>3600</v>
      </c>
      <c r="F1255" s="37" t="s">
        <v>3601</v>
      </c>
      <c r="G1255" s="38">
        <v>57212.58</v>
      </c>
      <c r="H1255" s="38">
        <v>-79980.86</v>
      </c>
      <c r="I1255" s="15"/>
      <c r="J1255" s="494">
        <v>20407020303</v>
      </c>
      <c r="K1255" s="517"/>
      <c r="L1255" s="517" t="s">
        <v>13579</v>
      </c>
      <c r="M1255" s="517" t="s">
        <v>3590</v>
      </c>
      <c r="N1255" s="518" t="s">
        <v>3591</v>
      </c>
      <c r="O1255" s="517">
        <v>2</v>
      </c>
      <c r="P1255" s="517" t="s">
        <v>693</v>
      </c>
      <c r="Q1255" s="517" t="s">
        <v>755</v>
      </c>
      <c r="R1255" s="517" t="s">
        <v>647</v>
      </c>
      <c r="S1255" s="517" t="s">
        <v>671</v>
      </c>
      <c r="T1255" s="518" t="s">
        <v>3597</v>
      </c>
      <c r="U1255" s="38">
        <v>-79980.86</v>
      </c>
      <c r="V1255" s="15" t="str">
        <f t="shared" si="127"/>
        <v/>
      </c>
      <c r="W1255" s="1"/>
      <c r="X1255" s="1"/>
      <c r="Y1255" s="1"/>
      <c r="Z1255" s="1"/>
      <c r="AA1255" s="1"/>
      <c r="AB1255" s="3"/>
      <c r="AC1255" s="9"/>
      <c r="AD1255" s="517" t="e">
        <v>#N/A</v>
      </c>
      <c r="AE1255" s="517" t="e">
        <v>#N/A</v>
      </c>
      <c r="AF1255" s="517" t="e">
        <v>#N/A</v>
      </c>
      <c r="AG1255" s="520" t="e">
        <v>#N/A</v>
      </c>
      <c r="AH1255" s="9"/>
      <c r="AI1255" s="10"/>
      <c r="AJ1255" s="9"/>
      <c r="AK1255" s="10"/>
      <c r="AL1255" s="10"/>
    </row>
    <row r="1256" spans="1:38" ht="33.75" hidden="1">
      <c r="A1256" s="1">
        <f t="shared" si="130"/>
        <v>0</v>
      </c>
      <c r="B1256" s="2" t="s">
        <v>3602</v>
      </c>
      <c r="C1256" s="3" t="s">
        <v>3603</v>
      </c>
      <c r="D1256" s="15" t="s">
        <v>11747</v>
      </c>
      <c r="E1256" s="4" t="s">
        <v>3602</v>
      </c>
      <c r="F1256" s="37" t="s">
        <v>3603</v>
      </c>
      <c r="G1256" s="47">
        <v>0</v>
      </c>
      <c r="H1256" s="38">
        <v>0</v>
      </c>
      <c r="I1256" s="15"/>
      <c r="J1256" s="494">
        <v>20407020401</v>
      </c>
      <c r="K1256" s="517"/>
      <c r="L1256" s="517" t="s">
        <v>3585</v>
      </c>
      <c r="M1256" s="517" t="s">
        <v>301</v>
      </c>
      <c r="N1256" s="518" t="s">
        <v>3586</v>
      </c>
      <c r="O1256" s="517">
        <v>2</v>
      </c>
      <c r="P1256" s="517" t="s">
        <v>693</v>
      </c>
      <c r="Q1256" s="517" t="s">
        <v>755</v>
      </c>
      <c r="R1256" s="517" t="s">
        <v>647</v>
      </c>
      <c r="S1256" s="517" t="s">
        <v>630</v>
      </c>
      <c r="T1256" s="518" t="s">
        <v>29</v>
      </c>
      <c r="U1256" s="38">
        <v>0</v>
      </c>
      <c r="V1256" s="15" t="str">
        <f t="shared" si="127"/>
        <v/>
      </c>
      <c r="W1256" s="1"/>
      <c r="X1256" s="1"/>
      <c r="Y1256" s="1"/>
      <c r="Z1256" s="1"/>
      <c r="AA1256" s="1"/>
      <c r="AB1256" s="3"/>
      <c r="AC1256" s="9"/>
      <c r="AD1256" s="517" t="e">
        <v>#N/A</v>
      </c>
      <c r="AE1256" s="517" t="e">
        <v>#N/A</v>
      </c>
      <c r="AF1256" s="517" t="e">
        <v>#N/A</v>
      </c>
      <c r="AG1256" s="520" t="e">
        <v>#N/A</v>
      </c>
      <c r="AH1256" s="9"/>
      <c r="AI1256" s="10"/>
      <c r="AJ1256" s="9"/>
      <c r="AK1256" s="10"/>
      <c r="AL1256" s="10"/>
    </row>
    <row r="1257" spans="1:38" ht="33.75" hidden="1">
      <c r="A1257" s="1">
        <f t="shared" si="130"/>
        <v>0</v>
      </c>
      <c r="B1257" s="2" t="s">
        <v>3604</v>
      </c>
      <c r="C1257" s="3" t="s">
        <v>3601</v>
      </c>
      <c r="D1257" s="15" t="s">
        <v>11748</v>
      </c>
      <c r="E1257" s="4" t="s">
        <v>3604</v>
      </c>
      <c r="F1257" s="37" t="s">
        <v>3601</v>
      </c>
      <c r="G1257" s="47">
        <v>0</v>
      </c>
      <c r="H1257" s="38">
        <v>0</v>
      </c>
      <c r="I1257" s="15"/>
      <c r="J1257" s="494">
        <v>20407020501</v>
      </c>
      <c r="K1257" s="517"/>
      <c r="L1257" s="517" t="s">
        <v>3585</v>
      </c>
      <c r="M1257" s="517" t="s">
        <v>301</v>
      </c>
      <c r="N1257" s="518" t="s">
        <v>3586</v>
      </c>
      <c r="O1257" s="517">
        <v>2</v>
      </c>
      <c r="P1257" s="517" t="s">
        <v>693</v>
      </c>
      <c r="Q1257" s="517" t="s">
        <v>755</v>
      </c>
      <c r="R1257" s="517" t="s">
        <v>647</v>
      </c>
      <c r="S1257" s="517" t="s">
        <v>630</v>
      </c>
      <c r="T1257" s="518" t="s">
        <v>29</v>
      </c>
      <c r="U1257" s="38">
        <v>0</v>
      </c>
      <c r="V1257" s="15" t="str">
        <f t="shared" si="127"/>
        <v/>
      </c>
      <c r="W1257" s="1"/>
      <c r="X1257" s="1"/>
      <c r="Y1257" s="1"/>
      <c r="Z1257" s="1"/>
      <c r="AA1257" s="1"/>
      <c r="AB1257" s="3"/>
      <c r="AC1257" s="9"/>
      <c r="AD1257" s="517" t="e">
        <v>#N/A</v>
      </c>
      <c r="AE1257" s="517" t="e">
        <v>#N/A</v>
      </c>
      <c r="AF1257" s="517" t="e">
        <v>#N/A</v>
      </c>
      <c r="AG1257" s="520" t="e">
        <v>#N/A</v>
      </c>
      <c r="AH1257" s="9"/>
      <c r="AI1257" s="10"/>
      <c r="AJ1257" s="9"/>
      <c r="AK1257" s="10"/>
      <c r="AL1257" s="10"/>
    </row>
    <row r="1258" spans="1:38" ht="22.5" hidden="1">
      <c r="A1258" s="1">
        <f t="shared" si="130"/>
        <v>0</v>
      </c>
      <c r="B1258" s="2" t="s">
        <v>3605</v>
      </c>
      <c r="C1258" s="3" t="s">
        <v>3606</v>
      </c>
      <c r="D1258" s="15" t="s">
        <v>11749</v>
      </c>
      <c r="E1258" s="4" t="s">
        <v>3605</v>
      </c>
      <c r="F1258" s="37" t="s">
        <v>3606</v>
      </c>
      <c r="G1258" s="38">
        <v>139098.70000000001</v>
      </c>
      <c r="H1258" s="38">
        <v>139098.70000000001</v>
      </c>
      <c r="I1258" s="15"/>
      <c r="J1258" s="494">
        <v>20407029901</v>
      </c>
      <c r="K1258" s="517"/>
      <c r="L1258" s="517" t="s">
        <v>13579</v>
      </c>
      <c r="M1258" s="517" t="s">
        <v>3590</v>
      </c>
      <c r="N1258" s="518" t="s">
        <v>3591</v>
      </c>
      <c r="O1258" s="517">
        <v>2</v>
      </c>
      <c r="P1258" s="517" t="s">
        <v>693</v>
      </c>
      <c r="Q1258" s="517" t="s">
        <v>755</v>
      </c>
      <c r="R1258" s="517" t="s">
        <v>647</v>
      </c>
      <c r="S1258" s="517" t="s">
        <v>1124</v>
      </c>
      <c r="T1258" s="518" t="s">
        <v>3607</v>
      </c>
      <c r="U1258" s="38">
        <v>139098.70000000001</v>
      </c>
      <c r="V1258" s="15" t="str">
        <f t="shared" si="127"/>
        <v>204070299</v>
      </c>
      <c r="W1258" s="39">
        <v>2</v>
      </c>
      <c r="X1258" s="40" t="s">
        <v>693</v>
      </c>
      <c r="Y1258" s="40" t="s">
        <v>755</v>
      </c>
      <c r="Z1258" s="40" t="s">
        <v>647</v>
      </c>
      <c r="AA1258" s="40" t="s">
        <v>1124</v>
      </c>
      <c r="AB1258" s="41" t="s">
        <v>3607</v>
      </c>
      <c r="AC1258" s="519">
        <f>SUM(H1258:H1272)</f>
        <v>16819836.82</v>
      </c>
      <c r="AD1258" s="517">
        <v>0</v>
      </c>
      <c r="AE1258" s="517" t="s">
        <v>13579</v>
      </c>
      <c r="AF1258" s="517" t="s">
        <v>3590</v>
      </c>
      <c r="AG1258" s="520" t="s">
        <v>3591</v>
      </c>
      <c r="AH1258" s="67">
        <f>AC1258</f>
        <v>16819836.82</v>
      </c>
      <c r="AI1258" s="10"/>
      <c r="AJ1258" s="9"/>
      <c r="AK1258" s="10"/>
      <c r="AL1258" s="10"/>
    </row>
    <row r="1259" spans="1:38" ht="22.5" hidden="1">
      <c r="A1259" s="1">
        <f t="shared" si="130"/>
        <v>0</v>
      </c>
      <c r="B1259" s="2" t="s">
        <v>3608</v>
      </c>
      <c r="C1259" s="3" t="s">
        <v>3609</v>
      </c>
      <c r="D1259" s="15" t="s">
        <v>11749</v>
      </c>
      <c r="E1259" s="4" t="s">
        <v>3608</v>
      </c>
      <c r="F1259" s="37" t="s">
        <v>3609</v>
      </c>
      <c r="G1259" s="38">
        <v>0</v>
      </c>
      <c r="H1259" s="38">
        <v>0</v>
      </c>
      <c r="I1259" s="15"/>
      <c r="J1259" s="494">
        <v>20407029902</v>
      </c>
      <c r="K1259" s="517"/>
      <c r="L1259" s="517" t="s">
        <v>13579</v>
      </c>
      <c r="M1259" s="517" t="s">
        <v>3590</v>
      </c>
      <c r="N1259" s="518" t="s">
        <v>3591</v>
      </c>
      <c r="O1259" s="517">
        <v>2</v>
      </c>
      <c r="P1259" s="517" t="s">
        <v>693</v>
      </c>
      <c r="Q1259" s="517" t="s">
        <v>755</v>
      </c>
      <c r="R1259" s="517" t="s">
        <v>647</v>
      </c>
      <c r="S1259" s="517" t="s">
        <v>1124</v>
      </c>
      <c r="T1259" s="518" t="s">
        <v>3607</v>
      </c>
      <c r="U1259" s="38">
        <v>0</v>
      </c>
      <c r="V1259" s="15" t="str">
        <f t="shared" si="127"/>
        <v/>
      </c>
      <c r="W1259" s="1"/>
      <c r="X1259" s="1"/>
      <c r="Y1259" s="1"/>
      <c r="Z1259" s="1"/>
      <c r="AA1259" s="1"/>
      <c r="AB1259" s="3"/>
      <c r="AC1259" s="9"/>
      <c r="AD1259" s="517" t="e">
        <v>#N/A</v>
      </c>
      <c r="AE1259" s="517" t="e">
        <v>#N/A</v>
      </c>
      <c r="AF1259" s="517" t="e">
        <v>#N/A</v>
      </c>
      <c r="AG1259" s="520" t="e">
        <v>#N/A</v>
      </c>
      <c r="AH1259" s="9"/>
      <c r="AI1259" s="10"/>
      <c r="AJ1259" s="9"/>
      <c r="AK1259" s="10"/>
      <c r="AL1259" s="10"/>
    </row>
    <row r="1260" spans="1:38" ht="22.5" hidden="1">
      <c r="A1260" s="1">
        <f t="shared" si="130"/>
        <v>0</v>
      </c>
      <c r="B1260" s="2" t="s">
        <v>3610</v>
      </c>
      <c r="C1260" s="3" t="s">
        <v>3611</v>
      </c>
      <c r="D1260" s="15" t="s">
        <v>11749</v>
      </c>
      <c r="E1260" s="4" t="s">
        <v>3610</v>
      </c>
      <c r="F1260" s="37" t="s">
        <v>3611</v>
      </c>
      <c r="G1260" s="38">
        <v>72227.42</v>
      </c>
      <c r="H1260" s="38">
        <v>72086.06</v>
      </c>
      <c r="I1260" s="15"/>
      <c r="J1260" s="494">
        <v>20407029903</v>
      </c>
      <c r="K1260" s="517"/>
      <c r="L1260" s="517" t="s">
        <v>13579</v>
      </c>
      <c r="M1260" s="517" t="s">
        <v>3590</v>
      </c>
      <c r="N1260" s="518" t="s">
        <v>3591</v>
      </c>
      <c r="O1260" s="517">
        <v>2</v>
      </c>
      <c r="P1260" s="517" t="s">
        <v>693</v>
      </c>
      <c r="Q1260" s="517" t="s">
        <v>755</v>
      </c>
      <c r="R1260" s="517" t="s">
        <v>647</v>
      </c>
      <c r="S1260" s="517" t="s">
        <v>1124</v>
      </c>
      <c r="T1260" s="518" t="s">
        <v>3607</v>
      </c>
      <c r="U1260" s="38">
        <v>72086.06</v>
      </c>
      <c r="V1260" s="15" t="str">
        <f t="shared" si="127"/>
        <v/>
      </c>
      <c r="W1260" s="1"/>
      <c r="X1260" s="1"/>
      <c r="Y1260" s="1"/>
      <c r="Z1260" s="1"/>
      <c r="AA1260" s="1"/>
      <c r="AB1260" s="3"/>
      <c r="AC1260" s="9"/>
      <c r="AD1260" s="517" t="e">
        <v>#N/A</v>
      </c>
      <c r="AE1260" s="517" t="e">
        <v>#N/A</v>
      </c>
      <c r="AF1260" s="517" t="e">
        <v>#N/A</v>
      </c>
      <c r="AG1260" s="520" t="e">
        <v>#N/A</v>
      </c>
      <c r="AH1260" s="9"/>
      <c r="AI1260" s="10"/>
      <c r="AJ1260" s="9"/>
      <c r="AK1260" s="10"/>
      <c r="AL1260" s="10"/>
    </row>
    <row r="1261" spans="1:38" ht="22.5" hidden="1">
      <c r="A1261" s="1">
        <f t="shared" si="130"/>
        <v>0</v>
      </c>
      <c r="B1261" s="2" t="s">
        <v>3612</v>
      </c>
      <c r="C1261" s="3" t="s">
        <v>3613</v>
      </c>
      <c r="D1261" s="15" t="s">
        <v>11749</v>
      </c>
      <c r="E1261" s="4" t="s">
        <v>3612</v>
      </c>
      <c r="F1261" s="37" t="s">
        <v>3613</v>
      </c>
      <c r="G1261" s="38">
        <v>10850.19</v>
      </c>
      <c r="H1261" s="38">
        <v>10799.41</v>
      </c>
      <c r="I1261" s="15"/>
      <c r="J1261" s="494">
        <v>20407029904</v>
      </c>
      <c r="K1261" s="517"/>
      <c r="L1261" s="517" t="s">
        <v>13579</v>
      </c>
      <c r="M1261" s="517" t="s">
        <v>3590</v>
      </c>
      <c r="N1261" s="518" t="s">
        <v>3591</v>
      </c>
      <c r="O1261" s="517">
        <v>2</v>
      </c>
      <c r="P1261" s="517" t="s">
        <v>693</v>
      </c>
      <c r="Q1261" s="517" t="s">
        <v>755</v>
      </c>
      <c r="R1261" s="517" t="s">
        <v>647</v>
      </c>
      <c r="S1261" s="517" t="s">
        <v>1124</v>
      </c>
      <c r="T1261" s="518" t="s">
        <v>3607</v>
      </c>
      <c r="U1261" s="38">
        <v>10799.41</v>
      </c>
      <c r="V1261" s="15" t="str">
        <f t="shared" si="127"/>
        <v/>
      </c>
      <c r="W1261" s="1"/>
      <c r="X1261" s="1"/>
      <c r="Y1261" s="1"/>
      <c r="Z1261" s="1"/>
      <c r="AA1261" s="1"/>
      <c r="AB1261" s="3"/>
      <c r="AC1261" s="9"/>
      <c r="AD1261" s="517" t="e">
        <v>#N/A</v>
      </c>
      <c r="AE1261" s="517" t="e">
        <v>#N/A</v>
      </c>
      <c r="AF1261" s="517" t="e">
        <v>#N/A</v>
      </c>
      <c r="AG1261" s="520" t="e">
        <v>#N/A</v>
      </c>
      <c r="AH1261" s="9"/>
      <c r="AI1261" s="10"/>
      <c r="AJ1261" s="9"/>
      <c r="AK1261" s="10"/>
      <c r="AL1261" s="10"/>
    </row>
    <row r="1262" spans="1:38" ht="22.5" hidden="1">
      <c r="A1262" s="1">
        <f t="shared" si="130"/>
        <v>0</v>
      </c>
      <c r="B1262" s="2" t="s">
        <v>3614</v>
      </c>
      <c r="C1262" s="3" t="s">
        <v>3615</v>
      </c>
      <c r="D1262" s="15" t="s">
        <v>11749</v>
      </c>
      <c r="E1262" s="4" t="s">
        <v>3614</v>
      </c>
      <c r="F1262" s="37" t="s">
        <v>3615</v>
      </c>
      <c r="G1262" s="38">
        <v>0</v>
      </c>
      <c r="H1262" s="38">
        <v>0</v>
      </c>
      <c r="I1262" s="15"/>
      <c r="J1262" s="494">
        <v>20407029905</v>
      </c>
      <c r="K1262" s="517"/>
      <c r="L1262" s="517" t="s">
        <v>13579</v>
      </c>
      <c r="M1262" s="517" t="s">
        <v>3590</v>
      </c>
      <c r="N1262" s="518" t="s">
        <v>3591</v>
      </c>
      <c r="O1262" s="517">
        <v>2</v>
      </c>
      <c r="P1262" s="517" t="s">
        <v>693</v>
      </c>
      <c r="Q1262" s="517" t="s">
        <v>755</v>
      </c>
      <c r="R1262" s="517" t="s">
        <v>647</v>
      </c>
      <c r="S1262" s="517" t="s">
        <v>1124</v>
      </c>
      <c r="T1262" s="518" t="s">
        <v>3607</v>
      </c>
      <c r="U1262" s="38">
        <v>0</v>
      </c>
      <c r="V1262" s="15" t="str">
        <f t="shared" si="127"/>
        <v/>
      </c>
      <c r="W1262" s="1"/>
      <c r="X1262" s="1"/>
      <c r="Y1262" s="1"/>
      <c r="Z1262" s="1"/>
      <c r="AA1262" s="1"/>
      <c r="AB1262" s="3"/>
      <c r="AC1262" s="9"/>
      <c r="AD1262" s="517" t="e">
        <v>#N/A</v>
      </c>
      <c r="AE1262" s="517" t="e">
        <v>#N/A</v>
      </c>
      <c r="AF1262" s="517" t="e">
        <v>#N/A</v>
      </c>
      <c r="AG1262" s="520" t="e">
        <v>#N/A</v>
      </c>
      <c r="AH1262" s="9"/>
      <c r="AI1262" s="10"/>
      <c r="AJ1262" s="9"/>
      <c r="AK1262" s="10"/>
      <c r="AL1262" s="10"/>
    </row>
    <row r="1263" spans="1:38" ht="22.5" hidden="1">
      <c r="A1263" s="1">
        <f t="shared" si="130"/>
        <v>0</v>
      </c>
      <c r="B1263" s="2" t="s">
        <v>3616</v>
      </c>
      <c r="C1263" s="3" t="s">
        <v>3617</v>
      </c>
      <c r="D1263" s="15" t="s">
        <v>11749</v>
      </c>
      <c r="E1263" s="4" t="s">
        <v>3616</v>
      </c>
      <c r="F1263" s="37" t="s">
        <v>3617</v>
      </c>
      <c r="G1263" s="38">
        <v>49425.93</v>
      </c>
      <c r="H1263" s="38">
        <v>49425.93</v>
      </c>
      <c r="I1263" s="15"/>
      <c r="J1263" s="494">
        <v>20407029906</v>
      </c>
      <c r="K1263" s="517"/>
      <c r="L1263" s="517" t="s">
        <v>13579</v>
      </c>
      <c r="M1263" s="517" t="s">
        <v>3590</v>
      </c>
      <c r="N1263" s="518" t="s">
        <v>3591</v>
      </c>
      <c r="O1263" s="517">
        <v>2</v>
      </c>
      <c r="P1263" s="517" t="s">
        <v>693</v>
      </c>
      <c r="Q1263" s="517" t="s">
        <v>755</v>
      </c>
      <c r="R1263" s="517" t="s">
        <v>647</v>
      </c>
      <c r="S1263" s="517" t="s">
        <v>1124</v>
      </c>
      <c r="T1263" s="518" t="s">
        <v>3607</v>
      </c>
      <c r="U1263" s="38">
        <v>49425.93</v>
      </c>
      <c r="V1263" s="15" t="str">
        <f t="shared" si="127"/>
        <v/>
      </c>
      <c r="W1263" s="1"/>
      <c r="X1263" s="1"/>
      <c r="Y1263" s="1"/>
      <c r="Z1263" s="1"/>
      <c r="AA1263" s="1"/>
      <c r="AB1263" s="3"/>
      <c r="AC1263" s="9"/>
      <c r="AD1263" s="517" t="e">
        <v>#N/A</v>
      </c>
      <c r="AE1263" s="517" t="e">
        <v>#N/A</v>
      </c>
      <c r="AF1263" s="517" t="e">
        <v>#N/A</v>
      </c>
      <c r="AG1263" s="520" t="e">
        <v>#N/A</v>
      </c>
      <c r="AH1263" s="9"/>
      <c r="AI1263" s="10"/>
      <c r="AJ1263" s="9"/>
      <c r="AK1263" s="10"/>
      <c r="AL1263" s="10"/>
    </row>
    <row r="1264" spans="1:38" ht="22.5" hidden="1">
      <c r="A1264" s="1">
        <f t="shared" si="130"/>
        <v>0</v>
      </c>
      <c r="B1264" s="2" t="s">
        <v>3618</v>
      </c>
      <c r="C1264" s="3" t="s">
        <v>3619</v>
      </c>
      <c r="D1264" s="15" t="s">
        <v>11749</v>
      </c>
      <c r="E1264" s="4" t="s">
        <v>3618</v>
      </c>
      <c r="F1264" s="37" t="s">
        <v>3619</v>
      </c>
      <c r="G1264" s="38">
        <v>2373666.3199999998</v>
      </c>
      <c r="H1264" s="38">
        <v>2373566.02</v>
      </c>
      <c r="I1264" s="15"/>
      <c r="J1264" s="494">
        <v>20407029907</v>
      </c>
      <c r="K1264" s="517"/>
      <c r="L1264" s="517" t="s">
        <v>13579</v>
      </c>
      <c r="M1264" s="517" t="s">
        <v>3590</v>
      </c>
      <c r="N1264" s="518" t="s">
        <v>3591</v>
      </c>
      <c r="O1264" s="517">
        <v>2</v>
      </c>
      <c r="P1264" s="517" t="s">
        <v>693</v>
      </c>
      <c r="Q1264" s="517" t="s">
        <v>755</v>
      </c>
      <c r="R1264" s="517" t="s">
        <v>647</v>
      </c>
      <c r="S1264" s="517" t="s">
        <v>1124</v>
      </c>
      <c r="T1264" s="518" t="s">
        <v>3607</v>
      </c>
      <c r="U1264" s="38">
        <v>2373566.02</v>
      </c>
      <c r="V1264" s="15" t="str">
        <f t="shared" si="127"/>
        <v/>
      </c>
      <c r="W1264" s="1"/>
      <c r="X1264" s="1"/>
      <c r="Y1264" s="1"/>
      <c r="Z1264" s="1"/>
      <c r="AA1264" s="1"/>
      <c r="AB1264" s="3"/>
      <c r="AC1264" s="9"/>
      <c r="AD1264" s="517" t="e">
        <v>#N/A</v>
      </c>
      <c r="AE1264" s="517" t="e">
        <v>#N/A</v>
      </c>
      <c r="AF1264" s="517" t="e">
        <v>#N/A</v>
      </c>
      <c r="AG1264" s="520" t="e">
        <v>#N/A</v>
      </c>
      <c r="AH1264" s="9"/>
      <c r="AI1264" s="10"/>
      <c r="AJ1264" s="9"/>
      <c r="AK1264" s="10"/>
      <c r="AL1264" s="10"/>
    </row>
    <row r="1265" spans="1:38" ht="22.5" hidden="1">
      <c r="A1265" s="1">
        <f t="shared" si="130"/>
        <v>0</v>
      </c>
      <c r="B1265" s="2" t="s">
        <v>3620</v>
      </c>
      <c r="C1265" s="3" t="s">
        <v>3621</v>
      </c>
      <c r="D1265" s="15" t="s">
        <v>11749</v>
      </c>
      <c r="E1265" s="4" t="s">
        <v>3620</v>
      </c>
      <c r="F1265" s="37" t="s">
        <v>3621</v>
      </c>
      <c r="G1265" s="38">
        <v>250504.22</v>
      </c>
      <c r="H1265" s="38">
        <v>250504.22</v>
      </c>
      <c r="I1265" s="15"/>
      <c r="J1265" s="494">
        <v>20407029908</v>
      </c>
      <c r="L1265" s="523" t="s">
        <v>13579</v>
      </c>
      <c r="M1265" s="523" t="s">
        <v>3590</v>
      </c>
      <c r="N1265" s="518" t="s">
        <v>3591</v>
      </c>
      <c r="O1265" s="523">
        <v>2</v>
      </c>
      <c r="P1265" s="523" t="s">
        <v>693</v>
      </c>
      <c r="Q1265" s="523" t="s">
        <v>755</v>
      </c>
      <c r="R1265" s="523" t="s">
        <v>647</v>
      </c>
      <c r="S1265" s="523" t="s">
        <v>1124</v>
      </c>
      <c r="T1265" s="518" t="s">
        <v>3607</v>
      </c>
      <c r="U1265" s="38">
        <v>250504.22</v>
      </c>
      <c r="V1265" s="15" t="str">
        <f t="shared" si="127"/>
        <v/>
      </c>
      <c r="W1265" s="10"/>
      <c r="X1265" s="10"/>
      <c r="Y1265" s="10"/>
      <c r="Z1265" s="10"/>
      <c r="AA1265" s="10"/>
      <c r="AB1265" s="10"/>
      <c r="AC1265" s="9"/>
      <c r="AD1265" s="523" t="e">
        <v>#N/A</v>
      </c>
      <c r="AE1265" s="523" t="e">
        <v>#N/A</v>
      </c>
      <c r="AF1265" s="523" t="e">
        <v>#N/A</v>
      </c>
      <c r="AG1265" s="524" t="e">
        <v>#N/A</v>
      </c>
      <c r="AH1265" s="9"/>
      <c r="AI1265" s="10"/>
      <c r="AJ1265" s="9"/>
      <c r="AK1265" s="10"/>
      <c r="AL1265" s="10"/>
    </row>
    <row r="1266" spans="1:38" ht="22.5" hidden="1">
      <c r="A1266" s="1">
        <f t="shared" si="130"/>
        <v>0</v>
      </c>
      <c r="B1266" s="2" t="s">
        <v>3622</v>
      </c>
      <c r="C1266" s="3" t="s">
        <v>3623</v>
      </c>
      <c r="D1266" s="15" t="s">
        <v>11749</v>
      </c>
      <c r="E1266" s="4" t="s">
        <v>3622</v>
      </c>
      <c r="F1266" s="37" t="s">
        <v>3623</v>
      </c>
      <c r="G1266" s="38">
        <v>232057.74</v>
      </c>
      <c r="H1266" s="38">
        <v>232016.26</v>
      </c>
      <c r="I1266" s="15"/>
      <c r="J1266" s="494">
        <v>20407029909</v>
      </c>
      <c r="L1266" s="523" t="s">
        <v>13579</v>
      </c>
      <c r="M1266" s="523" t="s">
        <v>3590</v>
      </c>
      <c r="N1266" s="518" t="s">
        <v>3591</v>
      </c>
      <c r="O1266" s="523">
        <v>2</v>
      </c>
      <c r="P1266" s="523" t="s">
        <v>693</v>
      </c>
      <c r="Q1266" s="523" t="s">
        <v>755</v>
      </c>
      <c r="R1266" s="523" t="s">
        <v>647</v>
      </c>
      <c r="S1266" s="523" t="s">
        <v>1124</v>
      </c>
      <c r="T1266" s="518" t="s">
        <v>3607</v>
      </c>
      <c r="U1266" s="38">
        <v>232016.26</v>
      </c>
      <c r="V1266" s="15" t="str">
        <f t="shared" si="127"/>
        <v/>
      </c>
      <c r="W1266" s="10"/>
      <c r="X1266" s="10"/>
      <c r="Y1266" s="10"/>
      <c r="Z1266" s="10"/>
      <c r="AA1266" s="10"/>
      <c r="AB1266" s="10"/>
      <c r="AC1266" s="9"/>
      <c r="AD1266" s="523" t="e">
        <v>#N/A</v>
      </c>
      <c r="AE1266" s="523" t="e">
        <v>#N/A</v>
      </c>
      <c r="AF1266" s="523" t="e">
        <v>#N/A</v>
      </c>
      <c r="AG1266" s="524" t="e">
        <v>#N/A</v>
      </c>
      <c r="AH1266" s="9"/>
      <c r="AI1266" s="10"/>
      <c r="AJ1266" s="9"/>
      <c r="AK1266" s="10"/>
      <c r="AL1266" s="10"/>
    </row>
    <row r="1267" spans="1:38" ht="22.5" hidden="1">
      <c r="A1267" s="1">
        <f t="shared" si="130"/>
        <v>0</v>
      </c>
      <c r="B1267" s="2" t="s">
        <v>3624</v>
      </c>
      <c r="C1267" s="3" t="s">
        <v>3625</v>
      </c>
      <c r="D1267" s="15" t="s">
        <v>11749</v>
      </c>
      <c r="E1267" s="4" t="s">
        <v>3624</v>
      </c>
      <c r="F1267" s="37" t="s">
        <v>3625</v>
      </c>
      <c r="G1267" s="38">
        <v>16243.39</v>
      </c>
      <c r="H1267" s="38">
        <v>16193.24</v>
      </c>
      <c r="I1267" s="15"/>
      <c r="J1267" s="494">
        <v>20407029910</v>
      </c>
      <c r="L1267" s="523" t="s">
        <v>13579</v>
      </c>
      <c r="M1267" s="523" t="s">
        <v>3590</v>
      </c>
      <c r="N1267" s="518" t="s">
        <v>3591</v>
      </c>
      <c r="O1267" s="523">
        <v>2</v>
      </c>
      <c r="P1267" s="523" t="s">
        <v>693</v>
      </c>
      <c r="Q1267" s="523" t="s">
        <v>755</v>
      </c>
      <c r="R1267" s="523" t="s">
        <v>647</v>
      </c>
      <c r="S1267" s="523" t="s">
        <v>1124</v>
      </c>
      <c r="T1267" s="518" t="s">
        <v>3607</v>
      </c>
      <c r="U1267" s="38">
        <v>16193.24</v>
      </c>
      <c r="V1267" s="15" t="str">
        <f t="shared" si="127"/>
        <v/>
      </c>
      <c r="W1267" s="10"/>
      <c r="X1267" s="10"/>
      <c r="Y1267" s="10"/>
      <c r="Z1267" s="10"/>
      <c r="AA1267" s="10"/>
      <c r="AB1267" s="10"/>
      <c r="AC1267" s="9"/>
      <c r="AD1267" s="523" t="e">
        <v>#N/A</v>
      </c>
      <c r="AE1267" s="523" t="e">
        <v>#N/A</v>
      </c>
      <c r="AF1267" s="523" t="e">
        <v>#N/A</v>
      </c>
      <c r="AG1267" s="524" t="e">
        <v>#N/A</v>
      </c>
      <c r="AH1267" s="9"/>
      <c r="AI1267" s="10"/>
      <c r="AJ1267" s="9"/>
      <c r="AK1267" s="10"/>
      <c r="AL1267" s="10"/>
    </row>
    <row r="1268" spans="1:38" ht="22.5" hidden="1">
      <c r="A1268" s="1">
        <f t="shared" si="130"/>
        <v>0</v>
      </c>
      <c r="B1268" s="2" t="s">
        <v>3626</v>
      </c>
      <c r="C1268" s="3" t="s">
        <v>3627</v>
      </c>
      <c r="D1268" s="15" t="s">
        <v>11749</v>
      </c>
      <c r="E1268" s="4" t="s">
        <v>3626</v>
      </c>
      <c r="F1268" s="37" t="s">
        <v>3627</v>
      </c>
      <c r="G1268" s="38">
        <v>36788.39</v>
      </c>
      <c r="H1268" s="38">
        <v>-36788.39</v>
      </c>
      <c r="I1268" s="15"/>
      <c r="J1268" s="494">
        <v>20407029911</v>
      </c>
      <c r="L1268" s="523" t="s">
        <v>13579</v>
      </c>
      <c r="M1268" s="523" t="s">
        <v>3590</v>
      </c>
      <c r="N1268" s="518" t="s">
        <v>3591</v>
      </c>
      <c r="O1268" s="523">
        <v>2</v>
      </c>
      <c r="P1268" s="523" t="s">
        <v>693</v>
      </c>
      <c r="Q1268" s="523" t="s">
        <v>755</v>
      </c>
      <c r="R1268" s="523" t="s">
        <v>647</v>
      </c>
      <c r="S1268" s="523" t="s">
        <v>1124</v>
      </c>
      <c r="T1268" s="518" t="s">
        <v>3607</v>
      </c>
      <c r="U1268" s="38">
        <v>-36788.39</v>
      </c>
      <c r="V1268" s="15" t="str">
        <f t="shared" si="127"/>
        <v/>
      </c>
      <c r="W1268" s="10"/>
      <c r="X1268" s="10"/>
      <c r="Y1268" s="10"/>
      <c r="Z1268" s="10"/>
      <c r="AA1268" s="10"/>
      <c r="AB1268" s="10"/>
      <c r="AC1268" s="9"/>
      <c r="AD1268" s="523" t="e">
        <v>#N/A</v>
      </c>
      <c r="AE1268" s="523" t="e">
        <v>#N/A</v>
      </c>
      <c r="AF1268" s="523" t="e">
        <v>#N/A</v>
      </c>
      <c r="AG1268" s="524" t="e">
        <v>#N/A</v>
      </c>
      <c r="AH1268" s="9"/>
      <c r="AI1268" s="10"/>
      <c r="AJ1268" s="9"/>
      <c r="AK1268" s="10"/>
      <c r="AL1268" s="10"/>
    </row>
    <row r="1269" spans="1:38" ht="22.5" hidden="1">
      <c r="A1269" s="1">
        <f t="shared" si="130"/>
        <v>0</v>
      </c>
      <c r="B1269" s="2" t="s">
        <v>3628</v>
      </c>
      <c r="C1269" s="3" t="s">
        <v>3629</v>
      </c>
      <c r="D1269" s="15" t="s">
        <v>11749</v>
      </c>
      <c r="E1269" s="4" t="s">
        <v>3628</v>
      </c>
      <c r="F1269" s="37" t="s">
        <v>3629</v>
      </c>
      <c r="G1269" s="38">
        <v>898827.01</v>
      </c>
      <c r="H1269" s="38">
        <v>674507.28</v>
      </c>
      <c r="I1269" s="15"/>
      <c r="J1269" s="494">
        <v>20407029912</v>
      </c>
      <c r="L1269" s="523" t="s">
        <v>13579</v>
      </c>
      <c r="M1269" s="523" t="s">
        <v>3590</v>
      </c>
      <c r="N1269" s="518" t="s">
        <v>3591</v>
      </c>
      <c r="O1269" s="523">
        <v>2</v>
      </c>
      <c r="P1269" s="523" t="s">
        <v>693</v>
      </c>
      <c r="Q1269" s="523" t="s">
        <v>755</v>
      </c>
      <c r="R1269" s="523" t="s">
        <v>647</v>
      </c>
      <c r="S1269" s="523" t="s">
        <v>1124</v>
      </c>
      <c r="T1269" s="518" t="s">
        <v>3607</v>
      </c>
      <c r="U1269" s="38">
        <v>674507.28</v>
      </c>
      <c r="V1269" s="15" t="str">
        <f t="shared" si="127"/>
        <v/>
      </c>
      <c r="W1269" s="10"/>
      <c r="X1269" s="10"/>
      <c r="Y1269" s="10"/>
      <c r="Z1269" s="10"/>
      <c r="AA1269" s="10"/>
      <c r="AB1269" s="10"/>
      <c r="AC1269" s="9"/>
      <c r="AD1269" s="523" t="e">
        <v>#N/A</v>
      </c>
      <c r="AE1269" s="523" t="e">
        <v>#N/A</v>
      </c>
      <c r="AF1269" s="523" t="e">
        <v>#N/A</v>
      </c>
      <c r="AG1269" s="524" t="e">
        <v>#N/A</v>
      </c>
      <c r="AH1269" s="9"/>
      <c r="AI1269" s="10"/>
      <c r="AJ1269" s="9"/>
      <c r="AK1269" s="10"/>
      <c r="AL1269" s="10"/>
    </row>
    <row r="1270" spans="1:38" ht="22.5" hidden="1">
      <c r="A1270" s="1">
        <f t="shared" si="130"/>
        <v>0</v>
      </c>
      <c r="B1270" s="2" t="s">
        <v>3630</v>
      </c>
      <c r="C1270" s="3" t="s">
        <v>3631</v>
      </c>
      <c r="D1270" s="15" t="s">
        <v>11749</v>
      </c>
      <c r="E1270" s="4" t="s">
        <v>3630</v>
      </c>
      <c r="F1270" s="37" t="s">
        <v>3631</v>
      </c>
      <c r="G1270" s="38">
        <v>2947.68</v>
      </c>
      <c r="H1270" s="38">
        <v>-2947.68</v>
      </c>
      <c r="I1270" s="15"/>
      <c r="J1270" s="494">
        <v>20407029913</v>
      </c>
      <c r="L1270" s="523" t="s">
        <v>13579</v>
      </c>
      <c r="M1270" s="523" t="s">
        <v>3590</v>
      </c>
      <c r="N1270" s="518" t="s">
        <v>3591</v>
      </c>
      <c r="O1270" s="523">
        <v>2</v>
      </c>
      <c r="P1270" s="523" t="s">
        <v>693</v>
      </c>
      <c r="Q1270" s="523" t="s">
        <v>755</v>
      </c>
      <c r="R1270" s="523" t="s">
        <v>647</v>
      </c>
      <c r="S1270" s="523" t="s">
        <v>1124</v>
      </c>
      <c r="T1270" s="518" t="s">
        <v>3607</v>
      </c>
      <c r="U1270" s="38">
        <v>-2947.68</v>
      </c>
      <c r="V1270" s="15" t="str">
        <f t="shared" si="127"/>
        <v/>
      </c>
      <c r="W1270" s="10"/>
      <c r="X1270" s="10"/>
      <c r="Y1270" s="10"/>
      <c r="Z1270" s="10"/>
      <c r="AA1270" s="10"/>
      <c r="AB1270" s="10"/>
      <c r="AC1270" s="9"/>
      <c r="AD1270" s="523" t="e">
        <v>#N/A</v>
      </c>
      <c r="AE1270" s="523" t="e">
        <v>#N/A</v>
      </c>
      <c r="AF1270" s="523" t="e">
        <v>#N/A</v>
      </c>
      <c r="AG1270" s="524" t="e">
        <v>#N/A</v>
      </c>
      <c r="AH1270" s="9"/>
      <c r="AI1270" s="10"/>
      <c r="AJ1270" s="9"/>
      <c r="AK1270" s="10"/>
      <c r="AL1270" s="10"/>
    </row>
    <row r="1271" spans="1:38" ht="22.5" hidden="1">
      <c r="A1271" s="1">
        <f t="shared" si="130"/>
        <v>0</v>
      </c>
      <c r="B1271" s="2" t="s">
        <v>3632</v>
      </c>
      <c r="C1271" s="3" t="s">
        <v>3633</v>
      </c>
      <c r="D1271" s="15" t="s">
        <v>11749</v>
      </c>
      <c r="E1271" s="4" t="s">
        <v>3632</v>
      </c>
      <c r="F1271" s="37" t="s">
        <v>3633</v>
      </c>
      <c r="G1271" s="47">
        <v>12882835.189999999</v>
      </c>
      <c r="H1271" s="38">
        <v>-259743.23</v>
      </c>
      <c r="I1271" s="15"/>
      <c r="J1271" s="494">
        <v>20407029914</v>
      </c>
      <c r="L1271" s="523" t="s">
        <v>13579</v>
      </c>
      <c r="M1271" s="523" t="s">
        <v>3590</v>
      </c>
      <c r="N1271" s="518" t="s">
        <v>3591</v>
      </c>
      <c r="O1271" s="523">
        <v>2</v>
      </c>
      <c r="P1271" s="523" t="s">
        <v>693</v>
      </c>
      <c r="Q1271" s="523" t="s">
        <v>755</v>
      </c>
      <c r="R1271" s="523" t="s">
        <v>647</v>
      </c>
      <c r="S1271" s="523" t="s">
        <v>1124</v>
      </c>
      <c r="T1271" s="518" t="s">
        <v>3607</v>
      </c>
      <c r="U1271" s="38">
        <v>-259743.23</v>
      </c>
      <c r="V1271" s="15" t="str">
        <f t="shared" si="127"/>
        <v/>
      </c>
      <c r="W1271" s="10"/>
      <c r="X1271" s="10"/>
      <c r="Y1271" s="10"/>
      <c r="Z1271" s="10"/>
      <c r="AA1271" s="10"/>
      <c r="AB1271" s="10"/>
      <c r="AC1271" s="9"/>
      <c r="AD1271" s="523" t="e">
        <v>#N/A</v>
      </c>
      <c r="AE1271" s="523" t="e">
        <v>#N/A</v>
      </c>
      <c r="AF1271" s="523" t="e">
        <v>#N/A</v>
      </c>
      <c r="AG1271" s="524" t="e">
        <v>#N/A</v>
      </c>
      <c r="AH1271" s="9"/>
      <c r="AI1271" s="10"/>
      <c r="AJ1271" s="9"/>
      <c r="AK1271" s="10"/>
      <c r="AL1271" s="10"/>
    </row>
    <row r="1272" spans="1:38" ht="22.5" hidden="1">
      <c r="A1272" s="1">
        <f t="shared" si="130"/>
        <v>0</v>
      </c>
      <c r="B1272" s="2" t="s">
        <v>3634</v>
      </c>
      <c r="C1272" s="3" t="s">
        <v>3635</v>
      </c>
      <c r="D1272" s="15" t="s">
        <v>11749</v>
      </c>
      <c r="E1272" s="2" t="s">
        <v>3634</v>
      </c>
      <c r="F1272" s="3" t="s">
        <v>3635</v>
      </c>
      <c r="G1272" s="47"/>
      <c r="H1272" s="38">
        <v>13301119</v>
      </c>
      <c r="I1272" s="15"/>
      <c r="J1272" s="494">
        <v>20407029915</v>
      </c>
      <c r="L1272" s="523" t="s">
        <v>13579</v>
      </c>
      <c r="M1272" s="523" t="s">
        <v>3590</v>
      </c>
      <c r="N1272" s="518" t="s">
        <v>3591</v>
      </c>
      <c r="O1272" s="523">
        <v>2</v>
      </c>
      <c r="P1272" s="523" t="s">
        <v>693</v>
      </c>
      <c r="Q1272" s="523" t="s">
        <v>755</v>
      </c>
      <c r="R1272" s="523" t="s">
        <v>647</v>
      </c>
      <c r="S1272" s="523" t="s">
        <v>1124</v>
      </c>
      <c r="T1272" s="518" t="s">
        <v>3607</v>
      </c>
      <c r="U1272" s="38">
        <v>13301119</v>
      </c>
      <c r="V1272" s="15" t="str">
        <f t="shared" si="127"/>
        <v/>
      </c>
      <c r="W1272" s="10"/>
      <c r="X1272" s="10"/>
      <c r="Y1272" s="10"/>
      <c r="Z1272" s="10"/>
      <c r="AA1272" s="10"/>
      <c r="AB1272" s="10"/>
      <c r="AC1272" s="9"/>
      <c r="AD1272" s="523" t="e">
        <v>#N/A</v>
      </c>
      <c r="AE1272" s="523" t="e">
        <v>#N/A</v>
      </c>
      <c r="AF1272" s="523" t="e">
        <v>#N/A</v>
      </c>
      <c r="AG1272" s="524" t="e">
        <v>#N/A</v>
      </c>
      <c r="AH1272" s="9"/>
      <c r="AI1272" s="10"/>
      <c r="AJ1272" s="9"/>
      <c r="AK1272" s="10"/>
      <c r="AL1272" s="10"/>
    </row>
    <row r="1273" spans="1:38" ht="22.5" hidden="1">
      <c r="A1273" s="1">
        <f t="shared" si="130"/>
        <v>0</v>
      </c>
      <c r="B1273" s="2" t="s">
        <v>3636</v>
      </c>
      <c r="C1273" s="3" t="s">
        <v>3637</v>
      </c>
      <c r="D1273" s="15" t="s">
        <v>11750</v>
      </c>
      <c r="E1273" s="4" t="s">
        <v>3636</v>
      </c>
      <c r="F1273" s="37" t="s">
        <v>3637</v>
      </c>
      <c r="G1273" s="38">
        <v>0</v>
      </c>
      <c r="H1273" s="38">
        <v>0</v>
      </c>
      <c r="I1273" s="15"/>
      <c r="J1273" s="494">
        <v>20407040401</v>
      </c>
      <c r="K1273" s="517"/>
      <c r="L1273" s="517" t="s">
        <v>13580</v>
      </c>
      <c r="M1273" s="517" t="s">
        <v>3638</v>
      </c>
      <c r="N1273" s="518" t="s">
        <v>13581</v>
      </c>
      <c r="O1273" s="517">
        <v>2</v>
      </c>
      <c r="P1273" s="517" t="s">
        <v>693</v>
      </c>
      <c r="Q1273" s="517" t="s">
        <v>755</v>
      </c>
      <c r="R1273" s="517" t="s">
        <v>693</v>
      </c>
      <c r="S1273" s="517" t="s">
        <v>693</v>
      </c>
      <c r="T1273" s="518" t="s">
        <v>3637</v>
      </c>
      <c r="U1273" s="38">
        <v>0</v>
      </c>
      <c r="V1273" s="15" t="str">
        <f t="shared" si="127"/>
        <v>204070404</v>
      </c>
      <c r="W1273" s="50">
        <v>2</v>
      </c>
      <c r="X1273" s="40" t="s">
        <v>693</v>
      </c>
      <c r="Y1273" s="40" t="s">
        <v>755</v>
      </c>
      <c r="Z1273" s="40" t="s">
        <v>693</v>
      </c>
      <c r="AA1273" s="40" t="s">
        <v>693</v>
      </c>
      <c r="AB1273" s="41" t="s">
        <v>3637</v>
      </c>
      <c r="AC1273" s="519">
        <f>SUM(H1273:H1279)</f>
        <v>-303558.31</v>
      </c>
      <c r="AD1273" s="517">
        <v>0</v>
      </c>
      <c r="AE1273" s="517" t="s">
        <v>13580</v>
      </c>
      <c r="AF1273" s="517" t="s">
        <v>3638</v>
      </c>
      <c r="AG1273" s="520" t="s">
        <v>13581</v>
      </c>
      <c r="AH1273" s="67">
        <f>AC1273</f>
        <v>-303558.31</v>
      </c>
      <c r="AI1273" s="10"/>
      <c r="AJ1273" s="9"/>
      <c r="AK1273" s="10"/>
      <c r="AL1273" s="10"/>
    </row>
    <row r="1274" spans="1:38" ht="22.5" hidden="1">
      <c r="A1274" s="1">
        <f t="shared" si="130"/>
        <v>0</v>
      </c>
      <c r="B1274" s="2" t="s">
        <v>3639</v>
      </c>
      <c r="C1274" s="3" t="s">
        <v>3640</v>
      </c>
      <c r="D1274" s="15" t="s">
        <v>11750</v>
      </c>
      <c r="E1274" s="4" t="s">
        <v>3639</v>
      </c>
      <c r="F1274" s="37" t="s">
        <v>3640</v>
      </c>
      <c r="G1274" s="38">
        <v>0</v>
      </c>
      <c r="H1274" s="38">
        <v>0</v>
      </c>
      <c r="I1274" s="15"/>
      <c r="J1274" s="494">
        <v>20407040402</v>
      </c>
      <c r="K1274" s="517"/>
      <c r="L1274" s="517" t="s">
        <v>13580</v>
      </c>
      <c r="M1274" s="517" t="s">
        <v>3638</v>
      </c>
      <c r="N1274" s="518" t="s">
        <v>13581</v>
      </c>
      <c r="O1274" s="517">
        <v>2</v>
      </c>
      <c r="P1274" s="517" t="s">
        <v>693</v>
      </c>
      <c r="Q1274" s="517" t="s">
        <v>755</v>
      </c>
      <c r="R1274" s="517" t="s">
        <v>693</v>
      </c>
      <c r="S1274" s="517" t="s">
        <v>693</v>
      </c>
      <c r="T1274" s="518" t="s">
        <v>3637</v>
      </c>
      <c r="U1274" s="38">
        <v>0</v>
      </c>
      <c r="V1274" s="15" t="str">
        <f t="shared" si="127"/>
        <v/>
      </c>
      <c r="W1274" s="39"/>
      <c r="X1274" s="50"/>
      <c r="Y1274" s="50"/>
      <c r="Z1274" s="50"/>
      <c r="AA1274" s="50"/>
      <c r="AB1274" s="41"/>
      <c r="AC1274" s="9"/>
      <c r="AD1274" s="517" t="e">
        <v>#N/A</v>
      </c>
      <c r="AE1274" s="517" t="e">
        <v>#N/A</v>
      </c>
      <c r="AF1274" s="517" t="e">
        <v>#N/A</v>
      </c>
      <c r="AG1274" s="520" t="e">
        <v>#N/A</v>
      </c>
      <c r="AH1274" s="9"/>
      <c r="AI1274" s="10"/>
      <c r="AJ1274" s="9"/>
      <c r="AK1274" s="10"/>
      <c r="AL1274" s="10"/>
    </row>
    <row r="1275" spans="1:38" ht="22.5" hidden="1">
      <c r="A1275" s="1">
        <f t="shared" si="130"/>
        <v>0</v>
      </c>
      <c r="B1275" s="2" t="s">
        <v>3641</v>
      </c>
      <c r="C1275" s="3" t="s">
        <v>3642</v>
      </c>
      <c r="D1275" s="15" t="s">
        <v>11750</v>
      </c>
      <c r="E1275" s="4" t="s">
        <v>3641</v>
      </c>
      <c r="F1275" s="37" t="s">
        <v>3643</v>
      </c>
      <c r="G1275" s="38">
        <v>0</v>
      </c>
      <c r="H1275" s="38">
        <v>0</v>
      </c>
      <c r="I1275" s="15"/>
      <c r="J1275" s="494">
        <v>20407040403</v>
      </c>
      <c r="K1275" s="517"/>
      <c r="L1275" s="517" t="s">
        <v>13580</v>
      </c>
      <c r="M1275" s="517" t="s">
        <v>3638</v>
      </c>
      <c r="N1275" s="518" t="s">
        <v>13581</v>
      </c>
      <c r="O1275" s="517">
        <v>2</v>
      </c>
      <c r="P1275" s="517" t="s">
        <v>693</v>
      </c>
      <c r="Q1275" s="517" t="s">
        <v>755</v>
      </c>
      <c r="R1275" s="517" t="s">
        <v>693</v>
      </c>
      <c r="S1275" s="517" t="s">
        <v>693</v>
      </c>
      <c r="T1275" s="518" t="s">
        <v>3637</v>
      </c>
      <c r="U1275" s="38">
        <v>0</v>
      </c>
      <c r="V1275" s="15" t="str">
        <f t="shared" si="127"/>
        <v/>
      </c>
      <c r="W1275" s="39"/>
      <c r="X1275" s="50"/>
      <c r="Y1275" s="50"/>
      <c r="Z1275" s="50"/>
      <c r="AA1275" s="50"/>
      <c r="AB1275" s="41"/>
      <c r="AC1275" s="9"/>
      <c r="AD1275" s="517" t="e">
        <v>#N/A</v>
      </c>
      <c r="AE1275" s="517" t="e">
        <v>#N/A</v>
      </c>
      <c r="AF1275" s="517" t="e">
        <v>#N/A</v>
      </c>
      <c r="AG1275" s="520" t="e">
        <v>#N/A</v>
      </c>
      <c r="AH1275" s="9"/>
      <c r="AI1275" s="10"/>
      <c r="AJ1275" s="9"/>
      <c r="AK1275" s="10"/>
      <c r="AL1275" s="10"/>
    </row>
    <row r="1276" spans="1:38" ht="22.5" hidden="1">
      <c r="A1276" s="1">
        <f t="shared" si="130"/>
        <v>0</v>
      </c>
      <c r="B1276" s="2" t="s">
        <v>3644</v>
      </c>
      <c r="C1276" s="3" t="s">
        <v>3645</v>
      </c>
      <c r="D1276" s="15" t="s">
        <v>11750</v>
      </c>
      <c r="E1276" s="4" t="s">
        <v>3644</v>
      </c>
      <c r="F1276" s="68" t="s">
        <v>3646</v>
      </c>
      <c r="G1276" s="38">
        <v>0</v>
      </c>
      <c r="H1276" s="38">
        <v>0</v>
      </c>
      <c r="I1276" s="15"/>
      <c r="J1276" s="494">
        <v>20407040404</v>
      </c>
      <c r="K1276" s="517"/>
      <c r="L1276" s="517" t="s">
        <v>13580</v>
      </c>
      <c r="M1276" s="517" t="s">
        <v>3638</v>
      </c>
      <c r="N1276" s="518" t="s">
        <v>13581</v>
      </c>
      <c r="O1276" s="517">
        <v>2</v>
      </c>
      <c r="P1276" s="517" t="s">
        <v>693</v>
      </c>
      <c r="Q1276" s="517" t="s">
        <v>755</v>
      </c>
      <c r="R1276" s="517" t="s">
        <v>693</v>
      </c>
      <c r="S1276" s="517" t="s">
        <v>693</v>
      </c>
      <c r="T1276" s="518" t="s">
        <v>3637</v>
      </c>
      <c r="U1276" s="38">
        <v>0</v>
      </c>
      <c r="V1276" s="15" t="str">
        <f t="shared" si="127"/>
        <v/>
      </c>
      <c r="W1276" s="39"/>
      <c r="X1276" s="50"/>
      <c r="Y1276" s="50"/>
      <c r="Z1276" s="50"/>
      <c r="AA1276" s="50"/>
      <c r="AB1276" s="41"/>
      <c r="AC1276" s="9"/>
      <c r="AD1276" s="517" t="e">
        <v>#N/A</v>
      </c>
      <c r="AE1276" s="517" t="e">
        <v>#N/A</v>
      </c>
      <c r="AF1276" s="517" t="e">
        <v>#N/A</v>
      </c>
      <c r="AG1276" s="520" t="e">
        <v>#N/A</v>
      </c>
      <c r="AH1276" s="9"/>
      <c r="AI1276" s="10"/>
      <c r="AJ1276" s="9"/>
      <c r="AK1276" s="10"/>
      <c r="AL1276" s="10"/>
    </row>
    <row r="1277" spans="1:38" ht="22.5" hidden="1">
      <c r="A1277" s="1">
        <f t="shared" si="130"/>
        <v>0</v>
      </c>
      <c r="B1277" s="2" t="s">
        <v>3647</v>
      </c>
      <c r="C1277" s="3" t="s">
        <v>3648</v>
      </c>
      <c r="D1277" s="15" t="s">
        <v>11750</v>
      </c>
      <c r="E1277" s="4" t="s">
        <v>3647</v>
      </c>
      <c r="F1277" s="68" t="s">
        <v>3648</v>
      </c>
      <c r="G1277" s="38">
        <v>0</v>
      </c>
      <c r="H1277" s="38">
        <v>0</v>
      </c>
      <c r="I1277" s="15"/>
      <c r="J1277" s="494">
        <v>20407040405</v>
      </c>
      <c r="K1277" s="517"/>
      <c r="L1277" s="517" t="s">
        <v>13580</v>
      </c>
      <c r="M1277" s="517" t="s">
        <v>3638</v>
      </c>
      <c r="N1277" s="518" t="s">
        <v>13581</v>
      </c>
      <c r="O1277" s="517">
        <v>2</v>
      </c>
      <c r="P1277" s="517" t="s">
        <v>693</v>
      </c>
      <c r="Q1277" s="517" t="s">
        <v>755</v>
      </c>
      <c r="R1277" s="517" t="s">
        <v>693</v>
      </c>
      <c r="S1277" s="517" t="s">
        <v>693</v>
      </c>
      <c r="T1277" s="518" t="s">
        <v>3637</v>
      </c>
      <c r="U1277" s="38">
        <v>0</v>
      </c>
      <c r="V1277" s="15" t="str">
        <f t="shared" si="127"/>
        <v/>
      </c>
      <c r="W1277" s="39"/>
      <c r="X1277" s="50"/>
      <c r="Y1277" s="50"/>
      <c r="Z1277" s="50"/>
      <c r="AA1277" s="50"/>
      <c r="AB1277" s="41"/>
      <c r="AC1277" s="9"/>
      <c r="AD1277" s="517" t="e">
        <v>#N/A</v>
      </c>
      <c r="AE1277" s="517" t="e">
        <v>#N/A</v>
      </c>
      <c r="AF1277" s="517" t="e">
        <v>#N/A</v>
      </c>
      <c r="AG1277" s="520" t="e">
        <v>#N/A</v>
      </c>
      <c r="AH1277" s="9"/>
      <c r="AI1277" s="10"/>
      <c r="AJ1277" s="9"/>
      <c r="AK1277" s="10"/>
      <c r="AL1277" s="10"/>
    </row>
    <row r="1278" spans="1:38" ht="22.5" hidden="1">
      <c r="A1278" s="1">
        <f t="shared" si="130"/>
        <v>0</v>
      </c>
      <c r="B1278" s="2" t="s">
        <v>3649</v>
      </c>
      <c r="C1278" s="3" t="s">
        <v>3650</v>
      </c>
      <c r="D1278" s="15" t="s">
        <v>11750</v>
      </c>
      <c r="E1278" s="4" t="s">
        <v>3649</v>
      </c>
      <c r="F1278" s="68" t="s">
        <v>3650</v>
      </c>
      <c r="G1278" s="38">
        <v>208922.07</v>
      </c>
      <c r="H1278" s="38">
        <v>0</v>
      </c>
      <c r="I1278" s="15"/>
      <c r="J1278" s="494">
        <v>20407040406</v>
      </c>
      <c r="K1278" s="517"/>
      <c r="L1278" s="517" t="s">
        <v>13580</v>
      </c>
      <c r="M1278" s="517" t="s">
        <v>3638</v>
      </c>
      <c r="N1278" s="518" t="s">
        <v>13581</v>
      </c>
      <c r="O1278" s="517">
        <v>2</v>
      </c>
      <c r="P1278" s="517" t="s">
        <v>693</v>
      </c>
      <c r="Q1278" s="517" t="s">
        <v>755</v>
      </c>
      <c r="R1278" s="517" t="s">
        <v>693</v>
      </c>
      <c r="S1278" s="517" t="s">
        <v>693</v>
      </c>
      <c r="T1278" s="518" t="s">
        <v>3637</v>
      </c>
      <c r="U1278" s="38">
        <v>0</v>
      </c>
      <c r="V1278" s="15" t="str">
        <f t="shared" si="127"/>
        <v/>
      </c>
      <c r="W1278" s="39"/>
      <c r="X1278" s="50"/>
      <c r="Y1278" s="50"/>
      <c r="Z1278" s="50"/>
      <c r="AA1278" s="50"/>
      <c r="AB1278" s="41"/>
      <c r="AC1278" s="9"/>
      <c r="AD1278" s="517" t="e">
        <v>#N/A</v>
      </c>
      <c r="AE1278" s="517" t="e">
        <v>#N/A</v>
      </c>
      <c r="AF1278" s="517" t="e">
        <v>#N/A</v>
      </c>
      <c r="AG1278" s="520" t="e">
        <v>#N/A</v>
      </c>
      <c r="AH1278" s="9"/>
      <c r="AI1278" s="10"/>
      <c r="AJ1278" s="9"/>
      <c r="AK1278" s="10"/>
      <c r="AL1278" s="10"/>
    </row>
    <row r="1279" spans="1:38" ht="22.5" hidden="1">
      <c r="A1279" s="1">
        <f t="shared" si="130"/>
        <v>0</v>
      </c>
      <c r="B1279" s="2" t="s">
        <v>3651</v>
      </c>
      <c r="C1279" s="3" t="s">
        <v>3652</v>
      </c>
      <c r="D1279" s="15" t="s">
        <v>11750</v>
      </c>
      <c r="E1279" s="2" t="s">
        <v>3651</v>
      </c>
      <c r="F1279" s="3" t="s">
        <v>3652</v>
      </c>
      <c r="G1279" s="38"/>
      <c r="H1279" s="38">
        <v>-303558.31</v>
      </c>
      <c r="I1279" s="15"/>
      <c r="J1279" s="494">
        <v>20407040407</v>
      </c>
      <c r="K1279" s="517"/>
      <c r="L1279" s="517" t="s">
        <v>13580</v>
      </c>
      <c r="M1279" s="517" t="s">
        <v>3638</v>
      </c>
      <c r="N1279" s="518" t="s">
        <v>13581</v>
      </c>
      <c r="O1279" s="517">
        <v>2</v>
      </c>
      <c r="P1279" s="517" t="s">
        <v>693</v>
      </c>
      <c r="Q1279" s="517" t="s">
        <v>755</v>
      </c>
      <c r="R1279" s="517" t="s">
        <v>693</v>
      </c>
      <c r="S1279" s="517" t="s">
        <v>693</v>
      </c>
      <c r="T1279" s="518" t="s">
        <v>3637</v>
      </c>
      <c r="U1279" s="38">
        <v>-303558.31</v>
      </c>
      <c r="V1279" s="15" t="str">
        <f t="shared" si="127"/>
        <v/>
      </c>
      <c r="W1279" s="39"/>
      <c r="X1279" s="50"/>
      <c r="Y1279" s="50"/>
      <c r="Z1279" s="50"/>
      <c r="AA1279" s="50"/>
      <c r="AB1279" s="41"/>
      <c r="AC1279" s="9"/>
      <c r="AD1279" s="517" t="e">
        <v>#N/A</v>
      </c>
      <c r="AE1279" s="517" t="e">
        <v>#N/A</v>
      </c>
      <c r="AF1279" s="517" t="e">
        <v>#N/A</v>
      </c>
      <c r="AG1279" s="520" t="e">
        <v>#N/A</v>
      </c>
      <c r="AH1279" s="9"/>
      <c r="AI1279" s="10"/>
      <c r="AJ1279" s="9"/>
      <c r="AK1279" s="10"/>
      <c r="AL1279" s="10"/>
    </row>
    <row r="1280" spans="1:38" ht="22.5" hidden="1">
      <c r="A1280" s="1">
        <f t="shared" si="130"/>
        <v>0</v>
      </c>
      <c r="C1280" s="3" t="s">
        <v>3653</v>
      </c>
      <c r="D1280" s="15" t="s">
        <v>16</v>
      </c>
      <c r="E1280" s="24"/>
      <c r="F1280" s="25" t="s">
        <v>3653</v>
      </c>
      <c r="G1280" s="26">
        <f>G1281</f>
        <v>2089.02</v>
      </c>
      <c r="H1280" s="26">
        <f>H1281</f>
        <v>12457277.880000001</v>
      </c>
      <c r="I1280" s="15"/>
      <c r="J1280" s="494"/>
      <c r="K1280" s="509"/>
      <c r="L1280" s="509"/>
      <c r="M1280" s="509"/>
      <c r="N1280" s="510"/>
      <c r="O1280" s="509"/>
      <c r="P1280" s="509"/>
      <c r="Q1280" s="509"/>
      <c r="R1280" s="509"/>
      <c r="S1280" s="509"/>
      <c r="T1280" s="510"/>
      <c r="U1280" s="26">
        <f>U1281</f>
        <v>12457277.880000001</v>
      </c>
      <c r="V1280" s="15" t="str">
        <f t="shared" si="127"/>
        <v>204080000</v>
      </c>
      <c r="W1280" s="27">
        <v>2</v>
      </c>
      <c r="X1280" s="28" t="s">
        <v>693</v>
      </c>
      <c r="Y1280" s="28" t="s">
        <v>766</v>
      </c>
      <c r="Z1280" s="28" t="s">
        <v>630</v>
      </c>
      <c r="AA1280" s="28" t="s">
        <v>630</v>
      </c>
      <c r="AB1280" s="25" t="s">
        <v>3653</v>
      </c>
      <c r="AC1280" s="530">
        <f>AC1281</f>
        <v>12457277.880000001</v>
      </c>
      <c r="AD1280" s="509">
        <v>0</v>
      </c>
      <c r="AE1280" s="509" t="s">
        <v>13582</v>
      </c>
      <c r="AF1280" s="509" t="s">
        <v>278</v>
      </c>
      <c r="AG1280" s="510" t="s">
        <v>13583</v>
      </c>
      <c r="AH1280" s="53">
        <f>AH1281</f>
        <v>12457277.880000001</v>
      </c>
      <c r="AI1280" s="10"/>
      <c r="AJ1280" s="9">
        <f>AH1280-H1280</f>
        <v>0</v>
      </c>
      <c r="AK1280" s="10"/>
      <c r="AL1280" s="10"/>
    </row>
    <row r="1281" spans="1:38" ht="22.5" hidden="1">
      <c r="A1281" s="1">
        <f t="shared" si="130"/>
        <v>0</v>
      </c>
      <c r="C1281" s="3" t="s">
        <v>3653</v>
      </c>
      <c r="D1281" s="15" t="s">
        <v>16</v>
      </c>
      <c r="E1281" s="30"/>
      <c r="F1281" s="31" t="s">
        <v>3654</v>
      </c>
      <c r="G1281" s="32">
        <f>SUM(G1282:G1289)</f>
        <v>2089.02</v>
      </c>
      <c r="H1281" s="32">
        <f>SUM(H1282:H1289)</f>
        <v>12457277.880000001</v>
      </c>
      <c r="I1281" s="15"/>
      <c r="J1281" s="494"/>
      <c r="K1281" s="513"/>
      <c r="L1281" s="513"/>
      <c r="M1281" s="513"/>
      <c r="N1281" s="514"/>
      <c r="O1281" s="513"/>
      <c r="P1281" s="513"/>
      <c r="Q1281" s="513"/>
      <c r="R1281" s="513"/>
      <c r="S1281" s="513"/>
      <c r="T1281" s="514"/>
      <c r="U1281" s="32">
        <f>SUM(U1282:U1289)</f>
        <v>12457277.880000001</v>
      </c>
      <c r="V1281" s="15" t="str">
        <f t="shared" si="127"/>
        <v>204080100</v>
      </c>
      <c r="W1281" s="33">
        <v>2</v>
      </c>
      <c r="X1281" s="34" t="s">
        <v>693</v>
      </c>
      <c r="Y1281" s="34" t="s">
        <v>766</v>
      </c>
      <c r="Z1281" s="34" t="s">
        <v>632</v>
      </c>
      <c r="AA1281" s="35" t="s">
        <v>630</v>
      </c>
      <c r="AB1281" s="31" t="s">
        <v>3654</v>
      </c>
      <c r="AC1281" s="529">
        <f>SUM(AC1282:AC1289)</f>
        <v>12457277.880000001</v>
      </c>
      <c r="AD1281" s="513">
        <v>0</v>
      </c>
      <c r="AE1281" s="513" t="s">
        <v>13582</v>
      </c>
      <c r="AF1281" s="513" t="s">
        <v>278</v>
      </c>
      <c r="AG1281" s="514" t="s">
        <v>13583</v>
      </c>
      <c r="AH1281" s="44">
        <f>SUM(AH1282:AH1289)</f>
        <v>12457277.880000001</v>
      </c>
      <c r="AI1281" s="10"/>
      <c r="AJ1281" s="9">
        <f>AH1281-H1281</f>
        <v>0</v>
      </c>
      <c r="AK1281" s="10"/>
      <c r="AL1281" s="10"/>
    </row>
    <row r="1282" spans="1:38" ht="22.5" hidden="1">
      <c r="A1282" s="1">
        <f t="shared" si="130"/>
        <v>0</v>
      </c>
      <c r="B1282" s="2" t="s">
        <v>3655</v>
      </c>
      <c r="C1282" s="3" t="s">
        <v>3653</v>
      </c>
      <c r="D1282" s="15" t="s">
        <v>11751</v>
      </c>
      <c r="E1282" s="4" t="s">
        <v>3655</v>
      </c>
      <c r="F1282" s="37" t="s">
        <v>3653</v>
      </c>
      <c r="G1282" s="38">
        <v>202.88</v>
      </c>
      <c r="H1282" s="38">
        <v>0</v>
      </c>
      <c r="I1282" s="15"/>
      <c r="J1282" s="494">
        <v>20408010101</v>
      </c>
      <c r="K1282" s="517"/>
      <c r="L1282" s="517" t="s">
        <v>13582</v>
      </c>
      <c r="M1282" s="517" t="s">
        <v>278</v>
      </c>
      <c r="N1282" s="518" t="s">
        <v>13583</v>
      </c>
      <c r="O1282" s="517">
        <v>2</v>
      </c>
      <c r="P1282" s="517" t="s">
        <v>693</v>
      </c>
      <c r="Q1282" s="517" t="s">
        <v>766</v>
      </c>
      <c r="R1282" s="517" t="s">
        <v>632</v>
      </c>
      <c r="S1282" s="517" t="s">
        <v>632</v>
      </c>
      <c r="T1282" s="518" t="s">
        <v>3654</v>
      </c>
      <c r="U1282" s="38">
        <v>0</v>
      </c>
      <c r="V1282" s="15" t="str">
        <f t="shared" si="127"/>
        <v>204080101</v>
      </c>
      <c r="W1282" s="39">
        <v>2</v>
      </c>
      <c r="X1282" s="50" t="s">
        <v>693</v>
      </c>
      <c r="Y1282" s="50" t="s">
        <v>766</v>
      </c>
      <c r="Z1282" s="50" t="s">
        <v>632</v>
      </c>
      <c r="AA1282" s="40" t="s">
        <v>632</v>
      </c>
      <c r="AB1282" s="42" t="s">
        <v>3654</v>
      </c>
      <c r="AC1282" s="519">
        <f>SUM(H1282:H1289)</f>
        <v>12457277.880000001</v>
      </c>
      <c r="AD1282" s="517">
        <v>0</v>
      </c>
      <c r="AE1282" s="517" t="s">
        <v>13582</v>
      </c>
      <c r="AF1282" s="517" t="s">
        <v>278</v>
      </c>
      <c r="AG1282" s="518" t="s">
        <v>13583</v>
      </c>
      <c r="AH1282" s="67">
        <f>AC1281</f>
        <v>12457277.880000001</v>
      </c>
      <c r="AI1282" s="10"/>
      <c r="AJ1282" s="9"/>
      <c r="AK1282" s="10"/>
      <c r="AL1282" s="10"/>
    </row>
    <row r="1283" spans="1:38" ht="22.5" hidden="1">
      <c r="A1283" s="1">
        <f t="shared" si="130"/>
        <v>0</v>
      </c>
      <c r="B1283" s="2" t="s">
        <v>3656</v>
      </c>
      <c r="C1283" s="3" t="s">
        <v>3657</v>
      </c>
      <c r="D1283" s="15" t="s">
        <v>11751</v>
      </c>
      <c r="E1283" s="4" t="s">
        <v>3656</v>
      </c>
      <c r="F1283" s="37" t="s">
        <v>3657</v>
      </c>
      <c r="G1283" s="38">
        <v>0</v>
      </c>
      <c r="H1283" s="38">
        <v>0</v>
      </c>
      <c r="I1283" s="15"/>
      <c r="J1283" s="494">
        <v>20408010102</v>
      </c>
      <c r="L1283" s="523" t="s">
        <v>13582</v>
      </c>
      <c r="M1283" s="523" t="s">
        <v>278</v>
      </c>
      <c r="N1283" s="518" t="s">
        <v>13583</v>
      </c>
      <c r="O1283" s="523">
        <v>2</v>
      </c>
      <c r="P1283" s="523" t="s">
        <v>693</v>
      </c>
      <c r="Q1283" s="523" t="s">
        <v>766</v>
      </c>
      <c r="R1283" s="523" t="s">
        <v>632</v>
      </c>
      <c r="S1283" s="523" t="s">
        <v>632</v>
      </c>
      <c r="T1283" s="518" t="s">
        <v>3654</v>
      </c>
      <c r="U1283" s="38">
        <v>0</v>
      </c>
      <c r="V1283" s="15" t="str">
        <f t="shared" ref="V1283:V1346" si="132">CONCATENATE(W1283,X1283,Y1283,Z1283,AA1283)</f>
        <v/>
      </c>
      <c r="W1283" s="10"/>
      <c r="X1283" s="10"/>
      <c r="Y1283" s="10"/>
      <c r="Z1283" s="10"/>
      <c r="AA1283" s="10"/>
      <c r="AB1283" s="10"/>
      <c r="AC1283" s="9"/>
      <c r="AD1283" s="523" t="e">
        <v>#N/A</v>
      </c>
      <c r="AE1283" s="523" t="e">
        <v>#N/A</v>
      </c>
      <c r="AF1283" s="523" t="e">
        <v>#N/A</v>
      </c>
      <c r="AG1283" s="524" t="e">
        <v>#N/A</v>
      </c>
      <c r="AH1283" s="9"/>
      <c r="AI1283" s="10"/>
      <c r="AJ1283" s="9"/>
      <c r="AK1283" s="10"/>
      <c r="AL1283" s="10"/>
    </row>
    <row r="1284" spans="1:38" ht="22.5" hidden="1">
      <c r="A1284" s="1">
        <f t="shared" si="130"/>
        <v>0</v>
      </c>
      <c r="B1284" s="2" t="s">
        <v>3658</v>
      </c>
      <c r="C1284" s="3" t="s">
        <v>3659</v>
      </c>
      <c r="D1284" s="15" t="s">
        <v>11751</v>
      </c>
      <c r="E1284" s="4" t="s">
        <v>3658</v>
      </c>
      <c r="F1284" s="37" t="s">
        <v>3659</v>
      </c>
      <c r="G1284" s="38">
        <v>0</v>
      </c>
      <c r="H1284" s="38">
        <v>0</v>
      </c>
      <c r="I1284" s="15"/>
      <c r="J1284" s="494">
        <v>20408010103</v>
      </c>
      <c r="L1284" s="523" t="s">
        <v>13582</v>
      </c>
      <c r="M1284" s="523" t="s">
        <v>278</v>
      </c>
      <c r="N1284" s="518" t="s">
        <v>13583</v>
      </c>
      <c r="O1284" s="523">
        <v>2</v>
      </c>
      <c r="P1284" s="523" t="s">
        <v>693</v>
      </c>
      <c r="Q1284" s="523" t="s">
        <v>766</v>
      </c>
      <c r="R1284" s="523" t="s">
        <v>632</v>
      </c>
      <c r="S1284" s="523" t="s">
        <v>632</v>
      </c>
      <c r="T1284" s="518" t="s">
        <v>3654</v>
      </c>
      <c r="U1284" s="38">
        <v>0</v>
      </c>
      <c r="V1284" s="15" t="str">
        <f t="shared" si="132"/>
        <v/>
      </c>
      <c r="W1284" s="10"/>
      <c r="X1284" s="10"/>
      <c r="Y1284" s="10"/>
      <c r="Z1284" s="10"/>
      <c r="AA1284" s="10"/>
      <c r="AB1284" s="10"/>
      <c r="AC1284" s="9"/>
      <c r="AD1284" s="523" t="e">
        <v>#N/A</v>
      </c>
      <c r="AE1284" s="523" t="e">
        <v>#N/A</v>
      </c>
      <c r="AF1284" s="523" t="e">
        <v>#N/A</v>
      </c>
      <c r="AG1284" s="524" t="e">
        <v>#N/A</v>
      </c>
      <c r="AH1284" s="9"/>
      <c r="AI1284" s="10"/>
      <c r="AJ1284" s="9"/>
      <c r="AK1284" s="10"/>
      <c r="AL1284" s="10"/>
    </row>
    <row r="1285" spans="1:38" ht="22.5" hidden="1">
      <c r="A1285" s="1">
        <f t="shared" si="130"/>
        <v>0</v>
      </c>
      <c r="B1285" s="2" t="s">
        <v>3660</v>
      </c>
      <c r="C1285" s="3" t="s">
        <v>3661</v>
      </c>
      <c r="D1285" s="15" t="s">
        <v>11751</v>
      </c>
      <c r="E1285" s="4" t="s">
        <v>3660</v>
      </c>
      <c r="F1285" s="37" t="s">
        <v>3661</v>
      </c>
      <c r="G1285" s="38">
        <v>566.26</v>
      </c>
      <c r="H1285" s="38">
        <v>253.48</v>
      </c>
      <c r="I1285" s="15"/>
      <c r="J1285" s="494">
        <v>20408010104</v>
      </c>
      <c r="L1285" s="523" t="s">
        <v>13582</v>
      </c>
      <c r="M1285" s="523" t="s">
        <v>278</v>
      </c>
      <c r="N1285" s="518" t="s">
        <v>13583</v>
      </c>
      <c r="O1285" s="523">
        <v>2</v>
      </c>
      <c r="P1285" s="523" t="s">
        <v>693</v>
      </c>
      <c r="Q1285" s="523" t="s">
        <v>766</v>
      </c>
      <c r="R1285" s="523" t="s">
        <v>632</v>
      </c>
      <c r="S1285" s="523" t="s">
        <v>632</v>
      </c>
      <c r="T1285" s="518" t="s">
        <v>3654</v>
      </c>
      <c r="U1285" s="38">
        <v>253.48</v>
      </c>
      <c r="V1285" s="15" t="str">
        <f t="shared" si="132"/>
        <v/>
      </c>
      <c r="W1285" s="10"/>
      <c r="X1285" s="51"/>
      <c r="Y1285" s="10"/>
      <c r="Z1285" s="10"/>
      <c r="AA1285" s="10"/>
      <c r="AB1285" s="10"/>
      <c r="AC1285" s="9"/>
      <c r="AD1285" s="523" t="e">
        <v>#N/A</v>
      </c>
      <c r="AE1285" s="523" t="e">
        <v>#N/A</v>
      </c>
      <c r="AF1285" s="523" t="e">
        <v>#N/A</v>
      </c>
      <c r="AG1285" s="524" t="e">
        <v>#N/A</v>
      </c>
      <c r="AH1285" s="9"/>
      <c r="AI1285" s="10"/>
      <c r="AJ1285" s="9"/>
      <c r="AK1285" s="10"/>
      <c r="AL1285" s="10"/>
    </row>
    <row r="1286" spans="1:38" ht="22.5" hidden="1">
      <c r="A1286" s="1">
        <f t="shared" si="130"/>
        <v>0</v>
      </c>
      <c r="B1286" s="2" t="s">
        <v>3662</v>
      </c>
      <c r="C1286" s="3" t="s">
        <v>3663</v>
      </c>
      <c r="D1286" s="15" t="s">
        <v>11751</v>
      </c>
      <c r="E1286" s="4" t="s">
        <v>3662</v>
      </c>
      <c r="F1286" s="37" t="s">
        <v>3663</v>
      </c>
      <c r="G1286" s="90"/>
      <c r="H1286" s="38">
        <v>-1040.21</v>
      </c>
      <c r="I1286" s="15"/>
      <c r="J1286" s="494">
        <v>20408010105</v>
      </c>
      <c r="L1286" s="523" t="s">
        <v>13582</v>
      </c>
      <c r="M1286" s="523" t="s">
        <v>278</v>
      </c>
      <c r="N1286" s="518" t="s">
        <v>13583</v>
      </c>
      <c r="O1286" s="523">
        <v>2</v>
      </c>
      <c r="P1286" s="523" t="s">
        <v>693</v>
      </c>
      <c r="Q1286" s="523" t="s">
        <v>766</v>
      </c>
      <c r="R1286" s="523" t="s">
        <v>632</v>
      </c>
      <c r="S1286" s="523" t="s">
        <v>632</v>
      </c>
      <c r="T1286" s="518" t="s">
        <v>3654</v>
      </c>
      <c r="U1286" s="38">
        <v>-1040.21</v>
      </c>
      <c r="V1286" s="15" t="str">
        <f t="shared" si="132"/>
        <v/>
      </c>
      <c r="W1286" s="10"/>
      <c r="X1286" s="51"/>
      <c r="Y1286" s="10"/>
      <c r="Z1286" s="10"/>
      <c r="AA1286" s="10"/>
      <c r="AB1286" s="10"/>
      <c r="AC1286" s="9"/>
      <c r="AD1286" s="523" t="e">
        <v>#N/A</v>
      </c>
      <c r="AE1286" s="523" t="e">
        <v>#N/A</v>
      </c>
      <c r="AF1286" s="523" t="e">
        <v>#N/A</v>
      </c>
      <c r="AG1286" s="524" t="e">
        <v>#N/A</v>
      </c>
      <c r="AH1286" s="9"/>
      <c r="AI1286" s="10"/>
      <c r="AJ1286" s="9"/>
      <c r="AK1286" s="10"/>
      <c r="AL1286" s="10"/>
    </row>
    <row r="1287" spans="1:38" ht="22.5" hidden="1">
      <c r="A1287" s="1">
        <f t="shared" si="130"/>
        <v>0</v>
      </c>
      <c r="B1287" s="2" t="s">
        <v>3664</v>
      </c>
      <c r="C1287" s="3" t="s">
        <v>3665</v>
      </c>
      <c r="D1287" s="15" t="s">
        <v>11751</v>
      </c>
      <c r="E1287" s="4" t="s">
        <v>3664</v>
      </c>
      <c r="F1287" s="37" t="s">
        <v>3665</v>
      </c>
      <c r="G1287" s="90"/>
      <c r="H1287" s="38">
        <v>12456744.73</v>
      </c>
      <c r="I1287" s="15"/>
      <c r="J1287" s="494">
        <v>20408010106</v>
      </c>
      <c r="L1287" s="523" t="s">
        <v>13582</v>
      </c>
      <c r="M1287" s="523" t="s">
        <v>278</v>
      </c>
      <c r="N1287" s="518" t="s">
        <v>13583</v>
      </c>
      <c r="O1287" s="523">
        <v>2</v>
      </c>
      <c r="P1287" s="523" t="s">
        <v>693</v>
      </c>
      <c r="Q1287" s="523" t="s">
        <v>766</v>
      </c>
      <c r="R1287" s="523" t="s">
        <v>632</v>
      </c>
      <c r="S1287" s="523" t="s">
        <v>632</v>
      </c>
      <c r="T1287" s="518" t="s">
        <v>3654</v>
      </c>
      <c r="U1287" s="38">
        <v>12456744.73</v>
      </c>
      <c r="V1287" s="15" t="str">
        <f t="shared" si="132"/>
        <v/>
      </c>
      <c r="W1287" s="10"/>
      <c r="X1287" s="10"/>
      <c r="Y1287" s="10"/>
      <c r="Z1287" s="10"/>
      <c r="AA1287" s="10"/>
      <c r="AB1287" s="10"/>
      <c r="AC1287" s="9"/>
      <c r="AD1287" s="523" t="e">
        <v>#N/A</v>
      </c>
      <c r="AE1287" s="523" t="e">
        <v>#N/A</v>
      </c>
      <c r="AF1287" s="523" t="e">
        <v>#N/A</v>
      </c>
      <c r="AG1287" s="524" t="e">
        <v>#N/A</v>
      </c>
      <c r="AH1287" s="9"/>
      <c r="AI1287" s="10"/>
      <c r="AJ1287" s="9"/>
      <c r="AK1287" s="10"/>
      <c r="AL1287" s="10"/>
    </row>
    <row r="1288" spans="1:38" ht="22.5" hidden="1">
      <c r="A1288" s="1">
        <f t="shared" si="130"/>
        <v>0</v>
      </c>
      <c r="B1288" s="2" t="s">
        <v>3666</v>
      </c>
      <c r="C1288" s="3" t="s">
        <v>3667</v>
      </c>
      <c r="D1288" s="15" t="s">
        <v>11751</v>
      </c>
      <c r="E1288" s="4" t="s">
        <v>3666</v>
      </c>
      <c r="F1288" s="37" t="s">
        <v>3667</v>
      </c>
      <c r="G1288" s="38">
        <v>0</v>
      </c>
      <c r="H1288" s="38">
        <v>0</v>
      </c>
      <c r="I1288" s="15"/>
      <c r="J1288" s="494">
        <v>20408010107</v>
      </c>
      <c r="L1288" s="523" t="s">
        <v>13582</v>
      </c>
      <c r="M1288" s="523" t="s">
        <v>278</v>
      </c>
      <c r="N1288" s="518" t="s">
        <v>13583</v>
      </c>
      <c r="O1288" s="523">
        <v>2</v>
      </c>
      <c r="P1288" s="523" t="s">
        <v>693</v>
      </c>
      <c r="Q1288" s="523" t="s">
        <v>766</v>
      </c>
      <c r="R1288" s="523" t="s">
        <v>632</v>
      </c>
      <c r="S1288" s="523" t="s">
        <v>632</v>
      </c>
      <c r="T1288" s="518" t="s">
        <v>3654</v>
      </c>
      <c r="U1288" s="38">
        <v>0</v>
      </c>
      <c r="V1288" s="15" t="str">
        <f t="shared" si="132"/>
        <v/>
      </c>
      <c r="W1288" s="10"/>
      <c r="X1288" s="10"/>
      <c r="Y1288" s="10"/>
      <c r="Z1288" s="10"/>
      <c r="AA1288" s="10"/>
      <c r="AB1288" s="10"/>
      <c r="AC1288" s="9"/>
      <c r="AD1288" s="523" t="e">
        <v>#N/A</v>
      </c>
      <c r="AE1288" s="523" t="e">
        <v>#N/A</v>
      </c>
      <c r="AF1288" s="523" t="e">
        <v>#N/A</v>
      </c>
      <c r="AG1288" s="524" t="e">
        <v>#N/A</v>
      </c>
      <c r="AH1288" s="9"/>
      <c r="AI1288" s="10"/>
      <c r="AJ1288" s="9"/>
      <c r="AK1288" s="10"/>
      <c r="AL1288" s="10"/>
    </row>
    <row r="1289" spans="1:38" ht="22.5" hidden="1">
      <c r="A1289" s="1">
        <f t="shared" si="130"/>
        <v>0</v>
      </c>
      <c r="B1289" s="2" t="s">
        <v>3668</v>
      </c>
      <c r="C1289" s="3" t="s">
        <v>3669</v>
      </c>
      <c r="D1289" s="15" t="s">
        <v>11751</v>
      </c>
      <c r="E1289" s="4" t="s">
        <v>3668</v>
      </c>
      <c r="F1289" s="37" t="s">
        <v>3669</v>
      </c>
      <c r="G1289" s="38">
        <v>1319.88</v>
      </c>
      <c r="H1289" s="38">
        <v>1319.88</v>
      </c>
      <c r="I1289" s="15"/>
      <c r="J1289" s="494">
        <v>20408010108</v>
      </c>
      <c r="L1289" s="523" t="s">
        <v>13582</v>
      </c>
      <c r="M1289" s="523" t="s">
        <v>278</v>
      </c>
      <c r="N1289" s="518" t="s">
        <v>13583</v>
      </c>
      <c r="O1289" s="523">
        <v>2</v>
      </c>
      <c r="P1289" s="523" t="s">
        <v>693</v>
      </c>
      <c r="Q1289" s="523" t="s">
        <v>766</v>
      </c>
      <c r="R1289" s="523" t="s">
        <v>632</v>
      </c>
      <c r="S1289" s="523" t="s">
        <v>632</v>
      </c>
      <c r="T1289" s="518" t="s">
        <v>3654</v>
      </c>
      <c r="U1289" s="38">
        <v>1319.88</v>
      </c>
      <c r="V1289" s="15" t="str">
        <f t="shared" si="132"/>
        <v/>
      </c>
      <c r="W1289" s="10"/>
      <c r="X1289" s="10"/>
      <c r="Y1289" s="10"/>
      <c r="Z1289" s="10"/>
      <c r="AA1289" s="10"/>
      <c r="AB1289" s="10"/>
      <c r="AC1289" s="9"/>
      <c r="AD1289" s="523" t="e">
        <v>#N/A</v>
      </c>
      <c r="AE1289" s="523" t="e">
        <v>#N/A</v>
      </c>
      <c r="AF1289" s="523" t="e">
        <v>#N/A</v>
      </c>
      <c r="AG1289" s="524" t="e">
        <v>#N/A</v>
      </c>
      <c r="AH1289" s="9"/>
      <c r="AI1289" s="10"/>
      <c r="AJ1289" s="9"/>
      <c r="AK1289" s="10"/>
      <c r="AL1289" s="10"/>
    </row>
    <row r="1290" spans="1:38" hidden="1">
      <c r="A1290" s="1">
        <f t="shared" si="130"/>
        <v>0</v>
      </c>
      <c r="C1290" s="3" t="s">
        <v>3670</v>
      </c>
      <c r="D1290" s="15" t="s">
        <v>16</v>
      </c>
      <c r="E1290" s="24"/>
      <c r="F1290" s="25" t="s">
        <v>3670</v>
      </c>
      <c r="G1290" s="26">
        <f>G1291</f>
        <v>9067595.8599999994</v>
      </c>
      <c r="H1290" s="26">
        <f>H1291</f>
        <v>7192014.6200000001</v>
      </c>
      <c r="I1290" s="15"/>
      <c r="J1290" s="494"/>
      <c r="K1290" s="509"/>
      <c r="L1290" s="509"/>
      <c r="M1290" s="509"/>
      <c r="N1290" s="510"/>
      <c r="O1290" s="509"/>
      <c r="P1290" s="509"/>
      <c r="Q1290" s="509"/>
      <c r="R1290" s="509"/>
      <c r="S1290" s="509"/>
      <c r="T1290" s="510"/>
      <c r="U1290" s="26">
        <f>U1291</f>
        <v>7192014.6200000001</v>
      </c>
      <c r="V1290" s="15" t="str">
        <f t="shared" si="132"/>
        <v>204090000</v>
      </c>
      <c r="W1290" s="27">
        <v>2</v>
      </c>
      <c r="X1290" s="28" t="s">
        <v>693</v>
      </c>
      <c r="Y1290" s="28" t="s">
        <v>779</v>
      </c>
      <c r="Z1290" s="28" t="s">
        <v>630</v>
      </c>
      <c r="AA1290" s="28" t="s">
        <v>630</v>
      </c>
      <c r="AB1290" s="25" t="s">
        <v>3670</v>
      </c>
      <c r="AC1290" s="530">
        <f>AC1291</f>
        <v>7192014.6199999992</v>
      </c>
      <c r="AD1290" s="509">
        <v>0</v>
      </c>
      <c r="AE1290" s="509" t="s">
        <v>13584</v>
      </c>
      <c r="AF1290" s="509" t="s">
        <v>302</v>
      </c>
      <c r="AG1290" s="510" t="s">
        <v>3671</v>
      </c>
      <c r="AH1290" s="53">
        <f>AH1291</f>
        <v>7192014.6199999992</v>
      </c>
      <c r="AI1290" s="10"/>
      <c r="AJ1290" s="9">
        <f>AH1290-H1290</f>
        <v>0</v>
      </c>
      <c r="AK1290" s="10"/>
      <c r="AL1290" s="10"/>
    </row>
    <row r="1291" spans="1:38" hidden="1">
      <c r="A1291" s="1">
        <f t="shared" si="130"/>
        <v>0</v>
      </c>
      <c r="C1291" s="3" t="s">
        <v>3670</v>
      </c>
      <c r="D1291" s="15" t="s">
        <v>16</v>
      </c>
      <c r="E1291" s="30"/>
      <c r="F1291" s="31" t="s">
        <v>3672</v>
      </c>
      <c r="G1291" s="32">
        <f>SUM(G1292:G1305)</f>
        <v>9067595.8599999994</v>
      </c>
      <c r="H1291" s="32">
        <f>SUM(H1292:H1305)</f>
        <v>7192014.6200000001</v>
      </c>
      <c r="I1291" s="15"/>
      <c r="J1291" s="494"/>
      <c r="K1291" s="513"/>
      <c r="L1291" s="513"/>
      <c r="M1291" s="513"/>
      <c r="N1291" s="514"/>
      <c r="O1291" s="513"/>
      <c r="P1291" s="513"/>
      <c r="Q1291" s="513"/>
      <c r="R1291" s="513"/>
      <c r="S1291" s="513"/>
      <c r="T1291" s="514"/>
      <c r="U1291" s="32">
        <f>SUM(U1292:U1305)</f>
        <v>7192014.6200000001</v>
      </c>
      <c r="V1291" s="15" t="str">
        <f t="shared" si="132"/>
        <v>204090100</v>
      </c>
      <c r="W1291" s="33">
        <v>2</v>
      </c>
      <c r="X1291" s="34" t="s">
        <v>693</v>
      </c>
      <c r="Y1291" s="34" t="s">
        <v>779</v>
      </c>
      <c r="Z1291" s="34" t="s">
        <v>632</v>
      </c>
      <c r="AA1291" s="35" t="s">
        <v>630</v>
      </c>
      <c r="AB1291" s="31" t="s">
        <v>3672</v>
      </c>
      <c r="AC1291" s="529">
        <f>SUM(AC1292:AC1305)</f>
        <v>7192014.6199999992</v>
      </c>
      <c r="AD1291" s="513">
        <v>0</v>
      </c>
      <c r="AE1291" s="513" t="s">
        <v>13584</v>
      </c>
      <c r="AF1291" s="513" t="s">
        <v>302</v>
      </c>
      <c r="AG1291" s="514" t="s">
        <v>3671</v>
      </c>
      <c r="AH1291" s="44">
        <f>SUM(AH1292:AH1305)</f>
        <v>7192014.6199999992</v>
      </c>
      <c r="AI1291" s="10"/>
      <c r="AJ1291" s="9">
        <f>AH1291-H1291</f>
        <v>0</v>
      </c>
      <c r="AK1291" s="10"/>
      <c r="AL1291" s="10"/>
    </row>
    <row r="1292" spans="1:38" hidden="1">
      <c r="A1292" s="1">
        <f t="shared" si="130"/>
        <v>0</v>
      </c>
      <c r="B1292" s="2" t="s">
        <v>3673</v>
      </c>
      <c r="C1292" s="3" t="s">
        <v>3674</v>
      </c>
      <c r="D1292" s="15" t="s">
        <v>11752</v>
      </c>
      <c r="E1292" s="4" t="s">
        <v>3673</v>
      </c>
      <c r="F1292" s="37" t="s">
        <v>3674</v>
      </c>
      <c r="G1292" s="38">
        <v>0</v>
      </c>
      <c r="H1292" s="38">
        <v>0</v>
      </c>
      <c r="I1292" s="15"/>
      <c r="J1292" s="494">
        <v>20409010101</v>
      </c>
      <c r="K1292" s="517"/>
      <c r="L1292" s="517" t="s">
        <v>13584</v>
      </c>
      <c r="M1292" s="517" t="s">
        <v>302</v>
      </c>
      <c r="N1292" s="518" t="s">
        <v>3671</v>
      </c>
      <c r="O1292" s="517">
        <v>2</v>
      </c>
      <c r="P1292" s="517" t="s">
        <v>693</v>
      </c>
      <c r="Q1292" s="517" t="s">
        <v>779</v>
      </c>
      <c r="R1292" s="517" t="s">
        <v>632</v>
      </c>
      <c r="S1292" s="517" t="s">
        <v>632</v>
      </c>
      <c r="T1292" s="518" t="s">
        <v>3675</v>
      </c>
      <c r="U1292" s="38">
        <v>0</v>
      </c>
      <c r="V1292" s="15" t="str">
        <f t="shared" si="132"/>
        <v>204090101</v>
      </c>
      <c r="W1292" s="39">
        <v>2</v>
      </c>
      <c r="X1292" s="40" t="s">
        <v>693</v>
      </c>
      <c r="Y1292" s="40" t="s">
        <v>779</v>
      </c>
      <c r="Z1292" s="40" t="s">
        <v>632</v>
      </c>
      <c r="AA1292" s="40" t="s">
        <v>632</v>
      </c>
      <c r="AB1292" s="41" t="s">
        <v>3675</v>
      </c>
      <c r="AC1292" s="519">
        <f>H1292</f>
        <v>0</v>
      </c>
      <c r="AD1292" s="517">
        <v>0</v>
      </c>
      <c r="AE1292" s="517" t="s">
        <v>13584</v>
      </c>
      <c r="AF1292" s="517" t="s">
        <v>302</v>
      </c>
      <c r="AG1292" s="520" t="s">
        <v>3671</v>
      </c>
      <c r="AH1292" s="67">
        <f>SUM(AC1292)</f>
        <v>0</v>
      </c>
      <c r="AI1292" s="10"/>
      <c r="AJ1292" s="9"/>
      <c r="AK1292" s="10"/>
      <c r="AL1292" s="10"/>
    </row>
    <row r="1293" spans="1:38" ht="22.5" hidden="1">
      <c r="A1293" s="1">
        <f t="shared" si="130"/>
        <v>0</v>
      </c>
      <c r="B1293" s="2" t="s">
        <v>3676</v>
      </c>
      <c r="C1293" s="3" t="s">
        <v>3677</v>
      </c>
      <c r="D1293" s="15" t="s">
        <v>11753</v>
      </c>
      <c r="E1293" s="4" t="s">
        <v>3676</v>
      </c>
      <c r="F1293" s="37" t="s">
        <v>3677</v>
      </c>
      <c r="G1293" s="38">
        <v>4903.46</v>
      </c>
      <c r="H1293" s="38">
        <v>-4805.0200000000004</v>
      </c>
      <c r="I1293" s="15"/>
      <c r="J1293" s="494">
        <v>20409010201</v>
      </c>
      <c r="K1293" s="517"/>
      <c r="L1293" s="517" t="s">
        <v>13584</v>
      </c>
      <c r="M1293" s="517" t="s">
        <v>302</v>
      </c>
      <c r="N1293" s="518" t="s">
        <v>3671</v>
      </c>
      <c r="O1293" s="517">
        <v>2</v>
      </c>
      <c r="P1293" s="517" t="s">
        <v>693</v>
      </c>
      <c r="Q1293" s="517" t="s">
        <v>779</v>
      </c>
      <c r="R1293" s="517" t="s">
        <v>632</v>
      </c>
      <c r="S1293" s="517" t="s">
        <v>647</v>
      </c>
      <c r="T1293" s="518" t="s">
        <v>3678</v>
      </c>
      <c r="U1293" s="38">
        <v>-4805.0200000000004</v>
      </c>
      <c r="V1293" s="15" t="str">
        <f t="shared" si="132"/>
        <v>204090102</v>
      </c>
      <c r="W1293" s="39">
        <v>2</v>
      </c>
      <c r="X1293" s="40" t="s">
        <v>693</v>
      </c>
      <c r="Y1293" s="40" t="s">
        <v>779</v>
      </c>
      <c r="Z1293" s="40" t="s">
        <v>632</v>
      </c>
      <c r="AA1293" s="40" t="s">
        <v>647</v>
      </c>
      <c r="AB1293" s="41" t="s">
        <v>3678</v>
      </c>
      <c r="AC1293" s="519">
        <f>H1293</f>
        <v>-4805.0200000000004</v>
      </c>
      <c r="AD1293" s="517">
        <v>0</v>
      </c>
      <c r="AE1293" s="517" t="s">
        <v>13584</v>
      </c>
      <c r="AF1293" s="517" t="s">
        <v>302</v>
      </c>
      <c r="AG1293" s="520" t="s">
        <v>3671</v>
      </c>
      <c r="AH1293" s="67">
        <f>SUM(AC1293)</f>
        <v>-4805.0200000000004</v>
      </c>
      <c r="AI1293" s="10"/>
      <c r="AJ1293" s="9"/>
      <c r="AK1293" s="10"/>
      <c r="AL1293" s="10"/>
    </row>
    <row r="1294" spans="1:38" ht="22.5" hidden="1">
      <c r="A1294" s="1">
        <f t="shared" si="130"/>
        <v>0</v>
      </c>
      <c r="B1294" s="2" t="s">
        <v>3679</v>
      </c>
      <c r="C1294" s="3" t="s">
        <v>3680</v>
      </c>
      <c r="D1294" s="15" t="s">
        <v>11754</v>
      </c>
      <c r="E1294" s="4" t="s">
        <v>3679</v>
      </c>
      <c r="F1294" s="37" t="s">
        <v>3680</v>
      </c>
      <c r="G1294" s="61">
        <v>4194000</v>
      </c>
      <c r="H1294" s="38">
        <v>5900194.2199999997</v>
      </c>
      <c r="I1294" s="15"/>
      <c r="J1294" s="494">
        <v>20409010301</v>
      </c>
      <c r="K1294" s="517"/>
      <c r="L1294" s="517" t="s">
        <v>13584</v>
      </c>
      <c r="M1294" s="517" t="s">
        <v>302</v>
      </c>
      <c r="N1294" s="518" t="s">
        <v>3671</v>
      </c>
      <c r="O1294" s="517">
        <v>2</v>
      </c>
      <c r="P1294" s="517" t="s">
        <v>693</v>
      </c>
      <c r="Q1294" s="517" t="s">
        <v>779</v>
      </c>
      <c r="R1294" s="517" t="s">
        <v>632</v>
      </c>
      <c r="S1294" s="517" t="s">
        <v>671</v>
      </c>
      <c r="T1294" s="518" t="s">
        <v>3681</v>
      </c>
      <c r="U1294" s="38">
        <v>5900194.2199999997</v>
      </c>
      <c r="V1294" s="15" t="str">
        <f t="shared" si="132"/>
        <v>204090103</v>
      </c>
      <c r="W1294" s="39">
        <v>2</v>
      </c>
      <c r="X1294" s="40" t="s">
        <v>693</v>
      </c>
      <c r="Y1294" s="40" t="s">
        <v>779</v>
      </c>
      <c r="Z1294" s="40" t="s">
        <v>632</v>
      </c>
      <c r="AA1294" s="40" t="s">
        <v>671</v>
      </c>
      <c r="AB1294" s="41" t="s">
        <v>3681</v>
      </c>
      <c r="AC1294" s="519">
        <f>SUM(H1294:H1295)</f>
        <v>5864633.4699999997</v>
      </c>
      <c r="AD1294" s="517">
        <v>0</v>
      </c>
      <c r="AE1294" s="517" t="s">
        <v>13584</v>
      </c>
      <c r="AF1294" s="517" t="s">
        <v>302</v>
      </c>
      <c r="AG1294" s="520" t="s">
        <v>3671</v>
      </c>
      <c r="AH1294" s="67">
        <f>SUM(AC1294)</f>
        <v>5864633.4699999997</v>
      </c>
      <c r="AI1294" s="10"/>
      <c r="AJ1294" s="9"/>
      <c r="AK1294" s="10"/>
      <c r="AL1294" s="10"/>
    </row>
    <row r="1295" spans="1:38" ht="33.75" hidden="1">
      <c r="A1295" s="1">
        <f t="shared" si="130"/>
        <v>0</v>
      </c>
      <c r="B1295" s="2" t="s">
        <v>3682</v>
      </c>
      <c r="C1295" s="3" t="s">
        <v>3683</v>
      </c>
      <c r="D1295" s="15" t="s">
        <v>11754</v>
      </c>
      <c r="E1295" s="4" t="s">
        <v>3682</v>
      </c>
      <c r="F1295" s="37" t="s">
        <v>3683</v>
      </c>
      <c r="G1295" s="38">
        <v>20564.8</v>
      </c>
      <c r="H1295" s="38">
        <v>-35560.75</v>
      </c>
      <c r="I1295" s="15"/>
      <c r="J1295" s="494">
        <v>20409010302</v>
      </c>
      <c r="K1295" s="517"/>
      <c r="L1295" s="517" t="s">
        <v>13584</v>
      </c>
      <c r="M1295" s="517" t="s">
        <v>302</v>
      </c>
      <c r="N1295" s="518" t="s">
        <v>3671</v>
      </c>
      <c r="O1295" s="517">
        <v>2</v>
      </c>
      <c r="P1295" s="517" t="s">
        <v>693</v>
      </c>
      <c r="Q1295" s="517" t="s">
        <v>779</v>
      </c>
      <c r="R1295" s="517" t="s">
        <v>632</v>
      </c>
      <c r="S1295" s="517" t="s">
        <v>671</v>
      </c>
      <c r="T1295" s="518" t="s">
        <v>3681</v>
      </c>
      <c r="U1295" s="38">
        <v>-35560.75</v>
      </c>
      <c r="V1295" s="15" t="str">
        <f t="shared" si="132"/>
        <v/>
      </c>
      <c r="W1295" s="39"/>
      <c r="X1295" s="50"/>
      <c r="Y1295" s="50"/>
      <c r="Z1295" s="50"/>
      <c r="AA1295" s="50"/>
      <c r="AB1295" s="41"/>
      <c r="AC1295" s="9"/>
      <c r="AD1295" s="517" t="e">
        <v>#N/A</v>
      </c>
      <c r="AE1295" s="517" t="e">
        <v>#N/A</v>
      </c>
      <c r="AF1295" s="517" t="e">
        <v>#N/A</v>
      </c>
      <c r="AG1295" s="520" t="e">
        <v>#N/A</v>
      </c>
      <c r="AH1295" s="67">
        <f>SUM(AC1295)</f>
        <v>0</v>
      </c>
      <c r="AI1295" s="10"/>
      <c r="AJ1295" s="9"/>
      <c r="AK1295" s="10"/>
      <c r="AL1295" s="10"/>
    </row>
    <row r="1296" spans="1:38" hidden="1">
      <c r="A1296" s="1">
        <f t="shared" si="130"/>
        <v>0</v>
      </c>
      <c r="B1296" s="2" t="s">
        <v>3684</v>
      </c>
      <c r="C1296" s="3" t="s">
        <v>3685</v>
      </c>
      <c r="D1296" s="15" t="s">
        <v>11755</v>
      </c>
      <c r="E1296" s="4" t="s">
        <v>3684</v>
      </c>
      <c r="F1296" s="37" t="s">
        <v>3685</v>
      </c>
      <c r="G1296" s="38">
        <v>42374.82</v>
      </c>
      <c r="H1296" s="38">
        <v>-25616.46</v>
      </c>
      <c r="I1296" s="15"/>
      <c r="J1296" s="494">
        <v>20409010401</v>
      </c>
      <c r="K1296" s="517"/>
      <c r="L1296" s="517" t="s">
        <v>13584</v>
      </c>
      <c r="M1296" s="517" t="s">
        <v>302</v>
      </c>
      <c r="N1296" s="518" t="s">
        <v>3671</v>
      </c>
      <c r="O1296" s="517">
        <v>2</v>
      </c>
      <c r="P1296" s="517" t="s">
        <v>693</v>
      </c>
      <c r="Q1296" s="517" t="s">
        <v>779</v>
      </c>
      <c r="R1296" s="517" t="s">
        <v>632</v>
      </c>
      <c r="S1296" s="517" t="s">
        <v>693</v>
      </c>
      <c r="T1296" s="518" t="s">
        <v>3686</v>
      </c>
      <c r="U1296" s="38">
        <v>-25616.46</v>
      </c>
      <c r="V1296" s="15" t="str">
        <f t="shared" si="132"/>
        <v>204090104</v>
      </c>
      <c r="W1296" s="39">
        <v>2</v>
      </c>
      <c r="X1296" s="40" t="s">
        <v>693</v>
      </c>
      <c r="Y1296" s="40" t="s">
        <v>779</v>
      </c>
      <c r="Z1296" s="40" t="s">
        <v>632</v>
      </c>
      <c r="AA1296" s="40" t="s">
        <v>693</v>
      </c>
      <c r="AB1296" s="41" t="s">
        <v>3686</v>
      </c>
      <c r="AC1296" s="519">
        <f>SUM(H1296:H1300)</f>
        <v>1131074.83</v>
      </c>
      <c r="AD1296" s="517">
        <v>0</v>
      </c>
      <c r="AE1296" s="517" t="s">
        <v>13584</v>
      </c>
      <c r="AF1296" s="517" t="s">
        <v>302</v>
      </c>
      <c r="AG1296" s="520" t="s">
        <v>3671</v>
      </c>
      <c r="AH1296" s="67">
        <f>SUM(AC1296)</f>
        <v>1131074.83</v>
      </c>
      <c r="AI1296" s="10"/>
      <c r="AJ1296" s="9"/>
      <c r="AK1296" s="10"/>
      <c r="AL1296" s="10"/>
    </row>
    <row r="1297" spans="1:38" ht="22.5" hidden="1">
      <c r="A1297" s="1">
        <f t="shared" si="130"/>
        <v>0</v>
      </c>
      <c r="B1297" s="2" t="s">
        <v>3687</v>
      </c>
      <c r="C1297" s="3" t="s">
        <v>3688</v>
      </c>
      <c r="D1297" s="15" t="s">
        <v>11755</v>
      </c>
      <c r="E1297" s="4" t="s">
        <v>3687</v>
      </c>
      <c r="F1297" s="37" t="s">
        <v>3688</v>
      </c>
      <c r="G1297" s="38">
        <v>85729.56</v>
      </c>
      <c r="H1297" s="38">
        <v>0</v>
      </c>
      <c r="I1297" s="15"/>
      <c r="J1297" s="494">
        <v>20409010402</v>
      </c>
      <c r="L1297" s="523" t="s">
        <v>13584</v>
      </c>
      <c r="M1297" s="523" t="s">
        <v>302</v>
      </c>
      <c r="N1297" s="518" t="s">
        <v>3671</v>
      </c>
      <c r="O1297" s="523">
        <v>2</v>
      </c>
      <c r="P1297" s="523" t="s">
        <v>693</v>
      </c>
      <c r="Q1297" s="523" t="s">
        <v>779</v>
      </c>
      <c r="R1297" s="523" t="s">
        <v>632</v>
      </c>
      <c r="S1297" s="523" t="s">
        <v>693</v>
      </c>
      <c r="T1297" s="518" t="s">
        <v>3686</v>
      </c>
      <c r="U1297" s="38">
        <v>0</v>
      </c>
      <c r="V1297" s="15" t="str">
        <f t="shared" si="132"/>
        <v/>
      </c>
      <c r="W1297" s="10"/>
      <c r="X1297" s="10"/>
      <c r="Y1297" s="10"/>
      <c r="Z1297" s="10"/>
      <c r="AA1297" s="10"/>
      <c r="AB1297" s="10"/>
      <c r="AC1297" s="9"/>
      <c r="AD1297" s="523" t="e">
        <v>#N/A</v>
      </c>
      <c r="AE1297" s="523" t="e">
        <v>#N/A</v>
      </c>
      <c r="AF1297" s="523" t="e">
        <v>#N/A</v>
      </c>
      <c r="AG1297" s="524" t="e">
        <v>#N/A</v>
      </c>
      <c r="AH1297" s="9"/>
      <c r="AI1297" s="10"/>
      <c r="AJ1297" s="9"/>
      <c r="AK1297" s="10"/>
      <c r="AL1297" s="10"/>
    </row>
    <row r="1298" spans="1:38" ht="22.5" hidden="1">
      <c r="A1298" s="1">
        <f t="shared" si="130"/>
        <v>0</v>
      </c>
      <c r="B1298" s="2" t="s">
        <v>3689</v>
      </c>
      <c r="C1298" s="3" t="s">
        <v>3690</v>
      </c>
      <c r="D1298" s="15" t="s">
        <v>11755</v>
      </c>
      <c r="E1298" s="4" t="s">
        <v>3689</v>
      </c>
      <c r="F1298" s="37" t="s">
        <v>3690</v>
      </c>
      <c r="G1298" s="38">
        <v>22834.31</v>
      </c>
      <c r="H1298" s="38">
        <v>1152920.51</v>
      </c>
      <c r="I1298" s="15"/>
      <c r="J1298" s="494">
        <v>20409010403</v>
      </c>
      <c r="L1298" s="523" t="s">
        <v>13584</v>
      </c>
      <c r="M1298" s="523" t="s">
        <v>302</v>
      </c>
      <c r="N1298" s="518" t="s">
        <v>3671</v>
      </c>
      <c r="O1298" s="523">
        <v>2</v>
      </c>
      <c r="P1298" s="523" t="s">
        <v>693</v>
      </c>
      <c r="Q1298" s="523" t="s">
        <v>779</v>
      </c>
      <c r="R1298" s="523" t="s">
        <v>632</v>
      </c>
      <c r="S1298" s="523" t="s">
        <v>693</v>
      </c>
      <c r="T1298" s="518" t="s">
        <v>3686</v>
      </c>
      <c r="U1298" s="38">
        <v>1152920.51</v>
      </c>
      <c r="V1298" s="15" t="str">
        <f t="shared" si="132"/>
        <v/>
      </c>
      <c r="W1298" s="10"/>
      <c r="X1298" s="10"/>
      <c r="Y1298" s="10"/>
      <c r="Z1298" s="10"/>
      <c r="AA1298" s="10"/>
      <c r="AB1298" s="10"/>
      <c r="AC1298" s="9"/>
      <c r="AD1298" s="523" t="e">
        <v>#N/A</v>
      </c>
      <c r="AE1298" s="523" t="e">
        <v>#N/A</v>
      </c>
      <c r="AF1298" s="523" t="e">
        <v>#N/A</v>
      </c>
      <c r="AG1298" s="524" t="e">
        <v>#N/A</v>
      </c>
      <c r="AH1298" s="9"/>
      <c r="AI1298" s="10"/>
      <c r="AJ1298" s="9"/>
      <c r="AK1298" s="10"/>
      <c r="AL1298" s="10"/>
    </row>
    <row r="1299" spans="1:38" hidden="1">
      <c r="A1299" s="1">
        <f t="shared" si="130"/>
        <v>0</v>
      </c>
      <c r="B1299" s="2" t="s">
        <v>3691</v>
      </c>
      <c r="C1299" s="3" t="s">
        <v>3692</v>
      </c>
      <c r="D1299" s="15" t="s">
        <v>11755</v>
      </c>
      <c r="E1299" s="4" t="s">
        <v>3691</v>
      </c>
      <c r="F1299" s="37" t="s">
        <v>3692</v>
      </c>
      <c r="G1299" s="38">
        <v>3318.34</v>
      </c>
      <c r="H1299" s="38">
        <v>3770.78</v>
      </c>
      <c r="I1299" s="15"/>
      <c r="J1299" s="494">
        <v>20409010404</v>
      </c>
      <c r="L1299" s="523" t="s">
        <v>13584</v>
      </c>
      <c r="M1299" s="523" t="s">
        <v>302</v>
      </c>
      <c r="N1299" s="518" t="s">
        <v>3671</v>
      </c>
      <c r="O1299" s="523">
        <v>2</v>
      </c>
      <c r="P1299" s="523" t="s">
        <v>693</v>
      </c>
      <c r="Q1299" s="523" t="s">
        <v>779</v>
      </c>
      <c r="R1299" s="523" t="s">
        <v>632</v>
      </c>
      <c r="S1299" s="523" t="s">
        <v>693</v>
      </c>
      <c r="T1299" s="518" t="s">
        <v>3686</v>
      </c>
      <c r="U1299" s="38">
        <v>3770.78</v>
      </c>
      <c r="V1299" s="15" t="str">
        <f t="shared" si="132"/>
        <v/>
      </c>
      <c r="W1299" s="10"/>
      <c r="X1299" s="10"/>
      <c r="Y1299" s="10"/>
      <c r="Z1299" s="10"/>
      <c r="AA1299" s="10"/>
      <c r="AB1299" s="10"/>
      <c r="AC1299" s="9"/>
      <c r="AD1299" s="523" t="e">
        <v>#N/A</v>
      </c>
      <c r="AE1299" s="523" t="e">
        <v>#N/A</v>
      </c>
      <c r="AF1299" s="523" t="e">
        <v>#N/A</v>
      </c>
      <c r="AG1299" s="524" t="e">
        <v>#N/A</v>
      </c>
      <c r="AH1299" s="9"/>
      <c r="AI1299" s="10"/>
      <c r="AJ1299" s="9"/>
      <c r="AK1299" s="10"/>
      <c r="AL1299" s="10"/>
    </row>
    <row r="1300" spans="1:38" hidden="1">
      <c r="A1300" s="1">
        <f t="shared" si="130"/>
        <v>0</v>
      </c>
      <c r="B1300" s="2" t="s">
        <v>3693</v>
      </c>
      <c r="C1300" s="3" t="s">
        <v>3694</v>
      </c>
      <c r="D1300" s="15" t="s">
        <v>11755</v>
      </c>
      <c r="E1300" s="4" t="s">
        <v>3693</v>
      </c>
      <c r="F1300" s="37" t="s">
        <v>3694</v>
      </c>
      <c r="G1300" s="38">
        <v>0</v>
      </c>
      <c r="H1300" s="38">
        <v>0</v>
      </c>
      <c r="I1300" s="15"/>
      <c r="J1300" s="494">
        <v>20409010405</v>
      </c>
      <c r="L1300" s="523" t="s">
        <v>13584</v>
      </c>
      <c r="M1300" s="523" t="s">
        <v>302</v>
      </c>
      <c r="N1300" s="518" t="s">
        <v>3671</v>
      </c>
      <c r="O1300" s="523">
        <v>2</v>
      </c>
      <c r="P1300" s="523" t="s">
        <v>693</v>
      </c>
      <c r="Q1300" s="523" t="s">
        <v>779</v>
      </c>
      <c r="R1300" s="523" t="s">
        <v>632</v>
      </c>
      <c r="S1300" s="523" t="s">
        <v>693</v>
      </c>
      <c r="T1300" s="518" t="s">
        <v>3686</v>
      </c>
      <c r="U1300" s="38">
        <v>0</v>
      </c>
      <c r="V1300" s="15" t="str">
        <f t="shared" si="132"/>
        <v/>
      </c>
      <c r="W1300" s="10"/>
      <c r="X1300" s="10"/>
      <c r="Y1300" s="10"/>
      <c r="Z1300" s="10"/>
      <c r="AA1300" s="10"/>
      <c r="AB1300" s="10"/>
      <c r="AC1300" s="9"/>
      <c r="AD1300" s="523" t="e">
        <v>#N/A</v>
      </c>
      <c r="AE1300" s="523" t="e">
        <v>#N/A</v>
      </c>
      <c r="AF1300" s="523" t="e">
        <v>#N/A</v>
      </c>
      <c r="AG1300" s="524" t="e">
        <v>#N/A</v>
      </c>
      <c r="AH1300" s="9"/>
      <c r="AI1300" s="10"/>
      <c r="AJ1300" s="9"/>
      <c r="AK1300" s="10"/>
      <c r="AL1300" s="10"/>
    </row>
    <row r="1301" spans="1:38" hidden="1">
      <c r="A1301" s="1">
        <f t="shared" ref="A1301:A1366" si="133">IF(E1301=B1301,0,1)</f>
        <v>0</v>
      </c>
      <c r="B1301" s="2" t="s">
        <v>3695</v>
      </c>
      <c r="C1301" s="3" t="s">
        <v>3696</v>
      </c>
      <c r="D1301" s="15" t="s">
        <v>11756</v>
      </c>
      <c r="E1301" s="4" t="s">
        <v>3695</v>
      </c>
      <c r="F1301" s="37" t="s">
        <v>3696</v>
      </c>
      <c r="G1301" s="38">
        <v>1887384.43</v>
      </c>
      <c r="H1301" s="38">
        <v>3028876.54</v>
      </c>
      <c r="I1301" s="15"/>
      <c r="J1301" s="494">
        <v>20409010501</v>
      </c>
      <c r="K1301" s="517"/>
      <c r="L1301" s="517" t="s">
        <v>13584</v>
      </c>
      <c r="M1301" s="517" t="s">
        <v>302</v>
      </c>
      <c r="N1301" s="518" t="s">
        <v>3671</v>
      </c>
      <c r="O1301" s="517">
        <v>2</v>
      </c>
      <c r="P1301" s="517" t="s">
        <v>693</v>
      </c>
      <c r="Q1301" s="517" t="s">
        <v>779</v>
      </c>
      <c r="R1301" s="517" t="s">
        <v>632</v>
      </c>
      <c r="S1301" s="517" t="s">
        <v>714</v>
      </c>
      <c r="T1301" s="518" t="s">
        <v>3697</v>
      </c>
      <c r="U1301" s="38">
        <v>3028876.54</v>
      </c>
      <c r="V1301" s="15" t="str">
        <f t="shared" si="132"/>
        <v>204090105</v>
      </c>
      <c r="W1301" s="39">
        <v>2</v>
      </c>
      <c r="X1301" s="40" t="s">
        <v>693</v>
      </c>
      <c r="Y1301" s="40" t="s">
        <v>779</v>
      </c>
      <c r="Z1301" s="40" t="s">
        <v>632</v>
      </c>
      <c r="AA1301" s="40" t="s">
        <v>714</v>
      </c>
      <c r="AB1301" s="41" t="s">
        <v>3697</v>
      </c>
      <c r="AC1301" s="519">
        <f>SUM(H1301:H1302)</f>
        <v>2226341.4900000002</v>
      </c>
      <c r="AD1301" s="517">
        <v>0</v>
      </c>
      <c r="AE1301" s="517" t="s">
        <v>13584</v>
      </c>
      <c r="AF1301" s="517" t="s">
        <v>302</v>
      </c>
      <c r="AG1301" s="520" t="s">
        <v>3671</v>
      </c>
      <c r="AH1301" s="67">
        <f>AC1301</f>
        <v>2226341.4900000002</v>
      </c>
      <c r="AI1301" s="10"/>
      <c r="AJ1301" s="9"/>
      <c r="AK1301" s="10"/>
      <c r="AL1301" s="10"/>
    </row>
    <row r="1302" spans="1:38" ht="22.5" hidden="1">
      <c r="A1302" s="1">
        <f t="shared" si="133"/>
        <v>0</v>
      </c>
      <c r="B1302" s="2" t="s">
        <v>3698</v>
      </c>
      <c r="C1302" s="3" t="s">
        <v>3699</v>
      </c>
      <c r="D1302" s="15" t="s">
        <v>11756</v>
      </c>
      <c r="E1302" s="4" t="s">
        <v>3698</v>
      </c>
      <c r="F1302" s="37" t="s">
        <v>3699</v>
      </c>
      <c r="G1302" s="38">
        <v>991741.63</v>
      </c>
      <c r="H1302" s="38">
        <v>-802535.05</v>
      </c>
      <c r="I1302" s="15"/>
      <c r="J1302" s="494">
        <v>20409010502</v>
      </c>
      <c r="L1302" s="523" t="s">
        <v>13584</v>
      </c>
      <c r="M1302" s="523" t="s">
        <v>302</v>
      </c>
      <c r="N1302" s="518" t="s">
        <v>3671</v>
      </c>
      <c r="O1302" s="523">
        <v>2</v>
      </c>
      <c r="P1302" s="523" t="s">
        <v>693</v>
      </c>
      <c r="Q1302" s="523" t="s">
        <v>779</v>
      </c>
      <c r="R1302" s="523" t="s">
        <v>632</v>
      </c>
      <c r="S1302" s="523" t="s">
        <v>714</v>
      </c>
      <c r="T1302" s="518" t="s">
        <v>3697</v>
      </c>
      <c r="U1302" s="38">
        <v>-802535.05</v>
      </c>
      <c r="V1302" s="15" t="str">
        <f t="shared" si="132"/>
        <v/>
      </c>
      <c r="W1302" s="10"/>
      <c r="X1302" s="10"/>
      <c r="Y1302" s="10"/>
      <c r="Z1302" s="10"/>
      <c r="AA1302" s="10"/>
      <c r="AB1302" s="10"/>
      <c r="AC1302" s="9"/>
      <c r="AD1302" s="523" t="e">
        <v>#N/A</v>
      </c>
      <c r="AE1302" s="523" t="e">
        <v>#N/A</v>
      </c>
      <c r="AF1302" s="523" t="e">
        <v>#N/A</v>
      </c>
      <c r="AG1302" s="524" t="e">
        <v>#N/A</v>
      </c>
      <c r="AH1302" s="9"/>
      <c r="AI1302" s="10"/>
      <c r="AJ1302" s="9"/>
      <c r="AK1302" s="10"/>
      <c r="AL1302" s="10"/>
    </row>
    <row r="1303" spans="1:38" ht="22.5" hidden="1">
      <c r="A1303" s="1">
        <f t="shared" si="133"/>
        <v>0</v>
      </c>
      <c r="B1303" s="2" t="s">
        <v>3700</v>
      </c>
      <c r="C1303" s="3" t="s">
        <v>3701</v>
      </c>
      <c r="D1303" s="15" t="s">
        <v>11757</v>
      </c>
      <c r="E1303" s="4" t="s">
        <v>3700</v>
      </c>
      <c r="F1303" s="37" t="s">
        <v>3701</v>
      </c>
      <c r="G1303" s="38">
        <v>79756.7</v>
      </c>
      <c r="H1303" s="38">
        <v>-80174.7</v>
      </c>
      <c r="I1303" s="15"/>
      <c r="J1303" s="494">
        <v>20409019901</v>
      </c>
      <c r="K1303" s="517"/>
      <c r="L1303" s="517" t="s">
        <v>13584</v>
      </c>
      <c r="M1303" s="517" t="s">
        <v>302</v>
      </c>
      <c r="N1303" s="518" t="s">
        <v>3671</v>
      </c>
      <c r="O1303" s="517">
        <v>2</v>
      </c>
      <c r="P1303" s="517" t="s">
        <v>693</v>
      </c>
      <c r="Q1303" s="517" t="s">
        <v>779</v>
      </c>
      <c r="R1303" s="517" t="s">
        <v>632</v>
      </c>
      <c r="S1303" s="517" t="s">
        <v>1124</v>
      </c>
      <c r="T1303" s="518" t="s">
        <v>3702</v>
      </c>
      <c r="U1303" s="38">
        <v>-80174.7</v>
      </c>
      <c r="V1303" s="15" t="str">
        <f t="shared" si="132"/>
        <v>204090199</v>
      </c>
      <c r="W1303" s="39">
        <v>2</v>
      </c>
      <c r="X1303" s="40" t="s">
        <v>693</v>
      </c>
      <c r="Y1303" s="40" t="s">
        <v>779</v>
      </c>
      <c r="Z1303" s="40" t="s">
        <v>632</v>
      </c>
      <c r="AA1303" s="40" t="s">
        <v>1124</v>
      </c>
      <c r="AB1303" s="41" t="s">
        <v>3702</v>
      </c>
      <c r="AC1303" s="519">
        <f>SUM(H1303:H1305)</f>
        <v>-2025230.15</v>
      </c>
      <c r="AD1303" s="517">
        <v>0</v>
      </c>
      <c r="AE1303" s="517" t="s">
        <v>13584</v>
      </c>
      <c r="AF1303" s="517" t="s">
        <v>302</v>
      </c>
      <c r="AG1303" s="520" t="s">
        <v>3671</v>
      </c>
      <c r="AH1303" s="67">
        <f>AC1303</f>
        <v>-2025230.15</v>
      </c>
      <c r="AI1303" s="10"/>
      <c r="AJ1303" s="9"/>
      <c r="AK1303" s="10"/>
      <c r="AL1303" s="10"/>
    </row>
    <row r="1304" spans="1:38" ht="22.5" hidden="1">
      <c r="A1304" s="1">
        <f t="shared" si="133"/>
        <v>0</v>
      </c>
      <c r="B1304" s="2" t="s">
        <v>3703</v>
      </c>
      <c r="C1304" s="3" t="s">
        <v>3704</v>
      </c>
      <c r="D1304" s="15" t="s">
        <v>11757</v>
      </c>
      <c r="E1304" s="4" t="s">
        <v>3703</v>
      </c>
      <c r="F1304" s="37" t="s">
        <v>3704</v>
      </c>
      <c r="G1304" s="38">
        <v>672434.77</v>
      </c>
      <c r="H1304" s="38">
        <v>-824595.91</v>
      </c>
      <c r="I1304" s="15"/>
      <c r="J1304" s="494">
        <v>20409019902</v>
      </c>
      <c r="L1304" s="523" t="s">
        <v>13584</v>
      </c>
      <c r="M1304" s="523" t="s">
        <v>302</v>
      </c>
      <c r="N1304" s="518" t="s">
        <v>3671</v>
      </c>
      <c r="O1304" s="523">
        <v>2</v>
      </c>
      <c r="P1304" s="523" t="s">
        <v>693</v>
      </c>
      <c r="Q1304" s="523" t="s">
        <v>779</v>
      </c>
      <c r="R1304" s="523" t="s">
        <v>632</v>
      </c>
      <c r="S1304" s="523" t="s">
        <v>1124</v>
      </c>
      <c r="T1304" s="518" t="s">
        <v>3702</v>
      </c>
      <c r="U1304" s="38">
        <v>-824595.91</v>
      </c>
      <c r="V1304" s="15" t="str">
        <f t="shared" si="132"/>
        <v/>
      </c>
      <c r="W1304" s="10"/>
      <c r="X1304" s="10"/>
      <c r="Y1304" s="10"/>
      <c r="Z1304" s="10"/>
      <c r="AA1304" s="10"/>
      <c r="AB1304" s="10"/>
      <c r="AC1304" s="9"/>
      <c r="AD1304" s="523" t="e">
        <v>#N/A</v>
      </c>
      <c r="AE1304" s="523" t="e">
        <v>#N/A</v>
      </c>
      <c r="AF1304" s="523" t="e">
        <v>#N/A</v>
      </c>
      <c r="AG1304" s="524" t="e">
        <v>#N/A</v>
      </c>
      <c r="AH1304" s="9"/>
      <c r="AI1304" s="10"/>
      <c r="AJ1304" s="9"/>
      <c r="AK1304" s="10"/>
      <c r="AL1304" s="10"/>
    </row>
    <row r="1305" spans="1:38" ht="22.5" hidden="1">
      <c r="A1305" s="1">
        <f t="shared" si="133"/>
        <v>0</v>
      </c>
      <c r="B1305" s="2" t="s">
        <v>3705</v>
      </c>
      <c r="C1305" s="3" t="s">
        <v>3706</v>
      </c>
      <c r="D1305" s="15" t="s">
        <v>11757</v>
      </c>
      <c r="E1305" s="4" t="s">
        <v>3705</v>
      </c>
      <c r="F1305" s="37" t="s">
        <v>3706</v>
      </c>
      <c r="G1305" s="38">
        <v>1062553.04</v>
      </c>
      <c r="H1305" s="38">
        <v>-1120459.54</v>
      </c>
      <c r="I1305" s="15"/>
      <c r="J1305" s="494">
        <v>20409019903</v>
      </c>
      <c r="L1305" s="523" t="s">
        <v>13584</v>
      </c>
      <c r="M1305" s="523" t="s">
        <v>302</v>
      </c>
      <c r="N1305" s="518" t="s">
        <v>3671</v>
      </c>
      <c r="O1305" s="523">
        <v>2</v>
      </c>
      <c r="P1305" s="523" t="s">
        <v>693</v>
      </c>
      <c r="Q1305" s="523" t="s">
        <v>779</v>
      </c>
      <c r="R1305" s="523" t="s">
        <v>632</v>
      </c>
      <c r="S1305" s="523" t="s">
        <v>1124</v>
      </c>
      <c r="T1305" s="518" t="s">
        <v>3702</v>
      </c>
      <c r="U1305" s="38">
        <v>-1120459.54</v>
      </c>
      <c r="V1305" s="15" t="str">
        <f t="shared" si="132"/>
        <v/>
      </c>
      <c r="W1305" s="10"/>
      <c r="X1305" s="10"/>
      <c r="Y1305" s="10"/>
      <c r="Z1305" s="10"/>
      <c r="AA1305" s="10"/>
      <c r="AB1305" s="10"/>
      <c r="AC1305" s="9"/>
      <c r="AD1305" s="523" t="e">
        <v>#N/A</v>
      </c>
      <c r="AE1305" s="523" t="e">
        <v>#N/A</v>
      </c>
      <c r="AF1305" s="523" t="e">
        <v>#N/A</v>
      </c>
      <c r="AG1305" s="524" t="e">
        <v>#N/A</v>
      </c>
      <c r="AH1305" s="9"/>
      <c r="AI1305" s="10"/>
      <c r="AJ1305" s="9"/>
      <c r="AK1305" s="10"/>
      <c r="AL1305" s="10"/>
    </row>
    <row r="1306" spans="1:38" ht="45" hidden="1">
      <c r="A1306" s="1">
        <f t="shared" si="133"/>
        <v>0</v>
      </c>
      <c r="C1306" s="3" t="s">
        <v>3707</v>
      </c>
      <c r="D1306" s="15" t="s">
        <v>16</v>
      </c>
      <c r="E1306" s="24"/>
      <c r="F1306" s="25" t="s">
        <v>3707</v>
      </c>
      <c r="G1306" s="26">
        <f>G1307</f>
        <v>9745912.7400000021</v>
      </c>
      <c r="H1306" s="26">
        <f>H1307</f>
        <v>12348374.17</v>
      </c>
      <c r="I1306" s="15"/>
      <c r="J1306" s="494"/>
      <c r="K1306" s="509"/>
      <c r="L1306" s="509"/>
      <c r="M1306" s="509"/>
      <c r="N1306" s="510"/>
      <c r="O1306" s="509"/>
      <c r="P1306" s="509"/>
      <c r="Q1306" s="509"/>
      <c r="R1306" s="509"/>
      <c r="S1306" s="509"/>
      <c r="T1306" s="510"/>
      <c r="U1306" s="26">
        <f>U1307</f>
        <v>12348374.17</v>
      </c>
      <c r="V1306" s="15" t="str">
        <f t="shared" si="132"/>
        <v>204100000</v>
      </c>
      <c r="W1306" s="27">
        <v>2</v>
      </c>
      <c r="X1306" s="28" t="s">
        <v>693</v>
      </c>
      <c r="Y1306" s="28" t="s">
        <v>1225</v>
      </c>
      <c r="Z1306" s="28" t="s">
        <v>630</v>
      </c>
      <c r="AA1306" s="28" t="s">
        <v>630</v>
      </c>
      <c r="AB1306" s="25" t="s">
        <v>3707</v>
      </c>
      <c r="AC1306" s="530">
        <f>AC1307</f>
        <v>12348374.17</v>
      </c>
      <c r="AD1306" s="509">
        <v>0</v>
      </c>
      <c r="AE1306" s="509" t="s">
        <v>3708</v>
      </c>
      <c r="AF1306" s="509" t="s">
        <v>303</v>
      </c>
      <c r="AG1306" s="510" t="s">
        <v>3709</v>
      </c>
      <c r="AH1306" s="53">
        <f>AH1307</f>
        <v>12348374.17</v>
      </c>
      <c r="AI1306" s="10"/>
      <c r="AJ1306" s="9">
        <f>AH1306-H1306</f>
        <v>0</v>
      </c>
      <c r="AK1306" s="10"/>
      <c r="AL1306" s="10"/>
    </row>
    <row r="1307" spans="1:38" ht="45" hidden="1">
      <c r="A1307" s="1">
        <f t="shared" si="133"/>
        <v>0</v>
      </c>
      <c r="C1307" s="3" t="s">
        <v>3707</v>
      </c>
      <c r="D1307" s="15" t="s">
        <v>16</v>
      </c>
      <c r="E1307" s="30"/>
      <c r="F1307" s="31" t="s">
        <v>3710</v>
      </c>
      <c r="G1307" s="32">
        <f>SUM(G1308:G1322)</f>
        <v>9745912.7400000021</v>
      </c>
      <c r="H1307" s="32">
        <f>SUM(H1308:H1322)</f>
        <v>12348374.17</v>
      </c>
      <c r="I1307" s="15"/>
      <c r="J1307" s="494"/>
      <c r="K1307" s="513"/>
      <c r="L1307" s="513"/>
      <c r="M1307" s="513"/>
      <c r="N1307" s="514"/>
      <c r="O1307" s="513"/>
      <c r="P1307" s="513"/>
      <c r="Q1307" s="513"/>
      <c r="R1307" s="513"/>
      <c r="S1307" s="513"/>
      <c r="T1307" s="514"/>
      <c r="U1307" s="32">
        <f>SUM(U1308:U1322)</f>
        <v>12348374.17</v>
      </c>
      <c r="V1307" s="15" t="str">
        <f t="shared" si="132"/>
        <v>204100100</v>
      </c>
      <c r="W1307" s="33">
        <v>2</v>
      </c>
      <c r="X1307" s="34" t="s">
        <v>693</v>
      </c>
      <c r="Y1307" s="34" t="s">
        <v>1225</v>
      </c>
      <c r="Z1307" s="34" t="s">
        <v>632</v>
      </c>
      <c r="AA1307" s="35" t="s">
        <v>630</v>
      </c>
      <c r="AB1307" s="31" t="s">
        <v>3710</v>
      </c>
      <c r="AC1307" s="529">
        <f>SUM(AC1308:AC1322)</f>
        <v>12348374.17</v>
      </c>
      <c r="AD1307" s="513">
        <v>0</v>
      </c>
      <c r="AE1307" s="513" t="s">
        <v>3708</v>
      </c>
      <c r="AF1307" s="513" t="s">
        <v>303</v>
      </c>
      <c r="AG1307" s="514" t="s">
        <v>3709</v>
      </c>
      <c r="AH1307" s="44">
        <f>SUM(AH1308:AH1322)</f>
        <v>12348374.17</v>
      </c>
      <c r="AI1307" s="10"/>
      <c r="AJ1307" s="9">
        <f>AH1307-H1307</f>
        <v>0</v>
      </c>
      <c r="AK1307" s="10"/>
      <c r="AL1307" s="10"/>
    </row>
    <row r="1308" spans="1:38" ht="45" hidden="1">
      <c r="A1308" s="1">
        <f t="shared" si="133"/>
        <v>0</v>
      </c>
      <c r="B1308" s="2" t="s">
        <v>3711</v>
      </c>
      <c r="C1308" s="3" t="s">
        <v>3712</v>
      </c>
      <c r="D1308" s="15" t="s">
        <v>11758</v>
      </c>
      <c r="E1308" s="4" t="s">
        <v>3711</v>
      </c>
      <c r="F1308" s="37" t="s">
        <v>3712</v>
      </c>
      <c r="G1308" s="38">
        <v>2173163.0099999998</v>
      </c>
      <c r="H1308" s="38">
        <v>3194525.44</v>
      </c>
      <c r="I1308" s="15"/>
      <c r="J1308" s="494">
        <v>20410010101</v>
      </c>
      <c r="K1308" s="517"/>
      <c r="L1308" s="517" t="s">
        <v>3708</v>
      </c>
      <c r="M1308" s="517" t="s">
        <v>303</v>
      </c>
      <c r="N1308" s="518" t="s">
        <v>3709</v>
      </c>
      <c r="O1308" s="517">
        <v>2</v>
      </c>
      <c r="P1308" s="517" t="s">
        <v>693</v>
      </c>
      <c r="Q1308" s="517" t="s">
        <v>1225</v>
      </c>
      <c r="R1308" s="517" t="s">
        <v>632</v>
      </c>
      <c r="S1308" s="517" t="s">
        <v>632</v>
      </c>
      <c r="T1308" s="518" t="s">
        <v>3713</v>
      </c>
      <c r="U1308" s="38">
        <v>3194525.44</v>
      </c>
      <c r="V1308" s="15" t="str">
        <f t="shared" si="132"/>
        <v>204100101</v>
      </c>
      <c r="W1308" s="39">
        <v>2</v>
      </c>
      <c r="X1308" s="50" t="s">
        <v>693</v>
      </c>
      <c r="Y1308" s="40" t="s">
        <v>1225</v>
      </c>
      <c r="Z1308" s="40" t="s">
        <v>632</v>
      </c>
      <c r="AA1308" s="40" t="s">
        <v>632</v>
      </c>
      <c r="AB1308" s="42" t="s">
        <v>3713</v>
      </c>
      <c r="AC1308" s="519">
        <f>SUM(H1308:H1314)</f>
        <v>11544437.02</v>
      </c>
      <c r="AD1308" s="517">
        <v>0</v>
      </c>
      <c r="AE1308" s="517" t="s">
        <v>3708</v>
      </c>
      <c r="AF1308" s="517" t="s">
        <v>303</v>
      </c>
      <c r="AG1308" s="518" t="s">
        <v>3709</v>
      </c>
      <c r="AH1308" s="67">
        <f>AC1308</f>
        <v>11544437.02</v>
      </c>
      <c r="AI1308" s="10"/>
      <c r="AJ1308" s="9"/>
      <c r="AK1308" s="10"/>
      <c r="AL1308" s="10"/>
    </row>
    <row r="1309" spans="1:38" ht="45" hidden="1">
      <c r="A1309" s="1">
        <f t="shared" si="133"/>
        <v>0</v>
      </c>
      <c r="B1309" s="2" t="s">
        <v>3714</v>
      </c>
      <c r="C1309" s="3" t="s">
        <v>3715</v>
      </c>
      <c r="D1309" s="15" t="s">
        <v>11758</v>
      </c>
      <c r="E1309" s="4" t="s">
        <v>3714</v>
      </c>
      <c r="F1309" s="37" t="s">
        <v>3715</v>
      </c>
      <c r="G1309" s="38">
        <v>3447566.38</v>
      </c>
      <c r="H1309" s="38">
        <v>5228339.07</v>
      </c>
      <c r="I1309" s="15"/>
      <c r="J1309" s="494">
        <v>20410010102</v>
      </c>
      <c r="L1309" s="523" t="s">
        <v>3708</v>
      </c>
      <c r="M1309" s="523" t="s">
        <v>303</v>
      </c>
      <c r="N1309" s="518" t="s">
        <v>3709</v>
      </c>
      <c r="O1309" s="523">
        <v>2</v>
      </c>
      <c r="P1309" s="523" t="s">
        <v>693</v>
      </c>
      <c r="Q1309" s="523" t="s">
        <v>1225</v>
      </c>
      <c r="R1309" s="523" t="s">
        <v>632</v>
      </c>
      <c r="S1309" s="523" t="s">
        <v>632</v>
      </c>
      <c r="T1309" s="518" t="s">
        <v>3713</v>
      </c>
      <c r="U1309" s="38">
        <v>5228339.07</v>
      </c>
      <c r="V1309" s="15" t="str">
        <f t="shared" si="132"/>
        <v/>
      </c>
      <c r="W1309" s="10"/>
      <c r="X1309" s="10"/>
      <c r="Y1309" s="10"/>
      <c r="Z1309" s="10"/>
      <c r="AA1309" s="10"/>
      <c r="AB1309" s="10"/>
      <c r="AC1309" s="9"/>
      <c r="AD1309" s="523" t="e">
        <v>#N/A</v>
      </c>
      <c r="AE1309" s="523" t="e">
        <v>#N/A</v>
      </c>
      <c r="AF1309" s="523" t="e">
        <v>#N/A</v>
      </c>
      <c r="AG1309" s="524" t="e">
        <v>#N/A</v>
      </c>
      <c r="AH1309" s="9"/>
      <c r="AI1309" s="10"/>
      <c r="AJ1309" s="9"/>
      <c r="AK1309" s="10"/>
      <c r="AL1309" s="10"/>
    </row>
    <row r="1310" spans="1:38" ht="45" hidden="1">
      <c r="A1310" s="1">
        <f t="shared" si="133"/>
        <v>0</v>
      </c>
      <c r="B1310" s="2" t="s">
        <v>3716</v>
      </c>
      <c r="C1310" s="3" t="s">
        <v>3717</v>
      </c>
      <c r="D1310" s="15" t="s">
        <v>11758</v>
      </c>
      <c r="E1310" s="4" t="s">
        <v>3716</v>
      </c>
      <c r="F1310" s="37" t="s">
        <v>3717</v>
      </c>
      <c r="G1310" s="38">
        <v>438136.68</v>
      </c>
      <c r="H1310" s="38">
        <v>603441.56999999995</v>
      </c>
      <c r="I1310" s="15"/>
      <c r="J1310" s="494">
        <v>20410010103</v>
      </c>
      <c r="L1310" s="523" t="s">
        <v>3708</v>
      </c>
      <c r="M1310" s="523" t="s">
        <v>303</v>
      </c>
      <c r="N1310" s="518" t="s">
        <v>3709</v>
      </c>
      <c r="O1310" s="523">
        <v>2</v>
      </c>
      <c r="P1310" s="523" t="s">
        <v>693</v>
      </c>
      <c r="Q1310" s="523" t="s">
        <v>1225</v>
      </c>
      <c r="R1310" s="523" t="s">
        <v>632</v>
      </c>
      <c r="S1310" s="523" t="s">
        <v>632</v>
      </c>
      <c r="T1310" s="518" t="s">
        <v>3713</v>
      </c>
      <c r="U1310" s="38">
        <v>603441.56999999995</v>
      </c>
      <c r="V1310" s="15" t="str">
        <f t="shared" si="132"/>
        <v/>
      </c>
      <c r="W1310" s="10"/>
      <c r="X1310" s="10"/>
      <c r="Y1310" s="10"/>
      <c r="Z1310" s="10"/>
      <c r="AA1310" s="10"/>
      <c r="AB1310" s="10"/>
      <c r="AC1310" s="9"/>
      <c r="AD1310" s="523" t="e">
        <v>#N/A</v>
      </c>
      <c r="AE1310" s="523" t="e">
        <v>#N/A</v>
      </c>
      <c r="AF1310" s="523" t="e">
        <v>#N/A</v>
      </c>
      <c r="AG1310" s="524" t="e">
        <v>#N/A</v>
      </c>
      <c r="AH1310" s="9"/>
      <c r="AI1310" s="10"/>
      <c r="AJ1310" s="9"/>
      <c r="AK1310" s="10"/>
      <c r="AL1310" s="10"/>
    </row>
    <row r="1311" spans="1:38" ht="45" hidden="1">
      <c r="A1311" s="1">
        <f t="shared" si="133"/>
        <v>0</v>
      </c>
      <c r="B1311" s="2" t="s">
        <v>3718</v>
      </c>
      <c r="C1311" s="3" t="s">
        <v>3719</v>
      </c>
      <c r="D1311" s="15" t="s">
        <v>11758</v>
      </c>
      <c r="E1311" s="4" t="s">
        <v>3718</v>
      </c>
      <c r="F1311" s="37" t="s">
        <v>3719</v>
      </c>
      <c r="G1311" s="38">
        <v>285212.86</v>
      </c>
      <c r="H1311" s="38">
        <v>178784.32</v>
      </c>
      <c r="I1311" s="15"/>
      <c r="J1311" s="494">
        <v>20410010104</v>
      </c>
      <c r="L1311" s="523" t="s">
        <v>3708</v>
      </c>
      <c r="M1311" s="523" t="s">
        <v>303</v>
      </c>
      <c r="N1311" s="518" t="s">
        <v>3709</v>
      </c>
      <c r="O1311" s="523">
        <v>2</v>
      </c>
      <c r="P1311" s="523" t="s">
        <v>693</v>
      </c>
      <c r="Q1311" s="523" t="s">
        <v>1225</v>
      </c>
      <c r="R1311" s="523" t="s">
        <v>632</v>
      </c>
      <c r="S1311" s="523" t="s">
        <v>632</v>
      </c>
      <c r="T1311" s="518" t="s">
        <v>3713</v>
      </c>
      <c r="U1311" s="38">
        <v>178784.32</v>
      </c>
      <c r="V1311" s="15" t="str">
        <f t="shared" si="132"/>
        <v/>
      </c>
      <c r="W1311" s="10"/>
      <c r="X1311" s="10"/>
      <c r="Y1311" s="10"/>
      <c r="Z1311" s="10"/>
      <c r="AA1311" s="10"/>
      <c r="AB1311" s="10"/>
      <c r="AC1311" s="9"/>
      <c r="AD1311" s="523" t="e">
        <v>#N/A</v>
      </c>
      <c r="AE1311" s="523" t="e">
        <v>#N/A</v>
      </c>
      <c r="AF1311" s="523" t="e">
        <v>#N/A</v>
      </c>
      <c r="AG1311" s="524" t="e">
        <v>#N/A</v>
      </c>
      <c r="AH1311" s="9"/>
      <c r="AI1311" s="10"/>
      <c r="AJ1311" s="9"/>
      <c r="AK1311" s="10"/>
      <c r="AL1311" s="10"/>
    </row>
    <row r="1312" spans="1:38" ht="45" hidden="1">
      <c r="A1312" s="1">
        <f t="shared" si="133"/>
        <v>0</v>
      </c>
      <c r="B1312" s="2" t="s">
        <v>3720</v>
      </c>
      <c r="C1312" s="3" t="s">
        <v>3721</v>
      </c>
      <c r="D1312" s="15" t="s">
        <v>11758</v>
      </c>
      <c r="E1312" s="4" t="s">
        <v>3720</v>
      </c>
      <c r="F1312" s="37" t="s">
        <v>3721</v>
      </c>
      <c r="G1312" s="38">
        <v>2014888.56</v>
      </c>
      <c r="H1312" s="38">
        <v>2274974.69</v>
      </c>
      <c r="I1312" s="15"/>
      <c r="J1312" s="494">
        <v>20410010105</v>
      </c>
      <c r="L1312" s="523" t="s">
        <v>3708</v>
      </c>
      <c r="M1312" s="523" t="s">
        <v>303</v>
      </c>
      <c r="N1312" s="518" t="s">
        <v>3709</v>
      </c>
      <c r="O1312" s="523">
        <v>2</v>
      </c>
      <c r="P1312" s="523" t="s">
        <v>693</v>
      </c>
      <c r="Q1312" s="523" t="s">
        <v>1225</v>
      </c>
      <c r="R1312" s="523" t="s">
        <v>632</v>
      </c>
      <c r="S1312" s="523" t="s">
        <v>632</v>
      </c>
      <c r="T1312" s="518" t="s">
        <v>3713</v>
      </c>
      <c r="U1312" s="38">
        <v>2274974.69</v>
      </c>
      <c r="V1312" s="15" t="str">
        <f t="shared" si="132"/>
        <v/>
      </c>
      <c r="W1312" s="10"/>
      <c r="X1312" s="10"/>
      <c r="Y1312" s="10"/>
      <c r="Z1312" s="10"/>
      <c r="AA1312" s="10"/>
      <c r="AB1312" s="10"/>
      <c r="AC1312" s="9"/>
      <c r="AD1312" s="523" t="e">
        <v>#N/A</v>
      </c>
      <c r="AE1312" s="523" t="e">
        <v>#N/A</v>
      </c>
      <c r="AF1312" s="523" t="e">
        <v>#N/A</v>
      </c>
      <c r="AG1312" s="524" t="e">
        <v>#N/A</v>
      </c>
      <c r="AH1312" s="9"/>
      <c r="AI1312" s="10"/>
      <c r="AJ1312" s="9"/>
      <c r="AK1312" s="10"/>
      <c r="AL1312" s="10"/>
    </row>
    <row r="1313" spans="1:38" ht="45" hidden="1">
      <c r="A1313" s="1">
        <f t="shared" si="133"/>
        <v>0</v>
      </c>
      <c r="B1313" s="2" t="s">
        <v>3722</v>
      </c>
      <c r="C1313" s="3" t="s">
        <v>3723</v>
      </c>
      <c r="D1313" s="15" t="s">
        <v>11758</v>
      </c>
      <c r="E1313" s="4" t="s">
        <v>3722</v>
      </c>
      <c r="F1313" s="37" t="s">
        <v>3723</v>
      </c>
      <c r="G1313" s="38">
        <v>11495.3</v>
      </c>
      <c r="H1313" s="38">
        <v>17279.45</v>
      </c>
      <c r="I1313" s="15"/>
      <c r="J1313" s="494">
        <v>20410010106</v>
      </c>
      <c r="L1313" s="523" t="s">
        <v>3708</v>
      </c>
      <c r="M1313" s="523" t="s">
        <v>303</v>
      </c>
      <c r="N1313" s="518" t="s">
        <v>3709</v>
      </c>
      <c r="O1313" s="523">
        <v>2</v>
      </c>
      <c r="P1313" s="523" t="s">
        <v>693</v>
      </c>
      <c r="Q1313" s="523" t="s">
        <v>1225</v>
      </c>
      <c r="R1313" s="523" t="s">
        <v>632</v>
      </c>
      <c r="S1313" s="523" t="s">
        <v>632</v>
      </c>
      <c r="T1313" s="518" t="s">
        <v>3713</v>
      </c>
      <c r="U1313" s="38">
        <v>17279.45</v>
      </c>
      <c r="V1313" s="15" t="str">
        <f t="shared" si="132"/>
        <v/>
      </c>
      <c r="W1313" s="10"/>
      <c r="X1313" s="10"/>
      <c r="Y1313" s="10"/>
      <c r="Z1313" s="10"/>
      <c r="AA1313" s="10"/>
      <c r="AB1313" s="10"/>
      <c r="AC1313" s="9"/>
      <c r="AD1313" s="523" t="e">
        <v>#N/A</v>
      </c>
      <c r="AE1313" s="523" t="e">
        <v>#N/A</v>
      </c>
      <c r="AF1313" s="523" t="e">
        <v>#N/A</v>
      </c>
      <c r="AG1313" s="524" t="e">
        <v>#N/A</v>
      </c>
      <c r="AH1313" s="9"/>
      <c r="AI1313" s="10"/>
      <c r="AJ1313" s="9"/>
      <c r="AK1313" s="10"/>
      <c r="AL1313" s="10"/>
    </row>
    <row r="1314" spans="1:38" ht="45" hidden="1">
      <c r="A1314" s="1">
        <f t="shared" si="133"/>
        <v>0</v>
      </c>
      <c r="B1314" s="2" t="s">
        <v>3724</v>
      </c>
      <c r="C1314" s="3" t="s">
        <v>3725</v>
      </c>
      <c r="D1314" s="15" t="s">
        <v>11758</v>
      </c>
      <c r="E1314" s="4" t="s">
        <v>3724</v>
      </c>
      <c r="F1314" s="37" t="s">
        <v>3725</v>
      </c>
      <c r="G1314" s="38">
        <v>50256.93</v>
      </c>
      <c r="H1314" s="38">
        <v>47092.480000000003</v>
      </c>
      <c r="I1314" s="15"/>
      <c r="J1314" s="494">
        <v>20410010107</v>
      </c>
      <c r="L1314" s="523" t="s">
        <v>3708</v>
      </c>
      <c r="M1314" s="523" t="s">
        <v>303</v>
      </c>
      <c r="N1314" s="518" t="s">
        <v>3709</v>
      </c>
      <c r="O1314" s="523">
        <v>2</v>
      </c>
      <c r="P1314" s="523" t="s">
        <v>693</v>
      </c>
      <c r="Q1314" s="523" t="s">
        <v>1225</v>
      </c>
      <c r="R1314" s="523" t="s">
        <v>632</v>
      </c>
      <c r="S1314" s="523" t="s">
        <v>632</v>
      </c>
      <c r="T1314" s="518" t="s">
        <v>3713</v>
      </c>
      <c r="U1314" s="38">
        <v>47092.480000000003</v>
      </c>
      <c r="V1314" s="15" t="str">
        <f t="shared" si="132"/>
        <v/>
      </c>
      <c r="W1314" s="10"/>
      <c r="X1314" s="10"/>
      <c r="Y1314" s="10"/>
      <c r="Z1314" s="10"/>
      <c r="AA1314" s="10"/>
      <c r="AB1314" s="10"/>
      <c r="AC1314" s="9"/>
      <c r="AD1314" s="523" t="e">
        <v>#N/A</v>
      </c>
      <c r="AE1314" s="523" t="e">
        <v>#N/A</v>
      </c>
      <c r="AF1314" s="523" t="e">
        <v>#N/A</v>
      </c>
      <c r="AG1314" s="524" t="e">
        <v>#N/A</v>
      </c>
      <c r="AH1314" s="9"/>
      <c r="AI1314" s="10"/>
      <c r="AJ1314" s="9"/>
      <c r="AK1314" s="10"/>
      <c r="AL1314" s="10"/>
    </row>
    <row r="1315" spans="1:38" ht="45" hidden="1">
      <c r="A1315" s="1">
        <f t="shared" si="133"/>
        <v>0</v>
      </c>
      <c r="B1315" s="2" t="s">
        <v>3726</v>
      </c>
      <c r="C1315" s="3" t="s">
        <v>3727</v>
      </c>
      <c r="D1315" s="15" t="s">
        <v>11759</v>
      </c>
      <c r="E1315" s="4" t="s">
        <v>3726</v>
      </c>
      <c r="F1315" s="37" t="s">
        <v>3727</v>
      </c>
      <c r="G1315" s="38">
        <v>182195.03</v>
      </c>
      <c r="H1315" s="38">
        <v>34203.31</v>
      </c>
      <c r="I1315" s="15"/>
      <c r="J1315" s="494">
        <v>20410010201</v>
      </c>
      <c r="K1315" s="517"/>
      <c r="L1315" s="517" t="s">
        <v>3708</v>
      </c>
      <c r="M1315" s="517" t="s">
        <v>303</v>
      </c>
      <c r="N1315" s="518" t="s">
        <v>3709</v>
      </c>
      <c r="O1315" s="517">
        <v>2</v>
      </c>
      <c r="P1315" s="517" t="s">
        <v>693</v>
      </c>
      <c r="Q1315" s="517" t="s">
        <v>1225</v>
      </c>
      <c r="R1315" s="517" t="s">
        <v>632</v>
      </c>
      <c r="S1315" s="517" t="s">
        <v>647</v>
      </c>
      <c r="T1315" s="518" t="s">
        <v>3728</v>
      </c>
      <c r="U1315" s="38">
        <v>34203.31</v>
      </c>
      <c r="V1315" s="15" t="str">
        <f t="shared" si="132"/>
        <v>204100102</v>
      </c>
      <c r="W1315" s="39">
        <v>2</v>
      </c>
      <c r="X1315" s="50" t="s">
        <v>693</v>
      </c>
      <c r="Y1315" s="40" t="s">
        <v>1225</v>
      </c>
      <c r="Z1315" s="40" t="s">
        <v>632</v>
      </c>
      <c r="AA1315" s="40" t="s">
        <v>647</v>
      </c>
      <c r="AB1315" s="42" t="s">
        <v>3728</v>
      </c>
      <c r="AC1315" s="519">
        <f>SUM(H1315:H1316)</f>
        <v>34203.31</v>
      </c>
      <c r="AD1315" s="517">
        <v>0</v>
      </c>
      <c r="AE1315" s="517" t="s">
        <v>3708</v>
      </c>
      <c r="AF1315" s="517" t="s">
        <v>303</v>
      </c>
      <c r="AG1315" s="518" t="s">
        <v>3709</v>
      </c>
      <c r="AH1315" s="67">
        <f>AC1315</f>
        <v>34203.31</v>
      </c>
      <c r="AI1315" s="10"/>
      <c r="AJ1315" s="9">
        <f t="shared" ref="AJ1315:AJ1331" si="134">AH1315-H1315</f>
        <v>0</v>
      </c>
      <c r="AK1315" s="10"/>
      <c r="AL1315" s="10"/>
    </row>
    <row r="1316" spans="1:38" ht="45" hidden="1">
      <c r="A1316" s="1">
        <f t="shared" si="133"/>
        <v>0</v>
      </c>
      <c r="B1316" s="2" t="s">
        <v>3729</v>
      </c>
      <c r="C1316" s="3" t="s">
        <v>3730</v>
      </c>
      <c r="D1316" s="15" t="s">
        <v>11759</v>
      </c>
      <c r="E1316" s="4" t="s">
        <v>3729</v>
      </c>
      <c r="F1316" s="37" t="s">
        <v>3730</v>
      </c>
      <c r="G1316" s="38">
        <v>0</v>
      </c>
      <c r="H1316" s="38">
        <v>0</v>
      </c>
      <c r="I1316" s="15"/>
      <c r="J1316" s="494">
        <v>20410010202</v>
      </c>
      <c r="L1316" s="523" t="s">
        <v>3708</v>
      </c>
      <c r="M1316" s="523" t="s">
        <v>303</v>
      </c>
      <c r="N1316" s="518" t="s">
        <v>3709</v>
      </c>
      <c r="O1316" s="523">
        <v>2</v>
      </c>
      <c r="P1316" s="523" t="s">
        <v>693</v>
      </c>
      <c r="Q1316" s="523" t="s">
        <v>1225</v>
      </c>
      <c r="R1316" s="523" t="s">
        <v>632</v>
      </c>
      <c r="S1316" s="523" t="s">
        <v>647</v>
      </c>
      <c r="T1316" s="518" t="s">
        <v>3728</v>
      </c>
      <c r="U1316" s="38">
        <v>0</v>
      </c>
      <c r="V1316" s="15" t="str">
        <f t="shared" si="132"/>
        <v/>
      </c>
      <c r="W1316" s="10"/>
      <c r="X1316" s="10"/>
      <c r="Y1316" s="10"/>
      <c r="Z1316" s="10"/>
      <c r="AA1316" s="10"/>
      <c r="AB1316" s="10"/>
      <c r="AC1316" s="9"/>
      <c r="AD1316" s="523" t="e">
        <v>#N/A</v>
      </c>
      <c r="AE1316" s="523" t="e">
        <v>#N/A</v>
      </c>
      <c r="AF1316" s="523" t="e">
        <v>#N/A</v>
      </c>
      <c r="AG1316" s="524" t="e">
        <v>#N/A</v>
      </c>
      <c r="AH1316" s="9"/>
      <c r="AI1316" s="10"/>
      <c r="AJ1316" s="9">
        <f t="shared" si="134"/>
        <v>0</v>
      </c>
      <c r="AK1316" s="10"/>
      <c r="AL1316" s="10"/>
    </row>
    <row r="1317" spans="1:38" ht="45" hidden="1">
      <c r="A1317" s="1">
        <f t="shared" si="133"/>
        <v>0</v>
      </c>
      <c r="B1317" s="2" t="s">
        <v>3731</v>
      </c>
      <c r="C1317" s="3" t="s">
        <v>3732</v>
      </c>
      <c r="D1317" s="15" t="s">
        <v>11760</v>
      </c>
      <c r="E1317" s="4" t="s">
        <v>3731</v>
      </c>
      <c r="F1317" s="37" t="s">
        <v>3732</v>
      </c>
      <c r="G1317" s="38">
        <v>0</v>
      </c>
      <c r="H1317" s="38">
        <v>0</v>
      </c>
      <c r="I1317" s="15"/>
      <c r="J1317" s="494">
        <v>20410010301</v>
      </c>
      <c r="K1317" s="517"/>
      <c r="L1317" s="517" t="s">
        <v>3708</v>
      </c>
      <c r="M1317" s="517" t="s">
        <v>303</v>
      </c>
      <c r="N1317" s="518" t="s">
        <v>3709</v>
      </c>
      <c r="O1317" s="517">
        <v>2</v>
      </c>
      <c r="P1317" s="517" t="s">
        <v>693</v>
      </c>
      <c r="Q1317" s="517" t="s">
        <v>1225</v>
      </c>
      <c r="R1317" s="517" t="s">
        <v>632</v>
      </c>
      <c r="S1317" s="517" t="s">
        <v>671</v>
      </c>
      <c r="T1317" s="518" t="s">
        <v>3733</v>
      </c>
      <c r="U1317" s="38">
        <v>0</v>
      </c>
      <c r="V1317" s="15" t="str">
        <f t="shared" si="132"/>
        <v>204100103</v>
      </c>
      <c r="W1317" s="39">
        <v>2</v>
      </c>
      <c r="X1317" s="50" t="s">
        <v>693</v>
      </c>
      <c r="Y1317" s="40" t="s">
        <v>1225</v>
      </c>
      <c r="Z1317" s="40" t="s">
        <v>632</v>
      </c>
      <c r="AA1317" s="40" t="s">
        <v>671</v>
      </c>
      <c r="AB1317" s="42" t="s">
        <v>3733</v>
      </c>
      <c r="AC1317" s="519">
        <f t="shared" ref="AC1317:AC1322" si="135">H1317</f>
        <v>0</v>
      </c>
      <c r="AD1317" s="517">
        <v>0</v>
      </c>
      <c r="AE1317" s="517" t="s">
        <v>3708</v>
      </c>
      <c r="AF1317" s="517" t="s">
        <v>303</v>
      </c>
      <c r="AG1317" s="518" t="s">
        <v>3709</v>
      </c>
      <c r="AH1317" s="67">
        <f t="shared" ref="AH1317:AH1322" si="136">AC1317</f>
        <v>0</v>
      </c>
      <c r="AI1317" s="10"/>
      <c r="AJ1317" s="9">
        <f t="shared" si="134"/>
        <v>0</v>
      </c>
      <c r="AK1317" s="10"/>
      <c r="AL1317" s="10"/>
    </row>
    <row r="1318" spans="1:38" ht="45" hidden="1">
      <c r="A1318" s="1">
        <f t="shared" si="133"/>
        <v>0</v>
      </c>
      <c r="B1318" s="2" t="s">
        <v>3734</v>
      </c>
      <c r="C1318" s="3" t="s">
        <v>3735</v>
      </c>
      <c r="D1318" s="15" t="s">
        <v>11761</v>
      </c>
      <c r="E1318" s="4" t="s">
        <v>3734</v>
      </c>
      <c r="F1318" s="37" t="s">
        <v>3735</v>
      </c>
      <c r="G1318" s="61">
        <v>1081298.96</v>
      </c>
      <c r="H1318" s="38">
        <v>695539.43</v>
      </c>
      <c r="I1318" s="15"/>
      <c r="J1318" s="494">
        <v>20410010401</v>
      </c>
      <c r="K1318" s="517"/>
      <c r="L1318" s="517" t="s">
        <v>3708</v>
      </c>
      <c r="M1318" s="517" t="s">
        <v>303</v>
      </c>
      <c r="N1318" s="518" t="s">
        <v>3709</v>
      </c>
      <c r="O1318" s="517">
        <v>2</v>
      </c>
      <c r="P1318" s="517" t="s">
        <v>693</v>
      </c>
      <c r="Q1318" s="517" t="s">
        <v>1225</v>
      </c>
      <c r="R1318" s="517" t="s">
        <v>632</v>
      </c>
      <c r="S1318" s="517" t="s">
        <v>693</v>
      </c>
      <c r="T1318" s="518" t="s">
        <v>3736</v>
      </c>
      <c r="U1318" s="38">
        <v>695539.43</v>
      </c>
      <c r="V1318" s="15" t="str">
        <f t="shared" si="132"/>
        <v>204100104</v>
      </c>
      <c r="W1318" s="39">
        <v>2</v>
      </c>
      <c r="X1318" s="50" t="s">
        <v>693</v>
      </c>
      <c r="Y1318" s="40" t="s">
        <v>1225</v>
      </c>
      <c r="Z1318" s="40" t="s">
        <v>632</v>
      </c>
      <c r="AA1318" s="40" t="s">
        <v>693</v>
      </c>
      <c r="AB1318" s="42" t="s">
        <v>3736</v>
      </c>
      <c r="AC1318" s="519">
        <f t="shared" si="135"/>
        <v>695539.43</v>
      </c>
      <c r="AD1318" s="517">
        <v>0</v>
      </c>
      <c r="AE1318" s="517" t="s">
        <v>3708</v>
      </c>
      <c r="AF1318" s="517" t="s">
        <v>303</v>
      </c>
      <c r="AG1318" s="518" t="s">
        <v>3709</v>
      </c>
      <c r="AH1318" s="67">
        <f t="shared" si="136"/>
        <v>695539.43</v>
      </c>
      <c r="AI1318" s="10"/>
      <c r="AJ1318" s="9">
        <f t="shared" si="134"/>
        <v>0</v>
      </c>
      <c r="AK1318" s="10"/>
      <c r="AL1318" s="10"/>
    </row>
    <row r="1319" spans="1:38" ht="45" hidden="1">
      <c r="A1319" s="1">
        <f t="shared" si="133"/>
        <v>0</v>
      </c>
      <c r="B1319" s="2" t="s">
        <v>3737</v>
      </c>
      <c r="C1319" s="3" t="s">
        <v>3738</v>
      </c>
      <c r="D1319" s="15" t="s">
        <v>11762</v>
      </c>
      <c r="E1319" s="4" t="s">
        <v>3737</v>
      </c>
      <c r="F1319" s="37" t="s">
        <v>3738</v>
      </c>
      <c r="G1319" s="38">
        <v>0</v>
      </c>
      <c r="H1319" s="38">
        <v>0</v>
      </c>
      <c r="I1319" s="15"/>
      <c r="J1319" s="494">
        <v>20410010501</v>
      </c>
      <c r="K1319" s="517"/>
      <c r="L1319" s="517" t="s">
        <v>3708</v>
      </c>
      <c r="M1319" s="517" t="s">
        <v>303</v>
      </c>
      <c r="N1319" s="518" t="s">
        <v>3709</v>
      </c>
      <c r="O1319" s="517">
        <v>2</v>
      </c>
      <c r="P1319" s="517" t="s">
        <v>693</v>
      </c>
      <c r="Q1319" s="517" t="s">
        <v>1225</v>
      </c>
      <c r="R1319" s="517" t="s">
        <v>632</v>
      </c>
      <c r="S1319" s="517" t="s">
        <v>714</v>
      </c>
      <c r="T1319" s="518" t="s">
        <v>3739</v>
      </c>
      <c r="U1319" s="38">
        <v>0</v>
      </c>
      <c r="V1319" s="15" t="str">
        <f t="shared" si="132"/>
        <v>204100105</v>
      </c>
      <c r="W1319" s="39">
        <v>2</v>
      </c>
      <c r="X1319" s="50" t="s">
        <v>693</v>
      </c>
      <c r="Y1319" s="40" t="s">
        <v>1225</v>
      </c>
      <c r="Z1319" s="40" t="s">
        <v>632</v>
      </c>
      <c r="AA1319" s="40" t="s">
        <v>714</v>
      </c>
      <c r="AB1319" s="42" t="s">
        <v>3739</v>
      </c>
      <c r="AC1319" s="519">
        <f t="shared" si="135"/>
        <v>0</v>
      </c>
      <c r="AD1319" s="517">
        <v>0</v>
      </c>
      <c r="AE1319" s="517" t="s">
        <v>3708</v>
      </c>
      <c r="AF1319" s="517" t="s">
        <v>303</v>
      </c>
      <c r="AG1319" s="518" t="s">
        <v>3709</v>
      </c>
      <c r="AH1319" s="67">
        <f t="shared" si="136"/>
        <v>0</v>
      </c>
      <c r="AI1319" s="10"/>
      <c r="AJ1319" s="9">
        <f t="shared" si="134"/>
        <v>0</v>
      </c>
      <c r="AK1319" s="10"/>
      <c r="AL1319" s="10"/>
    </row>
    <row r="1320" spans="1:38" ht="45" hidden="1">
      <c r="A1320" s="1">
        <f t="shared" si="133"/>
        <v>0</v>
      </c>
      <c r="B1320" s="2" t="s">
        <v>3740</v>
      </c>
      <c r="C1320" s="3" t="s">
        <v>3741</v>
      </c>
      <c r="D1320" s="15" t="s">
        <v>11763</v>
      </c>
      <c r="E1320" s="4" t="s">
        <v>3740</v>
      </c>
      <c r="F1320" s="37" t="s">
        <v>3741</v>
      </c>
      <c r="G1320" s="38">
        <v>44232.56</v>
      </c>
      <c r="H1320" s="38">
        <v>91707.26</v>
      </c>
      <c r="I1320" s="15"/>
      <c r="J1320" s="494">
        <v>20410010601</v>
      </c>
      <c r="K1320" s="517"/>
      <c r="L1320" s="517" t="s">
        <v>3708</v>
      </c>
      <c r="M1320" s="517" t="s">
        <v>303</v>
      </c>
      <c r="N1320" s="518" t="s">
        <v>3709</v>
      </c>
      <c r="O1320" s="517">
        <v>2</v>
      </c>
      <c r="P1320" s="517" t="s">
        <v>693</v>
      </c>
      <c r="Q1320" s="517" t="s">
        <v>1225</v>
      </c>
      <c r="R1320" s="517" t="s">
        <v>632</v>
      </c>
      <c r="S1320" s="517" t="s">
        <v>739</v>
      </c>
      <c r="T1320" s="518" t="s">
        <v>3742</v>
      </c>
      <c r="U1320" s="38">
        <v>91707.26</v>
      </c>
      <c r="V1320" s="15" t="str">
        <f t="shared" si="132"/>
        <v>204100106</v>
      </c>
      <c r="W1320" s="39">
        <v>2</v>
      </c>
      <c r="X1320" s="50" t="s">
        <v>693</v>
      </c>
      <c r="Y1320" s="40" t="s">
        <v>1225</v>
      </c>
      <c r="Z1320" s="40" t="s">
        <v>632</v>
      </c>
      <c r="AA1320" s="40" t="s">
        <v>739</v>
      </c>
      <c r="AB1320" s="42" t="s">
        <v>3742</v>
      </c>
      <c r="AC1320" s="519">
        <f t="shared" si="135"/>
        <v>91707.26</v>
      </c>
      <c r="AD1320" s="517">
        <v>0</v>
      </c>
      <c r="AE1320" s="517" t="s">
        <v>3708</v>
      </c>
      <c r="AF1320" s="517" t="s">
        <v>303</v>
      </c>
      <c r="AG1320" s="518" t="s">
        <v>3709</v>
      </c>
      <c r="AH1320" s="67">
        <f t="shared" si="136"/>
        <v>91707.26</v>
      </c>
      <c r="AI1320" s="10"/>
      <c r="AJ1320" s="9">
        <f t="shared" si="134"/>
        <v>0</v>
      </c>
      <c r="AK1320" s="10"/>
      <c r="AL1320" s="10"/>
    </row>
    <row r="1321" spans="1:38" ht="45" hidden="1">
      <c r="A1321" s="1">
        <f t="shared" si="133"/>
        <v>0</v>
      </c>
      <c r="B1321" s="2" t="s">
        <v>3743</v>
      </c>
      <c r="C1321" s="3" t="s">
        <v>3725</v>
      </c>
      <c r="D1321" s="15" t="s">
        <v>11764</v>
      </c>
      <c r="E1321" s="4" t="s">
        <v>3743</v>
      </c>
      <c r="F1321" s="37" t="s">
        <v>3725</v>
      </c>
      <c r="G1321" s="47">
        <v>0</v>
      </c>
      <c r="H1321" s="38">
        <v>0</v>
      </c>
      <c r="I1321" s="15"/>
      <c r="J1321" s="494">
        <v>20410010701</v>
      </c>
      <c r="K1321" s="517"/>
      <c r="L1321" s="517" t="s">
        <v>3708</v>
      </c>
      <c r="M1321" s="517" t="s">
        <v>303</v>
      </c>
      <c r="N1321" s="518" t="s">
        <v>3709</v>
      </c>
      <c r="O1321" s="517">
        <v>2</v>
      </c>
      <c r="P1321" s="517" t="s">
        <v>693</v>
      </c>
      <c r="Q1321" s="517" t="s">
        <v>1225</v>
      </c>
      <c r="R1321" s="517" t="s">
        <v>632</v>
      </c>
      <c r="S1321" s="517" t="s">
        <v>630</v>
      </c>
      <c r="T1321" s="518" t="s">
        <v>3710</v>
      </c>
      <c r="U1321" s="38">
        <v>0</v>
      </c>
      <c r="V1321" s="15" t="str">
        <f t="shared" si="132"/>
        <v/>
      </c>
      <c r="W1321" s="39"/>
      <c r="X1321" s="50"/>
      <c r="Y1321" s="40"/>
      <c r="Z1321" s="40"/>
      <c r="AA1321" s="40"/>
      <c r="AB1321" s="42"/>
      <c r="AC1321" s="519">
        <f t="shared" si="135"/>
        <v>0</v>
      </c>
      <c r="AD1321" s="517" t="e">
        <v>#N/A</v>
      </c>
      <c r="AE1321" s="517" t="e">
        <v>#N/A</v>
      </c>
      <c r="AF1321" s="517" t="e">
        <v>#N/A</v>
      </c>
      <c r="AG1321" s="518" t="e">
        <v>#N/A</v>
      </c>
      <c r="AH1321" s="67">
        <f t="shared" si="136"/>
        <v>0</v>
      </c>
      <c r="AI1321" s="10"/>
      <c r="AJ1321" s="9">
        <f t="shared" si="134"/>
        <v>0</v>
      </c>
      <c r="AK1321" s="10"/>
      <c r="AL1321" s="10"/>
    </row>
    <row r="1322" spans="1:38" ht="45" hidden="1">
      <c r="A1322" s="1">
        <f t="shared" si="133"/>
        <v>0</v>
      </c>
      <c r="B1322" s="2" t="s">
        <v>3744</v>
      </c>
      <c r="C1322" s="3" t="s">
        <v>3745</v>
      </c>
      <c r="D1322" s="15" t="s">
        <v>11765</v>
      </c>
      <c r="E1322" s="4" t="s">
        <v>3744</v>
      </c>
      <c r="F1322" s="37" t="s">
        <v>3745</v>
      </c>
      <c r="G1322" s="38">
        <v>17466.47</v>
      </c>
      <c r="H1322" s="38">
        <v>-17512.849999999999</v>
      </c>
      <c r="I1322" s="15"/>
      <c r="J1322" s="494">
        <v>20410019901</v>
      </c>
      <c r="K1322" s="517"/>
      <c r="L1322" s="517" t="s">
        <v>3708</v>
      </c>
      <c r="M1322" s="517" t="s">
        <v>303</v>
      </c>
      <c r="N1322" s="518" t="s">
        <v>3709</v>
      </c>
      <c r="O1322" s="517">
        <v>2</v>
      </c>
      <c r="P1322" s="517" t="s">
        <v>693</v>
      </c>
      <c r="Q1322" s="517" t="s">
        <v>1225</v>
      </c>
      <c r="R1322" s="517" t="s">
        <v>632</v>
      </c>
      <c r="S1322" s="517" t="s">
        <v>1124</v>
      </c>
      <c r="T1322" s="518" t="s">
        <v>3746</v>
      </c>
      <c r="U1322" s="38">
        <v>-17512.849999999999</v>
      </c>
      <c r="V1322" s="15" t="str">
        <f t="shared" si="132"/>
        <v>204100199</v>
      </c>
      <c r="W1322" s="39">
        <v>2</v>
      </c>
      <c r="X1322" s="50" t="s">
        <v>693</v>
      </c>
      <c r="Y1322" s="40" t="s">
        <v>1225</v>
      </c>
      <c r="Z1322" s="40" t="s">
        <v>632</v>
      </c>
      <c r="AA1322" s="40" t="s">
        <v>1124</v>
      </c>
      <c r="AB1322" s="42" t="s">
        <v>3746</v>
      </c>
      <c r="AC1322" s="519">
        <f t="shared" si="135"/>
        <v>-17512.849999999999</v>
      </c>
      <c r="AD1322" s="517">
        <v>0</v>
      </c>
      <c r="AE1322" s="517" t="s">
        <v>3708</v>
      </c>
      <c r="AF1322" s="517" t="s">
        <v>303</v>
      </c>
      <c r="AG1322" s="518" t="s">
        <v>3709</v>
      </c>
      <c r="AH1322" s="67">
        <f t="shared" si="136"/>
        <v>-17512.849999999999</v>
      </c>
      <c r="AI1322" s="10"/>
      <c r="AJ1322" s="9">
        <f t="shared" si="134"/>
        <v>0</v>
      </c>
      <c r="AK1322" s="10"/>
      <c r="AL1322" s="10"/>
    </row>
    <row r="1323" spans="1:38" hidden="1">
      <c r="A1323" s="1">
        <f t="shared" si="133"/>
        <v>0</v>
      </c>
      <c r="C1323" s="3" t="s">
        <v>3747</v>
      </c>
      <c r="D1323" s="15" t="s">
        <v>16</v>
      </c>
      <c r="E1323" s="24"/>
      <c r="F1323" s="25" t="s">
        <v>3747</v>
      </c>
      <c r="G1323" s="26">
        <f>G1324+G1326+G1378+G1660+G1662</f>
        <v>25495425.580000002</v>
      </c>
      <c r="H1323" s="26">
        <f>H1324+H1326+H1378+H1660+H1662</f>
        <v>18893004.829999998</v>
      </c>
      <c r="I1323" s="15"/>
      <c r="J1323" s="494"/>
      <c r="K1323" s="509"/>
      <c r="L1323" s="509"/>
      <c r="M1323" s="509"/>
      <c r="N1323" s="510"/>
      <c r="O1323" s="509"/>
      <c r="P1323" s="509"/>
      <c r="Q1323" s="509"/>
      <c r="R1323" s="509"/>
      <c r="S1323" s="509"/>
      <c r="T1323" s="510"/>
      <c r="U1323" s="26">
        <f>U1324+U1326+U1378+U1660+U1662</f>
        <v>18893004.829999998</v>
      </c>
      <c r="V1323" s="15" t="str">
        <f t="shared" si="132"/>
        <v>204110000</v>
      </c>
      <c r="W1323" s="27">
        <v>2</v>
      </c>
      <c r="X1323" s="28" t="s">
        <v>693</v>
      </c>
      <c r="Y1323" s="28" t="s">
        <v>1229</v>
      </c>
      <c r="Z1323" s="28" t="s">
        <v>630</v>
      </c>
      <c r="AA1323" s="28" t="s">
        <v>630</v>
      </c>
      <c r="AB1323" s="25" t="s">
        <v>3747</v>
      </c>
      <c r="AC1323" s="530">
        <f>AC1324+AC1326+AC1378+AC1660+AC1662</f>
        <v>18893004.829999998</v>
      </c>
      <c r="AD1323" s="509">
        <v>0</v>
      </c>
      <c r="AE1323" s="509" t="s">
        <v>13585</v>
      </c>
      <c r="AF1323" s="509" t="s">
        <v>616</v>
      </c>
      <c r="AG1323" s="510" t="s">
        <v>13586</v>
      </c>
      <c r="AH1323" s="53">
        <f>AH1324+AH1326+AH1378+AH1660+AH1662</f>
        <v>18893004.829999998</v>
      </c>
      <c r="AI1323" s="10"/>
      <c r="AJ1323" s="9">
        <f t="shared" si="134"/>
        <v>0</v>
      </c>
      <c r="AK1323" s="10"/>
      <c r="AL1323" s="10"/>
    </row>
    <row r="1324" spans="1:38" ht="22.5" hidden="1">
      <c r="A1324" s="1">
        <f t="shared" si="133"/>
        <v>0</v>
      </c>
      <c r="C1324" s="3" t="s">
        <v>3748</v>
      </c>
      <c r="D1324" s="15" t="s">
        <v>16</v>
      </c>
      <c r="E1324" s="30"/>
      <c r="F1324" s="91" t="s">
        <v>3749</v>
      </c>
      <c r="G1324" s="92">
        <f>G1325</f>
        <v>0</v>
      </c>
      <c r="H1324" s="92">
        <f>H1325</f>
        <v>0</v>
      </c>
      <c r="I1324" s="15"/>
      <c r="J1324" s="494"/>
      <c r="K1324" s="513"/>
      <c r="L1324" s="513"/>
      <c r="M1324" s="513"/>
      <c r="N1324" s="514"/>
      <c r="O1324" s="513"/>
      <c r="P1324" s="513"/>
      <c r="Q1324" s="513"/>
      <c r="R1324" s="513"/>
      <c r="S1324" s="513"/>
      <c r="T1324" s="514"/>
      <c r="U1324" s="92">
        <f>U1325</f>
        <v>0</v>
      </c>
      <c r="V1324" s="15" t="str">
        <f t="shared" si="132"/>
        <v>204110100</v>
      </c>
      <c r="W1324" s="33">
        <v>2</v>
      </c>
      <c r="X1324" s="34" t="s">
        <v>693</v>
      </c>
      <c r="Y1324" s="34" t="s">
        <v>1229</v>
      </c>
      <c r="Z1324" s="34" t="s">
        <v>632</v>
      </c>
      <c r="AA1324" s="35" t="s">
        <v>630</v>
      </c>
      <c r="AB1324" s="31" t="s">
        <v>3749</v>
      </c>
      <c r="AC1324" s="529">
        <v>0</v>
      </c>
      <c r="AD1324" s="513">
        <v>0</v>
      </c>
      <c r="AE1324" s="513" t="s">
        <v>3750</v>
      </c>
      <c r="AF1324" s="513" t="s">
        <v>279</v>
      </c>
      <c r="AG1324" s="514" t="s">
        <v>3751</v>
      </c>
      <c r="AH1324" s="44">
        <v>0</v>
      </c>
      <c r="AI1324" s="10"/>
      <c r="AJ1324" s="9">
        <f t="shared" si="134"/>
        <v>0</v>
      </c>
      <c r="AK1324" s="10"/>
      <c r="AL1324" s="10"/>
    </row>
    <row r="1325" spans="1:38" s="99" customFormat="1" ht="22.5" hidden="1">
      <c r="A1325" s="1">
        <f t="shared" si="133"/>
        <v>0</v>
      </c>
      <c r="B1325" s="2" t="s">
        <v>3752</v>
      </c>
      <c r="C1325" s="3" t="s">
        <v>3748</v>
      </c>
      <c r="D1325" s="15" t="s">
        <v>11766</v>
      </c>
      <c r="E1325" s="63" t="s">
        <v>3752</v>
      </c>
      <c r="F1325" s="93" t="s">
        <v>3748</v>
      </c>
      <c r="G1325" s="38">
        <v>0</v>
      </c>
      <c r="H1325" s="38">
        <v>0</v>
      </c>
      <c r="I1325" s="15"/>
      <c r="J1325" s="494">
        <v>20411010101</v>
      </c>
      <c r="K1325" s="616"/>
      <c r="L1325" s="616" t="s">
        <v>3750</v>
      </c>
      <c r="M1325" s="616" t="s">
        <v>279</v>
      </c>
      <c r="N1325" s="617" t="s">
        <v>3751</v>
      </c>
      <c r="O1325" s="616">
        <v>2</v>
      </c>
      <c r="P1325" s="616" t="s">
        <v>693</v>
      </c>
      <c r="Q1325" s="616" t="s">
        <v>1229</v>
      </c>
      <c r="R1325" s="616" t="s">
        <v>632</v>
      </c>
      <c r="S1325" s="616" t="s">
        <v>630</v>
      </c>
      <c r="T1325" s="617" t="s">
        <v>3749</v>
      </c>
      <c r="U1325" s="38">
        <v>0</v>
      </c>
      <c r="V1325" s="15" t="str">
        <f t="shared" si="132"/>
        <v>204110101</v>
      </c>
      <c r="W1325" s="94">
        <v>2</v>
      </c>
      <c r="X1325" s="95" t="s">
        <v>693</v>
      </c>
      <c r="Y1325" s="95" t="s">
        <v>1229</v>
      </c>
      <c r="Z1325" s="95" t="s">
        <v>632</v>
      </c>
      <c r="AA1325" s="35" t="s">
        <v>632</v>
      </c>
      <c r="AB1325" s="96" t="s">
        <v>3749</v>
      </c>
      <c r="AC1325" s="618">
        <f>H1325</f>
        <v>0</v>
      </c>
      <c r="AD1325" s="616" t="e">
        <v>#N/A</v>
      </c>
      <c r="AE1325" s="616" t="e">
        <v>#N/A</v>
      </c>
      <c r="AF1325" s="616" t="e">
        <v>#N/A</v>
      </c>
      <c r="AG1325" s="617" t="e">
        <v>#N/A</v>
      </c>
      <c r="AH1325" s="97"/>
      <c r="AI1325" s="10"/>
      <c r="AJ1325" s="9">
        <f t="shared" si="134"/>
        <v>0</v>
      </c>
      <c r="AK1325" s="98"/>
      <c r="AL1325" s="98"/>
    </row>
    <row r="1326" spans="1:38" s="102" customFormat="1" ht="33.75" hidden="1">
      <c r="A1326" s="1">
        <f t="shared" si="133"/>
        <v>0</v>
      </c>
      <c r="B1326" s="2"/>
      <c r="C1326" s="3" t="s">
        <v>3753</v>
      </c>
      <c r="D1326" s="15" t="s">
        <v>16</v>
      </c>
      <c r="E1326" s="36"/>
      <c r="F1326" s="100" t="s">
        <v>3754</v>
      </c>
      <c r="G1326" s="49">
        <f>SUM(G1327:G1373)</f>
        <v>12288005.660000002</v>
      </c>
      <c r="H1326" s="49">
        <f>SUM(H1327:H1373)</f>
        <v>12636475.369999999</v>
      </c>
      <c r="I1326" s="15"/>
      <c r="J1326" s="494"/>
      <c r="K1326" s="513"/>
      <c r="L1326" s="513"/>
      <c r="M1326" s="513"/>
      <c r="N1326" s="514"/>
      <c r="O1326" s="513"/>
      <c r="P1326" s="513"/>
      <c r="Q1326" s="513"/>
      <c r="R1326" s="513"/>
      <c r="S1326" s="513"/>
      <c r="T1326" s="514"/>
      <c r="U1326" s="49">
        <f>SUM(U1327:U1377)</f>
        <v>12636475.369999999</v>
      </c>
      <c r="V1326" s="15" t="str">
        <f t="shared" si="132"/>
        <v>204110200</v>
      </c>
      <c r="W1326" s="33">
        <v>2</v>
      </c>
      <c r="X1326" s="34" t="s">
        <v>693</v>
      </c>
      <c r="Y1326" s="34" t="s">
        <v>1229</v>
      </c>
      <c r="Z1326" s="34" t="s">
        <v>647</v>
      </c>
      <c r="AA1326" s="34" t="s">
        <v>630</v>
      </c>
      <c r="AB1326" s="31" t="s">
        <v>3754</v>
      </c>
      <c r="AC1326" s="529">
        <f>SUM(AC1327:AC1373)</f>
        <v>12636475.370000001</v>
      </c>
      <c r="AD1326" s="513">
        <v>0</v>
      </c>
      <c r="AE1326" s="513" t="s">
        <v>3755</v>
      </c>
      <c r="AF1326" s="513" t="s">
        <v>607</v>
      </c>
      <c r="AG1326" s="514" t="s">
        <v>3756</v>
      </c>
      <c r="AH1326" s="44">
        <f>SUM(AH1327:AH1373)</f>
        <v>12636475.370000001</v>
      </c>
      <c r="AI1326" s="10"/>
      <c r="AJ1326" s="9">
        <f t="shared" si="134"/>
        <v>0</v>
      </c>
      <c r="AK1326" s="101"/>
      <c r="AL1326" s="101"/>
    </row>
    <row r="1327" spans="1:38" ht="45" hidden="1">
      <c r="A1327" s="1">
        <f t="shared" si="133"/>
        <v>0</v>
      </c>
      <c r="B1327" s="2" t="s">
        <v>3757</v>
      </c>
      <c r="C1327" s="3" t="s">
        <v>3758</v>
      </c>
      <c r="D1327" s="15" t="s">
        <v>11767</v>
      </c>
      <c r="E1327" s="4" t="s">
        <v>3757</v>
      </c>
      <c r="F1327" s="37" t="s">
        <v>3758</v>
      </c>
      <c r="G1327" s="38">
        <v>3266051.12</v>
      </c>
      <c r="H1327" s="38">
        <v>3642750.36</v>
      </c>
      <c r="I1327" s="15"/>
      <c r="J1327" s="494">
        <v>20411020101</v>
      </c>
      <c r="K1327" s="517"/>
      <c r="L1327" s="517" t="s">
        <v>3755</v>
      </c>
      <c r="M1327" s="517" t="s">
        <v>607</v>
      </c>
      <c r="N1327" s="518" t="s">
        <v>3756</v>
      </c>
      <c r="O1327" s="517">
        <v>2</v>
      </c>
      <c r="P1327" s="517" t="s">
        <v>693</v>
      </c>
      <c r="Q1327" s="517" t="s">
        <v>1229</v>
      </c>
      <c r="R1327" s="517" t="s">
        <v>647</v>
      </c>
      <c r="S1327" s="517" t="s">
        <v>632</v>
      </c>
      <c r="T1327" s="518" t="s">
        <v>3759</v>
      </c>
      <c r="U1327" s="38">
        <v>3642750.36</v>
      </c>
      <c r="V1327" s="15" t="str">
        <f t="shared" si="132"/>
        <v>204110201</v>
      </c>
      <c r="W1327" s="39">
        <v>2</v>
      </c>
      <c r="X1327" s="50" t="s">
        <v>693</v>
      </c>
      <c r="Y1327" s="40" t="s">
        <v>1229</v>
      </c>
      <c r="Z1327" s="40" t="s">
        <v>647</v>
      </c>
      <c r="AA1327" s="40" t="s">
        <v>632</v>
      </c>
      <c r="AB1327" s="42" t="s">
        <v>3759</v>
      </c>
      <c r="AC1327" s="519">
        <f>H1327</f>
        <v>3642750.36</v>
      </c>
      <c r="AD1327" s="517">
        <v>0</v>
      </c>
      <c r="AE1327" s="517" t="s">
        <v>3755</v>
      </c>
      <c r="AF1327" s="517" t="s">
        <v>607</v>
      </c>
      <c r="AG1327" s="518" t="s">
        <v>3756</v>
      </c>
      <c r="AH1327" s="67">
        <f t="shared" ref="AH1327:AH1332" si="137">SUM(AC1327)</f>
        <v>3642750.36</v>
      </c>
      <c r="AI1327" s="10"/>
      <c r="AJ1327" s="9">
        <f t="shared" si="134"/>
        <v>0</v>
      </c>
      <c r="AK1327" s="10"/>
      <c r="AL1327" s="10"/>
    </row>
    <row r="1328" spans="1:38" ht="45" hidden="1">
      <c r="A1328" s="1">
        <f t="shared" si="133"/>
        <v>0</v>
      </c>
      <c r="B1328" s="2" t="s">
        <v>3760</v>
      </c>
      <c r="C1328" s="3" t="s">
        <v>3761</v>
      </c>
      <c r="D1328" s="15" t="s">
        <v>11768</v>
      </c>
      <c r="E1328" s="4" t="s">
        <v>3760</v>
      </c>
      <c r="F1328" s="37" t="s">
        <v>3762</v>
      </c>
      <c r="G1328" s="38">
        <v>42819.81</v>
      </c>
      <c r="H1328" s="38">
        <v>3009064.44</v>
      </c>
      <c r="I1328" s="15"/>
      <c r="J1328" s="494">
        <v>20411020201</v>
      </c>
      <c r="K1328" s="517"/>
      <c r="L1328" s="517" t="s">
        <v>3755</v>
      </c>
      <c r="M1328" s="517" t="s">
        <v>607</v>
      </c>
      <c r="N1328" s="518" t="s">
        <v>3756</v>
      </c>
      <c r="O1328" s="517">
        <v>2</v>
      </c>
      <c r="P1328" s="517" t="s">
        <v>693</v>
      </c>
      <c r="Q1328" s="517" t="s">
        <v>1229</v>
      </c>
      <c r="R1328" s="517" t="s">
        <v>647</v>
      </c>
      <c r="S1328" s="517" t="s">
        <v>647</v>
      </c>
      <c r="T1328" s="518" t="s">
        <v>3762</v>
      </c>
      <c r="U1328" s="38">
        <v>3009064.44</v>
      </c>
      <c r="V1328" s="15" t="str">
        <f t="shared" si="132"/>
        <v>204110202</v>
      </c>
      <c r="W1328" s="39">
        <v>2</v>
      </c>
      <c r="X1328" s="50" t="s">
        <v>693</v>
      </c>
      <c r="Y1328" s="40" t="s">
        <v>1229</v>
      </c>
      <c r="Z1328" s="40" t="s">
        <v>647</v>
      </c>
      <c r="AA1328" s="40" t="s">
        <v>647</v>
      </c>
      <c r="AB1328" s="42" t="s">
        <v>3763</v>
      </c>
      <c r="AC1328" s="519">
        <f>H1328</f>
        <v>3009064.44</v>
      </c>
      <c r="AD1328" s="517">
        <v>0</v>
      </c>
      <c r="AE1328" s="517" t="s">
        <v>3755</v>
      </c>
      <c r="AF1328" s="517" t="s">
        <v>607</v>
      </c>
      <c r="AG1328" s="518" t="s">
        <v>3756</v>
      </c>
      <c r="AH1328" s="67">
        <f t="shared" si="137"/>
        <v>3009064.44</v>
      </c>
      <c r="AI1328" s="10"/>
      <c r="AJ1328" s="9">
        <f t="shared" si="134"/>
        <v>0</v>
      </c>
      <c r="AK1328" s="10"/>
      <c r="AL1328" s="10"/>
    </row>
    <row r="1329" spans="1:38" ht="45" hidden="1">
      <c r="A1329" s="1">
        <f t="shared" si="133"/>
        <v>0</v>
      </c>
      <c r="B1329" s="2" t="s">
        <v>3764</v>
      </c>
      <c r="C1329" s="3" t="s">
        <v>3765</v>
      </c>
      <c r="D1329" s="15" t="s">
        <v>11769</v>
      </c>
      <c r="E1329" s="4" t="s">
        <v>3764</v>
      </c>
      <c r="F1329" s="37" t="s">
        <v>3765</v>
      </c>
      <c r="G1329" s="38">
        <v>0</v>
      </c>
      <c r="H1329" s="38">
        <v>0</v>
      </c>
      <c r="I1329" s="15"/>
      <c r="J1329" s="494">
        <v>20411020301</v>
      </c>
      <c r="K1329" s="517"/>
      <c r="L1329" s="517" t="s">
        <v>3755</v>
      </c>
      <c r="M1329" s="517" t="s">
        <v>607</v>
      </c>
      <c r="N1329" s="518" t="s">
        <v>3756</v>
      </c>
      <c r="O1329" s="517">
        <v>2</v>
      </c>
      <c r="P1329" s="517" t="s">
        <v>693</v>
      </c>
      <c r="Q1329" s="517" t="s">
        <v>1229</v>
      </c>
      <c r="R1329" s="517" t="s">
        <v>647</v>
      </c>
      <c r="S1329" s="517" t="s">
        <v>671</v>
      </c>
      <c r="T1329" s="518" t="s">
        <v>3766</v>
      </c>
      <c r="U1329" s="38">
        <v>0</v>
      </c>
      <c r="V1329" s="15" t="str">
        <f t="shared" si="132"/>
        <v>204110203</v>
      </c>
      <c r="W1329" s="39">
        <v>2</v>
      </c>
      <c r="X1329" s="50" t="s">
        <v>693</v>
      </c>
      <c r="Y1329" s="40" t="s">
        <v>1229</v>
      </c>
      <c r="Z1329" s="40" t="s">
        <v>647</v>
      </c>
      <c r="AA1329" s="40" t="s">
        <v>671</v>
      </c>
      <c r="AB1329" s="42" t="s">
        <v>3766</v>
      </c>
      <c r="AC1329" s="519">
        <f>H1329</f>
        <v>0</v>
      </c>
      <c r="AD1329" s="517">
        <v>0</v>
      </c>
      <c r="AE1329" s="517" t="s">
        <v>3755</v>
      </c>
      <c r="AF1329" s="517" t="s">
        <v>607</v>
      </c>
      <c r="AG1329" s="518" t="s">
        <v>3756</v>
      </c>
      <c r="AH1329" s="67">
        <f t="shared" si="137"/>
        <v>0</v>
      </c>
      <c r="AI1329" s="10"/>
      <c r="AJ1329" s="9">
        <f t="shared" si="134"/>
        <v>0</v>
      </c>
      <c r="AK1329" s="10"/>
      <c r="AL1329" s="10"/>
    </row>
    <row r="1330" spans="1:38" ht="45" hidden="1">
      <c r="A1330" s="1">
        <f t="shared" si="133"/>
        <v>0</v>
      </c>
      <c r="B1330" s="2" t="s">
        <v>3767</v>
      </c>
      <c r="C1330" s="3" t="s">
        <v>3768</v>
      </c>
      <c r="D1330" s="15" t="s">
        <v>11770</v>
      </c>
      <c r="E1330" s="4" t="s">
        <v>3767</v>
      </c>
      <c r="F1330" s="37" t="s">
        <v>3768</v>
      </c>
      <c r="G1330" s="38">
        <v>0</v>
      </c>
      <c r="H1330" s="38">
        <v>0</v>
      </c>
      <c r="I1330" s="15"/>
      <c r="J1330" s="494">
        <v>20411020401</v>
      </c>
      <c r="K1330" s="517"/>
      <c r="L1330" s="517" t="s">
        <v>3755</v>
      </c>
      <c r="M1330" s="517" t="s">
        <v>607</v>
      </c>
      <c r="N1330" s="518" t="s">
        <v>3756</v>
      </c>
      <c r="O1330" s="517">
        <v>2</v>
      </c>
      <c r="P1330" s="517" t="s">
        <v>693</v>
      </c>
      <c r="Q1330" s="517" t="s">
        <v>1229</v>
      </c>
      <c r="R1330" s="517" t="s">
        <v>647</v>
      </c>
      <c r="S1330" s="517" t="s">
        <v>693</v>
      </c>
      <c r="T1330" s="518" t="s">
        <v>3769</v>
      </c>
      <c r="U1330" s="38">
        <v>0</v>
      </c>
      <c r="V1330" s="15" t="str">
        <f t="shared" si="132"/>
        <v>204110204</v>
      </c>
      <c r="W1330" s="39">
        <v>2</v>
      </c>
      <c r="X1330" s="50" t="s">
        <v>693</v>
      </c>
      <c r="Y1330" s="40" t="s">
        <v>1229</v>
      </c>
      <c r="Z1330" s="40" t="s">
        <v>647</v>
      </c>
      <c r="AA1330" s="40" t="s">
        <v>693</v>
      </c>
      <c r="AB1330" s="42" t="s">
        <v>3769</v>
      </c>
      <c r="AC1330" s="519">
        <f>H1330</f>
        <v>0</v>
      </c>
      <c r="AD1330" s="517">
        <v>0</v>
      </c>
      <c r="AE1330" s="517" t="s">
        <v>3755</v>
      </c>
      <c r="AF1330" s="517" t="s">
        <v>607</v>
      </c>
      <c r="AG1330" s="518" t="s">
        <v>3756</v>
      </c>
      <c r="AH1330" s="67">
        <f t="shared" si="137"/>
        <v>0</v>
      </c>
      <c r="AI1330" s="10"/>
      <c r="AJ1330" s="9">
        <f t="shared" si="134"/>
        <v>0</v>
      </c>
      <c r="AK1330" s="10"/>
      <c r="AL1330" s="10"/>
    </row>
    <row r="1331" spans="1:38" ht="45" hidden="1">
      <c r="A1331" s="1">
        <f t="shared" si="133"/>
        <v>0</v>
      </c>
      <c r="B1331" s="2" t="s">
        <v>3770</v>
      </c>
      <c r="C1331" s="3" t="s">
        <v>3771</v>
      </c>
      <c r="D1331" s="15" t="s">
        <v>11771</v>
      </c>
      <c r="E1331" s="4" t="s">
        <v>3770</v>
      </c>
      <c r="F1331" s="37" t="s">
        <v>3771</v>
      </c>
      <c r="G1331" s="38">
        <v>0</v>
      </c>
      <c r="H1331" s="38">
        <v>0</v>
      </c>
      <c r="I1331" s="15"/>
      <c r="J1331" s="494">
        <v>20411020501</v>
      </c>
      <c r="K1331" s="517"/>
      <c r="L1331" s="517" t="s">
        <v>3755</v>
      </c>
      <c r="M1331" s="517" t="s">
        <v>607</v>
      </c>
      <c r="N1331" s="518" t="s">
        <v>3756</v>
      </c>
      <c r="O1331" s="517">
        <v>2</v>
      </c>
      <c r="P1331" s="517" t="s">
        <v>693</v>
      </c>
      <c r="Q1331" s="517" t="s">
        <v>1229</v>
      </c>
      <c r="R1331" s="517" t="s">
        <v>647</v>
      </c>
      <c r="S1331" s="517" t="s">
        <v>714</v>
      </c>
      <c r="T1331" s="518" t="s">
        <v>3772</v>
      </c>
      <c r="U1331" s="38">
        <v>0</v>
      </c>
      <c r="V1331" s="15" t="str">
        <f t="shared" si="132"/>
        <v>204110205</v>
      </c>
      <c r="W1331" s="39">
        <v>2</v>
      </c>
      <c r="X1331" s="50" t="s">
        <v>693</v>
      </c>
      <c r="Y1331" s="40" t="s">
        <v>1229</v>
      </c>
      <c r="Z1331" s="40" t="s">
        <v>647</v>
      </c>
      <c r="AA1331" s="40" t="s">
        <v>714</v>
      </c>
      <c r="AB1331" s="42" t="s">
        <v>3772</v>
      </c>
      <c r="AC1331" s="519">
        <f>H1331</f>
        <v>0</v>
      </c>
      <c r="AD1331" s="517">
        <v>0</v>
      </c>
      <c r="AE1331" s="517" t="s">
        <v>3755</v>
      </c>
      <c r="AF1331" s="517" t="s">
        <v>607</v>
      </c>
      <c r="AG1331" s="518" t="s">
        <v>3756</v>
      </c>
      <c r="AH1331" s="67">
        <f t="shared" si="137"/>
        <v>0</v>
      </c>
      <c r="AI1331" s="10"/>
      <c r="AJ1331" s="9">
        <f t="shared" si="134"/>
        <v>0</v>
      </c>
      <c r="AK1331" s="10"/>
      <c r="AL1331" s="10"/>
    </row>
    <row r="1332" spans="1:38" ht="45" hidden="1">
      <c r="A1332" s="1">
        <f t="shared" si="133"/>
        <v>0</v>
      </c>
      <c r="B1332" s="2" t="s">
        <v>3773</v>
      </c>
      <c r="C1332" s="3" t="s">
        <v>3774</v>
      </c>
      <c r="D1332" s="15" t="s">
        <v>11772</v>
      </c>
      <c r="E1332" s="4" t="s">
        <v>3773</v>
      </c>
      <c r="F1332" s="37" t="s">
        <v>3774</v>
      </c>
      <c r="G1332" s="38">
        <v>798211.97</v>
      </c>
      <c r="H1332" s="38">
        <v>1412206.06</v>
      </c>
      <c r="I1332" s="15"/>
      <c r="J1332" s="494">
        <v>20411020601</v>
      </c>
      <c r="K1332" s="517"/>
      <c r="L1332" s="517" t="s">
        <v>3755</v>
      </c>
      <c r="M1332" s="517" t="s">
        <v>607</v>
      </c>
      <c r="N1332" s="518" t="s">
        <v>3756</v>
      </c>
      <c r="O1332" s="517">
        <v>2</v>
      </c>
      <c r="P1332" s="517" t="s">
        <v>693</v>
      </c>
      <c r="Q1332" s="517" t="s">
        <v>1229</v>
      </c>
      <c r="R1332" s="517" t="s">
        <v>647</v>
      </c>
      <c r="S1332" s="517" t="s">
        <v>739</v>
      </c>
      <c r="T1332" s="518" t="s">
        <v>3775</v>
      </c>
      <c r="U1332" s="38">
        <v>1412206.06</v>
      </c>
      <c r="V1332" s="15" t="str">
        <f t="shared" si="132"/>
        <v>204110206</v>
      </c>
      <c r="W1332" s="39">
        <v>2</v>
      </c>
      <c r="X1332" s="50" t="s">
        <v>693</v>
      </c>
      <c r="Y1332" s="40" t="s">
        <v>1229</v>
      </c>
      <c r="Z1332" s="40" t="s">
        <v>647</v>
      </c>
      <c r="AA1332" s="40" t="s">
        <v>739</v>
      </c>
      <c r="AB1332" s="42" t="s">
        <v>3775</v>
      </c>
      <c r="AC1332" s="519">
        <f>SUM(H1332:H1335)</f>
        <v>1393233.12</v>
      </c>
      <c r="AD1332" s="517">
        <v>0</v>
      </c>
      <c r="AE1332" s="517" t="s">
        <v>3755</v>
      </c>
      <c r="AF1332" s="517" t="s">
        <v>607</v>
      </c>
      <c r="AG1332" s="518" t="s">
        <v>3756</v>
      </c>
      <c r="AH1332" s="67">
        <f t="shared" si="137"/>
        <v>1393233.12</v>
      </c>
      <c r="AI1332" s="10"/>
      <c r="AJ1332" s="9"/>
      <c r="AK1332" s="10"/>
      <c r="AL1332" s="10"/>
    </row>
    <row r="1333" spans="1:38" ht="45" hidden="1">
      <c r="A1333" s="1">
        <f t="shared" si="133"/>
        <v>0</v>
      </c>
      <c r="B1333" s="2" t="s">
        <v>3776</v>
      </c>
      <c r="C1333" s="3" t="s">
        <v>3777</v>
      </c>
      <c r="D1333" s="15" t="s">
        <v>11772</v>
      </c>
      <c r="E1333" s="4" t="s">
        <v>3776</v>
      </c>
      <c r="F1333" s="37" t="s">
        <v>3777</v>
      </c>
      <c r="G1333" s="38">
        <v>218889</v>
      </c>
      <c r="H1333" s="38">
        <v>189953.84</v>
      </c>
      <c r="I1333" s="15"/>
      <c r="J1333" s="494">
        <v>20411020602</v>
      </c>
      <c r="K1333" s="517"/>
      <c r="L1333" s="517" t="s">
        <v>3755</v>
      </c>
      <c r="M1333" s="517" t="s">
        <v>607</v>
      </c>
      <c r="N1333" s="518" t="s">
        <v>3756</v>
      </c>
      <c r="O1333" s="517">
        <v>2</v>
      </c>
      <c r="P1333" s="517" t="s">
        <v>693</v>
      </c>
      <c r="Q1333" s="517" t="s">
        <v>1229</v>
      </c>
      <c r="R1333" s="517" t="s">
        <v>647</v>
      </c>
      <c r="S1333" s="517" t="s">
        <v>739</v>
      </c>
      <c r="T1333" s="518" t="s">
        <v>3775</v>
      </c>
      <c r="U1333" s="38">
        <v>189953.84</v>
      </c>
      <c r="V1333" s="15" t="str">
        <f t="shared" si="132"/>
        <v/>
      </c>
      <c r="W1333" s="1"/>
      <c r="X1333" s="1"/>
      <c r="Y1333" s="1"/>
      <c r="Z1333" s="1"/>
      <c r="AA1333" s="1"/>
      <c r="AB1333" s="3"/>
      <c r="AC1333" s="9"/>
      <c r="AD1333" s="517" t="e">
        <v>#N/A</v>
      </c>
      <c r="AE1333" s="517" t="e">
        <v>#N/A</v>
      </c>
      <c r="AF1333" s="517" t="e">
        <v>#N/A</v>
      </c>
      <c r="AG1333" s="520" t="e">
        <v>#N/A</v>
      </c>
      <c r="AH1333" s="9"/>
      <c r="AI1333" s="10"/>
      <c r="AJ1333" s="9"/>
      <c r="AK1333" s="10"/>
      <c r="AL1333" s="10"/>
    </row>
    <row r="1334" spans="1:38" ht="45" hidden="1">
      <c r="A1334" s="1">
        <f t="shared" si="133"/>
        <v>0</v>
      </c>
      <c r="B1334" s="2" t="s">
        <v>3778</v>
      </c>
      <c r="C1334" s="3" t="s">
        <v>3779</v>
      </c>
      <c r="D1334" s="15" t="s">
        <v>11772</v>
      </c>
      <c r="E1334" s="4" t="s">
        <v>3778</v>
      </c>
      <c r="F1334" s="37" t="s">
        <v>3779</v>
      </c>
      <c r="G1334" s="38">
        <v>443600.61</v>
      </c>
      <c r="H1334" s="38">
        <v>-5901.73</v>
      </c>
      <c r="I1334" s="15"/>
      <c r="J1334" s="494">
        <v>20411020603</v>
      </c>
      <c r="K1334" s="517"/>
      <c r="L1334" s="517" t="s">
        <v>3755</v>
      </c>
      <c r="M1334" s="517" t="s">
        <v>607</v>
      </c>
      <c r="N1334" s="518" t="s">
        <v>3756</v>
      </c>
      <c r="O1334" s="517">
        <v>2</v>
      </c>
      <c r="P1334" s="517" t="s">
        <v>693</v>
      </c>
      <c r="Q1334" s="517" t="s">
        <v>1229</v>
      </c>
      <c r="R1334" s="517" t="s">
        <v>647</v>
      </c>
      <c r="S1334" s="517" t="s">
        <v>739</v>
      </c>
      <c r="T1334" s="518" t="s">
        <v>3775</v>
      </c>
      <c r="U1334" s="38">
        <v>-5901.73</v>
      </c>
      <c r="V1334" s="15" t="str">
        <f t="shared" si="132"/>
        <v/>
      </c>
      <c r="W1334" s="1"/>
      <c r="X1334" s="1"/>
      <c r="Y1334" s="1"/>
      <c r="Z1334" s="1"/>
      <c r="AA1334" s="1"/>
      <c r="AB1334" s="3"/>
      <c r="AC1334" s="9"/>
      <c r="AD1334" s="517" t="e">
        <v>#N/A</v>
      </c>
      <c r="AE1334" s="517" t="e">
        <v>#N/A</v>
      </c>
      <c r="AF1334" s="517" t="e">
        <v>#N/A</v>
      </c>
      <c r="AG1334" s="520" t="e">
        <v>#N/A</v>
      </c>
      <c r="AH1334" s="9"/>
      <c r="AI1334" s="10"/>
      <c r="AJ1334" s="9"/>
      <c r="AK1334" s="10"/>
      <c r="AL1334" s="10"/>
    </row>
    <row r="1335" spans="1:38" ht="45" hidden="1">
      <c r="A1335" s="1">
        <f t="shared" si="133"/>
        <v>0</v>
      </c>
      <c r="B1335" s="2" t="s">
        <v>3780</v>
      </c>
      <c r="C1335" s="3" t="s">
        <v>3781</v>
      </c>
      <c r="D1335" s="15" t="s">
        <v>11772</v>
      </c>
      <c r="E1335" s="4" t="s">
        <v>3780</v>
      </c>
      <c r="F1335" s="37" t="s">
        <v>3781</v>
      </c>
      <c r="G1335" s="38">
        <v>162786.79</v>
      </c>
      <c r="H1335" s="38">
        <v>-203025.05</v>
      </c>
      <c r="I1335" s="15"/>
      <c r="J1335" s="494">
        <v>20411020604</v>
      </c>
      <c r="K1335" s="517"/>
      <c r="L1335" s="517" t="s">
        <v>3755</v>
      </c>
      <c r="M1335" s="517" t="s">
        <v>607</v>
      </c>
      <c r="N1335" s="518" t="s">
        <v>3756</v>
      </c>
      <c r="O1335" s="517">
        <v>2</v>
      </c>
      <c r="P1335" s="517" t="s">
        <v>693</v>
      </c>
      <c r="Q1335" s="517" t="s">
        <v>1229</v>
      </c>
      <c r="R1335" s="517" t="s">
        <v>647</v>
      </c>
      <c r="S1335" s="517" t="s">
        <v>739</v>
      </c>
      <c r="T1335" s="518" t="s">
        <v>3775</v>
      </c>
      <c r="U1335" s="38">
        <v>-203025.05</v>
      </c>
      <c r="V1335" s="15" t="str">
        <f t="shared" si="132"/>
        <v/>
      </c>
      <c r="W1335" s="1"/>
      <c r="X1335" s="1"/>
      <c r="Y1335" s="1"/>
      <c r="Z1335" s="1"/>
      <c r="AA1335" s="1"/>
      <c r="AB1335" s="3"/>
      <c r="AC1335" s="9"/>
      <c r="AD1335" s="517" t="e">
        <v>#N/A</v>
      </c>
      <c r="AE1335" s="517" t="e">
        <v>#N/A</v>
      </c>
      <c r="AF1335" s="517" t="e">
        <v>#N/A</v>
      </c>
      <c r="AG1335" s="520" t="e">
        <v>#N/A</v>
      </c>
      <c r="AH1335" s="9"/>
      <c r="AI1335" s="10"/>
      <c r="AJ1335" s="9"/>
      <c r="AK1335" s="10"/>
      <c r="AL1335" s="10"/>
    </row>
    <row r="1336" spans="1:38" ht="45" hidden="1">
      <c r="A1336" s="1">
        <f t="shared" si="133"/>
        <v>0</v>
      </c>
      <c r="B1336" s="2" t="s">
        <v>3782</v>
      </c>
      <c r="C1336" s="3" t="s">
        <v>3783</v>
      </c>
      <c r="D1336" s="15" t="s">
        <v>11773</v>
      </c>
      <c r="E1336" s="4" t="s">
        <v>3782</v>
      </c>
      <c r="F1336" s="37" t="s">
        <v>3783</v>
      </c>
      <c r="G1336" s="38">
        <v>0</v>
      </c>
      <c r="H1336" s="38">
        <v>0</v>
      </c>
      <c r="I1336" s="15"/>
      <c r="J1336" s="494">
        <v>20411020701</v>
      </c>
      <c r="K1336" s="517"/>
      <c r="L1336" s="517" t="s">
        <v>3755</v>
      </c>
      <c r="M1336" s="517" t="s">
        <v>607</v>
      </c>
      <c r="N1336" s="518" t="s">
        <v>3756</v>
      </c>
      <c r="O1336" s="517">
        <v>2</v>
      </c>
      <c r="P1336" s="517" t="s">
        <v>693</v>
      </c>
      <c r="Q1336" s="517" t="s">
        <v>1229</v>
      </c>
      <c r="R1336" s="517" t="s">
        <v>647</v>
      </c>
      <c r="S1336" s="517" t="s">
        <v>755</v>
      </c>
      <c r="T1336" s="518" t="s">
        <v>13603</v>
      </c>
      <c r="U1336" s="38">
        <v>0</v>
      </c>
      <c r="V1336" s="15" t="str">
        <f t="shared" si="132"/>
        <v>204110207</v>
      </c>
      <c r="W1336" s="39">
        <v>2</v>
      </c>
      <c r="X1336" s="50" t="s">
        <v>693</v>
      </c>
      <c r="Y1336" s="40" t="s">
        <v>1229</v>
      </c>
      <c r="Z1336" s="40" t="s">
        <v>647</v>
      </c>
      <c r="AA1336" s="40" t="s">
        <v>755</v>
      </c>
      <c r="AB1336" s="42" t="s">
        <v>3784</v>
      </c>
      <c r="AC1336" s="519">
        <f>SUM(H1336:H1339)</f>
        <v>0</v>
      </c>
      <c r="AD1336" s="517">
        <v>0</v>
      </c>
      <c r="AE1336" s="517" t="s">
        <v>3755</v>
      </c>
      <c r="AF1336" s="517" t="s">
        <v>607</v>
      </c>
      <c r="AG1336" s="518" t="s">
        <v>3756</v>
      </c>
      <c r="AH1336" s="67">
        <f>AC1336</f>
        <v>0</v>
      </c>
      <c r="AI1336" s="10"/>
      <c r="AJ1336" s="9">
        <f t="shared" ref="AJ1336:AJ1347" si="138">AH1336-H1336</f>
        <v>0</v>
      </c>
      <c r="AK1336" s="10"/>
      <c r="AL1336" s="10"/>
    </row>
    <row r="1337" spans="1:38" ht="45" hidden="1">
      <c r="A1337" s="1">
        <f t="shared" si="133"/>
        <v>0</v>
      </c>
      <c r="B1337" s="2" t="s">
        <v>3785</v>
      </c>
      <c r="C1337" s="3" t="s">
        <v>3786</v>
      </c>
      <c r="D1337" s="15" t="s">
        <v>11773</v>
      </c>
      <c r="E1337" s="4" t="s">
        <v>3785</v>
      </c>
      <c r="F1337" s="37" t="s">
        <v>3786</v>
      </c>
      <c r="G1337" s="38">
        <v>0</v>
      </c>
      <c r="H1337" s="38">
        <v>0</v>
      </c>
      <c r="I1337" s="15"/>
      <c r="J1337" s="494">
        <v>20411020702</v>
      </c>
      <c r="K1337" s="517"/>
      <c r="L1337" s="517" t="s">
        <v>3755</v>
      </c>
      <c r="M1337" s="517" t="s">
        <v>607</v>
      </c>
      <c r="N1337" s="518" t="s">
        <v>3756</v>
      </c>
      <c r="O1337" s="517">
        <v>2</v>
      </c>
      <c r="P1337" s="517" t="s">
        <v>693</v>
      </c>
      <c r="Q1337" s="517" t="s">
        <v>1229</v>
      </c>
      <c r="R1337" s="517" t="s">
        <v>647</v>
      </c>
      <c r="S1337" s="517" t="s">
        <v>755</v>
      </c>
      <c r="T1337" s="518" t="s">
        <v>13603</v>
      </c>
      <c r="U1337" s="38">
        <v>0</v>
      </c>
      <c r="V1337" s="15" t="str">
        <f t="shared" si="132"/>
        <v/>
      </c>
      <c r="W1337" s="1"/>
      <c r="X1337" s="1"/>
      <c r="Y1337" s="1"/>
      <c r="Z1337" s="1"/>
      <c r="AA1337" s="1"/>
      <c r="AB1337" s="3"/>
      <c r="AC1337" s="9"/>
      <c r="AD1337" s="517" t="e">
        <v>#N/A</v>
      </c>
      <c r="AE1337" s="517" t="e">
        <v>#N/A</v>
      </c>
      <c r="AF1337" s="517" t="e">
        <v>#N/A</v>
      </c>
      <c r="AG1337" s="520" t="e">
        <v>#N/A</v>
      </c>
      <c r="AH1337" s="9"/>
      <c r="AI1337" s="10"/>
      <c r="AJ1337" s="9">
        <f t="shared" si="138"/>
        <v>0</v>
      </c>
      <c r="AK1337" s="10"/>
      <c r="AL1337" s="10"/>
    </row>
    <row r="1338" spans="1:38" ht="45" hidden="1">
      <c r="A1338" s="1">
        <f t="shared" si="133"/>
        <v>0</v>
      </c>
      <c r="B1338" s="2" t="s">
        <v>3787</v>
      </c>
      <c r="C1338" s="3" t="s">
        <v>3788</v>
      </c>
      <c r="D1338" s="15" t="s">
        <v>11773</v>
      </c>
      <c r="E1338" s="4" t="s">
        <v>3787</v>
      </c>
      <c r="F1338" s="37" t="s">
        <v>3788</v>
      </c>
      <c r="G1338" s="38">
        <v>0</v>
      </c>
      <c r="H1338" s="38">
        <v>0</v>
      </c>
      <c r="I1338" s="15"/>
      <c r="J1338" s="494">
        <v>20411020703</v>
      </c>
      <c r="K1338" s="517"/>
      <c r="L1338" s="517" t="s">
        <v>3755</v>
      </c>
      <c r="M1338" s="517" t="s">
        <v>607</v>
      </c>
      <c r="N1338" s="518" t="s">
        <v>3756</v>
      </c>
      <c r="O1338" s="517">
        <v>2</v>
      </c>
      <c r="P1338" s="517" t="s">
        <v>693</v>
      </c>
      <c r="Q1338" s="517" t="s">
        <v>1229</v>
      </c>
      <c r="R1338" s="517" t="s">
        <v>647</v>
      </c>
      <c r="S1338" s="517" t="s">
        <v>755</v>
      </c>
      <c r="T1338" s="518" t="s">
        <v>13603</v>
      </c>
      <c r="U1338" s="38">
        <v>0</v>
      </c>
      <c r="V1338" s="15" t="str">
        <f t="shared" si="132"/>
        <v/>
      </c>
      <c r="W1338" s="1"/>
      <c r="X1338" s="1"/>
      <c r="Y1338" s="1"/>
      <c r="Z1338" s="1"/>
      <c r="AA1338" s="1"/>
      <c r="AB1338" s="3"/>
      <c r="AC1338" s="9"/>
      <c r="AD1338" s="517" t="e">
        <v>#N/A</v>
      </c>
      <c r="AE1338" s="517" t="e">
        <v>#N/A</v>
      </c>
      <c r="AF1338" s="517" t="e">
        <v>#N/A</v>
      </c>
      <c r="AG1338" s="520" t="e">
        <v>#N/A</v>
      </c>
      <c r="AH1338" s="9"/>
      <c r="AI1338" s="10"/>
      <c r="AJ1338" s="9">
        <f t="shared" si="138"/>
        <v>0</v>
      </c>
      <c r="AK1338" s="10"/>
      <c r="AL1338" s="10"/>
    </row>
    <row r="1339" spans="1:38" ht="45" hidden="1">
      <c r="A1339" s="1">
        <f t="shared" si="133"/>
        <v>0</v>
      </c>
      <c r="B1339" s="2" t="s">
        <v>3789</v>
      </c>
      <c r="C1339" s="3" t="s">
        <v>3790</v>
      </c>
      <c r="D1339" s="15" t="s">
        <v>11773</v>
      </c>
      <c r="E1339" s="4" t="s">
        <v>3789</v>
      </c>
      <c r="F1339" s="37" t="s">
        <v>3790</v>
      </c>
      <c r="G1339" s="38">
        <v>0</v>
      </c>
      <c r="H1339" s="38">
        <v>0</v>
      </c>
      <c r="I1339" s="15"/>
      <c r="J1339" s="494">
        <v>20411020704</v>
      </c>
      <c r="K1339" s="517"/>
      <c r="L1339" s="517" t="s">
        <v>3755</v>
      </c>
      <c r="M1339" s="517" t="s">
        <v>607</v>
      </c>
      <c r="N1339" s="518" t="s">
        <v>3756</v>
      </c>
      <c r="O1339" s="517">
        <v>2</v>
      </c>
      <c r="P1339" s="517" t="s">
        <v>693</v>
      </c>
      <c r="Q1339" s="517" t="s">
        <v>1229</v>
      </c>
      <c r="R1339" s="517" t="s">
        <v>647</v>
      </c>
      <c r="S1339" s="517" t="s">
        <v>755</v>
      </c>
      <c r="T1339" s="518" t="s">
        <v>13603</v>
      </c>
      <c r="U1339" s="38">
        <v>0</v>
      </c>
      <c r="V1339" s="15" t="str">
        <f t="shared" si="132"/>
        <v/>
      </c>
      <c r="W1339" s="1"/>
      <c r="X1339" s="1"/>
      <c r="Y1339" s="1"/>
      <c r="Z1339" s="1"/>
      <c r="AA1339" s="1"/>
      <c r="AB1339" s="3"/>
      <c r="AC1339" s="9"/>
      <c r="AD1339" s="517" t="e">
        <v>#N/A</v>
      </c>
      <c r="AE1339" s="517" t="e">
        <v>#N/A</v>
      </c>
      <c r="AF1339" s="517" t="e">
        <v>#N/A</v>
      </c>
      <c r="AG1339" s="520" t="e">
        <v>#N/A</v>
      </c>
      <c r="AH1339" s="9"/>
      <c r="AI1339" s="10"/>
      <c r="AJ1339" s="9">
        <f t="shared" si="138"/>
        <v>0</v>
      </c>
      <c r="AK1339" s="10"/>
      <c r="AL1339" s="10"/>
    </row>
    <row r="1340" spans="1:38" ht="56.25" hidden="1">
      <c r="A1340" s="1">
        <f t="shared" si="133"/>
        <v>0</v>
      </c>
      <c r="B1340" s="2" t="s">
        <v>3791</v>
      </c>
      <c r="C1340" s="3" t="s">
        <v>3792</v>
      </c>
      <c r="D1340" s="15" t="s">
        <v>11774</v>
      </c>
      <c r="E1340" s="4" t="s">
        <v>3791</v>
      </c>
      <c r="F1340" s="37" t="s">
        <v>3792</v>
      </c>
      <c r="G1340" s="38">
        <v>0</v>
      </c>
      <c r="H1340" s="38">
        <v>0</v>
      </c>
      <c r="I1340" s="15"/>
      <c r="J1340" s="494">
        <v>20411020801</v>
      </c>
      <c r="K1340" s="517"/>
      <c r="L1340" s="517" t="s">
        <v>3755</v>
      </c>
      <c r="M1340" s="517" t="s">
        <v>607</v>
      </c>
      <c r="N1340" s="518" t="s">
        <v>3756</v>
      </c>
      <c r="O1340" s="517">
        <v>2</v>
      </c>
      <c r="P1340" s="517" t="s">
        <v>693</v>
      </c>
      <c r="Q1340" s="517" t="s">
        <v>1229</v>
      </c>
      <c r="R1340" s="517" t="s">
        <v>647</v>
      </c>
      <c r="S1340" s="517" t="s">
        <v>766</v>
      </c>
      <c r="T1340" s="518" t="s">
        <v>3793</v>
      </c>
      <c r="U1340" s="38">
        <v>0</v>
      </c>
      <c r="V1340" s="15" t="str">
        <f t="shared" si="132"/>
        <v>204110208</v>
      </c>
      <c r="W1340" s="39">
        <v>2</v>
      </c>
      <c r="X1340" s="50" t="s">
        <v>693</v>
      </c>
      <c r="Y1340" s="40" t="s">
        <v>1229</v>
      </c>
      <c r="Z1340" s="40" t="s">
        <v>647</v>
      </c>
      <c r="AA1340" s="40" t="s">
        <v>766</v>
      </c>
      <c r="AB1340" s="42" t="s">
        <v>3793</v>
      </c>
      <c r="AC1340" s="519">
        <f>SUM(H1340:H1343)</f>
        <v>0</v>
      </c>
      <c r="AD1340" s="517">
        <v>0</v>
      </c>
      <c r="AE1340" s="517" t="s">
        <v>3755</v>
      </c>
      <c r="AF1340" s="517" t="s">
        <v>607</v>
      </c>
      <c r="AG1340" s="518" t="s">
        <v>3756</v>
      </c>
      <c r="AH1340" s="67">
        <f>AC1340</f>
        <v>0</v>
      </c>
      <c r="AI1340" s="10"/>
      <c r="AJ1340" s="9">
        <f t="shared" si="138"/>
        <v>0</v>
      </c>
      <c r="AK1340" s="10"/>
      <c r="AL1340" s="10"/>
    </row>
    <row r="1341" spans="1:38" ht="56.25" hidden="1">
      <c r="A1341" s="1">
        <f t="shared" si="133"/>
        <v>0</v>
      </c>
      <c r="B1341" s="2" t="s">
        <v>3794</v>
      </c>
      <c r="C1341" s="3" t="s">
        <v>3795</v>
      </c>
      <c r="D1341" s="15" t="s">
        <v>11774</v>
      </c>
      <c r="E1341" s="4" t="s">
        <v>3794</v>
      </c>
      <c r="F1341" s="37" t="s">
        <v>3795</v>
      </c>
      <c r="G1341" s="38">
        <v>0</v>
      </c>
      <c r="H1341" s="38">
        <v>0</v>
      </c>
      <c r="I1341" s="15"/>
      <c r="J1341" s="494">
        <v>20411020802</v>
      </c>
      <c r="K1341" s="517"/>
      <c r="L1341" s="517" t="s">
        <v>3755</v>
      </c>
      <c r="M1341" s="517" t="s">
        <v>607</v>
      </c>
      <c r="N1341" s="518" t="s">
        <v>3756</v>
      </c>
      <c r="O1341" s="517">
        <v>2</v>
      </c>
      <c r="P1341" s="517" t="s">
        <v>693</v>
      </c>
      <c r="Q1341" s="517" t="s">
        <v>1229</v>
      </c>
      <c r="R1341" s="517" t="s">
        <v>647</v>
      </c>
      <c r="S1341" s="517" t="s">
        <v>766</v>
      </c>
      <c r="T1341" s="518" t="s">
        <v>3793</v>
      </c>
      <c r="U1341" s="38">
        <v>0</v>
      </c>
      <c r="V1341" s="15" t="str">
        <f t="shared" si="132"/>
        <v/>
      </c>
      <c r="W1341" s="1"/>
      <c r="X1341" s="1"/>
      <c r="Y1341" s="1"/>
      <c r="Z1341" s="1"/>
      <c r="AA1341" s="1"/>
      <c r="AB1341" s="3"/>
      <c r="AC1341" s="9"/>
      <c r="AD1341" s="517" t="e">
        <v>#N/A</v>
      </c>
      <c r="AE1341" s="517" t="e">
        <v>#N/A</v>
      </c>
      <c r="AF1341" s="517" t="e">
        <v>#N/A</v>
      </c>
      <c r="AG1341" s="520" t="e">
        <v>#N/A</v>
      </c>
      <c r="AH1341" s="9"/>
      <c r="AI1341" s="10"/>
      <c r="AJ1341" s="9">
        <f t="shared" si="138"/>
        <v>0</v>
      </c>
      <c r="AK1341" s="10"/>
      <c r="AL1341" s="10"/>
    </row>
    <row r="1342" spans="1:38" ht="56.25" hidden="1">
      <c r="A1342" s="1">
        <f t="shared" si="133"/>
        <v>0</v>
      </c>
      <c r="B1342" s="2" t="s">
        <v>3796</v>
      </c>
      <c r="C1342" s="3" t="s">
        <v>3797</v>
      </c>
      <c r="D1342" s="15" t="s">
        <v>11774</v>
      </c>
      <c r="E1342" s="4" t="s">
        <v>3796</v>
      </c>
      <c r="F1342" s="37" t="s">
        <v>3797</v>
      </c>
      <c r="G1342" s="38">
        <v>0</v>
      </c>
      <c r="H1342" s="38">
        <v>0</v>
      </c>
      <c r="I1342" s="15"/>
      <c r="J1342" s="494">
        <v>20411020803</v>
      </c>
      <c r="K1342" s="517"/>
      <c r="L1342" s="517" t="s">
        <v>3755</v>
      </c>
      <c r="M1342" s="517" t="s">
        <v>607</v>
      </c>
      <c r="N1342" s="518" t="s">
        <v>3756</v>
      </c>
      <c r="O1342" s="517">
        <v>2</v>
      </c>
      <c r="P1342" s="517" t="s">
        <v>693</v>
      </c>
      <c r="Q1342" s="517" t="s">
        <v>1229</v>
      </c>
      <c r="R1342" s="517" t="s">
        <v>647</v>
      </c>
      <c r="S1342" s="517" t="s">
        <v>766</v>
      </c>
      <c r="T1342" s="518" t="s">
        <v>3793</v>
      </c>
      <c r="U1342" s="38">
        <v>0</v>
      </c>
      <c r="V1342" s="15" t="str">
        <f t="shared" si="132"/>
        <v/>
      </c>
      <c r="W1342" s="1"/>
      <c r="X1342" s="1"/>
      <c r="Y1342" s="1"/>
      <c r="Z1342" s="1"/>
      <c r="AA1342" s="1"/>
      <c r="AB1342" s="3"/>
      <c r="AC1342" s="9"/>
      <c r="AD1342" s="517" t="e">
        <v>#N/A</v>
      </c>
      <c r="AE1342" s="517" t="e">
        <v>#N/A</v>
      </c>
      <c r="AF1342" s="517" t="e">
        <v>#N/A</v>
      </c>
      <c r="AG1342" s="520" t="e">
        <v>#N/A</v>
      </c>
      <c r="AH1342" s="9"/>
      <c r="AI1342" s="10"/>
      <c r="AJ1342" s="9">
        <f t="shared" si="138"/>
        <v>0</v>
      </c>
      <c r="AK1342" s="10"/>
      <c r="AL1342" s="10"/>
    </row>
    <row r="1343" spans="1:38" ht="56.25" hidden="1">
      <c r="A1343" s="1">
        <f t="shared" si="133"/>
        <v>0</v>
      </c>
      <c r="B1343" s="2" t="s">
        <v>3798</v>
      </c>
      <c r="C1343" s="3" t="s">
        <v>3799</v>
      </c>
      <c r="D1343" s="15" t="s">
        <v>11774</v>
      </c>
      <c r="E1343" s="4" t="s">
        <v>3798</v>
      </c>
      <c r="F1343" s="37" t="s">
        <v>3799</v>
      </c>
      <c r="G1343" s="38">
        <v>0</v>
      </c>
      <c r="H1343" s="38">
        <v>0</v>
      </c>
      <c r="I1343" s="15"/>
      <c r="J1343" s="494">
        <v>20411020804</v>
      </c>
      <c r="K1343" s="517"/>
      <c r="L1343" s="517" t="s">
        <v>3755</v>
      </c>
      <c r="M1343" s="517" t="s">
        <v>607</v>
      </c>
      <c r="N1343" s="518" t="s">
        <v>3756</v>
      </c>
      <c r="O1343" s="517">
        <v>2</v>
      </c>
      <c r="P1343" s="517" t="s">
        <v>693</v>
      </c>
      <c r="Q1343" s="517" t="s">
        <v>1229</v>
      </c>
      <c r="R1343" s="517" t="s">
        <v>647</v>
      </c>
      <c r="S1343" s="517" t="s">
        <v>766</v>
      </c>
      <c r="T1343" s="518" t="s">
        <v>3793</v>
      </c>
      <c r="U1343" s="38">
        <v>0</v>
      </c>
      <c r="V1343" s="15" t="str">
        <f t="shared" si="132"/>
        <v/>
      </c>
      <c r="W1343" s="1"/>
      <c r="X1343" s="1"/>
      <c r="Y1343" s="1"/>
      <c r="Z1343" s="1"/>
      <c r="AA1343" s="1"/>
      <c r="AB1343" s="3"/>
      <c r="AC1343" s="9"/>
      <c r="AD1343" s="517" t="e">
        <v>#N/A</v>
      </c>
      <c r="AE1343" s="517" t="e">
        <v>#N/A</v>
      </c>
      <c r="AF1343" s="517" t="e">
        <v>#N/A</v>
      </c>
      <c r="AG1343" s="520" t="e">
        <v>#N/A</v>
      </c>
      <c r="AH1343" s="9"/>
      <c r="AI1343" s="10"/>
      <c r="AJ1343" s="9">
        <f t="shared" si="138"/>
        <v>0</v>
      </c>
      <c r="AK1343" s="10"/>
      <c r="AL1343" s="10"/>
    </row>
    <row r="1344" spans="1:38" ht="45" hidden="1">
      <c r="A1344" s="1">
        <f t="shared" si="133"/>
        <v>0</v>
      </c>
      <c r="B1344" s="2" t="s">
        <v>3800</v>
      </c>
      <c r="C1344" s="3" t="s">
        <v>3801</v>
      </c>
      <c r="D1344" s="15" t="s">
        <v>11775</v>
      </c>
      <c r="E1344" s="4" t="s">
        <v>3800</v>
      </c>
      <c r="F1344" s="37" t="s">
        <v>3801</v>
      </c>
      <c r="G1344" s="38">
        <v>0</v>
      </c>
      <c r="H1344" s="38">
        <v>0</v>
      </c>
      <c r="I1344" s="15"/>
      <c r="J1344" s="494">
        <v>20411020901</v>
      </c>
      <c r="K1344" s="517"/>
      <c r="L1344" s="517" t="s">
        <v>3755</v>
      </c>
      <c r="M1344" s="517" t="s">
        <v>607</v>
      </c>
      <c r="N1344" s="518" t="s">
        <v>3756</v>
      </c>
      <c r="O1344" s="517">
        <v>2</v>
      </c>
      <c r="P1344" s="517" t="s">
        <v>693</v>
      </c>
      <c r="Q1344" s="517" t="s">
        <v>1229</v>
      </c>
      <c r="R1344" s="517" t="s">
        <v>647</v>
      </c>
      <c r="S1344" s="517" t="s">
        <v>779</v>
      </c>
      <c r="T1344" s="518" t="s">
        <v>3802</v>
      </c>
      <c r="U1344" s="38">
        <v>0</v>
      </c>
      <c r="V1344" s="15" t="str">
        <f t="shared" si="132"/>
        <v>204110209</v>
      </c>
      <c r="W1344" s="39">
        <v>2</v>
      </c>
      <c r="X1344" s="50" t="s">
        <v>693</v>
      </c>
      <c r="Y1344" s="40" t="s">
        <v>1229</v>
      </c>
      <c r="Z1344" s="40" t="s">
        <v>647</v>
      </c>
      <c r="AA1344" s="40" t="s">
        <v>779</v>
      </c>
      <c r="AB1344" s="42" t="s">
        <v>3802</v>
      </c>
      <c r="AC1344" s="519">
        <f>SUM(H1344:H1347)</f>
        <v>0</v>
      </c>
      <c r="AD1344" s="517">
        <v>0</v>
      </c>
      <c r="AE1344" s="517" t="s">
        <v>3755</v>
      </c>
      <c r="AF1344" s="517" t="s">
        <v>607</v>
      </c>
      <c r="AG1344" s="518" t="s">
        <v>3756</v>
      </c>
      <c r="AH1344" s="67">
        <f>AC1344</f>
        <v>0</v>
      </c>
      <c r="AI1344" s="10"/>
      <c r="AJ1344" s="9">
        <f t="shared" si="138"/>
        <v>0</v>
      </c>
      <c r="AK1344" s="10"/>
      <c r="AL1344" s="10"/>
    </row>
    <row r="1345" spans="1:38" ht="45" hidden="1">
      <c r="A1345" s="1">
        <f t="shared" si="133"/>
        <v>0</v>
      </c>
      <c r="B1345" s="2" t="s">
        <v>3803</v>
      </c>
      <c r="C1345" s="3" t="s">
        <v>3804</v>
      </c>
      <c r="D1345" s="15" t="s">
        <v>11775</v>
      </c>
      <c r="E1345" s="4" t="s">
        <v>3803</v>
      </c>
      <c r="F1345" s="37" t="s">
        <v>3804</v>
      </c>
      <c r="G1345" s="38">
        <v>0</v>
      </c>
      <c r="H1345" s="38">
        <v>0</v>
      </c>
      <c r="I1345" s="15"/>
      <c r="J1345" s="494">
        <v>20411020902</v>
      </c>
      <c r="K1345" s="517"/>
      <c r="L1345" s="517" t="s">
        <v>3755</v>
      </c>
      <c r="M1345" s="517" t="s">
        <v>607</v>
      </c>
      <c r="N1345" s="518" t="s">
        <v>3756</v>
      </c>
      <c r="O1345" s="517">
        <v>2</v>
      </c>
      <c r="P1345" s="517" t="s">
        <v>693</v>
      </c>
      <c r="Q1345" s="517" t="s">
        <v>1229</v>
      </c>
      <c r="R1345" s="517" t="s">
        <v>647</v>
      </c>
      <c r="S1345" s="517" t="s">
        <v>779</v>
      </c>
      <c r="T1345" s="518" t="s">
        <v>3802</v>
      </c>
      <c r="U1345" s="38">
        <v>0</v>
      </c>
      <c r="V1345" s="15" t="str">
        <f t="shared" si="132"/>
        <v/>
      </c>
      <c r="W1345" s="1"/>
      <c r="X1345" s="1"/>
      <c r="Y1345" s="1"/>
      <c r="Z1345" s="1"/>
      <c r="AA1345" s="1"/>
      <c r="AB1345" s="3"/>
      <c r="AC1345" s="9"/>
      <c r="AD1345" s="517" t="e">
        <v>#N/A</v>
      </c>
      <c r="AE1345" s="517" t="e">
        <v>#N/A</v>
      </c>
      <c r="AF1345" s="517" t="e">
        <v>#N/A</v>
      </c>
      <c r="AG1345" s="520" t="e">
        <v>#N/A</v>
      </c>
      <c r="AH1345" s="9"/>
      <c r="AI1345" s="10"/>
      <c r="AJ1345" s="9">
        <f t="shared" si="138"/>
        <v>0</v>
      </c>
      <c r="AK1345" s="10"/>
      <c r="AL1345" s="10"/>
    </row>
    <row r="1346" spans="1:38" ht="45" hidden="1">
      <c r="A1346" s="1">
        <f t="shared" si="133"/>
        <v>0</v>
      </c>
      <c r="B1346" s="2" t="s">
        <v>3805</v>
      </c>
      <c r="C1346" s="3" t="s">
        <v>3806</v>
      </c>
      <c r="D1346" s="15" t="s">
        <v>11775</v>
      </c>
      <c r="E1346" s="4" t="s">
        <v>3805</v>
      </c>
      <c r="F1346" s="37" t="s">
        <v>3806</v>
      </c>
      <c r="G1346" s="38">
        <v>0</v>
      </c>
      <c r="H1346" s="38">
        <v>0</v>
      </c>
      <c r="I1346" s="15"/>
      <c r="J1346" s="494">
        <v>20411020903</v>
      </c>
      <c r="K1346" s="517"/>
      <c r="L1346" s="517" t="s">
        <v>3755</v>
      </c>
      <c r="M1346" s="517" t="s">
        <v>607</v>
      </c>
      <c r="N1346" s="518" t="s">
        <v>3756</v>
      </c>
      <c r="O1346" s="517">
        <v>2</v>
      </c>
      <c r="P1346" s="517" t="s">
        <v>693</v>
      </c>
      <c r="Q1346" s="517" t="s">
        <v>1229</v>
      </c>
      <c r="R1346" s="517" t="s">
        <v>647</v>
      </c>
      <c r="S1346" s="517" t="s">
        <v>779</v>
      </c>
      <c r="T1346" s="518" t="s">
        <v>3802</v>
      </c>
      <c r="U1346" s="38">
        <v>0</v>
      </c>
      <c r="V1346" s="15" t="str">
        <f t="shared" si="132"/>
        <v/>
      </c>
      <c r="W1346" s="1"/>
      <c r="X1346" s="1"/>
      <c r="Y1346" s="1"/>
      <c r="Z1346" s="1"/>
      <c r="AA1346" s="1"/>
      <c r="AB1346" s="3"/>
      <c r="AC1346" s="9"/>
      <c r="AD1346" s="517" t="e">
        <v>#N/A</v>
      </c>
      <c r="AE1346" s="517" t="e">
        <v>#N/A</v>
      </c>
      <c r="AF1346" s="517" t="e">
        <v>#N/A</v>
      </c>
      <c r="AG1346" s="520" t="e">
        <v>#N/A</v>
      </c>
      <c r="AH1346" s="9"/>
      <c r="AI1346" s="10"/>
      <c r="AJ1346" s="9">
        <f t="shared" si="138"/>
        <v>0</v>
      </c>
      <c r="AK1346" s="10"/>
      <c r="AL1346" s="10"/>
    </row>
    <row r="1347" spans="1:38" ht="45" hidden="1">
      <c r="A1347" s="1">
        <f t="shared" si="133"/>
        <v>0</v>
      </c>
      <c r="B1347" s="2" t="s">
        <v>3807</v>
      </c>
      <c r="C1347" s="3" t="s">
        <v>3808</v>
      </c>
      <c r="D1347" s="15" t="s">
        <v>11775</v>
      </c>
      <c r="E1347" s="4" t="s">
        <v>3807</v>
      </c>
      <c r="F1347" s="37" t="s">
        <v>3808</v>
      </c>
      <c r="G1347" s="38">
        <v>0</v>
      </c>
      <c r="H1347" s="38">
        <v>0</v>
      </c>
      <c r="I1347" s="15"/>
      <c r="J1347" s="494">
        <v>20411020904</v>
      </c>
      <c r="K1347" s="517"/>
      <c r="L1347" s="517" t="s">
        <v>3755</v>
      </c>
      <c r="M1347" s="517" t="s">
        <v>607</v>
      </c>
      <c r="N1347" s="518" t="s">
        <v>3756</v>
      </c>
      <c r="O1347" s="517">
        <v>2</v>
      </c>
      <c r="P1347" s="517" t="s">
        <v>693</v>
      </c>
      <c r="Q1347" s="517" t="s">
        <v>1229</v>
      </c>
      <c r="R1347" s="517" t="s">
        <v>647</v>
      </c>
      <c r="S1347" s="517" t="s">
        <v>779</v>
      </c>
      <c r="T1347" s="518" t="s">
        <v>3802</v>
      </c>
      <c r="U1347" s="38">
        <v>0</v>
      </c>
      <c r="V1347" s="15" t="str">
        <f t="shared" ref="V1347:V1410" si="139">CONCATENATE(W1347,X1347,Y1347,Z1347,AA1347)</f>
        <v/>
      </c>
      <c r="W1347" s="1"/>
      <c r="X1347" s="1"/>
      <c r="Y1347" s="1"/>
      <c r="Z1347" s="1"/>
      <c r="AA1347" s="1"/>
      <c r="AB1347" s="3"/>
      <c r="AC1347" s="9"/>
      <c r="AD1347" s="517" t="e">
        <v>#N/A</v>
      </c>
      <c r="AE1347" s="517" t="e">
        <v>#N/A</v>
      </c>
      <c r="AF1347" s="517" t="e">
        <v>#N/A</v>
      </c>
      <c r="AG1347" s="520" t="e">
        <v>#N/A</v>
      </c>
      <c r="AH1347" s="9"/>
      <c r="AI1347" s="10"/>
      <c r="AJ1347" s="9">
        <f t="shared" si="138"/>
        <v>0</v>
      </c>
      <c r="AK1347" s="10"/>
      <c r="AL1347" s="10"/>
    </row>
    <row r="1348" spans="1:38" ht="45" hidden="1">
      <c r="A1348" s="1">
        <f t="shared" si="133"/>
        <v>0</v>
      </c>
      <c r="B1348" s="2" t="s">
        <v>3809</v>
      </c>
      <c r="C1348" s="3" t="s">
        <v>3810</v>
      </c>
      <c r="D1348" s="15" t="s">
        <v>11776</v>
      </c>
      <c r="E1348" s="4" t="s">
        <v>3809</v>
      </c>
      <c r="F1348" s="37" t="s">
        <v>3810</v>
      </c>
      <c r="G1348" s="38">
        <v>0</v>
      </c>
      <c r="H1348" s="38">
        <v>0</v>
      </c>
      <c r="I1348" s="15"/>
      <c r="J1348" s="494">
        <v>20411021001</v>
      </c>
      <c r="K1348" s="517"/>
      <c r="L1348" s="517" t="s">
        <v>3755</v>
      </c>
      <c r="M1348" s="517" t="s">
        <v>607</v>
      </c>
      <c r="N1348" s="518" t="s">
        <v>3756</v>
      </c>
      <c r="O1348" s="517">
        <v>2</v>
      </c>
      <c r="P1348" s="517" t="s">
        <v>693</v>
      </c>
      <c r="Q1348" s="517" t="s">
        <v>1229</v>
      </c>
      <c r="R1348" s="517" t="s">
        <v>647</v>
      </c>
      <c r="S1348" s="517" t="s">
        <v>1225</v>
      </c>
      <c r="T1348" s="518" t="s">
        <v>3811</v>
      </c>
      <c r="U1348" s="38">
        <v>0</v>
      </c>
      <c r="V1348" s="15" t="str">
        <f t="shared" si="139"/>
        <v>204110210</v>
      </c>
      <c r="W1348" s="39">
        <v>2</v>
      </c>
      <c r="X1348" s="50" t="s">
        <v>693</v>
      </c>
      <c r="Y1348" s="40" t="s">
        <v>1229</v>
      </c>
      <c r="Z1348" s="40" t="s">
        <v>647</v>
      </c>
      <c r="AA1348" s="40" t="s">
        <v>1225</v>
      </c>
      <c r="AB1348" s="42" t="s">
        <v>3811</v>
      </c>
      <c r="AC1348" s="519">
        <f>SUM(H1348:H1351)</f>
        <v>-233534.81</v>
      </c>
      <c r="AD1348" s="517">
        <v>0</v>
      </c>
      <c r="AE1348" s="517" t="s">
        <v>3755</v>
      </c>
      <c r="AF1348" s="517" t="s">
        <v>607</v>
      </c>
      <c r="AG1348" s="518" t="s">
        <v>3756</v>
      </c>
      <c r="AH1348" s="67">
        <f>AC1348</f>
        <v>-233534.81</v>
      </c>
      <c r="AI1348" s="10"/>
      <c r="AJ1348" s="9"/>
      <c r="AK1348" s="10"/>
      <c r="AL1348" s="10"/>
    </row>
    <row r="1349" spans="1:38" ht="45" hidden="1">
      <c r="A1349" s="1">
        <f t="shared" si="133"/>
        <v>0</v>
      </c>
      <c r="B1349" s="2" t="s">
        <v>3812</v>
      </c>
      <c r="C1349" s="3" t="s">
        <v>3813</v>
      </c>
      <c r="D1349" s="15" t="s">
        <v>11776</v>
      </c>
      <c r="E1349" s="4" t="s">
        <v>3812</v>
      </c>
      <c r="F1349" s="37" t="s">
        <v>3813</v>
      </c>
      <c r="G1349" s="38">
        <v>0</v>
      </c>
      <c r="H1349" s="38">
        <v>0</v>
      </c>
      <c r="I1349" s="15"/>
      <c r="J1349" s="494">
        <v>20411021002</v>
      </c>
      <c r="K1349" s="517"/>
      <c r="L1349" s="517" t="s">
        <v>3755</v>
      </c>
      <c r="M1349" s="517" t="s">
        <v>607</v>
      </c>
      <c r="N1349" s="518" t="s">
        <v>3756</v>
      </c>
      <c r="O1349" s="517">
        <v>2</v>
      </c>
      <c r="P1349" s="517" t="s">
        <v>693</v>
      </c>
      <c r="Q1349" s="517" t="s">
        <v>1229</v>
      </c>
      <c r="R1349" s="517" t="s">
        <v>647</v>
      </c>
      <c r="S1349" s="517" t="s">
        <v>1225</v>
      </c>
      <c r="T1349" s="518" t="s">
        <v>3811</v>
      </c>
      <c r="U1349" s="38">
        <v>0</v>
      </c>
      <c r="V1349" s="15" t="str">
        <f t="shared" si="139"/>
        <v/>
      </c>
      <c r="W1349" s="1"/>
      <c r="X1349" s="1"/>
      <c r="Y1349" s="1"/>
      <c r="Z1349" s="1"/>
      <c r="AA1349" s="1"/>
      <c r="AB1349" s="3"/>
      <c r="AC1349" s="9"/>
      <c r="AD1349" s="517" t="e">
        <v>#N/A</v>
      </c>
      <c r="AE1349" s="517" t="e">
        <v>#N/A</v>
      </c>
      <c r="AF1349" s="517" t="e">
        <v>#N/A</v>
      </c>
      <c r="AG1349" s="520" t="e">
        <v>#N/A</v>
      </c>
      <c r="AH1349" s="9"/>
      <c r="AI1349" s="10"/>
      <c r="AJ1349" s="9"/>
      <c r="AK1349" s="10"/>
      <c r="AL1349" s="10"/>
    </row>
    <row r="1350" spans="1:38" ht="45" hidden="1">
      <c r="A1350" s="1">
        <f t="shared" si="133"/>
        <v>0</v>
      </c>
      <c r="B1350" s="2" t="s">
        <v>3814</v>
      </c>
      <c r="C1350" s="3" t="s">
        <v>3815</v>
      </c>
      <c r="D1350" s="15" t="s">
        <v>11776</v>
      </c>
      <c r="E1350" s="4" t="s">
        <v>3814</v>
      </c>
      <c r="F1350" s="37" t="s">
        <v>3815</v>
      </c>
      <c r="G1350" s="38">
        <v>0</v>
      </c>
      <c r="H1350" s="38">
        <v>0</v>
      </c>
      <c r="I1350" s="15"/>
      <c r="J1350" s="494">
        <v>20411021003</v>
      </c>
      <c r="K1350" s="517"/>
      <c r="L1350" s="517" t="s">
        <v>3755</v>
      </c>
      <c r="M1350" s="517" t="s">
        <v>607</v>
      </c>
      <c r="N1350" s="518" t="s">
        <v>3756</v>
      </c>
      <c r="O1350" s="517">
        <v>2</v>
      </c>
      <c r="P1350" s="517" t="s">
        <v>693</v>
      </c>
      <c r="Q1350" s="517" t="s">
        <v>1229</v>
      </c>
      <c r="R1350" s="517" t="s">
        <v>647</v>
      </c>
      <c r="S1350" s="517" t="s">
        <v>1225</v>
      </c>
      <c r="T1350" s="518" t="s">
        <v>3811</v>
      </c>
      <c r="U1350" s="38">
        <v>0</v>
      </c>
      <c r="V1350" s="15" t="str">
        <f t="shared" si="139"/>
        <v/>
      </c>
      <c r="W1350" s="1"/>
      <c r="X1350" s="1"/>
      <c r="Y1350" s="1"/>
      <c r="Z1350" s="1"/>
      <c r="AA1350" s="1"/>
      <c r="AB1350" s="3"/>
      <c r="AC1350" s="9"/>
      <c r="AD1350" s="517" t="e">
        <v>#N/A</v>
      </c>
      <c r="AE1350" s="517" t="e">
        <v>#N/A</v>
      </c>
      <c r="AF1350" s="517" t="e">
        <v>#N/A</v>
      </c>
      <c r="AG1350" s="520" t="e">
        <v>#N/A</v>
      </c>
      <c r="AH1350" s="9"/>
      <c r="AI1350" s="10"/>
      <c r="AJ1350" s="9"/>
      <c r="AK1350" s="10"/>
      <c r="AL1350" s="10"/>
    </row>
    <row r="1351" spans="1:38" ht="56.25" hidden="1">
      <c r="A1351" s="1">
        <f t="shared" si="133"/>
        <v>0</v>
      </c>
      <c r="B1351" s="2" t="s">
        <v>3816</v>
      </c>
      <c r="C1351" s="3" t="s">
        <v>3817</v>
      </c>
      <c r="D1351" s="15" t="s">
        <v>11776</v>
      </c>
      <c r="E1351" s="4" t="s">
        <v>3816</v>
      </c>
      <c r="F1351" s="37" t="s">
        <v>3817</v>
      </c>
      <c r="G1351" s="38">
        <v>0</v>
      </c>
      <c r="H1351" s="38">
        <v>-233534.81</v>
      </c>
      <c r="I1351" s="15"/>
      <c r="J1351" s="494">
        <v>20411021004</v>
      </c>
      <c r="K1351" s="517"/>
      <c r="L1351" s="517" t="s">
        <v>3755</v>
      </c>
      <c r="M1351" s="517" t="s">
        <v>607</v>
      </c>
      <c r="N1351" s="518" t="s">
        <v>3756</v>
      </c>
      <c r="O1351" s="517">
        <v>2</v>
      </c>
      <c r="P1351" s="517" t="s">
        <v>693</v>
      </c>
      <c r="Q1351" s="517" t="s">
        <v>1229</v>
      </c>
      <c r="R1351" s="517" t="s">
        <v>647</v>
      </c>
      <c r="S1351" s="517" t="s">
        <v>1225</v>
      </c>
      <c r="T1351" s="518" t="s">
        <v>3811</v>
      </c>
      <c r="U1351" s="38">
        <v>-233534.81</v>
      </c>
      <c r="V1351" s="15" t="str">
        <f t="shared" si="139"/>
        <v/>
      </c>
      <c r="W1351" s="1"/>
      <c r="X1351" s="1"/>
      <c r="Y1351" s="1"/>
      <c r="Z1351" s="1"/>
      <c r="AA1351" s="1"/>
      <c r="AB1351" s="3"/>
      <c r="AC1351" s="9"/>
      <c r="AD1351" s="517" t="e">
        <v>#N/A</v>
      </c>
      <c r="AE1351" s="517" t="e">
        <v>#N/A</v>
      </c>
      <c r="AF1351" s="517" t="e">
        <v>#N/A</v>
      </c>
      <c r="AG1351" s="520" t="e">
        <v>#N/A</v>
      </c>
      <c r="AH1351" s="9"/>
      <c r="AI1351" s="10"/>
      <c r="AJ1351" s="9"/>
      <c r="AK1351" s="10"/>
      <c r="AL1351" s="10"/>
    </row>
    <row r="1352" spans="1:38" ht="45" hidden="1">
      <c r="A1352" s="1">
        <f t="shared" si="133"/>
        <v>0</v>
      </c>
      <c r="B1352" s="2" t="s">
        <v>3818</v>
      </c>
      <c r="C1352" s="3" t="s">
        <v>3819</v>
      </c>
      <c r="D1352" s="15" t="s">
        <v>11777</v>
      </c>
      <c r="E1352" s="4" t="s">
        <v>3818</v>
      </c>
      <c r="F1352" s="37" t="s">
        <v>3819</v>
      </c>
      <c r="G1352" s="38">
        <v>6425192.75</v>
      </c>
      <c r="H1352" s="38">
        <v>6708498.9299999997</v>
      </c>
      <c r="I1352" s="15"/>
      <c r="J1352" s="494">
        <v>20411021101</v>
      </c>
      <c r="K1352" s="517"/>
      <c r="L1352" s="517" t="s">
        <v>3755</v>
      </c>
      <c r="M1352" s="517" t="s">
        <v>607</v>
      </c>
      <c r="N1352" s="518" t="s">
        <v>3756</v>
      </c>
      <c r="O1352" s="517">
        <v>2</v>
      </c>
      <c r="P1352" s="517" t="s">
        <v>693</v>
      </c>
      <c r="Q1352" s="517" t="s">
        <v>1229</v>
      </c>
      <c r="R1352" s="517" t="s">
        <v>647</v>
      </c>
      <c r="S1352" s="517" t="s">
        <v>1229</v>
      </c>
      <c r="T1352" s="518" t="s">
        <v>3820</v>
      </c>
      <c r="U1352" s="38">
        <v>6708498.9299999997</v>
      </c>
      <c r="V1352" s="15" t="str">
        <f t="shared" si="139"/>
        <v>204110211</v>
      </c>
      <c r="W1352" s="39">
        <v>2</v>
      </c>
      <c r="X1352" s="50" t="s">
        <v>693</v>
      </c>
      <c r="Y1352" s="40" t="s">
        <v>1229</v>
      </c>
      <c r="Z1352" s="40" t="s">
        <v>647</v>
      </c>
      <c r="AA1352" s="40" t="s">
        <v>1229</v>
      </c>
      <c r="AB1352" s="42" t="s">
        <v>3820</v>
      </c>
      <c r="AC1352" s="519">
        <f>SUM(H1352:H1355)</f>
        <v>4824962.26</v>
      </c>
      <c r="AD1352" s="517">
        <v>0</v>
      </c>
      <c r="AE1352" s="517" t="s">
        <v>3755</v>
      </c>
      <c r="AF1352" s="517" t="s">
        <v>607</v>
      </c>
      <c r="AG1352" s="518" t="s">
        <v>3756</v>
      </c>
      <c r="AH1352" s="67">
        <f>AC1352</f>
        <v>4824962.26</v>
      </c>
      <c r="AI1352" s="10"/>
      <c r="AJ1352" s="9"/>
      <c r="AK1352" s="10"/>
      <c r="AL1352" s="10"/>
    </row>
    <row r="1353" spans="1:38" ht="45" hidden="1">
      <c r="A1353" s="1">
        <f t="shared" si="133"/>
        <v>0</v>
      </c>
      <c r="B1353" s="2" t="s">
        <v>3821</v>
      </c>
      <c r="C1353" s="3" t="s">
        <v>3822</v>
      </c>
      <c r="D1353" s="15" t="s">
        <v>11777</v>
      </c>
      <c r="E1353" s="4" t="s">
        <v>3821</v>
      </c>
      <c r="F1353" s="37" t="s">
        <v>3822</v>
      </c>
      <c r="G1353" s="38">
        <v>43284.71</v>
      </c>
      <c r="H1353" s="38">
        <v>73312.62</v>
      </c>
      <c r="I1353" s="15"/>
      <c r="J1353" s="494">
        <v>20411021102</v>
      </c>
      <c r="K1353" s="517"/>
      <c r="L1353" s="517" t="s">
        <v>3755</v>
      </c>
      <c r="M1353" s="517" t="s">
        <v>607</v>
      </c>
      <c r="N1353" s="518" t="s">
        <v>3756</v>
      </c>
      <c r="O1353" s="517">
        <v>2</v>
      </c>
      <c r="P1353" s="517" t="s">
        <v>693</v>
      </c>
      <c r="Q1353" s="517" t="s">
        <v>1229</v>
      </c>
      <c r="R1353" s="517" t="s">
        <v>647</v>
      </c>
      <c r="S1353" s="517" t="s">
        <v>1229</v>
      </c>
      <c r="T1353" s="518" t="s">
        <v>3820</v>
      </c>
      <c r="U1353" s="38">
        <v>73312.62</v>
      </c>
      <c r="V1353" s="15" t="str">
        <f t="shared" si="139"/>
        <v/>
      </c>
      <c r="W1353" s="1"/>
      <c r="X1353" s="1"/>
      <c r="Y1353" s="1"/>
      <c r="Z1353" s="1"/>
      <c r="AA1353" s="1"/>
      <c r="AB1353" s="3"/>
      <c r="AC1353" s="9"/>
      <c r="AD1353" s="517" t="e">
        <v>#N/A</v>
      </c>
      <c r="AE1353" s="517" t="e">
        <v>#N/A</v>
      </c>
      <c r="AF1353" s="517" t="e">
        <v>#N/A</v>
      </c>
      <c r="AG1353" s="520" t="e">
        <v>#N/A</v>
      </c>
      <c r="AH1353" s="9"/>
      <c r="AI1353" s="10"/>
      <c r="AJ1353" s="9"/>
      <c r="AK1353" s="10"/>
      <c r="AL1353" s="10"/>
    </row>
    <row r="1354" spans="1:38" ht="45" hidden="1">
      <c r="A1354" s="1">
        <f t="shared" si="133"/>
        <v>0</v>
      </c>
      <c r="B1354" s="2" t="s">
        <v>3823</v>
      </c>
      <c r="C1354" s="3" t="s">
        <v>3824</v>
      </c>
      <c r="D1354" s="15" t="s">
        <v>11777</v>
      </c>
      <c r="E1354" s="4" t="s">
        <v>3823</v>
      </c>
      <c r="F1354" s="37" t="s">
        <v>3824</v>
      </c>
      <c r="G1354" s="38">
        <v>486416.5</v>
      </c>
      <c r="H1354" s="38">
        <v>-563776.18999999994</v>
      </c>
      <c r="I1354" s="15"/>
      <c r="J1354" s="494">
        <v>20411021103</v>
      </c>
      <c r="K1354" s="517"/>
      <c r="L1354" s="517" t="s">
        <v>3755</v>
      </c>
      <c r="M1354" s="517" t="s">
        <v>607</v>
      </c>
      <c r="N1354" s="518" t="s">
        <v>3756</v>
      </c>
      <c r="O1354" s="517">
        <v>2</v>
      </c>
      <c r="P1354" s="517" t="s">
        <v>693</v>
      </c>
      <c r="Q1354" s="517" t="s">
        <v>1229</v>
      </c>
      <c r="R1354" s="517" t="s">
        <v>647</v>
      </c>
      <c r="S1354" s="517" t="s">
        <v>1229</v>
      </c>
      <c r="T1354" s="518" t="s">
        <v>3820</v>
      </c>
      <c r="U1354" s="38">
        <v>-563776.18999999994</v>
      </c>
      <c r="V1354" s="15" t="str">
        <f t="shared" si="139"/>
        <v/>
      </c>
      <c r="W1354" s="1"/>
      <c r="X1354" s="1"/>
      <c r="Y1354" s="1"/>
      <c r="Z1354" s="1"/>
      <c r="AA1354" s="1"/>
      <c r="AB1354" s="3"/>
      <c r="AC1354" s="9"/>
      <c r="AD1354" s="517" t="e">
        <v>#N/A</v>
      </c>
      <c r="AE1354" s="517" t="e">
        <v>#N/A</v>
      </c>
      <c r="AF1354" s="517" t="e">
        <v>#N/A</v>
      </c>
      <c r="AG1354" s="520" t="e">
        <v>#N/A</v>
      </c>
      <c r="AH1354" s="9"/>
      <c r="AI1354" s="10"/>
      <c r="AJ1354" s="9"/>
      <c r="AK1354" s="10"/>
      <c r="AL1354" s="10"/>
    </row>
    <row r="1355" spans="1:38" ht="45" hidden="1">
      <c r="A1355" s="1">
        <f t="shared" si="133"/>
        <v>0</v>
      </c>
      <c r="B1355" s="2" t="s">
        <v>3825</v>
      </c>
      <c r="C1355" s="3" t="s">
        <v>3826</v>
      </c>
      <c r="D1355" s="15" t="s">
        <v>11777</v>
      </c>
      <c r="E1355" s="4" t="s">
        <v>3825</v>
      </c>
      <c r="F1355" s="37" t="s">
        <v>3826</v>
      </c>
      <c r="G1355" s="38">
        <v>400752.4</v>
      </c>
      <c r="H1355" s="38">
        <v>-1393073.1</v>
      </c>
      <c r="I1355" s="15"/>
      <c r="J1355" s="494">
        <v>20411021104</v>
      </c>
      <c r="K1355" s="517"/>
      <c r="L1355" s="517" t="s">
        <v>3755</v>
      </c>
      <c r="M1355" s="517" t="s">
        <v>607</v>
      </c>
      <c r="N1355" s="518" t="s">
        <v>3756</v>
      </c>
      <c r="O1355" s="517">
        <v>2</v>
      </c>
      <c r="P1355" s="517" t="s">
        <v>693</v>
      </c>
      <c r="Q1355" s="517" t="s">
        <v>1229</v>
      </c>
      <c r="R1355" s="517" t="s">
        <v>647</v>
      </c>
      <c r="S1355" s="517" t="s">
        <v>1229</v>
      </c>
      <c r="T1355" s="518" t="s">
        <v>3820</v>
      </c>
      <c r="U1355" s="38">
        <v>-1393073.1</v>
      </c>
      <c r="V1355" s="15" t="str">
        <f t="shared" si="139"/>
        <v/>
      </c>
      <c r="W1355" s="1"/>
      <c r="X1355" s="1"/>
      <c r="Y1355" s="1"/>
      <c r="Z1355" s="1"/>
      <c r="AA1355" s="1"/>
      <c r="AB1355" s="3"/>
      <c r="AC1355" s="9"/>
      <c r="AD1355" s="517" t="e">
        <v>#N/A</v>
      </c>
      <c r="AE1355" s="517" t="e">
        <v>#N/A</v>
      </c>
      <c r="AF1355" s="517" t="e">
        <v>#N/A</v>
      </c>
      <c r="AG1355" s="520" t="e">
        <v>#N/A</v>
      </c>
      <c r="AH1355" s="9"/>
      <c r="AI1355" s="10"/>
      <c r="AJ1355" s="9"/>
      <c r="AK1355" s="10"/>
      <c r="AL1355" s="10"/>
    </row>
    <row r="1356" spans="1:38" ht="45" hidden="1">
      <c r="A1356" s="1">
        <f t="shared" si="133"/>
        <v>0</v>
      </c>
      <c r="B1356" s="2" t="s">
        <v>3827</v>
      </c>
      <c r="C1356" s="3" t="s">
        <v>3828</v>
      </c>
      <c r="D1356" s="15" t="s">
        <v>11778</v>
      </c>
      <c r="E1356" s="4" t="s">
        <v>3827</v>
      </c>
      <c r="F1356" s="37" t="s">
        <v>3828</v>
      </c>
      <c r="G1356" s="38">
        <v>0</v>
      </c>
      <c r="H1356" s="38">
        <v>0</v>
      </c>
      <c r="I1356" s="15"/>
      <c r="J1356" s="494">
        <v>20411021201</v>
      </c>
      <c r="K1356" s="517"/>
      <c r="L1356" s="517" t="s">
        <v>3755</v>
      </c>
      <c r="M1356" s="517" t="s">
        <v>607</v>
      </c>
      <c r="N1356" s="518" t="s">
        <v>3756</v>
      </c>
      <c r="O1356" s="517">
        <v>2</v>
      </c>
      <c r="P1356" s="517" t="s">
        <v>693</v>
      </c>
      <c r="Q1356" s="517" t="s">
        <v>1229</v>
      </c>
      <c r="R1356" s="517" t="s">
        <v>647</v>
      </c>
      <c r="S1356" s="517" t="s">
        <v>1243</v>
      </c>
      <c r="T1356" s="518" t="s">
        <v>3829</v>
      </c>
      <c r="U1356" s="38">
        <v>0</v>
      </c>
      <c r="V1356" s="15" t="str">
        <f t="shared" si="139"/>
        <v>204110212</v>
      </c>
      <c r="W1356" s="39">
        <v>2</v>
      </c>
      <c r="X1356" s="50" t="s">
        <v>693</v>
      </c>
      <c r="Y1356" s="40" t="s">
        <v>1229</v>
      </c>
      <c r="Z1356" s="40" t="s">
        <v>647</v>
      </c>
      <c r="AA1356" s="40" t="s">
        <v>1243</v>
      </c>
      <c r="AB1356" s="42" t="s">
        <v>3829</v>
      </c>
      <c r="AC1356" s="519">
        <f>SUM(H1356:H1359)</f>
        <v>0</v>
      </c>
      <c r="AD1356" s="517">
        <v>0</v>
      </c>
      <c r="AE1356" s="517" t="s">
        <v>3755</v>
      </c>
      <c r="AF1356" s="517" t="s">
        <v>607</v>
      </c>
      <c r="AG1356" s="518" t="s">
        <v>3756</v>
      </c>
      <c r="AH1356" s="67">
        <f>AC1356</f>
        <v>0</v>
      </c>
      <c r="AI1356" s="10"/>
      <c r="AJ1356" s="9">
        <f t="shared" ref="AJ1356:AJ1385" si="140">AH1356-H1356</f>
        <v>0</v>
      </c>
      <c r="AK1356" s="10"/>
      <c r="AL1356" s="10"/>
    </row>
    <row r="1357" spans="1:38" ht="45" hidden="1">
      <c r="A1357" s="1">
        <f t="shared" si="133"/>
        <v>0</v>
      </c>
      <c r="B1357" s="2" t="s">
        <v>3830</v>
      </c>
      <c r="C1357" s="3" t="s">
        <v>3831</v>
      </c>
      <c r="D1357" s="15" t="s">
        <v>11778</v>
      </c>
      <c r="E1357" s="4" t="s">
        <v>3830</v>
      </c>
      <c r="F1357" s="37" t="s">
        <v>3831</v>
      </c>
      <c r="G1357" s="38">
        <v>0</v>
      </c>
      <c r="H1357" s="38">
        <v>0</v>
      </c>
      <c r="I1357" s="15"/>
      <c r="J1357" s="494">
        <v>20411021202</v>
      </c>
      <c r="K1357" s="517"/>
      <c r="L1357" s="517" t="s">
        <v>3755</v>
      </c>
      <c r="M1357" s="517" t="s">
        <v>607</v>
      </c>
      <c r="N1357" s="518" t="s">
        <v>3756</v>
      </c>
      <c r="O1357" s="517">
        <v>2</v>
      </c>
      <c r="P1357" s="517" t="s">
        <v>693</v>
      </c>
      <c r="Q1357" s="517" t="s">
        <v>1229</v>
      </c>
      <c r="R1357" s="517" t="s">
        <v>647</v>
      </c>
      <c r="S1357" s="517" t="s">
        <v>1243</v>
      </c>
      <c r="T1357" s="518" t="s">
        <v>3829</v>
      </c>
      <c r="U1357" s="38">
        <v>0</v>
      </c>
      <c r="V1357" s="15" t="str">
        <f t="shared" si="139"/>
        <v/>
      </c>
      <c r="W1357" s="1"/>
      <c r="X1357" s="1"/>
      <c r="Y1357" s="1"/>
      <c r="Z1357" s="1"/>
      <c r="AA1357" s="1"/>
      <c r="AB1357" s="3"/>
      <c r="AC1357" s="9"/>
      <c r="AD1357" s="517" t="e">
        <v>#N/A</v>
      </c>
      <c r="AE1357" s="517" t="e">
        <v>#N/A</v>
      </c>
      <c r="AF1357" s="517" t="e">
        <v>#N/A</v>
      </c>
      <c r="AG1357" s="520" t="e">
        <v>#N/A</v>
      </c>
      <c r="AH1357" s="9"/>
      <c r="AI1357" s="10"/>
      <c r="AJ1357" s="9">
        <f t="shared" si="140"/>
        <v>0</v>
      </c>
      <c r="AK1357" s="10"/>
      <c r="AL1357" s="10"/>
    </row>
    <row r="1358" spans="1:38" ht="45" hidden="1">
      <c r="A1358" s="1">
        <f t="shared" si="133"/>
        <v>0</v>
      </c>
      <c r="B1358" s="2" t="s">
        <v>3832</v>
      </c>
      <c r="C1358" s="3" t="s">
        <v>3833</v>
      </c>
      <c r="D1358" s="15" t="s">
        <v>11778</v>
      </c>
      <c r="E1358" s="4" t="s">
        <v>3832</v>
      </c>
      <c r="F1358" s="37" t="s">
        <v>3833</v>
      </c>
      <c r="G1358" s="38">
        <v>0</v>
      </c>
      <c r="H1358" s="38">
        <v>0</v>
      </c>
      <c r="I1358" s="15"/>
      <c r="J1358" s="494">
        <v>20411021203</v>
      </c>
      <c r="K1358" s="517"/>
      <c r="L1358" s="517" t="s">
        <v>3755</v>
      </c>
      <c r="M1358" s="517" t="s">
        <v>607</v>
      </c>
      <c r="N1358" s="518" t="s">
        <v>3756</v>
      </c>
      <c r="O1358" s="517">
        <v>2</v>
      </c>
      <c r="P1358" s="517" t="s">
        <v>693</v>
      </c>
      <c r="Q1358" s="517" t="s">
        <v>1229</v>
      </c>
      <c r="R1358" s="517" t="s">
        <v>647</v>
      </c>
      <c r="S1358" s="517" t="s">
        <v>1243</v>
      </c>
      <c r="T1358" s="518" t="s">
        <v>3829</v>
      </c>
      <c r="U1358" s="38">
        <v>0</v>
      </c>
      <c r="V1358" s="15" t="str">
        <f t="shared" si="139"/>
        <v/>
      </c>
      <c r="W1358" s="1"/>
      <c r="X1358" s="1"/>
      <c r="Y1358" s="1"/>
      <c r="Z1358" s="1"/>
      <c r="AA1358" s="1"/>
      <c r="AB1358" s="3"/>
      <c r="AC1358" s="9"/>
      <c r="AD1358" s="517" t="e">
        <v>#N/A</v>
      </c>
      <c r="AE1358" s="517" t="e">
        <v>#N/A</v>
      </c>
      <c r="AF1358" s="517" t="e">
        <v>#N/A</v>
      </c>
      <c r="AG1358" s="520" t="e">
        <v>#N/A</v>
      </c>
      <c r="AH1358" s="9"/>
      <c r="AI1358" s="10"/>
      <c r="AJ1358" s="9">
        <f t="shared" si="140"/>
        <v>0</v>
      </c>
      <c r="AK1358" s="10"/>
      <c r="AL1358" s="10"/>
    </row>
    <row r="1359" spans="1:38" ht="45" hidden="1">
      <c r="A1359" s="1">
        <f t="shared" si="133"/>
        <v>0</v>
      </c>
      <c r="B1359" s="2" t="s">
        <v>3834</v>
      </c>
      <c r="C1359" s="3" t="s">
        <v>3835</v>
      </c>
      <c r="D1359" s="15" t="s">
        <v>11778</v>
      </c>
      <c r="E1359" s="4" t="s">
        <v>3834</v>
      </c>
      <c r="F1359" s="37" t="s">
        <v>3835</v>
      </c>
      <c r="G1359" s="38">
        <v>0</v>
      </c>
      <c r="H1359" s="38">
        <v>0</v>
      </c>
      <c r="I1359" s="15"/>
      <c r="J1359" s="494">
        <v>20411021204</v>
      </c>
      <c r="K1359" s="517"/>
      <c r="L1359" s="517" t="s">
        <v>3755</v>
      </c>
      <c r="M1359" s="517" t="s">
        <v>607</v>
      </c>
      <c r="N1359" s="518" t="s">
        <v>3756</v>
      </c>
      <c r="O1359" s="517">
        <v>2</v>
      </c>
      <c r="P1359" s="517" t="s">
        <v>693</v>
      </c>
      <c r="Q1359" s="517" t="s">
        <v>1229</v>
      </c>
      <c r="R1359" s="517" t="s">
        <v>647</v>
      </c>
      <c r="S1359" s="517" t="s">
        <v>1243</v>
      </c>
      <c r="T1359" s="518" t="s">
        <v>3829</v>
      </c>
      <c r="U1359" s="38">
        <v>0</v>
      </c>
      <c r="V1359" s="15" t="str">
        <f t="shared" si="139"/>
        <v/>
      </c>
      <c r="W1359" s="1"/>
      <c r="X1359" s="1"/>
      <c r="Y1359" s="1"/>
      <c r="Z1359" s="1"/>
      <c r="AA1359" s="1"/>
      <c r="AB1359" s="3"/>
      <c r="AC1359" s="9"/>
      <c r="AD1359" s="517" t="e">
        <v>#N/A</v>
      </c>
      <c r="AE1359" s="517" t="e">
        <v>#N/A</v>
      </c>
      <c r="AF1359" s="517" t="e">
        <v>#N/A</v>
      </c>
      <c r="AG1359" s="520" t="e">
        <v>#N/A</v>
      </c>
      <c r="AH1359" s="9"/>
      <c r="AI1359" s="10"/>
      <c r="AJ1359" s="9">
        <f t="shared" si="140"/>
        <v>0</v>
      </c>
      <c r="AK1359" s="10"/>
      <c r="AL1359" s="10"/>
    </row>
    <row r="1360" spans="1:38" ht="45" hidden="1">
      <c r="A1360" s="1">
        <f t="shared" si="133"/>
        <v>0</v>
      </c>
      <c r="B1360" s="2" t="s">
        <v>3836</v>
      </c>
      <c r="C1360" s="3" t="s">
        <v>3837</v>
      </c>
      <c r="D1360" s="15" t="s">
        <v>11779</v>
      </c>
      <c r="E1360" s="4" t="s">
        <v>3836</v>
      </c>
      <c r="F1360" s="37" t="s">
        <v>3837</v>
      </c>
      <c r="G1360" s="38">
        <v>0</v>
      </c>
      <c r="H1360" s="38">
        <v>0</v>
      </c>
      <c r="I1360" s="15"/>
      <c r="J1360" s="494">
        <v>20411021301</v>
      </c>
      <c r="K1360" s="517"/>
      <c r="L1360" s="517" t="s">
        <v>3755</v>
      </c>
      <c r="M1360" s="517" t="s">
        <v>607</v>
      </c>
      <c r="N1360" s="518" t="s">
        <v>3756</v>
      </c>
      <c r="O1360" s="517">
        <v>2</v>
      </c>
      <c r="P1360" s="517" t="s">
        <v>693</v>
      </c>
      <c r="Q1360" s="517" t="s">
        <v>1229</v>
      </c>
      <c r="R1360" s="517" t="s">
        <v>647</v>
      </c>
      <c r="S1360" s="517" t="s">
        <v>1247</v>
      </c>
      <c r="T1360" s="518" t="s">
        <v>3838</v>
      </c>
      <c r="U1360" s="38">
        <v>0</v>
      </c>
      <c r="V1360" s="15" t="str">
        <f t="shared" si="139"/>
        <v>204110213</v>
      </c>
      <c r="W1360" s="39">
        <v>2</v>
      </c>
      <c r="X1360" s="50" t="s">
        <v>693</v>
      </c>
      <c r="Y1360" s="40" t="s">
        <v>1229</v>
      </c>
      <c r="Z1360" s="40" t="s">
        <v>647</v>
      </c>
      <c r="AA1360" s="40" t="s">
        <v>1247</v>
      </c>
      <c r="AB1360" s="42" t="s">
        <v>3838</v>
      </c>
      <c r="AC1360" s="519">
        <f>SUM(H1360:H1363)</f>
        <v>0</v>
      </c>
      <c r="AD1360" s="517">
        <v>0</v>
      </c>
      <c r="AE1360" s="517" t="s">
        <v>3755</v>
      </c>
      <c r="AF1360" s="517" t="s">
        <v>607</v>
      </c>
      <c r="AG1360" s="518" t="s">
        <v>3756</v>
      </c>
      <c r="AH1360" s="67">
        <f>AC1360</f>
        <v>0</v>
      </c>
      <c r="AI1360" s="10"/>
      <c r="AJ1360" s="9">
        <f t="shared" si="140"/>
        <v>0</v>
      </c>
      <c r="AK1360" s="10"/>
      <c r="AL1360" s="10"/>
    </row>
    <row r="1361" spans="1:38" ht="56.25" hidden="1">
      <c r="A1361" s="1">
        <f t="shared" si="133"/>
        <v>0</v>
      </c>
      <c r="B1361" s="2" t="s">
        <v>3839</v>
      </c>
      <c r="C1361" s="3" t="s">
        <v>3840</v>
      </c>
      <c r="D1361" s="15" t="s">
        <v>11779</v>
      </c>
      <c r="E1361" s="4" t="s">
        <v>3839</v>
      </c>
      <c r="F1361" s="37" t="s">
        <v>3840</v>
      </c>
      <c r="G1361" s="38">
        <v>0</v>
      </c>
      <c r="H1361" s="38">
        <v>0</v>
      </c>
      <c r="I1361" s="15"/>
      <c r="J1361" s="494">
        <v>20411021302</v>
      </c>
      <c r="K1361" s="517"/>
      <c r="L1361" s="517" t="s">
        <v>3755</v>
      </c>
      <c r="M1361" s="517" t="s">
        <v>607</v>
      </c>
      <c r="N1361" s="518" t="s">
        <v>3756</v>
      </c>
      <c r="O1361" s="517">
        <v>2</v>
      </c>
      <c r="P1361" s="517" t="s">
        <v>693</v>
      </c>
      <c r="Q1361" s="517" t="s">
        <v>1229</v>
      </c>
      <c r="R1361" s="517" t="s">
        <v>647</v>
      </c>
      <c r="S1361" s="517" t="s">
        <v>1247</v>
      </c>
      <c r="T1361" s="518" t="s">
        <v>3838</v>
      </c>
      <c r="U1361" s="38">
        <v>0</v>
      </c>
      <c r="V1361" s="15" t="str">
        <f t="shared" si="139"/>
        <v/>
      </c>
      <c r="W1361" s="1"/>
      <c r="X1361" s="1"/>
      <c r="Y1361" s="1"/>
      <c r="Z1361" s="1"/>
      <c r="AA1361" s="1"/>
      <c r="AB1361" s="3"/>
      <c r="AC1361" s="9"/>
      <c r="AD1361" s="517" t="e">
        <v>#N/A</v>
      </c>
      <c r="AE1361" s="517" t="e">
        <v>#N/A</v>
      </c>
      <c r="AF1361" s="517" t="e">
        <v>#N/A</v>
      </c>
      <c r="AG1361" s="520" t="e">
        <v>#N/A</v>
      </c>
      <c r="AH1361" s="9"/>
      <c r="AI1361" s="10"/>
      <c r="AJ1361" s="9">
        <f t="shared" si="140"/>
        <v>0</v>
      </c>
      <c r="AK1361" s="10"/>
      <c r="AL1361" s="10"/>
    </row>
    <row r="1362" spans="1:38" ht="45" hidden="1">
      <c r="A1362" s="1">
        <f t="shared" si="133"/>
        <v>0</v>
      </c>
      <c r="B1362" s="2" t="s">
        <v>3841</v>
      </c>
      <c r="C1362" s="3" t="s">
        <v>3842</v>
      </c>
      <c r="D1362" s="15" t="s">
        <v>11779</v>
      </c>
      <c r="E1362" s="4" t="s">
        <v>3841</v>
      </c>
      <c r="F1362" s="37" t="s">
        <v>3842</v>
      </c>
      <c r="G1362" s="38">
        <v>0</v>
      </c>
      <c r="H1362" s="38">
        <v>0</v>
      </c>
      <c r="I1362" s="15"/>
      <c r="J1362" s="494">
        <v>20411021303</v>
      </c>
      <c r="K1362" s="517"/>
      <c r="L1362" s="517" t="s">
        <v>3755</v>
      </c>
      <c r="M1362" s="517" t="s">
        <v>607</v>
      </c>
      <c r="N1362" s="518" t="s">
        <v>3756</v>
      </c>
      <c r="O1362" s="517">
        <v>2</v>
      </c>
      <c r="P1362" s="517" t="s">
        <v>693</v>
      </c>
      <c r="Q1362" s="517" t="s">
        <v>1229</v>
      </c>
      <c r="R1362" s="517" t="s">
        <v>647</v>
      </c>
      <c r="S1362" s="517" t="s">
        <v>1247</v>
      </c>
      <c r="T1362" s="518" t="s">
        <v>3838</v>
      </c>
      <c r="U1362" s="38">
        <v>0</v>
      </c>
      <c r="V1362" s="15" t="str">
        <f t="shared" si="139"/>
        <v/>
      </c>
      <c r="W1362" s="1"/>
      <c r="X1362" s="1"/>
      <c r="Y1362" s="1"/>
      <c r="Z1362" s="1"/>
      <c r="AA1362" s="1"/>
      <c r="AB1362" s="3"/>
      <c r="AC1362" s="9"/>
      <c r="AD1362" s="517" t="e">
        <v>#N/A</v>
      </c>
      <c r="AE1362" s="517" t="e">
        <v>#N/A</v>
      </c>
      <c r="AF1362" s="517" t="e">
        <v>#N/A</v>
      </c>
      <c r="AG1362" s="520" t="e">
        <v>#N/A</v>
      </c>
      <c r="AH1362" s="9"/>
      <c r="AI1362" s="10"/>
      <c r="AJ1362" s="9">
        <f t="shared" si="140"/>
        <v>0</v>
      </c>
      <c r="AK1362" s="10"/>
      <c r="AL1362" s="10"/>
    </row>
    <row r="1363" spans="1:38" ht="56.25" hidden="1">
      <c r="A1363" s="1">
        <f t="shared" si="133"/>
        <v>0</v>
      </c>
      <c r="B1363" s="2" t="s">
        <v>3843</v>
      </c>
      <c r="C1363" s="3" t="s">
        <v>3844</v>
      </c>
      <c r="D1363" s="15" t="s">
        <v>11779</v>
      </c>
      <c r="E1363" s="4" t="s">
        <v>3843</v>
      </c>
      <c r="F1363" s="37" t="s">
        <v>3844</v>
      </c>
      <c r="G1363" s="38">
        <v>0</v>
      </c>
      <c r="H1363" s="38">
        <v>0</v>
      </c>
      <c r="I1363" s="15"/>
      <c r="J1363" s="494">
        <v>20411021304</v>
      </c>
      <c r="K1363" s="517"/>
      <c r="L1363" s="517" t="s">
        <v>3755</v>
      </c>
      <c r="M1363" s="517" t="s">
        <v>607</v>
      </c>
      <c r="N1363" s="518" t="s">
        <v>3756</v>
      </c>
      <c r="O1363" s="517">
        <v>2</v>
      </c>
      <c r="P1363" s="517" t="s">
        <v>693</v>
      </c>
      <c r="Q1363" s="517" t="s">
        <v>1229</v>
      </c>
      <c r="R1363" s="517" t="s">
        <v>647</v>
      </c>
      <c r="S1363" s="517" t="s">
        <v>1247</v>
      </c>
      <c r="T1363" s="518" t="s">
        <v>3838</v>
      </c>
      <c r="U1363" s="38">
        <v>0</v>
      </c>
      <c r="V1363" s="15" t="str">
        <f t="shared" si="139"/>
        <v/>
      </c>
      <c r="W1363" s="1"/>
      <c r="X1363" s="1"/>
      <c r="Y1363" s="1"/>
      <c r="Z1363" s="1"/>
      <c r="AA1363" s="1"/>
      <c r="AB1363" s="3"/>
      <c r="AC1363" s="9"/>
      <c r="AD1363" s="517" t="e">
        <v>#N/A</v>
      </c>
      <c r="AE1363" s="517" t="e">
        <v>#N/A</v>
      </c>
      <c r="AF1363" s="517" t="e">
        <v>#N/A</v>
      </c>
      <c r="AG1363" s="520" t="e">
        <v>#N/A</v>
      </c>
      <c r="AH1363" s="9"/>
      <c r="AI1363" s="10"/>
      <c r="AJ1363" s="9">
        <f t="shared" si="140"/>
        <v>0</v>
      </c>
      <c r="AK1363" s="10"/>
      <c r="AL1363" s="10"/>
    </row>
    <row r="1364" spans="1:38" ht="45" hidden="1">
      <c r="A1364" s="1">
        <f t="shared" si="133"/>
        <v>0</v>
      </c>
      <c r="B1364" s="2" t="s">
        <v>3845</v>
      </c>
      <c r="C1364" s="3" t="s">
        <v>3846</v>
      </c>
      <c r="D1364" s="15" t="s">
        <v>11780</v>
      </c>
      <c r="E1364" s="4" t="s">
        <v>3845</v>
      </c>
      <c r="F1364" s="37" t="s">
        <v>3846</v>
      </c>
      <c r="G1364" s="38">
        <v>0</v>
      </c>
      <c r="H1364" s="38">
        <v>0</v>
      </c>
      <c r="I1364" s="15"/>
      <c r="J1364" s="494">
        <v>20411021401</v>
      </c>
      <c r="K1364" s="517"/>
      <c r="L1364" s="517" t="s">
        <v>3755</v>
      </c>
      <c r="M1364" s="517" t="s">
        <v>607</v>
      </c>
      <c r="N1364" s="518" t="s">
        <v>3756</v>
      </c>
      <c r="O1364" s="517">
        <v>2</v>
      </c>
      <c r="P1364" s="517" t="s">
        <v>693</v>
      </c>
      <c r="Q1364" s="517" t="s">
        <v>1229</v>
      </c>
      <c r="R1364" s="517" t="s">
        <v>647</v>
      </c>
      <c r="S1364" s="517" t="s">
        <v>1253</v>
      </c>
      <c r="T1364" s="518" t="s">
        <v>3847</v>
      </c>
      <c r="U1364" s="38">
        <v>0</v>
      </c>
      <c r="V1364" s="15" t="str">
        <f t="shared" si="139"/>
        <v>204110214</v>
      </c>
      <c r="W1364" s="39">
        <v>2</v>
      </c>
      <c r="X1364" s="50" t="s">
        <v>693</v>
      </c>
      <c r="Y1364" s="40" t="s">
        <v>1229</v>
      </c>
      <c r="Z1364" s="40" t="s">
        <v>647</v>
      </c>
      <c r="AA1364" s="40" t="s">
        <v>1253</v>
      </c>
      <c r="AB1364" s="42" t="s">
        <v>3847</v>
      </c>
      <c r="AC1364" s="519">
        <f>SUM(H1364:H1367)</f>
        <v>0</v>
      </c>
      <c r="AD1364" s="517">
        <v>0</v>
      </c>
      <c r="AE1364" s="517" t="s">
        <v>3755</v>
      </c>
      <c r="AF1364" s="517" t="s">
        <v>607</v>
      </c>
      <c r="AG1364" s="518" t="s">
        <v>3756</v>
      </c>
      <c r="AH1364" s="67">
        <f>AC1364</f>
        <v>0</v>
      </c>
      <c r="AI1364" s="10"/>
      <c r="AJ1364" s="9">
        <f t="shared" si="140"/>
        <v>0</v>
      </c>
      <c r="AK1364" s="10"/>
      <c r="AL1364" s="10"/>
    </row>
    <row r="1365" spans="1:38" ht="45" hidden="1">
      <c r="A1365" s="1">
        <f t="shared" si="133"/>
        <v>0</v>
      </c>
      <c r="B1365" s="2" t="s">
        <v>3848</v>
      </c>
      <c r="C1365" s="3" t="s">
        <v>3849</v>
      </c>
      <c r="D1365" s="15" t="s">
        <v>11780</v>
      </c>
      <c r="E1365" s="4" t="s">
        <v>3848</v>
      </c>
      <c r="F1365" s="37" t="s">
        <v>3849</v>
      </c>
      <c r="G1365" s="38">
        <v>0</v>
      </c>
      <c r="H1365" s="38">
        <v>0</v>
      </c>
      <c r="I1365" s="15"/>
      <c r="J1365" s="494">
        <v>20411021402</v>
      </c>
      <c r="K1365" s="517"/>
      <c r="L1365" s="517" t="s">
        <v>3755</v>
      </c>
      <c r="M1365" s="517" t="s">
        <v>607</v>
      </c>
      <c r="N1365" s="518" t="s">
        <v>3756</v>
      </c>
      <c r="O1365" s="517">
        <v>2</v>
      </c>
      <c r="P1365" s="517" t="s">
        <v>693</v>
      </c>
      <c r="Q1365" s="517" t="s">
        <v>1229</v>
      </c>
      <c r="R1365" s="517" t="s">
        <v>647</v>
      </c>
      <c r="S1365" s="517" t="s">
        <v>1253</v>
      </c>
      <c r="T1365" s="518" t="s">
        <v>3847</v>
      </c>
      <c r="U1365" s="38">
        <v>0</v>
      </c>
      <c r="V1365" s="15" t="str">
        <f t="shared" si="139"/>
        <v/>
      </c>
      <c r="W1365" s="1"/>
      <c r="X1365" s="1"/>
      <c r="Y1365" s="1"/>
      <c r="Z1365" s="1"/>
      <c r="AA1365" s="1"/>
      <c r="AB1365" s="3"/>
      <c r="AC1365" s="9"/>
      <c r="AD1365" s="517" t="e">
        <v>#N/A</v>
      </c>
      <c r="AE1365" s="517" t="e">
        <v>#N/A</v>
      </c>
      <c r="AF1365" s="517" t="e">
        <v>#N/A</v>
      </c>
      <c r="AG1365" s="520" t="e">
        <v>#N/A</v>
      </c>
      <c r="AH1365" s="9"/>
      <c r="AI1365" s="10"/>
      <c r="AJ1365" s="9">
        <f t="shared" si="140"/>
        <v>0</v>
      </c>
      <c r="AK1365" s="10"/>
      <c r="AL1365" s="10"/>
    </row>
    <row r="1366" spans="1:38" ht="45" hidden="1">
      <c r="A1366" s="1">
        <f t="shared" si="133"/>
        <v>0</v>
      </c>
      <c r="B1366" s="2" t="s">
        <v>3850</v>
      </c>
      <c r="C1366" s="3" t="s">
        <v>3851</v>
      </c>
      <c r="D1366" s="15" t="s">
        <v>11780</v>
      </c>
      <c r="E1366" s="4" t="s">
        <v>3850</v>
      </c>
      <c r="F1366" s="37" t="s">
        <v>3851</v>
      </c>
      <c r="G1366" s="38">
        <v>0</v>
      </c>
      <c r="H1366" s="38">
        <v>0</v>
      </c>
      <c r="I1366" s="15"/>
      <c r="J1366" s="494">
        <v>20411021403</v>
      </c>
      <c r="K1366" s="517"/>
      <c r="L1366" s="517" t="s">
        <v>3755</v>
      </c>
      <c r="M1366" s="517" t="s">
        <v>607</v>
      </c>
      <c r="N1366" s="518" t="s">
        <v>3756</v>
      </c>
      <c r="O1366" s="517">
        <v>2</v>
      </c>
      <c r="P1366" s="517" t="s">
        <v>693</v>
      </c>
      <c r="Q1366" s="517" t="s">
        <v>1229</v>
      </c>
      <c r="R1366" s="517" t="s">
        <v>647</v>
      </c>
      <c r="S1366" s="517" t="s">
        <v>1253</v>
      </c>
      <c r="T1366" s="518" t="s">
        <v>3847</v>
      </c>
      <c r="U1366" s="38">
        <v>0</v>
      </c>
      <c r="V1366" s="15" t="str">
        <f t="shared" si="139"/>
        <v/>
      </c>
      <c r="W1366" s="1"/>
      <c r="X1366" s="1"/>
      <c r="Y1366" s="1"/>
      <c r="Z1366" s="1"/>
      <c r="AA1366" s="1"/>
      <c r="AB1366" s="3"/>
      <c r="AC1366" s="9"/>
      <c r="AD1366" s="517" t="e">
        <v>#N/A</v>
      </c>
      <c r="AE1366" s="517" t="e">
        <v>#N/A</v>
      </c>
      <c r="AF1366" s="517" t="e">
        <v>#N/A</v>
      </c>
      <c r="AG1366" s="520" t="e">
        <v>#N/A</v>
      </c>
      <c r="AH1366" s="9"/>
      <c r="AI1366" s="10"/>
      <c r="AJ1366" s="9">
        <f t="shared" si="140"/>
        <v>0</v>
      </c>
      <c r="AK1366" s="10"/>
      <c r="AL1366" s="10"/>
    </row>
    <row r="1367" spans="1:38" ht="45" hidden="1">
      <c r="A1367" s="1">
        <f t="shared" ref="A1367:A1430" si="141">IF(E1367=B1367,0,1)</f>
        <v>0</v>
      </c>
      <c r="B1367" s="2" t="s">
        <v>3852</v>
      </c>
      <c r="C1367" s="3" t="s">
        <v>3853</v>
      </c>
      <c r="D1367" s="15" t="s">
        <v>11780</v>
      </c>
      <c r="E1367" s="4" t="s">
        <v>3852</v>
      </c>
      <c r="F1367" s="37" t="s">
        <v>3853</v>
      </c>
      <c r="G1367" s="38">
        <v>0</v>
      </c>
      <c r="H1367" s="38">
        <v>0</v>
      </c>
      <c r="I1367" s="15"/>
      <c r="J1367" s="494">
        <v>20411021404</v>
      </c>
      <c r="K1367" s="517"/>
      <c r="L1367" s="517" t="s">
        <v>3755</v>
      </c>
      <c r="M1367" s="517" t="s">
        <v>607</v>
      </c>
      <c r="N1367" s="518" t="s">
        <v>3756</v>
      </c>
      <c r="O1367" s="517">
        <v>2</v>
      </c>
      <c r="P1367" s="517" t="s">
        <v>693</v>
      </c>
      <c r="Q1367" s="517" t="s">
        <v>1229</v>
      </c>
      <c r="R1367" s="517" t="s">
        <v>647</v>
      </c>
      <c r="S1367" s="517" t="s">
        <v>1253</v>
      </c>
      <c r="T1367" s="518" t="s">
        <v>3847</v>
      </c>
      <c r="U1367" s="38">
        <v>0</v>
      </c>
      <c r="V1367" s="15" t="str">
        <f t="shared" si="139"/>
        <v/>
      </c>
      <c r="W1367" s="1"/>
      <c r="X1367" s="1"/>
      <c r="Y1367" s="1"/>
      <c r="Z1367" s="1"/>
      <c r="AA1367" s="1"/>
      <c r="AB1367" s="3"/>
      <c r="AC1367" s="9"/>
      <c r="AD1367" s="517" t="e">
        <v>#N/A</v>
      </c>
      <c r="AE1367" s="517" t="e">
        <v>#N/A</v>
      </c>
      <c r="AF1367" s="517" t="e">
        <v>#N/A</v>
      </c>
      <c r="AG1367" s="520" t="e">
        <v>#N/A</v>
      </c>
      <c r="AH1367" s="9"/>
      <c r="AI1367" s="10"/>
      <c r="AJ1367" s="9">
        <f t="shared" si="140"/>
        <v>0</v>
      </c>
      <c r="AK1367" s="10"/>
      <c r="AL1367" s="10"/>
    </row>
    <row r="1368" spans="1:38" ht="45" hidden="1">
      <c r="A1368" s="1">
        <f t="shared" si="141"/>
        <v>0</v>
      </c>
      <c r="B1368" s="2" t="s">
        <v>3854</v>
      </c>
      <c r="C1368" s="3" t="s">
        <v>3855</v>
      </c>
      <c r="D1368" s="15" t="s">
        <v>11781</v>
      </c>
      <c r="E1368" s="4" t="s">
        <v>3854</v>
      </c>
      <c r="F1368" s="37" t="s">
        <v>3855</v>
      </c>
      <c r="G1368" s="38">
        <v>0</v>
      </c>
      <c r="H1368" s="38">
        <v>0</v>
      </c>
      <c r="I1368" s="15"/>
      <c r="J1368" s="494">
        <v>20411021501</v>
      </c>
      <c r="K1368" s="517"/>
      <c r="L1368" s="517" t="s">
        <v>3755</v>
      </c>
      <c r="M1368" s="517" t="s">
        <v>607</v>
      </c>
      <c r="N1368" s="518" t="s">
        <v>3756</v>
      </c>
      <c r="O1368" s="517">
        <v>2</v>
      </c>
      <c r="P1368" s="517" t="s">
        <v>693</v>
      </c>
      <c r="Q1368" s="517" t="s">
        <v>1229</v>
      </c>
      <c r="R1368" s="517" t="s">
        <v>647</v>
      </c>
      <c r="S1368" s="517" t="s">
        <v>1257</v>
      </c>
      <c r="T1368" s="518" t="s">
        <v>3856</v>
      </c>
      <c r="U1368" s="38">
        <v>0</v>
      </c>
      <c r="V1368" s="15" t="str">
        <f t="shared" si="139"/>
        <v>204110215</v>
      </c>
      <c r="W1368" s="39">
        <v>2</v>
      </c>
      <c r="X1368" s="50" t="s">
        <v>693</v>
      </c>
      <c r="Y1368" s="40" t="s">
        <v>1229</v>
      </c>
      <c r="Z1368" s="40" t="s">
        <v>647</v>
      </c>
      <c r="AA1368" s="40" t="s">
        <v>1257</v>
      </c>
      <c r="AB1368" s="42" t="s">
        <v>3856</v>
      </c>
      <c r="AC1368" s="519">
        <f>SUM(H1368:H1371)</f>
        <v>0</v>
      </c>
      <c r="AD1368" s="517">
        <v>0</v>
      </c>
      <c r="AE1368" s="517" t="s">
        <v>3755</v>
      </c>
      <c r="AF1368" s="517" t="s">
        <v>607</v>
      </c>
      <c r="AG1368" s="518" t="s">
        <v>3756</v>
      </c>
      <c r="AH1368" s="67">
        <f>AC1368</f>
        <v>0</v>
      </c>
      <c r="AI1368" s="10"/>
      <c r="AJ1368" s="9">
        <f t="shared" si="140"/>
        <v>0</v>
      </c>
      <c r="AK1368" s="10"/>
      <c r="AL1368" s="10"/>
    </row>
    <row r="1369" spans="1:38" ht="45" hidden="1">
      <c r="A1369" s="1">
        <f t="shared" si="141"/>
        <v>0</v>
      </c>
      <c r="B1369" s="2" t="s">
        <v>3857</v>
      </c>
      <c r="C1369" s="3" t="s">
        <v>3858</v>
      </c>
      <c r="D1369" s="15" t="s">
        <v>11781</v>
      </c>
      <c r="E1369" s="4" t="s">
        <v>3857</v>
      </c>
      <c r="F1369" s="37" t="s">
        <v>3858</v>
      </c>
      <c r="G1369" s="38">
        <v>0</v>
      </c>
      <c r="H1369" s="38">
        <v>0</v>
      </c>
      <c r="I1369" s="15"/>
      <c r="J1369" s="494">
        <v>20411021502</v>
      </c>
      <c r="K1369" s="517"/>
      <c r="L1369" s="517" t="s">
        <v>3755</v>
      </c>
      <c r="M1369" s="517" t="s">
        <v>607</v>
      </c>
      <c r="N1369" s="518" t="s">
        <v>3756</v>
      </c>
      <c r="O1369" s="517">
        <v>2</v>
      </c>
      <c r="P1369" s="517" t="s">
        <v>693</v>
      </c>
      <c r="Q1369" s="517" t="s">
        <v>1229</v>
      </c>
      <c r="R1369" s="517" t="s">
        <v>647</v>
      </c>
      <c r="S1369" s="517" t="s">
        <v>1257</v>
      </c>
      <c r="T1369" s="518" t="s">
        <v>3856</v>
      </c>
      <c r="U1369" s="38">
        <v>0</v>
      </c>
      <c r="V1369" s="15" t="str">
        <f t="shared" si="139"/>
        <v/>
      </c>
      <c r="W1369" s="1"/>
      <c r="X1369" s="1"/>
      <c r="Y1369" s="1"/>
      <c r="Z1369" s="1"/>
      <c r="AA1369" s="1"/>
      <c r="AB1369" s="3"/>
      <c r="AC1369" s="9"/>
      <c r="AD1369" s="517" t="e">
        <v>#N/A</v>
      </c>
      <c r="AE1369" s="517" t="e">
        <v>#N/A</v>
      </c>
      <c r="AF1369" s="517" t="e">
        <v>#N/A</v>
      </c>
      <c r="AG1369" s="520" t="e">
        <v>#N/A</v>
      </c>
      <c r="AH1369" s="9"/>
      <c r="AI1369" s="10"/>
      <c r="AJ1369" s="9">
        <f t="shared" si="140"/>
        <v>0</v>
      </c>
      <c r="AK1369" s="10"/>
      <c r="AL1369" s="10"/>
    </row>
    <row r="1370" spans="1:38" ht="45" hidden="1">
      <c r="A1370" s="1">
        <f t="shared" si="141"/>
        <v>0</v>
      </c>
      <c r="B1370" s="2" t="s">
        <v>3859</v>
      </c>
      <c r="C1370" s="3" t="s">
        <v>3860</v>
      </c>
      <c r="D1370" s="15" t="s">
        <v>11781</v>
      </c>
      <c r="E1370" s="4" t="s">
        <v>3859</v>
      </c>
      <c r="F1370" s="37" t="s">
        <v>3860</v>
      </c>
      <c r="G1370" s="38">
        <v>0</v>
      </c>
      <c r="H1370" s="38">
        <v>0</v>
      </c>
      <c r="I1370" s="15"/>
      <c r="J1370" s="494">
        <v>20411021503</v>
      </c>
      <c r="K1370" s="517"/>
      <c r="L1370" s="517" t="s">
        <v>3755</v>
      </c>
      <c r="M1370" s="517" t="s">
        <v>607</v>
      </c>
      <c r="N1370" s="518" t="s">
        <v>3756</v>
      </c>
      <c r="O1370" s="517">
        <v>2</v>
      </c>
      <c r="P1370" s="517" t="s">
        <v>693</v>
      </c>
      <c r="Q1370" s="517" t="s">
        <v>1229</v>
      </c>
      <c r="R1370" s="517" t="s">
        <v>647</v>
      </c>
      <c r="S1370" s="517" t="s">
        <v>1257</v>
      </c>
      <c r="T1370" s="518" t="s">
        <v>3856</v>
      </c>
      <c r="U1370" s="38">
        <v>0</v>
      </c>
      <c r="V1370" s="15" t="str">
        <f t="shared" si="139"/>
        <v/>
      </c>
      <c r="W1370" s="1"/>
      <c r="X1370" s="1"/>
      <c r="Y1370" s="1"/>
      <c r="Z1370" s="1"/>
      <c r="AA1370" s="1"/>
      <c r="AB1370" s="3"/>
      <c r="AC1370" s="9"/>
      <c r="AD1370" s="517" t="e">
        <v>#N/A</v>
      </c>
      <c r="AE1370" s="517" t="e">
        <v>#N/A</v>
      </c>
      <c r="AF1370" s="517" t="e">
        <v>#N/A</v>
      </c>
      <c r="AG1370" s="520" t="e">
        <v>#N/A</v>
      </c>
      <c r="AH1370" s="9"/>
      <c r="AI1370" s="10"/>
      <c r="AJ1370" s="9">
        <f t="shared" si="140"/>
        <v>0</v>
      </c>
      <c r="AK1370" s="10"/>
      <c r="AL1370" s="10"/>
    </row>
    <row r="1371" spans="1:38" ht="45" hidden="1">
      <c r="A1371" s="1">
        <f t="shared" si="141"/>
        <v>0</v>
      </c>
      <c r="B1371" s="2" t="s">
        <v>3861</v>
      </c>
      <c r="C1371" s="3" t="s">
        <v>3862</v>
      </c>
      <c r="D1371" s="15" t="s">
        <v>11781</v>
      </c>
      <c r="E1371" s="4" t="s">
        <v>3861</v>
      </c>
      <c r="F1371" s="37" t="s">
        <v>3862</v>
      </c>
      <c r="G1371" s="38">
        <v>0</v>
      </c>
      <c r="H1371" s="38">
        <v>0</v>
      </c>
      <c r="I1371" s="15"/>
      <c r="J1371" s="494">
        <v>20411021504</v>
      </c>
      <c r="K1371" s="517"/>
      <c r="L1371" s="517" t="s">
        <v>3755</v>
      </c>
      <c r="M1371" s="517" t="s">
        <v>607</v>
      </c>
      <c r="N1371" s="518" t="s">
        <v>3756</v>
      </c>
      <c r="O1371" s="517">
        <v>2</v>
      </c>
      <c r="P1371" s="517" t="s">
        <v>693</v>
      </c>
      <c r="Q1371" s="517" t="s">
        <v>1229</v>
      </c>
      <c r="R1371" s="517" t="s">
        <v>647</v>
      </c>
      <c r="S1371" s="517" t="s">
        <v>1257</v>
      </c>
      <c r="T1371" s="518" t="s">
        <v>3856</v>
      </c>
      <c r="U1371" s="38">
        <v>0</v>
      </c>
      <c r="V1371" s="15" t="str">
        <f t="shared" si="139"/>
        <v/>
      </c>
      <c r="W1371" s="1"/>
      <c r="X1371" s="1"/>
      <c r="Y1371" s="1"/>
      <c r="Z1371" s="1"/>
      <c r="AA1371" s="1"/>
      <c r="AB1371" s="3"/>
      <c r="AC1371" s="9"/>
      <c r="AD1371" s="517" t="e">
        <v>#N/A</v>
      </c>
      <c r="AE1371" s="517" t="e">
        <v>#N/A</v>
      </c>
      <c r="AF1371" s="517" t="e">
        <v>#N/A</v>
      </c>
      <c r="AG1371" s="520" t="e">
        <v>#N/A</v>
      </c>
      <c r="AH1371" s="9"/>
      <c r="AI1371" s="10"/>
      <c r="AJ1371" s="9">
        <f t="shared" si="140"/>
        <v>0</v>
      </c>
      <c r="AK1371" s="10"/>
      <c r="AL1371" s="10"/>
    </row>
    <row r="1372" spans="1:38" ht="33.75" hidden="1">
      <c r="A1372" s="1">
        <f t="shared" si="141"/>
        <v>0</v>
      </c>
      <c r="B1372" s="2" t="s">
        <v>3863</v>
      </c>
      <c r="C1372" s="3" t="s">
        <v>3864</v>
      </c>
      <c r="D1372" s="15" t="s">
        <v>11782</v>
      </c>
      <c r="E1372" s="4" t="s">
        <v>3863</v>
      </c>
      <c r="F1372" s="37" t="s">
        <v>3864</v>
      </c>
      <c r="G1372" s="38">
        <v>0</v>
      </c>
      <c r="H1372" s="38">
        <v>0</v>
      </c>
      <c r="I1372" s="15"/>
      <c r="J1372" s="494">
        <v>20411021601</v>
      </c>
      <c r="K1372" s="517"/>
      <c r="L1372" s="517" t="s">
        <v>3755</v>
      </c>
      <c r="M1372" s="517" t="s">
        <v>607</v>
      </c>
      <c r="N1372" s="518" t="s">
        <v>3756</v>
      </c>
      <c r="O1372" s="517">
        <v>2</v>
      </c>
      <c r="P1372" s="517" t="s">
        <v>693</v>
      </c>
      <c r="Q1372" s="517" t="s">
        <v>1229</v>
      </c>
      <c r="R1372" s="517" t="s">
        <v>647</v>
      </c>
      <c r="S1372" s="517" t="s">
        <v>1332</v>
      </c>
      <c r="T1372" s="518" t="s">
        <v>3864</v>
      </c>
      <c r="U1372" s="38">
        <v>0</v>
      </c>
      <c r="V1372" s="15" t="str">
        <f t="shared" si="139"/>
        <v>204110216</v>
      </c>
      <c r="W1372" s="39">
        <v>2</v>
      </c>
      <c r="X1372" s="50" t="s">
        <v>693</v>
      </c>
      <c r="Y1372" s="40" t="s">
        <v>1229</v>
      </c>
      <c r="Z1372" s="40" t="s">
        <v>647</v>
      </c>
      <c r="AA1372" s="40" t="s">
        <v>1332</v>
      </c>
      <c r="AB1372" s="42" t="s">
        <v>3864</v>
      </c>
      <c r="AC1372" s="519">
        <f t="shared" ref="AC1372:AC1377" si="142">H1372</f>
        <v>0</v>
      </c>
      <c r="AD1372" s="517">
        <v>0</v>
      </c>
      <c r="AE1372" s="517" t="s">
        <v>3755</v>
      </c>
      <c r="AF1372" s="517" t="s">
        <v>607</v>
      </c>
      <c r="AG1372" s="518" t="s">
        <v>3756</v>
      </c>
      <c r="AH1372" s="67">
        <f>AC1372</f>
        <v>0</v>
      </c>
      <c r="AI1372" s="10"/>
      <c r="AJ1372" s="9">
        <f t="shared" si="140"/>
        <v>0</v>
      </c>
      <c r="AK1372" s="10"/>
      <c r="AL1372" s="10"/>
    </row>
    <row r="1373" spans="1:38" ht="33.75" hidden="1">
      <c r="A1373" s="1">
        <f t="shared" si="141"/>
        <v>0</v>
      </c>
      <c r="B1373" s="2" t="s">
        <v>3865</v>
      </c>
      <c r="C1373" s="3" t="s">
        <v>3866</v>
      </c>
      <c r="D1373" s="15" t="s">
        <v>11783</v>
      </c>
      <c r="E1373" s="4" t="s">
        <v>3865</v>
      </c>
      <c r="F1373" s="37" t="s">
        <v>3866</v>
      </c>
      <c r="G1373" s="38">
        <v>0</v>
      </c>
      <c r="H1373" s="38">
        <v>0</v>
      </c>
      <c r="I1373" s="15"/>
      <c r="J1373" s="494">
        <v>20411021701</v>
      </c>
      <c r="K1373" s="517"/>
      <c r="L1373" s="517" t="s">
        <v>3755</v>
      </c>
      <c r="M1373" s="517" t="s">
        <v>607</v>
      </c>
      <c r="N1373" s="518" t="s">
        <v>3756</v>
      </c>
      <c r="O1373" s="517">
        <v>2</v>
      </c>
      <c r="P1373" s="517" t="s">
        <v>693</v>
      </c>
      <c r="Q1373" s="517" t="s">
        <v>1229</v>
      </c>
      <c r="R1373" s="517" t="s">
        <v>647</v>
      </c>
      <c r="S1373" s="517" t="s">
        <v>1838</v>
      </c>
      <c r="T1373" s="518" t="s">
        <v>3866</v>
      </c>
      <c r="U1373" s="38">
        <v>0</v>
      </c>
      <c r="V1373" s="15" t="str">
        <f t="shared" si="139"/>
        <v>204110217</v>
      </c>
      <c r="W1373" s="39">
        <v>2</v>
      </c>
      <c r="X1373" s="50" t="s">
        <v>693</v>
      </c>
      <c r="Y1373" s="40" t="s">
        <v>1229</v>
      </c>
      <c r="Z1373" s="40" t="s">
        <v>647</v>
      </c>
      <c r="AA1373" s="40" t="s">
        <v>1838</v>
      </c>
      <c r="AB1373" s="42" t="s">
        <v>3866</v>
      </c>
      <c r="AC1373" s="519">
        <f t="shared" si="142"/>
        <v>0</v>
      </c>
      <c r="AD1373" s="517">
        <v>0</v>
      </c>
      <c r="AE1373" s="517" t="s">
        <v>3755</v>
      </c>
      <c r="AF1373" s="517" t="s">
        <v>607</v>
      </c>
      <c r="AG1373" s="518" t="s">
        <v>3756</v>
      </c>
      <c r="AH1373" s="67">
        <f>AC1373</f>
        <v>0</v>
      </c>
      <c r="AI1373" s="10"/>
      <c r="AJ1373" s="9">
        <f t="shared" si="140"/>
        <v>0</v>
      </c>
      <c r="AK1373" s="10"/>
      <c r="AL1373" s="10"/>
    </row>
    <row r="1374" spans="1:38" ht="45" hidden="1">
      <c r="A1374" s="1">
        <f t="shared" si="141"/>
        <v>0</v>
      </c>
      <c r="B1374" s="2" t="s">
        <v>3867</v>
      </c>
      <c r="C1374" s="3" t="s">
        <v>3868</v>
      </c>
      <c r="D1374" s="15" t="s">
        <v>11784</v>
      </c>
      <c r="E1374" s="4" t="s">
        <v>3867</v>
      </c>
      <c r="F1374" s="37" t="s">
        <v>3868</v>
      </c>
      <c r="G1374" s="38">
        <v>0</v>
      </c>
      <c r="H1374" s="38">
        <v>0</v>
      </c>
      <c r="I1374" s="15"/>
      <c r="J1374" s="494">
        <v>20411021801</v>
      </c>
      <c r="K1374" s="531"/>
      <c r="L1374" s="531" t="s">
        <v>3755</v>
      </c>
      <c r="M1374" s="531" t="s">
        <v>607</v>
      </c>
      <c r="N1374" s="619" t="s">
        <v>3756</v>
      </c>
      <c r="O1374" s="531">
        <v>2</v>
      </c>
      <c r="P1374" s="531" t="s">
        <v>693</v>
      </c>
      <c r="Q1374" s="531" t="s">
        <v>1229</v>
      </c>
      <c r="R1374" s="531" t="s">
        <v>647</v>
      </c>
      <c r="S1374" s="531" t="s">
        <v>630</v>
      </c>
      <c r="T1374" s="619" t="s">
        <v>3754</v>
      </c>
      <c r="U1374" s="38">
        <v>0</v>
      </c>
      <c r="V1374" s="15" t="str">
        <f t="shared" si="139"/>
        <v>204110218</v>
      </c>
      <c r="W1374" s="39">
        <v>2</v>
      </c>
      <c r="X1374" s="50" t="s">
        <v>693</v>
      </c>
      <c r="Y1374" s="40" t="s">
        <v>1229</v>
      </c>
      <c r="Z1374" s="40" t="s">
        <v>647</v>
      </c>
      <c r="AA1374" s="40">
        <v>18</v>
      </c>
      <c r="AB1374" s="37" t="s">
        <v>3868</v>
      </c>
      <c r="AC1374" s="519">
        <f t="shared" si="142"/>
        <v>0</v>
      </c>
      <c r="AD1374" s="531" t="e">
        <v>#N/A</v>
      </c>
      <c r="AE1374" s="531" t="e">
        <v>#N/A</v>
      </c>
      <c r="AF1374" s="531" t="e">
        <v>#N/A</v>
      </c>
      <c r="AG1374" s="532" t="e">
        <v>#N/A</v>
      </c>
      <c r="AH1374" s="67"/>
      <c r="AI1374" s="10"/>
      <c r="AJ1374" s="9">
        <f t="shared" si="140"/>
        <v>0</v>
      </c>
      <c r="AK1374" s="10"/>
      <c r="AL1374" s="10"/>
    </row>
    <row r="1375" spans="1:38" ht="56.25" hidden="1">
      <c r="A1375" s="1">
        <f t="shared" si="141"/>
        <v>0</v>
      </c>
      <c r="B1375" s="2" t="s">
        <v>3869</v>
      </c>
      <c r="C1375" s="3" t="s">
        <v>3870</v>
      </c>
      <c r="D1375" s="15" t="s">
        <v>11785</v>
      </c>
      <c r="E1375" s="4" t="s">
        <v>3869</v>
      </c>
      <c r="F1375" s="37" t="s">
        <v>3870</v>
      </c>
      <c r="G1375" s="38">
        <v>0</v>
      </c>
      <c r="H1375" s="38">
        <v>0</v>
      </c>
      <c r="I1375" s="15"/>
      <c r="J1375" s="494">
        <v>20411021901</v>
      </c>
      <c r="K1375" s="517"/>
      <c r="L1375" s="517" t="s">
        <v>3755</v>
      </c>
      <c r="M1375" s="517" t="s">
        <v>607</v>
      </c>
      <c r="N1375" s="518" t="s">
        <v>3756</v>
      </c>
      <c r="O1375" s="517">
        <v>2</v>
      </c>
      <c r="P1375" s="517" t="s">
        <v>693</v>
      </c>
      <c r="Q1375" s="517" t="s">
        <v>1229</v>
      </c>
      <c r="R1375" s="517" t="s">
        <v>647</v>
      </c>
      <c r="S1375" s="517" t="s">
        <v>630</v>
      </c>
      <c r="T1375" s="518" t="s">
        <v>3754</v>
      </c>
      <c r="U1375" s="38">
        <v>0</v>
      </c>
      <c r="V1375" s="15" t="str">
        <f t="shared" si="139"/>
        <v>204110219</v>
      </c>
      <c r="W1375" s="39">
        <v>2</v>
      </c>
      <c r="X1375" s="50" t="s">
        <v>693</v>
      </c>
      <c r="Y1375" s="40" t="s">
        <v>1229</v>
      </c>
      <c r="Z1375" s="40" t="s">
        <v>647</v>
      </c>
      <c r="AA1375" s="40">
        <v>19</v>
      </c>
      <c r="AB1375" s="42" t="s">
        <v>3870</v>
      </c>
      <c r="AC1375" s="519">
        <f t="shared" si="142"/>
        <v>0</v>
      </c>
      <c r="AD1375" s="517" t="e">
        <v>#N/A</v>
      </c>
      <c r="AE1375" s="517" t="e">
        <v>#N/A</v>
      </c>
      <c r="AF1375" s="517" t="e">
        <v>#N/A</v>
      </c>
      <c r="AG1375" s="518" t="e">
        <v>#N/A</v>
      </c>
      <c r="AH1375" s="67"/>
      <c r="AI1375" s="10"/>
      <c r="AJ1375" s="9">
        <f t="shared" si="140"/>
        <v>0</v>
      </c>
      <c r="AK1375" s="10"/>
      <c r="AL1375" s="10"/>
    </row>
    <row r="1376" spans="1:38" ht="67.5" hidden="1">
      <c r="A1376" s="1">
        <f t="shared" si="141"/>
        <v>0</v>
      </c>
      <c r="B1376" s="2" t="s">
        <v>3871</v>
      </c>
      <c r="C1376" s="3" t="s">
        <v>3872</v>
      </c>
      <c r="D1376" s="15" t="s">
        <v>11786</v>
      </c>
      <c r="E1376" s="4" t="s">
        <v>3871</v>
      </c>
      <c r="F1376" s="37" t="s">
        <v>3872</v>
      </c>
      <c r="G1376" s="38">
        <v>0</v>
      </c>
      <c r="H1376" s="38">
        <v>0</v>
      </c>
      <c r="I1376" s="15"/>
      <c r="J1376" s="494">
        <v>20411022001</v>
      </c>
      <c r="K1376" s="531"/>
      <c r="L1376" s="531" t="s">
        <v>3755</v>
      </c>
      <c r="M1376" s="531" t="s">
        <v>607</v>
      </c>
      <c r="N1376" s="619" t="s">
        <v>3756</v>
      </c>
      <c r="O1376" s="531">
        <v>2</v>
      </c>
      <c r="P1376" s="531" t="s">
        <v>693</v>
      </c>
      <c r="Q1376" s="531" t="s">
        <v>1229</v>
      </c>
      <c r="R1376" s="531" t="s">
        <v>647</v>
      </c>
      <c r="S1376" s="531" t="s">
        <v>630</v>
      </c>
      <c r="T1376" s="619" t="s">
        <v>3754</v>
      </c>
      <c r="U1376" s="38">
        <v>0</v>
      </c>
      <c r="V1376" s="15" t="str">
        <f t="shared" si="139"/>
        <v>204110220</v>
      </c>
      <c r="W1376" s="39">
        <v>2</v>
      </c>
      <c r="X1376" s="103" t="s">
        <v>693</v>
      </c>
      <c r="Y1376" s="40" t="s">
        <v>1229</v>
      </c>
      <c r="Z1376" s="40" t="s">
        <v>647</v>
      </c>
      <c r="AA1376" s="40">
        <v>20</v>
      </c>
      <c r="AB1376" s="104" t="s">
        <v>3872</v>
      </c>
      <c r="AC1376" s="519">
        <f t="shared" si="142"/>
        <v>0</v>
      </c>
      <c r="AD1376" s="620" t="e">
        <v>#N/A</v>
      </c>
      <c r="AE1376" s="620" t="e">
        <v>#N/A</v>
      </c>
      <c r="AF1376" s="620" t="e">
        <v>#N/A</v>
      </c>
      <c r="AG1376" s="621" t="e">
        <v>#N/A</v>
      </c>
      <c r="AH1376" s="67"/>
      <c r="AI1376" s="10"/>
      <c r="AJ1376" s="9">
        <f t="shared" si="140"/>
        <v>0</v>
      </c>
      <c r="AK1376" s="10"/>
      <c r="AL1376" s="10"/>
    </row>
    <row r="1377" spans="1:38" ht="45" hidden="1">
      <c r="A1377" s="1">
        <f t="shared" si="141"/>
        <v>0</v>
      </c>
      <c r="B1377" s="2" t="s">
        <v>3873</v>
      </c>
      <c r="C1377" s="3" t="s">
        <v>3874</v>
      </c>
      <c r="D1377" s="15" t="s">
        <v>11787</v>
      </c>
      <c r="E1377" s="4" t="s">
        <v>3873</v>
      </c>
      <c r="F1377" s="37" t="s">
        <v>3874</v>
      </c>
      <c r="G1377" s="38">
        <v>0</v>
      </c>
      <c r="H1377" s="38">
        <v>0</v>
      </c>
      <c r="I1377" s="15"/>
      <c r="J1377" s="494">
        <v>20411022101</v>
      </c>
      <c r="K1377" s="531"/>
      <c r="L1377" s="531" t="s">
        <v>3755</v>
      </c>
      <c r="M1377" s="531" t="s">
        <v>607</v>
      </c>
      <c r="N1377" s="619" t="s">
        <v>3756</v>
      </c>
      <c r="O1377" s="531">
        <v>2</v>
      </c>
      <c r="P1377" s="531" t="s">
        <v>693</v>
      </c>
      <c r="Q1377" s="531" t="s">
        <v>1229</v>
      </c>
      <c r="R1377" s="531" t="s">
        <v>647</v>
      </c>
      <c r="S1377" s="531" t="s">
        <v>630</v>
      </c>
      <c r="T1377" s="619" t="s">
        <v>3754</v>
      </c>
      <c r="U1377" s="38">
        <v>0</v>
      </c>
      <c r="V1377" s="15" t="str">
        <f t="shared" si="139"/>
        <v>204110221</v>
      </c>
      <c r="W1377" s="39">
        <v>2</v>
      </c>
      <c r="X1377" s="103" t="s">
        <v>693</v>
      </c>
      <c r="Y1377" s="40" t="s">
        <v>1229</v>
      </c>
      <c r="Z1377" s="40" t="s">
        <v>647</v>
      </c>
      <c r="AA1377" s="40">
        <v>21</v>
      </c>
      <c r="AB1377" s="104" t="s">
        <v>3874</v>
      </c>
      <c r="AC1377" s="519">
        <f t="shared" si="142"/>
        <v>0</v>
      </c>
      <c r="AD1377" s="620" t="e">
        <v>#N/A</v>
      </c>
      <c r="AE1377" s="620" t="e">
        <v>#N/A</v>
      </c>
      <c r="AF1377" s="620" t="e">
        <v>#N/A</v>
      </c>
      <c r="AG1377" s="621" t="e">
        <v>#N/A</v>
      </c>
      <c r="AH1377" s="67"/>
      <c r="AI1377" s="10"/>
      <c r="AJ1377" s="9">
        <f t="shared" si="140"/>
        <v>0</v>
      </c>
      <c r="AK1377" s="10"/>
      <c r="AL1377" s="10"/>
    </row>
    <row r="1378" spans="1:38" ht="33.75" hidden="1">
      <c r="A1378" s="1">
        <f t="shared" si="141"/>
        <v>0</v>
      </c>
      <c r="C1378" s="3" t="s">
        <v>3875</v>
      </c>
      <c r="D1378" s="15" t="s">
        <v>16</v>
      </c>
      <c r="E1378" s="30"/>
      <c r="F1378" s="31" t="s">
        <v>3876</v>
      </c>
      <c r="G1378" s="32">
        <f>SUM(G1379:G1659)</f>
        <v>11689345.42</v>
      </c>
      <c r="H1378" s="32">
        <f>SUM(H1379:H1659)</f>
        <v>5010009.7600000007</v>
      </c>
      <c r="I1378" s="15"/>
      <c r="J1378" s="494"/>
      <c r="K1378" s="513"/>
      <c r="L1378" s="513"/>
      <c r="M1378" s="513"/>
      <c r="N1378" s="514"/>
      <c r="O1378" s="513"/>
      <c r="P1378" s="513"/>
      <c r="Q1378" s="513"/>
      <c r="R1378" s="513"/>
      <c r="S1378" s="513"/>
      <c r="T1378" s="514"/>
      <c r="U1378" s="32">
        <f>SUM(U1379:U1659)</f>
        <v>5010009.7600000007</v>
      </c>
      <c r="V1378" s="15" t="str">
        <f t="shared" si="139"/>
        <v>204110300</v>
      </c>
      <c r="W1378" s="33">
        <v>2</v>
      </c>
      <c r="X1378" s="34" t="s">
        <v>693</v>
      </c>
      <c r="Y1378" s="34" t="s">
        <v>1229</v>
      </c>
      <c r="Z1378" s="34" t="s">
        <v>671</v>
      </c>
      <c r="AA1378" s="34" t="s">
        <v>630</v>
      </c>
      <c r="AB1378" s="31" t="s">
        <v>3876</v>
      </c>
      <c r="AC1378" s="529">
        <f>SUM(AC1379:AC1655)</f>
        <v>5010009.7599999979</v>
      </c>
      <c r="AD1378" s="513">
        <v>0</v>
      </c>
      <c r="AE1378" s="513" t="s">
        <v>3755</v>
      </c>
      <c r="AF1378" s="513" t="s">
        <v>607</v>
      </c>
      <c r="AG1378" s="514" t="s">
        <v>3756</v>
      </c>
      <c r="AH1378" s="44">
        <f>SUM(AH1379:AH1655)</f>
        <v>5010009.7599999979</v>
      </c>
      <c r="AI1378" s="10"/>
      <c r="AJ1378" s="9">
        <f t="shared" si="140"/>
        <v>0</v>
      </c>
      <c r="AK1378" s="10"/>
      <c r="AL1378" s="10"/>
    </row>
    <row r="1379" spans="1:38" ht="45" hidden="1">
      <c r="A1379" s="1">
        <f t="shared" si="141"/>
        <v>0</v>
      </c>
      <c r="B1379" s="2" t="s">
        <v>3877</v>
      </c>
      <c r="C1379" s="3" t="s">
        <v>3878</v>
      </c>
      <c r="D1379" s="15" t="s">
        <v>11788</v>
      </c>
      <c r="E1379" s="4" t="s">
        <v>3877</v>
      </c>
      <c r="F1379" s="37" t="s">
        <v>3878</v>
      </c>
      <c r="G1379" s="38">
        <v>0</v>
      </c>
      <c r="H1379" s="38">
        <v>0</v>
      </c>
      <c r="I1379" s="15"/>
      <c r="J1379" s="494">
        <v>20411030101</v>
      </c>
      <c r="K1379" s="517"/>
      <c r="L1379" s="517" t="s">
        <v>3755</v>
      </c>
      <c r="M1379" s="517" t="s">
        <v>607</v>
      </c>
      <c r="N1379" s="518" t="s">
        <v>3756</v>
      </c>
      <c r="O1379" s="517">
        <v>2</v>
      </c>
      <c r="P1379" s="517" t="s">
        <v>693</v>
      </c>
      <c r="Q1379" s="517" t="s">
        <v>1229</v>
      </c>
      <c r="R1379" s="517" t="s">
        <v>671</v>
      </c>
      <c r="S1379" s="517" t="s">
        <v>632</v>
      </c>
      <c r="T1379" s="518" t="s">
        <v>3879</v>
      </c>
      <c r="U1379" s="38">
        <v>0</v>
      </c>
      <c r="V1379" s="15" t="str">
        <f t="shared" si="139"/>
        <v>204110301</v>
      </c>
      <c r="W1379" s="39">
        <v>2</v>
      </c>
      <c r="X1379" s="50" t="s">
        <v>693</v>
      </c>
      <c r="Y1379" s="50" t="s">
        <v>1229</v>
      </c>
      <c r="Z1379" s="50" t="s">
        <v>671</v>
      </c>
      <c r="AA1379" s="40" t="s">
        <v>632</v>
      </c>
      <c r="AB1379" s="42" t="s">
        <v>3879</v>
      </c>
      <c r="AC1379" s="519">
        <f>SUM(H1379:H1385)</f>
        <v>0</v>
      </c>
      <c r="AD1379" s="517">
        <v>0</v>
      </c>
      <c r="AE1379" s="517" t="s">
        <v>3755</v>
      </c>
      <c r="AF1379" s="517" t="s">
        <v>607</v>
      </c>
      <c r="AG1379" s="518" t="s">
        <v>3756</v>
      </c>
      <c r="AH1379" s="67">
        <f>AC1379</f>
        <v>0</v>
      </c>
      <c r="AI1379" s="10"/>
      <c r="AJ1379" s="9">
        <f t="shared" si="140"/>
        <v>0</v>
      </c>
      <c r="AK1379" s="10"/>
      <c r="AL1379" s="10"/>
    </row>
    <row r="1380" spans="1:38" ht="33.75" hidden="1">
      <c r="A1380" s="1">
        <f t="shared" si="141"/>
        <v>0</v>
      </c>
      <c r="B1380" s="2" t="s">
        <v>3880</v>
      </c>
      <c r="C1380" s="3" t="s">
        <v>3881</v>
      </c>
      <c r="D1380" s="15" t="s">
        <v>11788</v>
      </c>
      <c r="E1380" s="4" t="s">
        <v>3880</v>
      </c>
      <c r="F1380" s="37" t="s">
        <v>3881</v>
      </c>
      <c r="G1380" s="38">
        <v>0</v>
      </c>
      <c r="H1380" s="38">
        <v>0</v>
      </c>
      <c r="I1380" s="15"/>
      <c r="J1380" s="494">
        <v>20411030102</v>
      </c>
      <c r="L1380" s="523" t="s">
        <v>3755</v>
      </c>
      <c r="M1380" s="523" t="s">
        <v>607</v>
      </c>
      <c r="N1380" s="518" t="s">
        <v>3756</v>
      </c>
      <c r="O1380" s="523">
        <v>2</v>
      </c>
      <c r="P1380" s="523" t="s">
        <v>693</v>
      </c>
      <c r="Q1380" s="523" t="s">
        <v>1229</v>
      </c>
      <c r="R1380" s="523" t="s">
        <v>671</v>
      </c>
      <c r="S1380" s="523" t="s">
        <v>632</v>
      </c>
      <c r="T1380" s="518" t="s">
        <v>3879</v>
      </c>
      <c r="U1380" s="38">
        <v>0</v>
      </c>
      <c r="V1380" s="15" t="str">
        <f t="shared" si="139"/>
        <v/>
      </c>
      <c r="W1380" s="10"/>
      <c r="X1380" s="10"/>
      <c r="Y1380" s="10"/>
      <c r="Z1380" s="10"/>
      <c r="AA1380" s="10"/>
      <c r="AB1380" s="10"/>
      <c r="AC1380" s="9"/>
      <c r="AD1380" s="523" t="e">
        <v>#N/A</v>
      </c>
      <c r="AE1380" s="523" t="e">
        <v>#N/A</v>
      </c>
      <c r="AF1380" s="523" t="e">
        <v>#N/A</v>
      </c>
      <c r="AG1380" s="524" t="e">
        <v>#N/A</v>
      </c>
      <c r="AH1380" s="9"/>
      <c r="AI1380" s="10"/>
      <c r="AJ1380" s="9">
        <f t="shared" si="140"/>
        <v>0</v>
      </c>
      <c r="AK1380" s="10"/>
      <c r="AL1380" s="10"/>
    </row>
    <row r="1381" spans="1:38" ht="33.75" hidden="1">
      <c r="A1381" s="1">
        <f t="shared" si="141"/>
        <v>0</v>
      </c>
      <c r="B1381" s="2" t="s">
        <v>3882</v>
      </c>
      <c r="C1381" s="3" t="s">
        <v>3883</v>
      </c>
      <c r="D1381" s="15" t="s">
        <v>11788</v>
      </c>
      <c r="E1381" s="4" t="s">
        <v>3882</v>
      </c>
      <c r="F1381" s="37" t="s">
        <v>3883</v>
      </c>
      <c r="G1381" s="38">
        <v>0</v>
      </c>
      <c r="H1381" s="38">
        <v>0</v>
      </c>
      <c r="I1381" s="15"/>
      <c r="J1381" s="494">
        <v>20411030103</v>
      </c>
      <c r="L1381" s="523" t="s">
        <v>3755</v>
      </c>
      <c r="M1381" s="523" t="s">
        <v>607</v>
      </c>
      <c r="N1381" s="518" t="s">
        <v>3756</v>
      </c>
      <c r="O1381" s="523">
        <v>2</v>
      </c>
      <c r="P1381" s="523" t="s">
        <v>693</v>
      </c>
      <c r="Q1381" s="523" t="s">
        <v>1229</v>
      </c>
      <c r="R1381" s="523" t="s">
        <v>671</v>
      </c>
      <c r="S1381" s="523" t="s">
        <v>632</v>
      </c>
      <c r="T1381" s="518" t="s">
        <v>3879</v>
      </c>
      <c r="U1381" s="38">
        <v>0</v>
      </c>
      <c r="V1381" s="15" t="str">
        <f t="shared" si="139"/>
        <v/>
      </c>
      <c r="W1381" s="10"/>
      <c r="X1381" s="10"/>
      <c r="Y1381" s="10"/>
      <c r="Z1381" s="10"/>
      <c r="AA1381" s="10"/>
      <c r="AB1381" s="10"/>
      <c r="AC1381" s="9"/>
      <c r="AD1381" s="523" t="e">
        <v>#N/A</v>
      </c>
      <c r="AE1381" s="523" t="e">
        <v>#N/A</v>
      </c>
      <c r="AF1381" s="523" t="e">
        <v>#N/A</v>
      </c>
      <c r="AG1381" s="524" t="e">
        <v>#N/A</v>
      </c>
      <c r="AH1381" s="9"/>
      <c r="AI1381" s="10"/>
      <c r="AJ1381" s="9">
        <f t="shared" si="140"/>
        <v>0</v>
      </c>
      <c r="AK1381" s="10"/>
      <c r="AL1381" s="10"/>
    </row>
    <row r="1382" spans="1:38" ht="33.75" hidden="1">
      <c r="A1382" s="1">
        <f t="shared" si="141"/>
        <v>0</v>
      </c>
      <c r="B1382" s="2" t="s">
        <v>3884</v>
      </c>
      <c r="C1382" s="3" t="s">
        <v>3885</v>
      </c>
      <c r="D1382" s="15" t="s">
        <v>11788</v>
      </c>
      <c r="E1382" s="4" t="s">
        <v>3884</v>
      </c>
      <c r="F1382" s="37" t="s">
        <v>3885</v>
      </c>
      <c r="G1382" s="38">
        <v>0</v>
      </c>
      <c r="H1382" s="38">
        <v>0</v>
      </c>
      <c r="I1382" s="15"/>
      <c r="J1382" s="494">
        <v>20411030104</v>
      </c>
      <c r="L1382" s="523" t="s">
        <v>3755</v>
      </c>
      <c r="M1382" s="523" t="s">
        <v>607</v>
      </c>
      <c r="N1382" s="518" t="s">
        <v>3756</v>
      </c>
      <c r="O1382" s="523">
        <v>2</v>
      </c>
      <c r="P1382" s="523" t="s">
        <v>693</v>
      </c>
      <c r="Q1382" s="523" t="s">
        <v>1229</v>
      </c>
      <c r="R1382" s="523" t="s">
        <v>671</v>
      </c>
      <c r="S1382" s="523" t="s">
        <v>632</v>
      </c>
      <c r="T1382" s="518" t="s">
        <v>3879</v>
      </c>
      <c r="U1382" s="38">
        <v>0</v>
      </c>
      <c r="V1382" s="15" t="str">
        <f t="shared" si="139"/>
        <v/>
      </c>
      <c r="W1382" s="10"/>
      <c r="X1382" s="10"/>
      <c r="Y1382" s="10"/>
      <c r="Z1382" s="10"/>
      <c r="AA1382" s="10"/>
      <c r="AB1382" s="10"/>
      <c r="AC1382" s="9"/>
      <c r="AD1382" s="523" t="e">
        <v>#N/A</v>
      </c>
      <c r="AE1382" s="523" t="e">
        <v>#N/A</v>
      </c>
      <c r="AF1382" s="523" t="e">
        <v>#N/A</v>
      </c>
      <c r="AG1382" s="524" t="e">
        <v>#N/A</v>
      </c>
      <c r="AH1382" s="9"/>
      <c r="AI1382" s="10"/>
      <c r="AJ1382" s="9">
        <f t="shared" si="140"/>
        <v>0</v>
      </c>
      <c r="AK1382" s="10"/>
      <c r="AL1382" s="10"/>
    </row>
    <row r="1383" spans="1:38" ht="33.75" hidden="1">
      <c r="A1383" s="1">
        <f t="shared" si="141"/>
        <v>0</v>
      </c>
      <c r="B1383" s="2" t="s">
        <v>3886</v>
      </c>
      <c r="C1383" s="3" t="s">
        <v>3887</v>
      </c>
      <c r="D1383" s="15" t="s">
        <v>11788</v>
      </c>
      <c r="E1383" s="4" t="s">
        <v>3886</v>
      </c>
      <c r="F1383" s="37" t="s">
        <v>3887</v>
      </c>
      <c r="G1383" s="38">
        <v>0</v>
      </c>
      <c r="H1383" s="38">
        <v>0</v>
      </c>
      <c r="I1383" s="15"/>
      <c r="J1383" s="494">
        <v>20411030105</v>
      </c>
      <c r="L1383" s="523" t="s">
        <v>3755</v>
      </c>
      <c r="M1383" s="523" t="s">
        <v>607</v>
      </c>
      <c r="N1383" s="518" t="s">
        <v>3756</v>
      </c>
      <c r="O1383" s="523">
        <v>2</v>
      </c>
      <c r="P1383" s="523" t="s">
        <v>693</v>
      </c>
      <c r="Q1383" s="523" t="s">
        <v>1229</v>
      </c>
      <c r="R1383" s="523" t="s">
        <v>671</v>
      </c>
      <c r="S1383" s="523" t="s">
        <v>632</v>
      </c>
      <c r="T1383" s="518" t="s">
        <v>3879</v>
      </c>
      <c r="U1383" s="38">
        <v>0</v>
      </c>
      <c r="V1383" s="15" t="str">
        <f t="shared" si="139"/>
        <v/>
      </c>
      <c r="W1383" s="10"/>
      <c r="X1383" s="10"/>
      <c r="Y1383" s="10"/>
      <c r="Z1383" s="10"/>
      <c r="AA1383" s="10"/>
      <c r="AB1383" s="10"/>
      <c r="AC1383" s="9"/>
      <c r="AD1383" s="523" t="e">
        <v>#N/A</v>
      </c>
      <c r="AE1383" s="523" t="e">
        <v>#N/A</v>
      </c>
      <c r="AF1383" s="523" t="e">
        <v>#N/A</v>
      </c>
      <c r="AG1383" s="524" t="e">
        <v>#N/A</v>
      </c>
      <c r="AH1383" s="9"/>
      <c r="AI1383" s="10"/>
      <c r="AJ1383" s="9">
        <f t="shared" si="140"/>
        <v>0</v>
      </c>
      <c r="AK1383" s="10"/>
      <c r="AL1383" s="10"/>
    </row>
    <row r="1384" spans="1:38" ht="33.75" hidden="1">
      <c r="A1384" s="1">
        <f t="shared" si="141"/>
        <v>0</v>
      </c>
      <c r="B1384" s="2" t="s">
        <v>3888</v>
      </c>
      <c r="C1384" s="3" t="s">
        <v>3889</v>
      </c>
      <c r="D1384" s="15" t="s">
        <v>11788</v>
      </c>
      <c r="E1384" s="4" t="s">
        <v>3888</v>
      </c>
      <c r="F1384" s="37" t="s">
        <v>3889</v>
      </c>
      <c r="G1384" s="38">
        <v>0</v>
      </c>
      <c r="H1384" s="38">
        <v>0</v>
      </c>
      <c r="I1384" s="15"/>
      <c r="J1384" s="494">
        <v>20411030106</v>
      </c>
      <c r="L1384" s="523" t="s">
        <v>3755</v>
      </c>
      <c r="M1384" s="523" t="s">
        <v>607</v>
      </c>
      <c r="N1384" s="518" t="s">
        <v>3756</v>
      </c>
      <c r="O1384" s="523">
        <v>2</v>
      </c>
      <c r="P1384" s="523" t="s">
        <v>693</v>
      </c>
      <c r="Q1384" s="523" t="s">
        <v>1229</v>
      </c>
      <c r="R1384" s="523" t="s">
        <v>671</v>
      </c>
      <c r="S1384" s="523" t="s">
        <v>632</v>
      </c>
      <c r="T1384" s="518" t="s">
        <v>3879</v>
      </c>
      <c r="U1384" s="38">
        <v>0</v>
      </c>
      <c r="V1384" s="15" t="str">
        <f t="shared" si="139"/>
        <v/>
      </c>
      <c r="W1384" s="10"/>
      <c r="X1384" s="10"/>
      <c r="Y1384" s="10"/>
      <c r="Z1384" s="10"/>
      <c r="AA1384" s="10"/>
      <c r="AB1384" s="10"/>
      <c r="AC1384" s="9"/>
      <c r="AD1384" s="523" t="e">
        <v>#N/A</v>
      </c>
      <c r="AE1384" s="523" t="e">
        <v>#N/A</v>
      </c>
      <c r="AF1384" s="523" t="e">
        <v>#N/A</v>
      </c>
      <c r="AG1384" s="524" t="e">
        <v>#N/A</v>
      </c>
      <c r="AH1384" s="9"/>
      <c r="AI1384" s="10"/>
      <c r="AJ1384" s="9">
        <f t="shared" si="140"/>
        <v>0</v>
      </c>
      <c r="AK1384" s="10"/>
      <c r="AL1384" s="10"/>
    </row>
    <row r="1385" spans="1:38" ht="33.75" hidden="1">
      <c r="A1385" s="1">
        <f t="shared" si="141"/>
        <v>0</v>
      </c>
      <c r="B1385" s="2" t="s">
        <v>3890</v>
      </c>
      <c r="C1385" s="3" t="s">
        <v>3891</v>
      </c>
      <c r="D1385" s="15" t="s">
        <v>11788</v>
      </c>
      <c r="E1385" s="4" t="s">
        <v>3890</v>
      </c>
      <c r="F1385" s="37" t="s">
        <v>3891</v>
      </c>
      <c r="G1385" s="38">
        <v>0</v>
      </c>
      <c r="H1385" s="38">
        <v>0</v>
      </c>
      <c r="I1385" s="15"/>
      <c r="J1385" s="494">
        <v>20411030107</v>
      </c>
      <c r="L1385" s="523" t="s">
        <v>3755</v>
      </c>
      <c r="M1385" s="523" t="s">
        <v>607</v>
      </c>
      <c r="N1385" s="518" t="s">
        <v>3756</v>
      </c>
      <c r="O1385" s="523">
        <v>2</v>
      </c>
      <c r="P1385" s="523" t="s">
        <v>693</v>
      </c>
      <c r="Q1385" s="523" t="s">
        <v>1229</v>
      </c>
      <c r="R1385" s="523" t="s">
        <v>671</v>
      </c>
      <c r="S1385" s="523" t="s">
        <v>632</v>
      </c>
      <c r="T1385" s="518" t="s">
        <v>3879</v>
      </c>
      <c r="U1385" s="38">
        <v>0</v>
      </c>
      <c r="V1385" s="15" t="str">
        <f t="shared" si="139"/>
        <v/>
      </c>
      <c r="W1385" s="10"/>
      <c r="X1385" s="10"/>
      <c r="Y1385" s="10"/>
      <c r="Z1385" s="10"/>
      <c r="AA1385" s="10"/>
      <c r="AB1385" s="10"/>
      <c r="AC1385" s="9"/>
      <c r="AD1385" s="523" t="e">
        <v>#N/A</v>
      </c>
      <c r="AE1385" s="523" t="e">
        <v>#N/A</v>
      </c>
      <c r="AF1385" s="523" t="e">
        <v>#N/A</v>
      </c>
      <c r="AG1385" s="524" t="e">
        <v>#N/A</v>
      </c>
      <c r="AH1385" s="9"/>
      <c r="AI1385" s="10"/>
      <c r="AJ1385" s="9">
        <f t="shared" si="140"/>
        <v>0</v>
      </c>
      <c r="AK1385" s="10"/>
      <c r="AL1385" s="10"/>
    </row>
    <row r="1386" spans="1:38" ht="45" hidden="1">
      <c r="A1386" s="1">
        <f t="shared" si="141"/>
        <v>0</v>
      </c>
      <c r="B1386" s="2" t="s">
        <v>3892</v>
      </c>
      <c r="C1386" s="3" t="s">
        <v>3893</v>
      </c>
      <c r="D1386" s="15" t="s">
        <v>11789</v>
      </c>
      <c r="E1386" s="4" t="s">
        <v>3892</v>
      </c>
      <c r="F1386" s="37" t="s">
        <v>3893</v>
      </c>
      <c r="G1386" s="38">
        <v>0</v>
      </c>
      <c r="H1386" s="38">
        <v>0</v>
      </c>
      <c r="I1386" s="15"/>
      <c r="J1386" s="494">
        <v>20411030201</v>
      </c>
      <c r="K1386" s="517"/>
      <c r="L1386" s="517" t="s">
        <v>3755</v>
      </c>
      <c r="M1386" s="517" t="s">
        <v>607</v>
      </c>
      <c r="N1386" s="518" t="s">
        <v>3756</v>
      </c>
      <c r="O1386" s="517">
        <v>2</v>
      </c>
      <c r="P1386" s="517" t="s">
        <v>693</v>
      </c>
      <c r="Q1386" s="517" t="s">
        <v>1229</v>
      </c>
      <c r="R1386" s="517" t="s">
        <v>671</v>
      </c>
      <c r="S1386" s="517" t="s">
        <v>647</v>
      </c>
      <c r="T1386" s="518" t="s">
        <v>13604</v>
      </c>
      <c r="U1386" s="38">
        <v>0</v>
      </c>
      <c r="V1386" s="15" t="str">
        <f t="shared" si="139"/>
        <v>204110302</v>
      </c>
      <c r="W1386" s="39">
        <v>2</v>
      </c>
      <c r="X1386" s="50" t="s">
        <v>693</v>
      </c>
      <c r="Y1386" s="50" t="s">
        <v>1229</v>
      </c>
      <c r="Z1386" s="50" t="s">
        <v>671</v>
      </c>
      <c r="AA1386" s="40" t="s">
        <v>647</v>
      </c>
      <c r="AB1386" s="42" t="s">
        <v>3894</v>
      </c>
      <c r="AC1386" s="519">
        <f>SUM(H1386:H1401)</f>
        <v>-7124945.3900000006</v>
      </c>
      <c r="AD1386" s="517">
        <v>0</v>
      </c>
      <c r="AE1386" s="517" t="s">
        <v>3755</v>
      </c>
      <c r="AF1386" s="517" t="s">
        <v>607</v>
      </c>
      <c r="AG1386" s="518" t="s">
        <v>3756</v>
      </c>
      <c r="AH1386" s="67">
        <f>AC1386</f>
        <v>-7124945.3900000006</v>
      </c>
      <c r="AI1386" s="10"/>
      <c r="AJ1386" s="9"/>
      <c r="AK1386" s="10"/>
      <c r="AL1386" s="10"/>
    </row>
    <row r="1387" spans="1:38" ht="33.75" hidden="1">
      <c r="A1387" s="1">
        <f t="shared" si="141"/>
        <v>0</v>
      </c>
      <c r="B1387" s="2" t="s">
        <v>3895</v>
      </c>
      <c r="C1387" s="3" t="s">
        <v>3896</v>
      </c>
      <c r="D1387" s="15" t="s">
        <v>11789</v>
      </c>
      <c r="E1387" s="4" t="s">
        <v>3895</v>
      </c>
      <c r="F1387" s="37" t="s">
        <v>3896</v>
      </c>
      <c r="G1387" s="38">
        <v>0</v>
      </c>
      <c r="H1387" s="38">
        <v>0</v>
      </c>
      <c r="I1387" s="15"/>
      <c r="J1387" s="494">
        <v>20411030202</v>
      </c>
      <c r="L1387" s="523" t="s">
        <v>3755</v>
      </c>
      <c r="M1387" s="523" t="s">
        <v>607</v>
      </c>
      <c r="N1387" s="518" t="s">
        <v>3756</v>
      </c>
      <c r="O1387" s="523">
        <v>2</v>
      </c>
      <c r="P1387" s="523" t="s">
        <v>693</v>
      </c>
      <c r="Q1387" s="523" t="s">
        <v>1229</v>
      </c>
      <c r="R1387" s="523" t="s">
        <v>671</v>
      </c>
      <c r="S1387" s="523" t="s">
        <v>647</v>
      </c>
      <c r="T1387" s="518" t="s">
        <v>13604</v>
      </c>
      <c r="U1387" s="38">
        <v>0</v>
      </c>
      <c r="V1387" s="15" t="str">
        <f t="shared" si="139"/>
        <v/>
      </c>
      <c r="W1387" s="10"/>
      <c r="X1387" s="10"/>
      <c r="Y1387" s="10"/>
      <c r="Z1387" s="10"/>
      <c r="AA1387" s="10"/>
      <c r="AB1387" s="10"/>
      <c r="AC1387" s="9"/>
      <c r="AD1387" s="523" t="e">
        <v>#N/A</v>
      </c>
      <c r="AE1387" s="523" t="e">
        <v>#N/A</v>
      </c>
      <c r="AF1387" s="523" t="e">
        <v>#N/A</v>
      </c>
      <c r="AG1387" s="524" t="e">
        <v>#N/A</v>
      </c>
      <c r="AH1387" s="9"/>
      <c r="AI1387" s="10"/>
      <c r="AJ1387" s="9"/>
      <c r="AK1387" s="10"/>
      <c r="AL1387" s="10"/>
    </row>
    <row r="1388" spans="1:38" ht="33.75" hidden="1">
      <c r="A1388" s="1">
        <f t="shared" si="141"/>
        <v>0</v>
      </c>
      <c r="B1388" s="2" t="s">
        <v>3897</v>
      </c>
      <c r="C1388" s="3" t="s">
        <v>3898</v>
      </c>
      <c r="D1388" s="15" t="s">
        <v>11789</v>
      </c>
      <c r="E1388" s="4" t="s">
        <v>3897</v>
      </c>
      <c r="F1388" s="37" t="s">
        <v>3898</v>
      </c>
      <c r="G1388" s="38">
        <v>0</v>
      </c>
      <c r="H1388" s="38">
        <v>0</v>
      </c>
      <c r="I1388" s="15"/>
      <c r="J1388" s="494">
        <v>20411030203</v>
      </c>
      <c r="L1388" s="523" t="s">
        <v>3755</v>
      </c>
      <c r="M1388" s="523" t="s">
        <v>607</v>
      </c>
      <c r="N1388" s="518" t="s">
        <v>3756</v>
      </c>
      <c r="O1388" s="523">
        <v>2</v>
      </c>
      <c r="P1388" s="523" t="s">
        <v>693</v>
      </c>
      <c r="Q1388" s="523" t="s">
        <v>1229</v>
      </c>
      <c r="R1388" s="523" t="s">
        <v>671</v>
      </c>
      <c r="S1388" s="523" t="s">
        <v>647</v>
      </c>
      <c r="T1388" s="518" t="s">
        <v>13604</v>
      </c>
      <c r="U1388" s="38">
        <v>0</v>
      </c>
      <c r="V1388" s="15" t="str">
        <f t="shared" si="139"/>
        <v/>
      </c>
      <c r="W1388" s="10"/>
      <c r="X1388" s="10"/>
      <c r="Y1388" s="10"/>
      <c r="Z1388" s="10"/>
      <c r="AA1388" s="10"/>
      <c r="AB1388" s="10"/>
      <c r="AC1388" s="9"/>
      <c r="AD1388" s="523" t="e">
        <v>#N/A</v>
      </c>
      <c r="AE1388" s="523" t="e">
        <v>#N/A</v>
      </c>
      <c r="AF1388" s="523" t="e">
        <v>#N/A</v>
      </c>
      <c r="AG1388" s="524" t="e">
        <v>#N/A</v>
      </c>
      <c r="AH1388" s="9"/>
      <c r="AI1388" s="10"/>
      <c r="AJ1388" s="9"/>
      <c r="AK1388" s="10"/>
      <c r="AL1388" s="10"/>
    </row>
    <row r="1389" spans="1:38" ht="33.75" hidden="1">
      <c r="A1389" s="1">
        <f t="shared" si="141"/>
        <v>0</v>
      </c>
      <c r="B1389" s="2" t="s">
        <v>3899</v>
      </c>
      <c r="C1389" s="3" t="s">
        <v>3900</v>
      </c>
      <c r="D1389" s="15" t="s">
        <v>11789</v>
      </c>
      <c r="E1389" s="4" t="s">
        <v>3899</v>
      </c>
      <c r="F1389" s="37" t="s">
        <v>3900</v>
      </c>
      <c r="G1389" s="38">
        <v>0</v>
      </c>
      <c r="H1389" s="38">
        <v>0</v>
      </c>
      <c r="I1389" s="15"/>
      <c r="J1389" s="494">
        <v>20411030204</v>
      </c>
      <c r="L1389" s="523" t="s">
        <v>3755</v>
      </c>
      <c r="M1389" s="523" t="s">
        <v>607</v>
      </c>
      <c r="N1389" s="518" t="s">
        <v>3756</v>
      </c>
      <c r="O1389" s="523">
        <v>2</v>
      </c>
      <c r="P1389" s="523" t="s">
        <v>693</v>
      </c>
      <c r="Q1389" s="523" t="s">
        <v>1229</v>
      </c>
      <c r="R1389" s="523" t="s">
        <v>671</v>
      </c>
      <c r="S1389" s="523" t="s">
        <v>647</v>
      </c>
      <c r="T1389" s="518" t="s">
        <v>13604</v>
      </c>
      <c r="U1389" s="38">
        <v>0</v>
      </c>
      <c r="V1389" s="15" t="str">
        <f t="shared" si="139"/>
        <v/>
      </c>
      <c r="W1389" s="10"/>
      <c r="X1389" s="10"/>
      <c r="Y1389" s="10"/>
      <c r="Z1389" s="10"/>
      <c r="AA1389" s="10"/>
      <c r="AB1389" s="10"/>
      <c r="AC1389" s="9"/>
      <c r="AD1389" s="523" t="e">
        <v>#N/A</v>
      </c>
      <c r="AE1389" s="523" t="e">
        <v>#N/A</v>
      </c>
      <c r="AF1389" s="523" t="e">
        <v>#N/A</v>
      </c>
      <c r="AG1389" s="524" t="e">
        <v>#N/A</v>
      </c>
      <c r="AH1389" s="9"/>
      <c r="AI1389" s="10"/>
      <c r="AJ1389" s="9"/>
      <c r="AK1389" s="10"/>
      <c r="AL1389" s="10"/>
    </row>
    <row r="1390" spans="1:38" ht="33.75" hidden="1">
      <c r="A1390" s="1">
        <f t="shared" si="141"/>
        <v>0</v>
      </c>
      <c r="B1390" s="2" t="s">
        <v>3901</v>
      </c>
      <c r="C1390" s="3" t="s">
        <v>3902</v>
      </c>
      <c r="D1390" s="15" t="s">
        <v>11789</v>
      </c>
      <c r="E1390" s="4" t="s">
        <v>3901</v>
      </c>
      <c r="F1390" s="37" t="s">
        <v>3902</v>
      </c>
      <c r="G1390" s="38">
        <v>0</v>
      </c>
      <c r="H1390" s="38">
        <v>0</v>
      </c>
      <c r="I1390" s="15"/>
      <c r="J1390" s="494">
        <v>20411030205</v>
      </c>
      <c r="L1390" s="523" t="s">
        <v>3755</v>
      </c>
      <c r="M1390" s="523" t="s">
        <v>607</v>
      </c>
      <c r="N1390" s="518" t="s">
        <v>3756</v>
      </c>
      <c r="O1390" s="523">
        <v>2</v>
      </c>
      <c r="P1390" s="523" t="s">
        <v>693</v>
      </c>
      <c r="Q1390" s="523" t="s">
        <v>1229</v>
      </c>
      <c r="R1390" s="523" t="s">
        <v>671</v>
      </c>
      <c r="S1390" s="523" t="s">
        <v>647</v>
      </c>
      <c r="T1390" s="518" t="s">
        <v>13604</v>
      </c>
      <c r="U1390" s="38">
        <v>0</v>
      </c>
      <c r="V1390" s="15" t="str">
        <f t="shared" si="139"/>
        <v/>
      </c>
      <c r="W1390" s="10"/>
      <c r="X1390" s="10"/>
      <c r="Y1390" s="10"/>
      <c r="Z1390" s="10"/>
      <c r="AA1390" s="10"/>
      <c r="AB1390" s="10"/>
      <c r="AC1390" s="9"/>
      <c r="AD1390" s="523" t="e">
        <v>#N/A</v>
      </c>
      <c r="AE1390" s="523" t="e">
        <v>#N/A</v>
      </c>
      <c r="AF1390" s="523" t="e">
        <v>#N/A</v>
      </c>
      <c r="AG1390" s="524" t="e">
        <v>#N/A</v>
      </c>
      <c r="AH1390" s="9"/>
      <c r="AI1390" s="10"/>
      <c r="AJ1390" s="9"/>
      <c r="AK1390" s="10"/>
      <c r="AL1390" s="10"/>
    </row>
    <row r="1391" spans="1:38" ht="33.75" hidden="1">
      <c r="A1391" s="1">
        <f t="shared" si="141"/>
        <v>0</v>
      </c>
      <c r="B1391" s="2" t="s">
        <v>3903</v>
      </c>
      <c r="C1391" s="3" t="s">
        <v>3904</v>
      </c>
      <c r="D1391" s="15" t="s">
        <v>11789</v>
      </c>
      <c r="E1391" s="4" t="s">
        <v>3903</v>
      </c>
      <c r="F1391" s="37" t="s">
        <v>3904</v>
      </c>
      <c r="G1391" s="38">
        <v>3353870.67</v>
      </c>
      <c r="H1391" s="38">
        <v>0</v>
      </c>
      <c r="I1391" s="15"/>
      <c r="J1391" s="494">
        <v>20411030206</v>
      </c>
      <c r="L1391" s="523" t="s">
        <v>3755</v>
      </c>
      <c r="M1391" s="523" t="s">
        <v>607</v>
      </c>
      <c r="N1391" s="518" t="s">
        <v>3756</v>
      </c>
      <c r="O1391" s="523">
        <v>2</v>
      </c>
      <c r="P1391" s="523" t="s">
        <v>693</v>
      </c>
      <c r="Q1391" s="523" t="s">
        <v>1229</v>
      </c>
      <c r="R1391" s="523" t="s">
        <v>671</v>
      </c>
      <c r="S1391" s="523" t="s">
        <v>647</v>
      </c>
      <c r="T1391" s="518" t="s">
        <v>13604</v>
      </c>
      <c r="U1391" s="38">
        <v>0</v>
      </c>
      <c r="V1391" s="15" t="str">
        <f t="shared" si="139"/>
        <v/>
      </c>
      <c r="W1391" s="10"/>
      <c r="X1391" s="10"/>
      <c r="Y1391" s="10"/>
      <c r="Z1391" s="10"/>
      <c r="AA1391" s="10"/>
      <c r="AB1391" s="10"/>
      <c r="AC1391" s="9"/>
      <c r="AD1391" s="523" t="e">
        <v>#N/A</v>
      </c>
      <c r="AE1391" s="523" t="e">
        <v>#N/A</v>
      </c>
      <c r="AF1391" s="523" t="e">
        <v>#N/A</v>
      </c>
      <c r="AG1391" s="524" t="e">
        <v>#N/A</v>
      </c>
      <c r="AH1391" s="9"/>
      <c r="AI1391" s="10"/>
      <c r="AJ1391" s="9"/>
      <c r="AK1391" s="10"/>
      <c r="AL1391" s="10"/>
    </row>
    <row r="1392" spans="1:38" ht="33.75" hidden="1">
      <c r="A1392" s="1">
        <f t="shared" si="141"/>
        <v>0</v>
      </c>
      <c r="B1392" s="2" t="s">
        <v>3905</v>
      </c>
      <c r="C1392" s="3" t="s">
        <v>3906</v>
      </c>
      <c r="D1392" s="15" t="s">
        <v>11789</v>
      </c>
      <c r="E1392" s="4" t="s">
        <v>3905</v>
      </c>
      <c r="F1392" s="37" t="s">
        <v>3906</v>
      </c>
      <c r="G1392" s="38">
        <v>0</v>
      </c>
      <c r="H1392" s="38">
        <v>0</v>
      </c>
      <c r="I1392" s="15"/>
      <c r="J1392" s="494">
        <v>20411030207</v>
      </c>
      <c r="L1392" s="523" t="s">
        <v>3755</v>
      </c>
      <c r="M1392" s="523" t="s">
        <v>607</v>
      </c>
      <c r="N1392" s="518" t="s">
        <v>3756</v>
      </c>
      <c r="O1392" s="523">
        <v>2</v>
      </c>
      <c r="P1392" s="523" t="s">
        <v>693</v>
      </c>
      <c r="Q1392" s="523" t="s">
        <v>1229</v>
      </c>
      <c r="R1392" s="523" t="s">
        <v>671</v>
      </c>
      <c r="S1392" s="523" t="s">
        <v>647</v>
      </c>
      <c r="T1392" s="518" t="s">
        <v>13604</v>
      </c>
      <c r="U1392" s="38">
        <v>0</v>
      </c>
      <c r="V1392" s="15" t="str">
        <f t="shared" si="139"/>
        <v/>
      </c>
      <c r="W1392" s="10"/>
      <c r="X1392" s="10"/>
      <c r="Y1392" s="10"/>
      <c r="Z1392" s="10"/>
      <c r="AA1392" s="10"/>
      <c r="AB1392" s="10"/>
      <c r="AC1392" s="9"/>
      <c r="AD1392" s="523" t="e">
        <v>#N/A</v>
      </c>
      <c r="AE1392" s="523" t="e">
        <v>#N/A</v>
      </c>
      <c r="AF1392" s="523" t="e">
        <v>#N/A</v>
      </c>
      <c r="AG1392" s="524" t="e">
        <v>#N/A</v>
      </c>
      <c r="AH1392" s="9"/>
      <c r="AI1392" s="10"/>
      <c r="AJ1392" s="9"/>
      <c r="AK1392" s="10"/>
      <c r="AL1392" s="10"/>
    </row>
    <row r="1393" spans="1:38" ht="33.75" hidden="1">
      <c r="A1393" s="1">
        <f t="shared" si="141"/>
        <v>0</v>
      </c>
      <c r="B1393" s="2" t="s">
        <v>3907</v>
      </c>
      <c r="C1393" s="3" t="s">
        <v>3908</v>
      </c>
      <c r="D1393" s="15" t="s">
        <v>11789</v>
      </c>
      <c r="E1393" s="4" t="s">
        <v>3907</v>
      </c>
      <c r="F1393" s="37" t="s">
        <v>3908</v>
      </c>
      <c r="G1393" s="38">
        <v>10709.02</v>
      </c>
      <c r="H1393" s="38">
        <v>0</v>
      </c>
      <c r="I1393" s="15"/>
      <c r="J1393" s="494">
        <v>20411030208</v>
      </c>
      <c r="L1393" s="523" t="s">
        <v>3755</v>
      </c>
      <c r="M1393" s="523" t="s">
        <v>607</v>
      </c>
      <c r="N1393" s="518" t="s">
        <v>3756</v>
      </c>
      <c r="O1393" s="523">
        <v>2</v>
      </c>
      <c r="P1393" s="523" t="s">
        <v>693</v>
      </c>
      <c r="Q1393" s="523" t="s">
        <v>1229</v>
      </c>
      <c r="R1393" s="523" t="s">
        <v>671</v>
      </c>
      <c r="S1393" s="523" t="s">
        <v>647</v>
      </c>
      <c r="T1393" s="518" t="s">
        <v>13604</v>
      </c>
      <c r="U1393" s="38">
        <v>0</v>
      </c>
      <c r="V1393" s="15" t="str">
        <f t="shared" si="139"/>
        <v/>
      </c>
      <c r="W1393" s="10"/>
      <c r="X1393" s="10"/>
      <c r="Y1393" s="10"/>
      <c r="Z1393" s="10"/>
      <c r="AA1393" s="10"/>
      <c r="AB1393" s="10"/>
      <c r="AC1393" s="9"/>
      <c r="AD1393" s="523" t="e">
        <v>#N/A</v>
      </c>
      <c r="AE1393" s="523" t="e">
        <v>#N/A</v>
      </c>
      <c r="AF1393" s="523" t="e">
        <v>#N/A</v>
      </c>
      <c r="AG1393" s="524" t="e">
        <v>#N/A</v>
      </c>
      <c r="AH1393" s="9"/>
      <c r="AI1393" s="10"/>
      <c r="AJ1393" s="9"/>
      <c r="AK1393" s="10"/>
      <c r="AL1393" s="10"/>
    </row>
    <row r="1394" spans="1:38" ht="33.75" hidden="1">
      <c r="A1394" s="1">
        <f t="shared" si="141"/>
        <v>0</v>
      </c>
      <c r="B1394" s="2" t="s">
        <v>3909</v>
      </c>
      <c r="C1394" s="3" t="s">
        <v>3910</v>
      </c>
      <c r="D1394" s="15" t="s">
        <v>11789</v>
      </c>
      <c r="E1394" s="4" t="s">
        <v>3909</v>
      </c>
      <c r="F1394" s="37" t="s">
        <v>3910</v>
      </c>
      <c r="G1394" s="38">
        <v>0</v>
      </c>
      <c r="H1394" s="38">
        <v>0</v>
      </c>
      <c r="I1394" s="15"/>
      <c r="J1394" s="494">
        <v>20411030209</v>
      </c>
      <c r="L1394" s="523" t="s">
        <v>3755</v>
      </c>
      <c r="M1394" s="523" t="s">
        <v>607</v>
      </c>
      <c r="N1394" s="518" t="s">
        <v>3756</v>
      </c>
      <c r="O1394" s="523">
        <v>2</v>
      </c>
      <c r="P1394" s="523" t="s">
        <v>693</v>
      </c>
      <c r="Q1394" s="523" t="s">
        <v>1229</v>
      </c>
      <c r="R1394" s="523" t="s">
        <v>671</v>
      </c>
      <c r="S1394" s="523" t="s">
        <v>647</v>
      </c>
      <c r="T1394" s="518" t="s">
        <v>13604</v>
      </c>
      <c r="U1394" s="38">
        <v>0</v>
      </c>
      <c r="V1394" s="15" t="str">
        <f t="shared" si="139"/>
        <v/>
      </c>
      <c r="W1394" s="10"/>
      <c r="X1394" s="10"/>
      <c r="Y1394" s="10"/>
      <c r="Z1394" s="10"/>
      <c r="AA1394" s="10"/>
      <c r="AB1394" s="10"/>
      <c r="AC1394" s="9"/>
      <c r="AD1394" s="523" t="e">
        <v>#N/A</v>
      </c>
      <c r="AE1394" s="523" t="e">
        <v>#N/A</v>
      </c>
      <c r="AF1394" s="523" t="e">
        <v>#N/A</v>
      </c>
      <c r="AG1394" s="524" t="e">
        <v>#N/A</v>
      </c>
      <c r="AH1394" s="9"/>
      <c r="AI1394" s="10"/>
      <c r="AJ1394" s="9"/>
      <c r="AK1394" s="10"/>
      <c r="AL1394" s="10"/>
    </row>
    <row r="1395" spans="1:38" ht="33.75" hidden="1">
      <c r="A1395" s="1">
        <f t="shared" si="141"/>
        <v>0</v>
      </c>
      <c r="B1395" s="2" t="s">
        <v>3911</v>
      </c>
      <c r="C1395" s="3" t="s">
        <v>3912</v>
      </c>
      <c r="D1395" s="15" t="s">
        <v>11789</v>
      </c>
      <c r="E1395" s="4" t="s">
        <v>3911</v>
      </c>
      <c r="F1395" s="37" t="s">
        <v>3912</v>
      </c>
      <c r="G1395" s="38">
        <v>0</v>
      </c>
      <c r="H1395" s="38">
        <v>0</v>
      </c>
      <c r="I1395" s="15"/>
      <c r="J1395" s="494">
        <v>20411030210</v>
      </c>
      <c r="L1395" s="523" t="s">
        <v>3755</v>
      </c>
      <c r="M1395" s="523" t="s">
        <v>607</v>
      </c>
      <c r="N1395" s="518" t="s">
        <v>3756</v>
      </c>
      <c r="O1395" s="523">
        <v>2</v>
      </c>
      <c r="P1395" s="523" t="s">
        <v>693</v>
      </c>
      <c r="Q1395" s="523" t="s">
        <v>1229</v>
      </c>
      <c r="R1395" s="523" t="s">
        <v>671</v>
      </c>
      <c r="S1395" s="523" t="s">
        <v>647</v>
      </c>
      <c r="T1395" s="518" t="s">
        <v>13604</v>
      </c>
      <c r="U1395" s="38">
        <v>0</v>
      </c>
      <c r="V1395" s="15" t="str">
        <f t="shared" si="139"/>
        <v/>
      </c>
      <c r="W1395" s="10"/>
      <c r="X1395" s="10"/>
      <c r="Y1395" s="10"/>
      <c r="Z1395" s="10"/>
      <c r="AA1395" s="10"/>
      <c r="AB1395" s="10"/>
      <c r="AC1395" s="9"/>
      <c r="AD1395" s="523" t="e">
        <v>#N/A</v>
      </c>
      <c r="AE1395" s="523" t="e">
        <v>#N/A</v>
      </c>
      <c r="AF1395" s="523" t="e">
        <v>#N/A</v>
      </c>
      <c r="AG1395" s="524" t="e">
        <v>#N/A</v>
      </c>
      <c r="AH1395" s="9"/>
      <c r="AI1395" s="10"/>
      <c r="AJ1395" s="9"/>
      <c r="AK1395" s="10"/>
      <c r="AL1395" s="10"/>
    </row>
    <row r="1396" spans="1:38" ht="33.75" hidden="1">
      <c r="A1396" s="1">
        <f t="shared" si="141"/>
        <v>0</v>
      </c>
      <c r="B1396" s="2" t="s">
        <v>3913</v>
      </c>
      <c r="C1396" s="3" t="s">
        <v>3914</v>
      </c>
      <c r="D1396" s="15" t="s">
        <v>11789</v>
      </c>
      <c r="E1396" s="4" t="s">
        <v>3913</v>
      </c>
      <c r="F1396" s="37" t="s">
        <v>3914</v>
      </c>
      <c r="G1396" s="38">
        <v>146496.82</v>
      </c>
      <c r="H1396" s="38">
        <v>0</v>
      </c>
      <c r="I1396" s="15"/>
      <c r="J1396" s="494">
        <v>20411030211</v>
      </c>
      <c r="L1396" s="523" t="s">
        <v>3755</v>
      </c>
      <c r="M1396" s="523" t="s">
        <v>607</v>
      </c>
      <c r="N1396" s="518" t="s">
        <v>3756</v>
      </c>
      <c r="O1396" s="523">
        <v>2</v>
      </c>
      <c r="P1396" s="523" t="s">
        <v>693</v>
      </c>
      <c r="Q1396" s="523" t="s">
        <v>1229</v>
      </c>
      <c r="R1396" s="523" t="s">
        <v>671</v>
      </c>
      <c r="S1396" s="523" t="s">
        <v>647</v>
      </c>
      <c r="T1396" s="518" t="s">
        <v>13604</v>
      </c>
      <c r="U1396" s="38">
        <v>0</v>
      </c>
      <c r="V1396" s="15" t="str">
        <f t="shared" si="139"/>
        <v/>
      </c>
      <c r="W1396" s="10"/>
      <c r="X1396" s="10"/>
      <c r="Y1396" s="10"/>
      <c r="Z1396" s="10"/>
      <c r="AA1396" s="10"/>
      <c r="AB1396" s="10"/>
      <c r="AC1396" s="9"/>
      <c r="AD1396" s="523" t="e">
        <v>#N/A</v>
      </c>
      <c r="AE1396" s="523" t="e">
        <v>#N/A</v>
      </c>
      <c r="AF1396" s="523" t="e">
        <v>#N/A</v>
      </c>
      <c r="AG1396" s="524" t="e">
        <v>#N/A</v>
      </c>
      <c r="AH1396" s="9"/>
      <c r="AI1396" s="10"/>
      <c r="AJ1396" s="9"/>
      <c r="AK1396" s="10"/>
      <c r="AL1396" s="10"/>
    </row>
    <row r="1397" spans="1:38" ht="33.75" hidden="1">
      <c r="A1397" s="1">
        <f t="shared" si="141"/>
        <v>0</v>
      </c>
      <c r="B1397" s="2" t="s">
        <v>3915</v>
      </c>
      <c r="C1397" s="3" t="s">
        <v>3916</v>
      </c>
      <c r="D1397" s="15" t="s">
        <v>11789</v>
      </c>
      <c r="E1397" s="4" t="s">
        <v>3915</v>
      </c>
      <c r="F1397" s="37" t="s">
        <v>3916</v>
      </c>
      <c r="G1397" s="38">
        <v>446135.06</v>
      </c>
      <c r="H1397" s="38">
        <v>0</v>
      </c>
      <c r="I1397" s="15"/>
      <c r="J1397" s="494">
        <v>20411030212</v>
      </c>
      <c r="L1397" s="523" t="s">
        <v>3755</v>
      </c>
      <c r="M1397" s="523" t="s">
        <v>607</v>
      </c>
      <c r="N1397" s="518" t="s">
        <v>3756</v>
      </c>
      <c r="O1397" s="523">
        <v>2</v>
      </c>
      <c r="P1397" s="523" t="s">
        <v>693</v>
      </c>
      <c r="Q1397" s="523" t="s">
        <v>1229</v>
      </c>
      <c r="R1397" s="523" t="s">
        <v>671</v>
      </c>
      <c r="S1397" s="523" t="s">
        <v>647</v>
      </c>
      <c r="T1397" s="518" t="s">
        <v>13604</v>
      </c>
      <c r="U1397" s="38">
        <v>0</v>
      </c>
      <c r="V1397" s="15" t="str">
        <f t="shared" si="139"/>
        <v/>
      </c>
      <c r="W1397" s="10"/>
      <c r="X1397" s="10"/>
      <c r="Y1397" s="10"/>
      <c r="Z1397" s="10"/>
      <c r="AA1397" s="10"/>
      <c r="AB1397" s="10"/>
      <c r="AC1397" s="9"/>
      <c r="AD1397" s="523" t="e">
        <v>#N/A</v>
      </c>
      <c r="AE1397" s="523" t="e">
        <v>#N/A</v>
      </c>
      <c r="AF1397" s="523" t="e">
        <v>#N/A</v>
      </c>
      <c r="AG1397" s="524" t="e">
        <v>#N/A</v>
      </c>
      <c r="AH1397" s="9"/>
      <c r="AI1397" s="10"/>
      <c r="AJ1397" s="9"/>
      <c r="AK1397" s="10"/>
      <c r="AL1397" s="10"/>
    </row>
    <row r="1398" spans="1:38" ht="33.75" hidden="1">
      <c r="A1398" s="1">
        <f t="shared" si="141"/>
        <v>0</v>
      </c>
      <c r="B1398" s="2" t="s">
        <v>3917</v>
      </c>
      <c r="C1398" s="3" t="s">
        <v>3918</v>
      </c>
      <c r="D1398" s="15" t="s">
        <v>11789</v>
      </c>
      <c r="E1398" s="4" t="s">
        <v>3917</v>
      </c>
      <c r="F1398" s="37" t="s">
        <v>3918</v>
      </c>
      <c r="G1398" s="38">
        <v>115248.56</v>
      </c>
      <c r="H1398" s="38">
        <v>0</v>
      </c>
      <c r="I1398" s="15"/>
      <c r="J1398" s="494">
        <v>20411030213</v>
      </c>
      <c r="L1398" s="523" t="s">
        <v>3755</v>
      </c>
      <c r="M1398" s="523" t="s">
        <v>607</v>
      </c>
      <c r="N1398" s="518" t="s">
        <v>3756</v>
      </c>
      <c r="O1398" s="523">
        <v>2</v>
      </c>
      <c r="P1398" s="523" t="s">
        <v>693</v>
      </c>
      <c r="Q1398" s="523" t="s">
        <v>1229</v>
      </c>
      <c r="R1398" s="523" t="s">
        <v>671</v>
      </c>
      <c r="S1398" s="523" t="s">
        <v>647</v>
      </c>
      <c r="T1398" s="518" t="s">
        <v>13604</v>
      </c>
      <c r="U1398" s="38">
        <v>0</v>
      </c>
      <c r="V1398" s="15" t="str">
        <f t="shared" si="139"/>
        <v/>
      </c>
      <c r="W1398" s="10"/>
      <c r="X1398" s="10"/>
      <c r="Y1398" s="10"/>
      <c r="Z1398" s="10"/>
      <c r="AA1398" s="10"/>
      <c r="AB1398" s="10"/>
      <c r="AC1398" s="9"/>
      <c r="AD1398" s="523" t="e">
        <v>#N/A</v>
      </c>
      <c r="AE1398" s="523" t="e">
        <v>#N/A</v>
      </c>
      <c r="AF1398" s="523" t="e">
        <v>#N/A</v>
      </c>
      <c r="AG1398" s="524" t="e">
        <v>#N/A</v>
      </c>
      <c r="AH1398" s="9"/>
      <c r="AI1398" s="10"/>
      <c r="AJ1398" s="9"/>
      <c r="AK1398" s="10"/>
      <c r="AL1398" s="10"/>
    </row>
    <row r="1399" spans="1:38" ht="33.75" hidden="1">
      <c r="A1399" s="1">
        <f t="shared" si="141"/>
        <v>0</v>
      </c>
      <c r="B1399" s="2" t="s">
        <v>3919</v>
      </c>
      <c r="C1399" s="3" t="s">
        <v>3920</v>
      </c>
      <c r="D1399" s="15" t="s">
        <v>11789</v>
      </c>
      <c r="E1399" s="4" t="s">
        <v>3919</v>
      </c>
      <c r="F1399" s="37" t="s">
        <v>3920</v>
      </c>
      <c r="G1399" s="38">
        <v>630426.35</v>
      </c>
      <c r="H1399" s="38">
        <v>631457.61</v>
      </c>
      <c r="I1399" s="15"/>
      <c r="J1399" s="494">
        <v>20411030214</v>
      </c>
      <c r="L1399" s="523" t="s">
        <v>3755</v>
      </c>
      <c r="M1399" s="523" t="s">
        <v>607</v>
      </c>
      <c r="N1399" s="518" t="s">
        <v>3756</v>
      </c>
      <c r="O1399" s="523">
        <v>2</v>
      </c>
      <c r="P1399" s="523" t="s">
        <v>693</v>
      </c>
      <c r="Q1399" s="523" t="s">
        <v>1229</v>
      </c>
      <c r="R1399" s="523" t="s">
        <v>671</v>
      </c>
      <c r="S1399" s="523" t="s">
        <v>647</v>
      </c>
      <c r="T1399" s="518" t="s">
        <v>13604</v>
      </c>
      <c r="U1399" s="38">
        <v>631457.61</v>
      </c>
      <c r="V1399" s="15" t="str">
        <f t="shared" si="139"/>
        <v/>
      </c>
      <c r="W1399" s="10"/>
      <c r="X1399" s="10"/>
      <c r="Y1399" s="10"/>
      <c r="Z1399" s="10"/>
      <c r="AA1399" s="10"/>
      <c r="AB1399" s="10"/>
      <c r="AC1399" s="9"/>
      <c r="AD1399" s="523" t="e">
        <v>#N/A</v>
      </c>
      <c r="AE1399" s="523" t="e">
        <v>#N/A</v>
      </c>
      <c r="AF1399" s="523" t="e">
        <v>#N/A</v>
      </c>
      <c r="AG1399" s="524" t="e">
        <v>#N/A</v>
      </c>
      <c r="AH1399" s="9"/>
      <c r="AI1399" s="10"/>
      <c r="AJ1399" s="9"/>
      <c r="AK1399" s="10"/>
      <c r="AL1399" s="10"/>
    </row>
    <row r="1400" spans="1:38" ht="33.75" hidden="1">
      <c r="A1400" s="1">
        <f t="shared" si="141"/>
        <v>0</v>
      </c>
      <c r="B1400" s="2" t="s">
        <v>3921</v>
      </c>
      <c r="C1400" s="3" t="s">
        <v>3922</v>
      </c>
      <c r="D1400" s="15" t="s">
        <v>11789</v>
      </c>
      <c r="E1400" s="4" t="s">
        <v>3921</v>
      </c>
      <c r="F1400" s="37" t="s">
        <v>3922</v>
      </c>
      <c r="G1400" s="38">
        <v>235445.29</v>
      </c>
      <c r="H1400" s="38">
        <v>115975.12</v>
      </c>
      <c r="I1400" s="15"/>
      <c r="J1400" s="494">
        <v>20411030215</v>
      </c>
      <c r="L1400" s="523" t="s">
        <v>3755</v>
      </c>
      <c r="M1400" s="523" t="s">
        <v>607</v>
      </c>
      <c r="N1400" s="518" t="s">
        <v>3756</v>
      </c>
      <c r="O1400" s="523">
        <v>2</v>
      </c>
      <c r="P1400" s="523" t="s">
        <v>693</v>
      </c>
      <c r="Q1400" s="523" t="s">
        <v>1229</v>
      </c>
      <c r="R1400" s="523" t="s">
        <v>671</v>
      </c>
      <c r="S1400" s="523" t="s">
        <v>647</v>
      </c>
      <c r="T1400" s="518" t="s">
        <v>13604</v>
      </c>
      <c r="U1400" s="38">
        <v>115975.12</v>
      </c>
      <c r="V1400" s="15" t="str">
        <f t="shared" si="139"/>
        <v/>
      </c>
      <c r="W1400" s="10"/>
      <c r="X1400" s="10"/>
      <c r="Y1400" s="10"/>
      <c r="Z1400" s="10"/>
      <c r="AA1400" s="10"/>
      <c r="AB1400" s="10"/>
      <c r="AC1400" s="9"/>
      <c r="AD1400" s="523" t="e">
        <v>#N/A</v>
      </c>
      <c r="AE1400" s="523" t="e">
        <v>#N/A</v>
      </c>
      <c r="AF1400" s="523" t="e">
        <v>#N/A</v>
      </c>
      <c r="AG1400" s="524" t="e">
        <v>#N/A</v>
      </c>
      <c r="AH1400" s="9"/>
      <c r="AI1400" s="10"/>
      <c r="AJ1400" s="9"/>
      <c r="AK1400" s="10"/>
      <c r="AL1400" s="10"/>
    </row>
    <row r="1401" spans="1:38" ht="33.75" hidden="1">
      <c r="A1401" s="1">
        <f t="shared" si="141"/>
        <v>0</v>
      </c>
      <c r="B1401" s="2" t="s">
        <v>3923</v>
      </c>
      <c r="C1401" s="3" t="s">
        <v>3924</v>
      </c>
      <c r="D1401" s="15" t="s">
        <v>11789</v>
      </c>
      <c r="E1401" s="4" t="s">
        <v>3923</v>
      </c>
      <c r="F1401" s="37" t="s">
        <v>3924</v>
      </c>
      <c r="G1401" s="47">
        <v>0</v>
      </c>
      <c r="H1401" s="38">
        <v>-7872378.1200000001</v>
      </c>
      <c r="I1401" s="15"/>
      <c r="J1401" s="494">
        <v>20411030216</v>
      </c>
      <c r="L1401" s="523" t="s">
        <v>3755</v>
      </c>
      <c r="M1401" s="523" t="s">
        <v>607</v>
      </c>
      <c r="N1401" s="518" t="s">
        <v>3756</v>
      </c>
      <c r="O1401" s="523">
        <v>2</v>
      </c>
      <c r="P1401" s="523" t="s">
        <v>693</v>
      </c>
      <c r="Q1401" s="523" t="s">
        <v>1229</v>
      </c>
      <c r="R1401" s="523" t="s">
        <v>671</v>
      </c>
      <c r="S1401" s="523" t="s">
        <v>647</v>
      </c>
      <c r="T1401" s="518" t="s">
        <v>13604</v>
      </c>
      <c r="U1401" s="38">
        <v>-7872378.1200000001</v>
      </c>
      <c r="V1401" s="15" t="str">
        <f t="shared" si="139"/>
        <v/>
      </c>
      <c r="W1401" s="10"/>
      <c r="X1401" s="10"/>
      <c r="Y1401" s="10"/>
      <c r="Z1401" s="10"/>
      <c r="AA1401" s="10"/>
      <c r="AB1401" s="10"/>
      <c r="AC1401" s="9"/>
      <c r="AD1401" s="523" t="e">
        <v>#N/A</v>
      </c>
      <c r="AE1401" s="523" t="e">
        <v>#N/A</v>
      </c>
      <c r="AF1401" s="523" t="e">
        <v>#N/A</v>
      </c>
      <c r="AG1401" s="524" t="e">
        <v>#N/A</v>
      </c>
      <c r="AH1401" s="9"/>
      <c r="AI1401" s="10"/>
      <c r="AJ1401" s="9"/>
      <c r="AK1401" s="10"/>
      <c r="AL1401" s="10"/>
    </row>
    <row r="1402" spans="1:38" ht="45" hidden="1">
      <c r="A1402" s="1">
        <f t="shared" si="141"/>
        <v>0</v>
      </c>
      <c r="B1402" s="2" t="s">
        <v>3925</v>
      </c>
      <c r="C1402" s="3" t="s">
        <v>3926</v>
      </c>
      <c r="D1402" s="15" t="s">
        <v>11790</v>
      </c>
      <c r="E1402" s="4" t="s">
        <v>3925</v>
      </c>
      <c r="F1402" s="37" t="s">
        <v>3926</v>
      </c>
      <c r="G1402" s="38">
        <v>0</v>
      </c>
      <c r="H1402" s="38">
        <v>0</v>
      </c>
      <c r="I1402" s="15"/>
      <c r="J1402" s="494">
        <v>20411030301</v>
      </c>
      <c r="K1402" s="517"/>
      <c r="L1402" s="517" t="s">
        <v>3755</v>
      </c>
      <c r="M1402" s="517" t="s">
        <v>607</v>
      </c>
      <c r="N1402" s="518" t="s">
        <v>3756</v>
      </c>
      <c r="O1402" s="517">
        <v>2</v>
      </c>
      <c r="P1402" s="517" t="s">
        <v>693</v>
      </c>
      <c r="Q1402" s="517" t="s">
        <v>1229</v>
      </c>
      <c r="R1402" s="517" t="s">
        <v>671</v>
      </c>
      <c r="S1402" s="517" t="s">
        <v>671</v>
      </c>
      <c r="T1402" s="518" t="s">
        <v>3927</v>
      </c>
      <c r="U1402" s="38">
        <v>0</v>
      </c>
      <c r="V1402" s="15" t="str">
        <f t="shared" si="139"/>
        <v>204110303</v>
      </c>
      <c r="W1402" s="39">
        <v>2</v>
      </c>
      <c r="X1402" s="50" t="s">
        <v>693</v>
      </c>
      <c r="Y1402" s="50" t="s">
        <v>1229</v>
      </c>
      <c r="Z1402" s="50" t="s">
        <v>671</v>
      </c>
      <c r="AA1402" s="40" t="s">
        <v>671</v>
      </c>
      <c r="AB1402" s="42" t="s">
        <v>3927</v>
      </c>
      <c r="AC1402" s="519">
        <f>SUM(H1402:H1406)</f>
        <v>0</v>
      </c>
      <c r="AD1402" s="517">
        <v>0</v>
      </c>
      <c r="AE1402" s="517" t="s">
        <v>3755</v>
      </c>
      <c r="AF1402" s="517" t="s">
        <v>607</v>
      </c>
      <c r="AG1402" s="518" t="s">
        <v>3756</v>
      </c>
      <c r="AH1402" s="67">
        <f>AC1402</f>
        <v>0</v>
      </c>
      <c r="AI1402" s="10"/>
      <c r="AJ1402" s="9">
        <f t="shared" ref="AJ1402:AJ1465" si="143">AH1402-H1402</f>
        <v>0</v>
      </c>
      <c r="AK1402" s="10"/>
      <c r="AL1402" s="10"/>
    </row>
    <row r="1403" spans="1:38" ht="45" hidden="1">
      <c r="A1403" s="1">
        <f t="shared" si="141"/>
        <v>0</v>
      </c>
      <c r="B1403" s="2" t="s">
        <v>3928</v>
      </c>
      <c r="C1403" s="3" t="s">
        <v>3929</v>
      </c>
      <c r="D1403" s="15" t="s">
        <v>11790</v>
      </c>
      <c r="E1403" s="4" t="s">
        <v>3928</v>
      </c>
      <c r="F1403" s="37" t="s">
        <v>3929</v>
      </c>
      <c r="G1403" s="38">
        <v>0</v>
      </c>
      <c r="H1403" s="38">
        <v>0</v>
      </c>
      <c r="I1403" s="15"/>
      <c r="J1403" s="494">
        <v>20411030302</v>
      </c>
      <c r="L1403" s="523" t="s">
        <v>3755</v>
      </c>
      <c r="M1403" s="523" t="s">
        <v>607</v>
      </c>
      <c r="N1403" s="518" t="s">
        <v>3756</v>
      </c>
      <c r="O1403" s="523">
        <v>2</v>
      </c>
      <c r="P1403" s="523" t="s">
        <v>693</v>
      </c>
      <c r="Q1403" s="523" t="s">
        <v>1229</v>
      </c>
      <c r="R1403" s="523" t="s">
        <v>671</v>
      </c>
      <c r="S1403" s="523" t="s">
        <v>671</v>
      </c>
      <c r="T1403" s="518" t="s">
        <v>3927</v>
      </c>
      <c r="U1403" s="38">
        <v>0</v>
      </c>
      <c r="V1403" s="15" t="str">
        <f t="shared" si="139"/>
        <v/>
      </c>
      <c r="W1403" s="10"/>
      <c r="X1403" s="10"/>
      <c r="Y1403" s="10"/>
      <c r="Z1403" s="10"/>
      <c r="AA1403" s="10"/>
      <c r="AB1403" s="10"/>
      <c r="AC1403" s="9"/>
      <c r="AD1403" s="523" t="e">
        <v>#N/A</v>
      </c>
      <c r="AE1403" s="523" t="e">
        <v>#N/A</v>
      </c>
      <c r="AF1403" s="523" t="e">
        <v>#N/A</v>
      </c>
      <c r="AG1403" s="524" t="e">
        <v>#N/A</v>
      </c>
      <c r="AH1403" s="9"/>
      <c r="AI1403" s="10"/>
      <c r="AJ1403" s="9">
        <f t="shared" si="143"/>
        <v>0</v>
      </c>
      <c r="AK1403" s="10"/>
      <c r="AL1403" s="10"/>
    </row>
    <row r="1404" spans="1:38" ht="45" hidden="1">
      <c r="A1404" s="1">
        <f t="shared" si="141"/>
        <v>0</v>
      </c>
      <c r="B1404" s="2" t="s">
        <v>3930</v>
      </c>
      <c r="C1404" s="3" t="s">
        <v>3931</v>
      </c>
      <c r="D1404" s="15" t="s">
        <v>11790</v>
      </c>
      <c r="E1404" s="4" t="s">
        <v>3930</v>
      </c>
      <c r="F1404" s="37" t="s">
        <v>3931</v>
      </c>
      <c r="G1404" s="38">
        <v>0</v>
      </c>
      <c r="H1404" s="38">
        <v>0</v>
      </c>
      <c r="I1404" s="15"/>
      <c r="J1404" s="494">
        <v>20411030303</v>
      </c>
      <c r="L1404" s="523" t="s">
        <v>3755</v>
      </c>
      <c r="M1404" s="523" t="s">
        <v>607</v>
      </c>
      <c r="N1404" s="518" t="s">
        <v>3756</v>
      </c>
      <c r="O1404" s="523">
        <v>2</v>
      </c>
      <c r="P1404" s="523" t="s">
        <v>693</v>
      </c>
      <c r="Q1404" s="523" t="s">
        <v>1229</v>
      </c>
      <c r="R1404" s="523" t="s">
        <v>671</v>
      </c>
      <c r="S1404" s="523" t="s">
        <v>671</v>
      </c>
      <c r="T1404" s="518" t="s">
        <v>3927</v>
      </c>
      <c r="U1404" s="38">
        <v>0</v>
      </c>
      <c r="V1404" s="15" t="str">
        <f t="shared" si="139"/>
        <v/>
      </c>
      <c r="W1404" s="10"/>
      <c r="X1404" s="10"/>
      <c r="Y1404" s="10"/>
      <c r="Z1404" s="10"/>
      <c r="AA1404" s="10"/>
      <c r="AB1404" s="10"/>
      <c r="AC1404" s="9"/>
      <c r="AD1404" s="523" t="e">
        <v>#N/A</v>
      </c>
      <c r="AE1404" s="523" t="e">
        <v>#N/A</v>
      </c>
      <c r="AF1404" s="523" t="e">
        <v>#N/A</v>
      </c>
      <c r="AG1404" s="524" t="e">
        <v>#N/A</v>
      </c>
      <c r="AH1404" s="9"/>
      <c r="AI1404" s="10"/>
      <c r="AJ1404" s="9">
        <f t="shared" si="143"/>
        <v>0</v>
      </c>
      <c r="AK1404" s="10"/>
      <c r="AL1404" s="10"/>
    </row>
    <row r="1405" spans="1:38" ht="45" hidden="1">
      <c r="A1405" s="1">
        <f t="shared" si="141"/>
        <v>0</v>
      </c>
      <c r="B1405" s="2" t="s">
        <v>3932</v>
      </c>
      <c r="C1405" s="3" t="s">
        <v>3933</v>
      </c>
      <c r="D1405" s="15" t="s">
        <v>11790</v>
      </c>
      <c r="E1405" s="4" t="s">
        <v>3932</v>
      </c>
      <c r="F1405" s="37" t="s">
        <v>3933</v>
      </c>
      <c r="G1405" s="38">
        <v>0</v>
      </c>
      <c r="H1405" s="38">
        <v>0</v>
      </c>
      <c r="I1405" s="15"/>
      <c r="J1405" s="494">
        <v>20411030304</v>
      </c>
      <c r="L1405" s="523" t="s">
        <v>3755</v>
      </c>
      <c r="M1405" s="523" t="s">
        <v>607</v>
      </c>
      <c r="N1405" s="518" t="s">
        <v>3756</v>
      </c>
      <c r="O1405" s="523">
        <v>2</v>
      </c>
      <c r="P1405" s="523" t="s">
        <v>693</v>
      </c>
      <c r="Q1405" s="523" t="s">
        <v>1229</v>
      </c>
      <c r="R1405" s="523" t="s">
        <v>671</v>
      </c>
      <c r="S1405" s="523" t="s">
        <v>671</v>
      </c>
      <c r="T1405" s="518" t="s">
        <v>3927</v>
      </c>
      <c r="U1405" s="38">
        <v>0</v>
      </c>
      <c r="V1405" s="15" t="str">
        <f t="shared" si="139"/>
        <v/>
      </c>
      <c r="W1405" s="10"/>
      <c r="X1405" s="10"/>
      <c r="Y1405" s="10"/>
      <c r="Z1405" s="10"/>
      <c r="AA1405" s="10"/>
      <c r="AB1405" s="10"/>
      <c r="AC1405" s="9"/>
      <c r="AD1405" s="523" t="e">
        <v>#N/A</v>
      </c>
      <c r="AE1405" s="523" t="e">
        <v>#N/A</v>
      </c>
      <c r="AF1405" s="523" t="e">
        <v>#N/A</v>
      </c>
      <c r="AG1405" s="524" t="e">
        <v>#N/A</v>
      </c>
      <c r="AH1405" s="9"/>
      <c r="AI1405" s="10"/>
      <c r="AJ1405" s="9">
        <f t="shared" si="143"/>
        <v>0</v>
      </c>
      <c r="AK1405" s="10"/>
      <c r="AL1405" s="10"/>
    </row>
    <row r="1406" spans="1:38" ht="45" hidden="1">
      <c r="A1406" s="1">
        <f t="shared" si="141"/>
        <v>0</v>
      </c>
      <c r="B1406" s="2" t="s">
        <v>3934</v>
      </c>
      <c r="C1406" s="3" t="s">
        <v>3935</v>
      </c>
      <c r="D1406" s="15" t="s">
        <v>11790</v>
      </c>
      <c r="E1406" s="4" t="s">
        <v>3934</v>
      </c>
      <c r="F1406" s="37" t="s">
        <v>3935</v>
      </c>
      <c r="G1406" s="38">
        <v>0</v>
      </c>
      <c r="H1406" s="38">
        <v>0</v>
      </c>
      <c r="I1406" s="15"/>
      <c r="J1406" s="494">
        <v>20411030305</v>
      </c>
      <c r="L1406" s="523" t="s">
        <v>3755</v>
      </c>
      <c r="M1406" s="523" t="s">
        <v>607</v>
      </c>
      <c r="N1406" s="518" t="s">
        <v>3756</v>
      </c>
      <c r="O1406" s="523">
        <v>2</v>
      </c>
      <c r="P1406" s="523" t="s">
        <v>693</v>
      </c>
      <c r="Q1406" s="523" t="s">
        <v>1229</v>
      </c>
      <c r="R1406" s="523" t="s">
        <v>671</v>
      </c>
      <c r="S1406" s="523" t="s">
        <v>671</v>
      </c>
      <c r="T1406" s="518" t="s">
        <v>3927</v>
      </c>
      <c r="U1406" s="38">
        <v>0</v>
      </c>
      <c r="V1406" s="15" t="str">
        <f t="shared" si="139"/>
        <v/>
      </c>
      <c r="W1406" s="10"/>
      <c r="X1406" s="10"/>
      <c r="Y1406" s="10"/>
      <c r="Z1406" s="10"/>
      <c r="AA1406" s="10"/>
      <c r="AB1406" s="10"/>
      <c r="AC1406" s="9"/>
      <c r="AD1406" s="523" t="e">
        <v>#N/A</v>
      </c>
      <c r="AE1406" s="523" t="e">
        <v>#N/A</v>
      </c>
      <c r="AF1406" s="523" t="e">
        <v>#N/A</v>
      </c>
      <c r="AG1406" s="524" t="e">
        <v>#N/A</v>
      </c>
      <c r="AH1406" s="9"/>
      <c r="AI1406" s="10"/>
      <c r="AJ1406" s="9">
        <f t="shared" si="143"/>
        <v>0</v>
      </c>
      <c r="AK1406" s="10"/>
      <c r="AL1406" s="10"/>
    </row>
    <row r="1407" spans="1:38" ht="45" hidden="1">
      <c r="A1407" s="1">
        <f t="shared" si="141"/>
        <v>0</v>
      </c>
      <c r="B1407" s="2" t="s">
        <v>3936</v>
      </c>
      <c r="C1407" s="3" t="s">
        <v>3937</v>
      </c>
      <c r="D1407" s="15" t="s">
        <v>11791</v>
      </c>
      <c r="E1407" s="4" t="s">
        <v>3936</v>
      </c>
      <c r="F1407" s="37" t="s">
        <v>3937</v>
      </c>
      <c r="G1407" s="38">
        <v>0</v>
      </c>
      <c r="H1407" s="38">
        <v>0</v>
      </c>
      <c r="I1407" s="15"/>
      <c r="J1407" s="494">
        <v>20411030401</v>
      </c>
      <c r="K1407" s="517"/>
      <c r="L1407" s="517" t="s">
        <v>3755</v>
      </c>
      <c r="M1407" s="517" t="s">
        <v>607</v>
      </c>
      <c r="N1407" s="518" t="s">
        <v>3756</v>
      </c>
      <c r="O1407" s="517">
        <v>2</v>
      </c>
      <c r="P1407" s="517" t="s">
        <v>693</v>
      </c>
      <c r="Q1407" s="517" t="s">
        <v>1229</v>
      </c>
      <c r="R1407" s="517" t="s">
        <v>671</v>
      </c>
      <c r="S1407" s="517" t="s">
        <v>693</v>
      </c>
      <c r="T1407" s="518" t="s">
        <v>3938</v>
      </c>
      <c r="U1407" s="38">
        <v>0</v>
      </c>
      <c r="V1407" s="15" t="str">
        <f t="shared" si="139"/>
        <v>204110304</v>
      </c>
      <c r="W1407" s="39">
        <v>2</v>
      </c>
      <c r="X1407" s="50" t="s">
        <v>693</v>
      </c>
      <c r="Y1407" s="50" t="s">
        <v>1229</v>
      </c>
      <c r="Z1407" s="50" t="s">
        <v>671</v>
      </c>
      <c r="AA1407" s="40" t="s">
        <v>693</v>
      </c>
      <c r="AB1407" s="42" t="s">
        <v>3938</v>
      </c>
      <c r="AC1407" s="519">
        <f>SUM(H1407:H1411)</f>
        <v>0</v>
      </c>
      <c r="AD1407" s="517">
        <v>0</v>
      </c>
      <c r="AE1407" s="517" t="s">
        <v>3755</v>
      </c>
      <c r="AF1407" s="517" t="s">
        <v>607</v>
      </c>
      <c r="AG1407" s="518" t="s">
        <v>3756</v>
      </c>
      <c r="AH1407" s="67">
        <f>AC1407</f>
        <v>0</v>
      </c>
      <c r="AI1407" s="10"/>
      <c r="AJ1407" s="9">
        <f t="shared" si="143"/>
        <v>0</v>
      </c>
      <c r="AK1407" s="10"/>
      <c r="AL1407" s="10"/>
    </row>
    <row r="1408" spans="1:38" ht="33.75" hidden="1">
      <c r="A1408" s="1">
        <f t="shared" si="141"/>
        <v>0</v>
      </c>
      <c r="B1408" s="2" t="s">
        <v>3939</v>
      </c>
      <c r="C1408" s="3" t="s">
        <v>3940</v>
      </c>
      <c r="D1408" s="15" t="s">
        <v>11791</v>
      </c>
      <c r="E1408" s="4" t="s">
        <v>3939</v>
      </c>
      <c r="F1408" s="37" t="s">
        <v>3940</v>
      </c>
      <c r="G1408" s="38">
        <v>0</v>
      </c>
      <c r="H1408" s="38">
        <v>0</v>
      </c>
      <c r="I1408" s="15"/>
      <c r="J1408" s="494">
        <v>20411030402</v>
      </c>
      <c r="L1408" s="523" t="s">
        <v>3755</v>
      </c>
      <c r="M1408" s="523" t="s">
        <v>607</v>
      </c>
      <c r="N1408" s="518" t="s">
        <v>3756</v>
      </c>
      <c r="O1408" s="523">
        <v>2</v>
      </c>
      <c r="P1408" s="523" t="s">
        <v>693</v>
      </c>
      <c r="Q1408" s="523" t="s">
        <v>1229</v>
      </c>
      <c r="R1408" s="523" t="s">
        <v>671</v>
      </c>
      <c r="S1408" s="523" t="s">
        <v>693</v>
      </c>
      <c r="T1408" s="518" t="s">
        <v>3938</v>
      </c>
      <c r="U1408" s="38">
        <v>0</v>
      </c>
      <c r="V1408" s="15" t="str">
        <f t="shared" si="139"/>
        <v/>
      </c>
      <c r="W1408" s="10"/>
      <c r="X1408" s="10"/>
      <c r="Y1408" s="10"/>
      <c r="Z1408" s="10"/>
      <c r="AA1408" s="10"/>
      <c r="AB1408" s="10"/>
      <c r="AC1408" s="9"/>
      <c r="AD1408" s="523" t="e">
        <v>#N/A</v>
      </c>
      <c r="AE1408" s="523" t="e">
        <v>#N/A</v>
      </c>
      <c r="AF1408" s="523" t="e">
        <v>#N/A</v>
      </c>
      <c r="AG1408" s="524" t="e">
        <v>#N/A</v>
      </c>
      <c r="AH1408" s="9"/>
      <c r="AI1408" s="10"/>
      <c r="AJ1408" s="9">
        <f t="shared" si="143"/>
        <v>0</v>
      </c>
      <c r="AK1408" s="10"/>
      <c r="AL1408" s="10"/>
    </row>
    <row r="1409" spans="1:38" ht="33.75" hidden="1">
      <c r="A1409" s="1">
        <f t="shared" si="141"/>
        <v>0</v>
      </c>
      <c r="B1409" s="2" t="s">
        <v>3941</v>
      </c>
      <c r="C1409" s="3" t="s">
        <v>3942</v>
      </c>
      <c r="D1409" s="15" t="s">
        <v>11791</v>
      </c>
      <c r="E1409" s="4" t="s">
        <v>3941</v>
      </c>
      <c r="F1409" s="37" t="s">
        <v>3942</v>
      </c>
      <c r="G1409" s="38">
        <v>0</v>
      </c>
      <c r="H1409" s="38">
        <v>0</v>
      </c>
      <c r="I1409" s="15"/>
      <c r="J1409" s="494">
        <v>20411030403</v>
      </c>
      <c r="L1409" s="523" t="s">
        <v>3755</v>
      </c>
      <c r="M1409" s="523" t="s">
        <v>607</v>
      </c>
      <c r="N1409" s="518" t="s">
        <v>3756</v>
      </c>
      <c r="O1409" s="523">
        <v>2</v>
      </c>
      <c r="P1409" s="523" t="s">
        <v>693</v>
      </c>
      <c r="Q1409" s="523" t="s">
        <v>1229</v>
      </c>
      <c r="R1409" s="523" t="s">
        <v>671</v>
      </c>
      <c r="S1409" s="523" t="s">
        <v>693</v>
      </c>
      <c r="T1409" s="518" t="s">
        <v>3938</v>
      </c>
      <c r="U1409" s="38">
        <v>0</v>
      </c>
      <c r="V1409" s="15" t="str">
        <f t="shared" si="139"/>
        <v/>
      </c>
      <c r="W1409" s="10"/>
      <c r="X1409" s="10"/>
      <c r="Y1409" s="10"/>
      <c r="Z1409" s="10"/>
      <c r="AA1409" s="10"/>
      <c r="AB1409" s="10"/>
      <c r="AC1409" s="9"/>
      <c r="AD1409" s="523" t="e">
        <v>#N/A</v>
      </c>
      <c r="AE1409" s="523" t="e">
        <v>#N/A</v>
      </c>
      <c r="AF1409" s="523" t="e">
        <v>#N/A</v>
      </c>
      <c r="AG1409" s="524" t="e">
        <v>#N/A</v>
      </c>
      <c r="AH1409" s="9"/>
      <c r="AI1409" s="10"/>
      <c r="AJ1409" s="9">
        <f t="shared" si="143"/>
        <v>0</v>
      </c>
      <c r="AK1409" s="10"/>
      <c r="AL1409" s="10"/>
    </row>
    <row r="1410" spans="1:38" ht="33.75" hidden="1">
      <c r="A1410" s="1">
        <f t="shared" si="141"/>
        <v>0</v>
      </c>
      <c r="B1410" s="2" t="s">
        <v>3943</v>
      </c>
      <c r="C1410" s="3" t="s">
        <v>3944</v>
      </c>
      <c r="D1410" s="15" t="s">
        <v>11791</v>
      </c>
      <c r="E1410" s="4" t="s">
        <v>3943</v>
      </c>
      <c r="F1410" s="37" t="s">
        <v>3944</v>
      </c>
      <c r="G1410" s="38">
        <v>0</v>
      </c>
      <c r="H1410" s="38">
        <v>0</v>
      </c>
      <c r="I1410" s="15"/>
      <c r="J1410" s="494">
        <v>20411030404</v>
      </c>
      <c r="L1410" s="523" t="s">
        <v>3755</v>
      </c>
      <c r="M1410" s="523" t="s">
        <v>607</v>
      </c>
      <c r="N1410" s="518" t="s">
        <v>3756</v>
      </c>
      <c r="O1410" s="523">
        <v>2</v>
      </c>
      <c r="P1410" s="523" t="s">
        <v>693</v>
      </c>
      <c r="Q1410" s="523" t="s">
        <v>1229</v>
      </c>
      <c r="R1410" s="523" t="s">
        <v>671</v>
      </c>
      <c r="S1410" s="523" t="s">
        <v>693</v>
      </c>
      <c r="T1410" s="518" t="s">
        <v>3938</v>
      </c>
      <c r="U1410" s="38">
        <v>0</v>
      </c>
      <c r="V1410" s="15" t="str">
        <f t="shared" si="139"/>
        <v/>
      </c>
      <c r="W1410" s="10"/>
      <c r="X1410" s="10"/>
      <c r="Y1410" s="10"/>
      <c r="Z1410" s="10"/>
      <c r="AA1410" s="10"/>
      <c r="AB1410" s="10"/>
      <c r="AC1410" s="9"/>
      <c r="AD1410" s="523" t="e">
        <v>#N/A</v>
      </c>
      <c r="AE1410" s="523" t="e">
        <v>#N/A</v>
      </c>
      <c r="AF1410" s="523" t="e">
        <v>#N/A</v>
      </c>
      <c r="AG1410" s="524" t="e">
        <v>#N/A</v>
      </c>
      <c r="AH1410" s="9"/>
      <c r="AI1410" s="10"/>
      <c r="AJ1410" s="9">
        <f t="shared" si="143"/>
        <v>0</v>
      </c>
      <c r="AK1410" s="10"/>
      <c r="AL1410" s="10"/>
    </row>
    <row r="1411" spans="1:38" ht="33.75" hidden="1">
      <c r="A1411" s="1">
        <f t="shared" si="141"/>
        <v>0</v>
      </c>
      <c r="B1411" s="2" t="s">
        <v>3945</v>
      </c>
      <c r="C1411" s="3" t="s">
        <v>3946</v>
      </c>
      <c r="D1411" s="15" t="s">
        <v>11791</v>
      </c>
      <c r="E1411" s="4" t="s">
        <v>3945</v>
      </c>
      <c r="F1411" s="37" t="s">
        <v>3946</v>
      </c>
      <c r="G1411" s="38">
        <v>0</v>
      </c>
      <c r="H1411" s="38">
        <v>0</v>
      </c>
      <c r="I1411" s="15"/>
      <c r="J1411" s="494">
        <v>20411030405</v>
      </c>
      <c r="L1411" s="523" t="s">
        <v>3755</v>
      </c>
      <c r="M1411" s="523" t="s">
        <v>607</v>
      </c>
      <c r="N1411" s="518" t="s">
        <v>3756</v>
      </c>
      <c r="O1411" s="523">
        <v>2</v>
      </c>
      <c r="P1411" s="523" t="s">
        <v>693</v>
      </c>
      <c r="Q1411" s="523" t="s">
        <v>1229</v>
      </c>
      <c r="R1411" s="523" t="s">
        <v>671</v>
      </c>
      <c r="S1411" s="523" t="s">
        <v>693</v>
      </c>
      <c r="T1411" s="518" t="s">
        <v>3938</v>
      </c>
      <c r="U1411" s="38">
        <v>0</v>
      </c>
      <c r="V1411" s="15" t="str">
        <f t="shared" ref="V1411:V1474" si="144">CONCATENATE(W1411,X1411,Y1411,Z1411,AA1411)</f>
        <v/>
      </c>
      <c r="W1411" s="10"/>
      <c r="X1411" s="10"/>
      <c r="Y1411" s="10"/>
      <c r="Z1411" s="10"/>
      <c r="AA1411" s="10"/>
      <c r="AB1411" s="10"/>
      <c r="AC1411" s="9"/>
      <c r="AD1411" s="523" t="e">
        <v>#N/A</v>
      </c>
      <c r="AE1411" s="523" t="e">
        <v>#N/A</v>
      </c>
      <c r="AF1411" s="523" t="e">
        <v>#N/A</v>
      </c>
      <c r="AG1411" s="524" t="e">
        <v>#N/A</v>
      </c>
      <c r="AH1411" s="9"/>
      <c r="AI1411" s="10"/>
      <c r="AJ1411" s="9">
        <f t="shared" si="143"/>
        <v>0</v>
      </c>
      <c r="AK1411" s="10"/>
      <c r="AL1411" s="10"/>
    </row>
    <row r="1412" spans="1:38" ht="45" hidden="1">
      <c r="A1412" s="1">
        <f t="shared" si="141"/>
        <v>0</v>
      </c>
      <c r="B1412" s="2" t="s">
        <v>3947</v>
      </c>
      <c r="C1412" s="3" t="s">
        <v>3948</v>
      </c>
      <c r="D1412" s="15" t="s">
        <v>11792</v>
      </c>
      <c r="E1412" s="4" t="s">
        <v>3947</v>
      </c>
      <c r="F1412" s="37" t="s">
        <v>3948</v>
      </c>
      <c r="G1412" s="38">
        <v>0</v>
      </c>
      <c r="H1412" s="38">
        <v>0</v>
      </c>
      <c r="I1412" s="15"/>
      <c r="J1412" s="494">
        <v>20411030501</v>
      </c>
      <c r="K1412" s="517"/>
      <c r="L1412" s="517" t="s">
        <v>3755</v>
      </c>
      <c r="M1412" s="517" t="s">
        <v>607</v>
      </c>
      <c r="N1412" s="518" t="s">
        <v>3756</v>
      </c>
      <c r="O1412" s="517">
        <v>2</v>
      </c>
      <c r="P1412" s="517" t="s">
        <v>693</v>
      </c>
      <c r="Q1412" s="517" t="s">
        <v>1229</v>
      </c>
      <c r="R1412" s="517" t="s">
        <v>671</v>
      </c>
      <c r="S1412" s="517" t="s">
        <v>714</v>
      </c>
      <c r="T1412" s="518" t="s">
        <v>3949</v>
      </c>
      <c r="U1412" s="38">
        <v>0</v>
      </c>
      <c r="V1412" s="15" t="str">
        <f t="shared" si="144"/>
        <v>204110305</v>
      </c>
      <c r="W1412" s="39">
        <v>2</v>
      </c>
      <c r="X1412" s="50" t="s">
        <v>693</v>
      </c>
      <c r="Y1412" s="50" t="s">
        <v>1229</v>
      </c>
      <c r="Z1412" s="50" t="s">
        <v>671</v>
      </c>
      <c r="AA1412" s="40" t="s">
        <v>714</v>
      </c>
      <c r="AB1412" s="42" t="s">
        <v>3949</v>
      </c>
      <c r="AC1412" s="519">
        <f>SUM(H1412:H1416)</f>
        <v>0</v>
      </c>
      <c r="AD1412" s="517">
        <v>0</v>
      </c>
      <c r="AE1412" s="517" t="s">
        <v>3755</v>
      </c>
      <c r="AF1412" s="517" t="s">
        <v>607</v>
      </c>
      <c r="AG1412" s="518" t="s">
        <v>3756</v>
      </c>
      <c r="AH1412" s="67">
        <f>AC1412</f>
        <v>0</v>
      </c>
      <c r="AI1412" s="10"/>
      <c r="AJ1412" s="9">
        <f t="shared" si="143"/>
        <v>0</v>
      </c>
      <c r="AK1412" s="10"/>
      <c r="AL1412" s="10"/>
    </row>
    <row r="1413" spans="1:38" ht="33.75" hidden="1">
      <c r="A1413" s="1">
        <f t="shared" si="141"/>
        <v>0</v>
      </c>
      <c r="B1413" s="2" t="s">
        <v>3950</v>
      </c>
      <c r="C1413" s="3" t="s">
        <v>3951</v>
      </c>
      <c r="D1413" s="15" t="s">
        <v>11792</v>
      </c>
      <c r="E1413" s="4" t="s">
        <v>3950</v>
      </c>
      <c r="F1413" s="37" t="s">
        <v>3951</v>
      </c>
      <c r="G1413" s="38">
        <v>0</v>
      </c>
      <c r="H1413" s="38">
        <v>0</v>
      </c>
      <c r="I1413" s="15"/>
      <c r="J1413" s="494">
        <v>20411030502</v>
      </c>
      <c r="L1413" s="523" t="s">
        <v>3755</v>
      </c>
      <c r="M1413" s="523" t="s">
        <v>607</v>
      </c>
      <c r="N1413" s="518" t="s">
        <v>3756</v>
      </c>
      <c r="O1413" s="523">
        <v>2</v>
      </c>
      <c r="P1413" s="523" t="s">
        <v>693</v>
      </c>
      <c r="Q1413" s="523" t="s">
        <v>1229</v>
      </c>
      <c r="R1413" s="523" t="s">
        <v>671</v>
      </c>
      <c r="S1413" s="523" t="s">
        <v>714</v>
      </c>
      <c r="T1413" s="518" t="s">
        <v>3949</v>
      </c>
      <c r="U1413" s="38">
        <v>0</v>
      </c>
      <c r="V1413" s="15" t="str">
        <f t="shared" si="144"/>
        <v/>
      </c>
      <c r="W1413" s="10"/>
      <c r="X1413" s="10"/>
      <c r="Y1413" s="10"/>
      <c r="Z1413" s="10"/>
      <c r="AA1413" s="10"/>
      <c r="AB1413" s="10"/>
      <c r="AC1413" s="9"/>
      <c r="AD1413" s="523" t="e">
        <v>#N/A</v>
      </c>
      <c r="AE1413" s="523" t="e">
        <v>#N/A</v>
      </c>
      <c r="AF1413" s="523" t="e">
        <v>#N/A</v>
      </c>
      <c r="AG1413" s="524" t="e">
        <v>#N/A</v>
      </c>
      <c r="AH1413" s="9"/>
      <c r="AI1413" s="10"/>
      <c r="AJ1413" s="9">
        <f t="shared" si="143"/>
        <v>0</v>
      </c>
      <c r="AK1413" s="10"/>
      <c r="AL1413" s="10"/>
    </row>
    <row r="1414" spans="1:38" ht="33.75" hidden="1">
      <c r="A1414" s="1">
        <f t="shared" si="141"/>
        <v>0</v>
      </c>
      <c r="B1414" s="2" t="s">
        <v>3952</v>
      </c>
      <c r="C1414" s="3" t="s">
        <v>3953</v>
      </c>
      <c r="D1414" s="15" t="s">
        <v>11792</v>
      </c>
      <c r="E1414" s="4" t="s">
        <v>3952</v>
      </c>
      <c r="F1414" s="37" t="s">
        <v>3953</v>
      </c>
      <c r="G1414" s="38">
        <v>0</v>
      </c>
      <c r="H1414" s="38">
        <v>0</v>
      </c>
      <c r="I1414" s="15"/>
      <c r="J1414" s="494">
        <v>20411030503</v>
      </c>
      <c r="L1414" s="523" t="s">
        <v>3755</v>
      </c>
      <c r="M1414" s="523" t="s">
        <v>607</v>
      </c>
      <c r="N1414" s="518" t="s">
        <v>3756</v>
      </c>
      <c r="O1414" s="523">
        <v>2</v>
      </c>
      <c r="P1414" s="523" t="s">
        <v>693</v>
      </c>
      <c r="Q1414" s="523" t="s">
        <v>1229</v>
      </c>
      <c r="R1414" s="523" t="s">
        <v>671</v>
      </c>
      <c r="S1414" s="523" t="s">
        <v>714</v>
      </c>
      <c r="T1414" s="518" t="s">
        <v>3949</v>
      </c>
      <c r="U1414" s="38">
        <v>0</v>
      </c>
      <c r="V1414" s="15" t="str">
        <f t="shared" si="144"/>
        <v/>
      </c>
      <c r="W1414" s="10"/>
      <c r="X1414" s="10"/>
      <c r="Y1414" s="10"/>
      <c r="Z1414" s="10"/>
      <c r="AA1414" s="10"/>
      <c r="AB1414" s="10"/>
      <c r="AC1414" s="9"/>
      <c r="AD1414" s="523" t="e">
        <v>#N/A</v>
      </c>
      <c r="AE1414" s="523" t="e">
        <v>#N/A</v>
      </c>
      <c r="AF1414" s="523" t="e">
        <v>#N/A</v>
      </c>
      <c r="AG1414" s="524" t="e">
        <v>#N/A</v>
      </c>
      <c r="AH1414" s="9"/>
      <c r="AI1414" s="10"/>
      <c r="AJ1414" s="9">
        <f t="shared" si="143"/>
        <v>0</v>
      </c>
      <c r="AK1414" s="10"/>
      <c r="AL1414" s="10"/>
    </row>
    <row r="1415" spans="1:38" ht="33.75" hidden="1">
      <c r="A1415" s="1">
        <f t="shared" si="141"/>
        <v>0</v>
      </c>
      <c r="B1415" s="2" t="s">
        <v>3954</v>
      </c>
      <c r="C1415" s="3" t="s">
        <v>3955</v>
      </c>
      <c r="D1415" s="15" t="s">
        <v>11792</v>
      </c>
      <c r="E1415" s="4" t="s">
        <v>3954</v>
      </c>
      <c r="F1415" s="37" t="s">
        <v>3955</v>
      </c>
      <c r="G1415" s="38">
        <v>0</v>
      </c>
      <c r="H1415" s="38">
        <v>0</v>
      </c>
      <c r="I1415" s="15"/>
      <c r="J1415" s="494">
        <v>20411030504</v>
      </c>
      <c r="L1415" s="523" t="s">
        <v>3755</v>
      </c>
      <c r="M1415" s="523" t="s">
        <v>607</v>
      </c>
      <c r="N1415" s="518" t="s">
        <v>3756</v>
      </c>
      <c r="O1415" s="523">
        <v>2</v>
      </c>
      <c r="P1415" s="523" t="s">
        <v>693</v>
      </c>
      <c r="Q1415" s="523" t="s">
        <v>1229</v>
      </c>
      <c r="R1415" s="523" t="s">
        <v>671</v>
      </c>
      <c r="S1415" s="523" t="s">
        <v>714</v>
      </c>
      <c r="T1415" s="518" t="s">
        <v>3949</v>
      </c>
      <c r="U1415" s="38">
        <v>0</v>
      </c>
      <c r="V1415" s="15" t="str">
        <f t="shared" si="144"/>
        <v/>
      </c>
      <c r="W1415" s="10"/>
      <c r="X1415" s="10"/>
      <c r="Y1415" s="10"/>
      <c r="Z1415" s="10"/>
      <c r="AA1415" s="10"/>
      <c r="AB1415" s="10"/>
      <c r="AC1415" s="9"/>
      <c r="AD1415" s="523" t="e">
        <v>#N/A</v>
      </c>
      <c r="AE1415" s="523" t="e">
        <v>#N/A</v>
      </c>
      <c r="AF1415" s="523" t="e">
        <v>#N/A</v>
      </c>
      <c r="AG1415" s="524" t="e">
        <v>#N/A</v>
      </c>
      <c r="AH1415" s="9"/>
      <c r="AI1415" s="10"/>
      <c r="AJ1415" s="9">
        <f t="shared" si="143"/>
        <v>0</v>
      </c>
      <c r="AK1415" s="10"/>
      <c r="AL1415" s="10"/>
    </row>
    <row r="1416" spans="1:38" ht="33.75" hidden="1">
      <c r="A1416" s="1">
        <f t="shared" si="141"/>
        <v>0</v>
      </c>
      <c r="B1416" s="2" t="s">
        <v>3956</v>
      </c>
      <c r="C1416" s="3" t="s">
        <v>3957</v>
      </c>
      <c r="D1416" s="15" t="s">
        <v>11792</v>
      </c>
      <c r="E1416" s="4" t="s">
        <v>3956</v>
      </c>
      <c r="F1416" s="37" t="s">
        <v>3957</v>
      </c>
      <c r="G1416" s="38">
        <v>0</v>
      </c>
      <c r="H1416" s="38">
        <v>0</v>
      </c>
      <c r="I1416" s="15"/>
      <c r="J1416" s="494">
        <v>20411030505</v>
      </c>
      <c r="L1416" s="523" t="s">
        <v>3755</v>
      </c>
      <c r="M1416" s="523" t="s">
        <v>607</v>
      </c>
      <c r="N1416" s="518" t="s">
        <v>3756</v>
      </c>
      <c r="O1416" s="523">
        <v>2</v>
      </c>
      <c r="P1416" s="523" t="s">
        <v>693</v>
      </c>
      <c r="Q1416" s="523" t="s">
        <v>1229</v>
      </c>
      <c r="R1416" s="523" t="s">
        <v>671</v>
      </c>
      <c r="S1416" s="523" t="s">
        <v>714</v>
      </c>
      <c r="T1416" s="518" t="s">
        <v>3949</v>
      </c>
      <c r="U1416" s="38">
        <v>0</v>
      </c>
      <c r="V1416" s="15" t="str">
        <f t="shared" si="144"/>
        <v/>
      </c>
      <c r="W1416" s="10"/>
      <c r="X1416" s="10"/>
      <c r="Y1416" s="10"/>
      <c r="Z1416" s="10"/>
      <c r="AA1416" s="10"/>
      <c r="AB1416" s="10"/>
      <c r="AC1416" s="9"/>
      <c r="AD1416" s="523" t="e">
        <v>#N/A</v>
      </c>
      <c r="AE1416" s="523" t="e">
        <v>#N/A</v>
      </c>
      <c r="AF1416" s="523" t="e">
        <v>#N/A</v>
      </c>
      <c r="AG1416" s="524" t="e">
        <v>#N/A</v>
      </c>
      <c r="AH1416" s="9"/>
      <c r="AI1416" s="10"/>
      <c r="AJ1416" s="9">
        <f t="shared" si="143"/>
        <v>0</v>
      </c>
      <c r="AK1416" s="10"/>
      <c r="AL1416" s="10"/>
    </row>
    <row r="1417" spans="1:38" ht="45" hidden="1">
      <c r="A1417" s="1">
        <f t="shared" si="141"/>
        <v>0</v>
      </c>
      <c r="B1417" s="2" t="s">
        <v>3958</v>
      </c>
      <c r="C1417" s="3" t="s">
        <v>3959</v>
      </c>
      <c r="D1417" s="15" t="s">
        <v>11793</v>
      </c>
      <c r="E1417" s="4" t="s">
        <v>3958</v>
      </c>
      <c r="F1417" s="37" t="s">
        <v>3959</v>
      </c>
      <c r="G1417" s="38">
        <v>0</v>
      </c>
      <c r="H1417" s="38">
        <v>0</v>
      </c>
      <c r="I1417" s="15"/>
      <c r="J1417" s="494">
        <v>20411030601</v>
      </c>
      <c r="K1417" s="517"/>
      <c r="L1417" s="517" t="s">
        <v>3755</v>
      </c>
      <c r="M1417" s="517" t="s">
        <v>607</v>
      </c>
      <c r="N1417" s="518" t="s">
        <v>3756</v>
      </c>
      <c r="O1417" s="517">
        <v>2</v>
      </c>
      <c r="P1417" s="517" t="s">
        <v>693</v>
      </c>
      <c r="Q1417" s="517" t="s">
        <v>1229</v>
      </c>
      <c r="R1417" s="517" t="s">
        <v>671</v>
      </c>
      <c r="S1417" s="517" t="s">
        <v>739</v>
      </c>
      <c r="T1417" s="518" t="s">
        <v>3960</v>
      </c>
      <c r="U1417" s="38">
        <v>0</v>
      </c>
      <c r="V1417" s="15" t="str">
        <f t="shared" si="144"/>
        <v>204110306</v>
      </c>
      <c r="W1417" s="39">
        <v>2</v>
      </c>
      <c r="X1417" s="50" t="s">
        <v>693</v>
      </c>
      <c r="Y1417" s="50" t="s">
        <v>1229</v>
      </c>
      <c r="Z1417" s="50" t="s">
        <v>671</v>
      </c>
      <c r="AA1417" s="40" t="s">
        <v>739</v>
      </c>
      <c r="AB1417" s="42" t="s">
        <v>3960</v>
      </c>
      <c r="AC1417" s="519">
        <f>SUM(H1417:H1440)</f>
        <v>0</v>
      </c>
      <c r="AD1417" s="517">
        <v>0</v>
      </c>
      <c r="AE1417" s="517" t="s">
        <v>3755</v>
      </c>
      <c r="AF1417" s="517" t="s">
        <v>607</v>
      </c>
      <c r="AG1417" s="518" t="s">
        <v>3756</v>
      </c>
      <c r="AH1417" s="67">
        <f>AC1417</f>
        <v>0</v>
      </c>
      <c r="AI1417" s="10"/>
      <c r="AJ1417" s="9">
        <f t="shared" si="143"/>
        <v>0</v>
      </c>
      <c r="AK1417" s="10"/>
      <c r="AL1417" s="10"/>
    </row>
    <row r="1418" spans="1:38" ht="33.75" hidden="1">
      <c r="A1418" s="1">
        <f t="shared" si="141"/>
        <v>0</v>
      </c>
      <c r="B1418" s="2" t="s">
        <v>3961</v>
      </c>
      <c r="C1418" s="3" t="s">
        <v>3962</v>
      </c>
      <c r="D1418" s="15" t="s">
        <v>11793</v>
      </c>
      <c r="E1418" s="4" t="s">
        <v>3961</v>
      </c>
      <c r="F1418" s="37" t="s">
        <v>3962</v>
      </c>
      <c r="G1418" s="38">
        <v>0</v>
      </c>
      <c r="H1418" s="38">
        <v>0</v>
      </c>
      <c r="I1418" s="15"/>
      <c r="J1418" s="494">
        <v>20411030602</v>
      </c>
      <c r="L1418" s="523" t="s">
        <v>3755</v>
      </c>
      <c r="M1418" s="523" t="s">
        <v>607</v>
      </c>
      <c r="N1418" s="518" t="s">
        <v>3756</v>
      </c>
      <c r="O1418" s="523">
        <v>2</v>
      </c>
      <c r="P1418" s="523" t="s">
        <v>693</v>
      </c>
      <c r="Q1418" s="523" t="s">
        <v>1229</v>
      </c>
      <c r="R1418" s="523" t="s">
        <v>671</v>
      </c>
      <c r="S1418" s="523" t="s">
        <v>739</v>
      </c>
      <c r="T1418" s="518" t="s">
        <v>3960</v>
      </c>
      <c r="U1418" s="38">
        <v>0</v>
      </c>
      <c r="V1418" s="15" t="str">
        <f t="shared" si="144"/>
        <v/>
      </c>
      <c r="W1418" s="10"/>
      <c r="X1418" s="10"/>
      <c r="Y1418" s="10"/>
      <c r="Z1418" s="10"/>
      <c r="AA1418" s="10"/>
      <c r="AB1418" s="10"/>
      <c r="AC1418" s="9"/>
      <c r="AD1418" s="523" t="e">
        <v>#N/A</v>
      </c>
      <c r="AE1418" s="523" t="e">
        <v>#N/A</v>
      </c>
      <c r="AF1418" s="523" t="e">
        <v>#N/A</v>
      </c>
      <c r="AG1418" s="524" t="e">
        <v>#N/A</v>
      </c>
      <c r="AH1418" s="9"/>
      <c r="AI1418" s="10"/>
      <c r="AJ1418" s="9">
        <f t="shared" si="143"/>
        <v>0</v>
      </c>
      <c r="AK1418" s="10"/>
      <c r="AL1418" s="10"/>
    </row>
    <row r="1419" spans="1:38" ht="33.75" hidden="1">
      <c r="A1419" s="1">
        <f t="shared" si="141"/>
        <v>0</v>
      </c>
      <c r="B1419" s="2" t="s">
        <v>3963</v>
      </c>
      <c r="C1419" s="3" t="s">
        <v>3964</v>
      </c>
      <c r="D1419" s="15" t="s">
        <v>11793</v>
      </c>
      <c r="E1419" s="4" t="s">
        <v>3963</v>
      </c>
      <c r="F1419" s="37" t="s">
        <v>3964</v>
      </c>
      <c r="G1419" s="38">
        <v>0</v>
      </c>
      <c r="H1419" s="38">
        <v>0</v>
      </c>
      <c r="I1419" s="15"/>
      <c r="J1419" s="494">
        <v>20411030603</v>
      </c>
      <c r="L1419" s="523" t="s">
        <v>3755</v>
      </c>
      <c r="M1419" s="523" t="s">
        <v>607</v>
      </c>
      <c r="N1419" s="518" t="s">
        <v>3756</v>
      </c>
      <c r="O1419" s="523">
        <v>2</v>
      </c>
      <c r="P1419" s="523" t="s">
        <v>693</v>
      </c>
      <c r="Q1419" s="523" t="s">
        <v>1229</v>
      </c>
      <c r="R1419" s="523" t="s">
        <v>671</v>
      </c>
      <c r="S1419" s="523" t="s">
        <v>739</v>
      </c>
      <c r="T1419" s="518" t="s">
        <v>3960</v>
      </c>
      <c r="U1419" s="38">
        <v>0</v>
      </c>
      <c r="V1419" s="15" t="str">
        <f t="shared" si="144"/>
        <v/>
      </c>
      <c r="W1419" s="10"/>
      <c r="X1419" s="10"/>
      <c r="Y1419" s="10"/>
      <c r="Z1419" s="10"/>
      <c r="AA1419" s="10"/>
      <c r="AB1419" s="10"/>
      <c r="AC1419" s="9"/>
      <c r="AD1419" s="523" t="e">
        <v>#N/A</v>
      </c>
      <c r="AE1419" s="523" t="e">
        <v>#N/A</v>
      </c>
      <c r="AF1419" s="523" t="e">
        <v>#N/A</v>
      </c>
      <c r="AG1419" s="524" t="e">
        <v>#N/A</v>
      </c>
      <c r="AH1419" s="9"/>
      <c r="AI1419" s="10"/>
      <c r="AJ1419" s="9">
        <f t="shared" si="143"/>
        <v>0</v>
      </c>
      <c r="AK1419" s="10"/>
      <c r="AL1419" s="10"/>
    </row>
    <row r="1420" spans="1:38" ht="33.75" hidden="1">
      <c r="A1420" s="1">
        <f t="shared" si="141"/>
        <v>0</v>
      </c>
      <c r="B1420" s="2" t="s">
        <v>3965</v>
      </c>
      <c r="C1420" s="3" t="s">
        <v>3966</v>
      </c>
      <c r="D1420" s="15" t="s">
        <v>11793</v>
      </c>
      <c r="E1420" s="4" t="s">
        <v>3965</v>
      </c>
      <c r="F1420" s="37" t="s">
        <v>3966</v>
      </c>
      <c r="G1420" s="38">
        <v>0</v>
      </c>
      <c r="H1420" s="38">
        <v>0</v>
      </c>
      <c r="I1420" s="15"/>
      <c r="J1420" s="494">
        <v>20411030604</v>
      </c>
      <c r="L1420" s="523" t="s">
        <v>3755</v>
      </c>
      <c r="M1420" s="523" t="s">
        <v>607</v>
      </c>
      <c r="N1420" s="518" t="s">
        <v>3756</v>
      </c>
      <c r="O1420" s="523">
        <v>2</v>
      </c>
      <c r="P1420" s="523" t="s">
        <v>693</v>
      </c>
      <c r="Q1420" s="523" t="s">
        <v>1229</v>
      </c>
      <c r="R1420" s="523" t="s">
        <v>671</v>
      </c>
      <c r="S1420" s="523" t="s">
        <v>739</v>
      </c>
      <c r="T1420" s="518" t="s">
        <v>3960</v>
      </c>
      <c r="U1420" s="38">
        <v>0</v>
      </c>
      <c r="V1420" s="15" t="str">
        <f t="shared" si="144"/>
        <v/>
      </c>
      <c r="W1420" s="10"/>
      <c r="X1420" s="10"/>
      <c r="Y1420" s="10"/>
      <c r="Z1420" s="10"/>
      <c r="AA1420" s="10"/>
      <c r="AB1420" s="10"/>
      <c r="AC1420" s="9"/>
      <c r="AD1420" s="523" t="e">
        <v>#N/A</v>
      </c>
      <c r="AE1420" s="523" t="e">
        <v>#N/A</v>
      </c>
      <c r="AF1420" s="523" t="e">
        <v>#N/A</v>
      </c>
      <c r="AG1420" s="524" t="e">
        <v>#N/A</v>
      </c>
      <c r="AH1420" s="9"/>
      <c r="AI1420" s="10"/>
      <c r="AJ1420" s="9">
        <f t="shared" si="143"/>
        <v>0</v>
      </c>
      <c r="AK1420" s="10"/>
      <c r="AL1420" s="10"/>
    </row>
    <row r="1421" spans="1:38" ht="33.75" hidden="1">
      <c r="A1421" s="1">
        <f t="shared" si="141"/>
        <v>0</v>
      </c>
      <c r="B1421" s="2" t="s">
        <v>3967</v>
      </c>
      <c r="C1421" s="3" t="s">
        <v>3968</v>
      </c>
      <c r="D1421" s="15" t="s">
        <v>11793</v>
      </c>
      <c r="E1421" s="4" t="s">
        <v>3967</v>
      </c>
      <c r="F1421" s="37" t="s">
        <v>3968</v>
      </c>
      <c r="G1421" s="38">
        <v>0</v>
      </c>
      <c r="H1421" s="38">
        <v>0</v>
      </c>
      <c r="I1421" s="15"/>
      <c r="J1421" s="494">
        <v>20411030605</v>
      </c>
      <c r="L1421" s="523" t="s">
        <v>3755</v>
      </c>
      <c r="M1421" s="523" t="s">
        <v>607</v>
      </c>
      <c r="N1421" s="518" t="s">
        <v>3756</v>
      </c>
      <c r="O1421" s="523">
        <v>2</v>
      </c>
      <c r="P1421" s="523" t="s">
        <v>693</v>
      </c>
      <c r="Q1421" s="523" t="s">
        <v>1229</v>
      </c>
      <c r="R1421" s="523" t="s">
        <v>671</v>
      </c>
      <c r="S1421" s="523" t="s">
        <v>739</v>
      </c>
      <c r="T1421" s="518" t="s">
        <v>3960</v>
      </c>
      <c r="U1421" s="38">
        <v>0</v>
      </c>
      <c r="V1421" s="15" t="str">
        <f t="shared" si="144"/>
        <v/>
      </c>
      <c r="W1421" s="10"/>
      <c r="X1421" s="10"/>
      <c r="Y1421" s="10"/>
      <c r="Z1421" s="10"/>
      <c r="AA1421" s="10"/>
      <c r="AB1421" s="10"/>
      <c r="AC1421" s="9"/>
      <c r="AD1421" s="523" t="e">
        <v>#N/A</v>
      </c>
      <c r="AE1421" s="523" t="e">
        <v>#N/A</v>
      </c>
      <c r="AF1421" s="523" t="e">
        <v>#N/A</v>
      </c>
      <c r="AG1421" s="524" t="e">
        <v>#N/A</v>
      </c>
      <c r="AH1421" s="9"/>
      <c r="AI1421" s="10"/>
      <c r="AJ1421" s="9">
        <f t="shared" si="143"/>
        <v>0</v>
      </c>
      <c r="AK1421" s="10"/>
      <c r="AL1421" s="10"/>
    </row>
    <row r="1422" spans="1:38" ht="45" hidden="1">
      <c r="A1422" s="1">
        <f t="shared" si="141"/>
        <v>0</v>
      </c>
      <c r="B1422" s="2" t="s">
        <v>3969</v>
      </c>
      <c r="C1422" s="3" t="s">
        <v>3970</v>
      </c>
      <c r="D1422" s="15" t="s">
        <v>11793</v>
      </c>
      <c r="E1422" s="4" t="s">
        <v>3969</v>
      </c>
      <c r="F1422" s="37" t="s">
        <v>3970</v>
      </c>
      <c r="G1422" s="38">
        <v>0</v>
      </c>
      <c r="H1422" s="38">
        <v>0</v>
      </c>
      <c r="I1422" s="15"/>
      <c r="J1422" s="494">
        <v>20411030606</v>
      </c>
      <c r="L1422" s="523" t="s">
        <v>3755</v>
      </c>
      <c r="M1422" s="523" t="s">
        <v>607</v>
      </c>
      <c r="N1422" s="518" t="s">
        <v>3756</v>
      </c>
      <c r="O1422" s="523">
        <v>2</v>
      </c>
      <c r="P1422" s="523" t="s">
        <v>693</v>
      </c>
      <c r="Q1422" s="523" t="s">
        <v>1229</v>
      </c>
      <c r="R1422" s="523" t="s">
        <v>671</v>
      </c>
      <c r="S1422" s="523" t="s">
        <v>739</v>
      </c>
      <c r="T1422" s="518" t="s">
        <v>3960</v>
      </c>
      <c r="U1422" s="38">
        <v>0</v>
      </c>
      <c r="V1422" s="15" t="str">
        <f t="shared" si="144"/>
        <v/>
      </c>
      <c r="W1422" s="10"/>
      <c r="X1422" s="10"/>
      <c r="Y1422" s="10"/>
      <c r="Z1422" s="10"/>
      <c r="AA1422" s="10"/>
      <c r="AB1422" s="10"/>
      <c r="AC1422" s="9"/>
      <c r="AD1422" s="523" t="e">
        <v>#N/A</v>
      </c>
      <c r="AE1422" s="523" t="e">
        <v>#N/A</v>
      </c>
      <c r="AF1422" s="523" t="e">
        <v>#N/A</v>
      </c>
      <c r="AG1422" s="524" t="e">
        <v>#N/A</v>
      </c>
      <c r="AH1422" s="9"/>
      <c r="AI1422" s="10"/>
      <c r="AJ1422" s="9">
        <f t="shared" si="143"/>
        <v>0</v>
      </c>
      <c r="AK1422" s="10"/>
      <c r="AL1422" s="10"/>
    </row>
    <row r="1423" spans="1:38" ht="45" hidden="1">
      <c r="A1423" s="1">
        <f t="shared" si="141"/>
        <v>0</v>
      </c>
      <c r="B1423" s="2" t="s">
        <v>3971</v>
      </c>
      <c r="C1423" s="3" t="s">
        <v>3972</v>
      </c>
      <c r="D1423" s="15" t="s">
        <v>11793</v>
      </c>
      <c r="E1423" s="4" t="s">
        <v>3971</v>
      </c>
      <c r="F1423" s="37" t="s">
        <v>3972</v>
      </c>
      <c r="G1423" s="38">
        <v>0</v>
      </c>
      <c r="H1423" s="38">
        <v>0</v>
      </c>
      <c r="I1423" s="15"/>
      <c r="J1423" s="494">
        <v>20411030607</v>
      </c>
      <c r="L1423" s="523" t="s">
        <v>3755</v>
      </c>
      <c r="M1423" s="523" t="s">
        <v>607</v>
      </c>
      <c r="N1423" s="518" t="s">
        <v>3756</v>
      </c>
      <c r="O1423" s="523">
        <v>2</v>
      </c>
      <c r="P1423" s="523" t="s">
        <v>693</v>
      </c>
      <c r="Q1423" s="523" t="s">
        <v>1229</v>
      </c>
      <c r="R1423" s="523" t="s">
        <v>671</v>
      </c>
      <c r="S1423" s="523" t="s">
        <v>739</v>
      </c>
      <c r="T1423" s="518" t="s">
        <v>3960</v>
      </c>
      <c r="U1423" s="38">
        <v>0</v>
      </c>
      <c r="V1423" s="15" t="str">
        <f t="shared" si="144"/>
        <v/>
      </c>
      <c r="W1423" s="10"/>
      <c r="X1423" s="10"/>
      <c r="Y1423" s="10"/>
      <c r="Z1423" s="10"/>
      <c r="AA1423" s="10"/>
      <c r="AB1423" s="10"/>
      <c r="AC1423" s="9"/>
      <c r="AD1423" s="523" t="e">
        <v>#N/A</v>
      </c>
      <c r="AE1423" s="523" t="e">
        <v>#N/A</v>
      </c>
      <c r="AF1423" s="523" t="e">
        <v>#N/A</v>
      </c>
      <c r="AG1423" s="524" t="e">
        <v>#N/A</v>
      </c>
      <c r="AH1423" s="9"/>
      <c r="AI1423" s="10"/>
      <c r="AJ1423" s="9">
        <f t="shared" si="143"/>
        <v>0</v>
      </c>
      <c r="AK1423" s="10"/>
      <c r="AL1423" s="10"/>
    </row>
    <row r="1424" spans="1:38" ht="45" hidden="1">
      <c r="A1424" s="1">
        <f t="shared" si="141"/>
        <v>0</v>
      </c>
      <c r="B1424" s="2" t="s">
        <v>3973</v>
      </c>
      <c r="C1424" s="3" t="s">
        <v>3974</v>
      </c>
      <c r="D1424" s="15" t="s">
        <v>11793</v>
      </c>
      <c r="E1424" s="4" t="s">
        <v>3973</v>
      </c>
      <c r="F1424" s="37" t="s">
        <v>3974</v>
      </c>
      <c r="G1424" s="38">
        <v>0</v>
      </c>
      <c r="H1424" s="38">
        <v>0</v>
      </c>
      <c r="I1424" s="15"/>
      <c r="J1424" s="494">
        <v>20411030608</v>
      </c>
      <c r="L1424" s="523" t="s">
        <v>3755</v>
      </c>
      <c r="M1424" s="523" t="s">
        <v>607</v>
      </c>
      <c r="N1424" s="518" t="s">
        <v>3756</v>
      </c>
      <c r="O1424" s="523">
        <v>2</v>
      </c>
      <c r="P1424" s="523" t="s">
        <v>693</v>
      </c>
      <c r="Q1424" s="523" t="s">
        <v>1229</v>
      </c>
      <c r="R1424" s="523" t="s">
        <v>671</v>
      </c>
      <c r="S1424" s="523" t="s">
        <v>739</v>
      </c>
      <c r="T1424" s="518" t="s">
        <v>3960</v>
      </c>
      <c r="U1424" s="38">
        <v>0</v>
      </c>
      <c r="V1424" s="15" t="str">
        <f t="shared" si="144"/>
        <v/>
      </c>
      <c r="W1424" s="10"/>
      <c r="X1424" s="10"/>
      <c r="Y1424" s="10"/>
      <c r="Z1424" s="10"/>
      <c r="AA1424" s="10"/>
      <c r="AB1424" s="10"/>
      <c r="AC1424" s="9"/>
      <c r="AD1424" s="523" t="e">
        <v>#N/A</v>
      </c>
      <c r="AE1424" s="523" t="e">
        <v>#N/A</v>
      </c>
      <c r="AF1424" s="523" t="e">
        <v>#N/A</v>
      </c>
      <c r="AG1424" s="524" t="e">
        <v>#N/A</v>
      </c>
      <c r="AH1424" s="9"/>
      <c r="AI1424" s="10"/>
      <c r="AJ1424" s="9">
        <f t="shared" si="143"/>
        <v>0</v>
      </c>
      <c r="AK1424" s="10"/>
      <c r="AL1424" s="10"/>
    </row>
    <row r="1425" spans="1:38" ht="45" hidden="1">
      <c r="A1425" s="1">
        <f t="shared" si="141"/>
        <v>0</v>
      </c>
      <c r="B1425" s="2" t="s">
        <v>3975</v>
      </c>
      <c r="C1425" s="3" t="s">
        <v>3976</v>
      </c>
      <c r="D1425" s="15" t="s">
        <v>11793</v>
      </c>
      <c r="E1425" s="4" t="s">
        <v>3975</v>
      </c>
      <c r="F1425" s="37" t="s">
        <v>3976</v>
      </c>
      <c r="G1425" s="38">
        <v>0</v>
      </c>
      <c r="H1425" s="38">
        <v>0</v>
      </c>
      <c r="I1425" s="15"/>
      <c r="J1425" s="494">
        <v>20411030609</v>
      </c>
      <c r="L1425" s="523" t="s">
        <v>3755</v>
      </c>
      <c r="M1425" s="523" t="s">
        <v>607</v>
      </c>
      <c r="N1425" s="518" t="s">
        <v>3756</v>
      </c>
      <c r="O1425" s="523">
        <v>2</v>
      </c>
      <c r="P1425" s="523" t="s">
        <v>693</v>
      </c>
      <c r="Q1425" s="523" t="s">
        <v>1229</v>
      </c>
      <c r="R1425" s="523" t="s">
        <v>671</v>
      </c>
      <c r="S1425" s="523" t="s">
        <v>739</v>
      </c>
      <c r="T1425" s="518" t="s">
        <v>3960</v>
      </c>
      <c r="U1425" s="38">
        <v>0</v>
      </c>
      <c r="V1425" s="15" t="str">
        <f t="shared" si="144"/>
        <v/>
      </c>
      <c r="W1425" s="10"/>
      <c r="X1425" s="10"/>
      <c r="Y1425" s="10"/>
      <c r="Z1425" s="10"/>
      <c r="AA1425" s="10"/>
      <c r="AB1425" s="10"/>
      <c r="AC1425" s="9"/>
      <c r="AD1425" s="523" t="e">
        <v>#N/A</v>
      </c>
      <c r="AE1425" s="523" t="e">
        <v>#N/A</v>
      </c>
      <c r="AF1425" s="523" t="e">
        <v>#N/A</v>
      </c>
      <c r="AG1425" s="524" t="e">
        <v>#N/A</v>
      </c>
      <c r="AH1425" s="9"/>
      <c r="AI1425" s="10"/>
      <c r="AJ1425" s="9">
        <f t="shared" si="143"/>
        <v>0</v>
      </c>
      <c r="AK1425" s="10"/>
      <c r="AL1425" s="10"/>
    </row>
    <row r="1426" spans="1:38" ht="45" hidden="1">
      <c r="A1426" s="1">
        <f t="shared" si="141"/>
        <v>0</v>
      </c>
      <c r="B1426" s="2" t="s">
        <v>3977</v>
      </c>
      <c r="C1426" s="3" t="s">
        <v>3978</v>
      </c>
      <c r="D1426" s="15" t="s">
        <v>11793</v>
      </c>
      <c r="E1426" s="4" t="s">
        <v>3977</v>
      </c>
      <c r="F1426" s="37" t="s">
        <v>3978</v>
      </c>
      <c r="G1426" s="38">
        <v>0</v>
      </c>
      <c r="H1426" s="38">
        <v>0</v>
      </c>
      <c r="I1426" s="15"/>
      <c r="J1426" s="494">
        <v>20411030610</v>
      </c>
      <c r="L1426" s="523" t="s">
        <v>3755</v>
      </c>
      <c r="M1426" s="523" t="s">
        <v>607</v>
      </c>
      <c r="N1426" s="518" t="s">
        <v>3756</v>
      </c>
      <c r="O1426" s="523">
        <v>2</v>
      </c>
      <c r="P1426" s="523" t="s">
        <v>693</v>
      </c>
      <c r="Q1426" s="523" t="s">
        <v>1229</v>
      </c>
      <c r="R1426" s="523" t="s">
        <v>671</v>
      </c>
      <c r="S1426" s="523" t="s">
        <v>739</v>
      </c>
      <c r="T1426" s="518" t="s">
        <v>3960</v>
      </c>
      <c r="U1426" s="38">
        <v>0</v>
      </c>
      <c r="V1426" s="15" t="str">
        <f t="shared" si="144"/>
        <v/>
      </c>
      <c r="W1426" s="10"/>
      <c r="X1426" s="10"/>
      <c r="Y1426" s="10"/>
      <c r="Z1426" s="10"/>
      <c r="AA1426" s="10"/>
      <c r="AB1426" s="10"/>
      <c r="AC1426" s="9"/>
      <c r="AD1426" s="523" t="e">
        <v>#N/A</v>
      </c>
      <c r="AE1426" s="523" t="e">
        <v>#N/A</v>
      </c>
      <c r="AF1426" s="523" t="e">
        <v>#N/A</v>
      </c>
      <c r="AG1426" s="524" t="e">
        <v>#N/A</v>
      </c>
      <c r="AH1426" s="9"/>
      <c r="AI1426" s="10"/>
      <c r="AJ1426" s="9">
        <f t="shared" si="143"/>
        <v>0</v>
      </c>
      <c r="AK1426" s="10"/>
      <c r="AL1426" s="10"/>
    </row>
    <row r="1427" spans="1:38" ht="45" hidden="1">
      <c r="A1427" s="1">
        <f t="shared" si="141"/>
        <v>0</v>
      </c>
      <c r="B1427" s="2" t="s">
        <v>3979</v>
      </c>
      <c r="C1427" s="3" t="s">
        <v>3980</v>
      </c>
      <c r="D1427" s="15" t="s">
        <v>11793</v>
      </c>
      <c r="E1427" s="4" t="s">
        <v>3979</v>
      </c>
      <c r="F1427" s="37" t="s">
        <v>3980</v>
      </c>
      <c r="G1427" s="38">
        <v>0</v>
      </c>
      <c r="H1427" s="38">
        <v>0</v>
      </c>
      <c r="I1427" s="15"/>
      <c r="J1427" s="494">
        <v>20411030611</v>
      </c>
      <c r="L1427" s="523" t="s">
        <v>3755</v>
      </c>
      <c r="M1427" s="523" t="s">
        <v>607</v>
      </c>
      <c r="N1427" s="518" t="s">
        <v>3756</v>
      </c>
      <c r="O1427" s="523">
        <v>2</v>
      </c>
      <c r="P1427" s="523" t="s">
        <v>693</v>
      </c>
      <c r="Q1427" s="523" t="s">
        <v>1229</v>
      </c>
      <c r="R1427" s="523" t="s">
        <v>671</v>
      </c>
      <c r="S1427" s="523" t="s">
        <v>739</v>
      </c>
      <c r="T1427" s="518" t="s">
        <v>3960</v>
      </c>
      <c r="U1427" s="38">
        <v>0</v>
      </c>
      <c r="V1427" s="15" t="str">
        <f t="shared" si="144"/>
        <v/>
      </c>
      <c r="W1427" s="10"/>
      <c r="X1427" s="10"/>
      <c r="Y1427" s="10"/>
      <c r="Z1427" s="10"/>
      <c r="AA1427" s="10"/>
      <c r="AB1427" s="10"/>
      <c r="AC1427" s="9"/>
      <c r="AD1427" s="523" t="e">
        <v>#N/A</v>
      </c>
      <c r="AE1427" s="523" t="e">
        <v>#N/A</v>
      </c>
      <c r="AF1427" s="523" t="e">
        <v>#N/A</v>
      </c>
      <c r="AG1427" s="524" t="e">
        <v>#N/A</v>
      </c>
      <c r="AH1427" s="9"/>
      <c r="AI1427" s="10"/>
      <c r="AJ1427" s="9">
        <f t="shared" si="143"/>
        <v>0</v>
      </c>
      <c r="AK1427" s="10"/>
      <c r="AL1427" s="10"/>
    </row>
    <row r="1428" spans="1:38" ht="45" hidden="1">
      <c r="A1428" s="1">
        <f t="shared" si="141"/>
        <v>0</v>
      </c>
      <c r="B1428" s="2" t="s">
        <v>3981</v>
      </c>
      <c r="C1428" s="3" t="s">
        <v>3982</v>
      </c>
      <c r="D1428" s="15" t="s">
        <v>11793</v>
      </c>
      <c r="E1428" s="4" t="s">
        <v>3981</v>
      </c>
      <c r="F1428" s="37" t="s">
        <v>3982</v>
      </c>
      <c r="G1428" s="38">
        <v>0</v>
      </c>
      <c r="H1428" s="38">
        <v>0</v>
      </c>
      <c r="I1428" s="15"/>
      <c r="J1428" s="494">
        <v>20411030612</v>
      </c>
      <c r="L1428" s="523" t="s">
        <v>3755</v>
      </c>
      <c r="M1428" s="523" t="s">
        <v>607</v>
      </c>
      <c r="N1428" s="518" t="s">
        <v>3756</v>
      </c>
      <c r="O1428" s="523">
        <v>2</v>
      </c>
      <c r="P1428" s="523" t="s">
        <v>693</v>
      </c>
      <c r="Q1428" s="523" t="s">
        <v>1229</v>
      </c>
      <c r="R1428" s="523" t="s">
        <v>671</v>
      </c>
      <c r="S1428" s="523" t="s">
        <v>739</v>
      </c>
      <c r="T1428" s="518" t="s">
        <v>3960</v>
      </c>
      <c r="U1428" s="38">
        <v>0</v>
      </c>
      <c r="V1428" s="15" t="str">
        <f t="shared" si="144"/>
        <v/>
      </c>
      <c r="W1428" s="10"/>
      <c r="X1428" s="10"/>
      <c r="Y1428" s="10"/>
      <c r="Z1428" s="10"/>
      <c r="AA1428" s="10"/>
      <c r="AB1428" s="10"/>
      <c r="AC1428" s="9"/>
      <c r="AD1428" s="523" t="e">
        <v>#N/A</v>
      </c>
      <c r="AE1428" s="523" t="e">
        <v>#N/A</v>
      </c>
      <c r="AF1428" s="523" t="e">
        <v>#N/A</v>
      </c>
      <c r="AG1428" s="524" t="e">
        <v>#N/A</v>
      </c>
      <c r="AH1428" s="9"/>
      <c r="AI1428" s="10"/>
      <c r="AJ1428" s="9">
        <f t="shared" si="143"/>
        <v>0</v>
      </c>
      <c r="AK1428" s="10"/>
      <c r="AL1428" s="10"/>
    </row>
    <row r="1429" spans="1:38" ht="45" hidden="1">
      <c r="A1429" s="1">
        <f t="shared" si="141"/>
        <v>0</v>
      </c>
      <c r="B1429" s="2" t="s">
        <v>3983</v>
      </c>
      <c r="C1429" s="3" t="s">
        <v>3984</v>
      </c>
      <c r="D1429" s="15" t="s">
        <v>11793</v>
      </c>
      <c r="E1429" s="4" t="s">
        <v>3983</v>
      </c>
      <c r="F1429" s="37" t="s">
        <v>3984</v>
      </c>
      <c r="G1429" s="38">
        <v>0</v>
      </c>
      <c r="H1429" s="38">
        <v>0</v>
      </c>
      <c r="I1429" s="15"/>
      <c r="J1429" s="494">
        <v>20411030613</v>
      </c>
      <c r="L1429" s="523" t="s">
        <v>3755</v>
      </c>
      <c r="M1429" s="523" t="s">
        <v>607</v>
      </c>
      <c r="N1429" s="518" t="s">
        <v>3756</v>
      </c>
      <c r="O1429" s="523">
        <v>2</v>
      </c>
      <c r="P1429" s="523" t="s">
        <v>693</v>
      </c>
      <c r="Q1429" s="523" t="s">
        <v>1229</v>
      </c>
      <c r="R1429" s="523" t="s">
        <v>671</v>
      </c>
      <c r="S1429" s="523" t="s">
        <v>739</v>
      </c>
      <c r="T1429" s="518" t="s">
        <v>3960</v>
      </c>
      <c r="U1429" s="38">
        <v>0</v>
      </c>
      <c r="V1429" s="15" t="str">
        <f t="shared" si="144"/>
        <v/>
      </c>
      <c r="W1429" s="10"/>
      <c r="X1429" s="10"/>
      <c r="Y1429" s="10"/>
      <c r="Z1429" s="10"/>
      <c r="AA1429" s="10"/>
      <c r="AB1429" s="10"/>
      <c r="AC1429" s="9"/>
      <c r="AD1429" s="523" t="e">
        <v>#N/A</v>
      </c>
      <c r="AE1429" s="523" t="e">
        <v>#N/A</v>
      </c>
      <c r="AF1429" s="523" t="e">
        <v>#N/A</v>
      </c>
      <c r="AG1429" s="524" t="e">
        <v>#N/A</v>
      </c>
      <c r="AH1429" s="9"/>
      <c r="AI1429" s="10"/>
      <c r="AJ1429" s="9">
        <f t="shared" si="143"/>
        <v>0</v>
      </c>
      <c r="AK1429" s="10"/>
      <c r="AL1429" s="10"/>
    </row>
    <row r="1430" spans="1:38" ht="45" hidden="1">
      <c r="A1430" s="1">
        <f t="shared" si="141"/>
        <v>0</v>
      </c>
      <c r="B1430" s="2" t="s">
        <v>3985</v>
      </c>
      <c r="C1430" s="3" t="s">
        <v>3986</v>
      </c>
      <c r="D1430" s="15" t="s">
        <v>11793</v>
      </c>
      <c r="E1430" s="4" t="s">
        <v>3985</v>
      </c>
      <c r="F1430" s="37" t="s">
        <v>3986</v>
      </c>
      <c r="G1430" s="38">
        <v>0</v>
      </c>
      <c r="H1430" s="38">
        <v>0</v>
      </c>
      <c r="I1430" s="15"/>
      <c r="J1430" s="494">
        <v>20411030614</v>
      </c>
      <c r="L1430" s="523" t="s">
        <v>3755</v>
      </c>
      <c r="M1430" s="523" t="s">
        <v>607</v>
      </c>
      <c r="N1430" s="518" t="s">
        <v>3756</v>
      </c>
      <c r="O1430" s="523">
        <v>2</v>
      </c>
      <c r="P1430" s="523" t="s">
        <v>693</v>
      </c>
      <c r="Q1430" s="523" t="s">
        <v>1229</v>
      </c>
      <c r="R1430" s="523" t="s">
        <v>671</v>
      </c>
      <c r="S1430" s="523" t="s">
        <v>739</v>
      </c>
      <c r="T1430" s="518" t="s">
        <v>3960</v>
      </c>
      <c r="U1430" s="38">
        <v>0</v>
      </c>
      <c r="V1430" s="15" t="str">
        <f t="shared" si="144"/>
        <v/>
      </c>
      <c r="W1430" s="10"/>
      <c r="X1430" s="10"/>
      <c r="Y1430" s="10"/>
      <c r="Z1430" s="10"/>
      <c r="AA1430" s="10"/>
      <c r="AB1430" s="10"/>
      <c r="AC1430" s="9"/>
      <c r="AD1430" s="523" t="e">
        <v>#N/A</v>
      </c>
      <c r="AE1430" s="523" t="e">
        <v>#N/A</v>
      </c>
      <c r="AF1430" s="523" t="e">
        <v>#N/A</v>
      </c>
      <c r="AG1430" s="524" t="e">
        <v>#N/A</v>
      </c>
      <c r="AH1430" s="9"/>
      <c r="AI1430" s="10"/>
      <c r="AJ1430" s="9">
        <f t="shared" si="143"/>
        <v>0</v>
      </c>
      <c r="AK1430" s="10"/>
      <c r="AL1430" s="10"/>
    </row>
    <row r="1431" spans="1:38" ht="45" hidden="1">
      <c r="A1431" s="1">
        <f t="shared" ref="A1431:A1494" si="145">IF(E1431=B1431,0,1)</f>
        <v>0</v>
      </c>
      <c r="B1431" s="2" t="s">
        <v>3987</v>
      </c>
      <c r="C1431" s="3" t="s">
        <v>3988</v>
      </c>
      <c r="D1431" s="15" t="s">
        <v>11793</v>
      </c>
      <c r="E1431" s="4" t="s">
        <v>3987</v>
      </c>
      <c r="F1431" s="37" t="s">
        <v>3988</v>
      </c>
      <c r="G1431" s="38">
        <v>0</v>
      </c>
      <c r="H1431" s="38">
        <v>0</v>
      </c>
      <c r="I1431" s="15"/>
      <c r="J1431" s="494">
        <v>20411030615</v>
      </c>
      <c r="L1431" s="523" t="s">
        <v>3755</v>
      </c>
      <c r="M1431" s="523" t="s">
        <v>607</v>
      </c>
      <c r="N1431" s="518" t="s">
        <v>3756</v>
      </c>
      <c r="O1431" s="523">
        <v>2</v>
      </c>
      <c r="P1431" s="523" t="s">
        <v>693</v>
      </c>
      <c r="Q1431" s="523" t="s">
        <v>1229</v>
      </c>
      <c r="R1431" s="523" t="s">
        <v>671</v>
      </c>
      <c r="S1431" s="523" t="s">
        <v>739</v>
      </c>
      <c r="T1431" s="518" t="s">
        <v>3960</v>
      </c>
      <c r="U1431" s="38">
        <v>0</v>
      </c>
      <c r="V1431" s="15" t="str">
        <f t="shared" si="144"/>
        <v/>
      </c>
      <c r="W1431" s="10"/>
      <c r="X1431" s="10"/>
      <c r="Y1431" s="10"/>
      <c r="Z1431" s="10"/>
      <c r="AA1431" s="10"/>
      <c r="AB1431" s="10"/>
      <c r="AC1431" s="9"/>
      <c r="AD1431" s="523" t="e">
        <v>#N/A</v>
      </c>
      <c r="AE1431" s="523" t="e">
        <v>#N/A</v>
      </c>
      <c r="AF1431" s="523" t="e">
        <v>#N/A</v>
      </c>
      <c r="AG1431" s="524" t="e">
        <v>#N/A</v>
      </c>
      <c r="AH1431" s="9"/>
      <c r="AI1431" s="10"/>
      <c r="AJ1431" s="9">
        <f t="shared" si="143"/>
        <v>0</v>
      </c>
      <c r="AK1431" s="10"/>
      <c r="AL1431" s="10"/>
    </row>
    <row r="1432" spans="1:38" ht="45" hidden="1">
      <c r="A1432" s="1">
        <f t="shared" si="145"/>
        <v>0</v>
      </c>
      <c r="B1432" s="2" t="s">
        <v>3989</v>
      </c>
      <c r="C1432" s="3" t="s">
        <v>3990</v>
      </c>
      <c r="D1432" s="15" t="s">
        <v>11793</v>
      </c>
      <c r="E1432" s="4" t="s">
        <v>3989</v>
      </c>
      <c r="F1432" s="37" t="s">
        <v>3990</v>
      </c>
      <c r="G1432" s="38">
        <v>0</v>
      </c>
      <c r="H1432" s="38">
        <v>0</v>
      </c>
      <c r="I1432" s="15"/>
      <c r="J1432" s="494">
        <v>20411030616</v>
      </c>
      <c r="L1432" s="523" t="s">
        <v>3755</v>
      </c>
      <c r="M1432" s="523" t="s">
        <v>607</v>
      </c>
      <c r="N1432" s="518" t="s">
        <v>3756</v>
      </c>
      <c r="O1432" s="523">
        <v>2</v>
      </c>
      <c r="P1432" s="523" t="s">
        <v>693</v>
      </c>
      <c r="Q1432" s="523" t="s">
        <v>1229</v>
      </c>
      <c r="R1432" s="523" t="s">
        <v>671</v>
      </c>
      <c r="S1432" s="523" t="s">
        <v>739</v>
      </c>
      <c r="T1432" s="518" t="s">
        <v>3960</v>
      </c>
      <c r="U1432" s="38">
        <v>0</v>
      </c>
      <c r="V1432" s="15" t="str">
        <f t="shared" si="144"/>
        <v/>
      </c>
      <c r="W1432" s="10"/>
      <c r="X1432" s="10"/>
      <c r="Y1432" s="10"/>
      <c r="Z1432" s="10"/>
      <c r="AA1432" s="10"/>
      <c r="AB1432" s="10"/>
      <c r="AC1432" s="9"/>
      <c r="AD1432" s="523" t="e">
        <v>#N/A</v>
      </c>
      <c r="AE1432" s="523" t="e">
        <v>#N/A</v>
      </c>
      <c r="AF1432" s="523" t="e">
        <v>#N/A</v>
      </c>
      <c r="AG1432" s="524" t="e">
        <v>#N/A</v>
      </c>
      <c r="AH1432" s="9"/>
      <c r="AI1432" s="10"/>
      <c r="AJ1432" s="9">
        <f t="shared" si="143"/>
        <v>0</v>
      </c>
      <c r="AK1432" s="10"/>
      <c r="AL1432" s="10"/>
    </row>
    <row r="1433" spans="1:38" ht="45" hidden="1">
      <c r="A1433" s="1">
        <f t="shared" si="145"/>
        <v>0</v>
      </c>
      <c r="B1433" s="2" t="s">
        <v>3991</v>
      </c>
      <c r="C1433" s="3" t="s">
        <v>3992</v>
      </c>
      <c r="D1433" s="15" t="s">
        <v>11793</v>
      </c>
      <c r="E1433" s="4" t="s">
        <v>3991</v>
      </c>
      <c r="F1433" s="37" t="s">
        <v>3992</v>
      </c>
      <c r="G1433" s="38">
        <v>0</v>
      </c>
      <c r="H1433" s="38">
        <v>0</v>
      </c>
      <c r="I1433" s="15"/>
      <c r="J1433" s="494">
        <v>20411030617</v>
      </c>
      <c r="L1433" s="523" t="s">
        <v>3755</v>
      </c>
      <c r="M1433" s="523" t="s">
        <v>607</v>
      </c>
      <c r="N1433" s="518" t="s">
        <v>3756</v>
      </c>
      <c r="O1433" s="523">
        <v>2</v>
      </c>
      <c r="P1433" s="523" t="s">
        <v>693</v>
      </c>
      <c r="Q1433" s="523" t="s">
        <v>1229</v>
      </c>
      <c r="R1433" s="523" t="s">
        <v>671</v>
      </c>
      <c r="S1433" s="523" t="s">
        <v>739</v>
      </c>
      <c r="T1433" s="518" t="s">
        <v>3960</v>
      </c>
      <c r="U1433" s="38">
        <v>0</v>
      </c>
      <c r="V1433" s="15" t="str">
        <f t="shared" si="144"/>
        <v/>
      </c>
      <c r="W1433" s="10"/>
      <c r="X1433" s="10"/>
      <c r="Y1433" s="10"/>
      <c r="Z1433" s="10"/>
      <c r="AA1433" s="10"/>
      <c r="AB1433" s="10"/>
      <c r="AC1433" s="9"/>
      <c r="AD1433" s="523" t="e">
        <v>#N/A</v>
      </c>
      <c r="AE1433" s="523" t="e">
        <v>#N/A</v>
      </c>
      <c r="AF1433" s="523" t="e">
        <v>#N/A</v>
      </c>
      <c r="AG1433" s="524" t="e">
        <v>#N/A</v>
      </c>
      <c r="AH1433" s="9"/>
      <c r="AI1433" s="10"/>
      <c r="AJ1433" s="9">
        <f t="shared" si="143"/>
        <v>0</v>
      </c>
      <c r="AK1433" s="10"/>
      <c r="AL1433" s="10"/>
    </row>
    <row r="1434" spans="1:38" ht="45" hidden="1">
      <c r="A1434" s="1">
        <f t="shared" si="145"/>
        <v>0</v>
      </c>
      <c r="B1434" s="2" t="s">
        <v>3993</v>
      </c>
      <c r="C1434" s="3" t="s">
        <v>3994</v>
      </c>
      <c r="D1434" s="15" t="s">
        <v>11793</v>
      </c>
      <c r="E1434" s="4" t="s">
        <v>3993</v>
      </c>
      <c r="F1434" s="37" t="s">
        <v>3994</v>
      </c>
      <c r="G1434" s="38">
        <v>0</v>
      </c>
      <c r="H1434" s="38">
        <v>0</v>
      </c>
      <c r="I1434" s="15"/>
      <c r="J1434" s="494">
        <v>20411030618</v>
      </c>
      <c r="L1434" s="523" t="s">
        <v>3755</v>
      </c>
      <c r="M1434" s="523" t="s">
        <v>607</v>
      </c>
      <c r="N1434" s="518" t="s">
        <v>3756</v>
      </c>
      <c r="O1434" s="523">
        <v>2</v>
      </c>
      <c r="P1434" s="523" t="s">
        <v>693</v>
      </c>
      <c r="Q1434" s="523" t="s">
        <v>1229</v>
      </c>
      <c r="R1434" s="523" t="s">
        <v>671</v>
      </c>
      <c r="S1434" s="523" t="s">
        <v>739</v>
      </c>
      <c r="T1434" s="518" t="s">
        <v>3960</v>
      </c>
      <c r="U1434" s="38">
        <v>0</v>
      </c>
      <c r="V1434" s="15" t="str">
        <f t="shared" si="144"/>
        <v/>
      </c>
      <c r="W1434" s="10"/>
      <c r="X1434" s="10"/>
      <c r="Y1434" s="10"/>
      <c r="Z1434" s="10"/>
      <c r="AA1434" s="10"/>
      <c r="AB1434" s="10"/>
      <c r="AC1434" s="9"/>
      <c r="AD1434" s="523" t="e">
        <v>#N/A</v>
      </c>
      <c r="AE1434" s="523" t="e">
        <v>#N/A</v>
      </c>
      <c r="AF1434" s="523" t="e">
        <v>#N/A</v>
      </c>
      <c r="AG1434" s="524" t="e">
        <v>#N/A</v>
      </c>
      <c r="AH1434" s="9"/>
      <c r="AI1434" s="10"/>
      <c r="AJ1434" s="9">
        <f t="shared" si="143"/>
        <v>0</v>
      </c>
      <c r="AK1434" s="10"/>
      <c r="AL1434" s="10"/>
    </row>
    <row r="1435" spans="1:38" ht="45" hidden="1">
      <c r="A1435" s="1">
        <f t="shared" si="145"/>
        <v>0</v>
      </c>
      <c r="B1435" s="2" t="s">
        <v>3995</v>
      </c>
      <c r="C1435" s="3" t="s">
        <v>3996</v>
      </c>
      <c r="D1435" s="15" t="s">
        <v>11793</v>
      </c>
      <c r="E1435" s="4" t="s">
        <v>3995</v>
      </c>
      <c r="F1435" s="37" t="s">
        <v>3996</v>
      </c>
      <c r="G1435" s="38">
        <v>0</v>
      </c>
      <c r="H1435" s="38">
        <v>0</v>
      </c>
      <c r="I1435" s="15"/>
      <c r="J1435" s="494">
        <v>20411030619</v>
      </c>
      <c r="L1435" s="523" t="s">
        <v>3755</v>
      </c>
      <c r="M1435" s="523" t="s">
        <v>607</v>
      </c>
      <c r="N1435" s="518" t="s">
        <v>3756</v>
      </c>
      <c r="O1435" s="523">
        <v>2</v>
      </c>
      <c r="P1435" s="523" t="s">
        <v>693</v>
      </c>
      <c r="Q1435" s="523" t="s">
        <v>1229</v>
      </c>
      <c r="R1435" s="523" t="s">
        <v>671</v>
      </c>
      <c r="S1435" s="523" t="s">
        <v>739</v>
      </c>
      <c r="T1435" s="518" t="s">
        <v>3960</v>
      </c>
      <c r="U1435" s="38">
        <v>0</v>
      </c>
      <c r="V1435" s="15" t="str">
        <f t="shared" si="144"/>
        <v/>
      </c>
      <c r="W1435" s="10"/>
      <c r="X1435" s="10"/>
      <c r="Y1435" s="10"/>
      <c r="Z1435" s="10"/>
      <c r="AA1435" s="10"/>
      <c r="AB1435" s="10"/>
      <c r="AC1435" s="9"/>
      <c r="AD1435" s="523" t="e">
        <v>#N/A</v>
      </c>
      <c r="AE1435" s="523" t="e">
        <v>#N/A</v>
      </c>
      <c r="AF1435" s="523" t="e">
        <v>#N/A</v>
      </c>
      <c r="AG1435" s="524" t="e">
        <v>#N/A</v>
      </c>
      <c r="AH1435" s="9"/>
      <c r="AI1435" s="10"/>
      <c r="AJ1435" s="9">
        <f t="shared" si="143"/>
        <v>0</v>
      </c>
      <c r="AK1435" s="10"/>
      <c r="AL1435" s="10"/>
    </row>
    <row r="1436" spans="1:38" ht="45" hidden="1">
      <c r="A1436" s="1">
        <f t="shared" si="145"/>
        <v>0</v>
      </c>
      <c r="B1436" s="2" t="s">
        <v>3997</v>
      </c>
      <c r="C1436" s="3" t="s">
        <v>3998</v>
      </c>
      <c r="D1436" s="15" t="s">
        <v>11793</v>
      </c>
      <c r="E1436" s="4" t="s">
        <v>3997</v>
      </c>
      <c r="F1436" s="37" t="s">
        <v>3998</v>
      </c>
      <c r="G1436" s="38">
        <v>0</v>
      </c>
      <c r="H1436" s="38">
        <v>0</v>
      </c>
      <c r="I1436" s="15"/>
      <c r="J1436" s="494">
        <v>20411030620</v>
      </c>
      <c r="L1436" s="523" t="s">
        <v>3755</v>
      </c>
      <c r="M1436" s="523" t="s">
        <v>607</v>
      </c>
      <c r="N1436" s="518" t="s">
        <v>3756</v>
      </c>
      <c r="O1436" s="523">
        <v>2</v>
      </c>
      <c r="P1436" s="523" t="s">
        <v>693</v>
      </c>
      <c r="Q1436" s="523" t="s">
        <v>1229</v>
      </c>
      <c r="R1436" s="523" t="s">
        <v>671</v>
      </c>
      <c r="S1436" s="523" t="s">
        <v>739</v>
      </c>
      <c r="T1436" s="518" t="s">
        <v>3960</v>
      </c>
      <c r="U1436" s="38">
        <v>0</v>
      </c>
      <c r="V1436" s="15" t="str">
        <f t="shared" si="144"/>
        <v/>
      </c>
      <c r="W1436" s="10"/>
      <c r="X1436" s="10"/>
      <c r="Y1436" s="10"/>
      <c r="Z1436" s="10"/>
      <c r="AA1436" s="10"/>
      <c r="AB1436" s="10"/>
      <c r="AC1436" s="9"/>
      <c r="AD1436" s="523" t="e">
        <v>#N/A</v>
      </c>
      <c r="AE1436" s="523" t="e">
        <v>#N/A</v>
      </c>
      <c r="AF1436" s="523" t="e">
        <v>#N/A</v>
      </c>
      <c r="AG1436" s="524" t="e">
        <v>#N/A</v>
      </c>
      <c r="AH1436" s="9"/>
      <c r="AI1436" s="10"/>
      <c r="AJ1436" s="9">
        <f t="shared" si="143"/>
        <v>0</v>
      </c>
      <c r="AK1436" s="10"/>
      <c r="AL1436" s="10"/>
    </row>
    <row r="1437" spans="1:38" ht="33.75" hidden="1">
      <c r="A1437" s="1">
        <f t="shared" si="145"/>
        <v>0</v>
      </c>
      <c r="B1437" s="2" t="s">
        <v>3999</v>
      </c>
      <c r="C1437" s="3" t="s">
        <v>4000</v>
      </c>
      <c r="D1437" s="15" t="s">
        <v>11793</v>
      </c>
      <c r="E1437" s="4" t="s">
        <v>3999</v>
      </c>
      <c r="F1437" s="37" t="s">
        <v>4000</v>
      </c>
      <c r="G1437" s="38">
        <v>0</v>
      </c>
      <c r="H1437" s="38">
        <v>0</v>
      </c>
      <c r="I1437" s="15"/>
      <c r="J1437" s="494">
        <v>20411030621</v>
      </c>
      <c r="L1437" s="523" t="s">
        <v>3755</v>
      </c>
      <c r="M1437" s="523" t="s">
        <v>607</v>
      </c>
      <c r="N1437" s="518" t="s">
        <v>3756</v>
      </c>
      <c r="O1437" s="523">
        <v>2</v>
      </c>
      <c r="P1437" s="523" t="s">
        <v>693</v>
      </c>
      <c r="Q1437" s="523" t="s">
        <v>1229</v>
      </c>
      <c r="R1437" s="523" t="s">
        <v>671</v>
      </c>
      <c r="S1437" s="523" t="s">
        <v>739</v>
      </c>
      <c r="T1437" s="518" t="s">
        <v>3960</v>
      </c>
      <c r="U1437" s="38">
        <v>0</v>
      </c>
      <c r="V1437" s="15" t="str">
        <f t="shared" si="144"/>
        <v/>
      </c>
      <c r="W1437" s="10"/>
      <c r="X1437" s="10"/>
      <c r="Y1437" s="10"/>
      <c r="Z1437" s="10"/>
      <c r="AA1437" s="10"/>
      <c r="AB1437" s="10"/>
      <c r="AC1437" s="9"/>
      <c r="AD1437" s="523" t="e">
        <v>#N/A</v>
      </c>
      <c r="AE1437" s="523" t="e">
        <v>#N/A</v>
      </c>
      <c r="AF1437" s="523" t="e">
        <v>#N/A</v>
      </c>
      <c r="AG1437" s="524" t="e">
        <v>#N/A</v>
      </c>
      <c r="AH1437" s="9"/>
      <c r="AI1437" s="10"/>
      <c r="AJ1437" s="9">
        <f t="shared" si="143"/>
        <v>0</v>
      </c>
      <c r="AK1437" s="10"/>
      <c r="AL1437" s="10"/>
    </row>
    <row r="1438" spans="1:38" ht="45" hidden="1">
      <c r="A1438" s="1">
        <f t="shared" si="145"/>
        <v>0</v>
      </c>
      <c r="B1438" s="2" t="s">
        <v>4001</v>
      </c>
      <c r="C1438" s="3" t="s">
        <v>4002</v>
      </c>
      <c r="D1438" s="15" t="s">
        <v>11793</v>
      </c>
      <c r="E1438" s="4" t="s">
        <v>4001</v>
      </c>
      <c r="F1438" s="37" t="s">
        <v>4002</v>
      </c>
      <c r="G1438" s="38">
        <v>0</v>
      </c>
      <c r="H1438" s="38">
        <v>0</v>
      </c>
      <c r="I1438" s="15"/>
      <c r="J1438" s="494">
        <v>20411030622</v>
      </c>
      <c r="L1438" s="523" t="s">
        <v>3755</v>
      </c>
      <c r="M1438" s="523" t="s">
        <v>607</v>
      </c>
      <c r="N1438" s="518" t="s">
        <v>3756</v>
      </c>
      <c r="O1438" s="523">
        <v>2</v>
      </c>
      <c r="P1438" s="523" t="s">
        <v>693</v>
      </c>
      <c r="Q1438" s="523" t="s">
        <v>1229</v>
      </c>
      <c r="R1438" s="523" t="s">
        <v>671</v>
      </c>
      <c r="S1438" s="523" t="s">
        <v>739</v>
      </c>
      <c r="T1438" s="518" t="s">
        <v>3960</v>
      </c>
      <c r="U1438" s="38">
        <v>0</v>
      </c>
      <c r="V1438" s="15" t="str">
        <f t="shared" si="144"/>
        <v/>
      </c>
      <c r="W1438" s="10"/>
      <c r="X1438" s="10"/>
      <c r="Y1438" s="10"/>
      <c r="Z1438" s="10"/>
      <c r="AA1438" s="10"/>
      <c r="AB1438" s="10"/>
      <c r="AC1438" s="9"/>
      <c r="AD1438" s="523" t="e">
        <v>#N/A</v>
      </c>
      <c r="AE1438" s="523" t="e">
        <v>#N/A</v>
      </c>
      <c r="AF1438" s="523" t="e">
        <v>#N/A</v>
      </c>
      <c r="AG1438" s="524" t="e">
        <v>#N/A</v>
      </c>
      <c r="AH1438" s="9"/>
      <c r="AI1438" s="10"/>
      <c r="AJ1438" s="9">
        <f t="shared" si="143"/>
        <v>0</v>
      </c>
      <c r="AK1438" s="10"/>
      <c r="AL1438" s="10"/>
    </row>
    <row r="1439" spans="1:38" ht="45" hidden="1">
      <c r="A1439" s="1">
        <f t="shared" si="145"/>
        <v>0</v>
      </c>
      <c r="B1439" s="2" t="s">
        <v>4003</v>
      </c>
      <c r="C1439" s="3" t="s">
        <v>4004</v>
      </c>
      <c r="D1439" s="15" t="s">
        <v>11793</v>
      </c>
      <c r="E1439" s="4" t="s">
        <v>4003</v>
      </c>
      <c r="F1439" s="37" t="s">
        <v>4004</v>
      </c>
      <c r="G1439" s="38">
        <v>0</v>
      </c>
      <c r="H1439" s="38">
        <v>0</v>
      </c>
      <c r="I1439" s="15"/>
      <c r="J1439" s="494">
        <v>20411030623</v>
      </c>
      <c r="L1439" s="523" t="s">
        <v>3755</v>
      </c>
      <c r="M1439" s="523" t="s">
        <v>607</v>
      </c>
      <c r="N1439" s="518" t="s">
        <v>3756</v>
      </c>
      <c r="O1439" s="523">
        <v>2</v>
      </c>
      <c r="P1439" s="523" t="s">
        <v>693</v>
      </c>
      <c r="Q1439" s="523" t="s">
        <v>1229</v>
      </c>
      <c r="R1439" s="523" t="s">
        <v>671</v>
      </c>
      <c r="S1439" s="523" t="s">
        <v>739</v>
      </c>
      <c r="T1439" s="518" t="s">
        <v>3960</v>
      </c>
      <c r="U1439" s="38">
        <v>0</v>
      </c>
      <c r="V1439" s="15" t="str">
        <f t="shared" si="144"/>
        <v/>
      </c>
      <c r="W1439" s="10"/>
      <c r="X1439" s="10"/>
      <c r="Y1439" s="10"/>
      <c r="Z1439" s="10"/>
      <c r="AA1439" s="10"/>
      <c r="AB1439" s="10"/>
      <c r="AC1439" s="9"/>
      <c r="AD1439" s="523" t="e">
        <v>#N/A</v>
      </c>
      <c r="AE1439" s="523" t="e">
        <v>#N/A</v>
      </c>
      <c r="AF1439" s="523" t="e">
        <v>#N/A</v>
      </c>
      <c r="AG1439" s="524" t="e">
        <v>#N/A</v>
      </c>
      <c r="AH1439" s="9"/>
      <c r="AI1439" s="10"/>
      <c r="AJ1439" s="9">
        <f t="shared" si="143"/>
        <v>0</v>
      </c>
      <c r="AK1439" s="10"/>
      <c r="AL1439" s="10"/>
    </row>
    <row r="1440" spans="1:38" ht="45" hidden="1">
      <c r="A1440" s="1">
        <f t="shared" si="145"/>
        <v>0</v>
      </c>
      <c r="B1440" s="2" t="s">
        <v>4005</v>
      </c>
      <c r="C1440" s="3" t="s">
        <v>4006</v>
      </c>
      <c r="D1440" s="15" t="s">
        <v>11793</v>
      </c>
      <c r="E1440" s="4" t="s">
        <v>4005</v>
      </c>
      <c r="F1440" s="37" t="s">
        <v>4006</v>
      </c>
      <c r="G1440" s="38">
        <v>0</v>
      </c>
      <c r="H1440" s="38">
        <v>0</v>
      </c>
      <c r="I1440" s="15"/>
      <c r="J1440" s="494">
        <v>20411030624</v>
      </c>
      <c r="L1440" s="523" t="s">
        <v>3755</v>
      </c>
      <c r="M1440" s="523" t="s">
        <v>607</v>
      </c>
      <c r="N1440" s="518" t="s">
        <v>3756</v>
      </c>
      <c r="O1440" s="523">
        <v>2</v>
      </c>
      <c r="P1440" s="523" t="s">
        <v>693</v>
      </c>
      <c r="Q1440" s="523" t="s">
        <v>1229</v>
      </c>
      <c r="R1440" s="523" t="s">
        <v>671</v>
      </c>
      <c r="S1440" s="523" t="s">
        <v>739</v>
      </c>
      <c r="T1440" s="518" t="s">
        <v>3960</v>
      </c>
      <c r="U1440" s="38">
        <v>0</v>
      </c>
      <c r="V1440" s="15" t="str">
        <f t="shared" si="144"/>
        <v/>
      </c>
      <c r="W1440" s="10"/>
      <c r="X1440" s="10"/>
      <c r="Y1440" s="10"/>
      <c r="Z1440" s="10"/>
      <c r="AA1440" s="10"/>
      <c r="AB1440" s="10"/>
      <c r="AC1440" s="9"/>
      <c r="AD1440" s="523" t="e">
        <v>#N/A</v>
      </c>
      <c r="AE1440" s="523" t="e">
        <v>#N/A</v>
      </c>
      <c r="AF1440" s="523" t="e">
        <v>#N/A</v>
      </c>
      <c r="AG1440" s="524" t="e">
        <v>#N/A</v>
      </c>
      <c r="AH1440" s="9"/>
      <c r="AI1440" s="10"/>
      <c r="AJ1440" s="9">
        <f t="shared" si="143"/>
        <v>0</v>
      </c>
      <c r="AK1440" s="10"/>
      <c r="AL1440" s="10"/>
    </row>
    <row r="1441" spans="1:38" ht="45" hidden="1">
      <c r="A1441" s="1">
        <f t="shared" si="145"/>
        <v>0</v>
      </c>
      <c r="B1441" s="2" t="s">
        <v>4007</v>
      </c>
      <c r="C1441" s="3" t="s">
        <v>4008</v>
      </c>
      <c r="D1441" s="15" t="s">
        <v>11794</v>
      </c>
      <c r="E1441" s="4" t="s">
        <v>4007</v>
      </c>
      <c r="F1441" s="37" t="s">
        <v>4008</v>
      </c>
      <c r="G1441" s="38">
        <v>0</v>
      </c>
      <c r="H1441" s="38">
        <v>0</v>
      </c>
      <c r="I1441" s="15"/>
      <c r="J1441" s="494">
        <v>20411030701</v>
      </c>
      <c r="K1441" s="517"/>
      <c r="L1441" s="517" t="s">
        <v>3755</v>
      </c>
      <c r="M1441" s="517" t="s">
        <v>607</v>
      </c>
      <c r="N1441" s="518" t="s">
        <v>3756</v>
      </c>
      <c r="O1441" s="517">
        <v>2</v>
      </c>
      <c r="P1441" s="517" t="s">
        <v>693</v>
      </c>
      <c r="Q1441" s="517" t="s">
        <v>1229</v>
      </c>
      <c r="R1441" s="517" t="s">
        <v>671</v>
      </c>
      <c r="S1441" s="517" t="s">
        <v>755</v>
      </c>
      <c r="T1441" s="518" t="s">
        <v>13605</v>
      </c>
      <c r="U1441" s="38">
        <v>0</v>
      </c>
      <c r="V1441" s="15" t="str">
        <f t="shared" si="144"/>
        <v>204110307</v>
      </c>
      <c r="W1441" s="39">
        <v>2</v>
      </c>
      <c r="X1441" s="50" t="s">
        <v>693</v>
      </c>
      <c r="Y1441" s="50" t="s">
        <v>1229</v>
      </c>
      <c r="Z1441" s="50" t="s">
        <v>671</v>
      </c>
      <c r="AA1441" s="40" t="s">
        <v>755</v>
      </c>
      <c r="AB1441" s="42" t="s">
        <v>4009</v>
      </c>
      <c r="AC1441" s="519">
        <f>SUM(H1441:H1460)</f>
        <v>0</v>
      </c>
      <c r="AD1441" s="517">
        <v>0</v>
      </c>
      <c r="AE1441" s="517" t="s">
        <v>3755</v>
      </c>
      <c r="AF1441" s="517" t="s">
        <v>607</v>
      </c>
      <c r="AG1441" s="518" t="s">
        <v>3756</v>
      </c>
      <c r="AH1441" s="67">
        <f>AC1441</f>
        <v>0</v>
      </c>
      <c r="AI1441" s="10"/>
      <c r="AJ1441" s="9">
        <f t="shared" si="143"/>
        <v>0</v>
      </c>
      <c r="AK1441" s="10"/>
      <c r="AL1441" s="10"/>
    </row>
    <row r="1442" spans="1:38" ht="45" hidden="1">
      <c r="A1442" s="1">
        <f t="shared" si="145"/>
        <v>0</v>
      </c>
      <c r="B1442" s="2" t="s">
        <v>4010</v>
      </c>
      <c r="C1442" s="3" t="s">
        <v>4011</v>
      </c>
      <c r="D1442" s="15" t="s">
        <v>11794</v>
      </c>
      <c r="E1442" s="4" t="s">
        <v>4010</v>
      </c>
      <c r="F1442" s="37" t="s">
        <v>4011</v>
      </c>
      <c r="G1442" s="38">
        <v>0</v>
      </c>
      <c r="H1442" s="38">
        <v>0</v>
      </c>
      <c r="I1442" s="15"/>
      <c r="J1442" s="494">
        <v>20411030702</v>
      </c>
      <c r="L1442" s="523" t="s">
        <v>3755</v>
      </c>
      <c r="M1442" s="523" t="s">
        <v>607</v>
      </c>
      <c r="N1442" s="518" t="s">
        <v>3756</v>
      </c>
      <c r="O1442" s="523">
        <v>2</v>
      </c>
      <c r="P1442" s="523" t="s">
        <v>693</v>
      </c>
      <c r="Q1442" s="523" t="s">
        <v>1229</v>
      </c>
      <c r="R1442" s="523" t="s">
        <v>671</v>
      </c>
      <c r="S1442" s="523" t="s">
        <v>755</v>
      </c>
      <c r="T1442" s="518" t="s">
        <v>13605</v>
      </c>
      <c r="U1442" s="38">
        <v>0</v>
      </c>
      <c r="V1442" s="15" t="str">
        <f t="shared" si="144"/>
        <v/>
      </c>
      <c r="W1442" s="10"/>
      <c r="X1442" s="10"/>
      <c r="Y1442" s="10"/>
      <c r="Z1442" s="10"/>
      <c r="AA1442" s="10"/>
      <c r="AB1442" s="10"/>
      <c r="AC1442" s="9"/>
      <c r="AD1442" s="523" t="e">
        <v>#N/A</v>
      </c>
      <c r="AE1442" s="523" t="e">
        <v>#N/A</v>
      </c>
      <c r="AF1442" s="523" t="e">
        <v>#N/A</v>
      </c>
      <c r="AG1442" s="524" t="e">
        <v>#N/A</v>
      </c>
      <c r="AH1442" s="9"/>
      <c r="AI1442" s="10"/>
      <c r="AJ1442" s="9">
        <f t="shared" si="143"/>
        <v>0</v>
      </c>
      <c r="AK1442" s="10"/>
      <c r="AL1442" s="10"/>
    </row>
    <row r="1443" spans="1:38" ht="45" hidden="1">
      <c r="A1443" s="1">
        <f t="shared" si="145"/>
        <v>0</v>
      </c>
      <c r="B1443" s="2" t="s">
        <v>4012</v>
      </c>
      <c r="C1443" s="3" t="s">
        <v>4013</v>
      </c>
      <c r="D1443" s="15" t="s">
        <v>11794</v>
      </c>
      <c r="E1443" s="4" t="s">
        <v>4012</v>
      </c>
      <c r="F1443" s="37" t="s">
        <v>4013</v>
      </c>
      <c r="G1443" s="38">
        <v>0</v>
      </c>
      <c r="H1443" s="38">
        <v>0</v>
      </c>
      <c r="I1443" s="15"/>
      <c r="J1443" s="494">
        <v>20411030703</v>
      </c>
      <c r="L1443" s="523" t="s">
        <v>3755</v>
      </c>
      <c r="M1443" s="523" t="s">
        <v>607</v>
      </c>
      <c r="N1443" s="518" t="s">
        <v>3756</v>
      </c>
      <c r="O1443" s="523">
        <v>2</v>
      </c>
      <c r="P1443" s="523" t="s">
        <v>693</v>
      </c>
      <c r="Q1443" s="523" t="s">
        <v>1229</v>
      </c>
      <c r="R1443" s="523" t="s">
        <v>671</v>
      </c>
      <c r="S1443" s="523" t="s">
        <v>755</v>
      </c>
      <c r="T1443" s="518" t="s">
        <v>13605</v>
      </c>
      <c r="U1443" s="38">
        <v>0</v>
      </c>
      <c r="V1443" s="15" t="str">
        <f t="shared" si="144"/>
        <v/>
      </c>
      <c r="W1443" s="10"/>
      <c r="X1443" s="10"/>
      <c r="Y1443" s="10"/>
      <c r="Z1443" s="10"/>
      <c r="AA1443" s="10"/>
      <c r="AB1443" s="10"/>
      <c r="AC1443" s="9"/>
      <c r="AD1443" s="523" t="e">
        <v>#N/A</v>
      </c>
      <c r="AE1443" s="523" t="e">
        <v>#N/A</v>
      </c>
      <c r="AF1443" s="523" t="e">
        <v>#N/A</v>
      </c>
      <c r="AG1443" s="524" t="e">
        <v>#N/A</v>
      </c>
      <c r="AH1443" s="9"/>
      <c r="AI1443" s="10"/>
      <c r="AJ1443" s="9">
        <f t="shared" si="143"/>
        <v>0</v>
      </c>
      <c r="AK1443" s="10"/>
      <c r="AL1443" s="10"/>
    </row>
    <row r="1444" spans="1:38" ht="45" hidden="1">
      <c r="A1444" s="1">
        <f t="shared" si="145"/>
        <v>0</v>
      </c>
      <c r="B1444" s="2" t="s">
        <v>4014</v>
      </c>
      <c r="C1444" s="3" t="s">
        <v>4015</v>
      </c>
      <c r="D1444" s="15" t="s">
        <v>11794</v>
      </c>
      <c r="E1444" s="4" t="s">
        <v>4014</v>
      </c>
      <c r="F1444" s="37" t="s">
        <v>4015</v>
      </c>
      <c r="G1444" s="38">
        <v>0</v>
      </c>
      <c r="H1444" s="38">
        <v>0</v>
      </c>
      <c r="I1444" s="15"/>
      <c r="J1444" s="494">
        <v>20411030704</v>
      </c>
      <c r="L1444" s="523" t="s">
        <v>3755</v>
      </c>
      <c r="M1444" s="523" t="s">
        <v>607</v>
      </c>
      <c r="N1444" s="518" t="s">
        <v>3756</v>
      </c>
      <c r="O1444" s="523">
        <v>2</v>
      </c>
      <c r="P1444" s="523" t="s">
        <v>693</v>
      </c>
      <c r="Q1444" s="523" t="s">
        <v>1229</v>
      </c>
      <c r="R1444" s="523" t="s">
        <v>671</v>
      </c>
      <c r="S1444" s="523" t="s">
        <v>755</v>
      </c>
      <c r="T1444" s="518" t="s">
        <v>13605</v>
      </c>
      <c r="U1444" s="38">
        <v>0</v>
      </c>
      <c r="V1444" s="15" t="str">
        <f t="shared" si="144"/>
        <v/>
      </c>
      <c r="W1444" s="10"/>
      <c r="X1444" s="10"/>
      <c r="Y1444" s="10"/>
      <c r="Z1444" s="10"/>
      <c r="AA1444" s="10"/>
      <c r="AB1444" s="10"/>
      <c r="AC1444" s="9"/>
      <c r="AD1444" s="523" t="e">
        <v>#N/A</v>
      </c>
      <c r="AE1444" s="523" t="e">
        <v>#N/A</v>
      </c>
      <c r="AF1444" s="523" t="e">
        <v>#N/A</v>
      </c>
      <c r="AG1444" s="524" t="e">
        <v>#N/A</v>
      </c>
      <c r="AH1444" s="9"/>
      <c r="AI1444" s="10"/>
      <c r="AJ1444" s="9">
        <f t="shared" si="143"/>
        <v>0</v>
      </c>
      <c r="AK1444" s="10"/>
      <c r="AL1444" s="10"/>
    </row>
    <row r="1445" spans="1:38" ht="45" hidden="1">
      <c r="A1445" s="1">
        <f t="shared" si="145"/>
        <v>0</v>
      </c>
      <c r="B1445" s="2" t="s">
        <v>4016</v>
      </c>
      <c r="C1445" s="3" t="s">
        <v>4017</v>
      </c>
      <c r="D1445" s="15" t="s">
        <v>11794</v>
      </c>
      <c r="E1445" s="4" t="s">
        <v>4016</v>
      </c>
      <c r="F1445" s="37" t="s">
        <v>4017</v>
      </c>
      <c r="G1445" s="38">
        <v>0</v>
      </c>
      <c r="H1445" s="38">
        <v>0</v>
      </c>
      <c r="I1445" s="15"/>
      <c r="J1445" s="494">
        <v>20411030705</v>
      </c>
      <c r="L1445" s="523" t="s">
        <v>3755</v>
      </c>
      <c r="M1445" s="523" t="s">
        <v>607</v>
      </c>
      <c r="N1445" s="518" t="s">
        <v>3756</v>
      </c>
      <c r="O1445" s="523">
        <v>2</v>
      </c>
      <c r="P1445" s="523" t="s">
        <v>693</v>
      </c>
      <c r="Q1445" s="523" t="s">
        <v>1229</v>
      </c>
      <c r="R1445" s="523" t="s">
        <v>671</v>
      </c>
      <c r="S1445" s="523" t="s">
        <v>755</v>
      </c>
      <c r="T1445" s="518" t="s">
        <v>13605</v>
      </c>
      <c r="U1445" s="38">
        <v>0</v>
      </c>
      <c r="V1445" s="15" t="str">
        <f t="shared" si="144"/>
        <v/>
      </c>
      <c r="W1445" s="10"/>
      <c r="X1445" s="10"/>
      <c r="Y1445" s="10"/>
      <c r="Z1445" s="10"/>
      <c r="AA1445" s="10"/>
      <c r="AB1445" s="10"/>
      <c r="AC1445" s="9"/>
      <c r="AD1445" s="523" t="e">
        <v>#N/A</v>
      </c>
      <c r="AE1445" s="523" t="e">
        <v>#N/A</v>
      </c>
      <c r="AF1445" s="523" t="e">
        <v>#N/A</v>
      </c>
      <c r="AG1445" s="524" t="e">
        <v>#N/A</v>
      </c>
      <c r="AH1445" s="9"/>
      <c r="AI1445" s="10"/>
      <c r="AJ1445" s="9">
        <f t="shared" si="143"/>
        <v>0</v>
      </c>
      <c r="AK1445" s="10"/>
      <c r="AL1445" s="10"/>
    </row>
    <row r="1446" spans="1:38" ht="45" hidden="1">
      <c r="A1446" s="1">
        <f t="shared" si="145"/>
        <v>0</v>
      </c>
      <c r="B1446" s="2" t="s">
        <v>4018</v>
      </c>
      <c r="C1446" s="3" t="s">
        <v>4019</v>
      </c>
      <c r="D1446" s="15" t="s">
        <v>11794</v>
      </c>
      <c r="E1446" s="4" t="s">
        <v>4018</v>
      </c>
      <c r="F1446" s="37" t="s">
        <v>4019</v>
      </c>
      <c r="G1446" s="38">
        <v>0</v>
      </c>
      <c r="H1446" s="38">
        <v>0</v>
      </c>
      <c r="I1446" s="15"/>
      <c r="J1446" s="494">
        <v>20411030706</v>
      </c>
      <c r="L1446" s="523" t="s">
        <v>3755</v>
      </c>
      <c r="M1446" s="523" t="s">
        <v>607</v>
      </c>
      <c r="N1446" s="518" t="s">
        <v>3756</v>
      </c>
      <c r="O1446" s="523">
        <v>2</v>
      </c>
      <c r="P1446" s="523" t="s">
        <v>693</v>
      </c>
      <c r="Q1446" s="523" t="s">
        <v>1229</v>
      </c>
      <c r="R1446" s="523" t="s">
        <v>671</v>
      </c>
      <c r="S1446" s="523" t="s">
        <v>755</v>
      </c>
      <c r="T1446" s="518" t="s">
        <v>13605</v>
      </c>
      <c r="U1446" s="38">
        <v>0</v>
      </c>
      <c r="V1446" s="15" t="str">
        <f t="shared" si="144"/>
        <v/>
      </c>
      <c r="W1446" s="10"/>
      <c r="X1446" s="10"/>
      <c r="Y1446" s="10"/>
      <c r="Z1446" s="10"/>
      <c r="AA1446" s="10"/>
      <c r="AB1446" s="10"/>
      <c r="AC1446" s="9"/>
      <c r="AD1446" s="523" t="e">
        <v>#N/A</v>
      </c>
      <c r="AE1446" s="523" t="e">
        <v>#N/A</v>
      </c>
      <c r="AF1446" s="523" t="e">
        <v>#N/A</v>
      </c>
      <c r="AG1446" s="524" t="e">
        <v>#N/A</v>
      </c>
      <c r="AH1446" s="9"/>
      <c r="AI1446" s="10"/>
      <c r="AJ1446" s="9">
        <f t="shared" si="143"/>
        <v>0</v>
      </c>
      <c r="AK1446" s="10"/>
      <c r="AL1446" s="10"/>
    </row>
    <row r="1447" spans="1:38" ht="45" hidden="1">
      <c r="A1447" s="1">
        <f t="shared" si="145"/>
        <v>0</v>
      </c>
      <c r="B1447" s="2" t="s">
        <v>4020</v>
      </c>
      <c r="C1447" s="3" t="s">
        <v>4021</v>
      </c>
      <c r="D1447" s="15" t="s">
        <v>11794</v>
      </c>
      <c r="E1447" s="4" t="s">
        <v>4020</v>
      </c>
      <c r="F1447" s="37" t="s">
        <v>4021</v>
      </c>
      <c r="G1447" s="38">
        <v>0</v>
      </c>
      <c r="H1447" s="38">
        <v>0</v>
      </c>
      <c r="I1447" s="15"/>
      <c r="J1447" s="494">
        <v>20411030707</v>
      </c>
      <c r="L1447" s="523" t="s">
        <v>3755</v>
      </c>
      <c r="M1447" s="523" t="s">
        <v>607</v>
      </c>
      <c r="N1447" s="518" t="s">
        <v>3756</v>
      </c>
      <c r="O1447" s="523">
        <v>2</v>
      </c>
      <c r="P1447" s="523" t="s">
        <v>693</v>
      </c>
      <c r="Q1447" s="523" t="s">
        <v>1229</v>
      </c>
      <c r="R1447" s="523" t="s">
        <v>671</v>
      </c>
      <c r="S1447" s="523" t="s">
        <v>755</v>
      </c>
      <c r="T1447" s="518" t="s">
        <v>13605</v>
      </c>
      <c r="U1447" s="38">
        <v>0</v>
      </c>
      <c r="V1447" s="15" t="str">
        <f t="shared" si="144"/>
        <v/>
      </c>
      <c r="W1447" s="10"/>
      <c r="X1447" s="10"/>
      <c r="Y1447" s="10"/>
      <c r="Z1447" s="10"/>
      <c r="AA1447" s="10"/>
      <c r="AB1447" s="10"/>
      <c r="AC1447" s="9"/>
      <c r="AD1447" s="523" t="e">
        <v>#N/A</v>
      </c>
      <c r="AE1447" s="523" t="e">
        <v>#N/A</v>
      </c>
      <c r="AF1447" s="523" t="e">
        <v>#N/A</v>
      </c>
      <c r="AG1447" s="524" t="e">
        <v>#N/A</v>
      </c>
      <c r="AH1447" s="9"/>
      <c r="AI1447" s="10"/>
      <c r="AJ1447" s="9">
        <f t="shared" si="143"/>
        <v>0</v>
      </c>
      <c r="AK1447" s="10"/>
      <c r="AL1447" s="10"/>
    </row>
    <row r="1448" spans="1:38" ht="45" hidden="1">
      <c r="A1448" s="1">
        <f t="shared" si="145"/>
        <v>0</v>
      </c>
      <c r="B1448" s="2" t="s">
        <v>4022</v>
      </c>
      <c r="C1448" s="3" t="s">
        <v>4023</v>
      </c>
      <c r="D1448" s="15" t="s">
        <v>11794</v>
      </c>
      <c r="E1448" s="4" t="s">
        <v>4022</v>
      </c>
      <c r="F1448" s="37" t="s">
        <v>4023</v>
      </c>
      <c r="G1448" s="38">
        <v>0</v>
      </c>
      <c r="H1448" s="38">
        <v>0</v>
      </c>
      <c r="I1448" s="15"/>
      <c r="J1448" s="494">
        <v>20411030708</v>
      </c>
      <c r="L1448" s="523" t="s">
        <v>3755</v>
      </c>
      <c r="M1448" s="523" t="s">
        <v>607</v>
      </c>
      <c r="N1448" s="518" t="s">
        <v>3756</v>
      </c>
      <c r="O1448" s="523">
        <v>2</v>
      </c>
      <c r="P1448" s="523" t="s">
        <v>693</v>
      </c>
      <c r="Q1448" s="523" t="s">
        <v>1229</v>
      </c>
      <c r="R1448" s="523" t="s">
        <v>671</v>
      </c>
      <c r="S1448" s="523" t="s">
        <v>755</v>
      </c>
      <c r="T1448" s="518" t="s">
        <v>13605</v>
      </c>
      <c r="U1448" s="38">
        <v>0</v>
      </c>
      <c r="V1448" s="15" t="str">
        <f t="shared" si="144"/>
        <v/>
      </c>
      <c r="W1448" s="10"/>
      <c r="X1448" s="10"/>
      <c r="Y1448" s="10"/>
      <c r="Z1448" s="10"/>
      <c r="AA1448" s="10"/>
      <c r="AB1448" s="10"/>
      <c r="AC1448" s="9"/>
      <c r="AD1448" s="523" t="e">
        <v>#N/A</v>
      </c>
      <c r="AE1448" s="523" t="e">
        <v>#N/A</v>
      </c>
      <c r="AF1448" s="523" t="e">
        <v>#N/A</v>
      </c>
      <c r="AG1448" s="524" t="e">
        <v>#N/A</v>
      </c>
      <c r="AH1448" s="9"/>
      <c r="AI1448" s="10"/>
      <c r="AJ1448" s="9">
        <f t="shared" si="143"/>
        <v>0</v>
      </c>
      <c r="AK1448" s="10"/>
      <c r="AL1448" s="10"/>
    </row>
    <row r="1449" spans="1:38" ht="45" hidden="1">
      <c r="A1449" s="1">
        <f t="shared" si="145"/>
        <v>0</v>
      </c>
      <c r="B1449" s="2" t="s">
        <v>4024</v>
      </c>
      <c r="C1449" s="3" t="s">
        <v>4025</v>
      </c>
      <c r="D1449" s="15" t="s">
        <v>11794</v>
      </c>
      <c r="E1449" s="4" t="s">
        <v>4024</v>
      </c>
      <c r="F1449" s="37" t="s">
        <v>4025</v>
      </c>
      <c r="G1449" s="38">
        <v>0</v>
      </c>
      <c r="H1449" s="38">
        <v>0</v>
      </c>
      <c r="I1449" s="15"/>
      <c r="J1449" s="494">
        <v>20411030709</v>
      </c>
      <c r="L1449" s="523" t="s">
        <v>3755</v>
      </c>
      <c r="M1449" s="523" t="s">
        <v>607</v>
      </c>
      <c r="N1449" s="518" t="s">
        <v>3756</v>
      </c>
      <c r="O1449" s="523">
        <v>2</v>
      </c>
      <c r="P1449" s="523" t="s">
        <v>693</v>
      </c>
      <c r="Q1449" s="523" t="s">
        <v>1229</v>
      </c>
      <c r="R1449" s="523" t="s">
        <v>671</v>
      </c>
      <c r="S1449" s="523" t="s">
        <v>755</v>
      </c>
      <c r="T1449" s="518" t="s">
        <v>13605</v>
      </c>
      <c r="U1449" s="38">
        <v>0</v>
      </c>
      <c r="V1449" s="15" t="str">
        <f t="shared" si="144"/>
        <v/>
      </c>
      <c r="W1449" s="10"/>
      <c r="X1449" s="10"/>
      <c r="Y1449" s="10"/>
      <c r="Z1449" s="10"/>
      <c r="AA1449" s="10"/>
      <c r="AB1449" s="10"/>
      <c r="AC1449" s="9"/>
      <c r="AD1449" s="523" t="e">
        <v>#N/A</v>
      </c>
      <c r="AE1449" s="523" t="e">
        <v>#N/A</v>
      </c>
      <c r="AF1449" s="523" t="e">
        <v>#N/A</v>
      </c>
      <c r="AG1449" s="524" t="e">
        <v>#N/A</v>
      </c>
      <c r="AH1449" s="9"/>
      <c r="AI1449" s="10"/>
      <c r="AJ1449" s="9">
        <f t="shared" si="143"/>
        <v>0</v>
      </c>
      <c r="AK1449" s="10"/>
      <c r="AL1449" s="10"/>
    </row>
    <row r="1450" spans="1:38" ht="45" hidden="1">
      <c r="A1450" s="1">
        <f t="shared" si="145"/>
        <v>0</v>
      </c>
      <c r="B1450" s="2" t="s">
        <v>4026</v>
      </c>
      <c r="C1450" s="3" t="s">
        <v>4027</v>
      </c>
      <c r="D1450" s="15" t="s">
        <v>11794</v>
      </c>
      <c r="E1450" s="4" t="s">
        <v>4026</v>
      </c>
      <c r="F1450" s="37" t="s">
        <v>4027</v>
      </c>
      <c r="G1450" s="38">
        <v>0</v>
      </c>
      <c r="H1450" s="38">
        <v>0</v>
      </c>
      <c r="I1450" s="15"/>
      <c r="J1450" s="494">
        <v>20411030710</v>
      </c>
      <c r="L1450" s="523" t="s">
        <v>3755</v>
      </c>
      <c r="M1450" s="523" t="s">
        <v>607</v>
      </c>
      <c r="N1450" s="518" t="s">
        <v>3756</v>
      </c>
      <c r="O1450" s="523">
        <v>2</v>
      </c>
      <c r="P1450" s="523" t="s">
        <v>693</v>
      </c>
      <c r="Q1450" s="523" t="s">
        <v>1229</v>
      </c>
      <c r="R1450" s="523" t="s">
        <v>671</v>
      </c>
      <c r="S1450" s="523" t="s">
        <v>755</v>
      </c>
      <c r="T1450" s="518" t="s">
        <v>13605</v>
      </c>
      <c r="U1450" s="38">
        <v>0</v>
      </c>
      <c r="V1450" s="15" t="str">
        <f t="shared" si="144"/>
        <v/>
      </c>
      <c r="W1450" s="10"/>
      <c r="X1450" s="10"/>
      <c r="Y1450" s="10"/>
      <c r="Z1450" s="10"/>
      <c r="AA1450" s="10"/>
      <c r="AB1450" s="10"/>
      <c r="AC1450" s="9"/>
      <c r="AD1450" s="523" t="e">
        <v>#N/A</v>
      </c>
      <c r="AE1450" s="523" t="e">
        <v>#N/A</v>
      </c>
      <c r="AF1450" s="523" t="e">
        <v>#N/A</v>
      </c>
      <c r="AG1450" s="524" t="e">
        <v>#N/A</v>
      </c>
      <c r="AH1450" s="9"/>
      <c r="AI1450" s="10"/>
      <c r="AJ1450" s="9">
        <f t="shared" si="143"/>
        <v>0</v>
      </c>
      <c r="AK1450" s="10"/>
      <c r="AL1450" s="10"/>
    </row>
    <row r="1451" spans="1:38" ht="45" hidden="1">
      <c r="A1451" s="1">
        <f t="shared" si="145"/>
        <v>0</v>
      </c>
      <c r="B1451" s="2" t="s">
        <v>4028</v>
      </c>
      <c r="C1451" s="3" t="s">
        <v>4029</v>
      </c>
      <c r="D1451" s="15" t="s">
        <v>11794</v>
      </c>
      <c r="E1451" s="4" t="s">
        <v>4028</v>
      </c>
      <c r="F1451" s="37" t="s">
        <v>4029</v>
      </c>
      <c r="G1451" s="38">
        <v>0</v>
      </c>
      <c r="H1451" s="38">
        <v>0</v>
      </c>
      <c r="I1451" s="15"/>
      <c r="J1451" s="494">
        <v>20411030711</v>
      </c>
      <c r="L1451" s="523" t="s">
        <v>3755</v>
      </c>
      <c r="M1451" s="523" t="s">
        <v>607</v>
      </c>
      <c r="N1451" s="518" t="s">
        <v>3756</v>
      </c>
      <c r="O1451" s="523">
        <v>2</v>
      </c>
      <c r="P1451" s="523" t="s">
        <v>693</v>
      </c>
      <c r="Q1451" s="523" t="s">
        <v>1229</v>
      </c>
      <c r="R1451" s="523" t="s">
        <v>671</v>
      </c>
      <c r="S1451" s="523" t="s">
        <v>755</v>
      </c>
      <c r="T1451" s="518" t="s">
        <v>13605</v>
      </c>
      <c r="U1451" s="38">
        <v>0</v>
      </c>
      <c r="V1451" s="15" t="str">
        <f t="shared" si="144"/>
        <v/>
      </c>
      <c r="W1451" s="10"/>
      <c r="X1451" s="10"/>
      <c r="Y1451" s="10"/>
      <c r="Z1451" s="10"/>
      <c r="AA1451" s="10"/>
      <c r="AB1451" s="10"/>
      <c r="AC1451" s="9"/>
      <c r="AD1451" s="523" t="e">
        <v>#N/A</v>
      </c>
      <c r="AE1451" s="523" t="e">
        <v>#N/A</v>
      </c>
      <c r="AF1451" s="523" t="e">
        <v>#N/A</v>
      </c>
      <c r="AG1451" s="524" t="e">
        <v>#N/A</v>
      </c>
      <c r="AH1451" s="9"/>
      <c r="AI1451" s="10"/>
      <c r="AJ1451" s="9">
        <f t="shared" si="143"/>
        <v>0</v>
      </c>
      <c r="AK1451" s="10"/>
      <c r="AL1451" s="10"/>
    </row>
    <row r="1452" spans="1:38" ht="45" hidden="1">
      <c r="A1452" s="1">
        <f t="shared" si="145"/>
        <v>0</v>
      </c>
      <c r="B1452" s="2" t="s">
        <v>4030</v>
      </c>
      <c r="C1452" s="3" t="s">
        <v>4031</v>
      </c>
      <c r="D1452" s="15" t="s">
        <v>11794</v>
      </c>
      <c r="E1452" s="4" t="s">
        <v>4030</v>
      </c>
      <c r="F1452" s="37" t="s">
        <v>4031</v>
      </c>
      <c r="G1452" s="38">
        <v>0</v>
      </c>
      <c r="H1452" s="38">
        <v>0</v>
      </c>
      <c r="I1452" s="15"/>
      <c r="J1452" s="494">
        <v>20411030712</v>
      </c>
      <c r="L1452" s="523" t="s">
        <v>3755</v>
      </c>
      <c r="M1452" s="523" t="s">
        <v>607</v>
      </c>
      <c r="N1452" s="518" t="s">
        <v>3756</v>
      </c>
      <c r="O1452" s="523">
        <v>2</v>
      </c>
      <c r="P1452" s="523" t="s">
        <v>693</v>
      </c>
      <c r="Q1452" s="523" t="s">
        <v>1229</v>
      </c>
      <c r="R1452" s="523" t="s">
        <v>671</v>
      </c>
      <c r="S1452" s="523" t="s">
        <v>755</v>
      </c>
      <c r="T1452" s="518" t="s">
        <v>13605</v>
      </c>
      <c r="U1452" s="38">
        <v>0</v>
      </c>
      <c r="V1452" s="15" t="str">
        <f t="shared" si="144"/>
        <v/>
      </c>
      <c r="W1452" s="10"/>
      <c r="X1452" s="10"/>
      <c r="Y1452" s="10"/>
      <c r="Z1452" s="10"/>
      <c r="AA1452" s="10"/>
      <c r="AB1452" s="10"/>
      <c r="AC1452" s="9"/>
      <c r="AD1452" s="523" t="e">
        <v>#N/A</v>
      </c>
      <c r="AE1452" s="523" t="e">
        <v>#N/A</v>
      </c>
      <c r="AF1452" s="523" t="e">
        <v>#N/A</v>
      </c>
      <c r="AG1452" s="524" t="e">
        <v>#N/A</v>
      </c>
      <c r="AH1452" s="9"/>
      <c r="AI1452" s="10"/>
      <c r="AJ1452" s="9">
        <f t="shared" si="143"/>
        <v>0</v>
      </c>
      <c r="AK1452" s="10"/>
      <c r="AL1452" s="10"/>
    </row>
    <row r="1453" spans="1:38" ht="45" hidden="1">
      <c r="A1453" s="1">
        <f t="shared" si="145"/>
        <v>0</v>
      </c>
      <c r="B1453" s="2" t="s">
        <v>4032</v>
      </c>
      <c r="C1453" s="3" t="s">
        <v>4033</v>
      </c>
      <c r="D1453" s="15" t="s">
        <v>11794</v>
      </c>
      <c r="E1453" s="4" t="s">
        <v>4032</v>
      </c>
      <c r="F1453" s="37" t="s">
        <v>4033</v>
      </c>
      <c r="G1453" s="38">
        <v>0</v>
      </c>
      <c r="H1453" s="38">
        <v>0</v>
      </c>
      <c r="I1453" s="15"/>
      <c r="J1453" s="494">
        <v>20411030713</v>
      </c>
      <c r="L1453" s="523" t="s">
        <v>3755</v>
      </c>
      <c r="M1453" s="523" t="s">
        <v>607</v>
      </c>
      <c r="N1453" s="518" t="s">
        <v>3756</v>
      </c>
      <c r="O1453" s="523">
        <v>2</v>
      </c>
      <c r="P1453" s="523" t="s">
        <v>693</v>
      </c>
      <c r="Q1453" s="523" t="s">
        <v>1229</v>
      </c>
      <c r="R1453" s="523" t="s">
        <v>671</v>
      </c>
      <c r="S1453" s="523" t="s">
        <v>755</v>
      </c>
      <c r="T1453" s="518" t="s">
        <v>13605</v>
      </c>
      <c r="U1453" s="38">
        <v>0</v>
      </c>
      <c r="V1453" s="15" t="str">
        <f t="shared" si="144"/>
        <v/>
      </c>
      <c r="W1453" s="10"/>
      <c r="X1453" s="10"/>
      <c r="Y1453" s="10"/>
      <c r="Z1453" s="10"/>
      <c r="AA1453" s="10"/>
      <c r="AB1453" s="10"/>
      <c r="AC1453" s="9"/>
      <c r="AD1453" s="523" t="e">
        <v>#N/A</v>
      </c>
      <c r="AE1453" s="523" t="e">
        <v>#N/A</v>
      </c>
      <c r="AF1453" s="523" t="e">
        <v>#N/A</v>
      </c>
      <c r="AG1453" s="524" t="e">
        <v>#N/A</v>
      </c>
      <c r="AH1453" s="9"/>
      <c r="AI1453" s="10"/>
      <c r="AJ1453" s="9">
        <f t="shared" si="143"/>
        <v>0</v>
      </c>
      <c r="AK1453" s="10"/>
      <c r="AL1453" s="10"/>
    </row>
    <row r="1454" spans="1:38" ht="45" hidden="1">
      <c r="A1454" s="1">
        <f t="shared" si="145"/>
        <v>0</v>
      </c>
      <c r="B1454" s="2" t="s">
        <v>4034</v>
      </c>
      <c r="C1454" s="3" t="s">
        <v>4035</v>
      </c>
      <c r="D1454" s="15" t="s">
        <v>11794</v>
      </c>
      <c r="E1454" s="4" t="s">
        <v>4034</v>
      </c>
      <c r="F1454" s="37" t="s">
        <v>4035</v>
      </c>
      <c r="G1454" s="38">
        <v>0</v>
      </c>
      <c r="H1454" s="38">
        <v>0</v>
      </c>
      <c r="I1454" s="15"/>
      <c r="J1454" s="494">
        <v>20411030714</v>
      </c>
      <c r="L1454" s="523" t="s">
        <v>3755</v>
      </c>
      <c r="M1454" s="523" t="s">
        <v>607</v>
      </c>
      <c r="N1454" s="518" t="s">
        <v>3756</v>
      </c>
      <c r="O1454" s="523">
        <v>2</v>
      </c>
      <c r="P1454" s="523" t="s">
        <v>693</v>
      </c>
      <c r="Q1454" s="523" t="s">
        <v>1229</v>
      </c>
      <c r="R1454" s="523" t="s">
        <v>671</v>
      </c>
      <c r="S1454" s="523" t="s">
        <v>755</v>
      </c>
      <c r="T1454" s="518" t="s">
        <v>13605</v>
      </c>
      <c r="U1454" s="38">
        <v>0</v>
      </c>
      <c r="V1454" s="15" t="str">
        <f t="shared" si="144"/>
        <v/>
      </c>
      <c r="W1454" s="10"/>
      <c r="X1454" s="10"/>
      <c r="Y1454" s="10"/>
      <c r="Z1454" s="10"/>
      <c r="AA1454" s="10"/>
      <c r="AB1454" s="10"/>
      <c r="AC1454" s="9"/>
      <c r="AD1454" s="523" t="e">
        <v>#N/A</v>
      </c>
      <c r="AE1454" s="523" t="e">
        <v>#N/A</v>
      </c>
      <c r="AF1454" s="523" t="e">
        <v>#N/A</v>
      </c>
      <c r="AG1454" s="524" t="e">
        <v>#N/A</v>
      </c>
      <c r="AH1454" s="9"/>
      <c r="AI1454" s="10"/>
      <c r="AJ1454" s="9">
        <f t="shared" si="143"/>
        <v>0</v>
      </c>
      <c r="AK1454" s="10"/>
      <c r="AL1454" s="10"/>
    </row>
    <row r="1455" spans="1:38" ht="45" hidden="1">
      <c r="A1455" s="1">
        <f t="shared" si="145"/>
        <v>0</v>
      </c>
      <c r="B1455" s="2" t="s">
        <v>4036</v>
      </c>
      <c r="C1455" s="3" t="s">
        <v>4037</v>
      </c>
      <c r="D1455" s="15" t="s">
        <v>11794</v>
      </c>
      <c r="E1455" s="4" t="s">
        <v>4036</v>
      </c>
      <c r="F1455" s="37" t="s">
        <v>4037</v>
      </c>
      <c r="G1455" s="38">
        <v>0</v>
      </c>
      <c r="H1455" s="38">
        <v>0</v>
      </c>
      <c r="I1455" s="15"/>
      <c r="J1455" s="494">
        <v>20411030715</v>
      </c>
      <c r="L1455" s="523" t="s">
        <v>3755</v>
      </c>
      <c r="M1455" s="523" t="s">
        <v>607</v>
      </c>
      <c r="N1455" s="518" t="s">
        <v>3756</v>
      </c>
      <c r="O1455" s="523">
        <v>2</v>
      </c>
      <c r="P1455" s="523" t="s">
        <v>693</v>
      </c>
      <c r="Q1455" s="523" t="s">
        <v>1229</v>
      </c>
      <c r="R1455" s="523" t="s">
        <v>671</v>
      </c>
      <c r="S1455" s="523" t="s">
        <v>755</v>
      </c>
      <c r="T1455" s="518" t="s">
        <v>13605</v>
      </c>
      <c r="U1455" s="38">
        <v>0</v>
      </c>
      <c r="V1455" s="15" t="str">
        <f t="shared" si="144"/>
        <v/>
      </c>
      <c r="W1455" s="10"/>
      <c r="X1455" s="10"/>
      <c r="Y1455" s="10"/>
      <c r="Z1455" s="10"/>
      <c r="AA1455" s="10"/>
      <c r="AB1455" s="10"/>
      <c r="AC1455" s="9"/>
      <c r="AD1455" s="523" t="e">
        <v>#N/A</v>
      </c>
      <c r="AE1455" s="523" t="e">
        <v>#N/A</v>
      </c>
      <c r="AF1455" s="523" t="e">
        <v>#N/A</v>
      </c>
      <c r="AG1455" s="524" t="e">
        <v>#N/A</v>
      </c>
      <c r="AH1455" s="9"/>
      <c r="AI1455" s="10"/>
      <c r="AJ1455" s="9">
        <f t="shared" si="143"/>
        <v>0</v>
      </c>
      <c r="AK1455" s="10"/>
      <c r="AL1455" s="10"/>
    </row>
    <row r="1456" spans="1:38" ht="45" hidden="1">
      <c r="A1456" s="1">
        <f t="shared" si="145"/>
        <v>0</v>
      </c>
      <c r="B1456" s="2" t="s">
        <v>4038</v>
      </c>
      <c r="C1456" s="3" t="s">
        <v>4039</v>
      </c>
      <c r="D1456" s="15" t="s">
        <v>11794</v>
      </c>
      <c r="E1456" s="4" t="s">
        <v>4038</v>
      </c>
      <c r="F1456" s="37" t="s">
        <v>4039</v>
      </c>
      <c r="G1456" s="38">
        <v>0</v>
      </c>
      <c r="H1456" s="38">
        <v>0</v>
      </c>
      <c r="I1456" s="15"/>
      <c r="J1456" s="494">
        <v>20411030716</v>
      </c>
      <c r="L1456" s="523" t="s">
        <v>3755</v>
      </c>
      <c r="M1456" s="523" t="s">
        <v>607</v>
      </c>
      <c r="N1456" s="518" t="s">
        <v>3756</v>
      </c>
      <c r="O1456" s="523">
        <v>2</v>
      </c>
      <c r="P1456" s="523" t="s">
        <v>693</v>
      </c>
      <c r="Q1456" s="523" t="s">
        <v>1229</v>
      </c>
      <c r="R1456" s="523" t="s">
        <v>671</v>
      </c>
      <c r="S1456" s="523" t="s">
        <v>755</v>
      </c>
      <c r="T1456" s="518" t="s">
        <v>13605</v>
      </c>
      <c r="U1456" s="38">
        <v>0</v>
      </c>
      <c r="V1456" s="15" t="str">
        <f t="shared" si="144"/>
        <v/>
      </c>
      <c r="W1456" s="10"/>
      <c r="X1456" s="10"/>
      <c r="Y1456" s="10"/>
      <c r="Z1456" s="10"/>
      <c r="AA1456" s="10"/>
      <c r="AB1456" s="10"/>
      <c r="AC1456" s="9"/>
      <c r="AD1456" s="523" t="e">
        <v>#N/A</v>
      </c>
      <c r="AE1456" s="523" t="e">
        <v>#N/A</v>
      </c>
      <c r="AF1456" s="523" t="e">
        <v>#N/A</v>
      </c>
      <c r="AG1456" s="524" t="e">
        <v>#N/A</v>
      </c>
      <c r="AH1456" s="9"/>
      <c r="AI1456" s="10"/>
      <c r="AJ1456" s="9">
        <f t="shared" si="143"/>
        <v>0</v>
      </c>
      <c r="AK1456" s="10"/>
      <c r="AL1456" s="10"/>
    </row>
    <row r="1457" spans="1:38" ht="45" hidden="1">
      <c r="A1457" s="1">
        <f t="shared" si="145"/>
        <v>0</v>
      </c>
      <c r="B1457" s="2" t="s">
        <v>4040</v>
      </c>
      <c r="C1457" s="3" t="s">
        <v>4041</v>
      </c>
      <c r="D1457" s="15" t="s">
        <v>11794</v>
      </c>
      <c r="E1457" s="4" t="s">
        <v>4040</v>
      </c>
      <c r="F1457" s="37" t="s">
        <v>4041</v>
      </c>
      <c r="G1457" s="38">
        <v>0</v>
      </c>
      <c r="H1457" s="38">
        <v>0</v>
      </c>
      <c r="I1457" s="15"/>
      <c r="J1457" s="494">
        <v>20411030717</v>
      </c>
      <c r="L1457" s="523" t="s">
        <v>3755</v>
      </c>
      <c r="M1457" s="523" t="s">
        <v>607</v>
      </c>
      <c r="N1457" s="518" t="s">
        <v>3756</v>
      </c>
      <c r="O1457" s="523">
        <v>2</v>
      </c>
      <c r="P1457" s="523" t="s">
        <v>693</v>
      </c>
      <c r="Q1457" s="523" t="s">
        <v>1229</v>
      </c>
      <c r="R1457" s="523" t="s">
        <v>671</v>
      </c>
      <c r="S1457" s="523" t="s">
        <v>755</v>
      </c>
      <c r="T1457" s="518" t="s">
        <v>13605</v>
      </c>
      <c r="U1457" s="38">
        <v>0</v>
      </c>
      <c r="V1457" s="15" t="str">
        <f t="shared" si="144"/>
        <v/>
      </c>
      <c r="W1457" s="10"/>
      <c r="X1457" s="10"/>
      <c r="Y1457" s="10"/>
      <c r="Z1457" s="10"/>
      <c r="AA1457" s="10"/>
      <c r="AB1457" s="10"/>
      <c r="AC1457" s="9"/>
      <c r="AD1457" s="523" t="e">
        <v>#N/A</v>
      </c>
      <c r="AE1457" s="523" t="e">
        <v>#N/A</v>
      </c>
      <c r="AF1457" s="523" t="e">
        <v>#N/A</v>
      </c>
      <c r="AG1457" s="524" t="e">
        <v>#N/A</v>
      </c>
      <c r="AH1457" s="9"/>
      <c r="AI1457" s="10"/>
      <c r="AJ1457" s="9">
        <f t="shared" si="143"/>
        <v>0</v>
      </c>
      <c r="AK1457" s="10"/>
      <c r="AL1457" s="10"/>
    </row>
    <row r="1458" spans="1:38" ht="45" hidden="1">
      <c r="A1458" s="1">
        <f t="shared" si="145"/>
        <v>0</v>
      </c>
      <c r="B1458" s="2" t="s">
        <v>4042</v>
      </c>
      <c r="C1458" s="3" t="s">
        <v>4043</v>
      </c>
      <c r="D1458" s="15" t="s">
        <v>11794</v>
      </c>
      <c r="E1458" s="4" t="s">
        <v>4042</v>
      </c>
      <c r="F1458" s="37" t="s">
        <v>4043</v>
      </c>
      <c r="G1458" s="38">
        <v>0</v>
      </c>
      <c r="H1458" s="38">
        <v>0</v>
      </c>
      <c r="I1458" s="15"/>
      <c r="J1458" s="494">
        <v>20411030718</v>
      </c>
      <c r="L1458" s="523" t="s">
        <v>3755</v>
      </c>
      <c r="M1458" s="523" t="s">
        <v>607</v>
      </c>
      <c r="N1458" s="518" t="s">
        <v>3756</v>
      </c>
      <c r="O1458" s="523">
        <v>2</v>
      </c>
      <c r="P1458" s="523" t="s">
        <v>693</v>
      </c>
      <c r="Q1458" s="523" t="s">
        <v>1229</v>
      </c>
      <c r="R1458" s="523" t="s">
        <v>671</v>
      </c>
      <c r="S1458" s="523" t="s">
        <v>755</v>
      </c>
      <c r="T1458" s="518" t="s">
        <v>13605</v>
      </c>
      <c r="U1458" s="38">
        <v>0</v>
      </c>
      <c r="V1458" s="15" t="str">
        <f t="shared" si="144"/>
        <v/>
      </c>
      <c r="W1458" s="10"/>
      <c r="X1458" s="10"/>
      <c r="Y1458" s="10"/>
      <c r="Z1458" s="10"/>
      <c r="AA1458" s="10"/>
      <c r="AB1458" s="10"/>
      <c r="AC1458" s="9"/>
      <c r="AD1458" s="523" t="e">
        <v>#N/A</v>
      </c>
      <c r="AE1458" s="523" t="e">
        <v>#N/A</v>
      </c>
      <c r="AF1458" s="523" t="e">
        <v>#N/A</v>
      </c>
      <c r="AG1458" s="524" t="e">
        <v>#N/A</v>
      </c>
      <c r="AH1458" s="9"/>
      <c r="AI1458" s="10"/>
      <c r="AJ1458" s="9">
        <f t="shared" si="143"/>
        <v>0</v>
      </c>
      <c r="AK1458" s="10"/>
      <c r="AL1458" s="10"/>
    </row>
    <row r="1459" spans="1:38" ht="45" hidden="1">
      <c r="A1459" s="1">
        <f t="shared" si="145"/>
        <v>0</v>
      </c>
      <c r="B1459" s="2" t="s">
        <v>4044</v>
      </c>
      <c r="C1459" s="3" t="s">
        <v>4045</v>
      </c>
      <c r="D1459" s="15" t="s">
        <v>11794</v>
      </c>
      <c r="E1459" s="4" t="s">
        <v>4044</v>
      </c>
      <c r="F1459" s="37" t="s">
        <v>4045</v>
      </c>
      <c r="G1459" s="38">
        <v>0</v>
      </c>
      <c r="H1459" s="38">
        <v>0</v>
      </c>
      <c r="I1459" s="15"/>
      <c r="J1459" s="494">
        <v>20411030719</v>
      </c>
      <c r="L1459" s="523" t="s">
        <v>3755</v>
      </c>
      <c r="M1459" s="523" t="s">
        <v>607</v>
      </c>
      <c r="N1459" s="518" t="s">
        <v>3756</v>
      </c>
      <c r="O1459" s="523">
        <v>2</v>
      </c>
      <c r="P1459" s="523" t="s">
        <v>693</v>
      </c>
      <c r="Q1459" s="523" t="s">
        <v>1229</v>
      </c>
      <c r="R1459" s="523" t="s">
        <v>671</v>
      </c>
      <c r="S1459" s="523" t="s">
        <v>755</v>
      </c>
      <c r="T1459" s="518" t="s">
        <v>13605</v>
      </c>
      <c r="U1459" s="38">
        <v>0</v>
      </c>
      <c r="V1459" s="15" t="str">
        <f t="shared" si="144"/>
        <v/>
      </c>
      <c r="W1459" s="10"/>
      <c r="X1459" s="10"/>
      <c r="Y1459" s="10"/>
      <c r="Z1459" s="10"/>
      <c r="AA1459" s="10"/>
      <c r="AB1459" s="10"/>
      <c r="AC1459" s="9"/>
      <c r="AD1459" s="523" t="e">
        <v>#N/A</v>
      </c>
      <c r="AE1459" s="523" t="e">
        <v>#N/A</v>
      </c>
      <c r="AF1459" s="523" t="e">
        <v>#N/A</v>
      </c>
      <c r="AG1459" s="524" t="e">
        <v>#N/A</v>
      </c>
      <c r="AH1459" s="9"/>
      <c r="AI1459" s="10"/>
      <c r="AJ1459" s="9">
        <f t="shared" si="143"/>
        <v>0</v>
      </c>
      <c r="AK1459" s="10"/>
      <c r="AL1459" s="10"/>
    </row>
    <row r="1460" spans="1:38" ht="45" hidden="1">
      <c r="A1460" s="1">
        <f t="shared" si="145"/>
        <v>0</v>
      </c>
      <c r="B1460" s="2" t="s">
        <v>4046</v>
      </c>
      <c r="C1460" s="3" t="s">
        <v>4047</v>
      </c>
      <c r="D1460" s="15" t="s">
        <v>11794</v>
      </c>
      <c r="E1460" s="4" t="s">
        <v>4046</v>
      </c>
      <c r="F1460" s="37" t="s">
        <v>4047</v>
      </c>
      <c r="G1460" s="38">
        <v>0</v>
      </c>
      <c r="H1460" s="38">
        <v>0</v>
      </c>
      <c r="I1460" s="15"/>
      <c r="J1460" s="494">
        <v>20411030720</v>
      </c>
      <c r="L1460" s="523" t="s">
        <v>3755</v>
      </c>
      <c r="M1460" s="523" t="s">
        <v>607</v>
      </c>
      <c r="N1460" s="518" t="s">
        <v>3756</v>
      </c>
      <c r="O1460" s="523">
        <v>2</v>
      </c>
      <c r="P1460" s="523" t="s">
        <v>693</v>
      </c>
      <c r="Q1460" s="523" t="s">
        <v>1229</v>
      </c>
      <c r="R1460" s="523" t="s">
        <v>671</v>
      </c>
      <c r="S1460" s="523" t="s">
        <v>755</v>
      </c>
      <c r="T1460" s="518" t="s">
        <v>13605</v>
      </c>
      <c r="U1460" s="38">
        <v>0</v>
      </c>
      <c r="V1460" s="15" t="str">
        <f t="shared" si="144"/>
        <v/>
      </c>
      <c r="W1460" s="10"/>
      <c r="X1460" s="10"/>
      <c r="Y1460" s="10"/>
      <c r="Z1460" s="10"/>
      <c r="AA1460" s="10"/>
      <c r="AB1460" s="10"/>
      <c r="AC1460" s="9"/>
      <c r="AD1460" s="523" t="e">
        <v>#N/A</v>
      </c>
      <c r="AE1460" s="523" t="e">
        <v>#N/A</v>
      </c>
      <c r="AF1460" s="523" t="e">
        <v>#N/A</v>
      </c>
      <c r="AG1460" s="524" t="e">
        <v>#N/A</v>
      </c>
      <c r="AH1460" s="9"/>
      <c r="AI1460" s="10"/>
      <c r="AJ1460" s="9">
        <f t="shared" si="143"/>
        <v>0</v>
      </c>
      <c r="AK1460" s="10"/>
      <c r="AL1460" s="10"/>
    </row>
    <row r="1461" spans="1:38" ht="56.25" hidden="1">
      <c r="A1461" s="1">
        <f t="shared" si="145"/>
        <v>0</v>
      </c>
      <c r="B1461" s="2" t="s">
        <v>4048</v>
      </c>
      <c r="C1461" s="3" t="s">
        <v>4049</v>
      </c>
      <c r="D1461" s="15" t="s">
        <v>11795</v>
      </c>
      <c r="E1461" s="4" t="s">
        <v>4048</v>
      </c>
      <c r="F1461" s="37" t="s">
        <v>4049</v>
      </c>
      <c r="G1461" s="38">
        <v>0</v>
      </c>
      <c r="H1461" s="38">
        <v>0</v>
      </c>
      <c r="I1461" s="15"/>
      <c r="J1461" s="494">
        <v>20411030801</v>
      </c>
      <c r="K1461" s="517"/>
      <c r="L1461" s="517" t="s">
        <v>3755</v>
      </c>
      <c r="M1461" s="517" t="s">
        <v>607</v>
      </c>
      <c r="N1461" s="518" t="s">
        <v>3756</v>
      </c>
      <c r="O1461" s="517">
        <v>2</v>
      </c>
      <c r="P1461" s="517" t="s">
        <v>693</v>
      </c>
      <c r="Q1461" s="517" t="s">
        <v>1229</v>
      </c>
      <c r="R1461" s="517" t="s">
        <v>671</v>
      </c>
      <c r="S1461" s="517" t="s">
        <v>766</v>
      </c>
      <c r="T1461" s="518" t="s">
        <v>4050</v>
      </c>
      <c r="U1461" s="38">
        <v>0</v>
      </c>
      <c r="V1461" s="15" t="str">
        <f t="shared" si="144"/>
        <v>204110308</v>
      </c>
      <c r="W1461" s="39">
        <v>2</v>
      </c>
      <c r="X1461" s="50" t="s">
        <v>693</v>
      </c>
      <c r="Y1461" s="50" t="s">
        <v>1229</v>
      </c>
      <c r="Z1461" s="50" t="s">
        <v>671</v>
      </c>
      <c r="AA1461" s="40" t="s">
        <v>766</v>
      </c>
      <c r="AB1461" s="42" t="s">
        <v>4050</v>
      </c>
      <c r="AC1461" s="519">
        <f>SUM(H1461:H1480)</f>
        <v>0</v>
      </c>
      <c r="AD1461" s="517">
        <v>0</v>
      </c>
      <c r="AE1461" s="517" t="s">
        <v>3755</v>
      </c>
      <c r="AF1461" s="517" t="s">
        <v>607</v>
      </c>
      <c r="AG1461" s="518" t="s">
        <v>3756</v>
      </c>
      <c r="AH1461" s="67">
        <f>AC1461</f>
        <v>0</v>
      </c>
      <c r="AI1461" s="10"/>
      <c r="AJ1461" s="9">
        <f t="shared" si="143"/>
        <v>0</v>
      </c>
      <c r="AK1461" s="10"/>
      <c r="AL1461" s="10"/>
    </row>
    <row r="1462" spans="1:38" ht="56.25" hidden="1">
      <c r="A1462" s="1">
        <f t="shared" si="145"/>
        <v>0</v>
      </c>
      <c r="B1462" s="2" t="s">
        <v>4051</v>
      </c>
      <c r="C1462" s="3" t="s">
        <v>4052</v>
      </c>
      <c r="D1462" s="15" t="s">
        <v>11795</v>
      </c>
      <c r="E1462" s="4" t="s">
        <v>4051</v>
      </c>
      <c r="F1462" s="37" t="s">
        <v>4052</v>
      </c>
      <c r="G1462" s="38">
        <v>0</v>
      </c>
      <c r="H1462" s="38">
        <v>0</v>
      </c>
      <c r="I1462" s="15"/>
      <c r="J1462" s="494">
        <v>20411030802</v>
      </c>
      <c r="L1462" s="523" t="s">
        <v>3755</v>
      </c>
      <c r="M1462" s="523" t="s">
        <v>607</v>
      </c>
      <c r="N1462" s="518" t="s">
        <v>3756</v>
      </c>
      <c r="O1462" s="523">
        <v>2</v>
      </c>
      <c r="P1462" s="523" t="s">
        <v>693</v>
      </c>
      <c r="Q1462" s="523" t="s">
        <v>1229</v>
      </c>
      <c r="R1462" s="523" t="s">
        <v>671</v>
      </c>
      <c r="S1462" s="523" t="s">
        <v>766</v>
      </c>
      <c r="T1462" s="518" t="s">
        <v>4050</v>
      </c>
      <c r="U1462" s="38">
        <v>0</v>
      </c>
      <c r="V1462" s="15" t="str">
        <f t="shared" si="144"/>
        <v/>
      </c>
      <c r="W1462" s="10"/>
      <c r="X1462" s="10"/>
      <c r="Y1462" s="10"/>
      <c r="Z1462" s="10"/>
      <c r="AA1462" s="10"/>
      <c r="AB1462" s="10"/>
      <c r="AC1462" s="9"/>
      <c r="AD1462" s="523" t="e">
        <v>#N/A</v>
      </c>
      <c r="AE1462" s="523" t="e">
        <v>#N/A</v>
      </c>
      <c r="AF1462" s="523" t="e">
        <v>#N/A</v>
      </c>
      <c r="AG1462" s="524" t="e">
        <v>#N/A</v>
      </c>
      <c r="AH1462" s="9"/>
      <c r="AI1462" s="10"/>
      <c r="AJ1462" s="9">
        <f t="shared" si="143"/>
        <v>0</v>
      </c>
      <c r="AK1462" s="10"/>
      <c r="AL1462" s="10"/>
    </row>
    <row r="1463" spans="1:38" ht="56.25" hidden="1">
      <c r="A1463" s="1">
        <f t="shared" si="145"/>
        <v>0</v>
      </c>
      <c r="B1463" s="2" t="s">
        <v>4053</v>
      </c>
      <c r="C1463" s="3" t="s">
        <v>4054</v>
      </c>
      <c r="D1463" s="15" t="s">
        <v>11795</v>
      </c>
      <c r="E1463" s="4" t="s">
        <v>4053</v>
      </c>
      <c r="F1463" s="37" t="s">
        <v>4054</v>
      </c>
      <c r="G1463" s="38">
        <v>0</v>
      </c>
      <c r="H1463" s="38">
        <v>0</v>
      </c>
      <c r="I1463" s="15"/>
      <c r="J1463" s="494">
        <v>20411030803</v>
      </c>
      <c r="L1463" s="523" t="s">
        <v>3755</v>
      </c>
      <c r="M1463" s="523" t="s">
        <v>607</v>
      </c>
      <c r="N1463" s="518" t="s">
        <v>3756</v>
      </c>
      <c r="O1463" s="523">
        <v>2</v>
      </c>
      <c r="P1463" s="523" t="s">
        <v>693</v>
      </c>
      <c r="Q1463" s="523" t="s">
        <v>1229</v>
      </c>
      <c r="R1463" s="523" t="s">
        <v>671</v>
      </c>
      <c r="S1463" s="523" t="s">
        <v>766</v>
      </c>
      <c r="T1463" s="518" t="s">
        <v>4050</v>
      </c>
      <c r="U1463" s="38">
        <v>0</v>
      </c>
      <c r="V1463" s="15" t="str">
        <f t="shared" si="144"/>
        <v/>
      </c>
      <c r="W1463" s="10"/>
      <c r="X1463" s="10"/>
      <c r="Y1463" s="10"/>
      <c r="Z1463" s="10"/>
      <c r="AA1463" s="10"/>
      <c r="AB1463" s="10"/>
      <c r="AC1463" s="9"/>
      <c r="AD1463" s="523" t="e">
        <v>#N/A</v>
      </c>
      <c r="AE1463" s="523" t="e">
        <v>#N/A</v>
      </c>
      <c r="AF1463" s="523" t="e">
        <v>#N/A</v>
      </c>
      <c r="AG1463" s="524" t="e">
        <v>#N/A</v>
      </c>
      <c r="AH1463" s="9"/>
      <c r="AI1463" s="10"/>
      <c r="AJ1463" s="9">
        <f t="shared" si="143"/>
        <v>0</v>
      </c>
      <c r="AK1463" s="10"/>
      <c r="AL1463" s="10"/>
    </row>
    <row r="1464" spans="1:38" ht="56.25" hidden="1">
      <c r="A1464" s="1">
        <f t="shared" si="145"/>
        <v>0</v>
      </c>
      <c r="B1464" s="2" t="s">
        <v>4055</v>
      </c>
      <c r="C1464" s="3" t="s">
        <v>4056</v>
      </c>
      <c r="D1464" s="15" t="s">
        <v>11795</v>
      </c>
      <c r="E1464" s="4" t="s">
        <v>4055</v>
      </c>
      <c r="F1464" s="37" t="s">
        <v>4056</v>
      </c>
      <c r="G1464" s="38">
        <v>0</v>
      </c>
      <c r="H1464" s="38">
        <v>0</v>
      </c>
      <c r="I1464" s="15"/>
      <c r="J1464" s="494">
        <v>20411030804</v>
      </c>
      <c r="L1464" s="523" t="s">
        <v>3755</v>
      </c>
      <c r="M1464" s="523" t="s">
        <v>607</v>
      </c>
      <c r="N1464" s="518" t="s">
        <v>3756</v>
      </c>
      <c r="O1464" s="523">
        <v>2</v>
      </c>
      <c r="P1464" s="523" t="s">
        <v>693</v>
      </c>
      <c r="Q1464" s="523" t="s">
        <v>1229</v>
      </c>
      <c r="R1464" s="523" t="s">
        <v>671</v>
      </c>
      <c r="S1464" s="523" t="s">
        <v>766</v>
      </c>
      <c r="T1464" s="518" t="s">
        <v>4050</v>
      </c>
      <c r="U1464" s="38">
        <v>0</v>
      </c>
      <c r="V1464" s="15" t="str">
        <f t="shared" si="144"/>
        <v/>
      </c>
      <c r="W1464" s="10"/>
      <c r="X1464" s="10"/>
      <c r="Y1464" s="10"/>
      <c r="Z1464" s="10"/>
      <c r="AA1464" s="10"/>
      <c r="AB1464" s="10"/>
      <c r="AC1464" s="9"/>
      <c r="AD1464" s="523" t="e">
        <v>#N/A</v>
      </c>
      <c r="AE1464" s="523" t="e">
        <v>#N/A</v>
      </c>
      <c r="AF1464" s="523" t="e">
        <v>#N/A</v>
      </c>
      <c r="AG1464" s="524" t="e">
        <v>#N/A</v>
      </c>
      <c r="AH1464" s="9"/>
      <c r="AI1464" s="10"/>
      <c r="AJ1464" s="9">
        <f t="shared" si="143"/>
        <v>0</v>
      </c>
      <c r="AK1464" s="10"/>
      <c r="AL1464" s="10"/>
    </row>
    <row r="1465" spans="1:38" ht="56.25" hidden="1">
      <c r="A1465" s="1">
        <f t="shared" si="145"/>
        <v>0</v>
      </c>
      <c r="B1465" s="2" t="s">
        <v>4057</v>
      </c>
      <c r="C1465" s="3" t="s">
        <v>4058</v>
      </c>
      <c r="D1465" s="15" t="s">
        <v>11795</v>
      </c>
      <c r="E1465" s="4" t="s">
        <v>4057</v>
      </c>
      <c r="F1465" s="37" t="s">
        <v>4058</v>
      </c>
      <c r="G1465" s="38">
        <v>0</v>
      </c>
      <c r="H1465" s="38">
        <v>0</v>
      </c>
      <c r="I1465" s="15"/>
      <c r="J1465" s="494">
        <v>20411030805</v>
      </c>
      <c r="L1465" s="523" t="s">
        <v>3755</v>
      </c>
      <c r="M1465" s="523" t="s">
        <v>607</v>
      </c>
      <c r="N1465" s="518" t="s">
        <v>3756</v>
      </c>
      <c r="O1465" s="523">
        <v>2</v>
      </c>
      <c r="P1465" s="523" t="s">
        <v>693</v>
      </c>
      <c r="Q1465" s="523" t="s">
        <v>1229</v>
      </c>
      <c r="R1465" s="523" t="s">
        <v>671</v>
      </c>
      <c r="S1465" s="523" t="s">
        <v>766</v>
      </c>
      <c r="T1465" s="518" t="s">
        <v>4050</v>
      </c>
      <c r="U1465" s="38">
        <v>0</v>
      </c>
      <c r="V1465" s="15" t="str">
        <f t="shared" si="144"/>
        <v/>
      </c>
      <c r="W1465" s="10"/>
      <c r="X1465" s="10"/>
      <c r="Y1465" s="10"/>
      <c r="Z1465" s="10"/>
      <c r="AA1465" s="10"/>
      <c r="AB1465" s="10"/>
      <c r="AC1465" s="9"/>
      <c r="AD1465" s="523" t="e">
        <v>#N/A</v>
      </c>
      <c r="AE1465" s="523" t="e">
        <v>#N/A</v>
      </c>
      <c r="AF1465" s="523" t="e">
        <v>#N/A</v>
      </c>
      <c r="AG1465" s="524" t="e">
        <v>#N/A</v>
      </c>
      <c r="AH1465" s="9"/>
      <c r="AI1465" s="10"/>
      <c r="AJ1465" s="9">
        <f t="shared" si="143"/>
        <v>0</v>
      </c>
      <c r="AK1465" s="10"/>
      <c r="AL1465" s="10"/>
    </row>
    <row r="1466" spans="1:38" ht="56.25" hidden="1">
      <c r="A1466" s="1">
        <f t="shared" si="145"/>
        <v>0</v>
      </c>
      <c r="B1466" s="2" t="s">
        <v>4059</v>
      </c>
      <c r="C1466" s="3" t="s">
        <v>4060</v>
      </c>
      <c r="D1466" s="15" t="s">
        <v>11795</v>
      </c>
      <c r="E1466" s="4" t="s">
        <v>4059</v>
      </c>
      <c r="F1466" s="37" t="s">
        <v>4060</v>
      </c>
      <c r="G1466" s="38">
        <v>0</v>
      </c>
      <c r="H1466" s="38">
        <v>0</v>
      </c>
      <c r="I1466" s="15"/>
      <c r="J1466" s="494">
        <v>20411030806</v>
      </c>
      <c r="L1466" s="523" t="s">
        <v>3755</v>
      </c>
      <c r="M1466" s="523" t="s">
        <v>607</v>
      </c>
      <c r="N1466" s="518" t="s">
        <v>3756</v>
      </c>
      <c r="O1466" s="523">
        <v>2</v>
      </c>
      <c r="P1466" s="523" t="s">
        <v>693</v>
      </c>
      <c r="Q1466" s="523" t="s">
        <v>1229</v>
      </c>
      <c r="R1466" s="523" t="s">
        <v>671</v>
      </c>
      <c r="S1466" s="523" t="s">
        <v>766</v>
      </c>
      <c r="T1466" s="518" t="s">
        <v>4050</v>
      </c>
      <c r="U1466" s="38">
        <v>0</v>
      </c>
      <c r="V1466" s="15" t="str">
        <f t="shared" si="144"/>
        <v/>
      </c>
      <c r="W1466" s="10"/>
      <c r="X1466" s="10"/>
      <c r="Y1466" s="10"/>
      <c r="Z1466" s="10"/>
      <c r="AA1466" s="10"/>
      <c r="AB1466" s="10"/>
      <c r="AC1466" s="9"/>
      <c r="AD1466" s="523" t="e">
        <v>#N/A</v>
      </c>
      <c r="AE1466" s="523" t="e">
        <v>#N/A</v>
      </c>
      <c r="AF1466" s="523" t="e">
        <v>#N/A</v>
      </c>
      <c r="AG1466" s="524" t="e">
        <v>#N/A</v>
      </c>
      <c r="AH1466" s="9"/>
      <c r="AI1466" s="10"/>
      <c r="AJ1466" s="9">
        <f t="shared" ref="AJ1466:AJ1500" si="146">AH1466-H1466</f>
        <v>0</v>
      </c>
      <c r="AK1466" s="10"/>
      <c r="AL1466" s="10"/>
    </row>
    <row r="1467" spans="1:38" ht="56.25" hidden="1">
      <c r="A1467" s="1">
        <f t="shared" si="145"/>
        <v>0</v>
      </c>
      <c r="B1467" s="2" t="s">
        <v>4061</v>
      </c>
      <c r="C1467" s="3" t="s">
        <v>4062</v>
      </c>
      <c r="D1467" s="15" t="s">
        <v>11795</v>
      </c>
      <c r="E1467" s="4" t="s">
        <v>4061</v>
      </c>
      <c r="F1467" s="37" t="s">
        <v>4062</v>
      </c>
      <c r="G1467" s="38">
        <v>0</v>
      </c>
      <c r="H1467" s="38">
        <v>0</v>
      </c>
      <c r="I1467" s="15"/>
      <c r="J1467" s="494">
        <v>20411030807</v>
      </c>
      <c r="L1467" s="523" t="s">
        <v>3755</v>
      </c>
      <c r="M1467" s="523" t="s">
        <v>607</v>
      </c>
      <c r="N1467" s="518" t="s">
        <v>3756</v>
      </c>
      <c r="O1467" s="523">
        <v>2</v>
      </c>
      <c r="P1467" s="523" t="s">
        <v>693</v>
      </c>
      <c r="Q1467" s="523" t="s">
        <v>1229</v>
      </c>
      <c r="R1467" s="523" t="s">
        <v>671</v>
      </c>
      <c r="S1467" s="523" t="s">
        <v>766</v>
      </c>
      <c r="T1467" s="518" t="s">
        <v>4050</v>
      </c>
      <c r="U1467" s="38">
        <v>0</v>
      </c>
      <c r="V1467" s="15" t="str">
        <f t="shared" si="144"/>
        <v/>
      </c>
      <c r="W1467" s="10"/>
      <c r="X1467" s="10"/>
      <c r="Y1467" s="10"/>
      <c r="Z1467" s="10"/>
      <c r="AA1467" s="10"/>
      <c r="AB1467" s="10"/>
      <c r="AC1467" s="9"/>
      <c r="AD1467" s="523" t="e">
        <v>#N/A</v>
      </c>
      <c r="AE1467" s="523" t="e">
        <v>#N/A</v>
      </c>
      <c r="AF1467" s="523" t="e">
        <v>#N/A</v>
      </c>
      <c r="AG1467" s="524" t="e">
        <v>#N/A</v>
      </c>
      <c r="AH1467" s="9"/>
      <c r="AI1467" s="10"/>
      <c r="AJ1467" s="9">
        <f t="shared" si="146"/>
        <v>0</v>
      </c>
      <c r="AK1467" s="10"/>
      <c r="AL1467" s="10"/>
    </row>
    <row r="1468" spans="1:38" ht="56.25" hidden="1">
      <c r="A1468" s="1">
        <f t="shared" si="145"/>
        <v>0</v>
      </c>
      <c r="B1468" s="2" t="s">
        <v>4063</v>
      </c>
      <c r="C1468" s="3" t="s">
        <v>4064</v>
      </c>
      <c r="D1468" s="15" t="s">
        <v>11795</v>
      </c>
      <c r="E1468" s="4" t="s">
        <v>4063</v>
      </c>
      <c r="F1468" s="37" t="s">
        <v>4064</v>
      </c>
      <c r="G1468" s="38">
        <v>0</v>
      </c>
      <c r="H1468" s="38">
        <v>0</v>
      </c>
      <c r="I1468" s="15"/>
      <c r="J1468" s="494">
        <v>20411030808</v>
      </c>
      <c r="L1468" s="523" t="s">
        <v>3755</v>
      </c>
      <c r="M1468" s="523" t="s">
        <v>607</v>
      </c>
      <c r="N1468" s="518" t="s">
        <v>3756</v>
      </c>
      <c r="O1468" s="523">
        <v>2</v>
      </c>
      <c r="P1468" s="523" t="s">
        <v>693</v>
      </c>
      <c r="Q1468" s="523" t="s">
        <v>1229</v>
      </c>
      <c r="R1468" s="523" t="s">
        <v>671</v>
      </c>
      <c r="S1468" s="523" t="s">
        <v>766</v>
      </c>
      <c r="T1468" s="518" t="s">
        <v>4050</v>
      </c>
      <c r="U1468" s="38">
        <v>0</v>
      </c>
      <c r="V1468" s="15" t="str">
        <f t="shared" si="144"/>
        <v/>
      </c>
      <c r="W1468" s="10"/>
      <c r="X1468" s="10"/>
      <c r="Y1468" s="10"/>
      <c r="Z1468" s="10"/>
      <c r="AA1468" s="10"/>
      <c r="AB1468" s="10"/>
      <c r="AC1468" s="9"/>
      <c r="AD1468" s="523" t="e">
        <v>#N/A</v>
      </c>
      <c r="AE1468" s="523" t="e">
        <v>#N/A</v>
      </c>
      <c r="AF1468" s="523" t="e">
        <v>#N/A</v>
      </c>
      <c r="AG1468" s="524" t="e">
        <v>#N/A</v>
      </c>
      <c r="AH1468" s="9"/>
      <c r="AI1468" s="10"/>
      <c r="AJ1468" s="9">
        <f t="shared" si="146"/>
        <v>0</v>
      </c>
      <c r="AK1468" s="10"/>
      <c r="AL1468" s="10"/>
    </row>
    <row r="1469" spans="1:38" ht="56.25" hidden="1">
      <c r="A1469" s="1">
        <f t="shared" si="145"/>
        <v>0</v>
      </c>
      <c r="B1469" s="2" t="s">
        <v>4065</v>
      </c>
      <c r="C1469" s="3" t="s">
        <v>4066</v>
      </c>
      <c r="D1469" s="15" t="s">
        <v>11795</v>
      </c>
      <c r="E1469" s="4" t="s">
        <v>4065</v>
      </c>
      <c r="F1469" s="37" t="s">
        <v>4066</v>
      </c>
      <c r="G1469" s="38">
        <v>0</v>
      </c>
      <c r="H1469" s="38">
        <v>0</v>
      </c>
      <c r="I1469" s="15"/>
      <c r="J1469" s="494">
        <v>20411030809</v>
      </c>
      <c r="L1469" s="523" t="s">
        <v>3755</v>
      </c>
      <c r="M1469" s="523" t="s">
        <v>607</v>
      </c>
      <c r="N1469" s="518" t="s">
        <v>3756</v>
      </c>
      <c r="O1469" s="523">
        <v>2</v>
      </c>
      <c r="P1469" s="523" t="s">
        <v>693</v>
      </c>
      <c r="Q1469" s="523" t="s">
        <v>1229</v>
      </c>
      <c r="R1469" s="523" t="s">
        <v>671</v>
      </c>
      <c r="S1469" s="523" t="s">
        <v>766</v>
      </c>
      <c r="T1469" s="518" t="s">
        <v>4050</v>
      </c>
      <c r="U1469" s="38">
        <v>0</v>
      </c>
      <c r="V1469" s="15" t="str">
        <f t="shared" si="144"/>
        <v/>
      </c>
      <c r="W1469" s="10"/>
      <c r="X1469" s="10"/>
      <c r="Y1469" s="10"/>
      <c r="Z1469" s="10"/>
      <c r="AA1469" s="10"/>
      <c r="AB1469" s="10"/>
      <c r="AC1469" s="9"/>
      <c r="AD1469" s="523" t="e">
        <v>#N/A</v>
      </c>
      <c r="AE1469" s="523" t="e">
        <v>#N/A</v>
      </c>
      <c r="AF1469" s="523" t="e">
        <v>#N/A</v>
      </c>
      <c r="AG1469" s="524" t="e">
        <v>#N/A</v>
      </c>
      <c r="AH1469" s="9"/>
      <c r="AI1469" s="10"/>
      <c r="AJ1469" s="9">
        <f t="shared" si="146"/>
        <v>0</v>
      </c>
      <c r="AK1469" s="10"/>
      <c r="AL1469" s="10"/>
    </row>
    <row r="1470" spans="1:38" ht="56.25" hidden="1">
      <c r="A1470" s="1">
        <f t="shared" si="145"/>
        <v>0</v>
      </c>
      <c r="B1470" s="2" t="s">
        <v>4067</v>
      </c>
      <c r="C1470" s="3" t="s">
        <v>4068</v>
      </c>
      <c r="D1470" s="15" t="s">
        <v>11795</v>
      </c>
      <c r="E1470" s="4" t="s">
        <v>4067</v>
      </c>
      <c r="F1470" s="37" t="s">
        <v>4068</v>
      </c>
      <c r="G1470" s="38">
        <v>0</v>
      </c>
      <c r="H1470" s="38">
        <v>0</v>
      </c>
      <c r="I1470" s="15"/>
      <c r="J1470" s="494">
        <v>20411030810</v>
      </c>
      <c r="L1470" s="523" t="s">
        <v>3755</v>
      </c>
      <c r="M1470" s="523" t="s">
        <v>607</v>
      </c>
      <c r="N1470" s="518" t="s">
        <v>3756</v>
      </c>
      <c r="O1470" s="523">
        <v>2</v>
      </c>
      <c r="P1470" s="523" t="s">
        <v>693</v>
      </c>
      <c r="Q1470" s="523" t="s">
        <v>1229</v>
      </c>
      <c r="R1470" s="523" t="s">
        <v>671</v>
      </c>
      <c r="S1470" s="523" t="s">
        <v>766</v>
      </c>
      <c r="T1470" s="518" t="s">
        <v>4050</v>
      </c>
      <c r="U1470" s="38">
        <v>0</v>
      </c>
      <c r="V1470" s="15" t="str">
        <f t="shared" si="144"/>
        <v/>
      </c>
      <c r="W1470" s="10"/>
      <c r="X1470" s="10"/>
      <c r="Y1470" s="10"/>
      <c r="Z1470" s="10"/>
      <c r="AA1470" s="10"/>
      <c r="AB1470" s="10"/>
      <c r="AC1470" s="9"/>
      <c r="AD1470" s="523" t="e">
        <v>#N/A</v>
      </c>
      <c r="AE1470" s="523" t="e">
        <v>#N/A</v>
      </c>
      <c r="AF1470" s="523" t="e">
        <v>#N/A</v>
      </c>
      <c r="AG1470" s="524" t="e">
        <v>#N/A</v>
      </c>
      <c r="AH1470" s="9"/>
      <c r="AI1470" s="10"/>
      <c r="AJ1470" s="9">
        <f t="shared" si="146"/>
        <v>0</v>
      </c>
      <c r="AK1470" s="10"/>
      <c r="AL1470" s="10"/>
    </row>
    <row r="1471" spans="1:38" ht="56.25" hidden="1">
      <c r="A1471" s="1">
        <f t="shared" si="145"/>
        <v>0</v>
      </c>
      <c r="B1471" s="2" t="s">
        <v>4069</v>
      </c>
      <c r="C1471" s="3" t="s">
        <v>4070</v>
      </c>
      <c r="D1471" s="15" t="s">
        <v>11795</v>
      </c>
      <c r="E1471" s="4" t="s">
        <v>4069</v>
      </c>
      <c r="F1471" s="37" t="s">
        <v>4070</v>
      </c>
      <c r="G1471" s="38">
        <v>0</v>
      </c>
      <c r="H1471" s="38">
        <v>0</v>
      </c>
      <c r="I1471" s="15"/>
      <c r="J1471" s="494">
        <v>20411030811</v>
      </c>
      <c r="L1471" s="523" t="s">
        <v>3755</v>
      </c>
      <c r="M1471" s="523" t="s">
        <v>607</v>
      </c>
      <c r="N1471" s="518" t="s">
        <v>3756</v>
      </c>
      <c r="O1471" s="523">
        <v>2</v>
      </c>
      <c r="P1471" s="523" t="s">
        <v>693</v>
      </c>
      <c r="Q1471" s="523" t="s">
        <v>1229</v>
      </c>
      <c r="R1471" s="523" t="s">
        <v>671</v>
      </c>
      <c r="S1471" s="523" t="s">
        <v>766</v>
      </c>
      <c r="T1471" s="518" t="s">
        <v>4050</v>
      </c>
      <c r="U1471" s="38">
        <v>0</v>
      </c>
      <c r="V1471" s="15" t="str">
        <f t="shared" si="144"/>
        <v/>
      </c>
      <c r="W1471" s="10"/>
      <c r="X1471" s="10"/>
      <c r="Y1471" s="10"/>
      <c r="Z1471" s="10"/>
      <c r="AA1471" s="10"/>
      <c r="AB1471" s="10"/>
      <c r="AC1471" s="9"/>
      <c r="AD1471" s="523" t="e">
        <v>#N/A</v>
      </c>
      <c r="AE1471" s="523" t="e">
        <v>#N/A</v>
      </c>
      <c r="AF1471" s="523" t="e">
        <v>#N/A</v>
      </c>
      <c r="AG1471" s="524" t="e">
        <v>#N/A</v>
      </c>
      <c r="AH1471" s="9"/>
      <c r="AI1471" s="10"/>
      <c r="AJ1471" s="9">
        <f t="shared" si="146"/>
        <v>0</v>
      </c>
      <c r="AK1471" s="10"/>
      <c r="AL1471" s="10"/>
    </row>
    <row r="1472" spans="1:38" ht="56.25" hidden="1">
      <c r="A1472" s="1">
        <f t="shared" si="145"/>
        <v>0</v>
      </c>
      <c r="B1472" s="2" t="s">
        <v>4071</v>
      </c>
      <c r="C1472" s="3" t="s">
        <v>4072</v>
      </c>
      <c r="D1472" s="15" t="s">
        <v>11795</v>
      </c>
      <c r="E1472" s="4" t="s">
        <v>4071</v>
      </c>
      <c r="F1472" s="37" t="s">
        <v>4072</v>
      </c>
      <c r="G1472" s="38">
        <v>0</v>
      </c>
      <c r="H1472" s="38">
        <v>0</v>
      </c>
      <c r="I1472" s="15"/>
      <c r="J1472" s="494">
        <v>20411030812</v>
      </c>
      <c r="L1472" s="523" t="s">
        <v>3755</v>
      </c>
      <c r="M1472" s="523" t="s">
        <v>607</v>
      </c>
      <c r="N1472" s="518" t="s">
        <v>3756</v>
      </c>
      <c r="O1472" s="523">
        <v>2</v>
      </c>
      <c r="P1472" s="523" t="s">
        <v>693</v>
      </c>
      <c r="Q1472" s="523" t="s">
        <v>1229</v>
      </c>
      <c r="R1472" s="523" t="s">
        <v>671</v>
      </c>
      <c r="S1472" s="523" t="s">
        <v>766</v>
      </c>
      <c r="T1472" s="518" t="s">
        <v>4050</v>
      </c>
      <c r="U1472" s="38">
        <v>0</v>
      </c>
      <c r="V1472" s="15" t="str">
        <f t="shared" si="144"/>
        <v/>
      </c>
      <c r="W1472" s="10"/>
      <c r="X1472" s="10"/>
      <c r="Y1472" s="10"/>
      <c r="Z1472" s="10"/>
      <c r="AA1472" s="10"/>
      <c r="AB1472" s="10"/>
      <c r="AC1472" s="9"/>
      <c r="AD1472" s="523" t="e">
        <v>#N/A</v>
      </c>
      <c r="AE1472" s="523" t="e">
        <v>#N/A</v>
      </c>
      <c r="AF1472" s="523" t="e">
        <v>#N/A</v>
      </c>
      <c r="AG1472" s="524" t="e">
        <v>#N/A</v>
      </c>
      <c r="AH1472" s="9"/>
      <c r="AI1472" s="10"/>
      <c r="AJ1472" s="9">
        <f t="shared" si="146"/>
        <v>0</v>
      </c>
      <c r="AK1472" s="10"/>
      <c r="AL1472" s="10"/>
    </row>
    <row r="1473" spans="1:38" ht="56.25" hidden="1">
      <c r="A1473" s="1">
        <f t="shared" si="145"/>
        <v>0</v>
      </c>
      <c r="B1473" s="2" t="s">
        <v>4073</v>
      </c>
      <c r="C1473" s="3" t="s">
        <v>4074</v>
      </c>
      <c r="D1473" s="15" t="s">
        <v>11795</v>
      </c>
      <c r="E1473" s="4" t="s">
        <v>4073</v>
      </c>
      <c r="F1473" s="37" t="s">
        <v>4074</v>
      </c>
      <c r="G1473" s="38">
        <v>0</v>
      </c>
      <c r="H1473" s="38">
        <v>0</v>
      </c>
      <c r="I1473" s="15"/>
      <c r="J1473" s="494">
        <v>20411030813</v>
      </c>
      <c r="L1473" s="523" t="s">
        <v>3755</v>
      </c>
      <c r="M1473" s="523" t="s">
        <v>607</v>
      </c>
      <c r="N1473" s="518" t="s">
        <v>3756</v>
      </c>
      <c r="O1473" s="523">
        <v>2</v>
      </c>
      <c r="P1473" s="523" t="s">
        <v>693</v>
      </c>
      <c r="Q1473" s="523" t="s">
        <v>1229</v>
      </c>
      <c r="R1473" s="523" t="s">
        <v>671</v>
      </c>
      <c r="S1473" s="523" t="s">
        <v>766</v>
      </c>
      <c r="T1473" s="518" t="s">
        <v>4050</v>
      </c>
      <c r="U1473" s="38">
        <v>0</v>
      </c>
      <c r="V1473" s="15" t="str">
        <f t="shared" si="144"/>
        <v/>
      </c>
      <c r="W1473" s="10"/>
      <c r="X1473" s="10"/>
      <c r="Y1473" s="10"/>
      <c r="Z1473" s="10"/>
      <c r="AA1473" s="10"/>
      <c r="AB1473" s="10"/>
      <c r="AC1473" s="9"/>
      <c r="AD1473" s="523" t="e">
        <v>#N/A</v>
      </c>
      <c r="AE1473" s="523" t="e">
        <v>#N/A</v>
      </c>
      <c r="AF1473" s="523" t="e">
        <v>#N/A</v>
      </c>
      <c r="AG1473" s="524" t="e">
        <v>#N/A</v>
      </c>
      <c r="AH1473" s="9"/>
      <c r="AI1473" s="10"/>
      <c r="AJ1473" s="9">
        <f t="shared" si="146"/>
        <v>0</v>
      </c>
      <c r="AK1473" s="10"/>
      <c r="AL1473" s="10"/>
    </row>
    <row r="1474" spans="1:38" ht="56.25" hidden="1">
      <c r="A1474" s="1">
        <f t="shared" si="145"/>
        <v>0</v>
      </c>
      <c r="B1474" s="2" t="s">
        <v>4075</v>
      </c>
      <c r="C1474" s="3" t="s">
        <v>4076</v>
      </c>
      <c r="D1474" s="15" t="s">
        <v>11795</v>
      </c>
      <c r="E1474" s="4" t="s">
        <v>4075</v>
      </c>
      <c r="F1474" s="37" t="s">
        <v>4076</v>
      </c>
      <c r="G1474" s="38">
        <v>0</v>
      </c>
      <c r="H1474" s="38">
        <v>0</v>
      </c>
      <c r="I1474" s="15"/>
      <c r="J1474" s="494">
        <v>20411030814</v>
      </c>
      <c r="L1474" s="523" t="s">
        <v>3755</v>
      </c>
      <c r="M1474" s="523" t="s">
        <v>607</v>
      </c>
      <c r="N1474" s="518" t="s">
        <v>3756</v>
      </c>
      <c r="O1474" s="523">
        <v>2</v>
      </c>
      <c r="P1474" s="523" t="s">
        <v>693</v>
      </c>
      <c r="Q1474" s="523" t="s">
        <v>1229</v>
      </c>
      <c r="R1474" s="523" t="s">
        <v>671</v>
      </c>
      <c r="S1474" s="523" t="s">
        <v>766</v>
      </c>
      <c r="T1474" s="518" t="s">
        <v>4050</v>
      </c>
      <c r="U1474" s="38">
        <v>0</v>
      </c>
      <c r="V1474" s="15" t="str">
        <f t="shared" si="144"/>
        <v/>
      </c>
      <c r="W1474" s="10"/>
      <c r="X1474" s="10"/>
      <c r="Y1474" s="10"/>
      <c r="Z1474" s="10"/>
      <c r="AA1474" s="10"/>
      <c r="AB1474" s="10"/>
      <c r="AC1474" s="9"/>
      <c r="AD1474" s="523" t="e">
        <v>#N/A</v>
      </c>
      <c r="AE1474" s="523" t="e">
        <v>#N/A</v>
      </c>
      <c r="AF1474" s="523" t="e">
        <v>#N/A</v>
      </c>
      <c r="AG1474" s="524" t="e">
        <v>#N/A</v>
      </c>
      <c r="AH1474" s="9"/>
      <c r="AI1474" s="10"/>
      <c r="AJ1474" s="9">
        <f t="shared" si="146"/>
        <v>0</v>
      </c>
      <c r="AK1474" s="10"/>
      <c r="AL1474" s="10"/>
    </row>
    <row r="1475" spans="1:38" ht="56.25" hidden="1">
      <c r="A1475" s="1">
        <f t="shared" si="145"/>
        <v>0</v>
      </c>
      <c r="B1475" s="2" t="s">
        <v>4077</v>
      </c>
      <c r="C1475" s="3" t="s">
        <v>4078</v>
      </c>
      <c r="D1475" s="15" t="s">
        <v>11795</v>
      </c>
      <c r="E1475" s="4" t="s">
        <v>4077</v>
      </c>
      <c r="F1475" s="37" t="s">
        <v>4078</v>
      </c>
      <c r="G1475" s="38">
        <v>0</v>
      </c>
      <c r="H1475" s="38">
        <v>0</v>
      </c>
      <c r="I1475" s="15"/>
      <c r="J1475" s="494">
        <v>20411030815</v>
      </c>
      <c r="L1475" s="523" t="s">
        <v>3755</v>
      </c>
      <c r="M1475" s="523" t="s">
        <v>607</v>
      </c>
      <c r="N1475" s="518" t="s">
        <v>3756</v>
      </c>
      <c r="O1475" s="523">
        <v>2</v>
      </c>
      <c r="P1475" s="523" t="s">
        <v>693</v>
      </c>
      <c r="Q1475" s="523" t="s">
        <v>1229</v>
      </c>
      <c r="R1475" s="523" t="s">
        <v>671</v>
      </c>
      <c r="S1475" s="523" t="s">
        <v>766</v>
      </c>
      <c r="T1475" s="518" t="s">
        <v>4050</v>
      </c>
      <c r="U1475" s="38">
        <v>0</v>
      </c>
      <c r="V1475" s="15" t="str">
        <f t="shared" ref="V1475:V1538" si="147">CONCATENATE(W1475,X1475,Y1475,Z1475,AA1475)</f>
        <v/>
      </c>
      <c r="W1475" s="10"/>
      <c r="X1475" s="10"/>
      <c r="Y1475" s="10"/>
      <c r="Z1475" s="10"/>
      <c r="AA1475" s="10"/>
      <c r="AB1475" s="10"/>
      <c r="AC1475" s="9"/>
      <c r="AD1475" s="523" t="e">
        <v>#N/A</v>
      </c>
      <c r="AE1475" s="523" t="e">
        <v>#N/A</v>
      </c>
      <c r="AF1475" s="523" t="e">
        <v>#N/A</v>
      </c>
      <c r="AG1475" s="524" t="e">
        <v>#N/A</v>
      </c>
      <c r="AH1475" s="9"/>
      <c r="AI1475" s="10"/>
      <c r="AJ1475" s="9">
        <f t="shared" si="146"/>
        <v>0</v>
      </c>
      <c r="AK1475" s="10"/>
      <c r="AL1475" s="10"/>
    </row>
    <row r="1476" spans="1:38" ht="56.25" hidden="1">
      <c r="A1476" s="1">
        <f t="shared" si="145"/>
        <v>0</v>
      </c>
      <c r="B1476" s="2" t="s">
        <v>4079</v>
      </c>
      <c r="C1476" s="3" t="s">
        <v>4080</v>
      </c>
      <c r="D1476" s="15" t="s">
        <v>11795</v>
      </c>
      <c r="E1476" s="4" t="s">
        <v>4079</v>
      </c>
      <c r="F1476" s="37" t="s">
        <v>4080</v>
      </c>
      <c r="G1476" s="38">
        <v>0</v>
      </c>
      <c r="H1476" s="38">
        <v>0</v>
      </c>
      <c r="I1476" s="15"/>
      <c r="J1476" s="494">
        <v>20411030816</v>
      </c>
      <c r="L1476" s="523" t="s">
        <v>3755</v>
      </c>
      <c r="M1476" s="523" t="s">
        <v>607</v>
      </c>
      <c r="N1476" s="518" t="s">
        <v>3756</v>
      </c>
      <c r="O1476" s="523">
        <v>2</v>
      </c>
      <c r="P1476" s="523" t="s">
        <v>693</v>
      </c>
      <c r="Q1476" s="523" t="s">
        <v>1229</v>
      </c>
      <c r="R1476" s="523" t="s">
        <v>671</v>
      </c>
      <c r="S1476" s="523" t="s">
        <v>766</v>
      </c>
      <c r="T1476" s="518" t="s">
        <v>4050</v>
      </c>
      <c r="U1476" s="38">
        <v>0</v>
      </c>
      <c r="V1476" s="15" t="str">
        <f t="shared" si="147"/>
        <v/>
      </c>
      <c r="W1476" s="10"/>
      <c r="X1476" s="10"/>
      <c r="Y1476" s="10"/>
      <c r="Z1476" s="10"/>
      <c r="AA1476" s="10"/>
      <c r="AB1476" s="10"/>
      <c r="AC1476" s="9"/>
      <c r="AD1476" s="523" t="e">
        <v>#N/A</v>
      </c>
      <c r="AE1476" s="523" t="e">
        <v>#N/A</v>
      </c>
      <c r="AF1476" s="523" t="e">
        <v>#N/A</v>
      </c>
      <c r="AG1476" s="524" t="e">
        <v>#N/A</v>
      </c>
      <c r="AH1476" s="9"/>
      <c r="AI1476" s="10"/>
      <c r="AJ1476" s="9">
        <f t="shared" si="146"/>
        <v>0</v>
      </c>
      <c r="AK1476" s="10"/>
      <c r="AL1476" s="10"/>
    </row>
    <row r="1477" spans="1:38" ht="56.25" hidden="1">
      <c r="A1477" s="1">
        <f t="shared" si="145"/>
        <v>0</v>
      </c>
      <c r="B1477" s="2" t="s">
        <v>4081</v>
      </c>
      <c r="C1477" s="3" t="s">
        <v>4082</v>
      </c>
      <c r="D1477" s="15" t="s">
        <v>11795</v>
      </c>
      <c r="E1477" s="4" t="s">
        <v>4081</v>
      </c>
      <c r="F1477" s="37" t="s">
        <v>4082</v>
      </c>
      <c r="G1477" s="38">
        <v>0</v>
      </c>
      <c r="H1477" s="38">
        <v>0</v>
      </c>
      <c r="I1477" s="15"/>
      <c r="J1477" s="494">
        <v>20411030817</v>
      </c>
      <c r="L1477" s="523" t="s">
        <v>3755</v>
      </c>
      <c r="M1477" s="523" t="s">
        <v>607</v>
      </c>
      <c r="N1477" s="518" t="s">
        <v>3756</v>
      </c>
      <c r="O1477" s="523">
        <v>2</v>
      </c>
      <c r="P1477" s="523" t="s">
        <v>693</v>
      </c>
      <c r="Q1477" s="523" t="s">
        <v>1229</v>
      </c>
      <c r="R1477" s="523" t="s">
        <v>671</v>
      </c>
      <c r="S1477" s="523" t="s">
        <v>766</v>
      </c>
      <c r="T1477" s="518" t="s">
        <v>4050</v>
      </c>
      <c r="U1477" s="38">
        <v>0</v>
      </c>
      <c r="V1477" s="15" t="str">
        <f t="shared" si="147"/>
        <v/>
      </c>
      <c r="W1477" s="10"/>
      <c r="X1477" s="10"/>
      <c r="Y1477" s="10"/>
      <c r="Z1477" s="10"/>
      <c r="AA1477" s="10"/>
      <c r="AB1477" s="10"/>
      <c r="AC1477" s="9"/>
      <c r="AD1477" s="523" t="e">
        <v>#N/A</v>
      </c>
      <c r="AE1477" s="523" t="e">
        <v>#N/A</v>
      </c>
      <c r="AF1477" s="523" t="e">
        <v>#N/A</v>
      </c>
      <c r="AG1477" s="524" t="e">
        <v>#N/A</v>
      </c>
      <c r="AH1477" s="9"/>
      <c r="AI1477" s="10"/>
      <c r="AJ1477" s="9">
        <f t="shared" si="146"/>
        <v>0</v>
      </c>
      <c r="AK1477" s="10"/>
      <c r="AL1477" s="10"/>
    </row>
    <row r="1478" spans="1:38" ht="56.25" hidden="1">
      <c r="A1478" s="1">
        <f t="shared" si="145"/>
        <v>0</v>
      </c>
      <c r="B1478" s="2" t="s">
        <v>4083</v>
      </c>
      <c r="C1478" s="3" t="s">
        <v>4084</v>
      </c>
      <c r="D1478" s="15" t="s">
        <v>11795</v>
      </c>
      <c r="E1478" s="4" t="s">
        <v>4083</v>
      </c>
      <c r="F1478" s="37" t="s">
        <v>4084</v>
      </c>
      <c r="G1478" s="38">
        <v>0</v>
      </c>
      <c r="H1478" s="38">
        <v>0</v>
      </c>
      <c r="I1478" s="15"/>
      <c r="J1478" s="494">
        <v>20411030818</v>
      </c>
      <c r="L1478" s="523" t="s">
        <v>3755</v>
      </c>
      <c r="M1478" s="523" t="s">
        <v>607</v>
      </c>
      <c r="N1478" s="518" t="s">
        <v>3756</v>
      </c>
      <c r="O1478" s="523">
        <v>2</v>
      </c>
      <c r="P1478" s="523" t="s">
        <v>693</v>
      </c>
      <c r="Q1478" s="523" t="s">
        <v>1229</v>
      </c>
      <c r="R1478" s="523" t="s">
        <v>671</v>
      </c>
      <c r="S1478" s="523" t="s">
        <v>766</v>
      </c>
      <c r="T1478" s="518" t="s">
        <v>4050</v>
      </c>
      <c r="U1478" s="38">
        <v>0</v>
      </c>
      <c r="V1478" s="15" t="str">
        <f t="shared" si="147"/>
        <v/>
      </c>
      <c r="W1478" s="10"/>
      <c r="X1478" s="10"/>
      <c r="Y1478" s="10"/>
      <c r="Z1478" s="10"/>
      <c r="AA1478" s="10"/>
      <c r="AB1478" s="10"/>
      <c r="AC1478" s="9"/>
      <c r="AD1478" s="523" t="e">
        <v>#N/A</v>
      </c>
      <c r="AE1478" s="523" t="e">
        <v>#N/A</v>
      </c>
      <c r="AF1478" s="523" t="e">
        <v>#N/A</v>
      </c>
      <c r="AG1478" s="524" t="e">
        <v>#N/A</v>
      </c>
      <c r="AH1478" s="9"/>
      <c r="AI1478" s="10"/>
      <c r="AJ1478" s="9">
        <f t="shared" si="146"/>
        <v>0</v>
      </c>
      <c r="AK1478" s="10"/>
      <c r="AL1478" s="10"/>
    </row>
    <row r="1479" spans="1:38" ht="56.25" hidden="1">
      <c r="A1479" s="1">
        <f t="shared" si="145"/>
        <v>0</v>
      </c>
      <c r="B1479" s="2" t="s">
        <v>4085</v>
      </c>
      <c r="C1479" s="3" t="s">
        <v>4086</v>
      </c>
      <c r="D1479" s="15" t="s">
        <v>11795</v>
      </c>
      <c r="E1479" s="4" t="s">
        <v>4085</v>
      </c>
      <c r="F1479" s="37" t="s">
        <v>4086</v>
      </c>
      <c r="G1479" s="38">
        <v>0</v>
      </c>
      <c r="H1479" s="38">
        <v>0</v>
      </c>
      <c r="I1479" s="15"/>
      <c r="J1479" s="494">
        <v>20411030819</v>
      </c>
      <c r="L1479" s="523" t="s">
        <v>3755</v>
      </c>
      <c r="M1479" s="523" t="s">
        <v>607</v>
      </c>
      <c r="N1479" s="518" t="s">
        <v>3756</v>
      </c>
      <c r="O1479" s="523">
        <v>2</v>
      </c>
      <c r="P1479" s="523" t="s">
        <v>693</v>
      </c>
      <c r="Q1479" s="523" t="s">
        <v>1229</v>
      </c>
      <c r="R1479" s="523" t="s">
        <v>671</v>
      </c>
      <c r="S1479" s="523" t="s">
        <v>766</v>
      </c>
      <c r="T1479" s="518" t="s">
        <v>4050</v>
      </c>
      <c r="U1479" s="38">
        <v>0</v>
      </c>
      <c r="V1479" s="15" t="str">
        <f t="shared" si="147"/>
        <v/>
      </c>
      <c r="W1479" s="10"/>
      <c r="X1479" s="10"/>
      <c r="Y1479" s="10"/>
      <c r="Z1479" s="10"/>
      <c r="AA1479" s="10"/>
      <c r="AB1479" s="10"/>
      <c r="AC1479" s="9"/>
      <c r="AD1479" s="523" t="e">
        <v>#N/A</v>
      </c>
      <c r="AE1479" s="523" t="e">
        <v>#N/A</v>
      </c>
      <c r="AF1479" s="523" t="e">
        <v>#N/A</v>
      </c>
      <c r="AG1479" s="524" t="e">
        <v>#N/A</v>
      </c>
      <c r="AH1479" s="9"/>
      <c r="AI1479" s="10"/>
      <c r="AJ1479" s="9">
        <f t="shared" si="146"/>
        <v>0</v>
      </c>
      <c r="AK1479" s="10"/>
      <c r="AL1479" s="10"/>
    </row>
    <row r="1480" spans="1:38" ht="56.25" hidden="1">
      <c r="A1480" s="1">
        <f t="shared" si="145"/>
        <v>0</v>
      </c>
      <c r="B1480" s="2" t="s">
        <v>4087</v>
      </c>
      <c r="C1480" s="3" t="s">
        <v>4088</v>
      </c>
      <c r="D1480" s="15" t="s">
        <v>11795</v>
      </c>
      <c r="E1480" s="4" t="s">
        <v>4087</v>
      </c>
      <c r="F1480" s="37" t="s">
        <v>4088</v>
      </c>
      <c r="G1480" s="38">
        <v>0</v>
      </c>
      <c r="H1480" s="38">
        <v>0</v>
      </c>
      <c r="I1480" s="15"/>
      <c r="J1480" s="494">
        <v>20411030820</v>
      </c>
      <c r="L1480" s="523" t="s">
        <v>3755</v>
      </c>
      <c r="M1480" s="523" t="s">
        <v>607</v>
      </c>
      <c r="N1480" s="518" t="s">
        <v>3756</v>
      </c>
      <c r="O1480" s="523">
        <v>2</v>
      </c>
      <c r="P1480" s="523" t="s">
        <v>693</v>
      </c>
      <c r="Q1480" s="523" t="s">
        <v>1229</v>
      </c>
      <c r="R1480" s="523" t="s">
        <v>671</v>
      </c>
      <c r="S1480" s="523" t="s">
        <v>766</v>
      </c>
      <c r="T1480" s="518" t="s">
        <v>4050</v>
      </c>
      <c r="U1480" s="38">
        <v>0</v>
      </c>
      <c r="V1480" s="15" t="str">
        <f t="shared" si="147"/>
        <v/>
      </c>
      <c r="W1480" s="10"/>
      <c r="X1480" s="10"/>
      <c r="Y1480" s="10"/>
      <c r="Z1480" s="10"/>
      <c r="AA1480" s="10"/>
      <c r="AB1480" s="10"/>
      <c r="AC1480" s="9"/>
      <c r="AD1480" s="523" t="e">
        <v>#N/A</v>
      </c>
      <c r="AE1480" s="523" t="e">
        <v>#N/A</v>
      </c>
      <c r="AF1480" s="523" t="e">
        <v>#N/A</v>
      </c>
      <c r="AG1480" s="524" t="e">
        <v>#N/A</v>
      </c>
      <c r="AH1480" s="9"/>
      <c r="AI1480" s="10"/>
      <c r="AJ1480" s="9">
        <f t="shared" si="146"/>
        <v>0</v>
      </c>
      <c r="AK1480" s="10"/>
      <c r="AL1480" s="10"/>
    </row>
    <row r="1481" spans="1:38" ht="45" hidden="1">
      <c r="A1481" s="1">
        <f t="shared" si="145"/>
        <v>0</v>
      </c>
      <c r="B1481" s="2" t="s">
        <v>4089</v>
      </c>
      <c r="C1481" s="3" t="s">
        <v>4090</v>
      </c>
      <c r="D1481" s="15" t="s">
        <v>11796</v>
      </c>
      <c r="E1481" s="4" t="s">
        <v>4089</v>
      </c>
      <c r="F1481" s="37" t="s">
        <v>4090</v>
      </c>
      <c r="G1481" s="38">
        <v>0</v>
      </c>
      <c r="H1481" s="38">
        <v>0</v>
      </c>
      <c r="I1481" s="15"/>
      <c r="J1481" s="494">
        <v>20411030901</v>
      </c>
      <c r="K1481" s="517"/>
      <c r="L1481" s="517" t="s">
        <v>3755</v>
      </c>
      <c r="M1481" s="517" t="s">
        <v>607</v>
      </c>
      <c r="N1481" s="518" t="s">
        <v>3756</v>
      </c>
      <c r="O1481" s="517">
        <v>2</v>
      </c>
      <c r="P1481" s="517" t="s">
        <v>693</v>
      </c>
      <c r="Q1481" s="517" t="s">
        <v>1229</v>
      </c>
      <c r="R1481" s="517" t="s">
        <v>671</v>
      </c>
      <c r="S1481" s="517" t="s">
        <v>779</v>
      </c>
      <c r="T1481" s="518" t="s">
        <v>4091</v>
      </c>
      <c r="U1481" s="38">
        <v>0</v>
      </c>
      <c r="V1481" s="15" t="str">
        <f t="shared" si="147"/>
        <v>204110309</v>
      </c>
      <c r="W1481" s="39">
        <v>2</v>
      </c>
      <c r="X1481" s="50" t="s">
        <v>693</v>
      </c>
      <c r="Y1481" s="50" t="s">
        <v>1229</v>
      </c>
      <c r="Z1481" s="50" t="s">
        <v>671</v>
      </c>
      <c r="AA1481" s="40" t="s">
        <v>779</v>
      </c>
      <c r="AB1481" s="42" t="s">
        <v>4091</v>
      </c>
      <c r="AC1481" s="519">
        <f>SUM(H1481:H1500)</f>
        <v>0</v>
      </c>
      <c r="AD1481" s="517">
        <v>0</v>
      </c>
      <c r="AE1481" s="517" t="s">
        <v>3755</v>
      </c>
      <c r="AF1481" s="517" t="s">
        <v>607</v>
      </c>
      <c r="AG1481" s="518" t="s">
        <v>3756</v>
      </c>
      <c r="AH1481" s="67">
        <f>AC1481</f>
        <v>0</v>
      </c>
      <c r="AI1481" s="10"/>
      <c r="AJ1481" s="9">
        <f t="shared" si="146"/>
        <v>0</v>
      </c>
      <c r="AK1481" s="10"/>
      <c r="AL1481" s="10"/>
    </row>
    <row r="1482" spans="1:38" ht="45" hidden="1">
      <c r="A1482" s="1">
        <f t="shared" si="145"/>
        <v>0</v>
      </c>
      <c r="B1482" s="2" t="s">
        <v>4092</v>
      </c>
      <c r="C1482" s="3" t="s">
        <v>4093</v>
      </c>
      <c r="D1482" s="15" t="s">
        <v>11796</v>
      </c>
      <c r="E1482" s="4" t="s">
        <v>4092</v>
      </c>
      <c r="F1482" s="37" t="s">
        <v>4093</v>
      </c>
      <c r="G1482" s="38">
        <v>0</v>
      </c>
      <c r="H1482" s="38">
        <v>0</v>
      </c>
      <c r="I1482" s="15"/>
      <c r="J1482" s="494">
        <v>20411030902</v>
      </c>
      <c r="L1482" s="523" t="s">
        <v>3755</v>
      </c>
      <c r="M1482" s="523" t="s">
        <v>607</v>
      </c>
      <c r="N1482" s="518" t="s">
        <v>3756</v>
      </c>
      <c r="O1482" s="523">
        <v>2</v>
      </c>
      <c r="P1482" s="523" t="s">
        <v>693</v>
      </c>
      <c r="Q1482" s="523" t="s">
        <v>1229</v>
      </c>
      <c r="R1482" s="523" t="s">
        <v>671</v>
      </c>
      <c r="S1482" s="523" t="s">
        <v>779</v>
      </c>
      <c r="T1482" s="518" t="s">
        <v>4091</v>
      </c>
      <c r="U1482" s="38">
        <v>0</v>
      </c>
      <c r="V1482" s="15" t="str">
        <f t="shared" si="147"/>
        <v/>
      </c>
      <c r="W1482" s="10"/>
      <c r="X1482" s="10"/>
      <c r="Y1482" s="10"/>
      <c r="Z1482" s="10"/>
      <c r="AA1482" s="10"/>
      <c r="AB1482" s="10"/>
      <c r="AC1482" s="9"/>
      <c r="AD1482" s="523" t="e">
        <v>#N/A</v>
      </c>
      <c r="AE1482" s="523" t="e">
        <v>#N/A</v>
      </c>
      <c r="AF1482" s="523" t="e">
        <v>#N/A</v>
      </c>
      <c r="AG1482" s="524" t="e">
        <v>#N/A</v>
      </c>
      <c r="AH1482" s="9"/>
      <c r="AI1482" s="10"/>
      <c r="AJ1482" s="9">
        <f t="shared" si="146"/>
        <v>0</v>
      </c>
      <c r="AK1482" s="10"/>
      <c r="AL1482" s="10"/>
    </row>
    <row r="1483" spans="1:38" ht="45" hidden="1">
      <c r="A1483" s="1">
        <f t="shared" si="145"/>
        <v>0</v>
      </c>
      <c r="B1483" s="2" t="s">
        <v>4094</v>
      </c>
      <c r="C1483" s="3" t="s">
        <v>4095</v>
      </c>
      <c r="D1483" s="15" t="s">
        <v>11796</v>
      </c>
      <c r="E1483" s="4" t="s">
        <v>4094</v>
      </c>
      <c r="F1483" s="37" t="s">
        <v>4095</v>
      </c>
      <c r="G1483" s="38">
        <v>0</v>
      </c>
      <c r="H1483" s="38">
        <v>0</v>
      </c>
      <c r="I1483" s="15"/>
      <c r="J1483" s="494">
        <v>20411030903</v>
      </c>
      <c r="L1483" s="523" t="s">
        <v>3755</v>
      </c>
      <c r="M1483" s="523" t="s">
        <v>607</v>
      </c>
      <c r="N1483" s="518" t="s">
        <v>3756</v>
      </c>
      <c r="O1483" s="523">
        <v>2</v>
      </c>
      <c r="P1483" s="523" t="s">
        <v>693</v>
      </c>
      <c r="Q1483" s="523" t="s">
        <v>1229</v>
      </c>
      <c r="R1483" s="523" t="s">
        <v>671</v>
      </c>
      <c r="S1483" s="523" t="s">
        <v>779</v>
      </c>
      <c r="T1483" s="518" t="s">
        <v>4091</v>
      </c>
      <c r="U1483" s="38">
        <v>0</v>
      </c>
      <c r="V1483" s="15" t="str">
        <f t="shared" si="147"/>
        <v/>
      </c>
      <c r="W1483" s="10"/>
      <c r="X1483" s="10"/>
      <c r="Y1483" s="10"/>
      <c r="Z1483" s="10"/>
      <c r="AA1483" s="10"/>
      <c r="AB1483" s="10"/>
      <c r="AC1483" s="9"/>
      <c r="AD1483" s="523" t="e">
        <v>#N/A</v>
      </c>
      <c r="AE1483" s="523" t="e">
        <v>#N/A</v>
      </c>
      <c r="AF1483" s="523" t="e">
        <v>#N/A</v>
      </c>
      <c r="AG1483" s="524" t="e">
        <v>#N/A</v>
      </c>
      <c r="AH1483" s="9"/>
      <c r="AI1483" s="10"/>
      <c r="AJ1483" s="9">
        <f t="shared" si="146"/>
        <v>0</v>
      </c>
      <c r="AK1483" s="10"/>
      <c r="AL1483" s="10"/>
    </row>
    <row r="1484" spans="1:38" ht="45" hidden="1">
      <c r="A1484" s="1">
        <f t="shared" si="145"/>
        <v>0</v>
      </c>
      <c r="B1484" s="2" t="s">
        <v>4096</v>
      </c>
      <c r="C1484" s="3" t="s">
        <v>4097</v>
      </c>
      <c r="D1484" s="15" t="s">
        <v>11796</v>
      </c>
      <c r="E1484" s="4" t="s">
        <v>4096</v>
      </c>
      <c r="F1484" s="37" t="s">
        <v>4097</v>
      </c>
      <c r="G1484" s="38">
        <v>0</v>
      </c>
      <c r="H1484" s="38">
        <v>0</v>
      </c>
      <c r="I1484" s="15"/>
      <c r="J1484" s="494">
        <v>20411030904</v>
      </c>
      <c r="L1484" s="523" t="s">
        <v>3755</v>
      </c>
      <c r="M1484" s="523" t="s">
        <v>607</v>
      </c>
      <c r="N1484" s="518" t="s">
        <v>3756</v>
      </c>
      <c r="O1484" s="523">
        <v>2</v>
      </c>
      <c r="P1484" s="523" t="s">
        <v>693</v>
      </c>
      <c r="Q1484" s="523" t="s">
        <v>1229</v>
      </c>
      <c r="R1484" s="523" t="s">
        <v>671</v>
      </c>
      <c r="S1484" s="523" t="s">
        <v>779</v>
      </c>
      <c r="T1484" s="518" t="s">
        <v>4091</v>
      </c>
      <c r="U1484" s="38">
        <v>0</v>
      </c>
      <c r="V1484" s="15" t="str">
        <f t="shared" si="147"/>
        <v/>
      </c>
      <c r="W1484" s="10"/>
      <c r="X1484" s="10"/>
      <c r="Y1484" s="10"/>
      <c r="Z1484" s="10"/>
      <c r="AA1484" s="10"/>
      <c r="AB1484" s="10"/>
      <c r="AC1484" s="9"/>
      <c r="AD1484" s="523" t="e">
        <v>#N/A</v>
      </c>
      <c r="AE1484" s="523" t="e">
        <v>#N/A</v>
      </c>
      <c r="AF1484" s="523" t="e">
        <v>#N/A</v>
      </c>
      <c r="AG1484" s="524" t="e">
        <v>#N/A</v>
      </c>
      <c r="AH1484" s="9"/>
      <c r="AI1484" s="10"/>
      <c r="AJ1484" s="9">
        <f t="shared" si="146"/>
        <v>0</v>
      </c>
      <c r="AK1484" s="10"/>
      <c r="AL1484" s="10"/>
    </row>
    <row r="1485" spans="1:38" ht="45" hidden="1">
      <c r="A1485" s="1">
        <f t="shared" si="145"/>
        <v>0</v>
      </c>
      <c r="B1485" s="2" t="s">
        <v>4098</v>
      </c>
      <c r="C1485" s="3" t="s">
        <v>4099</v>
      </c>
      <c r="D1485" s="15" t="s">
        <v>11796</v>
      </c>
      <c r="E1485" s="4" t="s">
        <v>4098</v>
      </c>
      <c r="F1485" s="37" t="s">
        <v>4099</v>
      </c>
      <c r="G1485" s="38">
        <v>0</v>
      </c>
      <c r="H1485" s="38">
        <v>0</v>
      </c>
      <c r="I1485" s="15"/>
      <c r="J1485" s="494">
        <v>20411030905</v>
      </c>
      <c r="L1485" s="523" t="s">
        <v>3755</v>
      </c>
      <c r="M1485" s="523" t="s">
        <v>607</v>
      </c>
      <c r="N1485" s="518" t="s">
        <v>3756</v>
      </c>
      <c r="O1485" s="523">
        <v>2</v>
      </c>
      <c r="P1485" s="523" t="s">
        <v>693</v>
      </c>
      <c r="Q1485" s="523" t="s">
        <v>1229</v>
      </c>
      <c r="R1485" s="523" t="s">
        <v>671</v>
      </c>
      <c r="S1485" s="523" t="s">
        <v>779</v>
      </c>
      <c r="T1485" s="518" t="s">
        <v>4091</v>
      </c>
      <c r="U1485" s="38">
        <v>0</v>
      </c>
      <c r="V1485" s="15" t="str">
        <f t="shared" si="147"/>
        <v/>
      </c>
      <c r="W1485" s="10"/>
      <c r="X1485" s="10"/>
      <c r="Y1485" s="10"/>
      <c r="Z1485" s="10"/>
      <c r="AA1485" s="10"/>
      <c r="AB1485" s="10"/>
      <c r="AC1485" s="9"/>
      <c r="AD1485" s="523" t="e">
        <v>#N/A</v>
      </c>
      <c r="AE1485" s="523" t="e">
        <v>#N/A</v>
      </c>
      <c r="AF1485" s="523" t="e">
        <v>#N/A</v>
      </c>
      <c r="AG1485" s="524" t="e">
        <v>#N/A</v>
      </c>
      <c r="AH1485" s="9"/>
      <c r="AI1485" s="10"/>
      <c r="AJ1485" s="9">
        <f t="shared" si="146"/>
        <v>0</v>
      </c>
      <c r="AK1485" s="10"/>
      <c r="AL1485" s="10"/>
    </row>
    <row r="1486" spans="1:38" ht="45" hidden="1">
      <c r="A1486" s="1">
        <f t="shared" si="145"/>
        <v>0</v>
      </c>
      <c r="B1486" s="2" t="s">
        <v>4100</v>
      </c>
      <c r="C1486" s="3" t="s">
        <v>4101</v>
      </c>
      <c r="D1486" s="15" t="s">
        <v>11796</v>
      </c>
      <c r="E1486" s="4" t="s">
        <v>4100</v>
      </c>
      <c r="F1486" s="37" t="s">
        <v>4101</v>
      </c>
      <c r="G1486" s="38">
        <v>0</v>
      </c>
      <c r="H1486" s="38">
        <v>0</v>
      </c>
      <c r="I1486" s="15"/>
      <c r="J1486" s="494">
        <v>20411030906</v>
      </c>
      <c r="L1486" s="523" t="s">
        <v>3755</v>
      </c>
      <c r="M1486" s="523" t="s">
        <v>607</v>
      </c>
      <c r="N1486" s="518" t="s">
        <v>3756</v>
      </c>
      <c r="O1486" s="523">
        <v>2</v>
      </c>
      <c r="P1486" s="523" t="s">
        <v>693</v>
      </c>
      <c r="Q1486" s="523" t="s">
        <v>1229</v>
      </c>
      <c r="R1486" s="523" t="s">
        <v>671</v>
      </c>
      <c r="S1486" s="523" t="s">
        <v>779</v>
      </c>
      <c r="T1486" s="518" t="s">
        <v>4091</v>
      </c>
      <c r="U1486" s="38">
        <v>0</v>
      </c>
      <c r="V1486" s="15" t="str">
        <f t="shared" si="147"/>
        <v/>
      </c>
      <c r="W1486" s="10"/>
      <c r="X1486" s="10"/>
      <c r="Y1486" s="10"/>
      <c r="Z1486" s="10"/>
      <c r="AA1486" s="10"/>
      <c r="AB1486" s="10"/>
      <c r="AC1486" s="9"/>
      <c r="AD1486" s="523" t="e">
        <v>#N/A</v>
      </c>
      <c r="AE1486" s="523" t="e">
        <v>#N/A</v>
      </c>
      <c r="AF1486" s="523" t="e">
        <v>#N/A</v>
      </c>
      <c r="AG1486" s="524" t="e">
        <v>#N/A</v>
      </c>
      <c r="AH1486" s="9"/>
      <c r="AI1486" s="10"/>
      <c r="AJ1486" s="9">
        <f t="shared" si="146"/>
        <v>0</v>
      </c>
      <c r="AK1486" s="10"/>
      <c r="AL1486" s="10"/>
    </row>
    <row r="1487" spans="1:38" ht="45" hidden="1">
      <c r="A1487" s="1">
        <f t="shared" si="145"/>
        <v>0</v>
      </c>
      <c r="B1487" s="2" t="s">
        <v>4102</v>
      </c>
      <c r="C1487" s="3" t="s">
        <v>4103</v>
      </c>
      <c r="D1487" s="15" t="s">
        <v>11796</v>
      </c>
      <c r="E1487" s="4" t="s">
        <v>4102</v>
      </c>
      <c r="F1487" s="37" t="s">
        <v>4103</v>
      </c>
      <c r="G1487" s="38">
        <v>0</v>
      </c>
      <c r="H1487" s="38">
        <v>0</v>
      </c>
      <c r="I1487" s="15"/>
      <c r="J1487" s="494">
        <v>20411030907</v>
      </c>
      <c r="L1487" s="523" t="s">
        <v>3755</v>
      </c>
      <c r="M1487" s="523" t="s">
        <v>607</v>
      </c>
      <c r="N1487" s="518" t="s">
        <v>3756</v>
      </c>
      <c r="O1487" s="523">
        <v>2</v>
      </c>
      <c r="P1487" s="523" t="s">
        <v>693</v>
      </c>
      <c r="Q1487" s="523" t="s">
        <v>1229</v>
      </c>
      <c r="R1487" s="523" t="s">
        <v>671</v>
      </c>
      <c r="S1487" s="523" t="s">
        <v>779</v>
      </c>
      <c r="T1487" s="518" t="s">
        <v>4091</v>
      </c>
      <c r="U1487" s="38">
        <v>0</v>
      </c>
      <c r="V1487" s="15" t="str">
        <f t="shared" si="147"/>
        <v/>
      </c>
      <c r="W1487" s="10"/>
      <c r="X1487" s="10"/>
      <c r="Y1487" s="10"/>
      <c r="Z1487" s="10"/>
      <c r="AA1487" s="10"/>
      <c r="AB1487" s="10"/>
      <c r="AC1487" s="9"/>
      <c r="AD1487" s="523" t="e">
        <v>#N/A</v>
      </c>
      <c r="AE1487" s="523" t="e">
        <v>#N/A</v>
      </c>
      <c r="AF1487" s="523" t="e">
        <v>#N/A</v>
      </c>
      <c r="AG1487" s="524" t="e">
        <v>#N/A</v>
      </c>
      <c r="AH1487" s="9"/>
      <c r="AI1487" s="10"/>
      <c r="AJ1487" s="9">
        <f t="shared" si="146"/>
        <v>0</v>
      </c>
      <c r="AK1487" s="10"/>
      <c r="AL1487" s="10"/>
    </row>
    <row r="1488" spans="1:38" ht="45" hidden="1">
      <c r="A1488" s="1">
        <f t="shared" si="145"/>
        <v>0</v>
      </c>
      <c r="B1488" s="2" t="s">
        <v>4104</v>
      </c>
      <c r="C1488" s="3" t="s">
        <v>4105</v>
      </c>
      <c r="D1488" s="15" t="s">
        <v>11796</v>
      </c>
      <c r="E1488" s="4" t="s">
        <v>4104</v>
      </c>
      <c r="F1488" s="37" t="s">
        <v>4105</v>
      </c>
      <c r="G1488" s="38">
        <v>0</v>
      </c>
      <c r="H1488" s="38">
        <v>0</v>
      </c>
      <c r="I1488" s="15"/>
      <c r="J1488" s="494">
        <v>20411030908</v>
      </c>
      <c r="L1488" s="523" t="s">
        <v>3755</v>
      </c>
      <c r="M1488" s="523" t="s">
        <v>607</v>
      </c>
      <c r="N1488" s="518" t="s">
        <v>3756</v>
      </c>
      <c r="O1488" s="523">
        <v>2</v>
      </c>
      <c r="P1488" s="523" t="s">
        <v>693</v>
      </c>
      <c r="Q1488" s="523" t="s">
        <v>1229</v>
      </c>
      <c r="R1488" s="523" t="s">
        <v>671</v>
      </c>
      <c r="S1488" s="523" t="s">
        <v>779</v>
      </c>
      <c r="T1488" s="518" t="s">
        <v>4091</v>
      </c>
      <c r="U1488" s="38">
        <v>0</v>
      </c>
      <c r="V1488" s="15" t="str">
        <f t="shared" si="147"/>
        <v/>
      </c>
      <c r="W1488" s="10"/>
      <c r="X1488" s="10"/>
      <c r="Y1488" s="10"/>
      <c r="Z1488" s="10"/>
      <c r="AA1488" s="10"/>
      <c r="AB1488" s="10"/>
      <c r="AC1488" s="9"/>
      <c r="AD1488" s="523" t="e">
        <v>#N/A</v>
      </c>
      <c r="AE1488" s="523" t="e">
        <v>#N/A</v>
      </c>
      <c r="AF1488" s="523" t="e">
        <v>#N/A</v>
      </c>
      <c r="AG1488" s="524" t="e">
        <v>#N/A</v>
      </c>
      <c r="AH1488" s="9"/>
      <c r="AI1488" s="10"/>
      <c r="AJ1488" s="9">
        <f t="shared" si="146"/>
        <v>0</v>
      </c>
      <c r="AK1488" s="10"/>
      <c r="AL1488" s="10"/>
    </row>
    <row r="1489" spans="1:38" ht="45" hidden="1">
      <c r="A1489" s="1">
        <f t="shared" si="145"/>
        <v>0</v>
      </c>
      <c r="B1489" s="2" t="s">
        <v>4106</v>
      </c>
      <c r="C1489" s="3" t="s">
        <v>4107</v>
      </c>
      <c r="D1489" s="15" t="s">
        <v>11796</v>
      </c>
      <c r="E1489" s="4" t="s">
        <v>4106</v>
      </c>
      <c r="F1489" s="37" t="s">
        <v>4107</v>
      </c>
      <c r="G1489" s="38">
        <v>0</v>
      </c>
      <c r="H1489" s="38">
        <v>0</v>
      </c>
      <c r="I1489" s="15"/>
      <c r="J1489" s="494">
        <v>20411030909</v>
      </c>
      <c r="L1489" s="523" t="s">
        <v>3755</v>
      </c>
      <c r="M1489" s="523" t="s">
        <v>607</v>
      </c>
      <c r="N1489" s="518" t="s">
        <v>3756</v>
      </c>
      <c r="O1489" s="523">
        <v>2</v>
      </c>
      <c r="P1489" s="523" t="s">
        <v>693</v>
      </c>
      <c r="Q1489" s="523" t="s">
        <v>1229</v>
      </c>
      <c r="R1489" s="523" t="s">
        <v>671</v>
      </c>
      <c r="S1489" s="523" t="s">
        <v>779</v>
      </c>
      <c r="T1489" s="518" t="s">
        <v>4091</v>
      </c>
      <c r="U1489" s="38">
        <v>0</v>
      </c>
      <c r="V1489" s="15" t="str">
        <f t="shared" si="147"/>
        <v/>
      </c>
      <c r="W1489" s="10"/>
      <c r="X1489" s="10"/>
      <c r="Y1489" s="10"/>
      <c r="Z1489" s="10"/>
      <c r="AA1489" s="10"/>
      <c r="AB1489" s="10"/>
      <c r="AC1489" s="9"/>
      <c r="AD1489" s="523" t="e">
        <v>#N/A</v>
      </c>
      <c r="AE1489" s="523" t="e">
        <v>#N/A</v>
      </c>
      <c r="AF1489" s="523" t="e">
        <v>#N/A</v>
      </c>
      <c r="AG1489" s="524" t="e">
        <v>#N/A</v>
      </c>
      <c r="AH1489" s="9"/>
      <c r="AI1489" s="10"/>
      <c r="AJ1489" s="9">
        <f t="shared" si="146"/>
        <v>0</v>
      </c>
      <c r="AK1489" s="10"/>
      <c r="AL1489" s="10"/>
    </row>
    <row r="1490" spans="1:38" ht="45" hidden="1">
      <c r="A1490" s="1">
        <f t="shared" si="145"/>
        <v>0</v>
      </c>
      <c r="B1490" s="2" t="s">
        <v>4108</v>
      </c>
      <c r="C1490" s="3" t="s">
        <v>4109</v>
      </c>
      <c r="D1490" s="15" t="s">
        <v>11796</v>
      </c>
      <c r="E1490" s="4" t="s">
        <v>4108</v>
      </c>
      <c r="F1490" s="37" t="s">
        <v>4109</v>
      </c>
      <c r="G1490" s="38">
        <v>0</v>
      </c>
      <c r="H1490" s="38">
        <v>0</v>
      </c>
      <c r="I1490" s="15"/>
      <c r="J1490" s="494">
        <v>20411030910</v>
      </c>
      <c r="L1490" s="523" t="s">
        <v>3755</v>
      </c>
      <c r="M1490" s="523" t="s">
        <v>607</v>
      </c>
      <c r="N1490" s="518" t="s">
        <v>3756</v>
      </c>
      <c r="O1490" s="523">
        <v>2</v>
      </c>
      <c r="P1490" s="523" t="s">
        <v>693</v>
      </c>
      <c r="Q1490" s="523" t="s">
        <v>1229</v>
      </c>
      <c r="R1490" s="523" t="s">
        <v>671</v>
      </c>
      <c r="S1490" s="523" t="s">
        <v>779</v>
      </c>
      <c r="T1490" s="518" t="s">
        <v>4091</v>
      </c>
      <c r="U1490" s="38">
        <v>0</v>
      </c>
      <c r="V1490" s="15" t="str">
        <f t="shared" si="147"/>
        <v/>
      </c>
      <c r="W1490" s="10"/>
      <c r="X1490" s="10"/>
      <c r="Y1490" s="10"/>
      <c r="Z1490" s="10"/>
      <c r="AA1490" s="10"/>
      <c r="AB1490" s="10"/>
      <c r="AC1490" s="9"/>
      <c r="AD1490" s="523" t="e">
        <v>#N/A</v>
      </c>
      <c r="AE1490" s="523" t="e">
        <v>#N/A</v>
      </c>
      <c r="AF1490" s="523" t="e">
        <v>#N/A</v>
      </c>
      <c r="AG1490" s="524" t="e">
        <v>#N/A</v>
      </c>
      <c r="AH1490" s="9"/>
      <c r="AI1490" s="10"/>
      <c r="AJ1490" s="9">
        <f t="shared" si="146"/>
        <v>0</v>
      </c>
      <c r="AK1490" s="10"/>
      <c r="AL1490" s="10"/>
    </row>
    <row r="1491" spans="1:38" ht="45" hidden="1">
      <c r="A1491" s="1">
        <f t="shared" si="145"/>
        <v>0</v>
      </c>
      <c r="B1491" s="2" t="s">
        <v>4110</v>
      </c>
      <c r="C1491" s="3" t="s">
        <v>4111</v>
      </c>
      <c r="D1491" s="15" t="s">
        <v>11796</v>
      </c>
      <c r="E1491" s="4" t="s">
        <v>4110</v>
      </c>
      <c r="F1491" s="37" t="s">
        <v>4111</v>
      </c>
      <c r="G1491" s="38">
        <v>0</v>
      </c>
      <c r="H1491" s="38">
        <v>0</v>
      </c>
      <c r="I1491" s="15"/>
      <c r="J1491" s="494">
        <v>20411030911</v>
      </c>
      <c r="L1491" s="523" t="s">
        <v>3755</v>
      </c>
      <c r="M1491" s="523" t="s">
        <v>607</v>
      </c>
      <c r="N1491" s="518" t="s">
        <v>3756</v>
      </c>
      <c r="O1491" s="523">
        <v>2</v>
      </c>
      <c r="P1491" s="523" t="s">
        <v>693</v>
      </c>
      <c r="Q1491" s="523" t="s">
        <v>1229</v>
      </c>
      <c r="R1491" s="523" t="s">
        <v>671</v>
      </c>
      <c r="S1491" s="523" t="s">
        <v>779</v>
      </c>
      <c r="T1491" s="518" t="s">
        <v>4091</v>
      </c>
      <c r="U1491" s="38">
        <v>0</v>
      </c>
      <c r="V1491" s="15" t="str">
        <f t="shared" si="147"/>
        <v/>
      </c>
      <c r="W1491" s="10"/>
      <c r="X1491" s="10"/>
      <c r="Y1491" s="10"/>
      <c r="Z1491" s="10"/>
      <c r="AA1491" s="10"/>
      <c r="AB1491" s="10"/>
      <c r="AC1491" s="9"/>
      <c r="AD1491" s="523" t="e">
        <v>#N/A</v>
      </c>
      <c r="AE1491" s="523" t="e">
        <v>#N/A</v>
      </c>
      <c r="AF1491" s="523" t="e">
        <v>#N/A</v>
      </c>
      <c r="AG1491" s="524" t="e">
        <v>#N/A</v>
      </c>
      <c r="AH1491" s="9"/>
      <c r="AI1491" s="10"/>
      <c r="AJ1491" s="9">
        <f t="shared" si="146"/>
        <v>0</v>
      </c>
      <c r="AK1491" s="10"/>
      <c r="AL1491" s="10"/>
    </row>
    <row r="1492" spans="1:38" ht="45" hidden="1">
      <c r="A1492" s="1">
        <f t="shared" si="145"/>
        <v>0</v>
      </c>
      <c r="B1492" s="2" t="s">
        <v>4112</v>
      </c>
      <c r="C1492" s="3" t="s">
        <v>4113</v>
      </c>
      <c r="D1492" s="15" t="s">
        <v>11796</v>
      </c>
      <c r="E1492" s="4" t="s">
        <v>4112</v>
      </c>
      <c r="F1492" s="37" t="s">
        <v>4113</v>
      </c>
      <c r="G1492" s="38">
        <v>0</v>
      </c>
      <c r="H1492" s="38">
        <v>0</v>
      </c>
      <c r="I1492" s="15"/>
      <c r="J1492" s="494">
        <v>20411030912</v>
      </c>
      <c r="L1492" s="523" t="s">
        <v>3755</v>
      </c>
      <c r="M1492" s="523" t="s">
        <v>607</v>
      </c>
      <c r="N1492" s="518" t="s">
        <v>3756</v>
      </c>
      <c r="O1492" s="523">
        <v>2</v>
      </c>
      <c r="P1492" s="523" t="s">
        <v>693</v>
      </c>
      <c r="Q1492" s="523" t="s">
        <v>1229</v>
      </c>
      <c r="R1492" s="523" t="s">
        <v>671</v>
      </c>
      <c r="S1492" s="523" t="s">
        <v>779</v>
      </c>
      <c r="T1492" s="518" t="s">
        <v>4091</v>
      </c>
      <c r="U1492" s="38">
        <v>0</v>
      </c>
      <c r="V1492" s="15" t="str">
        <f t="shared" si="147"/>
        <v/>
      </c>
      <c r="W1492" s="10"/>
      <c r="X1492" s="10"/>
      <c r="Y1492" s="10"/>
      <c r="Z1492" s="10"/>
      <c r="AA1492" s="10"/>
      <c r="AB1492" s="10"/>
      <c r="AC1492" s="9"/>
      <c r="AD1492" s="523" t="e">
        <v>#N/A</v>
      </c>
      <c r="AE1492" s="523" t="e">
        <v>#N/A</v>
      </c>
      <c r="AF1492" s="523" t="e">
        <v>#N/A</v>
      </c>
      <c r="AG1492" s="524" t="e">
        <v>#N/A</v>
      </c>
      <c r="AH1492" s="9"/>
      <c r="AI1492" s="10"/>
      <c r="AJ1492" s="9">
        <f t="shared" si="146"/>
        <v>0</v>
      </c>
      <c r="AK1492" s="10"/>
      <c r="AL1492" s="10"/>
    </row>
    <row r="1493" spans="1:38" ht="45" hidden="1">
      <c r="A1493" s="1">
        <f t="shared" si="145"/>
        <v>0</v>
      </c>
      <c r="B1493" s="2" t="s">
        <v>4114</v>
      </c>
      <c r="C1493" s="3" t="s">
        <v>4115</v>
      </c>
      <c r="D1493" s="15" t="s">
        <v>11796</v>
      </c>
      <c r="E1493" s="4" t="s">
        <v>4114</v>
      </c>
      <c r="F1493" s="37" t="s">
        <v>4115</v>
      </c>
      <c r="G1493" s="38">
        <v>0</v>
      </c>
      <c r="H1493" s="38">
        <v>0</v>
      </c>
      <c r="I1493" s="15"/>
      <c r="J1493" s="494">
        <v>20411030913</v>
      </c>
      <c r="L1493" s="523" t="s">
        <v>3755</v>
      </c>
      <c r="M1493" s="523" t="s">
        <v>607</v>
      </c>
      <c r="N1493" s="518" t="s">
        <v>3756</v>
      </c>
      <c r="O1493" s="523">
        <v>2</v>
      </c>
      <c r="P1493" s="523" t="s">
        <v>693</v>
      </c>
      <c r="Q1493" s="523" t="s">
        <v>1229</v>
      </c>
      <c r="R1493" s="523" t="s">
        <v>671</v>
      </c>
      <c r="S1493" s="523" t="s">
        <v>779</v>
      </c>
      <c r="T1493" s="518" t="s">
        <v>4091</v>
      </c>
      <c r="U1493" s="38">
        <v>0</v>
      </c>
      <c r="V1493" s="15" t="str">
        <f t="shared" si="147"/>
        <v/>
      </c>
      <c r="W1493" s="10"/>
      <c r="X1493" s="10"/>
      <c r="Y1493" s="10"/>
      <c r="Z1493" s="10"/>
      <c r="AA1493" s="10"/>
      <c r="AB1493" s="10"/>
      <c r="AC1493" s="9"/>
      <c r="AD1493" s="523" t="e">
        <v>#N/A</v>
      </c>
      <c r="AE1493" s="523" t="e">
        <v>#N/A</v>
      </c>
      <c r="AF1493" s="523" t="e">
        <v>#N/A</v>
      </c>
      <c r="AG1493" s="524" t="e">
        <v>#N/A</v>
      </c>
      <c r="AH1493" s="9"/>
      <c r="AI1493" s="10"/>
      <c r="AJ1493" s="9">
        <f t="shared" si="146"/>
        <v>0</v>
      </c>
      <c r="AK1493" s="10"/>
      <c r="AL1493" s="10"/>
    </row>
    <row r="1494" spans="1:38" ht="45" hidden="1">
      <c r="A1494" s="1">
        <f t="shared" si="145"/>
        <v>0</v>
      </c>
      <c r="B1494" s="2" t="s">
        <v>4116</v>
      </c>
      <c r="C1494" s="3" t="s">
        <v>4117</v>
      </c>
      <c r="D1494" s="15" t="s">
        <v>11796</v>
      </c>
      <c r="E1494" s="4" t="s">
        <v>4116</v>
      </c>
      <c r="F1494" s="37" t="s">
        <v>4117</v>
      </c>
      <c r="G1494" s="38">
        <v>0</v>
      </c>
      <c r="H1494" s="38">
        <v>0</v>
      </c>
      <c r="I1494" s="15"/>
      <c r="J1494" s="494">
        <v>20411030914</v>
      </c>
      <c r="L1494" s="523" t="s">
        <v>3755</v>
      </c>
      <c r="M1494" s="523" t="s">
        <v>607</v>
      </c>
      <c r="N1494" s="518" t="s">
        <v>3756</v>
      </c>
      <c r="O1494" s="523">
        <v>2</v>
      </c>
      <c r="P1494" s="523" t="s">
        <v>693</v>
      </c>
      <c r="Q1494" s="523" t="s">
        <v>1229</v>
      </c>
      <c r="R1494" s="523" t="s">
        <v>671</v>
      </c>
      <c r="S1494" s="523" t="s">
        <v>779</v>
      </c>
      <c r="T1494" s="518" t="s">
        <v>4091</v>
      </c>
      <c r="U1494" s="38">
        <v>0</v>
      </c>
      <c r="V1494" s="15" t="str">
        <f t="shared" si="147"/>
        <v/>
      </c>
      <c r="W1494" s="10"/>
      <c r="X1494" s="10"/>
      <c r="Y1494" s="10"/>
      <c r="Z1494" s="10"/>
      <c r="AA1494" s="10"/>
      <c r="AB1494" s="10"/>
      <c r="AC1494" s="9"/>
      <c r="AD1494" s="523" t="e">
        <v>#N/A</v>
      </c>
      <c r="AE1494" s="523" t="e">
        <v>#N/A</v>
      </c>
      <c r="AF1494" s="523" t="e">
        <v>#N/A</v>
      </c>
      <c r="AG1494" s="524" t="e">
        <v>#N/A</v>
      </c>
      <c r="AH1494" s="9"/>
      <c r="AI1494" s="10"/>
      <c r="AJ1494" s="9">
        <f t="shared" si="146"/>
        <v>0</v>
      </c>
      <c r="AK1494" s="10"/>
      <c r="AL1494" s="10"/>
    </row>
    <row r="1495" spans="1:38" ht="45" hidden="1">
      <c r="A1495" s="1">
        <f t="shared" ref="A1495:A1558" si="148">IF(E1495=B1495,0,1)</f>
        <v>0</v>
      </c>
      <c r="B1495" s="2" t="s">
        <v>4118</v>
      </c>
      <c r="C1495" s="3" t="s">
        <v>4119</v>
      </c>
      <c r="D1495" s="15" t="s">
        <v>11796</v>
      </c>
      <c r="E1495" s="4" t="s">
        <v>4118</v>
      </c>
      <c r="F1495" s="37" t="s">
        <v>4119</v>
      </c>
      <c r="G1495" s="38">
        <v>0</v>
      </c>
      <c r="H1495" s="38">
        <v>0</v>
      </c>
      <c r="I1495" s="15"/>
      <c r="J1495" s="494">
        <v>20411030915</v>
      </c>
      <c r="L1495" s="523" t="s">
        <v>3755</v>
      </c>
      <c r="M1495" s="523" t="s">
        <v>607</v>
      </c>
      <c r="N1495" s="518" t="s">
        <v>3756</v>
      </c>
      <c r="O1495" s="523">
        <v>2</v>
      </c>
      <c r="P1495" s="523" t="s">
        <v>693</v>
      </c>
      <c r="Q1495" s="523" t="s">
        <v>1229</v>
      </c>
      <c r="R1495" s="523" t="s">
        <v>671</v>
      </c>
      <c r="S1495" s="523" t="s">
        <v>779</v>
      </c>
      <c r="T1495" s="518" t="s">
        <v>4091</v>
      </c>
      <c r="U1495" s="38">
        <v>0</v>
      </c>
      <c r="V1495" s="15" t="str">
        <f t="shared" si="147"/>
        <v/>
      </c>
      <c r="W1495" s="10"/>
      <c r="X1495" s="10"/>
      <c r="Y1495" s="10"/>
      <c r="Z1495" s="10"/>
      <c r="AA1495" s="10"/>
      <c r="AB1495" s="10"/>
      <c r="AC1495" s="9"/>
      <c r="AD1495" s="523" t="e">
        <v>#N/A</v>
      </c>
      <c r="AE1495" s="523" t="e">
        <v>#N/A</v>
      </c>
      <c r="AF1495" s="523" t="e">
        <v>#N/A</v>
      </c>
      <c r="AG1495" s="524" t="e">
        <v>#N/A</v>
      </c>
      <c r="AH1495" s="9"/>
      <c r="AI1495" s="10"/>
      <c r="AJ1495" s="9">
        <f t="shared" si="146"/>
        <v>0</v>
      </c>
      <c r="AK1495" s="10"/>
      <c r="AL1495" s="10"/>
    </row>
    <row r="1496" spans="1:38" ht="45" hidden="1">
      <c r="A1496" s="1">
        <f t="shared" si="148"/>
        <v>0</v>
      </c>
      <c r="B1496" s="2" t="s">
        <v>4120</v>
      </c>
      <c r="C1496" s="3" t="s">
        <v>4121</v>
      </c>
      <c r="D1496" s="15" t="s">
        <v>11796</v>
      </c>
      <c r="E1496" s="4" t="s">
        <v>4120</v>
      </c>
      <c r="F1496" s="37" t="s">
        <v>4121</v>
      </c>
      <c r="G1496" s="38">
        <v>0</v>
      </c>
      <c r="H1496" s="38">
        <v>0</v>
      </c>
      <c r="I1496" s="15"/>
      <c r="J1496" s="494">
        <v>20411030916</v>
      </c>
      <c r="L1496" s="523" t="s">
        <v>3755</v>
      </c>
      <c r="M1496" s="523" t="s">
        <v>607</v>
      </c>
      <c r="N1496" s="518" t="s">
        <v>3756</v>
      </c>
      <c r="O1496" s="523">
        <v>2</v>
      </c>
      <c r="P1496" s="523" t="s">
        <v>693</v>
      </c>
      <c r="Q1496" s="523" t="s">
        <v>1229</v>
      </c>
      <c r="R1496" s="523" t="s">
        <v>671</v>
      </c>
      <c r="S1496" s="523" t="s">
        <v>779</v>
      </c>
      <c r="T1496" s="518" t="s">
        <v>4091</v>
      </c>
      <c r="U1496" s="38">
        <v>0</v>
      </c>
      <c r="V1496" s="15" t="str">
        <f t="shared" si="147"/>
        <v/>
      </c>
      <c r="W1496" s="10"/>
      <c r="X1496" s="10"/>
      <c r="Y1496" s="10"/>
      <c r="Z1496" s="10"/>
      <c r="AA1496" s="10"/>
      <c r="AB1496" s="10"/>
      <c r="AC1496" s="9"/>
      <c r="AD1496" s="523" t="e">
        <v>#N/A</v>
      </c>
      <c r="AE1496" s="523" t="e">
        <v>#N/A</v>
      </c>
      <c r="AF1496" s="523" t="e">
        <v>#N/A</v>
      </c>
      <c r="AG1496" s="524" t="e">
        <v>#N/A</v>
      </c>
      <c r="AH1496" s="9"/>
      <c r="AI1496" s="10"/>
      <c r="AJ1496" s="9">
        <f t="shared" si="146"/>
        <v>0</v>
      </c>
      <c r="AK1496" s="10"/>
      <c r="AL1496" s="10"/>
    </row>
    <row r="1497" spans="1:38" ht="45" hidden="1">
      <c r="A1497" s="1">
        <f t="shared" si="148"/>
        <v>0</v>
      </c>
      <c r="B1497" s="2" t="s">
        <v>4122</v>
      </c>
      <c r="C1497" s="3" t="s">
        <v>4123</v>
      </c>
      <c r="D1497" s="15" t="s">
        <v>11796</v>
      </c>
      <c r="E1497" s="4" t="s">
        <v>4122</v>
      </c>
      <c r="F1497" s="37" t="s">
        <v>4123</v>
      </c>
      <c r="G1497" s="38">
        <v>0</v>
      </c>
      <c r="H1497" s="38">
        <v>0</v>
      </c>
      <c r="I1497" s="15"/>
      <c r="J1497" s="494">
        <v>20411030917</v>
      </c>
      <c r="L1497" s="523" t="s">
        <v>3755</v>
      </c>
      <c r="M1497" s="523" t="s">
        <v>607</v>
      </c>
      <c r="N1497" s="518" t="s">
        <v>3756</v>
      </c>
      <c r="O1497" s="523">
        <v>2</v>
      </c>
      <c r="P1497" s="523" t="s">
        <v>693</v>
      </c>
      <c r="Q1497" s="523" t="s">
        <v>1229</v>
      </c>
      <c r="R1497" s="523" t="s">
        <v>671</v>
      </c>
      <c r="S1497" s="523" t="s">
        <v>779</v>
      </c>
      <c r="T1497" s="518" t="s">
        <v>4091</v>
      </c>
      <c r="U1497" s="38">
        <v>0</v>
      </c>
      <c r="V1497" s="15" t="str">
        <f t="shared" si="147"/>
        <v/>
      </c>
      <c r="W1497" s="10"/>
      <c r="X1497" s="10"/>
      <c r="Y1497" s="10"/>
      <c r="Z1497" s="10"/>
      <c r="AA1497" s="10"/>
      <c r="AB1497" s="10"/>
      <c r="AC1497" s="9"/>
      <c r="AD1497" s="523" t="e">
        <v>#N/A</v>
      </c>
      <c r="AE1497" s="523" t="e">
        <v>#N/A</v>
      </c>
      <c r="AF1497" s="523" t="e">
        <v>#N/A</v>
      </c>
      <c r="AG1497" s="524" t="e">
        <v>#N/A</v>
      </c>
      <c r="AH1497" s="9"/>
      <c r="AI1497" s="10"/>
      <c r="AJ1497" s="9">
        <f t="shared" si="146"/>
        <v>0</v>
      </c>
      <c r="AK1497" s="10"/>
      <c r="AL1497" s="10"/>
    </row>
    <row r="1498" spans="1:38" ht="45" hidden="1">
      <c r="A1498" s="1">
        <f t="shared" si="148"/>
        <v>0</v>
      </c>
      <c r="B1498" s="2" t="s">
        <v>4124</v>
      </c>
      <c r="C1498" s="3" t="s">
        <v>4125</v>
      </c>
      <c r="D1498" s="15" t="s">
        <v>11796</v>
      </c>
      <c r="E1498" s="4" t="s">
        <v>4124</v>
      </c>
      <c r="F1498" s="37" t="s">
        <v>4125</v>
      </c>
      <c r="G1498" s="38">
        <v>0</v>
      </c>
      <c r="H1498" s="38">
        <v>0</v>
      </c>
      <c r="I1498" s="15"/>
      <c r="J1498" s="494">
        <v>20411030918</v>
      </c>
      <c r="L1498" s="523" t="s">
        <v>3755</v>
      </c>
      <c r="M1498" s="523" t="s">
        <v>607</v>
      </c>
      <c r="N1498" s="518" t="s">
        <v>3756</v>
      </c>
      <c r="O1498" s="523">
        <v>2</v>
      </c>
      <c r="P1498" s="523" t="s">
        <v>693</v>
      </c>
      <c r="Q1498" s="523" t="s">
        <v>1229</v>
      </c>
      <c r="R1498" s="523" t="s">
        <v>671</v>
      </c>
      <c r="S1498" s="523" t="s">
        <v>779</v>
      </c>
      <c r="T1498" s="518" t="s">
        <v>4091</v>
      </c>
      <c r="U1498" s="38">
        <v>0</v>
      </c>
      <c r="V1498" s="15" t="str">
        <f t="shared" si="147"/>
        <v/>
      </c>
      <c r="W1498" s="10"/>
      <c r="X1498" s="10"/>
      <c r="Y1498" s="10"/>
      <c r="Z1498" s="10"/>
      <c r="AA1498" s="10"/>
      <c r="AB1498" s="10"/>
      <c r="AC1498" s="9"/>
      <c r="AD1498" s="523" t="e">
        <v>#N/A</v>
      </c>
      <c r="AE1498" s="523" t="e">
        <v>#N/A</v>
      </c>
      <c r="AF1498" s="523" t="e">
        <v>#N/A</v>
      </c>
      <c r="AG1498" s="524" t="e">
        <v>#N/A</v>
      </c>
      <c r="AH1498" s="9"/>
      <c r="AI1498" s="10"/>
      <c r="AJ1498" s="9">
        <f t="shared" si="146"/>
        <v>0</v>
      </c>
      <c r="AK1498" s="10"/>
      <c r="AL1498" s="10"/>
    </row>
    <row r="1499" spans="1:38" ht="45" hidden="1">
      <c r="A1499" s="1">
        <f t="shared" si="148"/>
        <v>0</v>
      </c>
      <c r="B1499" s="2" t="s">
        <v>4126</v>
      </c>
      <c r="C1499" s="3" t="s">
        <v>4127</v>
      </c>
      <c r="D1499" s="15" t="s">
        <v>11796</v>
      </c>
      <c r="E1499" s="4" t="s">
        <v>4126</v>
      </c>
      <c r="F1499" s="37" t="s">
        <v>4127</v>
      </c>
      <c r="G1499" s="38">
        <v>0</v>
      </c>
      <c r="H1499" s="38">
        <v>0</v>
      </c>
      <c r="I1499" s="15"/>
      <c r="J1499" s="494">
        <v>20411030919</v>
      </c>
      <c r="L1499" s="523" t="s">
        <v>3755</v>
      </c>
      <c r="M1499" s="523" t="s">
        <v>607</v>
      </c>
      <c r="N1499" s="518" t="s">
        <v>3756</v>
      </c>
      <c r="O1499" s="523">
        <v>2</v>
      </c>
      <c r="P1499" s="523" t="s">
        <v>693</v>
      </c>
      <c r="Q1499" s="523" t="s">
        <v>1229</v>
      </c>
      <c r="R1499" s="523" t="s">
        <v>671</v>
      </c>
      <c r="S1499" s="523" t="s">
        <v>779</v>
      </c>
      <c r="T1499" s="518" t="s">
        <v>4091</v>
      </c>
      <c r="U1499" s="38">
        <v>0</v>
      </c>
      <c r="V1499" s="15" t="str">
        <f t="shared" si="147"/>
        <v/>
      </c>
      <c r="W1499" s="10"/>
      <c r="X1499" s="10"/>
      <c r="Y1499" s="10"/>
      <c r="Z1499" s="10"/>
      <c r="AA1499" s="10"/>
      <c r="AB1499" s="10"/>
      <c r="AC1499" s="9"/>
      <c r="AD1499" s="523" t="e">
        <v>#N/A</v>
      </c>
      <c r="AE1499" s="523" t="e">
        <v>#N/A</v>
      </c>
      <c r="AF1499" s="523" t="e">
        <v>#N/A</v>
      </c>
      <c r="AG1499" s="524" t="e">
        <v>#N/A</v>
      </c>
      <c r="AH1499" s="9"/>
      <c r="AI1499" s="10"/>
      <c r="AJ1499" s="9">
        <f t="shared" si="146"/>
        <v>0</v>
      </c>
      <c r="AK1499" s="10"/>
      <c r="AL1499" s="10"/>
    </row>
    <row r="1500" spans="1:38" ht="45" hidden="1">
      <c r="A1500" s="1">
        <f t="shared" si="148"/>
        <v>0</v>
      </c>
      <c r="B1500" s="2" t="s">
        <v>4128</v>
      </c>
      <c r="C1500" s="3" t="s">
        <v>4129</v>
      </c>
      <c r="D1500" s="15" t="s">
        <v>11796</v>
      </c>
      <c r="E1500" s="4" t="s">
        <v>4128</v>
      </c>
      <c r="F1500" s="37" t="s">
        <v>4129</v>
      </c>
      <c r="G1500" s="38">
        <v>0</v>
      </c>
      <c r="H1500" s="38">
        <v>0</v>
      </c>
      <c r="I1500" s="15"/>
      <c r="J1500" s="494">
        <v>20411030920</v>
      </c>
      <c r="L1500" s="523" t="s">
        <v>3755</v>
      </c>
      <c r="M1500" s="523" t="s">
        <v>607</v>
      </c>
      <c r="N1500" s="518" t="s">
        <v>3756</v>
      </c>
      <c r="O1500" s="523">
        <v>2</v>
      </c>
      <c r="P1500" s="523" t="s">
        <v>693</v>
      </c>
      <c r="Q1500" s="523" t="s">
        <v>1229</v>
      </c>
      <c r="R1500" s="523" t="s">
        <v>671</v>
      </c>
      <c r="S1500" s="523" t="s">
        <v>779</v>
      </c>
      <c r="T1500" s="518" t="s">
        <v>4091</v>
      </c>
      <c r="U1500" s="38">
        <v>0</v>
      </c>
      <c r="V1500" s="15" t="str">
        <f t="shared" si="147"/>
        <v/>
      </c>
      <c r="W1500" s="10"/>
      <c r="X1500" s="10"/>
      <c r="Y1500" s="10"/>
      <c r="Z1500" s="10"/>
      <c r="AA1500" s="10"/>
      <c r="AB1500" s="10"/>
      <c r="AC1500" s="9"/>
      <c r="AD1500" s="523" t="e">
        <v>#N/A</v>
      </c>
      <c r="AE1500" s="523" t="e">
        <v>#N/A</v>
      </c>
      <c r="AF1500" s="523" t="e">
        <v>#N/A</v>
      </c>
      <c r="AG1500" s="524" t="e">
        <v>#N/A</v>
      </c>
      <c r="AH1500" s="9"/>
      <c r="AI1500" s="10"/>
      <c r="AJ1500" s="9">
        <f t="shared" si="146"/>
        <v>0</v>
      </c>
      <c r="AK1500" s="10"/>
      <c r="AL1500" s="10"/>
    </row>
    <row r="1501" spans="1:38" ht="45" hidden="1">
      <c r="A1501" s="1">
        <f t="shared" si="148"/>
        <v>0</v>
      </c>
      <c r="B1501" s="2" t="s">
        <v>4130</v>
      </c>
      <c r="C1501" s="3" t="s">
        <v>4131</v>
      </c>
      <c r="D1501" s="15" t="s">
        <v>11797</v>
      </c>
      <c r="E1501" s="4" t="s">
        <v>4130</v>
      </c>
      <c r="F1501" s="37" t="s">
        <v>4131</v>
      </c>
      <c r="G1501" s="38">
        <v>0</v>
      </c>
      <c r="H1501" s="38">
        <v>0</v>
      </c>
      <c r="I1501" s="15"/>
      <c r="J1501" s="494">
        <v>20411031001</v>
      </c>
      <c r="K1501" s="517"/>
      <c r="L1501" s="517" t="s">
        <v>3755</v>
      </c>
      <c r="M1501" s="517" t="s">
        <v>607</v>
      </c>
      <c r="N1501" s="518" t="s">
        <v>3756</v>
      </c>
      <c r="O1501" s="517">
        <v>2</v>
      </c>
      <c r="P1501" s="517" t="s">
        <v>693</v>
      </c>
      <c r="Q1501" s="517" t="s">
        <v>1229</v>
      </c>
      <c r="R1501" s="517" t="s">
        <v>671</v>
      </c>
      <c r="S1501" s="517" t="s">
        <v>1225</v>
      </c>
      <c r="T1501" s="518" t="s">
        <v>4132</v>
      </c>
      <c r="U1501" s="38">
        <v>0</v>
      </c>
      <c r="V1501" s="15" t="str">
        <f t="shared" si="147"/>
        <v>204110310</v>
      </c>
      <c r="W1501" s="39">
        <v>2</v>
      </c>
      <c r="X1501" s="50" t="s">
        <v>693</v>
      </c>
      <c r="Y1501" s="50" t="s">
        <v>1229</v>
      </c>
      <c r="Z1501" s="50" t="s">
        <v>671</v>
      </c>
      <c r="AA1501" s="40" t="s">
        <v>1225</v>
      </c>
      <c r="AB1501" s="42" t="s">
        <v>4132</v>
      </c>
      <c r="AC1501" s="519">
        <f>SUM(H1501:H1551)</f>
        <v>10329026.049999999</v>
      </c>
      <c r="AD1501" s="517">
        <v>0</v>
      </c>
      <c r="AE1501" s="517" t="s">
        <v>3755</v>
      </c>
      <c r="AF1501" s="517" t="s">
        <v>607</v>
      </c>
      <c r="AG1501" s="518" t="s">
        <v>3756</v>
      </c>
      <c r="AH1501" s="67">
        <f>AC1501</f>
        <v>10329026.049999999</v>
      </c>
      <c r="AI1501" s="10"/>
      <c r="AJ1501" s="9"/>
      <c r="AK1501" s="10"/>
      <c r="AL1501" s="10"/>
    </row>
    <row r="1502" spans="1:38" ht="45" hidden="1">
      <c r="A1502" s="1">
        <f t="shared" si="148"/>
        <v>0</v>
      </c>
      <c r="B1502" s="2" t="s">
        <v>4133</v>
      </c>
      <c r="C1502" s="3" t="s">
        <v>4134</v>
      </c>
      <c r="D1502" s="15" t="s">
        <v>11797</v>
      </c>
      <c r="E1502" s="4" t="s">
        <v>4133</v>
      </c>
      <c r="F1502" s="37" t="s">
        <v>4134</v>
      </c>
      <c r="G1502" s="38">
        <v>0</v>
      </c>
      <c r="H1502" s="38">
        <v>0</v>
      </c>
      <c r="I1502" s="15"/>
      <c r="J1502" s="494">
        <v>20411031002</v>
      </c>
      <c r="L1502" s="523" t="s">
        <v>3755</v>
      </c>
      <c r="M1502" s="523" t="s">
        <v>607</v>
      </c>
      <c r="N1502" s="518" t="s">
        <v>3756</v>
      </c>
      <c r="O1502" s="523">
        <v>2</v>
      </c>
      <c r="P1502" s="523" t="s">
        <v>693</v>
      </c>
      <c r="Q1502" s="523" t="s">
        <v>1229</v>
      </c>
      <c r="R1502" s="523" t="s">
        <v>671</v>
      </c>
      <c r="S1502" s="523" t="s">
        <v>1225</v>
      </c>
      <c r="T1502" s="518" t="s">
        <v>4132</v>
      </c>
      <c r="U1502" s="38">
        <v>0</v>
      </c>
      <c r="V1502" s="15" t="str">
        <f t="shared" si="147"/>
        <v/>
      </c>
      <c r="W1502" s="10"/>
      <c r="X1502" s="10"/>
      <c r="Y1502" s="10"/>
      <c r="Z1502" s="10"/>
      <c r="AA1502" s="10"/>
      <c r="AB1502" s="10"/>
      <c r="AC1502" s="9"/>
      <c r="AD1502" s="523" t="e">
        <v>#N/A</v>
      </c>
      <c r="AE1502" s="523" t="e">
        <v>#N/A</v>
      </c>
      <c r="AF1502" s="523" t="e">
        <v>#N/A</v>
      </c>
      <c r="AG1502" s="524" t="e">
        <v>#N/A</v>
      </c>
      <c r="AH1502" s="9"/>
      <c r="AI1502" s="10"/>
      <c r="AJ1502" s="9"/>
      <c r="AK1502" s="10"/>
      <c r="AL1502" s="10"/>
    </row>
    <row r="1503" spans="1:38" ht="45" hidden="1">
      <c r="A1503" s="1">
        <f t="shared" si="148"/>
        <v>0</v>
      </c>
      <c r="B1503" s="2" t="s">
        <v>4135</v>
      </c>
      <c r="C1503" s="3" t="s">
        <v>4136</v>
      </c>
      <c r="D1503" s="15" t="s">
        <v>11797</v>
      </c>
      <c r="E1503" s="4" t="s">
        <v>4135</v>
      </c>
      <c r="F1503" s="37" t="s">
        <v>4136</v>
      </c>
      <c r="G1503" s="38">
        <v>0</v>
      </c>
      <c r="H1503" s="38">
        <v>0</v>
      </c>
      <c r="I1503" s="15"/>
      <c r="J1503" s="494">
        <v>20411031003</v>
      </c>
      <c r="L1503" s="523" t="s">
        <v>3755</v>
      </c>
      <c r="M1503" s="523" t="s">
        <v>607</v>
      </c>
      <c r="N1503" s="518" t="s">
        <v>3756</v>
      </c>
      <c r="O1503" s="523">
        <v>2</v>
      </c>
      <c r="P1503" s="523" t="s">
        <v>693</v>
      </c>
      <c r="Q1503" s="523" t="s">
        <v>1229</v>
      </c>
      <c r="R1503" s="523" t="s">
        <v>671</v>
      </c>
      <c r="S1503" s="523" t="s">
        <v>1225</v>
      </c>
      <c r="T1503" s="518" t="s">
        <v>4132</v>
      </c>
      <c r="U1503" s="38">
        <v>0</v>
      </c>
      <c r="V1503" s="15" t="str">
        <f t="shared" si="147"/>
        <v/>
      </c>
      <c r="W1503" s="10"/>
      <c r="X1503" s="10"/>
      <c r="Y1503" s="10"/>
      <c r="Z1503" s="10"/>
      <c r="AA1503" s="10"/>
      <c r="AB1503" s="10"/>
      <c r="AC1503" s="9"/>
      <c r="AD1503" s="523" t="e">
        <v>#N/A</v>
      </c>
      <c r="AE1503" s="523" t="e">
        <v>#N/A</v>
      </c>
      <c r="AF1503" s="523" t="e">
        <v>#N/A</v>
      </c>
      <c r="AG1503" s="524" t="e">
        <v>#N/A</v>
      </c>
      <c r="AH1503" s="9"/>
      <c r="AI1503" s="10"/>
      <c r="AJ1503" s="9"/>
      <c r="AK1503" s="10"/>
      <c r="AL1503" s="10"/>
    </row>
    <row r="1504" spans="1:38" ht="45" hidden="1">
      <c r="A1504" s="1">
        <f t="shared" si="148"/>
        <v>0</v>
      </c>
      <c r="B1504" s="2" t="s">
        <v>4137</v>
      </c>
      <c r="C1504" s="3" t="s">
        <v>4138</v>
      </c>
      <c r="D1504" s="15" t="s">
        <v>11797</v>
      </c>
      <c r="E1504" s="4" t="s">
        <v>4137</v>
      </c>
      <c r="F1504" s="37" t="s">
        <v>4138</v>
      </c>
      <c r="G1504" s="38">
        <v>0</v>
      </c>
      <c r="H1504" s="38">
        <v>0</v>
      </c>
      <c r="I1504" s="15"/>
      <c r="J1504" s="494">
        <v>20411031004</v>
      </c>
      <c r="L1504" s="523" t="s">
        <v>3755</v>
      </c>
      <c r="M1504" s="523" t="s">
        <v>607</v>
      </c>
      <c r="N1504" s="518" t="s">
        <v>3756</v>
      </c>
      <c r="O1504" s="523">
        <v>2</v>
      </c>
      <c r="P1504" s="523" t="s">
        <v>693</v>
      </c>
      <c r="Q1504" s="523" t="s">
        <v>1229</v>
      </c>
      <c r="R1504" s="523" t="s">
        <v>671</v>
      </c>
      <c r="S1504" s="523" t="s">
        <v>1225</v>
      </c>
      <c r="T1504" s="518" t="s">
        <v>4132</v>
      </c>
      <c r="U1504" s="38">
        <v>0</v>
      </c>
      <c r="V1504" s="15" t="str">
        <f t="shared" si="147"/>
        <v/>
      </c>
      <c r="W1504" s="10"/>
      <c r="X1504" s="10"/>
      <c r="Y1504" s="10"/>
      <c r="Z1504" s="10"/>
      <c r="AA1504" s="10"/>
      <c r="AB1504" s="10"/>
      <c r="AC1504" s="9"/>
      <c r="AD1504" s="523" t="e">
        <v>#N/A</v>
      </c>
      <c r="AE1504" s="523" t="e">
        <v>#N/A</v>
      </c>
      <c r="AF1504" s="523" t="e">
        <v>#N/A</v>
      </c>
      <c r="AG1504" s="524" t="e">
        <v>#N/A</v>
      </c>
      <c r="AH1504" s="9"/>
      <c r="AI1504" s="10"/>
      <c r="AJ1504" s="9"/>
      <c r="AK1504" s="10"/>
      <c r="AL1504" s="10"/>
    </row>
    <row r="1505" spans="1:38" ht="45" hidden="1">
      <c r="A1505" s="1">
        <f t="shared" si="148"/>
        <v>0</v>
      </c>
      <c r="B1505" s="2" t="s">
        <v>4139</v>
      </c>
      <c r="C1505" s="3" t="s">
        <v>4140</v>
      </c>
      <c r="D1505" s="15" t="s">
        <v>11797</v>
      </c>
      <c r="E1505" s="4" t="s">
        <v>4139</v>
      </c>
      <c r="F1505" s="37" t="s">
        <v>4140</v>
      </c>
      <c r="G1505" s="38">
        <v>0</v>
      </c>
      <c r="H1505" s="38">
        <v>0</v>
      </c>
      <c r="I1505" s="15"/>
      <c r="J1505" s="494">
        <v>20411031005</v>
      </c>
      <c r="L1505" s="523" t="s">
        <v>3755</v>
      </c>
      <c r="M1505" s="523" t="s">
        <v>607</v>
      </c>
      <c r="N1505" s="518" t="s">
        <v>3756</v>
      </c>
      <c r="O1505" s="523">
        <v>2</v>
      </c>
      <c r="P1505" s="523" t="s">
        <v>693</v>
      </c>
      <c r="Q1505" s="523" t="s">
        <v>1229</v>
      </c>
      <c r="R1505" s="523" t="s">
        <v>671</v>
      </c>
      <c r="S1505" s="523" t="s">
        <v>1225</v>
      </c>
      <c r="T1505" s="518" t="s">
        <v>4132</v>
      </c>
      <c r="U1505" s="38">
        <v>0</v>
      </c>
      <c r="V1505" s="15" t="str">
        <f t="shared" si="147"/>
        <v/>
      </c>
      <c r="W1505" s="10"/>
      <c r="X1505" s="10"/>
      <c r="Y1505" s="10"/>
      <c r="Z1505" s="10"/>
      <c r="AA1505" s="10"/>
      <c r="AB1505" s="10"/>
      <c r="AC1505" s="9"/>
      <c r="AD1505" s="523" t="e">
        <v>#N/A</v>
      </c>
      <c r="AE1505" s="523" t="e">
        <v>#N/A</v>
      </c>
      <c r="AF1505" s="523" t="e">
        <v>#N/A</v>
      </c>
      <c r="AG1505" s="524" t="e">
        <v>#N/A</v>
      </c>
      <c r="AH1505" s="9"/>
      <c r="AI1505" s="10"/>
      <c r="AJ1505" s="9"/>
      <c r="AK1505" s="10"/>
      <c r="AL1505" s="10"/>
    </row>
    <row r="1506" spans="1:38" ht="45" hidden="1">
      <c r="A1506" s="1">
        <f t="shared" si="148"/>
        <v>0</v>
      </c>
      <c r="B1506" s="2" t="s">
        <v>4141</v>
      </c>
      <c r="C1506" s="3" t="s">
        <v>4142</v>
      </c>
      <c r="D1506" s="15" t="s">
        <v>11797</v>
      </c>
      <c r="E1506" s="4" t="s">
        <v>4141</v>
      </c>
      <c r="F1506" s="37" t="s">
        <v>4142</v>
      </c>
      <c r="G1506" s="38">
        <v>0</v>
      </c>
      <c r="H1506" s="38">
        <v>0</v>
      </c>
      <c r="I1506" s="15"/>
      <c r="J1506" s="494">
        <v>20411031006</v>
      </c>
      <c r="L1506" s="523" t="s">
        <v>3755</v>
      </c>
      <c r="M1506" s="523" t="s">
        <v>607</v>
      </c>
      <c r="N1506" s="518" t="s">
        <v>3756</v>
      </c>
      <c r="O1506" s="523">
        <v>2</v>
      </c>
      <c r="P1506" s="523" t="s">
        <v>693</v>
      </c>
      <c r="Q1506" s="523" t="s">
        <v>1229</v>
      </c>
      <c r="R1506" s="523" t="s">
        <v>671</v>
      </c>
      <c r="S1506" s="523" t="s">
        <v>1225</v>
      </c>
      <c r="T1506" s="518" t="s">
        <v>4132</v>
      </c>
      <c r="U1506" s="38">
        <v>0</v>
      </c>
      <c r="V1506" s="15" t="str">
        <f t="shared" si="147"/>
        <v/>
      </c>
      <c r="W1506" s="10"/>
      <c r="X1506" s="10"/>
      <c r="Y1506" s="10"/>
      <c r="Z1506" s="10"/>
      <c r="AA1506" s="10"/>
      <c r="AB1506" s="10"/>
      <c r="AC1506" s="9"/>
      <c r="AD1506" s="523" t="e">
        <v>#N/A</v>
      </c>
      <c r="AE1506" s="523" t="e">
        <v>#N/A</v>
      </c>
      <c r="AF1506" s="523" t="e">
        <v>#N/A</v>
      </c>
      <c r="AG1506" s="524" t="e">
        <v>#N/A</v>
      </c>
      <c r="AH1506" s="9"/>
      <c r="AI1506" s="10"/>
      <c r="AJ1506" s="9"/>
      <c r="AK1506" s="10"/>
      <c r="AL1506" s="10"/>
    </row>
    <row r="1507" spans="1:38" ht="45" hidden="1">
      <c r="A1507" s="1">
        <f t="shared" si="148"/>
        <v>0</v>
      </c>
      <c r="B1507" s="2" t="s">
        <v>4143</v>
      </c>
      <c r="C1507" s="3" t="s">
        <v>4144</v>
      </c>
      <c r="D1507" s="15" t="s">
        <v>11797</v>
      </c>
      <c r="E1507" s="4" t="s">
        <v>4143</v>
      </c>
      <c r="F1507" s="37" t="s">
        <v>4144</v>
      </c>
      <c r="G1507" s="38">
        <v>0</v>
      </c>
      <c r="H1507" s="38">
        <v>0</v>
      </c>
      <c r="I1507" s="15"/>
      <c r="J1507" s="494">
        <v>20411031007</v>
      </c>
      <c r="L1507" s="523" t="s">
        <v>3755</v>
      </c>
      <c r="M1507" s="523" t="s">
        <v>607</v>
      </c>
      <c r="N1507" s="518" t="s">
        <v>3756</v>
      </c>
      <c r="O1507" s="523">
        <v>2</v>
      </c>
      <c r="P1507" s="523" t="s">
        <v>693</v>
      </c>
      <c r="Q1507" s="523" t="s">
        <v>1229</v>
      </c>
      <c r="R1507" s="523" t="s">
        <v>671</v>
      </c>
      <c r="S1507" s="523" t="s">
        <v>1225</v>
      </c>
      <c r="T1507" s="518" t="s">
        <v>4132</v>
      </c>
      <c r="U1507" s="38">
        <v>0</v>
      </c>
      <c r="V1507" s="15" t="str">
        <f t="shared" si="147"/>
        <v/>
      </c>
      <c r="W1507" s="10"/>
      <c r="X1507" s="10"/>
      <c r="Y1507" s="10"/>
      <c r="Z1507" s="10"/>
      <c r="AA1507" s="10"/>
      <c r="AB1507" s="10"/>
      <c r="AC1507" s="9"/>
      <c r="AD1507" s="523" t="e">
        <v>#N/A</v>
      </c>
      <c r="AE1507" s="523" t="e">
        <v>#N/A</v>
      </c>
      <c r="AF1507" s="523" t="e">
        <v>#N/A</v>
      </c>
      <c r="AG1507" s="524" t="e">
        <v>#N/A</v>
      </c>
      <c r="AH1507" s="9"/>
      <c r="AI1507" s="10"/>
      <c r="AJ1507" s="9"/>
      <c r="AK1507" s="10"/>
      <c r="AL1507" s="10"/>
    </row>
    <row r="1508" spans="1:38" ht="45" hidden="1">
      <c r="A1508" s="1">
        <f t="shared" si="148"/>
        <v>0</v>
      </c>
      <c r="B1508" s="2" t="s">
        <v>4145</v>
      </c>
      <c r="C1508" s="3" t="s">
        <v>4146</v>
      </c>
      <c r="D1508" s="15" t="s">
        <v>11797</v>
      </c>
      <c r="E1508" s="4" t="s">
        <v>4145</v>
      </c>
      <c r="F1508" s="37" t="s">
        <v>4146</v>
      </c>
      <c r="G1508" s="38">
        <v>0</v>
      </c>
      <c r="H1508" s="38">
        <v>0</v>
      </c>
      <c r="I1508" s="15"/>
      <c r="J1508" s="494">
        <v>20411031008</v>
      </c>
      <c r="L1508" s="523" t="s">
        <v>3755</v>
      </c>
      <c r="M1508" s="523" t="s">
        <v>607</v>
      </c>
      <c r="N1508" s="518" t="s">
        <v>3756</v>
      </c>
      <c r="O1508" s="523">
        <v>2</v>
      </c>
      <c r="P1508" s="523" t="s">
        <v>693</v>
      </c>
      <c r="Q1508" s="523" t="s">
        <v>1229</v>
      </c>
      <c r="R1508" s="523" t="s">
        <v>671</v>
      </c>
      <c r="S1508" s="523" t="s">
        <v>1225</v>
      </c>
      <c r="T1508" s="518" t="s">
        <v>4132</v>
      </c>
      <c r="U1508" s="38">
        <v>0</v>
      </c>
      <c r="V1508" s="15" t="str">
        <f t="shared" si="147"/>
        <v/>
      </c>
      <c r="W1508" s="10"/>
      <c r="X1508" s="10"/>
      <c r="Y1508" s="10"/>
      <c r="Z1508" s="10"/>
      <c r="AA1508" s="10"/>
      <c r="AB1508" s="10"/>
      <c r="AC1508" s="9"/>
      <c r="AD1508" s="523" t="e">
        <v>#N/A</v>
      </c>
      <c r="AE1508" s="523" t="e">
        <v>#N/A</v>
      </c>
      <c r="AF1508" s="523" t="e">
        <v>#N/A</v>
      </c>
      <c r="AG1508" s="524" t="e">
        <v>#N/A</v>
      </c>
      <c r="AH1508" s="9"/>
      <c r="AI1508" s="10"/>
      <c r="AJ1508" s="9"/>
      <c r="AK1508" s="10"/>
      <c r="AL1508" s="10"/>
    </row>
    <row r="1509" spans="1:38" ht="45" hidden="1">
      <c r="A1509" s="1">
        <f t="shared" si="148"/>
        <v>0</v>
      </c>
      <c r="B1509" s="2" t="s">
        <v>4147</v>
      </c>
      <c r="C1509" s="3" t="s">
        <v>4148</v>
      </c>
      <c r="D1509" s="15" t="s">
        <v>11797</v>
      </c>
      <c r="E1509" s="4" t="s">
        <v>4147</v>
      </c>
      <c r="F1509" s="37" t="s">
        <v>4148</v>
      </c>
      <c r="G1509" s="38">
        <v>0</v>
      </c>
      <c r="H1509" s="38">
        <v>0</v>
      </c>
      <c r="I1509" s="15"/>
      <c r="J1509" s="494">
        <v>20411031009</v>
      </c>
      <c r="L1509" s="523" t="s">
        <v>3755</v>
      </c>
      <c r="M1509" s="523" t="s">
        <v>607</v>
      </c>
      <c r="N1509" s="518" t="s">
        <v>3756</v>
      </c>
      <c r="O1509" s="523">
        <v>2</v>
      </c>
      <c r="P1509" s="523" t="s">
        <v>693</v>
      </c>
      <c r="Q1509" s="523" t="s">
        <v>1229</v>
      </c>
      <c r="R1509" s="523" t="s">
        <v>671</v>
      </c>
      <c r="S1509" s="523" t="s">
        <v>1225</v>
      </c>
      <c r="T1509" s="518" t="s">
        <v>4132</v>
      </c>
      <c r="U1509" s="38">
        <v>0</v>
      </c>
      <c r="V1509" s="15" t="str">
        <f t="shared" si="147"/>
        <v/>
      </c>
      <c r="W1509" s="10"/>
      <c r="X1509" s="10"/>
      <c r="Y1509" s="10"/>
      <c r="Z1509" s="10"/>
      <c r="AA1509" s="10"/>
      <c r="AB1509" s="10"/>
      <c r="AC1509" s="9"/>
      <c r="AD1509" s="523" t="e">
        <v>#N/A</v>
      </c>
      <c r="AE1509" s="523" t="e">
        <v>#N/A</v>
      </c>
      <c r="AF1509" s="523" t="e">
        <v>#N/A</v>
      </c>
      <c r="AG1509" s="524" t="e">
        <v>#N/A</v>
      </c>
      <c r="AH1509" s="9"/>
      <c r="AI1509" s="10"/>
      <c r="AJ1509" s="9"/>
      <c r="AK1509" s="10"/>
      <c r="AL1509" s="10"/>
    </row>
    <row r="1510" spans="1:38" ht="45" hidden="1">
      <c r="A1510" s="1">
        <f t="shared" si="148"/>
        <v>0</v>
      </c>
      <c r="B1510" s="2" t="s">
        <v>4149</v>
      </c>
      <c r="C1510" s="3" t="s">
        <v>4150</v>
      </c>
      <c r="D1510" s="15" t="s">
        <v>11797</v>
      </c>
      <c r="E1510" s="4" t="s">
        <v>4149</v>
      </c>
      <c r="F1510" s="37" t="s">
        <v>4150</v>
      </c>
      <c r="G1510" s="38">
        <v>0</v>
      </c>
      <c r="H1510" s="38">
        <v>0</v>
      </c>
      <c r="I1510" s="15"/>
      <c r="J1510" s="494">
        <v>20411031010</v>
      </c>
      <c r="L1510" s="523" t="s">
        <v>3755</v>
      </c>
      <c r="M1510" s="523" t="s">
        <v>607</v>
      </c>
      <c r="N1510" s="518" t="s">
        <v>3756</v>
      </c>
      <c r="O1510" s="523">
        <v>2</v>
      </c>
      <c r="P1510" s="523" t="s">
        <v>693</v>
      </c>
      <c r="Q1510" s="523" t="s">
        <v>1229</v>
      </c>
      <c r="R1510" s="523" t="s">
        <v>671</v>
      </c>
      <c r="S1510" s="523" t="s">
        <v>1225</v>
      </c>
      <c r="T1510" s="518" t="s">
        <v>4132</v>
      </c>
      <c r="U1510" s="38">
        <v>0</v>
      </c>
      <c r="V1510" s="15" t="str">
        <f t="shared" si="147"/>
        <v/>
      </c>
      <c r="W1510" s="10"/>
      <c r="X1510" s="10"/>
      <c r="Y1510" s="10"/>
      <c r="Z1510" s="10"/>
      <c r="AA1510" s="10"/>
      <c r="AB1510" s="10"/>
      <c r="AC1510" s="9"/>
      <c r="AD1510" s="523" t="e">
        <v>#N/A</v>
      </c>
      <c r="AE1510" s="523" t="e">
        <v>#N/A</v>
      </c>
      <c r="AF1510" s="523" t="e">
        <v>#N/A</v>
      </c>
      <c r="AG1510" s="524" t="e">
        <v>#N/A</v>
      </c>
      <c r="AH1510" s="9"/>
      <c r="AI1510" s="10"/>
      <c r="AJ1510" s="9"/>
      <c r="AK1510" s="10"/>
      <c r="AL1510" s="10"/>
    </row>
    <row r="1511" spans="1:38" ht="45" hidden="1">
      <c r="A1511" s="1">
        <f t="shared" si="148"/>
        <v>0</v>
      </c>
      <c r="B1511" s="2" t="s">
        <v>4151</v>
      </c>
      <c r="C1511" s="3" t="s">
        <v>4152</v>
      </c>
      <c r="D1511" s="15" t="s">
        <v>11797</v>
      </c>
      <c r="E1511" s="4" t="s">
        <v>4151</v>
      </c>
      <c r="F1511" s="37" t="s">
        <v>4152</v>
      </c>
      <c r="G1511" s="38">
        <v>0</v>
      </c>
      <c r="H1511" s="38">
        <v>0</v>
      </c>
      <c r="I1511" s="15"/>
      <c r="J1511" s="494">
        <v>20411031011</v>
      </c>
      <c r="L1511" s="523" t="s">
        <v>3755</v>
      </c>
      <c r="M1511" s="523" t="s">
        <v>607</v>
      </c>
      <c r="N1511" s="518" t="s">
        <v>3756</v>
      </c>
      <c r="O1511" s="523">
        <v>2</v>
      </c>
      <c r="P1511" s="523" t="s">
        <v>693</v>
      </c>
      <c r="Q1511" s="523" t="s">
        <v>1229</v>
      </c>
      <c r="R1511" s="523" t="s">
        <v>671</v>
      </c>
      <c r="S1511" s="523" t="s">
        <v>1225</v>
      </c>
      <c r="T1511" s="518" t="s">
        <v>4132</v>
      </c>
      <c r="U1511" s="38">
        <v>0</v>
      </c>
      <c r="V1511" s="15" t="str">
        <f t="shared" si="147"/>
        <v/>
      </c>
      <c r="W1511" s="10"/>
      <c r="X1511" s="10"/>
      <c r="Y1511" s="10"/>
      <c r="Z1511" s="10"/>
      <c r="AA1511" s="10"/>
      <c r="AB1511" s="10"/>
      <c r="AC1511" s="9"/>
      <c r="AD1511" s="523" t="e">
        <v>#N/A</v>
      </c>
      <c r="AE1511" s="523" t="e">
        <v>#N/A</v>
      </c>
      <c r="AF1511" s="523" t="e">
        <v>#N/A</v>
      </c>
      <c r="AG1511" s="524" t="e">
        <v>#N/A</v>
      </c>
      <c r="AH1511" s="9"/>
      <c r="AI1511" s="10"/>
      <c r="AJ1511" s="9"/>
      <c r="AK1511" s="10"/>
      <c r="AL1511" s="10"/>
    </row>
    <row r="1512" spans="1:38" ht="45" hidden="1">
      <c r="A1512" s="1">
        <f t="shared" si="148"/>
        <v>0</v>
      </c>
      <c r="B1512" s="2" t="s">
        <v>4153</v>
      </c>
      <c r="C1512" s="3" t="s">
        <v>4154</v>
      </c>
      <c r="D1512" s="15" t="s">
        <v>11797</v>
      </c>
      <c r="E1512" s="4" t="s">
        <v>4153</v>
      </c>
      <c r="F1512" s="37" t="s">
        <v>4154</v>
      </c>
      <c r="G1512" s="38">
        <v>0</v>
      </c>
      <c r="H1512" s="38">
        <v>0</v>
      </c>
      <c r="I1512" s="15"/>
      <c r="J1512" s="494">
        <v>20411031012</v>
      </c>
      <c r="L1512" s="523" t="s">
        <v>3755</v>
      </c>
      <c r="M1512" s="523" t="s">
        <v>607</v>
      </c>
      <c r="N1512" s="518" t="s">
        <v>3756</v>
      </c>
      <c r="O1512" s="523">
        <v>2</v>
      </c>
      <c r="P1512" s="523" t="s">
        <v>693</v>
      </c>
      <c r="Q1512" s="523" t="s">
        <v>1229</v>
      </c>
      <c r="R1512" s="523" t="s">
        <v>671</v>
      </c>
      <c r="S1512" s="523" t="s">
        <v>1225</v>
      </c>
      <c r="T1512" s="518" t="s">
        <v>4132</v>
      </c>
      <c r="U1512" s="38">
        <v>0</v>
      </c>
      <c r="V1512" s="15" t="str">
        <f t="shared" si="147"/>
        <v/>
      </c>
      <c r="W1512" s="10"/>
      <c r="X1512" s="10"/>
      <c r="Y1512" s="10"/>
      <c r="Z1512" s="10"/>
      <c r="AA1512" s="10"/>
      <c r="AB1512" s="10"/>
      <c r="AC1512" s="9"/>
      <c r="AD1512" s="523" t="e">
        <v>#N/A</v>
      </c>
      <c r="AE1512" s="523" t="e">
        <v>#N/A</v>
      </c>
      <c r="AF1512" s="523" t="e">
        <v>#N/A</v>
      </c>
      <c r="AG1512" s="524" t="e">
        <v>#N/A</v>
      </c>
      <c r="AH1512" s="9"/>
      <c r="AI1512" s="10"/>
      <c r="AJ1512" s="9"/>
      <c r="AK1512" s="10"/>
      <c r="AL1512" s="10"/>
    </row>
    <row r="1513" spans="1:38" ht="45" hidden="1">
      <c r="A1513" s="1">
        <f t="shared" si="148"/>
        <v>0</v>
      </c>
      <c r="B1513" s="2" t="s">
        <v>4155</v>
      </c>
      <c r="C1513" s="3" t="s">
        <v>4156</v>
      </c>
      <c r="D1513" s="15" t="s">
        <v>11797</v>
      </c>
      <c r="E1513" s="4" t="s">
        <v>4155</v>
      </c>
      <c r="F1513" s="37" t="s">
        <v>4156</v>
      </c>
      <c r="G1513" s="38">
        <v>0</v>
      </c>
      <c r="H1513" s="38">
        <v>0</v>
      </c>
      <c r="I1513" s="15"/>
      <c r="J1513" s="494">
        <v>20411031013</v>
      </c>
      <c r="L1513" s="523" t="s">
        <v>3755</v>
      </c>
      <c r="M1513" s="523" t="s">
        <v>607</v>
      </c>
      <c r="N1513" s="518" t="s">
        <v>3756</v>
      </c>
      <c r="O1513" s="523">
        <v>2</v>
      </c>
      <c r="P1513" s="523" t="s">
        <v>693</v>
      </c>
      <c r="Q1513" s="523" t="s">
        <v>1229</v>
      </c>
      <c r="R1513" s="523" t="s">
        <v>671</v>
      </c>
      <c r="S1513" s="523" t="s">
        <v>1225</v>
      </c>
      <c r="T1513" s="518" t="s">
        <v>4132</v>
      </c>
      <c r="U1513" s="38">
        <v>0</v>
      </c>
      <c r="V1513" s="15" t="str">
        <f t="shared" si="147"/>
        <v/>
      </c>
      <c r="W1513" s="10"/>
      <c r="X1513" s="10"/>
      <c r="Y1513" s="10"/>
      <c r="Z1513" s="10"/>
      <c r="AA1513" s="10"/>
      <c r="AB1513" s="10"/>
      <c r="AC1513" s="9"/>
      <c r="AD1513" s="523" t="e">
        <v>#N/A</v>
      </c>
      <c r="AE1513" s="523" t="e">
        <v>#N/A</v>
      </c>
      <c r="AF1513" s="523" t="e">
        <v>#N/A</v>
      </c>
      <c r="AG1513" s="524" t="e">
        <v>#N/A</v>
      </c>
      <c r="AH1513" s="9"/>
      <c r="AI1513" s="10"/>
      <c r="AJ1513" s="9"/>
      <c r="AK1513" s="10"/>
      <c r="AL1513" s="10"/>
    </row>
    <row r="1514" spans="1:38" ht="45" hidden="1">
      <c r="A1514" s="1">
        <f t="shared" si="148"/>
        <v>0</v>
      </c>
      <c r="B1514" s="2" t="s">
        <v>4157</v>
      </c>
      <c r="C1514" s="3" t="s">
        <v>4158</v>
      </c>
      <c r="D1514" s="15" t="s">
        <v>11797</v>
      </c>
      <c r="E1514" s="4" t="s">
        <v>4157</v>
      </c>
      <c r="F1514" s="37" t="s">
        <v>4158</v>
      </c>
      <c r="G1514" s="38">
        <v>0</v>
      </c>
      <c r="H1514" s="38">
        <v>0</v>
      </c>
      <c r="I1514" s="15"/>
      <c r="J1514" s="494">
        <v>20411031014</v>
      </c>
      <c r="L1514" s="523" t="s">
        <v>3755</v>
      </c>
      <c r="M1514" s="523" t="s">
        <v>607</v>
      </c>
      <c r="N1514" s="518" t="s">
        <v>3756</v>
      </c>
      <c r="O1514" s="523">
        <v>2</v>
      </c>
      <c r="P1514" s="523" t="s">
        <v>693</v>
      </c>
      <c r="Q1514" s="523" t="s">
        <v>1229</v>
      </c>
      <c r="R1514" s="523" t="s">
        <v>671</v>
      </c>
      <c r="S1514" s="523" t="s">
        <v>1225</v>
      </c>
      <c r="T1514" s="518" t="s">
        <v>4132</v>
      </c>
      <c r="U1514" s="38">
        <v>0</v>
      </c>
      <c r="V1514" s="15" t="str">
        <f t="shared" si="147"/>
        <v/>
      </c>
      <c r="W1514" s="10"/>
      <c r="X1514" s="10"/>
      <c r="Y1514" s="10"/>
      <c r="Z1514" s="10"/>
      <c r="AA1514" s="10"/>
      <c r="AB1514" s="10"/>
      <c r="AC1514" s="9"/>
      <c r="AD1514" s="523" t="e">
        <v>#N/A</v>
      </c>
      <c r="AE1514" s="523" t="e">
        <v>#N/A</v>
      </c>
      <c r="AF1514" s="523" t="e">
        <v>#N/A</v>
      </c>
      <c r="AG1514" s="524" t="e">
        <v>#N/A</v>
      </c>
      <c r="AH1514" s="9"/>
      <c r="AI1514" s="10"/>
      <c r="AJ1514" s="9"/>
      <c r="AK1514" s="10"/>
      <c r="AL1514" s="10"/>
    </row>
    <row r="1515" spans="1:38" ht="45" hidden="1">
      <c r="A1515" s="1">
        <f t="shared" si="148"/>
        <v>0</v>
      </c>
      <c r="B1515" s="2" t="s">
        <v>4159</v>
      </c>
      <c r="C1515" s="3" t="s">
        <v>4160</v>
      </c>
      <c r="D1515" s="15" t="s">
        <v>11797</v>
      </c>
      <c r="E1515" s="4" t="s">
        <v>4159</v>
      </c>
      <c r="F1515" s="37" t="s">
        <v>4160</v>
      </c>
      <c r="G1515" s="38">
        <v>0</v>
      </c>
      <c r="H1515" s="38">
        <v>0</v>
      </c>
      <c r="I1515" s="15"/>
      <c r="J1515" s="494">
        <v>20411031015</v>
      </c>
      <c r="L1515" s="523" t="s">
        <v>3755</v>
      </c>
      <c r="M1515" s="523" t="s">
        <v>607</v>
      </c>
      <c r="N1515" s="518" t="s">
        <v>3756</v>
      </c>
      <c r="O1515" s="523">
        <v>2</v>
      </c>
      <c r="P1515" s="523" t="s">
        <v>693</v>
      </c>
      <c r="Q1515" s="523" t="s">
        <v>1229</v>
      </c>
      <c r="R1515" s="523" t="s">
        <v>671</v>
      </c>
      <c r="S1515" s="523" t="s">
        <v>1225</v>
      </c>
      <c r="T1515" s="518" t="s">
        <v>4132</v>
      </c>
      <c r="U1515" s="38">
        <v>0</v>
      </c>
      <c r="V1515" s="15" t="str">
        <f t="shared" si="147"/>
        <v/>
      </c>
      <c r="W1515" s="10"/>
      <c r="X1515" s="10"/>
      <c r="Y1515" s="10"/>
      <c r="Z1515" s="10"/>
      <c r="AA1515" s="10"/>
      <c r="AB1515" s="10"/>
      <c r="AC1515" s="9"/>
      <c r="AD1515" s="523" t="e">
        <v>#N/A</v>
      </c>
      <c r="AE1515" s="523" t="e">
        <v>#N/A</v>
      </c>
      <c r="AF1515" s="523" t="e">
        <v>#N/A</v>
      </c>
      <c r="AG1515" s="524" t="e">
        <v>#N/A</v>
      </c>
      <c r="AH1515" s="9"/>
      <c r="AI1515" s="10"/>
      <c r="AJ1515" s="9"/>
      <c r="AK1515" s="10"/>
      <c r="AL1515" s="10"/>
    </row>
    <row r="1516" spans="1:38" ht="45" hidden="1">
      <c r="A1516" s="1">
        <f t="shared" si="148"/>
        <v>0</v>
      </c>
      <c r="B1516" s="2" t="s">
        <v>4161</v>
      </c>
      <c r="C1516" s="3" t="s">
        <v>4162</v>
      </c>
      <c r="D1516" s="15" t="s">
        <v>11797</v>
      </c>
      <c r="E1516" s="4" t="s">
        <v>4161</v>
      </c>
      <c r="F1516" s="37" t="s">
        <v>4162</v>
      </c>
      <c r="G1516" s="38">
        <v>0</v>
      </c>
      <c r="H1516" s="38">
        <v>0</v>
      </c>
      <c r="I1516" s="15"/>
      <c r="J1516" s="494">
        <v>20411031016</v>
      </c>
      <c r="L1516" s="523" t="s">
        <v>3755</v>
      </c>
      <c r="M1516" s="523" t="s">
        <v>607</v>
      </c>
      <c r="N1516" s="518" t="s">
        <v>3756</v>
      </c>
      <c r="O1516" s="523">
        <v>2</v>
      </c>
      <c r="P1516" s="523" t="s">
        <v>693</v>
      </c>
      <c r="Q1516" s="523" t="s">
        <v>1229</v>
      </c>
      <c r="R1516" s="523" t="s">
        <v>671</v>
      </c>
      <c r="S1516" s="523" t="s">
        <v>1225</v>
      </c>
      <c r="T1516" s="518" t="s">
        <v>4132</v>
      </c>
      <c r="U1516" s="38">
        <v>0</v>
      </c>
      <c r="V1516" s="15" t="str">
        <f t="shared" si="147"/>
        <v/>
      </c>
      <c r="W1516" s="10"/>
      <c r="X1516" s="10"/>
      <c r="Y1516" s="10"/>
      <c r="Z1516" s="10"/>
      <c r="AA1516" s="10"/>
      <c r="AB1516" s="10"/>
      <c r="AC1516" s="9"/>
      <c r="AD1516" s="523" t="e">
        <v>#N/A</v>
      </c>
      <c r="AE1516" s="523" t="e">
        <v>#N/A</v>
      </c>
      <c r="AF1516" s="523" t="e">
        <v>#N/A</v>
      </c>
      <c r="AG1516" s="524" t="e">
        <v>#N/A</v>
      </c>
      <c r="AH1516" s="9"/>
      <c r="AI1516" s="10"/>
      <c r="AJ1516" s="9"/>
      <c r="AK1516" s="10"/>
      <c r="AL1516" s="10"/>
    </row>
    <row r="1517" spans="1:38" ht="45" hidden="1">
      <c r="A1517" s="1">
        <f t="shared" si="148"/>
        <v>0</v>
      </c>
      <c r="B1517" s="2" t="s">
        <v>4163</v>
      </c>
      <c r="C1517" s="3" t="s">
        <v>4164</v>
      </c>
      <c r="D1517" s="15" t="s">
        <v>11797</v>
      </c>
      <c r="E1517" s="4" t="s">
        <v>4163</v>
      </c>
      <c r="F1517" s="37" t="s">
        <v>4164</v>
      </c>
      <c r="G1517" s="38">
        <v>0</v>
      </c>
      <c r="H1517" s="38">
        <v>0</v>
      </c>
      <c r="I1517" s="15"/>
      <c r="J1517" s="494">
        <v>20411031017</v>
      </c>
      <c r="L1517" s="523" t="s">
        <v>3755</v>
      </c>
      <c r="M1517" s="523" t="s">
        <v>607</v>
      </c>
      <c r="N1517" s="518" t="s">
        <v>3756</v>
      </c>
      <c r="O1517" s="523">
        <v>2</v>
      </c>
      <c r="P1517" s="523" t="s">
        <v>693</v>
      </c>
      <c r="Q1517" s="523" t="s">
        <v>1229</v>
      </c>
      <c r="R1517" s="523" t="s">
        <v>671</v>
      </c>
      <c r="S1517" s="523" t="s">
        <v>1225</v>
      </c>
      <c r="T1517" s="518" t="s">
        <v>4132</v>
      </c>
      <c r="U1517" s="38">
        <v>0</v>
      </c>
      <c r="V1517" s="15" t="str">
        <f t="shared" si="147"/>
        <v/>
      </c>
      <c r="W1517" s="10"/>
      <c r="X1517" s="10"/>
      <c r="Y1517" s="10"/>
      <c r="Z1517" s="10"/>
      <c r="AA1517" s="10"/>
      <c r="AB1517" s="10"/>
      <c r="AC1517" s="9"/>
      <c r="AD1517" s="523" t="e">
        <v>#N/A</v>
      </c>
      <c r="AE1517" s="523" t="e">
        <v>#N/A</v>
      </c>
      <c r="AF1517" s="523" t="e">
        <v>#N/A</v>
      </c>
      <c r="AG1517" s="524" t="e">
        <v>#N/A</v>
      </c>
      <c r="AH1517" s="9"/>
      <c r="AI1517" s="10"/>
      <c r="AJ1517" s="9"/>
      <c r="AK1517" s="10"/>
      <c r="AL1517" s="10"/>
    </row>
    <row r="1518" spans="1:38" ht="45" hidden="1">
      <c r="A1518" s="1">
        <f t="shared" si="148"/>
        <v>0</v>
      </c>
      <c r="B1518" s="2" t="s">
        <v>4165</v>
      </c>
      <c r="C1518" s="3" t="s">
        <v>4166</v>
      </c>
      <c r="D1518" s="15" t="s">
        <v>11797</v>
      </c>
      <c r="E1518" s="4" t="s">
        <v>4165</v>
      </c>
      <c r="F1518" s="37" t="s">
        <v>4166</v>
      </c>
      <c r="G1518" s="38">
        <v>0</v>
      </c>
      <c r="H1518" s="38">
        <v>0</v>
      </c>
      <c r="I1518" s="15"/>
      <c r="J1518" s="494">
        <v>20411031018</v>
      </c>
      <c r="L1518" s="523" t="s">
        <v>3755</v>
      </c>
      <c r="M1518" s="523" t="s">
        <v>607</v>
      </c>
      <c r="N1518" s="518" t="s">
        <v>3756</v>
      </c>
      <c r="O1518" s="523">
        <v>2</v>
      </c>
      <c r="P1518" s="523" t="s">
        <v>693</v>
      </c>
      <c r="Q1518" s="523" t="s">
        <v>1229</v>
      </c>
      <c r="R1518" s="523" t="s">
        <v>671</v>
      </c>
      <c r="S1518" s="523" t="s">
        <v>1225</v>
      </c>
      <c r="T1518" s="518" t="s">
        <v>4132</v>
      </c>
      <c r="U1518" s="38">
        <v>0</v>
      </c>
      <c r="V1518" s="15" t="str">
        <f t="shared" si="147"/>
        <v/>
      </c>
      <c r="W1518" s="10"/>
      <c r="X1518" s="10"/>
      <c r="Y1518" s="10"/>
      <c r="Z1518" s="10"/>
      <c r="AA1518" s="10"/>
      <c r="AB1518" s="10"/>
      <c r="AC1518" s="9"/>
      <c r="AD1518" s="523" t="e">
        <v>#N/A</v>
      </c>
      <c r="AE1518" s="523" t="e">
        <v>#N/A</v>
      </c>
      <c r="AF1518" s="523" t="e">
        <v>#N/A</v>
      </c>
      <c r="AG1518" s="524" t="e">
        <v>#N/A</v>
      </c>
      <c r="AH1518" s="9"/>
      <c r="AI1518" s="10"/>
      <c r="AJ1518" s="9"/>
      <c r="AK1518" s="10"/>
      <c r="AL1518" s="10"/>
    </row>
    <row r="1519" spans="1:38" ht="33.75" hidden="1">
      <c r="A1519" s="1">
        <f t="shared" si="148"/>
        <v>0</v>
      </c>
      <c r="B1519" s="2" t="s">
        <v>4167</v>
      </c>
      <c r="C1519" s="3" t="s">
        <v>4168</v>
      </c>
      <c r="D1519" s="15" t="s">
        <v>11797</v>
      </c>
      <c r="E1519" s="4" t="s">
        <v>4167</v>
      </c>
      <c r="F1519" s="37" t="s">
        <v>4168</v>
      </c>
      <c r="G1519" s="38">
        <v>0</v>
      </c>
      <c r="H1519" s="38">
        <v>0</v>
      </c>
      <c r="I1519" s="15"/>
      <c r="J1519" s="494">
        <v>20411031019</v>
      </c>
      <c r="L1519" s="523" t="s">
        <v>3755</v>
      </c>
      <c r="M1519" s="523" t="s">
        <v>607</v>
      </c>
      <c r="N1519" s="518" t="s">
        <v>3756</v>
      </c>
      <c r="O1519" s="523">
        <v>2</v>
      </c>
      <c r="P1519" s="523" t="s">
        <v>693</v>
      </c>
      <c r="Q1519" s="523" t="s">
        <v>1229</v>
      </c>
      <c r="R1519" s="523" t="s">
        <v>671</v>
      </c>
      <c r="S1519" s="523" t="s">
        <v>1225</v>
      </c>
      <c r="T1519" s="518" t="s">
        <v>4132</v>
      </c>
      <c r="U1519" s="38">
        <v>0</v>
      </c>
      <c r="V1519" s="15" t="str">
        <f t="shared" si="147"/>
        <v/>
      </c>
      <c r="W1519" s="10"/>
      <c r="X1519" s="10"/>
      <c r="Y1519" s="10"/>
      <c r="Z1519" s="10"/>
      <c r="AA1519" s="10"/>
      <c r="AB1519" s="10"/>
      <c r="AC1519" s="9"/>
      <c r="AD1519" s="523" t="e">
        <v>#N/A</v>
      </c>
      <c r="AE1519" s="523" t="e">
        <v>#N/A</v>
      </c>
      <c r="AF1519" s="523" t="e">
        <v>#N/A</v>
      </c>
      <c r="AG1519" s="524" t="e">
        <v>#N/A</v>
      </c>
      <c r="AH1519" s="9"/>
      <c r="AI1519" s="10"/>
      <c r="AJ1519" s="9"/>
      <c r="AK1519" s="10"/>
      <c r="AL1519" s="10"/>
    </row>
    <row r="1520" spans="1:38" ht="33.75" hidden="1">
      <c r="A1520" s="1">
        <f t="shared" si="148"/>
        <v>0</v>
      </c>
      <c r="B1520" s="2" t="s">
        <v>4169</v>
      </c>
      <c r="C1520" s="3" t="s">
        <v>4170</v>
      </c>
      <c r="D1520" s="15" t="s">
        <v>11797</v>
      </c>
      <c r="E1520" s="4" t="s">
        <v>4169</v>
      </c>
      <c r="F1520" s="37" t="s">
        <v>4170</v>
      </c>
      <c r="G1520" s="38">
        <v>0</v>
      </c>
      <c r="H1520" s="38">
        <v>0</v>
      </c>
      <c r="I1520" s="15"/>
      <c r="J1520" s="494">
        <v>20411031020</v>
      </c>
      <c r="L1520" s="523" t="s">
        <v>3755</v>
      </c>
      <c r="M1520" s="523" t="s">
        <v>607</v>
      </c>
      <c r="N1520" s="518" t="s">
        <v>3756</v>
      </c>
      <c r="O1520" s="523">
        <v>2</v>
      </c>
      <c r="P1520" s="523" t="s">
        <v>693</v>
      </c>
      <c r="Q1520" s="523" t="s">
        <v>1229</v>
      </c>
      <c r="R1520" s="523" t="s">
        <v>671</v>
      </c>
      <c r="S1520" s="523" t="s">
        <v>1225</v>
      </c>
      <c r="T1520" s="518" t="s">
        <v>4132</v>
      </c>
      <c r="U1520" s="38">
        <v>0</v>
      </c>
      <c r="V1520" s="15" t="str">
        <f t="shared" si="147"/>
        <v/>
      </c>
      <c r="W1520" s="10"/>
      <c r="X1520" s="10"/>
      <c r="Y1520" s="10"/>
      <c r="Z1520" s="10"/>
      <c r="AA1520" s="10"/>
      <c r="AB1520" s="10"/>
      <c r="AC1520" s="9"/>
      <c r="AD1520" s="523" t="e">
        <v>#N/A</v>
      </c>
      <c r="AE1520" s="523" t="e">
        <v>#N/A</v>
      </c>
      <c r="AF1520" s="523" t="e">
        <v>#N/A</v>
      </c>
      <c r="AG1520" s="524" t="e">
        <v>#N/A</v>
      </c>
      <c r="AH1520" s="9"/>
      <c r="AI1520" s="10"/>
      <c r="AJ1520" s="9"/>
      <c r="AK1520" s="10"/>
      <c r="AL1520" s="10"/>
    </row>
    <row r="1521" spans="1:38" ht="33.75" hidden="1">
      <c r="A1521" s="1">
        <f t="shared" si="148"/>
        <v>0</v>
      </c>
      <c r="B1521" s="2" t="s">
        <v>4171</v>
      </c>
      <c r="C1521" s="3" t="s">
        <v>4172</v>
      </c>
      <c r="D1521" s="15" t="s">
        <v>11797</v>
      </c>
      <c r="E1521" s="4" t="s">
        <v>4171</v>
      </c>
      <c r="F1521" s="37" t="s">
        <v>4172</v>
      </c>
      <c r="G1521" s="38">
        <v>0</v>
      </c>
      <c r="H1521" s="38">
        <v>0</v>
      </c>
      <c r="I1521" s="15"/>
      <c r="J1521" s="494">
        <v>20411031021</v>
      </c>
      <c r="L1521" s="523" t="s">
        <v>3755</v>
      </c>
      <c r="M1521" s="523" t="s">
        <v>607</v>
      </c>
      <c r="N1521" s="518" t="s">
        <v>3756</v>
      </c>
      <c r="O1521" s="523">
        <v>2</v>
      </c>
      <c r="P1521" s="523" t="s">
        <v>693</v>
      </c>
      <c r="Q1521" s="523" t="s">
        <v>1229</v>
      </c>
      <c r="R1521" s="523" t="s">
        <v>671</v>
      </c>
      <c r="S1521" s="523" t="s">
        <v>1225</v>
      </c>
      <c r="T1521" s="518" t="s">
        <v>4132</v>
      </c>
      <c r="U1521" s="38">
        <v>0</v>
      </c>
      <c r="V1521" s="15" t="str">
        <f t="shared" si="147"/>
        <v/>
      </c>
      <c r="W1521" s="10"/>
      <c r="X1521" s="10"/>
      <c r="Y1521" s="10"/>
      <c r="Z1521" s="10"/>
      <c r="AA1521" s="10"/>
      <c r="AB1521" s="10"/>
      <c r="AC1521" s="9"/>
      <c r="AD1521" s="523" t="e">
        <v>#N/A</v>
      </c>
      <c r="AE1521" s="523" t="e">
        <v>#N/A</v>
      </c>
      <c r="AF1521" s="523" t="e">
        <v>#N/A</v>
      </c>
      <c r="AG1521" s="524" t="e">
        <v>#N/A</v>
      </c>
      <c r="AH1521" s="9"/>
      <c r="AI1521" s="10"/>
      <c r="AJ1521" s="9"/>
      <c r="AK1521" s="10"/>
      <c r="AL1521" s="10"/>
    </row>
    <row r="1522" spans="1:38" ht="33.75" hidden="1">
      <c r="A1522" s="1">
        <f t="shared" si="148"/>
        <v>0</v>
      </c>
      <c r="B1522" s="2" t="s">
        <v>4173</v>
      </c>
      <c r="C1522" s="3" t="s">
        <v>4174</v>
      </c>
      <c r="D1522" s="15" t="s">
        <v>11797</v>
      </c>
      <c r="E1522" s="4" t="s">
        <v>4173</v>
      </c>
      <c r="F1522" s="37" t="s">
        <v>4174</v>
      </c>
      <c r="G1522" s="38">
        <v>0</v>
      </c>
      <c r="H1522" s="38">
        <v>0</v>
      </c>
      <c r="I1522" s="15"/>
      <c r="J1522" s="494">
        <v>20411031022</v>
      </c>
      <c r="L1522" s="523" t="s">
        <v>3755</v>
      </c>
      <c r="M1522" s="523" t="s">
        <v>607</v>
      </c>
      <c r="N1522" s="518" t="s">
        <v>3756</v>
      </c>
      <c r="O1522" s="523">
        <v>2</v>
      </c>
      <c r="P1522" s="523" t="s">
        <v>693</v>
      </c>
      <c r="Q1522" s="523" t="s">
        <v>1229</v>
      </c>
      <c r="R1522" s="523" t="s">
        <v>671</v>
      </c>
      <c r="S1522" s="523" t="s">
        <v>1225</v>
      </c>
      <c r="T1522" s="518" t="s">
        <v>4132</v>
      </c>
      <c r="U1522" s="38">
        <v>0</v>
      </c>
      <c r="V1522" s="15" t="str">
        <f t="shared" si="147"/>
        <v/>
      </c>
      <c r="W1522" s="10"/>
      <c r="X1522" s="10"/>
      <c r="Y1522" s="10"/>
      <c r="Z1522" s="10"/>
      <c r="AA1522" s="10"/>
      <c r="AB1522" s="10"/>
      <c r="AC1522" s="9"/>
      <c r="AD1522" s="523" t="e">
        <v>#N/A</v>
      </c>
      <c r="AE1522" s="523" t="e">
        <v>#N/A</v>
      </c>
      <c r="AF1522" s="523" t="e">
        <v>#N/A</v>
      </c>
      <c r="AG1522" s="524" t="e">
        <v>#N/A</v>
      </c>
      <c r="AH1522" s="9"/>
      <c r="AI1522" s="10"/>
      <c r="AJ1522" s="9"/>
      <c r="AK1522" s="10"/>
      <c r="AL1522" s="10"/>
    </row>
    <row r="1523" spans="1:38" ht="33.75" hidden="1">
      <c r="A1523" s="1">
        <f t="shared" si="148"/>
        <v>0</v>
      </c>
      <c r="B1523" s="2" t="s">
        <v>4175</v>
      </c>
      <c r="C1523" s="3" t="s">
        <v>4176</v>
      </c>
      <c r="D1523" s="15" t="s">
        <v>11797</v>
      </c>
      <c r="E1523" s="4" t="s">
        <v>4175</v>
      </c>
      <c r="F1523" s="37" t="s">
        <v>4176</v>
      </c>
      <c r="G1523" s="38">
        <v>0</v>
      </c>
      <c r="H1523" s="38">
        <v>0</v>
      </c>
      <c r="I1523" s="15"/>
      <c r="J1523" s="494">
        <v>20411031023</v>
      </c>
      <c r="L1523" s="523" t="s">
        <v>3755</v>
      </c>
      <c r="M1523" s="523" t="s">
        <v>607</v>
      </c>
      <c r="N1523" s="518" t="s">
        <v>3756</v>
      </c>
      <c r="O1523" s="523">
        <v>2</v>
      </c>
      <c r="P1523" s="523" t="s">
        <v>693</v>
      </c>
      <c r="Q1523" s="523" t="s">
        <v>1229</v>
      </c>
      <c r="R1523" s="523" t="s">
        <v>671</v>
      </c>
      <c r="S1523" s="523" t="s">
        <v>1225</v>
      </c>
      <c r="T1523" s="518" t="s">
        <v>4132</v>
      </c>
      <c r="U1523" s="38">
        <v>0</v>
      </c>
      <c r="V1523" s="15" t="str">
        <f t="shared" si="147"/>
        <v/>
      </c>
      <c r="W1523" s="10"/>
      <c r="X1523" s="10"/>
      <c r="Y1523" s="10"/>
      <c r="Z1523" s="10"/>
      <c r="AA1523" s="10"/>
      <c r="AB1523" s="10"/>
      <c r="AC1523" s="9"/>
      <c r="AD1523" s="523" t="e">
        <v>#N/A</v>
      </c>
      <c r="AE1523" s="523" t="e">
        <v>#N/A</v>
      </c>
      <c r="AF1523" s="523" t="e">
        <v>#N/A</v>
      </c>
      <c r="AG1523" s="524" t="e">
        <v>#N/A</v>
      </c>
      <c r="AH1523" s="9"/>
      <c r="AI1523" s="10"/>
      <c r="AJ1523" s="9"/>
      <c r="AK1523" s="10"/>
      <c r="AL1523" s="10"/>
    </row>
    <row r="1524" spans="1:38" ht="33.75" hidden="1">
      <c r="A1524" s="1">
        <f t="shared" si="148"/>
        <v>0</v>
      </c>
      <c r="B1524" s="2" t="s">
        <v>4177</v>
      </c>
      <c r="C1524" s="3" t="s">
        <v>4178</v>
      </c>
      <c r="D1524" s="15" t="s">
        <v>11797</v>
      </c>
      <c r="E1524" s="4" t="s">
        <v>4177</v>
      </c>
      <c r="F1524" s="37" t="s">
        <v>4178</v>
      </c>
      <c r="G1524" s="38">
        <v>0</v>
      </c>
      <c r="H1524" s="38">
        <v>0</v>
      </c>
      <c r="I1524" s="15"/>
      <c r="J1524" s="494">
        <v>20411031024</v>
      </c>
      <c r="L1524" s="523" t="s">
        <v>3755</v>
      </c>
      <c r="M1524" s="523" t="s">
        <v>607</v>
      </c>
      <c r="N1524" s="518" t="s">
        <v>3756</v>
      </c>
      <c r="O1524" s="523">
        <v>2</v>
      </c>
      <c r="P1524" s="523" t="s">
        <v>693</v>
      </c>
      <c r="Q1524" s="523" t="s">
        <v>1229</v>
      </c>
      <c r="R1524" s="523" t="s">
        <v>671</v>
      </c>
      <c r="S1524" s="523" t="s">
        <v>1225</v>
      </c>
      <c r="T1524" s="518" t="s">
        <v>4132</v>
      </c>
      <c r="U1524" s="38">
        <v>0</v>
      </c>
      <c r="V1524" s="15" t="str">
        <f t="shared" si="147"/>
        <v/>
      </c>
      <c r="W1524" s="10"/>
      <c r="X1524" s="10"/>
      <c r="Y1524" s="10"/>
      <c r="Z1524" s="10"/>
      <c r="AA1524" s="10"/>
      <c r="AB1524" s="10"/>
      <c r="AC1524" s="9"/>
      <c r="AD1524" s="523" t="e">
        <v>#N/A</v>
      </c>
      <c r="AE1524" s="523" t="e">
        <v>#N/A</v>
      </c>
      <c r="AF1524" s="523" t="e">
        <v>#N/A</v>
      </c>
      <c r="AG1524" s="524" t="e">
        <v>#N/A</v>
      </c>
      <c r="AH1524" s="9"/>
      <c r="AI1524" s="10"/>
      <c r="AJ1524" s="9"/>
      <c r="AK1524" s="10"/>
      <c r="AL1524" s="10"/>
    </row>
    <row r="1525" spans="1:38" ht="33.75" hidden="1">
      <c r="A1525" s="1">
        <f t="shared" si="148"/>
        <v>0</v>
      </c>
      <c r="B1525" s="2" t="s">
        <v>4179</v>
      </c>
      <c r="C1525" s="3" t="s">
        <v>4180</v>
      </c>
      <c r="D1525" s="15" t="s">
        <v>11797</v>
      </c>
      <c r="E1525" s="4" t="s">
        <v>4179</v>
      </c>
      <c r="F1525" s="37" t="s">
        <v>4180</v>
      </c>
      <c r="G1525" s="38">
        <v>0</v>
      </c>
      <c r="H1525" s="38">
        <v>0</v>
      </c>
      <c r="I1525" s="15"/>
      <c r="J1525" s="494">
        <v>20411031025</v>
      </c>
      <c r="L1525" s="523" t="s">
        <v>3755</v>
      </c>
      <c r="M1525" s="523" t="s">
        <v>607</v>
      </c>
      <c r="N1525" s="518" t="s">
        <v>3756</v>
      </c>
      <c r="O1525" s="523">
        <v>2</v>
      </c>
      <c r="P1525" s="523" t="s">
        <v>693</v>
      </c>
      <c r="Q1525" s="523" t="s">
        <v>1229</v>
      </c>
      <c r="R1525" s="523" t="s">
        <v>671</v>
      </c>
      <c r="S1525" s="523" t="s">
        <v>1225</v>
      </c>
      <c r="T1525" s="518" t="s">
        <v>4132</v>
      </c>
      <c r="U1525" s="38">
        <v>0</v>
      </c>
      <c r="V1525" s="15" t="str">
        <f t="shared" si="147"/>
        <v/>
      </c>
      <c r="W1525" s="10"/>
      <c r="X1525" s="10"/>
      <c r="Y1525" s="10"/>
      <c r="Z1525" s="10"/>
      <c r="AA1525" s="10"/>
      <c r="AB1525" s="10"/>
      <c r="AC1525" s="10"/>
      <c r="AD1525" s="523" t="e">
        <v>#N/A</v>
      </c>
      <c r="AE1525" s="523" t="e">
        <v>#N/A</v>
      </c>
      <c r="AF1525" s="523" t="e">
        <v>#N/A</v>
      </c>
      <c r="AG1525" s="524" t="e">
        <v>#N/A</v>
      </c>
      <c r="AH1525" s="9"/>
      <c r="AI1525" s="10"/>
      <c r="AJ1525" s="9"/>
      <c r="AK1525" s="10"/>
      <c r="AL1525" s="10"/>
    </row>
    <row r="1526" spans="1:38" ht="33.75" hidden="1">
      <c r="A1526" s="1">
        <f t="shared" si="148"/>
        <v>0</v>
      </c>
      <c r="B1526" s="2" t="s">
        <v>4181</v>
      </c>
      <c r="C1526" s="3" t="s">
        <v>4182</v>
      </c>
      <c r="D1526" s="15" t="s">
        <v>11797</v>
      </c>
      <c r="E1526" s="4" t="s">
        <v>4181</v>
      </c>
      <c r="F1526" s="37" t="s">
        <v>4182</v>
      </c>
      <c r="G1526" s="38">
        <v>0</v>
      </c>
      <c r="H1526" s="38">
        <v>0</v>
      </c>
      <c r="I1526" s="15"/>
      <c r="J1526" s="494">
        <v>20411031026</v>
      </c>
      <c r="L1526" s="523" t="s">
        <v>3755</v>
      </c>
      <c r="M1526" s="523" t="s">
        <v>607</v>
      </c>
      <c r="N1526" s="518" t="s">
        <v>3756</v>
      </c>
      <c r="O1526" s="523">
        <v>2</v>
      </c>
      <c r="P1526" s="523" t="s">
        <v>693</v>
      </c>
      <c r="Q1526" s="523" t="s">
        <v>1229</v>
      </c>
      <c r="R1526" s="523" t="s">
        <v>671</v>
      </c>
      <c r="S1526" s="523" t="s">
        <v>1225</v>
      </c>
      <c r="T1526" s="518" t="s">
        <v>4132</v>
      </c>
      <c r="U1526" s="38">
        <v>0</v>
      </c>
      <c r="V1526" s="15" t="str">
        <f t="shared" si="147"/>
        <v/>
      </c>
      <c r="W1526" s="10"/>
      <c r="X1526" s="10"/>
      <c r="Y1526" s="10"/>
      <c r="Z1526" s="10"/>
      <c r="AA1526" s="10"/>
      <c r="AB1526" s="10"/>
      <c r="AC1526" s="10"/>
      <c r="AD1526" s="523" t="e">
        <v>#N/A</v>
      </c>
      <c r="AE1526" s="523" t="e">
        <v>#N/A</v>
      </c>
      <c r="AF1526" s="523" t="e">
        <v>#N/A</v>
      </c>
      <c r="AG1526" s="524" t="e">
        <v>#N/A</v>
      </c>
      <c r="AH1526" s="9"/>
      <c r="AI1526" s="10"/>
      <c r="AJ1526" s="9"/>
      <c r="AK1526" s="10"/>
      <c r="AL1526" s="10"/>
    </row>
    <row r="1527" spans="1:38" ht="33.75" hidden="1">
      <c r="A1527" s="1">
        <f t="shared" si="148"/>
        <v>0</v>
      </c>
      <c r="B1527" s="2" t="s">
        <v>4183</v>
      </c>
      <c r="C1527" s="3" t="s">
        <v>4184</v>
      </c>
      <c r="D1527" s="15" t="s">
        <v>11797</v>
      </c>
      <c r="E1527" s="4" t="s">
        <v>4183</v>
      </c>
      <c r="F1527" s="37" t="s">
        <v>4184</v>
      </c>
      <c r="G1527" s="38">
        <v>80921.64</v>
      </c>
      <c r="H1527" s="38">
        <v>0</v>
      </c>
      <c r="I1527" s="15"/>
      <c r="J1527" s="494">
        <v>20411031027</v>
      </c>
      <c r="L1527" s="523" t="s">
        <v>3755</v>
      </c>
      <c r="M1527" s="523" t="s">
        <v>607</v>
      </c>
      <c r="N1527" s="518" t="s">
        <v>3756</v>
      </c>
      <c r="O1527" s="523">
        <v>2</v>
      </c>
      <c r="P1527" s="523" t="s">
        <v>693</v>
      </c>
      <c r="Q1527" s="523" t="s">
        <v>1229</v>
      </c>
      <c r="R1527" s="523" t="s">
        <v>671</v>
      </c>
      <c r="S1527" s="523" t="s">
        <v>1225</v>
      </c>
      <c r="T1527" s="518" t="s">
        <v>4132</v>
      </c>
      <c r="U1527" s="38">
        <v>0</v>
      </c>
      <c r="V1527" s="15" t="str">
        <f t="shared" si="147"/>
        <v/>
      </c>
      <c r="W1527" s="10"/>
      <c r="X1527" s="10"/>
      <c r="Y1527" s="10"/>
      <c r="Z1527" s="10"/>
      <c r="AA1527" s="10"/>
      <c r="AB1527" s="10"/>
      <c r="AC1527" s="10"/>
      <c r="AD1527" s="523" t="e">
        <v>#N/A</v>
      </c>
      <c r="AE1527" s="523" t="e">
        <v>#N/A</v>
      </c>
      <c r="AF1527" s="523" t="e">
        <v>#N/A</v>
      </c>
      <c r="AG1527" s="524" t="e">
        <v>#N/A</v>
      </c>
      <c r="AH1527" s="9"/>
      <c r="AI1527" s="10"/>
      <c r="AJ1527" s="9"/>
      <c r="AK1527" s="10"/>
      <c r="AL1527" s="10"/>
    </row>
    <row r="1528" spans="1:38" ht="33.75" hidden="1">
      <c r="A1528" s="1">
        <f t="shared" si="148"/>
        <v>0</v>
      </c>
      <c r="B1528" s="2" t="s">
        <v>4185</v>
      </c>
      <c r="C1528" s="3" t="s">
        <v>4186</v>
      </c>
      <c r="D1528" s="15" t="s">
        <v>11797</v>
      </c>
      <c r="E1528" s="4" t="s">
        <v>4185</v>
      </c>
      <c r="F1528" s="37" t="s">
        <v>4186</v>
      </c>
      <c r="G1528" s="38">
        <v>154864.24</v>
      </c>
      <c r="H1528" s="38">
        <v>0</v>
      </c>
      <c r="I1528" s="15"/>
      <c r="J1528" s="494">
        <v>20411031028</v>
      </c>
      <c r="L1528" s="523" t="s">
        <v>3755</v>
      </c>
      <c r="M1528" s="523" t="s">
        <v>607</v>
      </c>
      <c r="N1528" s="518" t="s">
        <v>3756</v>
      </c>
      <c r="O1528" s="523">
        <v>2</v>
      </c>
      <c r="P1528" s="523" t="s">
        <v>693</v>
      </c>
      <c r="Q1528" s="523" t="s">
        <v>1229</v>
      </c>
      <c r="R1528" s="523" t="s">
        <v>671</v>
      </c>
      <c r="S1528" s="523" t="s">
        <v>1225</v>
      </c>
      <c r="T1528" s="518" t="s">
        <v>4132</v>
      </c>
      <c r="U1528" s="38">
        <v>0</v>
      </c>
      <c r="V1528" s="15" t="str">
        <f t="shared" si="147"/>
        <v/>
      </c>
      <c r="W1528" s="10"/>
      <c r="X1528" s="10"/>
      <c r="Y1528" s="10"/>
      <c r="Z1528" s="10"/>
      <c r="AA1528" s="10"/>
      <c r="AB1528" s="10"/>
      <c r="AC1528" s="10"/>
      <c r="AD1528" s="523" t="e">
        <v>#N/A</v>
      </c>
      <c r="AE1528" s="523" t="e">
        <v>#N/A</v>
      </c>
      <c r="AF1528" s="523" t="e">
        <v>#N/A</v>
      </c>
      <c r="AG1528" s="524" t="e">
        <v>#N/A</v>
      </c>
      <c r="AH1528" s="9"/>
      <c r="AI1528" s="10"/>
      <c r="AJ1528" s="9"/>
      <c r="AK1528" s="10"/>
      <c r="AL1528" s="10"/>
    </row>
    <row r="1529" spans="1:38" ht="33.75" hidden="1">
      <c r="A1529" s="1">
        <f t="shared" si="148"/>
        <v>0</v>
      </c>
      <c r="B1529" s="2" t="s">
        <v>4187</v>
      </c>
      <c r="C1529" s="3" t="s">
        <v>4188</v>
      </c>
      <c r="D1529" s="15" t="s">
        <v>11797</v>
      </c>
      <c r="E1529" s="4" t="s">
        <v>4187</v>
      </c>
      <c r="F1529" s="37" t="s">
        <v>4188</v>
      </c>
      <c r="G1529" s="38">
        <v>0</v>
      </c>
      <c r="H1529" s="38">
        <v>0</v>
      </c>
      <c r="I1529" s="15"/>
      <c r="J1529" s="494">
        <v>20411031029</v>
      </c>
      <c r="L1529" s="523" t="s">
        <v>3755</v>
      </c>
      <c r="M1529" s="523" t="s">
        <v>607</v>
      </c>
      <c r="N1529" s="518" t="s">
        <v>3756</v>
      </c>
      <c r="O1529" s="523">
        <v>2</v>
      </c>
      <c r="P1529" s="523" t="s">
        <v>693</v>
      </c>
      <c r="Q1529" s="523" t="s">
        <v>1229</v>
      </c>
      <c r="R1529" s="523" t="s">
        <v>671</v>
      </c>
      <c r="S1529" s="523" t="s">
        <v>1225</v>
      </c>
      <c r="T1529" s="518" t="s">
        <v>4132</v>
      </c>
      <c r="U1529" s="38">
        <v>0</v>
      </c>
      <c r="V1529" s="15" t="str">
        <f t="shared" si="147"/>
        <v/>
      </c>
      <c r="W1529" s="10"/>
      <c r="X1529" s="10"/>
      <c r="Y1529" s="10"/>
      <c r="Z1529" s="10"/>
      <c r="AA1529" s="10"/>
      <c r="AB1529" s="10"/>
      <c r="AC1529" s="10"/>
      <c r="AD1529" s="523" t="e">
        <v>#N/A</v>
      </c>
      <c r="AE1529" s="523" t="e">
        <v>#N/A</v>
      </c>
      <c r="AF1529" s="523" t="e">
        <v>#N/A</v>
      </c>
      <c r="AG1529" s="524" t="e">
        <v>#N/A</v>
      </c>
      <c r="AH1529" s="9"/>
      <c r="AI1529" s="10"/>
      <c r="AJ1529" s="9"/>
      <c r="AK1529" s="10"/>
      <c r="AL1529" s="10"/>
    </row>
    <row r="1530" spans="1:38" ht="33.75" hidden="1">
      <c r="A1530" s="1">
        <f t="shared" si="148"/>
        <v>0</v>
      </c>
      <c r="B1530" s="2" t="s">
        <v>4189</v>
      </c>
      <c r="C1530" s="3" t="s">
        <v>4190</v>
      </c>
      <c r="D1530" s="15" t="s">
        <v>11797</v>
      </c>
      <c r="E1530" s="4" t="s">
        <v>4189</v>
      </c>
      <c r="F1530" s="37" t="s">
        <v>4190</v>
      </c>
      <c r="G1530" s="38">
        <v>0</v>
      </c>
      <c r="H1530" s="38">
        <v>0</v>
      </c>
      <c r="I1530" s="15"/>
      <c r="J1530" s="494">
        <v>20411031030</v>
      </c>
      <c r="L1530" s="523" t="s">
        <v>3755</v>
      </c>
      <c r="M1530" s="523" t="s">
        <v>607</v>
      </c>
      <c r="N1530" s="518" t="s">
        <v>3756</v>
      </c>
      <c r="O1530" s="523">
        <v>2</v>
      </c>
      <c r="P1530" s="523" t="s">
        <v>693</v>
      </c>
      <c r="Q1530" s="523" t="s">
        <v>1229</v>
      </c>
      <c r="R1530" s="523" t="s">
        <v>671</v>
      </c>
      <c r="S1530" s="523" t="s">
        <v>1225</v>
      </c>
      <c r="T1530" s="518" t="s">
        <v>4132</v>
      </c>
      <c r="U1530" s="38">
        <v>0</v>
      </c>
      <c r="V1530" s="15" t="str">
        <f t="shared" si="147"/>
        <v/>
      </c>
      <c r="W1530" s="10"/>
      <c r="X1530" s="10"/>
      <c r="Y1530" s="10"/>
      <c r="Z1530" s="10"/>
      <c r="AA1530" s="10"/>
      <c r="AB1530" s="10"/>
      <c r="AC1530" s="10"/>
      <c r="AD1530" s="523" t="e">
        <v>#N/A</v>
      </c>
      <c r="AE1530" s="523" t="e">
        <v>#N/A</v>
      </c>
      <c r="AF1530" s="523" t="e">
        <v>#N/A</v>
      </c>
      <c r="AG1530" s="524" t="e">
        <v>#N/A</v>
      </c>
      <c r="AH1530" s="9"/>
      <c r="AI1530" s="10"/>
      <c r="AJ1530" s="9"/>
      <c r="AK1530" s="10"/>
      <c r="AL1530" s="10"/>
    </row>
    <row r="1531" spans="1:38" ht="33.75" hidden="1">
      <c r="A1531" s="1">
        <f t="shared" si="148"/>
        <v>0</v>
      </c>
      <c r="B1531" s="2" t="s">
        <v>4191</v>
      </c>
      <c r="C1531" s="3" t="s">
        <v>4192</v>
      </c>
      <c r="D1531" s="15" t="s">
        <v>11797</v>
      </c>
      <c r="E1531" s="4" t="s">
        <v>4191</v>
      </c>
      <c r="F1531" s="37" t="s">
        <v>4192</v>
      </c>
      <c r="G1531" s="38">
        <v>0</v>
      </c>
      <c r="H1531" s="38">
        <v>0</v>
      </c>
      <c r="I1531" s="15"/>
      <c r="J1531" s="494">
        <v>20411031031</v>
      </c>
      <c r="L1531" s="523" t="s">
        <v>3755</v>
      </c>
      <c r="M1531" s="523" t="s">
        <v>607</v>
      </c>
      <c r="N1531" s="518" t="s">
        <v>3756</v>
      </c>
      <c r="O1531" s="523">
        <v>2</v>
      </c>
      <c r="P1531" s="523" t="s">
        <v>693</v>
      </c>
      <c r="Q1531" s="523" t="s">
        <v>1229</v>
      </c>
      <c r="R1531" s="523" t="s">
        <v>671</v>
      </c>
      <c r="S1531" s="523" t="s">
        <v>1225</v>
      </c>
      <c r="T1531" s="518" t="s">
        <v>4132</v>
      </c>
      <c r="U1531" s="38">
        <v>0</v>
      </c>
      <c r="V1531" s="15" t="str">
        <f t="shared" si="147"/>
        <v/>
      </c>
      <c r="W1531" s="10"/>
      <c r="X1531" s="10"/>
      <c r="Y1531" s="10"/>
      <c r="Z1531" s="10"/>
      <c r="AA1531" s="10"/>
      <c r="AB1531" s="10"/>
      <c r="AC1531" s="10"/>
      <c r="AD1531" s="523" t="e">
        <v>#N/A</v>
      </c>
      <c r="AE1531" s="523" t="e">
        <v>#N/A</v>
      </c>
      <c r="AF1531" s="523" t="e">
        <v>#N/A</v>
      </c>
      <c r="AG1531" s="524" t="e">
        <v>#N/A</v>
      </c>
      <c r="AH1531" s="9"/>
      <c r="AI1531" s="10"/>
      <c r="AJ1531" s="9"/>
      <c r="AK1531" s="10"/>
      <c r="AL1531" s="10"/>
    </row>
    <row r="1532" spans="1:38" ht="33.75" hidden="1">
      <c r="A1532" s="1">
        <f t="shared" si="148"/>
        <v>0</v>
      </c>
      <c r="B1532" s="2" t="s">
        <v>4193</v>
      </c>
      <c r="C1532" s="3" t="s">
        <v>4194</v>
      </c>
      <c r="D1532" s="15" t="s">
        <v>11797</v>
      </c>
      <c r="E1532" s="4" t="s">
        <v>4193</v>
      </c>
      <c r="F1532" s="37" t="s">
        <v>4194</v>
      </c>
      <c r="G1532" s="38">
        <v>0</v>
      </c>
      <c r="H1532" s="38">
        <v>0</v>
      </c>
      <c r="I1532" s="15"/>
      <c r="J1532" s="494">
        <v>20411031032</v>
      </c>
      <c r="L1532" s="523" t="s">
        <v>3755</v>
      </c>
      <c r="M1532" s="523" t="s">
        <v>607</v>
      </c>
      <c r="N1532" s="518" t="s">
        <v>3756</v>
      </c>
      <c r="O1532" s="523">
        <v>2</v>
      </c>
      <c r="P1532" s="523" t="s">
        <v>693</v>
      </c>
      <c r="Q1532" s="523" t="s">
        <v>1229</v>
      </c>
      <c r="R1532" s="523" t="s">
        <v>671</v>
      </c>
      <c r="S1532" s="523" t="s">
        <v>1225</v>
      </c>
      <c r="T1532" s="518" t="s">
        <v>4132</v>
      </c>
      <c r="U1532" s="38">
        <v>0</v>
      </c>
      <c r="V1532" s="15" t="str">
        <f t="shared" si="147"/>
        <v/>
      </c>
      <c r="W1532" s="10"/>
      <c r="X1532" s="10"/>
      <c r="Y1532" s="10"/>
      <c r="Z1532" s="10"/>
      <c r="AA1532" s="10"/>
      <c r="AB1532" s="10"/>
      <c r="AC1532" s="10"/>
      <c r="AD1532" s="523" t="e">
        <v>#N/A</v>
      </c>
      <c r="AE1532" s="523" t="e">
        <v>#N/A</v>
      </c>
      <c r="AF1532" s="523" t="e">
        <v>#N/A</v>
      </c>
      <c r="AG1532" s="524" t="e">
        <v>#N/A</v>
      </c>
      <c r="AH1532" s="9"/>
      <c r="AI1532" s="10"/>
      <c r="AJ1532" s="9"/>
      <c r="AK1532" s="10"/>
      <c r="AL1532" s="10"/>
    </row>
    <row r="1533" spans="1:38" ht="33.75" hidden="1">
      <c r="A1533" s="1">
        <f t="shared" si="148"/>
        <v>0</v>
      </c>
      <c r="B1533" s="2" t="s">
        <v>4195</v>
      </c>
      <c r="C1533" s="3" t="s">
        <v>4196</v>
      </c>
      <c r="D1533" s="15" t="s">
        <v>11797</v>
      </c>
      <c r="E1533" s="4" t="s">
        <v>4195</v>
      </c>
      <c r="F1533" s="37" t="s">
        <v>4196</v>
      </c>
      <c r="G1533" s="38">
        <v>0</v>
      </c>
      <c r="H1533" s="38">
        <v>0</v>
      </c>
      <c r="I1533" s="15"/>
      <c r="J1533" s="494">
        <v>20411031033</v>
      </c>
      <c r="L1533" s="523" t="s">
        <v>3755</v>
      </c>
      <c r="M1533" s="523" t="s">
        <v>607</v>
      </c>
      <c r="N1533" s="518" t="s">
        <v>3756</v>
      </c>
      <c r="O1533" s="523">
        <v>2</v>
      </c>
      <c r="P1533" s="523" t="s">
        <v>693</v>
      </c>
      <c r="Q1533" s="523" t="s">
        <v>1229</v>
      </c>
      <c r="R1533" s="523" t="s">
        <v>671</v>
      </c>
      <c r="S1533" s="523" t="s">
        <v>1225</v>
      </c>
      <c r="T1533" s="518" t="s">
        <v>4132</v>
      </c>
      <c r="U1533" s="38">
        <v>0</v>
      </c>
      <c r="V1533" s="15" t="str">
        <f t="shared" si="147"/>
        <v/>
      </c>
      <c r="W1533" s="10"/>
      <c r="X1533" s="10"/>
      <c r="Y1533" s="10"/>
      <c r="Z1533" s="10"/>
      <c r="AA1533" s="10"/>
      <c r="AB1533" s="10"/>
      <c r="AC1533" s="10"/>
      <c r="AD1533" s="523" t="e">
        <v>#N/A</v>
      </c>
      <c r="AE1533" s="523" t="e">
        <v>#N/A</v>
      </c>
      <c r="AF1533" s="523" t="e">
        <v>#N/A</v>
      </c>
      <c r="AG1533" s="524" t="e">
        <v>#N/A</v>
      </c>
      <c r="AH1533" s="9"/>
      <c r="AI1533" s="10"/>
      <c r="AJ1533" s="9"/>
      <c r="AK1533" s="10"/>
      <c r="AL1533" s="10"/>
    </row>
    <row r="1534" spans="1:38" ht="33.75" hidden="1">
      <c r="A1534" s="1">
        <f t="shared" si="148"/>
        <v>0</v>
      </c>
      <c r="B1534" s="2" t="s">
        <v>4197</v>
      </c>
      <c r="C1534" s="3" t="s">
        <v>4198</v>
      </c>
      <c r="D1534" s="15" t="s">
        <v>11797</v>
      </c>
      <c r="E1534" s="4" t="s">
        <v>4197</v>
      </c>
      <c r="F1534" s="37" t="s">
        <v>4198</v>
      </c>
      <c r="G1534" s="38">
        <v>0</v>
      </c>
      <c r="H1534" s="38">
        <v>0</v>
      </c>
      <c r="I1534" s="15"/>
      <c r="J1534" s="494">
        <v>20411031034</v>
      </c>
      <c r="L1534" s="523" t="s">
        <v>3755</v>
      </c>
      <c r="M1534" s="523" t="s">
        <v>607</v>
      </c>
      <c r="N1534" s="518" t="s">
        <v>3756</v>
      </c>
      <c r="O1534" s="523">
        <v>2</v>
      </c>
      <c r="P1534" s="523" t="s">
        <v>693</v>
      </c>
      <c r="Q1534" s="523" t="s">
        <v>1229</v>
      </c>
      <c r="R1534" s="523" t="s">
        <v>671</v>
      </c>
      <c r="S1534" s="523" t="s">
        <v>1225</v>
      </c>
      <c r="T1534" s="518" t="s">
        <v>4132</v>
      </c>
      <c r="U1534" s="38">
        <v>0</v>
      </c>
      <c r="V1534" s="15" t="str">
        <f t="shared" si="147"/>
        <v/>
      </c>
      <c r="W1534" s="10"/>
      <c r="X1534" s="10"/>
      <c r="Y1534" s="10"/>
      <c r="Z1534" s="10"/>
      <c r="AA1534" s="10"/>
      <c r="AB1534" s="10"/>
      <c r="AC1534" s="10"/>
      <c r="AD1534" s="523" t="e">
        <v>#N/A</v>
      </c>
      <c r="AE1534" s="523" t="e">
        <v>#N/A</v>
      </c>
      <c r="AF1534" s="523" t="e">
        <v>#N/A</v>
      </c>
      <c r="AG1534" s="524" t="e">
        <v>#N/A</v>
      </c>
      <c r="AH1534" s="9"/>
      <c r="AI1534" s="10"/>
      <c r="AJ1534" s="9"/>
      <c r="AK1534" s="10"/>
      <c r="AL1534" s="10"/>
    </row>
    <row r="1535" spans="1:38" ht="33.75" hidden="1">
      <c r="A1535" s="1">
        <f t="shared" si="148"/>
        <v>0</v>
      </c>
      <c r="B1535" s="2" t="s">
        <v>4199</v>
      </c>
      <c r="C1535" s="3" t="s">
        <v>4200</v>
      </c>
      <c r="D1535" s="15" t="s">
        <v>11797</v>
      </c>
      <c r="E1535" s="4" t="s">
        <v>4199</v>
      </c>
      <c r="F1535" s="37" t="s">
        <v>4200</v>
      </c>
      <c r="G1535" s="38">
        <v>18941.98</v>
      </c>
      <c r="H1535" s="38">
        <v>0</v>
      </c>
      <c r="I1535" s="15"/>
      <c r="J1535" s="494">
        <v>20411031035</v>
      </c>
      <c r="L1535" s="523" t="s">
        <v>3755</v>
      </c>
      <c r="M1535" s="523" t="s">
        <v>607</v>
      </c>
      <c r="N1535" s="518" t="s">
        <v>3756</v>
      </c>
      <c r="O1535" s="523">
        <v>2</v>
      </c>
      <c r="P1535" s="523" t="s">
        <v>693</v>
      </c>
      <c r="Q1535" s="523" t="s">
        <v>1229</v>
      </c>
      <c r="R1535" s="523" t="s">
        <v>671</v>
      </c>
      <c r="S1535" s="523" t="s">
        <v>1225</v>
      </c>
      <c r="T1535" s="518" t="s">
        <v>4132</v>
      </c>
      <c r="U1535" s="38">
        <v>0</v>
      </c>
      <c r="V1535" s="15" t="str">
        <f t="shared" si="147"/>
        <v/>
      </c>
      <c r="W1535" s="10"/>
      <c r="X1535" s="10"/>
      <c r="Y1535" s="10"/>
      <c r="Z1535" s="10"/>
      <c r="AA1535" s="10"/>
      <c r="AB1535" s="10"/>
      <c r="AC1535" s="10"/>
      <c r="AD1535" s="523" t="e">
        <v>#N/A</v>
      </c>
      <c r="AE1535" s="523" t="e">
        <v>#N/A</v>
      </c>
      <c r="AF1535" s="523" t="e">
        <v>#N/A</v>
      </c>
      <c r="AG1535" s="524" t="e">
        <v>#N/A</v>
      </c>
      <c r="AH1535" s="9"/>
      <c r="AI1535" s="10"/>
      <c r="AJ1535" s="9"/>
      <c r="AK1535" s="10"/>
      <c r="AL1535" s="10"/>
    </row>
    <row r="1536" spans="1:38" ht="33.75" hidden="1">
      <c r="A1536" s="1">
        <f t="shared" si="148"/>
        <v>0</v>
      </c>
      <c r="B1536" s="2" t="s">
        <v>4201</v>
      </c>
      <c r="C1536" s="3" t="s">
        <v>4202</v>
      </c>
      <c r="D1536" s="15" t="s">
        <v>11797</v>
      </c>
      <c r="E1536" s="4" t="s">
        <v>4201</v>
      </c>
      <c r="F1536" s="37" t="s">
        <v>4202</v>
      </c>
      <c r="G1536" s="38">
        <v>0</v>
      </c>
      <c r="H1536" s="38">
        <v>0</v>
      </c>
      <c r="I1536" s="15"/>
      <c r="J1536" s="494">
        <v>20411031036</v>
      </c>
      <c r="L1536" s="523" t="s">
        <v>3755</v>
      </c>
      <c r="M1536" s="523" t="s">
        <v>607</v>
      </c>
      <c r="N1536" s="518" t="s">
        <v>3756</v>
      </c>
      <c r="O1536" s="523">
        <v>2</v>
      </c>
      <c r="P1536" s="523" t="s">
        <v>693</v>
      </c>
      <c r="Q1536" s="523" t="s">
        <v>1229</v>
      </c>
      <c r="R1536" s="523" t="s">
        <v>671</v>
      </c>
      <c r="S1536" s="523" t="s">
        <v>1225</v>
      </c>
      <c r="T1536" s="518" t="s">
        <v>4132</v>
      </c>
      <c r="U1536" s="38">
        <v>0</v>
      </c>
      <c r="V1536" s="15" t="str">
        <f t="shared" si="147"/>
        <v/>
      </c>
      <c r="W1536" s="10"/>
      <c r="X1536" s="10"/>
      <c r="Y1536" s="10"/>
      <c r="Z1536" s="10"/>
      <c r="AA1536" s="10"/>
      <c r="AB1536" s="10"/>
      <c r="AC1536" s="10"/>
      <c r="AD1536" s="523" t="e">
        <v>#N/A</v>
      </c>
      <c r="AE1536" s="523" t="e">
        <v>#N/A</v>
      </c>
      <c r="AF1536" s="523" t="e">
        <v>#N/A</v>
      </c>
      <c r="AG1536" s="524" t="e">
        <v>#N/A</v>
      </c>
      <c r="AH1536" s="9"/>
      <c r="AI1536" s="10"/>
      <c r="AJ1536" s="9"/>
      <c r="AK1536" s="10"/>
      <c r="AL1536" s="10"/>
    </row>
    <row r="1537" spans="1:38" ht="33.75" hidden="1">
      <c r="A1537" s="1">
        <f t="shared" si="148"/>
        <v>0</v>
      </c>
      <c r="B1537" s="2" t="s">
        <v>4203</v>
      </c>
      <c r="C1537" s="3" t="s">
        <v>4204</v>
      </c>
      <c r="D1537" s="15" t="s">
        <v>11797</v>
      </c>
      <c r="E1537" s="4" t="s">
        <v>4203</v>
      </c>
      <c r="F1537" s="37" t="s">
        <v>4204</v>
      </c>
      <c r="G1537" s="38">
        <v>0</v>
      </c>
      <c r="H1537" s="38">
        <v>0</v>
      </c>
      <c r="I1537" s="15"/>
      <c r="J1537" s="494">
        <v>20411031037</v>
      </c>
      <c r="L1537" s="523" t="s">
        <v>3755</v>
      </c>
      <c r="M1537" s="523" t="s">
        <v>607</v>
      </c>
      <c r="N1537" s="518" t="s">
        <v>3756</v>
      </c>
      <c r="O1537" s="523">
        <v>2</v>
      </c>
      <c r="P1537" s="523" t="s">
        <v>693</v>
      </c>
      <c r="Q1537" s="523" t="s">
        <v>1229</v>
      </c>
      <c r="R1537" s="523" t="s">
        <v>671</v>
      </c>
      <c r="S1537" s="523" t="s">
        <v>1225</v>
      </c>
      <c r="T1537" s="518" t="s">
        <v>4132</v>
      </c>
      <c r="U1537" s="38">
        <v>0</v>
      </c>
      <c r="V1537" s="15" t="str">
        <f t="shared" si="147"/>
        <v/>
      </c>
      <c r="W1537" s="10"/>
      <c r="X1537" s="10"/>
      <c r="Y1537" s="10"/>
      <c r="Z1537" s="10"/>
      <c r="AA1537" s="10"/>
      <c r="AB1537" s="10"/>
      <c r="AC1537" s="10"/>
      <c r="AD1537" s="523" t="e">
        <v>#N/A</v>
      </c>
      <c r="AE1537" s="523" t="e">
        <v>#N/A</v>
      </c>
      <c r="AF1537" s="523" t="e">
        <v>#N/A</v>
      </c>
      <c r="AG1537" s="524" t="e">
        <v>#N/A</v>
      </c>
      <c r="AH1537" s="9"/>
      <c r="AI1537" s="10"/>
      <c r="AJ1537" s="9"/>
      <c r="AK1537" s="10"/>
      <c r="AL1537" s="10"/>
    </row>
    <row r="1538" spans="1:38" ht="33.75" hidden="1">
      <c r="A1538" s="1">
        <f t="shared" si="148"/>
        <v>0</v>
      </c>
      <c r="B1538" s="2" t="s">
        <v>4205</v>
      </c>
      <c r="C1538" s="3" t="s">
        <v>4206</v>
      </c>
      <c r="D1538" s="15" t="s">
        <v>11797</v>
      </c>
      <c r="E1538" s="4" t="s">
        <v>4205</v>
      </c>
      <c r="F1538" s="37" t="s">
        <v>4206</v>
      </c>
      <c r="G1538" s="38">
        <v>90918.41</v>
      </c>
      <c r="H1538" s="38">
        <v>0</v>
      </c>
      <c r="I1538" s="15"/>
      <c r="J1538" s="494">
        <v>20411031038</v>
      </c>
      <c r="L1538" s="523" t="s">
        <v>3755</v>
      </c>
      <c r="M1538" s="523" t="s">
        <v>607</v>
      </c>
      <c r="N1538" s="518" t="s">
        <v>3756</v>
      </c>
      <c r="O1538" s="523">
        <v>2</v>
      </c>
      <c r="P1538" s="523" t="s">
        <v>693</v>
      </c>
      <c r="Q1538" s="523" t="s">
        <v>1229</v>
      </c>
      <c r="R1538" s="523" t="s">
        <v>671</v>
      </c>
      <c r="S1538" s="523" t="s">
        <v>1225</v>
      </c>
      <c r="T1538" s="518" t="s">
        <v>4132</v>
      </c>
      <c r="U1538" s="38">
        <v>0</v>
      </c>
      <c r="V1538" s="15" t="str">
        <f t="shared" si="147"/>
        <v/>
      </c>
      <c r="W1538" s="10"/>
      <c r="X1538" s="10"/>
      <c r="Y1538" s="10"/>
      <c r="Z1538" s="10"/>
      <c r="AA1538" s="10"/>
      <c r="AB1538" s="10"/>
      <c r="AC1538" s="10"/>
      <c r="AD1538" s="523" t="e">
        <v>#N/A</v>
      </c>
      <c r="AE1538" s="523" t="e">
        <v>#N/A</v>
      </c>
      <c r="AF1538" s="523" t="e">
        <v>#N/A</v>
      </c>
      <c r="AG1538" s="524" t="e">
        <v>#N/A</v>
      </c>
      <c r="AH1538" s="9"/>
      <c r="AI1538" s="10"/>
      <c r="AJ1538" s="9"/>
      <c r="AK1538" s="10"/>
      <c r="AL1538" s="10"/>
    </row>
    <row r="1539" spans="1:38" ht="33.75" hidden="1">
      <c r="A1539" s="1">
        <f t="shared" si="148"/>
        <v>0</v>
      </c>
      <c r="B1539" s="2" t="s">
        <v>4207</v>
      </c>
      <c r="C1539" s="3" t="s">
        <v>4208</v>
      </c>
      <c r="D1539" s="15" t="s">
        <v>11797</v>
      </c>
      <c r="E1539" s="4" t="s">
        <v>4207</v>
      </c>
      <c r="F1539" s="37" t="s">
        <v>4208</v>
      </c>
      <c r="G1539" s="38">
        <v>354755.5</v>
      </c>
      <c r="H1539" s="38">
        <v>0</v>
      </c>
      <c r="I1539" s="15"/>
      <c r="J1539" s="494">
        <v>20411031039</v>
      </c>
      <c r="L1539" s="523" t="s">
        <v>3755</v>
      </c>
      <c r="M1539" s="523" t="s">
        <v>607</v>
      </c>
      <c r="N1539" s="518" t="s">
        <v>3756</v>
      </c>
      <c r="O1539" s="523">
        <v>2</v>
      </c>
      <c r="P1539" s="523" t="s">
        <v>693</v>
      </c>
      <c r="Q1539" s="523" t="s">
        <v>1229</v>
      </c>
      <c r="R1539" s="523" t="s">
        <v>671</v>
      </c>
      <c r="S1539" s="523" t="s">
        <v>1225</v>
      </c>
      <c r="T1539" s="518" t="s">
        <v>4132</v>
      </c>
      <c r="U1539" s="38">
        <v>0</v>
      </c>
      <c r="V1539" s="15" t="str">
        <f t="shared" ref="V1539:V1602" si="149">CONCATENATE(W1539,X1539,Y1539,Z1539,AA1539)</f>
        <v/>
      </c>
      <c r="W1539" s="10"/>
      <c r="X1539" s="10"/>
      <c r="Y1539" s="10"/>
      <c r="Z1539" s="10"/>
      <c r="AA1539" s="10"/>
      <c r="AB1539" s="10"/>
      <c r="AC1539" s="10"/>
      <c r="AD1539" s="523" t="e">
        <v>#N/A</v>
      </c>
      <c r="AE1539" s="523" t="e">
        <v>#N/A</v>
      </c>
      <c r="AF1539" s="523" t="e">
        <v>#N/A</v>
      </c>
      <c r="AG1539" s="524" t="e">
        <v>#N/A</v>
      </c>
      <c r="AH1539" s="9"/>
      <c r="AI1539" s="10"/>
      <c r="AJ1539" s="9"/>
      <c r="AK1539" s="10"/>
      <c r="AL1539" s="10"/>
    </row>
    <row r="1540" spans="1:38" ht="33.75" hidden="1">
      <c r="A1540" s="1">
        <f t="shared" si="148"/>
        <v>0</v>
      </c>
      <c r="B1540" s="2" t="s">
        <v>4209</v>
      </c>
      <c r="C1540" s="3" t="s">
        <v>4210</v>
      </c>
      <c r="D1540" s="15" t="s">
        <v>11797</v>
      </c>
      <c r="E1540" s="4" t="s">
        <v>4209</v>
      </c>
      <c r="F1540" s="37" t="s">
        <v>4211</v>
      </c>
      <c r="G1540" s="38">
        <v>0</v>
      </c>
      <c r="H1540" s="38">
        <v>0</v>
      </c>
      <c r="I1540" s="15"/>
      <c r="J1540" s="494">
        <v>20411031040</v>
      </c>
      <c r="L1540" s="523" t="s">
        <v>3755</v>
      </c>
      <c r="M1540" s="523" t="s">
        <v>607</v>
      </c>
      <c r="N1540" s="518" t="s">
        <v>3756</v>
      </c>
      <c r="O1540" s="523">
        <v>2</v>
      </c>
      <c r="P1540" s="523" t="s">
        <v>693</v>
      </c>
      <c r="Q1540" s="523" t="s">
        <v>1229</v>
      </c>
      <c r="R1540" s="523" t="s">
        <v>671</v>
      </c>
      <c r="S1540" s="523" t="s">
        <v>1225</v>
      </c>
      <c r="T1540" s="518" t="s">
        <v>4132</v>
      </c>
      <c r="U1540" s="38">
        <v>0</v>
      </c>
      <c r="V1540" s="15" t="str">
        <f t="shared" si="149"/>
        <v/>
      </c>
      <c r="W1540" s="10"/>
      <c r="X1540" s="10"/>
      <c r="Y1540" s="10"/>
      <c r="Z1540" s="10"/>
      <c r="AA1540" s="10"/>
      <c r="AB1540" s="10"/>
      <c r="AC1540" s="10"/>
      <c r="AD1540" s="523" t="e">
        <v>#N/A</v>
      </c>
      <c r="AE1540" s="523" t="e">
        <v>#N/A</v>
      </c>
      <c r="AF1540" s="523" t="e">
        <v>#N/A</v>
      </c>
      <c r="AG1540" s="524" t="e">
        <v>#N/A</v>
      </c>
      <c r="AH1540" s="9"/>
      <c r="AI1540" s="10"/>
      <c r="AJ1540" s="9"/>
      <c r="AK1540" s="10"/>
      <c r="AL1540" s="10"/>
    </row>
    <row r="1541" spans="1:38" ht="33.75" hidden="1">
      <c r="A1541" s="1">
        <f t="shared" si="148"/>
        <v>0</v>
      </c>
      <c r="B1541" s="2" t="s">
        <v>4212</v>
      </c>
      <c r="C1541" s="3" t="s">
        <v>4213</v>
      </c>
      <c r="D1541" s="15" t="s">
        <v>11797</v>
      </c>
      <c r="E1541" s="4" t="s">
        <v>4212</v>
      </c>
      <c r="F1541" s="37" t="s">
        <v>4213</v>
      </c>
      <c r="G1541" s="38">
        <v>91666.8</v>
      </c>
      <c r="H1541" s="38">
        <v>0</v>
      </c>
      <c r="I1541" s="15"/>
      <c r="J1541" s="494">
        <v>20411031041</v>
      </c>
      <c r="L1541" s="523" t="s">
        <v>3755</v>
      </c>
      <c r="M1541" s="523" t="s">
        <v>607</v>
      </c>
      <c r="N1541" s="518" t="s">
        <v>3756</v>
      </c>
      <c r="O1541" s="523">
        <v>2</v>
      </c>
      <c r="P1541" s="523" t="s">
        <v>693</v>
      </c>
      <c r="Q1541" s="523" t="s">
        <v>1229</v>
      </c>
      <c r="R1541" s="523" t="s">
        <v>671</v>
      </c>
      <c r="S1541" s="523" t="s">
        <v>1225</v>
      </c>
      <c r="T1541" s="518" t="s">
        <v>4132</v>
      </c>
      <c r="U1541" s="38">
        <v>0</v>
      </c>
      <c r="V1541" s="15" t="str">
        <f t="shared" si="149"/>
        <v/>
      </c>
      <c r="W1541" s="10"/>
      <c r="X1541" s="10"/>
      <c r="Y1541" s="10"/>
      <c r="Z1541" s="10"/>
      <c r="AA1541" s="10"/>
      <c r="AB1541" s="10"/>
      <c r="AC1541" s="10"/>
      <c r="AD1541" s="523" t="e">
        <v>#N/A</v>
      </c>
      <c r="AE1541" s="523" t="e">
        <v>#N/A</v>
      </c>
      <c r="AF1541" s="523" t="e">
        <v>#N/A</v>
      </c>
      <c r="AG1541" s="524" t="e">
        <v>#N/A</v>
      </c>
      <c r="AH1541" s="9"/>
      <c r="AI1541" s="10"/>
      <c r="AJ1541" s="9"/>
      <c r="AK1541" s="10"/>
      <c r="AL1541" s="10"/>
    </row>
    <row r="1542" spans="1:38" ht="33.75" hidden="1">
      <c r="A1542" s="1">
        <f t="shared" si="148"/>
        <v>0</v>
      </c>
      <c r="B1542" s="2" t="s">
        <v>4214</v>
      </c>
      <c r="C1542" s="3" t="s">
        <v>4215</v>
      </c>
      <c r="D1542" s="15" t="s">
        <v>11797</v>
      </c>
      <c r="E1542" s="4" t="s">
        <v>4214</v>
      </c>
      <c r="F1542" s="37" t="s">
        <v>4215</v>
      </c>
      <c r="G1542" s="38">
        <v>34950.65</v>
      </c>
      <c r="H1542" s="38">
        <v>34950.65</v>
      </c>
      <c r="I1542" s="15"/>
      <c r="J1542" s="494">
        <v>20411031042</v>
      </c>
      <c r="L1542" s="523" t="s">
        <v>3755</v>
      </c>
      <c r="M1542" s="523" t="s">
        <v>607</v>
      </c>
      <c r="N1542" s="518" t="s">
        <v>3756</v>
      </c>
      <c r="O1542" s="523">
        <v>2</v>
      </c>
      <c r="P1542" s="523" t="s">
        <v>693</v>
      </c>
      <c r="Q1542" s="523" t="s">
        <v>1229</v>
      </c>
      <c r="R1542" s="523" t="s">
        <v>671</v>
      </c>
      <c r="S1542" s="523" t="s">
        <v>1225</v>
      </c>
      <c r="T1542" s="518" t="s">
        <v>4132</v>
      </c>
      <c r="U1542" s="38">
        <v>34950.65</v>
      </c>
      <c r="V1542" s="15" t="str">
        <f t="shared" si="149"/>
        <v/>
      </c>
      <c r="W1542" s="10"/>
      <c r="X1542" s="10"/>
      <c r="Y1542" s="10"/>
      <c r="Z1542" s="10"/>
      <c r="AA1542" s="10"/>
      <c r="AB1542" s="10"/>
      <c r="AC1542" s="10"/>
      <c r="AD1542" s="523" t="e">
        <v>#N/A</v>
      </c>
      <c r="AE1542" s="523" t="e">
        <v>#N/A</v>
      </c>
      <c r="AF1542" s="523" t="e">
        <v>#N/A</v>
      </c>
      <c r="AG1542" s="524" t="e">
        <v>#N/A</v>
      </c>
      <c r="AH1542" s="9"/>
      <c r="AI1542" s="10"/>
      <c r="AJ1542" s="9"/>
      <c r="AK1542" s="10"/>
      <c r="AL1542" s="10"/>
    </row>
    <row r="1543" spans="1:38" ht="33.75" hidden="1">
      <c r="A1543" s="1">
        <f t="shared" si="148"/>
        <v>0</v>
      </c>
      <c r="B1543" s="2" t="s">
        <v>4216</v>
      </c>
      <c r="C1543" s="3" t="s">
        <v>4217</v>
      </c>
      <c r="D1543" s="15" t="s">
        <v>11797</v>
      </c>
      <c r="E1543" s="4" t="s">
        <v>4216</v>
      </c>
      <c r="F1543" s="37" t="s">
        <v>4217</v>
      </c>
      <c r="G1543" s="38">
        <v>581537.35</v>
      </c>
      <c r="H1543" s="38">
        <v>567193.88</v>
      </c>
      <c r="I1543" s="15"/>
      <c r="J1543" s="494">
        <v>20411031043</v>
      </c>
      <c r="L1543" s="523" t="s">
        <v>3755</v>
      </c>
      <c r="M1543" s="523" t="s">
        <v>607</v>
      </c>
      <c r="N1543" s="518" t="s">
        <v>3756</v>
      </c>
      <c r="O1543" s="523">
        <v>2</v>
      </c>
      <c r="P1543" s="523" t="s">
        <v>693</v>
      </c>
      <c r="Q1543" s="523" t="s">
        <v>1229</v>
      </c>
      <c r="R1543" s="523" t="s">
        <v>671</v>
      </c>
      <c r="S1543" s="523" t="s">
        <v>1225</v>
      </c>
      <c r="T1543" s="518" t="s">
        <v>4132</v>
      </c>
      <c r="U1543" s="38">
        <v>567193.88</v>
      </c>
      <c r="V1543" s="15" t="str">
        <f t="shared" si="149"/>
        <v/>
      </c>
      <c r="W1543" s="10"/>
      <c r="X1543" s="10"/>
      <c r="Y1543" s="10"/>
      <c r="Z1543" s="10"/>
      <c r="AA1543" s="10"/>
      <c r="AB1543" s="10"/>
      <c r="AC1543" s="10"/>
      <c r="AD1543" s="523" t="e">
        <v>#N/A</v>
      </c>
      <c r="AE1543" s="523" t="e">
        <v>#N/A</v>
      </c>
      <c r="AF1543" s="523" t="e">
        <v>#N/A</v>
      </c>
      <c r="AG1543" s="524" t="e">
        <v>#N/A</v>
      </c>
      <c r="AH1543" s="9"/>
      <c r="AI1543" s="10"/>
      <c r="AJ1543" s="9"/>
      <c r="AK1543" s="10"/>
      <c r="AL1543" s="10"/>
    </row>
    <row r="1544" spans="1:38" ht="33.75" hidden="1">
      <c r="A1544" s="1">
        <f t="shared" si="148"/>
        <v>0</v>
      </c>
      <c r="B1544" s="2" t="s">
        <v>4218</v>
      </c>
      <c r="C1544" s="3" t="s">
        <v>4219</v>
      </c>
      <c r="D1544" s="15" t="s">
        <v>11797</v>
      </c>
      <c r="E1544" s="4" t="s">
        <v>4218</v>
      </c>
      <c r="F1544" s="37" t="s">
        <v>4219</v>
      </c>
      <c r="G1544" s="38">
        <v>550712.66</v>
      </c>
      <c r="H1544" s="38">
        <v>550712.66</v>
      </c>
      <c r="I1544" s="15"/>
      <c r="J1544" s="494">
        <v>20411031044</v>
      </c>
      <c r="L1544" s="523" t="s">
        <v>3755</v>
      </c>
      <c r="M1544" s="523" t="s">
        <v>607</v>
      </c>
      <c r="N1544" s="518" t="s">
        <v>3756</v>
      </c>
      <c r="O1544" s="523">
        <v>2</v>
      </c>
      <c r="P1544" s="523" t="s">
        <v>693</v>
      </c>
      <c r="Q1544" s="523" t="s">
        <v>1229</v>
      </c>
      <c r="R1544" s="523" t="s">
        <v>671</v>
      </c>
      <c r="S1544" s="523" t="s">
        <v>1225</v>
      </c>
      <c r="T1544" s="518" t="s">
        <v>4132</v>
      </c>
      <c r="U1544" s="38">
        <v>550712.66</v>
      </c>
      <c r="V1544" s="15" t="str">
        <f t="shared" si="149"/>
        <v/>
      </c>
      <c r="W1544" s="10"/>
      <c r="X1544" s="10"/>
      <c r="Y1544" s="10"/>
      <c r="Z1544" s="10"/>
      <c r="AA1544" s="10"/>
      <c r="AB1544" s="10"/>
      <c r="AC1544" s="10"/>
      <c r="AD1544" s="523" t="e">
        <v>#N/A</v>
      </c>
      <c r="AE1544" s="523" t="e">
        <v>#N/A</v>
      </c>
      <c r="AF1544" s="523" t="e">
        <v>#N/A</v>
      </c>
      <c r="AG1544" s="524" t="e">
        <v>#N/A</v>
      </c>
      <c r="AH1544" s="9"/>
      <c r="AI1544" s="10"/>
      <c r="AJ1544" s="9"/>
      <c r="AK1544" s="10"/>
      <c r="AL1544" s="10"/>
    </row>
    <row r="1545" spans="1:38" ht="33.75" hidden="1">
      <c r="A1545" s="1">
        <f t="shared" si="148"/>
        <v>0</v>
      </c>
      <c r="B1545" s="2" t="s">
        <v>4220</v>
      </c>
      <c r="C1545" s="3" t="s">
        <v>4221</v>
      </c>
      <c r="D1545" s="15" t="s">
        <v>11797</v>
      </c>
      <c r="E1545" s="4" t="s">
        <v>4220</v>
      </c>
      <c r="F1545" s="37" t="s">
        <v>4221</v>
      </c>
      <c r="G1545" s="38">
        <v>0</v>
      </c>
      <c r="H1545" s="38">
        <v>0</v>
      </c>
      <c r="I1545" s="15"/>
      <c r="J1545" s="494">
        <v>20411031045</v>
      </c>
      <c r="L1545" s="523" t="s">
        <v>3755</v>
      </c>
      <c r="M1545" s="523" t="s">
        <v>607</v>
      </c>
      <c r="N1545" s="518" t="s">
        <v>3756</v>
      </c>
      <c r="O1545" s="523">
        <v>2</v>
      </c>
      <c r="P1545" s="523" t="s">
        <v>693</v>
      </c>
      <c r="Q1545" s="523" t="s">
        <v>1229</v>
      </c>
      <c r="R1545" s="523" t="s">
        <v>671</v>
      </c>
      <c r="S1545" s="523" t="s">
        <v>1225</v>
      </c>
      <c r="T1545" s="518" t="s">
        <v>4132</v>
      </c>
      <c r="U1545" s="38">
        <v>0</v>
      </c>
      <c r="V1545" s="15" t="str">
        <f t="shared" si="149"/>
        <v/>
      </c>
      <c r="W1545" s="10"/>
      <c r="X1545" s="10"/>
      <c r="Y1545" s="10"/>
      <c r="Z1545" s="10"/>
      <c r="AA1545" s="10"/>
      <c r="AB1545" s="10"/>
      <c r="AC1545" s="10"/>
      <c r="AD1545" s="523" t="e">
        <v>#N/A</v>
      </c>
      <c r="AE1545" s="523" t="e">
        <v>#N/A</v>
      </c>
      <c r="AF1545" s="523" t="e">
        <v>#N/A</v>
      </c>
      <c r="AG1545" s="524" t="e">
        <v>#N/A</v>
      </c>
      <c r="AH1545" s="9"/>
      <c r="AI1545" s="10"/>
      <c r="AJ1545" s="9"/>
      <c r="AK1545" s="10"/>
      <c r="AL1545" s="10"/>
    </row>
    <row r="1546" spans="1:38" ht="33.75" hidden="1">
      <c r="A1546" s="1">
        <f t="shared" si="148"/>
        <v>0</v>
      </c>
      <c r="B1546" s="2" t="s">
        <v>4222</v>
      </c>
      <c r="C1546" s="3" t="s">
        <v>4223</v>
      </c>
      <c r="D1546" s="15" t="s">
        <v>11797</v>
      </c>
      <c r="E1546" s="4" t="s">
        <v>4222</v>
      </c>
      <c r="F1546" s="37" t="s">
        <v>4223</v>
      </c>
      <c r="G1546" s="38">
        <v>732690.84</v>
      </c>
      <c r="H1546" s="38">
        <v>732690.84</v>
      </c>
      <c r="I1546" s="15"/>
      <c r="J1546" s="494">
        <v>20411031046</v>
      </c>
      <c r="L1546" s="523" t="s">
        <v>3755</v>
      </c>
      <c r="M1546" s="523" t="s">
        <v>607</v>
      </c>
      <c r="N1546" s="518" t="s">
        <v>3756</v>
      </c>
      <c r="O1546" s="523">
        <v>2</v>
      </c>
      <c r="P1546" s="523" t="s">
        <v>693</v>
      </c>
      <c r="Q1546" s="523" t="s">
        <v>1229</v>
      </c>
      <c r="R1546" s="523" t="s">
        <v>671</v>
      </c>
      <c r="S1546" s="523" t="s">
        <v>1225</v>
      </c>
      <c r="T1546" s="518" t="s">
        <v>4132</v>
      </c>
      <c r="U1546" s="38">
        <v>732690.84</v>
      </c>
      <c r="V1546" s="15" t="str">
        <f t="shared" si="149"/>
        <v/>
      </c>
      <c r="W1546" s="10"/>
      <c r="X1546" s="10"/>
      <c r="Y1546" s="10"/>
      <c r="Z1546" s="10"/>
      <c r="AA1546" s="10"/>
      <c r="AB1546" s="10"/>
      <c r="AC1546" s="10"/>
      <c r="AD1546" s="523" t="e">
        <v>#N/A</v>
      </c>
      <c r="AE1546" s="523" t="e">
        <v>#N/A</v>
      </c>
      <c r="AF1546" s="523" t="e">
        <v>#N/A</v>
      </c>
      <c r="AG1546" s="524" t="e">
        <v>#N/A</v>
      </c>
      <c r="AH1546" s="9"/>
      <c r="AI1546" s="10"/>
      <c r="AJ1546" s="9"/>
      <c r="AK1546" s="10"/>
      <c r="AL1546" s="10"/>
    </row>
    <row r="1547" spans="1:38" ht="33.75" hidden="1">
      <c r="A1547" s="1">
        <f t="shared" si="148"/>
        <v>0</v>
      </c>
      <c r="B1547" s="2" t="s">
        <v>4224</v>
      </c>
      <c r="C1547" s="3" t="s">
        <v>4225</v>
      </c>
      <c r="D1547" s="15" t="s">
        <v>11797</v>
      </c>
      <c r="E1547" s="4" t="s">
        <v>4224</v>
      </c>
      <c r="F1547" s="37" t="s">
        <v>4226</v>
      </c>
      <c r="G1547" s="38">
        <v>433222.69</v>
      </c>
      <c r="H1547" s="38">
        <v>433222.69</v>
      </c>
      <c r="I1547" s="15"/>
      <c r="J1547" s="494">
        <v>20411031047</v>
      </c>
      <c r="L1547" s="523" t="s">
        <v>3755</v>
      </c>
      <c r="M1547" s="523" t="s">
        <v>607</v>
      </c>
      <c r="N1547" s="518" t="s">
        <v>3756</v>
      </c>
      <c r="O1547" s="523">
        <v>2</v>
      </c>
      <c r="P1547" s="523" t="s">
        <v>693</v>
      </c>
      <c r="Q1547" s="523" t="s">
        <v>1229</v>
      </c>
      <c r="R1547" s="523" t="s">
        <v>671</v>
      </c>
      <c r="S1547" s="523" t="s">
        <v>1225</v>
      </c>
      <c r="T1547" s="518" t="s">
        <v>4132</v>
      </c>
      <c r="U1547" s="38">
        <v>433222.69</v>
      </c>
      <c r="V1547" s="15" t="str">
        <f t="shared" si="149"/>
        <v/>
      </c>
      <c r="W1547" s="10"/>
      <c r="X1547" s="10"/>
      <c r="Y1547" s="10"/>
      <c r="Z1547" s="10"/>
      <c r="AA1547" s="10"/>
      <c r="AB1547" s="10"/>
      <c r="AC1547" s="10"/>
      <c r="AD1547" s="523" t="e">
        <v>#N/A</v>
      </c>
      <c r="AE1547" s="523" t="e">
        <v>#N/A</v>
      </c>
      <c r="AF1547" s="523" t="e">
        <v>#N/A</v>
      </c>
      <c r="AG1547" s="524" t="e">
        <v>#N/A</v>
      </c>
      <c r="AH1547" s="9"/>
      <c r="AI1547" s="10"/>
      <c r="AJ1547" s="9"/>
      <c r="AK1547" s="10"/>
      <c r="AL1547" s="10"/>
    </row>
    <row r="1548" spans="1:38" ht="33.75" hidden="1">
      <c r="A1548" s="1">
        <f t="shared" si="148"/>
        <v>0</v>
      </c>
      <c r="B1548" s="2" t="s">
        <v>4227</v>
      </c>
      <c r="C1548" s="3" t="s">
        <v>4228</v>
      </c>
      <c r="D1548" s="15" t="s">
        <v>11797</v>
      </c>
      <c r="E1548" s="4" t="s">
        <v>4227</v>
      </c>
      <c r="F1548" s="37" t="s">
        <v>4228</v>
      </c>
      <c r="G1548" s="38">
        <v>743758.08</v>
      </c>
      <c r="H1548" s="38">
        <v>733305.94</v>
      </c>
      <c r="I1548" s="15"/>
      <c r="J1548" s="494">
        <v>20411031048</v>
      </c>
      <c r="L1548" s="523" t="s">
        <v>3755</v>
      </c>
      <c r="M1548" s="523" t="s">
        <v>607</v>
      </c>
      <c r="N1548" s="518" t="s">
        <v>3756</v>
      </c>
      <c r="O1548" s="523">
        <v>2</v>
      </c>
      <c r="P1548" s="523" t="s">
        <v>693</v>
      </c>
      <c r="Q1548" s="523" t="s">
        <v>1229</v>
      </c>
      <c r="R1548" s="523" t="s">
        <v>671</v>
      </c>
      <c r="S1548" s="523" t="s">
        <v>1225</v>
      </c>
      <c r="T1548" s="518" t="s">
        <v>4132</v>
      </c>
      <c r="U1548" s="38">
        <v>733305.94</v>
      </c>
      <c r="V1548" s="15" t="str">
        <f t="shared" si="149"/>
        <v/>
      </c>
      <c r="W1548" s="10"/>
      <c r="X1548" s="10"/>
      <c r="Y1548" s="10"/>
      <c r="Z1548" s="10"/>
      <c r="AA1548" s="10"/>
      <c r="AB1548" s="10"/>
      <c r="AC1548" s="10"/>
      <c r="AD1548" s="523" t="e">
        <v>#N/A</v>
      </c>
      <c r="AE1548" s="523" t="e">
        <v>#N/A</v>
      </c>
      <c r="AF1548" s="523" t="e">
        <v>#N/A</v>
      </c>
      <c r="AG1548" s="524" t="e">
        <v>#N/A</v>
      </c>
      <c r="AH1548" s="9"/>
      <c r="AI1548" s="10"/>
      <c r="AJ1548" s="9"/>
      <c r="AK1548" s="10"/>
      <c r="AL1548" s="10"/>
    </row>
    <row r="1549" spans="1:38" ht="33.75" hidden="1">
      <c r="A1549" s="1">
        <f t="shared" si="148"/>
        <v>0</v>
      </c>
      <c r="B1549" s="2" t="s">
        <v>4229</v>
      </c>
      <c r="C1549" s="3" t="s">
        <v>4230</v>
      </c>
      <c r="D1549" s="15" t="s">
        <v>11797</v>
      </c>
      <c r="E1549" s="4" t="s">
        <v>4229</v>
      </c>
      <c r="F1549" s="37" t="s">
        <v>4230</v>
      </c>
      <c r="G1549" s="38">
        <v>561684.19999999995</v>
      </c>
      <c r="H1549" s="38">
        <v>560497.28</v>
      </c>
      <c r="I1549" s="15"/>
      <c r="J1549" s="494">
        <v>20411031049</v>
      </c>
      <c r="L1549" s="523" t="s">
        <v>3755</v>
      </c>
      <c r="M1549" s="523" t="s">
        <v>607</v>
      </c>
      <c r="N1549" s="518" t="s">
        <v>3756</v>
      </c>
      <c r="O1549" s="523">
        <v>2</v>
      </c>
      <c r="P1549" s="523" t="s">
        <v>693</v>
      </c>
      <c r="Q1549" s="523" t="s">
        <v>1229</v>
      </c>
      <c r="R1549" s="523" t="s">
        <v>671</v>
      </c>
      <c r="S1549" s="523" t="s">
        <v>1225</v>
      </c>
      <c r="T1549" s="518" t="s">
        <v>4132</v>
      </c>
      <c r="U1549" s="38">
        <v>560497.28</v>
      </c>
      <c r="V1549" s="15" t="str">
        <f t="shared" si="149"/>
        <v/>
      </c>
      <c r="W1549" s="10"/>
      <c r="X1549" s="10"/>
      <c r="Y1549" s="10"/>
      <c r="Z1549" s="10"/>
      <c r="AA1549" s="10"/>
      <c r="AB1549" s="10"/>
      <c r="AC1549" s="10"/>
      <c r="AD1549" s="523" t="e">
        <v>#N/A</v>
      </c>
      <c r="AE1549" s="523" t="e">
        <v>#N/A</v>
      </c>
      <c r="AF1549" s="523" t="e">
        <v>#N/A</v>
      </c>
      <c r="AG1549" s="524" t="e">
        <v>#N/A</v>
      </c>
      <c r="AH1549" s="9"/>
      <c r="AI1549" s="10"/>
      <c r="AJ1549" s="9"/>
      <c r="AK1549" s="10"/>
      <c r="AL1549" s="10"/>
    </row>
    <row r="1550" spans="1:38" ht="33.75" hidden="1">
      <c r="A1550" s="1">
        <f t="shared" si="148"/>
        <v>0</v>
      </c>
      <c r="B1550" s="2" t="s">
        <v>4231</v>
      </c>
      <c r="C1550" s="3" t="s">
        <v>4232</v>
      </c>
      <c r="D1550" s="15" t="s">
        <v>11797</v>
      </c>
      <c r="E1550" s="4" t="s">
        <v>4231</v>
      </c>
      <c r="F1550" s="37" t="s">
        <v>4232</v>
      </c>
      <c r="G1550" s="47">
        <v>0</v>
      </c>
      <c r="H1550" s="38">
        <v>6070238.1699999999</v>
      </c>
      <c r="I1550" s="15"/>
      <c r="J1550" s="494">
        <v>20411031050</v>
      </c>
      <c r="L1550" s="523" t="s">
        <v>3755</v>
      </c>
      <c r="M1550" s="523" t="s">
        <v>607</v>
      </c>
      <c r="N1550" s="518" t="s">
        <v>3756</v>
      </c>
      <c r="O1550" s="523">
        <v>2</v>
      </c>
      <c r="P1550" s="523" t="s">
        <v>693</v>
      </c>
      <c r="Q1550" s="523" t="s">
        <v>1229</v>
      </c>
      <c r="R1550" s="523" t="s">
        <v>671</v>
      </c>
      <c r="S1550" s="523" t="s">
        <v>1225</v>
      </c>
      <c r="T1550" s="518" t="s">
        <v>4132</v>
      </c>
      <c r="U1550" s="38">
        <v>6070238.1699999999</v>
      </c>
      <c r="V1550" s="15" t="str">
        <f t="shared" si="149"/>
        <v/>
      </c>
      <c r="W1550" s="10"/>
      <c r="X1550" s="10"/>
      <c r="Y1550" s="10"/>
      <c r="Z1550" s="10"/>
      <c r="AA1550" s="10"/>
      <c r="AB1550" s="10"/>
      <c r="AC1550" s="10"/>
      <c r="AD1550" s="523" t="e">
        <v>#N/A</v>
      </c>
      <c r="AE1550" s="523" t="e">
        <v>#N/A</v>
      </c>
      <c r="AF1550" s="523" t="e">
        <v>#N/A</v>
      </c>
      <c r="AG1550" s="524" t="e">
        <v>#N/A</v>
      </c>
      <c r="AH1550" s="9"/>
      <c r="AI1550" s="10"/>
      <c r="AJ1550" s="9"/>
      <c r="AK1550" s="10"/>
      <c r="AL1550" s="10"/>
    </row>
    <row r="1551" spans="1:38" ht="33.75" hidden="1">
      <c r="A1551" s="1">
        <f t="shared" si="148"/>
        <v>0</v>
      </c>
      <c r="B1551" s="2" t="s">
        <v>4233</v>
      </c>
      <c r="C1551" s="3" t="s">
        <v>4234</v>
      </c>
      <c r="D1551" s="15" t="s">
        <v>11797</v>
      </c>
      <c r="E1551" s="4" t="s">
        <v>4233</v>
      </c>
      <c r="F1551" s="37" t="s">
        <v>4234</v>
      </c>
      <c r="G1551" s="47">
        <v>0</v>
      </c>
      <c r="H1551" s="38">
        <v>646213.93999999994</v>
      </c>
      <c r="I1551" s="15"/>
      <c r="J1551" s="494">
        <v>20411031051</v>
      </c>
      <c r="L1551" s="523" t="s">
        <v>3755</v>
      </c>
      <c r="M1551" s="523" t="s">
        <v>607</v>
      </c>
      <c r="N1551" s="518" t="s">
        <v>3756</v>
      </c>
      <c r="O1551" s="523">
        <v>2</v>
      </c>
      <c r="P1551" s="523" t="s">
        <v>693</v>
      </c>
      <c r="Q1551" s="523" t="s">
        <v>1229</v>
      </c>
      <c r="R1551" s="523" t="s">
        <v>671</v>
      </c>
      <c r="S1551" s="523" t="s">
        <v>1225</v>
      </c>
      <c r="T1551" s="518" t="s">
        <v>4132</v>
      </c>
      <c r="U1551" s="38">
        <v>646213.93999999994</v>
      </c>
      <c r="V1551" s="15" t="str">
        <f t="shared" si="149"/>
        <v/>
      </c>
      <c r="W1551" s="10"/>
      <c r="X1551" s="10"/>
      <c r="Y1551" s="10"/>
      <c r="Z1551" s="10"/>
      <c r="AA1551" s="10"/>
      <c r="AB1551" s="10"/>
      <c r="AC1551" s="10"/>
      <c r="AD1551" s="523" t="e">
        <v>#N/A</v>
      </c>
      <c r="AE1551" s="523" t="e">
        <v>#N/A</v>
      </c>
      <c r="AF1551" s="523" t="e">
        <v>#N/A</v>
      </c>
      <c r="AG1551" s="524" t="e">
        <v>#N/A</v>
      </c>
      <c r="AH1551" s="9"/>
      <c r="AI1551" s="10"/>
      <c r="AJ1551" s="9"/>
      <c r="AK1551" s="10"/>
      <c r="AL1551" s="10"/>
    </row>
    <row r="1552" spans="1:38" ht="33.75" hidden="1">
      <c r="A1552" s="1">
        <f t="shared" si="148"/>
        <v>0</v>
      </c>
      <c r="B1552" s="2" t="s">
        <v>4235</v>
      </c>
      <c r="C1552" s="3" t="s">
        <v>4213</v>
      </c>
      <c r="D1552" s="15" t="s">
        <v>11798</v>
      </c>
      <c r="E1552" s="4" t="s">
        <v>4235</v>
      </c>
      <c r="F1552" s="37" t="s">
        <v>4213</v>
      </c>
      <c r="G1552" s="38">
        <v>0</v>
      </c>
      <c r="H1552" s="38">
        <v>0</v>
      </c>
      <c r="I1552" s="15"/>
      <c r="J1552" s="494">
        <v>20411031101</v>
      </c>
      <c r="K1552" s="517"/>
      <c r="L1552" s="517" t="s">
        <v>3755</v>
      </c>
      <c r="M1552" s="517" t="s">
        <v>607</v>
      </c>
      <c r="N1552" s="518" t="s">
        <v>3756</v>
      </c>
      <c r="O1552" s="517">
        <v>2</v>
      </c>
      <c r="P1552" s="517" t="s">
        <v>693</v>
      </c>
      <c r="Q1552" s="517" t="s">
        <v>1229</v>
      </c>
      <c r="R1552" s="517" t="s">
        <v>671</v>
      </c>
      <c r="S1552" s="517" t="s">
        <v>1229</v>
      </c>
      <c r="T1552" s="518" t="s">
        <v>4236</v>
      </c>
      <c r="U1552" s="38">
        <v>0</v>
      </c>
      <c r="V1552" s="15" t="str">
        <f t="shared" si="149"/>
        <v>204110311</v>
      </c>
      <c r="W1552" s="39">
        <v>2</v>
      </c>
      <c r="X1552" s="50" t="s">
        <v>693</v>
      </c>
      <c r="Y1552" s="50" t="s">
        <v>1229</v>
      </c>
      <c r="Z1552" s="50" t="s">
        <v>671</v>
      </c>
      <c r="AA1552" s="40" t="s">
        <v>1229</v>
      </c>
      <c r="AB1552" s="42" t="s">
        <v>4236</v>
      </c>
      <c r="AC1552" s="519">
        <f>SUM(H1552:H1575)</f>
        <v>0</v>
      </c>
      <c r="AD1552" s="517">
        <v>0</v>
      </c>
      <c r="AE1552" s="517" t="s">
        <v>3755</v>
      </c>
      <c r="AF1552" s="517" t="s">
        <v>607</v>
      </c>
      <c r="AG1552" s="518" t="s">
        <v>3756</v>
      </c>
      <c r="AH1552" s="67">
        <f>AC1552</f>
        <v>0</v>
      </c>
      <c r="AI1552" s="10"/>
      <c r="AJ1552" s="9">
        <f t="shared" ref="AJ1552:AJ1575" si="150">AH1552-H1552</f>
        <v>0</v>
      </c>
      <c r="AK1552" s="10"/>
      <c r="AL1552" s="10"/>
    </row>
    <row r="1553" spans="1:38" ht="33.75" hidden="1">
      <c r="A1553" s="1">
        <f t="shared" si="148"/>
        <v>0</v>
      </c>
      <c r="B1553" s="2" t="s">
        <v>4237</v>
      </c>
      <c r="C1553" s="3" t="s">
        <v>4238</v>
      </c>
      <c r="D1553" s="15" t="s">
        <v>11798</v>
      </c>
      <c r="E1553" s="4" t="s">
        <v>4237</v>
      </c>
      <c r="F1553" s="37" t="s">
        <v>4238</v>
      </c>
      <c r="G1553" s="38">
        <v>0</v>
      </c>
      <c r="H1553" s="38">
        <v>0</v>
      </c>
      <c r="I1553" s="15"/>
      <c r="J1553" s="494">
        <v>20411031102</v>
      </c>
      <c r="L1553" s="523" t="s">
        <v>3755</v>
      </c>
      <c r="M1553" s="523" t="s">
        <v>607</v>
      </c>
      <c r="N1553" s="518" t="s">
        <v>3756</v>
      </c>
      <c r="O1553" s="523">
        <v>2</v>
      </c>
      <c r="P1553" s="523" t="s">
        <v>693</v>
      </c>
      <c r="Q1553" s="523" t="s">
        <v>1229</v>
      </c>
      <c r="R1553" s="523" t="s">
        <v>671</v>
      </c>
      <c r="S1553" s="523" t="s">
        <v>1229</v>
      </c>
      <c r="T1553" s="518" t="s">
        <v>4236</v>
      </c>
      <c r="U1553" s="38">
        <v>0</v>
      </c>
      <c r="V1553" s="15" t="str">
        <f t="shared" si="149"/>
        <v/>
      </c>
      <c r="W1553" s="10"/>
      <c r="X1553" s="10"/>
      <c r="Y1553" s="10"/>
      <c r="Z1553" s="10"/>
      <c r="AA1553" s="10"/>
      <c r="AB1553" s="10"/>
      <c r="AC1553" s="9"/>
      <c r="AD1553" s="523" t="e">
        <v>#N/A</v>
      </c>
      <c r="AE1553" s="523" t="e">
        <v>#N/A</v>
      </c>
      <c r="AF1553" s="523" t="e">
        <v>#N/A</v>
      </c>
      <c r="AG1553" s="524" t="e">
        <v>#N/A</v>
      </c>
      <c r="AH1553" s="9"/>
      <c r="AI1553" s="10"/>
      <c r="AJ1553" s="9">
        <f t="shared" si="150"/>
        <v>0</v>
      </c>
      <c r="AK1553" s="10"/>
      <c r="AL1553" s="10"/>
    </row>
    <row r="1554" spans="1:38" ht="45" hidden="1">
      <c r="A1554" s="1">
        <f t="shared" si="148"/>
        <v>0</v>
      </c>
      <c r="B1554" s="2" t="s">
        <v>4239</v>
      </c>
      <c r="C1554" s="3" t="s">
        <v>4240</v>
      </c>
      <c r="D1554" s="15" t="s">
        <v>11798</v>
      </c>
      <c r="E1554" s="4" t="s">
        <v>4239</v>
      </c>
      <c r="F1554" s="37" t="s">
        <v>4240</v>
      </c>
      <c r="G1554" s="38">
        <v>0</v>
      </c>
      <c r="H1554" s="38">
        <v>0</v>
      </c>
      <c r="I1554" s="15"/>
      <c r="J1554" s="494">
        <v>20411031103</v>
      </c>
      <c r="L1554" s="523" t="s">
        <v>3755</v>
      </c>
      <c r="M1554" s="523" t="s">
        <v>607</v>
      </c>
      <c r="N1554" s="518" t="s">
        <v>3756</v>
      </c>
      <c r="O1554" s="523">
        <v>2</v>
      </c>
      <c r="P1554" s="523" t="s">
        <v>693</v>
      </c>
      <c r="Q1554" s="523" t="s">
        <v>1229</v>
      </c>
      <c r="R1554" s="523" t="s">
        <v>671</v>
      </c>
      <c r="S1554" s="523" t="s">
        <v>1229</v>
      </c>
      <c r="T1554" s="518" t="s">
        <v>4236</v>
      </c>
      <c r="U1554" s="38">
        <v>0</v>
      </c>
      <c r="V1554" s="15" t="str">
        <f t="shared" si="149"/>
        <v/>
      </c>
      <c r="W1554" s="10"/>
      <c r="X1554" s="10"/>
      <c r="Y1554" s="10"/>
      <c r="Z1554" s="10"/>
      <c r="AA1554" s="10"/>
      <c r="AB1554" s="10"/>
      <c r="AC1554" s="9"/>
      <c r="AD1554" s="523" t="e">
        <v>#N/A</v>
      </c>
      <c r="AE1554" s="523" t="e">
        <v>#N/A</v>
      </c>
      <c r="AF1554" s="523" t="e">
        <v>#N/A</v>
      </c>
      <c r="AG1554" s="524" t="e">
        <v>#N/A</v>
      </c>
      <c r="AH1554" s="9"/>
      <c r="AI1554" s="10"/>
      <c r="AJ1554" s="9">
        <f t="shared" si="150"/>
        <v>0</v>
      </c>
      <c r="AK1554" s="10"/>
      <c r="AL1554" s="10"/>
    </row>
    <row r="1555" spans="1:38" ht="45" hidden="1">
      <c r="A1555" s="1">
        <f t="shared" si="148"/>
        <v>0</v>
      </c>
      <c r="B1555" s="2" t="s">
        <v>4241</v>
      </c>
      <c r="C1555" s="3" t="s">
        <v>4242</v>
      </c>
      <c r="D1555" s="15" t="s">
        <v>11798</v>
      </c>
      <c r="E1555" s="4" t="s">
        <v>4241</v>
      </c>
      <c r="F1555" s="37" t="s">
        <v>4242</v>
      </c>
      <c r="G1555" s="38">
        <v>0</v>
      </c>
      <c r="H1555" s="38">
        <v>0</v>
      </c>
      <c r="I1555" s="15"/>
      <c r="J1555" s="494">
        <v>20411031104</v>
      </c>
      <c r="L1555" s="523" t="s">
        <v>3755</v>
      </c>
      <c r="M1555" s="523" t="s">
        <v>607</v>
      </c>
      <c r="N1555" s="518" t="s">
        <v>3756</v>
      </c>
      <c r="O1555" s="523">
        <v>2</v>
      </c>
      <c r="P1555" s="523" t="s">
        <v>693</v>
      </c>
      <c r="Q1555" s="523" t="s">
        <v>1229</v>
      </c>
      <c r="R1555" s="523" t="s">
        <v>671</v>
      </c>
      <c r="S1555" s="523" t="s">
        <v>1229</v>
      </c>
      <c r="T1555" s="518" t="s">
        <v>4236</v>
      </c>
      <c r="U1555" s="38">
        <v>0</v>
      </c>
      <c r="V1555" s="15" t="str">
        <f t="shared" si="149"/>
        <v/>
      </c>
      <c r="W1555" s="10"/>
      <c r="X1555" s="10"/>
      <c r="Y1555" s="10"/>
      <c r="Z1555" s="10"/>
      <c r="AA1555" s="10"/>
      <c r="AB1555" s="10"/>
      <c r="AC1555" s="9"/>
      <c r="AD1555" s="523" t="e">
        <v>#N/A</v>
      </c>
      <c r="AE1555" s="523" t="e">
        <v>#N/A</v>
      </c>
      <c r="AF1555" s="523" t="e">
        <v>#N/A</v>
      </c>
      <c r="AG1555" s="524" t="e">
        <v>#N/A</v>
      </c>
      <c r="AH1555" s="9"/>
      <c r="AI1555" s="10"/>
      <c r="AJ1555" s="9">
        <f t="shared" si="150"/>
        <v>0</v>
      </c>
      <c r="AK1555" s="10"/>
      <c r="AL1555" s="10"/>
    </row>
    <row r="1556" spans="1:38" ht="45" hidden="1">
      <c r="A1556" s="1">
        <f t="shared" si="148"/>
        <v>0</v>
      </c>
      <c r="B1556" s="2" t="s">
        <v>4243</v>
      </c>
      <c r="C1556" s="3" t="s">
        <v>4244</v>
      </c>
      <c r="D1556" s="15" t="s">
        <v>11798</v>
      </c>
      <c r="E1556" s="4" t="s">
        <v>4243</v>
      </c>
      <c r="F1556" s="37" t="s">
        <v>4244</v>
      </c>
      <c r="G1556" s="38">
        <v>0</v>
      </c>
      <c r="H1556" s="38">
        <v>0</v>
      </c>
      <c r="I1556" s="15"/>
      <c r="J1556" s="494">
        <v>20411031105</v>
      </c>
      <c r="L1556" s="523" t="s">
        <v>3755</v>
      </c>
      <c r="M1556" s="523" t="s">
        <v>607</v>
      </c>
      <c r="N1556" s="518" t="s">
        <v>3756</v>
      </c>
      <c r="O1556" s="523">
        <v>2</v>
      </c>
      <c r="P1556" s="523" t="s">
        <v>693</v>
      </c>
      <c r="Q1556" s="523" t="s">
        <v>1229</v>
      </c>
      <c r="R1556" s="523" t="s">
        <v>671</v>
      </c>
      <c r="S1556" s="523" t="s">
        <v>1229</v>
      </c>
      <c r="T1556" s="518" t="s">
        <v>4236</v>
      </c>
      <c r="U1556" s="38">
        <v>0</v>
      </c>
      <c r="V1556" s="15" t="str">
        <f t="shared" si="149"/>
        <v/>
      </c>
      <c r="W1556" s="10"/>
      <c r="X1556" s="10"/>
      <c r="Y1556" s="10"/>
      <c r="Z1556" s="10"/>
      <c r="AA1556" s="10"/>
      <c r="AB1556" s="10"/>
      <c r="AC1556" s="9"/>
      <c r="AD1556" s="523" t="e">
        <v>#N/A</v>
      </c>
      <c r="AE1556" s="523" t="e">
        <v>#N/A</v>
      </c>
      <c r="AF1556" s="523" t="e">
        <v>#N/A</v>
      </c>
      <c r="AG1556" s="524" t="e">
        <v>#N/A</v>
      </c>
      <c r="AH1556" s="9"/>
      <c r="AI1556" s="10"/>
      <c r="AJ1556" s="9">
        <f t="shared" si="150"/>
        <v>0</v>
      </c>
      <c r="AK1556" s="10"/>
      <c r="AL1556" s="10"/>
    </row>
    <row r="1557" spans="1:38" ht="45" hidden="1">
      <c r="A1557" s="1">
        <f t="shared" si="148"/>
        <v>0</v>
      </c>
      <c r="B1557" s="2" t="s">
        <v>4245</v>
      </c>
      <c r="C1557" s="3" t="s">
        <v>4246</v>
      </c>
      <c r="D1557" s="15" t="s">
        <v>11798</v>
      </c>
      <c r="E1557" s="4" t="s">
        <v>4245</v>
      </c>
      <c r="F1557" s="37" t="s">
        <v>4246</v>
      </c>
      <c r="G1557" s="38">
        <v>0</v>
      </c>
      <c r="H1557" s="38">
        <v>0</v>
      </c>
      <c r="I1557" s="15"/>
      <c r="J1557" s="494">
        <v>20411031106</v>
      </c>
      <c r="L1557" s="523" t="s">
        <v>3755</v>
      </c>
      <c r="M1557" s="523" t="s">
        <v>607</v>
      </c>
      <c r="N1557" s="518" t="s">
        <v>3756</v>
      </c>
      <c r="O1557" s="523">
        <v>2</v>
      </c>
      <c r="P1557" s="523" t="s">
        <v>693</v>
      </c>
      <c r="Q1557" s="523" t="s">
        <v>1229</v>
      </c>
      <c r="R1557" s="523" t="s">
        <v>671</v>
      </c>
      <c r="S1557" s="523" t="s">
        <v>1229</v>
      </c>
      <c r="T1557" s="518" t="s">
        <v>4236</v>
      </c>
      <c r="U1557" s="38">
        <v>0</v>
      </c>
      <c r="V1557" s="15" t="str">
        <f t="shared" si="149"/>
        <v/>
      </c>
      <c r="W1557" s="10"/>
      <c r="X1557" s="10"/>
      <c r="Y1557" s="10"/>
      <c r="Z1557" s="10"/>
      <c r="AA1557" s="10"/>
      <c r="AB1557" s="10"/>
      <c r="AC1557" s="9"/>
      <c r="AD1557" s="523" t="e">
        <v>#N/A</v>
      </c>
      <c r="AE1557" s="523" t="e">
        <v>#N/A</v>
      </c>
      <c r="AF1557" s="523" t="e">
        <v>#N/A</v>
      </c>
      <c r="AG1557" s="524" t="e">
        <v>#N/A</v>
      </c>
      <c r="AH1557" s="9"/>
      <c r="AI1557" s="10"/>
      <c r="AJ1557" s="9">
        <f t="shared" si="150"/>
        <v>0</v>
      </c>
      <c r="AK1557" s="10"/>
      <c r="AL1557" s="10"/>
    </row>
    <row r="1558" spans="1:38" ht="45" hidden="1">
      <c r="A1558" s="1">
        <f t="shared" si="148"/>
        <v>0</v>
      </c>
      <c r="B1558" s="2" t="s">
        <v>4247</v>
      </c>
      <c r="C1558" s="3" t="s">
        <v>4248</v>
      </c>
      <c r="D1558" s="15" t="s">
        <v>11798</v>
      </c>
      <c r="E1558" s="4" t="s">
        <v>4247</v>
      </c>
      <c r="F1558" s="37" t="s">
        <v>4248</v>
      </c>
      <c r="G1558" s="38">
        <v>0</v>
      </c>
      <c r="H1558" s="38">
        <v>0</v>
      </c>
      <c r="I1558" s="15"/>
      <c r="J1558" s="494">
        <v>20411031107</v>
      </c>
      <c r="L1558" s="523" t="s">
        <v>3755</v>
      </c>
      <c r="M1558" s="523" t="s">
        <v>607</v>
      </c>
      <c r="N1558" s="518" t="s">
        <v>3756</v>
      </c>
      <c r="O1558" s="523">
        <v>2</v>
      </c>
      <c r="P1558" s="523" t="s">
        <v>693</v>
      </c>
      <c r="Q1558" s="523" t="s">
        <v>1229</v>
      </c>
      <c r="R1558" s="523" t="s">
        <v>671</v>
      </c>
      <c r="S1558" s="523" t="s">
        <v>1229</v>
      </c>
      <c r="T1558" s="518" t="s">
        <v>4236</v>
      </c>
      <c r="U1558" s="38">
        <v>0</v>
      </c>
      <c r="V1558" s="15" t="str">
        <f t="shared" si="149"/>
        <v/>
      </c>
      <c r="W1558" s="10"/>
      <c r="X1558" s="10"/>
      <c r="Y1558" s="10"/>
      <c r="Z1558" s="10"/>
      <c r="AA1558" s="10"/>
      <c r="AB1558" s="10"/>
      <c r="AC1558" s="9"/>
      <c r="AD1558" s="523" t="e">
        <v>#N/A</v>
      </c>
      <c r="AE1558" s="523" t="e">
        <v>#N/A</v>
      </c>
      <c r="AF1558" s="523" t="e">
        <v>#N/A</v>
      </c>
      <c r="AG1558" s="524" t="e">
        <v>#N/A</v>
      </c>
      <c r="AH1558" s="9"/>
      <c r="AI1558" s="10"/>
      <c r="AJ1558" s="9">
        <f t="shared" si="150"/>
        <v>0</v>
      </c>
      <c r="AK1558" s="10"/>
      <c r="AL1558" s="10"/>
    </row>
    <row r="1559" spans="1:38" ht="45" hidden="1">
      <c r="A1559" s="1">
        <f t="shared" ref="A1559:A1622" si="151">IF(E1559=B1559,0,1)</f>
        <v>0</v>
      </c>
      <c r="B1559" s="2" t="s">
        <v>4249</v>
      </c>
      <c r="C1559" s="3" t="s">
        <v>4250</v>
      </c>
      <c r="D1559" s="15" t="s">
        <v>11798</v>
      </c>
      <c r="E1559" s="4" t="s">
        <v>4249</v>
      </c>
      <c r="F1559" s="37" t="s">
        <v>4250</v>
      </c>
      <c r="G1559" s="38">
        <v>0</v>
      </c>
      <c r="H1559" s="38">
        <v>0</v>
      </c>
      <c r="I1559" s="15"/>
      <c r="J1559" s="494">
        <v>20411031108</v>
      </c>
      <c r="L1559" s="523" t="s">
        <v>3755</v>
      </c>
      <c r="M1559" s="523" t="s">
        <v>607</v>
      </c>
      <c r="N1559" s="518" t="s">
        <v>3756</v>
      </c>
      <c r="O1559" s="523">
        <v>2</v>
      </c>
      <c r="P1559" s="523" t="s">
        <v>693</v>
      </c>
      <c r="Q1559" s="523" t="s">
        <v>1229</v>
      </c>
      <c r="R1559" s="523" t="s">
        <v>671</v>
      </c>
      <c r="S1559" s="523" t="s">
        <v>1229</v>
      </c>
      <c r="T1559" s="518" t="s">
        <v>4236</v>
      </c>
      <c r="U1559" s="38">
        <v>0</v>
      </c>
      <c r="V1559" s="15" t="str">
        <f t="shared" si="149"/>
        <v/>
      </c>
      <c r="W1559" s="10"/>
      <c r="X1559" s="10"/>
      <c r="Y1559" s="10"/>
      <c r="Z1559" s="10"/>
      <c r="AA1559" s="10"/>
      <c r="AB1559" s="10"/>
      <c r="AC1559" s="9"/>
      <c r="AD1559" s="523" t="e">
        <v>#N/A</v>
      </c>
      <c r="AE1559" s="523" t="e">
        <v>#N/A</v>
      </c>
      <c r="AF1559" s="523" t="e">
        <v>#N/A</v>
      </c>
      <c r="AG1559" s="524" t="e">
        <v>#N/A</v>
      </c>
      <c r="AH1559" s="9"/>
      <c r="AI1559" s="10"/>
      <c r="AJ1559" s="9">
        <f t="shared" si="150"/>
        <v>0</v>
      </c>
      <c r="AK1559" s="10"/>
      <c r="AL1559" s="10"/>
    </row>
    <row r="1560" spans="1:38" ht="45" hidden="1">
      <c r="A1560" s="1">
        <f t="shared" si="151"/>
        <v>0</v>
      </c>
      <c r="B1560" s="2" t="s">
        <v>4251</v>
      </c>
      <c r="C1560" s="3" t="s">
        <v>4252</v>
      </c>
      <c r="D1560" s="15" t="s">
        <v>11798</v>
      </c>
      <c r="E1560" s="4" t="s">
        <v>4251</v>
      </c>
      <c r="F1560" s="37" t="s">
        <v>4252</v>
      </c>
      <c r="G1560" s="38">
        <v>0</v>
      </c>
      <c r="H1560" s="38">
        <v>0</v>
      </c>
      <c r="I1560" s="15"/>
      <c r="J1560" s="494">
        <v>20411031109</v>
      </c>
      <c r="L1560" s="523" t="s">
        <v>3755</v>
      </c>
      <c r="M1560" s="523" t="s">
        <v>607</v>
      </c>
      <c r="N1560" s="518" t="s">
        <v>3756</v>
      </c>
      <c r="O1560" s="523">
        <v>2</v>
      </c>
      <c r="P1560" s="523" t="s">
        <v>693</v>
      </c>
      <c r="Q1560" s="523" t="s">
        <v>1229</v>
      </c>
      <c r="R1560" s="523" t="s">
        <v>671</v>
      </c>
      <c r="S1560" s="523" t="s">
        <v>1229</v>
      </c>
      <c r="T1560" s="518" t="s">
        <v>4236</v>
      </c>
      <c r="U1560" s="38">
        <v>0</v>
      </c>
      <c r="V1560" s="15" t="str">
        <f t="shared" si="149"/>
        <v/>
      </c>
      <c r="W1560" s="10"/>
      <c r="X1560" s="10"/>
      <c r="Y1560" s="10"/>
      <c r="Z1560" s="10"/>
      <c r="AA1560" s="10"/>
      <c r="AB1560" s="10"/>
      <c r="AC1560" s="9"/>
      <c r="AD1560" s="523" t="e">
        <v>#N/A</v>
      </c>
      <c r="AE1560" s="523" t="e">
        <v>#N/A</v>
      </c>
      <c r="AF1560" s="523" t="e">
        <v>#N/A</v>
      </c>
      <c r="AG1560" s="524" t="e">
        <v>#N/A</v>
      </c>
      <c r="AH1560" s="9"/>
      <c r="AI1560" s="10"/>
      <c r="AJ1560" s="9">
        <f t="shared" si="150"/>
        <v>0</v>
      </c>
      <c r="AK1560" s="10"/>
      <c r="AL1560" s="10"/>
    </row>
    <row r="1561" spans="1:38" ht="45" hidden="1">
      <c r="A1561" s="1">
        <f t="shared" si="151"/>
        <v>0</v>
      </c>
      <c r="B1561" s="2" t="s">
        <v>4253</v>
      </c>
      <c r="C1561" s="3" t="s">
        <v>4254</v>
      </c>
      <c r="D1561" s="15" t="s">
        <v>11798</v>
      </c>
      <c r="E1561" s="4" t="s">
        <v>4253</v>
      </c>
      <c r="F1561" s="37" t="s">
        <v>4254</v>
      </c>
      <c r="G1561" s="38">
        <v>0</v>
      </c>
      <c r="H1561" s="38">
        <v>0</v>
      </c>
      <c r="I1561" s="15"/>
      <c r="J1561" s="494">
        <v>20411031110</v>
      </c>
      <c r="L1561" s="523" t="s">
        <v>3755</v>
      </c>
      <c r="M1561" s="523" t="s">
        <v>607</v>
      </c>
      <c r="N1561" s="518" t="s">
        <v>3756</v>
      </c>
      <c r="O1561" s="523">
        <v>2</v>
      </c>
      <c r="P1561" s="523" t="s">
        <v>693</v>
      </c>
      <c r="Q1561" s="523" t="s">
        <v>1229</v>
      </c>
      <c r="R1561" s="523" t="s">
        <v>671</v>
      </c>
      <c r="S1561" s="523" t="s">
        <v>1229</v>
      </c>
      <c r="T1561" s="518" t="s">
        <v>4236</v>
      </c>
      <c r="U1561" s="38">
        <v>0</v>
      </c>
      <c r="V1561" s="15" t="str">
        <f t="shared" si="149"/>
        <v/>
      </c>
      <c r="W1561" s="10"/>
      <c r="X1561" s="10"/>
      <c r="Y1561" s="10"/>
      <c r="Z1561" s="10"/>
      <c r="AA1561" s="10"/>
      <c r="AB1561" s="10"/>
      <c r="AC1561" s="9"/>
      <c r="AD1561" s="523" t="e">
        <v>#N/A</v>
      </c>
      <c r="AE1561" s="523" t="e">
        <v>#N/A</v>
      </c>
      <c r="AF1561" s="523" t="e">
        <v>#N/A</v>
      </c>
      <c r="AG1561" s="524" t="e">
        <v>#N/A</v>
      </c>
      <c r="AH1561" s="9"/>
      <c r="AI1561" s="10"/>
      <c r="AJ1561" s="9">
        <f t="shared" si="150"/>
        <v>0</v>
      </c>
      <c r="AK1561" s="10"/>
      <c r="AL1561" s="10"/>
    </row>
    <row r="1562" spans="1:38" ht="45" hidden="1">
      <c r="A1562" s="1">
        <f t="shared" si="151"/>
        <v>0</v>
      </c>
      <c r="B1562" s="2" t="s">
        <v>4255</v>
      </c>
      <c r="C1562" s="3" t="s">
        <v>4256</v>
      </c>
      <c r="D1562" s="15" t="s">
        <v>11798</v>
      </c>
      <c r="E1562" s="4" t="s">
        <v>4255</v>
      </c>
      <c r="F1562" s="37" t="s">
        <v>4256</v>
      </c>
      <c r="G1562" s="38">
        <v>0</v>
      </c>
      <c r="H1562" s="38">
        <v>0</v>
      </c>
      <c r="I1562" s="15"/>
      <c r="J1562" s="494">
        <v>20411031111</v>
      </c>
      <c r="L1562" s="523" t="s">
        <v>3755</v>
      </c>
      <c r="M1562" s="523" t="s">
        <v>607</v>
      </c>
      <c r="N1562" s="518" t="s">
        <v>3756</v>
      </c>
      <c r="O1562" s="523">
        <v>2</v>
      </c>
      <c r="P1562" s="523" t="s">
        <v>693</v>
      </c>
      <c r="Q1562" s="523" t="s">
        <v>1229</v>
      </c>
      <c r="R1562" s="523" t="s">
        <v>671</v>
      </c>
      <c r="S1562" s="523" t="s">
        <v>1229</v>
      </c>
      <c r="T1562" s="518" t="s">
        <v>4236</v>
      </c>
      <c r="U1562" s="38">
        <v>0</v>
      </c>
      <c r="V1562" s="15" t="str">
        <f t="shared" si="149"/>
        <v/>
      </c>
      <c r="W1562" s="10"/>
      <c r="X1562" s="10"/>
      <c r="Y1562" s="10"/>
      <c r="Z1562" s="10"/>
      <c r="AA1562" s="10"/>
      <c r="AB1562" s="10"/>
      <c r="AC1562" s="9"/>
      <c r="AD1562" s="523" t="e">
        <v>#N/A</v>
      </c>
      <c r="AE1562" s="523" t="e">
        <v>#N/A</v>
      </c>
      <c r="AF1562" s="523" t="e">
        <v>#N/A</v>
      </c>
      <c r="AG1562" s="524" t="e">
        <v>#N/A</v>
      </c>
      <c r="AH1562" s="9"/>
      <c r="AI1562" s="10"/>
      <c r="AJ1562" s="9">
        <f t="shared" si="150"/>
        <v>0</v>
      </c>
      <c r="AK1562" s="10"/>
      <c r="AL1562" s="10"/>
    </row>
    <row r="1563" spans="1:38" ht="45" hidden="1">
      <c r="A1563" s="1">
        <f t="shared" si="151"/>
        <v>0</v>
      </c>
      <c r="B1563" s="2" t="s">
        <v>4257</v>
      </c>
      <c r="C1563" s="3" t="s">
        <v>4258</v>
      </c>
      <c r="D1563" s="15" t="s">
        <v>11798</v>
      </c>
      <c r="E1563" s="4" t="s">
        <v>4257</v>
      </c>
      <c r="F1563" s="37" t="s">
        <v>4258</v>
      </c>
      <c r="G1563" s="38">
        <v>0</v>
      </c>
      <c r="H1563" s="38">
        <v>0</v>
      </c>
      <c r="I1563" s="15"/>
      <c r="J1563" s="494">
        <v>20411031112</v>
      </c>
      <c r="L1563" s="523" t="s">
        <v>3755</v>
      </c>
      <c r="M1563" s="523" t="s">
        <v>607</v>
      </c>
      <c r="N1563" s="518" t="s">
        <v>3756</v>
      </c>
      <c r="O1563" s="523">
        <v>2</v>
      </c>
      <c r="P1563" s="523" t="s">
        <v>693</v>
      </c>
      <c r="Q1563" s="523" t="s">
        <v>1229</v>
      </c>
      <c r="R1563" s="523" t="s">
        <v>671</v>
      </c>
      <c r="S1563" s="523" t="s">
        <v>1229</v>
      </c>
      <c r="T1563" s="518" t="s">
        <v>4236</v>
      </c>
      <c r="U1563" s="38">
        <v>0</v>
      </c>
      <c r="V1563" s="15" t="str">
        <f t="shared" si="149"/>
        <v/>
      </c>
      <c r="W1563" s="10"/>
      <c r="X1563" s="10"/>
      <c r="Y1563" s="10"/>
      <c r="Z1563" s="10"/>
      <c r="AA1563" s="10"/>
      <c r="AB1563" s="10"/>
      <c r="AC1563" s="9"/>
      <c r="AD1563" s="523" t="e">
        <v>#N/A</v>
      </c>
      <c r="AE1563" s="523" t="e">
        <v>#N/A</v>
      </c>
      <c r="AF1563" s="523" t="e">
        <v>#N/A</v>
      </c>
      <c r="AG1563" s="524" t="e">
        <v>#N/A</v>
      </c>
      <c r="AH1563" s="9"/>
      <c r="AI1563" s="10"/>
      <c r="AJ1563" s="9">
        <f t="shared" si="150"/>
        <v>0</v>
      </c>
      <c r="AK1563" s="10"/>
      <c r="AL1563" s="10"/>
    </row>
    <row r="1564" spans="1:38" ht="45" hidden="1">
      <c r="A1564" s="1">
        <f t="shared" si="151"/>
        <v>0</v>
      </c>
      <c r="B1564" s="2" t="s">
        <v>4259</v>
      </c>
      <c r="C1564" s="3" t="s">
        <v>4260</v>
      </c>
      <c r="D1564" s="15" t="s">
        <v>11798</v>
      </c>
      <c r="E1564" s="4" t="s">
        <v>4259</v>
      </c>
      <c r="F1564" s="37" t="s">
        <v>4260</v>
      </c>
      <c r="G1564" s="38">
        <v>0</v>
      </c>
      <c r="H1564" s="38">
        <v>0</v>
      </c>
      <c r="I1564" s="15"/>
      <c r="J1564" s="494">
        <v>20411031113</v>
      </c>
      <c r="L1564" s="523" t="s">
        <v>3755</v>
      </c>
      <c r="M1564" s="523" t="s">
        <v>607</v>
      </c>
      <c r="N1564" s="518" t="s">
        <v>3756</v>
      </c>
      <c r="O1564" s="523">
        <v>2</v>
      </c>
      <c r="P1564" s="523" t="s">
        <v>693</v>
      </c>
      <c r="Q1564" s="523" t="s">
        <v>1229</v>
      </c>
      <c r="R1564" s="523" t="s">
        <v>671</v>
      </c>
      <c r="S1564" s="523" t="s">
        <v>1229</v>
      </c>
      <c r="T1564" s="518" t="s">
        <v>4236</v>
      </c>
      <c r="U1564" s="38">
        <v>0</v>
      </c>
      <c r="V1564" s="15" t="str">
        <f t="shared" si="149"/>
        <v/>
      </c>
      <c r="W1564" s="10"/>
      <c r="X1564" s="10"/>
      <c r="Y1564" s="10"/>
      <c r="Z1564" s="10"/>
      <c r="AA1564" s="10"/>
      <c r="AB1564" s="10"/>
      <c r="AC1564" s="9"/>
      <c r="AD1564" s="523" t="e">
        <v>#N/A</v>
      </c>
      <c r="AE1564" s="523" t="e">
        <v>#N/A</v>
      </c>
      <c r="AF1564" s="523" t="e">
        <v>#N/A</v>
      </c>
      <c r="AG1564" s="524" t="e">
        <v>#N/A</v>
      </c>
      <c r="AH1564" s="9"/>
      <c r="AI1564" s="10"/>
      <c r="AJ1564" s="9">
        <f t="shared" si="150"/>
        <v>0</v>
      </c>
      <c r="AK1564" s="10"/>
      <c r="AL1564" s="10"/>
    </row>
    <row r="1565" spans="1:38" ht="45" hidden="1">
      <c r="A1565" s="1">
        <f t="shared" si="151"/>
        <v>0</v>
      </c>
      <c r="B1565" s="2" t="s">
        <v>4261</v>
      </c>
      <c r="C1565" s="3" t="s">
        <v>4262</v>
      </c>
      <c r="D1565" s="15" t="s">
        <v>11798</v>
      </c>
      <c r="E1565" s="4" t="s">
        <v>4261</v>
      </c>
      <c r="F1565" s="37" t="s">
        <v>4262</v>
      </c>
      <c r="G1565" s="38">
        <v>0</v>
      </c>
      <c r="H1565" s="38">
        <v>0</v>
      </c>
      <c r="I1565" s="15"/>
      <c r="J1565" s="494">
        <v>20411031114</v>
      </c>
      <c r="L1565" s="523" t="s">
        <v>3755</v>
      </c>
      <c r="M1565" s="523" t="s">
        <v>607</v>
      </c>
      <c r="N1565" s="518" t="s">
        <v>3756</v>
      </c>
      <c r="O1565" s="523">
        <v>2</v>
      </c>
      <c r="P1565" s="523" t="s">
        <v>693</v>
      </c>
      <c r="Q1565" s="523" t="s">
        <v>1229</v>
      </c>
      <c r="R1565" s="523" t="s">
        <v>671</v>
      </c>
      <c r="S1565" s="523" t="s">
        <v>1229</v>
      </c>
      <c r="T1565" s="518" t="s">
        <v>4236</v>
      </c>
      <c r="U1565" s="38">
        <v>0</v>
      </c>
      <c r="V1565" s="15" t="str">
        <f t="shared" si="149"/>
        <v/>
      </c>
      <c r="W1565" s="10"/>
      <c r="X1565" s="10"/>
      <c r="Y1565" s="10"/>
      <c r="Z1565" s="10"/>
      <c r="AA1565" s="10"/>
      <c r="AB1565" s="10"/>
      <c r="AC1565" s="9"/>
      <c r="AD1565" s="523" t="e">
        <v>#N/A</v>
      </c>
      <c r="AE1565" s="523" t="e">
        <v>#N/A</v>
      </c>
      <c r="AF1565" s="523" t="e">
        <v>#N/A</v>
      </c>
      <c r="AG1565" s="524" t="e">
        <v>#N/A</v>
      </c>
      <c r="AH1565" s="9"/>
      <c r="AI1565" s="10"/>
      <c r="AJ1565" s="9">
        <f t="shared" si="150"/>
        <v>0</v>
      </c>
      <c r="AK1565" s="10"/>
      <c r="AL1565" s="10"/>
    </row>
    <row r="1566" spans="1:38" ht="45" hidden="1">
      <c r="A1566" s="1">
        <f t="shared" si="151"/>
        <v>0</v>
      </c>
      <c r="B1566" s="2" t="s">
        <v>4263</v>
      </c>
      <c r="C1566" s="3" t="s">
        <v>4264</v>
      </c>
      <c r="D1566" s="15" t="s">
        <v>11798</v>
      </c>
      <c r="E1566" s="4" t="s">
        <v>4263</v>
      </c>
      <c r="F1566" s="37" t="s">
        <v>4264</v>
      </c>
      <c r="G1566" s="38">
        <v>0</v>
      </c>
      <c r="H1566" s="38">
        <v>0</v>
      </c>
      <c r="I1566" s="15"/>
      <c r="J1566" s="494">
        <v>20411031115</v>
      </c>
      <c r="L1566" s="523" t="s">
        <v>3755</v>
      </c>
      <c r="M1566" s="523" t="s">
        <v>607</v>
      </c>
      <c r="N1566" s="518" t="s">
        <v>3756</v>
      </c>
      <c r="O1566" s="523">
        <v>2</v>
      </c>
      <c r="P1566" s="523" t="s">
        <v>693</v>
      </c>
      <c r="Q1566" s="523" t="s">
        <v>1229</v>
      </c>
      <c r="R1566" s="523" t="s">
        <v>671</v>
      </c>
      <c r="S1566" s="523" t="s">
        <v>1229</v>
      </c>
      <c r="T1566" s="518" t="s">
        <v>4236</v>
      </c>
      <c r="U1566" s="38">
        <v>0</v>
      </c>
      <c r="V1566" s="15" t="str">
        <f t="shared" si="149"/>
        <v/>
      </c>
      <c r="W1566" s="10"/>
      <c r="X1566" s="10"/>
      <c r="Y1566" s="10"/>
      <c r="Z1566" s="10"/>
      <c r="AA1566" s="10"/>
      <c r="AB1566" s="10"/>
      <c r="AC1566" s="9"/>
      <c r="AD1566" s="523" t="e">
        <v>#N/A</v>
      </c>
      <c r="AE1566" s="523" t="e">
        <v>#N/A</v>
      </c>
      <c r="AF1566" s="523" t="e">
        <v>#N/A</v>
      </c>
      <c r="AG1566" s="524" t="e">
        <v>#N/A</v>
      </c>
      <c r="AH1566" s="9"/>
      <c r="AI1566" s="10"/>
      <c r="AJ1566" s="9">
        <f t="shared" si="150"/>
        <v>0</v>
      </c>
      <c r="AK1566" s="10"/>
      <c r="AL1566" s="10"/>
    </row>
    <row r="1567" spans="1:38" ht="45" hidden="1">
      <c r="A1567" s="1">
        <f t="shared" si="151"/>
        <v>0</v>
      </c>
      <c r="B1567" s="2" t="s">
        <v>4265</v>
      </c>
      <c r="C1567" s="3" t="s">
        <v>4266</v>
      </c>
      <c r="D1567" s="15" t="s">
        <v>11798</v>
      </c>
      <c r="E1567" s="4" t="s">
        <v>4265</v>
      </c>
      <c r="F1567" s="37" t="s">
        <v>4266</v>
      </c>
      <c r="G1567" s="38">
        <v>0</v>
      </c>
      <c r="H1567" s="38">
        <v>0</v>
      </c>
      <c r="I1567" s="15"/>
      <c r="J1567" s="494">
        <v>20411031116</v>
      </c>
      <c r="L1567" s="523" t="s">
        <v>3755</v>
      </c>
      <c r="M1567" s="523" t="s">
        <v>607</v>
      </c>
      <c r="N1567" s="518" t="s">
        <v>3756</v>
      </c>
      <c r="O1567" s="523">
        <v>2</v>
      </c>
      <c r="P1567" s="523" t="s">
        <v>693</v>
      </c>
      <c r="Q1567" s="523" t="s">
        <v>1229</v>
      </c>
      <c r="R1567" s="523" t="s">
        <v>671</v>
      </c>
      <c r="S1567" s="523" t="s">
        <v>1229</v>
      </c>
      <c r="T1567" s="518" t="s">
        <v>4236</v>
      </c>
      <c r="U1567" s="38">
        <v>0</v>
      </c>
      <c r="V1567" s="15" t="str">
        <f t="shared" si="149"/>
        <v/>
      </c>
      <c r="W1567" s="10"/>
      <c r="X1567" s="10"/>
      <c r="Y1567" s="10"/>
      <c r="Z1567" s="10"/>
      <c r="AA1567" s="10"/>
      <c r="AB1567" s="10"/>
      <c r="AC1567" s="9"/>
      <c r="AD1567" s="523" t="e">
        <v>#N/A</v>
      </c>
      <c r="AE1567" s="523" t="e">
        <v>#N/A</v>
      </c>
      <c r="AF1567" s="523" t="e">
        <v>#N/A</v>
      </c>
      <c r="AG1567" s="524" t="e">
        <v>#N/A</v>
      </c>
      <c r="AH1567" s="9"/>
      <c r="AI1567" s="10"/>
      <c r="AJ1567" s="9">
        <f t="shared" si="150"/>
        <v>0</v>
      </c>
      <c r="AK1567" s="10"/>
      <c r="AL1567" s="10"/>
    </row>
    <row r="1568" spans="1:38" ht="45" hidden="1">
      <c r="A1568" s="1">
        <f t="shared" si="151"/>
        <v>0</v>
      </c>
      <c r="B1568" s="2" t="s">
        <v>4267</v>
      </c>
      <c r="C1568" s="3" t="s">
        <v>4268</v>
      </c>
      <c r="D1568" s="15" t="s">
        <v>11798</v>
      </c>
      <c r="E1568" s="4" t="s">
        <v>4267</v>
      </c>
      <c r="F1568" s="37" t="s">
        <v>4268</v>
      </c>
      <c r="G1568" s="38">
        <v>0</v>
      </c>
      <c r="H1568" s="38">
        <v>0</v>
      </c>
      <c r="I1568" s="15"/>
      <c r="J1568" s="494">
        <v>20411031117</v>
      </c>
      <c r="L1568" s="523" t="s">
        <v>3755</v>
      </c>
      <c r="M1568" s="523" t="s">
        <v>607</v>
      </c>
      <c r="N1568" s="518" t="s">
        <v>3756</v>
      </c>
      <c r="O1568" s="523">
        <v>2</v>
      </c>
      <c r="P1568" s="523" t="s">
        <v>693</v>
      </c>
      <c r="Q1568" s="523" t="s">
        <v>1229</v>
      </c>
      <c r="R1568" s="523" t="s">
        <v>671</v>
      </c>
      <c r="S1568" s="523" t="s">
        <v>1229</v>
      </c>
      <c r="T1568" s="518" t="s">
        <v>4236</v>
      </c>
      <c r="U1568" s="38">
        <v>0</v>
      </c>
      <c r="V1568" s="15" t="str">
        <f t="shared" si="149"/>
        <v/>
      </c>
      <c r="W1568" s="10"/>
      <c r="X1568" s="10"/>
      <c r="Y1568" s="10"/>
      <c r="Z1568" s="10"/>
      <c r="AA1568" s="10"/>
      <c r="AB1568" s="10"/>
      <c r="AC1568" s="9"/>
      <c r="AD1568" s="523" t="e">
        <v>#N/A</v>
      </c>
      <c r="AE1568" s="523" t="e">
        <v>#N/A</v>
      </c>
      <c r="AF1568" s="523" t="e">
        <v>#N/A</v>
      </c>
      <c r="AG1568" s="524" t="e">
        <v>#N/A</v>
      </c>
      <c r="AH1568" s="9"/>
      <c r="AI1568" s="10"/>
      <c r="AJ1568" s="9">
        <f t="shared" si="150"/>
        <v>0</v>
      </c>
      <c r="AK1568" s="10"/>
      <c r="AL1568" s="10"/>
    </row>
    <row r="1569" spans="1:38" ht="45" hidden="1">
      <c r="A1569" s="1">
        <f t="shared" si="151"/>
        <v>0</v>
      </c>
      <c r="B1569" s="2" t="s">
        <v>4269</v>
      </c>
      <c r="C1569" s="3" t="s">
        <v>4270</v>
      </c>
      <c r="D1569" s="15" t="s">
        <v>11798</v>
      </c>
      <c r="E1569" s="4" t="s">
        <v>4269</v>
      </c>
      <c r="F1569" s="37" t="s">
        <v>4270</v>
      </c>
      <c r="G1569" s="38">
        <v>0</v>
      </c>
      <c r="H1569" s="38">
        <v>0</v>
      </c>
      <c r="I1569" s="15"/>
      <c r="J1569" s="494">
        <v>20411031118</v>
      </c>
      <c r="L1569" s="523" t="s">
        <v>3755</v>
      </c>
      <c r="M1569" s="523" t="s">
        <v>607</v>
      </c>
      <c r="N1569" s="518" t="s">
        <v>3756</v>
      </c>
      <c r="O1569" s="523">
        <v>2</v>
      </c>
      <c r="P1569" s="523" t="s">
        <v>693</v>
      </c>
      <c r="Q1569" s="523" t="s">
        <v>1229</v>
      </c>
      <c r="R1569" s="523" t="s">
        <v>671</v>
      </c>
      <c r="S1569" s="523" t="s">
        <v>1229</v>
      </c>
      <c r="T1569" s="518" t="s">
        <v>4236</v>
      </c>
      <c r="U1569" s="38">
        <v>0</v>
      </c>
      <c r="V1569" s="15" t="str">
        <f t="shared" si="149"/>
        <v/>
      </c>
      <c r="W1569" s="10"/>
      <c r="X1569" s="10"/>
      <c r="Y1569" s="10"/>
      <c r="Z1569" s="10"/>
      <c r="AA1569" s="10"/>
      <c r="AB1569" s="10"/>
      <c r="AC1569" s="9"/>
      <c r="AD1569" s="523" t="e">
        <v>#N/A</v>
      </c>
      <c r="AE1569" s="523" t="e">
        <v>#N/A</v>
      </c>
      <c r="AF1569" s="523" t="e">
        <v>#N/A</v>
      </c>
      <c r="AG1569" s="524" t="e">
        <v>#N/A</v>
      </c>
      <c r="AH1569" s="9"/>
      <c r="AI1569" s="10"/>
      <c r="AJ1569" s="9">
        <f t="shared" si="150"/>
        <v>0</v>
      </c>
      <c r="AK1569" s="10"/>
      <c r="AL1569" s="10"/>
    </row>
    <row r="1570" spans="1:38" ht="45" hidden="1">
      <c r="A1570" s="1">
        <f t="shared" si="151"/>
        <v>0</v>
      </c>
      <c r="B1570" s="2" t="s">
        <v>4271</v>
      </c>
      <c r="C1570" s="3" t="s">
        <v>4272</v>
      </c>
      <c r="D1570" s="15" t="s">
        <v>11798</v>
      </c>
      <c r="E1570" s="4" t="s">
        <v>4271</v>
      </c>
      <c r="F1570" s="37" t="s">
        <v>4272</v>
      </c>
      <c r="G1570" s="38">
        <v>0</v>
      </c>
      <c r="H1570" s="38">
        <v>0</v>
      </c>
      <c r="I1570" s="15"/>
      <c r="J1570" s="494">
        <v>20411031119</v>
      </c>
      <c r="L1570" s="523" t="s">
        <v>3755</v>
      </c>
      <c r="M1570" s="523" t="s">
        <v>607</v>
      </c>
      <c r="N1570" s="518" t="s">
        <v>3756</v>
      </c>
      <c r="O1570" s="523">
        <v>2</v>
      </c>
      <c r="P1570" s="523" t="s">
        <v>693</v>
      </c>
      <c r="Q1570" s="523" t="s">
        <v>1229</v>
      </c>
      <c r="R1570" s="523" t="s">
        <v>671</v>
      </c>
      <c r="S1570" s="523" t="s">
        <v>1229</v>
      </c>
      <c r="T1570" s="518" t="s">
        <v>4236</v>
      </c>
      <c r="U1570" s="38">
        <v>0</v>
      </c>
      <c r="V1570" s="15" t="str">
        <f t="shared" si="149"/>
        <v/>
      </c>
      <c r="W1570" s="10"/>
      <c r="X1570" s="10"/>
      <c r="Y1570" s="10"/>
      <c r="Z1570" s="10"/>
      <c r="AA1570" s="10"/>
      <c r="AB1570" s="10"/>
      <c r="AC1570" s="9"/>
      <c r="AD1570" s="523" t="e">
        <v>#N/A</v>
      </c>
      <c r="AE1570" s="523" t="e">
        <v>#N/A</v>
      </c>
      <c r="AF1570" s="523" t="e">
        <v>#N/A</v>
      </c>
      <c r="AG1570" s="524" t="e">
        <v>#N/A</v>
      </c>
      <c r="AH1570" s="9"/>
      <c r="AI1570" s="10"/>
      <c r="AJ1570" s="9">
        <f t="shared" si="150"/>
        <v>0</v>
      </c>
      <c r="AK1570" s="10"/>
      <c r="AL1570" s="10"/>
    </row>
    <row r="1571" spans="1:38" ht="45" hidden="1">
      <c r="A1571" s="1">
        <f t="shared" si="151"/>
        <v>0</v>
      </c>
      <c r="B1571" s="2" t="s">
        <v>4273</v>
      </c>
      <c r="C1571" s="3" t="s">
        <v>4274</v>
      </c>
      <c r="D1571" s="15" t="s">
        <v>11798</v>
      </c>
      <c r="E1571" s="4" t="s">
        <v>4273</v>
      </c>
      <c r="F1571" s="37" t="s">
        <v>4274</v>
      </c>
      <c r="G1571" s="38">
        <v>0</v>
      </c>
      <c r="H1571" s="38">
        <v>0</v>
      </c>
      <c r="I1571" s="15"/>
      <c r="J1571" s="494">
        <v>20411031120</v>
      </c>
      <c r="L1571" s="523" t="s">
        <v>3755</v>
      </c>
      <c r="M1571" s="523" t="s">
        <v>607</v>
      </c>
      <c r="N1571" s="518" t="s">
        <v>3756</v>
      </c>
      <c r="O1571" s="523">
        <v>2</v>
      </c>
      <c r="P1571" s="523" t="s">
        <v>693</v>
      </c>
      <c r="Q1571" s="523" t="s">
        <v>1229</v>
      </c>
      <c r="R1571" s="523" t="s">
        <v>671</v>
      </c>
      <c r="S1571" s="523" t="s">
        <v>1229</v>
      </c>
      <c r="T1571" s="518" t="s">
        <v>4236</v>
      </c>
      <c r="U1571" s="38">
        <v>0</v>
      </c>
      <c r="V1571" s="15" t="str">
        <f t="shared" si="149"/>
        <v/>
      </c>
      <c r="W1571" s="10"/>
      <c r="X1571" s="10"/>
      <c r="Y1571" s="10"/>
      <c r="Z1571" s="10"/>
      <c r="AA1571" s="10"/>
      <c r="AB1571" s="10"/>
      <c r="AC1571" s="9"/>
      <c r="AD1571" s="523" t="e">
        <v>#N/A</v>
      </c>
      <c r="AE1571" s="523" t="e">
        <v>#N/A</v>
      </c>
      <c r="AF1571" s="523" t="e">
        <v>#N/A</v>
      </c>
      <c r="AG1571" s="524" t="e">
        <v>#N/A</v>
      </c>
      <c r="AH1571" s="9"/>
      <c r="AI1571" s="10"/>
      <c r="AJ1571" s="9">
        <f t="shared" si="150"/>
        <v>0</v>
      </c>
      <c r="AK1571" s="10"/>
      <c r="AL1571" s="10"/>
    </row>
    <row r="1572" spans="1:38" ht="45" hidden="1">
      <c r="A1572" s="1">
        <f t="shared" si="151"/>
        <v>0</v>
      </c>
      <c r="B1572" s="2" t="s">
        <v>4275</v>
      </c>
      <c r="C1572" s="3" t="s">
        <v>4276</v>
      </c>
      <c r="D1572" s="15" t="s">
        <v>11798</v>
      </c>
      <c r="E1572" s="4" t="s">
        <v>4275</v>
      </c>
      <c r="F1572" s="37" t="s">
        <v>4276</v>
      </c>
      <c r="G1572" s="38">
        <v>0</v>
      </c>
      <c r="H1572" s="38">
        <v>0</v>
      </c>
      <c r="I1572" s="15"/>
      <c r="J1572" s="494">
        <v>20411031121</v>
      </c>
      <c r="L1572" s="523" t="s">
        <v>3755</v>
      </c>
      <c r="M1572" s="523" t="s">
        <v>607</v>
      </c>
      <c r="N1572" s="518" t="s">
        <v>3756</v>
      </c>
      <c r="O1572" s="523">
        <v>2</v>
      </c>
      <c r="P1572" s="523" t="s">
        <v>693</v>
      </c>
      <c r="Q1572" s="523" t="s">
        <v>1229</v>
      </c>
      <c r="R1572" s="523" t="s">
        <v>671</v>
      </c>
      <c r="S1572" s="523" t="s">
        <v>1229</v>
      </c>
      <c r="T1572" s="518" t="s">
        <v>4236</v>
      </c>
      <c r="U1572" s="38">
        <v>0</v>
      </c>
      <c r="V1572" s="15" t="str">
        <f t="shared" si="149"/>
        <v/>
      </c>
      <c r="W1572" s="10"/>
      <c r="X1572" s="10"/>
      <c r="Y1572" s="10"/>
      <c r="Z1572" s="10"/>
      <c r="AA1572" s="10"/>
      <c r="AB1572" s="10"/>
      <c r="AC1572" s="9"/>
      <c r="AD1572" s="523" t="e">
        <v>#N/A</v>
      </c>
      <c r="AE1572" s="523" t="e">
        <v>#N/A</v>
      </c>
      <c r="AF1572" s="523" t="e">
        <v>#N/A</v>
      </c>
      <c r="AG1572" s="524" t="e">
        <v>#N/A</v>
      </c>
      <c r="AH1572" s="9"/>
      <c r="AI1572" s="10"/>
      <c r="AJ1572" s="9">
        <f t="shared" si="150"/>
        <v>0</v>
      </c>
      <c r="AK1572" s="10"/>
      <c r="AL1572" s="10"/>
    </row>
    <row r="1573" spans="1:38" ht="45" hidden="1">
      <c r="A1573" s="1">
        <f t="shared" si="151"/>
        <v>0</v>
      </c>
      <c r="B1573" s="2" t="s">
        <v>4277</v>
      </c>
      <c r="C1573" s="3" t="s">
        <v>4278</v>
      </c>
      <c r="D1573" s="15" t="s">
        <v>11798</v>
      </c>
      <c r="E1573" s="4" t="s">
        <v>4277</v>
      </c>
      <c r="F1573" s="37" t="s">
        <v>4278</v>
      </c>
      <c r="G1573" s="38">
        <v>0</v>
      </c>
      <c r="H1573" s="38">
        <v>0</v>
      </c>
      <c r="I1573" s="15"/>
      <c r="J1573" s="494">
        <v>20411031122</v>
      </c>
      <c r="L1573" s="523" t="s">
        <v>3755</v>
      </c>
      <c r="M1573" s="523" t="s">
        <v>607</v>
      </c>
      <c r="N1573" s="518" t="s">
        <v>3756</v>
      </c>
      <c r="O1573" s="523">
        <v>2</v>
      </c>
      <c r="P1573" s="523" t="s">
        <v>693</v>
      </c>
      <c r="Q1573" s="523" t="s">
        <v>1229</v>
      </c>
      <c r="R1573" s="523" t="s">
        <v>671</v>
      </c>
      <c r="S1573" s="523" t="s">
        <v>1229</v>
      </c>
      <c r="T1573" s="518" t="s">
        <v>4236</v>
      </c>
      <c r="U1573" s="38">
        <v>0</v>
      </c>
      <c r="V1573" s="15" t="str">
        <f t="shared" si="149"/>
        <v/>
      </c>
      <c r="W1573" s="10"/>
      <c r="X1573" s="10"/>
      <c r="Y1573" s="10"/>
      <c r="Z1573" s="10"/>
      <c r="AA1573" s="10"/>
      <c r="AB1573" s="10"/>
      <c r="AC1573" s="9"/>
      <c r="AD1573" s="523" t="e">
        <v>#N/A</v>
      </c>
      <c r="AE1573" s="523" t="e">
        <v>#N/A</v>
      </c>
      <c r="AF1573" s="523" t="e">
        <v>#N/A</v>
      </c>
      <c r="AG1573" s="524" t="e">
        <v>#N/A</v>
      </c>
      <c r="AH1573" s="9"/>
      <c r="AI1573" s="10"/>
      <c r="AJ1573" s="9">
        <f t="shared" si="150"/>
        <v>0</v>
      </c>
      <c r="AK1573" s="10"/>
      <c r="AL1573" s="10"/>
    </row>
    <row r="1574" spans="1:38" ht="45" hidden="1">
      <c r="A1574" s="1">
        <f t="shared" si="151"/>
        <v>0</v>
      </c>
      <c r="B1574" s="2" t="s">
        <v>4279</v>
      </c>
      <c r="C1574" s="3" t="s">
        <v>4280</v>
      </c>
      <c r="D1574" s="15" t="s">
        <v>11798</v>
      </c>
      <c r="E1574" s="4" t="s">
        <v>4279</v>
      </c>
      <c r="F1574" s="37" t="s">
        <v>4280</v>
      </c>
      <c r="G1574" s="38">
        <v>0</v>
      </c>
      <c r="H1574" s="38">
        <v>0</v>
      </c>
      <c r="I1574" s="15"/>
      <c r="J1574" s="494">
        <v>20411031123</v>
      </c>
      <c r="L1574" s="523" t="s">
        <v>3755</v>
      </c>
      <c r="M1574" s="523" t="s">
        <v>607</v>
      </c>
      <c r="N1574" s="518" t="s">
        <v>3756</v>
      </c>
      <c r="O1574" s="523">
        <v>2</v>
      </c>
      <c r="P1574" s="523" t="s">
        <v>693</v>
      </c>
      <c r="Q1574" s="523" t="s">
        <v>1229</v>
      </c>
      <c r="R1574" s="523" t="s">
        <v>671</v>
      </c>
      <c r="S1574" s="523" t="s">
        <v>1229</v>
      </c>
      <c r="T1574" s="518" t="s">
        <v>4236</v>
      </c>
      <c r="U1574" s="38">
        <v>0</v>
      </c>
      <c r="V1574" s="15" t="str">
        <f t="shared" si="149"/>
        <v/>
      </c>
      <c r="W1574" s="10"/>
      <c r="X1574" s="10"/>
      <c r="Y1574" s="10"/>
      <c r="Z1574" s="10"/>
      <c r="AA1574" s="10"/>
      <c r="AB1574" s="10"/>
      <c r="AC1574" s="9"/>
      <c r="AD1574" s="523" t="e">
        <v>#N/A</v>
      </c>
      <c r="AE1574" s="523" t="e">
        <v>#N/A</v>
      </c>
      <c r="AF1574" s="523" t="e">
        <v>#N/A</v>
      </c>
      <c r="AG1574" s="524" t="e">
        <v>#N/A</v>
      </c>
      <c r="AH1574" s="9"/>
      <c r="AI1574" s="10"/>
      <c r="AJ1574" s="9">
        <f t="shared" si="150"/>
        <v>0</v>
      </c>
      <c r="AK1574" s="10"/>
      <c r="AL1574" s="10"/>
    </row>
    <row r="1575" spans="1:38" ht="45" hidden="1">
      <c r="A1575" s="1">
        <f t="shared" si="151"/>
        <v>0</v>
      </c>
      <c r="B1575" s="2" t="s">
        <v>4281</v>
      </c>
      <c r="C1575" s="3" t="s">
        <v>4282</v>
      </c>
      <c r="D1575" s="15" t="s">
        <v>11798</v>
      </c>
      <c r="E1575" s="4" t="s">
        <v>4281</v>
      </c>
      <c r="F1575" s="37" t="s">
        <v>4282</v>
      </c>
      <c r="G1575" s="38">
        <v>0</v>
      </c>
      <c r="H1575" s="38">
        <v>0</v>
      </c>
      <c r="I1575" s="15"/>
      <c r="J1575" s="494">
        <v>20411031124</v>
      </c>
      <c r="L1575" s="523" t="s">
        <v>3755</v>
      </c>
      <c r="M1575" s="523" t="s">
        <v>607</v>
      </c>
      <c r="N1575" s="518" t="s">
        <v>3756</v>
      </c>
      <c r="O1575" s="523">
        <v>2</v>
      </c>
      <c r="P1575" s="523" t="s">
        <v>693</v>
      </c>
      <c r="Q1575" s="523" t="s">
        <v>1229</v>
      </c>
      <c r="R1575" s="523" t="s">
        <v>671</v>
      </c>
      <c r="S1575" s="523" t="s">
        <v>1229</v>
      </c>
      <c r="T1575" s="518" t="s">
        <v>4236</v>
      </c>
      <c r="U1575" s="38">
        <v>0</v>
      </c>
      <c r="V1575" s="15" t="str">
        <f t="shared" si="149"/>
        <v/>
      </c>
      <c r="W1575" s="10"/>
      <c r="X1575" s="10"/>
      <c r="Y1575" s="10"/>
      <c r="Z1575" s="10"/>
      <c r="AA1575" s="10"/>
      <c r="AB1575" s="10"/>
      <c r="AC1575" s="9"/>
      <c r="AD1575" s="523" t="e">
        <v>#N/A</v>
      </c>
      <c r="AE1575" s="523" t="e">
        <v>#N/A</v>
      </c>
      <c r="AF1575" s="523" t="e">
        <v>#N/A</v>
      </c>
      <c r="AG1575" s="524" t="e">
        <v>#N/A</v>
      </c>
      <c r="AH1575" s="9"/>
      <c r="AI1575" s="10"/>
      <c r="AJ1575" s="9">
        <f t="shared" si="150"/>
        <v>0</v>
      </c>
      <c r="AK1575" s="10"/>
      <c r="AL1575" s="10"/>
    </row>
    <row r="1576" spans="1:38" ht="45" hidden="1">
      <c r="A1576" s="1">
        <f t="shared" si="151"/>
        <v>0</v>
      </c>
      <c r="B1576" s="2" t="s">
        <v>4283</v>
      </c>
      <c r="C1576" s="3" t="s">
        <v>4192</v>
      </c>
      <c r="D1576" s="15" t="s">
        <v>11799</v>
      </c>
      <c r="E1576" s="4" t="s">
        <v>4283</v>
      </c>
      <c r="F1576" s="37" t="s">
        <v>4192</v>
      </c>
      <c r="G1576" s="38">
        <v>0</v>
      </c>
      <c r="H1576" s="38">
        <v>0</v>
      </c>
      <c r="I1576" s="15"/>
      <c r="J1576" s="494">
        <v>20411031201</v>
      </c>
      <c r="K1576" s="517"/>
      <c r="L1576" s="517" t="s">
        <v>3755</v>
      </c>
      <c r="M1576" s="517" t="s">
        <v>607</v>
      </c>
      <c r="N1576" s="518" t="s">
        <v>3756</v>
      </c>
      <c r="O1576" s="517">
        <v>2</v>
      </c>
      <c r="P1576" s="517" t="s">
        <v>693</v>
      </c>
      <c r="Q1576" s="517" t="s">
        <v>1229</v>
      </c>
      <c r="R1576" s="517" t="s">
        <v>671</v>
      </c>
      <c r="S1576" s="517" t="s">
        <v>1243</v>
      </c>
      <c r="T1576" s="518" t="s">
        <v>4284</v>
      </c>
      <c r="U1576" s="38">
        <v>0</v>
      </c>
      <c r="V1576" s="15" t="str">
        <f t="shared" si="149"/>
        <v>204110312</v>
      </c>
      <c r="W1576" s="39">
        <v>2</v>
      </c>
      <c r="X1576" s="50" t="s">
        <v>693</v>
      </c>
      <c r="Y1576" s="50" t="s">
        <v>1229</v>
      </c>
      <c r="Z1576" s="50" t="s">
        <v>671</v>
      </c>
      <c r="AA1576" s="40" t="s">
        <v>1243</v>
      </c>
      <c r="AB1576" s="42" t="s">
        <v>4284</v>
      </c>
      <c r="AC1576" s="519">
        <f>SUM(H1576:H1595)</f>
        <v>1805929.0999999999</v>
      </c>
      <c r="AD1576" s="517">
        <v>0</v>
      </c>
      <c r="AE1576" s="517" t="s">
        <v>3755</v>
      </c>
      <c r="AF1576" s="517" t="s">
        <v>607</v>
      </c>
      <c r="AG1576" s="518" t="s">
        <v>3756</v>
      </c>
      <c r="AH1576" s="67">
        <f>AC1576</f>
        <v>1805929.0999999999</v>
      </c>
      <c r="AI1576" s="10"/>
      <c r="AJ1576" s="9"/>
      <c r="AK1576" s="10"/>
      <c r="AL1576" s="10"/>
    </row>
    <row r="1577" spans="1:38" ht="33.75" hidden="1">
      <c r="A1577" s="1">
        <f t="shared" si="151"/>
        <v>0</v>
      </c>
      <c r="B1577" s="2" t="s">
        <v>4285</v>
      </c>
      <c r="C1577" s="3" t="s">
        <v>4194</v>
      </c>
      <c r="D1577" s="15" t="s">
        <v>11799</v>
      </c>
      <c r="E1577" s="4" t="s">
        <v>4285</v>
      </c>
      <c r="F1577" s="37" t="s">
        <v>4194</v>
      </c>
      <c r="G1577" s="38">
        <v>453031.21</v>
      </c>
      <c r="H1577" s="38">
        <v>0</v>
      </c>
      <c r="I1577" s="15"/>
      <c r="J1577" s="494">
        <v>20411031202</v>
      </c>
      <c r="L1577" s="523" t="s">
        <v>3755</v>
      </c>
      <c r="M1577" s="523" t="s">
        <v>607</v>
      </c>
      <c r="N1577" s="518" t="s">
        <v>3756</v>
      </c>
      <c r="O1577" s="523">
        <v>2</v>
      </c>
      <c r="P1577" s="523" t="s">
        <v>693</v>
      </c>
      <c r="Q1577" s="523" t="s">
        <v>1229</v>
      </c>
      <c r="R1577" s="523" t="s">
        <v>671</v>
      </c>
      <c r="S1577" s="523" t="s">
        <v>1243</v>
      </c>
      <c r="T1577" s="518" t="s">
        <v>4284</v>
      </c>
      <c r="U1577" s="38">
        <v>0</v>
      </c>
      <c r="V1577" s="15" t="str">
        <f t="shared" si="149"/>
        <v/>
      </c>
      <c r="W1577" s="10"/>
      <c r="X1577" s="10"/>
      <c r="Y1577" s="10"/>
      <c r="Z1577" s="10"/>
      <c r="AA1577" s="10"/>
      <c r="AB1577" s="10"/>
      <c r="AC1577" s="9"/>
      <c r="AD1577" s="523" t="e">
        <v>#N/A</v>
      </c>
      <c r="AE1577" s="523" t="e">
        <v>#N/A</v>
      </c>
      <c r="AF1577" s="523" t="e">
        <v>#N/A</v>
      </c>
      <c r="AG1577" s="524" t="e">
        <v>#N/A</v>
      </c>
      <c r="AH1577" s="9"/>
      <c r="AI1577" s="10"/>
      <c r="AJ1577" s="9"/>
      <c r="AK1577" s="10"/>
      <c r="AL1577" s="10"/>
    </row>
    <row r="1578" spans="1:38" ht="33.75" hidden="1">
      <c r="A1578" s="1">
        <f t="shared" si="151"/>
        <v>0</v>
      </c>
      <c r="B1578" s="2" t="s">
        <v>4286</v>
      </c>
      <c r="C1578" s="3" t="s">
        <v>4196</v>
      </c>
      <c r="D1578" s="15" t="s">
        <v>11799</v>
      </c>
      <c r="E1578" s="4" t="s">
        <v>4286</v>
      </c>
      <c r="F1578" s="37" t="s">
        <v>4196</v>
      </c>
      <c r="G1578" s="38">
        <v>471808.13</v>
      </c>
      <c r="H1578" s="38">
        <v>0</v>
      </c>
      <c r="I1578" s="15"/>
      <c r="J1578" s="494">
        <v>20411031203</v>
      </c>
      <c r="L1578" s="523" t="s">
        <v>3755</v>
      </c>
      <c r="M1578" s="523" t="s">
        <v>607</v>
      </c>
      <c r="N1578" s="518" t="s">
        <v>3756</v>
      </c>
      <c r="O1578" s="523">
        <v>2</v>
      </c>
      <c r="P1578" s="523" t="s">
        <v>693</v>
      </c>
      <c r="Q1578" s="523" t="s">
        <v>1229</v>
      </c>
      <c r="R1578" s="523" t="s">
        <v>671</v>
      </c>
      <c r="S1578" s="523" t="s">
        <v>1243</v>
      </c>
      <c r="T1578" s="518" t="s">
        <v>4284</v>
      </c>
      <c r="U1578" s="38">
        <v>0</v>
      </c>
      <c r="V1578" s="15" t="str">
        <f t="shared" si="149"/>
        <v/>
      </c>
      <c r="W1578" s="10"/>
      <c r="X1578" s="10"/>
      <c r="Y1578" s="10"/>
      <c r="Z1578" s="10"/>
      <c r="AA1578" s="10"/>
      <c r="AB1578" s="10"/>
      <c r="AC1578" s="9"/>
      <c r="AD1578" s="523" t="e">
        <v>#N/A</v>
      </c>
      <c r="AE1578" s="523" t="e">
        <v>#N/A</v>
      </c>
      <c r="AF1578" s="523" t="e">
        <v>#N/A</v>
      </c>
      <c r="AG1578" s="524" t="e">
        <v>#N/A</v>
      </c>
      <c r="AH1578" s="9"/>
      <c r="AI1578" s="10"/>
      <c r="AJ1578" s="9"/>
      <c r="AK1578" s="10"/>
      <c r="AL1578" s="10"/>
    </row>
    <row r="1579" spans="1:38" ht="33.75" hidden="1">
      <c r="A1579" s="1">
        <f t="shared" si="151"/>
        <v>0</v>
      </c>
      <c r="B1579" s="2" t="s">
        <v>4287</v>
      </c>
      <c r="C1579" s="3" t="s">
        <v>4202</v>
      </c>
      <c r="D1579" s="15" t="s">
        <v>11799</v>
      </c>
      <c r="E1579" s="4" t="s">
        <v>4287</v>
      </c>
      <c r="F1579" s="37" t="s">
        <v>4202</v>
      </c>
      <c r="G1579" s="38">
        <v>75249.53</v>
      </c>
      <c r="H1579" s="38">
        <v>0</v>
      </c>
      <c r="I1579" s="15"/>
      <c r="J1579" s="494">
        <v>20411031204</v>
      </c>
      <c r="L1579" s="523" t="s">
        <v>3755</v>
      </c>
      <c r="M1579" s="523" t="s">
        <v>607</v>
      </c>
      <c r="N1579" s="518" t="s">
        <v>3756</v>
      </c>
      <c r="O1579" s="523">
        <v>2</v>
      </c>
      <c r="P1579" s="523" t="s">
        <v>693</v>
      </c>
      <c r="Q1579" s="523" t="s">
        <v>1229</v>
      </c>
      <c r="R1579" s="523" t="s">
        <v>671</v>
      </c>
      <c r="S1579" s="523" t="s">
        <v>1243</v>
      </c>
      <c r="T1579" s="518" t="s">
        <v>4284</v>
      </c>
      <c r="U1579" s="38">
        <v>0</v>
      </c>
      <c r="V1579" s="15" t="str">
        <f t="shared" si="149"/>
        <v/>
      </c>
      <c r="W1579" s="10"/>
      <c r="X1579" s="10"/>
      <c r="Y1579" s="10"/>
      <c r="Z1579" s="10"/>
      <c r="AA1579" s="10"/>
      <c r="AB1579" s="10"/>
      <c r="AC1579" s="9"/>
      <c r="AD1579" s="523" t="e">
        <v>#N/A</v>
      </c>
      <c r="AE1579" s="523" t="e">
        <v>#N/A</v>
      </c>
      <c r="AF1579" s="523" t="e">
        <v>#N/A</v>
      </c>
      <c r="AG1579" s="524" t="e">
        <v>#N/A</v>
      </c>
      <c r="AH1579" s="9"/>
      <c r="AI1579" s="10"/>
      <c r="AJ1579" s="9"/>
      <c r="AK1579" s="10"/>
      <c r="AL1579" s="10"/>
    </row>
    <row r="1580" spans="1:38" ht="33.75" hidden="1">
      <c r="A1580" s="1">
        <f t="shared" si="151"/>
        <v>0</v>
      </c>
      <c r="B1580" s="2" t="s">
        <v>4288</v>
      </c>
      <c r="C1580" s="3" t="s">
        <v>4238</v>
      </c>
      <c r="D1580" s="15" t="s">
        <v>11799</v>
      </c>
      <c r="E1580" s="4" t="s">
        <v>4288</v>
      </c>
      <c r="F1580" s="37" t="s">
        <v>4238</v>
      </c>
      <c r="G1580" s="38">
        <v>12273.76</v>
      </c>
      <c r="H1580" s="38">
        <v>0</v>
      </c>
      <c r="I1580" s="15"/>
      <c r="J1580" s="494">
        <v>20411031205</v>
      </c>
      <c r="L1580" s="523" t="s">
        <v>3755</v>
      </c>
      <c r="M1580" s="523" t="s">
        <v>607</v>
      </c>
      <c r="N1580" s="518" t="s">
        <v>3756</v>
      </c>
      <c r="O1580" s="523">
        <v>2</v>
      </c>
      <c r="P1580" s="523" t="s">
        <v>693</v>
      </c>
      <c r="Q1580" s="523" t="s">
        <v>1229</v>
      </c>
      <c r="R1580" s="523" t="s">
        <v>671</v>
      </c>
      <c r="S1580" s="523" t="s">
        <v>1243</v>
      </c>
      <c r="T1580" s="518" t="s">
        <v>4284</v>
      </c>
      <c r="U1580" s="38">
        <v>0</v>
      </c>
      <c r="V1580" s="15" t="str">
        <f t="shared" si="149"/>
        <v/>
      </c>
      <c r="W1580" s="10"/>
      <c r="X1580" s="10"/>
      <c r="Y1580" s="10"/>
      <c r="Z1580" s="10"/>
      <c r="AA1580" s="10"/>
      <c r="AB1580" s="10"/>
      <c r="AC1580" s="9"/>
      <c r="AD1580" s="523" t="e">
        <v>#N/A</v>
      </c>
      <c r="AE1580" s="523" t="e">
        <v>#N/A</v>
      </c>
      <c r="AF1580" s="523" t="e">
        <v>#N/A</v>
      </c>
      <c r="AG1580" s="524" t="e">
        <v>#N/A</v>
      </c>
      <c r="AH1580" s="9"/>
      <c r="AI1580" s="10"/>
      <c r="AJ1580" s="9"/>
      <c r="AK1580" s="10"/>
      <c r="AL1580" s="10"/>
    </row>
    <row r="1581" spans="1:38" ht="33.75" hidden="1">
      <c r="A1581" s="1">
        <f t="shared" si="151"/>
        <v>0</v>
      </c>
      <c r="B1581" s="2" t="s">
        <v>4289</v>
      </c>
      <c r="C1581" s="3" t="s">
        <v>4211</v>
      </c>
      <c r="D1581" s="15" t="s">
        <v>11799</v>
      </c>
      <c r="E1581" s="4" t="s">
        <v>4289</v>
      </c>
      <c r="F1581" s="37" t="s">
        <v>4211</v>
      </c>
      <c r="G1581" s="38">
        <v>71880.929999999993</v>
      </c>
      <c r="H1581" s="38">
        <v>71880.929999999993</v>
      </c>
      <c r="I1581" s="15"/>
      <c r="J1581" s="494">
        <v>20411031206</v>
      </c>
      <c r="L1581" s="523" t="s">
        <v>3755</v>
      </c>
      <c r="M1581" s="523" t="s">
        <v>607</v>
      </c>
      <c r="N1581" s="518" t="s">
        <v>3756</v>
      </c>
      <c r="O1581" s="523">
        <v>2</v>
      </c>
      <c r="P1581" s="523" t="s">
        <v>693</v>
      </c>
      <c r="Q1581" s="523" t="s">
        <v>1229</v>
      </c>
      <c r="R1581" s="523" t="s">
        <v>671</v>
      </c>
      <c r="S1581" s="523" t="s">
        <v>1243</v>
      </c>
      <c r="T1581" s="518" t="s">
        <v>4284</v>
      </c>
      <c r="U1581" s="38">
        <v>71880.929999999993</v>
      </c>
      <c r="V1581" s="15" t="str">
        <f t="shared" si="149"/>
        <v/>
      </c>
      <c r="W1581" s="10"/>
      <c r="X1581" s="10"/>
      <c r="Y1581" s="10"/>
      <c r="Z1581" s="10"/>
      <c r="AA1581" s="10"/>
      <c r="AB1581" s="10"/>
      <c r="AC1581" s="9"/>
      <c r="AD1581" s="523" t="e">
        <v>#N/A</v>
      </c>
      <c r="AE1581" s="523" t="e">
        <v>#N/A</v>
      </c>
      <c r="AF1581" s="523" t="e">
        <v>#N/A</v>
      </c>
      <c r="AG1581" s="524" t="e">
        <v>#N/A</v>
      </c>
      <c r="AH1581" s="9"/>
      <c r="AI1581" s="10"/>
      <c r="AJ1581" s="9"/>
      <c r="AK1581" s="10"/>
      <c r="AL1581" s="10"/>
    </row>
    <row r="1582" spans="1:38" ht="33.75" hidden="1">
      <c r="A1582" s="1">
        <f t="shared" si="151"/>
        <v>0</v>
      </c>
      <c r="B1582" s="2" t="s">
        <v>4290</v>
      </c>
      <c r="C1582" s="3" t="s">
        <v>4291</v>
      </c>
      <c r="D1582" s="15" t="s">
        <v>11799</v>
      </c>
      <c r="E1582" s="4" t="s">
        <v>4290</v>
      </c>
      <c r="F1582" s="37" t="s">
        <v>4291</v>
      </c>
      <c r="G1582" s="38">
        <v>347069.27</v>
      </c>
      <c r="H1582" s="38">
        <v>264419.92</v>
      </c>
      <c r="I1582" s="15"/>
      <c r="J1582" s="494">
        <v>20411031207</v>
      </c>
      <c r="L1582" s="523" t="s">
        <v>3755</v>
      </c>
      <c r="M1582" s="523" t="s">
        <v>607</v>
      </c>
      <c r="N1582" s="518" t="s">
        <v>3756</v>
      </c>
      <c r="O1582" s="523">
        <v>2</v>
      </c>
      <c r="P1582" s="523" t="s">
        <v>693</v>
      </c>
      <c r="Q1582" s="523" t="s">
        <v>1229</v>
      </c>
      <c r="R1582" s="523" t="s">
        <v>671</v>
      </c>
      <c r="S1582" s="523" t="s">
        <v>1243</v>
      </c>
      <c r="T1582" s="518" t="s">
        <v>4284</v>
      </c>
      <c r="U1582" s="38">
        <v>264419.92</v>
      </c>
      <c r="V1582" s="15" t="str">
        <f t="shared" si="149"/>
        <v/>
      </c>
      <c r="W1582" s="10"/>
      <c r="X1582" s="10"/>
      <c r="Y1582" s="10"/>
      <c r="Z1582" s="10"/>
      <c r="AA1582" s="10"/>
      <c r="AB1582" s="10"/>
      <c r="AC1582" s="9"/>
      <c r="AD1582" s="523" t="e">
        <v>#N/A</v>
      </c>
      <c r="AE1582" s="523" t="e">
        <v>#N/A</v>
      </c>
      <c r="AF1582" s="523" t="e">
        <v>#N/A</v>
      </c>
      <c r="AG1582" s="524" t="e">
        <v>#N/A</v>
      </c>
      <c r="AH1582" s="9"/>
      <c r="AI1582" s="10"/>
      <c r="AJ1582" s="9"/>
      <c r="AK1582" s="10"/>
      <c r="AL1582" s="10"/>
    </row>
    <row r="1583" spans="1:38" ht="33.75" hidden="1">
      <c r="A1583" s="1">
        <f t="shared" si="151"/>
        <v>0</v>
      </c>
      <c r="B1583" s="2" t="s">
        <v>4292</v>
      </c>
      <c r="C1583" s="3" t="s">
        <v>4293</v>
      </c>
      <c r="D1583" s="15" t="s">
        <v>11799</v>
      </c>
      <c r="E1583" s="4" t="s">
        <v>4292</v>
      </c>
      <c r="F1583" s="37" t="s">
        <v>4293</v>
      </c>
      <c r="G1583" s="38">
        <v>83785.69</v>
      </c>
      <c r="H1583" s="38">
        <v>20074.7</v>
      </c>
      <c r="I1583" s="15"/>
      <c r="J1583" s="494">
        <v>20411031208</v>
      </c>
      <c r="L1583" s="523" t="s">
        <v>3755</v>
      </c>
      <c r="M1583" s="523" t="s">
        <v>607</v>
      </c>
      <c r="N1583" s="518" t="s">
        <v>3756</v>
      </c>
      <c r="O1583" s="523">
        <v>2</v>
      </c>
      <c r="P1583" s="523" t="s">
        <v>693</v>
      </c>
      <c r="Q1583" s="523" t="s">
        <v>1229</v>
      </c>
      <c r="R1583" s="523" t="s">
        <v>671</v>
      </c>
      <c r="S1583" s="523" t="s">
        <v>1243</v>
      </c>
      <c r="T1583" s="518" t="s">
        <v>4284</v>
      </c>
      <c r="U1583" s="38">
        <v>20074.7</v>
      </c>
      <c r="V1583" s="15" t="str">
        <f t="shared" si="149"/>
        <v/>
      </c>
      <c r="W1583" s="10"/>
      <c r="X1583" s="10"/>
      <c r="Y1583" s="10"/>
      <c r="Z1583" s="10"/>
      <c r="AA1583" s="10"/>
      <c r="AB1583" s="10"/>
      <c r="AC1583" s="9"/>
      <c r="AD1583" s="523" t="e">
        <v>#N/A</v>
      </c>
      <c r="AE1583" s="523" t="e">
        <v>#N/A</v>
      </c>
      <c r="AF1583" s="523" t="e">
        <v>#N/A</v>
      </c>
      <c r="AG1583" s="524" t="e">
        <v>#N/A</v>
      </c>
      <c r="AH1583" s="9"/>
      <c r="AI1583" s="10"/>
      <c r="AJ1583" s="9"/>
      <c r="AK1583" s="10"/>
      <c r="AL1583" s="10"/>
    </row>
    <row r="1584" spans="1:38" ht="33.75" hidden="1">
      <c r="A1584" s="1">
        <f t="shared" si="151"/>
        <v>0</v>
      </c>
      <c r="B1584" s="2" t="s">
        <v>4294</v>
      </c>
      <c r="C1584" s="3" t="s">
        <v>4295</v>
      </c>
      <c r="D1584" s="15" t="s">
        <v>11799</v>
      </c>
      <c r="E1584" s="4" t="s">
        <v>4294</v>
      </c>
      <c r="F1584" s="37" t="s">
        <v>4295</v>
      </c>
      <c r="G1584" s="38">
        <v>263534.21000000002</v>
      </c>
      <c r="H1584" s="38">
        <v>249329.72</v>
      </c>
      <c r="I1584" s="15"/>
      <c r="J1584" s="494">
        <v>20411031209</v>
      </c>
      <c r="L1584" s="523" t="s">
        <v>3755</v>
      </c>
      <c r="M1584" s="523" t="s">
        <v>607</v>
      </c>
      <c r="N1584" s="518" t="s">
        <v>3756</v>
      </c>
      <c r="O1584" s="523">
        <v>2</v>
      </c>
      <c r="P1584" s="523" t="s">
        <v>693</v>
      </c>
      <c r="Q1584" s="523" t="s">
        <v>1229</v>
      </c>
      <c r="R1584" s="523" t="s">
        <v>671</v>
      </c>
      <c r="S1584" s="523" t="s">
        <v>1243</v>
      </c>
      <c r="T1584" s="518" t="s">
        <v>4284</v>
      </c>
      <c r="U1584" s="38">
        <v>249329.72</v>
      </c>
      <c r="V1584" s="15" t="str">
        <f t="shared" si="149"/>
        <v/>
      </c>
      <c r="W1584" s="10"/>
      <c r="X1584" s="10"/>
      <c r="Y1584" s="10"/>
      <c r="Z1584" s="10"/>
      <c r="AA1584" s="10"/>
      <c r="AB1584" s="10"/>
      <c r="AC1584" s="9"/>
      <c r="AD1584" s="523" t="e">
        <v>#N/A</v>
      </c>
      <c r="AE1584" s="523" t="e">
        <v>#N/A</v>
      </c>
      <c r="AF1584" s="523" t="e">
        <v>#N/A</v>
      </c>
      <c r="AG1584" s="524" t="e">
        <v>#N/A</v>
      </c>
      <c r="AH1584" s="9"/>
      <c r="AI1584" s="10"/>
      <c r="AJ1584" s="9"/>
      <c r="AK1584" s="10"/>
      <c r="AL1584" s="10"/>
    </row>
    <row r="1585" spans="1:38" ht="33.75" hidden="1">
      <c r="A1585" s="1">
        <f t="shared" si="151"/>
        <v>0</v>
      </c>
      <c r="B1585" s="2" t="s">
        <v>4296</v>
      </c>
      <c r="C1585" s="3" t="s">
        <v>4297</v>
      </c>
      <c r="D1585" s="15" t="s">
        <v>11799</v>
      </c>
      <c r="E1585" s="4" t="s">
        <v>4296</v>
      </c>
      <c r="F1585" s="37" t="s">
        <v>4297</v>
      </c>
      <c r="G1585" s="38">
        <v>541755.88</v>
      </c>
      <c r="H1585" s="38">
        <v>462587.13</v>
      </c>
      <c r="I1585" s="15"/>
      <c r="J1585" s="494">
        <v>20411031210</v>
      </c>
      <c r="L1585" s="523" t="s">
        <v>3755</v>
      </c>
      <c r="M1585" s="523" t="s">
        <v>607</v>
      </c>
      <c r="N1585" s="518" t="s">
        <v>3756</v>
      </c>
      <c r="O1585" s="523">
        <v>2</v>
      </c>
      <c r="P1585" s="523" t="s">
        <v>693</v>
      </c>
      <c r="Q1585" s="523" t="s">
        <v>1229</v>
      </c>
      <c r="R1585" s="523" t="s">
        <v>671</v>
      </c>
      <c r="S1585" s="523" t="s">
        <v>1243</v>
      </c>
      <c r="T1585" s="518" t="s">
        <v>4284</v>
      </c>
      <c r="U1585" s="38">
        <v>462587.13</v>
      </c>
      <c r="V1585" s="15" t="str">
        <f t="shared" si="149"/>
        <v/>
      </c>
      <c r="W1585" s="10"/>
      <c r="X1585" s="10"/>
      <c r="Y1585" s="10"/>
      <c r="Z1585" s="10"/>
      <c r="AA1585" s="10"/>
      <c r="AB1585" s="10"/>
      <c r="AC1585" s="9"/>
      <c r="AD1585" s="523" t="e">
        <v>#N/A</v>
      </c>
      <c r="AE1585" s="523" t="e">
        <v>#N/A</v>
      </c>
      <c r="AF1585" s="523" t="e">
        <v>#N/A</v>
      </c>
      <c r="AG1585" s="524" t="e">
        <v>#N/A</v>
      </c>
      <c r="AH1585" s="9"/>
      <c r="AI1585" s="10"/>
      <c r="AJ1585" s="9"/>
      <c r="AK1585" s="10"/>
      <c r="AL1585" s="10"/>
    </row>
    <row r="1586" spans="1:38" ht="33.75" hidden="1">
      <c r="A1586" s="1">
        <f t="shared" si="151"/>
        <v>0</v>
      </c>
      <c r="B1586" s="2" t="s">
        <v>4298</v>
      </c>
      <c r="C1586" s="3" t="s">
        <v>4299</v>
      </c>
      <c r="D1586" s="15" t="s">
        <v>11799</v>
      </c>
      <c r="E1586" s="4" t="s">
        <v>4298</v>
      </c>
      <c r="F1586" s="37" t="s">
        <v>4300</v>
      </c>
      <c r="G1586" s="38">
        <v>0</v>
      </c>
      <c r="H1586" s="38">
        <v>737636.7</v>
      </c>
      <c r="I1586" s="15"/>
      <c r="J1586" s="494">
        <v>20411031211</v>
      </c>
      <c r="L1586" s="523" t="s">
        <v>3755</v>
      </c>
      <c r="M1586" s="523" t="s">
        <v>607</v>
      </c>
      <c r="N1586" s="518" t="s">
        <v>3756</v>
      </c>
      <c r="O1586" s="523">
        <v>2</v>
      </c>
      <c r="P1586" s="523" t="s">
        <v>693</v>
      </c>
      <c r="Q1586" s="523" t="s">
        <v>1229</v>
      </c>
      <c r="R1586" s="523" t="s">
        <v>671</v>
      </c>
      <c r="S1586" s="523" t="s">
        <v>1243</v>
      </c>
      <c r="T1586" s="518" t="s">
        <v>4284</v>
      </c>
      <c r="U1586" s="38">
        <v>737636.7</v>
      </c>
      <c r="V1586" s="15" t="str">
        <f t="shared" si="149"/>
        <v/>
      </c>
      <c r="W1586" s="10"/>
      <c r="X1586" s="10"/>
      <c r="Y1586" s="10"/>
      <c r="Z1586" s="10"/>
      <c r="AA1586" s="10"/>
      <c r="AB1586" s="10"/>
      <c r="AC1586" s="9"/>
      <c r="AD1586" s="523" t="e">
        <v>#N/A</v>
      </c>
      <c r="AE1586" s="523" t="e">
        <v>#N/A</v>
      </c>
      <c r="AF1586" s="523" t="e">
        <v>#N/A</v>
      </c>
      <c r="AG1586" s="524" t="e">
        <v>#N/A</v>
      </c>
      <c r="AH1586" s="9"/>
      <c r="AI1586" s="10"/>
      <c r="AJ1586" s="9"/>
      <c r="AK1586" s="10"/>
      <c r="AL1586" s="10"/>
    </row>
    <row r="1587" spans="1:38" ht="45" hidden="1">
      <c r="A1587" s="1">
        <f t="shared" si="151"/>
        <v>0</v>
      </c>
      <c r="B1587" s="2" t="s">
        <v>4301</v>
      </c>
      <c r="C1587" s="3" t="s">
        <v>4302</v>
      </c>
      <c r="D1587" s="15" t="s">
        <v>11799</v>
      </c>
      <c r="E1587" s="4" t="s">
        <v>4301</v>
      </c>
      <c r="F1587" s="37" t="s">
        <v>4302</v>
      </c>
      <c r="G1587" s="38">
        <v>0</v>
      </c>
      <c r="H1587" s="38">
        <v>0</v>
      </c>
      <c r="I1587" s="15"/>
      <c r="J1587" s="494">
        <v>20411031212</v>
      </c>
      <c r="L1587" s="523" t="s">
        <v>3755</v>
      </c>
      <c r="M1587" s="523" t="s">
        <v>607</v>
      </c>
      <c r="N1587" s="518" t="s">
        <v>3756</v>
      </c>
      <c r="O1587" s="523">
        <v>2</v>
      </c>
      <c r="P1587" s="523" t="s">
        <v>693</v>
      </c>
      <c r="Q1587" s="523" t="s">
        <v>1229</v>
      </c>
      <c r="R1587" s="523" t="s">
        <v>671</v>
      </c>
      <c r="S1587" s="523" t="s">
        <v>1243</v>
      </c>
      <c r="T1587" s="518" t="s">
        <v>4284</v>
      </c>
      <c r="U1587" s="38">
        <v>0</v>
      </c>
      <c r="V1587" s="15" t="str">
        <f t="shared" si="149"/>
        <v/>
      </c>
      <c r="W1587" s="10"/>
      <c r="X1587" s="10"/>
      <c r="Y1587" s="10"/>
      <c r="Z1587" s="10"/>
      <c r="AA1587" s="10"/>
      <c r="AB1587" s="10"/>
      <c r="AC1587" s="9"/>
      <c r="AD1587" s="523" t="e">
        <v>#N/A</v>
      </c>
      <c r="AE1587" s="523" t="e">
        <v>#N/A</v>
      </c>
      <c r="AF1587" s="523" t="e">
        <v>#N/A</v>
      </c>
      <c r="AG1587" s="524" t="e">
        <v>#N/A</v>
      </c>
      <c r="AH1587" s="9"/>
      <c r="AI1587" s="10"/>
      <c r="AJ1587" s="9"/>
      <c r="AK1587" s="10"/>
      <c r="AL1587" s="10"/>
    </row>
    <row r="1588" spans="1:38" ht="45" hidden="1">
      <c r="A1588" s="1">
        <f t="shared" si="151"/>
        <v>0</v>
      </c>
      <c r="B1588" s="2" t="s">
        <v>4303</v>
      </c>
      <c r="C1588" s="3" t="s">
        <v>4304</v>
      </c>
      <c r="D1588" s="15" t="s">
        <v>11799</v>
      </c>
      <c r="E1588" s="4" t="s">
        <v>4303</v>
      </c>
      <c r="F1588" s="37" t="s">
        <v>4304</v>
      </c>
      <c r="G1588" s="38">
        <v>0</v>
      </c>
      <c r="H1588" s="38">
        <v>0</v>
      </c>
      <c r="I1588" s="15"/>
      <c r="J1588" s="494">
        <v>20411031213</v>
      </c>
      <c r="L1588" s="523" t="s">
        <v>3755</v>
      </c>
      <c r="M1588" s="523" t="s">
        <v>607</v>
      </c>
      <c r="N1588" s="518" t="s">
        <v>3756</v>
      </c>
      <c r="O1588" s="523">
        <v>2</v>
      </c>
      <c r="P1588" s="523" t="s">
        <v>693</v>
      </c>
      <c r="Q1588" s="523" t="s">
        <v>1229</v>
      </c>
      <c r="R1588" s="523" t="s">
        <v>671</v>
      </c>
      <c r="S1588" s="523" t="s">
        <v>1243</v>
      </c>
      <c r="T1588" s="518" t="s">
        <v>4284</v>
      </c>
      <c r="U1588" s="38">
        <v>0</v>
      </c>
      <c r="V1588" s="15" t="str">
        <f t="shared" si="149"/>
        <v/>
      </c>
      <c r="W1588" s="10"/>
      <c r="X1588" s="10"/>
      <c r="Y1588" s="10"/>
      <c r="Z1588" s="10"/>
      <c r="AA1588" s="10"/>
      <c r="AB1588" s="10"/>
      <c r="AC1588" s="9"/>
      <c r="AD1588" s="523" t="e">
        <v>#N/A</v>
      </c>
      <c r="AE1588" s="523" t="e">
        <v>#N/A</v>
      </c>
      <c r="AF1588" s="523" t="e">
        <v>#N/A</v>
      </c>
      <c r="AG1588" s="524" t="e">
        <v>#N/A</v>
      </c>
      <c r="AH1588" s="9"/>
      <c r="AI1588" s="10"/>
      <c r="AJ1588" s="9"/>
      <c r="AK1588" s="10"/>
      <c r="AL1588" s="10"/>
    </row>
    <row r="1589" spans="1:38" ht="45" hidden="1">
      <c r="A1589" s="1">
        <f t="shared" si="151"/>
        <v>0</v>
      </c>
      <c r="B1589" s="2" t="s">
        <v>4305</v>
      </c>
      <c r="C1589" s="3" t="s">
        <v>4306</v>
      </c>
      <c r="D1589" s="15" t="s">
        <v>11799</v>
      </c>
      <c r="E1589" s="4" t="s">
        <v>4305</v>
      </c>
      <c r="F1589" s="37" t="s">
        <v>4306</v>
      </c>
      <c r="G1589" s="38">
        <v>0</v>
      </c>
      <c r="H1589" s="38">
        <v>0</v>
      </c>
      <c r="I1589" s="15"/>
      <c r="J1589" s="494">
        <v>20411031214</v>
      </c>
      <c r="L1589" s="523" t="s">
        <v>3755</v>
      </c>
      <c r="M1589" s="523" t="s">
        <v>607</v>
      </c>
      <c r="N1589" s="518" t="s">
        <v>3756</v>
      </c>
      <c r="O1589" s="523">
        <v>2</v>
      </c>
      <c r="P1589" s="523" t="s">
        <v>693</v>
      </c>
      <c r="Q1589" s="523" t="s">
        <v>1229</v>
      </c>
      <c r="R1589" s="523" t="s">
        <v>671</v>
      </c>
      <c r="S1589" s="523" t="s">
        <v>1243</v>
      </c>
      <c r="T1589" s="518" t="s">
        <v>4284</v>
      </c>
      <c r="U1589" s="38">
        <v>0</v>
      </c>
      <c r="V1589" s="15" t="str">
        <f t="shared" si="149"/>
        <v/>
      </c>
      <c r="W1589" s="10"/>
      <c r="X1589" s="10"/>
      <c r="Y1589" s="10"/>
      <c r="Z1589" s="10"/>
      <c r="AA1589" s="10"/>
      <c r="AB1589" s="10"/>
      <c r="AC1589" s="9"/>
      <c r="AD1589" s="523" t="e">
        <v>#N/A</v>
      </c>
      <c r="AE1589" s="523" t="e">
        <v>#N/A</v>
      </c>
      <c r="AF1589" s="523" t="e">
        <v>#N/A</v>
      </c>
      <c r="AG1589" s="524" t="e">
        <v>#N/A</v>
      </c>
      <c r="AH1589" s="9"/>
      <c r="AI1589" s="10"/>
      <c r="AJ1589" s="9"/>
      <c r="AK1589" s="10"/>
      <c r="AL1589" s="10"/>
    </row>
    <row r="1590" spans="1:38" ht="45" hidden="1">
      <c r="A1590" s="1">
        <f t="shared" si="151"/>
        <v>0</v>
      </c>
      <c r="B1590" s="2" t="s">
        <v>4307</v>
      </c>
      <c r="C1590" s="3" t="s">
        <v>4308</v>
      </c>
      <c r="D1590" s="15" t="s">
        <v>11799</v>
      </c>
      <c r="E1590" s="4" t="s">
        <v>4307</v>
      </c>
      <c r="F1590" s="37" t="s">
        <v>4308</v>
      </c>
      <c r="G1590" s="38">
        <v>0</v>
      </c>
      <c r="H1590" s="38">
        <v>0</v>
      </c>
      <c r="I1590" s="15"/>
      <c r="J1590" s="494">
        <v>20411031215</v>
      </c>
      <c r="L1590" s="523" t="s">
        <v>3755</v>
      </c>
      <c r="M1590" s="523" t="s">
        <v>607</v>
      </c>
      <c r="N1590" s="518" t="s">
        <v>3756</v>
      </c>
      <c r="O1590" s="523">
        <v>2</v>
      </c>
      <c r="P1590" s="523" t="s">
        <v>693</v>
      </c>
      <c r="Q1590" s="523" t="s">
        <v>1229</v>
      </c>
      <c r="R1590" s="523" t="s">
        <v>671</v>
      </c>
      <c r="S1590" s="523" t="s">
        <v>1243</v>
      </c>
      <c r="T1590" s="518" t="s">
        <v>4284</v>
      </c>
      <c r="U1590" s="38">
        <v>0</v>
      </c>
      <c r="V1590" s="15" t="str">
        <f t="shared" si="149"/>
        <v/>
      </c>
      <c r="W1590" s="10"/>
      <c r="X1590" s="10"/>
      <c r="Y1590" s="10"/>
      <c r="Z1590" s="10"/>
      <c r="AA1590" s="10"/>
      <c r="AB1590" s="10"/>
      <c r="AC1590" s="9"/>
      <c r="AD1590" s="523" t="e">
        <v>#N/A</v>
      </c>
      <c r="AE1590" s="523" t="e">
        <v>#N/A</v>
      </c>
      <c r="AF1590" s="523" t="e">
        <v>#N/A</v>
      </c>
      <c r="AG1590" s="524" t="e">
        <v>#N/A</v>
      </c>
      <c r="AH1590" s="9"/>
      <c r="AI1590" s="10"/>
      <c r="AJ1590" s="9"/>
      <c r="AK1590" s="10"/>
      <c r="AL1590" s="10"/>
    </row>
    <row r="1591" spans="1:38" ht="45" hidden="1">
      <c r="A1591" s="1">
        <f t="shared" si="151"/>
        <v>0</v>
      </c>
      <c r="B1591" s="2" t="s">
        <v>4309</v>
      </c>
      <c r="C1591" s="3" t="s">
        <v>4310</v>
      </c>
      <c r="D1591" s="15" t="s">
        <v>11799</v>
      </c>
      <c r="E1591" s="4" t="s">
        <v>4309</v>
      </c>
      <c r="F1591" s="37" t="s">
        <v>4310</v>
      </c>
      <c r="G1591" s="38">
        <v>0</v>
      </c>
      <c r="H1591" s="38">
        <v>0</v>
      </c>
      <c r="I1591" s="15"/>
      <c r="J1591" s="494">
        <v>20411031216</v>
      </c>
      <c r="L1591" s="523" t="s">
        <v>3755</v>
      </c>
      <c r="M1591" s="523" t="s">
        <v>607</v>
      </c>
      <c r="N1591" s="518" t="s">
        <v>3756</v>
      </c>
      <c r="O1591" s="523">
        <v>2</v>
      </c>
      <c r="P1591" s="523" t="s">
        <v>693</v>
      </c>
      <c r="Q1591" s="523" t="s">
        <v>1229</v>
      </c>
      <c r="R1591" s="523" t="s">
        <v>671</v>
      </c>
      <c r="S1591" s="523" t="s">
        <v>1243</v>
      </c>
      <c r="T1591" s="518" t="s">
        <v>4284</v>
      </c>
      <c r="U1591" s="38">
        <v>0</v>
      </c>
      <c r="V1591" s="15" t="str">
        <f t="shared" si="149"/>
        <v/>
      </c>
      <c r="W1591" s="10"/>
      <c r="X1591" s="10"/>
      <c r="Y1591" s="10"/>
      <c r="Z1591" s="10"/>
      <c r="AA1591" s="10"/>
      <c r="AB1591" s="10"/>
      <c r="AC1591" s="9"/>
      <c r="AD1591" s="523" t="e">
        <v>#N/A</v>
      </c>
      <c r="AE1591" s="523" t="e">
        <v>#N/A</v>
      </c>
      <c r="AF1591" s="523" t="e">
        <v>#N/A</v>
      </c>
      <c r="AG1591" s="524" t="e">
        <v>#N/A</v>
      </c>
      <c r="AH1591" s="9"/>
      <c r="AI1591" s="10"/>
      <c r="AJ1591" s="9"/>
      <c r="AK1591" s="10"/>
      <c r="AL1591" s="10"/>
    </row>
    <row r="1592" spans="1:38" ht="45" hidden="1">
      <c r="A1592" s="1">
        <f t="shared" si="151"/>
        <v>0</v>
      </c>
      <c r="B1592" s="2" t="s">
        <v>4311</v>
      </c>
      <c r="C1592" s="3" t="s">
        <v>4312</v>
      </c>
      <c r="D1592" s="15" t="s">
        <v>11799</v>
      </c>
      <c r="E1592" s="4" t="s">
        <v>4311</v>
      </c>
      <c r="F1592" s="37" t="s">
        <v>4312</v>
      </c>
      <c r="G1592" s="38">
        <v>0</v>
      </c>
      <c r="H1592" s="38">
        <v>0</v>
      </c>
      <c r="I1592" s="15"/>
      <c r="J1592" s="494">
        <v>20411031217</v>
      </c>
      <c r="L1592" s="523" t="s">
        <v>3755</v>
      </c>
      <c r="M1592" s="523" t="s">
        <v>607</v>
      </c>
      <c r="N1592" s="518" t="s">
        <v>3756</v>
      </c>
      <c r="O1592" s="523">
        <v>2</v>
      </c>
      <c r="P1592" s="523" t="s">
        <v>693</v>
      </c>
      <c r="Q1592" s="523" t="s">
        <v>1229</v>
      </c>
      <c r="R1592" s="523" t="s">
        <v>671</v>
      </c>
      <c r="S1592" s="523" t="s">
        <v>1243</v>
      </c>
      <c r="T1592" s="518" t="s">
        <v>4284</v>
      </c>
      <c r="U1592" s="38">
        <v>0</v>
      </c>
      <c r="V1592" s="15" t="str">
        <f t="shared" si="149"/>
        <v/>
      </c>
      <c r="W1592" s="10"/>
      <c r="X1592" s="10"/>
      <c r="Y1592" s="10"/>
      <c r="Z1592" s="10"/>
      <c r="AA1592" s="10"/>
      <c r="AB1592" s="10"/>
      <c r="AC1592" s="9"/>
      <c r="AD1592" s="523" t="e">
        <v>#N/A</v>
      </c>
      <c r="AE1592" s="523" t="e">
        <v>#N/A</v>
      </c>
      <c r="AF1592" s="523" t="e">
        <v>#N/A</v>
      </c>
      <c r="AG1592" s="524" t="e">
        <v>#N/A</v>
      </c>
      <c r="AH1592" s="9"/>
      <c r="AI1592" s="10"/>
      <c r="AJ1592" s="9"/>
      <c r="AK1592" s="10"/>
      <c r="AL1592" s="10"/>
    </row>
    <row r="1593" spans="1:38" ht="45" hidden="1">
      <c r="A1593" s="1">
        <f t="shared" si="151"/>
        <v>0</v>
      </c>
      <c r="B1593" s="2" t="s">
        <v>4313</v>
      </c>
      <c r="C1593" s="3" t="s">
        <v>4314</v>
      </c>
      <c r="D1593" s="15" t="s">
        <v>11799</v>
      </c>
      <c r="E1593" s="4" t="s">
        <v>4313</v>
      </c>
      <c r="F1593" s="37" t="s">
        <v>4314</v>
      </c>
      <c r="G1593" s="38">
        <v>0</v>
      </c>
      <c r="H1593" s="38">
        <v>0</v>
      </c>
      <c r="I1593" s="15"/>
      <c r="J1593" s="494">
        <v>20411031218</v>
      </c>
      <c r="L1593" s="523" t="s">
        <v>3755</v>
      </c>
      <c r="M1593" s="523" t="s">
        <v>607</v>
      </c>
      <c r="N1593" s="518" t="s">
        <v>3756</v>
      </c>
      <c r="O1593" s="523">
        <v>2</v>
      </c>
      <c r="P1593" s="523" t="s">
        <v>693</v>
      </c>
      <c r="Q1593" s="523" t="s">
        <v>1229</v>
      </c>
      <c r="R1593" s="523" t="s">
        <v>671</v>
      </c>
      <c r="S1593" s="523" t="s">
        <v>1243</v>
      </c>
      <c r="T1593" s="518" t="s">
        <v>4284</v>
      </c>
      <c r="U1593" s="38">
        <v>0</v>
      </c>
      <c r="V1593" s="15" t="str">
        <f t="shared" si="149"/>
        <v/>
      </c>
      <c r="W1593" s="10"/>
      <c r="X1593" s="10"/>
      <c r="Y1593" s="10"/>
      <c r="Z1593" s="10"/>
      <c r="AA1593" s="10"/>
      <c r="AB1593" s="10"/>
      <c r="AC1593" s="9"/>
      <c r="AD1593" s="523" t="e">
        <v>#N/A</v>
      </c>
      <c r="AE1593" s="523" t="e">
        <v>#N/A</v>
      </c>
      <c r="AF1593" s="523" t="e">
        <v>#N/A</v>
      </c>
      <c r="AG1593" s="524" t="e">
        <v>#N/A</v>
      </c>
      <c r="AH1593" s="9"/>
      <c r="AI1593" s="10"/>
      <c r="AJ1593" s="9"/>
      <c r="AK1593" s="10"/>
      <c r="AL1593" s="10"/>
    </row>
    <row r="1594" spans="1:38" ht="45" hidden="1">
      <c r="A1594" s="1">
        <f t="shared" si="151"/>
        <v>0</v>
      </c>
      <c r="B1594" s="2" t="s">
        <v>4315</v>
      </c>
      <c r="C1594" s="3" t="s">
        <v>4316</v>
      </c>
      <c r="D1594" s="15" t="s">
        <v>11799</v>
      </c>
      <c r="E1594" s="4" t="s">
        <v>4315</v>
      </c>
      <c r="F1594" s="37" t="s">
        <v>4316</v>
      </c>
      <c r="G1594" s="38">
        <v>0</v>
      </c>
      <c r="H1594" s="38">
        <v>0</v>
      </c>
      <c r="I1594" s="15"/>
      <c r="J1594" s="494">
        <v>20411031219</v>
      </c>
      <c r="L1594" s="523" t="s">
        <v>3755</v>
      </c>
      <c r="M1594" s="523" t="s">
        <v>607</v>
      </c>
      <c r="N1594" s="518" t="s">
        <v>3756</v>
      </c>
      <c r="O1594" s="523">
        <v>2</v>
      </c>
      <c r="P1594" s="523" t="s">
        <v>693</v>
      </c>
      <c r="Q1594" s="523" t="s">
        <v>1229</v>
      </c>
      <c r="R1594" s="523" t="s">
        <v>671</v>
      </c>
      <c r="S1594" s="523" t="s">
        <v>1243</v>
      </c>
      <c r="T1594" s="518" t="s">
        <v>4284</v>
      </c>
      <c r="U1594" s="38">
        <v>0</v>
      </c>
      <c r="V1594" s="15" t="str">
        <f t="shared" si="149"/>
        <v/>
      </c>
      <c r="W1594" s="10"/>
      <c r="X1594" s="10"/>
      <c r="Y1594" s="10"/>
      <c r="Z1594" s="10"/>
      <c r="AA1594" s="10"/>
      <c r="AB1594" s="10"/>
      <c r="AC1594" s="9"/>
      <c r="AD1594" s="523" t="e">
        <v>#N/A</v>
      </c>
      <c r="AE1594" s="523" t="e">
        <v>#N/A</v>
      </c>
      <c r="AF1594" s="523" t="e">
        <v>#N/A</v>
      </c>
      <c r="AG1594" s="524" t="e">
        <v>#N/A</v>
      </c>
      <c r="AH1594" s="9"/>
      <c r="AI1594" s="10"/>
      <c r="AJ1594" s="9"/>
      <c r="AK1594" s="10"/>
      <c r="AL1594" s="10"/>
    </row>
    <row r="1595" spans="1:38" ht="45" hidden="1">
      <c r="A1595" s="1">
        <f t="shared" si="151"/>
        <v>0</v>
      </c>
      <c r="B1595" s="2" t="s">
        <v>4317</v>
      </c>
      <c r="C1595" s="3" t="s">
        <v>4318</v>
      </c>
      <c r="D1595" s="15" t="s">
        <v>11799</v>
      </c>
      <c r="E1595" s="4" t="s">
        <v>4317</v>
      </c>
      <c r="F1595" s="37" t="s">
        <v>4318</v>
      </c>
      <c r="G1595" s="38">
        <v>0</v>
      </c>
      <c r="H1595" s="38">
        <v>0</v>
      </c>
      <c r="I1595" s="15"/>
      <c r="J1595" s="494">
        <v>20411031220</v>
      </c>
      <c r="L1595" s="523" t="s">
        <v>3755</v>
      </c>
      <c r="M1595" s="523" t="s">
        <v>607</v>
      </c>
      <c r="N1595" s="518" t="s">
        <v>3756</v>
      </c>
      <c r="O1595" s="523">
        <v>2</v>
      </c>
      <c r="P1595" s="523" t="s">
        <v>693</v>
      </c>
      <c r="Q1595" s="523" t="s">
        <v>1229</v>
      </c>
      <c r="R1595" s="523" t="s">
        <v>671</v>
      </c>
      <c r="S1595" s="523" t="s">
        <v>1243</v>
      </c>
      <c r="T1595" s="518" t="s">
        <v>4284</v>
      </c>
      <c r="U1595" s="38">
        <v>0</v>
      </c>
      <c r="V1595" s="15" t="str">
        <f t="shared" si="149"/>
        <v/>
      </c>
      <c r="W1595" s="10"/>
      <c r="X1595" s="10"/>
      <c r="Y1595" s="10"/>
      <c r="Z1595" s="10"/>
      <c r="AA1595" s="10"/>
      <c r="AB1595" s="10"/>
      <c r="AC1595" s="9"/>
      <c r="AD1595" s="523" t="e">
        <v>#N/A</v>
      </c>
      <c r="AE1595" s="523" t="e">
        <v>#N/A</v>
      </c>
      <c r="AF1595" s="523" t="e">
        <v>#N/A</v>
      </c>
      <c r="AG1595" s="524" t="e">
        <v>#N/A</v>
      </c>
      <c r="AH1595" s="9"/>
      <c r="AI1595" s="10"/>
      <c r="AJ1595" s="9"/>
      <c r="AK1595" s="10"/>
      <c r="AL1595" s="10"/>
    </row>
    <row r="1596" spans="1:38" ht="45" hidden="1">
      <c r="A1596" s="1">
        <f t="shared" si="151"/>
        <v>0</v>
      </c>
      <c r="B1596" s="2" t="s">
        <v>4319</v>
      </c>
      <c r="C1596" s="3" t="s">
        <v>4320</v>
      </c>
      <c r="D1596" s="15" t="s">
        <v>11800</v>
      </c>
      <c r="E1596" s="4" t="s">
        <v>4319</v>
      </c>
      <c r="F1596" s="37" t="s">
        <v>4320</v>
      </c>
      <c r="G1596" s="38">
        <v>0</v>
      </c>
      <c r="H1596" s="38">
        <v>0</v>
      </c>
      <c r="I1596" s="15"/>
      <c r="J1596" s="494">
        <v>20411031301</v>
      </c>
      <c r="K1596" s="517"/>
      <c r="L1596" s="517" t="s">
        <v>3755</v>
      </c>
      <c r="M1596" s="517" t="s">
        <v>607</v>
      </c>
      <c r="N1596" s="518" t="s">
        <v>3756</v>
      </c>
      <c r="O1596" s="517">
        <v>2</v>
      </c>
      <c r="P1596" s="517" t="s">
        <v>693</v>
      </c>
      <c r="Q1596" s="517" t="s">
        <v>1229</v>
      </c>
      <c r="R1596" s="517" t="s">
        <v>671</v>
      </c>
      <c r="S1596" s="517" t="s">
        <v>1247</v>
      </c>
      <c r="T1596" s="518" t="s">
        <v>4321</v>
      </c>
      <c r="U1596" s="38">
        <v>0</v>
      </c>
      <c r="V1596" s="15" t="str">
        <f t="shared" si="149"/>
        <v>204110313</v>
      </c>
      <c r="W1596" s="39">
        <v>2</v>
      </c>
      <c r="X1596" s="50" t="s">
        <v>693</v>
      </c>
      <c r="Y1596" s="50" t="s">
        <v>1229</v>
      </c>
      <c r="Z1596" s="50" t="s">
        <v>671</v>
      </c>
      <c r="AA1596" s="40" t="s">
        <v>1247</v>
      </c>
      <c r="AB1596" s="42" t="s">
        <v>4321</v>
      </c>
      <c r="AC1596" s="519">
        <f>SUM(H1596:H1615)</f>
        <v>0</v>
      </c>
      <c r="AD1596" s="517">
        <v>0</v>
      </c>
      <c r="AE1596" s="517" t="s">
        <v>3755</v>
      </c>
      <c r="AF1596" s="517" t="s">
        <v>607</v>
      </c>
      <c r="AG1596" s="518" t="s">
        <v>3756</v>
      </c>
      <c r="AH1596" s="67">
        <f>AC1596</f>
        <v>0</v>
      </c>
      <c r="AI1596" s="10"/>
      <c r="AJ1596" s="9">
        <f t="shared" ref="AJ1596:AJ1659" si="152">AH1596-H1596</f>
        <v>0</v>
      </c>
      <c r="AK1596" s="10"/>
      <c r="AL1596" s="10"/>
    </row>
    <row r="1597" spans="1:38" ht="56.25" hidden="1">
      <c r="A1597" s="1">
        <f t="shared" si="151"/>
        <v>0</v>
      </c>
      <c r="B1597" s="2" t="s">
        <v>4322</v>
      </c>
      <c r="C1597" s="3" t="s">
        <v>4323</v>
      </c>
      <c r="D1597" s="15" t="s">
        <v>11800</v>
      </c>
      <c r="E1597" s="4" t="s">
        <v>4322</v>
      </c>
      <c r="F1597" s="37" t="s">
        <v>4323</v>
      </c>
      <c r="G1597" s="38">
        <v>0</v>
      </c>
      <c r="H1597" s="38">
        <v>0</v>
      </c>
      <c r="I1597" s="15"/>
      <c r="J1597" s="494">
        <v>20411031302</v>
      </c>
      <c r="L1597" s="523" t="s">
        <v>3755</v>
      </c>
      <c r="M1597" s="523" t="s">
        <v>607</v>
      </c>
      <c r="N1597" s="518" t="s">
        <v>3756</v>
      </c>
      <c r="O1597" s="523">
        <v>2</v>
      </c>
      <c r="P1597" s="523" t="s">
        <v>693</v>
      </c>
      <c r="Q1597" s="523" t="s">
        <v>1229</v>
      </c>
      <c r="R1597" s="523" t="s">
        <v>671</v>
      </c>
      <c r="S1597" s="523" t="s">
        <v>1247</v>
      </c>
      <c r="T1597" s="518" t="s">
        <v>4321</v>
      </c>
      <c r="U1597" s="38">
        <v>0</v>
      </c>
      <c r="V1597" s="15" t="str">
        <f t="shared" si="149"/>
        <v/>
      </c>
      <c r="W1597" s="10"/>
      <c r="X1597" s="10"/>
      <c r="Y1597" s="10"/>
      <c r="Z1597" s="10"/>
      <c r="AA1597" s="10"/>
      <c r="AB1597" s="10"/>
      <c r="AC1597" s="9"/>
      <c r="AD1597" s="523" t="e">
        <v>#N/A</v>
      </c>
      <c r="AE1597" s="523" t="e">
        <v>#N/A</v>
      </c>
      <c r="AF1597" s="523" t="e">
        <v>#N/A</v>
      </c>
      <c r="AG1597" s="524" t="e">
        <v>#N/A</v>
      </c>
      <c r="AH1597" s="9"/>
      <c r="AI1597" s="10"/>
      <c r="AJ1597" s="9">
        <f t="shared" si="152"/>
        <v>0</v>
      </c>
      <c r="AK1597" s="10"/>
      <c r="AL1597" s="10"/>
    </row>
    <row r="1598" spans="1:38" ht="45" hidden="1">
      <c r="A1598" s="1">
        <f t="shared" si="151"/>
        <v>0</v>
      </c>
      <c r="B1598" s="2" t="s">
        <v>4324</v>
      </c>
      <c r="C1598" s="3" t="s">
        <v>4325</v>
      </c>
      <c r="D1598" s="15" t="s">
        <v>11800</v>
      </c>
      <c r="E1598" s="4" t="s">
        <v>4324</v>
      </c>
      <c r="F1598" s="37" t="s">
        <v>4325</v>
      </c>
      <c r="G1598" s="38">
        <v>0</v>
      </c>
      <c r="H1598" s="38">
        <v>0</v>
      </c>
      <c r="I1598" s="15"/>
      <c r="J1598" s="494">
        <v>20411031303</v>
      </c>
      <c r="L1598" s="523" t="s">
        <v>3755</v>
      </c>
      <c r="M1598" s="523" t="s">
        <v>607</v>
      </c>
      <c r="N1598" s="518" t="s">
        <v>3756</v>
      </c>
      <c r="O1598" s="523">
        <v>2</v>
      </c>
      <c r="P1598" s="523" t="s">
        <v>693</v>
      </c>
      <c r="Q1598" s="523" t="s">
        <v>1229</v>
      </c>
      <c r="R1598" s="523" t="s">
        <v>671</v>
      </c>
      <c r="S1598" s="523" t="s">
        <v>1247</v>
      </c>
      <c r="T1598" s="518" t="s">
        <v>4321</v>
      </c>
      <c r="U1598" s="38">
        <v>0</v>
      </c>
      <c r="V1598" s="15" t="str">
        <f t="shared" si="149"/>
        <v/>
      </c>
      <c r="W1598" s="10"/>
      <c r="X1598" s="10"/>
      <c r="Y1598" s="10"/>
      <c r="Z1598" s="10"/>
      <c r="AA1598" s="10"/>
      <c r="AB1598" s="10"/>
      <c r="AC1598" s="9"/>
      <c r="AD1598" s="523" t="e">
        <v>#N/A</v>
      </c>
      <c r="AE1598" s="523" t="e">
        <v>#N/A</v>
      </c>
      <c r="AF1598" s="523" t="e">
        <v>#N/A</v>
      </c>
      <c r="AG1598" s="524" t="e">
        <v>#N/A</v>
      </c>
      <c r="AH1598" s="9"/>
      <c r="AI1598" s="10"/>
      <c r="AJ1598" s="9">
        <f t="shared" si="152"/>
        <v>0</v>
      </c>
      <c r="AK1598" s="10"/>
      <c r="AL1598" s="10"/>
    </row>
    <row r="1599" spans="1:38" ht="56.25" hidden="1">
      <c r="A1599" s="1">
        <f t="shared" si="151"/>
        <v>0</v>
      </c>
      <c r="B1599" s="2" t="s">
        <v>4326</v>
      </c>
      <c r="C1599" s="3" t="s">
        <v>4327</v>
      </c>
      <c r="D1599" s="15" t="s">
        <v>11800</v>
      </c>
      <c r="E1599" s="4" t="s">
        <v>4326</v>
      </c>
      <c r="F1599" s="37" t="s">
        <v>4327</v>
      </c>
      <c r="G1599" s="38">
        <v>0</v>
      </c>
      <c r="H1599" s="38">
        <v>0</v>
      </c>
      <c r="I1599" s="15"/>
      <c r="J1599" s="494">
        <v>20411031304</v>
      </c>
      <c r="L1599" s="523" t="s">
        <v>3755</v>
      </c>
      <c r="M1599" s="523" t="s">
        <v>607</v>
      </c>
      <c r="N1599" s="518" t="s">
        <v>3756</v>
      </c>
      <c r="O1599" s="523">
        <v>2</v>
      </c>
      <c r="P1599" s="523" t="s">
        <v>693</v>
      </c>
      <c r="Q1599" s="523" t="s">
        <v>1229</v>
      </c>
      <c r="R1599" s="523" t="s">
        <v>671</v>
      </c>
      <c r="S1599" s="523" t="s">
        <v>1247</v>
      </c>
      <c r="T1599" s="518" t="s">
        <v>4321</v>
      </c>
      <c r="U1599" s="38">
        <v>0</v>
      </c>
      <c r="V1599" s="15" t="str">
        <f t="shared" si="149"/>
        <v/>
      </c>
      <c r="W1599" s="10"/>
      <c r="X1599" s="10"/>
      <c r="Y1599" s="10"/>
      <c r="Z1599" s="10"/>
      <c r="AA1599" s="10"/>
      <c r="AB1599" s="10"/>
      <c r="AC1599" s="9"/>
      <c r="AD1599" s="523" t="e">
        <v>#N/A</v>
      </c>
      <c r="AE1599" s="523" t="e">
        <v>#N/A</v>
      </c>
      <c r="AF1599" s="523" t="e">
        <v>#N/A</v>
      </c>
      <c r="AG1599" s="524" t="e">
        <v>#N/A</v>
      </c>
      <c r="AH1599" s="9"/>
      <c r="AI1599" s="10"/>
      <c r="AJ1599" s="9">
        <f t="shared" si="152"/>
        <v>0</v>
      </c>
      <c r="AK1599" s="10"/>
      <c r="AL1599" s="10"/>
    </row>
    <row r="1600" spans="1:38" ht="45" hidden="1">
      <c r="A1600" s="1">
        <f t="shared" si="151"/>
        <v>0</v>
      </c>
      <c r="B1600" s="2" t="s">
        <v>4328</v>
      </c>
      <c r="C1600" s="3" t="s">
        <v>4329</v>
      </c>
      <c r="D1600" s="15" t="s">
        <v>11800</v>
      </c>
      <c r="E1600" s="4" t="s">
        <v>4328</v>
      </c>
      <c r="F1600" s="37" t="s">
        <v>4329</v>
      </c>
      <c r="G1600" s="38">
        <v>0</v>
      </c>
      <c r="H1600" s="38">
        <v>0</v>
      </c>
      <c r="I1600" s="15"/>
      <c r="J1600" s="494">
        <v>20411031305</v>
      </c>
      <c r="L1600" s="523" t="s">
        <v>3755</v>
      </c>
      <c r="M1600" s="523" t="s">
        <v>607</v>
      </c>
      <c r="N1600" s="518" t="s">
        <v>3756</v>
      </c>
      <c r="O1600" s="523">
        <v>2</v>
      </c>
      <c r="P1600" s="523" t="s">
        <v>693</v>
      </c>
      <c r="Q1600" s="523" t="s">
        <v>1229</v>
      </c>
      <c r="R1600" s="523" t="s">
        <v>671</v>
      </c>
      <c r="S1600" s="523" t="s">
        <v>1247</v>
      </c>
      <c r="T1600" s="518" t="s">
        <v>4321</v>
      </c>
      <c r="U1600" s="38">
        <v>0</v>
      </c>
      <c r="V1600" s="15" t="str">
        <f t="shared" si="149"/>
        <v/>
      </c>
      <c r="W1600" s="10"/>
      <c r="X1600" s="10"/>
      <c r="Y1600" s="10"/>
      <c r="Z1600" s="10"/>
      <c r="AA1600" s="10"/>
      <c r="AB1600" s="10"/>
      <c r="AC1600" s="9"/>
      <c r="AD1600" s="523" t="e">
        <v>#N/A</v>
      </c>
      <c r="AE1600" s="523" t="e">
        <v>#N/A</v>
      </c>
      <c r="AF1600" s="523" t="e">
        <v>#N/A</v>
      </c>
      <c r="AG1600" s="524" t="e">
        <v>#N/A</v>
      </c>
      <c r="AH1600" s="9"/>
      <c r="AI1600" s="10"/>
      <c r="AJ1600" s="9">
        <f t="shared" si="152"/>
        <v>0</v>
      </c>
      <c r="AK1600" s="10"/>
      <c r="AL1600" s="10"/>
    </row>
    <row r="1601" spans="1:38" ht="56.25" hidden="1">
      <c r="A1601" s="1">
        <f t="shared" si="151"/>
        <v>0</v>
      </c>
      <c r="B1601" s="2" t="s">
        <v>4330</v>
      </c>
      <c r="C1601" s="3" t="s">
        <v>4331</v>
      </c>
      <c r="D1601" s="15" t="s">
        <v>11800</v>
      </c>
      <c r="E1601" s="4" t="s">
        <v>4330</v>
      </c>
      <c r="F1601" s="37" t="s">
        <v>4331</v>
      </c>
      <c r="G1601" s="38">
        <v>0</v>
      </c>
      <c r="H1601" s="38">
        <v>0</v>
      </c>
      <c r="I1601" s="15"/>
      <c r="J1601" s="494">
        <v>20411031306</v>
      </c>
      <c r="L1601" s="523" t="s">
        <v>3755</v>
      </c>
      <c r="M1601" s="523" t="s">
        <v>607</v>
      </c>
      <c r="N1601" s="518" t="s">
        <v>3756</v>
      </c>
      <c r="O1601" s="523">
        <v>2</v>
      </c>
      <c r="P1601" s="523" t="s">
        <v>693</v>
      </c>
      <c r="Q1601" s="523" t="s">
        <v>1229</v>
      </c>
      <c r="R1601" s="523" t="s">
        <v>671</v>
      </c>
      <c r="S1601" s="523" t="s">
        <v>1247</v>
      </c>
      <c r="T1601" s="518" t="s">
        <v>4321</v>
      </c>
      <c r="U1601" s="38">
        <v>0</v>
      </c>
      <c r="V1601" s="15" t="str">
        <f t="shared" si="149"/>
        <v/>
      </c>
      <c r="W1601" s="10"/>
      <c r="X1601" s="10"/>
      <c r="Y1601" s="10"/>
      <c r="Z1601" s="10"/>
      <c r="AA1601" s="10"/>
      <c r="AB1601" s="10"/>
      <c r="AC1601" s="9"/>
      <c r="AD1601" s="523" t="e">
        <v>#N/A</v>
      </c>
      <c r="AE1601" s="523" t="e">
        <v>#N/A</v>
      </c>
      <c r="AF1601" s="523" t="e">
        <v>#N/A</v>
      </c>
      <c r="AG1601" s="524" t="e">
        <v>#N/A</v>
      </c>
      <c r="AH1601" s="9"/>
      <c r="AI1601" s="10"/>
      <c r="AJ1601" s="9">
        <f t="shared" si="152"/>
        <v>0</v>
      </c>
      <c r="AK1601" s="10"/>
      <c r="AL1601" s="10"/>
    </row>
    <row r="1602" spans="1:38" ht="45" hidden="1">
      <c r="A1602" s="1">
        <f t="shared" si="151"/>
        <v>0</v>
      </c>
      <c r="B1602" s="2" t="s">
        <v>4332</v>
      </c>
      <c r="C1602" s="3" t="s">
        <v>4333</v>
      </c>
      <c r="D1602" s="15" t="s">
        <v>11800</v>
      </c>
      <c r="E1602" s="4" t="s">
        <v>4332</v>
      </c>
      <c r="F1602" s="37" t="s">
        <v>4333</v>
      </c>
      <c r="G1602" s="38">
        <v>0</v>
      </c>
      <c r="H1602" s="38">
        <v>0</v>
      </c>
      <c r="I1602" s="15"/>
      <c r="J1602" s="494">
        <v>20411031307</v>
      </c>
      <c r="L1602" s="523" t="s">
        <v>3755</v>
      </c>
      <c r="M1602" s="523" t="s">
        <v>607</v>
      </c>
      <c r="N1602" s="518" t="s">
        <v>3756</v>
      </c>
      <c r="O1602" s="523">
        <v>2</v>
      </c>
      <c r="P1602" s="523" t="s">
        <v>693</v>
      </c>
      <c r="Q1602" s="523" t="s">
        <v>1229</v>
      </c>
      <c r="R1602" s="523" t="s">
        <v>671</v>
      </c>
      <c r="S1602" s="523" t="s">
        <v>1247</v>
      </c>
      <c r="T1602" s="518" t="s">
        <v>4321</v>
      </c>
      <c r="U1602" s="38">
        <v>0</v>
      </c>
      <c r="V1602" s="15" t="str">
        <f t="shared" si="149"/>
        <v/>
      </c>
      <c r="W1602" s="10"/>
      <c r="X1602" s="10"/>
      <c r="Y1602" s="10"/>
      <c r="Z1602" s="10"/>
      <c r="AA1602" s="10"/>
      <c r="AB1602" s="10"/>
      <c r="AC1602" s="9"/>
      <c r="AD1602" s="523" t="e">
        <v>#N/A</v>
      </c>
      <c r="AE1602" s="523" t="e">
        <v>#N/A</v>
      </c>
      <c r="AF1602" s="523" t="e">
        <v>#N/A</v>
      </c>
      <c r="AG1602" s="524" t="e">
        <v>#N/A</v>
      </c>
      <c r="AH1602" s="9"/>
      <c r="AI1602" s="10"/>
      <c r="AJ1602" s="9">
        <f t="shared" si="152"/>
        <v>0</v>
      </c>
      <c r="AK1602" s="10"/>
      <c r="AL1602" s="10"/>
    </row>
    <row r="1603" spans="1:38" ht="56.25" hidden="1">
      <c r="A1603" s="1">
        <f t="shared" si="151"/>
        <v>0</v>
      </c>
      <c r="B1603" s="2" t="s">
        <v>4334</v>
      </c>
      <c r="C1603" s="3" t="s">
        <v>4335</v>
      </c>
      <c r="D1603" s="15" t="s">
        <v>11800</v>
      </c>
      <c r="E1603" s="4" t="s">
        <v>4334</v>
      </c>
      <c r="F1603" s="37" t="s">
        <v>4335</v>
      </c>
      <c r="G1603" s="38">
        <v>0</v>
      </c>
      <c r="H1603" s="38">
        <v>0</v>
      </c>
      <c r="I1603" s="15"/>
      <c r="J1603" s="494">
        <v>20411031308</v>
      </c>
      <c r="L1603" s="523" t="s">
        <v>3755</v>
      </c>
      <c r="M1603" s="523" t="s">
        <v>607</v>
      </c>
      <c r="N1603" s="518" t="s">
        <v>3756</v>
      </c>
      <c r="O1603" s="523">
        <v>2</v>
      </c>
      <c r="P1603" s="523" t="s">
        <v>693</v>
      </c>
      <c r="Q1603" s="523" t="s">
        <v>1229</v>
      </c>
      <c r="R1603" s="523" t="s">
        <v>671</v>
      </c>
      <c r="S1603" s="523" t="s">
        <v>1247</v>
      </c>
      <c r="T1603" s="518" t="s">
        <v>4321</v>
      </c>
      <c r="U1603" s="38">
        <v>0</v>
      </c>
      <c r="V1603" s="15" t="str">
        <f t="shared" ref="V1603:V1666" si="153">CONCATENATE(W1603,X1603,Y1603,Z1603,AA1603)</f>
        <v/>
      </c>
      <c r="W1603" s="10"/>
      <c r="X1603" s="10"/>
      <c r="Y1603" s="10"/>
      <c r="Z1603" s="10"/>
      <c r="AA1603" s="10"/>
      <c r="AB1603" s="10"/>
      <c r="AC1603" s="9"/>
      <c r="AD1603" s="523" t="e">
        <v>#N/A</v>
      </c>
      <c r="AE1603" s="523" t="e">
        <v>#N/A</v>
      </c>
      <c r="AF1603" s="523" t="e">
        <v>#N/A</v>
      </c>
      <c r="AG1603" s="524" t="e">
        <v>#N/A</v>
      </c>
      <c r="AH1603" s="9"/>
      <c r="AI1603" s="10"/>
      <c r="AJ1603" s="9">
        <f t="shared" si="152"/>
        <v>0</v>
      </c>
      <c r="AK1603" s="10"/>
      <c r="AL1603" s="10"/>
    </row>
    <row r="1604" spans="1:38" ht="45" hidden="1">
      <c r="A1604" s="1">
        <f t="shared" si="151"/>
        <v>0</v>
      </c>
      <c r="B1604" s="2" t="s">
        <v>4336</v>
      </c>
      <c r="C1604" s="3" t="s">
        <v>4337</v>
      </c>
      <c r="D1604" s="15" t="s">
        <v>11800</v>
      </c>
      <c r="E1604" s="4" t="s">
        <v>4336</v>
      </c>
      <c r="F1604" s="37" t="s">
        <v>4337</v>
      </c>
      <c r="G1604" s="38">
        <v>0</v>
      </c>
      <c r="H1604" s="38">
        <v>0</v>
      </c>
      <c r="I1604" s="15"/>
      <c r="J1604" s="494">
        <v>20411031309</v>
      </c>
      <c r="L1604" s="523" t="s">
        <v>3755</v>
      </c>
      <c r="M1604" s="523" t="s">
        <v>607</v>
      </c>
      <c r="N1604" s="518" t="s">
        <v>3756</v>
      </c>
      <c r="O1604" s="523">
        <v>2</v>
      </c>
      <c r="P1604" s="523" t="s">
        <v>693</v>
      </c>
      <c r="Q1604" s="523" t="s">
        <v>1229</v>
      </c>
      <c r="R1604" s="523" t="s">
        <v>671</v>
      </c>
      <c r="S1604" s="523" t="s">
        <v>1247</v>
      </c>
      <c r="T1604" s="518" t="s">
        <v>4321</v>
      </c>
      <c r="U1604" s="38">
        <v>0</v>
      </c>
      <c r="V1604" s="15" t="str">
        <f t="shared" si="153"/>
        <v/>
      </c>
      <c r="W1604" s="10"/>
      <c r="X1604" s="10"/>
      <c r="Y1604" s="10"/>
      <c r="Z1604" s="10"/>
      <c r="AA1604" s="10"/>
      <c r="AB1604" s="10"/>
      <c r="AC1604" s="9"/>
      <c r="AD1604" s="523" t="e">
        <v>#N/A</v>
      </c>
      <c r="AE1604" s="523" t="e">
        <v>#N/A</v>
      </c>
      <c r="AF1604" s="523" t="e">
        <v>#N/A</v>
      </c>
      <c r="AG1604" s="524" t="e">
        <v>#N/A</v>
      </c>
      <c r="AH1604" s="9"/>
      <c r="AI1604" s="10"/>
      <c r="AJ1604" s="9">
        <f t="shared" si="152"/>
        <v>0</v>
      </c>
      <c r="AK1604" s="10"/>
      <c r="AL1604" s="10"/>
    </row>
    <row r="1605" spans="1:38" ht="56.25" hidden="1">
      <c r="A1605" s="1">
        <f t="shared" si="151"/>
        <v>0</v>
      </c>
      <c r="B1605" s="2" t="s">
        <v>4338</v>
      </c>
      <c r="C1605" s="3" t="s">
        <v>4339</v>
      </c>
      <c r="D1605" s="15" t="s">
        <v>11800</v>
      </c>
      <c r="E1605" s="4" t="s">
        <v>4338</v>
      </c>
      <c r="F1605" s="37" t="s">
        <v>4339</v>
      </c>
      <c r="G1605" s="38">
        <v>0</v>
      </c>
      <c r="H1605" s="38">
        <v>0</v>
      </c>
      <c r="I1605" s="15"/>
      <c r="J1605" s="494">
        <v>20411031310</v>
      </c>
      <c r="L1605" s="523" t="s">
        <v>3755</v>
      </c>
      <c r="M1605" s="523" t="s">
        <v>607</v>
      </c>
      <c r="N1605" s="518" t="s">
        <v>3756</v>
      </c>
      <c r="O1605" s="523">
        <v>2</v>
      </c>
      <c r="P1605" s="523" t="s">
        <v>693</v>
      </c>
      <c r="Q1605" s="523" t="s">
        <v>1229</v>
      </c>
      <c r="R1605" s="523" t="s">
        <v>671</v>
      </c>
      <c r="S1605" s="523" t="s">
        <v>1247</v>
      </c>
      <c r="T1605" s="518" t="s">
        <v>4321</v>
      </c>
      <c r="U1605" s="38">
        <v>0</v>
      </c>
      <c r="V1605" s="15" t="str">
        <f t="shared" si="153"/>
        <v/>
      </c>
      <c r="W1605" s="10"/>
      <c r="X1605" s="10"/>
      <c r="Y1605" s="10"/>
      <c r="Z1605" s="10"/>
      <c r="AA1605" s="10"/>
      <c r="AB1605" s="10"/>
      <c r="AC1605" s="9"/>
      <c r="AD1605" s="523" t="e">
        <v>#N/A</v>
      </c>
      <c r="AE1605" s="523" t="e">
        <v>#N/A</v>
      </c>
      <c r="AF1605" s="523" t="e">
        <v>#N/A</v>
      </c>
      <c r="AG1605" s="524" t="e">
        <v>#N/A</v>
      </c>
      <c r="AH1605" s="9"/>
      <c r="AI1605" s="10"/>
      <c r="AJ1605" s="9">
        <f t="shared" si="152"/>
        <v>0</v>
      </c>
      <c r="AK1605" s="10"/>
      <c r="AL1605" s="10"/>
    </row>
    <row r="1606" spans="1:38" ht="45" hidden="1">
      <c r="A1606" s="1">
        <f t="shared" si="151"/>
        <v>0</v>
      </c>
      <c r="B1606" s="2" t="s">
        <v>4340</v>
      </c>
      <c r="C1606" s="3" t="s">
        <v>4341</v>
      </c>
      <c r="D1606" s="15" t="s">
        <v>11800</v>
      </c>
      <c r="E1606" s="4" t="s">
        <v>4340</v>
      </c>
      <c r="F1606" s="37" t="s">
        <v>4341</v>
      </c>
      <c r="G1606" s="38">
        <v>0</v>
      </c>
      <c r="H1606" s="38">
        <v>0</v>
      </c>
      <c r="I1606" s="15"/>
      <c r="J1606" s="494">
        <v>20411031311</v>
      </c>
      <c r="L1606" s="523" t="s">
        <v>3755</v>
      </c>
      <c r="M1606" s="523" t="s">
        <v>607</v>
      </c>
      <c r="N1606" s="518" t="s">
        <v>3756</v>
      </c>
      <c r="O1606" s="523">
        <v>2</v>
      </c>
      <c r="P1606" s="523" t="s">
        <v>693</v>
      </c>
      <c r="Q1606" s="523" t="s">
        <v>1229</v>
      </c>
      <c r="R1606" s="523" t="s">
        <v>671</v>
      </c>
      <c r="S1606" s="523" t="s">
        <v>1247</v>
      </c>
      <c r="T1606" s="518" t="s">
        <v>4321</v>
      </c>
      <c r="U1606" s="38">
        <v>0</v>
      </c>
      <c r="V1606" s="15" t="str">
        <f t="shared" si="153"/>
        <v/>
      </c>
      <c r="W1606" s="10"/>
      <c r="X1606" s="10"/>
      <c r="Y1606" s="10"/>
      <c r="Z1606" s="10"/>
      <c r="AA1606" s="10"/>
      <c r="AB1606" s="10"/>
      <c r="AC1606" s="9"/>
      <c r="AD1606" s="523" t="e">
        <v>#N/A</v>
      </c>
      <c r="AE1606" s="523" t="e">
        <v>#N/A</v>
      </c>
      <c r="AF1606" s="523" t="e">
        <v>#N/A</v>
      </c>
      <c r="AG1606" s="524" t="e">
        <v>#N/A</v>
      </c>
      <c r="AH1606" s="9"/>
      <c r="AI1606" s="10"/>
      <c r="AJ1606" s="9">
        <f t="shared" si="152"/>
        <v>0</v>
      </c>
      <c r="AK1606" s="10"/>
      <c r="AL1606" s="10"/>
    </row>
    <row r="1607" spans="1:38" ht="56.25" hidden="1">
      <c r="A1607" s="1">
        <f t="shared" si="151"/>
        <v>0</v>
      </c>
      <c r="B1607" s="2" t="s">
        <v>4342</v>
      </c>
      <c r="C1607" s="3" t="s">
        <v>4343</v>
      </c>
      <c r="D1607" s="15" t="s">
        <v>11800</v>
      </c>
      <c r="E1607" s="4" t="s">
        <v>4342</v>
      </c>
      <c r="F1607" s="37" t="s">
        <v>4343</v>
      </c>
      <c r="G1607" s="38">
        <v>0</v>
      </c>
      <c r="H1607" s="38">
        <v>0</v>
      </c>
      <c r="I1607" s="15"/>
      <c r="J1607" s="494">
        <v>20411031312</v>
      </c>
      <c r="L1607" s="523" t="s">
        <v>3755</v>
      </c>
      <c r="M1607" s="523" t="s">
        <v>607</v>
      </c>
      <c r="N1607" s="518" t="s">
        <v>3756</v>
      </c>
      <c r="O1607" s="523">
        <v>2</v>
      </c>
      <c r="P1607" s="523" t="s">
        <v>693</v>
      </c>
      <c r="Q1607" s="523" t="s">
        <v>1229</v>
      </c>
      <c r="R1607" s="523" t="s">
        <v>671</v>
      </c>
      <c r="S1607" s="523" t="s">
        <v>1247</v>
      </c>
      <c r="T1607" s="518" t="s">
        <v>4321</v>
      </c>
      <c r="U1607" s="38">
        <v>0</v>
      </c>
      <c r="V1607" s="15" t="str">
        <f t="shared" si="153"/>
        <v/>
      </c>
      <c r="W1607" s="10"/>
      <c r="X1607" s="10"/>
      <c r="Y1607" s="10"/>
      <c r="Z1607" s="10"/>
      <c r="AA1607" s="10"/>
      <c r="AB1607" s="10"/>
      <c r="AC1607" s="9"/>
      <c r="AD1607" s="523" t="e">
        <v>#N/A</v>
      </c>
      <c r="AE1607" s="523" t="e">
        <v>#N/A</v>
      </c>
      <c r="AF1607" s="523" t="e">
        <v>#N/A</v>
      </c>
      <c r="AG1607" s="524" t="e">
        <v>#N/A</v>
      </c>
      <c r="AH1607" s="9"/>
      <c r="AI1607" s="10"/>
      <c r="AJ1607" s="9">
        <f t="shared" si="152"/>
        <v>0</v>
      </c>
      <c r="AK1607" s="10"/>
      <c r="AL1607" s="10"/>
    </row>
    <row r="1608" spans="1:38" ht="45" hidden="1">
      <c r="A1608" s="1">
        <f t="shared" si="151"/>
        <v>0</v>
      </c>
      <c r="B1608" s="2" t="s">
        <v>4344</v>
      </c>
      <c r="C1608" s="3" t="s">
        <v>4345</v>
      </c>
      <c r="D1608" s="15" t="s">
        <v>11800</v>
      </c>
      <c r="E1608" s="4" t="s">
        <v>4344</v>
      </c>
      <c r="F1608" s="37" t="s">
        <v>4345</v>
      </c>
      <c r="G1608" s="38">
        <v>0</v>
      </c>
      <c r="H1608" s="38">
        <v>0</v>
      </c>
      <c r="I1608" s="15"/>
      <c r="J1608" s="494">
        <v>20411031313</v>
      </c>
      <c r="L1608" s="523" t="s">
        <v>3755</v>
      </c>
      <c r="M1608" s="523" t="s">
        <v>607</v>
      </c>
      <c r="N1608" s="518" t="s">
        <v>3756</v>
      </c>
      <c r="O1608" s="523">
        <v>2</v>
      </c>
      <c r="P1608" s="523" t="s">
        <v>693</v>
      </c>
      <c r="Q1608" s="523" t="s">
        <v>1229</v>
      </c>
      <c r="R1608" s="523" t="s">
        <v>671</v>
      </c>
      <c r="S1608" s="523" t="s">
        <v>1247</v>
      </c>
      <c r="T1608" s="518" t="s">
        <v>4321</v>
      </c>
      <c r="U1608" s="38">
        <v>0</v>
      </c>
      <c r="V1608" s="15" t="str">
        <f t="shared" si="153"/>
        <v/>
      </c>
      <c r="W1608" s="10"/>
      <c r="X1608" s="10"/>
      <c r="Y1608" s="10"/>
      <c r="Z1608" s="10"/>
      <c r="AA1608" s="10"/>
      <c r="AB1608" s="10"/>
      <c r="AC1608" s="9"/>
      <c r="AD1608" s="523" t="e">
        <v>#N/A</v>
      </c>
      <c r="AE1608" s="523" t="e">
        <v>#N/A</v>
      </c>
      <c r="AF1608" s="523" t="e">
        <v>#N/A</v>
      </c>
      <c r="AG1608" s="524" t="e">
        <v>#N/A</v>
      </c>
      <c r="AH1608" s="9"/>
      <c r="AI1608" s="10"/>
      <c r="AJ1608" s="9">
        <f t="shared" si="152"/>
        <v>0</v>
      </c>
      <c r="AK1608" s="10"/>
      <c r="AL1608" s="10"/>
    </row>
    <row r="1609" spans="1:38" ht="56.25" hidden="1">
      <c r="A1609" s="1">
        <f t="shared" si="151"/>
        <v>0</v>
      </c>
      <c r="B1609" s="2" t="s">
        <v>4346</v>
      </c>
      <c r="C1609" s="3" t="s">
        <v>4347</v>
      </c>
      <c r="D1609" s="15" t="s">
        <v>11800</v>
      </c>
      <c r="E1609" s="4" t="s">
        <v>4346</v>
      </c>
      <c r="F1609" s="37" t="s">
        <v>4347</v>
      </c>
      <c r="G1609" s="38">
        <v>0</v>
      </c>
      <c r="H1609" s="38">
        <v>0</v>
      </c>
      <c r="I1609" s="15"/>
      <c r="J1609" s="494">
        <v>20411031314</v>
      </c>
      <c r="L1609" s="523" t="s">
        <v>3755</v>
      </c>
      <c r="M1609" s="523" t="s">
        <v>607</v>
      </c>
      <c r="N1609" s="518" t="s">
        <v>3756</v>
      </c>
      <c r="O1609" s="523">
        <v>2</v>
      </c>
      <c r="P1609" s="523" t="s">
        <v>693</v>
      </c>
      <c r="Q1609" s="523" t="s">
        <v>1229</v>
      </c>
      <c r="R1609" s="523" t="s">
        <v>671</v>
      </c>
      <c r="S1609" s="523" t="s">
        <v>1247</v>
      </c>
      <c r="T1609" s="518" t="s">
        <v>4321</v>
      </c>
      <c r="U1609" s="38">
        <v>0</v>
      </c>
      <c r="V1609" s="15" t="str">
        <f t="shared" si="153"/>
        <v/>
      </c>
      <c r="W1609" s="10"/>
      <c r="X1609" s="10"/>
      <c r="Y1609" s="10"/>
      <c r="Z1609" s="10"/>
      <c r="AA1609" s="10"/>
      <c r="AB1609" s="10"/>
      <c r="AC1609" s="9"/>
      <c r="AD1609" s="523" t="e">
        <v>#N/A</v>
      </c>
      <c r="AE1609" s="523" t="e">
        <v>#N/A</v>
      </c>
      <c r="AF1609" s="523" t="e">
        <v>#N/A</v>
      </c>
      <c r="AG1609" s="524" t="e">
        <v>#N/A</v>
      </c>
      <c r="AH1609" s="9"/>
      <c r="AI1609" s="10"/>
      <c r="AJ1609" s="9">
        <f t="shared" si="152"/>
        <v>0</v>
      </c>
      <c r="AK1609" s="10"/>
      <c r="AL1609" s="10"/>
    </row>
    <row r="1610" spans="1:38" ht="45" hidden="1">
      <c r="A1610" s="1">
        <f t="shared" si="151"/>
        <v>0</v>
      </c>
      <c r="B1610" s="2" t="s">
        <v>4348</v>
      </c>
      <c r="C1610" s="3" t="s">
        <v>4349</v>
      </c>
      <c r="D1610" s="15" t="s">
        <v>11800</v>
      </c>
      <c r="E1610" s="4" t="s">
        <v>4348</v>
      </c>
      <c r="F1610" s="37" t="s">
        <v>4349</v>
      </c>
      <c r="G1610" s="38">
        <v>0</v>
      </c>
      <c r="H1610" s="38">
        <v>0</v>
      </c>
      <c r="I1610" s="15"/>
      <c r="J1610" s="494">
        <v>20411031315</v>
      </c>
      <c r="L1610" s="523" t="s">
        <v>3755</v>
      </c>
      <c r="M1610" s="523" t="s">
        <v>607</v>
      </c>
      <c r="N1610" s="518" t="s">
        <v>3756</v>
      </c>
      <c r="O1610" s="523">
        <v>2</v>
      </c>
      <c r="P1610" s="523" t="s">
        <v>693</v>
      </c>
      <c r="Q1610" s="523" t="s">
        <v>1229</v>
      </c>
      <c r="R1610" s="523" t="s">
        <v>671</v>
      </c>
      <c r="S1610" s="523" t="s">
        <v>1247</v>
      </c>
      <c r="T1610" s="518" t="s">
        <v>4321</v>
      </c>
      <c r="U1610" s="38">
        <v>0</v>
      </c>
      <c r="V1610" s="15" t="str">
        <f t="shared" si="153"/>
        <v/>
      </c>
      <c r="W1610" s="10"/>
      <c r="X1610" s="10"/>
      <c r="Y1610" s="10"/>
      <c r="Z1610" s="10"/>
      <c r="AA1610" s="10"/>
      <c r="AB1610" s="10"/>
      <c r="AC1610" s="9"/>
      <c r="AD1610" s="523" t="e">
        <v>#N/A</v>
      </c>
      <c r="AE1610" s="523" t="e">
        <v>#N/A</v>
      </c>
      <c r="AF1610" s="523" t="e">
        <v>#N/A</v>
      </c>
      <c r="AG1610" s="524" t="e">
        <v>#N/A</v>
      </c>
      <c r="AH1610" s="9"/>
      <c r="AI1610" s="10"/>
      <c r="AJ1610" s="9">
        <f t="shared" si="152"/>
        <v>0</v>
      </c>
      <c r="AK1610" s="10"/>
      <c r="AL1610" s="10"/>
    </row>
    <row r="1611" spans="1:38" ht="56.25" hidden="1">
      <c r="A1611" s="1">
        <f t="shared" si="151"/>
        <v>0</v>
      </c>
      <c r="B1611" s="2" t="s">
        <v>4350</v>
      </c>
      <c r="C1611" s="3" t="s">
        <v>4351</v>
      </c>
      <c r="D1611" s="15" t="s">
        <v>11800</v>
      </c>
      <c r="E1611" s="4" t="s">
        <v>4350</v>
      </c>
      <c r="F1611" s="37" t="s">
        <v>4351</v>
      </c>
      <c r="G1611" s="38">
        <v>0</v>
      </c>
      <c r="H1611" s="38">
        <v>0</v>
      </c>
      <c r="I1611" s="15"/>
      <c r="J1611" s="494">
        <v>20411031316</v>
      </c>
      <c r="L1611" s="523" t="s">
        <v>3755</v>
      </c>
      <c r="M1611" s="523" t="s">
        <v>607</v>
      </c>
      <c r="N1611" s="518" t="s">
        <v>3756</v>
      </c>
      <c r="O1611" s="523">
        <v>2</v>
      </c>
      <c r="P1611" s="523" t="s">
        <v>693</v>
      </c>
      <c r="Q1611" s="523" t="s">
        <v>1229</v>
      </c>
      <c r="R1611" s="523" t="s">
        <v>671</v>
      </c>
      <c r="S1611" s="523" t="s">
        <v>1247</v>
      </c>
      <c r="T1611" s="518" t="s">
        <v>4321</v>
      </c>
      <c r="U1611" s="38">
        <v>0</v>
      </c>
      <c r="V1611" s="15" t="str">
        <f t="shared" si="153"/>
        <v/>
      </c>
      <c r="W1611" s="10"/>
      <c r="X1611" s="10"/>
      <c r="Y1611" s="10"/>
      <c r="Z1611" s="10"/>
      <c r="AA1611" s="10"/>
      <c r="AB1611" s="10"/>
      <c r="AC1611" s="9"/>
      <c r="AD1611" s="523" t="e">
        <v>#N/A</v>
      </c>
      <c r="AE1611" s="523" t="e">
        <v>#N/A</v>
      </c>
      <c r="AF1611" s="523" t="e">
        <v>#N/A</v>
      </c>
      <c r="AG1611" s="524" t="e">
        <v>#N/A</v>
      </c>
      <c r="AH1611" s="9"/>
      <c r="AI1611" s="10"/>
      <c r="AJ1611" s="9">
        <f t="shared" si="152"/>
        <v>0</v>
      </c>
      <c r="AK1611" s="10"/>
      <c r="AL1611" s="10"/>
    </row>
    <row r="1612" spans="1:38" ht="45" hidden="1">
      <c r="A1612" s="1">
        <f t="shared" si="151"/>
        <v>0</v>
      </c>
      <c r="B1612" s="2" t="s">
        <v>4352</v>
      </c>
      <c r="C1612" s="3" t="s">
        <v>4353</v>
      </c>
      <c r="D1612" s="15" t="s">
        <v>11800</v>
      </c>
      <c r="E1612" s="4" t="s">
        <v>4352</v>
      </c>
      <c r="F1612" s="37" t="s">
        <v>4353</v>
      </c>
      <c r="G1612" s="38">
        <v>0</v>
      </c>
      <c r="H1612" s="38">
        <v>0</v>
      </c>
      <c r="I1612" s="15"/>
      <c r="J1612" s="494">
        <v>20411031317</v>
      </c>
      <c r="L1612" s="523" t="s">
        <v>3755</v>
      </c>
      <c r="M1612" s="523" t="s">
        <v>607</v>
      </c>
      <c r="N1612" s="518" t="s">
        <v>3756</v>
      </c>
      <c r="O1612" s="523">
        <v>2</v>
      </c>
      <c r="P1612" s="523" t="s">
        <v>693</v>
      </c>
      <c r="Q1612" s="523" t="s">
        <v>1229</v>
      </c>
      <c r="R1612" s="523" t="s">
        <v>671</v>
      </c>
      <c r="S1612" s="523" t="s">
        <v>1247</v>
      </c>
      <c r="T1612" s="518" t="s">
        <v>4321</v>
      </c>
      <c r="U1612" s="38">
        <v>0</v>
      </c>
      <c r="V1612" s="15" t="str">
        <f t="shared" si="153"/>
        <v/>
      </c>
      <c r="W1612" s="10"/>
      <c r="X1612" s="10"/>
      <c r="Y1612" s="10"/>
      <c r="Z1612" s="10"/>
      <c r="AA1612" s="10"/>
      <c r="AB1612" s="10"/>
      <c r="AC1612" s="9"/>
      <c r="AD1612" s="523" t="e">
        <v>#N/A</v>
      </c>
      <c r="AE1612" s="523" t="e">
        <v>#N/A</v>
      </c>
      <c r="AF1612" s="523" t="e">
        <v>#N/A</v>
      </c>
      <c r="AG1612" s="524" t="e">
        <v>#N/A</v>
      </c>
      <c r="AH1612" s="9"/>
      <c r="AI1612" s="10"/>
      <c r="AJ1612" s="9">
        <f t="shared" si="152"/>
        <v>0</v>
      </c>
      <c r="AK1612" s="10"/>
      <c r="AL1612" s="10"/>
    </row>
    <row r="1613" spans="1:38" ht="56.25" hidden="1">
      <c r="A1613" s="1">
        <f t="shared" si="151"/>
        <v>0</v>
      </c>
      <c r="B1613" s="2" t="s">
        <v>4354</v>
      </c>
      <c r="C1613" s="3" t="s">
        <v>4355</v>
      </c>
      <c r="D1613" s="15" t="s">
        <v>11800</v>
      </c>
      <c r="E1613" s="4" t="s">
        <v>4354</v>
      </c>
      <c r="F1613" s="37" t="s">
        <v>4355</v>
      </c>
      <c r="G1613" s="38">
        <v>0</v>
      </c>
      <c r="H1613" s="38">
        <v>0</v>
      </c>
      <c r="I1613" s="15"/>
      <c r="J1613" s="494">
        <v>20411031318</v>
      </c>
      <c r="L1613" s="523" t="s">
        <v>3755</v>
      </c>
      <c r="M1613" s="523" t="s">
        <v>607</v>
      </c>
      <c r="N1613" s="518" t="s">
        <v>3756</v>
      </c>
      <c r="O1613" s="523">
        <v>2</v>
      </c>
      <c r="P1613" s="523" t="s">
        <v>693</v>
      </c>
      <c r="Q1613" s="523" t="s">
        <v>1229</v>
      </c>
      <c r="R1613" s="523" t="s">
        <v>671</v>
      </c>
      <c r="S1613" s="523" t="s">
        <v>1247</v>
      </c>
      <c r="T1613" s="518" t="s">
        <v>4321</v>
      </c>
      <c r="U1613" s="38">
        <v>0</v>
      </c>
      <c r="V1613" s="15" t="str">
        <f t="shared" si="153"/>
        <v/>
      </c>
      <c r="W1613" s="10"/>
      <c r="X1613" s="10"/>
      <c r="Y1613" s="10"/>
      <c r="Z1613" s="10"/>
      <c r="AA1613" s="10"/>
      <c r="AB1613" s="10"/>
      <c r="AC1613" s="9"/>
      <c r="AD1613" s="523" t="e">
        <v>#N/A</v>
      </c>
      <c r="AE1613" s="523" t="e">
        <v>#N/A</v>
      </c>
      <c r="AF1613" s="523" t="e">
        <v>#N/A</v>
      </c>
      <c r="AG1613" s="524" t="e">
        <v>#N/A</v>
      </c>
      <c r="AH1613" s="9"/>
      <c r="AI1613" s="10"/>
      <c r="AJ1613" s="9">
        <f t="shared" si="152"/>
        <v>0</v>
      </c>
      <c r="AK1613" s="10"/>
      <c r="AL1613" s="10"/>
    </row>
    <row r="1614" spans="1:38" ht="45" hidden="1">
      <c r="A1614" s="1">
        <f t="shared" si="151"/>
        <v>0</v>
      </c>
      <c r="B1614" s="2" t="s">
        <v>4356</v>
      </c>
      <c r="C1614" s="3" t="s">
        <v>4357</v>
      </c>
      <c r="D1614" s="15" t="s">
        <v>11800</v>
      </c>
      <c r="E1614" s="4" t="s">
        <v>4356</v>
      </c>
      <c r="F1614" s="37" t="s">
        <v>4357</v>
      </c>
      <c r="G1614" s="38">
        <v>0</v>
      </c>
      <c r="H1614" s="38">
        <v>0</v>
      </c>
      <c r="I1614" s="15"/>
      <c r="J1614" s="494">
        <v>20411031319</v>
      </c>
      <c r="L1614" s="523" t="s">
        <v>3755</v>
      </c>
      <c r="M1614" s="523" t="s">
        <v>607</v>
      </c>
      <c r="N1614" s="518" t="s">
        <v>3756</v>
      </c>
      <c r="O1614" s="523">
        <v>2</v>
      </c>
      <c r="P1614" s="523" t="s">
        <v>693</v>
      </c>
      <c r="Q1614" s="523" t="s">
        <v>1229</v>
      </c>
      <c r="R1614" s="523" t="s">
        <v>671</v>
      </c>
      <c r="S1614" s="523" t="s">
        <v>1247</v>
      </c>
      <c r="T1614" s="518" t="s">
        <v>4321</v>
      </c>
      <c r="U1614" s="38">
        <v>0</v>
      </c>
      <c r="V1614" s="15" t="str">
        <f t="shared" si="153"/>
        <v/>
      </c>
      <c r="W1614" s="10"/>
      <c r="X1614" s="10"/>
      <c r="Y1614" s="10"/>
      <c r="Z1614" s="10"/>
      <c r="AA1614" s="10"/>
      <c r="AB1614" s="10"/>
      <c r="AC1614" s="9"/>
      <c r="AD1614" s="523" t="e">
        <v>#N/A</v>
      </c>
      <c r="AE1614" s="523" t="e">
        <v>#N/A</v>
      </c>
      <c r="AF1614" s="523" t="e">
        <v>#N/A</v>
      </c>
      <c r="AG1614" s="524" t="e">
        <v>#N/A</v>
      </c>
      <c r="AH1614" s="9"/>
      <c r="AI1614" s="10"/>
      <c r="AJ1614" s="9">
        <f t="shared" si="152"/>
        <v>0</v>
      </c>
      <c r="AK1614" s="10"/>
      <c r="AL1614" s="10"/>
    </row>
    <row r="1615" spans="1:38" ht="56.25" hidden="1">
      <c r="A1615" s="1">
        <f t="shared" si="151"/>
        <v>0</v>
      </c>
      <c r="B1615" s="2" t="s">
        <v>4358</v>
      </c>
      <c r="C1615" s="3" t="s">
        <v>4359</v>
      </c>
      <c r="D1615" s="15" t="s">
        <v>11800</v>
      </c>
      <c r="E1615" s="4" t="s">
        <v>4358</v>
      </c>
      <c r="F1615" s="37" t="s">
        <v>4359</v>
      </c>
      <c r="G1615" s="38">
        <v>0</v>
      </c>
      <c r="H1615" s="38">
        <v>0</v>
      </c>
      <c r="I1615" s="15"/>
      <c r="J1615" s="494">
        <v>20411031320</v>
      </c>
      <c r="L1615" s="523" t="s">
        <v>3755</v>
      </c>
      <c r="M1615" s="523" t="s">
        <v>607</v>
      </c>
      <c r="N1615" s="518" t="s">
        <v>3756</v>
      </c>
      <c r="O1615" s="523">
        <v>2</v>
      </c>
      <c r="P1615" s="523" t="s">
        <v>693</v>
      </c>
      <c r="Q1615" s="523" t="s">
        <v>1229</v>
      </c>
      <c r="R1615" s="523" t="s">
        <v>671</v>
      </c>
      <c r="S1615" s="523" t="s">
        <v>1247</v>
      </c>
      <c r="T1615" s="518" t="s">
        <v>4321</v>
      </c>
      <c r="U1615" s="38">
        <v>0</v>
      </c>
      <c r="V1615" s="15" t="str">
        <f t="shared" si="153"/>
        <v/>
      </c>
      <c r="W1615" s="10"/>
      <c r="X1615" s="10"/>
      <c r="Y1615" s="10"/>
      <c r="Z1615" s="10"/>
      <c r="AA1615" s="10"/>
      <c r="AB1615" s="10"/>
      <c r="AC1615" s="9"/>
      <c r="AD1615" s="523" t="e">
        <v>#N/A</v>
      </c>
      <c r="AE1615" s="523" t="e">
        <v>#N/A</v>
      </c>
      <c r="AF1615" s="523" t="e">
        <v>#N/A</v>
      </c>
      <c r="AG1615" s="524" t="e">
        <v>#N/A</v>
      </c>
      <c r="AH1615" s="9"/>
      <c r="AI1615" s="10"/>
      <c r="AJ1615" s="9">
        <f t="shared" si="152"/>
        <v>0</v>
      </c>
      <c r="AK1615" s="10"/>
      <c r="AL1615" s="10"/>
    </row>
    <row r="1616" spans="1:38" ht="45" hidden="1">
      <c r="A1616" s="1">
        <f t="shared" si="151"/>
        <v>0</v>
      </c>
      <c r="B1616" s="2" t="s">
        <v>4360</v>
      </c>
      <c r="C1616" s="3" t="s">
        <v>4361</v>
      </c>
      <c r="D1616" s="15" t="s">
        <v>11801</v>
      </c>
      <c r="E1616" s="4" t="s">
        <v>4360</v>
      </c>
      <c r="F1616" s="37" t="s">
        <v>4361</v>
      </c>
      <c r="G1616" s="38">
        <v>0</v>
      </c>
      <c r="H1616" s="38">
        <v>0</v>
      </c>
      <c r="I1616" s="15"/>
      <c r="J1616" s="494">
        <v>20411031401</v>
      </c>
      <c r="K1616" s="517"/>
      <c r="L1616" s="517" t="s">
        <v>3755</v>
      </c>
      <c r="M1616" s="517" t="s">
        <v>607</v>
      </c>
      <c r="N1616" s="518" t="s">
        <v>3756</v>
      </c>
      <c r="O1616" s="517">
        <v>2</v>
      </c>
      <c r="P1616" s="517" t="s">
        <v>693</v>
      </c>
      <c r="Q1616" s="517" t="s">
        <v>1229</v>
      </c>
      <c r="R1616" s="517" t="s">
        <v>671</v>
      </c>
      <c r="S1616" s="517" t="s">
        <v>1253</v>
      </c>
      <c r="T1616" s="518" t="s">
        <v>4362</v>
      </c>
      <c r="U1616" s="38">
        <v>0</v>
      </c>
      <c r="V1616" s="15" t="str">
        <f t="shared" si="153"/>
        <v>204110314</v>
      </c>
      <c r="W1616" s="39">
        <v>2</v>
      </c>
      <c r="X1616" s="50" t="s">
        <v>693</v>
      </c>
      <c r="Y1616" s="50" t="s">
        <v>1229</v>
      </c>
      <c r="Z1616" s="50" t="s">
        <v>671</v>
      </c>
      <c r="AA1616" s="40" t="s">
        <v>1253</v>
      </c>
      <c r="AB1616" s="42" t="s">
        <v>4362</v>
      </c>
      <c r="AC1616" s="519">
        <f>SUM(H1616:H1633)</f>
        <v>0</v>
      </c>
      <c r="AD1616" s="517">
        <v>0</v>
      </c>
      <c r="AE1616" s="517" t="s">
        <v>3755</v>
      </c>
      <c r="AF1616" s="517" t="s">
        <v>607</v>
      </c>
      <c r="AG1616" s="518" t="s">
        <v>3756</v>
      </c>
      <c r="AH1616" s="67">
        <f>AC1616</f>
        <v>0</v>
      </c>
      <c r="AI1616" s="10"/>
      <c r="AJ1616" s="9">
        <f t="shared" si="152"/>
        <v>0</v>
      </c>
      <c r="AK1616" s="10"/>
      <c r="AL1616" s="10"/>
    </row>
    <row r="1617" spans="1:38" ht="45" hidden="1">
      <c r="A1617" s="1">
        <f t="shared" si="151"/>
        <v>0</v>
      </c>
      <c r="B1617" s="2" t="s">
        <v>4363</v>
      </c>
      <c r="C1617" s="3" t="s">
        <v>4364</v>
      </c>
      <c r="D1617" s="15" t="s">
        <v>11801</v>
      </c>
      <c r="E1617" s="4" t="s">
        <v>4363</v>
      </c>
      <c r="F1617" s="37" t="s">
        <v>4364</v>
      </c>
      <c r="G1617" s="38">
        <v>0</v>
      </c>
      <c r="H1617" s="38">
        <v>0</v>
      </c>
      <c r="I1617" s="15"/>
      <c r="J1617" s="494">
        <v>20411031402</v>
      </c>
      <c r="L1617" s="523" t="s">
        <v>3755</v>
      </c>
      <c r="M1617" s="523" t="s">
        <v>607</v>
      </c>
      <c r="N1617" s="518" t="s">
        <v>3756</v>
      </c>
      <c r="O1617" s="523">
        <v>2</v>
      </c>
      <c r="P1617" s="523" t="s">
        <v>693</v>
      </c>
      <c r="Q1617" s="523" t="s">
        <v>1229</v>
      </c>
      <c r="R1617" s="523" t="s">
        <v>671</v>
      </c>
      <c r="S1617" s="523" t="s">
        <v>1253</v>
      </c>
      <c r="T1617" s="518" t="s">
        <v>4362</v>
      </c>
      <c r="U1617" s="38">
        <v>0</v>
      </c>
      <c r="V1617" s="15" t="str">
        <f t="shared" si="153"/>
        <v/>
      </c>
      <c r="W1617" s="10"/>
      <c r="X1617" s="10"/>
      <c r="Y1617" s="10"/>
      <c r="Z1617" s="10"/>
      <c r="AA1617" s="10"/>
      <c r="AB1617" s="10"/>
      <c r="AC1617" s="9"/>
      <c r="AD1617" s="523" t="e">
        <v>#N/A</v>
      </c>
      <c r="AE1617" s="523" t="e">
        <v>#N/A</v>
      </c>
      <c r="AF1617" s="523" t="e">
        <v>#N/A</v>
      </c>
      <c r="AG1617" s="524" t="e">
        <v>#N/A</v>
      </c>
      <c r="AH1617" s="9"/>
      <c r="AI1617" s="10"/>
      <c r="AJ1617" s="9">
        <f t="shared" si="152"/>
        <v>0</v>
      </c>
      <c r="AK1617" s="10"/>
      <c r="AL1617" s="10"/>
    </row>
    <row r="1618" spans="1:38" ht="45" hidden="1">
      <c r="A1618" s="1">
        <f t="shared" si="151"/>
        <v>0</v>
      </c>
      <c r="B1618" s="2" t="s">
        <v>4365</v>
      </c>
      <c r="C1618" s="3" t="s">
        <v>4366</v>
      </c>
      <c r="D1618" s="15" t="s">
        <v>11801</v>
      </c>
      <c r="E1618" s="4" t="s">
        <v>4365</v>
      </c>
      <c r="F1618" s="37" t="s">
        <v>4366</v>
      </c>
      <c r="G1618" s="38">
        <v>0</v>
      </c>
      <c r="H1618" s="38">
        <v>0</v>
      </c>
      <c r="I1618" s="15"/>
      <c r="J1618" s="494">
        <v>20411031404</v>
      </c>
      <c r="L1618" s="523" t="s">
        <v>3755</v>
      </c>
      <c r="M1618" s="523" t="s">
        <v>607</v>
      </c>
      <c r="N1618" s="518" t="s">
        <v>3756</v>
      </c>
      <c r="O1618" s="523">
        <v>2</v>
      </c>
      <c r="P1618" s="523" t="s">
        <v>693</v>
      </c>
      <c r="Q1618" s="523" t="s">
        <v>1229</v>
      </c>
      <c r="R1618" s="523" t="s">
        <v>671</v>
      </c>
      <c r="S1618" s="523" t="s">
        <v>1253</v>
      </c>
      <c r="T1618" s="518" t="s">
        <v>4362</v>
      </c>
      <c r="U1618" s="38">
        <v>0</v>
      </c>
      <c r="V1618" s="15" t="str">
        <f t="shared" si="153"/>
        <v/>
      </c>
      <c r="W1618" s="10"/>
      <c r="X1618" s="10"/>
      <c r="Y1618" s="10"/>
      <c r="Z1618" s="10"/>
      <c r="AA1618" s="10"/>
      <c r="AB1618" s="10"/>
      <c r="AC1618" s="9"/>
      <c r="AD1618" s="523" t="e">
        <v>#N/A</v>
      </c>
      <c r="AE1618" s="523" t="e">
        <v>#N/A</v>
      </c>
      <c r="AF1618" s="523" t="e">
        <v>#N/A</v>
      </c>
      <c r="AG1618" s="524" t="e">
        <v>#N/A</v>
      </c>
      <c r="AH1618" s="9"/>
      <c r="AI1618" s="10"/>
      <c r="AJ1618" s="9">
        <f t="shared" si="152"/>
        <v>0</v>
      </c>
      <c r="AK1618" s="10"/>
      <c r="AL1618" s="10"/>
    </row>
    <row r="1619" spans="1:38" ht="45" hidden="1">
      <c r="A1619" s="1">
        <f t="shared" si="151"/>
        <v>0</v>
      </c>
      <c r="B1619" s="2" t="s">
        <v>4367</v>
      </c>
      <c r="C1619" s="3" t="s">
        <v>4368</v>
      </c>
      <c r="D1619" s="15" t="s">
        <v>11801</v>
      </c>
      <c r="E1619" s="4" t="s">
        <v>4367</v>
      </c>
      <c r="F1619" s="37" t="s">
        <v>4368</v>
      </c>
      <c r="G1619" s="38">
        <v>0</v>
      </c>
      <c r="H1619" s="38">
        <v>0</v>
      </c>
      <c r="I1619" s="15"/>
      <c r="J1619" s="494">
        <v>20411031406</v>
      </c>
      <c r="L1619" s="523" t="s">
        <v>3755</v>
      </c>
      <c r="M1619" s="523" t="s">
        <v>607</v>
      </c>
      <c r="N1619" s="518" t="s">
        <v>3756</v>
      </c>
      <c r="O1619" s="523">
        <v>2</v>
      </c>
      <c r="P1619" s="523" t="s">
        <v>693</v>
      </c>
      <c r="Q1619" s="523" t="s">
        <v>1229</v>
      </c>
      <c r="R1619" s="523" t="s">
        <v>671</v>
      </c>
      <c r="S1619" s="523" t="s">
        <v>1253</v>
      </c>
      <c r="T1619" s="518" t="s">
        <v>4362</v>
      </c>
      <c r="U1619" s="38">
        <v>0</v>
      </c>
      <c r="V1619" s="15" t="str">
        <f t="shared" si="153"/>
        <v/>
      </c>
      <c r="W1619" s="10"/>
      <c r="X1619" s="10"/>
      <c r="Y1619" s="10"/>
      <c r="Z1619" s="10"/>
      <c r="AA1619" s="10"/>
      <c r="AB1619" s="10"/>
      <c r="AC1619" s="9"/>
      <c r="AD1619" s="523" t="e">
        <v>#N/A</v>
      </c>
      <c r="AE1619" s="523" t="e">
        <v>#N/A</v>
      </c>
      <c r="AF1619" s="523" t="e">
        <v>#N/A</v>
      </c>
      <c r="AG1619" s="524" t="e">
        <v>#N/A</v>
      </c>
      <c r="AH1619" s="9"/>
      <c r="AI1619" s="10"/>
      <c r="AJ1619" s="9">
        <f t="shared" si="152"/>
        <v>0</v>
      </c>
      <c r="AK1619" s="10"/>
      <c r="AL1619" s="10"/>
    </row>
    <row r="1620" spans="1:38" ht="45" hidden="1">
      <c r="A1620" s="1">
        <f t="shared" si="151"/>
        <v>0</v>
      </c>
      <c r="B1620" s="2" t="s">
        <v>4369</v>
      </c>
      <c r="C1620" s="3" t="s">
        <v>4370</v>
      </c>
      <c r="D1620" s="15" t="s">
        <v>11801</v>
      </c>
      <c r="E1620" s="4" t="s">
        <v>4369</v>
      </c>
      <c r="F1620" s="37" t="s">
        <v>4370</v>
      </c>
      <c r="G1620" s="38">
        <v>0</v>
      </c>
      <c r="H1620" s="38">
        <v>0</v>
      </c>
      <c r="I1620" s="15"/>
      <c r="J1620" s="494">
        <v>20411031407</v>
      </c>
      <c r="L1620" s="523" t="s">
        <v>3755</v>
      </c>
      <c r="M1620" s="523" t="s">
        <v>607</v>
      </c>
      <c r="N1620" s="518" t="s">
        <v>3756</v>
      </c>
      <c r="O1620" s="523">
        <v>2</v>
      </c>
      <c r="P1620" s="523" t="s">
        <v>693</v>
      </c>
      <c r="Q1620" s="523" t="s">
        <v>1229</v>
      </c>
      <c r="R1620" s="523" t="s">
        <v>671</v>
      </c>
      <c r="S1620" s="523" t="s">
        <v>1253</v>
      </c>
      <c r="T1620" s="518" t="s">
        <v>4362</v>
      </c>
      <c r="U1620" s="38">
        <v>0</v>
      </c>
      <c r="V1620" s="15" t="str">
        <f t="shared" si="153"/>
        <v/>
      </c>
      <c r="W1620" s="10"/>
      <c r="X1620" s="10"/>
      <c r="Y1620" s="10"/>
      <c r="Z1620" s="10"/>
      <c r="AA1620" s="10"/>
      <c r="AB1620" s="10"/>
      <c r="AC1620" s="9"/>
      <c r="AD1620" s="523" t="e">
        <v>#N/A</v>
      </c>
      <c r="AE1620" s="523" t="e">
        <v>#N/A</v>
      </c>
      <c r="AF1620" s="523" t="e">
        <v>#N/A</v>
      </c>
      <c r="AG1620" s="524" t="e">
        <v>#N/A</v>
      </c>
      <c r="AH1620" s="9"/>
      <c r="AI1620" s="10"/>
      <c r="AJ1620" s="9">
        <f t="shared" si="152"/>
        <v>0</v>
      </c>
      <c r="AK1620" s="10"/>
      <c r="AL1620" s="10"/>
    </row>
    <row r="1621" spans="1:38" ht="45" hidden="1">
      <c r="A1621" s="1">
        <f t="shared" si="151"/>
        <v>0</v>
      </c>
      <c r="B1621" s="2" t="s">
        <v>4371</v>
      </c>
      <c r="C1621" s="3" t="s">
        <v>4372</v>
      </c>
      <c r="D1621" s="15" t="s">
        <v>11801</v>
      </c>
      <c r="E1621" s="4" t="s">
        <v>4371</v>
      </c>
      <c r="F1621" s="37" t="s">
        <v>4372</v>
      </c>
      <c r="G1621" s="38">
        <v>0</v>
      </c>
      <c r="H1621" s="38">
        <v>0</v>
      </c>
      <c r="I1621" s="15"/>
      <c r="J1621" s="494">
        <v>20411031408</v>
      </c>
      <c r="L1621" s="523" t="s">
        <v>3755</v>
      </c>
      <c r="M1621" s="523" t="s">
        <v>607</v>
      </c>
      <c r="N1621" s="518" t="s">
        <v>3756</v>
      </c>
      <c r="O1621" s="523">
        <v>2</v>
      </c>
      <c r="P1621" s="523" t="s">
        <v>693</v>
      </c>
      <c r="Q1621" s="523" t="s">
        <v>1229</v>
      </c>
      <c r="R1621" s="523" t="s">
        <v>671</v>
      </c>
      <c r="S1621" s="523" t="s">
        <v>1253</v>
      </c>
      <c r="T1621" s="518" t="s">
        <v>4362</v>
      </c>
      <c r="U1621" s="38">
        <v>0</v>
      </c>
      <c r="V1621" s="15" t="str">
        <f t="shared" si="153"/>
        <v/>
      </c>
      <c r="W1621" s="10"/>
      <c r="X1621" s="10"/>
      <c r="Y1621" s="10"/>
      <c r="Z1621" s="10"/>
      <c r="AA1621" s="10"/>
      <c r="AB1621" s="10"/>
      <c r="AC1621" s="9"/>
      <c r="AD1621" s="523" t="e">
        <v>#N/A</v>
      </c>
      <c r="AE1621" s="523" t="e">
        <v>#N/A</v>
      </c>
      <c r="AF1621" s="523" t="e">
        <v>#N/A</v>
      </c>
      <c r="AG1621" s="524" t="e">
        <v>#N/A</v>
      </c>
      <c r="AH1621" s="9"/>
      <c r="AI1621" s="10"/>
      <c r="AJ1621" s="9">
        <f t="shared" si="152"/>
        <v>0</v>
      </c>
      <c r="AK1621" s="10"/>
      <c r="AL1621" s="10"/>
    </row>
    <row r="1622" spans="1:38" ht="45" hidden="1">
      <c r="A1622" s="1">
        <f t="shared" si="151"/>
        <v>0</v>
      </c>
      <c r="B1622" s="2" t="s">
        <v>4373</v>
      </c>
      <c r="C1622" s="3" t="s">
        <v>4374</v>
      </c>
      <c r="D1622" s="15" t="s">
        <v>11801</v>
      </c>
      <c r="E1622" s="4" t="s">
        <v>4373</v>
      </c>
      <c r="F1622" s="37" t="s">
        <v>4374</v>
      </c>
      <c r="G1622" s="38">
        <v>0</v>
      </c>
      <c r="H1622" s="38">
        <v>0</v>
      </c>
      <c r="I1622" s="15"/>
      <c r="J1622" s="494">
        <v>20411031409</v>
      </c>
      <c r="L1622" s="523" t="s">
        <v>3755</v>
      </c>
      <c r="M1622" s="523" t="s">
        <v>607</v>
      </c>
      <c r="N1622" s="518" t="s">
        <v>3756</v>
      </c>
      <c r="O1622" s="523">
        <v>2</v>
      </c>
      <c r="P1622" s="523" t="s">
        <v>693</v>
      </c>
      <c r="Q1622" s="523" t="s">
        <v>1229</v>
      </c>
      <c r="R1622" s="523" t="s">
        <v>671</v>
      </c>
      <c r="S1622" s="523" t="s">
        <v>1253</v>
      </c>
      <c r="T1622" s="518" t="s">
        <v>4362</v>
      </c>
      <c r="U1622" s="38">
        <v>0</v>
      </c>
      <c r="V1622" s="15" t="str">
        <f t="shared" si="153"/>
        <v/>
      </c>
      <c r="W1622" s="10"/>
      <c r="X1622" s="10"/>
      <c r="Y1622" s="10"/>
      <c r="Z1622" s="10"/>
      <c r="AA1622" s="10"/>
      <c r="AB1622" s="10"/>
      <c r="AC1622" s="9"/>
      <c r="AD1622" s="523" t="e">
        <v>#N/A</v>
      </c>
      <c r="AE1622" s="523" t="e">
        <v>#N/A</v>
      </c>
      <c r="AF1622" s="523" t="e">
        <v>#N/A</v>
      </c>
      <c r="AG1622" s="524" t="e">
        <v>#N/A</v>
      </c>
      <c r="AH1622" s="9"/>
      <c r="AI1622" s="10"/>
      <c r="AJ1622" s="9">
        <f t="shared" si="152"/>
        <v>0</v>
      </c>
      <c r="AK1622" s="10"/>
      <c r="AL1622" s="10"/>
    </row>
    <row r="1623" spans="1:38" ht="45" hidden="1">
      <c r="A1623" s="1">
        <f t="shared" ref="A1623:A1686" si="154">IF(E1623=B1623,0,1)</f>
        <v>0</v>
      </c>
      <c r="B1623" s="2" t="s">
        <v>4375</v>
      </c>
      <c r="C1623" s="3" t="s">
        <v>4376</v>
      </c>
      <c r="D1623" s="15" t="s">
        <v>11801</v>
      </c>
      <c r="E1623" s="4" t="s">
        <v>4375</v>
      </c>
      <c r="F1623" s="37" t="s">
        <v>4376</v>
      </c>
      <c r="G1623" s="38">
        <v>0</v>
      </c>
      <c r="H1623" s="38">
        <v>0</v>
      </c>
      <c r="I1623" s="15"/>
      <c r="J1623" s="494">
        <v>20411031410</v>
      </c>
      <c r="L1623" s="523" t="s">
        <v>3755</v>
      </c>
      <c r="M1623" s="523" t="s">
        <v>607</v>
      </c>
      <c r="N1623" s="518" t="s">
        <v>3756</v>
      </c>
      <c r="O1623" s="523">
        <v>2</v>
      </c>
      <c r="P1623" s="523" t="s">
        <v>693</v>
      </c>
      <c r="Q1623" s="523" t="s">
        <v>1229</v>
      </c>
      <c r="R1623" s="523" t="s">
        <v>671</v>
      </c>
      <c r="S1623" s="523" t="s">
        <v>1253</v>
      </c>
      <c r="T1623" s="518" t="s">
        <v>4362</v>
      </c>
      <c r="U1623" s="38">
        <v>0</v>
      </c>
      <c r="V1623" s="15" t="str">
        <f t="shared" si="153"/>
        <v/>
      </c>
      <c r="W1623" s="10"/>
      <c r="X1623" s="10"/>
      <c r="Y1623" s="10"/>
      <c r="Z1623" s="10"/>
      <c r="AA1623" s="10"/>
      <c r="AB1623" s="10"/>
      <c r="AC1623" s="9"/>
      <c r="AD1623" s="523" t="e">
        <v>#N/A</v>
      </c>
      <c r="AE1623" s="523" t="e">
        <v>#N/A</v>
      </c>
      <c r="AF1623" s="523" t="e">
        <v>#N/A</v>
      </c>
      <c r="AG1623" s="524" t="e">
        <v>#N/A</v>
      </c>
      <c r="AH1623" s="9"/>
      <c r="AI1623" s="10"/>
      <c r="AJ1623" s="9">
        <f t="shared" si="152"/>
        <v>0</v>
      </c>
      <c r="AK1623" s="10"/>
      <c r="AL1623" s="10"/>
    </row>
    <row r="1624" spans="1:38" ht="45" hidden="1">
      <c r="A1624" s="1">
        <f t="shared" si="154"/>
        <v>0</v>
      </c>
      <c r="B1624" s="2" t="s">
        <v>4377</v>
      </c>
      <c r="C1624" s="3" t="s">
        <v>4378</v>
      </c>
      <c r="D1624" s="15" t="s">
        <v>11801</v>
      </c>
      <c r="E1624" s="4" t="s">
        <v>4377</v>
      </c>
      <c r="F1624" s="37" t="s">
        <v>4378</v>
      </c>
      <c r="G1624" s="38">
        <v>0</v>
      </c>
      <c r="H1624" s="38">
        <v>0</v>
      </c>
      <c r="I1624" s="15"/>
      <c r="J1624" s="494">
        <v>20411031411</v>
      </c>
      <c r="L1624" s="523" t="s">
        <v>3755</v>
      </c>
      <c r="M1624" s="523" t="s">
        <v>607</v>
      </c>
      <c r="N1624" s="518" t="s">
        <v>3756</v>
      </c>
      <c r="O1624" s="523">
        <v>2</v>
      </c>
      <c r="P1624" s="523" t="s">
        <v>693</v>
      </c>
      <c r="Q1624" s="523" t="s">
        <v>1229</v>
      </c>
      <c r="R1624" s="523" t="s">
        <v>671</v>
      </c>
      <c r="S1624" s="523" t="s">
        <v>1253</v>
      </c>
      <c r="T1624" s="518" t="s">
        <v>4362</v>
      </c>
      <c r="U1624" s="38">
        <v>0</v>
      </c>
      <c r="V1624" s="15" t="str">
        <f t="shared" si="153"/>
        <v/>
      </c>
      <c r="W1624" s="10"/>
      <c r="X1624" s="10"/>
      <c r="Y1624" s="10"/>
      <c r="Z1624" s="10"/>
      <c r="AA1624" s="10"/>
      <c r="AB1624" s="10"/>
      <c r="AC1624" s="9"/>
      <c r="AD1624" s="523" t="e">
        <v>#N/A</v>
      </c>
      <c r="AE1624" s="523" t="e">
        <v>#N/A</v>
      </c>
      <c r="AF1624" s="523" t="e">
        <v>#N/A</v>
      </c>
      <c r="AG1624" s="524" t="e">
        <v>#N/A</v>
      </c>
      <c r="AH1624" s="9"/>
      <c r="AI1624" s="10"/>
      <c r="AJ1624" s="9">
        <f t="shared" si="152"/>
        <v>0</v>
      </c>
      <c r="AK1624" s="10"/>
      <c r="AL1624" s="10"/>
    </row>
    <row r="1625" spans="1:38" ht="45" hidden="1">
      <c r="A1625" s="1">
        <f t="shared" si="154"/>
        <v>0</v>
      </c>
      <c r="B1625" s="2" t="s">
        <v>4379</v>
      </c>
      <c r="C1625" s="3" t="s">
        <v>4380</v>
      </c>
      <c r="D1625" s="15" t="s">
        <v>11801</v>
      </c>
      <c r="E1625" s="4" t="s">
        <v>4379</v>
      </c>
      <c r="F1625" s="37" t="s">
        <v>4380</v>
      </c>
      <c r="G1625" s="38">
        <v>0</v>
      </c>
      <c r="H1625" s="38">
        <v>0</v>
      </c>
      <c r="I1625" s="15"/>
      <c r="J1625" s="494">
        <v>20411031412</v>
      </c>
      <c r="L1625" s="523" t="s">
        <v>3755</v>
      </c>
      <c r="M1625" s="523" t="s">
        <v>607</v>
      </c>
      <c r="N1625" s="518" t="s">
        <v>3756</v>
      </c>
      <c r="O1625" s="523">
        <v>2</v>
      </c>
      <c r="P1625" s="523" t="s">
        <v>693</v>
      </c>
      <c r="Q1625" s="523" t="s">
        <v>1229</v>
      </c>
      <c r="R1625" s="523" t="s">
        <v>671</v>
      </c>
      <c r="S1625" s="523" t="s">
        <v>1253</v>
      </c>
      <c r="T1625" s="518" t="s">
        <v>4362</v>
      </c>
      <c r="U1625" s="38">
        <v>0</v>
      </c>
      <c r="V1625" s="15" t="str">
        <f t="shared" si="153"/>
        <v/>
      </c>
      <c r="W1625" s="10"/>
      <c r="X1625" s="10"/>
      <c r="Y1625" s="10"/>
      <c r="Z1625" s="10"/>
      <c r="AA1625" s="10"/>
      <c r="AB1625" s="10"/>
      <c r="AC1625" s="9"/>
      <c r="AD1625" s="523" t="e">
        <v>#N/A</v>
      </c>
      <c r="AE1625" s="523" t="e">
        <v>#N/A</v>
      </c>
      <c r="AF1625" s="523" t="e">
        <v>#N/A</v>
      </c>
      <c r="AG1625" s="524" t="e">
        <v>#N/A</v>
      </c>
      <c r="AH1625" s="9"/>
      <c r="AI1625" s="10"/>
      <c r="AJ1625" s="9">
        <f t="shared" si="152"/>
        <v>0</v>
      </c>
      <c r="AK1625" s="10"/>
      <c r="AL1625" s="10"/>
    </row>
    <row r="1626" spans="1:38" ht="45" hidden="1">
      <c r="A1626" s="1">
        <f t="shared" si="154"/>
        <v>0</v>
      </c>
      <c r="B1626" s="2" t="s">
        <v>4381</v>
      </c>
      <c r="C1626" s="3" t="s">
        <v>4382</v>
      </c>
      <c r="D1626" s="15" t="s">
        <v>11801</v>
      </c>
      <c r="E1626" s="4" t="s">
        <v>4381</v>
      </c>
      <c r="F1626" s="37" t="s">
        <v>4382</v>
      </c>
      <c r="G1626" s="38">
        <v>0</v>
      </c>
      <c r="H1626" s="38">
        <v>0</v>
      </c>
      <c r="I1626" s="15"/>
      <c r="J1626" s="494">
        <v>20411031413</v>
      </c>
      <c r="L1626" s="523" t="s">
        <v>3755</v>
      </c>
      <c r="M1626" s="523" t="s">
        <v>607</v>
      </c>
      <c r="N1626" s="518" t="s">
        <v>3756</v>
      </c>
      <c r="O1626" s="523">
        <v>2</v>
      </c>
      <c r="P1626" s="523" t="s">
        <v>693</v>
      </c>
      <c r="Q1626" s="523" t="s">
        <v>1229</v>
      </c>
      <c r="R1626" s="523" t="s">
        <v>671</v>
      </c>
      <c r="S1626" s="523" t="s">
        <v>1253</v>
      </c>
      <c r="T1626" s="518" t="s">
        <v>4362</v>
      </c>
      <c r="U1626" s="38">
        <v>0</v>
      </c>
      <c r="V1626" s="15" t="str">
        <f t="shared" si="153"/>
        <v/>
      </c>
      <c r="W1626" s="10"/>
      <c r="X1626" s="10"/>
      <c r="Y1626" s="10"/>
      <c r="Z1626" s="10"/>
      <c r="AA1626" s="10"/>
      <c r="AB1626" s="10"/>
      <c r="AC1626" s="9"/>
      <c r="AD1626" s="523" t="e">
        <v>#N/A</v>
      </c>
      <c r="AE1626" s="523" t="e">
        <v>#N/A</v>
      </c>
      <c r="AF1626" s="523" t="e">
        <v>#N/A</v>
      </c>
      <c r="AG1626" s="524" t="e">
        <v>#N/A</v>
      </c>
      <c r="AH1626" s="9"/>
      <c r="AI1626" s="10"/>
      <c r="AJ1626" s="9">
        <f t="shared" si="152"/>
        <v>0</v>
      </c>
      <c r="AK1626" s="10"/>
      <c r="AL1626" s="10"/>
    </row>
    <row r="1627" spans="1:38" ht="45" hidden="1">
      <c r="A1627" s="1">
        <f t="shared" si="154"/>
        <v>0</v>
      </c>
      <c r="B1627" s="2" t="s">
        <v>4383</v>
      </c>
      <c r="C1627" s="3" t="s">
        <v>4384</v>
      </c>
      <c r="D1627" s="15" t="s">
        <v>11801</v>
      </c>
      <c r="E1627" s="4" t="s">
        <v>4383</v>
      </c>
      <c r="F1627" s="37" t="s">
        <v>4384</v>
      </c>
      <c r="G1627" s="38">
        <v>0</v>
      </c>
      <c r="H1627" s="38">
        <v>0</v>
      </c>
      <c r="I1627" s="15"/>
      <c r="J1627" s="494">
        <v>20411031414</v>
      </c>
      <c r="L1627" s="523" t="s">
        <v>3755</v>
      </c>
      <c r="M1627" s="523" t="s">
        <v>607</v>
      </c>
      <c r="N1627" s="518" t="s">
        <v>3756</v>
      </c>
      <c r="O1627" s="523">
        <v>2</v>
      </c>
      <c r="P1627" s="523" t="s">
        <v>693</v>
      </c>
      <c r="Q1627" s="523" t="s">
        <v>1229</v>
      </c>
      <c r="R1627" s="523" t="s">
        <v>671</v>
      </c>
      <c r="S1627" s="523" t="s">
        <v>1253</v>
      </c>
      <c r="T1627" s="518" t="s">
        <v>4362</v>
      </c>
      <c r="U1627" s="38">
        <v>0</v>
      </c>
      <c r="V1627" s="15" t="str">
        <f t="shared" si="153"/>
        <v/>
      </c>
      <c r="W1627" s="10"/>
      <c r="X1627" s="10"/>
      <c r="Y1627" s="10"/>
      <c r="Z1627" s="10"/>
      <c r="AA1627" s="10"/>
      <c r="AB1627" s="10"/>
      <c r="AC1627" s="9"/>
      <c r="AD1627" s="523" t="e">
        <v>#N/A</v>
      </c>
      <c r="AE1627" s="523" t="e">
        <v>#N/A</v>
      </c>
      <c r="AF1627" s="523" t="e">
        <v>#N/A</v>
      </c>
      <c r="AG1627" s="524" t="e">
        <v>#N/A</v>
      </c>
      <c r="AH1627" s="9"/>
      <c r="AI1627" s="10"/>
      <c r="AJ1627" s="9">
        <f t="shared" si="152"/>
        <v>0</v>
      </c>
      <c r="AK1627" s="10"/>
      <c r="AL1627" s="10"/>
    </row>
    <row r="1628" spans="1:38" ht="45" hidden="1">
      <c r="A1628" s="1">
        <f t="shared" si="154"/>
        <v>0</v>
      </c>
      <c r="B1628" s="2" t="s">
        <v>4385</v>
      </c>
      <c r="C1628" s="3" t="s">
        <v>4386</v>
      </c>
      <c r="D1628" s="15" t="s">
        <v>11801</v>
      </c>
      <c r="E1628" s="4" t="s">
        <v>4385</v>
      </c>
      <c r="F1628" s="37" t="s">
        <v>4386</v>
      </c>
      <c r="G1628" s="38">
        <v>0</v>
      </c>
      <c r="H1628" s="38">
        <v>0</v>
      </c>
      <c r="I1628" s="15"/>
      <c r="J1628" s="494">
        <v>20411031415</v>
      </c>
      <c r="L1628" s="523" t="s">
        <v>3755</v>
      </c>
      <c r="M1628" s="523" t="s">
        <v>607</v>
      </c>
      <c r="N1628" s="518" t="s">
        <v>3756</v>
      </c>
      <c r="O1628" s="523">
        <v>2</v>
      </c>
      <c r="P1628" s="523" t="s">
        <v>693</v>
      </c>
      <c r="Q1628" s="523" t="s">
        <v>1229</v>
      </c>
      <c r="R1628" s="523" t="s">
        <v>671</v>
      </c>
      <c r="S1628" s="523" t="s">
        <v>1253</v>
      </c>
      <c r="T1628" s="518" t="s">
        <v>4362</v>
      </c>
      <c r="U1628" s="38">
        <v>0</v>
      </c>
      <c r="V1628" s="15" t="str">
        <f t="shared" si="153"/>
        <v/>
      </c>
      <c r="W1628" s="10"/>
      <c r="X1628" s="10"/>
      <c r="Y1628" s="10"/>
      <c r="Z1628" s="10"/>
      <c r="AA1628" s="10"/>
      <c r="AB1628" s="10"/>
      <c r="AC1628" s="9"/>
      <c r="AD1628" s="523" t="e">
        <v>#N/A</v>
      </c>
      <c r="AE1628" s="523" t="e">
        <v>#N/A</v>
      </c>
      <c r="AF1628" s="523" t="e">
        <v>#N/A</v>
      </c>
      <c r="AG1628" s="524" t="e">
        <v>#N/A</v>
      </c>
      <c r="AH1628" s="9"/>
      <c r="AI1628" s="10"/>
      <c r="AJ1628" s="9">
        <f t="shared" si="152"/>
        <v>0</v>
      </c>
      <c r="AK1628" s="10"/>
      <c r="AL1628" s="10"/>
    </row>
    <row r="1629" spans="1:38" ht="45" hidden="1">
      <c r="A1629" s="1">
        <f t="shared" si="154"/>
        <v>0</v>
      </c>
      <c r="B1629" s="2" t="s">
        <v>4387</v>
      </c>
      <c r="C1629" s="3" t="s">
        <v>4388</v>
      </c>
      <c r="D1629" s="15" t="s">
        <v>11801</v>
      </c>
      <c r="E1629" s="4" t="s">
        <v>4387</v>
      </c>
      <c r="F1629" s="37" t="s">
        <v>4388</v>
      </c>
      <c r="G1629" s="38">
        <v>0</v>
      </c>
      <c r="H1629" s="38">
        <v>0</v>
      </c>
      <c r="I1629" s="15"/>
      <c r="J1629" s="494">
        <v>20411031416</v>
      </c>
      <c r="L1629" s="523" t="s">
        <v>3755</v>
      </c>
      <c r="M1629" s="523" t="s">
        <v>607</v>
      </c>
      <c r="N1629" s="518" t="s">
        <v>3756</v>
      </c>
      <c r="O1629" s="523">
        <v>2</v>
      </c>
      <c r="P1629" s="523" t="s">
        <v>693</v>
      </c>
      <c r="Q1629" s="523" t="s">
        <v>1229</v>
      </c>
      <c r="R1629" s="523" t="s">
        <v>671</v>
      </c>
      <c r="S1629" s="523" t="s">
        <v>1253</v>
      </c>
      <c r="T1629" s="518" t="s">
        <v>4362</v>
      </c>
      <c r="U1629" s="38">
        <v>0</v>
      </c>
      <c r="V1629" s="15" t="str">
        <f t="shared" si="153"/>
        <v/>
      </c>
      <c r="W1629" s="10"/>
      <c r="X1629" s="10"/>
      <c r="Y1629" s="10"/>
      <c r="Z1629" s="10"/>
      <c r="AA1629" s="10"/>
      <c r="AB1629" s="10"/>
      <c r="AC1629" s="9"/>
      <c r="AD1629" s="523" t="e">
        <v>#N/A</v>
      </c>
      <c r="AE1629" s="523" t="e">
        <v>#N/A</v>
      </c>
      <c r="AF1629" s="523" t="e">
        <v>#N/A</v>
      </c>
      <c r="AG1629" s="524" t="e">
        <v>#N/A</v>
      </c>
      <c r="AH1629" s="9"/>
      <c r="AI1629" s="10"/>
      <c r="AJ1629" s="9">
        <f t="shared" si="152"/>
        <v>0</v>
      </c>
      <c r="AK1629" s="10"/>
      <c r="AL1629" s="10"/>
    </row>
    <row r="1630" spans="1:38" ht="45" hidden="1">
      <c r="A1630" s="1">
        <f t="shared" si="154"/>
        <v>0</v>
      </c>
      <c r="B1630" s="2" t="s">
        <v>4389</v>
      </c>
      <c r="C1630" s="3" t="s">
        <v>4390</v>
      </c>
      <c r="D1630" s="15" t="s">
        <v>11801</v>
      </c>
      <c r="E1630" s="4" t="s">
        <v>4389</v>
      </c>
      <c r="F1630" s="37" t="s">
        <v>4390</v>
      </c>
      <c r="G1630" s="38">
        <v>0</v>
      </c>
      <c r="H1630" s="38">
        <v>0</v>
      </c>
      <c r="I1630" s="15"/>
      <c r="J1630" s="494">
        <v>20411031417</v>
      </c>
      <c r="L1630" s="523" t="s">
        <v>3755</v>
      </c>
      <c r="M1630" s="523" t="s">
        <v>607</v>
      </c>
      <c r="N1630" s="518" t="s">
        <v>3756</v>
      </c>
      <c r="O1630" s="523">
        <v>2</v>
      </c>
      <c r="P1630" s="523" t="s">
        <v>693</v>
      </c>
      <c r="Q1630" s="523" t="s">
        <v>1229</v>
      </c>
      <c r="R1630" s="523" t="s">
        <v>671</v>
      </c>
      <c r="S1630" s="523" t="s">
        <v>1253</v>
      </c>
      <c r="T1630" s="518" t="s">
        <v>4362</v>
      </c>
      <c r="U1630" s="38">
        <v>0</v>
      </c>
      <c r="V1630" s="15" t="str">
        <f t="shared" si="153"/>
        <v/>
      </c>
      <c r="W1630" s="10"/>
      <c r="X1630" s="10"/>
      <c r="Y1630" s="10"/>
      <c r="Z1630" s="10"/>
      <c r="AA1630" s="10"/>
      <c r="AB1630" s="10"/>
      <c r="AC1630" s="9"/>
      <c r="AD1630" s="523" t="e">
        <v>#N/A</v>
      </c>
      <c r="AE1630" s="523" t="e">
        <v>#N/A</v>
      </c>
      <c r="AF1630" s="523" t="e">
        <v>#N/A</v>
      </c>
      <c r="AG1630" s="524" t="e">
        <v>#N/A</v>
      </c>
      <c r="AH1630" s="9"/>
      <c r="AI1630" s="10"/>
      <c r="AJ1630" s="9">
        <f t="shared" si="152"/>
        <v>0</v>
      </c>
      <c r="AK1630" s="10"/>
      <c r="AL1630" s="10"/>
    </row>
    <row r="1631" spans="1:38" ht="45" hidden="1">
      <c r="A1631" s="1">
        <f t="shared" si="154"/>
        <v>0</v>
      </c>
      <c r="B1631" s="2" t="s">
        <v>4391</v>
      </c>
      <c r="C1631" s="3" t="s">
        <v>4392</v>
      </c>
      <c r="D1631" s="15" t="s">
        <v>11801</v>
      </c>
      <c r="E1631" s="4" t="s">
        <v>4391</v>
      </c>
      <c r="F1631" s="37" t="s">
        <v>4392</v>
      </c>
      <c r="G1631" s="38">
        <v>0</v>
      </c>
      <c r="H1631" s="38">
        <v>0</v>
      </c>
      <c r="I1631" s="15"/>
      <c r="J1631" s="494">
        <v>20411031418</v>
      </c>
      <c r="L1631" s="523" t="s">
        <v>3755</v>
      </c>
      <c r="M1631" s="523" t="s">
        <v>607</v>
      </c>
      <c r="N1631" s="518" t="s">
        <v>3756</v>
      </c>
      <c r="O1631" s="523">
        <v>2</v>
      </c>
      <c r="P1631" s="523" t="s">
        <v>693</v>
      </c>
      <c r="Q1631" s="523" t="s">
        <v>1229</v>
      </c>
      <c r="R1631" s="523" t="s">
        <v>671</v>
      </c>
      <c r="S1631" s="523" t="s">
        <v>1253</v>
      </c>
      <c r="T1631" s="518" t="s">
        <v>4362</v>
      </c>
      <c r="U1631" s="38">
        <v>0</v>
      </c>
      <c r="V1631" s="15" t="str">
        <f t="shared" si="153"/>
        <v/>
      </c>
      <c r="W1631" s="10"/>
      <c r="X1631" s="10"/>
      <c r="Y1631" s="10"/>
      <c r="Z1631" s="10"/>
      <c r="AA1631" s="10"/>
      <c r="AB1631" s="10"/>
      <c r="AC1631" s="9"/>
      <c r="AD1631" s="523" t="e">
        <v>#N/A</v>
      </c>
      <c r="AE1631" s="523" t="e">
        <v>#N/A</v>
      </c>
      <c r="AF1631" s="523" t="e">
        <v>#N/A</v>
      </c>
      <c r="AG1631" s="524" t="e">
        <v>#N/A</v>
      </c>
      <c r="AH1631" s="9"/>
      <c r="AI1631" s="10"/>
      <c r="AJ1631" s="9">
        <f t="shared" si="152"/>
        <v>0</v>
      </c>
      <c r="AK1631" s="10"/>
      <c r="AL1631" s="10"/>
    </row>
    <row r="1632" spans="1:38" ht="45" hidden="1">
      <c r="A1632" s="1">
        <f t="shared" si="154"/>
        <v>0</v>
      </c>
      <c r="B1632" s="2" t="s">
        <v>4393</v>
      </c>
      <c r="C1632" s="3" t="s">
        <v>4394</v>
      </c>
      <c r="D1632" s="15" t="s">
        <v>11801</v>
      </c>
      <c r="E1632" s="4" t="s">
        <v>4393</v>
      </c>
      <c r="F1632" s="37" t="s">
        <v>4394</v>
      </c>
      <c r="G1632" s="38">
        <v>0</v>
      </c>
      <c r="H1632" s="38">
        <v>0</v>
      </c>
      <c r="I1632" s="15"/>
      <c r="J1632" s="494">
        <v>20411031419</v>
      </c>
      <c r="L1632" s="523" t="s">
        <v>3755</v>
      </c>
      <c r="M1632" s="523" t="s">
        <v>607</v>
      </c>
      <c r="N1632" s="518" t="s">
        <v>3756</v>
      </c>
      <c r="O1632" s="523">
        <v>2</v>
      </c>
      <c r="P1632" s="523" t="s">
        <v>693</v>
      </c>
      <c r="Q1632" s="523" t="s">
        <v>1229</v>
      </c>
      <c r="R1632" s="523" t="s">
        <v>671</v>
      </c>
      <c r="S1632" s="523" t="s">
        <v>1253</v>
      </c>
      <c r="T1632" s="518" t="s">
        <v>4362</v>
      </c>
      <c r="U1632" s="38">
        <v>0</v>
      </c>
      <c r="V1632" s="15" t="str">
        <f t="shared" si="153"/>
        <v/>
      </c>
      <c r="W1632" s="10"/>
      <c r="X1632" s="10"/>
      <c r="Y1632" s="10"/>
      <c r="Z1632" s="10"/>
      <c r="AA1632" s="10"/>
      <c r="AB1632" s="10"/>
      <c r="AC1632" s="9"/>
      <c r="AD1632" s="523" t="e">
        <v>#N/A</v>
      </c>
      <c r="AE1632" s="523" t="e">
        <v>#N/A</v>
      </c>
      <c r="AF1632" s="523" t="e">
        <v>#N/A</v>
      </c>
      <c r="AG1632" s="524" t="e">
        <v>#N/A</v>
      </c>
      <c r="AH1632" s="9"/>
      <c r="AI1632" s="10"/>
      <c r="AJ1632" s="9">
        <f t="shared" si="152"/>
        <v>0</v>
      </c>
      <c r="AK1632" s="10"/>
      <c r="AL1632" s="10"/>
    </row>
    <row r="1633" spans="1:38" ht="45" hidden="1">
      <c r="A1633" s="1">
        <f t="shared" si="154"/>
        <v>0</v>
      </c>
      <c r="B1633" s="2" t="s">
        <v>4395</v>
      </c>
      <c r="C1633" s="3" t="s">
        <v>4396</v>
      </c>
      <c r="D1633" s="15" t="s">
        <v>11801</v>
      </c>
      <c r="E1633" s="4" t="s">
        <v>4395</v>
      </c>
      <c r="F1633" s="37" t="s">
        <v>4396</v>
      </c>
      <c r="G1633" s="38">
        <v>0</v>
      </c>
      <c r="H1633" s="38">
        <v>0</v>
      </c>
      <c r="I1633" s="15"/>
      <c r="J1633" s="494">
        <v>20411031420</v>
      </c>
      <c r="L1633" s="523" t="s">
        <v>3755</v>
      </c>
      <c r="M1633" s="523" t="s">
        <v>607</v>
      </c>
      <c r="N1633" s="518" t="s">
        <v>3756</v>
      </c>
      <c r="O1633" s="523">
        <v>2</v>
      </c>
      <c r="P1633" s="523" t="s">
        <v>693</v>
      </c>
      <c r="Q1633" s="523" t="s">
        <v>1229</v>
      </c>
      <c r="R1633" s="523" t="s">
        <v>671</v>
      </c>
      <c r="S1633" s="523" t="s">
        <v>1253</v>
      </c>
      <c r="T1633" s="518" t="s">
        <v>4362</v>
      </c>
      <c r="U1633" s="38">
        <v>0</v>
      </c>
      <c r="V1633" s="15" t="str">
        <f t="shared" si="153"/>
        <v/>
      </c>
      <c r="W1633" s="10"/>
      <c r="X1633" s="10"/>
      <c r="Y1633" s="10"/>
      <c r="Z1633" s="10"/>
      <c r="AA1633" s="10"/>
      <c r="AB1633" s="10"/>
      <c r="AC1633" s="9"/>
      <c r="AD1633" s="523" t="e">
        <v>#N/A</v>
      </c>
      <c r="AE1633" s="523" t="e">
        <v>#N/A</v>
      </c>
      <c r="AF1633" s="523" t="e">
        <v>#N/A</v>
      </c>
      <c r="AG1633" s="524" t="e">
        <v>#N/A</v>
      </c>
      <c r="AH1633" s="9"/>
      <c r="AI1633" s="10"/>
      <c r="AJ1633" s="9">
        <f t="shared" si="152"/>
        <v>0</v>
      </c>
      <c r="AK1633" s="10"/>
      <c r="AL1633" s="10"/>
    </row>
    <row r="1634" spans="1:38" ht="45" hidden="1">
      <c r="A1634" s="1">
        <f t="shared" si="154"/>
        <v>0</v>
      </c>
      <c r="B1634" s="2" t="s">
        <v>4397</v>
      </c>
      <c r="C1634" s="3" t="s">
        <v>4398</v>
      </c>
      <c r="D1634" s="15" t="s">
        <v>11802</v>
      </c>
      <c r="E1634" s="4" t="s">
        <v>4397</v>
      </c>
      <c r="F1634" s="37" t="s">
        <v>4398</v>
      </c>
      <c r="G1634" s="38">
        <v>0</v>
      </c>
      <c r="H1634" s="38">
        <v>0</v>
      </c>
      <c r="I1634" s="15"/>
      <c r="J1634" s="494">
        <v>20411031501</v>
      </c>
      <c r="K1634" s="517"/>
      <c r="L1634" s="517" t="s">
        <v>3755</v>
      </c>
      <c r="M1634" s="517" t="s">
        <v>607</v>
      </c>
      <c r="N1634" s="518" t="s">
        <v>3756</v>
      </c>
      <c r="O1634" s="517">
        <v>2</v>
      </c>
      <c r="P1634" s="517" t="s">
        <v>693</v>
      </c>
      <c r="Q1634" s="517" t="s">
        <v>1229</v>
      </c>
      <c r="R1634" s="517" t="s">
        <v>671</v>
      </c>
      <c r="S1634" s="517" t="s">
        <v>1257</v>
      </c>
      <c r="T1634" s="518" t="s">
        <v>4399</v>
      </c>
      <c r="U1634" s="38">
        <v>0</v>
      </c>
      <c r="V1634" s="15" t="str">
        <f t="shared" si="153"/>
        <v>204110315</v>
      </c>
      <c r="W1634" s="39">
        <v>2</v>
      </c>
      <c r="X1634" s="50" t="s">
        <v>693</v>
      </c>
      <c r="Y1634" s="50" t="s">
        <v>1229</v>
      </c>
      <c r="Z1634" s="50" t="s">
        <v>671</v>
      </c>
      <c r="AA1634" s="40" t="s">
        <v>1257</v>
      </c>
      <c r="AB1634" s="42" t="s">
        <v>4399</v>
      </c>
      <c r="AC1634" s="519">
        <f>SUM(H1634:H1653)</f>
        <v>0</v>
      </c>
      <c r="AD1634" s="517">
        <v>0</v>
      </c>
      <c r="AE1634" s="517" t="s">
        <v>3755</v>
      </c>
      <c r="AF1634" s="517" t="s">
        <v>607</v>
      </c>
      <c r="AG1634" s="518" t="s">
        <v>3756</v>
      </c>
      <c r="AH1634" s="67">
        <f>AC1634</f>
        <v>0</v>
      </c>
      <c r="AI1634" s="10"/>
      <c r="AJ1634" s="9">
        <f t="shared" si="152"/>
        <v>0</v>
      </c>
      <c r="AK1634" s="10"/>
      <c r="AL1634" s="10"/>
    </row>
    <row r="1635" spans="1:38" ht="45" hidden="1">
      <c r="A1635" s="1">
        <f t="shared" si="154"/>
        <v>0</v>
      </c>
      <c r="B1635" s="2" t="s">
        <v>4400</v>
      </c>
      <c r="C1635" s="3" t="s">
        <v>4401</v>
      </c>
      <c r="D1635" s="15" t="s">
        <v>11802</v>
      </c>
      <c r="E1635" s="4" t="s">
        <v>4400</v>
      </c>
      <c r="F1635" s="37" t="s">
        <v>4401</v>
      </c>
      <c r="G1635" s="38">
        <v>0</v>
      </c>
      <c r="H1635" s="38">
        <v>0</v>
      </c>
      <c r="I1635" s="15"/>
      <c r="J1635" s="494">
        <v>20411031502</v>
      </c>
      <c r="L1635" s="523" t="s">
        <v>3755</v>
      </c>
      <c r="M1635" s="523" t="s">
        <v>607</v>
      </c>
      <c r="N1635" s="518" t="s">
        <v>3756</v>
      </c>
      <c r="O1635" s="523">
        <v>2</v>
      </c>
      <c r="P1635" s="523" t="s">
        <v>693</v>
      </c>
      <c r="Q1635" s="523" t="s">
        <v>1229</v>
      </c>
      <c r="R1635" s="523" t="s">
        <v>671</v>
      </c>
      <c r="S1635" s="523" t="s">
        <v>1257</v>
      </c>
      <c r="T1635" s="518" t="s">
        <v>4399</v>
      </c>
      <c r="U1635" s="38">
        <v>0</v>
      </c>
      <c r="V1635" s="15" t="str">
        <f t="shared" si="153"/>
        <v/>
      </c>
      <c r="W1635" s="10"/>
      <c r="X1635" s="10"/>
      <c r="Y1635" s="10"/>
      <c r="Z1635" s="10"/>
      <c r="AA1635" s="10"/>
      <c r="AB1635" s="10"/>
      <c r="AC1635" s="9"/>
      <c r="AD1635" s="523" t="e">
        <v>#N/A</v>
      </c>
      <c r="AE1635" s="523" t="e">
        <v>#N/A</v>
      </c>
      <c r="AF1635" s="523" t="e">
        <v>#N/A</v>
      </c>
      <c r="AG1635" s="524" t="e">
        <v>#N/A</v>
      </c>
      <c r="AH1635" s="9"/>
      <c r="AI1635" s="10"/>
      <c r="AJ1635" s="9">
        <f t="shared" si="152"/>
        <v>0</v>
      </c>
      <c r="AK1635" s="10"/>
      <c r="AL1635" s="10"/>
    </row>
    <row r="1636" spans="1:38" ht="33.75" hidden="1">
      <c r="A1636" s="1">
        <f t="shared" si="154"/>
        <v>0</v>
      </c>
      <c r="B1636" s="2" t="s">
        <v>4402</v>
      </c>
      <c r="C1636" s="3" t="s">
        <v>4403</v>
      </c>
      <c r="D1636" s="15" t="s">
        <v>11802</v>
      </c>
      <c r="E1636" s="4" t="s">
        <v>4402</v>
      </c>
      <c r="F1636" s="37" t="s">
        <v>4403</v>
      </c>
      <c r="G1636" s="38">
        <v>0</v>
      </c>
      <c r="H1636" s="38">
        <v>0</v>
      </c>
      <c r="I1636" s="15"/>
      <c r="J1636" s="494">
        <v>20411031503</v>
      </c>
      <c r="L1636" s="523" t="s">
        <v>3755</v>
      </c>
      <c r="M1636" s="523" t="s">
        <v>607</v>
      </c>
      <c r="N1636" s="518" t="s">
        <v>3756</v>
      </c>
      <c r="O1636" s="523">
        <v>2</v>
      </c>
      <c r="P1636" s="523" t="s">
        <v>693</v>
      </c>
      <c r="Q1636" s="523" t="s">
        <v>1229</v>
      </c>
      <c r="R1636" s="523" t="s">
        <v>671</v>
      </c>
      <c r="S1636" s="523" t="s">
        <v>1257</v>
      </c>
      <c r="T1636" s="518" t="s">
        <v>4399</v>
      </c>
      <c r="U1636" s="38">
        <v>0</v>
      </c>
      <c r="V1636" s="15" t="str">
        <f t="shared" si="153"/>
        <v/>
      </c>
      <c r="W1636" s="10"/>
      <c r="X1636" s="10"/>
      <c r="Y1636" s="10"/>
      <c r="Z1636" s="10"/>
      <c r="AA1636" s="10"/>
      <c r="AB1636" s="10"/>
      <c r="AC1636" s="9"/>
      <c r="AD1636" s="523" t="e">
        <v>#N/A</v>
      </c>
      <c r="AE1636" s="523" t="e">
        <v>#N/A</v>
      </c>
      <c r="AF1636" s="523" t="e">
        <v>#N/A</v>
      </c>
      <c r="AG1636" s="524" t="e">
        <v>#N/A</v>
      </c>
      <c r="AH1636" s="9"/>
      <c r="AI1636" s="10"/>
      <c r="AJ1636" s="9">
        <f t="shared" si="152"/>
        <v>0</v>
      </c>
      <c r="AK1636" s="10"/>
      <c r="AL1636" s="10"/>
    </row>
    <row r="1637" spans="1:38" ht="45" hidden="1">
      <c r="A1637" s="1">
        <f t="shared" si="154"/>
        <v>0</v>
      </c>
      <c r="B1637" s="2" t="s">
        <v>4404</v>
      </c>
      <c r="C1637" s="3" t="s">
        <v>4405</v>
      </c>
      <c r="D1637" s="15" t="s">
        <v>11802</v>
      </c>
      <c r="E1637" s="4" t="s">
        <v>4404</v>
      </c>
      <c r="F1637" s="37" t="s">
        <v>4405</v>
      </c>
      <c r="G1637" s="38">
        <v>0</v>
      </c>
      <c r="H1637" s="38">
        <v>0</v>
      </c>
      <c r="I1637" s="15"/>
      <c r="J1637" s="494">
        <v>20411031504</v>
      </c>
      <c r="L1637" s="523" t="s">
        <v>3755</v>
      </c>
      <c r="M1637" s="523" t="s">
        <v>607</v>
      </c>
      <c r="N1637" s="518" t="s">
        <v>3756</v>
      </c>
      <c r="O1637" s="523">
        <v>2</v>
      </c>
      <c r="P1637" s="523" t="s">
        <v>693</v>
      </c>
      <c r="Q1637" s="523" t="s">
        <v>1229</v>
      </c>
      <c r="R1637" s="523" t="s">
        <v>671</v>
      </c>
      <c r="S1637" s="523" t="s">
        <v>1257</v>
      </c>
      <c r="T1637" s="518" t="s">
        <v>4399</v>
      </c>
      <c r="U1637" s="38">
        <v>0</v>
      </c>
      <c r="V1637" s="15" t="str">
        <f t="shared" si="153"/>
        <v/>
      </c>
      <c r="W1637" s="10"/>
      <c r="X1637" s="10"/>
      <c r="Y1637" s="10"/>
      <c r="Z1637" s="10"/>
      <c r="AA1637" s="10"/>
      <c r="AB1637" s="10"/>
      <c r="AC1637" s="9"/>
      <c r="AD1637" s="523" t="e">
        <v>#N/A</v>
      </c>
      <c r="AE1637" s="523" t="e">
        <v>#N/A</v>
      </c>
      <c r="AF1637" s="523" t="e">
        <v>#N/A</v>
      </c>
      <c r="AG1637" s="524" t="e">
        <v>#N/A</v>
      </c>
      <c r="AH1637" s="9"/>
      <c r="AI1637" s="10"/>
      <c r="AJ1637" s="9">
        <f t="shared" si="152"/>
        <v>0</v>
      </c>
      <c r="AK1637" s="10"/>
      <c r="AL1637" s="10"/>
    </row>
    <row r="1638" spans="1:38" ht="45" hidden="1">
      <c r="A1638" s="1">
        <f t="shared" si="154"/>
        <v>0</v>
      </c>
      <c r="B1638" s="2" t="s">
        <v>4406</v>
      </c>
      <c r="C1638" s="3" t="s">
        <v>4407</v>
      </c>
      <c r="D1638" s="15" t="s">
        <v>11802</v>
      </c>
      <c r="E1638" s="4" t="s">
        <v>4406</v>
      </c>
      <c r="F1638" s="37" t="s">
        <v>4407</v>
      </c>
      <c r="G1638" s="38">
        <v>0</v>
      </c>
      <c r="H1638" s="38">
        <v>0</v>
      </c>
      <c r="I1638" s="15"/>
      <c r="J1638" s="494">
        <v>20411031505</v>
      </c>
      <c r="L1638" s="523" t="s">
        <v>3755</v>
      </c>
      <c r="M1638" s="523" t="s">
        <v>607</v>
      </c>
      <c r="N1638" s="518" t="s">
        <v>3756</v>
      </c>
      <c r="O1638" s="523">
        <v>2</v>
      </c>
      <c r="P1638" s="523" t="s">
        <v>693</v>
      </c>
      <c r="Q1638" s="523" t="s">
        <v>1229</v>
      </c>
      <c r="R1638" s="523" t="s">
        <v>671</v>
      </c>
      <c r="S1638" s="523" t="s">
        <v>1257</v>
      </c>
      <c r="T1638" s="518" t="s">
        <v>4399</v>
      </c>
      <c r="U1638" s="38">
        <v>0</v>
      </c>
      <c r="V1638" s="15" t="str">
        <f t="shared" si="153"/>
        <v/>
      </c>
      <c r="W1638" s="10"/>
      <c r="X1638" s="10"/>
      <c r="Y1638" s="10"/>
      <c r="Z1638" s="10"/>
      <c r="AA1638" s="10"/>
      <c r="AB1638" s="10"/>
      <c r="AC1638" s="9"/>
      <c r="AD1638" s="523" t="e">
        <v>#N/A</v>
      </c>
      <c r="AE1638" s="523" t="e">
        <v>#N/A</v>
      </c>
      <c r="AF1638" s="523" t="e">
        <v>#N/A</v>
      </c>
      <c r="AG1638" s="524" t="e">
        <v>#N/A</v>
      </c>
      <c r="AH1638" s="9"/>
      <c r="AI1638" s="10"/>
      <c r="AJ1638" s="9">
        <f t="shared" si="152"/>
        <v>0</v>
      </c>
      <c r="AK1638" s="10"/>
      <c r="AL1638" s="10"/>
    </row>
    <row r="1639" spans="1:38" ht="45" hidden="1">
      <c r="A1639" s="1">
        <f t="shared" si="154"/>
        <v>0</v>
      </c>
      <c r="B1639" s="2" t="s">
        <v>4408</v>
      </c>
      <c r="C1639" s="3" t="s">
        <v>4409</v>
      </c>
      <c r="D1639" s="15" t="s">
        <v>11802</v>
      </c>
      <c r="E1639" s="4" t="s">
        <v>4408</v>
      </c>
      <c r="F1639" s="37" t="s">
        <v>4409</v>
      </c>
      <c r="G1639" s="38">
        <v>0</v>
      </c>
      <c r="H1639" s="38">
        <v>0</v>
      </c>
      <c r="I1639" s="15"/>
      <c r="J1639" s="494">
        <v>20411031506</v>
      </c>
      <c r="L1639" s="523" t="s">
        <v>3755</v>
      </c>
      <c r="M1639" s="523" t="s">
        <v>607</v>
      </c>
      <c r="N1639" s="518" t="s">
        <v>3756</v>
      </c>
      <c r="O1639" s="523">
        <v>2</v>
      </c>
      <c r="P1639" s="523" t="s">
        <v>693</v>
      </c>
      <c r="Q1639" s="523" t="s">
        <v>1229</v>
      </c>
      <c r="R1639" s="523" t="s">
        <v>671</v>
      </c>
      <c r="S1639" s="523" t="s">
        <v>1257</v>
      </c>
      <c r="T1639" s="518" t="s">
        <v>4399</v>
      </c>
      <c r="U1639" s="38">
        <v>0</v>
      </c>
      <c r="V1639" s="15" t="str">
        <f t="shared" si="153"/>
        <v/>
      </c>
      <c r="W1639" s="10"/>
      <c r="X1639" s="10"/>
      <c r="Y1639" s="10"/>
      <c r="Z1639" s="10"/>
      <c r="AA1639" s="10"/>
      <c r="AB1639" s="10"/>
      <c r="AC1639" s="9"/>
      <c r="AD1639" s="523" t="e">
        <v>#N/A</v>
      </c>
      <c r="AE1639" s="523" t="e">
        <v>#N/A</v>
      </c>
      <c r="AF1639" s="523" t="e">
        <v>#N/A</v>
      </c>
      <c r="AG1639" s="524" t="e">
        <v>#N/A</v>
      </c>
      <c r="AH1639" s="9"/>
      <c r="AI1639" s="10"/>
      <c r="AJ1639" s="9">
        <f t="shared" si="152"/>
        <v>0</v>
      </c>
      <c r="AK1639" s="10"/>
      <c r="AL1639" s="10"/>
    </row>
    <row r="1640" spans="1:38" ht="33.75" hidden="1">
      <c r="A1640" s="1">
        <f t="shared" si="154"/>
        <v>0</v>
      </c>
      <c r="B1640" s="2" t="s">
        <v>4410</v>
      </c>
      <c r="C1640" s="3" t="s">
        <v>4411</v>
      </c>
      <c r="D1640" s="15" t="s">
        <v>11802</v>
      </c>
      <c r="E1640" s="4" t="s">
        <v>4410</v>
      </c>
      <c r="F1640" s="37" t="s">
        <v>4411</v>
      </c>
      <c r="G1640" s="38">
        <v>0</v>
      </c>
      <c r="H1640" s="38">
        <v>0</v>
      </c>
      <c r="I1640" s="15"/>
      <c r="J1640" s="494">
        <v>20411031507</v>
      </c>
      <c r="L1640" s="523" t="s">
        <v>3755</v>
      </c>
      <c r="M1640" s="523" t="s">
        <v>607</v>
      </c>
      <c r="N1640" s="518" t="s">
        <v>3756</v>
      </c>
      <c r="O1640" s="523">
        <v>2</v>
      </c>
      <c r="P1640" s="523" t="s">
        <v>693</v>
      </c>
      <c r="Q1640" s="523" t="s">
        <v>1229</v>
      </c>
      <c r="R1640" s="523" t="s">
        <v>671</v>
      </c>
      <c r="S1640" s="523" t="s">
        <v>1257</v>
      </c>
      <c r="T1640" s="518" t="s">
        <v>4399</v>
      </c>
      <c r="U1640" s="38">
        <v>0</v>
      </c>
      <c r="V1640" s="15" t="str">
        <f t="shared" si="153"/>
        <v/>
      </c>
      <c r="W1640" s="10"/>
      <c r="X1640" s="10"/>
      <c r="Y1640" s="10"/>
      <c r="Z1640" s="10"/>
      <c r="AA1640" s="10"/>
      <c r="AB1640" s="10"/>
      <c r="AC1640" s="9"/>
      <c r="AD1640" s="523" t="e">
        <v>#N/A</v>
      </c>
      <c r="AE1640" s="523" t="e">
        <v>#N/A</v>
      </c>
      <c r="AF1640" s="523" t="e">
        <v>#N/A</v>
      </c>
      <c r="AG1640" s="524" t="e">
        <v>#N/A</v>
      </c>
      <c r="AH1640" s="9"/>
      <c r="AI1640" s="10"/>
      <c r="AJ1640" s="9">
        <f t="shared" si="152"/>
        <v>0</v>
      </c>
      <c r="AK1640" s="10"/>
      <c r="AL1640" s="10"/>
    </row>
    <row r="1641" spans="1:38" ht="45" hidden="1">
      <c r="A1641" s="1">
        <f t="shared" si="154"/>
        <v>0</v>
      </c>
      <c r="B1641" s="2" t="s">
        <v>4412</v>
      </c>
      <c r="C1641" s="3" t="s">
        <v>4413</v>
      </c>
      <c r="D1641" s="15" t="s">
        <v>11802</v>
      </c>
      <c r="E1641" s="4" t="s">
        <v>4412</v>
      </c>
      <c r="F1641" s="37" t="s">
        <v>4413</v>
      </c>
      <c r="G1641" s="38">
        <v>0</v>
      </c>
      <c r="H1641" s="38">
        <v>0</v>
      </c>
      <c r="I1641" s="15"/>
      <c r="J1641" s="494">
        <v>20411031508</v>
      </c>
      <c r="L1641" s="523" t="s">
        <v>3755</v>
      </c>
      <c r="M1641" s="523" t="s">
        <v>607</v>
      </c>
      <c r="N1641" s="518" t="s">
        <v>3756</v>
      </c>
      <c r="O1641" s="523">
        <v>2</v>
      </c>
      <c r="P1641" s="523" t="s">
        <v>693</v>
      </c>
      <c r="Q1641" s="523" t="s">
        <v>1229</v>
      </c>
      <c r="R1641" s="523" t="s">
        <v>671</v>
      </c>
      <c r="S1641" s="523" t="s">
        <v>1257</v>
      </c>
      <c r="T1641" s="518" t="s">
        <v>4399</v>
      </c>
      <c r="U1641" s="38">
        <v>0</v>
      </c>
      <c r="V1641" s="15" t="str">
        <f t="shared" si="153"/>
        <v/>
      </c>
      <c r="W1641" s="10"/>
      <c r="X1641" s="10"/>
      <c r="Y1641" s="10"/>
      <c r="Z1641" s="10"/>
      <c r="AA1641" s="10"/>
      <c r="AB1641" s="10"/>
      <c r="AC1641" s="9"/>
      <c r="AD1641" s="523" t="e">
        <v>#N/A</v>
      </c>
      <c r="AE1641" s="523" t="e">
        <v>#N/A</v>
      </c>
      <c r="AF1641" s="523" t="e">
        <v>#N/A</v>
      </c>
      <c r="AG1641" s="524" t="e">
        <v>#N/A</v>
      </c>
      <c r="AH1641" s="9"/>
      <c r="AI1641" s="10"/>
      <c r="AJ1641" s="9">
        <f t="shared" si="152"/>
        <v>0</v>
      </c>
      <c r="AK1641" s="10"/>
      <c r="AL1641" s="10"/>
    </row>
    <row r="1642" spans="1:38" ht="45" hidden="1">
      <c r="A1642" s="1">
        <f t="shared" si="154"/>
        <v>0</v>
      </c>
      <c r="B1642" s="2" t="s">
        <v>4414</v>
      </c>
      <c r="C1642" s="3" t="s">
        <v>4415</v>
      </c>
      <c r="D1642" s="15" t="s">
        <v>11802</v>
      </c>
      <c r="E1642" s="4" t="s">
        <v>4414</v>
      </c>
      <c r="F1642" s="37" t="s">
        <v>4415</v>
      </c>
      <c r="G1642" s="38">
        <v>0</v>
      </c>
      <c r="H1642" s="38">
        <v>0</v>
      </c>
      <c r="I1642" s="15"/>
      <c r="J1642" s="494">
        <v>20411031509</v>
      </c>
      <c r="L1642" s="523" t="s">
        <v>3755</v>
      </c>
      <c r="M1642" s="523" t="s">
        <v>607</v>
      </c>
      <c r="N1642" s="518" t="s">
        <v>3756</v>
      </c>
      <c r="O1642" s="523">
        <v>2</v>
      </c>
      <c r="P1642" s="523" t="s">
        <v>693</v>
      </c>
      <c r="Q1642" s="523" t="s">
        <v>1229</v>
      </c>
      <c r="R1642" s="523" t="s">
        <v>671</v>
      </c>
      <c r="S1642" s="523" t="s">
        <v>1257</v>
      </c>
      <c r="T1642" s="518" t="s">
        <v>4399</v>
      </c>
      <c r="U1642" s="38">
        <v>0</v>
      </c>
      <c r="V1642" s="15" t="str">
        <f t="shared" si="153"/>
        <v/>
      </c>
      <c r="W1642" s="10"/>
      <c r="X1642" s="10"/>
      <c r="Y1642" s="10"/>
      <c r="Z1642" s="10"/>
      <c r="AA1642" s="10"/>
      <c r="AB1642" s="10"/>
      <c r="AC1642" s="9"/>
      <c r="AD1642" s="523" t="e">
        <v>#N/A</v>
      </c>
      <c r="AE1642" s="523" t="e">
        <v>#N/A</v>
      </c>
      <c r="AF1642" s="523" t="e">
        <v>#N/A</v>
      </c>
      <c r="AG1642" s="524" t="e">
        <v>#N/A</v>
      </c>
      <c r="AH1642" s="9"/>
      <c r="AI1642" s="10"/>
      <c r="AJ1642" s="9">
        <f t="shared" si="152"/>
        <v>0</v>
      </c>
      <c r="AK1642" s="10"/>
      <c r="AL1642" s="10"/>
    </row>
    <row r="1643" spans="1:38" ht="45" hidden="1">
      <c r="A1643" s="1">
        <f t="shared" si="154"/>
        <v>0</v>
      </c>
      <c r="B1643" s="2" t="s">
        <v>4416</v>
      </c>
      <c r="C1643" s="3" t="s">
        <v>4417</v>
      </c>
      <c r="D1643" s="15" t="s">
        <v>11802</v>
      </c>
      <c r="E1643" s="4" t="s">
        <v>4416</v>
      </c>
      <c r="F1643" s="37" t="s">
        <v>4417</v>
      </c>
      <c r="G1643" s="38">
        <v>0</v>
      </c>
      <c r="H1643" s="38">
        <v>0</v>
      </c>
      <c r="I1643" s="15"/>
      <c r="J1643" s="494">
        <v>20411031510</v>
      </c>
      <c r="L1643" s="523" t="s">
        <v>3755</v>
      </c>
      <c r="M1643" s="523" t="s">
        <v>607</v>
      </c>
      <c r="N1643" s="518" t="s">
        <v>3756</v>
      </c>
      <c r="O1643" s="523">
        <v>2</v>
      </c>
      <c r="P1643" s="523" t="s">
        <v>693</v>
      </c>
      <c r="Q1643" s="523" t="s">
        <v>1229</v>
      </c>
      <c r="R1643" s="523" t="s">
        <v>671</v>
      </c>
      <c r="S1643" s="523" t="s">
        <v>1257</v>
      </c>
      <c r="T1643" s="518" t="s">
        <v>4399</v>
      </c>
      <c r="U1643" s="38">
        <v>0</v>
      </c>
      <c r="V1643" s="15" t="str">
        <f t="shared" si="153"/>
        <v/>
      </c>
      <c r="W1643" s="10"/>
      <c r="X1643" s="10"/>
      <c r="Y1643" s="10"/>
      <c r="Z1643" s="10"/>
      <c r="AA1643" s="10"/>
      <c r="AB1643" s="10"/>
      <c r="AC1643" s="9"/>
      <c r="AD1643" s="523" t="e">
        <v>#N/A</v>
      </c>
      <c r="AE1643" s="523" t="e">
        <v>#N/A</v>
      </c>
      <c r="AF1643" s="523" t="e">
        <v>#N/A</v>
      </c>
      <c r="AG1643" s="524" t="e">
        <v>#N/A</v>
      </c>
      <c r="AH1643" s="9"/>
      <c r="AI1643" s="10"/>
      <c r="AJ1643" s="9">
        <f t="shared" si="152"/>
        <v>0</v>
      </c>
      <c r="AK1643" s="10"/>
      <c r="AL1643" s="10"/>
    </row>
    <row r="1644" spans="1:38" ht="33.75" hidden="1">
      <c r="A1644" s="1">
        <f t="shared" si="154"/>
        <v>0</v>
      </c>
      <c r="B1644" s="2" t="s">
        <v>4418</v>
      </c>
      <c r="C1644" s="3" t="s">
        <v>4419</v>
      </c>
      <c r="D1644" s="15" t="s">
        <v>11802</v>
      </c>
      <c r="E1644" s="4" t="s">
        <v>4418</v>
      </c>
      <c r="F1644" s="37" t="s">
        <v>4419</v>
      </c>
      <c r="G1644" s="38">
        <v>0</v>
      </c>
      <c r="H1644" s="38">
        <v>0</v>
      </c>
      <c r="I1644" s="15"/>
      <c r="J1644" s="494">
        <v>20411031511</v>
      </c>
      <c r="L1644" s="523" t="s">
        <v>3755</v>
      </c>
      <c r="M1644" s="523" t="s">
        <v>607</v>
      </c>
      <c r="N1644" s="518" t="s">
        <v>3756</v>
      </c>
      <c r="O1644" s="523">
        <v>2</v>
      </c>
      <c r="P1644" s="523" t="s">
        <v>693</v>
      </c>
      <c r="Q1644" s="523" t="s">
        <v>1229</v>
      </c>
      <c r="R1644" s="523" t="s">
        <v>671</v>
      </c>
      <c r="S1644" s="523" t="s">
        <v>1257</v>
      </c>
      <c r="T1644" s="518" t="s">
        <v>4399</v>
      </c>
      <c r="U1644" s="38">
        <v>0</v>
      </c>
      <c r="V1644" s="15" t="str">
        <f t="shared" si="153"/>
        <v/>
      </c>
      <c r="W1644" s="10"/>
      <c r="X1644" s="10"/>
      <c r="Y1644" s="10"/>
      <c r="Z1644" s="10"/>
      <c r="AA1644" s="10"/>
      <c r="AB1644" s="10"/>
      <c r="AC1644" s="9"/>
      <c r="AD1644" s="523" t="e">
        <v>#N/A</v>
      </c>
      <c r="AE1644" s="523" t="e">
        <v>#N/A</v>
      </c>
      <c r="AF1644" s="523" t="e">
        <v>#N/A</v>
      </c>
      <c r="AG1644" s="524" t="e">
        <v>#N/A</v>
      </c>
      <c r="AH1644" s="9"/>
      <c r="AI1644" s="10"/>
      <c r="AJ1644" s="9">
        <f t="shared" si="152"/>
        <v>0</v>
      </c>
      <c r="AK1644" s="10"/>
      <c r="AL1644" s="10"/>
    </row>
    <row r="1645" spans="1:38" ht="45" hidden="1">
      <c r="A1645" s="1">
        <f t="shared" si="154"/>
        <v>0</v>
      </c>
      <c r="B1645" s="2" t="s">
        <v>4420</v>
      </c>
      <c r="C1645" s="3" t="s">
        <v>4421</v>
      </c>
      <c r="D1645" s="15" t="s">
        <v>11802</v>
      </c>
      <c r="E1645" s="4" t="s">
        <v>4420</v>
      </c>
      <c r="F1645" s="37" t="s">
        <v>4421</v>
      </c>
      <c r="G1645" s="38">
        <v>0</v>
      </c>
      <c r="H1645" s="38">
        <v>0</v>
      </c>
      <c r="I1645" s="15"/>
      <c r="J1645" s="494">
        <v>20411031512</v>
      </c>
      <c r="L1645" s="523" t="s">
        <v>3755</v>
      </c>
      <c r="M1645" s="523" t="s">
        <v>607</v>
      </c>
      <c r="N1645" s="518" t="s">
        <v>3756</v>
      </c>
      <c r="O1645" s="523">
        <v>2</v>
      </c>
      <c r="P1645" s="523" t="s">
        <v>693</v>
      </c>
      <c r="Q1645" s="523" t="s">
        <v>1229</v>
      </c>
      <c r="R1645" s="523" t="s">
        <v>671</v>
      </c>
      <c r="S1645" s="523" t="s">
        <v>1257</v>
      </c>
      <c r="T1645" s="518" t="s">
        <v>4399</v>
      </c>
      <c r="U1645" s="38">
        <v>0</v>
      </c>
      <c r="V1645" s="15" t="str">
        <f t="shared" si="153"/>
        <v/>
      </c>
      <c r="W1645" s="10"/>
      <c r="X1645" s="10"/>
      <c r="Y1645" s="10"/>
      <c r="Z1645" s="10"/>
      <c r="AA1645" s="10"/>
      <c r="AB1645" s="10"/>
      <c r="AC1645" s="9"/>
      <c r="AD1645" s="523" t="e">
        <v>#N/A</v>
      </c>
      <c r="AE1645" s="523" t="e">
        <v>#N/A</v>
      </c>
      <c r="AF1645" s="523" t="e">
        <v>#N/A</v>
      </c>
      <c r="AG1645" s="524" t="e">
        <v>#N/A</v>
      </c>
      <c r="AH1645" s="9"/>
      <c r="AI1645" s="10"/>
      <c r="AJ1645" s="9">
        <f t="shared" si="152"/>
        <v>0</v>
      </c>
      <c r="AK1645" s="10"/>
      <c r="AL1645" s="10"/>
    </row>
    <row r="1646" spans="1:38" ht="45" hidden="1">
      <c r="A1646" s="1">
        <f t="shared" si="154"/>
        <v>0</v>
      </c>
      <c r="B1646" s="2" t="s">
        <v>4422</v>
      </c>
      <c r="C1646" s="3" t="s">
        <v>4423</v>
      </c>
      <c r="D1646" s="15" t="s">
        <v>11802</v>
      </c>
      <c r="E1646" s="4" t="s">
        <v>4422</v>
      </c>
      <c r="F1646" s="37" t="s">
        <v>4423</v>
      </c>
      <c r="G1646" s="38">
        <v>0</v>
      </c>
      <c r="H1646" s="38">
        <v>0</v>
      </c>
      <c r="I1646" s="15"/>
      <c r="J1646" s="494">
        <v>20411031513</v>
      </c>
      <c r="L1646" s="523" t="s">
        <v>3755</v>
      </c>
      <c r="M1646" s="523" t="s">
        <v>607</v>
      </c>
      <c r="N1646" s="518" t="s">
        <v>3756</v>
      </c>
      <c r="O1646" s="523">
        <v>2</v>
      </c>
      <c r="P1646" s="523" t="s">
        <v>693</v>
      </c>
      <c r="Q1646" s="523" t="s">
        <v>1229</v>
      </c>
      <c r="R1646" s="523" t="s">
        <v>671</v>
      </c>
      <c r="S1646" s="523" t="s">
        <v>1257</v>
      </c>
      <c r="T1646" s="518" t="s">
        <v>4399</v>
      </c>
      <c r="U1646" s="38">
        <v>0</v>
      </c>
      <c r="V1646" s="15" t="str">
        <f t="shared" si="153"/>
        <v/>
      </c>
      <c r="W1646" s="10"/>
      <c r="X1646" s="10"/>
      <c r="Y1646" s="10"/>
      <c r="Z1646" s="10"/>
      <c r="AA1646" s="10"/>
      <c r="AB1646" s="10"/>
      <c r="AC1646" s="9"/>
      <c r="AD1646" s="523" t="e">
        <v>#N/A</v>
      </c>
      <c r="AE1646" s="523" t="e">
        <v>#N/A</v>
      </c>
      <c r="AF1646" s="523" t="e">
        <v>#N/A</v>
      </c>
      <c r="AG1646" s="524" t="e">
        <v>#N/A</v>
      </c>
      <c r="AH1646" s="9"/>
      <c r="AI1646" s="10"/>
      <c r="AJ1646" s="9">
        <f t="shared" si="152"/>
        <v>0</v>
      </c>
      <c r="AK1646" s="10"/>
      <c r="AL1646" s="10"/>
    </row>
    <row r="1647" spans="1:38" ht="45" hidden="1">
      <c r="A1647" s="1">
        <f t="shared" si="154"/>
        <v>0</v>
      </c>
      <c r="B1647" s="2" t="s">
        <v>4424</v>
      </c>
      <c r="C1647" s="3" t="s">
        <v>4425</v>
      </c>
      <c r="D1647" s="15" t="s">
        <v>11802</v>
      </c>
      <c r="E1647" s="4" t="s">
        <v>4424</v>
      </c>
      <c r="F1647" s="37" t="s">
        <v>4425</v>
      </c>
      <c r="G1647" s="38">
        <v>0</v>
      </c>
      <c r="H1647" s="38">
        <v>0</v>
      </c>
      <c r="I1647" s="15"/>
      <c r="J1647" s="494">
        <v>20411031514</v>
      </c>
      <c r="L1647" s="523" t="s">
        <v>3755</v>
      </c>
      <c r="M1647" s="523" t="s">
        <v>607</v>
      </c>
      <c r="N1647" s="518" t="s">
        <v>3756</v>
      </c>
      <c r="O1647" s="523">
        <v>2</v>
      </c>
      <c r="P1647" s="523" t="s">
        <v>693</v>
      </c>
      <c r="Q1647" s="523" t="s">
        <v>1229</v>
      </c>
      <c r="R1647" s="523" t="s">
        <v>671</v>
      </c>
      <c r="S1647" s="523" t="s">
        <v>1257</v>
      </c>
      <c r="T1647" s="518" t="s">
        <v>4399</v>
      </c>
      <c r="U1647" s="38">
        <v>0</v>
      </c>
      <c r="V1647" s="15" t="str">
        <f t="shared" si="153"/>
        <v/>
      </c>
      <c r="W1647" s="10"/>
      <c r="X1647" s="10"/>
      <c r="Y1647" s="10"/>
      <c r="Z1647" s="10"/>
      <c r="AA1647" s="10"/>
      <c r="AB1647" s="10"/>
      <c r="AC1647" s="9"/>
      <c r="AD1647" s="523" t="e">
        <v>#N/A</v>
      </c>
      <c r="AE1647" s="523" t="e">
        <v>#N/A</v>
      </c>
      <c r="AF1647" s="523" t="e">
        <v>#N/A</v>
      </c>
      <c r="AG1647" s="524" t="e">
        <v>#N/A</v>
      </c>
      <c r="AH1647" s="9"/>
      <c r="AI1647" s="10"/>
      <c r="AJ1647" s="9">
        <f t="shared" si="152"/>
        <v>0</v>
      </c>
      <c r="AK1647" s="10"/>
      <c r="AL1647" s="10"/>
    </row>
    <row r="1648" spans="1:38" ht="33.75" hidden="1">
      <c r="A1648" s="1">
        <f t="shared" si="154"/>
        <v>0</v>
      </c>
      <c r="B1648" s="2" t="s">
        <v>4426</v>
      </c>
      <c r="C1648" s="3" t="s">
        <v>4427</v>
      </c>
      <c r="D1648" s="15" t="s">
        <v>11802</v>
      </c>
      <c r="E1648" s="4" t="s">
        <v>4426</v>
      </c>
      <c r="F1648" s="37" t="s">
        <v>4427</v>
      </c>
      <c r="G1648" s="38">
        <v>0</v>
      </c>
      <c r="H1648" s="38">
        <v>0</v>
      </c>
      <c r="I1648" s="15"/>
      <c r="J1648" s="494">
        <v>20411031515</v>
      </c>
      <c r="L1648" s="523" t="s">
        <v>3755</v>
      </c>
      <c r="M1648" s="523" t="s">
        <v>607</v>
      </c>
      <c r="N1648" s="518" t="s">
        <v>3756</v>
      </c>
      <c r="O1648" s="523">
        <v>2</v>
      </c>
      <c r="P1648" s="523" t="s">
        <v>693</v>
      </c>
      <c r="Q1648" s="523" t="s">
        <v>1229</v>
      </c>
      <c r="R1648" s="523" t="s">
        <v>671</v>
      </c>
      <c r="S1648" s="523" t="s">
        <v>1257</v>
      </c>
      <c r="T1648" s="518" t="s">
        <v>4399</v>
      </c>
      <c r="U1648" s="38">
        <v>0</v>
      </c>
      <c r="V1648" s="15" t="str">
        <f t="shared" si="153"/>
        <v/>
      </c>
      <c r="W1648" s="10"/>
      <c r="X1648" s="10"/>
      <c r="Y1648" s="10"/>
      <c r="Z1648" s="10"/>
      <c r="AA1648" s="10"/>
      <c r="AB1648" s="10"/>
      <c r="AC1648" s="9"/>
      <c r="AD1648" s="523" t="e">
        <v>#N/A</v>
      </c>
      <c r="AE1648" s="523" t="e">
        <v>#N/A</v>
      </c>
      <c r="AF1648" s="523" t="e">
        <v>#N/A</v>
      </c>
      <c r="AG1648" s="524" t="e">
        <v>#N/A</v>
      </c>
      <c r="AH1648" s="9"/>
      <c r="AI1648" s="10"/>
      <c r="AJ1648" s="9">
        <f t="shared" si="152"/>
        <v>0</v>
      </c>
      <c r="AK1648" s="10"/>
      <c r="AL1648" s="10"/>
    </row>
    <row r="1649" spans="1:38" ht="45" hidden="1">
      <c r="A1649" s="1">
        <f t="shared" si="154"/>
        <v>0</v>
      </c>
      <c r="B1649" s="2" t="s">
        <v>4428</v>
      </c>
      <c r="C1649" s="3" t="s">
        <v>4429</v>
      </c>
      <c r="D1649" s="15" t="s">
        <v>11802</v>
      </c>
      <c r="E1649" s="4" t="s">
        <v>4428</v>
      </c>
      <c r="F1649" s="37" t="s">
        <v>4429</v>
      </c>
      <c r="G1649" s="38">
        <v>0</v>
      </c>
      <c r="H1649" s="38">
        <v>0</v>
      </c>
      <c r="I1649" s="15"/>
      <c r="J1649" s="494">
        <v>20411031516</v>
      </c>
      <c r="L1649" s="523" t="s">
        <v>3755</v>
      </c>
      <c r="M1649" s="523" t="s">
        <v>607</v>
      </c>
      <c r="N1649" s="518" t="s">
        <v>3756</v>
      </c>
      <c r="O1649" s="523">
        <v>2</v>
      </c>
      <c r="P1649" s="523" t="s">
        <v>693</v>
      </c>
      <c r="Q1649" s="523" t="s">
        <v>1229</v>
      </c>
      <c r="R1649" s="523" t="s">
        <v>671</v>
      </c>
      <c r="S1649" s="523" t="s">
        <v>1257</v>
      </c>
      <c r="T1649" s="518" t="s">
        <v>4399</v>
      </c>
      <c r="U1649" s="38">
        <v>0</v>
      </c>
      <c r="V1649" s="15" t="str">
        <f t="shared" si="153"/>
        <v/>
      </c>
      <c r="W1649" s="10"/>
      <c r="X1649" s="10"/>
      <c r="Y1649" s="10"/>
      <c r="Z1649" s="10"/>
      <c r="AA1649" s="10"/>
      <c r="AB1649" s="10"/>
      <c r="AC1649" s="9"/>
      <c r="AD1649" s="523" t="e">
        <v>#N/A</v>
      </c>
      <c r="AE1649" s="523" t="e">
        <v>#N/A</v>
      </c>
      <c r="AF1649" s="523" t="e">
        <v>#N/A</v>
      </c>
      <c r="AG1649" s="524" t="e">
        <v>#N/A</v>
      </c>
      <c r="AH1649" s="9"/>
      <c r="AI1649" s="10"/>
      <c r="AJ1649" s="9">
        <f t="shared" si="152"/>
        <v>0</v>
      </c>
      <c r="AK1649" s="10"/>
      <c r="AL1649" s="10"/>
    </row>
    <row r="1650" spans="1:38" ht="45" hidden="1">
      <c r="A1650" s="1">
        <f t="shared" si="154"/>
        <v>0</v>
      </c>
      <c r="B1650" s="2" t="s">
        <v>4430</v>
      </c>
      <c r="C1650" s="3" t="s">
        <v>4431</v>
      </c>
      <c r="D1650" s="15" t="s">
        <v>11802</v>
      </c>
      <c r="E1650" s="4" t="s">
        <v>4430</v>
      </c>
      <c r="F1650" s="68" t="s">
        <v>4431</v>
      </c>
      <c r="G1650" s="38">
        <v>0</v>
      </c>
      <c r="H1650" s="38">
        <v>0</v>
      </c>
      <c r="I1650" s="15"/>
      <c r="J1650" s="494">
        <v>20411031517</v>
      </c>
      <c r="L1650" s="523" t="s">
        <v>3755</v>
      </c>
      <c r="M1650" s="523" t="s">
        <v>607</v>
      </c>
      <c r="N1650" s="518" t="s">
        <v>3756</v>
      </c>
      <c r="O1650" s="523">
        <v>2</v>
      </c>
      <c r="P1650" s="523" t="s">
        <v>693</v>
      </c>
      <c r="Q1650" s="523" t="s">
        <v>1229</v>
      </c>
      <c r="R1650" s="523" t="s">
        <v>671</v>
      </c>
      <c r="S1650" s="523" t="s">
        <v>1257</v>
      </c>
      <c r="T1650" s="518" t="s">
        <v>4399</v>
      </c>
      <c r="U1650" s="38">
        <v>0</v>
      </c>
      <c r="V1650" s="15" t="str">
        <f t="shared" si="153"/>
        <v/>
      </c>
      <c r="W1650" s="10"/>
      <c r="X1650" s="10"/>
      <c r="Y1650" s="10"/>
      <c r="Z1650" s="10"/>
      <c r="AA1650" s="10"/>
      <c r="AB1650" s="10"/>
      <c r="AC1650" s="9"/>
      <c r="AD1650" s="523" t="e">
        <v>#N/A</v>
      </c>
      <c r="AE1650" s="523" t="e">
        <v>#N/A</v>
      </c>
      <c r="AF1650" s="523" t="e">
        <v>#N/A</v>
      </c>
      <c r="AG1650" s="524" t="e">
        <v>#N/A</v>
      </c>
      <c r="AH1650" s="9"/>
      <c r="AI1650" s="10"/>
      <c r="AJ1650" s="9">
        <f t="shared" si="152"/>
        <v>0</v>
      </c>
      <c r="AK1650" s="10"/>
      <c r="AL1650" s="10"/>
    </row>
    <row r="1651" spans="1:38" ht="45" hidden="1">
      <c r="A1651" s="1">
        <f t="shared" si="154"/>
        <v>0</v>
      </c>
      <c r="B1651" s="2" t="s">
        <v>4432</v>
      </c>
      <c r="C1651" s="3" t="s">
        <v>4433</v>
      </c>
      <c r="D1651" s="15" t="s">
        <v>11802</v>
      </c>
      <c r="E1651" s="4" t="s">
        <v>4432</v>
      </c>
      <c r="F1651" s="68" t="s">
        <v>4433</v>
      </c>
      <c r="G1651" s="38">
        <v>0</v>
      </c>
      <c r="H1651" s="38">
        <v>0</v>
      </c>
      <c r="I1651" s="15"/>
      <c r="J1651" s="494">
        <v>20411031518</v>
      </c>
      <c r="L1651" s="523" t="s">
        <v>3755</v>
      </c>
      <c r="M1651" s="523" t="s">
        <v>607</v>
      </c>
      <c r="N1651" s="518" t="s">
        <v>3756</v>
      </c>
      <c r="O1651" s="523">
        <v>2</v>
      </c>
      <c r="P1651" s="523" t="s">
        <v>693</v>
      </c>
      <c r="Q1651" s="523" t="s">
        <v>1229</v>
      </c>
      <c r="R1651" s="523" t="s">
        <v>671</v>
      </c>
      <c r="S1651" s="523" t="s">
        <v>1257</v>
      </c>
      <c r="T1651" s="518" t="s">
        <v>4399</v>
      </c>
      <c r="U1651" s="38">
        <v>0</v>
      </c>
      <c r="V1651" s="15" t="str">
        <f t="shared" si="153"/>
        <v/>
      </c>
      <c r="W1651" s="10"/>
      <c r="X1651" s="10"/>
      <c r="Y1651" s="10"/>
      <c r="Z1651" s="10"/>
      <c r="AA1651" s="10"/>
      <c r="AB1651" s="10"/>
      <c r="AC1651" s="9"/>
      <c r="AD1651" s="523" t="e">
        <v>#N/A</v>
      </c>
      <c r="AE1651" s="523" t="e">
        <v>#N/A</v>
      </c>
      <c r="AF1651" s="523" t="e">
        <v>#N/A</v>
      </c>
      <c r="AG1651" s="524" t="e">
        <v>#N/A</v>
      </c>
      <c r="AH1651" s="9"/>
      <c r="AI1651" s="10"/>
      <c r="AJ1651" s="9">
        <f t="shared" si="152"/>
        <v>0</v>
      </c>
      <c r="AK1651" s="10"/>
      <c r="AL1651" s="10"/>
    </row>
    <row r="1652" spans="1:38" ht="33.75" hidden="1">
      <c r="A1652" s="1">
        <f t="shared" si="154"/>
        <v>0</v>
      </c>
      <c r="B1652" s="2" t="s">
        <v>4434</v>
      </c>
      <c r="C1652" s="3" t="s">
        <v>4435</v>
      </c>
      <c r="D1652" s="15" t="s">
        <v>11802</v>
      </c>
      <c r="E1652" s="4" t="s">
        <v>4434</v>
      </c>
      <c r="F1652" s="68" t="s">
        <v>4435</v>
      </c>
      <c r="G1652" s="38">
        <v>0</v>
      </c>
      <c r="H1652" s="38">
        <v>0</v>
      </c>
      <c r="I1652" s="15"/>
      <c r="J1652" s="494">
        <v>20411031519</v>
      </c>
      <c r="L1652" s="523" t="s">
        <v>3755</v>
      </c>
      <c r="M1652" s="523" t="s">
        <v>607</v>
      </c>
      <c r="N1652" s="518" t="s">
        <v>3756</v>
      </c>
      <c r="O1652" s="523">
        <v>2</v>
      </c>
      <c r="P1652" s="523" t="s">
        <v>693</v>
      </c>
      <c r="Q1652" s="523" t="s">
        <v>1229</v>
      </c>
      <c r="R1652" s="523" t="s">
        <v>671</v>
      </c>
      <c r="S1652" s="523" t="s">
        <v>1257</v>
      </c>
      <c r="T1652" s="518" t="s">
        <v>4399</v>
      </c>
      <c r="U1652" s="38">
        <v>0</v>
      </c>
      <c r="V1652" s="15" t="str">
        <f t="shared" si="153"/>
        <v/>
      </c>
      <c r="W1652" s="10"/>
      <c r="X1652" s="10"/>
      <c r="Y1652" s="10"/>
      <c r="Z1652" s="10"/>
      <c r="AA1652" s="10"/>
      <c r="AB1652" s="10"/>
      <c r="AC1652" s="9"/>
      <c r="AD1652" s="523" t="e">
        <v>#N/A</v>
      </c>
      <c r="AE1652" s="523" t="e">
        <v>#N/A</v>
      </c>
      <c r="AF1652" s="523" t="e">
        <v>#N/A</v>
      </c>
      <c r="AG1652" s="524" t="e">
        <v>#N/A</v>
      </c>
      <c r="AH1652" s="9"/>
      <c r="AI1652" s="10"/>
      <c r="AJ1652" s="9">
        <f t="shared" si="152"/>
        <v>0</v>
      </c>
      <c r="AK1652" s="10"/>
      <c r="AL1652" s="10"/>
    </row>
    <row r="1653" spans="1:38" ht="45" hidden="1">
      <c r="A1653" s="1">
        <f t="shared" si="154"/>
        <v>0</v>
      </c>
      <c r="B1653" s="2" t="s">
        <v>4436</v>
      </c>
      <c r="C1653" s="3" t="s">
        <v>4437</v>
      </c>
      <c r="D1653" s="15" t="s">
        <v>11802</v>
      </c>
      <c r="E1653" s="4" t="s">
        <v>4436</v>
      </c>
      <c r="F1653" s="68" t="s">
        <v>4437</v>
      </c>
      <c r="G1653" s="38">
        <v>0</v>
      </c>
      <c r="H1653" s="38">
        <v>0</v>
      </c>
      <c r="I1653" s="15"/>
      <c r="J1653" s="494">
        <v>20411031520</v>
      </c>
      <c r="L1653" s="523" t="s">
        <v>3755</v>
      </c>
      <c r="M1653" s="523" t="s">
        <v>607</v>
      </c>
      <c r="N1653" s="518" t="s">
        <v>3756</v>
      </c>
      <c r="O1653" s="523">
        <v>2</v>
      </c>
      <c r="P1653" s="523" t="s">
        <v>693</v>
      </c>
      <c r="Q1653" s="523" t="s">
        <v>1229</v>
      </c>
      <c r="R1653" s="523" t="s">
        <v>671</v>
      </c>
      <c r="S1653" s="523" t="s">
        <v>1257</v>
      </c>
      <c r="T1653" s="518" t="s">
        <v>4399</v>
      </c>
      <c r="U1653" s="38">
        <v>0</v>
      </c>
      <c r="V1653" s="15" t="str">
        <f t="shared" si="153"/>
        <v/>
      </c>
      <c r="W1653" s="10"/>
      <c r="X1653" s="10"/>
      <c r="Y1653" s="10"/>
      <c r="Z1653" s="10"/>
      <c r="AA1653" s="10"/>
      <c r="AB1653" s="10"/>
      <c r="AC1653" s="9"/>
      <c r="AD1653" s="523" t="e">
        <v>#N/A</v>
      </c>
      <c r="AE1653" s="523" t="e">
        <v>#N/A</v>
      </c>
      <c r="AF1653" s="523" t="e">
        <v>#N/A</v>
      </c>
      <c r="AG1653" s="524" t="e">
        <v>#N/A</v>
      </c>
      <c r="AH1653" s="9"/>
      <c r="AI1653" s="10"/>
      <c r="AJ1653" s="9">
        <f t="shared" si="152"/>
        <v>0</v>
      </c>
      <c r="AK1653" s="10"/>
      <c r="AL1653" s="10"/>
    </row>
    <row r="1654" spans="1:38" ht="45" hidden="1">
      <c r="A1654" s="1">
        <f t="shared" si="154"/>
        <v>0</v>
      </c>
      <c r="B1654" s="2" t="s">
        <v>4438</v>
      </c>
      <c r="C1654" s="3" t="s">
        <v>4439</v>
      </c>
      <c r="D1654" s="15" t="s">
        <v>11803</v>
      </c>
      <c r="E1654" s="4" t="s">
        <v>4438</v>
      </c>
      <c r="F1654" s="68" t="s">
        <v>4439</v>
      </c>
      <c r="G1654" s="38">
        <v>0</v>
      </c>
      <c r="H1654" s="38">
        <v>0</v>
      </c>
      <c r="I1654" s="15"/>
      <c r="J1654" s="494">
        <v>20411031601</v>
      </c>
      <c r="K1654" s="517"/>
      <c r="L1654" s="517" t="s">
        <v>3755</v>
      </c>
      <c r="M1654" s="517" t="s">
        <v>607</v>
      </c>
      <c r="N1654" s="518" t="s">
        <v>3756</v>
      </c>
      <c r="O1654" s="517">
        <v>2</v>
      </c>
      <c r="P1654" s="517" t="s">
        <v>693</v>
      </c>
      <c r="Q1654" s="517" t="s">
        <v>1229</v>
      </c>
      <c r="R1654" s="517" t="s">
        <v>671</v>
      </c>
      <c r="S1654" s="517" t="s">
        <v>1332</v>
      </c>
      <c r="T1654" s="518" t="s">
        <v>4439</v>
      </c>
      <c r="U1654" s="38">
        <v>0</v>
      </c>
      <c r="V1654" s="15" t="str">
        <f t="shared" si="153"/>
        <v>204110316</v>
      </c>
      <c r="W1654" s="39">
        <v>2</v>
      </c>
      <c r="X1654" s="50" t="s">
        <v>693</v>
      </c>
      <c r="Y1654" s="40" t="s">
        <v>1229</v>
      </c>
      <c r="Z1654" s="50" t="s">
        <v>671</v>
      </c>
      <c r="AA1654" s="40" t="s">
        <v>1332</v>
      </c>
      <c r="AB1654" s="42" t="s">
        <v>4439</v>
      </c>
      <c r="AC1654" s="519">
        <f t="shared" ref="AC1654:AC1659" si="155">H1654</f>
        <v>0</v>
      </c>
      <c r="AD1654" s="517">
        <v>0</v>
      </c>
      <c r="AE1654" s="517" t="s">
        <v>3755</v>
      </c>
      <c r="AF1654" s="517" t="s">
        <v>607</v>
      </c>
      <c r="AG1654" s="518" t="s">
        <v>3756</v>
      </c>
      <c r="AH1654" s="67">
        <f>AC1654</f>
        <v>0</v>
      </c>
      <c r="AI1654" s="10"/>
      <c r="AJ1654" s="9">
        <f t="shared" si="152"/>
        <v>0</v>
      </c>
      <c r="AK1654" s="10"/>
      <c r="AL1654" s="10"/>
    </row>
    <row r="1655" spans="1:38" ht="33.75" hidden="1">
      <c r="A1655" s="1">
        <f t="shared" si="154"/>
        <v>0</v>
      </c>
      <c r="B1655" s="2" t="s">
        <v>4440</v>
      </c>
      <c r="C1655" s="3" t="s">
        <v>4441</v>
      </c>
      <c r="D1655" s="15" t="s">
        <v>11804</v>
      </c>
      <c r="E1655" s="4" t="s">
        <v>4440</v>
      </c>
      <c r="F1655" s="68" t="s">
        <v>4441</v>
      </c>
      <c r="G1655" s="38">
        <v>0</v>
      </c>
      <c r="H1655" s="38">
        <v>0</v>
      </c>
      <c r="I1655" s="15"/>
      <c r="J1655" s="494">
        <v>20411031701</v>
      </c>
      <c r="K1655" s="517"/>
      <c r="L1655" s="517" t="s">
        <v>3755</v>
      </c>
      <c r="M1655" s="517" t="s">
        <v>607</v>
      </c>
      <c r="N1655" s="518" t="s">
        <v>3756</v>
      </c>
      <c r="O1655" s="517">
        <v>2</v>
      </c>
      <c r="P1655" s="517" t="s">
        <v>693</v>
      </c>
      <c r="Q1655" s="517" t="s">
        <v>1229</v>
      </c>
      <c r="R1655" s="517" t="s">
        <v>671</v>
      </c>
      <c r="S1655" s="517" t="s">
        <v>1838</v>
      </c>
      <c r="T1655" s="518" t="s">
        <v>4442</v>
      </c>
      <c r="U1655" s="38">
        <v>0</v>
      </c>
      <c r="V1655" s="15" t="str">
        <f t="shared" si="153"/>
        <v>204110317</v>
      </c>
      <c r="W1655" s="39">
        <v>2</v>
      </c>
      <c r="X1655" s="50" t="s">
        <v>693</v>
      </c>
      <c r="Y1655" s="40" t="s">
        <v>1229</v>
      </c>
      <c r="Z1655" s="50" t="s">
        <v>671</v>
      </c>
      <c r="AA1655" s="40" t="s">
        <v>1838</v>
      </c>
      <c r="AB1655" s="42" t="s">
        <v>4442</v>
      </c>
      <c r="AC1655" s="519">
        <f t="shared" si="155"/>
        <v>0</v>
      </c>
      <c r="AD1655" s="517">
        <v>0</v>
      </c>
      <c r="AE1655" s="517" t="s">
        <v>3755</v>
      </c>
      <c r="AF1655" s="517" t="s">
        <v>607</v>
      </c>
      <c r="AG1655" s="518" t="s">
        <v>3756</v>
      </c>
      <c r="AH1655" s="67">
        <f>AC1655</f>
        <v>0</v>
      </c>
      <c r="AI1655" s="10"/>
      <c r="AJ1655" s="9">
        <f t="shared" si="152"/>
        <v>0</v>
      </c>
      <c r="AK1655" s="10"/>
      <c r="AL1655" s="10"/>
    </row>
    <row r="1656" spans="1:38" ht="45" hidden="1">
      <c r="A1656" s="1">
        <f t="shared" si="154"/>
        <v>0</v>
      </c>
      <c r="B1656" s="2" t="s">
        <v>4443</v>
      </c>
      <c r="C1656" s="3" t="s">
        <v>4444</v>
      </c>
      <c r="D1656" s="15" t="s">
        <v>11805</v>
      </c>
      <c r="E1656" s="45" t="s">
        <v>4443</v>
      </c>
      <c r="F1656" s="48" t="s">
        <v>4444</v>
      </c>
      <c r="G1656" s="38">
        <v>0</v>
      </c>
      <c r="H1656" s="38">
        <v>0</v>
      </c>
      <c r="I1656" s="15"/>
      <c r="J1656" s="494">
        <v>20411031801</v>
      </c>
      <c r="K1656" s="517"/>
      <c r="L1656" s="517" t="s">
        <v>3755</v>
      </c>
      <c r="M1656" s="517" t="s">
        <v>607</v>
      </c>
      <c r="N1656" s="518" t="s">
        <v>3756</v>
      </c>
      <c r="O1656" s="517">
        <v>2</v>
      </c>
      <c r="P1656" s="517" t="s">
        <v>693</v>
      </c>
      <c r="Q1656" s="517" t="s">
        <v>1229</v>
      </c>
      <c r="R1656" s="517" t="s">
        <v>671</v>
      </c>
      <c r="S1656" s="517" t="s">
        <v>630</v>
      </c>
      <c r="T1656" s="518" t="s">
        <v>3876</v>
      </c>
      <c r="U1656" s="38">
        <v>0</v>
      </c>
      <c r="V1656" s="15" t="str">
        <f t="shared" si="153"/>
        <v>204110318</v>
      </c>
      <c r="W1656" s="39">
        <v>2</v>
      </c>
      <c r="X1656" s="50" t="s">
        <v>693</v>
      </c>
      <c r="Y1656" s="40" t="s">
        <v>1229</v>
      </c>
      <c r="Z1656" s="50" t="s">
        <v>671</v>
      </c>
      <c r="AA1656" s="40">
        <v>18</v>
      </c>
      <c r="AB1656" s="105" t="s">
        <v>4445</v>
      </c>
      <c r="AC1656" s="519">
        <f t="shared" si="155"/>
        <v>0</v>
      </c>
      <c r="AD1656" s="622" t="e">
        <v>#N/A</v>
      </c>
      <c r="AE1656" s="622" t="e">
        <v>#N/A</v>
      </c>
      <c r="AF1656" s="622" t="e">
        <v>#N/A</v>
      </c>
      <c r="AG1656" s="623" t="e">
        <v>#N/A</v>
      </c>
      <c r="AH1656" s="67">
        <f>AC1656</f>
        <v>0</v>
      </c>
      <c r="AI1656" s="10"/>
      <c r="AJ1656" s="9">
        <f t="shared" si="152"/>
        <v>0</v>
      </c>
      <c r="AK1656" s="10"/>
      <c r="AL1656" s="10"/>
    </row>
    <row r="1657" spans="1:38" ht="56.25" hidden="1">
      <c r="A1657" s="1">
        <f t="shared" si="154"/>
        <v>0</v>
      </c>
      <c r="B1657" s="2" t="s">
        <v>4446</v>
      </c>
      <c r="C1657" s="3" t="s">
        <v>4447</v>
      </c>
      <c r="D1657" s="15" t="s">
        <v>11806</v>
      </c>
      <c r="E1657" s="45" t="s">
        <v>4446</v>
      </c>
      <c r="F1657" s="48" t="s">
        <v>4447</v>
      </c>
      <c r="G1657" s="38">
        <v>0</v>
      </c>
      <c r="H1657" s="38">
        <v>0</v>
      </c>
      <c r="I1657" s="15"/>
      <c r="J1657" s="494">
        <v>20411031901</v>
      </c>
      <c r="K1657" s="517"/>
      <c r="L1657" s="517" t="s">
        <v>3755</v>
      </c>
      <c r="M1657" s="517" t="s">
        <v>607</v>
      </c>
      <c r="N1657" s="518" t="s">
        <v>3756</v>
      </c>
      <c r="O1657" s="517">
        <v>2</v>
      </c>
      <c r="P1657" s="517" t="s">
        <v>693</v>
      </c>
      <c r="Q1657" s="517" t="s">
        <v>1229</v>
      </c>
      <c r="R1657" s="517" t="s">
        <v>671</v>
      </c>
      <c r="S1657" s="517" t="s">
        <v>630</v>
      </c>
      <c r="T1657" s="518" t="s">
        <v>3876</v>
      </c>
      <c r="U1657" s="38">
        <v>0</v>
      </c>
      <c r="V1657" s="15" t="str">
        <f t="shared" si="153"/>
        <v>204110319</v>
      </c>
      <c r="W1657" s="39">
        <v>2</v>
      </c>
      <c r="X1657" s="50" t="s">
        <v>693</v>
      </c>
      <c r="Y1657" s="40" t="s">
        <v>1229</v>
      </c>
      <c r="Z1657" s="50" t="s">
        <v>671</v>
      </c>
      <c r="AA1657" s="40">
        <v>19</v>
      </c>
      <c r="AB1657" s="105" t="s">
        <v>4447</v>
      </c>
      <c r="AC1657" s="519">
        <f t="shared" si="155"/>
        <v>0</v>
      </c>
      <c r="AD1657" s="622" t="e">
        <v>#N/A</v>
      </c>
      <c r="AE1657" s="622" t="e">
        <v>#N/A</v>
      </c>
      <c r="AF1657" s="622" t="e">
        <v>#N/A</v>
      </c>
      <c r="AG1657" s="623" t="e">
        <v>#N/A</v>
      </c>
      <c r="AH1657" s="67">
        <f>AC1657</f>
        <v>0</v>
      </c>
      <c r="AI1657" s="10"/>
      <c r="AJ1657" s="9">
        <f t="shared" si="152"/>
        <v>0</v>
      </c>
      <c r="AK1657" s="10"/>
      <c r="AL1657" s="10"/>
    </row>
    <row r="1658" spans="1:38" ht="67.5" hidden="1">
      <c r="A1658" s="1">
        <f t="shared" si="154"/>
        <v>0</v>
      </c>
      <c r="B1658" s="2" t="s">
        <v>4448</v>
      </c>
      <c r="C1658" s="3" t="s">
        <v>4449</v>
      </c>
      <c r="D1658" s="15" t="s">
        <v>11807</v>
      </c>
      <c r="E1658" s="45" t="s">
        <v>4448</v>
      </c>
      <c r="F1658" s="48" t="s">
        <v>4449</v>
      </c>
      <c r="G1658" s="38">
        <v>0</v>
      </c>
      <c r="H1658" s="38">
        <v>0</v>
      </c>
      <c r="I1658" s="15"/>
      <c r="J1658" s="494">
        <v>20411032001</v>
      </c>
      <c r="K1658" s="624"/>
      <c r="L1658" s="624" t="s">
        <v>3755</v>
      </c>
      <c r="M1658" s="624" t="s">
        <v>607</v>
      </c>
      <c r="N1658" s="625" t="s">
        <v>3756</v>
      </c>
      <c r="O1658" s="624">
        <v>2</v>
      </c>
      <c r="P1658" s="624" t="s">
        <v>693</v>
      </c>
      <c r="Q1658" s="624" t="s">
        <v>1229</v>
      </c>
      <c r="R1658" s="624" t="s">
        <v>671</v>
      </c>
      <c r="S1658" s="624" t="s">
        <v>630</v>
      </c>
      <c r="T1658" s="625" t="s">
        <v>3876</v>
      </c>
      <c r="U1658" s="38">
        <v>0</v>
      </c>
      <c r="V1658" s="15" t="str">
        <f t="shared" si="153"/>
        <v>204110320</v>
      </c>
      <c r="W1658" s="39">
        <v>2</v>
      </c>
      <c r="X1658" s="50" t="s">
        <v>693</v>
      </c>
      <c r="Y1658" s="40" t="s">
        <v>1229</v>
      </c>
      <c r="Z1658" s="50" t="s">
        <v>671</v>
      </c>
      <c r="AA1658" s="40">
        <v>20</v>
      </c>
      <c r="AB1658" s="106" t="s">
        <v>4449</v>
      </c>
      <c r="AC1658" s="519">
        <f t="shared" si="155"/>
        <v>0</v>
      </c>
      <c r="AD1658" s="626" t="e">
        <v>#N/A</v>
      </c>
      <c r="AE1658" s="626" t="e">
        <v>#N/A</v>
      </c>
      <c r="AF1658" s="626" t="e">
        <v>#N/A</v>
      </c>
      <c r="AG1658" s="627" t="e">
        <v>#N/A</v>
      </c>
      <c r="AH1658" s="67"/>
      <c r="AI1658" s="10"/>
      <c r="AJ1658" s="9">
        <f t="shared" si="152"/>
        <v>0</v>
      </c>
      <c r="AK1658" s="10"/>
      <c r="AL1658" s="10"/>
    </row>
    <row r="1659" spans="1:38" ht="45" hidden="1">
      <c r="A1659" s="1">
        <f t="shared" si="154"/>
        <v>0</v>
      </c>
      <c r="B1659" s="2" t="s">
        <v>4450</v>
      </c>
      <c r="C1659" s="3" t="s">
        <v>4451</v>
      </c>
      <c r="D1659" s="15" t="s">
        <v>11808</v>
      </c>
      <c r="E1659" s="45" t="s">
        <v>4450</v>
      </c>
      <c r="F1659" s="48" t="s">
        <v>4451</v>
      </c>
      <c r="G1659" s="38">
        <v>0</v>
      </c>
      <c r="H1659" s="38">
        <v>0</v>
      </c>
      <c r="I1659" s="15"/>
      <c r="J1659" s="494">
        <v>20411032101</v>
      </c>
      <c r="K1659" s="624"/>
      <c r="L1659" s="624" t="s">
        <v>3755</v>
      </c>
      <c r="M1659" s="624" t="s">
        <v>607</v>
      </c>
      <c r="N1659" s="625" t="s">
        <v>3756</v>
      </c>
      <c r="O1659" s="624">
        <v>2</v>
      </c>
      <c r="P1659" s="624" t="s">
        <v>693</v>
      </c>
      <c r="Q1659" s="624" t="s">
        <v>1229</v>
      </c>
      <c r="R1659" s="624" t="s">
        <v>671</v>
      </c>
      <c r="S1659" s="624" t="s">
        <v>630</v>
      </c>
      <c r="T1659" s="625" t="s">
        <v>3876</v>
      </c>
      <c r="U1659" s="38">
        <v>0</v>
      </c>
      <c r="V1659" s="15" t="str">
        <f t="shared" si="153"/>
        <v>204110321</v>
      </c>
      <c r="W1659" s="39">
        <v>2</v>
      </c>
      <c r="X1659" s="50" t="s">
        <v>693</v>
      </c>
      <c r="Y1659" s="40" t="s">
        <v>1229</v>
      </c>
      <c r="Z1659" s="50" t="s">
        <v>671</v>
      </c>
      <c r="AA1659" s="40">
        <v>21</v>
      </c>
      <c r="AB1659" s="106" t="s">
        <v>4451</v>
      </c>
      <c r="AC1659" s="519">
        <f t="shared" si="155"/>
        <v>0</v>
      </c>
      <c r="AD1659" s="626" t="e">
        <v>#N/A</v>
      </c>
      <c r="AE1659" s="626" t="e">
        <v>#N/A</v>
      </c>
      <c r="AF1659" s="626" t="e">
        <v>#N/A</v>
      </c>
      <c r="AG1659" s="627" t="e">
        <v>#N/A</v>
      </c>
      <c r="AH1659" s="67"/>
      <c r="AI1659" s="10"/>
      <c r="AJ1659" s="9">
        <f t="shared" si="152"/>
        <v>0</v>
      </c>
      <c r="AK1659" s="10"/>
      <c r="AL1659" s="10"/>
    </row>
    <row r="1660" spans="1:38" ht="22.5" hidden="1">
      <c r="A1660" s="1">
        <f t="shared" si="154"/>
        <v>0</v>
      </c>
      <c r="C1660" s="3" t="s">
        <v>4452</v>
      </c>
      <c r="D1660" s="15" t="s">
        <v>16</v>
      </c>
      <c r="E1660" s="30"/>
      <c r="F1660" s="31" t="s">
        <v>4453</v>
      </c>
      <c r="G1660" s="49">
        <f>G1661</f>
        <v>0</v>
      </c>
      <c r="H1660" s="49">
        <f>H1661</f>
        <v>0</v>
      </c>
      <c r="I1660" s="15"/>
      <c r="J1660" s="494"/>
      <c r="K1660" s="513"/>
      <c r="L1660" s="513"/>
      <c r="M1660" s="513"/>
      <c r="N1660" s="514"/>
      <c r="O1660" s="513"/>
      <c r="P1660" s="513"/>
      <c r="Q1660" s="513"/>
      <c r="R1660" s="513"/>
      <c r="S1660" s="513"/>
      <c r="T1660" s="514"/>
      <c r="U1660" s="49">
        <f>U1661</f>
        <v>0</v>
      </c>
      <c r="V1660" s="15" t="str">
        <f t="shared" si="153"/>
        <v>204110400</v>
      </c>
      <c r="W1660" s="33">
        <v>2</v>
      </c>
      <c r="X1660" s="34" t="s">
        <v>693</v>
      </c>
      <c r="Y1660" s="34" t="s">
        <v>1229</v>
      </c>
      <c r="Z1660" s="34" t="s">
        <v>693</v>
      </c>
      <c r="AA1660" s="34" t="s">
        <v>630</v>
      </c>
      <c r="AB1660" s="31" t="s">
        <v>4453</v>
      </c>
      <c r="AC1660" s="529">
        <f>AC1661</f>
        <v>0</v>
      </c>
      <c r="AD1660" s="513">
        <v>0</v>
      </c>
      <c r="AE1660" s="513" t="s">
        <v>13587</v>
      </c>
      <c r="AF1660" s="513" t="s">
        <v>608</v>
      </c>
      <c r="AG1660" s="514" t="s">
        <v>4454</v>
      </c>
      <c r="AH1660" s="44">
        <f>AH1661</f>
        <v>0</v>
      </c>
      <c r="AI1660" s="10"/>
      <c r="AJ1660" s="9">
        <f t="shared" ref="AJ1660:AJ1665" si="156">AH1660-H1660</f>
        <v>0</v>
      </c>
      <c r="AK1660" s="10"/>
      <c r="AL1660" s="10"/>
    </row>
    <row r="1661" spans="1:38" ht="22.5" hidden="1">
      <c r="A1661" s="1">
        <f t="shared" si="154"/>
        <v>0</v>
      </c>
      <c r="B1661" s="2" t="s">
        <v>4455</v>
      </c>
      <c r="C1661" s="3" t="s">
        <v>4452</v>
      </c>
      <c r="D1661" s="15" t="s">
        <v>11809</v>
      </c>
      <c r="E1661" s="4" t="s">
        <v>4455</v>
      </c>
      <c r="F1661" s="37" t="s">
        <v>4452</v>
      </c>
      <c r="G1661" s="38">
        <v>0</v>
      </c>
      <c r="H1661" s="38">
        <v>0</v>
      </c>
      <c r="I1661" s="15"/>
      <c r="J1661" s="494">
        <v>20411040101</v>
      </c>
      <c r="K1661" s="517"/>
      <c r="L1661" s="517" t="s">
        <v>13587</v>
      </c>
      <c r="M1661" s="517" t="s">
        <v>608</v>
      </c>
      <c r="N1661" s="518" t="s">
        <v>4454</v>
      </c>
      <c r="O1661" s="517">
        <v>2</v>
      </c>
      <c r="P1661" s="517" t="s">
        <v>693</v>
      </c>
      <c r="Q1661" s="517" t="s">
        <v>1229</v>
      </c>
      <c r="R1661" s="517" t="s">
        <v>693</v>
      </c>
      <c r="S1661" s="517" t="s">
        <v>632</v>
      </c>
      <c r="T1661" s="518" t="s">
        <v>4453</v>
      </c>
      <c r="U1661" s="38">
        <v>0</v>
      </c>
      <c r="V1661" s="15" t="str">
        <f t="shared" si="153"/>
        <v>204110401</v>
      </c>
      <c r="W1661" s="39">
        <v>2</v>
      </c>
      <c r="X1661" s="50" t="s">
        <v>693</v>
      </c>
      <c r="Y1661" s="40" t="s">
        <v>1229</v>
      </c>
      <c r="Z1661" s="40" t="s">
        <v>693</v>
      </c>
      <c r="AA1661" s="40" t="s">
        <v>632</v>
      </c>
      <c r="AB1661" s="42" t="s">
        <v>4453</v>
      </c>
      <c r="AC1661" s="519">
        <f>H1661</f>
        <v>0</v>
      </c>
      <c r="AD1661" s="517">
        <v>0</v>
      </c>
      <c r="AE1661" s="517" t="s">
        <v>13587</v>
      </c>
      <c r="AF1661" s="517" t="s">
        <v>608</v>
      </c>
      <c r="AG1661" s="518" t="s">
        <v>4454</v>
      </c>
      <c r="AH1661" s="67">
        <f>AC1661</f>
        <v>0</v>
      </c>
      <c r="AI1661" s="10"/>
      <c r="AJ1661" s="9">
        <f t="shared" si="156"/>
        <v>0</v>
      </c>
      <c r="AK1661" s="10"/>
      <c r="AL1661" s="10"/>
    </row>
    <row r="1662" spans="1:38" hidden="1">
      <c r="A1662" s="1">
        <f t="shared" si="154"/>
        <v>0</v>
      </c>
      <c r="C1662" s="3" t="s">
        <v>4456</v>
      </c>
      <c r="D1662" s="15" t="s">
        <v>16</v>
      </c>
      <c r="E1662" s="30"/>
      <c r="F1662" s="31" t="s">
        <v>4457</v>
      </c>
      <c r="G1662" s="32">
        <f>SUM(G1663:G1697)</f>
        <v>1518074.4999999998</v>
      </c>
      <c r="H1662" s="32">
        <f>SUM(H1663:H1697)</f>
        <v>1246519.7</v>
      </c>
      <c r="I1662" s="15"/>
      <c r="J1662" s="494"/>
      <c r="K1662" s="513"/>
      <c r="L1662" s="513"/>
      <c r="M1662" s="513"/>
      <c r="N1662" s="514"/>
      <c r="O1662" s="513"/>
      <c r="P1662" s="513"/>
      <c r="Q1662" s="513"/>
      <c r="R1662" s="513"/>
      <c r="S1662" s="513"/>
      <c r="T1662" s="514"/>
      <c r="U1662" s="32">
        <f>SUM(U1663:U1697)</f>
        <v>1246519.7</v>
      </c>
      <c r="V1662" s="15" t="str">
        <f t="shared" si="153"/>
        <v>204110500</v>
      </c>
      <c r="W1662" s="33">
        <v>2</v>
      </c>
      <c r="X1662" s="34" t="s">
        <v>693</v>
      </c>
      <c r="Y1662" s="34" t="s">
        <v>1229</v>
      </c>
      <c r="Z1662" s="35" t="s">
        <v>714</v>
      </c>
      <c r="AA1662" s="35" t="s">
        <v>630</v>
      </c>
      <c r="AB1662" s="31" t="s">
        <v>4457</v>
      </c>
      <c r="AC1662" s="529">
        <f>SUM(AC1663:AC1696)</f>
        <v>1246519.7</v>
      </c>
      <c r="AD1662" s="513">
        <v>0</v>
      </c>
      <c r="AE1662" s="513" t="s">
        <v>13588</v>
      </c>
      <c r="AF1662" s="513" t="s">
        <v>609</v>
      </c>
      <c r="AG1662" s="514" t="s">
        <v>4458</v>
      </c>
      <c r="AH1662" s="44">
        <f>SUM(AH1663:AH1696)</f>
        <v>1246519.7</v>
      </c>
      <c r="AI1662" s="10"/>
      <c r="AJ1662" s="9">
        <f t="shared" si="156"/>
        <v>0</v>
      </c>
      <c r="AK1662" s="10"/>
      <c r="AL1662" s="10"/>
    </row>
    <row r="1663" spans="1:38" ht="22.5" hidden="1">
      <c r="A1663" s="1">
        <f t="shared" si="154"/>
        <v>0</v>
      </c>
      <c r="B1663" s="2" t="s">
        <v>4459</v>
      </c>
      <c r="C1663" s="3" t="s">
        <v>4460</v>
      </c>
      <c r="D1663" s="15" t="s">
        <v>11810</v>
      </c>
      <c r="E1663" s="4" t="s">
        <v>4459</v>
      </c>
      <c r="F1663" s="37" t="s">
        <v>4460</v>
      </c>
      <c r="G1663" s="38">
        <v>0</v>
      </c>
      <c r="H1663" s="38">
        <v>0</v>
      </c>
      <c r="I1663" s="15"/>
      <c r="J1663" s="494">
        <v>20411050101</v>
      </c>
      <c r="K1663" s="517"/>
      <c r="L1663" s="517" t="s">
        <v>13588</v>
      </c>
      <c r="M1663" s="517" t="s">
        <v>609</v>
      </c>
      <c r="N1663" s="518" t="s">
        <v>4458</v>
      </c>
      <c r="O1663" s="517">
        <v>2</v>
      </c>
      <c r="P1663" s="517" t="s">
        <v>693</v>
      </c>
      <c r="Q1663" s="517" t="s">
        <v>1229</v>
      </c>
      <c r="R1663" s="517" t="s">
        <v>714</v>
      </c>
      <c r="S1663" s="517" t="s">
        <v>632</v>
      </c>
      <c r="T1663" s="518" t="s">
        <v>4461</v>
      </c>
      <c r="U1663" s="38">
        <v>0</v>
      </c>
      <c r="V1663" s="15" t="str">
        <f t="shared" si="153"/>
        <v>204110501</v>
      </c>
      <c r="W1663" s="39">
        <v>2</v>
      </c>
      <c r="X1663" s="50" t="s">
        <v>693</v>
      </c>
      <c r="Y1663" s="40" t="s">
        <v>1229</v>
      </c>
      <c r="Z1663" s="40" t="s">
        <v>714</v>
      </c>
      <c r="AA1663" s="40" t="s">
        <v>632</v>
      </c>
      <c r="AB1663" s="41" t="s">
        <v>4461</v>
      </c>
      <c r="AC1663" s="519">
        <f>SUM(H1663:H1664)</f>
        <v>0</v>
      </c>
      <c r="AD1663" s="517">
        <v>0</v>
      </c>
      <c r="AE1663" s="517" t="s">
        <v>13588</v>
      </c>
      <c r="AF1663" s="517" t="s">
        <v>609</v>
      </c>
      <c r="AG1663" s="520" t="s">
        <v>4458</v>
      </c>
      <c r="AH1663" s="67">
        <f>AC1663</f>
        <v>0</v>
      </c>
      <c r="AI1663" s="10"/>
      <c r="AJ1663" s="9">
        <f t="shared" si="156"/>
        <v>0</v>
      </c>
      <c r="AK1663" s="10"/>
      <c r="AL1663" s="10"/>
    </row>
    <row r="1664" spans="1:38" ht="22.5" hidden="1">
      <c r="A1664" s="1">
        <f t="shared" si="154"/>
        <v>0</v>
      </c>
      <c r="B1664" s="2" t="s">
        <v>4462</v>
      </c>
      <c r="C1664" s="3" t="s">
        <v>4463</v>
      </c>
      <c r="D1664" s="15" t="s">
        <v>11810</v>
      </c>
      <c r="E1664" s="4" t="s">
        <v>4462</v>
      </c>
      <c r="F1664" s="37" t="s">
        <v>4463</v>
      </c>
      <c r="G1664" s="38">
        <v>0</v>
      </c>
      <c r="H1664" s="38">
        <v>0</v>
      </c>
      <c r="I1664" s="15"/>
      <c r="J1664" s="494">
        <v>20411050102</v>
      </c>
      <c r="K1664" s="517"/>
      <c r="L1664" s="517" t="s">
        <v>13588</v>
      </c>
      <c r="M1664" s="517" t="s">
        <v>609</v>
      </c>
      <c r="N1664" s="518" t="s">
        <v>4458</v>
      </c>
      <c r="O1664" s="517">
        <v>2</v>
      </c>
      <c r="P1664" s="517" t="s">
        <v>693</v>
      </c>
      <c r="Q1664" s="517" t="s">
        <v>1229</v>
      </c>
      <c r="R1664" s="517" t="s">
        <v>714</v>
      </c>
      <c r="S1664" s="517" t="s">
        <v>632</v>
      </c>
      <c r="T1664" s="518" t="s">
        <v>4461</v>
      </c>
      <c r="U1664" s="38">
        <v>0</v>
      </c>
      <c r="V1664" s="15" t="str">
        <f t="shared" si="153"/>
        <v/>
      </c>
      <c r="W1664" s="1"/>
      <c r="X1664" s="1"/>
      <c r="Y1664" s="1"/>
      <c r="Z1664" s="1"/>
      <c r="AA1664" s="1"/>
      <c r="AB1664" s="3"/>
      <c r="AC1664" s="9"/>
      <c r="AD1664" s="517" t="e">
        <v>#N/A</v>
      </c>
      <c r="AE1664" s="517" t="e">
        <v>#N/A</v>
      </c>
      <c r="AF1664" s="517" t="e">
        <v>#N/A</v>
      </c>
      <c r="AG1664" s="520" t="e">
        <v>#N/A</v>
      </c>
      <c r="AH1664" s="9"/>
      <c r="AI1664" s="10"/>
      <c r="AJ1664" s="9">
        <f t="shared" si="156"/>
        <v>0</v>
      </c>
      <c r="AK1664" s="10"/>
      <c r="AL1664" s="10"/>
    </row>
    <row r="1665" spans="1:38" ht="22.5" hidden="1">
      <c r="A1665" s="1">
        <f t="shared" si="154"/>
        <v>0</v>
      </c>
      <c r="B1665" s="2" t="s">
        <v>4464</v>
      </c>
      <c r="C1665" s="3" t="s">
        <v>4465</v>
      </c>
      <c r="D1665" s="15" t="s">
        <v>11811</v>
      </c>
      <c r="E1665" s="4" t="s">
        <v>4464</v>
      </c>
      <c r="F1665" s="37" t="s">
        <v>4465</v>
      </c>
      <c r="G1665" s="38">
        <v>0</v>
      </c>
      <c r="H1665" s="38">
        <v>0</v>
      </c>
      <c r="I1665" s="15"/>
      <c r="J1665" s="494">
        <v>20411050201</v>
      </c>
      <c r="K1665" s="517"/>
      <c r="L1665" s="517" t="s">
        <v>13588</v>
      </c>
      <c r="M1665" s="517" t="s">
        <v>609</v>
      </c>
      <c r="N1665" s="518" t="s">
        <v>4458</v>
      </c>
      <c r="O1665" s="517">
        <v>2</v>
      </c>
      <c r="P1665" s="517" t="s">
        <v>693</v>
      </c>
      <c r="Q1665" s="517" t="s">
        <v>1229</v>
      </c>
      <c r="R1665" s="517" t="s">
        <v>714</v>
      </c>
      <c r="S1665" s="517" t="s">
        <v>647</v>
      </c>
      <c r="T1665" s="518" t="s">
        <v>4466</v>
      </c>
      <c r="U1665" s="38">
        <v>0</v>
      </c>
      <c r="V1665" s="15" t="str">
        <f t="shared" si="153"/>
        <v>204110502</v>
      </c>
      <c r="W1665" s="39">
        <v>2</v>
      </c>
      <c r="X1665" s="50" t="s">
        <v>693</v>
      </c>
      <c r="Y1665" s="40" t="s">
        <v>1229</v>
      </c>
      <c r="Z1665" s="40" t="s">
        <v>714</v>
      </c>
      <c r="AA1665" s="40" t="s">
        <v>647</v>
      </c>
      <c r="AB1665" s="41" t="s">
        <v>4466</v>
      </c>
      <c r="AC1665" s="519">
        <f>H1665</f>
        <v>0</v>
      </c>
      <c r="AD1665" s="517">
        <v>0</v>
      </c>
      <c r="AE1665" s="517" t="s">
        <v>13588</v>
      </c>
      <c r="AF1665" s="517" t="s">
        <v>609</v>
      </c>
      <c r="AG1665" s="520" t="s">
        <v>4458</v>
      </c>
      <c r="AH1665" s="67">
        <f>AC1665</f>
        <v>0</v>
      </c>
      <c r="AI1665" s="10"/>
      <c r="AJ1665" s="9">
        <f t="shared" si="156"/>
        <v>0</v>
      </c>
      <c r="AK1665" s="10"/>
      <c r="AL1665" s="10"/>
    </row>
    <row r="1666" spans="1:38" ht="67.5" hidden="1">
      <c r="A1666" s="1">
        <f t="shared" si="154"/>
        <v>0</v>
      </c>
      <c r="B1666" s="2" t="s">
        <v>4467</v>
      </c>
      <c r="C1666" s="3" t="s">
        <v>4468</v>
      </c>
      <c r="D1666" s="15" t="s">
        <v>11812</v>
      </c>
      <c r="E1666" s="4" t="s">
        <v>4467</v>
      </c>
      <c r="F1666" s="37" t="s">
        <v>4468</v>
      </c>
      <c r="G1666" s="38">
        <v>0</v>
      </c>
      <c r="H1666" s="38">
        <v>0</v>
      </c>
      <c r="I1666" s="15"/>
      <c r="J1666" s="494">
        <v>20411050401</v>
      </c>
      <c r="K1666" s="517"/>
      <c r="L1666" s="517" t="s">
        <v>13588</v>
      </c>
      <c r="M1666" s="517" t="s">
        <v>609</v>
      </c>
      <c r="N1666" s="518" t="s">
        <v>4458</v>
      </c>
      <c r="O1666" s="517">
        <v>2</v>
      </c>
      <c r="P1666" s="517" t="s">
        <v>693</v>
      </c>
      <c r="Q1666" s="517" t="s">
        <v>1229</v>
      </c>
      <c r="R1666" s="517" t="s">
        <v>714</v>
      </c>
      <c r="S1666" s="517" t="s">
        <v>693</v>
      </c>
      <c r="T1666" s="518" t="s">
        <v>4469</v>
      </c>
      <c r="U1666" s="38">
        <v>0</v>
      </c>
      <c r="V1666" s="15" t="str">
        <f t="shared" si="153"/>
        <v>204110504</v>
      </c>
      <c r="W1666" s="39">
        <v>2</v>
      </c>
      <c r="X1666" s="50" t="s">
        <v>693</v>
      </c>
      <c r="Y1666" s="40" t="s">
        <v>1229</v>
      </c>
      <c r="Z1666" s="40" t="s">
        <v>714</v>
      </c>
      <c r="AA1666" s="40" t="s">
        <v>693</v>
      </c>
      <c r="AB1666" s="42" t="s">
        <v>4469</v>
      </c>
      <c r="AC1666" s="519">
        <f>SUM(H1666:H1677)</f>
        <v>485273.19</v>
      </c>
      <c r="AD1666" s="517">
        <v>0</v>
      </c>
      <c r="AE1666" s="517" t="s">
        <v>13588</v>
      </c>
      <c r="AF1666" s="517" t="s">
        <v>609</v>
      </c>
      <c r="AG1666" s="518" t="s">
        <v>4458</v>
      </c>
      <c r="AH1666" s="67">
        <f>AC1666</f>
        <v>485273.19</v>
      </c>
      <c r="AI1666" s="10"/>
      <c r="AJ1666" s="9"/>
      <c r="AK1666" s="10"/>
      <c r="AL1666" s="10"/>
    </row>
    <row r="1667" spans="1:38" ht="45" hidden="1">
      <c r="A1667" s="1">
        <f t="shared" si="154"/>
        <v>0</v>
      </c>
      <c r="B1667" s="2" t="s">
        <v>4470</v>
      </c>
      <c r="C1667" s="3" t="s">
        <v>4471</v>
      </c>
      <c r="D1667" s="15" t="s">
        <v>11812</v>
      </c>
      <c r="E1667" s="4" t="s">
        <v>4470</v>
      </c>
      <c r="F1667" s="37" t="s">
        <v>4471</v>
      </c>
      <c r="G1667" s="38">
        <v>0</v>
      </c>
      <c r="H1667" s="38">
        <v>0</v>
      </c>
      <c r="I1667" s="15"/>
      <c r="J1667" s="494">
        <v>20411050402</v>
      </c>
      <c r="K1667" s="517"/>
      <c r="L1667" s="517" t="s">
        <v>13588</v>
      </c>
      <c r="M1667" s="517" t="s">
        <v>609</v>
      </c>
      <c r="N1667" s="518" t="s">
        <v>4458</v>
      </c>
      <c r="O1667" s="517">
        <v>2</v>
      </c>
      <c r="P1667" s="517" t="s">
        <v>693</v>
      </c>
      <c r="Q1667" s="517" t="s">
        <v>1229</v>
      </c>
      <c r="R1667" s="517" t="s">
        <v>714</v>
      </c>
      <c r="S1667" s="517" t="s">
        <v>693</v>
      </c>
      <c r="T1667" s="518" t="s">
        <v>4469</v>
      </c>
      <c r="U1667" s="38">
        <v>0</v>
      </c>
      <c r="V1667" s="15" t="str">
        <f t="shared" ref="V1667:V1730" si="157">CONCATENATE(W1667,X1667,Y1667,Z1667,AA1667)</f>
        <v/>
      </c>
      <c r="W1667" s="1"/>
      <c r="X1667" s="1"/>
      <c r="Y1667" s="1"/>
      <c r="Z1667" s="1"/>
      <c r="AA1667" s="1"/>
      <c r="AB1667" s="3"/>
      <c r="AC1667" s="9"/>
      <c r="AD1667" s="517" t="e">
        <v>#N/A</v>
      </c>
      <c r="AE1667" s="517" t="e">
        <v>#N/A</v>
      </c>
      <c r="AF1667" s="517" t="e">
        <v>#N/A</v>
      </c>
      <c r="AG1667" s="520" t="e">
        <v>#N/A</v>
      </c>
      <c r="AH1667" s="9"/>
      <c r="AI1667" s="10"/>
      <c r="AJ1667" s="9"/>
      <c r="AK1667" s="10"/>
      <c r="AL1667" s="10"/>
    </row>
    <row r="1668" spans="1:38" ht="45" hidden="1">
      <c r="A1668" s="1">
        <f t="shared" si="154"/>
        <v>0</v>
      </c>
      <c r="B1668" s="2" t="s">
        <v>4472</v>
      </c>
      <c r="C1668" s="3" t="s">
        <v>4473</v>
      </c>
      <c r="D1668" s="15" t="s">
        <v>11812</v>
      </c>
      <c r="E1668" s="4" t="s">
        <v>4472</v>
      </c>
      <c r="F1668" s="37" t="s">
        <v>4473</v>
      </c>
      <c r="G1668" s="38">
        <v>0</v>
      </c>
      <c r="H1668" s="38">
        <v>0</v>
      </c>
      <c r="I1668" s="15"/>
      <c r="J1668" s="494">
        <v>20411050403</v>
      </c>
      <c r="K1668" s="517"/>
      <c r="L1668" s="517" t="s">
        <v>13588</v>
      </c>
      <c r="M1668" s="517" t="s">
        <v>609</v>
      </c>
      <c r="N1668" s="518" t="s">
        <v>4458</v>
      </c>
      <c r="O1668" s="517">
        <v>2</v>
      </c>
      <c r="P1668" s="517" t="s">
        <v>693</v>
      </c>
      <c r="Q1668" s="517" t="s">
        <v>1229</v>
      </c>
      <c r="R1668" s="517" t="s">
        <v>714</v>
      </c>
      <c r="S1668" s="517" t="s">
        <v>693</v>
      </c>
      <c r="T1668" s="518" t="s">
        <v>4469</v>
      </c>
      <c r="U1668" s="38">
        <v>0</v>
      </c>
      <c r="V1668" s="15" t="str">
        <f t="shared" si="157"/>
        <v/>
      </c>
      <c r="W1668" s="1"/>
      <c r="X1668" s="1"/>
      <c r="Y1668" s="1"/>
      <c r="Z1668" s="1"/>
      <c r="AA1668" s="1"/>
      <c r="AB1668" s="3"/>
      <c r="AC1668" s="9"/>
      <c r="AD1668" s="517" t="e">
        <v>#N/A</v>
      </c>
      <c r="AE1668" s="517" t="e">
        <v>#N/A</v>
      </c>
      <c r="AF1668" s="517" t="e">
        <v>#N/A</v>
      </c>
      <c r="AG1668" s="520" t="e">
        <v>#N/A</v>
      </c>
      <c r="AH1668" s="9"/>
      <c r="AI1668" s="10"/>
      <c r="AJ1668" s="9"/>
      <c r="AK1668" s="10"/>
      <c r="AL1668" s="10"/>
    </row>
    <row r="1669" spans="1:38" ht="45" hidden="1">
      <c r="A1669" s="1">
        <f t="shared" si="154"/>
        <v>0</v>
      </c>
      <c r="B1669" s="2" t="s">
        <v>4474</v>
      </c>
      <c r="C1669" s="3" t="s">
        <v>4475</v>
      </c>
      <c r="D1669" s="15" t="s">
        <v>11812</v>
      </c>
      <c r="E1669" s="4" t="s">
        <v>4474</v>
      </c>
      <c r="F1669" s="37" t="s">
        <v>4475</v>
      </c>
      <c r="G1669" s="38">
        <v>0</v>
      </c>
      <c r="H1669" s="38">
        <v>0</v>
      </c>
      <c r="I1669" s="15"/>
      <c r="J1669" s="494">
        <v>20411050404</v>
      </c>
      <c r="L1669" s="523" t="s">
        <v>13588</v>
      </c>
      <c r="M1669" s="523" t="s">
        <v>609</v>
      </c>
      <c r="N1669" s="518" t="s">
        <v>4458</v>
      </c>
      <c r="O1669" s="523">
        <v>2</v>
      </c>
      <c r="P1669" s="523" t="s">
        <v>693</v>
      </c>
      <c r="Q1669" s="523" t="s">
        <v>1229</v>
      </c>
      <c r="R1669" s="523" t="s">
        <v>714</v>
      </c>
      <c r="S1669" s="523" t="s">
        <v>693</v>
      </c>
      <c r="T1669" s="518" t="s">
        <v>4469</v>
      </c>
      <c r="U1669" s="38">
        <v>0</v>
      </c>
      <c r="V1669" s="15" t="str">
        <f t="shared" si="157"/>
        <v/>
      </c>
      <c r="W1669" s="10"/>
      <c r="X1669" s="10"/>
      <c r="Y1669" s="10"/>
      <c r="Z1669" s="10"/>
      <c r="AA1669" s="10"/>
      <c r="AB1669" s="10"/>
      <c r="AC1669" s="9"/>
      <c r="AD1669" s="523" t="e">
        <v>#N/A</v>
      </c>
      <c r="AE1669" s="523" t="e">
        <v>#N/A</v>
      </c>
      <c r="AF1669" s="523" t="e">
        <v>#N/A</v>
      </c>
      <c r="AG1669" s="524" t="e">
        <v>#N/A</v>
      </c>
      <c r="AH1669" s="9"/>
      <c r="AI1669" s="10"/>
      <c r="AJ1669" s="9"/>
      <c r="AK1669" s="10"/>
      <c r="AL1669" s="10"/>
    </row>
    <row r="1670" spans="1:38" ht="45" hidden="1">
      <c r="A1670" s="1">
        <f t="shared" si="154"/>
        <v>0</v>
      </c>
      <c r="B1670" s="2" t="s">
        <v>4476</v>
      </c>
      <c r="C1670" s="3" t="s">
        <v>4477</v>
      </c>
      <c r="D1670" s="15" t="s">
        <v>11812</v>
      </c>
      <c r="E1670" s="4" t="s">
        <v>4476</v>
      </c>
      <c r="F1670" s="37" t="s">
        <v>4477</v>
      </c>
      <c r="G1670" s="38">
        <v>0</v>
      </c>
      <c r="H1670" s="38">
        <v>0</v>
      </c>
      <c r="I1670" s="15"/>
      <c r="J1670" s="494">
        <v>20411050405</v>
      </c>
      <c r="L1670" s="523" t="s">
        <v>13588</v>
      </c>
      <c r="M1670" s="523" t="s">
        <v>609</v>
      </c>
      <c r="N1670" s="518" t="s">
        <v>4458</v>
      </c>
      <c r="O1670" s="523">
        <v>2</v>
      </c>
      <c r="P1670" s="523" t="s">
        <v>693</v>
      </c>
      <c r="Q1670" s="523" t="s">
        <v>1229</v>
      </c>
      <c r="R1670" s="523" t="s">
        <v>714</v>
      </c>
      <c r="S1670" s="523" t="s">
        <v>693</v>
      </c>
      <c r="T1670" s="518" t="s">
        <v>4469</v>
      </c>
      <c r="U1670" s="38">
        <v>0</v>
      </c>
      <c r="V1670" s="15" t="str">
        <f t="shared" si="157"/>
        <v/>
      </c>
      <c r="W1670" s="10"/>
      <c r="X1670" s="10"/>
      <c r="Y1670" s="10"/>
      <c r="Z1670" s="10"/>
      <c r="AA1670" s="10"/>
      <c r="AB1670" s="10"/>
      <c r="AC1670" s="9"/>
      <c r="AD1670" s="523" t="e">
        <v>#N/A</v>
      </c>
      <c r="AE1670" s="523" t="e">
        <v>#N/A</v>
      </c>
      <c r="AF1670" s="523" t="e">
        <v>#N/A</v>
      </c>
      <c r="AG1670" s="524" t="e">
        <v>#N/A</v>
      </c>
      <c r="AH1670" s="9"/>
      <c r="AI1670" s="10"/>
      <c r="AJ1670" s="9"/>
      <c r="AK1670" s="10"/>
      <c r="AL1670" s="10"/>
    </row>
    <row r="1671" spans="1:38" ht="45" hidden="1">
      <c r="A1671" s="1">
        <f t="shared" si="154"/>
        <v>0</v>
      </c>
      <c r="B1671" s="2" t="s">
        <v>4478</v>
      </c>
      <c r="C1671" s="3" t="s">
        <v>4479</v>
      </c>
      <c r="D1671" s="15" t="s">
        <v>11812</v>
      </c>
      <c r="E1671" s="4" t="s">
        <v>4478</v>
      </c>
      <c r="F1671" s="37" t="s">
        <v>4479</v>
      </c>
      <c r="G1671" s="38">
        <v>0</v>
      </c>
      <c r="H1671" s="38">
        <v>0</v>
      </c>
      <c r="I1671" s="15"/>
      <c r="J1671" s="494">
        <v>20411050406</v>
      </c>
      <c r="L1671" s="523" t="s">
        <v>13588</v>
      </c>
      <c r="M1671" s="523" t="s">
        <v>609</v>
      </c>
      <c r="N1671" s="518" t="s">
        <v>4458</v>
      </c>
      <c r="O1671" s="523">
        <v>2</v>
      </c>
      <c r="P1671" s="523" t="s">
        <v>693</v>
      </c>
      <c r="Q1671" s="523" t="s">
        <v>1229</v>
      </c>
      <c r="R1671" s="523" t="s">
        <v>714</v>
      </c>
      <c r="S1671" s="523" t="s">
        <v>693</v>
      </c>
      <c r="T1671" s="518" t="s">
        <v>4469</v>
      </c>
      <c r="U1671" s="38">
        <v>0</v>
      </c>
      <c r="V1671" s="15" t="str">
        <f t="shared" si="157"/>
        <v/>
      </c>
      <c r="W1671" s="10"/>
      <c r="X1671" s="10"/>
      <c r="Y1671" s="10"/>
      <c r="Z1671" s="10"/>
      <c r="AA1671" s="10"/>
      <c r="AB1671" s="10"/>
      <c r="AC1671" s="9"/>
      <c r="AD1671" s="523" t="e">
        <v>#N/A</v>
      </c>
      <c r="AE1671" s="523" t="e">
        <v>#N/A</v>
      </c>
      <c r="AF1671" s="523" t="e">
        <v>#N/A</v>
      </c>
      <c r="AG1671" s="524" t="e">
        <v>#N/A</v>
      </c>
      <c r="AH1671" s="9"/>
      <c r="AI1671" s="10"/>
      <c r="AJ1671" s="9"/>
      <c r="AK1671" s="10"/>
      <c r="AL1671" s="10"/>
    </row>
    <row r="1672" spans="1:38" ht="45" hidden="1">
      <c r="A1672" s="1">
        <f t="shared" si="154"/>
        <v>0</v>
      </c>
      <c r="B1672" s="2" t="s">
        <v>4480</v>
      </c>
      <c r="C1672" s="3" t="s">
        <v>4481</v>
      </c>
      <c r="D1672" s="15" t="s">
        <v>11812</v>
      </c>
      <c r="E1672" s="4" t="s">
        <v>4480</v>
      </c>
      <c r="F1672" s="37" t="s">
        <v>4481</v>
      </c>
      <c r="G1672" s="38">
        <v>4757.24</v>
      </c>
      <c r="H1672" s="38">
        <v>21873.65</v>
      </c>
      <c r="I1672" s="15"/>
      <c r="J1672" s="494">
        <v>20411050407</v>
      </c>
      <c r="K1672" s="517"/>
      <c r="L1672" s="517" t="s">
        <v>13588</v>
      </c>
      <c r="M1672" s="517" t="s">
        <v>609</v>
      </c>
      <c r="N1672" s="518" t="s">
        <v>4458</v>
      </c>
      <c r="O1672" s="517">
        <v>2</v>
      </c>
      <c r="P1672" s="517" t="s">
        <v>693</v>
      </c>
      <c r="Q1672" s="517" t="s">
        <v>1229</v>
      </c>
      <c r="R1672" s="517" t="s">
        <v>714</v>
      </c>
      <c r="S1672" s="517" t="s">
        <v>693</v>
      </c>
      <c r="T1672" s="518" t="s">
        <v>4469</v>
      </c>
      <c r="U1672" s="38">
        <v>21873.65</v>
      </c>
      <c r="V1672" s="15" t="str">
        <f t="shared" si="157"/>
        <v/>
      </c>
      <c r="W1672" s="1"/>
      <c r="X1672" s="1"/>
      <c r="Y1672" s="1"/>
      <c r="Z1672" s="1"/>
      <c r="AA1672" s="1"/>
      <c r="AB1672" s="3"/>
      <c r="AC1672" s="9"/>
      <c r="AD1672" s="517" t="e">
        <v>#N/A</v>
      </c>
      <c r="AE1672" s="517" t="e">
        <v>#N/A</v>
      </c>
      <c r="AF1672" s="517" t="e">
        <v>#N/A</v>
      </c>
      <c r="AG1672" s="520" t="e">
        <v>#N/A</v>
      </c>
      <c r="AH1672" s="9"/>
      <c r="AI1672" s="10"/>
      <c r="AJ1672" s="9"/>
      <c r="AK1672" s="10"/>
      <c r="AL1672" s="10"/>
    </row>
    <row r="1673" spans="1:38" ht="45" hidden="1">
      <c r="A1673" s="1">
        <f t="shared" si="154"/>
        <v>0</v>
      </c>
      <c r="B1673" s="2" t="s">
        <v>4482</v>
      </c>
      <c r="C1673" s="3" t="s">
        <v>4483</v>
      </c>
      <c r="D1673" s="15" t="s">
        <v>11812</v>
      </c>
      <c r="E1673" s="4" t="s">
        <v>4482</v>
      </c>
      <c r="F1673" s="37" t="s">
        <v>4483</v>
      </c>
      <c r="G1673" s="38">
        <v>107053.53</v>
      </c>
      <c r="H1673" s="38">
        <v>206054.66</v>
      </c>
      <c r="I1673" s="15"/>
      <c r="J1673" s="494">
        <v>20411050408</v>
      </c>
      <c r="L1673" s="523" t="s">
        <v>13588</v>
      </c>
      <c r="M1673" s="523" t="s">
        <v>609</v>
      </c>
      <c r="N1673" s="518" t="s">
        <v>4458</v>
      </c>
      <c r="O1673" s="523">
        <v>2</v>
      </c>
      <c r="P1673" s="523" t="s">
        <v>693</v>
      </c>
      <c r="Q1673" s="523" t="s">
        <v>1229</v>
      </c>
      <c r="R1673" s="523" t="s">
        <v>714</v>
      </c>
      <c r="S1673" s="523" t="s">
        <v>693</v>
      </c>
      <c r="T1673" s="518" t="s">
        <v>4469</v>
      </c>
      <c r="U1673" s="38">
        <v>206054.66</v>
      </c>
      <c r="V1673" s="15" t="str">
        <f t="shared" si="157"/>
        <v/>
      </c>
      <c r="W1673" s="10"/>
      <c r="X1673" s="10"/>
      <c r="Y1673" s="10"/>
      <c r="Z1673" s="10"/>
      <c r="AA1673" s="10"/>
      <c r="AB1673" s="10"/>
      <c r="AC1673" s="9"/>
      <c r="AD1673" s="523" t="e">
        <v>#N/A</v>
      </c>
      <c r="AE1673" s="523" t="e">
        <v>#N/A</v>
      </c>
      <c r="AF1673" s="523" t="e">
        <v>#N/A</v>
      </c>
      <c r="AG1673" s="524" t="e">
        <v>#N/A</v>
      </c>
      <c r="AH1673" s="9"/>
      <c r="AI1673" s="10"/>
      <c r="AJ1673" s="9"/>
      <c r="AK1673" s="10"/>
      <c r="AL1673" s="10"/>
    </row>
    <row r="1674" spans="1:38" ht="45" hidden="1">
      <c r="A1674" s="1">
        <f t="shared" si="154"/>
        <v>0</v>
      </c>
      <c r="B1674" s="2" t="s">
        <v>4484</v>
      </c>
      <c r="C1674" s="3" t="s">
        <v>4485</v>
      </c>
      <c r="D1674" s="15" t="s">
        <v>11812</v>
      </c>
      <c r="E1674" s="4" t="s">
        <v>4484</v>
      </c>
      <c r="F1674" s="37" t="s">
        <v>4485</v>
      </c>
      <c r="G1674" s="38">
        <v>28427.46</v>
      </c>
      <c r="H1674" s="38">
        <v>-138583.43</v>
      </c>
      <c r="I1674" s="15"/>
      <c r="J1674" s="494">
        <v>20411050409</v>
      </c>
      <c r="L1674" s="523" t="s">
        <v>13588</v>
      </c>
      <c r="M1674" s="523" t="s">
        <v>609</v>
      </c>
      <c r="N1674" s="518" t="s">
        <v>4458</v>
      </c>
      <c r="O1674" s="523">
        <v>2</v>
      </c>
      <c r="P1674" s="523" t="s">
        <v>693</v>
      </c>
      <c r="Q1674" s="523" t="s">
        <v>1229</v>
      </c>
      <c r="R1674" s="523" t="s">
        <v>714</v>
      </c>
      <c r="S1674" s="523" t="s">
        <v>693</v>
      </c>
      <c r="T1674" s="518" t="s">
        <v>4469</v>
      </c>
      <c r="U1674" s="38">
        <v>-138583.43</v>
      </c>
      <c r="V1674" s="15" t="str">
        <f t="shared" si="157"/>
        <v/>
      </c>
      <c r="W1674" s="10"/>
      <c r="X1674" s="10"/>
      <c r="Y1674" s="10"/>
      <c r="Z1674" s="10"/>
      <c r="AA1674" s="10"/>
      <c r="AB1674" s="10"/>
      <c r="AC1674" s="9"/>
      <c r="AD1674" s="523" t="e">
        <v>#N/A</v>
      </c>
      <c r="AE1674" s="523" t="e">
        <v>#N/A</v>
      </c>
      <c r="AF1674" s="523" t="e">
        <v>#N/A</v>
      </c>
      <c r="AG1674" s="524" t="e">
        <v>#N/A</v>
      </c>
      <c r="AH1674" s="9"/>
      <c r="AI1674" s="10"/>
      <c r="AJ1674" s="9"/>
      <c r="AK1674" s="10"/>
      <c r="AL1674" s="10"/>
    </row>
    <row r="1675" spans="1:38" ht="45" hidden="1">
      <c r="A1675" s="1">
        <f t="shared" si="154"/>
        <v>0</v>
      </c>
      <c r="B1675" s="2" t="s">
        <v>4486</v>
      </c>
      <c r="C1675" s="3" t="s">
        <v>4487</v>
      </c>
      <c r="D1675" s="15" t="s">
        <v>11812</v>
      </c>
      <c r="E1675" s="4" t="s">
        <v>4486</v>
      </c>
      <c r="F1675" s="37" t="s">
        <v>4487</v>
      </c>
      <c r="G1675" s="38">
        <v>4234.12</v>
      </c>
      <c r="H1675" s="38">
        <v>5581.89</v>
      </c>
      <c r="I1675" s="15"/>
      <c r="J1675" s="494">
        <v>20411050410</v>
      </c>
      <c r="L1675" s="523" t="s">
        <v>13588</v>
      </c>
      <c r="M1675" s="523" t="s">
        <v>609</v>
      </c>
      <c r="N1675" s="518" t="s">
        <v>4458</v>
      </c>
      <c r="O1675" s="523">
        <v>2</v>
      </c>
      <c r="P1675" s="523" t="s">
        <v>693</v>
      </c>
      <c r="Q1675" s="523" t="s">
        <v>1229</v>
      </c>
      <c r="R1675" s="523" t="s">
        <v>714</v>
      </c>
      <c r="S1675" s="523" t="s">
        <v>693</v>
      </c>
      <c r="T1675" s="518" t="s">
        <v>4469</v>
      </c>
      <c r="U1675" s="38">
        <v>5581.89</v>
      </c>
      <c r="V1675" s="15" t="str">
        <f t="shared" si="157"/>
        <v/>
      </c>
      <c r="W1675" s="10"/>
      <c r="X1675" s="10"/>
      <c r="Y1675" s="10"/>
      <c r="Z1675" s="10"/>
      <c r="AA1675" s="10"/>
      <c r="AB1675" s="10"/>
      <c r="AC1675" s="9"/>
      <c r="AD1675" s="523" t="e">
        <v>#N/A</v>
      </c>
      <c r="AE1675" s="523" t="e">
        <v>#N/A</v>
      </c>
      <c r="AF1675" s="523" t="e">
        <v>#N/A</v>
      </c>
      <c r="AG1675" s="524" t="e">
        <v>#N/A</v>
      </c>
      <c r="AH1675" s="9"/>
      <c r="AI1675" s="10"/>
      <c r="AJ1675" s="9"/>
      <c r="AK1675" s="10"/>
      <c r="AL1675" s="10"/>
    </row>
    <row r="1676" spans="1:38" ht="45" hidden="1">
      <c r="A1676" s="1">
        <f t="shared" si="154"/>
        <v>0</v>
      </c>
      <c r="B1676" s="2" t="s">
        <v>4488</v>
      </c>
      <c r="C1676" s="3" t="s">
        <v>4489</v>
      </c>
      <c r="D1676" s="15" t="s">
        <v>11812</v>
      </c>
      <c r="E1676" s="4" t="s">
        <v>4488</v>
      </c>
      <c r="F1676" s="37" t="s">
        <v>4489</v>
      </c>
      <c r="G1676" s="38">
        <v>469316.3</v>
      </c>
      <c r="H1676" s="38">
        <v>390346.42</v>
      </c>
      <c r="I1676" s="15"/>
      <c r="J1676" s="494">
        <v>20411050411</v>
      </c>
      <c r="L1676" s="523" t="s">
        <v>13588</v>
      </c>
      <c r="M1676" s="523" t="s">
        <v>609</v>
      </c>
      <c r="N1676" s="518" t="s">
        <v>4458</v>
      </c>
      <c r="O1676" s="523">
        <v>2</v>
      </c>
      <c r="P1676" s="523" t="s">
        <v>693</v>
      </c>
      <c r="Q1676" s="523" t="s">
        <v>1229</v>
      </c>
      <c r="R1676" s="523" t="s">
        <v>714</v>
      </c>
      <c r="S1676" s="523" t="s">
        <v>693</v>
      </c>
      <c r="T1676" s="518" t="s">
        <v>4469</v>
      </c>
      <c r="U1676" s="38">
        <v>390346.42</v>
      </c>
      <c r="V1676" s="15" t="str">
        <f t="shared" si="157"/>
        <v/>
      </c>
      <c r="W1676" s="10"/>
      <c r="X1676" s="10"/>
      <c r="Y1676" s="10"/>
      <c r="Z1676" s="10"/>
      <c r="AA1676" s="10"/>
      <c r="AB1676" s="10"/>
      <c r="AC1676" s="9"/>
      <c r="AD1676" s="523" t="e">
        <v>#N/A</v>
      </c>
      <c r="AE1676" s="523" t="e">
        <v>#N/A</v>
      </c>
      <c r="AF1676" s="523" t="e">
        <v>#N/A</v>
      </c>
      <c r="AG1676" s="524" t="e">
        <v>#N/A</v>
      </c>
      <c r="AH1676" s="9"/>
      <c r="AI1676" s="10"/>
      <c r="AJ1676" s="9"/>
      <c r="AK1676" s="10"/>
      <c r="AL1676" s="10"/>
    </row>
    <row r="1677" spans="1:38" ht="22.5" hidden="1">
      <c r="A1677" s="1">
        <f t="shared" si="154"/>
        <v>0</v>
      </c>
      <c r="B1677" s="2" t="s">
        <v>4490</v>
      </c>
      <c r="C1677" s="3" t="s">
        <v>4491</v>
      </c>
      <c r="D1677" s="15" t="s">
        <v>11813</v>
      </c>
      <c r="E1677" s="4" t="s">
        <v>4490</v>
      </c>
      <c r="F1677" s="37" t="s">
        <v>4491</v>
      </c>
      <c r="G1677" s="38">
        <v>0</v>
      </c>
      <c r="H1677" s="38">
        <v>0</v>
      </c>
      <c r="I1677" s="15"/>
      <c r="J1677" s="494">
        <v>20411050501</v>
      </c>
      <c r="L1677" s="523" t="s">
        <v>13588</v>
      </c>
      <c r="M1677" s="523" t="s">
        <v>609</v>
      </c>
      <c r="N1677" s="518" t="s">
        <v>4458</v>
      </c>
      <c r="O1677" s="523">
        <v>2</v>
      </c>
      <c r="P1677" s="523" t="s">
        <v>693</v>
      </c>
      <c r="Q1677" s="523" t="s">
        <v>1229</v>
      </c>
      <c r="R1677" s="523" t="s">
        <v>714</v>
      </c>
      <c r="S1677" s="523" t="s">
        <v>714</v>
      </c>
      <c r="T1677" s="518" t="s">
        <v>4493</v>
      </c>
      <c r="U1677" s="38">
        <v>0</v>
      </c>
      <c r="V1677" s="15" t="str">
        <f t="shared" si="157"/>
        <v/>
      </c>
      <c r="W1677" s="10"/>
      <c r="X1677" s="10"/>
      <c r="Y1677" s="10"/>
      <c r="Z1677" s="10"/>
      <c r="AA1677" s="10"/>
      <c r="AB1677" s="10"/>
      <c r="AC1677" s="9"/>
      <c r="AD1677" s="523" t="e">
        <v>#N/A</v>
      </c>
      <c r="AE1677" s="523" t="e">
        <v>#N/A</v>
      </c>
      <c r="AF1677" s="523" t="e">
        <v>#N/A</v>
      </c>
      <c r="AG1677" s="524" t="e">
        <v>#N/A</v>
      </c>
      <c r="AH1677" s="9"/>
      <c r="AI1677" s="10"/>
      <c r="AJ1677" s="9">
        <f>AH1677-H1677</f>
        <v>0</v>
      </c>
      <c r="AK1677" s="10"/>
      <c r="AL1677" s="10"/>
    </row>
    <row r="1678" spans="1:38" ht="22.5" hidden="1">
      <c r="A1678" s="1">
        <f t="shared" si="154"/>
        <v>0</v>
      </c>
      <c r="B1678" s="2" t="s">
        <v>4492</v>
      </c>
      <c r="C1678" s="3" t="s">
        <v>4468</v>
      </c>
      <c r="D1678" s="15" t="s">
        <v>11813</v>
      </c>
      <c r="E1678" s="4" t="s">
        <v>4492</v>
      </c>
      <c r="F1678" s="37" t="s">
        <v>4468</v>
      </c>
      <c r="G1678" s="38">
        <v>202.98</v>
      </c>
      <c r="H1678" s="38">
        <v>0</v>
      </c>
      <c r="I1678" s="15"/>
      <c r="J1678" s="494">
        <v>20411050502</v>
      </c>
      <c r="K1678" s="517"/>
      <c r="L1678" s="517" t="s">
        <v>13588</v>
      </c>
      <c r="M1678" s="517" t="s">
        <v>609</v>
      </c>
      <c r="N1678" s="518" t="s">
        <v>4458</v>
      </c>
      <c r="O1678" s="517">
        <v>2</v>
      </c>
      <c r="P1678" s="517" t="s">
        <v>693</v>
      </c>
      <c r="Q1678" s="517" t="s">
        <v>1229</v>
      </c>
      <c r="R1678" s="517" t="s">
        <v>714</v>
      </c>
      <c r="S1678" s="517" t="s">
        <v>714</v>
      </c>
      <c r="T1678" s="518" t="s">
        <v>4493</v>
      </c>
      <c r="U1678" s="38">
        <v>0</v>
      </c>
      <c r="V1678" s="15" t="str">
        <f t="shared" si="157"/>
        <v>204110505</v>
      </c>
      <c r="W1678" s="39">
        <v>2</v>
      </c>
      <c r="X1678" s="50" t="s">
        <v>693</v>
      </c>
      <c r="Y1678" s="40" t="s">
        <v>1229</v>
      </c>
      <c r="Z1678" s="40" t="s">
        <v>714</v>
      </c>
      <c r="AA1678" s="40" t="s">
        <v>714</v>
      </c>
      <c r="AB1678" s="42" t="s">
        <v>4493</v>
      </c>
      <c r="AC1678" s="519">
        <f>SUM(H1678:H1683)</f>
        <v>-4445.62</v>
      </c>
      <c r="AD1678" s="517">
        <v>0</v>
      </c>
      <c r="AE1678" s="517" t="s">
        <v>13588</v>
      </c>
      <c r="AF1678" s="517" t="s">
        <v>609</v>
      </c>
      <c r="AG1678" s="518" t="s">
        <v>4458</v>
      </c>
      <c r="AH1678" s="67">
        <f>AC1678</f>
        <v>-4445.62</v>
      </c>
      <c r="AI1678" s="10"/>
      <c r="AJ1678" s="9"/>
      <c r="AK1678" s="10"/>
      <c r="AL1678" s="10"/>
    </row>
    <row r="1679" spans="1:38" ht="22.5" hidden="1">
      <c r="A1679" s="1">
        <f t="shared" si="154"/>
        <v>0</v>
      </c>
      <c r="B1679" s="2" t="s">
        <v>4494</v>
      </c>
      <c r="C1679" s="3" t="s">
        <v>4495</v>
      </c>
      <c r="D1679" s="15" t="s">
        <v>11813</v>
      </c>
      <c r="E1679" s="4" t="s">
        <v>4494</v>
      </c>
      <c r="F1679" s="37" t="s">
        <v>4471</v>
      </c>
      <c r="G1679" s="38">
        <v>2600</v>
      </c>
      <c r="H1679" s="38">
        <v>0</v>
      </c>
      <c r="I1679" s="15"/>
      <c r="J1679" s="494">
        <v>20411050503</v>
      </c>
      <c r="L1679" s="523" t="s">
        <v>13588</v>
      </c>
      <c r="M1679" s="523" t="s">
        <v>609</v>
      </c>
      <c r="N1679" s="518" t="s">
        <v>4458</v>
      </c>
      <c r="O1679" s="523">
        <v>2</v>
      </c>
      <c r="P1679" s="523" t="s">
        <v>693</v>
      </c>
      <c r="Q1679" s="523" t="s">
        <v>1229</v>
      </c>
      <c r="R1679" s="523" t="s">
        <v>714</v>
      </c>
      <c r="S1679" s="523" t="s">
        <v>714</v>
      </c>
      <c r="T1679" s="518" t="s">
        <v>4493</v>
      </c>
      <c r="U1679" s="38">
        <v>0</v>
      </c>
      <c r="V1679" s="15" t="str">
        <f t="shared" si="157"/>
        <v/>
      </c>
      <c r="W1679" s="10"/>
      <c r="X1679" s="10"/>
      <c r="Y1679" s="10"/>
      <c r="Z1679" s="10"/>
      <c r="AA1679" s="10"/>
      <c r="AB1679" s="10"/>
      <c r="AC1679" s="9"/>
      <c r="AD1679" s="523" t="e">
        <v>#N/A</v>
      </c>
      <c r="AE1679" s="523" t="e">
        <v>#N/A</v>
      </c>
      <c r="AF1679" s="523" t="e">
        <v>#N/A</v>
      </c>
      <c r="AG1679" s="524" t="e">
        <v>#N/A</v>
      </c>
      <c r="AH1679" s="9"/>
      <c r="AI1679" s="10"/>
      <c r="AJ1679" s="9"/>
      <c r="AK1679" s="10"/>
      <c r="AL1679" s="10"/>
    </row>
    <row r="1680" spans="1:38" ht="22.5" hidden="1">
      <c r="A1680" s="1">
        <f t="shared" si="154"/>
        <v>0</v>
      </c>
      <c r="B1680" s="2" t="s">
        <v>4496</v>
      </c>
      <c r="C1680" s="3" t="s">
        <v>4473</v>
      </c>
      <c r="D1680" s="15" t="s">
        <v>11813</v>
      </c>
      <c r="E1680" s="4" t="s">
        <v>4496</v>
      </c>
      <c r="F1680" s="37" t="s">
        <v>4473</v>
      </c>
      <c r="G1680" s="38">
        <v>0</v>
      </c>
      <c r="H1680" s="38">
        <v>0</v>
      </c>
      <c r="I1680" s="15"/>
      <c r="J1680" s="494">
        <v>20411050504</v>
      </c>
      <c r="L1680" s="523" t="s">
        <v>13588</v>
      </c>
      <c r="M1680" s="523" t="s">
        <v>609</v>
      </c>
      <c r="N1680" s="518" t="s">
        <v>4458</v>
      </c>
      <c r="O1680" s="523">
        <v>2</v>
      </c>
      <c r="P1680" s="523" t="s">
        <v>693</v>
      </c>
      <c r="Q1680" s="523" t="s">
        <v>1229</v>
      </c>
      <c r="R1680" s="523" t="s">
        <v>714</v>
      </c>
      <c r="S1680" s="523" t="s">
        <v>714</v>
      </c>
      <c r="T1680" s="518" t="s">
        <v>4493</v>
      </c>
      <c r="U1680" s="38">
        <v>0</v>
      </c>
      <c r="V1680" s="15" t="str">
        <f t="shared" si="157"/>
        <v/>
      </c>
      <c r="W1680" s="10"/>
      <c r="X1680" s="10"/>
      <c r="Y1680" s="10"/>
      <c r="Z1680" s="10"/>
      <c r="AA1680" s="10"/>
      <c r="AB1680" s="10"/>
      <c r="AC1680" s="9"/>
      <c r="AD1680" s="523" t="e">
        <v>#N/A</v>
      </c>
      <c r="AE1680" s="523" t="e">
        <v>#N/A</v>
      </c>
      <c r="AF1680" s="523" t="e">
        <v>#N/A</v>
      </c>
      <c r="AG1680" s="524" t="e">
        <v>#N/A</v>
      </c>
      <c r="AH1680" s="9"/>
      <c r="AI1680" s="10"/>
      <c r="AJ1680" s="9"/>
      <c r="AK1680" s="10"/>
      <c r="AL1680" s="10"/>
    </row>
    <row r="1681" spans="1:38" ht="22.5" hidden="1">
      <c r="A1681" s="1">
        <f t="shared" si="154"/>
        <v>0</v>
      </c>
      <c r="B1681" s="2" t="s">
        <v>4497</v>
      </c>
      <c r="C1681" s="3" t="s">
        <v>4475</v>
      </c>
      <c r="D1681" s="15" t="s">
        <v>11813</v>
      </c>
      <c r="E1681" s="4" t="s">
        <v>4497</v>
      </c>
      <c r="F1681" s="37" t="s">
        <v>4475</v>
      </c>
      <c r="G1681" s="38">
        <v>0</v>
      </c>
      <c r="H1681" s="38">
        <v>0</v>
      </c>
      <c r="I1681" s="15"/>
      <c r="J1681" s="494">
        <v>20411050505</v>
      </c>
      <c r="L1681" s="523" t="s">
        <v>13588</v>
      </c>
      <c r="M1681" s="523" t="s">
        <v>609</v>
      </c>
      <c r="N1681" s="518" t="s">
        <v>4458</v>
      </c>
      <c r="O1681" s="523">
        <v>2</v>
      </c>
      <c r="P1681" s="523" t="s">
        <v>693</v>
      </c>
      <c r="Q1681" s="523" t="s">
        <v>1229</v>
      </c>
      <c r="R1681" s="523" t="s">
        <v>714</v>
      </c>
      <c r="S1681" s="523" t="s">
        <v>714</v>
      </c>
      <c r="T1681" s="518" t="s">
        <v>4493</v>
      </c>
      <c r="U1681" s="38">
        <v>0</v>
      </c>
      <c r="V1681" s="15" t="str">
        <f t="shared" si="157"/>
        <v/>
      </c>
      <c r="W1681" s="10"/>
      <c r="X1681" s="10"/>
      <c r="Y1681" s="10"/>
      <c r="Z1681" s="10"/>
      <c r="AA1681" s="10"/>
      <c r="AB1681" s="10"/>
      <c r="AC1681" s="9"/>
      <c r="AD1681" s="523" t="e">
        <v>#N/A</v>
      </c>
      <c r="AE1681" s="523" t="e">
        <v>#N/A</v>
      </c>
      <c r="AF1681" s="523" t="e">
        <v>#N/A</v>
      </c>
      <c r="AG1681" s="524" t="e">
        <v>#N/A</v>
      </c>
      <c r="AH1681" s="9"/>
      <c r="AI1681" s="10"/>
      <c r="AJ1681" s="9"/>
      <c r="AK1681" s="10"/>
      <c r="AL1681" s="10"/>
    </row>
    <row r="1682" spans="1:38" ht="22.5" hidden="1">
      <c r="A1682" s="1">
        <f t="shared" si="154"/>
        <v>0</v>
      </c>
      <c r="B1682" s="2" t="s">
        <v>4498</v>
      </c>
      <c r="C1682" s="3" t="s">
        <v>4477</v>
      </c>
      <c r="D1682" s="15" t="s">
        <v>11813</v>
      </c>
      <c r="E1682" s="4" t="s">
        <v>4498</v>
      </c>
      <c r="F1682" s="37" t="s">
        <v>4477</v>
      </c>
      <c r="G1682" s="38">
        <v>3783.07</v>
      </c>
      <c r="H1682" s="38">
        <v>0</v>
      </c>
      <c r="I1682" s="15"/>
      <c r="J1682" s="494">
        <v>20411050506</v>
      </c>
      <c r="L1682" s="523" t="s">
        <v>13588</v>
      </c>
      <c r="M1682" s="523" t="s">
        <v>609</v>
      </c>
      <c r="N1682" s="518" t="s">
        <v>4458</v>
      </c>
      <c r="O1682" s="523">
        <v>2</v>
      </c>
      <c r="P1682" s="523" t="s">
        <v>693</v>
      </c>
      <c r="Q1682" s="523" t="s">
        <v>1229</v>
      </c>
      <c r="R1682" s="523" t="s">
        <v>714</v>
      </c>
      <c r="S1682" s="523" t="s">
        <v>714</v>
      </c>
      <c r="T1682" s="518" t="s">
        <v>4493</v>
      </c>
      <c r="U1682" s="38">
        <v>0</v>
      </c>
      <c r="V1682" s="15" t="str">
        <f t="shared" si="157"/>
        <v/>
      </c>
      <c r="W1682" s="10"/>
      <c r="X1682" s="10"/>
      <c r="Y1682" s="10"/>
      <c r="Z1682" s="10"/>
      <c r="AA1682" s="10"/>
      <c r="AB1682" s="10"/>
      <c r="AC1682" s="9"/>
      <c r="AD1682" s="523" t="e">
        <v>#N/A</v>
      </c>
      <c r="AE1682" s="523" t="e">
        <v>#N/A</v>
      </c>
      <c r="AF1682" s="523" t="e">
        <v>#N/A</v>
      </c>
      <c r="AG1682" s="524" t="e">
        <v>#N/A</v>
      </c>
      <c r="AH1682" s="9"/>
      <c r="AI1682" s="10"/>
      <c r="AJ1682" s="9"/>
      <c r="AK1682" s="10"/>
      <c r="AL1682" s="10"/>
    </row>
    <row r="1683" spans="1:38" ht="22.5" hidden="1">
      <c r="A1683" s="1">
        <f t="shared" si="154"/>
        <v>0</v>
      </c>
      <c r="B1683" s="2" t="s">
        <v>4499</v>
      </c>
      <c r="C1683" s="3" t="s">
        <v>4479</v>
      </c>
      <c r="D1683" s="15" t="s">
        <v>11813</v>
      </c>
      <c r="E1683" s="4" t="s">
        <v>4499</v>
      </c>
      <c r="F1683" s="37" t="s">
        <v>4479</v>
      </c>
      <c r="G1683" s="38">
        <v>0</v>
      </c>
      <c r="H1683" s="38">
        <v>-4445.62</v>
      </c>
      <c r="I1683" s="15"/>
      <c r="J1683" s="494">
        <v>20411050507</v>
      </c>
      <c r="L1683" s="523" t="s">
        <v>13588</v>
      </c>
      <c r="M1683" s="523" t="s">
        <v>609</v>
      </c>
      <c r="N1683" s="518" t="s">
        <v>4458</v>
      </c>
      <c r="O1683" s="523">
        <v>2</v>
      </c>
      <c r="P1683" s="523" t="s">
        <v>693</v>
      </c>
      <c r="Q1683" s="523" t="s">
        <v>1229</v>
      </c>
      <c r="R1683" s="523" t="s">
        <v>714</v>
      </c>
      <c r="S1683" s="523" t="s">
        <v>714</v>
      </c>
      <c r="T1683" s="518" t="s">
        <v>4493</v>
      </c>
      <c r="U1683" s="38">
        <v>-4445.62</v>
      </c>
      <c r="V1683" s="15" t="str">
        <f t="shared" si="157"/>
        <v/>
      </c>
      <c r="W1683" s="10"/>
      <c r="X1683" s="10"/>
      <c r="Y1683" s="10"/>
      <c r="Z1683" s="10"/>
      <c r="AA1683" s="10"/>
      <c r="AB1683" s="10"/>
      <c r="AC1683" s="9"/>
      <c r="AD1683" s="523" t="e">
        <v>#N/A</v>
      </c>
      <c r="AE1683" s="523" t="e">
        <v>#N/A</v>
      </c>
      <c r="AF1683" s="523" t="e">
        <v>#N/A</v>
      </c>
      <c r="AG1683" s="524" t="e">
        <v>#N/A</v>
      </c>
      <c r="AH1683" s="9"/>
      <c r="AI1683" s="10"/>
      <c r="AJ1683" s="9"/>
      <c r="AK1683" s="10"/>
      <c r="AL1683" s="10"/>
    </row>
    <row r="1684" spans="1:38" hidden="1">
      <c r="A1684" s="1">
        <f t="shared" si="154"/>
        <v>0</v>
      </c>
      <c r="B1684" s="2" t="s">
        <v>4500</v>
      </c>
      <c r="C1684" s="3" t="s">
        <v>4491</v>
      </c>
      <c r="D1684" s="15" t="s">
        <v>11814</v>
      </c>
      <c r="E1684" s="4" t="s">
        <v>4500</v>
      </c>
      <c r="F1684" s="37" t="s">
        <v>4491</v>
      </c>
      <c r="G1684" s="38">
        <v>1902.47</v>
      </c>
      <c r="H1684" s="38">
        <v>4775.13</v>
      </c>
      <c r="I1684" s="15"/>
      <c r="J1684" s="494">
        <v>20411050605</v>
      </c>
      <c r="K1684" s="628"/>
      <c r="L1684" s="628" t="s">
        <v>13588</v>
      </c>
      <c r="M1684" s="628" t="s">
        <v>609</v>
      </c>
      <c r="N1684" s="629" t="s">
        <v>4458</v>
      </c>
      <c r="O1684" s="628">
        <v>2</v>
      </c>
      <c r="P1684" s="628" t="s">
        <v>693</v>
      </c>
      <c r="Q1684" s="628" t="s">
        <v>1229</v>
      </c>
      <c r="R1684" s="628" t="s">
        <v>714</v>
      </c>
      <c r="S1684" s="628" t="s">
        <v>739</v>
      </c>
      <c r="T1684" s="629" t="s">
        <v>13606</v>
      </c>
      <c r="U1684" s="38">
        <v>4775.13</v>
      </c>
      <c r="V1684" s="15" t="str">
        <f t="shared" si="157"/>
        <v>204110505</v>
      </c>
      <c r="W1684" s="39">
        <v>2</v>
      </c>
      <c r="X1684" s="50" t="s">
        <v>693</v>
      </c>
      <c r="Y1684" s="40" t="s">
        <v>1229</v>
      </c>
      <c r="Z1684" s="40" t="s">
        <v>714</v>
      </c>
      <c r="AA1684" s="40" t="s">
        <v>714</v>
      </c>
      <c r="AB1684" s="107" t="s">
        <v>4491</v>
      </c>
      <c r="AC1684" s="519">
        <f>H1684</f>
        <v>4775.13</v>
      </c>
      <c r="AD1684" s="628">
        <v>0</v>
      </c>
      <c r="AE1684" s="628" t="s">
        <v>13588</v>
      </c>
      <c r="AF1684" s="628" t="s">
        <v>609</v>
      </c>
      <c r="AG1684" s="630" t="s">
        <v>4458</v>
      </c>
      <c r="AH1684" s="67">
        <f>AC1684</f>
        <v>4775.13</v>
      </c>
      <c r="AI1684" s="10"/>
      <c r="AJ1684" s="9">
        <f>AH1684-H1684</f>
        <v>0</v>
      </c>
      <c r="AK1684" s="10"/>
      <c r="AL1684" s="10"/>
    </row>
    <row r="1685" spans="1:38" hidden="1">
      <c r="A1685" s="1">
        <f t="shared" si="154"/>
        <v>0</v>
      </c>
      <c r="B1685" s="2" t="s">
        <v>4501</v>
      </c>
      <c r="C1685" s="3" t="s">
        <v>4502</v>
      </c>
      <c r="D1685" s="15" t="s">
        <v>11815</v>
      </c>
      <c r="E1685" s="4" t="s">
        <v>4501</v>
      </c>
      <c r="F1685" s="37" t="s">
        <v>4502</v>
      </c>
      <c r="G1685" s="38">
        <v>22726.15</v>
      </c>
      <c r="H1685" s="38">
        <v>65342.86</v>
      </c>
      <c r="I1685" s="15"/>
      <c r="J1685" s="494">
        <v>20411059901</v>
      </c>
      <c r="K1685" s="517"/>
      <c r="L1685" s="517" t="s">
        <v>13588</v>
      </c>
      <c r="M1685" s="517" t="s">
        <v>609</v>
      </c>
      <c r="N1685" s="518" t="s">
        <v>4458</v>
      </c>
      <c r="O1685" s="517">
        <v>2</v>
      </c>
      <c r="P1685" s="517" t="s">
        <v>693</v>
      </c>
      <c r="Q1685" s="517" t="s">
        <v>1229</v>
      </c>
      <c r="R1685" s="517" t="s">
        <v>714</v>
      </c>
      <c r="S1685" s="517" t="s">
        <v>1124</v>
      </c>
      <c r="T1685" s="518" t="s">
        <v>4457</v>
      </c>
      <c r="U1685" s="38">
        <v>65342.86</v>
      </c>
      <c r="V1685" s="15" t="str">
        <f t="shared" si="157"/>
        <v>204110599</v>
      </c>
      <c r="W1685" s="39">
        <v>2</v>
      </c>
      <c r="X1685" s="50" t="s">
        <v>693</v>
      </c>
      <c r="Y1685" s="40" t="s">
        <v>1229</v>
      </c>
      <c r="Z1685" s="40" t="s">
        <v>714</v>
      </c>
      <c r="AA1685" s="40" t="s">
        <v>1124</v>
      </c>
      <c r="AB1685" s="42" t="s">
        <v>4457</v>
      </c>
      <c r="AC1685" s="519">
        <f>SUM(H1685:H1697)</f>
        <v>760917</v>
      </c>
      <c r="AD1685" s="517">
        <v>0</v>
      </c>
      <c r="AE1685" s="517" t="s">
        <v>13588</v>
      </c>
      <c r="AF1685" s="517" t="s">
        <v>609</v>
      </c>
      <c r="AG1685" s="518" t="s">
        <v>4458</v>
      </c>
      <c r="AH1685" s="67">
        <f>AC1685</f>
        <v>760917</v>
      </c>
      <c r="AI1685" s="10"/>
      <c r="AJ1685" s="9"/>
      <c r="AK1685" s="10"/>
      <c r="AL1685" s="10"/>
    </row>
    <row r="1686" spans="1:38" ht="22.5" hidden="1">
      <c r="A1686" s="1">
        <f t="shared" si="154"/>
        <v>0</v>
      </c>
      <c r="B1686" s="2" t="s">
        <v>4503</v>
      </c>
      <c r="C1686" s="3" t="s">
        <v>4504</v>
      </c>
      <c r="D1686" s="15" t="s">
        <v>11815</v>
      </c>
      <c r="E1686" s="4" t="s">
        <v>4503</v>
      </c>
      <c r="F1686" s="37" t="s">
        <v>4504</v>
      </c>
      <c r="G1686" s="38">
        <v>0</v>
      </c>
      <c r="H1686" s="38">
        <v>0</v>
      </c>
      <c r="I1686" s="15"/>
      <c r="J1686" s="494">
        <v>20411059902</v>
      </c>
      <c r="L1686" s="523" t="s">
        <v>13588</v>
      </c>
      <c r="M1686" s="523" t="s">
        <v>609</v>
      </c>
      <c r="N1686" s="518" t="s">
        <v>4458</v>
      </c>
      <c r="O1686" s="523">
        <v>2</v>
      </c>
      <c r="P1686" s="523" t="s">
        <v>693</v>
      </c>
      <c r="Q1686" s="523" t="s">
        <v>1229</v>
      </c>
      <c r="R1686" s="523" t="s">
        <v>714</v>
      </c>
      <c r="S1686" s="523" t="s">
        <v>1124</v>
      </c>
      <c r="T1686" s="518" t="s">
        <v>4457</v>
      </c>
      <c r="U1686" s="38">
        <v>0</v>
      </c>
      <c r="V1686" s="15" t="str">
        <f t="shared" si="157"/>
        <v/>
      </c>
      <c r="W1686" s="10"/>
      <c r="X1686" s="10"/>
      <c r="Y1686" s="10"/>
      <c r="Z1686" s="10"/>
      <c r="AA1686" s="10"/>
      <c r="AB1686" s="10"/>
      <c r="AC1686" s="9"/>
      <c r="AD1686" s="523" t="e">
        <v>#N/A</v>
      </c>
      <c r="AE1686" s="523" t="e">
        <v>#N/A</v>
      </c>
      <c r="AF1686" s="523" t="e">
        <v>#N/A</v>
      </c>
      <c r="AG1686" s="524" t="e">
        <v>#N/A</v>
      </c>
      <c r="AH1686" s="9"/>
      <c r="AI1686" s="10"/>
      <c r="AJ1686" s="9"/>
      <c r="AK1686" s="10"/>
      <c r="AL1686" s="10"/>
    </row>
    <row r="1687" spans="1:38" ht="33.75" hidden="1">
      <c r="A1687" s="1">
        <f t="shared" ref="A1687:A1750" si="158">IF(E1687=B1687,0,1)</f>
        <v>0</v>
      </c>
      <c r="B1687" s="2" t="s">
        <v>4505</v>
      </c>
      <c r="C1687" s="3" t="s">
        <v>4506</v>
      </c>
      <c r="D1687" s="15" t="s">
        <v>11815</v>
      </c>
      <c r="E1687" s="4" t="s">
        <v>4505</v>
      </c>
      <c r="F1687" s="37" t="s">
        <v>4506</v>
      </c>
      <c r="G1687" s="38">
        <v>0</v>
      </c>
      <c r="H1687" s="38">
        <v>0</v>
      </c>
      <c r="I1687" s="15"/>
      <c r="J1687" s="494">
        <v>20411059903</v>
      </c>
      <c r="K1687" s="517"/>
      <c r="L1687" s="517" t="s">
        <v>13588</v>
      </c>
      <c r="M1687" s="517" t="s">
        <v>609</v>
      </c>
      <c r="N1687" s="518" t="s">
        <v>4458</v>
      </c>
      <c r="O1687" s="517">
        <v>2</v>
      </c>
      <c r="P1687" s="517" t="s">
        <v>693</v>
      </c>
      <c r="Q1687" s="517" t="s">
        <v>1229</v>
      </c>
      <c r="R1687" s="517" t="s">
        <v>714</v>
      </c>
      <c r="S1687" s="517" t="s">
        <v>1124</v>
      </c>
      <c r="T1687" s="518" t="s">
        <v>4457</v>
      </c>
      <c r="U1687" s="38">
        <v>0</v>
      </c>
      <c r="V1687" s="15" t="str">
        <f t="shared" si="157"/>
        <v/>
      </c>
      <c r="W1687" s="1"/>
      <c r="X1687" s="1"/>
      <c r="Y1687" s="1"/>
      <c r="Z1687" s="1"/>
      <c r="AA1687" s="1"/>
      <c r="AB1687" s="3"/>
      <c r="AC1687" s="9"/>
      <c r="AD1687" s="517" t="e">
        <v>#N/A</v>
      </c>
      <c r="AE1687" s="517" t="e">
        <v>#N/A</v>
      </c>
      <c r="AF1687" s="517" t="e">
        <v>#N/A</v>
      </c>
      <c r="AG1687" s="520" t="e">
        <v>#N/A</v>
      </c>
      <c r="AH1687" s="9"/>
      <c r="AI1687" s="10"/>
      <c r="AJ1687" s="9"/>
      <c r="AK1687" s="10"/>
      <c r="AL1687" s="10"/>
    </row>
    <row r="1688" spans="1:38" ht="22.5" hidden="1">
      <c r="A1688" s="1">
        <f t="shared" si="158"/>
        <v>0</v>
      </c>
      <c r="B1688" s="2" t="s">
        <v>4507</v>
      </c>
      <c r="C1688" s="3" t="s">
        <v>4508</v>
      </c>
      <c r="D1688" s="15" t="s">
        <v>11815</v>
      </c>
      <c r="E1688" s="4" t="s">
        <v>4507</v>
      </c>
      <c r="F1688" s="37" t="s">
        <v>4509</v>
      </c>
      <c r="G1688" s="38">
        <v>176488.75</v>
      </c>
      <c r="H1688" s="38">
        <v>236523.71</v>
      </c>
      <c r="I1688" s="15"/>
      <c r="J1688" s="494">
        <v>20411059904</v>
      </c>
      <c r="L1688" s="523" t="s">
        <v>13588</v>
      </c>
      <c r="M1688" s="523" t="s">
        <v>609</v>
      </c>
      <c r="N1688" s="518" t="s">
        <v>4458</v>
      </c>
      <c r="O1688" s="523">
        <v>2</v>
      </c>
      <c r="P1688" s="523" t="s">
        <v>693</v>
      </c>
      <c r="Q1688" s="523" t="s">
        <v>1229</v>
      </c>
      <c r="R1688" s="523" t="s">
        <v>714</v>
      </c>
      <c r="S1688" s="523" t="s">
        <v>1124</v>
      </c>
      <c r="T1688" s="518" t="s">
        <v>4457</v>
      </c>
      <c r="U1688" s="38">
        <v>236523.71</v>
      </c>
      <c r="V1688" s="15" t="str">
        <f t="shared" si="157"/>
        <v/>
      </c>
      <c r="W1688" s="10"/>
      <c r="X1688" s="10"/>
      <c r="Y1688" s="10"/>
      <c r="Z1688" s="10"/>
      <c r="AA1688" s="10"/>
      <c r="AB1688" s="10"/>
      <c r="AC1688" s="9"/>
      <c r="AD1688" s="523" t="e">
        <v>#N/A</v>
      </c>
      <c r="AE1688" s="523" t="e">
        <v>#N/A</v>
      </c>
      <c r="AF1688" s="523" t="e">
        <v>#N/A</v>
      </c>
      <c r="AG1688" s="524" t="e">
        <v>#N/A</v>
      </c>
      <c r="AH1688" s="9"/>
      <c r="AI1688" s="10"/>
      <c r="AJ1688" s="9"/>
      <c r="AK1688" s="10"/>
      <c r="AL1688" s="10"/>
    </row>
    <row r="1689" spans="1:38" hidden="1">
      <c r="A1689" s="1">
        <f t="shared" si="158"/>
        <v>0</v>
      </c>
      <c r="B1689" s="2" t="s">
        <v>4510</v>
      </c>
      <c r="C1689" s="3" t="s">
        <v>4511</v>
      </c>
      <c r="D1689" s="15" t="s">
        <v>11815</v>
      </c>
      <c r="E1689" s="4" t="s">
        <v>4510</v>
      </c>
      <c r="F1689" s="37" t="s">
        <v>4511</v>
      </c>
      <c r="G1689" s="38">
        <v>0</v>
      </c>
      <c r="H1689" s="38">
        <v>0</v>
      </c>
      <c r="I1689" s="15"/>
      <c r="J1689" s="494">
        <v>20411059905</v>
      </c>
      <c r="L1689" s="523" t="s">
        <v>13588</v>
      </c>
      <c r="M1689" s="523" t="s">
        <v>609</v>
      </c>
      <c r="N1689" s="518" t="s">
        <v>4458</v>
      </c>
      <c r="O1689" s="523">
        <v>2</v>
      </c>
      <c r="P1689" s="523" t="s">
        <v>693</v>
      </c>
      <c r="Q1689" s="523" t="s">
        <v>1229</v>
      </c>
      <c r="R1689" s="523" t="s">
        <v>714</v>
      </c>
      <c r="S1689" s="523" t="s">
        <v>1124</v>
      </c>
      <c r="T1689" s="518" t="s">
        <v>4457</v>
      </c>
      <c r="U1689" s="38">
        <v>0</v>
      </c>
      <c r="V1689" s="15" t="str">
        <f t="shared" si="157"/>
        <v/>
      </c>
      <c r="W1689" s="10"/>
      <c r="X1689" s="10"/>
      <c r="Y1689" s="10"/>
      <c r="Z1689" s="10"/>
      <c r="AA1689" s="10"/>
      <c r="AB1689" s="10"/>
      <c r="AC1689" s="9"/>
      <c r="AD1689" s="523" t="e">
        <v>#N/A</v>
      </c>
      <c r="AE1689" s="523" t="e">
        <v>#N/A</v>
      </c>
      <c r="AF1689" s="523" t="e">
        <v>#N/A</v>
      </c>
      <c r="AG1689" s="524" t="e">
        <v>#N/A</v>
      </c>
      <c r="AH1689" s="9"/>
      <c r="AI1689" s="10"/>
      <c r="AJ1689" s="9"/>
      <c r="AK1689" s="10"/>
      <c r="AL1689" s="10"/>
    </row>
    <row r="1690" spans="1:38" hidden="1">
      <c r="A1690" s="1">
        <f t="shared" si="158"/>
        <v>0</v>
      </c>
      <c r="B1690" s="2" t="s">
        <v>4512</v>
      </c>
      <c r="C1690" s="3" t="s">
        <v>4513</v>
      </c>
      <c r="D1690" s="15" t="s">
        <v>11815</v>
      </c>
      <c r="E1690" s="4" t="s">
        <v>4512</v>
      </c>
      <c r="F1690" s="37" t="s">
        <v>4513</v>
      </c>
      <c r="G1690" s="38">
        <v>0</v>
      </c>
      <c r="H1690" s="38">
        <v>0</v>
      </c>
      <c r="I1690" s="15"/>
      <c r="J1690" s="494">
        <v>20411059906</v>
      </c>
      <c r="L1690" s="523" t="s">
        <v>13588</v>
      </c>
      <c r="M1690" s="523" t="s">
        <v>609</v>
      </c>
      <c r="N1690" s="518" t="s">
        <v>4458</v>
      </c>
      <c r="O1690" s="523">
        <v>2</v>
      </c>
      <c r="P1690" s="523" t="s">
        <v>693</v>
      </c>
      <c r="Q1690" s="523" t="s">
        <v>1229</v>
      </c>
      <c r="R1690" s="523" t="s">
        <v>714</v>
      </c>
      <c r="S1690" s="523" t="s">
        <v>1124</v>
      </c>
      <c r="T1690" s="518" t="s">
        <v>4457</v>
      </c>
      <c r="U1690" s="38">
        <v>0</v>
      </c>
      <c r="V1690" s="15" t="str">
        <f t="shared" si="157"/>
        <v/>
      </c>
      <c r="W1690" s="10"/>
      <c r="X1690" s="10"/>
      <c r="Y1690" s="10"/>
      <c r="Z1690" s="10"/>
      <c r="AA1690" s="10"/>
      <c r="AB1690" s="10"/>
      <c r="AC1690" s="9"/>
      <c r="AD1690" s="523" t="e">
        <v>#N/A</v>
      </c>
      <c r="AE1690" s="523" t="e">
        <v>#N/A</v>
      </c>
      <c r="AF1690" s="523" t="e">
        <v>#N/A</v>
      </c>
      <c r="AG1690" s="524" t="e">
        <v>#N/A</v>
      </c>
      <c r="AH1690" s="9"/>
      <c r="AI1690" s="10"/>
      <c r="AJ1690" s="9"/>
      <c r="AK1690" s="10"/>
      <c r="AL1690" s="10"/>
    </row>
    <row r="1691" spans="1:38" hidden="1">
      <c r="A1691" s="1">
        <f t="shared" si="158"/>
        <v>0</v>
      </c>
      <c r="B1691" s="2" t="s">
        <v>4514</v>
      </c>
      <c r="C1691" s="3" t="s">
        <v>4515</v>
      </c>
      <c r="D1691" s="15" t="s">
        <v>11815</v>
      </c>
      <c r="E1691" s="4" t="s">
        <v>4514</v>
      </c>
      <c r="F1691" s="37" t="s">
        <v>4515</v>
      </c>
      <c r="G1691" s="38">
        <v>101182.7</v>
      </c>
      <c r="H1691" s="38">
        <v>3506.07</v>
      </c>
      <c r="I1691" s="15"/>
      <c r="J1691" s="494">
        <v>20411059907</v>
      </c>
      <c r="L1691" s="523" t="s">
        <v>13588</v>
      </c>
      <c r="M1691" s="523" t="s">
        <v>609</v>
      </c>
      <c r="N1691" s="518" t="s">
        <v>4458</v>
      </c>
      <c r="O1691" s="523">
        <v>2</v>
      </c>
      <c r="P1691" s="523" t="s">
        <v>693</v>
      </c>
      <c r="Q1691" s="523" t="s">
        <v>1229</v>
      </c>
      <c r="R1691" s="523" t="s">
        <v>714</v>
      </c>
      <c r="S1691" s="523" t="s">
        <v>1124</v>
      </c>
      <c r="T1691" s="518" t="s">
        <v>4457</v>
      </c>
      <c r="U1691" s="38">
        <v>3506.07</v>
      </c>
      <c r="V1691" s="15" t="str">
        <f t="shared" si="157"/>
        <v/>
      </c>
      <c r="W1691" s="10"/>
      <c r="X1691" s="10"/>
      <c r="Y1691" s="10"/>
      <c r="Z1691" s="10"/>
      <c r="AA1691" s="10"/>
      <c r="AB1691" s="10"/>
      <c r="AC1691" s="9"/>
      <c r="AD1691" s="523" t="e">
        <v>#N/A</v>
      </c>
      <c r="AE1691" s="523" t="e">
        <v>#N/A</v>
      </c>
      <c r="AF1691" s="523" t="e">
        <v>#N/A</v>
      </c>
      <c r="AG1691" s="524" t="e">
        <v>#N/A</v>
      </c>
      <c r="AH1691" s="9"/>
      <c r="AI1691" s="10"/>
      <c r="AJ1691" s="9"/>
      <c r="AK1691" s="10"/>
      <c r="AL1691" s="10"/>
    </row>
    <row r="1692" spans="1:38" hidden="1">
      <c r="A1692" s="1">
        <f t="shared" si="158"/>
        <v>0</v>
      </c>
      <c r="B1692" s="2" t="s">
        <v>4516</v>
      </c>
      <c r="C1692" s="3" t="s">
        <v>4456</v>
      </c>
      <c r="D1692" s="15" t="s">
        <v>11815</v>
      </c>
      <c r="E1692" s="4" t="s">
        <v>4516</v>
      </c>
      <c r="F1692" s="37" t="s">
        <v>4456</v>
      </c>
      <c r="G1692" s="38">
        <v>144379.92000000001</v>
      </c>
      <c r="H1692" s="38">
        <v>31770.69</v>
      </c>
      <c r="I1692" s="15"/>
      <c r="J1692" s="494">
        <v>20411059908</v>
      </c>
      <c r="L1692" s="523" t="s">
        <v>13588</v>
      </c>
      <c r="M1692" s="523" t="s">
        <v>609</v>
      </c>
      <c r="N1692" s="518" t="s">
        <v>4458</v>
      </c>
      <c r="O1692" s="523">
        <v>2</v>
      </c>
      <c r="P1692" s="523" t="s">
        <v>693</v>
      </c>
      <c r="Q1692" s="523" t="s">
        <v>1229</v>
      </c>
      <c r="R1692" s="523" t="s">
        <v>714</v>
      </c>
      <c r="S1692" s="523" t="s">
        <v>1124</v>
      </c>
      <c r="T1692" s="518" t="s">
        <v>4457</v>
      </c>
      <c r="U1692" s="38">
        <v>31770.69</v>
      </c>
      <c r="V1692" s="15" t="str">
        <f t="shared" si="157"/>
        <v/>
      </c>
      <c r="W1692" s="10"/>
      <c r="X1692" s="10"/>
      <c r="Y1692" s="10"/>
      <c r="Z1692" s="10"/>
      <c r="AA1692" s="10"/>
      <c r="AB1692" s="10"/>
      <c r="AC1692" s="9"/>
      <c r="AD1692" s="523" t="e">
        <v>#N/A</v>
      </c>
      <c r="AE1692" s="523" t="e">
        <v>#N/A</v>
      </c>
      <c r="AF1692" s="523" t="e">
        <v>#N/A</v>
      </c>
      <c r="AG1692" s="524" t="e">
        <v>#N/A</v>
      </c>
      <c r="AH1692" s="9"/>
      <c r="AI1692" s="10"/>
      <c r="AJ1692" s="9"/>
      <c r="AK1692" s="10"/>
      <c r="AL1692" s="10"/>
    </row>
    <row r="1693" spans="1:38" hidden="1">
      <c r="A1693" s="1">
        <f t="shared" si="158"/>
        <v>0</v>
      </c>
      <c r="B1693" s="2" t="s">
        <v>4517</v>
      </c>
      <c r="C1693" s="3" t="s">
        <v>4518</v>
      </c>
      <c r="D1693" s="15" t="s">
        <v>11815</v>
      </c>
      <c r="E1693" s="4" t="s">
        <v>4517</v>
      </c>
      <c r="F1693" s="37" t="s">
        <v>4518</v>
      </c>
      <c r="G1693" s="38">
        <v>159100</v>
      </c>
      <c r="H1693" s="38">
        <v>160989</v>
      </c>
      <c r="I1693" s="15"/>
      <c r="J1693" s="494">
        <v>20411059909</v>
      </c>
      <c r="L1693" s="523" t="s">
        <v>13588</v>
      </c>
      <c r="M1693" s="523" t="s">
        <v>609</v>
      </c>
      <c r="N1693" s="518" t="s">
        <v>4458</v>
      </c>
      <c r="O1693" s="523">
        <v>2</v>
      </c>
      <c r="P1693" s="523" t="s">
        <v>693</v>
      </c>
      <c r="Q1693" s="523" t="s">
        <v>1229</v>
      </c>
      <c r="R1693" s="523" t="s">
        <v>714</v>
      </c>
      <c r="S1693" s="523" t="s">
        <v>1124</v>
      </c>
      <c r="T1693" s="518" t="s">
        <v>4457</v>
      </c>
      <c r="U1693" s="38">
        <v>160989</v>
      </c>
      <c r="V1693" s="15" t="str">
        <f t="shared" si="157"/>
        <v/>
      </c>
      <c r="W1693" s="10"/>
      <c r="X1693" s="10"/>
      <c r="Y1693" s="10"/>
      <c r="Z1693" s="10"/>
      <c r="AA1693" s="10"/>
      <c r="AB1693" s="10"/>
      <c r="AC1693" s="9"/>
      <c r="AD1693" s="523" t="e">
        <v>#N/A</v>
      </c>
      <c r="AE1693" s="523" t="e">
        <v>#N/A</v>
      </c>
      <c r="AF1693" s="523" t="e">
        <v>#N/A</v>
      </c>
      <c r="AG1693" s="524" t="e">
        <v>#N/A</v>
      </c>
      <c r="AH1693" s="9"/>
      <c r="AI1693" s="10"/>
      <c r="AJ1693" s="9"/>
      <c r="AK1693" s="10"/>
      <c r="AL1693" s="10"/>
    </row>
    <row r="1694" spans="1:38" ht="22.5" hidden="1">
      <c r="A1694" s="1">
        <f t="shared" si="158"/>
        <v>0</v>
      </c>
      <c r="B1694" s="2" t="s">
        <v>4519</v>
      </c>
      <c r="C1694" s="3" t="s">
        <v>4520</v>
      </c>
      <c r="D1694" s="15" t="s">
        <v>11815</v>
      </c>
      <c r="E1694" s="4" t="s">
        <v>4519</v>
      </c>
      <c r="F1694" s="37" t="s">
        <v>4520</v>
      </c>
      <c r="G1694" s="38">
        <v>0</v>
      </c>
      <c r="H1694" s="38">
        <v>0</v>
      </c>
      <c r="I1694" s="15"/>
      <c r="J1694" s="494">
        <v>20411059910</v>
      </c>
      <c r="L1694" s="523" t="s">
        <v>13588</v>
      </c>
      <c r="M1694" s="523" t="s">
        <v>609</v>
      </c>
      <c r="N1694" s="518" t="s">
        <v>4458</v>
      </c>
      <c r="O1694" s="523">
        <v>2</v>
      </c>
      <c r="P1694" s="523" t="s">
        <v>693</v>
      </c>
      <c r="Q1694" s="523" t="s">
        <v>1229</v>
      </c>
      <c r="R1694" s="523" t="s">
        <v>714</v>
      </c>
      <c r="S1694" s="523" t="s">
        <v>1124</v>
      </c>
      <c r="T1694" s="518" t="s">
        <v>4457</v>
      </c>
      <c r="U1694" s="38">
        <v>0</v>
      </c>
      <c r="V1694" s="15" t="str">
        <f t="shared" si="157"/>
        <v/>
      </c>
      <c r="W1694" s="10"/>
      <c r="X1694" s="10"/>
      <c r="Y1694" s="10"/>
      <c r="Z1694" s="10"/>
      <c r="AA1694" s="10"/>
      <c r="AB1694" s="10"/>
      <c r="AC1694" s="9"/>
      <c r="AD1694" s="523" t="e">
        <v>#N/A</v>
      </c>
      <c r="AE1694" s="523" t="e">
        <v>#N/A</v>
      </c>
      <c r="AF1694" s="523" t="e">
        <v>#N/A</v>
      </c>
      <c r="AG1694" s="524" t="e">
        <v>#N/A</v>
      </c>
      <c r="AH1694" s="9"/>
      <c r="AI1694" s="10"/>
      <c r="AJ1694" s="9"/>
      <c r="AK1694" s="10"/>
      <c r="AL1694" s="10"/>
    </row>
    <row r="1695" spans="1:38" ht="22.5" hidden="1">
      <c r="A1695" s="1">
        <f t="shared" si="158"/>
        <v>0</v>
      </c>
      <c r="B1695" s="2" t="s">
        <v>4521</v>
      </c>
      <c r="C1695" s="3" t="s">
        <v>4522</v>
      </c>
      <c r="D1695" s="15" t="s">
        <v>11815</v>
      </c>
      <c r="E1695" s="4" t="s">
        <v>4521</v>
      </c>
      <c r="F1695" s="37" t="s">
        <v>4522</v>
      </c>
      <c r="G1695" s="38">
        <v>262784.67</v>
      </c>
      <c r="H1695" s="38">
        <v>262784.67</v>
      </c>
      <c r="I1695" s="15"/>
      <c r="J1695" s="494">
        <v>20411059911</v>
      </c>
      <c r="L1695" s="523" t="s">
        <v>13588</v>
      </c>
      <c r="M1695" s="523" t="s">
        <v>609</v>
      </c>
      <c r="N1695" s="518" t="s">
        <v>4458</v>
      </c>
      <c r="O1695" s="523">
        <v>2</v>
      </c>
      <c r="P1695" s="523" t="s">
        <v>693</v>
      </c>
      <c r="Q1695" s="523" t="s">
        <v>1229</v>
      </c>
      <c r="R1695" s="523" t="s">
        <v>714</v>
      </c>
      <c r="S1695" s="523" t="s">
        <v>1124</v>
      </c>
      <c r="T1695" s="518" t="s">
        <v>4457</v>
      </c>
      <c r="U1695" s="38">
        <v>262784.67</v>
      </c>
      <c r="V1695" s="15" t="str">
        <f t="shared" si="157"/>
        <v/>
      </c>
      <c r="W1695" s="10"/>
      <c r="X1695" s="10"/>
      <c r="Y1695" s="10"/>
      <c r="Z1695" s="10"/>
      <c r="AA1695" s="10"/>
      <c r="AB1695" s="10"/>
      <c r="AC1695" s="9"/>
      <c r="AD1695" s="523" t="e">
        <v>#N/A</v>
      </c>
      <c r="AE1695" s="523" t="e">
        <v>#N/A</v>
      </c>
      <c r="AF1695" s="523" t="e">
        <v>#N/A</v>
      </c>
      <c r="AG1695" s="524" t="e">
        <v>#N/A</v>
      </c>
      <c r="AH1695" s="9"/>
      <c r="AI1695" s="10"/>
      <c r="AJ1695" s="9"/>
      <c r="AK1695" s="10"/>
      <c r="AL1695" s="10"/>
    </row>
    <row r="1696" spans="1:38" ht="22.5" hidden="1">
      <c r="A1696" s="1">
        <f t="shared" si="158"/>
        <v>0</v>
      </c>
      <c r="B1696" s="2" t="s">
        <v>4523</v>
      </c>
      <c r="C1696" s="3" t="s">
        <v>4524</v>
      </c>
      <c r="D1696" s="15" t="s">
        <v>11815</v>
      </c>
      <c r="E1696" s="4" t="s">
        <v>4523</v>
      </c>
      <c r="F1696" s="37" t="s">
        <v>4524</v>
      </c>
      <c r="G1696" s="38">
        <v>417.5</v>
      </c>
      <c r="H1696" s="38">
        <v>0</v>
      </c>
      <c r="I1696" s="15"/>
      <c r="J1696" s="494">
        <v>20411059912</v>
      </c>
      <c r="L1696" s="523" t="s">
        <v>13588</v>
      </c>
      <c r="M1696" s="523" t="s">
        <v>609</v>
      </c>
      <c r="N1696" s="518" t="s">
        <v>4458</v>
      </c>
      <c r="O1696" s="523">
        <v>2</v>
      </c>
      <c r="P1696" s="523" t="s">
        <v>693</v>
      </c>
      <c r="Q1696" s="523" t="s">
        <v>1229</v>
      </c>
      <c r="R1696" s="523" t="s">
        <v>714</v>
      </c>
      <c r="S1696" s="523" t="s">
        <v>1124</v>
      </c>
      <c r="T1696" s="518" t="s">
        <v>4457</v>
      </c>
      <c r="U1696" s="38">
        <v>0</v>
      </c>
      <c r="V1696" s="15" t="str">
        <f t="shared" si="157"/>
        <v/>
      </c>
      <c r="W1696" s="10"/>
      <c r="X1696" s="10"/>
      <c r="Y1696" s="10"/>
      <c r="Z1696" s="10"/>
      <c r="AA1696" s="10"/>
      <c r="AB1696" s="10"/>
      <c r="AC1696" s="9"/>
      <c r="AD1696" s="523" t="e">
        <v>#N/A</v>
      </c>
      <c r="AE1696" s="523" t="e">
        <v>#N/A</v>
      </c>
      <c r="AF1696" s="523" t="e">
        <v>#N/A</v>
      </c>
      <c r="AG1696" s="524" t="e">
        <v>#N/A</v>
      </c>
      <c r="AH1696" s="9"/>
      <c r="AI1696" s="10"/>
      <c r="AJ1696" s="9"/>
      <c r="AK1696" s="10"/>
      <c r="AL1696" s="10"/>
    </row>
    <row r="1697" spans="1:38" hidden="1">
      <c r="A1697" s="1">
        <f t="shared" si="158"/>
        <v>0</v>
      </c>
      <c r="B1697" s="2" t="s">
        <v>4525</v>
      </c>
      <c r="C1697" s="3" t="s">
        <v>4526</v>
      </c>
      <c r="D1697" s="15" t="s">
        <v>11815</v>
      </c>
      <c r="E1697" s="4" t="s">
        <v>4525</v>
      </c>
      <c r="F1697" s="37" t="s">
        <v>4526</v>
      </c>
      <c r="G1697" s="38">
        <v>28717.64</v>
      </c>
      <c r="H1697" s="38">
        <v>0</v>
      </c>
      <c r="I1697" s="15"/>
      <c r="J1697" s="494">
        <v>20411059913</v>
      </c>
      <c r="L1697" s="523" t="s">
        <v>13588</v>
      </c>
      <c r="M1697" s="523" t="s">
        <v>609</v>
      </c>
      <c r="N1697" s="518" t="s">
        <v>4458</v>
      </c>
      <c r="O1697" s="523">
        <v>2</v>
      </c>
      <c r="P1697" s="523" t="s">
        <v>693</v>
      </c>
      <c r="Q1697" s="523" t="s">
        <v>1229</v>
      </c>
      <c r="R1697" s="523" t="s">
        <v>714</v>
      </c>
      <c r="S1697" s="523" t="s">
        <v>1124</v>
      </c>
      <c r="T1697" s="518" t="s">
        <v>4457</v>
      </c>
      <c r="U1697" s="38">
        <v>0</v>
      </c>
      <c r="V1697" s="15" t="str">
        <f t="shared" si="157"/>
        <v/>
      </c>
      <c r="W1697" s="10"/>
      <c r="X1697" s="10"/>
      <c r="Y1697" s="10"/>
      <c r="Z1697" s="10"/>
      <c r="AA1697" s="10"/>
      <c r="AB1697" s="10"/>
      <c r="AC1697" s="9"/>
      <c r="AD1697" s="523" t="e">
        <v>#N/A</v>
      </c>
      <c r="AE1697" s="523" t="e">
        <v>#N/A</v>
      </c>
      <c r="AF1697" s="523" t="e">
        <v>#N/A</v>
      </c>
      <c r="AG1697" s="524" t="e">
        <v>#N/A</v>
      </c>
      <c r="AH1697" s="9"/>
      <c r="AI1697" s="10"/>
      <c r="AJ1697" s="9"/>
      <c r="AK1697" s="10"/>
      <c r="AL1697" s="10"/>
    </row>
    <row r="1698" spans="1:38" ht="22.5" hidden="1">
      <c r="A1698" s="1">
        <f t="shared" si="158"/>
        <v>0</v>
      </c>
      <c r="B1698" s="11"/>
      <c r="C1698" s="11"/>
      <c r="D1698" s="15" t="s">
        <v>16</v>
      </c>
      <c r="E1698" s="18"/>
      <c r="F1698" s="23" t="s">
        <v>4527</v>
      </c>
      <c r="G1698" s="20">
        <f>G1699+G1706</f>
        <v>1850000</v>
      </c>
      <c r="H1698" s="20">
        <f>H1699+H1706</f>
        <v>1920933.66</v>
      </c>
      <c r="I1698" s="15"/>
      <c r="J1698" s="494"/>
      <c r="K1698" s="502"/>
      <c r="L1698" s="502"/>
      <c r="M1698" s="502"/>
      <c r="N1698" s="503"/>
      <c r="O1698" s="502"/>
      <c r="P1698" s="502"/>
      <c r="Q1698" s="502"/>
      <c r="R1698" s="502"/>
      <c r="S1698" s="502"/>
      <c r="T1698" s="503"/>
      <c r="U1698" s="20">
        <f>U1699+U1706</f>
        <v>1920933.66</v>
      </c>
      <c r="V1698" s="15" t="str">
        <f t="shared" si="157"/>
        <v>205000000</v>
      </c>
      <c r="W1698" s="21">
        <v>2</v>
      </c>
      <c r="X1698" s="22" t="s">
        <v>714</v>
      </c>
      <c r="Y1698" s="22" t="s">
        <v>630</v>
      </c>
      <c r="Z1698" s="22" t="s">
        <v>630</v>
      </c>
      <c r="AA1698" s="22" t="s">
        <v>630</v>
      </c>
      <c r="AB1698" s="23" t="s">
        <v>4527</v>
      </c>
      <c r="AC1698" s="540">
        <f>AC1699+AC1706</f>
        <v>1920933.66</v>
      </c>
      <c r="AD1698" s="502">
        <v>0</v>
      </c>
      <c r="AE1698" s="502" t="s">
        <v>2351</v>
      </c>
      <c r="AF1698" s="502" t="s">
        <v>4528</v>
      </c>
      <c r="AG1698" s="503" t="s">
        <v>13589</v>
      </c>
      <c r="AH1698" s="55">
        <f>AH1699+AH1706</f>
        <v>1920933.66</v>
      </c>
      <c r="AI1698" s="10"/>
      <c r="AJ1698" s="9">
        <f t="shared" ref="AJ1698:AJ1707" si="159">AH1698-H1698</f>
        <v>0</v>
      </c>
      <c r="AK1698" s="10"/>
      <c r="AL1698" s="10"/>
    </row>
    <row r="1699" spans="1:38" hidden="1">
      <c r="A1699" s="1">
        <f t="shared" si="158"/>
        <v>0</v>
      </c>
      <c r="B1699" s="11"/>
      <c r="C1699" s="11"/>
      <c r="D1699" s="15" t="s">
        <v>16</v>
      </c>
      <c r="E1699" s="24"/>
      <c r="F1699" s="25" t="s">
        <v>19</v>
      </c>
      <c r="G1699" s="26">
        <f>G1700+G1704</f>
        <v>0</v>
      </c>
      <c r="H1699" s="26">
        <f>H1700+H1704</f>
        <v>0</v>
      </c>
      <c r="I1699" s="15"/>
      <c r="J1699" s="494"/>
      <c r="K1699" s="509"/>
      <c r="L1699" s="509"/>
      <c r="M1699" s="509"/>
      <c r="N1699" s="510"/>
      <c r="O1699" s="509"/>
      <c r="P1699" s="509"/>
      <c r="Q1699" s="509"/>
      <c r="R1699" s="509"/>
      <c r="S1699" s="509"/>
      <c r="T1699" s="510"/>
      <c r="U1699" s="26">
        <f>U1700+U1704</f>
        <v>0</v>
      </c>
      <c r="V1699" s="15" t="str">
        <f t="shared" si="157"/>
        <v>205010000</v>
      </c>
      <c r="W1699" s="27">
        <v>2</v>
      </c>
      <c r="X1699" s="28" t="s">
        <v>714</v>
      </c>
      <c r="Y1699" s="28" t="s">
        <v>632</v>
      </c>
      <c r="Z1699" s="28" t="s">
        <v>630</v>
      </c>
      <c r="AA1699" s="28" t="s">
        <v>630</v>
      </c>
      <c r="AB1699" s="25" t="s">
        <v>19</v>
      </c>
      <c r="AC1699" s="530">
        <f>AC1700+AC1704</f>
        <v>0</v>
      </c>
      <c r="AD1699" s="509">
        <v>0</v>
      </c>
      <c r="AE1699" s="509" t="s">
        <v>13475</v>
      </c>
      <c r="AF1699" s="509" t="s">
        <v>4529</v>
      </c>
      <c r="AG1699" s="510" t="s">
        <v>4530</v>
      </c>
      <c r="AH1699" s="53">
        <f>AH1700+AH1704</f>
        <v>0</v>
      </c>
      <c r="AI1699" s="10"/>
      <c r="AJ1699" s="9">
        <f t="shared" si="159"/>
        <v>0</v>
      </c>
      <c r="AK1699" s="10"/>
      <c r="AL1699" s="10"/>
    </row>
    <row r="1700" spans="1:38" hidden="1">
      <c r="A1700" s="1">
        <f t="shared" si="158"/>
        <v>0</v>
      </c>
      <c r="B1700" s="11"/>
      <c r="C1700" s="11"/>
      <c r="D1700" s="15" t="s">
        <v>16</v>
      </c>
      <c r="E1700" s="30"/>
      <c r="F1700" s="31" t="s">
        <v>4531</v>
      </c>
      <c r="G1700" s="32">
        <f>SUM(G1701:G1703)</f>
        <v>0</v>
      </c>
      <c r="H1700" s="32">
        <f>SUM(H1701:H1703)</f>
        <v>0</v>
      </c>
      <c r="I1700" s="15"/>
      <c r="J1700" s="494"/>
      <c r="K1700" s="513"/>
      <c r="L1700" s="513"/>
      <c r="M1700" s="513"/>
      <c r="N1700" s="514"/>
      <c r="O1700" s="513"/>
      <c r="P1700" s="513"/>
      <c r="Q1700" s="513"/>
      <c r="R1700" s="513"/>
      <c r="S1700" s="513"/>
      <c r="T1700" s="514"/>
      <c r="U1700" s="32">
        <f>SUM(U1701:U1703)</f>
        <v>0</v>
      </c>
      <c r="V1700" s="15" t="str">
        <f t="shared" si="157"/>
        <v>205010100</v>
      </c>
      <c r="W1700" s="33">
        <v>2</v>
      </c>
      <c r="X1700" s="34" t="s">
        <v>714</v>
      </c>
      <c r="Y1700" s="34" t="s">
        <v>632</v>
      </c>
      <c r="Z1700" s="34" t="s">
        <v>632</v>
      </c>
      <c r="AA1700" s="35" t="s">
        <v>630</v>
      </c>
      <c r="AB1700" s="31" t="s">
        <v>4531</v>
      </c>
      <c r="AC1700" s="529">
        <f>SUM(AC1701:AC1703)</f>
        <v>0</v>
      </c>
      <c r="AD1700" s="513">
        <v>0</v>
      </c>
      <c r="AE1700" s="513" t="s">
        <v>13590</v>
      </c>
      <c r="AF1700" s="513" t="s">
        <v>11908</v>
      </c>
      <c r="AG1700" s="514" t="s">
        <v>4532</v>
      </c>
      <c r="AH1700" s="44">
        <f>SUM(AH1701:AH1703)</f>
        <v>0</v>
      </c>
      <c r="AI1700" s="10"/>
      <c r="AJ1700" s="9">
        <f t="shared" si="159"/>
        <v>0</v>
      </c>
      <c r="AK1700" s="10"/>
      <c r="AL1700" s="10"/>
    </row>
    <row r="1701" spans="1:38" hidden="1">
      <c r="A1701" s="1">
        <f t="shared" si="158"/>
        <v>0</v>
      </c>
      <c r="B1701" s="2" t="s">
        <v>4533</v>
      </c>
      <c r="C1701" s="3" t="s">
        <v>4534</v>
      </c>
      <c r="D1701" s="15" t="s">
        <v>11816</v>
      </c>
      <c r="E1701" s="4" t="s">
        <v>4533</v>
      </c>
      <c r="F1701" s="37" t="s">
        <v>4534</v>
      </c>
      <c r="G1701" s="38">
        <v>0</v>
      </c>
      <c r="H1701" s="38">
        <v>0</v>
      </c>
      <c r="I1701" s="15"/>
      <c r="J1701" s="494">
        <v>20501010101</v>
      </c>
      <c r="K1701" s="517"/>
      <c r="L1701" s="517" t="s">
        <v>13590</v>
      </c>
      <c r="M1701" s="517" t="s">
        <v>11908</v>
      </c>
      <c r="N1701" s="518" t="s">
        <v>4532</v>
      </c>
      <c r="O1701" s="517">
        <v>2</v>
      </c>
      <c r="P1701" s="517" t="s">
        <v>714</v>
      </c>
      <c r="Q1701" s="517" t="s">
        <v>632</v>
      </c>
      <c r="R1701" s="517" t="s">
        <v>632</v>
      </c>
      <c r="S1701" s="517" t="s">
        <v>632</v>
      </c>
      <c r="T1701" s="518" t="s">
        <v>4531</v>
      </c>
      <c r="U1701" s="38">
        <v>0</v>
      </c>
      <c r="V1701" s="15" t="str">
        <f t="shared" si="157"/>
        <v>205010101</v>
      </c>
      <c r="W1701" s="39">
        <v>2</v>
      </c>
      <c r="X1701" s="50" t="s">
        <v>714</v>
      </c>
      <c r="Y1701" s="40" t="s">
        <v>632</v>
      </c>
      <c r="Z1701" s="40" t="s">
        <v>632</v>
      </c>
      <c r="AA1701" s="40" t="s">
        <v>632</v>
      </c>
      <c r="AB1701" s="42" t="s">
        <v>4531</v>
      </c>
      <c r="AC1701" s="519">
        <f>SUM(H1701:H1703)</f>
        <v>0</v>
      </c>
      <c r="AD1701" s="517">
        <v>0</v>
      </c>
      <c r="AE1701" s="517" t="s">
        <v>13590</v>
      </c>
      <c r="AF1701" s="517" t="s">
        <v>11908</v>
      </c>
      <c r="AG1701" s="518" t="s">
        <v>4532</v>
      </c>
      <c r="AH1701" s="67">
        <f>AC1701</f>
        <v>0</v>
      </c>
      <c r="AI1701" s="10"/>
      <c r="AJ1701" s="9">
        <f t="shared" si="159"/>
        <v>0</v>
      </c>
      <c r="AK1701" s="10"/>
      <c r="AL1701" s="10"/>
    </row>
    <row r="1702" spans="1:38" hidden="1">
      <c r="A1702" s="1">
        <f t="shared" si="158"/>
        <v>0</v>
      </c>
      <c r="B1702" s="2" t="s">
        <v>4535</v>
      </c>
      <c r="C1702" s="3" t="s">
        <v>4536</v>
      </c>
      <c r="D1702" s="15" t="s">
        <v>11816</v>
      </c>
      <c r="E1702" s="4" t="s">
        <v>4535</v>
      </c>
      <c r="F1702" s="37" t="s">
        <v>4536</v>
      </c>
      <c r="G1702" s="38">
        <v>0</v>
      </c>
      <c r="H1702" s="38">
        <v>0</v>
      </c>
      <c r="I1702" s="15"/>
      <c r="J1702" s="494">
        <v>20501010102</v>
      </c>
      <c r="K1702" s="517"/>
      <c r="L1702" s="517" t="s">
        <v>13590</v>
      </c>
      <c r="M1702" s="517" t="s">
        <v>11908</v>
      </c>
      <c r="N1702" s="518" t="s">
        <v>4532</v>
      </c>
      <c r="O1702" s="517">
        <v>2</v>
      </c>
      <c r="P1702" s="517" t="s">
        <v>714</v>
      </c>
      <c r="Q1702" s="517" t="s">
        <v>632</v>
      </c>
      <c r="R1702" s="517" t="s">
        <v>632</v>
      </c>
      <c r="S1702" s="517" t="s">
        <v>632</v>
      </c>
      <c r="T1702" s="518" t="s">
        <v>4531</v>
      </c>
      <c r="U1702" s="38">
        <v>0</v>
      </c>
      <c r="V1702" s="15" t="str">
        <f t="shared" si="157"/>
        <v/>
      </c>
      <c r="W1702" s="1"/>
      <c r="X1702" s="1"/>
      <c r="Y1702" s="1"/>
      <c r="Z1702" s="1"/>
      <c r="AA1702" s="1"/>
      <c r="AB1702" s="3"/>
      <c r="AC1702" s="9"/>
      <c r="AD1702" s="517" t="e">
        <v>#N/A</v>
      </c>
      <c r="AE1702" s="517" t="e">
        <v>#N/A</v>
      </c>
      <c r="AF1702" s="517" t="e">
        <v>#N/A</v>
      </c>
      <c r="AG1702" s="520" t="e">
        <v>#N/A</v>
      </c>
      <c r="AH1702" s="9"/>
      <c r="AI1702" s="10"/>
      <c r="AJ1702" s="9">
        <f t="shared" si="159"/>
        <v>0</v>
      </c>
      <c r="AK1702" s="10"/>
      <c r="AL1702" s="10"/>
    </row>
    <row r="1703" spans="1:38" hidden="1">
      <c r="A1703" s="1">
        <f t="shared" si="158"/>
        <v>0</v>
      </c>
      <c r="B1703" s="2" t="s">
        <v>4537</v>
      </c>
      <c r="C1703" s="3" t="s">
        <v>4538</v>
      </c>
      <c r="D1703" s="15" t="s">
        <v>11816</v>
      </c>
      <c r="E1703" s="4" t="s">
        <v>4537</v>
      </c>
      <c r="F1703" s="37" t="s">
        <v>4538</v>
      </c>
      <c r="G1703" s="38">
        <v>0</v>
      </c>
      <c r="H1703" s="38">
        <v>0</v>
      </c>
      <c r="I1703" s="15"/>
      <c r="J1703" s="494">
        <v>20501010103</v>
      </c>
      <c r="K1703" s="517"/>
      <c r="L1703" s="517" t="s">
        <v>13590</v>
      </c>
      <c r="M1703" s="517" t="s">
        <v>11908</v>
      </c>
      <c r="N1703" s="518" t="s">
        <v>4532</v>
      </c>
      <c r="O1703" s="517">
        <v>2</v>
      </c>
      <c r="P1703" s="517" t="s">
        <v>714</v>
      </c>
      <c r="Q1703" s="517" t="s">
        <v>632</v>
      </c>
      <c r="R1703" s="517" t="s">
        <v>632</v>
      </c>
      <c r="S1703" s="517" t="s">
        <v>632</v>
      </c>
      <c r="T1703" s="518" t="s">
        <v>4531</v>
      </c>
      <c r="U1703" s="38">
        <v>0</v>
      </c>
      <c r="V1703" s="15" t="str">
        <f t="shared" si="157"/>
        <v/>
      </c>
      <c r="W1703" s="1"/>
      <c r="X1703" s="1"/>
      <c r="Y1703" s="1"/>
      <c r="Z1703" s="1"/>
      <c r="AA1703" s="1"/>
      <c r="AB1703" s="3"/>
      <c r="AC1703" s="9"/>
      <c r="AD1703" s="517" t="e">
        <v>#N/A</v>
      </c>
      <c r="AE1703" s="517" t="e">
        <v>#N/A</v>
      </c>
      <c r="AF1703" s="517" t="e">
        <v>#N/A</v>
      </c>
      <c r="AG1703" s="520" t="e">
        <v>#N/A</v>
      </c>
      <c r="AH1703" s="9"/>
      <c r="AI1703" s="10"/>
      <c r="AJ1703" s="9">
        <f t="shared" si="159"/>
        <v>0</v>
      </c>
      <c r="AK1703" s="10"/>
      <c r="AL1703" s="10"/>
    </row>
    <row r="1704" spans="1:38" ht="33.75" hidden="1">
      <c r="A1704" s="1">
        <f t="shared" si="158"/>
        <v>0</v>
      </c>
      <c r="B1704" s="11"/>
      <c r="C1704" s="11"/>
      <c r="D1704" s="15" t="s">
        <v>16</v>
      </c>
      <c r="E1704" s="30"/>
      <c r="F1704" s="31" t="s">
        <v>4539</v>
      </c>
      <c r="G1704" s="32">
        <f>G1705</f>
        <v>0</v>
      </c>
      <c r="H1704" s="32">
        <f>H1705</f>
        <v>0</v>
      </c>
      <c r="I1704" s="15"/>
      <c r="J1704" s="494"/>
      <c r="K1704" s="513"/>
      <c r="L1704" s="513"/>
      <c r="M1704" s="513"/>
      <c r="N1704" s="514"/>
      <c r="O1704" s="513"/>
      <c r="P1704" s="513"/>
      <c r="Q1704" s="513"/>
      <c r="R1704" s="513"/>
      <c r="S1704" s="513"/>
      <c r="T1704" s="514"/>
      <c r="U1704" s="32">
        <f>U1705</f>
        <v>0</v>
      </c>
      <c r="V1704" s="15" t="str">
        <f t="shared" si="157"/>
        <v>205010200</v>
      </c>
      <c r="W1704" s="33">
        <v>2</v>
      </c>
      <c r="X1704" s="34" t="s">
        <v>714</v>
      </c>
      <c r="Y1704" s="34" t="s">
        <v>632</v>
      </c>
      <c r="Z1704" s="34" t="s">
        <v>647</v>
      </c>
      <c r="AA1704" s="35" t="s">
        <v>630</v>
      </c>
      <c r="AB1704" s="31" t="s">
        <v>4539</v>
      </c>
      <c r="AC1704" s="529">
        <f>AC1705</f>
        <v>0</v>
      </c>
      <c r="AD1704" s="513" t="s">
        <v>1519</v>
      </c>
      <c r="AE1704" s="513" t="s">
        <v>13591</v>
      </c>
      <c r="AF1704" s="513" t="s">
        <v>4540</v>
      </c>
      <c r="AG1704" s="514" t="s">
        <v>4541</v>
      </c>
      <c r="AH1704" s="44">
        <f>AH1705</f>
        <v>0</v>
      </c>
      <c r="AI1704" s="10"/>
      <c r="AJ1704" s="9">
        <f t="shared" si="159"/>
        <v>0</v>
      </c>
      <c r="AK1704" s="10"/>
      <c r="AL1704" s="10"/>
    </row>
    <row r="1705" spans="1:38" ht="33.75" hidden="1">
      <c r="A1705" s="1">
        <f t="shared" si="158"/>
        <v>0</v>
      </c>
      <c r="B1705" s="2" t="s">
        <v>4542</v>
      </c>
      <c r="C1705" s="3" t="s">
        <v>4539</v>
      </c>
      <c r="D1705" s="15" t="s">
        <v>11817</v>
      </c>
      <c r="E1705" s="4" t="s">
        <v>4542</v>
      </c>
      <c r="F1705" s="37" t="s">
        <v>4539</v>
      </c>
      <c r="G1705" s="38">
        <v>0</v>
      </c>
      <c r="H1705" s="38">
        <v>0</v>
      </c>
      <c r="I1705" s="15"/>
      <c r="J1705" s="494">
        <v>20501020101</v>
      </c>
      <c r="K1705" s="517" t="s">
        <v>1519</v>
      </c>
      <c r="L1705" s="517" t="s">
        <v>13591</v>
      </c>
      <c r="M1705" s="517" t="s">
        <v>4540</v>
      </c>
      <c r="N1705" s="518" t="s">
        <v>4541</v>
      </c>
      <c r="O1705" s="517">
        <v>2</v>
      </c>
      <c r="P1705" s="517" t="s">
        <v>714</v>
      </c>
      <c r="Q1705" s="517" t="s">
        <v>632</v>
      </c>
      <c r="R1705" s="517" t="s">
        <v>647</v>
      </c>
      <c r="S1705" s="517" t="s">
        <v>632</v>
      </c>
      <c r="T1705" s="518" t="s">
        <v>4539</v>
      </c>
      <c r="U1705" s="38">
        <v>0</v>
      </c>
      <c r="V1705" s="15" t="str">
        <f t="shared" si="157"/>
        <v>205010201</v>
      </c>
      <c r="W1705" s="39">
        <v>2</v>
      </c>
      <c r="X1705" s="50" t="s">
        <v>714</v>
      </c>
      <c r="Y1705" s="40" t="s">
        <v>632</v>
      </c>
      <c r="Z1705" s="40" t="s">
        <v>647</v>
      </c>
      <c r="AA1705" s="40" t="s">
        <v>632</v>
      </c>
      <c r="AB1705" s="42" t="s">
        <v>4539</v>
      </c>
      <c r="AC1705" s="9">
        <f>H1705</f>
        <v>0</v>
      </c>
      <c r="AD1705" s="517" t="s">
        <v>1519</v>
      </c>
      <c r="AE1705" s="517" t="s">
        <v>13591</v>
      </c>
      <c r="AF1705" s="517" t="s">
        <v>4540</v>
      </c>
      <c r="AG1705" s="518" t="s">
        <v>4541</v>
      </c>
      <c r="AH1705" s="9">
        <f>AC1705</f>
        <v>0</v>
      </c>
      <c r="AI1705" s="10"/>
      <c r="AJ1705" s="9">
        <f t="shared" si="159"/>
        <v>0</v>
      </c>
      <c r="AK1705" s="10"/>
      <c r="AL1705" s="10"/>
    </row>
    <row r="1706" spans="1:38" hidden="1">
      <c r="A1706" s="1">
        <f t="shared" si="158"/>
        <v>0</v>
      </c>
      <c r="B1706" s="11"/>
      <c r="C1706" s="11"/>
      <c r="D1706" s="15" t="s">
        <v>16</v>
      </c>
      <c r="E1706" s="24"/>
      <c r="F1706" s="25" t="s">
        <v>20</v>
      </c>
      <c r="G1706" s="26">
        <f>G1707+G1724+G1728</f>
        <v>1850000</v>
      </c>
      <c r="H1706" s="26">
        <f>H1707+H1724+H1728</f>
        <v>1920933.66</v>
      </c>
      <c r="I1706" s="15"/>
      <c r="J1706" s="494"/>
      <c r="K1706" s="509"/>
      <c r="L1706" s="509"/>
      <c r="M1706" s="509"/>
      <c r="N1706" s="510"/>
      <c r="O1706" s="509"/>
      <c r="P1706" s="509"/>
      <c r="Q1706" s="509"/>
      <c r="R1706" s="509"/>
      <c r="S1706" s="509"/>
      <c r="T1706" s="510"/>
      <c r="U1706" s="26">
        <f>U1707+U1724+U1728</f>
        <v>1920933.66</v>
      </c>
      <c r="V1706" s="15" t="str">
        <f t="shared" si="157"/>
        <v>205020000</v>
      </c>
      <c r="W1706" s="27">
        <v>2</v>
      </c>
      <c r="X1706" s="28" t="s">
        <v>714</v>
      </c>
      <c r="Y1706" s="28" t="s">
        <v>647</v>
      </c>
      <c r="Z1706" s="28" t="s">
        <v>630</v>
      </c>
      <c r="AA1706" s="28" t="s">
        <v>630</v>
      </c>
      <c r="AB1706" s="25" t="s">
        <v>20</v>
      </c>
      <c r="AC1706" s="530">
        <f>AC1707+AC1724+AC1728</f>
        <v>1920933.66</v>
      </c>
      <c r="AD1706" s="509">
        <v>0</v>
      </c>
      <c r="AE1706" s="509" t="s">
        <v>13476</v>
      </c>
      <c r="AF1706" s="509" t="s">
        <v>4543</v>
      </c>
      <c r="AG1706" s="510" t="s">
        <v>4544</v>
      </c>
      <c r="AH1706" s="53">
        <f>AH1707+AH1724+AH1728</f>
        <v>1920933.66</v>
      </c>
      <c r="AI1706" s="10"/>
      <c r="AJ1706" s="9">
        <f t="shared" si="159"/>
        <v>0</v>
      </c>
      <c r="AK1706" s="10"/>
      <c r="AL1706" s="10"/>
    </row>
    <row r="1707" spans="1:38" hidden="1">
      <c r="A1707" s="1">
        <f t="shared" si="158"/>
        <v>0</v>
      </c>
      <c r="B1707" s="11"/>
      <c r="C1707" s="11"/>
      <c r="D1707" s="15" t="s">
        <v>16</v>
      </c>
      <c r="E1707" s="30"/>
      <c r="F1707" s="31" t="s">
        <v>4545</v>
      </c>
      <c r="G1707" s="32">
        <f>SUM(G1708:G1723)</f>
        <v>1850000</v>
      </c>
      <c r="H1707" s="32">
        <f>SUM(H1708:H1723)</f>
        <v>1920933.66</v>
      </c>
      <c r="I1707" s="15"/>
      <c r="J1707" s="494"/>
      <c r="K1707" s="513"/>
      <c r="L1707" s="513"/>
      <c r="M1707" s="513"/>
      <c r="N1707" s="514"/>
      <c r="O1707" s="513"/>
      <c r="P1707" s="513"/>
      <c r="Q1707" s="513"/>
      <c r="R1707" s="513"/>
      <c r="S1707" s="513"/>
      <c r="T1707" s="514"/>
      <c r="U1707" s="32">
        <f>SUM(U1708:U1723)</f>
        <v>1920933.66</v>
      </c>
      <c r="V1707" s="15" t="str">
        <f t="shared" si="157"/>
        <v>205020100</v>
      </c>
      <c r="W1707" s="33">
        <v>2</v>
      </c>
      <c r="X1707" s="34" t="s">
        <v>714</v>
      </c>
      <c r="Y1707" s="34" t="s">
        <v>647</v>
      </c>
      <c r="Z1707" s="34" t="s">
        <v>632</v>
      </c>
      <c r="AA1707" s="35" t="s">
        <v>630</v>
      </c>
      <c r="AB1707" s="31" t="s">
        <v>4545</v>
      </c>
      <c r="AC1707" s="529">
        <f>SUM(AC1708:AC1723)</f>
        <v>1920933.66</v>
      </c>
      <c r="AD1707" s="513">
        <v>0</v>
      </c>
      <c r="AE1707" s="513" t="s">
        <v>13592</v>
      </c>
      <c r="AF1707" s="513" t="s">
        <v>4546</v>
      </c>
      <c r="AG1707" s="514" t="s">
        <v>4547</v>
      </c>
      <c r="AH1707" s="44">
        <f>SUM(AH1708:AH1723)</f>
        <v>1920933.66</v>
      </c>
      <c r="AI1707" s="10"/>
      <c r="AJ1707" s="9">
        <f t="shared" si="159"/>
        <v>0</v>
      </c>
      <c r="AK1707" s="10"/>
      <c r="AL1707" s="10"/>
    </row>
    <row r="1708" spans="1:38" ht="22.5" hidden="1">
      <c r="A1708" s="1">
        <f t="shared" si="158"/>
        <v>0</v>
      </c>
      <c r="B1708" s="2" t="s">
        <v>4548</v>
      </c>
      <c r="C1708" s="3" t="s">
        <v>4549</v>
      </c>
      <c r="D1708" s="15" t="s">
        <v>11818</v>
      </c>
      <c r="E1708" s="4" t="s">
        <v>4548</v>
      </c>
      <c r="F1708" s="37" t="s">
        <v>4549</v>
      </c>
      <c r="G1708" s="38">
        <v>0</v>
      </c>
      <c r="H1708" s="38">
        <v>0</v>
      </c>
      <c r="I1708" s="15"/>
      <c r="J1708" s="494">
        <v>20502010101</v>
      </c>
      <c r="K1708" s="517"/>
      <c r="L1708" s="517" t="s">
        <v>13592</v>
      </c>
      <c r="M1708" s="517" t="s">
        <v>4546</v>
      </c>
      <c r="N1708" s="518" t="s">
        <v>4547</v>
      </c>
      <c r="O1708" s="517">
        <v>2</v>
      </c>
      <c r="P1708" s="517" t="s">
        <v>714</v>
      </c>
      <c r="Q1708" s="517" t="s">
        <v>647</v>
      </c>
      <c r="R1708" s="517" t="s">
        <v>632</v>
      </c>
      <c r="S1708" s="517" t="s">
        <v>632</v>
      </c>
      <c r="T1708" s="518" t="s">
        <v>4545</v>
      </c>
      <c r="U1708" s="38">
        <v>0</v>
      </c>
      <c r="V1708" s="15" t="str">
        <f t="shared" si="157"/>
        <v>205020101</v>
      </c>
      <c r="W1708" s="39">
        <v>2</v>
      </c>
      <c r="X1708" s="50" t="s">
        <v>714</v>
      </c>
      <c r="Y1708" s="40" t="s">
        <v>647</v>
      </c>
      <c r="Z1708" s="40" t="s">
        <v>632</v>
      </c>
      <c r="AA1708" s="40" t="s">
        <v>632</v>
      </c>
      <c r="AB1708" s="42" t="s">
        <v>4545</v>
      </c>
      <c r="AC1708" s="519">
        <f>SUM(H1708:H1723)</f>
        <v>1920933.66</v>
      </c>
      <c r="AD1708" s="517">
        <v>0</v>
      </c>
      <c r="AE1708" s="517" t="s">
        <v>13592</v>
      </c>
      <c r="AF1708" s="517" t="s">
        <v>4546</v>
      </c>
      <c r="AG1708" s="518" t="s">
        <v>4547</v>
      </c>
      <c r="AH1708" s="67">
        <f>AC1708</f>
        <v>1920933.66</v>
      </c>
      <c r="AI1708" s="10"/>
      <c r="AJ1708" s="9"/>
      <c r="AK1708" s="10"/>
      <c r="AL1708" s="10"/>
    </row>
    <row r="1709" spans="1:38" ht="33.75" hidden="1">
      <c r="A1709" s="1">
        <f t="shared" si="158"/>
        <v>0</v>
      </c>
      <c r="B1709" s="2" t="s">
        <v>4550</v>
      </c>
      <c r="C1709" s="3" t="s">
        <v>4551</v>
      </c>
      <c r="D1709" s="15" t="s">
        <v>11818</v>
      </c>
      <c r="E1709" s="4" t="s">
        <v>4550</v>
      </c>
      <c r="F1709" s="37" t="s">
        <v>4551</v>
      </c>
      <c r="G1709" s="38">
        <v>0</v>
      </c>
      <c r="H1709" s="38">
        <v>0</v>
      </c>
      <c r="I1709" s="15"/>
      <c r="J1709" s="494">
        <v>20502010102</v>
      </c>
      <c r="L1709" s="523" t="s">
        <v>13592</v>
      </c>
      <c r="M1709" s="523" t="s">
        <v>4546</v>
      </c>
      <c r="N1709" s="518" t="s">
        <v>4547</v>
      </c>
      <c r="O1709" s="523">
        <v>2</v>
      </c>
      <c r="P1709" s="523" t="s">
        <v>714</v>
      </c>
      <c r="Q1709" s="523" t="s">
        <v>647</v>
      </c>
      <c r="R1709" s="523" t="s">
        <v>632</v>
      </c>
      <c r="S1709" s="523" t="s">
        <v>632</v>
      </c>
      <c r="T1709" s="518" t="s">
        <v>4545</v>
      </c>
      <c r="U1709" s="38">
        <v>0</v>
      </c>
      <c r="V1709" s="15" t="str">
        <f t="shared" si="157"/>
        <v/>
      </c>
      <c r="W1709" s="10"/>
      <c r="X1709" s="10"/>
      <c r="Y1709" s="10"/>
      <c r="Z1709" s="10"/>
      <c r="AA1709" s="10"/>
      <c r="AB1709" s="10"/>
      <c r="AC1709" s="9"/>
      <c r="AD1709" s="523" t="e">
        <v>#N/A</v>
      </c>
      <c r="AE1709" s="523" t="e">
        <v>#N/A</v>
      </c>
      <c r="AF1709" s="523" t="e">
        <v>#N/A</v>
      </c>
      <c r="AG1709" s="524" t="e">
        <v>#N/A</v>
      </c>
      <c r="AH1709" s="9"/>
      <c r="AI1709" s="10"/>
      <c r="AJ1709" s="9"/>
      <c r="AK1709" s="10"/>
      <c r="AL1709" s="10"/>
    </row>
    <row r="1710" spans="1:38" ht="22.5" hidden="1">
      <c r="A1710" s="1">
        <f t="shared" si="158"/>
        <v>0</v>
      </c>
      <c r="B1710" s="2" t="s">
        <v>4552</v>
      </c>
      <c r="C1710" s="3" t="s">
        <v>4553</v>
      </c>
      <c r="D1710" s="15" t="s">
        <v>11818</v>
      </c>
      <c r="E1710" s="4" t="s">
        <v>4552</v>
      </c>
      <c r="F1710" s="37" t="s">
        <v>4553</v>
      </c>
      <c r="G1710" s="38">
        <v>0</v>
      </c>
      <c r="H1710" s="38">
        <v>0</v>
      </c>
      <c r="I1710" s="15"/>
      <c r="J1710" s="494">
        <v>20502010103</v>
      </c>
      <c r="L1710" s="523" t="s">
        <v>13592</v>
      </c>
      <c r="M1710" s="523" t="s">
        <v>4546</v>
      </c>
      <c r="N1710" s="518" t="s">
        <v>4547</v>
      </c>
      <c r="O1710" s="523">
        <v>2</v>
      </c>
      <c r="P1710" s="523" t="s">
        <v>714</v>
      </c>
      <c r="Q1710" s="523" t="s">
        <v>647</v>
      </c>
      <c r="R1710" s="523" t="s">
        <v>632</v>
      </c>
      <c r="S1710" s="523" t="s">
        <v>632</v>
      </c>
      <c r="T1710" s="518" t="s">
        <v>4545</v>
      </c>
      <c r="U1710" s="38">
        <v>0</v>
      </c>
      <c r="V1710" s="15" t="str">
        <f t="shared" si="157"/>
        <v/>
      </c>
      <c r="W1710" s="10"/>
      <c r="X1710" s="10"/>
      <c r="Y1710" s="10"/>
      <c r="Z1710" s="10"/>
      <c r="AA1710" s="10"/>
      <c r="AB1710" s="10"/>
      <c r="AC1710" s="9"/>
      <c r="AD1710" s="523" t="e">
        <v>#N/A</v>
      </c>
      <c r="AE1710" s="523" t="e">
        <v>#N/A</v>
      </c>
      <c r="AF1710" s="523" t="e">
        <v>#N/A</v>
      </c>
      <c r="AG1710" s="524" t="e">
        <v>#N/A</v>
      </c>
      <c r="AH1710" s="9"/>
      <c r="AI1710" s="10"/>
      <c r="AJ1710" s="9"/>
      <c r="AK1710" s="10"/>
      <c r="AL1710" s="10"/>
    </row>
    <row r="1711" spans="1:38" ht="22.5" hidden="1">
      <c r="A1711" s="1">
        <f t="shared" si="158"/>
        <v>0</v>
      </c>
      <c r="B1711" s="2" t="s">
        <v>4554</v>
      </c>
      <c r="C1711" s="3" t="s">
        <v>4555</v>
      </c>
      <c r="D1711" s="15" t="s">
        <v>11818</v>
      </c>
      <c r="E1711" s="4" t="s">
        <v>4554</v>
      </c>
      <c r="F1711" s="37" t="s">
        <v>4555</v>
      </c>
      <c r="G1711" s="38">
        <v>0</v>
      </c>
      <c r="H1711" s="38">
        <v>0</v>
      </c>
      <c r="I1711" s="15"/>
      <c r="J1711" s="494">
        <v>20502010104</v>
      </c>
      <c r="L1711" s="523" t="s">
        <v>13592</v>
      </c>
      <c r="M1711" s="523" t="s">
        <v>4546</v>
      </c>
      <c r="N1711" s="518" t="s">
        <v>4547</v>
      </c>
      <c r="O1711" s="523">
        <v>2</v>
      </c>
      <c r="P1711" s="523" t="s">
        <v>714</v>
      </c>
      <c r="Q1711" s="523" t="s">
        <v>647</v>
      </c>
      <c r="R1711" s="523" t="s">
        <v>632</v>
      </c>
      <c r="S1711" s="523" t="s">
        <v>632</v>
      </c>
      <c r="T1711" s="518" t="s">
        <v>4545</v>
      </c>
      <c r="U1711" s="38">
        <v>0</v>
      </c>
      <c r="V1711" s="15" t="str">
        <f t="shared" si="157"/>
        <v/>
      </c>
      <c r="W1711" s="10"/>
      <c r="X1711" s="10"/>
      <c r="Y1711" s="10"/>
      <c r="Z1711" s="10"/>
      <c r="AA1711" s="10"/>
      <c r="AB1711" s="10"/>
      <c r="AC1711" s="9"/>
      <c r="AD1711" s="523" t="e">
        <v>#N/A</v>
      </c>
      <c r="AE1711" s="523" t="e">
        <v>#N/A</v>
      </c>
      <c r="AF1711" s="523" t="e">
        <v>#N/A</v>
      </c>
      <c r="AG1711" s="524" t="e">
        <v>#N/A</v>
      </c>
      <c r="AH1711" s="9"/>
      <c r="AI1711" s="10"/>
      <c r="AJ1711" s="9"/>
      <c r="AK1711" s="10"/>
      <c r="AL1711" s="10"/>
    </row>
    <row r="1712" spans="1:38" ht="22.5" hidden="1">
      <c r="A1712" s="1">
        <f t="shared" si="158"/>
        <v>0</v>
      </c>
      <c r="B1712" s="2" t="s">
        <v>4556</v>
      </c>
      <c r="C1712" s="3" t="s">
        <v>4557</v>
      </c>
      <c r="D1712" s="15" t="s">
        <v>11818</v>
      </c>
      <c r="E1712" s="4" t="s">
        <v>4556</v>
      </c>
      <c r="F1712" s="37" t="s">
        <v>4557</v>
      </c>
      <c r="G1712" s="38">
        <v>0</v>
      </c>
      <c r="H1712" s="38">
        <v>0</v>
      </c>
      <c r="I1712" s="15"/>
      <c r="J1712" s="494">
        <v>20502010105</v>
      </c>
      <c r="L1712" s="523" t="s">
        <v>13592</v>
      </c>
      <c r="M1712" s="523" t="s">
        <v>4546</v>
      </c>
      <c r="N1712" s="518" t="s">
        <v>4547</v>
      </c>
      <c r="O1712" s="523">
        <v>2</v>
      </c>
      <c r="P1712" s="523" t="s">
        <v>714</v>
      </c>
      <c r="Q1712" s="523" t="s">
        <v>647</v>
      </c>
      <c r="R1712" s="523" t="s">
        <v>632</v>
      </c>
      <c r="S1712" s="523" t="s">
        <v>632</v>
      </c>
      <c r="T1712" s="518" t="s">
        <v>4545</v>
      </c>
      <c r="U1712" s="38">
        <v>0</v>
      </c>
      <c r="V1712" s="15" t="str">
        <f t="shared" si="157"/>
        <v/>
      </c>
      <c r="W1712" s="10"/>
      <c r="X1712" s="10"/>
      <c r="Y1712" s="10"/>
      <c r="Z1712" s="10"/>
      <c r="AA1712" s="10"/>
      <c r="AB1712" s="10"/>
      <c r="AC1712" s="9"/>
      <c r="AD1712" s="523" t="e">
        <v>#N/A</v>
      </c>
      <c r="AE1712" s="523" t="e">
        <v>#N/A</v>
      </c>
      <c r="AF1712" s="523" t="e">
        <v>#N/A</v>
      </c>
      <c r="AG1712" s="524" t="e">
        <v>#N/A</v>
      </c>
      <c r="AH1712" s="9"/>
      <c r="AI1712" s="10"/>
      <c r="AJ1712" s="9"/>
      <c r="AK1712" s="10"/>
      <c r="AL1712" s="10"/>
    </row>
    <row r="1713" spans="1:38" ht="22.5" hidden="1">
      <c r="A1713" s="1">
        <f t="shared" si="158"/>
        <v>0</v>
      </c>
      <c r="B1713" s="2" t="s">
        <v>4558</v>
      </c>
      <c r="C1713" s="3" t="s">
        <v>4559</v>
      </c>
      <c r="D1713" s="15" t="s">
        <v>11818</v>
      </c>
      <c r="E1713" s="4" t="s">
        <v>4558</v>
      </c>
      <c r="F1713" s="37" t="s">
        <v>4559</v>
      </c>
      <c r="G1713" s="38">
        <v>0</v>
      </c>
      <c r="H1713" s="38">
        <v>0</v>
      </c>
      <c r="I1713" s="15"/>
      <c r="J1713" s="494">
        <v>20502010106</v>
      </c>
      <c r="L1713" s="523" t="s">
        <v>13592</v>
      </c>
      <c r="M1713" s="523" t="s">
        <v>4546</v>
      </c>
      <c r="N1713" s="518" t="s">
        <v>4547</v>
      </c>
      <c r="O1713" s="523">
        <v>2</v>
      </c>
      <c r="P1713" s="523" t="s">
        <v>714</v>
      </c>
      <c r="Q1713" s="523" t="s">
        <v>647</v>
      </c>
      <c r="R1713" s="523" t="s">
        <v>632</v>
      </c>
      <c r="S1713" s="523" t="s">
        <v>632</v>
      </c>
      <c r="T1713" s="518" t="s">
        <v>4545</v>
      </c>
      <c r="U1713" s="38">
        <v>0</v>
      </c>
      <c r="V1713" s="15" t="str">
        <f t="shared" si="157"/>
        <v/>
      </c>
      <c r="W1713" s="10"/>
      <c r="X1713" s="10"/>
      <c r="Y1713" s="10"/>
      <c r="Z1713" s="10"/>
      <c r="AA1713" s="10"/>
      <c r="AB1713" s="10"/>
      <c r="AC1713" s="9"/>
      <c r="AD1713" s="523" t="e">
        <v>#N/A</v>
      </c>
      <c r="AE1713" s="523" t="e">
        <v>#N/A</v>
      </c>
      <c r="AF1713" s="523" t="e">
        <v>#N/A</v>
      </c>
      <c r="AG1713" s="524" t="e">
        <v>#N/A</v>
      </c>
      <c r="AH1713" s="9"/>
      <c r="AI1713" s="10"/>
      <c r="AJ1713" s="9"/>
      <c r="AK1713" s="10"/>
      <c r="AL1713" s="10"/>
    </row>
    <row r="1714" spans="1:38" ht="22.5" hidden="1">
      <c r="A1714" s="1">
        <f t="shared" si="158"/>
        <v>0</v>
      </c>
      <c r="B1714" s="2" t="s">
        <v>4560</v>
      </c>
      <c r="C1714" s="3" t="s">
        <v>4561</v>
      </c>
      <c r="D1714" s="15" t="s">
        <v>11818</v>
      </c>
      <c r="E1714" s="4" t="s">
        <v>4560</v>
      </c>
      <c r="F1714" s="37" t="s">
        <v>4561</v>
      </c>
      <c r="G1714" s="38">
        <v>0</v>
      </c>
      <c r="H1714" s="38">
        <v>0</v>
      </c>
      <c r="I1714" s="15"/>
      <c r="J1714" s="494">
        <v>20502010107</v>
      </c>
      <c r="L1714" s="523" t="s">
        <v>13592</v>
      </c>
      <c r="M1714" s="523" t="s">
        <v>4546</v>
      </c>
      <c r="N1714" s="518" t="s">
        <v>4547</v>
      </c>
      <c r="O1714" s="523">
        <v>2</v>
      </c>
      <c r="P1714" s="523" t="s">
        <v>714</v>
      </c>
      <c r="Q1714" s="523" t="s">
        <v>647</v>
      </c>
      <c r="R1714" s="523" t="s">
        <v>632</v>
      </c>
      <c r="S1714" s="523" t="s">
        <v>632</v>
      </c>
      <c r="T1714" s="518" t="s">
        <v>4545</v>
      </c>
      <c r="U1714" s="38">
        <v>0</v>
      </c>
      <c r="V1714" s="15" t="str">
        <f t="shared" si="157"/>
        <v/>
      </c>
      <c r="W1714" s="10"/>
      <c r="X1714" s="10"/>
      <c r="Y1714" s="10"/>
      <c r="Z1714" s="10"/>
      <c r="AA1714" s="10"/>
      <c r="AB1714" s="10"/>
      <c r="AC1714" s="9"/>
      <c r="AD1714" s="523" t="e">
        <v>#N/A</v>
      </c>
      <c r="AE1714" s="523" t="e">
        <v>#N/A</v>
      </c>
      <c r="AF1714" s="523" t="e">
        <v>#N/A</v>
      </c>
      <c r="AG1714" s="524" t="e">
        <v>#N/A</v>
      </c>
      <c r="AH1714" s="9"/>
      <c r="AI1714" s="10"/>
      <c r="AJ1714" s="9"/>
      <c r="AK1714" s="10"/>
      <c r="AL1714" s="10"/>
    </row>
    <row r="1715" spans="1:38" ht="22.5" hidden="1">
      <c r="A1715" s="1">
        <f t="shared" si="158"/>
        <v>0</v>
      </c>
      <c r="B1715" s="2" t="s">
        <v>4562</v>
      </c>
      <c r="C1715" s="3" t="s">
        <v>4563</v>
      </c>
      <c r="D1715" s="15" t="s">
        <v>11818</v>
      </c>
      <c r="E1715" s="4" t="s">
        <v>4562</v>
      </c>
      <c r="F1715" s="37" t="s">
        <v>4563</v>
      </c>
      <c r="G1715" s="38">
        <v>0</v>
      </c>
      <c r="H1715" s="38">
        <v>0</v>
      </c>
      <c r="I1715" s="15"/>
      <c r="J1715" s="494">
        <v>20502010108</v>
      </c>
      <c r="L1715" s="523" t="s">
        <v>13592</v>
      </c>
      <c r="M1715" s="523" t="s">
        <v>4546</v>
      </c>
      <c r="N1715" s="518" t="s">
        <v>4547</v>
      </c>
      <c r="O1715" s="523">
        <v>2</v>
      </c>
      <c r="P1715" s="523" t="s">
        <v>714</v>
      </c>
      <c r="Q1715" s="523" t="s">
        <v>647</v>
      </c>
      <c r="R1715" s="523" t="s">
        <v>632</v>
      </c>
      <c r="S1715" s="523" t="s">
        <v>632</v>
      </c>
      <c r="T1715" s="518" t="s">
        <v>4545</v>
      </c>
      <c r="U1715" s="38">
        <v>0</v>
      </c>
      <c r="V1715" s="15" t="str">
        <f t="shared" si="157"/>
        <v/>
      </c>
      <c r="W1715" s="10"/>
      <c r="X1715" s="10"/>
      <c r="Y1715" s="10"/>
      <c r="Z1715" s="10"/>
      <c r="AA1715" s="10"/>
      <c r="AB1715" s="10"/>
      <c r="AC1715" s="9"/>
      <c r="AD1715" s="523" t="e">
        <v>#N/A</v>
      </c>
      <c r="AE1715" s="523" t="e">
        <v>#N/A</v>
      </c>
      <c r="AF1715" s="523" t="e">
        <v>#N/A</v>
      </c>
      <c r="AG1715" s="524" t="e">
        <v>#N/A</v>
      </c>
      <c r="AH1715" s="9"/>
      <c r="AI1715" s="10"/>
      <c r="AJ1715" s="9"/>
      <c r="AK1715" s="10"/>
      <c r="AL1715" s="10"/>
    </row>
    <row r="1716" spans="1:38" ht="33.75" hidden="1">
      <c r="A1716" s="1">
        <f t="shared" si="158"/>
        <v>0</v>
      </c>
      <c r="B1716" s="2" t="s">
        <v>4564</v>
      </c>
      <c r="C1716" s="3" t="s">
        <v>4565</v>
      </c>
      <c r="D1716" s="15" t="s">
        <v>11818</v>
      </c>
      <c r="E1716" s="4" t="s">
        <v>4564</v>
      </c>
      <c r="F1716" s="37" t="s">
        <v>4565</v>
      </c>
      <c r="G1716" s="38">
        <v>0</v>
      </c>
      <c r="H1716" s="38">
        <v>0</v>
      </c>
      <c r="I1716" s="15"/>
      <c r="J1716" s="494">
        <v>20502010109</v>
      </c>
      <c r="L1716" s="523" t="s">
        <v>13592</v>
      </c>
      <c r="M1716" s="523" t="s">
        <v>4546</v>
      </c>
      <c r="N1716" s="518" t="s">
        <v>4547</v>
      </c>
      <c r="O1716" s="523">
        <v>2</v>
      </c>
      <c r="P1716" s="523" t="s">
        <v>714</v>
      </c>
      <c r="Q1716" s="523" t="s">
        <v>647</v>
      </c>
      <c r="R1716" s="523" t="s">
        <v>632</v>
      </c>
      <c r="S1716" s="523" t="s">
        <v>632</v>
      </c>
      <c r="T1716" s="518" t="s">
        <v>4545</v>
      </c>
      <c r="U1716" s="38">
        <v>0</v>
      </c>
      <c r="V1716" s="15" t="str">
        <f t="shared" si="157"/>
        <v/>
      </c>
      <c r="W1716" s="10"/>
      <c r="X1716" s="10"/>
      <c r="Y1716" s="10"/>
      <c r="Z1716" s="10"/>
      <c r="AA1716" s="10"/>
      <c r="AB1716" s="10"/>
      <c r="AC1716" s="9"/>
      <c r="AD1716" s="523" t="e">
        <v>#N/A</v>
      </c>
      <c r="AE1716" s="523" t="e">
        <v>#N/A</v>
      </c>
      <c r="AF1716" s="523" t="e">
        <v>#N/A</v>
      </c>
      <c r="AG1716" s="524" t="e">
        <v>#N/A</v>
      </c>
      <c r="AH1716" s="9"/>
      <c r="AI1716" s="10"/>
      <c r="AJ1716" s="9"/>
      <c r="AK1716" s="10"/>
      <c r="AL1716" s="10"/>
    </row>
    <row r="1717" spans="1:38" ht="22.5" hidden="1">
      <c r="A1717" s="1">
        <f t="shared" si="158"/>
        <v>0</v>
      </c>
      <c r="B1717" s="2" t="s">
        <v>4566</v>
      </c>
      <c r="C1717" s="3" t="s">
        <v>4567</v>
      </c>
      <c r="D1717" s="15" t="s">
        <v>11818</v>
      </c>
      <c r="E1717" s="4" t="s">
        <v>4566</v>
      </c>
      <c r="F1717" s="37" t="s">
        <v>4567</v>
      </c>
      <c r="G1717" s="38">
        <v>0</v>
      </c>
      <c r="H1717" s="38">
        <v>0</v>
      </c>
      <c r="I1717" s="15"/>
      <c r="J1717" s="494">
        <v>20502010110</v>
      </c>
      <c r="L1717" s="523" t="s">
        <v>13592</v>
      </c>
      <c r="M1717" s="523" t="s">
        <v>4546</v>
      </c>
      <c r="N1717" s="518" t="s">
        <v>4547</v>
      </c>
      <c r="O1717" s="523">
        <v>2</v>
      </c>
      <c r="P1717" s="523" t="s">
        <v>714</v>
      </c>
      <c r="Q1717" s="523" t="s">
        <v>647</v>
      </c>
      <c r="R1717" s="523" t="s">
        <v>632</v>
      </c>
      <c r="S1717" s="523" t="s">
        <v>632</v>
      </c>
      <c r="T1717" s="518" t="s">
        <v>4545</v>
      </c>
      <c r="U1717" s="38">
        <v>0</v>
      </c>
      <c r="V1717" s="15" t="str">
        <f t="shared" si="157"/>
        <v/>
      </c>
      <c r="W1717" s="10"/>
      <c r="X1717" s="10"/>
      <c r="Y1717" s="10"/>
      <c r="Z1717" s="10"/>
      <c r="AA1717" s="10"/>
      <c r="AB1717" s="10"/>
      <c r="AC1717" s="9"/>
      <c r="AD1717" s="523" t="e">
        <v>#N/A</v>
      </c>
      <c r="AE1717" s="523" t="e">
        <v>#N/A</v>
      </c>
      <c r="AF1717" s="523" t="e">
        <v>#N/A</v>
      </c>
      <c r="AG1717" s="524" t="e">
        <v>#N/A</v>
      </c>
      <c r="AH1717" s="9"/>
      <c r="AI1717" s="10"/>
      <c r="AJ1717" s="9"/>
      <c r="AK1717" s="10"/>
      <c r="AL1717" s="10"/>
    </row>
    <row r="1718" spans="1:38" hidden="1">
      <c r="A1718" s="1">
        <f t="shared" si="158"/>
        <v>0</v>
      </c>
      <c r="B1718" s="2" t="s">
        <v>4568</v>
      </c>
      <c r="C1718" s="3" t="s">
        <v>4569</v>
      </c>
      <c r="D1718" s="15" t="s">
        <v>11818</v>
      </c>
      <c r="E1718" s="4" t="s">
        <v>4568</v>
      </c>
      <c r="F1718" s="37" t="s">
        <v>4569</v>
      </c>
      <c r="G1718" s="38">
        <v>0</v>
      </c>
      <c r="H1718" s="38">
        <v>0</v>
      </c>
      <c r="I1718" s="15"/>
      <c r="J1718" s="494">
        <v>20502010111</v>
      </c>
      <c r="L1718" s="523" t="s">
        <v>13592</v>
      </c>
      <c r="M1718" s="523" t="s">
        <v>4546</v>
      </c>
      <c r="N1718" s="518" t="s">
        <v>4547</v>
      </c>
      <c r="O1718" s="523">
        <v>2</v>
      </c>
      <c r="P1718" s="523" t="s">
        <v>714</v>
      </c>
      <c r="Q1718" s="523" t="s">
        <v>647</v>
      </c>
      <c r="R1718" s="523" t="s">
        <v>632</v>
      </c>
      <c r="S1718" s="523" t="s">
        <v>632</v>
      </c>
      <c r="T1718" s="518" t="s">
        <v>4545</v>
      </c>
      <c r="U1718" s="38">
        <v>0</v>
      </c>
      <c r="V1718" s="15" t="str">
        <f t="shared" si="157"/>
        <v/>
      </c>
      <c r="W1718" s="10"/>
      <c r="X1718" s="10"/>
      <c r="Y1718" s="10"/>
      <c r="Z1718" s="10"/>
      <c r="AA1718" s="10"/>
      <c r="AB1718" s="10"/>
      <c r="AC1718" s="9"/>
      <c r="AD1718" s="523" t="e">
        <v>#N/A</v>
      </c>
      <c r="AE1718" s="523" t="e">
        <v>#N/A</v>
      </c>
      <c r="AF1718" s="523" t="e">
        <v>#N/A</v>
      </c>
      <c r="AG1718" s="524" t="e">
        <v>#N/A</v>
      </c>
      <c r="AH1718" s="9"/>
      <c r="AI1718" s="10"/>
      <c r="AJ1718" s="9"/>
      <c r="AK1718" s="10"/>
      <c r="AL1718" s="10"/>
    </row>
    <row r="1719" spans="1:38" hidden="1">
      <c r="A1719" s="1">
        <f t="shared" si="158"/>
        <v>0</v>
      </c>
      <c r="B1719" s="2" t="s">
        <v>4570</v>
      </c>
      <c r="C1719" s="3" t="s">
        <v>4571</v>
      </c>
      <c r="D1719" s="15" t="s">
        <v>11818</v>
      </c>
      <c r="E1719" s="4" t="s">
        <v>4570</v>
      </c>
      <c r="F1719" s="37" t="s">
        <v>4571</v>
      </c>
      <c r="G1719" s="38">
        <v>0</v>
      </c>
      <c r="H1719" s="38">
        <v>0</v>
      </c>
      <c r="I1719" s="15"/>
      <c r="J1719" s="494">
        <v>20502010112</v>
      </c>
      <c r="L1719" s="523" t="s">
        <v>13592</v>
      </c>
      <c r="M1719" s="523" t="s">
        <v>4546</v>
      </c>
      <c r="N1719" s="518" t="s">
        <v>4547</v>
      </c>
      <c r="O1719" s="523">
        <v>2</v>
      </c>
      <c r="P1719" s="523" t="s">
        <v>714</v>
      </c>
      <c r="Q1719" s="523" t="s">
        <v>647</v>
      </c>
      <c r="R1719" s="523" t="s">
        <v>632</v>
      </c>
      <c r="S1719" s="523" t="s">
        <v>632</v>
      </c>
      <c r="T1719" s="518" t="s">
        <v>4545</v>
      </c>
      <c r="U1719" s="38">
        <v>0</v>
      </c>
      <c r="V1719" s="15" t="str">
        <f t="shared" si="157"/>
        <v/>
      </c>
      <c r="W1719" s="10"/>
      <c r="X1719" s="10"/>
      <c r="Y1719" s="10"/>
      <c r="Z1719" s="10"/>
      <c r="AA1719" s="10"/>
      <c r="AB1719" s="10"/>
      <c r="AC1719" s="9"/>
      <c r="AD1719" s="523" t="e">
        <v>#N/A</v>
      </c>
      <c r="AE1719" s="523" t="e">
        <v>#N/A</v>
      </c>
      <c r="AF1719" s="523" t="e">
        <v>#N/A</v>
      </c>
      <c r="AG1719" s="524" t="e">
        <v>#N/A</v>
      </c>
      <c r="AH1719" s="9"/>
      <c r="AI1719" s="10"/>
      <c r="AJ1719" s="9"/>
      <c r="AK1719" s="10"/>
      <c r="AL1719" s="10"/>
    </row>
    <row r="1720" spans="1:38" ht="22.5" hidden="1">
      <c r="A1720" s="1">
        <f t="shared" si="158"/>
        <v>0</v>
      </c>
      <c r="B1720" s="2" t="s">
        <v>4572</v>
      </c>
      <c r="C1720" s="3" t="s">
        <v>4573</v>
      </c>
      <c r="D1720" s="15" t="s">
        <v>11818</v>
      </c>
      <c r="E1720" s="4" t="s">
        <v>4572</v>
      </c>
      <c r="F1720" s="37" t="s">
        <v>4573</v>
      </c>
      <c r="G1720" s="38">
        <v>0</v>
      </c>
      <c r="H1720" s="38">
        <v>0</v>
      </c>
      <c r="I1720" s="15"/>
      <c r="J1720" s="494">
        <v>20502010113</v>
      </c>
      <c r="L1720" s="523" t="s">
        <v>13592</v>
      </c>
      <c r="M1720" s="523" t="s">
        <v>4546</v>
      </c>
      <c r="N1720" s="518" t="s">
        <v>4547</v>
      </c>
      <c r="O1720" s="523">
        <v>2</v>
      </c>
      <c r="P1720" s="523" t="s">
        <v>714</v>
      </c>
      <c r="Q1720" s="523" t="s">
        <v>647</v>
      </c>
      <c r="R1720" s="523" t="s">
        <v>632</v>
      </c>
      <c r="S1720" s="523" t="s">
        <v>632</v>
      </c>
      <c r="T1720" s="518" t="s">
        <v>4545</v>
      </c>
      <c r="U1720" s="38">
        <v>0</v>
      </c>
      <c r="V1720" s="15" t="str">
        <f t="shared" si="157"/>
        <v/>
      </c>
      <c r="W1720" s="10"/>
      <c r="X1720" s="10"/>
      <c r="Y1720" s="10"/>
      <c r="Z1720" s="10"/>
      <c r="AA1720" s="10"/>
      <c r="AB1720" s="10"/>
      <c r="AC1720" s="9"/>
      <c r="AD1720" s="523" t="e">
        <v>#N/A</v>
      </c>
      <c r="AE1720" s="523" t="e">
        <v>#N/A</v>
      </c>
      <c r="AF1720" s="523" t="e">
        <v>#N/A</v>
      </c>
      <c r="AG1720" s="524" t="e">
        <v>#N/A</v>
      </c>
      <c r="AH1720" s="9"/>
      <c r="AI1720" s="10"/>
      <c r="AJ1720" s="9"/>
      <c r="AK1720" s="10"/>
      <c r="AL1720" s="10"/>
    </row>
    <row r="1721" spans="1:38" ht="22.5" hidden="1">
      <c r="A1721" s="1">
        <f t="shared" si="158"/>
        <v>0</v>
      </c>
      <c r="B1721" s="2" t="s">
        <v>4574</v>
      </c>
      <c r="C1721" s="3" t="s">
        <v>4575</v>
      </c>
      <c r="D1721" s="15" t="s">
        <v>11818</v>
      </c>
      <c r="E1721" s="4" t="s">
        <v>4574</v>
      </c>
      <c r="F1721" s="37" t="s">
        <v>4575</v>
      </c>
      <c r="G1721" s="38">
        <v>0</v>
      </c>
      <c r="H1721" s="38">
        <v>0</v>
      </c>
      <c r="I1721" s="15"/>
      <c r="J1721" s="494">
        <v>20502010114</v>
      </c>
      <c r="L1721" s="523" t="s">
        <v>13592</v>
      </c>
      <c r="M1721" s="523" t="s">
        <v>4546</v>
      </c>
      <c r="N1721" s="518" t="s">
        <v>4547</v>
      </c>
      <c r="O1721" s="523">
        <v>2</v>
      </c>
      <c r="P1721" s="523" t="s">
        <v>714</v>
      </c>
      <c r="Q1721" s="523" t="s">
        <v>647</v>
      </c>
      <c r="R1721" s="523" t="s">
        <v>632</v>
      </c>
      <c r="S1721" s="523" t="s">
        <v>632</v>
      </c>
      <c r="T1721" s="518" t="s">
        <v>4545</v>
      </c>
      <c r="U1721" s="38">
        <v>0</v>
      </c>
      <c r="V1721" s="15" t="str">
        <f t="shared" si="157"/>
        <v/>
      </c>
      <c r="W1721" s="10"/>
      <c r="X1721" s="10"/>
      <c r="Y1721" s="10"/>
      <c r="Z1721" s="10"/>
      <c r="AA1721" s="10"/>
      <c r="AB1721" s="10"/>
      <c r="AC1721" s="9"/>
      <c r="AD1721" s="523" t="e">
        <v>#N/A</v>
      </c>
      <c r="AE1721" s="523" t="e">
        <v>#N/A</v>
      </c>
      <c r="AF1721" s="523" t="e">
        <v>#N/A</v>
      </c>
      <c r="AG1721" s="524" t="e">
        <v>#N/A</v>
      </c>
      <c r="AH1721" s="9"/>
      <c r="AI1721" s="10"/>
      <c r="AJ1721" s="9"/>
      <c r="AK1721" s="10"/>
      <c r="AL1721" s="10"/>
    </row>
    <row r="1722" spans="1:38" ht="22.5" hidden="1">
      <c r="A1722" s="1">
        <f t="shared" si="158"/>
        <v>0</v>
      </c>
      <c r="B1722" s="2" t="s">
        <v>4576</v>
      </c>
      <c r="C1722" s="3" t="s">
        <v>4577</v>
      </c>
      <c r="D1722" s="15" t="s">
        <v>11818</v>
      </c>
      <c r="E1722" s="4" t="s">
        <v>4576</v>
      </c>
      <c r="F1722" s="37" t="s">
        <v>4577</v>
      </c>
      <c r="G1722" s="61">
        <v>1850000</v>
      </c>
      <c r="H1722" s="38">
        <v>1920933.66</v>
      </c>
      <c r="I1722" s="15"/>
      <c r="J1722" s="494">
        <v>20502010115</v>
      </c>
      <c r="L1722" s="523" t="s">
        <v>13592</v>
      </c>
      <c r="M1722" s="523" t="s">
        <v>4546</v>
      </c>
      <c r="N1722" s="518" t="s">
        <v>4547</v>
      </c>
      <c r="O1722" s="523">
        <v>2</v>
      </c>
      <c r="P1722" s="523" t="s">
        <v>714</v>
      </c>
      <c r="Q1722" s="523" t="s">
        <v>647</v>
      </c>
      <c r="R1722" s="523" t="s">
        <v>632</v>
      </c>
      <c r="S1722" s="523" t="s">
        <v>632</v>
      </c>
      <c r="T1722" s="518" t="s">
        <v>4545</v>
      </c>
      <c r="U1722" s="38">
        <v>1920933.66</v>
      </c>
      <c r="V1722" s="15" t="str">
        <f t="shared" si="157"/>
        <v/>
      </c>
      <c r="W1722" s="10"/>
      <c r="X1722" s="10"/>
      <c r="Y1722" s="10"/>
      <c r="Z1722" s="10"/>
      <c r="AA1722" s="10"/>
      <c r="AB1722" s="10"/>
      <c r="AC1722" s="9"/>
      <c r="AD1722" s="523" t="e">
        <v>#N/A</v>
      </c>
      <c r="AE1722" s="523" t="e">
        <v>#N/A</v>
      </c>
      <c r="AF1722" s="523" t="e">
        <v>#N/A</v>
      </c>
      <c r="AG1722" s="524" t="e">
        <v>#N/A</v>
      </c>
      <c r="AH1722" s="9"/>
      <c r="AI1722" s="10"/>
      <c r="AJ1722" s="9"/>
      <c r="AK1722" s="10"/>
      <c r="AL1722" s="10"/>
    </row>
    <row r="1723" spans="1:38" hidden="1">
      <c r="A1723" s="1">
        <f t="shared" si="158"/>
        <v>0</v>
      </c>
      <c r="B1723" s="2" t="s">
        <v>4578</v>
      </c>
      <c r="C1723" s="3" t="s">
        <v>4579</v>
      </c>
      <c r="D1723" s="15" t="s">
        <v>11818</v>
      </c>
      <c r="E1723" s="4" t="s">
        <v>4578</v>
      </c>
      <c r="F1723" s="37" t="s">
        <v>4579</v>
      </c>
      <c r="G1723" s="38">
        <v>0</v>
      </c>
      <c r="H1723" s="38">
        <v>0</v>
      </c>
      <c r="I1723" s="15"/>
      <c r="J1723" s="494">
        <v>20502010116</v>
      </c>
      <c r="L1723" s="523" t="s">
        <v>13592</v>
      </c>
      <c r="M1723" s="523" t="s">
        <v>4546</v>
      </c>
      <c r="N1723" s="518" t="s">
        <v>4547</v>
      </c>
      <c r="O1723" s="523">
        <v>2</v>
      </c>
      <c r="P1723" s="523" t="s">
        <v>714</v>
      </c>
      <c r="Q1723" s="523" t="s">
        <v>647</v>
      </c>
      <c r="R1723" s="523" t="s">
        <v>632</v>
      </c>
      <c r="S1723" s="523" t="s">
        <v>632</v>
      </c>
      <c r="T1723" s="518" t="s">
        <v>4545</v>
      </c>
      <c r="U1723" s="38">
        <v>0</v>
      </c>
      <c r="V1723" s="15" t="str">
        <f t="shared" si="157"/>
        <v/>
      </c>
      <c r="W1723" s="10"/>
      <c r="X1723" s="10"/>
      <c r="Y1723" s="10"/>
      <c r="Z1723" s="10"/>
      <c r="AA1723" s="10"/>
      <c r="AB1723" s="10"/>
      <c r="AC1723" s="9"/>
      <c r="AD1723" s="523" t="e">
        <v>#N/A</v>
      </c>
      <c r="AE1723" s="523" t="e">
        <v>#N/A</v>
      </c>
      <c r="AF1723" s="523" t="e">
        <v>#N/A</v>
      </c>
      <c r="AG1723" s="524" t="e">
        <v>#N/A</v>
      </c>
      <c r="AH1723" s="9"/>
      <c r="AI1723" s="10"/>
      <c r="AJ1723" s="9"/>
      <c r="AK1723" s="10"/>
      <c r="AL1723" s="10"/>
    </row>
    <row r="1724" spans="1:38" ht="33.75" hidden="1">
      <c r="A1724" s="1">
        <f t="shared" si="158"/>
        <v>0</v>
      </c>
      <c r="B1724" s="11"/>
      <c r="C1724" s="11"/>
      <c r="D1724" s="15" t="s">
        <v>16</v>
      </c>
      <c r="E1724" s="30"/>
      <c r="F1724" s="31" t="s">
        <v>4580</v>
      </c>
      <c r="G1724" s="32">
        <f>SUM(G1725:G1727)</f>
        <v>0</v>
      </c>
      <c r="H1724" s="32">
        <f>SUM(H1725:H1727)</f>
        <v>0</v>
      </c>
      <c r="I1724" s="15"/>
      <c r="J1724" s="494"/>
      <c r="K1724" s="513"/>
      <c r="L1724" s="513"/>
      <c r="M1724" s="513"/>
      <c r="N1724" s="514"/>
      <c r="O1724" s="513"/>
      <c r="P1724" s="513"/>
      <c r="Q1724" s="513"/>
      <c r="R1724" s="513"/>
      <c r="S1724" s="513"/>
      <c r="T1724" s="514"/>
      <c r="U1724" s="32">
        <f>SUM(U1725:U1727)</f>
        <v>0</v>
      </c>
      <c r="V1724" s="15" t="str">
        <f t="shared" si="157"/>
        <v>205020200</v>
      </c>
      <c r="W1724" s="33">
        <v>2</v>
      </c>
      <c r="X1724" s="34" t="s">
        <v>714</v>
      </c>
      <c r="Y1724" s="34" t="s">
        <v>647</v>
      </c>
      <c r="Z1724" s="34" t="s">
        <v>647</v>
      </c>
      <c r="AA1724" s="35" t="s">
        <v>630</v>
      </c>
      <c r="AB1724" s="31" t="s">
        <v>4580</v>
      </c>
      <c r="AC1724" s="529">
        <f>SUM(AC1725:AC1727)</f>
        <v>0</v>
      </c>
      <c r="AD1724" s="513" t="s">
        <v>1519</v>
      </c>
      <c r="AE1724" s="513" t="s">
        <v>13593</v>
      </c>
      <c r="AF1724" s="513" t="s">
        <v>4581</v>
      </c>
      <c r="AG1724" s="514" t="s">
        <v>4582</v>
      </c>
      <c r="AH1724" s="44">
        <f>SUM(AH1725:AH1727)</f>
        <v>0</v>
      </c>
      <c r="AI1724" s="10"/>
      <c r="AJ1724" s="9">
        <f t="shared" ref="AJ1724:AJ1748" si="160">AH1724-H1724</f>
        <v>0</v>
      </c>
      <c r="AK1724" s="10"/>
      <c r="AL1724" s="10"/>
    </row>
    <row r="1725" spans="1:38" ht="33.75" hidden="1">
      <c r="A1725" s="1">
        <f t="shared" si="158"/>
        <v>0</v>
      </c>
      <c r="B1725" s="2" t="s">
        <v>4583</v>
      </c>
      <c r="C1725" s="3" t="s">
        <v>4584</v>
      </c>
      <c r="D1725" s="15" t="s">
        <v>11819</v>
      </c>
      <c r="E1725" s="4" t="s">
        <v>4583</v>
      </c>
      <c r="F1725" s="37" t="s">
        <v>4584</v>
      </c>
      <c r="G1725" s="38">
        <v>0</v>
      </c>
      <c r="H1725" s="38">
        <v>0</v>
      </c>
      <c r="I1725" s="15"/>
      <c r="J1725" s="494">
        <v>20502020101</v>
      </c>
      <c r="K1725" s="517" t="s">
        <v>1519</v>
      </c>
      <c r="L1725" s="517" t="s">
        <v>13593</v>
      </c>
      <c r="M1725" s="517" t="s">
        <v>4581</v>
      </c>
      <c r="N1725" s="518" t="s">
        <v>4582</v>
      </c>
      <c r="O1725" s="517">
        <v>2</v>
      </c>
      <c r="P1725" s="517" t="s">
        <v>714</v>
      </c>
      <c r="Q1725" s="517" t="s">
        <v>647</v>
      </c>
      <c r="R1725" s="517" t="s">
        <v>647</v>
      </c>
      <c r="S1725" s="517" t="s">
        <v>632</v>
      </c>
      <c r="T1725" s="518" t="s">
        <v>4580</v>
      </c>
      <c r="U1725" s="38">
        <v>0</v>
      </c>
      <c r="V1725" s="15" t="str">
        <f t="shared" si="157"/>
        <v>205020201</v>
      </c>
      <c r="W1725" s="39">
        <v>2</v>
      </c>
      <c r="X1725" s="50" t="s">
        <v>714</v>
      </c>
      <c r="Y1725" s="40" t="s">
        <v>647</v>
      </c>
      <c r="Z1725" s="40" t="s">
        <v>647</v>
      </c>
      <c r="AA1725" s="40" t="s">
        <v>632</v>
      </c>
      <c r="AB1725" s="42" t="s">
        <v>4580</v>
      </c>
      <c r="AC1725" s="519">
        <f>SUM(H1725:H1727)</f>
        <v>0</v>
      </c>
      <c r="AD1725" s="517" t="s">
        <v>1519</v>
      </c>
      <c r="AE1725" s="517" t="s">
        <v>13593</v>
      </c>
      <c r="AF1725" s="517" t="s">
        <v>4581</v>
      </c>
      <c r="AG1725" s="518" t="s">
        <v>4582</v>
      </c>
      <c r="AH1725" s="67">
        <f>AC1725</f>
        <v>0</v>
      </c>
      <c r="AI1725" s="10"/>
      <c r="AJ1725" s="9">
        <f t="shared" si="160"/>
        <v>0</v>
      </c>
      <c r="AK1725" s="10"/>
      <c r="AL1725" s="10"/>
    </row>
    <row r="1726" spans="1:38" ht="33.75" hidden="1">
      <c r="A1726" s="1">
        <f t="shared" si="158"/>
        <v>0</v>
      </c>
      <c r="B1726" s="2" t="s">
        <v>4585</v>
      </c>
      <c r="C1726" s="3" t="s">
        <v>4586</v>
      </c>
      <c r="D1726" s="15" t="s">
        <v>11819</v>
      </c>
      <c r="E1726" s="4" t="s">
        <v>4585</v>
      </c>
      <c r="F1726" s="37" t="s">
        <v>4586</v>
      </c>
      <c r="G1726" s="38">
        <v>0</v>
      </c>
      <c r="H1726" s="38">
        <v>0</v>
      </c>
      <c r="I1726" s="15"/>
      <c r="J1726" s="494">
        <v>20502020102</v>
      </c>
      <c r="K1726" s="517" t="s">
        <v>1519</v>
      </c>
      <c r="L1726" s="517" t="s">
        <v>13593</v>
      </c>
      <c r="M1726" s="517" t="s">
        <v>4581</v>
      </c>
      <c r="N1726" s="518" t="s">
        <v>4582</v>
      </c>
      <c r="O1726" s="517">
        <v>2</v>
      </c>
      <c r="P1726" s="517" t="s">
        <v>714</v>
      </c>
      <c r="Q1726" s="517" t="s">
        <v>647</v>
      </c>
      <c r="R1726" s="517" t="s">
        <v>647</v>
      </c>
      <c r="S1726" s="517" t="s">
        <v>632</v>
      </c>
      <c r="T1726" s="518" t="s">
        <v>4580</v>
      </c>
      <c r="U1726" s="38">
        <v>0</v>
      </c>
      <c r="V1726" s="15" t="str">
        <f t="shared" si="157"/>
        <v/>
      </c>
      <c r="W1726" s="1"/>
      <c r="X1726" s="1"/>
      <c r="Y1726" s="1"/>
      <c r="Z1726" s="1"/>
      <c r="AA1726" s="1"/>
      <c r="AB1726" s="3"/>
      <c r="AC1726" s="9"/>
      <c r="AD1726" s="517" t="e">
        <v>#N/A</v>
      </c>
      <c r="AE1726" s="517" t="e">
        <v>#N/A</v>
      </c>
      <c r="AF1726" s="517" t="e">
        <v>#N/A</v>
      </c>
      <c r="AG1726" s="520" t="e">
        <v>#N/A</v>
      </c>
      <c r="AH1726" s="9"/>
      <c r="AI1726" s="10"/>
      <c r="AJ1726" s="9">
        <f t="shared" si="160"/>
        <v>0</v>
      </c>
      <c r="AK1726" s="10"/>
      <c r="AL1726" s="10"/>
    </row>
    <row r="1727" spans="1:38" ht="33.75" hidden="1">
      <c r="A1727" s="1">
        <f t="shared" si="158"/>
        <v>0</v>
      </c>
      <c r="B1727" s="2" t="s">
        <v>4587</v>
      </c>
      <c r="C1727" s="3" t="s">
        <v>4588</v>
      </c>
      <c r="D1727" s="15" t="s">
        <v>11819</v>
      </c>
      <c r="E1727" s="4" t="s">
        <v>4587</v>
      </c>
      <c r="F1727" s="37" t="s">
        <v>4588</v>
      </c>
      <c r="G1727" s="38">
        <v>0</v>
      </c>
      <c r="H1727" s="38">
        <v>0</v>
      </c>
      <c r="I1727" s="15"/>
      <c r="J1727" s="494">
        <v>20502020103</v>
      </c>
      <c r="K1727" s="517" t="s">
        <v>1519</v>
      </c>
      <c r="L1727" s="517" t="s">
        <v>13593</v>
      </c>
      <c r="M1727" s="517" t="s">
        <v>4581</v>
      </c>
      <c r="N1727" s="518" t="s">
        <v>4582</v>
      </c>
      <c r="O1727" s="517">
        <v>2</v>
      </c>
      <c r="P1727" s="517" t="s">
        <v>714</v>
      </c>
      <c r="Q1727" s="517" t="s">
        <v>647</v>
      </c>
      <c r="R1727" s="517" t="s">
        <v>647</v>
      </c>
      <c r="S1727" s="517" t="s">
        <v>632</v>
      </c>
      <c r="T1727" s="518" t="s">
        <v>4580</v>
      </c>
      <c r="U1727" s="38">
        <v>0</v>
      </c>
      <c r="V1727" s="15" t="str">
        <f t="shared" si="157"/>
        <v/>
      </c>
      <c r="W1727" s="1"/>
      <c r="X1727" s="1"/>
      <c r="Y1727" s="1"/>
      <c r="Z1727" s="1"/>
      <c r="AA1727" s="1"/>
      <c r="AB1727" s="3"/>
      <c r="AC1727" s="9"/>
      <c r="AD1727" s="517" t="e">
        <v>#N/A</v>
      </c>
      <c r="AE1727" s="517" t="e">
        <v>#N/A</v>
      </c>
      <c r="AF1727" s="517" t="e">
        <v>#N/A</v>
      </c>
      <c r="AG1727" s="520" t="e">
        <v>#N/A</v>
      </c>
      <c r="AH1727" s="9"/>
      <c r="AI1727" s="10"/>
      <c r="AJ1727" s="9">
        <f t="shared" si="160"/>
        <v>0</v>
      </c>
      <c r="AK1727" s="10"/>
      <c r="AL1727" s="10"/>
    </row>
    <row r="1728" spans="1:38" ht="78.75" hidden="1">
      <c r="A1728" s="1">
        <f t="shared" si="158"/>
        <v>0</v>
      </c>
      <c r="B1728" s="11"/>
      <c r="C1728" s="11"/>
      <c r="D1728" s="15" t="s">
        <v>16</v>
      </c>
      <c r="E1728" s="30"/>
      <c r="F1728" s="31" t="s">
        <v>4589</v>
      </c>
      <c r="G1728" s="32">
        <f>G1729</f>
        <v>0</v>
      </c>
      <c r="H1728" s="32">
        <f>H1729</f>
        <v>0</v>
      </c>
      <c r="I1728" s="15"/>
      <c r="J1728" s="494"/>
      <c r="K1728" s="513"/>
      <c r="L1728" s="513"/>
      <c r="M1728" s="513"/>
      <c r="N1728" s="514"/>
      <c r="O1728" s="513"/>
      <c r="P1728" s="513"/>
      <c r="Q1728" s="513"/>
      <c r="R1728" s="513"/>
      <c r="S1728" s="513"/>
      <c r="T1728" s="514"/>
      <c r="U1728" s="32">
        <f>U1729</f>
        <v>0</v>
      </c>
      <c r="V1728" s="15" t="str">
        <f t="shared" si="157"/>
        <v>205020300</v>
      </c>
      <c r="W1728" s="33">
        <v>2</v>
      </c>
      <c r="X1728" s="34" t="s">
        <v>714</v>
      </c>
      <c r="Y1728" s="34" t="s">
        <v>647</v>
      </c>
      <c r="Z1728" s="35" t="s">
        <v>671</v>
      </c>
      <c r="AA1728" s="35" t="s">
        <v>630</v>
      </c>
      <c r="AB1728" s="31" t="s">
        <v>4589</v>
      </c>
      <c r="AC1728" s="529">
        <f>AC1729</f>
        <v>0</v>
      </c>
      <c r="AD1728" s="513">
        <v>0</v>
      </c>
      <c r="AE1728" s="513" t="s">
        <v>13594</v>
      </c>
      <c r="AF1728" s="513" t="s">
        <v>4590</v>
      </c>
      <c r="AG1728" s="514" t="s">
        <v>4591</v>
      </c>
      <c r="AH1728" s="44">
        <f>AH1729</f>
        <v>0</v>
      </c>
      <c r="AI1728" s="10"/>
      <c r="AJ1728" s="9">
        <f t="shared" si="160"/>
        <v>0</v>
      </c>
      <c r="AK1728" s="10"/>
      <c r="AL1728" s="10"/>
    </row>
    <row r="1729" spans="1:38" ht="78.75" hidden="1">
      <c r="A1729" s="1">
        <f t="shared" si="158"/>
        <v>0</v>
      </c>
      <c r="B1729" s="2" t="s">
        <v>4592</v>
      </c>
      <c r="C1729" s="3" t="s">
        <v>4593</v>
      </c>
      <c r="D1729" s="15" t="s">
        <v>11820</v>
      </c>
      <c r="E1729" s="4" t="s">
        <v>4592</v>
      </c>
      <c r="F1729" s="37" t="s">
        <v>4593</v>
      </c>
      <c r="G1729" s="38">
        <v>0</v>
      </c>
      <c r="H1729" s="38">
        <v>0</v>
      </c>
      <c r="I1729" s="15"/>
      <c r="J1729" s="494">
        <v>20502030101</v>
      </c>
      <c r="K1729" s="517"/>
      <c r="L1729" s="517" t="s">
        <v>13594</v>
      </c>
      <c r="M1729" s="517" t="s">
        <v>4590</v>
      </c>
      <c r="N1729" s="518" t="s">
        <v>4591</v>
      </c>
      <c r="O1729" s="517">
        <v>2</v>
      </c>
      <c r="P1729" s="517" t="s">
        <v>714</v>
      </c>
      <c r="Q1729" s="517" t="s">
        <v>647</v>
      </c>
      <c r="R1729" s="517" t="s">
        <v>671</v>
      </c>
      <c r="S1729" s="517" t="s">
        <v>632</v>
      </c>
      <c r="T1729" s="518" t="s">
        <v>4589</v>
      </c>
      <c r="U1729" s="38">
        <v>0</v>
      </c>
      <c r="V1729" s="15" t="str">
        <f t="shared" si="157"/>
        <v>205020301</v>
      </c>
      <c r="W1729" s="39">
        <v>2</v>
      </c>
      <c r="X1729" s="50" t="s">
        <v>714</v>
      </c>
      <c r="Y1729" s="40" t="s">
        <v>647</v>
      </c>
      <c r="Z1729" s="40" t="s">
        <v>671</v>
      </c>
      <c r="AA1729" s="40" t="s">
        <v>632</v>
      </c>
      <c r="AB1729" s="42" t="s">
        <v>4589</v>
      </c>
      <c r="AC1729" s="9">
        <f>H1729</f>
        <v>0</v>
      </c>
      <c r="AD1729" s="517">
        <v>0</v>
      </c>
      <c r="AE1729" s="517" t="s">
        <v>13594</v>
      </c>
      <c r="AF1729" s="517" t="s">
        <v>4590</v>
      </c>
      <c r="AG1729" s="518" t="s">
        <v>4591</v>
      </c>
      <c r="AH1729" s="67">
        <f>AC1729</f>
        <v>0</v>
      </c>
      <c r="AI1729" s="10"/>
      <c r="AJ1729" s="9">
        <f t="shared" si="160"/>
        <v>0</v>
      </c>
      <c r="AK1729" s="10"/>
      <c r="AL1729" s="10"/>
    </row>
    <row r="1730" spans="1:38" hidden="1">
      <c r="A1730" s="1">
        <f t="shared" si="158"/>
        <v>0</v>
      </c>
      <c r="B1730" s="11"/>
      <c r="C1730" s="11"/>
      <c r="D1730" s="15" t="s">
        <v>16</v>
      </c>
      <c r="E1730" s="18"/>
      <c r="F1730" s="23" t="s">
        <v>21</v>
      </c>
      <c r="G1730" s="20">
        <f>G1731+G1734+G1737+G1740+G1743</f>
        <v>290984078.96999997</v>
      </c>
      <c r="H1730" s="20">
        <f>H1731+H1734+H1737+H1740+H1743</f>
        <v>-290984078.96999997</v>
      </c>
      <c r="I1730" s="15"/>
      <c r="J1730" s="494"/>
      <c r="K1730" s="502"/>
      <c r="L1730" s="502"/>
      <c r="M1730" s="502"/>
      <c r="N1730" s="503"/>
      <c r="O1730" s="502"/>
      <c r="P1730" s="502"/>
      <c r="Q1730" s="502"/>
      <c r="R1730" s="502"/>
      <c r="S1730" s="502"/>
      <c r="T1730" s="503"/>
      <c r="U1730" s="20">
        <f>U1731+U1734+U1737+U1740+U1743</f>
        <v>-290984078.96999997</v>
      </c>
      <c r="V1730" s="15" t="str">
        <f t="shared" si="157"/>
        <v>302000000</v>
      </c>
      <c r="W1730" s="21">
        <v>3</v>
      </c>
      <c r="X1730" s="22" t="s">
        <v>647</v>
      </c>
      <c r="Y1730" s="22" t="s">
        <v>630</v>
      </c>
      <c r="Z1730" s="22" t="s">
        <v>630</v>
      </c>
      <c r="AA1730" s="22" t="s">
        <v>630</v>
      </c>
      <c r="AB1730" s="23" t="s">
        <v>21</v>
      </c>
      <c r="AC1730" s="540">
        <f>AC1731+AC1734+AC1737+AC1740+AC1743</f>
        <v>-290984078.96999997</v>
      </c>
      <c r="AD1730" s="502">
        <v>0</v>
      </c>
      <c r="AE1730" s="502" t="s">
        <v>13595</v>
      </c>
      <c r="AF1730" s="502" t="s">
        <v>4594</v>
      </c>
      <c r="AG1730" s="503" t="s">
        <v>13596</v>
      </c>
      <c r="AH1730" s="55">
        <f>AH1731+AH1734+AH1737+AH1740+AH1743</f>
        <v>-290984078.96999997</v>
      </c>
      <c r="AI1730" s="10"/>
      <c r="AJ1730" s="9">
        <f t="shared" si="160"/>
        <v>0</v>
      </c>
      <c r="AK1730" s="10"/>
      <c r="AL1730" s="10"/>
    </row>
    <row r="1731" spans="1:38" ht="22.5" hidden="1">
      <c r="A1731" s="1">
        <f t="shared" si="158"/>
        <v>0</v>
      </c>
      <c r="B1731" s="11"/>
      <c r="C1731" s="11"/>
      <c r="D1731" s="15" t="s">
        <v>16</v>
      </c>
      <c r="E1731" s="24"/>
      <c r="F1731" s="25" t="s">
        <v>2353</v>
      </c>
      <c r="G1731" s="26">
        <f t="shared" ref="G1731:H1732" si="161">G1732</f>
        <v>0</v>
      </c>
      <c r="H1731" s="26">
        <f t="shared" si="161"/>
        <v>0</v>
      </c>
      <c r="I1731" s="15"/>
      <c r="J1731" s="494"/>
      <c r="K1731" s="509"/>
      <c r="L1731" s="509"/>
      <c r="M1731" s="509"/>
      <c r="N1731" s="510"/>
      <c r="O1731" s="509"/>
      <c r="P1731" s="509"/>
      <c r="Q1731" s="509"/>
      <c r="R1731" s="509"/>
      <c r="S1731" s="509"/>
      <c r="T1731" s="510"/>
      <c r="U1731" s="26">
        <f t="shared" ref="U1731:U1732" si="162">U1732</f>
        <v>0</v>
      </c>
      <c r="V1731" s="15" t="str">
        <f t="shared" ref="V1731:V1751" si="163">CONCATENATE(W1731,X1731,Y1731,Z1731,AA1731)</f>
        <v>302010000</v>
      </c>
      <c r="W1731" s="27">
        <v>3</v>
      </c>
      <c r="X1731" s="28" t="s">
        <v>647</v>
      </c>
      <c r="Y1731" s="28" t="s">
        <v>632</v>
      </c>
      <c r="Z1731" s="28" t="s">
        <v>630</v>
      </c>
      <c r="AA1731" s="28" t="s">
        <v>630</v>
      </c>
      <c r="AB1731" s="25" t="s">
        <v>2353</v>
      </c>
      <c r="AC1731" s="530">
        <f>AC1732</f>
        <v>0</v>
      </c>
      <c r="AD1731" s="509">
        <v>0</v>
      </c>
      <c r="AE1731" s="509" t="s">
        <v>13597</v>
      </c>
      <c r="AF1731" s="509" t="s">
        <v>610</v>
      </c>
      <c r="AG1731" s="510" t="s">
        <v>4595</v>
      </c>
      <c r="AH1731" s="53">
        <f>AH1732</f>
        <v>0</v>
      </c>
      <c r="AI1731" s="10"/>
      <c r="AJ1731" s="9">
        <f t="shared" si="160"/>
        <v>0</v>
      </c>
      <c r="AK1731" s="10"/>
      <c r="AL1731" s="10"/>
    </row>
    <row r="1732" spans="1:38" ht="22.5" hidden="1">
      <c r="A1732" s="1">
        <f t="shared" si="158"/>
        <v>0</v>
      </c>
      <c r="B1732" s="11"/>
      <c r="C1732" s="11"/>
      <c r="D1732" s="15" t="s">
        <v>16</v>
      </c>
      <c r="E1732" s="30"/>
      <c r="F1732" s="31" t="s">
        <v>2356</v>
      </c>
      <c r="G1732" s="32">
        <f t="shared" si="161"/>
        <v>0</v>
      </c>
      <c r="H1732" s="32">
        <f t="shared" si="161"/>
        <v>0</v>
      </c>
      <c r="I1732" s="15"/>
      <c r="J1732" s="494"/>
      <c r="K1732" s="513"/>
      <c r="L1732" s="513"/>
      <c r="M1732" s="513"/>
      <c r="N1732" s="514"/>
      <c r="O1732" s="513"/>
      <c r="P1732" s="513"/>
      <c r="Q1732" s="513"/>
      <c r="R1732" s="513"/>
      <c r="S1732" s="513"/>
      <c r="T1732" s="514"/>
      <c r="U1732" s="32">
        <f t="shared" si="162"/>
        <v>0</v>
      </c>
      <c r="V1732" s="15" t="str">
        <f t="shared" si="163"/>
        <v>302010100</v>
      </c>
      <c r="W1732" s="33">
        <v>3</v>
      </c>
      <c r="X1732" s="34" t="s">
        <v>647</v>
      </c>
      <c r="Y1732" s="34" t="s">
        <v>632</v>
      </c>
      <c r="Z1732" s="34" t="s">
        <v>632</v>
      </c>
      <c r="AA1732" s="35" t="s">
        <v>630</v>
      </c>
      <c r="AB1732" s="31" t="s">
        <v>2356</v>
      </c>
      <c r="AC1732" s="529">
        <f>AC1733</f>
        <v>0</v>
      </c>
      <c r="AD1732" s="513">
        <v>0</v>
      </c>
      <c r="AE1732" s="513" t="s">
        <v>13597</v>
      </c>
      <c r="AF1732" s="513" t="s">
        <v>610</v>
      </c>
      <c r="AG1732" s="514" t="s">
        <v>4595</v>
      </c>
      <c r="AH1732" s="44">
        <f>AH1733</f>
        <v>0</v>
      </c>
      <c r="AI1732" s="10"/>
      <c r="AJ1732" s="9">
        <f t="shared" si="160"/>
        <v>0</v>
      </c>
      <c r="AK1732" s="10"/>
      <c r="AL1732" s="10"/>
    </row>
    <row r="1733" spans="1:38" ht="22.5" hidden="1">
      <c r="A1733" s="1">
        <f t="shared" si="158"/>
        <v>0</v>
      </c>
      <c r="B1733" s="2" t="s">
        <v>4596</v>
      </c>
      <c r="C1733" s="3" t="s">
        <v>2356</v>
      </c>
      <c r="D1733" s="15" t="s">
        <v>11821</v>
      </c>
      <c r="E1733" s="4" t="s">
        <v>4596</v>
      </c>
      <c r="F1733" s="37" t="s">
        <v>2356</v>
      </c>
      <c r="G1733" s="38">
        <v>0</v>
      </c>
      <c r="H1733" s="38">
        <v>0</v>
      </c>
      <c r="I1733" s="15"/>
      <c r="J1733" s="494">
        <v>30201010101</v>
      </c>
      <c r="K1733" s="517"/>
      <c r="L1733" s="517" t="s">
        <v>13597</v>
      </c>
      <c r="M1733" s="517" t="s">
        <v>610</v>
      </c>
      <c r="N1733" s="518" t="s">
        <v>4595</v>
      </c>
      <c r="O1733" s="517">
        <v>3</v>
      </c>
      <c r="P1733" s="517" t="s">
        <v>647</v>
      </c>
      <c r="Q1733" s="517" t="s">
        <v>632</v>
      </c>
      <c r="R1733" s="517" t="s">
        <v>632</v>
      </c>
      <c r="S1733" s="517" t="s">
        <v>632</v>
      </c>
      <c r="T1733" s="518" t="s">
        <v>2356</v>
      </c>
      <c r="U1733" s="38">
        <v>0</v>
      </c>
      <c r="V1733" s="15" t="str">
        <f t="shared" si="163"/>
        <v>302010101</v>
      </c>
      <c r="W1733" s="39">
        <v>3</v>
      </c>
      <c r="X1733" s="50" t="s">
        <v>647</v>
      </c>
      <c r="Y1733" s="40" t="s">
        <v>632</v>
      </c>
      <c r="Z1733" s="40" t="s">
        <v>632</v>
      </c>
      <c r="AA1733" s="40" t="s">
        <v>632</v>
      </c>
      <c r="AB1733" s="42" t="s">
        <v>2356</v>
      </c>
      <c r="AC1733" s="9">
        <f>H1733</f>
        <v>0</v>
      </c>
      <c r="AD1733" s="517">
        <v>0</v>
      </c>
      <c r="AE1733" s="517" t="s">
        <v>13597</v>
      </c>
      <c r="AF1733" s="517" t="s">
        <v>610</v>
      </c>
      <c r="AG1733" s="518" t="s">
        <v>4595</v>
      </c>
      <c r="AH1733" s="9">
        <f>AC1733</f>
        <v>0</v>
      </c>
      <c r="AI1733" s="10"/>
      <c r="AJ1733" s="9">
        <f t="shared" si="160"/>
        <v>0</v>
      </c>
      <c r="AK1733" s="10"/>
      <c r="AL1733" s="10"/>
    </row>
    <row r="1734" spans="1:38" ht="22.5" hidden="1">
      <c r="A1734" s="1">
        <f t="shared" si="158"/>
        <v>0</v>
      </c>
      <c r="C1734" s="3" t="s">
        <v>1108</v>
      </c>
      <c r="D1734" s="15" t="s">
        <v>16</v>
      </c>
      <c r="E1734" s="24"/>
      <c r="F1734" s="25" t="s">
        <v>1108</v>
      </c>
      <c r="G1734" s="26">
        <f t="shared" ref="G1734:H1735" si="164">G1735</f>
        <v>0</v>
      </c>
      <c r="H1734" s="26">
        <f t="shared" si="164"/>
        <v>0</v>
      </c>
      <c r="I1734" s="15"/>
      <c r="J1734" s="494"/>
      <c r="K1734" s="509"/>
      <c r="L1734" s="509"/>
      <c r="M1734" s="509"/>
      <c r="N1734" s="510"/>
      <c r="O1734" s="509"/>
      <c r="P1734" s="509"/>
      <c r="Q1734" s="509"/>
      <c r="R1734" s="509"/>
      <c r="S1734" s="509"/>
      <c r="T1734" s="510"/>
      <c r="U1734" s="26">
        <f t="shared" ref="U1734:U1735" si="165">U1735</f>
        <v>0</v>
      </c>
      <c r="V1734" s="15" t="str">
        <f t="shared" si="163"/>
        <v>302020000</v>
      </c>
      <c r="W1734" s="27">
        <v>3</v>
      </c>
      <c r="X1734" s="28" t="s">
        <v>647</v>
      </c>
      <c r="Y1734" s="28" t="s">
        <v>647</v>
      </c>
      <c r="Z1734" s="28" t="s">
        <v>630</v>
      </c>
      <c r="AA1734" s="28" t="s">
        <v>630</v>
      </c>
      <c r="AB1734" s="25" t="s">
        <v>1108</v>
      </c>
      <c r="AC1734" s="530">
        <f>AC1735</f>
        <v>0</v>
      </c>
      <c r="AD1734" s="509">
        <v>0</v>
      </c>
      <c r="AE1734" s="509" t="s">
        <v>13598</v>
      </c>
      <c r="AF1734" s="509" t="s">
        <v>611</v>
      </c>
      <c r="AG1734" s="510" t="s">
        <v>4597</v>
      </c>
      <c r="AH1734" s="53">
        <f>AH1735</f>
        <v>0</v>
      </c>
      <c r="AI1734" s="10"/>
      <c r="AJ1734" s="9">
        <f t="shared" si="160"/>
        <v>0</v>
      </c>
      <c r="AK1734" s="10"/>
      <c r="AL1734" s="10"/>
    </row>
    <row r="1735" spans="1:38" ht="22.5" hidden="1">
      <c r="A1735" s="1">
        <f t="shared" si="158"/>
        <v>0</v>
      </c>
      <c r="C1735" s="3" t="s">
        <v>1108</v>
      </c>
      <c r="D1735" s="15" t="s">
        <v>16</v>
      </c>
      <c r="E1735" s="30"/>
      <c r="F1735" s="31" t="s">
        <v>27</v>
      </c>
      <c r="G1735" s="32">
        <f t="shared" si="164"/>
        <v>0</v>
      </c>
      <c r="H1735" s="32">
        <f t="shared" si="164"/>
        <v>0</v>
      </c>
      <c r="I1735" s="15"/>
      <c r="J1735" s="494"/>
      <c r="K1735" s="513"/>
      <c r="L1735" s="513"/>
      <c r="M1735" s="513"/>
      <c r="N1735" s="514"/>
      <c r="O1735" s="513"/>
      <c r="P1735" s="513"/>
      <c r="Q1735" s="513"/>
      <c r="R1735" s="513"/>
      <c r="S1735" s="513"/>
      <c r="T1735" s="514"/>
      <c r="U1735" s="32">
        <f t="shared" si="165"/>
        <v>0</v>
      </c>
      <c r="V1735" s="15" t="str">
        <f t="shared" si="163"/>
        <v>302020100</v>
      </c>
      <c r="W1735" s="33">
        <v>3</v>
      </c>
      <c r="X1735" s="34" t="s">
        <v>647</v>
      </c>
      <c r="Y1735" s="34" t="s">
        <v>647</v>
      </c>
      <c r="Z1735" s="34" t="s">
        <v>632</v>
      </c>
      <c r="AA1735" s="35" t="s">
        <v>630</v>
      </c>
      <c r="AB1735" s="31" t="s">
        <v>27</v>
      </c>
      <c r="AC1735" s="529">
        <f>AC1736</f>
        <v>0</v>
      </c>
      <c r="AD1735" s="513">
        <v>0</v>
      </c>
      <c r="AE1735" s="513" t="s">
        <v>13598</v>
      </c>
      <c r="AF1735" s="513" t="s">
        <v>611</v>
      </c>
      <c r="AG1735" s="514" t="s">
        <v>4597</v>
      </c>
      <c r="AH1735" s="44">
        <f>AH1736</f>
        <v>0</v>
      </c>
      <c r="AI1735" s="10"/>
      <c r="AJ1735" s="9">
        <f t="shared" si="160"/>
        <v>0</v>
      </c>
      <c r="AK1735" s="10"/>
      <c r="AL1735" s="10"/>
    </row>
    <row r="1736" spans="1:38" hidden="1">
      <c r="A1736" s="1">
        <f t="shared" si="158"/>
        <v>0</v>
      </c>
      <c r="B1736" s="2" t="s">
        <v>4598</v>
      </c>
      <c r="C1736" s="3" t="s">
        <v>27</v>
      </c>
      <c r="D1736" s="15" t="s">
        <v>11822</v>
      </c>
      <c r="E1736" s="4" t="s">
        <v>4598</v>
      </c>
      <c r="F1736" s="37" t="s">
        <v>27</v>
      </c>
      <c r="G1736" s="38">
        <v>0</v>
      </c>
      <c r="H1736" s="38">
        <v>0</v>
      </c>
      <c r="I1736" s="15"/>
      <c r="J1736" s="494">
        <v>30202010101</v>
      </c>
      <c r="K1736" s="517"/>
      <c r="L1736" s="517" t="s">
        <v>13598</v>
      </c>
      <c r="M1736" s="517" t="s">
        <v>611</v>
      </c>
      <c r="N1736" s="518" t="s">
        <v>4597</v>
      </c>
      <c r="O1736" s="517">
        <v>3</v>
      </c>
      <c r="P1736" s="517" t="s">
        <v>647</v>
      </c>
      <c r="Q1736" s="517" t="s">
        <v>647</v>
      </c>
      <c r="R1736" s="517" t="s">
        <v>632</v>
      </c>
      <c r="S1736" s="517" t="s">
        <v>632</v>
      </c>
      <c r="T1736" s="518" t="s">
        <v>27</v>
      </c>
      <c r="U1736" s="38">
        <v>0</v>
      </c>
      <c r="V1736" s="15" t="str">
        <f t="shared" si="163"/>
        <v>302020101</v>
      </c>
      <c r="W1736" s="39">
        <v>3</v>
      </c>
      <c r="X1736" s="50" t="s">
        <v>647</v>
      </c>
      <c r="Y1736" s="40" t="s">
        <v>647</v>
      </c>
      <c r="Z1736" s="40" t="s">
        <v>632</v>
      </c>
      <c r="AA1736" s="40" t="s">
        <v>632</v>
      </c>
      <c r="AB1736" s="42" t="s">
        <v>27</v>
      </c>
      <c r="AC1736" s="9">
        <f>H1736</f>
        <v>0</v>
      </c>
      <c r="AD1736" s="517">
        <v>0</v>
      </c>
      <c r="AE1736" s="517" t="s">
        <v>13598</v>
      </c>
      <c r="AF1736" s="517" t="s">
        <v>611</v>
      </c>
      <c r="AG1736" s="518" t="s">
        <v>4597</v>
      </c>
      <c r="AH1736" s="9">
        <f>AC1736</f>
        <v>0</v>
      </c>
      <c r="AI1736" s="10"/>
      <c r="AJ1736" s="9">
        <f t="shared" si="160"/>
        <v>0</v>
      </c>
      <c r="AK1736" s="10"/>
      <c r="AL1736" s="10"/>
    </row>
    <row r="1737" spans="1:38" hidden="1">
      <c r="A1737" s="1">
        <f t="shared" si="158"/>
        <v>0</v>
      </c>
      <c r="C1737" s="3" t="s">
        <v>2361</v>
      </c>
      <c r="D1737" s="15" t="s">
        <v>16</v>
      </c>
      <c r="E1737" s="24"/>
      <c r="F1737" s="25" t="s">
        <v>2361</v>
      </c>
      <c r="G1737" s="26">
        <f t="shared" ref="G1737:H1738" si="166">G1738</f>
        <v>287897837.58999997</v>
      </c>
      <c r="H1737" s="26">
        <f t="shared" si="166"/>
        <v>-287897837.58999997</v>
      </c>
      <c r="I1737" s="15"/>
      <c r="J1737" s="494"/>
      <c r="K1737" s="509"/>
      <c r="L1737" s="509"/>
      <c r="M1737" s="509"/>
      <c r="N1737" s="510"/>
      <c r="O1737" s="509"/>
      <c r="P1737" s="509"/>
      <c r="Q1737" s="509"/>
      <c r="R1737" s="509"/>
      <c r="S1737" s="509"/>
      <c r="T1737" s="510"/>
      <c r="U1737" s="26">
        <f t="shared" ref="U1737:U1738" si="167">U1738</f>
        <v>-287897837.58999997</v>
      </c>
      <c r="V1737" s="15" t="str">
        <f t="shared" si="163"/>
        <v>302030000</v>
      </c>
      <c r="W1737" s="27">
        <v>3</v>
      </c>
      <c r="X1737" s="28" t="s">
        <v>647</v>
      </c>
      <c r="Y1737" s="28" t="s">
        <v>671</v>
      </c>
      <c r="Z1737" s="28" t="s">
        <v>630</v>
      </c>
      <c r="AA1737" s="28" t="s">
        <v>630</v>
      </c>
      <c r="AB1737" s="25" t="s">
        <v>2361</v>
      </c>
      <c r="AC1737" s="530">
        <f>AC1738</f>
        <v>-287897837.58999997</v>
      </c>
      <c r="AD1737" s="509">
        <v>0</v>
      </c>
      <c r="AE1737" s="509" t="s">
        <v>13599</v>
      </c>
      <c r="AF1737" s="509" t="s">
        <v>612</v>
      </c>
      <c r="AG1737" s="510" t="s">
        <v>4599</v>
      </c>
      <c r="AH1737" s="53">
        <f>AH1738</f>
        <v>-287897837.58999997</v>
      </c>
      <c r="AI1737" s="10"/>
      <c r="AJ1737" s="9">
        <f t="shared" si="160"/>
        <v>0</v>
      </c>
      <c r="AK1737" s="10"/>
      <c r="AL1737" s="10"/>
    </row>
    <row r="1738" spans="1:38" hidden="1">
      <c r="A1738" s="1">
        <f t="shared" si="158"/>
        <v>0</v>
      </c>
      <c r="C1738" s="3" t="s">
        <v>2361</v>
      </c>
      <c r="D1738" s="15" t="s">
        <v>16</v>
      </c>
      <c r="E1738" s="30"/>
      <c r="F1738" s="31" t="s">
        <v>2364</v>
      </c>
      <c r="G1738" s="32">
        <f t="shared" si="166"/>
        <v>287897837.58999997</v>
      </c>
      <c r="H1738" s="32">
        <f t="shared" si="166"/>
        <v>-287897837.58999997</v>
      </c>
      <c r="I1738" s="15"/>
      <c r="J1738" s="494"/>
      <c r="K1738" s="513"/>
      <c r="L1738" s="513"/>
      <c r="M1738" s="513"/>
      <c r="N1738" s="514"/>
      <c r="O1738" s="513"/>
      <c r="P1738" s="513"/>
      <c r="Q1738" s="513"/>
      <c r="R1738" s="513"/>
      <c r="S1738" s="513"/>
      <c r="T1738" s="514"/>
      <c r="U1738" s="32">
        <f t="shared" si="167"/>
        <v>-287897837.58999997</v>
      </c>
      <c r="V1738" s="15" t="str">
        <f t="shared" si="163"/>
        <v>302030100</v>
      </c>
      <c r="W1738" s="33">
        <v>3</v>
      </c>
      <c r="X1738" s="34" t="s">
        <v>647</v>
      </c>
      <c r="Y1738" s="34" t="s">
        <v>671</v>
      </c>
      <c r="Z1738" s="34" t="s">
        <v>632</v>
      </c>
      <c r="AA1738" s="35" t="s">
        <v>630</v>
      </c>
      <c r="AB1738" s="31" t="s">
        <v>2364</v>
      </c>
      <c r="AC1738" s="529">
        <f>AC1739</f>
        <v>-287897837.58999997</v>
      </c>
      <c r="AD1738" s="513">
        <v>0</v>
      </c>
      <c r="AE1738" s="513" t="s">
        <v>13599</v>
      </c>
      <c r="AF1738" s="513" t="s">
        <v>612</v>
      </c>
      <c r="AG1738" s="514" t="s">
        <v>4599</v>
      </c>
      <c r="AH1738" s="44">
        <f>AH1739</f>
        <v>-287897837.58999997</v>
      </c>
      <c r="AI1738" s="10"/>
      <c r="AJ1738" s="9">
        <f t="shared" si="160"/>
        <v>0</v>
      </c>
      <c r="AK1738" s="10"/>
      <c r="AL1738" s="10"/>
    </row>
    <row r="1739" spans="1:38" hidden="1">
      <c r="A1739" s="1">
        <f t="shared" si="158"/>
        <v>0</v>
      </c>
      <c r="B1739" s="2" t="s">
        <v>4600</v>
      </c>
      <c r="C1739" s="3" t="s">
        <v>2361</v>
      </c>
      <c r="D1739" s="15" t="s">
        <v>11823</v>
      </c>
      <c r="E1739" s="4" t="s">
        <v>4600</v>
      </c>
      <c r="F1739" s="37" t="s">
        <v>2361</v>
      </c>
      <c r="G1739" s="38">
        <v>287897837.58999997</v>
      </c>
      <c r="H1739" s="38">
        <v>-287897837.58999997</v>
      </c>
      <c r="I1739" s="15"/>
      <c r="J1739" s="494">
        <v>30203010101</v>
      </c>
      <c r="K1739" s="517"/>
      <c r="L1739" s="517" t="s">
        <v>13599</v>
      </c>
      <c r="M1739" s="517" t="s">
        <v>612</v>
      </c>
      <c r="N1739" s="518" t="s">
        <v>4599</v>
      </c>
      <c r="O1739" s="517">
        <v>3</v>
      </c>
      <c r="P1739" s="517" t="s">
        <v>647</v>
      </c>
      <c r="Q1739" s="517" t="s">
        <v>671</v>
      </c>
      <c r="R1739" s="517" t="s">
        <v>632</v>
      </c>
      <c r="S1739" s="517" t="s">
        <v>632</v>
      </c>
      <c r="T1739" s="518" t="s">
        <v>2364</v>
      </c>
      <c r="U1739" s="38">
        <v>-287897837.58999997</v>
      </c>
      <c r="V1739" s="15" t="str">
        <f t="shared" si="163"/>
        <v>302030101</v>
      </c>
      <c r="W1739" s="39">
        <v>3</v>
      </c>
      <c r="X1739" s="50" t="s">
        <v>647</v>
      </c>
      <c r="Y1739" s="40" t="s">
        <v>671</v>
      </c>
      <c r="Z1739" s="40" t="s">
        <v>632</v>
      </c>
      <c r="AA1739" s="40" t="s">
        <v>632</v>
      </c>
      <c r="AB1739" s="42" t="s">
        <v>2364</v>
      </c>
      <c r="AC1739" s="9">
        <f>H1739</f>
        <v>-287897837.58999997</v>
      </c>
      <c r="AD1739" s="517">
        <v>0</v>
      </c>
      <c r="AE1739" s="517" t="s">
        <v>13599</v>
      </c>
      <c r="AF1739" s="517" t="s">
        <v>612</v>
      </c>
      <c r="AG1739" s="518" t="s">
        <v>4599</v>
      </c>
      <c r="AH1739" s="9">
        <f>AC1739</f>
        <v>-287897837.58999997</v>
      </c>
      <c r="AI1739" s="10"/>
      <c r="AJ1739" s="9">
        <f t="shared" si="160"/>
        <v>0</v>
      </c>
      <c r="AK1739" s="10"/>
      <c r="AL1739" s="10"/>
    </row>
    <row r="1740" spans="1:38" ht="33.75" hidden="1">
      <c r="A1740" s="1">
        <f t="shared" si="158"/>
        <v>0</v>
      </c>
      <c r="D1740" s="15" t="s">
        <v>16</v>
      </c>
      <c r="E1740" s="24"/>
      <c r="F1740" s="25" t="s">
        <v>2366</v>
      </c>
      <c r="G1740" s="26">
        <f t="shared" ref="G1740:H1741" si="168">G1741</f>
        <v>0</v>
      </c>
      <c r="H1740" s="26">
        <f t="shared" si="168"/>
        <v>0</v>
      </c>
      <c r="I1740" s="15"/>
      <c r="J1740" s="494"/>
      <c r="K1740" s="509"/>
      <c r="L1740" s="509"/>
      <c r="M1740" s="509"/>
      <c r="N1740" s="510"/>
      <c r="O1740" s="509"/>
      <c r="P1740" s="509"/>
      <c r="Q1740" s="509"/>
      <c r="R1740" s="509"/>
      <c r="S1740" s="509"/>
      <c r="T1740" s="510"/>
      <c r="U1740" s="26">
        <f t="shared" ref="U1740:U1741" si="169">U1741</f>
        <v>0</v>
      </c>
      <c r="V1740" s="15" t="str">
        <f t="shared" si="163"/>
        <v>302050000</v>
      </c>
      <c r="W1740" s="27">
        <v>3</v>
      </c>
      <c r="X1740" s="28" t="s">
        <v>647</v>
      </c>
      <c r="Y1740" s="28" t="s">
        <v>714</v>
      </c>
      <c r="Z1740" s="28" t="s">
        <v>630</v>
      </c>
      <c r="AA1740" s="28" t="s">
        <v>630</v>
      </c>
      <c r="AB1740" s="25" t="s">
        <v>2366</v>
      </c>
      <c r="AC1740" s="530">
        <f>AC1741</f>
        <v>0</v>
      </c>
      <c r="AD1740" s="509">
        <v>0</v>
      </c>
      <c r="AE1740" s="509" t="s">
        <v>13600</v>
      </c>
      <c r="AF1740" s="509" t="s">
        <v>4601</v>
      </c>
      <c r="AG1740" s="510" t="s">
        <v>4602</v>
      </c>
      <c r="AH1740" s="53">
        <f>AH1741</f>
        <v>0</v>
      </c>
      <c r="AI1740" s="10"/>
      <c r="AJ1740" s="9">
        <f t="shared" si="160"/>
        <v>0</v>
      </c>
      <c r="AK1740" s="10"/>
      <c r="AL1740" s="10"/>
    </row>
    <row r="1741" spans="1:38" ht="33.75" hidden="1">
      <c r="A1741" s="1">
        <f t="shared" si="158"/>
        <v>0</v>
      </c>
      <c r="D1741" s="15" t="s">
        <v>16</v>
      </c>
      <c r="E1741" s="30"/>
      <c r="F1741" s="31" t="s">
        <v>4603</v>
      </c>
      <c r="G1741" s="32">
        <f t="shared" si="168"/>
        <v>0</v>
      </c>
      <c r="H1741" s="32">
        <f t="shared" si="168"/>
        <v>0</v>
      </c>
      <c r="I1741" s="15"/>
      <c r="J1741" s="494"/>
      <c r="K1741" s="513"/>
      <c r="L1741" s="513"/>
      <c r="M1741" s="513"/>
      <c r="N1741" s="514"/>
      <c r="O1741" s="513"/>
      <c r="P1741" s="513"/>
      <c r="Q1741" s="513"/>
      <c r="R1741" s="513"/>
      <c r="S1741" s="513"/>
      <c r="T1741" s="514"/>
      <c r="U1741" s="32">
        <f t="shared" si="169"/>
        <v>0</v>
      </c>
      <c r="V1741" s="15" t="str">
        <f t="shared" si="163"/>
        <v>302050100</v>
      </c>
      <c r="W1741" s="33">
        <v>3</v>
      </c>
      <c r="X1741" s="34" t="s">
        <v>647</v>
      </c>
      <c r="Y1741" s="35" t="s">
        <v>714</v>
      </c>
      <c r="Z1741" s="34" t="s">
        <v>632</v>
      </c>
      <c r="AA1741" s="35" t="s">
        <v>630</v>
      </c>
      <c r="AB1741" s="31" t="s">
        <v>4603</v>
      </c>
      <c r="AC1741" s="529">
        <f>AC1742</f>
        <v>0</v>
      </c>
      <c r="AD1741" s="513">
        <v>0</v>
      </c>
      <c r="AE1741" s="513" t="s">
        <v>13600</v>
      </c>
      <c r="AF1741" s="513" t="s">
        <v>4601</v>
      </c>
      <c r="AG1741" s="514" t="s">
        <v>4602</v>
      </c>
      <c r="AH1741" s="44">
        <f>AH1742</f>
        <v>0</v>
      </c>
      <c r="AI1741" s="10"/>
      <c r="AJ1741" s="9">
        <f t="shared" si="160"/>
        <v>0</v>
      </c>
      <c r="AK1741" s="10"/>
      <c r="AL1741" s="10"/>
    </row>
    <row r="1742" spans="1:38" ht="33.75" hidden="1">
      <c r="A1742" s="1">
        <f t="shared" si="158"/>
        <v>0</v>
      </c>
      <c r="B1742" s="2" t="s">
        <v>4604</v>
      </c>
      <c r="C1742" s="3" t="s">
        <v>2366</v>
      </c>
      <c r="D1742" s="15" t="s">
        <v>11824</v>
      </c>
      <c r="E1742" s="4" t="s">
        <v>4604</v>
      </c>
      <c r="F1742" s="37" t="s">
        <v>2366</v>
      </c>
      <c r="G1742" s="38">
        <v>0</v>
      </c>
      <c r="H1742" s="38">
        <v>0</v>
      </c>
      <c r="I1742" s="15"/>
      <c r="J1742" s="494">
        <v>30205010101</v>
      </c>
      <c r="K1742" s="517"/>
      <c r="L1742" s="517" t="s">
        <v>13600</v>
      </c>
      <c r="M1742" s="517" t="s">
        <v>4601</v>
      </c>
      <c r="N1742" s="518" t="s">
        <v>4602</v>
      </c>
      <c r="O1742" s="517">
        <v>3</v>
      </c>
      <c r="P1742" s="517" t="s">
        <v>647</v>
      </c>
      <c r="Q1742" s="517" t="s">
        <v>714</v>
      </c>
      <c r="R1742" s="517" t="s">
        <v>632</v>
      </c>
      <c r="S1742" s="517" t="s">
        <v>632</v>
      </c>
      <c r="T1742" s="518" t="s">
        <v>2366</v>
      </c>
      <c r="U1742" s="38">
        <v>0</v>
      </c>
      <c r="V1742" s="15" t="str">
        <f t="shared" si="163"/>
        <v>302050101</v>
      </c>
      <c r="W1742" s="39">
        <v>3</v>
      </c>
      <c r="X1742" s="50" t="s">
        <v>647</v>
      </c>
      <c r="Y1742" s="40" t="s">
        <v>714</v>
      </c>
      <c r="Z1742" s="40" t="s">
        <v>632</v>
      </c>
      <c r="AA1742" s="40" t="s">
        <v>632</v>
      </c>
      <c r="AB1742" s="42" t="s">
        <v>2366</v>
      </c>
      <c r="AC1742" s="9">
        <f>H1742</f>
        <v>0</v>
      </c>
      <c r="AD1742" s="517">
        <v>0</v>
      </c>
      <c r="AE1742" s="517" t="s">
        <v>13600</v>
      </c>
      <c r="AF1742" s="517" t="s">
        <v>4601</v>
      </c>
      <c r="AG1742" s="518" t="s">
        <v>4602</v>
      </c>
      <c r="AH1742" s="9">
        <f>AC1742</f>
        <v>0</v>
      </c>
      <c r="AI1742" s="10"/>
      <c r="AJ1742" s="9">
        <f t="shared" si="160"/>
        <v>0</v>
      </c>
      <c r="AK1742" s="10"/>
      <c r="AL1742" s="10"/>
    </row>
    <row r="1743" spans="1:38" ht="22.5" hidden="1">
      <c r="A1743" s="1">
        <f t="shared" si="158"/>
        <v>0</v>
      </c>
      <c r="B1743" s="11"/>
      <c r="C1743" s="11"/>
      <c r="D1743" s="15" t="s">
        <v>16</v>
      </c>
      <c r="E1743" s="24"/>
      <c r="F1743" s="25" t="s">
        <v>2370</v>
      </c>
      <c r="G1743" s="26">
        <f>G1744</f>
        <v>3086241.38</v>
      </c>
      <c r="H1743" s="26">
        <f>H1744</f>
        <v>-3086241.38</v>
      </c>
      <c r="I1743" s="15"/>
      <c r="J1743" s="494"/>
      <c r="K1743" s="509"/>
      <c r="L1743" s="509"/>
      <c r="M1743" s="509"/>
      <c r="N1743" s="510"/>
      <c r="O1743" s="509"/>
      <c r="P1743" s="509"/>
      <c r="Q1743" s="509"/>
      <c r="R1743" s="509"/>
      <c r="S1743" s="509"/>
      <c r="T1743" s="510"/>
      <c r="U1743" s="26">
        <f>U1744</f>
        <v>-3086241.38</v>
      </c>
      <c r="V1743" s="15" t="str">
        <f t="shared" si="163"/>
        <v>302040000</v>
      </c>
      <c r="W1743" s="27">
        <v>3</v>
      </c>
      <c r="X1743" s="28" t="s">
        <v>647</v>
      </c>
      <c r="Y1743" s="28" t="s">
        <v>693</v>
      </c>
      <c r="Z1743" s="28" t="s">
        <v>630</v>
      </c>
      <c r="AA1743" s="28" t="s">
        <v>630</v>
      </c>
      <c r="AB1743" s="25" t="s">
        <v>2370</v>
      </c>
      <c r="AC1743" s="530">
        <f>AC1744</f>
        <v>-3086241.38</v>
      </c>
      <c r="AD1743" s="509">
        <v>0</v>
      </c>
      <c r="AE1743" s="509" t="s">
        <v>13601</v>
      </c>
      <c r="AF1743" s="509" t="s">
        <v>613</v>
      </c>
      <c r="AG1743" s="510" t="s">
        <v>4605</v>
      </c>
      <c r="AH1743" s="53">
        <f>AH1744</f>
        <v>-3086241.38</v>
      </c>
      <c r="AI1743" s="10"/>
      <c r="AJ1743" s="9">
        <f t="shared" si="160"/>
        <v>0</v>
      </c>
      <c r="AK1743" s="10"/>
      <c r="AL1743" s="10"/>
    </row>
    <row r="1744" spans="1:38" ht="22.5" hidden="1">
      <c r="A1744" s="1">
        <f t="shared" si="158"/>
        <v>0</v>
      </c>
      <c r="B1744" s="11"/>
      <c r="C1744" s="11"/>
      <c r="D1744" s="15" t="s">
        <v>16</v>
      </c>
      <c r="E1744" s="30"/>
      <c r="F1744" s="31" t="s">
        <v>4606</v>
      </c>
      <c r="G1744" s="32">
        <f>SUM(G1745:G1751)</f>
        <v>3086241.38</v>
      </c>
      <c r="H1744" s="32">
        <f>SUM(H1745:H1751)</f>
        <v>-3086241.38</v>
      </c>
      <c r="I1744" s="15"/>
      <c r="J1744" s="494"/>
      <c r="K1744" s="513"/>
      <c r="L1744" s="513"/>
      <c r="M1744" s="513"/>
      <c r="N1744" s="514"/>
      <c r="O1744" s="513"/>
      <c r="P1744" s="513"/>
      <c r="Q1744" s="513"/>
      <c r="R1744" s="513"/>
      <c r="S1744" s="513"/>
      <c r="T1744" s="514"/>
      <c r="U1744" s="32">
        <f>SUM(U1745:U1751)</f>
        <v>-3086241.38</v>
      </c>
      <c r="V1744" s="15" t="str">
        <f t="shared" si="163"/>
        <v>302040100</v>
      </c>
      <c r="W1744" s="33">
        <v>3</v>
      </c>
      <c r="X1744" s="34" t="s">
        <v>647</v>
      </c>
      <c r="Y1744" s="34" t="s">
        <v>693</v>
      </c>
      <c r="Z1744" s="34" t="s">
        <v>632</v>
      </c>
      <c r="AA1744" s="35" t="s">
        <v>630</v>
      </c>
      <c r="AB1744" s="31" t="s">
        <v>4606</v>
      </c>
      <c r="AC1744" s="529">
        <f>SUM(AC1745:AC1751)</f>
        <v>-3086241.38</v>
      </c>
      <c r="AD1744" s="513">
        <v>0</v>
      </c>
      <c r="AE1744" s="513" t="s">
        <v>13601</v>
      </c>
      <c r="AF1744" s="513" t="s">
        <v>613</v>
      </c>
      <c r="AG1744" s="514" t="s">
        <v>4605</v>
      </c>
      <c r="AH1744" s="44">
        <f>SUM(AH1745:AH1751)</f>
        <v>-3086241.38</v>
      </c>
      <c r="AI1744" s="10"/>
      <c r="AJ1744" s="9">
        <f t="shared" si="160"/>
        <v>0</v>
      </c>
      <c r="AK1744" s="10"/>
      <c r="AL1744" s="10"/>
    </row>
    <row r="1745" spans="1:38" ht="22.5" hidden="1">
      <c r="A1745" s="1">
        <f t="shared" si="158"/>
        <v>0</v>
      </c>
      <c r="B1745" s="2" t="s">
        <v>4607</v>
      </c>
      <c r="C1745" s="3" t="s">
        <v>4608</v>
      </c>
      <c r="D1745" s="15" t="s">
        <v>11825</v>
      </c>
      <c r="E1745" s="4" t="s">
        <v>4607</v>
      </c>
      <c r="F1745" s="37" t="s">
        <v>4608</v>
      </c>
      <c r="G1745" s="38">
        <v>0</v>
      </c>
      <c r="H1745" s="38">
        <v>0</v>
      </c>
      <c r="I1745" s="15"/>
      <c r="J1745" s="494">
        <v>30204010101</v>
      </c>
      <c r="K1745" s="517"/>
      <c r="L1745" s="517" t="s">
        <v>13601</v>
      </c>
      <c r="M1745" s="517" t="s">
        <v>613</v>
      </c>
      <c r="N1745" s="518" t="s">
        <v>4605</v>
      </c>
      <c r="O1745" s="517">
        <v>3</v>
      </c>
      <c r="P1745" s="517" t="s">
        <v>647</v>
      </c>
      <c r="Q1745" s="517" t="s">
        <v>693</v>
      </c>
      <c r="R1745" s="517" t="s">
        <v>632</v>
      </c>
      <c r="S1745" s="517" t="s">
        <v>632</v>
      </c>
      <c r="T1745" s="518" t="s">
        <v>4609</v>
      </c>
      <c r="U1745" s="38">
        <v>0</v>
      </c>
      <c r="V1745" s="15" t="str">
        <f t="shared" si="163"/>
        <v>302040101</v>
      </c>
      <c r="W1745" s="39">
        <v>3</v>
      </c>
      <c r="X1745" s="50" t="s">
        <v>647</v>
      </c>
      <c r="Y1745" s="40" t="s">
        <v>693</v>
      </c>
      <c r="Z1745" s="40" t="s">
        <v>632</v>
      </c>
      <c r="AA1745" s="40" t="s">
        <v>632</v>
      </c>
      <c r="AB1745" s="42" t="s">
        <v>4609</v>
      </c>
      <c r="AC1745" s="9">
        <f>H1745</f>
        <v>0</v>
      </c>
      <c r="AD1745" s="517">
        <v>0</v>
      </c>
      <c r="AE1745" s="517" t="s">
        <v>13601</v>
      </c>
      <c r="AF1745" s="517" t="s">
        <v>613</v>
      </c>
      <c r="AG1745" s="518" t="s">
        <v>4605</v>
      </c>
      <c r="AH1745" s="67">
        <f>AC1745</f>
        <v>0</v>
      </c>
      <c r="AI1745" s="10"/>
      <c r="AJ1745" s="9">
        <f t="shared" si="160"/>
        <v>0</v>
      </c>
      <c r="AK1745" s="10"/>
      <c r="AL1745" s="10"/>
    </row>
    <row r="1746" spans="1:38" ht="22.5" hidden="1">
      <c r="A1746" s="1">
        <f t="shared" si="158"/>
        <v>0</v>
      </c>
      <c r="B1746" s="2" t="s">
        <v>4610</v>
      </c>
      <c r="C1746" s="3" t="s">
        <v>4611</v>
      </c>
      <c r="D1746" s="15" t="s">
        <v>11826</v>
      </c>
      <c r="E1746" s="4" t="s">
        <v>4610</v>
      </c>
      <c r="F1746" s="37" t="s">
        <v>4611</v>
      </c>
      <c r="G1746" s="38">
        <v>0</v>
      </c>
      <c r="H1746" s="38">
        <v>0</v>
      </c>
      <c r="I1746" s="15"/>
      <c r="J1746" s="494">
        <v>30204010201</v>
      </c>
      <c r="K1746" s="517"/>
      <c r="L1746" s="517" t="s">
        <v>13601</v>
      </c>
      <c r="M1746" s="517" t="s">
        <v>613</v>
      </c>
      <c r="N1746" s="518" t="s">
        <v>4605</v>
      </c>
      <c r="O1746" s="517">
        <v>3</v>
      </c>
      <c r="P1746" s="517" t="s">
        <v>647</v>
      </c>
      <c r="Q1746" s="517" t="s">
        <v>693</v>
      </c>
      <c r="R1746" s="517" t="s">
        <v>632</v>
      </c>
      <c r="S1746" s="517" t="s">
        <v>647</v>
      </c>
      <c r="T1746" s="518" t="s">
        <v>4612</v>
      </c>
      <c r="U1746" s="38">
        <v>0</v>
      </c>
      <c r="V1746" s="15" t="str">
        <f t="shared" si="163"/>
        <v>302040102</v>
      </c>
      <c r="W1746" s="39">
        <v>3</v>
      </c>
      <c r="X1746" s="50" t="s">
        <v>647</v>
      </c>
      <c r="Y1746" s="40" t="s">
        <v>693</v>
      </c>
      <c r="Z1746" s="40" t="s">
        <v>632</v>
      </c>
      <c r="AA1746" s="40" t="s">
        <v>647</v>
      </c>
      <c r="AB1746" s="42" t="s">
        <v>4612</v>
      </c>
      <c r="AC1746" s="9">
        <f>H1746</f>
        <v>0</v>
      </c>
      <c r="AD1746" s="517">
        <v>0</v>
      </c>
      <c r="AE1746" s="517" t="s">
        <v>13601</v>
      </c>
      <c r="AF1746" s="517" t="s">
        <v>613</v>
      </c>
      <c r="AG1746" s="518" t="s">
        <v>4605</v>
      </c>
      <c r="AH1746" s="67">
        <f>AC1746</f>
        <v>0</v>
      </c>
      <c r="AI1746" s="10"/>
      <c r="AJ1746" s="9">
        <f t="shared" si="160"/>
        <v>0</v>
      </c>
      <c r="AK1746" s="10"/>
      <c r="AL1746" s="10"/>
    </row>
    <row r="1747" spans="1:38" ht="22.5" hidden="1">
      <c r="A1747" s="1">
        <f t="shared" si="158"/>
        <v>0</v>
      </c>
      <c r="B1747" s="2" t="s">
        <v>4613</v>
      </c>
      <c r="C1747" s="3" t="s">
        <v>4614</v>
      </c>
      <c r="D1747" s="15" t="s">
        <v>11827</v>
      </c>
      <c r="E1747" s="4" t="s">
        <v>4613</v>
      </c>
      <c r="F1747" s="37" t="s">
        <v>4614</v>
      </c>
      <c r="G1747" s="38">
        <v>0</v>
      </c>
      <c r="H1747" s="38">
        <v>0</v>
      </c>
      <c r="I1747" s="15"/>
      <c r="J1747" s="494">
        <v>30204010301</v>
      </c>
      <c r="K1747" s="517"/>
      <c r="L1747" s="517" t="s">
        <v>13601</v>
      </c>
      <c r="M1747" s="517" t="s">
        <v>613</v>
      </c>
      <c r="N1747" s="518" t="s">
        <v>4605</v>
      </c>
      <c r="O1747" s="517">
        <v>3</v>
      </c>
      <c r="P1747" s="517" t="s">
        <v>647</v>
      </c>
      <c r="Q1747" s="517" t="s">
        <v>693</v>
      </c>
      <c r="R1747" s="517" t="s">
        <v>632</v>
      </c>
      <c r="S1747" s="517" t="s">
        <v>671</v>
      </c>
      <c r="T1747" s="518" t="s">
        <v>4615</v>
      </c>
      <c r="U1747" s="38">
        <v>0</v>
      </c>
      <c r="V1747" s="15" t="str">
        <f t="shared" si="163"/>
        <v>302040103</v>
      </c>
      <c r="W1747" s="39">
        <v>3</v>
      </c>
      <c r="X1747" s="50" t="s">
        <v>647</v>
      </c>
      <c r="Y1747" s="40" t="s">
        <v>693</v>
      </c>
      <c r="Z1747" s="40" t="s">
        <v>632</v>
      </c>
      <c r="AA1747" s="40" t="s">
        <v>671</v>
      </c>
      <c r="AB1747" s="42" t="s">
        <v>4615</v>
      </c>
      <c r="AC1747" s="9">
        <f>H1747</f>
        <v>0</v>
      </c>
      <c r="AD1747" s="517">
        <v>0</v>
      </c>
      <c r="AE1747" s="517" t="s">
        <v>13601</v>
      </c>
      <c r="AF1747" s="517" t="s">
        <v>613</v>
      </c>
      <c r="AG1747" s="518" t="s">
        <v>4605</v>
      </c>
      <c r="AH1747" s="67">
        <f>AC1747</f>
        <v>0</v>
      </c>
      <c r="AI1747" s="10"/>
      <c r="AJ1747" s="9">
        <f t="shared" si="160"/>
        <v>0</v>
      </c>
      <c r="AK1747" s="10"/>
      <c r="AL1747" s="10"/>
    </row>
    <row r="1748" spans="1:38" ht="22.5" hidden="1">
      <c r="A1748" s="1">
        <f t="shared" si="158"/>
        <v>0</v>
      </c>
      <c r="B1748" s="2" t="s">
        <v>4616</v>
      </c>
      <c r="C1748" s="3" t="s">
        <v>4617</v>
      </c>
      <c r="D1748" s="15" t="s">
        <v>11828</v>
      </c>
      <c r="E1748" s="4" t="s">
        <v>4616</v>
      </c>
      <c r="F1748" s="37" t="s">
        <v>4617</v>
      </c>
      <c r="G1748" s="38">
        <v>0</v>
      </c>
      <c r="H1748" s="38">
        <v>0</v>
      </c>
      <c r="I1748" s="15"/>
      <c r="J1748" s="494">
        <v>30204010401</v>
      </c>
      <c r="K1748" s="517"/>
      <c r="L1748" s="517" t="s">
        <v>13601</v>
      </c>
      <c r="M1748" s="517" t="s">
        <v>613</v>
      </c>
      <c r="N1748" s="518" t="s">
        <v>4605</v>
      </c>
      <c r="O1748" s="517">
        <v>3</v>
      </c>
      <c r="P1748" s="517" t="s">
        <v>647</v>
      </c>
      <c r="Q1748" s="517" t="s">
        <v>693</v>
      </c>
      <c r="R1748" s="517" t="s">
        <v>632</v>
      </c>
      <c r="S1748" s="517" t="s">
        <v>693</v>
      </c>
      <c r="T1748" s="518" t="s">
        <v>22</v>
      </c>
      <c r="U1748" s="38">
        <v>0</v>
      </c>
      <c r="V1748" s="15" t="str">
        <f t="shared" si="163"/>
        <v>302040104</v>
      </c>
      <c r="W1748" s="39">
        <v>3</v>
      </c>
      <c r="X1748" s="50" t="s">
        <v>647</v>
      </c>
      <c r="Y1748" s="40" t="s">
        <v>693</v>
      </c>
      <c r="Z1748" s="40" t="s">
        <v>632</v>
      </c>
      <c r="AA1748" s="40" t="s">
        <v>693</v>
      </c>
      <c r="AB1748" s="42" t="s">
        <v>22</v>
      </c>
      <c r="AC1748" s="9">
        <f>H1748</f>
        <v>0</v>
      </c>
      <c r="AD1748" s="517">
        <v>0</v>
      </c>
      <c r="AE1748" s="517" t="s">
        <v>13601</v>
      </c>
      <c r="AF1748" s="517" t="s">
        <v>613</v>
      </c>
      <c r="AG1748" s="518" t="s">
        <v>4605</v>
      </c>
      <c r="AH1748" s="67">
        <f>AC1748</f>
        <v>0</v>
      </c>
      <c r="AI1748" s="10"/>
      <c r="AJ1748" s="9">
        <f t="shared" si="160"/>
        <v>0</v>
      </c>
      <c r="AK1748" s="10"/>
      <c r="AL1748" s="10"/>
    </row>
    <row r="1749" spans="1:38" ht="22.5" hidden="1">
      <c r="A1749" s="1">
        <f t="shared" si="158"/>
        <v>0</v>
      </c>
      <c r="B1749" s="2" t="s">
        <v>4618</v>
      </c>
      <c r="C1749" s="3" t="s">
        <v>4619</v>
      </c>
      <c r="D1749" s="15" t="s">
        <v>11829</v>
      </c>
      <c r="E1749" s="4" t="s">
        <v>4618</v>
      </c>
      <c r="F1749" s="37" t="s">
        <v>4619</v>
      </c>
      <c r="G1749" s="38">
        <v>0</v>
      </c>
      <c r="H1749" s="38">
        <v>0</v>
      </c>
      <c r="I1749" s="15"/>
      <c r="J1749" s="494">
        <v>30204010501</v>
      </c>
      <c r="K1749" s="517"/>
      <c r="L1749" s="517" t="s">
        <v>13601</v>
      </c>
      <c r="M1749" s="517" t="s">
        <v>613</v>
      </c>
      <c r="N1749" s="518" t="s">
        <v>4605</v>
      </c>
      <c r="O1749" s="517">
        <v>3</v>
      </c>
      <c r="P1749" s="517" t="s">
        <v>647</v>
      </c>
      <c r="Q1749" s="517" t="s">
        <v>693</v>
      </c>
      <c r="R1749" s="517" t="s">
        <v>632</v>
      </c>
      <c r="S1749" s="517" t="s">
        <v>714</v>
      </c>
      <c r="T1749" s="518" t="s">
        <v>23</v>
      </c>
      <c r="U1749" s="38">
        <v>0</v>
      </c>
      <c r="V1749" s="15" t="str">
        <f t="shared" si="163"/>
        <v xml:space="preserve">3020401 </v>
      </c>
      <c r="W1749" s="39">
        <v>3</v>
      </c>
      <c r="X1749" s="50" t="s">
        <v>647</v>
      </c>
      <c r="Y1749" s="40" t="s">
        <v>693</v>
      </c>
      <c r="Z1749" s="40" t="s">
        <v>632</v>
      </c>
      <c r="AA1749" s="50" t="s">
        <v>2976</v>
      </c>
      <c r="AB1749" s="42" t="s">
        <v>23</v>
      </c>
      <c r="AC1749" s="519">
        <f>SUM(H1749:H1750)</f>
        <v>-3086241.38</v>
      </c>
      <c r="AD1749" s="517" t="e">
        <v>#N/A</v>
      </c>
      <c r="AE1749" s="517" t="e">
        <v>#N/A</v>
      </c>
      <c r="AF1749" s="517" t="e">
        <v>#N/A</v>
      </c>
      <c r="AG1749" s="518" t="e">
        <v>#N/A</v>
      </c>
      <c r="AH1749" s="67">
        <f>AC1749</f>
        <v>-3086241.38</v>
      </c>
      <c r="AI1749" s="10"/>
      <c r="AJ1749" s="9"/>
      <c r="AK1749" s="10"/>
      <c r="AL1749" s="10"/>
    </row>
    <row r="1750" spans="1:38" ht="22.5" hidden="1">
      <c r="A1750" s="1">
        <f t="shared" si="158"/>
        <v>0</v>
      </c>
      <c r="B1750" s="2" t="s">
        <v>4620</v>
      </c>
      <c r="C1750" s="3" t="s">
        <v>2377</v>
      </c>
      <c r="D1750" s="15" t="s">
        <v>11829</v>
      </c>
      <c r="E1750" s="108" t="s">
        <v>4620</v>
      </c>
      <c r="F1750" s="62" t="s">
        <v>2377</v>
      </c>
      <c r="G1750" s="38">
        <v>3086241.38</v>
      </c>
      <c r="H1750" s="38">
        <v>-3086241.38</v>
      </c>
      <c r="I1750" s="15"/>
      <c r="J1750" s="494">
        <v>30204010502</v>
      </c>
      <c r="L1750" s="523" t="s">
        <v>13601</v>
      </c>
      <c r="M1750" s="523" t="s">
        <v>613</v>
      </c>
      <c r="N1750" s="518" t="s">
        <v>4605</v>
      </c>
      <c r="O1750" s="523">
        <v>3</v>
      </c>
      <c r="P1750" s="523" t="s">
        <v>647</v>
      </c>
      <c r="Q1750" s="523" t="s">
        <v>693</v>
      </c>
      <c r="R1750" s="523" t="s">
        <v>632</v>
      </c>
      <c r="S1750" s="523" t="s">
        <v>714</v>
      </c>
      <c r="T1750" s="518" t="s">
        <v>23</v>
      </c>
      <c r="U1750" s="38">
        <v>-3086241.38</v>
      </c>
      <c r="V1750" s="15" t="str">
        <f t="shared" si="163"/>
        <v/>
      </c>
      <c r="W1750" s="10"/>
      <c r="X1750" s="10"/>
      <c r="Y1750" s="10"/>
      <c r="Z1750" s="10"/>
      <c r="AA1750" s="10"/>
      <c r="AB1750" s="10"/>
      <c r="AC1750" s="9"/>
      <c r="AD1750" s="523" t="e">
        <v>#N/A</v>
      </c>
      <c r="AE1750" s="523" t="e">
        <v>#N/A</v>
      </c>
      <c r="AF1750" s="523" t="e">
        <v>#N/A</v>
      </c>
      <c r="AG1750" s="524" t="e">
        <v>#N/A</v>
      </c>
      <c r="AH1750" s="9"/>
      <c r="AI1750" s="10"/>
      <c r="AJ1750" s="9"/>
      <c r="AK1750" s="10"/>
      <c r="AL1750" s="10"/>
    </row>
    <row r="1751" spans="1:38" ht="22.5" hidden="1">
      <c r="A1751" s="1">
        <f t="shared" ref="A1751" si="170">IF(E1751=B1751,0,1)</f>
        <v>0</v>
      </c>
      <c r="B1751" s="2" t="s">
        <v>4621</v>
      </c>
      <c r="C1751" s="3" t="s">
        <v>2370</v>
      </c>
      <c r="D1751" s="15" t="s">
        <v>11830</v>
      </c>
      <c r="E1751" s="4" t="s">
        <v>4621</v>
      </c>
      <c r="F1751" s="37" t="s">
        <v>2370</v>
      </c>
      <c r="G1751" s="38">
        <v>0</v>
      </c>
      <c r="H1751" s="38">
        <v>0</v>
      </c>
      <c r="I1751" s="15"/>
      <c r="J1751" s="494">
        <v>30204019901</v>
      </c>
      <c r="K1751" s="517"/>
      <c r="L1751" s="517" t="s">
        <v>13601</v>
      </c>
      <c r="M1751" s="517" t="s">
        <v>613</v>
      </c>
      <c r="N1751" s="518" t="s">
        <v>4605</v>
      </c>
      <c r="O1751" s="517">
        <v>3</v>
      </c>
      <c r="P1751" s="517" t="s">
        <v>647</v>
      </c>
      <c r="Q1751" s="517" t="s">
        <v>693</v>
      </c>
      <c r="R1751" s="517" t="s">
        <v>632</v>
      </c>
      <c r="S1751" s="517" t="s">
        <v>1124</v>
      </c>
      <c r="T1751" s="518" t="s">
        <v>4606</v>
      </c>
      <c r="U1751" s="38">
        <v>0</v>
      </c>
      <c r="V1751" s="15" t="str">
        <f t="shared" si="163"/>
        <v>302040199</v>
      </c>
      <c r="W1751" s="50">
        <v>3</v>
      </c>
      <c r="X1751" s="50" t="s">
        <v>647</v>
      </c>
      <c r="Y1751" s="40" t="s">
        <v>693</v>
      </c>
      <c r="Z1751" s="40" t="s">
        <v>632</v>
      </c>
      <c r="AA1751" s="40" t="s">
        <v>1124</v>
      </c>
      <c r="AB1751" s="42" t="s">
        <v>4606</v>
      </c>
      <c r="AC1751" s="519">
        <f>H1751</f>
        <v>0</v>
      </c>
      <c r="AD1751" s="517">
        <v>0</v>
      </c>
      <c r="AE1751" s="517" t="s">
        <v>13601</v>
      </c>
      <c r="AF1751" s="517" t="s">
        <v>613</v>
      </c>
      <c r="AG1751" s="518" t="s">
        <v>4605</v>
      </c>
      <c r="AH1751" s="9">
        <f>AC1751</f>
        <v>0</v>
      </c>
      <c r="AI1751" s="10"/>
      <c r="AJ1751" s="9"/>
      <c r="AK1751" s="10"/>
      <c r="AL1751" s="10"/>
    </row>
  </sheetData>
  <autoFilter ref="A1:AN1751" xr:uid="{00000000-0009-0000-0000-00000F000000}">
    <filterColumn colId="12">
      <filters>
        <filter val="PBA060"/>
      </filters>
    </filterColumn>
  </autoFilter>
  <mergeCells count="1">
    <mergeCell ref="B5:C5"/>
  </mergeCells>
  <conditionalFormatting sqref="A1:A1048576">
    <cfRule type="cellIs" dxfId="1" priority="2" operator="equal">
      <formula>1</formula>
    </cfRule>
  </conditionalFormatting>
  <conditionalFormatting sqref="D2:D1751 I2:I1751 V2:V1751">
    <cfRule type="cellIs" dxfId="0" priority="1" operator="greaterThan">
      <formula>0</formula>
    </cfRule>
  </conditionalFormatting>
  <pageMargins left="0.70866141732283472" right="0.70866141732283472" top="0.74803149606299213" bottom="0.74803149606299213" header="0" footer="0"/>
  <pageSetup paperSize="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39997558519241921"/>
    <pageSetUpPr fitToPage="1"/>
  </sheetPr>
  <dimension ref="A1:BQ2556"/>
  <sheetViews>
    <sheetView workbookViewId="0"/>
  </sheetViews>
  <sheetFormatPr defaultColWidth="14.42578125" defaultRowHeight="14.25"/>
  <cols>
    <col min="1" max="1" width="12.140625" style="142" bestFit="1" customWidth="1"/>
    <col min="2" max="2" width="16.7109375" style="113" customWidth="1"/>
    <col min="3" max="3" width="31.7109375" style="408" customWidth="1"/>
    <col min="4" max="4" width="36.7109375" style="113" hidden="1" customWidth="1"/>
    <col min="5" max="5" width="36.7109375" style="408" customWidth="1"/>
    <col min="6" max="6" width="21.140625" style="280" customWidth="1"/>
    <col min="7" max="9" width="36.7109375" style="409" hidden="1" customWidth="1"/>
    <col min="10" max="20" width="36.7109375" style="280" hidden="1" customWidth="1"/>
    <col min="21" max="21" width="15" style="280" hidden="1" customWidth="1"/>
    <col min="22" max="22" width="16.42578125" style="281" hidden="1" customWidth="1"/>
    <col min="23" max="25" width="18" style="280" hidden="1" customWidth="1"/>
    <col min="26" max="26" width="16.28515625" style="280" hidden="1" customWidth="1"/>
    <col min="27" max="27" width="18" style="280" hidden="1" customWidth="1"/>
    <col min="28" max="28" width="17" style="280" hidden="1" customWidth="1"/>
    <col min="29" max="29" width="16.42578125" style="281" hidden="1" customWidth="1"/>
    <col min="30" max="30" width="16.85546875" style="280" customWidth="1"/>
    <col min="31" max="31" width="19.42578125" style="280" customWidth="1"/>
    <col min="32" max="32" width="15.28515625" style="410" customWidth="1"/>
    <col min="33" max="33" width="18.140625" style="411" hidden="1" customWidth="1"/>
    <col min="34" max="34" width="19.28515625" style="281" hidden="1" customWidth="1"/>
    <col min="35" max="35" width="16.85546875" style="280" customWidth="1"/>
    <col min="36" max="36" width="16.42578125" style="410" customWidth="1"/>
    <col min="37" max="37" width="21" style="411" customWidth="1"/>
    <col min="38" max="38" width="22.140625" style="281" customWidth="1"/>
    <col min="39" max="42" width="16.85546875" style="280" customWidth="1"/>
    <col min="43" max="43" width="18.140625" style="411" customWidth="1"/>
    <col min="44" max="44" width="19.28515625" style="281" customWidth="1"/>
    <col min="45" max="45" width="16.85546875" style="280" customWidth="1"/>
    <col min="46" max="46" width="25" style="401" customWidth="1"/>
    <col min="47" max="48" width="14.140625" style="402" customWidth="1"/>
    <col min="49" max="49" width="22.42578125" style="403" customWidth="1"/>
    <col min="50" max="50" width="21" style="280" customWidth="1"/>
    <col min="51" max="51" width="17.85546875" style="280" customWidth="1"/>
    <col min="52" max="52" width="20" style="280" customWidth="1"/>
    <col min="53" max="53" width="16.28515625" style="280" customWidth="1"/>
    <col min="54" max="54" width="8.28515625" style="142" customWidth="1"/>
    <col min="55" max="55" width="8.85546875" style="142" customWidth="1"/>
    <col min="56" max="56" width="9.5703125" style="142" customWidth="1"/>
    <col min="57" max="57" width="8.140625" style="142" customWidth="1"/>
    <col min="58" max="58" width="8.42578125" style="142" customWidth="1"/>
    <col min="59" max="59" width="28.5703125" style="142" customWidth="1"/>
    <col min="60" max="60" width="16.140625" style="142" customWidth="1"/>
    <col min="61" max="61" width="16.28515625" style="142" hidden="1" customWidth="1"/>
    <col min="62" max="62" width="12.42578125" style="142" hidden="1" customWidth="1"/>
    <col min="63" max="63" width="9.140625" style="142" hidden="1" customWidth="1"/>
    <col min="64" max="64" width="30" style="142" hidden="1" customWidth="1"/>
    <col min="65" max="65" width="16.140625" style="142" bestFit="1" customWidth="1"/>
    <col min="66" max="66" width="10" style="142" bestFit="1" customWidth="1"/>
    <col min="67" max="67" width="19.28515625" style="142" bestFit="1" customWidth="1"/>
    <col min="68" max="69" width="17.42578125" style="142" bestFit="1" customWidth="1"/>
    <col min="70" max="16384" width="14.42578125" style="142"/>
  </cols>
  <sheetData>
    <row r="1" spans="1:69" ht="63.75">
      <c r="A1" s="110" t="s">
        <v>4622</v>
      </c>
      <c r="B1" s="111" t="s">
        <v>622</v>
      </c>
      <c r="C1" s="112" t="s">
        <v>4623</v>
      </c>
      <c r="E1" s="114" t="s">
        <v>4624</v>
      </c>
      <c r="F1" s="115" t="s">
        <v>4625</v>
      </c>
      <c r="G1" s="116" t="s">
        <v>4626</v>
      </c>
      <c r="H1" s="116" t="s">
        <v>4627</v>
      </c>
      <c r="I1" s="116" t="s">
        <v>4628</v>
      </c>
      <c r="J1" s="117" t="s">
        <v>4629</v>
      </c>
      <c r="K1" s="117" t="s">
        <v>4630</v>
      </c>
      <c r="L1" s="118" t="s">
        <v>4631</v>
      </c>
      <c r="M1" s="119" t="s">
        <v>4632</v>
      </c>
      <c r="N1" s="119" t="s">
        <v>4633</v>
      </c>
      <c r="O1" s="118" t="s">
        <v>4634</v>
      </c>
      <c r="P1" s="119" t="s">
        <v>4635</v>
      </c>
      <c r="Q1" s="119" t="s">
        <v>4636</v>
      </c>
      <c r="R1" s="118" t="s">
        <v>4637</v>
      </c>
      <c r="S1" s="118" t="s">
        <v>4638</v>
      </c>
      <c r="T1" s="118"/>
      <c r="U1" s="120" t="s">
        <v>4639</v>
      </c>
      <c r="V1" s="121" t="s">
        <v>4640</v>
      </c>
      <c r="W1" s="120" t="s">
        <v>4641</v>
      </c>
      <c r="X1" s="120" t="s">
        <v>4642</v>
      </c>
      <c r="Y1" s="120" t="s">
        <v>4627</v>
      </c>
      <c r="Z1" s="120" t="s">
        <v>4643</v>
      </c>
      <c r="AA1" s="120" t="s">
        <v>4644</v>
      </c>
      <c r="AB1" s="122" t="s">
        <v>4645</v>
      </c>
      <c r="AC1" s="123" t="s">
        <v>4646</v>
      </c>
      <c r="AD1" s="122" t="s">
        <v>4647</v>
      </c>
      <c r="AE1" s="124" t="s">
        <v>4648</v>
      </c>
      <c r="AF1" s="124" t="s">
        <v>4649</v>
      </c>
      <c r="AG1" s="125" t="s">
        <v>4650</v>
      </c>
      <c r="AH1" s="126" t="s">
        <v>4651</v>
      </c>
      <c r="AI1" s="125" t="s">
        <v>4652</v>
      </c>
      <c r="AJ1" s="124" t="s">
        <v>4653</v>
      </c>
      <c r="AK1" s="127" t="s">
        <v>4654</v>
      </c>
      <c r="AL1" s="128" t="s">
        <v>4655</v>
      </c>
      <c r="AM1" s="127" t="s">
        <v>4656</v>
      </c>
      <c r="AN1" s="124" t="s">
        <v>4657</v>
      </c>
      <c r="AO1" s="124" t="s">
        <v>4658</v>
      </c>
      <c r="AP1" s="125" t="s">
        <v>4659</v>
      </c>
      <c r="AQ1" s="129" t="s">
        <v>4660</v>
      </c>
      <c r="AR1" s="130" t="s">
        <v>4661</v>
      </c>
      <c r="AS1" s="129" t="s">
        <v>4662</v>
      </c>
      <c r="AT1" s="131" t="s">
        <v>4663</v>
      </c>
      <c r="AU1" s="132" t="s">
        <v>4664</v>
      </c>
      <c r="AV1" s="132" t="s">
        <v>4665</v>
      </c>
      <c r="AW1" s="132" t="s">
        <v>4663</v>
      </c>
      <c r="AX1" s="133" t="s">
        <v>4666</v>
      </c>
      <c r="AY1" s="134" t="s">
        <v>4667</v>
      </c>
      <c r="AZ1" s="135" t="s">
        <v>4627</v>
      </c>
      <c r="BA1" s="136" t="s">
        <v>4668</v>
      </c>
      <c r="BB1" s="137" t="s">
        <v>619</v>
      </c>
      <c r="BC1" s="138" t="s">
        <v>620</v>
      </c>
      <c r="BD1" s="138" t="s">
        <v>4669</v>
      </c>
      <c r="BE1" s="138" t="s">
        <v>622</v>
      </c>
      <c r="BF1" s="139" t="s">
        <v>623</v>
      </c>
      <c r="BG1" s="139" t="s">
        <v>624</v>
      </c>
      <c r="BH1" s="140" t="s">
        <v>4670</v>
      </c>
      <c r="BI1" s="110" t="s">
        <v>625</v>
      </c>
      <c r="BJ1" s="110" t="s">
        <v>4671</v>
      </c>
      <c r="BK1" s="110" t="s">
        <v>4672</v>
      </c>
      <c r="BL1" s="110" t="s">
        <v>4673</v>
      </c>
      <c r="BM1" s="140" t="s">
        <v>4674</v>
      </c>
      <c r="BN1" s="141"/>
    </row>
    <row r="2" spans="1:69" ht="27.75" customHeight="1">
      <c r="A2" s="143" t="s">
        <v>4675</v>
      </c>
      <c r="B2" s="144"/>
      <c r="C2" s="145" t="s">
        <v>4676</v>
      </c>
      <c r="D2" s="146"/>
      <c r="E2" s="145" t="s">
        <v>4676</v>
      </c>
      <c r="F2" s="147">
        <v>356154070.18999994</v>
      </c>
      <c r="G2" s="148">
        <v>8970604.959999999</v>
      </c>
      <c r="H2" s="148">
        <v>279423346.28334665</v>
      </c>
      <c r="I2" s="148">
        <v>288393951.24334663</v>
      </c>
      <c r="J2" s="147">
        <f>J3+J68+J76+J118+J223+J266+J279+J396+J400+J436</f>
        <v>2014593.4000000001</v>
      </c>
      <c r="K2" s="147">
        <f>K3+K68+K76+K118+K223+K266+K279+K396+K400+K436</f>
        <v>84868434.715927184</v>
      </c>
      <c r="L2" s="147">
        <f>J2+K2</f>
        <v>86883028.11592719</v>
      </c>
      <c r="M2" s="149">
        <v>4128930.0100000002</v>
      </c>
      <c r="N2" s="149">
        <v>144080916.72530603</v>
      </c>
      <c r="O2" s="149">
        <v>148209846.73530602</v>
      </c>
      <c r="P2" s="147">
        <f t="shared" ref="P2:R2" si="0">P3+P68+P76+P118+P223+P266+P279+P396+P400+P436</f>
        <v>6875508.3399999999</v>
      </c>
      <c r="Q2" s="147">
        <f t="shared" si="0"/>
        <v>213205009.69</v>
      </c>
      <c r="R2" s="147">
        <f t="shared" si="0"/>
        <v>220080518.03</v>
      </c>
      <c r="S2" s="150">
        <f>220080518.03-R2</f>
        <v>0</v>
      </c>
      <c r="T2" s="150"/>
      <c r="U2" s="147">
        <f>U3+U68+U76+U118+U223+U266+U279+U396+U400+U436</f>
        <v>10063922.48</v>
      </c>
      <c r="V2" s="151">
        <f t="shared" ref="V2:W2" si="1">V3+V68+V76+V118+V223+V266+V279+V396+V400+V436</f>
        <v>283006884.39000005</v>
      </c>
      <c r="W2" s="147">
        <f t="shared" si="1"/>
        <v>293070806.87</v>
      </c>
      <c r="X2" s="147">
        <v>10063922.48</v>
      </c>
      <c r="Y2" s="147">
        <v>283006884.39000005</v>
      </c>
      <c r="Z2" s="147">
        <v>293070806.87</v>
      </c>
      <c r="AA2" s="147">
        <f>AD2-Z2</f>
        <v>3887822.719999969</v>
      </c>
      <c r="AB2" s="147">
        <v>14767760.779999999</v>
      </c>
      <c r="AC2" s="151">
        <v>282190868.81</v>
      </c>
      <c r="AD2" s="147">
        <f t="shared" ref="AD2" si="2">AD3+AD68+AD76+AD118+AD223+AD266+AD279+AD396+AD400+AD436</f>
        <v>296958629.58999997</v>
      </c>
      <c r="AE2" s="147">
        <v>304463874.88999993</v>
      </c>
      <c r="AF2" s="152">
        <f>AE2-AM2</f>
        <v>-73752840.550000012</v>
      </c>
      <c r="AG2" s="153">
        <v>14790338.02</v>
      </c>
      <c r="AH2" s="151">
        <v>362698536.87</v>
      </c>
      <c r="AI2" s="147">
        <v>377488874.88999993</v>
      </c>
      <c r="AJ2" s="152">
        <f>AM2-AI2</f>
        <v>727840.55000001192</v>
      </c>
      <c r="AK2" s="153">
        <v>14730674.01</v>
      </c>
      <c r="AL2" s="151">
        <v>363486041.42999995</v>
      </c>
      <c r="AM2" s="147">
        <f t="shared" ref="AM2" si="3">AM3+AM68+AM76+AM118+AM223+AM266+AM279+AM396+AM400+AM436</f>
        <v>378216715.43999994</v>
      </c>
      <c r="AN2" s="153">
        <f>AS2-AM2</f>
        <v>-4910089.2799999714</v>
      </c>
      <c r="AO2" s="154">
        <f>AS2-AP2</f>
        <v>-5076533.6800000072</v>
      </c>
      <c r="AP2" s="147">
        <v>378383159.83999997</v>
      </c>
      <c r="AQ2" s="153">
        <v>373306626.15999997</v>
      </c>
      <c r="AR2" s="151">
        <f t="shared" ref="AR2:AS2" si="4">AR3+AR68+AR76+AR118+AR223+AR266+AR279+AR396+AR400+AR436</f>
        <v>0</v>
      </c>
      <c r="AS2" s="147">
        <f t="shared" si="4"/>
        <v>373306626.15999997</v>
      </c>
      <c r="AT2" s="155">
        <f>14790338.02-14787338.02</f>
        <v>3000</v>
      </c>
      <c r="AU2" s="156">
        <f t="shared" ref="AU2:AU65" si="5">AM2-AD2</f>
        <v>81258085.849999964</v>
      </c>
      <c r="AV2" s="156">
        <f t="shared" ref="AV2:AV65" si="6">AD2-AX2</f>
        <v>3887822.719999969</v>
      </c>
      <c r="AW2" s="157"/>
      <c r="AX2" s="150">
        <v>293070806.87</v>
      </c>
      <c r="AY2" s="147">
        <f t="shared" ref="AY2:BA2" si="7">AY3+AY68+AY76+AY118+AY223+AY266+AY279+AY396+AY400+AY436</f>
        <v>7573301.6900000004</v>
      </c>
      <c r="AZ2" s="147">
        <f t="shared" si="7"/>
        <v>261318279.51129645</v>
      </c>
      <c r="BA2" s="147">
        <f t="shared" si="7"/>
        <v>268891581.20129639</v>
      </c>
      <c r="BB2" s="143">
        <v>4</v>
      </c>
      <c r="BC2" s="158" t="s">
        <v>630</v>
      </c>
      <c r="BD2" s="158" t="s">
        <v>630</v>
      </c>
      <c r="BE2" s="158" t="s">
        <v>630</v>
      </c>
      <c r="BF2" s="158" t="s">
        <v>630</v>
      </c>
      <c r="BG2" s="145" t="s">
        <v>4676</v>
      </c>
      <c r="BH2" s="147">
        <f>BH3+BH68+BH76+BH118+BH223+BH266+BH279+BH396+BH400+BH436</f>
        <v>373306626.15999997</v>
      </c>
      <c r="BI2" s="143"/>
      <c r="BJ2" s="158" t="s">
        <v>4675</v>
      </c>
      <c r="BK2" s="143" t="s">
        <v>4675</v>
      </c>
      <c r="BL2" s="159" t="s">
        <v>4677</v>
      </c>
      <c r="BM2" s="147">
        <f>BM3+BM68+BM76+BM118+BM223+BM266+BM279+BM396+BM400+BM436</f>
        <v>373306626.15999997</v>
      </c>
      <c r="BN2" s="160"/>
      <c r="BO2" s="161">
        <f>BM2-AS2</f>
        <v>0</v>
      </c>
      <c r="BP2" s="161"/>
    </row>
    <row r="3" spans="1:69">
      <c r="A3" s="162" t="s">
        <v>4678</v>
      </c>
      <c r="B3" s="163"/>
      <c r="C3" s="164" t="s">
        <v>4679</v>
      </c>
      <c r="D3" s="146"/>
      <c r="E3" s="164" t="s">
        <v>4679</v>
      </c>
      <c r="F3" s="165">
        <v>142942383.26999998</v>
      </c>
      <c r="G3" s="166">
        <v>157176</v>
      </c>
      <c r="H3" s="166">
        <v>78646291.686679989</v>
      </c>
      <c r="I3" s="166">
        <v>78803467.686679989</v>
      </c>
      <c r="J3" s="165">
        <f>J4+J28+J54+J65</f>
        <v>0</v>
      </c>
      <c r="K3" s="165">
        <f>K4+K28+K54+K65</f>
        <v>20885382.415927179</v>
      </c>
      <c r="L3" s="165">
        <f>J3+K3</f>
        <v>20885382.415927179</v>
      </c>
      <c r="M3" s="167">
        <v>0</v>
      </c>
      <c r="N3" s="167">
        <v>31740800.77</v>
      </c>
      <c r="O3" s="167">
        <v>31740800.77</v>
      </c>
      <c r="P3" s="165">
        <f t="shared" ref="P3:R3" si="8">P4+P28+P54+P65</f>
        <v>0</v>
      </c>
      <c r="Q3" s="165">
        <f t="shared" si="8"/>
        <v>50418046.409999996</v>
      </c>
      <c r="R3" s="165">
        <f t="shared" si="8"/>
        <v>50418046.409999996</v>
      </c>
      <c r="S3" s="150">
        <f t="shared" ref="S3:S66" si="9">R3/9*12</f>
        <v>67224061.879999995</v>
      </c>
      <c r="T3" s="150"/>
      <c r="U3" s="165">
        <f t="shared" ref="U3:W3" si="10">U4+U28+U54+U65</f>
        <v>7.1</v>
      </c>
      <c r="V3" s="168">
        <f t="shared" si="10"/>
        <v>68248893.800000012</v>
      </c>
      <c r="W3" s="165">
        <f t="shared" si="10"/>
        <v>68248900.900000006</v>
      </c>
      <c r="X3" s="165">
        <v>7.1</v>
      </c>
      <c r="Y3" s="165">
        <v>68248893.800000012</v>
      </c>
      <c r="Z3" s="165">
        <v>68248900.900000006</v>
      </c>
      <c r="AA3" s="165">
        <f t="shared" ref="AA3:AA66" si="11">AD3-Z3</f>
        <v>3753556.2099999785</v>
      </c>
      <c r="AB3" s="165">
        <v>3753563.31</v>
      </c>
      <c r="AC3" s="168">
        <v>68248893.800000012</v>
      </c>
      <c r="AD3" s="165">
        <f t="shared" ref="AD3" si="12">AD4+AD28+AD54+AD65</f>
        <v>72002457.109999985</v>
      </c>
      <c r="AE3" s="165">
        <v>72395657.109999985</v>
      </c>
      <c r="AF3" s="169" t="s">
        <v>4680</v>
      </c>
      <c r="AG3" s="170">
        <v>3753563.31</v>
      </c>
      <c r="AH3" s="168">
        <v>141667093.79999998</v>
      </c>
      <c r="AI3" s="165">
        <v>145420657.10999998</v>
      </c>
      <c r="AJ3" s="169">
        <f t="shared" ref="AJ3:AJ66" si="13">AM3-AI3</f>
        <v>0</v>
      </c>
      <c r="AK3" s="170">
        <v>3753563.31</v>
      </c>
      <c r="AL3" s="168">
        <v>141667093.79999998</v>
      </c>
      <c r="AM3" s="165">
        <f t="shared" ref="AM3:AS3" si="14">AM4+AM28+AM54+AM65</f>
        <v>145420657.10999998</v>
      </c>
      <c r="AN3" s="153">
        <f t="shared" ref="AN3:AN66" si="15">AS3-AM3</f>
        <v>-7824137.8799999952</v>
      </c>
      <c r="AO3" s="154">
        <f t="shared" ref="AO3:AO66" si="16">AS3-AP3</f>
        <v>-7824137.8799999952</v>
      </c>
      <c r="AP3" s="165">
        <v>145420657.10999998</v>
      </c>
      <c r="AQ3" s="170">
        <v>137596519.22999999</v>
      </c>
      <c r="AR3" s="168">
        <f t="shared" si="14"/>
        <v>0</v>
      </c>
      <c r="AS3" s="165">
        <f t="shared" si="14"/>
        <v>137596519.22999999</v>
      </c>
      <c r="AT3" s="155"/>
      <c r="AU3" s="156">
        <f t="shared" si="5"/>
        <v>73418200</v>
      </c>
      <c r="AV3" s="156">
        <f t="shared" si="6"/>
        <v>3753556.2099999785</v>
      </c>
      <c r="AW3" s="157"/>
      <c r="AX3" s="150">
        <v>68248900.900000006</v>
      </c>
      <c r="AY3" s="165">
        <f t="shared" ref="AY3:BA3" si="17">AY4+AY28+AY54+AY65</f>
        <v>0</v>
      </c>
      <c r="AZ3" s="165">
        <f t="shared" si="17"/>
        <v>64727177.140000001</v>
      </c>
      <c r="BA3" s="165">
        <f t="shared" si="17"/>
        <v>64727177.140000001</v>
      </c>
      <c r="BB3" s="171">
        <v>4</v>
      </c>
      <c r="BC3" s="162" t="s">
        <v>632</v>
      </c>
      <c r="BD3" s="162" t="s">
        <v>630</v>
      </c>
      <c r="BE3" s="162" t="s">
        <v>630</v>
      </c>
      <c r="BF3" s="162" t="s">
        <v>630</v>
      </c>
      <c r="BG3" s="164" t="s">
        <v>4679</v>
      </c>
      <c r="BH3" s="165">
        <f>BH4+BH28+BH54+BH65</f>
        <v>137596519.22999999</v>
      </c>
      <c r="BI3" s="171"/>
      <c r="BJ3" s="162" t="s">
        <v>4681</v>
      </c>
      <c r="BK3" s="162" t="s">
        <v>4678</v>
      </c>
      <c r="BL3" s="172" t="s">
        <v>4682</v>
      </c>
      <c r="BM3" s="165">
        <f>BM4+BM28+BM54+BM65</f>
        <v>137596519.22999999</v>
      </c>
      <c r="BN3" s="160"/>
      <c r="BO3" s="161">
        <f t="shared" ref="BO3:BO66" si="18">BM3-AS3</f>
        <v>0</v>
      </c>
      <c r="BP3" s="161"/>
      <c r="BQ3" s="161"/>
    </row>
    <row r="4" spans="1:69" ht="38.25">
      <c r="A4" s="173" t="s">
        <v>496</v>
      </c>
      <c r="B4" s="174"/>
      <c r="C4" s="175" t="s">
        <v>4683</v>
      </c>
      <c r="D4" s="146"/>
      <c r="E4" s="175" t="s">
        <v>4683</v>
      </c>
      <c r="F4" s="176">
        <v>138427542.54999998</v>
      </c>
      <c r="G4" s="177">
        <v>0</v>
      </c>
      <c r="H4" s="177">
        <v>78646291.686679989</v>
      </c>
      <c r="I4" s="177">
        <v>78646291.686679989</v>
      </c>
      <c r="J4" s="176">
        <f>J5+J13</f>
        <v>0</v>
      </c>
      <c r="K4" s="176">
        <f>K5+K13</f>
        <v>20885382.415927179</v>
      </c>
      <c r="L4" s="176">
        <f>J4+K4</f>
        <v>20885382.415927179</v>
      </c>
      <c r="M4" s="178">
        <v>0</v>
      </c>
      <c r="N4" s="178">
        <v>31740800.77</v>
      </c>
      <c r="O4" s="178">
        <v>31740800.77</v>
      </c>
      <c r="P4" s="176">
        <f t="shared" ref="P4:R4" si="19">P5+P13</f>
        <v>0</v>
      </c>
      <c r="Q4" s="176">
        <f t="shared" si="19"/>
        <v>50418046.409999996</v>
      </c>
      <c r="R4" s="176">
        <f t="shared" si="19"/>
        <v>50418046.409999996</v>
      </c>
      <c r="S4" s="150">
        <f t="shared" si="9"/>
        <v>67224061.879999995</v>
      </c>
      <c r="T4" s="150"/>
      <c r="U4" s="176">
        <f t="shared" ref="U4:W4" si="20">U5+U13</f>
        <v>7.1</v>
      </c>
      <c r="V4" s="179">
        <f t="shared" si="20"/>
        <v>68202257.510000005</v>
      </c>
      <c r="W4" s="176">
        <f t="shared" si="20"/>
        <v>68202264.609999999</v>
      </c>
      <c r="X4" s="176">
        <v>7.1</v>
      </c>
      <c r="Y4" s="176">
        <v>68202257.510000005</v>
      </c>
      <c r="Z4" s="176">
        <v>68202264.609999999</v>
      </c>
      <c r="AA4" s="176">
        <f t="shared" si="11"/>
        <v>40861.529999986291</v>
      </c>
      <c r="AB4" s="176">
        <v>40868.629999999997</v>
      </c>
      <c r="AC4" s="179">
        <v>68202257.510000005</v>
      </c>
      <c r="AD4" s="176">
        <f t="shared" ref="AD4" si="21">AD5+AD13</f>
        <v>68243126.139999986</v>
      </c>
      <c r="AE4" s="176">
        <v>68243126.139999986</v>
      </c>
      <c r="AF4" s="169" t="s">
        <v>4680</v>
      </c>
      <c r="AG4" s="180">
        <v>40868.629999999997</v>
      </c>
      <c r="AH4" s="179">
        <v>141227257.50999999</v>
      </c>
      <c r="AI4" s="176">
        <v>141268126.13999999</v>
      </c>
      <c r="AJ4" s="169">
        <f t="shared" si="13"/>
        <v>0</v>
      </c>
      <c r="AK4" s="180">
        <v>40868.629999999997</v>
      </c>
      <c r="AL4" s="179">
        <v>141227257.50999999</v>
      </c>
      <c r="AM4" s="176">
        <f t="shared" ref="AM4:AS4" si="22">AM5+AM13</f>
        <v>141268126.13999999</v>
      </c>
      <c r="AN4" s="153">
        <f t="shared" si="15"/>
        <v>-7733937.8799999952</v>
      </c>
      <c r="AO4" s="154">
        <f t="shared" si="16"/>
        <v>-7733937.8799999952</v>
      </c>
      <c r="AP4" s="176">
        <v>141268126.13999999</v>
      </c>
      <c r="AQ4" s="180">
        <v>133534188.25999999</v>
      </c>
      <c r="AR4" s="179">
        <f t="shared" si="22"/>
        <v>0</v>
      </c>
      <c r="AS4" s="176">
        <f t="shared" si="22"/>
        <v>133534188.25999999</v>
      </c>
      <c r="AT4" s="155"/>
      <c r="AU4" s="156">
        <f t="shared" si="5"/>
        <v>73025000</v>
      </c>
      <c r="AV4" s="156">
        <f t="shared" si="6"/>
        <v>40861.529999986291</v>
      </c>
      <c r="AW4" s="157"/>
      <c r="AX4" s="150">
        <v>68202264.609999999</v>
      </c>
      <c r="AY4" s="176">
        <f t="shared" ref="AY4:BA4" si="23">AY5+AY13</f>
        <v>0</v>
      </c>
      <c r="AZ4" s="176">
        <f t="shared" si="23"/>
        <v>64727177.140000001</v>
      </c>
      <c r="BA4" s="176">
        <f t="shared" si="23"/>
        <v>64727177.140000001</v>
      </c>
      <c r="BB4" s="181">
        <v>4</v>
      </c>
      <c r="BC4" s="173" t="s">
        <v>632</v>
      </c>
      <c r="BD4" s="173" t="s">
        <v>632</v>
      </c>
      <c r="BE4" s="173" t="s">
        <v>630</v>
      </c>
      <c r="BF4" s="173" t="s">
        <v>630</v>
      </c>
      <c r="BG4" s="175" t="s">
        <v>4683</v>
      </c>
      <c r="BH4" s="176">
        <f>BH5+BH13</f>
        <v>133534188.25999999</v>
      </c>
      <c r="BI4" s="181"/>
      <c r="BJ4" s="173" t="s">
        <v>4684</v>
      </c>
      <c r="BK4" s="173" t="s">
        <v>496</v>
      </c>
      <c r="BL4" s="182" t="s">
        <v>4685</v>
      </c>
      <c r="BM4" s="176">
        <f>BM5+BM13</f>
        <v>133534188.25999999</v>
      </c>
      <c r="BN4" s="160"/>
      <c r="BO4" s="161">
        <f t="shared" si="18"/>
        <v>0</v>
      </c>
      <c r="BP4" s="161"/>
    </row>
    <row r="5" spans="1:69" ht="38.25">
      <c r="A5" s="183" t="s">
        <v>493</v>
      </c>
      <c r="B5" s="184"/>
      <c r="C5" s="185" t="s">
        <v>4686</v>
      </c>
      <c r="D5" s="146"/>
      <c r="E5" s="185" t="s">
        <v>4686</v>
      </c>
      <c r="F5" s="186">
        <v>138316581.00999999</v>
      </c>
      <c r="G5" s="187">
        <v>0</v>
      </c>
      <c r="H5" s="187">
        <v>78597255.366679996</v>
      </c>
      <c r="I5" s="187">
        <v>78597255.366679996</v>
      </c>
      <c r="J5" s="186">
        <f>SUBTOTAL(9,J6:J12)</f>
        <v>0</v>
      </c>
      <c r="K5" s="186">
        <f>SUBTOTAL(9,K6:K12)</f>
        <v>20610140.415927179</v>
      </c>
      <c r="L5" s="186">
        <f>J5+K5</f>
        <v>20610140.415927179</v>
      </c>
      <c r="M5" s="188">
        <v>0</v>
      </c>
      <c r="N5" s="188">
        <v>31685320</v>
      </c>
      <c r="O5" s="188">
        <v>31685320</v>
      </c>
      <c r="P5" s="186">
        <f t="shared" ref="P5:R5" si="24">SUBTOTAL(9,P6:P12)</f>
        <v>0</v>
      </c>
      <c r="Q5" s="186">
        <f t="shared" si="24"/>
        <v>49400643.555</v>
      </c>
      <c r="R5" s="186">
        <f t="shared" si="24"/>
        <v>49400643.555</v>
      </c>
      <c r="S5" s="150">
        <f t="shared" si="9"/>
        <v>65867524.739999995</v>
      </c>
      <c r="T5" s="150"/>
      <c r="U5" s="186">
        <f t="shared" ref="U5:W5" si="25">SUBTOTAL(9,U6:U12)</f>
        <v>7.1</v>
      </c>
      <c r="V5" s="189">
        <f t="shared" si="25"/>
        <v>66845720.370000005</v>
      </c>
      <c r="W5" s="186">
        <f t="shared" si="25"/>
        <v>66845727.469999999</v>
      </c>
      <c r="X5" s="186">
        <v>7.1</v>
      </c>
      <c r="Y5" s="186">
        <v>66845720.370000005</v>
      </c>
      <c r="Z5" s="186">
        <v>66845727.469999999</v>
      </c>
      <c r="AA5" s="186">
        <f t="shared" si="11"/>
        <v>1245575.599999994</v>
      </c>
      <c r="AB5" s="186">
        <v>7.1</v>
      </c>
      <c r="AC5" s="189">
        <v>68091295.969999999</v>
      </c>
      <c r="AD5" s="186">
        <f t="shared" ref="AD5" si="26">SUBTOTAL(9,AD6:AD12)</f>
        <v>68091303.069999993</v>
      </c>
      <c r="AE5" s="186">
        <v>68091303.069999993</v>
      </c>
      <c r="AF5" s="169" t="s">
        <v>4680</v>
      </c>
      <c r="AG5" s="190">
        <v>7.1</v>
      </c>
      <c r="AH5" s="189">
        <v>141116295.97</v>
      </c>
      <c r="AI5" s="186">
        <v>141116303.06999999</v>
      </c>
      <c r="AJ5" s="169">
        <f t="shared" si="13"/>
        <v>0</v>
      </c>
      <c r="AK5" s="190">
        <v>7.1</v>
      </c>
      <c r="AL5" s="189">
        <v>141116295.97</v>
      </c>
      <c r="AM5" s="186">
        <f t="shared" ref="AM5:AS5" si="27">SUBTOTAL(9,AM6:AM12)</f>
        <v>141116303.06999999</v>
      </c>
      <c r="AN5" s="153">
        <f t="shared" si="15"/>
        <v>-7705388.0300000012</v>
      </c>
      <c r="AO5" s="154">
        <f t="shared" si="16"/>
        <v>-7705388.0300000012</v>
      </c>
      <c r="AP5" s="186">
        <v>141116303.06999999</v>
      </c>
      <c r="AQ5" s="190">
        <v>133410915.03999999</v>
      </c>
      <c r="AR5" s="189">
        <f t="shared" si="27"/>
        <v>0</v>
      </c>
      <c r="AS5" s="186">
        <f t="shared" si="27"/>
        <v>133410915.03999999</v>
      </c>
      <c r="AT5" s="155"/>
      <c r="AU5" s="156">
        <f t="shared" si="5"/>
        <v>73025000</v>
      </c>
      <c r="AV5" s="156">
        <f t="shared" si="6"/>
        <v>1245575.599999994</v>
      </c>
      <c r="AW5" s="157"/>
      <c r="AX5" s="150">
        <v>66845727.469999999</v>
      </c>
      <c r="AY5" s="186">
        <f t="shared" ref="AY5:BA5" si="28">SUBTOTAL(9,AY6:AY12)</f>
        <v>0</v>
      </c>
      <c r="AZ5" s="186">
        <f t="shared" si="28"/>
        <v>63370640</v>
      </c>
      <c r="BA5" s="186">
        <f t="shared" si="28"/>
        <v>63370640</v>
      </c>
      <c r="BB5" s="191">
        <v>4</v>
      </c>
      <c r="BC5" s="191" t="s">
        <v>632</v>
      </c>
      <c r="BD5" s="191" t="s">
        <v>632</v>
      </c>
      <c r="BE5" s="191" t="s">
        <v>632</v>
      </c>
      <c r="BF5" s="183" t="s">
        <v>630</v>
      </c>
      <c r="BG5" s="185" t="s">
        <v>4686</v>
      </c>
      <c r="BH5" s="186">
        <f>SUBTOTAL(9,BH6:BH12)</f>
        <v>133410915.03999999</v>
      </c>
      <c r="BI5" s="192"/>
      <c r="BJ5" s="192" t="s">
        <v>4687</v>
      </c>
      <c r="BK5" s="183" t="s">
        <v>493</v>
      </c>
      <c r="BL5" s="193" t="s">
        <v>4688</v>
      </c>
      <c r="BM5" s="186">
        <f>SUBTOTAL(9,BM6:BM12)</f>
        <v>133410915.03999999</v>
      </c>
      <c r="BN5" s="160"/>
      <c r="BO5" s="161">
        <f t="shared" si="18"/>
        <v>0</v>
      </c>
      <c r="BP5" s="161"/>
    </row>
    <row r="6" spans="1:69" ht="36">
      <c r="A6" s="194" t="s">
        <v>4689</v>
      </c>
      <c r="B6" s="195" t="s">
        <v>4690</v>
      </c>
      <c r="C6" s="196" t="s">
        <v>4691</v>
      </c>
      <c r="D6" s="146" t="s">
        <v>4692</v>
      </c>
      <c r="E6" s="197" t="s">
        <v>4691</v>
      </c>
      <c r="F6" s="150">
        <v>0</v>
      </c>
      <c r="G6" s="198">
        <v>0</v>
      </c>
      <c r="H6" s="198"/>
      <c r="I6" s="198">
        <v>0</v>
      </c>
      <c r="J6" s="150">
        <v>0</v>
      </c>
      <c r="K6" s="150">
        <v>0</v>
      </c>
      <c r="L6" s="150">
        <f>J6+K6</f>
        <v>0</v>
      </c>
      <c r="M6" s="150">
        <v>0</v>
      </c>
      <c r="N6" s="150"/>
      <c r="O6" s="150">
        <v>0</v>
      </c>
      <c r="P6" s="150">
        <v>0</v>
      </c>
      <c r="Q6" s="150"/>
      <c r="R6" s="150">
        <f t="shared" ref="R6:R12" si="29">P6+Q6</f>
        <v>0</v>
      </c>
      <c r="S6" s="150">
        <f t="shared" si="9"/>
        <v>0</v>
      </c>
      <c r="T6" s="150"/>
      <c r="U6" s="150">
        <v>0</v>
      </c>
      <c r="V6" s="199"/>
      <c r="W6" s="150">
        <f t="shared" ref="W6:W12" si="30">U6+V6</f>
        <v>0</v>
      </c>
      <c r="X6" s="150">
        <v>0</v>
      </c>
      <c r="Y6" s="150"/>
      <c r="Z6" s="150">
        <v>0</v>
      </c>
      <c r="AA6" s="150">
        <f t="shared" si="11"/>
        <v>0</v>
      </c>
      <c r="AB6" s="150">
        <v>0</v>
      </c>
      <c r="AC6" s="199"/>
      <c r="AD6" s="150">
        <f t="shared" ref="AD6:AD12" si="31">AB6+AC6</f>
        <v>0</v>
      </c>
      <c r="AE6" s="200"/>
      <c r="AF6" s="169" t="s">
        <v>4680</v>
      </c>
      <c r="AG6" s="201">
        <v>0</v>
      </c>
      <c r="AH6" s="200">
        <v>73025000</v>
      </c>
      <c r="AI6" s="150">
        <v>73025000</v>
      </c>
      <c r="AJ6" s="169">
        <f t="shared" si="13"/>
        <v>0</v>
      </c>
      <c r="AK6" s="201">
        <v>0</v>
      </c>
      <c r="AL6" s="200">
        <v>73025000</v>
      </c>
      <c r="AM6" s="150">
        <f t="shared" ref="AM6:AM12" si="32">AK6+AL6</f>
        <v>73025000</v>
      </c>
      <c r="AN6" s="153">
        <f t="shared" si="15"/>
        <v>-15646870.450000003</v>
      </c>
      <c r="AO6" s="154">
        <f t="shared" si="16"/>
        <v>-15646870.450000003</v>
      </c>
      <c r="AP6" s="150">
        <v>73025000</v>
      </c>
      <c r="AQ6" s="201">
        <v>57378129.549999997</v>
      </c>
      <c r="AR6" s="199"/>
      <c r="AS6" s="150">
        <f t="shared" ref="AS6:AS12" si="33">AQ6+AR6</f>
        <v>57378129.549999997</v>
      </c>
      <c r="AT6" s="155" t="s">
        <v>4693</v>
      </c>
      <c r="AU6" s="156">
        <f t="shared" si="5"/>
        <v>73025000</v>
      </c>
      <c r="AV6" s="156">
        <f t="shared" si="6"/>
        <v>0</v>
      </c>
      <c r="AW6" s="157"/>
      <c r="AX6" s="150">
        <v>0</v>
      </c>
      <c r="AY6" s="150">
        <v>0</v>
      </c>
      <c r="AZ6" s="150"/>
      <c r="BA6" s="150">
        <f t="shared" ref="BA6:BA64" si="34">AY6+AZ6</f>
        <v>0</v>
      </c>
      <c r="BB6" s="202">
        <v>4</v>
      </c>
      <c r="BC6" s="202" t="s">
        <v>632</v>
      </c>
      <c r="BD6" s="202" t="s">
        <v>632</v>
      </c>
      <c r="BE6" s="202" t="s">
        <v>632</v>
      </c>
      <c r="BF6" s="202" t="s">
        <v>632</v>
      </c>
      <c r="BG6" s="203" t="s">
        <v>4691</v>
      </c>
      <c r="BH6" s="204">
        <f>AS6</f>
        <v>57378129.549999997</v>
      </c>
      <c r="BI6" s="205"/>
      <c r="BJ6" s="206" t="s">
        <v>4694</v>
      </c>
      <c r="BK6" s="194" t="s">
        <v>4689</v>
      </c>
      <c r="BL6" s="207" t="s">
        <v>4695</v>
      </c>
      <c r="BM6" s="208">
        <f>BH6</f>
        <v>57378129.549999997</v>
      </c>
      <c r="BN6" s="160"/>
      <c r="BO6" s="161">
        <f t="shared" si="18"/>
        <v>0</v>
      </c>
      <c r="BP6" s="161"/>
    </row>
    <row r="7" spans="1:69" ht="36">
      <c r="A7" s="194" t="s">
        <v>4696</v>
      </c>
      <c r="B7" s="195" t="s">
        <v>4697</v>
      </c>
      <c r="C7" s="196" t="s">
        <v>4698</v>
      </c>
      <c r="D7" s="146" t="s">
        <v>4692</v>
      </c>
      <c r="E7" s="196" t="s">
        <v>4698</v>
      </c>
      <c r="F7" s="150">
        <v>5446223.4000000004</v>
      </c>
      <c r="G7" s="209">
        <v>0</v>
      </c>
      <c r="H7" s="209">
        <v>1997056.7400000002</v>
      </c>
      <c r="I7" s="209">
        <v>1997056.7400000002</v>
      </c>
      <c r="J7" s="150">
        <v>0</v>
      </c>
      <c r="K7" s="150">
        <v>595955.07250000001</v>
      </c>
      <c r="L7" s="150">
        <f t="shared" ref="L7:L70" si="35">J7+K7</f>
        <v>595955.07250000001</v>
      </c>
      <c r="M7" s="150">
        <v>0</v>
      </c>
      <c r="N7" s="150">
        <v>522625</v>
      </c>
      <c r="O7" s="150">
        <v>522625</v>
      </c>
      <c r="P7" s="150">
        <v>0</v>
      </c>
      <c r="Q7" s="150">
        <v>2656601.0550000002</v>
      </c>
      <c r="R7" s="150">
        <f t="shared" si="29"/>
        <v>2656601.0550000002</v>
      </c>
      <c r="S7" s="150">
        <f t="shared" si="9"/>
        <v>3542134.74</v>
      </c>
      <c r="T7" s="150"/>
      <c r="U7" s="150">
        <v>7.1</v>
      </c>
      <c r="V7" s="199">
        <v>4520330.37</v>
      </c>
      <c r="W7" s="150">
        <f t="shared" si="30"/>
        <v>4520337.47</v>
      </c>
      <c r="X7" s="150">
        <v>7.1</v>
      </c>
      <c r="Y7" s="150">
        <v>4520330.37</v>
      </c>
      <c r="Z7" s="150">
        <v>4520337.47</v>
      </c>
      <c r="AA7" s="150">
        <f t="shared" si="11"/>
        <v>1245575.6000000006</v>
      </c>
      <c r="AB7" s="150">
        <v>7.1</v>
      </c>
      <c r="AC7" s="199">
        <v>5765905.9700000007</v>
      </c>
      <c r="AD7" s="150">
        <f t="shared" si="31"/>
        <v>5765913.0700000003</v>
      </c>
      <c r="AE7" s="150">
        <v>5765913.0700000003</v>
      </c>
      <c r="AF7" s="169" t="s">
        <v>4680</v>
      </c>
      <c r="AG7" s="201">
        <v>7.1</v>
      </c>
      <c r="AH7" s="199">
        <v>5765905.9700000007</v>
      </c>
      <c r="AI7" s="150">
        <v>5765913.0700000003</v>
      </c>
      <c r="AJ7" s="169">
        <f t="shared" si="13"/>
        <v>0</v>
      </c>
      <c r="AK7" s="201">
        <v>7.1</v>
      </c>
      <c r="AL7" s="199">
        <v>5765905.9700000007</v>
      </c>
      <c r="AM7" s="150">
        <f t="shared" si="32"/>
        <v>5765913.0700000003</v>
      </c>
      <c r="AN7" s="153">
        <f t="shared" si="15"/>
        <v>3722309.42</v>
      </c>
      <c r="AO7" s="154">
        <f t="shared" si="16"/>
        <v>3722309.42</v>
      </c>
      <c r="AP7" s="150">
        <v>5765913.0700000003</v>
      </c>
      <c r="AQ7" s="201">
        <v>9488222.4900000002</v>
      </c>
      <c r="AR7" s="199"/>
      <c r="AS7" s="150">
        <f t="shared" si="33"/>
        <v>9488222.4900000002</v>
      </c>
      <c r="AT7" s="155" t="s">
        <v>4699</v>
      </c>
      <c r="AU7" s="156">
        <f t="shared" si="5"/>
        <v>0</v>
      </c>
      <c r="AV7" s="156">
        <f t="shared" si="6"/>
        <v>1245575.6000000006</v>
      </c>
      <c r="AW7" s="157" t="s">
        <v>4700</v>
      </c>
      <c r="AX7" s="150">
        <v>4520337.47</v>
      </c>
      <c r="AY7" s="150">
        <v>0</v>
      </c>
      <c r="AZ7" s="150">
        <v>1045250</v>
      </c>
      <c r="BA7" s="150">
        <f t="shared" si="34"/>
        <v>1045250</v>
      </c>
      <c r="BB7" s="202">
        <v>4</v>
      </c>
      <c r="BC7" s="202" t="s">
        <v>632</v>
      </c>
      <c r="BD7" s="202" t="s">
        <v>632</v>
      </c>
      <c r="BE7" s="202" t="s">
        <v>632</v>
      </c>
      <c r="BF7" s="202" t="s">
        <v>671</v>
      </c>
      <c r="BG7" s="203" t="s">
        <v>4698</v>
      </c>
      <c r="BH7" s="204">
        <f>AS7+AS8</f>
        <v>9488222.4900000002</v>
      </c>
      <c r="BI7" s="205"/>
      <c r="BJ7" s="206" t="s">
        <v>4701</v>
      </c>
      <c r="BK7" s="194" t="s">
        <v>4696</v>
      </c>
      <c r="BL7" s="207" t="s">
        <v>4702</v>
      </c>
      <c r="BM7" s="208">
        <f>BH7</f>
        <v>9488222.4900000002</v>
      </c>
      <c r="BN7" s="160"/>
      <c r="BO7" s="161">
        <f t="shared" si="18"/>
        <v>0</v>
      </c>
      <c r="BP7" s="161"/>
    </row>
    <row r="8" spans="1:69" ht="25.5">
      <c r="A8" s="210"/>
      <c r="B8" s="195" t="s">
        <v>4703</v>
      </c>
      <c r="C8" s="196" t="s">
        <v>4704</v>
      </c>
      <c r="D8" s="146" t="s">
        <v>4692</v>
      </c>
      <c r="E8" s="196" t="s">
        <v>4704</v>
      </c>
      <c r="F8" s="150">
        <v>70544967.609999999</v>
      </c>
      <c r="G8" s="209">
        <v>0</v>
      </c>
      <c r="H8" s="209"/>
      <c r="I8" s="209">
        <v>0</v>
      </c>
      <c r="J8" s="150">
        <v>0</v>
      </c>
      <c r="K8" s="150">
        <v>0</v>
      </c>
      <c r="L8" s="150">
        <f t="shared" si="35"/>
        <v>0</v>
      </c>
      <c r="M8" s="150">
        <v>0</v>
      </c>
      <c r="N8" s="150"/>
      <c r="O8" s="150">
        <v>0</v>
      </c>
      <c r="P8" s="150">
        <v>0</v>
      </c>
      <c r="Q8" s="150"/>
      <c r="R8" s="150">
        <f t="shared" si="29"/>
        <v>0</v>
      </c>
      <c r="S8" s="150">
        <f t="shared" si="9"/>
        <v>0</v>
      </c>
      <c r="T8" s="150"/>
      <c r="U8" s="150">
        <v>0</v>
      </c>
      <c r="V8" s="199"/>
      <c r="W8" s="150">
        <f t="shared" si="30"/>
        <v>0</v>
      </c>
      <c r="X8" s="150">
        <v>0</v>
      </c>
      <c r="Y8" s="150"/>
      <c r="Z8" s="150">
        <v>0</v>
      </c>
      <c r="AA8" s="150">
        <f t="shared" si="11"/>
        <v>0</v>
      </c>
      <c r="AB8" s="150">
        <v>0</v>
      </c>
      <c r="AC8" s="199"/>
      <c r="AD8" s="150">
        <f t="shared" si="31"/>
        <v>0</v>
      </c>
      <c r="AE8" s="150">
        <v>0</v>
      </c>
      <c r="AF8" s="169" t="s">
        <v>4680</v>
      </c>
      <c r="AG8" s="201">
        <v>0</v>
      </c>
      <c r="AH8" s="199"/>
      <c r="AI8" s="150">
        <v>0</v>
      </c>
      <c r="AJ8" s="169">
        <f t="shared" si="13"/>
        <v>0</v>
      </c>
      <c r="AK8" s="201">
        <v>0</v>
      </c>
      <c r="AL8" s="199"/>
      <c r="AM8" s="150">
        <f t="shared" si="32"/>
        <v>0</v>
      </c>
      <c r="AN8" s="153">
        <f t="shared" si="15"/>
        <v>0</v>
      </c>
      <c r="AO8" s="154">
        <f t="shared" si="16"/>
        <v>0</v>
      </c>
      <c r="AP8" s="150">
        <v>0</v>
      </c>
      <c r="AQ8" s="201">
        <v>0</v>
      </c>
      <c r="AR8" s="199"/>
      <c r="AS8" s="150">
        <f t="shared" si="33"/>
        <v>0</v>
      </c>
      <c r="AT8" s="155"/>
      <c r="AU8" s="156">
        <f t="shared" si="5"/>
        <v>0</v>
      </c>
      <c r="AV8" s="156">
        <f t="shared" si="6"/>
        <v>0</v>
      </c>
      <c r="AW8" s="157" t="s">
        <v>4705</v>
      </c>
      <c r="AX8" s="150">
        <v>0</v>
      </c>
      <c r="AY8" s="150">
        <v>0</v>
      </c>
      <c r="AZ8" s="150"/>
      <c r="BA8" s="150">
        <f t="shared" si="34"/>
        <v>0</v>
      </c>
      <c r="BB8" s="210"/>
      <c r="BC8" s="210"/>
      <c r="BD8" s="210"/>
      <c r="BE8" s="210"/>
      <c r="BF8" s="210"/>
      <c r="BG8" s="210"/>
      <c r="BH8" s="211"/>
      <c r="BI8" s="210"/>
      <c r="BJ8" s="210"/>
      <c r="BK8" s="210"/>
      <c r="BL8" s="210"/>
      <c r="BM8" s="208"/>
      <c r="BN8" s="160"/>
      <c r="BO8" s="161">
        <f t="shared" si="18"/>
        <v>0</v>
      </c>
      <c r="BP8" s="161"/>
    </row>
    <row r="9" spans="1:69" ht="25.5">
      <c r="A9" s="210"/>
      <c r="B9" s="195" t="s">
        <v>4706</v>
      </c>
      <c r="C9" s="196" t="s">
        <v>4707</v>
      </c>
      <c r="D9" s="146" t="s">
        <v>4692</v>
      </c>
      <c r="E9" s="196" t="s">
        <v>4708</v>
      </c>
      <c r="F9" s="150">
        <v>0</v>
      </c>
      <c r="G9" s="209">
        <v>0</v>
      </c>
      <c r="H9" s="209"/>
      <c r="I9" s="209">
        <v>0</v>
      </c>
      <c r="J9" s="150">
        <v>0</v>
      </c>
      <c r="K9" s="150">
        <v>0</v>
      </c>
      <c r="L9" s="150">
        <f t="shared" si="35"/>
        <v>0</v>
      </c>
      <c r="M9" s="150">
        <v>0</v>
      </c>
      <c r="N9" s="150"/>
      <c r="O9" s="150">
        <v>0</v>
      </c>
      <c r="P9" s="150">
        <v>0</v>
      </c>
      <c r="Q9" s="150"/>
      <c r="R9" s="150">
        <f t="shared" si="29"/>
        <v>0</v>
      </c>
      <c r="S9" s="150">
        <f t="shared" si="9"/>
        <v>0</v>
      </c>
      <c r="T9" s="150"/>
      <c r="U9" s="150">
        <v>0</v>
      </c>
      <c r="V9" s="199"/>
      <c r="W9" s="150">
        <f t="shared" si="30"/>
        <v>0</v>
      </c>
      <c r="X9" s="150">
        <v>0</v>
      </c>
      <c r="Y9" s="150"/>
      <c r="Z9" s="150">
        <v>0</v>
      </c>
      <c r="AA9" s="150">
        <f t="shared" si="11"/>
        <v>0</v>
      </c>
      <c r="AB9" s="150">
        <v>0</v>
      </c>
      <c r="AC9" s="199"/>
      <c r="AD9" s="150">
        <f t="shared" si="31"/>
        <v>0</v>
      </c>
      <c r="AE9" s="150">
        <v>0</v>
      </c>
      <c r="AF9" s="169" t="s">
        <v>4680</v>
      </c>
      <c r="AG9" s="201">
        <v>0</v>
      </c>
      <c r="AH9" s="199"/>
      <c r="AI9" s="150">
        <v>0</v>
      </c>
      <c r="AJ9" s="169">
        <f t="shared" si="13"/>
        <v>0</v>
      </c>
      <c r="AK9" s="201">
        <v>0</v>
      </c>
      <c r="AL9" s="199"/>
      <c r="AM9" s="150">
        <f t="shared" si="32"/>
        <v>0</v>
      </c>
      <c r="AN9" s="153">
        <f t="shared" si="15"/>
        <v>0</v>
      </c>
      <c r="AO9" s="154">
        <f t="shared" si="16"/>
        <v>0</v>
      </c>
      <c r="AP9" s="150">
        <v>0</v>
      </c>
      <c r="AQ9" s="201">
        <v>0</v>
      </c>
      <c r="AR9" s="199"/>
      <c r="AS9" s="150">
        <f t="shared" si="33"/>
        <v>0</v>
      </c>
      <c r="AT9" s="155"/>
      <c r="AU9" s="156">
        <f t="shared" si="5"/>
        <v>0</v>
      </c>
      <c r="AV9" s="156">
        <f t="shared" si="6"/>
        <v>0</v>
      </c>
      <c r="AW9" s="157"/>
      <c r="AX9" s="150">
        <v>0</v>
      </c>
      <c r="AY9" s="150">
        <v>0</v>
      </c>
      <c r="AZ9" s="150"/>
      <c r="BA9" s="150">
        <f t="shared" si="34"/>
        <v>0</v>
      </c>
      <c r="BB9" s="210"/>
      <c r="BC9" s="210"/>
      <c r="BD9" s="210"/>
      <c r="BE9" s="210"/>
      <c r="BF9" s="210"/>
      <c r="BG9" s="210"/>
      <c r="BH9" s="211"/>
      <c r="BI9" s="210"/>
      <c r="BJ9" s="210"/>
      <c r="BK9" s="210"/>
      <c r="BL9" s="210"/>
      <c r="BM9" s="208"/>
      <c r="BN9" s="160"/>
      <c r="BO9" s="161">
        <f t="shared" si="18"/>
        <v>0</v>
      </c>
      <c r="BP9" s="161"/>
    </row>
    <row r="10" spans="1:69" ht="25.5">
      <c r="A10" s="194" t="s">
        <v>4709</v>
      </c>
      <c r="B10" s="195" t="s">
        <v>4710</v>
      </c>
      <c r="C10" s="196" t="s">
        <v>4711</v>
      </c>
      <c r="D10" s="146" t="s">
        <v>4692</v>
      </c>
      <c r="E10" s="196" t="s">
        <v>4711</v>
      </c>
      <c r="F10" s="150">
        <v>8842831</v>
      </c>
      <c r="G10" s="209">
        <v>0</v>
      </c>
      <c r="H10" s="209">
        <v>14946463</v>
      </c>
      <c r="I10" s="209">
        <v>14946463</v>
      </c>
      <c r="J10" s="150">
        <v>0</v>
      </c>
      <c r="K10" s="150">
        <v>3736615.75</v>
      </c>
      <c r="L10" s="150">
        <f t="shared" si="35"/>
        <v>3736615.75</v>
      </c>
      <c r="M10" s="150">
        <v>0</v>
      </c>
      <c r="N10" s="150">
        <v>4421415.5</v>
      </c>
      <c r="O10" s="150">
        <v>4421415.5</v>
      </c>
      <c r="P10" s="150">
        <v>0</v>
      </c>
      <c r="Q10" s="150">
        <v>6632123.25</v>
      </c>
      <c r="R10" s="150">
        <f t="shared" si="29"/>
        <v>6632123.25</v>
      </c>
      <c r="S10" s="150">
        <f t="shared" si="9"/>
        <v>8842831</v>
      </c>
      <c r="T10" s="150"/>
      <c r="U10" s="150">
        <v>0</v>
      </c>
      <c r="V10" s="199">
        <v>8842831</v>
      </c>
      <c r="W10" s="150">
        <f t="shared" si="30"/>
        <v>8842831</v>
      </c>
      <c r="X10" s="150">
        <v>0</v>
      </c>
      <c r="Y10" s="150">
        <v>8842831</v>
      </c>
      <c r="Z10" s="150">
        <v>8842831</v>
      </c>
      <c r="AA10" s="150">
        <f t="shared" si="11"/>
        <v>0</v>
      </c>
      <c r="AB10" s="150">
        <v>0</v>
      </c>
      <c r="AC10" s="199">
        <v>8842831</v>
      </c>
      <c r="AD10" s="150">
        <f t="shared" si="31"/>
        <v>8842831</v>
      </c>
      <c r="AE10" s="150">
        <v>8842831</v>
      </c>
      <c r="AF10" s="169" t="s">
        <v>4680</v>
      </c>
      <c r="AG10" s="201">
        <v>0</v>
      </c>
      <c r="AH10" s="199">
        <v>8842831</v>
      </c>
      <c r="AI10" s="150">
        <v>8842831</v>
      </c>
      <c r="AJ10" s="169">
        <f t="shared" si="13"/>
        <v>0</v>
      </c>
      <c r="AK10" s="201">
        <v>0</v>
      </c>
      <c r="AL10" s="199">
        <v>8842831</v>
      </c>
      <c r="AM10" s="150">
        <f t="shared" si="32"/>
        <v>8842831</v>
      </c>
      <c r="AN10" s="153">
        <f t="shared" si="15"/>
        <v>2965180</v>
      </c>
      <c r="AO10" s="154">
        <f t="shared" si="16"/>
        <v>2965180</v>
      </c>
      <c r="AP10" s="150">
        <v>8842831</v>
      </c>
      <c r="AQ10" s="201">
        <v>11808011</v>
      </c>
      <c r="AR10" s="199"/>
      <c r="AS10" s="150">
        <f t="shared" si="33"/>
        <v>11808011</v>
      </c>
      <c r="AT10" s="155" t="s">
        <v>4712</v>
      </c>
      <c r="AU10" s="156">
        <f t="shared" si="5"/>
        <v>0</v>
      </c>
      <c r="AV10" s="156">
        <f t="shared" si="6"/>
        <v>0</v>
      </c>
      <c r="AW10" s="157"/>
      <c r="AX10" s="150">
        <v>8842831</v>
      </c>
      <c r="AY10" s="150">
        <v>0</v>
      </c>
      <c r="AZ10" s="150">
        <v>8842831</v>
      </c>
      <c r="BA10" s="150">
        <f t="shared" si="34"/>
        <v>8842831</v>
      </c>
      <c r="BB10" s="202">
        <v>4</v>
      </c>
      <c r="BC10" s="202" t="s">
        <v>632</v>
      </c>
      <c r="BD10" s="202" t="s">
        <v>632</v>
      </c>
      <c r="BE10" s="202" t="s">
        <v>632</v>
      </c>
      <c r="BF10" s="194" t="s">
        <v>693</v>
      </c>
      <c r="BG10" s="203" t="s">
        <v>4711</v>
      </c>
      <c r="BH10" s="204">
        <f>AS10</f>
        <v>11808011</v>
      </c>
      <c r="BI10" s="205"/>
      <c r="BJ10" s="206" t="s">
        <v>4713</v>
      </c>
      <c r="BK10" s="194" t="s">
        <v>4709</v>
      </c>
      <c r="BL10" s="207" t="s">
        <v>4714</v>
      </c>
      <c r="BM10" s="208">
        <f>BH10</f>
        <v>11808011</v>
      </c>
      <c r="BN10" s="160"/>
      <c r="BO10" s="161">
        <f t="shared" si="18"/>
        <v>0</v>
      </c>
      <c r="BP10" s="161"/>
    </row>
    <row r="11" spans="1:69" ht="25.5">
      <c r="A11" s="194" t="s">
        <v>4715</v>
      </c>
      <c r="B11" s="195" t="s">
        <v>4716</v>
      </c>
      <c r="C11" s="196" t="s">
        <v>4717</v>
      </c>
      <c r="D11" s="146" t="s">
        <v>4692</v>
      </c>
      <c r="E11" s="196" t="s">
        <v>4717</v>
      </c>
      <c r="F11" s="150">
        <v>53482559</v>
      </c>
      <c r="G11" s="209">
        <v>0</v>
      </c>
      <c r="H11" s="209">
        <v>61653735.626680002</v>
      </c>
      <c r="I11" s="209">
        <v>61653735.626680002</v>
      </c>
      <c r="J11" s="150">
        <v>0</v>
      </c>
      <c r="K11" s="150">
        <v>16277569.593427178</v>
      </c>
      <c r="L11" s="150">
        <f t="shared" si="35"/>
        <v>16277569.593427178</v>
      </c>
      <c r="M11" s="150">
        <v>0</v>
      </c>
      <c r="N11" s="150">
        <v>26741279.5</v>
      </c>
      <c r="O11" s="150">
        <v>26741279.5</v>
      </c>
      <c r="P11" s="150">
        <v>0</v>
      </c>
      <c r="Q11" s="150">
        <v>40111919.25</v>
      </c>
      <c r="R11" s="150">
        <f t="shared" si="29"/>
        <v>40111919.25</v>
      </c>
      <c r="S11" s="150">
        <f t="shared" si="9"/>
        <v>53482559</v>
      </c>
      <c r="T11" s="150"/>
      <c r="U11" s="150">
        <v>0</v>
      </c>
      <c r="V11" s="199">
        <v>53482559</v>
      </c>
      <c r="W11" s="150">
        <f t="shared" si="30"/>
        <v>53482559</v>
      </c>
      <c r="X11" s="150">
        <v>0</v>
      </c>
      <c r="Y11" s="150">
        <v>53482559</v>
      </c>
      <c r="Z11" s="150">
        <v>53482559</v>
      </c>
      <c r="AA11" s="150">
        <f t="shared" si="11"/>
        <v>0</v>
      </c>
      <c r="AB11" s="150">
        <v>0</v>
      </c>
      <c r="AC11" s="199">
        <v>53482559</v>
      </c>
      <c r="AD11" s="150">
        <f t="shared" si="31"/>
        <v>53482559</v>
      </c>
      <c r="AE11" s="150">
        <v>53482559</v>
      </c>
      <c r="AF11" s="169" t="s">
        <v>4680</v>
      </c>
      <c r="AG11" s="201">
        <v>0</v>
      </c>
      <c r="AH11" s="199">
        <v>53482559</v>
      </c>
      <c r="AI11" s="150">
        <v>53482559</v>
      </c>
      <c r="AJ11" s="169">
        <f t="shared" si="13"/>
        <v>0</v>
      </c>
      <c r="AK11" s="201">
        <v>0</v>
      </c>
      <c r="AL11" s="199">
        <v>53482559</v>
      </c>
      <c r="AM11" s="150">
        <f t="shared" si="32"/>
        <v>53482559</v>
      </c>
      <c r="AN11" s="153">
        <f t="shared" si="15"/>
        <v>1253993</v>
      </c>
      <c r="AO11" s="154">
        <f t="shared" si="16"/>
        <v>1253993</v>
      </c>
      <c r="AP11" s="150">
        <v>53482559</v>
      </c>
      <c r="AQ11" s="201">
        <v>54736552</v>
      </c>
      <c r="AR11" s="199"/>
      <c r="AS11" s="150">
        <f t="shared" si="33"/>
        <v>54736552</v>
      </c>
      <c r="AT11" s="155" t="s">
        <v>4712</v>
      </c>
      <c r="AU11" s="156">
        <f t="shared" si="5"/>
        <v>0</v>
      </c>
      <c r="AV11" s="156">
        <f t="shared" si="6"/>
        <v>0</v>
      </c>
      <c r="AW11" s="157"/>
      <c r="AX11" s="150">
        <v>53482559</v>
      </c>
      <c r="AY11" s="150">
        <v>0</v>
      </c>
      <c r="AZ11" s="150">
        <v>53482559</v>
      </c>
      <c r="BA11" s="150">
        <f t="shared" si="34"/>
        <v>53482559</v>
      </c>
      <c r="BB11" s="202">
        <v>4</v>
      </c>
      <c r="BC11" s="202" t="s">
        <v>632</v>
      </c>
      <c r="BD11" s="202" t="s">
        <v>632</v>
      </c>
      <c r="BE11" s="202" t="s">
        <v>632</v>
      </c>
      <c r="BF11" s="194" t="s">
        <v>714</v>
      </c>
      <c r="BG11" s="203" t="s">
        <v>4718</v>
      </c>
      <c r="BH11" s="204">
        <f>AS11</f>
        <v>54736552</v>
      </c>
      <c r="BI11" s="205"/>
      <c r="BJ11" s="206" t="s">
        <v>4719</v>
      </c>
      <c r="BK11" s="194" t="s">
        <v>4715</v>
      </c>
      <c r="BL11" s="207" t="s">
        <v>4720</v>
      </c>
      <c r="BM11" s="208">
        <f>BH11</f>
        <v>54736552</v>
      </c>
      <c r="BN11" s="160"/>
      <c r="BO11" s="161">
        <f t="shared" si="18"/>
        <v>0</v>
      </c>
      <c r="BP11" s="161"/>
    </row>
    <row r="12" spans="1:69" ht="38.25">
      <c r="A12" s="194" t="s">
        <v>4721</v>
      </c>
      <c r="B12" s="195" t="s">
        <v>4722</v>
      </c>
      <c r="C12" s="196" t="s">
        <v>4723</v>
      </c>
      <c r="D12" s="146" t="s">
        <v>4692</v>
      </c>
      <c r="E12" s="196" t="s">
        <v>4723</v>
      </c>
      <c r="F12" s="150">
        <v>0</v>
      </c>
      <c r="G12" s="209">
        <v>0</v>
      </c>
      <c r="H12" s="209"/>
      <c r="I12" s="209">
        <v>0</v>
      </c>
      <c r="J12" s="150">
        <v>0</v>
      </c>
      <c r="K12" s="150">
        <v>0</v>
      </c>
      <c r="L12" s="150">
        <f t="shared" si="35"/>
        <v>0</v>
      </c>
      <c r="M12" s="150">
        <v>0</v>
      </c>
      <c r="N12" s="150"/>
      <c r="O12" s="150">
        <v>0</v>
      </c>
      <c r="P12" s="150">
        <v>0</v>
      </c>
      <c r="Q12" s="150"/>
      <c r="R12" s="150">
        <f t="shared" si="29"/>
        <v>0</v>
      </c>
      <c r="S12" s="150">
        <f t="shared" si="9"/>
        <v>0</v>
      </c>
      <c r="T12" s="150"/>
      <c r="U12" s="150">
        <v>0</v>
      </c>
      <c r="V12" s="199"/>
      <c r="W12" s="150">
        <f t="shared" si="30"/>
        <v>0</v>
      </c>
      <c r="X12" s="150">
        <v>0</v>
      </c>
      <c r="Y12" s="150"/>
      <c r="Z12" s="150">
        <v>0</v>
      </c>
      <c r="AA12" s="150">
        <f t="shared" si="11"/>
        <v>0</v>
      </c>
      <c r="AB12" s="150">
        <v>0</v>
      </c>
      <c r="AC12" s="199"/>
      <c r="AD12" s="150">
        <f t="shared" si="31"/>
        <v>0</v>
      </c>
      <c r="AE12" s="150">
        <v>0</v>
      </c>
      <c r="AF12" s="169" t="s">
        <v>4680</v>
      </c>
      <c r="AG12" s="201">
        <v>0</v>
      </c>
      <c r="AH12" s="199"/>
      <c r="AI12" s="150">
        <v>0</v>
      </c>
      <c r="AJ12" s="169">
        <f t="shared" si="13"/>
        <v>0</v>
      </c>
      <c r="AK12" s="201">
        <v>0</v>
      </c>
      <c r="AL12" s="199"/>
      <c r="AM12" s="150">
        <f t="shared" si="32"/>
        <v>0</v>
      </c>
      <c r="AN12" s="153">
        <f t="shared" si="15"/>
        <v>0</v>
      </c>
      <c r="AO12" s="154">
        <f t="shared" si="16"/>
        <v>0</v>
      </c>
      <c r="AP12" s="150">
        <v>0</v>
      </c>
      <c r="AQ12" s="201">
        <v>0</v>
      </c>
      <c r="AR12" s="199"/>
      <c r="AS12" s="150">
        <f t="shared" si="33"/>
        <v>0</v>
      </c>
      <c r="AT12" s="155"/>
      <c r="AU12" s="156">
        <f t="shared" si="5"/>
        <v>0</v>
      </c>
      <c r="AV12" s="156">
        <f t="shared" si="6"/>
        <v>0</v>
      </c>
      <c r="AW12" s="157"/>
      <c r="AX12" s="150">
        <v>0</v>
      </c>
      <c r="AY12" s="150">
        <v>0</v>
      </c>
      <c r="AZ12" s="150"/>
      <c r="BA12" s="150">
        <f t="shared" si="34"/>
        <v>0</v>
      </c>
      <c r="BB12" s="202">
        <v>4</v>
      </c>
      <c r="BC12" s="202" t="s">
        <v>632</v>
      </c>
      <c r="BD12" s="202" t="s">
        <v>632</v>
      </c>
      <c r="BE12" s="202" t="s">
        <v>632</v>
      </c>
      <c r="BF12" s="194" t="s">
        <v>739</v>
      </c>
      <c r="BG12" s="203" t="s">
        <v>4723</v>
      </c>
      <c r="BH12" s="204">
        <f>AS12</f>
        <v>0</v>
      </c>
      <c r="BI12" s="205"/>
      <c r="BJ12" s="206" t="s">
        <v>4724</v>
      </c>
      <c r="BK12" s="194" t="s">
        <v>4721</v>
      </c>
      <c r="BL12" s="207" t="s">
        <v>4725</v>
      </c>
      <c r="BM12" s="208">
        <f>BH12</f>
        <v>0</v>
      </c>
      <c r="BN12" s="160"/>
      <c r="BO12" s="161">
        <f t="shared" si="18"/>
        <v>0</v>
      </c>
      <c r="BP12" s="161"/>
    </row>
    <row r="13" spans="1:69" ht="38.25">
      <c r="A13" s="191" t="s">
        <v>497</v>
      </c>
      <c r="B13" s="184"/>
      <c r="C13" s="185" t="s">
        <v>4726</v>
      </c>
      <c r="D13" s="146" t="s">
        <v>4692</v>
      </c>
      <c r="E13" s="185" t="s">
        <v>4726</v>
      </c>
      <c r="F13" s="186">
        <v>110961.54</v>
      </c>
      <c r="G13" s="187">
        <v>0</v>
      </c>
      <c r="H13" s="187">
        <v>49036.319999999992</v>
      </c>
      <c r="I13" s="187">
        <v>49036.319999999992</v>
      </c>
      <c r="J13" s="186">
        <f>SUBTOTAL(9,J14:J27)</f>
        <v>0</v>
      </c>
      <c r="K13" s="186">
        <f>SUBTOTAL(9,K14:K27)</f>
        <v>275242</v>
      </c>
      <c r="L13" s="186">
        <f t="shared" si="35"/>
        <v>275242</v>
      </c>
      <c r="M13" s="188">
        <v>0</v>
      </c>
      <c r="N13" s="188">
        <v>55480.77</v>
      </c>
      <c r="O13" s="188">
        <v>55480.77</v>
      </c>
      <c r="P13" s="212">
        <f t="shared" ref="P13:AD13" si="36">SUBTOTAL(9,P14:P27)</f>
        <v>0</v>
      </c>
      <c r="Q13" s="212">
        <f t="shared" si="36"/>
        <v>1017402.8550000001</v>
      </c>
      <c r="R13" s="212">
        <f t="shared" si="36"/>
        <v>1017402.8550000001</v>
      </c>
      <c r="S13" s="150">
        <f t="shared" si="9"/>
        <v>1356537.1400000001</v>
      </c>
      <c r="T13" s="213"/>
      <c r="U13" s="212">
        <f t="shared" ref="U13:W13" si="37">SUBTOTAL(9,U14:U27)</f>
        <v>0</v>
      </c>
      <c r="V13" s="214">
        <f t="shared" si="37"/>
        <v>1356537.1400000001</v>
      </c>
      <c r="W13" s="212">
        <f t="shared" si="37"/>
        <v>1356537.1400000001</v>
      </c>
      <c r="X13" s="212">
        <v>0</v>
      </c>
      <c r="Y13" s="212">
        <v>1356537.1400000001</v>
      </c>
      <c r="Z13" s="212">
        <v>1356537.1400000001</v>
      </c>
      <c r="AA13" s="212">
        <f t="shared" si="11"/>
        <v>-1204714.07</v>
      </c>
      <c r="AB13" s="212">
        <v>40861.53</v>
      </c>
      <c r="AC13" s="214">
        <v>110961.54</v>
      </c>
      <c r="AD13" s="212">
        <f t="shared" si="36"/>
        <v>151823.07</v>
      </c>
      <c r="AE13" s="212">
        <v>151823.07</v>
      </c>
      <c r="AF13" s="169" t="s">
        <v>4680</v>
      </c>
      <c r="AG13" s="212">
        <v>40861.53</v>
      </c>
      <c r="AH13" s="214">
        <v>110961.54</v>
      </c>
      <c r="AI13" s="212">
        <v>151823.07</v>
      </c>
      <c r="AJ13" s="169">
        <f t="shared" si="13"/>
        <v>0</v>
      </c>
      <c r="AK13" s="212">
        <v>40861.53</v>
      </c>
      <c r="AL13" s="214">
        <v>110961.54</v>
      </c>
      <c r="AM13" s="212">
        <f t="shared" ref="AM13" si="38">SUBTOTAL(9,AM14:AM27)</f>
        <v>151823.07</v>
      </c>
      <c r="AN13" s="153">
        <f t="shared" si="15"/>
        <v>-28549.850000000006</v>
      </c>
      <c r="AO13" s="154">
        <f t="shared" si="16"/>
        <v>-28549.850000000006</v>
      </c>
      <c r="AP13" s="212">
        <v>151823.07</v>
      </c>
      <c r="AQ13" s="212">
        <v>123273.22</v>
      </c>
      <c r="AR13" s="214">
        <f t="shared" ref="AR13:AS13" si="39">SUBTOTAL(9,AR14:AR27)</f>
        <v>0</v>
      </c>
      <c r="AS13" s="212">
        <f t="shared" si="39"/>
        <v>123273.22</v>
      </c>
      <c r="AT13" s="155"/>
      <c r="AU13" s="156">
        <f t="shared" si="5"/>
        <v>0</v>
      </c>
      <c r="AV13" s="156">
        <f t="shared" si="6"/>
        <v>-1204714.07</v>
      </c>
      <c r="AW13" s="157"/>
      <c r="AX13" s="150">
        <v>1356537.1400000001</v>
      </c>
      <c r="AY13" s="212">
        <f t="shared" ref="AY13:BA13" si="40">SUBTOTAL(9,AY14:AY27)</f>
        <v>0</v>
      </c>
      <c r="AZ13" s="212">
        <f t="shared" si="40"/>
        <v>1356537.1400000001</v>
      </c>
      <c r="BA13" s="212">
        <f t="shared" si="40"/>
        <v>1356537.1400000001</v>
      </c>
      <c r="BB13" s="191">
        <v>4</v>
      </c>
      <c r="BC13" s="191" t="s">
        <v>632</v>
      </c>
      <c r="BD13" s="191" t="s">
        <v>632</v>
      </c>
      <c r="BE13" s="191" t="s">
        <v>647</v>
      </c>
      <c r="BF13" s="191" t="s">
        <v>630</v>
      </c>
      <c r="BG13" s="185" t="s">
        <v>4726</v>
      </c>
      <c r="BH13" s="215">
        <f>SUBTOTAL(9,BH14:BH27)</f>
        <v>123273.22</v>
      </c>
      <c r="BI13" s="191"/>
      <c r="BJ13" s="191" t="s">
        <v>4727</v>
      </c>
      <c r="BK13" s="191" t="s">
        <v>497</v>
      </c>
      <c r="BL13" s="193" t="s">
        <v>4728</v>
      </c>
      <c r="BM13" s="215">
        <f>SUBTOTAL(9,BM14:BM27)</f>
        <v>123273.22</v>
      </c>
      <c r="BN13" s="160"/>
      <c r="BO13" s="161">
        <f t="shared" si="18"/>
        <v>0</v>
      </c>
      <c r="BP13" s="161"/>
    </row>
    <row r="14" spans="1:69" ht="25.5">
      <c r="A14" s="202" t="s">
        <v>497</v>
      </c>
      <c r="B14" s="195" t="s">
        <v>4729</v>
      </c>
      <c r="C14" s="196" t="s">
        <v>4730</v>
      </c>
      <c r="D14" s="146" t="s">
        <v>4692</v>
      </c>
      <c r="E14" s="196" t="s">
        <v>4730</v>
      </c>
      <c r="F14" s="150">
        <v>0</v>
      </c>
      <c r="G14" s="209">
        <v>0</v>
      </c>
      <c r="H14" s="209"/>
      <c r="I14" s="209">
        <v>0</v>
      </c>
      <c r="J14" s="150">
        <v>0</v>
      </c>
      <c r="K14" s="150">
        <v>0</v>
      </c>
      <c r="L14" s="150">
        <f t="shared" si="35"/>
        <v>0</v>
      </c>
      <c r="M14" s="150">
        <v>0</v>
      </c>
      <c r="N14" s="150"/>
      <c r="O14" s="150">
        <v>0</v>
      </c>
      <c r="P14" s="150">
        <v>0</v>
      </c>
      <c r="Q14" s="150"/>
      <c r="R14" s="150">
        <f t="shared" ref="R14:R27" si="41">P14+Q14</f>
        <v>0</v>
      </c>
      <c r="S14" s="150">
        <f t="shared" si="9"/>
        <v>0</v>
      </c>
      <c r="T14" s="150"/>
      <c r="U14" s="150">
        <v>0</v>
      </c>
      <c r="V14" s="199"/>
      <c r="W14" s="150">
        <f t="shared" ref="W14:W27" si="42">U14+V14</f>
        <v>0</v>
      </c>
      <c r="X14" s="150">
        <v>0</v>
      </c>
      <c r="Y14" s="150"/>
      <c r="Z14" s="150">
        <v>0</v>
      </c>
      <c r="AA14" s="150">
        <f t="shared" si="11"/>
        <v>0</v>
      </c>
      <c r="AB14" s="150">
        <v>0</v>
      </c>
      <c r="AC14" s="199"/>
      <c r="AD14" s="150">
        <f t="shared" ref="AD14:AD27" si="43">AB14+AC14</f>
        <v>0</v>
      </c>
      <c r="AE14" s="150">
        <v>0</v>
      </c>
      <c r="AF14" s="169" t="s">
        <v>4680</v>
      </c>
      <c r="AG14" s="201">
        <v>0</v>
      </c>
      <c r="AH14" s="199"/>
      <c r="AI14" s="150">
        <v>0</v>
      </c>
      <c r="AJ14" s="169">
        <f t="shared" si="13"/>
        <v>0</v>
      </c>
      <c r="AK14" s="201">
        <v>0</v>
      </c>
      <c r="AL14" s="199"/>
      <c r="AM14" s="150">
        <f t="shared" ref="AM14:AM27" si="44">AK14+AL14</f>
        <v>0</v>
      </c>
      <c r="AN14" s="153">
        <f t="shared" si="15"/>
        <v>0</v>
      </c>
      <c r="AO14" s="154">
        <f t="shared" si="16"/>
        <v>0</v>
      </c>
      <c r="AP14" s="150">
        <v>0</v>
      </c>
      <c r="AQ14" s="201">
        <v>0</v>
      </c>
      <c r="AR14" s="199"/>
      <c r="AS14" s="150">
        <f t="shared" ref="AS14:AS27" si="45">AQ14+AR14</f>
        <v>0</v>
      </c>
      <c r="AT14" s="155"/>
      <c r="AU14" s="156">
        <f t="shared" si="5"/>
        <v>0</v>
      </c>
      <c r="AV14" s="156">
        <f t="shared" si="6"/>
        <v>0</v>
      </c>
      <c r="AW14" s="157"/>
      <c r="AX14" s="150">
        <v>0</v>
      </c>
      <c r="AY14" s="150">
        <v>0</v>
      </c>
      <c r="AZ14" s="150"/>
      <c r="BA14" s="150">
        <f t="shared" si="34"/>
        <v>0</v>
      </c>
      <c r="BB14" s="202">
        <v>4</v>
      </c>
      <c r="BC14" s="202" t="s">
        <v>632</v>
      </c>
      <c r="BD14" s="202" t="s">
        <v>632</v>
      </c>
      <c r="BE14" s="202" t="s">
        <v>647</v>
      </c>
      <c r="BF14" s="202" t="s">
        <v>632</v>
      </c>
      <c r="BG14" s="203" t="s">
        <v>4731</v>
      </c>
      <c r="BH14" s="216">
        <f>AS14</f>
        <v>0</v>
      </c>
      <c r="BI14" s="202"/>
      <c r="BJ14" s="202" t="s">
        <v>4727</v>
      </c>
      <c r="BK14" s="202" t="s">
        <v>497</v>
      </c>
      <c r="BL14" s="203" t="s">
        <v>4732</v>
      </c>
      <c r="BM14" s="208">
        <f t="shared" ref="BM14:BM19" si="46">BH14</f>
        <v>0</v>
      </c>
      <c r="BN14" s="160"/>
      <c r="BO14" s="161">
        <f t="shared" si="18"/>
        <v>0</v>
      </c>
      <c r="BP14" s="161"/>
    </row>
    <row r="15" spans="1:69" ht="25.5">
      <c r="A15" s="202" t="s">
        <v>497</v>
      </c>
      <c r="B15" s="195" t="s">
        <v>4733</v>
      </c>
      <c r="C15" s="196" t="s">
        <v>4734</v>
      </c>
      <c r="D15" s="146" t="s">
        <v>4692</v>
      </c>
      <c r="E15" s="196" t="s">
        <v>4734</v>
      </c>
      <c r="F15" s="150">
        <v>0</v>
      </c>
      <c r="G15" s="209">
        <v>0</v>
      </c>
      <c r="H15" s="209"/>
      <c r="I15" s="209">
        <v>0</v>
      </c>
      <c r="J15" s="150">
        <v>0</v>
      </c>
      <c r="K15" s="150">
        <v>0</v>
      </c>
      <c r="L15" s="150">
        <f t="shared" si="35"/>
        <v>0</v>
      </c>
      <c r="M15" s="150">
        <v>0</v>
      </c>
      <c r="N15" s="150"/>
      <c r="O15" s="150">
        <v>0</v>
      </c>
      <c r="P15" s="150">
        <v>0</v>
      </c>
      <c r="Q15" s="150"/>
      <c r="R15" s="150">
        <f t="shared" si="41"/>
        <v>0</v>
      </c>
      <c r="S15" s="150">
        <f t="shared" si="9"/>
        <v>0</v>
      </c>
      <c r="T15" s="150"/>
      <c r="U15" s="150">
        <v>0</v>
      </c>
      <c r="V15" s="199"/>
      <c r="W15" s="150">
        <f t="shared" si="42"/>
        <v>0</v>
      </c>
      <c r="X15" s="150">
        <v>0</v>
      </c>
      <c r="Y15" s="150"/>
      <c r="Z15" s="150">
        <v>0</v>
      </c>
      <c r="AA15" s="150">
        <f t="shared" si="11"/>
        <v>0</v>
      </c>
      <c r="AB15" s="150">
        <v>0</v>
      </c>
      <c r="AC15" s="199"/>
      <c r="AD15" s="150">
        <f t="shared" si="43"/>
        <v>0</v>
      </c>
      <c r="AE15" s="150">
        <v>0</v>
      </c>
      <c r="AF15" s="169" t="s">
        <v>4680</v>
      </c>
      <c r="AG15" s="201">
        <v>0</v>
      </c>
      <c r="AH15" s="199"/>
      <c r="AI15" s="150">
        <v>0</v>
      </c>
      <c r="AJ15" s="169">
        <f t="shared" si="13"/>
        <v>0</v>
      </c>
      <c r="AK15" s="201">
        <v>0</v>
      </c>
      <c r="AL15" s="199"/>
      <c r="AM15" s="150">
        <f t="shared" si="44"/>
        <v>0</v>
      </c>
      <c r="AN15" s="153">
        <f t="shared" si="15"/>
        <v>0</v>
      </c>
      <c r="AO15" s="154">
        <f t="shared" si="16"/>
        <v>0</v>
      </c>
      <c r="AP15" s="150">
        <v>0</v>
      </c>
      <c r="AQ15" s="201">
        <v>0</v>
      </c>
      <c r="AR15" s="199"/>
      <c r="AS15" s="150">
        <f t="shared" si="45"/>
        <v>0</v>
      </c>
      <c r="AT15" s="155"/>
      <c r="AU15" s="156">
        <f t="shared" si="5"/>
        <v>0</v>
      </c>
      <c r="AV15" s="156">
        <f t="shared" si="6"/>
        <v>0</v>
      </c>
      <c r="AW15" s="157"/>
      <c r="AX15" s="150">
        <v>0</v>
      </c>
      <c r="AY15" s="150">
        <v>0</v>
      </c>
      <c r="AZ15" s="150"/>
      <c r="BA15" s="150">
        <f t="shared" si="34"/>
        <v>0</v>
      </c>
      <c r="BB15" s="202">
        <v>4</v>
      </c>
      <c r="BC15" s="202" t="s">
        <v>632</v>
      </c>
      <c r="BD15" s="202" t="s">
        <v>632</v>
      </c>
      <c r="BE15" s="202" t="s">
        <v>647</v>
      </c>
      <c r="BF15" s="202" t="s">
        <v>647</v>
      </c>
      <c r="BG15" s="207" t="s">
        <v>4734</v>
      </c>
      <c r="BH15" s="216">
        <f>AS15</f>
        <v>0</v>
      </c>
      <c r="BI15" s="202"/>
      <c r="BJ15" s="202" t="s">
        <v>4727</v>
      </c>
      <c r="BK15" s="202" t="s">
        <v>497</v>
      </c>
      <c r="BL15" s="203" t="s">
        <v>4732</v>
      </c>
      <c r="BM15" s="208">
        <f t="shared" si="46"/>
        <v>0</v>
      </c>
      <c r="BN15" s="160"/>
      <c r="BO15" s="161">
        <f t="shared" si="18"/>
        <v>0</v>
      </c>
      <c r="BP15" s="161"/>
    </row>
    <row r="16" spans="1:69" ht="25.5">
      <c r="A16" s="202" t="s">
        <v>497</v>
      </c>
      <c r="B16" s="195" t="s">
        <v>4735</v>
      </c>
      <c r="C16" s="196" t="s">
        <v>4736</v>
      </c>
      <c r="D16" s="146" t="s">
        <v>4692</v>
      </c>
      <c r="E16" s="196" t="s">
        <v>4736</v>
      </c>
      <c r="F16" s="150">
        <v>0</v>
      </c>
      <c r="G16" s="209">
        <v>0</v>
      </c>
      <c r="H16" s="209"/>
      <c r="I16" s="209">
        <v>0</v>
      </c>
      <c r="J16" s="150">
        <v>0</v>
      </c>
      <c r="K16" s="150">
        <v>0</v>
      </c>
      <c r="L16" s="150">
        <f t="shared" si="35"/>
        <v>0</v>
      </c>
      <c r="M16" s="150">
        <v>0</v>
      </c>
      <c r="N16" s="150"/>
      <c r="O16" s="150">
        <v>0</v>
      </c>
      <c r="P16" s="150">
        <v>0</v>
      </c>
      <c r="Q16" s="150"/>
      <c r="R16" s="150">
        <f t="shared" si="41"/>
        <v>0</v>
      </c>
      <c r="S16" s="150">
        <f t="shared" si="9"/>
        <v>0</v>
      </c>
      <c r="T16" s="150"/>
      <c r="U16" s="150">
        <v>0</v>
      </c>
      <c r="V16" s="199"/>
      <c r="W16" s="150">
        <f t="shared" si="42"/>
        <v>0</v>
      </c>
      <c r="X16" s="150">
        <v>0</v>
      </c>
      <c r="Y16" s="150"/>
      <c r="Z16" s="150">
        <v>0</v>
      </c>
      <c r="AA16" s="150">
        <f t="shared" si="11"/>
        <v>0</v>
      </c>
      <c r="AB16" s="150">
        <v>0</v>
      </c>
      <c r="AC16" s="199"/>
      <c r="AD16" s="150">
        <f t="shared" si="43"/>
        <v>0</v>
      </c>
      <c r="AE16" s="150">
        <v>0</v>
      </c>
      <c r="AF16" s="169" t="s">
        <v>4680</v>
      </c>
      <c r="AG16" s="201">
        <v>0</v>
      </c>
      <c r="AH16" s="199"/>
      <c r="AI16" s="150">
        <v>0</v>
      </c>
      <c r="AJ16" s="169">
        <f t="shared" si="13"/>
        <v>0</v>
      </c>
      <c r="AK16" s="201">
        <v>0</v>
      </c>
      <c r="AL16" s="199"/>
      <c r="AM16" s="150">
        <f t="shared" si="44"/>
        <v>0</v>
      </c>
      <c r="AN16" s="153">
        <f t="shared" si="15"/>
        <v>0</v>
      </c>
      <c r="AO16" s="154">
        <f t="shared" si="16"/>
        <v>0</v>
      </c>
      <c r="AP16" s="150">
        <v>0</v>
      </c>
      <c r="AQ16" s="201">
        <v>0</v>
      </c>
      <c r="AR16" s="199"/>
      <c r="AS16" s="150">
        <f t="shared" si="45"/>
        <v>0</v>
      </c>
      <c r="AT16" s="155"/>
      <c r="AU16" s="156">
        <f t="shared" si="5"/>
        <v>0</v>
      </c>
      <c r="AV16" s="156">
        <f t="shared" si="6"/>
        <v>0</v>
      </c>
      <c r="AW16" s="157"/>
      <c r="AX16" s="150">
        <v>0</v>
      </c>
      <c r="AY16" s="150">
        <v>0</v>
      </c>
      <c r="AZ16" s="150"/>
      <c r="BA16" s="150">
        <f t="shared" si="34"/>
        <v>0</v>
      </c>
      <c r="BB16" s="202">
        <v>4</v>
      </c>
      <c r="BC16" s="202" t="s">
        <v>632</v>
      </c>
      <c r="BD16" s="202" t="s">
        <v>632</v>
      </c>
      <c r="BE16" s="202" t="s">
        <v>647</v>
      </c>
      <c r="BF16" s="202" t="s">
        <v>671</v>
      </c>
      <c r="BG16" s="207" t="s">
        <v>4736</v>
      </c>
      <c r="BH16" s="216">
        <f>AS16</f>
        <v>0</v>
      </c>
      <c r="BI16" s="202"/>
      <c r="BJ16" s="202" t="s">
        <v>4727</v>
      </c>
      <c r="BK16" s="202" t="s">
        <v>497</v>
      </c>
      <c r="BL16" s="203" t="s">
        <v>4732</v>
      </c>
      <c r="BM16" s="208">
        <f t="shared" si="46"/>
        <v>0</v>
      </c>
      <c r="BN16" s="160"/>
      <c r="BO16" s="161">
        <f t="shared" si="18"/>
        <v>0</v>
      </c>
      <c r="BP16" s="161"/>
    </row>
    <row r="17" spans="1:68" ht="25.5">
      <c r="A17" s="202" t="s">
        <v>497</v>
      </c>
      <c r="B17" s="195" t="s">
        <v>4737</v>
      </c>
      <c r="C17" s="196" t="s">
        <v>4738</v>
      </c>
      <c r="D17" s="146" t="s">
        <v>4692</v>
      </c>
      <c r="E17" s="196" t="s">
        <v>4738</v>
      </c>
      <c r="F17" s="150">
        <v>0</v>
      </c>
      <c r="G17" s="209">
        <v>0</v>
      </c>
      <c r="H17" s="209"/>
      <c r="I17" s="209">
        <v>0</v>
      </c>
      <c r="J17" s="150">
        <v>0</v>
      </c>
      <c r="K17" s="150">
        <v>0</v>
      </c>
      <c r="L17" s="150">
        <f t="shared" si="35"/>
        <v>0</v>
      </c>
      <c r="M17" s="150">
        <v>0</v>
      </c>
      <c r="N17" s="150"/>
      <c r="O17" s="150">
        <v>0</v>
      </c>
      <c r="P17" s="150">
        <v>0</v>
      </c>
      <c r="Q17" s="150"/>
      <c r="R17" s="150">
        <f t="shared" si="41"/>
        <v>0</v>
      </c>
      <c r="S17" s="150">
        <f t="shared" si="9"/>
        <v>0</v>
      </c>
      <c r="T17" s="150"/>
      <c r="U17" s="150">
        <v>0</v>
      </c>
      <c r="V17" s="199"/>
      <c r="W17" s="150">
        <f t="shared" si="42"/>
        <v>0</v>
      </c>
      <c r="X17" s="150">
        <v>0</v>
      </c>
      <c r="Y17" s="150"/>
      <c r="Z17" s="150">
        <v>0</v>
      </c>
      <c r="AA17" s="150">
        <f t="shared" si="11"/>
        <v>0</v>
      </c>
      <c r="AB17" s="150">
        <v>0</v>
      </c>
      <c r="AC17" s="199"/>
      <c r="AD17" s="150">
        <f t="shared" si="43"/>
        <v>0</v>
      </c>
      <c r="AE17" s="150">
        <v>0</v>
      </c>
      <c r="AF17" s="169" t="s">
        <v>4680</v>
      </c>
      <c r="AG17" s="201">
        <v>0</v>
      </c>
      <c r="AH17" s="199"/>
      <c r="AI17" s="150">
        <v>0</v>
      </c>
      <c r="AJ17" s="169">
        <f t="shared" si="13"/>
        <v>0</v>
      </c>
      <c r="AK17" s="201">
        <v>0</v>
      </c>
      <c r="AL17" s="199"/>
      <c r="AM17" s="150">
        <f t="shared" si="44"/>
        <v>0</v>
      </c>
      <c r="AN17" s="153">
        <f t="shared" si="15"/>
        <v>0</v>
      </c>
      <c r="AO17" s="154">
        <f t="shared" si="16"/>
        <v>0</v>
      </c>
      <c r="AP17" s="150">
        <v>0</v>
      </c>
      <c r="AQ17" s="201">
        <v>0</v>
      </c>
      <c r="AR17" s="199"/>
      <c r="AS17" s="150">
        <f t="shared" si="45"/>
        <v>0</v>
      </c>
      <c r="AT17" s="155"/>
      <c r="AU17" s="156">
        <f t="shared" si="5"/>
        <v>0</v>
      </c>
      <c r="AV17" s="156">
        <f t="shared" si="6"/>
        <v>0</v>
      </c>
      <c r="AW17" s="157"/>
      <c r="AX17" s="150">
        <v>0</v>
      </c>
      <c r="AY17" s="150">
        <v>0</v>
      </c>
      <c r="AZ17" s="150"/>
      <c r="BA17" s="150">
        <f t="shared" si="34"/>
        <v>0</v>
      </c>
      <c r="BB17" s="202">
        <v>4</v>
      </c>
      <c r="BC17" s="202" t="s">
        <v>632</v>
      </c>
      <c r="BD17" s="202" t="s">
        <v>632</v>
      </c>
      <c r="BE17" s="202" t="s">
        <v>647</v>
      </c>
      <c r="BF17" s="202" t="s">
        <v>693</v>
      </c>
      <c r="BG17" s="207" t="s">
        <v>4738</v>
      </c>
      <c r="BH17" s="216">
        <f>AS17</f>
        <v>0</v>
      </c>
      <c r="BI17" s="202"/>
      <c r="BJ17" s="202" t="s">
        <v>4727</v>
      </c>
      <c r="BK17" s="202" t="s">
        <v>497</v>
      </c>
      <c r="BL17" s="203" t="s">
        <v>4732</v>
      </c>
      <c r="BM17" s="208">
        <f t="shared" si="46"/>
        <v>0</v>
      </c>
      <c r="BN17" s="160"/>
      <c r="BO17" s="161">
        <f t="shared" si="18"/>
        <v>0</v>
      </c>
      <c r="BP17" s="161"/>
    </row>
    <row r="18" spans="1:68" ht="25.5">
      <c r="A18" s="202" t="s">
        <v>497</v>
      </c>
      <c r="B18" s="195" t="s">
        <v>4739</v>
      </c>
      <c r="C18" s="196" t="s">
        <v>4740</v>
      </c>
      <c r="D18" s="146" t="s">
        <v>4692</v>
      </c>
      <c r="E18" s="196" t="s">
        <v>4740</v>
      </c>
      <c r="F18" s="150">
        <v>0</v>
      </c>
      <c r="G18" s="209">
        <v>0</v>
      </c>
      <c r="H18" s="209"/>
      <c r="I18" s="209">
        <v>0</v>
      </c>
      <c r="J18" s="150">
        <v>0</v>
      </c>
      <c r="K18" s="150">
        <v>0</v>
      </c>
      <c r="L18" s="150">
        <f t="shared" si="35"/>
        <v>0</v>
      </c>
      <c r="M18" s="150">
        <v>0</v>
      </c>
      <c r="N18" s="150"/>
      <c r="O18" s="150">
        <v>0</v>
      </c>
      <c r="P18" s="150">
        <v>0</v>
      </c>
      <c r="Q18" s="150"/>
      <c r="R18" s="150">
        <f t="shared" si="41"/>
        <v>0</v>
      </c>
      <c r="S18" s="150">
        <f t="shared" si="9"/>
        <v>0</v>
      </c>
      <c r="T18" s="150"/>
      <c r="U18" s="150">
        <v>0</v>
      </c>
      <c r="V18" s="199"/>
      <c r="W18" s="150">
        <f t="shared" si="42"/>
        <v>0</v>
      </c>
      <c r="X18" s="150">
        <v>0</v>
      </c>
      <c r="Y18" s="150"/>
      <c r="Z18" s="150">
        <v>0</v>
      </c>
      <c r="AA18" s="150">
        <f t="shared" si="11"/>
        <v>0</v>
      </c>
      <c r="AB18" s="150">
        <v>0</v>
      </c>
      <c r="AC18" s="199"/>
      <c r="AD18" s="150">
        <f t="shared" si="43"/>
        <v>0</v>
      </c>
      <c r="AE18" s="150">
        <v>0</v>
      </c>
      <c r="AF18" s="169" t="s">
        <v>4680</v>
      </c>
      <c r="AG18" s="201">
        <v>0</v>
      </c>
      <c r="AH18" s="199"/>
      <c r="AI18" s="150">
        <v>0</v>
      </c>
      <c r="AJ18" s="169">
        <f t="shared" si="13"/>
        <v>0</v>
      </c>
      <c r="AK18" s="201">
        <v>0</v>
      </c>
      <c r="AL18" s="199"/>
      <c r="AM18" s="150">
        <f t="shared" si="44"/>
        <v>0</v>
      </c>
      <c r="AN18" s="153">
        <f t="shared" si="15"/>
        <v>0</v>
      </c>
      <c r="AO18" s="154">
        <f t="shared" si="16"/>
        <v>0</v>
      </c>
      <c r="AP18" s="150">
        <v>0</v>
      </c>
      <c r="AQ18" s="201">
        <v>0</v>
      </c>
      <c r="AR18" s="199"/>
      <c r="AS18" s="150">
        <f t="shared" si="45"/>
        <v>0</v>
      </c>
      <c r="AT18" s="155"/>
      <c r="AU18" s="156">
        <f t="shared" si="5"/>
        <v>0</v>
      </c>
      <c r="AV18" s="156">
        <f t="shared" si="6"/>
        <v>0</v>
      </c>
      <c r="AW18" s="157"/>
      <c r="AX18" s="150">
        <v>0</v>
      </c>
      <c r="AY18" s="150">
        <v>0</v>
      </c>
      <c r="AZ18" s="150"/>
      <c r="BA18" s="150">
        <f t="shared" si="34"/>
        <v>0</v>
      </c>
      <c r="BB18" s="202">
        <v>4</v>
      </c>
      <c r="BC18" s="202" t="s">
        <v>632</v>
      </c>
      <c r="BD18" s="202" t="s">
        <v>632</v>
      </c>
      <c r="BE18" s="202" t="s">
        <v>647</v>
      </c>
      <c r="BF18" s="202" t="s">
        <v>714</v>
      </c>
      <c r="BG18" s="207" t="s">
        <v>4740</v>
      </c>
      <c r="BH18" s="216">
        <f>AS18</f>
        <v>0</v>
      </c>
      <c r="BI18" s="202"/>
      <c r="BJ18" s="202" t="s">
        <v>4727</v>
      </c>
      <c r="BK18" s="202" t="s">
        <v>497</v>
      </c>
      <c r="BL18" s="203" t="s">
        <v>4732</v>
      </c>
      <c r="BM18" s="208">
        <f t="shared" si="46"/>
        <v>0</v>
      </c>
      <c r="BN18" s="160"/>
      <c r="BO18" s="161">
        <f t="shared" si="18"/>
        <v>0</v>
      </c>
      <c r="BP18" s="161"/>
    </row>
    <row r="19" spans="1:68" ht="25.5">
      <c r="A19" s="202" t="s">
        <v>497</v>
      </c>
      <c r="B19" s="195" t="s">
        <v>4741</v>
      </c>
      <c r="C19" s="196" t="s">
        <v>4742</v>
      </c>
      <c r="D19" s="146" t="s">
        <v>4692</v>
      </c>
      <c r="E19" s="196" t="s">
        <v>4742</v>
      </c>
      <c r="F19" s="150">
        <v>0</v>
      </c>
      <c r="G19" s="209">
        <v>0</v>
      </c>
      <c r="H19" s="209"/>
      <c r="I19" s="209">
        <v>0</v>
      </c>
      <c r="J19" s="150">
        <v>0</v>
      </c>
      <c r="K19" s="150">
        <v>0</v>
      </c>
      <c r="L19" s="150">
        <f t="shared" si="35"/>
        <v>0</v>
      </c>
      <c r="M19" s="150">
        <v>0</v>
      </c>
      <c r="N19" s="150"/>
      <c r="O19" s="150">
        <v>0</v>
      </c>
      <c r="P19" s="150">
        <v>0</v>
      </c>
      <c r="Q19" s="150"/>
      <c r="R19" s="150">
        <f t="shared" si="41"/>
        <v>0</v>
      </c>
      <c r="S19" s="150">
        <f t="shared" si="9"/>
        <v>0</v>
      </c>
      <c r="T19" s="150"/>
      <c r="U19" s="150">
        <v>0</v>
      </c>
      <c r="V19" s="199"/>
      <c r="W19" s="150">
        <f t="shared" si="42"/>
        <v>0</v>
      </c>
      <c r="X19" s="150">
        <v>0</v>
      </c>
      <c r="Y19" s="150"/>
      <c r="Z19" s="150">
        <v>0</v>
      </c>
      <c r="AA19" s="150">
        <f t="shared" si="11"/>
        <v>0</v>
      </c>
      <c r="AB19" s="150">
        <v>0</v>
      </c>
      <c r="AC19" s="199"/>
      <c r="AD19" s="150">
        <f t="shared" si="43"/>
        <v>0</v>
      </c>
      <c r="AE19" s="150">
        <v>0</v>
      </c>
      <c r="AF19" s="169" t="s">
        <v>4680</v>
      </c>
      <c r="AG19" s="201">
        <v>0</v>
      </c>
      <c r="AH19" s="199"/>
      <c r="AI19" s="150">
        <v>0</v>
      </c>
      <c r="AJ19" s="169">
        <f t="shared" si="13"/>
        <v>0</v>
      </c>
      <c r="AK19" s="201">
        <v>0</v>
      </c>
      <c r="AL19" s="199"/>
      <c r="AM19" s="150">
        <f t="shared" si="44"/>
        <v>0</v>
      </c>
      <c r="AN19" s="153">
        <f t="shared" si="15"/>
        <v>0</v>
      </c>
      <c r="AO19" s="154">
        <f t="shared" si="16"/>
        <v>0</v>
      </c>
      <c r="AP19" s="150">
        <v>0</v>
      </c>
      <c r="AQ19" s="201">
        <v>0</v>
      </c>
      <c r="AR19" s="199"/>
      <c r="AS19" s="150">
        <f t="shared" si="45"/>
        <v>0</v>
      </c>
      <c r="AT19" s="155"/>
      <c r="AU19" s="156">
        <f t="shared" si="5"/>
        <v>0</v>
      </c>
      <c r="AV19" s="156">
        <f t="shared" si="6"/>
        <v>0</v>
      </c>
      <c r="AW19" s="157"/>
      <c r="AX19" s="150">
        <v>0</v>
      </c>
      <c r="AY19" s="150">
        <v>0</v>
      </c>
      <c r="AZ19" s="150"/>
      <c r="BA19" s="150">
        <f t="shared" si="34"/>
        <v>0</v>
      </c>
      <c r="BB19" s="202">
        <v>4</v>
      </c>
      <c r="BC19" s="202" t="s">
        <v>632</v>
      </c>
      <c r="BD19" s="202" t="s">
        <v>632</v>
      </c>
      <c r="BE19" s="202" t="s">
        <v>647</v>
      </c>
      <c r="BF19" s="202" t="s">
        <v>739</v>
      </c>
      <c r="BG19" s="207" t="s">
        <v>4743</v>
      </c>
      <c r="BH19" s="216">
        <f>AS19+AS20</f>
        <v>0</v>
      </c>
      <c r="BI19" s="202"/>
      <c r="BJ19" s="202" t="s">
        <v>4727</v>
      </c>
      <c r="BK19" s="202" t="s">
        <v>497</v>
      </c>
      <c r="BL19" s="203" t="s">
        <v>4732</v>
      </c>
      <c r="BM19" s="208">
        <f t="shared" si="46"/>
        <v>0</v>
      </c>
      <c r="BN19" s="160"/>
      <c r="BO19" s="161">
        <f t="shared" si="18"/>
        <v>0</v>
      </c>
      <c r="BP19" s="161"/>
    </row>
    <row r="20" spans="1:68">
      <c r="A20" s="210"/>
      <c r="B20" s="195" t="s">
        <v>4744</v>
      </c>
      <c r="C20" s="196" t="s">
        <v>4743</v>
      </c>
      <c r="D20" s="146" t="s">
        <v>4692</v>
      </c>
      <c r="E20" s="196" t="s">
        <v>4743</v>
      </c>
      <c r="F20" s="150">
        <v>0</v>
      </c>
      <c r="G20" s="209">
        <v>0</v>
      </c>
      <c r="H20" s="209"/>
      <c r="I20" s="209">
        <v>0</v>
      </c>
      <c r="J20" s="150">
        <v>0</v>
      </c>
      <c r="K20" s="150">
        <v>0</v>
      </c>
      <c r="L20" s="150">
        <f t="shared" si="35"/>
        <v>0</v>
      </c>
      <c r="M20" s="150">
        <v>0</v>
      </c>
      <c r="N20" s="150"/>
      <c r="O20" s="150">
        <v>0</v>
      </c>
      <c r="P20" s="150">
        <v>0</v>
      </c>
      <c r="Q20" s="150"/>
      <c r="R20" s="150">
        <f t="shared" si="41"/>
        <v>0</v>
      </c>
      <c r="S20" s="150">
        <f t="shared" si="9"/>
        <v>0</v>
      </c>
      <c r="T20" s="150"/>
      <c r="U20" s="150">
        <v>0</v>
      </c>
      <c r="V20" s="199"/>
      <c r="W20" s="150">
        <f t="shared" si="42"/>
        <v>0</v>
      </c>
      <c r="X20" s="150">
        <v>0</v>
      </c>
      <c r="Y20" s="150"/>
      <c r="Z20" s="150">
        <v>0</v>
      </c>
      <c r="AA20" s="150">
        <f t="shared" si="11"/>
        <v>0</v>
      </c>
      <c r="AB20" s="150">
        <v>0</v>
      </c>
      <c r="AC20" s="199"/>
      <c r="AD20" s="150">
        <f t="shared" si="43"/>
        <v>0</v>
      </c>
      <c r="AE20" s="150">
        <v>0</v>
      </c>
      <c r="AF20" s="169" t="s">
        <v>4680</v>
      </c>
      <c r="AG20" s="201">
        <v>0</v>
      </c>
      <c r="AH20" s="199"/>
      <c r="AI20" s="150">
        <v>0</v>
      </c>
      <c r="AJ20" s="169">
        <f t="shared" si="13"/>
        <v>0</v>
      </c>
      <c r="AK20" s="201">
        <v>0</v>
      </c>
      <c r="AL20" s="199"/>
      <c r="AM20" s="150">
        <f t="shared" si="44"/>
        <v>0</v>
      </c>
      <c r="AN20" s="153">
        <f t="shared" si="15"/>
        <v>0</v>
      </c>
      <c r="AO20" s="154">
        <f t="shared" si="16"/>
        <v>0</v>
      </c>
      <c r="AP20" s="150">
        <v>0</v>
      </c>
      <c r="AQ20" s="201">
        <v>0</v>
      </c>
      <c r="AR20" s="199"/>
      <c r="AS20" s="150">
        <f t="shared" si="45"/>
        <v>0</v>
      </c>
      <c r="AT20" s="155"/>
      <c r="AU20" s="156">
        <f t="shared" si="5"/>
        <v>0</v>
      </c>
      <c r="AV20" s="156">
        <f t="shared" si="6"/>
        <v>0</v>
      </c>
      <c r="AW20" s="157"/>
      <c r="AX20" s="150">
        <v>0</v>
      </c>
      <c r="AY20" s="150">
        <v>0</v>
      </c>
      <c r="AZ20" s="150"/>
      <c r="BA20" s="150">
        <f t="shared" si="34"/>
        <v>0</v>
      </c>
      <c r="BB20" s="210"/>
      <c r="BC20" s="210"/>
      <c r="BD20" s="210"/>
      <c r="BE20" s="210"/>
      <c r="BF20" s="210"/>
      <c r="BG20" s="210"/>
      <c r="BH20" s="217"/>
      <c r="BI20" s="210"/>
      <c r="BJ20" s="210"/>
      <c r="BK20" s="210"/>
      <c r="BL20" s="210"/>
      <c r="BM20" s="208"/>
      <c r="BN20" s="160"/>
      <c r="BO20" s="161">
        <f t="shared" si="18"/>
        <v>0</v>
      </c>
      <c r="BP20" s="161"/>
    </row>
    <row r="21" spans="1:68" ht="25.5">
      <c r="A21" s="202" t="s">
        <v>497</v>
      </c>
      <c r="B21" s="195" t="s">
        <v>4745</v>
      </c>
      <c r="C21" s="196" t="s">
        <v>4746</v>
      </c>
      <c r="D21" s="146" t="s">
        <v>4692</v>
      </c>
      <c r="E21" s="196" t="s">
        <v>4746</v>
      </c>
      <c r="F21" s="150">
        <v>0</v>
      </c>
      <c r="G21" s="209">
        <v>0</v>
      </c>
      <c r="H21" s="209"/>
      <c r="I21" s="209">
        <v>0</v>
      </c>
      <c r="J21" s="150">
        <v>0</v>
      </c>
      <c r="K21" s="150">
        <v>0</v>
      </c>
      <c r="L21" s="150">
        <f t="shared" si="35"/>
        <v>0</v>
      </c>
      <c r="M21" s="150">
        <v>0</v>
      </c>
      <c r="N21" s="150"/>
      <c r="O21" s="150">
        <v>0</v>
      </c>
      <c r="P21" s="150">
        <v>0</v>
      </c>
      <c r="Q21" s="150"/>
      <c r="R21" s="150">
        <f t="shared" si="41"/>
        <v>0</v>
      </c>
      <c r="S21" s="150">
        <f t="shared" si="9"/>
        <v>0</v>
      </c>
      <c r="T21" s="150"/>
      <c r="U21" s="150">
        <v>0</v>
      </c>
      <c r="V21" s="199"/>
      <c r="W21" s="150">
        <f t="shared" si="42"/>
        <v>0</v>
      </c>
      <c r="X21" s="150">
        <v>0</v>
      </c>
      <c r="Y21" s="150"/>
      <c r="Z21" s="150">
        <v>0</v>
      </c>
      <c r="AA21" s="150">
        <f t="shared" si="11"/>
        <v>0</v>
      </c>
      <c r="AB21" s="150">
        <v>0</v>
      </c>
      <c r="AC21" s="199"/>
      <c r="AD21" s="150">
        <f t="shared" si="43"/>
        <v>0</v>
      </c>
      <c r="AE21" s="150">
        <v>0</v>
      </c>
      <c r="AF21" s="169" t="s">
        <v>4680</v>
      </c>
      <c r="AG21" s="201">
        <v>0</v>
      </c>
      <c r="AH21" s="199"/>
      <c r="AI21" s="150">
        <v>0</v>
      </c>
      <c r="AJ21" s="169">
        <f t="shared" si="13"/>
        <v>0</v>
      </c>
      <c r="AK21" s="201">
        <v>0</v>
      </c>
      <c r="AL21" s="199"/>
      <c r="AM21" s="150">
        <f t="shared" si="44"/>
        <v>0</v>
      </c>
      <c r="AN21" s="153">
        <f t="shared" si="15"/>
        <v>0</v>
      </c>
      <c r="AO21" s="154">
        <f t="shared" si="16"/>
        <v>0</v>
      </c>
      <c r="AP21" s="150">
        <v>0</v>
      </c>
      <c r="AQ21" s="201">
        <v>0</v>
      </c>
      <c r="AR21" s="199"/>
      <c r="AS21" s="150">
        <f t="shared" si="45"/>
        <v>0</v>
      </c>
      <c r="AT21" s="155"/>
      <c r="AU21" s="156">
        <f t="shared" si="5"/>
        <v>0</v>
      </c>
      <c r="AV21" s="156">
        <f t="shared" si="6"/>
        <v>0</v>
      </c>
      <c r="AW21" s="157"/>
      <c r="AX21" s="150">
        <v>0</v>
      </c>
      <c r="AY21" s="150">
        <v>0</v>
      </c>
      <c r="AZ21" s="150"/>
      <c r="BA21" s="150">
        <f t="shared" si="34"/>
        <v>0</v>
      </c>
      <c r="BB21" s="202">
        <v>4</v>
      </c>
      <c r="BC21" s="202" t="s">
        <v>632</v>
      </c>
      <c r="BD21" s="202" t="s">
        <v>632</v>
      </c>
      <c r="BE21" s="202" t="s">
        <v>647</v>
      </c>
      <c r="BF21" s="202" t="s">
        <v>779</v>
      </c>
      <c r="BG21" s="207" t="s">
        <v>4746</v>
      </c>
      <c r="BH21" s="216">
        <f>AS21</f>
        <v>0</v>
      </c>
      <c r="BI21" s="202"/>
      <c r="BJ21" s="202" t="s">
        <v>4727</v>
      </c>
      <c r="BK21" s="202" t="s">
        <v>497</v>
      </c>
      <c r="BL21" s="203" t="s">
        <v>4732</v>
      </c>
      <c r="BM21" s="208">
        <f>BH21</f>
        <v>0</v>
      </c>
      <c r="BN21" s="160"/>
      <c r="BO21" s="161">
        <f t="shared" si="18"/>
        <v>0</v>
      </c>
      <c r="BP21" s="161"/>
    </row>
    <row r="22" spans="1:68" ht="25.5">
      <c r="A22" s="202" t="s">
        <v>497</v>
      </c>
      <c r="B22" s="195" t="s">
        <v>4747</v>
      </c>
      <c r="C22" s="196" t="s">
        <v>4748</v>
      </c>
      <c r="D22" s="146" t="s">
        <v>4692</v>
      </c>
      <c r="E22" s="196" t="s">
        <v>4748</v>
      </c>
      <c r="F22" s="150">
        <v>0</v>
      </c>
      <c r="G22" s="209">
        <v>0</v>
      </c>
      <c r="H22" s="209"/>
      <c r="I22" s="209">
        <v>0</v>
      </c>
      <c r="J22" s="150">
        <v>0</v>
      </c>
      <c r="K22" s="150">
        <v>0</v>
      </c>
      <c r="L22" s="150">
        <f t="shared" si="35"/>
        <v>0</v>
      </c>
      <c r="M22" s="150">
        <v>0</v>
      </c>
      <c r="N22" s="150"/>
      <c r="O22" s="150">
        <v>0</v>
      </c>
      <c r="P22" s="150">
        <v>0</v>
      </c>
      <c r="Q22" s="150"/>
      <c r="R22" s="150">
        <f t="shared" si="41"/>
        <v>0</v>
      </c>
      <c r="S22" s="150">
        <f t="shared" si="9"/>
        <v>0</v>
      </c>
      <c r="T22" s="150"/>
      <c r="U22" s="150">
        <v>0</v>
      </c>
      <c r="V22" s="199"/>
      <c r="W22" s="150">
        <f t="shared" si="42"/>
        <v>0</v>
      </c>
      <c r="X22" s="150">
        <v>0</v>
      </c>
      <c r="Y22" s="150"/>
      <c r="Z22" s="150">
        <v>0</v>
      </c>
      <c r="AA22" s="150">
        <f t="shared" si="11"/>
        <v>0</v>
      </c>
      <c r="AB22" s="150">
        <v>0</v>
      </c>
      <c r="AC22" s="199"/>
      <c r="AD22" s="150">
        <f t="shared" si="43"/>
        <v>0</v>
      </c>
      <c r="AE22" s="150">
        <v>0</v>
      </c>
      <c r="AF22" s="169" t="s">
        <v>4680</v>
      </c>
      <c r="AG22" s="201">
        <v>0</v>
      </c>
      <c r="AH22" s="199"/>
      <c r="AI22" s="150">
        <v>0</v>
      </c>
      <c r="AJ22" s="169">
        <f t="shared" si="13"/>
        <v>0</v>
      </c>
      <c r="AK22" s="201">
        <v>0</v>
      </c>
      <c r="AL22" s="199"/>
      <c r="AM22" s="150">
        <f t="shared" si="44"/>
        <v>0</v>
      </c>
      <c r="AN22" s="153">
        <f t="shared" si="15"/>
        <v>0</v>
      </c>
      <c r="AO22" s="154">
        <f t="shared" si="16"/>
        <v>0</v>
      </c>
      <c r="AP22" s="150">
        <v>0</v>
      </c>
      <c r="AQ22" s="201">
        <v>0</v>
      </c>
      <c r="AR22" s="199"/>
      <c r="AS22" s="150">
        <f t="shared" si="45"/>
        <v>0</v>
      </c>
      <c r="AT22" s="155"/>
      <c r="AU22" s="156">
        <f t="shared" si="5"/>
        <v>0</v>
      </c>
      <c r="AV22" s="156">
        <f t="shared" si="6"/>
        <v>0</v>
      </c>
      <c r="AW22" s="157"/>
      <c r="AX22" s="150">
        <v>0</v>
      </c>
      <c r="AY22" s="150">
        <v>0</v>
      </c>
      <c r="AZ22" s="150"/>
      <c r="BA22" s="150">
        <f t="shared" si="34"/>
        <v>0</v>
      </c>
      <c r="BB22" s="202">
        <v>4</v>
      </c>
      <c r="BC22" s="202" t="s">
        <v>632</v>
      </c>
      <c r="BD22" s="202" t="s">
        <v>632</v>
      </c>
      <c r="BE22" s="202" t="s">
        <v>647</v>
      </c>
      <c r="BF22" s="202" t="s">
        <v>1225</v>
      </c>
      <c r="BG22" s="207" t="s">
        <v>4748</v>
      </c>
      <c r="BH22" s="216">
        <f>AS22</f>
        <v>0</v>
      </c>
      <c r="BI22" s="202"/>
      <c r="BJ22" s="202" t="s">
        <v>4727</v>
      </c>
      <c r="BK22" s="202" t="s">
        <v>497</v>
      </c>
      <c r="BL22" s="203" t="s">
        <v>4732</v>
      </c>
      <c r="BM22" s="208">
        <f>BH22</f>
        <v>0</v>
      </c>
      <c r="BN22" s="160"/>
      <c r="BO22" s="161">
        <f t="shared" si="18"/>
        <v>0</v>
      </c>
      <c r="BP22" s="161"/>
    </row>
    <row r="23" spans="1:68" ht="25.5">
      <c r="A23" s="202" t="s">
        <v>497</v>
      </c>
      <c r="B23" s="195" t="s">
        <v>4749</v>
      </c>
      <c r="C23" s="196" t="s">
        <v>4750</v>
      </c>
      <c r="D23" s="146" t="s">
        <v>4692</v>
      </c>
      <c r="E23" s="196" t="s">
        <v>4750</v>
      </c>
      <c r="F23" s="150">
        <v>0</v>
      </c>
      <c r="G23" s="209">
        <v>0</v>
      </c>
      <c r="H23" s="209"/>
      <c r="I23" s="209">
        <v>0</v>
      </c>
      <c r="J23" s="150">
        <v>0</v>
      </c>
      <c r="K23" s="150">
        <v>0</v>
      </c>
      <c r="L23" s="150">
        <f t="shared" si="35"/>
        <v>0</v>
      </c>
      <c r="M23" s="150">
        <v>0</v>
      </c>
      <c r="N23" s="150"/>
      <c r="O23" s="150">
        <v>0</v>
      </c>
      <c r="P23" s="150">
        <v>0</v>
      </c>
      <c r="Q23" s="150"/>
      <c r="R23" s="150">
        <f t="shared" si="41"/>
        <v>0</v>
      </c>
      <c r="S23" s="150">
        <f t="shared" si="9"/>
        <v>0</v>
      </c>
      <c r="T23" s="150"/>
      <c r="U23" s="150">
        <v>0</v>
      </c>
      <c r="V23" s="199"/>
      <c r="W23" s="150">
        <f t="shared" si="42"/>
        <v>0</v>
      </c>
      <c r="X23" s="150">
        <v>0</v>
      </c>
      <c r="Y23" s="150"/>
      <c r="Z23" s="150">
        <v>0</v>
      </c>
      <c r="AA23" s="150">
        <f t="shared" si="11"/>
        <v>40861.53</v>
      </c>
      <c r="AB23" s="150">
        <v>40861.53</v>
      </c>
      <c r="AC23" s="199"/>
      <c r="AD23" s="150">
        <f t="shared" si="43"/>
        <v>40861.53</v>
      </c>
      <c r="AE23" s="150">
        <v>40861.53</v>
      </c>
      <c r="AF23" s="169" t="s">
        <v>4680</v>
      </c>
      <c r="AG23" s="201">
        <v>40861.53</v>
      </c>
      <c r="AH23" s="199"/>
      <c r="AI23" s="150">
        <v>40861.53</v>
      </c>
      <c r="AJ23" s="169">
        <f t="shared" si="13"/>
        <v>0</v>
      </c>
      <c r="AK23" s="201">
        <v>40861.53</v>
      </c>
      <c r="AL23" s="199"/>
      <c r="AM23" s="150">
        <f t="shared" si="44"/>
        <v>40861.53</v>
      </c>
      <c r="AN23" s="153">
        <f t="shared" si="15"/>
        <v>-40861.53</v>
      </c>
      <c r="AO23" s="154">
        <f t="shared" si="16"/>
        <v>-40861.53</v>
      </c>
      <c r="AP23" s="150">
        <v>40861.53</v>
      </c>
      <c r="AQ23" s="201">
        <v>0</v>
      </c>
      <c r="AR23" s="199"/>
      <c r="AS23" s="150">
        <f t="shared" si="45"/>
        <v>0</v>
      </c>
      <c r="AT23" s="155"/>
      <c r="AU23" s="156">
        <f t="shared" si="5"/>
        <v>0</v>
      </c>
      <c r="AV23" s="156">
        <f t="shared" si="6"/>
        <v>40861.53</v>
      </c>
      <c r="AW23" s="157"/>
      <c r="AX23" s="150">
        <v>0</v>
      </c>
      <c r="AY23" s="150">
        <v>0</v>
      </c>
      <c r="AZ23" s="150"/>
      <c r="BA23" s="150">
        <f t="shared" si="34"/>
        <v>0</v>
      </c>
      <c r="BB23" s="202">
        <v>4</v>
      </c>
      <c r="BC23" s="202" t="s">
        <v>632</v>
      </c>
      <c r="BD23" s="202" t="s">
        <v>632</v>
      </c>
      <c r="BE23" s="202" t="s">
        <v>647</v>
      </c>
      <c r="BF23" s="202" t="s">
        <v>1229</v>
      </c>
      <c r="BG23" s="207" t="s">
        <v>4750</v>
      </c>
      <c r="BH23" s="216">
        <f>AS23</f>
        <v>0</v>
      </c>
      <c r="BI23" s="202"/>
      <c r="BJ23" s="202" t="s">
        <v>4727</v>
      </c>
      <c r="BK23" s="202" t="s">
        <v>497</v>
      </c>
      <c r="BL23" s="203" t="s">
        <v>4732</v>
      </c>
      <c r="BM23" s="208">
        <f>BH23</f>
        <v>0</v>
      </c>
      <c r="BN23" s="160"/>
      <c r="BO23" s="161">
        <f t="shared" si="18"/>
        <v>0</v>
      </c>
      <c r="BP23" s="161"/>
    </row>
    <row r="24" spans="1:68" ht="38.25">
      <c r="A24" s="202" t="s">
        <v>497</v>
      </c>
      <c r="B24" s="195" t="s">
        <v>4751</v>
      </c>
      <c r="C24" s="196" t="s">
        <v>4752</v>
      </c>
      <c r="D24" s="146" t="s">
        <v>4692</v>
      </c>
      <c r="E24" s="196" t="s">
        <v>4753</v>
      </c>
      <c r="F24" s="150">
        <v>110961.54</v>
      </c>
      <c r="G24" s="218">
        <v>0</v>
      </c>
      <c r="H24" s="218">
        <v>49036.319999999992</v>
      </c>
      <c r="I24" s="218">
        <v>49036.319999999992</v>
      </c>
      <c r="J24" s="150">
        <v>0</v>
      </c>
      <c r="K24" s="150">
        <v>18457</v>
      </c>
      <c r="L24" s="150">
        <f t="shared" si="35"/>
        <v>18457</v>
      </c>
      <c r="M24" s="150">
        <v>0</v>
      </c>
      <c r="N24" s="150">
        <v>55480.77</v>
      </c>
      <c r="O24" s="150">
        <v>55480.77</v>
      </c>
      <c r="P24" s="150">
        <v>0</v>
      </c>
      <c r="Q24" s="150">
        <v>83221.154999999999</v>
      </c>
      <c r="R24" s="150">
        <f t="shared" si="41"/>
        <v>83221.154999999999</v>
      </c>
      <c r="S24" s="150">
        <f t="shared" si="9"/>
        <v>110961.54000000001</v>
      </c>
      <c r="T24" s="150"/>
      <c r="U24" s="150">
        <v>0</v>
      </c>
      <c r="V24" s="199">
        <v>110961.54</v>
      </c>
      <c r="W24" s="150">
        <f t="shared" si="42"/>
        <v>110961.54</v>
      </c>
      <c r="X24" s="150">
        <v>0</v>
      </c>
      <c r="Y24" s="150">
        <v>110961.54</v>
      </c>
      <c r="Z24" s="150">
        <v>110961.54</v>
      </c>
      <c r="AA24" s="150">
        <f t="shared" si="11"/>
        <v>0</v>
      </c>
      <c r="AB24" s="150">
        <v>0</v>
      </c>
      <c r="AC24" s="199">
        <v>110961.54</v>
      </c>
      <c r="AD24" s="150">
        <f t="shared" si="43"/>
        <v>110961.54</v>
      </c>
      <c r="AE24" s="150">
        <v>110961.54</v>
      </c>
      <c r="AF24" s="169" t="s">
        <v>4680</v>
      </c>
      <c r="AG24" s="201">
        <v>0</v>
      </c>
      <c r="AH24" s="199">
        <v>110961.54</v>
      </c>
      <c r="AI24" s="150">
        <v>110961.54</v>
      </c>
      <c r="AJ24" s="169">
        <f t="shared" si="13"/>
        <v>0</v>
      </c>
      <c r="AK24" s="201">
        <v>0</v>
      </c>
      <c r="AL24" s="199">
        <v>110961.54</v>
      </c>
      <c r="AM24" s="150">
        <f t="shared" si="44"/>
        <v>110961.54</v>
      </c>
      <c r="AN24" s="153">
        <f t="shared" si="15"/>
        <v>12311.680000000008</v>
      </c>
      <c r="AO24" s="154">
        <f t="shared" si="16"/>
        <v>12311.680000000008</v>
      </c>
      <c r="AP24" s="150">
        <v>110961.54</v>
      </c>
      <c r="AQ24" s="201">
        <v>123273.22</v>
      </c>
      <c r="AR24" s="199"/>
      <c r="AS24" s="150">
        <f t="shared" si="45"/>
        <v>123273.22</v>
      </c>
      <c r="AT24" s="155" t="s">
        <v>4712</v>
      </c>
      <c r="AU24" s="156">
        <f t="shared" si="5"/>
        <v>0</v>
      </c>
      <c r="AV24" s="156">
        <f t="shared" si="6"/>
        <v>0</v>
      </c>
      <c r="AW24" s="157"/>
      <c r="AX24" s="150">
        <v>110961.54</v>
      </c>
      <c r="AY24" s="150">
        <v>0</v>
      </c>
      <c r="AZ24" s="150">
        <v>110961.54</v>
      </c>
      <c r="BA24" s="150">
        <f t="shared" si="34"/>
        <v>110961.54</v>
      </c>
      <c r="BB24" s="202">
        <v>4</v>
      </c>
      <c r="BC24" s="202" t="s">
        <v>632</v>
      </c>
      <c r="BD24" s="202" t="s">
        <v>632</v>
      </c>
      <c r="BE24" s="202" t="s">
        <v>647</v>
      </c>
      <c r="BF24" s="194" t="s">
        <v>1124</v>
      </c>
      <c r="BG24" s="207" t="s">
        <v>4752</v>
      </c>
      <c r="BH24" s="216">
        <f>AS24+AS25+AS26+AS27</f>
        <v>123273.22</v>
      </c>
      <c r="BI24" s="202"/>
      <c r="BJ24" s="202" t="s">
        <v>4727</v>
      </c>
      <c r="BK24" s="202" t="s">
        <v>497</v>
      </c>
      <c r="BL24" s="203" t="s">
        <v>4732</v>
      </c>
      <c r="BM24" s="208">
        <f>BH24</f>
        <v>123273.22</v>
      </c>
      <c r="BN24" s="160"/>
      <c r="BO24" s="161">
        <f t="shared" si="18"/>
        <v>0</v>
      </c>
      <c r="BP24" s="161"/>
    </row>
    <row r="25" spans="1:68" ht="25.5">
      <c r="A25" s="202"/>
      <c r="B25" s="195" t="s">
        <v>4754</v>
      </c>
      <c r="C25" s="196" t="s">
        <v>4755</v>
      </c>
      <c r="D25" s="146" t="s">
        <v>4692</v>
      </c>
      <c r="E25" s="196" t="s">
        <v>4756</v>
      </c>
      <c r="F25" s="150">
        <v>0</v>
      </c>
      <c r="G25" s="219">
        <v>0</v>
      </c>
      <c r="H25" s="219"/>
      <c r="I25" s="219">
        <v>0</v>
      </c>
      <c r="J25" s="150">
        <v>0</v>
      </c>
      <c r="K25" s="150">
        <v>0</v>
      </c>
      <c r="L25" s="150">
        <f t="shared" si="35"/>
        <v>0</v>
      </c>
      <c r="M25" s="150">
        <v>0</v>
      </c>
      <c r="N25" s="150"/>
      <c r="O25" s="150">
        <v>0</v>
      </c>
      <c r="P25" s="150">
        <v>0</v>
      </c>
      <c r="Q25" s="150"/>
      <c r="R25" s="150">
        <f t="shared" si="41"/>
        <v>0</v>
      </c>
      <c r="S25" s="150">
        <f t="shared" si="9"/>
        <v>0</v>
      </c>
      <c r="T25" s="150"/>
      <c r="U25" s="150">
        <v>0</v>
      </c>
      <c r="V25" s="199"/>
      <c r="W25" s="150">
        <f t="shared" si="42"/>
        <v>0</v>
      </c>
      <c r="X25" s="150">
        <v>0</v>
      </c>
      <c r="Y25" s="150"/>
      <c r="Z25" s="150">
        <v>0</v>
      </c>
      <c r="AA25" s="150">
        <f t="shared" si="11"/>
        <v>0</v>
      </c>
      <c r="AB25" s="150">
        <v>0</v>
      </c>
      <c r="AC25" s="199"/>
      <c r="AD25" s="150">
        <f t="shared" si="43"/>
        <v>0</v>
      </c>
      <c r="AE25" s="150">
        <v>0</v>
      </c>
      <c r="AF25" s="169" t="s">
        <v>4680</v>
      </c>
      <c r="AG25" s="201">
        <v>0</v>
      </c>
      <c r="AH25" s="199"/>
      <c r="AI25" s="150">
        <v>0</v>
      </c>
      <c r="AJ25" s="169">
        <f t="shared" si="13"/>
        <v>0</v>
      </c>
      <c r="AK25" s="201">
        <v>0</v>
      </c>
      <c r="AL25" s="199"/>
      <c r="AM25" s="150">
        <f t="shared" si="44"/>
        <v>0</v>
      </c>
      <c r="AN25" s="153">
        <f t="shared" si="15"/>
        <v>0</v>
      </c>
      <c r="AO25" s="154">
        <f t="shared" si="16"/>
        <v>0</v>
      </c>
      <c r="AP25" s="150">
        <v>0</v>
      </c>
      <c r="AQ25" s="201">
        <v>0</v>
      </c>
      <c r="AR25" s="199"/>
      <c r="AS25" s="150">
        <f t="shared" si="45"/>
        <v>0</v>
      </c>
      <c r="AT25" s="155"/>
      <c r="AU25" s="156">
        <f t="shared" si="5"/>
        <v>0</v>
      </c>
      <c r="AV25" s="156">
        <f t="shared" si="6"/>
        <v>0</v>
      </c>
      <c r="AW25" s="157"/>
      <c r="AX25" s="150">
        <v>0</v>
      </c>
      <c r="AY25" s="150">
        <v>0</v>
      </c>
      <c r="AZ25" s="150"/>
      <c r="BA25" s="150">
        <f t="shared" si="34"/>
        <v>0</v>
      </c>
      <c r="BB25" s="202"/>
      <c r="BC25" s="202"/>
      <c r="BD25" s="202"/>
      <c r="BE25" s="202"/>
      <c r="BF25" s="194"/>
      <c r="BG25" s="207"/>
      <c r="BH25" s="216"/>
      <c r="BI25" s="202"/>
      <c r="BJ25" s="202"/>
      <c r="BK25" s="202"/>
      <c r="BL25" s="203"/>
      <c r="BM25" s="208"/>
      <c r="BN25" s="160"/>
      <c r="BO25" s="161">
        <f t="shared" si="18"/>
        <v>0</v>
      </c>
      <c r="BP25" s="161"/>
    </row>
    <row r="26" spans="1:68" ht="25.5">
      <c r="A26" s="194" t="s">
        <v>4696</v>
      </c>
      <c r="B26" s="195" t="s">
        <v>4757</v>
      </c>
      <c r="C26" s="196" t="s">
        <v>4758</v>
      </c>
      <c r="D26" s="146" t="s">
        <v>4692</v>
      </c>
      <c r="E26" s="196" t="s">
        <v>4759</v>
      </c>
      <c r="F26" s="150">
        <v>0</v>
      </c>
      <c r="G26" s="220">
        <v>0</v>
      </c>
      <c r="H26" s="220"/>
      <c r="I26" s="220">
        <v>0</v>
      </c>
      <c r="J26" s="150">
        <v>0</v>
      </c>
      <c r="K26" s="150">
        <v>0</v>
      </c>
      <c r="L26" s="150">
        <f t="shared" si="35"/>
        <v>0</v>
      </c>
      <c r="M26" s="150">
        <v>0</v>
      </c>
      <c r="N26" s="150"/>
      <c r="O26" s="150">
        <v>0</v>
      </c>
      <c r="P26" s="150">
        <v>0</v>
      </c>
      <c r="Q26" s="150"/>
      <c r="R26" s="150">
        <f t="shared" si="41"/>
        <v>0</v>
      </c>
      <c r="S26" s="150">
        <f t="shared" si="9"/>
        <v>0</v>
      </c>
      <c r="T26" s="150"/>
      <c r="U26" s="150">
        <v>0</v>
      </c>
      <c r="V26" s="199"/>
      <c r="W26" s="150">
        <f t="shared" si="42"/>
        <v>0</v>
      </c>
      <c r="X26" s="150">
        <v>0</v>
      </c>
      <c r="Y26" s="150"/>
      <c r="Z26" s="150">
        <v>0</v>
      </c>
      <c r="AA26" s="150">
        <f t="shared" si="11"/>
        <v>0</v>
      </c>
      <c r="AB26" s="150">
        <v>0</v>
      </c>
      <c r="AC26" s="199"/>
      <c r="AD26" s="150">
        <f t="shared" si="43"/>
        <v>0</v>
      </c>
      <c r="AE26" s="150">
        <v>0</v>
      </c>
      <c r="AF26" s="169" t="s">
        <v>4680</v>
      </c>
      <c r="AG26" s="201">
        <v>0</v>
      </c>
      <c r="AH26" s="199"/>
      <c r="AI26" s="150">
        <v>0</v>
      </c>
      <c r="AJ26" s="169">
        <f t="shared" si="13"/>
        <v>0</v>
      </c>
      <c r="AK26" s="201">
        <v>0</v>
      </c>
      <c r="AL26" s="199"/>
      <c r="AM26" s="150">
        <f t="shared" si="44"/>
        <v>0</v>
      </c>
      <c r="AN26" s="153">
        <f t="shared" si="15"/>
        <v>0</v>
      </c>
      <c r="AO26" s="154">
        <f t="shared" si="16"/>
        <v>0</v>
      </c>
      <c r="AP26" s="150">
        <v>0</v>
      </c>
      <c r="AQ26" s="201">
        <v>0</v>
      </c>
      <c r="AR26" s="199"/>
      <c r="AS26" s="150">
        <f t="shared" si="45"/>
        <v>0</v>
      </c>
      <c r="AT26" s="155"/>
      <c r="AU26" s="156">
        <f t="shared" si="5"/>
        <v>0</v>
      </c>
      <c r="AV26" s="156">
        <f t="shared" si="6"/>
        <v>0</v>
      </c>
      <c r="AW26" s="157"/>
      <c r="AX26" s="150">
        <v>0</v>
      </c>
      <c r="AY26" s="150">
        <v>0</v>
      </c>
      <c r="AZ26" s="150"/>
      <c r="BA26" s="150">
        <f t="shared" si="34"/>
        <v>0</v>
      </c>
      <c r="BB26" s="202"/>
      <c r="BC26" s="202"/>
      <c r="BD26" s="202"/>
      <c r="BE26" s="202"/>
      <c r="BF26" s="202"/>
      <c r="BG26" s="203"/>
      <c r="BH26" s="216"/>
      <c r="BI26" s="202"/>
      <c r="BJ26" s="206" t="s">
        <v>4701</v>
      </c>
      <c r="BK26" s="194" t="s">
        <v>4696</v>
      </c>
      <c r="BL26" s="207" t="s">
        <v>4702</v>
      </c>
      <c r="BM26" s="208"/>
      <c r="BN26" s="160"/>
      <c r="BO26" s="161">
        <f t="shared" si="18"/>
        <v>0</v>
      </c>
      <c r="BP26" s="161"/>
    </row>
    <row r="27" spans="1:68" ht="25.5">
      <c r="A27" s="194" t="s">
        <v>497</v>
      </c>
      <c r="B27" s="195" t="s">
        <v>4760</v>
      </c>
      <c r="C27" s="196" t="s">
        <v>4761</v>
      </c>
      <c r="D27" s="146" t="s">
        <v>4692</v>
      </c>
      <c r="E27" s="196" t="s">
        <v>4761</v>
      </c>
      <c r="F27" s="150">
        <v>0</v>
      </c>
      <c r="G27" s="209">
        <v>0</v>
      </c>
      <c r="H27" s="209"/>
      <c r="I27" s="209">
        <v>0</v>
      </c>
      <c r="J27" s="150">
        <v>0</v>
      </c>
      <c r="K27" s="150">
        <v>256785</v>
      </c>
      <c r="L27" s="150">
        <f t="shared" si="35"/>
        <v>256785</v>
      </c>
      <c r="M27" s="150">
        <v>0</v>
      </c>
      <c r="N27" s="150">
        <v>622787.80000000005</v>
      </c>
      <c r="O27" s="150">
        <v>622787.80000000005</v>
      </c>
      <c r="P27" s="150">
        <v>0</v>
      </c>
      <c r="Q27" s="150">
        <v>934181.70000000007</v>
      </c>
      <c r="R27" s="150">
        <f t="shared" si="41"/>
        <v>934181.70000000007</v>
      </c>
      <c r="S27" s="150">
        <f t="shared" si="9"/>
        <v>1245575.6000000001</v>
      </c>
      <c r="T27" s="150"/>
      <c r="U27" s="150">
        <v>0</v>
      </c>
      <c r="V27" s="199">
        <v>1245575.6000000001</v>
      </c>
      <c r="W27" s="150">
        <f t="shared" si="42"/>
        <v>1245575.6000000001</v>
      </c>
      <c r="X27" s="150">
        <v>0</v>
      </c>
      <c r="Y27" s="150">
        <v>1245575.6000000001</v>
      </c>
      <c r="Z27" s="150">
        <v>1245575.6000000001</v>
      </c>
      <c r="AA27" s="150">
        <f t="shared" si="11"/>
        <v>-1245575.6000000001</v>
      </c>
      <c r="AB27" s="150">
        <v>0</v>
      </c>
      <c r="AC27" s="199"/>
      <c r="AD27" s="150">
        <f t="shared" si="43"/>
        <v>0</v>
      </c>
      <c r="AE27" s="150">
        <v>0</v>
      </c>
      <c r="AF27" s="169" t="s">
        <v>4680</v>
      </c>
      <c r="AG27" s="201">
        <v>0</v>
      </c>
      <c r="AH27" s="199"/>
      <c r="AI27" s="150">
        <v>0</v>
      </c>
      <c r="AJ27" s="169">
        <f t="shared" si="13"/>
        <v>0</v>
      </c>
      <c r="AK27" s="201">
        <v>0</v>
      </c>
      <c r="AL27" s="199"/>
      <c r="AM27" s="150">
        <f t="shared" si="44"/>
        <v>0</v>
      </c>
      <c r="AN27" s="153">
        <f t="shared" si="15"/>
        <v>0</v>
      </c>
      <c r="AO27" s="154">
        <f t="shared" si="16"/>
        <v>0</v>
      </c>
      <c r="AP27" s="150">
        <v>0</v>
      </c>
      <c r="AQ27" s="201">
        <v>0</v>
      </c>
      <c r="AR27" s="199"/>
      <c r="AS27" s="150">
        <f t="shared" si="45"/>
        <v>0</v>
      </c>
      <c r="AT27" s="155" t="s">
        <v>4762</v>
      </c>
      <c r="AU27" s="156">
        <f t="shared" si="5"/>
        <v>0</v>
      </c>
      <c r="AV27" s="156">
        <f t="shared" si="6"/>
        <v>-1245575.6000000001</v>
      </c>
      <c r="AW27" s="157" t="s">
        <v>4762</v>
      </c>
      <c r="AX27" s="150">
        <v>1245575.6000000001</v>
      </c>
      <c r="AY27" s="150">
        <v>0</v>
      </c>
      <c r="AZ27" s="150">
        <v>1245575.6000000001</v>
      </c>
      <c r="BA27" s="150">
        <f t="shared" si="34"/>
        <v>1245575.6000000001</v>
      </c>
      <c r="BB27" s="202"/>
      <c r="BC27" s="202"/>
      <c r="BD27" s="202"/>
      <c r="BE27" s="202"/>
      <c r="BF27" s="202"/>
      <c r="BG27" s="203"/>
      <c r="BH27" s="216"/>
      <c r="BI27" s="202"/>
      <c r="BJ27" s="202"/>
      <c r="BK27" s="202"/>
      <c r="BL27" s="203"/>
      <c r="BM27" s="208"/>
      <c r="BN27" s="160"/>
      <c r="BO27" s="161">
        <f t="shared" si="18"/>
        <v>0</v>
      </c>
      <c r="BP27" s="161"/>
    </row>
    <row r="28" spans="1:68" ht="25.5">
      <c r="A28" s="173" t="s">
        <v>498</v>
      </c>
      <c r="B28" s="174"/>
      <c r="C28" s="175" t="s">
        <v>4763</v>
      </c>
      <c r="D28" s="146" t="s">
        <v>4692</v>
      </c>
      <c r="E28" s="175" t="s">
        <v>4763</v>
      </c>
      <c r="F28" s="176">
        <v>4514840.72</v>
      </c>
      <c r="G28" s="177">
        <v>157176</v>
      </c>
      <c r="H28" s="177">
        <v>0</v>
      </c>
      <c r="I28" s="177">
        <v>157176</v>
      </c>
      <c r="J28" s="176">
        <f>J29+J36+J39</f>
        <v>0</v>
      </c>
      <c r="K28" s="176">
        <f>K29+K36+K39</f>
        <v>0</v>
      </c>
      <c r="L28" s="176">
        <f t="shared" si="35"/>
        <v>0</v>
      </c>
      <c r="M28" s="178">
        <v>0</v>
      </c>
      <c r="N28" s="178">
        <v>0</v>
      </c>
      <c r="O28" s="178">
        <v>0</v>
      </c>
      <c r="P28" s="221">
        <f t="shared" ref="P28:R28" si="47">P29+P36+P39</f>
        <v>0</v>
      </c>
      <c r="Q28" s="221">
        <f t="shared" si="47"/>
        <v>0</v>
      </c>
      <c r="R28" s="221">
        <f t="shared" si="47"/>
        <v>0</v>
      </c>
      <c r="S28" s="150">
        <f t="shared" si="9"/>
        <v>0</v>
      </c>
      <c r="T28" s="213"/>
      <c r="U28" s="221">
        <f t="shared" ref="U28:W28" si="48">U29+U36+U39</f>
        <v>0</v>
      </c>
      <c r="V28" s="222">
        <f t="shared" si="48"/>
        <v>46636.29</v>
      </c>
      <c r="W28" s="221">
        <f t="shared" si="48"/>
        <v>46636.29</v>
      </c>
      <c r="X28" s="221">
        <v>0</v>
      </c>
      <c r="Y28" s="221">
        <v>46636.29</v>
      </c>
      <c r="Z28" s="221">
        <v>46636.29</v>
      </c>
      <c r="AA28" s="221">
        <f t="shared" si="11"/>
        <v>3712694.68</v>
      </c>
      <c r="AB28" s="221">
        <v>3712694.68</v>
      </c>
      <c r="AC28" s="222">
        <v>46636.29</v>
      </c>
      <c r="AD28" s="221">
        <f t="shared" ref="AD28" si="49">AD29+AD36+AD39</f>
        <v>3759330.97</v>
      </c>
      <c r="AE28" s="221">
        <v>4152530.97</v>
      </c>
      <c r="AF28" s="169" t="s">
        <v>4680</v>
      </c>
      <c r="AG28" s="223">
        <v>3712694.68</v>
      </c>
      <c r="AH28" s="222">
        <v>439836.29</v>
      </c>
      <c r="AI28" s="221">
        <v>4152530.97</v>
      </c>
      <c r="AJ28" s="169">
        <f t="shared" si="13"/>
        <v>0</v>
      </c>
      <c r="AK28" s="223">
        <v>3712694.68</v>
      </c>
      <c r="AL28" s="222">
        <v>439836.29</v>
      </c>
      <c r="AM28" s="221">
        <f t="shared" ref="AM28" si="50">AM29+AM36+AM39</f>
        <v>4152530.97</v>
      </c>
      <c r="AN28" s="153">
        <f t="shared" si="15"/>
        <v>-90200</v>
      </c>
      <c r="AO28" s="154">
        <f t="shared" si="16"/>
        <v>-90200</v>
      </c>
      <c r="AP28" s="221">
        <v>4152530.97</v>
      </c>
      <c r="AQ28" s="223">
        <v>4062330.97</v>
      </c>
      <c r="AR28" s="222">
        <f t="shared" ref="AR28:AS28" si="51">AR29+AR36+AR39</f>
        <v>0</v>
      </c>
      <c r="AS28" s="221">
        <f t="shared" si="51"/>
        <v>4062330.97</v>
      </c>
      <c r="AT28" s="155"/>
      <c r="AU28" s="156">
        <f t="shared" si="5"/>
        <v>393200</v>
      </c>
      <c r="AV28" s="156">
        <f t="shared" si="6"/>
        <v>3712694.68</v>
      </c>
      <c r="AW28" s="157"/>
      <c r="AX28" s="150">
        <v>46636.29</v>
      </c>
      <c r="AY28" s="221">
        <f t="shared" ref="AY28:BA28" si="52">AY29+AY36+AY39</f>
        <v>0</v>
      </c>
      <c r="AZ28" s="221">
        <f t="shared" si="52"/>
        <v>0</v>
      </c>
      <c r="BA28" s="221">
        <f t="shared" si="52"/>
        <v>0</v>
      </c>
      <c r="BB28" s="181">
        <v>4</v>
      </c>
      <c r="BC28" s="173" t="s">
        <v>632</v>
      </c>
      <c r="BD28" s="173" t="s">
        <v>647</v>
      </c>
      <c r="BE28" s="173" t="s">
        <v>630</v>
      </c>
      <c r="BF28" s="173" t="s">
        <v>630</v>
      </c>
      <c r="BG28" s="175" t="s">
        <v>4763</v>
      </c>
      <c r="BH28" s="224">
        <f>BH29+BH36+BH39</f>
        <v>4062330.97</v>
      </c>
      <c r="BI28" s="181"/>
      <c r="BJ28" s="173" t="s">
        <v>4764</v>
      </c>
      <c r="BK28" s="173" t="s">
        <v>498</v>
      </c>
      <c r="BL28" s="182" t="s">
        <v>4765</v>
      </c>
      <c r="BM28" s="224">
        <f>BM29+BM36+BM39</f>
        <v>4062330.97</v>
      </c>
      <c r="BN28" s="160"/>
      <c r="BO28" s="161">
        <f t="shared" si="18"/>
        <v>0</v>
      </c>
      <c r="BP28" s="161"/>
    </row>
    <row r="29" spans="1:68" ht="25.5">
      <c r="A29" s="191" t="s">
        <v>614</v>
      </c>
      <c r="B29" s="184"/>
      <c r="C29" s="185" t="s">
        <v>4766</v>
      </c>
      <c r="D29" s="146" t="s">
        <v>4692</v>
      </c>
      <c r="E29" s="185" t="s">
        <v>4766</v>
      </c>
      <c r="F29" s="186">
        <v>0</v>
      </c>
      <c r="G29" s="187">
        <v>0</v>
      </c>
      <c r="H29" s="187">
        <v>0</v>
      </c>
      <c r="I29" s="187">
        <v>0</v>
      </c>
      <c r="J29" s="186">
        <f>SUBTOTAL(9,J30:J35)</f>
        <v>0</v>
      </c>
      <c r="K29" s="186">
        <f>SUBTOTAL(9,K30:K35)</f>
        <v>0</v>
      </c>
      <c r="L29" s="186">
        <f t="shared" si="35"/>
        <v>0</v>
      </c>
      <c r="M29" s="188">
        <v>0</v>
      </c>
      <c r="N29" s="188">
        <v>0</v>
      </c>
      <c r="O29" s="188">
        <v>0</v>
      </c>
      <c r="P29" s="225">
        <f t="shared" ref="P29:R29" si="53">SUBTOTAL(9,P30:P35)</f>
        <v>0</v>
      </c>
      <c r="Q29" s="225">
        <f t="shared" si="53"/>
        <v>0</v>
      </c>
      <c r="R29" s="225">
        <f t="shared" si="53"/>
        <v>0</v>
      </c>
      <c r="S29" s="150">
        <f t="shared" si="9"/>
        <v>0</v>
      </c>
      <c r="T29" s="213"/>
      <c r="U29" s="225">
        <f t="shared" ref="U29:W29" si="54">SUBTOTAL(9,U30:U35)</f>
        <v>0</v>
      </c>
      <c r="V29" s="226">
        <f t="shared" si="54"/>
        <v>0</v>
      </c>
      <c r="W29" s="225">
        <f t="shared" si="54"/>
        <v>0</v>
      </c>
      <c r="X29" s="225">
        <v>0</v>
      </c>
      <c r="Y29" s="225">
        <v>0</v>
      </c>
      <c r="Z29" s="225">
        <v>0</v>
      </c>
      <c r="AA29" s="225">
        <f t="shared" si="11"/>
        <v>0</v>
      </c>
      <c r="AB29" s="225">
        <v>0</v>
      </c>
      <c r="AC29" s="226">
        <v>0</v>
      </c>
      <c r="AD29" s="225">
        <f t="shared" ref="AD29" si="55">SUBTOTAL(9,AD30:AD35)</f>
        <v>0</v>
      </c>
      <c r="AE29" s="225">
        <v>0</v>
      </c>
      <c r="AF29" s="169" t="s">
        <v>4680</v>
      </c>
      <c r="AG29" s="212">
        <v>0</v>
      </c>
      <c r="AH29" s="226">
        <v>0</v>
      </c>
      <c r="AI29" s="225">
        <v>0</v>
      </c>
      <c r="AJ29" s="169">
        <f t="shared" si="13"/>
        <v>0</v>
      </c>
      <c r="AK29" s="212">
        <v>0</v>
      </c>
      <c r="AL29" s="226">
        <v>0</v>
      </c>
      <c r="AM29" s="225">
        <f t="shared" ref="AM29" si="56">SUBTOTAL(9,AM30:AM35)</f>
        <v>0</v>
      </c>
      <c r="AN29" s="153">
        <f t="shared" si="15"/>
        <v>0</v>
      </c>
      <c r="AO29" s="154">
        <f t="shared" si="16"/>
        <v>0</v>
      </c>
      <c r="AP29" s="225">
        <v>0</v>
      </c>
      <c r="AQ29" s="212">
        <v>0</v>
      </c>
      <c r="AR29" s="226">
        <f t="shared" ref="AR29:AS29" si="57">SUBTOTAL(9,AR30:AR35)</f>
        <v>0</v>
      </c>
      <c r="AS29" s="225">
        <f t="shared" si="57"/>
        <v>0</v>
      </c>
      <c r="AT29" s="155"/>
      <c r="AU29" s="156">
        <f t="shared" si="5"/>
        <v>0</v>
      </c>
      <c r="AV29" s="156">
        <f t="shared" si="6"/>
        <v>0</v>
      </c>
      <c r="AW29" s="157"/>
      <c r="AX29" s="150">
        <v>0</v>
      </c>
      <c r="AY29" s="225">
        <f t="shared" ref="AY29:BA29" si="58">SUBTOTAL(9,AY30:AY35)</f>
        <v>0</v>
      </c>
      <c r="AZ29" s="225">
        <f t="shared" si="58"/>
        <v>0</v>
      </c>
      <c r="BA29" s="225">
        <f t="shared" si="58"/>
        <v>0</v>
      </c>
      <c r="BB29" s="191">
        <v>4</v>
      </c>
      <c r="BC29" s="191" t="s">
        <v>632</v>
      </c>
      <c r="BD29" s="183" t="s">
        <v>647</v>
      </c>
      <c r="BE29" s="183" t="s">
        <v>632</v>
      </c>
      <c r="BF29" s="191" t="s">
        <v>630</v>
      </c>
      <c r="BG29" s="185" t="s">
        <v>4766</v>
      </c>
      <c r="BH29" s="215">
        <f>SUBTOTAL(9,BH30:BH35)</f>
        <v>0</v>
      </c>
      <c r="BI29" s="191"/>
      <c r="BJ29" s="191" t="s">
        <v>4767</v>
      </c>
      <c r="BK29" s="191" t="s">
        <v>614</v>
      </c>
      <c r="BL29" s="185" t="s">
        <v>4768</v>
      </c>
      <c r="BM29" s="215">
        <f>SUBTOTAL(9,BM30:BM35)</f>
        <v>0</v>
      </c>
      <c r="BN29" s="160"/>
      <c r="BO29" s="161">
        <f t="shared" si="18"/>
        <v>0</v>
      </c>
      <c r="BP29" s="161"/>
    </row>
    <row r="30" spans="1:68" ht="25.5">
      <c r="A30" s="202" t="s">
        <v>499</v>
      </c>
      <c r="B30" s="195" t="s">
        <v>4769</v>
      </c>
      <c r="C30" s="196" t="s">
        <v>4770</v>
      </c>
      <c r="D30" s="146" t="s">
        <v>4692</v>
      </c>
      <c r="E30" s="196" t="s">
        <v>4770</v>
      </c>
      <c r="F30" s="150">
        <v>0</v>
      </c>
      <c r="G30" s="209">
        <v>0</v>
      </c>
      <c r="H30" s="209"/>
      <c r="I30" s="209">
        <v>0</v>
      </c>
      <c r="J30" s="150">
        <v>0</v>
      </c>
      <c r="K30" s="150">
        <v>0</v>
      </c>
      <c r="L30" s="150">
        <f t="shared" si="35"/>
        <v>0</v>
      </c>
      <c r="M30" s="150">
        <v>0</v>
      </c>
      <c r="N30" s="150"/>
      <c r="O30" s="150">
        <v>0</v>
      </c>
      <c r="P30" s="150">
        <v>0</v>
      </c>
      <c r="Q30" s="150"/>
      <c r="R30" s="150">
        <f t="shared" ref="R30:R35" si="59">P30+Q30</f>
        <v>0</v>
      </c>
      <c r="S30" s="150">
        <f t="shared" si="9"/>
        <v>0</v>
      </c>
      <c r="T30" s="150"/>
      <c r="U30" s="150">
        <v>0</v>
      </c>
      <c r="V30" s="199"/>
      <c r="W30" s="150">
        <f t="shared" ref="W30:W35" si="60">U30+V30</f>
        <v>0</v>
      </c>
      <c r="X30" s="150">
        <v>0</v>
      </c>
      <c r="Y30" s="150"/>
      <c r="Z30" s="150">
        <v>0</v>
      </c>
      <c r="AA30" s="150">
        <f t="shared" si="11"/>
        <v>0</v>
      </c>
      <c r="AB30" s="150">
        <v>0</v>
      </c>
      <c r="AC30" s="199"/>
      <c r="AD30" s="150">
        <f t="shared" ref="AD30:AD35" si="61">AB30+AC30</f>
        <v>0</v>
      </c>
      <c r="AE30" s="150">
        <v>0</v>
      </c>
      <c r="AF30" s="169" t="s">
        <v>4680</v>
      </c>
      <c r="AG30" s="201">
        <v>0</v>
      </c>
      <c r="AH30" s="199"/>
      <c r="AI30" s="150">
        <v>0</v>
      </c>
      <c r="AJ30" s="169">
        <f t="shared" si="13"/>
        <v>0</v>
      </c>
      <c r="AK30" s="201">
        <v>0</v>
      </c>
      <c r="AL30" s="199"/>
      <c r="AM30" s="150">
        <f t="shared" ref="AM30:AM35" si="62">AK30+AL30</f>
        <v>0</v>
      </c>
      <c r="AN30" s="153">
        <f t="shared" si="15"/>
        <v>0</v>
      </c>
      <c r="AO30" s="154">
        <f t="shared" si="16"/>
        <v>0</v>
      </c>
      <c r="AP30" s="150">
        <v>0</v>
      </c>
      <c r="AQ30" s="201">
        <v>0</v>
      </c>
      <c r="AR30" s="199"/>
      <c r="AS30" s="150">
        <f t="shared" ref="AS30:AS35" si="63">AQ30+AR30</f>
        <v>0</v>
      </c>
      <c r="AT30" s="155"/>
      <c r="AU30" s="156">
        <f t="shared" si="5"/>
        <v>0</v>
      </c>
      <c r="AV30" s="156">
        <f t="shared" si="6"/>
        <v>0</v>
      </c>
      <c r="AW30" s="157"/>
      <c r="AX30" s="150">
        <v>0</v>
      </c>
      <c r="AY30" s="150">
        <v>0</v>
      </c>
      <c r="AZ30" s="150"/>
      <c r="BA30" s="150">
        <f t="shared" si="34"/>
        <v>0</v>
      </c>
      <c r="BB30" s="202">
        <v>4</v>
      </c>
      <c r="BC30" s="202" t="s">
        <v>632</v>
      </c>
      <c r="BD30" s="202" t="s">
        <v>647</v>
      </c>
      <c r="BE30" s="202" t="s">
        <v>632</v>
      </c>
      <c r="BF30" s="202" t="s">
        <v>632</v>
      </c>
      <c r="BG30" s="203" t="s">
        <v>4770</v>
      </c>
      <c r="BH30" s="216">
        <f>AS30+AS31</f>
        <v>0</v>
      </c>
      <c r="BI30" s="202"/>
      <c r="BJ30" s="202" t="s">
        <v>4771</v>
      </c>
      <c r="BK30" s="202" t="s">
        <v>499</v>
      </c>
      <c r="BL30" s="203" t="s">
        <v>4772</v>
      </c>
      <c r="BM30" s="208">
        <f>BH30</f>
        <v>0</v>
      </c>
      <c r="BN30" s="160"/>
      <c r="BO30" s="161">
        <f t="shared" si="18"/>
        <v>0</v>
      </c>
      <c r="BP30" s="161"/>
    </row>
    <row r="31" spans="1:68" ht="37.5" customHeight="1">
      <c r="A31" s="210"/>
      <c r="B31" s="195" t="s">
        <v>4773</v>
      </c>
      <c r="C31" s="196" t="s">
        <v>4774</v>
      </c>
      <c r="D31" s="146" t="s">
        <v>4692</v>
      </c>
      <c r="E31" s="196" t="s">
        <v>4774</v>
      </c>
      <c r="F31" s="150">
        <v>0</v>
      </c>
      <c r="G31" s="209">
        <v>0</v>
      </c>
      <c r="H31" s="209"/>
      <c r="I31" s="209">
        <v>0</v>
      </c>
      <c r="J31" s="150">
        <v>0</v>
      </c>
      <c r="K31" s="150">
        <v>0</v>
      </c>
      <c r="L31" s="150">
        <f t="shared" si="35"/>
        <v>0</v>
      </c>
      <c r="M31" s="150">
        <v>0</v>
      </c>
      <c r="N31" s="150"/>
      <c r="O31" s="150">
        <v>0</v>
      </c>
      <c r="P31" s="150">
        <v>0</v>
      </c>
      <c r="Q31" s="150"/>
      <c r="R31" s="150">
        <f t="shared" si="59"/>
        <v>0</v>
      </c>
      <c r="S31" s="150">
        <f t="shared" si="9"/>
        <v>0</v>
      </c>
      <c r="T31" s="150"/>
      <c r="U31" s="150">
        <v>0</v>
      </c>
      <c r="V31" s="199"/>
      <c r="W31" s="150">
        <f t="shared" si="60"/>
        <v>0</v>
      </c>
      <c r="X31" s="150">
        <v>0</v>
      </c>
      <c r="Y31" s="150"/>
      <c r="Z31" s="150">
        <v>0</v>
      </c>
      <c r="AA31" s="150">
        <f t="shared" si="11"/>
        <v>0</v>
      </c>
      <c r="AB31" s="150">
        <v>0</v>
      </c>
      <c r="AC31" s="199"/>
      <c r="AD31" s="150">
        <f t="shared" si="61"/>
        <v>0</v>
      </c>
      <c r="AE31" s="150">
        <v>0</v>
      </c>
      <c r="AF31" s="169" t="s">
        <v>4680</v>
      </c>
      <c r="AG31" s="201">
        <v>0</v>
      </c>
      <c r="AH31" s="199"/>
      <c r="AI31" s="150">
        <v>0</v>
      </c>
      <c r="AJ31" s="169">
        <f t="shared" si="13"/>
        <v>0</v>
      </c>
      <c r="AK31" s="201">
        <v>0</v>
      </c>
      <c r="AL31" s="199"/>
      <c r="AM31" s="150">
        <f t="shared" si="62"/>
        <v>0</v>
      </c>
      <c r="AN31" s="153">
        <f t="shared" si="15"/>
        <v>0</v>
      </c>
      <c r="AO31" s="154">
        <f t="shared" si="16"/>
        <v>0</v>
      </c>
      <c r="AP31" s="150">
        <v>0</v>
      </c>
      <c r="AQ31" s="201">
        <v>0</v>
      </c>
      <c r="AR31" s="199"/>
      <c r="AS31" s="150">
        <f t="shared" si="63"/>
        <v>0</v>
      </c>
      <c r="AT31" s="155"/>
      <c r="AU31" s="156">
        <f t="shared" si="5"/>
        <v>0</v>
      </c>
      <c r="AV31" s="156">
        <f t="shared" si="6"/>
        <v>0</v>
      </c>
      <c r="AW31" s="157"/>
      <c r="AX31" s="150">
        <v>0</v>
      </c>
      <c r="AY31" s="150">
        <v>0</v>
      </c>
      <c r="AZ31" s="150"/>
      <c r="BA31" s="150">
        <f t="shared" si="34"/>
        <v>0</v>
      </c>
      <c r="BB31" s="210"/>
      <c r="BC31" s="210"/>
      <c r="BD31" s="210"/>
      <c r="BE31" s="210"/>
      <c r="BF31" s="210"/>
      <c r="BG31" s="210"/>
      <c r="BH31" s="217"/>
      <c r="BI31" s="210"/>
      <c r="BJ31" s="210"/>
      <c r="BK31" s="210"/>
      <c r="BL31" s="210"/>
      <c r="BM31" s="208"/>
      <c r="BN31" s="160"/>
      <c r="BO31" s="161">
        <f t="shared" si="18"/>
        <v>0</v>
      </c>
      <c r="BP31" s="161"/>
    </row>
    <row r="32" spans="1:68" ht="51">
      <c r="A32" s="194" t="s">
        <v>494</v>
      </c>
      <c r="B32" s="195" t="s">
        <v>4775</v>
      </c>
      <c r="C32" s="196" t="s">
        <v>4776</v>
      </c>
      <c r="D32" s="146" t="s">
        <v>4692</v>
      </c>
      <c r="E32" s="196" t="s">
        <v>4777</v>
      </c>
      <c r="F32" s="150">
        <v>0</v>
      </c>
      <c r="G32" s="209">
        <v>0</v>
      </c>
      <c r="H32" s="209"/>
      <c r="I32" s="209">
        <v>0</v>
      </c>
      <c r="J32" s="150">
        <v>0</v>
      </c>
      <c r="K32" s="150">
        <v>0</v>
      </c>
      <c r="L32" s="150">
        <f t="shared" si="35"/>
        <v>0</v>
      </c>
      <c r="M32" s="150">
        <v>0</v>
      </c>
      <c r="N32" s="150"/>
      <c r="O32" s="150">
        <v>0</v>
      </c>
      <c r="P32" s="150">
        <v>0</v>
      </c>
      <c r="Q32" s="150"/>
      <c r="R32" s="150">
        <f t="shared" si="59"/>
        <v>0</v>
      </c>
      <c r="S32" s="150">
        <f t="shared" si="9"/>
        <v>0</v>
      </c>
      <c r="T32" s="150"/>
      <c r="U32" s="150">
        <v>0</v>
      </c>
      <c r="V32" s="199"/>
      <c r="W32" s="150">
        <f t="shared" si="60"/>
        <v>0</v>
      </c>
      <c r="X32" s="150">
        <v>0</v>
      </c>
      <c r="Y32" s="150"/>
      <c r="Z32" s="150">
        <v>0</v>
      </c>
      <c r="AA32" s="150">
        <f t="shared" si="11"/>
        <v>0</v>
      </c>
      <c r="AB32" s="150">
        <v>0</v>
      </c>
      <c r="AC32" s="199"/>
      <c r="AD32" s="150">
        <f t="shared" si="61"/>
        <v>0</v>
      </c>
      <c r="AE32" s="150">
        <v>0</v>
      </c>
      <c r="AF32" s="169" t="s">
        <v>4680</v>
      </c>
      <c r="AG32" s="201">
        <v>0</v>
      </c>
      <c r="AH32" s="199"/>
      <c r="AI32" s="150">
        <v>0</v>
      </c>
      <c r="AJ32" s="169">
        <f t="shared" si="13"/>
        <v>0</v>
      </c>
      <c r="AK32" s="201">
        <v>0</v>
      </c>
      <c r="AL32" s="199"/>
      <c r="AM32" s="150">
        <f t="shared" si="62"/>
        <v>0</v>
      </c>
      <c r="AN32" s="153">
        <f t="shared" si="15"/>
        <v>0</v>
      </c>
      <c r="AO32" s="154">
        <f t="shared" si="16"/>
        <v>0</v>
      </c>
      <c r="AP32" s="150">
        <v>0</v>
      </c>
      <c r="AQ32" s="201">
        <v>0</v>
      </c>
      <c r="AR32" s="199"/>
      <c r="AS32" s="150">
        <f t="shared" si="63"/>
        <v>0</v>
      </c>
      <c r="AT32" s="155"/>
      <c r="AU32" s="156">
        <f t="shared" si="5"/>
        <v>0</v>
      </c>
      <c r="AV32" s="156">
        <f t="shared" si="6"/>
        <v>0</v>
      </c>
      <c r="AW32" s="157"/>
      <c r="AX32" s="150">
        <v>0</v>
      </c>
      <c r="AY32" s="150">
        <v>0</v>
      </c>
      <c r="AZ32" s="150"/>
      <c r="BA32" s="150">
        <f t="shared" si="34"/>
        <v>0</v>
      </c>
      <c r="BB32" s="202">
        <v>4</v>
      </c>
      <c r="BC32" s="202" t="s">
        <v>632</v>
      </c>
      <c r="BD32" s="202" t="s">
        <v>647</v>
      </c>
      <c r="BE32" s="202" t="s">
        <v>632</v>
      </c>
      <c r="BF32" s="202" t="s">
        <v>647</v>
      </c>
      <c r="BG32" s="203" t="s">
        <v>4777</v>
      </c>
      <c r="BH32" s="216">
        <f>AS32</f>
        <v>0</v>
      </c>
      <c r="BI32" s="202"/>
      <c r="BJ32" s="194" t="s">
        <v>4778</v>
      </c>
      <c r="BK32" s="194" t="s">
        <v>494</v>
      </c>
      <c r="BL32" s="207" t="s">
        <v>4779</v>
      </c>
      <c r="BM32" s="208">
        <f>BH32</f>
        <v>0</v>
      </c>
      <c r="BN32" s="160"/>
      <c r="BO32" s="161">
        <f t="shared" si="18"/>
        <v>0</v>
      </c>
      <c r="BP32" s="161"/>
    </row>
    <row r="33" spans="1:68" ht="51">
      <c r="A33" s="202" t="s">
        <v>495</v>
      </c>
      <c r="B33" s="195" t="s">
        <v>4780</v>
      </c>
      <c r="C33" s="196" t="s">
        <v>4781</v>
      </c>
      <c r="D33" s="146" t="s">
        <v>4692</v>
      </c>
      <c r="E33" s="196" t="s">
        <v>4782</v>
      </c>
      <c r="F33" s="150">
        <v>0</v>
      </c>
      <c r="G33" s="209">
        <v>0</v>
      </c>
      <c r="H33" s="209"/>
      <c r="I33" s="209">
        <v>0</v>
      </c>
      <c r="J33" s="150">
        <v>0</v>
      </c>
      <c r="K33" s="150">
        <v>0</v>
      </c>
      <c r="L33" s="150">
        <f t="shared" si="35"/>
        <v>0</v>
      </c>
      <c r="M33" s="150">
        <v>0</v>
      </c>
      <c r="N33" s="150"/>
      <c r="O33" s="150">
        <v>0</v>
      </c>
      <c r="P33" s="150">
        <v>0</v>
      </c>
      <c r="Q33" s="150"/>
      <c r="R33" s="150">
        <f t="shared" si="59"/>
        <v>0</v>
      </c>
      <c r="S33" s="150">
        <f t="shared" si="9"/>
        <v>0</v>
      </c>
      <c r="T33" s="150"/>
      <c r="U33" s="150">
        <v>0</v>
      </c>
      <c r="V33" s="199"/>
      <c r="W33" s="150">
        <f t="shared" si="60"/>
        <v>0</v>
      </c>
      <c r="X33" s="150">
        <v>0</v>
      </c>
      <c r="Y33" s="150"/>
      <c r="Z33" s="150">
        <v>0</v>
      </c>
      <c r="AA33" s="150">
        <f t="shared" si="11"/>
        <v>0</v>
      </c>
      <c r="AB33" s="150">
        <v>0</v>
      </c>
      <c r="AC33" s="199"/>
      <c r="AD33" s="150">
        <f t="shared" si="61"/>
        <v>0</v>
      </c>
      <c r="AE33" s="150">
        <v>0</v>
      </c>
      <c r="AF33" s="169" t="s">
        <v>4680</v>
      </c>
      <c r="AG33" s="201">
        <v>0</v>
      </c>
      <c r="AH33" s="199"/>
      <c r="AI33" s="150">
        <v>0</v>
      </c>
      <c r="AJ33" s="169">
        <f t="shared" si="13"/>
        <v>0</v>
      </c>
      <c r="AK33" s="201">
        <v>0</v>
      </c>
      <c r="AL33" s="199"/>
      <c r="AM33" s="150">
        <f t="shared" si="62"/>
        <v>0</v>
      </c>
      <c r="AN33" s="153">
        <f t="shared" si="15"/>
        <v>0</v>
      </c>
      <c r="AO33" s="154">
        <f t="shared" si="16"/>
        <v>0</v>
      </c>
      <c r="AP33" s="150">
        <v>0</v>
      </c>
      <c r="AQ33" s="201">
        <v>0</v>
      </c>
      <c r="AR33" s="199"/>
      <c r="AS33" s="150">
        <f t="shared" si="63"/>
        <v>0</v>
      </c>
      <c r="AT33" s="155"/>
      <c r="AU33" s="156">
        <f t="shared" si="5"/>
        <v>0</v>
      </c>
      <c r="AV33" s="156">
        <f t="shared" si="6"/>
        <v>0</v>
      </c>
      <c r="AW33" s="157"/>
      <c r="AX33" s="150">
        <v>0</v>
      </c>
      <c r="AY33" s="150">
        <v>0</v>
      </c>
      <c r="AZ33" s="150"/>
      <c r="BA33" s="150">
        <f t="shared" si="34"/>
        <v>0</v>
      </c>
      <c r="BB33" s="202">
        <v>4</v>
      </c>
      <c r="BC33" s="202" t="s">
        <v>632</v>
      </c>
      <c r="BD33" s="202" t="s">
        <v>647</v>
      </c>
      <c r="BE33" s="202" t="s">
        <v>632</v>
      </c>
      <c r="BF33" s="202" t="s">
        <v>671</v>
      </c>
      <c r="BG33" s="203" t="s">
        <v>4782</v>
      </c>
      <c r="BH33" s="216">
        <f>AS33</f>
        <v>0</v>
      </c>
      <c r="BI33" s="202"/>
      <c r="BJ33" s="202" t="s">
        <v>4783</v>
      </c>
      <c r="BK33" s="202" t="s">
        <v>495</v>
      </c>
      <c r="BL33" s="203" t="s">
        <v>4784</v>
      </c>
      <c r="BM33" s="208">
        <f>BH33</f>
        <v>0</v>
      </c>
      <c r="BN33" s="160"/>
      <c r="BO33" s="161">
        <f t="shared" si="18"/>
        <v>0</v>
      </c>
      <c r="BP33" s="161"/>
    </row>
    <row r="34" spans="1:68" ht="25.5">
      <c r="A34" s="194" t="s">
        <v>500</v>
      </c>
      <c r="B34" s="195" t="s">
        <v>4785</v>
      </c>
      <c r="C34" s="196" t="s">
        <v>4786</v>
      </c>
      <c r="D34" s="146" t="s">
        <v>4692</v>
      </c>
      <c r="E34" s="196" t="s">
        <v>4786</v>
      </c>
      <c r="F34" s="150">
        <v>0</v>
      </c>
      <c r="G34" s="209">
        <v>0</v>
      </c>
      <c r="H34" s="209"/>
      <c r="I34" s="209">
        <v>0</v>
      </c>
      <c r="J34" s="150">
        <v>0</v>
      </c>
      <c r="K34" s="150">
        <v>0</v>
      </c>
      <c r="L34" s="150">
        <f t="shared" si="35"/>
        <v>0</v>
      </c>
      <c r="M34" s="150">
        <v>0</v>
      </c>
      <c r="N34" s="150"/>
      <c r="O34" s="150">
        <v>0</v>
      </c>
      <c r="P34" s="150">
        <v>0</v>
      </c>
      <c r="Q34" s="150"/>
      <c r="R34" s="150">
        <f t="shared" si="59"/>
        <v>0</v>
      </c>
      <c r="S34" s="150">
        <f t="shared" si="9"/>
        <v>0</v>
      </c>
      <c r="T34" s="150"/>
      <c r="U34" s="150">
        <v>0</v>
      </c>
      <c r="V34" s="199"/>
      <c r="W34" s="150">
        <f t="shared" si="60"/>
        <v>0</v>
      </c>
      <c r="X34" s="150">
        <v>0</v>
      </c>
      <c r="Y34" s="150"/>
      <c r="Z34" s="150">
        <v>0</v>
      </c>
      <c r="AA34" s="150">
        <f t="shared" si="11"/>
        <v>0</v>
      </c>
      <c r="AB34" s="150">
        <v>0</v>
      </c>
      <c r="AC34" s="199"/>
      <c r="AD34" s="150">
        <f t="shared" si="61"/>
        <v>0</v>
      </c>
      <c r="AE34" s="150">
        <v>0</v>
      </c>
      <c r="AF34" s="169" t="s">
        <v>4680</v>
      </c>
      <c r="AG34" s="201">
        <v>0</v>
      </c>
      <c r="AH34" s="199"/>
      <c r="AI34" s="150">
        <v>0</v>
      </c>
      <c r="AJ34" s="169">
        <f t="shared" si="13"/>
        <v>0</v>
      </c>
      <c r="AK34" s="201">
        <v>0</v>
      </c>
      <c r="AL34" s="199"/>
      <c r="AM34" s="150">
        <f t="shared" si="62"/>
        <v>0</v>
      </c>
      <c r="AN34" s="153">
        <f t="shared" si="15"/>
        <v>0</v>
      </c>
      <c r="AO34" s="154">
        <f t="shared" si="16"/>
        <v>0</v>
      </c>
      <c r="AP34" s="150">
        <v>0</v>
      </c>
      <c r="AQ34" s="201">
        <v>0</v>
      </c>
      <c r="AR34" s="199"/>
      <c r="AS34" s="150">
        <f t="shared" si="63"/>
        <v>0</v>
      </c>
      <c r="AT34" s="155"/>
      <c r="AU34" s="156">
        <f t="shared" si="5"/>
        <v>0</v>
      </c>
      <c r="AV34" s="156">
        <f t="shared" si="6"/>
        <v>0</v>
      </c>
      <c r="AW34" s="157"/>
      <c r="AX34" s="150">
        <v>0</v>
      </c>
      <c r="AY34" s="150">
        <v>0</v>
      </c>
      <c r="AZ34" s="150"/>
      <c r="BA34" s="150">
        <f t="shared" si="34"/>
        <v>0</v>
      </c>
      <c r="BB34" s="202">
        <v>4</v>
      </c>
      <c r="BC34" s="202" t="s">
        <v>632</v>
      </c>
      <c r="BD34" s="202" t="s">
        <v>647</v>
      </c>
      <c r="BE34" s="202" t="s">
        <v>632</v>
      </c>
      <c r="BF34" s="202" t="s">
        <v>693</v>
      </c>
      <c r="BG34" s="203" t="s">
        <v>4786</v>
      </c>
      <c r="BH34" s="216">
        <f>AS34+AS35</f>
        <v>0</v>
      </c>
      <c r="BI34" s="202"/>
      <c r="BJ34" s="194" t="s">
        <v>4787</v>
      </c>
      <c r="BK34" s="194" t="s">
        <v>500</v>
      </c>
      <c r="BL34" s="207" t="s">
        <v>4788</v>
      </c>
      <c r="BM34" s="208">
        <f>BH34</f>
        <v>0</v>
      </c>
      <c r="BN34" s="160"/>
      <c r="BO34" s="161">
        <f t="shared" si="18"/>
        <v>0</v>
      </c>
      <c r="BP34" s="161"/>
    </row>
    <row r="35" spans="1:68" ht="25.5">
      <c r="A35" s="210"/>
      <c r="B35" s="195" t="s">
        <v>4789</v>
      </c>
      <c r="C35" s="196" t="s">
        <v>4790</v>
      </c>
      <c r="D35" s="146" t="s">
        <v>4692</v>
      </c>
      <c r="E35" s="196" t="s">
        <v>4790</v>
      </c>
      <c r="F35" s="150">
        <v>0</v>
      </c>
      <c r="G35" s="209">
        <v>0</v>
      </c>
      <c r="H35" s="209"/>
      <c r="I35" s="209">
        <v>0</v>
      </c>
      <c r="J35" s="150">
        <v>0</v>
      </c>
      <c r="K35" s="150">
        <v>0</v>
      </c>
      <c r="L35" s="150">
        <f t="shared" si="35"/>
        <v>0</v>
      </c>
      <c r="M35" s="150">
        <v>0</v>
      </c>
      <c r="N35" s="150"/>
      <c r="O35" s="150">
        <v>0</v>
      </c>
      <c r="P35" s="150">
        <v>0</v>
      </c>
      <c r="Q35" s="150"/>
      <c r="R35" s="150">
        <f t="shared" si="59"/>
        <v>0</v>
      </c>
      <c r="S35" s="150">
        <f t="shared" si="9"/>
        <v>0</v>
      </c>
      <c r="T35" s="150"/>
      <c r="U35" s="150">
        <v>0</v>
      </c>
      <c r="V35" s="199"/>
      <c r="W35" s="150">
        <f t="shared" si="60"/>
        <v>0</v>
      </c>
      <c r="X35" s="150">
        <v>0</v>
      </c>
      <c r="Y35" s="150"/>
      <c r="Z35" s="150">
        <v>0</v>
      </c>
      <c r="AA35" s="150">
        <f t="shared" si="11"/>
        <v>0</v>
      </c>
      <c r="AB35" s="150">
        <v>0</v>
      </c>
      <c r="AC35" s="199"/>
      <c r="AD35" s="150">
        <f t="shared" si="61"/>
        <v>0</v>
      </c>
      <c r="AE35" s="150">
        <v>0</v>
      </c>
      <c r="AF35" s="169" t="s">
        <v>4680</v>
      </c>
      <c r="AG35" s="201">
        <v>0</v>
      </c>
      <c r="AH35" s="199"/>
      <c r="AI35" s="150">
        <v>0</v>
      </c>
      <c r="AJ35" s="169">
        <f t="shared" si="13"/>
        <v>0</v>
      </c>
      <c r="AK35" s="201">
        <v>0</v>
      </c>
      <c r="AL35" s="199"/>
      <c r="AM35" s="150">
        <f t="shared" si="62"/>
        <v>0</v>
      </c>
      <c r="AN35" s="153">
        <f t="shared" si="15"/>
        <v>0</v>
      </c>
      <c r="AO35" s="154">
        <f t="shared" si="16"/>
        <v>0</v>
      </c>
      <c r="AP35" s="150">
        <v>0</v>
      </c>
      <c r="AQ35" s="201">
        <v>0</v>
      </c>
      <c r="AR35" s="199"/>
      <c r="AS35" s="150">
        <f t="shared" si="63"/>
        <v>0</v>
      </c>
      <c r="AT35" s="155"/>
      <c r="AU35" s="156">
        <f t="shared" si="5"/>
        <v>0</v>
      </c>
      <c r="AV35" s="156">
        <f t="shared" si="6"/>
        <v>0</v>
      </c>
      <c r="AW35" s="157"/>
      <c r="AX35" s="150">
        <v>0</v>
      </c>
      <c r="AY35" s="150">
        <v>0</v>
      </c>
      <c r="AZ35" s="150"/>
      <c r="BA35" s="150">
        <f t="shared" si="34"/>
        <v>0</v>
      </c>
      <c r="BB35" s="210"/>
      <c r="BC35" s="210"/>
      <c r="BD35" s="210"/>
      <c r="BE35" s="210"/>
      <c r="BF35" s="210"/>
      <c r="BG35" s="210"/>
      <c r="BH35" s="217"/>
      <c r="BI35" s="210"/>
      <c r="BJ35" s="210"/>
      <c r="BK35" s="210"/>
      <c r="BL35" s="210"/>
      <c r="BM35" s="208"/>
      <c r="BN35" s="160"/>
      <c r="BO35" s="161">
        <f t="shared" si="18"/>
        <v>0</v>
      </c>
      <c r="BP35" s="161"/>
    </row>
    <row r="36" spans="1:68" ht="51">
      <c r="A36" s="191" t="s">
        <v>512</v>
      </c>
      <c r="B36" s="184"/>
      <c r="C36" s="185" t="s">
        <v>4791</v>
      </c>
      <c r="D36" s="146" t="s">
        <v>4692</v>
      </c>
      <c r="E36" s="185" t="s">
        <v>4791</v>
      </c>
      <c r="F36" s="186">
        <v>0</v>
      </c>
      <c r="G36" s="187">
        <v>0</v>
      </c>
      <c r="H36" s="187">
        <v>0</v>
      </c>
      <c r="I36" s="187">
        <v>0</v>
      </c>
      <c r="J36" s="186">
        <f>SUBTOTAL(9,J37:J38)</f>
        <v>0</v>
      </c>
      <c r="K36" s="186">
        <f>SUBTOTAL(9,K37:K38)</f>
        <v>0</v>
      </c>
      <c r="L36" s="186">
        <f t="shared" si="35"/>
        <v>0</v>
      </c>
      <c r="M36" s="188">
        <v>0</v>
      </c>
      <c r="N36" s="188">
        <v>0</v>
      </c>
      <c r="O36" s="188">
        <v>0</v>
      </c>
      <c r="P36" s="225">
        <f t="shared" ref="P36:AD36" si="64">SUBTOTAL(9,P37:P38)</f>
        <v>0</v>
      </c>
      <c r="Q36" s="225">
        <f t="shared" si="64"/>
        <v>0</v>
      </c>
      <c r="R36" s="225">
        <f t="shared" si="64"/>
        <v>0</v>
      </c>
      <c r="S36" s="150">
        <f t="shared" si="9"/>
        <v>0</v>
      </c>
      <c r="T36" s="213"/>
      <c r="U36" s="225">
        <f t="shared" ref="U36:W36" si="65">SUBTOTAL(9,U37:U38)</f>
        <v>0</v>
      </c>
      <c r="V36" s="226">
        <f t="shared" si="65"/>
        <v>0</v>
      </c>
      <c r="W36" s="225">
        <f t="shared" si="65"/>
        <v>0</v>
      </c>
      <c r="X36" s="225">
        <v>0</v>
      </c>
      <c r="Y36" s="225">
        <v>0</v>
      </c>
      <c r="Z36" s="225">
        <v>0</v>
      </c>
      <c r="AA36" s="225">
        <f t="shared" si="11"/>
        <v>0</v>
      </c>
      <c r="AB36" s="225">
        <v>0</v>
      </c>
      <c r="AC36" s="226">
        <v>0</v>
      </c>
      <c r="AD36" s="225">
        <f t="shared" si="64"/>
        <v>0</v>
      </c>
      <c r="AE36" s="225">
        <v>90200</v>
      </c>
      <c r="AF36" s="169" t="s">
        <v>4680</v>
      </c>
      <c r="AG36" s="212">
        <v>0</v>
      </c>
      <c r="AH36" s="226">
        <v>90200</v>
      </c>
      <c r="AI36" s="225">
        <v>90200</v>
      </c>
      <c r="AJ36" s="169">
        <f t="shared" si="13"/>
        <v>0</v>
      </c>
      <c r="AK36" s="212">
        <v>0</v>
      </c>
      <c r="AL36" s="226">
        <v>90200</v>
      </c>
      <c r="AM36" s="225">
        <f t="shared" ref="AM36" si="66">SUBTOTAL(9,AM37:AM38)</f>
        <v>90200</v>
      </c>
      <c r="AN36" s="153">
        <f t="shared" si="15"/>
        <v>-90200</v>
      </c>
      <c r="AO36" s="154">
        <f t="shared" si="16"/>
        <v>-90200</v>
      </c>
      <c r="AP36" s="225">
        <v>90200</v>
      </c>
      <c r="AQ36" s="212">
        <v>0</v>
      </c>
      <c r="AR36" s="226">
        <f t="shared" ref="AR36:AS36" si="67">SUBTOTAL(9,AR37:AR38)</f>
        <v>0</v>
      </c>
      <c r="AS36" s="225">
        <f t="shared" si="67"/>
        <v>0</v>
      </c>
      <c r="AT36" s="155"/>
      <c r="AU36" s="156">
        <f t="shared" si="5"/>
        <v>90200</v>
      </c>
      <c r="AV36" s="156">
        <f t="shared" si="6"/>
        <v>0</v>
      </c>
      <c r="AW36" s="157"/>
      <c r="AX36" s="150">
        <v>0</v>
      </c>
      <c r="AY36" s="225">
        <f t="shared" ref="AY36:BA36" si="68">SUBTOTAL(9,AY37:AY38)</f>
        <v>0</v>
      </c>
      <c r="AZ36" s="225">
        <f t="shared" si="68"/>
        <v>0</v>
      </c>
      <c r="BA36" s="225">
        <f t="shared" si="68"/>
        <v>0</v>
      </c>
      <c r="BB36" s="191">
        <v>4</v>
      </c>
      <c r="BC36" s="191" t="s">
        <v>632</v>
      </c>
      <c r="BD36" s="183" t="s">
        <v>647</v>
      </c>
      <c r="BE36" s="183" t="s">
        <v>647</v>
      </c>
      <c r="BF36" s="191" t="s">
        <v>630</v>
      </c>
      <c r="BG36" s="185" t="s">
        <v>4791</v>
      </c>
      <c r="BH36" s="215">
        <f>SUBTOTAL(9,BH37:BH38)</f>
        <v>0</v>
      </c>
      <c r="BI36" s="191"/>
      <c r="BJ36" s="191" t="s">
        <v>4792</v>
      </c>
      <c r="BK36" s="191" t="s">
        <v>512</v>
      </c>
      <c r="BL36" s="193" t="s">
        <v>4793</v>
      </c>
      <c r="BM36" s="215">
        <f>SUBTOTAL(9,BM37:BM38)</f>
        <v>0</v>
      </c>
      <c r="BN36" s="160"/>
      <c r="BO36" s="161">
        <f t="shared" si="18"/>
        <v>0</v>
      </c>
      <c r="BP36" s="161"/>
    </row>
    <row r="37" spans="1:68" ht="38.25">
      <c r="A37" s="227" t="s">
        <v>501</v>
      </c>
      <c r="B37" s="228" t="s">
        <v>4794</v>
      </c>
      <c r="C37" s="229" t="s">
        <v>4795</v>
      </c>
      <c r="D37" s="146" t="s">
        <v>4692</v>
      </c>
      <c r="E37" s="196" t="s">
        <v>4795</v>
      </c>
      <c r="F37" s="150">
        <v>0</v>
      </c>
      <c r="G37" s="209">
        <v>0</v>
      </c>
      <c r="H37" s="209"/>
      <c r="I37" s="209">
        <v>0</v>
      </c>
      <c r="J37" s="150">
        <v>0</v>
      </c>
      <c r="K37" s="150">
        <v>0</v>
      </c>
      <c r="L37" s="150">
        <f t="shared" si="35"/>
        <v>0</v>
      </c>
      <c r="M37" s="150">
        <v>0</v>
      </c>
      <c r="N37" s="150"/>
      <c r="O37" s="150">
        <v>0</v>
      </c>
      <c r="P37" s="150">
        <v>0</v>
      </c>
      <c r="Q37" s="150"/>
      <c r="R37" s="150">
        <f>P37+Q37</f>
        <v>0</v>
      </c>
      <c r="S37" s="150">
        <f t="shared" si="9"/>
        <v>0</v>
      </c>
      <c r="T37" s="150"/>
      <c r="U37" s="150">
        <v>0</v>
      </c>
      <c r="V37" s="199"/>
      <c r="W37" s="150">
        <f>U37+V37</f>
        <v>0</v>
      </c>
      <c r="X37" s="150">
        <v>0</v>
      </c>
      <c r="Y37" s="150"/>
      <c r="Z37" s="150">
        <v>0</v>
      </c>
      <c r="AA37" s="150">
        <f t="shared" si="11"/>
        <v>0</v>
      </c>
      <c r="AB37" s="150">
        <v>0</v>
      </c>
      <c r="AC37" s="199"/>
      <c r="AD37" s="150">
        <f>AB37+AC37</f>
        <v>0</v>
      </c>
      <c r="AE37" s="150">
        <v>0</v>
      </c>
      <c r="AF37" s="169" t="s">
        <v>4680</v>
      </c>
      <c r="AG37" s="201">
        <v>0</v>
      </c>
      <c r="AH37" s="199"/>
      <c r="AI37" s="150">
        <v>0</v>
      </c>
      <c r="AJ37" s="169">
        <f t="shared" si="13"/>
        <v>0</v>
      </c>
      <c r="AK37" s="201">
        <v>0</v>
      </c>
      <c r="AL37" s="199"/>
      <c r="AM37" s="150">
        <f>AK37+AL37</f>
        <v>0</v>
      </c>
      <c r="AN37" s="153">
        <f t="shared" si="15"/>
        <v>0</v>
      </c>
      <c r="AO37" s="154">
        <f t="shared" si="16"/>
        <v>0</v>
      </c>
      <c r="AP37" s="150">
        <v>0</v>
      </c>
      <c r="AQ37" s="201">
        <v>0</v>
      </c>
      <c r="AR37" s="199"/>
      <c r="AS37" s="150">
        <f>AQ37+AR37</f>
        <v>0</v>
      </c>
      <c r="AT37" s="155" t="s">
        <v>4796</v>
      </c>
      <c r="AU37" s="156">
        <f t="shared" si="5"/>
        <v>0</v>
      </c>
      <c r="AV37" s="156">
        <f t="shared" si="6"/>
        <v>0</v>
      </c>
      <c r="AW37" s="157" t="s">
        <v>4796</v>
      </c>
      <c r="AX37" s="150">
        <v>0</v>
      </c>
      <c r="AY37" s="150">
        <v>0</v>
      </c>
      <c r="AZ37" s="150"/>
      <c r="BA37" s="150">
        <f t="shared" si="34"/>
        <v>0</v>
      </c>
      <c r="BB37" s="202">
        <v>4</v>
      </c>
      <c r="BC37" s="202" t="s">
        <v>632</v>
      </c>
      <c r="BD37" s="202" t="s">
        <v>647</v>
      </c>
      <c r="BE37" s="202" t="s">
        <v>647</v>
      </c>
      <c r="BF37" s="202" t="s">
        <v>632</v>
      </c>
      <c r="BG37" s="203" t="s">
        <v>4795</v>
      </c>
      <c r="BH37" s="216">
        <f>AS37</f>
        <v>0</v>
      </c>
      <c r="BI37" s="202" t="s">
        <v>1519</v>
      </c>
      <c r="BJ37" s="202" t="s">
        <v>4797</v>
      </c>
      <c r="BK37" s="202" t="s">
        <v>501</v>
      </c>
      <c r="BL37" s="203" t="s">
        <v>4798</v>
      </c>
      <c r="BM37" s="208">
        <f>BH37</f>
        <v>0</v>
      </c>
      <c r="BN37" s="160"/>
      <c r="BO37" s="161">
        <f t="shared" si="18"/>
        <v>0</v>
      </c>
      <c r="BP37" s="161"/>
    </row>
    <row r="38" spans="1:68" ht="60">
      <c r="A38" s="227" t="s">
        <v>502</v>
      </c>
      <c r="B38" s="228" t="s">
        <v>4799</v>
      </c>
      <c r="C38" s="229" t="s">
        <v>4800</v>
      </c>
      <c r="D38" s="146" t="s">
        <v>4692</v>
      </c>
      <c r="E38" s="196" t="s">
        <v>4800</v>
      </c>
      <c r="F38" s="150">
        <v>0</v>
      </c>
      <c r="G38" s="209">
        <v>0</v>
      </c>
      <c r="H38" s="209"/>
      <c r="I38" s="209">
        <v>0</v>
      </c>
      <c r="J38" s="150">
        <v>0</v>
      </c>
      <c r="K38" s="150">
        <v>0</v>
      </c>
      <c r="L38" s="150">
        <f t="shared" si="35"/>
        <v>0</v>
      </c>
      <c r="M38" s="150">
        <v>0</v>
      </c>
      <c r="N38" s="150"/>
      <c r="O38" s="150">
        <v>0</v>
      </c>
      <c r="P38" s="150">
        <v>0</v>
      </c>
      <c r="Q38" s="150"/>
      <c r="R38" s="150">
        <f>P38+Q38</f>
        <v>0</v>
      </c>
      <c r="S38" s="150">
        <f t="shared" si="9"/>
        <v>0</v>
      </c>
      <c r="T38" s="150"/>
      <c r="U38" s="150">
        <v>0</v>
      </c>
      <c r="V38" s="199"/>
      <c r="W38" s="150">
        <f>U38+V38</f>
        <v>0</v>
      </c>
      <c r="X38" s="150">
        <v>0</v>
      </c>
      <c r="Y38" s="150"/>
      <c r="Z38" s="150">
        <v>0</v>
      </c>
      <c r="AA38" s="150">
        <f t="shared" si="11"/>
        <v>0</v>
      </c>
      <c r="AB38" s="150">
        <v>0</v>
      </c>
      <c r="AC38" s="199"/>
      <c r="AD38" s="150">
        <f>AB38+AC38</f>
        <v>0</v>
      </c>
      <c r="AE38" s="200">
        <v>90200</v>
      </c>
      <c r="AF38" s="169" t="s">
        <v>4680</v>
      </c>
      <c r="AG38" s="201">
        <v>0</v>
      </c>
      <c r="AH38" s="200">
        <v>90200</v>
      </c>
      <c r="AI38" s="150">
        <v>90200</v>
      </c>
      <c r="AJ38" s="169">
        <f t="shared" si="13"/>
        <v>0</v>
      </c>
      <c r="AK38" s="201">
        <v>0</v>
      </c>
      <c r="AL38" s="200">
        <v>90200</v>
      </c>
      <c r="AM38" s="150">
        <f>AK38+AL38</f>
        <v>90200</v>
      </c>
      <c r="AN38" s="153">
        <f t="shared" si="15"/>
        <v>-90200</v>
      </c>
      <c r="AO38" s="154">
        <f t="shared" si="16"/>
        <v>-90200</v>
      </c>
      <c r="AP38" s="150">
        <v>90200</v>
      </c>
      <c r="AQ38" s="201">
        <v>0</v>
      </c>
      <c r="AR38" s="199"/>
      <c r="AS38" s="150">
        <f>AQ38+AR38</f>
        <v>0</v>
      </c>
      <c r="AT38" s="155" t="s">
        <v>4801</v>
      </c>
      <c r="AU38" s="156">
        <f t="shared" si="5"/>
        <v>90200</v>
      </c>
      <c r="AV38" s="156">
        <f t="shared" si="6"/>
        <v>0</v>
      </c>
      <c r="AW38" s="157" t="s">
        <v>4796</v>
      </c>
      <c r="AX38" s="150">
        <v>0</v>
      </c>
      <c r="AY38" s="150">
        <v>0</v>
      </c>
      <c r="AZ38" s="150"/>
      <c r="BA38" s="150">
        <f t="shared" si="34"/>
        <v>0</v>
      </c>
      <c r="BB38" s="202">
        <v>4</v>
      </c>
      <c r="BC38" s="202" t="s">
        <v>632</v>
      </c>
      <c r="BD38" s="202" t="s">
        <v>647</v>
      </c>
      <c r="BE38" s="202" t="s">
        <v>647</v>
      </c>
      <c r="BF38" s="202" t="s">
        <v>647</v>
      </c>
      <c r="BG38" s="203" t="s">
        <v>4800</v>
      </c>
      <c r="BH38" s="216">
        <f>AS38</f>
        <v>0</v>
      </c>
      <c r="BI38" s="202" t="s">
        <v>1519</v>
      </c>
      <c r="BJ38" s="202" t="s">
        <v>4802</v>
      </c>
      <c r="BK38" s="202" t="s">
        <v>502</v>
      </c>
      <c r="BL38" s="203" t="s">
        <v>4803</v>
      </c>
      <c r="BM38" s="208">
        <f>BH38</f>
        <v>0</v>
      </c>
      <c r="BN38" s="160"/>
      <c r="BO38" s="161">
        <f t="shared" si="18"/>
        <v>0</v>
      </c>
      <c r="BP38" s="161"/>
    </row>
    <row r="39" spans="1:68" ht="51">
      <c r="A39" s="191" t="s">
        <v>4804</v>
      </c>
      <c r="B39" s="184"/>
      <c r="C39" s="185" t="s">
        <v>4805</v>
      </c>
      <c r="D39" s="146" t="s">
        <v>4692</v>
      </c>
      <c r="E39" s="185" t="s">
        <v>4805</v>
      </c>
      <c r="F39" s="186">
        <v>4514840.72</v>
      </c>
      <c r="G39" s="187">
        <v>157176</v>
      </c>
      <c r="H39" s="187">
        <v>0</v>
      </c>
      <c r="I39" s="187">
        <v>157176</v>
      </c>
      <c r="J39" s="186">
        <f>SUBTOTAL(9,J40:J53)</f>
        <v>0</v>
      </c>
      <c r="K39" s="186">
        <f>SUBTOTAL(9,K40:K53)</f>
        <v>0</v>
      </c>
      <c r="L39" s="186">
        <f t="shared" si="35"/>
        <v>0</v>
      </c>
      <c r="M39" s="188">
        <v>0</v>
      </c>
      <c r="N39" s="188">
        <v>0</v>
      </c>
      <c r="O39" s="188">
        <v>0</v>
      </c>
      <c r="P39" s="225">
        <f t="shared" ref="P39:AD39" si="69">SUBTOTAL(9,P40:P53)</f>
        <v>0</v>
      </c>
      <c r="Q39" s="225">
        <f t="shared" si="69"/>
        <v>0</v>
      </c>
      <c r="R39" s="225">
        <f t="shared" si="69"/>
        <v>0</v>
      </c>
      <c r="S39" s="150">
        <f t="shared" si="9"/>
        <v>0</v>
      </c>
      <c r="T39" s="213"/>
      <c r="U39" s="225">
        <f t="shared" ref="U39:W39" si="70">SUBTOTAL(9,U40:U53)</f>
        <v>0</v>
      </c>
      <c r="V39" s="226">
        <f t="shared" si="70"/>
        <v>46636.29</v>
      </c>
      <c r="W39" s="225">
        <f t="shared" si="70"/>
        <v>46636.29</v>
      </c>
      <c r="X39" s="225">
        <v>0</v>
      </c>
      <c r="Y39" s="225">
        <v>46636.29</v>
      </c>
      <c r="Z39" s="225">
        <v>46636.29</v>
      </c>
      <c r="AA39" s="225">
        <f t="shared" si="11"/>
        <v>3712694.68</v>
      </c>
      <c r="AB39" s="225">
        <v>3712694.68</v>
      </c>
      <c r="AC39" s="226">
        <v>46636.29</v>
      </c>
      <c r="AD39" s="225">
        <f t="shared" si="69"/>
        <v>3759330.97</v>
      </c>
      <c r="AE39" s="225">
        <v>4062330.97</v>
      </c>
      <c r="AF39" s="169" t="s">
        <v>4680</v>
      </c>
      <c r="AG39" s="212">
        <v>3712694.68</v>
      </c>
      <c r="AH39" s="226">
        <v>349636.29</v>
      </c>
      <c r="AI39" s="225">
        <v>4062330.97</v>
      </c>
      <c r="AJ39" s="169">
        <f t="shared" si="13"/>
        <v>0</v>
      </c>
      <c r="AK39" s="212">
        <v>3712694.68</v>
      </c>
      <c r="AL39" s="226">
        <v>349636.29</v>
      </c>
      <c r="AM39" s="225">
        <f t="shared" ref="AM39" si="71">SUBTOTAL(9,AM40:AM53)</f>
        <v>4062330.97</v>
      </c>
      <c r="AN39" s="153">
        <f t="shared" si="15"/>
        <v>0</v>
      </c>
      <c r="AO39" s="154">
        <f t="shared" si="16"/>
        <v>0</v>
      </c>
      <c r="AP39" s="225">
        <v>4062330.97</v>
      </c>
      <c r="AQ39" s="212">
        <v>4062330.97</v>
      </c>
      <c r="AR39" s="226">
        <f t="shared" ref="AR39:AS39" si="72">SUBTOTAL(9,AR40:AR53)</f>
        <v>0</v>
      </c>
      <c r="AS39" s="225">
        <f t="shared" si="72"/>
        <v>4062330.97</v>
      </c>
      <c r="AT39" s="155"/>
      <c r="AU39" s="156">
        <f t="shared" si="5"/>
        <v>303000</v>
      </c>
      <c r="AV39" s="156">
        <f t="shared" si="6"/>
        <v>3712694.68</v>
      </c>
      <c r="AW39" s="157"/>
      <c r="AX39" s="150">
        <v>46636.29</v>
      </c>
      <c r="AY39" s="225">
        <f t="shared" ref="AY39:BA39" si="73">SUBTOTAL(9,AY40:AY53)</f>
        <v>0</v>
      </c>
      <c r="AZ39" s="225">
        <f t="shared" si="73"/>
        <v>0</v>
      </c>
      <c r="BA39" s="225">
        <f t="shared" si="73"/>
        <v>0</v>
      </c>
      <c r="BB39" s="191">
        <v>4</v>
      </c>
      <c r="BC39" s="191" t="s">
        <v>632</v>
      </c>
      <c r="BD39" s="183" t="s">
        <v>647</v>
      </c>
      <c r="BE39" s="183" t="s">
        <v>671</v>
      </c>
      <c r="BF39" s="191" t="s">
        <v>630</v>
      </c>
      <c r="BG39" s="185" t="s">
        <v>4805</v>
      </c>
      <c r="BH39" s="215">
        <f>SUBTOTAL(9,BH40:BH53)</f>
        <v>4062330.97</v>
      </c>
      <c r="BI39" s="191"/>
      <c r="BJ39" s="191" t="s">
        <v>4806</v>
      </c>
      <c r="BK39" s="191" t="s">
        <v>4804</v>
      </c>
      <c r="BL39" s="193" t="s">
        <v>4807</v>
      </c>
      <c r="BM39" s="215">
        <f>SUBTOTAL(9,BM40:BM53)</f>
        <v>4062330.97</v>
      </c>
      <c r="BN39" s="160"/>
      <c r="BO39" s="161">
        <f t="shared" si="18"/>
        <v>0</v>
      </c>
      <c r="BP39" s="161"/>
    </row>
    <row r="40" spans="1:68" ht="36">
      <c r="A40" s="194" t="s">
        <v>4808</v>
      </c>
      <c r="B40" s="195" t="s">
        <v>4809</v>
      </c>
      <c r="C40" s="196" t="s">
        <v>4810</v>
      </c>
      <c r="D40" s="146" t="s">
        <v>4692</v>
      </c>
      <c r="E40" s="196" t="s">
        <v>4810</v>
      </c>
      <c r="F40" s="150">
        <v>157175.72</v>
      </c>
      <c r="G40" s="209">
        <v>157176</v>
      </c>
      <c r="H40" s="209"/>
      <c r="I40" s="209">
        <v>157176</v>
      </c>
      <c r="J40" s="150">
        <v>0</v>
      </c>
      <c r="K40" s="150">
        <v>0</v>
      </c>
      <c r="L40" s="150">
        <f t="shared" si="35"/>
        <v>0</v>
      </c>
      <c r="M40" s="150">
        <v>0</v>
      </c>
      <c r="N40" s="150"/>
      <c r="O40" s="150">
        <v>0</v>
      </c>
      <c r="P40" s="150">
        <v>0</v>
      </c>
      <c r="Q40" s="150"/>
      <c r="R40" s="150">
        <f t="shared" ref="R40:R53" si="74">P40+Q40</f>
        <v>0</v>
      </c>
      <c r="S40" s="150">
        <f t="shared" si="9"/>
        <v>0</v>
      </c>
      <c r="T40" s="150"/>
      <c r="U40" s="150">
        <v>0</v>
      </c>
      <c r="V40" s="230">
        <v>46636.29</v>
      </c>
      <c r="W40" s="150">
        <f t="shared" ref="W40:W53" si="75">U40+V40</f>
        <v>46636.29</v>
      </c>
      <c r="X40" s="150">
        <v>0</v>
      </c>
      <c r="Y40" s="150">
        <v>46636.29</v>
      </c>
      <c r="Z40" s="150">
        <v>46636.29</v>
      </c>
      <c r="AA40" s="150">
        <f t="shared" si="11"/>
        <v>0</v>
      </c>
      <c r="AB40" s="150">
        <v>0</v>
      </c>
      <c r="AC40" s="230">
        <v>46636.29</v>
      </c>
      <c r="AD40" s="150">
        <f t="shared" ref="AD40:AD53" si="76">AB40+AC40</f>
        <v>46636.29</v>
      </c>
      <c r="AE40" s="200">
        <v>349636.29</v>
      </c>
      <c r="AF40" s="169" t="s">
        <v>4680</v>
      </c>
      <c r="AG40" s="201">
        <v>0</v>
      </c>
      <c r="AH40" s="200">
        <v>349636.29</v>
      </c>
      <c r="AI40" s="150">
        <v>349636.29</v>
      </c>
      <c r="AJ40" s="169">
        <f t="shared" si="13"/>
        <v>0</v>
      </c>
      <c r="AK40" s="201">
        <v>0</v>
      </c>
      <c r="AL40" s="200">
        <v>349636.29</v>
      </c>
      <c r="AM40" s="150">
        <f t="shared" ref="AM40:AM53" si="77">AK40+AL40</f>
        <v>349636.29</v>
      </c>
      <c r="AN40" s="153">
        <f t="shared" si="15"/>
        <v>0</v>
      </c>
      <c r="AO40" s="154">
        <f t="shared" si="16"/>
        <v>0</v>
      </c>
      <c r="AP40" s="150">
        <v>349636.29</v>
      </c>
      <c r="AQ40" s="201">
        <v>349636.29</v>
      </c>
      <c r="AR40" s="199"/>
      <c r="AS40" s="150">
        <f t="shared" ref="AS40:AS53" si="78">AQ40+AR40</f>
        <v>349636.29</v>
      </c>
      <c r="AT40" s="155" t="s">
        <v>4811</v>
      </c>
      <c r="AU40" s="156">
        <f t="shared" si="5"/>
        <v>303000</v>
      </c>
      <c r="AV40" s="156">
        <f t="shared" si="6"/>
        <v>0</v>
      </c>
      <c r="AW40" s="157"/>
      <c r="AX40" s="150">
        <v>46636.29</v>
      </c>
      <c r="AY40" s="150">
        <v>0</v>
      </c>
      <c r="AZ40" s="150"/>
      <c r="BA40" s="150">
        <f t="shared" si="34"/>
        <v>0</v>
      </c>
      <c r="BB40" s="202">
        <v>4</v>
      </c>
      <c r="BC40" s="202" t="s">
        <v>632</v>
      </c>
      <c r="BD40" s="202" t="s">
        <v>647</v>
      </c>
      <c r="BE40" s="202" t="s">
        <v>671</v>
      </c>
      <c r="BF40" s="194" t="s">
        <v>1247</v>
      </c>
      <c r="BG40" s="231" t="s">
        <v>4812</v>
      </c>
      <c r="BH40" s="216">
        <f>AS40</f>
        <v>349636.29</v>
      </c>
      <c r="BI40" s="202"/>
      <c r="BJ40" s="194" t="s">
        <v>4813</v>
      </c>
      <c r="BK40" s="194" t="s">
        <v>4808</v>
      </c>
      <c r="BL40" s="207" t="s">
        <v>4814</v>
      </c>
      <c r="BM40" s="208">
        <f>BH40</f>
        <v>349636.29</v>
      </c>
      <c r="BN40" s="160"/>
      <c r="BO40" s="161">
        <f t="shared" si="18"/>
        <v>0</v>
      </c>
      <c r="BP40" s="161"/>
    </row>
    <row r="41" spans="1:68" ht="38.25">
      <c r="A41" s="194" t="s">
        <v>503</v>
      </c>
      <c r="B41" s="195" t="s">
        <v>4815</v>
      </c>
      <c r="C41" s="196" t="s">
        <v>4816</v>
      </c>
      <c r="D41" s="146" t="s">
        <v>4692</v>
      </c>
      <c r="E41" s="196" t="s">
        <v>4816</v>
      </c>
      <c r="F41" s="150">
        <v>0</v>
      </c>
      <c r="G41" s="209">
        <v>0</v>
      </c>
      <c r="H41" s="209"/>
      <c r="I41" s="209">
        <v>0</v>
      </c>
      <c r="J41" s="150">
        <v>0</v>
      </c>
      <c r="K41" s="150">
        <v>0</v>
      </c>
      <c r="L41" s="150">
        <f t="shared" si="35"/>
        <v>0</v>
      </c>
      <c r="M41" s="150">
        <v>0</v>
      </c>
      <c r="N41" s="150"/>
      <c r="O41" s="150">
        <v>0</v>
      </c>
      <c r="P41" s="150">
        <v>0</v>
      </c>
      <c r="Q41" s="150"/>
      <c r="R41" s="150">
        <f t="shared" si="74"/>
        <v>0</v>
      </c>
      <c r="S41" s="150">
        <f t="shared" si="9"/>
        <v>0</v>
      </c>
      <c r="T41" s="150"/>
      <c r="U41" s="150">
        <v>0</v>
      </c>
      <c r="V41" s="199"/>
      <c r="W41" s="150">
        <f t="shared" si="75"/>
        <v>0</v>
      </c>
      <c r="X41" s="150">
        <v>0</v>
      </c>
      <c r="Y41" s="150"/>
      <c r="Z41" s="150">
        <v>0</v>
      </c>
      <c r="AA41" s="150">
        <f t="shared" si="11"/>
        <v>0</v>
      </c>
      <c r="AB41" s="150">
        <v>0</v>
      </c>
      <c r="AC41" s="199"/>
      <c r="AD41" s="150">
        <f t="shared" si="76"/>
        <v>0</v>
      </c>
      <c r="AE41" s="150">
        <v>0</v>
      </c>
      <c r="AF41" s="169" t="s">
        <v>4680</v>
      </c>
      <c r="AG41" s="201">
        <v>0</v>
      </c>
      <c r="AH41" s="199"/>
      <c r="AI41" s="150">
        <v>0</v>
      </c>
      <c r="AJ41" s="169">
        <f t="shared" si="13"/>
        <v>0</v>
      </c>
      <c r="AK41" s="201">
        <v>0</v>
      </c>
      <c r="AL41" s="199"/>
      <c r="AM41" s="150">
        <f t="shared" si="77"/>
        <v>0</v>
      </c>
      <c r="AN41" s="153">
        <f t="shared" si="15"/>
        <v>0</v>
      </c>
      <c r="AO41" s="154">
        <f t="shared" si="16"/>
        <v>0</v>
      </c>
      <c r="AP41" s="150">
        <v>0</v>
      </c>
      <c r="AQ41" s="201">
        <v>0</v>
      </c>
      <c r="AR41" s="199"/>
      <c r="AS41" s="150">
        <f t="shared" si="78"/>
        <v>0</v>
      </c>
      <c r="AT41" s="155"/>
      <c r="AU41" s="156">
        <f t="shared" si="5"/>
        <v>0</v>
      </c>
      <c r="AV41" s="156">
        <f t="shared" si="6"/>
        <v>0</v>
      </c>
      <c r="AW41" s="157"/>
      <c r="AX41" s="150">
        <v>0</v>
      </c>
      <c r="AY41" s="150">
        <v>0</v>
      </c>
      <c r="AZ41" s="150"/>
      <c r="BA41" s="150">
        <f t="shared" si="34"/>
        <v>0</v>
      </c>
      <c r="BB41" s="202">
        <v>4</v>
      </c>
      <c r="BC41" s="202" t="s">
        <v>632</v>
      </c>
      <c r="BD41" s="202" t="s">
        <v>647</v>
      </c>
      <c r="BE41" s="202" t="s">
        <v>671</v>
      </c>
      <c r="BF41" s="202" t="s">
        <v>632</v>
      </c>
      <c r="BG41" s="231" t="s">
        <v>4816</v>
      </c>
      <c r="BH41" s="216">
        <f>AS41</f>
        <v>0</v>
      </c>
      <c r="BI41" s="202"/>
      <c r="BJ41" s="194" t="s">
        <v>4817</v>
      </c>
      <c r="BK41" s="194" t="s">
        <v>503</v>
      </c>
      <c r="BL41" s="207" t="s">
        <v>4818</v>
      </c>
      <c r="BM41" s="208">
        <f>BH41</f>
        <v>0</v>
      </c>
      <c r="BN41" s="160"/>
      <c r="BO41" s="161">
        <f t="shared" si="18"/>
        <v>0</v>
      </c>
      <c r="BP41" s="161"/>
    </row>
    <row r="42" spans="1:68" ht="38.25">
      <c r="A42" s="194" t="s">
        <v>503</v>
      </c>
      <c r="B42" s="195" t="s">
        <v>4819</v>
      </c>
      <c r="C42" s="196" t="s">
        <v>4820</v>
      </c>
      <c r="D42" s="146" t="s">
        <v>4692</v>
      </c>
      <c r="E42" s="196" t="s">
        <v>4820</v>
      </c>
      <c r="F42" s="150">
        <v>0</v>
      </c>
      <c r="G42" s="209">
        <v>0</v>
      </c>
      <c r="H42" s="209"/>
      <c r="I42" s="209">
        <v>0</v>
      </c>
      <c r="J42" s="150">
        <v>0</v>
      </c>
      <c r="K42" s="150">
        <v>0</v>
      </c>
      <c r="L42" s="150">
        <f t="shared" si="35"/>
        <v>0</v>
      </c>
      <c r="M42" s="150">
        <v>0</v>
      </c>
      <c r="N42" s="150"/>
      <c r="O42" s="150">
        <v>0</v>
      </c>
      <c r="P42" s="150">
        <v>0</v>
      </c>
      <c r="Q42" s="150"/>
      <c r="R42" s="150">
        <f t="shared" si="74"/>
        <v>0</v>
      </c>
      <c r="S42" s="150">
        <f t="shared" si="9"/>
        <v>0</v>
      </c>
      <c r="T42" s="150"/>
      <c r="U42" s="150">
        <v>0</v>
      </c>
      <c r="V42" s="199"/>
      <c r="W42" s="150">
        <f t="shared" si="75"/>
        <v>0</v>
      </c>
      <c r="X42" s="150">
        <v>0</v>
      </c>
      <c r="Y42" s="150"/>
      <c r="Z42" s="150">
        <v>0</v>
      </c>
      <c r="AA42" s="150">
        <f t="shared" si="11"/>
        <v>0</v>
      </c>
      <c r="AB42" s="150">
        <v>0</v>
      </c>
      <c r="AC42" s="199"/>
      <c r="AD42" s="150">
        <f t="shared" si="76"/>
        <v>0</v>
      </c>
      <c r="AE42" s="150">
        <v>0</v>
      </c>
      <c r="AF42" s="169" t="s">
        <v>4680</v>
      </c>
      <c r="AG42" s="201">
        <v>0</v>
      </c>
      <c r="AH42" s="199"/>
      <c r="AI42" s="150">
        <v>0</v>
      </c>
      <c r="AJ42" s="169">
        <f t="shared" si="13"/>
        <v>0</v>
      </c>
      <c r="AK42" s="201">
        <v>0</v>
      </c>
      <c r="AL42" s="199"/>
      <c r="AM42" s="150">
        <f t="shared" si="77"/>
        <v>0</v>
      </c>
      <c r="AN42" s="153">
        <f t="shared" si="15"/>
        <v>0</v>
      </c>
      <c r="AO42" s="154">
        <f t="shared" si="16"/>
        <v>0</v>
      </c>
      <c r="AP42" s="150">
        <v>0</v>
      </c>
      <c r="AQ42" s="201">
        <v>0</v>
      </c>
      <c r="AR42" s="199"/>
      <c r="AS42" s="150">
        <f t="shared" si="78"/>
        <v>0</v>
      </c>
      <c r="AT42" s="155"/>
      <c r="AU42" s="156">
        <f t="shared" si="5"/>
        <v>0</v>
      </c>
      <c r="AV42" s="156">
        <f t="shared" si="6"/>
        <v>0</v>
      </c>
      <c r="AW42" s="157"/>
      <c r="AX42" s="150">
        <v>0</v>
      </c>
      <c r="AY42" s="150">
        <v>0</v>
      </c>
      <c r="AZ42" s="150"/>
      <c r="BA42" s="150">
        <f t="shared" si="34"/>
        <v>0</v>
      </c>
      <c r="BB42" s="202">
        <v>4</v>
      </c>
      <c r="BC42" s="202" t="s">
        <v>632</v>
      </c>
      <c r="BD42" s="202" t="s">
        <v>647</v>
      </c>
      <c r="BE42" s="202" t="s">
        <v>671</v>
      </c>
      <c r="BF42" s="194" t="s">
        <v>647</v>
      </c>
      <c r="BG42" s="231" t="s">
        <v>4821</v>
      </c>
      <c r="BH42" s="216">
        <f>AS42</f>
        <v>0</v>
      </c>
      <c r="BI42" s="202"/>
      <c r="BJ42" s="194" t="s">
        <v>4817</v>
      </c>
      <c r="BK42" s="194" t="s">
        <v>503</v>
      </c>
      <c r="BL42" s="207" t="s">
        <v>4818</v>
      </c>
      <c r="BM42" s="208">
        <f>BH42</f>
        <v>0</v>
      </c>
      <c r="BN42" s="160"/>
      <c r="BO42" s="161">
        <f t="shared" si="18"/>
        <v>0</v>
      </c>
      <c r="BP42" s="161"/>
    </row>
    <row r="43" spans="1:68" ht="38.25">
      <c r="A43" s="194" t="s">
        <v>503</v>
      </c>
      <c r="B43" s="195" t="s">
        <v>4822</v>
      </c>
      <c r="C43" s="196" t="s">
        <v>4823</v>
      </c>
      <c r="D43" s="146" t="s">
        <v>4692</v>
      </c>
      <c r="E43" s="196" t="s">
        <v>4823</v>
      </c>
      <c r="F43" s="150">
        <v>0</v>
      </c>
      <c r="G43" s="209">
        <v>0</v>
      </c>
      <c r="H43" s="209"/>
      <c r="I43" s="209">
        <v>0</v>
      </c>
      <c r="J43" s="150">
        <v>0</v>
      </c>
      <c r="K43" s="150">
        <v>0</v>
      </c>
      <c r="L43" s="150">
        <f t="shared" si="35"/>
        <v>0</v>
      </c>
      <c r="M43" s="150">
        <v>0</v>
      </c>
      <c r="N43" s="150"/>
      <c r="O43" s="150">
        <v>0</v>
      </c>
      <c r="P43" s="150">
        <v>0</v>
      </c>
      <c r="Q43" s="150"/>
      <c r="R43" s="150">
        <f t="shared" si="74"/>
        <v>0</v>
      </c>
      <c r="S43" s="150">
        <f t="shared" si="9"/>
        <v>0</v>
      </c>
      <c r="T43" s="150"/>
      <c r="U43" s="150">
        <v>0</v>
      </c>
      <c r="V43" s="199"/>
      <c r="W43" s="150">
        <f t="shared" si="75"/>
        <v>0</v>
      </c>
      <c r="X43" s="150">
        <v>0</v>
      </c>
      <c r="Y43" s="150"/>
      <c r="Z43" s="150">
        <v>0</v>
      </c>
      <c r="AA43" s="150">
        <f t="shared" si="11"/>
        <v>0</v>
      </c>
      <c r="AB43" s="150">
        <v>0</v>
      </c>
      <c r="AC43" s="199"/>
      <c r="AD43" s="150">
        <f t="shared" si="76"/>
        <v>0</v>
      </c>
      <c r="AE43" s="150">
        <v>0</v>
      </c>
      <c r="AF43" s="169" t="s">
        <v>4680</v>
      </c>
      <c r="AG43" s="201">
        <v>0</v>
      </c>
      <c r="AH43" s="199"/>
      <c r="AI43" s="150">
        <v>0</v>
      </c>
      <c r="AJ43" s="169">
        <f t="shared" si="13"/>
        <v>0</v>
      </c>
      <c r="AK43" s="201">
        <v>0</v>
      </c>
      <c r="AL43" s="199"/>
      <c r="AM43" s="150">
        <f t="shared" si="77"/>
        <v>0</v>
      </c>
      <c r="AN43" s="153">
        <f t="shared" si="15"/>
        <v>0</v>
      </c>
      <c r="AO43" s="154">
        <f t="shared" si="16"/>
        <v>0</v>
      </c>
      <c r="AP43" s="150">
        <v>0</v>
      </c>
      <c r="AQ43" s="201">
        <v>0</v>
      </c>
      <c r="AR43" s="199"/>
      <c r="AS43" s="150">
        <f t="shared" si="78"/>
        <v>0</v>
      </c>
      <c r="AT43" s="155"/>
      <c r="AU43" s="156">
        <f t="shared" si="5"/>
        <v>0</v>
      </c>
      <c r="AV43" s="156">
        <f t="shared" si="6"/>
        <v>0</v>
      </c>
      <c r="AW43" s="157"/>
      <c r="AX43" s="150">
        <v>0</v>
      </c>
      <c r="AY43" s="150">
        <v>0</v>
      </c>
      <c r="AZ43" s="150"/>
      <c r="BA43" s="150">
        <f t="shared" si="34"/>
        <v>0</v>
      </c>
      <c r="BB43" s="202">
        <v>4</v>
      </c>
      <c r="BC43" s="202" t="s">
        <v>632</v>
      </c>
      <c r="BD43" s="202" t="s">
        <v>647</v>
      </c>
      <c r="BE43" s="202" t="s">
        <v>671</v>
      </c>
      <c r="BF43" s="202" t="s">
        <v>671</v>
      </c>
      <c r="BG43" s="231" t="s">
        <v>4824</v>
      </c>
      <c r="BH43" s="216">
        <f>AS43</f>
        <v>0</v>
      </c>
      <c r="BI43" s="202"/>
      <c r="BJ43" s="194" t="s">
        <v>4817</v>
      </c>
      <c r="BK43" s="194" t="s">
        <v>503</v>
      </c>
      <c r="BL43" s="207" t="s">
        <v>4818</v>
      </c>
      <c r="BM43" s="208">
        <f>BH43</f>
        <v>0</v>
      </c>
      <c r="BN43" s="160"/>
      <c r="BO43" s="161">
        <f t="shared" si="18"/>
        <v>0</v>
      </c>
      <c r="BP43" s="161"/>
    </row>
    <row r="44" spans="1:68" ht="60">
      <c r="A44" s="194" t="s">
        <v>503</v>
      </c>
      <c r="B44" s="195" t="s">
        <v>4825</v>
      </c>
      <c r="C44" s="196" t="s">
        <v>4826</v>
      </c>
      <c r="D44" s="146" t="s">
        <v>4692</v>
      </c>
      <c r="E44" s="196" t="s">
        <v>4826</v>
      </c>
      <c r="F44" s="150">
        <v>4302465</v>
      </c>
      <c r="G44" s="209">
        <v>0</v>
      </c>
      <c r="H44" s="209"/>
      <c r="I44" s="209">
        <v>0</v>
      </c>
      <c r="J44" s="150">
        <v>0</v>
      </c>
      <c r="K44" s="150">
        <v>0</v>
      </c>
      <c r="L44" s="150">
        <f t="shared" si="35"/>
        <v>0</v>
      </c>
      <c r="M44" s="150">
        <v>0</v>
      </c>
      <c r="N44" s="150"/>
      <c r="O44" s="150">
        <v>0</v>
      </c>
      <c r="P44" s="150">
        <v>0</v>
      </c>
      <c r="Q44" s="150"/>
      <c r="R44" s="150">
        <f t="shared" si="74"/>
        <v>0</v>
      </c>
      <c r="S44" s="150">
        <f t="shared" si="9"/>
        <v>0</v>
      </c>
      <c r="T44" s="150"/>
      <c r="U44" s="150">
        <v>0</v>
      </c>
      <c r="V44" s="230"/>
      <c r="W44" s="150">
        <f t="shared" si="75"/>
        <v>0</v>
      </c>
      <c r="X44" s="150">
        <v>0</v>
      </c>
      <c r="Y44" s="150"/>
      <c r="Z44" s="150">
        <v>0</v>
      </c>
      <c r="AA44" s="150">
        <f t="shared" si="11"/>
        <v>3712694.68</v>
      </c>
      <c r="AB44" s="150">
        <v>3712694.68</v>
      </c>
      <c r="AC44" s="230"/>
      <c r="AD44" s="150">
        <f t="shared" si="76"/>
        <v>3712694.68</v>
      </c>
      <c r="AE44" s="150">
        <v>3712694.68</v>
      </c>
      <c r="AF44" s="169" t="s">
        <v>4680</v>
      </c>
      <c r="AG44" s="201">
        <v>3712694.68</v>
      </c>
      <c r="AH44" s="199"/>
      <c r="AI44" s="150">
        <v>3712694.68</v>
      </c>
      <c r="AJ44" s="169">
        <f t="shared" si="13"/>
        <v>0</v>
      </c>
      <c r="AK44" s="201">
        <v>3712694.68</v>
      </c>
      <c r="AL44" s="199"/>
      <c r="AM44" s="150">
        <f t="shared" si="77"/>
        <v>3712694.68</v>
      </c>
      <c r="AN44" s="153">
        <f t="shared" si="15"/>
        <v>0</v>
      </c>
      <c r="AO44" s="154">
        <f t="shared" si="16"/>
        <v>0</v>
      </c>
      <c r="AP44" s="150">
        <v>3712694.68</v>
      </c>
      <c r="AQ44" s="201">
        <v>3712694.68</v>
      </c>
      <c r="AR44" s="199"/>
      <c r="AS44" s="150">
        <f t="shared" si="78"/>
        <v>3712694.68</v>
      </c>
      <c r="AT44" s="155" t="s">
        <v>4827</v>
      </c>
      <c r="AU44" s="156">
        <f t="shared" si="5"/>
        <v>0</v>
      </c>
      <c r="AV44" s="156">
        <f t="shared" si="6"/>
        <v>3712694.68</v>
      </c>
      <c r="AW44" s="157" t="s">
        <v>4828</v>
      </c>
      <c r="AX44" s="150">
        <v>0</v>
      </c>
      <c r="AY44" s="150">
        <v>0</v>
      </c>
      <c r="AZ44" s="150"/>
      <c r="BA44" s="150">
        <f t="shared" si="34"/>
        <v>0</v>
      </c>
      <c r="BB44" s="202">
        <v>4</v>
      </c>
      <c r="BC44" s="202" t="s">
        <v>632</v>
      </c>
      <c r="BD44" s="202" t="s">
        <v>647</v>
      </c>
      <c r="BE44" s="202" t="s">
        <v>671</v>
      </c>
      <c r="BF44" s="202" t="s">
        <v>693</v>
      </c>
      <c r="BG44" s="203" t="s">
        <v>4829</v>
      </c>
      <c r="BH44" s="216">
        <f>AS44+AS45</f>
        <v>3712694.68</v>
      </c>
      <c r="BI44" s="202"/>
      <c r="BJ44" s="194" t="s">
        <v>4817</v>
      </c>
      <c r="BK44" s="194" t="s">
        <v>503</v>
      </c>
      <c r="BL44" s="207" t="s">
        <v>4818</v>
      </c>
      <c r="BM44" s="208">
        <f>BH44</f>
        <v>3712694.68</v>
      </c>
      <c r="BN44" s="160"/>
      <c r="BO44" s="161">
        <f t="shared" si="18"/>
        <v>0</v>
      </c>
      <c r="BP44" s="161"/>
    </row>
    <row r="45" spans="1:68" ht="38.25">
      <c r="A45" s="210"/>
      <c r="B45" s="195" t="s">
        <v>4830</v>
      </c>
      <c r="C45" s="196" t="s">
        <v>4831</v>
      </c>
      <c r="D45" s="146" t="s">
        <v>4692</v>
      </c>
      <c r="E45" s="196" t="s">
        <v>4831</v>
      </c>
      <c r="F45" s="150">
        <v>55200</v>
      </c>
      <c r="G45" s="209">
        <v>0</v>
      </c>
      <c r="H45" s="209"/>
      <c r="I45" s="209">
        <v>0</v>
      </c>
      <c r="J45" s="150">
        <v>0</v>
      </c>
      <c r="K45" s="150">
        <v>0</v>
      </c>
      <c r="L45" s="150">
        <f t="shared" si="35"/>
        <v>0</v>
      </c>
      <c r="M45" s="150">
        <v>0</v>
      </c>
      <c r="N45" s="150"/>
      <c r="O45" s="150">
        <v>0</v>
      </c>
      <c r="P45" s="150">
        <v>0</v>
      </c>
      <c r="Q45" s="150"/>
      <c r="R45" s="150">
        <f t="shared" si="74"/>
        <v>0</v>
      </c>
      <c r="S45" s="150">
        <f t="shared" si="9"/>
        <v>0</v>
      </c>
      <c r="T45" s="150"/>
      <c r="U45" s="150">
        <v>0</v>
      </c>
      <c r="V45" s="230"/>
      <c r="W45" s="150">
        <f t="shared" si="75"/>
        <v>0</v>
      </c>
      <c r="X45" s="150">
        <v>0</v>
      </c>
      <c r="Y45" s="150"/>
      <c r="Z45" s="150">
        <v>0</v>
      </c>
      <c r="AA45" s="150">
        <f t="shared" si="11"/>
        <v>0</v>
      </c>
      <c r="AB45" s="150">
        <v>0</v>
      </c>
      <c r="AC45" s="230"/>
      <c r="AD45" s="150">
        <f t="shared" si="76"/>
        <v>0</v>
      </c>
      <c r="AE45" s="150">
        <v>0</v>
      </c>
      <c r="AF45" s="169" t="s">
        <v>4680</v>
      </c>
      <c r="AG45" s="201">
        <v>0</v>
      </c>
      <c r="AH45" s="199"/>
      <c r="AI45" s="150">
        <v>0</v>
      </c>
      <c r="AJ45" s="169">
        <f t="shared" si="13"/>
        <v>0</v>
      </c>
      <c r="AK45" s="201">
        <v>0</v>
      </c>
      <c r="AL45" s="199"/>
      <c r="AM45" s="150">
        <f t="shared" si="77"/>
        <v>0</v>
      </c>
      <c r="AN45" s="153">
        <f t="shared" si="15"/>
        <v>0</v>
      </c>
      <c r="AO45" s="154">
        <f t="shared" si="16"/>
        <v>0</v>
      </c>
      <c r="AP45" s="150">
        <v>0</v>
      </c>
      <c r="AQ45" s="201">
        <v>0</v>
      </c>
      <c r="AR45" s="199"/>
      <c r="AS45" s="150">
        <f t="shared" si="78"/>
        <v>0</v>
      </c>
      <c r="AT45" s="155" t="s">
        <v>4832</v>
      </c>
      <c r="AU45" s="156">
        <f t="shared" si="5"/>
        <v>0</v>
      </c>
      <c r="AV45" s="156">
        <f t="shared" si="6"/>
        <v>0</v>
      </c>
      <c r="AW45" s="157" t="s">
        <v>4832</v>
      </c>
      <c r="AX45" s="150">
        <v>0</v>
      </c>
      <c r="AY45" s="150">
        <v>0</v>
      </c>
      <c r="AZ45" s="150"/>
      <c r="BA45" s="150">
        <f t="shared" si="34"/>
        <v>0</v>
      </c>
      <c r="BB45" s="210"/>
      <c r="BC45" s="210"/>
      <c r="BD45" s="210"/>
      <c r="BE45" s="210"/>
      <c r="BF45" s="210"/>
      <c r="BG45" s="210"/>
      <c r="BH45" s="217"/>
      <c r="BI45" s="210"/>
      <c r="BJ45" s="210"/>
      <c r="BK45" s="210"/>
      <c r="BL45" s="210"/>
      <c r="BM45" s="208"/>
      <c r="BN45" s="160"/>
      <c r="BO45" s="161">
        <f t="shared" si="18"/>
        <v>0</v>
      </c>
      <c r="BP45" s="161"/>
    </row>
    <row r="46" spans="1:68" ht="38.25">
      <c r="A46" s="194" t="s">
        <v>504</v>
      </c>
      <c r="B46" s="195" t="s">
        <v>4833</v>
      </c>
      <c r="C46" s="196" t="s">
        <v>4834</v>
      </c>
      <c r="D46" s="146" t="s">
        <v>4692</v>
      </c>
      <c r="E46" s="196" t="s">
        <v>4834</v>
      </c>
      <c r="F46" s="150">
        <v>0</v>
      </c>
      <c r="G46" s="209">
        <v>0</v>
      </c>
      <c r="H46" s="209"/>
      <c r="I46" s="209">
        <v>0</v>
      </c>
      <c r="J46" s="150">
        <v>0</v>
      </c>
      <c r="K46" s="150">
        <v>0</v>
      </c>
      <c r="L46" s="150">
        <f t="shared" si="35"/>
        <v>0</v>
      </c>
      <c r="M46" s="150">
        <v>0</v>
      </c>
      <c r="N46" s="150"/>
      <c r="O46" s="150">
        <v>0</v>
      </c>
      <c r="P46" s="150">
        <v>0</v>
      </c>
      <c r="Q46" s="150"/>
      <c r="R46" s="150">
        <f t="shared" si="74"/>
        <v>0</v>
      </c>
      <c r="S46" s="150">
        <f t="shared" si="9"/>
        <v>0</v>
      </c>
      <c r="T46" s="150"/>
      <c r="U46" s="150">
        <v>0</v>
      </c>
      <c r="V46" s="199"/>
      <c r="W46" s="150">
        <f t="shared" si="75"/>
        <v>0</v>
      </c>
      <c r="X46" s="150">
        <v>0</v>
      </c>
      <c r="Y46" s="150"/>
      <c r="Z46" s="150">
        <v>0</v>
      </c>
      <c r="AA46" s="150">
        <f t="shared" si="11"/>
        <v>0</v>
      </c>
      <c r="AB46" s="150">
        <v>0</v>
      </c>
      <c r="AC46" s="199"/>
      <c r="AD46" s="150">
        <f t="shared" si="76"/>
        <v>0</v>
      </c>
      <c r="AE46" s="150">
        <v>0</v>
      </c>
      <c r="AF46" s="169" t="s">
        <v>4680</v>
      </c>
      <c r="AG46" s="201">
        <v>0</v>
      </c>
      <c r="AH46" s="199"/>
      <c r="AI46" s="150">
        <v>0</v>
      </c>
      <c r="AJ46" s="169">
        <f t="shared" si="13"/>
        <v>0</v>
      </c>
      <c r="AK46" s="201">
        <v>0</v>
      </c>
      <c r="AL46" s="199"/>
      <c r="AM46" s="150">
        <f t="shared" si="77"/>
        <v>0</v>
      </c>
      <c r="AN46" s="153">
        <f t="shared" si="15"/>
        <v>0</v>
      </c>
      <c r="AO46" s="154">
        <f t="shared" si="16"/>
        <v>0</v>
      </c>
      <c r="AP46" s="150">
        <v>0</v>
      </c>
      <c r="AQ46" s="201">
        <v>0</v>
      </c>
      <c r="AR46" s="199"/>
      <c r="AS46" s="150">
        <f t="shared" si="78"/>
        <v>0</v>
      </c>
      <c r="AT46" s="155"/>
      <c r="AU46" s="156">
        <f t="shared" si="5"/>
        <v>0</v>
      </c>
      <c r="AV46" s="156">
        <f t="shared" si="6"/>
        <v>0</v>
      </c>
      <c r="AW46" s="157"/>
      <c r="AX46" s="150">
        <v>0</v>
      </c>
      <c r="AY46" s="150">
        <v>0</v>
      </c>
      <c r="AZ46" s="150"/>
      <c r="BA46" s="150">
        <f t="shared" si="34"/>
        <v>0</v>
      </c>
      <c r="BB46" s="202">
        <v>4</v>
      </c>
      <c r="BC46" s="202" t="s">
        <v>632</v>
      </c>
      <c r="BD46" s="202" t="s">
        <v>647</v>
      </c>
      <c r="BE46" s="202" t="s">
        <v>671</v>
      </c>
      <c r="BF46" s="194" t="s">
        <v>714</v>
      </c>
      <c r="BG46" s="203" t="s">
        <v>4835</v>
      </c>
      <c r="BH46" s="216">
        <f t="shared" ref="BH46:BH53" si="79">AS46</f>
        <v>0</v>
      </c>
      <c r="BI46" s="202"/>
      <c r="BJ46" s="194" t="s">
        <v>4836</v>
      </c>
      <c r="BK46" s="194" t="s">
        <v>504</v>
      </c>
      <c r="BL46" s="207" t="s">
        <v>4837</v>
      </c>
      <c r="BM46" s="208">
        <f t="shared" ref="BM46:BM53" si="80">BH46</f>
        <v>0</v>
      </c>
      <c r="BN46" s="160"/>
      <c r="BO46" s="161">
        <f t="shared" si="18"/>
        <v>0</v>
      </c>
      <c r="BP46" s="161"/>
    </row>
    <row r="47" spans="1:68" ht="38.25">
      <c r="A47" s="194" t="s">
        <v>505</v>
      </c>
      <c r="B47" s="195" t="s">
        <v>4838</v>
      </c>
      <c r="C47" s="196" t="s">
        <v>4839</v>
      </c>
      <c r="D47" s="146" t="s">
        <v>4692</v>
      </c>
      <c r="E47" s="196" t="s">
        <v>4839</v>
      </c>
      <c r="F47" s="150">
        <v>0</v>
      </c>
      <c r="G47" s="209">
        <v>0</v>
      </c>
      <c r="H47" s="209"/>
      <c r="I47" s="209">
        <v>0</v>
      </c>
      <c r="J47" s="150">
        <v>0</v>
      </c>
      <c r="K47" s="150">
        <v>0</v>
      </c>
      <c r="L47" s="150">
        <f t="shared" si="35"/>
        <v>0</v>
      </c>
      <c r="M47" s="150">
        <v>0</v>
      </c>
      <c r="N47" s="150"/>
      <c r="O47" s="150">
        <v>0</v>
      </c>
      <c r="P47" s="150">
        <v>0</v>
      </c>
      <c r="Q47" s="150"/>
      <c r="R47" s="150">
        <f t="shared" si="74"/>
        <v>0</v>
      </c>
      <c r="S47" s="150">
        <f t="shared" si="9"/>
        <v>0</v>
      </c>
      <c r="T47" s="150"/>
      <c r="U47" s="150">
        <v>0</v>
      </c>
      <c r="V47" s="199"/>
      <c r="W47" s="150">
        <f t="shared" si="75"/>
        <v>0</v>
      </c>
      <c r="X47" s="150">
        <v>0</v>
      </c>
      <c r="Y47" s="150"/>
      <c r="Z47" s="150">
        <v>0</v>
      </c>
      <c r="AA47" s="150">
        <f t="shared" si="11"/>
        <v>0</v>
      </c>
      <c r="AB47" s="150">
        <v>0</v>
      </c>
      <c r="AC47" s="199"/>
      <c r="AD47" s="150">
        <f t="shared" si="76"/>
        <v>0</v>
      </c>
      <c r="AE47" s="150">
        <v>0</v>
      </c>
      <c r="AF47" s="169" t="s">
        <v>4680</v>
      </c>
      <c r="AG47" s="201">
        <v>0</v>
      </c>
      <c r="AH47" s="199"/>
      <c r="AI47" s="150">
        <v>0</v>
      </c>
      <c r="AJ47" s="169">
        <f t="shared" si="13"/>
        <v>0</v>
      </c>
      <c r="AK47" s="201">
        <v>0</v>
      </c>
      <c r="AL47" s="199"/>
      <c r="AM47" s="150">
        <f t="shared" si="77"/>
        <v>0</v>
      </c>
      <c r="AN47" s="153">
        <f t="shared" si="15"/>
        <v>0</v>
      </c>
      <c r="AO47" s="154">
        <f t="shared" si="16"/>
        <v>0</v>
      </c>
      <c r="AP47" s="150">
        <v>0</v>
      </c>
      <c r="AQ47" s="201">
        <v>0</v>
      </c>
      <c r="AR47" s="199"/>
      <c r="AS47" s="150">
        <f t="shared" si="78"/>
        <v>0</v>
      </c>
      <c r="AT47" s="155"/>
      <c r="AU47" s="156">
        <f t="shared" si="5"/>
        <v>0</v>
      </c>
      <c r="AV47" s="156">
        <f t="shared" si="6"/>
        <v>0</v>
      </c>
      <c r="AW47" s="157"/>
      <c r="AX47" s="150">
        <v>0</v>
      </c>
      <c r="AY47" s="150">
        <v>0</v>
      </c>
      <c r="AZ47" s="150"/>
      <c r="BA47" s="150">
        <f t="shared" si="34"/>
        <v>0</v>
      </c>
      <c r="BB47" s="202">
        <v>4</v>
      </c>
      <c r="BC47" s="202" t="s">
        <v>632</v>
      </c>
      <c r="BD47" s="202" t="s">
        <v>647</v>
      </c>
      <c r="BE47" s="202" t="s">
        <v>671</v>
      </c>
      <c r="BF47" s="202" t="s">
        <v>739</v>
      </c>
      <c r="BG47" s="231" t="s">
        <v>4840</v>
      </c>
      <c r="BH47" s="216">
        <f t="shared" si="79"/>
        <v>0</v>
      </c>
      <c r="BI47" s="202"/>
      <c r="BJ47" s="194" t="s">
        <v>4841</v>
      </c>
      <c r="BK47" s="194" t="s">
        <v>505</v>
      </c>
      <c r="BL47" s="207" t="s">
        <v>4842</v>
      </c>
      <c r="BM47" s="208">
        <f t="shared" si="80"/>
        <v>0</v>
      </c>
      <c r="BN47" s="160"/>
      <c r="BO47" s="161">
        <f t="shared" si="18"/>
        <v>0</v>
      </c>
      <c r="BP47" s="161"/>
    </row>
    <row r="48" spans="1:68" ht="38.25">
      <c r="A48" s="194" t="s">
        <v>505</v>
      </c>
      <c r="B48" s="195" t="s">
        <v>4843</v>
      </c>
      <c r="C48" s="196" t="s">
        <v>4844</v>
      </c>
      <c r="D48" s="146" t="s">
        <v>4692</v>
      </c>
      <c r="E48" s="196" t="s">
        <v>4844</v>
      </c>
      <c r="F48" s="150">
        <v>0</v>
      </c>
      <c r="G48" s="209">
        <v>0</v>
      </c>
      <c r="H48" s="209"/>
      <c r="I48" s="209">
        <v>0</v>
      </c>
      <c r="J48" s="150">
        <v>0</v>
      </c>
      <c r="K48" s="150">
        <v>0</v>
      </c>
      <c r="L48" s="150">
        <f t="shared" si="35"/>
        <v>0</v>
      </c>
      <c r="M48" s="150">
        <v>0</v>
      </c>
      <c r="N48" s="150"/>
      <c r="O48" s="150">
        <v>0</v>
      </c>
      <c r="P48" s="150">
        <v>0</v>
      </c>
      <c r="Q48" s="150"/>
      <c r="R48" s="150">
        <f t="shared" si="74"/>
        <v>0</v>
      </c>
      <c r="S48" s="150">
        <f t="shared" si="9"/>
        <v>0</v>
      </c>
      <c r="T48" s="150"/>
      <c r="U48" s="150">
        <v>0</v>
      </c>
      <c r="V48" s="199"/>
      <c r="W48" s="150">
        <f t="shared" si="75"/>
        <v>0</v>
      </c>
      <c r="X48" s="150">
        <v>0</v>
      </c>
      <c r="Y48" s="150"/>
      <c r="Z48" s="150">
        <v>0</v>
      </c>
      <c r="AA48" s="150">
        <f t="shared" si="11"/>
        <v>0</v>
      </c>
      <c r="AB48" s="150">
        <v>0</v>
      </c>
      <c r="AC48" s="199"/>
      <c r="AD48" s="150">
        <f t="shared" si="76"/>
        <v>0</v>
      </c>
      <c r="AE48" s="150">
        <v>0</v>
      </c>
      <c r="AF48" s="169" t="s">
        <v>4680</v>
      </c>
      <c r="AG48" s="201">
        <v>0</v>
      </c>
      <c r="AH48" s="199"/>
      <c r="AI48" s="150">
        <v>0</v>
      </c>
      <c r="AJ48" s="169">
        <f t="shared" si="13"/>
        <v>0</v>
      </c>
      <c r="AK48" s="201">
        <v>0</v>
      </c>
      <c r="AL48" s="199"/>
      <c r="AM48" s="150">
        <f t="shared" si="77"/>
        <v>0</v>
      </c>
      <c r="AN48" s="153">
        <f t="shared" si="15"/>
        <v>0</v>
      </c>
      <c r="AO48" s="154">
        <f t="shared" si="16"/>
        <v>0</v>
      </c>
      <c r="AP48" s="150">
        <v>0</v>
      </c>
      <c r="AQ48" s="201">
        <v>0</v>
      </c>
      <c r="AR48" s="199"/>
      <c r="AS48" s="150">
        <f t="shared" si="78"/>
        <v>0</v>
      </c>
      <c r="AT48" s="155"/>
      <c r="AU48" s="156">
        <f t="shared" si="5"/>
        <v>0</v>
      </c>
      <c r="AV48" s="156">
        <f t="shared" si="6"/>
        <v>0</v>
      </c>
      <c r="AW48" s="157"/>
      <c r="AX48" s="150">
        <v>0</v>
      </c>
      <c r="AY48" s="150">
        <v>0</v>
      </c>
      <c r="AZ48" s="150"/>
      <c r="BA48" s="150">
        <f t="shared" si="34"/>
        <v>0</v>
      </c>
      <c r="BB48" s="202">
        <v>4</v>
      </c>
      <c r="BC48" s="202" t="s">
        <v>632</v>
      </c>
      <c r="BD48" s="202" t="s">
        <v>647</v>
      </c>
      <c r="BE48" s="202" t="s">
        <v>671</v>
      </c>
      <c r="BF48" s="202" t="s">
        <v>755</v>
      </c>
      <c r="BG48" s="231" t="s">
        <v>4845</v>
      </c>
      <c r="BH48" s="216">
        <f t="shared" si="79"/>
        <v>0</v>
      </c>
      <c r="BI48" s="202"/>
      <c r="BJ48" s="194" t="s">
        <v>4841</v>
      </c>
      <c r="BK48" s="194" t="s">
        <v>505</v>
      </c>
      <c r="BL48" s="207" t="s">
        <v>4842</v>
      </c>
      <c r="BM48" s="208">
        <f t="shared" si="80"/>
        <v>0</v>
      </c>
      <c r="BN48" s="160"/>
      <c r="BO48" s="161">
        <f t="shared" si="18"/>
        <v>0</v>
      </c>
      <c r="BP48" s="161"/>
    </row>
    <row r="49" spans="1:68" ht="38.25">
      <c r="A49" s="194" t="s">
        <v>505</v>
      </c>
      <c r="B49" s="195" t="s">
        <v>4846</v>
      </c>
      <c r="C49" s="196" t="s">
        <v>4847</v>
      </c>
      <c r="D49" s="146" t="s">
        <v>4692</v>
      </c>
      <c r="E49" s="196" t="s">
        <v>4847</v>
      </c>
      <c r="F49" s="150">
        <v>0</v>
      </c>
      <c r="G49" s="209">
        <v>0</v>
      </c>
      <c r="H49" s="209"/>
      <c r="I49" s="209">
        <v>0</v>
      </c>
      <c r="J49" s="150">
        <v>0</v>
      </c>
      <c r="K49" s="150">
        <v>0</v>
      </c>
      <c r="L49" s="150">
        <f t="shared" si="35"/>
        <v>0</v>
      </c>
      <c r="M49" s="150">
        <v>0</v>
      </c>
      <c r="N49" s="150"/>
      <c r="O49" s="150">
        <v>0</v>
      </c>
      <c r="P49" s="150">
        <v>0</v>
      </c>
      <c r="Q49" s="150"/>
      <c r="R49" s="150">
        <f t="shared" si="74"/>
        <v>0</v>
      </c>
      <c r="S49" s="150">
        <f t="shared" si="9"/>
        <v>0</v>
      </c>
      <c r="T49" s="150"/>
      <c r="U49" s="150">
        <v>0</v>
      </c>
      <c r="V49" s="199"/>
      <c r="W49" s="150">
        <f t="shared" si="75"/>
        <v>0</v>
      </c>
      <c r="X49" s="150">
        <v>0</v>
      </c>
      <c r="Y49" s="150"/>
      <c r="Z49" s="150">
        <v>0</v>
      </c>
      <c r="AA49" s="150">
        <f t="shared" si="11"/>
        <v>0</v>
      </c>
      <c r="AB49" s="150">
        <v>0</v>
      </c>
      <c r="AC49" s="199"/>
      <c r="AD49" s="150">
        <f t="shared" si="76"/>
        <v>0</v>
      </c>
      <c r="AE49" s="150">
        <v>0</v>
      </c>
      <c r="AF49" s="169" t="s">
        <v>4680</v>
      </c>
      <c r="AG49" s="201">
        <v>0</v>
      </c>
      <c r="AH49" s="199"/>
      <c r="AI49" s="150">
        <v>0</v>
      </c>
      <c r="AJ49" s="169">
        <f t="shared" si="13"/>
        <v>0</v>
      </c>
      <c r="AK49" s="201">
        <v>0</v>
      </c>
      <c r="AL49" s="199"/>
      <c r="AM49" s="150">
        <f t="shared" si="77"/>
        <v>0</v>
      </c>
      <c r="AN49" s="153">
        <f t="shared" si="15"/>
        <v>0</v>
      </c>
      <c r="AO49" s="154">
        <f t="shared" si="16"/>
        <v>0</v>
      </c>
      <c r="AP49" s="150">
        <v>0</v>
      </c>
      <c r="AQ49" s="201">
        <v>0</v>
      </c>
      <c r="AR49" s="199"/>
      <c r="AS49" s="150">
        <f t="shared" si="78"/>
        <v>0</v>
      </c>
      <c r="AT49" s="155"/>
      <c r="AU49" s="156">
        <f t="shared" si="5"/>
        <v>0</v>
      </c>
      <c r="AV49" s="156">
        <f t="shared" si="6"/>
        <v>0</v>
      </c>
      <c r="AW49" s="157"/>
      <c r="AX49" s="150">
        <v>0</v>
      </c>
      <c r="AY49" s="150">
        <v>0</v>
      </c>
      <c r="AZ49" s="150"/>
      <c r="BA49" s="150">
        <f t="shared" si="34"/>
        <v>0</v>
      </c>
      <c r="BB49" s="202">
        <v>4</v>
      </c>
      <c r="BC49" s="202" t="s">
        <v>632</v>
      </c>
      <c r="BD49" s="202" t="s">
        <v>647</v>
      </c>
      <c r="BE49" s="202" t="s">
        <v>671</v>
      </c>
      <c r="BF49" s="194" t="s">
        <v>766</v>
      </c>
      <c r="BG49" s="231" t="s">
        <v>4848</v>
      </c>
      <c r="BH49" s="216">
        <f t="shared" si="79"/>
        <v>0</v>
      </c>
      <c r="BI49" s="202"/>
      <c r="BJ49" s="194" t="s">
        <v>4841</v>
      </c>
      <c r="BK49" s="194" t="s">
        <v>505</v>
      </c>
      <c r="BL49" s="207" t="s">
        <v>4842</v>
      </c>
      <c r="BM49" s="208">
        <f t="shared" si="80"/>
        <v>0</v>
      </c>
      <c r="BN49" s="160"/>
      <c r="BO49" s="161">
        <f t="shared" si="18"/>
        <v>0</v>
      </c>
      <c r="BP49" s="161"/>
    </row>
    <row r="50" spans="1:68" ht="38.25">
      <c r="A50" s="194" t="s">
        <v>505</v>
      </c>
      <c r="B50" s="195" t="s">
        <v>4849</v>
      </c>
      <c r="C50" s="196" t="s">
        <v>4850</v>
      </c>
      <c r="D50" s="146" t="s">
        <v>4692</v>
      </c>
      <c r="E50" s="196" t="s">
        <v>4850</v>
      </c>
      <c r="F50" s="150">
        <v>0</v>
      </c>
      <c r="G50" s="209">
        <v>0</v>
      </c>
      <c r="H50" s="209"/>
      <c r="I50" s="209">
        <v>0</v>
      </c>
      <c r="J50" s="150">
        <v>0</v>
      </c>
      <c r="K50" s="150">
        <v>0</v>
      </c>
      <c r="L50" s="150">
        <f t="shared" si="35"/>
        <v>0</v>
      </c>
      <c r="M50" s="150">
        <v>0</v>
      </c>
      <c r="N50" s="150"/>
      <c r="O50" s="150">
        <v>0</v>
      </c>
      <c r="P50" s="150">
        <v>0</v>
      </c>
      <c r="Q50" s="150"/>
      <c r="R50" s="150">
        <f t="shared" si="74"/>
        <v>0</v>
      </c>
      <c r="S50" s="150">
        <f t="shared" si="9"/>
        <v>0</v>
      </c>
      <c r="T50" s="150"/>
      <c r="U50" s="150">
        <v>0</v>
      </c>
      <c r="V50" s="199"/>
      <c r="W50" s="150">
        <f t="shared" si="75"/>
        <v>0</v>
      </c>
      <c r="X50" s="150">
        <v>0</v>
      </c>
      <c r="Y50" s="150"/>
      <c r="Z50" s="150">
        <v>0</v>
      </c>
      <c r="AA50" s="150">
        <f t="shared" si="11"/>
        <v>0</v>
      </c>
      <c r="AB50" s="150">
        <v>0</v>
      </c>
      <c r="AC50" s="199"/>
      <c r="AD50" s="150">
        <f t="shared" si="76"/>
        <v>0</v>
      </c>
      <c r="AE50" s="150">
        <v>0</v>
      </c>
      <c r="AF50" s="169" t="s">
        <v>4680</v>
      </c>
      <c r="AG50" s="201">
        <v>0</v>
      </c>
      <c r="AH50" s="199"/>
      <c r="AI50" s="150">
        <v>0</v>
      </c>
      <c r="AJ50" s="169">
        <f t="shared" si="13"/>
        <v>0</v>
      </c>
      <c r="AK50" s="201">
        <v>0</v>
      </c>
      <c r="AL50" s="199"/>
      <c r="AM50" s="150">
        <f t="shared" si="77"/>
        <v>0</v>
      </c>
      <c r="AN50" s="153">
        <f t="shared" si="15"/>
        <v>0</v>
      </c>
      <c r="AO50" s="154">
        <f t="shared" si="16"/>
        <v>0</v>
      </c>
      <c r="AP50" s="150">
        <v>0</v>
      </c>
      <c r="AQ50" s="201">
        <v>0</v>
      </c>
      <c r="AR50" s="199"/>
      <c r="AS50" s="150">
        <f t="shared" si="78"/>
        <v>0</v>
      </c>
      <c r="AT50" s="155"/>
      <c r="AU50" s="156">
        <f t="shared" si="5"/>
        <v>0</v>
      </c>
      <c r="AV50" s="156">
        <f t="shared" si="6"/>
        <v>0</v>
      </c>
      <c r="AW50" s="157"/>
      <c r="AX50" s="150">
        <v>0</v>
      </c>
      <c r="AY50" s="150">
        <v>0</v>
      </c>
      <c r="AZ50" s="150"/>
      <c r="BA50" s="150">
        <f t="shared" si="34"/>
        <v>0</v>
      </c>
      <c r="BB50" s="202">
        <v>4</v>
      </c>
      <c r="BC50" s="202" t="s">
        <v>632</v>
      </c>
      <c r="BD50" s="202" t="s">
        <v>647</v>
      </c>
      <c r="BE50" s="202" t="s">
        <v>671</v>
      </c>
      <c r="BF50" s="202" t="s">
        <v>779</v>
      </c>
      <c r="BG50" s="231" t="s">
        <v>4851</v>
      </c>
      <c r="BH50" s="216">
        <f t="shared" si="79"/>
        <v>0</v>
      </c>
      <c r="BI50" s="202"/>
      <c r="BJ50" s="194" t="s">
        <v>4841</v>
      </c>
      <c r="BK50" s="194" t="s">
        <v>505</v>
      </c>
      <c r="BL50" s="207" t="s">
        <v>4842</v>
      </c>
      <c r="BM50" s="208">
        <f t="shared" si="80"/>
        <v>0</v>
      </c>
      <c r="BN50" s="160"/>
      <c r="BO50" s="161">
        <f t="shared" si="18"/>
        <v>0</v>
      </c>
      <c r="BP50" s="161"/>
    </row>
    <row r="51" spans="1:68" ht="38.25">
      <c r="A51" s="194" t="s">
        <v>505</v>
      </c>
      <c r="B51" s="195" t="s">
        <v>4852</v>
      </c>
      <c r="C51" s="196" t="s">
        <v>4853</v>
      </c>
      <c r="D51" s="146" t="s">
        <v>4692</v>
      </c>
      <c r="E51" s="196" t="s">
        <v>4853</v>
      </c>
      <c r="F51" s="150">
        <v>0</v>
      </c>
      <c r="G51" s="209">
        <v>0</v>
      </c>
      <c r="H51" s="209"/>
      <c r="I51" s="209">
        <v>0</v>
      </c>
      <c r="J51" s="150">
        <v>0</v>
      </c>
      <c r="K51" s="150">
        <v>0</v>
      </c>
      <c r="L51" s="150">
        <f t="shared" si="35"/>
        <v>0</v>
      </c>
      <c r="M51" s="150">
        <v>0</v>
      </c>
      <c r="N51" s="150"/>
      <c r="O51" s="150">
        <v>0</v>
      </c>
      <c r="P51" s="150">
        <v>0</v>
      </c>
      <c r="Q51" s="150"/>
      <c r="R51" s="150">
        <f t="shared" si="74"/>
        <v>0</v>
      </c>
      <c r="S51" s="150">
        <f t="shared" si="9"/>
        <v>0</v>
      </c>
      <c r="T51" s="150"/>
      <c r="U51" s="150">
        <v>0</v>
      </c>
      <c r="V51" s="199"/>
      <c r="W51" s="150">
        <f t="shared" si="75"/>
        <v>0</v>
      </c>
      <c r="X51" s="150">
        <v>0</v>
      </c>
      <c r="Y51" s="150"/>
      <c r="Z51" s="150">
        <v>0</v>
      </c>
      <c r="AA51" s="150">
        <f t="shared" si="11"/>
        <v>0</v>
      </c>
      <c r="AB51" s="150">
        <v>0</v>
      </c>
      <c r="AC51" s="199"/>
      <c r="AD51" s="150">
        <f t="shared" si="76"/>
        <v>0</v>
      </c>
      <c r="AE51" s="150">
        <v>0</v>
      </c>
      <c r="AF51" s="169" t="s">
        <v>4680</v>
      </c>
      <c r="AG51" s="201">
        <v>0</v>
      </c>
      <c r="AH51" s="199"/>
      <c r="AI51" s="150">
        <v>0</v>
      </c>
      <c r="AJ51" s="169">
        <f t="shared" si="13"/>
        <v>0</v>
      </c>
      <c r="AK51" s="201">
        <v>0</v>
      </c>
      <c r="AL51" s="199"/>
      <c r="AM51" s="150">
        <f t="shared" si="77"/>
        <v>0</v>
      </c>
      <c r="AN51" s="153">
        <f t="shared" si="15"/>
        <v>0</v>
      </c>
      <c r="AO51" s="154">
        <f t="shared" si="16"/>
        <v>0</v>
      </c>
      <c r="AP51" s="150">
        <v>0</v>
      </c>
      <c r="AQ51" s="201">
        <v>0</v>
      </c>
      <c r="AR51" s="199"/>
      <c r="AS51" s="150">
        <f t="shared" si="78"/>
        <v>0</v>
      </c>
      <c r="AT51" s="155"/>
      <c r="AU51" s="156">
        <f t="shared" si="5"/>
        <v>0</v>
      </c>
      <c r="AV51" s="156">
        <f t="shared" si="6"/>
        <v>0</v>
      </c>
      <c r="AW51" s="157"/>
      <c r="AX51" s="150">
        <v>0</v>
      </c>
      <c r="AY51" s="150">
        <v>0</v>
      </c>
      <c r="AZ51" s="150"/>
      <c r="BA51" s="150">
        <f t="shared" si="34"/>
        <v>0</v>
      </c>
      <c r="BB51" s="202">
        <v>4</v>
      </c>
      <c r="BC51" s="202" t="s">
        <v>632</v>
      </c>
      <c r="BD51" s="202" t="s">
        <v>647</v>
      </c>
      <c r="BE51" s="202" t="s">
        <v>671</v>
      </c>
      <c r="BF51" s="194" t="s">
        <v>1225</v>
      </c>
      <c r="BG51" s="231" t="s">
        <v>4854</v>
      </c>
      <c r="BH51" s="216">
        <f t="shared" si="79"/>
        <v>0</v>
      </c>
      <c r="BI51" s="202"/>
      <c r="BJ51" s="194" t="s">
        <v>4841</v>
      </c>
      <c r="BK51" s="194" t="s">
        <v>505</v>
      </c>
      <c r="BL51" s="207" t="s">
        <v>4842</v>
      </c>
      <c r="BM51" s="208">
        <f t="shared" si="80"/>
        <v>0</v>
      </c>
      <c r="BN51" s="160"/>
      <c r="BO51" s="161">
        <f t="shared" si="18"/>
        <v>0</v>
      </c>
      <c r="BP51" s="161"/>
    </row>
    <row r="52" spans="1:68" ht="38.25">
      <c r="A52" s="194" t="s">
        <v>505</v>
      </c>
      <c r="B52" s="195" t="s">
        <v>4855</v>
      </c>
      <c r="C52" s="196" t="s">
        <v>4856</v>
      </c>
      <c r="D52" s="146" t="s">
        <v>4692</v>
      </c>
      <c r="E52" s="196" t="s">
        <v>4856</v>
      </c>
      <c r="F52" s="150">
        <v>0</v>
      </c>
      <c r="G52" s="209">
        <v>0</v>
      </c>
      <c r="H52" s="209"/>
      <c r="I52" s="209">
        <v>0</v>
      </c>
      <c r="J52" s="150">
        <v>0</v>
      </c>
      <c r="K52" s="150">
        <v>0</v>
      </c>
      <c r="L52" s="150">
        <f t="shared" si="35"/>
        <v>0</v>
      </c>
      <c r="M52" s="150">
        <v>0</v>
      </c>
      <c r="N52" s="150"/>
      <c r="O52" s="150">
        <v>0</v>
      </c>
      <c r="P52" s="150">
        <v>0</v>
      </c>
      <c r="Q52" s="150"/>
      <c r="R52" s="150">
        <f t="shared" si="74"/>
        <v>0</v>
      </c>
      <c r="S52" s="150">
        <f t="shared" si="9"/>
        <v>0</v>
      </c>
      <c r="T52" s="150"/>
      <c r="U52" s="150">
        <v>0</v>
      </c>
      <c r="V52" s="199"/>
      <c r="W52" s="150">
        <f t="shared" si="75"/>
        <v>0</v>
      </c>
      <c r="X52" s="150">
        <v>0</v>
      </c>
      <c r="Y52" s="150"/>
      <c r="Z52" s="150">
        <v>0</v>
      </c>
      <c r="AA52" s="150">
        <f t="shared" si="11"/>
        <v>0</v>
      </c>
      <c r="AB52" s="150">
        <v>0</v>
      </c>
      <c r="AC52" s="199"/>
      <c r="AD52" s="150">
        <f t="shared" si="76"/>
        <v>0</v>
      </c>
      <c r="AE52" s="150">
        <v>0</v>
      </c>
      <c r="AF52" s="169" t="s">
        <v>4680</v>
      </c>
      <c r="AG52" s="201">
        <v>0</v>
      </c>
      <c r="AH52" s="199"/>
      <c r="AI52" s="150">
        <v>0</v>
      </c>
      <c r="AJ52" s="169">
        <f t="shared" si="13"/>
        <v>0</v>
      </c>
      <c r="AK52" s="201">
        <v>0</v>
      </c>
      <c r="AL52" s="199"/>
      <c r="AM52" s="150">
        <f t="shared" si="77"/>
        <v>0</v>
      </c>
      <c r="AN52" s="153">
        <f t="shared" si="15"/>
        <v>0</v>
      </c>
      <c r="AO52" s="154">
        <f t="shared" si="16"/>
        <v>0</v>
      </c>
      <c r="AP52" s="150">
        <v>0</v>
      </c>
      <c r="AQ52" s="201">
        <v>0</v>
      </c>
      <c r="AR52" s="199"/>
      <c r="AS52" s="150">
        <f t="shared" si="78"/>
        <v>0</v>
      </c>
      <c r="AT52" s="155"/>
      <c r="AU52" s="156">
        <f t="shared" si="5"/>
        <v>0</v>
      </c>
      <c r="AV52" s="156">
        <f t="shared" si="6"/>
        <v>0</v>
      </c>
      <c r="AW52" s="157"/>
      <c r="AX52" s="150">
        <v>0</v>
      </c>
      <c r="AY52" s="150">
        <v>0</v>
      </c>
      <c r="AZ52" s="150"/>
      <c r="BA52" s="150">
        <f t="shared" si="34"/>
        <v>0</v>
      </c>
      <c r="BB52" s="202">
        <v>4</v>
      </c>
      <c r="BC52" s="202" t="s">
        <v>632</v>
      </c>
      <c r="BD52" s="202" t="s">
        <v>647</v>
      </c>
      <c r="BE52" s="202" t="s">
        <v>671</v>
      </c>
      <c r="BF52" s="202" t="s">
        <v>1229</v>
      </c>
      <c r="BG52" s="203" t="s">
        <v>4857</v>
      </c>
      <c r="BH52" s="216">
        <f t="shared" si="79"/>
        <v>0</v>
      </c>
      <c r="BI52" s="202"/>
      <c r="BJ52" s="194" t="s">
        <v>4841</v>
      </c>
      <c r="BK52" s="194" t="s">
        <v>505</v>
      </c>
      <c r="BL52" s="207" t="s">
        <v>4842</v>
      </c>
      <c r="BM52" s="208">
        <f t="shared" si="80"/>
        <v>0</v>
      </c>
      <c r="BN52" s="160"/>
      <c r="BO52" s="161">
        <f t="shared" si="18"/>
        <v>0</v>
      </c>
      <c r="BP52" s="161"/>
    </row>
    <row r="53" spans="1:68" ht="89.25">
      <c r="A53" s="194" t="s">
        <v>4858</v>
      </c>
      <c r="B53" s="195" t="s">
        <v>4859</v>
      </c>
      <c r="C53" s="196" t="s">
        <v>4860</v>
      </c>
      <c r="D53" s="146" t="s">
        <v>4692</v>
      </c>
      <c r="E53" s="196" t="s">
        <v>4860</v>
      </c>
      <c r="F53" s="150">
        <v>0</v>
      </c>
      <c r="G53" s="209">
        <v>0</v>
      </c>
      <c r="H53" s="209"/>
      <c r="I53" s="209">
        <v>0</v>
      </c>
      <c r="J53" s="150">
        <v>0</v>
      </c>
      <c r="K53" s="150">
        <v>0</v>
      </c>
      <c r="L53" s="150">
        <f t="shared" si="35"/>
        <v>0</v>
      </c>
      <c r="M53" s="150">
        <v>0</v>
      </c>
      <c r="N53" s="150"/>
      <c r="O53" s="150">
        <v>0</v>
      </c>
      <c r="P53" s="150">
        <v>0</v>
      </c>
      <c r="Q53" s="150"/>
      <c r="R53" s="150">
        <f t="shared" si="74"/>
        <v>0</v>
      </c>
      <c r="S53" s="150">
        <f t="shared" si="9"/>
        <v>0</v>
      </c>
      <c r="T53" s="150"/>
      <c r="U53" s="150">
        <v>0</v>
      </c>
      <c r="V53" s="199"/>
      <c r="W53" s="150">
        <f t="shared" si="75"/>
        <v>0</v>
      </c>
      <c r="X53" s="150">
        <v>0</v>
      </c>
      <c r="Y53" s="150"/>
      <c r="Z53" s="150">
        <v>0</v>
      </c>
      <c r="AA53" s="150">
        <f t="shared" si="11"/>
        <v>0</v>
      </c>
      <c r="AB53" s="150">
        <v>0</v>
      </c>
      <c r="AC53" s="199"/>
      <c r="AD53" s="150">
        <f t="shared" si="76"/>
        <v>0</v>
      </c>
      <c r="AE53" s="150">
        <v>0</v>
      </c>
      <c r="AF53" s="169" t="s">
        <v>4680</v>
      </c>
      <c r="AG53" s="201">
        <v>0</v>
      </c>
      <c r="AH53" s="199"/>
      <c r="AI53" s="150">
        <v>0</v>
      </c>
      <c r="AJ53" s="169">
        <f t="shared" si="13"/>
        <v>0</v>
      </c>
      <c r="AK53" s="201">
        <v>0</v>
      </c>
      <c r="AL53" s="199"/>
      <c r="AM53" s="150">
        <f t="shared" si="77"/>
        <v>0</v>
      </c>
      <c r="AN53" s="153">
        <f t="shared" si="15"/>
        <v>0</v>
      </c>
      <c r="AO53" s="154">
        <f t="shared" si="16"/>
        <v>0</v>
      </c>
      <c r="AP53" s="150">
        <v>0</v>
      </c>
      <c r="AQ53" s="201">
        <v>0</v>
      </c>
      <c r="AR53" s="199"/>
      <c r="AS53" s="150">
        <f t="shared" si="78"/>
        <v>0</v>
      </c>
      <c r="AT53" s="155"/>
      <c r="AU53" s="156">
        <f t="shared" si="5"/>
        <v>0</v>
      </c>
      <c r="AV53" s="156">
        <f t="shared" si="6"/>
        <v>0</v>
      </c>
      <c r="AW53" s="157"/>
      <c r="AX53" s="150">
        <v>0</v>
      </c>
      <c r="AY53" s="150">
        <v>0</v>
      </c>
      <c r="AZ53" s="150"/>
      <c r="BA53" s="150">
        <f t="shared" si="34"/>
        <v>0</v>
      </c>
      <c r="BB53" s="202">
        <v>4</v>
      </c>
      <c r="BC53" s="202" t="s">
        <v>632</v>
      </c>
      <c r="BD53" s="202" t="s">
        <v>647</v>
      </c>
      <c r="BE53" s="202" t="s">
        <v>671</v>
      </c>
      <c r="BF53" s="194" t="s">
        <v>1243</v>
      </c>
      <c r="BG53" s="203" t="s">
        <v>4861</v>
      </c>
      <c r="BH53" s="216">
        <f t="shared" si="79"/>
        <v>0</v>
      </c>
      <c r="BI53" s="202"/>
      <c r="BJ53" s="194" t="s">
        <v>4862</v>
      </c>
      <c r="BK53" s="194" t="s">
        <v>4858</v>
      </c>
      <c r="BL53" s="207" t="s">
        <v>4863</v>
      </c>
      <c r="BM53" s="208">
        <f t="shared" si="80"/>
        <v>0</v>
      </c>
      <c r="BN53" s="160"/>
      <c r="BO53" s="161">
        <f t="shared" si="18"/>
        <v>0</v>
      </c>
      <c r="BP53" s="161"/>
    </row>
    <row r="54" spans="1:68" ht="25.5">
      <c r="A54" s="173" t="s">
        <v>506</v>
      </c>
      <c r="B54" s="174"/>
      <c r="C54" s="175" t="s">
        <v>4864</v>
      </c>
      <c r="D54" s="146" t="s">
        <v>4692</v>
      </c>
      <c r="E54" s="175" t="s">
        <v>4864</v>
      </c>
      <c r="F54" s="176">
        <v>0</v>
      </c>
      <c r="G54" s="177">
        <v>0</v>
      </c>
      <c r="H54" s="177">
        <v>0</v>
      </c>
      <c r="I54" s="177">
        <v>0</v>
      </c>
      <c r="J54" s="176">
        <f>J55+J57+J59+J63</f>
        <v>0</v>
      </c>
      <c r="K54" s="176">
        <f>K55+K57+K59+K63</f>
        <v>0</v>
      </c>
      <c r="L54" s="176">
        <f t="shared" si="35"/>
        <v>0</v>
      </c>
      <c r="M54" s="178">
        <v>0</v>
      </c>
      <c r="N54" s="178">
        <v>0</v>
      </c>
      <c r="O54" s="178">
        <v>0</v>
      </c>
      <c r="P54" s="221">
        <f t="shared" ref="P54:R54" si="81">P55+P57+P59+P63</f>
        <v>0</v>
      </c>
      <c r="Q54" s="221">
        <f t="shared" si="81"/>
        <v>0</v>
      </c>
      <c r="R54" s="221">
        <f t="shared" si="81"/>
        <v>0</v>
      </c>
      <c r="S54" s="150">
        <f t="shared" si="9"/>
        <v>0</v>
      </c>
      <c r="T54" s="213"/>
      <c r="U54" s="221">
        <f t="shared" ref="U54:W54" si="82">U55+U57+U59+U63</f>
        <v>0</v>
      </c>
      <c r="V54" s="222">
        <f t="shared" si="82"/>
        <v>0</v>
      </c>
      <c r="W54" s="221">
        <f t="shared" si="82"/>
        <v>0</v>
      </c>
      <c r="X54" s="221">
        <v>0</v>
      </c>
      <c r="Y54" s="221">
        <v>0</v>
      </c>
      <c r="Z54" s="221">
        <v>0</v>
      </c>
      <c r="AA54" s="221">
        <f t="shared" si="11"/>
        <v>0</v>
      </c>
      <c r="AB54" s="221">
        <v>0</v>
      </c>
      <c r="AC54" s="222">
        <v>0</v>
      </c>
      <c r="AD54" s="221">
        <f t="shared" ref="AD54" si="83">AD55+AD57+AD59+AD63</f>
        <v>0</v>
      </c>
      <c r="AE54" s="221">
        <v>0</v>
      </c>
      <c r="AF54" s="169" t="s">
        <v>4680</v>
      </c>
      <c r="AG54" s="223">
        <v>0</v>
      </c>
      <c r="AH54" s="222">
        <v>0</v>
      </c>
      <c r="AI54" s="221">
        <v>0</v>
      </c>
      <c r="AJ54" s="169">
        <f t="shared" si="13"/>
        <v>0</v>
      </c>
      <c r="AK54" s="223">
        <v>0</v>
      </c>
      <c r="AL54" s="222">
        <v>0</v>
      </c>
      <c r="AM54" s="221">
        <f t="shared" ref="AM54" si="84">AM55+AM57+AM59+AM63</f>
        <v>0</v>
      </c>
      <c r="AN54" s="153">
        <f t="shared" si="15"/>
        <v>0</v>
      </c>
      <c r="AO54" s="154">
        <f t="shared" si="16"/>
        <v>0</v>
      </c>
      <c r="AP54" s="221">
        <v>0</v>
      </c>
      <c r="AQ54" s="223">
        <v>0</v>
      </c>
      <c r="AR54" s="222">
        <f t="shared" ref="AR54:AS54" si="85">AR55+AR57+AR59+AR63</f>
        <v>0</v>
      </c>
      <c r="AS54" s="221">
        <f t="shared" si="85"/>
        <v>0</v>
      </c>
      <c r="AT54" s="155"/>
      <c r="AU54" s="156">
        <f t="shared" si="5"/>
        <v>0</v>
      </c>
      <c r="AV54" s="156">
        <f t="shared" si="6"/>
        <v>0</v>
      </c>
      <c r="AW54" s="157"/>
      <c r="AX54" s="150">
        <v>0</v>
      </c>
      <c r="AY54" s="221">
        <f t="shared" ref="AY54:BA54" si="86">AY55+AY57+AY59+AY63</f>
        <v>0</v>
      </c>
      <c r="AZ54" s="221">
        <f t="shared" si="86"/>
        <v>0</v>
      </c>
      <c r="BA54" s="221">
        <f t="shared" si="86"/>
        <v>0</v>
      </c>
      <c r="BB54" s="181">
        <v>4</v>
      </c>
      <c r="BC54" s="173" t="s">
        <v>632</v>
      </c>
      <c r="BD54" s="173" t="s">
        <v>671</v>
      </c>
      <c r="BE54" s="173" t="s">
        <v>630</v>
      </c>
      <c r="BF54" s="173" t="s">
        <v>630</v>
      </c>
      <c r="BG54" s="175" t="s">
        <v>4864</v>
      </c>
      <c r="BH54" s="224">
        <f>BH55+BH57+BH59+BH63</f>
        <v>0</v>
      </c>
      <c r="BI54" s="181"/>
      <c r="BJ54" s="173" t="s">
        <v>4865</v>
      </c>
      <c r="BK54" s="173" t="s">
        <v>506</v>
      </c>
      <c r="BL54" s="182" t="s">
        <v>4866</v>
      </c>
      <c r="BM54" s="224">
        <f>BM55+BM57+BM59+BM63</f>
        <v>0</v>
      </c>
      <c r="BN54" s="160"/>
      <c r="BO54" s="161">
        <f t="shared" si="18"/>
        <v>0</v>
      </c>
      <c r="BP54" s="161"/>
    </row>
    <row r="55" spans="1:68" ht="38.25">
      <c r="A55" s="191" t="s">
        <v>507</v>
      </c>
      <c r="B55" s="184"/>
      <c r="C55" s="185" t="s">
        <v>4867</v>
      </c>
      <c r="D55" s="146" t="s">
        <v>4692</v>
      </c>
      <c r="E55" s="185" t="s">
        <v>4867</v>
      </c>
      <c r="F55" s="186">
        <v>0</v>
      </c>
      <c r="G55" s="187">
        <v>0</v>
      </c>
      <c r="H55" s="187">
        <v>0</v>
      </c>
      <c r="I55" s="187">
        <v>0</v>
      </c>
      <c r="J55" s="186">
        <f>J56</f>
        <v>0</v>
      </c>
      <c r="K55" s="186">
        <f>K56</f>
        <v>0</v>
      </c>
      <c r="L55" s="186">
        <f t="shared" si="35"/>
        <v>0</v>
      </c>
      <c r="M55" s="188">
        <v>0</v>
      </c>
      <c r="N55" s="188">
        <v>0</v>
      </c>
      <c r="O55" s="188">
        <v>0</v>
      </c>
      <c r="P55" s="225">
        <f t="shared" ref="P55:AS55" si="87">P56</f>
        <v>0</v>
      </c>
      <c r="Q55" s="225">
        <f t="shared" si="87"/>
        <v>0</v>
      </c>
      <c r="R55" s="225">
        <f t="shared" si="87"/>
        <v>0</v>
      </c>
      <c r="S55" s="150">
        <f t="shared" si="9"/>
        <v>0</v>
      </c>
      <c r="T55" s="213"/>
      <c r="U55" s="225">
        <f t="shared" ref="U55:W55" si="88">U56</f>
        <v>0</v>
      </c>
      <c r="V55" s="226">
        <f t="shared" si="88"/>
        <v>0</v>
      </c>
      <c r="W55" s="225">
        <f t="shared" si="88"/>
        <v>0</v>
      </c>
      <c r="X55" s="225">
        <v>0</v>
      </c>
      <c r="Y55" s="225">
        <v>0</v>
      </c>
      <c r="Z55" s="225">
        <v>0</v>
      </c>
      <c r="AA55" s="225">
        <f t="shared" si="11"/>
        <v>0</v>
      </c>
      <c r="AB55" s="225">
        <v>0</v>
      </c>
      <c r="AC55" s="226">
        <v>0</v>
      </c>
      <c r="AD55" s="225">
        <f t="shared" si="87"/>
        <v>0</v>
      </c>
      <c r="AE55" s="225">
        <v>0</v>
      </c>
      <c r="AF55" s="169" t="s">
        <v>4680</v>
      </c>
      <c r="AG55" s="212">
        <v>0</v>
      </c>
      <c r="AH55" s="226">
        <v>0</v>
      </c>
      <c r="AI55" s="225">
        <v>0</v>
      </c>
      <c r="AJ55" s="169">
        <f t="shared" si="13"/>
        <v>0</v>
      </c>
      <c r="AK55" s="212">
        <v>0</v>
      </c>
      <c r="AL55" s="226">
        <v>0</v>
      </c>
      <c r="AM55" s="225">
        <f t="shared" si="87"/>
        <v>0</v>
      </c>
      <c r="AN55" s="153">
        <f t="shared" si="15"/>
        <v>0</v>
      </c>
      <c r="AO55" s="154">
        <f t="shared" si="16"/>
        <v>0</v>
      </c>
      <c r="AP55" s="225">
        <v>0</v>
      </c>
      <c r="AQ55" s="212">
        <v>0</v>
      </c>
      <c r="AR55" s="226">
        <f t="shared" si="87"/>
        <v>0</v>
      </c>
      <c r="AS55" s="225">
        <f t="shared" si="87"/>
        <v>0</v>
      </c>
      <c r="AT55" s="155"/>
      <c r="AU55" s="156">
        <f t="shared" si="5"/>
        <v>0</v>
      </c>
      <c r="AV55" s="156">
        <f t="shared" si="6"/>
        <v>0</v>
      </c>
      <c r="AW55" s="157"/>
      <c r="AX55" s="150">
        <v>0</v>
      </c>
      <c r="AY55" s="225">
        <f t="shared" ref="AY55:BA55" si="89">AY56</f>
        <v>0</v>
      </c>
      <c r="AZ55" s="225">
        <f t="shared" si="89"/>
        <v>0</v>
      </c>
      <c r="BA55" s="225">
        <f t="shared" si="89"/>
        <v>0</v>
      </c>
      <c r="BB55" s="191">
        <v>4</v>
      </c>
      <c r="BC55" s="191" t="s">
        <v>632</v>
      </c>
      <c r="BD55" s="183" t="s">
        <v>671</v>
      </c>
      <c r="BE55" s="183" t="s">
        <v>632</v>
      </c>
      <c r="BF55" s="191" t="s">
        <v>630</v>
      </c>
      <c r="BG55" s="185" t="s">
        <v>4867</v>
      </c>
      <c r="BH55" s="215">
        <f>BH56</f>
        <v>0</v>
      </c>
      <c r="BI55" s="191" t="s">
        <v>1519</v>
      </c>
      <c r="BJ55" s="191" t="s">
        <v>4868</v>
      </c>
      <c r="BK55" s="191" t="s">
        <v>507</v>
      </c>
      <c r="BL55" s="185" t="s">
        <v>4869</v>
      </c>
      <c r="BM55" s="215">
        <f>BM56</f>
        <v>0</v>
      </c>
      <c r="BN55" s="160"/>
      <c r="BO55" s="161">
        <f t="shared" si="18"/>
        <v>0</v>
      </c>
      <c r="BP55" s="161"/>
    </row>
    <row r="56" spans="1:68" ht="25.5">
      <c r="A56" s="202" t="s">
        <v>507</v>
      </c>
      <c r="B56" s="195" t="s">
        <v>4870</v>
      </c>
      <c r="C56" s="196" t="s">
        <v>4871</v>
      </c>
      <c r="D56" s="146" t="s">
        <v>4692</v>
      </c>
      <c r="E56" s="196" t="s">
        <v>4871</v>
      </c>
      <c r="F56" s="150">
        <v>0</v>
      </c>
      <c r="G56" s="209">
        <v>0</v>
      </c>
      <c r="H56" s="209"/>
      <c r="I56" s="209">
        <v>0</v>
      </c>
      <c r="J56" s="150">
        <v>0</v>
      </c>
      <c r="K56" s="150">
        <v>0</v>
      </c>
      <c r="L56" s="150">
        <f t="shared" si="35"/>
        <v>0</v>
      </c>
      <c r="M56" s="150">
        <v>0</v>
      </c>
      <c r="N56" s="150">
        <v>0</v>
      </c>
      <c r="O56" s="150">
        <v>0</v>
      </c>
      <c r="P56" s="150">
        <v>0</v>
      </c>
      <c r="Q56" s="150"/>
      <c r="R56" s="150">
        <f>P56+Q56</f>
        <v>0</v>
      </c>
      <c r="S56" s="150">
        <f t="shared" si="9"/>
        <v>0</v>
      </c>
      <c r="T56" s="150"/>
      <c r="U56" s="150">
        <v>0</v>
      </c>
      <c r="V56" s="199"/>
      <c r="W56" s="150">
        <f>U56+V56</f>
        <v>0</v>
      </c>
      <c r="X56" s="150">
        <v>0</v>
      </c>
      <c r="Y56" s="150"/>
      <c r="Z56" s="150">
        <v>0</v>
      </c>
      <c r="AA56" s="150">
        <f t="shared" si="11"/>
        <v>0</v>
      </c>
      <c r="AB56" s="150">
        <v>0</v>
      </c>
      <c r="AC56" s="199"/>
      <c r="AD56" s="150">
        <f>AB56+AC56</f>
        <v>0</v>
      </c>
      <c r="AE56" s="150">
        <v>0</v>
      </c>
      <c r="AF56" s="169" t="s">
        <v>4680</v>
      </c>
      <c r="AG56" s="201">
        <v>0</v>
      </c>
      <c r="AH56" s="199"/>
      <c r="AI56" s="150">
        <v>0</v>
      </c>
      <c r="AJ56" s="169">
        <f t="shared" si="13"/>
        <v>0</v>
      </c>
      <c r="AK56" s="201">
        <v>0</v>
      </c>
      <c r="AL56" s="199"/>
      <c r="AM56" s="150">
        <f>AK56+AL56</f>
        <v>0</v>
      </c>
      <c r="AN56" s="153">
        <f t="shared" si="15"/>
        <v>0</v>
      </c>
      <c r="AO56" s="154">
        <f t="shared" si="16"/>
        <v>0</v>
      </c>
      <c r="AP56" s="150">
        <v>0</v>
      </c>
      <c r="AQ56" s="201">
        <v>0</v>
      </c>
      <c r="AR56" s="199"/>
      <c r="AS56" s="150">
        <f>AQ56+AR56</f>
        <v>0</v>
      </c>
      <c r="AT56" s="155"/>
      <c r="AU56" s="156">
        <f t="shared" si="5"/>
        <v>0</v>
      </c>
      <c r="AV56" s="156">
        <f t="shared" si="6"/>
        <v>0</v>
      </c>
      <c r="AW56" s="157"/>
      <c r="AX56" s="150">
        <v>0</v>
      </c>
      <c r="AY56" s="150">
        <v>0</v>
      </c>
      <c r="AZ56" s="150"/>
      <c r="BA56" s="150">
        <f t="shared" si="34"/>
        <v>0</v>
      </c>
      <c r="BB56" s="202">
        <v>4</v>
      </c>
      <c r="BC56" s="202" t="s">
        <v>632</v>
      </c>
      <c r="BD56" s="202" t="s">
        <v>671</v>
      </c>
      <c r="BE56" s="202" t="s">
        <v>632</v>
      </c>
      <c r="BF56" s="202" t="s">
        <v>632</v>
      </c>
      <c r="BG56" s="203" t="s">
        <v>4867</v>
      </c>
      <c r="BH56" s="216">
        <f>AS56</f>
        <v>0</v>
      </c>
      <c r="BI56" s="194" t="s">
        <v>1519</v>
      </c>
      <c r="BJ56" s="194" t="s">
        <v>4868</v>
      </c>
      <c r="BK56" s="202" t="s">
        <v>507</v>
      </c>
      <c r="BL56" s="203" t="s">
        <v>4869</v>
      </c>
      <c r="BM56" s="208">
        <f>BH56</f>
        <v>0</v>
      </c>
      <c r="BN56" s="160"/>
      <c r="BO56" s="161">
        <f t="shared" si="18"/>
        <v>0</v>
      </c>
      <c r="BP56" s="161"/>
    </row>
    <row r="57" spans="1:68" ht="38.25">
      <c r="A57" s="191" t="s">
        <v>508</v>
      </c>
      <c r="B57" s="184"/>
      <c r="C57" s="185" t="s">
        <v>4872</v>
      </c>
      <c r="D57" s="146" t="s">
        <v>4692</v>
      </c>
      <c r="E57" s="185" t="s">
        <v>4872</v>
      </c>
      <c r="F57" s="186">
        <v>0</v>
      </c>
      <c r="G57" s="187">
        <v>0</v>
      </c>
      <c r="H57" s="187">
        <v>0</v>
      </c>
      <c r="I57" s="187">
        <v>0</v>
      </c>
      <c r="J57" s="186">
        <f>J58</f>
        <v>0</v>
      </c>
      <c r="K57" s="186">
        <f>K58</f>
        <v>0</v>
      </c>
      <c r="L57" s="186">
        <f t="shared" si="35"/>
        <v>0</v>
      </c>
      <c r="M57" s="188">
        <v>0</v>
      </c>
      <c r="N57" s="188">
        <v>0</v>
      </c>
      <c r="O57" s="188">
        <v>0</v>
      </c>
      <c r="P57" s="225">
        <f t="shared" ref="P57:AS57" si="90">P58</f>
        <v>0</v>
      </c>
      <c r="Q57" s="225">
        <f t="shared" si="90"/>
        <v>0</v>
      </c>
      <c r="R57" s="225">
        <f t="shared" si="90"/>
        <v>0</v>
      </c>
      <c r="S57" s="150">
        <f t="shared" si="9"/>
        <v>0</v>
      </c>
      <c r="T57" s="213"/>
      <c r="U57" s="225">
        <f t="shared" ref="U57:W57" si="91">U58</f>
        <v>0</v>
      </c>
      <c r="V57" s="226">
        <f t="shared" si="91"/>
        <v>0</v>
      </c>
      <c r="W57" s="225">
        <f t="shared" si="91"/>
        <v>0</v>
      </c>
      <c r="X57" s="225">
        <v>0</v>
      </c>
      <c r="Y57" s="225">
        <v>0</v>
      </c>
      <c r="Z57" s="225">
        <v>0</v>
      </c>
      <c r="AA57" s="225">
        <f t="shared" si="11"/>
        <v>0</v>
      </c>
      <c r="AB57" s="225">
        <v>0</v>
      </c>
      <c r="AC57" s="226">
        <v>0</v>
      </c>
      <c r="AD57" s="225">
        <f t="shared" si="90"/>
        <v>0</v>
      </c>
      <c r="AE57" s="225">
        <v>0</v>
      </c>
      <c r="AF57" s="169" t="s">
        <v>4680</v>
      </c>
      <c r="AG57" s="212">
        <v>0</v>
      </c>
      <c r="AH57" s="226">
        <v>0</v>
      </c>
      <c r="AI57" s="225">
        <v>0</v>
      </c>
      <c r="AJ57" s="169">
        <f t="shared" si="13"/>
        <v>0</v>
      </c>
      <c r="AK57" s="212">
        <v>0</v>
      </c>
      <c r="AL57" s="226">
        <v>0</v>
      </c>
      <c r="AM57" s="225">
        <f t="shared" si="90"/>
        <v>0</v>
      </c>
      <c r="AN57" s="153">
        <f t="shared" si="15"/>
        <v>0</v>
      </c>
      <c r="AO57" s="154">
        <f t="shared" si="16"/>
        <v>0</v>
      </c>
      <c r="AP57" s="225">
        <v>0</v>
      </c>
      <c r="AQ57" s="212">
        <v>0</v>
      </c>
      <c r="AR57" s="226">
        <f t="shared" si="90"/>
        <v>0</v>
      </c>
      <c r="AS57" s="225">
        <f t="shared" si="90"/>
        <v>0</v>
      </c>
      <c r="AT57" s="155"/>
      <c r="AU57" s="156">
        <f t="shared" si="5"/>
        <v>0</v>
      </c>
      <c r="AV57" s="156">
        <f t="shared" si="6"/>
        <v>0</v>
      </c>
      <c r="AW57" s="157"/>
      <c r="AX57" s="150">
        <v>0</v>
      </c>
      <c r="AY57" s="225">
        <f t="shared" ref="AY57:BA57" si="92">AY58</f>
        <v>0</v>
      </c>
      <c r="AZ57" s="225">
        <f t="shared" si="92"/>
        <v>0</v>
      </c>
      <c r="BA57" s="225">
        <f t="shared" si="92"/>
        <v>0</v>
      </c>
      <c r="BB57" s="191">
        <v>4</v>
      </c>
      <c r="BC57" s="191" t="s">
        <v>632</v>
      </c>
      <c r="BD57" s="183" t="s">
        <v>671</v>
      </c>
      <c r="BE57" s="183" t="s">
        <v>647</v>
      </c>
      <c r="BF57" s="191" t="s">
        <v>630</v>
      </c>
      <c r="BG57" s="185" t="s">
        <v>4872</v>
      </c>
      <c r="BH57" s="215">
        <f>BH58</f>
        <v>0</v>
      </c>
      <c r="BI57" s="191"/>
      <c r="BJ57" s="191" t="s">
        <v>4873</v>
      </c>
      <c r="BK57" s="191" t="s">
        <v>508</v>
      </c>
      <c r="BL57" s="193" t="s">
        <v>4874</v>
      </c>
      <c r="BM57" s="215">
        <f>BM58</f>
        <v>0</v>
      </c>
      <c r="BN57" s="160"/>
      <c r="BO57" s="161">
        <f t="shared" si="18"/>
        <v>0</v>
      </c>
      <c r="BP57" s="161"/>
    </row>
    <row r="58" spans="1:68" ht="25.5">
      <c r="A58" s="202" t="s">
        <v>508</v>
      </c>
      <c r="B58" s="195" t="s">
        <v>4875</v>
      </c>
      <c r="C58" s="196" t="s">
        <v>4876</v>
      </c>
      <c r="D58" s="146" t="s">
        <v>4692</v>
      </c>
      <c r="E58" s="196" t="s">
        <v>4876</v>
      </c>
      <c r="F58" s="150">
        <v>0</v>
      </c>
      <c r="G58" s="209">
        <v>0</v>
      </c>
      <c r="H58" s="209"/>
      <c r="I58" s="209">
        <v>0</v>
      </c>
      <c r="J58" s="150">
        <v>0</v>
      </c>
      <c r="K58" s="150">
        <v>0</v>
      </c>
      <c r="L58" s="150">
        <f t="shared" si="35"/>
        <v>0</v>
      </c>
      <c r="M58" s="150">
        <v>0</v>
      </c>
      <c r="N58" s="150">
        <v>0</v>
      </c>
      <c r="O58" s="150">
        <v>0</v>
      </c>
      <c r="P58" s="150">
        <v>0</v>
      </c>
      <c r="Q58" s="150"/>
      <c r="R58" s="150">
        <f>P58+Q58</f>
        <v>0</v>
      </c>
      <c r="S58" s="150">
        <f t="shared" si="9"/>
        <v>0</v>
      </c>
      <c r="T58" s="150"/>
      <c r="U58" s="150">
        <v>0</v>
      </c>
      <c r="V58" s="199"/>
      <c r="W58" s="150">
        <f>U58+V58</f>
        <v>0</v>
      </c>
      <c r="X58" s="150">
        <v>0</v>
      </c>
      <c r="Y58" s="150"/>
      <c r="Z58" s="150">
        <v>0</v>
      </c>
      <c r="AA58" s="150">
        <f t="shared" si="11"/>
        <v>0</v>
      </c>
      <c r="AB58" s="150">
        <v>0</v>
      </c>
      <c r="AC58" s="199"/>
      <c r="AD58" s="150">
        <f>AB58+AC58</f>
        <v>0</v>
      </c>
      <c r="AE58" s="150">
        <v>0</v>
      </c>
      <c r="AF58" s="169" t="s">
        <v>4680</v>
      </c>
      <c r="AG58" s="201">
        <v>0</v>
      </c>
      <c r="AH58" s="199"/>
      <c r="AI58" s="150">
        <v>0</v>
      </c>
      <c r="AJ58" s="169">
        <f t="shared" si="13"/>
        <v>0</v>
      </c>
      <c r="AK58" s="201">
        <v>0</v>
      </c>
      <c r="AL58" s="199"/>
      <c r="AM58" s="150">
        <f>AK58+AL58</f>
        <v>0</v>
      </c>
      <c r="AN58" s="153">
        <f t="shared" si="15"/>
        <v>0</v>
      </c>
      <c r="AO58" s="154">
        <f t="shared" si="16"/>
        <v>0</v>
      </c>
      <c r="AP58" s="150">
        <v>0</v>
      </c>
      <c r="AQ58" s="201">
        <v>0</v>
      </c>
      <c r="AR58" s="199"/>
      <c r="AS58" s="150">
        <f>AQ58+AR58</f>
        <v>0</v>
      </c>
      <c r="AT58" s="155"/>
      <c r="AU58" s="156">
        <f t="shared" si="5"/>
        <v>0</v>
      </c>
      <c r="AV58" s="156">
        <f t="shared" si="6"/>
        <v>0</v>
      </c>
      <c r="AW58" s="157"/>
      <c r="AX58" s="150">
        <v>0</v>
      </c>
      <c r="AY58" s="150">
        <v>0</v>
      </c>
      <c r="AZ58" s="150"/>
      <c r="BA58" s="150">
        <f t="shared" si="34"/>
        <v>0</v>
      </c>
      <c r="BB58" s="202">
        <v>4</v>
      </c>
      <c r="BC58" s="202" t="s">
        <v>632</v>
      </c>
      <c r="BD58" s="202" t="s">
        <v>671</v>
      </c>
      <c r="BE58" s="202" t="s">
        <v>647</v>
      </c>
      <c r="BF58" s="202" t="s">
        <v>632</v>
      </c>
      <c r="BG58" s="203" t="s">
        <v>4872</v>
      </c>
      <c r="BH58" s="216">
        <f>AS58</f>
        <v>0</v>
      </c>
      <c r="BI58" s="202"/>
      <c r="BJ58" s="194" t="s">
        <v>4873</v>
      </c>
      <c r="BK58" s="202" t="s">
        <v>508</v>
      </c>
      <c r="BL58" s="203" t="s">
        <v>4874</v>
      </c>
      <c r="BM58" s="208">
        <f>BH58</f>
        <v>0</v>
      </c>
      <c r="BN58" s="160"/>
      <c r="BO58" s="161">
        <f t="shared" si="18"/>
        <v>0</v>
      </c>
      <c r="BP58" s="161"/>
    </row>
    <row r="59" spans="1:68" ht="38.25">
      <c r="A59" s="191" t="s">
        <v>509</v>
      </c>
      <c r="B59" s="184"/>
      <c r="C59" s="185" t="s">
        <v>4877</v>
      </c>
      <c r="D59" s="146" t="s">
        <v>4692</v>
      </c>
      <c r="E59" s="185" t="s">
        <v>4877</v>
      </c>
      <c r="F59" s="186">
        <v>0</v>
      </c>
      <c r="G59" s="187">
        <v>0</v>
      </c>
      <c r="H59" s="187">
        <v>0</v>
      </c>
      <c r="I59" s="187">
        <v>0</v>
      </c>
      <c r="J59" s="186">
        <f>SUBTOTAL(9,J60:J62)</f>
        <v>0</v>
      </c>
      <c r="K59" s="186">
        <f>SUBTOTAL(9,K60:K62)</f>
        <v>0</v>
      </c>
      <c r="L59" s="186">
        <f t="shared" si="35"/>
        <v>0</v>
      </c>
      <c r="M59" s="188">
        <v>0</v>
      </c>
      <c r="N59" s="188">
        <v>0</v>
      </c>
      <c r="O59" s="188">
        <v>0</v>
      </c>
      <c r="P59" s="225">
        <f t="shared" ref="P59:AD59" si="93">SUBTOTAL(9,P60:P62)</f>
        <v>0</v>
      </c>
      <c r="Q59" s="225">
        <f t="shared" si="93"/>
        <v>0</v>
      </c>
      <c r="R59" s="225">
        <f t="shared" si="93"/>
        <v>0</v>
      </c>
      <c r="S59" s="150">
        <f t="shared" si="9"/>
        <v>0</v>
      </c>
      <c r="T59" s="213"/>
      <c r="U59" s="225">
        <f t="shared" ref="U59:W59" si="94">SUBTOTAL(9,U60:U62)</f>
        <v>0</v>
      </c>
      <c r="V59" s="226">
        <f t="shared" si="94"/>
        <v>0</v>
      </c>
      <c r="W59" s="225">
        <f t="shared" si="94"/>
        <v>0</v>
      </c>
      <c r="X59" s="225">
        <v>0</v>
      </c>
      <c r="Y59" s="225">
        <v>0</v>
      </c>
      <c r="Z59" s="225">
        <v>0</v>
      </c>
      <c r="AA59" s="225">
        <f t="shared" si="11"/>
        <v>0</v>
      </c>
      <c r="AB59" s="225">
        <v>0</v>
      </c>
      <c r="AC59" s="226">
        <v>0</v>
      </c>
      <c r="AD59" s="225">
        <f t="shared" si="93"/>
        <v>0</v>
      </c>
      <c r="AE59" s="225">
        <v>0</v>
      </c>
      <c r="AF59" s="169" t="s">
        <v>4680</v>
      </c>
      <c r="AG59" s="212">
        <v>0</v>
      </c>
      <c r="AH59" s="226">
        <v>0</v>
      </c>
      <c r="AI59" s="225">
        <v>0</v>
      </c>
      <c r="AJ59" s="169">
        <f t="shared" si="13"/>
        <v>0</v>
      </c>
      <c r="AK59" s="212">
        <v>0</v>
      </c>
      <c r="AL59" s="226">
        <v>0</v>
      </c>
      <c r="AM59" s="225">
        <f t="shared" ref="AM59" si="95">SUBTOTAL(9,AM60:AM62)</f>
        <v>0</v>
      </c>
      <c r="AN59" s="153">
        <f t="shared" si="15"/>
        <v>0</v>
      </c>
      <c r="AO59" s="154">
        <f t="shared" si="16"/>
        <v>0</v>
      </c>
      <c r="AP59" s="225">
        <v>0</v>
      </c>
      <c r="AQ59" s="212">
        <v>0</v>
      </c>
      <c r="AR59" s="226">
        <f t="shared" ref="AR59:AS59" si="96">SUBTOTAL(9,AR60:AR62)</f>
        <v>0</v>
      </c>
      <c r="AS59" s="225">
        <f t="shared" si="96"/>
        <v>0</v>
      </c>
      <c r="AT59" s="155"/>
      <c r="AU59" s="156">
        <f t="shared" si="5"/>
        <v>0</v>
      </c>
      <c r="AV59" s="156">
        <f t="shared" si="6"/>
        <v>0</v>
      </c>
      <c r="AW59" s="157"/>
      <c r="AX59" s="150">
        <v>0</v>
      </c>
      <c r="AY59" s="225">
        <f t="shared" ref="AY59:BA59" si="97">SUBTOTAL(9,AY60:AY62)</f>
        <v>0</v>
      </c>
      <c r="AZ59" s="225">
        <f t="shared" si="97"/>
        <v>0</v>
      </c>
      <c r="BA59" s="225">
        <f t="shared" si="97"/>
        <v>0</v>
      </c>
      <c r="BB59" s="191">
        <v>4</v>
      </c>
      <c r="BC59" s="191" t="s">
        <v>632</v>
      </c>
      <c r="BD59" s="183" t="s">
        <v>671</v>
      </c>
      <c r="BE59" s="183" t="s">
        <v>671</v>
      </c>
      <c r="BF59" s="191" t="s">
        <v>630</v>
      </c>
      <c r="BG59" s="185" t="s">
        <v>4877</v>
      </c>
      <c r="BH59" s="215">
        <f>SUBTOTAL(9,BH60:BH62)</f>
        <v>0</v>
      </c>
      <c r="BI59" s="191"/>
      <c r="BJ59" s="191" t="s">
        <v>4878</v>
      </c>
      <c r="BK59" s="191" t="s">
        <v>509</v>
      </c>
      <c r="BL59" s="193" t="s">
        <v>4879</v>
      </c>
      <c r="BM59" s="215">
        <f>SUBTOTAL(9,BM60:BM62)</f>
        <v>0</v>
      </c>
      <c r="BN59" s="160"/>
      <c r="BO59" s="161">
        <f t="shared" si="18"/>
        <v>0</v>
      </c>
      <c r="BP59" s="161"/>
    </row>
    <row r="60" spans="1:68" ht="25.5">
      <c r="A60" s="202" t="s">
        <v>509</v>
      </c>
      <c r="B60" s="195" t="s">
        <v>4880</v>
      </c>
      <c r="C60" s="196" t="s">
        <v>4881</v>
      </c>
      <c r="D60" s="146" t="s">
        <v>4692</v>
      </c>
      <c r="E60" s="196" t="s">
        <v>4881</v>
      </c>
      <c r="F60" s="150">
        <v>0</v>
      </c>
      <c r="G60" s="209">
        <v>0</v>
      </c>
      <c r="H60" s="209"/>
      <c r="I60" s="209">
        <v>0</v>
      </c>
      <c r="J60" s="150">
        <v>0</v>
      </c>
      <c r="K60" s="150">
        <v>0</v>
      </c>
      <c r="L60" s="150">
        <f t="shared" si="35"/>
        <v>0</v>
      </c>
      <c r="M60" s="150">
        <v>0</v>
      </c>
      <c r="N60" s="150">
        <v>0</v>
      </c>
      <c r="O60" s="150">
        <v>0</v>
      </c>
      <c r="P60" s="150">
        <v>0</v>
      </c>
      <c r="Q60" s="150"/>
      <c r="R60" s="150">
        <f>P60+Q60</f>
        <v>0</v>
      </c>
      <c r="S60" s="150">
        <f t="shared" si="9"/>
        <v>0</v>
      </c>
      <c r="T60" s="150"/>
      <c r="U60" s="150">
        <v>0</v>
      </c>
      <c r="V60" s="199"/>
      <c r="W60" s="150">
        <f>U60+V60</f>
        <v>0</v>
      </c>
      <c r="X60" s="150">
        <v>0</v>
      </c>
      <c r="Y60" s="150"/>
      <c r="Z60" s="150">
        <v>0</v>
      </c>
      <c r="AA60" s="150">
        <f t="shared" si="11"/>
        <v>0</v>
      </c>
      <c r="AB60" s="150">
        <v>0</v>
      </c>
      <c r="AC60" s="199"/>
      <c r="AD60" s="150">
        <f>AB60+AC60</f>
        <v>0</v>
      </c>
      <c r="AE60" s="150">
        <v>0</v>
      </c>
      <c r="AF60" s="169" t="s">
        <v>4680</v>
      </c>
      <c r="AG60" s="201">
        <v>0</v>
      </c>
      <c r="AH60" s="199"/>
      <c r="AI60" s="150">
        <v>0</v>
      </c>
      <c r="AJ60" s="169">
        <f t="shared" si="13"/>
        <v>0</v>
      </c>
      <c r="AK60" s="201">
        <v>0</v>
      </c>
      <c r="AL60" s="199"/>
      <c r="AM60" s="150">
        <f>AK60+AL60</f>
        <v>0</v>
      </c>
      <c r="AN60" s="153">
        <f t="shared" si="15"/>
        <v>0</v>
      </c>
      <c r="AO60" s="154">
        <f t="shared" si="16"/>
        <v>0</v>
      </c>
      <c r="AP60" s="150">
        <v>0</v>
      </c>
      <c r="AQ60" s="201">
        <v>0</v>
      </c>
      <c r="AR60" s="199"/>
      <c r="AS60" s="150">
        <f>AQ60+AR60</f>
        <v>0</v>
      </c>
      <c r="AT60" s="155"/>
      <c r="AU60" s="156">
        <f t="shared" si="5"/>
        <v>0</v>
      </c>
      <c r="AV60" s="156">
        <f t="shared" si="6"/>
        <v>0</v>
      </c>
      <c r="AW60" s="157"/>
      <c r="AX60" s="150">
        <v>0</v>
      </c>
      <c r="AY60" s="150">
        <v>0</v>
      </c>
      <c r="AZ60" s="150"/>
      <c r="BA60" s="150">
        <f t="shared" si="34"/>
        <v>0</v>
      </c>
      <c r="BB60" s="202">
        <v>4</v>
      </c>
      <c r="BC60" s="202" t="s">
        <v>632</v>
      </c>
      <c r="BD60" s="202" t="s">
        <v>671</v>
      </c>
      <c r="BE60" s="202" t="s">
        <v>671</v>
      </c>
      <c r="BF60" s="202" t="s">
        <v>632</v>
      </c>
      <c r="BG60" s="203" t="s">
        <v>4877</v>
      </c>
      <c r="BH60" s="216">
        <f>AS60+AS61+AS62</f>
        <v>0</v>
      </c>
      <c r="BI60" s="202"/>
      <c r="BJ60" s="194" t="s">
        <v>4878</v>
      </c>
      <c r="BK60" s="202" t="s">
        <v>509</v>
      </c>
      <c r="BL60" s="203" t="s">
        <v>4879</v>
      </c>
      <c r="BM60" s="208">
        <f>BH60</f>
        <v>0</v>
      </c>
      <c r="BN60" s="160"/>
      <c r="BO60" s="161">
        <f t="shared" si="18"/>
        <v>0</v>
      </c>
      <c r="BP60" s="161"/>
    </row>
    <row r="61" spans="1:68" ht="25.5">
      <c r="A61" s="210"/>
      <c r="B61" s="195" t="s">
        <v>4882</v>
      </c>
      <c r="C61" s="196" t="s">
        <v>4883</v>
      </c>
      <c r="D61" s="146" t="s">
        <v>4692</v>
      </c>
      <c r="E61" s="196" t="s">
        <v>4883</v>
      </c>
      <c r="F61" s="150">
        <v>0</v>
      </c>
      <c r="G61" s="209">
        <v>0</v>
      </c>
      <c r="H61" s="209"/>
      <c r="I61" s="209">
        <v>0</v>
      </c>
      <c r="J61" s="150">
        <v>0</v>
      </c>
      <c r="K61" s="150">
        <v>0</v>
      </c>
      <c r="L61" s="150">
        <f t="shared" si="35"/>
        <v>0</v>
      </c>
      <c r="M61" s="150">
        <v>0</v>
      </c>
      <c r="N61" s="150">
        <v>0</v>
      </c>
      <c r="O61" s="150">
        <v>0</v>
      </c>
      <c r="P61" s="150">
        <v>0</v>
      </c>
      <c r="Q61" s="150"/>
      <c r="R61" s="150">
        <f>P61+Q61</f>
        <v>0</v>
      </c>
      <c r="S61" s="150">
        <f t="shared" si="9"/>
        <v>0</v>
      </c>
      <c r="T61" s="150"/>
      <c r="U61" s="150">
        <v>0</v>
      </c>
      <c r="V61" s="199"/>
      <c r="W61" s="150">
        <f>U61+V61</f>
        <v>0</v>
      </c>
      <c r="X61" s="150">
        <v>0</v>
      </c>
      <c r="Y61" s="150"/>
      <c r="Z61" s="150">
        <v>0</v>
      </c>
      <c r="AA61" s="150">
        <f t="shared" si="11"/>
        <v>0</v>
      </c>
      <c r="AB61" s="150">
        <v>0</v>
      </c>
      <c r="AC61" s="199"/>
      <c r="AD61" s="150">
        <f>AB61+AC61</f>
        <v>0</v>
      </c>
      <c r="AE61" s="150">
        <v>0</v>
      </c>
      <c r="AF61" s="169" t="s">
        <v>4680</v>
      </c>
      <c r="AG61" s="201">
        <v>0</v>
      </c>
      <c r="AH61" s="199"/>
      <c r="AI61" s="150">
        <v>0</v>
      </c>
      <c r="AJ61" s="169">
        <f t="shared" si="13"/>
        <v>0</v>
      </c>
      <c r="AK61" s="201">
        <v>0</v>
      </c>
      <c r="AL61" s="199"/>
      <c r="AM61" s="150">
        <f>AK61+AL61</f>
        <v>0</v>
      </c>
      <c r="AN61" s="153">
        <f t="shared" si="15"/>
        <v>0</v>
      </c>
      <c r="AO61" s="154">
        <f t="shared" si="16"/>
        <v>0</v>
      </c>
      <c r="AP61" s="150">
        <v>0</v>
      </c>
      <c r="AQ61" s="201">
        <v>0</v>
      </c>
      <c r="AR61" s="199"/>
      <c r="AS61" s="150">
        <f>AQ61+AR61</f>
        <v>0</v>
      </c>
      <c r="AT61" s="155"/>
      <c r="AU61" s="156">
        <f t="shared" si="5"/>
        <v>0</v>
      </c>
      <c r="AV61" s="156">
        <f t="shared" si="6"/>
        <v>0</v>
      </c>
      <c r="AW61" s="157"/>
      <c r="AX61" s="150">
        <v>0</v>
      </c>
      <c r="AY61" s="150">
        <v>0</v>
      </c>
      <c r="AZ61" s="150"/>
      <c r="BA61" s="150">
        <f t="shared" si="34"/>
        <v>0</v>
      </c>
      <c r="BB61" s="210"/>
      <c r="BC61" s="210"/>
      <c r="BD61" s="210"/>
      <c r="BE61" s="210"/>
      <c r="BF61" s="210"/>
      <c r="BG61" s="210"/>
      <c r="BH61" s="217"/>
      <c r="BI61" s="210"/>
      <c r="BJ61" s="210"/>
      <c r="BK61" s="210"/>
      <c r="BL61" s="210"/>
      <c r="BM61" s="208"/>
      <c r="BN61" s="160"/>
      <c r="BO61" s="161">
        <f t="shared" si="18"/>
        <v>0</v>
      </c>
      <c r="BP61" s="161"/>
    </row>
    <row r="62" spans="1:68" ht="25.5">
      <c r="A62" s="210"/>
      <c r="B62" s="195" t="s">
        <v>4884</v>
      </c>
      <c r="C62" s="196" t="s">
        <v>4885</v>
      </c>
      <c r="D62" s="146" t="s">
        <v>4692</v>
      </c>
      <c r="E62" s="196" t="s">
        <v>4885</v>
      </c>
      <c r="F62" s="150">
        <v>0</v>
      </c>
      <c r="G62" s="209">
        <v>0</v>
      </c>
      <c r="H62" s="209"/>
      <c r="I62" s="209">
        <v>0</v>
      </c>
      <c r="J62" s="150">
        <v>0</v>
      </c>
      <c r="K62" s="150">
        <v>0</v>
      </c>
      <c r="L62" s="150">
        <f t="shared" si="35"/>
        <v>0</v>
      </c>
      <c r="M62" s="150">
        <v>0</v>
      </c>
      <c r="N62" s="150">
        <v>0</v>
      </c>
      <c r="O62" s="150">
        <v>0</v>
      </c>
      <c r="P62" s="150">
        <v>0</v>
      </c>
      <c r="Q62" s="150"/>
      <c r="R62" s="150">
        <f>P62+Q62</f>
        <v>0</v>
      </c>
      <c r="S62" s="150">
        <f t="shared" si="9"/>
        <v>0</v>
      </c>
      <c r="T62" s="150"/>
      <c r="U62" s="150">
        <v>0</v>
      </c>
      <c r="V62" s="199"/>
      <c r="W62" s="150">
        <f>U62+V62</f>
        <v>0</v>
      </c>
      <c r="X62" s="150">
        <v>0</v>
      </c>
      <c r="Y62" s="150"/>
      <c r="Z62" s="150">
        <v>0</v>
      </c>
      <c r="AA62" s="150">
        <f t="shared" si="11"/>
        <v>0</v>
      </c>
      <c r="AB62" s="150">
        <v>0</v>
      </c>
      <c r="AC62" s="199"/>
      <c r="AD62" s="150">
        <f>AB62+AC62</f>
        <v>0</v>
      </c>
      <c r="AE62" s="150">
        <v>0</v>
      </c>
      <c r="AF62" s="169" t="s">
        <v>4680</v>
      </c>
      <c r="AG62" s="201">
        <v>0</v>
      </c>
      <c r="AH62" s="199"/>
      <c r="AI62" s="150">
        <v>0</v>
      </c>
      <c r="AJ62" s="169">
        <f t="shared" si="13"/>
        <v>0</v>
      </c>
      <c r="AK62" s="201">
        <v>0</v>
      </c>
      <c r="AL62" s="199"/>
      <c r="AM62" s="150">
        <f>AK62+AL62</f>
        <v>0</v>
      </c>
      <c r="AN62" s="153">
        <f t="shared" si="15"/>
        <v>0</v>
      </c>
      <c r="AO62" s="154">
        <f t="shared" si="16"/>
        <v>0</v>
      </c>
      <c r="AP62" s="150">
        <v>0</v>
      </c>
      <c r="AQ62" s="201">
        <v>0</v>
      </c>
      <c r="AR62" s="199"/>
      <c r="AS62" s="150">
        <f>AQ62+AR62</f>
        <v>0</v>
      </c>
      <c r="AT62" s="155"/>
      <c r="AU62" s="156">
        <f t="shared" si="5"/>
        <v>0</v>
      </c>
      <c r="AV62" s="156">
        <f t="shared" si="6"/>
        <v>0</v>
      </c>
      <c r="AW62" s="157"/>
      <c r="AX62" s="150">
        <v>0</v>
      </c>
      <c r="AY62" s="150">
        <v>0</v>
      </c>
      <c r="AZ62" s="150"/>
      <c r="BA62" s="150">
        <f t="shared" si="34"/>
        <v>0</v>
      </c>
      <c r="BB62" s="210"/>
      <c r="BC62" s="210"/>
      <c r="BD62" s="210"/>
      <c r="BE62" s="210"/>
      <c r="BF62" s="210"/>
      <c r="BG62" s="210"/>
      <c r="BH62" s="217"/>
      <c r="BI62" s="210"/>
      <c r="BJ62" s="210"/>
      <c r="BK62" s="210"/>
      <c r="BL62" s="210"/>
      <c r="BM62" s="208"/>
      <c r="BN62" s="160"/>
      <c r="BO62" s="161">
        <f t="shared" si="18"/>
        <v>0</v>
      </c>
      <c r="BP62" s="161"/>
    </row>
    <row r="63" spans="1:68" ht="25.5">
      <c r="A63" s="191" t="s">
        <v>510</v>
      </c>
      <c r="B63" s="184"/>
      <c r="C63" s="185" t="s">
        <v>4886</v>
      </c>
      <c r="D63" s="146" t="s">
        <v>4692</v>
      </c>
      <c r="E63" s="185" t="s">
        <v>4886</v>
      </c>
      <c r="F63" s="186">
        <v>0</v>
      </c>
      <c r="G63" s="187">
        <v>0</v>
      </c>
      <c r="H63" s="187">
        <v>0</v>
      </c>
      <c r="I63" s="187">
        <v>0</v>
      </c>
      <c r="J63" s="186">
        <f>J64</f>
        <v>0</v>
      </c>
      <c r="K63" s="186">
        <f>K64</f>
        <v>0</v>
      </c>
      <c r="L63" s="186">
        <f t="shared" si="35"/>
        <v>0</v>
      </c>
      <c r="M63" s="188">
        <v>0</v>
      </c>
      <c r="N63" s="188">
        <v>0</v>
      </c>
      <c r="O63" s="188">
        <v>0</v>
      </c>
      <c r="P63" s="225">
        <f t="shared" ref="P63:AS63" si="98">P64</f>
        <v>0</v>
      </c>
      <c r="Q63" s="225">
        <f t="shared" si="98"/>
        <v>0</v>
      </c>
      <c r="R63" s="225">
        <f t="shared" si="98"/>
        <v>0</v>
      </c>
      <c r="S63" s="150">
        <f t="shared" si="9"/>
        <v>0</v>
      </c>
      <c r="T63" s="213"/>
      <c r="U63" s="225">
        <f t="shared" ref="U63:W63" si="99">U64</f>
        <v>0</v>
      </c>
      <c r="V63" s="226">
        <f t="shared" si="99"/>
        <v>0</v>
      </c>
      <c r="W63" s="225">
        <f t="shared" si="99"/>
        <v>0</v>
      </c>
      <c r="X63" s="225">
        <v>0</v>
      </c>
      <c r="Y63" s="225">
        <v>0</v>
      </c>
      <c r="Z63" s="225">
        <v>0</v>
      </c>
      <c r="AA63" s="225">
        <f t="shared" si="11"/>
        <v>0</v>
      </c>
      <c r="AB63" s="225">
        <v>0</v>
      </c>
      <c r="AC63" s="226">
        <v>0</v>
      </c>
      <c r="AD63" s="225">
        <f t="shared" si="98"/>
        <v>0</v>
      </c>
      <c r="AE63" s="225">
        <v>0</v>
      </c>
      <c r="AF63" s="169" t="s">
        <v>4680</v>
      </c>
      <c r="AG63" s="212">
        <v>0</v>
      </c>
      <c r="AH63" s="226">
        <v>0</v>
      </c>
      <c r="AI63" s="225">
        <v>0</v>
      </c>
      <c r="AJ63" s="169">
        <f t="shared" si="13"/>
        <v>0</v>
      </c>
      <c r="AK63" s="212">
        <v>0</v>
      </c>
      <c r="AL63" s="226">
        <v>0</v>
      </c>
      <c r="AM63" s="225">
        <f t="shared" si="98"/>
        <v>0</v>
      </c>
      <c r="AN63" s="153">
        <f t="shared" si="15"/>
        <v>0</v>
      </c>
      <c r="AO63" s="154">
        <f t="shared" si="16"/>
        <v>0</v>
      </c>
      <c r="AP63" s="225">
        <v>0</v>
      </c>
      <c r="AQ63" s="212">
        <v>0</v>
      </c>
      <c r="AR63" s="226">
        <f t="shared" si="98"/>
        <v>0</v>
      </c>
      <c r="AS63" s="225">
        <f t="shared" si="98"/>
        <v>0</v>
      </c>
      <c r="AT63" s="155"/>
      <c r="AU63" s="156">
        <f t="shared" si="5"/>
        <v>0</v>
      </c>
      <c r="AV63" s="156">
        <f t="shared" si="6"/>
        <v>0</v>
      </c>
      <c r="AW63" s="157"/>
      <c r="AX63" s="150">
        <v>0</v>
      </c>
      <c r="AY63" s="225">
        <f t="shared" ref="AY63:BA63" si="100">AY64</f>
        <v>0</v>
      </c>
      <c r="AZ63" s="225">
        <f t="shared" si="100"/>
        <v>0</v>
      </c>
      <c r="BA63" s="225">
        <f t="shared" si="100"/>
        <v>0</v>
      </c>
      <c r="BB63" s="191">
        <v>4</v>
      </c>
      <c r="BC63" s="191" t="s">
        <v>632</v>
      </c>
      <c r="BD63" s="183" t="s">
        <v>671</v>
      </c>
      <c r="BE63" s="183" t="s">
        <v>693</v>
      </c>
      <c r="BF63" s="191" t="s">
        <v>630</v>
      </c>
      <c r="BG63" s="185" t="s">
        <v>4886</v>
      </c>
      <c r="BH63" s="215">
        <f>BH64</f>
        <v>0</v>
      </c>
      <c r="BI63" s="191"/>
      <c r="BJ63" s="191" t="s">
        <v>4887</v>
      </c>
      <c r="BK63" s="191" t="s">
        <v>510</v>
      </c>
      <c r="BL63" s="193" t="s">
        <v>4888</v>
      </c>
      <c r="BM63" s="215">
        <f>BM64</f>
        <v>0</v>
      </c>
      <c r="BN63" s="160"/>
      <c r="BO63" s="161">
        <f t="shared" si="18"/>
        <v>0</v>
      </c>
      <c r="BP63" s="161"/>
    </row>
    <row r="64" spans="1:68" ht="25.5">
      <c r="A64" s="202" t="s">
        <v>510</v>
      </c>
      <c r="B64" s="195" t="s">
        <v>4889</v>
      </c>
      <c r="C64" s="196" t="s">
        <v>4890</v>
      </c>
      <c r="D64" s="146" t="s">
        <v>4692</v>
      </c>
      <c r="E64" s="196" t="s">
        <v>4890</v>
      </c>
      <c r="F64" s="150">
        <v>0</v>
      </c>
      <c r="G64" s="209">
        <v>0</v>
      </c>
      <c r="H64" s="209"/>
      <c r="I64" s="209">
        <v>0</v>
      </c>
      <c r="J64" s="150">
        <v>0</v>
      </c>
      <c r="K64" s="150">
        <v>0</v>
      </c>
      <c r="L64" s="150">
        <f t="shared" si="35"/>
        <v>0</v>
      </c>
      <c r="M64" s="150">
        <v>0</v>
      </c>
      <c r="N64" s="150">
        <v>0</v>
      </c>
      <c r="O64" s="150">
        <v>0</v>
      </c>
      <c r="P64" s="150">
        <v>0</v>
      </c>
      <c r="Q64" s="150"/>
      <c r="R64" s="150">
        <f>P64+Q64</f>
        <v>0</v>
      </c>
      <c r="S64" s="150">
        <f t="shared" si="9"/>
        <v>0</v>
      </c>
      <c r="T64" s="150"/>
      <c r="U64" s="150">
        <v>0</v>
      </c>
      <c r="V64" s="199"/>
      <c r="W64" s="150">
        <f>U64+V64</f>
        <v>0</v>
      </c>
      <c r="X64" s="150">
        <v>0</v>
      </c>
      <c r="Y64" s="150"/>
      <c r="Z64" s="150">
        <v>0</v>
      </c>
      <c r="AA64" s="150">
        <f t="shared" si="11"/>
        <v>0</v>
      </c>
      <c r="AB64" s="150">
        <v>0</v>
      </c>
      <c r="AC64" s="199"/>
      <c r="AD64" s="150">
        <f>AB64+AC64</f>
        <v>0</v>
      </c>
      <c r="AE64" s="150">
        <v>0</v>
      </c>
      <c r="AF64" s="169" t="s">
        <v>4680</v>
      </c>
      <c r="AG64" s="201">
        <v>0</v>
      </c>
      <c r="AH64" s="199"/>
      <c r="AI64" s="150">
        <v>0</v>
      </c>
      <c r="AJ64" s="169">
        <f t="shared" si="13"/>
        <v>0</v>
      </c>
      <c r="AK64" s="201">
        <v>0</v>
      </c>
      <c r="AL64" s="199"/>
      <c r="AM64" s="150">
        <f>AK64+AL64</f>
        <v>0</v>
      </c>
      <c r="AN64" s="153">
        <f t="shared" si="15"/>
        <v>0</v>
      </c>
      <c r="AO64" s="154">
        <f t="shared" si="16"/>
        <v>0</v>
      </c>
      <c r="AP64" s="150">
        <v>0</v>
      </c>
      <c r="AQ64" s="201">
        <v>0</v>
      </c>
      <c r="AR64" s="199"/>
      <c r="AS64" s="150">
        <f>AQ64+AR64</f>
        <v>0</v>
      </c>
      <c r="AT64" s="155"/>
      <c r="AU64" s="156">
        <f t="shared" si="5"/>
        <v>0</v>
      </c>
      <c r="AV64" s="156">
        <f t="shared" si="6"/>
        <v>0</v>
      </c>
      <c r="AW64" s="157"/>
      <c r="AX64" s="150">
        <v>0</v>
      </c>
      <c r="AY64" s="150">
        <v>0</v>
      </c>
      <c r="AZ64" s="150"/>
      <c r="BA64" s="150">
        <f t="shared" si="34"/>
        <v>0</v>
      </c>
      <c r="BB64" s="202">
        <v>4</v>
      </c>
      <c r="BC64" s="202" t="s">
        <v>632</v>
      </c>
      <c r="BD64" s="202" t="s">
        <v>671</v>
      </c>
      <c r="BE64" s="202" t="s">
        <v>693</v>
      </c>
      <c r="BF64" s="202" t="s">
        <v>632</v>
      </c>
      <c r="BG64" s="203" t="s">
        <v>4886</v>
      </c>
      <c r="BH64" s="216">
        <f>AS64</f>
        <v>0</v>
      </c>
      <c r="BI64" s="202"/>
      <c r="BJ64" s="194" t="s">
        <v>4887</v>
      </c>
      <c r="BK64" s="202" t="s">
        <v>510</v>
      </c>
      <c r="BL64" s="203" t="s">
        <v>4888</v>
      </c>
      <c r="BM64" s="208">
        <f>BH64</f>
        <v>0</v>
      </c>
      <c r="BN64" s="160"/>
      <c r="BO64" s="161">
        <f t="shared" si="18"/>
        <v>0</v>
      </c>
      <c r="BP64" s="161"/>
    </row>
    <row r="65" spans="1:68" ht="25.5">
      <c r="A65" s="173" t="s">
        <v>511</v>
      </c>
      <c r="B65" s="174"/>
      <c r="C65" s="175" t="s">
        <v>4891</v>
      </c>
      <c r="D65" s="146" t="s">
        <v>4692</v>
      </c>
      <c r="E65" s="175" t="s">
        <v>4891</v>
      </c>
      <c r="F65" s="176">
        <v>0</v>
      </c>
      <c r="G65" s="177">
        <v>0</v>
      </c>
      <c r="H65" s="177">
        <v>0</v>
      </c>
      <c r="I65" s="177">
        <v>0</v>
      </c>
      <c r="J65" s="176">
        <f>J66</f>
        <v>0</v>
      </c>
      <c r="K65" s="176">
        <f>K66</f>
        <v>0</v>
      </c>
      <c r="L65" s="176">
        <f t="shared" si="35"/>
        <v>0</v>
      </c>
      <c r="M65" s="178">
        <v>0</v>
      </c>
      <c r="N65" s="178">
        <v>0</v>
      </c>
      <c r="O65" s="178">
        <v>0</v>
      </c>
      <c r="P65" s="221">
        <f t="shared" ref="P65:AM66" si="101">P66</f>
        <v>0</v>
      </c>
      <c r="Q65" s="221">
        <f t="shared" si="101"/>
        <v>0</v>
      </c>
      <c r="R65" s="221">
        <f t="shared" si="101"/>
        <v>0</v>
      </c>
      <c r="S65" s="150">
        <f t="shared" si="9"/>
        <v>0</v>
      </c>
      <c r="T65" s="213"/>
      <c r="U65" s="221">
        <f t="shared" ref="U65:W66" si="102">U66</f>
        <v>0</v>
      </c>
      <c r="V65" s="222">
        <f t="shared" si="102"/>
        <v>0</v>
      </c>
      <c r="W65" s="221">
        <f t="shared" si="102"/>
        <v>0</v>
      </c>
      <c r="X65" s="221">
        <v>0</v>
      </c>
      <c r="Y65" s="221">
        <v>0</v>
      </c>
      <c r="Z65" s="221">
        <v>0</v>
      </c>
      <c r="AA65" s="221">
        <f t="shared" si="11"/>
        <v>0</v>
      </c>
      <c r="AB65" s="221">
        <v>0</v>
      </c>
      <c r="AC65" s="222">
        <v>0</v>
      </c>
      <c r="AD65" s="221">
        <f t="shared" si="101"/>
        <v>0</v>
      </c>
      <c r="AE65" s="221">
        <v>0</v>
      </c>
      <c r="AF65" s="169" t="s">
        <v>4680</v>
      </c>
      <c r="AG65" s="223">
        <v>0</v>
      </c>
      <c r="AH65" s="222">
        <v>0</v>
      </c>
      <c r="AI65" s="221">
        <v>0</v>
      </c>
      <c r="AJ65" s="169">
        <f t="shared" si="13"/>
        <v>0</v>
      </c>
      <c r="AK65" s="223">
        <v>0</v>
      </c>
      <c r="AL65" s="222">
        <v>0</v>
      </c>
      <c r="AM65" s="221">
        <f t="shared" si="101"/>
        <v>0</v>
      </c>
      <c r="AN65" s="153">
        <f t="shared" si="15"/>
        <v>0</v>
      </c>
      <c r="AO65" s="154">
        <f t="shared" si="16"/>
        <v>0</v>
      </c>
      <c r="AP65" s="221">
        <v>0</v>
      </c>
      <c r="AQ65" s="223">
        <v>0</v>
      </c>
      <c r="AR65" s="222">
        <f t="shared" ref="AR65:AS66" si="103">AR66</f>
        <v>0</v>
      </c>
      <c r="AS65" s="221">
        <f t="shared" si="103"/>
        <v>0</v>
      </c>
      <c r="AT65" s="155"/>
      <c r="AU65" s="156">
        <f t="shared" si="5"/>
        <v>0</v>
      </c>
      <c r="AV65" s="156">
        <f t="shared" si="6"/>
        <v>0</v>
      </c>
      <c r="AW65" s="157"/>
      <c r="AX65" s="150">
        <v>0</v>
      </c>
      <c r="AY65" s="221">
        <f t="shared" ref="AY65:BA66" si="104">AY66</f>
        <v>0</v>
      </c>
      <c r="AZ65" s="221">
        <f t="shared" si="104"/>
        <v>0</v>
      </c>
      <c r="BA65" s="221">
        <f t="shared" si="104"/>
        <v>0</v>
      </c>
      <c r="BB65" s="181">
        <v>4</v>
      </c>
      <c r="BC65" s="173" t="s">
        <v>632</v>
      </c>
      <c r="BD65" s="173" t="s">
        <v>693</v>
      </c>
      <c r="BE65" s="173" t="s">
        <v>630</v>
      </c>
      <c r="BF65" s="173" t="s">
        <v>630</v>
      </c>
      <c r="BG65" s="175" t="s">
        <v>4891</v>
      </c>
      <c r="BH65" s="224">
        <f>BH66</f>
        <v>0</v>
      </c>
      <c r="BI65" s="181"/>
      <c r="BJ65" s="173" t="s">
        <v>4892</v>
      </c>
      <c r="BK65" s="173" t="s">
        <v>511</v>
      </c>
      <c r="BL65" s="182" t="s">
        <v>4893</v>
      </c>
      <c r="BM65" s="224">
        <f>BM66</f>
        <v>0</v>
      </c>
      <c r="BN65" s="160"/>
      <c r="BO65" s="161">
        <f t="shared" si="18"/>
        <v>0</v>
      </c>
      <c r="BP65" s="161"/>
    </row>
    <row r="66" spans="1:68" ht="25.5">
      <c r="A66" s="183" t="s">
        <v>511</v>
      </c>
      <c r="B66" s="184"/>
      <c r="C66" s="185" t="s">
        <v>4891</v>
      </c>
      <c r="D66" s="146" t="s">
        <v>4692</v>
      </c>
      <c r="E66" s="185" t="s">
        <v>4891</v>
      </c>
      <c r="F66" s="186">
        <v>0</v>
      </c>
      <c r="G66" s="187">
        <v>0</v>
      </c>
      <c r="H66" s="187">
        <v>0</v>
      </c>
      <c r="I66" s="187">
        <v>0</v>
      </c>
      <c r="J66" s="186">
        <f>J67</f>
        <v>0</v>
      </c>
      <c r="K66" s="186">
        <f>K67</f>
        <v>0</v>
      </c>
      <c r="L66" s="186">
        <f t="shared" si="35"/>
        <v>0</v>
      </c>
      <c r="M66" s="188">
        <v>0</v>
      </c>
      <c r="N66" s="188">
        <v>0</v>
      </c>
      <c r="O66" s="188">
        <v>0</v>
      </c>
      <c r="P66" s="225">
        <f t="shared" si="101"/>
        <v>0</v>
      </c>
      <c r="Q66" s="225">
        <f t="shared" si="101"/>
        <v>0</v>
      </c>
      <c r="R66" s="225">
        <f t="shared" si="101"/>
        <v>0</v>
      </c>
      <c r="S66" s="150">
        <f t="shared" si="9"/>
        <v>0</v>
      </c>
      <c r="T66" s="213"/>
      <c r="U66" s="225">
        <f t="shared" si="102"/>
        <v>0</v>
      </c>
      <c r="V66" s="226">
        <f t="shared" si="102"/>
        <v>0</v>
      </c>
      <c r="W66" s="225">
        <f t="shared" si="102"/>
        <v>0</v>
      </c>
      <c r="X66" s="225">
        <v>0</v>
      </c>
      <c r="Y66" s="225">
        <v>0</v>
      </c>
      <c r="Z66" s="225">
        <v>0</v>
      </c>
      <c r="AA66" s="225">
        <f t="shared" si="11"/>
        <v>0</v>
      </c>
      <c r="AB66" s="225">
        <v>0</v>
      </c>
      <c r="AC66" s="226">
        <v>0</v>
      </c>
      <c r="AD66" s="225">
        <f t="shared" si="101"/>
        <v>0</v>
      </c>
      <c r="AE66" s="225">
        <v>0</v>
      </c>
      <c r="AF66" s="169" t="s">
        <v>4680</v>
      </c>
      <c r="AG66" s="212">
        <v>0</v>
      </c>
      <c r="AH66" s="226">
        <v>0</v>
      </c>
      <c r="AI66" s="225">
        <v>0</v>
      </c>
      <c r="AJ66" s="169">
        <f t="shared" si="13"/>
        <v>0</v>
      </c>
      <c r="AK66" s="212">
        <v>0</v>
      </c>
      <c r="AL66" s="226">
        <v>0</v>
      </c>
      <c r="AM66" s="225">
        <f t="shared" si="101"/>
        <v>0</v>
      </c>
      <c r="AN66" s="153">
        <f t="shared" si="15"/>
        <v>0</v>
      </c>
      <c r="AO66" s="154">
        <f t="shared" si="16"/>
        <v>0</v>
      </c>
      <c r="AP66" s="225">
        <v>0</v>
      </c>
      <c r="AQ66" s="212">
        <v>0</v>
      </c>
      <c r="AR66" s="226">
        <f t="shared" si="103"/>
        <v>0</v>
      </c>
      <c r="AS66" s="225">
        <f t="shared" si="103"/>
        <v>0</v>
      </c>
      <c r="AT66" s="155"/>
      <c r="AU66" s="156">
        <f t="shared" ref="AU66:AU129" si="105">AM66-AD66</f>
        <v>0</v>
      </c>
      <c r="AV66" s="156">
        <f t="shared" ref="AV66:AV129" si="106">AD66-AX66</f>
        <v>0</v>
      </c>
      <c r="AW66" s="157"/>
      <c r="AX66" s="150">
        <v>0</v>
      </c>
      <c r="AY66" s="225">
        <f t="shared" si="104"/>
        <v>0</v>
      </c>
      <c r="AZ66" s="225">
        <f t="shared" si="104"/>
        <v>0</v>
      </c>
      <c r="BA66" s="225">
        <f t="shared" si="104"/>
        <v>0</v>
      </c>
      <c r="BB66" s="191">
        <v>4</v>
      </c>
      <c r="BC66" s="183" t="s">
        <v>632</v>
      </c>
      <c r="BD66" s="183" t="s">
        <v>693</v>
      </c>
      <c r="BE66" s="183" t="s">
        <v>632</v>
      </c>
      <c r="BF66" s="183" t="s">
        <v>630</v>
      </c>
      <c r="BG66" s="185" t="s">
        <v>4891</v>
      </c>
      <c r="BH66" s="215">
        <f>BH67</f>
        <v>0</v>
      </c>
      <c r="BI66" s="191"/>
      <c r="BJ66" s="191" t="s">
        <v>4892</v>
      </c>
      <c r="BK66" s="183" t="s">
        <v>511</v>
      </c>
      <c r="BL66" s="185" t="s">
        <v>4893</v>
      </c>
      <c r="BM66" s="215">
        <f>BM67</f>
        <v>0</v>
      </c>
      <c r="BN66" s="160"/>
      <c r="BO66" s="161">
        <f t="shared" si="18"/>
        <v>0</v>
      </c>
      <c r="BP66" s="161"/>
    </row>
    <row r="67" spans="1:68" ht="25.5">
      <c r="A67" s="194" t="s">
        <v>511</v>
      </c>
      <c r="B67" s="195" t="s">
        <v>4894</v>
      </c>
      <c r="C67" s="196" t="s">
        <v>4895</v>
      </c>
      <c r="D67" s="146" t="s">
        <v>4692</v>
      </c>
      <c r="E67" s="196" t="s">
        <v>4895</v>
      </c>
      <c r="F67" s="150">
        <v>0</v>
      </c>
      <c r="G67" s="209">
        <v>0</v>
      </c>
      <c r="H67" s="209"/>
      <c r="I67" s="209">
        <v>0</v>
      </c>
      <c r="J67" s="150">
        <v>0</v>
      </c>
      <c r="K67" s="150">
        <v>0</v>
      </c>
      <c r="L67" s="150">
        <f t="shared" si="35"/>
        <v>0</v>
      </c>
      <c r="M67" s="150">
        <v>0</v>
      </c>
      <c r="N67" s="150">
        <v>0</v>
      </c>
      <c r="O67" s="150">
        <v>0</v>
      </c>
      <c r="P67" s="150">
        <v>0</v>
      </c>
      <c r="Q67" s="150"/>
      <c r="R67" s="150">
        <f>P67+Q67</f>
        <v>0</v>
      </c>
      <c r="S67" s="150">
        <f t="shared" ref="S67:S130" si="107">R67/9*12</f>
        <v>0</v>
      </c>
      <c r="T67" s="150"/>
      <c r="U67" s="150">
        <v>0</v>
      </c>
      <c r="V67" s="199"/>
      <c r="W67" s="150">
        <f>U67+V67</f>
        <v>0</v>
      </c>
      <c r="X67" s="150">
        <v>0</v>
      </c>
      <c r="Y67" s="150"/>
      <c r="Z67" s="150">
        <v>0</v>
      </c>
      <c r="AA67" s="150">
        <f t="shared" ref="AA67:AA130" si="108">AD67-Z67</f>
        <v>0</v>
      </c>
      <c r="AB67" s="150">
        <v>0</v>
      </c>
      <c r="AC67" s="199"/>
      <c r="AD67" s="150">
        <f>AB67+AC67</f>
        <v>0</v>
      </c>
      <c r="AE67" s="150">
        <v>0</v>
      </c>
      <c r="AF67" s="169" t="s">
        <v>4680</v>
      </c>
      <c r="AG67" s="201">
        <v>0</v>
      </c>
      <c r="AH67" s="199"/>
      <c r="AI67" s="150">
        <v>0</v>
      </c>
      <c r="AJ67" s="169">
        <f t="shared" ref="AJ67:AJ130" si="109">AM67-AI67</f>
        <v>0</v>
      </c>
      <c r="AK67" s="201">
        <v>0</v>
      </c>
      <c r="AL67" s="199"/>
      <c r="AM67" s="150">
        <f>AK67+AL67</f>
        <v>0</v>
      </c>
      <c r="AN67" s="153">
        <f t="shared" ref="AN67:AN130" si="110">AS67-AM67</f>
        <v>0</v>
      </c>
      <c r="AO67" s="154">
        <f t="shared" ref="AO67:AO130" si="111">AS67-AP67</f>
        <v>0</v>
      </c>
      <c r="AP67" s="150">
        <v>0</v>
      </c>
      <c r="AQ67" s="201">
        <v>0</v>
      </c>
      <c r="AR67" s="199"/>
      <c r="AS67" s="150">
        <f>AQ67+AR67</f>
        <v>0</v>
      </c>
      <c r="AT67" s="155"/>
      <c r="AU67" s="156">
        <f t="shared" si="105"/>
        <v>0</v>
      </c>
      <c r="AV67" s="156">
        <f t="shared" si="106"/>
        <v>0</v>
      </c>
      <c r="AW67" s="157"/>
      <c r="AX67" s="150">
        <v>0</v>
      </c>
      <c r="AY67" s="150">
        <v>0</v>
      </c>
      <c r="AZ67" s="150"/>
      <c r="BA67" s="150">
        <f t="shared" ref="BA67:BA130" si="112">AY67+AZ67</f>
        <v>0</v>
      </c>
      <c r="BB67" s="202">
        <v>4</v>
      </c>
      <c r="BC67" s="202" t="s">
        <v>632</v>
      </c>
      <c r="BD67" s="202" t="s">
        <v>693</v>
      </c>
      <c r="BE67" s="202" t="s">
        <v>632</v>
      </c>
      <c r="BF67" s="202" t="s">
        <v>632</v>
      </c>
      <c r="BG67" s="203" t="s">
        <v>4891</v>
      </c>
      <c r="BH67" s="216">
        <f>AS67</f>
        <v>0</v>
      </c>
      <c r="BI67" s="202"/>
      <c r="BJ67" s="194" t="s">
        <v>4892</v>
      </c>
      <c r="BK67" s="194" t="s">
        <v>511</v>
      </c>
      <c r="BL67" s="207" t="s">
        <v>4896</v>
      </c>
      <c r="BM67" s="208">
        <f>BH67</f>
        <v>0</v>
      </c>
      <c r="BN67" s="160"/>
      <c r="BO67" s="161">
        <f t="shared" ref="BO67:BO130" si="113">BM67-AS67</f>
        <v>0</v>
      </c>
      <c r="BP67" s="161"/>
    </row>
    <row r="68" spans="1:68" ht="38.25">
      <c r="A68" s="162" t="s">
        <v>4897</v>
      </c>
      <c r="B68" s="163"/>
      <c r="C68" s="164" t="s">
        <v>4898</v>
      </c>
      <c r="D68" s="146" t="s">
        <v>4692</v>
      </c>
      <c r="E68" s="164" t="s">
        <v>4898</v>
      </c>
      <c r="F68" s="165">
        <v>-3413326.83</v>
      </c>
      <c r="G68" s="166">
        <v>0</v>
      </c>
      <c r="H68" s="166">
        <v>-3413326.83</v>
      </c>
      <c r="I68" s="166">
        <v>-3413326.83</v>
      </c>
      <c r="J68" s="165">
        <f>J69+J73</f>
        <v>0</v>
      </c>
      <c r="K68" s="165">
        <f>K69+K73</f>
        <v>-769125</v>
      </c>
      <c r="L68" s="165">
        <f t="shared" si="35"/>
        <v>-769125</v>
      </c>
      <c r="M68" s="167">
        <v>0</v>
      </c>
      <c r="N68" s="167">
        <v>-1739907.99</v>
      </c>
      <c r="O68" s="167">
        <v>-1739907.99</v>
      </c>
      <c r="P68" s="232">
        <f t="shared" ref="P68:R68" si="114">P69+P73</f>
        <v>0</v>
      </c>
      <c r="Q68" s="232">
        <f t="shared" si="114"/>
        <v>-3420521.82</v>
      </c>
      <c r="R68" s="232">
        <f t="shared" si="114"/>
        <v>-3420521.82</v>
      </c>
      <c r="S68" s="150">
        <f t="shared" si="107"/>
        <v>-4560695.76</v>
      </c>
      <c r="T68" s="213"/>
      <c r="U68" s="232">
        <f t="shared" ref="U68:W68" si="115">U69+U73</f>
        <v>0</v>
      </c>
      <c r="V68" s="233">
        <f t="shared" si="115"/>
        <v>-3379126.74</v>
      </c>
      <c r="W68" s="232">
        <f t="shared" si="115"/>
        <v>-3379126.74</v>
      </c>
      <c r="X68" s="232">
        <v>0</v>
      </c>
      <c r="Y68" s="232">
        <v>-3379126.74</v>
      </c>
      <c r="Z68" s="232">
        <v>-3379126.74</v>
      </c>
      <c r="AA68" s="232">
        <f t="shared" si="108"/>
        <v>-87704.209999999963</v>
      </c>
      <c r="AB68" s="232">
        <v>0</v>
      </c>
      <c r="AC68" s="233">
        <v>-3466830.95</v>
      </c>
      <c r="AD68" s="232">
        <f t="shared" ref="AD68" si="116">AD69+AD73</f>
        <v>-3466830.95</v>
      </c>
      <c r="AE68" s="232">
        <v>-3466830.95</v>
      </c>
      <c r="AF68" s="169" t="s">
        <v>4680</v>
      </c>
      <c r="AG68" s="234">
        <v>0</v>
      </c>
      <c r="AH68" s="233">
        <v>-3466830.95</v>
      </c>
      <c r="AI68" s="232">
        <v>-3466830.95</v>
      </c>
      <c r="AJ68" s="169">
        <f t="shared" si="109"/>
        <v>0</v>
      </c>
      <c r="AK68" s="234">
        <v>0</v>
      </c>
      <c r="AL68" s="233">
        <v>-3466830.95</v>
      </c>
      <c r="AM68" s="232">
        <f t="shared" ref="AM68" si="117">AM69+AM73</f>
        <v>-3466830.95</v>
      </c>
      <c r="AN68" s="153">
        <f t="shared" si="110"/>
        <v>0</v>
      </c>
      <c r="AO68" s="154">
        <f t="shared" si="111"/>
        <v>0</v>
      </c>
      <c r="AP68" s="232">
        <v>-3466830.95</v>
      </c>
      <c r="AQ68" s="234">
        <v>-3466830.95</v>
      </c>
      <c r="AR68" s="233">
        <f t="shared" ref="AR68:AS68" si="118">AR69+AR73</f>
        <v>0</v>
      </c>
      <c r="AS68" s="232">
        <f t="shared" si="118"/>
        <v>-3466830.95</v>
      </c>
      <c r="AT68" s="155"/>
      <c r="AU68" s="156">
        <f t="shared" si="105"/>
        <v>0</v>
      </c>
      <c r="AV68" s="156">
        <f t="shared" si="106"/>
        <v>-87704.209999999963</v>
      </c>
      <c r="AW68" s="157"/>
      <c r="AX68" s="150">
        <v>-3379126.74</v>
      </c>
      <c r="AY68" s="232">
        <f t="shared" ref="AY68:BA68" si="119">AY69+AY73</f>
        <v>0</v>
      </c>
      <c r="AZ68" s="232">
        <f t="shared" si="119"/>
        <v>-3624927.04</v>
      </c>
      <c r="BA68" s="232">
        <f t="shared" si="119"/>
        <v>-3624927.04</v>
      </c>
      <c r="BB68" s="171">
        <v>4</v>
      </c>
      <c r="BC68" s="162" t="s">
        <v>647</v>
      </c>
      <c r="BD68" s="162" t="s">
        <v>630</v>
      </c>
      <c r="BE68" s="162" t="s">
        <v>630</v>
      </c>
      <c r="BF68" s="162" t="s">
        <v>630</v>
      </c>
      <c r="BG68" s="164" t="s">
        <v>4898</v>
      </c>
      <c r="BH68" s="235">
        <f>BH69+BH73</f>
        <v>-3466830.95</v>
      </c>
      <c r="BI68" s="171"/>
      <c r="BJ68" s="162" t="s">
        <v>4899</v>
      </c>
      <c r="BK68" s="162" t="s">
        <v>4897</v>
      </c>
      <c r="BL68" s="172" t="s">
        <v>4900</v>
      </c>
      <c r="BM68" s="235">
        <f>BM69+BM73</f>
        <v>-3466830.95</v>
      </c>
      <c r="BN68" s="160"/>
      <c r="BO68" s="161">
        <f t="shared" si="113"/>
        <v>0</v>
      </c>
      <c r="BP68" s="161"/>
    </row>
    <row r="69" spans="1:68" ht="63.75">
      <c r="A69" s="173" t="s">
        <v>4901</v>
      </c>
      <c r="B69" s="174"/>
      <c r="C69" s="175" t="s">
        <v>4902</v>
      </c>
      <c r="D69" s="146" t="s">
        <v>4692</v>
      </c>
      <c r="E69" s="175" t="s">
        <v>4902</v>
      </c>
      <c r="F69" s="176">
        <v>-3413326.83</v>
      </c>
      <c r="G69" s="177">
        <v>0</v>
      </c>
      <c r="H69" s="177">
        <v>-3413326.83</v>
      </c>
      <c r="I69" s="177">
        <v>-3413326.83</v>
      </c>
      <c r="J69" s="176">
        <f>J70</f>
        <v>0</v>
      </c>
      <c r="K69" s="176">
        <f>K70</f>
        <v>-769125</v>
      </c>
      <c r="L69" s="176">
        <f t="shared" si="35"/>
        <v>-769125</v>
      </c>
      <c r="M69" s="178">
        <v>0</v>
      </c>
      <c r="N69" s="178">
        <v>-1739907.99</v>
      </c>
      <c r="O69" s="178">
        <v>-1739907.99</v>
      </c>
      <c r="P69" s="221">
        <f t="shared" ref="P69:AS69" si="120">P70</f>
        <v>0</v>
      </c>
      <c r="Q69" s="221">
        <f t="shared" si="120"/>
        <v>-3420521.82</v>
      </c>
      <c r="R69" s="221">
        <f t="shared" si="120"/>
        <v>-3420521.82</v>
      </c>
      <c r="S69" s="150">
        <f t="shared" si="107"/>
        <v>-4560695.76</v>
      </c>
      <c r="T69" s="213"/>
      <c r="U69" s="221">
        <f t="shared" ref="U69:W69" si="121">U70</f>
        <v>0</v>
      </c>
      <c r="V69" s="222">
        <f t="shared" si="121"/>
        <v>-3379126.74</v>
      </c>
      <c r="W69" s="221">
        <f t="shared" si="121"/>
        <v>-3379126.74</v>
      </c>
      <c r="X69" s="221">
        <v>0</v>
      </c>
      <c r="Y69" s="221">
        <v>-3379126.74</v>
      </c>
      <c r="Z69" s="221">
        <v>-3379126.74</v>
      </c>
      <c r="AA69" s="221">
        <f t="shared" si="108"/>
        <v>-87704.209999999963</v>
      </c>
      <c r="AB69" s="221">
        <v>0</v>
      </c>
      <c r="AC69" s="222">
        <v>-3466830.95</v>
      </c>
      <c r="AD69" s="221">
        <f t="shared" si="120"/>
        <v>-3466830.95</v>
      </c>
      <c r="AE69" s="221">
        <v>-3466830.95</v>
      </c>
      <c r="AF69" s="169" t="s">
        <v>4680</v>
      </c>
      <c r="AG69" s="223">
        <v>0</v>
      </c>
      <c r="AH69" s="222">
        <v>-3466830.95</v>
      </c>
      <c r="AI69" s="221">
        <v>-3466830.95</v>
      </c>
      <c r="AJ69" s="169">
        <f t="shared" si="109"/>
        <v>0</v>
      </c>
      <c r="AK69" s="223">
        <v>0</v>
      </c>
      <c r="AL69" s="222">
        <v>-3466830.95</v>
      </c>
      <c r="AM69" s="221">
        <f t="shared" si="120"/>
        <v>-3466830.95</v>
      </c>
      <c r="AN69" s="153">
        <f t="shared" si="110"/>
        <v>0</v>
      </c>
      <c r="AO69" s="154">
        <f t="shared" si="111"/>
        <v>0</v>
      </c>
      <c r="AP69" s="221">
        <v>-3466830.95</v>
      </c>
      <c r="AQ69" s="223">
        <v>-3466830.95</v>
      </c>
      <c r="AR69" s="222">
        <f t="shared" si="120"/>
        <v>0</v>
      </c>
      <c r="AS69" s="221">
        <f t="shared" si="120"/>
        <v>-3466830.95</v>
      </c>
      <c r="AT69" s="155"/>
      <c r="AU69" s="156">
        <f t="shared" si="105"/>
        <v>0</v>
      </c>
      <c r="AV69" s="156">
        <f t="shared" si="106"/>
        <v>-87704.209999999963</v>
      </c>
      <c r="AW69" s="157"/>
      <c r="AX69" s="150">
        <v>-3379126.74</v>
      </c>
      <c r="AY69" s="221">
        <f t="shared" ref="AY69:BA69" si="122">AY70</f>
        <v>0</v>
      </c>
      <c r="AZ69" s="221">
        <f t="shared" si="122"/>
        <v>-3624927.04</v>
      </c>
      <c r="BA69" s="221">
        <f t="shared" si="122"/>
        <v>-3624927.04</v>
      </c>
      <c r="BB69" s="181">
        <v>4</v>
      </c>
      <c r="BC69" s="173" t="s">
        <v>647</v>
      </c>
      <c r="BD69" s="173" t="s">
        <v>632</v>
      </c>
      <c r="BE69" s="173" t="s">
        <v>630</v>
      </c>
      <c r="BF69" s="173" t="s">
        <v>630</v>
      </c>
      <c r="BG69" s="175" t="s">
        <v>4902</v>
      </c>
      <c r="BH69" s="224">
        <f>BH70</f>
        <v>-3466830.95</v>
      </c>
      <c r="BI69" s="181"/>
      <c r="BJ69" s="173" t="s">
        <v>4903</v>
      </c>
      <c r="BK69" s="173" t="s">
        <v>4901</v>
      </c>
      <c r="BL69" s="236" t="s">
        <v>4904</v>
      </c>
      <c r="BM69" s="224">
        <f>BM70</f>
        <v>-3466830.95</v>
      </c>
      <c r="BN69" s="160"/>
      <c r="BO69" s="161">
        <f t="shared" si="113"/>
        <v>0</v>
      </c>
      <c r="BP69" s="161"/>
    </row>
    <row r="70" spans="1:68" ht="63.75">
      <c r="A70" s="183" t="s">
        <v>4901</v>
      </c>
      <c r="B70" s="184"/>
      <c r="C70" s="185" t="s">
        <v>4902</v>
      </c>
      <c r="D70" s="146" t="s">
        <v>4692</v>
      </c>
      <c r="E70" s="185" t="s">
        <v>4902</v>
      </c>
      <c r="F70" s="186">
        <v>-3413326.83</v>
      </c>
      <c r="G70" s="187">
        <v>0</v>
      </c>
      <c r="H70" s="187">
        <v>-3413326.83</v>
      </c>
      <c r="I70" s="187">
        <v>-3413326.83</v>
      </c>
      <c r="J70" s="186">
        <f>SUBTOTAL(9,J71:J72)</f>
        <v>0</v>
      </c>
      <c r="K70" s="186">
        <f>SUBTOTAL(9,K71:K72)</f>
        <v>-769125</v>
      </c>
      <c r="L70" s="186">
        <f t="shared" si="35"/>
        <v>-769125</v>
      </c>
      <c r="M70" s="188">
        <v>0</v>
      </c>
      <c r="N70" s="188">
        <v>-1739907.99</v>
      </c>
      <c r="O70" s="188">
        <v>-1739907.99</v>
      </c>
      <c r="P70" s="225">
        <f t="shared" ref="P70:R70" si="123">SUBTOTAL(9,P71:P72)</f>
        <v>0</v>
      </c>
      <c r="Q70" s="225">
        <f t="shared" si="123"/>
        <v>-3420521.82</v>
      </c>
      <c r="R70" s="225">
        <f t="shared" si="123"/>
        <v>-3420521.82</v>
      </c>
      <c r="S70" s="150">
        <f t="shared" si="107"/>
        <v>-4560695.76</v>
      </c>
      <c r="T70" s="213"/>
      <c r="U70" s="225">
        <f t="shared" ref="U70:W70" si="124">SUBTOTAL(9,U71:U72)</f>
        <v>0</v>
      </c>
      <c r="V70" s="226">
        <f t="shared" si="124"/>
        <v>-3379126.74</v>
      </c>
      <c r="W70" s="225">
        <f t="shared" si="124"/>
        <v>-3379126.74</v>
      </c>
      <c r="X70" s="225">
        <v>0</v>
      </c>
      <c r="Y70" s="225">
        <v>-3379126.74</v>
      </c>
      <c r="Z70" s="225">
        <v>-3379126.74</v>
      </c>
      <c r="AA70" s="225">
        <f t="shared" si="108"/>
        <v>-87704.209999999963</v>
      </c>
      <c r="AB70" s="225">
        <v>0</v>
      </c>
      <c r="AC70" s="226">
        <v>-3466830.95</v>
      </c>
      <c r="AD70" s="225">
        <f t="shared" ref="AD70" si="125">SUBTOTAL(9,AD71:AD72)</f>
        <v>-3466830.95</v>
      </c>
      <c r="AE70" s="225">
        <v>-3466830.95</v>
      </c>
      <c r="AF70" s="169" t="s">
        <v>4680</v>
      </c>
      <c r="AG70" s="212">
        <v>0</v>
      </c>
      <c r="AH70" s="226">
        <v>-3466830.95</v>
      </c>
      <c r="AI70" s="225">
        <v>-3466830.95</v>
      </c>
      <c r="AJ70" s="169">
        <f t="shared" si="109"/>
        <v>0</v>
      </c>
      <c r="AK70" s="212">
        <v>0</v>
      </c>
      <c r="AL70" s="226">
        <v>-3466830.95</v>
      </c>
      <c r="AM70" s="225">
        <f t="shared" ref="AM70" si="126">SUBTOTAL(9,AM71:AM72)</f>
        <v>-3466830.95</v>
      </c>
      <c r="AN70" s="153">
        <f t="shared" si="110"/>
        <v>0</v>
      </c>
      <c r="AO70" s="154">
        <f t="shared" si="111"/>
        <v>0</v>
      </c>
      <c r="AP70" s="225">
        <v>-3466830.95</v>
      </c>
      <c r="AQ70" s="212">
        <v>-3466830.95</v>
      </c>
      <c r="AR70" s="226">
        <f t="shared" ref="AR70:AS70" si="127">SUBTOTAL(9,AR71:AR72)</f>
        <v>0</v>
      </c>
      <c r="AS70" s="225">
        <f t="shared" si="127"/>
        <v>-3466830.95</v>
      </c>
      <c r="AT70" s="155"/>
      <c r="AU70" s="156">
        <f t="shared" si="105"/>
        <v>0</v>
      </c>
      <c r="AV70" s="156">
        <f t="shared" si="106"/>
        <v>-87704.209999999963</v>
      </c>
      <c r="AW70" s="157"/>
      <c r="AX70" s="150">
        <v>-3379126.74</v>
      </c>
      <c r="AY70" s="225">
        <f t="shared" ref="AY70:BA70" si="128">SUBTOTAL(9,AY71:AY72)</f>
        <v>0</v>
      </c>
      <c r="AZ70" s="225">
        <f t="shared" si="128"/>
        <v>-3624927.04</v>
      </c>
      <c r="BA70" s="225">
        <f t="shared" si="128"/>
        <v>-3624927.04</v>
      </c>
      <c r="BB70" s="191">
        <v>4</v>
      </c>
      <c r="BC70" s="183" t="s">
        <v>647</v>
      </c>
      <c r="BD70" s="183" t="s">
        <v>632</v>
      </c>
      <c r="BE70" s="183" t="s">
        <v>632</v>
      </c>
      <c r="BF70" s="183" t="s">
        <v>630</v>
      </c>
      <c r="BG70" s="185" t="s">
        <v>4902</v>
      </c>
      <c r="BH70" s="215">
        <f>SUBTOTAL(9,BH71:BH72)</f>
        <v>-3466830.95</v>
      </c>
      <c r="BI70" s="191"/>
      <c r="BJ70" s="183" t="s">
        <v>4903</v>
      </c>
      <c r="BK70" s="183" t="s">
        <v>4901</v>
      </c>
      <c r="BL70" s="193" t="s">
        <v>4904</v>
      </c>
      <c r="BM70" s="215">
        <f>SUBTOTAL(9,BM71:BM72)</f>
        <v>-3466830.95</v>
      </c>
      <c r="BN70" s="160"/>
      <c r="BO70" s="161">
        <f t="shared" si="113"/>
        <v>0</v>
      </c>
      <c r="BP70" s="161"/>
    </row>
    <row r="71" spans="1:68" ht="51">
      <c r="A71" s="194" t="s">
        <v>4901</v>
      </c>
      <c r="B71" s="195" t="s">
        <v>4905</v>
      </c>
      <c r="C71" s="196" t="s">
        <v>4906</v>
      </c>
      <c r="D71" s="146" t="s">
        <v>4692</v>
      </c>
      <c r="E71" s="196" t="s">
        <v>4906</v>
      </c>
      <c r="F71" s="150">
        <v>-3413326.83</v>
      </c>
      <c r="G71" s="209">
        <v>0</v>
      </c>
      <c r="H71" s="209">
        <v>-3413326.83</v>
      </c>
      <c r="I71" s="209">
        <v>-3413326.83</v>
      </c>
      <c r="J71" s="150">
        <v>0</v>
      </c>
      <c r="K71" s="150">
        <v>-769125</v>
      </c>
      <c r="L71" s="150">
        <f t="shared" ref="L71:L134" si="129">J71+K71</f>
        <v>-769125</v>
      </c>
      <c r="M71" s="150">
        <v>0</v>
      </c>
      <c r="N71" s="150">
        <v>-1739907.99</v>
      </c>
      <c r="O71" s="150">
        <v>-1739907.99</v>
      </c>
      <c r="P71" s="150">
        <v>0</v>
      </c>
      <c r="Q71" s="237">
        <v>-3420521.82</v>
      </c>
      <c r="R71" s="150">
        <f>P71+Q71</f>
        <v>-3420521.82</v>
      </c>
      <c r="S71" s="150">
        <f t="shared" si="107"/>
        <v>-4560695.76</v>
      </c>
      <c r="T71" s="150"/>
      <c r="U71" s="150">
        <v>0</v>
      </c>
      <c r="V71" s="230">
        <v>-3379126.74</v>
      </c>
      <c r="W71" s="150">
        <f>U71+V71</f>
        <v>-3379126.74</v>
      </c>
      <c r="X71" s="150">
        <v>0</v>
      </c>
      <c r="Y71" s="150">
        <v>-3379126.74</v>
      </c>
      <c r="Z71" s="150">
        <v>-3379126.74</v>
      </c>
      <c r="AA71" s="150">
        <f t="shared" si="108"/>
        <v>-87704.209999999963</v>
      </c>
      <c r="AB71" s="150">
        <v>0</v>
      </c>
      <c r="AC71" s="230">
        <v>-3466830.95</v>
      </c>
      <c r="AD71" s="150">
        <f>AB71+AC71</f>
        <v>-3466830.95</v>
      </c>
      <c r="AE71" s="150">
        <v>-3466830.95</v>
      </c>
      <c r="AF71" s="169" t="s">
        <v>4680</v>
      </c>
      <c r="AG71" s="201">
        <v>0</v>
      </c>
      <c r="AH71" s="230">
        <v>-3466830.95</v>
      </c>
      <c r="AI71" s="150">
        <v>-3466830.95</v>
      </c>
      <c r="AJ71" s="169">
        <f t="shared" si="109"/>
        <v>0</v>
      </c>
      <c r="AK71" s="201">
        <v>0</v>
      </c>
      <c r="AL71" s="230">
        <v>-3466830.95</v>
      </c>
      <c r="AM71" s="150">
        <f>AK71+AL71</f>
        <v>-3466830.95</v>
      </c>
      <c r="AN71" s="153">
        <f t="shared" si="110"/>
        <v>0</v>
      </c>
      <c r="AO71" s="154">
        <f t="shared" si="111"/>
        <v>0</v>
      </c>
      <c r="AP71" s="150">
        <v>-3466830.95</v>
      </c>
      <c r="AQ71" s="201">
        <v>-3466830.95</v>
      </c>
      <c r="AR71" s="199"/>
      <c r="AS71" s="150">
        <f>AQ71+AR71</f>
        <v>-3466830.95</v>
      </c>
      <c r="AT71" s="155" t="s">
        <v>4907</v>
      </c>
      <c r="AU71" s="156">
        <f t="shared" si="105"/>
        <v>0</v>
      </c>
      <c r="AV71" s="156">
        <f t="shared" si="106"/>
        <v>-87704.209999999963</v>
      </c>
      <c r="AW71" s="157" t="s">
        <v>4907</v>
      </c>
      <c r="AX71" s="150">
        <v>-3379126.74</v>
      </c>
      <c r="AY71" s="150">
        <v>0</v>
      </c>
      <c r="AZ71" s="150">
        <f>O71+(-1885019.05)</f>
        <v>-3624927.04</v>
      </c>
      <c r="BA71" s="150">
        <f t="shared" si="112"/>
        <v>-3624927.04</v>
      </c>
      <c r="BB71" s="202">
        <v>4</v>
      </c>
      <c r="BC71" s="202" t="s">
        <v>647</v>
      </c>
      <c r="BD71" s="202" t="s">
        <v>632</v>
      </c>
      <c r="BE71" s="202" t="s">
        <v>632</v>
      </c>
      <c r="BF71" s="202" t="s">
        <v>632</v>
      </c>
      <c r="BG71" s="203" t="s">
        <v>4906</v>
      </c>
      <c r="BH71" s="216">
        <f>AS71</f>
        <v>-3466830.95</v>
      </c>
      <c r="BI71" s="202"/>
      <c r="BJ71" s="194" t="s">
        <v>4903</v>
      </c>
      <c r="BK71" s="194" t="s">
        <v>4901</v>
      </c>
      <c r="BL71" s="207" t="s">
        <v>4908</v>
      </c>
      <c r="BM71" s="208">
        <f>BH71</f>
        <v>-3466830.95</v>
      </c>
      <c r="BN71" s="160"/>
      <c r="BO71" s="161">
        <f t="shared" si="113"/>
        <v>0</v>
      </c>
      <c r="BP71" s="161"/>
    </row>
    <row r="72" spans="1:68" ht="51">
      <c r="A72" s="194" t="s">
        <v>4901</v>
      </c>
      <c r="B72" s="195" t="s">
        <v>4909</v>
      </c>
      <c r="C72" s="196" t="s">
        <v>4910</v>
      </c>
      <c r="D72" s="146" t="s">
        <v>4692</v>
      </c>
      <c r="E72" s="196" t="s">
        <v>4910</v>
      </c>
      <c r="F72" s="150">
        <v>0</v>
      </c>
      <c r="G72" s="209">
        <v>0</v>
      </c>
      <c r="H72" s="209"/>
      <c r="I72" s="209">
        <v>0</v>
      </c>
      <c r="J72" s="150">
        <v>0</v>
      </c>
      <c r="K72" s="150">
        <v>0</v>
      </c>
      <c r="L72" s="150">
        <f t="shared" si="129"/>
        <v>0</v>
      </c>
      <c r="M72" s="150">
        <v>0</v>
      </c>
      <c r="N72" s="150">
        <v>0</v>
      </c>
      <c r="O72" s="150">
        <v>0</v>
      </c>
      <c r="P72" s="150">
        <v>0</v>
      </c>
      <c r="Q72" s="150"/>
      <c r="R72" s="150">
        <f>P72+Q72</f>
        <v>0</v>
      </c>
      <c r="S72" s="150">
        <f t="shared" si="107"/>
        <v>0</v>
      </c>
      <c r="T72" s="150"/>
      <c r="U72" s="150">
        <v>0</v>
      </c>
      <c r="V72" s="199"/>
      <c r="W72" s="150">
        <f>U72+V72</f>
        <v>0</v>
      </c>
      <c r="X72" s="150">
        <v>0</v>
      </c>
      <c r="Y72" s="150"/>
      <c r="Z72" s="150">
        <v>0</v>
      </c>
      <c r="AA72" s="150">
        <f t="shared" si="108"/>
        <v>0</v>
      </c>
      <c r="AB72" s="150">
        <v>0</v>
      </c>
      <c r="AC72" s="199"/>
      <c r="AD72" s="150">
        <f>AB72+AC72</f>
        <v>0</v>
      </c>
      <c r="AE72" s="150">
        <v>0</v>
      </c>
      <c r="AF72" s="169" t="s">
        <v>4680</v>
      </c>
      <c r="AG72" s="201">
        <v>0</v>
      </c>
      <c r="AH72" s="199"/>
      <c r="AI72" s="150">
        <v>0</v>
      </c>
      <c r="AJ72" s="169">
        <f t="shared" si="109"/>
        <v>0</v>
      </c>
      <c r="AK72" s="201">
        <v>0</v>
      </c>
      <c r="AL72" s="199"/>
      <c r="AM72" s="150">
        <f>AK72+AL72</f>
        <v>0</v>
      </c>
      <c r="AN72" s="153">
        <f t="shared" si="110"/>
        <v>0</v>
      </c>
      <c r="AO72" s="154">
        <f t="shared" si="111"/>
        <v>0</v>
      </c>
      <c r="AP72" s="150">
        <v>0</v>
      </c>
      <c r="AQ72" s="201">
        <v>0</v>
      </c>
      <c r="AR72" s="199"/>
      <c r="AS72" s="150">
        <f>AQ72+AR72</f>
        <v>0</v>
      </c>
      <c r="AT72" s="155"/>
      <c r="AU72" s="156">
        <f t="shared" si="105"/>
        <v>0</v>
      </c>
      <c r="AV72" s="156">
        <f t="shared" si="106"/>
        <v>0</v>
      </c>
      <c r="AW72" s="157"/>
      <c r="AX72" s="150">
        <v>0</v>
      </c>
      <c r="AY72" s="150">
        <v>0</v>
      </c>
      <c r="AZ72" s="150"/>
      <c r="BA72" s="150">
        <f t="shared" si="112"/>
        <v>0</v>
      </c>
      <c r="BB72" s="202">
        <v>4</v>
      </c>
      <c r="BC72" s="202" t="s">
        <v>647</v>
      </c>
      <c r="BD72" s="202" t="s">
        <v>632</v>
      </c>
      <c r="BE72" s="202" t="s">
        <v>632</v>
      </c>
      <c r="BF72" s="194" t="s">
        <v>647</v>
      </c>
      <c r="BG72" s="203" t="s">
        <v>4910</v>
      </c>
      <c r="BH72" s="216">
        <f>BA72</f>
        <v>0</v>
      </c>
      <c r="BI72" s="202"/>
      <c r="BJ72" s="194" t="s">
        <v>4903</v>
      </c>
      <c r="BK72" s="194" t="s">
        <v>4901</v>
      </c>
      <c r="BL72" s="207" t="s">
        <v>4908</v>
      </c>
      <c r="BM72" s="208">
        <f>BH72</f>
        <v>0</v>
      </c>
      <c r="BN72" s="160"/>
      <c r="BO72" s="161">
        <f t="shared" si="113"/>
        <v>0</v>
      </c>
      <c r="BP72" s="161"/>
    </row>
    <row r="73" spans="1:68" ht="51">
      <c r="A73" s="173" t="s">
        <v>4911</v>
      </c>
      <c r="B73" s="174"/>
      <c r="C73" s="175" t="s">
        <v>4912</v>
      </c>
      <c r="D73" s="146" t="s">
        <v>4692</v>
      </c>
      <c r="E73" s="175" t="s">
        <v>4912</v>
      </c>
      <c r="F73" s="176">
        <v>0</v>
      </c>
      <c r="G73" s="177">
        <v>0</v>
      </c>
      <c r="H73" s="177">
        <v>0</v>
      </c>
      <c r="I73" s="177">
        <v>0</v>
      </c>
      <c r="J73" s="176">
        <f>J74</f>
        <v>0</v>
      </c>
      <c r="K73" s="176">
        <f>K74</f>
        <v>0</v>
      </c>
      <c r="L73" s="176">
        <f t="shared" si="129"/>
        <v>0</v>
      </c>
      <c r="M73" s="178">
        <v>0</v>
      </c>
      <c r="N73" s="178">
        <v>0</v>
      </c>
      <c r="O73" s="178">
        <v>0</v>
      </c>
      <c r="P73" s="221">
        <f t="shared" ref="P73:AM74" si="130">P74</f>
        <v>0</v>
      </c>
      <c r="Q73" s="221">
        <f t="shared" si="130"/>
        <v>0</v>
      </c>
      <c r="R73" s="221">
        <f t="shared" si="130"/>
        <v>0</v>
      </c>
      <c r="S73" s="150">
        <f t="shared" si="107"/>
        <v>0</v>
      </c>
      <c r="T73" s="213"/>
      <c r="U73" s="221">
        <f t="shared" ref="U73:W74" si="131">U74</f>
        <v>0</v>
      </c>
      <c r="V73" s="222">
        <f t="shared" si="131"/>
        <v>0</v>
      </c>
      <c r="W73" s="221">
        <f t="shared" si="131"/>
        <v>0</v>
      </c>
      <c r="X73" s="221">
        <v>0</v>
      </c>
      <c r="Y73" s="221">
        <v>0</v>
      </c>
      <c r="Z73" s="221">
        <v>0</v>
      </c>
      <c r="AA73" s="221">
        <f t="shared" si="108"/>
        <v>0</v>
      </c>
      <c r="AB73" s="221">
        <v>0</v>
      </c>
      <c r="AC73" s="222">
        <v>0</v>
      </c>
      <c r="AD73" s="221">
        <f t="shared" si="130"/>
        <v>0</v>
      </c>
      <c r="AE73" s="221">
        <v>0</v>
      </c>
      <c r="AF73" s="169" t="s">
        <v>4680</v>
      </c>
      <c r="AG73" s="223">
        <v>0</v>
      </c>
      <c r="AH73" s="222">
        <v>0</v>
      </c>
      <c r="AI73" s="221">
        <v>0</v>
      </c>
      <c r="AJ73" s="169">
        <f t="shared" si="109"/>
        <v>0</v>
      </c>
      <c r="AK73" s="223">
        <v>0</v>
      </c>
      <c r="AL73" s="222">
        <v>0</v>
      </c>
      <c r="AM73" s="221">
        <f t="shared" si="130"/>
        <v>0</v>
      </c>
      <c r="AN73" s="153">
        <f t="shared" si="110"/>
        <v>0</v>
      </c>
      <c r="AO73" s="154">
        <f t="shared" si="111"/>
        <v>0</v>
      </c>
      <c r="AP73" s="221">
        <v>0</v>
      </c>
      <c r="AQ73" s="223">
        <v>0</v>
      </c>
      <c r="AR73" s="222">
        <f t="shared" ref="AR73:AS74" si="132">AR74</f>
        <v>0</v>
      </c>
      <c r="AS73" s="221">
        <f t="shared" si="132"/>
        <v>0</v>
      </c>
      <c r="AT73" s="155"/>
      <c r="AU73" s="156">
        <f t="shared" si="105"/>
        <v>0</v>
      </c>
      <c r="AV73" s="156">
        <f t="shared" si="106"/>
        <v>0</v>
      </c>
      <c r="AW73" s="157"/>
      <c r="AX73" s="150">
        <v>0</v>
      </c>
      <c r="AY73" s="221">
        <f t="shared" ref="AY73:BA74" si="133">AY74</f>
        <v>0</v>
      </c>
      <c r="AZ73" s="221">
        <f t="shared" si="133"/>
        <v>0</v>
      </c>
      <c r="BA73" s="221">
        <f t="shared" si="133"/>
        <v>0</v>
      </c>
      <c r="BB73" s="181">
        <v>4</v>
      </c>
      <c r="BC73" s="173" t="s">
        <v>647</v>
      </c>
      <c r="BD73" s="173" t="s">
        <v>647</v>
      </c>
      <c r="BE73" s="173" t="s">
        <v>630</v>
      </c>
      <c r="BF73" s="173" t="s">
        <v>630</v>
      </c>
      <c r="BG73" s="175" t="s">
        <v>4912</v>
      </c>
      <c r="BH73" s="224">
        <f>BH74</f>
        <v>0</v>
      </c>
      <c r="BI73" s="181"/>
      <c r="BJ73" s="173" t="s">
        <v>4913</v>
      </c>
      <c r="BK73" s="173" t="s">
        <v>4911</v>
      </c>
      <c r="BL73" s="182" t="s">
        <v>4914</v>
      </c>
      <c r="BM73" s="224">
        <f>BM74</f>
        <v>0</v>
      </c>
      <c r="BN73" s="160"/>
      <c r="BO73" s="161">
        <f t="shared" si="113"/>
        <v>0</v>
      </c>
      <c r="BP73" s="161"/>
    </row>
    <row r="74" spans="1:68" ht="51">
      <c r="A74" s="183" t="s">
        <v>4911</v>
      </c>
      <c r="B74" s="184"/>
      <c r="C74" s="185" t="s">
        <v>4912</v>
      </c>
      <c r="D74" s="146" t="s">
        <v>4692</v>
      </c>
      <c r="E74" s="185" t="s">
        <v>4912</v>
      </c>
      <c r="F74" s="186">
        <v>0</v>
      </c>
      <c r="G74" s="187">
        <v>0</v>
      </c>
      <c r="H74" s="187">
        <v>0</v>
      </c>
      <c r="I74" s="187">
        <v>0</v>
      </c>
      <c r="J74" s="186">
        <f>J75</f>
        <v>0</v>
      </c>
      <c r="K74" s="186">
        <f>K75</f>
        <v>0</v>
      </c>
      <c r="L74" s="186">
        <f t="shared" si="129"/>
        <v>0</v>
      </c>
      <c r="M74" s="188">
        <v>0</v>
      </c>
      <c r="N74" s="188">
        <v>0</v>
      </c>
      <c r="O74" s="188">
        <v>0</v>
      </c>
      <c r="P74" s="225">
        <f t="shared" si="130"/>
        <v>0</v>
      </c>
      <c r="Q74" s="225">
        <f t="shared" si="130"/>
        <v>0</v>
      </c>
      <c r="R74" s="225">
        <f t="shared" si="130"/>
        <v>0</v>
      </c>
      <c r="S74" s="150">
        <f t="shared" si="107"/>
        <v>0</v>
      </c>
      <c r="T74" s="213"/>
      <c r="U74" s="225">
        <f t="shared" si="131"/>
        <v>0</v>
      </c>
      <c r="V74" s="226">
        <f t="shared" si="131"/>
        <v>0</v>
      </c>
      <c r="W74" s="225">
        <f t="shared" si="131"/>
        <v>0</v>
      </c>
      <c r="X74" s="225">
        <v>0</v>
      </c>
      <c r="Y74" s="225">
        <v>0</v>
      </c>
      <c r="Z74" s="225">
        <v>0</v>
      </c>
      <c r="AA74" s="225">
        <f t="shared" si="108"/>
        <v>0</v>
      </c>
      <c r="AB74" s="225">
        <v>0</v>
      </c>
      <c r="AC74" s="226">
        <v>0</v>
      </c>
      <c r="AD74" s="225">
        <f t="shared" si="130"/>
        <v>0</v>
      </c>
      <c r="AE74" s="225">
        <v>0</v>
      </c>
      <c r="AF74" s="169" t="s">
        <v>4680</v>
      </c>
      <c r="AG74" s="212">
        <v>0</v>
      </c>
      <c r="AH74" s="226">
        <v>0</v>
      </c>
      <c r="AI74" s="225">
        <v>0</v>
      </c>
      <c r="AJ74" s="169">
        <f t="shared" si="109"/>
        <v>0</v>
      </c>
      <c r="AK74" s="212">
        <v>0</v>
      </c>
      <c r="AL74" s="226">
        <v>0</v>
      </c>
      <c r="AM74" s="225">
        <f t="shared" si="130"/>
        <v>0</v>
      </c>
      <c r="AN74" s="153">
        <f t="shared" si="110"/>
        <v>0</v>
      </c>
      <c r="AO74" s="154">
        <f t="shared" si="111"/>
        <v>0</v>
      </c>
      <c r="AP74" s="225">
        <v>0</v>
      </c>
      <c r="AQ74" s="212">
        <v>0</v>
      </c>
      <c r="AR74" s="226">
        <f t="shared" si="132"/>
        <v>0</v>
      </c>
      <c r="AS74" s="225">
        <f t="shared" si="132"/>
        <v>0</v>
      </c>
      <c r="AT74" s="155"/>
      <c r="AU74" s="156">
        <f t="shared" si="105"/>
        <v>0</v>
      </c>
      <c r="AV74" s="156">
        <f t="shared" si="106"/>
        <v>0</v>
      </c>
      <c r="AW74" s="157"/>
      <c r="AX74" s="150">
        <v>0</v>
      </c>
      <c r="AY74" s="225">
        <f t="shared" si="133"/>
        <v>0</v>
      </c>
      <c r="AZ74" s="225">
        <f t="shared" si="133"/>
        <v>0</v>
      </c>
      <c r="BA74" s="225">
        <f t="shared" si="133"/>
        <v>0</v>
      </c>
      <c r="BB74" s="191">
        <v>4</v>
      </c>
      <c r="BC74" s="183" t="s">
        <v>647</v>
      </c>
      <c r="BD74" s="183" t="s">
        <v>647</v>
      </c>
      <c r="BE74" s="183" t="s">
        <v>632</v>
      </c>
      <c r="BF74" s="183" t="s">
        <v>630</v>
      </c>
      <c r="BG74" s="185" t="s">
        <v>4912</v>
      </c>
      <c r="BH74" s="215">
        <f>BH75</f>
        <v>0</v>
      </c>
      <c r="BI74" s="191"/>
      <c r="BJ74" s="183" t="s">
        <v>4913</v>
      </c>
      <c r="BK74" s="183" t="s">
        <v>4911</v>
      </c>
      <c r="BL74" s="238" t="s">
        <v>4914</v>
      </c>
      <c r="BM74" s="215">
        <f>BM75</f>
        <v>0</v>
      </c>
      <c r="BN74" s="160"/>
      <c r="BO74" s="161">
        <f t="shared" si="113"/>
        <v>0</v>
      </c>
      <c r="BP74" s="161"/>
    </row>
    <row r="75" spans="1:68" ht="38.25">
      <c r="A75" s="194" t="s">
        <v>4911</v>
      </c>
      <c r="B75" s="195" t="s">
        <v>4915</v>
      </c>
      <c r="C75" s="196" t="s">
        <v>4916</v>
      </c>
      <c r="D75" s="146" t="s">
        <v>4692</v>
      </c>
      <c r="E75" s="196" t="s">
        <v>4916</v>
      </c>
      <c r="F75" s="150">
        <v>0</v>
      </c>
      <c r="G75" s="209">
        <v>0</v>
      </c>
      <c r="H75" s="209"/>
      <c r="I75" s="209">
        <v>0</v>
      </c>
      <c r="J75" s="150">
        <v>0</v>
      </c>
      <c r="K75" s="150">
        <v>0</v>
      </c>
      <c r="L75" s="150">
        <f t="shared" si="129"/>
        <v>0</v>
      </c>
      <c r="M75" s="150">
        <v>0</v>
      </c>
      <c r="N75" s="150">
        <v>0</v>
      </c>
      <c r="O75" s="150">
        <v>0</v>
      </c>
      <c r="P75" s="150">
        <v>0</v>
      </c>
      <c r="Q75" s="150"/>
      <c r="R75" s="150">
        <f>P75+Q75</f>
        <v>0</v>
      </c>
      <c r="S75" s="150">
        <f t="shared" si="107"/>
        <v>0</v>
      </c>
      <c r="T75" s="150"/>
      <c r="U75" s="150">
        <v>0</v>
      </c>
      <c r="V75" s="199"/>
      <c r="W75" s="150">
        <f>U75+V75</f>
        <v>0</v>
      </c>
      <c r="X75" s="150">
        <v>0</v>
      </c>
      <c r="Y75" s="150"/>
      <c r="Z75" s="150">
        <v>0</v>
      </c>
      <c r="AA75" s="150">
        <f t="shared" si="108"/>
        <v>0</v>
      </c>
      <c r="AB75" s="150">
        <v>0</v>
      </c>
      <c r="AC75" s="199"/>
      <c r="AD75" s="150">
        <f>AB75+AC75</f>
        <v>0</v>
      </c>
      <c r="AE75" s="150">
        <v>0</v>
      </c>
      <c r="AF75" s="169" t="s">
        <v>4680</v>
      </c>
      <c r="AG75" s="201">
        <v>0</v>
      </c>
      <c r="AH75" s="199"/>
      <c r="AI75" s="150">
        <v>0</v>
      </c>
      <c r="AJ75" s="169">
        <f t="shared" si="109"/>
        <v>0</v>
      </c>
      <c r="AK75" s="201">
        <v>0</v>
      </c>
      <c r="AL75" s="199"/>
      <c r="AM75" s="150">
        <f>AK75+AL75</f>
        <v>0</v>
      </c>
      <c r="AN75" s="153">
        <f t="shared" si="110"/>
        <v>0</v>
      </c>
      <c r="AO75" s="154">
        <f t="shared" si="111"/>
        <v>0</v>
      </c>
      <c r="AP75" s="150">
        <v>0</v>
      </c>
      <c r="AQ75" s="201">
        <v>0</v>
      </c>
      <c r="AR75" s="199"/>
      <c r="AS75" s="150">
        <f>AQ75+AR75</f>
        <v>0</v>
      </c>
      <c r="AT75" s="155"/>
      <c r="AU75" s="156">
        <f t="shared" si="105"/>
        <v>0</v>
      </c>
      <c r="AV75" s="156">
        <f t="shared" si="106"/>
        <v>0</v>
      </c>
      <c r="AW75" s="157"/>
      <c r="AX75" s="150">
        <v>0</v>
      </c>
      <c r="AY75" s="150">
        <v>0</v>
      </c>
      <c r="AZ75" s="150"/>
      <c r="BA75" s="150">
        <f t="shared" si="112"/>
        <v>0</v>
      </c>
      <c r="BB75" s="202">
        <v>4</v>
      </c>
      <c r="BC75" s="202" t="s">
        <v>647</v>
      </c>
      <c r="BD75" s="202" t="s">
        <v>647</v>
      </c>
      <c r="BE75" s="202" t="s">
        <v>632</v>
      </c>
      <c r="BF75" s="202" t="s">
        <v>632</v>
      </c>
      <c r="BG75" s="203" t="s">
        <v>4912</v>
      </c>
      <c r="BH75" s="216">
        <f>AS75</f>
        <v>0</v>
      </c>
      <c r="BI75" s="202"/>
      <c r="BJ75" s="194" t="s">
        <v>4913</v>
      </c>
      <c r="BK75" s="194" t="s">
        <v>4911</v>
      </c>
      <c r="BL75" s="207" t="s">
        <v>4914</v>
      </c>
      <c r="BM75" s="208">
        <f>BH75</f>
        <v>0</v>
      </c>
      <c r="BN75" s="160"/>
      <c r="BO75" s="161">
        <f t="shared" si="113"/>
        <v>0</v>
      </c>
      <c r="BP75" s="161"/>
    </row>
    <row r="76" spans="1:68" ht="51">
      <c r="A76" s="162" t="s">
        <v>4917</v>
      </c>
      <c r="B76" s="163"/>
      <c r="C76" s="164" t="s">
        <v>4918</v>
      </c>
      <c r="D76" s="146" t="s">
        <v>4692</v>
      </c>
      <c r="E76" s="164" t="s">
        <v>4918</v>
      </c>
      <c r="F76" s="165">
        <v>2494961.54</v>
      </c>
      <c r="G76" s="166">
        <v>0</v>
      </c>
      <c r="H76" s="166">
        <v>2513133</v>
      </c>
      <c r="I76" s="166">
        <v>2513133</v>
      </c>
      <c r="J76" s="165">
        <f>J77+J80+J109+J112+J115</f>
        <v>0</v>
      </c>
      <c r="K76" s="165">
        <f>K77+K80+K109+K112+K115</f>
        <v>294958.57</v>
      </c>
      <c r="L76" s="167">
        <f t="shared" si="129"/>
        <v>294958.57</v>
      </c>
      <c r="M76" s="167">
        <v>0</v>
      </c>
      <c r="N76" s="167">
        <v>767599.08</v>
      </c>
      <c r="O76" s="167">
        <v>767599.08</v>
      </c>
      <c r="P76" s="232">
        <f t="shared" ref="P76:R76" si="134">P77+P80+P109+P112+P115</f>
        <v>0</v>
      </c>
      <c r="Q76" s="232">
        <f t="shared" si="134"/>
        <v>683203.1</v>
      </c>
      <c r="R76" s="232">
        <f t="shared" si="134"/>
        <v>683203.1</v>
      </c>
      <c r="S76" s="150">
        <f t="shared" si="107"/>
        <v>910937.46666666667</v>
      </c>
      <c r="T76" s="213"/>
      <c r="U76" s="232">
        <f t="shared" ref="U76:W76" si="135">U77+U80+U109+U112+U115</f>
        <v>0</v>
      </c>
      <c r="V76" s="233">
        <f t="shared" si="135"/>
        <v>1220794</v>
      </c>
      <c r="W76" s="232">
        <f t="shared" si="135"/>
        <v>1220794</v>
      </c>
      <c r="X76" s="232">
        <v>0</v>
      </c>
      <c r="Y76" s="232">
        <v>1220794</v>
      </c>
      <c r="Z76" s="232">
        <v>1220794</v>
      </c>
      <c r="AA76" s="232">
        <f t="shared" si="108"/>
        <v>0</v>
      </c>
      <c r="AB76" s="232">
        <v>0</v>
      </c>
      <c r="AC76" s="233">
        <v>1220794</v>
      </c>
      <c r="AD76" s="232">
        <f t="shared" ref="AD76" si="136">AD77+AD80+AD109+AD112+AD115</f>
        <v>1220794</v>
      </c>
      <c r="AE76" s="232">
        <v>1578561</v>
      </c>
      <c r="AF76" s="169" t="s">
        <v>4680</v>
      </c>
      <c r="AG76" s="234">
        <v>0</v>
      </c>
      <c r="AH76" s="233">
        <v>1578561</v>
      </c>
      <c r="AI76" s="232">
        <v>1578561</v>
      </c>
      <c r="AJ76" s="169">
        <f t="shared" si="109"/>
        <v>0</v>
      </c>
      <c r="AK76" s="234">
        <v>0</v>
      </c>
      <c r="AL76" s="233">
        <v>1578561</v>
      </c>
      <c r="AM76" s="232">
        <f t="shared" ref="AM76" si="137">AM77+AM80+AM109+AM112+AM115</f>
        <v>1578561</v>
      </c>
      <c r="AN76" s="153">
        <f t="shared" si="110"/>
        <v>399886.06000000006</v>
      </c>
      <c r="AO76" s="154">
        <f t="shared" si="111"/>
        <v>399886.06000000006</v>
      </c>
      <c r="AP76" s="232">
        <v>1578561</v>
      </c>
      <c r="AQ76" s="234">
        <v>1978447.06</v>
      </c>
      <c r="AR76" s="233">
        <f t="shared" ref="AR76" si="138">AR77+AR80+AR109+AR112+AR115</f>
        <v>0</v>
      </c>
      <c r="AS76" s="232">
        <f>AS77+AS80+AS109+AS112+AS115</f>
        <v>1978447.06</v>
      </c>
      <c r="AT76" s="155"/>
      <c r="AU76" s="156">
        <f t="shared" si="105"/>
        <v>357767</v>
      </c>
      <c r="AV76" s="156">
        <f t="shared" si="106"/>
        <v>0</v>
      </c>
      <c r="AW76" s="157"/>
      <c r="AX76" s="150">
        <v>1220794</v>
      </c>
      <c r="AY76" s="232">
        <f t="shared" ref="AY76:BA76" si="139">AY77+AY80+AY109+AY112+AY115</f>
        <v>0</v>
      </c>
      <c r="AZ76" s="232">
        <f t="shared" si="139"/>
        <v>2835155</v>
      </c>
      <c r="BA76" s="232">
        <f t="shared" si="139"/>
        <v>2835155</v>
      </c>
      <c r="BB76" s="171">
        <v>4</v>
      </c>
      <c r="BC76" s="162" t="s">
        <v>671</v>
      </c>
      <c r="BD76" s="162" t="s">
        <v>630</v>
      </c>
      <c r="BE76" s="162" t="s">
        <v>630</v>
      </c>
      <c r="BF76" s="162" t="s">
        <v>630</v>
      </c>
      <c r="BG76" s="164" t="s">
        <v>4918</v>
      </c>
      <c r="BH76" s="235">
        <f>BH77+BH80+BH109+BH112+BH115</f>
        <v>1978447.06</v>
      </c>
      <c r="BI76" s="171"/>
      <c r="BJ76" s="162" t="s">
        <v>4919</v>
      </c>
      <c r="BK76" s="162" t="s">
        <v>4917</v>
      </c>
      <c r="BL76" s="172" t="s">
        <v>4920</v>
      </c>
      <c r="BM76" s="235">
        <f>BM77+BM80+BM109+BM112+BM115</f>
        <v>1978447.06</v>
      </c>
      <c r="BN76" s="160"/>
      <c r="BO76" s="161">
        <f t="shared" si="113"/>
        <v>0</v>
      </c>
      <c r="BP76" s="161"/>
    </row>
    <row r="77" spans="1:68" ht="63.75">
      <c r="A77" s="173" t="s">
        <v>4921</v>
      </c>
      <c r="B77" s="174"/>
      <c r="C77" s="175" t="s">
        <v>4922</v>
      </c>
      <c r="D77" s="146" t="s">
        <v>4692</v>
      </c>
      <c r="E77" s="175" t="s">
        <v>4922</v>
      </c>
      <c r="F77" s="176">
        <v>911813</v>
      </c>
      <c r="G77" s="177">
        <v>0</v>
      </c>
      <c r="H77" s="177">
        <v>911813</v>
      </c>
      <c r="I77" s="177">
        <v>911813</v>
      </c>
      <c r="J77" s="176">
        <f>J78</f>
        <v>0</v>
      </c>
      <c r="K77" s="176">
        <f>K78</f>
        <v>0</v>
      </c>
      <c r="L77" s="178">
        <f t="shared" si="129"/>
        <v>0</v>
      </c>
      <c r="M77" s="178">
        <v>0</v>
      </c>
      <c r="N77" s="178">
        <v>0</v>
      </c>
      <c r="O77" s="178">
        <v>0</v>
      </c>
      <c r="P77" s="221">
        <f t="shared" ref="P77:AS77" si="140">P78</f>
        <v>0</v>
      </c>
      <c r="Q77" s="221">
        <f t="shared" si="140"/>
        <v>0</v>
      </c>
      <c r="R77" s="221">
        <f t="shared" si="140"/>
        <v>0</v>
      </c>
      <c r="S77" s="150">
        <f t="shared" si="107"/>
        <v>0</v>
      </c>
      <c r="T77" s="213"/>
      <c r="U77" s="221">
        <f t="shared" ref="U77:W77" si="141">U78</f>
        <v>0</v>
      </c>
      <c r="V77" s="222">
        <f t="shared" si="141"/>
        <v>0</v>
      </c>
      <c r="W77" s="221">
        <f t="shared" si="141"/>
        <v>0</v>
      </c>
      <c r="X77" s="221">
        <v>0</v>
      </c>
      <c r="Y77" s="221">
        <v>0</v>
      </c>
      <c r="Z77" s="221">
        <v>0</v>
      </c>
      <c r="AA77" s="221">
        <f t="shared" si="108"/>
        <v>0</v>
      </c>
      <c r="AB77" s="221">
        <v>0</v>
      </c>
      <c r="AC77" s="222">
        <v>0</v>
      </c>
      <c r="AD77" s="221">
        <f t="shared" si="140"/>
        <v>0</v>
      </c>
      <c r="AE77" s="221">
        <v>0</v>
      </c>
      <c r="AF77" s="169" t="s">
        <v>4680</v>
      </c>
      <c r="AG77" s="223">
        <v>0</v>
      </c>
      <c r="AH77" s="222">
        <v>0</v>
      </c>
      <c r="AI77" s="221">
        <v>0</v>
      </c>
      <c r="AJ77" s="169">
        <f t="shared" si="109"/>
        <v>0</v>
      </c>
      <c r="AK77" s="223">
        <v>0</v>
      </c>
      <c r="AL77" s="222">
        <v>0</v>
      </c>
      <c r="AM77" s="221">
        <f t="shared" si="140"/>
        <v>0</v>
      </c>
      <c r="AN77" s="153">
        <f t="shared" si="110"/>
        <v>0</v>
      </c>
      <c r="AO77" s="154">
        <f t="shared" si="111"/>
        <v>0</v>
      </c>
      <c r="AP77" s="221">
        <v>0</v>
      </c>
      <c r="AQ77" s="223">
        <v>0</v>
      </c>
      <c r="AR77" s="222">
        <f t="shared" si="140"/>
        <v>0</v>
      </c>
      <c r="AS77" s="221">
        <f t="shared" si="140"/>
        <v>0</v>
      </c>
      <c r="AT77" s="155"/>
      <c r="AU77" s="156">
        <f t="shared" si="105"/>
        <v>0</v>
      </c>
      <c r="AV77" s="156">
        <f t="shared" si="106"/>
        <v>0</v>
      </c>
      <c r="AW77" s="157"/>
      <c r="AX77" s="150">
        <v>0</v>
      </c>
      <c r="AY77" s="221">
        <f t="shared" ref="AY77:BA77" si="142">AY78</f>
        <v>0</v>
      </c>
      <c r="AZ77" s="221">
        <f t="shared" si="142"/>
        <v>911813</v>
      </c>
      <c r="BA77" s="221">
        <f t="shared" si="142"/>
        <v>911813</v>
      </c>
      <c r="BB77" s="181">
        <v>4</v>
      </c>
      <c r="BC77" s="173" t="s">
        <v>671</v>
      </c>
      <c r="BD77" s="173" t="s">
        <v>714</v>
      </c>
      <c r="BE77" s="173" t="s">
        <v>630</v>
      </c>
      <c r="BF77" s="173" t="s">
        <v>630</v>
      </c>
      <c r="BG77" s="175" t="s">
        <v>4922</v>
      </c>
      <c r="BH77" s="224">
        <f>BH78</f>
        <v>0</v>
      </c>
      <c r="BI77" s="181"/>
      <c r="BJ77" s="173" t="s">
        <v>4923</v>
      </c>
      <c r="BK77" s="173" t="s">
        <v>4921</v>
      </c>
      <c r="BL77" s="182" t="s">
        <v>4924</v>
      </c>
      <c r="BM77" s="224">
        <f>BM78</f>
        <v>0</v>
      </c>
      <c r="BN77" s="160"/>
      <c r="BO77" s="161">
        <f t="shared" si="113"/>
        <v>0</v>
      </c>
      <c r="BP77" s="161"/>
    </row>
    <row r="78" spans="1:68" ht="63.75">
      <c r="A78" s="183" t="s">
        <v>4921</v>
      </c>
      <c r="B78" s="184"/>
      <c r="C78" s="185" t="s">
        <v>4922</v>
      </c>
      <c r="D78" s="146" t="s">
        <v>4692</v>
      </c>
      <c r="E78" s="185" t="s">
        <v>4922</v>
      </c>
      <c r="F78" s="186">
        <v>911813</v>
      </c>
      <c r="G78" s="187">
        <v>0</v>
      </c>
      <c r="H78" s="187">
        <v>911813</v>
      </c>
      <c r="I78" s="187">
        <v>911813</v>
      </c>
      <c r="J78" s="186">
        <f>SUBTOTAL(9,J79)</f>
        <v>0</v>
      </c>
      <c r="K78" s="186">
        <f>SUBTOTAL(9,K79)</f>
        <v>0</v>
      </c>
      <c r="L78" s="188">
        <f t="shared" si="129"/>
        <v>0</v>
      </c>
      <c r="M78" s="188">
        <v>0</v>
      </c>
      <c r="N78" s="188">
        <v>0</v>
      </c>
      <c r="O78" s="188">
        <v>0</v>
      </c>
      <c r="P78" s="225">
        <f t="shared" ref="P78:AS78" si="143">SUBTOTAL(9,P79)</f>
        <v>0</v>
      </c>
      <c r="Q78" s="225">
        <f t="shared" si="143"/>
        <v>0</v>
      </c>
      <c r="R78" s="225">
        <f t="shared" si="143"/>
        <v>0</v>
      </c>
      <c r="S78" s="150">
        <f t="shared" si="107"/>
        <v>0</v>
      </c>
      <c r="T78" s="213"/>
      <c r="U78" s="225">
        <f t="shared" ref="U78:W78" si="144">SUBTOTAL(9,U79)</f>
        <v>0</v>
      </c>
      <c r="V78" s="226">
        <f t="shared" si="144"/>
        <v>0</v>
      </c>
      <c r="W78" s="225">
        <f t="shared" si="144"/>
        <v>0</v>
      </c>
      <c r="X78" s="225">
        <v>0</v>
      </c>
      <c r="Y78" s="225">
        <v>0</v>
      </c>
      <c r="Z78" s="225">
        <v>0</v>
      </c>
      <c r="AA78" s="225">
        <f t="shared" si="108"/>
        <v>0</v>
      </c>
      <c r="AB78" s="225">
        <v>0</v>
      </c>
      <c r="AC78" s="226">
        <v>0</v>
      </c>
      <c r="AD78" s="225">
        <f t="shared" si="143"/>
        <v>0</v>
      </c>
      <c r="AE78" s="225">
        <v>0</v>
      </c>
      <c r="AF78" s="169" t="s">
        <v>4680</v>
      </c>
      <c r="AG78" s="212">
        <v>0</v>
      </c>
      <c r="AH78" s="226">
        <v>0</v>
      </c>
      <c r="AI78" s="225">
        <v>0</v>
      </c>
      <c r="AJ78" s="169">
        <f t="shared" si="109"/>
        <v>0</v>
      </c>
      <c r="AK78" s="212">
        <v>0</v>
      </c>
      <c r="AL78" s="226">
        <v>0</v>
      </c>
      <c r="AM78" s="225">
        <f t="shared" si="143"/>
        <v>0</v>
      </c>
      <c r="AN78" s="153">
        <f t="shared" si="110"/>
        <v>0</v>
      </c>
      <c r="AO78" s="154">
        <f t="shared" si="111"/>
        <v>0</v>
      </c>
      <c r="AP78" s="225">
        <v>0</v>
      </c>
      <c r="AQ78" s="212">
        <v>0</v>
      </c>
      <c r="AR78" s="226">
        <f t="shared" si="143"/>
        <v>0</v>
      </c>
      <c r="AS78" s="225">
        <f t="shared" si="143"/>
        <v>0</v>
      </c>
      <c r="AT78" s="155"/>
      <c r="AU78" s="156">
        <f t="shared" si="105"/>
        <v>0</v>
      </c>
      <c r="AV78" s="156">
        <f t="shared" si="106"/>
        <v>0</v>
      </c>
      <c r="AW78" s="157"/>
      <c r="AX78" s="150">
        <v>0</v>
      </c>
      <c r="AY78" s="225">
        <f t="shared" ref="AY78:BA78" si="145">SUBTOTAL(9,AY79)</f>
        <v>0</v>
      </c>
      <c r="AZ78" s="225">
        <f t="shared" si="145"/>
        <v>911813</v>
      </c>
      <c r="BA78" s="225">
        <f t="shared" si="145"/>
        <v>911813</v>
      </c>
      <c r="BB78" s="191">
        <v>4</v>
      </c>
      <c r="BC78" s="183" t="s">
        <v>671</v>
      </c>
      <c r="BD78" s="183" t="s">
        <v>714</v>
      </c>
      <c r="BE78" s="183" t="s">
        <v>632</v>
      </c>
      <c r="BF78" s="183" t="s">
        <v>630</v>
      </c>
      <c r="BG78" s="185" t="s">
        <v>4922</v>
      </c>
      <c r="BH78" s="215">
        <f>SUBTOTAL(9,BH79)</f>
        <v>0</v>
      </c>
      <c r="BI78" s="191"/>
      <c r="BJ78" s="183" t="s">
        <v>4923</v>
      </c>
      <c r="BK78" s="183" t="s">
        <v>4921</v>
      </c>
      <c r="BL78" s="238" t="s">
        <v>4924</v>
      </c>
      <c r="BM78" s="215">
        <f>SUBTOTAL(9,BM79)</f>
        <v>0</v>
      </c>
      <c r="BN78" s="160"/>
      <c r="BO78" s="161">
        <f t="shared" si="113"/>
        <v>0</v>
      </c>
      <c r="BP78" s="161"/>
    </row>
    <row r="79" spans="1:68" ht="63.75">
      <c r="A79" s="194" t="s">
        <v>4921</v>
      </c>
      <c r="B79" s="195" t="s">
        <v>4925</v>
      </c>
      <c r="C79" s="196" t="s">
        <v>4926</v>
      </c>
      <c r="D79" s="146" t="s">
        <v>4692</v>
      </c>
      <c r="E79" s="196" t="s">
        <v>4926</v>
      </c>
      <c r="F79" s="150">
        <v>911813</v>
      </c>
      <c r="G79" s="209">
        <v>0</v>
      </c>
      <c r="H79" s="209">
        <v>911813</v>
      </c>
      <c r="I79" s="209">
        <v>911813</v>
      </c>
      <c r="J79" s="150">
        <v>0</v>
      </c>
      <c r="K79" s="150">
        <v>0</v>
      </c>
      <c r="L79" s="150">
        <f t="shared" si="129"/>
        <v>0</v>
      </c>
      <c r="M79" s="150">
        <v>0</v>
      </c>
      <c r="N79" s="150">
        <v>0</v>
      </c>
      <c r="O79" s="150">
        <v>0</v>
      </c>
      <c r="P79" s="150">
        <v>0</v>
      </c>
      <c r="Q79" s="237"/>
      <c r="R79" s="150">
        <f>P79+Q79</f>
        <v>0</v>
      </c>
      <c r="S79" s="150">
        <f t="shared" si="107"/>
        <v>0</v>
      </c>
      <c r="T79" s="150"/>
      <c r="U79" s="150">
        <v>0</v>
      </c>
      <c r="V79" s="230"/>
      <c r="W79" s="150">
        <f>U79+V79</f>
        <v>0</v>
      </c>
      <c r="X79" s="150">
        <v>0</v>
      </c>
      <c r="Y79" s="150"/>
      <c r="Z79" s="150">
        <v>0</v>
      </c>
      <c r="AA79" s="150">
        <f t="shared" si="108"/>
        <v>0</v>
      </c>
      <c r="AB79" s="150">
        <v>0</v>
      </c>
      <c r="AC79" s="230"/>
      <c r="AD79" s="150">
        <f>AB79+AC79</f>
        <v>0</v>
      </c>
      <c r="AE79" s="150">
        <v>0</v>
      </c>
      <c r="AF79" s="169" t="s">
        <v>4680</v>
      </c>
      <c r="AG79" s="201">
        <v>0</v>
      </c>
      <c r="AH79" s="199"/>
      <c r="AI79" s="150">
        <v>0</v>
      </c>
      <c r="AJ79" s="169">
        <f t="shared" si="109"/>
        <v>0</v>
      </c>
      <c r="AK79" s="201">
        <v>0</v>
      </c>
      <c r="AL79" s="199"/>
      <c r="AM79" s="150">
        <f>AK79+AL79</f>
        <v>0</v>
      </c>
      <c r="AN79" s="153">
        <f t="shared" si="110"/>
        <v>0</v>
      </c>
      <c r="AO79" s="154">
        <f t="shared" si="111"/>
        <v>0</v>
      </c>
      <c r="AP79" s="150">
        <v>0</v>
      </c>
      <c r="AQ79" s="201">
        <v>0</v>
      </c>
      <c r="AR79" s="199"/>
      <c r="AS79" s="150">
        <f>AQ79+AR79</f>
        <v>0</v>
      </c>
      <c r="AT79" s="155" t="s">
        <v>4927</v>
      </c>
      <c r="AU79" s="156">
        <f t="shared" si="105"/>
        <v>0</v>
      </c>
      <c r="AV79" s="156">
        <f t="shared" si="106"/>
        <v>0</v>
      </c>
      <c r="AW79" s="157" t="s">
        <v>4927</v>
      </c>
      <c r="AX79" s="150">
        <v>0</v>
      </c>
      <c r="AY79" s="150">
        <v>0</v>
      </c>
      <c r="AZ79" s="237">
        <f>F79</f>
        <v>911813</v>
      </c>
      <c r="BA79" s="150">
        <f t="shared" si="112"/>
        <v>911813</v>
      </c>
      <c r="BB79" s="202">
        <v>4</v>
      </c>
      <c r="BC79" s="202" t="s">
        <v>671</v>
      </c>
      <c r="BD79" s="194" t="s">
        <v>714</v>
      </c>
      <c r="BE79" s="202" t="s">
        <v>632</v>
      </c>
      <c r="BF79" s="239" t="s">
        <v>632</v>
      </c>
      <c r="BG79" s="203" t="s">
        <v>4926</v>
      </c>
      <c r="BH79" s="216">
        <f>AS79</f>
        <v>0</v>
      </c>
      <c r="BI79" s="202"/>
      <c r="BJ79" s="194" t="s">
        <v>4923</v>
      </c>
      <c r="BK79" s="194" t="s">
        <v>4921</v>
      </c>
      <c r="BL79" s="207" t="s">
        <v>4928</v>
      </c>
      <c r="BM79" s="208">
        <f>BH79</f>
        <v>0</v>
      </c>
      <c r="BN79" s="160"/>
      <c r="BO79" s="161">
        <f t="shared" si="113"/>
        <v>0</v>
      </c>
      <c r="BP79" s="161"/>
    </row>
    <row r="80" spans="1:68" ht="63.75">
      <c r="A80" s="173" t="s">
        <v>4929</v>
      </c>
      <c r="B80" s="174"/>
      <c r="C80" s="175" t="s">
        <v>4922</v>
      </c>
      <c r="D80" s="146" t="s">
        <v>4692</v>
      </c>
      <c r="E80" s="175" t="s">
        <v>4922</v>
      </c>
      <c r="F80" s="176">
        <v>1115631.1299999999</v>
      </c>
      <c r="G80" s="177">
        <v>0</v>
      </c>
      <c r="H80" s="177">
        <v>1397400</v>
      </c>
      <c r="I80" s="177">
        <v>1397400</v>
      </c>
      <c r="J80" s="176">
        <f>J81</f>
        <v>0</v>
      </c>
      <c r="K80" s="176">
        <f>K81</f>
        <v>243978.57</v>
      </c>
      <c r="L80" s="178">
        <f t="shared" si="129"/>
        <v>243978.57</v>
      </c>
      <c r="M80" s="178">
        <v>0</v>
      </c>
      <c r="N80" s="178">
        <v>650345.07999999996</v>
      </c>
      <c r="O80" s="178">
        <v>650345.07999999996</v>
      </c>
      <c r="P80" s="221">
        <f t="shared" ref="P80:AS80" si="146">P81</f>
        <v>0</v>
      </c>
      <c r="Q80" s="221">
        <f t="shared" si="146"/>
        <v>508045</v>
      </c>
      <c r="R80" s="221">
        <f t="shared" si="146"/>
        <v>508045</v>
      </c>
      <c r="S80" s="150">
        <f t="shared" si="107"/>
        <v>677393.33333333337</v>
      </c>
      <c r="T80" s="213"/>
      <c r="U80" s="221">
        <f t="shared" ref="U80:W80" si="147">U81</f>
        <v>0</v>
      </c>
      <c r="V80" s="222">
        <f t="shared" si="147"/>
        <v>687233</v>
      </c>
      <c r="W80" s="221">
        <f t="shared" si="147"/>
        <v>687233</v>
      </c>
      <c r="X80" s="221">
        <v>0</v>
      </c>
      <c r="Y80" s="221">
        <v>687233</v>
      </c>
      <c r="Z80" s="221">
        <v>687233</v>
      </c>
      <c r="AA80" s="221">
        <f t="shared" si="108"/>
        <v>0</v>
      </c>
      <c r="AB80" s="221">
        <v>0</v>
      </c>
      <c r="AC80" s="222">
        <v>687233</v>
      </c>
      <c r="AD80" s="221">
        <f t="shared" si="146"/>
        <v>687233</v>
      </c>
      <c r="AE80" s="221">
        <v>1045000</v>
      </c>
      <c r="AF80" s="169" t="s">
        <v>4680</v>
      </c>
      <c r="AG80" s="223">
        <v>0</v>
      </c>
      <c r="AH80" s="222">
        <v>1045000</v>
      </c>
      <c r="AI80" s="221">
        <v>1045000</v>
      </c>
      <c r="AJ80" s="169">
        <f t="shared" si="109"/>
        <v>0</v>
      </c>
      <c r="AK80" s="223">
        <v>0</v>
      </c>
      <c r="AL80" s="222">
        <v>1045000</v>
      </c>
      <c r="AM80" s="221">
        <f t="shared" si="146"/>
        <v>1045000</v>
      </c>
      <c r="AN80" s="153">
        <f t="shared" si="110"/>
        <v>321981.46999999997</v>
      </c>
      <c r="AO80" s="154">
        <f t="shared" si="111"/>
        <v>321981.46999999997</v>
      </c>
      <c r="AP80" s="221">
        <v>1045000</v>
      </c>
      <c r="AQ80" s="223">
        <v>1366981.47</v>
      </c>
      <c r="AR80" s="222">
        <f t="shared" si="146"/>
        <v>0</v>
      </c>
      <c r="AS80" s="221">
        <f t="shared" si="146"/>
        <v>1366981.47</v>
      </c>
      <c r="AT80" s="155"/>
      <c r="AU80" s="156">
        <f t="shared" si="105"/>
        <v>357767</v>
      </c>
      <c r="AV80" s="156">
        <f t="shared" si="106"/>
        <v>0</v>
      </c>
      <c r="AW80" s="157"/>
      <c r="AX80" s="150">
        <v>687233</v>
      </c>
      <c r="AY80" s="221">
        <f t="shared" ref="AY80:BA80" si="148">AY81</f>
        <v>0</v>
      </c>
      <c r="AZ80" s="221">
        <f t="shared" si="148"/>
        <v>1690854</v>
      </c>
      <c r="BA80" s="221">
        <f t="shared" si="148"/>
        <v>1690854</v>
      </c>
      <c r="BB80" s="181">
        <v>4</v>
      </c>
      <c r="BC80" s="173" t="s">
        <v>671</v>
      </c>
      <c r="BD80" s="173" t="s">
        <v>632</v>
      </c>
      <c r="BE80" s="173" t="s">
        <v>630</v>
      </c>
      <c r="BF80" s="173" t="s">
        <v>630</v>
      </c>
      <c r="BG80" s="175" t="s">
        <v>4922</v>
      </c>
      <c r="BH80" s="224">
        <f>BH81</f>
        <v>1366981.47</v>
      </c>
      <c r="BI80" s="181"/>
      <c r="BJ80" s="173" t="s">
        <v>4930</v>
      </c>
      <c r="BK80" s="173" t="s">
        <v>4929</v>
      </c>
      <c r="BL80" s="182" t="s">
        <v>4931</v>
      </c>
      <c r="BM80" s="224">
        <f>BM81</f>
        <v>1366981.47</v>
      </c>
      <c r="BN80" s="160"/>
      <c r="BO80" s="161">
        <f t="shared" si="113"/>
        <v>0</v>
      </c>
      <c r="BP80" s="161"/>
    </row>
    <row r="81" spans="1:68" ht="63.75">
      <c r="A81" s="183" t="s">
        <v>4929</v>
      </c>
      <c r="B81" s="184"/>
      <c r="C81" s="185" t="s">
        <v>4922</v>
      </c>
      <c r="D81" s="146" t="s">
        <v>4692</v>
      </c>
      <c r="E81" s="185" t="s">
        <v>4922</v>
      </c>
      <c r="F81" s="186">
        <v>1115631.1299999999</v>
      </c>
      <c r="G81" s="187">
        <v>0</v>
      </c>
      <c r="H81" s="187">
        <v>1397400</v>
      </c>
      <c r="I81" s="187">
        <v>1397400</v>
      </c>
      <c r="J81" s="186">
        <f>SUBTOTAL(9,J82:J108)</f>
        <v>0</v>
      </c>
      <c r="K81" s="186">
        <f>SUBTOTAL(9,K82:K108)</f>
        <v>243978.57</v>
      </c>
      <c r="L81" s="188">
        <f t="shared" si="129"/>
        <v>243978.57</v>
      </c>
      <c r="M81" s="188">
        <v>0</v>
      </c>
      <c r="N81" s="188">
        <v>650345.07999999996</v>
      </c>
      <c r="O81" s="188">
        <v>650345.07999999996</v>
      </c>
      <c r="P81" s="225">
        <f t="shared" ref="P81:R81" si="149">SUBTOTAL(9,P82:P108)</f>
        <v>0</v>
      </c>
      <c r="Q81" s="225">
        <f t="shared" si="149"/>
        <v>508045</v>
      </c>
      <c r="R81" s="225">
        <f t="shared" si="149"/>
        <v>508045</v>
      </c>
      <c r="S81" s="150">
        <f t="shared" si="107"/>
        <v>677393.33333333337</v>
      </c>
      <c r="T81" s="213"/>
      <c r="U81" s="225">
        <f t="shared" ref="U81:W81" si="150">SUBTOTAL(9,U82:U108)</f>
        <v>0</v>
      </c>
      <c r="V81" s="226">
        <f t="shared" si="150"/>
        <v>687233</v>
      </c>
      <c r="W81" s="225">
        <f t="shared" si="150"/>
        <v>687233</v>
      </c>
      <c r="X81" s="225">
        <v>0</v>
      </c>
      <c r="Y81" s="225">
        <v>687233</v>
      </c>
      <c r="Z81" s="225">
        <v>687233</v>
      </c>
      <c r="AA81" s="225">
        <f t="shared" si="108"/>
        <v>0</v>
      </c>
      <c r="AB81" s="225">
        <v>0</v>
      </c>
      <c r="AC81" s="226">
        <v>687233</v>
      </c>
      <c r="AD81" s="225">
        <f t="shared" ref="AD81" si="151">SUBTOTAL(9,AD82:AD108)</f>
        <v>687233</v>
      </c>
      <c r="AE81" s="225">
        <v>1045000</v>
      </c>
      <c r="AF81" s="169" t="s">
        <v>4680</v>
      </c>
      <c r="AG81" s="212">
        <v>0</v>
      </c>
      <c r="AH81" s="226">
        <v>1045000</v>
      </c>
      <c r="AI81" s="225">
        <v>1045000</v>
      </c>
      <c r="AJ81" s="169">
        <f t="shared" si="109"/>
        <v>0</v>
      </c>
      <c r="AK81" s="212">
        <v>0</v>
      </c>
      <c r="AL81" s="226">
        <v>1045000</v>
      </c>
      <c r="AM81" s="225">
        <f t="shared" ref="AM81" si="152">SUBTOTAL(9,AM82:AM108)</f>
        <v>1045000</v>
      </c>
      <c r="AN81" s="153">
        <f t="shared" si="110"/>
        <v>321981.46999999997</v>
      </c>
      <c r="AO81" s="154">
        <f t="shared" si="111"/>
        <v>321981.46999999997</v>
      </c>
      <c r="AP81" s="225">
        <v>1045000</v>
      </c>
      <c r="AQ81" s="212">
        <v>1366981.47</v>
      </c>
      <c r="AR81" s="226">
        <f t="shared" ref="AR81:AS81" si="153">SUBTOTAL(9,AR82:AR108)</f>
        <v>0</v>
      </c>
      <c r="AS81" s="225">
        <f t="shared" si="153"/>
        <v>1366981.47</v>
      </c>
      <c r="AT81" s="155"/>
      <c r="AU81" s="156">
        <f t="shared" si="105"/>
        <v>357767</v>
      </c>
      <c r="AV81" s="156">
        <f t="shared" si="106"/>
        <v>0</v>
      </c>
      <c r="AW81" s="157"/>
      <c r="AX81" s="150">
        <v>687233</v>
      </c>
      <c r="AY81" s="225">
        <f t="shared" ref="AY81:BA81" si="154">SUBTOTAL(9,AY82:AY108)</f>
        <v>0</v>
      </c>
      <c r="AZ81" s="225">
        <f t="shared" si="154"/>
        <v>1690854</v>
      </c>
      <c r="BA81" s="225">
        <f t="shared" si="154"/>
        <v>1690854</v>
      </c>
      <c r="BB81" s="191">
        <v>4</v>
      </c>
      <c r="BC81" s="183" t="s">
        <v>671</v>
      </c>
      <c r="BD81" s="183" t="s">
        <v>632</v>
      </c>
      <c r="BE81" s="183" t="s">
        <v>632</v>
      </c>
      <c r="BF81" s="183" t="s">
        <v>630</v>
      </c>
      <c r="BG81" s="185" t="s">
        <v>4922</v>
      </c>
      <c r="BH81" s="215">
        <f>SUBTOTAL(9,BH82:BH108)</f>
        <v>1366981.47</v>
      </c>
      <c r="BI81" s="191"/>
      <c r="BJ81" s="183" t="s">
        <v>4930</v>
      </c>
      <c r="BK81" s="183" t="s">
        <v>4929</v>
      </c>
      <c r="BL81" s="238" t="s">
        <v>4931</v>
      </c>
      <c r="BM81" s="215">
        <f>SUBTOTAL(9,BM82:BM108)</f>
        <v>1366981.47</v>
      </c>
      <c r="BN81" s="160"/>
      <c r="BO81" s="161">
        <f t="shared" si="113"/>
        <v>0</v>
      </c>
      <c r="BP81" s="161"/>
    </row>
    <row r="82" spans="1:68" ht="63.75">
      <c r="A82" s="194" t="s">
        <v>4929</v>
      </c>
      <c r="B82" s="195" t="s">
        <v>4932</v>
      </c>
      <c r="C82" s="196" t="s">
        <v>4933</v>
      </c>
      <c r="D82" s="146" t="s">
        <v>4692</v>
      </c>
      <c r="E82" s="196" t="s">
        <v>4933</v>
      </c>
      <c r="F82" s="150">
        <v>1103631.1299999999</v>
      </c>
      <c r="G82" s="209">
        <v>0</v>
      </c>
      <c r="H82" s="209">
        <v>1397400</v>
      </c>
      <c r="I82" s="209">
        <v>1397400</v>
      </c>
      <c r="J82" s="150">
        <v>0</v>
      </c>
      <c r="K82" s="150">
        <v>243978.57</v>
      </c>
      <c r="L82" s="150">
        <f t="shared" si="129"/>
        <v>243978.57</v>
      </c>
      <c r="M82" s="150">
        <v>0</v>
      </c>
      <c r="N82" s="150">
        <v>650345.07999999996</v>
      </c>
      <c r="O82" s="150">
        <v>650345.07999999996</v>
      </c>
      <c r="P82" s="150">
        <v>0</v>
      </c>
      <c r="Q82" s="237">
        <v>508045</v>
      </c>
      <c r="R82" s="150">
        <f t="shared" ref="R82:R108" si="155">P82+Q82</f>
        <v>508045</v>
      </c>
      <c r="S82" s="150">
        <f t="shared" si="107"/>
        <v>677393.33333333337</v>
      </c>
      <c r="T82" s="150"/>
      <c r="U82" s="150">
        <v>0</v>
      </c>
      <c r="V82" s="230">
        <v>687233</v>
      </c>
      <c r="W82" s="150">
        <f t="shared" ref="W82:W108" si="156">U82+V82</f>
        <v>687233</v>
      </c>
      <c r="X82" s="150">
        <v>0</v>
      </c>
      <c r="Y82" s="150">
        <v>687233</v>
      </c>
      <c r="Z82" s="150">
        <v>687233</v>
      </c>
      <c r="AA82" s="150">
        <f t="shared" si="108"/>
        <v>0</v>
      </c>
      <c r="AB82" s="150">
        <v>0</v>
      </c>
      <c r="AC82" s="230">
        <v>687233</v>
      </c>
      <c r="AD82" s="150">
        <f t="shared" ref="AD82:AD108" si="157">AB82+AC82</f>
        <v>687233</v>
      </c>
      <c r="AE82" s="240">
        <v>1045000</v>
      </c>
      <c r="AF82" s="169" t="s">
        <v>4680</v>
      </c>
      <c r="AG82" s="201">
        <v>0</v>
      </c>
      <c r="AH82" s="241">
        <v>1045000</v>
      </c>
      <c r="AI82" s="150">
        <v>1045000</v>
      </c>
      <c r="AJ82" s="169">
        <f t="shared" si="109"/>
        <v>0</v>
      </c>
      <c r="AK82" s="201">
        <v>0</v>
      </c>
      <c r="AL82" s="241">
        <v>1045000</v>
      </c>
      <c r="AM82" s="150">
        <f t="shared" ref="AM82:AM108" si="158">AK82+AL82</f>
        <v>1045000</v>
      </c>
      <c r="AN82" s="153">
        <f t="shared" si="110"/>
        <v>321981.46999999997</v>
      </c>
      <c r="AO82" s="154">
        <f t="shared" si="111"/>
        <v>321981.46999999997</v>
      </c>
      <c r="AP82" s="150">
        <v>1045000</v>
      </c>
      <c r="AQ82" s="201">
        <v>1366981.47</v>
      </c>
      <c r="AR82" s="199"/>
      <c r="AS82" s="150">
        <f t="shared" ref="AS82:AS108" si="159">AQ82+AR82</f>
        <v>1366981.47</v>
      </c>
      <c r="AT82" s="155" t="s">
        <v>4934</v>
      </c>
      <c r="AU82" s="156">
        <f t="shared" si="105"/>
        <v>357767</v>
      </c>
      <c r="AV82" s="156">
        <f t="shared" si="106"/>
        <v>0</v>
      </c>
      <c r="AW82" s="157" t="s">
        <v>4935</v>
      </c>
      <c r="AX82" s="150">
        <v>687233</v>
      </c>
      <c r="AY82" s="150">
        <v>0</v>
      </c>
      <c r="AZ82" s="237">
        <v>1690854</v>
      </c>
      <c r="BA82" s="150">
        <f t="shared" si="112"/>
        <v>1690854</v>
      </c>
      <c r="BB82" s="202">
        <v>4</v>
      </c>
      <c r="BC82" s="202" t="s">
        <v>671</v>
      </c>
      <c r="BD82" s="202" t="s">
        <v>632</v>
      </c>
      <c r="BE82" s="202" t="s">
        <v>632</v>
      </c>
      <c r="BF82" s="239" t="s">
        <v>647</v>
      </c>
      <c r="BG82" s="203" t="s">
        <v>4936</v>
      </c>
      <c r="BH82" s="216">
        <f>SUM(AS82:AS99)</f>
        <v>1366981.47</v>
      </c>
      <c r="BI82" s="202"/>
      <c r="BJ82" s="194" t="s">
        <v>4930</v>
      </c>
      <c r="BK82" s="194" t="s">
        <v>4929</v>
      </c>
      <c r="BL82" s="207" t="s">
        <v>4931</v>
      </c>
      <c r="BM82" s="208">
        <f>BH82</f>
        <v>1366981.47</v>
      </c>
      <c r="BN82" s="160"/>
      <c r="BO82" s="161">
        <f t="shared" si="113"/>
        <v>0</v>
      </c>
      <c r="BP82" s="161"/>
    </row>
    <row r="83" spans="1:68">
      <c r="A83" s="210"/>
      <c r="B83" s="195" t="s">
        <v>4937</v>
      </c>
      <c r="C83" s="196" t="s">
        <v>4938</v>
      </c>
      <c r="D83" s="146" t="s">
        <v>4692</v>
      </c>
      <c r="E83" s="196" t="s">
        <v>4938</v>
      </c>
      <c r="F83" s="150">
        <v>0</v>
      </c>
      <c r="G83" s="209">
        <v>0</v>
      </c>
      <c r="H83" s="209"/>
      <c r="I83" s="209">
        <v>0</v>
      </c>
      <c r="J83" s="150">
        <v>0</v>
      </c>
      <c r="K83" s="150">
        <v>0</v>
      </c>
      <c r="L83" s="150">
        <f t="shared" si="129"/>
        <v>0</v>
      </c>
      <c r="M83" s="150">
        <v>0</v>
      </c>
      <c r="N83" s="150"/>
      <c r="O83" s="150">
        <v>0</v>
      </c>
      <c r="P83" s="150">
        <v>0</v>
      </c>
      <c r="Q83" s="150"/>
      <c r="R83" s="150">
        <f t="shared" si="155"/>
        <v>0</v>
      </c>
      <c r="S83" s="150">
        <f t="shared" si="107"/>
        <v>0</v>
      </c>
      <c r="T83" s="150"/>
      <c r="U83" s="150">
        <v>0</v>
      </c>
      <c r="V83" s="199"/>
      <c r="W83" s="150">
        <f t="shared" si="156"/>
        <v>0</v>
      </c>
      <c r="X83" s="150">
        <v>0</v>
      </c>
      <c r="Y83" s="150"/>
      <c r="Z83" s="150">
        <v>0</v>
      </c>
      <c r="AA83" s="150">
        <f t="shared" si="108"/>
        <v>0</v>
      </c>
      <c r="AB83" s="150">
        <v>0</v>
      </c>
      <c r="AC83" s="199"/>
      <c r="AD83" s="150">
        <f t="shared" si="157"/>
        <v>0</v>
      </c>
      <c r="AE83" s="150">
        <v>0</v>
      </c>
      <c r="AF83" s="169" t="s">
        <v>4680</v>
      </c>
      <c r="AG83" s="201">
        <v>0</v>
      </c>
      <c r="AH83" s="199"/>
      <c r="AI83" s="150">
        <v>0</v>
      </c>
      <c r="AJ83" s="169">
        <f t="shared" si="109"/>
        <v>0</v>
      </c>
      <c r="AK83" s="201">
        <v>0</v>
      </c>
      <c r="AL83" s="199"/>
      <c r="AM83" s="150">
        <f t="shared" si="158"/>
        <v>0</v>
      </c>
      <c r="AN83" s="153">
        <f t="shared" si="110"/>
        <v>0</v>
      </c>
      <c r="AO83" s="154">
        <f t="shared" si="111"/>
        <v>0</v>
      </c>
      <c r="AP83" s="150">
        <v>0</v>
      </c>
      <c r="AQ83" s="201">
        <v>0</v>
      </c>
      <c r="AR83" s="199"/>
      <c r="AS83" s="150">
        <f t="shared" si="159"/>
        <v>0</v>
      </c>
      <c r="AT83" s="155"/>
      <c r="AU83" s="156">
        <f t="shared" si="105"/>
        <v>0</v>
      </c>
      <c r="AV83" s="156">
        <f t="shared" si="106"/>
        <v>0</v>
      </c>
      <c r="AW83" s="157"/>
      <c r="AX83" s="150">
        <v>0</v>
      </c>
      <c r="AY83" s="150">
        <v>0</v>
      </c>
      <c r="AZ83" s="150"/>
      <c r="BA83" s="150">
        <f t="shared" si="112"/>
        <v>0</v>
      </c>
      <c r="BB83" s="210"/>
      <c r="BC83" s="210"/>
      <c r="BD83" s="210"/>
      <c r="BE83" s="210"/>
      <c r="BF83" s="210"/>
      <c r="BG83" s="210"/>
      <c r="BH83" s="217"/>
      <c r="BI83" s="210"/>
      <c r="BJ83" s="210"/>
      <c r="BK83" s="210"/>
      <c r="BL83" s="210"/>
      <c r="BM83" s="208"/>
      <c r="BN83" s="160"/>
      <c r="BO83" s="161">
        <f t="shared" si="113"/>
        <v>0</v>
      </c>
      <c r="BP83" s="161"/>
    </row>
    <row r="84" spans="1:68">
      <c r="A84" s="210"/>
      <c r="B84" s="195" t="s">
        <v>4939</v>
      </c>
      <c r="C84" s="196" t="s">
        <v>4940</v>
      </c>
      <c r="D84" s="146" t="s">
        <v>4692</v>
      </c>
      <c r="E84" s="196" t="s">
        <v>4940</v>
      </c>
      <c r="F84" s="150">
        <v>0</v>
      </c>
      <c r="G84" s="209">
        <v>0</v>
      </c>
      <c r="H84" s="209"/>
      <c r="I84" s="209">
        <v>0</v>
      </c>
      <c r="J84" s="150">
        <v>0</v>
      </c>
      <c r="K84" s="150">
        <v>0</v>
      </c>
      <c r="L84" s="150">
        <f t="shared" si="129"/>
        <v>0</v>
      </c>
      <c r="M84" s="150">
        <v>0</v>
      </c>
      <c r="N84" s="150"/>
      <c r="O84" s="150">
        <v>0</v>
      </c>
      <c r="P84" s="150">
        <v>0</v>
      </c>
      <c r="Q84" s="150"/>
      <c r="R84" s="150">
        <f t="shared" si="155"/>
        <v>0</v>
      </c>
      <c r="S84" s="150">
        <f t="shared" si="107"/>
        <v>0</v>
      </c>
      <c r="T84" s="150"/>
      <c r="U84" s="150">
        <v>0</v>
      </c>
      <c r="V84" s="199"/>
      <c r="W84" s="150">
        <f t="shared" si="156"/>
        <v>0</v>
      </c>
      <c r="X84" s="150">
        <v>0</v>
      </c>
      <c r="Y84" s="150"/>
      <c r="Z84" s="150">
        <v>0</v>
      </c>
      <c r="AA84" s="150">
        <f t="shared" si="108"/>
        <v>0</v>
      </c>
      <c r="AB84" s="150">
        <v>0</v>
      </c>
      <c r="AC84" s="199"/>
      <c r="AD84" s="150">
        <f t="shared" si="157"/>
        <v>0</v>
      </c>
      <c r="AE84" s="150">
        <v>0</v>
      </c>
      <c r="AF84" s="169" t="s">
        <v>4680</v>
      </c>
      <c r="AG84" s="201">
        <v>0</v>
      </c>
      <c r="AH84" s="199"/>
      <c r="AI84" s="150">
        <v>0</v>
      </c>
      <c r="AJ84" s="169">
        <f t="shared" si="109"/>
        <v>0</v>
      </c>
      <c r="AK84" s="201">
        <v>0</v>
      </c>
      <c r="AL84" s="199"/>
      <c r="AM84" s="150">
        <f t="shared" si="158"/>
        <v>0</v>
      </c>
      <c r="AN84" s="153">
        <f t="shared" si="110"/>
        <v>0</v>
      </c>
      <c r="AO84" s="154">
        <f t="shared" si="111"/>
        <v>0</v>
      </c>
      <c r="AP84" s="150">
        <v>0</v>
      </c>
      <c r="AQ84" s="201">
        <v>0</v>
      </c>
      <c r="AR84" s="199"/>
      <c r="AS84" s="150">
        <f t="shared" si="159"/>
        <v>0</v>
      </c>
      <c r="AT84" s="155"/>
      <c r="AU84" s="156">
        <f t="shared" si="105"/>
        <v>0</v>
      </c>
      <c r="AV84" s="156">
        <f t="shared" si="106"/>
        <v>0</v>
      </c>
      <c r="AW84" s="157"/>
      <c r="AX84" s="150">
        <v>0</v>
      </c>
      <c r="AY84" s="150">
        <v>0</v>
      </c>
      <c r="AZ84" s="150"/>
      <c r="BA84" s="150">
        <f t="shared" si="112"/>
        <v>0</v>
      </c>
      <c r="BB84" s="210"/>
      <c r="BC84" s="210"/>
      <c r="BD84" s="210"/>
      <c r="BE84" s="210"/>
      <c r="BF84" s="210"/>
      <c r="BG84" s="210"/>
      <c r="BH84" s="217"/>
      <c r="BI84" s="210"/>
      <c r="BJ84" s="210"/>
      <c r="BK84" s="210"/>
      <c r="BL84" s="210"/>
      <c r="BM84" s="208"/>
      <c r="BN84" s="160"/>
      <c r="BO84" s="161">
        <f t="shared" si="113"/>
        <v>0</v>
      </c>
      <c r="BP84" s="161"/>
    </row>
    <row r="85" spans="1:68">
      <c r="A85" s="210"/>
      <c r="B85" s="195" t="s">
        <v>4941</v>
      </c>
      <c r="C85" s="196" t="s">
        <v>4942</v>
      </c>
      <c r="D85" s="146" t="s">
        <v>4692</v>
      </c>
      <c r="E85" s="196" t="s">
        <v>4942</v>
      </c>
      <c r="F85" s="150">
        <v>0</v>
      </c>
      <c r="G85" s="209">
        <v>0</v>
      </c>
      <c r="H85" s="209"/>
      <c r="I85" s="209">
        <v>0</v>
      </c>
      <c r="J85" s="150">
        <v>0</v>
      </c>
      <c r="K85" s="150">
        <v>0</v>
      </c>
      <c r="L85" s="150">
        <f t="shared" si="129"/>
        <v>0</v>
      </c>
      <c r="M85" s="150">
        <v>0</v>
      </c>
      <c r="N85" s="150"/>
      <c r="O85" s="150">
        <v>0</v>
      </c>
      <c r="P85" s="150">
        <v>0</v>
      </c>
      <c r="Q85" s="150"/>
      <c r="R85" s="150">
        <f t="shared" si="155"/>
        <v>0</v>
      </c>
      <c r="S85" s="150">
        <f t="shared" si="107"/>
        <v>0</v>
      </c>
      <c r="T85" s="150"/>
      <c r="U85" s="150">
        <v>0</v>
      </c>
      <c r="V85" s="199"/>
      <c r="W85" s="150">
        <f t="shared" si="156"/>
        <v>0</v>
      </c>
      <c r="X85" s="150">
        <v>0</v>
      </c>
      <c r="Y85" s="150"/>
      <c r="Z85" s="150">
        <v>0</v>
      </c>
      <c r="AA85" s="150">
        <f t="shared" si="108"/>
        <v>0</v>
      </c>
      <c r="AB85" s="150">
        <v>0</v>
      </c>
      <c r="AC85" s="199"/>
      <c r="AD85" s="150">
        <f t="shared" si="157"/>
        <v>0</v>
      </c>
      <c r="AE85" s="150">
        <v>0</v>
      </c>
      <c r="AF85" s="169" t="s">
        <v>4680</v>
      </c>
      <c r="AG85" s="201">
        <v>0</v>
      </c>
      <c r="AH85" s="199"/>
      <c r="AI85" s="150">
        <v>0</v>
      </c>
      <c r="AJ85" s="169">
        <f t="shared" si="109"/>
        <v>0</v>
      </c>
      <c r="AK85" s="201">
        <v>0</v>
      </c>
      <c r="AL85" s="199"/>
      <c r="AM85" s="150">
        <f t="shared" si="158"/>
        <v>0</v>
      </c>
      <c r="AN85" s="153">
        <f t="shared" si="110"/>
        <v>0</v>
      </c>
      <c r="AO85" s="154">
        <f t="shared" si="111"/>
        <v>0</v>
      </c>
      <c r="AP85" s="150">
        <v>0</v>
      </c>
      <c r="AQ85" s="201">
        <v>0</v>
      </c>
      <c r="AR85" s="199"/>
      <c r="AS85" s="150">
        <f t="shared" si="159"/>
        <v>0</v>
      </c>
      <c r="AT85" s="155"/>
      <c r="AU85" s="156">
        <f t="shared" si="105"/>
        <v>0</v>
      </c>
      <c r="AV85" s="156">
        <f t="shared" si="106"/>
        <v>0</v>
      </c>
      <c r="AW85" s="157"/>
      <c r="AX85" s="150">
        <v>0</v>
      </c>
      <c r="AY85" s="150">
        <v>0</v>
      </c>
      <c r="AZ85" s="150"/>
      <c r="BA85" s="150">
        <f t="shared" si="112"/>
        <v>0</v>
      </c>
      <c r="BB85" s="210"/>
      <c r="BC85" s="210"/>
      <c r="BD85" s="210"/>
      <c r="BE85" s="210"/>
      <c r="BF85" s="210"/>
      <c r="BG85" s="210"/>
      <c r="BH85" s="217"/>
      <c r="BI85" s="210"/>
      <c r="BJ85" s="210"/>
      <c r="BK85" s="210"/>
      <c r="BL85" s="210"/>
      <c r="BM85" s="208"/>
      <c r="BN85" s="160"/>
      <c r="BO85" s="161">
        <f t="shared" si="113"/>
        <v>0</v>
      </c>
      <c r="BP85" s="161"/>
    </row>
    <row r="86" spans="1:68">
      <c r="A86" s="210"/>
      <c r="B86" s="195" t="s">
        <v>4943</v>
      </c>
      <c r="C86" s="196" t="s">
        <v>4944</v>
      </c>
      <c r="D86" s="146" t="s">
        <v>4692</v>
      </c>
      <c r="E86" s="196" t="s">
        <v>4944</v>
      </c>
      <c r="F86" s="150">
        <v>0</v>
      </c>
      <c r="G86" s="209">
        <v>0</v>
      </c>
      <c r="H86" s="209"/>
      <c r="I86" s="209">
        <v>0</v>
      </c>
      <c r="J86" s="150">
        <v>0</v>
      </c>
      <c r="K86" s="150">
        <v>0</v>
      </c>
      <c r="L86" s="150">
        <f t="shared" si="129"/>
        <v>0</v>
      </c>
      <c r="M86" s="150">
        <v>0</v>
      </c>
      <c r="N86" s="150"/>
      <c r="O86" s="150">
        <v>0</v>
      </c>
      <c r="P86" s="150">
        <v>0</v>
      </c>
      <c r="Q86" s="150"/>
      <c r="R86" s="150">
        <f t="shared" si="155"/>
        <v>0</v>
      </c>
      <c r="S86" s="150">
        <f t="shared" si="107"/>
        <v>0</v>
      </c>
      <c r="T86" s="150"/>
      <c r="U86" s="150">
        <v>0</v>
      </c>
      <c r="V86" s="199"/>
      <c r="W86" s="150">
        <f t="shared" si="156"/>
        <v>0</v>
      </c>
      <c r="X86" s="150">
        <v>0</v>
      </c>
      <c r="Y86" s="150"/>
      <c r="Z86" s="150">
        <v>0</v>
      </c>
      <c r="AA86" s="150">
        <f t="shared" si="108"/>
        <v>0</v>
      </c>
      <c r="AB86" s="150">
        <v>0</v>
      </c>
      <c r="AC86" s="199"/>
      <c r="AD86" s="150">
        <f t="shared" si="157"/>
        <v>0</v>
      </c>
      <c r="AE86" s="150">
        <v>0</v>
      </c>
      <c r="AF86" s="169" t="s">
        <v>4680</v>
      </c>
      <c r="AG86" s="201">
        <v>0</v>
      </c>
      <c r="AH86" s="199"/>
      <c r="AI86" s="150">
        <v>0</v>
      </c>
      <c r="AJ86" s="169">
        <f t="shared" si="109"/>
        <v>0</v>
      </c>
      <c r="AK86" s="201">
        <v>0</v>
      </c>
      <c r="AL86" s="199"/>
      <c r="AM86" s="150">
        <f t="shared" si="158"/>
        <v>0</v>
      </c>
      <c r="AN86" s="153">
        <f t="shared" si="110"/>
        <v>0</v>
      </c>
      <c r="AO86" s="154">
        <f t="shared" si="111"/>
        <v>0</v>
      </c>
      <c r="AP86" s="150">
        <v>0</v>
      </c>
      <c r="AQ86" s="201">
        <v>0</v>
      </c>
      <c r="AR86" s="199"/>
      <c r="AS86" s="150">
        <f t="shared" si="159"/>
        <v>0</v>
      </c>
      <c r="AT86" s="155"/>
      <c r="AU86" s="156">
        <f t="shared" si="105"/>
        <v>0</v>
      </c>
      <c r="AV86" s="156">
        <f t="shared" si="106"/>
        <v>0</v>
      </c>
      <c r="AW86" s="157"/>
      <c r="AX86" s="150">
        <v>0</v>
      </c>
      <c r="AY86" s="150">
        <v>0</v>
      </c>
      <c r="AZ86" s="150"/>
      <c r="BA86" s="150">
        <f t="shared" si="112"/>
        <v>0</v>
      </c>
      <c r="BB86" s="210"/>
      <c r="BC86" s="210"/>
      <c r="BD86" s="210"/>
      <c r="BE86" s="210"/>
      <c r="BF86" s="210"/>
      <c r="BG86" s="210"/>
      <c r="BH86" s="217"/>
      <c r="BI86" s="210"/>
      <c r="BJ86" s="210"/>
      <c r="BK86" s="210"/>
      <c r="BL86" s="210"/>
      <c r="BM86" s="208"/>
      <c r="BN86" s="160"/>
      <c r="BO86" s="161">
        <f t="shared" si="113"/>
        <v>0</v>
      </c>
      <c r="BP86" s="161"/>
    </row>
    <row r="87" spans="1:68">
      <c r="A87" s="210"/>
      <c r="B87" s="195" t="s">
        <v>4945</v>
      </c>
      <c r="C87" s="196" t="s">
        <v>4946</v>
      </c>
      <c r="D87" s="146" t="s">
        <v>4692</v>
      </c>
      <c r="E87" s="196" t="s">
        <v>4946</v>
      </c>
      <c r="F87" s="150">
        <v>0</v>
      </c>
      <c r="G87" s="209">
        <v>0</v>
      </c>
      <c r="H87" s="209"/>
      <c r="I87" s="209">
        <v>0</v>
      </c>
      <c r="J87" s="150">
        <v>0</v>
      </c>
      <c r="K87" s="150">
        <v>0</v>
      </c>
      <c r="L87" s="150">
        <f t="shared" si="129"/>
        <v>0</v>
      </c>
      <c r="M87" s="150">
        <v>0</v>
      </c>
      <c r="N87" s="150"/>
      <c r="O87" s="150">
        <v>0</v>
      </c>
      <c r="P87" s="150">
        <v>0</v>
      </c>
      <c r="Q87" s="150"/>
      <c r="R87" s="150">
        <f t="shared" si="155"/>
        <v>0</v>
      </c>
      <c r="S87" s="150">
        <f t="shared" si="107"/>
        <v>0</v>
      </c>
      <c r="T87" s="150"/>
      <c r="U87" s="150">
        <v>0</v>
      </c>
      <c r="V87" s="199"/>
      <c r="W87" s="150">
        <f t="shared" si="156"/>
        <v>0</v>
      </c>
      <c r="X87" s="150">
        <v>0</v>
      </c>
      <c r="Y87" s="150"/>
      <c r="Z87" s="150">
        <v>0</v>
      </c>
      <c r="AA87" s="150">
        <f t="shared" si="108"/>
        <v>0</v>
      </c>
      <c r="AB87" s="150">
        <v>0</v>
      </c>
      <c r="AC87" s="199"/>
      <c r="AD87" s="150">
        <f t="shared" si="157"/>
        <v>0</v>
      </c>
      <c r="AE87" s="150">
        <v>0</v>
      </c>
      <c r="AF87" s="169" t="s">
        <v>4680</v>
      </c>
      <c r="AG87" s="201">
        <v>0</v>
      </c>
      <c r="AH87" s="199"/>
      <c r="AI87" s="150">
        <v>0</v>
      </c>
      <c r="AJ87" s="169">
        <f t="shared" si="109"/>
        <v>0</v>
      </c>
      <c r="AK87" s="201">
        <v>0</v>
      </c>
      <c r="AL87" s="199"/>
      <c r="AM87" s="150">
        <f t="shared" si="158"/>
        <v>0</v>
      </c>
      <c r="AN87" s="153">
        <f t="shared" si="110"/>
        <v>0</v>
      </c>
      <c r="AO87" s="154">
        <f t="shared" si="111"/>
        <v>0</v>
      </c>
      <c r="AP87" s="150">
        <v>0</v>
      </c>
      <c r="AQ87" s="201">
        <v>0</v>
      </c>
      <c r="AR87" s="199"/>
      <c r="AS87" s="150">
        <f t="shared" si="159"/>
        <v>0</v>
      </c>
      <c r="AT87" s="155"/>
      <c r="AU87" s="156">
        <f t="shared" si="105"/>
        <v>0</v>
      </c>
      <c r="AV87" s="156">
        <f t="shared" si="106"/>
        <v>0</v>
      </c>
      <c r="AW87" s="157"/>
      <c r="AX87" s="150">
        <v>0</v>
      </c>
      <c r="AY87" s="150">
        <v>0</v>
      </c>
      <c r="AZ87" s="150"/>
      <c r="BA87" s="150">
        <f t="shared" si="112"/>
        <v>0</v>
      </c>
      <c r="BB87" s="210"/>
      <c r="BC87" s="210"/>
      <c r="BD87" s="210"/>
      <c r="BE87" s="210"/>
      <c r="BF87" s="210"/>
      <c r="BG87" s="210"/>
      <c r="BH87" s="217"/>
      <c r="BI87" s="210"/>
      <c r="BJ87" s="210"/>
      <c r="BK87" s="210"/>
      <c r="BL87" s="210"/>
      <c r="BM87" s="208"/>
      <c r="BN87" s="160"/>
      <c r="BO87" s="161">
        <f t="shared" si="113"/>
        <v>0</v>
      </c>
      <c r="BP87" s="161"/>
    </row>
    <row r="88" spans="1:68">
      <c r="A88" s="210"/>
      <c r="B88" s="195" t="s">
        <v>4947</v>
      </c>
      <c r="C88" s="196" t="s">
        <v>4948</v>
      </c>
      <c r="D88" s="146" t="s">
        <v>4692</v>
      </c>
      <c r="E88" s="196" t="s">
        <v>4948</v>
      </c>
      <c r="F88" s="150">
        <v>0</v>
      </c>
      <c r="G88" s="209">
        <v>0</v>
      </c>
      <c r="H88" s="209"/>
      <c r="I88" s="209">
        <v>0</v>
      </c>
      <c r="J88" s="150">
        <v>0</v>
      </c>
      <c r="K88" s="150">
        <v>0</v>
      </c>
      <c r="L88" s="150">
        <f t="shared" si="129"/>
        <v>0</v>
      </c>
      <c r="M88" s="150">
        <v>0</v>
      </c>
      <c r="N88" s="150"/>
      <c r="O88" s="150">
        <v>0</v>
      </c>
      <c r="P88" s="150">
        <v>0</v>
      </c>
      <c r="Q88" s="150"/>
      <c r="R88" s="150">
        <f t="shared" si="155"/>
        <v>0</v>
      </c>
      <c r="S88" s="150">
        <f t="shared" si="107"/>
        <v>0</v>
      </c>
      <c r="T88" s="150"/>
      <c r="U88" s="150">
        <v>0</v>
      </c>
      <c r="V88" s="199"/>
      <c r="W88" s="150">
        <f t="shared" si="156"/>
        <v>0</v>
      </c>
      <c r="X88" s="150">
        <v>0</v>
      </c>
      <c r="Y88" s="150"/>
      <c r="Z88" s="150">
        <v>0</v>
      </c>
      <c r="AA88" s="150">
        <f t="shared" si="108"/>
        <v>0</v>
      </c>
      <c r="AB88" s="150">
        <v>0</v>
      </c>
      <c r="AC88" s="199"/>
      <c r="AD88" s="150">
        <f t="shared" si="157"/>
        <v>0</v>
      </c>
      <c r="AE88" s="150">
        <v>0</v>
      </c>
      <c r="AF88" s="169" t="s">
        <v>4680</v>
      </c>
      <c r="AG88" s="201">
        <v>0</v>
      </c>
      <c r="AH88" s="199"/>
      <c r="AI88" s="150">
        <v>0</v>
      </c>
      <c r="AJ88" s="169">
        <f t="shared" si="109"/>
        <v>0</v>
      </c>
      <c r="AK88" s="201">
        <v>0</v>
      </c>
      <c r="AL88" s="199"/>
      <c r="AM88" s="150">
        <f t="shared" si="158"/>
        <v>0</v>
      </c>
      <c r="AN88" s="153">
        <f t="shared" si="110"/>
        <v>0</v>
      </c>
      <c r="AO88" s="154">
        <f t="shared" si="111"/>
        <v>0</v>
      </c>
      <c r="AP88" s="150">
        <v>0</v>
      </c>
      <c r="AQ88" s="201">
        <v>0</v>
      </c>
      <c r="AR88" s="199"/>
      <c r="AS88" s="150">
        <f t="shared" si="159"/>
        <v>0</v>
      </c>
      <c r="AT88" s="155"/>
      <c r="AU88" s="156">
        <f t="shared" si="105"/>
        <v>0</v>
      </c>
      <c r="AV88" s="156">
        <f t="shared" si="106"/>
        <v>0</v>
      </c>
      <c r="AW88" s="157"/>
      <c r="AX88" s="150">
        <v>0</v>
      </c>
      <c r="AY88" s="150">
        <v>0</v>
      </c>
      <c r="AZ88" s="150"/>
      <c r="BA88" s="150">
        <f t="shared" si="112"/>
        <v>0</v>
      </c>
      <c r="BB88" s="210"/>
      <c r="BC88" s="210"/>
      <c r="BD88" s="210"/>
      <c r="BE88" s="210"/>
      <c r="BF88" s="210"/>
      <c r="BG88" s="210"/>
      <c r="BH88" s="217"/>
      <c r="BI88" s="210"/>
      <c r="BJ88" s="210"/>
      <c r="BK88" s="210"/>
      <c r="BL88" s="210"/>
      <c r="BM88" s="208"/>
      <c r="BN88" s="160"/>
      <c r="BO88" s="161">
        <f t="shared" si="113"/>
        <v>0</v>
      </c>
      <c r="BP88" s="161"/>
    </row>
    <row r="89" spans="1:68">
      <c r="A89" s="210"/>
      <c r="B89" s="195" t="s">
        <v>4949</v>
      </c>
      <c r="C89" s="196" t="s">
        <v>4950</v>
      </c>
      <c r="D89" s="146" t="s">
        <v>4692</v>
      </c>
      <c r="E89" s="196" t="s">
        <v>4950</v>
      </c>
      <c r="F89" s="150">
        <v>0</v>
      </c>
      <c r="G89" s="209">
        <v>0</v>
      </c>
      <c r="H89" s="209"/>
      <c r="I89" s="209">
        <v>0</v>
      </c>
      <c r="J89" s="150">
        <v>0</v>
      </c>
      <c r="K89" s="150">
        <v>0</v>
      </c>
      <c r="L89" s="150">
        <f t="shared" si="129"/>
        <v>0</v>
      </c>
      <c r="M89" s="150">
        <v>0</v>
      </c>
      <c r="N89" s="150"/>
      <c r="O89" s="150">
        <v>0</v>
      </c>
      <c r="P89" s="150">
        <v>0</v>
      </c>
      <c r="Q89" s="150"/>
      <c r="R89" s="150">
        <f t="shared" si="155"/>
        <v>0</v>
      </c>
      <c r="S89" s="150">
        <f t="shared" si="107"/>
        <v>0</v>
      </c>
      <c r="T89" s="150"/>
      <c r="U89" s="150">
        <v>0</v>
      </c>
      <c r="V89" s="199"/>
      <c r="W89" s="150">
        <f t="shared" si="156"/>
        <v>0</v>
      </c>
      <c r="X89" s="150">
        <v>0</v>
      </c>
      <c r="Y89" s="150"/>
      <c r="Z89" s="150">
        <v>0</v>
      </c>
      <c r="AA89" s="150">
        <f t="shared" si="108"/>
        <v>0</v>
      </c>
      <c r="AB89" s="150">
        <v>0</v>
      </c>
      <c r="AC89" s="199"/>
      <c r="AD89" s="150">
        <f t="shared" si="157"/>
        <v>0</v>
      </c>
      <c r="AE89" s="150">
        <v>0</v>
      </c>
      <c r="AF89" s="169" t="s">
        <v>4680</v>
      </c>
      <c r="AG89" s="201">
        <v>0</v>
      </c>
      <c r="AH89" s="199"/>
      <c r="AI89" s="150">
        <v>0</v>
      </c>
      <c r="AJ89" s="169">
        <f t="shared" si="109"/>
        <v>0</v>
      </c>
      <c r="AK89" s="201">
        <v>0</v>
      </c>
      <c r="AL89" s="199"/>
      <c r="AM89" s="150">
        <f t="shared" si="158"/>
        <v>0</v>
      </c>
      <c r="AN89" s="153">
        <f t="shared" si="110"/>
        <v>0</v>
      </c>
      <c r="AO89" s="154">
        <f t="shared" si="111"/>
        <v>0</v>
      </c>
      <c r="AP89" s="150">
        <v>0</v>
      </c>
      <c r="AQ89" s="201">
        <v>0</v>
      </c>
      <c r="AR89" s="199"/>
      <c r="AS89" s="150">
        <f t="shared" si="159"/>
        <v>0</v>
      </c>
      <c r="AT89" s="155"/>
      <c r="AU89" s="156">
        <f t="shared" si="105"/>
        <v>0</v>
      </c>
      <c r="AV89" s="156">
        <f t="shared" si="106"/>
        <v>0</v>
      </c>
      <c r="AW89" s="157"/>
      <c r="AX89" s="150">
        <v>0</v>
      </c>
      <c r="AY89" s="150">
        <v>0</v>
      </c>
      <c r="AZ89" s="150"/>
      <c r="BA89" s="150">
        <f t="shared" si="112"/>
        <v>0</v>
      </c>
      <c r="BB89" s="210"/>
      <c r="BC89" s="210"/>
      <c r="BD89" s="210"/>
      <c r="BE89" s="210"/>
      <c r="BF89" s="210"/>
      <c r="BG89" s="210"/>
      <c r="BH89" s="217"/>
      <c r="BI89" s="210"/>
      <c r="BJ89" s="210"/>
      <c r="BK89" s="210"/>
      <c r="BL89" s="210"/>
      <c r="BM89" s="208"/>
      <c r="BN89" s="160"/>
      <c r="BO89" s="161">
        <f t="shared" si="113"/>
        <v>0</v>
      </c>
      <c r="BP89" s="161"/>
    </row>
    <row r="90" spans="1:68">
      <c r="A90" s="210"/>
      <c r="B90" s="195" t="s">
        <v>4951</v>
      </c>
      <c r="C90" s="196" t="s">
        <v>4952</v>
      </c>
      <c r="D90" s="146" t="s">
        <v>4692</v>
      </c>
      <c r="E90" s="196" t="s">
        <v>4952</v>
      </c>
      <c r="F90" s="150">
        <v>0</v>
      </c>
      <c r="G90" s="209">
        <v>0</v>
      </c>
      <c r="H90" s="209"/>
      <c r="I90" s="209">
        <v>0</v>
      </c>
      <c r="J90" s="150">
        <v>0</v>
      </c>
      <c r="K90" s="150">
        <v>0</v>
      </c>
      <c r="L90" s="150">
        <f t="shared" si="129"/>
        <v>0</v>
      </c>
      <c r="M90" s="150">
        <v>0</v>
      </c>
      <c r="N90" s="150"/>
      <c r="O90" s="150">
        <v>0</v>
      </c>
      <c r="P90" s="150">
        <v>0</v>
      </c>
      <c r="Q90" s="150"/>
      <c r="R90" s="150">
        <f t="shared" si="155"/>
        <v>0</v>
      </c>
      <c r="S90" s="150">
        <f t="shared" si="107"/>
        <v>0</v>
      </c>
      <c r="T90" s="150"/>
      <c r="U90" s="150">
        <v>0</v>
      </c>
      <c r="V90" s="199"/>
      <c r="W90" s="150">
        <f t="shared" si="156"/>
        <v>0</v>
      </c>
      <c r="X90" s="150">
        <v>0</v>
      </c>
      <c r="Y90" s="150"/>
      <c r="Z90" s="150">
        <v>0</v>
      </c>
      <c r="AA90" s="150">
        <f t="shared" si="108"/>
        <v>0</v>
      </c>
      <c r="AB90" s="150">
        <v>0</v>
      </c>
      <c r="AC90" s="199"/>
      <c r="AD90" s="150">
        <f t="shared" si="157"/>
        <v>0</v>
      </c>
      <c r="AE90" s="150">
        <v>0</v>
      </c>
      <c r="AF90" s="169" t="s">
        <v>4680</v>
      </c>
      <c r="AG90" s="201">
        <v>0</v>
      </c>
      <c r="AH90" s="199"/>
      <c r="AI90" s="150">
        <v>0</v>
      </c>
      <c r="AJ90" s="169">
        <f t="shared" si="109"/>
        <v>0</v>
      </c>
      <c r="AK90" s="201">
        <v>0</v>
      </c>
      <c r="AL90" s="199"/>
      <c r="AM90" s="150">
        <f t="shared" si="158"/>
        <v>0</v>
      </c>
      <c r="AN90" s="153">
        <f t="shared" si="110"/>
        <v>0</v>
      </c>
      <c r="AO90" s="154">
        <f t="shared" si="111"/>
        <v>0</v>
      </c>
      <c r="AP90" s="150">
        <v>0</v>
      </c>
      <c r="AQ90" s="201">
        <v>0</v>
      </c>
      <c r="AR90" s="199"/>
      <c r="AS90" s="150">
        <f t="shared" si="159"/>
        <v>0</v>
      </c>
      <c r="AT90" s="155"/>
      <c r="AU90" s="156">
        <f t="shared" si="105"/>
        <v>0</v>
      </c>
      <c r="AV90" s="156">
        <f t="shared" si="106"/>
        <v>0</v>
      </c>
      <c r="AW90" s="157"/>
      <c r="AX90" s="150">
        <v>0</v>
      </c>
      <c r="AY90" s="150">
        <v>0</v>
      </c>
      <c r="AZ90" s="150"/>
      <c r="BA90" s="150">
        <f t="shared" si="112"/>
        <v>0</v>
      </c>
      <c r="BB90" s="210"/>
      <c r="BC90" s="210"/>
      <c r="BD90" s="210"/>
      <c r="BE90" s="210"/>
      <c r="BF90" s="210"/>
      <c r="BG90" s="210"/>
      <c r="BH90" s="217"/>
      <c r="BI90" s="210"/>
      <c r="BJ90" s="210"/>
      <c r="BK90" s="210"/>
      <c r="BL90" s="210"/>
      <c r="BM90" s="208"/>
      <c r="BN90" s="160"/>
      <c r="BO90" s="161">
        <f t="shared" si="113"/>
        <v>0</v>
      </c>
      <c r="BP90" s="161"/>
    </row>
    <row r="91" spans="1:68">
      <c r="A91" s="210"/>
      <c r="B91" s="195" t="s">
        <v>4953</v>
      </c>
      <c r="C91" s="196" t="s">
        <v>4954</v>
      </c>
      <c r="D91" s="146" t="s">
        <v>4692</v>
      </c>
      <c r="E91" s="196" t="s">
        <v>4954</v>
      </c>
      <c r="F91" s="150">
        <v>0</v>
      </c>
      <c r="G91" s="209">
        <v>0</v>
      </c>
      <c r="H91" s="209"/>
      <c r="I91" s="209">
        <v>0</v>
      </c>
      <c r="J91" s="150">
        <v>0</v>
      </c>
      <c r="K91" s="150">
        <v>0</v>
      </c>
      <c r="L91" s="150">
        <f t="shared" si="129"/>
        <v>0</v>
      </c>
      <c r="M91" s="150">
        <v>0</v>
      </c>
      <c r="N91" s="150"/>
      <c r="O91" s="150">
        <v>0</v>
      </c>
      <c r="P91" s="150">
        <v>0</v>
      </c>
      <c r="Q91" s="150"/>
      <c r="R91" s="150">
        <f t="shared" si="155"/>
        <v>0</v>
      </c>
      <c r="S91" s="150">
        <f t="shared" si="107"/>
        <v>0</v>
      </c>
      <c r="T91" s="150"/>
      <c r="U91" s="150">
        <v>0</v>
      </c>
      <c r="V91" s="199"/>
      <c r="W91" s="150">
        <f t="shared" si="156"/>
        <v>0</v>
      </c>
      <c r="X91" s="150">
        <v>0</v>
      </c>
      <c r="Y91" s="150"/>
      <c r="Z91" s="150">
        <v>0</v>
      </c>
      <c r="AA91" s="150">
        <f t="shared" si="108"/>
        <v>0</v>
      </c>
      <c r="AB91" s="150">
        <v>0</v>
      </c>
      <c r="AC91" s="199"/>
      <c r="AD91" s="150">
        <f t="shared" si="157"/>
        <v>0</v>
      </c>
      <c r="AE91" s="150">
        <v>0</v>
      </c>
      <c r="AF91" s="169" t="s">
        <v>4680</v>
      </c>
      <c r="AG91" s="201">
        <v>0</v>
      </c>
      <c r="AH91" s="199"/>
      <c r="AI91" s="150">
        <v>0</v>
      </c>
      <c r="AJ91" s="169">
        <f t="shared" si="109"/>
        <v>0</v>
      </c>
      <c r="AK91" s="201">
        <v>0</v>
      </c>
      <c r="AL91" s="199"/>
      <c r="AM91" s="150">
        <f t="shared" si="158"/>
        <v>0</v>
      </c>
      <c r="AN91" s="153">
        <f t="shared" si="110"/>
        <v>0</v>
      </c>
      <c r="AO91" s="154">
        <f t="shared" si="111"/>
        <v>0</v>
      </c>
      <c r="AP91" s="150">
        <v>0</v>
      </c>
      <c r="AQ91" s="201">
        <v>0</v>
      </c>
      <c r="AR91" s="199"/>
      <c r="AS91" s="150">
        <f t="shared" si="159"/>
        <v>0</v>
      </c>
      <c r="AT91" s="155"/>
      <c r="AU91" s="156">
        <f t="shared" si="105"/>
        <v>0</v>
      </c>
      <c r="AV91" s="156">
        <f t="shared" si="106"/>
        <v>0</v>
      </c>
      <c r="AW91" s="157"/>
      <c r="AX91" s="150">
        <v>0</v>
      </c>
      <c r="AY91" s="150">
        <v>0</v>
      </c>
      <c r="AZ91" s="150"/>
      <c r="BA91" s="150">
        <f t="shared" si="112"/>
        <v>0</v>
      </c>
      <c r="BB91" s="210"/>
      <c r="BC91" s="210"/>
      <c r="BD91" s="210"/>
      <c r="BE91" s="210"/>
      <c r="BF91" s="210"/>
      <c r="BG91" s="210"/>
      <c r="BH91" s="217"/>
      <c r="BI91" s="210"/>
      <c r="BJ91" s="210"/>
      <c r="BK91" s="210"/>
      <c r="BL91" s="210"/>
      <c r="BM91" s="208"/>
      <c r="BN91" s="160"/>
      <c r="BO91" s="161">
        <f t="shared" si="113"/>
        <v>0</v>
      </c>
      <c r="BP91" s="161"/>
    </row>
    <row r="92" spans="1:68">
      <c r="A92" s="210"/>
      <c r="B92" s="195" t="s">
        <v>4955</v>
      </c>
      <c r="C92" s="196" t="s">
        <v>4956</v>
      </c>
      <c r="D92" s="146" t="s">
        <v>4692</v>
      </c>
      <c r="E92" s="196" t="s">
        <v>4956</v>
      </c>
      <c r="F92" s="150">
        <v>0</v>
      </c>
      <c r="G92" s="209">
        <v>0</v>
      </c>
      <c r="H92" s="209"/>
      <c r="I92" s="209">
        <v>0</v>
      </c>
      <c r="J92" s="150">
        <v>0</v>
      </c>
      <c r="K92" s="150">
        <v>0</v>
      </c>
      <c r="L92" s="150">
        <f t="shared" si="129"/>
        <v>0</v>
      </c>
      <c r="M92" s="150">
        <v>0</v>
      </c>
      <c r="N92" s="150"/>
      <c r="O92" s="150">
        <v>0</v>
      </c>
      <c r="P92" s="150">
        <v>0</v>
      </c>
      <c r="Q92" s="150"/>
      <c r="R92" s="150">
        <f t="shared" si="155"/>
        <v>0</v>
      </c>
      <c r="S92" s="150">
        <f t="shared" si="107"/>
        <v>0</v>
      </c>
      <c r="T92" s="150"/>
      <c r="U92" s="150">
        <v>0</v>
      </c>
      <c r="V92" s="199"/>
      <c r="W92" s="150">
        <f t="shared" si="156"/>
        <v>0</v>
      </c>
      <c r="X92" s="150">
        <v>0</v>
      </c>
      <c r="Y92" s="150"/>
      <c r="Z92" s="150">
        <v>0</v>
      </c>
      <c r="AA92" s="150">
        <f t="shared" si="108"/>
        <v>0</v>
      </c>
      <c r="AB92" s="150">
        <v>0</v>
      </c>
      <c r="AC92" s="199"/>
      <c r="AD92" s="150">
        <f t="shared" si="157"/>
        <v>0</v>
      </c>
      <c r="AE92" s="150">
        <v>0</v>
      </c>
      <c r="AF92" s="169" t="s">
        <v>4680</v>
      </c>
      <c r="AG92" s="201">
        <v>0</v>
      </c>
      <c r="AH92" s="199"/>
      <c r="AI92" s="150">
        <v>0</v>
      </c>
      <c r="AJ92" s="169">
        <f t="shared" si="109"/>
        <v>0</v>
      </c>
      <c r="AK92" s="201">
        <v>0</v>
      </c>
      <c r="AL92" s="199"/>
      <c r="AM92" s="150">
        <f t="shared" si="158"/>
        <v>0</v>
      </c>
      <c r="AN92" s="153">
        <f t="shared" si="110"/>
        <v>0</v>
      </c>
      <c r="AO92" s="154">
        <f t="shared" si="111"/>
        <v>0</v>
      </c>
      <c r="AP92" s="150">
        <v>0</v>
      </c>
      <c r="AQ92" s="201">
        <v>0</v>
      </c>
      <c r="AR92" s="199"/>
      <c r="AS92" s="150">
        <f t="shared" si="159"/>
        <v>0</v>
      </c>
      <c r="AT92" s="155"/>
      <c r="AU92" s="156">
        <f t="shared" si="105"/>
        <v>0</v>
      </c>
      <c r="AV92" s="156">
        <f t="shared" si="106"/>
        <v>0</v>
      </c>
      <c r="AW92" s="157"/>
      <c r="AX92" s="150">
        <v>0</v>
      </c>
      <c r="AY92" s="150">
        <v>0</v>
      </c>
      <c r="AZ92" s="150"/>
      <c r="BA92" s="150">
        <f t="shared" si="112"/>
        <v>0</v>
      </c>
      <c r="BB92" s="210"/>
      <c r="BC92" s="210"/>
      <c r="BD92" s="210"/>
      <c r="BE92" s="210"/>
      <c r="BF92" s="210"/>
      <c r="BG92" s="210"/>
      <c r="BH92" s="217"/>
      <c r="BI92" s="210"/>
      <c r="BJ92" s="210"/>
      <c r="BK92" s="210"/>
      <c r="BL92" s="210"/>
      <c r="BM92" s="208"/>
      <c r="BN92" s="160"/>
      <c r="BO92" s="161">
        <f t="shared" si="113"/>
        <v>0</v>
      </c>
      <c r="BP92" s="161"/>
    </row>
    <row r="93" spans="1:68">
      <c r="A93" s="210"/>
      <c r="B93" s="195" t="s">
        <v>4957</v>
      </c>
      <c r="C93" s="196" t="s">
        <v>4958</v>
      </c>
      <c r="D93" s="146" t="s">
        <v>4692</v>
      </c>
      <c r="E93" s="196" t="s">
        <v>4958</v>
      </c>
      <c r="F93" s="150">
        <v>0</v>
      </c>
      <c r="G93" s="209">
        <v>0</v>
      </c>
      <c r="H93" s="209"/>
      <c r="I93" s="209">
        <v>0</v>
      </c>
      <c r="J93" s="150">
        <v>0</v>
      </c>
      <c r="K93" s="150">
        <v>0</v>
      </c>
      <c r="L93" s="150">
        <f t="shared" si="129"/>
        <v>0</v>
      </c>
      <c r="M93" s="150">
        <v>0</v>
      </c>
      <c r="N93" s="150"/>
      <c r="O93" s="150">
        <v>0</v>
      </c>
      <c r="P93" s="150">
        <v>0</v>
      </c>
      <c r="Q93" s="150"/>
      <c r="R93" s="150">
        <f t="shared" si="155"/>
        <v>0</v>
      </c>
      <c r="S93" s="150">
        <f t="shared" si="107"/>
        <v>0</v>
      </c>
      <c r="T93" s="150"/>
      <c r="U93" s="150">
        <v>0</v>
      </c>
      <c r="V93" s="199"/>
      <c r="W93" s="150">
        <f t="shared" si="156"/>
        <v>0</v>
      </c>
      <c r="X93" s="150">
        <v>0</v>
      </c>
      <c r="Y93" s="150"/>
      <c r="Z93" s="150">
        <v>0</v>
      </c>
      <c r="AA93" s="150">
        <f t="shared" si="108"/>
        <v>0</v>
      </c>
      <c r="AB93" s="150">
        <v>0</v>
      </c>
      <c r="AC93" s="199"/>
      <c r="AD93" s="150">
        <f t="shared" si="157"/>
        <v>0</v>
      </c>
      <c r="AE93" s="150">
        <v>0</v>
      </c>
      <c r="AF93" s="169" t="s">
        <v>4680</v>
      </c>
      <c r="AG93" s="201">
        <v>0</v>
      </c>
      <c r="AH93" s="199"/>
      <c r="AI93" s="150">
        <v>0</v>
      </c>
      <c r="AJ93" s="169">
        <f t="shared" si="109"/>
        <v>0</v>
      </c>
      <c r="AK93" s="201">
        <v>0</v>
      </c>
      <c r="AL93" s="199"/>
      <c r="AM93" s="150">
        <f t="shared" si="158"/>
        <v>0</v>
      </c>
      <c r="AN93" s="153">
        <f t="shared" si="110"/>
        <v>0</v>
      </c>
      <c r="AO93" s="154">
        <f t="shared" si="111"/>
        <v>0</v>
      </c>
      <c r="AP93" s="150">
        <v>0</v>
      </c>
      <c r="AQ93" s="201">
        <v>0</v>
      </c>
      <c r="AR93" s="199"/>
      <c r="AS93" s="150">
        <f t="shared" si="159"/>
        <v>0</v>
      </c>
      <c r="AT93" s="155"/>
      <c r="AU93" s="156">
        <f t="shared" si="105"/>
        <v>0</v>
      </c>
      <c r="AV93" s="156">
        <f t="shared" si="106"/>
        <v>0</v>
      </c>
      <c r="AW93" s="157"/>
      <c r="AX93" s="150">
        <v>0</v>
      </c>
      <c r="AY93" s="150">
        <v>0</v>
      </c>
      <c r="AZ93" s="150"/>
      <c r="BA93" s="150">
        <f t="shared" si="112"/>
        <v>0</v>
      </c>
      <c r="BB93" s="210"/>
      <c r="BC93" s="210"/>
      <c r="BD93" s="210"/>
      <c r="BE93" s="210"/>
      <c r="BF93" s="210"/>
      <c r="BG93" s="210"/>
      <c r="BH93" s="217"/>
      <c r="BI93" s="210"/>
      <c r="BJ93" s="210"/>
      <c r="BK93" s="210"/>
      <c r="BL93" s="210"/>
      <c r="BM93" s="208"/>
      <c r="BN93" s="160"/>
      <c r="BO93" s="161">
        <f t="shared" si="113"/>
        <v>0</v>
      </c>
      <c r="BP93" s="161"/>
    </row>
    <row r="94" spans="1:68">
      <c r="A94" s="210"/>
      <c r="B94" s="195" t="s">
        <v>4959</v>
      </c>
      <c r="C94" s="196" t="s">
        <v>4960</v>
      </c>
      <c r="D94" s="146" t="s">
        <v>4692</v>
      </c>
      <c r="E94" s="196" t="s">
        <v>4960</v>
      </c>
      <c r="F94" s="150">
        <v>0</v>
      </c>
      <c r="G94" s="209">
        <v>0</v>
      </c>
      <c r="H94" s="209"/>
      <c r="I94" s="209">
        <v>0</v>
      </c>
      <c r="J94" s="150">
        <v>0</v>
      </c>
      <c r="K94" s="150">
        <v>0</v>
      </c>
      <c r="L94" s="150">
        <f t="shared" si="129"/>
        <v>0</v>
      </c>
      <c r="M94" s="150">
        <v>0</v>
      </c>
      <c r="N94" s="150"/>
      <c r="O94" s="150">
        <v>0</v>
      </c>
      <c r="P94" s="150">
        <v>0</v>
      </c>
      <c r="Q94" s="150"/>
      <c r="R94" s="150">
        <f t="shared" si="155"/>
        <v>0</v>
      </c>
      <c r="S94" s="150">
        <f t="shared" si="107"/>
        <v>0</v>
      </c>
      <c r="T94" s="150"/>
      <c r="U94" s="150">
        <v>0</v>
      </c>
      <c r="V94" s="199"/>
      <c r="W94" s="150">
        <f t="shared" si="156"/>
        <v>0</v>
      </c>
      <c r="X94" s="150">
        <v>0</v>
      </c>
      <c r="Y94" s="150"/>
      <c r="Z94" s="150">
        <v>0</v>
      </c>
      <c r="AA94" s="150">
        <f t="shared" si="108"/>
        <v>0</v>
      </c>
      <c r="AB94" s="150">
        <v>0</v>
      </c>
      <c r="AC94" s="199"/>
      <c r="AD94" s="150">
        <f t="shared" si="157"/>
        <v>0</v>
      </c>
      <c r="AE94" s="150">
        <v>0</v>
      </c>
      <c r="AF94" s="169" t="s">
        <v>4680</v>
      </c>
      <c r="AG94" s="201">
        <v>0</v>
      </c>
      <c r="AH94" s="199"/>
      <c r="AI94" s="150">
        <v>0</v>
      </c>
      <c r="AJ94" s="169">
        <f t="shared" si="109"/>
        <v>0</v>
      </c>
      <c r="AK94" s="201">
        <v>0</v>
      </c>
      <c r="AL94" s="199"/>
      <c r="AM94" s="150">
        <f t="shared" si="158"/>
        <v>0</v>
      </c>
      <c r="AN94" s="153">
        <f t="shared" si="110"/>
        <v>0</v>
      </c>
      <c r="AO94" s="154">
        <f t="shared" si="111"/>
        <v>0</v>
      </c>
      <c r="AP94" s="150">
        <v>0</v>
      </c>
      <c r="AQ94" s="201">
        <v>0</v>
      </c>
      <c r="AR94" s="199"/>
      <c r="AS94" s="150">
        <f t="shared" si="159"/>
        <v>0</v>
      </c>
      <c r="AT94" s="155"/>
      <c r="AU94" s="156">
        <f t="shared" si="105"/>
        <v>0</v>
      </c>
      <c r="AV94" s="156">
        <f t="shared" si="106"/>
        <v>0</v>
      </c>
      <c r="AW94" s="157"/>
      <c r="AX94" s="150">
        <v>0</v>
      </c>
      <c r="AY94" s="150">
        <v>0</v>
      </c>
      <c r="AZ94" s="150"/>
      <c r="BA94" s="150">
        <f t="shared" si="112"/>
        <v>0</v>
      </c>
      <c r="BB94" s="210"/>
      <c r="BC94" s="210"/>
      <c r="BD94" s="210"/>
      <c r="BE94" s="210"/>
      <c r="BF94" s="210"/>
      <c r="BG94" s="210"/>
      <c r="BH94" s="217"/>
      <c r="BI94" s="210"/>
      <c r="BJ94" s="210"/>
      <c r="BK94" s="210"/>
      <c r="BL94" s="210"/>
      <c r="BM94" s="208"/>
      <c r="BN94" s="160"/>
      <c r="BO94" s="161">
        <f t="shared" si="113"/>
        <v>0</v>
      </c>
      <c r="BP94" s="161"/>
    </row>
    <row r="95" spans="1:68" ht="25.5">
      <c r="A95" s="210"/>
      <c r="B95" s="195" t="s">
        <v>4961</v>
      </c>
      <c r="C95" s="196" t="s">
        <v>4962</v>
      </c>
      <c r="D95" s="146" t="s">
        <v>4692</v>
      </c>
      <c r="E95" s="196" t="s">
        <v>4962</v>
      </c>
      <c r="F95" s="150">
        <v>0</v>
      </c>
      <c r="G95" s="209">
        <v>0</v>
      </c>
      <c r="H95" s="209"/>
      <c r="I95" s="209">
        <v>0</v>
      </c>
      <c r="J95" s="150">
        <v>0</v>
      </c>
      <c r="K95" s="150">
        <v>0</v>
      </c>
      <c r="L95" s="150">
        <f t="shared" si="129"/>
        <v>0</v>
      </c>
      <c r="M95" s="150">
        <v>0</v>
      </c>
      <c r="N95" s="150"/>
      <c r="O95" s="150">
        <v>0</v>
      </c>
      <c r="P95" s="150">
        <v>0</v>
      </c>
      <c r="Q95" s="150"/>
      <c r="R95" s="150">
        <f t="shared" si="155"/>
        <v>0</v>
      </c>
      <c r="S95" s="150">
        <f t="shared" si="107"/>
        <v>0</v>
      </c>
      <c r="T95" s="150"/>
      <c r="U95" s="150">
        <v>0</v>
      </c>
      <c r="V95" s="199"/>
      <c r="W95" s="150">
        <f t="shared" si="156"/>
        <v>0</v>
      </c>
      <c r="X95" s="150">
        <v>0</v>
      </c>
      <c r="Y95" s="150"/>
      <c r="Z95" s="150">
        <v>0</v>
      </c>
      <c r="AA95" s="150">
        <f t="shared" si="108"/>
        <v>0</v>
      </c>
      <c r="AB95" s="150">
        <v>0</v>
      </c>
      <c r="AC95" s="199"/>
      <c r="AD95" s="150">
        <f t="shared" si="157"/>
        <v>0</v>
      </c>
      <c r="AE95" s="150">
        <v>0</v>
      </c>
      <c r="AF95" s="169" t="s">
        <v>4680</v>
      </c>
      <c r="AG95" s="201">
        <v>0</v>
      </c>
      <c r="AH95" s="199"/>
      <c r="AI95" s="150">
        <v>0</v>
      </c>
      <c r="AJ95" s="169">
        <f t="shared" si="109"/>
        <v>0</v>
      </c>
      <c r="AK95" s="201">
        <v>0</v>
      </c>
      <c r="AL95" s="199"/>
      <c r="AM95" s="150">
        <f t="shared" si="158"/>
        <v>0</v>
      </c>
      <c r="AN95" s="153">
        <f t="shared" si="110"/>
        <v>0</v>
      </c>
      <c r="AO95" s="154">
        <f t="shared" si="111"/>
        <v>0</v>
      </c>
      <c r="AP95" s="150">
        <v>0</v>
      </c>
      <c r="AQ95" s="201">
        <v>0</v>
      </c>
      <c r="AR95" s="199"/>
      <c r="AS95" s="150">
        <f t="shared" si="159"/>
        <v>0</v>
      </c>
      <c r="AT95" s="155"/>
      <c r="AU95" s="156">
        <f t="shared" si="105"/>
        <v>0</v>
      </c>
      <c r="AV95" s="156">
        <f t="shared" si="106"/>
        <v>0</v>
      </c>
      <c r="AW95" s="157"/>
      <c r="AX95" s="150">
        <v>0</v>
      </c>
      <c r="AY95" s="150">
        <v>0</v>
      </c>
      <c r="AZ95" s="150"/>
      <c r="BA95" s="150">
        <f t="shared" si="112"/>
        <v>0</v>
      </c>
      <c r="BB95" s="210"/>
      <c r="BC95" s="210"/>
      <c r="BD95" s="210"/>
      <c r="BE95" s="210"/>
      <c r="BF95" s="210"/>
      <c r="BG95" s="210"/>
      <c r="BH95" s="217"/>
      <c r="BI95" s="210"/>
      <c r="BJ95" s="210"/>
      <c r="BK95" s="210"/>
      <c r="BL95" s="210"/>
      <c r="BM95" s="208"/>
      <c r="BN95" s="160"/>
      <c r="BO95" s="161">
        <f t="shared" si="113"/>
        <v>0</v>
      </c>
      <c r="BP95" s="161"/>
    </row>
    <row r="96" spans="1:68" ht="25.5">
      <c r="A96" s="210"/>
      <c r="B96" s="195" t="s">
        <v>4963</v>
      </c>
      <c r="C96" s="196" t="s">
        <v>4964</v>
      </c>
      <c r="D96" s="146" t="s">
        <v>4692</v>
      </c>
      <c r="E96" s="196" t="s">
        <v>4964</v>
      </c>
      <c r="F96" s="150">
        <v>0</v>
      </c>
      <c r="G96" s="209">
        <v>0</v>
      </c>
      <c r="H96" s="209"/>
      <c r="I96" s="209">
        <v>0</v>
      </c>
      <c r="J96" s="150">
        <v>0</v>
      </c>
      <c r="K96" s="150">
        <v>0</v>
      </c>
      <c r="L96" s="150">
        <f t="shared" si="129"/>
        <v>0</v>
      </c>
      <c r="M96" s="150">
        <v>0</v>
      </c>
      <c r="N96" s="150"/>
      <c r="O96" s="150">
        <v>0</v>
      </c>
      <c r="P96" s="150">
        <v>0</v>
      </c>
      <c r="Q96" s="150"/>
      <c r="R96" s="150">
        <f t="shared" si="155"/>
        <v>0</v>
      </c>
      <c r="S96" s="150">
        <f t="shared" si="107"/>
        <v>0</v>
      </c>
      <c r="T96" s="150"/>
      <c r="U96" s="150">
        <v>0</v>
      </c>
      <c r="V96" s="199"/>
      <c r="W96" s="150">
        <f t="shared" si="156"/>
        <v>0</v>
      </c>
      <c r="X96" s="150">
        <v>0</v>
      </c>
      <c r="Y96" s="150"/>
      <c r="Z96" s="150">
        <v>0</v>
      </c>
      <c r="AA96" s="150">
        <f t="shared" si="108"/>
        <v>0</v>
      </c>
      <c r="AB96" s="150">
        <v>0</v>
      </c>
      <c r="AC96" s="199"/>
      <c r="AD96" s="150">
        <f t="shared" si="157"/>
        <v>0</v>
      </c>
      <c r="AE96" s="150">
        <v>0</v>
      </c>
      <c r="AF96" s="169" t="s">
        <v>4680</v>
      </c>
      <c r="AG96" s="201">
        <v>0</v>
      </c>
      <c r="AH96" s="199"/>
      <c r="AI96" s="150">
        <v>0</v>
      </c>
      <c r="AJ96" s="169">
        <f t="shared" si="109"/>
        <v>0</v>
      </c>
      <c r="AK96" s="201">
        <v>0</v>
      </c>
      <c r="AL96" s="199"/>
      <c r="AM96" s="150">
        <f t="shared" si="158"/>
        <v>0</v>
      </c>
      <c r="AN96" s="153">
        <f t="shared" si="110"/>
        <v>0</v>
      </c>
      <c r="AO96" s="154">
        <f t="shared" si="111"/>
        <v>0</v>
      </c>
      <c r="AP96" s="150">
        <v>0</v>
      </c>
      <c r="AQ96" s="201">
        <v>0</v>
      </c>
      <c r="AR96" s="199"/>
      <c r="AS96" s="150">
        <f t="shared" si="159"/>
        <v>0</v>
      </c>
      <c r="AT96" s="155"/>
      <c r="AU96" s="156">
        <f t="shared" si="105"/>
        <v>0</v>
      </c>
      <c r="AV96" s="156">
        <f t="shared" si="106"/>
        <v>0</v>
      </c>
      <c r="AW96" s="157"/>
      <c r="AX96" s="150">
        <v>0</v>
      </c>
      <c r="AY96" s="150">
        <v>0</v>
      </c>
      <c r="AZ96" s="150"/>
      <c r="BA96" s="150">
        <f t="shared" si="112"/>
        <v>0</v>
      </c>
      <c r="BB96" s="210"/>
      <c r="BC96" s="210"/>
      <c r="BD96" s="210"/>
      <c r="BE96" s="210"/>
      <c r="BF96" s="210"/>
      <c r="BG96" s="210"/>
      <c r="BH96" s="217"/>
      <c r="BI96" s="210"/>
      <c r="BJ96" s="210"/>
      <c r="BK96" s="210"/>
      <c r="BL96" s="210"/>
      <c r="BM96" s="208"/>
      <c r="BN96" s="160"/>
      <c r="BO96" s="161">
        <f t="shared" si="113"/>
        <v>0</v>
      </c>
      <c r="BP96" s="161"/>
    </row>
    <row r="97" spans="1:68" ht="25.5">
      <c r="A97" s="210"/>
      <c r="B97" s="195" t="s">
        <v>4965</v>
      </c>
      <c r="C97" s="196" t="s">
        <v>4966</v>
      </c>
      <c r="D97" s="146" t="s">
        <v>4692</v>
      </c>
      <c r="E97" s="196" t="s">
        <v>4966</v>
      </c>
      <c r="F97" s="150">
        <v>0</v>
      </c>
      <c r="G97" s="209">
        <v>0</v>
      </c>
      <c r="H97" s="209"/>
      <c r="I97" s="209">
        <v>0</v>
      </c>
      <c r="J97" s="150">
        <v>0</v>
      </c>
      <c r="K97" s="150">
        <v>0</v>
      </c>
      <c r="L97" s="150">
        <f t="shared" si="129"/>
        <v>0</v>
      </c>
      <c r="M97" s="150">
        <v>0</v>
      </c>
      <c r="N97" s="150"/>
      <c r="O97" s="150">
        <v>0</v>
      </c>
      <c r="P97" s="150">
        <v>0</v>
      </c>
      <c r="Q97" s="150"/>
      <c r="R97" s="150">
        <f t="shared" si="155"/>
        <v>0</v>
      </c>
      <c r="S97" s="150">
        <f t="shared" si="107"/>
        <v>0</v>
      </c>
      <c r="T97" s="150"/>
      <c r="U97" s="150">
        <v>0</v>
      </c>
      <c r="V97" s="199"/>
      <c r="W97" s="150">
        <f t="shared" si="156"/>
        <v>0</v>
      </c>
      <c r="X97" s="150">
        <v>0</v>
      </c>
      <c r="Y97" s="150"/>
      <c r="Z97" s="150">
        <v>0</v>
      </c>
      <c r="AA97" s="150">
        <f t="shared" si="108"/>
        <v>0</v>
      </c>
      <c r="AB97" s="150">
        <v>0</v>
      </c>
      <c r="AC97" s="199"/>
      <c r="AD97" s="150">
        <f t="shared" si="157"/>
        <v>0</v>
      </c>
      <c r="AE97" s="150">
        <v>0</v>
      </c>
      <c r="AF97" s="169" t="s">
        <v>4680</v>
      </c>
      <c r="AG97" s="201">
        <v>0</v>
      </c>
      <c r="AH97" s="199"/>
      <c r="AI97" s="150">
        <v>0</v>
      </c>
      <c r="AJ97" s="169">
        <f t="shared" si="109"/>
        <v>0</v>
      </c>
      <c r="AK97" s="201">
        <v>0</v>
      </c>
      <c r="AL97" s="199"/>
      <c r="AM97" s="150">
        <f t="shared" si="158"/>
        <v>0</v>
      </c>
      <c r="AN97" s="153">
        <f t="shared" si="110"/>
        <v>0</v>
      </c>
      <c r="AO97" s="154">
        <f t="shared" si="111"/>
        <v>0</v>
      </c>
      <c r="AP97" s="150">
        <v>0</v>
      </c>
      <c r="AQ97" s="201">
        <v>0</v>
      </c>
      <c r="AR97" s="199"/>
      <c r="AS97" s="150">
        <f t="shared" si="159"/>
        <v>0</v>
      </c>
      <c r="AT97" s="155"/>
      <c r="AU97" s="156">
        <f t="shared" si="105"/>
        <v>0</v>
      </c>
      <c r="AV97" s="156">
        <f t="shared" si="106"/>
        <v>0</v>
      </c>
      <c r="AW97" s="157"/>
      <c r="AX97" s="150">
        <v>0</v>
      </c>
      <c r="AY97" s="150">
        <v>0</v>
      </c>
      <c r="AZ97" s="150"/>
      <c r="BA97" s="150">
        <f t="shared" si="112"/>
        <v>0</v>
      </c>
      <c r="BB97" s="210"/>
      <c r="BC97" s="210"/>
      <c r="BD97" s="210"/>
      <c r="BE97" s="210"/>
      <c r="BF97" s="210"/>
      <c r="BG97" s="210"/>
      <c r="BH97" s="217"/>
      <c r="BI97" s="210"/>
      <c r="BJ97" s="210"/>
      <c r="BK97" s="210"/>
      <c r="BL97" s="210"/>
      <c r="BM97" s="208"/>
      <c r="BN97" s="160"/>
      <c r="BO97" s="161">
        <f t="shared" si="113"/>
        <v>0</v>
      </c>
      <c r="BP97" s="161"/>
    </row>
    <row r="98" spans="1:68" ht="25.5">
      <c r="A98" s="210"/>
      <c r="B98" s="195" t="s">
        <v>4967</v>
      </c>
      <c r="C98" s="196" t="s">
        <v>4968</v>
      </c>
      <c r="D98" s="146" t="s">
        <v>4692</v>
      </c>
      <c r="E98" s="196" t="s">
        <v>4968</v>
      </c>
      <c r="F98" s="150">
        <v>0</v>
      </c>
      <c r="G98" s="209">
        <v>0</v>
      </c>
      <c r="H98" s="209"/>
      <c r="I98" s="209">
        <v>0</v>
      </c>
      <c r="J98" s="150">
        <v>0</v>
      </c>
      <c r="K98" s="150">
        <v>0</v>
      </c>
      <c r="L98" s="150">
        <f t="shared" si="129"/>
        <v>0</v>
      </c>
      <c r="M98" s="150">
        <v>0</v>
      </c>
      <c r="N98" s="150"/>
      <c r="O98" s="150">
        <v>0</v>
      </c>
      <c r="P98" s="150">
        <v>0</v>
      </c>
      <c r="Q98" s="150"/>
      <c r="R98" s="150">
        <f t="shared" si="155"/>
        <v>0</v>
      </c>
      <c r="S98" s="150">
        <f t="shared" si="107"/>
        <v>0</v>
      </c>
      <c r="T98" s="150"/>
      <c r="U98" s="150">
        <v>0</v>
      </c>
      <c r="V98" s="199"/>
      <c r="W98" s="150">
        <f t="shared" si="156"/>
        <v>0</v>
      </c>
      <c r="X98" s="150">
        <v>0</v>
      </c>
      <c r="Y98" s="150"/>
      <c r="Z98" s="150">
        <v>0</v>
      </c>
      <c r="AA98" s="150">
        <f t="shared" si="108"/>
        <v>0</v>
      </c>
      <c r="AB98" s="150">
        <v>0</v>
      </c>
      <c r="AC98" s="199"/>
      <c r="AD98" s="150">
        <f t="shared" si="157"/>
        <v>0</v>
      </c>
      <c r="AE98" s="150">
        <v>0</v>
      </c>
      <c r="AF98" s="169" t="s">
        <v>4680</v>
      </c>
      <c r="AG98" s="201">
        <v>0</v>
      </c>
      <c r="AH98" s="199"/>
      <c r="AI98" s="150">
        <v>0</v>
      </c>
      <c r="AJ98" s="169">
        <f t="shared" si="109"/>
        <v>0</v>
      </c>
      <c r="AK98" s="201">
        <v>0</v>
      </c>
      <c r="AL98" s="199"/>
      <c r="AM98" s="150">
        <f t="shared" si="158"/>
        <v>0</v>
      </c>
      <c r="AN98" s="153">
        <f t="shared" si="110"/>
        <v>0</v>
      </c>
      <c r="AO98" s="154">
        <f t="shared" si="111"/>
        <v>0</v>
      </c>
      <c r="AP98" s="150">
        <v>0</v>
      </c>
      <c r="AQ98" s="201">
        <v>0</v>
      </c>
      <c r="AR98" s="199"/>
      <c r="AS98" s="150">
        <f t="shared" si="159"/>
        <v>0</v>
      </c>
      <c r="AT98" s="155"/>
      <c r="AU98" s="156">
        <f t="shared" si="105"/>
        <v>0</v>
      </c>
      <c r="AV98" s="156">
        <f t="shared" si="106"/>
        <v>0</v>
      </c>
      <c r="AW98" s="157"/>
      <c r="AX98" s="150">
        <v>0</v>
      </c>
      <c r="AY98" s="150">
        <v>0</v>
      </c>
      <c r="AZ98" s="150"/>
      <c r="BA98" s="150">
        <f t="shared" si="112"/>
        <v>0</v>
      </c>
      <c r="BB98" s="210"/>
      <c r="BC98" s="210"/>
      <c r="BD98" s="210"/>
      <c r="BE98" s="210"/>
      <c r="BF98" s="210"/>
      <c r="BG98" s="210"/>
      <c r="BH98" s="217"/>
      <c r="BI98" s="210"/>
      <c r="BJ98" s="210"/>
      <c r="BK98" s="210"/>
      <c r="BL98" s="210"/>
      <c r="BM98" s="208"/>
      <c r="BN98" s="160"/>
      <c r="BO98" s="161">
        <f t="shared" si="113"/>
        <v>0</v>
      </c>
      <c r="BP98" s="161"/>
    </row>
    <row r="99" spans="1:68" ht="25.5">
      <c r="A99" s="210"/>
      <c r="B99" s="195" t="s">
        <v>4969</v>
      </c>
      <c r="C99" s="196" t="s">
        <v>4970</v>
      </c>
      <c r="D99" s="146" t="s">
        <v>4692</v>
      </c>
      <c r="E99" s="196" t="s">
        <v>4970</v>
      </c>
      <c r="F99" s="150">
        <v>0</v>
      </c>
      <c r="G99" s="209">
        <v>0</v>
      </c>
      <c r="H99" s="209"/>
      <c r="I99" s="209">
        <v>0</v>
      </c>
      <c r="J99" s="150">
        <v>0</v>
      </c>
      <c r="K99" s="150">
        <v>0</v>
      </c>
      <c r="L99" s="150">
        <f t="shared" si="129"/>
        <v>0</v>
      </c>
      <c r="M99" s="150">
        <v>0</v>
      </c>
      <c r="N99" s="150"/>
      <c r="O99" s="150">
        <v>0</v>
      </c>
      <c r="P99" s="150">
        <v>0</v>
      </c>
      <c r="Q99" s="150"/>
      <c r="R99" s="150">
        <f t="shared" si="155"/>
        <v>0</v>
      </c>
      <c r="S99" s="150">
        <f t="shared" si="107"/>
        <v>0</v>
      </c>
      <c r="T99" s="150"/>
      <c r="U99" s="150">
        <v>0</v>
      </c>
      <c r="V99" s="199"/>
      <c r="W99" s="150">
        <f t="shared" si="156"/>
        <v>0</v>
      </c>
      <c r="X99" s="150">
        <v>0</v>
      </c>
      <c r="Y99" s="150"/>
      <c r="Z99" s="150">
        <v>0</v>
      </c>
      <c r="AA99" s="150">
        <f t="shared" si="108"/>
        <v>0</v>
      </c>
      <c r="AB99" s="150">
        <v>0</v>
      </c>
      <c r="AC99" s="199"/>
      <c r="AD99" s="150">
        <f t="shared" si="157"/>
        <v>0</v>
      </c>
      <c r="AE99" s="150">
        <v>0</v>
      </c>
      <c r="AF99" s="169" t="s">
        <v>4680</v>
      </c>
      <c r="AG99" s="201">
        <v>0</v>
      </c>
      <c r="AH99" s="199"/>
      <c r="AI99" s="150">
        <v>0</v>
      </c>
      <c r="AJ99" s="169">
        <f t="shared" si="109"/>
        <v>0</v>
      </c>
      <c r="AK99" s="201">
        <v>0</v>
      </c>
      <c r="AL99" s="199"/>
      <c r="AM99" s="150">
        <f t="shared" si="158"/>
        <v>0</v>
      </c>
      <c r="AN99" s="153">
        <f t="shared" si="110"/>
        <v>0</v>
      </c>
      <c r="AO99" s="154">
        <f t="shared" si="111"/>
        <v>0</v>
      </c>
      <c r="AP99" s="150">
        <v>0</v>
      </c>
      <c r="AQ99" s="201">
        <v>0</v>
      </c>
      <c r="AR99" s="199"/>
      <c r="AS99" s="150">
        <f t="shared" si="159"/>
        <v>0</v>
      </c>
      <c r="AT99" s="155"/>
      <c r="AU99" s="156">
        <f t="shared" si="105"/>
        <v>0</v>
      </c>
      <c r="AV99" s="156">
        <f t="shared" si="106"/>
        <v>0</v>
      </c>
      <c r="AW99" s="157"/>
      <c r="AX99" s="150">
        <v>0</v>
      </c>
      <c r="AY99" s="150">
        <v>0</v>
      </c>
      <c r="AZ99" s="150"/>
      <c r="BA99" s="150">
        <f t="shared" si="112"/>
        <v>0</v>
      </c>
      <c r="BB99" s="210"/>
      <c r="BC99" s="210"/>
      <c r="BD99" s="210"/>
      <c r="BE99" s="210"/>
      <c r="BF99" s="210"/>
      <c r="BG99" s="210"/>
      <c r="BH99" s="217"/>
      <c r="BI99" s="210"/>
      <c r="BJ99" s="210"/>
      <c r="BK99" s="210"/>
      <c r="BL99" s="210"/>
      <c r="BM99" s="208"/>
      <c r="BN99" s="160"/>
      <c r="BO99" s="161">
        <f t="shared" si="113"/>
        <v>0</v>
      </c>
      <c r="BP99" s="161"/>
    </row>
    <row r="100" spans="1:68" ht="63.75">
      <c r="A100" s="194" t="s">
        <v>4929</v>
      </c>
      <c r="B100" s="195" t="s">
        <v>4971</v>
      </c>
      <c r="C100" s="196" t="s">
        <v>4972</v>
      </c>
      <c r="D100" s="146" t="s">
        <v>4692</v>
      </c>
      <c r="E100" s="196" t="s">
        <v>4972</v>
      </c>
      <c r="F100" s="150">
        <v>0</v>
      </c>
      <c r="G100" s="209">
        <v>0</v>
      </c>
      <c r="H100" s="209"/>
      <c r="I100" s="209">
        <v>0</v>
      </c>
      <c r="J100" s="150">
        <v>0</v>
      </c>
      <c r="K100" s="150">
        <v>0</v>
      </c>
      <c r="L100" s="150">
        <f t="shared" si="129"/>
        <v>0</v>
      </c>
      <c r="M100" s="150">
        <v>0</v>
      </c>
      <c r="N100" s="150"/>
      <c r="O100" s="150">
        <v>0</v>
      </c>
      <c r="P100" s="150">
        <v>0</v>
      </c>
      <c r="Q100" s="150"/>
      <c r="R100" s="150">
        <f t="shared" si="155"/>
        <v>0</v>
      </c>
      <c r="S100" s="150">
        <f t="shared" si="107"/>
        <v>0</v>
      </c>
      <c r="T100" s="150"/>
      <c r="U100" s="150">
        <v>0</v>
      </c>
      <c r="V100" s="199"/>
      <c r="W100" s="150">
        <f t="shared" si="156"/>
        <v>0</v>
      </c>
      <c r="X100" s="150">
        <v>0</v>
      </c>
      <c r="Y100" s="150"/>
      <c r="Z100" s="150">
        <v>0</v>
      </c>
      <c r="AA100" s="150">
        <f t="shared" si="108"/>
        <v>0</v>
      </c>
      <c r="AB100" s="150">
        <v>0</v>
      </c>
      <c r="AC100" s="199"/>
      <c r="AD100" s="150">
        <f t="shared" si="157"/>
        <v>0</v>
      </c>
      <c r="AE100" s="150">
        <v>0</v>
      </c>
      <c r="AF100" s="169" t="s">
        <v>4680</v>
      </c>
      <c r="AG100" s="201">
        <v>0</v>
      </c>
      <c r="AH100" s="199"/>
      <c r="AI100" s="150">
        <v>0</v>
      </c>
      <c r="AJ100" s="169">
        <f t="shared" si="109"/>
        <v>0</v>
      </c>
      <c r="AK100" s="201">
        <v>0</v>
      </c>
      <c r="AL100" s="199"/>
      <c r="AM100" s="150">
        <f t="shared" si="158"/>
        <v>0</v>
      </c>
      <c r="AN100" s="153">
        <f t="shared" si="110"/>
        <v>0</v>
      </c>
      <c r="AO100" s="154">
        <f t="shared" si="111"/>
        <v>0</v>
      </c>
      <c r="AP100" s="150">
        <v>0</v>
      </c>
      <c r="AQ100" s="201">
        <v>0</v>
      </c>
      <c r="AR100" s="199"/>
      <c r="AS100" s="150">
        <f t="shared" si="159"/>
        <v>0</v>
      </c>
      <c r="AT100" s="155"/>
      <c r="AU100" s="156">
        <f t="shared" si="105"/>
        <v>0</v>
      </c>
      <c r="AV100" s="156">
        <f t="shared" si="106"/>
        <v>0</v>
      </c>
      <c r="AW100" s="157"/>
      <c r="AX100" s="150">
        <v>0</v>
      </c>
      <c r="AY100" s="150">
        <v>0</v>
      </c>
      <c r="AZ100" s="150"/>
      <c r="BA100" s="150">
        <f t="shared" si="112"/>
        <v>0</v>
      </c>
      <c r="BB100" s="202">
        <v>4</v>
      </c>
      <c r="BC100" s="202" t="s">
        <v>671</v>
      </c>
      <c r="BD100" s="202" t="s">
        <v>632</v>
      </c>
      <c r="BE100" s="202" t="s">
        <v>632</v>
      </c>
      <c r="BF100" s="202" t="s">
        <v>671</v>
      </c>
      <c r="BG100" s="203" t="s">
        <v>4972</v>
      </c>
      <c r="BH100" s="216">
        <f t="shared" ref="BH100:BH108" si="160">AS100</f>
        <v>0</v>
      </c>
      <c r="BI100" s="202"/>
      <c r="BJ100" s="194" t="s">
        <v>4930</v>
      </c>
      <c r="BK100" s="194" t="s">
        <v>4929</v>
      </c>
      <c r="BL100" s="207" t="s">
        <v>4931</v>
      </c>
      <c r="BM100" s="208">
        <f t="shared" ref="BM100:BM108" si="161">BH100</f>
        <v>0</v>
      </c>
      <c r="BN100" s="160"/>
      <c r="BO100" s="161">
        <f t="shared" si="113"/>
        <v>0</v>
      </c>
      <c r="BP100" s="161"/>
    </row>
    <row r="101" spans="1:68" ht="63.75">
      <c r="A101" s="194" t="s">
        <v>4929</v>
      </c>
      <c r="B101" s="195" t="s">
        <v>4973</v>
      </c>
      <c r="C101" s="196" t="s">
        <v>4974</v>
      </c>
      <c r="D101" s="146" t="s">
        <v>4692</v>
      </c>
      <c r="E101" s="196" t="s">
        <v>4974</v>
      </c>
      <c r="F101" s="150">
        <v>0</v>
      </c>
      <c r="G101" s="209">
        <v>0</v>
      </c>
      <c r="H101" s="209"/>
      <c r="I101" s="209">
        <v>0</v>
      </c>
      <c r="J101" s="150">
        <v>0</v>
      </c>
      <c r="K101" s="150">
        <v>0</v>
      </c>
      <c r="L101" s="150">
        <f t="shared" si="129"/>
        <v>0</v>
      </c>
      <c r="M101" s="150">
        <v>0</v>
      </c>
      <c r="N101" s="150"/>
      <c r="O101" s="150">
        <v>0</v>
      </c>
      <c r="P101" s="150">
        <v>0</v>
      </c>
      <c r="Q101" s="150"/>
      <c r="R101" s="150">
        <f t="shared" si="155"/>
        <v>0</v>
      </c>
      <c r="S101" s="150">
        <f t="shared" si="107"/>
        <v>0</v>
      </c>
      <c r="T101" s="150"/>
      <c r="U101" s="150">
        <v>0</v>
      </c>
      <c r="V101" s="199"/>
      <c r="W101" s="150">
        <f t="shared" si="156"/>
        <v>0</v>
      </c>
      <c r="X101" s="150">
        <v>0</v>
      </c>
      <c r="Y101" s="150"/>
      <c r="Z101" s="150">
        <v>0</v>
      </c>
      <c r="AA101" s="150">
        <f t="shared" si="108"/>
        <v>0</v>
      </c>
      <c r="AB101" s="150">
        <v>0</v>
      </c>
      <c r="AC101" s="199"/>
      <c r="AD101" s="150">
        <f t="shared" si="157"/>
        <v>0</v>
      </c>
      <c r="AE101" s="150">
        <v>0</v>
      </c>
      <c r="AF101" s="169" t="s">
        <v>4680</v>
      </c>
      <c r="AG101" s="201">
        <v>0</v>
      </c>
      <c r="AH101" s="199"/>
      <c r="AI101" s="150">
        <v>0</v>
      </c>
      <c r="AJ101" s="169">
        <f t="shared" si="109"/>
        <v>0</v>
      </c>
      <c r="AK101" s="201">
        <v>0</v>
      </c>
      <c r="AL101" s="199"/>
      <c r="AM101" s="150">
        <f t="shared" si="158"/>
        <v>0</v>
      </c>
      <c r="AN101" s="153">
        <f t="shared" si="110"/>
        <v>0</v>
      </c>
      <c r="AO101" s="154">
        <f t="shared" si="111"/>
        <v>0</v>
      </c>
      <c r="AP101" s="150">
        <v>0</v>
      </c>
      <c r="AQ101" s="201">
        <v>0</v>
      </c>
      <c r="AR101" s="199"/>
      <c r="AS101" s="150">
        <f t="shared" si="159"/>
        <v>0</v>
      </c>
      <c r="AT101" s="155"/>
      <c r="AU101" s="156">
        <f t="shared" si="105"/>
        <v>0</v>
      </c>
      <c r="AV101" s="156">
        <f t="shared" si="106"/>
        <v>0</v>
      </c>
      <c r="AW101" s="157"/>
      <c r="AX101" s="150">
        <v>0</v>
      </c>
      <c r="AY101" s="150">
        <v>0</v>
      </c>
      <c r="AZ101" s="150"/>
      <c r="BA101" s="150">
        <f t="shared" si="112"/>
        <v>0</v>
      </c>
      <c r="BB101" s="202">
        <v>4</v>
      </c>
      <c r="BC101" s="202" t="s">
        <v>671</v>
      </c>
      <c r="BD101" s="202" t="s">
        <v>632</v>
      </c>
      <c r="BE101" s="202" t="s">
        <v>632</v>
      </c>
      <c r="BF101" s="202" t="s">
        <v>693</v>
      </c>
      <c r="BG101" s="203" t="s">
        <v>4974</v>
      </c>
      <c r="BH101" s="216">
        <f t="shared" si="160"/>
        <v>0</v>
      </c>
      <c r="BI101" s="202"/>
      <c r="BJ101" s="194" t="s">
        <v>4930</v>
      </c>
      <c r="BK101" s="194" t="s">
        <v>4929</v>
      </c>
      <c r="BL101" s="207" t="s">
        <v>4931</v>
      </c>
      <c r="BM101" s="208">
        <f t="shared" si="161"/>
        <v>0</v>
      </c>
      <c r="BN101" s="160"/>
      <c r="BO101" s="161">
        <f t="shared" si="113"/>
        <v>0</v>
      </c>
      <c r="BP101" s="161"/>
    </row>
    <row r="102" spans="1:68" ht="63.75">
      <c r="A102" s="194" t="s">
        <v>4929</v>
      </c>
      <c r="B102" s="195" t="s">
        <v>4975</v>
      </c>
      <c r="C102" s="196" t="s">
        <v>4976</v>
      </c>
      <c r="D102" s="146" t="s">
        <v>4692</v>
      </c>
      <c r="E102" s="196" t="s">
        <v>4976</v>
      </c>
      <c r="F102" s="150">
        <v>0</v>
      </c>
      <c r="G102" s="209">
        <v>0</v>
      </c>
      <c r="H102" s="209"/>
      <c r="I102" s="209">
        <v>0</v>
      </c>
      <c r="J102" s="150">
        <v>0</v>
      </c>
      <c r="K102" s="150">
        <v>0</v>
      </c>
      <c r="L102" s="150">
        <f t="shared" si="129"/>
        <v>0</v>
      </c>
      <c r="M102" s="150">
        <v>0</v>
      </c>
      <c r="N102" s="150"/>
      <c r="O102" s="150">
        <v>0</v>
      </c>
      <c r="P102" s="150">
        <v>0</v>
      </c>
      <c r="Q102" s="150"/>
      <c r="R102" s="150">
        <f t="shared" si="155"/>
        <v>0</v>
      </c>
      <c r="S102" s="150">
        <f t="shared" si="107"/>
        <v>0</v>
      </c>
      <c r="T102" s="150"/>
      <c r="U102" s="150">
        <v>0</v>
      </c>
      <c r="V102" s="199"/>
      <c r="W102" s="150">
        <f t="shared" si="156"/>
        <v>0</v>
      </c>
      <c r="X102" s="150">
        <v>0</v>
      </c>
      <c r="Y102" s="150"/>
      <c r="Z102" s="150">
        <v>0</v>
      </c>
      <c r="AA102" s="150">
        <f t="shared" si="108"/>
        <v>0</v>
      </c>
      <c r="AB102" s="150">
        <v>0</v>
      </c>
      <c r="AC102" s="199"/>
      <c r="AD102" s="150">
        <f t="shared" si="157"/>
        <v>0</v>
      </c>
      <c r="AE102" s="150">
        <v>0</v>
      </c>
      <c r="AF102" s="169" t="s">
        <v>4680</v>
      </c>
      <c r="AG102" s="201">
        <v>0</v>
      </c>
      <c r="AH102" s="199"/>
      <c r="AI102" s="150">
        <v>0</v>
      </c>
      <c r="AJ102" s="169">
        <f t="shared" si="109"/>
        <v>0</v>
      </c>
      <c r="AK102" s="201">
        <v>0</v>
      </c>
      <c r="AL102" s="199"/>
      <c r="AM102" s="150">
        <f t="shared" si="158"/>
        <v>0</v>
      </c>
      <c r="AN102" s="153">
        <f t="shared" si="110"/>
        <v>0</v>
      </c>
      <c r="AO102" s="154">
        <f t="shared" si="111"/>
        <v>0</v>
      </c>
      <c r="AP102" s="150">
        <v>0</v>
      </c>
      <c r="AQ102" s="201">
        <v>0</v>
      </c>
      <c r="AR102" s="199"/>
      <c r="AS102" s="150">
        <f t="shared" si="159"/>
        <v>0</v>
      </c>
      <c r="AT102" s="155"/>
      <c r="AU102" s="156">
        <f t="shared" si="105"/>
        <v>0</v>
      </c>
      <c r="AV102" s="156">
        <f t="shared" si="106"/>
        <v>0</v>
      </c>
      <c r="AW102" s="157"/>
      <c r="AX102" s="150">
        <v>0</v>
      </c>
      <c r="AY102" s="150">
        <v>0</v>
      </c>
      <c r="AZ102" s="150"/>
      <c r="BA102" s="150">
        <f t="shared" si="112"/>
        <v>0</v>
      </c>
      <c r="BB102" s="202">
        <v>4</v>
      </c>
      <c r="BC102" s="202" t="s">
        <v>671</v>
      </c>
      <c r="BD102" s="202" t="s">
        <v>632</v>
      </c>
      <c r="BE102" s="202" t="s">
        <v>632</v>
      </c>
      <c r="BF102" s="202" t="s">
        <v>714</v>
      </c>
      <c r="BG102" s="203" t="s">
        <v>4976</v>
      </c>
      <c r="BH102" s="216">
        <f t="shared" si="160"/>
        <v>0</v>
      </c>
      <c r="BI102" s="202"/>
      <c r="BJ102" s="194" t="s">
        <v>4930</v>
      </c>
      <c r="BK102" s="194" t="s">
        <v>4929</v>
      </c>
      <c r="BL102" s="207" t="s">
        <v>4931</v>
      </c>
      <c r="BM102" s="208">
        <f t="shared" si="161"/>
        <v>0</v>
      </c>
      <c r="BN102" s="160"/>
      <c r="BO102" s="161">
        <f t="shared" si="113"/>
        <v>0</v>
      </c>
      <c r="BP102" s="161"/>
    </row>
    <row r="103" spans="1:68" ht="63.75">
      <c r="A103" s="194" t="s">
        <v>4929</v>
      </c>
      <c r="B103" s="195" t="s">
        <v>4977</v>
      </c>
      <c r="C103" s="196" t="s">
        <v>4978</v>
      </c>
      <c r="D103" s="146" t="s">
        <v>4692</v>
      </c>
      <c r="E103" s="196" t="s">
        <v>4978</v>
      </c>
      <c r="F103" s="150">
        <v>0</v>
      </c>
      <c r="G103" s="209">
        <v>0</v>
      </c>
      <c r="H103" s="209"/>
      <c r="I103" s="209">
        <v>0</v>
      </c>
      <c r="J103" s="150">
        <v>0</v>
      </c>
      <c r="K103" s="150">
        <v>0</v>
      </c>
      <c r="L103" s="150">
        <f t="shared" si="129"/>
        <v>0</v>
      </c>
      <c r="M103" s="150">
        <v>0</v>
      </c>
      <c r="N103" s="150"/>
      <c r="O103" s="150">
        <v>0</v>
      </c>
      <c r="P103" s="150">
        <v>0</v>
      </c>
      <c r="Q103" s="150"/>
      <c r="R103" s="150">
        <f t="shared" si="155"/>
        <v>0</v>
      </c>
      <c r="S103" s="150">
        <f t="shared" si="107"/>
        <v>0</v>
      </c>
      <c r="T103" s="150"/>
      <c r="U103" s="150">
        <v>0</v>
      </c>
      <c r="V103" s="199"/>
      <c r="W103" s="150">
        <f t="shared" si="156"/>
        <v>0</v>
      </c>
      <c r="X103" s="150">
        <v>0</v>
      </c>
      <c r="Y103" s="150"/>
      <c r="Z103" s="150">
        <v>0</v>
      </c>
      <c r="AA103" s="150">
        <f t="shared" si="108"/>
        <v>0</v>
      </c>
      <c r="AB103" s="150">
        <v>0</v>
      </c>
      <c r="AC103" s="199"/>
      <c r="AD103" s="150">
        <f t="shared" si="157"/>
        <v>0</v>
      </c>
      <c r="AE103" s="150">
        <v>0</v>
      </c>
      <c r="AF103" s="169" t="s">
        <v>4680</v>
      </c>
      <c r="AG103" s="201">
        <v>0</v>
      </c>
      <c r="AH103" s="199"/>
      <c r="AI103" s="150">
        <v>0</v>
      </c>
      <c r="AJ103" s="169">
        <f t="shared" si="109"/>
        <v>0</v>
      </c>
      <c r="AK103" s="201">
        <v>0</v>
      </c>
      <c r="AL103" s="199"/>
      <c r="AM103" s="150">
        <f t="shared" si="158"/>
        <v>0</v>
      </c>
      <c r="AN103" s="153">
        <f t="shared" si="110"/>
        <v>0</v>
      </c>
      <c r="AO103" s="154">
        <f t="shared" si="111"/>
        <v>0</v>
      </c>
      <c r="AP103" s="150">
        <v>0</v>
      </c>
      <c r="AQ103" s="201">
        <v>0</v>
      </c>
      <c r="AR103" s="199"/>
      <c r="AS103" s="150">
        <f t="shared" si="159"/>
        <v>0</v>
      </c>
      <c r="AT103" s="155"/>
      <c r="AU103" s="156">
        <f t="shared" si="105"/>
        <v>0</v>
      </c>
      <c r="AV103" s="156">
        <f t="shared" si="106"/>
        <v>0</v>
      </c>
      <c r="AW103" s="157"/>
      <c r="AX103" s="150">
        <v>0</v>
      </c>
      <c r="AY103" s="150">
        <v>0</v>
      </c>
      <c r="AZ103" s="150"/>
      <c r="BA103" s="150">
        <f t="shared" si="112"/>
        <v>0</v>
      </c>
      <c r="BB103" s="202">
        <v>4</v>
      </c>
      <c r="BC103" s="202" t="s">
        <v>671</v>
      </c>
      <c r="BD103" s="202" t="s">
        <v>632</v>
      </c>
      <c r="BE103" s="202" t="s">
        <v>632</v>
      </c>
      <c r="BF103" s="202" t="s">
        <v>739</v>
      </c>
      <c r="BG103" s="203" t="s">
        <v>4978</v>
      </c>
      <c r="BH103" s="216">
        <f t="shared" si="160"/>
        <v>0</v>
      </c>
      <c r="BI103" s="202"/>
      <c r="BJ103" s="194" t="s">
        <v>4930</v>
      </c>
      <c r="BK103" s="194" t="s">
        <v>4929</v>
      </c>
      <c r="BL103" s="207" t="s">
        <v>4931</v>
      </c>
      <c r="BM103" s="208">
        <f t="shared" si="161"/>
        <v>0</v>
      </c>
      <c r="BN103" s="160"/>
      <c r="BO103" s="161">
        <f t="shared" si="113"/>
        <v>0</v>
      </c>
      <c r="BP103" s="161"/>
    </row>
    <row r="104" spans="1:68" ht="63.75">
      <c r="A104" s="194" t="s">
        <v>4929</v>
      </c>
      <c r="B104" s="195" t="s">
        <v>4979</v>
      </c>
      <c r="C104" s="196" t="s">
        <v>4980</v>
      </c>
      <c r="D104" s="146" t="s">
        <v>4692</v>
      </c>
      <c r="E104" s="196" t="s">
        <v>4980</v>
      </c>
      <c r="F104" s="150">
        <v>0</v>
      </c>
      <c r="G104" s="209">
        <v>0</v>
      </c>
      <c r="H104" s="209"/>
      <c r="I104" s="209">
        <v>0</v>
      </c>
      <c r="J104" s="150">
        <v>0</v>
      </c>
      <c r="K104" s="150">
        <v>0</v>
      </c>
      <c r="L104" s="150">
        <f t="shared" si="129"/>
        <v>0</v>
      </c>
      <c r="M104" s="150">
        <v>0</v>
      </c>
      <c r="N104" s="150"/>
      <c r="O104" s="150">
        <v>0</v>
      </c>
      <c r="P104" s="150">
        <v>0</v>
      </c>
      <c r="Q104" s="150"/>
      <c r="R104" s="150">
        <f t="shared" si="155"/>
        <v>0</v>
      </c>
      <c r="S104" s="150">
        <f t="shared" si="107"/>
        <v>0</v>
      </c>
      <c r="T104" s="150"/>
      <c r="U104" s="150">
        <v>0</v>
      </c>
      <c r="V104" s="199"/>
      <c r="W104" s="150">
        <f t="shared" si="156"/>
        <v>0</v>
      </c>
      <c r="X104" s="150">
        <v>0</v>
      </c>
      <c r="Y104" s="150"/>
      <c r="Z104" s="150">
        <v>0</v>
      </c>
      <c r="AA104" s="150">
        <f t="shared" si="108"/>
        <v>0</v>
      </c>
      <c r="AB104" s="150">
        <v>0</v>
      </c>
      <c r="AC104" s="199"/>
      <c r="AD104" s="150">
        <f t="shared" si="157"/>
        <v>0</v>
      </c>
      <c r="AE104" s="150">
        <v>0</v>
      </c>
      <c r="AF104" s="169" t="s">
        <v>4680</v>
      </c>
      <c r="AG104" s="201">
        <v>0</v>
      </c>
      <c r="AH104" s="199"/>
      <c r="AI104" s="150">
        <v>0</v>
      </c>
      <c r="AJ104" s="169">
        <f t="shared" si="109"/>
        <v>0</v>
      </c>
      <c r="AK104" s="201">
        <v>0</v>
      </c>
      <c r="AL104" s="199"/>
      <c r="AM104" s="150">
        <f t="shared" si="158"/>
        <v>0</v>
      </c>
      <c r="AN104" s="153">
        <f t="shared" si="110"/>
        <v>0</v>
      </c>
      <c r="AO104" s="154">
        <f t="shared" si="111"/>
        <v>0</v>
      </c>
      <c r="AP104" s="150">
        <v>0</v>
      </c>
      <c r="AQ104" s="201">
        <v>0</v>
      </c>
      <c r="AR104" s="199"/>
      <c r="AS104" s="150">
        <f t="shared" si="159"/>
        <v>0</v>
      </c>
      <c r="AT104" s="155"/>
      <c r="AU104" s="156">
        <f t="shared" si="105"/>
        <v>0</v>
      </c>
      <c r="AV104" s="156">
        <f t="shared" si="106"/>
        <v>0</v>
      </c>
      <c r="AW104" s="157"/>
      <c r="AX104" s="150">
        <v>0</v>
      </c>
      <c r="AY104" s="150">
        <v>0</v>
      </c>
      <c r="AZ104" s="150"/>
      <c r="BA104" s="150">
        <f t="shared" si="112"/>
        <v>0</v>
      </c>
      <c r="BB104" s="202">
        <v>4</v>
      </c>
      <c r="BC104" s="202" t="s">
        <v>671</v>
      </c>
      <c r="BD104" s="202" t="s">
        <v>632</v>
      </c>
      <c r="BE104" s="202" t="s">
        <v>632</v>
      </c>
      <c r="BF104" s="202" t="s">
        <v>755</v>
      </c>
      <c r="BG104" s="203" t="s">
        <v>4980</v>
      </c>
      <c r="BH104" s="216">
        <f t="shared" si="160"/>
        <v>0</v>
      </c>
      <c r="BI104" s="202"/>
      <c r="BJ104" s="194" t="s">
        <v>4930</v>
      </c>
      <c r="BK104" s="194" t="s">
        <v>4929</v>
      </c>
      <c r="BL104" s="207" t="s">
        <v>4931</v>
      </c>
      <c r="BM104" s="208">
        <f t="shared" si="161"/>
        <v>0</v>
      </c>
      <c r="BN104" s="160"/>
      <c r="BO104" s="161">
        <f t="shared" si="113"/>
        <v>0</v>
      </c>
      <c r="BP104" s="161"/>
    </row>
    <row r="105" spans="1:68" ht="63.75">
      <c r="A105" s="194" t="s">
        <v>4929</v>
      </c>
      <c r="B105" s="195" t="s">
        <v>4981</v>
      </c>
      <c r="C105" s="196" t="s">
        <v>4982</v>
      </c>
      <c r="D105" s="146" t="s">
        <v>4692</v>
      </c>
      <c r="E105" s="203" t="s">
        <v>4982</v>
      </c>
      <c r="F105" s="150">
        <v>0</v>
      </c>
      <c r="G105" s="242">
        <v>0</v>
      </c>
      <c r="H105" s="242"/>
      <c r="I105" s="242">
        <v>0</v>
      </c>
      <c r="J105" s="150">
        <v>0</v>
      </c>
      <c r="K105" s="150">
        <v>0</v>
      </c>
      <c r="L105" s="150">
        <f t="shared" si="129"/>
        <v>0</v>
      </c>
      <c r="M105" s="150">
        <v>0</v>
      </c>
      <c r="N105" s="150"/>
      <c r="O105" s="150">
        <v>0</v>
      </c>
      <c r="P105" s="150">
        <v>0</v>
      </c>
      <c r="Q105" s="150"/>
      <c r="R105" s="150">
        <f t="shared" si="155"/>
        <v>0</v>
      </c>
      <c r="S105" s="150">
        <f t="shared" si="107"/>
        <v>0</v>
      </c>
      <c r="T105" s="150"/>
      <c r="U105" s="150">
        <v>0</v>
      </c>
      <c r="V105" s="199"/>
      <c r="W105" s="150">
        <f t="shared" si="156"/>
        <v>0</v>
      </c>
      <c r="X105" s="150">
        <v>0</v>
      </c>
      <c r="Y105" s="150"/>
      <c r="Z105" s="150">
        <v>0</v>
      </c>
      <c r="AA105" s="150">
        <f t="shared" si="108"/>
        <v>0</v>
      </c>
      <c r="AB105" s="150">
        <v>0</v>
      </c>
      <c r="AC105" s="199"/>
      <c r="AD105" s="150">
        <f t="shared" si="157"/>
        <v>0</v>
      </c>
      <c r="AE105" s="150">
        <v>0</v>
      </c>
      <c r="AF105" s="169" t="s">
        <v>4680</v>
      </c>
      <c r="AG105" s="201">
        <v>0</v>
      </c>
      <c r="AH105" s="199"/>
      <c r="AI105" s="150">
        <v>0</v>
      </c>
      <c r="AJ105" s="169">
        <f t="shared" si="109"/>
        <v>0</v>
      </c>
      <c r="AK105" s="201">
        <v>0</v>
      </c>
      <c r="AL105" s="199"/>
      <c r="AM105" s="150">
        <f t="shared" si="158"/>
        <v>0</v>
      </c>
      <c r="AN105" s="153">
        <f t="shared" si="110"/>
        <v>0</v>
      </c>
      <c r="AO105" s="154">
        <f t="shared" si="111"/>
        <v>0</v>
      </c>
      <c r="AP105" s="150">
        <v>0</v>
      </c>
      <c r="AQ105" s="201">
        <v>0</v>
      </c>
      <c r="AR105" s="199"/>
      <c r="AS105" s="150">
        <f t="shared" si="159"/>
        <v>0</v>
      </c>
      <c r="AT105" s="155"/>
      <c r="AU105" s="156">
        <f t="shared" si="105"/>
        <v>0</v>
      </c>
      <c r="AV105" s="156">
        <f t="shared" si="106"/>
        <v>0</v>
      </c>
      <c r="AW105" s="157"/>
      <c r="AX105" s="150">
        <v>0</v>
      </c>
      <c r="AY105" s="150">
        <v>0</v>
      </c>
      <c r="AZ105" s="150"/>
      <c r="BA105" s="150">
        <f t="shared" si="112"/>
        <v>0</v>
      </c>
      <c r="BB105" s="202">
        <v>4</v>
      </c>
      <c r="BC105" s="202" t="s">
        <v>671</v>
      </c>
      <c r="BD105" s="202" t="s">
        <v>632</v>
      </c>
      <c r="BE105" s="202" t="s">
        <v>632</v>
      </c>
      <c r="BF105" s="202" t="s">
        <v>1225</v>
      </c>
      <c r="BG105" s="203" t="s">
        <v>4982</v>
      </c>
      <c r="BH105" s="216">
        <f t="shared" si="160"/>
        <v>0</v>
      </c>
      <c r="BI105" s="202"/>
      <c r="BJ105" s="194" t="s">
        <v>4930</v>
      </c>
      <c r="BK105" s="194" t="s">
        <v>4929</v>
      </c>
      <c r="BL105" s="207" t="s">
        <v>4931</v>
      </c>
      <c r="BM105" s="208">
        <f t="shared" si="161"/>
        <v>0</v>
      </c>
      <c r="BN105" s="160"/>
      <c r="BO105" s="161">
        <f t="shared" si="113"/>
        <v>0</v>
      </c>
      <c r="BP105" s="161"/>
    </row>
    <row r="106" spans="1:68" ht="63.75">
      <c r="A106" s="194" t="s">
        <v>4929</v>
      </c>
      <c r="B106" s="195" t="s">
        <v>4983</v>
      </c>
      <c r="C106" s="196" t="s">
        <v>4984</v>
      </c>
      <c r="D106" s="146" t="s">
        <v>4692</v>
      </c>
      <c r="E106" s="196" t="s">
        <v>4984</v>
      </c>
      <c r="F106" s="150">
        <v>0</v>
      </c>
      <c r="G106" s="209">
        <v>0</v>
      </c>
      <c r="H106" s="209"/>
      <c r="I106" s="209">
        <v>0</v>
      </c>
      <c r="J106" s="150">
        <v>0</v>
      </c>
      <c r="K106" s="150">
        <v>0</v>
      </c>
      <c r="L106" s="150">
        <f t="shared" si="129"/>
        <v>0</v>
      </c>
      <c r="M106" s="150">
        <v>0</v>
      </c>
      <c r="N106" s="150"/>
      <c r="O106" s="150">
        <v>0</v>
      </c>
      <c r="P106" s="150">
        <v>0</v>
      </c>
      <c r="Q106" s="150"/>
      <c r="R106" s="150">
        <f t="shared" si="155"/>
        <v>0</v>
      </c>
      <c r="S106" s="150">
        <f t="shared" si="107"/>
        <v>0</v>
      </c>
      <c r="T106" s="150"/>
      <c r="U106" s="150">
        <v>0</v>
      </c>
      <c r="V106" s="199"/>
      <c r="W106" s="150">
        <f t="shared" si="156"/>
        <v>0</v>
      </c>
      <c r="X106" s="150">
        <v>0</v>
      </c>
      <c r="Y106" s="150"/>
      <c r="Z106" s="150">
        <v>0</v>
      </c>
      <c r="AA106" s="150">
        <f t="shared" si="108"/>
        <v>0</v>
      </c>
      <c r="AB106" s="150">
        <v>0</v>
      </c>
      <c r="AC106" s="199"/>
      <c r="AD106" s="150">
        <f t="shared" si="157"/>
        <v>0</v>
      </c>
      <c r="AE106" s="150">
        <v>0</v>
      </c>
      <c r="AF106" s="169" t="s">
        <v>4680</v>
      </c>
      <c r="AG106" s="201">
        <v>0</v>
      </c>
      <c r="AH106" s="199"/>
      <c r="AI106" s="150">
        <v>0</v>
      </c>
      <c r="AJ106" s="169">
        <f t="shared" si="109"/>
        <v>0</v>
      </c>
      <c r="AK106" s="201">
        <v>0</v>
      </c>
      <c r="AL106" s="199"/>
      <c r="AM106" s="150">
        <f t="shared" si="158"/>
        <v>0</v>
      </c>
      <c r="AN106" s="153">
        <f t="shared" si="110"/>
        <v>0</v>
      </c>
      <c r="AO106" s="154">
        <f t="shared" si="111"/>
        <v>0</v>
      </c>
      <c r="AP106" s="150">
        <v>0</v>
      </c>
      <c r="AQ106" s="201">
        <v>0</v>
      </c>
      <c r="AR106" s="199"/>
      <c r="AS106" s="150">
        <f t="shared" si="159"/>
        <v>0</v>
      </c>
      <c r="AT106" s="155"/>
      <c r="AU106" s="156">
        <f t="shared" si="105"/>
        <v>0</v>
      </c>
      <c r="AV106" s="156">
        <f t="shared" si="106"/>
        <v>0</v>
      </c>
      <c r="AW106" s="157"/>
      <c r="AX106" s="150">
        <v>0</v>
      </c>
      <c r="AY106" s="150">
        <v>0</v>
      </c>
      <c r="AZ106" s="150"/>
      <c r="BA106" s="150">
        <f t="shared" si="112"/>
        <v>0</v>
      </c>
      <c r="BB106" s="202">
        <v>4</v>
      </c>
      <c r="BC106" s="202" t="s">
        <v>671</v>
      </c>
      <c r="BD106" s="202" t="s">
        <v>632</v>
      </c>
      <c r="BE106" s="202" t="s">
        <v>632</v>
      </c>
      <c r="BF106" s="202" t="s">
        <v>1229</v>
      </c>
      <c r="BG106" s="203" t="s">
        <v>4984</v>
      </c>
      <c r="BH106" s="216">
        <f t="shared" si="160"/>
        <v>0</v>
      </c>
      <c r="BI106" s="202"/>
      <c r="BJ106" s="194" t="s">
        <v>4930</v>
      </c>
      <c r="BK106" s="194" t="s">
        <v>4929</v>
      </c>
      <c r="BL106" s="207" t="s">
        <v>4931</v>
      </c>
      <c r="BM106" s="208">
        <f t="shared" si="161"/>
        <v>0</v>
      </c>
      <c r="BN106" s="160"/>
      <c r="BO106" s="161">
        <f t="shared" si="113"/>
        <v>0</v>
      </c>
      <c r="BP106" s="161"/>
    </row>
    <row r="107" spans="1:68" ht="63.75">
      <c r="A107" s="194" t="s">
        <v>4929</v>
      </c>
      <c r="B107" s="195" t="s">
        <v>4985</v>
      </c>
      <c r="C107" s="196" t="s">
        <v>4986</v>
      </c>
      <c r="D107" s="146" t="s">
        <v>4692</v>
      </c>
      <c r="E107" s="196" t="s">
        <v>4986</v>
      </c>
      <c r="F107" s="150">
        <v>0</v>
      </c>
      <c r="G107" s="209">
        <v>0</v>
      </c>
      <c r="H107" s="209"/>
      <c r="I107" s="209">
        <v>0</v>
      </c>
      <c r="J107" s="150">
        <v>0</v>
      </c>
      <c r="K107" s="150">
        <v>0</v>
      </c>
      <c r="L107" s="150">
        <f t="shared" si="129"/>
        <v>0</v>
      </c>
      <c r="M107" s="150">
        <v>0</v>
      </c>
      <c r="N107" s="150"/>
      <c r="O107" s="150">
        <v>0</v>
      </c>
      <c r="P107" s="150">
        <v>0</v>
      </c>
      <c r="Q107" s="150"/>
      <c r="R107" s="150">
        <f t="shared" si="155"/>
        <v>0</v>
      </c>
      <c r="S107" s="150">
        <f t="shared" si="107"/>
        <v>0</v>
      </c>
      <c r="T107" s="150"/>
      <c r="U107" s="150">
        <v>0</v>
      </c>
      <c r="V107" s="199"/>
      <c r="W107" s="150">
        <f t="shared" si="156"/>
        <v>0</v>
      </c>
      <c r="X107" s="150">
        <v>0</v>
      </c>
      <c r="Y107" s="150"/>
      <c r="Z107" s="150">
        <v>0</v>
      </c>
      <c r="AA107" s="150">
        <f t="shared" si="108"/>
        <v>0</v>
      </c>
      <c r="AB107" s="150">
        <v>0</v>
      </c>
      <c r="AC107" s="199"/>
      <c r="AD107" s="150">
        <f t="shared" si="157"/>
        <v>0</v>
      </c>
      <c r="AE107" s="150">
        <v>0</v>
      </c>
      <c r="AF107" s="169" t="s">
        <v>4680</v>
      </c>
      <c r="AG107" s="201">
        <v>0</v>
      </c>
      <c r="AH107" s="199"/>
      <c r="AI107" s="150">
        <v>0</v>
      </c>
      <c r="AJ107" s="169">
        <f t="shared" si="109"/>
        <v>0</v>
      </c>
      <c r="AK107" s="201">
        <v>0</v>
      </c>
      <c r="AL107" s="199"/>
      <c r="AM107" s="150">
        <f t="shared" si="158"/>
        <v>0</v>
      </c>
      <c r="AN107" s="153">
        <f t="shared" si="110"/>
        <v>0</v>
      </c>
      <c r="AO107" s="154">
        <f t="shared" si="111"/>
        <v>0</v>
      </c>
      <c r="AP107" s="150">
        <v>0</v>
      </c>
      <c r="AQ107" s="201">
        <v>0</v>
      </c>
      <c r="AR107" s="199"/>
      <c r="AS107" s="150">
        <f t="shared" si="159"/>
        <v>0</v>
      </c>
      <c r="AT107" s="155"/>
      <c r="AU107" s="156">
        <f t="shared" si="105"/>
        <v>0</v>
      </c>
      <c r="AV107" s="156">
        <f t="shared" si="106"/>
        <v>0</v>
      </c>
      <c r="AW107" s="157"/>
      <c r="AX107" s="150">
        <v>0</v>
      </c>
      <c r="AY107" s="150">
        <v>0</v>
      </c>
      <c r="AZ107" s="150"/>
      <c r="BA107" s="150">
        <f t="shared" si="112"/>
        <v>0</v>
      </c>
      <c r="BB107" s="202">
        <v>4</v>
      </c>
      <c r="BC107" s="202" t="s">
        <v>671</v>
      </c>
      <c r="BD107" s="202" t="s">
        <v>632</v>
      </c>
      <c r="BE107" s="202" t="s">
        <v>632</v>
      </c>
      <c r="BF107" s="202" t="s">
        <v>1243</v>
      </c>
      <c r="BG107" s="203" t="s">
        <v>4986</v>
      </c>
      <c r="BH107" s="216">
        <f t="shared" si="160"/>
        <v>0</v>
      </c>
      <c r="BI107" s="202"/>
      <c r="BJ107" s="194" t="s">
        <v>4930</v>
      </c>
      <c r="BK107" s="194" t="s">
        <v>4929</v>
      </c>
      <c r="BL107" s="207" t="s">
        <v>4931</v>
      </c>
      <c r="BM107" s="208">
        <f t="shared" si="161"/>
        <v>0</v>
      </c>
      <c r="BN107" s="160"/>
      <c r="BO107" s="161">
        <f t="shared" si="113"/>
        <v>0</v>
      </c>
      <c r="BP107" s="161"/>
    </row>
    <row r="108" spans="1:68" ht="63.75">
      <c r="A108" s="194" t="s">
        <v>4929</v>
      </c>
      <c r="B108" s="195" t="s">
        <v>4987</v>
      </c>
      <c r="C108" s="196" t="s">
        <v>4988</v>
      </c>
      <c r="D108" s="146" t="s">
        <v>4692</v>
      </c>
      <c r="E108" s="196" t="s">
        <v>4988</v>
      </c>
      <c r="F108" s="150">
        <v>12000</v>
      </c>
      <c r="G108" s="209">
        <v>0</v>
      </c>
      <c r="H108" s="209"/>
      <c r="I108" s="209">
        <v>0</v>
      </c>
      <c r="J108" s="150">
        <v>0</v>
      </c>
      <c r="K108" s="150">
        <v>0</v>
      </c>
      <c r="L108" s="150">
        <f t="shared" si="129"/>
        <v>0</v>
      </c>
      <c r="M108" s="150">
        <v>0</v>
      </c>
      <c r="N108" s="150"/>
      <c r="O108" s="150">
        <v>0</v>
      </c>
      <c r="P108" s="150">
        <v>0</v>
      </c>
      <c r="Q108" s="237"/>
      <c r="R108" s="150">
        <f t="shared" si="155"/>
        <v>0</v>
      </c>
      <c r="S108" s="150">
        <f t="shared" si="107"/>
        <v>0</v>
      </c>
      <c r="T108" s="150"/>
      <c r="U108" s="150">
        <v>0</v>
      </c>
      <c r="V108" s="230"/>
      <c r="W108" s="150">
        <f t="shared" si="156"/>
        <v>0</v>
      </c>
      <c r="X108" s="150">
        <v>0</v>
      </c>
      <c r="Y108" s="150"/>
      <c r="Z108" s="150">
        <v>0</v>
      </c>
      <c r="AA108" s="150">
        <f t="shared" si="108"/>
        <v>0</v>
      </c>
      <c r="AB108" s="150">
        <v>0</v>
      </c>
      <c r="AC108" s="230"/>
      <c r="AD108" s="150">
        <f t="shared" si="157"/>
        <v>0</v>
      </c>
      <c r="AE108" s="150">
        <v>0</v>
      </c>
      <c r="AF108" s="169" t="s">
        <v>4680</v>
      </c>
      <c r="AG108" s="201">
        <v>0</v>
      </c>
      <c r="AH108" s="199"/>
      <c r="AI108" s="150">
        <v>0</v>
      </c>
      <c r="AJ108" s="169">
        <f t="shared" si="109"/>
        <v>0</v>
      </c>
      <c r="AK108" s="201">
        <v>0</v>
      </c>
      <c r="AL108" s="199"/>
      <c r="AM108" s="150">
        <f t="shared" si="158"/>
        <v>0</v>
      </c>
      <c r="AN108" s="153">
        <f t="shared" si="110"/>
        <v>0</v>
      </c>
      <c r="AO108" s="154">
        <f t="shared" si="111"/>
        <v>0</v>
      </c>
      <c r="AP108" s="150">
        <v>0</v>
      </c>
      <c r="AQ108" s="201">
        <v>0</v>
      </c>
      <c r="AR108" s="199"/>
      <c r="AS108" s="150">
        <f t="shared" si="159"/>
        <v>0</v>
      </c>
      <c r="AT108" s="155"/>
      <c r="AU108" s="156">
        <f t="shared" si="105"/>
        <v>0</v>
      </c>
      <c r="AV108" s="156">
        <f t="shared" si="106"/>
        <v>0</v>
      </c>
      <c r="AW108" s="157" t="s">
        <v>4989</v>
      </c>
      <c r="AX108" s="150">
        <v>0</v>
      </c>
      <c r="AY108" s="150">
        <v>0</v>
      </c>
      <c r="AZ108" s="237"/>
      <c r="BA108" s="150">
        <f t="shared" si="112"/>
        <v>0</v>
      </c>
      <c r="BB108" s="202">
        <v>4</v>
      </c>
      <c r="BC108" s="202" t="s">
        <v>671</v>
      </c>
      <c r="BD108" s="202" t="s">
        <v>632</v>
      </c>
      <c r="BE108" s="202" t="s">
        <v>632</v>
      </c>
      <c r="BF108" s="194" t="s">
        <v>1124</v>
      </c>
      <c r="BG108" s="203" t="s">
        <v>4990</v>
      </c>
      <c r="BH108" s="216">
        <f t="shared" si="160"/>
        <v>0</v>
      </c>
      <c r="BI108" s="202"/>
      <c r="BJ108" s="194" t="s">
        <v>4930</v>
      </c>
      <c r="BK108" s="194" t="s">
        <v>4929</v>
      </c>
      <c r="BL108" s="207" t="s">
        <v>4931</v>
      </c>
      <c r="BM108" s="208">
        <f t="shared" si="161"/>
        <v>0</v>
      </c>
      <c r="BN108" s="160"/>
      <c r="BO108" s="161">
        <f t="shared" si="113"/>
        <v>0</v>
      </c>
      <c r="BP108" s="161"/>
    </row>
    <row r="109" spans="1:68" ht="63.75">
      <c r="A109" s="173" t="s">
        <v>4991</v>
      </c>
      <c r="B109" s="174"/>
      <c r="C109" s="175" t="s">
        <v>4992</v>
      </c>
      <c r="D109" s="146" t="s">
        <v>4692</v>
      </c>
      <c r="E109" s="175" t="s">
        <v>4992</v>
      </c>
      <c r="F109" s="176">
        <v>198078.93</v>
      </c>
      <c r="G109" s="177">
        <v>0</v>
      </c>
      <c r="H109" s="177">
        <v>68500</v>
      </c>
      <c r="I109" s="177">
        <v>68500</v>
      </c>
      <c r="J109" s="176">
        <f>J110</f>
        <v>0</v>
      </c>
      <c r="K109" s="176">
        <f>K110</f>
        <v>17125</v>
      </c>
      <c r="L109" s="178">
        <f t="shared" si="129"/>
        <v>17125</v>
      </c>
      <c r="M109" s="178">
        <v>0</v>
      </c>
      <c r="N109" s="178">
        <v>39387.5</v>
      </c>
      <c r="O109" s="178">
        <v>39387.5</v>
      </c>
      <c r="P109" s="221">
        <f t="shared" ref="P109:AS109" si="162">P110</f>
        <v>0</v>
      </c>
      <c r="Q109" s="221">
        <f t="shared" si="162"/>
        <v>97291.6</v>
      </c>
      <c r="R109" s="221">
        <f t="shared" si="162"/>
        <v>97291.6</v>
      </c>
      <c r="S109" s="150">
        <f t="shared" si="107"/>
        <v>129722.13333333335</v>
      </c>
      <c r="T109" s="213"/>
      <c r="U109" s="221">
        <f t="shared" ref="U109:W109" si="163">U110</f>
        <v>0</v>
      </c>
      <c r="V109" s="222">
        <f t="shared" si="163"/>
        <v>533561</v>
      </c>
      <c r="W109" s="221">
        <f t="shared" si="163"/>
        <v>533561</v>
      </c>
      <c r="X109" s="221">
        <v>0</v>
      </c>
      <c r="Y109" s="221">
        <v>533561</v>
      </c>
      <c r="Z109" s="221">
        <v>533561</v>
      </c>
      <c r="AA109" s="221">
        <f t="shared" si="108"/>
        <v>0</v>
      </c>
      <c r="AB109" s="221">
        <v>0</v>
      </c>
      <c r="AC109" s="222">
        <v>533561</v>
      </c>
      <c r="AD109" s="221">
        <f t="shared" si="162"/>
        <v>533561</v>
      </c>
      <c r="AE109" s="221">
        <v>533561</v>
      </c>
      <c r="AF109" s="169" t="s">
        <v>4680</v>
      </c>
      <c r="AG109" s="223">
        <v>0</v>
      </c>
      <c r="AH109" s="222">
        <v>533561</v>
      </c>
      <c r="AI109" s="221">
        <v>533561</v>
      </c>
      <c r="AJ109" s="169">
        <f t="shared" si="109"/>
        <v>0</v>
      </c>
      <c r="AK109" s="223">
        <v>0</v>
      </c>
      <c r="AL109" s="222">
        <v>533561</v>
      </c>
      <c r="AM109" s="221">
        <f t="shared" si="162"/>
        <v>533561</v>
      </c>
      <c r="AN109" s="153">
        <f t="shared" si="110"/>
        <v>77904.589999999967</v>
      </c>
      <c r="AO109" s="154">
        <f t="shared" si="111"/>
        <v>77904.589999999967</v>
      </c>
      <c r="AP109" s="221">
        <v>533561</v>
      </c>
      <c r="AQ109" s="223">
        <v>611465.59</v>
      </c>
      <c r="AR109" s="222">
        <f t="shared" si="162"/>
        <v>0</v>
      </c>
      <c r="AS109" s="221">
        <f t="shared" si="162"/>
        <v>611465.59</v>
      </c>
      <c r="AT109" s="155"/>
      <c r="AU109" s="156">
        <f t="shared" si="105"/>
        <v>0</v>
      </c>
      <c r="AV109" s="156">
        <f t="shared" si="106"/>
        <v>0</v>
      </c>
      <c r="AW109" s="157"/>
      <c r="AX109" s="150">
        <v>533561</v>
      </c>
      <c r="AY109" s="221">
        <f t="shared" ref="AY109:BA109" si="164">AY110</f>
        <v>0</v>
      </c>
      <c r="AZ109" s="221">
        <f t="shared" si="164"/>
        <v>78755</v>
      </c>
      <c r="BA109" s="221">
        <f t="shared" si="164"/>
        <v>78755</v>
      </c>
      <c r="BB109" s="181">
        <v>4</v>
      </c>
      <c r="BC109" s="173" t="s">
        <v>671</v>
      </c>
      <c r="BD109" s="173" t="s">
        <v>647</v>
      </c>
      <c r="BE109" s="173" t="s">
        <v>630</v>
      </c>
      <c r="BF109" s="173" t="s">
        <v>630</v>
      </c>
      <c r="BG109" s="175" t="s">
        <v>4992</v>
      </c>
      <c r="BH109" s="224">
        <f>BH110</f>
        <v>611465.59</v>
      </c>
      <c r="BI109" s="181"/>
      <c r="BJ109" s="173" t="s">
        <v>4993</v>
      </c>
      <c r="BK109" s="173" t="s">
        <v>4991</v>
      </c>
      <c r="BL109" s="182" t="s">
        <v>4994</v>
      </c>
      <c r="BM109" s="224">
        <f>BM110</f>
        <v>611465.59</v>
      </c>
      <c r="BN109" s="160"/>
      <c r="BO109" s="161">
        <f t="shared" si="113"/>
        <v>0</v>
      </c>
      <c r="BP109" s="161"/>
    </row>
    <row r="110" spans="1:68" ht="63.75">
      <c r="A110" s="183" t="s">
        <v>4991</v>
      </c>
      <c r="B110" s="184"/>
      <c r="C110" s="185" t="s">
        <v>4992</v>
      </c>
      <c r="D110" s="146" t="s">
        <v>4692</v>
      </c>
      <c r="E110" s="185" t="s">
        <v>4992</v>
      </c>
      <c r="F110" s="186">
        <v>198078.93</v>
      </c>
      <c r="G110" s="187">
        <v>0</v>
      </c>
      <c r="H110" s="187">
        <v>68500</v>
      </c>
      <c r="I110" s="187">
        <v>68500</v>
      </c>
      <c r="J110" s="186">
        <f>SUBTOTAL(9,J111)</f>
        <v>0</v>
      </c>
      <c r="K110" s="186">
        <f>SUBTOTAL(9,K111)</f>
        <v>17125</v>
      </c>
      <c r="L110" s="188">
        <f t="shared" si="129"/>
        <v>17125</v>
      </c>
      <c r="M110" s="188">
        <v>0</v>
      </c>
      <c r="N110" s="188">
        <v>39387.5</v>
      </c>
      <c r="O110" s="188">
        <v>39387.5</v>
      </c>
      <c r="P110" s="225">
        <f t="shared" ref="P110:AS110" si="165">SUBTOTAL(9,P111)</f>
        <v>0</v>
      </c>
      <c r="Q110" s="225">
        <f t="shared" si="165"/>
        <v>97291.6</v>
      </c>
      <c r="R110" s="225">
        <f t="shared" si="165"/>
        <v>97291.6</v>
      </c>
      <c r="S110" s="150">
        <f t="shared" si="107"/>
        <v>129722.13333333335</v>
      </c>
      <c r="T110" s="213"/>
      <c r="U110" s="225">
        <f t="shared" ref="U110:W110" si="166">SUBTOTAL(9,U111)</f>
        <v>0</v>
      </c>
      <c r="V110" s="226">
        <f t="shared" si="166"/>
        <v>533561</v>
      </c>
      <c r="W110" s="225">
        <f t="shared" si="166"/>
        <v>533561</v>
      </c>
      <c r="X110" s="225">
        <v>0</v>
      </c>
      <c r="Y110" s="225">
        <v>533561</v>
      </c>
      <c r="Z110" s="225">
        <v>533561</v>
      </c>
      <c r="AA110" s="225">
        <f t="shared" si="108"/>
        <v>0</v>
      </c>
      <c r="AB110" s="225">
        <v>0</v>
      </c>
      <c r="AC110" s="226">
        <v>533561</v>
      </c>
      <c r="AD110" s="225">
        <f t="shared" si="165"/>
        <v>533561</v>
      </c>
      <c r="AE110" s="225">
        <v>533561</v>
      </c>
      <c r="AF110" s="169" t="s">
        <v>4680</v>
      </c>
      <c r="AG110" s="212">
        <v>0</v>
      </c>
      <c r="AH110" s="226">
        <v>533561</v>
      </c>
      <c r="AI110" s="225">
        <v>533561</v>
      </c>
      <c r="AJ110" s="169">
        <f t="shared" si="109"/>
        <v>0</v>
      </c>
      <c r="AK110" s="212">
        <v>0</v>
      </c>
      <c r="AL110" s="226">
        <v>533561</v>
      </c>
      <c r="AM110" s="225">
        <f t="shared" si="165"/>
        <v>533561</v>
      </c>
      <c r="AN110" s="153">
        <f t="shared" si="110"/>
        <v>77904.589999999967</v>
      </c>
      <c r="AO110" s="154">
        <f t="shared" si="111"/>
        <v>77904.589999999967</v>
      </c>
      <c r="AP110" s="225">
        <v>533561</v>
      </c>
      <c r="AQ110" s="212">
        <v>611465.59</v>
      </c>
      <c r="AR110" s="226">
        <f t="shared" si="165"/>
        <v>0</v>
      </c>
      <c r="AS110" s="225">
        <f t="shared" si="165"/>
        <v>611465.59</v>
      </c>
      <c r="AT110" s="155"/>
      <c r="AU110" s="156">
        <f t="shared" si="105"/>
        <v>0</v>
      </c>
      <c r="AV110" s="156">
        <f t="shared" si="106"/>
        <v>0</v>
      </c>
      <c r="AW110" s="157"/>
      <c r="AX110" s="150">
        <v>533561</v>
      </c>
      <c r="AY110" s="225">
        <f t="shared" ref="AY110:BA110" si="167">SUBTOTAL(9,AY111)</f>
        <v>0</v>
      </c>
      <c r="AZ110" s="225">
        <f t="shared" si="167"/>
        <v>78755</v>
      </c>
      <c r="BA110" s="225">
        <f t="shared" si="167"/>
        <v>78755</v>
      </c>
      <c r="BB110" s="191">
        <v>4</v>
      </c>
      <c r="BC110" s="183" t="s">
        <v>671</v>
      </c>
      <c r="BD110" s="183" t="s">
        <v>647</v>
      </c>
      <c r="BE110" s="183" t="s">
        <v>632</v>
      </c>
      <c r="BF110" s="183" t="s">
        <v>630</v>
      </c>
      <c r="BG110" s="185" t="s">
        <v>4992</v>
      </c>
      <c r="BH110" s="215">
        <f>SUBTOTAL(9,BH111)</f>
        <v>611465.59</v>
      </c>
      <c r="BI110" s="191"/>
      <c r="BJ110" s="183" t="s">
        <v>4993</v>
      </c>
      <c r="BK110" s="183" t="s">
        <v>4991</v>
      </c>
      <c r="BL110" s="238" t="s">
        <v>4994</v>
      </c>
      <c r="BM110" s="215">
        <f>SUBTOTAL(9,BM111)</f>
        <v>611465.59</v>
      </c>
      <c r="BN110" s="160"/>
      <c r="BO110" s="161">
        <f t="shared" si="113"/>
        <v>0</v>
      </c>
      <c r="BP110" s="161"/>
    </row>
    <row r="111" spans="1:68" ht="51">
      <c r="A111" s="194" t="s">
        <v>4991</v>
      </c>
      <c r="B111" s="195" t="s">
        <v>4995</v>
      </c>
      <c r="C111" s="196" t="s">
        <v>4996</v>
      </c>
      <c r="D111" s="146" t="s">
        <v>4692</v>
      </c>
      <c r="E111" s="196" t="s">
        <v>4996</v>
      </c>
      <c r="F111" s="150">
        <v>198078.93</v>
      </c>
      <c r="G111" s="209">
        <v>0</v>
      </c>
      <c r="H111" s="209">
        <v>68500</v>
      </c>
      <c r="I111" s="209">
        <v>68500</v>
      </c>
      <c r="J111" s="150">
        <v>0</v>
      </c>
      <c r="K111" s="150">
        <v>17125</v>
      </c>
      <c r="L111" s="150">
        <f t="shared" si="129"/>
        <v>17125</v>
      </c>
      <c r="M111" s="150">
        <v>0</v>
      </c>
      <c r="N111" s="150">
        <v>39387.5</v>
      </c>
      <c r="O111" s="150">
        <v>39387.5</v>
      </c>
      <c r="P111" s="150">
        <v>0</v>
      </c>
      <c r="Q111" s="237">
        <v>97291.6</v>
      </c>
      <c r="R111" s="150">
        <f>P111+Q111</f>
        <v>97291.6</v>
      </c>
      <c r="S111" s="150">
        <f t="shared" si="107"/>
        <v>129722.13333333335</v>
      </c>
      <c r="T111" s="150"/>
      <c r="U111" s="150">
        <v>0</v>
      </c>
      <c r="V111" s="243">
        <v>533561</v>
      </c>
      <c r="W111" s="150">
        <f>U111+V111</f>
        <v>533561</v>
      </c>
      <c r="X111" s="150">
        <v>0</v>
      </c>
      <c r="Y111" s="150">
        <v>533561</v>
      </c>
      <c r="Z111" s="150">
        <v>533561</v>
      </c>
      <c r="AA111" s="150">
        <f t="shared" si="108"/>
        <v>0</v>
      </c>
      <c r="AB111" s="150">
        <v>0</v>
      </c>
      <c r="AC111" s="243">
        <v>533561</v>
      </c>
      <c r="AD111" s="150">
        <f>AB111+AC111</f>
        <v>533561</v>
      </c>
      <c r="AE111" s="150">
        <v>533561</v>
      </c>
      <c r="AF111" s="169" t="s">
        <v>4680</v>
      </c>
      <c r="AG111" s="201">
        <v>0</v>
      </c>
      <c r="AH111" s="150">
        <v>533561</v>
      </c>
      <c r="AI111" s="150">
        <v>533561</v>
      </c>
      <c r="AJ111" s="169">
        <f t="shared" si="109"/>
        <v>0</v>
      </c>
      <c r="AK111" s="201">
        <v>0</v>
      </c>
      <c r="AL111" s="150">
        <v>533561</v>
      </c>
      <c r="AM111" s="150">
        <f>AK111+AL111</f>
        <v>533561</v>
      </c>
      <c r="AN111" s="153">
        <f t="shared" si="110"/>
        <v>77904.589999999967</v>
      </c>
      <c r="AO111" s="154">
        <f t="shared" si="111"/>
        <v>77904.589999999967</v>
      </c>
      <c r="AP111" s="150">
        <v>533561</v>
      </c>
      <c r="AQ111" s="201">
        <v>611465.59</v>
      </c>
      <c r="AR111" s="150"/>
      <c r="AS111" s="150">
        <f>AQ111+AR111</f>
        <v>611465.59</v>
      </c>
      <c r="AT111" s="155" t="s">
        <v>4997</v>
      </c>
      <c r="AU111" s="156">
        <f t="shared" si="105"/>
        <v>0</v>
      </c>
      <c r="AV111" s="156">
        <f t="shared" si="106"/>
        <v>0</v>
      </c>
      <c r="AW111" s="157" t="s">
        <v>4998</v>
      </c>
      <c r="AX111" s="150">
        <v>533561</v>
      </c>
      <c r="AY111" s="150">
        <v>0</v>
      </c>
      <c r="AZ111" s="237">
        <v>78755</v>
      </c>
      <c r="BA111" s="150">
        <f t="shared" si="112"/>
        <v>78755</v>
      </c>
      <c r="BB111" s="202">
        <v>4</v>
      </c>
      <c r="BC111" s="202" t="s">
        <v>671</v>
      </c>
      <c r="BD111" s="202" t="s">
        <v>647</v>
      </c>
      <c r="BE111" s="202" t="s">
        <v>632</v>
      </c>
      <c r="BF111" s="202" t="s">
        <v>632</v>
      </c>
      <c r="BG111" s="203" t="s">
        <v>4992</v>
      </c>
      <c r="BH111" s="216">
        <f>AS111</f>
        <v>611465.59</v>
      </c>
      <c r="BI111" s="202"/>
      <c r="BJ111" s="194" t="s">
        <v>4993</v>
      </c>
      <c r="BK111" s="194" t="s">
        <v>4991</v>
      </c>
      <c r="BL111" s="207" t="s">
        <v>4994</v>
      </c>
      <c r="BM111" s="208">
        <f>BH111</f>
        <v>611465.59</v>
      </c>
      <c r="BN111" s="160"/>
      <c r="BO111" s="161">
        <f t="shared" si="113"/>
        <v>0</v>
      </c>
      <c r="BP111" s="161"/>
    </row>
    <row r="112" spans="1:68" ht="51">
      <c r="A112" s="173" t="s">
        <v>4999</v>
      </c>
      <c r="B112" s="174"/>
      <c r="C112" s="175" t="s">
        <v>5000</v>
      </c>
      <c r="D112" s="146" t="s">
        <v>4692</v>
      </c>
      <c r="E112" s="175" t="s">
        <v>5000</v>
      </c>
      <c r="F112" s="176">
        <v>269438.48</v>
      </c>
      <c r="G112" s="177">
        <v>0</v>
      </c>
      <c r="H112" s="177">
        <v>135420</v>
      </c>
      <c r="I112" s="177">
        <v>135420</v>
      </c>
      <c r="J112" s="176">
        <f>J113</f>
        <v>0</v>
      </c>
      <c r="K112" s="176">
        <f>K113</f>
        <v>33855</v>
      </c>
      <c r="L112" s="178">
        <f t="shared" si="129"/>
        <v>33855</v>
      </c>
      <c r="M112" s="178">
        <v>0</v>
      </c>
      <c r="N112" s="178">
        <v>77866.5</v>
      </c>
      <c r="O112" s="178">
        <v>77866.5</v>
      </c>
      <c r="P112" s="221">
        <f t="shared" ref="P112:AM113" si="168">P113</f>
        <v>0</v>
      </c>
      <c r="Q112" s="221">
        <f t="shared" si="168"/>
        <v>77866.5</v>
      </c>
      <c r="R112" s="221">
        <f t="shared" si="168"/>
        <v>77866.5</v>
      </c>
      <c r="S112" s="150">
        <f t="shared" si="107"/>
        <v>103822</v>
      </c>
      <c r="T112" s="213"/>
      <c r="U112" s="221">
        <f t="shared" ref="U112:W113" si="169">U113</f>
        <v>0</v>
      </c>
      <c r="V112" s="222">
        <f t="shared" si="169"/>
        <v>0</v>
      </c>
      <c r="W112" s="221">
        <f t="shared" si="169"/>
        <v>0</v>
      </c>
      <c r="X112" s="221">
        <v>0</v>
      </c>
      <c r="Y112" s="221">
        <v>0</v>
      </c>
      <c r="Z112" s="221">
        <v>0</v>
      </c>
      <c r="AA112" s="221">
        <f t="shared" si="108"/>
        <v>0</v>
      </c>
      <c r="AB112" s="221">
        <v>0</v>
      </c>
      <c r="AC112" s="222">
        <v>0</v>
      </c>
      <c r="AD112" s="221">
        <f t="shared" si="168"/>
        <v>0</v>
      </c>
      <c r="AE112" s="221">
        <v>0</v>
      </c>
      <c r="AF112" s="169" t="s">
        <v>4680</v>
      </c>
      <c r="AG112" s="223">
        <v>0</v>
      </c>
      <c r="AH112" s="222">
        <v>0</v>
      </c>
      <c r="AI112" s="221">
        <v>0</v>
      </c>
      <c r="AJ112" s="169">
        <f t="shared" si="109"/>
        <v>0</v>
      </c>
      <c r="AK112" s="223">
        <v>0</v>
      </c>
      <c r="AL112" s="222">
        <v>0</v>
      </c>
      <c r="AM112" s="221">
        <f t="shared" si="168"/>
        <v>0</v>
      </c>
      <c r="AN112" s="153">
        <f t="shared" si="110"/>
        <v>0</v>
      </c>
      <c r="AO112" s="154">
        <f t="shared" si="111"/>
        <v>0</v>
      </c>
      <c r="AP112" s="221">
        <v>0</v>
      </c>
      <c r="AQ112" s="223">
        <v>0</v>
      </c>
      <c r="AR112" s="222">
        <f t="shared" ref="AR112:AS113" si="170">AR113</f>
        <v>0</v>
      </c>
      <c r="AS112" s="221">
        <f t="shared" si="170"/>
        <v>0</v>
      </c>
      <c r="AT112" s="155"/>
      <c r="AU112" s="156">
        <f t="shared" si="105"/>
        <v>0</v>
      </c>
      <c r="AV112" s="156">
        <f t="shared" si="106"/>
        <v>0</v>
      </c>
      <c r="AW112" s="157"/>
      <c r="AX112" s="150">
        <v>0</v>
      </c>
      <c r="AY112" s="221">
        <f t="shared" ref="AY112:BA113" si="171">AY113</f>
        <v>0</v>
      </c>
      <c r="AZ112" s="221">
        <f t="shared" si="171"/>
        <v>153733</v>
      </c>
      <c r="BA112" s="221">
        <f t="shared" si="171"/>
        <v>153733</v>
      </c>
      <c r="BB112" s="181">
        <v>4</v>
      </c>
      <c r="BC112" s="173" t="s">
        <v>671</v>
      </c>
      <c r="BD112" s="173" t="s">
        <v>671</v>
      </c>
      <c r="BE112" s="173" t="s">
        <v>630</v>
      </c>
      <c r="BF112" s="173" t="s">
        <v>630</v>
      </c>
      <c r="BG112" s="175" t="s">
        <v>5000</v>
      </c>
      <c r="BH112" s="224">
        <f>BH113</f>
        <v>0</v>
      </c>
      <c r="BI112" s="181"/>
      <c r="BJ112" s="173" t="s">
        <v>5001</v>
      </c>
      <c r="BK112" s="173" t="s">
        <v>4999</v>
      </c>
      <c r="BL112" s="182" t="s">
        <v>5002</v>
      </c>
      <c r="BM112" s="224">
        <f>BM113</f>
        <v>0</v>
      </c>
      <c r="BN112" s="160"/>
      <c r="BO112" s="161">
        <f t="shared" si="113"/>
        <v>0</v>
      </c>
      <c r="BP112" s="161"/>
    </row>
    <row r="113" spans="1:68" ht="51">
      <c r="A113" s="183" t="s">
        <v>4999</v>
      </c>
      <c r="B113" s="184"/>
      <c r="C113" s="238" t="s">
        <v>5000</v>
      </c>
      <c r="D113" s="146" t="s">
        <v>4692</v>
      </c>
      <c r="E113" s="238" t="s">
        <v>5000</v>
      </c>
      <c r="F113" s="186">
        <v>269438.48</v>
      </c>
      <c r="G113" s="244">
        <v>0</v>
      </c>
      <c r="H113" s="244">
        <v>135420</v>
      </c>
      <c r="I113" s="244">
        <v>135420</v>
      </c>
      <c r="J113" s="186">
        <f>J114</f>
        <v>0</v>
      </c>
      <c r="K113" s="186">
        <f>K114</f>
        <v>33855</v>
      </c>
      <c r="L113" s="188">
        <f t="shared" si="129"/>
        <v>33855</v>
      </c>
      <c r="M113" s="188">
        <v>0</v>
      </c>
      <c r="N113" s="188">
        <v>77866.5</v>
      </c>
      <c r="O113" s="188">
        <v>77866.5</v>
      </c>
      <c r="P113" s="225">
        <f t="shared" si="168"/>
        <v>0</v>
      </c>
      <c r="Q113" s="225">
        <f>Q114</f>
        <v>77866.5</v>
      </c>
      <c r="R113" s="225">
        <f t="shared" si="168"/>
        <v>77866.5</v>
      </c>
      <c r="S113" s="150">
        <f t="shared" si="107"/>
        <v>103822</v>
      </c>
      <c r="T113" s="213"/>
      <c r="U113" s="225">
        <f t="shared" si="169"/>
        <v>0</v>
      </c>
      <c r="V113" s="226">
        <f>V114</f>
        <v>0</v>
      </c>
      <c r="W113" s="225">
        <f t="shared" si="169"/>
        <v>0</v>
      </c>
      <c r="X113" s="225">
        <v>0</v>
      </c>
      <c r="Y113" s="225">
        <v>0</v>
      </c>
      <c r="Z113" s="225">
        <v>0</v>
      </c>
      <c r="AA113" s="225">
        <f t="shared" si="108"/>
        <v>0</v>
      </c>
      <c r="AB113" s="225">
        <v>0</v>
      </c>
      <c r="AC113" s="226">
        <v>0</v>
      </c>
      <c r="AD113" s="225">
        <f t="shared" si="168"/>
        <v>0</v>
      </c>
      <c r="AE113" s="225">
        <v>0</v>
      </c>
      <c r="AF113" s="169" t="s">
        <v>4680</v>
      </c>
      <c r="AG113" s="212">
        <v>0</v>
      </c>
      <c r="AH113" s="226">
        <v>0</v>
      </c>
      <c r="AI113" s="225">
        <v>0</v>
      </c>
      <c r="AJ113" s="169">
        <f t="shared" si="109"/>
        <v>0</v>
      </c>
      <c r="AK113" s="212">
        <v>0</v>
      </c>
      <c r="AL113" s="226">
        <v>0</v>
      </c>
      <c r="AM113" s="225">
        <f t="shared" si="168"/>
        <v>0</v>
      </c>
      <c r="AN113" s="153">
        <f t="shared" si="110"/>
        <v>0</v>
      </c>
      <c r="AO113" s="154">
        <f t="shared" si="111"/>
        <v>0</v>
      </c>
      <c r="AP113" s="225">
        <v>0</v>
      </c>
      <c r="AQ113" s="212">
        <v>0</v>
      </c>
      <c r="AR113" s="226">
        <f>AR114</f>
        <v>0</v>
      </c>
      <c r="AS113" s="225">
        <f t="shared" si="170"/>
        <v>0</v>
      </c>
      <c r="AT113" s="155"/>
      <c r="AU113" s="156">
        <f t="shared" si="105"/>
        <v>0</v>
      </c>
      <c r="AV113" s="156">
        <f t="shared" si="106"/>
        <v>0</v>
      </c>
      <c r="AW113" s="157"/>
      <c r="AX113" s="150">
        <v>0</v>
      </c>
      <c r="AY113" s="225">
        <f t="shared" si="171"/>
        <v>0</v>
      </c>
      <c r="AZ113" s="225">
        <f t="shared" si="171"/>
        <v>153733</v>
      </c>
      <c r="BA113" s="225">
        <f t="shared" si="171"/>
        <v>153733</v>
      </c>
      <c r="BB113" s="191">
        <v>4</v>
      </c>
      <c r="BC113" s="183" t="s">
        <v>671</v>
      </c>
      <c r="BD113" s="183" t="s">
        <v>671</v>
      </c>
      <c r="BE113" s="183" t="s">
        <v>632</v>
      </c>
      <c r="BF113" s="183" t="s">
        <v>630</v>
      </c>
      <c r="BG113" s="238" t="s">
        <v>5000</v>
      </c>
      <c r="BH113" s="215">
        <f>BH114</f>
        <v>0</v>
      </c>
      <c r="BI113" s="191"/>
      <c r="BJ113" s="183" t="s">
        <v>5001</v>
      </c>
      <c r="BK113" s="183" t="s">
        <v>4999</v>
      </c>
      <c r="BL113" s="238" t="s">
        <v>5002</v>
      </c>
      <c r="BM113" s="215">
        <f>BM114</f>
        <v>0</v>
      </c>
      <c r="BN113" s="160"/>
      <c r="BO113" s="161">
        <f t="shared" si="113"/>
        <v>0</v>
      </c>
      <c r="BP113" s="161"/>
    </row>
    <row r="114" spans="1:68" ht="38.25">
      <c r="A114" s="194" t="s">
        <v>4999</v>
      </c>
      <c r="B114" s="195" t="s">
        <v>5003</v>
      </c>
      <c r="C114" s="196" t="s">
        <v>5004</v>
      </c>
      <c r="D114" s="146" t="s">
        <v>4692</v>
      </c>
      <c r="E114" s="196" t="s">
        <v>5004</v>
      </c>
      <c r="F114" s="150">
        <v>269438.48</v>
      </c>
      <c r="G114" s="209">
        <v>0</v>
      </c>
      <c r="H114" s="209">
        <v>135420</v>
      </c>
      <c r="I114" s="209">
        <v>135420</v>
      </c>
      <c r="J114" s="150">
        <v>0</v>
      </c>
      <c r="K114" s="150">
        <v>33855</v>
      </c>
      <c r="L114" s="150">
        <f t="shared" si="129"/>
        <v>33855</v>
      </c>
      <c r="M114" s="150">
        <v>0</v>
      </c>
      <c r="N114" s="150">
        <v>77866.5</v>
      </c>
      <c r="O114" s="150">
        <v>77866.5</v>
      </c>
      <c r="P114" s="150">
        <v>0</v>
      </c>
      <c r="Q114" s="237">
        <v>77866.5</v>
      </c>
      <c r="R114" s="150">
        <f>P114+Q114</f>
        <v>77866.5</v>
      </c>
      <c r="S114" s="150">
        <f t="shared" si="107"/>
        <v>103822</v>
      </c>
      <c r="T114" s="150"/>
      <c r="U114" s="150">
        <v>0</v>
      </c>
      <c r="V114" s="230"/>
      <c r="W114" s="150">
        <f>U114+V114</f>
        <v>0</v>
      </c>
      <c r="X114" s="150">
        <v>0</v>
      </c>
      <c r="Y114" s="150"/>
      <c r="Z114" s="150">
        <v>0</v>
      </c>
      <c r="AA114" s="150">
        <f t="shared" si="108"/>
        <v>0</v>
      </c>
      <c r="AB114" s="150">
        <v>0</v>
      </c>
      <c r="AC114" s="230"/>
      <c r="AD114" s="150">
        <f>AB114+AC114</f>
        <v>0</v>
      </c>
      <c r="AE114" s="150">
        <v>0</v>
      </c>
      <c r="AF114" s="169" t="s">
        <v>4680</v>
      </c>
      <c r="AG114" s="201">
        <v>0</v>
      </c>
      <c r="AH114" s="245"/>
      <c r="AI114" s="150">
        <v>0</v>
      </c>
      <c r="AJ114" s="169">
        <f t="shared" si="109"/>
        <v>0</v>
      </c>
      <c r="AK114" s="201">
        <v>0</v>
      </c>
      <c r="AL114" s="245"/>
      <c r="AM114" s="150">
        <f>AK114+AL114</f>
        <v>0</v>
      </c>
      <c r="AN114" s="153">
        <f t="shared" si="110"/>
        <v>0</v>
      </c>
      <c r="AO114" s="154">
        <f t="shared" si="111"/>
        <v>0</v>
      </c>
      <c r="AP114" s="150">
        <v>0</v>
      </c>
      <c r="AQ114" s="201">
        <v>0</v>
      </c>
      <c r="AR114" s="245"/>
      <c r="AS114" s="150">
        <f>AQ114+AR114</f>
        <v>0</v>
      </c>
      <c r="AT114" s="155"/>
      <c r="AU114" s="156">
        <f t="shared" si="105"/>
        <v>0</v>
      </c>
      <c r="AV114" s="156">
        <f t="shared" si="106"/>
        <v>0</v>
      </c>
      <c r="AW114" s="157" t="s">
        <v>5005</v>
      </c>
      <c r="AX114" s="150">
        <v>0</v>
      </c>
      <c r="AY114" s="150">
        <v>0</v>
      </c>
      <c r="AZ114" s="237">
        <v>153733</v>
      </c>
      <c r="BA114" s="150">
        <f t="shared" si="112"/>
        <v>153733</v>
      </c>
      <c r="BB114" s="202">
        <v>4</v>
      </c>
      <c r="BC114" s="202" t="s">
        <v>671</v>
      </c>
      <c r="BD114" s="202" t="s">
        <v>671</v>
      </c>
      <c r="BE114" s="202" t="s">
        <v>632</v>
      </c>
      <c r="BF114" s="202" t="s">
        <v>632</v>
      </c>
      <c r="BG114" s="203" t="s">
        <v>5000</v>
      </c>
      <c r="BH114" s="216">
        <f>AS114</f>
        <v>0</v>
      </c>
      <c r="BI114" s="202"/>
      <c r="BJ114" s="194" t="s">
        <v>5001</v>
      </c>
      <c r="BK114" s="194" t="s">
        <v>4999</v>
      </c>
      <c r="BL114" s="207" t="s">
        <v>5002</v>
      </c>
      <c r="BM114" s="208">
        <f>BH114</f>
        <v>0</v>
      </c>
      <c r="BN114" s="160"/>
      <c r="BO114" s="161">
        <f t="shared" si="113"/>
        <v>0</v>
      </c>
      <c r="BP114" s="161"/>
    </row>
    <row r="115" spans="1:68" ht="51">
      <c r="A115" s="173" t="s">
        <v>5006</v>
      </c>
      <c r="B115" s="174"/>
      <c r="C115" s="175" t="s">
        <v>5007</v>
      </c>
      <c r="D115" s="146" t="s">
        <v>4692</v>
      </c>
      <c r="E115" s="175" t="s">
        <v>5007</v>
      </c>
      <c r="F115" s="176">
        <v>0</v>
      </c>
      <c r="G115" s="177">
        <v>0</v>
      </c>
      <c r="H115" s="177">
        <v>0</v>
      </c>
      <c r="I115" s="177">
        <v>0</v>
      </c>
      <c r="J115" s="176">
        <f>J116</f>
        <v>0</v>
      </c>
      <c r="K115" s="176">
        <f>K116</f>
        <v>0</v>
      </c>
      <c r="L115" s="178">
        <f t="shared" si="129"/>
        <v>0</v>
      </c>
      <c r="M115" s="178">
        <v>0</v>
      </c>
      <c r="N115" s="178">
        <v>0</v>
      </c>
      <c r="O115" s="178">
        <v>0</v>
      </c>
      <c r="P115" s="221">
        <f t="shared" ref="P115:AM116" si="172">P116</f>
        <v>0</v>
      </c>
      <c r="Q115" s="221">
        <f t="shared" si="172"/>
        <v>0</v>
      </c>
      <c r="R115" s="221">
        <f t="shared" si="172"/>
        <v>0</v>
      </c>
      <c r="S115" s="150">
        <f t="shared" si="107"/>
        <v>0</v>
      </c>
      <c r="T115" s="213"/>
      <c r="U115" s="221">
        <f t="shared" ref="U115:W116" si="173">U116</f>
        <v>0</v>
      </c>
      <c r="V115" s="222">
        <f t="shared" si="173"/>
        <v>0</v>
      </c>
      <c r="W115" s="221">
        <f t="shared" si="173"/>
        <v>0</v>
      </c>
      <c r="X115" s="221">
        <v>0</v>
      </c>
      <c r="Y115" s="221">
        <v>0</v>
      </c>
      <c r="Z115" s="221">
        <v>0</v>
      </c>
      <c r="AA115" s="221">
        <f t="shared" si="108"/>
        <v>0</v>
      </c>
      <c r="AB115" s="221">
        <v>0</v>
      </c>
      <c r="AC115" s="222">
        <v>0</v>
      </c>
      <c r="AD115" s="221">
        <f t="shared" si="172"/>
        <v>0</v>
      </c>
      <c r="AE115" s="221">
        <v>0</v>
      </c>
      <c r="AF115" s="169" t="s">
        <v>4680</v>
      </c>
      <c r="AG115" s="223">
        <v>0</v>
      </c>
      <c r="AH115" s="222">
        <v>0</v>
      </c>
      <c r="AI115" s="221">
        <v>0</v>
      </c>
      <c r="AJ115" s="169">
        <f t="shared" si="109"/>
        <v>0</v>
      </c>
      <c r="AK115" s="223">
        <v>0</v>
      </c>
      <c r="AL115" s="222">
        <v>0</v>
      </c>
      <c r="AM115" s="221">
        <f t="shared" si="172"/>
        <v>0</v>
      </c>
      <c r="AN115" s="153">
        <f t="shared" si="110"/>
        <v>0</v>
      </c>
      <c r="AO115" s="154">
        <f t="shared" si="111"/>
        <v>0</v>
      </c>
      <c r="AP115" s="221">
        <v>0</v>
      </c>
      <c r="AQ115" s="223">
        <v>0</v>
      </c>
      <c r="AR115" s="222">
        <f t="shared" ref="AR115:AS116" si="174">AR116</f>
        <v>0</v>
      </c>
      <c r="AS115" s="221">
        <f t="shared" si="174"/>
        <v>0</v>
      </c>
      <c r="AT115" s="155"/>
      <c r="AU115" s="156">
        <f t="shared" si="105"/>
        <v>0</v>
      </c>
      <c r="AV115" s="156">
        <f t="shared" si="106"/>
        <v>0</v>
      </c>
      <c r="AW115" s="157"/>
      <c r="AX115" s="150">
        <v>0</v>
      </c>
      <c r="AY115" s="221">
        <f t="shared" ref="AY115:BA116" si="175">AY116</f>
        <v>0</v>
      </c>
      <c r="AZ115" s="221">
        <f t="shared" si="175"/>
        <v>0</v>
      </c>
      <c r="BA115" s="221">
        <f t="shared" si="175"/>
        <v>0</v>
      </c>
      <c r="BB115" s="181">
        <v>4</v>
      </c>
      <c r="BC115" s="173" t="s">
        <v>671</v>
      </c>
      <c r="BD115" s="173" t="s">
        <v>693</v>
      </c>
      <c r="BE115" s="173" t="s">
        <v>630</v>
      </c>
      <c r="BF115" s="173" t="s">
        <v>630</v>
      </c>
      <c r="BG115" s="175" t="s">
        <v>5007</v>
      </c>
      <c r="BH115" s="224">
        <f>BH116</f>
        <v>0</v>
      </c>
      <c r="BI115" s="181"/>
      <c r="BJ115" s="173" t="s">
        <v>5008</v>
      </c>
      <c r="BK115" s="173" t="s">
        <v>5006</v>
      </c>
      <c r="BL115" s="182" t="s">
        <v>5009</v>
      </c>
      <c r="BM115" s="224">
        <f>BM116</f>
        <v>0</v>
      </c>
      <c r="BN115" s="160"/>
      <c r="BO115" s="161">
        <f t="shared" si="113"/>
        <v>0</v>
      </c>
      <c r="BP115" s="161"/>
    </row>
    <row r="116" spans="1:68" ht="51">
      <c r="A116" s="183" t="s">
        <v>5006</v>
      </c>
      <c r="B116" s="184"/>
      <c r="C116" s="185" t="s">
        <v>5007</v>
      </c>
      <c r="D116" s="146" t="s">
        <v>4692</v>
      </c>
      <c r="E116" s="185" t="s">
        <v>5007</v>
      </c>
      <c r="F116" s="186">
        <v>0</v>
      </c>
      <c r="G116" s="187">
        <v>0</v>
      </c>
      <c r="H116" s="187">
        <v>0</v>
      </c>
      <c r="I116" s="187">
        <v>0</v>
      </c>
      <c r="J116" s="186">
        <f>J117</f>
        <v>0</v>
      </c>
      <c r="K116" s="186">
        <f>K117</f>
        <v>0</v>
      </c>
      <c r="L116" s="188">
        <f t="shared" si="129"/>
        <v>0</v>
      </c>
      <c r="M116" s="188">
        <v>0</v>
      </c>
      <c r="N116" s="188">
        <v>0</v>
      </c>
      <c r="O116" s="188">
        <v>0</v>
      </c>
      <c r="P116" s="225">
        <f t="shared" si="172"/>
        <v>0</v>
      </c>
      <c r="Q116" s="225">
        <f t="shared" si="172"/>
        <v>0</v>
      </c>
      <c r="R116" s="225">
        <f t="shared" si="172"/>
        <v>0</v>
      </c>
      <c r="S116" s="150">
        <f t="shared" si="107"/>
        <v>0</v>
      </c>
      <c r="T116" s="213"/>
      <c r="U116" s="225">
        <f t="shared" si="173"/>
        <v>0</v>
      </c>
      <c r="V116" s="226">
        <f t="shared" si="173"/>
        <v>0</v>
      </c>
      <c r="W116" s="225">
        <f t="shared" si="173"/>
        <v>0</v>
      </c>
      <c r="X116" s="225">
        <v>0</v>
      </c>
      <c r="Y116" s="225">
        <v>0</v>
      </c>
      <c r="Z116" s="225">
        <v>0</v>
      </c>
      <c r="AA116" s="225">
        <f t="shared" si="108"/>
        <v>0</v>
      </c>
      <c r="AB116" s="225">
        <v>0</v>
      </c>
      <c r="AC116" s="226">
        <v>0</v>
      </c>
      <c r="AD116" s="225">
        <f t="shared" si="172"/>
        <v>0</v>
      </c>
      <c r="AE116" s="225">
        <v>0</v>
      </c>
      <c r="AF116" s="169" t="s">
        <v>4680</v>
      </c>
      <c r="AG116" s="212">
        <v>0</v>
      </c>
      <c r="AH116" s="226">
        <v>0</v>
      </c>
      <c r="AI116" s="225">
        <v>0</v>
      </c>
      <c r="AJ116" s="169">
        <f t="shared" si="109"/>
        <v>0</v>
      </c>
      <c r="AK116" s="212">
        <v>0</v>
      </c>
      <c r="AL116" s="226">
        <v>0</v>
      </c>
      <c r="AM116" s="225">
        <f t="shared" si="172"/>
        <v>0</v>
      </c>
      <c r="AN116" s="153">
        <f t="shared" si="110"/>
        <v>0</v>
      </c>
      <c r="AO116" s="154">
        <f t="shared" si="111"/>
        <v>0</v>
      </c>
      <c r="AP116" s="225">
        <v>0</v>
      </c>
      <c r="AQ116" s="212">
        <v>0</v>
      </c>
      <c r="AR116" s="226">
        <f t="shared" si="174"/>
        <v>0</v>
      </c>
      <c r="AS116" s="225">
        <f t="shared" si="174"/>
        <v>0</v>
      </c>
      <c r="AT116" s="155"/>
      <c r="AU116" s="156">
        <f t="shared" si="105"/>
        <v>0</v>
      </c>
      <c r="AV116" s="156">
        <f t="shared" si="106"/>
        <v>0</v>
      </c>
      <c r="AW116" s="157"/>
      <c r="AX116" s="150">
        <v>0</v>
      </c>
      <c r="AY116" s="225">
        <f t="shared" si="175"/>
        <v>0</v>
      </c>
      <c r="AZ116" s="225">
        <f t="shared" si="175"/>
        <v>0</v>
      </c>
      <c r="BA116" s="225">
        <f t="shared" si="175"/>
        <v>0</v>
      </c>
      <c r="BB116" s="191">
        <v>4</v>
      </c>
      <c r="BC116" s="183" t="s">
        <v>671</v>
      </c>
      <c r="BD116" s="183" t="s">
        <v>693</v>
      </c>
      <c r="BE116" s="183" t="s">
        <v>632</v>
      </c>
      <c r="BF116" s="183" t="s">
        <v>630</v>
      </c>
      <c r="BG116" s="185" t="s">
        <v>5007</v>
      </c>
      <c r="BH116" s="215">
        <f>BH117</f>
        <v>0</v>
      </c>
      <c r="BI116" s="191"/>
      <c r="BJ116" s="183" t="s">
        <v>5008</v>
      </c>
      <c r="BK116" s="183" t="s">
        <v>5006</v>
      </c>
      <c r="BL116" s="238" t="s">
        <v>5009</v>
      </c>
      <c r="BM116" s="215">
        <f>BM117</f>
        <v>0</v>
      </c>
      <c r="BN116" s="160"/>
      <c r="BO116" s="161">
        <f t="shared" si="113"/>
        <v>0</v>
      </c>
      <c r="BP116" s="161"/>
    </row>
    <row r="117" spans="1:68" ht="38.25">
      <c r="A117" s="194" t="s">
        <v>5006</v>
      </c>
      <c r="B117" s="195" t="s">
        <v>5010</v>
      </c>
      <c r="C117" s="196" t="s">
        <v>5011</v>
      </c>
      <c r="D117" s="146" t="s">
        <v>4692</v>
      </c>
      <c r="E117" s="196" t="s">
        <v>5011</v>
      </c>
      <c r="F117" s="150">
        <v>0</v>
      </c>
      <c r="G117" s="209">
        <v>0</v>
      </c>
      <c r="H117" s="209"/>
      <c r="I117" s="209">
        <v>0</v>
      </c>
      <c r="J117" s="150">
        <v>0</v>
      </c>
      <c r="K117" s="150">
        <v>0</v>
      </c>
      <c r="L117" s="150">
        <f t="shared" si="129"/>
        <v>0</v>
      </c>
      <c r="M117" s="150">
        <v>0</v>
      </c>
      <c r="N117" s="150"/>
      <c r="O117" s="150">
        <v>0</v>
      </c>
      <c r="P117" s="150">
        <v>0</v>
      </c>
      <c r="Q117" s="150"/>
      <c r="R117" s="150">
        <f>P117+Q117</f>
        <v>0</v>
      </c>
      <c r="S117" s="150">
        <f t="shared" si="107"/>
        <v>0</v>
      </c>
      <c r="T117" s="150"/>
      <c r="U117" s="150">
        <v>0</v>
      </c>
      <c r="V117" s="199"/>
      <c r="W117" s="150">
        <f>U117+V117</f>
        <v>0</v>
      </c>
      <c r="X117" s="150">
        <v>0</v>
      </c>
      <c r="Y117" s="150"/>
      <c r="Z117" s="150">
        <v>0</v>
      </c>
      <c r="AA117" s="150">
        <f t="shared" si="108"/>
        <v>0</v>
      </c>
      <c r="AB117" s="150">
        <v>0</v>
      </c>
      <c r="AC117" s="199"/>
      <c r="AD117" s="150">
        <f>AB117+AC117</f>
        <v>0</v>
      </c>
      <c r="AE117" s="150">
        <v>0</v>
      </c>
      <c r="AF117" s="169" t="s">
        <v>4680</v>
      </c>
      <c r="AG117" s="201">
        <v>0</v>
      </c>
      <c r="AH117" s="199"/>
      <c r="AI117" s="150">
        <v>0</v>
      </c>
      <c r="AJ117" s="169">
        <f t="shared" si="109"/>
        <v>0</v>
      </c>
      <c r="AK117" s="201">
        <v>0</v>
      </c>
      <c r="AL117" s="199"/>
      <c r="AM117" s="150">
        <f>AK117+AL117</f>
        <v>0</v>
      </c>
      <c r="AN117" s="153">
        <f t="shared" si="110"/>
        <v>0</v>
      </c>
      <c r="AO117" s="154">
        <f t="shared" si="111"/>
        <v>0</v>
      </c>
      <c r="AP117" s="150">
        <v>0</v>
      </c>
      <c r="AQ117" s="201">
        <v>0</v>
      </c>
      <c r="AR117" s="199"/>
      <c r="AS117" s="150">
        <f>AQ117+AR117</f>
        <v>0</v>
      </c>
      <c r="AT117" s="155"/>
      <c r="AU117" s="156">
        <f t="shared" si="105"/>
        <v>0</v>
      </c>
      <c r="AV117" s="156">
        <f t="shared" si="106"/>
        <v>0</v>
      </c>
      <c r="AW117" s="157"/>
      <c r="AX117" s="150">
        <v>0</v>
      </c>
      <c r="AY117" s="150">
        <v>0</v>
      </c>
      <c r="AZ117" s="150"/>
      <c r="BA117" s="150">
        <f t="shared" si="112"/>
        <v>0</v>
      </c>
      <c r="BB117" s="202">
        <v>4</v>
      </c>
      <c r="BC117" s="202" t="s">
        <v>671</v>
      </c>
      <c r="BD117" s="202" t="s">
        <v>693</v>
      </c>
      <c r="BE117" s="202" t="s">
        <v>632</v>
      </c>
      <c r="BF117" s="202" t="s">
        <v>632</v>
      </c>
      <c r="BG117" s="203" t="s">
        <v>5007</v>
      </c>
      <c r="BH117" s="216">
        <f>AS117</f>
        <v>0</v>
      </c>
      <c r="BI117" s="202"/>
      <c r="BJ117" s="194" t="s">
        <v>5008</v>
      </c>
      <c r="BK117" s="194" t="s">
        <v>5006</v>
      </c>
      <c r="BL117" s="207" t="s">
        <v>5009</v>
      </c>
      <c r="BM117" s="208">
        <f>BH117</f>
        <v>0</v>
      </c>
      <c r="BN117" s="160"/>
      <c r="BO117" s="161">
        <f t="shared" si="113"/>
        <v>0</v>
      </c>
      <c r="BP117" s="161"/>
    </row>
    <row r="118" spans="1:68" ht="38.25">
      <c r="A118" s="162" t="s">
        <v>5012</v>
      </c>
      <c r="B118" s="163"/>
      <c r="C118" s="164" t="s">
        <v>5013</v>
      </c>
      <c r="D118" s="146" t="s">
        <v>4692</v>
      </c>
      <c r="E118" s="164" t="s">
        <v>5013</v>
      </c>
      <c r="F118" s="232">
        <f>F119+F180+F192+F205</f>
        <v>180264935.56999996</v>
      </c>
      <c r="G118" s="166">
        <v>4434652.41</v>
      </c>
      <c r="H118" s="166">
        <v>177255659.87</v>
      </c>
      <c r="I118" s="166">
        <v>181690312.28000003</v>
      </c>
      <c r="J118" s="165">
        <f>J119+J180+J192+J205</f>
        <v>1193863.32</v>
      </c>
      <c r="K118" s="165">
        <f>K119+K180+K192+K205</f>
        <v>46685388.090000004</v>
      </c>
      <c r="L118" s="167">
        <f t="shared" si="129"/>
        <v>47879251.410000004</v>
      </c>
      <c r="M118" s="232">
        <f t="shared" ref="M118:BA118" si="176">M119+M180+M192+M205</f>
        <v>2415664.14</v>
      </c>
      <c r="N118" s="232">
        <f t="shared" si="176"/>
        <v>89441297.490306035</v>
      </c>
      <c r="O118" s="232">
        <f t="shared" si="176"/>
        <v>91856961.630306035</v>
      </c>
      <c r="P118" s="232">
        <f>P119+P180+P192+P205</f>
        <v>3790178.25</v>
      </c>
      <c r="Q118" s="232">
        <f>Q119+Q180+Q192+Q205</f>
        <v>139317791.63</v>
      </c>
      <c r="R118" s="232">
        <f>R119+R180+R192+R205</f>
        <v>143107969.88</v>
      </c>
      <c r="S118" s="150">
        <f t="shared" si="107"/>
        <v>190810626.50666666</v>
      </c>
      <c r="T118" s="213"/>
      <c r="U118" s="232">
        <f t="shared" ref="U118:AD118" si="177">U119+U180+U192+U205</f>
        <v>5636049.1600000001</v>
      </c>
      <c r="V118" s="233">
        <f t="shared" si="177"/>
        <v>186625996.68000001</v>
      </c>
      <c r="W118" s="232">
        <f t="shared" si="177"/>
        <v>192262045.84000003</v>
      </c>
      <c r="X118" s="232">
        <v>5636049.1600000001</v>
      </c>
      <c r="Y118" s="232">
        <v>186625996.68000001</v>
      </c>
      <c r="Z118" s="232">
        <v>192262045.84000003</v>
      </c>
      <c r="AA118" s="232">
        <f t="shared" si="108"/>
        <v>3317.0799999535084</v>
      </c>
      <c r="AB118" s="232">
        <v>6461981.9199999999</v>
      </c>
      <c r="AC118" s="233">
        <v>185803381</v>
      </c>
      <c r="AD118" s="232">
        <f t="shared" si="177"/>
        <v>192265362.91999999</v>
      </c>
      <c r="AE118" s="232">
        <v>192280683.12</v>
      </c>
      <c r="AF118" s="169" t="s">
        <v>4680</v>
      </c>
      <c r="AG118" s="234">
        <v>6477302.1199999992</v>
      </c>
      <c r="AH118" s="233">
        <v>185803381</v>
      </c>
      <c r="AI118" s="232">
        <v>192280683.12</v>
      </c>
      <c r="AJ118" s="169">
        <f t="shared" si="109"/>
        <v>-1811007.8600000143</v>
      </c>
      <c r="AK118" s="234">
        <v>6496747.7799999993</v>
      </c>
      <c r="AL118" s="233">
        <v>183972927.47999999</v>
      </c>
      <c r="AM118" s="232">
        <f t="shared" ref="AM118" si="178">AM119+AM180+AM192+AM205</f>
        <v>190469675.25999999</v>
      </c>
      <c r="AN118" s="153">
        <f t="shared" si="110"/>
        <v>309946.11000001431</v>
      </c>
      <c r="AO118" s="154">
        <f t="shared" si="111"/>
        <v>309946.11000001431</v>
      </c>
      <c r="AP118" s="232">
        <v>190469675.25999999</v>
      </c>
      <c r="AQ118" s="234">
        <v>190779621.37</v>
      </c>
      <c r="AR118" s="233">
        <f t="shared" ref="AR118:AS118" si="179">AR119+AR180+AR192+AR205</f>
        <v>0</v>
      </c>
      <c r="AS118" s="232">
        <f t="shared" si="179"/>
        <v>190779621.37</v>
      </c>
      <c r="AT118" s="155"/>
      <c r="AU118" s="156">
        <f t="shared" si="105"/>
        <v>-1795687.6599999964</v>
      </c>
      <c r="AV118" s="156">
        <f t="shared" si="106"/>
        <v>3317.0799999535084</v>
      </c>
      <c r="AW118" s="157"/>
      <c r="AX118" s="150">
        <v>192262045.84000003</v>
      </c>
      <c r="AY118" s="232">
        <f t="shared" si="176"/>
        <v>3210238.2700000005</v>
      </c>
      <c r="AZ118" s="232">
        <f t="shared" si="176"/>
        <v>188441945.85857147</v>
      </c>
      <c r="BA118" s="232">
        <f t="shared" si="176"/>
        <v>191652184.12857142</v>
      </c>
      <c r="BB118" s="171">
        <v>4</v>
      </c>
      <c r="BC118" s="162" t="s">
        <v>693</v>
      </c>
      <c r="BD118" s="162" t="s">
        <v>630</v>
      </c>
      <c r="BE118" s="162" t="s">
        <v>630</v>
      </c>
      <c r="BF118" s="162" t="s">
        <v>630</v>
      </c>
      <c r="BG118" s="164" t="s">
        <v>5013</v>
      </c>
      <c r="BH118" s="232">
        <f>BH119+BH180+BH192+BH205</f>
        <v>190779621.37</v>
      </c>
      <c r="BI118" s="171"/>
      <c r="BJ118" s="162" t="s">
        <v>5014</v>
      </c>
      <c r="BK118" s="162" t="s">
        <v>5012</v>
      </c>
      <c r="BL118" s="172" t="s">
        <v>5015</v>
      </c>
      <c r="BM118" s="232">
        <f>BM119+BM180+BM192+BM205</f>
        <v>190779621.37</v>
      </c>
      <c r="BN118" s="160"/>
      <c r="BO118" s="161">
        <f t="shared" si="113"/>
        <v>0</v>
      </c>
      <c r="BP118" s="161"/>
    </row>
    <row r="119" spans="1:68" ht="51">
      <c r="A119" s="173" t="s">
        <v>5016</v>
      </c>
      <c r="B119" s="174"/>
      <c r="C119" s="175" t="s">
        <v>5017</v>
      </c>
      <c r="D119" s="146" t="s">
        <v>4692</v>
      </c>
      <c r="E119" s="175" t="s">
        <v>5017</v>
      </c>
      <c r="F119" s="176">
        <v>174830775.59999996</v>
      </c>
      <c r="G119" s="177">
        <v>28680.68</v>
      </c>
      <c r="H119" s="177">
        <v>177255659.87</v>
      </c>
      <c r="I119" s="177">
        <v>177284340.55000001</v>
      </c>
      <c r="J119" s="176">
        <f>J120+J145+J153</f>
        <v>0</v>
      </c>
      <c r="K119" s="176">
        <f>K120+K145+K153</f>
        <v>46685388.090000004</v>
      </c>
      <c r="L119" s="178">
        <f t="shared" si="129"/>
        <v>46685388.090000004</v>
      </c>
      <c r="M119" s="178">
        <v>2125.65</v>
      </c>
      <c r="N119" s="178">
        <v>89355799.785306036</v>
      </c>
      <c r="O119" s="178">
        <v>89357925.435306042</v>
      </c>
      <c r="P119" s="221">
        <f t="shared" ref="P119:R119" si="180">P120+P145+P153</f>
        <v>17920.52</v>
      </c>
      <c r="Q119" s="221">
        <f t="shared" si="180"/>
        <v>139307791.63</v>
      </c>
      <c r="R119" s="221">
        <f t="shared" si="180"/>
        <v>139325712.15000001</v>
      </c>
      <c r="S119" s="150">
        <f t="shared" si="107"/>
        <v>185767616.19999999</v>
      </c>
      <c r="T119" s="213"/>
      <c r="U119" s="221">
        <f t="shared" ref="U119:W119" si="181">U120+U145+U153</f>
        <v>44021.79</v>
      </c>
      <c r="V119" s="222">
        <f t="shared" si="181"/>
        <v>186625996.68000001</v>
      </c>
      <c r="W119" s="221">
        <f t="shared" si="181"/>
        <v>186670018.47000003</v>
      </c>
      <c r="X119" s="221">
        <v>44021.79</v>
      </c>
      <c r="Y119" s="221">
        <v>186625996.68000001</v>
      </c>
      <c r="Z119" s="221">
        <v>186670018.47000003</v>
      </c>
      <c r="AA119" s="221">
        <f t="shared" si="108"/>
        <v>-309377.37000003457</v>
      </c>
      <c r="AB119" s="221">
        <v>557260.1</v>
      </c>
      <c r="AC119" s="222">
        <v>185803381</v>
      </c>
      <c r="AD119" s="221">
        <f t="shared" ref="AD119" si="182">AD120+AD145+AD153</f>
        <v>186360641.09999999</v>
      </c>
      <c r="AE119" s="221">
        <v>186371049.17000002</v>
      </c>
      <c r="AF119" s="169" t="s">
        <v>4680</v>
      </c>
      <c r="AG119" s="223">
        <v>567668.17000000004</v>
      </c>
      <c r="AH119" s="222">
        <v>185803381</v>
      </c>
      <c r="AI119" s="221">
        <v>186371049.17000002</v>
      </c>
      <c r="AJ119" s="169">
        <f t="shared" si="109"/>
        <v>-1811007.8600000143</v>
      </c>
      <c r="AK119" s="223">
        <v>587113.82999999996</v>
      </c>
      <c r="AL119" s="222">
        <v>183972927.47999999</v>
      </c>
      <c r="AM119" s="221">
        <f t="shared" ref="AM119" si="183">AM120+AM145+AM153</f>
        <v>184560041.31</v>
      </c>
      <c r="AN119" s="153">
        <f t="shared" si="110"/>
        <v>0</v>
      </c>
      <c r="AO119" s="154">
        <f t="shared" si="111"/>
        <v>0</v>
      </c>
      <c r="AP119" s="221">
        <v>184560041.31</v>
      </c>
      <c r="AQ119" s="223">
        <v>184560041.31</v>
      </c>
      <c r="AR119" s="222">
        <f t="shared" ref="AR119:AS119" si="184">AR120+AR145+AR153</f>
        <v>0</v>
      </c>
      <c r="AS119" s="221">
        <f t="shared" si="184"/>
        <v>184560041.31</v>
      </c>
      <c r="AT119" s="155"/>
      <c r="AU119" s="156">
        <f t="shared" si="105"/>
        <v>-1800599.7899999917</v>
      </c>
      <c r="AV119" s="156">
        <f t="shared" si="106"/>
        <v>-309377.37000003457</v>
      </c>
      <c r="AW119" s="157"/>
      <c r="AX119" s="150">
        <v>186670018.47000003</v>
      </c>
      <c r="AY119" s="221">
        <f t="shared" ref="AY119:BA119" si="185">AY120+AY145+AY153</f>
        <v>7963.24</v>
      </c>
      <c r="AZ119" s="221">
        <f t="shared" si="185"/>
        <v>186805880.86857146</v>
      </c>
      <c r="BA119" s="221">
        <f t="shared" si="185"/>
        <v>186813844.10857144</v>
      </c>
      <c r="BB119" s="181">
        <v>4</v>
      </c>
      <c r="BC119" s="173" t="s">
        <v>693</v>
      </c>
      <c r="BD119" s="173" t="s">
        <v>632</v>
      </c>
      <c r="BE119" s="173" t="s">
        <v>630</v>
      </c>
      <c r="BF119" s="173" t="s">
        <v>630</v>
      </c>
      <c r="BG119" s="175" t="s">
        <v>5017</v>
      </c>
      <c r="BH119" s="221">
        <f>BH120+BH145+BH153</f>
        <v>184560041.31</v>
      </c>
      <c r="BI119" s="181"/>
      <c r="BJ119" s="181" t="s">
        <v>5018</v>
      </c>
      <c r="BK119" s="173" t="s">
        <v>5016</v>
      </c>
      <c r="BL119" s="175" t="s">
        <v>5019</v>
      </c>
      <c r="BM119" s="221">
        <f>BM120+BM145+BM153</f>
        <v>184560041.31</v>
      </c>
      <c r="BN119" s="160"/>
      <c r="BO119" s="161">
        <f t="shared" si="113"/>
        <v>0</v>
      </c>
      <c r="BP119" s="161"/>
    </row>
    <row r="120" spans="1:68" ht="63.75">
      <c r="A120" s="183" t="s">
        <v>5020</v>
      </c>
      <c r="B120" s="184"/>
      <c r="C120" s="185" t="s">
        <v>5021</v>
      </c>
      <c r="D120" s="146" t="s">
        <v>4692</v>
      </c>
      <c r="E120" s="185" t="s">
        <v>5021</v>
      </c>
      <c r="F120" s="186">
        <v>172328057.90999997</v>
      </c>
      <c r="G120" s="187">
        <v>15675</v>
      </c>
      <c r="H120" s="187">
        <v>174659309.87</v>
      </c>
      <c r="I120" s="187">
        <v>174674984.87</v>
      </c>
      <c r="J120" s="186">
        <f>SUM(J121:J144)</f>
        <v>0</v>
      </c>
      <c r="K120" s="186">
        <f>SUM(K121:K144)</f>
        <v>46022105.090000004</v>
      </c>
      <c r="L120" s="188">
        <f t="shared" si="129"/>
        <v>46022105.090000004</v>
      </c>
      <c r="M120" s="188">
        <v>1500</v>
      </c>
      <c r="N120" s="188">
        <v>88340685.159999996</v>
      </c>
      <c r="O120" s="188">
        <v>88342185.159999996</v>
      </c>
      <c r="P120" s="225">
        <f t="shared" ref="P120:R120" si="186">SUM(P121:P144)</f>
        <v>2800</v>
      </c>
      <c r="Q120" s="225">
        <f t="shared" si="186"/>
        <v>137373370</v>
      </c>
      <c r="R120" s="225">
        <f t="shared" si="186"/>
        <v>137376170</v>
      </c>
      <c r="S120" s="150">
        <f t="shared" si="107"/>
        <v>183168226.66666666</v>
      </c>
      <c r="T120" s="213"/>
      <c r="U120" s="225">
        <f t="shared" ref="U120:W120" si="187">SUM(U121:U144)</f>
        <v>13845.24</v>
      </c>
      <c r="V120" s="226">
        <f t="shared" si="187"/>
        <v>184304578.68000001</v>
      </c>
      <c r="W120" s="225">
        <f t="shared" si="187"/>
        <v>184318423.92000002</v>
      </c>
      <c r="X120" s="225">
        <v>13845.24</v>
      </c>
      <c r="Y120" s="225">
        <v>184304578.68000001</v>
      </c>
      <c r="Z120" s="225">
        <v>184318423.92000002</v>
      </c>
      <c r="AA120" s="225">
        <f t="shared" si="108"/>
        <v>-602309.16000002623</v>
      </c>
      <c r="AB120" s="225">
        <v>524270.76</v>
      </c>
      <c r="AC120" s="226">
        <v>183191844</v>
      </c>
      <c r="AD120" s="225">
        <f t="shared" ref="AD120" si="188">SUM(AD121:AD144)</f>
        <v>183716114.75999999</v>
      </c>
      <c r="AE120" s="225">
        <v>183726522.83000001</v>
      </c>
      <c r="AF120" s="169" t="s">
        <v>4680</v>
      </c>
      <c r="AG120" s="212">
        <v>534678.83000000007</v>
      </c>
      <c r="AH120" s="226">
        <v>183191844</v>
      </c>
      <c r="AI120" s="225">
        <v>183726522.83000001</v>
      </c>
      <c r="AJ120" s="169">
        <f t="shared" si="109"/>
        <v>-1888694.6800000072</v>
      </c>
      <c r="AK120" s="212">
        <v>554124.49</v>
      </c>
      <c r="AL120" s="226">
        <v>181283703.66</v>
      </c>
      <c r="AM120" s="225">
        <f t="shared" ref="AM120" si="189">SUM(AM121:AM144)</f>
        <v>181837828.15000001</v>
      </c>
      <c r="AN120" s="153">
        <f t="shared" si="110"/>
        <v>0</v>
      </c>
      <c r="AO120" s="154">
        <f t="shared" si="111"/>
        <v>0</v>
      </c>
      <c r="AP120" s="225">
        <v>181837828.15000001</v>
      </c>
      <c r="AQ120" s="212">
        <v>181837828.15000001</v>
      </c>
      <c r="AR120" s="226">
        <f t="shared" ref="AR120:AS120" si="190">SUM(AR121:AR144)</f>
        <v>0</v>
      </c>
      <c r="AS120" s="225">
        <f t="shared" si="190"/>
        <v>181837828.15000001</v>
      </c>
      <c r="AT120" s="155"/>
      <c r="AU120" s="156">
        <f t="shared" si="105"/>
        <v>-1878286.6099999845</v>
      </c>
      <c r="AV120" s="156">
        <f t="shared" si="106"/>
        <v>-602309.16000002623</v>
      </c>
      <c r="AW120" s="157"/>
      <c r="AX120" s="150">
        <v>184318423.92000002</v>
      </c>
      <c r="AY120" s="225">
        <f t="shared" ref="AY120:BA120" si="191">SUM(AY121:AY144)</f>
        <v>2800</v>
      </c>
      <c r="AZ120" s="225">
        <f t="shared" si="191"/>
        <v>183848889.19714287</v>
      </c>
      <c r="BA120" s="225">
        <f t="shared" si="191"/>
        <v>183851689.19714287</v>
      </c>
      <c r="BB120" s="191">
        <v>4</v>
      </c>
      <c r="BC120" s="183" t="s">
        <v>693</v>
      </c>
      <c r="BD120" s="183" t="s">
        <v>632</v>
      </c>
      <c r="BE120" s="183" t="s">
        <v>632</v>
      </c>
      <c r="BF120" s="183" t="s">
        <v>630</v>
      </c>
      <c r="BG120" s="185" t="s">
        <v>5021</v>
      </c>
      <c r="BH120" s="225">
        <f>SUM(BH121:BH144)</f>
        <v>181837828.15000001</v>
      </c>
      <c r="BI120" s="191"/>
      <c r="BJ120" s="183" t="s">
        <v>5022</v>
      </c>
      <c r="BK120" s="183" t="s">
        <v>5020</v>
      </c>
      <c r="BL120" s="238" t="s">
        <v>5023</v>
      </c>
      <c r="BM120" s="225">
        <f>SUM(BM121:BM144)</f>
        <v>181837828.15000001</v>
      </c>
      <c r="BN120" s="160"/>
      <c r="BO120" s="161">
        <f t="shared" si="113"/>
        <v>0</v>
      </c>
      <c r="BP120" s="161"/>
    </row>
    <row r="121" spans="1:68" ht="36">
      <c r="A121" s="246" t="s">
        <v>513</v>
      </c>
      <c r="B121" s="228" t="s">
        <v>5024</v>
      </c>
      <c r="C121" s="229" t="s">
        <v>5025</v>
      </c>
      <c r="D121" s="146" t="s">
        <v>4692</v>
      </c>
      <c r="E121" s="196" t="s">
        <v>5025</v>
      </c>
      <c r="F121" s="150">
        <v>78118043.129999995</v>
      </c>
      <c r="G121" s="209">
        <v>0</v>
      </c>
      <c r="H121" s="209">
        <v>78809511.920000002</v>
      </c>
      <c r="I121" s="209">
        <v>78809511.920000002</v>
      </c>
      <c r="J121" s="150">
        <v>0</v>
      </c>
      <c r="K121" s="150">
        <v>20340753</v>
      </c>
      <c r="L121" s="150">
        <f t="shared" si="129"/>
        <v>20340753</v>
      </c>
      <c r="M121" s="150">
        <v>0</v>
      </c>
      <c r="N121" s="150">
        <v>39561492</v>
      </c>
      <c r="O121" s="150">
        <v>39561492</v>
      </c>
      <c r="P121" s="150">
        <v>0</v>
      </c>
      <c r="Q121" s="247">
        <v>59916845</v>
      </c>
      <c r="R121" s="150">
        <f t="shared" ref="R121:R144" si="192">P121+Q121</f>
        <v>59916845</v>
      </c>
      <c r="S121" s="150">
        <f t="shared" si="107"/>
        <v>79889126.666666657</v>
      </c>
      <c r="T121" s="150"/>
      <c r="U121" s="150">
        <v>0</v>
      </c>
      <c r="V121" s="248">
        <v>80400000</v>
      </c>
      <c r="W121" s="150">
        <f t="shared" ref="W121:W144" si="193">U121+V121</f>
        <v>80400000</v>
      </c>
      <c r="X121" s="150">
        <v>0</v>
      </c>
      <c r="Y121" s="150">
        <v>80400000</v>
      </c>
      <c r="Z121" s="150">
        <v>80400000</v>
      </c>
      <c r="AA121" s="150">
        <f t="shared" si="108"/>
        <v>-120390</v>
      </c>
      <c r="AB121" s="150">
        <v>0</v>
      </c>
      <c r="AC121" s="248">
        <v>80279610</v>
      </c>
      <c r="AD121" s="150">
        <f t="shared" ref="AD121:AD144" si="194">AB121+AC121</f>
        <v>80279610</v>
      </c>
      <c r="AE121" s="150">
        <v>80279610</v>
      </c>
      <c r="AF121" s="169" t="s">
        <v>4680</v>
      </c>
      <c r="AG121" s="201">
        <v>0</v>
      </c>
      <c r="AH121" s="248">
        <v>80279610</v>
      </c>
      <c r="AI121" s="150">
        <v>80279610</v>
      </c>
      <c r="AJ121" s="169">
        <f t="shared" si="109"/>
        <v>21761.659999996424</v>
      </c>
      <c r="AK121" s="201">
        <v>0</v>
      </c>
      <c r="AL121" s="248">
        <v>80301371.659999996</v>
      </c>
      <c r="AM121" s="150">
        <f t="shared" ref="AM121:AM144" si="195">AK121+AL121</f>
        <v>80301371.659999996</v>
      </c>
      <c r="AN121" s="153">
        <f t="shared" si="110"/>
        <v>0</v>
      </c>
      <c r="AO121" s="154">
        <f t="shared" si="111"/>
        <v>0</v>
      </c>
      <c r="AP121" s="150">
        <v>80301371.659999996</v>
      </c>
      <c r="AQ121" s="201">
        <v>80301371.659999996</v>
      </c>
      <c r="AR121" s="249"/>
      <c r="AS121" s="150">
        <f t="shared" ref="AS121:AS144" si="196">AQ121+AR121</f>
        <v>80301371.659999996</v>
      </c>
      <c r="AT121" s="155" t="s">
        <v>5026</v>
      </c>
      <c r="AU121" s="156">
        <f t="shared" si="105"/>
        <v>21761.659999996424</v>
      </c>
      <c r="AV121" s="156">
        <f t="shared" si="106"/>
        <v>-120390</v>
      </c>
      <c r="AW121" s="157" t="s">
        <v>5027</v>
      </c>
      <c r="AX121" s="150">
        <v>80400000</v>
      </c>
      <c r="AY121" s="150">
        <v>0</v>
      </c>
      <c r="AZ121" s="247">
        <v>80450000</v>
      </c>
      <c r="BA121" s="150">
        <f t="shared" si="112"/>
        <v>80450000</v>
      </c>
      <c r="BB121" s="202">
        <v>4</v>
      </c>
      <c r="BC121" s="202" t="s">
        <v>693</v>
      </c>
      <c r="BD121" s="202" t="s">
        <v>632</v>
      </c>
      <c r="BE121" s="202" t="s">
        <v>632</v>
      </c>
      <c r="BF121" s="202" t="s">
        <v>632</v>
      </c>
      <c r="BG121" s="203" t="s">
        <v>5028</v>
      </c>
      <c r="BH121" s="216">
        <f t="shared" ref="BH121:BH141" si="197">AS121</f>
        <v>80301371.659999996</v>
      </c>
      <c r="BI121" s="194" t="s">
        <v>1519</v>
      </c>
      <c r="BJ121" s="194" t="s">
        <v>5029</v>
      </c>
      <c r="BK121" s="194" t="s">
        <v>513</v>
      </c>
      <c r="BL121" s="207" t="s">
        <v>5030</v>
      </c>
      <c r="BM121" s="208">
        <f t="shared" ref="BM121:BM142" si="198">BH121</f>
        <v>80301371.659999996</v>
      </c>
      <c r="BN121" s="160"/>
      <c r="BO121" s="161">
        <f t="shared" si="113"/>
        <v>0</v>
      </c>
      <c r="BP121" s="161"/>
    </row>
    <row r="122" spans="1:68" ht="38.25">
      <c r="A122" s="246" t="s">
        <v>513</v>
      </c>
      <c r="B122" s="228" t="s">
        <v>5031</v>
      </c>
      <c r="C122" s="229" t="s">
        <v>5032</v>
      </c>
      <c r="D122" s="146" t="s">
        <v>4692</v>
      </c>
      <c r="E122" s="196" t="s">
        <v>5032</v>
      </c>
      <c r="F122" s="150">
        <v>0</v>
      </c>
      <c r="G122" s="209">
        <v>0</v>
      </c>
      <c r="H122" s="209"/>
      <c r="I122" s="209">
        <v>0</v>
      </c>
      <c r="J122" s="150">
        <v>0</v>
      </c>
      <c r="K122" s="150">
        <v>0</v>
      </c>
      <c r="L122" s="150">
        <f t="shared" si="129"/>
        <v>0</v>
      </c>
      <c r="M122" s="150">
        <v>0</v>
      </c>
      <c r="N122" s="150"/>
      <c r="O122" s="150">
        <v>0</v>
      </c>
      <c r="P122" s="150">
        <v>0</v>
      </c>
      <c r="Q122" s="150"/>
      <c r="R122" s="150">
        <f t="shared" si="192"/>
        <v>0</v>
      </c>
      <c r="S122" s="150">
        <f t="shared" si="107"/>
        <v>0</v>
      </c>
      <c r="T122" s="150"/>
      <c r="U122" s="150">
        <v>0</v>
      </c>
      <c r="V122" s="199"/>
      <c r="W122" s="150">
        <f t="shared" si="193"/>
        <v>0</v>
      </c>
      <c r="X122" s="150">
        <v>0</v>
      </c>
      <c r="Y122" s="150"/>
      <c r="Z122" s="150">
        <v>0</v>
      </c>
      <c r="AA122" s="150">
        <f t="shared" si="108"/>
        <v>0</v>
      </c>
      <c r="AB122" s="150">
        <v>0</v>
      </c>
      <c r="AC122" s="199"/>
      <c r="AD122" s="150">
        <f t="shared" si="194"/>
        <v>0</v>
      </c>
      <c r="AE122" s="150">
        <v>0</v>
      </c>
      <c r="AF122" s="169" t="s">
        <v>4680</v>
      </c>
      <c r="AG122" s="201">
        <v>0</v>
      </c>
      <c r="AH122" s="199"/>
      <c r="AI122" s="150">
        <v>0</v>
      </c>
      <c r="AJ122" s="169">
        <f t="shared" si="109"/>
        <v>0</v>
      </c>
      <c r="AK122" s="201">
        <v>0</v>
      </c>
      <c r="AL122" s="199"/>
      <c r="AM122" s="150">
        <f t="shared" si="195"/>
        <v>0</v>
      </c>
      <c r="AN122" s="153">
        <f t="shared" si="110"/>
        <v>0</v>
      </c>
      <c r="AO122" s="154">
        <f t="shared" si="111"/>
        <v>0</v>
      </c>
      <c r="AP122" s="150">
        <v>0</v>
      </c>
      <c r="AQ122" s="201">
        <v>0</v>
      </c>
      <c r="AR122" s="199"/>
      <c r="AS122" s="150">
        <f t="shared" si="196"/>
        <v>0</v>
      </c>
      <c r="AT122" s="155"/>
      <c r="AU122" s="156">
        <f t="shared" si="105"/>
        <v>0</v>
      </c>
      <c r="AV122" s="156">
        <f t="shared" si="106"/>
        <v>0</v>
      </c>
      <c r="AW122" s="157"/>
      <c r="AX122" s="150">
        <v>0</v>
      </c>
      <c r="AY122" s="150">
        <v>0</v>
      </c>
      <c r="AZ122" s="150"/>
      <c r="BA122" s="150">
        <f t="shared" si="112"/>
        <v>0</v>
      </c>
      <c r="BB122" s="202">
        <v>4</v>
      </c>
      <c r="BC122" s="202" t="s">
        <v>693</v>
      </c>
      <c r="BD122" s="202" t="s">
        <v>632</v>
      </c>
      <c r="BE122" s="202" t="s">
        <v>632</v>
      </c>
      <c r="BF122" s="202" t="s">
        <v>647</v>
      </c>
      <c r="BG122" s="203" t="s">
        <v>5033</v>
      </c>
      <c r="BH122" s="216">
        <f t="shared" si="197"/>
        <v>0</v>
      </c>
      <c r="BI122" s="194" t="s">
        <v>1519</v>
      </c>
      <c r="BJ122" s="194" t="s">
        <v>5029</v>
      </c>
      <c r="BK122" s="194" t="s">
        <v>513</v>
      </c>
      <c r="BL122" s="207" t="s">
        <v>5030</v>
      </c>
      <c r="BM122" s="208">
        <f t="shared" si="198"/>
        <v>0</v>
      </c>
      <c r="BN122" s="160"/>
      <c r="BO122" s="161">
        <f t="shared" si="113"/>
        <v>0</v>
      </c>
      <c r="BP122" s="161"/>
    </row>
    <row r="123" spans="1:68" ht="38.25">
      <c r="A123" s="246" t="s">
        <v>514</v>
      </c>
      <c r="B123" s="228" t="s">
        <v>5034</v>
      </c>
      <c r="C123" s="229" t="s">
        <v>5035</v>
      </c>
      <c r="D123" s="146" t="s">
        <v>4692</v>
      </c>
      <c r="E123" s="196" t="s">
        <v>5035</v>
      </c>
      <c r="F123" s="150">
        <v>16512343.27</v>
      </c>
      <c r="G123" s="209">
        <v>0</v>
      </c>
      <c r="H123" s="209">
        <v>16841678.050000001</v>
      </c>
      <c r="I123" s="209">
        <v>16841678.050000001</v>
      </c>
      <c r="J123" s="150">
        <v>0</v>
      </c>
      <c r="K123" s="150">
        <v>4420940.5</v>
      </c>
      <c r="L123" s="150">
        <f t="shared" si="129"/>
        <v>4420940.5</v>
      </c>
      <c r="M123" s="150">
        <v>0</v>
      </c>
      <c r="N123" s="150">
        <v>5517482</v>
      </c>
      <c r="O123" s="150">
        <v>5517482</v>
      </c>
      <c r="P123" s="150">
        <v>0</v>
      </c>
      <c r="Q123" s="247">
        <v>12324260</v>
      </c>
      <c r="R123" s="150">
        <f t="shared" si="192"/>
        <v>12324260</v>
      </c>
      <c r="S123" s="150">
        <f t="shared" si="107"/>
        <v>16432346.666666668</v>
      </c>
      <c r="T123" s="150"/>
      <c r="U123" s="150">
        <v>0</v>
      </c>
      <c r="V123" s="248">
        <v>17470004</v>
      </c>
      <c r="W123" s="150">
        <f t="shared" si="193"/>
        <v>17470004</v>
      </c>
      <c r="X123" s="150">
        <v>0</v>
      </c>
      <c r="Y123" s="150">
        <v>17470004</v>
      </c>
      <c r="Z123" s="150">
        <v>17470004</v>
      </c>
      <c r="AA123" s="150">
        <f t="shared" si="108"/>
        <v>-667612</v>
      </c>
      <c r="AB123" s="150">
        <v>0</v>
      </c>
      <c r="AC123" s="248">
        <v>16802392</v>
      </c>
      <c r="AD123" s="150">
        <f t="shared" si="194"/>
        <v>16802392</v>
      </c>
      <c r="AE123" s="150">
        <v>16802392</v>
      </c>
      <c r="AF123" s="169" t="s">
        <v>4680</v>
      </c>
      <c r="AG123" s="201">
        <v>0</v>
      </c>
      <c r="AH123" s="248">
        <v>16802392</v>
      </c>
      <c r="AI123" s="150">
        <v>16802392</v>
      </c>
      <c r="AJ123" s="169">
        <f t="shared" si="109"/>
        <v>-851</v>
      </c>
      <c r="AK123" s="201">
        <v>0</v>
      </c>
      <c r="AL123" s="248">
        <v>16801541</v>
      </c>
      <c r="AM123" s="150">
        <f t="shared" si="195"/>
        <v>16801541</v>
      </c>
      <c r="AN123" s="153">
        <f t="shared" si="110"/>
        <v>0</v>
      </c>
      <c r="AO123" s="154">
        <f t="shared" si="111"/>
        <v>0</v>
      </c>
      <c r="AP123" s="150">
        <v>16801541</v>
      </c>
      <c r="AQ123" s="201">
        <v>16801541</v>
      </c>
      <c r="AR123" s="249"/>
      <c r="AS123" s="150">
        <f t="shared" si="196"/>
        <v>16801541</v>
      </c>
      <c r="AT123" s="155" t="s">
        <v>5026</v>
      </c>
      <c r="AU123" s="156">
        <f t="shared" si="105"/>
        <v>-851</v>
      </c>
      <c r="AV123" s="156">
        <f t="shared" si="106"/>
        <v>-667612</v>
      </c>
      <c r="AW123" s="157" t="s">
        <v>5027</v>
      </c>
      <c r="AX123" s="150">
        <v>17470004</v>
      </c>
      <c r="AY123" s="150">
        <v>0</v>
      </c>
      <c r="AZ123" s="247">
        <v>16425589.857142858</v>
      </c>
      <c r="BA123" s="150">
        <f t="shared" si="112"/>
        <v>16425589.857142858</v>
      </c>
      <c r="BB123" s="202">
        <v>4</v>
      </c>
      <c r="BC123" s="202" t="s">
        <v>693</v>
      </c>
      <c r="BD123" s="202" t="s">
        <v>632</v>
      </c>
      <c r="BE123" s="202" t="s">
        <v>632</v>
      </c>
      <c r="BF123" s="202" t="s">
        <v>671</v>
      </c>
      <c r="BG123" s="203" t="s">
        <v>5036</v>
      </c>
      <c r="BH123" s="216">
        <f t="shared" si="197"/>
        <v>16801541</v>
      </c>
      <c r="BI123" s="194" t="s">
        <v>1519</v>
      </c>
      <c r="BJ123" s="194" t="s">
        <v>5037</v>
      </c>
      <c r="BK123" s="194" t="s">
        <v>514</v>
      </c>
      <c r="BL123" s="207" t="s">
        <v>5038</v>
      </c>
      <c r="BM123" s="208">
        <f t="shared" si="198"/>
        <v>16801541</v>
      </c>
      <c r="BN123" s="160"/>
      <c r="BO123" s="161">
        <f t="shared" si="113"/>
        <v>0</v>
      </c>
      <c r="BP123" s="161"/>
    </row>
    <row r="124" spans="1:68" ht="51">
      <c r="A124" s="246" t="s">
        <v>514</v>
      </c>
      <c r="B124" s="228" t="s">
        <v>5039</v>
      </c>
      <c r="C124" s="229" t="s">
        <v>5040</v>
      </c>
      <c r="D124" s="146" t="s">
        <v>4692</v>
      </c>
      <c r="E124" s="196" t="s">
        <v>5040</v>
      </c>
      <c r="F124" s="150">
        <v>0</v>
      </c>
      <c r="G124" s="209">
        <v>0</v>
      </c>
      <c r="H124" s="209"/>
      <c r="I124" s="209">
        <v>0</v>
      </c>
      <c r="J124" s="150">
        <v>0</v>
      </c>
      <c r="K124" s="150">
        <v>0</v>
      </c>
      <c r="L124" s="150">
        <f t="shared" si="129"/>
        <v>0</v>
      </c>
      <c r="M124" s="150">
        <v>0</v>
      </c>
      <c r="N124" s="150"/>
      <c r="O124" s="150">
        <v>0</v>
      </c>
      <c r="P124" s="150">
        <v>0</v>
      </c>
      <c r="Q124" s="150"/>
      <c r="R124" s="150">
        <f t="shared" si="192"/>
        <v>0</v>
      </c>
      <c r="S124" s="150">
        <f t="shared" si="107"/>
        <v>0</v>
      </c>
      <c r="T124" s="150"/>
      <c r="U124" s="150">
        <v>0</v>
      </c>
      <c r="V124" s="199"/>
      <c r="W124" s="150">
        <f t="shared" si="193"/>
        <v>0</v>
      </c>
      <c r="X124" s="150">
        <v>0</v>
      </c>
      <c r="Y124" s="150"/>
      <c r="Z124" s="150">
        <v>0</v>
      </c>
      <c r="AA124" s="150">
        <f t="shared" si="108"/>
        <v>0</v>
      </c>
      <c r="AB124" s="150">
        <v>0</v>
      </c>
      <c r="AC124" s="199"/>
      <c r="AD124" s="150">
        <f t="shared" si="194"/>
        <v>0</v>
      </c>
      <c r="AE124" s="150">
        <v>0</v>
      </c>
      <c r="AF124" s="169" t="s">
        <v>4680</v>
      </c>
      <c r="AG124" s="201">
        <v>0</v>
      </c>
      <c r="AH124" s="199"/>
      <c r="AI124" s="150">
        <v>0</v>
      </c>
      <c r="AJ124" s="169">
        <f t="shared" si="109"/>
        <v>0</v>
      </c>
      <c r="AK124" s="201">
        <v>0</v>
      </c>
      <c r="AL124" s="199"/>
      <c r="AM124" s="150">
        <f t="shared" si="195"/>
        <v>0</v>
      </c>
      <c r="AN124" s="153">
        <f t="shared" si="110"/>
        <v>0</v>
      </c>
      <c r="AO124" s="154">
        <f t="shared" si="111"/>
        <v>0</v>
      </c>
      <c r="AP124" s="150">
        <v>0</v>
      </c>
      <c r="AQ124" s="201">
        <v>0</v>
      </c>
      <c r="AR124" s="199"/>
      <c r="AS124" s="150">
        <f t="shared" si="196"/>
        <v>0</v>
      </c>
      <c r="AT124" s="155"/>
      <c r="AU124" s="156">
        <f t="shared" si="105"/>
        <v>0</v>
      </c>
      <c r="AV124" s="156">
        <f t="shared" si="106"/>
        <v>0</v>
      </c>
      <c r="AW124" s="157"/>
      <c r="AX124" s="150">
        <v>0</v>
      </c>
      <c r="AY124" s="150">
        <v>0</v>
      </c>
      <c r="AZ124" s="150"/>
      <c r="BA124" s="150">
        <f t="shared" si="112"/>
        <v>0</v>
      </c>
      <c r="BB124" s="202">
        <v>4</v>
      </c>
      <c r="BC124" s="202" t="s">
        <v>693</v>
      </c>
      <c r="BD124" s="202" t="s">
        <v>632</v>
      </c>
      <c r="BE124" s="202" t="s">
        <v>632</v>
      </c>
      <c r="BF124" s="202" t="s">
        <v>693</v>
      </c>
      <c r="BG124" s="203" t="s">
        <v>5041</v>
      </c>
      <c r="BH124" s="216">
        <f t="shared" si="197"/>
        <v>0</v>
      </c>
      <c r="BI124" s="194" t="s">
        <v>1519</v>
      </c>
      <c r="BJ124" s="194" t="s">
        <v>5037</v>
      </c>
      <c r="BK124" s="194" t="s">
        <v>514</v>
      </c>
      <c r="BL124" s="207" t="s">
        <v>5038</v>
      </c>
      <c r="BM124" s="208">
        <f t="shared" si="198"/>
        <v>0</v>
      </c>
      <c r="BN124" s="160"/>
      <c r="BO124" s="161">
        <f t="shared" si="113"/>
        <v>0</v>
      </c>
      <c r="BP124" s="161"/>
    </row>
    <row r="125" spans="1:68" ht="36">
      <c r="A125" s="246" t="s">
        <v>5042</v>
      </c>
      <c r="B125" s="228" t="s">
        <v>5043</v>
      </c>
      <c r="C125" s="229" t="s">
        <v>5044</v>
      </c>
      <c r="D125" s="146" t="s">
        <v>4692</v>
      </c>
      <c r="E125" s="196" t="s">
        <v>5044</v>
      </c>
      <c r="F125" s="150">
        <v>3267105</v>
      </c>
      <c r="G125" s="209">
        <v>0</v>
      </c>
      <c r="H125" s="209">
        <v>3262296.28</v>
      </c>
      <c r="I125" s="209">
        <v>3262296.28</v>
      </c>
      <c r="J125" s="150">
        <v>0</v>
      </c>
      <c r="K125" s="150">
        <v>847324</v>
      </c>
      <c r="L125" s="150">
        <f t="shared" si="129"/>
        <v>847324</v>
      </c>
      <c r="M125" s="150">
        <v>0</v>
      </c>
      <c r="N125" s="150">
        <v>1763893</v>
      </c>
      <c r="O125" s="150">
        <v>1763893</v>
      </c>
      <c r="P125" s="150">
        <v>0</v>
      </c>
      <c r="Q125" s="247">
        <v>2687050</v>
      </c>
      <c r="R125" s="150">
        <f t="shared" si="192"/>
        <v>2687050</v>
      </c>
      <c r="S125" s="150">
        <f t="shared" si="107"/>
        <v>3582733.3333333335</v>
      </c>
      <c r="T125" s="150"/>
      <c r="U125" s="150">
        <v>0</v>
      </c>
      <c r="V125" s="248">
        <v>3579703</v>
      </c>
      <c r="W125" s="150">
        <f t="shared" si="193"/>
        <v>3579703</v>
      </c>
      <c r="X125" s="150">
        <v>0</v>
      </c>
      <c r="Y125" s="150">
        <v>3579703</v>
      </c>
      <c r="Z125" s="150">
        <v>3579703</v>
      </c>
      <c r="AA125" s="150">
        <f t="shared" si="108"/>
        <v>-788</v>
      </c>
      <c r="AB125" s="150">
        <v>0</v>
      </c>
      <c r="AC125" s="248">
        <v>3578915</v>
      </c>
      <c r="AD125" s="150">
        <f t="shared" si="194"/>
        <v>3578915</v>
      </c>
      <c r="AE125" s="150">
        <v>3578915</v>
      </c>
      <c r="AF125" s="169" t="s">
        <v>4680</v>
      </c>
      <c r="AG125" s="201">
        <v>0</v>
      </c>
      <c r="AH125" s="248">
        <v>3578915</v>
      </c>
      <c r="AI125" s="150">
        <v>3578915</v>
      </c>
      <c r="AJ125" s="169">
        <f t="shared" si="109"/>
        <v>86291</v>
      </c>
      <c r="AK125" s="201">
        <v>0</v>
      </c>
      <c r="AL125" s="248">
        <v>3665206</v>
      </c>
      <c r="AM125" s="150">
        <f t="shared" si="195"/>
        <v>3665206</v>
      </c>
      <c r="AN125" s="153">
        <f t="shared" si="110"/>
        <v>0</v>
      </c>
      <c r="AO125" s="154">
        <f t="shared" si="111"/>
        <v>0</v>
      </c>
      <c r="AP125" s="150">
        <v>3665206</v>
      </c>
      <c r="AQ125" s="201">
        <v>3665206</v>
      </c>
      <c r="AR125" s="249"/>
      <c r="AS125" s="150">
        <f t="shared" si="196"/>
        <v>3665206</v>
      </c>
      <c r="AT125" s="155" t="s">
        <v>5026</v>
      </c>
      <c r="AU125" s="156">
        <f t="shared" si="105"/>
        <v>86291</v>
      </c>
      <c r="AV125" s="156">
        <f t="shared" si="106"/>
        <v>-788</v>
      </c>
      <c r="AW125" s="157" t="s">
        <v>5027</v>
      </c>
      <c r="AX125" s="150">
        <v>3579703</v>
      </c>
      <c r="AY125" s="150">
        <v>0</v>
      </c>
      <c r="AZ125" s="247">
        <v>3567316.5</v>
      </c>
      <c r="BA125" s="150">
        <f t="shared" si="112"/>
        <v>3567316.5</v>
      </c>
      <c r="BB125" s="202">
        <v>4</v>
      </c>
      <c r="BC125" s="202" t="s">
        <v>693</v>
      </c>
      <c r="BD125" s="202" t="s">
        <v>632</v>
      </c>
      <c r="BE125" s="202" t="s">
        <v>632</v>
      </c>
      <c r="BF125" s="194" t="s">
        <v>1855</v>
      </c>
      <c r="BG125" s="203" t="s">
        <v>5044</v>
      </c>
      <c r="BH125" s="216">
        <f t="shared" si="197"/>
        <v>3665206</v>
      </c>
      <c r="BI125" s="194" t="s">
        <v>1519</v>
      </c>
      <c r="BJ125" s="194" t="s">
        <v>5045</v>
      </c>
      <c r="BK125" s="194" t="s">
        <v>5042</v>
      </c>
      <c r="BL125" s="207" t="s">
        <v>5046</v>
      </c>
      <c r="BM125" s="208">
        <f t="shared" si="198"/>
        <v>3665206</v>
      </c>
      <c r="BN125" s="160"/>
      <c r="BO125" s="161">
        <f t="shared" si="113"/>
        <v>0</v>
      </c>
      <c r="BP125" s="161"/>
    </row>
    <row r="126" spans="1:68" ht="38.25">
      <c r="A126" s="246" t="s">
        <v>515</v>
      </c>
      <c r="B126" s="228" t="s">
        <v>5047</v>
      </c>
      <c r="C126" s="229" t="s">
        <v>5048</v>
      </c>
      <c r="D126" s="146" t="s">
        <v>4692</v>
      </c>
      <c r="E126" s="196" t="s">
        <v>5048</v>
      </c>
      <c r="F126" s="150">
        <v>0</v>
      </c>
      <c r="G126" s="209">
        <v>0</v>
      </c>
      <c r="H126" s="209"/>
      <c r="I126" s="209">
        <v>0</v>
      </c>
      <c r="J126" s="150">
        <v>0</v>
      </c>
      <c r="K126" s="150">
        <v>0</v>
      </c>
      <c r="L126" s="150">
        <f t="shared" si="129"/>
        <v>0</v>
      </c>
      <c r="M126" s="150">
        <v>0</v>
      </c>
      <c r="N126" s="150"/>
      <c r="O126" s="150">
        <v>0</v>
      </c>
      <c r="P126" s="150">
        <v>0</v>
      </c>
      <c r="Q126" s="150"/>
      <c r="R126" s="150">
        <f t="shared" si="192"/>
        <v>0</v>
      </c>
      <c r="S126" s="150">
        <f t="shared" si="107"/>
        <v>0</v>
      </c>
      <c r="T126" s="150"/>
      <c r="U126" s="150">
        <v>0</v>
      </c>
      <c r="V126" s="199"/>
      <c r="W126" s="150">
        <f t="shared" si="193"/>
        <v>0</v>
      </c>
      <c r="X126" s="150">
        <v>0</v>
      </c>
      <c r="Y126" s="150"/>
      <c r="Z126" s="150">
        <v>0</v>
      </c>
      <c r="AA126" s="150">
        <f t="shared" si="108"/>
        <v>0</v>
      </c>
      <c r="AB126" s="150">
        <v>0</v>
      </c>
      <c r="AC126" s="199"/>
      <c r="AD126" s="150">
        <f t="shared" si="194"/>
        <v>0</v>
      </c>
      <c r="AE126" s="150">
        <v>0</v>
      </c>
      <c r="AF126" s="169" t="s">
        <v>4680</v>
      </c>
      <c r="AG126" s="201">
        <v>0</v>
      </c>
      <c r="AH126" s="199"/>
      <c r="AI126" s="150">
        <v>0</v>
      </c>
      <c r="AJ126" s="169">
        <f t="shared" si="109"/>
        <v>0</v>
      </c>
      <c r="AK126" s="201">
        <v>0</v>
      </c>
      <c r="AL126" s="199"/>
      <c r="AM126" s="150">
        <f t="shared" si="195"/>
        <v>0</v>
      </c>
      <c r="AN126" s="153">
        <f t="shared" si="110"/>
        <v>0</v>
      </c>
      <c r="AO126" s="154">
        <f t="shared" si="111"/>
        <v>0</v>
      </c>
      <c r="AP126" s="150">
        <v>0</v>
      </c>
      <c r="AQ126" s="201">
        <v>0</v>
      </c>
      <c r="AR126" s="199"/>
      <c r="AS126" s="150">
        <f t="shared" si="196"/>
        <v>0</v>
      </c>
      <c r="AT126" s="155"/>
      <c r="AU126" s="156">
        <f t="shared" si="105"/>
        <v>0</v>
      </c>
      <c r="AV126" s="156">
        <f t="shared" si="106"/>
        <v>0</v>
      </c>
      <c r="AW126" s="157"/>
      <c r="AX126" s="150">
        <v>0</v>
      </c>
      <c r="AY126" s="150">
        <v>0</v>
      </c>
      <c r="AZ126" s="150"/>
      <c r="BA126" s="150">
        <f t="shared" si="112"/>
        <v>0</v>
      </c>
      <c r="BB126" s="202">
        <v>4</v>
      </c>
      <c r="BC126" s="202" t="s">
        <v>693</v>
      </c>
      <c r="BD126" s="202" t="s">
        <v>632</v>
      </c>
      <c r="BE126" s="202" t="s">
        <v>632</v>
      </c>
      <c r="BF126" s="202" t="s">
        <v>714</v>
      </c>
      <c r="BG126" s="203" t="s">
        <v>37</v>
      </c>
      <c r="BH126" s="216">
        <f t="shared" si="197"/>
        <v>0</v>
      </c>
      <c r="BI126" s="194" t="s">
        <v>1519</v>
      </c>
      <c r="BJ126" s="194" t="s">
        <v>5049</v>
      </c>
      <c r="BK126" s="194" t="s">
        <v>515</v>
      </c>
      <c r="BL126" s="207" t="s">
        <v>5050</v>
      </c>
      <c r="BM126" s="208">
        <f t="shared" si="198"/>
        <v>0</v>
      </c>
      <c r="BN126" s="160"/>
      <c r="BO126" s="161">
        <f t="shared" si="113"/>
        <v>0</v>
      </c>
      <c r="BP126" s="161"/>
    </row>
    <row r="127" spans="1:68" ht="36">
      <c r="A127" s="246" t="s">
        <v>516</v>
      </c>
      <c r="B127" s="228" t="s">
        <v>5051</v>
      </c>
      <c r="C127" s="229" t="s">
        <v>5052</v>
      </c>
      <c r="D127" s="146" t="s">
        <v>4692</v>
      </c>
      <c r="E127" s="196" t="s">
        <v>5052</v>
      </c>
      <c r="F127" s="150">
        <v>58335180.189999998</v>
      </c>
      <c r="G127" s="209">
        <v>0</v>
      </c>
      <c r="H127" s="209">
        <v>58536725</v>
      </c>
      <c r="I127" s="209">
        <v>58536725</v>
      </c>
      <c r="J127" s="150">
        <v>0</v>
      </c>
      <c r="K127" s="150">
        <v>15520227</v>
      </c>
      <c r="L127" s="150">
        <f t="shared" si="129"/>
        <v>15520227</v>
      </c>
      <c r="M127" s="150">
        <v>0</v>
      </c>
      <c r="N127" s="150">
        <v>31519246</v>
      </c>
      <c r="O127" s="150">
        <v>31519246</v>
      </c>
      <c r="P127" s="150">
        <v>0</v>
      </c>
      <c r="Q127" s="150">
        <v>47671796</v>
      </c>
      <c r="R127" s="150">
        <f t="shared" si="192"/>
        <v>47671796</v>
      </c>
      <c r="S127" s="150">
        <f t="shared" si="107"/>
        <v>63562394.666666664</v>
      </c>
      <c r="T127" s="150"/>
      <c r="U127" s="150">
        <v>0</v>
      </c>
      <c r="V127" s="199">
        <v>62890573</v>
      </c>
      <c r="W127" s="150">
        <f t="shared" si="193"/>
        <v>62890573</v>
      </c>
      <c r="X127" s="150">
        <v>0</v>
      </c>
      <c r="Y127" s="150">
        <v>62890573</v>
      </c>
      <c r="Z127" s="150">
        <v>62890573</v>
      </c>
      <c r="AA127" s="150">
        <f t="shared" si="108"/>
        <v>0</v>
      </c>
      <c r="AB127" s="150">
        <v>0</v>
      </c>
      <c r="AC127" s="199">
        <v>62890573</v>
      </c>
      <c r="AD127" s="150">
        <f t="shared" si="194"/>
        <v>62890573</v>
      </c>
      <c r="AE127" s="150">
        <v>62890573</v>
      </c>
      <c r="AF127" s="169" t="s">
        <v>4680</v>
      </c>
      <c r="AG127" s="201">
        <v>0</v>
      </c>
      <c r="AH127" s="199">
        <v>62890573</v>
      </c>
      <c r="AI127" s="150">
        <v>62890573</v>
      </c>
      <c r="AJ127" s="169">
        <f t="shared" si="109"/>
        <v>-1074593</v>
      </c>
      <c r="AK127" s="201">
        <v>0</v>
      </c>
      <c r="AL127" s="199">
        <v>61815980</v>
      </c>
      <c r="AM127" s="150">
        <f t="shared" si="195"/>
        <v>61815980</v>
      </c>
      <c r="AN127" s="153">
        <f t="shared" si="110"/>
        <v>0</v>
      </c>
      <c r="AO127" s="154">
        <f t="shared" si="111"/>
        <v>0</v>
      </c>
      <c r="AP127" s="150">
        <v>61815980</v>
      </c>
      <c r="AQ127" s="201">
        <v>61815980</v>
      </c>
      <c r="AR127" s="199"/>
      <c r="AS127" s="150">
        <f t="shared" si="196"/>
        <v>61815980</v>
      </c>
      <c r="AT127" s="155" t="s">
        <v>5026</v>
      </c>
      <c r="AU127" s="156">
        <f t="shared" si="105"/>
        <v>-1074593</v>
      </c>
      <c r="AV127" s="156">
        <f t="shared" si="106"/>
        <v>0</v>
      </c>
      <c r="AW127" s="157" t="s">
        <v>5027</v>
      </c>
      <c r="AX127" s="150">
        <v>62890573</v>
      </c>
      <c r="AY127" s="150">
        <v>0</v>
      </c>
      <c r="AZ127" s="150">
        <v>63201700.5</v>
      </c>
      <c r="BA127" s="150">
        <f t="shared" si="112"/>
        <v>63201700.5</v>
      </c>
      <c r="BB127" s="202">
        <v>4</v>
      </c>
      <c r="BC127" s="202" t="s">
        <v>693</v>
      </c>
      <c r="BD127" s="202" t="s">
        <v>632</v>
      </c>
      <c r="BE127" s="202" t="s">
        <v>632</v>
      </c>
      <c r="BF127" s="202" t="s">
        <v>739</v>
      </c>
      <c r="BG127" s="203" t="s">
        <v>38</v>
      </c>
      <c r="BH127" s="216">
        <f t="shared" si="197"/>
        <v>61815980</v>
      </c>
      <c r="BI127" s="194" t="s">
        <v>1519</v>
      </c>
      <c r="BJ127" s="194" t="s">
        <v>5053</v>
      </c>
      <c r="BK127" s="194" t="s">
        <v>516</v>
      </c>
      <c r="BL127" s="207" t="s">
        <v>5054</v>
      </c>
      <c r="BM127" s="208">
        <f t="shared" si="198"/>
        <v>61815980</v>
      </c>
      <c r="BN127" s="160"/>
      <c r="BO127" s="161">
        <f t="shared" si="113"/>
        <v>0</v>
      </c>
      <c r="BP127" s="161"/>
    </row>
    <row r="128" spans="1:68" ht="36">
      <c r="A128" s="246" t="s">
        <v>516</v>
      </c>
      <c r="B128" s="228" t="s">
        <v>5055</v>
      </c>
      <c r="C128" s="229" t="s">
        <v>5056</v>
      </c>
      <c r="D128" s="146" t="s">
        <v>4692</v>
      </c>
      <c r="E128" s="196" t="s">
        <v>5056</v>
      </c>
      <c r="F128" s="150">
        <v>15987682</v>
      </c>
      <c r="G128" s="209">
        <v>0</v>
      </c>
      <c r="H128" s="209">
        <v>17209098.620000001</v>
      </c>
      <c r="I128" s="209">
        <v>17209098.620000001</v>
      </c>
      <c r="J128" s="150">
        <v>0</v>
      </c>
      <c r="K128" s="150">
        <v>4892860.59</v>
      </c>
      <c r="L128" s="150">
        <f t="shared" si="129"/>
        <v>4892860.59</v>
      </c>
      <c r="M128" s="150">
        <v>0</v>
      </c>
      <c r="N128" s="150">
        <v>9926220</v>
      </c>
      <c r="O128" s="150">
        <v>9926220</v>
      </c>
      <c r="P128" s="150">
        <v>0</v>
      </c>
      <c r="Q128" s="150">
        <v>14711472</v>
      </c>
      <c r="R128" s="150">
        <f t="shared" si="192"/>
        <v>14711472</v>
      </c>
      <c r="S128" s="150">
        <f t="shared" si="107"/>
        <v>19615296</v>
      </c>
      <c r="T128" s="150"/>
      <c r="U128" s="150">
        <v>0</v>
      </c>
      <c r="V128" s="199">
        <v>19755485</v>
      </c>
      <c r="W128" s="150">
        <f t="shared" si="193"/>
        <v>19755485</v>
      </c>
      <c r="X128" s="150">
        <v>0</v>
      </c>
      <c r="Y128" s="150">
        <v>19755485</v>
      </c>
      <c r="Z128" s="150">
        <v>19755485</v>
      </c>
      <c r="AA128" s="150">
        <f t="shared" si="108"/>
        <v>-115131</v>
      </c>
      <c r="AB128" s="150">
        <v>0</v>
      </c>
      <c r="AC128" s="199">
        <v>19640354</v>
      </c>
      <c r="AD128" s="150">
        <f t="shared" si="194"/>
        <v>19640354</v>
      </c>
      <c r="AE128" s="150">
        <v>19640354</v>
      </c>
      <c r="AF128" s="169" t="s">
        <v>4680</v>
      </c>
      <c r="AG128" s="201">
        <v>0</v>
      </c>
      <c r="AH128" s="199">
        <v>19640354</v>
      </c>
      <c r="AI128" s="150">
        <v>19640354</v>
      </c>
      <c r="AJ128" s="169">
        <f t="shared" si="109"/>
        <v>-940749</v>
      </c>
      <c r="AK128" s="201">
        <v>0</v>
      </c>
      <c r="AL128" s="199">
        <v>18699605</v>
      </c>
      <c r="AM128" s="150">
        <f t="shared" si="195"/>
        <v>18699605</v>
      </c>
      <c r="AN128" s="153">
        <f t="shared" si="110"/>
        <v>0</v>
      </c>
      <c r="AO128" s="154">
        <f t="shared" si="111"/>
        <v>0</v>
      </c>
      <c r="AP128" s="150">
        <v>18699605</v>
      </c>
      <c r="AQ128" s="201">
        <v>18699605</v>
      </c>
      <c r="AR128" s="199"/>
      <c r="AS128" s="150">
        <f t="shared" si="196"/>
        <v>18699605</v>
      </c>
      <c r="AT128" s="155" t="s">
        <v>5026</v>
      </c>
      <c r="AU128" s="156">
        <f t="shared" si="105"/>
        <v>-940749</v>
      </c>
      <c r="AV128" s="156">
        <f t="shared" si="106"/>
        <v>-115131</v>
      </c>
      <c r="AW128" s="157" t="s">
        <v>5027</v>
      </c>
      <c r="AX128" s="150">
        <v>19755485</v>
      </c>
      <c r="AY128" s="150">
        <v>0</v>
      </c>
      <c r="AZ128" s="150">
        <v>19937351.609999999</v>
      </c>
      <c r="BA128" s="150">
        <f t="shared" si="112"/>
        <v>19937351.609999999</v>
      </c>
      <c r="BB128" s="202">
        <v>4</v>
      </c>
      <c r="BC128" s="202" t="s">
        <v>693</v>
      </c>
      <c r="BD128" s="202" t="s">
        <v>632</v>
      </c>
      <c r="BE128" s="202" t="s">
        <v>632</v>
      </c>
      <c r="BF128" s="194" t="s">
        <v>1850</v>
      </c>
      <c r="BG128" s="203" t="s">
        <v>5056</v>
      </c>
      <c r="BH128" s="216">
        <f t="shared" si="197"/>
        <v>18699605</v>
      </c>
      <c r="BI128" s="194" t="s">
        <v>1519</v>
      </c>
      <c r="BJ128" s="194" t="s">
        <v>5053</v>
      </c>
      <c r="BK128" s="194" t="s">
        <v>516</v>
      </c>
      <c r="BL128" s="207" t="s">
        <v>5057</v>
      </c>
      <c r="BM128" s="208">
        <f t="shared" si="198"/>
        <v>18699605</v>
      </c>
      <c r="BN128" s="160"/>
      <c r="BO128" s="161">
        <f t="shared" si="113"/>
        <v>0</v>
      </c>
      <c r="BP128" s="161"/>
    </row>
    <row r="129" spans="1:68" ht="25.5">
      <c r="A129" s="246" t="s">
        <v>517</v>
      </c>
      <c r="B129" s="228" t="s">
        <v>5058</v>
      </c>
      <c r="C129" s="229" t="s">
        <v>5059</v>
      </c>
      <c r="D129" s="146" t="s">
        <v>4692</v>
      </c>
      <c r="E129" s="196" t="s">
        <v>5059</v>
      </c>
      <c r="F129" s="150">
        <v>0</v>
      </c>
      <c r="G129" s="209">
        <v>0</v>
      </c>
      <c r="H129" s="209"/>
      <c r="I129" s="209">
        <v>0</v>
      </c>
      <c r="J129" s="150">
        <v>0</v>
      </c>
      <c r="K129" s="150">
        <v>0</v>
      </c>
      <c r="L129" s="150">
        <f t="shared" si="129"/>
        <v>0</v>
      </c>
      <c r="M129" s="150">
        <v>0</v>
      </c>
      <c r="N129" s="150"/>
      <c r="O129" s="150">
        <v>0</v>
      </c>
      <c r="P129" s="150">
        <v>0</v>
      </c>
      <c r="Q129" s="150"/>
      <c r="R129" s="150">
        <f t="shared" si="192"/>
        <v>0</v>
      </c>
      <c r="S129" s="150">
        <f t="shared" si="107"/>
        <v>0</v>
      </c>
      <c r="T129" s="150"/>
      <c r="U129" s="150">
        <v>0</v>
      </c>
      <c r="V129" s="199"/>
      <c r="W129" s="150">
        <f t="shared" si="193"/>
        <v>0</v>
      </c>
      <c r="X129" s="150">
        <v>0</v>
      </c>
      <c r="Y129" s="150"/>
      <c r="Z129" s="150">
        <v>0</v>
      </c>
      <c r="AA129" s="150">
        <f t="shared" si="108"/>
        <v>0</v>
      </c>
      <c r="AB129" s="150">
        <v>0</v>
      </c>
      <c r="AC129" s="199"/>
      <c r="AD129" s="150">
        <f t="shared" si="194"/>
        <v>0</v>
      </c>
      <c r="AE129" s="150">
        <v>0</v>
      </c>
      <c r="AF129" s="169" t="s">
        <v>4680</v>
      </c>
      <c r="AG129" s="201">
        <v>0</v>
      </c>
      <c r="AH129" s="199"/>
      <c r="AI129" s="150">
        <v>0</v>
      </c>
      <c r="AJ129" s="169">
        <f t="shared" si="109"/>
        <v>0</v>
      </c>
      <c r="AK129" s="201">
        <v>0</v>
      </c>
      <c r="AL129" s="199"/>
      <c r="AM129" s="150">
        <f t="shared" si="195"/>
        <v>0</v>
      </c>
      <c r="AN129" s="153">
        <f t="shared" si="110"/>
        <v>0</v>
      </c>
      <c r="AO129" s="154">
        <f t="shared" si="111"/>
        <v>0</v>
      </c>
      <c r="AP129" s="150">
        <v>0</v>
      </c>
      <c r="AQ129" s="201">
        <v>0</v>
      </c>
      <c r="AR129" s="199"/>
      <c r="AS129" s="150">
        <f t="shared" si="196"/>
        <v>0</v>
      </c>
      <c r="AT129" s="155"/>
      <c r="AU129" s="156">
        <f t="shared" si="105"/>
        <v>0</v>
      </c>
      <c r="AV129" s="156">
        <f t="shared" si="106"/>
        <v>0</v>
      </c>
      <c r="AW129" s="157"/>
      <c r="AX129" s="150">
        <v>0</v>
      </c>
      <c r="AY129" s="150">
        <v>0</v>
      </c>
      <c r="AZ129" s="150"/>
      <c r="BA129" s="150">
        <f t="shared" si="112"/>
        <v>0</v>
      </c>
      <c r="BB129" s="202">
        <v>4</v>
      </c>
      <c r="BC129" s="202" t="s">
        <v>693</v>
      </c>
      <c r="BD129" s="202" t="s">
        <v>632</v>
      </c>
      <c r="BE129" s="202" t="s">
        <v>632</v>
      </c>
      <c r="BF129" s="202" t="s">
        <v>755</v>
      </c>
      <c r="BG129" s="203" t="s">
        <v>5060</v>
      </c>
      <c r="BH129" s="216">
        <f t="shared" si="197"/>
        <v>0</v>
      </c>
      <c r="BI129" s="194" t="s">
        <v>1519</v>
      </c>
      <c r="BJ129" s="194" t="s">
        <v>5061</v>
      </c>
      <c r="BK129" s="194" t="s">
        <v>517</v>
      </c>
      <c r="BL129" s="207" t="s">
        <v>5062</v>
      </c>
      <c r="BM129" s="208">
        <f t="shared" si="198"/>
        <v>0</v>
      </c>
      <c r="BN129" s="160"/>
      <c r="BO129" s="161">
        <f t="shared" si="113"/>
        <v>0</v>
      </c>
      <c r="BP129" s="161"/>
    </row>
    <row r="130" spans="1:68" ht="25.5">
      <c r="A130" s="246" t="s">
        <v>518</v>
      </c>
      <c r="B130" s="228" t="s">
        <v>5063</v>
      </c>
      <c r="C130" s="229" t="s">
        <v>5064</v>
      </c>
      <c r="D130" s="146" t="s">
        <v>4692</v>
      </c>
      <c r="E130" s="196" t="s">
        <v>5064</v>
      </c>
      <c r="F130" s="150">
        <v>0</v>
      </c>
      <c r="G130" s="209">
        <v>0</v>
      </c>
      <c r="H130" s="209"/>
      <c r="I130" s="209">
        <v>0</v>
      </c>
      <c r="J130" s="150">
        <v>0</v>
      </c>
      <c r="K130" s="150">
        <v>0</v>
      </c>
      <c r="L130" s="150">
        <f t="shared" si="129"/>
        <v>0</v>
      </c>
      <c r="M130" s="150">
        <v>0</v>
      </c>
      <c r="N130" s="150"/>
      <c r="O130" s="150">
        <v>0</v>
      </c>
      <c r="P130" s="150">
        <v>0</v>
      </c>
      <c r="Q130" s="150"/>
      <c r="R130" s="150">
        <f t="shared" si="192"/>
        <v>0</v>
      </c>
      <c r="S130" s="150">
        <f t="shared" si="107"/>
        <v>0</v>
      </c>
      <c r="T130" s="150"/>
      <c r="U130" s="150">
        <v>0</v>
      </c>
      <c r="V130" s="199"/>
      <c r="W130" s="150">
        <f t="shared" si="193"/>
        <v>0</v>
      </c>
      <c r="X130" s="150">
        <v>0</v>
      </c>
      <c r="Y130" s="150"/>
      <c r="Z130" s="150">
        <v>0</v>
      </c>
      <c r="AA130" s="150">
        <f t="shared" si="108"/>
        <v>0</v>
      </c>
      <c r="AB130" s="150">
        <v>0</v>
      </c>
      <c r="AC130" s="199"/>
      <c r="AD130" s="150">
        <f t="shared" si="194"/>
        <v>0</v>
      </c>
      <c r="AE130" s="150">
        <v>0</v>
      </c>
      <c r="AF130" s="169" t="s">
        <v>4680</v>
      </c>
      <c r="AG130" s="201">
        <v>0</v>
      </c>
      <c r="AH130" s="199"/>
      <c r="AI130" s="150">
        <v>0</v>
      </c>
      <c r="AJ130" s="169">
        <f t="shared" si="109"/>
        <v>0</v>
      </c>
      <c r="AK130" s="201">
        <v>0</v>
      </c>
      <c r="AL130" s="199"/>
      <c r="AM130" s="150">
        <f t="shared" si="195"/>
        <v>0</v>
      </c>
      <c r="AN130" s="153">
        <f t="shared" si="110"/>
        <v>0</v>
      </c>
      <c r="AO130" s="154">
        <f t="shared" si="111"/>
        <v>0</v>
      </c>
      <c r="AP130" s="150">
        <v>0</v>
      </c>
      <c r="AQ130" s="201">
        <v>0</v>
      </c>
      <c r="AR130" s="199"/>
      <c r="AS130" s="150">
        <f t="shared" si="196"/>
        <v>0</v>
      </c>
      <c r="AT130" s="155"/>
      <c r="AU130" s="156">
        <f t="shared" ref="AU130:AU193" si="199">AM130-AD130</f>
        <v>0</v>
      </c>
      <c r="AV130" s="156">
        <f t="shared" ref="AV130:AV193" si="200">AD130-AX130</f>
        <v>0</v>
      </c>
      <c r="AW130" s="157"/>
      <c r="AX130" s="150">
        <v>0</v>
      </c>
      <c r="AY130" s="150">
        <v>0</v>
      </c>
      <c r="AZ130" s="150"/>
      <c r="BA130" s="150">
        <f t="shared" si="112"/>
        <v>0</v>
      </c>
      <c r="BB130" s="202">
        <v>4</v>
      </c>
      <c r="BC130" s="202" t="s">
        <v>693</v>
      </c>
      <c r="BD130" s="202" t="s">
        <v>632</v>
      </c>
      <c r="BE130" s="202" t="s">
        <v>632</v>
      </c>
      <c r="BF130" s="202" t="s">
        <v>766</v>
      </c>
      <c r="BG130" s="203" t="s">
        <v>39</v>
      </c>
      <c r="BH130" s="216">
        <f t="shared" si="197"/>
        <v>0</v>
      </c>
      <c r="BI130" s="194" t="s">
        <v>1519</v>
      </c>
      <c r="BJ130" s="194" t="s">
        <v>5065</v>
      </c>
      <c r="BK130" s="194" t="s">
        <v>518</v>
      </c>
      <c r="BL130" s="207" t="s">
        <v>5066</v>
      </c>
      <c r="BM130" s="208">
        <f t="shared" si="198"/>
        <v>0</v>
      </c>
      <c r="BN130" s="160"/>
      <c r="BO130" s="161">
        <f t="shared" si="113"/>
        <v>0</v>
      </c>
      <c r="BP130" s="161"/>
    </row>
    <row r="131" spans="1:68">
      <c r="A131" s="246" t="s">
        <v>519</v>
      </c>
      <c r="B131" s="228" t="s">
        <v>5067</v>
      </c>
      <c r="C131" s="229" t="s">
        <v>5068</v>
      </c>
      <c r="D131" s="146" t="s">
        <v>4692</v>
      </c>
      <c r="E131" s="196" t="s">
        <v>5068</v>
      </c>
      <c r="F131" s="150">
        <v>0</v>
      </c>
      <c r="G131" s="209">
        <v>0</v>
      </c>
      <c r="H131" s="209"/>
      <c r="I131" s="209">
        <v>0</v>
      </c>
      <c r="J131" s="150">
        <v>0</v>
      </c>
      <c r="K131" s="150">
        <v>0</v>
      </c>
      <c r="L131" s="150">
        <f t="shared" si="129"/>
        <v>0</v>
      </c>
      <c r="M131" s="150">
        <v>0</v>
      </c>
      <c r="N131" s="150"/>
      <c r="O131" s="150">
        <v>0</v>
      </c>
      <c r="P131" s="150">
        <v>0</v>
      </c>
      <c r="Q131" s="150"/>
      <c r="R131" s="150">
        <f t="shared" si="192"/>
        <v>0</v>
      </c>
      <c r="S131" s="150">
        <f t="shared" ref="S131:S194" si="201">R131/9*12</f>
        <v>0</v>
      </c>
      <c r="T131" s="150"/>
      <c r="U131" s="150">
        <v>0</v>
      </c>
      <c r="V131" s="199"/>
      <c r="W131" s="150">
        <f t="shared" si="193"/>
        <v>0</v>
      </c>
      <c r="X131" s="150">
        <v>0</v>
      </c>
      <c r="Y131" s="150"/>
      <c r="Z131" s="150">
        <v>0</v>
      </c>
      <c r="AA131" s="150">
        <f t="shared" ref="AA131:AA194" si="202">AD131-Z131</f>
        <v>0</v>
      </c>
      <c r="AB131" s="150">
        <v>0</v>
      </c>
      <c r="AC131" s="199"/>
      <c r="AD131" s="150">
        <f t="shared" si="194"/>
        <v>0</v>
      </c>
      <c r="AE131" s="150">
        <v>0</v>
      </c>
      <c r="AF131" s="169" t="s">
        <v>4680</v>
      </c>
      <c r="AG131" s="201">
        <v>0</v>
      </c>
      <c r="AH131" s="199"/>
      <c r="AI131" s="150">
        <v>0</v>
      </c>
      <c r="AJ131" s="169">
        <f t="shared" ref="AJ131:AJ194" si="203">AM131-AI131</f>
        <v>0</v>
      </c>
      <c r="AK131" s="201">
        <v>0</v>
      </c>
      <c r="AL131" s="199"/>
      <c r="AM131" s="150">
        <f t="shared" si="195"/>
        <v>0</v>
      </c>
      <c r="AN131" s="153">
        <f t="shared" ref="AN131:AN194" si="204">AS131-AM131</f>
        <v>0</v>
      </c>
      <c r="AO131" s="154">
        <f t="shared" ref="AO131:AO194" si="205">AS131-AP131</f>
        <v>0</v>
      </c>
      <c r="AP131" s="150">
        <v>0</v>
      </c>
      <c r="AQ131" s="201">
        <v>0</v>
      </c>
      <c r="AR131" s="199"/>
      <c r="AS131" s="150">
        <f t="shared" si="196"/>
        <v>0</v>
      </c>
      <c r="AT131" s="155"/>
      <c r="AU131" s="156">
        <f t="shared" si="199"/>
        <v>0</v>
      </c>
      <c r="AV131" s="156">
        <f t="shared" si="200"/>
        <v>0</v>
      </c>
      <c r="AW131" s="157"/>
      <c r="AX131" s="150">
        <v>0</v>
      </c>
      <c r="AY131" s="150">
        <v>0</v>
      </c>
      <c r="AZ131" s="150"/>
      <c r="BA131" s="150">
        <f t="shared" ref="BA131:BA191" si="206">AY131+AZ131</f>
        <v>0</v>
      </c>
      <c r="BB131" s="202">
        <v>4</v>
      </c>
      <c r="BC131" s="202" t="s">
        <v>693</v>
      </c>
      <c r="BD131" s="202" t="s">
        <v>632</v>
      </c>
      <c r="BE131" s="202" t="s">
        <v>632</v>
      </c>
      <c r="BF131" s="202" t="s">
        <v>779</v>
      </c>
      <c r="BG131" s="203" t="s">
        <v>40</v>
      </c>
      <c r="BH131" s="216">
        <f t="shared" si="197"/>
        <v>0</v>
      </c>
      <c r="BI131" s="194" t="s">
        <v>1519</v>
      </c>
      <c r="BJ131" s="194" t="s">
        <v>5069</v>
      </c>
      <c r="BK131" s="194" t="s">
        <v>519</v>
      </c>
      <c r="BL131" s="207" t="s">
        <v>5070</v>
      </c>
      <c r="BM131" s="208">
        <f t="shared" si="198"/>
        <v>0</v>
      </c>
      <c r="BN131" s="160"/>
      <c r="BO131" s="161">
        <f t="shared" ref="BO131:BO194" si="207">BM131-AS131</f>
        <v>0</v>
      </c>
      <c r="BP131" s="161"/>
    </row>
    <row r="132" spans="1:68" ht="25.5">
      <c r="A132" s="246" t="s">
        <v>520</v>
      </c>
      <c r="B132" s="228" t="s">
        <v>5071</v>
      </c>
      <c r="C132" s="229" t="s">
        <v>5072</v>
      </c>
      <c r="D132" s="146" t="s">
        <v>4692</v>
      </c>
      <c r="E132" s="196" t="s">
        <v>5072</v>
      </c>
      <c r="F132" s="150">
        <v>0</v>
      </c>
      <c r="G132" s="209">
        <v>0</v>
      </c>
      <c r="H132" s="209"/>
      <c r="I132" s="209">
        <v>0</v>
      </c>
      <c r="J132" s="150">
        <v>0</v>
      </c>
      <c r="K132" s="150">
        <v>0</v>
      </c>
      <c r="L132" s="150">
        <f t="shared" si="129"/>
        <v>0</v>
      </c>
      <c r="M132" s="150">
        <v>0</v>
      </c>
      <c r="N132" s="150"/>
      <c r="O132" s="150">
        <v>0</v>
      </c>
      <c r="P132" s="150">
        <v>0</v>
      </c>
      <c r="Q132" s="150"/>
      <c r="R132" s="150">
        <f t="shared" si="192"/>
        <v>0</v>
      </c>
      <c r="S132" s="150">
        <f t="shared" si="201"/>
        <v>0</v>
      </c>
      <c r="T132" s="150"/>
      <c r="U132" s="150">
        <v>0</v>
      </c>
      <c r="V132" s="199"/>
      <c r="W132" s="150">
        <f t="shared" si="193"/>
        <v>0</v>
      </c>
      <c r="X132" s="150">
        <v>0</v>
      </c>
      <c r="Y132" s="150"/>
      <c r="Z132" s="150">
        <v>0</v>
      </c>
      <c r="AA132" s="150">
        <f t="shared" si="202"/>
        <v>0</v>
      </c>
      <c r="AB132" s="150">
        <v>0</v>
      </c>
      <c r="AC132" s="199"/>
      <c r="AD132" s="150">
        <f t="shared" si="194"/>
        <v>0</v>
      </c>
      <c r="AE132" s="150">
        <v>0</v>
      </c>
      <c r="AF132" s="169" t="s">
        <v>4680</v>
      </c>
      <c r="AG132" s="201">
        <v>0</v>
      </c>
      <c r="AH132" s="199"/>
      <c r="AI132" s="150">
        <v>0</v>
      </c>
      <c r="AJ132" s="169">
        <f t="shared" si="203"/>
        <v>0</v>
      </c>
      <c r="AK132" s="201">
        <v>0</v>
      </c>
      <c r="AL132" s="199"/>
      <c r="AM132" s="150">
        <f t="shared" si="195"/>
        <v>0</v>
      </c>
      <c r="AN132" s="153">
        <f t="shared" si="204"/>
        <v>0</v>
      </c>
      <c r="AO132" s="154">
        <f t="shared" si="205"/>
        <v>0</v>
      </c>
      <c r="AP132" s="150">
        <v>0</v>
      </c>
      <c r="AQ132" s="201">
        <v>0</v>
      </c>
      <c r="AR132" s="199"/>
      <c r="AS132" s="150">
        <f t="shared" si="196"/>
        <v>0</v>
      </c>
      <c r="AT132" s="155"/>
      <c r="AU132" s="156">
        <f t="shared" si="199"/>
        <v>0</v>
      </c>
      <c r="AV132" s="156">
        <f t="shared" si="200"/>
        <v>0</v>
      </c>
      <c r="AW132" s="157"/>
      <c r="AX132" s="150">
        <v>0</v>
      </c>
      <c r="AY132" s="150">
        <v>0</v>
      </c>
      <c r="AZ132" s="150"/>
      <c r="BA132" s="150">
        <f t="shared" si="206"/>
        <v>0</v>
      </c>
      <c r="BB132" s="202">
        <v>4</v>
      </c>
      <c r="BC132" s="202" t="s">
        <v>693</v>
      </c>
      <c r="BD132" s="202" t="s">
        <v>632</v>
      </c>
      <c r="BE132" s="202" t="s">
        <v>632</v>
      </c>
      <c r="BF132" s="202" t="s">
        <v>1225</v>
      </c>
      <c r="BG132" s="203" t="s">
        <v>41</v>
      </c>
      <c r="BH132" s="216">
        <f t="shared" si="197"/>
        <v>0</v>
      </c>
      <c r="BI132" s="194" t="s">
        <v>1519</v>
      </c>
      <c r="BJ132" s="194" t="s">
        <v>5073</v>
      </c>
      <c r="BK132" s="194" t="s">
        <v>520</v>
      </c>
      <c r="BL132" s="207" t="s">
        <v>5074</v>
      </c>
      <c r="BM132" s="208">
        <f t="shared" si="198"/>
        <v>0</v>
      </c>
      <c r="BN132" s="160"/>
      <c r="BO132" s="161">
        <f t="shared" si="207"/>
        <v>0</v>
      </c>
      <c r="BP132" s="161"/>
    </row>
    <row r="133" spans="1:68" ht="25.5">
      <c r="A133" s="246" t="s">
        <v>5075</v>
      </c>
      <c r="B133" s="228" t="s">
        <v>5076</v>
      </c>
      <c r="C133" s="229" t="s">
        <v>5077</v>
      </c>
      <c r="D133" s="146" t="s">
        <v>4692</v>
      </c>
      <c r="E133" s="196" t="s">
        <v>5077</v>
      </c>
      <c r="F133" s="150">
        <v>0</v>
      </c>
      <c r="G133" s="209">
        <v>0</v>
      </c>
      <c r="H133" s="209"/>
      <c r="I133" s="209">
        <v>0</v>
      </c>
      <c r="J133" s="150">
        <v>0</v>
      </c>
      <c r="K133" s="150">
        <v>0</v>
      </c>
      <c r="L133" s="150">
        <f t="shared" si="129"/>
        <v>0</v>
      </c>
      <c r="M133" s="150">
        <v>0</v>
      </c>
      <c r="N133" s="150"/>
      <c r="O133" s="150">
        <v>0</v>
      </c>
      <c r="P133" s="150">
        <v>0</v>
      </c>
      <c r="Q133" s="150"/>
      <c r="R133" s="150">
        <f t="shared" si="192"/>
        <v>0</v>
      </c>
      <c r="S133" s="150">
        <f t="shared" si="201"/>
        <v>0</v>
      </c>
      <c r="T133" s="150"/>
      <c r="U133" s="150">
        <v>0</v>
      </c>
      <c r="V133" s="199"/>
      <c r="W133" s="150">
        <f t="shared" si="193"/>
        <v>0</v>
      </c>
      <c r="X133" s="150">
        <v>0</v>
      </c>
      <c r="Y133" s="150"/>
      <c r="Z133" s="150">
        <v>0</v>
      </c>
      <c r="AA133" s="150">
        <f t="shared" si="202"/>
        <v>0</v>
      </c>
      <c r="AB133" s="150">
        <v>0</v>
      </c>
      <c r="AC133" s="199"/>
      <c r="AD133" s="150">
        <f t="shared" si="194"/>
        <v>0</v>
      </c>
      <c r="AE133" s="150">
        <v>0</v>
      </c>
      <c r="AF133" s="169" t="s">
        <v>4680</v>
      </c>
      <c r="AG133" s="201">
        <v>0</v>
      </c>
      <c r="AH133" s="199"/>
      <c r="AI133" s="150">
        <v>0</v>
      </c>
      <c r="AJ133" s="169">
        <f t="shared" si="203"/>
        <v>0</v>
      </c>
      <c r="AK133" s="201">
        <v>0</v>
      </c>
      <c r="AL133" s="199"/>
      <c r="AM133" s="150">
        <f t="shared" si="195"/>
        <v>0</v>
      </c>
      <c r="AN133" s="153">
        <f t="shared" si="204"/>
        <v>0</v>
      </c>
      <c r="AO133" s="154">
        <f t="shared" si="205"/>
        <v>0</v>
      </c>
      <c r="AP133" s="150">
        <v>0</v>
      </c>
      <c r="AQ133" s="201">
        <v>0</v>
      </c>
      <c r="AR133" s="199"/>
      <c r="AS133" s="150">
        <f t="shared" si="196"/>
        <v>0</v>
      </c>
      <c r="AT133" s="155"/>
      <c r="AU133" s="156">
        <f t="shared" si="199"/>
        <v>0</v>
      </c>
      <c r="AV133" s="156">
        <f t="shared" si="200"/>
        <v>0</v>
      </c>
      <c r="AW133" s="157"/>
      <c r="AX133" s="150">
        <v>0</v>
      </c>
      <c r="AY133" s="150">
        <v>0</v>
      </c>
      <c r="AZ133" s="150"/>
      <c r="BA133" s="150">
        <f t="shared" si="206"/>
        <v>0</v>
      </c>
      <c r="BB133" s="202">
        <v>4</v>
      </c>
      <c r="BC133" s="202" t="s">
        <v>693</v>
      </c>
      <c r="BD133" s="202" t="s">
        <v>632</v>
      </c>
      <c r="BE133" s="202" t="s">
        <v>632</v>
      </c>
      <c r="BF133" s="194" t="s">
        <v>1842</v>
      </c>
      <c r="BG133" s="203" t="s">
        <v>5078</v>
      </c>
      <c r="BH133" s="216">
        <f t="shared" si="197"/>
        <v>0</v>
      </c>
      <c r="BI133" s="194" t="s">
        <v>1519</v>
      </c>
      <c r="BJ133" s="194" t="s">
        <v>5079</v>
      </c>
      <c r="BK133" s="194" t="s">
        <v>5075</v>
      </c>
      <c r="BL133" s="207" t="s">
        <v>5080</v>
      </c>
      <c r="BM133" s="208">
        <f t="shared" si="198"/>
        <v>0</v>
      </c>
      <c r="BN133" s="160"/>
      <c r="BO133" s="161">
        <f t="shared" si="207"/>
        <v>0</v>
      </c>
      <c r="BP133" s="161"/>
    </row>
    <row r="134" spans="1:68" ht="25.5">
      <c r="A134" s="246" t="s">
        <v>5081</v>
      </c>
      <c r="B134" s="228" t="s">
        <v>5082</v>
      </c>
      <c r="C134" s="229" t="s">
        <v>5083</v>
      </c>
      <c r="D134" s="146" t="s">
        <v>4692</v>
      </c>
      <c r="E134" s="196" t="s">
        <v>5083</v>
      </c>
      <c r="F134" s="150">
        <v>0</v>
      </c>
      <c r="G134" s="209">
        <v>0</v>
      </c>
      <c r="H134" s="209"/>
      <c r="I134" s="209">
        <v>0</v>
      </c>
      <c r="J134" s="150">
        <v>0</v>
      </c>
      <c r="K134" s="150">
        <v>0</v>
      </c>
      <c r="L134" s="150">
        <f t="shared" si="129"/>
        <v>0</v>
      </c>
      <c r="M134" s="150">
        <v>0</v>
      </c>
      <c r="N134" s="150"/>
      <c r="O134" s="150">
        <v>0</v>
      </c>
      <c r="P134" s="150">
        <v>0</v>
      </c>
      <c r="Q134" s="150"/>
      <c r="R134" s="150">
        <f t="shared" si="192"/>
        <v>0</v>
      </c>
      <c r="S134" s="150">
        <f t="shared" si="201"/>
        <v>0</v>
      </c>
      <c r="T134" s="150"/>
      <c r="U134" s="150">
        <v>0</v>
      </c>
      <c r="V134" s="199"/>
      <c r="W134" s="150">
        <f t="shared" si="193"/>
        <v>0</v>
      </c>
      <c r="X134" s="150">
        <v>0</v>
      </c>
      <c r="Y134" s="150"/>
      <c r="Z134" s="150">
        <v>0</v>
      </c>
      <c r="AA134" s="150">
        <f t="shared" si="202"/>
        <v>0</v>
      </c>
      <c r="AB134" s="150">
        <v>0</v>
      </c>
      <c r="AC134" s="199"/>
      <c r="AD134" s="150">
        <f t="shared" si="194"/>
        <v>0</v>
      </c>
      <c r="AE134" s="150">
        <v>0</v>
      </c>
      <c r="AF134" s="169" t="s">
        <v>4680</v>
      </c>
      <c r="AG134" s="201">
        <v>0</v>
      </c>
      <c r="AH134" s="199"/>
      <c r="AI134" s="150">
        <v>0</v>
      </c>
      <c r="AJ134" s="169">
        <f t="shared" si="203"/>
        <v>0</v>
      </c>
      <c r="AK134" s="201">
        <v>0</v>
      </c>
      <c r="AL134" s="199"/>
      <c r="AM134" s="150">
        <f t="shared" si="195"/>
        <v>0</v>
      </c>
      <c r="AN134" s="153">
        <f t="shared" si="204"/>
        <v>0</v>
      </c>
      <c r="AO134" s="154">
        <f t="shared" si="205"/>
        <v>0</v>
      </c>
      <c r="AP134" s="150">
        <v>0</v>
      </c>
      <c r="AQ134" s="201">
        <v>0</v>
      </c>
      <c r="AR134" s="199"/>
      <c r="AS134" s="150">
        <f t="shared" si="196"/>
        <v>0</v>
      </c>
      <c r="AT134" s="155"/>
      <c r="AU134" s="156">
        <f t="shared" si="199"/>
        <v>0</v>
      </c>
      <c r="AV134" s="156">
        <f t="shared" si="200"/>
        <v>0</v>
      </c>
      <c r="AW134" s="157"/>
      <c r="AX134" s="150">
        <v>0</v>
      </c>
      <c r="AY134" s="150">
        <v>0</v>
      </c>
      <c r="AZ134" s="150"/>
      <c r="BA134" s="150">
        <f t="shared" si="206"/>
        <v>0</v>
      </c>
      <c r="BB134" s="202">
        <v>4</v>
      </c>
      <c r="BC134" s="202" t="s">
        <v>693</v>
      </c>
      <c r="BD134" s="202" t="s">
        <v>632</v>
      </c>
      <c r="BE134" s="202" t="s">
        <v>632</v>
      </c>
      <c r="BF134" s="194" t="s">
        <v>1846</v>
      </c>
      <c r="BG134" s="203" t="s">
        <v>5084</v>
      </c>
      <c r="BH134" s="216">
        <f t="shared" si="197"/>
        <v>0</v>
      </c>
      <c r="BI134" s="194" t="s">
        <v>1519</v>
      </c>
      <c r="BJ134" s="194" t="s">
        <v>5085</v>
      </c>
      <c r="BK134" s="194" t="s">
        <v>5081</v>
      </c>
      <c r="BL134" s="207" t="s">
        <v>5086</v>
      </c>
      <c r="BM134" s="208">
        <f t="shared" si="198"/>
        <v>0</v>
      </c>
      <c r="BN134" s="160"/>
      <c r="BO134" s="161">
        <f t="shared" si="207"/>
        <v>0</v>
      </c>
      <c r="BP134" s="161"/>
    </row>
    <row r="135" spans="1:68" ht="38.25">
      <c r="A135" s="246" t="s">
        <v>5087</v>
      </c>
      <c r="B135" s="228" t="s">
        <v>5088</v>
      </c>
      <c r="C135" s="229" t="s">
        <v>5089</v>
      </c>
      <c r="D135" s="146" t="s">
        <v>4692</v>
      </c>
      <c r="E135" s="196" t="s">
        <v>5089</v>
      </c>
      <c r="F135" s="150">
        <v>0</v>
      </c>
      <c r="G135" s="209">
        <v>0</v>
      </c>
      <c r="H135" s="209"/>
      <c r="I135" s="209">
        <v>0</v>
      </c>
      <c r="J135" s="150">
        <v>0</v>
      </c>
      <c r="K135" s="150">
        <v>0</v>
      </c>
      <c r="L135" s="150">
        <f t="shared" ref="L135:L198" si="208">J135+K135</f>
        <v>0</v>
      </c>
      <c r="M135" s="150">
        <v>0</v>
      </c>
      <c r="N135" s="150"/>
      <c r="O135" s="150">
        <v>0</v>
      </c>
      <c r="P135" s="150">
        <v>0</v>
      </c>
      <c r="Q135" s="150"/>
      <c r="R135" s="150">
        <f t="shared" si="192"/>
        <v>0</v>
      </c>
      <c r="S135" s="150">
        <f t="shared" si="201"/>
        <v>0</v>
      </c>
      <c r="T135" s="150"/>
      <c r="U135" s="150">
        <v>0</v>
      </c>
      <c r="V135" s="199"/>
      <c r="W135" s="150">
        <f t="shared" si="193"/>
        <v>0</v>
      </c>
      <c r="X135" s="150">
        <v>0</v>
      </c>
      <c r="Y135" s="150"/>
      <c r="Z135" s="150">
        <v>0</v>
      </c>
      <c r="AA135" s="150">
        <f t="shared" si="202"/>
        <v>0</v>
      </c>
      <c r="AB135" s="150">
        <v>0</v>
      </c>
      <c r="AC135" s="199"/>
      <c r="AD135" s="150">
        <f t="shared" si="194"/>
        <v>0</v>
      </c>
      <c r="AE135" s="150">
        <v>0</v>
      </c>
      <c r="AF135" s="169" t="s">
        <v>4680</v>
      </c>
      <c r="AG135" s="201">
        <v>0</v>
      </c>
      <c r="AH135" s="199"/>
      <c r="AI135" s="150">
        <v>0</v>
      </c>
      <c r="AJ135" s="169">
        <f t="shared" si="203"/>
        <v>0</v>
      </c>
      <c r="AK135" s="201">
        <v>0</v>
      </c>
      <c r="AL135" s="199"/>
      <c r="AM135" s="150">
        <f t="shared" si="195"/>
        <v>0</v>
      </c>
      <c r="AN135" s="153">
        <f t="shared" si="204"/>
        <v>0</v>
      </c>
      <c r="AO135" s="154">
        <f t="shared" si="205"/>
        <v>0</v>
      </c>
      <c r="AP135" s="150">
        <v>0</v>
      </c>
      <c r="AQ135" s="201">
        <v>0</v>
      </c>
      <c r="AR135" s="199"/>
      <c r="AS135" s="150">
        <f t="shared" si="196"/>
        <v>0</v>
      </c>
      <c r="AT135" s="155"/>
      <c r="AU135" s="156">
        <f t="shared" si="199"/>
        <v>0</v>
      </c>
      <c r="AV135" s="156">
        <f t="shared" si="200"/>
        <v>0</v>
      </c>
      <c r="AW135" s="157"/>
      <c r="AX135" s="150">
        <v>0</v>
      </c>
      <c r="AY135" s="150">
        <v>0</v>
      </c>
      <c r="AZ135" s="150"/>
      <c r="BA135" s="150">
        <f t="shared" si="206"/>
        <v>0</v>
      </c>
      <c r="BB135" s="202">
        <v>4</v>
      </c>
      <c r="BC135" s="202" t="s">
        <v>693</v>
      </c>
      <c r="BD135" s="202" t="s">
        <v>632</v>
      </c>
      <c r="BE135" s="202" t="s">
        <v>632</v>
      </c>
      <c r="BF135" s="194" t="s">
        <v>1253</v>
      </c>
      <c r="BG135" s="203" t="s">
        <v>5090</v>
      </c>
      <c r="BH135" s="216">
        <f t="shared" si="197"/>
        <v>0</v>
      </c>
      <c r="BI135" s="194" t="s">
        <v>1519</v>
      </c>
      <c r="BJ135" s="194" t="s">
        <v>5091</v>
      </c>
      <c r="BK135" s="194" t="s">
        <v>5087</v>
      </c>
      <c r="BL135" s="207" t="s">
        <v>5092</v>
      </c>
      <c r="BM135" s="208">
        <f t="shared" si="198"/>
        <v>0</v>
      </c>
      <c r="BN135" s="160"/>
      <c r="BO135" s="161">
        <f t="shared" si="207"/>
        <v>0</v>
      </c>
      <c r="BP135" s="161"/>
    </row>
    <row r="136" spans="1:68" ht="38.25">
      <c r="A136" s="246" t="s">
        <v>5093</v>
      </c>
      <c r="B136" s="228" t="s">
        <v>5094</v>
      </c>
      <c r="C136" s="229" t="s">
        <v>136</v>
      </c>
      <c r="D136" s="146" t="s">
        <v>4692</v>
      </c>
      <c r="E136" s="196" t="s">
        <v>136</v>
      </c>
      <c r="F136" s="150">
        <v>40773.589999999997</v>
      </c>
      <c r="G136" s="209">
        <v>0</v>
      </c>
      <c r="H136" s="209"/>
      <c r="I136" s="209">
        <v>0</v>
      </c>
      <c r="J136" s="150">
        <v>0</v>
      </c>
      <c r="K136" s="150">
        <v>0</v>
      </c>
      <c r="L136" s="150">
        <f t="shared" si="208"/>
        <v>0</v>
      </c>
      <c r="M136" s="150">
        <v>0</v>
      </c>
      <c r="N136" s="150">
        <v>20386.794999999998</v>
      </c>
      <c r="O136" s="150">
        <v>20386.794999999998</v>
      </c>
      <c r="P136" s="150">
        <v>0</v>
      </c>
      <c r="Q136" s="150">
        <v>61947</v>
      </c>
      <c r="R136" s="150">
        <f t="shared" si="192"/>
        <v>61947</v>
      </c>
      <c r="S136" s="150">
        <f t="shared" si="201"/>
        <v>82596</v>
      </c>
      <c r="T136" s="150"/>
      <c r="U136" s="150">
        <v>3581.5</v>
      </c>
      <c r="V136" s="199">
        <v>208813.68</v>
      </c>
      <c r="W136" s="150">
        <f t="shared" si="193"/>
        <v>212395.18</v>
      </c>
      <c r="X136" s="150">
        <v>3581.5</v>
      </c>
      <c r="Y136" s="150">
        <v>208813.68</v>
      </c>
      <c r="Z136" s="150">
        <v>212395.18</v>
      </c>
      <c r="AA136" s="150">
        <f t="shared" si="202"/>
        <v>219761.32</v>
      </c>
      <c r="AB136" s="150">
        <v>432156.5</v>
      </c>
      <c r="AC136" s="199"/>
      <c r="AD136" s="150">
        <f t="shared" si="194"/>
        <v>432156.5</v>
      </c>
      <c r="AE136" s="150">
        <v>433099</v>
      </c>
      <c r="AF136" s="169" t="s">
        <v>4680</v>
      </c>
      <c r="AG136" s="201">
        <v>433099</v>
      </c>
      <c r="AH136" s="199"/>
      <c r="AI136" s="150">
        <v>433099</v>
      </c>
      <c r="AJ136" s="169">
        <f t="shared" si="203"/>
        <v>0</v>
      </c>
      <c r="AK136" s="201">
        <v>433099</v>
      </c>
      <c r="AL136" s="199"/>
      <c r="AM136" s="150">
        <f t="shared" si="195"/>
        <v>433099</v>
      </c>
      <c r="AN136" s="153">
        <f t="shared" si="204"/>
        <v>0</v>
      </c>
      <c r="AO136" s="154">
        <f t="shared" si="205"/>
        <v>0</v>
      </c>
      <c r="AP136" s="150">
        <v>433099</v>
      </c>
      <c r="AQ136" s="201">
        <v>433099</v>
      </c>
      <c r="AR136" s="199"/>
      <c r="AS136" s="150">
        <f t="shared" si="196"/>
        <v>433099</v>
      </c>
      <c r="AT136" s="155" t="s">
        <v>4796</v>
      </c>
      <c r="AU136" s="156">
        <f t="shared" si="199"/>
        <v>942.5</v>
      </c>
      <c r="AV136" s="156">
        <f t="shared" si="200"/>
        <v>219761.32</v>
      </c>
      <c r="AW136" s="157" t="s">
        <v>4796</v>
      </c>
      <c r="AX136" s="150">
        <v>212395.18</v>
      </c>
      <c r="AY136" s="150">
        <v>0</v>
      </c>
      <c r="AZ136" s="237">
        <v>200000</v>
      </c>
      <c r="BA136" s="150">
        <f t="shared" si="206"/>
        <v>200000</v>
      </c>
      <c r="BB136" s="202">
        <v>4</v>
      </c>
      <c r="BC136" s="202" t="s">
        <v>693</v>
      </c>
      <c r="BD136" s="202" t="s">
        <v>632</v>
      </c>
      <c r="BE136" s="202" t="s">
        <v>632</v>
      </c>
      <c r="BF136" s="194" t="s">
        <v>1229</v>
      </c>
      <c r="BG136" s="203" t="s">
        <v>136</v>
      </c>
      <c r="BH136" s="216">
        <f t="shared" si="197"/>
        <v>433099</v>
      </c>
      <c r="BI136" s="194" t="s">
        <v>1519</v>
      </c>
      <c r="BJ136" s="194" t="s">
        <v>5095</v>
      </c>
      <c r="BK136" s="194" t="s">
        <v>5093</v>
      </c>
      <c r="BL136" s="207" t="s">
        <v>5096</v>
      </c>
      <c r="BM136" s="208">
        <f t="shared" si="198"/>
        <v>433099</v>
      </c>
      <c r="BN136" s="160"/>
      <c r="BO136" s="161">
        <f t="shared" si="207"/>
        <v>0</v>
      </c>
      <c r="BP136" s="161"/>
    </row>
    <row r="137" spans="1:68" ht="38.25">
      <c r="A137" s="246" t="s">
        <v>5097</v>
      </c>
      <c r="B137" s="228" t="s">
        <v>5098</v>
      </c>
      <c r="C137" s="229" t="s">
        <v>5099</v>
      </c>
      <c r="D137" s="146" t="s">
        <v>4692</v>
      </c>
      <c r="E137" s="196" t="s">
        <v>5099</v>
      </c>
      <c r="F137" s="150">
        <v>0</v>
      </c>
      <c r="G137" s="209">
        <v>0</v>
      </c>
      <c r="H137" s="209"/>
      <c r="I137" s="209">
        <v>0</v>
      </c>
      <c r="J137" s="150">
        <v>0</v>
      </c>
      <c r="K137" s="150">
        <v>0</v>
      </c>
      <c r="L137" s="150">
        <f t="shared" si="208"/>
        <v>0</v>
      </c>
      <c r="M137" s="150">
        <v>0</v>
      </c>
      <c r="N137" s="150"/>
      <c r="O137" s="150">
        <v>0</v>
      </c>
      <c r="P137" s="150">
        <v>0</v>
      </c>
      <c r="Q137" s="150"/>
      <c r="R137" s="150">
        <f t="shared" si="192"/>
        <v>0</v>
      </c>
      <c r="S137" s="150">
        <f t="shared" si="201"/>
        <v>0</v>
      </c>
      <c r="T137" s="150"/>
      <c r="U137" s="150">
        <v>0</v>
      </c>
      <c r="V137" s="199"/>
      <c r="W137" s="150">
        <f t="shared" si="193"/>
        <v>0</v>
      </c>
      <c r="X137" s="150">
        <v>0</v>
      </c>
      <c r="Y137" s="150"/>
      <c r="Z137" s="150">
        <v>0</v>
      </c>
      <c r="AA137" s="150">
        <f t="shared" si="202"/>
        <v>0</v>
      </c>
      <c r="AB137" s="150">
        <v>0</v>
      </c>
      <c r="AC137" s="199"/>
      <c r="AD137" s="150">
        <f t="shared" si="194"/>
        <v>0</v>
      </c>
      <c r="AE137" s="150">
        <v>0</v>
      </c>
      <c r="AF137" s="169" t="s">
        <v>4680</v>
      </c>
      <c r="AG137" s="201">
        <v>0</v>
      </c>
      <c r="AH137" s="199"/>
      <c r="AI137" s="150">
        <v>0</v>
      </c>
      <c r="AJ137" s="169">
        <f t="shared" si="203"/>
        <v>0</v>
      </c>
      <c r="AK137" s="201">
        <v>0</v>
      </c>
      <c r="AL137" s="199"/>
      <c r="AM137" s="150">
        <f t="shared" si="195"/>
        <v>0</v>
      </c>
      <c r="AN137" s="153">
        <f t="shared" si="204"/>
        <v>0</v>
      </c>
      <c r="AO137" s="154">
        <f t="shared" si="205"/>
        <v>0</v>
      </c>
      <c r="AP137" s="150">
        <v>0</v>
      </c>
      <c r="AQ137" s="201">
        <v>0</v>
      </c>
      <c r="AR137" s="199"/>
      <c r="AS137" s="150">
        <f t="shared" si="196"/>
        <v>0</v>
      </c>
      <c r="AT137" s="155"/>
      <c r="AU137" s="156">
        <f t="shared" si="199"/>
        <v>0</v>
      </c>
      <c r="AV137" s="156">
        <f t="shared" si="200"/>
        <v>0</v>
      </c>
      <c r="AW137" s="157"/>
      <c r="AX137" s="150">
        <v>0</v>
      </c>
      <c r="AY137" s="150">
        <v>0</v>
      </c>
      <c r="AZ137" s="150"/>
      <c r="BA137" s="150">
        <f t="shared" si="206"/>
        <v>0</v>
      </c>
      <c r="BB137" s="202">
        <v>4</v>
      </c>
      <c r="BC137" s="202" t="s">
        <v>693</v>
      </c>
      <c r="BD137" s="202" t="s">
        <v>632</v>
      </c>
      <c r="BE137" s="202" t="s">
        <v>632</v>
      </c>
      <c r="BF137" s="194" t="s">
        <v>1247</v>
      </c>
      <c r="BG137" s="203" t="s">
        <v>5099</v>
      </c>
      <c r="BH137" s="216">
        <f t="shared" si="197"/>
        <v>0</v>
      </c>
      <c r="BI137" s="194" t="s">
        <v>1519</v>
      </c>
      <c r="BJ137" s="194" t="s">
        <v>5100</v>
      </c>
      <c r="BK137" s="194" t="s">
        <v>5097</v>
      </c>
      <c r="BL137" s="207" t="s">
        <v>5101</v>
      </c>
      <c r="BM137" s="208">
        <f t="shared" si="198"/>
        <v>0</v>
      </c>
      <c r="BN137" s="160"/>
      <c r="BO137" s="161">
        <f t="shared" si="207"/>
        <v>0</v>
      </c>
      <c r="BP137" s="161"/>
    </row>
    <row r="138" spans="1:68" ht="38.25">
      <c r="A138" s="246" t="s">
        <v>521</v>
      </c>
      <c r="B138" s="228" t="s">
        <v>5102</v>
      </c>
      <c r="C138" s="229" t="s">
        <v>5103</v>
      </c>
      <c r="D138" s="146" t="s">
        <v>4692</v>
      </c>
      <c r="E138" s="196" t="s">
        <v>5103</v>
      </c>
      <c r="F138" s="150">
        <v>0</v>
      </c>
      <c r="G138" s="209">
        <v>0</v>
      </c>
      <c r="H138" s="209"/>
      <c r="I138" s="209">
        <v>0</v>
      </c>
      <c r="J138" s="150">
        <v>0</v>
      </c>
      <c r="K138" s="150">
        <v>0</v>
      </c>
      <c r="L138" s="150">
        <f t="shared" si="208"/>
        <v>0</v>
      </c>
      <c r="M138" s="150">
        <v>0</v>
      </c>
      <c r="N138" s="150"/>
      <c r="O138" s="150">
        <v>0</v>
      </c>
      <c r="P138" s="150">
        <v>0</v>
      </c>
      <c r="Q138" s="150"/>
      <c r="R138" s="150">
        <f t="shared" si="192"/>
        <v>0</v>
      </c>
      <c r="S138" s="150">
        <f t="shared" si="201"/>
        <v>0</v>
      </c>
      <c r="T138" s="150"/>
      <c r="U138" s="150">
        <v>0</v>
      </c>
      <c r="V138" s="199"/>
      <c r="W138" s="150">
        <f t="shared" si="193"/>
        <v>0</v>
      </c>
      <c r="X138" s="150">
        <v>0</v>
      </c>
      <c r="Y138" s="150"/>
      <c r="Z138" s="150">
        <v>0</v>
      </c>
      <c r="AA138" s="150">
        <f t="shared" si="202"/>
        <v>0</v>
      </c>
      <c r="AB138" s="150">
        <v>0</v>
      </c>
      <c r="AC138" s="199"/>
      <c r="AD138" s="150">
        <f t="shared" si="194"/>
        <v>0</v>
      </c>
      <c r="AE138" s="150">
        <v>0</v>
      </c>
      <c r="AF138" s="169" t="s">
        <v>4680</v>
      </c>
      <c r="AG138" s="201">
        <v>0</v>
      </c>
      <c r="AH138" s="199"/>
      <c r="AI138" s="150">
        <v>0</v>
      </c>
      <c r="AJ138" s="169">
        <f t="shared" si="203"/>
        <v>0</v>
      </c>
      <c r="AK138" s="201">
        <v>0</v>
      </c>
      <c r="AL138" s="199"/>
      <c r="AM138" s="150">
        <f t="shared" si="195"/>
        <v>0</v>
      </c>
      <c r="AN138" s="153">
        <f t="shared" si="204"/>
        <v>0</v>
      </c>
      <c r="AO138" s="154">
        <f t="shared" si="205"/>
        <v>0</v>
      </c>
      <c r="AP138" s="150">
        <v>0</v>
      </c>
      <c r="AQ138" s="201">
        <v>0</v>
      </c>
      <c r="AR138" s="199"/>
      <c r="AS138" s="150">
        <f t="shared" si="196"/>
        <v>0</v>
      </c>
      <c r="AT138" s="155"/>
      <c r="AU138" s="156">
        <f t="shared" si="199"/>
        <v>0</v>
      </c>
      <c r="AV138" s="156">
        <f t="shared" si="200"/>
        <v>0</v>
      </c>
      <c r="AW138" s="157"/>
      <c r="AX138" s="150">
        <v>0</v>
      </c>
      <c r="AY138" s="150">
        <v>0</v>
      </c>
      <c r="AZ138" s="150"/>
      <c r="BA138" s="150">
        <f t="shared" si="206"/>
        <v>0</v>
      </c>
      <c r="BB138" s="202">
        <v>4</v>
      </c>
      <c r="BC138" s="202" t="s">
        <v>693</v>
      </c>
      <c r="BD138" s="202" t="s">
        <v>632</v>
      </c>
      <c r="BE138" s="202" t="s">
        <v>632</v>
      </c>
      <c r="BF138" s="202" t="s">
        <v>1243</v>
      </c>
      <c r="BG138" s="203" t="s">
        <v>5103</v>
      </c>
      <c r="BH138" s="216">
        <f t="shared" si="197"/>
        <v>0</v>
      </c>
      <c r="BI138" s="194" t="s">
        <v>1519</v>
      </c>
      <c r="BJ138" s="194" t="s">
        <v>5104</v>
      </c>
      <c r="BK138" s="194" t="s">
        <v>521</v>
      </c>
      <c r="BL138" s="207" t="s">
        <v>5105</v>
      </c>
      <c r="BM138" s="208">
        <f t="shared" si="198"/>
        <v>0</v>
      </c>
      <c r="BN138" s="160"/>
      <c r="BO138" s="161">
        <f t="shared" si="207"/>
        <v>0</v>
      </c>
      <c r="BP138" s="161"/>
    </row>
    <row r="139" spans="1:68" ht="38.25">
      <c r="A139" s="246" t="s">
        <v>521</v>
      </c>
      <c r="B139" s="228" t="s">
        <v>5106</v>
      </c>
      <c r="C139" s="229" t="s">
        <v>5107</v>
      </c>
      <c r="D139" s="146" t="s">
        <v>4692</v>
      </c>
      <c r="E139" s="196" t="s">
        <v>5107</v>
      </c>
      <c r="F139" s="150">
        <v>0</v>
      </c>
      <c r="G139" s="209">
        <v>0</v>
      </c>
      <c r="H139" s="209"/>
      <c r="I139" s="209">
        <v>0</v>
      </c>
      <c r="J139" s="150">
        <v>0</v>
      </c>
      <c r="K139" s="150">
        <v>0</v>
      </c>
      <c r="L139" s="150">
        <f t="shared" si="208"/>
        <v>0</v>
      </c>
      <c r="M139" s="150">
        <v>0</v>
      </c>
      <c r="N139" s="150"/>
      <c r="O139" s="150">
        <v>0</v>
      </c>
      <c r="P139" s="150">
        <v>0</v>
      </c>
      <c r="Q139" s="150"/>
      <c r="R139" s="150">
        <f t="shared" si="192"/>
        <v>0</v>
      </c>
      <c r="S139" s="150">
        <f t="shared" si="201"/>
        <v>0</v>
      </c>
      <c r="T139" s="150"/>
      <c r="U139" s="150">
        <v>0</v>
      </c>
      <c r="V139" s="199"/>
      <c r="W139" s="150">
        <f t="shared" si="193"/>
        <v>0</v>
      </c>
      <c r="X139" s="150">
        <v>0</v>
      </c>
      <c r="Y139" s="150"/>
      <c r="Z139" s="150">
        <v>0</v>
      </c>
      <c r="AA139" s="150">
        <f t="shared" si="202"/>
        <v>0</v>
      </c>
      <c r="AB139" s="150">
        <v>0</v>
      </c>
      <c r="AC139" s="199"/>
      <c r="AD139" s="150">
        <f t="shared" si="194"/>
        <v>0</v>
      </c>
      <c r="AE139" s="150">
        <v>0</v>
      </c>
      <c r="AF139" s="169" t="s">
        <v>4680</v>
      </c>
      <c r="AG139" s="201">
        <v>0</v>
      </c>
      <c r="AH139" s="199"/>
      <c r="AI139" s="150">
        <v>0</v>
      </c>
      <c r="AJ139" s="169">
        <f t="shared" si="203"/>
        <v>0</v>
      </c>
      <c r="AK139" s="201">
        <v>0</v>
      </c>
      <c r="AL139" s="199"/>
      <c r="AM139" s="150">
        <f t="shared" si="195"/>
        <v>0</v>
      </c>
      <c r="AN139" s="153">
        <f t="shared" si="204"/>
        <v>0</v>
      </c>
      <c r="AO139" s="154">
        <f t="shared" si="205"/>
        <v>0</v>
      </c>
      <c r="AP139" s="150">
        <v>0</v>
      </c>
      <c r="AQ139" s="201">
        <v>0</v>
      </c>
      <c r="AR139" s="199"/>
      <c r="AS139" s="150">
        <f t="shared" si="196"/>
        <v>0</v>
      </c>
      <c r="AT139" s="155"/>
      <c r="AU139" s="156">
        <f t="shared" si="199"/>
        <v>0</v>
      </c>
      <c r="AV139" s="156">
        <f t="shared" si="200"/>
        <v>0</v>
      </c>
      <c r="AW139" s="157"/>
      <c r="AX139" s="150">
        <v>0</v>
      </c>
      <c r="AY139" s="150">
        <v>0</v>
      </c>
      <c r="AZ139" s="150"/>
      <c r="BA139" s="150">
        <f t="shared" si="206"/>
        <v>0</v>
      </c>
      <c r="BB139" s="202">
        <v>4</v>
      </c>
      <c r="BC139" s="202" t="s">
        <v>693</v>
      </c>
      <c r="BD139" s="202" t="s">
        <v>632</v>
      </c>
      <c r="BE139" s="202" t="s">
        <v>632</v>
      </c>
      <c r="BF139" s="250" t="s">
        <v>1257</v>
      </c>
      <c r="BG139" s="203" t="s">
        <v>5107</v>
      </c>
      <c r="BH139" s="216">
        <f t="shared" si="197"/>
        <v>0</v>
      </c>
      <c r="BI139" s="194" t="s">
        <v>1519</v>
      </c>
      <c r="BJ139" s="194" t="s">
        <v>5104</v>
      </c>
      <c r="BK139" s="194" t="s">
        <v>521</v>
      </c>
      <c r="BL139" s="207" t="s">
        <v>5105</v>
      </c>
      <c r="BM139" s="208">
        <f t="shared" si="198"/>
        <v>0</v>
      </c>
      <c r="BN139" s="160"/>
      <c r="BO139" s="161">
        <f t="shared" si="207"/>
        <v>0</v>
      </c>
      <c r="BP139" s="161"/>
    </row>
    <row r="140" spans="1:68" ht="38.25">
      <c r="A140" s="246" t="s">
        <v>521</v>
      </c>
      <c r="B140" s="228" t="s">
        <v>5108</v>
      </c>
      <c r="C140" s="229" t="s">
        <v>5109</v>
      </c>
      <c r="D140" s="146" t="s">
        <v>4692</v>
      </c>
      <c r="E140" s="196" t="s">
        <v>5109</v>
      </c>
      <c r="F140" s="150">
        <v>0</v>
      </c>
      <c r="G140" s="209">
        <v>0</v>
      </c>
      <c r="H140" s="209"/>
      <c r="I140" s="209">
        <v>0</v>
      </c>
      <c r="J140" s="150">
        <v>0</v>
      </c>
      <c r="K140" s="150">
        <v>0</v>
      </c>
      <c r="L140" s="150">
        <f t="shared" si="208"/>
        <v>0</v>
      </c>
      <c r="M140" s="150">
        <v>0</v>
      </c>
      <c r="N140" s="150"/>
      <c r="O140" s="150">
        <v>0</v>
      </c>
      <c r="P140" s="150">
        <v>0</v>
      </c>
      <c r="Q140" s="150"/>
      <c r="R140" s="150">
        <f t="shared" si="192"/>
        <v>0</v>
      </c>
      <c r="S140" s="150">
        <f t="shared" si="201"/>
        <v>0</v>
      </c>
      <c r="T140" s="150"/>
      <c r="U140" s="150">
        <v>0</v>
      </c>
      <c r="V140" s="199"/>
      <c r="W140" s="150">
        <f t="shared" si="193"/>
        <v>0</v>
      </c>
      <c r="X140" s="150">
        <v>0</v>
      </c>
      <c r="Y140" s="150"/>
      <c r="Z140" s="150">
        <v>0</v>
      </c>
      <c r="AA140" s="150">
        <f t="shared" si="202"/>
        <v>0</v>
      </c>
      <c r="AB140" s="150">
        <v>0</v>
      </c>
      <c r="AC140" s="199"/>
      <c r="AD140" s="150">
        <f t="shared" si="194"/>
        <v>0</v>
      </c>
      <c r="AE140" s="150">
        <v>0</v>
      </c>
      <c r="AF140" s="169" t="s">
        <v>4680</v>
      </c>
      <c r="AG140" s="201">
        <v>0</v>
      </c>
      <c r="AH140" s="199"/>
      <c r="AI140" s="150">
        <v>0</v>
      </c>
      <c r="AJ140" s="169">
        <f t="shared" si="203"/>
        <v>0</v>
      </c>
      <c r="AK140" s="201">
        <v>0</v>
      </c>
      <c r="AL140" s="199"/>
      <c r="AM140" s="150">
        <f t="shared" si="195"/>
        <v>0</v>
      </c>
      <c r="AN140" s="153">
        <f t="shared" si="204"/>
        <v>0</v>
      </c>
      <c r="AO140" s="154">
        <f t="shared" si="205"/>
        <v>0</v>
      </c>
      <c r="AP140" s="150">
        <v>0</v>
      </c>
      <c r="AQ140" s="201">
        <v>0</v>
      </c>
      <c r="AR140" s="199"/>
      <c r="AS140" s="150">
        <f t="shared" si="196"/>
        <v>0</v>
      </c>
      <c r="AT140" s="155"/>
      <c r="AU140" s="156">
        <f t="shared" si="199"/>
        <v>0</v>
      </c>
      <c r="AV140" s="156">
        <f t="shared" si="200"/>
        <v>0</v>
      </c>
      <c r="AW140" s="157"/>
      <c r="AX140" s="150">
        <v>0</v>
      </c>
      <c r="AY140" s="150">
        <v>0</v>
      </c>
      <c r="AZ140" s="150"/>
      <c r="BA140" s="150">
        <f t="shared" si="206"/>
        <v>0</v>
      </c>
      <c r="BB140" s="202">
        <v>4</v>
      </c>
      <c r="BC140" s="202" t="s">
        <v>693</v>
      </c>
      <c r="BD140" s="202" t="s">
        <v>632</v>
      </c>
      <c r="BE140" s="202" t="s">
        <v>632</v>
      </c>
      <c r="BF140" s="250" t="s">
        <v>1332</v>
      </c>
      <c r="BG140" s="203" t="s">
        <v>5109</v>
      </c>
      <c r="BH140" s="216">
        <f t="shared" si="197"/>
        <v>0</v>
      </c>
      <c r="BI140" s="194" t="s">
        <v>1519</v>
      </c>
      <c r="BJ140" s="194" t="s">
        <v>5104</v>
      </c>
      <c r="BK140" s="194" t="s">
        <v>521</v>
      </c>
      <c r="BL140" s="207" t="s">
        <v>5105</v>
      </c>
      <c r="BM140" s="208">
        <f t="shared" si="198"/>
        <v>0</v>
      </c>
      <c r="BN140" s="160"/>
      <c r="BO140" s="161">
        <f t="shared" si="207"/>
        <v>0</v>
      </c>
      <c r="BP140" s="161"/>
    </row>
    <row r="141" spans="1:68" ht="38.25">
      <c r="A141" s="246" t="s">
        <v>521</v>
      </c>
      <c r="B141" s="228" t="s">
        <v>5110</v>
      </c>
      <c r="C141" s="229" t="s">
        <v>5111</v>
      </c>
      <c r="D141" s="146" t="s">
        <v>4692</v>
      </c>
      <c r="E141" s="196" t="s">
        <v>5111</v>
      </c>
      <c r="F141" s="150">
        <v>0</v>
      </c>
      <c r="G141" s="209">
        <v>0</v>
      </c>
      <c r="H141" s="209"/>
      <c r="I141" s="209">
        <v>0</v>
      </c>
      <c r="J141" s="150">
        <v>0</v>
      </c>
      <c r="K141" s="150">
        <v>0</v>
      </c>
      <c r="L141" s="150">
        <f t="shared" si="208"/>
        <v>0</v>
      </c>
      <c r="M141" s="150">
        <v>0</v>
      </c>
      <c r="N141" s="150"/>
      <c r="O141" s="150">
        <v>0</v>
      </c>
      <c r="P141" s="150">
        <v>0</v>
      </c>
      <c r="Q141" s="150"/>
      <c r="R141" s="150">
        <f t="shared" si="192"/>
        <v>0</v>
      </c>
      <c r="S141" s="150">
        <f t="shared" si="201"/>
        <v>0</v>
      </c>
      <c r="T141" s="150"/>
      <c r="U141" s="150">
        <v>0</v>
      </c>
      <c r="V141" s="199"/>
      <c r="W141" s="150">
        <f t="shared" si="193"/>
        <v>0</v>
      </c>
      <c r="X141" s="150">
        <v>0</v>
      </c>
      <c r="Y141" s="150"/>
      <c r="Z141" s="150">
        <v>0</v>
      </c>
      <c r="AA141" s="150">
        <f t="shared" si="202"/>
        <v>0</v>
      </c>
      <c r="AB141" s="150">
        <v>0</v>
      </c>
      <c r="AC141" s="199"/>
      <c r="AD141" s="150">
        <f t="shared" si="194"/>
        <v>0</v>
      </c>
      <c r="AE141" s="150">
        <v>0</v>
      </c>
      <c r="AF141" s="169" t="s">
        <v>4680</v>
      </c>
      <c r="AG141" s="201">
        <v>0</v>
      </c>
      <c r="AH141" s="199"/>
      <c r="AI141" s="150">
        <v>0</v>
      </c>
      <c r="AJ141" s="169">
        <f t="shared" si="203"/>
        <v>0</v>
      </c>
      <c r="AK141" s="201">
        <v>0</v>
      </c>
      <c r="AL141" s="199"/>
      <c r="AM141" s="150">
        <f t="shared" si="195"/>
        <v>0</v>
      </c>
      <c r="AN141" s="153">
        <f t="shared" si="204"/>
        <v>0</v>
      </c>
      <c r="AO141" s="154">
        <f t="shared" si="205"/>
        <v>0</v>
      </c>
      <c r="AP141" s="150">
        <v>0</v>
      </c>
      <c r="AQ141" s="201">
        <v>0</v>
      </c>
      <c r="AR141" s="199"/>
      <c r="AS141" s="150">
        <f t="shared" si="196"/>
        <v>0</v>
      </c>
      <c r="AT141" s="155"/>
      <c r="AU141" s="156">
        <f t="shared" si="199"/>
        <v>0</v>
      </c>
      <c r="AV141" s="156">
        <f t="shared" si="200"/>
        <v>0</v>
      </c>
      <c r="AW141" s="157"/>
      <c r="AX141" s="150">
        <v>0</v>
      </c>
      <c r="AY141" s="150">
        <v>0</v>
      </c>
      <c r="AZ141" s="150"/>
      <c r="BA141" s="150">
        <f t="shared" si="206"/>
        <v>0</v>
      </c>
      <c r="BB141" s="202">
        <v>4</v>
      </c>
      <c r="BC141" s="202" t="s">
        <v>693</v>
      </c>
      <c r="BD141" s="202" t="s">
        <v>632</v>
      </c>
      <c r="BE141" s="202" t="s">
        <v>632</v>
      </c>
      <c r="BF141" s="250" t="s">
        <v>1838</v>
      </c>
      <c r="BG141" s="203" t="s">
        <v>5112</v>
      </c>
      <c r="BH141" s="216">
        <f t="shared" si="197"/>
        <v>0</v>
      </c>
      <c r="BI141" s="194" t="s">
        <v>1519</v>
      </c>
      <c r="BJ141" s="194" t="s">
        <v>5104</v>
      </c>
      <c r="BK141" s="194" t="s">
        <v>521</v>
      </c>
      <c r="BL141" s="207" t="s">
        <v>5105</v>
      </c>
      <c r="BM141" s="208">
        <f t="shared" si="198"/>
        <v>0</v>
      </c>
      <c r="BN141" s="160"/>
      <c r="BO141" s="161">
        <f t="shared" si="207"/>
        <v>0</v>
      </c>
      <c r="BP141" s="161"/>
    </row>
    <row r="142" spans="1:68" ht="51">
      <c r="A142" s="246" t="s">
        <v>521</v>
      </c>
      <c r="B142" s="228" t="s">
        <v>5113</v>
      </c>
      <c r="C142" s="229" t="s">
        <v>5114</v>
      </c>
      <c r="D142" s="146" t="s">
        <v>4692</v>
      </c>
      <c r="E142" s="196" t="s">
        <v>5114</v>
      </c>
      <c r="F142" s="150">
        <v>41030.730000000003</v>
      </c>
      <c r="G142" s="209">
        <v>10775</v>
      </c>
      <c r="H142" s="209"/>
      <c r="I142" s="209">
        <v>10775</v>
      </c>
      <c r="J142" s="150">
        <v>0</v>
      </c>
      <c r="K142" s="150">
        <v>0</v>
      </c>
      <c r="L142" s="150">
        <f t="shared" si="208"/>
        <v>0</v>
      </c>
      <c r="M142" s="150">
        <v>0</v>
      </c>
      <c r="N142" s="150">
        <v>20515.365000000002</v>
      </c>
      <c r="O142" s="150">
        <v>20515.365000000002</v>
      </c>
      <c r="P142" s="150">
        <v>0</v>
      </c>
      <c r="Q142" s="237">
        <f>L142/6*12</f>
        <v>0</v>
      </c>
      <c r="R142" s="150">
        <f t="shared" si="192"/>
        <v>0</v>
      </c>
      <c r="S142" s="150">
        <f t="shared" si="201"/>
        <v>0</v>
      </c>
      <c r="T142" s="150"/>
      <c r="U142" s="150">
        <v>4463.74</v>
      </c>
      <c r="V142" s="199"/>
      <c r="W142" s="150">
        <f t="shared" si="193"/>
        <v>4463.74</v>
      </c>
      <c r="X142" s="150">
        <v>4463.74</v>
      </c>
      <c r="Y142" s="150"/>
      <c r="Z142" s="150">
        <v>4463.74</v>
      </c>
      <c r="AA142" s="150">
        <f t="shared" si="202"/>
        <v>68900.51999999999</v>
      </c>
      <c r="AB142" s="150">
        <v>73364.259999999995</v>
      </c>
      <c r="AC142" s="199"/>
      <c r="AD142" s="150">
        <f t="shared" si="194"/>
        <v>73364.259999999995</v>
      </c>
      <c r="AE142" s="150">
        <v>82829.83</v>
      </c>
      <c r="AF142" s="169" t="s">
        <v>4680</v>
      </c>
      <c r="AG142" s="201">
        <v>82829.83</v>
      </c>
      <c r="AH142" s="199"/>
      <c r="AI142" s="150">
        <v>82829.83</v>
      </c>
      <c r="AJ142" s="169">
        <f t="shared" si="203"/>
        <v>12995.660000000003</v>
      </c>
      <c r="AK142" s="201">
        <v>95825.49</v>
      </c>
      <c r="AL142" s="199"/>
      <c r="AM142" s="150">
        <f t="shared" si="195"/>
        <v>95825.49</v>
      </c>
      <c r="AN142" s="153">
        <f t="shared" si="204"/>
        <v>0</v>
      </c>
      <c r="AO142" s="154">
        <f t="shared" si="205"/>
        <v>0</v>
      </c>
      <c r="AP142" s="150">
        <v>95825.49</v>
      </c>
      <c r="AQ142" s="201">
        <v>95825.49</v>
      </c>
      <c r="AR142" s="199"/>
      <c r="AS142" s="150">
        <f t="shared" si="196"/>
        <v>95825.49</v>
      </c>
      <c r="AT142" s="155" t="s">
        <v>4796</v>
      </c>
      <c r="AU142" s="156">
        <f t="shared" si="199"/>
        <v>22461.23000000001</v>
      </c>
      <c r="AV142" s="156">
        <f t="shared" si="200"/>
        <v>68900.51999999999</v>
      </c>
      <c r="AW142" s="157" t="s">
        <v>4796</v>
      </c>
      <c r="AX142" s="150">
        <v>4463.74</v>
      </c>
      <c r="AY142" s="150">
        <v>0</v>
      </c>
      <c r="AZ142" s="237">
        <f>O142/6*12</f>
        <v>41030.730000000003</v>
      </c>
      <c r="BA142" s="150">
        <f t="shared" si="206"/>
        <v>41030.730000000003</v>
      </c>
      <c r="BB142" s="202">
        <v>4</v>
      </c>
      <c r="BC142" s="202" t="s">
        <v>693</v>
      </c>
      <c r="BD142" s="202" t="s">
        <v>632</v>
      </c>
      <c r="BE142" s="202" t="s">
        <v>632</v>
      </c>
      <c r="BF142" s="239" t="s">
        <v>1124</v>
      </c>
      <c r="BG142" s="203" t="s">
        <v>5114</v>
      </c>
      <c r="BH142" s="216">
        <f>SUM(AS142:AS144)</f>
        <v>121025.49</v>
      </c>
      <c r="BI142" s="194" t="s">
        <v>1519</v>
      </c>
      <c r="BJ142" s="194" t="s">
        <v>5104</v>
      </c>
      <c r="BK142" s="194" t="s">
        <v>521</v>
      </c>
      <c r="BL142" s="207" t="s">
        <v>5105</v>
      </c>
      <c r="BM142" s="208">
        <f t="shared" si="198"/>
        <v>121025.49</v>
      </c>
      <c r="BN142" s="160"/>
      <c r="BO142" s="161"/>
      <c r="BP142" s="161"/>
    </row>
    <row r="143" spans="1:68" ht="51">
      <c r="A143" s="246"/>
      <c r="B143" s="228" t="s">
        <v>5115</v>
      </c>
      <c r="C143" s="229" t="s">
        <v>5116</v>
      </c>
      <c r="D143" s="146" t="s">
        <v>4692</v>
      </c>
      <c r="E143" s="196" t="s">
        <v>5117</v>
      </c>
      <c r="F143" s="150">
        <v>0</v>
      </c>
      <c r="G143" s="209">
        <v>0</v>
      </c>
      <c r="H143" s="209"/>
      <c r="I143" s="209">
        <v>0</v>
      </c>
      <c r="J143" s="150">
        <v>0</v>
      </c>
      <c r="K143" s="150">
        <v>0</v>
      </c>
      <c r="L143" s="150">
        <f t="shared" si="208"/>
        <v>0</v>
      </c>
      <c r="M143" s="150">
        <v>0</v>
      </c>
      <c r="N143" s="150"/>
      <c r="O143" s="150">
        <v>0</v>
      </c>
      <c r="P143" s="150">
        <v>0</v>
      </c>
      <c r="Q143" s="150"/>
      <c r="R143" s="150">
        <f t="shared" si="192"/>
        <v>0</v>
      </c>
      <c r="S143" s="150">
        <f t="shared" si="201"/>
        <v>0</v>
      </c>
      <c r="T143" s="150"/>
      <c r="U143" s="150">
        <v>0</v>
      </c>
      <c r="V143" s="199"/>
      <c r="W143" s="150">
        <f t="shared" si="193"/>
        <v>0</v>
      </c>
      <c r="X143" s="150">
        <v>0</v>
      </c>
      <c r="Y143" s="150"/>
      <c r="Z143" s="150">
        <v>0</v>
      </c>
      <c r="AA143" s="150">
        <f t="shared" si="202"/>
        <v>0</v>
      </c>
      <c r="AB143" s="150">
        <v>0</v>
      </c>
      <c r="AC143" s="199"/>
      <c r="AD143" s="150">
        <f t="shared" si="194"/>
        <v>0</v>
      </c>
      <c r="AE143" s="150">
        <v>0</v>
      </c>
      <c r="AF143" s="169" t="s">
        <v>4680</v>
      </c>
      <c r="AG143" s="201">
        <v>0</v>
      </c>
      <c r="AH143" s="199"/>
      <c r="AI143" s="150">
        <v>0</v>
      </c>
      <c r="AJ143" s="169">
        <f t="shared" si="203"/>
        <v>0</v>
      </c>
      <c r="AK143" s="201">
        <v>0</v>
      </c>
      <c r="AL143" s="199"/>
      <c r="AM143" s="150">
        <f t="shared" si="195"/>
        <v>0</v>
      </c>
      <c r="AN143" s="153">
        <f t="shared" si="204"/>
        <v>0</v>
      </c>
      <c r="AO143" s="154">
        <f t="shared" si="205"/>
        <v>0</v>
      </c>
      <c r="AP143" s="150">
        <v>0</v>
      </c>
      <c r="AQ143" s="201">
        <v>0</v>
      </c>
      <c r="AR143" s="199"/>
      <c r="AS143" s="150">
        <f t="shared" si="196"/>
        <v>0</v>
      </c>
      <c r="AT143" s="155"/>
      <c r="AU143" s="156">
        <f t="shared" si="199"/>
        <v>0</v>
      </c>
      <c r="AV143" s="156">
        <f t="shared" si="200"/>
        <v>0</v>
      </c>
      <c r="AW143" s="157"/>
      <c r="AX143" s="150">
        <v>0</v>
      </c>
      <c r="AY143" s="150">
        <v>0</v>
      </c>
      <c r="AZ143" s="150"/>
      <c r="BA143" s="150">
        <f t="shared" si="206"/>
        <v>0</v>
      </c>
      <c r="BB143" s="202"/>
      <c r="BC143" s="202"/>
      <c r="BD143" s="202"/>
      <c r="BE143" s="202"/>
      <c r="BF143" s="239"/>
      <c r="BG143" s="203"/>
      <c r="BH143" s="216"/>
      <c r="BI143" s="194"/>
      <c r="BJ143" s="194"/>
      <c r="BK143" s="194"/>
      <c r="BL143" s="207"/>
      <c r="BM143" s="208"/>
      <c r="BN143" s="160"/>
      <c r="BO143" s="161"/>
      <c r="BP143" s="161"/>
    </row>
    <row r="144" spans="1:68" ht="38.25">
      <c r="A144" s="246"/>
      <c r="B144" s="227" t="s">
        <v>5118</v>
      </c>
      <c r="C144" s="229" t="s">
        <v>5119</v>
      </c>
      <c r="D144" s="146" t="s">
        <v>4692</v>
      </c>
      <c r="E144" s="231" t="s">
        <v>5120</v>
      </c>
      <c r="F144" s="150">
        <v>25900</v>
      </c>
      <c r="G144" s="251">
        <v>4900</v>
      </c>
      <c r="H144" s="251"/>
      <c r="I144" s="251">
        <v>4900</v>
      </c>
      <c r="J144" s="150">
        <v>0</v>
      </c>
      <c r="K144" s="150">
        <v>0</v>
      </c>
      <c r="L144" s="150">
        <f t="shared" si="208"/>
        <v>0</v>
      </c>
      <c r="M144" s="150">
        <v>1500</v>
      </c>
      <c r="N144" s="150">
        <v>11450</v>
      </c>
      <c r="O144" s="150">
        <v>12950</v>
      </c>
      <c r="P144" s="150">
        <v>2800</v>
      </c>
      <c r="Q144" s="237">
        <f>L144/6*12</f>
        <v>0</v>
      </c>
      <c r="R144" s="150">
        <f t="shared" si="192"/>
        <v>2800</v>
      </c>
      <c r="S144" s="150">
        <f t="shared" si="201"/>
        <v>3733.333333333333</v>
      </c>
      <c r="T144" s="150"/>
      <c r="U144" s="150">
        <v>5800</v>
      </c>
      <c r="V144" s="230"/>
      <c r="W144" s="150">
        <f t="shared" si="193"/>
        <v>5800</v>
      </c>
      <c r="X144" s="150">
        <v>5800</v>
      </c>
      <c r="Y144" s="150"/>
      <c r="Z144" s="150">
        <v>5800</v>
      </c>
      <c r="AA144" s="150">
        <f t="shared" si="202"/>
        <v>12950</v>
      </c>
      <c r="AB144" s="150">
        <v>18750</v>
      </c>
      <c r="AC144" s="199"/>
      <c r="AD144" s="150">
        <f t="shared" si="194"/>
        <v>18750</v>
      </c>
      <c r="AE144" s="150">
        <v>18750</v>
      </c>
      <c r="AF144" s="169" t="s">
        <v>4680</v>
      </c>
      <c r="AG144" s="201">
        <v>18750</v>
      </c>
      <c r="AH144" s="245"/>
      <c r="AI144" s="150">
        <v>18750</v>
      </c>
      <c r="AJ144" s="169">
        <f t="shared" si="203"/>
        <v>6450</v>
      </c>
      <c r="AK144" s="201">
        <v>25200</v>
      </c>
      <c r="AL144" s="245"/>
      <c r="AM144" s="150">
        <f t="shared" si="195"/>
        <v>25200</v>
      </c>
      <c r="AN144" s="153">
        <f t="shared" si="204"/>
        <v>0</v>
      </c>
      <c r="AO144" s="154">
        <f t="shared" si="205"/>
        <v>0</v>
      </c>
      <c r="AP144" s="150">
        <v>25200</v>
      </c>
      <c r="AQ144" s="201">
        <v>25200</v>
      </c>
      <c r="AR144" s="245"/>
      <c r="AS144" s="150">
        <f t="shared" si="196"/>
        <v>25200</v>
      </c>
      <c r="AT144" s="155" t="s">
        <v>4796</v>
      </c>
      <c r="AU144" s="156">
        <f t="shared" si="199"/>
        <v>6450</v>
      </c>
      <c r="AV144" s="156">
        <f t="shared" si="200"/>
        <v>12950</v>
      </c>
      <c r="AW144" s="157" t="s">
        <v>4796</v>
      </c>
      <c r="AX144" s="150">
        <v>5800</v>
      </c>
      <c r="AY144" s="150">
        <v>2800</v>
      </c>
      <c r="AZ144" s="237">
        <f>O144/6*12</f>
        <v>25900</v>
      </c>
      <c r="BA144" s="150">
        <f t="shared" si="206"/>
        <v>28700</v>
      </c>
      <c r="BB144" s="202"/>
      <c r="BC144" s="202"/>
      <c r="BD144" s="202"/>
      <c r="BE144" s="202"/>
      <c r="BF144" s="239"/>
      <c r="BG144" s="203"/>
      <c r="BH144" s="216"/>
      <c r="BI144" s="194"/>
      <c r="BJ144" s="194"/>
      <c r="BK144" s="194"/>
      <c r="BL144" s="207"/>
      <c r="BM144" s="208"/>
      <c r="BN144" s="160"/>
      <c r="BO144" s="161"/>
      <c r="BP144" s="161"/>
    </row>
    <row r="145" spans="1:68" ht="51">
      <c r="A145" s="183" t="s">
        <v>5121</v>
      </c>
      <c r="B145" s="184"/>
      <c r="C145" s="185" t="s">
        <v>5122</v>
      </c>
      <c r="D145" s="146" t="s">
        <v>4692</v>
      </c>
      <c r="E145" s="185" t="s">
        <v>5122</v>
      </c>
      <c r="F145" s="186">
        <v>35765.96</v>
      </c>
      <c r="G145" s="187">
        <v>13005.679999999998</v>
      </c>
      <c r="H145" s="187">
        <v>0</v>
      </c>
      <c r="I145" s="187">
        <v>13005.679999999998</v>
      </c>
      <c r="J145" s="186">
        <f>SUM(J146:J152)</f>
        <v>0</v>
      </c>
      <c r="K145" s="186">
        <f>SUM(K146:K152)</f>
        <v>0</v>
      </c>
      <c r="L145" s="188">
        <f t="shared" si="208"/>
        <v>0</v>
      </c>
      <c r="M145" s="188">
        <v>625.65</v>
      </c>
      <c r="N145" s="188">
        <v>6177.18</v>
      </c>
      <c r="O145" s="188">
        <v>6802.83</v>
      </c>
      <c r="P145" s="225">
        <f t="shared" ref="P145:AD145" si="209">SUM(P146:P152)</f>
        <v>15120.52</v>
      </c>
      <c r="Q145" s="225">
        <f t="shared" si="209"/>
        <v>12450</v>
      </c>
      <c r="R145" s="225">
        <f t="shared" si="209"/>
        <v>27570.52</v>
      </c>
      <c r="S145" s="150">
        <f t="shared" si="201"/>
        <v>36760.693333333329</v>
      </c>
      <c r="T145" s="213"/>
      <c r="U145" s="225">
        <f t="shared" ref="U145:W145" si="210">SUM(U146:U152)</f>
        <v>30176.55</v>
      </c>
      <c r="V145" s="226">
        <f t="shared" si="210"/>
        <v>0</v>
      </c>
      <c r="W145" s="225">
        <f t="shared" si="210"/>
        <v>30176.55</v>
      </c>
      <c r="X145" s="225">
        <v>30176.55</v>
      </c>
      <c r="Y145" s="225">
        <v>0</v>
      </c>
      <c r="Z145" s="225">
        <v>30176.55</v>
      </c>
      <c r="AA145" s="225">
        <f t="shared" si="202"/>
        <v>2812.7899999999972</v>
      </c>
      <c r="AB145" s="225">
        <v>32989.339999999997</v>
      </c>
      <c r="AC145" s="226">
        <v>0</v>
      </c>
      <c r="AD145" s="225">
        <f t="shared" si="209"/>
        <v>32989.339999999997</v>
      </c>
      <c r="AE145" s="225">
        <v>32989.339999999997</v>
      </c>
      <c r="AF145" s="169" t="s">
        <v>4680</v>
      </c>
      <c r="AG145" s="212">
        <v>32989.339999999997</v>
      </c>
      <c r="AH145" s="226">
        <v>0</v>
      </c>
      <c r="AI145" s="225">
        <v>32989.339999999997</v>
      </c>
      <c r="AJ145" s="169">
        <f t="shared" si="203"/>
        <v>0</v>
      </c>
      <c r="AK145" s="212">
        <v>32989.339999999997</v>
      </c>
      <c r="AL145" s="226">
        <v>0</v>
      </c>
      <c r="AM145" s="225">
        <f t="shared" ref="AM145" si="211">SUM(AM146:AM152)</f>
        <v>32989.339999999997</v>
      </c>
      <c r="AN145" s="153">
        <f t="shared" si="204"/>
        <v>0</v>
      </c>
      <c r="AO145" s="154">
        <f t="shared" si="205"/>
        <v>0</v>
      </c>
      <c r="AP145" s="225">
        <v>32989.339999999997</v>
      </c>
      <c r="AQ145" s="212">
        <v>32989.339999999997</v>
      </c>
      <c r="AR145" s="226">
        <f t="shared" ref="AR145:AS145" si="212">SUM(AR146:AR152)</f>
        <v>0</v>
      </c>
      <c r="AS145" s="225">
        <f t="shared" si="212"/>
        <v>32989.339999999997</v>
      </c>
      <c r="AT145" s="155"/>
      <c r="AU145" s="156">
        <f t="shared" si="199"/>
        <v>0</v>
      </c>
      <c r="AV145" s="156">
        <f t="shared" si="200"/>
        <v>2812.7899999999972</v>
      </c>
      <c r="AW145" s="157"/>
      <c r="AX145" s="150">
        <v>30176.55</v>
      </c>
      <c r="AY145" s="225">
        <f t="shared" ref="AY145:BA145" si="213">SUM(AY146:AY152)</f>
        <v>5163.24</v>
      </c>
      <c r="AZ145" s="225">
        <f t="shared" si="213"/>
        <v>6558.3600000000006</v>
      </c>
      <c r="BA145" s="225">
        <f t="shared" si="213"/>
        <v>11721.6</v>
      </c>
      <c r="BB145" s="191">
        <v>4</v>
      </c>
      <c r="BC145" s="183" t="s">
        <v>693</v>
      </c>
      <c r="BD145" s="183" t="s">
        <v>632</v>
      </c>
      <c r="BE145" s="183" t="s">
        <v>647</v>
      </c>
      <c r="BF145" s="183" t="s">
        <v>630</v>
      </c>
      <c r="BG145" s="185" t="s">
        <v>5122</v>
      </c>
      <c r="BH145" s="215">
        <f>SUBTOTAL(9,BH146:BH151)</f>
        <v>32989.339999999997</v>
      </c>
      <c r="BI145" s="191"/>
      <c r="BJ145" s="183" t="s">
        <v>5123</v>
      </c>
      <c r="BK145" s="183" t="s">
        <v>5121</v>
      </c>
      <c r="BL145" s="193" t="s">
        <v>5124</v>
      </c>
      <c r="BM145" s="215">
        <f>SUBTOTAL(9,BM146:BM151)</f>
        <v>32989.339999999997</v>
      </c>
      <c r="BN145" s="160"/>
      <c r="BO145" s="161">
        <f t="shared" si="207"/>
        <v>0</v>
      </c>
      <c r="BP145" s="161"/>
    </row>
    <row r="146" spans="1:68" ht="51">
      <c r="A146" s="194" t="s">
        <v>5121</v>
      </c>
      <c r="B146" s="195" t="s">
        <v>5125</v>
      </c>
      <c r="C146" s="196" t="s">
        <v>5126</v>
      </c>
      <c r="D146" s="146" t="s">
        <v>4692</v>
      </c>
      <c r="E146" s="196" t="s">
        <v>5126</v>
      </c>
      <c r="F146" s="150">
        <v>0</v>
      </c>
      <c r="G146" s="209">
        <v>0</v>
      </c>
      <c r="H146" s="209"/>
      <c r="I146" s="209">
        <v>0</v>
      </c>
      <c r="J146" s="150">
        <v>0</v>
      </c>
      <c r="K146" s="150">
        <v>0</v>
      </c>
      <c r="L146" s="150">
        <f t="shared" si="208"/>
        <v>0</v>
      </c>
      <c r="M146" s="150">
        <v>0</v>
      </c>
      <c r="N146" s="150"/>
      <c r="O146" s="150">
        <v>0</v>
      </c>
      <c r="P146" s="150">
        <v>0</v>
      </c>
      <c r="Q146" s="150"/>
      <c r="R146" s="150">
        <f t="shared" ref="R146:R152" si="214">P146+Q146</f>
        <v>0</v>
      </c>
      <c r="S146" s="150">
        <f t="shared" si="201"/>
        <v>0</v>
      </c>
      <c r="T146" s="150"/>
      <c r="U146" s="150">
        <v>0</v>
      </c>
      <c r="V146" s="199"/>
      <c r="W146" s="150">
        <f t="shared" ref="W146:W152" si="215">U146+V146</f>
        <v>0</v>
      </c>
      <c r="X146" s="150">
        <v>0</v>
      </c>
      <c r="Y146" s="150"/>
      <c r="Z146" s="150">
        <v>0</v>
      </c>
      <c r="AA146" s="150">
        <f t="shared" si="202"/>
        <v>0</v>
      </c>
      <c r="AB146" s="150">
        <v>0</v>
      </c>
      <c r="AC146" s="199"/>
      <c r="AD146" s="150">
        <f t="shared" ref="AD146:AD152" si="216">AB146+AC146</f>
        <v>0</v>
      </c>
      <c r="AE146" s="150">
        <v>0</v>
      </c>
      <c r="AF146" s="169" t="s">
        <v>4680</v>
      </c>
      <c r="AG146" s="201">
        <v>0</v>
      </c>
      <c r="AH146" s="199"/>
      <c r="AI146" s="150">
        <v>0</v>
      </c>
      <c r="AJ146" s="169">
        <f t="shared" si="203"/>
        <v>0</v>
      </c>
      <c r="AK146" s="201">
        <v>0</v>
      </c>
      <c r="AL146" s="199"/>
      <c r="AM146" s="150">
        <f t="shared" ref="AM146:AM152" si="217">AK146+AL146</f>
        <v>0</v>
      </c>
      <c r="AN146" s="153">
        <f t="shared" si="204"/>
        <v>0</v>
      </c>
      <c r="AO146" s="154">
        <f t="shared" si="205"/>
        <v>0</v>
      </c>
      <c r="AP146" s="150">
        <v>0</v>
      </c>
      <c r="AQ146" s="201">
        <v>0</v>
      </c>
      <c r="AR146" s="199"/>
      <c r="AS146" s="150">
        <f t="shared" ref="AS146:AS152" si="218">AQ146+AR146</f>
        <v>0</v>
      </c>
      <c r="AT146" s="155"/>
      <c r="AU146" s="156">
        <f t="shared" si="199"/>
        <v>0</v>
      </c>
      <c r="AV146" s="156">
        <f t="shared" si="200"/>
        <v>0</v>
      </c>
      <c r="AW146" s="157"/>
      <c r="AX146" s="150">
        <v>0</v>
      </c>
      <c r="AY146" s="150">
        <v>0</v>
      </c>
      <c r="AZ146" s="150"/>
      <c r="BA146" s="150">
        <f t="shared" si="206"/>
        <v>0</v>
      </c>
      <c r="BB146" s="202">
        <v>4</v>
      </c>
      <c r="BC146" s="202" t="s">
        <v>693</v>
      </c>
      <c r="BD146" s="202" t="s">
        <v>632</v>
      </c>
      <c r="BE146" s="202" t="s">
        <v>647</v>
      </c>
      <c r="BF146" s="194" t="s">
        <v>632</v>
      </c>
      <c r="BG146" s="203" t="s">
        <v>5127</v>
      </c>
      <c r="BH146" s="216">
        <f>AS146</f>
        <v>0</v>
      </c>
      <c r="BI146" s="202"/>
      <c r="BJ146" s="194" t="s">
        <v>5123</v>
      </c>
      <c r="BK146" s="194" t="s">
        <v>5121</v>
      </c>
      <c r="BL146" s="207" t="s">
        <v>5128</v>
      </c>
      <c r="BM146" s="208">
        <f>BH146</f>
        <v>0</v>
      </c>
      <c r="BN146" s="160"/>
      <c r="BO146" s="161">
        <f t="shared" si="207"/>
        <v>0</v>
      </c>
      <c r="BP146" s="161"/>
    </row>
    <row r="147" spans="1:68" ht="51">
      <c r="A147" s="194" t="s">
        <v>5121</v>
      </c>
      <c r="B147" s="195" t="s">
        <v>5129</v>
      </c>
      <c r="C147" s="196" t="s">
        <v>5130</v>
      </c>
      <c r="D147" s="146" t="s">
        <v>4692</v>
      </c>
      <c r="E147" s="196" t="s">
        <v>5130</v>
      </c>
      <c r="F147" s="150">
        <v>0</v>
      </c>
      <c r="G147" s="209">
        <v>0</v>
      </c>
      <c r="H147" s="209"/>
      <c r="I147" s="209">
        <v>0</v>
      </c>
      <c r="J147" s="150">
        <v>0</v>
      </c>
      <c r="K147" s="150">
        <v>0</v>
      </c>
      <c r="L147" s="150">
        <f t="shared" si="208"/>
        <v>0</v>
      </c>
      <c r="M147" s="150">
        <v>0</v>
      </c>
      <c r="N147" s="150"/>
      <c r="O147" s="150">
        <v>0</v>
      </c>
      <c r="P147" s="150">
        <v>0</v>
      </c>
      <c r="Q147" s="150"/>
      <c r="R147" s="150">
        <f t="shared" si="214"/>
        <v>0</v>
      </c>
      <c r="S147" s="150">
        <f t="shared" si="201"/>
        <v>0</v>
      </c>
      <c r="T147" s="150"/>
      <c r="U147" s="150">
        <v>0</v>
      </c>
      <c r="V147" s="199"/>
      <c r="W147" s="150">
        <f t="shared" si="215"/>
        <v>0</v>
      </c>
      <c r="X147" s="150">
        <v>0</v>
      </c>
      <c r="Y147" s="150"/>
      <c r="Z147" s="150">
        <v>0</v>
      </c>
      <c r="AA147" s="150">
        <f t="shared" si="202"/>
        <v>0</v>
      </c>
      <c r="AB147" s="150">
        <v>0</v>
      </c>
      <c r="AC147" s="199"/>
      <c r="AD147" s="150">
        <f t="shared" si="216"/>
        <v>0</v>
      </c>
      <c r="AE147" s="150">
        <v>0</v>
      </c>
      <c r="AF147" s="169" t="s">
        <v>4680</v>
      </c>
      <c r="AG147" s="201">
        <v>0</v>
      </c>
      <c r="AH147" s="199"/>
      <c r="AI147" s="150">
        <v>0</v>
      </c>
      <c r="AJ147" s="169">
        <f t="shared" si="203"/>
        <v>0</v>
      </c>
      <c r="AK147" s="201">
        <v>0</v>
      </c>
      <c r="AL147" s="199"/>
      <c r="AM147" s="150">
        <f t="shared" si="217"/>
        <v>0</v>
      </c>
      <c r="AN147" s="153">
        <f t="shared" si="204"/>
        <v>0</v>
      </c>
      <c r="AO147" s="154">
        <f t="shared" si="205"/>
        <v>0</v>
      </c>
      <c r="AP147" s="150">
        <v>0</v>
      </c>
      <c r="AQ147" s="201">
        <v>0</v>
      </c>
      <c r="AR147" s="199"/>
      <c r="AS147" s="150">
        <f t="shared" si="218"/>
        <v>0</v>
      </c>
      <c r="AT147" s="155"/>
      <c r="AU147" s="156">
        <f t="shared" si="199"/>
        <v>0</v>
      </c>
      <c r="AV147" s="156">
        <f t="shared" si="200"/>
        <v>0</v>
      </c>
      <c r="AW147" s="157"/>
      <c r="AX147" s="150">
        <v>0</v>
      </c>
      <c r="AY147" s="150">
        <v>0</v>
      </c>
      <c r="AZ147" s="150"/>
      <c r="BA147" s="150">
        <f t="shared" si="206"/>
        <v>0</v>
      </c>
      <c r="BB147" s="202">
        <v>4</v>
      </c>
      <c r="BC147" s="202" t="s">
        <v>693</v>
      </c>
      <c r="BD147" s="202" t="s">
        <v>632</v>
      </c>
      <c r="BE147" s="202" t="s">
        <v>647</v>
      </c>
      <c r="BF147" s="194" t="s">
        <v>647</v>
      </c>
      <c r="BG147" s="203" t="s">
        <v>5130</v>
      </c>
      <c r="BH147" s="216">
        <f>AS147+AS148</f>
        <v>0</v>
      </c>
      <c r="BI147" s="202"/>
      <c r="BJ147" s="194" t="s">
        <v>5123</v>
      </c>
      <c r="BK147" s="194" t="s">
        <v>5121</v>
      </c>
      <c r="BL147" s="207" t="s">
        <v>5128</v>
      </c>
      <c r="BM147" s="208">
        <f>BH147</f>
        <v>0</v>
      </c>
      <c r="BN147" s="160"/>
      <c r="BO147" s="161">
        <f t="shared" si="207"/>
        <v>0</v>
      </c>
      <c r="BP147" s="161"/>
    </row>
    <row r="148" spans="1:68" ht="38.25">
      <c r="A148" s="202"/>
      <c r="B148" s="195" t="s">
        <v>5131</v>
      </c>
      <c r="C148" s="196" t="s">
        <v>5132</v>
      </c>
      <c r="D148" s="146" t="s">
        <v>4692</v>
      </c>
      <c r="E148" s="196" t="s">
        <v>5132</v>
      </c>
      <c r="F148" s="150">
        <v>0</v>
      </c>
      <c r="G148" s="209">
        <v>0</v>
      </c>
      <c r="H148" s="209"/>
      <c r="I148" s="209">
        <v>0</v>
      </c>
      <c r="J148" s="150">
        <v>0</v>
      </c>
      <c r="K148" s="150">
        <v>0</v>
      </c>
      <c r="L148" s="150">
        <f t="shared" si="208"/>
        <v>0</v>
      </c>
      <c r="M148" s="150">
        <v>0</v>
      </c>
      <c r="N148" s="150"/>
      <c r="O148" s="150">
        <v>0</v>
      </c>
      <c r="P148" s="150">
        <v>0</v>
      </c>
      <c r="Q148" s="150"/>
      <c r="R148" s="150">
        <f t="shared" si="214"/>
        <v>0</v>
      </c>
      <c r="S148" s="150">
        <f t="shared" si="201"/>
        <v>0</v>
      </c>
      <c r="T148" s="150"/>
      <c r="U148" s="150">
        <v>0</v>
      </c>
      <c r="V148" s="199"/>
      <c r="W148" s="150">
        <f t="shared" si="215"/>
        <v>0</v>
      </c>
      <c r="X148" s="150">
        <v>0</v>
      </c>
      <c r="Y148" s="150"/>
      <c r="Z148" s="150">
        <v>0</v>
      </c>
      <c r="AA148" s="150">
        <f t="shared" si="202"/>
        <v>0</v>
      </c>
      <c r="AB148" s="150">
        <v>0</v>
      </c>
      <c r="AC148" s="199"/>
      <c r="AD148" s="150">
        <f t="shared" si="216"/>
        <v>0</v>
      </c>
      <c r="AE148" s="150">
        <v>0</v>
      </c>
      <c r="AF148" s="169" t="s">
        <v>4680</v>
      </c>
      <c r="AG148" s="201">
        <v>0</v>
      </c>
      <c r="AH148" s="199"/>
      <c r="AI148" s="150">
        <v>0</v>
      </c>
      <c r="AJ148" s="169">
        <f t="shared" si="203"/>
        <v>0</v>
      </c>
      <c r="AK148" s="201">
        <v>0</v>
      </c>
      <c r="AL148" s="199"/>
      <c r="AM148" s="150">
        <f t="shared" si="217"/>
        <v>0</v>
      </c>
      <c r="AN148" s="153">
        <f t="shared" si="204"/>
        <v>0</v>
      </c>
      <c r="AO148" s="154">
        <f t="shared" si="205"/>
        <v>0</v>
      </c>
      <c r="AP148" s="150">
        <v>0</v>
      </c>
      <c r="AQ148" s="201">
        <v>0</v>
      </c>
      <c r="AR148" s="199"/>
      <c r="AS148" s="150">
        <f t="shared" si="218"/>
        <v>0</v>
      </c>
      <c r="AT148" s="155"/>
      <c r="AU148" s="156">
        <f t="shared" si="199"/>
        <v>0</v>
      </c>
      <c r="AV148" s="156">
        <f t="shared" si="200"/>
        <v>0</v>
      </c>
      <c r="AW148" s="157"/>
      <c r="AX148" s="150">
        <v>0</v>
      </c>
      <c r="AY148" s="150">
        <v>0</v>
      </c>
      <c r="AZ148" s="150"/>
      <c r="BA148" s="150">
        <f t="shared" si="206"/>
        <v>0</v>
      </c>
      <c r="BB148" s="202"/>
      <c r="BC148" s="202"/>
      <c r="BD148" s="202"/>
      <c r="BE148" s="202"/>
      <c r="BF148" s="202"/>
      <c r="BG148" s="203"/>
      <c r="BH148" s="216"/>
      <c r="BI148" s="202"/>
      <c r="BJ148" s="202"/>
      <c r="BK148" s="202"/>
      <c r="BL148" s="203"/>
      <c r="BM148" s="208"/>
      <c r="BN148" s="160"/>
      <c r="BO148" s="161">
        <f t="shared" si="207"/>
        <v>0</v>
      </c>
      <c r="BP148" s="161"/>
    </row>
    <row r="149" spans="1:68" ht="51">
      <c r="A149" s="194" t="s">
        <v>5121</v>
      </c>
      <c r="B149" s="195" t="s">
        <v>5133</v>
      </c>
      <c r="C149" s="196" t="s">
        <v>5134</v>
      </c>
      <c r="D149" s="146" t="s">
        <v>4692</v>
      </c>
      <c r="E149" s="196" t="s">
        <v>5135</v>
      </c>
      <c r="F149" s="150">
        <v>0.3</v>
      </c>
      <c r="G149" s="209">
        <v>0.3</v>
      </c>
      <c r="H149" s="209"/>
      <c r="I149" s="209">
        <v>0.3</v>
      </c>
      <c r="J149" s="150">
        <v>0</v>
      </c>
      <c r="K149" s="150">
        <v>0</v>
      </c>
      <c r="L149" s="150">
        <f t="shared" si="208"/>
        <v>0</v>
      </c>
      <c r="M149" s="150">
        <v>0</v>
      </c>
      <c r="N149" s="150"/>
      <c r="O149" s="150">
        <v>0</v>
      </c>
      <c r="P149" s="150">
        <v>0</v>
      </c>
      <c r="Q149" s="150"/>
      <c r="R149" s="150">
        <f t="shared" si="214"/>
        <v>0</v>
      </c>
      <c r="S149" s="150">
        <f t="shared" si="201"/>
        <v>0</v>
      </c>
      <c r="T149" s="150"/>
      <c r="U149" s="150">
        <v>0</v>
      </c>
      <c r="V149" s="199"/>
      <c r="W149" s="150">
        <f t="shared" si="215"/>
        <v>0</v>
      </c>
      <c r="X149" s="150">
        <v>0</v>
      </c>
      <c r="Y149" s="150"/>
      <c r="Z149" s="150">
        <v>0</v>
      </c>
      <c r="AA149" s="150">
        <f t="shared" si="202"/>
        <v>0</v>
      </c>
      <c r="AB149" s="150">
        <v>0</v>
      </c>
      <c r="AC149" s="199"/>
      <c r="AD149" s="150">
        <f t="shared" si="216"/>
        <v>0</v>
      </c>
      <c r="AE149" s="150">
        <v>0</v>
      </c>
      <c r="AF149" s="169" t="s">
        <v>4680</v>
      </c>
      <c r="AG149" s="201">
        <v>0</v>
      </c>
      <c r="AH149" s="199"/>
      <c r="AI149" s="150">
        <v>0</v>
      </c>
      <c r="AJ149" s="169">
        <f t="shared" si="203"/>
        <v>0</v>
      </c>
      <c r="AK149" s="201">
        <v>0</v>
      </c>
      <c r="AL149" s="199"/>
      <c r="AM149" s="150">
        <f t="shared" si="217"/>
        <v>0</v>
      </c>
      <c r="AN149" s="153">
        <f t="shared" si="204"/>
        <v>0</v>
      </c>
      <c r="AO149" s="154">
        <f t="shared" si="205"/>
        <v>0</v>
      </c>
      <c r="AP149" s="150">
        <v>0</v>
      </c>
      <c r="AQ149" s="201">
        <v>0</v>
      </c>
      <c r="AR149" s="199"/>
      <c r="AS149" s="150">
        <f t="shared" si="218"/>
        <v>0</v>
      </c>
      <c r="AT149" s="155"/>
      <c r="AU149" s="156">
        <f t="shared" si="199"/>
        <v>0</v>
      </c>
      <c r="AV149" s="156">
        <f t="shared" si="200"/>
        <v>0</v>
      </c>
      <c r="AW149" s="157"/>
      <c r="AX149" s="150">
        <v>0</v>
      </c>
      <c r="AY149" s="150">
        <v>0</v>
      </c>
      <c r="AZ149" s="150"/>
      <c r="BA149" s="150">
        <f t="shared" si="206"/>
        <v>0</v>
      </c>
      <c r="BB149" s="202">
        <v>4</v>
      </c>
      <c r="BC149" s="202" t="s">
        <v>693</v>
      </c>
      <c r="BD149" s="202" t="s">
        <v>632</v>
      </c>
      <c r="BE149" s="202" t="s">
        <v>647</v>
      </c>
      <c r="BF149" s="194" t="s">
        <v>671</v>
      </c>
      <c r="BG149" s="203" t="s">
        <v>5136</v>
      </c>
      <c r="BH149" s="216">
        <f>AS149+AS150+AS151+AS152</f>
        <v>32989.339999999997</v>
      </c>
      <c r="BI149" s="202"/>
      <c r="BJ149" s="194" t="s">
        <v>5123</v>
      </c>
      <c r="BK149" s="194" t="s">
        <v>5121</v>
      </c>
      <c r="BL149" s="207" t="s">
        <v>5128</v>
      </c>
      <c r="BM149" s="208">
        <f>BH149</f>
        <v>32989.339999999997</v>
      </c>
      <c r="BN149" s="160"/>
      <c r="BO149" s="161"/>
      <c r="BP149" s="161"/>
    </row>
    <row r="150" spans="1:68" ht="25.5">
      <c r="A150" s="210"/>
      <c r="B150" s="195" t="s">
        <v>5137</v>
      </c>
      <c r="C150" s="196" t="s">
        <v>5138</v>
      </c>
      <c r="D150" s="146" t="s">
        <v>4692</v>
      </c>
      <c r="E150" s="196" t="s">
        <v>5138</v>
      </c>
      <c r="F150" s="150">
        <v>0</v>
      </c>
      <c r="G150" s="209">
        <v>0</v>
      </c>
      <c r="H150" s="209"/>
      <c r="I150" s="209">
        <v>0</v>
      </c>
      <c r="J150" s="150">
        <v>0</v>
      </c>
      <c r="K150" s="150">
        <v>0</v>
      </c>
      <c r="L150" s="150">
        <f t="shared" si="208"/>
        <v>0</v>
      </c>
      <c r="M150" s="150">
        <v>0</v>
      </c>
      <c r="N150" s="150"/>
      <c r="O150" s="150">
        <v>0</v>
      </c>
      <c r="P150" s="150">
        <v>0</v>
      </c>
      <c r="Q150" s="150"/>
      <c r="R150" s="150">
        <f t="shared" si="214"/>
        <v>0</v>
      </c>
      <c r="S150" s="150">
        <f t="shared" si="201"/>
        <v>0</v>
      </c>
      <c r="T150" s="150"/>
      <c r="U150" s="150">
        <v>0</v>
      </c>
      <c r="V150" s="199"/>
      <c r="W150" s="150">
        <f t="shared" si="215"/>
        <v>0</v>
      </c>
      <c r="X150" s="150">
        <v>0</v>
      </c>
      <c r="Y150" s="150"/>
      <c r="Z150" s="150">
        <v>0</v>
      </c>
      <c r="AA150" s="150">
        <f t="shared" si="202"/>
        <v>0</v>
      </c>
      <c r="AB150" s="150">
        <v>0</v>
      </c>
      <c r="AC150" s="199"/>
      <c r="AD150" s="150">
        <f t="shared" si="216"/>
        <v>0</v>
      </c>
      <c r="AE150" s="150">
        <v>0</v>
      </c>
      <c r="AF150" s="169" t="s">
        <v>4680</v>
      </c>
      <c r="AG150" s="201">
        <v>0</v>
      </c>
      <c r="AH150" s="199"/>
      <c r="AI150" s="150">
        <v>0</v>
      </c>
      <c r="AJ150" s="169">
        <f t="shared" si="203"/>
        <v>0</v>
      </c>
      <c r="AK150" s="201">
        <v>0</v>
      </c>
      <c r="AL150" s="199"/>
      <c r="AM150" s="150">
        <f t="shared" si="217"/>
        <v>0</v>
      </c>
      <c r="AN150" s="153">
        <f t="shared" si="204"/>
        <v>0</v>
      </c>
      <c r="AO150" s="154">
        <f t="shared" si="205"/>
        <v>0</v>
      </c>
      <c r="AP150" s="150">
        <v>0</v>
      </c>
      <c r="AQ150" s="201">
        <v>0</v>
      </c>
      <c r="AR150" s="199"/>
      <c r="AS150" s="150">
        <f t="shared" si="218"/>
        <v>0</v>
      </c>
      <c r="AT150" s="155"/>
      <c r="AU150" s="156">
        <f t="shared" si="199"/>
        <v>0</v>
      </c>
      <c r="AV150" s="156">
        <f t="shared" si="200"/>
        <v>0</v>
      </c>
      <c r="AW150" s="157"/>
      <c r="AX150" s="150">
        <v>0</v>
      </c>
      <c r="AY150" s="150">
        <v>0</v>
      </c>
      <c r="AZ150" s="150"/>
      <c r="BA150" s="150">
        <f t="shared" si="206"/>
        <v>0</v>
      </c>
      <c r="BB150" s="210"/>
      <c r="BC150" s="210"/>
      <c r="BD150" s="210"/>
      <c r="BE150" s="210"/>
      <c r="BF150" s="210"/>
      <c r="BG150" s="210"/>
      <c r="BH150" s="217"/>
      <c r="BI150" s="210"/>
      <c r="BJ150" s="210"/>
      <c r="BK150" s="210"/>
      <c r="BL150" s="210"/>
      <c r="BM150" s="208"/>
      <c r="BN150" s="160"/>
      <c r="BO150" s="161"/>
      <c r="BP150" s="161"/>
    </row>
    <row r="151" spans="1:68" ht="38.25">
      <c r="A151" s="210"/>
      <c r="B151" s="195" t="s">
        <v>5139</v>
      </c>
      <c r="C151" s="196" t="s">
        <v>5136</v>
      </c>
      <c r="D151" s="146" t="s">
        <v>4692</v>
      </c>
      <c r="E151" s="196" t="s">
        <v>5136</v>
      </c>
      <c r="F151" s="150">
        <v>13605.66</v>
      </c>
      <c r="G151" s="209">
        <v>13005.38</v>
      </c>
      <c r="H151" s="209"/>
      <c r="I151" s="209">
        <v>13005.38</v>
      </c>
      <c r="J151" s="150">
        <v>0</v>
      </c>
      <c r="K151" s="150">
        <v>0</v>
      </c>
      <c r="L151" s="150">
        <f t="shared" si="208"/>
        <v>0</v>
      </c>
      <c r="M151" s="150">
        <v>625.65</v>
      </c>
      <c r="N151" s="150">
        <v>6177.18</v>
      </c>
      <c r="O151" s="150">
        <v>6802.83</v>
      </c>
      <c r="P151" s="150">
        <v>15120.52</v>
      </c>
      <c r="Q151" s="150">
        <v>12450</v>
      </c>
      <c r="R151" s="150">
        <f t="shared" si="214"/>
        <v>27570.52</v>
      </c>
      <c r="S151" s="150">
        <f t="shared" si="201"/>
        <v>36760.693333333329</v>
      </c>
      <c r="T151" s="150"/>
      <c r="U151" s="150">
        <v>30176.55</v>
      </c>
      <c r="V151" s="199"/>
      <c r="W151" s="150">
        <f t="shared" si="215"/>
        <v>30176.55</v>
      </c>
      <c r="X151" s="150">
        <v>30176.55</v>
      </c>
      <c r="Y151" s="150"/>
      <c r="Z151" s="150">
        <v>30176.55</v>
      </c>
      <c r="AA151" s="150">
        <f t="shared" si="202"/>
        <v>2812.7899999999972</v>
      </c>
      <c r="AB151" s="150">
        <v>32989.339999999997</v>
      </c>
      <c r="AC151" s="199"/>
      <c r="AD151" s="150">
        <f t="shared" si="216"/>
        <v>32989.339999999997</v>
      </c>
      <c r="AE151" s="150">
        <v>32989.339999999997</v>
      </c>
      <c r="AF151" s="169" t="s">
        <v>4680</v>
      </c>
      <c r="AG151" s="201">
        <v>32989.339999999997</v>
      </c>
      <c r="AH151" s="199"/>
      <c r="AI151" s="150">
        <v>32989.339999999997</v>
      </c>
      <c r="AJ151" s="169">
        <f t="shared" si="203"/>
        <v>0</v>
      </c>
      <c r="AK151" s="201">
        <v>32989.339999999997</v>
      </c>
      <c r="AL151" s="199"/>
      <c r="AM151" s="150">
        <f t="shared" si="217"/>
        <v>32989.339999999997</v>
      </c>
      <c r="AN151" s="153">
        <f t="shared" si="204"/>
        <v>0</v>
      </c>
      <c r="AO151" s="154">
        <f t="shared" si="205"/>
        <v>0</v>
      </c>
      <c r="AP151" s="150">
        <v>32989.339999999997</v>
      </c>
      <c r="AQ151" s="201">
        <v>32989.339999999997</v>
      </c>
      <c r="AR151" s="199"/>
      <c r="AS151" s="150">
        <f t="shared" si="218"/>
        <v>32989.339999999997</v>
      </c>
      <c r="AT151" s="155"/>
      <c r="AU151" s="156">
        <f t="shared" si="199"/>
        <v>0</v>
      </c>
      <c r="AV151" s="156">
        <f t="shared" si="200"/>
        <v>2812.7899999999972</v>
      </c>
      <c r="AW151" s="157"/>
      <c r="AX151" s="150">
        <v>30176.55</v>
      </c>
      <c r="AY151" s="150">
        <v>5163.24</v>
      </c>
      <c r="AZ151" s="237">
        <f>(O151-AY151)*4</f>
        <v>6558.3600000000006</v>
      </c>
      <c r="BA151" s="150">
        <f t="shared" si="206"/>
        <v>11721.6</v>
      </c>
      <c r="BB151" s="210"/>
      <c r="BC151" s="210"/>
      <c r="BD151" s="210"/>
      <c r="BE151" s="210"/>
      <c r="BF151" s="210"/>
      <c r="BG151" s="210"/>
      <c r="BH151" s="217"/>
      <c r="BI151" s="210"/>
      <c r="BJ151" s="210"/>
      <c r="BK151" s="210"/>
      <c r="BL151" s="210"/>
      <c r="BM151" s="208"/>
      <c r="BN151" s="160"/>
      <c r="BO151" s="161"/>
      <c r="BP151" s="161"/>
    </row>
    <row r="152" spans="1:68" ht="51">
      <c r="A152" s="210"/>
      <c r="B152" s="195" t="s">
        <v>5140</v>
      </c>
      <c r="C152" s="196" t="s">
        <v>5141</v>
      </c>
      <c r="D152" s="146" t="s">
        <v>4692</v>
      </c>
      <c r="E152" s="231" t="s">
        <v>5141</v>
      </c>
      <c r="F152" s="150">
        <v>22160</v>
      </c>
      <c r="G152" s="251">
        <v>0</v>
      </c>
      <c r="H152" s="251"/>
      <c r="I152" s="251">
        <v>0</v>
      </c>
      <c r="J152" s="150">
        <v>0</v>
      </c>
      <c r="K152" s="150">
        <v>0</v>
      </c>
      <c r="L152" s="150">
        <f t="shared" si="208"/>
        <v>0</v>
      </c>
      <c r="M152" s="150">
        <v>0</v>
      </c>
      <c r="N152" s="150"/>
      <c r="O152" s="150">
        <v>0</v>
      </c>
      <c r="P152" s="150">
        <v>0</v>
      </c>
      <c r="Q152" s="150"/>
      <c r="R152" s="150">
        <f t="shared" si="214"/>
        <v>0</v>
      </c>
      <c r="S152" s="150">
        <f t="shared" si="201"/>
        <v>0</v>
      </c>
      <c r="T152" s="150"/>
      <c r="U152" s="150">
        <v>0</v>
      </c>
      <c r="V152" s="199"/>
      <c r="W152" s="150">
        <f t="shared" si="215"/>
        <v>0</v>
      </c>
      <c r="X152" s="150">
        <v>0</v>
      </c>
      <c r="Y152" s="150"/>
      <c r="Z152" s="150">
        <v>0</v>
      </c>
      <c r="AA152" s="150">
        <f t="shared" si="202"/>
        <v>0</v>
      </c>
      <c r="AB152" s="150">
        <v>0</v>
      </c>
      <c r="AC152" s="199"/>
      <c r="AD152" s="150">
        <f t="shared" si="216"/>
        <v>0</v>
      </c>
      <c r="AE152" s="150">
        <v>0</v>
      </c>
      <c r="AF152" s="169" t="s">
        <v>4680</v>
      </c>
      <c r="AG152" s="201">
        <v>0</v>
      </c>
      <c r="AH152" s="199"/>
      <c r="AI152" s="150">
        <v>0</v>
      </c>
      <c r="AJ152" s="169">
        <f t="shared" si="203"/>
        <v>0</v>
      </c>
      <c r="AK152" s="201">
        <v>0</v>
      </c>
      <c r="AL152" s="199"/>
      <c r="AM152" s="150">
        <f t="shared" si="217"/>
        <v>0</v>
      </c>
      <c r="AN152" s="153">
        <f t="shared" si="204"/>
        <v>0</v>
      </c>
      <c r="AO152" s="154">
        <f t="shared" si="205"/>
        <v>0</v>
      </c>
      <c r="AP152" s="150">
        <v>0</v>
      </c>
      <c r="AQ152" s="201">
        <v>0</v>
      </c>
      <c r="AR152" s="199"/>
      <c r="AS152" s="150">
        <f t="shared" si="218"/>
        <v>0</v>
      </c>
      <c r="AT152" s="155"/>
      <c r="AU152" s="156">
        <f t="shared" si="199"/>
        <v>0</v>
      </c>
      <c r="AV152" s="156">
        <f t="shared" si="200"/>
        <v>0</v>
      </c>
      <c r="AW152" s="157"/>
      <c r="AX152" s="150">
        <v>0</v>
      </c>
      <c r="AY152" s="150">
        <v>0</v>
      </c>
      <c r="AZ152" s="150"/>
      <c r="BA152" s="150">
        <f t="shared" si="206"/>
        <v>0</v>
      </c>
      <c r="BB152" s="210"/>
      <c r="BC152" s="210"/>
      <c r="BD152" s="210"/>
      <c r="BE152" s="208"/>
      <c r="BF152" s="210"/>
      <c r="BG152" s="210"/>
      <c r="BH152" s="217"/>
      <c r="BI152" s="210"/>
      <c r="BJ152" s="210"/>
      <c r="BK152" s="210"/>
      <c r="BL152" s="210"/>
      <c r="BM152" s="208"/>
      <c r="BN152" s="160"/>
      <c r="BO152" s="161">
        <f t="shared" si="207"/>
        <v>0</v>
      </c>
      <c r="BP152" s="161"/>
    </row>
    <row r="153" spans="1:68" ht="51">
      <c r="A153" s="183" t="s">
        <v>5142</v>
      </c>
      <c r="B153" s="184"/>
      <c r="C153" s="185" t="s">
        <v>5143</v>
      </c>
      <c r="D153" s="146" t="s">
        <v>4692</v>
      </c>
      <c r="E153" s="185" t="s">
        <v>5143</v>
      </c>
      <c r="F153" s="186">
        <v>2466951.73</v>
      </c>
      <c r="G153" s="187">
        <v>0</v>
      </c>
      <c r="H153" s="187">
        <v>2596350</v>
      </c>
      <c r="I153" s="187">
        <v>2596350</v>
      </c>
      <c r="J153" s="186">
        <f>SUBTOTAL(9,J154:J179)</f>
        <v>0</v>
      </c>
      <c r="K153" s="186">
        <f>SUBTOTAL(9,K154:K179)</f>
        <v>663283</v>
      </c>
      <c r="L153" s="188">
        <f t="shared" si="208"/>
        <v>663283</v>
      </c>
      <c r="M153" s="188">
        <v>0</v>
      </c>
      <c r="N153" s="188">
        <v>1008937.4453060378</v>
      </c>
      <c r="O153" s="188">
        <v>1008937.4453060378</v>
      </c>
      <c r="P153" s="225">
        <f t="shared" ref="P153:AD153" si="219">SUBTOTAL(9,P154:P179)</f>
        <v>0</v>
      </c>
      <c r="Q153" s="225">
        <f t="shared" si="219"/>
        <v>1921971.63</v>
      </c>
      <c r="R153" s="225">
        <f t="shared" si="219"/>
        <v>1921971.63</v>
      </c>
      <c r="S153" s="150">
        <f t="shared" si="201"/>
        <v>2562628.84</v>
      </c>
      <c r="T153" s="213"/>
      <c r="U153" s="225">
        <f t="shared" ref="U153:W153" si="220">SUBTOTAL(9,U154:U179)</f>
        <v>0</v>
      </c>
      <c r="V153" s="226">
        <f t="shared" si="220"/>
        <v>2321418</v>
      </c>
      <c r="W153" s="225">
        <f t="shared" si="220"/>
        <v>2321418</v>
      </c>
      <c r="X153" s="225">
        <v>0</v>
      </c>
      <c r="Y153" s="225">
        <v>2321418</v>
      </c>
      <c r="Z153" s="225">
        <v>2321418</v>
      </c>
      <c r="AA153" s="225">
        <f t="shared" si="202"/>
        <v>290119</v>
      </c>
      <c r="AB153" s="225">
        <v>0</v>
      </c>
      <c r="AC153" s="226">
        <v>2611537</v>
      </c>
      <c r="AD153" s="225">
        <f t="shared" si="219"/>
        <v>2611537</v>
      </c>
      <c r="AE153" s="225">
        <v>2611537</v>
      </c>
      <c r="AF153" s="169" t="s">
        <v>4680</v>
      </c>
      <c r="AG153" s="212">
        <v>0</v>
      </c>
      <c r="AH153" s="226">
        <v>2611537</v>
      </c>
      <c r="AI153" s="225">
        <v>2611537</v>
      </c>
      <c r="AJ153" s="169">
        <f t="shared" si="203"/>
        <v>77686.820000000298</v>
      </c>
      <c r="AK153" s="212">
        <v>0</v>
      </c>
      <c r="AL153" s="226">
        <v>2689223.8200000003</v>
      </c>
      <c r="AM153" s="225">
        <f t="shared" ref="AM153" si="221">SUBTOTAL(9,AM154:AM179)</f>
        <v>2689223.8200000003</v>
      </c>
      <c r="AN153" s="153">
        <f t="shared" si="204"/>
        <v>0</v>
      </c>
      <c r="AO153" s="154">
        <f t="shared" si="205"/>
        <v>0</v>
      </c>
      <c r="AP153" s="225">
        <v>2689223.8200000003</v>
      </c>
      <c r="AQ153" s="212">
        <v>2689223.8200000003</v>
      </c>
      <c r="AR153" s="252">
        <f t="shared" ref="AR153:AS153" si="222">SUBTOTAL(9,AR154:AR179)</f>
        <v>0</v>
      </c>
      <c r="AS153" s="225">
        <f t="shared" si="222"/>
        <v>2689223.8200000003</v>
      </c>
      <c r="AT153" s="155"/>
      <c r="AU153" s="156">
        <f t="shared" si="199"/>
        <v>77686.820000000298</v>
      </c>
      <c r="AV153" s="156">
        <f t="shared" si="200"/>
        <v>290119</v>
      </c>
      <c r="AW153" s="157"/>
      <c r="AX153" s="150">
        <v>2321418</v>
      </c>
      <c r="AY153" s="225">
        <f t="shared" ref="AY153:BA153" si="223">SUBTOTAL(9,AY154:AY179)</f>
        <v>0</v>
      </c>
      <c r="AZ153" s="225">
        <f t="shared" si="223"/>
        <v>2950433.3114285721</v>
      </c>
      <c r="BA153" s="225">
        <f t="shared" si="223"/>
        <v>2950433.3114285721</v>
      </c>
      <c r="BB153" s="191">
        <v>4</v>
      </c>
      <c r="BC153" s="183" t="s">
        <v>693</v>
      </c>
      <c r="BD153" s="183" t="s">
        <v>632</v>
      </c>
      <c r="BE153" s="183" t="s">
        <v>671</v>
      </c>
      <c r="BF153" s="183" t="s">
        <v>630</v>
      </c>
      <c r="BG153" s="185" t="s">
        <v>5143</v>
      </c>
      <c r="BH153" s="215">
        <f>SUBTOTAL(9,BH154:BH179)</f>
        <v>2689223.8200000003</v>
      </c>
      <c r="BI153" s="191"/>
      <c r="BJ153" s="183" t="s">
        <v>5144</v>
      </c>
      <c r="BK153" s="183" t="s">
        <v>5142</v>
      </c>
      <c r="BL153" s="185" t="s">
        <v>5145</v>
      </c>
      <c r="BM153" s="215">
        <f>SUBTOTAL(9,BM154:BM179)</f>
        <v>2689223.8200000003</v>
      </c>
      <c r="BN153" s="160"/>
      <c r="BO153" s="161">
        <f t="shared" si="207"/>
        <v>0</v>
      </c>
      <c r="BP153" s="161"/>
    </row>
    <row r="154" spans="1:68" ht="25.5">
      <c r="A154" s="194" t="s">
        <v>522</v>
      </c>
      <c r="B154" s="195" t="s">
        <v>5146</v>
      </c>
      <c r="C154" s="196" t="s">
        <v>5147</v>
      </c>
      <c r="D154" s="146" t="s">
        <v>4692</v>
      </c>
      <c r="E154" s="196" t="s">
        <v>5147</v>
      </c>
      <c r="F154" s="150">
        <v>913387.09</v>
      </c>
      <c r="G154" s="209">
        <v>0</v>
      </c>
      <c r="H154" s="209">
        <v>740500</v>
      </c>
      <c r="I154" s="209">
        <v>740500</v>
      </c>
      <c r="J154" s="150">
        <v>0</v>
      </c>
      <c r="K154" s="150">
        <v>194372</v>
      </c>
      <c r="L154" s="150">
        <f t="shared" si="208"/>
        <v>194372</v>
      </c>
      <c r="M154" s="150">
        <v>0</v>
      </c>
      <c r="N154" s="150">
        <v>208871</v>
      </c>
      <c r="O154" s="150">
        <v>208871</v>
      </c>
      <c r="P154" s="150">
        <v>0</v>
      </c>
      <c r="Q154" s="247">
        <v>732400</v>
      </c>
      <c r="R154" s="150">
        <f t="shared" ref="R154:R179" si="224">P154+Q154</f>
        <v>732400</v>
      </c>
      <c r="S154" s="150">
        <f t="shared" si="201"/>
        <v>976533.33333333337</v>
      </c>
      <c r="T154" s="150"/>
      <c r="U154" s="150">
        <v>0</v>
      </c>
      <c r="V154" s="248">
        <v>980000</v>
      </c>
      <c r="W154" s="150">
        <f t="shared" ref="W154:W179" si="225">U154+V154</f>
        <v>980000</v>
      </c>
      <c r="X154" s="150">
        <v>0</v>
      </c>
      <c r="Y154" s="150">
        <v>980000</v>
      </c>
      <c r="Z154" s="150">
        <v>980000</v>
      </c>
      <c r="AA154" s="150">
        <f t="shared" si="202"/>
        <v>44518</v>
      </c>
      <c r="AB154" s="150">
        <v>0</v>
      </c>
      <c r="AC154" s="248">
        <v>1024518</v>
      </c>
      <c r="AD154" s="150">
        <f t="shared" ref="AD154:AD179" si="226">AB154+AC154</f>
        <v>1024518</v>
      </c>
      <c r="AE154" s="150">
        <v>1024518</v>
      </c>
      <c r="AF154" s="169" t="s">
        <v>4680</v>
      </c>
      <c r="AG154" s="201">
        <v>0</v>
      </c>
      <c r="AH154" s="248">
        <v>1024518</v>
      </c>
      <c r="AI154" s="150">
        <v>1024518</v>
      </c>
      <c r="AJ154" s="169">
        <f t="shared" si="203"/>
        <v>-5.0000000046566129E-2</v>
      </c>
      <c r="AK154" s="201">
        <v>0</v>
      </c>
      <c r="AL154" s="248">
        <v>1024517.95</v>
      </c>
      <c r="AM154" s="150">
        <f t="shared" ref="AM154:AM179" si="227">AK154+AL154</f>
        <v>1024517.95</v>
      </c>
      <c r="AN154" s="153">
        <f t="shared" si="204"/>
        <v>0</v>
      </c>
      <c r="AO154" s="154">
        <f t="shared" si="205"/>
        <v>0</v>
      </c>
      <c r="AP154" s="150">
        <v>1024517.95</v>
      </c>
      <c r="AQ154" s="201">
        <v>1024517.95</v>
      </c>
      <c r="AR154" s="253"/>
      <c r="AS154" s="150">
        <f t="shared" ref="AS154:AS179" si="228">AQ154+AR154</f>
        <v>1024517.95</v>
      </c>
      <c r="AT154" s="155" t="s">
        <v>5026</v>
      </c>
      <c r="AU154" s="156">
        <f t="shared" si="199"/>
        <v>-5.0000000046566129E-2</v>
      </c>
      <c r="AV154" s="156">
        <f t="shared" si="200"/>
        <v>44518</v>
      </c>
      <c r="AW154" s="157" t="s">
        <v>5148</v>
      </c>
      <c r="AX154" s="150">
        <v>980000</v>
      </c>
      <c r="AY154" s="150">
        <v>0</v>
      </c>
      <c r="AZ154" s="247">
        <v>959916</v>
      </c>
      <c r="BA154" s="150">
        <f t="shared" si="206"/>
        <v>959916</v>
      </c>
      <c r="BB154" s="202">
        <v>4</v>
      </c>
      <c r="BC154" s="202" t="s">
        <v>693</v>
      </c>
      <c r="BD154" s="202" t="s">
        <v>632</v>
      </c>
      <c r="BE154" s="202" t="s">
        <v>671</v>
      </c>
      <c r="BF154" s="202" t="s">
        <v>632</v>
      </c>
      <c r="BG154" s="203" t="s">
        <v>5149</v>
      </c>
      <c r="BH154" s="216">
        <f t="shared" ref="BH154:BH179" si="229">AS154</f>
        <v>1024517.95</v>
      </c>
      <c r="BI154" s="194" t="s">
        <v>1349</v>
      </c>
      <c r="BJ154" s="194" t="s">
        <v>5150</v>
      </c>
      <c r="BK154" s="194" t="s">
        <v>522</v>
      </c>
      <c r="BL154" s="207" t="s">
        <v>5151</v>
      </c>
      <c r="BM154" s="208">
        <f t="shared" ref="BM154:BM179" si="230">BH154</f>
        <v>1024517.95</v>
      </c>
      <c r="BN154" s="160"/>
      <c r="BO154" s="161">
        <f t="shared" si="207"/>
        <v>0</v>
      </c>
      <c r="BP154" s="161"/>
    </row>
    <row r="155" spans="1:68" ht="25.5">
      <c r="A155" s="194" t="s">
        <v>523</v>
      </c>
      <c r="B155" s="195" t="s">
        <v>5152</v>
      </c>
      <c r="C155" s="196" t="s">
        <v>5153</v>
      </c>
      <c r="D155" s="146" t="s">
        <v>4692</v>
      </c>
      <c r="E155" s="196" t="s">
        <v>5153</v>
      </c>
      <c r="F155" s="150">
        <v>92445.24</v>
      </c>
      <c r="G155" s="209">
        <v>0</v>
      </c>
      <c r="H155" s="209">
        <v>95300</v>
      </c>
      <c r="I155" s="209">
        <v>95300</v>
      </c>
      <c r="J155" s="150">
        <v>0</v>
      </c>
      <c r="K155" s="150">
        <v>27374.75</v>
      </c>
      <c r="L155" s="150">
        <f t="shared" si="208"/>
        <v>27374.75</v>
      </c>
      <c r="M155" s="150">
        <v>0</v>
      </c>
      <c r="N155" s="150">
        <v>208871</v>
      </c>
      <c r="O155" s="150">
        <v>208871</v>
      </c>
      <c r="P155" s="150">
        <v>0</v>
      </c>
      <c r="Q155" s="247">
        <v>385482.63</v>
      </c>
      <c r="R155" s="150">
        <f t="shared" si="224"/>
        <v>385482.63</v>
      </c>
      <c r="S155" s="150">
        <f t="shared" si="201"/>
        <v>513976.84</v>
      </c>
      <c r="T155" s="150"/>
      <c r="U155" s="150">
        <v>0</v>
      </c>
      <c r="V155" s="248">
        <v>453899</v>
      </c>
      <c r="W155" s="150">
        <f t="shared" si="225"/>
        <v>453899</v>
      </c>
      <c r="X155" s="150">
        <v>0</v>
      </c>
      <c r="Y155" s="150">
        <v>453899</v>
      </c>
      <c r="Z155" s="150">
        <v>453899</v>
      </c>
      <c r="AA155" s="150">
        <f t="shared" si="202"/>
        <v>-366581</v>
      </c>
      <c r="AB155" s="150">
        <v>0</v>
      </c>
      <c r="AC155" s="248">
        <v>87318</v>
      </c>
      <c r="AD155" s="150">
        <f t="shared" si="226"/>
        <v>87318</v>
      </c>
      <c r="AE155" s="150">
        <v>87318</v>
      </c>
      <c r="AF155" s="169" t="s">
        <v>4680</v>
      </c>
      <c r="AG155" s="201">
        <v>0</v>
      </c>
      <c r="AH155" s="248">
        <v>87318</v>
      </c>
      <c r="AI155" s="150">
        <v>87318</v>
      </c>
      <c r="AJ155" s="169">
        <f t="shared" si="203"/>
        <v>-10420</v>
      </c>
      <c r="AK155" s="201">
        <v>0</v>
      </c>
      <c r="AL155" s="248">
        <v>76898</v>
      </c>
      <c r="AM155" s="150">
        <f t="shared" si="227"/>
        <v>76898</v>
      </c>
      <c r="AN155" s="153">
        <f t="shared" si="204"/>
        <v>0</v>
      </c>
      <c r="AO155" s="154">
        <f t="shared" si="205"/>
        <v>0</v>
      </c>
      <c r="AP155" s="150">
        <v>76898</v>
      </c>
      <c r="AQ155" s="201">
        <v>76898</v>
      </c>
      <c r="AR155" s="253"/>
      <c r="AS155" s="150">
        <f t="shared" si="228"/>
        <v>76898</v>
      </c>
      <c r="AT155" s="155" t="s">
        <v>5026</v>
      </c>
      <c r="AU155" s="156">
        <f t="shared" si="199"/>
        <v>-10420</v>
      </c>
      <c r="AV155" s="156">
        <f t="shared" si="200"/>
        <v>-366581</v>
      </c>
      <c r="AW155" s="157" t="s">
        <v>5148</v>
      </c>
      <c r="AX155" s="150">
        <v>453899</v>
      </c>
      <c r="AY155" s="150">
        <v>0</v>
      </c>
      <c r="AZ155" s="247">
        <v>397052.57142857136</v>
      </c>
      <c r="BA155" s="150">
        <f t="shared" si="206"/>
        <v>397052.57142857136</v>
      </c>
      <c r="BB155" s="202">
        <v>4</v>
      </c>
      <c r="BC155" s="202" t="s">
        <v>693</v>
      </c>
      <c r="BD155" s="202" t="s">
        <v>632</v>
      </c>
      <c r="BE155" s="202" t="s">
        <v>671</v>
      </c>
      <c r="BF155" s="202" t="s">
        <v>647</v>
      </c>
      <c r="BG155" s="203" t="s">
        <v>5154</v>
      </c>
      <c r="BH155" s="216">
        <f t="shared" si="229"/>
        <v>76898</v>
      </c>
      <c r="BI155" s="194" t="s">
        <v>1349</v>
      </c>
      <c r="BJ155" s="194" t="s">
        <v>5155</v>
      </c>
      <c r="BK155" s="194" t="s">
        <v>523</v>
      </c>
      <c r="BL155" s="207" t="s">
        <v>5156</v>
      </c>
      <c r="BM155" s="208">
        <f t="shared" si="230"/>
        <v>76898</v>
      </c>
      <c r="BN155" s="160"/>
      <c r="BO155" s="161">
        <f t="shared" si="207"/>
        <v>0</v>
      </c>
      <c r="BP155" s="161"/>
    </row>
    <row r="156" spans="1:68" ht="38.25">
      <c r="A156" s="194" t="s">
        <v>5157</v>
      </c>
      <c r="B156" s="195" t="s">
        <v>5158</v>
      </c>
      <c r="C156" s="196" t="s">
        <v>5159</v>
      </c>
      <c r="D156" s="146" t="s">
        <v>4692</v>
      </c>
      <c r="E156" s="196" t="s">
        <v>5159</v>
      </c>
      <c r="F156" s="150">
        <v>44986</v>
      </c>
      <c r="G156" s="209">
        <v>0</v>
      </c>
      <c r="H156" s="209">
        <v>48700</v>
      </c>
      <c r="I156" s="209">
        <v>48700</v>
      </c>
      <c r="J156" s="150">
        <v>0</v>
      </c>
      <c r="K156" s="150">
        <v>12516.25</v>
      </c>
      <c r="L156" s="150">
        <f t="shared" si="208"/>
        <v>12516.25</v>
      </c>
      <c r="M156" s="150">
        <v>0</v>
      </c>
      <c r="N156" s="150">
        <v>7122</v>
      </c>
      <c r="O156" s="150">
        <v>7122</v>
      </c>
      <c r="P156" s="150">
        <v>0</v>
      </c>
      <c r="Q156" s="247">
        <v>17335</v>
      </c>
      <c r="R156" s="150">
        <f t="shared" si="224"/>
        <v>17335</v>
      </c>
      <c r="S156" s="150">
        <f t="shared" si="201"/>
        <v>23113.333333333332</v>
      </c>
      <c r="T156" s="150"/>
      <c r="U156" s="150">
        <v>0</v>
      </c>
      <c r="V156" s="248">
        <v>21954</v>
      </c>
      <c r="W156" s="150">
        <f t="shared" si="225"/>
        <v>21954</v>
      </c>
      <c r="X156" s="150">
        <v>0</v>
      </c>
      <c r="Y156" s="150">
        <v>21954</v>
      </c>
      <c r="Z156" s="150">
        <v>21954</v>
      </c>
      <c r="AA156" s="150">
        <f t="shared" si="202"/>
        <v>788</v>
      </c>
      <c r="AB156" s="150">
        <v>0</v>
      </c>
      <c r="AC156" s="248">
        <v>22742</v>
      </c>
      <c r="AD156" s="150">
        <f t="shared" si="226"/>
        <v>22742</v>
      </c>
      <c r="AE156" s="150">
        <v>22742</v>
      </c>
      <c r="AF156" s="169" t="s">
        <v>4680</v>
      </c>
      <c r="AG156" s="201">
        <v>0</v>
      </c>
      <c r="AH156" s="248">
        <v>22742</v>
      </c>
      <c r="AI156" s="150">
        <v>22742</v>
      </c>
      <c r="AJ156" s="169">
        <f t="shared" si="203"/>
        <v>30492</v>
      </c>
      <c r="AK156" s="201">
        <v>0</v>
      </c>
      <c r="AL156" s="248">
        <v>53234</v>
      </c>
      <c r="AM156" s="150">
        <f t="shared" si="227"/>
        <v>53234</v>
      </c>
      <c r="AN156" s="153">
        <f t="shared" si="204"/>
        <v>0</v>
      </c>
      <c r="AO156" s="154">
        <f t="shared" si="205"/>
        <v>0</v>
      </c>
      <c r="AP156" s="150">
        <v>53234</v>
      </c>
      <c r="AQ156" s="201">
        <v>53234</v>
      </c>
      <c r="AR156" s="253"/>
      <c r="AS156" s="150">
        <f t="shared" si="228"/>
        <v>53234</v>
      </c>
      <c r="AT156" s="155" t="s">
        <v>5026</v>
      </c>
      <c r="AU156" s="156">
        <f t="shared" si="199"/>
        <v>30492</v>
      </c>
      <c r="AV156" s="156">
        <f t="shared" si="200"/>
        <v>788</v>
      </c>
      <c r="AW156" s="157" t="s">
        <v>5148</v>
      </c>
      <c r="AX156" s="150">
        <v>21954</v>
      </c>
      <c r="AY156" s="150">
        <v>0</v>
      </c>
      <c r="AZ156" s="247">
        <v>22597.5</v>
      </c>
      <c r="BA156" s="150">
        <f t="shared" si="206"/>
        <v>22597.5</v>
      </c>
      <c r="BB156" s="202">
        <v>4</v>
      </c>
      <c r="BC156" s="202" t="s">
        <v>693</v>
      </c>
      <c r="BD156" s="202" t="s">
        <v>632</v>
      </c>
      <c r="BE156" s="202" t="s">
        <v>671</v>
      </c>
      <c r="BF156" s="194" t="s">
        <v>1867</v>
      </c>
      <c r="BG156" s="203" t="s">
        <v>5160</v>
      </c>
      <c r="BH156" s="216">
        <f t="shared" si="229"/>
        <v>53234</v>
      </c>
      <c r="BI156" s="194" t="s">
        <v>1349</v>
      </c>
      <c r="BJ156" s="194" t="s">
        <v>5161</v>
      </c>
      <c r="BK156" s="194" t="s">
        <v>5157</v>
      </c>
      <c r="BL156" s="207" t="s">
        <v>5162</v>
      </c>
      <c r="BM156" s="208">
        <f t="shared" si="230"/>
        <v>53234</v>
      </c>
      <c r="BN156" s="160"/>
      <c r="BO156" s="161">
        <f t="shared" si="207"/>
        <v>0</v>
      </c>
      <c r="BP156" s="161"/>
    </row>
    <row r="157" spans="1:68" ht="51">
      <c r="A157" s="194" t="s">
        <v>524</v>
      </c>
      <c r="B157" s="195" t="s">
        <v>5163</v>
      </c>
      <c r="C157" s="196" t="s">
        <v>5164</v>
      </c>
      <c r="D157" s="146" t="s">
        <v>4692</v>
      </c>
      <c r="E157" s="196" t="s">
        <v>5164</v>
      </c>
      <c r="F157" s="150">
        <v>0</v>
      </c>
      <c r="G157" s="209">
        <v>0</v>
      </c>
      <c r="H157" s="209"/>
      <c r="I157" s="209">
        <v>0</v>
      </c>
      <c r="J157" s="150">
        <v>0</v>
      </c>
      <c r="K157" s="150">
        <v>0</v>
      </c>
      <c r="L157" s="150">
        <f t="shared" si="208"/>
        <v>0</v>
      </c>
      <c r="M157" s="150">
        <v>0</v>
      </c>
      <c r="N157" s="150"/>
      <c r="O157" s="150">
        <v>0</v>
      </c>
      <c r="P157" s="150">
        <v>0</v>
      </c>
      <c r="Q157" s="150"/>
      <c r="R157" s="150">
        <f t="shared" si="224"/>
        <v>0</v>
      </c>
      <c r="S157" s="150">
        <f t="shared" si="201"/>
        <v>0</v>
      </c>
      <c r="T157" s="150"/>
      <c r="U157" s="150">
        <v>0</v>
      </c>
      <c r="V157" s="199"/>
      <c r="W157" s="150">
        <f t="shared" si="225"/>
        <v>0</v>
      </c>
      <c r="X157" s="150">
        <v>0</v>
      </c>
      <c r="Y157" s="150"/>
      <c r="Z157" s="150">
        <v>0</v>
      </c>
      <c r="AA157" s="150">
        <f t="shared" si="202"/>
        <v>0</v>
      </c>
      <c r="AB157" s="150">
        <v>0</v>
      </c>
      <c r="AC157" s="199"/>
      <c r="AD157" s="150">
        <f t="shared" si="226"/>
        <v>0</v>
      </c>
      <c r="AE157" s="150">
        <v>0</v>
      </c>
      <c r="AF157" s="169" t="s">
        <v>4680</v>
      </c>
      <c r="AG157" s="201">
        <v>0</v>
      </c>
      <c r="AH157" s="199"/>
      <c r="AI157" s="150">
        <v>0</v>
      </c>
      <c r="AJ157" s="169">
        <f t="shared" si="203"/>
        <v>0</v>
      </c>
      <c r="AK157" s="201">
        <v>0</v>
      </c>
      <c r="AL157" s="199"/>
      <c r="AM157" s="150">
        <f t="shared" si="227"/>
        <v>0</v>
      </c>
      <c r="AN157" s="153">
        <f t="shared" si="204"/>
        <v>0</v>
      </c>
      <c r="AO157" s="154">
        <f t="shared" si="205"/>
        <v>0</v>
      </c>
      <c r="AP157" s="150">
        <v>0</v>
      </c>
      <c r="AQ157" s="201">
        <v>0</v>
      </c>
      <c r="AR157" s="199"/>
      <c r="AS157" s="150">
        <f t="shared" si="228"/>
        <v>0</v>
      </c>
      <c r="AT157" s="155"/>
      <c r="AU157" s="156">
        <f t="shared" si="199"/>
        <v>0</v>
      </c>
      <c r="AV157" s="156">
        <f t="shared" si="200"/>
        <v>0</v>
      </c>
      <c r="AW157" s="157"/>
      <c r="AX157" s="150">
        <v>0</v>
      </c>
      <c r="AY157" s="150">
        <v>0</v>
      </c>
      <c r="AZ157" s="150"/>
      <c r="BA157" s="150">
        <f t="shared" si="206"/>
        <v>0</v>
      </c>
      <c r="BB157" s="202">
        <v>4</v>
      </c>
      <c r="BC157" s="202" t="s">
        <v>693</v>
      </c>
      <c r="BD157" s="202" t="s">
        <v>632</v>
      </c>
      <c r="BE157" s="202" t="s">
        <v>671</v>
      </c>
      <c r="BF157" s="202" t="s">
        <v>671</v>
      </c>
      <c r="BG157" s="203" t="s">
        <v>5165</v>
      </c>
      <c r="BH157" s="216">
        <f t="shared" si="229"/>
        <v>0</v>
      </c>
      <c r="BI157" s="194" t="s">
        <v>1340</v>
      </c>
      <c r="BJ157" s="194" t="s">
        <v>5166</v>
      </c>
      <c r="BK157" s="194" t="s">
        <v>524</v>
      </c>
      <c r="BL157" s="207" t="s">
        <v>5167</v>
      </c>
      <c r="BM157" s="208">
        <f t="shared" si="230"/>
        <v>0</v>
      </c>
      <c r="BN157" s="160"/>
      <c r="BO157" s="161">
        <f t="shared" si="207"/>
        <v>0</v>
      </c>
      <c r="BP157" s="161"/>
    </row>
    <row r="158" spans="1:68" ht="25.5">
      <c r="A158" s="194" t="s">
        <v>525</v>
      </c>
      <c r="B158" s="195" t="s">
        <v>5168</v>
      </c>
      <c r="C158" s="196" t="s">
        <v>5169</v>
      </c>
      <c r="D158" s="146" t="s">
        <v>4692</v>
      </c>
      <c r="E158" s="196" t="s">
        <v>5169</v>
      </c>
      <c r="F158" s="150">
        <v>341032.55</v>
      </c>
      <c r="G158" s="209">
        <v>0</v>
      </c>
      <c r="H158" s="209">
        <v>382500</v>
      </c>
      <c r="I158" s="209">
        <v>382500</v>
      </c>
      <c r="J158" s="150">
        <v>0</v>
      </c>
      <c r="K158" s="150">
        <v>95625</v>
      </c>
      <c r="L158" s="150">
        <f t="shared" si="208"/>
        <v>95625</v>
      </c>
      <c r="M158" s="150">
        <v>0</v>
      </c>
      <c r="N158" s="150">
        <v>46619</v>
      </c>
      <c r="O158" s="150">
        <v>46619</v>
      </c>
      <c r="P158" s="150">
        <v>0</v>
      </c>
      <c r="Q158" s="247">
        <v>256625</v>
      </c>
      <c r="R158" s="150">
        <f t="shared" si="224"/>
        <v>256625</v>
      </c>
      <c r="S158" s="150">
        <f t="shared" si="201"/>
        <v>342166.66666666669</v>
      </c>
      <c r="T158" s="150"/>
      <c r="U158" s="150">
        <v>0</v>
      </c>
      <c r="V158" s="248">
        <v>325950</v>
      </c>
      <c r="W158" s="150">
        <f t="shared" si="225"/>
        <v>325950</v>
      </c>
      <c r="X158" s="150">
        <v>0</v>
      </c>
      <c r="Y158" s="150">
        <v>325950</v>
      </c>
      <c r="Z158" s="150">
        <v>325950</v>
      </c>
      <c r="AA158" s="150">
        <f t="shared" si="202"/>
        <v>-2</v>
      </c>
      <c r="AB158" s="150">
        <v>0</v>
      </c>
      <c r="AC158" s="248">
        <v>325948</v>
      </c>
      <c r="AD158" s="150">
        <f t="shared" si="226"/>
        <v>325948</v>
      </c>
      <c r="AE158" s="150">
        <v>325948</v>
      </c>
      <c r="AF158" s="169" t="s">
        <v>4680</v>
      </c>
      <c r="AG158" s="201">
        <v>0</v>
      </c>
      <c r="AH158" s="248">
        <v>325948</v>
      </c>
      <c r="AI158" s="150">
        <v>325948</v>
      </c>
      <c r="AJ158" s="169">
        <f t="shared" si="203"/>
        <v>21222</v>
      </c>
      <c r="AK158" s="201">
        <v>0</v>
      </c>
      <c r="AL158" s="248">
        <v>347170</v>
      </c>
      <c r="AM158" s="150">
        <f t="shared" si="227"/>
        <v>347170</v>
      </c>
      <c r="AN158" s="153">
        <f t="shared" si="204"/>
        <v>0</v>
      </c>
      <c r="AO158" s="154">
        <f t="shared" si="205"/>
        <v>0</v>
      </c>
      <c r="AP158" s="150">
        <v>347170</v>
      </c>
      <c r="AQ158" s="201">
        <v>347170</v>
      </c>
      <c r="AR158" s="253"/>
      <c r="AS158" s="150">
        <f t="shared" si="228"/>
        <v>347170</v>
      </c>
      <c r="AT158" s="155" t="s">
        <v>5026</v>
      </c>
      <c r="AU158" s="156">
        <f t="shared" si="199"/>
        <v>21222</v>
      </c>
      <c r="AV158" s="156">
        <f t="shared" si="200"/>
        <v>-2</v>
      </c>
      <c r="AW158" s="157" t="s">
        <v>5148</v>
      </c>
      <c r="AX158" s="150">
        <v>325950</v>
      </c>
      <c r="AY158" s="150">
        <v>0</v>
      </c>
      <c r="AZ158" s="247">
        <v>323934</v>
      </c>
      <c r="BA158" s="150">
        <f t="shared" si="206"/>
        <v>323934</v>
      </c>
      <c r="BB158" s="202">
        <v>4</v>
      </c>
      <c r="BC158" s="202" t="s">
        <v>693</v>
      </c>
      <c r="BD158" s="202" t="s">
        <v>632</v>
      </c>
      <c r="BE158" s="202" t="s">
        <v>671</v>
      </c>
      <c r="BF158" s="202" t="s">
        <v>693</v>
      </c>
      <c r="BG158" s="203" t="s">
        <v>5170</v>
      </c>
      <c r="BH158" s="216">
        <f t="shared" si="229"/>
        <v>347170</v>
      </c>
      <c r="BI158" s="194" t="s">
        <v>1349</v>
      </c>
      <c r="BJ158" s="194" t="s">
        <v>5171</v>
      </c>
      <c r="BK158" s="194" t="s">
        <v>525</v>
      </c>
      <c r="BL158" s="207" t="s">
        <v>5172</v>
      </c>
      <c r="BM158" s="208">
        <f t="shared" si="230"/>
        <v>347170</v>
      </c>
      <c r="BN158" s="160"/>
      <c r="BO158" s="161">
        <f t="shared" si="207"/>
        <v>0</v>
      </c>
      <c r="BP158" s="161"/>
    </row>
    <row r="159" spans="1:68" ht="25.5">
      <c r="A159" s="194" t="s">
        <v>525</v>
      </c>
      <c r="B159" s="195" t="s">
        <v>5173</v>
      </c>
      <c r="C159" s="196" t="s">
        <v>5174</v>
      </c>
      <c r="D159" s="146" t="s">
        <v>4692</v>
      </c>
      <c r="E159" s="196" t="s">
        <v>5174</v>
      </c>
      <c r="F159" s="150">
        <v>29555</v>
      </c>
      <c r="G159" s="209">
        <v>0</v>
      </c>
      <c r="H159" s="209">
        <v>85450</v>
      </c>
      <c r="I159" s="209">
        <v>85450</v>
      </c>
      <c r="J159" s="150">
        <v>0</v>
      </c>
      <c r="K159" s="150">
        <v>22420</v>
      </c>
      <c r="L159" s="150">
        <f t="shared" si="208"/>
        <v>22420</v>
      </c>
      <c r="M159" s="150">
        <v>0</v>
      </c>
      <c r="N159" s="150">
        <v>14681.520306037777</v>
      </c>
      <c r="O159" s="150">
        <v>14681.520306037777</v>
      </c>
      <c r="P159" s="150">
        <v>0</v>
      </c>
      <c r="Q159" s="247">
        <v>88802</v>
      </c>
      <c r="R159" s="150">
        <f t="shared" si="224"/>
        <v>88802</v>
      </c>
      <c r="S159" s="150">
        <f t="shared" si="201"/>
        <v>118402.66666666666</v>
      </c>
      <c r="T159" s="150"/>
      <c r="U159" s="150">
        <v>0</v>
      </c>
      <c r="V159" s="248">
        <v>98288</v>
      </c>
      <c r="W159" s="150">
        <f t="shared" si="225"/>
        <v>98288</v>
      </c>
      <c r="X159" s="150">
        <v>0</v>
      </c>
      <c r="Y159" s="150">
        <v>98288</v>
      </c>
      <c r="Z159" s="150">
        <v>98288</v>
      </c>
      <c r="AA159" s="150">
        <f t="shared" si="202"/>
        <v>-82756</v>
      </c>
      <c r="AB159" s="150">
        <v>0</v>
      </c>
      <c r="AC159" s="248">
        <v>15532</v>
      </c>
      <c r="AD159" s="150">
        <f t="shared" si="226"/>
        <v>15532</v>
      </c>
      <c r="AE159" s="150">
        <v>15532</v>
      </c>
      <c r="AF159" s="169" t="s">
        <v>4680</v>
      </c>
      <c r="AG159" s="201">
        <v>0</v>
      </c>
      <c r="AH159" s="248">
        <v>15532</v>
      </c>
      <c r="AI159" s="150">
        <v>15532</v>
      </c>
      <c r="AJ159" s="169">
        <f t="shared" si="203"/>
        <v>36393</v>
      </c>
      <c r="AK159" s="201">
        <v>0</v>
      </c>
      <c r="AL159" s="248">
        <v>51925</v>
      </c>
      <c r="AM159" s="150">
        <f t="shared" si="227"/>
        <v>51925</v>
      </c>
      <c r="AN159" s="153">
        <f t="shared" si="204"/>
        <v>0</v>
      </c>
      <c r="AO159" s="154">
        <f t="shared" si="205"/>
        <v>0</v>
      </c>
      <c r="AP159" s="150">
        <v>51925</v>
      </c>
      <c r="AQ159" s="201">
        <v>51925</v>
      </c>
      <c r="AR159" s="253"/>
      <c r="AS159" s="150">
        <f t="shared" si="228"/>
        <v>51925</v>
      </c>
      <c r="AT159" s="155" t="s">
        <v>5026</v>
      </c>
      <c r="AU159" s="156">
        <f t="shared" si="199"/>
        <v>36393</v>
      </c>
      <c r="AV159" s="156">
        <f t="shared" si="200"/>
        <v>-82756</v>
      </c>
      <c r="AW159" s="157" t="s">
        <v>5148</v>
      </c>
      <c r="AX159" s="150">
        <v>98288</v>
      </c>
      <c r="AY159" s="150">
        <v>0</v>
      </c>
      <c r="AZ159" s="247">
        <v>201387.3900000006</v>
      </c>
      <c r="BA159" s="150">
        <f t="shared" si="206"/>
        <v>201387.3900000006</v>
      </c>
      <c r="BB159" s="202">
        <v>4</v>
      </c>
      <c r="BC159" s="202" t="s">
        <v>693</v>
      </c>
      <c r="BD159" s="202" t="s">
        <v>632</v>
      </c>
      <c r="BE159" s="202" t="s">
        <v>671</v>
      </c>
      <c r="BF159" s="194" t="s">
        <v>1863</v>
      </c>
      <c r="BG159" s="203" t="s">
        <v>5174</v>
      </c>
      <c r="BH159" s="216">
        <f t="shared" si="229"/>
        <v>51925</v>
      </c>
      <c r="BI159" s="194" t="s">
        <v>1349</v>
      </c>
      <c r="BJ159" s="194" t="s">
        <v>5171</v>
      </c>
      <c r="BK159" s="194" t="s">
        <v>525</v>
      </c>
      <c r="BL159" s="207" t="s">
        <v>5175</v>
      </c>
      <c r="BM159" s="208">
        <f t="shared" si="230"/>
        <v>51925</v>
      </c>
      <c r="BN159" s="160"/>
      <c r="BO159" s="161">
        <f t="shared" si="207"/>
        <v>0</v>
      </c>
      <c r="BP159" s="161"/>
    </row>
    <row r="160" spans="1:68" ht="38.25">
      <c r="A160" s="194" t="s">
        <v>526</v>
      </c>
      <c r="B160" s="195" t="s">
        <v>5176</v>
      </c>
      <c r="C160" s="196" t="s">
        <v>5177</v>
      </c>
      <c r="D160" s="146" t="s">
        <v>4692</v>
      </c>
      <c r="E160" s="196" t="s">
        <v>5177</v>
      </c>
      <c r="F160" s="150">
        <v>0</v>
      </c>
      <c r="G160" s="209">
        <v>0</v>
      </c>
      <c r="H160" s="209"/>
      <c r="I160" s="209">
        <v>0</v>
      </c>
      <c r="J160" s="150">
        <v>0</v>
      </c>
      <c r="K160" s="150">
        <v>0</v>
      </c>
      <c r="L160" s="150">
        <f t="shared" si="208"/>
        <v>0</v>
      </c>
      <c r="M160" s="150">
        <v>0</v>
      </c>
      <c r="N160" s="150"/>
      <c r="O160" s="150">
        <v>0</v>
      </c>
      <c r="P160" s="150">
        <v>0</v>
      </c>
      <c r="Q160" s="150"/>
      <c r="R160" s="150">
        <f t="shared" si="224"/>
        <v>0</v>
      </c>
      <c r="S160" s="150">
        <f t="shared" si="201"/>
        <v>0</v>
      </c>
      <c r="T160" s="150"/>
      <c r="U160" s="150">
        <v>0</v>
      </c>
      <c r="V160" s="199"/>
      <c r="W160" s="150">
        <f t="shared" si="225"/>
        <v>0</v>
      </c>
      <c r="X160" s="150">
        <v>0</v>
      </c>
      <c r="Y160" s="150"/>
      <c r="Z160" s="150">
        <v>0</v>
      </c>
      <c r="AA160" s="150">
        <f t="shared" si="202"/>
        <v>0</v>
      </c>
      <c r="AB160" s="150">
        <v>0</v>
      </c>
      <c r="AC160" s="199"/>
      <c r="AD160" s="150">
        <f t="shared" si="226"/>
        <v>0</v>
      </c>
      <c r="AE160" s="150">
        <v>0</v>
      </c>
      <c r="AF160" s="169" t="s">
        <v>4680</v>
      </c>
      <c r="AG160" s="201">
        <v>0</v>
      </c>
      <c r="AH160" s="199"/>
      <c r="AI160" s="150">
        <v>0</v>
      </c>
      <c r="AJ160" s="169">
        <f t="shared" si="203"/>
        <v>0</v>
      </c>
      <c r="AK160" s="201">
        <v>0</v>
      </c>
      <c r="AL160" s="199"/>
      <c r="AM160" s="150">
        <f t="shared" si="227"/>
        <v>0</v>
      </c>
      <c r="AN160" s="153">
        <f t="shared" si="204"/>
        <v>0</v>
      </c>
      <c r="AO160" s="154">
        <f t="shared" si="205"/>
        <v>0</v>
      </c>
      <c r="AP160" s="150">
        <v>0</v>
      </c>
      <c r="AQ160" s="201">
        <v>0</v>
      </c>
      <c r="AR160" s="199"/>
      <c r="AS160" s="150">
        <f t="shared" si="228"/>
        <v>0</v>
      </c>
      <c r="AT160" s="155"/>
      <c r="AU160" s="156">
        <f t="shared" si="199"/>
        <v>0</v>
      </c>
      <c r="AV160" s="156">
        <f t="shared" si="200"/>
        <v>0</v>
      </c>
      <c r="AW160" s="157"/>
      <c r="AX160" s="150">
        <v>0</v>
      </c>
      <c r="AY160" s="150">
        <v>0</v>
      </c>
      <c r="AZ160" s="150"/>
      <c r="BA160" s="150">
        <f t="shared" si="206"/>
        <v>0</v>
      </c>
      <c r="BB160" s="202">
        <v>4</v>
      </c>
      <c r="BC160" s="202" t="s">
        <v>693</v>
      </c>
      <c r="BD160" s="202" t="s">
        <v>632</v>
      </c>
      <c r="BE160" s="202" t="s">
        <v>671</v>
      </c>
      <c r="BF160" s="202" t="s">
        <v>714</v>
      </c>
      <c r="BG160" s="203" t="s">
        <v>5178</v>
      </c>
      <c r="BH160" s="216">
        <f t="shared" si="229"/>
        <v>0</v>
      </c>
      <c r="BI160" s="194" t="s">
        <v>1349</v>
      </c>
      <c r="BJ160" s="194" t="s">
        <v>5179</v>
      </c>
      <c r="BK160" s="194" t="s">
        <v>526</v>
      </c>
      <c r="BL160" s="207" t="s">
        <v>5180</v>
      </c>
      <c r="BM160" s="208">
        <f t="shared" si="230"/>
        <v>0</v>
      </c>
      <c r="BN160" s="160"/>
      <c r="BO160" s="161">
        <f t="shared" si="207"/>
        <v>0</v>
      </c>
      <c r="BP160" s="161"/>
    </row>
    <row r="161" spans="1:68" ht="38.25">
      <c r="A161" s="194" t="s">
        <v>527</v>
      </c>
      <c r="B161" s="195" t="s">
        <v>5181</v>
      </c>
      <c r="C161" s="196" t="s">
        <v>5182</v>
      </c>
      <c r="D161" s="146" t="s">
        <v>4692</v>
      </c>
      <c r="E161" s="196" t="s">
        <v>5182</v>
      </c>
      <c r="F161" s="150">
        <v>0</v>
      </c>
      <c r="G161" s="209">
        <v>0</v>
      </c>
      <c r="H161" s="209"/>
      <c r="I161" s="209">
        <v>0</v>
      </c>
      <c r="J161" s="150">
        <v>0</v>
      </c>
      <c r="K161" s="150">
        <v>0</v>
      </c>
      <c r="L161" s="150">
        <f t="shared" si="208"/>
        <v>0</v>
      </c>
      <c r="M161" s="150">
        <v>0</v>
      </c>
      <c r="N161" s="150"/>
      <c r="O161" s="150">
        <v>0</v>
      </c>
      <c r="P161" s="150">
        <v>0</v>
      </c>
      <c r="Q161" s="150"/>
      <c r="R161" s="150">
        <f t="shared" si="224"/>
        <v>0</v>
      </c>
      <c r="S161" s="150">
        <f t="shared" si="201"/>
        <v>0</v>
      </c>
      <c r="T161" s="150"/>
      <c r="U161" s="150">
        <v>0</v>
      </c>
      <c r="V161" s="199"/>
      <c r="W161" s="150">
        <f t="shared" si="225"/>
        <v>0</v>
      </c>
      <c r="X161" s="150">
        <v>0</v>
      </c>
      <c r="Y161" s="150"/>
      <c r="Z161" s="150">
        <v>0</v>
      </c>
      <c r="AA161" s="150">
        <f t="shared" si="202"/>
        <v>0</v>
      </c>
      <c r="AB161" s="150">
        <v>0</v>
      </c>
      <c r="AC161" s="199"/>
      <c r="AD161" s="150">
        <f t="shared" si="226"/>
        <v>0</v>
      </c>
      <c r="AE161" s="150">
        <v>0</v>
      </c>
      <c r="AF161" s="169" t="s">
        <v>4680</v>
      </c>
      <c r="AG161" s="201">
        <v>0</v>
      </c>
      <c r="AH161" s="199"/>
      <c r="AI161" s="150">
        <v>0</v>
      </c>
      <c r="AJ161" s="169">
        <f t="shared" si="203"/>
        <v>0</v>
      </c>
      <c r="AK161" s="201">
        <v>0</v>
      </c>
      <c r="AL161" s="199"/>
      <c r="AM161" s="150">
        <f t="shared" si="227"/>
        <v>0</v>
      </c>
      <c r="AN161" s="153">
        <f t="shared" si="204"/>
        <v>0</v>
      </c>
      <c r="AO161" s="154">
        <f t="shared" si="205"/>
        <v>0</v>
      </c>
      <c r="AP161" s="150">
        <v>0</v>
      </c>
      <c r="AQ161" s="201">
        <v>0</v>
      </c>
      <c r="AR161" s="199"/>
      <c r="AS161" s="150">
        <f t="shared" si="228"/>
        <v>0</v>
      </c>
      <c r="AT161" s="155"/>
      <c r="AU161" s="156">
        <f t="shared" si="199"/>
        <v>0</v>
      </c>
      <c r="AV161" s="156">
        <f t="shared" si="200"/>
        <v>0</v>
      </c>
      <c r="AW161" s="157"/>
      <c r="AX161" s="150">
        <v>0</v>
      </c>
      <c r="AY161" s="150">
        <v>0</v>
      </c>
      <c r="AZ161" s="150"/>
      <c r="BA161" s="150">
        <f t="shared" si="206"/>
        <v>0</v>
      </c>
      <c r="BB161" s="202">
        <v>4</v>
      </c>
      <c r="BC161" s="202" t="s">
        <v>693</v>
      </c>
      <c r="BD161" s="202" t="s">
        <v>632</v>
      </c>
      <c r="BE161" s="202" t="s">
        <v>671</v>
      </c>
      <c r="BF161" s="202" t="s">
        <v>739</v>
      </c>
      <c r="BG161" s="203" t="s">
        <v>5183</v>
      </c>
      <c r="BH161" s="216">
        <f t="shared" si="229"/>
        <v>0</v>
      </c>
      <c r="BI161" s="194" t="s">
        <v>1349</v>
      </c>
      <c r="BJ161" s="194" t="s">
        <v>5184</v>
      </c>
      <c r="BK161" s="194" t="s">
        <v>527</v>
      </c>
      <c r="BL161" s="207" t="s">
        <v>5185</v>
      </c>
      <c r="BM161" s="208">
        <f t="shared" si="230"/>
        <v>0</v>
      </c>
      <c r="BN161" s="160"/>
      <c r="BO161" s="161">
        <f t="shared" si="207"/>
        <v>0</v>
      </c>
      <c r="BP161" s="161"/>
    </row>
    <row r="162" spans="1:68" ht="25.5">
      <c r="A162" s="194" t="s">
        <v>528</v>
      </c>
      <c r="B162" s="195" t="s">
        <v>5186</v>
      </c>
      <c r="C162" s="196" t="s">
        <v>5187</v>
      </c>
      <c r="D162" s="146" t="s">
        <v>4692</v>
      </c>
      <c r="E162" s="196" t="s">
        <v>5187</v>
      </c>
      <c r="F162" s="150">
        <v>0</v>
      </c>
      <c r="G162" s="209">
        <v>0</v>
      </c>
      <c r="H162" s="209"/>
      <c r="I162" s="209">
        <v>0</v>
      </c>
      <c r="J162" s="150">
        <v>0</v>
      </c>
      <c r="K162" s="150">
        <v>0</v>
      </c>
      <c r="L162" s="150">
        <f t="shared" si="208"/>
        <v>0</v>
      </c>
      <c r="M162" s="150">
        <v>0</v>
      </c>
      <c r="N162" s="150"/>
      <c r="O162" s="150">
        <v>0</v>
      </c>
      <c r="P162" s="150">
        <v>0</v>
      </c>
      <c r="Q162" s="150"/>
      <c r="R162" s="150">
        <f t="shared" si="224"/>
        <v>0</v>
      </c>
      <c r="S162" s="150">
        <f t="shared" si="201"/>
        <v>0</v>
      </c>
      <c r="T162" s="150"/>
      <c r="U162" s="150">
        <v>0</v>
      </c>
      <c r="V162" s="199"/>
      <c r="W162" s="150">
        <f t="shared" si="225"/>
        <v>0</v>
      </c>
      <c r="X162" s="150">
        <v>0</v>
      </c>
      <c r="Y162" s="150"/>
      <c r="Z162" s="150">
        <v>0</v>
      </c>
      <c r="AA162" s="150">
        <f t="shared" si="202"/>
        <v>0</v>
      </c>
      <c r="AB162" s="150">
        <v>0</v>
      </c>
      <c r="AC162" s="199"/>
      <c r="AD162" s="150">
        <f t="shared" si="226"/>
        <v>0</v>
      </c>
      <c r="AE162" s="150">
        <v>0</v>
      </c>
      <c r="AF162" s="169" t="s">
        <v>4680</v>
      </c>
      <c r="AG162" s="201">
        <v>0</v>
      </c>
      <c r="AH162" s="199"/>
      <c r="AI162" s="150">
        <v>0</v>
      </c>
      <c r="AJ162" s="169">
        <f t="shared" si="203"/>
        <v>0</v>
      </c>
      <c r="AK162" s="201">
        <v>0</v>
      </c>
      <c r="AL162" s="199"/>
      <c r="AM162" s="150">
        <f t="shared" si="227"/>
        <v>0</v>
      </c>
      <c r="AN162" s="153">
        <f t="shared" si="204"/>
        <v>0</v>
      </c>
      <c r="AO162" s="154">
        <f t="shared" si="205"/>
        <v>0</v>
      </c>
      <c r="AP162" s="150">
        <v>0</v>
      </c>
      <c r="AQ162" s="201">
        <v>0</v>
      </c>
      <c r="AR162" s="199"/>
      <c r="AS162" s="150">
        <f t="shared" si="228"/>
        <v>0</v>
      </c>
      <c r="AT162" s="155"/>
      <c r="AU162" s="156">
        <f t="shared" si="199"/>
        <v>0</v>
      </c>
      <c r="AV162" s="156">
        <f t="shared" si="200"/>
        <v>0</v>
      </c>
      <c r="AW162" s="157"/>
      <c r="AX162" s="150">
        <v>0</v>
      </c>
      <c r="AY162" s="150">
        <v>0</v>
      </c>
      <c r="AZ162" s="150"/>
      <c r="BA162" s="150">
        <f t="shared" si="206"/>
        <v>0</v>
      </c>
      <c r="BB162" s="202">
        <v>4</v>
      </c>
      <c r="BC162" s="202" t="s">
        <v>693</v>
      </c>
      <c r="BD162" s="202" t="s">
        <v>632</v>
      </c>
      <c r="BE162" s="202" t="s">
        <v>671</v>
      </c>
      <c r="BF162" s="202" t="s">
        <v>755</v>
      </c>
      <c r="BG162" s="203" t="s">
        <v>5188</v>
      </c>
      <c r="BH162" s="216">
        <f t="shared" si="229"/>
        <v>0</v>
      </c>
      <c r="BI162" s="194" t="s">
        <v>1349</v>
      </c>
      <c r="BJ162" s="194" t="s">
        <v>5189</v>
      </c>
      <c r="BK162" s="194" t="s">
        <v>528</v>
      </c>
      <c r="BL162" s="207" t="s">
        <v>5190</v>
      </c>
      <c r="BM162" s="208">
        <f t="shared" si="230"/>
        <v>0</v>
      </c>
      <c r="BN162" s="160"/>
      <c r="BO162" s="161">
        <f t="shared" si="207"/>
        <v>0</v>
      </c>
      <c r="BP162" s="161"/>
    </row>
    <row r="163" spans="1:68" ht="38.25">
      <c r="A163" s="194" t="s">
        <v>529</v>
      </c>
      <c r="B163" s="195" t="s">
        <v>5191</v>
      </c>
      <c r="C163" s="196" t="s">
        <v>5192</v>
      </c>
      <c r="D163" s="146" t="s">
        <v>4692</v>
      </c>
      <c r="E163" s="196" t="s">
        <v>5192</v>
      </c>
      <c r="F163" s="150">
        <v>0</v>
      </c>
      <c r="G163" s="209">
        <v>0</v>
      </c>
      <c r="H163" s="209"/>
      <c r="I163" s="209">
        <v>0</v>
      </c>
      <c r="J163" s="150">
        <v>0</v>
      </c>
      <c r="K163" s="150">
        <v>0</v>
      </c>
      <c r="L163" s="150">
        <f t="shared" si="208"/>
        <v>0</v>
      </c>
      <c r="M163" s="150">
        <v>0</v>
      </c>
      <c r="N163" s="150"/>
      <c r="O163" s="150">
        <v>0</v>
      </c>
      <c r="P163" s="150">
        <v>0</v>
      </c>
      <c r="Q163" s="150"/>
      <c r="R163" s="150">
        <f t="shared" si="224"/>
        <v>0</v>
      </c>
      <c r="S163" s="150">
        <f t="shared" si="201"/>
        <v>0</v>
      </c>
      <c r="T163" s="150"/>
      <c r="U163" s="150">
        <v>0</v>
      </c>
      <c r="V163" s="199"/>
      <c r="W163" s="150">
        <f t="shared" si="225"/>
        <v>0</v>
      </c>
      <c r="X163" s="150">
        <v>0</v>
      </c>
      <c r="Y163" s="150"/>
      <c r="Z163" s="150">
        <v>0</v>
      </c>
      <c r="AA163" s="150">
        <f t="shared" si="202"/>
        <v>0</v>
      </c>
      <c r="AB163" s="150">
        <v>0</v>
      </c>
      <c r="AC163" s="199"/>
      <c r="AD163" s="150">
        <f t="shared" si="226"/>
        <v>0</v>
      </c>
      <c r="AE163" s="150">
        <v>0</v>
      </c>
      <c r="AF163" s="169" t="s">
        <v>4680</v>
      </c>
      <c r="AG163" s="201">
        <v>0</v>
      </c>
      <c r="AH163" s="199"/>
      <c r="AI163" s="150">
        <v>0</v>
      </c>
      <c r="AJ163" s="169">
        <f t="shared" si="203"/>
        <v>0</v>
      </c>
      <c r="AK163" s="201">
        <v>0</v>
      </c>
      <c r="AL163" s="199"/>
      <c r="AM163" s="150">
        <f t="shared" si="227"/>
        <v>0</v>
      </c>
      <c r="AN163" s="153">
        <f t="shared" si="204"/>
        <v>0</v>
      </c>
      <c r="AO163" s="154">
        <f t="shared" si="205"/>
        <v>0</v>
      </c>
      <c r="AP163" s="150">
        <v>0</v>
      </c>
      <c r="AQ163" s="201">
        <v>0</v>
      </c>
      <c r="AR163" s="199"/>
      <c r="AS163" s="150">
        <f t="shared" si="228"/>
        <v>0</v>
      </c>
      <c r="AT163" s="155"/>
      <c r="AU163" s="156">
        <f t="shared" si="199"/>
        <v>0</v>
      </c>
      <c r="AV163" s="156">
        <f t="shared" si="200"/>
        <v>0</v>
      </c>
      <c r="AW163" s="157"/>
      <c r="AX163" s="150">
        <v>0</v>
      </c>
      <c r="AY163" s="150">
        <v>0</v>
      </c>
      <c r="AZ163" s="150"/>
      <c r="BA163" s="150">
        <f t="shared" si="206"/>
        <v>0</v>
      </c>
      <c r="BB163" s="202">
        <v>4</v>
      </c>
      <c r="BC163" s="202" t="s">
        <v>693</v>
      </c>
      <c r="BD163" s="202" t="s">
        <v>632</v>
      </c>
      <c r="BE163" s="202" t="s">
        <v>671</v>
      </c>
      <c r="BF163" s="202" t="s">
        <v>766</v>
      </c>
      <c r="BG163" s="203" t="s">
        <v>5193</v>
      </c>
      <c r="BH163" s="216">
        <f t="shared" si="229"/>
        <v>0</v>
      </c>
      <c r="BI163" s="194" t="s">
        <v>1349</v>
      </c>
      <c r="BJ163" s="194" t="s">
        <v>5194</v>
      </c>
      <c r="BK163" s="194" t="s">
        <v>529</v>
      </c>
      <c r="BL163" s="207" t="s">
        <v>5195</v>
      </c>
      <c r="BM163" s="208">
        <f t="shared" si="230"/>
        <v>0</v>
      </c>
      <c r="BN163" s="160"/>
      <c r="BO163" s="161">
        <f t="shared" si="207"/>
        <v>0</v>
      </c>
      <c r="BP163" s="161"/>
    </row>
    <row r="164" spans="1:68" ht="38.25">
      <c r="A164" s="194" t="s">
        <v>5196</v>
      </c>
      <c r="B164" s="195" t="s">
        <v>5197</v>
      </c>
      <c r="C164" s="196" t="s">
        <v>5198</v>
      </c>
      <c r="D164" s="146" t="s">
        <v>4692</v>
      </c>
      <c r="E164" s="196" t="s">
        <v>5198</v>
      </c>
      <c r="F164" s="150">
        <v>0</v>
      </c>
      <c r="G164" s="209">
        <v>0</v>
      </c>
      <c r="H164" s="209"/>
      <c r="I164" s="209">
        <v>0</v>
      </c>
      <c r="J164" s="150">
        <v>0</v>
      </c>
      <c r="K164" s="150">
        <v>0</v>
      </c>
      <c r="L164" s="150">
        <f t="shared" si="208"/>
        <v>0</v>
      </c>
      <c r="M164" s="150">
        <v>0</v>
      </c>
      <c r="N164" s="150"/>
      <c r="O164" s="150">
        <v>0</v>
      </c>
      <c r="P164" s="150">
        <v>0</v>
      </c>
      <c r="Q164" s="150"/>
      <c r="R164" s="150">
        <f t="shared" si="224"/>
        <v>0</v>
      </c>
      <c r="S164" s="150">
        <f t="shared" si="201"/>
        <v>0</v>
      </c>
      <c r="T164" s="150"/>
      <c r="U164" s="150">
        <v>0</v>
      </c>
      <c r="V164" s="199"/>
      <c r="W164" s="150">
        <f t="shared" si="225"/>
        <v>0</v>
      </c>
      <c r="X164" s="150">
        <v>0</v>
      </c>
      <c r="Y164" s="150"/>
      <c r="Z164" s="150">
        <v>0</v>
      </c>
      <c r="AA164" s="150">
        <f t="shared" si="202"/>
        <v>0</v>
      </c>
      <c r="AB164" s="150">
        <v>0</v>
      </c>
      <c r="AC164" s="199"/>
      <c r="AD164" s="150">
        <f t="shared" si="226"/>
        <v>0</v>
      </c>
      <c r="AE164" s="150">
        <v>0</v>
      </c>
      <c r="AF164" s="169" t="s">
        <v>4680</v>
      </c>
      <c r="AG164" s="201">
        <v>0</v>
      </c>
      <c r="AH164" s="199"/>
      <c r="AI164" s="150">
        <v>0</v>
      </c>
      <c r="AJ164" s="169">
        <f t="shared" si="203"/>
        <v>0</v>
      </c>
      <c r="AK164" s="201">
        <v>0</v>
      </c>
      <c r="AL164" s="199"/>
      <c r="AM164" s="150">
        <f t="shared" si="227"/>
        <v>0</v>
      </c>
      <c r="AN164" s="153">
        <f t="shared" si="204"/>
        <v>0</v>
      </c>
      <c r="AO164" s="154">
        <f t="shared" si="205"/>
        <v>0</v>
      </c>
      <c r="AP164" s="150">
        <v>0</v>
      </c>
      <c r="AQ164" s="201">
        <v>0</v>
      </c>
      <c r="AR164" s="199"/>
      <c r="AS164" s="150">
        <f t="shared" si="228"/>
        <v>0</v>
      </c>
      <c r="AT164" s="155"/>
      <c r="AU164" s="156">
        <f t="shared" si="199"/>
        <v>0</v>
      </c>
      <c r="AV164" s="156">
        <f t="shared" si="200"/>
        <v>0</v>
      </c>
      <c r="AW164" s="157"/>
      <c r="AX164" s="150">
        <v>0</v>
      </c>
      <c r="AY164" s="150">
        <v>0</v>
      </c>
      <c r="AZ164" s="150"/>
      <c r="BA164" s="150">
        <f t="shared" si="206"/>
        <v>0</v>
      </c>
      <c r="BB164" s="202">
        <v>4</v>
      </c>
      <c r="BC164" s="202" t="s">
        <v>693</v>
      </c>
      <c r="BD164" s="202" t="s">
        <v>632</v>
      </c>
      <c r="BE164" s="202" t="s">
        <v>671</v>
      </c>
      <c r="BF164" s="194" t="s">
        <v>1332</v>
      </c>
      <c r="BG164" s="203" t="s">
        <v>5198</v>
      </c>
      <c r="BH164" s="216">
        <f t="shared" si="229"/>
        <v>0</v>
      </c>
      <c r="BI164" s="194" t="s">
        <v>1349</v>
      </c>
      <c r="BJ164" s="194" t="s">
        <v>5199</v>
      </c>
      <c r="BK164" s="194" t="s">
        <v>5196</v>
      </c>
      <c r="BL164" s="207" t="s">
        <v>5200</v>
      </c>
      <c r="BM164" s="208">
        <f t="shared" si="230"/>
        <v>0</v>
      </c>
      <c r="BN164" s="160"/>
      <c r="BO164" s="161">
        <f t="shared" si="207"/>
        <v>0</v>
      </c>
      <c r="BP164" s="161"/>
    </row>
    <row r="165" spans="1:68" ht="38.25">
      <c r="A165" s="194" t="s">
        <v>5201</v>
      </c>
      <c r="B165" s="195" t="s">
        <v>5202</v>
      </c>
      <c r="C165" s="196" t="s">
        <v>5203</v>
      </c>
      <c r="D165" s="146" t="s">
        <v>4692</v>
      </c>
      <c r="E165" s="196" t="s">
        <v>5203</v>
      </c>
      <c r="F165" s="150">
        <v>0</v>
      </c>
      <c r="G165" s="209">
        <v>0</v>
      </c>
      <c r="H165" s="209"/>
      <c r="I165" s="209">
        <v>0</v>
      </c>
      <c r="J165" s="150">
        <v>0</v>
      </c>
      <c r="K165" s="150">
        <v>0</v>
      </c>
      <c r="L165" s="150">
        <f t="shared" si="208"/>
        <v>0</v>
      </c>
      <c r="M165" s="150">
        <v>0</v>
      </c>
      <c r="N165" s="150"/>
      <c r="O165" s="150">
        <v>0</v>
      </c>
      <c r="P165" s="150">
        <v>0</v>
      </c>
      <c r="Q165" s="150"/>
      <c r="R165" s="150">
        <f t="shared" si="224"/>
        <v>0</v>
      </c>
      <c r="S165" s="150">
        <f t="shared" si="201"/>
        <v>0</v>
      </c>
      <c r="T165" s="150"/>
      <c r="U165" s="150">
        <v>0</v>
      </c>
      <c r="V165" s="199"/>
      <c r="W165" s="150">
        <f t="shared" si="225"/>
        <v>0</v>
      </c>
      <c r="X165" s="150">
        <v>0</v>
      </c>
      <c r="Y165" s="150"/>
      <c r="Z165" s="150">
        <v>0</v>
      </c>
      <c r="AA165" s="150">
        <f t="shared" si="202"/>
        <v>0</v>
      </c>
      <c r="AB165" s="150">
        <v>0</v>
      </c>
      <c r="AC165" s="199"/>
      <c r="AD165" s="150">
        <f t="shared" si="226"/>
        <v>0</v>
      </c>
      <c r="AE165" s="150">
        <v>0</v>
      </c>
      <c r="AF165" s="169" t="s">
        <v>4680</v>
      </c>
      <c r="AG165" s="201">
        <v>0</v>
      </c>
      <c r="AH165" s="199"/>
      <c r="AI165" s="150">
        <v>0</v>
      </c>
      <c r="AJ165" s="169">
        <f t="shared" si="203"/>
        <v>0</v>
      </c>
      <c r="AK165" s="201">
        <v>0</v>
      </c>
      <c r="AL165" s="199"/>
      <c r="AM165" s="150">
        <f t="shared" si="227"/>
        <v>0</v>
      </c>
      <c r="AN165" s="153">
        <f t="shared" si="204"/>
        <v>0</v>
      </c>
      <c r="AO165" s="154">
        <f t="shared" si="205"/>
        <v>0</v>
      </c>
      <c r="AP165" s="150">
        <v>0</v>
      </c>
      <c r="AQ165" s="201">
        <v>0</v>
      </c>
      <c r="AR165" s="199"/>
      <c r="AS165" s="150">
        <f t="shared" si="228"/>
        <v>0</v>
      </c>
      <c r="AT165" s="155"/>
      <c r="AU165" s="156">
        <f t="shared" si="199"/>
        <v>0</v>
      </c>
      <c r="AV165" s="156">
        <f t="shared" si="200"/>
        <v>0</v>
      </c>
      <c r="AW165" s="157"/>
      <c r="AX165" s="150">
        <v>0</v>
      </c>
      <c r="AY165" s="150">
        <v>0</v>
      </c>
      <c r="AZ165" s="150"/>
      <c r="BA165" s="150">
        <f t="shared" si="206"/>
        <v>0</v>
      </c>
      <c r="BB165" s="202">
        <v>4</v>
      </c>
      <c r="BC165" s="202" t="s">
        <v>693</v>
      </c>
      <c r="BD165" s="202" t="s">
        <v>632</v>
      </c>
      <c r="BE165" s="202" t="s">
        <v>671</v>
      </c>
      <c r="BF165" s="194" t="s">
        <v>1838</v>
      </c>
      <c r="BG165" s="203" t="s">
        <v>5203</v>
      </c>
      <c r="BH165" s="216">
        <f t="shared" si="229"/>
        <v>0</v>
      </c>
      <c r="BI165" s="194" t="s">
        <v>1349</v>
      </c>
      <c r="BJ165" s="194" t="s">
        <v>5204</v>
      </c>
      <c r="BK165" s="194" t="s">
        <v>5201</v>
      </c>
      <c r="BL165" s="207" t="s">
        <v>5205</v>
      </c>
      <c r="BM165" s="208">
        <f t="shared" si="230"/>
        <v>0</v>
      </c>
      <c r="BN165" s="160"/>
      <c r="BO165" s="161">
        <f t="shared" si="207"/>
        <v>0</v>
      </c>
      <c r="BP165" s="161"/>
    </row>
    <row r="166" spans="1:68" ht="38.25">
      <c r="A166" s="194" t="s">
        <v>530</v>
      </c>
      <c r="B166" s="195" t="s">
        <v>5206</v>
      </c>
      <c r="C166" s="196" t="s">
        <v>5207</v>
      </c>
      <c r="D166" s="146" t="s">
        <v>4692</v>
      </c>
      <c r="E166" s="196" t="s">
        <v>5207</v>
      </c>
      <c r="F166" s="150">
        <v>0</v>
      </c>
      <c r="G166" s="209">
        <v>0</v>
      </c>
      <c r="H166" s="209"/>
      <c r="I166" s="209">
        <v>0</v>
      </c>
      <c r="J166" s="150">
        <v>0</v>
      </c>
      <c r="K166" s="150">
        <v>0</v>
      </c>
      <c r="L166" s="150">
        <f t="shared" si="208"/>
        <v>0</v>
      </c>
      <c r="M166" s="150">
        <v>0</v>
      </c>
      <c r="N166" s="150"/>
      <c r="O166" s="150">
        <v>0</v>
      </c>
      <c r="P166" s="150">
        <v>0</v>
      </c>
      <c r="Q166" s="150"/>
      <c r="R166" s="150">
        <f t="shared" si="224"/>
        <v>0</v>
      </c>
      <c r="S166" s="150">
        <f t="shared" si="201"/>
        <v>0</v>
      </c>
      <c r="T166" s="150"/>
      <c r="U166" s="150">
        <v>0</v>
      </c>
      <c r="V166" s="199"/>
      <c r="W166" s="150">
        <f t="shared" si="225"/>
        <v>0</v>
      </c>
      <c r="X166" s="150">
        <v>0</v>
      </c>
      <c r="Y166" s="150"/>
      <c r="Z166" s="150">
        <v>0</v>
      </c>
      <c r="AA166" s="150">
        <f t="shared" si="202"/>
        <v>0</v>
      </c>
      <c r="AB166" s="150">
        <v>0</v>
      </c>
      <c r="AC166" s="199"/>
      <c r="AD166" s="150">
        <f t="shared" si="226"/>
        <v>0</v>
      </c>
      <c r="AE166" s="150">
        <v>0</v>
      </c>
      <c r="AF166" s="169" t="s">
        <v>4680</v>
      </c>
      <c r="AG166" s="201">
        <v>0</v>
      </c>
      <c r="AH166" s="199"/>
      <c r="AI166" s="150">
        <v>0</v>
      </c>
      <c r="AJ166" s="169">
        <f t="shared" si="203"/>
        <v>0</v>
      </c>
      <c r="AK166" s="201">
        <v>0</v>
      </c>
      <c r="AL166" s="199"/>
      <c r="AM166" s="150">
        <f t="shared" si="227"/>
        <v>0</v>
      </c>
      <c r="AN166" s="153">
        <f t="shared" si="204"/>
        <v>0</v>
      </c>
      <c r="AO166" s="154">
        <f t="shared" si="205"/>
        <v>0</v>
      </c>
      <c r="AP166" s="150">
        <v>0</v>
      </c>
      <c r="AQ166" s="201">
        <v>0</v>
      </c>
      <c r="AR166" s="199"/>
      <c r="AS166" s="150">
        <f t="shared" si="228"/>
        <v>0</v>
      </c>
      <c r="AT166" s="155"/>
      <c r="AU166" s="156">
        <f t="shared" si="199"/>
        <v>0</v>
      </c>
      <c r="AV166" s="156">
        <f t="shared" si="200"/>
        <v>0</v>
      </c>
      <c r="AW166" s="157"/>
      <c r="AX166" s="150">
        <v>0</v>
      </c>
      <c r="AY166" s="150">
        <v>0</v>
      </c>
      <c r="AZ166" s="150"/>
      <c r="BA166" s="150">
        <f t="shared" si="206"/>
        <v>0</v>
      </c>
      <c r="BB166" s="202">
        <v>4</v>
      </c>
      <c r="BC166" s="202" t="s">
        <v>693</v>
      </c>
      <c r="BD166" s="202" t="s">
        <v>632</v>
      </c>
      <c r="BE166" s="202" t="s">
        <v>671</v>
      </c>
      <c r="BF166" s="194" t="s">
        <v>1846</v>
      </c>
      <c r="BG166" s="203" t="s">
        <v>5207</v>
      </c>
      <c r="BH166" s="216">
        <f t="shared" si="229"/>
        <v>0</v>
      </c>
      <c r="BI166" s="194" t="s">
        <v>1349</v>
      </c>
      <c r="BJ166" s="194" t="s">
        <v>5208</v>
      </c>
      <c r="BK166" s="194" t="s">
        <v>530</v>
      </c>
      <c r="BL166" s="207" t="s">
        <v>5209</v>
      </c>
      <c r="BM166" s="208">
        <f t="shared" si="230"/>
        <v>0</v>
      </c>
      <c r="BN166" s="160"/>
      <c r="BO166" s="161">
        <f t="shared" si="207"/>
        <v>0</v>
      </c>
      <c r="BP166" s="161"/>
    </row>
    <row r="167" spans="1:68" ht="38.25">
      <c r="A167" s="194" t="s">
        <v>531</v>
      </c>
      <c r="B167" s="195" t="s">
        <v>5210</v>
      </c>
      <c r="C167" s="196" t="s">
        <v>5211</v>
      </c>
      <c r="D167" s="146" t="s">
        <v>4692</v>
      </c>
      <c r="E167" s="203" t="s">
        <v>5212</v>
      </c>
      <c r="F167" s="150">
        <v>0</v>
      </c>
      <c r="G167" s="242">
        <v>0</v>
      </c>
      <c r="H167" s="242"/>
      <c r="I167" s="242">
        <v>0</v>
      </c>
      <c r="J167" s="150">
        <v>0</v>
      </c>
      <c r="K167" s="150">
        <v>0</v>
      </c>
      <c r="L167" s="150">
        <f t="shared" si="208"/>
        <v>0</v>
      </c>
      <c r="M167" s="150">
        <v>0</v>
      </c>
      <c r="N167" s="150"/>
      <c r="O167" s="150">
        <v>0</v>
      </c>
      <c r="P167" s="150">
        <v>0</v>
      </c>
      <c r="Q167" s="150"/>
      <c r="R167" s="150">
        <f t="shared" si="224"/>
        <v>0</v>
      </c>
      <c r="S167" s="150">
        <f t="shared" si="201"/>
        <v>0</v>
      </c>
      <c r="T167" s="150"/>
      <c r="U167" s="150">
        <v>0</v>
      </c>
      <c r="V167" s="199"/>
      <c r="W167" s="150">
        <f t="shared" si="225"/>
        <v>0</v>
      </c>
      <c r="X167" s="150">
        <v>0</v>
      </c>
      <c r="Y167" s="150"/>
      <c r="Z167" s="150">
        <v>0</v>
      </c>
      <c r="AA167" s="150">
        <f t="shared" si="202"/>
        <v>0</v>
      </c>
      <c r="AB167" s="150">
        <v>0</v>
      </c>
      <c r="AC167" s="199"/>
      <c r="AD167" s="150">
        <f t="shared" si="226"/>
        <v>0</v>
      </c>
      <c r="AE167" s="150">
        <v>0</v>
      </c>
      <c r="AF167" s="169" t="s">
        <v>4680</v>
      </c>
      <c r="AG167" s="201">
        <v>0</v>
      </c>
      <c r="AH167" s="199"/>
      <c r="AI167" s="150">
        <v>0</v>
      </c>
      <c r="AJ167" s="169">
        <f t="shared" si="203"/>
        <v>0</v>
      </c>
      <c r="AK167" s="201">
        <v>0</v>
      </c>
      <c r="AL167" s="199"/>
      <c r="AM167" s="150">
        <f t="shared" si="227"/>
        <v>0</v>
      </c>
      <c r="AN167" s="153">
        <f t="shared" si="204"/>
        <v>0</v>
      </c>
      <c r="AO167" s="154">
        <f t="shared" si="205"/>
        <v>0</v>
      </c>
      <c r="AP167" s="150">
        <v>0</v>
      </c>
      <c r="AQ167" s="201">
        <v>0</v>
      </c>
      <c r="AR167" s="199"/>
      <c r="AS167" s="150">
        <f t="shared" si="228"/>
        <v>0</v>
      </c>
      <c r="AT167" s="155"/>
      <c r="AU167" s="156">
        <f t="shared" si="199"/>
        <v>0</v>
      </c>
      <c r="AV167" s="156">
        <f t="shared" si="200"/>
        <v>0</v>
      </c>
      <c r="AW167" s="157"/>
      <c r="AX167" s="150">
        <v>0</v>
      </c>
      <c r="AY167" s="150">
        <v>0</v>
      </c>
      <c r="AZ167" s="150"/>
      <c r="BA167" s="150">
        <f t="shared" si="206"/>
        <v>0</v>
      </c>
      <c r="BB167" s="202">
        <v>4</v>
      </c>
      <c r="BC167" s="202" t="s">
        <v>693</v>
      </c>
      <c r="BD167" s="202" t="s">
        <v>632</v>
      </c>
      <c r="BE167" s="202" t="s">
        <v>671</v>
      </c>
      <c r="BF167" s="202" t="s">
        <v>1850</v>
      </c>
      <c r="BG167" s="203" t="s">
        <v>5212</v>
      </c>
      <c r="BH167" s="216">
        <f t="shared" si="229"/>
        <v>0</v>
      </c>
      <c r="BI167" s="194" t="s">
        <v>1349</v>
      </c>
      <c r="BJ167" s="194" t="s">
        <v>5213</v>
      </c>
      <c r="BK167" s="194" t="s">
        <v>531</v>
      </c>
      <c r="BL167" s="207" t="s">
        <v>5214</v>
      </c>
      <c r="BM167" s="208">
        <f t="shared" si="230"/>
        <v>0</v>
      </c>
      <c r="BN167" s="160"/>
      <c r="BO167" s="161">
        <f t="shared" si="207"/>
        <v>0</v>
      </c>
      <c r="BP167" s="161"/>
    </row>
    <row r="168" spans="1:68" ht="51">
      <c r="A168" s="194" t="s">
        <v>5215</v>
      </c>
      <c r="B168" s="195" t="s">
        <v>5216</v>
      </c>
      <c r="C168" s="196" t="s">
        <v>5217</v>
      </c>
      <c r="D168" s="146" t="s">
        <v>4692</v>
      </c>
      <c r="E168" s="196" t="s">
        <v>5217</v>
      </c>
      <c r="F168" s="150">
        <v>0</v>
      </c>
      <c r="G168" s="209">
        <v>0</v>
      </c>
      <c r="H168" s="209"/>
      <c r="I168" s="209">
        <v>0</v>
      </c>
      <c r="J168" s="150">
        <v>0</v>
      </c>
      <c r="K168" s="150">
        <v>0</v>
      </c>
      <c r="L168" s="150">
        <f t="shared" si="208"/>
        <v>0</v>
      </c>
      <c r="M168" s="150">
        <v>0</v>
      </c>
      <c r="N168" s="150"/>
      <c r="O168" s="150">
        <v>0</v>
      </c>
      <c r="P168" s="150">
        <v>0</v>
      </c>
      <c r="Q168" s="150"/>
      <c r="R168" s="150">
        <f t="shared" si="224"/>
        <v>0</v>
      </c>
      <c r="S168" s="150">
        <f t="shared" si="201"/>
        <v>0</v>
      </c>
      <c r="T168" s="150"/>
      <c r="U168" s="150">
        <v>0</v>
      </c>
      <c r="V168" s="199"/>
      <c r="W168" s="150">
        <f t="shared" si="225"/>
        <v>0</v>
      </c>
      <c r="X168" s="150">
        <v>0</v>
      </c>
      <c r="Y168" s="150"/>
      <c r="Z168" s="150">
        <v>0</v>
      </c>
      <c r="AA168" s="150">
        <f t="shared" si="202"/>
        <v>0</v>
      </c>
      <c r="AB168" s="150">
        <v>0</v>
      </c>
      <c r="AC168" s="199"/>
      <c r="AD168" s="150">
        <f t="shared" si="226"/>
        <v>0</v>
      </c>
      <c r="AE168" s="150">
        <v>0</v>
      </c>
      <c r="AF168" s="169" t="s">
        <v>4680</v>
      </c>
      <c r="AG168" s="201">
        <v>0</v>
      </c>
      <c r="AH168" s="199"/>
      <c r="AI168" s="150">
        <v>0</v>
      </c>
      <c r="AJ168" s="169">
        <f t="shared" si="203"/>
        <v>0</v>
      </c>
      <c r="AK168" s="201">
        <v>0</v>
      </c>
      <c r="AL168" s="199"/>
      <c r="AM168" s="150">
        <f t="shared" si="227"/>
        <v>0</v>
      </c>
      <c r="AN168" s="153">
        <f t="shared" si="204"/>
        <v>0</v>
      </c>
      <c r="AO168" s="154">
        <f t="shared" si="205"/>
        <v>0</v>
      </c>
      <c r="AP168" s="150">
        <v>0</v>
      </c>
      <c r="AQ168" s="201">
        <v>0</v>
      </c>
      <c r="AR168" s="199"/>
      <c r="AS168" s="150">
        <f t="shared" si="228"/>
        <v>0</v>
      </c>
      <c r="AT168" s="155"/>
      <c r="AU168" s="156">
        <f t="shared" si="199"/>
        <v>0</v>
      </c>
      <c r="AV168" s="156">
        <f t="shared" si="200"/>
        <v>0</v>
      </c>
      <c r="AW168" s="157"/>
      <c r="AX168" s="150">
        <v>0</v>
      </c>
      <c r="AY168" s="150">
        <v>0</v>
      </c>
      <c r="AZ168" s="150"/>
      <c r="BA168" s="150">
        <f t="shared" si="206"/>
        <v>0</v>
      </c>
      <c r="BB168" s="202">
        <v>4</v>
      </c>
      <c r="BC168" s="202" t="s">
        <v>693</v>
      </c>
      <c r="BD168" s="202" t="s">
        <v>632</v>
      </c>
      <c r="BE168" s="202" t="s">
        <v>671</v>
      </c>
      <c r="BF168" s="194" t="s">
        <v>1225</v>
      </c>
      <c r="BG168" s="203" t="s">
        <v>5218</v>
      </c>
      <c r="BH168" s="216">
        <f t="shared" si="229"/>
        <v>0</v>
      </c>
      <c r="BI168" s="194" t="s">
        <v>1349</v>
      </c>
      <c r="BJ168" s="194" t="s">
        <v>5219</v>
      </c>
      <c r="BK168" s="194" t="s">
        <v>5215</v>
      </c>
      <c r="BL168" s="203" t="s">
        <v>5220</v>
      </c>
      <c r="BM168" s="208">
        <f t="shared" si="230"/>
        <v>0</v>
      </c>
      <c r="BN168" s="160"/>
      <c r="BO168" s="161">
        <f t="shared" si="207"/>
        <v>0</v>
      </c>
      <c r="BP168" s="161"/>
    </row>
    <row r="169" spans="1:68" ht="51">
      <c r="A169" s="194" t="s">
        <v>5215</v>
      </c>
      <c r="B169" s="195" t="s">
        <v>5221</v>
      </c>
      <c r="C169" s="196" t="s">
        <v>5222</v>
      </c>
      <c r="D169" s="146" t="s">
        <v>4692</v>
      </c>
      <c r="E169" s="196" t="s">
        <v>5222</v>
      </c>
      <c r="F169" s="150">
        <v>0</v>
      </c>
      <c r="G169" s="209">
        <v>0</v>
      </c>
      <c r="H169" s="209"/>
      <c r="I169" s="209">
        <v>0</v>
      </c>
      <c r="J169" s="150">
        <v>0</v>
      </c>
      <c r="K169" s="150">
        <v>0</v>
      </c>
      <c r="L169" s="150">
        <f t="shared" si="208"/>
        <v>0</v>
      </c>
      <c r="M169" s="150">
        <v>0</v>
      </c>
      <c r="N169" s="150"/>
      <c r="O169" s="150">
        <v>0</v>
      </c>
      <c r="P169" s="150">
        <v>0</v>
      </c>
      <c r="Q169" s="150"/>
      <c r="R169" s="150">
        <f t="shared" si="224"/>
        <v>0</v>
      </c>
      <c r="S169" s="150">
        <f t="shared" si="201"/>
        <v>0</v>
      </c>
      <c r="T169" s="150"/>
      <c r="U169" s="150">
        <v>0</v>
      </c>
      <c r="V169" s="199"/>
      <c r="W169" s="150">
        <f t="shared" si="225"/>
        <v>0</v>
      </c>
      <c r="X169" s="150">
        <v>0</v>
      </c>
      <c r="Y169" s="150"/>
      <c r="Z169" s="150">
        <v>0</v>
      </c>
      <c r="AA169" s="150">
        <f t="shared" si="202"/>
        <v>0</v>
      </c>
      <c r="AB169" s="150">
        <v>0</v>
      </c>
      <c r="AC169" s="199"/>
      <c r="AD169" s="150">
        <f t="shared" si="226"/>
        <v>0</v>
      </c>
      <c r="AE169" s="150">
        <v>0</v>
      </c>
      <c r="AF169" s="169" t="s">
        <v>4680</v>
      </c>
      <c r="AG169" s="201">
        <v>0</v>
      </c>
      <c r="AH169" s="199"/>
      <c r="AI169" s="150">
        <v>0</v>
      </c>
      <c r="AJ169" s="169">
        <f t="shared" si="203"/>
        <v>0</v>
      </c>
      <c r="AK169" s="201">
        <v>0</v>
      </c>
      <c r="AL169" s="199"/>
      <c r="AM169" s="150">
        <f t="shared" si="227"/>
        <v>0</v>
      </c>
      <c r="AN169" s="153">
        <f t="shared" si="204"/>
        <v>0</v>
      </c>
      <c r="AO169" s="154">
        <f t="shared" si="205"/>
        <v>0</v>
      </c>
      <c r="AP169" s="150">
        <v>0</v>
      </c>
      <c r="AQ169" s="201">
        <v>0</v>
      </c>
      <c r="AR169" s="199"/>
      <c r="AS169" s="150">
        <f t="shared" si="228"/>
        <v>0</v>
      </c>
      <c r="AT169" s="155"/>
      <c r="AU169" s="156">
        <f t="shared" si="199"/>
        <v>0</v>
      </c>
      <c r="AV169" s="156">
        <f t="shared" si="200"/>
        <v>0</v>
      </c>
      <c r="AW169" s="157"/>
      <c r="AX169" s="150">
        <v>0</v>
      </c>
      <c r="AY169" s="150">
        <v>0</v>
      </c>
      <c r="AZ169" s="150"/>
      <c r="BA169" s="150">
        <f t="shared" si="206"/>
        <v>0</v>
      </c>
      <c r="BB169" s="202">
        <v>4</v>
      </c>
      <c r="BC169" s="202" t="s">
        <v>693</v>
      </c>
      <c r="BD169" s="202" t="s">
        <v>632</v>
      </c>
      <c r="BE169" s="202" t="s">
        <v>671</v>
      </c>
      <c r="BF169" s="194" t="s">
        <v>1229</v>
      </c>
      <c r="BG169" s="203" t="s">
        <v>5223</v>
      </c>
      <c r="BH169" s="216">
        <f t="shared" si="229"/>
        <v>0</v>
      </c>
      <c r="BI169" s="194" t="s">
        <v>1349</v>
      </c>
      <c r="BJ169" s="194" t="s">
        <v>5219</v>
      </c>
      <c r="BK169" s="194" t="s">
        <v>5215</v>
      </c>
      <c r="BL169" s="203" t="s">
        <v>5220</v>
      </c>
      <c r="BM169" s="208">
        <f t="shared" si="230"/>
        <v>0</v>
      </c>
      <c r="BN169" s="160"/>
      <c r="BO169" s="161">
        <f t="shared" si="207"/>
        <v>0</v>
      </c>
      <c r="BP169" s="161"/>
    </row>
    <row r="170" spans="1:68" ht="51">
      <c r="A170" s="194" t="s">
        <v>5215</v>
      </c>
      <c r="B170" s="195" t="s">
        <v>5224</v>
      </c>
      <c r="C170" s="196" t="s">
        <v>5225</v>
      </c>
      <c r="D170" s="146" t="s">
        <v>4692</v>
      </c>
      <c r="E170" s="196" t="s">
        <v>5225</v>
      </c>
      <c r="F170" s="150">
        <v>0</v>
      </c>
      <c r="G170" s="209">
        <v>0</v>
      </c>
      <c r="H170" s="209"/>
      <c r="I170" s="209">
        <v>0</v>
      </c>
      <c r="J170" s="150">
        <v>0</v>
      </c>
      <c r="K170" s="150">
        <v>0</v>
      </c>
      <c r="L170" s="150">
        <f t="shared" si="208"/>
        <v>0</v>
      </c>
      <c r="M170" s="150">
        <v>0</v>
      </c>
      <c r="N170" s="150"/>
      <c r="O170" s="150">
        <v>0</v>
      </c>
      <c r="P170" s="150">
        <v>0</v>
      </c>
      <c r="Q170" s="150"/>
      <c r="R170" s="150">
        <f t="shared" si="224"/>
        <v>0</v>
      </c>
      <c r="S170" s="150">
        <f t="shared" si="201"/>
        <v>0</v>
      </c>
      <c r="T170" s="150"/>
      <c r="U170" s="150">
        <v>0</v>
      </c>
      <c r="V170" s="199"/>
      <c r="W170" s="150">
        <f t="shared" si="225"/>
        <v>0</v>
      </c>
      <c r="X170" s="150">
        <v>0</v>
      </c>
      <c r="Y170" s="150"/>
      <c r="Z170" s="150">
        <v>0</v>
      </c>
      <c r="AA170" s="150">
        <f t="shared" si="202"/>
        <v>0</v>
      </c>
      <c r="AB170" s="150">
        <v>0</v>
      </c>
      <c r="AC170" s="199"/>
      <c r="AD170" s="150">
        <f t="shared" si="226"/>
        <v>0</v>
      </c>
      <c r="AE170" s="150">
        <v>0</v>
      </c>
      <c r="AF170" s="169" t="s">
        <v>4680</v>
      </c>
      <c r="AG170" s="201">
        <v>0</v>
      </c>
      <c r="AH170" s="199"/>
      <c r="AI170" s="150">
        <v>0</v>
      </c>
      <c r="AJ170" s="169">
        <f t="shared" si="203"/>
        <v>0</v>
      </c>
      <c r="AK170" s="201">
        <v>0</v>
      </c>
      <c r="AL170" s="199"/>
      <c r="AM170" s="150">
        <f t="shared" si="227"/>
        <v>0</v>
      </c>
      <c r="AN170" s="153">
        <f t="shared" si="204"/>
        <v>0</v>
      </c>
      <c r="AO170" s="154">
        <f t="shared" si="205"/>
        <v>0</v>
      </c>
      <c r="AP170" s="150">
        <v>0</v>
      </c>
      <c r="AQ170" s="201">
        <v>0</v>
      </c>
      <c r="AR170" s="199"/>
      <c r="AS170" s="150">
        <f t="shared" si="228"/>
        <v>0</v>
      </c>
      <c r="AT170" s="155"/>
      <c r="AU170" s="156">
        <f t="shared" si="199"/>
        <v>0</v>
      </c>
      <c r="AV170" s="156">
        <f t="shared" si="200"/>
        <v>0</v>
      </c>
      <c r="AW170" s="157"/>
      <c r="AX170" s="150">
        <v>0</v>
      </c>
      <c r="AY170" s="150">
        <v>0</v>
      </c>
      <c r="AZ170" s="150"/>
      <c r="BA170" s="150">
        <f t="shared" si="206"/>
        <v>0</v>
      </c>
      <c r="BB170" s="202">
        <v>4</v>
      </c>
      <c r="BC170" s="202" t="s">
        <v>693</v>
      </c>
      <c r="BD170" s="202" t="s">
        <v>632</v>
      </c>
      <c r="BE170" s="202" t="s">
        <v>671</v>
      </c>
      <c r="BF170" s="194" t="s">
        <v>1243</v>
      </c>
      <c r="BG170" s="203" t="s">
        <v>5226</v>
      </c>
      <c r="BH170" s="216">
        <f t="shared" si="229"/>
        <v>0</v>
      </c>
      <c r="BI170" s="194" t="s">
        <v>1349</v>
      </c>
      <c r="BJ170" s="194" t="s">
        <v>5219</v>
      </c>
      <c r="BK170" s="194" t="s">
        <v>5215</v>
      </c>
      <c r="BL170" s="203" t="s">
        <v>5220</v>
      </c>
      <c r="BM170" s="208">
        <f t="shared" si="230"/>
        <v>0</v>
      </c>
      <c r="BN170" s="160"/>
      <c r="BO170" s="161">
        <f t="shared" si="207"/>
        <v>0</v>
      </c>
      <c r="BP170" s="161"/>
    </row>
    <row r="171" spans="1:68" ht="51">
      <c r="A171" s="194" t="s">
        <v>5215</v>
      </c>
      <c r="B171" s="195" t="s">
        <v>5227</v>
      </c>
      <c r="C171" s="196" t="s">
        <v>5228</v>
      </c>
      <c r="D171" s="146" t="s">
        <v>4692</v>
      </c>
      <c r="E171" s="196" t="s">
        <v>5228</v>
      </c>
      <c r="F171" s="150">
        <v>0</v>
      </c>
      <c r="G171" s="209">
        <v>0</v>
      </c>
      <c r="H171" s="209"/>
      <c r="I171" s="209">
        <v>0</v>
      </c>
      <c r="J171" s="150">
        <v>0</v>
      </c>
      <c r="K171" s="150">
        <v>0</v>
      </c>
      <c r="L171" s="150">
        <f t="shared" si="208"/>
        <v>0</v>
      </c>
      <c r="M171" s="150">
        <v>0</v>
      </c>
      <c r="N171" s="150"/>
      <c r="O171" s="150">
        <v>0</v>
      </c>
      <c r="P171" s="150">
        <v>0</v>
      </c>
      <c r="Q171" s="150"/>
      <c r="R171" s="150">
        <f t="shared" si="224"/>
        <v>0</v>
      </c>
      <c r="S171" s="150">
        <f t="shared" si="201"/>
        <v>0</v>
      </c>
      <c r="T171" s="150"/>
      <c r="U171" s="150">
        <v>0</v>
      </c>
      <c r="V171" s="199"/>
      <c r="W171" s="150">
        <f t="shared" si="225"/>
        <v>0</v>
      </c>
      <c r="X171" s="150">
        <v>0</v>
      </c>
      <c r="Y171" s="150"/>
      <c r="Z171" s="150">
        <v>0</v>
      </c>
      <c r="AA171" s="150">
        <f t="shared" si="202"/>
        <v>0</v>
      </c>
      <c r="AB171" s="150">
        <v>0</v>
      </c>
      <c r="AC171" s="199"/>
      <c r="AD171" s="150">
        <f t="shared" si="226"/>
        <v>0</v>
      </c>
      <c r="AE171" s="150">
        <v>0</v>
      </c>
      <c r="AF171" s="169" t="s">
        <v>4680</v>
      </c>
      <c r="AG171" s="201">
        <v>0</v>
      </c>
      <c r="AH171" s="199"/>
      <c r="AI171" s="150">
        <v>0</v>
      </c>
      <c r="AJ171" s="169">
        <f t="shared" si="203"/>
        <v>0</v>
      </c>
      <c r="AK171" s="201">
        <v>0</v>
      </c>
      <c r="AL171" s="199"/>
      <c r="AM171" s="150">
        <f t="shared" si="227"/>
        <v>0</v>
      </c>
      <c r="AN171" s="153">
        <f t="shared" si="204"/>
        <v>0</v>
      </c>
      <c r="AO171" s="154">
        <f t="shared" si="205"/>
        <v>0</v>
      </c>
      <c r="AP171" s="150">
        <v>0</v>
      </c>
      <c r="AQ171" s="201">
        <v>0</v>
      </c>
      <c r="AR171" s="199"/>
      <c r="AS171" s="150">
        <f t="shared" si="228"/>
        <v>0</v>
      </c>
      <c r="AT171" s="155"/>
      <c r="AU171" s="156">
        <f t="shared" si="199"/>
        <v>0</v>
      </c>
      <c r="AV171" s="156">
        <f t="shared" si="200"/>
        <v>0</v>
      </c>
      <c r="AW171" s="157"/>
      <c r="AX171" s="150">
        <v>0</v>
      </c>
      <c r="AY171" s="150">
        <v>0</v>
      </c>
      <c r="AZ171" s="150"/>
      <c r="BA171" s="150">
        <f t="shared" si="206"/>
        <v>0</v>
      </c>
      <c r="BB171" s="202">
        <v>4</v>
      </c>
      <c r="BC171" s="202" t="s">
        <v>693</v>
      </c>
      <c r="BD171" s="202" t="s">
        <v>632</v>
      </c>
      <c r="BE171" s="202" t="s">
        <v>671</v>
      </c>
      <c r="BF171" s="194" t="s">
        <v>1247</v>
      </c>
      <c r="BG171" s="203" t="s">
        <v>5228</v>
      </c>
      <c r="BH171" s="216">
        <f t="shared" si="229"/>
        <v>0</v>
      </c>
      <c r="BI171" s="194" t="s">
        <v>1349</v>
      </c>
      <c r="BJ171" s="194" t="s">
        <v>5219</v>
      </c>
      <c r="BK171" s="194" t="s">
        <v>5215</v>
      </c>
      <c r="BL171" s="203" t="s">
        <v>5220</v>
      </c>
      <c r="BM171" s="208">
        <f t="shared" si="230"/>
        <v>0</v>
      </c>
      <c r="BN171" s="160"/>
      <c r="BO171" s="161">
        <f t="shared" si="207"/>
        <v>0</v>
      </c>
      <c r="BP171" s="161"/>
    </row>
    <row r="172" spans="1:68" ht="51">
      <c r="A172" s="194" t="s">
        <v>5215</v>
      </c>
      <c r="B172" s="195" t="s">
        <v>5229</v>
      </c>
      <c r="C172" s="196" t="s">
        <v>5230</v>
      </c>
      <c r="D172" s="146" t="s">
        <v>4692</v>
      </c>
      <c r="E172" s="196" t="s">
        <v>5230</v>
      </c>
      <c r="F172" s="150">
        <v>0</v>
      </c>
      <c r="G172" s="209">
        <v>0</v>
      </c>
      <c r="H172" s="209"/>
      <c r="I172" s="209">
        <v>0</v>
      </c>
      <c r="J172" s="150">
        <v>0</v>
      </c>
      <c r="K172" s="150">
        <v>0</v>
      </c>
      <c r="L172" s="150">
        <f t="shared" si="208"/>
        <v>0</v>
      </c>
      <c r="M172" s="150">
        <v>0</v>
      </c>
      <c r="N172" s="150"/>
      <c r="O172" s="150">
        <v>0</v>
      </c>
      <c r="P172" s="150">
        <v>0</v>
      </c>
      <c r="Q172" s="150"/>
      <c r="R172" s="150">
        <f t="shared" si="224"/>
        <v>0</v>
      </c>
      <c r="S172" s="150">
        <f t="shared" si="201"/>
        <v>0</v>
      </c>
      <c r="T172" s="150"/>
      <c r="U172" s="150">
        <v>0</v>
      </c>
      <c r="V172" s="199"/>
      <c r="W172" s="150">
        <f t="shared" si="225"/>
        <v>0</v>
      </c>
      <c r="X172" s="150">
        <v>0</v>
      </c>
      <c r="Y172" s="150"/>
      <c r="Z172" s="150">
        <v>0</v>
      </c>
      <c r="AA172" s="150">
        <f t="shared" si="202"/>
        <v>0</v>
      </c>
      <c r="AB172" s="150">
        <v>0</v>
      </c>
      <c r="AC172" s="199"/>
      <c r="AD172" s="150">
        <f t="shared" si="226"/>
        <v>0</v>
      </c>
      <c r="AE172" s="150">
        <v>0</v>
      </c>
      <c r="AF172" s="169" t="s">
        <v>4680</v>
      </c>
      <c r="AG172" s="201">
        <v>0</v>
      </c>
      <c r="AH172" s="199"/>
      <c r="AI172" s="150">
        <v>0</v>
      </c>
      <c r="AJ172" s="169">
        <f t="shared" si="203"/>
        <v>0</v>
      </c>
      <c r="AK172" s="201">
        <v>0</v>
      </c>
      <c r="AL172" s="199"/>
      <c r="AM172" s="150">
        <f t="shared" si="227"/>
        <v>0</v>
      </c>
      <c r="AN172" s="153">
        <f t="shared" si="204"/>
        <v>0</v>
      </c>
      <c r="AO172" s="154">
        <f t="shared" si="205"/>
        <v>0</v>
      </c>
      <c r="AP172" s="150">
        <v>0</v>
      </c>
      <c r="AQ172" s="201">
        <v>0</v>
      </c>
      <c r="AR172" s="199"/>
      <c r="AS172" s="150">
        <f t="shared" si="228"/>
        <v>0</v>
      </c>
      <c r="AT172" s="155"/>
      <c r="AU172" s="156">
        <f t="shared" si="199"/>
        <v>0</v>
      </c>
      <c r="AV172" s="156">
        <f t="shared" si="200"/>
        <v>0</v>
      </c>
      <c r="AW172" s="157"/>
      <c r="AX172" s="150">
        <v>0</v>
      </c>
      <c r="AY172" s="150">
        <v>0</v>
      </c>
      <c r="AZ172" s="150"/>
      <c r="BA172" s="150">
        <f t="shared" si="206"/>
        <v>0</v>
      </c>
      <c r="BB172" s="202">
        <v>4</v>
      </c>
      <c r="BC172" s="202" t="s">
        <v>693</v>
      </c>
      <c r="BD172" s="202" t="s">
        <v>632</v>
      </c>
      <c r="BE172" s="202" t="s">
        <v>671</v>
      </c>
      <c r="BF172" s="194" t="s">
        <v>1253</v>
      </c>
      <c r="BG172" s="203" t="s">
        <v>5231</v>
      </c>
      <c r="BH172" s="216">
        <f t="shared" si="229"/>
        <v>0</v>
      </c>
      <c r="BI172" s="194" t="s">
        <v>1349</v>
      </c>
      <c r="BJ172" s="194" t="s">
        <v>5219</v>
      </c>
      <c r="BK172" s="194" t="s">
        <v>5215</v>
      </c>
      <c r="BL172" s="203" t="s">
        <v>5220</v>
      </c>
      <c r="BM172" s="208">
        <f t="shared" si="230"/>
        <v>0</v>
      </c>
      <c r="BN172" s="160"/>
      <c r="BO172" s="161">
        <f t="shared" si="207"/>
        <v>0</v>
      </c>
      <c r="BP172" s="161"/>
    </row>
    <row r="173" spans="1:68" ht="51">
      <c r="A173" s="194" t="s">
        <v>5215</v>
      </c>
      <c r="B173" s="195" t="s">
        <v>5232</v>
      </c>
      <c r="C173" s="196" t="s">
        <v>5233</v>
      </c>
      <c r="D173" s="146" t="s">
        <v>4692</v>
      </c>
      <c r="E173" s="196" t="s">
        <v>5233</v>
      </c>
      <c r="F173" s="150">
        <v>0</v>
      </c>
      <c r="G173" s="209">
        <v>0</v>
      </c>
      <c r="H173" s="209"/>
      <c r="I173" s="209">
        <v>0</v>
      </c>
      <c r="J173" s="150">
        <v>0</v>
      </c>
      <c r="K173" s="150">
        <v>0</v>
      </c>
      <c r="L173" s="150">
        <f t="shared" si="208"/>
        <v>0</v>
      </c>
      <c r="M173" s="150">
        <v>0</v>
      </c>
      <c r="N173" s="150"/>
      <c r="O173" s="150">
        <v>0</v>
      </c>
      <c r="P173" s="150">
        <v>0</v>
      </c>
      <c r="Q173" s="150"/>
      <c r="R173" s="150">
        <f t="shared" si="224"/>
        <v>0</v>
      </c>
      <c r="S173" s="150">
        <f t="shared" si="201"/>
        <v>0</v>
      </c>
      <c r="T173" s="150"/>
      <c r="U173" s="150">
        <v>0</v>
      </c>
      <c r="V173" s="199"/>
      <c r="W173" s="150">
        <f t="shared" si="225"/>
        <v>0</v>
      </c>
      <c r="X173" s="150">
        <v>0</v>
      </c>
      <c r="Y173" s="150"/>
      <c r="Z173" s="150">
        <v>0</v>
      </c>
      <c r="AA173" s="150">
        <f t="shared" si="202"/>
        <v>0</v>
      </c>
      <c r="AB173" s="150">
        <v>0</v>
      </c>
      <c r="AC173" s="199"/>
      <c r="AD173" s="150">
        <f t="shared" si="226"/>
        <v>0</v>
      </c>
      <c r="AE173" s="150">
        <v>0</v>
      </c>
      <c r="AF173" s="169" t="s">
        <v>4680</v>
      </c>
      <c r="AG173" s="201">
        <v>0</v>
      </c>
      <c r="AH173" s="199"/>
      <c r="AI173" s="150">
        <v>0</v>
      </c>
      <c r="AJ173" s="169">
        <f t="shared" si="203"/>
        <v>0</v>
      </c>
      <c r="AK173" s="201">
        <v>0</v>
      </c>
      <c r="AL173" s="199"/>
      <c r="AM173" s="150">
        <f t="shared" si="227"/>
        <v>0</v>
      </c>
      <c r="AN173" s="153">
        <f t="shared" si="204"/>
        <v>0</v>
      </c>
      <c r="AO173" s="154">
        <f t="shared" si="205"/>
        <v>0</v>
      </c>
      <c r="AP173" s="150">
        <v>0</v>
      </c>
      <c r="AQ173" s="201">
        <v>0</v>
      </c>
      <c r="AR173" s="199"/>
      <c r="AS173" s="150">
        <f t="shared" si="228"/>
        <v>0</v>
      </c>
      <c r="AT173" s="155"/>
      <c r="AU173" s="156">
        <f t="shared" si="199"/>
        <v>0</v>
      </c>
      <c r="AV173" s="156">
        <f t="shared" si="200"/>
        <v>0</v>
      </c>
      <c r="AW173" s="157"/>
      <c r="AX173" s="150">
        <v>0</v>
      </c>
      <c r="AY173" s="150">
        <v>0</v>
      </c>
      <c r="AZ173" s="150"/>
      <c r="BA173" s="150">
        <f t="shared" si="206"/>
        <v>0</v>
      </c>
      <c r="BB173" s="202">
        <v>4</v>
      </c>
      <c r="BC173" s="202" t="s">
        <v>693</v>
      </c>
      <c r="BD173" s="202" t="s">
        <v>632</v>
      </c>
      <c r="BE173" s="202" t="s">
        <v>671</v>
      </c>
      <c r="BF173" s="194" t="s">
        <v>1257</v>
      </c>
      <c r="BG173" s="203" t="s">
        <v>5234</v>
      </c>
      <c r="BH173" s="216">
        <f t="shared" si="229"/>
        <v>0</v>
      </c>
      <c r="BI173" s="194" t="s">
        <v>1349</v>
      </c>
      <c r="BJ173" s="194" t="s">
        <v>5219</v>
      </c>
      <c r="BK173" s="194" t="s">
        <v>5215</v>
      </c>
      <c r="BL173" s="203" t="s">
        <v>5220</v>
      </c>
      <c r="BM173" s="208">
        <f t="shared" si="230"/>
        <v>0</v>
      </c>
      <c r="BN173" s="160"/>
      <c r="BO173" s="161">
        <f t="shared" si="207"/>
        <v>0</v>
      </c>
      <c r="BP173" s="161"/>
    </row>
    <row r="174" spans="1:68" ht="51">
      <c r="A174" s="194" t="s">
        <v>5215</v>
      </c>
      <c r="B174" s="195" t="s">
        <v>5235</v>
      </c>
      <c r="C174" s="196" t="s">
        <v>5236</v>
      </c>
      <c r="D174" s="146" t="s">
        <v>4692</v>
      </c>
      <c r="E174" s="196" t="s">
        <v>5236</v>
      </c>
      <c r="F174" s="150">
        <v>0</v>
      </c>
      <c r="G174" s="209">
        <v>0</v>
      </c>
      <c r="H174" s="209"/>
      <c r="I174" s="209">
        <v>0</v>
      </c>
      <c r="J174" s="150">
        <v>0</v>
      </c>
      <c r="K174" s="150">
        <v>0</v>
      </c>
      <c r="L174" s="150">
        <f t="shared" si="208"/>
        <v>0</v>
      </c>
      <c r="M174" s="150">
        <v>0</v>
      </c>
      <c r="N174" s="150"/>
      <c r="O174" s="150">
        <v>0</v>
      </c>
      <c r="P174" s="150">
        <v>0</v>
      </c>
      <c r="Q174" s="150"/>
      <c r="R174" s="150">
        <f t="shared" si="224"/>
        <v>0</v>
      </c>
      <c r="S174" s="150">
        <f t="shared" si="201"/>
        <v>0</v>
      </c>
      <c r="T174" s="150"/>
      <c r="U174" s="150">
        <v>0</v>
      </c>
      <c r="V174" s="199"/>
      <c r="W174" s="150">
        <f t="shared" si="225"/>
        <v>0</v>
      </c>
      <c r="X174" s="150">
        <v>0</v>
      </c>
      <c r="Y174" s="150"/>
      <c r="Z174" s="150">
        <v>0</v>
      </c>
      <c r="AA174" s="150">
        <f t="shared" si="202"/>
        <v>0</v>
      </c>
      <c r="AB174" s="150">
        <v>0</v>
      </c>
      <c r="AC174" s="199"/>
      <c r="AD174" s="150">
        <f t="shared" si="226"/>
        <v>0</v>
      </c>
      <c r="AE174" s="150">
        <v>0</v>
      </c>
      <c r="AF174" s="169" t="s">
        <v>4680</v>
      </c>
      <c r="AG174" s="201">
        <v>0</v>
      </c>
      <c r="AH174" s="199"/>
      <c r="AI174" s="150">
        <v>0</v>
      </c>
      <c r="AJ174" s="169">
        <f t="shared" si="203"/>
        <v>0</v>
      </c>
      <c r="AK174" s="201">
        <v>0</v>
      </c>
      <c r="AL174" s="199"/>
      <c r="AM174" s="150">
        <f t="shared" si="227"/>
        <v>0</v>
      </c>
      <c r="AN174" s="153">
        <f t="shared" si="204"/>
        <v>0</v>
      </c>
      <c r="AO174" s="154">
        <f t="shared" si="205"/>
        <v>0</v>
      </c>
      <c r="AP174" s="150">
        <v>0</v>
      </c>
      <c r="AQ174" s="201">
        <v>0</v>
      </c>
      <c r="AR174" s="199"/>
      <c r="AS174" s="150">
        <f t="shared" si="228"/>
        <v>0</v>
      </c>
      <c r="AT174" s="155"/>
      <c r="AU174" s="156">
        <f t="shared" si="199"/>
        <v>0</v>
      </c>
      <c r="AV174" s="156">
        <f t="shared" si="200"/>
        <v>0</v>
      </c>
      <c r="AW174" s="157"/>
      <c r="AX174" s="150">
        <v>0</v>
      </c>
      <c r="AY174" s="150">
        <v>0</v>
      </c>
      <c r="AZ174" s="150"/>
      <c r="BA174" s="150">
        <f t="shared" si="206"/>
        <v>0</v>
      </c>
      <c r="BB174" s="202">
        <v>4</v>
      </c>
      <c r="BC174" s="202" t="s">
        <v>693</v>
      </c>
      <c r="BD174" s="202" t="s">
        <v>632</v>
      </c>
      <c r="BE174" s="202" t="s">
        <v>671</v>
      </c>
      <c r="BF174" s="202" t="s">
        <v>1842</v>
      </c>
      <c r="BG174" s="203" t="s">
        <v>5237</v>
      </c>
      <c r="BH174" s="216">
        <f t="shared" si="229"/>
        <v>0</v>
      </c>
      <c r="BI174" s="194" t="s">
        <v>1349</v>
      </c>
      <c r="BJ174" s="194" t="s">
        <v>5219</v>
      </c>
      <c r="BK174" s="194" t="s">
        <v>5215</v>
      </c>
      <c r="BL174" s="203" t="s">
        <v>5220</v>
      </c>
      <c r="BM174" s="208">
        <f t="shared" si="230"/>
        <v>0</v>
      </c>
      <c r="BN174" s="160"/>
      <c r="BO174" s="161">
        <f t="shared" si="207"/>
        <v>0</v>
      </c>
      <c r="BP174" s="161"/>
    </row>
    <row r="175" spans="1:68" ht="51">
      <c r="A175" s="194" t="s">
        <v>5238</v>
      </c>
      <c r="B175" s="195" t="s">
        <v>5239</v>
      </c>
      <c r="C175" s="196" t="s">
        <v>5240</v>
      </c>
      <c r="D175" s="146" t="s">
        <v>4692</v>
      </c>
      <c r="E175" s="196" t="s">
        <v>5240</v>
      </c>
      <c r="F175" s="150">
        <v>0</v>
      </c>
      <c r="G175" s="209">
        <v>0</v>
      </c>
      <c r="H175" s="209"/>
      <c r="I175" s="209">
        <v>0</v>
      </c>
      <c r="J175" s="150">
        <v>0</v>
      </c>
      <c r="K175" s="150">
        <v>0</v>
      </c>
      <c r="L175" s="150">
        <f t="shared" si="208"/>
        <v>0</v>
      </c>
      <c r="M175" s="150">
        <v>0</v>
      </c>
      <c r="N175" s="150"/>
      <c r="O175" s="150">
        <v>0</v>
      </c>
      <c r="P175" s="150">
        <v>0</v>
      </c>
      <c r="Q175" s="150"/>
      <c r="R175" s="150">
        <f t="shared" si="224"/>
        <v>0</v>
      </c>
      <c r="S175" s="150">
        <f t="shared" si="201"/>
        <v>0</v>
      </c>
      <c r="T175" s="150"/>
      <c r="U175" s="150">
        <v>0</v>
      </c>
      <c r="V175" s="199"/>
      <c r="W175" s="150">
        <f t="shared" si="225"/>
        <v>0</v>
      </c>
      <c r="X175" s="150">
        <v>0</v>
      </c>
      <c r="Y175" s="150"/>
      <c r="Z175" s="150">
        <v>0</v>
      </c>
      <c r="AA175" s="150">
        <f t="shared" si="202"/>
        <v>0</v>
      </c>
      <c r="AB175" s="150">
        <v>0</v>
      </c>
      <c r="AC175" s="199"/>
      <c r="AD175" s="150">
        <f t="shared" si="226"/>
        <v>0</v>
      </c>
      <c r="AE175" s="150">
        <v>0</v>
      </c>
      <c r="AF175" s="169" t="s">
        <v>4680</v>
      </c>
      <c r="AG175" s="201">
        <v>0</v>
      </c>
      <c r="AH175" s="199"/>
      <c r="AI175" s="150">
        <v>0</v>
      </c>
      <c r="AJ175" s="169">
        <f t="shared" si="203"/>
        <v>0</v>
      </c>
      <c r="AK175" s="201">
        <v>0</v>
      </c>
      <c r="AL175" s="199"/>
      <c r="AM175" s="150">
        <f t="shared" si="227"/>
        <v>0</v>
      </c>
      <c r="AN175" s="153">
        <f t="shared" si="204"/>
        <v>0</v>
      </c>
      <c r="AO175" s="154">
        <f t="shared" si="205"/>
        <v>0</v>
      </c>
      <c r="AP175" s="150">
        <v>0</v>
      </c>
      <c r="AQ175" s="201">
        <v>0</v>
      </c>
      <c r="AR175" s="199"/>
      <c r="AS175" s="150">
        <f t="shared" si="228"/>
        <v>0</v>
      </c>
      <c r="AT175" s="155"/>
      <c r="AU175" s="156">
        <f t="shared" si="199"/>
        <v>0</v>
      </c>
      <c r="AV175" s="156">
        <f t="shared" si="200"/>
        <v>0</v>
      </c>
      <c r="AW175" s="157"/>
      <c r="AX175" s="150">
        <v>0</v>
      </c>
      <c r="AY175" s="150">
        <v>0</v>
      </c>
      <c r="AZ175" s="150"/>
      <c r="BA175" s="150">
        <f t="shared" si="206"/>
        <v>0</v>
      </c>
      <c r="BB175" s="202">
        <v>4</v>
      </c>
      <c r="BC175" s="202" t="s">
        <v>693</v>
      </c>
      <c r="BD175" s="202" t="s">
        <v>632</v>
      </c>
      <c r="BE175" s="202" t="s">
        <v>671</v>
      </c>
      <c r="BF175" s="202" t="s">
        <v>1855</v>
      </c>
      <c r="BG175" s="203" t="s">
        <v>5241</v>
      </c>
      <c r="BH175" s="216">
        <f t="shared" si="229"/>
        <v>0</v>
      </c>
      <c r="BI175" s="194" t="s">
        <v>1340</v>
      </c>
      <c r="BJ175" s="194" t="s">
        <v>5242</v>
      </c>
      <c r="BK175" s="194" t="s">
        <v>5238</v>
      </c>
      <c r="BL175" s="203" t="s">
        <v>5243</v>
      </c>
      <c r="BM175" s="208">
        <f t="shared" si="230"/>
        <v>0</v>
      </c>
      <c r="BN175" s="160"/>
      <c r="BO175" s="161">
        <f t="shared" si="207"/>
        <v>0</v>
      </c>
      <c r="BP175" s="161"/>
    </row>
    <row r="176" spans="1:68" ht="51">
      <c r="A176" s="194" t="s">
        <v>5244</v>
      </c>
      <c r="B176" s="195" t="s">
        <v>5245</v>
      </c>
      <c r="C176" s="196" t="s">
        <v>5246</v>
      </c>
      <c r="D176" s="146" t="s">
        <v>4692</v>
      </c>
      <c r="E176" s="196" t="s">
        <v>5246</v>
      </c>
      <c r="F176" s="150">
        <v>0</v>
      </c>
      <c r="G176" s="209">
        <v>0</v>
      </c>
      <c r="H176" s="209"/>
      <c r="I176" s="209">
        <v>0</v>
      </c>
      <c r="J176" s="150">
        <v>0</v>
      </c>
      <c r="K176" s="150">
        <v>0</v>
      </c>
      <c r="L176" s="150">
        <f t="shared" si="208"/>
        <v>0</v>
      </c>
      <c r="M176" s="150">
        <v>0</v>
      </c>
      <c r="N176" s="150"/>
      <c r="O176" s="150">
        <v>0</v>
      </c>
      <c r="P176" s="150">
        <v>0</v>
      </c>
      <c r="Q176" s="150"/>
      <c r="R176" s="150">
        <f t="shared" si="224"/>
        <v>0</v>
      </c>
      <c r="S176" s="150">
        <f t="shared" si="201"/>
        <v>0</v>
      </c>
      <c r="T176" s="150"/>
      <c r="U176" s="150">
        <v>0</v>
      </c>
      <c r="V176" s="199"/>
      <c r="W176" s="150">
        <f t="shared" si="225"/>
        <v>0</v>
      </c>
      <c r="X176" s="150">
        <v>0</v>
      </c>
      <c r="Y176" s="150"/>
      <c r="Z176" s="150">
        <v>0</v>
      </c>
      <c r="AA176" s="150">
        <f t="shared" si="202"/>
        <v>0</v>
      </c>
      <c r="AB176" s="150">
        <v>0</v>
      </c>
      <c r="AC176" s="199"/>
      <c r="AD176" s="150">
        <f t="shared" si="226"/>
        <v>0</v>
      </c>
      <c r="AE176" s="150">
        <v>0</v>
      </c>
      <c r="AF176" s="169" t="s">
        <v>4680</v>
      </c>
      <c r="AG176" s="201">
        <v>0</v>
      </c>
      <c r="AH176" s="199"/>
      <c r="AI176" s="150">
        <v>0</v>
      </c>
      <c r="AJ176" s="169">
        <f t="shared" si="203"/>
        <v>0</v>
      </c>
      <c r="AK176" s="201">
        <v>0</v>
      </c>
      <c r="AL176" s="199"/>
      <c r="AM176" s="150">
        <f t="shared" si="227"/>
        <v>0</v>
      </c>
      <c r="AN176" s="153">
        <f t="shared" si="204"/>
        <v>0</v>
      </c>
      <c r="AO176" s="154">
        <f t="shared" si="205"/>
        <v>0</v>
      </c>
      <c r="AP176" s="150">
        <v>0</v>
      </c>
      <c r="AQ176" s="201">
        <v>0</v>
      </c>
      <c r="AR176" s="199"/>
      <c r="AS176" s="150">
        <f t="shared" si="228"/>
        <v>0</v>
      </c>
      <c r="AT176" s="155"/>
      <c r="AU176" s="156">
        <f t="shared" si="199"/>
        <v>0</v>
      </c>
      <c r="AV176" s="156">
        <f t="shared" si="200"/>
        <v>0</v>
      </c>
      <c r="AW176" s="157"/>
      <c r="AX176" s="150">
        <v>0</v>
      </c>
      <c r="AY176" s="150">
        <v>0</v>
      </c>
      <c r="AZ176" s="150"/>
      <c r="BA176" s="150">
        <f t="shared" si="206"/>
        <v>0</v>
      </c>
      <c r="BB176" s="202">
        <v>4</v>
      </c>
      <c r="BC176" s="202" t="s">
        <v>693</v>
      </c>
      <c r="BD176" s="202" t="s">
        <v>632</v>
      </c>
      <c r="BE176" s="202" t="s">
        <v>671</v>
      </c>
      <c r="BF176" s="202" t="s">
        <v>1859</v>
      </c>
      <c r="BG176" s="203" t="s">
        <v>5247</v>
      </c>
      <c r="BH176" s="216">
        <f t="shared" si="229"/>
        <v>0</v>
      </c>
      <c r="BI176" s="194" t="s">
        <v>1340</v>
      </c>
      <c r="BJ176" s="194" t="s">
        <v>5248</v>
      </c>
      <c r="BK176" s="194" t="s">
        <v>5244</v>
      </c>
      <c r="BL176" s="203" t="s">
        <v>5249</v>
      </c>
      <c r="BM176" s="208">
        <f t="shared" si="230"/>
        <v>0</v>
      </c>
      <c r="BN176" s="160"/>
      <c r="BO176" s="161">
        <f t="shared" si="207"/>
        <v>0</v>
      </c>
      <c r="BP176" s="161"/>
    </row>
    <row r="177" spans="1:68" ht="38.25">
      <c r="A177" s="194" t="s">
        <v>5250</v>
      </c>
      <c r="B177" s="195" t="s">
        <v>5251</v>
      </c>
      <c r="C177" s="196" t="s">
        <v>5252</v>
      </c>
      <c r="D177" s="146" t="s">
        <v>4692</v>
      </c>
      <c r="E177" s="196" t="s">
        <v>5252</v>
      </c>
      <c r="F177" s="150">
        <v>1045545.85</v>
      </c>
      <c r="G177" s="209">
        <v>0</v>
      </c>
      <c r="H177" s="209">
        <v>1243900</v>
      </c>
      <c r="I177" s="209">
        <v>1243900</v>
      </c>
      <c r="J177" s="150">
        <v>0</v>
      </c>
      <c r="K177" s="150">
        <v>310975</v>
      </c>
      <c r="L177" s="150">
        <f t="shared" si="208"/>
        <v>310975</v>
      </c>
      <c r="M177" s="150">
        <v>0</v>
      </c>
      <c r="N177" s="150">
        <v>522772.92499999999</v>
      </c>
      <c r="O177" s="150">
        <v>522772.92499999999</v>
      </c>
      <c r="P177" s="150">
        <v>0</v>
      </c>
      <c r="Q177" s="237">
        <v>441327</v>
      </c>
      <c r="R177" s="150">
        <f t="shared" si="224"/>
        <v>441327</v>
      </c>
      <c r="S177" s="150">
        <f t="shared" si="201"/>
        <v>588436</v>
      </c>
      <c r="T177" s="150"/>
      <c r="U177" s="150">
        <v>0</v>
      </c>
      <c r="V177" s="199">
        <v>441327</v>
      </c>
      <c r="W177" s="150">
        <f t="shared" si="225"/>
        <v>441327</v>
      </c>
      <c r="X177" s="150">
        <v>0</v>
      </c>
      <c r="Y177" s="150">
        <v>441327</v>
      </c>
      <c r="Z177" s="150">
        <v>441327</v>
      </c>
      <c r="AA177" s="150">
        <f t="shared" si="202"/>
        <v>694152</v>
      </c>
      <c r="AB177" s="150">
        <v>0</v>
      </c>
      <c r="AC177" s="199">
        <v>1135479</v>
      </c>
      <c r="AD177" s="150">
        <f t="shared" si="226"/>
        <v>1135479</v>
      </c>
      <c r="AE177" s="150">
        <v>1135479</v>
      </c>
      <c r="AF177" s="169" t="s">
        <v>4680</v>
      </c>
      <c r="AG177" s="201">
        <v>0</v>
      </c>
      <c r="AH177" s="199">
        <v>1135479</v>
      </c>
      <c r="AI177" s="150">
        <v>1135479</v>
      </c>
      <c r="AJ177" s="169">
        <f t="shared" si="203"/>
        <v>-0.12999999988824129</v>
      </c>
      <c r="AK177" s="201">
        <v>0</v>
      </c>
      <c r="AL177" s="199">
        <v>1135478.8700000001</v>
      </c>
      <c r="AM177" s="150">
        <f t="shared" si="227"/>
        <v>1135478.8700000001</v>
      </c>
      <c r="AN177" s="153">
        <f t="shared" si="204"/>
        <v>0</v>
      </c>
      <c r="AO177" s="154">
        <f t="shared" si="205"/>
        <v>0</v>
      </c>
      <c r="AP177" s="150">
        <v>1135478.8700000001</v>
      </c>
      <c r="AQ177" s="201">
        <v>1135478.8700000001</v>
      </c>
      <c r="AR177" s="199"/>
      <c r="AS177" s="150">
        <f t="shared" si="228"/>
        <v>1135478.8700000001</v>
      </c>
      <c r="AT177" s="155" t="s">
        <v>5026</v>
      </c>
      <c r="AU177" s="156">
        <f t="shared" si="199"/>
        <v>-0.12999999988824129</v>
      </c>
      <c r="AV177" s="156">
        <f t="shared" si="200"/>
        <v>694152</v>
      </c>
      <c r="AW177" s="157" t="s">
        <v>5253</v>
      </c>
      <c r="AX177" s="150">
        <v>441327</v>
      </c>
      <c r="AY177" s="150">
        <v>0</v>
      </c>
      <c r="AZ177" s="237">
        <f>O177/6*12</f>
        <v>1045545.85</v>
      </c>
      <c r="BA177" s="150">
        <f t="shared" si="206"/>
        <v>1045545.85</v>
      </c>
      <c r="BB177" s="202">
        <v>4</v>
      </c>
      <c r="BC177" s="202" t="s">
        <v>693</v>
      </c>
      <c r="BD177" s="202" t="s">
        <v>632</v>
      </c>
      <c r="BE177" s="202" t="s">
        <v>671</v>
      </c>
      <c r="BF177" s="194" t="s">
        <v>1124</v>
      </c>
      <c r="BG177" s="203" t="s">
        <v>5254</v>
      </c>
      <c r="BH177" s="216">
        <f t="shared" si="229"/>
        <v>1135478.8700000001</v>
      </c>
      <c r="BI177" s="202"/>
      <c r="BJ177" s="194" t="s">
        <v>5255</v>
      </c>
      <c r="BK177" s="194" t="s">
        <v>5250</v>
      </c>
      <c r="BL177" s="207" t="s">
        <v>5256</v>
      </c>
      <c r="BM177" s="208">
        <f t="shared" si="230"/>
        <v>1135478.8700000001</v>
      </c>
      <c r="BN177" s="160"/>
      <c r="BO177" s="161">
        <f t="shared" si="207"/>
        <v>0</v>
      </c>
      <c r="BP177" s="161"/>
    </row>
    <row r="178" spans="1:68" ht="51">
      <c r="A178" s="246" t="s">
        <v>5257</v>
      </c>
      <c r="B178" s="228" t="s">
        <v>5258</v>
      </c>
      <c r="C178" s="229" t="s">
        <v>5259</v>
      </c>
      <c r="D178" s="146" t="s">
        <v>4692</v>
      </c>
      <c r="E178" s="196" t="s">
        <v>5259</v>
      </c>
      <c r="F178" s="150">
        <v>0</v>
      </c>
      <c r="G178" s="209">
        <v>0</v>
      </c>
      <c r="H178" s="209"/>
      <c r="I178" s="209">
        <v>0</v>
      </c>
      <c r="J178" s="150">
        <v>0</v>
      </c>
      <c r="K178" s="150">
        <v>0</v>
      </c>
      <c r="L178" s="150">
        <f t="shared" si="208"/>
        <v>0</v>
      </c>
      <c r="M178" s="150">
        <v>0</v>
      </c>
      <c r="N178" s="150"/>
      <c r="O178" s="150">
        <v>0</v>
      </c>
      <c r="P178" s="150">
        <v>0</v>
      </c>
      <c r="Q178" s="150"/>
      <c r="R178" s="150">
        <f t="shared" si="224"/>
        <v>0</v>
      </c>
      <c r="S178" s="150">
        <f t="shared" si="201"/>
        <v>0</v>
      </c>
      <c r="T178" s="150"/>
      <c r="U178" s="150">
        <v>0</v>
      </c>
      <c r="V178" s="199"/>
      <c r="W178" s="150">
        <f t="shared" si="225"/>
        <v>0</v>
      </c>
      <c r="X178" s="150">
        <v>0</v>
      </c>
      <c r="Y178" s="150"/>
      <c r="Z178" s="150">
        <v>0</v>
      </c>
      <c r="AA178" s="150">
        <f t="shared" si="202"/>
        <v>0</v>
      </c>
      <c r="AB178" s="150">
        <v>0</v>
      </c>
      <c r="AC178" s="199"/>
      <c r="AD178" s="150">
        <f t="shared" si="226"/>
        <v>0</v>
      </c>
      <c r="AE178" s="150">
        <v>0</v>
      </c>
      <c r="AF178" s="169" t="s">
        <v>4680</v>
      </c>
      <c r="AG178" s="201">
        <v>0</v>
      </c>
      <c r="AH178" s="199"/>
      <c r="AI178" s="150">
        <v>0</v>
      </c>
      <c r="AJ178" s="169">
        <f t="shared" si="203"/>
        <v>0</v>
      </c>
      <c r="AK178" s="201">
        <v>0</v>
      </c>
      <c r="AL178" s="199"/>
      <c r="AM178" s="150">
        <f t="shared" si="227"/>
        <v>0</v>
      </c>
      <c r="AN178" s="153">
        <f t="shared" si="204"/>
        <v>0</v>
      </c>
      <c r="AO178" s="154">
        <f t="shared" si="205"/>
        <v>0</v>
      </c>
      <c r="AP178" s="150">
        <v>0</v>
      </c>
      <c r="AQ178" s="201">
        <v>0</v>
      </c>
      <c r="AR178" s="199"/>
      <c r="AS178" s="150">
        <f t="shared" si="228"/>
        <v>0</v>
      </c>
      <c r="AT178" s="155" t="s">
        <v>4796</v>
      </c>
      <c r="AU178" s="156">
        <f t="shared" si="199"/>
        <v>0</v>
      </c>
      <c r="AV178" s="156">
        <f t="shared" si="200"/>
        <v>0</v>
      </c>
      <c r="AW178" s="157" t="s">
        <v>4796</v>
      </c>
      <c r="AX178" s="150">
        <v>0</v>
      </c>
      <c r="AY178" s="150">
        <v>0</v>
      </c>
      <c r="AZ178" s="150"/>
      <c r="BA178" s="150">
        <f t="shared" si="206"/>
        <v>0</v>
      </c>
      <c r="BB178" s="202">
        <v>4</v>
      </c>
      <c r="BC178" s="202" t="s">
        <v>693</v>
      </c>
      <c r="BD178" s="202" t="s">
        <v>632</v>
      </c>
      <c r="BE178" s="202" t="s">
        <v>671</v>
      </c>
      <c r="BF178" s="194" t="s">
        <v>1871</v>
      </c>
      <c r="BG178" s="203" t="s">
        <v>5259</v>
      </c>
      <c r="BH178" s="216">
        <f t="shared" si="229"/>
        <v>0</v>
      </c>
      <c r="BI178" s="194" t="s">
        <v>1519</v>
      </c>
      <c r="BJ178" s="194" t="s">
        <v>5260</v>
      </c>
      <c r="BK178" s="194" t="s">
        <v>5257</v>
      </c>
      <c r="BL178" s="203" t="s">
        <v>5261</v>
      </c>
      <c r="BM178" s="208">
        <f t="shared" si="230"/>
        <v>0</v>
      </c>
      <c r="BN178" s="160"/>
      <c r="BO178" s="161">
        <f t="shared" si="207"/>
        <v>0</v>
      </c>
      <c r="BP178" s="161"/>
    </row>
    <row r="179" spans="1:68" ht="63.75">
      <c r="A179" s="194" t="s">
        <v>5262</v>
      </c>
      <c r="B179" s="195" t="s">
        <v>5263</v>
      </c>
      <c r="C179" s="196" t="s">
        <v>5264</v>
      </c>
      <c r="D179" s="146" t="s">
        <v>4692</v>
      </c>
      <c r="E179" s="196" t="s">
        <v>5264</v>
      </c>
      <c r="F179" s="150">
        <v>0</v>
      </c>
      <c r="G179" s="209">
        <v>0</v>
      </c>
      <c r="H179" s="209"/>
      <c r="I179" s="209">
        <v>0</v>
      </c>
      <c r="J179" s="150">
        <v>0</v>
      </c>
      <c r="K179" s="150">
        <v>0</v>
      </c>
      <c r="L179" s="150">
        <f t="shared" si="208"/>
        <v>0</v>
      </c>
      <c r="M179" s="150">
        <v>0</v>
      </c>
      <c r="N179" s="150"/>
      <c r="O179" s="150">
        <v>0</v>
      </c>
      <c r="P179" s="150">
        <v>0</v>
      </c>
      <c r="Q179" s="150"/>
      <c r="R179" s="150">
        <f t="shared" si="224"/>
        <v>0</v>
      </c>
      <c r="S179" s="150">
        <f t="shared" si="201"/>
        <v>0</v>
      </c>
      <c r="T179" s="150"/>
      <c r="U179" s="150">
        <v>0</v>
      </c>
      <c r="V179" s="199"/>
      <c r="W179" s="150">
        <f t="shared" si="225"/>
        <v>0</v>
      </c>
      <c r="X179" s="150">
        <v>0</v>
      </c>
      <c r="Y179" s="150"/>
      <c r="Z179" s="150">
        <v>0</v>
      </c>
      <c r="AA179" s="150">
        <f t="shared" si="202"/>
        <v>0</v>
      </c>
      <c r="AB179" s="150">
        <v>0</v>
      </c>
      <c r="AC179" s="199"/>
      <c r="AD179" s="150">
        <f t="shared" si="226"/>
        <v>0</v>
      </c>
      <c r="AE179" s="150">
        <v>0</v>
      </c>
      <c r="AF179" s="169" t="s">
        <v>4680</v>
      </c>
      <c r="AG179" s="201">
        <v>0</v>
      </c>
      <c r="AH179" s="199"/>
      <c r="AI179" s="150">
        <v>0</v>
      </c>
      <c r="AJ179" s="169">
        <f t="shared" si="203"/>
        <v>0</v>
      </c>
      <c r="AK179" s="201">
        <v>0</v>
      </c>
      <c r="AL179" s="199"/>
      <c r="AM179" s="150">
        <f t="shared" si="227"/>
        <v>0</v>
      </c>
      <c r="AN179" s="153">
        <f t="shared" si="204"/>
        <v>0</v>
      </c>
      <c r="AO179" s="154">
        <f t="shared" si="205"/>
        <v>0</v>
      </c>
      <c r="AP179" s="150">
        <v>0</v>
      </c>
      <c r="AQ179" s="201">
        <v>0</v>
      </c>
      <c r="AR179" s="199"/>
      <c r="AS179" s="150">
        <f t="shared" si="228"/>
        <v>0</v>
      </c>
      <c r="AT179" s="155"/>
      <c r="AU179" s="156">
        <f t="shared" si="199"/>
        <v>0</v>
      </c>
      <c r="AV179" s="156">
        <f t="shared" si="200"/>
        <v>0</v>
      </c>
      <c r="AW179" s="157"/>
      <c r="AX179" s="150">
        <v>0</v>
      </c>
      <c r="AY179" s="150">
        <v>0</v>
      </c>
      <c r="AZ179" s="150"/>
      <c r="BA179" s="150">
        <f t="shared" si="206"/>
        <v>0</v>
      </c>
      <c r="BB179" s="202">
        <v>4</v>
      </c>
      <c r="BC179" s="202" t="s">
        <v>693</v>
      </c>
      <c r="BD179" s="202" t="s">
        <v>632</v>
      </c>
      <c r="BE179" s="202" t="s">
        <v>671</v>
      </c>
      <c r="BF179" s="194" t="s">
        <v>1875</v>
      </c>
      <c r="BG179" s="203" t="s">
        <v>5265</v>
      </c>
      <c r="BH179" s="216">
        <f t="shared" si="229"/>
        <v>0</v>
      </c>
      <c r="BI179" s="194" t="s">
        <v>1340</v>
      </c>
      <c r="BJ179" s="194" t="s">
        <v>5266</v>
      </c>
      <c r="BK179" s="194" t="s">
        <v>5262</v>
      </c>
      <c r="BL179" s="203" t="s">
        <v>5267</v>
      </c>
      <c r="BM179" s="208">
        <f t="shared" si="230"/>
        <v>0</v>
      </c>
      <c r="BN179" s="160"/>
      <c r="BO179" s="161">
        <f t="shared" si="207"/>
        <v>0</v>
      </c>
      <c r="BP179" s="161"/>
    </row>
    <row r="180" spans="1:68" ht="89.25">
      <c r="A180" s="254" t="s">
        <v>5268</v>
      </c>
      <c r="B180" s="174"/>
      <c r="C180" s="175" t="s">
        <v>5269</v>
      </c>
      <c r="D180" s="146" t="s">
        <v>4692</v>
      </c>
      <c r="E180" s="175" t="s">
        <v>5269</v>
      </c>
      <c r="F180" s="176">
        <v>0</v>
      </c>
      <c r="G180" s="177">
        <v>0</v>
      </c>
      <c r="H180" s="177">
        <v>0</v>
      </c>
      <c r="I180" s="177">
        <v>0</v>
      </c>
      <c r="J180" s="176">
        <f>J181+J183+J185+J187+J189</f>
        <v>0</v>
      </c>
      <c r="K180" s="176">
        <f>K181+K183+K185+K187+K189</f>
        <v>0</v>
      </c>
      <c r="L180" s="178">
        <f t="shared" si="208"/>
        <v>0</v>
      </c>
      <c r="M180" s="178">
        <v>0</v>
      </c>
      <c r="N180" s="178">
        <v>0</v>
      </c>
      <c r="O180" s="178">
        <v>0</v>
      </c>
      <c r="P180" s="221">
        <f t="shared" ref="P180:R180" si="231">P181+P183+P185+P187+P189</f>
        <v>0</v>
      </c>
      <c r="Q180" s="221">
        <f t="shared" si="231"/>
        <v>0</v>
      </c>
      <c r="R180" s="221">
        <f t="shared" si="231"/>
        <v>0</v>
      </c>
      <c r="S180" s="150">
        <f t="shared" si="201"/>
        <v>0</v>
      </c>
      <c r="T180" s="213"/>
      <c r="U180" s="221">
        <f t="shared" ref="U180:W180" si="232">U181+U183+U185+U187+U189</f>
        <v>0</v>
      </c>
      <c r="V180" s="222">
        <f t="shared" si="232"/>
        <v>0</v>
      </c>
      <c r="W180" s="221">
        <f t="shared" si="232"/>
        <v>0</v>
      </c>
      <c r="X180" s="221">
        <v>0</v>
      </c>
      <c r="Y180" s="221">
        <v>0</v>
      </c>
      <c r="Z180" s="221">
        <v>0</v>
      </c>
      <c r="AA180" s="221">
        <f t="shared" si="202"/>
        <v>0</v>
      </c>
      <c r="AB180" s="221">
        <v>0</v>
      </c>
      <c r="AC180" s="222">
        <v>0</v>
      </c>
      <c r="AD180" s="221">
        <f t="shared" ref="AD180" si="233">AD181+AD183+AD185+AD187+AD189</f>
        <v>0</v>
      </c>
      <c r="AE180" s="221">
        <v>0</v>
      </c>
      <c r="AF180" s="169" t="s">
        <v>4680</v>
      </c>
      <c r="AG180" s="223">
        <v>0</v>
      </c>
      <c r="AH180" s="222">
        <v>0</v>
      </c>
      <c r="AI180" s="221">
        <v>0</v>
      </c>
      <c r="AJ180" s="169">
        <f t="shared" si="203"/>
        <v>0</v>
      </c>
      <c r="AK180" s="223">
        <v>0</v>
      </c>
      <c r="AL180" s="222">
        <v>0</v>
      </c>
      <c r="AM180" s="221">
        <f t="shared" ref="AM180" si="234">AM181+AM183+AM185+AM187+AM189</f>
        <v>0</v>
      </c>
      <c r="AN180" s="153">
        <f t="shared" si="204"/>
        <v>0</v>
      </c>
      <c r="AO180" s="154">
        <f t="shared" si="205"/>
        <v>0</v>
      </c>
      <c r="AP180" s="221">
        <v>0</v>
      </c>
      <c r="AQ180" s="223">
        <v>0</v>
      </c>
      <c r="AR180" s="222">
        <f t="shared" ref="AR180:AS180" si="235">AR181+AR183+AR185+AR187+AR189</f>
        <v>0</v>
      </c>
      <c r="AS180" s="221">
        <f t="shared" si="235"/>
        <v>0</v>
      </c>
      <c r="AT180" s="155"/>
      <c r="AU180" s="156">
        <f t="shared" si="199"/>
        <v>0</v>
      </c>
      <c r="AV180" s="156">
        <f t="shared" si="200"/>
        <v>0</v>
      </c>
      <c r="AW180" s="157"/>
      <c r="AX180" s="150">
        <v>0</v>
      </c>
      <c r="AY180" s="221">
        <f t="shared" ref="AY180:BA180" si="236">AY181+AY183+AY185+AY187+AY189</f>
        <v>0</v>
      </c>
      <c r="AZ180" s="221">
        <f t="shared" si="236"/>
        <v>0</v>
      </c>
      <c r="BA180" s="221">
        <f t="shared" si="236"/>
        <v>0</v>
      </c>
      <c r="BB180" s="254">
        <v>4</v>
      </c>
      <c r="BC180" s="255" t="s">
        <v>693</v>
      </c>
      <c r="BD180" s="255" t="s">
        <v>647</v>
      </c>
      <c r="BE180" s="173" t="s">
        <v>630</v>
      </c>
      <c r="BF180" s="255" t="s">
        <v>630</v>
      </c>
      <c r="BG180" s="175" t="s">
        <v>5269</v>
      </c>
      <c r="BH180" s="224">
        <f>BH181+BH183+BH185+BH187+BH189</f>
        <v>0</v>
      </c>
      <c r="BI180" s="255" t="s">
        <v>1349</v>
      </c>
      <c r="BJ180" s="255" t="s">
        <v>5270</v>
      </c>
      <c r="BK180" s="254" t="s">
        <v>5268</v>
      </c>
      <c r="BL180" s="175" t="s">
        <v>5271</v>
      </c>
      <c r="BM180" s="224">
        <f>BM181+BM183+BM185+BM187+BM189</f>
        <v>0</v>
      </c>
      <c r="BN180" s="160"/>
      <c r="BO180" s="161">
        <f t="shared" si="207"/>
        <v>0</v>
      </c>
      <c r="BP180" s="161"/>
    </row>
    <row r="181" spans="1:68" ht="51">
      <c r="A181" s="256" t="s">
        <v>5272</v>
      </c>
      <c r="B181" s="184"/>
      <c r="C181" s="185" t="s">
        <v>5273</v>
      </c>
      <c r="D181" s="146" t="s">
        <v>4692</v>
      </c>
      <c r="E181" s="185" t="s">
        <v>5273</v>
      </c>
      <c r="F181" s="186">
        <v>0</v>
      </c>
      <c r="G181" s="187">
        <v>0</v>
      </c>
      <c r="H181" s="187">
        <v>0</v>
      </c>
      <c r="I181" s="187">
        <v>0</v>
      </c>
      <c r="J181" s="186">
        <f>J182</f>
        <v>0</v>
      </c>
      <c r="K181" s="186">
        <f>K182</f>
        <v>0</v>
      </c>
      <c r="L181" s="188">
        <f t="shared" si="208"/>
        <v>0</v>
      </c>
      <c r="M181" s="188">
        <v>0</v>
      </c>
      <c r="N181" s="188">
        <v>0</v>
      </c>
      <c r="O181" s="188">
        <v>0</v>
      </c>
      <c r="P181" s="225">
        <f t="shared" ref="P181:AS181" si="237">P182</f>
        <v>0</v>
      </c>
      <c r="Q181" s="225">
        <f t="shared" si="237"/>
        <v>0</v>
      </c>
      <c r="R181" s="225">
        <f t="shared" si="237"/>
        <v>0</v>
      </c>
      <c r="S181" s="150">
        <f t="shared" si="201"/>
        <v>0</v>
      </c>
      <c r="T181" s="213"/>
      <c r="U181" s="225">
        <f t="shared" ref="U181:W181" si="238">U182</f>
        <v>0</v>
      </c>
      <c r="V181" s="226">
        <f t="shared" si="238"/>
        <v>0</v>
      </c>
      <c r="W181" s="225">
        <f t="shared" si="238"/>
        <v>0</v>
      </c>
      <c r="X181" s="225">
        <v>0</v>
      </c>
      <c r="Y181" s="225">
        <v>0</v>
      </c>
      <c r="Z181" s="225">
        <v>0</v>
      </c>
      <c r="AA181" s="225">
        <f t="shared" si="202"/>
        <v>0</v>
      </c>
      <c r="AB181" s="225">
        <v>0</v>
      </c>
      <c r="AC181" s="226">
        <v>0</v>
      </c>
      <c r="AD181" s="225">
        <f t="shared" si="237"/>
        <v>0</v>
      </c>
      <c r="AE181" s="225">
        <v>0</v>
      </c>
      <c r="AF181" s="169" t="s">
        <v>4680</v>
      </c>
      <c r="AG181" s="212">
        <v>0</v>
      </c>
      <c r="AH181" s="226">
        <v>0</v>
      </c>
      <c r="AI181" s="225">
        <v>0</v>
      </c>
      <c r="AJ181" s="169">
        <f t="shared" si="203"/>
        <v>0</v>
      </c>
      <c r="AK181" s="212">
        <v>0</v>
      </c>
      <c r="AL181" s="226">
        <v>0</v>
      </c>
      <c r="AM181" s="225">
        <f t="shared" si="237"/>
        <v>0</v>
      </c>
      <c r="AN181" s="153">
        <f t="shared" si="204"/>
        <v>0</v>
      </c>
      <c r="AO181" s="154">
        <f t="shared" si="205"/>
        <v>0</v>
      </c>
      <c r="AP181" s="225">
        <v>0</v>
      </c>
      <c r="AQ181" s="212">
        <v>0</v>
      </c>
      <c r="AR181" s="226">
        <f t="shared" si="237"/>
        <v>0</v>
      </c>
      <c r="AS181" s="225">
        <f t="shared" si="237"/>
        <v>0</v>
      </c>
      <c r="AT181" s="155"/>
      <c r="AU181" s="156">
        <f t="shared" si="199"/>
        <v>0</v>
      </c>
      <c r="AV181" s="156">
        <f t="shared" si="200"/>
        <v>0</v>
      </c>
      <c r="AW181" s="157"/>
      <c r="AX181" s="150">
        <v>0</v>
      </c>
      <c r="AY181" s="225">
        <f t="shared" ref="AY181:BA181" si="239">AY182</f>
        <v>0</v>
      </c>
      <c r="AZ181" s="225">
        <f t="shared" si="239"/>
        <v>0</v>
      </c>
      <c r="BA181" s="225">
        <f t="shared" si="239"/>
        <v>0</v>
      </c>
      <c r="BB181" s="192">
        <v>4</v>
      </c>
      <c r="BC181" s="256" t="s">
        <v>693</v>
      </c>
      <c r="BD181" s="256" t="s">
        <v>647</v>
      </c>
      <c r="BE181" s="256" t="s">
        <v>632</v>
      </c>
      <c r="BF181" s="256" t="s">
        <v>630</v>
      </c>
      <c r="BG181" s="185" t="s">
        <v>5273</v>
      </c>
      <c r="BH181" s="215">
        <f>BH182</f>
        <v>0</v>
      </c>
      <c r="BI181" s="256" t="s">
        <v>1349</v>
      </c>
      <c r="BJ181" s="256" t="s">
        <v>5274</v>
      </c>
      <c r="BK181" s="256" t="s">
        <v>5272</v>
      </c>
      <c r="BL181" s="238" t="s">
        <v>5275</v>
      </c>
      <c r="BM181" s="215">
        <f>BM182</f>
        <v>0</v>
      </c>
      <c r="BN181" s="160"/>
      <c r="BO181" s="161">
        <f t="shared" si="207"/>
        <v>0</v>
      </c>
      <c r="BP181" s="161"/>
    </row>
    <row r="182" spans="1:68" ht="38.25">
      <c r="A182" s="206" t="s">
        <v>5272</v>
      </c>
      <c r="B182" s="195" t="s">
        <v>5276</v>
      </c>
      <c r="C182" s="196" t="s">
        <v>5277</v>
      </c>
      <c r="D182" s="146" t="s">
        <v>4692</v>
      </c>
      <c r="E182" s="196" t="s">
        <v>5277</v>
      </c>
      <c r="F182" s="150">
        <v>0</v>
      </c>
      <c r="G182" s="209">
        <v>0</v>
      </c>
      <c r="H182" s="209"/>
      <c r="I182" s="209">
        <v>0</v>
      </c>
      <c r="J182" s="150">
        <v>0</v>
      </c>
      <c r="K182" s="150">
        <v>0</v>
      </c>
      <c r="L182" s="150">
        <f t="shared" si="208"/>
        <v>0</v>
      </c>
      <c r="M182" s="150">
        <v>0</v>
      </c>
      <c r="N182" s="150"/>
      <c r="O182" s="150">
        <v>0</v>
      </c>
      <c r="P182" s="150">
        <v>0</v>
      </c>
      <c r="Q182" s="150"/>
      <c r="R182" s="150">
        <f>P182+Q182</f>
        <v>0</v>
      </c>
      <c r="S182" s="150">
        <f t="shared" si="201"/>
        <v>0</v>
      </c>
      <c r="T182" s="150"/>
      <c r="U182" s="150">
        <v>0</v>
      </c>
      <c r="V182" s="199"/>
      <c r="W182" s="150">
        <f>U182+V182</f>
        <v>0</v>
      </c>
      <c r="X182" s="150">
        <v>0</v>
      </c>
      <c r="Y182" s="150"/>
      <c r="Z182" s="150">
        <v>0</v>
      </c>
      <c r="AA182" s="150">
        <f t="shared" si="202"/>
        <v>0</v>
      </c>
      <c r="AB182" s="150">
        <v>0</v>
      </c>
      <c r="AC182" s="199"/>
      <c r="AD182" s="150">
        <f>AB182+AC182</f>
        <v>0</v>
      </c>
      <c r="AE182" s="150">
        <v>0</v>
      </c>
      <c r="AF182" s="169" t="s">
        <v>4680</v>
      </c>
      <c r="AG182" s="201">
        <v>0</v>
      </c>
      <c r="AH182" s="199"/>
      <c r="AI182" s="150">
        <v>0</v>
      </c>
      <c r="AJ182" s="169">
        <f t="shared" si="203"/>
        <v>0</v>
      </c>
      <c r="AK182" s="201">
        <v>0</v>
      </c>
      <c r="AL182" s="199"/>
      <c r="AM182" s="150">
        <f>AK182+AL182</f>
        <v>0</v>
      </c>
      <c r="AN182" s="153">
        <f t="shared" si="204"/>
        <v>0</v>
      </c>
      <c r="AO182" s="154">
        <f t="shared" si="205"/>
        <v>0</v>
      </c>
      <c r="AP182" s="150">
        <v>0</v>
      </c>
      <c r="AQ182" s="201">
        <v>0</v>
      </c>
      <c r="AR182" s="199"/>
      <c r="AS182" s="150">
        <f>AQ182+AR182</f>
        <v>0</v>
      </c>
      <c r="AT182" s="155"/>
      <c r="AU182" s="156">
        <f t="shared" si="199"/>
        <v>0</v>
      </c>
      <c r="AV182" s="156">
        <f t="shared" si="200"/>
        <v>0</v>
      </c>
      <c r="AW182" s="157"/>
      <c r="AX182" s="150">
        <v>0</v>
      </c>
      <c r="AY182" s="150">
        <v>0</v>
      </c>
      <c r="AZ182" s="150"/>
      <c r="BA182" s="150">
        <f t="shared" si="206"/>
        <v>0</v>
      </c>
      <c r="BB182" s="202">
        <v>4</v>
      </c>
      <c r="BC182" s="202" t="s">
        <v>693</v>
      </c>
      <c r="BD182" s="202" t="s">
        <v>647</v>
      </c>
      <c r="BE182" s="202" t="s">
        <v>632</v>
      </c>
      <c r="BF182" s="202" t="s">
        <v>632</v>
      </c>
      <c r="BG182" s="203" t="s">
        <v>5273</v>
      </c>
      <c r="BH182" s="216">
        <f>AS182</f>
        <v>0</v>
      </c>
      <c r="BI182" s="206" t="s">
        <v>1349</v>
      </c>
      <c r="BJ182" s="206" t="s">
        <v>5274</v>
      </c>
      <c r="BK182" s="206" t="s">
        <v>5272</v>
      </c>
      <c r="BL182" s="207" t="s">
        <v>5278</v>
      </c>
      <c r="BM182" s="208">
        <f>BH182</f>
        <v>0</v>
      </c>
      <c r="BN182" s="160"/>
      <c r="BO182" s="161">
        <f t="shared" si="207"/>
        <v>0</v>
      </c>
      <c r="BP182" s="161"/>
    </row>
    <row r="183" spans="1:68" ht="63.75">
      <c r="A183" s="256" t="s">
        <v>5279</v>
      </c>
      <c r="B183" s="184"/>
      <c r="C183" s="185" t="s">
        <v>5280</v>
      </c>
      <c r="D183" s="146" t="s">
        <v>4692</v>
      </c>
      <c r="E183" s="185" t="s">
        <v>5280</v>
      </c>
      <c r="F183" s="186">
        <v>0</v>
      </c>
      <c r="G183" s="187">
        <v>0</v>
      </c>
      <c r="H183" s="187">
        <v>0</v>
      </c>
      <c r="I183" s="187">
        <v>0</v>
      </c>
      <c r="J183" s="186">
        <f>J184</f>
        <v>0</v>
      </c>
      <c r="K183" s="186">
        <f>K184</f>
        <v>0</v>
      </c>
      <c r="L183" s="188">
        <f t="shared" si="208"/>
        <v>0</v>
      </c>
      <c r="M183" s="188">
        <v>0</v>
      </c>
      <c r="N183" s="188">
        <v>0</v>
      </c>
      <c r="O183" s="188">
        <v>0</v>
      </c>
      <c r="P183" s="225">
        <f t="shared" ref="P183:AS183" si="240">P184</f>
        <v>0</v>
      </c>
      <c r="Q183" s="225">
        <f t="shared" si="240"/>
        <v>0</v>
      </c>
      <c r="R183" s="225">
        <f t="shared" si="240"/>
        <v>0</v>
      </c>
      <c r="S183" s="150">
        <f t="shared" si="201"/>
        <v>0</v>
      </c>
      <c r="T183" s="213"/>
      <c r="U183" s="225">
        <f t="shared" ref="U183:W183" si="241">U184</f>
        <v>0</v>
      </c>
      <c r="V183" s="226">
        <f t="shared" si="241"/>
        <v>0</v>
      </c>
      <c r="W183" s="225">
        <f t="shared" si="241"/>
        <v>0</v>
      </c>
      <c r="X183" s="225">
        <v>0</v>
      </c>
      <c r="Y183" s="225">
        <v>0</v>
      </c>
      <c r="Z183" s="225">
        <v>0</v>
      </c>
      <c r="AA183" s="225">
        <f t="shared" si="202"/>
        <v>0</v>
      </c>
      <c r="AB183" s="225">
        <v>0</v>
      </c>
      <c r="AC183" s="226">
        <v>0</v>
      </c>
      <c r="AD183" s="225">
        <f t="shared" si="240"/>
        <v>0</v>
      </c>
      <c r="AE183" s="225">
        <v>0</v>
      </c>
      <c r="AF183" s="169" t="s">
        <v>4680</v>
      </c>
      <c r="AG183" s="212">
        <v>0</v>
      </c>
      <c r="AH183" s="226">
        <v>0</v>
      </c>
      <c r="AI183" s="225">
        <v>0</v>
      </c>
      <c r="AJ183" s="169">
        <f t="shared" si="203"/>
        <v>0</v>
      </c>
      <c r="AK183" s="212">
        <v>0</v>
      </c>
      <c r="AL183" s="226">
        <v>0</v>
      </c>
      <c r="AM183" s="225">
        <f t="shared" si="240"/>
        <v>0</v>
      </c>
      <c r="AN183" s="153">
        <f t="shared" si="204"/>
        <v>0</v>
      </c>
      <c r="AO183" s="154">
        <f t="shared" si="205"/>
        <v>0</v>
      </c>
      <c r="AP183" s="225">
        <v>0</v>
      </c>
      <c r="AQ183" s="212">
        <v>0</v>
      </c>
      <c r="AR183" s="226">
        <f t="shared" si="240"/>
        <v>0</v>
      </c>
      <c r="AS183" s="225">
        <f t="shared" si="240"/>
        <v>0</v>
      </c>
      <c r="AT183" s="155"/>
      <c r="AU183" s="156">
        <f t="shared" si="199"/>
        <v>0</v>
      </c>
      <c r="AV183" s="156">
        <f t="shared" si="200"/>
        <v>0</v>
      </c>
      <c r="AW183" s="157"/>
      <c r="AX183" s="150">
        <v>0</v>
      </c>
      <c r="AY183" s="225">
        <f t="shared" ref="AY183:BA183" si="242">AY184</f>
        <v>0</v>
      </c>
      <c r="AZ183" s="225">
        <f t="shared" si="242"/>
        <v>0</v>
      </c>
      <c r="BA183" s="225">
        <f t="shared" si="242"/>
        <v>0</v>
      </c>
      <c r="BB183" s="192">
        <v>4</v>
      </c>
      <c r="BC183" s="256" t="s">
        <v>693</v>
      </c>
      <c r="BD183" s="256" t="s">
        <v>647</v>
      </c>
      <c r="BE183" s="256" t="s">
        <v>647</v>
      </c>
      <c r="BF183" s="256" t="s">
        <v>630</v>
      </c>
      <c r="BG183" s="185" t="s">
        <v>5280</v>
      </c>
      <c r="BH183" s="215">
        <f>BH184</f>
        <v>0</v>
      </c>
      <c r="BI183" s="256" t="s">
        <v>1349</v>
      </c>
      <c r="BJ183" s="256" t="s">
        <v>5281</v>
      </c>
      <c r="BK183" s="256" t="s">
        <v>5279</v>
      </c>
      <c r="BL183" s="238" t="s">
        <v>5282</v>
      </c>
      <c r="BM183" s="215">
        <f>BM184</f>
        <v>0</v>
      </c>
      <c r="BN183" s="160"/>
      <c r="BO183" s="161">
        <f t="shared" si="207"/>
        <v>0</v>
      </c>
      <c r="BP183" s="161"/>
    </row>
    <row r="184" spans="1:68" ht="38.25">
      <c r="A184" s="206" t="s">
        <v>5279</v>
      </c>
      <c r="B184" s="195" t="s">
        <v>5283</v>
      </c>
      <c r="C184" s="196" t="s">
        <v>5284</v>
      </c>
      <c r="D184" s="146" t="s">
        <v>4692</v>
      </c>
      <c r="E184" s="196" t="s">
        <v>5284</v>
      </c>
      <c r="F184" s="150">
        <v>0</v>
      </c>
      <c r="G184" s="209">
        <v>0</v>
      </c>
      <c r="H184" s="209"/>
      <c r="I184" s="209">
        <v>0</v>
      </c>
      <c r="J184" s="150">
        <v>0</v>
      </c>
      <c r="K184" s="150">
        <v>0</v>
      </c>
      <c r="L184" s="150">
        <f t="shared" si="208"/>
        <v>0</v>
      </c>
      <c r="M184" s="150">
        <v>0</v>
      </c>
      <c r="N184" s="150"/>
      <c r="O184" s="150">
        <v>0</v>
      </c>
      <c r="P184" s="150">
        <v>0</v>
      </c>
      <c r="Q184" s="150"/>
      <c r="R184" s="150">
        <f>P184+Q184</f>
        <v>0</v>
      </c>
      <c r="S184" s="150">
        <f t="shared" si="201"/>
        <v>0</v>
      </c>
      <c r="T184" s="150"/>
      <c r="U184" s="150">
        <v>0</v>
      </c>
      <c r="V184" s="199"/>
      <c r="W184" s="150">
        <f>U184+V184</f>
        <v>0</v>
      </c>
      <c r="X184" s="150">
        <v>0</v>
      </c>
      <c r="Y184" s="150"/>
      <c r="Z184" s="150">
        <v>0</v>
      </c>
      <c r="AA184" s="150">
        <f t="shared" si="202"/>
        <v>0</v>
      </c>
      <c r="AB184" s="150">
        <v>0</v>
      </c>
      <c r="AC184" s="199"/>
      <c r="AD184" s="150">
        <f>AB184+AC184</f>
        <v>0</v>
      </c>
      <c r="AE184" s="150">
        <v>0</v>
      </c>
      <c r="AF184" s="169" t="s">
        <v>4680</v>
      </c>
      <c r="AG184" s="201">
        <v>0</v>
      </c>
      <c r="AH184" s="199"/>
      <c r="AI184" s="150">
        <v>0</v>
      </c>
      <c r="AJ184" s="169">
        <f t="shared" si="203"/>
        <v>0</v>
      </c>
      <c r="AK184" s="201">
        <v>0</v>
      </c>
      <c r="AL184" s="199"/>
      <c r="AM184" s="150">
        <f>AK184+AL184</f>
        <v>0</v>
      </c>
      <c r="AN184" s="153">
        <f t="shared" si="204"/>
        <v>0</v>
      </c>
      <c r="AO184" s="154">
        <f t="shared" si="205"/>
        <v>0</v>
      </c>
      <c r="AP184" s="150">
        <v>0</v>
      </c>
      <c r="AQ184" s="201">
        <v>0</v>
      </c>
      <c r="AR184" s="199"/>
      <c r="AS184" s="150">
        <f>AQ184+AR184</f>
        <v>0</v>
      </c>
      <c r="AT184" s="155"/>
      <c r="AU184" s="156">
        <f t="shared" si="199"/>
        <v>0</v>
      </c>
      <c r="AV184" s="156">
        <f t="shared" si="200"/>
        <v>0</v>
      </c>
      <c r="AW184" s="157"/>
      <c r="AX184" s="150">
        <v>0</v>
      </c>
      <c r="AY184" s="150">
        <v>0</v>
      </c>
      <c r="AZ184" s="150"/>
      <c r="BA184" s="150">
        <f t="shared" si="206"/>
        <v>0</v>
      </c>
      <c r="BB184" s="202">
        <v>4</v>
      </c>
      <c r="BC184" s="202" t="s">
        <v>693</v>
      </c>
      <c r="BD184" s="202" t="s">
        <v>647</v>
      </c>
      <c r="BE184" s="202" t="s">
        <v>647</v>
      </c>
      <c r="BF184" s="202" t="s">
        <v>632</v>
      </c>
      <c r="BG184" s="203" t="s">
        <v>5280</v>
      </c>
      <c r="BH184" s="216">
        <f>BA184</f>
        <v>0</v>
      </c>
      <c r="BI184" s="206" t="s">
        <v>1349</v>
      </c>
      <c r="BJ184" s="206" t="s">
        <v>5281</v>
      </c>
      <c r="BK184" s="206" t="s">
        <v>5279</v>
      </c>
      <c r="BL184" s="207" t="s">
        <v>5285</v>
      </c>
      <c r="BM184" s="208">
        <f>BH184</f>
        <v>0</v>
      </c>
      <c r="BN184" s="160"/>
      <c r="BO184" s="161">
        <f t="shared" si="207"/>
        <v>0</v>
      </c>
      <c r="BP184" s="161"/>
    </row>
    <row r="185" spans="1:68" ht="76.5">
      <c r="A185" s="256" t="s">
        <v>5286</v>
      </c>
      <c r="B185" s="184"/>
      <c r="C185" s="185" t="s">
        <v>5287</v>
      </c>
      <c r="D185" s="146" t="s">
        <v>4692</v>
      </c>
      <c r="E185" s="185" t="s">
        <v>5287</v>
      </c>
      <c r="F185" s="186">
        <v>0</v>
      </c>
      <c r="G185" s="187">
        <v>0</v>
      </c>
      <c r="H185" s="187">
        <v>0</v>
      </c>
      <c r="I185" s="187">
        <v>0</v>
      </c>
      <c r="J185" s="186">
        <f>J186</f>
        <v>0</v>
      </c>
      <c r="K185" s="186">
        <f>K186</f>
        <v>0</v>
      </c>
      <c r="L185" s="188">
        <f t="shared" si="208"/>
        <v>0</v>
      </c>
      <c r="M185" s="188">
        <v>0</v>
      </c>
      <c r="N185" s="188">
        <v>0</v>
      </c>
      <c r="O185" s="188">
        <v>0</v>
      </c>
      <c r="P185" s="225">
        <f t="shared" ref="P185:AS185" si="243">P186</f>
        <v>0</v>
      </c>
      <c r="Q185" s="225">
        <f t="shared" si="243"/>
        <v>0</v>
      </c>
      <c r="R185" s="225">
        <f t="shared" si="243"/>
        <v>0</v>
      </c>
      <c r="S185" s="150">
        <f t="shared" si="201"/>
        <v>0</v>
      </c>
      <c r="T185" s="213"/>
      <c r="U185" s="225">
        <f t="shared" ref="U185:W185" si="244">U186</f>
        <v>0</v>
      </c>
      <c r="V185" s="226">
        <f t="shared" si="244"/>
        <v>0</v>
      </c>
      <c r="W185" s="225">
        <f t="shared" si="244"/>
        <v>0</v>
      </c>
      <c r="X185" s="225">
        <v>0</v>
      </c>
      <c r="Y185" s="225">
        <v>0</v>
      </c>
      <c r="Z185" s="225">
        <v>0</v>
      </c>
      <c r="AA185" s="225">
        <f t="shared" si="202"/>
        <v>0</v>
      </c>
      <c r="AB185" s="225">
        <v>0</v>
      </c>
      <c r="AC185" s="226">
        <v>0</v>
      </c>
      <c r="AD185" s="225">
        <f t="shared" si="243"/>
        <v>0</v>
      </c>
      <c r="AE185" s="225">
        <v>0</v>
      </c>
      <c r="AF185" s="169" t="s">
        <v>4680</v>
      </c>
      <c r="AG185" s="212">
        <v>0</v>
      </c>
      <c r="AH185" s="226">
        <v>0</v>
      </c>
      <c r="AI185" s="225">
        <v>0</v>
      </c>
      <c r="AJ185" s="169">
        <f t="shared" si="203"/>
        <v>0</v>
      </c>
      <c r="AK185" s="212">
        <v>0</v>
      </c>
      <c r="AL185" s="226">
        <v>0</v>
      </c>
      <c r="AM185" s="225">
        <f t="shared" si="243"/>
        <v>0</v>
      </c>
      <c r="AN185" s="153">
        <f t="shared" si="204"/>
        <v>0</v>
      </c>
      <c r="AO185" s="154">
        <f t="shared" si="205"/>
        <v>0</v>
      </c>
      <c r="AP185" s="225">
        <v>0</v>
      </c>
      <c r="AQ185" s="212">
        <v>0</v>
      </c>
      <c r="AR185" s="226">
        <f t="shared" si="243"/>
        <v>0</v>
      </c>
      <c r="AS185" s="225">
        <f t="shared" si="243"/>
        <v>0</v>
      </c>
      <c r="AT185" s="155"/>
      <c r="AU185" s="156">
        <f t="shared" si="199"/>
        <v>0</v>
      </c>
      <c r="AV185" s="156">
        <f t="shared" si="200"/>
        <v>0</v>
      </c>
      <c r="AW185" s="157"/>
      <c r="AX185" s="150">
        <v>0</v>
      </c>
      <c r="AY185" s="225">
        <f t="shared" ref="AY185:BA185" si="245">AY186</f>
        <v>0</v>
      </c>
      <c r="AZ185" s="225">
        <f t="shared" si="245"/>
        <v>0</v>
      </c>
      <c r="BA185" s="225">
        <f t="shared" si="245"/>
        <v>0</v>
      </c>
      <c r="BB185" s="192">
        <v>4</v>
      </c>
      <c r="BC185" s="256" t="s">
        <v>693</v>
      </c>
      <c r="BD185" s="256" t="s">
        <v>647</v>
      </c>
      <c r="BE185" s="256" t="s">
        <v>714</v>
      </c>
      <c r="BF185" s="256" t="s">
        <v>630</v>
      </c>
      <c r="BG185" s="185" t="s">
        <v>5287</v>
      </c>
      <c r="BH185" s="215">
        <f>BH186</f>
        <v>0</v>
      </c>
      <c r="BI185" s="256" t="s">
        <v>1349</v>
      </c>
      <c r="BJ185" s="256" t="s">
        <v>5288</v>
      </c>
      <c r="BK185" s="256" t="s">
        <v>5286</v>
      </c>
      <c r="BL185" s="238" t="s">
        <v>5289</v>
      </c>
      <c r="BM185" s="215">
        <f>BM186</f>
        <v>0</v>
      </c>
      <c r="BN185" s="160"/>
      <c r="BO185" s="161">
        <f t="shared" si="207"/>
        <v>0</v>
      </c>
      <c r="BP185" s="161"/>
    </row>
    <row r="186" spans="1:68" ht="51">
      <c r="A186" s="206" t="s">
        <v>5286</v>
      </c>
      <c r="B186" s="195" t="s">
        <v>5290</v>
      </c>
      <c r="C186" s="196" t="s">
        <v>5291</v>
      </c>
      <c r="D186" s="146" t="s">
        <v>4692</v>
      </c>
      <c r="E186" s="196" t="s">
        <v>5291</v>
      </c>
      <c r="F186" s="150">
        <v>0</v>
      </c>
      <c r="G186" s="209">
        <v>0</v>
      </c>
      <c r="H186" s="209"/>
      <c r="I186" s="209">
        <v>0</v>
      </c>
      <c r="J186" s="150">
        <v>0</v>
      </c>
      <c r="K186" s="150">
        <v>0</v>
      </c>
      <c r="L186" s="150">
        <f t="shared" si="208"/>
        <v>0</v>
      </c>
      <c r="M186" s="150">
        <v>0</v>
      </c>
      <c r="N186" s="150"/>
      <c r="O186" s="150">
        <v>0</v>
      </c>
      <c r="P186" s="150">
        <v>0</v>
      </c>
      <c r="Q186" s="150"/>
      <c r="R186" s="150">
        <f>P186+Q186</f>
        <v>0</v>
      </c>
      <c r="S186" s="150">
        <f t="shared" si="201"/>
        <v>0</v>
      </c>
      <c r="T186" s="150"/>
      <c r="U186" s="150">
        <v>0</v>
      </c>
      <c r="V186" s="199"/>
      <c r="W186" s="150">
        <f>U186+V186</f>
        <v>0</v>
      </c>
      <c r="X186" s="150">
        <v>0</v>
      </c>
      <c r="Y186" s="150"/>
      <c r="Z186" s="150">
        <v>0</v>
      </c>
      <c r="AA186" s="150">
        <f t="shared" si="202"/>
        <v>0</v>
      </c>
      <c r="AB186" s="150">
        <v>0</v>
      </c>
      <c r="AC186" s="199"/>
      <c r="AD186" s="150">
        <f>AB186+AC186</f>
        <v>0</v>
      </c>
      <c r="AE186" s="150">
        <v>0</v>
      </c>
      <c r="AF186" s="169" t="s">
        <v>4680</v>
      </c>
      <c r="AG186" s="201">
        <v>0</v>
      </c>
      <c r="AH186" s="199"/>
      <c r="AI186" s="150">
        <v>0</v>
      </c>
      <c r="AJ186" s="169">
        <f t="shared" si="203"/>
        <v>0</v>
      </c>
      <c r="AK186" s="201">
        <v>0</v>
      </c>
      <c r="AL186" s="199"/>
      <c r="AM186" s="150">
        <f>AK186+AL186</f>
        <v>0</v>
      </c>
      <c r="AN186" s="153">
        <f t="shared" si="204"/>
        <v>0</v>
      </c>
      <c r="AO186" s="154">
        <f t="shared" si="205"/>
        <v>0</v>
      </c>
      <c r="AP186" s="150">
        <v>0</v>
      </c>
      <c r="AQ186" s="201">
        <v>0</v>
      </c>
      <c r="AR186" s="199"/>
      <c r="AS186" s="150">
        <f>AQ186+AR186</f>
        <v>0</v>
      </c>
      <c r="AT186" s="155"/>
      <c r="AU186" s="156">
        <f t="shared" si="199"/>
        <v>0</v>
      </c>
      <c r="AV186" s="156">
        <f t="shared" si="200"/>
        <v>0</v>
      </c>
      <c r="AW186" s="157"/>
      <c r="AX186" s="150">
        <v>0</v>
      </c>
      <c r="AY186" s="150">
        <v>0</v>
      </c>
      <c r="AZ186" s="150"/>
      <c r="BA186" s="150">
        <f t="shared" si="206"/>
        <v>0</v>
      </c>
      <c r="BB186" s="202">
        <v>4</v>
      </c>
      <c r="BC186" s="202" t="s">
        <v>693</v>
      </c>
      <c r="BD186" s="202" t="s">
        <v>647</v>
      </c>
      <c r="BE186" s="194" t="s">
        <v>714</v>
      </c>
      <c r="BF186" s="202" t="s">
        <v>632</v>
      </c>
      <c r="BG186" s="203" t="s">
        <v>5287</v>
      </c>
      <c r="BH186" s="216">
        <f>AS186</f>
        <v>0</v>
      </c>
      <c r="BI186" s="206" t="s">
        <v>1349</v>
      </c>
      <c r="BJ186" s="206" t="s">
        <v>5288</v>
      </c>
      <c r="BK186" s="206" t="s">
        <v>5286</v>
      </c>
      <c r="BL186" s="207" t="s">
        <v>5289</v>
      </c>
      <c r="BM186" s="208">
        <f>BH186</f>
        <v>0</v>
      </c>
      <c r="BN186" s="160"/>
      <c r="BO186" s="161">
        <f t="shared" si="207"/>
        <v>0</v>
      </c>
      <c r="BP186" s="161"/>
    </row>
    <row r="187" spans="1:68" ht="51">
      <c r="A187" s="256" t="s">
        <v>5292</v>
      </c>
      <c r="B187" s="184"/>
      <c r="C187" s="185" t="s">
        <v>5293</v>
      </c>
      <c r="D187" s="146" t="s">
        <v>4692</v>
      </c>
      <c r="E187" s="185" t="s">
        <v>5293</v>
      </c>
      <c r="F187" s="186">
        <v>0</v>
      </c>
      <c r="G187" s="187">
        <v>0</v>
      </c>
      <c r="H187" s="187">
        <v>0</v>
      </c>
      <c r="I187" s="187">
        <v>0</v>
      </c>
      <c r="J187" s="186">
        <f>J188</f>
        <v>0</v>
      </c>
      <c r="K187" s="186">
        <f>K188</f>
        <v>0</v>
      </c>
      <c r="L187" s="188">
        <f t="shared" si="208"/>
        <v>0</v>
      </c>
      <c r="M187" s="188">
        <v>0</v>
      </c>
      <c r="N187" s="188">
        <v>0</v>
      </c>
      <c r="O187" s="188">
        <v>0</v>
      </c>
      <c r="P187" s="225">
        <f t="shared" ref="P187:AS187" si="246">P188</f>
        <v>0</v>
      </c>
      <c r="Q187" s="225">
        <f t="shared" si="246"/>
        <v>0</v>
      </c>
      <c r="R187" s="225">
        <f t="shared" si="246"/>
        <v>0</v>
      </c>
      <c r="S187" s="150">
        <f t="shared" si="201"/>
        <v>0</v>
      </c>
      <c r="T187" s="213"/>
      <c r="U187" s="225">
        <f t="shared" ref="U187:W187" si="247">U188</f>
        <v>0</v>
      </c>
      <c r="V187" s="226">
        <f t="shared" si="247"/>
        <v>0</v>
      </c>
      <c r="W187" s="225">
        <f t="shared" si="247"/>
        <v>0</v>
      </c>
      <c r="X187" s="225">
        <v>0</v>
      </c>
      <c r="Y187" s="225">
        <v>0</v>
      </c>
      <c r="Z187" s="225">
        <v>0</v>
      </c>
      <c r="AA187" s="225">
        <f t="shared" si="202"/>
        <v>0</v>
      </c>
      <c r="AB187" s="225">
        <v>0</v>
      </c>
      <c r="AC187" s="226">
        <v>0</v>
      </c>
      <c r="AD187" s="225">
        <f t="shared" si="246"/>
        <v>0</v>
      </c>
      <c r="AE187" s="225">
        <v>0</v>
      </c>
      <c r="AF187" s="169" t="s">
        <v>4680</v>
      </c>
      <c r="AG187" s="212">
        <v>0</v>
      </c>
      <c r="AH187" s="226">
        <v>0</v>
      </c>
      <c r="AI187" s="225">
        <v>0</v>
      </c>
      <c r="AJ187" s="169">
        <f t="shared" si="203"/>
        <v>0</v>
      </c>
      <c r="AK187" s="212">
        <v>0</v>
      </c>
      <c r="AL187" s="226">
        <v>0</v>
      </c>
      <c r="AM187" s="225">
        <f t="shared" si="246"/>
        <v>0</v>
      </c>
      <c r="AN187" s="153">
        <f t="shared" si="204"/>
        <v>0</v>
      </c>
      <c r="AO187" s="154">
        <f t="shared" si="205"/>
        <v>0</v>
      </c>
      <c r="AP187" s="225">
        <v>0</v>
      </c>
      <c r="AQ187" s="212">
        <v>0</v>
      </c>
      <c r="AR187" s="226">
        <f t="shared" si="246"/>
        <v>0</v>
      </c>
      <c r="AS187" s="225">
        <f t="shared" si="246"/>
        <v>0</v>
      </c>
      <c r="AT187" s="155"/>
      <c r="AU187" s="156">
        <f t="shared" si="199"/>
        <v>0</v>
      </c>
      <c r="AV187" s="156">
        <f t="shared" si="200"/>
        <v>0</v>
      </c>
      <c r="AW187" s="157"/>
      <c r="AX187" s="150">
        <v>0</v>
      </c>
      <c r="AY187" s="225">
        <f t="shared" ref="AY187:BA187" si="248">AY188</f>
        <v>0</v>
      </c>
      <c r="AZ187" s="225">
        <f t="shared" si="248"/>
        <v>0</v>
      </c>
      <c r="BA187" s="225">
        <f t="shared" si="248"/>
        <v>0</v>
      </c>
      <c r="BB187" s="192">
        <v>4</v>
      </c>
      <c r="BC187" s="256" t="s">
        <v>693</v>
      </c>
      <c r="BD187" s="256" t="s">
        <v>647</v>
      </c>
      <c r="BE187" s="256" t="s">
        <v>671</v>
      </c>
      <c r="BF187" s="256" t="s">
        <v>630</v>
      </c>
      <c r="BG187" s="185" t="s">
        <v>5293</v>
      </c>
      <c r="BH187" s="215">
        <f>BH188</f>
        <v>0</v>
      </c>
      <c r="BI187" s="256" t="s">
        <v>1349</v>
      </c>
      <c r="BJ187" s="256" t="s">
        <v>5294</v>
      </c>
      <c r="BK187" s="256" t="s">
        <v>5292</v>
      </c>
      <c r="BL187" s="238" t="s">
        <v>5295</v>
      </c>
      <c r="BM187" s="215">
        <f>BM188</f>
        <v>0</v>
      </c>
      <c r="BN187" s="160"/>
      <c r="BO187" s="161">
        <f t="shared" si="207"/>
        <v>0</v>
      </c>
      <c r="BP187" s="161"/>
    </row>
    <row r="188" spans="1:68" ht="38.25">
      <c r="A188" s="206" t="s">
        <v>5292</v>
      </c>
      <c r="B188" s="195" t="s">
        <v>5296</v>
      </c>
      <c r="C188" s="196" t="s">
        <v>5297</v>
      </c>
      <c r="D188" s="146" t="s">
        <v>4692</v>
      </c>
      <c r="E188" s="196" t="s">
        <v>5297</v>
      </c>
      <c r="F188" s="150">
        <v>0</v>
      </c>
      <c r="G188" s="209">
        <v>0</v>
      </c>
      <c r="H188" s="209"/>
      <c r="I188" s="209">
        <v>0</v>
      </c>
      <c r="J188" s="150">
        <v>0</v>
      </c>
      <c r="K188" s="150">
        <v>0</v>
      </c>
      <c r="L188" s="150">
        <f t="shared" si="208"/>
        <v>0</v>
      </c>
      <c r="M188" s="150">
        <v>0</v>
      </c>
      <c r="N188" s="150"/>
      <c r="O188" s="150">
        <v>0</v>
      </c>
      <c r="P188" s="150">
        <v>0</v>
      </c>
      <c r="Q188" s="150"/>
      <c r="R188" s="150">
        <f>P188+Q188</f>
        <v>0</v>
      </c>
      <c r="S188" s="150">
        <f t="shared" si="201"/>
        <v>0</v>
      </c>
      <c r="T188" s="150"/>
      <c r="U188" s="150">
        <v>0</v>
      </c>
      <c r="V188" s="199"/>
      <c r="W188" s="150">
        <f>U188+V188</f>
        <v>0</v>
      </c>
      <c r="X188" s="150">
        <v>0</v>
      </c>
      <c r="Y188" s="150"/>
      <c r="Z188" s="150">
        <v>0</v>
      </c>
      <c r="AA188" s="150">
        <f t="shared" si="202"/>
        <v>0</v>
      </c>
      <c r="AB188" s="150">
        <v>0</v>
      </c>
      <c r="AC188" s="199"/>
      <c r="AD188" s="150">
        <f>AB188+AC188</f>
        <v>0</v>
      </c>
      <c r="AE188" s="150">
        <v>0</v>
      </c>
      <c r="AF188" s="169" t="s">
        <v>4680</v>
      </c>
      <c r="AG188" s="201">
        <v>0</v>
      </c>
      <c r="AH188" s="199"/>
      <c r="AI188" s="150">
        <v>0</v>
      </c>
      <c r="AJ188" s="169">
        <f t="shared" si="203"/>
        <v>0</v>
      </c>
      <c r="AK188" s="201">
        <v>0</v>
      </c>
      <c r="AL188" s="199"/>
      <c r="AM188" s="150">
        <f>AK188+AL188</f>
        <v>0</v>
      </c>
      <c r="AN188" s="153">
        <f t="shared" si="204"/>
        <v>0</v>
      </c>
      <c r="AO188" s="154">
        <f t="shared" si="205"/>
        <v>0</v>
      </c>
      <c r="AP188" s="150">
        <v>0</v>
      </c>
      <c r="AQ188" s="201">
        <v>0</v>
      </c>
      <c r="AR188" s="199"/>
      <c r="AS188" s="150">
        <f>AQ188+AR188</f>
        <v>0</v>
      </c>
      <c r="AT188" s="155"/>
      <c r="AU188" s="156">
        <f t="shared" si="199"/>
        <v>0</v>
      </c>
      <c r="AV188" s="156">
        <f t="shared" si="200"/>
        <v>0</v>
      </c>
      <c r="AW188" s="157"/>
      <c r="AX188" s="150">
        <v>0</v>
      </c>
      <c r="AY188" s="150">
        <v>0</v>
      </c>
      <c r="AZ188" s="150"/>
      <c r="BA188" s="150">
        <f t="shared" si="206"/>
        <v>0</v>
      </c>
      <c r="BB188" s="202">
        <v>4</v>
      </c>
      <c r="BC188" s="202" t="s">
        <v>693</v>
      </c>
      <c r="BD188" s="202" t="s">
        <v>647</v>
      </c>
      <c r="BE188" s="202" t="s">
        <v>671</v>
      </c>
      <c r="BF188" s="202" t="s">
        <v>632</v>
      </c>
      <c r="BG188" s="203" t="s">
        <v>5293</v>
      </c>
      <c r="BH188" s="216">
        <f>AS188</f>
        <v>0</v>
      </c>
      <c r="BI188" s="206" t="s">
        <v>1349</v>
      </c>
      <c r="BJ188" s="206" t="s">
        <v>5294</v>
      </c>
      <c r="BK188" s="206" t="s">
        <v>5292</v>
      </c>
      <c r="BL188" s="207" t="s">
        <v>5295</v>
      </c>
      <c r="BM188" s="208">
        <f>BH188</f>
        <v>0</v>
      </c>
      <c r="BN188" s="160"/>
      <c r="BO188" s="161">
        <f t="shared" si="207"/>
        <v>0</v>
      </c>
      <c r="BP188" s="161"/>
    </row>
    <row r="189" spans="1:68" ht="76.5">
      <c r="A189" s="256" t="s">
        <v>5298</v>
      </c>
      <c r="B189" s="184"/>
      <c r="C189" s="185" t="s">
        <v>5299</v>
      </c>
      <c r="D189" s="146" t="s">
        <v>4692</v>
      </c>
      <c r="E189" s="185" t="s">
        <v>5299</v>
      </c>
      <c r="F189" s="186">
        <v>0</v>
      </c>
      <c r="G189" s="187">
        <v>0</v>
      </c>
      <c r="H189" s="187">
        <v>0</v>
      </c>
      <c r="I189" s="187">
        <v>0</v>
      </c>
      <c r="J189" s="186">
        <f>J190+J191</f>
        <v>0</v>
      </c>
      <c r="K189" s="186">
        <f>K190+K191</f>
        <v>0</v>
      </c>
      <c r="L189" s="188">
        <f t="shared" si="208"/>
        <v>0</v>
      </c>
      <c r="M189" s="188">
        <v>0</v>
      </c>
      <c r="N189" s="188">
        <v>0</v>
      </c>
      <c r="O189" s="188">
        <v>0</v>
      </c>
      <c r="P189" s="225">
        <f t="shared" ref="P189:AD189" si="249">P190+P191</f>
        <v>0</v>
      </c>
      <c r="Q189" s="225">
        <f t="shared" si="249"/>
        <v>0</v>
      </c>
      <c r="R189" s="225">
        <f t="shared" si="249"/>
        <v>0</v>
      </c>
      <c r="S189" s="150">
        <f t="shared" si="201"/>
        <v>0</v>
      </c>
      <c r="T189" s="213"/>
      <c r="U189" s="225">
        <f t="shared" ref="U189:W189" si="250">U190+U191</f>
        <v>0</v>
      </c>
      <c r="V189" s="226">
        <f t="shared" si="250"/>
        <v>0</v>
      </c>
      <c r="W189" s="225">
        <f t="shared" si="250"/>
        <v>0</v>
      </c>
      <c r="X189" s="225">
        <v>0</v>
      </c>
      <c r="Y189" s="225">
        <v>0</v>
      </c>
      <c r="Z189" s="225">
        <v>0</v>
      </c>
      <c r="AA189" s="225">
        <f t="shared" si="202"/>
        <v>0</v>
      </c>
      <c r="AB189" s="225">
        <v>0</v>
      </c>
      <c r="AC189" s="226">
        <v>0</v>
      </c>
      <c r="AD189" s="225">
        <f t="shared" si="249"/>
        <v>0</v>
      </c>
      <c r="AE189" s="225">
        <v>0</v>
      </c>
      <c r="AF189" s="169" t="s">
        <v>4680</v>
      </c>
      <c r="AG189" s="212">
        <v>0</v>
      </c>
      <c r="AH189" s="226">
        <v>0</v>
      </c>
      <c r="AI189" s="225">
        <v>0</v>
      </c>
      <c r="AJ189" s="169">
        <f t="shared" si="203"/>
        <v>0</v>
      </c>
      <c r="AK189" s="212">
        <v>0</v>
      </c>
      <c r="AL189" s="226">
        <v>0</v>
      </c>
      <c r="AM189" s="225">
        <f t="shared" ref="AM189" si="251">AM190+AM191</f>
        <v>0</v>
      </c>
      <c r="AN189" s="153">
        <f t="shared" si="204"/>
        <v>0</v>
      </c>
      <c r="AO189" s="154">
        <f t="shared" si="205"/>
        <v>0</v>
      </c>
      <c r="AP189" s="225">
        <v>0</v>
      </c>
      <c r="AQ189" s="212">
        <v>0</v>
      </c>
      <c r="AR189" s="226">
        <f t="shared" ref="AR189:AS189" si="252">AR190+AR191</f>
        <v>0</v>
      </c>
      <c r="AS189" s="225">
        <f t="shared" si="252"/>
        <v>0</v>
      </c>
      <c r="AT189" s="155"/>
      <c r="AU189" s="156">
        <f t="shared" si="199"/>
        <v>0</v>
      </c>
      <c r="AV189" s="156">
        <f t="shared" si="200"/>
        <v>0</v>
      </c>
      <c r="AW189" s="157"/>
      <c r="AX189" s="150">
        <v>0</v>
      </c>
      <c r="AY189" s="225">
        <f t="shared" ref="AY189:BA189" si="253">AY190+AY191</f>
        <v>0</v>
      </c>
      <c r="AZ189" s="225">
        <f t="shared" si="253"/>
        <v>0</v>
      </c>
      <c r="BA189" s="225">
        <f t="shared" si="253"/>
        <v>0</v>
      </c>
      <c r="BB189" s="192">
        <v>4</v>
      </c>
      <c r="BC189" s="256" t="s">
        <v>693</v>
      </c>
      <c r="BD189" s="256" t="s">
        <v>647</v>
      </c>
      <c r="BE189" s="256" t="s">
        <v>693</v>
      </c>
      <c r="BF189" s="256" t="s">
        <v>630</v>
      </c>
      <c r="BG189" s="185" t="s">
        <v>5299</v>
      </c>
      <c r="BH189" s="215">
        <f>BH190+BH191</f>
        <v>0</v>
      </c>
      <c r="BI189" s="256" t="s">
        <v>1349</v>
      </c>
      <c r="BJ189" s="256" t="s">
        <v>5300</v>
      </c>
      <c r="BK189" s="256" t="s">
        <v>5298</v>
      </c>
      <c r="BL189" s="238" t="s">
        <v>5301</v>
      </c>
      <c r="BM189" s="215">
        <f>BM190+BM191</f>
        <v>0</v>
      </c>
      <c r="BN189" s="160"/>
      <c r="BO189" s="161">
        <f t="shared" si="207"/>
        <v>0</v>
      </c>
      <c r="BP189" s="161"/>
    </row>
    <row r="190" spans="1:68" ht="63.75">
      <c r="A190" s="206" t="s">
        <v>5298</v>
      </c>
      <c r="B190" s="195" t="s">
        <v>5302</v>
      </c>
      <c r="C190" s="196" t="s">
        <v>5303</v>
      </c>
      <c r="D190" s="146" t="s">
        <v>4692</v>
      </c>
      <c r="E190" s="196" t="s">
        <v>5303</v>
      </c>
      <c r="F190" s="150">
        <v>0</v>
      </c>
      <c r="G190" s="209">
        <v>0</v>
      </c>
      <c r="H190" s="209"/>
      <c r="I190" s="209">
        <v>0</v>
      </c>
      <c r="J190" s="150">
        <v>0</v>
      </c>
      <c r="K190" s="150">
        <v>0</v>
      </c>
      <c r="L190" s="150">
        <f t="shared" si="208"/>
        <v>0</v>
      </c>
      <c r="M190" s="150">
        <v>0</v>
      </c>
      <c r="N190" s="150"/>
      <c r="O190" s="150">
        <v>0</v>
      </c>
      <c r="P190" s="150">
        <v>0</v>
      </c>
      <c r="Q190" s="150"/>
      <c r="R190" s="150">
        <f>P190+Q190</f>
        <v>0</v>
      </c>
      <c r="S190" s="150">
        <f t="shared" si="201"/>
        <v>0</v>
      </c>
      <c r="T190" s="150"/>
      <c r="U190" s="150">
        <v>0</v>
      </c>
      <c r="V190" s="199"/>
      <c r="W190" s="150">
        <f>U190+V190</f>
        <v>0</v>
      </c>
      <c r="X190" s="150">
        <v>0</v>
      </c>
      <c r="Y190" s="150"/>
      <c r="Z190" s="150">
        <v>0</v>
      </c>
      <c r="AA190" s="150">
        <f t="shared" si="202"/>
        <v>0</v>
      </c>
      <c r="AB190" s="150">
        <v>0</v>
      </c>
      <c r="AC190" s="199"/>
      <c r="AD190" s="150">
        <f>AB190+AC190</f>
        <v>0</v>
      </c>
      <c r="AE190" s="150">
        <v>0</v>
      </c>
      <c r="AF190" s="169" t="s">
        <v>4680</v>
      </c>
      <c r="AG190" s="201">
        <v>0</v>
      </c>
      <c r="AH190" s="199"/>
      <c r="AI190" s="150">
        <v>0</v>
      </c>
      <c r="AJ190" s="169">
        <f t="shared" si="203"/>
        <v>0</v>
      </c>
      <c r="AK190" s="201">
        <v>0</v>
      </c>
      <c r="AL190" s="199"/>
      <c r="AM190" s="150">
        <f>AK190+AL190</f>
        <v>0</v>
      </c>
      <c r="AN190" s="153">
        <f t="shared" si="204"/>
        <v>0</v>
      </c>
      <c r="AO190" s="154">
        <f t="shared" si="205"/>
        <v>0</v>
      </c>
      <c r="AP190" s="150">
        <v>0</v>
      </c>
      <c r="AQ190" s="201">
        <v>0</v>
      </c>
      <c r="AR190" s="199"/>
      <c r="AS190" s="150">
        <f>AQ190+AR190</f>
        <v>0</v>
      </c>
      <c r="AT190" s="155"/>
      <c r="AU190" s="156">
        <f t="shared" si="199"/>
        <v>0</v>
      </c>
      <c r="AV190" s="156">
        <f t="shared" si="200"/>
        <v>0</v>
      </c>
      <c r="AW190" s="157"/>
      <c r="AX190" s="150">
        <v>0</v>
      </c>
      <c r="AY190" s="150">
        <v>0</v>
      </c>
      <c r="AZ190" s="150"/>
      <c r="BA190" s="150">
        <f t="shared" si="206"/>
        <v>0</v>
      </c>
      <c r="BB190" s="202">
        <v>4</v>
      </c>
      <c r="BC190" s="202" t="s">
        <v>693</v>
      </c>
      <c r="BD190" s="202" t="s">
        <v>647</v>
      </c>
      <c r="BE190" s="202" t="s">
        <v>693</v>
      </c>
      <c r="BF190" s="202" t="s">
        <v>632</v>
      </c>
      <c r="BG190" s="203" t="s">
        <v>5299</v>
      </c>
      <c r="BH190" s="216">
        <f>AS190+AS191</f>
        <v>0</v>
      </c>
      <c r="BI190" s="206" t="s">
        <v>1349</v>
      </c>
      <c r="BJ190" s="206" t="s">
        <v>5300</v>
      </c>
      <c r="BK190" s="206" t="s">
        <v>5298</v>
      </c>
      <c r="BL190" s="207" t="s">
        <v>5301</v>
      </c>
      <c r="BM190" s="208">
        <f>BH190</f>
        <v>0</v>
      </c>
      <c r="BN190" s="160"/>
      <c r="BO190" s="161">
        <f t="shared" si="207"/>
        <v>0</v>
      </c>
      <c r="BP190" s="161"/>
    </row>
    <row r="191" spans="1:68" ht="25.5">
      <c r="A191" s="210"/>
      <c r="B191" s="195" t="s">
        <v>5304</v>
      </c>
      <c r="C191" s="196" t="s">
        <v>5305</v>
      </c>
      <c r="D191" s="146" t="s">
        <v>4692</v>
      </c>
      <c r="E191" s="196" t="s">
        <v>5305</v>
      </c>
      <c r="F191" s="150">
        <v>0</v>
      </c>
      <c r="G191" s="209">
        <v>0</v>
      </c>
      <c r="H191" s="209"/>
      <c r="I191" s="209">
        <v>0</v>
      </c>
      <c r="J191" s="150">
        <v>0</v>
      </c>
      <c r="K191" s="150">
        <v>0</v>
      </c>
      <c r="L191" s="150">
        <f t="shared" si="208"/>
        <v>0</v>
      </c>
      <c r="M191" s="150">
        <v>0</v>
      </c>
      <c r="N191" s="150"/>
      <c r="O191" s="150">
        <v>0</v>
      </c>
      <c r="P191" s="150">
        <v>0</v>
      </c>
      <c r="Q191" s="150"/>
      <c r="R191" s="150">
        <f>P191+Q191</f>
        <v>0</v>
      </c>
      <c r="S191" s="150">
        <f t="shared" si="201"/>
        <v>0</v>
      </c>
      <c r="T191" s="150"/>
      <c r="U191" s="150">
        <v>0</v>
      </c>
      <c r="V191" s="199"/>
      <c r="W191" s="150">
        <f>U191+V191</f>
        <v>0</v>
      </c>
      <c r="X191" s="150">
        <v>0</v>
      </c>
      <c r="Y191" s="150"/>
      <c r="Z191" s="150">
        <v>0</v>
      </c>
      <c r="AA191" s="150">
        <f t="shared" si="202"/>
        <v>0</v>
      </c>
      <c r="AB191" s="150">
        <v>0</v>
      </c>
      <c r="AC191" s="199"/>
      <c r="AD191" s="150">
        <f>AB191+AC191</f>
        <v>0</v>
      </c>
      <c r="AE191" s="150">
        <v>0</v>
      </c>
      <c r="AF191" s="169" t="s">
        <v>4680</v>
      </c>
      <c r="AG191" s="201">
        <v>0</v>
      </c>
      <c r="AH191" s="199"/>
      <c r="AI191" s="150">
        <v>0</v>
      </c>
      <c r="AJ191" s="169">
        <f t="shared" si="203"/>
        <v>0</v>
      </c>
      <c r="AK191" s="201">
        <v>0</v>
      </c>
      <c r="AL191" s="199"/>
      <c r="AM191" s="150">
        <f>AK191+AL191</f>
        <v>0</v>
      </c>
      <c r="AN191" s="153">
        <f t="shared" si="204"/>
        <v>0</v>
      </c>
      <c r="AO191" s="154">
        <f t="shared" si="205"/>
        <v>0</v>
      </c>
      <c r="AP191" s="150">
        <v>0</v>
      </c>
      <c r="AQ191" s="201">
        <v>0</v>
      </c>
      <c r="AR191" s="199"/>
      <c r="AS191" s="150">
        <f>AQ191+AR191</f>
        <v>0</v>
      </c>
      <c r="AT191" s="155"/>
      <c r="AU191" s="156">
        <f t="shared" si="199"/>
        <v>0</v>
      </c>
      <c r="AV191" s="156">
        <f t="shared" si="200"/>
        <v>0</v>
      </c>
      <c r="AW191" s="157"/>
      <c r="AX191" s="150">
        <v>0</v>
      </c>
      <c r="AY191" s="150">
        <v>0</v>
      </c>
      <c r="AZ191" s="150"/>
      <c r="BA191" s="150">
        <f t="shared" si="206"/>
        <v>0</v>
      </c>
      <c r="BB191" s="210"/>
      <c r="BC191" s="210"/>
      <c r="BD191" s="210"/>
      <c r="BE191" s="210"/>
      <c r="BF191" s="210"/>
      <c r="BG191" s="210"/>
      <c r="BH191" s="217"/>
      <c r="BI191" s="210"/>
      <c r="BJ191" s="210"/>
      <c r="BK191" s="210"/>
      <c r="BL191" s="210"/>
      <c r="BM191" s="208"/>
      <c r="BN191" s="160"/>
      <c r="BO191" s="161">
        <f t="shared" si="207"/>
        <v>0</v>
      </c>
      <c r="BP191" s="161"/>
    </row>
    <row r="192" spans="1:68" ht="51">
      <c r="A192" s="255" t="s">
        <v>5306</v>
      </c>
      <c r="B192" s="174"/>
      <c r="C192" s="175" t="s">
        <v>5307</v>
      </c>
      <c r="D192" s="146" t="s">
        <v>4692</v>
      </c>
      <c r="E192" s="175" t="s">
        <v>5307</v>
      </c>
      <c r="F192" s="176">
        <v>1918733.26</v>
      </c>
      <c r="G192" s="177">
        <v>953992.62</v>
      </c>
      <c r="H192" s="177">
        <v>0</v>
      </c>
      <c r="I192" s="177">
        <v>953992.62</v>
      </c>
      <c r="J192" s="176">
        <f>J193</f>
        <v>160152.53999999998</v>
      </c>
      <c r="K192" s="176">
        <f>K193</f>
        <v>0</v>
      </c>
      <c r="L192" s="178">
        <f t="shared" si="208"/>
        <v>160152.53999999998</v>
      </c>
      <c r="M192" s="178">
        <v>352785.30000000005</v>
      </c>
      <c r="N192" s="178">
        <v>49457.36</v>
      </c>
      <c r="O192" s="178">
        <v>402242.66000000003</v>
      </c>
      <c r="P192" s="221">
        <f t="shared" ref="P192:AS192" si="254">P193</f>
        <v>766239.02999999991</v>
      </c>
      <c r="Q192" s="221">
        <f t="shared" si="254"/>
        <v>0</v>
      </c>
      <c r="R192" s="221">
        <f t="shared" si="254"/>
        <v>766239.02999999991</v>
      </c>
      <c r="S192" s="150">
        <f t="shared" si="201"/>
        <v>1021652.0399999998</v>
      </c>
      <c r="T192" s="213"/>
      <c r="U192" s="221">
        <f t="shared" ref="U192:W192" si="255">U193</f>
        <v>1481727.9</v>
      </c>
      <c r="V192" s="222">
        <f t="shared" si="255"/>
        <v>0</v>
      </c>
      <c r="W192" s="221">
        <f t="shared" si="255"/>
        <v>1481727.9</v>
      </c>
      <c r="X192" s="221">
        <v>1481727.9</v>
      </c>
      <c r="Y192" s="221">
        <v>0</v>
      </c>
      <c r="Z192" s="221">
        <v>1481727.9</v>
      </c>
      <c r="AA192" s="221">
        <f t="shared" si="202"/>
        <v>250191.44999999995</v>
      </c>
      <c r="AB192" s="221">
        <v>1731919.3499999999</v>
      </c>
      <c r="AC192" s="222">
        <v>0</v>
      </c>
      <c r="AD192" s="221">
        <f t="shared" si="254"/>
        <v>1731919.3499999999</v>
      </c>
      <c r="AE192" s="221">
        <v>1736831.48</v>
      </c>
      <c r="AF192" s="169" t="s">
        <v>4680</v>
      </c>
      <c r="AG192" s="223">
        <v>1736831.48</v>
      </c>
      <c r="AH192" s="222">
        <v>0</v>
      </c>
      <c r="AI192" s="221">
        <v>1736831.48</v>
      </c>
      <c r="AJ192" s="169">
        <f t="shared" si="203"/>
        <v>0</v>
      </c>
      <c r="AK192" s="223">
        <v>1736831.48</v>
      </c>
      <c r="AL192" s="222">
        <v>0</v>
      </c>
      <c r="AM192" s="221">
        <f t="shared" si="254"/>
        <v>1736831.48</v>
      </c>
      <c r="AN192" s="153">
        <f t="shared" si="204"/>
        <v>309946.1100000001</v>
      </c>
      <c r="AO192" s="154">
        <f t="shared" si="205"/>
        <v>309946.1100000001</v>
      </c>
      <c r="AP192" s="221">
        <v>1736831.48</v>
      </c>
      <c r="AQ192" s="223">
        <v>2046777.59</v>
      </c>
      <c r="AR192" s="222">
        <f t="shared" si="254"/>
        <v>0</v>
      </c>
      <c r="AS192" s="221">
        <f t="shared" si="254"/>
        <v>2046777.59</v>
      </c>
      <c r="AT192" s="155"/>
      <c r="AU192" s="156">
        <f t="shared" si="199"/>
        <v>4912.1300000001211</v>
      </c>
      <c r="AV192" s="156">
        <f t="shared" si="200"/>
        <v>250191.44999999995</v>
      </c>
      <c r="AW192" s="157"/>
      <c r="AX192" s="150">
        <v>1481727.9</v>
      </c>
      <c r="AY192" s="221">
        <f t="shared" ref="AY192:BA192" si="256">AY193</f>
        <v>569962.73</v>
      </c>
      <c r="AZ192" s="221">
        <f t="shared" si="256"/>
        <v>0</v>
      </c>
      <c r="BA192" s="221">
        <f t="shared" si="256"/>
        <v>569962.73</v>
      </c>
      <c r="BB192" s="254">
        <v>4</v>
      </c>
      <c r="BC192" s="255" t="s">
        <v>693</v>
      </c>
      <c r="BD192" s="255" t="s">
        <v>671</v>
      </c>
      <c r="BE192" s="173" t="s">
        <v>630</v>
      </c>
      <c r="BF192" s="255" t="s">
        <v>630</v>
      </c>
      <c r="BG192" s="175" t="s">
        <v>5307</v>
      </c>
      <c r="BH192" s="224">
        <f>BH193</f>
        <v>2046777.59</v>
      </c>
      <c r="BI192" s="254"/>
      <c r="BJ192" s="255" t="s">
        <v>5308</v>
      </c>
      <c r="BK192" s="255" t="s">
        <v>5306</v>
      </c>
      <c r="BL192" s="182" t="s">
        <v>5309</v>
      </c>
      <c r="BM192" s="224">
        <f>BM193</f>
        <v>2046777.59</v>
      </c>
      <c r="BN192" s="160"/>
      <c r="BO192" s="161">
        <f t="shared" si="207"/>
        <v>0</v>
      </c>
      <c r="BP192" s="161"/>
    </row>
    <row r="193" spans="1:68" ht="51">
      <c r="A193" s="256" t="s">
        <v>5306</v>
      </c>
      <c r="B193" s="184"/>
      <c r="C193" s="185" t="s">
        <v>5310</v>
      </c>
      <c r="D193" s="146" t="s">
        <v>4692</v>
      </c>
      <c r="E193" s="185" t="s">
        <v>5310</v>
      </c>
      <c r="F193" s="186">
        <v>1918733.26</v>
      </c>
      <c r="G193" s="187">
        <v>953992.62</v>
      </c>
      <c r="H193" s="187">
        <v>0</v>
      </c>
      <c r="I193" s="187">
        <v>953992.62</v>
      </c>
      <c r="J193" s="186">
        <f>SUM(J194:J204)</f>
        <v>160152.53999999998</v>
      </c>
      <c r="K193" s="186">
        <f>SUM(K194:K204)</f>
        <v>0</v>
      </c>
      <c r="L193" s="188">
        <f t="shared" si="208"/>
        <v>160152.53999999998</v>
      </c>
      <c r="M193" s="188">
        <v>352785.30000000005</v>
      </c>
      <c r="N193" s="188">
        <v>49457.36</v>
      </c>
      <c r="O193" s="188">
        <v>402242.66000000003</v>
      </c>
      <c r="P193" s="225">
        <f t="shared" ref="P193:R193" si="257">SUM(P194:P203)</f>
        <v>766239.02999999991</v>
      </c>
      <c r="Q193" s="225">
        <f t="shared" si="257"/>
        <v>0</v>
      </c>
      <c r="R193" s="225">
        <f t="shared" si="257"/>
        <v>766239.02999999991</v>
      </c>
      <c r="S193" s="150">
        <f t="shared" si="201"/>
        <v>1021652.0399999998</v>
      </c>
      <c r="T193" s="213"/>
      <c r="U193" s="225">
        <f t="shared" ref="U193:W193" si="258">SUM(U194:U203)</f>
        <v>1481727.9</v>
      </c>
      <c r="V193" s="226">
        <f t="shared" si="258"/>
        <v>0</v>
      </c>
      <c r="W193" s="225">
        <f t="shared" si="258"/>
        <v>1481727.9</v>
      </c>
      <c r="X193" s="225">
        <v>1481727.9</v>
      </c>
      <c r="Y193" s="225">
        <v>0</v>
      </c>
      <c r="Z193" s="225">
        <v>1481727.9</v>
      </c>
      <c r="AA193" s="225">
        <f t="shared" si="202"/>
        <v>250191.44999999995</v>
      </c>
      <c r="AB193" s="225">
        <v>1731919.3499999999</v>
      </c>
      <c r="AC193" s="226">
        <v>0</v>
      </c>
      <c r="AD193" s="225">
        <f t="shared" ref="AD193" si="259">SUM(AD194:AD203)</f>
        <v>1731919.3499999999</v>
      </c>
      <c r="AE193" s="225">
        <v>1736831.48</v>
      </c>
      <c r="AF193" s="169" t="s">
        <v>4680</v>
      </c>
      <c r="AG193" s="212">
        <v>1736831.48</v>
      </c>
      <c r="AH193" s="226">
        <v>0</v>
      </c>
      <c r="AI193" s="225">
        <v>1736831.48</v>
      </c>
      <c r="AJ193" s="169">
        <f t="shared" si="203"/>
        <v>0</v>
      </c>
      <c r="AK193" s="212">
        <v>1736831.48</v>
      </c>
      <c r="AL193" s="226">
        <v>0</v>
      </c>
      <c r="AM193" s="225">
        <f t="shared" ref="AM193" si="260">SUM(AM194:AM203)</f>
        <v>1736831.48</v>
      </c>
      <c r="AN193" s="153">
        <f t="shared" si="204"/>
        <v>309946.1100000001</v>
      </c>
      <c r="AO193" s="154">
        <f t="shared" si="205"/>
        <v>309946.1100000001</v>
      </c>
      <c r="AP193" s="225">
        <v>1736831.48</v>
      </c>
      <c r="AQ193" s="212">
        <v>2046777.59</v>
      </c>
      <c r="AR193" s="226">
        <f t="shared" ref="AR193:AS193" si="261">SUM(AR194:AR203)</f>
        <v>0</v>
      </c>
      <c r="AS193" s="225">
        <f t="shared" si="261"/>
        <v>2046777.59</v>
      </c>
      <c r="AT193" s="155"/>
      <c r="AU193" s="156">
        <f t="shared" si="199"/>
        <v>4912.1300000001211</v>
      </c>
      <c r="AV193" s="156">
        <f t="shared" si="200"/>
        <v>250191.44999999995</v>
      </c>
      <c r="AW193" s="157"/>
      <c r="AX193" s="150">
        <v>1481727.9</v>
      </c>
      <c r="AY193" s="225">
        <f t="shared" ref="AY193:BA193" si="262">SUM(AY194:AY203)</f>
        <v>569962.73</v>
      </c>
      <c r="AZ193" s="225">
        <f t="shared" si="262"/>
        <v>0</v>
      </c>
      <c r="BA193" s="225">
        <f t="shared" si="262"/>
        <v>569962.73</v>
      </c>
      <c r="BB193" s="192">
        <v>4</v>
      </c>
      <c r="BC193" s="256" t="s">
        <v>693</v>
      </c>
      <c r="BD193" s="256" t="s">
        <v>671</v>
      </c>
      <c r="BE193" s="256" t="s">
        <v>632</v>
      </c>
      <c r="BF193" s="256" t="s">
        <v>630</v>
      </c>
      <c r="BG193" s="185" t="s">
        <v>5310</v>
      </c>
      <c r="BH193" s="215">
        <f>SUBTOTAL(9,BH194:BH204)</f>
        <v>2046777.59</v>
      </c>
      <c r="BI193" s="192"/>
      <c r="BJ193" s="256" t="s">
        <v>5308</v>
      </c>
      <c r="BK193" s="256" t="s">
        <v>5306</v>
      </c>
      <c r="BL193" s="238" t="s">
        <v>5309</v>
      </c>
      <c r="BM193" s="215">
        <f>SUBTOTAL(9,BM194:BM202)</f>
        <v>2046777.59</v>
      </c>
      <c r="BN193" s="160"/>
      <c r="BO193" s="161">
        <f t="shared" si="207"/>
        <v>0</v>
      </c>
      <c r="BP193" s="161"/>
    </row>
    <row r="194" spans="1:68" ht="38.25">
      <c r="A194" s="206" t="s">
        <v>5306</v>
      </c>
      <c r="B194" s="195" t="s">
        <v>5311</v>
      </c>
      <c r="C194" s="196" t="s">
        <v>5312</v>
      </c>
      <c r="D194" s="146" t="s">
        <v>4692</v>
      </c>
      <c r="E194" s="196" t="s">
        <v>5312</v>
      </c>
      <c r="F194" s="150">
        <v>14309.22</v>
      </c>
      <c r="G194" s="209">
        <v>14144.22</v>
      </c>
      <c r="H194" s="209"/>
      <c r="I194" s="209">
        <v>14144.22</v>
      </c>
      <c r="J194" s="150">
        <v>3445</v>
      </c>
      <c r="K194" s="150">
        <v>0</v>
      </c>
      <c r="L194" s="150">
        <f t="shared" si="208"/>
        <v>3445</v>
      </c>
      <c r="M194" s="150">
        <v>5935</v>
      </c>
      <c r="N194" s="150"/>
      <c r="O194" s="150">
        <v>5935</v>
      </c>
      <c r="P194" s="150">
        <v>6805</v>
      </c>
      <c r="Q194" s="150"/>
      <c r="R194" s="150">
        <f t="shared" ref="R194:R204" si="263">P194+Q194</f>
        <v>6805</v>
      </c>
      <c r="S194" s="150">
        <f t="shared" si="201"/>
        <v>9073.3333333333321</v>
      </c>
      <c r="T194" s="150"/>
      <c r="U194" s="150">
        <v>6945</v>
      </c>
      <c r="V194" s="199"/>
      <c r="W194" s="150">
        <f t="shared" ref="W194:W204" si="264">U194+V194</f>
        <v>6945</v>
      </c>
      <c r="X194" s="150">
        <v>6945</v>
      </c>
      <c r="Y194" s="150"/>
      <c r="Z194" s="150">
        <v>6945</v>
      </c>
      <c r="AA194" s="150">
        <f t="shared" si="202"/>
        <v>4852</v>
      </c>
      <c r="AB194" s="150">
        <v>11797</v>
      </c>
      <c r="AC194" s="199"/>
      <c r="AD194" s="150">
        <f t="shared" ref="AD194:AD204" si="265">AB194+AC194</f>
        <v>11797</v>
      </c>
      <c r="AE194" s="150">
        <v>11797</v>
      </c>
      <c r="AF194" s="169" t="s">
        <v>4680</v>
      </c>
      <c r="AG194" s="201">
        <v>11797</v>
      </c>
      <c r="AH194" s="199"/>
      <c r="AI194" s="150">
        <v>11797</v>
      </c>
      <c r="AJ194" s="169">
        <f t="shared" si="203"/>
        <v>0</v>
      </c>
      <c r="AK194" s="201">
        <v>11797</v>
      </c>
      <c r="AL194" s="199"/>
      <c r="AM194" s="150">
        <f t="shared" ref="AM194:AM204" si="266">AK194+AL194</f>
        <v>11797</v>
      </c>
      <c r="AN194" s="153">
        <f t="shared" si="204"/>
        <v>0</v>
      </c>
      <c r="AO194" s="154">
        <f t="shared" si="205"/>
        <v>0</v>
      </c>
      <c r="AP194" s="150">
        <v>11797</v>
      </c>
      <c r="AQ194" s="201">
        <v>11797</v>
      </c>
      <c r="AR194" s="199"/>
      <c r="AS194" s="150">
        <f t="shared" ref="AS194:AS204" si="267">AQ194+AR194</f>
        <v>11797</v>
      </c>
      <c r="AT194" s="155"/>
      <c r="AU194" s="156">
        <f t="shared" ref="AU194:AU257" si="268">AM194-AD194</f>
        <v>0</v>
      </c>
      <c r="AV194" s="156">
        <f t="shared" ref="AV194:AV257" si="269">AD194-AX194</f>
        <v>4852</v>
      </c>
      <c r="AW194" s="157"/>
      <c r="AX194" s="150">
        <v>6945</v>
      </c>
      <c r="AY194" s="150">
        <v>6435</v>
      </c>
      <c r="AZ194" s="150"/>
      <c r="BA194" s="150">
        <f t="shared" ref="BA194:BA256" si="270">AY194+AZ194</f>
        <v>6435</v>
      </c>
      <c r="BB194" s="205">
        <v>4</v>
      </c>
      <c r="BC194" s="206" t="s">
        <v>693</v>
      </c>
      <c r="BD194" s="206" t="s">
        <v>671</v>
      </c>
      <c r="BE194" s="202" t="s">
        <v>632</v>
      </c>
      <c r="BF194" s="206" t="s">
        <v>632</v>
      </c>
      <c r="BG194" s="231" t="s">
        <v>5313</v>
      </c>
      <c r="BH194" s="216">
        <f>AS194+AS195+AS196</f>
        <v>11797</v>
      </c>
      <c r="BI194" s="205"/>
      <c r="BJ194" s="206" t="s">
        <v>5308</v>
      </c>
      <c r="BK194" s="206" t="s">
        <v>5306</v>
      </c>
      <c r="BL194" s="207" t="s">
        <v>5309</v>
      </c>
      <c r="BM194" s="208">
        <f>BH194</f>
        <v>11797</v>
      </c>
      <c r="BN194" s="160"/>
      <c r="BO194" s="161">
        <f t="shared" si="207"/>
        <v>0</v>
      </c>
      <c r="BP194" s="161"/>
    </row>
    <row r="195" spans="1:68" ht="25.5">
      <c r="A195" s="210"/>
      <c r="B195" s="195" t="s">
        <v>5314</v>
      </c>
      <c r="C195" s="196" t="s">
        <v>5315</v>
      </c>
      <c r="D195" s="146" t="s">
        <v>4692</v>
      </c>
      <c r="E195" s="196" t="s">
        <v>5315</v>
      </c>
      <c r="F195" s="150">
        <v>0</v>
      </c>
      <c r="G195" s="209">
        <v>0</v>
      </c>
      <c r="H195" s="209"/>
      <c r="I195" s="209">
        <v>0</v>
      </c>
      <c r="J195" s="150">
        <v>0</v>
      </c>
      <c r="K195" s="150">
        <v>0</v>
      </c>
      <c r="L195" s="150">
        <f t="shared" si="208"/>
        <v>0</v>
      </c>
      <c r="M195" s="150">
        <v>0</v>
      </c>
      <c r="N195" s="150"/>
      <c r="O195" s="150">
        <v>0</v>
      </c>
      <c r="P195" s="150">
        <v>0</v>
      </c>
      <c r="Q195" s="150"/>
      <c r="R195" s="150">
        <f t="shared" si="263"/>
        <v>0</v>
      </c>
      <c r="S195" s="150">
        <f t="shared" ref="S195:S258" si="271">R195/9*12</f>
        <v>0</v>
      </c>
      <c r="T195" s="150"/>
      <c r="U195" s="150">
        <v>0</v>
      </c>
      <c r="V195" s="199"/>
      <c r="W195" s="150">
        <f t="shared" si="264"/>
        <v>0</v>
      </c>
      <c r="X195" s="150">
        <v>0</v>
      </c>
      <c r="Y195" s="150"/>
      <c r="Z195" s="150">
        <v>0</v>
      </c>
      <c r="AA195" s="150">
        <f t="shared" ref="AA195:AA258" si="272">AD195-Z195</f>
        <v>0</v>
      </c>
      <c r="AB195" s="150">
        <v>0</v>
      </c>
      <c r="AC195" s="199"/>
      <c r="AD195" s="150">
        <f t="shared" si="265"/>
        <v>0</v>
      </c>
      <c r="AE195" s="150">
        <v>0</v>
      </c>
      <c r="AF195" s="169" t="s">
        <v>4680</v>
      </c>
      <c r="AG195" s="201">
        <v>0</v>
      </c>
      <c r="AH195" s="199"/>
      <c r="AI195" s="150">
        <v>0</v>
      </c>
      <c r="AJ195" s="169">
        <f t="shared" ref="AJ195:AJ258" si="273">AM195-AI195</f>
        <v>0</v>
      </c>
      <c r="AK195" s="201">
        <v>0</v>
      </c>
      <c r="AL195" s="199"/>
      <c r="AM195" s="150">
        <f t="shared" si="266"/>
        <v>0</v>
      </c>
      <c r="AN195" s="153">
        <f t="shared" ref="AN195:AN258" si="274">AS195-AM195</f>
        <v>0</v>
      </c>
      <c r="AO195" s="154">
        <f t="shared" ref="AO195:AO258" si="275">AS195-AP195</f>
        <v>0</v>
      </c>
      <c r="AP195" s="150">
        <v>0</v>
      </c>
      <c r="AQ195" s="201">
        <v>0</v>
      </c>
      <c r="AR195" s="199"/>
      <c r="AS195" s="150">
        <f t="shared" si="267"/>
        <v>0</v>
      </c>
      <c r="AT195" s="155"/>
      <c r="AU195" s="156">
        <f t="shared" si="268"/>
        <v>0</v>
      </c>
      <c r="AV195" s="156">
        <f t="shared" si="269"/>
        <v>0</v>
      </c>
      <c r="AW195" s="157"/>
      <c r="AX195" s="150">
        <v>0</v>
      </c>
      <c r="AY195" s="150">
        <v>0</v>
      </c>
      <c r="AZ195" s="150"/>
      <c r="BA195" s="150">
        <f t="shared" si="270"/>
        <v>0</v>
      </c>
      <c r="BB195" s="210"/>
      <c r="BC195" s="210"/>
      <c r="BD195" s="210"/>
      <c r="BE195" s="210"/>
      <c r="BF195" s="210"/>
      <c r="BG195" s="210"/>
      <c r="BH195" s="217"/>
      <c r="BI195" s="210"/>
      <c r="BJ195" s="210"/>
      <c r="BK195" s="210"/>
      <c r="BL195" s="210"/>
      <c r="BM195" s="208"/>
      <c r="BN195" s="160"/>
      <c r="BO195" s="161">
        <f t="shared" ref="BO195:BO258" si="276">BM195-AS195</f>
        <v>0</v>
      </c>
      <c r="BP195" s="161"/>
    </row>
    <row r="196" spans="1:68" ht="38.25">
      <c r="A196" s="210"/>
      <c r="B196" s="195" t="s">
        <v>5316</v>
      </c>
      <c r="C196" s="196" t="s">
        <v>5317</v>
      </c>
      <c r="D196" s="146" t="s">
        <v>4692</v>
      </c>
      <c r="E196" s="196" t="s">
        <v>5317</v>
      </c>
      <c r="F196" s="150">
        <v>0</v>
      </c>
      <c r="G196" s="209">
        <v>0</v>
      </c>
      <c r="H196" s="209"/>
      <c r="I196" s="209">
        <v>0</v>
      </c>
      <c r="J196" s="150">
        <v>0</v>
      </c>
      <c r="K196" s="150">
        <v>0</v>
      </c>
      <c r="L196" s="150">
        <f t="shared" si="208"/>
        <v>0</v>
      </c>
      <c r="M196" s="150">
        <v>0</v>
      </c>
      <c r="N196" s="150"/>
      <c r="O196" s="150">
        <v>0</v>
      </c>
      <c r="P196" s="150">
        <v>0</v>
      </c>
      <c r="Q196" s="150"/>
      <c r="R196" s="150">
        <f t="shared" si="263"/>
        <v>0</v>
      </c>
      <c r="S196" s="150">
        <f t="shared" si="271"/>
        <v>0</v>
      </c>
      <c r="T196" s="150"/>
      <c r="U196" s="150">
        <v>0</v>
      </c>
      <c r="V196" s="199"/>
      <c r="W196" s="150">
        <f t="shared" si="264"/>
        <v>0</v>
      </c>
      <c r="X196" s="150">
        <v>0</v>
      </c>
      <c r="Y196" s="150"/>
      <c r="Z196" s="150">
        <v>0</v>
      </c>
      <c r="AA196" s="150">
        <f t="shared" si="272"/>
        <v>0</v>
      </c>
      <c r="AB196" s="150">
        <v>0</v>
      </c>
      <c r="AC196" s="199"/>
      <c r="AD196" s="150">
        <f t="shared" si="265"/>
        <v>0</v>
      </c>
      <c r="AE196" s="150">
        <v>0</v>
      </c>
      <c r="AF196" s="169" t="s">
        <v>4680</v>
      </c>
      <c r="AG196" s="201">
        <v>0</v>
      </c>
      <c r="AH196" s="199"/>
      <c r="AI196" s="150">
        <v>0</v>
      </c>
      <c r="AJ196" s="169">
        <f t="shared" si="273"/>
        <v>0</v>
      </c>
      <c r="AK196" s="201">
        <v>0</v>
      </c>
      <c r="AL196" s="199"/>
      <c r="AM196" s="150">
        <f t="shared" si="266"/>
        <v>0</v>
      </c>
      <c r="AN196" s="153">
        <f t="shared" si="274"/>
        <v>0</v>
      </c>
      <c r="AO196" s="154">
        <f t="shared" si="275"/>
        <v>0</v>
      </c>
      <c r="AP196" s="150">
        <v>0</v>
      </c>
      <c r="AQ196" s="201">
        <v>0</v>
      </c>
      <c r="AR196" s="199"/>
      <c r="AS196" s="150">
        <f t="shared" si="267"/>
        <v>0</v>
      </c>
      <c r="AT196" s="155"/>
      <c r="AU196" s="156">
        <f t="shared" si="268"/>
        <v>0</v>
      </c>
      <c r="AV196" s="156">
        <f t="shared" si="269"/>
        <v>0</v>
      </c>
      <c r="AW196" s="157"/>
      <c r="AX196" s="150">
        <v>0</v>
      </c>
      <c r="AY196" s="150">
        <v>0</v>
      </c>
      <c r="AZ196" s="150"/>
      <c r="BA196" s="150">
        <f t="shared" si="270"/>
        <v>0</v>
      </c>
      <c r="BB196" s="210"/>
      <c r="BC196" s="210"/>
      <c r="BD196" s="210"/>
      <c r="BE196" s="210"/>
      <c r="BF196" s="210"/>
      <c r="BG196" s="210"/>
      <c r="BH196" s="217"/>
      <c r="BI196" s="210"/>
      <c r="BJ196" s="210"/>
      <c r="BK196" s="210"/>
      <c r="BL196" s="210"/>
      <c r="BM196" s="208"/>
      <c r="BN196" s="160"/>
      <c r="BO196" s="161">
        <f t="shared" si="276"/>
        <v>0</v>
      </c>
      <c r="BP196" s="161"/>
    </row>
    <row r="197" spans="1:68" ht="38.25">
      <c r="A197" s="206" t="s">
        <v>5306</v>
      </c>
      <c r="B197" s="195" t="s">
        <v>5318</v>
      </c>
      <c r="C197" s="196" t="s">
        <v>5319</v>
      </c>
      <c r="D197" s="146" t="s">
        <v>4692</v>
      </c>
      <c r="E197" s="196" t="s">
        <v>5319</v>
      </c>
      <c r="F197" s="150">
        <v>0</v>
      </c>
      <c r="G197" s="209">
        <v>0</v>
      </c>
      <c r="H197" s="209"/>
      <c r="I197" s="209">
        <v>0</v>
      </c>
      <c r="J197" s="150">
        <v>0</v>
      </c>
      <c r="K197" s="150">
        <v>0</v>
      </c>
      <c r="L197" s="150">
        <f t="shared" si="208"/>
        <v>0</v>
      </c>
      <c r="M197" s="150">
        <v>0</v>
      </c>
      <c r="N197" s="150"/>
      <c r="O197" s="150">
        <v>0</v>
      </c>
      <c r="P197" s="150">
        <v>0</v>
      </c>
      <c r="Q197" s="150"/>
      <c r="R197" s="150">
        <f t="shared" si="263"/>
        <v>0</v>
      </c>
      <c r="S197" s="150">
        <f t="shared" si="271"/>
        <v>0</v>
      </c>
      <c r="T197" s="150"/>
      <c r="U197" s="150">
        <v>0</v>
      </c>
      <c r="V197" s="199"/>
      <c r="W197" s="150">
        <f t="shared" si="264"/>
        <v>0</v>
      </c>
      <c r="X197" s="150">
        <v>0</v>
      </c>
      <c r="Y197" s="150"/>
      <c r="Z197" s="150">
        <v>0</v>
      </c>
      <c r="AA197" s="150">
        <f t="shared" si="272"/>
        <v>0</v>
      </c>
      <c r="AB197" s="150">
        <v>0</v>
      </c>
      <c r="AC197" s="199"/>
      <c r="AD197" s="150">
        <f t="shared" si="265"/>
        <v>0</v>
      </c>
      <c r="AE197" s="150">
        <v>0</v>
      </c>
      <c r="AF197" s="169" t="s">
        <v>4680</v>
      </c>
      <c r="AG197" s="201">
        <v>0</v>
      </c>
      <c r="AH197" s="199"/>
      <c r="AI197" s="150">
        <v>0</v>
      </c>
      <c r="AJ197" s="169">
        <f t="shared" si="273"/>
        <v>0</v>
      </c>
      <c r="AK197" s="201">
        <v>0</v>
      </c>
      <c r="AL197" s="199"/>
      <c r="AM197" s="150">
        <f t="shared" si="266"/>
        <v>0</v>
      </c>
      <c r="AN197" s="153">
        <f t="shared" si="274"/>
        <v>0</v>
      </c>
      <c r="AO197" s="154">
        <f t="shared" si="275"/>
        <v>0</v>
      </c>
      <c r="AP197" s="150">
        <v>0</v>
      </c>
      <c r="AQ197" s="201">
        <v>0</v>
      </c>
      <c r="AR197" s="199"/>
      <c r="AS197" s="150">
        <f t="shared" si="267"/>
        <v>0</v>
      </c>
      <c r="AT197" s="155"/>
      <c r="AU197" s="156">
        <f t="shared" si="268"/>
        <v>0</v>
      </c>
      <c r="AV197" s="156">
        <f t="shared" si="269"/>
        <v>0</v>
      </c>
      <c r="AW197" s="157"/>
      <c r="AX197" s="150">
        <v>0</v>
      </c>
      <c r="AY197" s="150">
        <v>0</v>
      </c>
      <c r="AZ197" s="150"/>
      <c r="BA197" s="150">
        <f t="shared" si="270"/>
        <v>0</v>
      </c>
      <c r="BB197" s="205">
        <v>4</v>
      </c>
      <c r="BC197" s="206" t="s">
        <v>693</v>
      </c>
      <c r="BD197" s="206" t="s">
        <v>671</v>
      </c>
      <c r="BE197" s="202" t="s">
        <v>632</v>
      </c>
      <c r="BF197" s="206" t="s">
        <v>647</v>
      </c>
      <c r="BG197" s="231" t="s">
        <v>5320</v>
      </c>
      <c r="BH197" s="216">
        <f>AS197</f>
        <v>0</v>
      </c>
      <c r="BI197" s="205"/>
      <c r="BJ197" s="206" t="s">
        <v>5308</v>
      </c>
      <c r="BK197" s="206" t="s">
        <v>5306</v>
      </c>
      <c r="BL197" s="207" t="s">
        <v>5309</v>
      </c>
      <c r="BM197" s="208">
        <f>BH197</f>
        <v>0</v>
      </c>
      <c r="BN197" s="160"/>
      <c r="BO197" s="161">
        <f t="shared" si="276"/>
        <v>0</v>
      </c>
      <c r="BP197" s="161"/>
    </row>
    <row r="198" spans="1:68" ht="38.25">
      <c r="A198" s="206" t="s">
        <v>5306</v>
      </c>
      <c r="B198" s="195" t="s">
        <v>5321</v>
      </c>
      <c r="C198" s="196" t="s">
        <v>5322</v>
      </c>
      <c r="D198" s="146" t="s">
        <v>4692</v>
      </c>
      <c r="E198" s="196" t="s">
        <v>5322</v>
      </c>
      <c r="F198" s="150">
        <v>1071555.72</v>
      </c>
      <c r="G198" s="209">
        <v>842451.56</v>
      </c>
      <c r="H198" s="209"/>
      <c r="I198" s="209">
        <v>842451.56</v>
      </c>
      <c r="J198" s="150">
        <v>135563.15</v>
      </c>
      <c r="K198" s="150">
        <v>0</v>
      </c>
      <c r="L198" s="150">
        <f t="shared" si="208"/>
        <v>135563.15</v>
      </c>
      <c r="M198" s="150">
        <v>302546.09000000003</v>
      </c>
      <c r="N198" s="150"/>
      <c r="O198" s="150">
        <v>302546.09000000003</v>
      </c>
      <c r="P198" s="150">
        <v>631411.47</v>
      </c>
      <c r="Q198" s="150"/>
      <c r="R198" s="150">
        <f t="shared" si="263"/>
        <v>631411.47</v>
      </c>
      <c r="S198" s="150">
        <f t="shared" si="271"/>
        <v>841881.96</v>
      </c>
      <c r="T198" s="150"/>
      <c r="U198" s="150">
        <v>1087930.92</v>
      </c>
      <c r="V198" s="199"/>
      <c r="W198" s="150">
        <f t="shared" si="264"/>
        <v>1087930.92</v>
      </c>
      <c r="X198" s="150">
        <v>1087930.92</v>
      </c>
      <c r="Y198" s="150"/>
      <c r="Z198" s="150">
        <v>1087930.92</v>
      </c>
      <c r="AA198" s="150">
        <f t="shared" si="272"/>
        <v>161131.72999999998</v>
      </c>
      <c r="AB198" s="150">
        <v>1249062.6499999999</v>
      </c>
      <c r="AC198" s="199"/>
      <c r="AD198" s="150">
        <f t="shared" si="265"/>
        <v>1249062.6499999999</v>
      </c>
      <c r="AE198" s="150">
        <v>1249062.6499999999</v>
      </c>
      <c r="AF198" s="169" t="s">
        <v>4680</v>
      </c>
      <c r="AG198" s="201">
        <v>1249062.6499999999</v>
      </c>
      <c r="AH198" s="199"/>
      <c r="AI198" s="150">
        <v>1249062.6499999999</v>
      </c>
      <c r="AJ198" s="169">
        <f t="shared" si="273"/>
        <v>0</v>
      </c>
      <c r="AK198" s="201">
        <v>1249062.6499999999</v>
      </c>
      <c r="AL198" s="199"/>
      <c r="AM198" s="150">
        <f t="shared" si="266"/>
        <v>1249062.6499999999</v>
      </c>
      <c r="AN198" s="153">
        <f t="shared" si="274"/>
        <v>309946.1100000001</v>
      </c>
      <c r="AO198" s="154">
        <f t="shared" si="275"/>
        <v>309946.1100000001</v>
      </c>
      <c r="AP198" s="150">
        <v>1249062.6499999999</v>
      </c>
      <c r="AQ198" s="201">
        <v>1559008.76</v>
      </c>
      <c r="AR198" s="199"/>
      <c r="AS198" s="150">
        <f t="shared" si="267"/>
        <v>1559008.76</v>
      </c>
      <c r="AT198" s="155"/>
      <c r="AU198" s="156">
        <f t="shared" si="268"/>
        <v>0</v>
      </c>
      <c r="AV198" s="156">
        <f t="shared" si="269"/>
        <v>161131.72999999998</v>
      </c>
      <c r="AW198" s="157"/>
      <c r="AX198" s="150">
        <v>1087930.92</v>
      </c>
      <c r="AY198" s="150">
        <v>444523.93</v>
      </c>
      <c r="AZ198" s="150"/>
      <c r="BA198" s="150">
        <f t="shared" si="270"/>
        <v>444523.93</v>
      </c>
      <c r="BB198" s="205">
        <v>4</v>
      </c>
      <c r="BC198" s="206" t="s">
        <v>693</v>
      </c>
      <c r="BD198" s="206" t="s">
        <v>671</v>
      </c>
      <c r="BE198" s="202" t="s">
        <v>632</v>
      </c>
      <c r="BF198" s="206" t="s">
        <v>671</v>
      </c>
      <c r="BG198" s="231" t="s">
        <v>5323</v>
      </c>
      <c r="BH198" s="216">
        <f>AS198+AS199</f>
        <v>1603918.22</v>
      </c>
      <c r="BI198" s="205"/>
      <c r="BJ198" s="206" t="s">
        <v>5308</v>
      </c>
      <c r="BK198" s="206" t="s">
        <v>5306</v>
      </c>
      <c r="BL198" s="207" t="s">
        <v>5309</v>
      </c>
      <c r="BM198" s="208">
        <f>BH198</f>
        <v>1603918.22</v>
      </c>
      <c r="BN198" s="160"/>
      <c r="BO198" s="161"/>
      <c r="BP198" s="161"/>
    </row>
    <row r="199" spans="1:68" ht="25.5">
      <c r="A199" s="206" t="s">
        <v>5306</v>
      </c>
      <c r="B199" s="195" t="s">
        <v>5324</v>
      </c>
      <c r="C199" s="196" t="s">
        <v>5325</v>
      </c>
      <c r="D199" s="146" t="s">
        <v>4692</v>
      </c>
      <c r="E199" s="196" t="s">
        <v>5325</v>
      </c>
      <c r="F199" s="150"/>
      <c r="G199" s="209"/>
      <c r="H199" s="209"/>
      <c r="I199" s="209"/>
      <c r="J199" s="150"/>
      <c r="K199" s="150"/>
      <c r="L199" s="150"/>
      <c r="M199" s="150"/>
      <c r="N199" s="150"/>
      <c r="O199" s="150"/>
      <c r="P199" s="150">
        <v>9978</v>
      </c>
      <c r="Q199" s="150"/>
      <c r="R199" s="150">
        <f t="shared" si="263"/>
        <v>9978</v>
      </c>
      <c r="S199" s="150">
        <f t="shared" si="271"/>
        <v>13304</v>
      </c>
      <c r="T199" s="150"/>
      <c r="U199" s="150">
        <v>31665.46</v>
      </c>
      <c r="V199" s="199"/>
      <c r="W199" s="150">
        <f t="shared" si="264"/>
        <v>31665.46</v>
      </c>
      <c r="X199" s="150">
        <v>31665.46</v>
      </c>
      <c r="Y199" s="150"/>
      <c r="Z199" s="150">
        <v>31665.46</v>
      </c>
      <c r="AA199" s="150">
        <f t="shared" si="272"/>
        <v>13244</v>
      </c>
      <c r="AB199" s="150">
        <v>44909.46</v>
      </c>
      <c r="AC199" s="199"/>
      <c r="AD199" s="150">
        <f t="shared" si="265"/>
        <v>44909.46</v>
      </c>
      <c r="AE199" s="150">
        <v>44909.46</v>
      </c>
      <c r="AF199" s="169" t="s">
        <v>4680</v>
      </c>
      <c r="AG199" s="201">
        <v>44909.46</v>
      </c>
      <c r="AH199" s="199"/>
      <c r="AI199" s="150">
        <v>44909.46</v>
      </c>
      <c r="AJ199" s="169">
        <f t="shared" si="273"/>
        <v>0</v>
      </c>
      <c r="AK199" s="201">
        <v>44909.46</v>
      </c>
      <c r="AL199" s="199"/>
      <c r="AM199" s="150">
        <f t="shared" si="266"/>
        <v>44909.46</v>
      </c>
      <c r="AN199" s="153">
        <f t="shared" si="274"/>
        <v>0</v>
      </c>
      <c r="AO199" s="154">
        <f t="shared" si="275"/>
        <v>0</v>
      </c>
      <c r="AP199" s="150">
        <v>44909.46</v>
      </c>
      <c r="AQ199" s="201">
        <v>44909.46</v>
      </c>
      <c r="AR199" s="199"/>
      <c r="AS199" s="150">
        <f t="shared" si="267"/>
        <v>44909.46</v>
      </c>
      <c r="AT199" s="155"/>
      <c r="AU199" s="156">
        <f t="shared" si="268"/>
        <v>0</v>
      </c>
      <c r="AV199" s="156">
        <f t="shared" si="269"/>
        <v>13244</v>
      </c>
      <c r="AW199" s="157"/>
      <c r="AX199" s="150">
        <v>31665.46</v>
      </c>
      <c r="AY199" s="150">
        <v>9978</v>
      </c>
      <c r="AZ199" s="150"/>
      <c r="BA199" s="150">
        <f t="shared" si="270"/>
        <v>9978</v>
      </c>
      <c r="BB199" s="205"/>
      <c r="BC199" s="206"/>
      <c r="BD199" s="206"/>
      <c r="BE199" s="202"/>
      <c r="BF199" s="206"/>
      <c r="BG199" s="231"/>
      <c r="BH199" s="216"/>
      <c r="BI199" s="205"/>
      <c r="BJ199" s="206"/>
      <c r="BK199" s="206"/>
      <c r="BL199" s="207"/>
      <c r="BM199" s="208"/>
      <c r="BN199" s="160"/>
      <c r="BO199" s="161"/>
      <c r="BP199" s="161"/>
    </row>
    <row r="200" spans="1:68" ht="38.25">
      <c r="A200" s="206" t="s">
        <v>5306</v>
      </c>
      <c r="B200" s="195" t="s">
        <v>5326</v>
      </c>
      <c r="C200" s="196" t="s">
        <v>5327</v>
      </c>
      <c r="D200" s="146" t="s">
        <v>4692</v>
      </c>
      <c r="E200" s="196" t="s">
        <v>5327</v>
      </c>
      <c r="F200" s="150">
        <v>0</v>
      </c>
      <c r="G200" s="209">
        <v>0</v>
      </c>
      <c r="H200" s="209"/>
      <c r="I200" s="209">
        <v>0</v>
      </c>
      <c r="J200" s="150">
        <v>0</v>
      </c>
      <c r="K200" s="150">
        <v>0</v>
      </c>
      <c r="L200" s="150">
        <f t="shared" ref="L200:L263" si="277">J200+K200</f>
        <v>0</v>
      </c>
      <c r="M200" s="150">
        <v>0</v>
      </c>
      <c r="N200" s="150"/>
      <c r="O200" s="150">
        <v>0</v>
      </c>
      <c r="P200" s="150">
        <v>0</v>
      </c>
      <c r="Q200" s="150"/>
      <c r="R200" s="150">
        <f t="shared" si="263"/>
        <v>0</v>
      </c>
      <c r="S200" s="150">
        <f t="shared" si="271"/>
        <v>0</v>
      </c>
      <c r="T200" s="150"/>
      <c r="U200" s="150">
        <v>0</v>
      </c>
      <c r="V200" s="199"/>
      <c r="W200" s="150">
        <f t="shared" si="264"/>
        <v>0</v>
      </c>
      <c r="X200" s="150">
        <v>0</v>
      </c>
      <c r="Y200" s="150"/>
      <c r="Z200" s="150">
        <v>0</v>
      </c>
      <c r="AA200" s="150">
        <f t="shared" si="272"/>
        <v>0</v>
      </c>
      <c r="AB200" s="150">
        <v>0</v>
      </c>
      <c r="AC200" s="199"/>
      <c r="AD200" s="150">
        <f t="shared" si="265"/>
        <v>0</v>
      </c>
      <c r="AE200" s="150">
        <v>0</v>
      </c>
      <c r="AF200" s="169" t="s">
        <v>4680</v>
      </c>
      <c r="AG200" s="201">
        <v>0</v>
      </c>
      <c r="AH200" s="199"/>
      <c r="AI200" s="150">
        <v>0</v>
      </c>
      <c r="AJ200" s="169">
        <f t="shared" si="273"/>
        <v>0</v>
      </c>
      <c r="AK200" s="201">
        <v>0</v>
      </c>
      <c r="AL200" s="199"/>
      <c r="AM200" s="150">
        <f t="shared" si="266"/>
        <v>0</v>
      </c>
      <c r="AN200" s="153">
        <f t="shared" si="274"/>
        <v>0</v>
      </c>
      <c r="AO200" s="154">
        <f t="shared" si="275"/>
        <v>0</v>
      </c>
      <c r="AP200" s="150">
        <v>0</v>
      </c>
      <c r="AQ200" s="201">
        <v>0</v>
      </c>
      <c r="AR200" s="199"/>
      <c r="AS200" s="150">
        <f t="shared" si="267"/>
        <v>0</v>
      </c>
      <c r="AT200" s="155"/>
      <c r="AU200" s="156">
        <f t="shared" si="268"/>
        <v>0</v>
      </c>
      <c r="AV200" s="156">
        <f t="shared" si="269"/>
        <v>0</v>
      </c>
      <c r="AW200" s="157"/>
      <c r="AX200" s="150">
        <v>0</v>
      </c>
      <c r="AY200" s="150">
        <v>0</v>
      </c>
      <c r="AZ200" s="150"/>
      <c r="BA200" s="150">
        <f t="shared" si="270"/>
        <v>0</v>
      </c>
      <c r="BB200" s="205">
        <v>4</v>
      </c>
      <c r="BC200" s="206" t="s">
        <v>693</v>
      </c>
      <c r="BD200" s="206" t="s">
        <v>671</v>
      </c>
      <c r="BE200" s="202" t="s">
        <v>632</v>
      </c>
      <c r="BF200" s="206" t="s">
        <v>693</v>
      </c>
      <c r="BG200" s="231" t="s">
        <v>5328</v>
      </c>
      <c r="BH200" s="216">
        <f>AS200</f>
        <v>0</v>
      </c>
      <c r="BI200" s="205"/>
      <c r="BJ200" s="206" t="s">
        <v>5308</v>
      </c>
      <c r="BK200" s="206" t="s">
        <v>5306</v>
      </c>
      <c r="BL200" s="207" t="s">
        <v>5309</v>
      </c>
      <c r="BM200" s="208">
        <f>BH200</f>
        <v>0</v>
      </c>
      <c r="BN200" s="160"/>
      <c r="BO200" s="161">
        <f t="shared" si="276"/>
        <v>0</v>
      </c>
      <c r="BP200" s="161"/>
    </row>
    <row r="201" spans="1:68" ht="38.25">
      <c r="A201" s="206" t="s">
        <v>5306</v>
      </c>
      <c r="B201" s="195" t="s">
        <v>5329</v>
      </c>
      <c r="C201" s="196" t="s">
        <v>5330</v>
      </c>
      <c r="D201" s="146" t="s">
        <v>4692</v>
      </c>
      <c r="E201" s="196" t="s">
        <v>5330</v>
      </c>
      <c r="F201" s="150">
        <v>495090.52</v>
      </c>
      <c r="G201" s="209">
        <v>0</v>
      </c>
      <c r="H201" s="209"/>
      <c r="I201" s="209">
        <v>0</v>
      </c>
      <c r="J201" s="150">
        <v>0</v>
      </c>
      <c r="K201" s="150">
        <v>0</v>
      </c>
      <c r="L201" s="150">
        <f t="shared" si="277"/>
        <v>0</v>
      </c>
      <c r="M201" s="150">
        <v>0</v>
      </c>
      <c r="N201" s="150">
        <v>49457.36</v>
      </c>
      <c r="O201" s="150">
        <v>49457.36</v>
      </c>
      <c r="P201" s="150">
        <v>49457.36</v>
      </c>
      <c r="Q201" s="150"/>
      <c r="R201" s="150">
        <f t="shared" si="263"/>
        <v>49457.36</v>
      </c>
      <c r="S201" s="150">
        <f t="shared" si="271"/>
        <v>65943.146666666667</v>
      </c>
      <c r="T201" s="150"/>
      <c r="U201" s="150">
        <v>242865.04</v>
      </c>
      <c r="V201" s="199"/>
      <c r="W201" s="150">
        <f t="shared" si="264"/>
        <v>242865.04</v>
      </c>
      <c r="X201" s="150">
        <v>242865.04</v>
      </c>
      <c r="Y201" s="150"/>
      <c r="Z201" s="150">
        <v>242865.04</v>
      </c>
      <c r="AA201" s="150">
        <f t="shared" si="272"/>
        <v>0</v>
      </c>
      <c r="AB201" s="150">
        <v>242865.04</v>
      </c>
      <c r="AC201" s="199"/>
      <c r="AD201" s="150">
        <f t="shared" si="265"/>
        <v>242865.04</v>
      </c>
      <c r="AE201" s="150">
        <v>242865.04</v>
      </c>
      <c r="AF201" s="169" t="s">
        <v>4680</v>
      </c>
      <c r="AG201" s="201">
        <v>242865.04</v>
      </c>
      <c r="AH201" s="199"/>
      <c r="AI201" s="150">
        <v>242865.04</v>
      </c>
      <c r="AJ201" s="169">
        <f t="shared" si="273"/>
        <v>0</v>
      </c>
      <c r="AK201" s="201">
        <v>242865.04</v>
      </c>
      <c r="AL201" s="199"/>
      <c r="AM201" s="150">
        <f t="shared" si="266"/>
        <v>242865.04</v>
      </c>
      <c r="AN201" s="153">
        <f t="shared" si="274"/>
        <v>0</v>
      </c>
      <c r="AO201" s="154">
        <f t="shared" si="275"/>
        <v>0</v>
      </c>
      <c r="AP201" s="150">
        <v>242865.04</v>
      </c>
      <c r="AQ201" s="201">
        <v>242865.04</v>
      </c>
      <c r="AR201" s="199"/>
      <c r="AS201" s="150">
        <f t="shared" si="267"/>
        <v>242865.04</v>
      </c>
      <c r="AT201" s="155"/>
      <c r="AU201" s="156">
        <f t="shared" si="268"/>
        <v>0</v>
      </c>
      <c r="AV201" s="156">
        <f t="shared" si="269"/>
        <v>0</v>
      </c>
      <c r="AW201" s="157"/>
      <c r="AX201" s="150">
        <v>242865.04</v>
      </c>
      <c r="AY201" s="150">
        <v>49457.36</v>
      </c>
      <c r="AZ201" s="150"/>
      <c r="BA201" s="150">
        <f t="shared" si="270"/>
        <v>49457.36</v>
      </c>
      <c r="BB201" s="205">
        <v>4</v>
      </c>
      <c r="BC201" s="206" t="s">
        <v>693</v>
      </c>
      <c r="BD201" s="206" t="s">
        <v>671</v>
      </c>
      <c r="BE201" s="202" t="s">
        <v>632</v>
      </c>
      <c r="BF201" s="206" t="s">
        <v>714</v>
      </c>
      <c r="BG201" s="203" t="s">
        <v>5331</v>
      </c>
      <c r="BH201" s="216">
        <f>AS201</f>
        <v>242865.04</v>
      </c>
      <c r="BI201" s="205"/>
      <c r="BJ201" s="206" t="s">
        <v>5308</v>
      </c>
      <c r="BK201" s="206" t="s">
        <v>5306</v>
      </c>
      <c r="BL201" s="207" t="s">
        <v>5309</v>
      </c>
      <c r="BM201" s="208">
        <f>BH201</f>
        <v>242865.04</v>
      </c>
      <c r="BN201" s="160"/>
      <c r="BO201" s="161">
        <f t="shared" si="276"/>
        <v>0</v>
      </c>
      <c r="BP201" s="161"/>
    </row>
    <row r="202" spans="1:68" ht="38.25">
      <c r="A202" s="206" t="s">
        <v>5306</v>
      </c>
      <c r="B202" s="195" t="s">
        <v>5332</v>
      </c>
      <c r="C202" s="196" t="s">
        <v>5333</v>
      </c>
      <c r="D202" s="146" t="s">
        <v>4692</v>
      </c>
      <c r="E202" s="196" t="s">
        <v>5333</v>
      </c>
      <c r="F202" s="150">
        <v>337777.8</v>
      </c>
      <c r="G202" s="209">
        <v>97396.84</v>
      </c>
      <c r="H202" s="209"/>
      <c r="I202" s="209">
        <v>97396.84</v>
      </c>
      <c r="J202" s="150">
        <v>21144.39</v>
      </c>
      <c r="K202" s="150">
        <v>0</v>
      </c>
      <c r="L202" s="150">
        <f t="shared" si="277"/>
        <v>21144.39</v>
      </c>
      <c r="M202" s="150">
        <v>44304.21</v>
      </c>
      <c r="N202" s="150"/>
      <c r="O202" s="150">
        <v>44304.21</v>
      </c>
      <c r="P202" s="150">
        <v>68587.199999999997</v>
      </c>
      <c r="Q202" s="150"/>
      <c r="R202" s="150">
        <f t="shared" si="263"/>
        <v>68587.199999999997</v>
      </c>
      <c r="S202" s="150">
        <f t="shared" si="271"/>
        <v>91449.599999999991</v>
      </c>
      <c r="T202" s="150"/>
      <c r="U202" s="150">
        <v>112321.48</v>
      </c>
      <c r="V202" s="199"/>
      <c r="W202" s="150">
        <f t="shared" si="264"/>
        <v>112321.48</v>
      </c>
      <c r="X202" s="150">
        <v>112321.48</v>
      </c>
      <c r="Y202" s="150"/>
      <c r="Z202" s="150">
        <v>112321.48</v>
      </c>
      <c r="AA202" s="150">
        <f t="shared" si="272"/>
        <v>70963.720000000016</v>
      </c>
      <c r="AB202" s="150">
        <v>183285.2</v>
      </c>
      <c r="AC202" s="199"/>
      <c r="AD202" s="150">
        <f t="shared" si="265"/>
        <v>183285.2</v>
      </c>
      <c r="AE202" s="150">
        <v>188197.33</v>
      </c>
      <c r="AF202" s="169" t="s">
        <v>4680</v>
      </c>
      <c r="AG202" s="201">
        <v>188197.33</v>
      </c>
      <c r="AH202" s="199"/>
      <c r="AI202" s="150">
        <v>188197.33</v>
      </c>
      <c r="AJ202" s="169">
        <f t="shared" si="273"/>
        <v>0</v>
      </c>
      <c r="AK202" s="201">
        <v>188197.33</v>
      </c>
      <c r="AL202" s="199"/>
      <c r="AM202" s="150">
        <f t="shared" si="266"/>
        <v>188197.33</v>
      </c>
      <c r="AN202" s="153">
        <f t="shared" si="274"/>
        <v>0</v>
      </c>
      <c r="AO202" s="154">
        <f t="shared" si="275"/>
        <v>0</v>
      </c>
      <c r="AP202" s="150">
        <v>188197.33</v>
      </c>
      <c r="AQ202" s="201">
        <v>188197.33</v>
      </c>
      <c r="AR202" s="199"/>
      <c r="AS202" s="150">
        <f t="shared" si="267"/>
        <v>188197.33</v>
      </c>
      <c r="AT202" s="155"/>
      <c r="AU202" s="156">
        <f t="shared" si="268"/>
        <v>4912.1299999999756</v>
      </c>
      <c r="AV202" s="156">
        <f t="shared" si="269"/>
        <v>70963.720000000016</v>
      </c>
      <c r="AW202" s="157"/>
      <c r="AX202" s="150">
        <v>112321.48</v>
      </c>
      <c r="AY202" s="150">
        <v>59568.44</v>
      </c>
      <c r="AZ202" s="150"/>
      <c r="BA202" s="150">
        <f t="shared" si="270"/>
        <v>59568.44</v>
      </c>
      <c r="BB202" s="205">
        <v>4</v>
      </c>
      <c r="BC202" s="206" t="s">
        <v>693</v>
      </c>
      <c r="BD202" s="206" t="s">
        <v>671</v>
      </c>
      <c r="BE202" s="202" t="s">
        <v>632</v>
      </c>
      <c r="BF202" s="206" t="s">
        <v>1124</v>
      </c>
      <c r="BG202" s="231" t="s">
        <v>5334</v>
      </c>
      <c r="BH202" s="216">
        <f>SUM(AS202:AS204)</f>
        <v>188197.33</v>
      </c>
      <c r="BI202" s="205"/>
      <c r="BJ202" s="206" t="s">
        <v>5308</v>
      </c>
      <c r="BK202" s="206" t="s">
        <v>5306</v>
      </c>
      <c r="BL202" s="207" t="s">
        <v>5309</v>
      </c>
      <c r="BM202" s="208">
        <f>BH202</f>
        <v>188197.33</v>
      </c>
      <c r="BN202" s="160"/>
      <c r="BO202" s="161">
        <f t="shared" si="276"/>
        <v>0</v>
      </c>
      <c r="BP202" s="161"/>
    </row>
    <row r="203" spans="1:68">
      <c r="A203" s="206"/>
      <c r="B203" s="195" t="s">
        <v>5335</v>
      </c>
      <c r="C203" s="196" t="s">
        <v>5336</v>
      </c>
      <c r="D203" s="146" t="s">
        <v>4692</v>
      </c>
      <c r="E203" s="257" t="s">
        <v>5336</v>
      </c>
      <c r="F203" s="150">
        <v>0</v>
      </c>
      <c r="G203" s="258">
        <v>0</v>
      </c>
      <c r="H203" s="258"/>
      <c r="I203" s="258">
        <v>0</v>
      </c>
      <c r="J203" s="150">
        <v>0</v>
      </c>
      <c r="K203" s="150">
        <v>0</v>
      </c>
      <c r="L203" s="150">
        <f t="shared" si="277"/>
        <v>0</v>
      </c>
      <c r="M203" s="150">
        <v>0</v>
      </c>
      <c r="N203" s="150"/>
      <c r="O203" s="150">
        <v>0</v>
      </c>
      <c r="P203" s="150">
        <v>0</v>
      </c>
      <c r="Q203" s="150"/>
      <c r="R203" s="150">
        <f t="shared" si="263"/>
        <v>0</v>
      </c>
      <c r="S203" s="150">
        <f t="shared" si="271"/>
        <v>0</v>
      </c>
      <c r="T203" s="150"/>
      <c r="U203" s="150">
        <v>0</v>
      </c>
      <c r="V203" s="199"/>
      <c r="W203" s="150">
        <f t="shared" si="264"/>
        <v>0</v>
      </c>
      <c r="X203" s="150">
        <v>0</v>
      </c>
      <c r="Y203" s="150"/>
      <c r="Z203" s="150">
        <v>0</v>
      </c>
      <c r="AA203" s="150">
        <f t="shared" si="272"/>
        <v>0</v>
      </c>
      <c r="AB203" s="150">
        <v>0</v>
      </c>
      <c r="AC203" s="199"/>
      <c r="AD203" s="150">
        <f t="shared" si="265"/>
        <v>0</v>
      </c>
      <c r="AE203" s="150">
        <v>0</v>
      </c>
      <c r="AF203" s="169" t="s">
        <v>4680</v>
      </c>
      <c r="AG203" s="201">
        <v>0</v>
      </c>
      <c r="AH203" s="199"/>
      <c r="AI203" s="150">
        <v>0</v>
      </c>
      <c r="AJ203" s="169">
        <f t="shared" si="273"/>
        <v>0</v>
      </c>
      <c r="AK203" s="201">
        <v>0</v>
      </c>
      <c r="AL203" s="199"/>
      <c r="AM203" s="150">
        <f t="shared" si="266"/>
        <v>0</v>
      </c>
      <c r="AN203" s="153">
        <f t="shared" si="274"/>
        <v>0</v>
      </c>
      <c r="AO203" s="154">
        <f t="shared" si="275"/>
        <v>0</v>
      </c>
      <c r="AP203" s="150">
        <v>0</v>
      </c>
      <c r="AQ203" s="201">
        <v>0</v>
      </c>
      <c r="AR203" s="199"/>
      <c r="AS203" s="150">
        <f t="shared" si="267"/>
        <v>0</v>
      </c>
      <c r="AT203" s="155"/>
      <c r="AU203" s="156">
        <f t="shared" si="268"/>
        <v>0</v>
      </c>
      <c r="AV203" s="156">
        <f t="shared" si="269"/>
        <v>0</v>
      </c>
      <c r="AW203" s="157"/>
      <c r="AX203" s="150">
        <v>0</v>
      </c>
      <c r="AY203" s="150">
        <v>0</v>
      </c>
      <c r="AZ203" s="150"/>
      <c r="BA203" s="150">
        <f t="shared" si="270"/>
        <v>0</v>
      </c>
      <c r="BB203" s="205"/>
      <c r="BC203" s="206"/>
      <c r="BD203" s="206"/>
      <c r="BE203" s="202"/>
      <c r="BF203" s="206"/>
      <c r="BG203" s="231"/>
      <c r="BH203" s="216"/>
      <c r="BI203" s="205"/>
      <c r="BJ203" s="206"/>
      <c r="BK203" s="206"/>
      <c r="BL203" s="207"/>
      <c r="BM203" s="208"/>
      <c r="BN203" s="160"/>
      <c r="BO203" s="161">
        <f t="shared" si="276"/>
        <v>0</v>
      </c>
      <c r="BP203" s="161"/>
    </row>
    <row r="204" spans="1:68" ht="38.25">
      <c r="A204" s="206"/>
      <c r="B204" s="195" t="s">
        <v>5337</v>
      </c>
      <c r="C204" s="196" t="s">
        <v>5338</v>
      </c>
      <c r="D204" s="146" t="s">
        <v>4692</v>
      </c>
      <c r="E204" s="259" t="s">
        <v>5338</v>
      </c>
      <c r="F204" s="150">
        <v>0</v>
      </c>
      <c r="G204" s="260">
        <v>0</v>
      </c>
      <c r="H204" s="260"/>
      <c r="I204" s="260">
        <v>0</v>
      </c>
      <c r="J204" s="150">
        <v>0</v>
      </c>
      <c r="K204" s="150">
        <v>0</v>
      </c>
      <c r="L204" s="150">
        <f t="shared" si="277"/>
        <v>0</v>
      </c>
      <c r="M204" s="150">
        <v>0</v>
      </c>
      <c r="N204" s="150"/>
      <c r="O204" s="150">
        <v>0</v>
      </c>
      <c r="P204" s="150">
        <v>0</v>
      </c>
      <c r="Q204" s="150"/>
      <c r="R204" s="150">
        <f t="shared" si="263"/>
        <v>0</v>
      </c>
      <c r="S204" s="150">
        <f t="shared" si="271"/>
        <v>0</v>
      </c>
      <c r="T204" s="150"/>
      <c r="U204" s="150">
        <v>0</v>
      </c>
      <c r="V204" s="199"/>
      <c r="W204" s="150">
        <f t="shared" si="264"/>
        <v>0</v>
      </c>
      <c r="X204" s="150">
        <v>0</v>
      </c>
      <c r="Y204" s="150"/>
      <c r="Z204" s="150">
        <v>0</v>
      </c>
      <c r="AA204" s="150">
        <f t="shared" si="272"/>
        <v>0</v>
      </c>
      <c r="AB204" s="150">
        <v>0</v>
      </c>
      <c r="AC204" s="199"/>
      <c r="AD204" s="150">
        <f t="shared" si="265"/>
        <v>0</v>
      </c>
      <c r="AE204" s="150">
        <v>0</v>
      </c>
      <c r="AF204" s="169" t="s">
        <v>4680</v>
      </c>
      <c r="AG204" s="201">
        <v>0</v>
      </c>
      <c r="AH204" s="199"/>
      <c r="AI204" s="150">
        <v>0</v>
      </c>
      <c r="AJ204" s="169">
        <f t="shared" si="273"/>
        <v>0</v>
      </c>
      <c r="AK204" s="201">
        <v>0</v>
      </c>
      <c r="AL204" s="199"/>
      <c r="AM204" s="150">
        <f t="shared" si="266"/>
        <v>0</v>
      </c>
      <c r="AN204" s="153">
        <f t="shared" si="274"/>
        <v>0</v>
      </c>
      <c r="AO204" s="154">
        <f t="shared" si="275"/>
        <v>0</v>
      </c>
      <c r="AP204" s="150">
        <v>0</v>
      </c>
      <c r="AQ204" s="201">
        <v>0</v>
      </c>
      <c r="AR204" s="199"/>
      <c r="AS204" s="150">
        <f t="shared" si="267"/>
        <v>0</v>
      </c>
      <c r="AT204" s="155"/>
      <c r="AU204" s="156">
        <f t="shared" si="268"/>
        <v>0</v>
      </c>
      <c r="AV204" s="156">
        <f t="shared" si="269"/>
        <v>0</v>
      </c>
      <c r="AW204" s="157"/>
      <c r="AX204" s="150">
        <v>0</v>
      </c>
      <c r="AY204" s="150">
        <v>0</v>
      </c>
      <c r="AZ204" s="150"/>
      <c r="BA204" s="150">
        <f t="shared" si="270"/>
        <v>0</v>
      </c>
      <c r="BB204" s="205"/>
      <c r="BC204" s="206"/>
      <c r="BD204" s="206"/>
      <c r="BE204" s="202"/>
      <c r="BF204" s="206"/>
      <c r="BG204" s="231"/>
      <c r="BH204" s="216"/>
      <c r="BI204" s="205"/>
      <c r="BJ204" s="206"/>
      <c r="BK204" s="206"/>
      <c r="BL204" s="207"/>
      <c r="BM204" s="208"/>
      <c r="BN204" s="160"/>
      <c r="BO204" s="161">
        <f t="shared" si="276"/>
        <v>0</v>
      </c>
      <c r="BP204" s="161"/>
    </row>
    <row r="205" spans="1:68" ht="38.25">
      <c r="A205" s="254" t="s">
        <v>5339</v>
      </c>
      <c r="B205" s="174"/>
      <c r="C205" s="175" t="s">
        <v>5340</v>
      </c>
      <c r="D205" s="146" t="s">
        <v>4692</v>
      </c>
      <c r="E205" s="175" t="s">
        <v>5340</v>
      </c>
      <c r="F205" s="176">
        <v>3515426.7100000004</v>
      </c>
      <c r="G205" s="177">
        <v>3451979.1100000003</v>
      </c>
      <c r="H205" s="177">
        <v>0</v>
      </c>
      <c r="I205" s="177">
        <v>3451979.1100000003</v>
      </c>
      <c r="J205" s="176">
        <f>J206+J208+J211+J213+J215+J217+J221</f>
        <v>1033710.78</v>
      </c>
      <c r="K205" s="176">
        <f>K206+K208+K211+K213+K215+K217+K221</f>
        <v>0</v>
      </c>
      <c r="L205" s="178">
        <f t="shared" si="277"/>
        <v>1033710.78</v>
      </c>
      <c r="M205" s="178">
        <v>2060753.1900000002</v>
      </c>
      <c r="N205" s="178">
        <v>36040.345000000001</v>
      </c>
      <c r="O205" s="178">
        <v>2096793.5350000001</v>
      </c>
      <c r="P205" s="221">
        <f t="shared" ref="P205:R205" si="278">P206+P208+P211+P213+P215+P217+P221</f>
        <v>3006018.7</v>
      </c>
      <c r="Q205" s="221">
        <f t="shared" si="278"/>
        <v>10000</v>
      </c>
      <c r="R205" s="221">
        <f t="shared" si="278"/>
        <v>3016018.7</v>
      </c>
      <c r="S205" s="150">
        <f t="shared" si="271"/>
        <v>4021358.2666666671</v>
      </c>
      <c r="T205" s="213"/>
      <c r="U205" s="221">
        <f t="shared" ref="U205:W205" si="279">U206+U208+U211+U213+U215+U217+U221</f>
        <v>4110299.4699999997</v>
      </c>
      <c r="V205" s="222">
        <f t="shared" si="279"/>
        <v>0</v>
      </c>
      <c r="W205" s="221">
        <f t="shared" si="279"/>
        <v>4110299.4699999997</v>
      </c>
      <c r="X205" s="221">
        <v>4110299.4699999997</v>
      </c>
      <c r="Y205" s="221">
        <v>0</v>
      </c>
      <c r="Z205" s="221">
        <v>4110299.4699999997</v>
      </c>
      <c r="AA205" s="221">
        <f t="shared" si="272"/>
        <v>62503</v>
      </c>
      <c r="AB205" s="221">
        <v>4172802.4699999997</v>
      </c>
      <c r="AC205" s="222">
        <v>0</v>
      </c>
      <c r="AD205" s="221">
        <f t="shared" ref="AD205" si="280">AD206+AD208+AD211+AD213+AD215+AD217+AD221</f>
        <v>4172802.4699999997</v>
      </c>
      <c r="AE205" s="221">
        <v>4172802.4699999997</v>
      </c>
      <c r="AF205" s="169" t="s">
        <v>4680</v>
      </c>
      <c r="AG205" s="223">
        <v>4172802.4699999997</v>
      </c>
      <c r="AH205" s="222">
        <v>0</v>
      </c>
      <c r="AI205" s="221">
        <v>4172802.4699999997</v>
      </c>
      <c r="AJ205" s="169">
        <f t="shared" si="273"/>
        <v>0</v>
      </c>
      <c r="AK205" s="223">
        <v>4172802.4699999997</v>
      </c>
      <c r="AL205" s="222">
        <v>0</v>
      </c>
      <c r="AM205" s="221">
        <f t="shared" ref="AM205" si="281">AM206+AM208+AM211+AM213+AM215+AM217+AM221</f>
        <v>4172802.4699999997</v>
      </c>
      <c r="AN205" s="153">
        <f t="shared" si="274"/>
        <v>0</v>
      </c>
      <c r="AO205" s="154">
        <f t="shared" si="275"/>
        <v>0</v>
      </c>
      <c r="AP205" s="221">
        <v>4172802.4699999997</v>
      </c>
      <c r="AQ205" s="223">
        <v>4172802.4699999997</v>
      </c>
      <c r="AR205" s="222">
        <f t="shared" ref="AR205:AS205" si="282">AR206+AR208+AR211+AR213+AR215+AR217+AR221</f>
        <v>0</v>
      </c>
      <c r="AS205" s="221">
        <f t="shared" si="282"/>
        <v>4172802.4699999997</v>
      </c>
      <c r="AT205" s="155"/>
      <c r="AU205" s="156">
        <f t="shared" si="268"/>
        <v>0</v>
      </c>
      <c r="AV205" s="156">
        <f t="shared" si="269"/>
        <v>62503</v>
      </c>
      <c r="AW205" s="157"/>
      <c r="AX205" s="150">
        <v>4110299.4699999997</v>
      </c>
      <c r="AY205" s="221">
        <f t="shared" ref="AY205:BA205" si="283">AY206+AY208+AY211+AY213+AY215+AY217+AY221</f>
        <v>2632312.3000000003</v>
      </c>
      <c r="AZ205" s="221">
        <f t="shared" si="283"/>
        <v>1636064.9900000002</v>
      </c>
      <c r="BA205" s="221">
        <f t="shared" si="283"/>
        <v>4268377.29</v>
      </c>
      <c r="BB205" s="254">
        <v>4</v>
      </c>
      <c r="BC205" s="255" t="s">
        <v>693</v>
      </c>
      <c r="BD205" s="255" t="s">
        <v>693</v>
      </c>
      <c r="BE205" s="173" t="s">
        <v>630</v>
      </c>
      <c r="BF205" s="255" t="s">
        <v>630</v>
      </c>
      <c r="BG205" s="175" t="s">
        <v>5340</v>
      </c>
      <c r="BH205" s="224">
        <f>BH206+BH208+BH211+BH213+BH215+BH217+BH221</f>
        <v>4172802.4699999997</v>
      </c>
      <c r="BI205" s="254"/>
      <c r="BJ205" s="255" t="s">
        <v>5341</v>
      </c>
      <c r="BK205" s="254" t="s">
        <v>5339</v>
      </c>
      <c r="BL205" s="175" t="s">
        <v>5342</v>
      </c>
      <c r="BM205" s="224">
        <f>BM206+BM208+BM211+BM213+BM215+BM217+BM221</f>
        <v>4172802.4699999997</v>
      </c>
      <c r="BN205" s="160"/>
      <c r="BO205" s="161">
        <f t="shared" si="276"/>
        <v>0</v>
      </c>
      <c r="BP205" s="161"/>
    </row>
    <row r="206" spans="1:68" ht="38.25">
      <c r="A206" s="192" t="s">
        <v>532</v>
      </c>
      <c r="B206" s="184"/>
      <c r="C206" s="185" t="s">
        <v>5343</v>
      </c>
      <c r="D206" s="146" t="s">
        <v>4692</v>
      </c>
      <c r="E206" s="185" t="s">
        <v>5343</v>
      </c>
      <c r="F206" s="186">
        <v>310147.7</v>
      </c>
      <c r="G206" s="187">
        <v>310147.7</v>
      </c>
      <c r="H206" s="187">
        <v>0</v>
      </c>
      <c r="I206" s="187">
        <v>310147.7</v>
      </c>
      <c r="J206" s="186">
        <f>SUBTOTAL(9,J207)</f>
        <v>125434.18</v>
      </c>
      <c r="K206" s="186">
        <f>SUBTOTAL(9,K207)</f>
        <v>0</v>
      </c>
      <c r="L206" s="188">
        <f t="shared" si="277"/>
        <v>125434.18</v>
      </c>
      <c r="M206" s="188">
        <v>226992.84</v>
      </c>
      <c r="N206" s="188">
        <v>0</v>
      </c>
      <c r="O206" s="188">
        <v>226992.84</v>
      </c>
      <c r="P206" s="225">
        <f t="shared" ref="P206:AS206" si="284">SUBTOTAL(9,P207)</f>
        <v>321463.56</v>
      </c>
      <c r="Q206" s="225">
        <f t="shared" si="284"/>
        <v>0</v>
      </c>
      <c r="R206" s="225">
        <f t="shared" si="284"/>
        <v>321463.56</v>
      </c>
      <c r="S206" s="150">
        <f t="shared" si="271"/>
        <v>428618.07999999996</v>
      </c>
      <c r="T206" s="213"/>
      <c r="U206" s="225">
        <f t="shared" ref="U206:W206" si="285">SUBTOTAL(9,U207)</f>
        <v>443210.31</v>
      </c>
      <c r="V206" s="226">
        <f t="shared" si="285"/>
        <v>0</v>
      </c>
      <c r="W206" s="225">
        <f t="shared" si="285"/>
        <v>443210.31</v>
      </c>
      <c r="X206" s="225">
        <v>443210.31</v>
      </c>
      <c r="Y206" s="225">
        <v>0</v>
      </c>
      <c r="Z206" s="225">
        <v>443210.31</v>
      </c>
      <c r="AA206" s="225">
        <f t="shared" si="272"/>
        <v>0</v>
      </c>
      <c r="AB206" s="225">
        <v>443210.31</v>
      </c>
      <c r="AC206" s="226">
        <v>0</v>
      </c>
      <c r="AD206" s="225">
        <f t="shared" si="284"/>
        <v>443210.31</v>
      </c>
      <c r="AE206" s="225">
        <v>443210.31</v>
      </c>
      <c r="AF206" s="169" t="s">
        <v>4680</v>
      </c>
      <c r="AG206" s="212">
        <v>443210.31</v>
      </c>
      <c r="AH206" s="226">
        <v>0</v>
      </c>
      <c r="AI206" s="225">
        <v>443210.31</v>
      </c>
      <c r="AJ206" s="169">
        <f t="shared" si="273"/>
        <v>0</v>
      </c>
      <c r="AK206" s="212">
        <v>443210.31</v>
      </c>
      <c r="AL206" s="226">
        <v>0</v>
      </c>
      <c r="AM206" s="225">
        <f t="shared" si="284"/>
        <v>443210.31</v>
      </c>
      <c r="AN206" s="153">
        <f t="shared" si="274"/>
        <v>0</v>
      </c>
      <c r="AO206" s="154">
        <f t="shared" si="275"/>
        <v>0</v>
      </c>
      <c r="AP206" s="225">
        <v>443210.31</v>
      </c>
      <c r="AQ206" s="212">
        <v>443210.31</v>
      </c>
      <c r="AR206" s="226">
        <f t="shared" si="284"/>
        <v>0</v>
      </c>
      <c r="AS206" s="225">
        <f t="shared" si="284"/>
        <v>443210.31</v>
      </c>
      <c r="AT206" s="155"/>
      <c r="AU206" s="156">
        <f t="shared" si="268"/>
        <v>0</v>
      </c>
      <c r="AV206" s="156">
        <f t="shared" si="269"/>
        <v>0</v>
      </c>
      <c r="AW206" s="157"/>
      <c r="AX206" s="150">
        <v>443210.31</v>
      </c>
      <c r="AY206" s="225">
        <f t="shared" ref="AY206:BA206" si="286">SUBTOTAL(9,AY207)</f>
        <v>285096.06</v>
      </c>
      <c r="AZ206" s="225">
        <f t="shared" si="286"/>
        <v>168889.62</v>
      </c>
      <c r="BA206" s="225">
        <f t="shared" si="286"/>
        <v>453985.68</v>
      </c>
      <c r="BB206" s="192">
        <v>4</v>
      </c>
      <c r="BC206" s="256" t="s">
        <v>693</v>
      </c>
      <c r="BD206" s="256" t="s">
        <v>693</v>
      </c>
      <c r="BE206" s="256" t="s">
        <v>632</v>
      </c>
      <c r="BF206" s="256" t="s">
        <v>630</v>
      </c>
      <c r="BG206" s="185" t="s">
        <v>5343</v>
      </c>
      <c r="BH206" s="215">
        <f>SUBTOTAL(9,BH207)</f>
        <v>443210.31</v>
      </c>
      <c r="BI206" s="192"/>
      <c r="BJ206" s="256" t="s">
        <v>5344</v>
      </c>
      <c r="BK206" s="192" t="s">
        <v>532</v>
      </c>
      <c r="BL206" s="185" t="s">
        <v>5345</v>
      </c>
      <c r="BM206" s="215">
        <f>SUBTOTAL(9,BM207)</f>
        <v>443210.31</v>
      </c>
      <c r="BN206" s="160"/>
      <c r="BO206" s="161">
        <f t="shared" si="276"/>
        <v>0</v>
      </c>
      <c r="BP206" s="161"/>
    </row>
    <row r="207" spans="1:68" ht="38.25">
      <c r="A207" s="206" t="s">
        <v>532</v>
      </c>
      <c r="B207" s="195" t="s">
        <v>5346</v>
      </c>
      <c r="C207" s="196" t="s">
        <v>5347</v>
      </c>
      <c r="D207" s="146" t="s">
        <v>4692</v>
      </c>
      <c r="E207" s="196" t="s">
        <v>5347</v>
      </c>
      <c r="F207" s="150">
        <v>310147.7</v>
      </c>
      <c r="G207" s="209">
        <v>310147.7</v>
      </c>
      <c r="H207" s="209"/>
      <c r="I207" s="209">
        <v>310147.7</v>
      </c>
      <c r="J207" s="150">
        <v>125434.18</v>
      </c>
      <c r="K207" s="150">
        <v>0</v>
      </c>
      <c r="L207" s="150">
        <f t="shared" si="277"/>
        <v>125434.18</v>
      </c>
      <c r="M207" s="150">
        <v>226992.84</v>
      </c>
      <c r="N207" s="150"/>
      <c r="O207" s="150">
        <v>226992.84</v>
      </c>
      <c r="P207" s="150">
        <v>321463.56</v>
      </c>
      <c r="Q207" s="150">
        <v>0</v>
      </c>
      <c r="R207" s="150">
        <f>P207+Q207</f>
        <v>321463.56</v>
      </c>
      <c r="S207" s="150">
        <f t="shared" si="271"/>
        <v>428618.07999999996</v>
      </c>
      <c r="T207" s="150"/>
      <c r="U207" s="150">
        <v>443210.31</v>
      </c>
      <c r="V207" s="199"/>
      <c r="W207" s="150">
        <f>U207+V207</f>
        <v>443210.31</v>
      </c>
      <c r="X207" s="150">
        <v>443210.31</v>
      </c>
      <c r="Y207" s="150"/>
      <c r="Z207" s="150">
        <v>443210.31</v>
      </c>
      <c r="AA207" s="150">
        <f t="shared" si="272"/>
        <v>0</v>
      </c>
      <c r="AB207" s="150">
        <v>443210.31</v>
      </c>
      <c r="AC207" s="199"/>
      <c r="AD207" s="150">
        <f>AB207+AC207</f>
        <v>443210.31</v>
      </c>
      <c r="AE207" s="150">
        <v>443210.31</v>
      </c>
      <c r="AF207" s="169" t="s">
        <v>4680</v>
      </c>
      <c r="AG207" s="201">
        <v>443210.31</v>
      </c>
      <c r="AH207" s="199"/>
      <c r="AI207" s="150">
        <v>443210.31</v>
      </c>
      <c r="AJ207" s="169">
        <f t="shared" si="273"/>
        <v>0</v>
      </c>
      <c r="AK207" s="201">
        <v>443210.31</v>
      </c>
      <c r="AL207" s="199"/>
      <c r="AM207" s="150">
        <f>AK207+AL207</f>
        <v>443210.31</v>
      </c>
      <c r="AN207" s="153">
        <f t="shared" si="274"/>
        <v>0</v>
      </c>
      <c r="AO207" s="154">
        <f t="shared" si="275"/>
        <v>0</v>
      </c>
      <c r="AP207" s="150">
        <v>443210.31</v>
      </c>
      <c r="AQ207" s="201">
        <v>443210.31</v>
      </c>
      <c r="AR207" s="199"/>
      <c r="AS207" s="150">
        <f>AQ207+AR207</f>
        <v>443210.31</v>
      </c>
      <c r="AT207" s="155"/>
      <c r="AU207" s="156">
        <f t="shared" si="268"/>
        <v>0</v>
      </c>
      <c r="AV207" s="156">
        <f t="shared" si="269"/>
        <v>0</v>
      </c>
      <c r="AW207" s="157"/>
      <c r="AX207" s="150">
        <v>443210.31</v>
      </c>
      <c r="AY207" s="150">
        <v>285096.06</v>
      </c>
      <c r="AZ207" s="237">
        <f>O207*2-AY207</f>
        <v>168889.62</v>
      </c>
      <c r="BA207" s="150">
        <f t="shared" si="270"/>
        <v>453985.68</v>
      </c>
      <c r="BB207" s="202">
        <v>4</v>
      </c>
      <c r="BC207" s="202" t="s">
        <v>693</v>
      </c>
      <c r="BD207" s="202" t="s">
        <v>693</v>
      </c>
      <c r="BE207" s="202" t="s">
        <v>632</v>
      </c>
      <c r="BF207" s="202" t="s">
        <v>632</v>
      </c>
      <c r="BG207" s="231" t="s">
        <v>5348</v>
      </c>
      <c r="BH207" s="216">
        <f>AS207</f>
        <v>443210.31</v>
      </c>
      <c r="BI207" s="205"/>
      <c r="BJ207" s="206" t="s">
        <v>5344</v>
      </c>
      <c r="BK207" s="206" t="s">
        <v>532</v>
      </c>
      <c r="BL207" s="207" t="s">
        <v>5349</v>
      </c>
      <c r="BM207" s="208">
        <f>BH207</f>
        <v>443210.31</v>
      </c>
      <c r="BN207" s="160"/>
      <c r="BO207" s="161">
        <f t="shared" si="276"/>
        <v>0</v>
      </c>
      <c r="BP207" s="161"/>
    </row>
    <row r="208" spans="1:68" ht="38.25">
      <c r="A208" s="256" t="s">
        <v>533</v>
      </c>
      <c r="B208" s="184"/>
      <c r="C208" s="185" t="s">
        <v>5350</v>
      </c>
      <c r="D208" s="146" t="s">
        <v>4692</v>
      </c>
      <c r="E208" s="185" t="s">
        <v>5350</v>
      </c>
      <c r="F208" s="186">
        <v>3006060.62</v>
      </c>
      <c r="G208" s="187">
        <v>3003348.62</v>
      </c>
      <c r="H208" s="187">
        <v>0</v>
      </c>
      <c r="I208" s="187">
        <v>3003348.62</v>
      </c>
      <c r="J208" s="186">
        <f>SUBTOTAL(9,J209:J210)</f>
        <v>895526.6</v>
      </c>
      <c r="K208" s="186">
        <f>SUBTOTAL(9,K209:K210)</f>
        <v>0</v>
      </c>
      <c r="L208" s="188">
        <f t="shared" si="277"/>
        <v>895526.6</v>
      </c>
      <c r="M208" s="188">
        <v>1784141.5</v>
      </c>
      <c r="N208" s="188">
        <v>0</v>
      </c>
      <c r="O208" s="188">
        <v>1784141.5</v>
      </c>
      <c r="P208" s="225">
        <f t="shared" ref="P208:AD208" si="287">SUBTOTAL(9,P209:P210)</f>
        <v>2557699.4</v>
      </c>
      <c r="Q208" s="225">
        <f t="shared" si="287"/>
        <v>0</v>
      </c>
      <c r="R208" s="225">
        <f t="shared" si="287"/>
        <v>2557699.4</v>
      </c>
      <c r="S208" s="150">
        <f t="shared" si="271"/>
        <v>3410265.8666666667</v>
      </c>
      <c r="T208" s="213"/>
      <c r="U208" s="225">
        <f t="shared" ref="U208:W208" si="288">SUBTOTAL(9,U209:U210)</f>
        <v>3482190.8</v>
      </c>
      <c r="V208" s="226">
        <f t="shared" si="288"/>
        <v>0</v>
      </c>
      <c r="W208" s="225">
        <f t="shared" si="288"/>
        <v>3482190.8</v>
      </c>
      <c r="X208" s="225">
        <v>3482190.8</v>
      </c>
      <c r="Y208" s="225">
        <v>0</v>
      </c>
      <c r="Z208" s="225">
        <v>3482190.8</v>
      </c>
      <c r="AA208" s="225">
        <f t="shared" si="272"/>
        <v>44503</v>
      </c>
      <c r="AB208" s="225">
        <v>3526693.8</v>
      </c>
      <c r="AC208" s="226">
        <v>0</v>
      </c>
      <c r="AD208" s="225">
        <f t="shared" si="287"/>
        <v>3526693.8</v>
      </c>
      <c r="AE208" s="225">
        <v>3526693.8</v>
      </c>
      <c r="AF208" s="169" t="s">
        <v>4680</v>
      </c>
      <c r="AG208" s="212">
        <v>3526693.8</v>
      </c>
      <c r="AH208" s="226">
        <v>0</v>
      </c>
      <c r="AI208" s="225">
        <v>3526693.8</v>
      </c>
      <c r="AJ208" s="169">
        <f t="shared" si="273"/>
        <v>0</v>
      </c>
      <c r="AK208" s="212">
        <v>3526693.8</v>
      </c>
      <c r="AL208" s="226">
        <v>0</v>
      </c>
      <c r="AM208" s="225">
        <f t="shared" ref="AM208" si="289">SUBTOTAL(9,AM209:AM210)</f>
        <v>3526693.8</v>
      </c>
      <c r="AN208" s="153">
        <f t="shared" si="274"/>
        <v>0</v>
      </c>
      <c r="AO208" s="154">
        <f t="shared" si="275"/>
        <v>0</v>
      </c>
      <c r="AP208" s="225">
        <v>3526693.8</v>
      </c>
      <c r="AQ208" s="212">
        <v>3526693.8</v>
      </c>
      <c r="AR208" s="226">
        <f t="shared" ref="AR208:AS208" si="290">SUBTOTAL(9,AR209:AR210)</f>
        <v>0</v>
      </c>
      <c r="AS208" s="225">
        <f t="shared" si="290"/>
        <v>3526693.8</v>
      </c>
      <c r="AT208" s="155"/>
      <c r="AU208" s="156">
        <f t="shared" si="268"/>
        <v>0</v>
      </c>
      <c r="AV208" s="156">
        <f t="shared" si="269"/>
        <v>44503</v>
      </c>
      <c r="AW208" s="157"/>
      <c r="AX208" s="150">
        <v>3482190.8</v>
      </c>
      <c r="AY208" s="225">
        <f t="shared" ref="AY208:BA208" si="291">SUBTOTAL(9,AY209:AY210)</f>
        <v>2247810.5</v>
      </c>
      <c r="AZ208" s="225">
        <f t="shared" si="291"/>
        <v>1320472.5</v>
      </c>
      <c r="BA208" s="225">
        <f t="shared" si="291"/>
        <v>3568283</v>
      </c>
      <c r="BB208" s="192">
        <v>4</v>
      </c>
      <c r="BC208" s="256" t="s">
        <v>693</v>
      </c>
      <c r="BD208" s="256" t="s">
        <v>693</v>
      </c>
      <c r="BE208" s="256" t="s">
        <v>647</v>
      </c>
      <c r="BF208" s="256" t="s">
        <v>630</v>
      </c>
      <c r="BG208" s="185" t="s">
        <v>5350</v>
      </c>
      <c r="BH208" s="215">
        <f>SUBTOTAL(9,BH209:BH210)</f>
        <v>3526693.8</v>
      </c>
      <c r="BI208" s="192"/>
      <c r="BJ208" s="256" t="s">
        <v>5351</v>
      </c>
      <c r="BK208" s="256" t="s">
        <v>533</v>
      </c>
      <c r="BL208" s="238" t="s">
        <v>5352</v>
      </c>
      <c r="BM208" s="215">
        <f>SUBTOTAL(9,BM209:BM210)</f>
        <v>3526693.8</v>
      </c>
      <c r="BN208" s="160"/>
      <c r="BO208" s="161">
        <f t="shared" si="276"/>
        <v>0</v>
      </c>
      <c r="BP208" s="161"/>
    </row>
    <row r="209" spans="1:68" ht="51">
      <c r="A209" s="206" t="s">
        <v>533</v>
      </c>
      <c r="B209" s="195" t="s">
        <v>5353</v>
      </c>
      <c r="C209" s="196" t="s">
        <v>5354</v>
      </c>
      <c r="D209" s="146" t="s">
        <v>4692</v>
      </c>
      <c r="E209" s="196" t="s">
        <v>5354</v>
      </c>
      <c r="F209" s="150">
        <v>0</v>
      </c>
      <c r="G209" s="209">
        <v>0</v>
      </c>
      <c r="H209" s="209"/>
      <c r="I209" s="209">
        <v>0</v>
      </c>
      <c r="J209" s="150">
        <v>0</v>
      </c>
      <c r="K209" s="150">
        <v>0</v>
      </c>
      <c r="L209" s="150">
        <f t="shared" si="277"/>
        <v>0</v>
      </c>
      <c r="M209" s="150">
        <v>0</v>
      </c>
      <c r="N209" s="150"/>
      <c r="O209" s="150">
        <v>0</v>
      </c>
      <c r="P209" s="150">
        <v>0</v>
      </c>
      <c r="Q209" s="150"/>
      <c r="R209" s="150">
        <f>P209+Q209</f>
        <v>0</v>
      </c>
      <c r="S209" s="150">
        <f t="shared" si="271"/>
        <v>0</v>
      </c>
      <c r="T209" s="150"/>
      <c r="U209" s="150">
        <v>0</v>
      </c>
      <c r="V209" s="199"/>
      <c r="W209" s="150">
        <f>U209+V209</f>
        <v>0</v>
      </c>
      <c r="X209" s="150">
        <v>0</v>
      </c>
      <c r="Y209" s="150"/>
      <c r="Z209" s="150">
        <v>0</v>
      </c>
      <c r="AA209" s="150">
        <f t="shared" si="272"/>
        <v>0</v>
      </c>
      <c r="AB209" s="150">
        <v>0</v>
      </c>
      <c r="AC209" s="199"/>
      <c r="AD209" s="150">
        <f>AB209+AC209</f>
        <v>0</v>
      </c>
      <c r="AE209" s="150">
        <v>0</v>
      </c>
      <c r="AF209" s="169" t="s">
        <v>4680</v>
      </c>
      <c r="AG209" s="201">
        <v>0</v>
      </c>
      <c r="AH209" s="199"/>
      <c r="AI209" s="150">
        <v>0</v>
      </c>
      <c r="AJ209" s="169">
        <f t="shared" si="273"/>
        <v>0</v>
      </c>
      <c r="AK209" s="201">
        <v>0</v>
      </c>
      <c r="AL209" s="199"/>
      <c r="AM209" s="150">
        <f>AK209+AL209</f>
        <v>0</v>
      </c>
      <c r="AN209" s="153">
        <f t="shared" si="274"/>
        <v>0</v>
      </c>
      <c r="AO209" s="154">
        <f t="shared" si="275"/>
        <v>0</v>
      </c>
      <c r="AP209" s="150">
        <v>0</v>
      </c>
      <c r="AQ209" s="201">
        <v>0</v>
      </c>
      <c r="AR209" s="199"/>
      <c r="AS209" s="150">
        <f>AQ209+AR209</f>
        <v>0</v>
      </c>
      <c r="AT209" s="155"/>
      <c r="AU209" s="156">
        <f t="shared" si="268"/>
        <v>0</v>
      </c>
      <c r="AV209" s="156">
        <f t="shared" si="269"/>
        <v>0</v>
      </c>
      <c r="AW209" s="157"/>
      <c r="AX209" s="150">
        <v>0</v>
      </c>
      <c r="AY209" s="150">
        <v>0</v>
      </c>
      <c r="AZ209" s="150"/>
      <c r="BA209" s="150">
        <f t="shared" si="270"/>
        <v>0</v>
      </c>
      <c r="BB209" s="202">
        <v>4</v>
      </c>
      <c r="BC209" s="202" t="s">
        <v>693</v>
      </c>
      <c r="BD209" s="202" t="s">
        <v>693</v>
      </c>
      <c r="BE209" s="202" t="s">
        <v>647</v>
      </c>
      <c r="BF209" s="202" t="s">
        <v>632</v>
      </c>
      <c r="BG209" s="231" t="s">
        <v>5355</v>
      </c>
      <c r="BH209" s="216">
        <f>AS209</f>
        <v>0</v>
      </c>
      <c r="BI209" s="205"/>
      <c r="BJ209" s="206" t="s">
        <v>5351</v>
      </c>
      <c r="BK209" s="206" t="s">
        <v>533</v>
      </c>
      <c r="BL209" s="207" t="s">
        <v>5352</v>
      </c>
      <c r="BM209" s="208">
        <f>BH209</f>
        <v>0</v>
      </c>
      <c r="BN209" s="160"/>
      <c r="BO209" s="161">
        <f t="shared" si="276"/>
        <v>0</v>
      </c>
      <c r="BP209" s="161"/>
    </row>
    <row r="210" spans="1:68" ht="63.75">
      <c r="A210" s="206" t="s">
        <v>533</v>
      </c>
      <c r="B210" s="195" t="s">
        <v>5356</v>
      </c>
      <c r="C210" s="196" t="s">
        <v>5357</v>
      </c>
      <c r="D210" s="146" t="s">
        <v>4692</v>
      </c>
      <c r="E210" s="196" t="s">
        <v>5357</v>
      </c>
      <c r="F210" s="150">
        <v>3006060.62</v>
      </c>
      <c r="G210" s="209">
        <v>3003348.62</v>
      </c>
      <c r="H210" s="209"/>
      <c r="I210" s="209">
        <v>3003348.62</v>
      </c>
      <c r="J210" s="150">
        <v>895526.6</v>
      </c>
      <c r="K210" s="150">
        <v>0</v>
      </c>
      <c r="L210" s="150">
        <f t="shared" si="277"/>
        <v>895526.6</v>
      </c>
      <c r="M210" s="150">
        <v>1784141.5</v>
      </c>
      <c r="N210" s="150"/>
      <c r="O210" s="150">
        <v>1784141.5</v>
      </c>
      <c r="P210" s="150">
        <v>2557699.4</v>
      </c>
      <c r="Q210" s="150">
        <v>0</v>
      </c>
      <c r="R210" s="150">
        <f>P210+Q210</f>
        <v>2557699.4</v>
      </c>
      <c r="S210" s="150">
        <f t="shared" si="271"/>
        <v>3410265.8666666667</v>
      </c>
      <c r="T210" s="150"/>
      <c r="U210" s="150">
        <v>3482190.8</v>
      </c>
      <c r="V210" s="199"/>
      <c r="W210" s="150">
        <f>U210+V210</f>
        <v>3482190.8</v>
      </c>
      <c r="X210" s="150">
        <v>3482190.8</v>
      </c>
      <c r="Y210" s="150"/>
      <c r="Z210" s="150">
        <v>3482190.8</v>
      </c>
      <c r="AA210" s="150">
        <f t="shared" si="272"/>
        <v>44503</v>
      </c>
      <c r="AB210" s="150">
        <v>3526693.8</v>
      </c>
      <c r="AC210" s="199"/>
      <c r="AD210" s="150">
        <f>AB210+AC210</f>
        <v>3526693.8</v>
      </c>
      <c r="AE210" s="150">
        <v>3526693.8</v>
      </c>
      <c r="AF210" s="169" t="s">
        <v>4680</v>
      </c>
      <c r="AG210" s="201">
        <v>3526693.8</v>
      </c>
      <c r="AH210" s="199"/>
      <c r="AI210" s="150">
        <v>3526693.8</v>
      </c>
      <c r="AJ210" s="169">
        <f t="shared" si="273"/>
        <v>0</v>
      </c>
      <c r="AK210" s="201">
        <v>3526693.8</v>
      </c>
      <c r="AL210" s="199"/>
      <c r="AM210" s="150">
        <f>AK210+AL210</f>
        <v>3526693.8</v>
      </c>
      <c r="AN210" s="153">
        <f t="shared" si="274"/>
        <v>0</v>
      </c>
      <c r="AO210" s="154">
        <f t="shared" si="275"/>
        <v>0</v>
      </c>
      <c r="AP210" s="150">
        <v>3526693.8</v>
      </c>
      <c r="AQ210" s="201">
        <v>3526693.8</v>
      </c>
      <c r="AR210" s="199"/>
      <c r="AS210" s="150">
        <f>AQ210+AR210</f>
        <v>3526693.8</v>
      </c>
      <c r="AT210" s="155"/>
      <c r="AU210" s="156">
        <f t="shared" si="268"/>
        <v>0</v>
      </c>
      <c r="AV210" s="156">
        <f t="shared" si="269"/>
        <v>44503</v>
      </c>
      <c r="AW210" s="157"/>
      <c r="AX210" s="150">
        <v>3482190.8</v>
      </c>
      <c r="AY210" s="150">
        <v>2247810.5</v>
      </c>
      <c r="AZ210" s="237">
        <f>O210*2-AY210</f>
        <v>1320472.5</v>
      </c>
      <c r="BA210" s="150">
        <f t="shared" si="270"/>
        <v>3568283</v>
      </c>
      <c r="BB210" s="202">
        <v>5</v>
      </c>
      <c r="BC210" s="202" t="s">
        <v>693</v>
      </c>
      <c r="BD210" s="202" t="s">
        <v>693</v>
      </c>
      <c r="BE210" s="202" t="s">
        <v>647</v>
      </c>
      <c r="BF210" s="194" t="s">
        <v>647</v>
      </c>
      <c r="BG210" s="231" t="s">
        <v>5358</v>
      </c>
      <c r="BH210" s="216">
        <f>AS210</f>
        <v>3526693.8</v>
      </c>
      <c r="BI210" s="205"/>
      <c r="BJ210" s="206" t="s">
        <v>5351</v>
      </c>
      <c r="BK210" s="206" t="s">
        <v>533</v>
      </c>
      <c r="BL210" s="207" t="s">
        <v>5352</v>
      </c>
      <c r="BM210" s="208">
        <f>BH210</f>
        <v>3526693.8</v>
      </c>
      <c r="BN210" s="160"/>
      <c r="BO210" s="161">
        <f t="shared" si="276"/>
        <v>0</v>
      </c>
      <c r="BP210" s="161"/>
    </row>
    <row r="211" spans="1:68" ht="38.25">
      <c r="A211" s="256" t="s">
        <v>534</v>
      </c>
      <c r="B211" s="184"/>
      <c r="C211" s="185" t="s">
        <v>5359</v>
      </c>
      <c r="D211" s="146" t="s">
        <v>4692</v>
      </c>
      <c r="E211" s="185" t="s">
        <v>5359</v>
      </c>
      <c r="F211" s="186">
        <v>0</v>
      </c>
      <c r="G211" s="187">
        <v>0</v>
      </c>
      <c r="H211" s="187">
        <v>0</v>
      </c>
      <c r="I211" s="187">
        <v>0</v>
      </c>
      <c r="J211" s="186">
        <f>SUBTOTAL(9,J212)</f>
        <v>0</v>
      </c>
      <c r="K211" s="186">
        <f>SUBTOTAL(9,K212)</f>
        <v>0</v>
      </c>
      <c r="L211" s="188">
        <f t="shared" si="277"/>
        <v>0</v>
      </c>
      <c r="M211" s="188">
        <v>0</v>
      </c>
      <c r="N211" s="188">
        <v>0</v>
      </c>
      <c r="O211" s="188">
        <v>0</v>
      </c>
      <c r="P211" s="225">
        <f t="shared" ref="P211:AS211" si="292">SUBTOTAL(9,P212)</f>
        <v>0</v>
      </c>
      <c r="Q211" s="225">
        <f t="shared" si="292"/>
        <v>0</v>
      </c>
      <c r="R211" s="225">
        <f t="shared" si="292"/>
        <v>0</v>
      </c>
      <c r="S211" s="150">
        <f t="shared" si="271"/>
        <v>0</v>
      </c>
      <c r="T211" s="213"/>
      <c r="U211" s="225">
        <f t="shared" ref="U211:W211" si="293">SUBTOTAL(9,U212)</f>
        <v>0</v>
      </c>
      <c r="V211" s="226">
        <f t="shared" si="293"/>
        <v>0</v>
      </c>
      <c r="W211" s="225">
        <f t="shared" si="293"/>
        <v>0</v>
      </c>
      <c r="X211" s="225">
        <v>0</v>
      </c>
      <c r="Y211" s="225">
        <v>0</v>
      </c>
      <c r="Z211" s="225">
        <v>0</v>
      </c>
      <c r="AA211" s="225">
        <f t="shared" si="272"/>
        <v>0</v>
      </c>
      <c r="AB211" s="225">
        <v>0</v>
      </c>
      <c r="AC211" s="226">
        <v>0</v>
      </c>
      <c r="AD211" s="225">
        <f t="shared" si="292"/>
        <v>0</v>
      </c>
      <c r="AE211" s="225">
        <v>0</v>
      </c>
      <c r="AF211" s="169" t="s">
        <v>4680</v>
      </c>
      <c r="AG211" s="212">
        <v>0</v>
      </c>
      <c r="AH211" s="226">
        <v>0</v>
      </c>
      <c r="AI211" s="225">
        <v>0</v>
      </c>
      <c r="AJ211" s="169">
        <f t="shared" si="273"/>
        <v>0</v>
      </c>
      <c r="AK211" s="212">
        <v>0</v>
      </c>
      <c r="AL211" s="226">
        <v>0</v>
      </c>
      <c r="AM211" s="225">
        <f t="shared" si="292"/>
        <v>0</v>
      </c>
      <c r="AN211" s="153">
        <f t="shared" si="274"/>
        <v>0</v>
      </c>
      <c r="AO211" s="154">
        <f t="shared" si="275"/>
        <v>0</v>
      </c>
      <c r="AP211" s="225">
        <v>0</v>
      </c>
      <c r="AQ211" s="212">
        <v>0</v>
      </c>
      <c r="AR211" s="226">
        <f t="shared" si="292"/>
        <v>0</v>
      </c>
      <c r="AS211" s="225">
        <f t="shared" si="292"/>
        <v>0</v>
      </c>
      <c r="AT211" s="155"/>
      <c r="AU211" s="156">
        <f t="shared" si="268"/>
        <v>0</v>
      </c>
      <c r="AV211" s="156">
        <f t="shared" si="269"/>
        <v>0</v>
      </c>
      <c r="AW211" s="157"/>
      <c r="AX211" s="150">
        <v>0</v>
      </c>
      <c r="AY211" s="225">
        <f t="shared" ref="AY211:BA211" si="294">SUBTOTAL(9,AY212)</f>
        <v>0</v>
      </c>
      <c r="AZ211" s="225">
        <f t="shared" si="294"/>
        <v>0</v>
      </c>
      <c r="BA211" s="225">
        <f t="shared" si="294"/>
        <v>0</v>
      </c>
      <c r="BB211" s="192">
        <v>4</v>
      </c>
      <c r="BC211" s="256" t="s">
        <v>693</v>
      </c>
      <c r="BD211" s="256" t="s">
        <v>693</v>
      </c>
      <c r="BE211" s="256" t="s">
        <v>671</v>
      </c>
      <c r="BF211" s="256" t="s">
        <v>630</v>
      </c>
      <c r="BG211" s="185" t="s">
        <v>5359</v>
      </c>
      <c r="BH211" s="215">
        <f>SUBTOTAL(9,BH212)</f>
        <v>0</v>
      </c>
      <c r="BI211" s="192"/>
      <c r="BJ211" s="256" t="s">
        <v>5360</v>
      </c>
      <c r="BK211" s="256" t="s">
        <v>534</v>
      </c>
      <c r="BL211" s="238" t="s">
        <v>5361</v>
      </c>
      <c r="BM211" s="215">
        <f>SUBTOTAL(9,BM212)</f>
        <v>0</v>
      </c>
      <c r="BN211" s="160"/>
      <c r="BO211" s="161">
        <f t="shared" si="276"/>
        <v>0</v>
      </c>
      <c r="BP211" s="161"/>
    </row>
    <row r="212" spans="1:68" ht="38.25">
      <c r="A212" s="206" t="s">
        <v>534</v>
      </c>
      <c r="B212" s="195" t="s">
        <v>5362</v>
      </c>
      <c r="C212" s="196" t="s">
        <v>5363</v>
      </c>
      <c r="D212" s="146" t="s">
        <v>4692</v>
      </c>
      <c r="E212" s="196" t="s">
        <v>5363</v>
      </c>
      <c r="F212" s="150">
        <v>0</v>
      </c>
      <c r="G212" s="209">
        <v>0</v>
      </c>
      <c r="H212" s="209"/>
      <c r="I212" s="209">
        <v>0</v>
      </c>
      <c r="J212" s="150">
        <v>0</v>
      </c>
      <c r="K212" s="150">
        <v>0</v>
      </c>
      <c r="L212" s="150">
        <f t="shared" si="277"/>
        <v>0</v>
      </c>
      <c r="M212" s="150">
        <v>0</v>
      </c>
      <c r="N212" s="150"/>
      <c r="O212" s="150">
        <v>0</v>
      </c>
      <c r="P212" s="150">
        <v>0</v>
      </c>
      <c r="Q212" s="150"/>
      <c r="R212" s="150">
        <f>P212+Q212</f>
        <v>0</v>
      </c>
      <c r="S212" s="150">
        <f t="shared" si="271"/>
        <v>0</v>
      </c>
      <c r="T212" s="150"/>
      <c r="U212" s="150">
        <v>0</v>
      </c>
      <c r="V212" s="199"/>
      <c r="W212" s="150">
        <f>U212+V212</f>
        <v>0</v>
      </c>
      <c r="X212" s="150">
        <v>0</v>
      </c>
      <c r="Y212" s="150"/>
      <c r="Z212" s="150">
        <v>0</v>
      </c>
      <c r="AA212" s="150">
        <f t="shared" si="272"/>
        <v>0</v>
      </c>
      <c r="AB212" s="150">
        <v>0</v>
      </c>
      <c r="AC212" s="199"/>
      <c r="AD212" s="150">
        <f>AB212+AC212</f>
        <v>0</v>
      </c>
      <c r="AE212" s="150">
        <v>0</v>
      </c>
      <c r="AF212" s="169" t="s">
        <v>4680</v>
      </c>
      <c r="AG212" s="201">
        <v>0</v>
      </c>
      <c r="AH212" s="199"/>
      <c r="AI212" s="150">
        <v>0</v>
      </c>
      <c r="AJ212" s="169">
        <f t="shared" si="273"/>
        <v>0</v>
      </c>
      <c r="AK212" s="201">
        <v>0</v>
      </c>
      <c r="AL212" s="199"/>
      <c r="AM212" s="150">
        <f>AK212+AL212</f>
        <v>0</v>
      </c>
      <c r="AN212" s="153">
        <f t="shared" si="274"/>
        <v>0</v>
      </c>
      <c r="AO212" s="154">
        <f t="shared" si="275"/>
        <v>0</v>
      </c>
      <c r="AP212" s="150">
        <v>0</v>
      </c>
      <c r="AQ212" s="201">
        <v>0</v>
      </c>
      <c r="AR212" s="199"/>
      <c r="AS212" s="150">
        <f>AQ212+AR212</f>
        <v>0</v>
      </c>
      <c r="AT212" s="155"/>
      <c r="AU212" s="156">
        <f t="shared" si="268"/>
        <v>0</v>
      </c>
      <c r="AV212" s="156">
        <f t="shared" si="269"/>
        <v>0</v>
      </c>
      <c r="AW212" s="157"/>
      <c r="AX212" s="150">
        <v>0</v>
      </c>
      <c r="AY212" s="150">
        <v>0</v>
      </c>
      <c r="AZ212" s="150"/>
      <c r="BA212" s="150">
        <f t="shared" si="270"/>
        <v>0</v>
      </c>
      <c r="BB212" s="202">
        <v>4</v>
      </c>
      <c r="BC212" s="202" t="s">
        <v>693</v>
      </c>
      <c r="BD212" s="202" t="s">
        <v>693</v>
      </c>
      <c r="BE212" s="202" t="s">
        <v>671</v>
      </c>
      <c r="BF212" s="202" t="s">
        <v>632</v>
      </c>
      <c r="BG212" s="231" t="s">
        <v>5364</v>
      </c>
      <c r="BH212" s="216">
        <f>AS212</f>
        <v>0</v>
      </c>
      <c r="BI212" s="205"/>
      <c r="BJ212" s="206" t="s">
        <v>5360</v>
      </c>
      <c r="BK212" s="206" t="s">
        <v>534</v>
      </c>
      <c r="BL212" s="207" t="s">
        <v>5361</v>
      </c>
      <c r="BM212" s="208">
        <f>BH212</f>
        <v>0</v>
      </c>
      <c r="BN212" s="160"/>
      <c r="BO212" s="161">
        <f t="shared" si="276"/>
        <v>0</v>
      </c>
      <c r="BP212" s="161"/>
    </row>
    <row r="213" spans="1:68" ht="51">
      <c r="A213" s="256" t="s">
        <v>535</v>
      </c>
      <c r="B213" s="184"/>
      <c r="C213" s="185" t="s">
        <v>5365</v>
      </c>
      <c r="D213" s="146" t="s">
        <v>4692</v>
      </c>
      <c r="E213" s="185" t="s">
        <v>5365</v>
      </c>
      <c r="F213" s="186">
        <v>88635.6</v>
      </c>
      <c r="G213" s="187">
        <v>57100</v>
      </c>
      <c r="H213" s="187">
        <v>0</v>
      </c>
      <c r="I213" s="187">
        <v>57100</v>
      </c>
      <c r="J213" s="186">
        <f>SUBTOTAL(9,J214)</f>
        <v>0</v>
      </c>
      <c r="K213" s="186">
        <f>SUBTOTAL(9,K214)</f>
        <v>0</v>
      </c>
      <c r="L213" s="188">
        <f t="shared" si="277"/>
        <v>0</v>
      </c>
      <c r="M213" s="188">
        <v>12000</v>
      </c>
      <c r="N213" s="188">
        <v>32317.800000000003</v>
      </c>
      <c r="O213" s="188">
        <v>44317.8</v>
      </c>
      <c r="P213" s="225">
        <f t="shared" ref="P213:AS213" si="295">SUBTOTAL(9,P214)</f>
        <v>51150</v>
      </c>
      <c r="Q213" s="225">
        <f t="shared" si="295"/>
        <v>0</v>
      </c>
      <c r="R213" s="225">
        <f t="shared" si="295"/>
        <v>51150</v>
      </c>
      <c r="S213" s="150">
        <f t="shared" si="271"/>
        <v>68200</v>
      </c>
      <c r="T213" s="213"/>
      <c r="U213" s="225">
        <f t="shared" ref="U213:W213" si="296">SUBTOTAL(9,U214)</f>
        <v>67650</v>
      </c>
      <c r="V213" s="226">
        <f t="shared" si="296"/>
        <v>0</v>
      </c>
      <c r="W213" s="225">
        <f t="shared" si="296"/>
        <v>67650</v>
      </c>
      <c r="X213" s="225">
        <v>67650</v>
      </c>
      <c r="Y213" s="225">
        <v>0</v>
      </c>
      <c r="Z213" s="225">
        <v>67650</v>
      </c>
      <c r="AA213" s="225">
        <f t="shared" si="272"/>
        <v>10600</v>
      </c>
      <c r="AB213" s="225">
        <v>78250</v>
      </c>
      <c r="AC213" s="226">
        <v>0</v>
      </c>
      <c r="AD213" s="225">
        <f t="shared" si="295"/>
        <v>78250</v>
      </c>
      <c r="AE213" s="225">
        <v>78250</v>
      </c>
      <c r="AF213" s="169" t="s">
        <v>4680</v>
      </c>
      <c r="AG213" s="212">
        <v>78250</v>
      </c>
      <c r="AH213" s="226">
        <v>0</v>
      </c>
      <c r="AI213" s="225">
        <v>78250</v>
      </c>
      <c r="AJ213" s="169">
        <f t="shared" si="273"/>
        <v>0</v>
      </c>
      <c r="AK213" s="212">
        <v>78250</v>
      </c>
      <c r="AL213" s="226">
        <v>0</v>
      </c>
      <c r="AM213" s="225">
        <f t="shared" si="295"/>
        <v>78250</v>
      </c>
      <c r="AN213" s="153">
        <f t="shared" si="274"/>
        <v>0</v>
      </c>
      <c r="AO213" s="154">
        <f t="shared" si="275"/>
        <v>0</v>
      </c>
      <c r="AP213" s="225">
        <v>78250</v>
      </c>
      <c r="AQ213" s="212">
        <v>78250</v>
      </c>
      <c r="AR213" s="226">
        <f t="shared" si="295"/>
        <v>0</v>
      </c>
      <c r="AS213" s="225">
        <f t="shared" si="295"/>
        <v>78250</v>
      </c>
      <c r="AT213" s="155"/>
      <c r="AU213" s="156">
        <f t="shared" si="268"/>
        <v>0</v>
      </c>
      <c r="AV213" s="156">
        <f t="shared" si="269"/>
        <v>10600</v>
      </c>
      <c r="AW213" s="157"/>
      <c r="AX213" s="150">
        <v>67650</v>
      </c>
      <c r="AY213" s="225">
        <f t="shared" ref="AY213:BA213" si="297">SUBTOTAL(9,AY214)</f>
        <v>28500</v>
      </c>
      <c r="AZ213" s="225">
        <f t="shared" si="297"/>
        <v>14250</v>
      </c>
      <c r="BA213" s="225">
        <f t="shared" si="297"/>
        <v>42750</v>
      </c>
      <c r="BB213" s="192">
        <v>4</v>
      </c>
      <c r="BC213" s="256" t="s">
        <v>693</v>
      </c>
      <c r="BD213" s="256" t="s">
        <v>693</v>
      </c>
      <c r="BE213" s="256" t="s">
        <v>693</v>
      </c>
      <c r="BF213" s="256" t="s">
        <v>630</v>
      </c>
      <c r="BG213" s="185" t="s">
        <v>5365</v>
      </c>
      <c r="BH213" s="215">
        <f>SUBTOTAL(9,BH214)</f>
        <v>78250</v>
      </c>
      <c r="BI213" s="192"/>
      <c r="BJ213" s="256" t="s">
        <v>5366</v>
      </c>
      <c r="BK213" s="256" t="s">
        <v>535</v>
      </c>
      <c r="BL213" s="238" t="s">
        <v>5367</v>
      </c>
      <c r="BM213" s="215">
        <f>SUBTOTAL(9,BM214)</f>
        <v>78250</v>
      </c>
      <c r="BN213" s="160"/>
      <c r="BO213" s="161">
        <f t="shared" si="276"/>
        <v>0</v>
      </c>
      <c r="BP213" s="161"/>
    </row>
    <row r="214" spans="1:68" ht="51">
      <c r="A214" s="206" t="s">
        <v>535</v>
      </c>
      <c r="B214" s="195" t="s">
        <v>5368</v>
      </c>
      <c r="C214" s="196" t="s">
        <v>5369</v>
      </c>
      <c r="D214" s="146" t="s">
        <v>4692</v>
      </c>
      <c r="E214" s="196" t="s">
        <v>5369</v>
      </c>
      <c r="F214" s="150">
        <v>88635.6</v>
      </c>
      <c r="G214" s="209">
        <v>57100</v>
      </c>
      <c r="H214" s="209"/>
      <c r="I214" s="209">
        <v>57100</v>
      </c>
      <c r="J214" s="150">
        <v>0</v>
      </c>
      <c r="K214" s="150">
        <v>0</v>
      </c>
      <c r="L214" s="150">
        <f t="shared" si="277"/>
        <v>0</v>
      </c>
      <c r="M214" s="150">
        <v>12000</v>
      </c>
      <c r="N214" s="150">
        <v>32317.800000000003</v>
      </c>
      <c r="O214" s="150">
        <v>44317.8</v>
      </c>
      <c r="P214" s="150">
        <v>51150</v>
      </c>
      <c r="Q214" s="150"/>
      <c r="R214" s="150">
        <f>P214+Q214</f>
        <v>51150</v>
      </c>
      <c r="S214" s="150">
        <f t="shared" si="271"/>
        <v>68200</v>
      </c>
      <c r="T214" s="150"/>
      <c r="U214" s="150">
        <v>67650</v>
      </c>
      <c r="V214" s="199"/>
      <c r="W214" s="150">
        <f>U214+V214</f>
        <v>67650</v>
      </c>
      <c r="X214" s="150">
        <v>67650</v>
      </c>
      <c r="Y214" s="150"/>
      <c r="Z214" s="150">
        <v>67650</v>
      </c>
      <c r="AA214" s="150">
        <f t="shared" si="272"/>
        <v>10600</v>
      </c>
      <c r="AB214" s="150">
        <v>78250</v>
      </c>
      <c r="AC214" s="199"/>
      <c r="AD214" s="150">
        <f>AB214+AC214</f>
        <v>78250</v>
      </c>
      <c r="AE214" s="150">
        <v>78250</v>
      </c>
      <c r="AF214" s="169" t="s">
        <v>4680</v>
      </c>
      <c r="AG214" s="201">
        <v>78250</v>
      </c>
      <c r="AH214" s="199"/>
      <c r="AI214" s="150">
        <v>78250</v>
      </c>
      <c r="AJ214" s="169">
        <f t="shared" si="273"/>
        <v>0</v>
      </c>
      <c r="AK214" s="201">
        <v>78250</v>
      </c>
      <c r="AL214" s="199"/>
      <c r="AM214" s="150">
        <f>AK214+AL214</f>
        <v>78250</v>
      </c>
      <c r="AN214" s="153">
        <f t="shared" si="274"/>
        <v>0</v>
      </c>
      <c r="AO214" s="154">
        <f t="shared" si="275"/>
        <v>0</v>
      </c>
      <c r="AP214" s="150">
        <v>78250</v>
      </c>
      <c r="AQ214" s="201">
        <v>78250</v>
      </c>
      <c r="AR214" s="199"/>
      <c r="AS214" s="150">
        <f>AQ214+AR214</f>
        <v>78250</v>
      </c>
      <c r="AT214" s="155"/>
      <c r="AU214" s="156">
        <f t="shared" si="268"/>
        <v>0</v>
      </c>
      <c r="AV214" s="156">
        <f t="shared" si="269"/>
        <v>10600</v>
      </c>
      <c r="AW214" s="157"/>
      <c r="AX214" s="150">
        <v>67650</v>
      </c>
      <c r="AY214" s="150">
        <v>28500</v>
      </c>
      <c r="AZ214" s="237">
        <f>AY214/8*4</f>
        <v>14250</v>
      </c>
      <c r="BA214" s="150">
        <f t="shared" si="270"/>
        <v>42750</v>
      </c>
      <c r="BB214" s="202">
        <v>4</v>
      </c>
      <c r="BC214" s="202" t="s">
        <v>693</v>
      </c>
      <c r="BD214" s="202" t="s">
        <v>693</v>
      </c>
      <c r="BE214" s="202" t="s">
        <v>693</v>
      </c>
      <c r="BF214" s="202" t="s">
        <v>632</v>
      </c>
      <c r="BG214" s="203" t="s">
        <v>5370</v>
      </c>
      <c r="BH214" s="216">
        <f>AS214</f>
        <v>78250</v>
      </c>
      <c r="BI214" s="205"/>
      <c r="BJ214" s="206" t="s">
        <v>5366</v>
      </c>
      <c r="BK214" s="206" t="s">
        <v>535</v>
      </c>
      <c r="BL214" s="207" t="s">
        <v>5367</v>
      </c>
      <c r="BM214" s="208">
        <f>BH214</f>
        <v>78250</v>
      </c>
      <c r="BN214" s="160"/>
      <c r="BO214" s="161">
        <f t="shared" si="276"/>
        <v>0</v>
      </c>
      <c r="BP214" s="161"/>
    </row>
    <row r="215" spans="1:68" ht="76.5">
      <c r="A215" s="256" t="s">
        <v>536</v>
      </c>
      <c r="B215" s="184"/>
      <c r="C215" s="185" t="s">
        <v>5371</v>
      </c>
      <c r="D215" s="146" t="s">
        <v>4692</v>
      </c>
      <c r="E215" s="185" t="s">
        <v>5371</v>
      </c>
      <c r="F215" s="186">
        <v>0</v>
      </c>
      <c r="G215" s="187">
        <v>0</v>
      </c>
      <c r="H215" s="187">
        <v>0</v>
      </c>
      <c r="I215" s="187">
        <v>0</v>
      </c>
      <c r="J215" s="186">
        <f>SUBTOTAL(9,J216)</f>
        <v>0</v>
      </c>
      <c r="K215" s="186">
        <f>SUBTOTAL(9,K216)</f>
        <v>0</v>
      </c>
      <c r="L215" s="188">
        <f t="shared" si="277"/>
        <v>0</v>
      </c>
      <c r="M215" s="188">
        <v>0</v>
      </c>
      <c r="N215" s="188">
        <v>0</v>
      </c>
      <c r="O215" s="188">
        <v>0</v>
      </c>
      <c r="P215" s="225">
        <f t="shared" ref="P215:AS215" si="298">SUBTOTAL(9,P216)</f>
        <v>0</v>
      </c>
      <c r="Q215" s="225">
        <f t="shared" si="298"/>
        <v>0</v>
      </c>
      <c r="R215" s="225">
        <f t="shared" si="298"/>
        <v>0</v>
      </c>
      <c r="S215" s="150">
        <f t="shared" si="271"/>
        <v>0</v>
      </c>
      <c r="T215" s="213"/>
      <c r="U215" s="225">
        <f t="shared" ref="U215:W215" si="299">SUBTOTAL(9,U216)</f>
        <v>0</v>
      </c>
      <c r="V215" s="226">
        <f t="shared" si="299"/>
        <v>0</v>
      </c>
      <c r="W215" s="225">
        <f t="shared" si="299"/>
        <v>0</v>
      </c>
      <c r="X215" s="225">
        <v>0</v>
      </c>
      <c r="Y215" s="225">
        <v>0</v>
      </c>
      <c r="Z215" s="225">
        <v>0</v>
      </c>
      <c r="AA215" s="225">
        <f t="shared" si="272"/>
        <v>0</v>
      </c>
      <c r="AB215" s="225">
        <v>0</v>
      </c>
      <c r="AC215" s="226">
        <v>0</v>
      </c>
      <c r="AD215" s="225">
        <f t="shared" si="298"/>
        <v>0</v>
      </c>
      <c r="AE215" s="225">
        <v>0</v>
      </c>
      <c r="AF215" s="169" t="s">
        <v>4680</v>
      </c>
      <c r="AG215" s="212">
        <v>0</v>
      </c>
      <c r="AH215" s="226">
        <v>0</v>
      </c>
      <c r="AI215" s="225">
        <v>0</v>
      </c>
      <c r="AJ215" s="169">
        <f t="shared" si="273"/>
        <v>0</v>
      </c>
      <c r="AK215" s="212">
        <v>0</v>
      </c>
      <c r="AL215" s="226">
        <v>0</v>
      </c>
      <c r="AM215" s="225">
        <f t="shared" si="298"/>
        <v>0</v>
      </c>
      <c r="AN215" s="153">
        <f t="shared" si="274"/>
        <v>0</v>
      </c>
      <c r="AO215" s="154">
        <f t="shared" si="275"/>
        <v>0</v>
      </c>
      <c r="AP215" s="225">
        <v>0</v>
      </c>
      <c r="AQ215" s="212">
        <v>0</v>
      </c>
      <c r="AR215" s="226">
        <f t="shared" si="298"/>
        <v>0</v>
      </c>
      <c r="AS215" s="225">
        <f t="shared" si="298"/>
        <v>0</v>
      </c>
      <c r="AT215" s="155"/>
      <c r="AU215" s="156">
        <f t="shared" si="268"/>
        <v>0</v>
      </c>
      <c r="AV215" s="156">
        <f t="shared" si="269"/>
        <v>0</v>
      </c>
      <c r="AW215" s="157"/>
      <c r="AX215" s="150">
        <v>0</v>
      </c>
      <c r="AY215" s="225">
        <f t="shared" ref="AY215:BA215" si="300">SUBTOTAL(9,AY216)</f>
        <v>0</v>
      </c>
      <c r="AZ215" s="225">
        <f t="shared" si="300"/>
        <v>0</v>
      </c>
      <c r="BA215" s="225">
        <f t="shared" si="300"/>
        <v>0</v>
      </c>
      <c r="BB215" s="192">
        <v>4</v>
      </c>
      <c r="BC215" s="256" t="s">
        <v>693</v>
      </c>
      <c r="BD215" s="256" t="s">
        <v>693</v>
      </c>
      <c r="BE215" s="256" t="s">
        <v>714</v>
      </c>
      <c r="BF215" s="256" t="s">
        <v>630</v>
      </c>
      <c r="BG215" s="185" t="s">
        <v>5371</v>
      </c>
      <c r="BH215" s="215">
        <f>SUBTOTAL(9,BH216)</f>
        <v>0</v>
      </c>
      <c r="BI215" s="256" t="s">
        <v>1519</v>
      </c>
      <c r="BJ215" s="256" t="s">
        <v>5372</v>
      </c>
      <c r="BK215" s="256" t="s">
        <v>536</v>
      </c>
      <c r="BL215" s="238" t="s">
        <v>5373</v>
      </c>
      <c r="BM215" s="215">
        <f>SUBTOTAL(9,BM216)</f>
        <v>0</v>
      </c>
      <c r="BN215" s="160"/>
      <c r="BO215" s="161">
        <f t="shared" si="276"/>
        <v>0</v>
      </c>
      <c r="BP215" s="161"/>
    </row>
    <row r="216" spans="1:68" ht="63.75">
      <c r="A216" s="261" t="s">
        <v>536</v>
      </c>
      <c r="B216" s="228" t="s">
        <v>5374</v>
      </c>
      <c r="C216" s="229" t="s">
        <v>5375</v>
      </c>
      <c r="D216" s="146" t="s">
        <v>4692</v>
      </c>
      <c r="E216" s="196" t="s">
        <v>5375</v>
      </c>
      <c r="F216" s="150">
        <v>0</v>
      </c>
      <c r="G216" s="209">
        <v>0</v>
      </c>
      <c r="H216" s="209"/>
      <c r="I216" s="209">
        <v>0</v>
      </c>
      <c r="J216" s="150">
        <v>0</v>
      </c>
      <c r="K216" s="150">
        <v>0</v>
      </c>
      <c r="L216" s="150">
        <f t="shared" si="277"/>
        <v>0</v>
      </c>
      <c r="M216" s="150">
        <v>0</v>
      </c>
      <c r="N216" s="150"/>
      <c r="O216" s="150">
        <v>0</v>
      </c>
      <c r="P216" s="150">
        <v>0</v>
      </c>
      <c r="Q216" s="150"/>
      <c r="R216" s="150">
        <f>P216+Q216</f>
        <v>0</v>
      </c>
      <c r="S216" s="150">
        <f t="shared" si="271"/>
        <v>0</v>
      </c>
      <c r="T216" s="150"/>
      <c r="U216" s="150">
        <v>0</v>
      </c>
      <c r="V216" s="199"/>
      <c r="W216" s="150">
        <f>U216+V216</f>
        <v>0</v>
      </c>
      <c r="X216" s="150">
        <v>0</v>
      </c>
      <c r="Y216" s="150"/>
      <c r="Z216" s="150">
        <v>0</v>
      </c>
      <c r="AA216" s="150">
        <f t="shared" si="272"/>
        <v>0</v>
      </c>
      <c r="AB216" s="150">
        <v>0</v>
      </c>
      <c r="AC216" s="199"/>
      <c r="AD216" s="150">
        <f>AB216+AC216</f>
        <v>0</v>
      </c>
      <c r="AE216" s="150">
        <v>0</v>
      </c>
      <c r="AF216" s="169" t="s">
        <v>4680</v>
      </c>
      <c r="AG216" s="201">
        <v>0</v>
      </c>
      <c r="AH216" s="199"/>
      <c r="AI216" s="150">
        <v>0</v>
      </c>
      <c r="AJ216" s="169">
        <f t="shared" si="273"/>
        <v>0</v>
      </c>
      <c r="AK216" s="201">
        <v>0</v>
      </c>
      <c r="AL216" s="199"/>
      <c r="AM216" s="150">
        <f>AK216+AL216</f>
        <v>0</v>
      </c>
      <c r="AN216" s="153">
        <f t="shared" si="274"/>
        <v>0</v>
      </c>
      <c r="AO216" s="154">
        <f t="shared" si="275"/>
        <v>0</v>
      </c>
      <c r="AP216" s="150">
        <v>0</v>
      </c>
      <c r="AQ216" s="201">
        <v>0</v>
      </c>
      <c r="AR216" s="199"/>
      <c r="AS216" s="150">
        <f>AQ216+AR216</f>
        <v>0</v>
      </c>
      <c r="AT216" s="155" t="s">
        <v>4796</v>
      </c>
      <c r="AU216" s="156">
        <f t="shared" si="268"/>
        <v>0</v>
      </c>
      <c r="AV216" s="156">
        <f t="shared" si="269"/>
        <v>0</v>
      </c>
      <c r="AW216" s="157" t="s">
        <v>4796</v>
      </c>
      <c r="AX216" s="150">
        <v>0</v>
      </c>
      <c r="AY216" s="150">
        <v>0</v>
      </c>
      <c r="AZ216" s="150"/>
      <c r="BA216" s="150">
        <f t="shared" si="270"/>
        <v>0</v>
      </c>
      <c r="BB216" s="202">
        <v>4</v>
      </c>
      <c r="BC216" s="202" t="s">
        <v>693</v>
      </c>
      <c r="BD216" s="202" t="s">
        <v>693</v>
      </c>
      <c r="BE216" s="202" t="s">
        <v>714</v>
      </c>
      <c r="BF216" s="202" t="s">
        <v>632</v>
      </c>
      <c r="BG216" s="203" t="s">
        <v>5376</v>
      </c>
      <c r="BH216" s="216">
        <f>AS216</f>
        <v>0</v>
      </c>
      <c r="BI216" s="206" t="s">
        <v>1519</v>
      </c>
      <c r="BJ216" s="206" t="s">
        <v>5372</v>
      </c>
      <c r="BK216" s="206" t="s">
        <v>536</v>
      </c>
      <c r="BL216" s="207" t="s">
        <v>5373</v>
      </c>
      <c r="BM216" s="208">
        <f>BH216</f>
        <v>0</v>
      </c>
      <c r="BN216" s="160"/>
      <c r="BO216" s="161">
        <f t="shared" si="276"/>
        <v>0</v>
      </c>
      <c r="BP216" s="161"/>
    </row>
    <row r="217" spans="1:68" ht="25.5">
      <c r="A217" s="256" t="s">
        <v>537</v>
      </c>
      <c r="B217" s="184"/>
      <c r="C217" s="185" t="s">
        <v>5377</v>
      </c>
      <c r="D217" s="146" t="s">
        <v>4692</v>
      </c>
      <c r="E217" s="185" t="s">
        <v>5377</v>
      </c>
      <c r="F217" s="186">
        <v>12482.79</v>
      </c>
      <c r="G217" s="187">
        <v>8682.7900000000009</v>
      </c>
      <c r="H217" s="187">
        <v>0</v>
      </c>
      <c r="I217" s="187">
        <v>8682.7900000000009</v>
      </c>
      <c r="J217" s="186">
        <f>SUBTOTAL(9,J218:J220)</f>
        <v>250</v>
      </c>
      <c r="K217" s="186">
        <f>SUBTOTAL(9,K218:K220)</f>
        <v>0</v>
      </c>
      <c r="L217" s="188">
        <f t="shared" si="277"/>
        <v>250</v>
      </c>
      <c r="M217" s="188">
        <v>618.85</v>
      </c>
      <c r="N217" s="188">
        <v>3722.5450000000005</v>
      </c>
      <c r="O217" s="188">
        <v>4341.3950000000004</v>
      </c>
      <c r="P217" s="225">
        <f t="shared" ref="P217:AD217" si="301">SUBTOTAL(9,P218:P220)</f>
        <v>905.74</v>
      </c>
      <c r="Q217" s="225">
        <f t="shared" si="301"/>
        <v>0</v>
      </c>
      <c r="R217" s="225">
        <f t="shared" si="301"/>
        <v>905.74</v>
      </c>
      <c r="S217" s="150">
        <f t="shared" si="271"/>
        <v>1207.6533333333334</v>
      </c>
      <c r="T217" s="213"/>
      <c r="U217" s="225">
        <f t="shared" ref="U217:W217" si="302">SUBTOTAL(9,U218:U220)</f>
        <v>13448.36</v>
      </c>
      <c r="V217" s="226">
        <f t="shared" si="302"/>
        <v>0</v>
      </c>
      <c r="W217" s="225">
        <f t="shared" si="302"/>
        <v>13448.36</v>
      </c>
      <c r="X217" s="225">
        <v>13448.36</v>
      </c>
      <c r="Y217" s="225">
        <v>0</v>
      </c>
      <c r="Z217" s="225">
        <v>13448.36</v>
      </c>
      <c r="AA217" s="225">
        <f t="shared" si="272"/>
        <v>2400</v>
      </c>
      <c r="AB217" s="225">
        <v>15848.36</v>
      </c>
      <c r="AC217" s="226">
        <v>0</v>
      </c>
      <c r="AD217" s="225">
        <f t="shared" si="301"/>
        <v>15848.36</v>
      </c>
      <c r="AE217" s="225">
        <v>15848.36</v>
      </c>
      <c r="AF217" s="169" t="s">
        <v>4680</v>
      </c>
      <c r="AG217" s="212">
        <v>15848.36</v>
      </c>
      <c r="AH217" s="226">
        <v>0</v>
      </c>
      <c r="AI217" s="225">
        <v>15848.36</v>
      </c>
      <c r="AJ217" s="169">
        <f t="shared" si="273"/>
        <v>0</v>
      </c>
      <c r="AK217" s="212">
        <v>15848.36</v>
      </c>
      <c r="AL217" s="226">
        <v>0</v>
      </c>
      <c r="AM217" s="225">
        <f t="shared" ref="AM217" si="303">SUBTOTAL(9,AM218:AM220)</f>
        <v>15848.36</v>
      </c>
      <c r="AN217" s="153">
        <f t="shared" si="274"/>
        <v>0</v>
      </c>
      <c r="AO217" s="154">
        <f t="shared" si="275"/>
        <v>0</v>
      </c>
      <c r="AP217" s="225">
        <v>15848.36</v>
      </c>
      <c r="AQ217" s="212">
        <v>15848.36</v>
      </c>
      <c r="AR217" s="226">
        <f t="shared" ref="AR217:AS217" si="304">SUBTOTAL(9,AR218:AR220)</f>
        <v>0</v>
      </c>
      <c r="AS217" s="225">
        <f t="shared" si="304"/>
        <v>15848.36</v>
      </c>
      <c r="AT217" s="155"/>
      <c r="AU217" s="156">
        <f t="shared" si="268"/>
        <v>0</v>
      </c>
      <c r="AV217" s="156">
        <f t="shared" si="269"/>
        <v>2400</v>
      </c>
      <c r="AW217" s="157"/>
      <c r="AX217" s="150">
        <v>13448.36</v>
      </c>
      <c r="AY217" s="225">
        <f t="shared" ref="AY217:BA217" si="305">SUBTOTAL(9,AY218:AY220)</f>
        <v>905.74</v>
      </c>
      <c r="AZ217" s="225">
        <f t="shared" si="305"/>
        <v>452.87</v>
      </c>
      <c r="BA217" s="225">
        <f t="shared" si="305"/>
        <v>1358.6100000000001</v>
      </c>
      <c r="BB217" s="192">
        <v>4</v>
      </c>
      <c r="BC217" s="256" t="s">
        <v>693</v>
      </c>
      <c r="BD217" s="256" t="s">
        <v>693</v>
      </c>
      <c r="BE217" s="256" t="s">
        <v>739</v>
      </c>
      <c r="BF217" s="256" t="s">
        <v>630</v>
      </c>
      <c r="BG217" s="185" t="s">
        <v>5377</v>
      </c>
      <c r="BH217" s="215">
        <f>SUBTOTAL(9,BH218:BH220)</f>
        <v>15848.36</v>
      </c>
      <c r="BI217" s="192"/>
      <c r="BJ217" s="256" t="s">
        <v>5378</v>
      </c>
      <c r="BK217" s="256" t="s">
        <v>537</v>
      </c>
      <c r="BL217" s="238" t="s">
        <v>5379</v>
      </c>
      <c r="BM217" s="215">
        <f>SUBTOTAL(9,BM218:BM220)</f>
        <v>15848.36</v>
      </c>
      <c r="BN217" s="160"/>
      <c r="BO217" s="161">
        <f t="shared" si="276"/>
        <v>0</v>
      </c>
      <c r="BP217" s="161"/>
    </row>
    <row r="218" spans="1:68" ht="25.5">
      <c r="A218" s="206" t="s">
        <v>537</v>
      </c>
      <c r="B218" s="195" t="s">
        <v>5380</v>
      </c>
      <c r="C218" s="196" t="s">
        <v>5381</v>
      </c>
      <c r="D218" s="146" t="s">
        <v>4692</v>
      </c>
      <c r="E218" s="196" t="s">
        <v>5381</v>
      </c>
      <c r="F218" s="150">
        <v>3800</v>
      </c>
      <c r="G218" s="209">
        <v>0</v>
      </c>
      <c r="H218" s="209"/>
      <c r="I218" s="209">
        <v>0</v>
      </c>
      <c r="J218" s="150">
        <v>0</v>
      </c>
      <c r="K218" s="150">
        <v>0</v>
      </c>
      <c r="L218" s="150">
        <f t="shared" si="277"/>
        <v>0</v>
      </c>
      <c r="M218" s="150">
        <v>0</v>
      </c>
      <c r="N218" s="150"/>
      <c r="O218" s="150">
        <v>0</v>
      </c>
      <c r="P218" s="150">
        <v>0</v>
      </c>
      <c r="Q218" s="150"/>
      <c r="R218" s="150">
        <f>P218+Q218</f>
        <v>0</v>
      </c>
      <c r="S218" s="150">
        <f t="shared" si="271"/>
        <v>0</v>
      </c>
      <c r="T218" s="150"/>
      <c r="U218" s="150">
        <v>5900</v>
      </c>
      <c r="V218" s="199"/>
      <c r="W218" s="150">
        <f>U218+V218</f>
        <v>5900</v>
      </c>
      <c r="X218" s="150">
        <v>5900</v>
      </c>
      <c r="Y218" s="150"/>
      <c r="Z218" s="150">
        <v>5900</v>
      </c>
      <c r="AA218" s="150">
        <f t="shared" si="272"/>
        <v>2400</v>
      </c>
      <c r="AB218" s="150">
        <v>8300</v>
      </c>
      <c r="AC218" s="199"/>
      <c r="AD218" s="150">
        <f>AB218+AC218</f>
        <v>8300</v>
      </c>
      <c r="AE218" s="150">
        <v>8300</v>
      </c>
      <c r="AF218" s="169" t="s">
        <v>4680</v>
      </c>
      <c r="AG218" s="201">
        <v>8300</v>
      </c>
      <c r="AH218" s="199"/>
      <c r="AI218" s="150">
        <v>8300</v>
      </c>
      <c r="AJ218" s="169">
        <f t="shared" si="273"/>
        <v>0</v>
      </c>
      <c r="AK218" s="201">
        <v>8300</v>
      </c>
      <c r="AL218" s="199"/>
      <c r="AM218" s="150">
        <f>AK218+AL218</f>
        <v>8300</v>
      </c>
      <c r="AN218" s="153">
        <f t="shared" si="274"/>
        <v>0</v>
      </c>
      <c r="AO218" s="154">
        <f t="shared" si="275"/>
        <v>0</v>
      </c>
      <c r="AP218" s="150">
        <v>8300</v>
      </c>
      <c r="AQ218" s="201">
        <v>8300</v>
      </c>
      <c r="AR218" s="199"/>
      <c r="AS218" s="150">
        <f>AQ218+AR218</f>
        <v>8300</v>
      </c>
      <c r="AT218" s="155"/>
      <c r="AU218" s="156">
        <f t="shared" si="268"/>
        <v>0</v>
      </c>
      <c r="AV218" s="156">
        <f t="shared" si="269"/>
        <v>2400</v>
      </c>
      <c r="AW218" s="157"/>
      <c r="AX218" s="150">
        <v>5900</v>
      </c>
      <c r="AY218" s="150">
        <v>0</v>
      </c>
      <c r="AZ218" s="150"/>
      <c r="BA218" s="150">
        <f t="shared" si="270"/>
        <v>0</v>
      </c>
      <c r="BB218" s="202">
        <v>4</v>
      </c>
      <c r="BC218" s="202" t="s">
        <v>693</v>
      </c>
      <c r="BD218" s="202" t="s">
        <v>693</v>
      </c>
      <c r="BE218" s="202" t="s">
        <v>739</v>
      </c>
      <c r="BF218" s="202" t="s">
        <v>632</v>
      </c>
      <c r="BG218" s="203" t="s">
        <v>43</v>
      </c>
      <c r="BH218" s="216">
        <f>AS218+AS219+AS220</f>
        <v>15848.36</v>
      </c>
      <c r="BI218" s="205"/>
      <c r="BJ218" s="206" t="s">
        <v>5378</v>
      </c>
      <c r="BK218" s="206" t="s">
        <v>537</v>
      </c>
      <c r="BL218" s="207" t="s">
        <v>5379</v>
      </c>
      <c r="BM218" s="208">
        <f>BH218</f>
        <v>15848.36</v>
      </c>
      <c r="BN218" s="160"/>
      <c r="BO218" s="161"/>
      <c r="BP218" s="161"/>
    </row>
    <row r="219" spans="1:68">
      <c r="A219" s="210"/>
      <c r="B219" s="195" t="s">
        <v>5382</v>
      </c>
      <c r="C219" s="196" t="s">
        <v>5383</v>
      </c>
      <c r="D219" s="146" t="s">
        <v>4692</v>
      </c>
      <c r="E219" s="196" t="s">
        <v>5383</v>
      </c>
      <c r="F219" s="150">
        <v>8682.7900000000009</v>
      </c>
      <c r="G219" s="209">
        <v>8682.7900000000009</v>
      </c>
      <c r="H219" s="209"/>
      <c r="I219" s="209">
        <v>8682.7900000000009</v>
      </c>
      <c r="J219" s="150">
        <v>250</v>
      </c>
      <c r="K219" s="150">
        <v>0</v>
      </c>
      <c r="L219" s="150">
        <f t="shared" si="277"/>
        <v>250</v>
      </c>
      <c r="M219" s="150">
        <v>618.85</v>
      </c>
      <c r="N219" s="150">
        <v>3722.5450000000005</v>
      </c>
      <c r="O219" s="150">
        <v>4341.3950000000004</v>
      </c>
      <c r="P219" s="150">
        <v>905.74</v>
      </c>
      <c r="Q219" s="150">
        <v>0</v>
      </c>
      <c r="R219" s="150">
        <f>P219+Q219</f>
        <v>905.74</v>
      </c>
      <c r="S219" s="150">
        <f t="shared" si="271"/>
        <v>1207.6533333333334</v>
      </c>
      <c r="T219" s="150"/>
      <c r="U219" s="150">
        <v>7548.36</v>
      </c>
      <c r="V219" s="199"/>
      <c r="W219" s="150">
        <f>U219+V219</f>
        <v>7548.36</v>
      </c>
      <c r="X219" s="150">
        <v>7548.36</v>
      </c>
      <c r="Y219" s="150"/>
      <c r="Z219" s="150">
        <v>7548.36</v>
      </c>
      <c r="AA219" s="150">
        <f t="shared" si="272"/>
        <v>0</v>
      </c>
      <c r="AB219" s="150">
        <v>7548.36</v>
      </c>
      <c r="AC219" s="199"/>
      <c r="AD219" s="150">
        <f>AB219+AC219</f>
        <v>7548.36</v>
      </c>
      <c r="AE219" s="150">
        <v>7548.36</v>
      </c>
      <c r="AF219" s="169" t="s">
        <v>4680</v>
      </c>
      <c r="AG219" s="201">
        <v>7548.36</v>
      </c>
      <c r="AH219" s="199"/>
      <c r="AI219" s="150">
        <v>7548.36</v>
      </c>
      <c r="AJ219" s="169">
        <f t="shared" si="273"/>
        <v>0</v>
      </c>
      <c r="AK219" s="201">
        <v>7548.36</v>
      </c>
      <c r="AL219" s="199"/>
      <c r="AM219" s="150">
        <f>AK219+AL219</f>
        <v>7548.36</v>
      </c>
      <c r="AN219" s="153">
        <f t="shared" si="274"/>
        <v>0</v>
      </c>
      <c r="AO219" s="154">
        <f t="shared" si="275"/>
        <v>0</v>
      </c>
      <c r="AP219" s="150">
        <v>7548.36</v>
      </c>
      <c r="AQ219" s="201">
        <v>7548.36</v>
      </c>
      <c r="AR219" s="199"/>
      <c r="AS219" s="150">
        <f>AQ219+AR219</f>
        <v>7548.36</v>
      </c>
      <c r="AT219" s="155"/>
      <c r="AU219" s="156">
        <f t="shared" si="268"/>
        <v>0</v>
      </c>
      <c r="AV219" s="156">
        <f t="shared" si="269"/>
        <v>0</v>
      </c>
      <c r="AW219" s="157"/>
      <c r="AX219" s="150">
        <v>7548.36</v>
      </c>
      <c r="AY219" s="150">
        <v>905.74</v>
      </c>
      <c r="AZ219" s="237">
        <f>AY219/8*4</f>
        <v>452.87</v>
      </c>
      <c r="BA219" s="150">
        <f t="shared" si="270"/>
        <v>1358.6100000000001</v>
      </c>
      <c r="BB219" s="210"/>
      <c r="BC219" s="210"/>
      <c r="BD219" s="210"/>
      <c r="BE219" s="210"/>
      <c r="BF219" s="210"/>
      <c r="BG219" s="210"/>
      <c r="BH219" s="217"/>
      <c r="BI219" s="210"/>
      <c r="BJ219" s="210"/>
      <c r="BK219" s="210"/>
      <c r="BL219" s="210"/>
      <c r="BM219" s="208"/>
      <c r="BN219" s="160"/>
      <c r="BO219" s="161"/>
      <c r="BP219" s="161"/>
    </row>
    <row r="220" spans="1:68">
      <c r="A220" s="210"/>
      <c r="B220" s="195" t="s">
        <v>5384</v>
      </c>
      <c r="C220" s="196" t="s">
        <v>5385</v>
      </c>
      <c r="D220" s="146" t="s">
        <v>4692</v>
      </c>
      <c r="E220" s="196" t="s">
        <v>5385</v>
      </c>
      <c r="F220" s="150">
        <v>0</v>
      </c>
      <c r="G220" s="209">
        <v>0</v>
      </c>
      <c r="H220" s="209"/>
      <c r="I220" s="209">
        <v>0</v>
      </c>
      <c r="J220" s="150">
        <v>0</v>
      </c>
      <c r="K220" s="150">
        <v>0</v>
      </c>
      <c r="L220" s="150">
        <f t="shared" si="277"/>
        <v>0</v>
      </c>
      <c r="M220" s="150">
        <v>0</v>
      </c>
      <c r="N220" s="150"/>
      <c r="O220" s="150">
        <v>0</v>
      </c>
      <c r="P220" s="150">
        <v>0</v>
      </c>
      <c r="Q220" s="150"/>
      <c r="R220" s="150">
        <f>P220+Q220</f>
        <v>0</v>
      </c>
      <c r="S220" s="150">
        <f t="shared" si="271"/>
        <v>0</v>
      </c>
      <c r="T220" s="150"/>
      <c r="U220" s="150">
        <v>0</v>
      </c>
      <c r="V220" s="199"/>
      <c r="W220" s="150">
        <f>U220+V220</f>
        <v>0</v>
      </c>
      <c r="X220" s="150">
        <v>0</v>
      </c>
      <c r="Y220" s="150"/>
      <c r="Z220" s="150">
        <v>0</v>
      </c>
      <c r="AA220" s="150">
        <f t="shared" si="272"/>
        <v>0</v>
      </c>
      <c r="AB220" s="150">
        <v>0</v>
      </c>
      <c r="AC220" s="199"/>
      <c r="AD220" s="150">
        <f>AB220+AC220</f>
        <v>0</v>
      </c>
      <c r="AE220" s="150">
        <v>0</v>
      </c>
      <c r="AF220" s="169" t="s">
        <v>4680</v>
      </c>
      <c r="AG220" s="201">
        <v>0</v>
      </c>
      <c r="AH220" s="199"/>
      <c r="AI220" s="150">
        <v>0</v>
      </c>
      <c r="AJ220" s="169">
        <f t="shared" si="273"/>
        <v>0</v>
      </c>
      <c r="AK220" s="201">
        <v>0</v>
      </c>
      <c r="AL220" s="199"/>
      <c r="AM220" s="150">
        <f>AK220+AL220</f>
        <v>0</v>
      </c>
      <c r="AN220" s="153">
        <f t="shared" si="274"/>
        <v>0</v>
      </c>
      <c r="AO220" s="154">
        <f t="shared" si="275"/>
        <v>0</v>
      </c>
      <c r="AP220" s="150">
        <v>0</v>
      </c>
      <c r="AQ220" s="201">
        <v>0</v>
      </c>
      <c r="AR220" s="199"/>
      <c r="AS220" s="150">
        <f>AQ220+AR220</f>
        <v>0</v>
      </c>
      <c r="AT220" s="155"/>
      <c r="AU220" s="156">
        <f t="shared" si="268"/>
        <v>0</v>
      </c>
      <c r="AV220" s="156">
        <f t="shared" si="269"/>
        <v>0</v>
      </c>
      <c r="AW220" s="157"/>
      <c r="AX220" s="150">
        <v>0</v>
      </c>
      <c r="AY220" s="150">
        <v>0</v>
      </c>
      <c r="AZ220" s="150"/>
      <c r="BA220" s="150">
        <f t="shared" si="270"/>
        <v>0</v>
      </c>
      <c r="BB220" s="210"/>
      <c r="BC220" s="210"/>
      <c r="BD220" s="210"/>
      <c r="BE220" s="210"/>
      <c r="BF220" s="210"/>
      <c r="BG220" s="210"/>
      <c r="BH220" s="217"/>
      <c r="BI220" s="210"/>
      <c r="BJ220" s="210"/>
      <c r="BK220" s="210"/>
      <c r="BL220" s="210"/>
      <c r="BM220" s="208"/>
      <c r="BN220" s="160"/>
      <c r="BO220" s="161">
        <f t="shared" si="276"/>
        <v>0</v>
      </c>
      <c r="BP220" s="161"/>
    </row>
    <row r="221" spans="1:68" ht="51">
      <c r="A221" s="256" t="s">
        <v>538</v>
      </c>
      <c r="B221" s="184"/>
      <c r="C221" s="238" t="s">
        <v>5386</v>
      </c>
      <c r="D221" s="146" t="s">
        <v>4692</v>
      </c>
      <c r="E221" s="238" t="s">
        <v>5386</v>
      </c>
      <c r="F221" s="186">
        <v>98100</v>
      </c>
      <c r="G221" s="244">
        <v>72700</v>
      </c>
      <c r="H221" s="244">
        <v>0</v>
      </c>
      <c r="I221" s="244">
        <v>72700</v>
      </c>
      <c r="J221" s="186">
        <f>SUBTOTAL(9,J222)</f>
        <v>12500</v>
      </c>
      <c r="K221" s="186">
        <f>SUBTOTAL(9,K222)</f>
        <v>0</v>
      </c>
      <c r="L221" s="188">
        <f t="shared" si="277"/>
        <v>12500</v>
      </c>
      <c r="M221" s="188">
        <v>37000</v>
      </c>
      <c r="N221" s="188">
        <v>0</v>
      </c>
      <c r="O221" s="188">
        <v>37000</v>
      </c>
      <c r="P221" s="225">
        <f t="shared" ref="P221:AS221" si="306">SUBTOTAL(9,P222)</f>
        <v>74800</v>
      </c>
      <c r="Q221" s="225">
        <f t="shared" si="306"/>
        <v>10000</v>
      </c>
      <c r="R221" s="225">
        <f t="shared" si="306"/>
        <v>84800</v>
      </c>
      <c r="S221" s="150">
        <f t="shared" si="271"/>
        <v>113066.66666666667</v>
      </c>
      <c r="T221" s="213"/>
      <c r="U221" s="225">
        <f t="shared" ref="U221:W221" si="307">SUBTOTAL(9,U222)</f>
        <v>103800</v>
      </c>
      <c r="V221" s="226">
        <f t="shared" si="307"/>
        <v>0</v>
      </c>
      <c r="W221" s="225">
        <f t="shared" si="307"/>
        <v>103800</v>
      </c>
      <c r="X221" s="225">
        <v>103800</v>
      </c>
      <c r="Y221" s="225">
        <v>0</v>
      </c>
      <c r="Z221" s="225">
        <v>103800</v>
      </c>
      <c r="AA221" s="225">
        <f t="shared" si="272"/>
        <v>5000</v>
      </c>
      <c r="AB221" s="225">
        <v>108800</v>
      </c>
      <c r="AC221" s="226">
        <v>0</v>
      </c>
      <c r="AD221" s="225">
        <f t="shared" si="306"/>
        <v>108800</v>
      </c>
      <c r="AE221" s="225">
        <v>108800</v>
      </c>
      <c r="AF221" s="169" t="s">
        <v>4680</v>
      </c>
      <c r="AG221" s="212">
        <v>108800</v>
      </c>
      <c r="AH221" s="226">
        <v>0</v>
      </c>
      <c r="AI221" s="225">
        <v>108800</v>
      </c>
      <c r="AJ221" s="169">
        <f t="shared" si="273"/>
        <v>0</v>
      </c>
      <c r="AK221" s="212">
        <v>108800</v>
      </c>
      <c r="AL221" s="226">
        <v>0</v>
      </c>
      <c r="AM221" s="225">
        <f t="shared" si="306"/>
        <v>108800</v>
      </c>
      <c r="AN221" s="153">
        <f t="shared" si="274"/>
        <v>0</v>
      </c>
      <c r="AO221" s="154">
        <f t="shared" si="275"/>
        <v>0</v>
      </c>
      <c r="AP221" s="225">
        <v>108800</v>
      </c>
      <c r="AQ221" s="212">
        <v>108800</v>
      </c>
      <c r="AR221" s="226">
        <f t="shared" si="306"/>
        <v>0</v>
      </c>
      <c r="AS221" s="225">
        <f t="shared" si="306"/>
        <v>108800</v>
      </c>
      <c r="AT221" s="155"/>
      <c r="AU221" s="156">
        <f t="shared" si="268"/>
        <v>0</v>
      </c>
      <c r="AV221" s="156">
        <f t="shared" si="269"/>
        <v>5000</v>
      </c>
      <c r="AW221" s="157"/>
      <c r="AX221" s="150">
        <v>103800</v>
      </c>
      <c r="AY221" s="225">
        <f t="shared" ref="AY221:BA221" si="308">SUBTOTAL(9,AY222)</f>
        <v>70000</v>
      </c>
      <c r="AZ221" s="225">
        <f t="shared" si="308"/>
        <v>132000</v>
      </c>
      <c r="BA221" s="225">
        <f t="shared" si="308"/>
        <v>202000</v>
      </c>
      <c r="BB221" s="192">
        <v>4</v>
      </c>
      <c r="BC221" s="256" t="s">
        <v>693</v>
      </c>
      <c r="BD221" s="256" t="s">
        <v>693</v>
      </c>
      <c r="BE221" s="256" t="s">
        <v>755</v>
      </c>
      <c r="BF221" s="256" t="s">
        <v>630</v>
      </c>
      <c r="BG221" s="185" t="s">
        <v>5387</v>
      </c>
      <c r="BH221" s="215">
        <f>SUBTOTAL(9,BH222)</f>
        <v>108800</v>
      </c>
      <c r="BI221" s="256" t="s">
        <v>1519</v>
      </c>
      <c r="BJ221" s="256" t="s">
        <v>5388</v>
      </c>
      <c r="BK221" s="256" t="s">
        <v>538</v>
      </c>
      <c r="BL221" s="238" t="s">
        <v>5386</v>
      </c>
      <c r="BM221" s="215">
        <f>SUBTOTAL(9,BM222)</f>
        <v>108800</v>
      </c>
      <c r="BN221" s="160"/>
      <c r="BO221" s="161">
        <f t="shared" si="276"/>
        <v>0</v>
      </c>
      <c r="BP221" s="161"/>
    </row>
    <row r="222" spans="1:68" ht="51">
      <c r="A222" s="261" t="s">
        <v>538</v>
      </c>
      <c r="B222" s="228" t="s">
        <v>5389</v>
      </c>
      <c r="C222" s="229" t="s">
        <v>5390</v>
      </c>
      <c r="D222" s="146" t="s">
        <v>4692</v>
      </c>
      <c r="E222" s="196" t="s">
        <v>5390</v>
      </c>
      <c r="F222" s="150">
        <v>98100</v>
      </c>
      <c r="G222" s="209">
        <v>72700</v>
      </c>
      <c r="H222" s="209"/>
      <c r="I222" s="209">
        <v>72700</v>
      </c>
      <c r="J222" s="150">
        <v>12500</v>
      </c>
      <c r="K222" s="150">
        <v>0</v>
      </c>
      <c r="L222" s="150">
        <f t="shared" si="277"/>
        <v>12500</v>
      </c>
      <c r="M222" s="150">
        <v>37000</v>
      </c>
      <c r="N222" s="150"/>
      <c r="O222" s="150">
        <v>37000</v>
      </c>
      <c r="P222" s="150">
        <v>74800</v>
      </c>
      <c r="Q222" s="150">
        <v>10000</v>
      </c>
      <c r="R222" s="150">
        <f>P222+Q222</f>
        <v>84800</v>
      </c>
      <c r="S222" s="150">
        <f t="shared" si="271"/>
        <v>113066.66666666667</v>
      </c>
      <c r="T222" s="150"/>
      <c r="U222" s="150">
        <v>103800</v>
      </c>
      <c r="V222" s="230"/>
      <c r="W222" s="150">
        <f>U222+V222</f>
        <v>103800</v>
      </c>
      <c r="X222" s="150">
        <v>103800</v>
      </c>
      <c r="Y222" s="150"/>
      <c r="Z222" s="150">
        <v>103800</v>
      </c>
      <c r="AA222" s="150">
        <f t="shared" si="272"/>
        <v>5000</v>
      </c>
      <c r="AB222" s="150">
        <v>108800</v>
      </c>
      <c r="AC222" s="230"/>
      <c r="AD222" s="150">
        <f>AB222+AC222</f>
        <v>108800</v>
      </c>
      <c r="AE222" s="150">
        <v>108800</v>
      </c>
      <c r="AF222" s="169" t="s">
        <v>4680</v>
      </c>
      <c r="AG222" s="201">
        <v>108800</v>
      </c>
      <c r="AH222" s="245"/>
      <c r="AI222" s="150">
        <v>108800</v>
      </c>
      <c r="AJ222" s="169">
        <f t="shared" si="273"/>
        <v>0</v>
      </c>
      <c r="AK222" s="201">
        <v>108800</v>
      </c>
      <c r="AL222" s="245"/>
      <c r="AM222" s="150">
        <f>AK222+AL222</f>
        <v>108800</v>
      </c>
      <c r="AN222" s="153">
        <f t="shared" si="274"/>
        <v>0</v>
      </c>
      <c r="AO222" s="154">
        <f t="shared" si="275"/>
        <v>0</v>
      </c>
      <c r="AP222" s="150">
        <v>108800</v>
      </c>
      <c r="AQ222" s="201">
        <v>108800</v>
      </c>
      <c r="AR222" s="245"/>
      <c r="AS222" s="150">
        <f>AQ222+AR222</f>
        <v>108800</v>
      </c>
      <c r="AT222" s="155" t="s">
        <v>4796</v>
      </c>
      <c r="AU222" s="156">
        <f t="shared" si="268"/>
        <v>0</v>
      </c>
      <c r="AV222" s="156">
        <f t="shared" si="269"/>
        <v>5000</v>
      </c>
      <c r="AW222" s="157" t="s">
        <v>4796</v>
      </c>
      <c r="AX222" s="150">
        <v>103800</v>
      </c>
      <c r="AY222" s="150">
        <v>70000</v>
      </c>
      <c r="AZ222" s="237">
        <f>(AY222-O222)*4</f>
        <v>132000</v>
      </c>
      <c r="BA222" s="150">
        <f t="shared" si="270"/>
        <v>202000</v>
      </c>
      <c r="BB222" s="202">
        <v>4</v>
      </c>
      <c r="BC222" s="202" t="s">
        <v>693</v>
      </c>
      <c r="BD222" s="202" t="s">
        <v>693</v>
      </c>
      <c r="BE222" s="202" t="s">
        <v>755</v>
      </c>
      <c r="BF222" s="202" t="s">
        <v>632</v>
      </c>
      <c r="BG222" s="203" t="s">
        <v>44</v>
      </c>
      <c r="BH222" s="216">
        <f>AS222</f>
        <v>108800</v>
      </c>
      <c r="BI222" s="206" t="s">
        <v>1519</v>
      </c>
      <c r="BJ222" s="206" t="s">
        <v>5388</v>
      </c>
      <c r="BK222" s="206" t="s">
        <v>538</v>
      </c>
      <c r="BL222" s="207" t="s">
        <v>5386</v>
      </c>
      <c r="BM222" s="208">
        <f>BH222</f>
        <v>108800</v>
      </c>
      <c r="BN222" s="160"/>
      <c r="BO222" s="161">
        <f t="shared" si="276"/>
        <v>0</v>
      </c>
      <c r="BP222" s="161"/>
    </row>
    <row r="223" spans="1:68" ht="25.5">
      <c r="A223" s="262" t="s">
        <v>5391</v>
      </c>
      <c r="B223" s="163"/>
      <c r="C223" s="164" t="s">
        <v>5392</v>
      </c>
      <c r="D223" s="146" t="s">
        <v>4692</v>
      </c>
      <c r="E223" s="164" t="s">
        <v>5392</v>
      </c>
      <c r="F223" s="165">
        <v>7663950.8199999994</v>
      </c>
      <c r="G223" s="166">
        <v>2333567.3699999996</v>
      </c>
      <c r="H223" s="166">
        <v>1128105.2966666669</v>
      </c>
      <c r="I223" s="166">
        <v>3461672.666666667</v>
      </c>
      <c r="J223" s="165">
        <f>J224+J228+J233+J242+J250</f>
        <v>402339.07</v>
      </c>
      <c r="K223" s="165">
        <f>K224+K228+K233+K242+K250</f>
        <v>720</v>
      </c>
      <c r="L223" s="167">
        <f t="shared" si="277"/>
        <v>403059.07</v>
      </c>
      <c r="M223" s="167">
        <v>768397.37</v>
      </c>
      <c r="N223" s="167">
        <v>544724.95000000007</v>
      </c>
      <c r="O223" s="167">
        <v>1313122.32</v>
      </c>
      <c r="P223" s="232">
        <f t="shared" ref="P223:R223" si="309">P224+P228+P233+P242+P250</f>
        <v>1680238.5899999999</v>
      </c>
      <c r="Q223" s="232">
        <f t="shared" si="309"/>
        <v>71557.960000000006</v>
      </c>
      <c r="R223" s="232">
        <f t="shared" si="309"/>
        <v>1751796.5499999998</v>
      </c>
      <c r="S223" s="150">
        <f t="shared" si="271"/>
        <v>2335728.7333333329</v>
      </c>
      <c r="T223" s="213"/>
      <c r="U223" s="232">
        <f t="shared" ref="U223:W223" si="310">U224+U228+U233+U242+U250</f>
        <v>2321659.8099999996</v>
      </c>
      <c r="V223" s="233">
        <f t="shared" si="310"/>
        <v>0</v>
      </c>
      <c r="W223" s="232">
        <f t="shared" si="310"/>
        <v>2321659.8099999996</v>
      </c>
      <c r="X223" s="232">
        <v>2321659.8099999996</v>
      </c>
      <c r="Y223" s="232">
        <v>0</v>
      </c>
      <c r="Z223" s="232">
        <v>2321659.8099999996</v>
      </c>
      <c r="AA223" s="232">
        <f t="shared" si="272"/>
        <v>7412.0500000002794</v>
      </c>
      <c r="AB223" s="232">
        <v>2329071.86</v>
      </c>
      <c r="AC223" s="233">
        <v>0</v>
      </c>
      <c r="AD223" s="232">
        <f t="shared" ref="AD223" si="311">AD224+AD228+AD233+AD242+AD250</f>
        <v>2329071.86</v>
      </c>
      <c r="AE223" s="232">
        <v>2336328.9</v>
      </c>
      <c r="AF223" s="169" t="s">
        <v>4680</v>
      </c>
      <c r="AG223" s="234">
        <v>2336328.9</v>
      </c>
      <c r="AH223" s="233">
        <v>0</v>
      </c>
      <c r="AI223" s="232">
        <v>2336328.9</v>
      </c>
      <c r="AJ223" s="169">
        <f t="shared" si="273"/>
        <v>2540848.4099999997</v>
      </c>
      <c r="AK223" s="234">
        <v>2259219.23</v>
      </c>
      <c r="AL223" s="233">
        <v>2617958.08</v>
      </c>
      <c r="AM223" s="232">
        <f t="shared" ref="AM223" si="312">AM224+AM228+AM233+AM242+AM250</f>
        <v>4877177.3099999996</v>
      </c>
      <c r="AN223" s="153">
        <f t="shared" si="274"/>
        <v>1923901</v>
      </c>
      <c r="AO223" s="154">
        <f t="shared" si="275"/>
        <v>1923901</v>
      </c>
      <c r="AP223" s="232">
        <v>4877177.3099999996</v>
      </c>
      <c r="AQ223" s="234">
        <v>6801078.3099999996</v>
      </c>
      <c r="AR223" s="233">
        <f t="shared" ref="AR223:AS223" si="313">AR224+AR228+AR233+AR242+AR250</f>
        <v>0</v>
      </c>
      <c r="AS223" s="232">
        <f t="shared" si="313"/>
        <v>6801078.3099999996</v>
      </c>
      <c r="AT223" s="155"/>
      <c r="AU223" s="156">
        <f t="shared" si="268"/>
        <v>2548105.4499999997</v>
      </c>
      <c r="AV223" s="156">
        <f t="shared" si="269"/>
        <v>7412.0500000002794</v>
      </c>
      <c r="AW223" s="157"/>
      <c r="AX223" s="150">
        <v>2321659.8099999996</v>
      </c>
      <c r="AY223" s="232">
        <f t="shared" ref="AY223:BA223" si="314">AY224+AY228+AY233+AY242+AY250</f>
        <v>1247469.72</v>
      </c>
      <c r="AZ223" s="232">
        <f t="shared" si="314"/>
        <v>1335867.9766666668</v>
      </c>
      <c r="BA223" s="232">
        <f t="shared" si="314"/>
        <v>2583337.6966666663</v>
      </c>
      <c r="BB223" s="263">
        <v>4</v>
      </c>
      <c r="BC223" s="262" t="s">
        <v>714</v>
      </c>
      <c r="BD223" s="262" t="s">
        <v>630</v>
      </c>
      <c r="BE223" s="162" t="s">
        <v>630</v>
      </c>
      <c r="BF223" s="262" t="s">
        <v>630</v>
      </c>
      <c r="BG223" s="164" t="s">
        <v>5392</v>
      </c>
      <c r="BH223" s="235">
        <f>BH224+BH228+BH233+BH242+BH250</f>
        <v>6801078.3099999996</v>
      </c>
      <c r="BI223" s="263"/>
      <c r="BJ223" s="262" t="s">
        <v>5393</v>
      </c>
      <c r="BK223" s="262" t="s">
        <v>5391</v>
      </c>
      <c r="BL223" s="172" t="s">
        <v>5394</v>
      </c>
      <c r="BM223" s="235">
        <f>BM224+BM228+BM233+BM242+BM250</f>
        <v>6801078.3099999996</v>
      </c>
      <c r="BN223" s="160"/>
      <c r="BO223" s="161">
        <f t="shared" si="276"/>
        <v>0</v>
      </c>
      <c r="BP223" s="161"/>
    </row>
    <row r="224" spans="1:68">
      <c r="A224" s="255" t="s">
        <v>5395</v>
      </c>
      <c r="B224" s="174"/>
      <c r="C224" s="175" t="s">
        <v>5396</v>
      </c>
      <c r="D224" s="146" t="s">
        <v>4692</v>
      </c>
      <c r="E224" s="175" t="s">
        <v>5396</v>
      </c>
      <c r="F224" s="176">
        <v>73599.649999999994</v>
      </c>
      <c r="G224" s="177">
        <v>60420.73</v>
      </c>
      <c r="H224" s="177">
        <v>0</v>
      </c>
      <c r="I224" s="177">
        <v>60420.73</v>
      </c>
      <c r="J224" s="176">
        <f>J225</f>
        <v>20235.259999999998</v>
      </c>
      <c r="K224" s="176">
        <f>K225</f>
        <v>0</v>
      </c>
      <c r="L224" s="178">
        <f t="shared" si="277"/>
        <v>20235.259999999998</v>
      </c>
      <c r="M224" s="178">
        <v>35948.65</v>
      </c>
      <c r="N224" s="178">
        <v>0</v>
      </c>
      <c r="O224" s="178">
        <v>35948.65</v>
      </c>
      <c r="P224" s="221">
        <f t="shared" ref="P224:AS224" si="315">P225</f>
        <v>49944.62</v>
      </c>
      <c r="Q224" s="221">
        <f t="shared" si="315"/>
        <v>0</v>
      </c>
      <c r="R224" s="221">
        <f t="shared" si="315"/>
        <v>49944.62</v>
      </c>
      <c r="S224" s="150">
        <f t="shared" si="271"/>
        <v>66592.826666666675</v>
      </c>
      <c r="T224" s="213"/>
      <c r="U224" s="221">
        <f t="shared" ref="U224:W224" si="316">U225</f>
        <v>65504.05</v>
      </c>
      <c r="V224" s="222">
        <f t="shared" si="316"/>
        <v>0</v>
      </c>
      <c r="W224" s="221">
        <f t="shared" si="316"/>
        <v>65504.05</v>
      </c>
      <c r="X224" s="221">
        <v>65504.05</v>
      </c>
      <c r="Y224" s="221">
        <v>0</v>
      </c>
      <c r="Z224" s="221">
        <v>65504.05</v>
      </c>
      <c r="AA224" s="221">
        <f t="shared" si="272"/>
        <v>0</v>
      </c>
      <c r="AB224" s="221">
        <v>65504.05</v>
      </c>
      <c r="AC224" s="222">
        <v>0</v>
      </c>
      <c r="AD224" s="221">
        <f t="shared" si="315"/>
        <v>65504.05</v>
      </c>
      <c r="AE224" s="221">
        <v>65504.05</v>
      </c>
      <c r="AF224" s="169" t="s">
        <v>4680</v>
      </c>
      <c r="AG224" s="223">
        <v>65504.05</v>
      </c>
      <c r="AH224" s="222">
        <v>0</v>
      </c>
      <c r="AI224" s="221">
        <v>65504.05</v>
      </c>
      <c r="AJ224" s="169">
        <f t="shared" si="273"/>
        <v>0</v>
      </c>
      <c r="AK224" s="223">
        <v>65504.05</v>
      </c>
      <c r="AL224" s="222">
        <v>0</v>
      </c>
      <c r="AM224" s="221">
        <f t="shared" si="315"/>
        <v>65504.05</v>
      </c>
      <c r="AN224" s="153">
        <f t="shared" si="274"/>
        <v>0</v>
      </c>
      <c r="AO224" s="154">
        <f t="shared" si="275"/>
        <v>0</v>
      </c>
      <c r="AP224" s="221">
        <v>65504.05</v>
      </c>
      <c r="AQ224" s="223">
        <v>65504.05</v>
      </c>
      <c r="AR224" s="222">
        <f t="shared" si="315"/>
        <v>0</v>
      </c>
      <c r="AS224" s="221">
        <f t="shared" si="315"/>
        <v>65504.05</v>
      </c>
      <c r="AT224" s="155"/>
      <c r="AU224" s="156">
        <f t="shared" si="268"/>
        <v>0</v>
      </c>
      <c r="AV224" s="156">
        <f t="shared" si="269"/>
        <v>0</v>
      </c>
      <c r="AW224" s="157"/>
      <c r="AX224" s="150">
        <v>65504.05</v>
      </c>
      <c r="AY224" s="221">
        <f t="shared" ref="AY224:BA224" si="317">AY225</f>
        <v>41980.91</v>
      </c>
      <c r="AZ224" s="221">
        <f t="shared" si="317"/>
        <v>24129.040000000008</v>
      </c>
      <c r="BA224" s="221">
        <f t="shared" si="317"/>
        <v>66109.950000000012</v>
      </c>
      <c r="BB224" s="254">
        <v>4</v>
      </c>
      <c r="BC224" s="255" t="s">
        <v>714</v>
      </c>
      <c r="BD224" s="255" t="s">
        <v>632</v>
      </c>
      <c r="BE224" s="173" t="s">
        <v>630</v>
      </c>
      <c r="BF224" s="255" t="s">
        <v>630</v>
      </c>
      <c r="BG224" s="175" t="s">
        <v>5396</v>
      </c>
      <c r="BH224" s="224">
        <f>BH225</f>
        <v>65504.05</v>
      </c>
      <c r="BI224" s="254"/>
      <c r="BJ224" s="255" t="s">
        <v>5397</v>
      </c>
      <c r="BK224" s="255" t="s">
        <v>5395</v>
      </c>
      <c r="BL224" s="182" t="s">
        <v>5398</v>
      </c>
      <c r="BM224" s="224">
        <f>BM225</f>
        <v>65504.05</v>
      </c>
      <c r="BN224" s="160"/>
      <c r="BO224" s="161">
        <f t="shared" si="276"/>
        <v>0</v>
      </c>
      <c r="BP224" s="161"/>
    </row>
    <row r="225" spans="1:68">
      <c r="A225" s="256" t="s">
        <v>5395</v>
      </c>
      <c r="B225" s="184"/>
      <c r="C225" s="185" t="s">
        <v>5396</v>
      </c>
      <c r="D225" s="146" t="s">
        <v>4692</v>
      </c>
      <c r="E225" s="185" t="s">
        <v>5396</v>
      </c>
      <c r="F225" s="186">
        <v>73599.649999999994</v>
      </c>
      <c r="G225" s="187">
        <v>60420.73</v>
      </c>
      <c r="H225" s="187">
        <v>0</v>
      </c>
      <c r="I225" s="187">
        <v>60420.73</v>
      </c>
      <c r="J225" s="186">
        <f>SUBTOTAL(9,J226:J227)</f>
        <v>20235.259999999998</v>
      </c>
      <c r="K225" s="186">
        <f>SUBTOTAL(9,K226:K227)</f>
        <v>0</v>
      </c>
      <c r="L225" s="188">
        <f t="shared" si="277"/>
        <v>20235.259999999998</v>
      </c>
      <c r="M225" s="188">
        <v>35948.65</v>
      </c>
      <c r="N225" s="188">
        <v>0</v>
      </c>
      <c r="O225" s="188">
        <v>35948.65</v>
      </c>
      <c r="P225" s="225">
        <f t="shared" ref="P225:R225" si="318">SUBTOTAL(9,P226:P227)</f>
        <v>49944.62</v>
      </c>
      <c r="Q225" s="225">
        <f t="shared" si="318"/>
        <v>0</v>
      </c>
      <c r="R225" s="225">
        <f t="shared" si="318"/>
        <v>49944.62</v>
      </c>
      <c r="S225" s="150">
        <f t="shared" si="271"/>
        <v>66592.826666666675</v>
      </c>
      <c r="T225" s="213"/>
      <c r="U225" s="225">
        <f t="shared" ref="U225:W225" si="319">SUBTOTAL(9,U226:U227)</f>
        <v>65504.05</v>
      </c>
      <c r="V225" s="226">
        <f t="shared" si="319"/>
        <v>0</v>
      </c>
      <c r="W225" s="225">
        <f t="shared" si="319"/>
        <v>65504.05</v>
      </c>
      <c r="X225" s="225">
        <v>65504.05</v>
      </c>
      <c r="Y225" s="225">
        <v>0</v>
      </c>
      <c r="Z225" s="225">
        <v>65504.05</v>
      </c>
      <c r="AA225" s="225">
        <f t="shared" si="272"/>
        <v>0</v>
      </c>
      <c r="AB225" s="225">
        <v>65504.05</v>
      </c>
      <c r="AC225" s="226">
        <v>0</v>
      </c>
      <c r="AD225" s="225">
        <f t="shared" ref="AD225" si="320">SUBTOTAL(9,AD226:AD227)</f>
        <v>65504.05</v>
      </c>
      <c r="AE225" s="225">
        <v>65504.05</v>
      </c>
      <c r="AF225" s="169" t="s">
        <v>4680</v>
      </c>
      <c r="AG225" s="212">
        <v>65504.05</v>
      </c>
      <c r="AH225" s="226">
        <v>0</v>
      </c>
      <c r="AI225" s="225">
        <v>65504.05</v>
      </c>
      <c r="AJ225" s="169">
        <f t="shared" si="273"/>
        <v>0</v>
      </c>
      <c r="AK225" s="212">
        <v>65504.05</v>
      </c>
      <c r="AL225" s="226">
        <v>0</v>
      </c>
      <c r="AM225" s="225">
        <f t="shared" ref="AM225" si="321">SUBTOTAL(9,AM226:AM227)</f>
        <v>65504.05</v>
      </c>
      <c r="AN225" s="153">
        <f t="shared" si="274"/>
        <v>0</v>
      </c>
      <c r="AO225" s="154">
        <f t="shared" si="275"/>
        <v>0</v>
      </c>
      <c r="AP225" s="225">
        <v>65504.05</v>
      </c>
      <c r="AQ225" s="212">
        <v>65504.05</v>
      </c>
      <c r="AR225" s="226">
        <f t="shared" ref="AR225:AS225" si="322">SUBTOTAL(9,AR226:AR227)</f>
        <v>0</v>
      </c>
      <c r="AS225" s="225">
        <f t="shared" si="322"/>
        <v>65504.05</v>
      </c>
      <c r="AT225" s="155"/>
      <c r="AU225" s="156">
        <f t="shared" si="268"/>
        <v>0</v>
      </c>
      <c r="AV225" s="156">
        <f t="shared" si="269"/>
        <v>0</v>
      </c>
      <c r="AW225" s="157"/>
      <c r="AX225" s="150">
        <v>65504.05</v>
      </c>
      <c r="AY225" s="225">
        <f t="shared" ref="AY225:BA225" si="323">SUBTOTAL(9,AY226:AY227)</f>
        <v>41980.91</v>
      </c>
      <c r="AZ225" s="225">
        <f t="shared" si="323"/>
        <v>24129.040000000008</v>
      </c>
      <c r="BA225" s="225">
        <f t="shared" si="323"/>
        <v>66109.950000000012</v>
      </c>
      <c r="BB225" s="192">
        <v>4</v>
      </c>
      <c r="BC225" s="256" t="s">
        <v>714</v>
      </c>
      <c r="BD225" s="256" t="s">
        <v>632</v>
      </c>
      <c r="BE225" s="256" t="s">
        <v>632</v>
      </c>
      <c r="BF225" s="256" t="s">
        <v>630</v>
      </c>
      <c r="BG225" s="185" t="s">
        <v>5396</v>
      </c>
      <c r="BH225" s="215">
        <f>SUBTOTAL(9,BH226:BH227)</f>
        <v>65504.05</v>
      </c>
      <c r="BI225" s="192"/>
      <c r="BJ225" s="256" t="s">
        <v>5397</v>
      </c>
      <c r="BK225" s="256" t="s">
        <v>5395</v>
      </c>
      <c r="BL225" s="238" t="s">
        <v>5398</v>
      </c>
      <c r="BM225" s="215">
        <f>SUBTOTAL(9,BM226:BM227)</f>
        <v>65504.05</v>
      </c>
      <c r="BN225" s="160"/>
      <c r="BO225" s="161">
        <f t="shared" si="276"/>
        <v>0</v>
      </c>
      <c r="BP225" s="161"/>
    </row>
    <row r="226" spans="1:68">
      <c r="A226" s="206" t="s">
        <v>5395</v>
      </c>
      <c r="B226" s="195" t="s">
        <v>5399</v>
      </c>
      <c r="C226" s="196" t="s">
        <v>5400</v>
      </c>
      <c r="D226" s="146" t="s">
        <v>4692</v>
      </c>
      <c r="E226" s="196" t="s">
        <v>5400</v>
      </c>
      <c r="F226" s="150">
        <v>0</v>
      </c>
      <c r="G226" s="209">
        <v>0</v>
      </c>
      <c r="H226" s="209"/>
      <c r="I226" s="209">
        <v>0</v>
      </c>
      <c r="J226" s="150">
        <v>0</v>
      </c>
      <c r="K226" s="150">
        <v>0</v>
      </c>
      <c r="L226" s="150">
        <f t="shared" si="277"/>
        <v>0</v>
      </c>
      <c r="M226" s="150">
        <v>0</v>
      </c>
      <c r="N226" s="150">
        <v>0</v>
      </c>
      <c r="O226" s="150">
        <v>0</v>
      </c>
      <c r="P226" s="150">
        <v>0</v>
      </c>
      <c r="Q226" s="150"/>
      <c r="R226" s="150">
        <f>P226+Q226</f>
        <v>0</v>
      </c>
      <c r="S226" s="150">
        <f t="shared" si="271"/>
        <v>0</v>
      </c>
      <c r="T226" s="150"/>
      <c r="U226" s="150">
        <v>0</v>
      </c>
      <c r="V226" s="199"/>
      <c r="W226" s="150">
        <f>U226+V226</f>
        <v>0</v>
      </c>
      <c r="X226" s="150">
        <v>0</v>
      </c>
      <c r="Y226" s="150"/>
      <c r="Z226" s="150">
        <v>0</v>
      </c>
      <c r="AA226" s="150">
        <f t="shared" si="272"/>
        <v>0</v>
      </c>
      <c r="AB226" s="150">
        <v>0</v>
      </c>
      <c r="AC226" s="199"/>
      <c r="AD226" s="150">
        <f>AB226+AC226</f>
        <v>0</v>
      </c>
      <c r="AE226" s="150">
        <v>0</v>
      </c>
      <c r="AF226" s="169" t="s">
        <v>4680</v>
      </c>
      <c r="AG226" s="201">
        <v>0</v>
      </c>
      <c r="AH226" s="199"/>
      <c r="AI226" s="150">
        <v>0</v>
      </c>
      <c r="AJ226" s="169">
        <f t="shared" si="273"/>
        <v>0</v>
      </c>
      <c r="AK226" s="201">
        <v>0</v>
      </c>
      <c r="AL226" s="199"/>
      <c r="AM226" s="150">
        <f>AK226+AL226</f>
        <v>0</v>
      </c>
      <c r="AN226" s="153">
        <f t="shared" si="274"/>
        <v>0</v>
      </c>
      <c r="AO226" s="154">
        <f t="shared" si="275"/>
        <v>0</v>
      </c>
      <c r="AP226" s="150">
        <v>0</v>
      </c>
      <c r="AQ226" s="201">
        <v>0</v>
      </c>
      <c r="AR226" s="199"/>
      <c r="AS226" s="150">
        <f>AQ226+AR226</f>
        <v>0</v>
      </c>
      <c r="AT226" s="155"/>
      <c r="AU226" s="156">
        <f t="shared" si="268"/>
        <v>0</v>
      </c>
      <c r="AV226" s="156">
        <f t="shared" si="269"/>
        <v>0</v>
      </c>
      <c r="AW226" s="157"/>
      <c r="AX226" s="150">
        <v>0</v>
      </c>
      <c r="AY226" s="150">
        <v>0</v>
      </c>
      <c r="AZ226" s="150"/>
      <c r="BA226" s="150">
        <f t="shared" si="270"/>
        <v>0</v>
      </c>
      <c r="BB226" s="202">
        <v>4</v>
      </c>
      <c r="BC226" s="202" t="s">
        <v>714</v>
      </c>
      <c r="BD226" s="202" t="s">
        <v>632</v>
      </c>
      <c r="BE226" s="202" t="s">
        <v>632</v>
      </c>
      <c r="BF226" s="202" t="s">
        <v>632</v>
      </c>
      <c r="BG226" s="203" t="s">
        <v>5396</v>
      </c>
      <c r="BH226" s="216">
        <f>AS226+AS227</f>
        <v>65504.05</v>
      </c>
      <c r="BI226" s="205"/>
      <c r="BJ226" s="206" t="s">
        <v>5397</v>
      </c>
      <c r="BK226" s="206" t="s">
        <v>5395</v>
      </c>
      <c r="BL226" s="207" t="s">
        <v>5398</v>
      </c>
      <c r="BM226" s="208">
        <f>BH226</f>
        <v>65504.05</v>
      </c>
      <c r="BN226" s="160"/>
      <c r="BO226" s="161"/>
      <c r="BP226" s="161"/>
    </row>
    <row r="227" spans="1:68">
      <c r="A227" s="210"/>
      <c r="B227" s="195" t="s">
        <v>5401</v>
      </c>
      <c r="C227" s="196" t="s">
        <v>5402</v>
      </c>
      <c r="D227" s="146" t="s">
        <v>4692</v>
      </c>
      <c r="E227" s="196" t="s">
        <v>5402</v>
      </c>
      <c r="F227" s="150">
        <v>73599.649999999994</v>
      </c>
      <c r="G227" s="209">
        <v>60420.73</v>
      </c>
      <c r="H227" s="209"/>
      <c r="I227" s="209">
        <v>60420.73</v>
      </c>
      <c r="J227" s="150">
        <v>20235.259999999998</v>
      </c>
      <c r="K227" s="150">
        <v>0</v>
      </c>
      <c r="L227" s="150">
        <f t="shared" si="277"/>
        <v>20235.259999999998</v>
      </c>
      <c r="M227" s="150">
        <v>35948.65</v>
      </c>
      <c r="N227" s="150">
        <v>0</v>
      </c>
      <c r="O227" s="150">
        <v>35948.65</v>
      </c>
      <c r="P227" s="150">
        <v>49944.62</v>
      </c>
      <c r="Q227" s="150">
        <v>0</v>
      </c>
      <c r="R227" s="150">
        <f>P227+Q227</f>
        <v>49944.62</v>
      </c>
      <c r="S227" s="150">
        <f t="shared" si="271"/>
        <v>66592.826666666675</v>
      </c>
      <c r="T227" s="150"/>
      <c r="U227" s="150">
        <v>65504.05</v>
      </c>
      <c r="V227" s="199"/>
      <c r="W227" s="150">
        <f>U227+V227</f>
        <v>65504.05</v>
      </c>
      <c r="X227" s="150">
        <v>65504.05</v>
      </c>
      <c r="Y227" s="150"/>
      <c r="Z227" s="150">
        <v>65504.05</v>
      </c>
      <c r="AA227" s="150">
        <f t="shared" si="272"/>
        <v>0</v>
      </c>
      <c r="AB227" s="150">
        <v>65504.05</v>
      </c>
      <c r="AC227" s="199"/>
      <c r="AD227" s="150">
        <f>AB227+AC227</f>
        <v>65504.05</v>
      </c>
      <c r="AE227" s="150">
        <v>65504.05</v>
      </c>
      <c r="AF227" s="169" t="s">
        <v>4680</v>
      </c>
      <c r="AG227" s="201">
        <v>65504.05</v>
      </c>
      <c r="AH227" s="199"/>
      <c r="AI227" s="150">
        <v>65504.05</v>
      </c>
      <c r="AJ227" s="169">
        <f t="shared" si="273"/>
        <v>0</v>
      </c>
      <c r="AK227" s="201">
        <v>65504.05</v>
      </c>
      <c r="AL227" s="199"/>
      <c r="AM227" s="150">
        <f>AK227+AL227</f>
        <v>65504.05</v>
      </c>
      <c r="AN227" s="153">
        <f t="shared" si="274"/>
        <v>0</v>
      </c>
      <c r="AO227" s="154">
        <f t="shared" si="275"/>
        <v>0</v>
      </c>
      <c r="AP227" s="150">
        <v>65504.05</v>
      </c>
      <c r="AQ227" s="201">
        <v>65504.05</v>
      </c>
      <c r="AR227" s="199"/>
      <c r="AS227" s="150">
        <f>AQ227+AR227</f>
        <v>65504.05</v>
      </c>
      <c r="AT227" s="155"/>
      <c r="AU227" s="156">
        <f t="shared" si="268"/>
        <v>0</v>
      </c>
      <c r="AV227" s="156">
        <f t="shared" si="269"/>
        <v>0</v>
      </c>
      <c r="AW227" s="157"/>
      <c r="AX227" s="150">
        <v>65504.05</v>
      </c>
      <c r="AY227" s="150">
        <v>41980.91</v>
      </c>
      <c r="AZ227" s="237">
        <f>(AY227-O227)*4</f>
        <v>24129.040000000008</v>
      </c>
      <c r="BA227" s="150">
        <f t="shared" si="270"/>
        <v>66109.950000000012</v>
      </c>
      <c r="BB227" s="210"/>
      <c r="BC227" s="210"/>
      <c r="BD227" s="210"/>
      <c r="BE227" s="210"/>
      <c r="BF227" s="210"/>
      <c r="BG227" s="210"/>
      <c r="BH227" s="217"/>
      <c r="BI227" s="210"/>
      <c r="BJ227" s="210"/>
      <c r="BK227" s="210"/>
      <c r="BL227" s="210"/>
      <c r="BM227" s="208"/>
      <c r="BN227" s="160"/>
      <c r="BO227" s="161"/>
      <c r="BP227" s="161"/>
    </row>
    <row r="228" spans="1:68" ht="25.5">
      <c r="A228" s="255" t="s">
        <v>5403</v>
      </c>
      <c r="B228" s="174"/>
      <c r="C228" s="175" t="s">
        <v>5404</v>
      </c>
      <c r="D228" s="146" t="s">
        <v>4692</v>
      </c>
      <c r="E228" s="175" t="s">
        <v>5404</v>
      </c>
      <c r="F228" s="176">
        <v>93099.49</v>
      </c>
      <c r="G228" s="177">
        <v>0</v>
      </c>
      <c r="H228" s="177">
        <v>0</v>
      </c>
      <c r="I228" s="177">
        <v>0</v>
      </c>
      <c r="J228" s="176">
        <f>J229+J231</f>
        <v>0</v>
      </c>
      <c r="K228" s="176">
        <f>K229+K231</f>
        <v>0</v>
      </c>
      <c r="L228" s="178">
        <f t="shared" si="277"/>
        <v>0</v>
      </c>
      <c r="M228" s="178">
        <v>0</v>
      </c>
      <c r="N228" s="178">
        <v>46549.745000000003</v>
      </c>
      <c r="O228" s="178">
        <v>46549.745000000003</v>
      </c>
      <c r="P228" s="221">
        <f t="shared" ref="P228:R228" si="324">P229+P231</f>
        <v>0</v>
      </c>
      <c r="Q228" s="221">
        <f t="shared" si="324"/>
        <v>0</v>
      </c>
      <c r="R228" s="221">
        <f t="shared" si="324"/>
        <v>0</v>
      </c>
      <c r="S228" s="150">
        <f t="shared" si="271"/>
        <v>0</v>
      </c>
      <c r="T228" s="213"/>
      <c r="U228" s="221">
        <f t="shared" ref="U228:W228" si="325">U229+U231</f>
        <v>0</v>
      </c>
      <c r="V228" s="222">
        <f t="shared" si="325"/>
        <v>0</v>
      </c>
      <c r="W228" s="221">
        <f t="shared" si="325"/>
        <v>0</v>
      </c>
      <c r="X228" s="221">
        <v>0</v>
      </c>
      <c r="Y228" s="221">
        <v>0</v>
      </c>
      <c r="Z228" s="221">
        <v>0</v>
      </c>
      <c r="AA228" s="221">
        <f t="shared" si="272"/>
        <v>0</v>
      </c>
      <c r="AB228" s="221">
        <v>0</v>
      </c>
      <c r="AC228" s="222">
        <v>0</v>
      </c>
      <c r="AD228" s="221">
        <f t="shared" ref="AD228" si="326">AD229+AD231</f>
        <v>0</v>
      </c>
      <c r="AE228" s="221">
        <v>0</v>
      </c>
      <c r="AF228" s="169" t="s">
        <v>4680</v>
      </c>
      <c r="AG228" s="223">
        <v>0</v>
      </c>
      <c r="AH228" s="222">
        <v>0</v>
      </c>
      <c r="AI228" s="221">
        <v>0</v>
      </c>
      <c r="AJ228" s="169">
        <f t="shared" si="273"/>
        <v>0</v>
      </c>
      <c r="AK228" s="223">
        <v>0</v>
      </c>
      <c r="AL228" s="222">
        <v>0</v>
      </c>
      <c r="AM228" s="221">
        <f t="shared" ref="AM228" si="327">AM229+AM231</f>
        <v>0</v>
      </c>
      <c r="AN228" s="153">
        <f t="shared" si="274"/>
        <v>0</v>
      </c>
      <c r="AO228" s="154">
        <f t="shared" si="275"/>
        <v>0</v>
      </c>
      <c r="AP228" s="221">
        <v>0</v>
      </c>
      <c r="AQ228" s="223">
        <v>0</v>
      </c>
      <c r="AR228" s="222">
        <f t="shared" ref="AR228:AS228" si="328">AR229+AR231</f>
        <v>0</v>
      </c>
      <c r="AS228" s="221">
        <f t="shared" si="328"/>
        <v>0</v>
      </c>
      <c r="AT228" s="155"/>
      <c r="AU228" s="156">
        <f t="shared" si="268"/>
        <v>0</v>
      </c>
      <c r="AV228" s="156">
        <f t="shared" si="269"/>
        <v>0</v>
      </c>
      <c r="AW228" s="157"/>
      <c r="AX228" s="150">
        <v>0</v>
      </c>
      <c r="AY228" s="221">
        <f t="shared" ref="AY228:BA228" si="329">AY229+AY231</f>
        <v>0</v>
      </c>
      <c r="AZ228" s="221">
        <f t="shared" si="329"/>
        <v>0</v>
      </c>
      <c r="BA228" s="221">
        <f t="shared" si="329"/>
        <v>0</v>
      </c>
      <c r="BB228" s="254">
        <v>4</v>
      </c>
      <c r="BC228" s="255" t="s">
        <v>714</v>
      </c>
      <c r="BD228" s="255" t="s">
        <v>647</v>
      </c>
      <c r="BE228" s="173" t="s">
        <v>630</v>
      </c>
      <c r="BF228" s="255" t="s">
        <v>630</v>
      </c>
      <c r="BG228" s="175" t="s">
        <v>5404</v>
      </c>
      <c r="BH228" s="224">
        <f>BH229+BH231</f>
        <v>0</v>
      </c>
      <c r="BI228" s="254"/>
      <c r="BJ228" s="255" t="s">
        <v>5405</v>
      </c>
      <c r="BK228" s="255" t="s">
        <v>5403</v>
      </c>
      <c r="BL228" s="182" t="s">
        <v>5406</v>
      </c>
      <c r="BM228" s="224">
        <f>BM229+BM231</f>
        <v>0</v>
      </c>
      <c r="BN228" s="160"/>
      <c r="BO228" s="161">
        <f t="shared" si="276"/>
        <v>0</v>
      </c>
      <c r="BP228" s="161"/>
    </row>
    <row r="229" spans="1:68" ht="51">
      <c r="A229" s="256" t="s">
        <v>5407</v>
      </c>
      <c r="B229" s="184"/>
      <c r="C229" s="185" t="s">
        <v>5408</v>
      </c>
      <c r="D229" s="146" t="s">
        <v>4692</v>
      </c>
      <c r="E229" s="185" t="s">
        <v>5408</v>
      </c>
      <c r="F229" s="186">
        <v>93099.49</v>
      </c>
      <c r="G229" s="187">
        <v>0</v>
      </c>
      <c r="H229" s="187">
        <v>0</v>
      </c>
      <c r="I229" s="187">
        <v>0</v>
      </c>
      <c r="J229" s="186">
        <f>SUBTOTAL(9,J230)</f>
        <v>0</v>
      </c>
      <c r="K229" s="186">
        <f>SUBTOTAL(9,K230)</f>
        <v>0</v>
      </c>
      <c r="L229" s="188">
        <f t="shared" si="277"/>
        <v>0</v>
      </c>
      <c r="M229" s="188">
        <v>0</v>
      </c>
      <c r="N229" s="188">
        <v>46549.745000000003</v>
      </c>
      <c r="O229" s="188">
        <v>46549.745000000003</v>
      </c>
      <c r="P229" s="225">
        <f t="shared" ref="P229:AS229" si="330">SUBTOTAL(9,P230)</f>
        <v>0</v>
      </c>
      <c r="Q229" s="225">
        <f t="shared" si="330"/>
        <v>0</v>
      </c>
      <c r="R229" s="225">
        <f t="shared" si="330"/>
        <v>0</v>
      </c>
      <c r="S229" s="150">
        <f t="shared" si="271"/>
        <v>0</v>
      </c>
      <c r="T229" s="213"/>
      <c r="U229" s="225">
        <f t="shared" ref="U229:W229" si="331">SUBTOTAL(9,U230)</f>
        <v>0</v>
      </c>
      <c r="V229" s="226">
        <f t="shared" si="331"/>
        <v>0</v>
      </c>
      <c r="W229" s="225">
        <f t="shared" si="331"/>
        <v>0</v>
      </c>
      <c r="X229" s="225">
        <v>0</v>
      </c>
      <c r="Y229" s="225">
        <v>0</v>
      </c>
      <c r="Z229" s="225">
        <v>0</v>
      </c>
      <c r="AA229" s="225">
        <f t="shared" si="272"/>
        <v>0</v>
      </c>
      <c r="AB229" s="225">
        <v>0</v>
      </c>
      <c r="AC229" s="226">
        <v>0</v>
      </c>
      <c r="AD229" s="225">
        <f t="shared" si="330"/>
        <v>0</v>
      </c>
      <c r="AE229" s="225">
        <v>0</v>
      </c>
      <c r="AF229" s="169" t="s">
        <v>4680</v>
      </c>
      <c r="AG229" s="212">
        <v>0</v>
      </c>
      <c r="AH229" s="226">
        <v>0</v>
      </c>
      <c r="AI229" s="225">
        <v>0</v>
      </c>
      <c r="AJ229" s="169">
        <f t="shared" si="273"/>
        <v>0</v>
      </c>
      <c r="AK229" s="212">
        <v>0</v>
      </c>
      <c r="AL229" s="226">
        <v>0</v>
      </c>
      <c r="AM229" s="225">
        <f t="shared" si="330"/>
        <v>0</v>
      </c>
      <c r="AN229" s="153">
        <f t="shared" si="274"/>
        <v>0</v>
      </c>
      <c r="AO229" s="154">
        <f t="shared" si="275"/>
        <v>0</v>
      </c>
      <c r="AP229" s="225">
        <v>0</v>
      </c>
      <c r="AQ229" s="212">
        <v>0</v>
      </c>
      <c r="AR229" s="226">
        <f t="shared" si="330"/>
        <v>0</v>
      </c>
      <c r="AS229" s="225">
        <f t="shared" si="330"/>
        <v>0</v>
      </c>
      <c r="AT229" s="155"/>
      <c r="AU229" s="156">
        <f t="shared" si="268"/>
        <v>0</v>
      </c>
      <c r="AV229" s="156">
        <f t="shared" si="269"/>
        <v>0</v>
      </c>
      <c r="AW229" s="157"/>
      <c r="AX229" s="150">
        <v>0</v>
      </c>
      <c r="AY229" s="225">
        <f t="shared" ref="AY229:BA229" si="332">SUBTOTAL(9,AY230)</f>
        <v>0</v>
      </c>
      <c r="AZ229" s="225">
        <f t="shared" si="332"/>
        <v>0</v>
      </c>
      <c r="BA229" s="225">
        <f t="shared" si="332"/>
        <v>0</v>
      </c>
      <c r="BB229" s="192">
        <v>4</v>
      </c>
      <c r="BC229" s="256" t="s">
        <v>714</v>
      </c>
      <c r="BD229" s="256" t="s">
        <v>647</v>
      </c>
      <c r="BE229" s="256" t="s">
        <v>632</v>
      </c>
      <c r="BF229" s="256" t="s">
        <v>630</v>
      </c>
      <c r="BG229" s="185" t="s">
        <v>5408</v>
      </c>
      <c r="BH229" s="215">
        <f>SUBTOTAL(9,BH230)</f>
        <v>0</v>
      </c>
      <c r="BI229" s="192"/>
      <c r="BJ229" s="256" t="s">
        <v>5409</v>
      </c>
      <c r="BK229" s="256" t="s">
        <v>5407</v>
      </c>
      <c r="BL229" s="238" t="s">
        <v>5410</v>
      </c>
      <c r="BM229" s="215">
        <f>SUBTOTAL(9,BM230)</f>
        <v>0</v>
      </c>
      <c r="BN229" s="160"/>
      <c r="BO229" s="161">
        <f t="shared" si="276"/>
        <v>0</v>
      </c>
      <c r="BP229" s="161"/>
    </row>
    <row r="230" spans="1:68" ht="51">
      <c r="A230" s="206" t="s">
        <v>5407</v>
      </c>
      <c r="B230" s="195" t="s">
        <v>5411</v>
      </c>
      <c r="C230" s="196" t="s">
        <v>5412</v>
      </c>
      <c r="D230" s="146" t="s">
        <v>4692</v>
      </c>
      <c r="E230" s="196" t="s">
        <v>5412</v>
      </c>
      <c r="F230" s="150">
        <v>93099.49</v>
      </c>
      <c r="G230" s="209">
        <v>0</v>
      </c>
      <c r="H230" s="209"/>
      <c r="I230" s="209">
        <v>0</v>
      </c>
      <c r="J230" s="150">
        <v>0</v>
      </c>
      <c r="K230" s="150">
        <v>0</v>
      </c>
      <c r="L230" s="150">
        <f t="shared" si="277"/>
        <v>0</v>
      </c>
      <c r="M230" s="150">
        <v>0</v>
      </c>
      <c r="N230" s="150">
        <v>46549.745000000003</v>
      </c>
      <c r="O230" s="150">
        <v>46549.745000000003</v>
      </c>
      <c r="P230" s="150">
        <v>0</v>
      </c>
      <c r="Q230" s="150"/>
      <c r="R230" s="150">
        <f>P230+Q230</f>
        <v>0</v>
      </c>
      <c r="S230" s="150">
        <f t="shared" si="271"/>
        <v>0</v>
      </c>
      <c r="T230" s="150"/>
      <c r="U230" s="150">
        <v>0</v>
      </c>
      <c r="V230" s="199"/>
      <c r="W230" s="150">
        <f>U230+V230</f>
        <v>0</v>
      </c>
      <c r="X230" s="150">
        <v>0</v>
      </c>
      <c r="Y230" s="150"/>
      <c r="Z230" s="150">
        <v>0</v>
      </c>
      <c r="AA230" s="150">
        <f t="shared" si="272"/>
        <v>0</v>
      </c>
      <c r="AB230" s="150">
        <v>0</v>
      </c>
      <c r="AC230" s="199"/>
      <c r="AD230" s="150">
        <f>AB230+AC230</f>
        <v>0</v>
      </c>
      <c r="AE230" s="150">
        <v>0</v>
      </c>
      <c r="AF230" s="169" t="s">
        <v>4680</v>
      </c>
      <c r="AG230" s="201">
        <v>0</v>
      </c>
      <c r="AH230" s="199"/>
      <c r="AI230" s="150">
        <v>0</v>
      </c>
      <c r="AJ230" s="169">
        <f t="shared" si="273"/>
        <v>0</v>
      </c>
      <c r="AK230" s="201">
        <v>0</v>
      </c>
      <c r="AL230" s="199"/>
      <c r="AM230" s="150">
        <f>AK230+AL230</f>
        <v>0</v>
      </c>
      <c r="AN230" s="153">
        <f t="shared" si="274"/>
        <v>0</v>
      </c>
      <c r="AO230" s="154">
        <f t="shared" si="275"/>
        <v>0</v>
      </c>
      <c r="AP230" s="150">
        <v>0</v>
      </c>
      <c r="AQ230" s="201">
        <v>0</v>
      </c>
      <c r="AR230" s="199"/>
      <c r="AS230" s="150">
        <f>AQ230+AR230</f>
        <v>0</v>
      </c>
      <c r="AT230" s="155"/>
      <c r="AU230" s="156">
        <f t="shared" si="268"/>
        <v>0</v>
      </c>
      <c r="AV230" s="156">
        <f t="shared" si="269"/>
        <v>0</v>
      </c>
      <c r="AW230" s="157"/>
      <c r="AX230" s="150">
        <v>0</v>
      </c>
      <c r="AY230" s="150">
        <v>0</v>
      </c>
      <c r="AZ230" s="237"/>
      <c r="BA230" s="150">
        <f t="shared" si="270"/>
        <v>0</v>
      </c>
      <c r="BB230" s="202">
        <v>4</v>
      </c>
      <c r="BC230" s="202" t="s">
        <v>714</v>
      </c>
      <c r="BD230" s="202" t="s">
        <v>647</v>
      </c>
      <c r="BE230" s="202" t="s">
        <v>632</v>
      </c>
      <c r="BF230" s="202" t="s">
        <v>632</v>
      </c>
      <c r="BG230" s="203" t="s">
        <v>5408</v>
      </c>
      <c r="BH230" s="216">
        <f>AS230</f>
        <v>0</v>
      </c>
      <c r="BI230" s="205"/>
      <c r="BJ230" s="206" t="s">
        <v>5409</v>
      </c>
      <c r="BK230" s="206" t="s">
        <v>5407</v>
      </c>
      <c r="BL230" s="207" t="s">
        <v>5410</v>
      </c>
      <c r="BM230" s="208">
        <f>BH230</f>
        <v>0</v>
      </c>
      <c r="BN230" s="160"/>
      <c r="BO230" s="161">
        <f t="shared" si="276"/>
        <v>0</v>
      </c>
      <c r="BP230" s="161"/>
    </row>
    <row r="231" spans="1:68" ht="38.25">
      <c r="A231" s="256" t="s">
        <v>5413</v>
      </c>
      <c r="B231" s="184"/>
      <c r="C231" s="185" t="s">
        <v>5414</v>
      </c>
      <c r="D231" s="146" t="s">
        <v>4692</v>
      </c>
      <c r="E231" s="185" t="s">
        <v>5414</v>
      </c>
      <c r="F231" s="186">
        <v>0</v>
      </c>
      <c r="G231" s="187">
        <v>0</v>
      </c>
      <c r="H231" s="187">
        <v>0</v>
      </c>
      <c r="I231" s="187">
        <v>0</v>
      </c>
      <c r="J231" s="186">
        <f>SUBTOTAL(9,J232)</f>
        <v>0</v>
      </c>
      <c r="K231" s="186">
        <f>SUBTOTAL(9,K232)</f>
        <v>0</v>
      </c>
      <c r="L231" s="188">
        <f t="shared" si="277"/>
        <v>0</v>
      </c>
      <c r="M231" s="188">
        <v>0</v>
      </c>
      <c r="N231" s="188">
        <v>0</v>
      </c>
      <c r="O231" s="188">
        <v>0</v>
      </c>
      <c r="P231" s="225">
        <f t="shared" ref="P231:AS231" si="333">SUBTOTAL(9,P232)</f>
        <v>0</v>
      </c>
      <c r="Q231" s="225">
        <f t="shared" si="333"/>
        <v>0</v>
      </c>
      <c r="R231" s="225">
        <f t="shared" si="333"/>
        <v>0</v>
      </c>
      <c r="S231" s="150">
        <f t="shared" si="271"/>
        <v>0</v>
      </c>
      <c r="T231" s="213"/>
      <c r="U231" s="225">
        <f t="shared" ref="U231:W231" si="334">SUBTOTAL(9,U232)</f>
        <v>0</v>
      </c>
      <c r="V231" s="226">
        <f t="shared" si="334"/>
        <v>0</v>
      </c>
      <c r="W231" s="225">
        <f t="shared" si="334"/>
        <v>0</v>
      </c>
      <c r="X231" s="225">
        <v>0</v>
      </c>
      <c r="Y231" s="225">
        <v>0</v>
      </c>
      <c r="Z231" s="225">
        <v>0</v>
      </c>
      <c r="AA231" s="225">
        <f t="shared" si="272"/>
        <v>0</v>
      </c>
      <c r="AB231" s="225">
        <v>0</v>
      </c>
      <c r="AC231" s="226">
        <v>0</v>
      </c>
      <c r="AD231" s="225">
        <f t="shared" si="333"/>
        <v>0</v>
      </c>
      <c r="AE231" s="225">
        <v>0</v>
      </c>
      <c r="AF231" s="169" t="s">
        <v>4680</v>
      </c>
      <c r="AG231" s="212">
        <v>0</v>
      </c>
      <c r="AH231" s="226">
        <v>0</v>
      </c>
      <c r="AI231" s="225">
        <v>0</v>
      </c>
      <c r="AJ231" s="169">
        <f t="shared" si="273"/>
        <v>0</v>
      </c>
      <c r="AK231" s="212">
        <v>0</v>
      </c>
      <c r="AL231" s="226">
        <v>0</v>
      </c>
      <c r="AM231" s="225">
        <f t="shared" si="333"/>
        <v>0</v>
      </c>
      <c r="AN231" s="153">
        <f t="shared" si="274"/>
        <v>0</v>
      </c>
      <c r="AO231" s="154">
        <f t="shared" si="275"/>
        <v>0</v>
      </c>
      <c r="AP231" s="225">
        <v>0</v>
      </c>
      <c r="AQ231" s="212">
        <v>0</v>
      </c>
      <c r="AR231" s="226">
        <f t="shared" si="333"/>
        <v>0</v>
      </c>
      <c r="AS231" s="225">
        <f t="shared" si="333"/>
        <v>0</v>
      </c>
      <c r="AT231" s="155"/>
      <c r="AU231" s="156">
        <f t="shared" si="268"/>
        <v>0</v>
      </c>
      <c r="AV231" s="156">
        <f t="shared" si="269"/>
        <v>0</v>
      </c>
      <c r="AW231" s="157"/>
      <c r="AX231" s="150">
        <v>0</v>
      </c>
      <c r="AY231" s="225">
        <f t="shared" ref="AY231:BA231" si="335">SUBTOTAL(9,AY232)</f>
        <v>0</v>
      </c>
      <c r="AZ231" s="225">
        <f t="shared" si="335"/>
        <v>0</v>
      </c>
      <c r="BA231" s="225">
        <f t="shared" si="335"/>
        <v>0</v>
      </c>
      <c r="BB231" s="192">
        <v>4</v>
      </c>
      <c r="BC231" s="256" t="s">
        <v>714</v>
      </c>
      <c r="BD231" s="256" t="s">
        <v>647</v>
      </c>
      <c r="BE231" s="256" t="s">
        <v>647</v>
      </c>
      <c r="BF231" s="256" t="s">
        <v>630</v>
      </c>
      <c r="BG231" s="185" t="s">
        <v>5414</v>
      </c>
      <c r="BH231" s="215">
        <f>SUBTOTAL(9,BH232)</f>
        <v>0</v>
      </c>
      <c r="BI231" s="192"/>
      <c r="BJ231" s="256" t="s">
        <v>5415</v>
      </c>
      <c r="BK231" s="256" t="s">
        <v>5413</v>
      </c>
      <c r="BL231" s="238" t="s">
        <v>5416</v>
      </c>
      <c r="BM231" s="215">
        <f>SUBTOTAL(9,BM232)</f>
        <v>0</v>
      </c>
      <c r="BN231" s="160"/>
      <c r="BO231" s="161">
        <f t="shared" si="276"/>
        <v>0</v>
      </c>
      <c r="BP231" s="161"/>
    </row>
    <row r="232" spans="1:68" ht="25.5">
      <c r="A232" s="206" t="s">
        <v>5413</v>
      </c>
      <c r="B232" s="195" t="s">
        <v>5417</v>
      </c>
      <c r="C232" s="196" t="s">
        <v>5418</v>
      </c>
      <c r="D232" s="146" t="s">
        <v>4692</v>
      </c>
      <c r="E232" s="196" t="s">
        <v>5418</v>
      </c>
      <c r="F232" s="150">
        <v>0</v>
      </c>
      <c r="G232" s="209">
        <v>0</v>
      </c>
      <c r="H232" s="209"/>
      <c r="I232" s="209">
        <v>0</v>
      </c>
      <c r="J232" s="150">
        <v>0</v>
      </c>
      <c r="K232" s="150">
        <v>0</v>
      </c>
      <c r="L232" s="150">
        <f t="shared" si="277"/>
        <v>0</v>
      </c>
      <c r="M232" s="150">
        <v>0</v>
      </c>
      <c r="N232" s="150"/>
      <c r="O232" s="150">
        <v>0</v>
      </c>
      <c r="P232" s="150">
        <v>0</v>
      </c>
      <c r="Q232" s="150"/>
      <c r="R232" s="150">
        <f>P232+Q232</f>
        <v>0</v>
      </c>
      <c r="S232" s="150">
        <f t="shared" si="271"/>
        <v>0</v>
      </c>
      <c r="T232" s="150"/>
      <c r="U232" s="150">
        <v>0</v>
      </c>
      <c r="V232" s="199"/>
      <c r="W232" s="150">
        <f>U232+V232</f>
        <v>0</v>
      </c>
      <c r="X232" s="150">
        <v>0</v>
      </c>
      <c r="Y232" s="150"/>
      <c r="Z232" s="150">
        <v>0</v>
      </c>
      <c r="AA232" s="150">
        <f t="shared" si="272"/>
        <v>0</v>
      </c>
      <c r="AB232" s="150">
        <v>0</v>
      </c>
      <c r="AC232" s="199"/>
      <c r="AD232" s="150">
        <f>AB232+AC232</f>
        <v>0</v>
      </c>
      <c r="AE232" s="150">
        <v>0</v>
      </c>
      <c r="AF232" s="169" t="s">
        <v>4680</v>
      </c>
      <c r="AG232" s="201">
        <v>0</v>
      </c>
      <c r="AH232" s="199"/>
      <c r="AI232" s="150">
        <v>0</v>
      </c>
      <c r="AJ232" s="169">
        <f t="shared" si="273"/>
        <v>0</v>
      </c>
      <c r="AK232" s="201">
        <v>0</v>
      </c>
      <c r="AL232" s="199"/>
      <c r="AM232" s="150">
        <f>AK232+AL232</f>
        <v>0</v>
      </c>
      <c r="AN232" s="153">
        <f t="shared" si="274"/>
        <v>0</v>
      </c>
      <c r="AO232" s="154">
        <f t="shared" si="275"/>
        <v>0</v>
      </c>
      <c r="AP232" s="150">
        <v>0</v>
      </c>
      <c r="AQ232" s="201">
        <v>0</v>
      </c>
      <c r="AR232" s="199"/>
      <c r="AS232" s="150">
        <f>AQ232+AR232</f>
        <v>0</v>
      </c>
      <c r="AT232" s="155"/>
      <c r="AU232" s="156">
        <f t="shared" si="268"/>
        <v>0</v>
      </c>
      <c r="AV232" s="156">
        <f t="shared" si="269"/>
        <v>0</v>
      </c>
      <c r="AW232" s="157"/>
      <c r="AX232" s="150">
        <v>0</v>
      </c>
      <c r="AY232" s="150">
        <v>0</v>
      </c>
      <c r="AZ232" s="150"/>
      <c r="BA232" s="150">
        <f t="shared" si="270"/>
        <v>0</v>
      </c>
      <c r="BB232" s="202">
        <v>4</v>
      </c>
      <c r="BC232" s="202" t="s">
        <v>714</v>
      </c>
      <c r="BD232" s="202" t="s">
        <v>647</v>
      </c>
      <c r="BE232" s="202" t="s">
        <v>647</v>
      </c>
      <c r="BF232" s="202" t="s">
        <v>632</v>
      </c>
      <c r="BG232" s="203" t="s">
        <v>5414</v>
      </c>
      <c r="BH232" s="216">
        <f>AS232</f>
        <v>0</v>
      </c>
      <c r="BI232" s="205"/>
      <c r="BJ232" s="206" t="s">
        <v>5415</v>
      </c>
      <c r="BK232" s="206" t="s">
        <v>5413</v>
      </c>
      <c r="BL232" s="207" t="s">
        <v>5416</v>
      </c>
      <c r="BM232" s="208">
        <f>BH232</f>
        <v>0</v>
      </c>
      <c r="BN232" s="160"/>
      <c r="BO232" s="161">
        <f t="shared" si="276"/>
        <v>0</v>
      </c>
      <c r="BP232" s="161"/>
    </row>
    <row r="233" spans="1:68" ht="38.25">
      <c r="A233" s="255" t="s">
        <v>5419</v>
      </c>
      <c r="B233" s="174"/>
      <c r="C233" s="175" t="s">
        <v>5420</v>
      </c>
      <c r="D233" s="146" t="s">
        <v>4692</v>
      </c>
      <c r="E233" s="175" t="s">
        <v>5420</v>
      </c>
      <c r="F233" s="176">
        <v>3211950.69</v>
      </c>
      <c r="G233" s="177">
        <v>847533.38</v>
      </c>
      <c r="H233" s="177">
        <v>-1766</v>
      </c>
      <c r="I233" s="177">
        <v>845767.38</v>
      </c>
      <c r="J233" s="176">
        <f>J234+J236+J238+J240</f>
        <v>65201.41</v>
      </c>
      <c r="K233" s="176">
        <f>K234+K236+K238+K240</f>
        <v>0</v>
      </c>
      <c r="L233" s="178">
        <f t="shared" si="277"/>
        <v>65201.41</v>
      </c>
      <c r="M233" s="178">
        <v>130985.31</v>
      </c>
      <c r="N233" s="178">
        <v>367029.27000000008</v>
      </c>
      <c r="O233" s="178">
        <v>498014.58000000007</v>
      </c>
      <c r="P233" s="221">
        <f t="shared" ref="P233:R233" si="336">P234+P236+P238+P240</f>
        <v>729456.85</v>
      </c>
      <c r="Q233" s="221">
        <f t="shared" si="336"/>
        <v>71557.960000000006</v>
      </c>
      <c r="R233" s="221">
        <f t="shared" si="336"/>
        <v>801014.80999999994</v>
      </c>
      <c r="S233" s="150">
        <f t="shared" si="271"/>
        <v>1068019.7466666666</v>
      </c>
      <c r="T233" s="213"/>
      <c r="U233" s="221">
        <f t="shared" ref="U233:W233" si="337">U234+U236+U238+U240</f>
        <v>983063.63</v>
      </c>
      <c r="V233" s="222">
        <f t="shared" si="337"/>
        <v>0</v>
      </c>
      <c r="W233" s="221">
        <f t="shared" si="337"/>
        <v>983063.63</v>
      </c>
      <c r="X233" s="221">
        <v>983063.63</v>
      </c>
      <c r="Y233" s="221">
        <v>0</v>
      </c>
      <c r="Z233" s="221">
        <v>983063.63</v>
      </c>
      <c r="AA233" s="221">
        <f t="shared" si="272"/>
        <v>6608.6499999999069</v>
      </c>
      <c r="AB233" s="221">
        <v>989672.27999999991</v>
      </c>
      <c r="AC233" s="222">
        <v>0</v>
      </c>
      <c r="AD233" s="221">
        <f t="shared" ref="AD233" si="338">AD234+AD236+AD238+AD240</f>
        <v>989672.27999999991</v>
      </c>
      <c r="AE233" s="221">
        <v>996923.32</v>
      </c>
      <c r="AF233" s="169" t="s">
        <v>4680</v>
      </c>
      <c r="AG233" s="223">
        <v>996923.32</v>
      </c>
      <c r="AH233" s="222">
        <v>0</v>
      </c>
      <c r="AI233" s="221">
        <v>996923.32</v>
      </c>
      <c r="AJ233" s="169">
        <f t="shared" si="273"/>
        <v>2540848.41</v>
      </c>
      <c r="AK233" s="223">
        <v>919813.64999999991</v>
      </c>
      <c r="AL233" s="222">
        <v>2617958.08</v>
      </c>
      <c r="AM233" s="221">
        <f t="shared" ref="AM233" si="339">AM234+AM236+AM238+AM240</f>
        <v>3537771.73</v>
      </c>
      <c r="AN233" s="153">
        <f t="shared" si="274"/>
        <v>0</v>
      </c>
      <c r="AO233" s="154">
        <f t="shared" si="275"/>
        <v>0</v>
      </c>
      <c r="AP233" s="221">
        <v>3537771.73</v>
      </c>
      <c r="AQ233" s="223">
        <v>3537771.73</v>
      </c>
      <c r="AR233" s="222">
        <f t="shared" ref="AR233:AS233" si="340">AR234+AR236+AR238+AR240</f>
        <v>0</v>
      </c>
      <c r="AS233" s="221">
        <f t="shared" si="340"/>
        <v>3537771.73</v>
      </c>
      <c r="AT233" s="155"/>
      <c r="AU233" s="156">
        <f t="shared" si="268"/>
        <v>2548099.4500000002</v>
      </c>
      <c r="AV233" s="156">
        <f t="shared" si="269"/>
        <v>6608.6499999999069</v>
      </c>
      <c r="AW233" s="157"/>
      <c r="AX233" s="150">
        <v>983063.63</v>
      </c>
      <c r="AY233" s="221">
        <f t="shared" ref="AY233:BA233" si="341">AY234+AY236+AY238+AY240</f>
        <v>580744.37</v>
      </c>
      <c r="AZ233" s="221">
        <f t="shared" si="341"/>
        <v>346755.63</v>
      </c>
      <c r="BA233" s="221">
        <f t="shared" si="341"/>
        <v>927500</v>
      </c>
      <c r="BB233" s="254">
        <v>4</v>
      </c>
      <c r="BC233" s="255" t="s">
        <v>714</v>
      </c>
      <c r="BD233" s="255" t="s">
        <v>671</v>
      </c>
      <c r="BE233" s="173" t="s">
        <v>630</v>
      </c>
      <c r="BF233" s="255" t="s">
        <v>630</v>
      </c>
      <c r="BG233" s="175" t="s">
        <v>5420</v>
      </c>
      <c r="BH233" s="224">
        <f>BH234+BH236+BH238+BH240</f>
        <v>3537771.73</v>
      </c>
      <c r="BI233" s="254"/>
      <c r="BJ233" s="255" t="s">
        <v>5421</v>
      </c>
      <c r="BK233" s="255" t="s">
        <v>5419</v>
      </c>
      <c r="BL233" s="182" t="s">
        <v>5422</v>
      </c>
      <c r="BM233" s="224">
        <f>BM234+BM236+BM238+BM240</f>
        <v>3537771.73</v>
      </c>
      <c r="BN233" s="160"/>
      <c r="BO233" s="161">
        <f t="shared" si="276"/>
        <v>0</v>
      </c>
      <c r="BP233" s="161"/>
    </row>
    <row r="234" spans="1:68" ht="76.5">
      <c r="A234" s="256" t="s">
        <v>5423</v>
      </c>
      <c r="B234" s="184"/>
      <c r="C234" s="185" t="s">
        <v>5424</v>
      </c>
      <c r="D234" s="146" t="s">
        <v>4692</v>
      </c>
      <c r="E234" s="185" t="s">
        <v>5424</v>
      </c>
      <c r="F234" s="186">
        <v>996029.16</v>
      </c>
      <c r="G234" s="187">
        <v>845767.56</v>
      </c>
      <c r="H234" s="187">
        <v>0</v>
      </c>
      <c r="I234" s="187">
        <v>845767.56</v>
      </c>
      <c r="J234" s="186">
        <f>SUBTOTAL(9,J235)</f>
        <v>65201.41</v>
      </c>
      <c r="K234" s="186">
        <f>SUBTOTAL(9,K235)</f>
        <v>0</v>
      </c>
      <c r="L234" s="188">
        <f t="shared" si="277"/>
        <v>65201.41</v>
      </c>
      <c r="M234" s="188">
        <v>130985.31</v>
      </c>
      <c r="N234" s="188">
        <v>367029.27000000008</v>
      </c>
      <c r="O234" s="188">
        <v>498014.58000000007</v>
      </c>
      <c r="P234" s="225">
        <f t="shared" ref="P234:AS234" si="342">SUBTOTAL(9,P235)</f>
        <v>729124.82</v>
      </c>
      <c r="Q234" s="225">
        <f t="shared" si="342"/>
        <v>71557.960000000006</v>
      </c>
      <c r="R234" s="225">
        <f t="shared" si="342"/>
        <v>800682.77999999991</v>
      </c>
      <c r="S234" s="150">
        <f t="shared" si="271"/>
        <v>1067577.04</v>
      </c>
      <c r="T234" s="213"/>
      <c r="U234" s="225">
        <f t="shared" ref="U234:W234" si="343">SUBTOTAL(9,U235)</f>
        <v>982731.6</v>
      </c>
      <c r="V234" s="226">
        <f t="shared" si="343"/>
        <v>0</v>
      </c>
      <c r="W234" s="225">
        <f t="shared" si="343"/>
        <v>982731.6</v>
      </c>
      <c r="X234" s="225">
        <v>982731.6</v>
      </c>
      <c r="Y234" s="225">
        <v>0</v>
      </c>
      <c r="Z234" s="225">
        <v>982731.6</v>
      </c>
      <c r="AA234" s="225">
        <f t="shared" si="272"/>
        <v>6224.0999999999767</v>
      </c>
      <c r="AB234" s="225">
        <v>988955.7</v>
      </c>
      <c r="AC234" s="226">
        <v>0</v>
      </c>
      <c r="AD234" s="225">
        <f t="shared" si="342"/>
        <v>988955.7</v>
      </c>
      <c r="AE234" s="225">
        <v>995814</v>
      </c>
      <c r="AF234" s="169" t="s">
        <v>4680</v>
      </c>
      <c r="AG234" s="212">
        <v>995814</v>
      </c>
      <c r="AH234" s="226">
        <v>0</v>
      </c>
      <c r="AI234" s="225">
        <v>995814</v>
      </c>
      <c r="AJ234" s="169">
        <f t="shared" si="273"/>
        <v>-77109.670000000042</v>
      </c>
      <c r="AK234" s="212">
        <v>918704.33</v>
      </c>
      <c r="AL234" s="226">
        <v>0</v>
      </c>
      <c r="AM234" s="225">
        <f t="shared" si="342"/>
        <v>918704.33</v>
      </c>
      <c r="AN234" s="153">
        <f t="shared" si="274"/>
        <v>0</v>
      </c>
      <c r="AO234" s="154">
        <f t="shared" si="275"/>
        <v>0</v>
      </c>
      <c r="AP234" s="225">
        <v>918704.33</v>
      </c>
      <c r="AQ234" s="212">
        <v>918704.33</v>
      </c>
      <c r="AR234" s="226">
        <f t="shared" si="342"/>
        <v>0</v>
      </c>
      <c r="AS234" s="225">
        <f t="shared" si="342"/>
        <v>918704.33</v>
      </c>
      <c r="AT234" s="155"/>
      <c r="AU234" s="156">
        <f t="shared" si="268"/>
        <v>-70251.37</v>
      </c>
      <c r="AV234" s="156">
        <f t="shared" si="269"/>
        <v>6224.0999999999767</v>
      </c>
      <c r="AW234" s="157"/>
      <c r="AX234" s="150">
        <v>982731.6</v>
      </c>
      <c r="AY234" s="225">
        <f t="shared" ref="AY234:BA234" si="344">SUBTOTAL(9,AY235)</f>
        <v>580744.37</v>
      </c>
      <c r="AZ234" s="225">
        <f t="shared" si="344"/>
        <v>346755.63</v>
      </c>
      <c r="BA234" s="225">
        <f t="shared" si="344"/>
        <v>927500</v>
      </c>
      <c r="BB234" s="192">
        <v>4</v>
      </c>
      <c r="BC234" s="256" t="s">
        <v>714</v>
      </c>
      <c r="BD234" s="256" t="s">
        <v>671</v>
      </c>
      <c r="BE234" s="256" t="s">
        <v>632</v>
      </c>
      <c r="BF234" s="256" t="s">
        <v>630</v>
      </c>
      <c r="BG234" s="185" t="s">
        <v>5424</v>
      </c>
      <c r="BH234" s="215">
        <f>SUBTOTAL(9,BH235)</f>
        <v>918704.33</v>
      </c>
      <c r="BI234" s="256" t="s">
        <v>1519</v>
      </c>
      <c r="BJ234" s="256" t="s">
        <v>5425</v>
      </c>
      <c r="BK234" s="256" t="s">
        <v>5423</v>
      </c>
      <c r="BL234" s="238" t="s">
        <v>5426</v>
      </c>
      <c r="BM234" s="215">
        <f>SUBTOTAL(9,BM235)</f>
        <v>918704.33</v>
      </c>
      <c r="BN234" s="160"/>
      <c r="BO234" s="161">
        <f t="shared" si="276"/>
        <v>0</v>
      </c>
      <c r="BP234" s="161"/>
    </row>
    <row r="235" spans="1:68" ht="76.5">
      <c r="A235" s="261" t="s">
        <v>5423</v>
      </c>
      <c r="B235" s="228" t="s">
        <v>5427</v>
      </c>
      <c r="C235" s="229" t="s">
        <v>5428</v>
      </c>
      <c r="D235" s="146" t="s">
        <v>4692</v>
      </c>
      <c r="E235" s="196" t="s">
        <v>5428</v>
      </c>
      <c r="F235" s="150">
        <v>996029.16</v>
      </c>
      <c r="G235" s="209">
        <v>845767.56</v>
      </c>
      <c r="H235" s="209"/>
      <c r="I235" s="209">
        <v>845767.56</v>
      </c>
      <c r="J235" s="150">
        <v>65201.41</v>
      </c>
      <c r="K235" s="150">
        <v>0</v>
      </c>
      <c r="L235" s="150">
        <f t="shared" si="277"/>
        <v>65201.41</v>
      </c>
      <c r="M235" s="150">
        <v>130985.31</v>
      </c>
      <c r="N235" s="150">
        <v>367029.27000000008</v>
      </c>
      <c r="O235" s="150">
        <v>498014.58000000007</v>
      </c>
      <c r="P235" s="150">
        <v>729124.82</v>
      </c>
      <c r="Q235" s="150">
        <v>71557.960000000006</v>
      </c>
      <c r="R235" s="150">
        <f>P235+Q235</f>
        <v>800682.77999999991</v>
      </c>
      <c r="S235" s="150">
        <f t="shared" si="271"/>
        <v>1067577.04</v>
      </c>
      <c r="T235" s="150"/>
      <c r="U235" s="150">
        <v>982731.6</v>
      </c>
      <c r="V235" s="230"/>
      <c r="W235" s="150">
        <f>U235+V235</f>
        <v>982731.6</v>
      </c>
      <c r="X235" s="150">
        <v>982731.6</v>
      </c>
      <c r="Y235" s="150"/>
      <c r="Z235" s="150">
        <v>982731.6</v>
      </c>
      <c r="AA235" s="150">
        <f t="shared" si="272"/>
        <v>6224.0999999999767</v>
      </c>
      <c r="AB235" s="150">
        <v>988955.7</v>
      </c>
      <c r="AC235" s="230"/>
      <c r="AD235" s="150">
        <f>AB235+AC235</f>
        <v>988955.7</v>
      </c>
      <c r="AE235" s="150">
        <v>995814</v>
      </c>
      <c r="AF235" s="169" t="s">
        <v>4680</v>
      </c>
      <c r="AG235" s="201">
        <v>995814</v>
      </c>
      <c r="AH235" s="245"/>
      <c r="AI235" s="150">
        <v>995814</v>
      </c>
      <c r="AJ235" s="169">
        <f t="shared" si="273"/>
        <v>-77109.670000000042</v>
      </c>
      <c r="AK235" s="201">
        <v>918704.33</v>
      </c>
      <c r="AL235" s="245"/>
      <c r="AM235" s="150">
        <f>AK235+AL235</f>
        <v>918704.33</v>
      </c>
      <c r="AN235" s="153">
        <f t="shared" si="274"/>
        <v>0</v>
      </c>
      <c r="AO235" s="154">
        <f t="shared" si="275"/>
        <v>0</v>
      </c>
      <c r="AP235" s="150">
        <v>918704.33</v>
      </c>
      <c r="AQ235" s="201">
        <v>918704.33</v>
      </c>
      <c r="AR235" s="245"/>
      <c r="AS235" s="150">
        <f>AQ235+AR235</f>
        <v>918704.33</v>
      </c>
      <c r="AT235" s="155" t="s">
        <v>4796</v>
      </c>
      <c r="AU235" s="156">
        <f t="shared" si="268"/>
        <v>-70251.37</v>
      </c>
      <c r="AV235" s="156">
        <f t="shared" si="269"/>
        <v>6224.0999999999767</v>
      </c>
      <c r="AW235" s="157" t="s">
        <v>4796</v>
      </c>
      <c r="AX235" s="150">
        <v>982731.6</v>
      </c>
      <c r="AY235" s="150">
        <v>580744.37</v>
      </c>
      <c r="AZ235" s="237">
        <f>927500-AY235</f>
        <v>346755.63</v>
      </c>
      <c r="BA235" s="150">
        <f t="shared" si="270"/>
        <v>927500</v>
      </c>
      <c r="BB235" s="202">
        <v>4</v>
      </c>
      <c r="BC235" s="202" t="s">
        <v>714</v>
      </c>
      <c r="BD235" s="202" t="s">
        <v>671</v>
      </c>
      <c r="BE235" s="202" t="s">
        <v>632</v>
      </c>
      <c r="BF235" s="202" t="s">
        <v>632</v>
      </c>
      <c r="BG235" s="203" t="s">
        <v>5424</v>
      </c>
      <c r="BH235" s="216">
        <f>AS235</f>
        <v>918704.33</v>
      </c>
      <c r="BI235" s="206" t="s">
        <v>1519</v>
      </c>
      <c r="BJ235" s="206" t="s">
        <v>5425</v>
      </c>
      <c r="BK235" s="206" t="s">
        <v>5423</v>
      </c>
      <c r="BL235" s="207" t="s">
        <v>5426</v>
      </c>
      <c r="BM235" s="208">
        <f>BH235</f>
        <v>918704.33</v>
      </c>
      <c r="BN235" s="160"/>
      <c r="BO235" s="161">
        <f t="shared" si="276"/>
        <v>0</v>
      </c>
      <c r="BP235" s="161"/>
    </row>
    <row r="236" spans="1:68" ht="51">
      <c r="A236" s="256" t="s">
        <v>5429</v>
      </c>
      <c r="B236" s="184"/>
      <c r="C236" s="185" t="s">
        <v>5430</v>
      </c>
      <c r="D236" s="146" t="s">
        <v>4692</v>
      </c>
      <c r="E236" s="185" t="s">
        <v>5430</v>
      </c>
      <c r="F236" s="186">
        <v>0</v>
      </c>
      <c r="G236" s="187">
        <v>0</v>
      </c>
      <c r="H236" s="187">
        <v>0</v>
      </c>
      <c r="I236" s="187">
        <v>0</v>
      </c>
      <c r="J236" s="186">
        <f>SUBTOTAL(9,J237)</f>
        <v>0</v>
      </c>
      <c r="K236" s="186">
        <f>SUBTOTAL(9,K237)</f>
        <v>0</v>
      </c>
      <c r="L236" s="188">
        <f t="shared" si="277"/>
        <v>0</v>
      </c>
      <c r="M236" s="188">
        <v>0</v>
      </c>
      <c r="N236" s="188">
        <v>0</v>
      </c>
      <c r="O236" s="188">
        <v>0</v>
      </c>
      <c r="P236" s="225">
        <f t="shared" ref="P236:AS236" si="345">SUBTOTAL(9,P237)</f>
        <v>0</v>
      </c>
      <c r="Q236" s="225">
        <f t="shared" si="345"/>
        <v>0</v>
      </c>
      <c r="R236" s="225">
        <f t="shared" si="345"/>
        <v>0</v>
      </c>
      <c r="S236" s="150">
        <f t="shared" si="271"/>
        <v>0</v>
      </c>
      <c r="T236" s="213"/>
      <c r="U236" s="225">
        <f t="shared" ref="U236:W236" si="346">SUBTOTAL(9,U237)</f>
        <v>0</v>
      </c>
      <c r="V236" s="226">
        <f t="shared" si="346"/>
        <v>0</v>
      </c>
      <c r="W236" s="225">
        <f t="shared" si="346"/>
        <v>0</v>
      </c>
      <c r="X236" s="225">
        <v>0</v>
      </c>
      <c r="Y236" s="225">
        <v>0</v>
      </c>
      <c r="Z236" s="225">
        <v>0</v>
      </c>
      <c r="AA236" s="225">
        <f t="shared" si="272"/>
        <v>0</v>
      </c>
      <c r="AB236" s="225">
        <v>0</v>
      </c>
      <c r="AC236" s="226">
        <v>0</v>
      </c>
      <c r="AD236" s="225">
        <f t="shared" si="345"/>
        <v>0</v>
      </c>
      <c r="AE236" s="225">
        <v>0</v>
      </c>
      <c r="AF236" s="169" t="s">
        <v>4680</v>
      </c>
      <c r="AG236" s="212">
        <v>0</v>
      </c>
      <c r="AH236" s="226">
        <v>0</v>
      </c>
      <c r="AI236" s="225">
        <v>0</v>
      </c>
      <c r="AJ236" s="169">
        <f t="shared" si="273"/>
        <v>0</v>
      </c>
      <c r="AK236" s="212">
        <v>0</v>
      </c>
      <c r="AL236" s="226">
        <v>0</v>
      </c>
      <c r="AM236" s="225">
        <f t="shared" si="345"/>
        <v>0</v>
      </c>
      <c r="AN236" s="153">
        <f t="shared" si="274"/>
        <v>0</v>
      </c>
      <c r="AO236" s="154">
        <f t="shared" si="275"/>
        <v>0</v>
      </c>
      <c r="AP236" s="225">
        <v>0</v>
      </c>
      <c r="AQ236" s="212">
        <v>0</v>
      </c>
      <c r="AR236" s="226">
        <f t="shared" si="345"/>
        <v>0</v>
      </c>
      <c r="AS236" s="225">
        <f t="shared" si="345"/>
        <v>0</v>
      </c>
      <c r="AT236" s="155"/>
      <c r="AU236" s="156">
        <f t="shared" si="268"/>
        <v>0</v>
      </c>
      <c r="AV236" s="156">
        <f t="shared" si="269"/>
        <v>0</v>
      </c>
      <c r="AW236" s="157"/>
      <c r="AX236" s="150">
        <v>0</v>
      </c>
      <c r="AY236" s="225">
        <f t="shared" ref="AY236:BA236" si="347">SUBTOTAL(9,AY237)</f>
        <v>0</v>
      </c>
      <c r="AZ236" s="225">
        <f t="shared" si="347"/>
        <v>0</v>
      </c>
      <c r="BA236" s="225">
        <f t="shared" si="347"/>
        <v>0</v>
      </c>
      <c r="BB236" s="192">
        <v>4</v>
      </c>
      <c r="BC236" s="256" t="s">
        <v>714</v>
      </c>
      <c r="BD236" s="256" t="s">
        <v>671</v>
      </c>
      <c r="BE236" s="256" t="s">
        <v>647</v>
      </c>
      <c r="BF236" s="256" t="s">
        <v>630</v>
      </c>
      <c r="BG236" s="185" t="s">
        <v>5430</v>
      </c>
      <c r="BH236" s="215">
        <f>SUBTOTAL(9,BH237)</f>
        <v>0</v>
      </c>
      <c r="BI236" s="256" t="s">
        <v>1519</v>
      </c>
      <c r="BJ236" s="256" t="s">
        <v>5431</v>
      </c>
      <c r="BK236" s="256" t="s">
        <v>5429</v>
      </c>
      <c r="BL236" s="238" t="s">
        <v>5432</v>
      </c>
      <c r="BM236" s="215">
        <f>SUBTOTAL(9,BM237)</f>
        <v>0</v>
      </c>
      <c r="BN236" s="160"/>
      <c r="BO236" s="161">
        <f t="shared" si="276"/>
        <v>0</v>
      </c>
      <c r="BP236" s="161"/>
    </row>
    <row r="237" spans="1:68" ht="38.25">
      <c r="A237" s="261" t="s">
        <v>5429</v>
      </c>
      <c r="B237" s="228" t="s">
        <v>5433</v>
      </c>
      <c r="C237" s="229" t="s">
        <v>5434</v>
      </c>
      <c r="D237" s="146" t="s">
        <v>4692</v>
      </c>
      <c r="E237" s="196" t="s">
        <v>5434</v>
      </c>
      <c r="F237" s="150">
        <v>0</v>
      </c>
      <c r="G237" s="209">
        <v>0</v>
      </c>
      <c r="H237" s="209"/>
      <c r="I237" s="209">
        <v>0</v>
      </c>
      <c r="J237" s="150">
        <v>0</v>
      </c>
      <c r="K237" s="150">
        <v>0</v>
      </c>
      <c r="L237" s="150">
        <f t="shared" si="277"/>
        <v>0</v>
      </c>
      <c r="M237" s="150">
        <v>0</v>
      </c>
      <c r="N237" s="150"/>
      <c r="O237" s="150">
        <v>0</v>
      </c>
      <c r="P237" s="150">
        <v>0</v>
      </c>
      <c r="Q237" s="150"/>
      <c r="R237" s="150">
        <f>P237+Q237</f>
        <v>0</v>
      </c>
      <c r="S237" s="150">
        <f t="shared" si="271"/>
        <v>0</v>
      </c>
      <c r="T237" s="150"/>
      <c r="U237" s="150">
        <v>0</v>
      </c>
      <c r="V237" s="199"/>
      <c r="W237" s="150">
        <f>U237+V237</f>
        <v>0</v>
      </c>
      <c r="X237" s="150">
        <v>0</v>
      </c>
      <c r="Y237" s="150"/>
      <c r="Z237" s="150">
        <v>0</v>
      </c>
      <c r="AA237" s="150">
        <f t="shared" si="272"/>
        <v>0</v>
      </c>
      <c r="AB237" s="150">
        <v>0</v>
      </c>
      <c r="AC237" s="199"/>
      <c r="AD237" s="150">
        <f>AB237+AC237</f>
        <v>0</v>
      </c>
      <c r="AE237" s="150">
        <v>0</v>
      </c>
      <c r="AF237" s="169" t="s">
        <v>4680</v>
      </c>
      <c r="AG237" s="201">
        <v>0</v>
      </c>
      <c r="AH237" s="199"/>
      <c r="AI237" s="150">
        <v>0</v>
      </c>
      <c r="AJ237" s="169">
        <f t="shared" si="273"/>
        <v>0</v>
      </c>
      <c r="AK237" s="201">
        <v>0</v>
      </c>
      <c r="AL237" s="199"/>
      <c r="AM237" s="150">
        <f>AK237+AL237</f>
        <v>0</v>
      </c>
      <c r="AN237" s="153">
        <f t="shared" si="274"/>
        <v>0</v>
      </c>
      <c r="AO237" s="154">
        <f t="shared" si="275"/>
        <v>0</v>
      </c>
      <c r="AP237" s="150">
        <v>0</v>
      </c>
      <c r="AQ237" s="201">
        <v>0</v>
      </c>
      <c r="AR237" s="199"/>
      <c r="AS237" s="150">
        <f>AQ237+AR237</f>
        <v>0</v>
      </c>
      <c r="AT237" s="155" t="s">
        <v>4796</v>
      </c>
      <c r="AU237" s="156">
        <f t="shared" si="268"/>
        <v>0</v>
      </c>
      <c r="AV237" s="156">
        <f t="shared" si="269"/>
        <v>0</v>
      </c>
      <c r="AW237" s="157" t="s">
        <v>4796</v>
      </c>
      <c r="AX237" s="150">
        <v>0</v>
      </c>
      <c r="AY237" s="150">
        <v>0</v>
      </c>
      <c r="AZ237" s="150"/>
      <c r="BA237" s="150">
        <f t="shared" si="270"/>
        <v>0</v>
      </c>
      <c r="BB237" s="202">
        <v>4</v>
      </c>
      <c r="BC237" s="202" t="s">
        <v>714</v>
      </c>
      <c r="BD237" s="202" t="s">
        <v>671</v>
      </c>
      <c r="BE237" s="202" t="s">
        <v>647</v>
      </c>
      <c r="BF237" s="202" t="s">
        <v>632</v>
      </c>
      <c r="BG237" s="203" t="s">
        <v>5430</v>
      </c>
      <c r="BH237" s="216">
        <f>AS237</f>
        <v>0</v>
      </c>
      <c r="BI237" s="206" t="s">
        <v>1519</v>
      </c>
      <c r="BJ237" s="206" t="s">
        <v>5431</v>
      </c>
      <c r="BK237" s="206" t="s">
        <v>5429</v>
      </c>
      <c r="BL237" s="207" t="s">
        <v>5432</v>
      </c>
      <c r="BM237" s="208">
        <f>BH237</f>
        <v>0</v>
      </c>
      <c r="BN237" s="160"/>
      <c r="BO237" s="161">
        <f t="shared" si="276"/>
        <v>0</v>
      </c>
      <c r="BP237" s="161"/>
    </row>
    <row r="238" spans="1:68" ht="51">
      <c r="A238" s="256" t="s">
        <v>5435</v>
      </c>
      <c r="B238" s="184"/>
      <c r="C238" s="185" t="s">
        <v>5436</v>
      </c>
      <c r="D238" s="146" t="s">
        <v>4692</v>
      </c>
      <c r="E238" s="185" t="s">
        <v>5436</v>
      </c>
      <c r="F238" s="186">
        <v>2215921.5299999998</v>
      </c>
      <c r="G238" s="187">
        <v>1765.82</v>
      </c>
      <c r="H238" s="187">
        <v>-1766</v>
      </c>
      <c r="I238" s="187">
        <v>-0.18000000000006366</v>
      </c>
      <c r="J238" s="186">
        <f>SUBTOTAL(9,J239)</f>
        <v>0</v>
      </c>
      <c r="K238" s="186">
        <f>SUBTOTAL(9,K239)</f>
        <v>0</v>
      </c>
      <c r="L238" s="188">
        <f t="shared" si="277"/>
        <v>0</v>
      </c>
      <c r="M238" s="188">
        <v>0</v>
      </c>
      <c r="N238" s="188">
        <v>0</v>
      </c>
      <c r="O238" s="188">
        <v>0</v>
      </c>
      <c r="P238" s="225">
        <f t="shared" ref="P238:AS238" si="348">SUBTOTAL(9,P239)</f>
        <v>332.03</v>
      </c>
      <c r="Q238" s="225">
        <f t="shared" si="348"/>
        <v>0</v>
      </c>
      <c r="R238" s="225">
        <f t="shared" si="348"/>
        <v>332.03</v>
      </c>
      <c r="S238" s="150">
        <f t="shared" si="271"/>
        <v>442.70666666666659</v>
      </c>
      <c r="T238" s="213"/>
      <c r="U238" s="225">
        <f t="shared" ref="U238:W238" si="349">SUBTOTAL(9,U239)</f>
        <v>332.03</v>
      </c>
      <c r="V238" s="226">
        <f t="shared" si="349"/>
        <v>0</v>
      </c>
      <c r="W238" s="225">
        <f t="shared" si="349"/>
        <v>332.03</v>
      </c>
      <c r="X238" s="225">
        <v>332.03</v>
      </c>
      <c r="Y238" s="225">
        <v>0</v>
      </c>
      <c r="Z238" s="225">
        <v>332.03</v>
      </c>
      <c r="AA238" s="225">
        <f t="shared" si="272"/>
        <v>384.55000000000007</v>
      </c>
      <c r="AB238" s="225">
        <v>716.58</v>
      </c>
      <c r="AC238" s="226">
        <v>0</v>
      </c>
      <c r="AD238" s="225">
        <f t="shared" si="348"/>
        <v>716.58</v>
      </c>
      <c r="AE238" s="225">
        <v>1109.32</v>
      </c>
      <c r="AF238" s="169" t="s">
        <v>4680</v>
      </c>
      <c r="AG238" s="212">
        <v>1109.32</v>
      </c>
      <c r="AH238" s="226">
        <v>0</v>
      </c>
      <c r="AI238" s="225">
        <v>1109.32</v>
      </c>
      <c r="AJ238" s="169">
        <f t="shared" si="273"/>
        <v>2617958.08</v>
      </c>
      <c r="AK238" s="212">
        <v>1109.32</v>
      </c>
      <c r="AL238" s="226">
        <v>2617958.08</v>
      </c>
      <c r="AM238" s="225">
        <f t="shared" si="348"/>
        <v>2619067.4</v>
      </c>
      <c r="AN238" s="153">
        <f t="shared" si="274"/>
        <v>0</v>
      </c>
      <c r="AO238" s="154">
        <f t="shared" si="275"/>
        <v>0</v>
      </c>
      <c r="AP238" s="225">
        <v>2619067.4</v>
      </c>
      <c r="AQ238" s="212">
        <v>2619067.4</v>
      </c>
      <c r="AR238" s="226">
        <f t="shared" si="348"/>
        <v>0</v>
      </c>
      <c r="AS238" s="225">
        <f t="shared" si="348"/>
        <v>2619067.4</v>
      </c>
      <c r="AT238" s="155"/>
      <c r="AU238" s="156">
        <f t="shared" si="268"/>
        <v>2618350.8199999998</v>
      </c>
      <c r="AV238" s="156">
        <f t="shared" si="269"/>
        <v>384.55000000000007</v>
      </c>
      <c r="AW238" s="157"/>
      <c r="AX238" s="150">
        <v>332.03</v>
      </c>
      <c r="AY238" s="225">
        <f t="shared" ref="AY238:BA238" si="350">SUBTOTAL(9,AY239)</f>
        <v>0</v>
      </c>
      <c r="AZ238" s="225">
        <f t="shared" si="350"/>
        <v>0</v>
      </c>
      <c r="BA238" s="225">
        <f t="shared" si="350"/>
        <v>0</v>
      </c>
      <c r="BB238" s="192">
        <v>4</v>
      </c>
      <c r="BC238" s="256" t="s">
        <v>714</v>
      </c>
      <c r="BD238" s="256" t="s">
        <v>671</v>
      </c>
      <c r="BE238" s="256" t="s">
        <v>671</v>
      </c>
      <c r="BF238" s="256" t="s">
        <v>630</v>
      </c>
      <c r="BG238" s="185" t="s">
        <v>5436</v>
      </c>
      <c r="BH238" s="215">
        <f>SUBTOTAL(9,BH239)</f>
        <v>2619067.4</v>
      </c>
      <c r="BI238" s="256" t="s">
        <v>1519</v>
      </c>
      <c r="BJ238" s="256" t="s">
        <v>5437</v>
      </c>
      <c r="BK238" s="256" t="s">
        <v>5435</v>
      </c>
      <c r="BL238" s="238" t="s">
        <v>5438</v>
      </c>
      <c r="BM238" s="215">
        <f>SUBTOTAL(9,BM239)</f>
        <v>2619067.4</v>
      </c>
      <c r="BN238" s="160"/>
      <c r="BO238" s="161">
        <f t="shared" si="276"/>
        <v>0</v>
      </c>
      <c r="BP238" s="161"/>
    </row>
    <row r="239" spans="1:68" ht="51">
      <c r="A239" s="261" t="s">
        <v>5435</v>
      </c>
      <c r="B239" s="228" t="s">
        <v>5439</v>
      </c>
      <c r="C239" s="229" t="s">
        <v>5440</v>
      </c>
      <c r="D239" s="146" t="s">
        <v>4692</v>
      </c>
      <c r="E239" s="196" t="s">
        <v>5440</v>
      </c>
      <c r="F239" s="150">
        <v>2215921.5299999998</v>
      </c>
      <c r="G239" s="209">
        <v>1765.82</v>
      </c>
      <c r="H239" s="209">
        <v>-1766</v>
      </c>
      <c r="I239" s="209">
        <v>-0.18000000000006366</v>
      </c>
      <c r="J239" s="150">
        <v>0</v>
      </c>
      <c r="K239" s="150">
        <v>0</v>
      </c>
      <c r="L239" s="150">
        <f t="shared" si="277"/>
        <v>0</v>
      </c>
      <c r="M239" s="150">
        <v>0</v>
      </c>
      <c r="N239" s="150">
        <v>0</v>
      </c>
      <c r="O239" s="150">
        <v>0</v>
      </c>
      <c r="P239" s="150">
        <v>332.03</v>
      </c>
      <c r="Q239" s="150"/>
      <c r="R239" s="150">
        <f>P239+Q239</f>
        <v>332.03</v>
      </c>
      <c r="S239" s="150">
        <f t="shared" si="271"/>
        <v>442.70666666666659</v>
      </c>
      <c r="T239" s="150"/>
      <c r="U239" s="150">
        <v>332.03</v>
      </c>
      <c r="V239" s="199"/>
      <c r="W239" s="150">
        <f>U239+V239</f>
        <v>332.03</v>
      </c>
      <c r="X239" s="150">
        <v>332.03</v>
      </c>
      <c r="Y239" s="150"/>
      <c r="Z239" s="150">
        <v>332.03</v>
      </c>
      <c r="AA239" s="150">
        <f t="shared" si="272"/>
        <v>384.55000000000007</v>
      </c>
      <c r="AB239" s="150">
        <v>716.58</v>
      </c>
      <c r="AC239" s="199"/>
      <c r="AD239" s="150">
        <f>AB239+AC239</f>
        <v>716.58</v>
      </c>
      <c r="AE239" s="150">
        <v>1109.32</v>
      </c>
      <c r="AF239" s="169" t="s">
        <v>4680</v>
      </c>
      <c r="AG239" s="201">
        <v>1109.32</v>
      </c>
      <c r="AH239" s="199"/>
      <c r="AI239" s="150">
        <v>1109.32</v>
      </c>
      <c r="AJ239" s="169">
        <f t="shared" si="273"/>
        <v>2617958.08</v>
      </c>
      <c r="AK239" s="201">
        <v>1109.32</v>
      </c>
      <c r="AL239" s="199">
        <v>2617958.08</v>
      </c>
      <c r="AM239" s="150">
        <f>AK239+AL239</f>
        <v>2619067.4</v>
      </c>
      <c r="AN239" s="153">
        <f t="shared" si="274"/>
        <v>0</v>
      </c>
      <c r="AO239" s="154">
        <f t="shared" si="275"/>
        <v>0</v>
      </c>
      <c r="AP239" s="150">
        <v>2619067.4</v>
      </c>
      <c r="AQ239" s="201">
        <v>2619067.4</v>
      </c>
      <c r="AR239" s="199"/>
      <c r="AS239" s="150">
        <f>AQ239+AR239</f>
        <v>2619067.4</v>
      </c>
      <c r="AT239" s="155" t="s">
        <v>5441</v>
      </c>
      <c r="AU239" s="156">
        <f t="shared" si="268"/>
        <v>2618350.8199999998</v>
      </c>
      <c r="AV239" s="156">
        <f t="shared" si="269"/>
        <v>384.55000000000007</v>
      </c>
      <c r="AW239" s="157" t="s">
        <v>4796</v>
      </c>
      <c r="AX239" s="150">
        <v>332.03</v>
      </c>
      <c r="AY239" s="150">
        <v>0</v>
      </c>
      <c r="AZ239" s="237"/>
      <c r="BA239" s="150">
        <f t="shared" si="270"/>
        <v>0</v>
      </c>
      <c r="BB239" s="202">
        <v>4</v>
      </c>
      <c r="BC239" s="202" t="s">
        <v>714</v>
      </c>
      <c r="BD239" s="202" t="s">
        <v>671</v>
      </c>
      <c r="BE239" s="202" t="s">
        <v>671</v>
      </c>
      <c r="BF239" s="202" t="s">
        <v>632</v>
      </c>
      <c r="BG239" s="203" t="s">
        <v>5436</v>
      </c>
      <c r="BH239" s="216">
        <f>AS239</f>
        <v>2619067.4</v>
      </c>
      <c r="BI239" s="206" t="s">
        <v>1519</v>
      </c>
      <c r="BJ239" s="206" t="s">
        <v>5437</v>
      </c>
      <c r="BK239" s="206" t="s">
        <v>5435</v>
      </c>
      <c r="BL239" s="207" t="s">
        <v>5438</v>
      </c>
      <c r="BM239" s="208">
        <f>BH239</f>
        <v>2619067.4</v>
      </c>
      <c r="BN239" s="160"/>
      <c r="BO239" s="161">
        <f t="shared" si="276"/>
        <v>0</v>
      </c>
      <c r="BP239" s="161"/>
    </row>
    <row r="240" spans="1:68" ht="51">
      <c r="A240" s="256" t="s">
        <v>5442</v>
      </c>
      <c r="B240" s="184"/>
      <c r="C240" s="185" t="s">
        <v>5436</v>
      </c>
      <c r="D240" s="146" t="s">
        <v>4692</v>
      </c>
      <c r="E240" s="185" t="s">
        <v>5436</v>
      </c>
      <c r="F240" s="186">
        <v>0</v>
      </c>
      <c r="G240" s="187">
        <v>0</v>
      </c>
      <c r="H240" s="187">
        <v>0</v>
      </c>
      <c r="I240" s="187">
        <v>0</v>
      </c>
      <c r="J240" s="186">
        <f>SUBTOTAL(9,J241)</f>
        <v>0</v>
      </c>
      <c r="K240" s="186">
        <f>SUBTOTAL(9,K241)</f>
        <v>0</v>
      </c>
      <c r="L240" s="188">
        <f t="shared" si="277"/>
        <v>0</v>
      </c>
      <c r="M240" s="188">
        <v>0</v>
      </c>
      <c r="N240" s="188">
        <v>0</v>
      </c>
      <c r="O240" s="188">
        <v>0</v>
      </c>
      <c r="P240" s="225">
        <f t="shared" ref="P240:AS240" si="351">SUBTOTAL(9,P241)</f>
        <v>0</v>
      </c>
      <c r="Q240" s="188">
        <f t="shared" si="351"/>
        <v>0</v>
      </c>
      <c r="R240" s="225">
        <f t="shared" si="351"/>
        <v>0</v>
      </c>
      <c r="S240" s="150">
        <f t="shared" si="271"/>
        <v>0</v>
      </c>
      <c r="T240" s="213"/>
      <c r="U240" s="225">
        <f t="shared" ref="U240:W240" si="352">SUBTOTAL(9,U241)</f>
        <v>0</v>
      </c>
      <c r="V240" s="189">
        <f t="shared" si="352"/>
        <v>0</v>
      </c>
      <c r="W240" s="225">
        <f t="shared" si="352"/>
        <v>0</v>
      </c>
      <c r="X240" s="225">
        <v>0</v>
      </c>
      <c r="Y240" s="225">
        <v>0</v>
      </c>
      <c r="Z240" s="225">
        <v>0</v>
      </c>
      <c r="AA240" s="225">
        <f t="shared" si="272"/>
        <v>0</v>
      </c>
      <c r="AB240" s="225">
        <v>0</v>
      </c>
      <c r="AC240" s="189">
        <v>0</v>
      </c>
      <c r="AD240" s="225">
        <f t="shared" si="351"/>
        <v>0</v>
      </c>
      <c r="AE240" s="225">
        <v>0</v>
      </c>
      <c r="AF240" s="169" t="s">
        <v>4680</v>
      </c>
      <c r="AG240" s="212">
        <v>0</v>
      </c>
      <c r="AH240" s="189">
        <v>0</v>
      </c>
      <c r="AI240" s="225">
        <v>0</v>
      </c>
      <c r="AJ240" s="169">
        <f t="shared" si="273"/>
        <v>0</v>
      </c>
      <c r="AK240" s="212">
        <v>0</v>
      </c>
      <c r="AL240" s="189">
        <v>0</v>
      </c>
      <c r="AM240" s="225">
        <f t="shared" si="351"/>
        <v>0</v>
      </c>
      <c r="AN240" s="153">
        <f t="shared" si="274"/>
        <v>0</v>
      </c>
      <c r="AO240" s="154">
        <f t="shared" si="275"/>
        <v>0</v>
      </c>
      <c r="AP240" s="225">
        <v>0</v>
      </c>
      <c r="AQ240" s="212">
        <v>0</v>
      </c>
      <c r="AR240" s="189">
        <f t="shared" si="351"/>
        <v>0</v>
      </c>
      <c r="AS240" s="225">
        <f t="shared" si="351"/>
        <v>0</v>
      </c>
      <c r="AT240" s="155"/>
      <c r="AU240" s="156">
        <f t="shared" si="268"/>
        <v>0</v>
      </c>
      <c r="AV240" s="156">
        <f t="shared" si="269"/>
        <v>0</v>
      </c>
      <c r="AW240" s="157"/>
      <c r="AX240" s="150">
        <v>0</v>
      </c>
      <c r="AY240" s="225">
        <f t="shared" ref="AY240:BA240" si="353">SUBTOTAL(9,AY241)</f>
        <v>0</v>
      </c>
      <c r="AZ240" s="188">
        <f t="shared" si="353"/>
        <v>0</v>
      </c>
      <c r="BA240" s="225">
        <f t="shared" si="353"/>
        <v>0</v>
      </c>
      <c r="BB240" s="192">
        <v>4</v>
      </c>
      <c r="BC240" s="256" t="s">
        <v>714</v>
      </c>
      <c r="BD240" s="256" t="s">
        <v>671</v>
      </c>
      <c r="BE240" s="256" t="s">
        <v>693</v>
      </c>
      <c r="BF240" s="256" t="s">
        <v>630</v>
      </c>
      <c r="BG240" s="185" t="s">
        <v>5436</v>
      </c>
      <c r="BH240" s="215">
        <f>SUBTOTAL(9,BH241)</f>
        <v>0</v>
      </c>
      <c r="BI240" s="256" t="s">
        <v>1519</v>
      </c>
      <c r="BJ240" s="256" t="s">
        <v>5443</v>
      </c>
      <c r="BK240" s="256" t="s">
        <v>5442</v>
      </c>
      <c r="BL240" s="238" t="s">
        <v>5444</v>
      </c>
      <c r="BM240" s="215">
        <f>SUBTOTAL(9,BM241)</f>
        <v>0</v>
      </c>
      <c r="BN240" s="160"/>
      <c r="BO240" s="161">
        <f t="shared" si="276"/>
        <v>0</v>
      </c>
      <c r="BP240" s="161"/>
    </row>
    <row r="241" spans="1:68" ht="38.25">
      <c r="A241" s="206" t="s">
        <v>5442</v>
      </c>
      <c r="B241" s="195" t="s">
        <v>5445</v>
      </c>
      <c r="C241" s="196" t="s">
        <v>5446</v>
      </c>
      <c r="D241" s="146" t="s">
        <v>4692</v>
      </c>
      <c r="E241" s="196" t="s">
        <v>5446</v>
      </c>
      <c r="F241" s="150">
        <v>0</v>
      </c>
      <c r="G241" s="209">
        <v>0</v>
      </c>
      <c r="H241" s="209"/>
      <c r="I241" s="209">
        <v>0</v>
      </c>
      <c r="J241" s="150">
        <v>0</v>
      </c>
      <c r="K241" s="150">
        <v>0</v>
      </c>
      <c r="L241" s="150">
        <f t="shared" si="277"/>
        <v>0</v>
      </c>
      <c r="M241" s="150">
        <v>0</v>
      </c>
      <c r="N241" s="150"/>
      <c r="O241" s="150">
        <v>0</v>
      </c>
      <c r="P241" s="150">
        <v>0</v>
      </c>
      <c r="Q241" s="150"/>
      <c r="R241" s="150">
        <f>P241+Q241</f>
        <v>0</v>
      </c>
      <c r="S241" s="150">
        <f t="shared" si="271"/>
        <v>0</v>
      </c>
      <c r="T241" s="150"/>
      <c r="U241" s="150">
        <v>0</v>
      </c>
      <c r="V241" s="199"/>
      <c r="W241" s="150">
        <f>U241+V241</f>
        <v>0</v>
      </c>
      <c r="X241" s="150">
        <v>0</v>
      </c>
      <c r="Y241" s="150"/>
      <c r="Z241" s="150">
        <v>0</v>
      </c>
      <c r="AA241" s="150">
        <f t="shared" si="272"/>
        <v>0</v>
      </c>
      <c r="AB241" s="150">
        <v>0</v>
      </c>
      <c r="AC241" s="199"/>
      <c r="AD241" s="150">
        <f>AB241+AC241</f>
        <v>0</v>
      </c>
      <c r="AE241" s="150">
        <v>0</v>
      </c>
      <c r="AF241" s="169" t="s">
        <v>4680</v>
      </c>
      <c r="AG241" s="201">
        <v>0</v>
      </c>
      <c r="AH241" s="199"/>
      <c r="AI241" s="150">
        <v>0</v>
      </c>
      <c r="AJ241" s="169">
        <f t="shared" si="273"/>
        <v>0</v>
      </c>
      <c r="AK241" s="201">
        <v>0</v>
      </c>
      <c r="AL241" s="199"/>
      <c r="AM241" s="150">
        <f>AK241+AL241</f>
        <v>0</v>
      </c>
      <c r="AN241" s="153">
        <f t="shared" si="274"/>
        <v>0</v>
      </c>
      <c r="AO241" s="154">
        <f t="shared" si="275"/>
        <v>0</v>
      </c>
      <c r="AP241" s="150">
        <v>0</v>
      </c>
      <c r="AQ241" s="201">
        <v>0</v>
      </c>
      <c r="AR241" s="199"/>
      <c r="AS241" s="150">
        <f>AQ241+AR241</f>
        <v>0</v>
      </c>
      <c r="AT241" s="155"/>
      <c r="AU241" s="156">
        <f t="shared" si="268"/>
        <v>0</v>
      </c>
      <c r="AV241" s="156">
        <f t="shared" si="269"/>
        <v>0</v>
      </c>
      <c r="AW241" s="157"/>
      <c r="AX241" s="150">
        <v>0</v>
      </c>
      <c r="AY241" s="150">
        <v>0</v>
      </c>
      <c r="AZ241" s="150"/>
      <c r="BA241" s="150">
        <f t="shared" si="270"/>
        <v>0</v>
      </c>
      <c r="BB241" s="202">
        <v>4</v>
      </c>
      <c r="BC241" s="202" t="s">
        <v>714</v>
      </c>
      <c r="BD241" s="202" t="s">
        <v>671</v>
      </c>
      <c r="BE241" s="194" t="s">
        <v>693</v>
      </c>
      <c r="BF241" s="202" t="s">
        <v>632</v>
      </c>
      <c r="BG241" s="203" t="s">
        <v>5446</v>
      </c>
      <c r="BH241" s="216">
        <f>AS241</f>
        <v>0</v>
      </c>
      <c r="BI241" s="206" t="s">
        <v>1519</v>
      </c>
      <c r="BJ241" s="206" t="s">
        <v>5443</v>
      </c>
      <c r="BK241" s="206" t="s">
        <v>5442</v>
      </c>
      <c r="BL241" s="207" t="s">
        <v>5444</v>
      </c>
      <c r="BM241" s="208">
        <f>BH241</f>
        <v>0</v>
      </c>
      <c r="BN241" s="160"/>
      <c r="BO241" s="161">
        <f t="shared" si="276"/>
        <v>0</v>
      </c>
      <c r="BP241" s="161"/>
    </row>
    <row r="242" spans="1:68" ht="38.25">
      <c r="A242" s="255" t="s">
        <v>5447</v>
      </c>
      <c r="B242" s="174"/>
      <c r="C242" s="175" t="s">
        <v>5448</v>
      </c>
      <c r="D242" s="146" t="s">
        <v>4692</v>
      </c>
      <c r="E242" s="175" t="s">
        <v>5448</v>
      </c>
      <c r="F242" s="176">
        <v>1296181.52</v>
      </c>
      <c r="G242" s="177">
        <v>100268.97</v>
      </c>
      <c r="H242" s="177">
        <v>1129871.2966666669</v>
      </c>
      <c r="I242" s="177">
        <v>1230140.2666666668</v>
      </c>
      <c r="J242" s="176">
        <f>J243+J245+J247</f>
        <v>-720</v>
      </c>
      <c r="K242" s="176">
        <f>K243+K245+K247</f>
        <v>720</v>
      </c>
      <c r="L242" s="178">
        <f t="shared" si="277"/>
        <v>0</v>
      </c>
      <c r="M242" s="178">
        <v>9061.7000000000007</v>
      </c>
      <c r="N242" s="178">
        <v>30072.71</v>
      </c>
      <c r="O242" s="178">
        <v>39134.410000000003</v>
      </c>
      <c r="P242" s="221">
        <f t="shared" ref="P242:R242" si="354">P243+P245+P247</f>
        <v>10498.1</v>
      </c>
      <c r="Q242" s="221">
        <f t="shared" si="354"/>
        <v>0</v>
      </c>
      <c r="R242" s="221">
        <f t="shared" si="354"/>
        <v>10498.1</v>
      </c>
      <c r="S242" s="150">
        <f t="shared" si="271"/>
        <v>13997.466666666667</v>
      </c>
      <c r="T242" s="213"/>
      <c r="U242" s="221">
        <f t="shared" ref="U242:W242" si="355">U243+U245+U247</f>
        <v>9418.1</v>
      </c>
      <c r="V242" s="222">
        <f t="shared" si="355"/>
        <v>0</v>
      </c>
      <c r="W242" s="221">
        <f t="shared" si="355"/>
        <v>9418.1</v>
      </c>
      <c r="X242" s="221">
        <v>9418.1</v>
      </c>
      <c r="Y242" s="221">
        <v>0</v>
      </c>
      <c r="Z242" s="221">
        <v>9418.1</v>
      </c>
      <c r="AA242" s="221">
        <f t="shared" si="272"/>
        <v>0</v>
      </c>
      <c r="AB242" s="221">
        <v>9418.1</v>
      </c>
      <c r="AC242" s="222">
        <v>0</v>
      </c>
      <c r="AD242" s="221">
        <f t="shared" ref="AD242" si="356">AD243+AD245+AD247</f>
        <v>9418.1</v>
      </c>
      <c r="AE242" s="221">
        <v>9418.1</v>
      </c>
      <c r="AF242" s="169" t="s">
        <v>4680</v>
      </c>
      <c r="AG242" s="223">
        <v>9418.1</v>
      </c>
      <c r="AH242" s="222">
        <v>0</v>
      </c>
      <c r="AI242" s="221">
        <v>9418.1</v>
      </c>
      <c r="AJ242" s="169">
        <f t="shared" si="273"/>
        <v>0</v>
      </c>
      <c r="AK242" s="223">
        <v>9418.1</v>
      </c>
      <c r="AL242" s="222">
        <v>0</v>
      </c>
      <c r="AM242" s="221">
        <f t="shared" ref="AM242" si="357">AM243+AM245+AM247</f>
        <v>9418.1</v>
      </c>
      <c r="AN242" s="153">
        <f t="shared" si="274"/>
        <v>0</v>
      </c>
      <c r="AO242" s="154">
        <f t="shared" si="275"/>
        <v>0</v>
      </c>
      <c r="AP242" s="221">
        <v>9418.1</v>
      </c>
      <c r="AQ242" s="223">
        <v>9418.1</v>
      </c>
      <c r="AR242" s="222">
        <f t="shared" ref="AR242:AS242" si="358">AR243+AR245+AR247</f>
        <v>0</v>
      </c>
      <c r="AS242" s="221">
        <f t="shared" si="358"/>
        <v>9418.1</v>
      </c>
      <c r="AT242" s="155"/>
      <c r="AU242" s="156">
        <f t="shared" si="268"/>
        <v>0</v>
      </c>
      <c r="AV242" s="156">
        <f t="shared" si="269"/>
        <v>0</v>
      </c>
      <c r="AW242" s="157"/>
      <c r="AX242" s="150">
        <v>9418.1</v>
      </c>
      <c r="AY242" s="221">
        <f t="shared" ref="AY242:BA242" si="359">AY243+AY245+AY247</f>
        <v>10498.1</v>
      </c>
      <c r="AZ242" s="221">
        <f t="shared" si="359"/>
        <v>524422.9</v>
      </c>
      <c r="BA242" s="221">
        <f t="shared" si="359"/>
        <v>534921</v>
      </c>
      <c r="BB242" s="254">
        <v>4</v>
      </c>
      <c r="BC242" s="255" t="s">
        <v>714</v>
      </c>
      <c r="BD242" s="255" t="s">
        <v>693</v>
      </c>
      <c r="BE242" s="173" t="s">
        <v>630</v>
      </c>
      <c r="BF242" s="255" t="s">
        <v>630</v>
      </c>
      <c r="BG242" s="175" t="s">
        <v>5448</v>
      </c>
      <c r="BH242" s="224">
        <f>BH243+BH245+BH247</f>
        <v>9418.1</v>
      </c>
      <c r="BI242" s="254"/>
      <c r="BJ242" s="255" t="s">
        <v>5449</v>
      </c>
      <c r="BK242" s="255" t="s">
        <v>5447</v>
      </c>
      <c r="BL242" s="182" t="s">
        <v>5450</v>
      </c>
      <c r="BM242" s="224">
        <f>BM243+BM245+BM247</f>
        <v>9418.1</v>
      </c>
      <c r="BN242" s="160"/>
      <c r="BO242" s="161">
        <f t="shared" si="276"/>
        <v>0</v>
      </c>
      <c r="BP242" s="161"/>
    </row>
    <row r="243" spans="1:68" ht="63.75">
      <c r="A243" s="256" t="s">
        <v>5451</v>
      </c>
      <c r="B243" s="184"/>
      <c r="C243" s="185" t="s">
        <v>5452</v>
      </c>
      <c r="D243" s="146" t="s">
        <v>4692</v>
      </c>
      <c r="E243" s="185" t="s">
        <v>5452</v>
      </c>
      <c r="F243" s="186">
        <v>60145.42</v>
      </c>
      <c r="G243" s="187">
        <v>26651.08</v>
      </c>
      <c r="H243" s="187">
        <v>0</v>
      </c>
      <c r="I243" s="187">
        <v>26651.08</v>
      </c>
      <c r="J243" s="186">
        <f>SUBTOTAL(9,J244)</f>
        <v>0</v>
      </c>
      <c r="K243" s="186">
        <f>SUBTOTAL(9,K244)</f>
        <v>0</v>
      </c>
      <c r="L243" s="188">
        <f t="shared" si="277"/>
        <v>0</v>
      </c>
      <c r="M243" s="188">
        <v>0</v>
      </c>
      <c r="N243" s="188">
        <v>30072.71</v>
      </c>
      <c r="O243" s="188">
        <v>30072.71</v>
      </c>
      <c r="P243" s="225">
        <f t="shared" ref="P243:AS243" si="360">SUBTOTAL(9,P244)</f>
        <v>0</v>
      </c>
      <c r="Q243" s="225">
        <f t="shared" si="360"/>
        <v>0</v>
      </c>
      <c r="R243" s="225">
        <f t="shared" si="360"/>
        <v>0</v>
      </c>
      <c r="S243" s="150">
        <f t="shared" si="271"/>
        <v>0</v>
      </c>
      <c r="T243" s="213"/>
      <c r="U243" s="225">
        <f t="shared" ref="U243:W243" si="361">SUBTOTAL(9,U244)</f>
        <v>0</v>
      </c>
      <c r="V243" s="226">
        <f t="shared" si="361"/>
        <v>0</v>
      </c>
      <c r="W243" s="225">
        <f t="shared" si="361"/>
        <v>0</v>
      </c>
      <c r="X243" s="225">
        <v>0</v>
      </c>
      <c r="Y243" s="225">
        <v>0</v>
      </c>
      <c r="Z243" s="225">
        <v>0</v>
      </c>
      <c r="AA243" s="225">
        <f t="shared" si="272"/>
        <v>0</v>
      </c>
      <c r="AB243" s="225">
        <v>0</v>
      </c>
      <c r="AC243" s="226">
        <v>0</v>
      </c>
      <c r="AD243" s="225">
        <f t="shared" si="360"/>
        <v>0</v>
      </c>
      <c r="AE243" s="225">
        <v>0</v>
      </c>
      <c r="AF243" s="169" t="s">
        <v>4680</v>
      </c>
      <c r="AG243" s="212">
        <v>0</v>
      </c>
      <c r="AH243" s="226">
        <v>0</v>
      </c>
      <c r="AI243" s="225">
        <v>0</v>
      </c>
      <c r="AJ243" s="169">
        <f t="shared" si="273"/>
        <v>0</v>
      </c>
      <c r="AK243" s="212">
        <v>0</v>
      </c>
      <c r="AL243" s="226">
        <v>0</v>
      </c>
      <c r="AM243" s="225">
        <f t="shared" si="360"/>
        <v>0</v>
      </c>
      <c r="AN243" s="153">
        <f t="shared" si="274"/>
        <v>0</v>
      </c>
      <c r="AO243" s="154">
        <f t="shared" si="275"/>
        <v>0</v>
      </c>
      <c r="AP243" s="225">
        <v>0</v>
      </c>
      <c r="AQ243" s="212">
        <v>0</v>
      </c>
      <c r="AR243" s="226">
        <f t="shared" si="360"/>
        <v>0</v>
      </c>
      <c r="AS243" s="225">
        <f t="shared" si="360"/>
        <v>0</v>
      </c>
      <c r="AT243" s="155"/>
      <c r="AU243" s="156">
        <f t="shared" si="268"/>
        <v>0</v>
      </c>
      <c r="AV243" s="156">
        <f t="shared" si="269"/>
        <v>0</v>
      </c>
      <c r="AW243" s="157"/>
      <c r="AX243" s="150">
        <v>0</v>
      </c>
      <c r="AY243" s="225">
        <f t="shared" ref="AY243:BA243" si="362">SUBTOTAL(9,AY244)</f>
        <v>0</v>
      </c>
      <c r="AZ243" s="225">
        <f t="shared" si="362"/>
        <v>0</v>
      </c>
      <c r="BA243" s="225">
        <f t="shared" si="362"/>
        <v>0</v>
      </c>
      <c r="BB243" s="192">
        <v>4</v>
      </c>
      <c r="BC243" s="256" t="s">
        <v>714</v>
      </c>
      <c r="BD243" s="256" t="s">
        <v>693</v>
      </c>
      <c r="BE243" s="256" t="s">
        <v>632</v>
      </c>
      <c r="BF243" s="256" t="s">
        <v>630</v>
      </c>
      <c r="BG243" s="185" t="s">
        <v>5452</v>
      </c>
      <c r="BH243" s="215">
        <f>SUBTOTAL(9,BH244)</f>
        <v>0</v>
      </c>
      <c r="BI243" s="192"/>
      <c r="BJ243" s="256" t="s">
        <v>5453</v>
      </c>
      <c r="BK243" s="256" t="s">
        <v>5451</v>
      </c>
      <c r="BL243" s="238" t="s">
        <v>5454</v>
      </c>
      <c r="BM243" s="215">
        <f>SUBTOTAL(9,BM244)</f>
        <v>0</v>
      </c>
      <c r="BN243" s="160"/>
      <c r="BO243" s="161">
        <f t="shared" si="276"/>
        <v>0</v>
      </c>
      <c r="BP243" s="161"/>
    </row>
    <row r="244" spans="1:68" ht="63.75">
      <c r="A244" s="206" t="s">
        <v>5451</v>
      </c>
      <c r="B244" s="195" t="s">
        <v>5455</v>
      </c>
      <c r="C244" s="196" t="s">
        <v>5456</v>
      </c>
      <c r="D244" s="146" t="s">
        <v>4692</v>
      </c>
      <c r="E244" s="196" t="s">
        <v>5456</v>
      </c>
      <c r="F244" s="150">
        <v>60145.42</v>
      </c>
      <c r="G244" s="209">
        <v>26651.08</v>
      </c>
      <c r="H244" s="209"/>
      <c r="I244" s="209">
        <v>26651.08</v>
      </c>
      <c r="J244" s="150">
        <v>0</v>
      </c>
      <c r="K244" s="150">
        <v>0</v>
      </c>
      <c r="L244" s="150">
        <f t="shared" si="277"/>
        <v>0</v>
      </c>
      <c r="M244" s="150">
        <v>0</v>
      </c>
      <c r="N244" s="150">
        <v>30072.71</v>
      </c>
      <c r="O244" s="150">
        <v>30072.71</v>
      </c>
      <c r="P244" s="150">
        <v>0</v>
      </c>
      <c r="Q244" s="237"/>
      <c r="R244" s="150">
        <f>P244+Q244</f>
        <v>0</v>
      </c>
      <c r="S244" s="150">
        <f t="shared" si="271"/>
        <v>0</v>
      </c>
      <c r="T244" s="150"/>
      <c r="U244" s="150">
        <v>0</v>
      </c>
      <c r="V244" s="230"/>
      <c r="W244" s="150">
        <f>U244+V244</f>
        <v>0</v>
      </c>
      <c r="X244" s="150">
        <v>0</v>
      </c>
      <c r="Y244" s="150"/>
      <c r="Z244" s="150">
        <v>0</v>
      </c>
      <c r="AA244" s="150">
        <f t="shared" si="272"/>
        <v>0</v>
      </c>
      <c r="AB244" s="150">
        <v>0</v>
      </c>
      <c r="AC244" s="230"/>
      <c r="AD244" s="150">
        <f>AB244+AC244</f>
        <v>0</v>
      </c>
      <c r="AE244" s="150">
        <v>0</v>
      </c>
      <c r="AF244" s="169" t="s">
        <v>4680</v>
      </c>
      <c r="AG244" s="201">
        <v>0</v>
      </c>
      <c r="AH244" s="245"/>
      <c r="AI244" s="150">
        <v>0</v>
      </c>
      <c r="AJ244" s="169">
        <f t="shared" si="273"/>
        <v>0</v>
      </c>
      <c r="AK244" s="201">
        <v>0</v>
      </c>
      <c r="AL244" s="245"/>
      <c r="AM244" s="150">
        <f>AK244+AL244</f>
        <v>0</v>
      </c>
      <c r="AN244" s="153">
        <f t="shared" si="274"/>
        <v>0</v>
      </c>
      <c r="AO244" s="154">
        <f t="shared" si="275"/>
        <v>0</v>
      </c>
      <c r="AP244" s="150">
        <v>0</v>
      </c>
      <c r="AQ244" s="201">
        <v>0</v>
      </c>
      <c r="AR244" s="245"/>
      <c r="AS244" s="150">
        <f>AQ244+AR244</f>
        <v>0</v>
      </c>
      <c r="AT244" s="155"/>
      <c r="AU244" s="156">
        <f t="shared" si="268"/>
        <v>0</v>
      </c>
      <c r="AV244" s="156">
        <f t="shared" si="269"/>
        <v>0</v>
      </c>
      <c r="AW244" s="157"/>
      <c r="AX244" s="150">
        <v>0</v>
      </c>
      <c r="AY244" s="150">
        <v>0</v>
      </c>
      <c r="AZ244" s="237"/>
      <c r="BA244" s="150">
        <f t="shared" si="270"/>
        <v>0</v>
      </c>
      <c r="BB244" s="202">
        <v>4</v>
      </c>
      <c r="BC244" s="202" t="s">
        <v>714</v>
      </c>
      <c r="BD244" s="202" t="s">
        <v>693</v>
      </c>
      <c r="BE244" s="202" t="s">
        <v>632</v>
      </c>
      <c r="BF244" s="202" t="s">
        <v>632</v>
      </c>
      <c r="BG244" s="203" t="s">
        <v>5452</v>
      </c>
      <c r="BH244" s="216">
        <f>AS244</f>
        <v>0</v>
      </c>
      <c r="BI244" s="205"/>
      <c r="BJ244" s="206" t="s">
        <v>5453</v>
      </c>
      <c r="BK244" s="206" t="s">
        <v>5451</v>
      </c>
      <c r="BL244" s="207" t="s">
        <v>5454</v>
      </c>
      <c r="BM244" s="208">
        <f>BH244</f>
        <v>0</v>
      </c>
      <c r="BN244" s="160"/>
      <c r="BO244" s="161">
        <f t="shared" si="276"/>
        <v>0</v>
      </c>
      <c r="BP244" s="161"/>
    </row>
    <row r="245" spans="1:68" ht="38.25">
      <c r="A245" s="256" t="s">
        <v>5457</v>
      </c>
      <c r="B245" s="184"/>
      <c r="C245" s="185" t="s">
        <v>5458</v>
      </c>
      <c r="D245" s="146" t="s">
        <v>4692</v>
      </c>
      <c r="E245" s="185" t="s">
        <v>5458</v>
      </c>
      <c r="F245" s="186">
        <v>0</v>
      </c>
      <c r="G245" s="187">
        <v>0</v>
      </c>
      <c r="H245" s="187">
        <v>0</v>
      </c>
      <c r="I245" s="187">
        <v>0</v>
      </c>
      <c r="J245" s="186">
        <f>SUBTOTAL(9,J246)</f>
        <v>0</v>
      </c>
      <c r="K245" s="186">
        <f>SUBTOTAL(9,K246)</f>
        <v>0</v>
      </c>
      <c r="L245" s="188">
        <f t="shared" si="277"/>
        <v>0</v>
      </c>
      <c r="M245" s="188">
        <v>0</v>
      </c>
      <c r="N245" s="188">
        <v>0</v>
      </c>
      <c r="O245" s="188">
        <v>0</v>
      </c>
      <c r="P245" s="225">
        <f t="shared" ref="P245:AS245" si="363">SUBTOTAL(9,P246)</f>
        <v>0</v>
      </c>
      <c r="Q245" s="225">
        <f t="shared" si="363"/>
        <v>0</v>
      </c>
      <c r="R245" s="225">
        <f t="shared" si="363"/>
        <v>0</v>
      </c>
      <c r="S245" s="150">
        <f t="shared" si="271"/>
        <v>0</v>
      </c>
      <c r="T245" s="213"/>
      <c r="U245" s="225">
        <f t="shared" ref="U245:W245" si="364">SUBTOTAL(9,U246)</f>
        <v>0</v>
      </c>
      <c r="V245" s="226">
        <f t="shared" si="364"/>
        <v>0</v>
      </c>
      <c r="W245" s="225">
        <f t="shared" si="364"/>
        <v>0</v>
      </c>
      <c r="X245" s="225">
        <v>0</v>
      </c>
      <c r="Y245" s="225">
        <v>0</v>
      </c>
      <c r="Z245" s="225">
        <v>0</v>
      </c>
      <c r="AA245" s="225">
        <f t="shared" si="272"/>
        <v>0</v>
      </c>
      <c r="AB245" s="225">
        <v>0</v>
      </c>
      <c r="AC245" s="226">
        <v>0</v>
      </c>
      <c r="AD245" s="225">
        <f t="shared" si="363"/>
        <v>0</v>
      </c>
      <c r="AE245" s="225">
        <v>0</v>
      </c>
      <c r="AF245" s="169" t="s">
        <v>4680</v>
      </c>
      <c r="AG245" s="212">
        <v>0</v>
      </c>
      <c r="AH245" s="226">
        <v>0</v>
      </c>
      <c r="AI245" s="225">
        <v>0</v>
      </c>
      <c r="AJ245" s="169">
        <f t="shared" si="273"/>
        <v>0</v>
      </c>
      <c r="AK245" s="212">
        <v>0</v>
      </c>
      <c r="AL245" s="226">
        <v>0</v>
      </c>
      <c r="AM245" s="225">
        <f t="shared" si="363"/>
        <v>0</v>
      </c>
      <c r="AN245" s="153">
        <f t="shared" si="274"/>
        <v>0</v>
      </c>
      <c r="AO245" s="154">
        <f t="shared" si="275"/>
        <v>0</v>
      </c>
      <c r="AP245" s="225">
        <v>0</v>
      </c>
      <c r="AQ245" s="212">
        <v>0</v>
      </c>
      <c r="AR245" s="226">
        <f t="shared" si="363"/>
        <v>0</v>
      </c>
      <c r="AS245" s="225">
        <f t="shared" si="363"/>
        <v>0</v>
      </c>
      <c r="AT245" s="155"/>
      <c r="AU245" s="156">
        <f t="shared" si="268"/>
        <v>0</v>
      </c>
      <c r="AV245" s="156">
        <f t="shared" si="269"/>
        <v>0</v>
      </c>
      <c r="AW245" s="157"/>
      <c r="AX245" s="150">
        <v>0</v>
      </c>
      <c r="AY245" s="225">
        <f t="shared" ref="AY245:BA245" si="365">SUBTOTAL(9,AY246)</f>
        <v>0</v>
      </c>
      <c r="AZ245" s="225">
        <f t="shared" si="365"/>
        <v>0</v>
      </c>
      <c r="BA245" s="225">
        <f t="shared" si="365"/>
        <v>0</v>
      </c>
      <c r="BB245" s="192">
        <v>4</v>
      </c>
      <c r="BC245" s="256" t="s">
        <v>714</v>
      </c>
      <c r="BD245" s="256" t="s">
        <v>693</v>
      </c>
      <c r="BE245" s="256" t="s">
        <v>647</v>
      </c>
      <c r="BF245" s="256" t="s">
        <v>630</v>
      </c>
      <c r="BG245" s="185" t="s">
        <v>5458</v>
      </c>
      <c r="BH245" s="215">
        <f>SUBTOTAL(9,BH246)</f>
        <v>0</v>
      </c>
      <c r="BI245" s="192"/>
      <c r="BJ245" s="256" t="s">
        <v>5459</v>
      </c>
      <c r="BK245" s="256" t="s">
        <v>5457</v>
      </c>
      <c r="BL245" s="238" t="s">
        <v>5460</v>
      </c>
      <c r="BM245" s="215">
        <f>SUBTOTAL(9,BM246)</f>
        <v>0</v>
      </c>
      <c r="BN245" s="160"/>
      <c r="BO245" s="161">
        <f t="shared" si="276"/>
        <v>0</v>
      </c>
      <c r="BP245" s="161"/>
    </row>
    <row r="246" spans="1:68" ht="38.25">
      <c r="A246" s="206" t="s">
        <v>5457</v>
      </c>
      <c r="B246" s="195" t="s">
        <v>5461</v>
      </c>
      <c r="C246" s="196" t="s">
        <v>5462</v>
      </c>
      <c r="D246" s="146" t="s">
        <v>4692</v>
      </c>
      <c r="E246" s="196" t="s">
        <v>5462</v>
      </c>
      <c r="F246" s="150">
        <v>0</v>
      </c>
      <c r="G246" s="209">
        <v>0</v>
      </c>
      <c r="H246" s="209"/>
      <c r="I246" s="209">
        <v>0</v>
      </c>
      <c r="J246" s="150">
        <v>0</v>
      </c>
      <c r="K246" s="150">
        <v>0</v>
      </c>
      <c r="L246" s="150">
        <f t="shared" si="277"/>
        <v>0</v>
      </c>
      <c r="M246" s="150">
        <v>0</v>
      </c>
      <c r="N246" s="150"/>
      <c r="O246" s="150">
        <v>0</v>
      </c>
      <c r="P246" s="150">
        <v>0</v>
      </c>
      <c r="Q246" s="150"/>
      <c r="R246" s="150">
        <f>P246+Q246</f>
        <v>0</v>
      </c>
      <c r="S246" s="150">
        <f t="shared" si="271"/>
        <v>0</v>
      </c>
      <c r="T246" s="150"/>
      <c r="U246" s="150">
        <v>0</v>
      </c>
      <c r="V246" s="199"/>
      <c r="W246" s="150">
        <f>U246+V246</f>
        <v>0</v>
      </c>
      <c r="X246" s="150">
        <v>0</v>
      </c>
      <c r="Y246" s="150"/>
      <c r="Z246" s="150">
        <v>0</v>
      </c>
      <c r="AA246" s="150">
        <f t="shared" si="272"/>
        <v>0</v>
      </c>
      <c r="AB246" s="150">
        <v>0</v>
      </c>
      <c r="AC246" s="199"/>
      <c r="AD246" s="150">
        <f>AB246+AC246</f>
        <v>0</v>
      </c>
      <c r="AE246" s="150">
        <v>0</v>
      </c>
      <c r="AF246" s="169" t="s">
        <v>4680</v>
      </c>
      <c r="AG246" s="201">
        <v>0</v>
      </c>
      <c r="AH246" s="199"/>
      <c r="AI246" s="150">
        <v>0</v>
      </c>
      <c r="AJ246" s="169">
        <f t="shared" si="273"/>
        <v>0</v>
      </c>
      <c r="AK246" s="201">
        <v>0</v>
      </c>
      <c r="AL246" s="199"/>
      <c r="AM246" s="150">
        <f>AK246+AL246</f>
        <v>0</v>
      </c>
      <c r="AN246" s="153">
        <f t="shared" si="274"/>
        <v>0</v>
      </c>
      <c r="AO246" s="154">
        <f t="shared" si="275"/>
        <v>0</v>
      </c>
      <c r="AP246" s="150">
        <v>0</v>
      </c>
      <c r="AQ246" s="201">
        <v>0</v>
      </c>
      <c r="AR246" s="199"/>
      <c r="AS246" s="150">
        <f>AQ246+AR246</f>
        <v>0</v>
      </c>
      <c r="AT246" s="155"/>
      <c r="AU246" s="156">
        <f t="shared" si="268"/>
        <v>0</v>
      </c>
      <c r="AV246" s="156">
        <f t="shared" si="269"/>
        <v>0</v>
      </c>
      <c r="AW246" s="157"/>
      <c r="AX246" s="150">
        <v>0</v>
      </c>
      <c r="AY246" s="150">
        <v>0</v>
      </c>
      <c r="AZ246" s="150"/>
      <c r="BA246" s="150">
        <f t="shared" si="270"/>
        <v>0</v>
      </c>
      <c r="BB246" s="202">
        <v>4</v>
      </c>
      <c r="BC246" s="202" t="s">
        <v>714</v>
      </c>
      <c r="BD246" s="202" t="s">
        <v>693</v>
      </c>
      <c r="BE246" s="202" t="s">
        <v>647</v>
      </c>
      <c r="BF246" s="202" t="s">
        <v>632</v>
      </c>
      <c r="BG246" s="203" t="s">
        <v>5458</v>
      </c>
      <c r="BH246" s="216">
        <f>AS246</f>
        <v>0</v>
      </c>
      <c r="BI246" s="205"/>
      <c r="BJ246" s="206" t="s">
        <v>5459</v>
      </c>
      <c r="BK246" s="206" t="s">
        <v>5457</v>
      </c>
      <c r="BL246" s="207" t="s">
        <v>5460</v>
      </c>
      <c r="BM246" s="208">
        <f>BH246</f>
        <v>0</v>
      </c>
      <c r="BN246" s="160"/>
      <c r="BO246" s="161">
        <f t="shared" si="276"/>
        <v>0</v>
      </c>
      <c r="BP246" s="161"/>
    </row>
    <row r="247" spans="1:68" ht="38.25">
      <c r="A247" s="256" t="s">
        <v>5463</v>
      </c>
      <c r="B247" s="184"/>
      <c r="C247" s="185" t="s">
        <v>5464</v>
      </c>
      <c r="D247" s="146" t="s">
        <v>4692</v>
      </c>
      <c r="E247" s="185" t="s">
        <v>5464</v>
      </c>
      <c r="F247" s="186">
        <v>1236036.1000000001</v>
      </c>
      <c r="G247" s="187">
        <v>73617.89</v>
      </c>
      <c r="H247" s="187">
        <v>1129871.2966666669</v>
      </c>
      <c r="I247" s="187">
        <v>1203489.1866666668</v>
      </c>
      <c r="J247" s="186">
        <f>SUM(J248:J249)</f>
        <v>-720</v>
      </c>
      <c r="K247" s="186">
        <f>SUM(K248:K249)</f>
        <v>720</v>
      </c>
      <c r="L247" s="188">
        <f t="shared" si="277"/>
        <v>0</v>
      </c>
      <c r="M247" s="188">
        <v>9061.7000000000007</v>
      </c>
      <c r="N247" s="188">
        <v>0</v>
      </c>
      <c r="O247" s="188">
        <v>9061.7000000000007</v>
      </c>
      <c r="P247" s="225">
        <f t="shared" ref="P247:AD247" si="366">SUM(P248:P249)</f>
        <v>10498.1</v>
      </c>
      <c r="Q247" s="225">
        <f t="shared" si="366"/>
        <v>0</v>
      </c>
      <c r="R247" s="225">
        <f t="shared" si="366"/>
        <v>10498.1</v>
      </c>
      <c r="S247" s="150">
        <f t="shared" si="271"/>
        <v>13997.466666666667</v>
      </c>
      <c r="T247" s="213"/>
      <c r="U247" s="225">
        <f t="shared" ref="U247:W247" si="367">SUM(U248:U249)</f>
        <v>9418.1</v>
      </c>
      <c r="V247" s="226">
        <f t="shared" si="367"/>
        <v>0</v>
      </c>
      <c r="W247" s="225">
        <f t="shared" si="367"/>
        <v>9418.1</v>
      </c>
      <c r="X247" s="225">
        <v>9418.1</v>
      </c>
      <c r="Y247" s="225">
        <v>0</v>
      </c>
      <c r="Z247" s="225">
        <v>9418.1</v>
      </c>
      <c r="AA247" s="225">
        <f t="shared" si="272"/>
        <v>0</v>
      </c>
      <c r="AB247" s="225">
        <v>9418.1</v>
      </c>
      <c r="AC247" s="226">
        <v>0</v>
      </c>
      <c r="AD247" s="225">
        <f t="shared" si="366"/>
        <v>9418.1</v>
      </c>
      <c r="AE247" s="225">
        <v>9418.1</v>
      </c>
      <c r="AF247" s="169" t="s">
        <v>4680</v>
      </c>
      <c r="AG247" s="212">
        <v>9418.1</v>
      </c>
      <c r="AH247" s="226">
        <v>0</v>
      </c>
      <c r="AI247" s="225">
        <v>9418.1</v>
      </c>
      <c r="AJ247" s="169">
        <f t="shared" si="273"/>
        <v>0</v>
      </c>
      <c r="AK247" s="212">
        <v>9418.1</v>
      </c>
      <c r="AL247" s="226">
        <v>0</v>
      </c>
      <c r="AM247" s="225">
        <f t="shared" ref="AM247" si="368">SUM(AM248:AM249)</f>
        <v>9418.1</v>
      </c>
      <c r="AN247" s="153">
        <f t="shared" si="274"/>
        <v>0</v>
      </c>
      <c r="AO247" s="154">
        <f t="shared" si="275"/>
        <v>0</v>
      </c>
      <c r="AP247" s="225">
        <v>9418.1</v>
      </c>
      <c r="AQ247" s="212">
        <v>9418.1</v>
      </c>
      <c r="AR247" s="226">
        <f t="shared" ref="AR247:AS247" si="369">SUM(AR248:AR249)</f>
        <v>0</v>
      </c>
      <c r="AS247" s="225">
        <f t="shared" si="369"/>
        <v>9418.1</v>
      </c>
      <c r="AT247" s="155"/>
      <c r="AU247" s="156">
        <f t="shared" si="268"/>
        <v>0</v>
      </c>
      <c r="AV247" s="156">
        <f t="shared" si="269"/>
        <v>0</v>
      </c>
      <c r="AW247" s="157"/>
      <c r="AX247" s="150">
        <v>9418.1</v>
      </c>
      <c r="AY247" s="225">
        <f t="shared" ref="AY247:BA247" si="370">SUM(AY248:AY249)</f>
        <v>10498.1</v>
      </c>
      <c r="AZ247" s="225">
        <f t="shared" si="370"/>
        <v>524422.9</v>
      </c>
      <c r="BA247" s="225">
        <f t="shared" si="370"/>
        <v>534921</v>
      </c>
      <c r="BB247" s="192">
        <v>4</v>
      </c>
      <c r="BC247" s="256" t="s">
        <v>714</v>
      </c>
      <c r="BD247" s="256" t="s">
        <v>693</v>
      </c>
      <c r="BE247" s="256" t="s">
        <v>671</v>
      </c>
      <c r="BF247" s="256" t="s">
        <v>630</v>
      </c>
      <c r="BG247" s="185" t="s">
        <v>5464</v>
      </c>
      <c r="BH247" s="215">
        <f>SUBTOTAL(9,BH248)</f>
        <v>9418.1</v>
      </c>
      <c r="BI247" s="192"/>
      <c r="BJ247" s="256" t="s">
        <v>5465</v>
      </c>
      <c r="BK247" s="256" t="s">
        <v>5463</v>
      </c>
      <c r="BL247" s="238" t="s">
        <v>5466</v>
      </c>
      <c r="BM247" s="215">
        <f>SUBTOTAL(9,BM248)</f>
        <v>9418.1</v>
      </c>
      <c r="BN247" s="160"/>
      <c r="BO247" s="161">
        <f t="shared" si="276"/>
        <v>0</v>
      </c>
      <c r="BP247" s="161"/>
    </row>
    <row r="248" spans="1:68" ht="38.25">
      <c r="A248" s="206" t="s">
        <v>5463</v>
      </c>
      <c r="B248" s="195" t="s">
        <v>5467</v>
      </c>
      <c r="C248" s="196" t="s">
        <v>5468</v>
      </c>
      <c r="D248" s="146" t="s">
        <v>4692</v>
      </c>
      <c r="E248" s="196" t="s">
        <v>5468</v>
      </c>
      <c r="F248" s="150">
        <v>1223834.1000000001</v>
      </c>
      <c r="G248" s="209">
        <v>61415.89</v>
      </c>
      <c r="H248" s="209">
        <v>1129871.2966666669</v>
      </c>
      <c r="I248" s="209">
        <v>1191287.1866666668</v>
      </c>
      <c r="J248" s="150">
        <v>-720</v>
      </c>
      <c r="K248" s="150">
        <v>720</v>
      </c>
      <c r="L248" s="150">
        <f t="shared" si="277"/>
        <v>0</v>
      </c>
      <c r="M248" s="150">
        <v>9061.7000000000007</v>
      </c>
      <c r="N248" s="150"/>
      <c r="O248" s="150">
        <v>9061.7000000000007</v>
      </c>
      <c r="P248" s="150">
        <v>10498.1</v>
      </c>
      <c r="Q248" s="150">
        <v>0</v>
      </c>
      <c r="R248" s="150">
        <f>P248+Q248</f>
        <v>10498.1</v>
      </c>
      <c r="S248" s="150">
        <f t="shared" si="271"/>
        <v>13997.466666666667</v>
      </c>
      <c r="T248" s="150"/>
      <c r="U248" s="150">
        <v>9418.1</v>
      </c>
      <c r="V248" s="199"/>
      <c r="W248" s="150">
        <f>U248+V248</f>
        <v>9418.1</v>
      </c>
      <c r="X248" s="150">
        <v>9418.1</v>
      </c>
      <c r="Y248" s="150"/>
      <c r="Z248" s="150">
        <v>9418.1</v>
      </c>
      <c r="AA248" s="150">
        <f t="shared" si="272"/>
        <v>0</v>
      </c>
      <c r="AB248" s="150">
        <v>9418.1</v>
      </c>
      <c r="AC248" s="199"/>
      <c r="AD248" s="150">
        <f>AB248+AC248</f>
        <v>9418.1</v>
      </c>
      <c r="AE248" s="150">
        <v>9418.1</v>
      </c>
      <c r="AF248" s="169" t="s">
        <v>4680</v>
      </c>
      <c r="AG248" s="201">
        <v>9418.1</v>
      </c>
      <c r="AH248" s="199"/>
      <c r="AI248" s="150">
        <v>9418.1</v>
      </c>
      <c r="AJ248" s="169">
        <f t="shared" si="273"/>
        <v>0</v>
      </c>
      <c r="AK248" s="201">
        <v>9418.1</v>
      </c>
      <c r="AL248" s="199"/>
      <c r="AM248" s="150">
        <f>AK248+AL248</f>
        <v>9418.1</v>
      </c>
      <c r="AN248" s="153">
        <f t="shared" si="274"/>
        <v>0</v>
      </c>
      <c r="AO248" s="154">
        <f t="shared" si="275"/>
        <v>0</v>
      </c>
      <c r="AP248" s="150">
        <v>9418.1</v>
      </c>
      <c r="AQ248" s="201">
        <v>9418.1</v>
      </c>
      <c r="AR248" s="199"/>
      <c r="AS248" s="150">
        <f>AQ248+AR248</f>
        <v>9418.1</v>
      </c>
      <c r="AT248" s="155"/>
      <c r="AU248" s="156">
        <f t="shared" si="268"/>
        <v>0</v>
      </c>
      <c r="AV248" s="156">
        <f t="shared" si="269"/>
        <v>0</v>
      </c>
      <c r="AW248" s="157"/>
      <c r="AX248" s="150">
        <v>9418.1</v>
      </c>
      <c r="AY248" s="150">
        <v>10498.1</v>
      </c>
      <c r="AZ248" s="237">
        <f>534921-AY248</f>
        <v>524422.9</v>
      </c>
      <c r="BA248" s="150">
        <f t="shared" si="270"/>
        <v>534921</v>
      </c>
      <c r="BB248" s="202">
        <v>4</v>
      </c>
      <c r="BC248" s="202" t="s">
        <v>714</v>
      </c>
      <c r="BD248" s="202" t="s">
        <v>693</v>
      </c>
      <c r="BE248" s="202" t="s">
        <v>671</v>
      </c>
      <c r="BF248" s="202" t="s">
        <v>632</v>
      </c>
      <c r="BG248" s="203" t="s">
        <v>5464</v>
      </c>
      <c r="BH248" s="216">
        <f>AS248+AS249</f>
        <v>9418.1</v>
      </c>
      <c r="BI248" s="205"/>
      <c r="BJ248" s="206" t="s">
        <v>5465</v>
      </c>
      <c r="BK248" s="206" t="s">
        <v>5463</v>
      </c>
      <c r="BL248" s="207" t="s">
        <v>5466</v>
      </c>
      <c r="BM248" s="208">
        <f>BH248</f>
        <v>9418.1</v>
      </c>
      <c r="BN248" s="160"/>
      <c r="BO248" s="161">
        <f t="shared" si="276"/>
        <v>0</v>
      </c>
      <c r="BP248" s="161"/>
    </row>
    <row r="249" spans="1:68" ht="25.5">
      <c r="A249" s="206"/>
      <c r="B249" s="195" t="s">
        <v>5469</v>
      </c>
      <c r="C249" s="196" t="s">
        <v>5470</v>
      </c>
      <c r="D249" s="146" t="s">
        <v>4692</v>
      </c>
      <c r="E249" s="196" t="s">
        <v>5471</v>
      </c>
      <c r="F249" s="150">
        <v>12202</v>
      </c>
      <c r="G249" s="209">
        <v>12202</v>
      </c>
      <c r="H249" s="209"/>
      <c r="I249" s="209">
        <v>12202</v>
      </c>
      <c r="J249" s="150">
        <v>0</v>
      </c>
      <c r="K249" s="150">
        <v>0</v>
      </c>
      <c r="L249" s="150">
        <f t="shared" si="277"/>
        <v>0</v>
      </c>
      <c r="M249" s="150">
        <v>0</v>
      </c>
      <c r="N249" s="150"/>
      <c r="O249" s="150">
        <v>0</v>
      </c>
      <c r="P249" s="150">
        <v>0</v>
      </c>
      <c r="Q249" s="150"/>
      <c r="R249" s="150">
        <f>P249+Q249</f>
        <v>0</v>
      </c>
      <c r="S249" s="150">
        <f t="shared" si="271"/>
        <v>0</v>
      </c>
      <c r="T249" s="150"/>
      <c r="U249" s="150">
        <v>0</v>
      </c>
      <c r="V249" s="199"/>
      <c r="W249" s="150">
        <f>U249+V249</f>
        <v>0</v>
      </c>
      <c r="X249" s="150">
        <v>0</v>
      </c>
      <c r="Y249" s="150"/>
      <c r="Z249" s="150">
        <v>0</v>
      </c>
      <c r="AA249" s="150">
        <f t="shared" si="272"/>
        <v>0</v>
      </c>
      <c r="AB249" s="150">
        <v>0</v>
      </c>
      <c r="AC249" s="199"/>
      <c r="AD249" s="150">
        <f>AB249+AC249</f>
        <v>0</v>
      </c>
      <c r="AE249" s="150">
        <v>0</v>
      </c>
      <c r="AF249" s="169" t="s">
        <v>4680</v>
      </c>
      <c r="AG249" s="201">
        <v>0</v>
      </c>
      <c r="AH249" s="199"/>
      <c r="AI249" s="150">
        <v>0</v>
      </c>
      <c r="AJ249" s="169">
        <f t="shared" si="273"/>
        <v>0</v>
      </c>
      <c r="AK249" s="201">
        <v>0</v>
      </c>
      <c r="AL249" s="199"/>
      <c r="AM249" s="150">
        <f>AK249+AL249</f>
        <v>0</v>
      </c>
      <c r="AN249" s="153">
        <f t="shared" si="274"/>
        <v>0</v>
      </c>
      <c r="AO249" s="154">
        <f t="shared" si="275"/>
        <v>0</v>
      </c>
      <c r="AP249" s="150">
        <v>0</v>
      </c>
      <c r="AQ249" s="201">
        <v>0</v>
      </c>
      <c r="AR249" s="199"/>
      <c r="AS249" s="150">
        <f>AQ249+AR249</f>
        <v>0</v>
      </c>
      <c r="AT249" s="155"/>
      <c r="AU249" s="156">
        <f t="shared" si="268"/>
        <v>0</v>
      </c>
      <c r="AV249" s="156">
        <f t="shared" si="269"/>
        <v>0</v>
      </c>
      <c r="AW249" s="157"/>
      <c r="AX249" s="150">
        <v>0</v>
      </c>
      <c r="AY249" s="150">
        <v>0</v>
      </c>
      <c r="AZ249" s="237"/>
      <c r="BA249" s="150">
        <f t="shared" si="270"/>
        <v>0</v>
      </c>
      <c r="BB249" s="202"/>
      <c r="BC249" s="202"/>
      <c r="BD249" s="202"/>
      <c r="BE249" s="202"/>
      <c r="BF249" s="202"/>
      <c r="BG249" s="203"/>
      <c r="BH249" s="216"/>
      <c r="BI249" s="205"/>
      <c r="BJ249" s="206"/>
      <c r="BK249" s="206"/>
      <c r="BL249" s="207"/>
      <c r="BM249" s="208"/>
      <c r="BN249" s="160"/>
      <c r="BO249" s="161">
        <f t="shared" si="276"/>
        <v>0</v>
      </c>
      <c r="BP249" s="161"/>
    </row>
    <row r="250" spans="1:68" ht="25.5">
      <c r="A250" s="255" t="s">
        <v>5472</v>
      </c>
      <c r="B250" s="174"/>
      <c r="C250" s="175" t="s">
        <v>5473</v>
      </c>
      <c r="D250" s="146" t="s">
        <v>4692</v>
      </c>
      <c r="E250" s="175" t="s">
        <v>5473</v>
      </c>
      <c r="F250" s="176">
        <v>2989119.4699999997</v>
      </c>
      <c r="G250" s="177">
        <v>1325344.2899999998</v>
      </c>
      <c r="H250" s="177">
        <v>0</v>
      </c>
      <c r="I250" s="177">
        <v>1325344.2899999998</v>
      </c>
      <c r="J250" s="176">
        <f>J251+J255+J257</f>
        <v>317622.40000000002</v>
      </c>
      <c r="K250" s="176">
        <f>K251+K255+K257</f>
        <v>0</v>
      </c>
      <c r="L250" s="176">
        <f t="shared" si="277"/>
        <v>317622.40000000002</v>
      </c>
      <c r="M250" s="178">
        <v>592401.71</v>
      </c>
      <c r="N250" s="178">
        <v>101073.22499999999</v>
      </c>
      <c r="O250" s="178">
        <v>693474.93499999994</v>
      </c>
      <c r="P250" s="221">
        <f t="shared" ref="P250:R250" si="371">P251+P255+P257</f>
        <v>890339.02</v>
      </c>
      <c r="Q250" s="221">
        <f t="shared" si="371"/>
        <v>0</v>
      </c>
      <c r="R250" s="221">
        <f t="shared" si="371"/>
        <v>890339.02</v>
      </c>
      <c r="S250" s="150">
        <f t="shared" si="271"/>
        <v>1187118.6933333334</v>
      </c>
      <c r="T250" s="213"/>
      <c r="U250" s="221">
        <f t="shared" ref="U250:W250" si="372">U251+U255+U257</f>
        <v>1263674.0299999998</v>
      </c>
      <c r="V250" s="222">
        <f t="shared" si="372"/>
        <v>0</v>
      </c>
      <c r="W250" s="221">
        <f t="shared" si="372"/>
        <v>1263674.0299999998</v>
      </c>
      <c r="X250" s="221">
        <v>1263674.0299999998</v>
      </c>
      <c r="Y250" s="221">
        <v>0</v>
      </c>
      <c r="Z250" s="221">
        <v>1263674.0299999998</v>
      </c>
      <c r="AA250" s="221">
        <f t="shared" si="272"/>
        <v>803.4000000001397</v>
      </c>
      <c r="AB250" s="221">
        <v>1264477.43</v>
      </c>
      <c r="AC250" s="222">
        <v>0</v>
      </c>
      <c r="AD250" s="221">
        <f t="shared" ref="AD250" si="373">AD251+AD255+AD257</f>
        <v>1264477.43</v>
      </c>
      <c r="AE250" s="221">
        <v>1264483.43</v>
      </c>
      <c r="AF250" s="169" t="s">
        <v>4680</v>
      </c>
      <c r="AG250" s="223">
        <v>1264483.43</v>
      </c>
      <c r="AH250" s="222">
        <v>0</v>
      </c>
      <c r="AI250" s="221">
        <v>1264483.43</v>
      </c>
      <c r="AJ250" s="169">
        <f t="shared" si="273"/>
        <v>0</v>
      </c>
      <c r="AK250" s="223">
        <v>1264483.43</v>
      </c>
      <c r="AL250" s="222">
        <v>0</v>
      </c>
      <c r="AM250" s="221">
        <f t="shared" ref="AM250" si="374">AM251+AM255+AM257</f>
        <v>1264483.43</v>
      </c>
      <c r="AN250" s="153">
        <f t="shared" si="274"/>
        <v>1923900.9999999998</v>
      </c>
      <c r="AO250" s="154">
        <f t="shared" si="275"/>
        <v>1923900.9999999998</v>
      </c>
      <c r="AP250" s="221">
        <v>1264483.43</v>
      </c>
      <c r="AQ250" s="223">
        <v>3188384.4299999997</v>
      </c>
      <c r="AR250" s="222">
        <f t="shared" ref="AR250:AS250" si="375">AR251+AR255+AR257</f>
        <v>0</v>
      </c>
      <c r="AS250" s="221">
        <f t="shared" si="375"/>
        <v>3188384.4299999997</v>
      </c>
      <c r="AT250" s="155"/>
      <c r="AU250" s="156">
        <f t="shared" si="268"/>
        <v>6</v>
      </c>
      <c r="AV250" s="156">
        <f t="shared" si="269"/>
        <v>803.4000000001397</v>
      </c>
      <c r="AW250" s="157"/>
      <c r="AX250" s="150">
        <v>1263674.0299999998</v>
      </c>
      <c r="AY250" s="221">
        <f t="shared" ref="AY250:BA250" si="376">AY251+AY255+AY257</f>
        <v>614246.34</v>
      </c>
      <c r="AZ250" s="221">
        <f t="shared" si="376"/>
        <v>440560.40666666668</v>
      </c>
      <c r="BA250" s="221">
        <f t="shared" si="376"/>
        <v>1054806.7466666666</v>
      </c>
      <c r="BB250" s="254">
        <v>4</v>
      </c>
      <c r="BC250" s="255" t="s">
        <v>714</v>
      </c>
      <c r="BD250" s="255" t="s">
        <v>714</v>
      </c>
      <c r="BE250" s="173" t="s">
        <v>630</v>
      </c>
      <c r="BF250" s="255" t="s">
        <v>630</v>
      </c>
      <c r="BG250" s="175" t="s">
        <v>5473</v>
      </c>
      <c r="BH250" s="224">
        <f>BH251+BH255+BH257</f>
        <v>3188384.4299999997</v>
      </c>
      <c r="BI250" s="254"/>
      <c r="BJ250" s="255" t="s">
        <v>5474</v>
      </c>
      <c r="BK250" s="255" t="s">
        <v>5472</v>
      </c>
      <c r="BL250" s="182" t="s">
        <v>5475</v>
      </c>
      <c r="BM250" s="224">
        <f>BM251+BM255+BM257</f>
        <v>3188384.4299999997</v>
      </c>
      <c r="BN250" s="160"/>
      <c r="BO250" s="161">
        <f t="shared" si="276"/>
        <v>0</v>
      </c>
      <c r="BP250" s="161"/>
    </row>
    <row r="251" spans="1:68" ht="25.5">
      <c r="A251" s="256" t="s">
        <v>5476</v>
      </c>
      <c r="B251" s="184"/>
      <c r="C251" s="185" t="s">
        <v>5477</v>
      </c>
      <c r="D251" s="146" t="s">
        <v>4692</v>
      </c>
      <c r="E251" s="185" t="s">
        <v>5477</v>
      </c>
      <c r="F251" s="186">
        <v>1647205</v>
      </c>
      <c r="G251" s="187">
        <v>0</v>
      </c>
      <c r="H251" s="187">
        <v>0</v>
      </c>
      <c r="I251" s="187">
        <v>0</v>
      </c>
      <c r="J251" s="186">
        <f>SUBTOTAL(9,J252:J254)</f>
        <v>0</v>
      </c>
      <c r="K251" s="186">
        <f>SUBTOTAL(9,K252:K254)</f>
        <v>0</v>
      </c>
      <c r="L251" s="186">
        <f t="shared" si="277"/>
        <v>0</v>
      </c>
      <c r="M251" s="188">
        <v>0</v>
      </c>
      <c r="N251" s="188">
        <v>0</v>
      </c>
      <c r="O251" s="188">
        <v>0</v>
      </c>
      <c r="P251" s="225">
        <f t="shared" ref="P251:R251" si="377">SUBTOTAL(9,P252:P254)</f>
        <v>0</v>
      </c>
      <c r="Q251" s="225">
        <f t="shared" si="377"/>
        <v>0</v>
      </c>
      <c r="R251" s="225">
        <f t="shared" si="377"/>
        <v>0</v>
      </c>
      <c r="S251" s="150">
        <f t="shared" si="271"/>
        <v>0</v>
      </c>
      <c r="T251" s="213"/>
      <c r="U251" s="225">
        <f t="shared" ref="U251:W251" si="378">SUBTOTAL(9,U252:U254)</f>
        <v>0</v>
      </c>
      <c r="V251" s="226">
        <f t="shared" si="378"/>
        <v>0</v>
      </c>
      <c r="W251" s="225">
        <f t="shared" si="378"/>
        <v>0</v>
      </c>
      <c r="X251" s="225">
        <v>0</v>
      </c>
      <c r="Y251" s="225">
        <v>0</v>
      </c>
      <c r="Z251" s="225">
        <v>0</v>
      </c>
      <c r="AA251" s="225">
        <f t="shared" si="272"/>
        <v>0</v>
      </c>
      <c r="AB251" s="225">
        <v>0</v>
      </c>
      <c r="AC251" s="226">
        <v>0</v>
      </c>
      <c r="AD251" s="225">
        <f t="shared" ref="AD251" si="379">SUBTOTAL(9,AD252:AD254)</f>
        <v>0</v>
      </c>
      <c r="AE251" s="225">
        <v>0</v>
      </c>
      <c r="AF251" s="169" t="s">
        <v>4680</v>
      </c>
      <c r="AG251" s="212">
        <v>0</v>
      </c>
      <c r="AH251" s="226">
        <v>0</v>
      </c>
      <c r="AI251" s="225">
        <v>0</v>
      </c>
      <c r="AJ251" s="169">
        <f t="shared" si="273"/>
        <v>0</v>
      </c>
      <c r="AK251" s="212">
        <v>0</v>
      </c>
      <c r="AL251" s="226">
        <v>0</v>
      </c>
      <c r="AM251" s="225">
        <f t="shared" ref="AM251" si="380">SUBTOTAL(9,AM252:AM254)</f>
        <v>0</v>
      </c>
      <c r="AN251" s="153">
        <f t="shared" si="274"/>
        <v>1923901</v>
      </c>
      <c r="AO251" s="154">
        <f t="shared" si="275"/>
        <v>1923901</v>
      </c>
      <c r="AP251" s="225">
        <v>0</v>
      </c>
      <c r="AQ251" s="212">
        <v>1923901</v>
      </c>
      <c r="AR251" s="226">
        <f t="shared" ref="AR251" si="381">SUBTOTAL(9,AR252:AR254)</f>
        <v>0</v>
      </c>
      <c r="AS251" s="225">
        <f>SUBTOTAL(9,AS252:AS254)</f>
        <v>1923901</v>
      </c>
      <c r="AT251" s="155"/>
      <c r="AU251" s="156">
        <f t="shared" si="268"/>
        <v>0</v>
      </c>
      <c r="AV251" s="156">
        <f t="shared" si="269"/>
        <v>0</v>
      </c>
      <c r="AW251" s="157"/>
      <c r="AX251" s="150">
        <v>0</v>
      </c>
      <c r="AY251" s="225">
        <f t="shared" ref="AY251:BA251" si="382">SUBTOTAL(9,AY252:AY254)</f>
        <v>0</v>
      </c>
      <c r="AZ251" s="225">
        <f t="shared" si="382"/>
        <v>0</v>
      </c>
      <c r="BA251" s="225">
        <f t="shared" si="382"/>
        <v>0</v>
      </c>
      <c r="BB251" s="192">
        <v>4</v>
      </c>
      <c r="BC251" s="256" t="s">
        <v>714</v>
      </c>
      <c r="BD251" s="256" t="s">
        <v>714</v>
      </c>
      <c r="BE251" s="256" t="s">
        <v>632</v>
      </c>
      <c r="BF251" s="256" t="s">
        <v>630</v>
      </c>
      <c r="BG251" s="185" t="s">
        <v>5477</v>
      </c>
      <c r="BH251" s="215">
        <f>SUBTOTAL(9,BH252:BH254)</f>
        <v>1923901</v>
      </c>
      <c r="BI251" s="192"/>
      <c r="BJ251" s="192" t="s">
        <v>5478</v>
      </c>
      <c r="BK251" s="256" t="s">
        <v>5476</v>
      </c>
      <c r="BL251" s="185" t="s">
        <v>5479</v>
      </c>
      <c r="BM251" s="215">
        <f>SUBTOTAL(9,BM252:BM254)</f>
        <v>1923901</v>
      </c>
      <c r="BN251" s="160"/>
      <c r="BO251" s="161">
        <f t="shared" si="276"/>
        <v>0</v>
      </c>
      <c r="BP251" s="161"/>
    </row>
    <row r="252" spans="1:68" ht="38.25">
      <c r="A252" s="206" t="s">
        <v>5480</v>
      </c>
      <c r="B252" s="195" t="s">
        <v>5481</v>
      </c>
      <c r="C252" s="196" t="s">
        <v>5482</v>
      </c>
      <c r="D252" s="146" t="s">
        <v>4692</v>
      </c>
      <c r="E252" s="196" t="s">
        <v>5482</v>
      </c>
      <c r="F252" s="150">
        <v>0</v>
      </c>
      <c r="G252" s="209">
        <v>0</v>
      </c>
      <c r="H252" s="209"/>
      <c r="I252" s="209">
        <v>0</v>
      </c>
      <c r="J252" s="150">
        <v>0</v>
      </c>
      <c r="K252" s="150">
        <v>0</v>
      </c>
      <c r="L252" s="150">
        <f t="shared" si="277"/>
        <v>0</v>
      </c>
      <c r="M252" s="150">
        <v>0</v>
      </c>
      <c r="N252" s="150"/>
      <c r="O252" s="150">
        <v>0</v>
      </c>
      <c r="P252" s="150">
        <v>0</v>
      </c>
      <c r="Q252" s="150"/>
      <c r="R252" s="150">
        <f>P252+Q252</f>
        <v>0</v>
      </c>
      <c r="S252" s="150">
        <f t="shared" si="271"/>
        <v>0</v>
      </c>
      <c r="T252" s="150"/>
      <c r="U252" s="150">
        <v>0</v>
      </c>
      <c r="V252" s="199"/>
      <c r="W252" s="150">
        <f>U252+V252</f>
        <v>0</v>
      </c>
      <c r="X252" s="150">
        <v>0</v>
      </c>
      <c r="Y252" s="150"/>
      <c r="Z252" s="150">
        <v>0</v>
      </c>
      <c r="AA252" s="150">
        <f t="shared" si="272"/>
        <v>0</v>
      </c>
      <c r="AB252" s="150">
        <v>0</v>
      </c>
      <c r="AC252" s="199"/>
      <c r="AD252" s="150">
        <f>AB252+AC252</f>
        <v>0</v>
      </c>
      <c r="AE252" s="150">
        <v>0</v>
      </c>
      <c r="AF252" s="169" t="s">
        <v>4680</v>
      </c>
      <c r="AG252" s="201">
        <v>0</v>
      </c>
      <c r="AH252" s="199"/>
      <c r="AI252" s="150">
        <v>0</v>
      </c>
      <c r="AJ252" s="169">
        <f t="shared" si="273"/>
        <v>0</v>
      </c>
      <c r="AK252" s="201">
        <v>0</v>
      </c>
      <c r="AL252" s="199"/>
      <c r="AM252" s="150">
        <f>AK252+AL252</f>
        <v>0</v>
      </c>
      <c r="AN252" s="153">
        <f t="shared" si="274"/>
        <v>0</v>
      </c>
      <c r="AO252" s="154">
        <f t="shared" si="275"/>
        <v>0</v>
      </c>
      <c r="AP252" s="150">
        <v>0</v>
      </c>
      <c r="AQ252" s="201">
        <v>0</v>
      </c>
      <c r="AR252" s="199"/>
      <c r="AS252" s="150">
        <f>AQ252+AR252</f>
        <v>0</v>
      </c>
      <c r="AT252" s="155"/>
      <c r="AU252" s="156">
        <f t="shared" si="268"/>
        <v>0</v>
      </c>
      <c r="AV252" s="156">
        <f t="shared" si="269"/>
        <v>0</v>
      </c>
      <c r="AW252" s="157"/>
      <c r="AX252" s="150">
        <v>0</v>
      </c>
      <c r="AY252" s="150">
        <v>0</v>
      </c>
      <c r="AZ252" s="150"/>
      <c r="BA252" s="150">
        <f t="shared" si="270"/>
        <v>0</v>
      </c>
      <c r="BB252" s="202">
        <v>4</v>
      </c>
      <c r="BC252" s="202" t="s">
        <v>714</v>
      </c>
      <c r="BD252" s="202" t="s">
        <v>714</v>
      </c>
      <c r="BE252" s="202" t="s">
        <v>632</v>
      </c>
      <c r="BF252" s="202" t="s">
        <v>632</v>
      </c>
      <c r="BG252" s="203" t="s">
        <v>5483</v>
      </c>
      <c r="BH252" s="216">
        <f>AS252</f>
        <v>0</v>
      </c>
      <c r="BI252" s="205"/>
      <c r="BJ252" s="206" t="s">
        <v>5484</v>
      </c>
      <c r="BK252" s="206" t="s">
        <v>5480</v>
      </c>
      <c r="BL252" s="207" t="s">
        <v>5485</v>
      </c>
      <c r="BM252" s="208">
        <f>BH252</f>
        <v>0</v>
      </c>
      <c r="BN252" s="160"/>
      <c r="BO252" s="161">
        <f t="shared" si="276"/>
        <v>0</v>
      </c>
      <c r="BP252" s="161"/>
    </row>
    <row r="253" spans="1:68" ht="38.25">
      <c r="A253" s="206" t="s">
        <v>5486</v>
      </c>
      <c r="B253" s="195" t="s">
        <v>5487</v>
      </c>
      <c r="C253" s="196" t="s">
        <v>5488</v>
      </c>
      <c r="D253" s="146" t="s">
        <v>4692</v>
      </c>
      <c r="E253" s="196" t="s">
        <v>5488</v>
      </c>
      <c r="F253" s="150">
        <v>1162316</v>
      </c>
      <c r="G253" s="209">
        <v>0</v>
      </c>
      <c r="H253" s="209"/>
      <c r="I253" s="209">
        <v>0</v>
      </c>
      <c r="J253" s="150">
        <v>0</v>
      </c>
      <c r="K253" s="150">
        <v>0</v>
      </c>
      <c r="L253" s="150">
        <f t="shared" si="277"/>
        <v>0</v>
      </c>
      <c r="M253" s="150">
        <v>0</v>
      </c>
      <c r="N253" s="150"/>
      <c r="O253" s="150">
        <v>0</v>
      </c>
      <c r="P253" s="150">
        <v>0</v>
      </c>
      <c r="Q253" s="150"/>
      <c r="R253" s="150">
        <f>P253+Q253</f>
        <v>0</v>
      </c>
      <c r="S253" s="150">
        <f t="shared" si="271"/>
        <v>0</v>
      </c>
      <c r="T253" s="150"/>
      <c r="U253" s="150">
        <v>0</v>
      </c>
      <c r="V253" s="199"/>
      <c r="W253" s="150">
        <f>U253+V253</f>
        <v>0</v>
      </c>
      <c r="X253" s="150">
        <v>0</v>
      </c>
      <c r="Y253" s="150"/>
      <c r="Z253" s="150">
        <v>0</v>
      </c>
      <c r="AA253" s="150">
        <f t="shared" si="272"/>
        <v>0</v>
      </c>
      <c r="AB253" s="150">
        <v>0</v>
      </c>
      <c r="AC253" s="199"/>
      <c r="AD253" s="150">
        <f>AB253+AC253</f>
        <v>0</v>
      </c>
      <c r="AE253" s="150">
        <v>0</v>
      </c>
      <c r="AF253" s="169" t="s">
        <v>4680</v>
      </c>
      <c r="AG253" s="201">
        <v>0</v>
      </c>
      <c r="AH253" s="199"/>
      <c r="AI253" s="150">
        <v>0</v>
      </c>
      <c r="AJ253" s="169">
        <f t="shared" si="273"/>
        <v>0</v>
      </c>
      <c r="AK253" s="201">
        <v>0</v>
      </c>
      <c r="AL253" s="199"/>
      <c r="AM253" s="150">
        <f>AK253+AL253</f>
        <v>0</v>
      </c>
      <c r="AN253" s="153">
        <f t="shared" si="274"/>
        <v>1624274</v>
      </c>
      <c r="AO253" s="154">
        <f t="shared" si="275"/>
        <v>1624274</v>
      </c>
      <c r="AP253" s="150">
        <v>0</v>
      </c>
      <c r="AQ253" s="201">
        <v>1624274</v>
      </c>
      <c r="AR253" s="264"/>
      <c r="AS253" s="150">
        <f>AQ253+AR253</f>
        <v>1624274</v>
      </c>
      <c r="AT253" s="155" t="s">
        <v>5489</v>
      </c>
      <c r="AU253" s="156">
        <f t="shared" si="268"/>
        <v>0</v>
      </c>
      <c r="AV253" s="156">
        <f t="shared" si="269"/>
        <v>0</v>
      </c>
      <c r="AW253" s="157"/>
      <c r="AX253" s="150">
        <v>0</v>
      </c>
      <c r="AY253" s="150">
        <v>0</v>
      </c>
      <c r="AZ253" s="237"/>
      <c r="BA253" s="150">
        <f t="shared" si="270"/>
        <v>0</v>
      </c>
      <c r="BB253" s="202">
        <v>4</v>
      </c>
      <c r="BC253" s="202" t="s">
        <v>714</v>
      </c>
      <c r="BD253" s="202" t="s">
        <v>714</v>
      </c>
      <c r="BE253" s="202" t="s">
        <v>632</v>
      </c>
      <c r="BF253" s="202" t="s">
        <v>647</v>
      </c>
      <c r="BG253" s="203" t="s">
        <v>5488</v>
      </c>
      <c r="BH253" s="216">
        <f>AS253</f>
        <v>1624274</v>
      </c>
      <c r="BI253" s="205"/>
      <c r="BJ253" s="206" t="s">
        <v>5490</v>
      </c>
      <c r="BK253" s="206" t="s">
        <v>5486</v>
      </c>
      <c r="BL253" s="207" t="s">
        <v>5491</v>
      </c>
      <c r="BM253" s="208">
        <f>BH253</f>
        <v>1624274</v>
      </c>
      <c r="BN253" s="160"/>
      <c r="BO253" s="161">
        <f t="shared" si="276"/>
        <v>0</v>
      </c>
      <c r="BP253" s="161"/>
    </row>
    <row r="254" spans="1:68">
      <c r="A254" s="206" t="s">
        <v>5492</v>
      </c>
      <c r="B254" s="195" t="s">
        <v>5493</v>
      </c>
      <c r="C254" s="196" t="s">
        <v>5494</v>
      </c>
      <c r="D254" s="146" t="s">
        <v>4692</v>
      </c>
      <c r="E254" s="196" t="s">
        <v>5494</v>
      </c>
      <c r="F254" s="150">
        <v>484889</v>
      </c>
      <c r="G254" s="209">
        <v>0</v>
      </c>
      <c r="H254" s="209"/>
      <c r="I254" s="209">
        <v>0</v>
      </c>
      <c r="J254" s="150">
        <v>0</v>
      </c>
      <c r="K254" s="150">
        <v>0</v>
      </c>
      <c r="L254" s="150">
        <f t="shared" si="277"/>
        <v>0</v>
      </c>
      <c r="M254" s="150">
        <v>0</v>
      </c>
      <c r="N254" s="150"/>
      <c r="O254" s="150">
        <v>0</v>
      </c>
      <c r="P254" s="150">
        <v>0</v>
      </c>
      <c r="Q254" s="150"/>
      <c r="R254" s="150">
        <f>P254+Q254</f>
        <v>0</v>
      </c>
      <c r="S254" s="150">
        <f t="shared" si="271"/>
        <v>0</v>
      </c>
      <c r="T254" s="150"/>
      <c r="U254" s="150">
        <v>0</v>
      </c>
      <c r="V254" s="199"/>
      <c r="W254" s="150">
        <f>U254+V254</f>
        <v>0</v>
      </c>
      <c r="X254" s="150">
        <v>0</v>
      </c>
      <c r="Y254" s="150"/>
      <c r="Z254" s="150">
        <v>0</v>
      </c>
      <c r="AA254" s="150">
        <f t="shared" si="272"/>
        <v>0</v>
      </c>
      <c r="AB254" s="150">
        <v>0</v>
      </c>
      <c r="AC254" s="199"/>
      <c r="AD254" s="150">
        <f>AB254+AC254</f>
        <v>0</v>
      </c>
      <c r="AE254" s="150">
        <v>0</v>
      </c>
      <c r="AF254" s="169" t="s">
        <v>4680</v>
      </c>
      <c r="AG254" s="201">
        <v>0</v>
      </c>
      <c r="AH254" s="199"/>
      <c r="AI254" s="150">
        <v>0</v>
      </c>
      <c r="AJ254" s="169">
        <f t="shared" si="273"/>
        <v>0</v>
      </c>
      <c r="AK254" s="201">
        <v>0</v>
      </c>
      <c r="AL254" s="199"/>
      <c r="AM254" s="150">
        <f>AK254+AL254</f>
        <v>0</v>
      </c>
      <c r="AN254" s="153">
        <f t="shared" si="274"/>
        <v>299627</v>
      </c>
      <c r="AO254" s="154">
        <f t="shared" si="275"/>
        <v>299627</v>
      </c>
      <c r="AP254" s="150">
        <v>0</v>
      </c>
      <c r="AQ254" s="201">
        <v>299627</v>
      </c>
      <c r="AR254" s="264"/>
      <c r="AS254" s="150">
        <f>AQ254+AR254</f>
        <v>299627</v>
      </c>
      <c r="AT254" s="155" t="s">
        <v>5489</v>
      </c>
      <c r="AU254" s="156">
        <f t="shared" si="268"/>
        <v>0</v>
      </c>
      <c r="AV254" s="156">
        <f t="shared" si="269"/>
        <v>0</v>
      </c>
      <c r="AW254" s="157"/>
      <c r="AX254" s="150">
        <v>0</v>
      </c>
      <c r="AY254" s="150">
        <v>0</v>
      </c>
      <c r="AZ254" s="237"/>
      <c r="BA254" s="150">
        <f t="shared" si="270"/>
        <v>0</v>
      </c>
      <c r="BB254" s="202">
        <v>4</v>
      </c>
      <c r="BC254" s="202" t="s">
        <v>714</v>
      </c>
      <c r="BD254" s="202" t="s">
        <v>714</v>
      </c>
      <c r="BE254" s="202" t="s">
        <v>632</v>
      </c>
      <c r="BF254" s="202" t="s">
        <v>671</v>
      </c>
      <c r="BG254" s="203" t="s">
        <v>5494</v>
      </c>
      <c r="BH254" s="216">
        <f>AS254</f>
        <v>299627</v>
      </c>
      <c r="BI254" s="205"/>
      <c r="BJ254" s="206" t="s">
        <v>5495</v>
      </c>
      <c r="BK254" s="206" t="s">
        <v>5492</v>
      </c>
      <c r="BL254" s="207" t="s">
        <v>5496</v>
      </c>
      <c r="BM254" s="208">
        <f>BH254</f>
        <v>299627</v>
      </c>
      <c r="BN254" s="160"/>
      <c r="BO254" s="161">
        <f t="shared" si="276"/>
        <v>0</v>
      </c>
      <c r="BP254" s="161"/>
    </row>
    <row r="255" spans="1:68" ht="25.5">
      <c r="A255" s="256" t="s">
        <v>5497</v>
      </c>
      <c r="B255" s="184"/>
      <c r="C255" s="185" t="s">
        <v>5477</v>
      </c>
      <c r="D255" s="146" t="s">
        <v>4692</v>
      </c>
      <c r="E255" s="185" t="s">
        <v>5477</v>
      </c>
      <c r="F255" s="186">
        <v>0</v>
      </c>
      <c r="G255" s="187">
        <v>0</v>
      </c>
      <c r="H255" s="187">
        <v>0</v>
      </c>
      <c r="I255" s="187">
        <v>0</v>
      </c>
      <c r="J255" s="186">
        <f>SUBTOTAL(9,J256)</f>
        <v>0</v>
      </c>
      <c r="K255" s="186">
        <f>SUBTOTAL(9,K256)</f>
        <v>0</v>
      </c>
      <c r="L255" s="186">
        <f t="shared" si="277"/>
        <v>0</v>
      </c>
      <c r="M255" s="188">
        <v>0</v>
      </c>
      <c r="N255" s="188">
        <v>0</v>
      </c>
      <c r="O255" s="188">
        <v>0</v>
      </c>
      <c r="P255" s="225">
        <f t="shared" ref="P255:AS255" si="383">SUBTOTAL(9,P256)</f>
        <v>0</v>
      </c>
      <c r="Q255" s="225">
        <f t="shared" si="383"/>
        <v>0</v>
      </c>
      <c r="R255" s="225">
        <f t="shared" si="383"/>
        <v>0</v>
      </c>
      <c r="S255" s="150">
        <f t="shared" si="271"/>
        <v>0</v>
      </c>
      <c r="T255" s="213"/>
      <c r="U255" s="225">
        <f t="shared" ref="U255:W255" si="384">SUBTOTAL(9,U256)</f>
        <v>0</v>
      </c>
      <c r="V255" s="226">
        <f t="shared" si="384"/>
        <v>0</v>
      </c>
      <c r="W255" s="225">
        <f t="shared" si="384"/>
        <v>0</v>
      </c>
      <c r="X255" s="225">
        <v>0</v>
      </c>
      <c r="Y255" s="225">
        <v>0</v>
      </c>
      <c r="Z255" s="225">
        <v>0</v>
      </c>
      <c r="AA255" s="225">
        <f t="shared" si="272"/>
        <v>0</v>
      </c>
      <c r="AB255" s="225">
        <v>0</v>
      </c>
      <c r="AC255" s="226">
        <v>0</v>
      </c>
      <c r="AD255" s="225">
        <f t="shared" si="383"/>
        <v>0</v>
      </c>
      <c r="AE255" s="225">
        <v>0</v>
      </c>
      <c r="AF255" s="169" t="s">
        <v>4680</v>
      </c>
      <c r="AG255" s="212">
        <v>0</v>
      </c>
      <c r="AH255" s="226">
        <v>0</v>
      </c>
      <c r="AI255" s="225">
        <v>0</v>
      </c>
      <c r="AJ255" s="169">
        <f t="shared" si="273"/>
        <v>0</v>
      </c>
      <c r="AK255" s="212">
        <v>0</v>
      </c>
      <c r="AL255" s="226">
        <v>0</v>
      </c>
      <c r="AM255" s="225">
        <f t="shared" si="383"/>
        <v>0</v>
      </c>
      <c r="AN255" s="153">
        <f t="shared" si="274"/>
        <v>0</v>
      </c>
      <c r="AO255" s="154">
        <f t="shared" si="275"/>
        <v>0</v>
      </c>
      <c r="AP255" s="225">
        <v>0</v>
      </c>
      <c r="AQ255" s="212">
        <v>0</v>
      </c>
      <c r="AR255" s="226">
        <f t="shared" si="383"/>
        <v>0</v>
      </c>
      <c r="AS255" s="225">
        <f t="shared" si="383"/>
        <v>0</v>
      </c>
      <c r="AT255" s="155"/>
      <c r="AU255" s="156">
        <f t="shared" si="268"/>
        <v>0</v>
      </c>
      <c r="AV255" s="156">
        <f t="shared" si="269"/>
        <v>0</v>
      </c>
      <c r="AW255" s="157"/>
      <c r="AX255" s="150">
        <v>0</v>
      </c>
      <c r="AY255" s="225">
        <f t="shared" ref="AY255:BA255" si="385">SUBTOTAL(9,AY256)</f>
        <v>0</v>
      </c>
      <c r="AZ255" s="225">
        <f t="shared" si="385"/>
        <v>0</v>
      </c>
      <c r="BA255" s="225">
        <f t="shared" si="385"/>
        <v>0</v>
      </c>
      <c r="BB255" s="192">
        <v>4</v>
      </c>
      <c r="BC255" s="256" t="s">
        <v>714</v>
      </c>
      <c r="BD255" s="256" t="s">
        <v>714</v>
      </c>
      <c r="BE255" s="256" t="s">
        <v>671</v>
      </c>
      <c r="BF255" s="256" t="s">
        <v>630</v>
      </c>
      <c r="BG255" s="185" t="s">
        <v>5477</v>
      </c>
      <c r="BH255" s="215">
        <f>SUBTOTAL(9,BH256)</f>
        <v>0</v>
      </c>
      <c r="BI255" s="192"/>
      <c r="BJ255" s="192" t="s">
        <v>5498</v>
      </c>
      <c r="BK255" s="256" t="s">
        <v>5497</v>
      </c>
      <c r="BL255" s="185" t="s">
        <v>5499</v>
      </c>
      <c r="BM255" s="215">
        <f>SUBTOTAL(9,BM256)</f>
        <v>0</v>
      </c>
      <c r="BN255" s="160"/>
      <c r="BO255" s="161">
        <f t="shared" si="276"/>
        <v>0</v>
      </c>
      <c r="BP255" s="161"/>
    </row>
    <row r="256" spans="1:68" ht="25.5">
      <c r="A256" s="206" t="s">
        <v>5497</v>
      </c>
      <c r="B256" s="195" t="s">
        <v>5500</v>
      </c>
      <c r="C256" s="196" t="s">
        <v>5501</v>
      </c>
      <c r="D256" s="146" t="s">
        <v>4692</v>
      </c>
      <c r="E256" s="196" t="s">
        <v>5501</v>
      </c>
      <c r="F256" s="150">
        <v>0</v>
      </c>
      <c r="G256" s="209">
        <v>0</v>
      </c>
      <c r="H256" s="209"/>
      <c r="I256" s="209">
        <v>0</v>
      </c>
      <c r="J256" s="150">
        <v>0</v>
      </c>
      <c r="K256" s="150">
        <v>0</v>
      </c>
      <c r="L256" s="150">
        <f t="shared" si="277"/>
        <v>0</v>
      </c>
      <c r="M256" s="150">
        <v>0</v>
      </c>
      <c r="N256" s="150"/>
      <c r="O256" s="150">
        <v>0</v>
      </c>
      <c r="P256" s="150">
        <v>0</v>
      </c>
      <c r="Q256" s="150"/>
      <c r="R256" s="150">
        <f>P256+Q256</f>
        <v>0</v>
      </c>
      <c r="S256" s="150">
        <f t="shared" si="271"/>
        <v>0</v>
      </c>
      <c r="T256" s="150"/>
      <c r="U256" s="150">
        <v>0</v>
      </c>
      <c r="V256" s="199"/>
      <c r="W256" s="150">
        <f>U256+V256</f>
        <v>0</v>
      </c>
      <c r="X256" s="150">
        <v>0</v>
      </c>
      <c r="Y256" s="150"/>
      <c r="Z256" s="150">
        <v>0</v>
      </c>
      <c r="AA256" s="150">
        <f t="shared" si="272"/>
        <v>0</v>
      </c>
      <c r="AB256" s="150">
        <v>0</v>
      </c>
      <c r="AC256" s="199"/>
      <c r="AD256" s="150">
        <f>AB256+AC256</f>
        <v>0</v>
      </c>
      <c r="AE256" s="150">
        <v>0</v>
      </c>
      <c r="AF256" s="169" t="s">
        <v>4680</v>
      </c>
      <c r="AG256" s="201">
        <v>0</v>
      </c>
      <c r="AH256" s="199"/>
      <c r="AI256" s="150">
        <v>0</v>
      </c>
      <c r="AJ256" s="169">
        <f t="shared" si="273"/>
        <v>0</v>
      </c>
      <c r="AK256" s="201">
        <v>0</v>
      </c>
      <c r="AL256" s="199"/>
      <c r="AM256" s="150">
        <f>AK256+AL256</f>
        <v>0</v>
      </c>
      <c r="AN256" s="153">
        <f t="shared" si="274"/>
        <v>0</v>
      </c>
      <c r="AO256" s="154">
        <f t="shared" si="275"/>
        <v>0</v>
      </c>
      <c r="AP256" s="150">
        <v>0</v>
      </c>
      <c r="AQ256" s="201">
        <v>0</v>
      </c>
      <c r="AR256" s="199"/>
      <c r="AS256" s="150">
        <f>AQ256+AR256</f>
        <v>0</v>
      </c>
      <c r="AT256" s="155"/>
      <c r="AU256" s="156">
        <f t="shared" si="268"/>
        <v>0</v>
      </c>
      <c r="AV256" s="156">
        <f t="shared" si="269"/>
        <v>0</v>
      </c>
      <c r="AW256" s="157"/>
      <c r="AX256" s="150">
        <v>0</v>
      </c>
      <c r="AY256" s="150">
        <v>0</v>
      </c>
      <c r="AZ256" s="150"/>
      <c r="BA256" s="150">
        <f t="shared" si="270"/>
        <v>0</v>
      </c>
      <c r="BB256" s="202">
        <v>4</v>
      </c>
      <c r="BC256" s="202" t="s">
        <v>714</v>
      </c>
      <c r="BD256" s="202" t="s">
        <v>714</v>
      </c>
      <c r="BE256" s="194" t="s">
        <v>671</v>
      </c>
      <c r="BF256" s="202" t="s">
        <v>632</v>
      </c>
      <c r="BG256" s="203" t="s">
        <v>5501</v>
      </c>
      <c r="BH256" s="216">
        <f>AS256</f>
        <v>0</v>
      </c>
      <c r="BI256" s="205"/>
      <c r="BJ256" s="206" t="s">
        <v>5502</v>
      </c>
      <c r="BK256" s="206" t="s">
        <v>5497</v>
      </c>
      <c r="BL256" s="207" t="s">
        <v>5499</v>
      </c>
      <c r="BM256" s="208">
        <f>BH256</f>
        <v>0</v>
      </c>
      <c r="BN256" s="160"/>
      <c r="BO256" s="161">
        <f t="shared" si="276"/>
        <v>0</v>
      </c>
      <c r="BP256" s="161"/>
    </row>
    <row r="257" spans="1:68" ht="25.5">
      <c r="A257" s="256" t="s">
        <v>5503</v>
      </c>
      <c r="B257" s="184"/>
      <c r="C257" s="185" t="s">
        <v>5504</v>
      </c>
      <c r="D257" s="146" t="s">
        <v>4692</v>
      </c>
      <c r="E257" s="185" t="s">
        <v>5504</v>
      </c>
      <c r="F257" s="186">
        <v>1341914.47</v>
      </c>
      <c r="G257" s="187">
        <v>1325344.2899999998</v>
      </c>
      <c r="H257" s="187">
        <v>0</v>
      </c>
      <c r="I257" s="187">
        <v>1325344.2899999998</v>
      </c>
      <c r="J257" s="186">
        <f>SUBTOTAL(9,J258:J265)</f>
        <v>317622.40000000002</v>
      </c>
      <c r="K257" s="186">
        <f>SUBTOTAL(9,K258:K265)</f>
        <v>0</v>
      </c>
      <c r="L257" s="186">
        <f t="shared" si="277"/>
        <v>317622.40000000002</v>
      </c>
      <c r="M257" s="188">
        <v>592401.71</v>
      </c>
      <c r="N257" s="188">
        <v>101073.22499999999</v>
      </c>
      <c r="O257" s="188">
        <v>693474.93499999994</v>
      </c>
      <c r="P257" s="225">
        <f t="shared" ref="P257:AD257" si="386">SUBTOTAL(9,P258:P265)</f>
        <v>890339.02</v>
      </c>
      <c r="Q257" s="225">
        <f t="shared" si="386"/>
        <v>0</v>
      </c>
      <c r="R257" s="225">
        <f t="shared" si="386"/>
        <v>890339.02</v>
      </c>
      <c r="S257" s="150">
        <f t="shared" si="271"/>
        <v>1187118.6933333334</v>
      </c>
      <c r="T257" s="213"/>
      <c r="U257" s="225">
        <f t="shared" ref="U257:W257" si="387">SUBTOTAL(9,U258:U265)</f>
        <v>1263674.0299999998</v>
      </c>
      <c r="V257" s="226">
        <f t="shared" si="387"/>
        <v>0</v>
      </c>
      <c r="W257" s="225">
        <f t="shared" si="387"/>
        <v>1263674.0299999998</v>
      </c>
      <c r="X257" s="225">
        <v>1263674.0299999998</v>
      </c>
      <c r="Y257" s="225">
        <v>0</v>
      </c>
      <c r="Z257" s="225">
        <v>1263674.0299999998</v>
      </c>
      <c r="AA257" s="225">
        <f t="shared" si="272"/>
        <v>803.4000000001397</v>
      </c>
      <c r="AB257" s="225">
        <v>1264477.43</v>
      </c>
      <c r="AC257" s="226">
        <v>0</v>
      </c>
      <c r="AD257" s="225">
        <f t="shared" si="386"/>
        <v>1264477.43</v>
      </c>
      <c r="AE257" s="225">
        <v>1264483.43</v>
      </c>
      <c r="AF257" s="169" t="s">
        <v>4680</v>
      </c>
      <c r="AG257" s="212">
        <v>1264483.43</v>
      </c>
      <c r="AH257" s="226">
        <v>0</v>
      </c>
      <c r="AI257" s="225">
        <v>1264483.43</v>
      </c>
      <c r="AJ257" s="169">
        <f t="shared" si="273"/>
        <v>0</v>
      </c>
      <c r="AK257" s="212">
        <v>1264483.43</v>
      </c>
      <c r="AL257" s="226">
        <v>0</v>
      </c>
      <c r="AM257" s="225">
        <f t="shared" ref="AM257" si="388">SUBTOTAL(9,AM258:AM265)</f>
        <v>1264483.43</v>
      </c>
      <c r="AN257" s="153">
        <f t="shared" si="274"/>
        <v>0</v>
      </c>
      <c r="AO257" s="154">
        <f t="shared" si="275"/>
        <v>0</v>
      </c>
      <c r="AP257" s="225">
        <v>1264483.43</v>
      </c>
      <c r="AQ257" s="212">
        <v>1264483.43</v>
      </c>
      <c r="AR257" s="226">
        <f t="shared" ref="AR257:AS257" si="389">SUBTOTAL(9,AR258:AR265)</f>
        <v>0</v>
      </c>
      <c r="AS257" s="225">
        <f t="shared" si="389"/>
        <v>1264483.43</v>
      </c>
      <c r="AT257" s="155"/>
      <c r="AU257" s="156">
        <f t="shared" si="268"/>
        <v>6</v>
      </c>
      <c r="AV257" s="156">
        <f t="shared" si="269"/>
        <v>803.4000000001397</v>
      </c>
      <c r="AW257" s="157"/>
      <c r="AX257" s="150">
        <v>1263674.0299999998</v>
      </c>
      <c r="AY257" s="225">
        <f t="shared" ref="AY257:BA257" si="390">SUBTOTAL(9,AY258:AY265)</f>
        <v>614246.34</v>
      </c>
      <c r="AZ257" s="225">
        <f t="shared" si="390"/>
        <v>440560.40666666668</v>
      </c>
      <c r="BA257" s="225">
        <f t="shared" si="390"/>
        <v>1054806.7466666666</v>
      </c>
      <c r="BB257" s="192">
        <v>4</v>
      </c>
      <c r="BC257" s="256" t="s">
        <v>714</v>
      </c>
      <c r="BD257" s="256" t="s">
        <v>714</v>
      </c>
      <c r="BE257" s="256" t="s">
        <v>647</v>
      </c>
      <c r="BF257" s="256" t="s">
        <v>630</v>
      </c>
      <c r="BG257" s="185" t="s">
        <v>5504</v>
      </c>
      <c r="BH257" s="215">
        <f>SUBTOTAL(9,BH258:BH263)</f>
        <v>1264483.43</v>
      </c>
      <c r="BI257" s="192"/>
      <c r="BJ257" s="256" t="s">
        <v>5505</v>
      </c>
      <c r="BK257" s="256" t="s">
        <v>5503</v>
      </c>
      <c r="BL257" s="238" t="s">
        <v>5506</v>
      </c>
      <c r="BM257" s="215">
        <f>SUBTOTAL(9,BM258:BM263)</f>
        <v>1264483.43</v>
      </c>
      <c r="BN257" s="160"/>
      <c r="BO257" s="161">
        <f t="shared" si="276"/>
        <v>0</v>
      </c>
      <c r="BP257" s="161"/>
    </row>
    <row r="258" spans="1:68" ht="25.5">
      <c r="A258" s="206" t="s">
        <v>5503</v>
      </c>
      <c r="B258" s="195" t="s">
        <v>5507</v>
      </c>
      <c r="C258" s="196" t="s">
        <v>5508</v>
      </c>
      <c r="D258" s="146" t="s">
        <v>4692</v>
      </c>
      <c r="E258" s="196" t="s">
        <v>5508</v>
      </c>
      <c r="F258" s="150">
        <v>0</v>
      </c>
      <c r="G258" s="209">
        <v>0</v>
      </c>
      <c r="H258" s="209"/>
      <c r="I258" s="209">
        <v>0</v>
      </c>
      <c r="J258" s="150">
        <v>0</v>
      </c>
      <c r="K258" s="150">
        <v>0</v>
      </c>
      <c r="L258" s="150">
        <f t="shared" si="277"/>
        <v>0</v>
      </c>
      <c r="M258" s="150">
        <v>0</v>
      </c>
      <c r="N258" s="150"/>
      <c r="O258" s="150">
        <v>0</v>
      </c>
      <c r="P258" s="150">
        <v>0</v>
      </c>
      <c r="Q258" s="150"/>
      <c r="R258" s="150">
        <f t="shared" ref="R258:R265" si="391">P258+Q258</f>
        <v>0</v>
      </c>
      <c r="S258" s="150">
        <f t="shared" si="271"/>
        <v>0</v>
      </c>
      <c r="T258" s="150"/>
      <c r="U258" s="150">
        <v>0</v>
      </c>
      <c r="V258" s="199"/>
      <c r="W258" s="150">
        <f t="shared" ref="W258:W265" si="392">U258+V258</f>
        <v>0</v>
      </c>
      <c r="X258" s="150">
        <v>0</v>
      </c>
      <c r="Y258" s="150"/>
      <c r="Z258" s="150">
        <v>0</v>
      </c>
      <c r="AA258" s="150">
        <f t="shared" si="272"/>
        <v>0</v>
      </c>
      <c r="AB258" s="150">
        <v>0</v>
      </c>
      <c r="AC258" s="199"/>
      <c r="AD258" s="150">
        <f t="shared" ref="AD258:AD265" si="393">AB258+AC258</f>
        <v>0</v>
      </c>
      <c r="AE258" s="150">
        <v>0</v>
      </c>
      <c r="AF258" s="169" t="s">
        <v>4680</v>
      </c>
      <c r="AG258" s="201">
        <v>0</v>
      </c>
      <c r="AH258" s="199"/>
      <c r="AI258" s="150">
        <v>0</v>
      </c>
      <c r="AJ258" s="169">
        <f t="shared" si="273"/>
        <v>0</v>
      </c>
      <c r="AK258" s="201">
        <v>0</v>
      </c>
      <c r="AL258" s="199"/>
      <c r="AM258" s="150">
        <f t="shared" ref="AM258:AM265" si="394">AK258+AL258</f>
        <v>0</v>
      </c>
      <c r="AN258" s="153">
        <f t="shared" si="274"/>
        <v>0</v>
      </c>
      <c r="AO258" s="154">
        <f t="shared" si="275"/>
        <v>0</v>
      </c>
      <c r="AP258" s="150">
        <v>0</v>
      </c>
      <c r="AQ258" s="201">
        <v>0</v>
      </c>
      <c r="AR258" s="199"/>
      <c r="AS258" s="150">
        <f t="shared" ref="AS258:AS265" si="395">AQ258+AR258</f>
        <v>0</v>
      </c>
      <c r="AT258" s="155"/>
      <c r="AU258" s="156">
        <f t="shared" ref="AU258:AU321" si="396">AM258-AD258</f>
        <v>0</v>
      </c>
      <c r="AV258" s="156">
        <f t="shared" ref="AV258:AV321" si="397">AD258-AX258</f>
        <v>0</v>
      </c>
      <c r="AW258" s="157"/>
      <c r="AX258" s="150">
        <v>0</v>
      </c>
      <c r="AY258" s="150">
        <v>0</v>
      </c>
      <c r="AZ258" s="150"/>
      <c r="BA258" s="150">
        <f t="shared" ref="BA258:BA321" si="398">AY258+AZ258</f>
        <v>0</v>
      </c>
      <c r="BB258" s="202">
        <v>4</v>
      </c>
      <c r="BC258" s="202" t="s">
        <v>714</v>
      </c>
      <c r="BD258" s="202" t="s">
        <v>714</v>
      </c>
      <c r="BE258" s="202" t="s">
        <v>647</v>
      </c>
      <c r="BF258" s="202" t="s">
        <v>632</v>
      </c>
      <c r="BG258" s="203" t="s">
        <v>5509</v>
      </c>
      <c r="BH258" s="216">
        <f>AS258</f>
        <v>0</v>
      </c>
      <c r="BI258" s="205"/>
      <c r="BJ258" s="206" t="s">
        <v>5505</v>
      </c>
      <c r="BK258" s="206" t="s">
        <v>5503</v>
      </c>
      <c r="BL258" s="207" t="s">
        <v>5506</v>
      </c>
      <c r="BM258" s="208">
        <f>BH258</f>
        <v>0</v>
      </c>
      <c r="BN258" s="160"/>
      <c r="BO258" s="161">
        <f t="shared" si="276"/>
        <v>0</v>
      </c>
      <c r="BP258" s="161"/>
    </row>
    <row r="259" spans="1:68" ht="25.5">
      <c r="A259" s="206" t="s">
        <v>5503</v>
      </c>
      <c r="B259" s="195" t="s">
        <v>5510</v>
      </c>
      <c r="C259" s="196" t="s">
        <v>5511</v>
      </c>
      <c r="D259" s="146" t="s">
        <v>4692</v>
      </c>
      <c r="E259" s="196" t="s">
        <v>5511</v>
      </c>
      <c r="F259" s="150">
        <v>1067489.23</v>
      </c>
      <c r="G259" s="209">
        <v>1067489.23</v>
      </c>
      <c r="H259" s="209"/>
      <c r="I259" s="209">
        <v>1067489.23</v>
      </c>
      <c r="J259" s="150">
        <v>304871.75</v>
      </c>
      <c r="K259" s="150">
        <v>0</v>
      </c>
      <c r="L259" s="150">
        <f t="shared" si="277"/>
        <v>304871.75</v>
      </c>
      <c r="M259" s="150">
        <v>566378.93999999994</v>
      </c>
      <c r="N259" s="150"/>
      <c r="O259" s="150">
        <v>566378.93999999994</v>
      </c>
      <c r="P259" s="150">
        <v>842836.4</v>
      </c>
      <c r="Q259" s="150">
        <v>0</v>
      </c>
      <c r="R259" s="150">
        <f t="shared" si="391"/>
        <v>842836.4</v>
      </c>
      <c r="S259" s="150">
        <f t="shared" ref="S259:S322" si="399">R259/9*12</f>
        <v>1123781.8666666667</v>
      </c>
      <c r="T259" s="150"/>
      <c r="U259" s="150">
        <v>1196619.9099999999</v>
      </c>
      <c r="V259" s="199"/>
      <c r="W259" s="150">
        <f t="shared" si="392"/>
        <v>1196619.9099999999</v>
      </c>
      <c r="X259" s="150">
        <v>1196619.9099999999</v>
      </c>
      <c r="Y259" s="150"/>
      <c r="Z259" s="150">
        <v>1196619.9099999999</v>
      </c>
      <c r="AA259" s="150">
        <f t="shared" ref="AA259:AA322" si="400">AD259-Z259</f>
        <v>0</v>
      </c>
      <c r="AB259" s="150">
        <v>1196619.9099999999</v>
      </c>
      <c r="AC259" s="199"/>
      <c r="AD259" s="150">
        <f t="shared" si="393"/>
        <v>1196619.9099999999</v>
      </c>
      <c r="AE259" s="150">
        <v>1196619.9099999999</v>
      </c>
      <c r="AF259" s="169" t="s">
        <v>4680</v>
      </c>
      <c r="AG259" s="201">
        <v>1196619.9099999999</v>
      </c>
      <c r="AH259" s="199"/>
      <c r="AI259" s="150">
        <v>1196619.9099999999</v>
      </c>
      <c r="AJ259" s="169">
        <f t="shared" ref="AJ259:AJ322" si="401">AM259-AI259</f>
        <v>0</v>
      </c>
      <c r="AK259" s="201">
        <v>1196619.9099999999</v>
      </c>
      <c r="AL259" s="199"/>
      <c r="AM259" s="150">
        <f t="shared" si="394"/>
        <v>1196619.9099999999</v>
      </c>
      <c r="AN259" s="153">
        <f t="shared" ref="AN259:AN322" si="402">AS259-AM259</f>
        <v>0</v>
      </c>
      <c r="AO259" s="154">
        <f t="shared" ref="AO259:AO322" si="403">AS259-AP259</f>
        <v>0</v>
      </c>
      <c r="AP259" s="150">
        <v>1196619.9099999999</v>
      </c>
      <c r="AQ259" s="201">
        <v>1196619.9099999999</v>
      </c>
      <c r="AR259" s="199"/>
      <c r="AS259" s="150">
        <f t="shared" si="395"/>
        <v>1196619.9099999999</v>
      </c>
      <c r="AT259" s="155"/>
      <c r="AU259" s="156">
        <f t="shared" si="396"/>
        <v>0</v>
      </c>
      <c r="AV259" s="156">
        <f t="shared" si="397"/>
        <v>0</v>
      </c>
      <c r="AW259" s="157"/>
      <c r="AX259" s="150">
        <v>1196619.9099999999</v>
      </c>
      <c r="AY259" s="150">
        <v>571139.72</v>
      </c>
      <c r="AZ259" s="237">
        <f>F259/12*4</f>
        <v>355829.74333333335</v>
      </c>
      <c r="BA259" s="150">
        <f t="shared" si="398"/>
        <v>926969.46333333338</v>
      </c>
      <c r="BB259" s="202">
        <v>4</v>
      </c>
      <c r="BC259" s="202" t="s">
        <v>714</v>
      </c>
      <c r="BD259" s="202" t="s">
        <v>714</v>
      </c>
      <c r="BE259" s="202" t="s">
        <v>647</v>
      </c>
      <c r="BF259" s="202" t="s">
        <v>647</v>
      </c>
      <c r="BG259" s="203" t="s">
        <v>5512</v>
      </c>
      <c r="BH259" s="216">
        <f>AS259+AS260+AS261</f>
        <v>1196619.9099999999</v>
      </c>
      <c r="BI259" s="205"/>
      <c r="BJ259" s="206" t="s">
        <v>5505</v>
      </c>
      <c r="BK259" s="206" t="s">
        <v>5503</v>
      </c>
      <c r="BL259" s="207" t="s">
        <v>5506</v>
      </c>
      <c r="BM259" s="208">
        <f>BH259</f>
        <v>1196619.9099999999</v>
      </c>
      <c r="BN259" s="160"/>
      <c r="BO259" s="161">
        <f t="shared" ref="BO259:BO281" si="404">BM259-AS259</f>
        <v>0</v>
      </c>
      <c r="BP259" s="161"/>
    </row>
    <row r="260" spans="1:68" ht="25.5">
      <c r="A260" s="210"/>
      <c r="B260" s="195" t="s">
        <v>5513</v>
      </c>
      <c r="C260" s="196" t="s">
        <v>5514</v>
      </c>
      <c r="D260" s="146" t="s">
        <v>4692</v>
      </c>
      <c r="E260" s="196" t="s">
        <v>5514</v>
      </c>
      <c r="F260" s="150">
        <v>0</v>
      </c>
      <c r="G260" s="209">
        <v>0</v>
      </c>
      <c r="H260" s="209"/>
      <c r="I260" s="209">
        <v>0</v>
      </c>
      <c r="J260" s="150">
        <v>0</v>
      </c>
      <c r="K260" s="150">
        <v>0</v>
      </c>
      <c r="L260" s="150">
        <f t="shared" si="277"/>
        <v>0</v>
      </c>
      <c r="M260" s="150">
        <v>0</v>
      </c>
      <c r="N260" s="150"/>
      <c r="O260" s="150">
        <v>0</v>
      </c>
      <c r="P260" s="150">
        <v>0</v>
      </c>
      <c r="Q260" s="150"/>
      <c r="R260" s="150">
        <f t="shared" si="391"/>
        <v>0</v>
      </c>
      <c r="S260" s="150">
        <f t="shared" si="399"/>
        <v>0</v>
      </c>
      <c r="T260" s="150"/>
      <c r="U260" s="150">
        <v>0</v>
      </c>
      <c r="V260" s="199"/>
      <c r="W260" s="150">
        <f t="shared" si="392"/>
        <v>0</v>
      </c>
      <c r="X260" s="150">
        <v>0</v>
      </c>
      <c r="Y260" s="150"/>
      <c r="Z260" s="150">
        <v>0</v>
      </c>
      <c r="AA260" s="150">
        <f t="shared" si="400"/>
        <v>0</v>
      </c>
      <c r="AB260" s="150">
        <v>0</v>
      </c>
      <c r="AC260" s="199"/>
      <c r="AD260" s="150">
        <f t="shared" si="393"/>
        <v>0</v>
      </c>
      <c r="AE260" s="150">
        <v>0</v>
      </c>
      <c r="AF260" s="169" t="s">
        <v>4680</v>
      </c>
      <c r="AG260" s="201">
        <v>0</v>
      </c>
      <c r="AH260" s="199"/>
      <c r="AI260" s="150">
        <v>0</v>
      </c>
      <c r="AJ260" s="169">
        <f t="shared" si="401"/>
        <v>0</v>
      </c>
      <c r="AK260" s="201">
        <v>0</v>
      </c>
      <c r="AL260" s="199"/>
      <c r="AM260" s="150">
        <f t="shared" si="394"/>
        <v>0</v>
      </c>
      <c r="AN260" s="153">
        <f t="shared" si="402"/>
        <v>0</v>
      </c>
      <c r="AO260" s="154">
        <f t="shared" si="403"/>
        <v>0</v>
      </c>
      <c r="AP260" s="150">
        <v>0</v>
      </c>
      <c r="AQ260" s="201">
        <v>0</v>
      </c>
      <c r="AR260" s="199"/>
      <c r="AS260" s="150">
        <f t="shared" si="395"/>
        <v>0</v>
      </c>
      <c r="AT260" s="155"/>
      <c r="AU260" s="156">
        <f t="shared" si="396"/>
        <v>0</v>
      </c>
      <c r="AV260" s="156">
        <f t="shared" si="397"/>
        <v>0</v>
      </c>
      <c r="AW260" s="157"/>
      <c r="AX260" s="150">
        <v>0</v>
      </c>
      <c r="AY260" s="150">
        <v>0</v>
      </c>
      <c r="AZ260" s="150"/>
      <c r="BA260" s="150">
        <f t="shared" si="398"/>
        <v>0</v>
      </c>
      <c r="BB260" s="210"/>
      <c r="BC260" s="210"/>
      <c r="BD260" s="210"/>
      <c r="BE260" s="210"/>
      <c r="BF260" s="210"/>
      <c r="BG260" s="210"/>
      <c r="BH260" s="217"/>
      <c r="BI260" s="210"/>
      <c r="BJ260" s="210"/>
      <c r="BK260" s="210"/>
      <c r="BL260" s="210"/>
      <c r="BM260" s="208"/>
      <c r="BN260" s="160"/>
      <c r="BO260" s="161">
        <f t="shared" si="404"/>
        <v>0</v>
      </c>
      <c r="BP260" s="161"/>
    </row>
    <row r="261" spans="1:68">
      <c r="A261" s="210"/>
      <c r="B261" s="195" t="s">
        <v>5515</v>
      </c>
      <c r="C261" s="196" t="s">
        <v>5516</v>
      </c>
      <c r="D261" s="146" t="s">
        <v>4692</v>
      </c>
      <c r="E261" s="196" t="s">
        <v>5516</v>
      </c>
      <c r="F261" s="150">
        <v>0</v>
      </c>
      <c r="G261" s="209">
        <v>0</v>
      </c>
      <c r="H261" s="209"/>
      <c r="I261" s="209">
        <v>0</v>
      </c>
      <c r="J261" s="150">
        <v>0</v>
      </c>
      <c r="K261" s="150">
        <v>0</v>
      </c>
      <c r="L261" s="150">
        <f t="shared" si="277"/>
        <v>0</v>
      </c>
      <c r="M261" s="150">
        <v>0</v>
      </c>
      <c r="N261" s="150"/>
      <c r="O261" s="150">
        <v>0</v>
      </c>
      <c r="P261" s="150">
        <v>0</v>
      </c>
      <c r="Q261" s="150"/>
      <c r="R261" s="150">
        <f t="shared" si="391"/>
        <v>0</v>
      </c>
      <c r="S261" s="150">
        <f t="shared" si="399"/>
        <v>0</v>
      </c>
      <c r="T261" s="150"/>
      <c r="U261" s="150">
        <v>0</v>
      </c>
      <c r="V261" s="199"/>
      <c r="W261" s="150">
        <f t="shared" si="392"/>
        <v>0</v>
      </c>
      <c r="X261" s="150">
        <v>0</v>
      </c>
      <c r="Y261" s="150"/>
      <c r="Z261" s="150">
        <v>0</v>
      </c>
      <c r="AA261" s="150">
        <f t="shared" si="400"/>
        <v>0</v>
      </c>
      <c r="AB261" s="150">
        <v>0</v>
      </c>
      <c r="AC261" s="199"/>
      <c r="AD261" s="150">
        <f t="shared" si="393"/>
        <v>0</v>
      </c>
      <c r="AE261" s="150">
        <v>0</v>
      </c>
      <c r="AF261" s="169" t="s">
        <v>4680</v>
      </c>
      <c r="AG261" s="201">
        <v>0</v>
      </c>
      <c r="AH261" s="199"/>
      <c r="AI261" s="150">
        <v>0</v>
      </c>
      <c r="AJ261" s="169">
        <f t="shared" si="401"/>
        <v>0</v>
      </c>
      <c r="AK261" s="201">
        <v>0</v>
      </c>
      <c r="AL261" s="199"/>
      <c r="AM261" s="150">
        <f t="shared" si="394"/>
        <v>0</v>
      </c>
      <c r="AN261" s="153">
        <f t="shared" si="402"/>
        <v>0</v>
      </c>
      <c r="AO261" s="154">
        <f t="shared" si="403"/>
        <v>0</v>
      </c>
      <c r="AP261" s="150">
        <v>0</v>
      </c>
      <c r="AQ261" s="201">
        <v>0</v>
      </c>
      <c r="AR261" s="199"/>
      <c r="AS261" s="150">
        <f t="shared" si="395"/>
        <v>0</v>
      </c>
      <c r="AT261" s="155"/>
      <c r="AU261" s="156">
        <f t="shared" si="396"/>
        <v>0</v>
      </c>
      <c r="AV261" s="156">
        <f t="shared" si="397"/>
        <v>0</v>
      </c>
      <c r="AW261" s="157"/>
      <c r="AX261" s="150">
        <v>0</v>
      </c>
      <c r="AY261" s="150">
        <v>0</v>
      </c>
      <c r="AZ261" s="150"/>
      <c r="BA261" s="150">
        <f t="shared" si="398"/>
        <v>0</v>
      </c>
      <c r="BB261" s="210"/>
      <c r="BC261" s="210"/>
      <c r="BD261" s="210"/>
      <c r="BE261" s="210"/>
      <c r="BF261" s="210"/>
      <c r="BG261" s="210"/>
      <c r="BH261" s="217"/>
      <c r="BI261" s="210"/>
      <c r="BJ261" s="210"/>
      <c r="BK261" s="210"/>
      <c r="BL261" s="210"/>
      <c r="BM261" s="208"/>
      <c r="BN261" s="160"/>
      <c r="BO261" s="161">
        <f t="shared" si="404"/>
        <v>0</v>
      </c>
      <c r="BP261" s="161"/>
    </row>
    <row r="262" spans="1:68" ht="25.5">
      <c r="A262" s="206" t="s">
        <v>5503</v>
      </c>
      <c r="B262" s="195" t="s">
        <v>5517</v>
      </c>
      <c r="C262" s="196" t="s">
        <v>5518</v>
      </c>
      <c r="D262" s="146" t="s">
        <v>4692</v>
      </c>
      <c r="E262" s="196" t="s">
        <v>5518</v>
      </c>
      <c r="F262" s="150">
        <v>254191.99</v>
      </c>
      <c r="G262" s="209">
        <v>251718.17</v>
      </c>
      <c r="H262" s="209"/>
      <c r="I262" s="209">
        <v>251718.17</v>
      </c>
      <c r="J262" s="150">
        <v>12750.65</v>
      </c>
      <c r="K262" s="150">
        <v>0</v>
      </c>
      <c r="L262" s="150">
        <f t="shared" si="277"/>
        <v>12750.65</v>
      </c>
      <c r="M262" s="150">
        <v>26022.77</v>
      </c>
      <c r="N262" s="150">
        <v>101073.22499999999</v>
      </c>
      <c r="O262" s="150">
        <v>127095.995</v>
      </c>
      <c r="P262" s="150">
        <v>47502.62</v>
      </c>
      <c r="Q262" s="150">
        <v>0</v>
      </c>
      <c r="R262" s="150">
        <f t="shared" si="391"/>
        <v>47502.62</v>
      </c>
      <c r="S262" s="150">
        <f t="shared" si="399"/>
        <v>63336.826666666668</v>
      </c>
      <c r="T262" s="150"/>
      <c r="U262" s="150">
        <v>67054.12</v>
      </c>
      <c r="V262" s="199"/>
      <c r="W262" s="150">
        <f t="shared" si="392"/>
        <v>67054.12</v>
      </c>
      <c r="X262" s="150">
        <v>67054.12</v>
      </c>
      <c r="Y262" s="150"/>
      <c r="Z262" s="150">
        <v>67054.12</v>
      </c>
      <c r="AA262" s="150">
        <f t="shared" si="400"/>
        <v>803.40000000000873</v>
      </c>
      <c r="AB262" s="150">
        <v>67857.52</v>
      </c>
      <c r="AC262" s="199"/>
      <c r="AD262" s="150">
        <f t="shared" si="393"/>
        <v>67857.52</v>
      </c>
      <c r="AE262" s="150">
        <v>67863.520000000004</v>
      </c>
      <c r="AF262" s="169" t="s">
        <v>4680</v>
      </c>
      <c r="AG262" s="201">
        <v>67863.520000000004</v>
      </c>
      <c r="AH262" s="199"/>
      <c r="AI262" s="150">
        <v>67863.520000000004</v>
      </c>
      <c r="AJ262" s="169">
        <f t="shared" si="401"/>
        <v>0</v>
      </c>
      <c r="AK262" s="201">
        <v>67863.520000000004</v>
      </c>
      <c r="AL262" s="199"/>
      <c r="AM262" s="150">
        <f t="shared" si="394"/>
        <v>67863.520000000004</v>
      </c>
      <c r="AN262" s="153">
        <f t="shared" si="402"/>
        <v>0</v>
      </c>
      <c r="AO262" s="154">
        <f t="shared" si="403"/>
        <v>0</v>
      </c>
      <c r="AP262" s="150">
        <v>67863.520000000004</v>
      </c>
      <c r="AQ262" s="201">
        <v>67863.520000000004</v>
      </c>
      <c r="AR262" s="199"/>
      <c r="AS262" s="150">
        <f t="shared" si="395"/>
        <v>67863.520000000004</v>
      </c>
      <c r="AT262" s="155"/>
      <c r="AU262" s="156">
        <f t="shared" si="396"/>
        <v>6</v>
      </c>
      <c r="AV262" s="156">
        <f t="shared" si="397"/>
        <v>803.40000000000873</v>
      </c>
      <c r="AW262" s="157"/>
      <c r="AX262" s="150">
        <v>67054.12</v>
      </c>
      <c r="AY262" s="150">
        <v>43106.62</v>
      </c>
      <c r="AZ262" s="237">
        <f>F262/12*4</f>
        <v>84730.66333333333</v>
      </c>
      <c r="BA262" s="150">
        <f t="shared" si="398"/>
        <v>127837.28333333333</v>
      </c>
      <c r="BB262" s="202">
        <v>4</v>
      </c>
      <c r="BC262" s="202" t="s">
        <v>714</v>
      </c>
      <c r="BD262" s="202" t="s">
        <v>714</v>
      </c>
      <c r="BE262" s="202" t="s">
        <v>647</v>
      </c>
      <c r="BF262" s="194" t="s">
        <v>1124</v>
      </c>
      <c r="BG262" s="203" t="s">
        <v>5519</v>
      </c>
      <c r="BH262" s="216">
        <f>AS262+AS263+AS264+AS265</f>
        <v>67863.520000000004</v>
      </c>
      <c r="BI262" s="205"/>
      <c r="BJ262" s="206" t="s">
        <v>5505</v>
      </c>
      <c r="BK262" s="206" t="s">
        <v>5503</v>
      </c>
      <c r="BL262" s="207" t="s">
        <v>5506</v>
      </c>
      <c r="BM262" s="208">
        <f>BH262</f>
        <v>67863.520000000004</v>
      </c>
      <c r="BN262" s="160"/>
      <c r="BO262" s="161">
        <f t="shared" si="404"/>
        <v>0</v>
      </c>
      <c r="BP262" s="161"/>
    </row>
    <row r="263" spans="1:68" ht="25.5">
      <c r="A263" s="210"/>
      <c r="B263" s="195" t="s">
        <v>5520</v>
      </c>
      <c r="C263" s="196" t="s">
        <v>5521</v>
      </c>
      <c r="D263" s="146" t="s">
        <v>4692</v>
      </c>
      <c r="E263" s="196" t="s">
        <v>5522</v>
      </c>
      <c r="F263" s="150">
        <v>0</v>
      </c>
      <c r="G263" s="209">
        <v>0</v>
      </c>
      <c r="H263" s="209"/>
      <c r="I263" s="209">
        <v>0</v>
      </c>
      <c r="J263" s="150">
        <v>0</v>
      </c>
      <c r="K263" s="150">
        <v>0</v>
      </c>
      <c r="L263" s="150">
        <f t="shared" si="277"/>
        <v>0</v>
      </c>
      <c r="M263" s="150">
        <v>0</v>
      </c>
      <c r="N263" s="150"/>
      <c r="O263" s="150">
        <v>0</v>
      </c>
      <c r="P263" s="150">
        <v>0</v>
      </c>
      <c r="Q263" s="150"/>
      <c r="R263" s="150">
        <f t="shared" si="391"/>
        <v>0</v>
      </c>
      <c r="S263" s="150">
        <f t="shared" si="399"/>
        <v>0</v>
      </c>
      <c r="T263" s="150"/>
      <c r="U263" s="150">
        <v>0</v>
      </c>
      <c r="V263" s="199"/>
      <c r="W263" s="150">
        <f t="shared" si="392"/>
        <v>0</v>
      </c>
      <c r="X263" s="150">
        <v>0</v>
      </c>
      <c r="Y263" s="150"/>
      <c r="Z263" s="150">
        <v>0</v>
      </c>
      <c r="AA263" s="150">
        <f t="shared" si="400"/>
        <v>0</v>
      </c>
      <c r="AB263" s="150">
        <v>0</v>
      </c>
      <c r="AC263" s="199"/>
      <c r="AD263" s="150">
        <f t="shared" si="393"/>
        <v>0</v>
      </c>
      <c r="AE263" s="150">
        <v>0</v>
      </c>
      <c r="AF263" s="169" t="s">
        <v>4680</v>
      </c>
      <c r="AG263" s="201">
        <v>0</v>
      </c>
      <c r="AH263" s="199"/>
      <c r="AI263" s="150">
        <v>0</v>
      </c>
      <c r="AJ263" s="169">
        <f t="shared" si="401"/>
        <v>0</v>
      </c>
      <c r="AK263" s="201">
        <v>0</v>
      </c>
      <c r="AL263" s="199"/>
      <c r="AM263" s="150">
        <f t="shared" si="394"/>
        <v>0</v>
      </c>
      <c r="AN263" s="153">
        <f t="shared" si="402"/>
        <v>0</v>
      </c>
      <c r="AO263" s="154">
        <f t="shared" si="403"/>
        <v>0</v>
      </c>
      <c r="AP263" s="150">
        <v>0</v>
      </c>
      <c r="AQ263" s="201">
        <v>0</v>
      </c>
      <c r="AR263" s="199"/>
      <c r="AS263" s="150">
        <f t="shared" si="395"/>
        <v>0</v>
      </c>
      <c r="AT263" s="155"/>
      <c r="AU263" s="156">
        <f t="shared" si="396"/>
        <v>0</v>
      </c>
      <c r="AV263" s="156">
        <f t="shared" si="397"/>
        <v>0</v>
      </c>
      <c r="AW263" s="157"/>
      <c r="AX263" s="150">
        <v>0</v>
      </c>
      <c r="AY263" s="150">
        <v>0</v>
      </c>
      <c r="AZ263" s="150"/>
      <c r="BA263" s="150">
        <f t="shared" si="398"/>
        <v>0</v>
      </c>
      <c r="BB263" s="210"/>
      <c r="BC263" s="210"/>
      <c r="BD263" s="210"/>
      <c r="BE263" s="210"/>
      <c r="BF263" s="210"/>
      <c r="BG263" s="210"/>
      <c r="BH263" s="217"/>
      <c r="BI263" s="210"/>
      <c r="BJ263" s="210"/>
      <c r="BK263" s="210"/>
      <c r="BL263" s="210"/>
      <c r="BM263" s="208"/>
      <c r="BN263" s="160"/>
      <c r="BO263" s="161">
        <f t="shared" si="404"/>
        <v>0</v>
      </c>
      <c r="BP263" s="161"/>
    </row>
    <row r="264" spans="1:68">
      <c r="A264" s="210"/>
      <c r="B264" s="195" t="s">
        <v>5523</v>
      </c>
      <c r="C264" s="196" t="s">
        <v>5524</v>
      </c>
      <c r="D264" s="146" t="s">
        <v>4692</v>
      </c>
      <c r="E264" s="196" t="s">
        <v>5524</v>
      </c>
      <c r="F264" s="150">
        <v>6136.89</v>
      </c>
      <c r="G264" s="209">
        <v>6136.89</v>
      </c>
      <c r="H264" s="209"/>
      <c r="I264" s="209">
        <v>6136.89</v>
      </c>
      <c r="J264" s="150">
        <v>0</v>
      </c>
      <c r="K264" s="150">
        <v>0</v>
      </c>
      <c r="L264" s="150">
        <f t="shared" ref="L264:L327" si="405">J264+K264</f>
        <v>0</v>
      </c>
      <c r="M264" s="150">
        <v>0</v>
      </c>
      <c r="N264" s="150"/>
      <c r="O264" s="150">
        <v>0</v>
      </c>
      <c r="P264" s="150">
        <v>0</v>
      </c>
      <c r="Q264" s="150"/>
      <c r="R264" s="150">
        <f t="shared" si="391"/>
        <v>0</v>
      </c>
      <c r="S264" s="150">
        <f t="shared" si="399"/>
        <v>0</v>
      </c>
      <c r="T264" s="150"/>
      <c r="U264" s="150">
        <v>0</v>
      </c>
      <c r="V264" s="199"/>
      <c r="W264" s="150">
        <f t="shared" si="392"/>
        <v>0</v>
      </c>
      <c r="X264" s="150">
        <v>0</v>
      </c>
      <c r="Y264" s="150"/>
      <c r="Z264" s="150">
        <v>0</v>
      </c>
      <c r="AA264" s="150">
        <f t="shared" si="400"/>
        <v>0</v>
      </c>
      <c r="AB264" s="150">
        <v>0</v>
      </c>
      <c r="AC264" s="199"/>
      <c r="AD264" s="150">
        <f t="shared" si="393"/>
        <v>0</v>
      </c>
      <c r="AE264" s="150">
        <v>0</v>
      </c>
      <c r="AF264" s="169" t="s">
        <v>4680</v>
      </c>
      <c r="AG264" s="201">
        <v>0</v>
      </c>
      <c r="AH264" s="199"/>
      <c r="AI264" s="150">
        <v>0</v>
      </c>
      <c r="AJ264" s="169">
        <f t="shared" si="401"/>
        <v>0</v>
      </c>
      <c r="AK264" s="201">
        <v>0</v>
      </c>
      <c r="AL264" s="199"/>
      <c r="AM264" s="150">
        <f t="shared" si="394"/>
        <v>0</v>
      </c>
      <c r="AN264" s="153">
        <f t="shared" si="402"/>
        <v>0</v>
      </c>
      <c r="AO264" s="154">
        <f t="shared" si="403"/>
        <v>0</v>
      </c>
      <c r="AP264" s="150">
        <v>0</v>
      </c>
      <c r="AQ264" s="201">
        <v>0</v>
      </c>
      <c r="AR264" s="199"/>
      <c r="AS264" s="150">
        <f t="shared" si="395"/>
        <v>0</v>
      </c>
      <c r="AT264" s="155"/>
      <c r="AU264" s="156">
        <f t="shared" si="396"/>
        <v>0</v>
      </c>
      <c r="AV264" s="156">
        <f t="shared" si="397"/>
        <v>0</v>
      </c>
      <c r="AW264" s="157"/>
      <c r="AX264" s="150">
        <v>0</v>
      </c>
      <c r="AY264" s="150">
        <v>0</v>
      </c>
      <c r="AZ264" s="237"/>
      <c r="BA264" s="150">
        <f t="shared" si="398"/>
        <v>0</v>
      </c>
      <c r="BB264" s="210"/>
      <c r="BC264" s="210"/>
      <c r="BD264" s="210"/>
      <c r="BE264" s="210"/>
      <c r="BF264" s="210"/>
      <c r="BG264" s="210"/>
      <c r="BH264" s="217"/>
      <c r="BI264" s="210"/>
      <c r="BJ264" s="210"/>
      <c r="BK264" s="210"/>
      <c r="BL264" s="210"/>
      <c r="BM264" s="208"/>
      <c r="BN264" s="160"/>
      <c r="BO264" s="161">
        <f t="shared" si="404"/>
        <v>0</v>
      </c>
      <c r="BP264" s="161"/>
    </row>
    <row r="265" spans="1:68" ht="76.5">
      <c r="A265" s="210"/>
      <c r="B265" s="195" t="s">
        <v>5525</v>
      </c>
      <c r="C265" s="196" t="s">
        <v>5526</v>
      </c>
      <c r="D265" s="146" t="s">
        <v>4692</v>
      </c>
      <c r="E265" s="265" t="s">
        <v>5526</v>
      </c>
      <c r="F265" s="150">
        <v>14096.36</v>
      </c>
      <c r="G265" s="266">
        <v>1441709.59</v>
      </c>
      <c r="H265" s="266">
        <v>0</v>
      </c>
      <c r="I265" s="266">
        <v>1441709.59</v>
      </c>
      <c r="J265" s="150"/>
      <c r="K265" s="150"/>
      <c r="L265" s="150">
        <f t="shared" si="405"/>
        <v>0</v>
      </c>
      <c r="M265" s="150">
        <v>0</v>
      </c>
      <c r="N265" s="150"/>
      <c r="O265" s="150">
        <v>0</v>
      </c>
      <c r="P265" s="150">
        <v>0</v>
      </c>
      <c r="Q265" s="150"/>
      <c r="R265" s="150">
        <f t="shared" si="391"/>
        <v>0</v>
      </c>
      <c r="S265" s="150">
        <f t="shared" si="399"/>
        <v>0</v>
      </c>
      <c r="T265" s="150"/>
      <c r="U265" s="150">
        <v>0</v>
      </c>
      <c r="V265" s="199"/>
      <c r="W265" s="150">
        <f t="shared" si="392"/>
        <v>0</v>
      </c>
      <c r="X265" s="150">
        <v>0</v>
      </c>
      <c r="Y265" s="150"/>
      <c r="Z265" s="150">
        <v>0</v>
      </c>
      <c r="AA265" s="150">
        <f t="shared" si="400"/>
        <v>0</v>
      </c>
      <c r="AB265" s="150">
        <v>0</v>
      </c>
      <c r="AC265" s="199"/>
      <c r="AD265" s="150">
        <f t="shared" si="393"/>
        <v>0</v>
      </c>
      <c r="AE265" s="150">
        <v>0</v>
      </c>
      <c r="AF265" s="169" t="s">
        <v>4680</v>
      </c>
      <c r="AG265" s="201">
        <v>0</v>
      </c>
      <c r="AH265" s="199"/>
      <c r="AI265" s="150">
        <v>0</v>
      </c>
      <c r="AJ265" s="169">
        <f t="shared" si="401"/>
        <v>0</v>
      </c>
      <c r="AK265" s="201">
        <v>0</v>
      </c>
      <c r="AL265" s="199"/>
      <c r="AM265" s="150">
        <f t="shared" si="394"/>
        <v>0</v>
      </c>
      <c r="AN265" s="153">
        <f t="shared" si="402"/>
        <v>0</v>
      </c>
      <c r="AO265" s="154">
        <f t="shared" si="403"/>
        <v>0</v>
      </c>
      <c r="AP265" s="150">
        <v>0</v>
      </c>
      <c r="AQ265" s="201">
        <v>0</v>
      </c>
      <c r="AR265" s="199"/>
      <c r="AS265" s="150">
        <f t="shared" si="395"/>
        <v>0</v>
      </c>
      <c r="AT265" s="155"/>
      <c r="AU265" s="156">
        <f t="shared" si="396"/>
        <v>0</v>
      </c>
      <c r="AV265" s="156">
        <f t="shared" si="397"/>
        <v>0</v>
      </c>
      <c r="AW265" s="157"/>
      <c r="AX265" s="150">
        <v>0</v>
      </c>
      <c r="AY265" s="150">
        <v>0</v>
      </c>
      <c r="AZ265" s="237"/>
      <c r="BA265" s="150">
        <f t="shared" si="398"/>
        <v>0</v>
      </c>
      <c r="BB265" s="210"/>
      <c r="BC265" s="210"/>
      <c r="BD265" s="210"/>
      <c r="BE265" s="210"/>
      <c r="BF265" s="210"/>
      <c r="BG265" s="210"/>
      <c r="BH265" s="217"/>
      <c r="BI265" s="210"/>
      <c r="BJ265" s="210"/>
      <c r="BK265" s="210"/>
      <c r="BL265" s="210"/>
      <c r="BM265" s="208"/>
      <c r="BN265" s="160"/>
      <c r="BO265" s="161">
        <f t="shared" si="404"/>
        <v>0</v>
      </c>
      <c r="BP265" s="161"/>
    </row>
    <row r="266" spans="1:68" ht="38.25">
      <c r="A266" s="262" t="s">
        <v>5527</v>
      </c>
      <c r="B266" s="163"/>
      <c r="C266" s="164" t="s">
        <v>5528</v>
      </c>
      <c r="D266" s="146" t="s">
        <v>4692</v>
      </c>
      <c r="E266" s="164" t="s">
        <v>5528</v>
      </c>
      <c r="F266" s="165">
        <v>1446552.7</v>
      </c>
      <c r="G266" s="166">
        <v>1431059.59</v>
      </c>
      <c r="H266" s="166">
        <v>0</v>
      </c>
      <c r="I266" s="166">
        <v>1431059.59</v>
      </c>
      <c r="J266" s="165">
        <f>J267+J273+J276</f>
        <v>416703.01</v>
      </c>
      <c r="K266" s="165">
        <f>K267+K273+K276</f>
        <v>0</v>
      </c>
      <c r="L266" s="165">
        <f t="shared" si="405"/>
        <v>416703.01</v>
      </c>
      <c r="M266" s="167">
        <v>814320.98</v>
      </c>
      <c r="N266" s="167">
        <v>0</v>
      </c>
      <c r="O266" s="167">
        <v>814320.98</v>
      </c>
      <c r="P266" s="232">
        <f t="shared" ref="P266:R266" si="406">P267+P273+P276</f>
        <v>1153444.9000000001</v>
      </c>
      <c r="Q266" s="232">
        <f t="shared" si="406"/>
        <v>0</v>
      </c>
      <c r="R266" s="232">
        <f t="shared" si="406"/>
        <v>1153444.9000000001</v>
      </c>
      <c r="S266" s="150">
        <f t="shared" si="399"/>
        <v>1537926.5333333334</v>
      </c>
      <c r="T266" s="213"/>
      <c r="U266" s="232">
        <f t="shared" ref="U266:W266" si="407">U267+U273+U276</f>
        <v>1555230.85</v>
      </c>
      <c r="V266" s="233">
        <f t="shared" si="407"/>
        <v>0</v>
      </c>
      <c r="W266" s="232">
        <f t="shared" si="407"/>
        <v>1555230.85</v>
      </c>
      <c r="X266" s="232">
        <v>1555230.85</v>
      </c>
      <c r="Y266" s="232">
        <v>0</v>
      </c>
      <c r="Z266" s="232">
        <v>1555230.85</v>
      </c>
      <c r="AA266" s="232">
        <f t="shared" si="400"/>
        <v>12487.569999999832</v>
      </c>
      <c r="AB266" s="232">
        <v>1567718.42</v>
      </c>
      <c r="AC266" s="233">
        <v>0</v>
      </c>
      <c r="AD266" s="232">
        <f t="shared" ref="AD266" si="408">AD267+AD273+AD276</f>
        <v>1567718.42</v>
      </c>
      <c r="AE266" s="232">
        <v>1567718.42</v>
      </c>
      <c r="AF266" s="169" t="s">
        <v>4680</v>
      </c>
      <c r="AG266" s="234">
        <v>1567718.42</v>
      </c>
      <c r="AH266" s="233">
        <v>0</v>
      </c>
      <c r="AI266" s="232">
        <v>1567718.42</v>
      </c>
      <c r="AJ266" s="169">
        <f t="shared" si="401"/>
        <v>0</v>
      </c>
      <c r="AK266" s="234">
        <v>1567718.42</v>
      </c>
      <c r="AL266" s="233">
        <v>0</v>
      </c>
      <c r="AM266" s="232">
        <f t="shared" ref="AM266" si="409">AM267+AM273+AM276</f>
        <v>1567718.42</v>
      </c>
      <c r="AN266" s="153">
        <f t="shared" si="402"/>
        <v>0</v>
      </c>
      <c r="AO266" s="154">
        <f t="shared" si="403"/>
        <v>0</v>
      </c>
      <c r="AP266" s="232">
        <v>1567718.42</v>
      </c>
      <c r="AQ266" s="234">
        <v>1567718.42</v>
      </c>
      <c r="AR266" s="233">
        <f t="shared" ref="AR266:AS266" si="410">AR267+AR273+AR276</f>
        <v>0</v>
      </c>
      <c r="AS266" s="232">
        <f t="shared" si="410"/>
        <v>1567718.42</v>
      </c>
      <c r="AT266" s="155"/>
      <c r="AU266" s="156">
        <f t="shared" si="396"/>
        <v>0</v>
      </c>
      <c r="AV266" s="156">
        <f t="shared" si="397"/>
        <v>12487.569999999832</v>
      </c>
      <c r="AW266" s="157"/>
      <c r="AX266" s="150">
        <v>1555230.85</v>
      </c>
      <c r="AY266" s="232">
        <f t="shared" ref="AY266:BA266" si="411">AY267+AY273+AY276</f>
        <v>1017755.5700000001</v>
      </c>
      <c r="AZ266" s="232">
        <f t="shared" si="411"/>
        <v>482184.23333333328</v>
      </c>
      <c r="BA266" s="232">
        <f t="shared" si="411"/>
        <v>1499939.8033333335</v>
      </c>
      <c r="BB266" s="263">
        <v>4</v>
      </c>
      <c r="BC266" s="262" t="s">
        <v>739</v>
      </c>
      <c r="BD266" s="262" t="s">
        <v>630</v>
      </c>
      <c r="BE266" s="162" t="s">
        <v>630</v>
      </c>
      <c r="BF266" s="262" t="s">
        <v>630</v>
      </c>
      <c r="BG266" s="164" t="s">
        <v>5528</v>
      </c>
      <c r="BH266" s="267">
        <f>BH267+BH273+BH276</f>
        <v>1567718.42</v>
      </c>
      <c r="BI266" s="263"/>
      <c r="BJ266" s="262" t="s">
        <v>5529</v>
      </c>
      <c r="BK266" s="262" t="s">
        <v>5527</v>
      </c>
      <c r="BL266" s="172" t="s">
        <v>5530</v>
      </c>
      <c r="BM266" s="267">
        <f>BM267+BM273+BM276</f>
        <v>1567718.42</v>
      </c>
      <c r="BN266" s="160"/>
      <c r="BO266" s="161">
        <f t="shared" si="404"/>
        <v>0</v>
      </c>
      <c r="BP266" s="161"/>
    </row>
    <row r="267" spans="1:68" ht="63.75">
      <c r="A267" s="255" t="s">
        <v>5531</v>
      </c>
      <c r="B267" s="174"/>
      <c r="C267" s="175" t="s">
        <v>5532</v>
      </c>
      <c r="D267" s="146" t="s">
        <v>4692</v>
      </c>
      <c r="E267" s="175" t="s">
        <v>5532</v>
      </c>
      <c r="F267" s="176">
        <v>1435902.7</v>
      </c>
      <c r="G267" s="177">
        <v>1431059.59</v>
      </c>
      <c r="H267" s="177">
        <v>0</v>
      </c>
      <c r="I267" s="177">
        <v>1431059.59</v>
      </c>
      <c r="J267" s="176">
        <f>J268</f>
        <v>413403.01</v>
      </c>
      <c r="K267" s="176">
        <f>K268</f>
        <v>0</v>
      </c>
      <c r="L267" s="176">
        <f t="shared" si="405"/>
        <v>413403.01</v>
      </c>
      <c r="M267" s="178">
        <v>807545.98</v>
      </c>
      <c r="N267" s="178">
        <v>0</v>
      </c>
      <c r="O267" s="178">
        <v>807545.98</v>
      </c>
      <c r="P267" s="221">
        <f t="shared" ref="P267:AS267" si="412">P268</f>
        <v>1143494.9000000001</v>
      </c>
      <c r="Q267" s="221">
        <f t="shared" si="412"/>
        <v>0</v>
      </c>
      <c r="R267" s="221">
        <f t="shared" si="412"/>
        <v>1143494.9000000001</v>
      </c>
      <c r="S267" s="150">
        <f t="shared" si="399"/>
        <v>1524659.8666666669</v>
      </c>
      <c r="T267" s="213"/>
      <c r="U267" s="221">
        <f t="shared" ref="U267:W267" si="413">U268</f>
        <v>1542755.85</v>
      </c>
      <c r="V267" s="222">
        <f t="shared" si="413"/>
        <v>0</v>
      </c>
      <c r="W267" s="221">
        <f t="shared" si="413"/>
        <v>1542755.85</v>
      </c>
      <c r="X267" s="221">
        <v>1542755.85</v>
      </c>
      <c r="Y267" s="221">
        <v>0</v>
      </c>
      <c r="Z267" s="221">
        <v>1542755.85</v>
      </c>
      <c r="AA267" s="221">
        <f t="shared" si="400"/>
        <v>12487.569999999832</v>
      </c>
      <c r="AB267" s="221">
        <v>1555243.42</v>
      </c>
      <c r="AC267" s="222">
        <v>0</v>
      </c>
      <c r="AD267" s="221">
        <f t="shared" si="412"/>
        <v>1555243.42</v>
      </c>
      <c r="AE267" s="221">
        <v>1555243.42</v>
      </c>
      <c r="AF267" s="169" t="s">
        <v>4680</v>
      </c>
      <c r="AG267" s="223">
        <v>1555243.42</v>
      </c>
      <c r="AH267" s="222">
        <v>0</v>
      </c>
      <c r="AI267" s="221">
        <v>1555243.42</v>
      </c>
      <c r="AJ267" s="169">
        <f t="shared" si="401"/>
        <v>0</v>
      </c>
      <c r="AK267" s="223">
        <v>1555243.42</v>
      </c>
      <c r="AL267" s="222">
        <v>0</v>
      </c>
      <c r="AM267" s="221">
        <f t="shared" si="412"/>
        <v>1555243.42</v>
      </c>
      <c r="AN267" s="153">
        <f t="shared" si="402"/>
        <v>0</v>
      </c>
      <c r="AO267" s="154">
        <f t="shared" si="403"/>
        <v>0</v>
      </c>
      <c r="AP267" s="221">
        <v>1555243.42</v>
      </c>
      <c r="AQ267" s="223">
        <v>1555243.42</v>
      </c>
      <c r="AR267" s="222">
        <f t="shared" si="412"/>
        <v>0</v>
      </c>
      <c r="AS267" s="221">
        <f t="shared" si="412"/>
        <v>1555243.42</v>
      </c>
      <c r="AT267" s="155"/>
      <c r="AU267" s="156">
        <f t="shared" si="396"/>
        <v>0</v>
      </c>
      <c r="AV267" s="156">
        <f t="shared" si="397"/>
        <v>12487.569999999832</v>
      </c>
      <c r="AW267" s="157"/>
      <c r="AX267" s="150">
        <v>1542755.85</v>
      </c>
      <c r="AY267" s="221">
        <f t="shared" ref="AY267:BA267" si="414">AY268</f>
        <v>1008780.5700000001</v>
      </c>
      <c r="AZ267" s="221">
        <f t="shared" si="414"/>
        <v>478634.23333333328</v>
      </c>
      <c r="BA267" s="221">
        <f t="shared" si="414"/>
        <v>1487414.8033333335</v>
      </c>
      <c r="BB267" s="254">
        <v>4</v>
      </c>
      <c r="BC267" s="255" t="s">
        <v>739</v>
      </c>
      <c r="BD267" s="255" t="s">
        <v>632</v>
      </c>
      <c r="BE267" s="173" t="s">
        <v>630</v>
      </c>
      <c r="BF267" s="255" t="s">
        <v>630</v>
      </c>
      <c r="BG267" s="175" t="s">
        <v>5532</v>
      </c>
      <c r="BH267" s="268">
        <f>BH268</f>
        <v>1555243.42</v>
      </c>
      <c r="BI267" s="254"/>
      <c r="BJ267" s="255" t="s">
        <v>5533</v>
      </c>
      <c r="BK267" s="255" t="s">
        <v>5531</v>
      </c>
      <c r="BL267" s="182" t="s">
        <v>5534</v>
      </c>
      <c r="BM267" s="268">
        <f>BM268</f>
        <v>1555243.42</v>
      </c>
      <c r="BN267" s="160"/>
      <c r="BO267" s="161">
        <f t="shared" si="404"/>
        <v>0</v>
      </c>
      <c r="BP267" s="161"/>
    </row>
    <row r="268" spans="1:68" ht="63.75">
      <c r="A268" s="256" t="s">
        <v>5531</v>
      </c>
      <c r="B268" s="184"/>
      <c r="C268" s="185" t="s">
        <v>5532</v>
      </c>
      <c r="D268" s="146" t="s">
        <v>4692</v>
      </c>
      <c r="E268" s="185" t="s">
        <v>5532</v>
      </c>
      <c r="F268" s="186">
        <v>1435902.7</v>
      </c>
      <c r="G268" s="187">
        <v>596353.87</v>
      </c>
      <c r="H268" s="187"/>
      <c r="I268" s="187">
        <v>596353.87</v>
      </c>
      <c r="J268" s="186">
        <f>SUBTOTAL(9,J269:J272)</f>
        <v>413403.01</v>
      </c>
      <c r="K268" s="186">
        <f>SUBTOTAL(9,K269:K272)</f>
        <v>0</v>
      </c>
      <c r="L268" s="186">
        <f t="shared" si="405"/>
        <v>413403.01</v>
      </c>
      <c r="M268" s="188">
        <v>807545.98</v>
      </c>
      <c r="N268" s="188">
        <v>0</v>
      </c>
      <c r="O268" s="188">
        <v>807545.98</v>
      </c>
      <c r="P268" s="225">
        <f t="shared" ref="P268:R268" si="415">SUBTOTAL(9,P269:P272)</f>
        <v>1143494.9000000001</v>
      </c>
      <c r="Q268" s="225">
        <f t="shared" si="415"/>
        <v>0</v>
      </c>
      <c r="R268" s="225">
        <f t="shared" si="415"/>
        <v>1143494.9000000001</v>
      </c>
      <c r="S268" s="150">
        <f t="shared" si="399"/>
        <v>1524659.8666666669</v>
      </c>
      <c r="T268" s="213"/>
      <c r="U268" s="225">
        <f t="shared" ref="U268:W268" si="416">SUBTOTAL(9,U269:U272)</f>
        <v>1542755.85</v>
      </c>
      <c r="V268" s="226">
        <f t="shared" si="416"/>
        <v>0</v>
      </c>
      <c r="W268" s="225">
        <f t="shared" si="416"/>
        <v>1542755.85</v>
      </c>
      <c r="X268" s="225">
        <v>1542755.85</v>
      </c>
      <c r="Y268" s="225">
        <v>0</v>
      </c>
      <c r="Z268" s="225">
        <v>1542755.85</v>
      </c>
      <c r="AA268" s="225">
        <f t="shared" si="400"/>
        <v>12487.569999999832</v>
      </c>
      <c r="AB268" s="225">
        <v>1555243.42</v>
      </c>
      <c r="AC268" s="226">
        <v>0</v>
      </c>
      <c r="AD268" s="225">
        <f t="shared" ref="AD268" si="417">SUBTOTAL(9,AD269:AD272)</f>
        <v>1555243.42</v>
      </c>
      <c r="AE268" s="225">
        <v>1555243.42</v>
      </c>
      <c r="AF268" s="169" t="s">
        <v>4680</v>
      </c>
      <c r="AG268" s="212">
        <v>1555243.42</v>
      </c>
      <c r="AH268" s="226">
        <v>0</v>
      </c>
      <c r="AI268" s="225">
        <v>1555243.42</v>
      </c>
      <c r="AJ268" s="169">
        <f t="shared" si="401"/>
        <v>0</v>
      </c>
      <c r="AK268" s="212">
        <v>1555243.42</v>
      </c>
      <c r="AL268" s="226">
        <v>0</v>
      </c>
      <c r="AM268" s="225">
        <f t="shared" ref="AM268" si="418">SUBTOTAL(9,AM269:AM272)</f>
        <v>1555243.42</v>
      </c>
      <c r="AN268" s="153">
        <f t="shared" si="402"/>
        <v>0</v>
      </c>
      <c r="AO268" s="154">
        <f t="shared" si="403"/>
        <v>0</v>
      </c>
      <c r="AP268" s="225">
        <v>1555243.42</v>
      </c>
      <c r="AQ268" s="212">
        <v>1555243.42</v>
      </c>
      <c r="AR268" s="226">
        <f t="shared" ref="AR268:AS268" si="419">SUBTOTAL(9,AR269:AR272)</f>
        <v>0</v>
      </c>
      <c r="AS268" s="225">
        <f t="shared" si="419"/>
        <v>1555243.42</v>
      </c>
      <c r="AT268" s="155"/>
      <c r="AU268" s="156">
        <f t="shared" si="396"/>
        <v>0</v>
      </c>
      <c r="AV268" s="156">
        <f t="shared" si="397"/>
        <v>12487.569999999832</v>
      </c>
      <c r="AW268" s="157"/>
      <c r="AX268" s="150">
        <v>1542755.85</v>
      </c>
      <c r="AY268" s="225">
        <f t="shared" ref="AY268:BA268" si="420">SUBTOTAL(9,AY269:AY272)</f>
        <v>1008780.5700000001</v>
      </c>
      <c r="AZ268" s="225">
        <f t="shared" si="420"/>
        <v>478634.23333333328</v>
      </c>
      <c r="BA268" s="225">
        <f t="shared" si="420"/>
        <v>1487414.8033333335</v>
      </c>
      <c r="BB268" s="192">
        <v>4</v>
      </c>
      <c r="BC268" s="256" t="s">
        <v>739</v>
      </c>
      <c r="BD268" s="256" t="s">
        <v>632</v>
      </c>
      <c r="BE268" s="256" t="s">
        <v>632</v>
      </c>
      <c r="BF268" s="256" t="s">
        <v>630</v>
      </c>
      <c r="BG268" s="185" t="s">
        <v>5532</v>
      </c>
      <c r="BH268" s="269">
        <f>SUBTOTAL(9,BH269:BH272)</f>
        <v>1555243.42</v>
      </c>
      <c r="BI268" s="192"/>
      <c r="BJ268" s="256" t="s">
        <v>5533</v>
      </c>
      <c r="BK268" s="256" t="s">
        <v>5531</v>
      </c>
      <c r="BL268" s="238" t="s">
        <v>5534</v>
      </c>
      <c r="BM268" s="269">
        <f>SUBTOTAL(9,BM269:BM272)</f>
        <v>1555243.42</v>
      </c>
      <c r="BN268" s="160"/>
      <c r="BO268" s="161">
        <f t="shared" si="404"/>
        <v>0</v>
      </c>
      <c r="BP268" s="161"/>
    </row>
    <row r="269" spans="1:68" ht="63.75">
      <c r="A269" s="206" t="s">
        <v>5531</v>
      </c>
      <c r="B269" s="195" t="s">
        <v>5535</v>
      </c>
      <c r="C269" s="196" t="s">
        <v>5532</v>
      </c>
      <c r="D269" s="146" t="s">
        <v>4692</v>
      </c>
      <c r="E269" s="196" t="s">
        <v>5532</v>
      </c>
      <c r="F269" s="150">
        <v>598535.48</v>
      </c>
      <c r="G269" s="209">
        <v>548693.78</v>
      </c>
      <c r="H269" s="209"/>
      <c r="I269" s="209">
        <v>548693.78</v>
      </c>
      <c r="J269" s="150">
        <v>163562.23000000001</v>
      </c>
      <c r="K269" s="150">
        <v>0</v>
      </c>
      <c r="L269" s="150">
        <f t="shared" si="405"/>
        <v>163562.23000000001</v>
      </c>
      <c r="M269" s="150">
        <v>326818.90000000002</v>
      </c>
      <c r="N269" s="150"/>
      <c r="O269" s="150">
        <v>326818.90000000002</v>
      </c>
      <c r="P269" s="150">
        <v>470461.8</v>
      </c>
      <c r="Q269" s="150">
        <v>0</v>
      </c>
      <c r="R269" s="150">
        <f>P269+Q269</f>
        <v>470461.8</v>
      </c>
      <c r="S269" s="150">
        <f t="shared" si="399"/>
        <v>627282.4</v>
      </c>
      <c r="T269" s="150"/>
      <c r="U269" s="150">
        <v>638020.41</v>
      </c>
      <c r="V269" s="199"/>
      <c r="W269" s="150">
        <f>U269+V269</f>
        <v>638020.41</v>
      </c>
      <c r="X269" s="150">
        <v>638020.41</v>
      </c>
      <c r="Y269" s="150"/>
      <c r="Z269" s="150">
        <v>638020.41</v>
      </c>
      <c r="AA269" s="150">
        <f t="shared" si="400"/>
        <v>6563.9699999999721</v>
      </c>
      <c r="AB269" s="150">
        <v>644584.38</v>
      </c>
      <c r="AC269" s="199"/>
      <c r="AD269" s="150">
        <f>AB269+AC269</f>
        <v>644584.38</v>
      </c>
      <c r="AE269" s="150">
        <v>644584.38</v>
      </c>
      <c r="AF269" s="169" t="s">
        <v>4680</v>
      </c>
      <c r="AG269" s="201">
        <v>644584.38</v>
      </c>
      <c r="AH269" s="199"/>
      <c r="AI269" s="150">
        <v>644584.38</v>
      </c>
      <c r="AJ269" s="169">
        <f t="shared" si="401"/>
        <v>0</v>
      </c>
      <c r="AK269" s="201">
        <v>644584.38</v>
      </c>
      <c r="AL269" s="199"/>
      <c r="AM269" s="150">
        <f>AK269+AL269</f>
        <v>644584.38</v>
      </c>
      <c r="AN269" s="153">
        <f t="shared" si="402"/>
        <v>0</v>
      </c>
      <c r="AO269" s="154">
        <f t="shared" si="403"/>
        <v>0</v>
      </c>
      <c r="AP269" s="150">
        <v>644584.38</v>
      </c>
      <c r="AQ269" s="201">
        <v>644584.38</v>
      </c>
      <c r="AR269" s="199"/>
      <c r="AS269" s="150">
        <f>AQ269+AR269</f>
        <v>644584.38</v>
      </c>
      <c r="AT269" s="155"/>
      <c r="AU269" s="156">
        <f t="shared" si="396"/>
        <v>0</v>
      </c>
      <c r="AV269" s="156">
        <f t="shared" si="397"/>
        <v>6563.9699999999721</v>
      </c>
      <c r="AW269" s="157"/>
      <c r="AX269" s="150">
        <v>638020.41</v>
      </c>
      <c r="AY269" s="150">
        <v>412356.52</v>
      </c>
      <c r="AZ269" s="237">
        <f>F269/12*4</f>
        <v>199511.82666666666</v>
      </c>
      <c r="BA269" s="150">
        <f t="shared" si="398"/>
        <v>611868.34666666668</v>
      </c>
      <c r="BB269" s="202">
        <v>4</v>
      </c>
      <c r="BC269" s="202" t="s">
        <v>739</v>
      </c>
      <c r="BD269" s="202" t="s">
        <v>632</v>
      </c>
      <c r="BE269" s="202" t="s">
        <v>632</v>
      </c>
      <c r="BF269" s="202" t="s">
        <v>632</v>
      </c>
      <c r="BG269" s="203" t="s">
        <v>5532</v>
      </c>
      <c r="BH269" s="216">
        <f>AS269+AS270+AS271+AS272</f>
        <v>1555243.42</v>
      </c>
      <c r="BI269" s="205"/>
      <c r="BJ269" s="206" t="s">
        <v>5533</v>
      </c>
      <c r="BK269" s="206" t="s">
        <v>5531</v>
      </c>
      <c r="BL269" s="207" t="s">
        <v>5534</v>
      </c>
      <c r="BM269" s="208">
        <f>BH269</f>
        <v>1555243.42</v>
      </c>
      <c r="BN269" s="160"/>
      <c r="BO269" s="161"/>
      <c r="BP269" s="161"/>
    </row>
    <row r="270" spans="1:68" ht="63.75">
      <c r="A270" s="210"/>
      <c r="B270" s="195" t="s">
        <v>5536</v>
      </c>
      <c r="C270" s="196" t="s">
        <v>5537</v>
      </c>
      <c r="D270" s="146" t="s">
        <v>4692</v>
      </c>
      <c r="E270" s="196" t="s">
        <v>5538</v>
      </c>
      <c r="F270" s="150">
        <v>551390.55000000005</v>
      </c>
      <c r="G270" s="209">
        <v>174778.39</v>
      </c>
      <c r="H270" s="209"/>
      <c r="I270" s="209">
        <v>174778.39</v>
      </c>
      <c r="J270" s="150">
        <v>168068.91</v>
      </c>
      <c r="K270" s="150">
        <v>0</v>
      </c>
      <c r="L270" s="150">
        <f t="shared" si="405"/>
        <v>168068.91</v>
      </c>
      <c r="M270" s="150">
        <v>322764.06</v>
      </c>
      <c r="N270" s="150"/>
      <c r="O270" s="150">
        <v>322764.06</v>
      </c>
      <c r="P270" s="150">
        <v>446324.96</v>
      </c>
      <c r="Q270" s="150">
        <v>0</v>
      </c>
      <c r="R270" s="150">
        <f>P270+Q270</f>
        <v>446324.96</v>
      </c>
      <c r="S270" s="150">
        <f t="shared" si="399"/>
        <v>595099.94666666666</v>
      </c>
      <c r="T270" s="150"/>
      <c r="U270" s="150">
        <v>597958.32999999996</v>
      </c>
      <c r="V270" s="199"/>
      <c r="W270" s="150">
        <f>U270+V270</f>
        <v>597958.32999999996</v>
      </c>
      <c r="X270" s="150">
        <v>597958.32999999996</v>
      </c>
      <c r="Y270" s="150"/>
      <c r="Z270" s="150">
        <v>597958.32999999996</v>
      </c>
      <c r="AA270" s="150">
        <f t="shared" si="400"/>
        <v>5887.1900000000605</v>
      </c>
      <c r="AB270" s="150">
        <v>603845.52</v>
      </c>
      <c r="AC270" s="199"/>
      <c r="AD270" s="150">
        <f>AB270+AC270</f>
        <v>603845.52</v>
      </c>
      <c r="AE270" s="150">
        <v>603845.52</v>
      </c>
      <c r="AF270" s="169" t="s">
        <v>4680</v>
      </c>
      <c r="AG270" s="201">
        <v>603845.52</v>
      </c>
      <c r="AH270" s="199"/>
      <c r="AI270" s="150">
        <v>603845.52</v>
      </c>
      <c r="AJ270" s="169">
        <f t="shared" si="401"/>
        <v>0</v>
      </c>
      <c r="AK270" s="201">
        <v>603845.52</v>
      </c>
      <c r="AL270" s="199"/>
      <c r="AM270" s="150">
        <f>AK270+AL270</f>
        <v>603845.52</v>
      </c>
      <c r="AN270" s="153">
        <f t="shared" si="402"/>
        <v>0</v>
      </c>
      <c r="AO270" s="154">
        <f t="shared" si="403"/>
        <v>0</v>
      </c>
      <c r="AP270" s="150">
        <v>603845.52</v>
      </c>
      <c r="AQ270" s="201">
        <v>603845.52</v>
      </c>
      <c r="AR270" s="199"/>
      <c r="AS270" s="150">
        <f>AQ270+AR270</f>
        <v>603845.52</v>
      </c>
      <c r="AT270" s="155"/>
      <c r="AU270" s="156">
        <f t="shared" si="396"/>
        <v>0</v>
      </c>
      <c r="AV270" s="156">
        <f t="shared" si="397"/>
        <v>5887.1900000000605</v>
      </c>
      <c r="AW270" s="157"/>
      <c r="AX270" s="150">
        <v>597958.32999999996</v>
      </c>
      <c r="AY270" s="150">
        <v>397515.75</v>
      </c>
      <c r="AZ270" s="237">
        <f>F270/12*4</f>
        <v>183796.85</v>
      </c>
      <c r="BA270" s="150">
        <f t="shared" si="398"/>
        <v>581312.6</v>
      </c>
      <c r="BB270" s="210"/>
      <c r="BC270" s="210"/>
      <c r="BD270" s="210"/>
      <c r="BE270" s="210"/>
      <c r="BF270" s="210"/>
      <c r="BG270" s="210"/>
      <c r="BH270" s="217"/>
      <c r="BI270" s="210"/>
      <c r="BJ270" s="210"/>
      <c r="BK270" s="210"/>
      <c r="BL270" s="210"/>
      <c r="BM270" s="208"/>
      <c r="BN270" s="160"/>
      <c r="BO270" s="161"/>
      <c r="BP270" s="161"/>
    </row>
    <row r="271" spans="1:68" ht="63.75">
      <c r="A271" s="210"/>
      <c r="B271" s="195" t="s">
        <v>5539</v>
      </c>
      <c r="C271" s="196" t="s">
        <v>5540</v>
      </c>
      <c r="D271" s="146" t="s">
        <v>4692</v>
      </c>
      <c r="E271" s="196" t="s">
        <v>5540</v>
      </c>
      <c r="F271" s="150">
        <v>174743.12</v>
      </c>
      <c r="G271" s="209">
        <v>111233.55</v>
      </c>
      <c r="H271" s="209"/>
      <c r="I271" s="209">
        <v>111233.55</v>
      </c>
      <c r="J271" s="150">
        <v>49670.67</v>
      </c>
      <c r="K271" s="150">
        <v>0</v>
      </c>
      <c r="L271" s="150">
        <f t="shared" si="405"/>
        <v>49670.67</v>
      </c>
      <c r="M271" s="150">
        <v>99074.67</v>
      </c>
      <c r="N271" s="150"/>
      <c r="O271" s="150">
        <v>99074.67</v>
      </c>
      <c r="P271" s="150">
        <v>145117.59</v>
      </c>
      <c r="Q271" s="150">
        <v>0</v>
      </c>
      <c r="R271" s="150">
        <f>P271+Q271</f>
        <v>145117.59</v>
      </c>
      <c r="S271" s="150">
        <f t="shared" si="399"/>
        <v>193490.12</v>
      </c>
      <c r="T271" s="150"/>
      <c r="U271" s="150">
        <v>197351.06</v>
      </c>
      <c r="V271" s="199"/>
      <c r="W271" s="150">
        <f>U271+V271</f>
        <v>197351.06</v>
      </c>
      <c r="X271" s="150">
        <v>197351.06</v>
      </c>
      <c r="Y271" s="150"/>
      <c r="Z271" s="150">
        <v>197351.06</v>
      </c>
      <c r="AA271" s="150">
        <f t="shared" si="400"/>
        <v>36.410000000003492</v>
      </c>
      <c r="AB271" s="150">
        <v>197387.47</v>
      </c>
      <c r="AC271" s="199"/>
      <c r="AD271" s="150">
        <f>AB271+AC271</f>
        <v>197387.47</v>
      </c>
      <c r="AE271" s="150">
        <v>197387.47</v>
      </c>
      <c r="AF271" s="169" t="s">
        <v>4680</v>
      </c>
      <c r="AG271" s="201">
        <v>197387.47</v>
      </c>
      <c r="AH271" s="199"/>
      <c r="AI271" s="150">
        <v>197387.47</v>
      </c>
      <c r="AJ271" s="169">
        <f t="shared" si="401"/>
        <v>0</v>
      </c>
      <c r="AK271" s="201">
        <v>197387.47</v>
      </c>
      <c r="AL271" s="199"/>
      <c r="AM271" s="150">
        <f>AK271+AL271</f>
        <v>197387.47</v>
      </c>
      <c r="AN271" s="153">
        <f t="shared" si="402"/>
        <v>0</v>
      </c>
      <c r="AO271" s="154">
        <f t="shared" si="403"/>
        <v>0</v>
      </c>
      <c r="AP271" s="150">
        <v>197387.47</v>
      </c>
      <c r="AQ271" s="201">
        <v>197387.47</v>
      </c>
      <c r="AR271" s="199"/>
      <c r="AS271" s="150">
        <f>AQ271+AR271</f>
        <v>197387.47</v>
      </c>
      <c r="AT271" s="155"/>
      <c r="AU271" s="156">
        <f t="shared" si="396"/>
        <v>0</v>
      </c>
      <c r="AV271" s="156">
        <f t="shared" si="397"/>
        <v>36.410000000003492</v>
      </c>
      <c r="AW271" s="157"/>
      <c r="AX271" s="150">
        <v>197351.06</v>
      </c>
      <c r="AY271" s="150">
        <v>126572.15</v>
      </c>
      <c r="AZ271" s="237">
        <f>F271/12*4</f>
        <v>58247.706666666665</v>
      </c>
      <c r="BA271" s="150">
        <f t="shared" si="398"/>
        <v>184819.85666666666</v>
      </c>
      <c r="BB271" s="210"/>
      <c r="BC271" s="210"/>
      <c r="BD271" s="210"/>
      <c r="BE271" s="210"/>
      <c r="BF271" s="210"/>
      <c r="BG271" s="210"/>
      <c r="BH271" s="217"/>
      <c r="BI271" s="210"/>
      <c r="BJ271" s="210"/>
      <c r="BK271" s="210"/>
      <c r="BL271" s="210"/>
      <c r="BM271" s="208"/>
      <c r="BN271" s="160"/>
      <c r="BO271" s="161"/>
      <c r="BP271" s="161"/>
    </row>
    <row r="272" spans="1:68" ht="51">
      <c r="A272" s="210"/>
      <c r="B272" s="195" t="s">
        <v>5541</v>
      </c>
      <c r="C272" s="196" t="s">
        <v>5542</v>
      </c>
      <c r="D272" s="146" t="s">
        <v>4692</v>
      </c>
      <c r="E272" s="196" t="s">
        <v>5542</v>
      </c>
      <c r="F272" s="150">
        <v>111233.55</v>
      </c>
      <c r="G272" s="209">
        <v>10650</v>
      </c>
      <c r="H272" s="209">
        <v>0</v>
      </c>
      <c r="I272" s="209">
        <v>10650</v>
      </c>
      <c r="J272" s="150">
        <v>32101.200000000001</v>
      </c>
      <c r="K272" s="150">
        <v>0</v>
      </c>
      <c r="L272" s="150">
        <f t="shared" si="405"/>
        <v>32101.200000000001</v>
      </c>
      <c r="M272" s="150">
        <v>58888.35</v>
      </c>
      <c r="N272" s="150"/>
      <c r="O272" s="150">
        <v>58888.35</v>
      </c>
      <c r="P272" s="150">
        <v>81590.55</v>
      </c>
      <c r="Q272" s="150">
        <v>0</v>
      </c>
      <c r="R272" s="150">
        <f>P272+Q272</f>
        <v>81590.55</v>
      </c>
      <c r="S272" s="150">
        <f t="shared" si="399"/>
        <v>108787.4</v>
      </c>
      <c r="T272" s="150"/>
      <c r="U272" s="150">
        <v>109426.05</v>
      </c>
      <c r="V272" s="199"/>
      <c r="W272" s="150">
        <f>U272+V272</f>
        <v>109426.05</v>
      </c>
      <c r="X272" s="150">
        <v>109426.05</v>
      </c>
      <c r="Y272" s="150"/>
      <c r="Z272" s="150">
        <v>109426.05</v>
      </c>
      <c r="AA272" s="150">
        <f t="shared" si="400"/>
        <v>0</v>
      </c>
      <c r="AB272" s="150">
        <v>109426.05</v>
      </c>
      <c r="AC272" s="199"/>
      <c r="AD272" s="150">
        <f>AB272+AC272</f>
        <v>109426.05</v>
      </c>
      <c r="AE272" s="150">
        <v>109426.05</v>
      </c>
      <c r="AF272" s="169" t="s">
        <v>4680</v>
      </c>
      <c r="AG272" s="201">
        <v>109426.05</v>
      </c>
      <c r="AH272" s="199"/>
      <c r="AI272" s="150">
        <v>109426.05</v>
      </c>
      <c r="AJ272" s="169">
        <f t="shared" si="401"/>
        <v>0</v>
      </c>
      <c r="AK272" s="201">
        <v>109426.05</v>
      </c>
      <c r="AL272" s="199"/>
      <c r="AM272" s="150">
        <f>AK272+AL272</f>
        <v>109426.05</v>
      </c>
      <c r="AN272" s="153">
        <f t="shared" si="402"/>
        <v>0</v>
      </c>
      <c r="AO272" s="154">
        <f t="shared" si="403"/>
        <v>0</v>
      </c>
      <c r="AP272" s="150">
        <v>109426.05</v>
      </c>
      <c r="AQ272" s="201">
        <v>109426.05</v>
      </c>
      <c r="AR272" s="199"/>
      <c r="AS272" s="150">
        <f>AQ272+AR272</f>
        <v>109426.05</v>
      </c>
      <c r="AT272" s="155"/>
      <c r="AU272" s="156">
        <f t="shared" si="396"/>
        <v>0</v>
      </c>
      <c r="AV272" s="156">
        <f t="shared" si="397"/>
        <v>0</v>
      </c>
      <c r="AW272" s="157"/>
      <c r="AX272" s="150">
        <v>109426.05</v>
      </c>
      <c r="AY272" s="150">
        <v>72336.149999999994</v>
      </c>
      <c r="AZ272" s="237">
        <f>F272/12*4</f>
        <v>37077.85</v>
      </c>
      <c r="BA272" s="150">
        <f t="shared" si="398"/>
        <v>109414</v>
      </c>
      <c r="BB272" s="210"/>
      <c r="BC272" s="210"/>
      <c r="BD272" s="210"/>
      <c r="BE272" s="210"/>
      <c r="BF272" s="210"/>
      <c r="BG272" s="210"/>
      <c r="BH272" s="217"/>
      <c r="BI272" s="210"/>
      <c r="BJ272" s="210"/>
      <c r="BK272" s="210"/>
      <c r="BL272" s="210"/>
      <c r="BM272" s="208"/>
      <c r="BN272" s="160"/>
      <c r="BO272" s="161"/>
      <c r="BP272" s="161"/>
    </row>
    <row r="273" spans="1:68" ht="51">
      <c r="A273" s="255" t="s">
        <v>5543</v>
      </c>
      <c r="B273" s="174"/>
      <c r="C273" s="175" t="s">
        <v>5544</v>
      </c>
      <c r="D273" s="146" t="s">
        <v>4692</v>
      </c>
      <c r="E273" s="175" t="s">
        <v>5544</v>
      </c>
      <c r="F273" s="176">
        <v>10650</v>
      </c>
      <c r="G273" s="177">
        <v>10650</v>
      </c>
      <c r="H273" s="177">
        <v>0</v>
      </c>
      <c r="I273" s="177">
        <v>10650</v>
      </c>
      <c r="J273" s="176">
        <f>J274</f>
        <v>3300</v>
      </c>
      <c r="K273" s="176">
        <f>K274</f>
        <v>0</v>
      </c>
      <c r="L273" s="176">
        <f t="shared" si="405"/>
        <v>3300</v>
      </c>
      <c r="M273" s="178">
        <v>6775</v>
      </c>
      <c r="N273" s="178">
        <v>0</v>
      </c>
      <c r="O273" s="178">
        <v>6775</v>
      </c>
      <c r="P273" s="221">
        <f t="shared" ref="P273:AS273" si="421">P274</f>
        <v>9950</v>
      </c>
      <c r="Q273" s="221">
        <f t="shared" si="421"/>
        <v>0</v>
      </c>
      <c r="R273" s="268">
        <f t="shared" si="421"/>
        <v>9950</v>
      </c>
      <c r="S273" s="150">
        <f t="shared" si="399"/>
        <v>13266.666666666668</v>
      </c>
      <c r="T273" s="213"/>
      <c r="U273" s="221">
        <f t="shared" ref="U273:W273" si="422">U274</f>
        <v>12475</v>
      </c>
      <c r="V273" s="222">
        <f t="shared" si="422"/>
        <v>0</v>
      </c>
      <c r="W273" s="268">
        <f t="shared" si="422"/>
        <v>12475</v>
      </c>
      <c r="X273" s="268">
        <v>12475</v>
      </c>
      <c r="Y273" s="268">
        <v>0</v>
      </c>
      <c r="Z273" s="268">
        <v>12475</v>
      </c>
      <c r="AA273" s="268">
        <f t="shared" si="400"/>
        <v>0</v>
      </c>
      <c r="AB273" s="221">
        <v>12475</v>
      </c>
      <c r="AC273" s="222">
        <v>0</v>
      </c>
      <c r="AD273" s="268">
        <f t="shared" si="421"/>
        <v>12475</v>
      </c>
      <c r="AE273" s="268">
        <v>12475</v>
      </c>
      <c r="AF273" s="169" t="s">
        <v>4680</v>
      </c>
      <c r="AG273" s="223">
        <v>12475</v>
      </c>
      <c r="AH273" s="222">
        <v>0</v>
      </c>
      <c r="AI273" s="268">
        <v>12475</v>
      </c>
      <c r="AJ273" s="169">
        <f t="shared" si="401"/>
        <v>0</v>
      </c>
      <c r="AK273" s="223">
        <v>12475</v>
      </c>
      <c r="AL273" s="222">
        <v>0</v>
      </c>
      <c r="AM273" s="268">
        <f t="shared" si="421"/>
        <v>12475</v>
      </c>
      <c r="AN273" s="153">
        <f t="shared" si="402"/>
        <v>0</v>
      </c>
      <c r="AO273" s="154">
        <f t="shared" si="403"/>
        <v>0</v>
      </c>
      <c r="AP273" s="268">
        <v>12475</v>
      </c>
      <c r="AQ273" s="223">
        <v>12475</v>
      </c>
      <c r="AR273" s="222">
        <f t="shared" si="421"/>
        <v>0</v>
      </c>
      <c r="AS273" s="268">
        <f t="shared" si="421"/>
        <v>12475</v>
      </c>
      <c r="AT273" s="155"/>
      <c r="AU273" s="156">
        <f t="shared" si="396"/>
        <v>0</v>
      </c>
      <c r="AV273" s="156">
        <f t="shared" si="397"/>
        <v>0</v>
      </c>
      <c r="AW273" s="157"/>
      <c r="AX273" s="150">
        <v>12475</v>
      </c>
      <c r="AY273" s="221">
        <f t="shared" ref="AY273:BA273" si="423">AY274</f>
        <v>8975</v>
      </c>
      <c r="AZ273" s="221">
        <f t="shared" si="423"/>
        <v>3550</v>
      </c>
      <c r="BA273" s="268">
        <f t="shared" si="423"/>
        <v>12525</v>
      </c>
      <c r="BB273" s="254">
        <v>4</v>
      </c>
      <c r="BC273" s="255" t="s">
        <v>739</v>
      </c>
      <c r="BD273" s="255" t="s">
        <v>647</v>
      </c>
      <c r="BE273" s="173" t="s">
        <v>630</v>
      </c>
      <c r="BF273" s="255" t="s">
        <v>630</v>
      </c>
      <c r="BG273" s="175" t="s">
        <v>5544</v>
      </c>
      <c r="BH273" s="268">
        <f>BH274</f>
        <v>12475</v>
      </c>
      <c r="BI273" s="254"/>
      <c r="BJ273" s="255" t="s">
        <v>5545</v>
      </c>
      <c r="BK273" s="255" t="s">
        <v>5543</v>
      </c>
      <c r="BL273" s="182" t="s">
        <v>5546</v>
      </c>
      <c r="BM273" s="268">
        <f>BM274</f>
        <v>12475</v>
      </c>
      <c r="BN273" s="160"/>
      <c r="BO273" s="161">
        <f t="shared" si="404"/>
        <v>0</v>
      </c>
      <c r="BP273" s="161"/>
    </row>
    <row r="274" spans="1:68" ht="51">
      <c r="A274" s="256" t="s">
        <v>5543</v>
      </c>
      <c r="B274" s="184"/>
      <c r="C274" s="185" t="s">
        <v>5544</v>
      </c>
      <c r="D274" s="146" t="s">
        <v>4692</v>
      </c>
      <c r="E274" s="185" t="s">
        <v>5544</v>
      </c>
      <c r="F274" s="186">
        <v>10650</v>
      </c>
      <c r="G274" s="187">
        <v>10650</v>
      </c>
      <c r="H274" s="187"/>
      <c r="I274" s="187">
        <v>10650</v>
      </c>
      <c r="J274" s="186">
        <f>SUBTOTAL(9,J275)</f>
        <v>3300</v>
      </c>
      <c r="K274" s="186">
        <f>SUBTOTAL(9,K275)</f>
        <v>0</v>
      </c>
      <c r="L274" s="186">
        <f t="shared" si="405"/>
        <v>3300</v>
      </c>
      <c r="M274" s="188">
        <v>6775</v>
      </c>
      <c r="N274" s="188">
        <v>0</v>
      </c>
      <c r="O274" s="188">
        <v>6775</v>
      </c>
      <c r="P274" s="225">
        <f t="shared" ref="P274:AS274" si="424">SUBTOTAL(9,P275)</f>
        <v>9950</v>
      </c>
      <c r="Q274" s="225">
        <f t="shared" si="424"/>
        <v>0</v>
      </c>
      <c r="R274" s="269">
        <f t="shared" si="424"/>
        <v>9950</v>
      </c>
      <c r="S274" s="150">
        <f t="shared" si="399"/>
        <v>13266.666666666668</v>
      </c>
      <c r="T274" s="213"/>
      <c r="U274" s="225">
        <f t="shared" ref="U274:W274" si="425">SUBTOTAL(9,U275)</f>
        <v>12475</v>
      </c>
      <c r="V274" s="226">
        <f t="shared" si="425"/>
        <v>0</v>
      </c>
      <c r="W274" s="269">
        <f t="shared" si="425"/>
        <v>12475</v>
      </c>
      <c r="X274" s="269">
        <v>12475</v>
      </c>
      <c r="Y274" s="269">
        <v>0</v>
      </c>
      <c r="Z274" s="269">
        <v>12475</v>
      </c>
      <c r="AA274" s="269">
        <f t="shared" si="400"/>
        <v>0</v>
      </c>
      <c r="AB274" s="225">
        <v>12475</v>
      </c>
      <c r="AC274" s="226">
        <v>0</v>
      </c>
      <c r="AD274" s="269">
        <f t="shared" si="424"/>
        <v>12475</v>
      </c>
      <c r="AE274" s="269">
        <v>12475</v>
      </c>
      <c r="AF274" s="169" t="s">
        <v>4680</v>
      </c>
      <c r="AG274" s="212">
        <v>12475</v>
      </c>
      <c r="AH274" s="226">
        <v>0</v>
      </c>
      <c r="AI274" s="269">
        <v>12475</v>
      </c>
      <c r="AJ274" s="169">
        <f t="shared" si="401"/>
        <v>0</v>
      </c>
      <c r="AK274" s="212">
        <v>12475</v>
      </c>
      <c r="AL274" s="226">
        <v>0</v>
      </c>
      <c r="AM274" s="269">
        <f t="shared" si="424"/>
        <v>12475</v>
      </c>
      <c r="AN274" s="153">
        <f t="shared" si="402"/>
        <v>0</v>
      </c>
      <c r="AO274" s="154">
        <f t="shared" si="403"/>
        <v>0</v>
      </c>
      <c r="AP274" s="269">
        <v>12475</v>
      </c>
      <c r="AQ274" s="212">
        <v>12475</v>
      </c>
      <c r="AR274" s="226">
        <f t="shared" si="424"/>
        <v>0</v>
      </c>
      <c r="AS274" s="269">
        <f t="shared" si="424"/>
        <v>12475</v>
      </c>
      <c r="AT274" s="155"/>
      <c r="AU274" s="156">
        <f t="shared" si="396"/>
        <v>0</v>
      </c>
      <c r="AV274" s="156">
        <f t="shared" si="397"/>
        <v>0</v>
      </c>
      <c r="AW274" s="157"/>
      <c r="AX274" s="150">
        <v>12475</v>
      </c>
      <c r="AY274" s="225">
        <f t="shared" ref="AY274:BA274" si="426">SUBTOTAL(9,AY275)</f>
        <v>8975</v>
      </c>
      <c r="AZ274" s="225">
        <f t="shared" si="426"/>
        <v>3550</v>
      </c>
      <c r="BA274" s="269">
        <f t="shared" si="426"/>
        <v>12525</v>
      </c>
      <c r="BB274" s="192">
        <v>4</v>
      </c>
      <c r="BC274" s="256" t="s">
        <v>739</v>
      </c>
      <c r="BD274" s="256" t="s">
        <v>647</v>
      </c>
      <c r="BE274" s="256" t="s">
        <v>632</v>
      </c>
      <c r="BF274" s="256" t="s">
        <v>630</v>
      </c>
      <c r="BG274" s="185" t="s">
        <v>5544</v>
      </c>
      <c r="BH274" s="269">
        <f>SUBTOTAL(9,BH275)</f>
        <v>12475</v>
      </c>
      <c r="BI274" s="192"/>
      <c r="BJ274" s="256" t="s">
        <v>5545</v>
      </c>
      <c r="BK274" s="256" t="s">
        <v>5543</v>
      </c>
      <c r="BL274" s="238" t="s">
        <v>5546</v>
      </c>
      <c r="BM274" s="269">
        <f>SUBTOTAL(9,BM275)</f>
        <v>12475</v>
      </c>
      <c r="BN274" s="160"/>
      <c r="BO274" s="161">
        <f t="shared" si="404"/>
        <v>0</v>
      </c>
      <c r="BP274" s="161"/>
    </row>
    <row r="275" spans="1:68" ht="38.25">
      <c r="A275" s="206" t="s">
        <v>5543</v>
      </c>
      <c r="B275" s="195" t="s">
        <v>5547</v>
      </c>
      <c r="C275" s="196" t="s">
        <v>5548</v>
      </c>
      <c r="D275" s="146" t="s">
        <v>4692</v>
      </c>
      <c r="E275" s="196" t="s">
        <v>5548</v>
      </c>
      <c r="F275" s="150">
        <v>10650</v>
      </c>
      <c r="G275" s="209">
        <v>0</v>
      </c>
      <c r="H275" s="209">
        <v>0</v>
      </c>
      <c r="I275" s="209">
        <v>0</v>
      </c>
      <c r="J275" s="150">
        <v>3300</v>
      </c>
      <c r="K275" s="150">
        <v>0</v>
      </c>
      <c r="L275" s="150">
        <f t="shared" si="405"/>
        <v>3300</v>
      </c>
      <c r="M275" s="150">
        <v>6775</v>
      </c>
      <c r="N275" s="150"/>
      <c r="O275" s="150">
        <v>6775</v>
      </c>
      <c r="P275" s="150">
        <v>9950</v>
      </c>
      <c r="Q275" s="150">
        <v>0</v>
      </c>
      <c r="R275" s="150">
        <f>P275+Q275</f>
        <v>9950</v>
      </c>
      <c r="S275" s="150">
        <f t="shared" si="399"/>
        <v>13266.666666666668</v>
      </c>
      <c r="T275" s="150"/>
      <c r="U275" s="150">
        <v>12475</v>
      </c>
      <c r="V275" s="199"/>
      <c r="W275" s="150">
        <f>U275+V275</f>
        <v>12475</v>
      </c>
      <c r="X275" s="150">
        <v>12475</v>
      </c>
      <c r="Y275" s="150"/>
      <c r="Z275" s="150">
        <v>12475</v>
      </c>
      <c r="AA275" s="150">
        <f t="shared" si="400"/>
        <v>0</v>
      </c>
      <c r="AB275" s="150">
        <v>12475</v>
      </c>
      <c r="AC275" s="199"/>
      <c r="AD275" s="150">
        <f>AB275+AC275</f>
        <v>12475</v>
      </c>
      <c r="AE275" s="150">
        <v>12475</v>
      </c>
      <c r="AF275" s="169" t="s">
        <v>4680</v>
      </c>
      <c r="AG275" s="201">
        <v>12475</v>
      </c>
      <c r="AH275" s="199"/>
      <c r="AI275" s="150">
        <v>12475</v>
      </c>
      <c r="AJ275" s="169">
        <f t="shared" si="401"/>
        <v>0</v>
      </c>
      <c r="AK275" s="201">
        <v>12475</v>
      </c>
      <c r="AL275" s="199"/>
      <c r="AM275" s="150">
        <f>AK275+AL275</f>
        <v>12475</v>
      </c>
      <c r="AN275" s="153">
        <f t="shared" si="402"/>
        <v>0</v>
      </c>
      <c r="AO275" s="154">
        <f t="shared" si="403"/>
        <v>0</v>
      </c>
      <c r="AP275" s="150">
        <v>12475</v>
      </c>
      <c r="AQ275" s="201">
        <v>12475</v>
      </c>
      <c r="AR275" s="199"/>
      <c r="AS275" s="150">
        <f>AQ275+AR275</f>
        <v>12475</v>
      </c>
      <c r="AT275" s="155"/>
      <c r="AU275" s="156">
        <f t="shared" si="396"/>
        <v>0</v>
      </c>
      <c r="AV275" s="156">
        <f t="shared" si="397"/>
        <v>0</v>
      </c>
      <c r="AW275" s="157"/>
      <c r="AX275" s="150">
        <v>12475</v>
      </c>
      <c r="AY275" s="150">
        <v>8975</v>
      </c>
      <c r="AZ275" s="237">
        <f>F275/12*4</f>
        <v>3550</v>
      </c>
      <c r="BA275" s="150">
        <f t="shared" si="398"/>
        <v>12525</v>
      </c>
      <c r="BB275" s="202">
        <v>4</v>
      </c>
      <c r="BC275" s="202" t="s">
        <v>739</v>
      </c>
      <c r="BD275" s="202" t="s">
        <v>647</v>
      </c>
      <c r="BE275" s="202" t="s">
        <v>632</v>
      </c>
      <c r="BF275" s="202" t="s">
        <v>632</v>
      </c>
      <c r="BG275" s="203" t="s">
        <v>5544</v>
      </c>
      <c r="BH275" s="216">
        <f>AS275</f>
        <v>12475</v>
      </c>
      <c r="BI275" s="205"/>
      <c r="BJ275" s="206" t="s">
        <v>5545</v>
      </c>
      <c r="BK275" s="206" t="s">
        <v>5543</v>
      </c>
      <c r="BL275" s="207" t="s">
        <v>5546</v>
      </c>
      <c r="BM275" s="208">
        <f>BH275</f>
        <v>12475</v>
      </c>
      <c r="BN275" s="160"/>
      <c r="BO275" s="161">
        <f t="shared" si="404"/>
        <v>0</v>
      </c>
      <c r="BP275" s="161"/>
    </row>
    <row r="276" spans="1:68" ht="38.25">
      <c r="A276" s="255" t="s">
        <v>5549</v>
      </c>
      <c r="B276" s="174"/>
      <c r="C276" s="175" t="s">
        <v>5550</v>
      </c>
      <c r="D276" s="146" t="s">
        <v>4692</v>
      </c>
      <c r="E276" s="175" t="s">
        <v>5550</v>
      </c>
      <c r="F276" s="176">
        <v>0</v>
      </c>
      <c r="G276" s="177">
        <v>0</v>
      </c>
      <c r="H276" s="177">
        <v>0</v>
      </c>
      <c r="I276" s="177">
        <v>0</v>
      </c>
      <c r="J276" s="176">
        <f>J277</f>
        <v>0</v>
      </c>
      <c r="K276" s="176">
        <f>K277</f>
        <v>0</v>
      </c>
      <c r="L276" s="176">
        <f t="shared" si="405"/>
        <v>0</v>
      </c>
      <c r="M276" s="178">
        <v>0</v>
      </c>
      <c r="N276" s="178">
        <v>0</v>
      </c>
      <c r="O276" s="178">
        <v>0</v>
      </c>
      <c r="P276" s="221">
        <f t="shared" ref="P276:AS276" si="427">P277</f>
        <v>0</v>
      </c>
      <c r="Q276" s="221">
        <f t="shared" si="427"/>
        <v>0</v>
      </c>
      <c r="R276" s="221">
        <f t="shared" si="427"/>
        <v>0</v>
      </c>
      <c r="S276" s="150">
        <f t="shared" si="399"/>
        <v>0</v>
      </c>
      <c r="T276" s="213"/>
      <c r="U276" s="221">
        <f t="shared" ref="U276:W276" si="428">U277</f>
        <v>0</v>
      </c>
      <c r="V276" s="222">
        <f t="shared" si="428"/>
        <v>0</v>
      </c>
      <c r="W276" s="221">
        <f t="shared" si="428"/>
        <v>0</v>
      </c>
      <c r="X276" s="221">
        <v>0</v>
      </c>
      <c r="Y276" s="221">
        <v>0</v>
      </c>
      <c r="Z276" s="221">
        <v>0</v>
      </c>
      <c r="AA276" s="221">
        <f t="shared" si="400"/>
        <v>0</v>
      </c>
      <c r="AB276" s="221">
        <v>0</v>
      </c>
      <c r="AC276" s="222">
        <v>0</v>
      </c>
      <c r="AD276" s="221">
        <f t="shared" si="427"/>
        <v>0</v>
      </c>
      <c r="AE276" s="221">
        <v>0</v>
      </c>
      <c r="AF276" s="169" t="s">
        <v>4680</v>
      </c>
      <c r="AG276" s="223">
        <v>0</v>
      </c>
      <c r="AH276" s="222">
        <v>0</v>
      </c>
      <c r="AI276" s="221">
        <v>0</v>
      </c>
      <c r="AJ276" s="169">
        <f t="shared" si="401"/>
        <v>0</v>
      </c>
      <c r="AK276" s="223">
        <v>0</v>
      </c>
      <c r="AL276" s="222">
        <v>0</v>
      </c>
      <c r="AM276" s="221">
        <f t="shared" si="427"/>
        <v>0</v>
      </c>
      <c r="AN276" s="153">
        <f t="shared" si="402"/>
        <v>0</v>
      </c>
      <c r="AO276" s="154">
        <f t="shared" si="403"/>
        <v>0</v>
      </c>
      <c r="AP276" s="221">
        <v>0</v>
      </c>
      <c r="AQ276" s="223">
        <v>0</v>
      </c>
      <c r="AR276" s="222">
        <f t="shared" si="427"/>
        <v>0</v>
      </c>
      <c r="AS276" s="221">
        <f t="shared" si="427"/>
        <v>0</v>
      </c>
      <c r="AT276" s="155"/>
      <c r="AU276" s="156">
        <f t="shared" si="396"/>
        <v>0</v>
      </c>
      <c r="AV276" s="156">
        <f t="shared" si="397"/>
        <v>0</v>
      </c>
      <c r="AW276" s="157"/>
      <c r="AX276" s="150">
        <v>0</v>
      </c>
      <c r="AY276" s="221">
        <f t="shared" ref="AY276:BA276" si="429">AY277</f>
        <v>0</v>
      </c>
      <c r="AZ276" s="221">
        <f t="shared" si="429"/>
        <v>0</v>
      </c>
      <c r="BA276" s="221">
        <f t="shared" si="429"/>
        <v>0</v>
      </c>
      <c r="BB276" s="254">
        <v>4</v>
      </c>
      <c r="BC276" s="255" t="s">
        <v>739</v>
      </c>
      <c r="BD276" s="255" t="s">
        <v>671</v>
      </c>
      <c r="BE276" s="173" t="s">
        <v>630</v>
      </c>
      <c r="BF276" s="255" t="s">
        <v>630</v>
      </c>
      <c r="BG276" s="175" t="s">
        <v>5550</v>
      </c>
      <c r="BH276" s="224">
        <f>BH277</f>
        <v>0</v>
      </c>
      <c r="BI276" s="254"/>
      <c r="BJ276" s="255" t="s">
        <v>5551</v>
      </c>
      <c r="BK276" s="255" t="s">
        <v>5549</v>
      </c>
      <c r="BL276" s="182" t="s">
        <v>5552</v>
      </c>
      <c r="BM276" s="224">
        <f>BM277</f>
        <v>0</v>
      </c>
      <c r="BN276" s="160"/>
      <c r="BO276" s="161">
        <f t="shared" si="404"/>
        <v>0</v>
      </c>
      <c r="BP276" s="161"/>
    </row>
    <row r="277" spans="1:68" ht="38.25">
      <c r="A277" s="256" t="s">
        <v>5549</v>
      </c>
      <c r="B277" s="184"/>
      <c r="C277" s="270" t="s">
        <v>5553</v>
      </c>
      <c r="D277" s="146" t="s">
        <v>4692</v>
      </c>
      <c r="E277" s="270" t="s">
        <v>5553</v>
      </c>
      <c r="F277" s="271">
        <v>0</v>
      </c>
      <c r="G277" s="272">
        <v>0</v>
      </c>
      <c r="H277" s="272"/>
      <c r="I277" s="272">
        <v>0</v>
      </c>
      <c r="J277" s="271">
        <f>SUBTOTAL(9,J278)</f>
        <v>0</v>
      </c>
      <c r="K277" s="271">
        <f>SUBTOTAL(9,K278)</f>
        <v>0</v>
      </c>
      <c r="L277" s="271">
        <f t="shared" si="405"/>
        <v>0</v>
      </c>
      <c r="M277" s="272">
        <v>0</v>
      </c>
      <c r="N277" s="272">
        <v>0</v>
      </c>
      <c r="O277" s="272">
        <v>0</v>
      </c>
      <c r="P277" s="273">
        <f t="shared" ref="P277:AS277" si="430">SUBTOTAL(9,P278)</f>
        <v>0</v>
      </c>
      <c r="Q277" s="273">
        <f t="shared" si="430"/>
        <v>0</v>
      </c>
      <c r="R277" s="273">
        <f t="shared" si="430"/>
        <v>0</v>
      </c>
      <c r="S277" s="150">
        <f t="shared" si="399"/>
        <v>0</v>
      </c>
      <c r="T277" s="213"/>
      <c r="U277" s="273">
        <f t="shared" ref="U277:W277" si="431">SUBTOTAL(9,U278)</f>
        <v>0</v>
      </c>
      <c r="V277" s="274">
        <f t="shared" si="431"/>
        <v>0</v>
      </c>
      <c r="W277" s="273">
        <f t="shared" si="431"/>
        <v>0</v>
      </c>
      <c r="X277" s="273">
        <v>0</v>
      </c>
      <c r="Y277" s="273">
        <v>0</v>
      </c>
      <c r="Z277" s="273">
        <v>0</v>
      </c>
      <c r="AA277" s="273">
        <f t="shared" si="400"/>
        <v>0</v>
      </c>
      <c r="AB277" s="273">
        <v>0</v>
      </c>
      <c r="AC277" s="274">
        <v>0</v>
      </c>
      <c r="AD277" s="273">
        <f t="shared" si="430"/>
        <v>0</v>
      </c>
      <c r="AE277" s="273">
        <v>0</v>
      </c>
      <c r="AF277" s="169" t="s">
        <v>4680</v>
      </c>
      <c r="AG277" s="275">
        <v>0</v>
      </c>
      <c r="AH277" s="274">
        <v>0</v>
      </c>
      <c r="AI277" s="273">
        <v>0</v>
      </c>
      <c r="AJ277" s="169">
        <f t="shared" si="401"/>
        <v>0</v>
      </c>
      <c r="AK277" s="275">
        <v>0</v>
      </c>
      <c r="AL277" s="274">
        <v>0</v>
      </c>
      <c r="AM277" s="273">
        <f t="shared" si="430"/>
        <v>0</v>
      </c>
      <c r="AN277" s="153">
        <f t="shared" si="402"/>
        <v>0</v>
      </c>
      <c r="AO277" s="154">
        <f t="shared" si="403"/>
        <v>0</v>
      </c>
      <c r="AP277" s="273">
        <v>0</v>
      </c>
      <c r="AQ277" s="275">
        <v>0</v>
      </c>
      <c r="AR277" s="274">
        <f t="shared" si="430"/>
        <v>0</v>
      </c>
      <c r="AS277" s="273">
        <f t="shared" si="430"/>
        <v>0</v>
      </c>
      <c r="AT277" s="155"/>
      <c r="AU277" s="156">
        <f t="shared" si="396"/>
        <v>0</v>
      </c>
      <c r="AV277" s="156">
        <f t="shared" si="397"/>
        <v>0</v>
      </c>
      <c r="AW277" s="157"/>
      <c r="AX277" s="150">
        <v>0</v>
      </c>
      <c r="AY277" s="273">
        <f t="shared" ref="AY277:BA277" si="432">SUBTOTAL(9,AY278)</f>
        <v>0</v>
      </c>
      <c r="AZ277" s="273">
        <f t="shared" si="432"/>
        <v>0</v>
      </c>
      <c r="BA277" s="273">
        <f t="shared" si="432"/>
        <v>0</v>
      </c>
      <c r="BB277" s="192">
        <v>4</v>
      </c>
      <c r="BC277" s="256" t="s">
        <v>739</v>
      </c>
      <c r="BD277" s="256" t="s">
        <v>671</v>
      </c>
      <c r="BE277" s="256" t="s">
        <v>632</v>
      </c>
      <c r="BF277" s="256" t="s">
        <v>630</v>
      </c>
      <c r="BG277" s="185" t="s">
        <v>5550</v>
      </c>
      <c r="BH277" s="276">
        <f>SUBTOTAL(9,BH278)</f>
        <v>0</v>
      </c>
      <c r="BI277" s="192"/>
      <c r="BJ277" s="256" t="s">
        <v>5551</v>
      </c>
      <c r="BK277" s="256" t="s">
        <v>5549</v>
      </c>
      <c r="BL277" s="238" t="s">
        <v>5552</v>
      </c>
      <c r="BM277" s="276">
        <f>SUBTOTAL(9,BM278)</f>
        <v>0</v>
      </c>
      <c r="BN277" s="160"/>
      <c r="BO277" s="161">
        <f t="shared" si="404"/>
        <v>0</v>
      </c>
      <c r="BP277" s="161"/>
    </row>
    <row r="278" spans="1:68" ht="38.25">
      <c r="A278" s="206" t="s">
        <v>5549</v>
      </c>
      <c r="B278" s="195" t="s">
        <v>5554</v>
      </c>
      <c r="C278" s="196" t="s">
        <v>5553</v>
      </c>
      <c r="D278" s="146" t="s">
        <v>4692</v>
      </c>
      <c r="E278" s="196" t="s">
        <v>5553</v>
      </c>
      <c r="F278" s="150">
        <v>0</v>
      </c>
      <c r="G278" s="209">
        <v>0</v>
      </c>
      <c r="H278" s="209">
        <v>7051252.3699999992</v>
      </c>
      <c r="I278" s="209">
        <v>7051252.3699999992</v>
      </c>
      <c r="J278" s="150">
        <v>0</v>
      </c>
      <c r="K278" s="150">
        <v>0</v>
      </c>
      <c r="L278" s="150">
        <f t="shared" si="405"/>
        <v>0</v>
      </c>
      <c r="M278" s="150">
        <v>0</v>
      </c>
      <c r="N278" s="150"/>
      <c r="O278" s="150">
        <v>0</v>
      </c>
      <c r="P278" s="150">
        <v>0</v>
      </c>
      <c r="Q278" s="150"/>
      <c r="R278" s="150">
        <f>P278+Q278</f>
        <v>0</v>
      </c>
      <c r="S278" s="150">
        <f t="shared" si="399"/>
        <v>0</v>
      </c>
      <c r="T278" s="150"/>
      <c r="U278" s="150">
        <v>0</v>
      </c>
      <c r="V278" s="199"/>
      <c r="W278" s="150">
        <f>U278+V278</f>
        <v>0</v>
      </c>
      <c r="X278" s="150">
        <v>0</v>
      </c>
      <c r="Y278" s="150"/>
      <c r="Z278" s="150">
        <v>0</v>
      </c>
      <c r="AA278" s="150">
        <f t="shared" si="400"/>
        <v>0</v>
      </c>
      <c r="AB278" s="150">
        <v>0</v>
      </c>
      <c r="AC278" s="199"/>
      <c r="AD278" s="150">
        <f>AB278+AC278</f>
        <v>0</v>
      </c>
      <c r="AE278" s="150">
        <v>0</v>
      </c>
      <c r="AF278" s="169" t="s">
        <v>4680</v>
      </c>
      <c r="AG278" s="201">
        <v>0</v>
      </c>
      <c r="AH278" s="199"/>
      <c r="AI278" s="150">
        <v>0</v>
      </c>
      <c r="AJ278" s="169">
        <f t="shared" si="401"/>
        <v>0</v>
      </c>
      <c r="AK278" s="201">
        <v>0</v>
      </c>
      <c r="AL278" s="199"/>
      <c r="AM278" s="150">
        <f>AK278+AL278</f>
        <v>0</v>
      </c>
      <c r="AN278" s="153">
        <f t="shared" si="402"/>
        <v>0</v>
      </c>
      <c r="AO278" s="154">
        <f t="shared" si="403"/>
        <v>0</v>
      </c>
      <c r="AP278" s="150">
        <v>0</v>
      </c>
      <c r="AQ278" s="201">
        <v>0</v>
      </c>
      <c r="AR278" s="199"/>
      <c r="AS278" s="150">
        <f>AQ278+AR278</f>
        <v>0</v>
      </c>
      <c r="AT278" s="155"/>
      <c r="AU278" s="156">
        <f t="shared" si="396"/>
        <v>0</v>
      </c>
      <c r="AV278" s="156">
        <f t="shared" si="397"/>
        <v>0</v>
      </c>
      <c r="AW278" s="157"/>
      <c r="AX278" s="150">
        <v>0</v>
      </c>
      <c r="AY278" s="150">
        <v>0</v>
      </c>
      <c r="AZ278" s="150"/>
      <c r="BA278" s="150">
        <f t="shared" si="398"/>
        <v>0</v>
      </c>
      <c r="BB278" s="202">
        <v>4</v>
      </c>
      <c r="BC278" s="202" t="s">
        <v>739</v>
      </c>
      <c r="BD278" s="202" t="s">
        <v>671</v>
      </c>
      <c r="BE278" s="202" t="s">
        <v>632</v>
      </c>
      <c r="BF278" s="202" t="s">
        <v>632</v>
      </c>
      <c r="BG278" s="203" t="s">
        <v>5550</v>
      </c>
      <c r="BH278" s="216">
        <f>AS278</f>
        <v>0</v>
      </c>
      <c r="BI278" s="205"/>
      <c r="BJ278" s="206" t="s">
        <v>5551</v>
      </c>
      <c r="BK278" s="206" t="s">
        <v>5549</v>
      </c>
      <c r="BL278" s="207" t="s">
        <v>5552</v>
      </c>
      <c r="BM278" s="208">
        <f>BH278</f>
        <v>0</v>
      </c>
      <c r="BN278" s="160"/>
      <c r="BO278" s="161">
        <f t="shared" si="404"/>
        <v>0</v>
      </c>
      <c r="BP278" s="161"/>
    </row>
    <row r="279" spans="1:68" ht="38.25">
      <c r="A279" s="263" t="s">
        <v>5555</v>
      </c>
      <c r="B279" s="163"/>
      <c r="C279" s="164" t="s">
        <v>5556</v>
      </c>
      <c r="D279" s="146" t="s">
        <v>4692</v>
      </c>
      <c r="E279" s="164" t="s">
        <v>5556</v>
      </c>
      <c r="F279" s="165">
        <v>7632668.040000001</v>
      </c>
      <c r="G279" s="166">
        <v>0</v>
      </c>
      <c r="H279" s="166">
        <v>939733.21000000008</v>
      </c>
      <c r="I279" s="166">
        <v>939733.21000000008</v>
      </c>
      <c r="J279" s="165">
        <f>J281+J325+J366+J370+J390+J393</f>
        <v>0</v>
      </c>
      <c r="K279" s="165">
        <f>K281+K325+K366+K370+K390+K393</f>
        <v>1588879.75</v>
      </c>
      <c r="L279" s="165">
        <f t="shared" si="405"/>
        <v>1588879.75</v>
      </c>
      <c r="M279" s="167">
        <v>0</v>
      </c>
      <c r="N279" s="167">
        <v>4980385.9400000004</v>
      </c>
      <c r="O279" s="167">
        <v>4980385.9400000004</v>
      </c>
      <c r="P279" s="232">
        <f t="shared" ref="P279:R279" si="433">P281+P325+P366+P370+P390+P393</f>
        <v>0</v>
      </c>
      <c r="Q279" s="232">
        <f t="shared" si="433"/>
        <v>9028549.4100000001</v>
      </c>
      <c r="R279" s="232">
        <f t="shared" si="433"/>
        <v>9028549.4100000001</v>
      </c>
      <c r="S279" s="150">
        <f t="shared" si="399"/>
        <v>12038065.880000001</v>
      </c>
      <c r="T279" s="213"/>
      <c r="U279" s="232">
        <f t="shared" ref="U279:W279" si="434">U281+U325+U366+U370+U390+U393</f>
        <v>0</v>
      </c>
      <c r="V279" s="233">
        <f t="shared" si="434"/>
        <v>11866635.83</v>
      </c>
      <c r="W279" s="232">
        <f t="shared" si="434"/>
        <v>11866635.83</v>
      </c>
      <c r="X279" s="232">
        <v>0</v>
      </c>
      <c r="Y279" s="232">
        <v>11866635.83</v>
      </c>
      <c r="Z279" s="232">
        <v>11866635.83</v>
      </c>
      <c r="AA279" s="232">
        <f t="shared" si="400"/>
        <v>94304.309999996796</v>
      </c>
      <c r="AB279" s="232">
        <v>0</v>
      </c>
      <c r="AC279" s="233">
        <v>11960940.139999997</v>
      </c>
      <c r="AD279" s="232">
        <f t="shared" ref="AD279" si="435">AD281+AD325+AD366+AD370+AD390+AD393</f>
        <v>11960940.139999997</v>
      </c>
      <c r="AE279" s="232">
        <v>12257465.059999999</v>
      </c>
      <c r="AF279" s="169" t="s">
        <v>4680</v>
      </c>
      <c r="AG279" s="234">
        <v>0</v>
      </c>
      <c r="AH279" s="233">
        <v>12257465.059999999</v>
      </c>
      <c r="AI279" s="232">
        <v>12257465.059999999</v>
      </c>
      <c r="AJ279" s="169">
        <f t="shared" si="401"/>
        <v>0</v>
      </c>
      <c r="AK279" s="234">
        <v>0</v>
      </c>
      <c r="AL279" s="233">
        <v>12257465.059999999</v>
      </c>
      <c r="AM279" s="232">
        <f t="shared" ref="AM279" si="436">AM281+AM325+AM366+AM370+AM390+AM393</f>
        <v>12257465.059999999</v>
      </c>
      <c r="AN279" s="153">
        <f t="shared" si="402"/>
        <v>281299.8200000003</v>
      </c>
      <c r="AO279" s="154">
        <f t="shared" si="403"/>
        <v>113871.03000000119</v>
      </c>
      <c r="AP279" s="232">
        <v>12424893.849999998</v>
      </c>
      <c r="AQ279" s="234">
        <v>12538764.879999999</v>
      </c>
      <c r="AR279" s="233">
        <f t="shared" ref="AR279:AS279" si="437">AR281+AR325+AR366+AR370+AR390+AR393</f>
        <v>0</v>
      </c>
      <c r="AS279" s="232">
        <f t="shared" si="437"/>
        <v>12538764.879999999</v>
      </c>
      <c r="AT279" s="155"/>
      <c r="AU279" s="156">
        <f t="shared" si="396"/>
        <v>296524.92000000179</v>
      </c>
      <c r="AV279" s="156">
        <f t="shared" si="397"/>
        <v>94304.309999996796</v>
      </c>
      <c r="AW279" s="157"/>
      <c r="AX279" s="150">
        <v>11866635.83</v>
      </c>
      <c r="AY279" s="232">
        <f t="shared" ref="AY279:BA279" si="438">AY281+AY325+AY366+AY370+AY390+AY393</f>
        <v>1904675.6800000002</v>
      </c>
      <c r="AZ279" s="232">
        <f t="shared" si="438"/>
        <v>7120876.3427250003</v>
      </c>
      <c r="BA279" s="232">
        <f t="shared" si="438"/>
        <v>9025552.022725001</v>
      </c>
      <c r="BB279" s="263">
        <v>4</v>
      </c>
      <c r="BC279" s="262" t="s">
        <v>755</v>
      </c>
      <c r="BD279" s="262" t="s">
        <v>630</v>
      </c>
      <c r="BE279" s="162" t="s">
        <v>630</v>
      </c>
      <c r="BF279" s="262" t="s">
        <v>630</v>
      </c>
      <c r="BG279" s="164" t="s">
        <v>5556</v>
      </c>
      <c r="BH279" s="235">
        <f>BH281+BH325+BH366+BH370+BH390+BH393</f>
        <v>12538764.879999999</v>
      </c>
      <c r="BI279" s="263"/>
      <c r="BJ279" s="262" t="s">
        <v>5557</v>
      </c>
      <c r="BK279" s="263" t="s">
        <v>5555</v>
      </c>
      <c r="BL279" s="164" t="s">
        <v>5558</v>
      </c>
      <c r="BM279" s="235">
        <f>BM281+BM325+BM366+BM370+BM390+BM393</f>
        <v>12538764.879999999</v>
      </c>
      <c r="BN279" s="160"/>
      <c r="BO279" s="161">
        <f t="shared" si="404"/>
        <v>0</v>
      </c>
      <c r="BP279" s="161"/>
    </row>
    <row r="280" spans="1:68" ht="38.25">
      <c r="A280" s="255" t="s">
        <v>5559</v>
      </c>
      <c r="B280" s="174"/>
      <c r="C280" s="175" t="s">
        <v>5560</v>
      </c>
      <c r="D280" s="146" t="s">
        <v>4692</v>
      </c>
      <c r="E280" s="175" t="s">
        <v>5560</v>
      </c>
      <c r="F280" s="176">
        <v>1382344.4500000002</v>
      </c>
      <c r="G280" s="177">
        <v>0</v>
      </c>
      <c r="H280" s="177">
        <v>939733.21000000008</v>
      </c>
      <c r="I280" s="177">
        <v>939733.21000000008</v>
      </c>
      <c r="J280" s="176">
        <f>J281</f>
        <v>0</v>
      </c>
      <c r="K280" s="176">
        <f>K281</f>
        <v>0</v>
      </c>
      <c r="L280" s="176">
        <f t="shared" si="405"/>
        <v>0</v>
      </c>
      <c r="M280" s="178">
        <v>0</v>
      </c>
      <c r="N280" s="178">
        <v>1821779</v>
      </c>
      <c r="O280" s="178">
        <v>1821779</v>
      </c>
      <c r="P280" s="221">
        <f t="shared" ref="P280:AS280" si="439">P281</f>
        <v>0</v>
      </c>
      <c r="Q280" s="221">
        <f t="shared" si="439"/>
        <v>3464130.3800000004</v>
      </c>
      <c r="R280" s="221">
        <f t="shared" si="439"/>
        <v>3464130.3800000004</v>
      </c>
      <c r="S280" s="150">
        <f t="shared" si="399"/>
        <v>4618840.5066666668</v>
      </c>
      <c r="T280" s="213"/>
      <c r="U280" s="221">
        <f t="shared" ref="U280:W280" si="440">U281</f>
        <v>0</v>
      </c>
      <c r="V280" s="222">
        <f t="shared" si="440"/>
        <v>5619738.5599999996</v>
      </c>
      <c r="W280" s="221">
        <f t="shared" si="440"/>
        <v>5619738.5599999996</v>
      </c>
      <c r="X280" s="221">
        <v>0</v>
      </c>
      <c r="Y280" s="221">
        <v>5619738.5599999996</v>
      </c>
      <c r="Z280" s="221">
        <v>5619738.5599999996</v>
      </c>
      <c r="AA280" s="221">
        <f t="shared" si="400"/>
        <v>0</v>
      </c>
      <c r="AB280" s="221">
        <v>0</v>
      </c>
      <c r="AC280" s="222">
        <v>5619738.5599999996</v>
      </c>
      <c r="AD280" s="221">
        <f t="shared" si="439"/>
        <v>5619738.5599999996</v>
      </c>
      <c r="AE280" s="221">
        <v>5317440.93</v>
      </c>
      <c r="AF280" s="169" t="s">
        <v>4680</v>
      </c>
      <c r="AG280" s="223">
        <v>0</v>
      </c>
      <c r="AH280" s="222">
        <v>5317440.93</v>
      </c>
      <c r="AI280" s="221">
        <v>5317440.93</v>
      </c>
      <c r="AJ280" s="169">
        <f t="shared" si="401"/>
        <v>0</v>
      </c>
      <c r="AK280" s="223">
        <v>0</v>
      </c>
      <c r="AL280" s="222">
        <v>5317440.93</v>
      </c>
      <c r="AM280" s="221">
        <f t="shared" si="439"/>
        <v>5317440.93</v>
      </c>
      <c r="AN280" s="153">
        <f t="shared" si="402"/>
        <v>245269.08000000007</v>
      </c>
      <c r="AO280" s="154">
        <f t="shared" si="403"/>
        <v>0</v>
      </c>
      <c r="AP280" s="221">
        <v>5562710.0099999998</v>
      </c>
      <c r="AQ280" s="223">
        <v>5562710.0099999998</v>
      </c>
      <c r="AR280" s="222">
        <f t="shared" si="439"/>
        <v>0</v>
      </c>
      <c r="AS280" s="221">
        <f t="shared" si="439"/>
        <v>5562710.0099999998</v>
      </c>
      <c r="AT280" s="155"/>
      <c r="AU280" s="156">
        <f t="shared" si="396"/>
        <v>-302297.62999999989</v>
      </c>
      <c r="AV280" s="156">
        <f t="shared" si="397"/>
        <v>0</v>
      </c>
      <c r="AW280" s="157"/>
      <c r="AX280" s="150">
        <v>5619738.5599999996</v>
      </c>
      <c r="AY280" s="221">
        <f t="shared" ref="AY280:BA280" si="441">AY281</f>
        <v>0</v>
      </c>
      <c r="AZ280" s="221">
        <f t="shared" si="441"/>
        <v>2861057.4093916668</v>
      </c>
      <c r="BA280" s="221">
        <f t="shared" si="441"/>
        <v>2861057.4093916668</v>
      </c>
      <c r="BB280" s="254">
        <v>4</v>
      </c>
      <c r="BC280" s="255" t="s">
        <v>755</v>
      </c>
      <c r="BD280" s="255" t="s">
        <v>632</v>
      </c>
      <c r="BE280" s="173" t="s">
        <v>630</v>
      </c>
      <c r="BF280" s="255" t="s">
        <v>630</v>
      </c>
      <c r="BG280" s="175" t="s">
        <v>5560</v>
      </c>
      <c r="BH280" s="224">
        <f>BH281</f>
        <v>5562710.0099999998</v>
      </c>
      <c r="BI280" s="254"/>
      <c r="BJ280" s="255" t="s">
        <v>5561</v>
      </c>
      <c r="BK280" s="255" t="s">
        <v>5559</v>
      </c>
      <c r="BL280" s="182" t="s">
        <v>5562</v>
      </c>
      <c r="BM280" s="224">
        <f>BM281</f>
        <v>5562710.0099999998</v>
      </c>
      <c r="BN280" s="160"/>
      <c r="BO280" s="161">
        <f t="shared" si="404"/>
        <v>0</v>
      </c>
      <c r="BP280" s="161"/>
    </row>
    <row r="281" spans="1:68" ht="38.25">
      <c r="A281" s="256" t="s">
        <v>5559</v>
      </c>
      <c r="B281" s="184"/>
      <c r="C281" s="185" t="s">
        <v>5560</v>
      </c>
      <c r="D281" s="146" t="s">
        <v>4692</v>
      </c>
      <c r="E281" s="185" t="s">
        <v>5560</v>
      </c>
      <c r="F281" s="186">
        <v>1382344.4500000002</v>
      </c>
      <c r="G281" s="187">
        <v>0</v>
      </c>
      <c r="H281" s="187">
        <v>939733.21000000008</v>
      </c>
      <c r="I281" s="187">
        <v>939733.21000000008</v>
      </c>
      <c r="J281" s="186">
        <f>SUM(J282:J321)</f>
        <v>0</v>
      </c>
      <c r="K281" s="186">
        <f>SUM(K282:K321)</f>
        <v>0</v>
      </c>
      <c r="L281" s="186">
        <f t="shared" si="405"/>
        <v>0</v>
      </c>
      <c r="M281" s="188">
        <v>0</v>
      </c>
      <c r="N281" s="188">
        <v>1821779</v>
      </c>
      <c r="O281" s="188">
        <v>1821779</v>
      </c>
      <c r="P281" s="225">
        <f t="shared" ref="P281:R281" si="442">SUM(P282:P321)</f>
        <v>0</v>
      </c>
      <c r="Q281" s="225">
        <f t="shared" si="442"/>
        <v>3464130.3800000004</v>
      </c>
      <c r="R281" s="225">
        <f t="shared" si="442"/>
        <v>3464130.3800000004</v>
      </c>
      <c r="S281" s="150">
        <f t="shared" si="399"/>
        <v>4618840.5066666668</v>
      </c>
      <c r="T281" s="213"/>
      <c r="U281" s="225">
        <f t="shared" ref="U281:W281" si="443">SUM(U282:U321)</f>
        <v>0</v>
      </c>
      <c r="V281" s="226">
        <f t="shared" si="443"/>
        <v>5619738.5599999996</v>
      </c>
      <c r="W281" s="225">
        <f t="shared" si="443"/>
        <v>5619738.5599999996</v>
      </c>
      <c r="X281" s="225">
        <v>0</v>
      </c>
      <c r="Y281" s="225">
        <v>5619738.5599999996</v>
      </c>
      <c r="Z281" s="225">
        <v>5619738.5599999996</v>
      </c>
      <c r="AA281" s="225">
        <f t="shared" si="400"/>
        <v>0</v>
      </c>
      <c r="AB281" s="225">
        <v>0</v>
      </c>
      <c r="AC281" s="226">
        <v>5619738.5599999996</v>
      </c>
      <c r="AD281" s="225">
        <f t="shared" ref="AD281" si="444">SUM(AD282:AD321)</f>
        <v>5619738.5599999996</v>
      </c>
      <c r="AE281" s="225">
        <v>5317440.93</v>
      </c>
      <c r="AF281" s="169" t="s">
        <v>4680</v>
      </c>
      <c r="AG281" s="212">
        <v>0</v>
      </c>
      <c r="AH281" s="226">
        <v>5317440.93</v>
      </c>
      <c r="AI281" s="225">
        <v>5317440.93</v>
      </c>
      <c r="AJ281" s="169">
        <f t="shared" si="401"/>
        <v>0</v>
      </c>
      <c r="AK281" s="212">
        <v>0</v>
      </c>
      <c r="AL281" s="226">
        <v>5317440.93</v>
      </c>
      <c r="AM281" s="225">
        <f t="shared" ref="AM281" si="445">SUM(AM282:AM321)</f>
        <v>5317440.93</v>
      </c>
      <c r="AN281" s="153">
        <f t="shared" si="402"/>
        <v>245269.08000000007</v>
      </c>
      <c r="AO281" s="154">
        <f t="shared" si="403"/>
        <v>0</v>
      </c>
      <c r="AP281" s="225">
        <v>5562710.0099999998</v>
      </c>
      <c r="AQ281" s="212">
        <v>5562710.0099999998</v>
      </c>
      <c r="AR281" s="226">
        <f t="shared" ref="AR281:AS281" si="446">SUM(AR282:AR321)</f>
        <v>0</v>
      </c>
      <c r="AS281" s="225">
        <f t="shared" si="446"/>
        <v>5562710.0099999998</v>
      </c>
      <c r="AT281" s="155"/>
      <c r="AU281" s="156">
        <f t="shared" si="396"/>
        <v>-302297.62999999989</v>
      </c>
      <c r="AV281" s="156">
        <f t="shared" si="397"/>
        <v>0</v>
      </c>
      <c r="AW281" s="157"/>
      <c r="AX281" s="150">
        <v>5619738.5599999996</v>
      </c>
      <c r="AY281" s="225">
        <f t="shared" ref="AY281:BA281" si="447">SUM(AY282:AY321)</f>
        <v>0</v>
      </c>
      <c r="AZ281" s="225">
        <f t="shared" si="447"/>
        <v>2861057.4093916668</v>
      </c>
      <c r="BA281" s="225">
        <f t="shared" si="447"/>
        <v>2861057.4093916668</v>
      </c>
      <c r="BB281" s="192">
        <v>4</v>
      </c>
      <c r="BC281" s="256" t="s">
        <v>755</v>
      </c>
      <c r="BD281" s="256" t="s">
        <v>632</v>
      </c>
      <c r="BE281" s="256" t="s">
        <v>632</v>
      </c>
      <c r="BF281" s="256" t="s">
        <v>630</v>
      </c>
      <c r="BG281" s="185" t="s">
        <v>5560</v>
      </c>
      <c r="BH281" s="215">
        <f>SUM(BH282:BH319)</f>
        <v>5562710.0099999998</v>
      </c>
      <c r="BI281" s="192"/>
      <c r="BJ281" s="256" t="s">
        <v>5561</v>
      </c>
      <c r="BK281" s="256" t="s">
        <v>5559</v>
      </c>
      <c r="BL281" s="238" t="s">
        <v>5562</v>
      </c>
      <c r="BM281" s="215">
        <f>SUM(BM282:BM319)</f>
        <v>5562710.0099999998</v>
      </c>
      <c r="BN281" s="160"/>
      <c r="BO281" s="161">
        <f t="shared" si="404"/>
        <v>0</v>
      </c>
      <c r="BP281" s="161"/>
    </row>
    <row r="282" spans="1:68" ht="38.25">
      <c r="A282" s="206" t="s">
        <v>5559</v>
      </c>
      <c r="B282" s="195" t="s">
        <v>5563</v>
      </c>
      <c r="C282" s="196" t="s">
        <v>5564</v>
      </c>
      <c r="D282" s="146" t="s">
        <v>4692</v>
      </c>
      <c r="E282" s="196" t="s">
        <v>5564</v>
      </c>
      <c r="F282" s="150">
        <v>0</v>
      </c>
      <c r="G282" s="209">
        <v>0</v>
      </c>
      <c r="H282" s="209"/>
      <c r="I282" s="209">
        <v>0</v>
      </c>
      <c r="J282" s="150">
        <v>0</v>
      </c>
      <c r="K282" s="150">
        <v>0</v>
      </c>
      <c r="L282" s="150">
        <f t="shared" si="405"/>
        <v>0</v>
      </c>
      <c r="M282" s="150">
        <v>0</v>
      </c>
      <c r="N282" s="150"/>
      <c r="O282" s="150">
        <v>0</v>
      </c>
      <c r="P282" s="150">
        <v>0</v>
      </c>
      <c r="Q282" s="150"/>
      <c r="R282" s="150">
        <f t="shared" ref="R282:R324" si="448">P282+Q282</f>
        <v>0</v>
      </c>
      <c r="S282" s="150">
        <f t="shared" si="399"/>
        <v>0</v>
      </c>
      <c r="T282" s="150"/>
      <c r="U282" s="150">
        <v>0</v>
      </c>
      <c r="V282" s="199"/>
      <c r="W282" s="150">
        <f t="shared" ref="W282:W324" si="449">U282+V282</f>
        <v>0</v>
      </c>
      <c r="X282" s="150">
        <v>0</v>
      </c>
      <c r="Y282" s="150"/>
      <c r="Z282" s="150">
        <v>0</v>
      </c>
      <c r="AA282" s="150">
        <f t="shared" si="400"/>
        <v>0</v>
      </c>
      <c r="AB282" s="150">
        <v>0</v>
      </c>
      <c r="AC282" s="199"/>
      <c r="AD282" s="150">
        <f t="shared" ref="AD282:AD324" si="450">AB282+AC282</f>
        <v>0</v>
      </c>
      <c r="AE282" s="150">
        <v>0</v>
      </c>
      <c r="AF282" s="169" t="s">
        <v>4680</v>
      </c>
      <c r="AG282" s="201">
        <v>0</v>
      </c>
      <c r="AH282" s="199"/>
      <c r="AI282" s="150">
        <v>0</v>
      </c>
      <c r="AJ282" s="169">
        <f t="shared" si="401"/>
        <v>0</v>
      </c>
      <c r="AK282" s="201">
        <v>0</v>
      </c>
      <c r="AL282" s="199"/>
      <c r="AM282" s="150">
        <f t="shared" ref="AM282:AM324" si="451">AK282+AL282</f>
        <v>0</v>
      </c>
      <c r="AN282" s="153">
        <f t="shared" si="402"/>
        <v>0</v>
      </c>
      <c r="AO282" s="154">
        <f t="shared" si="403"/>
        <v>0</v>
      </c>
      <c r="AP282" s="150">
        <v>0</v>
      </c>
      <c r="AQ282" s="201">
        <v>0</v>
      </c>
      <c r="AR282" s="199"/>
      <c r="AS282" s="150">
        <f t="shared" ref="AS282:AS324" si="452">AQ282+AR282</f>
        <v>0</v>
      </c>
      <c r="AT282" s="155"/>
      <c r="AU282" s="156">
        <f t="shared" si="396"/>
        <v>0</v>
      </c>
      <c r="AV282" s="156">
        <f t="shared" si="397"/>
        <v>0</v>
      </c>
      <c r="AW282" s="157"/>
      <c r="AX282" s="150">
        <v>0</v>
      </c>
      <c r="AY282" s="150">
        <v>0</v>
      </c>
      <c r="AZ282" s="150"/>
      <c r="BA282" s="150">
        <f t="shared" si="398"/>
        <v>0</v>
      </c>
      <c r="BB282" s="202">
        <v>4</v>
      </c>
      <c r="BC282" s="202" t="s">
        <v>755</v>
      </c>
      <c r="BD282" s="202" t="s">
        <v>632</v>
      </c>
      <c r="BE282" s="202" t="s">
        <v>632</v>
      </c>
      <c r="BF282" s="202" t="s">
        <v>632</v>
      </c>
      <c r="BG282" s="203" t="s">
        <v>5560</v>
      </c>
      <c r="BH282" s="216">
        <f>SUM(AS282:AS321)</f>
        <v>5562710.0099999998</v>
      </c>
      <c r="BI282" s="205"/>
      <c r="BJ282" s="206" t="s">
        <v>5561</v>
      </c>
      <c r="BK282" s="206" t="s">
        <v>5559</v>
      </c>
      <c r="BL282" s="207" t="s">
        <v>5562</v>
      </c>
      <c r="BM282" s="208">
        <f>BH282</f>
        <v>5562710.0099999998</v>
      </c>
      <c r="BN282" s="160"/>
      <c r="BO282" s="161"/>
      <c r="BP282" s="161"/>
    </row>
    <row r="283" spans="1:68" ht="25.5">
      <c r="A283" s="210"/>
      <c r="B283" s="195" t="s">
        <v>5565</v>
      </c>
      <c r="C283" s="196" t="s">
        <v>5566</v>
      </c>
      <c r="D283" s="146" t="s">
        <v>4692</v>
      </c>
      <c r="E283" s="196" t="s">
        <v>5566</v>
      </c>
      <c r="F283" s="150">
        <v>0</v>
      </c>
      <c r="G283" s="209">
        <v>0</v>
      </c>
      <c r="H283" s="209"/>
      <c r="I283" s="209">
        <v>0</v>
      </c>
      <c r="J283" s="150">
        <v>0</v>
      </c>
      <c r="K283" s="150">
        <v>0</v>
      </c>
      <c r="L283" s="150">
        <f t="shared" si="405"/>
        <v>0</v>
      </c>
      <c r="M283" s="150">
        <v>0</v>
      </c>
      <c r="N283" s="150"/>
      <c r="O283" s="150">
        <v>0</v>
      </c>
      <c r="P283" s="150">
        <v>0</v>
      </c>
      <c r="Q283" s="150"/>
      <c r="R283" s="150">
        <f t="shared" si="448"/>
        <v>0</v>
      </c>
      <c r="S283" s="150">
        <f t="shared" si="399"/>
        <v>0</v>
      </c>
      <c r="T283" s="150"/>
      <c r="U283" s="150">
        <v>0</v>
      </c>
      <c r="V283" s="199"/>
      <c r="W283" s="150">
        <f t="shared" si="449"/>
        <v>0</v>
      </c>
      <c r="X283" s="150">
        <v>0</v>
      </c>
      <c r="Y283" s="150"/>
      <c r="Z283" s="150">
        <v>0</v>
      </c>
      <c r="AA283" s="150">
        <f t="shared" si="400"/>
        <v>0</v>
      </c>
      <c r="AB283" s="150">
        <v>0</v>
      </c>
      <c r="AC283" s="199"/>
      <c r="AD283" s="150">
        <f t="shared" si="450"/>
        <v>0</v>
      </c>
      <c r="AE283" s="150">
        <v>0</v>
      </c>
      <c r="AF283" s="169" t="s">
        <v>4680</v>
      </c>
      <c r="AG283" s="201">
        <v>0</v>
      </c>
      <c r="AH283" s="199"/>
      <c r="AI283" s="150">
        <v>0</v>
      </c>
      <c r="AJ283" s="169">
        <f t="shared" si="401"/>
        <v>0</v>
      </c>
      <c r="AK283" s="201">
        <v>0</v>
      </c>
      <c r="AL283" s="199"/>
      <c r="AM283" s="150">
        <f t="shared" si="451"/>
        <v>0</v>
      </c>
      <c r="AN283" s="153">
        <f t="shared" si="402"/>
        <v>0</v>
      </c>
      <c r="AO283" s="154">
        <f t="shared" si="403"/>
        <v>0</v>
      </c>
      <c r="AP283" s="150">
        <v>0</v>
      </c>
      <c r="AQ283" s="201">
        <v>0</v>
      </c>
      <c r="AR283" s="199"/>
      <c r="AS283" s="150">
        <f t="shared" si="452"/>
        <v>0</v>
      </c>
      <c r="AT283" s="155"/>
      <c r="AU283" s="156">
        <f t="shared" si="396"/>
        <v>0</v>
      </c>
      <c r="AV283" s="156">
        <f t="shared" si="397"/>
        <v>0</v>
      </c>
      <c r="AW283" s="157"/>
      <c r="AX283" s="150">
        <v>0</v>
      </c>
      <c r="AY283" s="150">
        <v>0</v>
      </c>
      <c r="AZ283" s="150"/>
      <c r="BA283" s="150">
        <f t="shared" si="398"/>
        <v>0</v>
      </c>
      <c r="BB283" s="210"/>
      <c r="BC283" s="210"/>
      <c r="BD283" s="210"/>
      <c r="BE283" s="210"/>
      <c r="BF283" s="210"/>
      <c r="BG283" s="210"/>
      <c r="BH283" s="217"/>
      <c r="BI283" s="210"/>
      <c r="BJ283" s="210"/>
      <c r="BK283" s="210"/>
      <c r="BL283" s="210"/>
      <c r="BM283" s="208"/>
      <c r="BN283" s="160"/>
      <c r="BO283" s="161"/>
      <c r="BP283" s="161"/>
    </row>
    <row r="284" spans="1:68">
      <c r="A284" s="210"/>
      <c r="B284" s="195" t="s">
        <v>5567</v>
      </c>
      <c r="C284" s="196" t="s">
        <v>5568</v>
      </c>
      <c r="D284" s="146" t="s">
        <v>4692</v>
      </c>
      <c r="E284" s="196" t="s">
        <v>5568</v>
      </c>
      <c r="F284" s="150">
        <v>0</v>
      </c>
      <c r="G284" s="209">
        <v>0</v>
      </c>
      <c r="H284" s="209"/>
      <c r="I284" s="209">
        <v>0</v>
      </c>
      <c r="J284" s="150">
        <v>0</v>
      </c>
      <c r="K284" s="150">
        <v>0</v>
      </c>
      <c r="L284" s="150">
        <f t="shared" si="405"/>
        <v>0</v>
      </c>
      <c r="M284" s="150">
        <v>0</v>
      </c>
      <c r="N284" s="150"/>
      <c r="O284" s="150">
        <v>0</v>
      </c>
      <c r="P284" s="150">
        <v>0</v>
      </c>
      <c r="Q284" s="150"/>
      <c r="R284" s="150">
        <f t="shared" si="448"/>
        <v>0</v>
      </c>
      <c r="S284" s="150">
        <f t="shared" si="399"/>
        <v>0</v>
      </c>
      <c r="T284" s="150"/>
      <c r="U284" s="150">
        <v>0</v>
      </c>
      <c r="V284" s="199"/>
      <c r="W284" s="150">
        <f t="shared" si="449"/>
        <v>0</v>
      </c>
      <c r="X284" s="150">
        <v>0</v>
      </c>
      <c r="Y284" s="150"/>
      <c r="Z284" s="150">
        <v>0</v>
      </c>
      <c r="AA284" s="150">
        <f t="shared" si="400"/>
        <v>0</v>
      </c>
      <c r="AB284" s="150">
        <v>0</v>
      </c>
      <c r="AC284" s="199"/>
      <c r="AD284" s="150">
        <f t="shared" si="450"/>
        <v>0</v>
      </c>
      <c r="AE284" s="150">
        <v>0</v>
      </c>
      <c r="AF284" s="169" t="s">
        <v>4680</v>
      </c>
      <c r="AG284" s="201">
        <v>0</v>
      </c>
      <c r="AH284" s="199"/>
      <c r="AI284" s="150">
        <v>0</v>
      </c>
      <c r="AJ284" s="169">
        <f t="shared" si="401"/>
        <v>0</v>
      </c>
      <c r="AK284" s="201">
        <v>0</v>
      </c>
      <c r="AL284" s="199"/>
      <c r="AM284" s="150">
        <f t="shared" si="451"/>
        <v>0</v>
      </c>
      <c r="AN284" s="153">
        <f t="shared" si="402"/>
        <v>0</v>
      </c>
      <c r="AO284" s="154">
        <f t="shared" si="403"/>
        <v>0</v>
      </c>
      <c r="AP284" s="150">
        <v>0</v>
      </c>
      <c r="AQ284" s="201">
        <v>0</v>
      </c>
      <c r="AR284" s="199"/>
      <c r="AS284" s="150">
        <f t="shared" si="452"/>
        <v>0</v>
      </c>
      <c r="AT284" s="155"/>
      <c r="AU284" s="156">
        <f t="shared" si="396"/>
        <v>0</v>
      </c>
      <c r="AV284" s="156">
        <f t="shared" si="397"/>
        <v>0</v>
      </c>
      <c r="AW284" s="157"/>
      <c r="AX284" s="150">
        <v>0</v>
      </c>
      <c r="AY284" s="150">
        <v>0</v>
      </c>
      <c r="AZ284" s="150"/>
      <c r="BA284" s="150">
        <f t="shared" si="398"/>
        <v>0</v>
      </c>
      <c r="BB284" s="210"/>
      <c r="BC284" s="210"/>
      <c r="BD284" s="210"/>
      <c r="BE284" s="210"/>
      <c r="BF284" s="210"/>
      <c r="BG284" s="210"/>
      <c r="BH284" s="217"/>
      <c r="BI284" s="210"/>
      <c r="BJ284" s="210"/>
      <c r="BK284" s="210"/>
      <c r="BL284" s="210"/>
      <c r="BM284" s="208"/>
      <c r="BN284" s="160"/>
      <c r="BO284" s="161"/>
      <c r="BP284" s="161"/>
    </row>
    <row r="285" spans="1:68" ht="25.5">
      <c r="A285" s="210"/>
      <c r="B285" s="195" t="s">
        <v>5569</v>
      </c>
      <c r="C285" s="196" t="s">
        <v>5570</v>
      </c>
      <c r="D285" s="146" t="s">
        <v>4692</v>
      </c>
      <c r="E285" s="196" t="s">
        <v>5570</v>
      </c>
      <c r="F285" s="150">
        <v>0</v>
      </c>
      <c r="G285" s="209">
        <v>0</v>
      </c>
      <c r="H285" s="209"/>
      <c r="I285" s="209">
        <v>0</v>
      </c>
      <c r="J285" s="150">
        <v>0</v>
      </c>
      <c r="K285" s="150">
        <v>0</v>
      </c>
      <c r="L285" s="150">
        <f t="shared" si="405"/>
        <v>0</v>
      </c>
      <c r="M285" s="150">
        <v>0</v>
      </c>
      <c r="N285" s="150"/>
      <c r="O285" s="150">
        <v>0</v>
      </c>
      <c r="P285" s="150">
        <v>0</v>
      </c>
      <c r="Q285" s="150"/>
      <c r="R285" s="150">
        <f t="shared" si="448"/>
        <v>0</v>
      </c>
      <c r="S285" s="150">
        <f t="shared" si="399"/>
        <v>0</v>
      </c>
      <c r="T285" s="150"/>
      <c r="U285" s="150">
        <v>0</v>
      </c>
      <c r="V285" s="199"/>
      <c r="W285" s="150">
        <f t="shared" si="449"/>
        <v>0</v>
      </c>
      <c r="X285" s="150">
        <v>0</v>
      </c>
      <c r="Y285" s="150"/>
      <c r="Z285" s="150">
        <v>0</v>
      </c>
      <c r="AA285" s="150">
        <f t="shared" si="400"/>
        <v>0</v>
      </c>
      <c r="AB285" s="150">
        <v>0</v>
      </c>
      <c r="AC285" s="199"/>
      <c r="AD285" s="150">
        <f t="shared" si="450"/>
        <v>0</v>
      </c>
      <c r="AE285" s="150">
        <v>0</v>
      </c>
      <c r="AF285" s="169" t="s">
        <v>4680</v>
      </c>
      <c r="AG285" s="201">
        <v>0</v>
      </c>
      <c r="AH285" s="199"/>
      <c r="AI285" s="150">
        <v>0</v>
      </c>
      <c r="AJ285" s="169">
        <f t="shared" si="401"/>
        <v>0</v>
      </c>
      <c r="AK285" s="201">
        <v>0</v>
      </c>
      <c r="AL285" s="199"/>
      <c r="AM285" s="150">
        <f t="shared" si="451"/>
        <v>0</v>
      </c>
      <c r="AN285" s="153">
        <f t="shared" si="402"/>
        <v>0</v>
      </c>
      <c r="AO285" s="154">
        <f t="shared" si="403"/>
        <v>0</v>
      </c>
      <c r="AP285" s="150">
        <v>0</v>
      </c>
      <c r="AQ285" s="201">
        <v>0</v>
      </c>
      <c r="AR285" s="199"/>
      <c r="AS285" s="150">
        <f t="shared" si="452"/>
        <v>0</v>
      </c>
      <c r="AT285" s="155"/>
      <c r="AU285" s="156">
        <f t="shared" si="396"/>
        <v>0</v>
      </c>
      <c r="AV285" s="156">
        <f t="shared" si="397"/>
        <v>0</v>
      </c>
      <c r="AW285" s="157"/>
      <c r="AX285" s="150">
        <v>0</v>
      </c>
      <c r="AY285" s="150">
        <v>0</v>
      </c>
      <c r="AZ285" s="150"/>
      <c r="BA285" s="150">
        <f t="shared" si="398"/>
        <v>0</v>
      </c>
      <c r="BB285" s="210"/>
      <c r="BC285" s="210"/>
      <c r="BD285" s="210"/>
      <c r="BE285" s="210"/>
      <c r="BF285" s="210"/>
      <c r="BG285" s="210"/>
      <c r="BH285" s="217"/>
      <c r="BI285" s="210"/>
      <c r="BJ285" s="210"/>
      <c r="BK285" s="210"/>
      <c r="BL285" s="210"/>
      <c r="BM285" s="208"/>
      <c r="BN285" s="160"/>
      <c r="BO285" s="161"/>
      <c r="BP285" s="161"/>
    </row>
    <row r="286" spans="1:68">
      <c r="A286" s="210"/>
      <c r="B286" s="195" t="s">
        <v>5571</v>
      </c>
      <c r="C286" s="196" t="s">
        <v>5572</v>
      </c>
      <c r="D286" s="146" t="s">
        <v>4692</v>
      </c>
      <c r="E286" s="196" t="s">
        <v>5572</v>
      </c>
      <c r="F286" s="150">
        <v>0</v>
      </c>
      <c r="G286" s="209">
        <v>0</v>
      </c>
      <c r="H286" s="209"/>
      <c r="I286" s="209">
        <v>0</v>
      </c>
      <c r="J286" s="150">
        <v>0</v>
      </c>
      <c r="K286" s="150">
        <v>0</v>
      </c>
      <c r="L286" s="150">
        <f t="shared" si="405"/>
        <v>0</v>
      </c>
      <c r="M286" s="150">
        <v>0</v>
      </c>
      <c r="N286" s="150"/>
      <c r="O286" s="150">
        <v>0</v>
      </c>
      <c r="P286" s="150">
        <v>0</v>
      </c>
      <c r="Q286" s="150"/>
      <c r="R286" s="150">
        <f t="shared" si="448"/>
        <v>0</v>
      </c>
      <c r="S286" s="150">
        <f t="shared" si="399"/>
        <v>0</v>
      </c>
      <c r="T286" s="150"/>
      <c r="U286" s="150">
        <v>0</v>
      </c>
      <c r="V286" s="199"/>
      <c r="W286" s="150">
        <f t="shared" si="449"/>
        <v>0</v>
      </c>
      <c r="X286" s="150">
        <v>0</v>
      </c>
      <c r="Y286" s="150"/>
      <c r="Z286" s="150">
        <v>0</v>
      </c>
      <c r="AA286" s="150">
        <f t="shared" si="400"/>
        <v>0</v>
      </c>
      <c r="AB286" s="150">
        <v>0</v>
      </c>
      <c r="AC286" s="199"/>
      <c r="AD286" s="150">
        <f t="shared" si="450"/>
        <v>0</v>
      </c>
      <c r="AE286" s="150">
        <v>0</v>
      </c>
      <c r="AF286" s="169" t="s">
        <v>4680</v>
      </c>
      <c r="AG286" s="201">
        <v>0</v>
      </c>
      <c r="AH286" s="199"/>
      <c r="AI286" s="150">
        <v>0</v>
      </c>
      <c r="AJ286" s="169">
        <f t="shared" si="401"/>
        <v>0</v>
      </c>
      <c r="AK286" s="201">
        <v>0</v>
      </c>
      <c r="AL286" s="199"/>
      <c r="AM286" s="150">
        <f t="shared" si="451"/>
        <v>0</v>
      </c>
      <c r="AN286" s="153">
        <f t="shared" si="402"/>
        <v>0</v>
      </c>
      <c r="AO286" s="154">
        <f t="shared" si="403"/>
        <v>0</v>
      </c>
      <c r="AP286" s="150">
        <v>0</v>
      </c>
      <c r="AQ286" s="201">
        <v>0</v>
      </c>
      <c r="AR286" s="199"/>
      <c r="AS286" s="150">
        <f t="shared" si="452"/>
        <v>0</v>
      </c>
      <c r="AT286" s="155"/>
      <c r="AU286" s="156">
        <f t="shared" si="396"/>
        <v>0</v>
      </c>
      <c r="AV286" s="156">
        <f t="shared" si="397"/>
        <v>0</v>
      </c>
      <c r="AW286" s="157"/>
      <c r="AX286" s="150">
        <v>0</v>
      </c>
      <c r="AY286" s="150">
        <v>0</v>
      </c>
      <c r="AZ286" s="150"/>
      <c r="BA286" s="150">
        <f t="shared" si="398"/>
        <v>0</v>
      </c>
      <c r="BB286" s="210"/>
      <c r="BC286" s="210"/>
      <c r="BD286" s="210"/>
      <c r="BE286" s="210"/>
      <c r="BF286" s="210"/>
      <c r="BG286" s="210"/>
      <c r="BH286" s="217"/>
      <c r="BI286" s="210"/>
      <c r="BJ286" s="210"/>
      <c r="BK286" s="210"/>
      <c r="BL286" s="210"/>
      <c r="BM286" s="208"/>
      <c r="BN286" s="160"/>
      <c r="BO286" s="161"/>
      <c r="BP286" s="161"/>
    </row>
    <row r="287" spans="1:68" ht="25.5">
      <c r="A287" s="210"/>
      <c r="B287" s="195" t="s">
        <v>5573</v>
      </c>
      <c r="C287" s="196" t="s">
        <v>5574</v>
      </c>
      <c r="D287" s="146" t="s">
        <v>4692</v>
      </c>
      <c r="E287" s="196" t="s">
        <v>5574</v>
      </c>
      <c r="F287" s="150">
        <v>0</v>
      </c>
      <c r="G287" s="209">
        <v>0</v>
      </c>
      <c r="H287" s="209"/>
      <c r="I287" s="209">
        <v>0</v>
      </c>
      <c r="J287" s="150">
        <v>0</v>
      </c>
      <c r="K287" s="150">
        <v>0</v>
      </c>
      <c r="L287" s="150">
        <f t="shared" si="405"/>
        <v>0</v>
      </c>
      <c r="M287" s="150">
        <v>0</v>
      </c>
      <c r="N287" s="150"/>
      <c r="O287" s="150">
        <v>0</v>
      </c>
      <c r="P287" s="150">
        <v>0</v>
      </c>
      <c r="Q287" s="150"/>
      <c r="R287" s="150">
        <f t="shared" si="448"/>
        <v>0</v>
      </c>
      <c r="S287" s="150">
        <f t="shared" si="399"/>
        <v>0</v>
      </c>
      <c r="T287" s="150"/>
      <c r="U287" s="150">
        <v>0</v>
      </c>
      <c r="V287" s="199"/>
      <c r="W287" s="150">
        <f t="shared" si="449"/>
        <v>0</v>
      </c>
      <c r="X287" s="150">
        <v>0</v>
      </c>
      <c r="Y287" s="150"/>
      <c r="Z287" s="150">
        <v>0</v>
      </c>
      <c r="AA287" s="150">
        <f t="shared" si="400"/>
        <v>0</v>
      </c>
      <c r="AB287" s="150">
        <v>0</v>
      </c>
      <c r="AC287" s="199"/>
      <c r="AD287" s="150">
        <f t="shared" si="450"/>
        <v>0</v>
      </c>
      <c r="AE287" s="150">
        <v>0</v>
      </c>
      <c r="AF287" s="169" t="s">
        <v>4680</v>
      </c>
      <c r="AG287" s="201">
        <v>0</v>
      </c>
      <c r="AH287" s="199"/>
      <c r="AI287" s="150">
        <v>0</v>
      </c>
      <c r="AJ287" s="169">
        <f t="shared" si="401"/>
        <v>0</v>
      </c>
      <c r="AK287" s="201">
        <v>0</v>
      </c>
      <c r="AL287" s="199"/>
      <c r="AM287" s="150">
        <f t="shared" si="451"/>
        <v>0</v>
      </c>
      <c r="AN287" s="153">
        <f t="shared" si="402"/>
        <v>0</v>
      </c>
      <c r="AO287" s="154">
        <f t="shared" si="403"/>
        <v>0</v>
      </c>
      <c r="AP287" s="150">
        <v>0</v>
      </c>
      <c r="AQ287" s="201">
        <v>0</v>
      </c>
      <c r="AR287" s="199"/>
      <c r="AS287" s="150">
        <f t="shared" si="452"/>
        <v>0</v>
      </c>
      <c r="AT287" s="155"/>
      <c r="AU287" s="156">
        <f t="shared" si="396"/>
        <v>0</v>
      </c>
      <c r="AV287" s="156">
        <f t="shared" si="397"/>
        <v>0</v>
      </c>
      <c r="AW287" s="157"/>
      <c r="AX287" s="150">
        <v>0</v>
      </c>
      <c r="AY287" s="150">
        <v>0</v>
      </c>
      <c r="AZ287" s="150"/>
      <c r="BA287" s="150">
        <f t="shared" si="398"/>
        <v>0</v>
      </c>
      <c r="BB287" s="210"/>
      <c r="BC287" s="210"/>
      <c r="BD287" s="210"/>
      <c r="BE287" s="210"/>
      <c r="BF287" s="210"/>
      <c r="BG287" s="210"/>
      <c r="BH287" s="217"/>
      <c r="BI287" s="210"/>
      <c r="BJ287" s="210"/>
      <c r="BK287" s="210"/>
      <c r="BL287" s="210"/>
      <c r="BM287" s="208"/>
      <c r="BN287" s="160"/>
      <c r="BO287" s="161"/>
      <c r="BP287" s="161"/>
    </row>
    <row r="288" spans="1:68">
      <c r="A288" s="210"/>
      <c r="B288" s="195" t="s">
        <v>5575</v>
      </c>
      <c r="C288" s="196" t="s">
        <v>5576</v>
      </c>
      <c r="D288" s="146" t="s">
        <v>4692</v>
      </c>
      <c r="E288" s="196" t="s">
        <v>5576</v>
      </c>
      <c r="F288" s="150">
        <v>0</v>
      </c>
      <c r="G288" s="209">
        <v>0</v>
      </c>
      <c r="H288" s="209"/>
      <c r="I288" s="209">
        <v>0</v>
      </c>
      <c r="J288" s="150">
        <v>0</v>
      </c>
      <c r="K288" s="150">
        <v>0</v>
      </c>
      <c r="L288" s="150">
        <f t="shared" si="405"/>
        <v>0</v>
      </c>
      <c r="M288" s="150">
        <v>0</v>
      </c>
      <c r="N288" s="150"/>
      <c r="O288" s="150">
        <v>0</v>
      </c>
      <c r="P288" s="150">
        <v>0</v>
      </c>
      <c r="Q288" s="150"/>
      <c r="R288" s="150">
        <f t="shared" si="448"/>
        <v>0</v>
      </c>
      <c r="S288" s="150">
        <f t="shared" si="399"/>
        <v>0</v>
      </c>
      <c r="T288" s="150"/>
      <c r="U288" s="150">
        <v>0</v>
      </c>
      <c r="V288" s="199"/>
      <c r="W288" s="150">
        <f t="shared" si="449"/>
        <v>0</v>
      </c>
      <c r="X288" s="150">
        <v>0</v>
      </c>
      <c r="Y288" s="150"/>
      <c r="Z288" s="150">
        <v>0</v>
      </c>
      <c r="AA288" s="150">
        <f t="shared" si="400"/>
        <v>0</v>
      </c>
      <c r="AB288" s="150">
        <v>0</v>
      </c>
      <c r="AC288" s="199"/>
      <c r="AD288" s="150">
        <f t="shared" si="450"/>
        <v>0</v>
      </c>
      <c r="AE288" s="150">
        <v>0</v>
      </c>
      <c r="AF288" s="169" t="s">
        <v>4680</v>
      </c>
      <c r="AG288" s="201">
        <v>0</v>
      </c>
      <c r="AH288" s="199"/>
      <c r="AI288" s="150">
        <v>0</v>
      </c>
      <c r="AJ288" s="169">
        <f t="shared" si="401"/>
        <v>0</v>
      </c>
      <c r="AK288" s="201">
        <v>0</v>
      </c>
      <c r="AL288" s="199"/>
      <c r="AM288" s="150">
        <f t="shared" si="451"/>
        <v>0</v>
      </c>
      <c r="AN288" s="153">
        <f t="shared" si="402"/>
        <v>0</v>
      </c>
      <c r="AO288" s="154">
        <f t="shared" si="403"/>
        <v>0</v>
      </c>
      <c r="AP288" s="150">
        <v>0</v>
      </c>
      <c r="AQ288" s="201">
        <v>0</v>
      </c>
      <c r="AR288" s="199"/>
      <c r="AS288" s="150">
        <f t="shared" si="452"/>
        <v>0</v>
      </c>
      <c r="AT288" s="155"/>
      <c r="AU288" s="156">
        <f t="shared" si="396"/>
        <v>0</v>
      </c>
      <c r="AV288" s="156">
        <f t="shared" si="397"/>
        <v>0</v>
      </c>
      <c r="AW288" s="157"/>
      <c r="AX288" s="150">
        <v>0</v>
      </c>
      <c r="AY288" s="150">
        <v>0</v>
      </c>
      <c r="AZ288" s="150"/>
      <c r="BA288" s="150">
        <f t="shared" si="398"/>
        <v>0</v>
      </c>
      <c r="BB288" s="210"/>
      <c r="BC288" s="210"/>
      <c r="BD288" s="210"/>
      <c r="BE288" s="210"/>
      <c r="BF288" s="210"/>
      <c r="BG288" s="210"/>
      <c r="BH288" s="217"/>
      <c r="BI288" s="210"/>
      <c r="BJ288" s="210"/>
      <c r="BK288" s="210"/>
      <c r="BL288" s="210"/>
      <c r="BM288" s="208"/>
      <c r="BN288" s="160"/>
      <c r="BO288" s="161"/>
      <c r="BP288" s="161"/>
    </row>
    <row r="289" spans="1:68">
      <c r="A289" s="210"/>
      <c r="B289" s="195" t="s">
        <v>5577</v>
      </c>
      <c r="C289" s="196" t="s">
        <v>5578</v>
      </c>
      <c r="D289" s="146" t="s">
        <v>4692</v>
      </c>
      <c r="E289" s="196" t="s">
        <v>5578</v>
      </c>
      <c r="F289" s="150">
        <v>0</v>
      </c>
      <c r="G289" s="209">
        <v>0</v>
      </c>
      <c r="H289" s="209"/>
      <c r="I289" s="209">
        <v>0</v>
      </c>
      <c r="J289" s="150">
        <v>0</v>
      </c>
      <c r="K289" s="150">
        <v>0</v>
      </c>
      <c r="L289" s="150">
        <f t="shared" si="405"/>
        <v>0</v>
      </c>
      <c r="M289" s="150">
        <v>0</v>
      </c>
      <c r="N289" s="150"/>
      <c r="O289" s="150">
        <v>0</v>
      </c>
      <c r="P289" s="150">
        <v>0</v>
      </c>
      <c r="Q289" s="150"/>
      <c r="R289" s="150">
        <f t="shared" si="448"/>
        <v>0</v>
      </c>
      <c r="S289" s="150">
        <f t="shared" si="399"/>
        <v>0</v>
      </c>
      <c r="T289" s="150"/>
      <c r="U289" s="150">
        <v>0</v>
      </c>
      <c r="V289" s="199"/>
      <c r="W289" s="150">
        <f t="shared" si="449"/>
        <v>0</v>
      </c>
      <c r="X289" s="150">
        <v>0</v>
      </c>
      <c r="Y289" s="150"/>
      <c r="Z289" s="150">
        <v>0</v>
      </c>
      <c r="AA289" s="150">
        <f t="shared" si="400"/>
        <v>0</v>
      </c>
      <c r="AB289" s="150">
        <v>0</v>
      </c>
      <c r="AC289" s="199"/>
      <c r="AD289" s="150">
        <f t="shared" si="450"/>
        <v>0</v>
      </c>
      <c r="AE289" s="150">
        <v>0</v>
      </c>
      <c r="AF289" s="169" t="s">
        <v>4680</v>
      </c>
      <c r="AG289" s="201">
        <v>0</v>
      </c>
      <c r="AH289" s="199"/>
      <c r="AI289" s="150">
        <v>0</v>
      </c>
      <c r="AJ289" s="169">
        <f t="shared" si="401"/>
        <v>0</v>
      </c>
      <c r="AK289" s="201">
        <v>0</v>
      </c>
      <c r="AL289" s="199"/>
      <c r="AM289" s="150">
        <f t="shared" si="451"/>
        <v>0</v>
      </c>
      <c r="AN289" s="153">
        <f t="shared" si="402"/>
        <v>0</v>
      </c>
      <c r="AO289" s="154">
        <f t="shared" si="403"/>
        <v>0</v>
      </c>
      <c r="AP289" s="150">
        <v>0</v>
      </c>
      <c r="AQ289" s="201">
        <v>0</v>
      </c>
      <c r="AR289" s="199"/>
      <c r="AS289" s="150">
        <f t="shared" si="452"/>
        <v>0</v>
      </c>
      <c r="AT289" s="155"/>
      <c r="AU289" s="156">
        <f t="shared" si="396"/>
        <v>0</v>
      </c>
      <c r="AV289" s="156">
        <f t="shared" si="397"/>
        <v>0</v>
      </c>
      <c r="AW289" s="157"/>
      <c r="AX289" s="150">
        <v>0</v>
      </c>
      <c r="AY289" s="150">
        <v>0</v>
      </c>
      <c r="AZ289" s="150"/>
      <c r="BA289" s="150">
        <f t="shared" si="398"/>
        <v>0</v>
      </c>
      <c r="BB289" s="210"/>
      <c r="BC289" s="210"/>
      <c r="BD289" s="210"/>
      <c r="BE289" s="210"/>
      <c r="BF289" s="210"/>
      <c r="BG289" s="210"/>
      <c r="BH289" s="217"/>
      <c r="BI289" s="210"/>
      <c r="BJ289" s="210"/>
      <c r="BK289" s="210"/>
      <c r="BL289" s="210"/>
      <c r="BM289" s="208"/>
      <c r="BN289" s="160"/>
      <c r="BO289" s="161"/>
      <c r="BP289" s="161"/>
    </row>
    <row r="290" spans="1:68">
      <c r="A290" s="210"/>
      <c r="B290" s="195" t="s">
        <v>5579</v>
      </c>
      <c r="C290" s="196" t="s">
        <v>5580</v>
      </c>
      <c r="D290" s="146" t="s">
        <v>4692</v>
      </c>
      <c r="E290" s="196" t="s">
        <v>5580</v>
      </c>
      <c r="F290" s="150">
        <v>0</v>
      </c>
      <c r="G290" s="209">
        <v>0</v>
      </c>
      <c r="H290" s="209"/>
      <c r="I290" s="209">
        <v>0</v>
      </c>
      <c r="J290" s="150">
        <v>0</v>
      </c>
      <c r="K290" s="150">
        <v>0</v>
      </c>
      <c r="L290" s="150">
        <f t="shared" si="405"/>
        <v>0</v>
      </c>
      <c r="M290" s="150">
        <v>0</v>
      </c>
      <c r="N290" s="150"/>
      <c r="O290" s="150">
        <v>0</v>
      </c>
      <c r="P290" s="150">
        <v>0</v>
      </c>
      <c r="Q290" s="150"/>
      <c r="R290" s="150">
        <f t="shared" si="448"/>
        <v>0</v>
      </c>
      <c r="S290" s="150">
        <f t="shared" si="399"/>
        <v>0</v>
      </c>
      <c r="T290" s="150"/>
      <c r="U290" s="150">
        <v>0</v>
      </c>
      <c r="V290" s="199"/>
      <c r="W290" s="150">
        <f t="shared" si="449"/>
        <v>0</v>
      </c>
      <c r="X290" s="150">
        <v>0</v>
      </c>
      <c r="Y290" s="150"/>
      <c r="Z290" s="150">
        <v>0</v>
      </c>
      <c r="AA290" s="150">
        <f t="shared" si="400"/>
        <v>0</v>
      </c>
      <c r="AB290" s="150">
        <v>0</v>
      </c>
      <c r="AC290" s="199"/>
      <c r="AD290" s="150">
        <f t="shared" si="450"/>
        <v>0</v>
      </c>
      <c r="AE290" s="150">
        <v>0</v>
      </c>
      <c r="AF290" s="169" t="s">
        <v>4680</v>
      </c>
      <c r="AG290" s="201">
        <v>0</v>
      </c>
      <c r="AH290" s="199"/>
      <c r="AI290" s="150">
        <v>0</v>
      </c>
      <c r="AJ290" s="169">
        <f t="shared" si="401"/>
        <v>0</v>
      </c>
      <c r="AK290" s="201">
        <v>0</v>
      </c>
      <c r="AL290" s="199"/>
      <c r="AM290" s="150">
        <f t="shared" si="451"/>
        <v>0</v>
      </c>
      <c r="AN290" s="153">
        <f t="shared" si="402"/>
        <v>0</v>
      </c>
      <c r="AO290" s="154">
        <f t="shared" si="403"/>
        <v>0</v>
      </c>
      <c r="AP290" s="150">
        <v>0</v>
      </c>
      <c r="AQ290" s="201">
        <v>0</v>
      </c>
      <c r="AR290" s="199"/>
      <c r="AS290" s="150">
        <f t="shared" si="452"/>
        <v>0</v>
      </c>
      <c r="AT290" s="155"/>
      <c r="AU290" s="156">
        <f t="shared" si="396"/>
        <v>0</v>
      </c>
      <c r="AV290" s="156">
        <f t="shared" si="397"/>
        <v>0</v>
      </c>
      <c r="AW290" s="157"/>
      <c r="AX290" s="150">
        <v>0</v>
      </c>
      <c r="AY290" s="150">
        <v>0</v>
      </c>
      <c r="AZ290" s="150"/>
      <c r="BA290" s="150">
        <f t="shared" si="398"/>
        <v>0</v>
      </c>
      <c r="BB290" s="210"/>
      <c r="BC290" s="210"/>
      <c r="BD290" s="210"/>
      <c r="BE290" s="210"/>
      <c r="BF290" s="210"/>
      <c r="BG290" s="210"/>
      <c r="BH290" s="217"/>
      <c r="BI290" s="210"/>
      <c r="BJ290" s="210"/>
      <c r="BK290" s="210"/>
      <c r="BL290" s="210"/>
      <c r="BM290" s="208"/>
      <c r="BN290" s="160"/>
      <c r="BO290" s="161"/>
      <c r="BP290" s="161"/>
    </row>
    <row r="291" spans="1:68">
      <c r="A291" s="210"/>
      <c r="B291" s="195" t="s">
        <v>5581</v>
      </c>
      <c r="C291" s="196" t="s">
        <v>5582</v>
      </c>
      <c r="D291" s="146" t="s">
        <v>4692</v>
      </c>
      <c r="E291" s="196" t="s">
        <v>5582</v>
      </c>
      <c r="F291" s="150">
        <v>0</v>
      </c>
      <c r="G291" s="209">
        <v>0</v>
      </c>
      <c r="H291" s="209"/>
      <c r="I291" s="209">
        <v>0</v>
      </c>
      <c r="J291" s="150">
        <v>0</v>
      </c>
      <c r="K291" s="150">
        <v>0</v>
      </c>
      <c r="L291" s="150">
        <f t="shared" si="405"/>
        <v>0</v>
      </c>
      <c r="M291" s="150">
        <v>0</v>
      </c>
      <c r="N291" s="150"/>
      <c r="O291" s="150">
        <v>0</v>
      </c>
      <c r="P291" s="150">
        <v>0</v>
      </c>
      <c r="Q291" s="150"/>
      <c r="R291" s="150">
        <f t="shared" si="448"/>
        <v>0</v>
      </c>
      <c r="S291" s="150">
        <f t="shared" si="399"/>
        <v>0</v>
      </c>
      <c r="T291" s="150"/>
      <c r="U291" s="150">
        <v>0</v>
      </c>
      <c r="V291" s="199"/>
      <c r="W291" s="150">
        <f t="shared" si="449"/>
        <v>0</v>
      </c>
      <c r="X291" s="150">
        <v>0</v>
      </c>
      <c r="Y291" s="150"/>
      <c r="Z291" s="150">
        <v>0</v>
      </c>
      <c r="AA291" s="150">
        <f t="shared" si="400"/>
        <v>0</v>
      </c>
      <c r="AB291" s="150">
        <v>0</v>
      </c>
      <c r="AC291" s="199"/>
      <c r="AD291" s="150">
        <f t="shared" si="450"/>
        <v>0</v>
      </c>
      <c r="AE291" s="150">
        <v>0</v>
      </c>
      <c r="AF291" s="169" t="s">
        <v>4680</v>
      </c>
      <c r="AG291" s="201">
        <v>0</v>
      </c>
      <c r="AH291" s="199"/>
      <c r="AI291" s="150">
        <v>0</v>
      </c>
      <c r="AJ291" s="169">
        <f t="shared" si="401"/>
        <v>0</v>
      </c>
      <c r="AK291" s="201">
        <v>0</v>
      </c>
      <c r="AL291" s="199"/>
      <c r="AM291" s="150">
        <f t="shared" si="451"/>
        <v>0</v>
      </c>
      <c r="AN291" s="153">
        <f t="shared" si="402"/>
        <v>0</v>
      </c>
      <c r="AO291" s="154">
        <f t="shared" si="403"/>
        <v>0</v>
      </c>
      <c r="AP291" s="150">
        <v>0</v>
      </c>
      <c r="AQ291" s="201">
        <v>0</v>
      </c>
      <c r="AR291" s="199"/>
      <c r="AS291" s="150">
        <f t="shared" si="452"/>
        <v>0</v>
      </c>
      <c r="AT291" s="155"/>
      <c r="AU291" s="156">
        <f t="shared" si="396"/>
        <v>0</v>
      </c>
      <c r="AV291" s="156">
        <f t="shared" si="397"/>
        <v>0</v>
      </c>
      <c r="AW291" s="157"/>
      <c r="AX291" s="150">
        <v>0</v>
      </c>
      <c r="AY291" s="150">
        <v>0</v>
      </c>
      <c r="AZ291" s="150"/>
      <c r="BA291" s="150">
        <f t="shared" si="398"/>
        <v>0</v>
      </c>
      <c r="BB291" s="210"/>
      <c r="BC291" s="210"/>
      <c r="BD291" s="210"/>
      <c r="BE291" s="210"/>
      <c r="BF291" s="210"/>
      <c r="BG291" s="210"/>
      <c r="BH291" s="217"/>
      <c r="BI291" s="210"/>
      <c r="BJ291" s="210"/>
      <c r="BK291" s="210"/>
      <c r="BL291" s="210"/>
      <c r="BM291" s="208"/>
      <c r="BN291" s="160"/>
      <c r="BO291" s="161"/>
      <c r="BP291" s="161"/>
    </row>
    <row r="292" spans="1:68" ht="25.5">
      <c r="A292" s="210"/>
      <c r="B292" s="195" t="s">
        <v>5583</v>
      </c>
      <c r="C292" s="196" t="s">
        <v>5584</v>
      </c>
      <c r="D292" s="146" t="s">
        <v>4692</v>
      </c>
      <c r="E292" s="196" t="s">
        <v>5584</v>
      </c>
      <c r="F292" s="150">
        <v>0</v>
      </c>
      <c r="G292" s="209">
        <v>0</v>
      </c>
      <c r="H292" s="209"/>
      <c r="I292" s="209">
        <v>0</v>
      </c>
      <c r="J292" s="150">
        <v>0</v>
      </c>
      <c r="K292" s="150">
        <v>0</v>
      </c>
      <c r="L292" s="150">
        <f t="shared" si="405"/>
        <v>0</v>
      </c>
      <c r="M292" s="150">
        <v>0</v>
      </c>
      <c r="N292" s="150"/>
      <c r="O292" s="150">
        <v>0</v>
      </c>
      <c r="P292" s="150">
        <v>0</v>
      </c>
      <c r="Q292" s="150"/>
      <c r="R292" s="150">
        <f t="shared" si="448"/>
        <v>0</v>
      </c>
      <c r="S292" s="150">
        <f t="shared" si="399"/>
        <v>0</v>
      </c>
      <c r="T292" s="150"/>
      <c r="U292" s="150">
        <v>0</v>
      </c>
      <c r="V292" s="199"/>
      <c r="W292" s="150">
        <f t="shared" si="449"/>
        <v>0</v>
      </c>
      <c r="X292" s="150">
        <v>0</v>
      </c>
      <c r="Y292" s="150"/>
      <c r="Z292" s="150">
        <v>0</v>
      </c>
      <c r="AA292" s="150">
        <f t="shared" si="400"/>
        <v>0</v>
      </c>
      <c r="AB292" s="150">
        <v>0</v>
      </c>
      <c r="AC292" s="199"/>
      <c r="AD292" s="150">
        <f t="shared" si="450"/>
        <v>0</v>
      </c>
      <c r="AE292" s="150">
        <v>0</v>
      </c>
      <c r="AF292" s="169" t="s">
        <v>4680</v>
      </c>
      <c r="AG292" s="201">
        <v>0</v>
      </c>
      <c r="AH292" s="199"/>
      <c r="AI292" s="150">
        <v>0</v>
      </c>
      <c r="AJ292" s="169">
        <f t="shared" si="401"/>
        <v>0</v>
      </c>
      <c r="AK292" s="201">
        <v>0</v>
      </c>
      <c r="AL292" s="199"/>
      <c r="AM292" s="150">
        <f t="shared" si="451"/>
        <v>0</v>
      </c>
      <c r="AN292" s="153">
        <f t="shared" si="402"/>
        <v>0</v>
      </c>
      <c r="AO292" s="154">
        <f t="shared" si="403"/>
        <v>0</v>
      </c>
      <c r="AP292" s="150">
        <v>0</v>
      </c>
      <c r="AQ292" s="201">
        <v>0</v>
      </c>
      <c r="AR292" s="199"/>
      <c r="AS292" s="150">
        <f t="shared" si="452"/>
        <v>0</v>
      </c>
      <c r="AT292" s="155"/>
      <c r="AU292" s="156">
        <f t="shared" si="396"/>
        <v>0</v>
      </c>
      <c r="AV292" s="156">
        <f t="shared" si="397"/>
        <v>0</v>
      </c>
      <c r="AW292" s="157"/>
      <c r="AX292" s="150">
        <v>0</v>
      </c>
      <c r="AY292" s="150">
        <v>0</v>
      </c>
      <c r="AZ292" s="150"/>
      <c r="BA292" s="150">
        <f t="shared" si="398"/>
        <v>0</v>
      </c>
      <c r="BB292" s="210"/>
      <c r="BC292" s="210"/>
      <c r="BD292" s="210"/>
      <c r="BE292" s="210"/>
      <c r="BF292" s="210"/>
      <c r="BG292" s="210"/>
      <c r="BH292" s="217"/>
      <c r="BI292" s="210"/>
      <c r="BJ292" s="210"/>
      <c r="BK292" s="210"/>
      <c r="BL292" s="210"/>
      <c r="BM292" s="208"/>
      <c r="BN292" s="160"/>
      <c r="BO292" s="161"/>
      <c r="BP292" s="161"/>
    </row>
    <row r="293" spans="1:68" ht="25.5">
      <c r="A293" s="210"/>
      <c r="B293" s="195" t="s">
        <v>5585</v>
      </c>
      <c r="C293" s="196" t="s">
        <v>5586</v>
      </c>
      <c r="D293" s="146" t="s">
        <v>4692</v>
      </c>
      <c r="E293" s="196" t="s">
        <v>5586</v>
      </c>
      <c r="F293" s="150">
        <v>0</v>
      </c>
      <c r="G293" s="209">
        <v>0</v>
      </c>
      <c r="H293" s="209"/>
      <c r="I293" s="209">
        <v>0</v>
      </c>
      <c r="J293" s="150">
        <v>0</v>
      </c>
      <c r="K293" s="150">
        <v>0</v>
      </c>
      <c r="L293" s="150">
        <f t="shared" si="405"/>
        <v>0</v>
      </c>
      <c r="M293" s="150">
        <v>0</v>
      </c>
      <c r="N293" s="150"/>
      <c r="O293" s="150">
        <v>0</v>
      </c>
      <c r="P293" s="150">
        <v>0</v>
      </c>
      <c r="Q293" s="150"/>
      <c r="R293" s="150">
        <f t="shared" si="448"/>
        <v>0</v>
      </c>
      <c r="S293" s="150">
        <f t="shared" si="399"/>
        <v>0</v>
      </c>
      <c r="T293" s="150"/>
      <c r="U293" s="150">
        <v>0</v>
      </c>
      <c r="V293" s="199"/>
      <c r="W293" s="150">
        <f t="shared" si="449"/>
        <v>0</v>
      </c>
      <c r="X293" s="150">
        <v>0</v>
      </c>
      <c r="Y293" s="150"/>
      <c r="Z293" s="150">
        <v>0</v>
      </c>
      <c r="AA293" s="150">
        <f t="shared" si="400"/>
        <v>0</v>
      </c>
      <c r="AB293" s="150">
        <v>0</v>
      </c>
      <c r="AC293" s="199"/>
      <c r="AD293" s="150">
        <f t="shared" si="450"/>
        <v>0</v>
      </c>
      <c r="AE293" s="150">
        <v>0</v>
      </c>
      <c r="AF293" s="169" t="s">
        <v>4680</v>
      </c>
      <c r="AG293" s="201">
        <v>0</v>
      </c>
      <c r="AH293" s="199"/>
      <c r="AI293" s="150">
        <v>0</v>
      </c>
      <c r="AJ293" s="169">
        <f t="shared" si="401"/>
        <v>0</v>
      </c>
      <c r="AK293" s="201">
        <v>0</v>
      </c>
      <c r="AL293" s="199"/>
      <c r="AM293" s="150">
        <f t="shared" si="451"/>
        <v>0</v>
      </c>
      <c r="AN293" s="153">
        <f t="shared" si="402"/>
        <v>0</v>
      </c>
      <c r="AO293" s="154">
        <f t="shared" si="403"/>
        <v>0</v>
      </c>
      <c r="AP293" s="150">
        <v>0</v>
      </c>
      <c r="AQ293" s="201">
        <v>0</v>
      </c>
      <c r="AR293" s="199"/>
      <c r="AS293" s="150">
        <f t="shared" si="452"/>
        <v>0</v>
      </c>
      <c r="AT293" s="155"/>
      <c r="AU293" s="156">
        <f t="shared" si="396"/>
        <v>0</v>
      </c>
      <c r="AV293" s="156">
        <f t="shared" si="397"/>
        <v>0</v>
      </c>
      <c r="AW293" s="157"/>
      <c r="AX293" s="150">
        <v>0</v>
      </c>
      <c r="AY293" s="150">
        <v>0</v>
      </c>
      <c r="AZ293" s="150"/>
      <c r="BA293" s="150">
        <f t="shared" si="398"/>
        <v>0</v>
      </c>
      <c r="BB293" s="210"/>
      <c r="BC293" s="210"/>
      <c r="BD293" s="210"/>
      <c r="BE293" s="210"/>
      <c r="BF293" s="210"/>
      <c r="BG293" s="210"/>
      <c r="BH293" s="217"/>
      <c r="BI293" s="210"/>
      <c r="BJ293" s="210"/>
      <c r="BK293" s="210"/>
      <c r="BL293" s="210"/>
      <c r="BM293" s="208"/>
      <c r="BN293" s="160"/>
      <c r="BO293" s="161"/>
      <c r="BP293" s="161"/>
    </row>
    <row r="294" spans="1:68" ht="25.5">
      <c r="A294" s="210"/>
      <c r="B294" s="195" t="s">
        <v>5587</v>
      </c>
      <c r="C294" s="196" t="s">
        <v>5588</v>
      </c>
      <c r="D294" s="146" t="s">
        <v>4692</v>
      </c>
      <c r="E294" s="196" t="s">
        <v>5588</v>
      </c>
      <c r="F294" s="150">
        <v>0</v>
      </c>
      <c r="G294" s="209">
        <v>0</v>
      </c>
      <c r="H294" s="209"/>
      <c r="I294" s="209">
        <v>0</v>
      </c>
      <c r="J294" s="150">
        <v>0</v>
      </c>
      <c r="K294" s="150">
        <v>0</v>
      </c>
      <c r="L294" s="150">
        <f t="shared" si="405"/>
        <v>0</v>
      </c>
      <c r="M294" s="150">
        <v>0</v>
      </c>
      <c r="N294" s="150"/>
      <c r="O294" s="150">
        <v>0</v>
      </c>
      <c r="P294" s="150">
        <v>0</v>
      </c>
      <c r="Q294" s="150"/>
      <c r="R294" s="150">
        <f t="shared" si="448"/>
        <v>0</v>
      </c>
      <c r="S294" s="150">
        <f t="shared" si="399"/>
        <v>0</v>
      </c>
      <c r="T294" s="150"/>
      <c r="U294" s="150">
        <v>0</v>
      </c>
      <c r="V294" s="199"/>
      <c r="W294" s="150">
        <f t="shared" si="449"/>
        <v>0</v>
      </c>
      <c r="X294" s="150">
        <v>0</v>
      </c>
      <c r="Y294" s="150"/>
      <c r="Z294" s="150">
        <v>0</v>
      </c>
      <c r="AA294" s="150">
        <f t="shared" si="400"/>
        <v>0</v>
      </c>
      <c r="AB294" s="150">
        <v>0</v>
      </c>
      <c r="AC294" s="199"/>
      <c r="AD294" s="150">
        <f t="shared" si="450"/>
        <v>0</v>
      </c>
      <c r="AE294" s="150">
        <v>0</v>
      </c>
      <c r="AF294" s="169" t="s">
        <v>4680</v>
      </c>
      <c r="AG294" s="201">
        <v>0</v>
      </c>
      <c r="AH294" s="199"/>
      <c r="AI294" s="150">
        <v>0</v>
      </c>
      <c r="AJ294" s="169">
        <f t="shared" si="401"/>
        <v>0</v>
      </c>
      <c r="AK294" s="201">
        <v>0</v>
      </c>
      <c r="AL294" s="199"/>
      <c r="AM294" s="150">
        <f t="shared" si="451"/>
        <v>0</v>
      </c>
      <c r="AN294" s="153">
        <f t="shared" si="402"/>
        <v>0</v>
      </c>
      <c r="AO294" s="154">
        <f t="shared" si="403"/>
        <v>0</v>
      </c>
      <c r="AP294" s="150">
        <v>0</v>
      </c>
      <c r="AQ294" s="201">
        <v>0</v>
      </c>
      <c r="AR294" s="199"/>
      <c r="AS294" s="150">
        <f t="shared" si="452"/>
        <v>0</v>
      </c>
      <c r="AT294" s="155"/>
      <c r="AU294" s="156">
        <f t="shared" si="396"/>
        <v>0</v>
      </c>
      <c r="AV294" s="156">
        <f t="shared" si="397"/>
        <v>0</v>
      </c>
      <c r="AW294" s="157"/>
      <c r="AX294" s="150">
        <v>0</v>
      </c>
      <c r="AY294" s="150">
        <v>0</v>
      </c>
      <c r="AZ294" s="150"/>
      <c r="BA294" s="150">
        <f t="shared" si="398"/>
        <v>0</v>
      </c>
      <c r="BB294" s="210"/>
      <c r="BC294" s="210"/>
      <c r="BD294" s="210"/>
      <c r="BE294" s="210"/>
      <c r="BF294" s="210"/>
      <c r="BG294" s="210"/>
      <c r="BH294" s="217"/>
      <c r="BI294" s="210"/>
      <c r="BJ294" s="210"/>
      <c r="BK294" s="210"/>
      <c r="BL294" s="210"/>
      <c r="BM294" s="208"/>
      <c r="BN294" s="160"/>
      <c r="BO294" s="161"/>
      <c r="BP294" s="161"/>
    </row>
    <row r="295" spans="1:68">
      <c r="A295" s="210"/>
      <c r="B295" s="195" t="s">
        <v>5589</v>
      </c>
      <c r="C295" s="196" t="s">
        <v>5590</v>
      </c>
      <c r="D295" s="146" t="s">
        <v>4692</v>
      </c>
      <c r="E295" s="196" t="s">
        <v>5590</v>
      </c>
      <c r="F295" s="150">
        <v>0</v>
      </c>
      <c r="G295" s="209">
        <v>0</v>
      </c>
      <c r="H295" s="209"/>
      <c r="I295" s="209">
        <v>0</v>
      </c>
      <c r="J295" s="150">
        <v>0</v>
      </c>
      <c r="K295" s="150">
        <v>0</v>
      </c>
      <c r="L295" s="150">
        <f t="shared" si="405"/>
        <v>0</v>
      </c>
      <c r="M295" s="150">
        <v>0</v>
      </c>
      <c r="N295" s="150"/>
      <c r="O295" s="150">
        <v>0</v>
      </c>
      <c r="P295" s="150">
        <v>0</v>
      </c>
      <c r="Q295" s="150"/>
      <c r="R295" s="150">
        <f t="shared" si="448"/>
        <v>0</v>
      </c>
      <c r="S295" s="150">
        <f t="shared" si="399"/>
        <v>0</v>
      </c>
      <c r="T295" s="150"/>
      <c r="U295" s="150">
        <v>0</v>
      </c>
      <c r="V295" s="199"/>
      <c r="W295" s="150">
        <f t="shared" si="449"/>
        <v>0</v>
      </c>
      <c r="X295" s="150">
        <v>0</v>
      </c>
      <c r="Y295" s="150"/>
      <c r="Z295" s="150">
        <v>0</v>
      </c>
      <c r="AA295" s="150">
        <f t="shared" si="400"/>
        <v>0</v>
      </c>
      <c r="AB295" s="150">
        <v>0</v>
      </c>
      <c r="AC295" s="199"/>
      <c r="AD295" s="150">
        <f t="shared" si="450"/>
        <v>0</v>
      </c>
      <c r="AE295" s="150">
        <v>0</v>
      </c>
      <c r="AF295" s="169" t="s">
        <v>4680</v>
      </c>
      <c r="AG295" s="201">
        <v>0</v>
      </c>
      <c r="AH295" s="199"/>
      <c r="AI295" s="150">
        <v>0</v>
      </c>
      <c r="AJ295" s="169">
        <f t="shared" si="401"/>
        <v>0</v>
      </c>
      <c r="AK295" s="201">
        <v>0</v>
      </c>
      <c r="AL295" s="199"/>
      <c r="AM295" s="150">
        <f t="shared" si="451"/>
        <v>0</v>
      </c>
      <c r="AN295" s="153">
        <f t="shared" si="402"/>
        <v>0</v>
      </c>
      <c r="AO295" s="154">
        <f t="shared" si="403"/>
        <v>0</v>
      </c>
      <c r="AP295" s="150">
        <v>0</v>
      </c>
      <c r="AQ295" s="201">
        <v>0</v>
      </c>
      <c r="AR295" s="199"/>
      <c r="AS295" s="150">
        <f t="shared" si="452"/>
        <v>0</v>
      </c>
      <c r="AT295" s="155"/>
      <c r="AU295" s="156">
        <f t="shared" si="396"/>
        <v>0</v>
      </c>
      <c r="AV295" s="156">
        <f t="shared" si="397"/>
        <v>0</v>
      </c>
      <c r="AW295" s="157"/>
      <c r="AX295" s="150">
        <v>0</v>
      </c>
      <c r="AY295" s="150">
        <v>0</v>
      </c>
      <c r="AZ295" s="150"/>
      <c r="BA295" s="150">
        <f t="shared" si="398"/>
        <v>0</v>
      </c>
      <c r="BB295" s="210"/>
      <c r="BC295" s="210"/>
      <c r="BD295" s="210"/>
      <c r="BE295" s="210"/>
      <c r="BF295" s="210"/>
      <c r="BG295" s="210"/>
      <c r="BH295" s="217"/>
      <c r="BI295" s="210"/>
      <c r="BJ295" s="210"/>
      <c r="BK295" s="210"/>
      <c r="BL295" s="210"/>
      <c r="BM295" s="208"/>
      <c r="BN295" s="160"/>
      <c r="BO295" s="161"/>
      <c r="BP295" s="161"/>
    </row>
    <row r="296" spans="1:68" ht="25.5">
      <c r="A296" s="210"/>
      <c r="B296" s="195" t="s">
        <v>5591</v>
      </c>
      <c r="C296" s="196" t="s">
        <v>5592</v>
      </c>
      <c r="D296" s="146" t="s">
        <v>4692</v>
      </c>
      <c r="E296" s="196" t="s">
        <v>5592</v>
      </c>
      <c r="F296" s="150">
        <v>0</v>
      </c>
      <c r="G296" s="209">
        <v>0</v>
      </c>
      <c r="H296" s="209"/>
      <c r="I296" s="209">
        <v>0</v>
      </c>
      <c r="J296" s="150">
        <v>0</v>
      </c>
      <c r="K296" s="150">
        <v>0</v>
      </c>
      <c r="L296" s="150">
        <f t="shared" si="405"/>
        <v>0</v>
      </c>
      <c r="M296" s="150">
        <v>0</v>
      </c>
      <c r="N296" s="150"/>
      <c r="O296" s="150">
        <v>0</v>
      </c>
      <c r="P296" s="150">
        <v>0</v>
      </c>
      <c r="Q296" s="150"/>
      <c r="R296" s="150">
        <f t="shared" si="448"/>
        <v>0</v>
      </c>
      <c r="S296" s="150">
        <f t="shared" si="399"/>
        <v>0</v>
      </c>
      <c r="T296" s="150"/>
      <c r="U296" s="150">
        <v>0</v>
      </c>
      <c r="V296" s="199"/>
      <c r="W296" s="150">
        <f t="shared" si="449"/>
        <v>0</v>
      </c>
      <c r="X296" s="150">
        <v>0</v>
      </c>
      <c r="Y296" s="150"/>
      <c r="Z296" s="150">
        <v>0</v>
      </c>
      <c r="AA296" s="150">
        <f t="shared" si="400"/>
        <v>0</v>
      </c>
      <c r="AB296" s="150">
        <v>0</v>
      </c>
      <c r="AC296" s="199"/>
      <c r="AD296" s="150">
        <f t="shared" si="450"/>
        <v>0</v>
      </c>
      <c r="AE296" s="150">
        <v>0</v>
      </c>
      <c r="AF296" s="169" t="s">
        <v>4680</v>
      </c>
      <c r="AG296" s="201">
        <v>0</v>
      </c>
      <c r="AH296" s="199"/>
      <c r="AI296" s="150">
        <v>0</v>
      </c>
      <c r="AJ296" s="169">
        <f t="shared" si="401"/>
        <v>0</v>
      </c>
      <c r="AK296" s="201">
        <v>0</v>
      </c>
      <c r="AL296" s="199"/>
      <c r="AM296" s="150">
        <f t="shared" si="451"/>
        <v>0</v>
      </c>
      <c r="AN296" s="153">
        <f t="shared" si="402"/>
        <v>0</v>
      </c>
      <c r="AO296" s="154">
        <f t="shared" si="403"/>
        <v>0</v>
      </c>
      <c r="AP296" s="150">
        <v>0</v>
      </c>
      <c r="AQ296" s="201">
        <v>0</v>
      </c>
      <c r="AR296" s="199"/>
      <c r="AS296" s="150">
        <f t="shared" si="452"/>
        <v>0</v>
      </c>
      <c r="AT296" s="155"/>
      <c r="AU296" s="156">
        <f t="shared" si="396"/>
        <v>0</v>
      </c>
      <c r="AV296" s="156">
        <f t="shared" si="397"/>
        <v>0</v>
      </c>
      <c r="AW296" s="157"/>
      <c r="AX296" s="150">
        <v>0</v>
      </c>
      <c r="AY296" s="150">
        <v>0</v>
      </c>
      <c r="AZ296" s="150"/>
      <c r="BA296" s="150">
        <f t="shared" si="398"/>
        <v>0</v>
      </c>
      <c r="BB296" s="210"/>
      <c r="BC296" s="210"/>
      <c r="BD296" s="210"/>
      <c r="BE296" s="210"/>
      <c r="BF296" s="210"/>
      <c r="BG296" s="210"/>
      <c r="BH296" s="217"/>
      <c r="BI296" s="210"/>
      <c r="BJ296" s="210"/>
      <c r="BK296" s="210"/>
      <c r="BL296" s="210"/>
      <c r="BM296" s="208"/>
      <c r="BN296" s="160"/>
      <c r="BO296" s="161"/>
      <c r="BP296" s="161"/>
    </row>
    <row r="297" spans="1:68">
      <c r="A297" s="210"/>
      <c r="B297" s="195" t="s">
        <v>5593</v>
      </c>
      <c r="C297" s="196" t="s">
        <v>5594</v>
      </c>
      <c r="D297" s="146" t="s">
        <v>4692</v>
      </c>
      <c r="E297" s="196" t="s">
        <v>5594</v>
      </c>
      <c r="F297" s="150">
        <v>0</v>
      </c>
      <c r="G297" s="209">
        <v>0</v>
      </c>
      <c r="H297" s="209"/>
      <c r="I297" s="209">
        <v>0</v>
      </c>
      <c r="J297" s="150">
        <v>0</v>
      </c>
      <c r="K297" s="150">
        <v>0</v>
      </c>
      <c r="L297" s="150">
        <f t="shared" si="405"/>
        <v>0</v>
      </c>
      <c r="M297" s="150">
        <v>0</v>
      </c>
      <c r="N297" s="150"/>
      <c r="O297" s="150">
        <v>0</v>
      </c>
      <c r="P297" s="150">
        <v>0</v>
      </c>
      <c r="Q297" s="150"/>
      <c r="R297" s="150">
        <f t="shared" si="448"/>
        <v>0</v>
      </c>
      <c r="S297" s="150">
        <f t="shared" si="399"/>
        <v>0</v>
      </c>
      <c r="T297" s="150"/>
      <c r="U297" s="150">
        <v>0</v>
      </c>
      <c r="V297" s="199"/>
      <c r="W297" s="150">
        <f t="shared" si="449"/>
        <v>0</v>
      </c>
      <c r="X297" s="150">
        <v>0</v>
      </c>
      <c r="Y297" s="150"/>
      <c r="Z297" s="150">
        <v>0</v>
      </c>
      <c r="AA297" s="150">
        <f t="shared" si="400"/>
        <v>0</v>
      </c>
      <c r="AB297" s="150">
        <v>0</v>
      </c>
      <c r="AC297" s="199"/>
      <c r="AD297" s="150">
        <f t="shared" si="450"/>
        <v>0</v>
      </c>
      <c r="AE297" s="150">
        <v>0</v>
      </c>
      <c r="AF297" s="169" t="s">
        <v>4680</v>
      </c>
      <c r="AG297" s="201">
        <v>0</v>
      </c>
      <c r="AH297" s="199"/>
      <c r="AI297" s="150">
        <v>0</v>
      </c>
      <c r="AJ297" s="169">
        <f t="shared" si="401"/>
        <v>0</v>
      </c>
      <c r="AK297" s="201">
        <v>0</v>
      </c>
      <c r="AL297" s="199"/>
      <c r="AM297" s="150">
        <f t="shared" si="451"/>
        <v>0</v>
      </c>
      <c r="AN297" s="153">
        <f t="shared" si="402"/>
        <v>0</v>
      </c>
      <c r="AO297" s="154">
        <f t="shared" si="403"/>
        <v>0</v>
      </c>
      <c r="AP297" s="150">
        <v>0</v>
      </c>
      <c r="AQ297" s="201">
        <v>0</v>
      </c>
      <c r="AR297" s="199"/>
      <c r="AS297" s="150">
        <f t="shared" si="452"/>
        <v>0</v>
      </c>
      <c r="AT297" s="155"/>
      <c r="AU297" s="156">
        <f t="shared" si="396"/>
        <v>0</v>
      </c>
      <c r="AV297" s="156">
        <f t="shared" si="397"/>
        <v>0</v>
      </c>
      <c r="AW297" s="157"/>
      <c r="AX297" s="150">
        <v>0</v>
      </c>
      <c r="AY297" s="150">
        <v>0</v>
      </c>
      <c r="AZ297" s="150"/>
      <c r="BA297" s="150">
        <f t="shared" si="398"/>
        <v>0</v>
      </c>
      <c r="BB297" s="210"/>
      <c r="BC297" s="210"/>
      <c r="BD297" s="210"/>
      <c r="BE297" s="210"/>
      <c r="BF297" s="210"/>
      <c r="BG297" s="210"/>
      <c r="BH297" s="217"/>
      <c r="BI297" s="210"/>
      <c r="BJ297" s="210"/>
      <c r="BK297" s="210"/>
      <c r="BL297" s="210"/>
      <c r="BM297" s="208"/>
      <c r="BN297" s="160"/>
      <c r="BO297" s="161"/>
      <c r="BP297" s="161"/>
    </row>
    <row r="298" spans="1:68" ht="25.5">
      <c r="A298" s="210"/>
      <c r="B298" s="195" t="s">
        <v>5595</v>
      </c>
      <c r="C298" s="196" t="s">
        <v>5596</v>
      </c>
      <c r="D298" s="146" t="s">
        <v>4692</v>
      </c>
      <c r="E298" s="196" t="s">
        <v>5596</v>
      </c>
      <c r="F298" s="150">
        <v>0</v>
      </c>
      <c r="G298" s="209">
        <v>0</v>
      </c>
      <c r="H298" s="209"/>
      <c r="I298" s="209">
        <v>0</v>
      </c>
      <c r="J298" s="150">
        <v>0</v>
      </c>
      <c r="K298" s="150">
        <v>0</v>
      </c>
      <c r="L298" s="150">
        <f t="shared" si="405"/>
        <v>0</v>
      </c>
      <c r="M298" s="150">
        <v>0</v>
      </c>
      <c r="N298" s="150"/>
      <c r="O298" s="150">
        <v>0</v>
      </c>
      <c r="P298" s="150">
        <v>0</v>
      </c>
      <c r="Q298" s="150"/>
      <c r="R298" s="150">
        <f t="shared" si="448"/>
        <v>0</v>
      </c>
      <c r="S298" s="150">
        <f t="shared" si="399"/>
        <v>0</v>
      </c>
      <c r="T298" s="150"/>
      <c r="U298" s="150">
        <v>0</v>
      </c>
      <c r="V298" s="199"/>
      <c r="W298" s="150">
        <f t="shared" si="449"/>
        <v>0</v>
      </c>
      <c r="X298" s="150">
        <v>0</v>
      </c>
      <c r="Y298" s="150"/>
      <c r="Z298" s="150">
        <v>0</v>
      </c>
      <c r="AA298" s="150">
        <f t="shared" si="400"/>
        <v>0</v>
      </c>
      <c r="AB298" s="150">
        <v>0</v>
      </c>
      <c r="AC298" s="199"/>
      <c r="AD298" s="150">
        <f t="shared" si="450"/>
        <v>0</v>
      </c>
      <c r="AE298" s="150">
        <v>0</v>
      </c>
      <c r="AF298" s="169" t="s">
        <v>4680</v>
      </c>
      <c r="AG298" s="201">
        <v>0</v>
      </c>
      <c r="AH298" s="199"/>
      <c r="AI298" s="150">
        <v>0</v>
      </c>
      <c r="AJ298" s="169">
        <f t="shared" si="401"/>
        <v>0</v>
      </c>
      <c r="AK298" s="201">
        <v>0</v>
      </c>
      <c r="AL298" s="199"/>
      <c r="AM298" s="150">
        <f t="shared" si="451"/>
        <v>0</v>
      </c>
      <c r="AN298" s="153">
        <f t="shared" si="402"/>
        <v>0</v>
      </c>
      <c r="AO298" s="154">
        <f t="shared" si="403"/>
        <v>0</v>
      </c>
      <c r="AP298" s="150">
        <v>0</v>
      </c>
      <c r="AQ298" s="201">
        <v>0</v>
      </c>
      <c r="AR298" s="199"/>
      <c r="AS298" s="150">
        <f t="shared" si="452"/>
        <v>0</v>
      </c>
      <c r="AT298" s="155"/>
      <c r="AU298" s="156">
        <f t="shared" si="396"/>
        <v>0</v>
      </c>
      <c r="AV298" s="156">
        <f t="shared" si="397"/>
        <v>0</v>
      </c>
      <c r="AW298" s="157"/>
      <c r="AX298" s="150">
        <v>0</v>
      </c>
      <c r="AY298" s="150">
        <v>0</v>
      </c>
      <c r="AZ298" s="150"/>
      <c r="BA298" s="150">
        <f t="shared" si="398"/>
        <v>0</v>
      </c>
      <c r="BB298" s="210"/>
      <c r="BC298" s="210"/>
      <c r="BD298" s="210"/>
      <c r="BE298" s="210"/>
      <c r="BF298" s="210"/>
      <c r="BG298" s="210"/>
      <c r="BH298" s="217"/>
      <c r="BI298" s="210"/>
      <c r="BJ298" s="210"/>
      <c r="BK298" s="210"/>
      <c r="BL298" s="210"/>
      <c r="BM298" s="208"/>
      <c r="BN298" s="160"/>
      <c r="BO298" s="161"/>
      <c r="BP298" s="161"/>
    </row>
    <row r="299" spans="1:68" ht="25.5">
      <c r="A299" s="210"/>
      <c r="B299" s="195" t="s">
        <v>5597</v>
      </c>
      <c r="C299" s="196" t="s">
        <v>5598</v>
      </c>
      <c r="D299" s="146" t="s">
        <v>4692</v>
      </c>
      <c r="E299" s="196" t="s">
        <v>5598</v>
      </c>
      <c r="F299" s="150">
        <v>0</v>
      </c>
      <c r="G299" s="209">
        <v>0</v>
      </c>
      <c r="H299" s="209"/>
      <c r="I299" s="209">
        <v>0</v>
      </c>
      <c r="J299" s="150">
        <v>0</v>
      </c>
      <c r="K299" s="150">
        <v>0</v>
      </c>
      <c r="L299" s="150">
        <f t="shared" si="405"/>
        <v>0</v>
      </c>
      <c r="M299" s="150">
        <v>0</v>
      </c>
      <c r="N299" s="150"/>
      <c r="O299" s="150">
        <v>0</v>
      </c>
      <c r="P299" s="150">
        <v>0</v>
      </c>
      <c r="Q299" s="150"/>
      <c r="R299" s="150">
        <f t="shared" si="448"/>
        <v>0</v>
      </c>
      <c r="S299" s="150">
        <f t="shared" si="399"/>
        <v>0</v>
      </c>
      <c r="T299" s="150"/>
      <c r="U299" s="150">
        <v>0</v>
      </c>
      <c r="V299" s="199"/>
      <c r="W299" s="150">
        <f t="shared" si="449"/>
        <v>0</v>
      </c>
      <c r="X299" s="150">
        <v>0</v>
      </c>
      <c r="Y299" s="150"/>
      <c r="Z299" s="150">
        <v>0</v>
      </c>
      <c r="AA299" s="150">
        <f t="shared" si="400"/>
        <v>0</v>
      </c>
      <c r="AB299" s="150">
        <v>0</v>
      </c>
      <c r="AC299" s="199"/>
      <c r="AD299" s="150">
        <f t="shared" si="450"/>
        <v>0</v>
      </c>
      <c r="AE299" s="150">
        <v>0</v>
      </c>
      <c r="AF299" s="169" t="s">
        <v>4680</v>
      </c>
      <c r="AG299" s="201">
        <v>0</v>
      </c>
      <c r="AH299" s="199"/>
      <c r="AI299" s="150">
        <v>0</v>
      </c>
      <c r="AJ299" s="169">
        <f t="shared" si="401"/>
        <v>0</v>
      </c>
      <c r="AK299" s="201">
        <v>0</v>
      </c>
      <c r="AL299" s="199"/>
      <c r="AM299" s="150">
        <f t="shared" si="451"/>
        <v>0</v>
      </c>
      <c r="AN299" s="153">
        <f t="shared" si="402"/>
        <v>0</v>
      </c>
      <c r="AO299" s="154">
        <f t="shared" si="403"/>
        <v>0</v>
      </c>
      <c r="AP299" s="150">
        <v>0</v>
      </c>
      <c r="AQ299" s="201">
        <v>0</v>
      </c>
      <c r="AR299" s="199"/>
      <c r="AS299" s="150">
        <f t="shared" si="452"/>
        <v>0</v>
      </c>
      <c r="AT299" s="155"/>
      <c r="AU299" s="156">
        <f t="shared" si="396"/>
        <v>0</v>
      </c>
      <c r="AV299" s="156">
        <f t="shared" si="397"/>
        <v>0</v>
      </c>
      <c r="AW299" s="157"/>
      <c r="AX299" s="150">
        <v>0</v>
      </c>
      <c r="AY299" s="150">
        <v>0</v>
      </c>
      <c r="AZ299" s="150"/>
      <c r="BA299" s="150">
        <f t="shared" si="398"/>
        <v>0</v>
      </c>
      <c r="BB299" s="210"/>
      <c r="BC299" s="210"/>
      <c r="BD299" s="210"/>
      <c r="BE299" s="210"/>
      <c r="BF299" s="210"/>
      <c r="BG299" s="210"/>
      <c r="BH299" s="217"/>
      <c r="BI299" s="210"/>
      <c r="BJ299" s="210"/>
      <c r="BK299" s="210"/>
      <c r="BL299" s="210"/>
      <c r="BM299" s="208"/>
      <c r="BN299" s="160"/>
      <c r="BO299" s="161"/>
      <c r="BP299" s="161"/>
    </row>
    <row r="300" spans="1:68" ht="25.5">
      <c r="A300" s="210"/>
      <c r="B300" s="195" t="s">
        <v>5599</v>
      </c>
      <c r="C300" s="196" t="s">
        <v>5600</v>
      </c>
      <c r="D300" s="146" t="s">
        <v>4692</v>
      </c>
      <c r="E300" s="196" t="s">
        <v>5600</v>
      </c>
      <c r="F300" s="150">
        <v>0</v>
      </c>
      <c r="G300" s="209">
        <v>0</v>
      </c>
      <c r="H300" s="209"/>
      <c r="I300" s="209">
        <v>0</v>
      </c>
      <c r="J300" s="150">
        <v>0</v>
      </c>
      <c r="K300" s="150">
        <v>0</v>
      </c>
      <c r="L300" s="150">
        <f t="shared" si="405"/>
        <v>0</v>
      </c>
      <c r="M300" s="150">
        <v>0</v>
      </c>
      <c r="N300" s="150"/>
      <c r="O300" s="150">
        <v>0</v>
      </c>
      <c r="P300" s="150">
        <v>0</v>
      </c>
      <c r="Q300" s="150"/>
      <c r="R300" s="150">
        <f t="shared" si="448"/>
        <v>0</v>
      </c>
      <c r="S300" s="150">
        <f t="shared" si="399"/>
        <v>0</v>
      </c>
      <c r="T300" s="150"/>
      <c r="U300" s="150">
        <v>0</v>
      </c>
      <c r="V300" s="199"/>
      <c r="W300" s="150">
        <f t="shared" si="449"/>
        <v>0</v>
      </c>
      <c r="X300" s="150">
        <v>0</v>
      </c>
      <c r="Y300" s="150"/>
      <c r="Z300" s="150">
        <v>0</v>
      </c>
      <c r="AA300" s="150">
        <f t="shared" si="400"/>
        <v>0</v>
      </c>
      <c r="AB300" s="150">
        <v>0</v>
      </c>
      <c r="AC300" s="199"/>
      <c r="AD300" s="150">
        <f t="shared" si="450"/>
        <v>0</v>
      </c>
      <c r="AE300" s="150">
        <v>0</v>
      </c>
      <c r="AF300" s="169" t="s">
        <v>4680</v>
      </c>
      <c r="AG300" s="201">
        <v>0</v>
      </c>
      <c r="AH300" s="199"/>
      <c r="AI300" s="150">
        <v>0</v>
      </c>
      <c r="AJ300" s="169">
        <f t="shared" si="401"/>
        <v>0</v>
      </c>
      <c r="AK300" s="201">
        <v>0</v>
      </c>
      <c r="AL300" s="199"/>
      <c r="AM300" s="150">
        <f t="shared" si="451"/>
        <v>0</v>
      </c>
      <c r="AN300" s="153">
        <f t="shared" si="402"/>
        <v>0</v>
      </c>
      <c r="AO300" s="154">
        <f t="shared" si="403"/>
        <v>0</v>
      </c>
      <c r="AP300" s="150">
        <v>0</v>
      </c>
      <c r="AQ300" s="201">
        <v>0</v>
      </c>
      <c r="AR300" s="199"/>
      <c r="AS300" s="150">
        <f t="shared" si="452"/>
        <v>0</v>
      </c>
      <c r="AT300" s="155"/>
      <c r="AU300" s="156">
        <f t="shared" si="396"/>
        <v>0</v>
      </c>
      <c r="AV300" s="156">
        <f t="shared" si="397"/>
        <v>0</v>
      </c>
      <c r="AW300" s="157"/>
      <c r="AX300" s="150">
        <v>0</v>
      </c>
      <c r="AY300" s="150">
        <v>0</v>
      </c>
      <c r="AZ300" s="150"/>
      <c r="BA300" s="150">
        <f t="shared" si="398"/>
        <v>0</v>
      </c>
      <c r="BB300" s="210"/>
      <c r="BC300" s="210"/>
      <c r="BD300" s="210"/>
      <c r="BE300" s="210"/>
      <c r="BF300" s="210"/>
      <c r="BG300" s="210"/>
      <c r="BH300" s="217"/>
      <c r="BI300" s="210"/>
      <c r="BJ300" s="210"/>
      <c r="BK300" s="210"/>
      <c r="BL300" s="210"/>
      <c r="BM300" s="208"/>
      <c r="BN300" s="160"/>
      <c r="BO300" s="161"/>
      <c r="BP300" s="161"/>
    </row>
    <row r="301" spans="1:68">
      <c r="A301" s="210"/>
      <c r="B301" s="195" t="s">
        <v>5601</v>
      </c>
      <c r="C301" s="196" t="s">
        <v>5602</v>
      </c>
      <c r="D301" s="146" t="s">
        <v>4692</v>
      </c>
      <c r="E301" s="196" t="s">
        <v>5602</v>
      </c>
      <c r="F301" s="150">
        <v>0</v>
      </c>
      <c r="G301" s="209">
        <v>0</v>
      </c>
      <c r="H301" s="209"/>
      <c r="I301" s="209">
        <v>0</v>
      </c>
      <c r="J301" s="150">
        <v>0</v>
      </c>
      <c r="K301" s="150">
        <v>0</v>
      </c>
      <c r="L301" s="150">
        <f t="shared" si="405"/>
        <v>0</v>
      </c>
      <c r="M301" s="150">
        <v>0</v>
      </c>
      <c r="N301" s="150"/>
      <c r="O301" s="150">
        <v>0</v>
      </c>
      <c r="P301" s="150">
        <v>0</v>
      </c>
      <c r="Q301" s="150"/>
      <c r="R301" s="150">
        <f t="shared" si="448"/>
        <v>0</v>
      </c>
      <c r="S301" s="150">
        <f t="shared" si="399"/>
        <v>0</v>
      </c>
      <c r="T301" s="150"/>
      <c r="U301" s="150">
        <v>0</v>
      </c>
      <c r="V301" s="199"/>
      <c r="W301" s="150">
        <f t="shared" si="449"/>
        <v>0</v>
      </c>
      <c r="X301" s="150">
        <v>0</v>
      </c>
      <c r="Y301" s="150"/>
      <c r="Z301" s="150">
        <v>0</v>
      </c>
      <c r="AA301" s="150">
        <f t="shared" si="400"/>
        <v>0</v>
      </c>
      <c r="AB301" s="150">
        <v>0</v>
      </c>
      <c r="AC301" s="199"/>
      <c r="AD301" s="150">
        <f t="shared" si="450"/>
        <v>0</v>
      </c>
      <c r="AE301" s="150">
        <v>0</v>
      </c>
      <c r="AF301" s="169" t="s">
        <v>4680</v>
      </c>
      <c r="AG301" s="201">
        <v>0</v>
      </c>
      <c r="AH301" s="199"/>
      <c r="AI301" s="150">
        <v>0</v>
      </c>
      <c r="AJ301" s="169">
        <f t="shared" si="401"/>
        <v>0</v>
      </c>
      <c r="AK301" s="201">
        <v>0</v>
      </c>
      <c r="AL301" s="199"/>
      <c r="AM301" s="150">
        <f t="shared" si="451"/>
        <v>0</v>
      </c>
      <c r="AN301" s="153">
        <f t="shared" si="402"/>
        <v>0</v>
      </c>
      <c r="AO301" s="154">
        <f t="shared" si="403"/>
        <v>0</v>
      </c>
      <c r="AP301" s="150">
        <v>0</v>
      </c>
      <c r="AQ301" s="201">
        <v>0</v>
      </c>
      <c r="AR301" s="199"/>
      <c r="AS301" s="150">
        <f t="shared" si="452"/>
        <v>0</v>
      </c>
      <c r="AT301" s="155"/>
      <c r="AU301" s="156">
        <f t="shared" si="396"/>
        <v>0</v>
      </c>
      <c r="AV301" s="156">
        <f t="shared" si="397"/>
        <v>0</v>
      </c>
      <c r="AW301" s="157"/>
      <c r="AX301" s="150">
        <v>0</v>
      </c>
      <c r="AY301" s="150">
        <v>0</v>
      </c>
      <c r="AZ301" s="150"/>
      <c r="BA301" s="150">
        <f t="shared" si="398"/>
        <v>0</v>
      </c>
      <c r="BB301" s="210"/>
      <c r="BC301" s="210"/>
      <c r="BD301" s="210"/>
      <c r="BE301" s="210"/>
      <c r="BF301" s="210"/>
      <c r="BG301" s="210"/>
      <c r="BH301" s="217"/>
      <c r="BI301" s="210"/>
      <c r="BJ301" s="210"/>
      <c r="BK301" s="210"/>
      <c r="BL301" s="210"/>
      <c r="BM301" s="208"/>
      <c r="BN301" s="160"/>
      <c r="BO301" s="161"/>
      <c r="BP301" s="161"/>
    </row>
    <row r="302" spans="1:68">
      <c r="A302" s="210"/>
      <c r="B302" s="195" t="s">
        <v>5603</v>
      </c>
      <c r="C302" s="196" t="s">
        <v>5604</v>
      </c>
      <c r="D302" s="146" t="s">
        <v>4692</v>
      </c>
      <c r="E302" s="196" t="s">
        <v>5604</v>
      </c>
      <c r="F302" s="150">
        <v>0</v>
      </c>
      <c r="G302" s="209">
        <v>0</v>
      </c>
      <c r="H302" s="209"/>
      <c r="I302" s="209">
        <v>0</v>
      </c>
      <c r="J302" s="150">
        <v>0</v>
      </c>
      <c r="K302" s="150">
        <v>0</v>
      </c>
      <c r="L302" s="150">
        <f t="shared" si="405"/>
        <v>0</v>
      </c>
      <c r="M302" s="150">
        <v>0</v>
      </c>
      <c r="N302" s="150"/>
      <c r="O302" s="150">
        <v>0</v>
      </c>
      <c r="P302" s="150">
        <v>0</v>
      </c>
      <c r="Q302" s="150"/>
      <c r="R302" s="150">
        <f t="shared" si="448"/>
        <v>0</v>
      </c>
      <c r="S302" s="150">
        <f t="shared" si="399"/>
        <v>0</v>
      </c>
      <c r="T302" s="150"/>
      <c r="U302" s="150">
        <v>0</v>
      </c>
      <c r="V302" s="199"/>
      <c r="W302" s="150">
        <f t="shared" si="449"/>
        <v>0</v>
      </c>
      <c r="X302" s="150">
        <v>0</v>
      </c>
      <c r="Y302" s="150"/>
      <c r="Z302" s="150">
        <v>0</v>
      </c>
      <c r="AA302" s="150">
        <f t="shared" si="400"/>
        <v>0</v>
      </c>
      <c r="AB302" s="150">
        <v>0</v>
      </c>
      <c r="AC302" s="199"/>
      <c r="AD302" s="150">
        <f t="shared" si="450"/>
        <v>0</v>
      </c>
      <c r="AE302" s="150">
        <v>0</v>
      </c>
      <c r="AF302" s="169" t="s">
        <v>4680</v>
      </c>
      <c r="AG302" s="201">
        <v>0</v>
      </c>
      <c r="AH302" s="199"/>
      <c r="AI302" s="150">
        <v>0</v>
      </c>
      <c r="AJ302" s="169">
        <f t="shared" si="401"/>
        <v>0</v>
      </c>
      <c r="AK302" s="201">
        <v>0</v>
      </c>
      <c r="AL302" s="199"/>
      <c r="AM302" s="150">
        <f t="shared" si="451"/>
        <v>0</v>
      </c>
      <c r="AN302" s="153">
        <f t="shared" si="402"/>
        <v>0</v>
      </c>
      <c r="AO302" s="154">
        <f t="shared" si="403"/>
        <v>0</v>
      </c>
      <c r="AP302" s="150">
        <v>0</v>
      </c>
      <c r="AQ302" s="201">
        <v>0</v>
      </c>
      <c r="AR302" s="199"/>
      <c r="AS302" s="150">
        <f t="shared" si="452"/>
        <v>0</v>
      </c>
      <c r="AT302" s="155"/>
      <c r="AU302" s="156">
        <f t="shared" si="396"/>
        <v>0</v>
      </c>
      <c r="AV302" s="156">
        <f t="shared" si="397"/>
        <v>0</v>
      </c>
      <c r="AW302" s="157"/>
      <c r="AX302" s="150">
        <v>0</v>
      </c>
      <c r="AY302" s="150">
        <v>0</v>
      </c>
      <c r="AZ302" s="150"/>
      <c r="BA302" s="150">
        <f t="shared" si="398"/>
        <v>0</v>
      </c>
      <c r="BB302" s="210"/>
      <c r="BC302" s="210"/>
      <c r="BD302" s="210"/>
      <c r="BE302" s="210"/>
      <c r="BF302" s="210"/>
      <c r="BG302" s="210"/>
      <c r="BH302" s="217"/>
      <c r="BI302" s="210"/>
      <c r="BJ302" s="210"/>
      <c r="BK302" s="210"/>
      <c r="BL302" s="210"/>
      <c r="BM302" s="208"/>
      <c r="BN302" s="160"/>
      <c r="BO302" s="161"/>
      <c r="BP302" s="161"/>
    </row>
    <row r="303" spans="1:68" ht="25.5">
      <c r="A303" s="210"/>
      <c r="B303" s="195" t="s">
        <v>5605</v>
      </c>
      <c r="C303" s="196" t="s">
        <v>5606</v>
      </c>
      <c r="D303" s="146" t="s">
        <v>4692</v>
      </c>
      <c r="E303" s="196" t="s">
        <v>5606</v>
      </c>
      <c r="F303" s="150">
        <v>0</v>
      </c>
      <c r="G303" s="209">
        <v>0</v>
      </c>
      <c r="H303" s="209"/>
      <c r="I303" s="209">
        <v>0</v>
      </c>
      <c r="J303" s="150">
        <v>0</v>
      </c>
      <c r="K303" s="150">
        <v>0</v>
      </c>
      <c r="L303" s="150">
        <f t="shared" si="405"/>
        <v>0</v>
      </c>
      <c r="M303" s="150">
        <v>0</v>
      </c>
      <c r="N303" s="150"/>
      <c r="O303" s="150">
        <v>0</v>
      </c>
      <c r="P303" s="150">
        <v>0</v>
      </c>
      <c r="Q303" s="150"/>
      <c r="R303" s="150">
        <f t="shared" si="448"/>
        <v>0</v>
      </c>
      <c r="S303" s="150">
        <f t="shared" si="399"/>
        <v>0</v>
      </c>
      <c r="T303" s="150"/>
      <c r="U303" s="150">
        <v>0</v>
      </c>
      <c r="V303" s="199"/>
      <c r="W303" s="150">
        <f t="shared" si="449"/>
        <v>0</v>
      </c>
      <c r="X303" s="150">
        <v>0</v>
      </c>
      <c r="Y303" s="150"/>
      <c r="Z303" s="150">
        <v>0</v>
      </c>
      <c r="AA303" s="150">
        <f t="shared" si="400"/>
        <v>0</v>
      </c>
      <c r="AB303" s="150">
        <v>0</v>
      </c>
      <c r="AC303" s="199"/>
      <c r="AD303" s="150">
        <f t="shared" si="450"/>
        <v>0</v>
      </c>
      <c r="AE303" s="150">
        <v>0</v>
      </c>
      <c r="AF303" s="169" t="s">
        <v>4680</v>
      </c>
      <c r="AG303" s="201">
        <v>0</v>
      </c>
      <c r="AH303" s="199"/>
      <c r="AI303" s="150">
        <v>0</v>
      </c>
      <c r="AJ303" s="169">
        <f t="shared" si="401"/>
        <v>0</v>
      </c>
      <c r="AK303" s="201">
        <v>0</v>
      </c>
      <c r="AL303" s="199"/>
      <c r="AM303" s="150">
        <f t="shared" si="451"/>
        <v>0</v>
      </c>
      <c r="AN303" s="153">
        <f t="shared" si="402"/>
        <v>0</v>
      </c>
      <c r="AO303" s="154">
        <f t="shared" si="403"/>
        <v>0</v>
      </c>
      <c r="AP303" s="150">
        <v>0</v>
      </c>
      <c r="AQ303" s="201">
        <v>0</v>
      </c>
      <c r="AR303" s="199"/>
      <c r="AS303" s="150">
        <f t="shared" si="452"/>
        <v>0</v>
      </c>
      <c r="AT303" s="155"/>
      <c r="AU303" s="156">
        <f t="shared" si="396"/>
        <v>0</v>
      </c>
      <c r="AV303" s="156">
        <f t="shared" si="397"/>
        <v>0</v>
      </c>
      <c r="AW303" s="157"/>
      <c r="AX303" s="150">
        <v>0</v>
      </c>
      <c r="AY303" s="150">
        <v>0</v>
      </c>
      <c r="AZ303" s="150"/>
      <c r="BA303" s="150">
        <f t="shared" si="398"/>
        <v>0</v>
      </c>
      <c r="BB303" s="210"/>
      <c r="BC303" s="210"/>
      <c r="BD303" s="210"/>
      <c r="BE303" s="210"/>
      <c r="BF303" s="210"/>
      <c r="BG303" s="210"/>
      <c r="BH303" s="217"/>
      <c r="BI303" s="210"/>
      <c r="BJ303" s="210"/>
      <c r="BK303" s="210"/>
      <c r="BL303" s="210"/>
      <c r="BM303" s="208"/>
      <c r="BN303" s="160"/>
      <c r="BO303" s="161"/>
      <c r="BP303" s="161"/>
    </row>
    <row r="304" spans="1:68">
      <c r="A304" s="210"/>
      <c r="B304" s="195" t="s">
        <v>5607</v>
      </c>
      <c r="C304" s="196" t="s">
        <v>5608</v>
      </c>
      <c r="D304" s="146" t="s">
        <v>4692</v>
      </c>
      <c r="E304" s="196" t="s">
        <v>5608</v>
      </c>
      <c r="F304" s="150">
        <v>0</v>
      </c>
      <c r="G304" s="209">
        <v>0</v>
      </c>
      <c r="H304" s="209"/>
      <c r="I304" s="209">
        <v>0</v>
      </c>
      <c r="J304" s="150">
        <v>0</v>
      </c>
      <c r="K304" s="150">
        <v>0</v>
      </c>
      <c r="L304" s="150">
        <f t="shared" si="405"/>
        <v>0</v>
      </c>
      <c r="M304" s="150">
        <v>0</v>
      </c>
      <c r="N304" s="150"/>
      <c r="O304" s="150">
        <v>0</v>
      </c>
      <c r="P304" s="150">
        <v>0</v>
      </c>
      <c r="Q304" s="150"/>
      <c r="R304" s="150">
        <f t="shared" si="448"/>
        <v>0</v>
      </c>
      <c r="S304" s="150">
        <f t="shared" si="399"/>
        <v>0</v>
      </c>
      <c r="T304" s="150"/>
      <c r="U304" s="150">
        <v>0</v>
      </c>
      <c r="V304" s="199"/>
      <c r="W304" s="150">
        <f t="shared" si="449"/>
        <v>0</v>
      </c>
      <c r="X304" s="150">
        <v>0</v>
      </c>
      <c r="Y304" s="150"/>
      <c r="Z304" s="150">
        <v>0</v>
      </c>
      <c r="AA304" s="150">
        <f t="shared" si="400"/>
        <v>0</v>
      </c>
      <c r="AB304" s="150">
        <v>0</v>
      </c>
      <c r="AC304" s="199"/>
      <c r="AD304" s="150">
        <f t="shared" si="450"/>
        <v>0</v>
      </c>
      <c r="AE304" s="150">
        <v>0</v>
      </c>
      <c r="AF304" s="169" t="s">
        <v>4680</v>
      </c>
      <c r="AG304" s="201">
        <v>0</v>
      </c>
      <c r="AH304" s="199"/>
      <c r="AI304" s="150">
        <v>0</v>
      </c>
      <c r="AJ304" s="169">
        <f t="shared" si="401"/>
        <v>0</v>
      </c>
      <c r="AK304" s="201">
        <v>0</v>
      </c>
      <c r="AL304" s="199"/>
      <c r="AM304" s="150">
        <f t="shared" si="451"/>
        <v>0</v>
      </c>
      <c r="AN304" s="153">
        <f t="shared" si="402"/>
        <v>0</v>
      </c>
      <c r="AO304" s="154">
        <f t="shared" si="403"/>
        <v>0</v>
      </c>
      <c r="AP304" s="150">
        <v>0</v>
      </c>
      <c r="AQ304" s="201">
        <v>0</v>
      </c>
      <c r="AR304" s="199"/>
      <c r="AS304" s="150">
        <f t="shared" si="452"/>
        <v>0</v>
      </c>
      <c r="AT304" s="155"/>
      <c r="AU304" s="156">
        <f t="shared" si="396"/>
        <v>0</v>
      </c>
      <c r="AV304" s="156">
        <f t="shared" si="397"/>
        <v>0</v>
      </c>
      <c r="AW304" s="157"/>
      <c r="AX304" s="150">
        <v>0</v>
      </c>
      <c r="AY304" s="150">
        <v>0</v>
      </c>
      <c r="AZ304" s="150"/>
      <c r="BA304" s="150">
        <f t="shared" si="398"/>
        <v>0</v>
      </c>
      <c r="BB304" s="210"/>
      <c r="BC304" s="210"/>
      <c r="BD304" s="210"/>
      <c r="BE304" s="210"/>
      <c r="BF304" s="210"/>
      <c r="BG304" s="210"/>
      <c r="BH304" s="217"/>
      <c r="BI304" s="210"/>
      <c r="BJ304" s="210"/>
      <c r="BK304" s="210"/>
      <c r="BL304" s="210"/>
      <c r="BM304" s="208"/>
      <c r="BN304" s="160"/>
      <c r="BO304" s="161"/>
      <c r="BP304" s="161"/>
    </row>
    <row r="305" spans="1:68">
      <c r="A305" s="210"/>
      <c r="B305" s="195" t="s">
        <v>5609</v>
      </c>
      <c r="C305" s="196" t="s">
        <v>5610</v>
      </c>
      <c r="D305" s="146" t="s">
        <v>4692</v>
      </c>
      <c r="E305" s="196" t="s">
        <v>5610</v>
      </c>
      <c r="F305" s="150">
        <v>0</v>
      </c>
      <c r="G305" s="209">
        <v>0</v>
      </c>
      <c r="H305" s="209"/>
      <c r="I305" s="209">
        <v>0</v>
      </c>
      <c r="J305" s="150">
        <v>0</v>
      </c>
      <c r="K305" s="150">
        <v>0</v>
      </c>
      <c r="L305" s="150">
        <f t="shared" si="405"/>
        <v>0</v>
      </c>
      <c r="M305" s="150">
        <v>0</v>
      </c>
      <c r="N305" s="150"/>
      <c r="O305" s="150">
        <v>0</v>
      </c>
      <c r="P305" s="150">
        <v>0</v>
      </c>
      <c r="Q305" s="150"/>
      <c r="R305" s="150">
        <f t="shared" si="448"/>
        <v>0</v>
      </c>
      <c r="S305" s="150">
        <f t="shared" si="399"/>
        <v>0</v>
      </c>
      <c r="T305" s="150"/>
      <c r="U305" s="150">
        <v>0</v>
      </c>
      <c r="V305" s="199"/>
      <c r="W305" s="150">
        <f t="shared" si="449"/>
        <v>0</v>
      </c>
      <c r="X305" s="150">
        <v>0</v>
      </c>
      <c r="Y305" s="150"/>
      <c r="Z305" s="150">
        <v>0</v>
      </c>
      <c r="AA305" s="150">
        <f t="shared" si="400"/>
        <v>0</v>
      </c>
      <c r="AB305" s="150">
        <v>0</v>
      </c>
      <c r="AC305" s="199"/>
      <c r="AD305" s="150">
        <f t="shared" si="450"/>
        <v>0</v>
      </c>
      <c r="AE305" s="150">
        <v>0</v>
      </c>
      <c r="AF305" s="169" t="s">
        <v>4680</v>
      </c>
      <c r="AG305" s="201">
        <v>0</v>
      </c>
      <c r="AH305" s="199"/>
      <c r="AI305" s="150">
        <v>0</v>
      </c>
      <c r="AJ305" s="169">
        <f t="shared" si="401"/>
        <v>0</v>
      </c>
      <c r="AK305" s="201">
        <v>0</v>
      </c>
      <c r="AL305" s="199"/>
      <c r="AM305" s="150">
        <f t="shared" si="451"/>
        <v>0</v>
      </c>
      <c r="AN305" s="153">
        <f t="shared" si="402"/>
        <v>0</v>
      </c>
      <c r="AO305" s="154">
        <f t="shared" si="403"/>
        <v>0</v>
      </c>
      <c r="AP305" s="150">
        <v>0</v>
      </c>
      <c r="AQ305" s="201">
        <v>0</v>
      </c>
      <c r="AR305" s="199"/>
      <c r="AS305" s="150">
        <f t="shared" si="452"/>
        <v>0</v>
      </c>
      <c r="AT305" s="155"/>
      <c r="AU305" s="156">
        <f t="shared" si="396"/>
        <v>0</v>
      </c>
      <c r="AV305" s="156">
        <f t="shared" si="397"/>
        <v>0</v>
      </c>
      <c r="AW305" s="157"/>
      <c r="AX305" s="150">
        <v>0</v>
      </c>
      <c r="AY305" s="150">
        <v>0</v>
      </c>
      <c r="AZ305" s="150"/>
      <c r="BA305" s="150">
        <f t="shared" si="398"/>
        <v>0</v>
      </c>
      <c r="BB305" s="210"/>
      <c r="BC305" s="210"/>
      <c r="BD305" s="210"/>
      <c r="BE305" s="210"/>
      <c r="BF305" s="210"/>
      <c r="BG305" s="210"/>
      <c r="BH305" s="217"/>
      <c r="BI305" s="210"/>
      <c r="BJ305" s="210"/>
      <c r="BK305" s="210"/>
      <c r="BL305" s="210"/>
      <c r="BM305" s="208"/>
      <c r="BN305" s="160"/>
      <c r="BO305" s="161"/>
      <c r="BP305" s="161"/>
    </row>
    <row r="306" spans="1:68">
      <c r="A306" s="210"/>
      <c r="B306" s="195" t="s">
        <v>5611</v>
      </c>
      <c r="C306" s="196" t="s">
        <v>5612</v>
      </c>
      <c r="D306" s="146" t="s">
        <v>4692</v>
      </c>
      <c r="E306" s="196" t="s">
        <v>5612</v>
      </c>
      <c r="F306" s="150">
        <v>0</v>
      </c>
      <c r="G306" s="209">
        <v>0</v>
      </c>
      <c r="H306" s="209"/>
      <c r="I306" s="209">
        <v>0</v>
      </c>
      <c r="J306" s="150">
        <v>0</v>
      </c>
      <c r="K306" s="150">
        <v>0</v>
      </c>
      <c r="L306" s="150">
        <f t="shared" si="405"/>
        <v>0</v>
      </c>
      <c r="M306" s="150">
        <v>0</v>
      </c>
      <c r="N306" s="150"/>
      <c r="O306" s="150">
        <v>0</v>
      </c>
      <c r="P306" s="150">
        <v>0</v>
      </c>
      <c r="Q306" s="150"/>
      <c r="R306" s="150">
        <f t="shared" si="448"/>
        <v>0</v>
      </c>
      <c r="S306" s="150">
        <f t="shared" si="399"/>
        <v>0</v>
      </c>
      <c r="T306" s="150"/>
      <c r="U306" s="150">
        <v>0</v>
      </c>
      <c r="V306" s="199"/>
      <c r="W306" s="150">
        <f t="shared" si="449"/>
        <v>0</v>
      </c>
      <c r="X306" s="150">
        <v>0</v>
      </c>
      <c r="Y306" s="150"/>
      <c r="Z306" s="150">
        <v>0</v>
      </c>
      <c r="AA306" s="150">
        <f t="shared" si="400"/>
        <v>0</v>
      </c>
      <c r="AB306" s="150">
        <v>0</v>
      </c>
      <c r="AC306" s="199"/>
      <c r="AD306" s="150">
        <f t="shared" si="450"/>
        <v>0</v>
      </c>
      <c r="AE306" s="150">
        <v>0</v>
      </c>
      <c r="AF306" s="169" t="s">
        <v>4680</v>
      </c>
      <c r="AG306" s="201">
        <v>0</v>
      </c>
      <c r="AH306" s="199"/>
      <c r="AI306" s="150">
        <v>0</v>
      </c>
      <c r="AJ306" s="169">
        <f t="shared" si="401"/>
        <v>0</v>
      </c>
      <c r="AK306" s="201">
        <v>0</v>
      </c>
      <c r="AL306" s="199"/>
      <c r="AM306" s="150">
        <f t="shared" si="451"/>
        <v>0</v>
      </c>
      <c r="AN306" s="153">
        <f t="shared" si="402"/>
        <v>245269.08</v>
      </c>
      <c r="AO306" s="154">
        <f t="shared" si="403"/>
        <v>0</v>
      </c>
      <c r="AP306" s="150">
        <v>245269.08</v>
      </c>
      <c r="AQ306" s="201">
        <v>245269.08</v>
      </c>
      <c r="AR306" s="199"/>
      <c r="AS306" s="150">
        <f t="shared" si="452"/>
        <v>245269.08</v>
      </c>
      <c r="AT306" s="155"/>
      <c r="AU306" s="156">
        <f t="shared" si="396"/>
        <v>0</v>
      </c>
      <c r="AV306" s="156">
        <f t="shared" si="397"/>
        <v>0</v>
      </c>
      <c r="AW306" s="157"/>
      <c r="AX306" s="150">
        <v>0</v>
      </c>
      <c r="AY306" s="150">
        <v>0</v>
      </c>
      <c r="AZ306" s="150"/>
      <c r="BA306" s="150">
        <f t="shared" si="398"/>
        <v>0</v>
      </c>
      <c r="BB306" s="210"/>
      <c r="BC306" s="210"/>
      <c r="BD306" s="210"/>
      <c r="BE306" s="210"/>
      <c r="BF306" s="210"/>
      <c r="BG306" s="210"/>
      <c r="BH306" s="217"/>
      <c r="BI306" s="210"/>
      <c r="BJ306" s="210"/>
      <c r="BK306" s="210"/>
      <c r="BL306" s="210"/>
      <c r="BM306" s="208"/>
      <c r="BN306" s="160"/>
      <c r="BO306" s="161"/>
      <c r="BP306" s="161"/>
    </row>
    <row r="307" spans="1:68" ht="25.5">
      <c r="A307" s="210"/>
      <c r="B307" s="195" t="s">
        <v>5613</v>
      </c>
      <c r="C307" s="196" t="s">
        <v>5614</v>
      </c>
      <c r="D307" s="146" t="s">
        <v>4692</v>
      </c>
      <c r="E307" s="196" t="s">
        <v>5614</v>
      </c>
      <c r="F307" s="150">
        <v>0</v>
      </c>
      <c r="G307" s="209">
        <v>0</v>
      </c>
      <c r="H307" s="209"/>
      <c r="I307" s="209">
        <v>0</v>
      </c>
      <c r="J307" s="150">
        <v>0</v>
      </c>
      <c r="K307" s="150">
        <v>0</v>
      </c>
      <c r="L307" s="150">
        <f t="shared" si="405"/>
        <v>0</v>
      </c>
      <c r="M307" s="150">
        <v>0</v>
      </c>
      <c r="N307" s="150"/>
      <c r="O307" s="150">
        <v>0</v>
      </c>
      <c r="P307" s="150">
        <v>0</v>
      </c>
      <c r="Q307" s="150"/>
      <c r="R307" s="150">
        <f t="shared" si="448"/>
        <v>0</v>
      </c>
      <c r="S307" s="150">
        <f t="shared" si="399"/>
        <v>0</v>
      </c>
      <c r="T307" s="150"/>
      <c r="U307" s="150">
        <v>0</v>
      </c>
      <c r="V307" s="199"/>
      <c r="W307" s="150">
        <f t="shared" si="449"/>
        <v>0</v>
      </c>
      <c r="X307" s="150">
        <v>0</v>
      </c>
      <c r="Y307" s="150"/>
      <c r="Z307" s="150">
        <v>0</v>
      </c>
      <c r="AA307" s="150">
        <f t="shared" si="400"/>
        <v>0</v>
      </c>
      <c r="AB307" s="150">
        <v>0</v>
      </c>
      <c r="AC307" s="199"/>
      <c r="AD307" s="150">
        <f t="shared" si="450"/>
        <v>0</v>
      </c>
      <c r="AE307" s="150">
        <v>0</v>
      </c>
      <c r="AF307" s="169" t="s">
        <v>4680</v>
      </c>
      <c r="AG307" s="201">
        <v>0</v>
      </c>
      <c r="AH307" s="199"/>
      <c r="AI307" s="150">
        <v>0</v>
      </c>
      <c r="AJ307" s="169">
        <f t="shared" si="401"/>
        <v>0</v>
      </c>
      <c r="AK307" s="201">
        <v>0</v>
      </c>
      <c r="AL307" s="199"/>
      <c r="AM307" s="150">
        <f t="shared" si="451"/>
        <v>0</v>
      </c>
      <c r="AN307" s="153">
        <f t="shared" si="402"/>
        <v>0</v>
      </c>
      <c r="AO307" s="154">
        <f t="shared" si="403"/>
        <v>0</v>
      </c>
      <c r="AP307" s="150">
        <v>0</v>
      </c>
      <c r="AQ307" s="201">
        <v>0</v>
      </c>
      <c r="AR307" s="199"/>
      <c r="AS307" s="150">
        <f t="shared" si="452"/>
        <v>0</v>
      </c>
      <c r="AT307" s="155"/>
      <c r="AU307" s="156">
        <f t="shared" si="396"/>
        <v>0</v>
      </c>
      <c r="AV307" s="156">
        <f t="shared" si="397"/>
        <v>0</v>
      </c>
      <c r="AW307" s="157"/>
      <c r="AX307" s="150">
        <v>0</v>
      </c>
      <c r="AY307" s="150">
        <v>0</v>
      </c>
      <c r="AZ307" s="150"/>
      <c r="BA307" s="150">
        <f t="shared" si="398"/>
        <v>0</v>
      </c>
      <c r="BB307" s="210"/>
      <c r="BC307" s="210"/>
      <c r="BD307" s="210"/>
      <c r="BE307" s="210"/>
      <c r="BF307" s="210"/>
      <c r="BG307" s="210"/>
      <c r="BH307" s="217"/>
      <c r="BI307" s="210"/>
      <c r="BJ307" s="210"/>
      <c r="BK307" s="210"/>
      <c r="BL307" s="210"/>
      <c r="BM307" s="208"/>
      <c r="BN307" s="160"/>
      <c r="BO307" s="161"/>
      <c r="BP307" s="161"/>
    </row>
    <row r="308" spans="1:68" ht="25.5">
      <c r="A308" s="210"/>
      <c r="B308" s="195" t="s">
        <v>5615</v>
      </c>
      <c r="C308" s="196" t="s">
        <v>5616</v>
      </c>
      <c r="D308" s="146" t="s">
        <v>4692</v>
      </c>
      <c r="E308" s="196" t="s">
        <v>5616</v>
      </c>
      <c r="F308" s="150">
        <v>0</v>
      </c>
      <c r="G308" s="209">
        <v>0</v>
      </c>
      <c r="H308" s="209"/>
      <c r="I308" s="209">
        <v>0</v>
      </c>
      <c r="J308" s="150">
        <v>0</v>
      </c>
      <c r="K308" s="150">
        <v>0</v>
      </c>
      <c r="L308" s="150">
        <f t="shared" si="405"/>
        <v>0</v>
      </c>
      <c r="M308" s="150">
        <v>0</v>
      </c>
      <c r="N308" s="150"/>
      <c r="O308" s="150">
        <v>0</v>
      </c>
      <c r="P308" s="150">
        <v>0</v>
      </c>
      <c r="Q308" s="150"/>
      <c r="R308" s="150">
        <f t="shared" si="448"/>
        <v>0</v>
      </c>
      <c r="S308" s="150">
        <f t="shared" si="399"/>
        <v>0</v>
      </c>
      <c r="T308" s="150"/>
      <c r="U308" s="150">
        <v>0</v>
      </c>
      <c r="V308" s="199"/>
      <c r="W308" s="150">
        <f t="shared" si="449"/>
        <v>0</v>
      </c>
      <c r="X308" s="150">
        <v>0</v>
      </c>
      <c r="Y308" s="150"/>
      <c r="Z308" s="150">
        <v>0</v>
      </c>
      <c r="AA308" s="150">
        <f t="shared" si="400"/>
        <v>0</v>
      </c>
      <c r="AB308" s="150">
        <v>0</v>
      </c>
      <c r="AC308" s="199"/>
      <c r="AD308" s="150">
        <f t="shared" si="450"/>
        <v>0</v>
      </c>
      <c r="AE308" s="150">
        <v>0</v>
      </c>
      <c r="AF308" s="169" t="s">
        <v>4680</v>
      </c>
      <c r="AG308" s="201">
        <v>0</v>
      </c>
      <c r="AH308" s="199"/>
      <c r="AI308" s="150">
        <v>0</v>
      </c>
      <c r="AJ308" s="169">
        <f t="shared" si="401"/>
        <v>0</v>
      </c>
      <c r="AK308" s="201">
        <v>0</v>
      </c>
      <c r="AL308" s="199"/>
      <c r="AM308" s="150">
        <f t="shared" si="451"/>
        <v>0</v>
      </c>
      <c r="AN308" s="153">
        <f t="shared" si="402"/>
        <v>0</v>
      </c>
      <c r="AO308" s="154">
        <f t="shared" si="403"/>
        <v>0</v>
      </c>
      <c r="AP308" s="150">
        <v>0</v>
      </c>
      <c r="AQ308" s="201">
        <v>0</v>
      </c>
      <c r="AR308" s="199"/>
      <c r="AS308" s="150">
        <f t="shared" si="452"/>
        <v>0</v>
      </c>
      <c r="AT308" s="155"/>
      <c r="AU308" s="156">
        <f t="shared" si="396"/>
        <v>0</v>
      </c>
      <c r="AV308" s="156">
        <f t="shared" si="397"/>
        <v>0</v>
      </c>
      <c r="AW308" s="157"/>
      <c r="AX308" s="150">
        <v>0</v>
      </c>
      <c r="AY308" s="150">
        <v>0</v>
      </c>
      <c r="AZ308" s="150"/>
      <c r="BA308" s="150">
        <f t="shared" si="398"/>
        <v>0</v>
      </c>
      <c r="BB308" s="210"/>
      <c r="BC308" s="210"/>
      <c r="BD308" s="210"/>
      <c r="BE308" s="210"/>
      <c r="BF308" s="210"/>
      <c r="BG308" s="210"/>
      <c r="BH308" s="217"/>
      <c r="BI308" s="210"/>
      <c r="BJ308" s="210"/>
      <c r="BK308" s="210"/>
      <c r="BL308" s="210"/>
      <c r="BM308" s="208"/>
      <c r="BN308" s="160"/>
      <c r="BO308" s="161"/>
      <c r="BP308" s="161"/>
    </row>
    <row r="309" spans="1:68" ht="25.5">
      <c r="A309" s="210"/>
      <c r="B309" s="195" t="s">
        <v>5617</v>
      </c>
      <c r="C309" s="196" t="s">
        <v>5618</v>
      </c>
      <c r="D309" s="146" t="s">
        <v>4692</v>
      </c>
      <c r="E309" s="196" t="s">
        <v>5618</v>
      </c>
      <c r="F309" s="150">
        <v>0</v>
      </c>
      <c r="G309" s="209">
        <v>0</v>
      </c>
      <c r="H309" s="209"/>
      <c r="I309" s="209">
        <v>0</v>
      </c>
      <c r="J309" s="150">
        <v>0</v>
      </c>
      <c r="K309" s="150">
        <v>0</v>
      </c>
      <c r="L309" s="150">
        <f t="shared" si="405"/>
        <v>0</v>
      </c>
      <c r="M309" s="150">
        <v>0</v>
      </c>
      <c r="N309" s="150"/>
      <c r="O309" s="150">
        <v>0</v>
      </c>
      <c r="P309" s="150">
        <v>0</v>
      </c>
      <c r="Q309" s="150"/>
      <c r="R309" s="150">
        <f t="shared" si="448"/>
        <v>0</v>
      </c>
      <c r="S309" s="150">
        <f t="shared" si="399"/>
        <v>0</v>
      </c>
      <c r="T309" s="150"/>
      <c r="U309" s="150">
        <v>0</v>
      </c>
      <c r="V309" s="199"/>
      <c r="W309" s="150">
        <f t="shared" si="449"/>
        <v>0</v>
      </c>
      <c r="X309" s="150">
        <v>0</v>
      </c>
      <c r="Y309" s="150"/>
      <c r="Z309" s="150">
        <v>0</v>
      </c>
      <c r="AA309" s="150">
        <f t="shared" si="400"/>
        <v>0</v>
      </c>
      <c r="AB309" s="150">
        <v>0</v>
      </c>
      <c r="AC309" s="199"/>
      <c r="AD309" s="150">
        <f t="shared" si="450"/>
        <v>0</v>
      </c>
      <c r="AE309" s="150">
        <v>0</v>
      </c>
      <c r="AF309" s="169" t="s">
        <v>4680</v>
      </c>
      <c r="AG309" s="201">
        <v>0</v>
      </c>
      <c r="AH309" s="199"/>
      <c r="AI309" s="150">
        <v>0</v>
      </c>
      <c r="AJ309" s="169">
        <f t="shared" si="401"/>
        <v>0</v>
      </c>
      <c r="AK309" s="201">
        <v>0</v>
      </c>
      <c r="AL309" s="199"/>
      <c r="AM309" s="150">
        <f t="shared" si="451"/>
        <v>0</v>
      </c>
      <c r="AN309" s="153">
        <f t="shared" si="402"/>
        <v>0</v>
      </c>
      <c r="AO309" s="154">
        <f t="shared" si="403"/>
        <v>0</v>
      </c>
      <c r="AP309" s="150">
        <v>0</v>
      </c>
      <c r="AQ309" s="201">
        <v>0</v>
      </c>
      <c r="AR309" s="199"/>
      <c r="AS309" s="150">
        <f t="shared" si="452"/>
        <v>0</v>
      </c>
      <c r="AT309" s="155"/>
      <c r="AU309" s="156">
        <f t="shared" si="396"/>
        <v>0</v>
      </c>
      <c r="AV309" s="156">
        <f t="shared" si="397"/>
        <v>0</v>
      </c>
      <c r="AW309" s="157"/>
      <c r="AX309" s="150">
        <v>0</v>
      </c>
      <c r="AY309" s="150">
        <v>0</v>
      </c>
      <c r="AZ309" s="150"/>
      <c r="BA309" s="150">
        <f t="shared" si="398"/>
        <v>0</v>
      </c>
      <c r="BB309" s="210"/>
      <c r="BC309" s="210"/>
      <c r="BD309" s="210"/>
      <c r="BE309" s="210"/>
      <c r="BF309" s="210"/>
      <c r="BG309" s="210"/>
      <c r="BH309" s="217"/>
      <c r="BI309" s="210"/>
      <c r="BJ309" s="210"/>
      <c r="BK309" s="210"/>
      <c r="BL309" s="210"/>
      <c r="BM309" s="208"/>
      <c r="BN309" s="160"/>
      <c r="BO309" s="161"/>
      <c r="BP309" s="161"/>
    </row>
    <row r="310" spans="1:68" ht="25.5">
      <c r="A310" s="210"/>
      <c r="B310" s="195" t="s">
        <v>5619</v>
      </c>
      <c r="C310" s="196" t="s">
        <v>5620</v>
      </c>
      <c r="D310" s="146" t="s">
        <v>4692</v>
      </c>
      <c r="E310" s="196" t="s">
        <v>5620</v>
      </c>
      <c r="F310" s="150">
        <v>0</v>
      </c>
      <c r="G310" s="209">
        <v>0</v>
      </c>
      <c r="H310" s="209"/>
      <c r="I310" s="209">
        <v>0</v>
      </c>
      <c r="J310" s="150">
        <v>0</v>
      </c>
      <c r="K310" s="150">
        <v>0</v>
      </c>
      <c r="L310" s="150">
        <f t="shared" si="405"/>
        <v>0</v>
      </c>
      <c r="M310" s="150">
        <v>0</v>
      </c>
      <c r="N310" s="150"/>
      <c r="O310" s="150">
        <v>0</v>
      </c>
      <c r="P310" s="150">
        <v>0</v>
      </c>
      <c r="Q310" s="150"/>
      <c r="R310" s="150">
        <f t="shared" si="448"/>
        <v>0</v>
      </c>
      <c r="S310" s="150">
        <f t="shared" si="399"/>
        <v>0</v>
      </c>
      <c r="T310" s="150"/>
      <c r="U310" s="150">
        <v>0</v>
      </c>
      <c r="V310" s="199"/>
      <c r="W310" s="150">
        <f t="shared" si="449"/>
        <v>0</v>
      </c>
      <c r="X310" s="150">
        <v>0</v>
      </c>
      <c r="Y310" s="150"/>
      <c r="Z310" s="150">
        <v>0</v>
      </c>
      <c r="AA310" s="150">
        <f t="shared" si="400"/>
        <v>0</v>
      </c>
      <c r="AB310" s="150">
        <v>0</v>
      </c>
      <c r="AC310" s="199"/>
      <c r="AD310" s="150">
        <f t="shared" si="450"/>
        <v>0</v>
      </c>
      <c r="AE310" s="150">
        <v>0</v>
      </c>
      <c r="AF310" s="169" t="s">
        <v>4680</v>
      </c>
      <c r="AG310" s="201">
        <v>0</v>
      </c>
      <c r="AH310" s="199"/>
      <c r="AI310" s="150">
        <v>0</v>
      </c>
      <c r="AJ310" s="169">
        <f t="shared" si="401"/>
        <v>0</v>
      </c>
      <c r="AK310" s="201">
        <v>0</v>
      </c>
      <c r="AL310" s="199"/>
      <c r="AM310" s="150">
        <f t="shared" si="451"/>
        <v>0</v>
      </c>
      <c r="AN310" s="153">
        <f t="shared" si="402"/>
        <v>0</v>
      </c>
      <c r="AO310" s="154">
        <f t="shared" si="403"/>
        <v>0</v>
      </c>
      <c r="AP310" s="150">
        <v>0</v>
      </c>
      <c r="AQ310" s="201">
        <v>0</v>
      </c>
      <c r="AR310" s="199"/>
      <c r="AS310" s="150">
        <f t="shared" si="452"/>
        <v>0</v>
      </c>
      <c r="AT310" s="155"/>
      <c r="AU310" s="156">
        <f t="shared" si="396"/>
        <v>0</v>
      </c>
      <c r="AV310" s="156">
        <f t="shared" si="397"/>
        <v>0</v>
      </c>
      <c r="AW310" s="157"/>
      <c r="AX310" s="150">
        <v>0</v>
      </c>
      <c r="AY310" s="150">
        <v>0</v>
      </c>
      <c r="AZ310" s="150"/>
      <c r="BA310" s="150">
        <f t="shared" si="398"/>
        <v>0</v>
      </c>
      <c r="BB310" s="210"/>
      <c r="BC310" s="210"/>
      <c r="BD310" s="210"/>
      <c r="BE310" s="210"/>
      <c r="BF310" s="210"/>
      <c r="BG310" s="210"/>
      <c r="BH310" s="217"/>
      <c r="BI310" s="210"/>
      <c r="BJ310" s="210"/>
      <c r="BK310" s="210"/>
      <c r="BL310" s="210"/>
      <c r="BM310" s="208"/>
      <c r="BN310" s="160"/>
      <c r="BO310" s="161"/>
      <c r="BP310" s="161"/>
    </row>
    <row r="311" spans="1:68" ht="25.5">
      <c r="A311" s="210"/>
      <c r="B311" s="195" t="s">
        <v>5621</v>
      </c>
      <c r="C311" s="196" t="s">
        <v>5622</v>
      </c>
      <c r="D311" s="146" t="s">
        <v>4692</v>
      </c>
      <c r="E311" s="196" t="s">
        <v>5622</v>
      </c>
      <c r="F311" s="150">
        <v>0</v>
      </c>
      <c r="G311" s="209">
        <v>0</v>
      </c>
      <c r="H311" s="209"/>
      <c r="I311" s="209">
        <v>0</v>
      </c>
      <c r="J311" s="150">
        <v>0</v>
      </c>
      <c r="K311" s="150">
        <v>0</v>
      </c>
      <c r="L311" s="150">
        <f t="shared" si="405"/>
        <v>0</v>
      </c>
      <c r="M311" s="150">
        <v>0</v>
      </c>
      <c r="N311" s="150"/>
      <c r="O311" s="150">
        <v>0</v>
      </c>
      <c r="P311" s="150">
        <v>0</v>
      </c>
      <c r="Q311" s="150"/>
      <c r="R311" s="150">
        <f t="shared" si="448"/>
        <v>0</v>
      </c>
      <c r="S311" s="150">
        <f t="shared" si="399"/>
        <v>0</v>
      </c>
      <c r="T311" s="150"/>
      <c r="U311" s="150">
        <v>0</v>
      </c>
      <c r="V311" s="199"/>
      <c r="W311" s="150">
        <f t="shared" si="449"/>
        <v>0</v>
      </c>
      <c r="X311" s="150">
        <v>0</v>
      </c>
      <c r="Y311" s="150"/>
      <c r="Z311" s="150">
        <v>0</v>
      </c>
      <c r="AA311" s="150">
        <f t="shared" si="400"/>
        <v>0</v>
      </c>
      <c r="AB311" s="150">
        <v>0</v>
      </c>
      <c r="AC311" s="199"/>
      <c r="AD311" s="150">
        <f t="shared" si="450"/>
        <v>0</v>
      </c>
      <c r="AE311" s="150">
        <v>0</v>
      </c>
      <c r="AF311" s="169" t="s">
        <v>4680</v>
      </c>
      <c r="AG311" s="201">
        <v>0</v>
      </c>
      <c r="AH311" s="199"/>
      <c r="AI311" s="150">
        <v>0</v>
      </c>
      <c r="AJ311" s="169">
        <f t="shared" si="401"/>
        <v>0</v>
      </c>
      <c r="AK311" s="201">
        <v>0</v>
      </c>
      <c r="AL311" s="199"/>
      <c r="AM311" s="150">
        <f t="shared" si="451"/>
        <v>0</v>
      </c>
      <c r="AN311" s="153">
        <f t="shared" si="402"/>
        <v>0</v>
      </c>
      <c r="AO311" s="154">
        <f t="shared" si="403"/>
        <v>0</v>
      </c>
      <c r="AP311" s="150">
        <v>0</v>
      </c>
      <c r="AQ311" s="201">
        <v>0</v>
      </c>
      <c r="AR311" s="199"/>
      <c r="AS311" s="150">
        <f t="shared" si="452"/>
        <v>0</v>
      </c>
      <c r="AT311" s="155"/>
      <c r="AU311" s="156">
        <f t="shared" si="396"/>
        <v>0</v>
      </c>
      <c r="AV311" s="156">
        <f t="shared" si="397"/>
        <v>0</v>
      </c>
      <c r="AW311" s="157"/>
      <c r="AX311" s="150">
        <v>0</v>
      </c>
      <c r="AY311" s="150">
        <v>0</v>
      </c>
      <c r="AZ311" s="150"/>
      <c r="BA311" s="150">
        <f t="shared" si="398"/>
        <v>0</v>
      </c>
      <c r="BB311" s="210"/>
      <c r="BC311" s="210"/>
      <c r="BD311" s="210"/>
      <c r="BE311" s="210"/>
      <c r="BF311" s="210"/>
      <c r="BG311" s="210"/>
      <c r="BH311" s="217"/>
      <c r="BI311" s="210"/>
      <c r="BJ311" s="210"/>
      <c r="BK311" s="210"/>
      <c r="BL311" s="210"/>
      <c r="BM311" s="208"/>
      <c r="BN311" s="160"/>
      <c r="BO311" s="161"/>
      <c r="BP311" s="161"/>
    </row>
    <row r="312" spans="1:68">
      <c r="A312" s="210"/>
      <c r="B312" s="195" t="s">
        <v>5623</v>
      </c>
      <c r="C312" s="196" t="s">
        <v>5624</v>
      </c>
      <c r="D312" s="146" t="s">
        <v>4692</v>
      </c>
      <c r="E312" s="196" t="s">
        <v>5624</v>
      </c>
      <c r="F312" s="150">
        <v>0</v>
      </c>
      <c r="G312" s="209">
        <v>0</v>
      </c>
      <c r="H312" s="209"/>
      <c r="I312" s="209">
        <v>0</v>
      </c>
      <c r="J312" s="150">
        <v>0</v>
      </c>
      <c r="K312" s="150">
        <v>0</v>
      </c>
      <c r="L312" s="150">
        <f t="shared" si="405"/>
        <v>0</v>
      </c>
      <c r="M312" s="150">
        <v>0</v>
      </c>
      <c r="N312" s="150"/>
      <c r="O312" s="150">
        <v>0</v>
      </c>
      <c r="P312" s="150">
        <v>0</v>
      </c>
      <c r="Q312" s="150"/>
      <c r="R312" s="150">
        <f t="shared" si="448"/>
        <v>0</v>
      </c>
      <c r="S312" s="150">
        <f t="shared" si="399"/>
        <v>0</v>
      </c>
      <c r="T312" s="150"/>
      <c r="U312" s="150">
        <v>0</v>
      </c>
      <c r="V312" s="199"/>
      <c r="W312" s="150">
        <f t="shared" si="449"/>
        <v>0</v>
      </c>
      <c r="X312" s="150">
        <v>0</v>
      </c>
      <c r="Y312" s="150"/>
      <c r="Z312" s="150">
        <v>0</v>
      </c>
      <c r="AA312" s="150">
        <f t="shared" si="400"/>
        <v>0</v>
      </c>
      <c r="AB312" s="150">
        <v>0</v>
      </c>
      <c r="AC312" s="199"/>
      <c r="AD312" s="150">
        <f t="shared" si="450"/>
        <v>0</v>
      </c>
      <c r="AE312" s="150">
        <v>0</v>
      </c>
      <c r="AF312" s="169" t="s">
        <v>4680</v>
      </c>
      <c r="AG312" s="201">
        <v>0</v>
      </c>
      <c r="AH312" s="199"/>
      <c r="AI312" s="150">
        <v>0</v>
      </c>
      <c r="AJ312" s="169">
        <f t="shared" si="401"/>
        <v>0</v>
      </c>
      <c r="AK312" s="201">
        <v>0</v>
      </c>
      <c r="AL312" s="199"/>
      <c r="AM312" s="150">
        <f t="shared" si="451"/>
        <v>0</v>
      </c>
      <c r="AN312" s="153">
        <f t="shared" si="402"/>
        <v>0</v>
      </c>
      <c r="AO312" s="154">
        <f t="shared" si="403"/>
        <v>0</v>
      </c>
      <c r="AP312" s="150">
        <v>0</v>
      </c>
      <c r="AQ312" s="201">
        <v>0</v>
      </c>
      <c r="AR312" s="199"/>
      <c r="AS312" s="150">
        <f t="shared" si="452"/>
        <v>0</v>
      </c>
      <c r="AT312" s="155"/>
      <c r="AU312" s="156">
        <f t="shared" si="396"/>
        <v>0</v>
      </c>
      <c r="AV312" s="156">
        <f t="shared" si="397"/>
        <v>0</v>
      </c>
      <c r="AW312" s="157"/>
      <c r="AX312" s="150">
        <v>0</v>
      </c>
      <c r="AY312" s="150">
        <v>0</v>
      </c>
      <c r="AZ312" s="150"/>
      <c r="BA312" s="150">
        <f t="shared" si="398"/>
        <v>0</v>
      </c>
      <c r="BB312" s="210"/>
      <c r="BC312" s="210"/>
      <c r="BD312" s="210"/>
      <c r="BE312" s="210"/>
      <c r="BF312" s="210"/>
      <c r="BG312" s="210"/>
      <c r="BH312" s="217"/>
      <c r="BI312" s="210"/>
      <c r="BJ312" s="210"/>
      <c r="BK312" s="210"/>
      <c r="BL312" s="210"/>
      <c r="BM312" s="208"/>
      <c r="BN312" s="160"/>
      <c r="BO312" s="161"/>
      <c r="BP312" s="161"/>
    </row>
    <row r="313" spans="1:68">
      <c r="A313" s="210"/>
      <c r="B313" s="195" t="s">
        <v>5625</v>
      </c>
      <c r="C313" s="196" t="s">
        <v>5626</v>
      </c>
      <c r="D313" s="146" t="s">
        <v>4692</v>
      </c>
      <c r="E313" s="196" t="s">
        <v>5626</v>
      </c>
      <c r="F313" s="150">
        <v>0</v>
      </c>
      <c r="G313" s="209">
        <v>0</v>
      </c>
      <c r="H313" s="209"/>
      <c r="I313" s="209">
        <v>0</v>
      </c>
      <c r="J313" s="150">
        <v>0</v>
      </c>
      <c r="K313" s="150">
        <v>0</v>
      </c>
      <c r="L313" s="150">
        <f t="shared" si="405"/>
        <v>0</v>
      </c>
      <c r="M313" s="150">
        <v>0</v>
      </c>
      <c r="N313" s="150"/>
      <c r="O313" s="150">
        <v>0</v>
      </c>
      <c r="P313" s="150">
        <v>0</v>
      </c>
      <c r="Q313" s="150"/>
      <c r="R313" s="150">
        <f t="shared" si="448"/>
        <v>0</v>
      </c>
      <c r="S313" s="150">
        <f t="shared" si="399"/>
        <v>0</v>
      </c>
      <c r="T313" s="150"/>
      <c r="U313" s="150">
        <v>0</v>
      </c>
      <c r="V313" s="199"/>
      <c r="W313" s="150">
        <f t="shared" si="449"/>
        <v>0</v>
      </c>
      <c r="X313" s="150">
        <v>0</v>
      </c>
      <c r="Y313" s="150"/>
      <c r="Z313" s="150">
        <v>0</v>
      </c>
      <c r="AA313" s="150">
        <f t="shared" si="400"/>
        <v>0</v>
      </c>
      <c r="AB313" s="150">
        <v>0</v>
      </c>
      <c r="AC313" s="199"/>
      <c r="AD313" s="150">
        <f t="shared" si="450"/>
        <v>0</v>
      </c>
      <c r="AE313" s="150">
        <v>0</v>
      </c>
      <c r="AF313" s="169" t="s">
        <v>4680</v>
      </c>
      <c r="AG313" s="201">
        <v>0</v>
      </c>
      <c r="AH313" s="199"/>
      <c r="AI313" s="150">
        <v>0</v>
      </c>
      <c r="AJ313" s="169">
        <f t="shared" si="401"/>
        <v>0</v>
      </c>
      <c r="AK313" s="201">
        <v>0</v>
      </c>
      <c r="AL313" s="199"/>
      <c r="AM313" s="150">
        <f t="shared" si="451"/>
        <v>0</v>
      </c>
      <c r="AN313" s="153">
        <f t="shared" si="402"/>
        <v>0</v>
      </c>
      <c r="AO313" s="154">
        <f t="shared" si="403"/>
        <v>0</v>
      </c>
      <c r="AP313" s="150">
        <v>0</v>
      </c>
      <c r="AQ313" s="201">
        <v>0</v>
      </c>
      <c r="AR313" s="199"/>
      <c r="AS313" s="150">
        <f t="shared" si="452"/>
        <v>0</v>
      </c>
      <c r="AT313" s="155"/>
      <c r="AU313" s="156">
        <f t="shared" si="396"/>
        <v>0</v>
      </c>
      <c r="AV313" s="156">
        <f t="shared" si="397"/>
        <v>0</v>
      </c>
      <c r="AW313" s="157"/>
      <c r="AX313" s="150">
        <v>0</v>
      </c>
      <c r="AY313" s="150">
        <v>0</v>
      </c>
      <c r="AZ313" s="150"/>
      <c r="BA313" s="150">
        <f t="shared" si="398"/>
        <v>0</v>
      </c>
      <c r="BB313" s="210"/>
      <c r="BC313" s="210"/>
      <c r="BD313" s="210"/>
      <c r="BE313" s="210"/>
      <c r="BF313" s="210"/>
      <c r="BG313" s="210"/>
      <c r="BH313" s="217"/>
      <c r="BI313" s="210"/>
      <c r="BJ313" s="210"/>
      <c r="BK313" s="210"/>
      <c r="BL313" s="210"/>
      <c r="BM313" s="208"/>
      <c r="BN313" s="160"/>
      <c r="BO313" s="161"/>
      <c r="BP313" s="161"/>
    </row>
    <row r="314" spans="1:68">
      <c r="A314" s="210"/>
      <c r="B314" s="195" t="s">
        <v>5627</v>
      </c>
      <c r="C314" s="196" t="s">
        <v>5628</v>
      </c>
      <c r="D314" s="146" t="s">
        <v>4692</v>
      </c>
      <c r="E314" s="196" t="s">
        <v>5628</v>
      </c>
      <c r="F314" s="150">
        <v>0</v>
      </c>
      <c r="G314" s="209">
        <v>0</v>
      </c>
      <c r="H314" s="209"/>
      <c r="I314" s="209">
        <v>0</v>
      </c>
      <c r="J314" s="150">
        <v>0</v>
      </c>
      <c r="K314" s="150">
        <v>0</v>
      </c>
      <c r="L314" s="150">
        <f t="shared" si="405"/>
        <v>0</v>
      </c>
      <c r="M314" s="150">
        <v>0</v>
      </c>
      <c r="N314" s="150"/>
      <c r="O314" s="150">
        <v>0</v>
      </c>
      <c r="P314" s="150">
        <v>0</v>
      </c>
      <c r="Q314" s="150"/>
      <c r="R314" s="150">
        <f t="shared" si="448"/>
        <v>0</v>
      </c>
      <c r="S314" s="150">
        <f t="shared" si="399"/>
        <v>0</v>
      </c>
      <c r="T314" s="150"/>
      <c r="U314" s="150">
        <v>0</v>
      </c>
      <c r="V314" s="199"/>
      <c r="W314" s="150">
        <f t="shared" si="449"/>
        <v>0</v>
      </c>
      <c r="X314" s="150">
        <v>0</v>
      </c>
      <c r="Y314" s="150"/>
      <c r="Z314" s="150">
        <v>0</v>
      </c>
      <c r="AA314" s="150">
        <f t="shared" si="400"/>
        <v>0</v>
      </c>
      <c r="AB314" s="150">
        <v>0</v>
      </c>
      <c r="AC314" s="199"/>
      <c r="AD314" s="150">
        <f t="shared" si="450"/>
        <v>0</v>
      </c>
      <c r="AE314" s="150">
        <v>0</v>
      </c>
      <c r="AF314" s="169" t="s">
        <v>4680</v>
      </c>
      <c r="AG314" s="201">
        <v>0</v>
      </c>
      <c r="AH314" s="199"/>
      <c r="AI314" s="150">
        <v>0</v>
      </c>
      <c r="AJ314" s="169">
        <f t="shared" si="401"/>
        <v>0</v>
      </c>
      <c r="AK314" s="201">
        <v>0</v>
      </c>
      <c r="AL314" s="199"/>
      <c r="AM314" s="150">
        <f t="shared" si="451"/>
        <v>0</v>
      </c>
      <c r="AN314" s="153">
        <f t="shared" si="402"/>
        <v>0</v>
      </c>
      <c r="AO314" s="154">
        <f t="shared" si="403"/>
        <v>0</v>
      </c>
      <c r="AP314" s="150">
        <v>0</v>
      </c>
      <c r="AQ314" s="201">
        <v>0</v>
      </c>
      <c r="AR314" s="199"/>
      <c r="AS314" s="150">
        <f t="shared" si="452"/>
        <v>0</v>
      </c>
      <c r="AT314" s="155"/>
      <c r="AU314" s="156">
        <f t="shared" si="396"/>
        <v>0</v>
      </c>
      <c r="AV314" s="156">
        <f t="shared" si="397"/>
        <v>0</v>
      </c>
      <c r="AW314" s="157"/>
      <c r="AX314" s="150">
        <v>0</v>
      </c>
      <c r="AY314" s="150">
        <v>0</v>
      </c>
      <c r="AZ314" s="150"/>
      <c r="BA314" s="150">
        <f t="shared" si="398"/>
        <v>0</v>
      </c>
      <c r="BB314" s="210"/>
      <c r="BC314" s="210"/>
      <c r="BD314" s="210"/>
      <c r="BE314" s="210"/>
      <c r="BF314" s="210"/>
      <c r="BG314" s="210"/>
      <c r="BH314" s="217"/>
      <c r="BI314" s="210"/>
      <c r="BJ314" s="210"/>
      <c r="BK314" s="210"/>
      <c r="BL314" s="210"/>
      <c r="BM314" s="208"/>
      <c r="BN314" s="160"/>
      <c r="BO314" s="161"/>
      <c r="BP314" s="161"/>
    </row>
    <row r="315" spans="1:68">
      <c r="A315" s="210"/>
      <c r="B315" s="195" t="s">
        <v>5629</v>
      </c>
      <c r="C315" s="196" t="s">
        <v>5630</v>
      </c>
      <c r="D315" s="146" t="s">
        <v>4692</v>
      </c>
      <c r="E315" s="196" t="s">
        <v>5630</v>
      </c>
      <c r="F315" s="150">
        <v>0</v>
      </c>
      <c r="G315" s="209">
        <v>0</v>
      </c>
      <c r="H315" s="209"/>
      <c r="I315" s="209">
        <v>0</v>
      </c>
      <c r="J315" s="150">
        <v>0</v>
      </c>
      <c r="K315" s="150">
        <v>0</v>
      </c>
      <c r="L315" s="150">
        <f t="shared" si="405"/>
        <v>0</v>
      </c>
      <c r="M315" s="150">
        <v>0</v>
      </c>
      <c r="N315" s="150"/>
      <c r="O315" s="150">
        <v>0</v>
      </c>
      <c r="P315" s="150">
        <v>0</v>
      </c>
      <c r="Q315" s="150"/>
      <c r="R315" s="150">
        <f t="shared" si="448"/>
        <v>0</v>
      </c>
      <c r="S315" s="150">
        <f t="shared" si="399"/>
        <v>0</v>
      </c>
      <c r="T315" s="150"/>
      <c r="U315" s="150">
        <v>0</v>
      </c>
      <c r="V315" s="199"/>
      <c r="W315" s="150">
        <f t="shared" si="449"/>
        <v>0</v>
      </c>
      <c r="X315" s="150">
        <v>0</v>
      </c>
      <c r="Y315" s="150"/>
      <c r="Z315" s="150">
        <v>0</v>
      </c>
      <c r="AA315" s="150">
        <f t="shared" si="400"/>
        <v>0</v>
      </c>
      <c r="AB315" s="150">
        <v>0</v>
      </c>
      <c r="AC315" s="199"/>
      <c r="AD315" s="150">
        <f t="shared" si="450"/>
        <v>0</v>
      </c>
      <c r="AE315" s="150">
        <v>0</v>
      </c>
      <c r="AF315" s="169" t="s">
        <v>4680</v>
      </c>
      <c r="AG315" s="201">
        <v>0</v>
      </c>
      <c r="AH315" s="199"/>
      <c r="AI315" s="150">
        <v>0</v>
      </c>
      <c r="AJ315" s="169">
        <f t="shared" si="401"/>
        <v>0</v>
      </c>
      <c r="AK315" s="201">
        <v>0</v>
      </c>
      <c r="AL315" s="199"/>
      <c r="AM315" s="150">
        <f t="shared" si="451"/>
        <v>0</v>
      </c>
      <c r="AN315" s="153">
        <f t="shared" si="402"/>
        <v>0</v>
      </c>
      <c r="AO315" s="154">
        <f t="shared" si="403"/>
        <v>0</v>
      </c>
      <c r="AP315" s="150">
        <v>0</v>
      </c>
      <c r="AQ315" s="201">
        <v>0</v>
      </c>
      <c r="AR315" s="199"/>
      <c r="AS315" s="150">
        <f t="shared" si="452"/>
        <v>0</v>
      </c>
      <c r="AT315" s="155"/>
      <c r="AU315" s="156">
        <f t="shared" si="396"/>
        <v>0</v>
      </c>
      <c r="AV315" s="156">
        <f t="shared" si="397"/>
        <v>0</v>
      </c>
      <c r="AW315" s="157"/>
      <c r="AX315" s="150">
        <v>0</v>
      </c>
      <c r="AY315" s="150">
        <v>0</v>
      </c>
      <c r="AZ315" s="150"/>
      <c r="BA315" s="150">
        <f t="shared" si="398"/>
        <v>0</v>
      </c>
      <c r="BB315" s="210"/>
      <c r="BC315" s="210"/>
      <c r="BD315" s="210"/>
      <c r="BE315" s="210"/>
      <c r="BF315" s="210"/>
      <c r="BG315" s="210"/>
      <c r="BH315" s="217"/>
      <c r="BI315" s="210"/>
      <c r="BJ315" s="210"/>
      <c r="BK315" s="210"/>
      <c r="BL315" s="210"/>
      <c r="BM315" s="208"/>
      <c r="BN315" s="160"/>
      <c r="BO315" s="161"/>
      <c r="BP315" s="161"/>
    </row>
    <row r="316" spans="1:68" ht="25.5">
      <c r="A316" s="210"/>
      <c r="B316" s="195" t="s">
        <v>5631</v>
      </c>
      <c r="C316" s="196" t="s">
        <v>5632</v>
      </c>
      <c r="D316" s="146" t="s">
        <v>4692</v>
      </c>
      <c r="E316" s="196" t="s">
        <v>5632</v>
      </c>
      <c r="F316" s="150">
        <v>0</v>
      </c>
      <c r="G316" s="209">
        <v>0</v>
      </c>
      <c r="H316" s="209"/>
      <c r="I316" s="209">
        <v>0</v>
      </c>
      <c r="J316" s="150">
        <v>0</v>
      </c>
      <c r="K316" s="150">
        <v>0</v>
      </c>
      <c r="L316" s="150">
        <f t="shared" si="405"/>
        <v>0</v>
      </c>
      <c r="M316" s="150">
        <v>0</v>
      </c>
      <c r="N316" s="150"/>
      <c r="O316" s="150">
        <v>0</v>
      </c>
      <c r="P316" s="150">
        <v>0</v>
      </c>
      <c r="Q316" s="150"/>
      <c r="R316" s="150">
        <f t="shared" si="448"/>
        <v>0</v>
      </c>
      <c r="S316" s="150">
        <f t="shared" si="399"/>
        <v>0</v>
      </c>
      <c r="T316" s="150"/>
      <c r="U316" s="150">
        <v>0</v>
      </c>
      <c r="V316" s="199"/>
      <c r="W316" s="150">
        <f t="shared" si="449"/>
        <v>0</v>
      </c>
      <c r="X316" s="150">
        <v>0</v>
      </c>
      <c r="Y316" s="150"/>
      <c r="Z316" s="150">
        <v>0</v>
      </c>
      <c r="AA316" s="150">
        <f t="shared" si="400"/>
        <v>0</v>
      </c>
      <c r="AB316" s="150">
        <v>0</v>
      </c>
      <c r="AC316" s="199"/>
      <c r="AD316" s="150">
        <f t="shared" si="450"/>
        <v>0</v>
      </c>
      <c r="AE316" s="150">
        <v>0</v>
      </c>
      <c r="AF316" s="169" t="s">
        <v>4680</v>
      </c>
      <c r="AG316" s="201">
        <v>0</v>
      </c>
      <c r="AH316" s="199"/>
      <c r="AI316" s="150">
        <v>0</v>
      </c>
      <c r="AJ316" s="169">
        <f t="shared" si="401"/>
        <v>0</v>
      </c>
      <c r="AK316" s="201">
        <v>0</v>
      </c>
      <c r="AL316" s="199"/>
      <c r="AM316" s="150">
        <f t="shared" si="451"/>
        <v>0</v>
      </c>
      <c r="AN316" s="153">
        <f t="shared" si="402"/>
        <v>0</v>
      </c>
      <c r="AO316" s="154">
        <f t="shared" si="403"/>
        <v>0</v>
      </c>
      <c r="AP316" s="150">
        <v>0</v>
      </c>
      <c r="AQ316" s="201">
        <v>0</v>
      </c>
      <c r="AR316" s="199"/>
      <c r="AS316" s="150">
        <f t="shared" si="452"/>
        <v>0</v>
      </c>
      <c r="AT316" s="155"/>
      <c r="AU316" s="156">
        <f t="shared" si="396"/>
        <v>0</v>
      </c>
      <c r="AV316" s="156">
        <f t="shared" si="397"/>
        <v>0</v>
      </c>
      <c r="AW316" s="157"/>
      <c r="AX316" s="150">
        <v>0</v>
      </c>
      <c r="AY316" s="150">
        <v>0</v>
      </c>
      <c r="AZ316" s="150"/>
      <c r="BA316" s="150">
        <f t="shared" si="398"/>
        <v>0</v>
      </c>
      <c r="BB316" s="210"/>
      <c r="BC316" s="210"/>
      <c r="BD316" s="210"/>
      <c r="BE316" s="210"/>
      <c r="BF316" s="210"/>
      <c r="BG316" s="210"/>
      <c r="BH316" s="217"/>
      <c r="BI316" s="210"/>
      <c r="BJ316" s="210"/>
      <c r="BK316" s="210"/>
      <c r="BL316" s="210"/>
      <c r="BM316" s="208"/>
      <c r="BN316" s="160"/>
      <c r="BO316" s="161"/>
      <c r="BP316" s="161"/>
    </row>
    <row r="317" spans="1:68" ht="25.5">
      <c r="A317" s="210"/>
      <c r="B317" s="195" t="s">
        <v>5633</v>
      </c>
      <c r="C317" s="196" t="s">
        <v>5634</v>
      </c>
      <c r="D317" s="146" t="s">
        <v>4692</v>
      </c>
      <c r="E317" s="196" t="s">
        <v>5634</v>
      </c>
      <c r="F317" s="150">
        <v>0</v>
      </c>
      <c r="G317" s="209">
        <v>0</v>
      </c>
      <c r="H317" s="209"/>
      <c r="I317" s="209">
        <v>0</v>
      </c>
      <c r="J317" s="150">
        <v>0</v>
      </c>
      <c r="K317" s="150">
        <v>0</v>
      </c>
      <c r="L317" s="150">
        <f t="shared" si="405"/>
        <v>0</v>
      </c>
      <c r="M317" s="150">
        <v>0</v>
      </c>
      <c r="N317" s="150"/>
      <c r="O317" s="150">
        <v>0</v>
      </c>
      <c r="P317" s="150">
        <v>0</v>
      </c>
      <c r="Q317" s="150"/>
      <c r="R317" s="150">
        <f t="shared" si="448"/>
        <v>0</v>
      </c>
      <c r="S317" s="150">
        <f t="shared" si="399"/>
        <v>0</v>
      </c>
      <c r="T317" s="150"/>
      <c r="U317" s="150">
        <v>0</v>
      </c>
      <c r="V317" s="199"/>
      <c r="W317" s="150">
        <f t="shared" si="449"/>
        <v>0</v>
      </c>
      <c r="X317" s="150">
        <v>0</v>
      </c>
      <c r="Y317" s="150"/>
      <c r="Z317" s="150">
        <v>0</v>
      </c>
      <c r="AA317" s="150">
        <f t="shared" si="400"/>
        <v>0</v>
      </c>
      <c r="AB317" s="150">
        <v>0</v>
      </c>
      <c r="AC317" s="199"/>
      <c r="AD317" s="150">
        <f t="shared" si="450"/>
        <v>0</v>
      </c>
      <c r="AE317" s="150">
        <v>0</v>
      </c>
      <c r="AF317" s="169" t="s">
        <v>4680</v>
      </c>
      <c r="AG317" s="201">
        <v>0</v>
      </c>
      <c r="AH317" s="199"/>
      <c r="AI317" s="150">
        <v>0</v>
      </c>
      <c r="AJ317" s="169">
        <f t="shared" si="401"/>
        <v>0</v>
      </c>
      <c r="AK317" s="201">
        <v>0</v>
      </c>
      <c r="AL317" s="199"/>
      <c r="AM317" s="150">
        <f t="shared" si="451"/>
        <v>0</v>
      </c>
      <c r="AN317" s="153">
        <f t="shared" si="402"/>
        <v>0</v>
      </c>
      <c r="AO317" s="154">
        <f t="shared" si="403"/>
        <v>0</v>
      </c>
      <c r="AP317" s="150">
        <v>0</v>
      </c>
      <c r="AQ317" s="201">
        <v>0</v>
      </c>
      <c r="AR317" s="199"/>
      <c r="AS317" s="150">
        <f t="shared" si="452"/>
        <v>0</v>
      </c>
      <c r="AT317" s="155"/>
      <c r="AU317" s="156">
        <f t="shared" si="396"/>
        <v>0</v>
      </c>
      <c r="AV317" s="156">
        <f t="shared" si="397"/>
        <v>0</v>
      </c>
      <c r="AW317" s="157"/>
      <c r="AX317" s="150">
        <v>0</v>
      </c>
      <c r="AY317" s="150">
        <v>0</v>
      </c>
      <c r="AZ317" s="150"/>
      <c r="BA317" s="150">
        <f t="shared" si="398"/>
        <v>0</v>
      </c>
      <c r="BB317" s="210"/>
      <c r="BC317" s="210"/>
      <c r="BD317" s="210"/>
      <c r="BE317" s="210"/>
      <c r="BF317" s="210"/>
      <c r="BG317" s="210"/>
      <c r="BH317" s="217"/>
      <c r="BI317" s="210"/>
      <c r="BJ317" s="210"/>
      <c r="BK317" s="210"/>
      <c r="BL317" s="210"/>
      <c r="BM317" s="208"/>
      <c r="BN317" s="160"/>
      <c r="BO317" s="161"/>
      <c r="BP317" s="161"/>
    </row>
    <row r="318" spans="1:68">
      <c r="A318" s="210"/>
      <c r="B318" s="195" t="s">
        <v>5635</v>
      </c>
      <c r="C318" s="196" t="s">
        <v>5636</v>
      </c>
      <c r="D318" s="146" t="s">
        <v>4692</v>
      </c>
      <c r="E318" s="196" t="s">
        <v>5636</v>
      </c>
      <c r="F318" s="150">
        <v>0</v>
      </c>
      <c r="G318" s="209">
        <v>0</v>
      </c>
      <c r="H318" s="209"/>
      <c r="I318" s="209">
        <v>0</v>
      </c>
      <c r="J318" s="150">
        <v>0</v>
      </c>
      <c r="K318" s="150">
        <v>0</v>
      </c>
      <c r="L318" s="150">
        <f t="shared" si="405"/>
        <v>0</v>
      </c>
      <c r="M318" s="150">
        <v>0</v>
      </c>
      <c r="N318" s="150"/>
      <c r="O318" s="150">
        <v>0</v>
      </c>
      <c r="P318" s="150">
        <v>0</v>
      </c>
      <c r="Q318" s="150"/>
      <c r="R318" s="150">
        <f t="shared" si="448"/>
        <v>0</v>
      </c>
      <c r="S318" s="150">
        <f t="shared" si="399"/>
        <v>0</v>
      </c>
      <c r="T318" s="150"/>
      <c r="U318" s="150">
        <v>0</v>
      </c>
      <c r="V318" s="199"/>
      <c r="W318" s="150">
        <f t="shared" si="449"/>
        <v>0</v>
      </c>
      <c r="X318" s="150">
        <v>0</v>
      </c>
      <c r="Y318" s="150"/>
      <c r="Z318" s="150">
        <v>0</v>
      </c>
      <c r="AA318" s="150">
        <f t="shared" si="400"/>
        <v>0</v>
      </c>
      <c r="AB318" s="150">
        <v>0</v>
      </c>
      <c r="AC318" s="199"/>
      <c r="AD318" s="150">
        <f t="shared" si="450"/>
        <v>0</v>
      </c>
      <c r="AE318" s="150">
        <v>0</v>
      </c>
      <c r="AF318" s="169" t="s">
        <v>4680</v>
      </c>
      <c r="AG318" s="201">
        <v>0</v>
      </c>
      <c r="AH318" s="199"/>
      <c r="AI318" s="150">
        <v>0</v>
      </c>
      <c r="AJ318" s="169">
        <f t="shared" si="401"/>
        <v>0</v>
      </c>
      <c r="AK318" s="201">
        <v>0</v>
      </c>
      <c r="AL318" s="199"/>
      <c r="AM318" s="150">
        <f t="shared" si="451"/>
        <v>0</v>
      </c>
      <c r="AN318" s="153">
        <f t="shared" si="402"/>
        <v>0</v>
      </c>
      <c r="AO318" s="154">
        <f t="shared" si="403"/>
        <v>0</v>
      </c>
      <c r="AP318" s="150">
        <v>0</v>
      </c>
      <c r="AQ318" s="201">
        <v>0</v>
      </c>
      <c r="AR318" s="199"/>
      <c r="AS318" s="150">
        <f t="shared" si="452"/>
        <v>0</v>
      </c>
      <c r="AT318" s="155"/>
      <c r="AU318" s="156">
        <f t="shared" si="396"/>
        <v>0</v>
      </c>
      <c r="AV318" s="156">
        <f t="shared" si="397"/>
        <v>0</v>
      </c>
      <c r="AW318" s="157"/>
      <c r="AX318" s="150">
        <v>0</v>
      </c>
      <c r="AY318" s="150">
        <v>0</v>
      </c>
      <c r="AZ318" s="150"/>
      <c r="BA318" s="150">
        <f t="shared" si="398"/>
        <v>0</v>
      </c>
      <c r="BB318" s="210"/>
      <c r="BC318" s="210"/>
      <c r="BD318" s="210"/>
      <c r="BE318" s="210"/>
      <c r="BF318" s="210"/>
      <c r="BG318" s="210"/>
      <c r="BH318" s="217"/>
      <c r="BI318" s="210"/>
      <c r="BJ318" s="210"/>
      <c r="BK318" s="210"/>
      <c r="BL318" s="210"/>
      <c r="BM318" s="208"/>
      <c r="BN318" s="160"/>
      <c r="BO318" s="161"/>
      <c r="BP318" s="161"/>
    </row>
    <row r="319" spans="1:68" ht="25.5">
      <c r="A319" s="210"/>
      <c r="B319" s="195" t="s">
        <v>5637</v>
      </c>
      <c r="C319" s="196" t="s">
        <v>5638</v>
      </c>
      <c r="D319" s="146" t="s">
        <v>4692</v>
      </c>
      <c r="E319" s="196" t="s">
        <v>5638</v>
      </c>
      <c r="F319" s="150">
        <v>0</v>
      </c>
      <c r="G319" s="209"/>
      <c r="H319" s="209"/>
      <c r="I319" s="209"/>
      <c r="J319" s="150">
        <v>0</v>
      </c>
      <c r="K319" s="150">
        <v>0</v>
      </c>
      <c r="L319" s="150">
        <f t="shared" si="405"/>
        <v>0</v>
      </c>
      <c r="M319" s="150">
        <v>0</v>
      </c>
      <c r="N319" s="150"/>
      <c r="O319" s="150">
        <v>0</v>
      </c>
      <c r="P319" s="150">
        <v>0</v>
      </c>
      <c r="Q319" s="150"/>
      <c r="R319" s="150">
        <f t="shared" si="448"/>
        <v>0</v>
      </c>
      <c r="S319" s="150">
        <f t="shared" si="399"/>
        <v>0</v>
      </c>
      <c r="T319" s="150"/>
      <c r="U319" s="150">
        <v>0</v>
      </c>
      <c r="V319" s="199"/>
      <c r="W319" s="150">
        <f t="shared" si="449"/>
        <v>0</v>
      </c>
      <c r="X319" s="150">
        <v>0</v>
      </c>
      <c r="Y319" s="150"/>
      <c r="Z319" s="150">
        <v>0</v>
      </c>
      <c r="AA319" s="150">
        <f t="shared" si="400"/>
        <v>0</v>
      </c>
      <c r="AB319" s="150">
        <v>0</v>
      </c>
      <c r="AC319" s="199"/>
      <c r="AD319" s="150">
        <f t="shared" si="450"/>
        <v>0</v>
      </c>
      <c r="AE319" s="150">
        <v>0</v>
      </c>
      <c r="AF319" s="169" t="s">
        <v>4680</v>
      </c>
      <c r="AG319" s="201">
        <v>0</v>
      </c>
      <c r="AH319" s="199"/>
      <c r="AI319" s="150">
        <v>0</v>
      </c>
      <c r="AJ319" s="169">
        <f t="shared" si="401"/>
        <v>0</v>
      </c>
      <c r="AK319" s="201">
        <v>0</v>
      </c>
      <c r="AL319" s="199"/>
      <c r="AM319" s="150">
        <f t="shared" si="451"/>
        <v>0</v>
      </c>
      <c r="AN319" s="153">
        <f t="shared" si="402"/>
        <v>0</v>
      </c>
      <c r="AO319" s="154">
        <f t="shared" si="403"/>
        <v>0</v>
      </c>
      <c r="AP319" s="150">
        <v>0</v>
      </c>
      <c r="AQ319" s="201">
        <v>0</v>
      </c>
      <c r="AR319" s="199"/>
      <c r="AS319" s="150">
        <f t="shared" si="452"/>
        <v>0</v>
      </c>
      <c r="AT319" s="155"/>
      <c r="AU319" s="156">
        <f t="shared" si="396"/>
        <v>0</v>
      </c>
      <c r="AV319" s="156">
        <f t="shared" si="397"/>
        <v>0</v>
      </c>
      <c r="AW319" s="157"/>
      <c r="AX319" s="150">
        <v>0</v>
      </c>
      <c r="AY319" s="150">
        <v>0</v>
      </c>
      <c r="AZ319" s="150"/>
      <c r="BA319" s="150">
        <f t="shared" si="398"/>
        <v>0</v>
      </c>
      <c r="BB319" s="210"/>
      <c r="BC319" s="210"/>
      <c r="BD319" s="210"/>
      <c r="BE319" s="210"/>
      <c r="BF319" s="210"/>
      <c r="BG319" s="210"/>
      <c r="BH319" s="217"/>
      <c r="BI319" s="210"/>
      <c r="BJ319" s="210"/>
      <c r="BK319" s="210"/>
      <c r="BL319" s="210"/>
      <c r="BM319" s="208"/>
      <c r="BN319" s="160"/>
      <c r="BO319" s="161"/>
      <c r="BP319" s="161"/>
    </row>
    <row r="320" spans="1:68" ht="51">
      <c r="A320" s="210"/>
      <c r="B320" s="195" t="s">
        <v>5639</v>
      </c>
      <c r="C320" s="196" t="s">
        <v>5640</v>
      </c>
      <c r="D320" s="146" t="s">
        <v>4692</v>
      </c>
      <c r="E320" s="196" t="s">
        <v>5640</v>
      </c>
      <c r="F320" s="150">
        <v>1382342.85</v>
      </c>
      <c r="G320" s="209"/>
      <c r="H320" s="209"/>
      <c r="I320" s="209"/>
      <c r="J320" s="150"/>
      <c r="K320" s="150"/>
      <c r="L320" s="150">
        <f t="shared" si="405"/>
        <v>0</v>
      </c>
      <c r="M320" s="150">
        <v>0</v>
      </c>
      <c r="N320" s="277">
        <v>1821779</v>
      </c>
      <c r="O320" s="150">
        <v>1821779</v>
      </c>
      <c r="P320" s="150">
        <v>0</v>
      </c>
      <c r="Q320" s="277">
        <v>3464130.3800000004</v>
      </c>
      <c r="R320" s="150">
        <f t="shared" si="448"/>
        <v>3464130.3800000004</v>
      </c>
      <c r="S320" s="150">
        <f t="shared" si="399"/>
        <v>4618840.5066666668</v>
      </c>
      <c r="T320" s="150"/>
      <c r="U320" s="150">
        <v>0</v>
      </c>
      <c r="V320" s="278">
        <v>5619738.5599999996</v>
      </c>
      <c r="W320" s="150">
        <f t="shared" si="449"/>
        <v>5619738.5599999996</v>
      </c>
      <c r="X320" s="150">
        <v>0</v>
      </c>
      <c r="Y320" s="150">
        <v>5619738.5599999996</v>
      </c>
      <c r="Z320" s="150">
        <v>5619738.5599999996</v>
      </c>
      <c r="AA320" s="150">
        <f t="shared" si="400"/>
        <v>0</v>
      </c>
      <c r="AB320" s="150">
        <v>0</v>
      </c>
      <c r="AC320" s="278">
        <v>5619738.5599999996</v>
      </c>
      <c r="AD320" s="150">
        <f t="shared" si="450"/>
        <v>5619738.5599999996</v>
      </c>
      <c r="AE320" s="279">
        <v>5317440.93</v>
      </c>
      <c r="AF320" s="169" t="s">
        <v>4680</v>
      </c>
      <c r="AG320" s="201">
        <v>0</v>
      </c>
      <c r="AH320" s="279">
        <v>5317440.93</v>
      </c>
      <c r="AI320" s="150">
        <v>5317440.93</v>
      </c>
      <c r="AJ320" s="169">
        <f t="shared" si="401"/>
        <v>0</v>
      </c>
      <c r="AK320" s="201">
        <v>0</v>
      </c>
      <c r="AL320" s="279">
        <v>5317440.93</v>
      </c>
      <c r="AM320" s="150">
        <f t="shared" si="451"/>
        <v>5317440.93</v>
      </c>
      <c r="AN320" s="153">
        <f t="shared" si="402"/>
        <v>0</v>
      </c>
      <c r="AO320" s="154">
        <f t="shared" si="403"/>
        <v>0</v>
      </c>
      <c r="AP320" s="150">
        <v>5317440.93</v>
      </c>
      <c r="AQ320" s="201">
        <v>5317440.93</v>
      </c>
      <c r="AR320" s="150"/>
      <c r="AS320" s="150">
        <f t="shared" si="452"/>
        <v>5317440.93</v>
      </c>
      <c r="AT320" s="155" t="s">
        <v>5641</v>
      </c>
      <c r="AU320" s="156">
        <f t="shared" si="396"/>
        <v>-302297.62999999989</v>
      </c>
      <c r="AV320" s="156">
        <f t="shared" si="397"/>
        <v>0</v>
      </c>
      <c r="AW320" s="157" t="s">
        <v>5642</v>
      </c>
      <c r="AX320" s="150">
        <v>5619738.5599999996</v>
      </c>
      <c r="AY320" s="150">
        <v>0</v>
      </c>
      <c r="AZ320" s="277">
        <v>2861057.4093916668</v>
      </c>
      <c r="BA320" s="150">
        <f t="shared" si="398"/>
        <v>2861057.4093916668</v>
      </c>
      <c r="BB320" s="210"/>
      <c r="BC320" s="210"/>
      <c r="BD320" s="210"/>
      <c r="BE320" s="210"/>
      <c r="BF320" s="210"/>
      <c r="BG320" s="210"/>
      <c r="BH320" s="217"/>
      <c r="BI320" s="210"/>
      <c r="BJ320" s="210"/>
      <c r="BK320" s="210"/>
      <c r="BL320" s="210"/>
      <c r="BM320" s="208"/>
      <c r="BN320" s="160"/>
      <c r="BO320" s="161"/>
      <c r="BP320" s="161"/>
    </row>
    <row r="321" spans="1:68" ht="51">
      <c r="A321" s="210"/>
      <c r="B321" s="195" t="s">
        <v>5643</v>
      </c>
      <c r="C321" s="196" t="s">
        <v>5644</v>
      </c>
      <c r="D321" s="146" t="s">
        <v>4692</v>
      </c>
      <c r="E321" s="196" t="s">
        <v>5644</v>
      </c>
      <c r="F321" s="150">
        <v>1.6</v>
      </c>
      <c r="G321" s="209"/>
      <c r="H321" s="209"/>
      <c r="I321" s="209"/>
      <c r="J321" s="150"/>
      <c r="K321" s="150"/>
      <c r="L321" s="150">
        <f t="shared" si="405"/>
        <v>0</v>
      </c>
      <c r="M321" s="150">
        <v>0</v>
      </c>
      <c r="N321" s="150"/>
      <c r="O321" s="150">
        <v>0</v>
      </c>
      <c r="P321" s="150">
        <v>0</v>
      </c>
      <c r="Q321" s="150"/>
      <c r="R321" s="150">
        <f t="shared" si="448"/>
        <v>0</v>
      </c>
      <c r="S321" s="150">
        <f t="shared" si="399"/>
        <v>0</v>
      </c>
      <c r="T321" s="150"/>
      <c r="U321" s="150">
        <v>0</v>
      </c>
      <c r="V321" s="199"/>
      <c r="W321" s="150">
        <f t="shared" si="449"/>
        <v>0</v>
      </c>
      <c r="X321" s="150">
        <v>0</v>
      </c>
      <c r="Y321" s="150"/>
      <c r="Z321" s="150">
        <v>0</v>
      </c>
      <c r="AA321" s="150">
        <f t="shared" si="400"/>
        <v>0</v>
      </c>
      <c r="AB321" s="150">
        <v>0</v>
      </c>
      <c r="AC321" s="199"/>
      <c r="AD321" s="150">
        <f t="shared" si="450"/>
        <v>0</v>
      </c>
      <c r="AE321" s="150">
        <v>0</v>
      </c>
      <c r="AF321" s="169" t="s">
        <v>4680</v>
      </c>
      <c r="AG321" s="201">
        <v>0</v>
      </c>
      <c r="AH321" s="199"/>
      <c r="AI321" s="150">
        <v>0</v>
      </c>
      <c r="AJ321" s="169">
        <f t="shared" si="401"/>
        <v>0</v>
      </c>
      <c r="AK321" s="201">
        <v>0</v>
      </c>
      <c r="AL321" s="199"/>
      <c r="AM321" s="150">
        <f t="shared" si="451"/>
        <v>0</v>
      </c>
      <c r="AN321" s="153">
        <f t="shared" si="402"/>
        <v>0</v>
      </c>
      <c r="AO321" s="154">
        <f t="shared" si="403"/>
        <v>0</v>
      </c>
      <c r="AP321" s="150">
        <v>0</v>
      </c>
      <c r="AQ321" s="201">
        <v>0</v>
      </c>
      <c r="AR321" s="199"/>
      <c r="AS321" s="150">
        <f t="shared" si="452"/>
        <v>0</v>
      </c>
      <c r="AT321" s="155" t="s">
        <v>5642</v>
      </c>
      <c r="AU321" s="156">
        <f t="shared" si="396"/>
        <v>0</v>
      </c>
      <c r="AV321" s="156">
        <f t="shared" si="397"/>
        <v>0</v>
      </c>
      <c r="AW321" s="157" t="s">
        <v>5642</v>
      </c>
      <c r="AX321" s="150">
        <v>0</v>
      </c>
      <c r="AY321" s="150">
        <v>0</v>
      </c>
      <c r="AZ321" s="150"/>
      <c r="BA321" s="150">
        <f t="shared" si="398"/>
        <v>0</v>
      </c>
      <c r="BB321" s="210"/>
      <c r="BC321" s="210"/>
      <c r="BD321" s="210"/>
      <c r="BE321" s="210"/>
      <c r="BF321" s="210"/>
      <c r="BG321" s="210"/>
      <c r="BH321" s="217"/>
      <c r="BI321" s="210"/>
      <c r="BJ321" s="210"/>
      <c r="BK321" s="210"/>
      <c r="BL321" s="210"/>
      <c r="BM321" s="208"/>
      <c r="BN321" s="160"/>
      <c r="BO321" s="161"/>
      <c r="BP321" s="161"/>
    </row>
    <row r="322" spans="1:68">
      <c r="A322" s="210"/>
      <c r="B322" s="195"/>
      <c r="C322" s="196"/>
      <c r="D322" s="146" t="s">
        <v>4692</v>
      </c>
      <c r="E322" s="196"/>
      <c r="F322" s="150"/>
      <c r="G322" s="150"/>
      <c r="H322" s="150"/>
      <c r="I322" s="150"/>
      <c r="J322" s="150"/>
      <c r="K322" s="150"/>
      <c r="L322" s="150">
        <f t="shared" si="405"/>
        <v>0</v>
      </c>
      <c r="M322" s="150"/>
      <c r="N322" s="150"/>
      <c r="O322" s="150">
        <v>0</v>
      </c>
      <c r="P322" s="150"/>
      <c r="Q322" s="150"/>
      <c r="R322" s="150">
        <f t="shared" si="448"/>
        <v>0</v>
      </c>
      <c r="S322" s="150">
        <f t="shared" si="399"/>
        <v>0</v>
      </c>
      <c r="T322" s="150"/>
      <c r="U322" s="150"/>
      <c r="V322" s="199"/>
      <c r="W322" s="150">
        <f t="shared" si="449"/>
        <v>0</v>
      </c>
      <c r="X322" s="150"/>
      <c r="Y322" s="150"/>
      <c r="Z322" s="150">
        <v>0</v>
      </c>
      <c r="AA322" s="150">
        <f t="shared" si="400"/>
        <v>0</v>
      </c>
      <c r="AB322" s="150"/>
      <c r="AC322" s="199"/>
      <c r="AD322" s="150">
        <f t="shared" si="450"/>
        <v>0</v>
      </c>
      <c r="AE322" s="150">
        <v>0</v>
      </c>
      <c r="AF322" s="169" t="s">
        <v>4680</v>
      </c>
      <c r="AG322" s="201"/>
      <c r="AH322" s="199"/>
      <c r="AI322" s="150">
        <v>0</v>
      </c>
      <c r="AJ322" s="169">
        <f t="shared" si="401"/>
        <v>0</v>
      </c>
      <c r="AK322" s="201"/>
      <c r="AL322" s="199"/>
      <c r="AM322" s="150">
        <f t="shared" si="451"/>
        <v>0</v>
      </c>
      <c r="AN322" s="153">
        <f t="shared" si="402"/>
        <v>0</v>
      </c>
      <c r="AO322" s="154">
        <f t="shared" si="403"/>
        <v>0</v>
      </c>
      <c r="AP322" s="150">
        <v>0</v>
      </c>
      <c r="AQ322" s="201"/>
      <c r="AR322" s="199"/>
      <c r="AS322" s="150">
        <f t="shared" si="452"/>
        <v>0</v>
      </c>
      <c r="AT322" s="155"/>
      <c r="AU322" s="156">
        <f t="shared" ref="AU322:AU385" si="453">AM322-AD322</f>
        <v>0</v>
      </c>
      <c r="AV322" s="156">
        <f t="shared" ref="AV322:AV385" si="454">AD322-AX322</f>
        <v>0</v>
      </c>
      <c r="AW322" s="157"/>
      <c r="AX322" s="150">
        <v>0</v>
      </c>
      <c r="AY322" s="150"/>
      <c r="AZ322" s="150"/>
      <c r="BA322" s="150">
        <f t="shared" ref="BA322:BA385" si="455">AY322+AZ322</f>
        <v>0</v>
      </c>
      <c r="BB322" s="210"/>
      <c r="BC322" s="210"/>
      <c r="BD322" s="210"/>
      <c r="BE322" s="210"/>
      <c r="BF322" s="210"/>
      <c r="BG322" s="210"/>
      <c r="BH322" s="217"/>
      <c r="BI322" s="210"/>
      <c r="BJ322" s="210"/>
      <c r="BK322" s="210"/>
      <c r="BL322" s="210"/>
      <c r="BM322" s="208"/>
      <c r="BN322" s="160"/>
      <c r="BO322" s="161"/>
      <c r="BP322" s="161"/>
    </row>
    <row r="323" spans="1:68">
      <c r="A323" s="210"/>
      <c r="B323" s="195"/>
      <c r="C323" s="196"/>
      <c r="D323" s="146" t="s">
        <v>4692</v>
      </c>
      <c r="E323" s="196"/>
      <c r="F323" s="150"/>
      <c r="G323" s="150"/>
      <c r="H323" s="150"/>
      <c r="I323" s="150"/>
      <c r="J323" s="150"/>
      <c r="K323" s="150"/>
      <c r="L323" s="150">
        <f t="shared" si="405"/>
        <v>0</v>
      </c>
      <c r="M323" s="150"/>
      <c r="N323" s="150"/>
      <c r="O323" s="150">
        <v>0</v>
      </c>
      <c r="P323" s="150"/>
      <c r="Q323" s="150"/>
      <c r="R323" s="150">
        <f t="shared" si="448"/>
        <v>0</v>
      </c>
      <c r="S323" s="150">
        <f t="shared" ref="S323:S386" si="456">R323/9*12</f>
        <v>0</v>
      </c>
      <c r="T323" s="150"/>
      <c r="U323" s="150"/>
      <c r="V323" s="199"/>
      <c r="W323" s="150">
        <f t="shared" si="449"/>
        <v>0</v>
      </c>
      <c r="X323" s="150"/>
      <c r="Y323" s="150"/>
      <c r="Z323" s="150">
        <v>0</v>
      </c>
      <c r="AA323" s="150">
        <f t="shared" ref="AA323:AA386" si="457">AD323-Z323</f>
        <v>0</v>
      </c>
      <c r="AB323" s="150"/>
      <c r="AC323" s="199"/>
      <c r="AD323" s="150">
        <f t="shared" si="450"/>
        <v>0</v>
      </c>
      <c r="AE323" s="150">
        <v>0</v>
      </c>
      <c r="AF323" s="169" t="s">
        <v>4680</v>
      </c>
      <c r="AG323" s="201"/>
      <c r="AH323" s="199"/>
      <c r="AI323" s="150">
        <v>0</v>
      </c>
      <c r="AJ323" s="169">
        <f t="shared" ref="AJ323:AJ386" si="458">AM323-AI323</f>
        <v>0</v>
      </c>
      <c r="AK323" s="201"/>
      <c r="AL323" s="199"/>
      <c r="AM323" s="150">
        <f t="shared" si="451"/>
        <v>0</v>
      </c>
      <c r="AN323" s="153">
        <f t="shared" ref="AN323:AN386" si="459">AS323-AM323</f>
        <v>0</v>
      </c>
      <c r="AO323" s="154">
        <f t="shared" ref="AO323:AO386" si="460">AS323-AP323</f>
        <v>0</v>
      </c>
      <c r="AP323" s="150">
        <v>0</v>
      </c>
      <c r="AQ323" s="201"/>
      <c r="AR323" s="199"/>
      <c r="AS323" s="150">
        <f t="shared" si="452"/>
        <v>0</v>
      </c>
      <c r="AT323" s="155"/>
      <c r="AU323" s="156">
        <f t="shared" si="453"/>
        <v>0</v>
      </c>
      <c r="AV323" s="156">
        <f t="shared" si="454"/>
        <v>0</v>
      </c>
      <c r="AW323" s="157"/>
      <c r="AX323" s="150">
        <v>0</v>
      </c>
      <c r="AY323" s="150"/>
      <c r="AZ323" s="150"/>
      <c r="BA323" s="150">
        <f t="shared" si="455"/>
        <v>0</v>
      </c>
      <c r="BB323" s="210"/>
      <c r="BC323" s="210"/>
      <c r="BD323" s="210"/>
      <c r="BE323" s="210"/>
      <c r="BF323" s="210"/>
      <c r="BG323" s="210"/>
      <c r="BH323" s="217"/>
      <c r="BI323" s="210"/>
      <c r="BJ323" s="210"/>
      <c r="BK323" s="210"/>
      <c r="BL323" s="210"/>
      <c r="BM323" s="208"/>
      <c r="BN323" s="160"/>
      <c r="BO323" s="161"/>
      <c r="BP323" s="161"/>
    </row>
    <row r="324" spans="1:68">
      <c r="A324" s="210"/>
      <c r="B324" s="195"/>
      <c r="C324" s="196"/>
      <c r="D324" s="146" t="s">
        <v>4692</v>
      </c>
      <c r="E324" s="196"/>
      <c r="F324" s="150"/>
      <c r="G324" s="150">
        <v>0</v>
      </c>
      <c r="H324" s="150">
        <v>2786768.3499999996</v>
      </c>
      <c r="I324" s="150">
        <v>2786768.3499999996</v>
      </c>
      <c r="J324" s="150"/>
      <c r="K324" s="150"/>
      <c r="L324" s="150">
        <f t="shared" si="405"/>
        <v>0</v>
      </c>
      <c r="M324" s="150"/>
      <c r="N324" s="150"/>
      <c r="O324" s="150">
        <v>0</v>
      </c>
      <c r="P324" s="150"/>
      <c r="Q324" s="150"/>
      <c r="R324" s="150">
        <f t="shared" si="448"/>
        <v>0</v>
      </c>
      <c r="S324" s="150">
        <f t="shared" si="456"/>
        <v>0</v>
      </c>
      <c r="T324" s="150"/>
      <c r="U324" s="150"/>
      <c r="V324" s="199"/>
      <c r="W324" s="150">
        <f t="shared" si="449"/>
        <v>0</v>
      </c>
      <c r="X324" s="150"/>
      <c r="Y324" s="150"/>
      <c r="Z324" s="150">
        <v>0</v>
      </c>
      <c r="AA324" s="150">
        <f t="shared" si="457"/>
        <v>0</v>
      </c>
      <c r="AB324" s="150"/>
      <c r="AC324" s="199"/>
      <c r="AD324" s="150">
        <f t="shared" si="450"/>
        <v>0</v>
      </c>
      <c r="AE324" s="150">
        <v>0</v>
      </c>
      <c r="AF324" s="169" t="s">
        <v>4680</v>
      </c>
      <c r="AG324" s="201"/>
      <c r="AH324" s="199"/>
      <c r="AI324" s="150">
        <v>0</v>
      </c>
      <c r="AJ324" s="169">
        <f t="shared" si="458"/>
        <v>0</v>
      </c>
      <c r="AK324" s="201"/>
      <c r="AL324" s="199"/>
      <c r="AM324" s="150">
        <f t="shared" si="451"/>
        <v>0</v>
      </c>
      <c r="AN324" s="153">
        <f t="shared" si="459"/>
        <v>0</v>
      </c>
      <c r="AO324" s="154">
        <f t="shared" si="460"/>
        <v>0</v>
      </c>
      <c r="AP324" s="150">
        <v>0</v>
      </c>
      <c r="AQ324" s="201"/>
      <c r="AR324" s="199"/>
      <c r="AS324" s="150">
        <f t="shared" si="452"/>
        <v>0</v>
      </c>
      <c r="AT324" s="155"/>
      <c r="AU324" s="156">
        <f t="shared" si="453"/>
        <v>0</v>
      </c>
      <c r="AV324" s="156">
        <f t="shared" si="454"/>
        <v>0</v>
      </c>
      <c r="AW324" s="157"/>
      <c r="AX324" s="150">
        <v>0</v>
      </c>
      <c r="AY324" s="150"/>
      <c r="AZ324" s="150"/>
      <c r="BA324" s="150">
        <f t="shared" si="455"/>
        <v>0</v>
      </c>
      <c r="BB324" s="210"/>
      <c r="BC324" s="210"/>
      <c r="BD324" s="210"/>
      <c r="BE324" s="210"/>
      <c r="BF324" s="210"/>
      <c r="BG324" s="210"/>
      <c r="BH324" s="217"/>
      <c r="BI324" s="210"/>
      <c r="BJ324" s="210"/>
      <c r="BK324" s="210"/>
      <c r="BL324" s="210"/>
      <c r="BM324" s="208"/>
      <c r="BN324" s="160"/>
      <c r="BO324" s="161">
        <f t="shared" ref="BO324:BO387" si="461">BM324-AS324</f>
        <v>0</v>
      </c>
      <c r="BP324" s="161"/>
    </row>
    <row r="325" spans="1:68" ht="38.25">
      <c r="A325" s="255" t="s">
        <v>5645</v>
      </c>
      <c r="B325" s="174"/>
      <c r="C325" s="175" t="s">
        <v>5646</v>
      </c>
      <c r="D325" s="146" t="s">
        <v>4692</v>
      </c>
      <c r="E325" s="175" t="s">
        <v>5646</v>
      </c>
      <c r="F325" s="176">
        <v>2801204.7800000003</v>
      </c>
      <c r="G325" s="177">
        <v>0</v>
      </c>
      <c r="H325" s="177">
        <v>2786768.3499999996</v>
      </c>
      <c r="I325" s="177">
        <v>2786768.3499999996</v>
      </c>
      <c r="J325" s="176">
        <f>J326</f>
        <v>0</v>
      </c>
      <c r="K325" s="176">
        <f>K326</f>
        <v>721692</v>
      </c>
      <c r="L325" s="176">
        <f t="shared" si="405"/>
        <v>721692</v>
      </c>
      <c r="M325" s="178">
        <v>0</v>
      </c>
      <c r="N325" s="178">
        <v>1418698.9500000002</v>
      </c>
      <c r="O325" s="178">
        <v>1418698.9500000002</v>
      </c>
      <c r="P325" s="221">
        <f t="shared" ref="P325:AS325" si="462">P326</f>
        <v>0</v>
      </c>
      <c r="Q325" s="221">
        <f t="shared" si="462"/>
        <v>2143897.2100000004</v>
      </c>
      <c r="R325" s="221">
        <f t="shared" si="462"/>
        <v>2143897.2100000004</v>
      </c>
      <c r="S325" s="150">
        <f t="shared" si="456"/>
        <v>2858529.6133333337</v>
      </c>
      <c r="T325" s="213"/>
      <c r="U325" s="221">
        <f t="shared" ref="U325:W325" si="463">U326</f>
        <v>0</v>
      </c>
      <c r="V325" s="222">
        <f t="shared" si="463"/>
        <v>2867770.5300000003</v>
      </c>
      <c r="W325" s="221">
        <f t="shared" si="463"/>
        <v>2867770.5300000003</v>
      </c>
      <c r="X325" s="221">
        <v>0</v>
      </c>
      <c r="Y325" s="221">
        <v>2867770.5300000003</v>
      </c>
      <c r="Z325" s="221">
        <v>2867770.5300000003</v>
      </c>
      <c r="AA325" s="221">
        <f t="shared" si="457"/>
        <v>6600.0999999968335</v>
      </c>
      <c r="AB325" s="221">
        <v>0</v>
      </c>
      <c r="AC325" s="222">
        <v>2874370.6299999971</v>
      </c>
      <c r="AD325" s="221">
        <f t="shared" si="462"/>
        <v>2874370.6299999971</v>
      </c>
      <c r="AE325" s="221">
        <v>2863773.8800000004</v>
      </c>
      <c r="AF325" s="169" t="s">
        <v>4680</v>
      </c>
      <c r="AG325" s="223">
        <v>0</v>
      </c>
      <c r="AH325" s="222">
        <v>2863773.8800000004</v>
      </c>
      <c r="AI325" s="221">
        <v>2863773.8800000004</v>
      </c>
      <c r="AJ325" s="169">
        <f t="shared" si="458"/>
        <v>0</v>
      </c>
      <c r="AK325" s="223">
        <v>0</v>
      </c>
      <c r="AL325" s="222">
        <v>2863773.8800000004</v>
      </c>
      <c r="AM325" s="221">
        <f t="shared" si="462"/>
        <v>2863773.8800000004</v>
      </c>
      <c r="AN325" s="153">
        <f t="shared" si="459"/>
        <v>-77840.290000000037</v>
      </c>
      <c r="AO325" s="154">
        <f t="shared" si="460"/>
        <v>0</v>
      </c>
      <c r="AP325" s="221">
        <v>2785933.5900000003</v>
      </c>
      <c r="AQ325" s="223">
        <v>2785933.5900000003</v>
      </c>
      <c r="AR325" s="222">
        <f t="shared" si="462"/>
        <v>0</v>
      </c>
      <c r="AS325" s="221">
        <f t="shared" si="462"/>
        <v>2785933.5900000003</v>
      </c>
      <c r="AT325" s="155"/>
      <c r="AU325" s="156">
        <f t="shared" si="453"/>
        <v>-10596.74999999674</v>
      </c>
      <c r="AV325" s="156">
        <f t="shared" si="454"/>
        <v>6600.0999999968335</v>
      </c>
      <c r="AW325" s="157"/>
      <c r="AX325" s="150">
        <v>2867770.5300000003</v>
      </c>
      <c r="AY325" s="221">
        <f t="shared" ref="AY325:BA325" si="464">AY326</f>
        <v>1904675.6800000002</v>
      </c>
      <c r="AZ325" s="221">
        <f t="shared" si="464"/>
        <v>634891.89333333343</v>
      </c>
      <c r="BA325" s="221">
        <f t="shared" si="464"/>
        <v>2539567.5733333337</v>
      </c>
      <c r="BB325" s="254">
        <v>4</v>
      </c>
      <c r="BC325" s="255" t="s">
        <v>755</v>
      </c>
      <c r="BD325" s="255" t="s">
        <v>647</v>
      </c>
      <c r="BE325" s="173" t="s">
        <v>630</v>
      </c>
      <c r="BF325" s="255" t="s">
        <v>630</v>
      </c>
      <c r="BG325" s="175" t="s">
        <v>5646</v>
      </c>
      <c r="BH325" s="224">
        <f>BH326</f>
        <v>2785933.5900000003</v>
      </c>
      <c r="BI325" s="254"/>
      <c r="BJ325" s="255" t="s">
        <v>5647</v>
      </c>
      <c r="BK325" s="255" t="s">
        <v>5645</v>
      </c>
      <c r="BL325" s="182" t="s">
        <v>5648</v>
      </c>
      <c r="BM325" s="224">
        <f>BM326</f>
        <v>2785933.5900000003</v>
      </c>
      <c r="BN325" s="160"/>
      <c r="BO325" s="161">
        <f t="shared" si="461"/>
        <v>0</v>
      </c>
      <c r="BP325" s="161"/>
    </row>
    <row r="326" spans="1:68" ht="38.25">
      <c r="A326" s="256" t="s">
        <v>5645</v>
      </c>
      <c r="B326" s="184"/>
      <c r="C326" s="185" t="s">
        <v>5646</v>
      </c>
      <c r="D326" s="146" t="s">
        <v>4692</v>
      </c>
      <c r="E326" s="185" t="s">
        <v>5646</v>
      </c>
      <c r="F326" s="186">
        <v>2801204.7800000003</v>
      </c>
      <c r="G326" s="187">
        <v>0</v>
      </c>
      <c r="H326" s="187">
        <v>2786768.3499999996</v>
      </c>
      <c r="I326" s="187">
        <v>2786768.3499999996</v>
      </c>
      <c r="J326" s="186">
        <f>SUM(J327:J365)</f>
        <v>0</v>
      </c>
      <c r="K326" s="186">
        <f>SUM(K327:K365)</f>
        <v>721692</v>
      </c>
      <c r="L326" s="186">
        <f t="shared" si="405"/>
        <v>721692</v>
      </c>
      <c r="M326" s="188">
        <v>0</v>
      </c>
      <c r="N326" s="188">
        <v>1418698.9500000002</v>
      </c>
      <c r="O326" s="188">
        <v>1418698.9500000002</v>
      </c>
      <c r="P326" s="225">
        <f t="shared" ref="P326:R326" si="465">SUM(P327:P365)</f>
        <v>0</v>
      </c>
      <c r="Q326" s="225">
        <f t="shared" si="465"/>
        <v>2143897.2100000004</v>
      </c>
      <c r="R326" s="225">
        <f t="shared" si="465"/>
        <v>2143897.2100000004</v>
      </c>
      <c r="S326" s="150">
        <f t="shared" si="456"/>
        <v>2858529.6133333337</v>
      </c>
      <c r="T326" s="213"/>
      <c r="U326" s="225">
        <f t="shared" ref="U326:W326" si="466">SUM(U327:U365)</f>
        <v>0</v>
      </c>
      <c r="V326" s="226">
        <f t="shared" si="466"/>
        <v>2867770.5300000003</v>
      </c>
      <c r="W326" s="225">
        <f t="shared" si="466"/>
        <v>2867770.5300000003</v>
      </c>
      <c r="X326" s="225">
        <v>0</v>
      </c>
      <c r="Y326" s="225">
        <v>2867770.5300000003</v>
      </c>
      <c r="Z326" s="225">
        <v>2867770.5300000003</v>
      </c>
      <c r="AA326" s="225">
        <f t="shared" si="457"/>
        <v>6600.0999999968335</v>
      </c>
      <c r="AB326" s="225">
        <v>0</v>
      </c>
      <c r="AC326" s="226">
        <v>2874370.6299999971</v>
      </c>
      <c r="AD326" s="225">
        <f t="shared" ref="AD326" si="467">SUM(AD327:AD365)</f>
        <v>2874370.6299999971</v>
      </c>
      <c r="AE326" s="225">
        <v>2863773.8800000004</v>
      </c>
      <c r="AF326" s="169" t="s">
        <v>4680</v>
      </c>
      <c r="AG326" s="212">
        <v>0</v>
      </c>
      <c r="AH326" s="226">
        <v>2863773.8800000004</v>
      </c>
      <c r="AI326" s="225">
        <v>2863773.8800000004</v>
      </c>
      <c r="AJ326" s="169">
        <f t="shared" si="458"/>
        <v>0</v>
      </c>
      <c r="AK326" s="212">
        <v>0</v>
      </c>
      <c r="AL326" s="226">
        <v>2863773.8800000004</v>
      </c>
      <c r="AM326" s="225">
        <f t="shared" ref="AM326" si="468">SUM(AM327:AM365)</f>
        <v>2863773.8800000004</v>
      </c>
      <c r="AN326" s="153">
        <f t="shared" si="459"/>
        <v>-77840.290000000037</v>
      </c>
      <c r="AO326" s="154">
        <f t="shared" si="460"/>
        <v>0</v>
      </c>
      <c r="AP326" s="225">
        <v>2785933.5900000003</v>
      </c>
      <c r="AQ326" s="212">
        <v>2785933.5900000003</v>
      </c>
      <c r="AR326" s="226">
        <f t="shared" ref="AR326:AS326" si="469">SUM(AR327:AR365)</f>
        <v>0</v>
      </c>
      <c r="AS326" s="225">
        <f t="shared" si="469"/>
        <v>2785933.5900000003</v>
      </c>
      <c r="AT326" s="155"/>
      <c r="AU326" s="156">
        <f t="shared" si="453"/>
        <v>-10596.74999999674</v>
      </c>
      <c r="AV326" s="156">
        <f t="shared" si="454"/>
        <v>6600.0999999968335</v>
      </c>
      <c r="AW326" s="157"/>
      <c r="AX326" s="150">
        <v>2867770.5300000003</v>
      </c>
      <c r="AY326" s="225">
        <f t="shared" ref="AY326:BA326" si="470">SUM(AY327:AY365)</f>
        <v>1904675.6800000002</v>
      </c>
      <c r="AZ326" s="225">
        <f t="shared" si="470"/>
        <v>634891.89333333343</v>
      </c>
      <c r="BA326" s="225">
        <f t="shared" si="470"/>
        <v>2539567.5733333337</v>
      </c>
      <c r="BB326" s="192">
        <v>4</v>
      </c>
      <c r="BC326" s="256" t="s">
        <v>755</v>
      </c>
      <c r="BD326" s="256" t="s">
        <v>647</v>
      </c>
      <c r="BE326" s="256" t="s">
        <v>632</v>
      </c>
      <c r="BF326" s="256" t="s">
        <v>630</v>
      </c>
      <c r="BG326" s="185" t="s">
        <v>5646</v>
      </c>
      <c r="BH326" s="215">
        <f>SUM(BH327:BH365)</f>
        <v>2785933.5900000003</v>
      </c>
      <c r="BI326" s="192"/>
      <c r="BJ326" s="256" t="s">
        <v>5647</v>
      </c>
      <c r="BK326" s="256" t="s">
        <v>5645</v>
      </c>
      <c r="BL326" s="238" t="s">
        <v>5648</v>
      </c>
      <c r="BM326" s="215">
        <f>SUM(BM327:BM365)</f>
        <v>2785933.5900000003</v>
      </c>
      <c r="BN326" s="160"/>
      <c r="BO326" s="161">
        <f t="shared" si="461"/>
        <v>0</v>
      </c>
      <c r="BP326" s="161"/>
    </row>
    <row r="327" spans="1:68" ht="38.25">
      <c r="A327" s="206" t="s">
        <v>5645</v>
      </c>
      <c r="B327" s="195" t="s">
        <v>5649</v>
      </c>
      <c r="C327" s="196" t="s">
        <v>5650</v>
      </c>
      <c r="D327" s="146" t="s">
        <v>4692</v>
      </c>
      <c r="E327" s="196" t="s">
        <v>5650</v>
      </c>
      <c r="F327" s="150">
        <v>0</v>
      </c>
      <c r="G327" s="209">
        <v>0</v>
      </c>
      <c r="H327" s="209"/>
      <c r="I327" s="209">
        <v>0</v>
      </c>
      <c r="J327" s="150">
        <v>0</v>
      </c>
      <c r="K327" s="150">
        <v>721692</v>
      </c>
      <c r="L327" s="150">
        <f t="shared" si="405"/>
        <v>721692</v>
      </c>
      <c r="M327" s="150">
        <v>0</v>
      </c>
      <c r="N327" s="150"/>
      <c r="O327" s="150">
        <v>0</v>
      </c>
      <c r="P327" s="150">
        <v>0</v>
      </c>
      <c r="Q327" s="150"/>
      <c r="R327" s="150">
        <f t="shared" ref="R327:R365" si="471">P327+Q327</f>
        <v>0</v>
      </c>
      <c r="S327" s="150">
        <f t="shared" si="456"/>
        <v>0</v>
      </c>
      <c r="T327" s="150"/>
      <c r="U327" s="150">
        <v>0</v>
      </c>
      <c r="V327" s="199"/>
      <c r="W327" s="150">
        <f t="shared" ref="W327:W365" si="472">U327+V327</f>
        <v>0</v>
      </c>
      <c r="X327" s="150">
        <v>0</v>
      </c>
      <c r="Y327" s="150"/>
      <c r="Z327" s="150">
        <v>0</v>
      </c>
      <c r="AA327" s="150">
        <f t="shared" si="457"/>
        <v>0</v>
      </c>
      <c r="AB327" s="150">
        <v>0</v>
      </c>
      <c r="AC327" s="199"/>
      <c r="AD327" s="150">
        <f t="shared" ref="AD327:AD365" si="473">AB327+AC327</f>
        <v>0</v>
      </c>
      <c r="AE327" s="150">
        <v>0</v>
      </c>
      <c r="AF327" s="169" t="s">
        <v>4680</v>
      </c>
      <c r="AG327" s="201">
        <v>0</v>
      </c>
      <c r="AH327" s="199"/>
      <c r="AI327" s="150">
        <v>0</v>
      </c>
      <c r="AJ327" s="169">
        <f t="shared" si="458"/>
        <v>0</v>
      </c>
      <c r="AK327" s="201">
        <v>0</v>
      </c>
      <c r="AL327" s="199"/>
      <c r="AM327" s="150">
        <f t="shared" ref="AM327:AM365" si="474">AK327+AL327</f>
        <v>0</v>
      </c>
      <c r="AN327" s="153">
        <f t="shared" si="459"/>
        <v>0</v>
      </c>
      <c r="AO327" s="154">
        <f t="shared" si="460"/>
        <v>0</v>
      </c>
      <c r="AP327" s="150">
        <v>0</v>
      </c>
      <c r="AQ327" s="201">
        <v>0</v>
      </c>
      <c r="AR327" s="199"/>
      <c r="AS327" s="150">
        <f t="shared" ref="AS327:AS365" si="475">AQ327+AR327</f>
        <v>0</v>
      </c>
      <c r="AT327" s="155"/>
      <c r="AU327" s="156">
        <f t="shared" si="453"/>
        <v>0</v>
      </c>
      <c r="AV327" s="156">
        <f t="shared" si="454"/>
        <v>0</v>
      </c>
      <c r="AW327" s="157"/>
      <c r="AX327" s="150">
        <v>0</v>
      </c>
      <c r="AY327" s="150"/>
      <c r="AZ327" s="237"/>
      <c r="BA327" s="150">
        <f t="shared" si="455"/>
        <v>0</v>
      </c>
      <c r="BB327" s="202">
        <v>4</v>
      </c>
      <c r="BC327" s="202" t="s">
        <v>755</v>
      </c>
      <c r="BD327" s="202" t="s">
        <v>647</v>
      </c>
      <c r="BE327" s="202" t="s">
        <v>632</v>
      </c>
      <c r="BF327" s="202" t="s">
        <v>632</v>
      </c>
      <c r="BG327" s="203" t="s">
        <v>5646</v>
      </c>
      <c r="BH327" s="216">
        <f>SUM(AS327:AS365)</f>
        <v>2785933.5900000003</v>
      </c>
      <c r="BI327" s="205"/>
      <c r="BJ327" s="206" t="s">
        <v>5647</v>
      </c>
      <c r="BK327" s="206" t="s">
        <v>5645</v>
      </c>
      <c r="BL327" s="207" t="s">
        <v>5648</v>
      </c>
      <c r="BM327" s="208">
        <f>BH327</f>
        <v>2785933.5900000003</v>
      </c>
      <c r="BN327" s="160"/>
      <c r="BO327" s="161"/>
      <c r="BP327" s="161"/>
    </row>
    <row r="328" spans="1:68" ht="25.5">
      <c r="A328" s="210"/>
      <c r="B328" s="195" t="s">
        <v>5651</v>
      </c>
      <c r="C328" s="196" t="s">
        <v>5566</v>
      </c>
      <c r="D328" s="146" t="s">
        <v>4692</v>
      </c>
      <c r="E328" s="196" t="s">
        <v>5566</v>
      </c>
      <c r="F328" s="150">
        <v>0</v>
      </c>
      <c r="G328" s="209">
        <v>0</v>
      </c>
      <c r="H328" s="209"/>
      <c r="I328" s="209">
        <v>0</v>
      </c>
      <c r="J328" s="150">
        <v>0</v>
      </c>
      <c r="K328" s="150">
        <v>0</v>
      </c>
      <c r="L328" s="150">
        <f t="shared" ref="L328:L391" si="476">J328+K328</f>
        <v>0</v>
      </c>
      <c r="M328" s="150">
        <v>0</v>
      </c>
      <c r="N328" s="150"/>
      <c r="O328" s="150">
        <v>0</v>
      </c>
      <c r="P328" s="150">
        <v>0</v>
      </c>
      <c r="Q328" s="150"/>
      <c r="R328" s="150">
        <f t="shared" si="471"/>
        <v>0</v>
      </c>
      <c r="S328" s="150">
        <f t="shared" si="456"/>
        <v>0</v>
      </c>
      <c r="T328" s="150"/>
      <c r="U328" s="150">
        <v>0</v>
      </c>
      <c r="V328" s="199"/>
      <c r="W328" s="150">
        <f t="shared" si="472"/>
        <v>0</v>
      </c>
      <c r="X328" s="150">
        <v>0</v>
      </c>
      <c r="Y328" s="150"/>
      <c r="Z328" s="150">
        <v>0</v>
      </c>
      <c r="AA328" s="150">
        <f t="shared" si="457"/>
        <v>0</v>
      </c>
      <c r="AB328" s="150">
        <v>0</v>
      </c>
      <c r="AC328" s="199"/>
      <c r="AD328" s="150">
        <f t="shared" si="473"/>
        <v>0</v>
      </c>
      <c r="AE328" s="150">
        <v>0</v>
      </c>
      <c r="AF328" s="169" t="s">
        <v>4680</v>
      </c>
      <c r="AG328" s="201">
        <v>0</v>
      </c>
      <c r="AH328" s="199"/>
      <c r="AI328" s="150">
        <v>0</v>
      </c>
      <c r="AJ328" s="169">
        <f t="shared" si="458"/>
        <v>0</v>
      </c>
      <c r="AK328" s="201">
        <v>0</v>
      </c>
      <c r="AL328" s="199"/>
      <c r="AM328" s="150">
        <f t="shared" si="474"/>
        <v>0</v>
      </c>
      <c r="AN328" s="153">
        <f t="shared" si="459"/>
        <v>0</v>
      </c>
      <c r="AO328" s="154">
        <f t="shared" si="460"/>
        <v>0</v>
      </c>
      <c r="AP328" s="150">
        <v>0</v>
      </c>
      <c r="AQ328" s="201">
        <v>0</v>
      </c>
      <c r="AR328" s="199"/>
      <c r="AS328" s="150">
        <f t="shared" si="475"/>
        <v>0</v>
      </c>
      <c r="AT328" s="155"/>
      <c r="AU328" s="156">
        <f t="shared" si="453"/>
        <v>0</v>
      </c>
      <c r="AV328" s="156">
        <f t="shared" si="454"/>
        <v>0</v>
      </c>
      <c r="AW328" s="157"/>
      <c r="AX328" s="150">
        <v>0</v>
      </c>
      <c r="AY328" s="150">
        <v>0</v>
      </c>
      <c r="AZ328" s="150"/>
      <c r="BA328" s="150">
        <f t="shared" si="455"/>
        <v>0</v>
      </c>
      <c r="BB328" s="210"/>
      <c r="BC328" s="210"/>
      <c r="BD328" s="210"/>
      <c r="BE328" s="210"/>
      <c r="BF328" s="210"/>
      <c r="BG328" s="210"/>
      <c r="BH328" s="217"/>
      <c r="BI328" s="210"/>
      <c r="BJ328" s="210"/>
      <c r="BK328" s="210"/>
      <c r="BL328" s="210"/>
      <c r="BM328" s="208"/>
      <c r="BN328" s="160"/>
      <c r="BO328" s="161"/>
      <c r="BP328" s="161"/>
    </row>
    <row r="329" spans="1:68">
      <c r="A329" s="210"/>
      <c r="B329" s="195" t="s">
        <v>5652</v>
      </c>
      <c r="C329" s="196" t="s">
        <v>5568</v>
      </c>
      <c r="D329" s="146" t="s">
        <v>4692</v>
      </c>
      <c r="E329" s="196" t="s">
        <v>5568</v>
      </c>
      <c r="F329" s="150">
        <v>0</v>
      </c>
      <c r="G329" s="209">
        <v>0</v>
      </c>
      <c r="H329" s="209"/>
      <c r="I329" s="209">
        <v>0</v>
      </c>
      <c r="J329" s="150">
        <v>0</v>
      </c>
      <c r="K329" s="150">
        <v>0</v>
      </c>
      <c r="L329" s="150">
        <f t="shared" si="476"/>
        <v>0</v>
      </c>
      <c r="M329" s="150">
        <v>0</v>
      </c>
      <c r="N329" s="150"/>
      <c r="O329" s="150">
        <v>0</v>
      </c>
      <c r="P329" s="150">
        <v>0</v>
      </c>
      <c r="Q329" s="150"/>
      <c r="R329" s="150">
        <f t="shared" si="471"/>
        <v>0</v>
      </c>
      <c r="S329" s="150">
        <f t="shared" si="456"/>
        <v>0</v>
      </c>
      <c r="T329" s="150"/>
      <c r="U329" s="150">
        <v>0</v>
      </c>
      <c r="V329" s="199"/>
      <c r="W329" s="150">
        <f t="shared" si="472"/>
        <v>0</v>
      </c>
      <c r="X329" s="150">
        <v>0</v>
      </c>
      <c r="Y329" s="150"/>
      <c r="Z329" s="150">
        <v>0</v>
      </c>
      <c r="AA329" s="150">
        <f t="shared" si="457"/>
        <v>0</v>
      </c>
      <c r="AB329" s="150">
        <v>0</v>
      </c>
      <c r="AC329" s="199"/>
      <c r="AD329" s="150">
        <f t="shared" si="473"/>
        <v>0</v>
      </c>
      <c r="AE329" s="150">
        <v>0</v>
      </c>
      <c r="AF329" s="169" t="s">
        <v>4680</v>
      </c>
      <c r="AG329" s="201">
        <v>0</v>
      </c>
      <c r="AH329" s="199"/>
      <c r="AI329" s="150">
        <v>0</v>
      </c>
      <c r="AJ329" s="169">
        <f t="shared" si="458"/>
        <v>0</v>
      </c>
      <c r="AK329" s="201">
        <v>0</v>
      </c>
      <c r="AL329" s="199"/>
      <c r="AM329" s="150">
        <f t="shared" si="474"/>
        <v>0</v>
      </c>
      <c r="AN329" s="153">
        <f t="shared" si="459"/>
        <v>0</v>
      </c>
      <c r="AO329" s="154">
        <f t="shared" si="460"/>
        <v>0</v>
      </c>
      <c r="AP329" s="150">
        <v>0</v>
      </c>
      <c r="AQ329" s="201">
        <v>0</v>
      </c>
      <c r="AR329" s="199"/>
      <c r="AS329" s="150">
        <f t="shared" si="475"/>
        <v>0</v>
      </c>
      <c r="AT329" s="155"/>
      <c r="AU329" s="156">
        <f t="shared" si="453"/>
        <v>0</v>
      </c>
      <c r="AV329" s="156">
        <f t="shared" si="454"/>
        <v>0</v>
      </c>
      <c r="AW329" s="157"/>
      <c r="AX329" s="150">
        <v>0</v>
      </c>
      <c r="AY329" s="150">
        <v>0</v>
      </c>
      <c r="AZ329" s="150"/>
      <c r="BA329" s="150">
        <f t="shared" si="455"/>
        <v>0</v>
      </c>
      <c r="BB329" s="210"/>
      <c r="BC329" s="210"/>
      <c r="BD329" s="210"/>
      <c r="BE329" s="210"/>
      <c r="BF329" s="210"/>
      <c r="BG329" s="210"/>
      <c r="BH329" s="217"/>
      <c r="BI329" s="210"/>
      <c r="BJ329" s="210"/>
      <c r="BK329" s="210"/>
      <c r="BL329" s="210"/>
      <c r="BM329" s="208"/>
      <c r="BN329" s="160"/>
      <c r="BO329" s="161"/>
      <c r="BP329" s="161"/>
    </row>
    <row r="330" spans="1:68" ht="25.5">
      <c r="A330" s="210"/>
      <c r="B330" s="195" t="s">
        <v>5653</v>
      </c>
      <c r="C330" s="196" t="s">
        <v>5570</v>
      </c>
      <c r="D330" s="146" t="s">
        <v>4692</v>
      </c>
      <c r="E330" s="196" t="s">
        <v>5570</v>
      </c>
      <c r="F330" s="150">
        <v>0</v>
      </c>
      <c r="G330" s="209">
        <v>0</v>
      </c>
      <c r="H330" s="209"/>
      <c r="I330" s="209">
        <v>0</v>
      </c>
      <c r="J330" s="150">
        <v>0</v>
      </c>
      <c r="K330" s="150">
        <v>0</v>
      </c>
      <c r="L330" s="150">
        <f t="shared" si="476"/>
        <v>0</v>
      </c>
      <c r="M330" s="150">
        <v>0</v>
      </c>
      <c r="N330" s="150"/>
      <c r="O330" s="150">
        <v>0</v>
      </c>
      <c r="P330" s="150">
        <v>0</v>
      </c>
      <c r="Q330" s="150"/>
      <c r="R330" s="150">
        <f t="shared" si="471"/>
        <v>0</v>
      </c>
      <c r="S330" s="150">
        <f t="shared" si="456"/>
        <v>0</v>
      </c>
      <c r="T330" s="150"/>
      <c r="U330" s="150">
        <v>0</v>
      </c>
      <c r="V330" s="199"/>
      <c r="W330" s="150">
        <f t="shared" si="472"/>
        <v>0</v>
      </c>
      <c r="X330" s="150">
        <v>0</v>
      </c>
      <c r="Y330" s="150"/>
      <c r="Z330" s="150">
        <v>0</v>
      </c>
      <c r="AA330" s="150">
        <f t="shared" si="457"/>
        <v>0</v>
      </c>
      <c r="AB330" s="150">
        <v>0</v>
      </c>
      <c r="AC330" s="199"/>
      <c r="AD330" s="150">
        <f t="shared" si="473"/>
        <v>0</v>
      </c>
      <c r="AE330" s="150">
        <v>0</v>
      </c>
      <c r="AF330" s="169" t="s">
        <v>4680</v>
      </c>
      <c r="AG330" s="201">
        <v>0</v>
      </c>
      <c r="AH330" s="199"/>
      <c r="AI330" s="150">
        <v>0</v>
      </c>
      <c r="AJ330" s="169">
        <f t="shared" si="458"/>
        <v>0</v>
      </c>
      <c r="AK330" s="201">
        <v>0</v>
      </c>
      <c r="AL330" s="199"/>
      <c r="AM330" s="150">
        <f t="shared" si="474"/>
        <v>0</v>
      </c>
      <c r="AN330" s="153">
        <f t="shared" si="459"/>
        <v>0</v>
      </c>
      <c r="AO330" s="154">
        <f t="shared" si="460"/>
        <v>0</v>
      </c>
      <c r="AP330" s="150">
        <v>0</v>
      </c>
      <c r="AQ330" s="201">
        <v>0</v>
      </c>
      <c r="AR330" s="199"/>
      <c r="AS330" s="150">
        <f t="shared" si="475"/>
        <v>0</v>
      </c>
      <c r="AT330" s="155"/>
      <c r="AU330" s="156">
        <f t="shared" si="453"/>
        <v>0</v>
      </c>
      <c r="AV330" s="156">
        <f t="shared" si="454"/>
        <v>0</v>
      </c>
      <c r="AW330" s="157"/>
      <c r="AX330" s="150">
        <v>0</v>
      </c>
      <c r="AY330" s="150">
        <v>0</v>
      </c>
      <c r="AZ330" s="150"/>
      <c r="BA330" s="150">
        <f t="shared" si="455"/>
        <v>0</v>
      </c>
      <c r="BB330" s="210"/>
      <c r="BC330" s="210"/>
      <c r="BD330" s="210"/>
      <c r="BE330" s="210"/>
      <c r="BF330" s="210"/>
      <c r="BG330" s="210"/>
      <c r="BH330" s="217"/>
      <c r="BI330" s="210"/>
      <c r="BJ330" s="210"/>
      <c r="BK330" s="210"/>
      <c r="BL330" s="210"/>
      <c r="BM330" s="208"/>
      <c r="BN330" s="160"/>
      <c r="BO330" s="161"/>
      <c r="BP330" s="161"/>
    </row>
    <row r="331" spans="1:68">
      <c r="A331" s="210"/>
      <c r="B331" s="195" t="s">
        <v>5654</v>
      </c>
      <c r="C331" s="196" t="s">
        <v>5572</v>
      </c>
      <c r="D331" s="146" t="s">
        <v>4692</v>
      </c>
      <c r="E331" s="196" t="s">
        <v>5572</v>
      </c>
      <c r="F331" s="150">
        <v>0</v>
      </c>
      <c r="G331" s="209">
        <v>0</v>
      </c>
      <c r="H331" s="209"/>
      <c r="I331" s="209">
        <v>0</v>
      </c>
      <c r="J331" s="150">
        <v>0</v>
      </c>
      <c r="K331" s="150">
        <v>0</v>
      </c>
      <c r="L331" s="150">
        <f t="shared" si="476"/>
        <v>0</v>
      </c>
      <c r="M331" s="150">
        <v>0</v>
      </c>
      <c r="N331" s="150"/>
      <c r="O331" s="150">
        <v>0</v>
      </c>
      <c r="P331" s="150">
        <v>0</v>
      </c>
      <c r="Q331" s="150"/>
      <c r="R331" s="150">
        <f t="shared" si="471"/>
        <v>0</v>
      </c>
      <c r="S331" s="150">
        <f t="shared" si="456"/>
        <v>0</v>
      </c>
      <c r="T331" s="150"/>
      <c r="U331" s="150">
        <v>0</v>
      </c>
      <c r="V331" s="199"/>
      <c r="W331" s="150">
        <f t="shared" si="472"/>
        <v>0</v>
      </c>
      <c r="X331" s="150">
        <v>0</v>
      </c>
      <c r="Y331" s="150"/>
      <c r="Z331" s="150">
        <v>0</v>
      </c>
      <c r="AA331" s="150">
        <f t="shared" si="457"/>
        <v>0</v>
      </c>
      <c r="AB331" s="150">
        <v>0</v>
      </c>
      <c r="AC331" s="199"/>
      <c r="AD331" s="150">
        <f t="shared" si="473"/>
        <v>0</v>
      </c>
      <c r="AE331" s="150">
        <v>0</v>
      </c>
      <c r="AF331" s="169" t="s">
        <v>4680</v>
      </c>
      <c r="AG331" s="201">
        <v>0</v>
      </c>
      <c r="AH331" s="199"/>
      <c r="AI331" s="150">
        <v>0</v>
      </c>
      <c r="AJ331" s="169">
        <f t="shared" si="458"/>
        <v>0</v>
      </c>
      <c r="AK331" s="201">
        <v>0</v>
      </c>
      <c r="AL331" s="199"/>
      <c r="AM331" s="150">
        <f t="shared" si="474"/>
        <v>0</v>
      </c>
      <c r="AN331" s="153">
        <f t="shared" si="459"/>
        <v>0</v>
      </c>
      <c r="AO331" s="154">
        <f t="shared" si="460"/>
        <v>0</v>
      </c>
      <c r="AP331" s="150">
        <v>0</v>
      </c>
      <c r="AQ331" s="201">
        <v>0</v>
      </c>
      <c r="AR331" s="199"/>
      <c r="AS331" s="150">
        <f t="shared" si="475"/>
        <v>0</v>
      </c>
      <c r="AT331" s="155"/>
      <c r="AU331" s="156">
        <f t="shared" si="453"/>
        <v>0</v>
      </c>
      <c r="AV331" s="156">
        <f t="shared" si="454"/>
        <v>0</v>
      </c>
      <c r="AW331" s="157"/>
      <c r="AX331" s="150">
        <v>0</v>
      </c>
      <c r="AY331" s="150">
        <v>0</v>
      </c>
      <c r="AZ331" s="150"/>
      <c r="BA331" s="150">
        <f t="shared" si="455"/>
        <v>0</v>
      </c>
      <c r="BB331" s="210"/>
      <c r="BC331" s="210"/>
      <c r="BD331" s="210"/>
      <c r="BE331" s="210"/>
      <c r="BF331" s="210"/>
      <c r="BG331" s="210"/>
      <c r="BH331" s="217"/>
      <c r="BI331" s="210"/>
      <c r="BJ331" s="210"/>
      <c r="BK331" s="210"/>
      <c r="BL331" s="210"/>
      <c r="BM331" s="208"/>
      <c r="BN331" s="160"/>
      <c r="BO331" s="161"/>
      <c r="BP331" s="161"/>
    </row>
    <row r="332" spans="1:68" ht="25.5">
      <c r="A332" s="210"/>
      <c r="B332" s="195" t="s">
        <v>5655</v>
      </c>
      <c r="C332" s="196" t="s">
        <v>5574</v>
      </c>
      <c r="D332" s="146" t="s">
        <v>4692</v>
      </c>
      <c r="E332" s="196" t="s">
        <v>5574</v>
      </c>
      <c r="F332" s="150">
        <v>0</v>
      </c>
      <c r="G332" s="209">
        <v>0</v>
      </c>
      <c r="H332" s="209"/>
      <c r="I332" s="209">
        <v>0</v>
      </c>
      <c r="J332" s="150">
        <v>0</v>
      </c>
      <c r="K332" s="150">
        <v>0</v>
      </c>
      <c r="L332" s="150">
        <f t="shared" si="476"/>
        <v>0</v>
      </c>
      <c r="M332" s="150">
        <v>0</v>
      </c>
      <c r="N332" s="150"/>
      <c r="O332" s="150">
        <v>0</v>
      </c>
      <c r="P332" s="150">
        <v>0</v>
      </c>
      <c r="Q332" s="150"/>
      <c r="R332" s="150">
        <f t="shared" si="471"/>
        <v>0</v>
      </c>
      <c r="S332" s="150">
        <f t="shared" si="456"/>
        <v>0</v>
      </c>
      <c r="T332" s="150"/>
      <c r="U332" s="150">
        <v>0</v>
      </c>
      <c r="V332" s="199"/>
      <c r="W332" s="150">
        <f t="shared" si="472"/>
        <v>0</v>
      </c>
      <c r="X332" s="150">
        <v>0</v>
      </c>
      <c r="Y332" s="150"/>
      <c r="Z332" s="150">
        <v>0</v>
      </c>
      <c r="AA332" s="150">
        <f t="shared" si="457"/>
        <v>0</v>
      </c>
      <c r="AB332" s="150">
        <v>0</v>
      </c>
      <c r="AC332" s="199"/>
      <c r="AD332" s="150">
        <f t="shared" si="473"/>
        <v>0</v>
      </c>
      <c r="AE332" s="150">
        <v>0</v>
      </c>
      <c r="AF332" s="169" t="s">
        <v>4680</v>
      </c>
      <c r="AG332" s="201">
        <v>0</v>
      </c>
      <c r="AH332" s="199"/>
      <c r="AI332" s="150">
        <v>0</v>
      </c>
      <c r="AJ332" s="169">
        <f t="shared" si="458"/>
        <v>0</v>
      </c>
      <c r="AK332" s="201">
        <v>0</v>
      </c>
      <c r="AL332" s="199"/>
      <c r="AM332" s="150">
        <f t="shared" si="474"/>
        <v>0</v>
      </c>
      <c r="AN332" s="153">
        <f t="shared" si="459"/>
        <v>0</v>
      </c>
      <c r="AO332" s="154">
        <f t="shared" si="460"/>
        <v>0</v>
      </c>
      <c r="AP332" s="150">
        <v>0</v>
      </c>
      <c r="AQ332" s="201">
        <v>0</v>
      </c>
      <c r="AR332" s="199"/>
      <c r="AS332" s="150">
        <f t="shared" si="475"/>
        <v>0</v>
      </c>
      <c r="AT332" s="155"/>
      <c r="AU332" s="156">
        <f t="shared" si="453"/>
        <v>0</v>
      </c>
      <c r="AV332" s="156">
        <f t="shared" si="454"/>
        <v>0</v>
      </c>
      <c r="AW332" s="157"/>
      <c r="AX332" s="150">
        <v>0</v>
      </c>
      <c r="AY332" s="150">
        <v>0</v>
      </c>
      <c r="AZ332" s="150"/>
      <c r="BA332" s="150">
        <f t="shared" si="455"/>
        <v>0</v>
      </c>
      <c r="BB332" s="210"/>
      <c r="BC332" s="210"/>
      <c r="BD332" s="210"/>
      <c r="BE332" s="210"/>
      <c r="BF332" s="210"/>
      <c r="BG332" s="210"/>
      <c r="BH332" s="217"/>
      <c r="BI332" s="210"/>
      <c r="BJ332" s="210"/>
      <c r="BK332" s="210"/>
      <c r="BL332" s="210"/>
      <c r="BM332" s="208"/>
      <c r="BN332" s="160"/>
      <c r="BO332" s="161"/>
      <c r="BP332" s="161"/>
    </row>
    <row r="333" spans="1:68">
      <c r="A333" s="210">
        <v>0</v>
      </c>
      <c r="B333" s="195" t="s">
        <v>5656</v>
      </c>
      <c r="C333" s="196" t="s">
        <v>5576</v>
      </c>
      <c r="D333" s="146" t="s">
        <v>4692</v>
      </c>
      <c r="E333" s="196" t="s">
        <v>5576</v>
      </c>
      <c r="F333" s="150">
        <v>17220.3</v>
      </c>
      <c r="G333" s="209">
        <v>0</v>
      </c>
      <c r="H333" s="209"/>
      <c r="I333" s="209">
        <v>0</v>
      </c>
      <c r="J333" s="150">
        <v>0</v>
      </c>
      <c r="K333" s="150">
        <v>0</v>
      </c>
      <c r="L333" s="150">
        <f t="shared" si="476"/>
        <v>0</v>
      </c>
      <c r="M333" s="150">
        <v>0</v>
      </c>
      <c r="N333" s="150">
        <v>6977.5599999999995</v>
      </c>
      <c r="O333" s="150">
        <v>6977.5599999999995</v>
      </c>
      <c r="P333" s="150">
        <v>0</v>
      </c>
      <c r="Q333" s="150">
        <v>10504.6</v>
      </c>
      <c r="R333" s="150">
        <f t="shared" si="471"/>
        <v>10504.6</v>
      </c>
      <c r="S333" s="150">
        <f t="shared" si="456"/>
        <v>14006.133333333335</v>
      </c>
      <c r="T333" s="150"/>
      <c r="U333" s="150">
        <v>0</v>
      </c>
      <c r="V333" s="199">
        <v>14904.05</v>
      </c>
      <c r="W333" s="150">
        <f t="shared" si="472"/>
        <v>14904.05</v>
      </c>
      <c r="X333" s="150">
        <v>0</v>
      </c>
      <c r="Y333" s="150">
        <v>14904.05</v>
      </c>
      <c r="Z333" s="150">
        <v>14904.05</v>
      </c>
      <c r="AA333" s="150">
        <f t="shared" si="457"/>
        <v>0</v>
      </c>
      <c r="AB333" s="150">
        <v>0</v>
      </c>
      <c r="AC333" s="199">
        <v>14904.05</v>
      </c>
      <c r="AD333" s="150">
        <f t="shared" si="473"/>
        <v>14904.05</v>
      </c>
      <c r="AE333" s="279">
        <v>14904.05</v>
      </c>
      <c r="AF333" s="169" t="s">
        <v>4680</v>
      </c>
      <c r="AG333" s="201">
        <v>0</v>
      </c>
      <c r="AH333" s="200">
        <v>14904.05</v>
      </c>
      <c r="AI333" s="150">
        <v>14904.05</v>
      </c>
      <c r="AJ333" s="169">
        <f t="shared" si="458"/>
        <v>0</v>
      </c>
      <c r="AK333" s="201">
        <v>0</v>
      </c>
      <c r="AL333" s="200">
        <v>14904.05</v>
      </c>
      <c r="AM333" s="150">
        <f t="shared" si="474"/>
        <v>14904.05</v>
      </c>
      <c r="AN333" s="153">
        <f t="shared" si="459"/>
        <v>0</v>
      </c>
      <c r="AO333" s="154">
        <f t="shared" si="460"/>
        <v>0</v>
      </c>
      <c r="AP333" s="150">
        <v>14904.05</v>
      </c>
      <c r="AQ333" s="201">
        <v>14904.05</v>
      </c>
      <c r="AR333" s="199"/>
      <c r="AS333" s="150">
        <f t="shared" si="475"/>
        <v>14904.05</v>
      </c>
      <c r="AT333" s="155"/>
      <c r="AU333" s="156">
        <f t="shared" si="453"/>
        <v>0</v>
      </c>
      <c r="AV333" s="156">
        <f t="shared" si="454"/>
        <v>0</v>
      </c>
      <c r="AW333" s="157"/>
      <c r="AX333" s="150">
        <v>14904.05</v>
      </c>
      <c r="AY333" s="150">
        <v>9354.48</v>
      </c>
      <c r="AZ333" s="150">
        <f>AY333/12*4</f>
        <v>3118.16</v>
      </c>
      <c r="BA333" s="150">
        <f t="shared" si="455"/>
        <v>12472.64</v>
      </c>
      <c r="BB333" s="210"/>
      <c r="BC333" s="210"/>
      <c r="BD333" s="210"/>
      <c r="BE333" s="210"/>
      <c r="BF333" s="210"/>
      <c r="BG333" s="210"/>
      <c r="BH333" s="217"/>
      <c r="BI333" s="210"/>
      <c r="BJ333" s="210"/>
      <c r="BK333" s="210"/>
      <c r="BL333" s="210"/>
      <c r="BM333" s="208"/>
      <c r="BN333" s="160"/>
      <c r="BO333" s="161"/>
      <c r="BP333" s="161"/>
    </row>
    <row r="334" spans="1:68">
      <c r="A334" s="210"/>
      <c r="B334" s="195" t="s">
        <v>5657</v>
      </c>
      <c r="C334" s="196" t="s">
        <v>5578</v>
      </c>
      <c r="D334" s="146" t="s">
        <v>4692</v>
      </c>
      <c r="E334" s="196" t="s">
        <v>5578</v>
      </c>
      <c r="F334" s="150">
        <v>0</v>
      </c>
      <c r="G334" s="209">
        <v>0</v>
      </c>
      <c r="H334" s="209"/>
      <c r="I334" s="209">
        <v>0</v>
      </c>
      <c r="J334" s="150">
        <v>0</v>
      </c>
      <c r="K334" s="150">
        <v>0</v>
      </c>
      <c r="L334" s="150">
        <f t="shared" si="476"/>
        <v>0</v>
      </c>
      <c r="M334" s="150">
        <v>0</v>
      </c>
      <c r="N334" s="150"/>
      <c r="O334" s="150">
        <v>0</v>
      </c>
      <c r="P334" s="150">
        <v>0</v>
      </c>
      <c r="Q334" s="150"/>
      <c r="R334" s="150">
        <f t="shared" si="471"/>
        <v>0</v>
      </c>
      <c r="S334" s="150">
        <f t="shared" si="456"/>
        <v>0</v>
      </c>
      <c r="T334" s="150"/>
      <c r="U334" s="150">
        <v>0</v>
      </c>
      <c r="V334" s="199">
        <v>0</v>
      </c>
      <c r="W334" s="150">
        <f t="shared" si="472"/>
        <v>0</v>
      </c>
      <c r="X334" s="150">
        <v>0</v>
      </c>
      <c r="Y334" s="150">
        <v>0</v>
      </c>
      <c r="Z334" s="150">
        <v>0</v>
      </c>
      <c r="AA334" s="150">
        <f t="shared" si="457"/>
        <v>0</v>
      </c>
      <c r="AB334" s="150">
        <v>0</v>
      </c>
      <c r="AC334" s="199">
        <v>0</v>
      </c>
      <c r="AD334" s="150">
        <f t="shared" si="473"/>
        <v>0</v>
      </c>
      <c r="AE334" s="150">
        <v>0</v>
      </c>
      <c r="AF334" s="169" t="s">
        <v>4680</v>
      </c>
      <c r="AG334" s="201">
        <v>0</v>
      </c>
      <c r="AH334" s="150">
        <v>0</v>
      </c>
      <c r="AI334" s="150">
        <v>0</v>
      </c>
      <c r="AJ334" s="169">
        <f t="shared" si="458"/>
        <v>0</v>
      </c>
      <c r="AK334" s="201">
        <v>0</v>
      </c>
      <c r="AL334" s="150">
        <v>0</v>
      </c>
      <c r="AM334" s="150">
        <f t="shared" si="474"/>
        <v>0</v>
      </c>
      <c r="AN334" s="153">
        <f t="shared" si="459"/>
        <v>0</v>
      </c>
      <c r="AO334" s="154">
        <f t="shared" si="460"/>
        <v>0</v>
      </c>
      <c r="AP334" s="150">
        <v>0</v>
      </c>
      <c r="AQ334" s="201">
        <v>0</v>
      </c>
      <c r="AR334" s="150"/>
      <c r="AS334" s="150">
        <f t="shared" si="475"/>
        <v>0</v>
      </c>
      <c r="AT334" s="155"/>
      <c r="AU334" s="156">
        <f t="shared" si="453"/>
        <v>0</v>
      </c>
      <c r="AV334" s="156">
        <f t="shared" si="454"/>
        <v>0</v>
      </c>
      <c r="AW334" s="157"/>
      <c r="AX334" s="150">
        <v>0</v>
      </c>
      <c r="AY334" s="150">
        <v>0</v>
      </c>
      <c r="AZ334" s="150"/>
      <c r="BA334" s="150">
        <f t="shared" si="455"/>
        <v>0</v>
      </c>
      <c r="BB334" s="210"/>
      <c r="BC334" s="210"/>
      <c r="BD334" s="210"/>
      <c r="BE334" s="210"/>
      <c r="BF334" s="210"/>
      <c r="BG334" s="210"/>
      <c r="BH334" s="217"/>
      <c r="BI334" s="210"/>
      <c r="BJ334" s="210"/>
      <c r="BK334" s="210"/>
      <c r="BL334" s="210"/>
      <c r="BM334" s="208"/>
      <c r="BN334" s="160"/>
      <c r="BO334" s="161"/>
      <c r="BP334" s="161"/>
    </row>
    <row r="335" spans="1:68">
      <c r="A335" s="210"/>
      <c r="B335" s="195" t="s">
        <v>5658</v>
      </c>
      <c r="C335" s="196" t="s">
        <v>5580</v>
      </c>
      <c r="D335" s="146" t="s">
        <v>4692</v>
      </c>
      <c r="E335" s="196" t="s">
        <v>5580</v>
      </c>
      <c r="F335" s="150">
        <v>39250.5</v>
      </c>
      <c r="G335" s="209">
        <v>0</v>
      </c>
      <c r="H335" s="209"/>
      <c r="I335" s="209">
        <v>0</v>
      </c>
      <c r="J335" s="150">
        <v>0</v>
      </c>
      <c r="K335" s="150">
        <v>0</v>
      </c>
      <c r="L335" s="150">
        <f t="shared" si="476"/>
        <v>0</v>
      </c>
      <c r="M335" s="150">
        <v>0</v>
      </c>
      <c r="N335" s="150">
        <v>20215.77</v>
      </c>
      <c r="O335" s="150">
        <v>20215.77</v>
      </c>
      <c r="P335" s="150">
        <v>0</v>
      </c>
      <c r="Q335" s="150">
        <v>30434.560000000001</v>
      </c>
      <c r="R335" s="150">
        <f t="shared" si="471"/>
        <v>30434.560000000001</v>
      </c>
      <c r="S335" s="150">
        <f t="shared" si="456"/>
        <v>40579.413333333338</v>
      </c>
      <c r="T335" s="150"/>
      <c r="U335" s="150">
        <v>0</v>
      </c>
      <c r="V335" s="199">
        <v>40542.67</v>
      </c>
      <c r="W335" s="150">
        <f t="shared" si="472"/>
        <v>40542.67</v>
      </c>
      <c r="X335" s="150">
        <v>0</v>
      </c>
      <c r="Y335" s="150">
        <v>40542.67</v>
      </c>
      <c r="Z335" s="150">
        <v>40542.67</v>
      </c>
      <c r="AA335" s="150">
        <f t="shared" si="457"/>
        <v>0</v>
      </c>
      <c r="AB335" s="150">
        <v>0</v>
      </c>
      <c r="AC335" s="199">
        <v>40542.67</v>
      </c>
      <c r="AD335" s="150">
        <f t="shared" si="473"/>
        <v>40542.67</v>
      </c>
      <c r="AE335" s="279">
        <v>40542.670000000006</v>
      </c>
      <c r="AF335" s="169" t="s">
        <v>4680</v>
      </c>
      <c r="AG335" s="201">
        <v>0</v>
      </c>
      <c r="AH335" s="279">
        <v>40542.670000000006</v>
      </c>
      <c r="AI335" s="150">
        <v>40542.670000000006</v>
      </c>
      <c r="AJ335" s="169">
        <f t="shared" si="458"/>
        <v>0</v>
      </c>
      <c r="AK335" s="201">
        <v>0</v>
      </c>
      <c r="AL335" s="279">
        <v>40542.670000000006</v>
      </c>
      <c r="AM335" s="150">
        <f t="shared" si="474"/>
        <v>40542.670000000006</v>
      </c>
      <c r="AN335" s="153">
        <f t="shared" si="459"/>
        <v>0</v>
      </c>
      <c r="AO335" s="154">
        <f t="shared" si="460"/>
        <v>0</v>
      </c>
      <c r="AP335" s="150">
        <v>40542.67</v>
      </c>
      <c r="AQ335" s="201">
        <v>40542.67</v>
      </c>
      <c r="AR335" s="150"/>
      <c r="AS335" s="150">
        <f t="shared" si="475"/>
        <v>40542.67</v>
      </c>
      <c r="AT335" s="155"/>
      <c r="AU335" s="156">
        <f t="shared" si="453"/>
        <v>0</v>
      </c>
      <c r="AV335" s="156">
        <f t="shared" si="454"/>
        <v>0</v>
      </c>
      <c r="AW335" s="157"/>
      <c r="AX335" s="150">
        <v>40542.67</v>
      </c>
      <c r="AY335" s="150">
        <v>27102.34</v>
      </c>
      <c r="AZ335" s="150">
        <f>AY335/12*4</f>
        <v>9034.1133333333328</v>
      </c>
      <c r="BA335" s="150">
        <f t="shared" si="455"/>
        <v>36136.453333333331</v>
      </c>
      <c r="BB335" s="210"/>
      <c r="BC335" s="210"/>
      <c r="BD335" s="210"/>
      <c r="BE335" s="210"/>
      <c r="BF335" s="210"/>
      <c r="BG335" s="210"/>
      <c r="BH335" s="217"/>
      <c r="BI335" s="210"/>
      <c r="BJ335" s="210"/>
      <c r="BK335" s="210"/>
      <c r="BL335" s="210"/>
      <c r="BM335" s="208"/>
      <c r="BN335" s="160"/>
      <c r="BO335" s="161"/>
      <c r="BP335" s="161"/>
    </row>
    <row r="336" spans="1:68">
      <c r="A336" s="210"/>
      <c r="B336" s="195" t="s">
        <v>5659</v>
      </c>
      <c r="C336" s="196" t="s">
        <v>5582</v>
      </c>
      <c r="D336" s="146" t="s">
        <v>4692</v>
      </c>
      <c r="E336" s="196" t="s">
        <v>5582</v>
      </c>
      <c r="F336" s="150">
        <v>0</v>
      </c>
      <c r="G336" s="209">
        <v>0</v>
      </c>
      <c r="H336" s="209"/>
      <c r="I336" s="209">
        <v>0</v>
      </c>
      <c r="J336" s="150">
        <v>0</v>
      </c>
      <c r="K336" s="150">
        <v>0</v>
      </c>
      <c r="L336" s="150">
        <f t="shared" si="476"/>
        <v>0</v>
      </c>
      <c r="M336" s="150">
        <v>0</v>
      </c>
      <c r="N336" s="150"/>
      <c r="O336" s="150">
        <v>0</v>
      </c>
      <c r="P336" s="150">
        <v>0</v>
      </c>
      <c r="Q336" s="150"/>
      <c r="R336" s="150">
        <f t="shared" si="471"/>
        <v>0</v>
      </c>
      <c r="S336" s="150">
        <f t="shared" si="456"/>
        <v>0</v>
      </c>
      <c r="T336" s="150"/>
      <c r="U336" s="150">
        <v>0</v>
      </c>
      <c r="V336" s="199">
        <v>0</v>
      </c>
      <c r="W336" s="150">
        <f t="shared" si="472"/>
        <v>0</v>
      </c>
      <c r="X336" s="150">
        <v>0</v>
      </c>
      <c r="Y336" s="150">
        <v>0</v>
      </c>
      <c r="Z336" s="150">
        <v>0</v>
      </c>
      <c r="AA336" s="150">
        <f t="shared" si="457"/>
        <v>0</v>
      </c>
      <c r="AB336" s="150">
        <v>0</v>
      </c>
      <c r="AC336" s="199">
        <v>0</v>
      </c>
      <c r="AD336" s="150">
        <f t="shared" si="473"/>
        <v>0</v>
      </c>
      <c r="AE336" s="150">
        <v>0</v>
      </c>
      <c r="AF336" s="169" t="s">
        <v>4680</v>
      </c>
      <c r="AG336" s="201">
        <v>0</v>
      </c>
      <c r="AH336" s="150">
        <v>0</v>
      </c>
      <c r="AI336" s="150">
        <v>0</v>
      </c>
      <c r="AJ336" s="169">
        <f t="shared" si="458"/>
        <v>0</v>
      </c>
      <c r="AK336" s="201">
        <v>0</v>
      </c>
      <c r="AL336" s="150">
        <v>0</v>
      </c>
      <c r="AM336" s="150">
        <f t="shared" si="474"/>
        <v>0</v>
      </c>
      <c r="AN336" s="153">
        <f t="shared" si="459"/>
        <v>0</v>
      </c>
      <c r="AO336" s="154">
        <f t="shared" si="460"/>
        <v>0</v>
      </c>
      <c r="AP336" s="150">
        <v>0</v>
      </c>
      <c r="AQ336" s="201">
        <v>0</v>
      </c>
      <c r="AR336" s="150"/>
      <c r="AS336" s="150">
        <f t="shared" si="475"/>
        <v>0</v>
      </c>
      <c r="AT336" s="155"/>
      <c r="AU336" s="156">
        <f t="shared" si="453"/>
        <v>0</v>
      </c>
      <c r="AV336" s="156">
        <f t="shared" si="454"/>
        <v>0</v>
      </c>
      <c r="AW336" s="157"/>
      <c r="AX336" s="150">
        <v>0</v>
      </c>
      <c r="AY336" s="150">
        <v>0</v>
      </c>
      <c r="AZ336" s="150"/>
      <c r="BA336" s="150">
        <f t="shared" si="455"/>
        <v>0</v>
      </c>
      <c r="BB336" s="210"/>
      <c r="BC336" s="210"/>
      <c r="BD336" s="210"/>
      <c r="BE336" s="210"/>
      <c r="BF336" s="210"/>
      <c r="BG336" s="210"/>
      <c r="BH336" s="217"/>
      <c r="BI336" s="210"/>
      <c r="BJ336" s="210"/>
      <c r="BK336" s="210"/>
      <c r="BL336" s="210"/>
      <c r="BM336" s="208"/>
      <c r="BN336" s="160"/>
      <c r="BO336" s="161"/>
      <c r="BP336" s="161"/>
    </row>
    <row r="337" spans="1:68" ht="25.5">
      <c r="A337" s="210"/>
      <c r="B337" s="195" t="s">
        <v>5660</v>
      </c>
      <c r="C337" s="196" t="s">
        <v>5584</v>
      </c>
      <c r="D337" s="146" t="s">
        <v>4692</v>
      </c>
      <c r="E337" s="196" t="s">
        <v>5584</v>
      </c>
      <c r="F337" s="150">
        <v>0</v>
      </c>
      <c r="G337" s="209">
        <v>0</v>
      </c>
      <c r="H337" s="209"/>
      <c r="I337" s="209">
        <v>0</v>
      </c>
      <c r="J337" s="150">
        <v>0</v>
      </c>
      <c r="K337" s="150">
        <v>0</v>
      </c>
      <c r="L337" s="150">
        <f t="shared" si="476"/>
        <v>0</v>
      </c>
      <c r="M337" s="150">
        <v>0</v>
      </c>
      <c r="N337" s="150"/>
      <c r="O337" s="150">
        <v>0</v>
      </c>
      <c r="P337" s="150">
        <v>0</v>
      </c>
      <c r="Q337" s="150"/>
      <c r="R337" s="150">
        <f t="shared" si="471"/>
        <v>0</v>
      </c>
      <c r="S337" s="150">
        <f t="shared" si="456"/>
        <v>0</v>
      </c>
      <c r="T337" s="150"/>
      <c r="U337" s="150">
        <v>0</v>
      </c>
      <c r="V337" s="199">
        <v>0</v>
      </c>
      <c r="W337" s="150">
        <f t="shared" si="472"/>
        <v>0</v>
      </c>
      <c r="X337" s="150">
        <v>0</v>
      </c>
      <c r="Y337" s="150">
        <v>0</v>
      </c>
      <c r="Z337" s="150">
        <v>0</v>
      </c>
      <c r="AA337" s="150">
        <f t="shared" si="457"/>
        <v>0</v>
      </c>
      <c r="AB337" s="150">
        <v>0</v>
      </c>
      <c r="AC337" s="199">
        <v>0</v>
      </c>
      <c r="AD337" s="150">
        <f t="shared" si="473"/>
        <v>0</v>
      </c>
      <c r="AE337" s="150">
        <v>0</v>
      </c>
      <c r="AF337" s="169" t="s">
        <v>4680</v>
      </c>
      <c r="AG337" s="201">
        <v>0</v>
      </c>
      <c r="AH337" s="150">
        <v>0</v>
      </c>
      <c r="AI337" s="150">
        <v>0</v>
      </c>
      <c r="AJ337" s="169">
        <f t="shared" si="458"/>
        <v>0</v>
      </c>
      <c r="AK337" s="201">
        <v>0</v>
      </c>
      <c r="AL337" s="150">
        <v>0</v>
      </c>
      <c r="AM337" s="150">
        <f t="shared" si="474"/>
        <v>0</v>
      </c>
      <c r="AN337" s="153">
        <f t="shared" si="459"/>
        <v>0</v>
      </c>
      <c r="AO337" s="154">
        <f t="shared" si="460"/>
        <v>0</v>
      </c>
      <c r="AP337" s="150">
        <v>0</v>
      </c>
      <c r="AQ337" s="201">
        <v>0</v>
      </c>
      <c r="AR337" s="150"/>
      <c r="AS337" s="150">
        <f t="shared" si="475"/>
        <v>0</v>
      </c>
      <c r="AT337" s="155"/>
      <c r="AU337" s="156">
        <f t="shared" si="453"/>
        <v>0</v>
      </c>
      <c r="AV337" s="156">
        <f t="shared" si="454"/>
        <v>0</v>
      </c>
      <c r="AW337" s="157"/>
      <c r="AX337" s="150">
        <v>0</v>
      </c>
      <c r="AY337" s="150">
        <v>0</v>
      </c>
      <c r="AZ337" s="150"/>
      <c r="BA337" s="150">
        <f t="shared" si="455"/>
        <v>0</v>
      </c>
      <c r="BB337" s="210"/>
      <c r="BC337" s="210"/>
      <c r="BD337" s="210"/>
      <c r="BE337" s="210"/>
      <c r="BF337" s="210"/>
      <c r="BG337" s="210"/>
      <c r="BH337" s="217"/>
      <c r="BI337" s="210"/>
      <c r="BJ337" s="210"/>
      <c r="BK337" s="210"/>
      <c r="BL337" s="210"/>
      <c r="BM337" s="208"/>
      <c r="BN337" s="160"/>
      <c r="BO337" s="161"/>
      <c r="BP337" s="161"/>
    </row>
    <row r="338" spans="1:68" ht="25.5">
      <c r="A338" s="210"/>
      <c r="B338" s="195" t="s">
        <v>5661</v>
      </c>
      <c r="C338" s="196" t="s">
        <v>5662</v>
      </c>
      <c r="D338" s="146" t="s">
        <v>4692</v>
      </c>
      <c r="E338" s="196" t="s">
        <v>5662</v>
      </c>
      <c r="F338" s="150">
        <v>1410388.3</v>
      </c>
      <c r="G338" s="209">
        <v>0</v>
      </c>
      <c r="H338" s="209"/>
      <c r="I338" s="209">
        <v>0</v>
      </c>
      <c r="J338" s="150">
        <v>0</v>
      </c>
      <c r="K338" s="150">
        <v>0</v>
      </c>
      <c r="L338" s="150">
        <f t="shared" si="476"/>
        <v>0</v>
      </c>
      <c r="M338" s="150">
        <v>0</v>
      </c>
      <c r="N338" s="150">
        <v>657015.23000000045</v>
      </c>
      <c r="O338" s="150">
        <v>657015.23000000045</v>
      </c>
      <c r="P338" s="150">
        <v>0</v>
      </c>
      <c r="Q338" s="280">
        <v>992393.1</v>
      </c>
      <c r="R338" s="150">
        <f t="shared" si="471"/>
        <v>992393.1</v>
      </c>
      <c r="S338" s="150">
        <f t="shared" si="456"/>
        <v>1323190.7999999998</v>
      </c>
      <c r="T338" s="150"/>
      <c r="U338" s="150">
        <v>0</v>
      </c>
      <c r="V338" s="281">
        <v>1327549.1599999999</v>
      </c>
      <c r="W338" s="150">
        <f t="shared" si="472"/>
        <v>1327549.1599999999</v>
      </c>
      <c r="X338" s="150">
        <v>0</v>
      </c>
      <c r="Y338" s="150">
        <v>1327549.1599999999</v>
      </c>
      <c r="Z338" s="150">
        <v>1327549.1599999999</v>
      </c>
      <c r="AA338" s="150">
        <f t="shared" si="457"/>
        <v>2708.509999996284</v>
      </c>
      <c r="AB338" s="150">
        <v>0</v>
      </c>
      <c r="AC338" s="199">
        <v>1330257.6699999962</v>
      </c>
      <c r="AD338" s="150">
        <f t="shared" si="473"/>
        <v>1330257.6699999962</v>
      </c>
      <c r="AE338" s="200">
        <v>1451790.5</v>
      </c>
      <c r="AF338" s="169" t="s">
        <v>4680</v>
      </c>
      <c r="AG338" s="201">
        <v>0</v>
      </c>
      <c r="AH338" s="200">
        <v>1451790.5</v>
      </c>
      <c r="AI338" s="150">
        <v>1451790.5</v>
      </c>
      <c r="AJ338" s="169">
        <f t="shared" si="458"/>
        <v>0</v>
      </c>
      <c r="AK338" s="201">
        <v>0</v>
      </c>
      <c r="AL338" s="200">
        <v>1451790.5</v>
      </c>
      <c r="AM338" s="150">
        <f t="shared" si="474"/>
        <v>1451790.5</v>
      </c>
      <c r="AN338" s="153">
        <f t="shared" si="459"/>
        <v>-121214.95999999996</v>
      </c>
      <c r="AO338" s="154">
        <f t="shared" si="460"/>
        <v>0</v>
      </c>
      <c r="AP338" s="150">
        <v>1330575.54</v>
      </c>
      <c r="AQ338" s="201">
        <v>1330575.54</v>
      </c>
      <c r="AR338" s="199"/>
      <c r="AS338" s="150">
        <f t="shared" si="475"/>
        <v>1330575.54</v>
      </c>
      <c r="AT338" s="155"/>
      <c r="AU338" s="156">
        <f t="shared" si="453"/>
        <v>121532.8300000038</v>
      </c>
      <c r="AV338" s="156">
        <f t="shared" si="454"/>
        <v>2708.509999996284</v>
      </c>
      <c r="AW338" s="157"/>
      <c r="AX338" s="150">
        <v>1327549.1599999999</v>
      </c>
      <c r="AY338" s="150">
        <v>882091.54</v>
      </c>
      <c r="AZ338" s="280">
        <f>AY338/12*4</f>
        <v>294030.51333333337</v>
      </c>
      <c r="BA338" s="150">
        <f t="shared" si="455"/>
        <v>1176122.0533333335</v>
      </c>
      <c r="BB338" s="210"/>
      <c r="BC338" s="210"/>
      <c r="BD338" s="210"/>
      <c r="BE338" s="210"/>
      <c r="BF338" s="210"/>
      <c r="BG338" s="210"/>
      <c r="BH338" s="217"/>
      <c r="BI338" s="210"/>
      <c r="BJ338" s="210"/>
      <c r="BK338" s="210"/>
      <c r="BL338" s="210"/>
      <c r="BM338" s="208"/>
      <c r="BN338" s="160"/>
      <c r="BO338" s="161"/>
      <c r="BP338" s="161"/>
    </row>
    <row r="339" spans="1:68" ht="25.5">
      <c r="A339" s="210"/>
      <c r="B339" s="195" t="s">
        <v>5663</v>
      </c>
      <c r="C339" s="196" t="s">
        <v>5664</v>
      </c>
      <c r="D339" s="146" t="s">
        <v>4692</v>
      </c>
      <c r="E339" s="196" t="s">
        <v>5664</v>
      </c>
      <c r="F339" s="150">
        <v>0</v>
      </c>
      <c r="G339" s="209">
        <v>0</v>
      </c>
      <c r="H339" s="209"/>
      <c r="I339" s="209">
        <v>0</v>
      </c>
      <c r="J339" s="150">
        <v>0</v>
      </c>
      <c r="K339" s="150">
        <v>0</v>
      </c>
      <c r="L339" s="150">
        <f t="shared" si="476"/>
        <v>0</v>
      </c>
      <c r="M339" s="150">
        <v>0</v>
      </c>
      <c r="N339" s="150"/>
      <c r="O339" s="150">
        <v>0</v>
      </c>
      <c r="P339" s="150">
        <v>0</v>
      </c>
      <c r="Q339" s="150"/>
      <c r="R339" s="150">
        <f t="shared" si="471"/>
        <v>0</v>
      </c>
      <c r="S339" s="150">
        <f t="shared" si="456"/>
        <v>0</v>
      </c>
      <c r="T339" s="150"/>
      <c r="U339" s="150">
        <v>0</v>
      </c>
      <c r="V339" s="199">
        <v>0</v>
      </c>
      <c r="W339" s="150">
        <f t="shared" si="472"/>
        <v>0</v>
      </c>
      <c r="X339" s="150">
        <v>0</v>
      </c>
      <c r="Y339" s="150">
        <v>0</v>
      </c>
      <c r="Z339" s="150">
        <v>0</v>
      </c>
      <c r="AA339" s="150">
        <f t="shared" si="457"/>
        <v>0</v>
      </c>
      <c r="AB339" s="150">
        <v>0</v>
      </c>
      <c r="AC339" s="199">
        <v>0</v>
      </c>
      <c r="AD339" s="150">
        <f t="shared" si="473"/>
        <v>0</v>
      </c>
      <c r="AE339" s="150">
        <v>0</v>
      </c>
      <c r="AF339" s="169" t="s">
        <v>4680</v>
      </c>
      <c r="AG339" s="201">
        <v>0</v>
      </c>
      <c r="AH339" s="150">
        <v>0</v>
      </c>
      <c r="AI339" s="150">
        <v>0</v>
      </c>
      <c r="AJ339" s="169">
        <f t="shared" si="458"/>
        <v>0</v>
      </c>
      <c r="AK339" s="201">
        <v>0</v>
      </c>
      <c r="AL339" s="150">
        <v>0</v>
      </c>
      <c r="AM339" s="150">
        <f t="shared" si="474"/>
        <v>0</v>
      </c>
      <c r="AN339" s="153">
        <f t="shared" si="459"/>
        <v>0</v>
      </c>
      <c r="AO339" s="154">
        <f t="shared" si="460"/>
        <v>0</v>
      </c>
      <c r="AP339" s="150">
        <v>0</v>
      </c>
      <c r="AQ339" s="201">
        <v>0</v>
      </c>
      <c r="AR339" s="150"/>
      <c r="AS339" s="150">
        <f t="shared" si="475"/>
        <v>0</v>
      </c>
      <c r="AT339" s="155"/>
      <c r="AU339" s="156">
        <f t="shared" si="453"/>
        <v>0</v>
      </c>
      <c r="AV339" s="156">
        <f t="shared" si="454"/>
        <v>0</v>
      </c>
      <c r="AW339" s="157"/>
      <c r="AX339" s="150">
        <v>0</v>
      </c>
      <c r="AY339" s="150">
        <v>0</v>
      </c>
      <c r="AZ339" s="150"/>
      <c r="BA339" s="150">
        <f t="shared" si="455"/>
        <v>0</v>
      </c>
      <c r="BB339" s="210"/>
      <c r="BC339" s="210"/>
      <c r="BD339" s="210"/>
      <c r="BE339" s="210"/>
      <c r="BF339" s="210"/>
      <c r="BG339" s="210"/>
      <c r="BH339" s="217"/>
      <c r="BI339" s="210"/>
      <c r="BJ339" s="210"/>
      <c r="BK339" s="210"/>
      <c r="BL339" s="210"/>
      <c r="BM339" s="208"/>
      <c r="BN339" s="160"/>
      <c r="BO339" s="161"/>
      <c r="BP339" s="161"/>
    </row>
    <row r="340" spans="1:68" ht="25.5">
      <c r="A340" s="210"/>
      <c r="B340" s="195" t="s">
        <v>5665</v>
      </c>
      <c r="C340" s="196" t="s">
        <v>5666</v>
      </c>
      <c r="D340" s="146" t="s">
        <v>4692</v>
      </c>
      <c r="E340" s="196" t="s">
        <v>5666</v>
      </c>
      <c r="F340" s="150">
        <v>0</v>
      </c>
      <c r="G340" s="209">
        <v>0</v>
      </c>
      <c r="H340" s="209"/>
      <c r="I340" s="209">
        <v>0</v>
      </c>
      <c r="J340" s="150">
        <v>0</v>
      </c>
      <c r="K340" s="150">
        <v>0</v>
      </c>
      <c r="L340" s="150">
        <f t="shared" si="476"/>
        <v>0</v>
      </c>
      <c r="M340" s="150">
        <v>0</v>
      </c>
      <c r="N340" s="150"/>
      <c r="O340" s="150">
        <v>0</v>
      </c>
      <c r="P340" s="150">
        <v>0</v>
      </c>
      <c r="Q340" s="150"/>
      <c r="R340" s="150">
        <f t="shared" si="471"/>
        <v>0</v>
      </c>
      <c r="S340" s="150">
        <f t="shared" si="456"/>
        <v>0</v>
      </c>
      <c r="T340" s="150"/>
      <c r="U340" s="150">
        <v>0</v>
      </c>
      <c r="V340" s="199">
        <v>0</v>
      </c>
      <c r="W340" s="150">
        <f t="shared" si="472"/>
        <v>0</v>
      </c>
      <c r="X340" s="150">
        <v>0</v>
      </c>
      <c r="Y340" s="150">
        <v>0</v>
      </c>
      <c r="Z340" s="150">
        <v>0</v>
      </c>
      <c r="AA340" s="150">
        <f t="shared" si="457"/>
        <v>0</v>
      </c>
      <c r="AB340" s="150">
        <v>0</v>
      </c>
      <c r="AC340" s="199">
        <v>0</v>
      </c>
      <c r="AD340" s="150">
        <f t="shared" si="473"/>
        <v>0</v>
      </c>
      <c r="AE340" s="150">
        <v>0</v>
      </c>
      <c r="AF340" s="169" t="s">
        <v>4680</v>
      </c>
      <c r="AG340" s="201">
        <v>0</v>
      </c>
      <c r="AH340" s="150">
        <v>0</v>
      </c>
      <c r="AI340" s="150">
        <v>0</v>
      </c>
      <c r="AJ340" s="169">
        <f t="shared" si="458"/>
        <v>0</v>
      </c>
      <c r="AK340" s="201">
        <v>0</v>
      </c>
      <c r="AL340" s="150">
        <v>0</v>
      </c>
      <c r="AM340" s="150">
        <f t="shared" si="474"/>
        <v>0</v>
      </c>
      <c r="AN340" s="153">
        <f t="shared" si="459"/>
        <v>0</v>
      </c>
      <c r="AO340" s="154">
        <f t="shared" si="460"/>
        <v>0</v>
      </c>
      <c r="AP340" s="150">
        <v>0</v>
      </c>
      <c r="AQ340" s="201">
        <v>0</v>
      </c>
      <c r="AR340" s="150"/>
      <c r="AS340" s="150">
        <f t="shared" si="475"/>
        <v>0</v>
      </c>
      <c r="AT340" s="155"/>
      <c r="AU340" s="156">
        <f t="shared" si="453"/>
        <v>0</v>
      </c>
      <c r="AV340" s="156">
        <f t="shared" si="454"/>
        <v>0</v>
      </c>
      <c r="AW340" s="157"/>
      <c r="AX340" s="150">
        <v>0</v>
      </c>
      <c r="AY340" s="150">
        <v>0</v>
      </c>
      <c r="AZ340" s="150"/>
      <c r="BA340" s="150">
        <f t="shared" si="455"/>
        <v>0</v>
      </c>
      <c r="BB340" s="210"/>
      <c r="BC340" s="210"/>
      <c r="BD340" s="210"/>
      <c r="BE340" s="210"/>
      <c r="BF340" s="210"/>
      <c r="BG340" s="210"/>
      <c r="BH340" s="217"/>
      <c r="BI340" s="210"/>
      <c r="BJ340" s="210"/>
      <c r="BK340" s="210"/>
      <c r="BL340" s="210"/>
      <c r="BM340" s="208"/>
      <c r="BN340" s="160"/>
      <c r="BO340" s="161"/>
      <c r="BP340" s="161"/>
    </row>
    <row r="341" spans="1:68" ht="25.5">
      <c r="A341" s="210"/>
      <c r="B341" s="195" t="s">
        <v>5667</v>
      </c>
      <c r="C341" s="196" t="s">
        <v>5668</v>
      </c>
      <c r="D341" s="146" t="s">
        <v>4692</v>
      </c>
      <c r="E341" s="196" t="s">
        <v>5668</v>
      </c>
      <c r="F341" s="150">
        <v>113568.3</v>
      </c>
      <c r="G341" s="209">
        <v>0</v>
      </c>
      <c r="H341" s="209"/>
      <c r="I341" s="209">
        <v>0</v>
      </c>
      <c r="J341" s="150">
        <v>0</v>
      </c>
      <c r="K341" s="150">
        <v>0</v>
      </c>
      <c r="L341" s="150">
        <f t="shared" si="476"/>
        <v>0</v>
      </c>
      <c r="M341" s="150">
        <v>0</v>
      </c>
      <c r="N341" s="150">
        <v>56628.560000000005</v>
      </c>
      <c r="O341" s="150">
        <v>56628.560000000005</v>
      </c>
      <c r="P341" s="150">
        <v>0</v>
      </c>
      <c r="Q341" s="150">
        <v>85253.45</v>
      </c>
      <c r="R341" s="150">
        <f t="shared" si="471"/>
        <v>85253.45</v>
      </c>
      <c r="S341" s="150">
        <f t="shared" si="456"/>
        <v>113671.26666666666</v>
      </c>
      <c r="T341" s="150"/>
      <c r="U341" s="150">
        <v>0</v>
      </c>
      <c r="V341" s="199">
        <v>113568.3</v>
      </c>
      <c r="W341" s="150">
        <f t="shared" si="472"/>
        <v>113568.3</v>
      </c>
      <c r="X341" s="150">
        <v>0</v>
      </c>
      <c r="Y341" s="150">
        <v>113568.3</v>
      </c>
      <c r="Z341" s="150">
        <v>113568.3</v>
      </c>
      <c r="AA341" s="150">
        <f t="shared" si="457"/>
        <v>2582.2999999999884</v>
      </c>
      <c r="AB341" s="150">
        <v>0</v>
      </c>
      <c r="AC341" s="199">
        <v>116150.59999999999</v>
      </c>
      <c r="AD341" s="150">
        <f t="shared" si="473"/>
        <v>116150.59999999999</v>
      </c>
      <c r="AE341" s="279">
        <v>116150.6</v>
      </c>
      <c r="AF341" s="169" t="s">
        <v>4680</v>
      </c>
      <c r="AG341" s="201">
        <v>0</v>
      </c>
      <c r="AH341" s="279">
        <v>116150.6</v>
      </c>
      <c r="AI341" s="150">
        <v>116150.6</v>
      </c>
      <c r="AJ341" s="169">
        <f t="shared" si="458"/>
        <v>0</v>
      </c>
      <c r="AK341" s="201">
        <v>0</v>
      </c>
      <c r="AL341" s="279">
        <v>116150.6</v>
      </c>
      <c r="AM341" s="150">
        <f t="shared" si="474"/>
        <v>116150.6</v>
      </c>
      <c r="AN341" s="153">
        <f t="shared" si="459"/>
        <v>29863.919999999984</v>
      </c>
      <c r="AO341" s="154">
        <f t="shared" si="460"/>
        <v>0</v>
      </c>
      <c r="AP341" s="150">
        <v>146014.51999999999</v>
      </c>
      <c r="AQ341" s="201">
        <v>146014.51999999999</v>
      </c>
      <c r="AR341" s="150"/>
      <c r="AS341" s="150">
        <f t="shared" si="475"/>
        <v>146014.51999999999</v>
      </c>
      <c r="AT341" s="155"/>
      <c r="AU341" s="156">
        <f t="shared" si="453"/>
        <v>0</v>
      </c>
      <c r="AV341" s="156">
        <f t="shared" si="454"/>
        <v>2582.2999999999884</v>
      </c>
      <c r="AW341" s="157"/>
      <c r="AX341" s="150">
        <v>113568.3</v>
      </c>
      <c r="AY341" s="150">
        <v>75919.259999999995</v>
      </c>
      <c r="AZ341" s="150">
        <f>AY341/12*4</f>
        <v>25306.42</v>
      </c>
      <c r="BA341" s="150">
        <f t="shared" si="455"/>
        <v>101225.68</v>
      </c>
      <c r="BB341" s="210"/>
      <c r="BC341" s="210"/>
      <c r="BD341" s="210"/>
      <c r="BE341" s="210"/>
      <c r="BF341" s="210"/>
      <c r="BG341" s="210"/>
      <c r="BH341" s="217"/>
      <c r="BI341" s="210"/>
      <c r="BJ341" s="210"/>
      <c r="BK341" s="210"/>
      <c r="BL341" s="210"/>
      <c r="BM341" s="208"/>
      <c r="BN341" s="160"/>
      <c r="BO341" s="161"/>
      <c r="BP341" s="161"/>
    </row>
    <row r="342" spans="1:68">
      <c r="A342" s="210"/>
      <c r="B342" s="195" t="s">
        <v>5669</v>
      </c>
      <c r="C342" s="196" t="s">
        <v>5590</v>
      </c>
      <c r="D342" s="146" t="s">
        <v>4692</v>
      </c>
      <c r="E342" s="196" t="s">
        <v>5590</v>
      </c>
      <c r="F342" s="150">
        <v>0</v>
      </c>
      <c r="G342" s="209">
        <v>0</v>
      </c>
      <c r="H342" s="209"/>
      <c r="I342" s="209">
        <v>0</v>
      </c>
      <c r="J342" s="150">
        <v>0</v>
      </c>
      <c r="K342" s="150">
        <v>0</v>
      </c>
      <c r="L342" s="150">
        <f t="shared" si="476"/>
        <v>0</v>
      </c>
      <c r="M342" s="150">
        <v>0</v>
      </c>
      <c r="N342" s="150"/>
      <c r="O342" s="150">
        <v>0</v>
      </c>
      <c r="P342" s="150">
        <v>0</v>
      </c>
      <c r="Q342" s="150"/>
      <c r="R342" s="150">
        <f t="shared" si="471"/>
        <v>0</v>
      </c>
      <c r="S342" s="150">
        <f t="shared" si="456"/>
        <v>0</v>
      </c>
      <c r="T342" s="150"/>
      <c r="U342" s="150">
        <v>0</v>
      </c>
      <c r="V342" s="199">
        <v>0</v>
      </c>
      <c r="W342" s="150">
        <f t="shared" si="472"/>
        <v>0</v>
      </c>
      <c r="X342" s="150">
        <v>0</v>
      </c>
      <c r="Y342" s="150">
        <v>0</v>
      </c>
      <c r="Z342" s="150">
        <v>0</v>
      </c>
      <c r="AA342" s="150">
        <f t="shared" si="457"/>
        <v>0</v>
      </c>
      <c r="AB342" s="150">
        <v>0</v>
      </c>
      <c r="AC342" s="199">
        <v>0</v>
      </c>
      <c r="AD342" s="150">
        <f t="shared" si="473"/>
        <v>0</v>
      </c>
      <c r="AE342" s="150">
        <v>0</v>
      </c>
      <c r="AF342" s="169" t="s">
        <v>4680</v>
      </c>
      <c r="AG342" s="201">
        <v>0</v>
      </c>
      <c r="AH342" s="150">
        <v>0</v>
      </c>
      <c r="AI342" s="150">
        <v>0</v>
      </c>
      <c r="AJ342" s="169">
        <f t="shared" si="458"/>
        <v>0</v>
      </c>
      <c r="AK342" s="201">
        <v>0</v>
      </c>
      <c r="AL342" s="150">
        <v>0</v>
      </c>
      <c r="AM342" s="150">
        <f t="shared" si="474"/>
        <v>0</v>
      </c>
      <c r="AN342" s="153">
        <f t="shared" si="459"/>
        <v>0</v>
      </c>
      <c r="AO342" s="154">
        <f t="shared" si="460"/>
        <v>0</v>
      </c>
      <c r="AP342" s="150">
        <v>0</v>
      </c>
      <c r="AQ342" s="201">
        <v>0</v>
      </c>
      <c r="AR342" s="150"/>
      <c r="AS342" s="150">
        <f t="shared" si="475"/>
        <v>0</v>
      </c>
      <c r="AT342" s="155"/>
      <c r="AU342" s="156">
        <f t="shared" si="453"/>
        <v>0</v>
      </c>
      <c r="AV342" s="156">
        <f t="shared" si="454"/>
        <v>0</v>
      </c>
      <c r="AW342" s="157"/>
      <c r="AX342" s="150">
        <v>0</v>
      </c>
      <c r="AY342" s="150">
        <v>0</v>
      </c>
      <c r="AZ342" s="150"/>
      <c r="BA342" s="150">
        <f t="shared" si="455"/>
        <v>0</v>
      </c>
      <c r="BB342" s="210"/>
      <c r="BC342" s="210"/>
      <c r="BD342" s="210"/>
      <c r="BE342" s="210"/>
      <c r="BF342" s="210"/>
      <c r="BG342" s="210"/>
      <c r="BH342" s="217"/>
      <c r="BI342" s="210"/>
      <c r="BJ342" s="210"/>
      <c r="BK342" s="210"/>
      <c r="BL342" s="210"/>
      <c r="BM342" s="208"/>
      <c r="BN342" s="160"/>
      <c r="BO342" s="161"/>
      <c r="BP342" s="161"/>
    </row>
    <row r="343" spans="1:68" ht="25.5">
      <c r="A343" s="210"/>
      <c r="B343" s="195" t="s">
        <v>5670</v>
      </c>
      <c r="C343" s="196" t="s">
        <v>5592</v>
      </c>
      <c r="D343" s="146" t="s">
        <v>4692</v>
      </c>
      <c r="E343" s="196" t="s">
        <v>5592</v>
      </c>
      <c r="F343" s="150">
        <v>0</v>
      </c>
      <c r="G343" s="209">
        <v>0</v>
      </c>
      <c r="H343" s="209"/>
      <c r="I343" s="209">
        <v>0</v>
      </c>
      <c r="J343" s="150">
        <v>0</v>
      </c>
      <c r="K343" s="150">
        <v>0</v>
      </c>
      <c r="L343" s="150">
        <f t="shared" si="476"/>
        <v>0</v>
      </c>
      <c r="M343" s="150">
        <v>0</v>
      </c>
      <c r="N343" s="150"/>
      <c r="O343" s="150">
        <v>0</v>
      </c>
      <c r="P343" s="150">
        <v>0</v>
      </c>
      <c r="Q343" s="150"/>
      <c r="R343" s="150">
        <f t="shared" si="471"/>
        <v>0</v>
      </c>
      <c r="S343" s="150">
        <f t="shared" si="456"/>
        <v>0</v>
      </c>
      <c r="T343" s="150"/>
      <c r="U343" s="150">
        <v>0</v>
      </c>
      <c r="V343" s="199">
        <v>0</v>
      </c>
      <c r="W343" s="150">
        <f t="shared" si="472"/>
        <v>0</v>
      </c>
      <c r="X343" s="150">
        <v>0</v>
      </c>
      <c r="Y343" s="150">
        <v>0</v>
      </c>
      <c r="Z343" s="150">
        <v>0</v>
      </c>
      <c r="AA343" s="150">
        <f t="shared" si="457"/>
        <v>0</v>
      </c>
      <c r="AB343" s="150">
        <v>0</v>
      </c>
      <c r="AC343" s="199">
        <v>0</v>
      </c>
      <c r="AD343" s="150">
        <f t="shared" si="473"/>
        <v>0</v>
      </c>
      <c r="AE343" s="150">
        <v>0</v>
      </c>
      <c r="AF343" s="169" t="s">
        <v>4680</v>
      </c>
      <c r="AG343" s="201">
        <v>0</v>
      </c>
      <c r="AH343" s="150">
        <v>0</v>
      </c>
      <c r="AI343" s="150">
        <v>0</v>
      </c>
      <c r="AJ343" s="169">
        <f t="shared" si="458"/>
        <v>0</v>
      </c>
      <c r="AK343" s="201">
        <v>0</v>
      </c>
      <c r="AL343" s="150">
        <v>0</v>
      </c>
      <c r="AM343" s="150">
        <f t="shared" si="474"/>
        <v>0</v>
      </c>
      <c r="AN343" s="153">
        <f t="shared" si="459"/>
        <v>0</v>
      </c>
      <c r="AO343" s="154">
        <f t="shared" si="460"/>
        <v>0</v>
      </c>
      <c r="AP343" s="150">
        <v>0</v>
      </c>
      <c r="AQ343" s="201">
        <v>0</v>
      </c>
      <c r="AR343" s="150"/>
      <c r="AS343" s="150">
        <f t="shared" si="475"/>
        <v>0</v>
      </c>
      <c r="AT343" s="155"/>
      <c r="AU343" s="156">
        <f t="shared" si="453"/>
        <v>0</v>
      </c>
      <c r="AV343" s="156">
        <f t="shared" si="454"/>
        <v>0</v>
      </c>
      <c r="AW343" s="157"/>
      <c r="AX343" s="150">
        <v>0</v>
      </c>
      <c r="AY343" s="150">
        <v>0</v>
      </c>
      <c r="AZ343" s="150"/>
      <c r="BA343" s="150">
        <f t="shared" si="455"/>
        <v>0</v>
      </c>
      <c r="BB343" s="210"/>
      <c r="BC343" s="210"/>
      <c r="BD343" s="210"/>
      <c r="BE343" s="210"/>
      <c r="BF343" s="210"/>
      <c r="BG343" s="210"/>
      <c r="BH343" s="217"/>
      <c r="BI343" s="210"/>
      <c r="BJ343" s="210"/>
      <c r="BK343" s="210"/>
      <c r="BL343" s="210"/>
      <c r="BM343" s="208"/>
      <c r="BN343" s="160"/>
      <c r="BO343" s="161"/>
      <c r="BP343" s="161"/>
    </row>
    <row r="344" spans="1:68">
      <c r="A344" s="210"/>
      <c r="B344" s="195" t="s">
        <v>5671</v>
      </c>
      <c r="C344" s="196" t="s">
        <v>5594</v>
      </c>
      <c r="D344" s="146" t="s">
        <v>4692</v>
      </c>
      <c r="E344" s="196" t="s">
        <v>5594</v>
      </c>
      <c r="F344" s="150">
        <v>32166.85</v>
      </c>
      <c r="G344" s="209">
        <v>0</v>
      </c>
      <c r="H344" s="209"/>
      <c r="I344" s="209">
        <v>0</v>
      </c>
      <c r="J344" s="150">
        <v>0</v>
      </c>
      <c r="K344" s="150">
        <v>0</v>
      </c>
      <c r="L344" s="150">
        <f t="shared" si="476"/>
        <v>0</v>
      </c>
      <c r="M344" s="150">
        <v>0</v>
      </c>
      <c r="N344" s="150">
        <v>16039.35</v>
      </c>
      <c r="O344" s="150">
        <v>16039.35</v>
      </c>
      <c r="P344" s="150">
        <v>0</v>
      </c>
      <c r="Q344" s="150">
        <v>24147</v>
      </c>
      <c r="R344" s="150">
        <f t="shared" si="471"/>
        <v>24147</v>
      </c>
      <c r="S344" s="150">
        <f t="shared" si="456"/>
        <v>32196</v>
      </c>
      <c r="T344" s="150"/>
      <c r="U344" s="150">
        <v>0</v>
      </c>
      <c r="V344" s="199">
        <v>32166.85</v>
      </c>
      <c r="W344" s="150">
        <f t="shared" si="472"/>
        <v>32166.85</v>
      </c>
      <c r="X344" s="150">
        <v>0</v>
      </c>
      <c r="Y344" s="150">
        <v>32166.85</v>
      </c>
      <c r="Z344" s="150">
        <v>32166.85</v>
      </c>
      <c r="AA344" s="150">
        <f t="shared" si="457"/>
        <v>0</v>
      </c>
      <c r="AB344" s="150">
        <v>0</v>
      </c>
      <c r="AC344" s="199">
        <v>32166.85</v>
      </c>
      <c r="AD344" s="150">
        <f t="shared" si="473"/>
        <v>32166.85</v>
      </c>
      <c r="AE344" s="279">
        <v>32166.85</v>
      </c>
      <c r="AF344" s="169" t="s">
        <v>4680</v>
      </c>
      <c r="AG344" s="201">
        <v>0</v>
      </c>
      <c r="AH344" s="279">
        <v>32166.85</v>
      </c>
      <c r="AI344" s="150">
        <v>32166.85</v>
      </c>
      <c r="AJ344" s="169">
        <f t="shared" si="458"/>
        <v>0</v>
      </c>
      <c r="AK344" s="201">
        <v>0</v>
      </c>
      <c r="AL344" s="279">
        <v>32166.85</v>
      </c>
      <c r="AM344" s="150">
        <f t="shared" si="474"/>
        <v>32166.85</v>
      </c>
      <c r="AN344" s="153">
        <f t="shared" si="459"/>
        <v>0</v>
      </c>
      <c r="AO344" s="154">
        <f t="shared" si="460"/>
        <v>0</v>
      </c>
      <c r="AP344" s="150">
        <v>32166.85</v>
      </c>
      <c r="AQ344" s="201">
        <v>32166.85</v>
      </c>
      <c r="AR344" s="150"/>
      <c r="AS344" s="150">
        <f t="shared" si="475"/>
        <v>32166.85</v>
      </c>
      <c r="AT344" s="155"/>
      <c r="AU344" s="156">
        <f t="shared" si="453"/>
        <v>0</v>
      </c>
      <c r="AV344" s="156">
        <f t="shared" si="454"/>
        <v>0</v>
      </c>
      <c r="AW344" s="157"/>
      <c r="AX344" s="150">
        <v>32166.85</v>
      </c>
      <c r="AY344" s="150">
        <v>21503.21</v>
      </c>
      <c r="AZ344" s="150">
        <f>AY344/12*4</f>
        <v>7167.7366666666667</v>
      </c>
      <c r="BA344" s="150">
        <f t="shared" si="455"/>
        <v>28670.946666666667</v>
      </c>
      <c r="BB344" s="210"/>
      <c r="BC344" s="210"/>
      <c r="BD344" s="210"/>
      <c r="BE344" s="210"/>
      <c r="BF344" s="210"/>
      <c r="BG344" s="210"/>
      <c r="BH344" s="217"/>
      <c r="BI344" s="210"/>
      <c r="BJ344" s="210"/>
      <c r="BK344" s="210"/>
      <c r="BL344" s="210"/>
      <c r="BM344" s="208"/>
      <c r="BN344" s="160"/>
      <c r="BO344" s="161"/>
      <c r="BP344" s="161"/>
    </row>
    <row r="345" spans="1:68" ht="25.5">
      <c r="A345" s="210"/>
      <c r="B345" s="195" t="s">
        <v>5672</v>
      </c>
      <c r="C345" s="196" t="s">
        <v>5596</v>
      </c>
      <c r="D345" s="146" t="s">
        <v>4692</v>
      </c>
      <c r="E345" s="196" t="s">
        <v>5596</v>
      </c>
      <c r="F345" s="150">
        <v>6001.27</v>
      </c>
      <c r="G345" s="209">
        <v>0</v>
      </c>
      <c r="H345" s="209"/>
      <c r="I345" s="209">
        <v>0</v>
      </c>
      <c r="J345" s="150">
        <v>0</v>
      </c>
      <c r="K345" s="150">
        <v>0</v>
      </c>
      <c r="L345" s="150">
        <f t="shared" si="476"/>
        <v>0</v>
      </c>
      <c r="M345" s="150">
        <v>0</v>
      </c>
      <c r="N345" s="150"/>
      <c r="O345" s="150">
        <v>0</v>
      </c>
      <c r="P345" s="150">
        <v>0</v>
      </c>
      <c r="Q345" s="150"/>
      <c r="R345" s="150">
        <f t="shared" si="471"/>
        <v>0</v>
      </c>
      <c r="S345" s="150">
        <f t="shared" si="456"/>
        <v>0</v>
      </c>
      <c r="T345" s="150"/>
      <c r="U345" s="150">
        <v>0</v>
      </c>
      <c r="V345" s="199">
        <v>0</v>
      </c>
      <c r="W345" s="150">
        <f t="shared" si="472"/>
        <v>0</v>
      </c>
      <c r="X345" s="150">
        <v>0</v>
      </c>
      <c r="Y345" s="150">
        <v>0</v>
      </c>
      <c r="Z345" s="150">
        <v>0</v>
      </c>
      <c r="AA345" s="150">
        <f t="shared" si="457"/>
        <v>0</v>
      </c>
      <c r="AB345" s="150">
        <v>0</v>
      </c>
      <c r="AC345" s="199">
        <v>0</v>
      </c>
      <c r="AD345" s="150">
        <f t="shared" si="473"/>
        <v>0</v>
      </c>
      <c r="AE345" s="150">
        <v>0</v>
      </c>
      <c r="AF345" s="169" t="s">
        <v>4680</v>
      </c>
      <c r="AG345" s="201">
        <v>0</v>
      </c>
      <c r="AH345" s="150">
        <v>0</v>
      </c>
      <c r="AI345" s="150">
        <v>0</v>
      </c>
      <c r="AJ345" s="169">
        <f t="shared" si="458"/>
        <v>0</v>
      </c>
      <c r="AK345" s="201">
        <v>0</v>
      </c>
      <c r="AL345" s="150">
        <v>0</v>
      </c>
      <c r="AM345" s="150">
        <f t="shared" si="474"/>
        <v>0</v>
      </c>
      <c r="AN345" s="153">
        <f t="shared" si="459"/>
        <v>0</v>
      </c>
      <c r="AO345" s="154">
        <f t="shared" si="460"/>
        <v>0</v>
      </c>
      <c r="AP345" s="150">
        <v>0</v>
      </c>
      <c r="AQ345" s="201">
        <v>0</v>
      </c>
      <c r="AR345" s="150"/>
      <c r="AS345" s="150">
        <f t="shared" si="475"/>
        <v>0</v>
      </c>
      <c r="AT345" s="155"/>
      <c r="AU345" s="156">
        <f t="shared" si="453"/>
        <v>0</v>
      </c>
      <c r="AV345" s="156">
        <f t="shared" si="454"/>
        <v>0</v>
      </c>
      <c r="AW345" s="157"/>
      <c r="AX345" s="150">
        <v>0</v>
      </c>
      <c r="AY345" s="150">
        <v>0</v>
      </c>
      <c r="AZ345" s="150"/>
      <c r="BA345" s="150">
        <f t="shared" si="455"/>
        <v>0</v>
      </c>
      <c r="BB345" s="210"/>
      <c r="BC345" s="210"/>
      <c r="BD345" s="210"/>
      <c r="BE345" s="210"/>
      <c r="BF345" s="210"/>
      <c r="BG345" s="210"/>
      <c r="BH345" s="217"/>
      <c r="BI345" s="210"/>
      <c r="BJ345" s="210"/>
      <c r="BK345" s="210"/>
      <c r="BL345" s="210"/>
      <c r="BM345" s="208"/>
      <c r="BN345" s="160"/>
      <c r="BO345" s="161"/>
      <c r="BP345" s="161"/>
    </row>
    <row r="346" spans="1:68" ht="25.5">
      <c r="A346" s="210"/>
      <c r="B346" s="195" t="s">
        <v>5673</v>
      </c>
      <c r="C346" s="196" t="s">
        <v>5674</v>
      </c>
      <c r="D346" s="146" t="s">
        <v>4692</v>
      </c>
      <c r="E346" s="196" t="s">
        <v>5674</v>
      </c>
      <c r="F346" s="150">
        <v>0</v>
      </c>
      <c r="G346" s="209">
        <v>0</v>
      </c>
      <c r="H346" s="209"/>
      <c r="I346" s="209">
        <v>0</v>
      </c>
      <c r="J346" s="150">
        <v>0</v>
      </c>
      <c r="K346" s="150">
        <v>0</v>
      </c>
      <c r="L346" s="150">
        <f t="shared" si="476"/>
        <v>0</v>
      </c>
      <c r="M346" s="150">
        <v>0</v>
      </c>
      <c r="N346" s="150"/>
      <c r="O346" s="150">
        <v>0</v>
      </c>
      <c r="P346" s="150">
        <v>0</v>
      </c>
      <c r="Q346" s="150"/>
      <c r="R346" s="150">
        <f t="shared" si="471"/>
        <v>0</v>
      </c>
      <c r="S346" s="150">
        <f t="shared" si="456"/>
        <v>0</v>
      </c>
      <c r="T346" s="150"/>
      <c r="U346" s="150">
        <v>0</v>
      </c>
      <c r="V346" s="199">
        <v>0</v>
      </c>
      <c r="W346" s="150">
        <f t="shared" si="472"/>
        <v>0</v>
      </c>
      <c r="X346" s="150">
        <v>0</v>
      </c>
      <c r="Y346" s="150">
        <v>0</v>
      </c>
      <c r="Z346" s="150">
        <v>0</v>
      </c>
      <c r="AA346" s="150">
        <f t="shared" si="457"/>
        <v>0</v>
      </c>
      <c r="AB346" s="150">
        <v>0</v>
      </c>
      <c r="AC346" s="199">
        <v>0</v>
      </c>
      <c r="AD346" s="150">
        <f t="shared" si="473"/>
        <v>0</v>
      </c>
      <c r="AE346" s="150">
        <v>0</v>
      </c>
      <c r="AF346" s="169" t="s">
        <v>4680</v>
      </c>
      <c r="AG346" s="201">
        <v>0</v>
      </c>
      <c r="AH346" s="150">
        <v>0</v>
      </c>
      <c r="AI346" s="150">
        <v>0</v>
      </c>
      <c r="AJ346" s="169">
        <f t="shared" si="458"/>
        <v>0</v>
      </c>
      <c r="AK346" s="201">
        <v>0</v>
      </c>
      <c r="AL346" s="150">
        <v>0</v>
      </c>
      <c r="AM346" s="150">
        <f t="shared" si="474"/>
        <v>0</v>
      </c>
      <c r="AN346" s="153">
        <f t="shared" si="459"/>
        <v>0</v>
      </c>
      <c r="AO346" s="154">
        <f t="shared" si="460"/>
        <v>0</v>
      </c>
      <c r="AP346" s="150">
        <v>0</v>
      </c>
      <c r="AQ346" s="201">
        <v>0</v>
      </c>
      <c r="AR346" s="150"/>
      <c r="AS346" s="150">
        <f t="shared" si="475"/>
        <v>0</v>
      </c>
      <c r="AT346" s="155"/>
      <c r="AU346" s="156">
        <f t="shared" si="453"/>
        <v>0</v>
      </c>
      <c r="AV346" s="156">
        <f t="shared" si="454"/>
        <v>0</v>
      </c>
      <c r="AW346" s="157"/>
      <c r="AX346" s="150">
        <v>0</v>
      </c>
      <c r="AY346" s="150">
        <v>0</v>
      </c>
      <c r="AZ346" s="150"/>
      <c r="BA346" s="150">
        <f t="shared" si="455"/>
        <v>0</v>
      </c>
      <c r="BB346" s="210"/>
      <c r="BC346" s="210"/>
      <c r="BD346" s="210"/>
      <c r="BE346" s="210"/>
      <c r="BF346" s="210"/>
      <c r="BG346" s="210"/>
      <c r="BH346" s="217"/>
      <c r="BI346" s="210"/>
      <c r="BJ346" s="210"/>
      <c r="BK346" s="210"/>
      <c r="BL346" s="210"/>
      <c r="BM346" s="208"/>
      <c r="BN346" s="160"/>
      <c r="BO346" s="161"/>
      <c r="BP346" s="161"/>
    </row>
    <row r="347" spans="1:68" ht="25.5">
      <c r="A347" s="210"/>
      <c r="B347" s="195" t="s">
        <v>5675</v>
      </c>
      <c r="C347" s="196" t="s">
        <v>5600</v>
      </c>
      <c r="D347" s="146" t="s">
        <v>4692</v>
      </c>
      <c r="E347" s="196" t="s">
        <v>5600</v>
      </c>
      <c r="F347" s="150">
        <v>125</v>
      </c>
      <c r="G347" s="209">
        <v>0</v>
      </c>
      <c r="H347" s="209"/>
      <c r="I347" s="209">
        <v>0</v>
      </c>
      <c r="J347" s="150">
        <v>0</v>
      </c>
      <c r="K347" s="150">
        <v>0</v>
      </c>
      <c r="L347" s="150">
        <f t="shared" si="476"/>
        <v>0</v>
      </c>
      <c r="M347" s="150">
        <v>0</v>
      </c>
      <c r="N347" s="150">
        <v>62.33</v>
      </c>
      <c r="O347" s="150">
        <v>62.33</v>
      </c>
      <c r="P347" s="150">
        <v>0</v>
      </c>
      <c r="Q347" s="150">
        <v>93.84</v>
      </c>
      <c r="R347" s="150">
        <f t="shared" si="471"/>
        <v>93.84</v>
      </c>
      <c r="S347" s="150">
        <f t="shared" si="456"/>
        <v>125.12</v>
      </c>
      <c r="T347" s="150"/>
      <c r="U347" s="150">
        <v>0</v>
      </c>
      <c r="V347" s="199">
        <v>125</v>
      </c>
      <c r="W347" s="150">
        <f t="shared" si="472"/>
        <v>125</v>
      </c>
      <c r="X347" s="150">
        <v>0</v>
      </c>
      <c r="Y347" s="150">
        <v>125</v>
      </c>
      <c r="Z347" s="150">
        <v>125</v>
      </c>
      <c r="AA347" s="150">
        <f t="shared" si="457"/>
        <v>0</v>
      </c>
      <c r="AB347" s="150">
        <v>0</v>
      </c>
      <c r="AC347" s="199">
        <v>125</v>
      </c>
      <c r="AD347" s="150">
        <f t="shared" si="473"/>
        <v>125</v>
      </c>
      <c r="AE347" s="279">
        <v>125</v>
      </c>
      <c r="AF347" s="169" t="s">
        <v>4680</v>
      </c>
      <c r="AG347" s="201">
        <v>0</v>
      </c>
      <c r="AH347" s="279">
        <v>125</v>
      </c>
      <c r="AI347" s="150">
        <v>125</v>
      </c>
      <c r="AJ347" s="169">
        <f t="shared" si="458"/>
        <v>0</v>
      </c>
      <c r="AK347" s="201">
        <v>0</v>
      </c>
      <c r="AL347" s="279">
        <v>125</v>
      </c>
      <c r="AM347" s="150">
        <f t="shared" si="474"/>
        <v>125</v>
      </c>
      <c r="AN347" s="153">
        <f t="shared" si="459"/>
        <v>0</v>
      </c>
      <c r="AO347" s="154">
        <f t="shared" si="460"/>
        <v>0</v>
      </c>
      <c r="AP347" s="150">
        <v>125</v>
      </c>
      <c r="AQ347" s="201">
        <v>125</v>
      </c>
      <c r="AR347" s="150"/>
      <c r="AS347" s="150">
        <f t="shared" si="475"/>
        <v>125</v>
      </c>
      <c r="AT347" s="155"/>
      <c r="AU347" s="156">
        <f t="shared" si="453"/>
        <v>0</v>
      </c>
      <c r="AV347" s="156">
        <f t="shared" si="454"/>
        <v>0</v>
      </c>
      <c r="AW347" s="157"/>
      <c r="AX347" s="150">
        <v>125</v>
      </c>
      <c r="AY347" s="150">
        <v>83.56</v>
      </c>
      <c r="AZ347" s="150">
        <f>AY347/12*4</f>
        <v>27.853333333333335</v>
      </c>
      <c r="BA347" s="150">
        <f t="shared" si="455"/>
        <v>111.41333333333334</v>
      </c>
      <c r="BB347" s="210"/>
      <c r="BC347" s="210"/>
      <c r="BD347" s="210"/>
      <c r="BE347" s="210"/>
      <c r="BF347" s="210"/>
      <c r="BG347" s="210"/>
      <c r="BH347" s="217"/>
      <c r="BI347" s="210"/>
      <c r="BJ347" s="210"/>
      <c r="BK347" s="210"/>
      <c r="BL347" s="210"/>
      <c r="BM347" s="208"/>
      <c r="BN347" s="160"/>
      <c r="BO347" s="161"/>
      <c r="BP347" s="161"/>
    </row>
    <row r="348" spans="1:68">
      <c r="A348" s="210"/>
      <c r="B348" s="195" t="s">
        <v>5676</v>
      </c>
      <c r="C348" s="196" t="s">
        <v>5602</v>
      </c>
      <c r="D348" s="146" t="s">
        <v>4692</v>
      </c>
      <c r="E348" s="196" t="s">
        <v>5602</v>
      </c>
      <c r="F348" s="150">
        <v>0</v>
      </c>
      <c r="G348" s="209">
        <v>0</v>
      </c>
      <c r="H348" s="209"/>
      <c r="I348" s="209">
        <v>0</v>
      </c>
      <c r="J348" s="150">
        <v>0</v>
      </c>
      <c r="K348" s="150">
        <v>0</v>
      </c>
      <c r="L348" s="150">
        <f t="shared" si="476"/>
        <v>0</v>
      </c>
      <c r="M348" s="150">
        <v>0</v>
      </c>
      <c r="N348" s="150"/>
      <c r="O348" s="150">
        <v>0</v>
      </c>
      <c r="P348" s="150">
        <v>0</v>
      </c>
      <c r="Q348" s="150"/>
      <c r="R348" s="150">
        <f t="shared" si="471"/>
        <v>0</v>
      </c>
      <c r="S348" s="150">
        <f t="shared" si="456"/>
        <v>0</v>
      </c>
      <c r="T348" s="150"/>
      <c r="U348" s="150">
        <v>0</v>
      </c>
      <c r="V348" s="199">
        <v>0</v>
      </c>
      <c r="W348" s="150">
        <f t="shared" si="472"/>
        <v>0</v>
      </c>
      <c r="X348" s="150">
        <v>0</v>
      </c>
      <c r="Y348" s="150">
        <v>0</v>
      </c>
      <c r="Z348" s="150">
        <v>0</v>
      </c>
      <c r="AA348" s="150">
        <f t="shared" si="457"/>
        <v>0</v>
      </c>
      <c r="AB348" s="150">
        <v>0</v>
      </c>
      <c r="AC348" s="199">
        <v>0</v>
      </c>
      <c r="AD348" s="150">
        <f t="shared" si="473"/>
        <v>0</v>
      </c>
      <c r="AE348" s="150">
        <v>0</v>
      </c>
      <c r="AF348" s="169" t="s">
        <v>4680</v>
      </c>
      <c r="AG348" s="201">
        <v>0</v>
      </c>
      <c r="AH348" s="150">
        <v>0</v>
      </c>
      <c r="AI348" s="150">
        <v>0</v>
      </c>
      <c r="AJ348" s="169">
        <f t="shared" si="458"/>
        <v>0</v>
      </c>
      <c r="AK348" s="201">
        <v>0</v>
      </c>
      <c r="AL348" s="150">
        <v>0</v>
      </c>
      <c r="AM348" s="150">
        <f t="shared" si="474"/>
        <v>0</v>
      </c>
      <c r="AN348" s="153">
        <f t="shared" si="459"/>
        <v>0</v>
      </c>
      <c r="AO348" s="154">
        <f t="shared" si="460"/>
        <v>0</v>
      </c>
      <c r="AP348" s="150">
        <v>0</v>
      </c>
      <c r="AQ348" s="201">
        <v>0</v>
      </c>
      <c r="AR348" s="150"/>
      <c r="AS348" s="150">
        <f t="shared" si="475"/>
        <v>0</v>
      </c>
      <c r="AT348" s="155"/>
      <c r="AU348" s="156">
        <f t="shared" si="453"/>
        <v>0</v>
      </c>
      <c r="AV348" s="156">
        <f t="shared" si="454"/>
        <v>0</v>
      </c>
      <c r="AW348" s="157"/>
      <c r="AX348" s="150">
        <v>0</v>
      </c>
      <c r="AY348" s="150">
        <v>0</v>
      </c>
      <c r="AZ348" s="150"/>
      <c r="BA348" s="150">
        <f t="shared" si="455"/>
        <v>0</v>
      </c>
      <c r="BB348" s="210"/>
      <c r="BC348" s="210"/>
      <c r="BD348" s="210"/>
      <c r="BE348" s="210"/>
      <c r="BF348" s="210"/>
      <c r="BG348" s="210"/>
      <c r="BH348" s="217"/>
      <c r="BI348" s="210"/>
      <c r="BJ348" s="210"/>
      <c r="BK348" s="210"/>
      <c r="BL348" s="210"/>
      <c r="BM348" s="208"/>
      <c r="BN348" s="160"/>
      <c r="BO348" s="161"/>
      <c r="BP348" s="161"/>
    </row>
    <row r="349" spans="1:68">
      <c r="A349" s="210"/>
      <c r="B349" s="195" t="s">
        <v>5677</v>
      </c>
      <c r="C349" s="196" t="s">
        <v>5604</v>
      </c>
      <c r="D349" s="146" t="s">
        <v>4692</v>
      </c>
      <c r="E349" s="196" t="s">
        <v>5604</v>
      </c>
      <c r="F349" s="150">
        <v>0</v>
      </c>
      <c r="G349" s="209">
        <v>0</v>
      </c>
      <c r="H349" s="209"/>
      <c r="I349" s="209">
        <v>0</v>
      </c>
      <c r="J349" s="150">
        <v>0</v>
      </c>
      <c r="K349" s="150">
        <v>0</v>
      </c>
      <c r="L349" s="150">
        <f t="shared" si="476"/>
        <v>0</v>
      </c>
      <c r="M349" s="150">
        <v>0</v>
      </c>
      <c r="N349" s="150"/>
      <c r="O349" s="150">
        <v>0</v>
      </c>
      <c r="P349" s="150">
        <v>0</v>
      </c>
      <c r="Q349" s="150"/>
      <c r="R349" s="150">
        <f t="shared" si="471"/>
        <v>0</v>
      </c>
      <c r="S349" s="150">
        <f t="shared" si="456"/>
        <v>0</v>
      </c>
      <c r="T349" s="150"/>
      <c r="U349" s="150">
        <v>0</v>
      </c>
      <c r="V349" s="199">
        <v>0</v>
      </c>
      <c r="W349" s="150">
        <f t="shared" si="472"/>
        <v>0</v>
      </c>
      <c r="X349" s="150">
        <v>0</v>
      </c>
      <c r="Y349" s="150">
        <v>0</v>
      </c>
      <c r="Z349" s="150">
        <v>0</v>
      </c>
      <c r="AA349" s="150">
        <f t="shared" si="457"/>
        <v>0</v>
      </c>
      <c r="AB349" s="150">
        <v>0</v>
      </c>
      <c r="AC349" s="199">
        <v>0</v>
      </c>
      <c r="AD349" s="150">
        <f t="shared" si="473"/>
        <v>0</v>
      </c>
      <c r="AE349" s="150">
        <v>0</v>
      </c>
      <c r="AF349" s="169" t="s">
        <v>4680</v>
      </c>
      <c r="AG349" s="201">
        <v>0</v>
      </c>
      <c r="AH349" s="150">
        <v>0</v>
      </c>
      <c r="AI349" s="150">
        <v>0</v>
      </c>
      <c r="AJ349" s="169">
        <f t="shared" si="458"/>
        <v>0</v>
      </c>
      <c r="AK349" s="201">
        <v>0</v>
      </c>
      <c r="AL349" s="150">
        <v>0</v>
      </c>
      <c r="AM349" s="150">
        <f t="shared" si="474"/>
        <v>0</v>
      </c>
      <c r="AN349" s="153">
        <f t="shared" si="459"/>
        <v>0</v>
      </c>
      <c r="AO349" s="154">
        <f t="shared" si="460"/>
        <v>0</v>
      </c>
      <c r="AP349" s="150">
        <v>0</v>
      </c>
      <c r="AQ349" s="201">
        <v>0</v>
      </c>
      <c r="AR349" s="150"/>
      <c r="AS349" s="150">
        <f t="shared" si="475"/>
        <v>0</v>
      </c>
      <c r="AT349" s="155"/>
      <c r="AU349" s="156">
        <f t="shared" si="453"/>
        <v>0</v>
      </c>
      <c r="AV349" s="156">
        <f t="shared" si="454"/>
        <v>0</v>
      </c>
      <c r="AW349" s="157"/>
      <c r="AX349" s="150">
        <v>0</v>
      </c>
      <c r="AY349" s="150">
        <v>0</v>
      </c>
      <c r="AZ349" s="150"/>
      <c r="BA349" s="150">
        <f t="shared" si="455"/>
        <v>0</v>
      </c>
      <c r="BB349" s="210"/>
      <c r="BC349" s="210"/>
      <c r="BD349" s="210"/>
      <c r="BE349" s="210"/>
      <c r="BF349" s="210"/>
      <c r="BG349" s="210"/>
      <c r="BH349" s="217"/>
      <c r="BI349" s="210"/>
      <c r="BJ349" s="210"/>
      <c r="BK349" s="210"/>
      <c r="BL349" s="210"/>
      <c r="BM349" s="208"/>
      <c r="BN349" s="160"/>
      <c r="BO349" s="161"/>
      <c r="BP349" s="161"/>
    </row>
    <row r="350" spans="1:68" ht="25.5">
      <c r="A350" s="210"/>
      <c r="B350" s="195" t="s">
        <v>5678</v>
      </c>
      <c r="C350" s="196" t="s">
        <v>5606</v>
      </c>
      <c r="D350" s="146" t="s">
        <v>4692</v>
      </c>
      <c r="E350" s="196" t="s">
        <v>5606</v>
      </c>
      <c r="F350" s="150">
        <v>584734.24</v>
      </c>
      <c r="G350" s="209">
        <v>0</v>
      </c>
      <c r="H350" s="209"/>
      <c r="I350" s="209">
        <v>0</v>
      </c>
      <c r="J350" s="150">
        <v>0</v>
      </c>
      <c r="K350" s="150">
        <v>0</v>
      </c>
      <c r="L350" s="150">
        <f t="shared" si="476"/>
        <v>0</v>
      </c>
      <c r="M350" s="150">
        <v>0</v>
      </c>
      <c r="N350" s="150">
        <v>315446.32</v>
      </c>
      <c r="O350" s="150">
        <v>315446.32</v>
      </c>
      <c r="P350" s="150">
        <v>0</v>
      </c>
      <c r="Q350" s="150">
        <v>474899.7</v>
      </c>
      <c r="R350" s="150">
        <f t="shared" si="471"/>
        <v>474899.7</v>
      </c>
      <c r="S350" s="150">
        <f t="shared" si="456"/>
        <v>633199.6</v>
      </c>
      <c r="T350" s="150"/>
      <c r="U350" s="150">
        <v>0</v>
      </c>
      <c r="V350" s="199">
        <v>632626.03</v>
      </c>
      <c r="W350" s="150">
        <f t="shared" si="472"/>
        <v>632626.03</v>
      </c>
      <c r="X350" s="150">
        <v>0</v>
      </c>
      <c r="Y350" s="150">
        <v>632626.03</v>
      </c>
      <c r="Z350" s="150">
        <v>632626.03</v>
      </c>
      <c r="AA350" s="150">
        <f t="shared" si="457"/>
        <v>0</v>
      </c>
      <c r="AB350" s="150">
        <v>0</v>
      </c>
      <c r="AC350" s="199">
        <v>632626.03</v>
      </c>
      <c r="AD350" s="150">
        <f t="shared" si="473"/>
        <v>632626.03</v>
      </c>
      <c r="AE350" s="279">
        <v>632626.03</v>
      </c>
      <c r="AF350" s="169" t="s">
        <v>4680</v>
      </c>
      <c r="AG350" s="201">
        <v>0</v>
      </c>
      <c r="AH350" s="279">
        <v>632626.03</v>
      </c>
      <c r="AI350" s="150">
        <v>632626.03</v>
      </c>
      <c r="AJ350" s="169">
        <f t="shared" si="458"/>
        <v>0</v>
      </c>
      <c r="AK350" s="201">
        <v>0</v>
      </c>
      <c r="AL350" s="279">
        <v>632626.03</v>
      </c>
      <c r="AM350" s="150">
        <f t="shared" si="474"/>
        <v>632626.03</v>
      </c>
      <c r="AN350" s="153">
        <f t="shared" si="459"/>
        <v>78639.760000000009</v>
      </c>
      <c r="AO350" s="154">
        <f t="shared" si="460"/>
        <v>0</v>
      </c>
      <c r="AP350" s="150">
        <v>711265.79</v>
      </c>
      <c r="AQ350" s="201">
        <v>711265.79</v>
      </c>
      <c r="AR350" s="150"/>
      <c r="AS350" s="150">
        <f t="shared" si="475"/>
        <v>711265.79</v>
      </c>
      <c r="AT350" s="155"/>
      <c r="AU350" s="156">
        <f t="shared" si="453"/>
        <v>0</v>
      </c>
      <c r="AV350" s="156">
        <f t="shared" si="454"/>
        <v>0</v>
      </c>
      <c r="AW350" s="157"/>
      <c r="AX350" s="150">
        <v>632626.03</v>
      </c>
      <c r="AY350" s="150">
        <v>422904.17</v>
      </c>
      <c r="AZ350" s="150">
        <f>AY350/12*4</f>
        <v>140968.05666666667</v>
      </c>
      <c r="BA350" s="150">
        <f t="shared" si="455"/>
        <v>563872.22666666668</v>
      </c>
      <c r="BB350" s="210"/>
      <c r="BC350" s="210"/>
      <c r="BD350" s="210"/>
      <c r="BE350" s="210"/>
      <c r="BF350" s="210"/>
      <c r="BG350" s="210"/>
      <c r="BH350" s="217"/>
      <c r="BI350" s="210"/>
      <c r="BJ350" s="210"/>
      <c r="BK350" s="210"/>
      <c r="BL350" s="210"/>
      <c r="BM350" s="208"/>
      <c r="BN350" s="160"/>
      <c r="BO350" s="161"/>
      <c r="BP350" s="161"/>
    </row>
    <row r="351" spans="1:68">
      <c r="A351" s="210"/>
      <c r="B351" s="195" t="s">
        <v>5679</v>
      </c>
      <c r="C351" s="196" t="s">
        <v>5608</v>
      </c>
      <c r="D351" s="146" t="s">
        <v>4692</v>
      </c>
      <c r="E351" s="196" t="s">
        <v>5608</v>
      </c>
      <c r="F351" s="150">
        <v>0</v>
      </c>
      <c r="G351" s="209">
        <v>0</v>
      </c>
      <c r="H351" s="209"/>
      <c r="I351" s="209">
        <v>0</v>
      </c>
      <c r="J351" s="150">
        <v>0</v>
      </c>
      <c r="K351" s="150">
        <v>0</v>
      </c>
      <c r="L351" s="150">
        <f t="shared" si="476"/>
        <v>0</v>
      </c>
      <c r="M351" s="150">
        <v>0</v>
      </c>
      <c r="N351" s="150"/>
      <c r="O351" s="150">
        <v>0</v>
      </c>
      <c r="P351" s="150">
        <v>0</v>
      </c>
      <c r="Q351" s="150"/>
      <c r="R351" s="150">
        <f t="shared" si="471"/>
        <v>0</v>
      </c>
      <c r="S351" s="150">
        <f t="shared" si="456"/>
        <v>0</v>
      </c>
      <c r="T351" s="150"/>
      <c r="U351" s="150">
        <v>0</v>
      </c>
      <c r="V351" s="199">
        <v>0</v>
      </c>
      <c r="W351" s="150">
        <f t="shared" si="472"/>
        <v>0</v>
      </c>
      <c r="X351" s="150">
        <v>0</v>
      </c>
      <c r="Y351" s="150">
        <v>0</v>
      </c>
      <c r="Z351" s="150">
        <v>0</v>
      </c>
      <c r="AA351" s="150">
        <f t="shared" si="457"/>
        <v>0</v>
      </c>
      <c r="AB351" s="150">
        <v>0</v>
      </c>
      <c r="AC351" s="199">
        <v>0</v>
      </c>
      <c r="AD351" s="150">
        <f t="shared" si="473"/>
        <v>0</v>
      </c>
      <c r="AE351" s="150">
        <v>0</v>
      </c>
      <c r="AF351" s="169" t="s">
        <v>4680</v>
      </c>
      <c r="AG351" s="201">
        <v>0</v>
      </c>
      <c r="AH351" s="150">
        <v>0</v>
      </c>
      <c r="AI351" s="150">
        <v>0</v>
      </c>
      <c r="AJ351" s="169">
        <f t="shared" si="458"/>
        <v>0</v>
      </c>
      <c r="AK351" s="201">
        <v>0</v>
      </c>
      <c r="AL351" s="150">
        <v>0</v>
      </c>
      <c r="AM351" s="150">
        <f t="shared" si="474"/>
        <v>0</v>
      </c>
      <c r="AN351" s="153">
        <f t="shared" si="459"/>
        <v>0</v>
      </c>
      <c r="AO351" s="154">
        <f t="shared" si="460"/>
        <v>0</v>
      </c>
      <c r="AP351" s="150">
        <v>0</v>
      </c>
      <c r="AQ351" s="201">
        <v>0</v>
      </c>
      <c r="AR351" s="150"/>
      <c r="AS351" s="150">
        <f t="shared" si="475"/>
        <v>0</v>
      </c>
      <c r="AT351" s="155"/>
      <c r="AU351" s="156">
        <f t="shared" si="453"/>
        <v>0</v>
      </c>
      <c r="AV351" s="156">
        <f t="shared" si="454"/>
        <v>0</v>
      </c>
      <c r="AW351" s="157"/>
      <c r="AX351" s="150">
        <v>0</v>
      </c>
      <c r="AY351" s="150">
        <v>0</v>
      </c>
      <c r="AZ351" s="150"/>
      <c r="BA351" s="150">
        <f t="shared" si="455"/>
        <v>0</v>
      </c>
      <c r="BB351" s="210"/>
      <c r="BC351" s="210"/>
      <c r="BD351" s="210"/>
      <c r="BE351" s="210"/>
      <c r="BF351" s="210"/>
      <c r="BG351" s="210"/>
      <c r="BH351" s="217"/>
      <c r="BI351" s="210"/>
      <c r="BJ351" s="210"/>
      <c r="BK351" s="210"/>
      <c r="BL351" s="210"/>
      <c r="BM351" s="208"/>
      <c r="BN351" s="160"/>
      <c r="BO351" s="161"/>
      <c r="BP351" s="161"/>
    </row>
    <row r="352" spans="1:68">
      <c r="A352" s="210"/>
      <c r="B352" s="195" t="s">
        <v>5680</v>
      </c>
      <c r="C352" s="196" t="s">
        <v>5610</v>
      </c>
      <c r="D352" s="146" t="s">
        <v>4692</v>
      </c>
      <c r="E352" s="196" t="s">
        <v>5610</v>
      </c>
      <c r="F352" s="150">
        <v>0</v>
      </c>
      <c r="G352" s="209">
        <v>0</v>
      </c>
      <c r="H352" s="209"/>
      <c r="I352" s="209">
        <v>0</v>
      </c>
      <c r="J352" s="150">
        <v>0</v>
      </c>
      <c r="K352" s="150">
        <v>0</v>
      </c>
      <c r="L352" s="150">
        <f t="shared" si="476"/>
        <v>0</v>
      </c>
      <c r="M352" s="150">
        <v>0</v>
      </c>
      <c r="N352" s="150"/>
      <c r="O352" s="150">
        <v>0</v>
      </c>
      <c r="P352" s="150">
        <v>0</v>
      </c>
      <c r="Q352" s="150"/>
      <c r="R352" s="150">
        <f t="shared" si="471"/>
        <v>0</v>
      </c>
      <c r="S352" s="150">
        <f t="shared" si="456"/>
        <v>0</v>
      </c>
      <c r="T352" s="150"/>
      <c r="U352" s="150">
        <v>0</v>
      </c>
      <c r="V352" s="199">
        <v>0</v>
      </c>
      <c r="W352" s="150">
        <f t="shared" si="472"/>
        <v>0</v>
      </c>
      <c r="X352" s="150">
        <v>0</v>
      </c>
      <c r="Y352" s="150">
        <v>0</v>
      </c>
      <c r="Z352" s="150">
        <v>0</v>
      </c>
      <c r="AA352" s="150">
        <f t="shared" si="457"/>
        <v>0</v>
      </c>
      <c r="AB352" s="150">
        <v>0</v>
      </c>
      <c r="AC352" s="199">
        <v>0</v>
      </c>
      <c r="AD352" s="150">
        <f t="shared" si="473"/>
        <v>0</v>
      </c>
      <c r="AE352" s="150">
        <v>0</v>
      </c>
      <c r="AF352" s="169" t="s">
        <v>4680</v>
      </c>
      <c r="AG352" s="201">
        <v>0</v>
      </c>
      <c r="AH352" s="150">
        <v>0</v>
      </c>
      <c r="AI352" s="150">
        <v>0</v>
      </c>
      <c r="AJ352" s="169">
        <f t="shared" si="458"/>
        <v>0</v>
      </c>
      <c r="AK352" s="201">
        <v>0</v>
      </c>
      <c r="AL352" s="150">
        <v>0</v>
      </c>
      <c r="AM352" s="150">
        <f t="shared" si="474"/>
        <v>0</v>
      </c>
      <c r="AN352" s="153">
        <f t="shared" si="459"/>
        <v>0</v>
      </c>
      <c r="AO352" s="154">
        <f t="shared" si="460"/>
        <v>0</v>
      </c>
      <c r="AP352" s="150">
        <v>0</v>
      </c>
      <c r="AQ352" s="201">
        <v>0</v>
      </c>
      <c r="AR352" s="150"/>
      <c r="AS352" s="150">
        <f t="shared" si="475"/>
        <v>0</v>
      </c>
      <c r="AT352" s="155"/>
      <c r="AU352" s="156">
        <f t="shared" si="453"/>
        <v>0</v>
      </c>
      <c r="AV352" s="156">
        <f t="shared" si="454"/>
        <v>0</v>
      </c>
      <c r="AW352" s="157"/>
      <c r="AX352" s="150">
        <v>0</v>
      </c>
      <c r="AY352" s="150">
        <v>0</v>
      </c>
      <c r="AZ352" s="150"/>
      <c r="BA352" s="150">
        <f t="shared" si="455"/>
        <v>0</v>
      </c>
      <c r="BB352" s="210"/>
      <c r="BC352" s="210"/>
      <c r="BD352" s="210"/>
      <c r="BE352" s="210"/>
      <c r="BF352" s="210"/>
      <c r="BG352" s="210"/>
      <c r="BH352" s="217"/>
      <c r="BI352" s="210"/>
      <c r="BJ352" s="210"/>
      <c r="BK352" s="210"/>
      <c r="BL352" s="210"/>
      <c r="BM352" s="208"/>
      <c r="BN352" s="160"/>
      <c r="BO352" s="161"/>
      <c r="BP352" s="161"/>
    </row>
    <row r="353" spans="1:68" ht="24">
      <c r="A353" s="210"/>
      <c r="B353" s="195" t="s">
        <v>5681</v>
      </c>
      <c r="C353" s="196" t="s">
        <v>5612</v>
      </c>
      <c r="D353" s="146" t="s">
        <v>4692</v>
      </c>
      <c r="E353" s="196" t="s">
        <v>5612</v>
      </c>
      <c r="F353" s="150">
        <v>175534.9</v>
      </c>
      <c r="G353" s="209">
        <v>0</v>
      </c>
      <c r="H353" s="209"/>
      <c r="I353" s="209">
        <v>0</v>
      </c>
      <c r="J353" s="150">
        <v>0</v>
      </c>
      <c r="K353" s="150">
        <v>0</v>
      </c>
      <c r="L353" s="150">
        <f t="shared" si="476"/>
        <v>0</v>
      </c>
      <c r="M353" s="150">
        <v>0</v>
      </c>
      <c r="N353" s="150">
        <v>172535.33999999988</v>
      </c>
      <c r="O353" s="150">
        <v>172535.33999999988</v>
      </c>
      <c r="P353" s="150">
        <v>0</v>
      </c>
      <c r="Q353" s="150">
        <v>262544.61</v>
      </c>
      <c r="R353" s="150">
        <f t="shared" si="471"/>
        <v>262544.61</v>
      </c>
      <c r="S353" s="150">
        <f t="shared" si="456"/>
        <v>350059.48</v>
      </c>
      <c r="T353" s="150"/>
      <c r="U353" s="150">
        <v>0</v>
      </c>
      <c r="V353" s="199">
        <v>352102.88</v>
      </c>
      <c r="W353" s="150">
        <f t="shared" si="472"/>
        <v>352102.88</v>
      </c>
      <c r="X353" s="150">
        <v>0</v>
      </c>
      <c r="Y353" s="150">
        <v>352102.88</v>
      </c>
      <c r="Z353" s="150">
        <v>352102.88</v>
      </c>
      <c r="AA353" s="150">
        <f t="shared" si="457"/>
        <v>-282.94999999960419</v>
      </c>
      <c r="AB353" s="150">
        <v>0</v>
      </c>
      <c r="AC353" s="199">
        <v>351819.9300000004</v>
      </c>
      <c r="AD353" s="150">
        <f t="shared" si="473"/>
        <v>351819.9300000004</v>
      </c>
      <c r="AE353" s="240">
        <v>247281.7</v>
      </c>
      <c r="AF353" s="169" t="s">
        <v>4680</v>
      </c>
      <c r="AG353" s="201">
        <v>0</v>
      </c>
      <c r="AH353" s="240">
        <v>247281.7</v>
      </c>
      <c r="AI353" s="150">
        <v>247281.7</v>
      </c>
      <c r="AJ353" s="169">
        <f t="shared" si="458"/>
        <v>0</v>
      </c>
      <c r="AK353" s="201">
        <v>0</v>
      </c>
      <c r="AL353" s="240">
        <v>247281.7</v>
      </c>
      <c r="AM353" s="150">
        <f t="shared" si="474"/>
        <v>247281.7</v>
      </c>
      <c r="AN353" s="153">
        <f t="shared" si="459"/>
        <v>-102106.08000000002</v>
      </c>
      <c r="AO353" s="154">
        <f t="shared" si="460"/>
        <v>0</v>
      </c>
      <c r="AP353" s="150">
        <v>145175.62</v>
      </c>
      <c r="AQ353" s="201">
        <v>145175.62</v>
      </c>
      <c r="AR353" s="150"/>
      <c r="AS353" s="150">
        <f t="shared" si="475"/>
        <v>145175.62</v>
      </c>
      <c r="AT353" s="155" t="s">
        <v>5682</v>
      </c>
      <c r="AU353" s="156">
        <f t="shared" si="453"/>
        <v>-104538.23000000039</v>
      </c>
      <c r="AV353" s="156">
        <f t="shared" si="454"/>
        <v>-282.94999999960419</v>
      </c>
      <c r="AW353" s="157"/>
      <c r="AX353" s="150">
        <v>352102.88</v>
      </c>
      <c r="AY353" s="150">
        <v>231421.72</v>
      </c>
      <c r="AZ353" s="150">
        <f>AY353/12*4</f>
        <v>77140.573333333334</v>
      </c>
      <c r="BA353" s="150">
        <f t="shared" si="455"/>
        <v>308562.29333333333</v>
      </c>
      <c r="BB353" s="210"/>
      <c r="BC353" s="210"/>
      <c r="BD353" s="210"/>
      <c r="BE353" s="210"/>
      <c r="BF353" s="210"/>
      <c r="BG353" s="210"/>
      <c r="BH353" s="217"/>
      <c r="BI353" s="210"/>
      <c r="BJ353" s="210"/>
      <c r="BK353" s="210"/>
      <c r="BL353" s="210"/>
      <c r="BM353" s="208"/>
      <c r="BN353" s="160"/>
      <c r="BO353" s="161"/>
      <c r="BP353" s="161"/>
    </row>
    <row r="354" spans="1:68" ht="25.5">
      <c r="A354" s="210"/>
      <c r="B354" s="195" t="s">
        <v>5683</v>
      </c>
      <c r="C354" s="196" t="s">
        <v>5614</v>
      </c>
      <c r="D354" s="146" t="s">
        <v>4692</v>
      </c>
      <c r="E354" s="196" t="s">
        <v>5614</v>
      </c>
      <c r="F354" s="150">
        <v>0</v>
      </c>
      <c r="G354" s="209">
        <v>0</v>
      </c>
      <c r="H354" s="209"/>
      <c r="I354" s="209">
        <v>0</v>
      </c>
      <c r="J354" s="150">
        <v>0</v>
      </c>
      <c r="K354" s="150">
        <v>0</v>
      </c>
      <c r="L354" s="150">
        <f t="shared" si="476"/>
        <v>0</v>
      </c>
      <c r="M354" s="150">
        <v>0</v>
      </c>
      <c r="N354" s="150"/>
      <c r="O354" s="150">
        <v>0</v>
      </c>
      <c r="P354" s="150">
        <v>0</v>
      </c>
      <c r="Q354" s="150"/>
      <c r="R354" s="150">
        <f t="shared" si="471"/>
        <v>0</v>
      </c>
      <c r="S354" s="150">
        <f t="shared" si="456"/>
        <v>0</v>
      </c>
      <c r="T354" s="150"/>
      <c r="U354" s="150">
        <v>0</v>
      </c>
      <c r="V354" s="199">
        <v>0</v>
      </c>
      <c r="W354" s="150">
        <f t="shared" si="472"/>
        <v>0</v>
      </c>
      <c r="X354" s="150">
        <v>0</v>
      </c>
      <c r="Y354" s="150">
        <v>0</v>
      </c>
      <c r="Z354" s="150">
        <v>0</v>
      </c>
      <c r="AA354" s="150">
        <f t="shared" si="457"/>
        <v>0</v>
      </c>
      <c r="AB354" s="150">
        <v>0</v>
      </c>
      <c r="AC354" s="199">
        <v>0</v>
      </c>
      <c r="AD354" s="150">
        <f t="shared" si="473"/>
        <v>0</v>
      </c>
      <c r="AE354" s="150">
        <v>0</v>
      </c>
      <c r="AF354" s="169" t="s">
        <v>4680</v>
      </c>
      <c r="AG354" s="201">
        <v>0</v>
      </c>
      <c r="AH354" s="150">
        <v>0</v>
      </c>
      <c r="AI354" s="150">
        <v>0</v>
      </c>
      <c r="AJ354" s="169">
        <f t="shared" si="458"/>
        <v>0</v>
      </c>
      <c r="AK354" s="201">
        <v>0</v>
      </c>
      <c r="AL354" s="150">
        <v>0</v>
      </c>
      <c r="AM354" s="150">
        <f t="shared" si="474"/>
        <v>0</v>
      </c>
      <c r="AN354" s="153">
        <f t="shared" si="459"/>
        <v>0</v>
      </c>
      <c r="AO354" s="154">
        <f t="shared" si="460"/>
        <v>0</v>
      </c>
      <c r="AP354" s="150">
        <v>0</v>
      </c>
      <c r="AQ354" s="201">
        <v>0</v>
      </c>
      <c r="AR354" s="150"/>
      <c r="AS354" s="150">
        <f t="shared" si="475"/>
        <v>0</v>
      </c>
      <c r="AT354" s="155"/>
      <c r="AU354" s="156">
        <f t="shared" si="453"/>
        <v>0</v>
      </c>
      <c r="AV354" s="156">
        <f t="shared" si="454"/>
        <v>0</v>
      </c>
      <c r="AW354" s="157"/>
      <c r="AX354" s="150">
        <v>0</v>
      </c>
      <c r="AY354" s="150">
        <v>0</v>
      </c>
      <c r="AZ354" s="150"/>
      <c r="BA354" s="150">
        <f t="shared" si="455"/>
        <v>0</v>
      </c>
      <c r="BB354" s="210"/>
      <c r="BC354" s="210"/>
      <c r="BD354" s="210"/>
      <c r="BE354" s="210"/>
      <c r="BF354" s="210"/>
      <c r="BG354" s="210"/>
      <c r="BH354" s="217"/>
      <c r="BI354" s="210"/>
      <c r="BJ354" s="210"/>
      <c r="BK354" s="210"/>
      <c r="BL354" s="210"/>
      <c r="BM354" s="208"/>
      <c r="BN354" s="160"/>
      <c r="BO354" s="161"/>
      <c r="BP354" s="161"/>
    </row>
    <row r="355" spans="1:68" ht="25.5">
      <c r="A355" s="210"/>
      <c r="B355" s="195" t="s">
        <v>5684</v>
      </c>
      <c r="C355" s="196" t="s">
        <v>5616</v>
      </c>
      <c r="D355" s="146" t="s">
        <v>4692</v>
      </c>
      <c r="E355" s="196" t="s">
        <v>5616</v>
      </c>
      <c r="F355" s="150">
        <v>380245.43</v>
      </c>
      <c r="G355" s="209">
        <v>0</v>
      </c>
      <c r="H355" s="209"/>
      <c r="I355" s="209">
        <v>0</v>
      </c>
      <c r="J355" s="150">
        <v>0</v>
      </c>
      <c r="K355" s="150">
        <v>0</v>
      </c>
      <c r="L355" s="150">
        <f t="shared" si="476"/>
        <v>0</v>
      </c>
      <c r="M355" s="150">
        <v>0</v>
      </c>
      <c r="N355" s="150">
        <v>143250.49</v>
      </c>
      <c r="O355" s="150">
        <v>143250.49</v>
      </c>
      <c r="P355" s="150">
        <v>0</v>
      </c>
      <c r="Q355" s="150">
        <f>203703.68+12757.51</f>
        <v>216461.19</v>
      </c>
      <c r="R355" s="150">
        <f t="shared" si="471"/>
        <v>216461.19</v>
      </c>
      <c r="S355" s="150">
        <f t="shared" si="456"/>
        <v>288614.92</v>
      </c>
      <c r="T355" s="150"/>
      <c r="U355" s="150">
        <v>0</v>
      </c>
      <c r="V355" s="199">
        <f>273242.69+16994.6</f>
        <v>290237.28999999998</v>
      </c>
      <c r="W355" s="150">
        <f t="shared" si="472"/>
        <v>290237.28999999998</v>
      </c>
      <c r="X355" s="150">
        <v>0</v>
      </c>
      <c r="Y355" s="150">
        <v>290237.28999999998</v>
      </c>
      <c r="Z355" s="150">
        <v>290237.28999999998</v>
      </c>
      <c r="AA355" s="150">
        <f t="shared" si="457"/>
        <v>0</v>
      </c>
      <c r="AB355" s="150">
        <v>0</v>
      </c>
      <c r="AC355" s="199">
        <v>290237.28999999998</v>
      </c>
      <c r="AD355" s="150">
        <f t="shared" si="473"/>
        <v>290237.28999999998</v>
      </c>
      <c r="AE355" s="279">
        <v>263781.69000000006</v>
      </c>
      <c r="AF355" s="169" t="s">
        <v>4680</v>
      </c>
      <c r="AG355" s="201">
        <v>0</v>
      </c>
      <c r="AH355" s="279">
        <v>263781.69000000006</v>
      </c>
      <c r="AI355" s="150">
        <v>263781.69000000006</v>
      </c>
      <c r="AJ355" s="169">
        <f t="shared" si="458"/>
        <v>0</v>
      </c>
      <c r="AK355" s="201">
        <v>0</v>
      </c>
      <c r="AL355" s="279">
        <v>263781.69000000006</v>
      </c>
      <c r="AM355" s="150">
        <f t="shared" si="474"/>
        <v>263781.69000000006</v>
      </c>
      <c r="AN355" s="153">
        <f t="shared" si="459"/>
        <v>9460.9999999999418</v>
      </c>
      <c r="AO355" s="154">
        <f t="shared" si="460"/>
        <v>0</v>
      </c>
      <c r="AP355" s="150">
        <v>273242.69</v>
      </c>
      <c r="AQ355" s="201">
        <v>273242.69</v>
      </c>
      <c r="AR355" s="150"/>
      <c r="AS355" s="150">
        <f t="shared" si="475"/>
        <v>273242.69</v>
      </c>
      <c r="AT355" s="155"/>
      <c r="AU355" s="156">
        <f t="shared" si="453"/>
        <v>-26455.599999999919</v>
      </c>
      <c r="AV355" s="156">
        <f t="shared" si="454"/>
        <v>0</v>
      </c>
      <c r="AW355" s="157"/>
      <c r="AX355" s="150">
        <v>290237.28999999998</v>
      </c>
      <c r="AY355" s="150">
        <f>181232.57+11360.72</f>
        <v>192593.29</v>
      </c>
      <c r="AZ355" s="150">
        <f>AY355/12*4</f>
        <v>64197.763333333336</v>
      </c>
      <c r="BA355" s="150">
        <f t="shared" si="455"/>
        <v>256791.05333333334</v>
      </c>
      <c r="BB355" s="210"/>
      <c r="BC355" s="210"/>
      <c r="BD355" s="210"/>
      <c r="BE355" s="210"/>
      <c r="BF355" s="210"/>
      <c r="BG355" s="210"/>
      <c r="BH355" s="217"/>
      <c r="BI355" s="210"/>
      <c r="BJ355" s="210"/>
      <c r="BK355" s="210"/>
      <c r="BL355" s="210"/>
      <c r="BM355" s="208"/>
      <c r="BN355" s="160"/>
      <c r="BO355" s="161"/>
      <c r="BP355" s="161"/>
    </row>
    <row r="356" spans="1:68" ht="25.5">
      <c r="A356" s="210"/>
      <c r="B356" s="195" t="s">
        <v>5685</v>
      </c>
      <c r="C356" s="196" t="s">
        <v>5618</v>
      </c>
      <c r="D356" s="146" t="s">
        <v>4692</v>
      </c>
      <c r="E356" s="196" t="s">
        <v>5618</v>
      </c>
      <c r="F356" s="150">
        <v>8016.5</v>
      </c>
      <c r="G356" s="209">
        <v>0</v>
      </c>
      <c r="H356" s="209"/>
      <c r="I356" s="209">
        <v>0</v>
      </c>
      <c r="J356" s="150">
        <v>0</v>
      </c>
      <c r="K356" s="150">
        <v>0</v>
      </c>
      <c r="L356" s="150">
        <f t="shared" si="476"/>
        <v>0</v>
      </c>
      <c r="M356" s="150">
        <v>0</v>
      </c>
      <c r="N356" s="150">
        <v>6944.01</v>
      </c>
      <c r="O356" s="150">
        <v>6944.01</v>
      </c>
      <c r="P356" s="150">
        <v>0</v>
      </c>
      <c r="Q356" s="150">
        <v>11530.27</v>
      </c>
      <c r="R356" s="150">
        <f t="shared" si="471"/>
        <v>11530.27</v>
      </c>
      <c r="S356" s="150">
        <f t="shared" si="456"/>
        <v>15373.693333333333</v>
      </c>
      <c r="T356" s="150"/>
      <c r="U356" s="150">
        <v>0</v>
      </c>
      <c r="V356" s="199">
        <v>16082.64</v>
      </c>
      <c r="W356" s="150">
        <f t="shared" si="472"/>
        <v>16082.64</v>
      </c>
      <c r="X356" s="150">
        <v>0</v>
      </c>
      <c r="Y356" s="150">
        <v>16082.64</v>
      </c>
      <c r="Z356" s="150">
        <v>16082.64</v>
      </c>
      <c r="AA356" s="150">
        <f t="shared" si="457"/>
        <v>0</v>
      </c>
      <c r="AB356" s="150">
        <v>0</v>
      </c>
      <c r="AC356" s="199">
        <v>16082.64</v>
      </c>
      <c r="AD356" s="150">
        <f t="shared" si="473"/>
        <v>16082.64</v>
      </c>
      <c r="AE356" s="279">
        <v>16082.64</v>
      </c>
      <c r="AF356" s="169" t="s">
        <v>4680</v>
      </c>
      <c r="AG356" s="201">
        <v>0</v>
      </c>
      <c r="AH356" s="279">
        <v>16082.64</v>
      </c>
      <c r="AI356" s="150">
        <v>16082.64</v>
      </c>
      <c r="AJ356" s="169">
        <f t="shared" si="458"/>
        <v>0</v>
      </c>
      <c r="AK356" s="201">
        <v>0</v>
      </c>
      <c r="AL356" s="279">
        <v>16082.64</v>
      </c>
      <c r="AM356" s="150">
        <f t="shared" si="474"/>
        <v>16082.64</v>
      </c>
      <c r="AN356" s="153">
        <f t="shared" si="459"/>
        <v>0</v>
      </c>
      <c r="AO356" s="154">
        <f t="shared" si="460"/>
        <v>0</v>
      </c>
      <c r="AP356" s="150">
        <v>16082.64</v>
      </c>
      <c r="AQ356" s="201">
        <v>16082.64</v>
      </c>
      <c r="AR356" s="150"/>
      <c r="AS356" s="150">
        <f t="shared" si="475"/>
        <v>16082.64</v>
      </c>
      <c r="AT356" s="155"/>
      <c r="AU356" s="156">
        <f t="shared" si="453"/>
        <v>0</v>
      </c>
      <c r="AV356" s="156">
        <f t="shared" si="454"/>
        <v>0</v>
      </c>
      <c r="AW356" s="157"/>
      <c r="AX356" s="150">
        <v>16082.64</v>
      </c>
      <c r="AY356" s="150">
        <v>10034.75</v>
      </c>
      <c r="AZ356" s="150">
        <f>AY356/12*4</f>
        <v>3344.9166666666665</v>
      </c>
      <c r="BA356" s="150">
        <f t="shared" si="455"/>
        <v>13379.666666666666</v>
      </c>
      <c r="BB356" s="210"/>
      <c r="BC356" s="210"/>
      <c r="BD356" s="210"/>
      <c r="BE356" s="210"/>
      <c r="BF356" s="210"/>
      <c r="BG356" s="210"/>
      <c r="BH356" s="217"/>
      <c r="BI356" s="210"/>
      <c r="BJ356" s="210"/>
      <c r="BK356" s="210"/>
      <c r="BL356" s="210"/>
      <c r="BM356" s="208"/>
      <c r="BN356" s="160"/>
      <c r="BO356" s="161"/>
      <c r="BP356" s="161"/>
    </row>
    <row r="357" spans="1:68" ht="25.5">
      <c r="A357" s="210"/>
      <c r="B357" s="195" t="s">
        <v>5686</v>
      </c>
      <c r="C357" s="196" t="s">
        <v>5620</v>
      </c>
      <c r="D357" s="146" t="s">
        <v>4692</v>
      </c>
      <c r="E357" s="196" t="s">
        <v>5620</v>
      </c>
      <c r="F357" s="150">
        <v>718.55</v>
      </c>
      <c r="G357" s="209">
        <v>0</v>
      </c>
      <c r="H357" s="209"/>
      <c r="I357" s="209">
        <v>0</v>
      </c>
      <c r="J357" s="150">
        <v>0</v>
      </c>
      <c r="K357" s="150">
        <v>0</v>
      </c>
      <c r="L357" s="150">
        <f t="shared" si="476"/>
        <v>0</v>
      </c>
      <c r="M357" s="150">
        <v>0</v>
      </c>
      <c r="N357" s="150">
        <v>902</v>
      </c>
      <c r="O357" s="150">
        <v>902</v>
      </c>
      <c r="P357" s="150">
        <v>0</v>
      </c>
      <c r="Q357" s="150">
        <v>1357.95</v>
      </c>
      <c r="R357" s="150">
        <f t="shared" si="471"/>
        <v>1357.95</v>
      </c>
      <c r="S357" s="150">
        <f t="shared" si="456"/>
        <v>1810.6</v>
      </c>
      <c r="T357" s="150"/>
      <c r="U357" s="150">
        <v>0</v>
      </c>
      <c r="V357" s="199">
        <v>1808.97</v>
      </c>
      <c r="W357" s="150">
        <f t="shared" si="472"/>
        <v>1808.97</v>
      </c>
      <c r="X357" s="150">
        <v>0</v>
      </c>
      <c r="Y357" s="150">
        <v>1808.97</v>
      </c>
      <c r="Z357" s="150">
        <v>1808.97</v>
      </c>
      <c r="AA357" s="150">
        <f t="shared" si="457"/>
        <v>190.33999999999992</v>
      </c>
      <c r="AB357" s="150">
        <v>0</v>
      </c>
      <c r="AC357" s="199">
        <v>1999.31</v>
      </c>
      <c r="AD357" s="150">
        <f t="shared" si="473"/>
        <v>1999.31</v>
      </c>
      <c r="AE357" s="279">
        <v>1396.9099999999999</v>
      </c>
      <c r="AF357" s="169" t="s">
        <v>4680</v>
      </c>
      <c r="AG357" s="201">
        <v>0</v>
      </c>
      <c r="AH357" s="279">
        <v>1396.9099999999999</v>
      </c>
      <c r="AI357" s="150">
        <v>1396.9099999999999</v>
      </c>
      <c r="AJ357" s="169">
        <f t="shared" si="458"/>
        <v>0</v>
      </c>
      <c r="AK357" s="201">
        <v>0</v>
      </c>
      <c r="AL357" s="279">
        <v>1396.9099999999999</v>
      </c>
      <c r="AM357" s="150">
        <f t="shared" si="474"/>
        <v>1396.9099999999999</v>
      </c>
      <c r="AN357" s="153">
        <f t="shared" si="459"/>
        <v>798.04</v>
      </c>
      <c r="AO357" s="154">
        <f t="shared" si="460"/>
        <v>0</v>
      </c>
      <c r="AP357" s="150">
        <v>2194.9499999999998</v>
      </c>
      <c r="AQ357" s="201">
        <v>2194.9499999999998</v>
      </c>
      <c r="AR357" s="150"/>
      <c r="AS357" s="150">
        <f t="shared" si="475"/>
        <v>2194.9499999999998</v>
      </c>
      <c r="AT357" s="155"/>
      <c r="AU357" s="156">
        <f t="shared" si="453"/>
        <v>-602.40000000000009</v>
      </c>
      <c r="AV357" s="156">
        <f t="shared" si="454"/>
        <v>190.33999999999992</v>
      </c>
      <c r="AW357" s="157"/>
      <c r="AX357" s="150">
        <v>1808.97</v>
      </c>
      <c r="AY357" s="150">
        <v>1209.28</v>
      </c>
      <c r="AZ357" s="150">
        <f>AY357/12*4</f>
        <v>403.09333333333331</v>
      </c>
      <c r="BA357" s="150">
        <f t="shared" si="455"/>
        <v>1612.3733333333332</v>
      </c>
      <c r="BB357" s="210"/>
      <c r="BC357" s="210"/>
      <c r="BD357" s="210"/>
      <c r="BE357" s="210"/>
      <c r="BF357" s="210"/>
      <c r="BG357" s="210"/>
      <c r="BH357" s="217"/>
      <c r="BI357" s="210"/>
      <c r="BJ357" s="210"/>
      <c r="BK357" s="210"/>
      <c r="BL357" s="210"/>
      <c r="BM357" s="208"/>
      <c r="BN357" s="160"/>
      <c r="BO357" s="161"/>
      <c r="BP357" s="161"/>
    </row>
    <row r="358" spans="1:68" ht="25.5">
      <c r="A358" s="210"/>
      <c r="B358" s="195" t="s">
        <v>5687</v>
      </c>
      <c r="C358" s="196" t="s">
        <v>5622</v>
      </c>
      <c r="D358" s="146" t="s">
        <v>4692</v>
      </c>
      <c r="E358" s="196" t="s">
        <v>5622</v>
      </c>
      <c r="F358" s="150">
        <v>0</v>
      </c>
      <c r="G358" s="209">
        <v>0</v>
      </c>
      <c r="H358" s="209"/>
      <c r="I358" s="209">
        <v>0</v>
      </c>
      <c r="J358" s="150">
        <v>0</v>
      </c>
      <c r="K358" s="150">
        <v>0</v>
      </c>
      <c r="L358" s="150">
        <f t="shared" si="476"/>
        <v>0</v>
      </c>
      <c r="M358" s="150">
        <v>0</v>
      </c>
      <c r="N358" s="150"/>
      <c r="O358" s="150">
        <v>0</v>
      </c>
      <c r="P358" s="150">
        <v>0</v>
      </c>
      <c r="Q358" s="150"/>
      <c r="R358" s="150">
        <f t="shared" si="471"/>
        <v>0</v>
      </c>
      <c r="S358" s="150">
        <f t="shared" si="456"/>
        <v>0</v>
      </c>
      <c r="T358" s="150"/>
      <c r="U358" s="150">
        <v>0</v>
      </c>
      <c r="V358" s="199">
        <v>0</v>
      </c>
      <c r="W358" s="150">
        <f t="shared" si="472"/>
        <v>0</v>
      </c>
      <c r="X358" s="150">
        <v>0</v>
      </c>
      <c r="Y358" s="150">
        <v>0</v>
      </c>
      <c r="Z358" s="150">
        <v>0</v>
      </c>
      <c r="AA358" s="150">
        <f t="shared" si="457"/>
        <v>0</v>
      </c>
      <c r="AB358" s="150">
        <v>0</v>
      </c>
      <c r="AC358" s="199">
        <v>0</v>
      </c>
      <c r="AD358" s="150">
        <f t="shared" si="473"/>
        <v>0</v>
      </c>
      <c r="AE358" s="150">
        <v>0</v>
      </c>
      <c r="AF358" s="169" t="s">
        <v>4680</v>
      </c>
      <c r="AG358" s="201">
        <v>0</v>
      </c>
      <c r="AH358" s="150">
        <v>0</v>
      </c>
      <c r="AI358" s="150">
        <v>0</v>
      </c>
      <c r="AJ358" s="169">
        <f t="shared" si="458"/>
        <v>0</v>
      </c>
      <c r="AK358" s="201">
        <v>0</v>
      </c>
      <c r="AL358" s="150">
        <v>0</v>
      </c>
      <c r="AM358" s="150">
        <f t="shared" si="474"/>
        <v>0</v>
      </c>
      <c r="AN358" s="153">
        <f t="shared" si="459"/>
        <v>455.81</v>
      </c>
      <c r="AO358" s="154">
        <f t="shared" si="460"/>
        <v>0</v>
      </c>
      <c r="AP358" s="150">
        <v>455.81</v>
      </c>
      <c r="AQ358" s="201">
        <v>455.81</v>
      </c>
      <c r="AR358" s="150"/>
      <c r="AS358" s="150">
        <f t="shared" si="475"/>
        <v>455.81</v>
      </c>
      <c r="AT358" s="155"/>
      <c r="AU358" s="156">
        <f t="shared" si="453"/>
        <v>0</v>
      </c>
      <c r="AV358" s="156">
        <f t="shared" si="454"/>
        <v>0</v>
      </c>
      <c r="AW358" s="157"/>
      <c r="AX358" s="150">
        <v>0</v>
      </c>
      <c r="AY358" s="150">
        <v>0</v>
      </c>
      <c r="AZ358" s="150"/>
      <c r="BA358" s="150">
        <f t="shared" si="455"/>
        <v>0</v>
      </c>
      <c r="BB358" s="210"/>
      <c r="BC358" s="210"/>
      <c r="BD358" s="210"/>
      <c r="BE358" s="210"/>
      <c r="BF358" s="210"/>
      <c r="BG358" s="210"/>
      <c r="BH358" s="217"/>
      <c r="BI358" s="210"/>
      <c r="BJ358" s="210"/>
      <c r="BK358" s="210"/>
      <c r="BL358" s="210"/>
      <c r="BM358" s="208"/>
      <c r="BN358" s="160"/>
      <c r="BO358" s="161"/>
      <c r="BP358" s="161"/>
    </row>
    <row r="359" spans="1:68">
      <c r="A359" s="210"/>
      <c r="B359" s="195" t="s">
        <v>5688</v>
      </c>
      <c r="C359" s="196" t="s">
        <v>5624</v>
      </c>
      <c r="D359" s="146" t="s">
        <v>4692</v>
      </c>
      <c r="E359" s="196" t="s">
        <v>5624</v>
      </c>
      <c r="F359" s="150">
        <v>1404.25</v>
      </c>
      <c r="G359" s="209">
        <v>0</v>
      </c>
      <c r="H359" s="209"/>
      <c r="I359" s="209">
        <v>0</v>
      </c>
      <c r="J359" s="150">
        <v>0</v>
      </c>
      <c r="K359" s="150">
        <v>0</v>
      </c>
      <c r="L359" s="150">
        <f t="shared" si="476"/>
        <v>0</v>
      </c>
      <c r="M359" s="150">
        <v>0</v>
      </c>
      <c r="N359" s="150">
        <v>624.88</v>
      </c>
      <c r="O359" s="150">
        <v>624.88</v>
      </c>
      <c r="P359" s="150">
        <v>0</v>
      </c>
      <c r="Q359" s="150">
        <v>940.77</v>
      </c>
      <c r="R359" s="150">
        <f t="shared" si="471"/>
        <v>940.77</v>
      </c>
      <c r="S359" s="150">
        <f t="shared" si="456"/>
        <v>1254.3600000000001</v>
      </c>
      <c r="T359" s="150"/>
      <c r="U359" s="150">
        <v>0</v>
      </c>
      <c r="V359" s="199">
        <v>1253.19</v>
      </c>
      <c r="W359" s="150">
        <f t="shared" si="472"/>
        <v>1253.19</v>
      </c>
      <c r="X359" s="150">
        <v>0</v>
      </c>
      <c r="Y359" s="150">
        <v>1253.19</v>
      </c>
      <c r="Z359" s="150">
        <v>1253.19</v>
      </c>
      <c r="AA359" s="150">
        <f t="shared" si="457"/>
        <v>0</v>
      </c>
      <c r="AB359" s="150">
        <v>0</v>
      </c>
      <c r="AC359" s="199">
        <v>1253.19</v>
      </c>
      <c r="AD359" s="150">
        <f t="shared" si="473"/>
        <v>1253.19</v>
      </c>
      <c r="AE359" s="279">
        <v>797.37999999999988</v>
      </c>
      <c r="AF359" s="169" t="s">
        <v>4680</v>
      </c>
      <c r="AG359" s="201">
        <v>0</v>
      </c>
      <c r="AH359" s="279">
        <v>797.37999999999988</v>
      </c>
      <c r="AI359" s="150">
        <v>797.37999999999988</v>
      </c>
      <c r="AJ359" s="169">
        <f t="shared" si="458"/>
        <v>0</v>
      </c>
      <c r="AK359" s="201">
        <v>0</v>
      </c>
      <c r="AL359" s="279">
        <v>797.37999999999988</v>
      </c>
      <c r="AM359" s="150">
        <f t="shared" si="474"/>
        <v>797.37999999999988</v>
      </c>
      <c r="AN359" s="153">
        <f t="shared" si="459"/>
        <v>0</v>
      </c>
      <c r="AO359" s="154">
        <f t="shared" si="460"/>
        <v>0</v>
      </c>
      <c r="AP359" s="150">
        <v>797.38</v>
      </c>
      <c r="AQ359" s="201">
        <v>797.38</v>
      </c>
      <c r="AR359" s="150"/>
      <c r="AS359" s="150">
        <f t="shared" si="475"/>
        <v>797.38</v>
      </c>
      <c r="AT359" s="155"/>
      <c r="AU359" s="156">
        <f t="shared" si="453"/>
        <v>-455.81000000000017</v>
      </c>
      <c r="AV359" s="156">
        <f t="shared" si="454"/>
        <v>0</v>
      </c>
      <c r="AW359" s="157"/>
      <c r="AX359" s="150">
        <v>1253.19</v>
      </c>
      <c r="AY359" s="150">
        <v>837.75</v>
      </c>
      <c r="AZ359" s="150">
        <f>AY359/12*4</f>
        <v>279.25</v>
      </c>
      <c r="BA359" s="150">
        <f t="shared" si="455"/>
        <v>1117</v>
      </c>
      <c r="BB359" s="210"/>
      <c r="BC359" s="210"/>
      <c r="BD359" s="210"/>
      <c r="BE359" s="210"/>
      <c r="BF359" s="210"/>
      <c r="BG359" s="210"/>
      <c r="BH359" s="217"/>
      <c r="BI359" s="210"/>
      <c r="BJ359" s="210"/>
      <c r="BK359" s="210"/>
      <c r="BL359" s="210"/>
      <c r="BM359" s="208"/>
      <c r="BN359" s="160"/>
      <c r="BO359" s="161"/>
      <c r="BP359" s="161"/>
    </row>
    <row r="360" spans="1:68">
      <c r="A360" s="210"/>
      <c r="B360" s="195" t="s">
        <v>5689</v>
      </c>
      <c r="C360" s="196" t="s">
        <v>5626</v>
      </c>
      <c r="D360" s="146" t="s">
        <v>4692</v>
      </c>
      <c r="E360" s="196" t="s">
        <v>5626</v>
      </c>
      <c r="F360" s="150">
        <v>3642.3</v>
      </c>
      <c r="G360" s="209">
        <v>0</v>
      </c>
      <c r="H360" s="209"/>
      <c r="I360" s="209">
        <v>0</v>
      </c>
      <c r="J360" s="150">
        <v>0</v>
      </c>
      <c r="K360" s="150">
        <v>0</v>
      </c>
      <c r="L360" s="150">
        <f t="shared" si="476"/>
        <v>0</v>
      </c>
      <c r="M360" s="150">
        <v>0</v>
      </c>
      <c r="N360" s="150">
        <v>11866.41</v>
      </c>
      <c r="O360" s="150">
        <v>11866.41</v>
      </c>
      <c r="P360" s="150">
        <v>0</v>
      </c>
      <c r="Q360" s="150">
        <v>17864.7</v>
      </c>
      <c r="R360" s="150">
        <f t="shared" si="471"/>
        <v>17864.7</v>
      </c>
      <c r="S360" s="150">
        <f t="shared" si="456"/>
        <v>23819.599999999999</v>
      </c>
      <c r="T360" s="150"/>
      <c r="U360" s="150">
        <v>0</v>
      </c>
      <c r="V360" s="199">
        <v>23798.03</v>
      </c>
      <c r="W360" s="150">
        <f t="shared" si="472"/>
        <v>23798.03</v>
      </c>
      <c r="X360" s="150">
        <v>0</v>
      </c>
      <c r="Y360" s="150">
        <v>23798.03</v>
      </c>
      <c r="Z360" s="150">
        <v>23798.03</v>
      </c>
      <c r="AA360" s="150">
        <f t="shared" si="457"/>
        <v>0</v>
      </c>
      <c r="AB360" s="150">
        <v>0</v>
      </c>
      <c r="AC360" s="199">
        <v>23798.03</v>
      </c>
      <c r="AD360" s="150">
        <f t="shared" si="473"/>
        <v>23798.03</v>
      </c>
      <c r="AE360" s="279">
        <v>23798.03</v>
      </c>
      <c r="AF360" s="169" t="s">
        <v>4680</v>
      </c>
      <c r="AG360" s="201">
        <v>0</v>
      </c>
      <c r="AH360" s="279">
        <v>23798.03</v>
      </c>
      <c r="AI360" s="150">
        <v>23798.03</v>
      </c>
      <c r="AJ360" s="169">
        <f t="shared" si="458"/>
        <v>0</v>
      </c>
      <c r="AK360" s="201">
        <v>0</v>
      </c>
      <c r="AL360" s="279">
        <v>23798.03</v>
      </c>
      <c r="AM360" s="150">
        <f t="shared" si="474"/>
        <v>23798.03</v>
      </c>
      <c r="AN360" s="153">
        <f t="shared" si="459"/>
        <v>0</v>
      </c>
      <c r="AO360" s="154">
        <f t="shared" si="460"/>
        <v>0</v>
      </c>
      <c r="AP360" s="150">
        <v>23798.03</v>
      </c>
      <c r="AQ360" s="201">
        <v>23798.03</v>
      </c>
      <c r="AR360" s="150"/>
      <c r="AS360" s="150">
        <f t="shared" si="475"/>
        <v>23798.03</v>
      </c>
      <c r="AT360" s="155"/>
      <c r="AU360" s="156">
        <f t="shared" si="453"/>
        <v>0</v>
      </c>
      <c r="AV360" s="156">
        <f t="shared" si="454"/>
        <v>0</v>
      </c>
      <c r="AW360" s="157"/>
      <c r="AX360" s="150">
        <v>23798.03</v>
      </c>
      <c r="AY360" s="150">
        <v>15908.74</v>
      </c>
      <c r="AZ360" s="150">
        <f>AY360/12*4</f>
        <v>5302.913333333333</v>
      </c>
      <c r="BA360" s="150">
        <f t="shared" si="455"/>
        <v>21211.653333333332</v>
      </c>
      <c r="BB360" s="210"/>
      <c r="BC360" s="210"/>
      <c r="BD360" s="210"/>
      <c r="BE360" s="210"/>
      <c r="BF360" s="210"/>
      <c r="BG360" s="210"/>
      <c r="BH360" s="217"/>
      <c r="BI360" s="210"/>
      <c r="BJ360" s="210"/>
      <c r="BK360" s="210"/>
      <c r="BL360" s="210"/>
      <c r="BM360" s="208"/>
      <c r="BN360" s="160"/>
      <c r="BO360" s="161"/>
      <c r="BP360" s="161"/>
    </row>
    <row r="361" spans="1:68">
      <c r="A361" s="210"/>
      <c r="B361" s="195" t="s">
        <v>5690</v>
      </c>
      <c r="C361" s="196" t="s">
        <v>5628</v>
      </c>
      <c r="D361" s="146" t="s">
        <v>4692</v>
      </c>
      <c r="E361" s="196" t="s">
        <v>5628</v>
      </c>
      <c r="F361" s="150">
        <v>0</v>
      </c>
      <c r="G361" s="209">
        <v>0</v>
      </c>
      <c r="H361" s="209"/>
      <c r="I361" s="209">
        <v>0</v>
      </c>
      <c r="J361" s="150">
        <v>0</v>
      </c>
      <c r="K361" s="150">
        <v>0</v>
      </c>
      <c r="L361" s="150">
        <f t="shared" si="476"/>
        <v>0</v>
      </c>
      <c r="M361" s="150">
        <v>0</v>
      </c>
      <c r="N361" s="150"/>
      <c r="O361" s="150">
        <v>0</v>
      </c>
      <c r="P361" s="150">
        <v>0</v>
      </c>
      <c r="Q361" s="150"/>
      <c r="R361" s="150">
        <f t="shared" si="471"/>
        <v>0</v>
      </c>
      <c r="S361" s="150">
        <f t="shared" si="456"/>
        <v>0</v>
      </c>
      <c r="T361" s="150"/>
      <c r="U361" s="150">
        <v>0</v>
      </c>
      <c r="V361" s="199">
        <v>0</v>
      </c>
      <c r="W361" s="150">
        <f t="shared" si="472"/>
        <v>0</v>
      </c>
      <c r="X361" s="150">
        <v>0</v>
      </c>
      <c r="Y361" s="150">
        <v>0</v>
      </c>
      <c r="Z361" s="150">
        <v>0</v>
      </c>
      <c r="AA361" s="150">
        <f t="shared" si="457"/>
        <v>0</v>
      </c>
      <c r="AB361" s="150">
        <v>0</v>
      </c>
      <c r="AC361" s="199">
        <v>0</v>
      </c>
      <c r="AD361" s="150">
        <f t="shared" si="473"/>
        <v>0</v>
      </c>
      <c r="AE361" s="150">
        <v>0</v>
      </c>
      <c r="AF361" s="169" t="s">
        <v>4680</v>
      </c>
      <c r="AG361" s="201">
        <v>0</v>
      </c>
      <c r="AH361" s="150">
        <v>0</v>
      </c>
      <c r="AI361" s="150">
        <v>0</v>
      </c>
      <c r="AJ361" s="169">
        <f t="shared" si="458"/>
        <v>0</v>
      </c>
      <c r="AK361" s="201">
        <v>0</v>
      </c>
      <c r="AL361" s="150">
        <v>0</v>
      </c>
      <c r="AM361" s="150">
        <f t="shared" si="474"/>
        <v>0</v>
      </c>
      <c r="AN361" s="153">
        <f t="shared" si="459"/>
        <v>0</v>
      </c>
      <c r="AO361" s="154">
        <f t="shared" si="460"/>
        <v>0</v>
      </c>
      <c r="AP361" s="150">
        <v>0</v>
      </c>
      <c r="AQ361" s="201">
        <v>0</v>
      </c>
      <c r="AR361" s="150"/>
      <c r="AS361" s="150">
        <f t="shared" si="475"/>
        <v>0</v>
      </c>
      <c r="AT361" s="155"/>
      <c r="AU361" s="156">
        <f t="shared" si="453"/>
        <v>0</v>
      </c>
      <c r="AV361" s="156">
        <f t="shared" si="454"/>
        <v>0</v>
      </c>
      <c r="AW361" s="157"/>
      <c r="AX361" s="150">
        <v>0</v>
      </c>
      <c r="AY361" s="150">
        <v>0</v>
      </c>
      <c r="AZ361" s="150"/>
      <c r="BA361" s="150">
        <f t="shared" si="455"/>
        <v>0</v>
      </c>
      <c r="BB361" s="210"/>
      <c r="BC361" s="210"/>
      <c r="BD361" s="210"/>
      <c r="BE361" s="210"/>
      <c r="BF361" s="210"/>
      <c r="BG361" s="210"/>
      <c r="BH361" s="217"/>
      <c r="BI361" s="210"/>
      <c r="BJ361" s="210"/>
      <c r="BK361" s="210"/>
      <c r="BL361" s="210"/>
      <c r="BM361" s="208"/>
      <c r="BN361" s="160"/>
      <c r="BO361" s="161"/>
      <c r="BP361" s="161"/>
    </row>
    <row r="362" spans="1:68">
      <c r="A362" s="210"/>
      <c r="B362" s="195" t="s">
        <v>5691</v>
      </c>
      <c r="C362" s="196" t="s">
        <v>5630</v>
      </c>
      <c r="D362" s="146" t="s">
        <v>4692</v>
      </c>
      <c r="E362" s="196" t="s">
        <v>5630</v>
      </c>
      <c r="F362" s="150">
        <v>0</v>
      </c>
      <c r="G362" s="209">
        <v>0</v>
      </c>
      <c r="H362" s="209"/>
      <c r="I362" s="209">
        <v>0</v>
      </c>
      <c r="J362" s="150">
        <v>0</v>
      </c>
      <c r="K362" s="150">
        <v>0</v>
      </c>
      <c r="L362" s="150">
        <f t="shared" si="476"/>
        <v>0</v>
      </c>
      <c r="M362" s="150">
        <v>0</v>
      </c>
      <c r="N362" s="150"/>
      <c r="O362" s="150">
        <v>0</v>
      </c>
      <c r="P362" s="150">
        <v>0</v>
      </c>
      <c r="Q362" s="150"/>
      <c r="R362" s="150">
        <f t="shared" si="471"/>
        <v>0</v>
      </c>
      <c r="S362" s="150">
        <f t="shared" si="456"/>
        <v>0</v>
      </c>
      <c r="T362" s="150"/>
      <c r="U362" s="150">
        <v>0</v>
      </c>
      <c r="V362" s="199">
        <v>0</v>
      </c>
      <c r="W362" s="150">
        <f t="shared" si="472"/>
        <v>0</v>
      </c>
      <c r="X362" s="150">
        <v>0</v>
      </c>
      <c r="Y362" s="150">
        <v>0</v>
      </c>
      <c r="Z362" s="150">
        <v>0</v>
      </c>
      <c r="AA362" s="150">
        <f t="shared" si="457"/>
        <v>0</v>
      </c>
      <c r="AB362" s="150">
        <v>0</v>
      </c>
      <c r="AC362" s="199">
        <v>0</v>
      </c>
      <c r="AD362" s="150">
        <f t="shared" si="473"/>
        <v>0</v>
      </c>
      <c r="AE362" s="150">
        <v>0</v>
      </c>
      <c r="AF362" s="169" t="s">
        <v>4680</v>
      </c>
      <c r="AG362" s="201">
        <v>0</v>
      </c>
      <c r="AH362" s="150">
        <v>0</v>
      </c>
      <c r="AI362" s="150">
        <v>0</v>
      </c>
      <c r="AJ362" s="169">
        <f t="shared" si="458"/>
        <v>0</v>
      </c>
      <c r="AK362" s="201">
        <v>0</v>
      </c>
      <c r="AL362" s="150">
        <v>0</v>
      </c>
      <c r="AM362" s="150">
        <f t="shared" si="474"/>
        <v>0</v>
      </c>
      <c r="AN362" s="153">
        <f t="shared" si="459"/>
        <v>0</v>
      </c>
      <c r="AO362" s="154">
        <f t="shared" si="460"/>
        <v>0</v>
      </c>
      <c r="AP362" s="150">
        <v>0</v>
      </c>
      <c r="AQ362" s="201">
        <v>0</v>
      </c>
      <c r="AR362" s="150"/>
      <c r="AS362" s="150">
        <f t="shared" si="475"/>
        <v>0</v>
      </c>
      <c r="AT362" s="155"/>
      <c r="AU362" s="156">
        <f t="shared" si="453"/>
        <v>0</v>
      </c>
      <c r="AV362" s="156">
        <f t="shared" si="454"/>
        <v>0</v>
      </c>
      <c r="AW362" s="157"/>
      <c r="AX362" s="150">
        <v>0</v>
      </c>
      <c r="AY362" s="150">
        <v>0</v>
      </c>
      <c r="AZ362" s="150"/>
      <c r="BA362" s="150">
        <f t="shared" si="455"/>
        <v>0</v>
      </c>
      <c r="BB362" s="210"/>
      <c r="BC362" s="210"/>
      <c r="BD362" s="210"/>
      <c r="BE362" s="210"/>
      <c r="BF362" s="210"/>
      <c r="BG362" s="210"/>
      <c r="BH362" s="217"/>
      <c r="BI362" s="210"/>
      <c r="BJ362" s="210"/>
      <c r="BK362" s="210"/>
      <c r="BL362" s="210"/>
      <c r="BM362" s="208"/>
      <c r="BN362" s="160"/>
      <c r="BO362" s="161"/>
      <c r="BP362" s="161"/>
    </row>
    <row r="363" spans="1:68" ht="25.5">
      <c r="A363" s="210"/>
      <c r="B363" s="195" t="s">
        <v>5692</v>
      </c>
      <c r="C363" s="196" t="s">
        <v>5632</v>
      </c>
      <c r="D363" s="146" t="s">
        <v>4692</v>
      </c>
      <c r="E363" s="196" t="s">
        <v>5632</v>
      </c>
      <c r="F363" s="150">
        <v>0</v>
      </c>
      <c r="G363" s="209">
        <v>0</v>
      </c>
      <c r="H363" s="209"/>
      <c r="I363" s="209">
        <v>0</v>
      </c>
      <c r="J363" s="150">
        <v>0</v>
      </c>
      <c r="K363" s="150">
        <v>0</v>
      </c>
      <c r="L363" s="150">
        <f t="shared" si="476"/>
        <v>0</v>
      </c>
      <c r="M363" s="150">
        <v>0</v>
      </c>
      <c r="N363" s="150"/>
      <c r="O363" s="150">
        <v>0</v>
      </c>
      <c r="P363" s="150">
        <v>0</v>
      </c>
      <c r="Q363" s="150"/>
      <c r="R363" s="150">
        <f t="shared" si="471"/>
        <v>0</v>
      </c>
      <c r="S363" s="150">
        <f t="shared" si="456"/>
        <v>0</v>
      </c>
      <c r="T363" s="150"/>
      <c r="U363" s="150">
        <v>0</v>
      </c>
      <c r="V363" s="199">
        <v>0</v>
      </c>
      <c r="W363" s="150">
        <f t="shared" si="472"/>
        <v>0</v>
      </c>
      <c r="X363" s="150">
        <v>0</v>
      </c>
      <c r="Y363" s="150">
        <v>0</v>
      </c>
      <c r="Z363" s="150">
        <v>0</v>
      </c>
      <c r="AA363" s="150">
        <f t="shared" si="457"/>
        <v>0</v>
      </c>
      <c r="AB363" s="150">
        <v>0</v>
      </c>
      <c r="AC363" s="199">
        <v>0</v>
      </c>
      <c r="AD363" s="150">
        <f t="shared" si="473"/>
        <v>0</v>
      </c>
      <c r="AE363" s="150">
        <v>0</v>
      </c>
      <c r="AF363" s="169" t="s">
        <v>4680</v>
      </c>
      <c r="AG363" s="201">
        <v>0</v>
      </c>
      <c r="AH363" s="150">
        <v>0</v>
      </c>
      <c r="AI363" s="150">
        <v>0</v>
      </c>
      <c r="AJ363" s="169">
        <f t="shared" si="458"/>
        <v>0</v>
      </c>
      <c r="AK363" s="201">
        <v>0</v>
      </c>
      <c r="AL363" s="150">
        <v>0</v>
      </c>
      <c r="AM363" s="150">
        <f t="shared" si="474"/>
        <v>0</v>
      </c>
      <c r="AN363" s="153">
        <f t="shared" si="459"/>
        <v>0</v>
      </c>
      <c r="AO363" s="154">
        <f t="shared" si="460"/>
        <v>0</v>
      </c>
      <c r="AP363" s="150">
        <v>0</v>
      </c>
      <c r="AQ363" s="201">
        <v>0</v>
      </c>
      <c r="AR363" s="150"/>
      <c r="AS363" s="150">
        <f t="shared" si="475"/>
        <v>0</v>
      </c>
      <c r="AT363" s="155"/>
      <c r="AU363" s="156">
        <f t="shared" si="453"/>
        <v>0</v>
      </c>
      <c r="AV363" s="156">
        <f t="shared" si="454"/>
        <v>0</v>
      </c>
      <c r="AW363" s="157"/>
      <c r="AX363" s="150">
        <v>0</v>
      </c>
      <c r="AY363" s="150">
        <v>0</v>
      </c>
      <c r="AZ363" s="150"/>
      <c r="BA363" s="150">
        <f t="shared" si="455"/>
        <v>0</v>
      </c>
      <c r="BB363" s="210"/>
      <c r="BC363" s="210"/>
      <c r="BD363" s="210"/>
      <c r="BE363" s="210"/>
      <c r="BF363" s="210"/>
      <c r="BG363" s="210"/>
      <c r="BH363" s="217"/>
      <c r="BI363" s="210"/>
      <c r="BJ363" s="210"/>
      <c r="BK363" s="210"/>
      <c r="BL363" s="210"/>
      <c r="BM363" s="208"/>
      <c r="BN363" s="160"/>
      <c r="BO363" s="161"/>
      <c r="BP363" s="161"/>
    </row>
    <row r="364" spans="1:68" ht="25.5">
      <c r="A364" s="210"/>
      <c r="B364" s="195" t="s">
        <v>5693</v>
      </c>
      <c r="C364" s="196" t="s">
        <v>5634</v>
      </c>
      <c r="D364" s="146" t="s">
        <v>4692</v>
      </c>
      <c r="E364" s="196" t="s">
        <v>5634</v>
      </c>
      <c r="F364" s="150">
        <v>27036.91</v>
      </c>
      <c r="G364" s="209">
        <v>0</v>
      </c>
      <c r="H364" s="209"/>
      <c r="I364" s="209">
        <v>0</v>
      </c>
      <c r="J364" s="150">
        <v>0</v>
      </c>
      <c r="K364" s="150">
        <v>0</v>
      </c>
      <c r="L364" s="150">
        <f t="shared" si="476"/>
        <v>0</v>
      </c>
      <c r="M364" s="150">
        <v>0</v>
      </c>
      <c r="N364" s="150">
        <v>9880.36</v>
      </c>
      <c r="O364" s="150">
        <v>9880.36</v>
      </c>
      <c r="P364" s="150">
        <v>0</v>
      </c>
      <c r="Q364" s="150">
        <v>15004.27</v>
      </c>
      <c r="R364" s="150">
        <f t="shared" si="471"/>
        <v>15004.27</v>
      </c>
      <c r="S364" s="150">
        <f t="shared" si="456"/>
        <v>20005.693333333333</v>
      </c>
      <c r="T364" s="150"/>
      <c r="U364" s="150">
        <v>0</v>
      </c>
      <c r="V364" s="199">
        <v>20353.37</v>
      </c>
      <c r="W364" s="150">
        <f t="shared" si="472"/>
        <v>20353.37</v>
      </c>
      <c r="X364" s="150">
        <v>0</v>
      </c>
      <c r="Y364" s="150">
        <v>20353.37</v>
      </c>
      <c r="Z364" s="150">
        <v>20353.37</v>
      </c>
      <c r="AA364" s="150">
        <f t="shared" si="457"/>
        <v>1401.8999999999978</v>
      </c>
      <c r="AB364" s="150">
        <v>0</v>
      </c>
      <c r="AC364" s="199">
        <v>21755.269999999997</v>
      </c>
      <c r="AD364" s="150">
        <f t="shared" si="473"/>
        <v>21755.269999999997</v>
      </c>
      <c r="AE364" s="279">
        <v>21755.27</v>
      </c>
      <c r="AF364" s="169" t="s">
        <v>4680</v>
      </c>
      <c r="AG364" s="201">
        <v>0</v>
      </c>
      <c r="AH364" s="279">
        <v>21755.27</v>
      </c>
      <c r="AI364" s="150">
        <v>21755.27</v>
      </c>
      <c r="AJ364" s="169">
        <f t="shared" si="458"/>
        <v>0</v>
      </c>
      <c r="AK364" s="201">
        <v>0</v>
      </c>
      <c r="AL364" s="279">
        <v>21755.27</v>
      </c>
      <c r="AM364" s="150">
        <f t="shared" si="474"/>
        <v>21755.27</v>
      </c>
      <c r="AN364" s="153">
        <f t="shared" si="459"/>
        <v>26184.679999999997</v>
      </c>
      <c r="AO364" s="154">
        <f t="shared" si="460"/>
        <v>0</v>
      </c>
      <c r="AP364" s="150">
        <v>47939.95</v>
      </c>
      <c r="AQ364" s="201">
        <v>47939.95</v>
      </c>
      <c r="AR364" s="150"/>
      <c r="AS364" s="150">
        <f t="shared" si="475"/>
        <v>47939.95</v>
      </c>
      <c r="AT364" s="155"/>
      <c r="AU364" s="156">
        <f t="shared" si="453"/>
        <v>0</v>
      </c>
      <c r="AV364" s="156">
        <f t="shared" si="454"/>
        <v>1401.8999999999978</v>
      </c>
      <c r="AW364" s="157"/>
      <c r="AX364" s="150">
        <v>20353.37</v>
      </c>
      <c r="AY364" s="150">
        <v>13295.55</v>
      </c>
      <c r="AZ364" s="150">
        <f>AY364/12*4</f>
        <v>4431.8499999999995</v>
      </c>
      <c r="BA364" s="150">
        <f t="shared" si="455"/>
        <v>17727.399999999998</v>
      </c>
      <c r="BB364" s="210"/>
      <c r="BC364" s="210"/>
      <c r="BD364" s="210"/>
      <c r="BE364" s="210"/>
      <c r="BF364" s="210"/>
      <c r="BG364" s="210"/>
      <c r="BH364" s="217"/>
      <c r="BI364" s="210"/>
      <c r="BJ364" s="210"/>
      <c r="BK364" s="210"/>
      <c r="BL364" s="210"/>
      <c r="BM364" s="208"/>
      <c r="BN364" s="160"/>
      <c r="BO364" s="161"/>
      <c r="BP364" s="161"/>
    </row>
    <row r="365" spans="1:68">
      <c r="A365" s="210"/>
      <c r="B365" s="195" t="s">
        <v>5694</v>
      </c>
      <c r="C365" s="196" t="s">
        <v>5636</v>
      </c>
      <c r="D365" s="146" t="s">
        <v>4692</v>
      </c>
      <c r="E365" s="196" t="s">
        <v>5636</v>
      </c>
      <c r="F365" s="150">
        <v>1151.18</v>
      </c>
      <c r="G365" s="209">
        <v>0</v>
      </c>
      <c r="H365" s="209">
        <v>0</v>
      </c>
      <c r="I365" s="209">
        <v>0</v>
      </c>
      <c r="J365" s="150">
        <v>0</v>
      </c>
      <c r="K365" s="150">
        <v>0</v>
      </c>
      <c r="L365" s="150">
        <f t="shared" si="476"/>
        <v>0</v>
      </c>
      <c r="M365" s="150">
        <v>0</v>
      </c>
      <c r="N365" s="150">
        <v>310.33999999999992</v>
      </c>
      <c r="O365" s="150">
        <v>310.33999999999992</v>
      </c>
      <c r="P365" s="150">
        <v>0</v>
      </c>
      <c r="Q365" s="150">
        <v>467.2</v>
      </c>
      <c r="R365" s="150">
        <f t="shared" si="471"/>
        <v>467.2</v>
      </c>
      <c r="S365" s="150">
        <f t="shared" si="456"/>
        <v>622.93333333333339</v>
      </c>
      <c r="T365" s="150"/>
      <c r="U365" s="150">
        <v>0</v>
      </c>
      <c r="V365" s="199">
        <v>652.1</v>
      </c>
      <c r="W365" s="150">
        <f t="shared" si="472"/>
        <v>652.1</v>
      </c>
      <c r="X365" s="150">
        <v>0</v>
      </c>
      <c r="Y365" s="150">
        <v>652.1</v>
      </c>
      <c r="Z365" s="150">
        <v>652.1</v>
      </c>
      <c r="AA365" s="150">
        <f t="shared" si="457"/>
        <v>0</v>
      </c>
      <c r="AB365" s="150">
        <v>0</v>
      </c>
      <c r="AC365" s="199">
        <v>652.1</v>
      </c>
      <c r="AD365" s="150">
        <f t="shared" si="473"/>
        <v>652.1</v>
      </c>
      <c r="AE365" s="279">
        <v>574.55999999999995</v>
      </c>
      <c r="AF365" s="169" t="s">
        <v>4680</v>
      </c>
      <c r="AG365" s="201">
        <v>0</v>
      </c>
      <c r="AH365" s="279">
        <v>574.55999999999995</v>
      </c>
      <c r="AI365" s="150">
        <v>574.55999999999995</v>
      </c>
      <c r="AJ365" s="169">
        <f t="shared" si="458"/>
        <v>0</v>
      </c>
      <c r="AK365" s="201">
        <v>0</v>
      </c>
      <c r="AL365" s="279">
        <v>574.55999999999995</v>
      </c>
      <c r="AM365" s="150">
        <f t="shared" si="474"/>
        <v>574.55999999999995</v>
      </c>
      <c r="AN365" s="153">
        <f t="shared" si="459"/>
        <v>77.540000000000077</v>
      </c>
      <c r="AO365" s="154">
        <f t="shared" si="460"/>
        <v>0</v>
      </c>
      <c r="AP365" s="150">
        <v>652.1</v>
      </c>
      <c r="AQ365" s="201">
        <v>652.1</v>
      </c>
      <c r="AR365" s="150"/>
      <c r="AS365" s="150">
        <f t="shared" si="475"/>
        <v>652.1</v>
      </c>
      <c r="AT365" s="155"/>
      <c r="AU365" s="156">
        <f t="shared" si="453"/>
        <v>-77.540000000000077</v>
      </c>
      <c r="AV365" s="156">
        <f t="shared" si="454"/>
        <v>0</v>
      </c>
      <c r="AW365" s="157"/>
      <c r="AX365" s="150">
        <v>652.1</v>
      </c>
      <c r="AY365" s="150">
        <v>416.04</v>
      </c>
      <c r="AZ365" s="150">
        <f>AY365/12*4</f>
        <v>138.68</v>
      </c>
      <c r="BA365" s="150">
        <f t="shared" si="455"/>
        <v>554.72</v>
      </c>
      <c r="BB365" s="210"/>
      <c r="BC365" s="210"/>
      <c r="BD365" s="210"/>
      <c r="BE365" s="210"/>
      <c r="BF365" s="210"/>
      <c r="BG365" s="210"/>
      <c r="BH365" s="217"/>
      <c r="BI365" s="210"/>
      <c r="BJ365" s="210"/>
      <c r="BK365" s="210"/>
      <c r="BL365" s="210"/>
      <c r="BM365" s="208"/>
      <c r="BN365" s="160"/>
      <c r="BO365" s="161"/>
      <c r="BP365" s="161"/>
    </row>
    <row r="366" spans="1:68" ht="38.25">
      <c r="A366" s="255" t="s">
        <v>5695</v>
      </c>
      <c r="B366" s="174"/>
      <c r="C366" s="175" t="s">
        <v>5696</v>
      </c>
      <c r="D366" s="146" t="s">
        <v>4692</v>
      </c>
      <c r="E366" s="175" t="s">
        <v>5696</v>
      </c>
      <c r="F366" s="176">
        <v>0</v>
      </c>
      <c r="G366" s="177">
        <v>0</v>
      </c>
      <c r="H366" s="177">
        <v>0</v>
      </c>
      <c r="I366" s="177">
        <v>0</v>
      </c>
      <c r="J366" s="176">
        <f>J367</f>
        <v>0</v>
      </c>
      <c r="K366" s="176">
        <f>K367</f>
        <v>0</v>
      </c>
      <c r="L366" s="176">
        <f t="shared" si="476"/>
        <v>0</v>
      </c>
      <c r="M366" s="178">
        <v>0</v>
      </c>
      <c r="N366" s="178">
        <v>0</v>
      </c>
      <c r="O366" s="178">
        <v>0</v>
      </c>
      <c r="P366" s="221">
        <f t="shared" ref="P366:AS366" si="477">P367</f>
        <v>0</v>
      </c>
      <c r="Q366" s="221">
        <f t="shared" si="477"/>
        <v>0</v>
      </c>
      <c r="R366" s="221">
        <f t="shared" si="477"/>
        <v>0</v>
      </c>
      <c r="S366" s="150">
        <f t="shared" si="456"/>
        <v>0</v>
      </c>
      <c r="T366" s="213"/>
      <c r="U366" s="221">
        <f t="shared" ref="U366:W366" si="478">U367</f>
        <v>0</v>
      </c>
      <c r="V366" s="222">
        <f t="shared" si="478"/>
        <v>0</v>
      </c>
      <c r="W366" s="221">
        <f t="shared" si="478"/>
        <v>0</v>
      </c>
      <c r="X366" s="221">
        <v>0</v>
      </c>
      <c r="Y366" s="221">
        <v>0</v>
      </c>
      <c r="Z366" s="221">
        <v>0</v>
      </c>
      <c r="AA366" s="221">
        <f t="shared" si="457"/>
        <v>0</v>
      </c>
      <c r="AB366" s="221">
        <v>0</v>
      </c>
      <c r="AC366" s="222">
        <v>0</v>
      </c>
      <c r="AD366" s="221">
        <f t="shared" si="477"/>
        <v>0</v>
      </c>
      <c r="AE366" s="221">
        <v>0</v>
      </c>
      <c r="AF366" s="169" t="s">
        <v>4680</v>
      </c>
      <c r="AG366" s="223">
        <v>0</v>
      </c>
      <c r="AH366" s="222">
        <v>0</v>
      </c>
      <c r="AI366" s="221">
        <v>0</v>
      </c>
      <c r="AJ366" s="169">
        <f t="shared" si="458"/>
        <v>0</v>
      </c>
      <c r="AK366" s="223">
        <v>0</v>
      </c>
      <c r="AL366" s="222">
        <v>0</v>
      </c>
      <c r="AM366" s="221">
        <f t="shared" si="477"/>
        <v>0</v>
      </c>
      <c r="AN366" s="153">
        <f t="shared" si="459"/>
        <v>0</v>
      </c>
      <c r="AO366" s="154">
        <f t="shared" si="460"/>
        <v>0</v>
      </c>
      <c r="AP366" s="221">
        <v>0</v>
      </c>
      <c r="AQ366" s="223">
        <v>0</v>
      </c>
      <c r="AR366" s="222">
        <f t="shared" si="477"/>
        <v>0</v>
      </c>
      <c r="AS366" s="221">
        <f t="shared" si="477"/>
        <v>0</v>
      </c>
      <c r="AT366" s="155"/>
      <c r="AU366" s="156">
        <f t="shared" si="453"/>
        <v>0</v>
      </c>
      <c r="AV366" s="156">
        <f t="shared" si="454"/>
        <v>0</v>
      </c>
      <c r="AW366" s="157"/>
      <c r="AX366" s="150">
        <v>0</v>
      </c>
      <c r="AY366" s="221">
        <f t="shared" ref="AY366:BA366" si="479">AY367</f>
        <v>0</v>
      </c>
      <c r="AZ366" s="221">
        <f t="shared" si="479"/>
        <v>0</v>
      </c>
      <c r="BA366" s="221">
        <f t="shared" si="479"/>
        <v>0</v>
      </c>
      <c r="BB366" s="254">
        <v>4</v>
      </c>
      <c r="BC366" s="255" t="s">
        <v>755</v>
      </c>
      <c r="BD366" s="255" t="s">
        <v>671</v>
      </c>
      <c r="BE366" s="173" t="s">
        <v>630</v>
      </c>
      <c r="BF366" s="255" t="s">
        <v>630</v>
      </c>
      <c r="BG366" s="175" t="s">
        <v>5696</v>
      </c>
      <c r="BH366" s="224">
        <f>BH367</f>
        <v>0</v>
      </c>
      <c r="BI366" s="254"/>
      <c r="BJ366" s="255" t="s">
        <v>5697</v>
      </c>
      <c r="BK366" s="255" t="s">
        <v>5695</v>
      </c>
      <c r="BL366" s="182" t="s">
        <v>5698</v>
      </c>
      <c r="BM366" s="224">
        <f>BM367</f>
        <v>0</v>
      </c>
      <c r="BN366" s="160"/>
      <c r="BO366" s="161">
        <f t="shared" si="461"/>
        <v>0</v>
      </c>
      <c r="BP366" s="161"/>
    </row>
    <row r="367" spans="1:68" ht="38.25">
      <c r="A367" s="256" t="s">
        <v>5695</v>
      </c>
      <c r="B367" s="184"/>
      <c r="C367" s="185" t="s">
        <v>5696</v>
      </c>
      <c r="D367" s="146" t="s">
        <v>4692</v>
      </c>
      <c r="E367" s="185" t="s">
        <v>5696</v>
      </c>
      <c r="F367" s="186">
        <v>0</v>
      </c>
      <c r="G367" s="187">
        <v>0</v>
      </c>
      <c r="H367" s="187"/>
      <c r="I367" s="187">
        <v>0</v>
      </c>
      <c r="J367" s="186">
        <f>SUM(J368:J369)</f>
        <v>0</v>
      </c>
      <c r="K367" s="186">
        <f>SUM(K368:K369)</f>
        <v>0</v>
      </c>
      <c r="L367" s="186">
        <f t="shared" si="476"/>
        <v>0</v>
      </c>
      <c r="M367" s="188">
        <v>0</v>
      </c>
      <c r="N367" s="188">
        <v>0</v>
      </c>
      <c r="O367" s="188">
        <v>0</v>
      </c>
      <c r="P367" s="225">
        <f t="shared" ref="P367:R367" si="480">SUM(P368:P369)</f>
        <v>0</v>
      </c>
      <c r="Q367" s="225">
        <f t="shared" si="480"/>
        <v>0</v>
      </c>
      <c r="R367" s="225">
        <f t="shared" si="480"/>
        <v>0</v>
      </c>
      <c r="S367" s="150">
        <f t="shared" si="456"/>
        <v>0</v>
      </c>
      <c r="T367" s="213"/>
      <c r="U367" s="225">
        <f t="shared" ref="U367:W367" si="481">SUM(U368:U369)</f>
        <v>0</v>
      </c>
      <c r="V367" s="226">
        <f t="shared" si="481"/>
        <v>0</v>
      </c>
      <c r="W367" s="225">
        <f t="shared" si="481"/>
        <v>0</v>
      </c>
      <c r="X367" s="225">
        <v>0</v>
      </c>
      <c r="Y367" s="225">
        <v>0</v>
      </c>
      <c r="Z367" s="225">
        <v>0</v>
      </c>
      <c r="AA367" s="225">
        <f t="shared" si="457"/>
        <v>0</v>
      </c>
      <c r="AB367" s="225">
        <v>0</v>
      </c>
      <c r="AC367" s="226">
        <v>0</v>
      </c>
      <c r="AD367" s="225">
        <f t="shared" ref="AD367" si="482">SUM(AD368:AD369)</f>
        <v>0</v>
      </c>
      <c r="AE367" s="225">
        <v>0</v>
      </c>
      <c r="AF367" s="169" t="s">
        <v>4680</v>
      </c>
      <c r="AG367" s="212">
        <v>0</v>
      </c>
      <c r="AH367" s="226">
        <v>0</v>
      </c>
      <c r="AI367" s="225">
        <v>0</v>
      </c>
      <c r="AJ367" s="169">
        <f t="shared" si="458"/>
        <v>0</v>
      </c>
      <c r="AK367" s="212">
        <v>0</v>
      </c>
      <c r="AL367" s="226">
        <v>0</v>
      </c>
      <c r="AM367" s="225">
        <f t="shared" ref="AM367" si="483">SUM(AM368:AM369)</f>
        <v>0</v>
      </c>
      <c r="AN367" s="153">
        <f t="shared" si="459"/>
        <v>0</v>
      </c>
      <c r="AO367" s="154">
        <f t="shared" si="460"/>
        <v>0</v>
      </c>
      <c r="AP367" s="225">
        <v>0</v>
      </c>
      <c r="AQ367" s="212">
        <v>0</v>
      </c>
      <c r="AR367" s="226">
        <f t="shared" ref="AR367:AS367" si="484">SUM(AR368:AR369)</f>
        <v>0</v>
      </c>
      <c r="AS367" s="225">
        <f t="shared" si="484"/>
        <v>0</v>
      </c>
      <c r="AT367" s="155"/>
      <c r="AU367" s="156">
        <f t="shared" si="453"/>
        <v>0</v>
      </c>
      <c r="AV367" s="156">
        <f t="shared" si="454"/>
        <v>0</v>
      </c>
      <c r="AW367" s="157"/>
      <c r="AX367" s="150">
        <v>0</v>
      </c>
      <c r="AY367" s="225">
        <f t="shared" ref="AY367:BA367" si="485">SUM(AY368:AY369)</f>
        <v>0</v>
      </c>
      <c r="AZ367" s="225">
        <f t="shared" si="485"/>
        <v>0</v>
      </c>
      <c r="BA367" s="225">
        <f t="shared" si="485"/>
        <v>0</v>
      </c>
      <c r="BB367" s="192">
        <v>4</v>
      </c>
      <c r="BC367" s="256" t="s">
        <v>755</v>
      </c>
      <c r="BD367" s="256" t="s">
        <v>671</v>
      </c>
      <c r="BE367" s="256" t="s">
        <v>632</v>
      </c>
      <c r="BF367" s="256" t="s">
        <v>630</v>
      </c>
      <c r="BG367" s="185" t="s">
        <v>5696</v>
      </c>
      <c r="BH367" s="215">
        <f>SUM(BH368:BH369)</f>
        <v>0</v>
      </c>
      <c r="BI367" s="192"/>
      <c r="BJ367" s="256" t="s">
        <v>5697</v>
      </c>
      <c r="BK367" s="256" t="s">
        <v>5695</v>
      </c>
      <c r="BL367" s="238" t="s">
        <v>5698</v>
      </c>
      <c r="BM367" s="215">
        <f>SUM(BM368:BM369)</f>
        <v>0</v>
      </c>
      <c r="BN367" s="160"/>
      <c r="BO367" s="161">
        <f t="shared" si="461"/>
        <v>0</v>
      </c>
      <c r="BP367" s="161"/>
    </row>
    <row r="368" spans="1:68" ht="38.25">
      <c r="A368" s="206" t="s">
        <v>5695</v>
      </c>
      <c r="B368" s="195" t="s">
        <v>5699</v>
      </c>
      <c r="C368" s="196" t="s">
        <v>5700</v>
      </c>
      <c r="D368" s="146" t="s">
        <v>4692</v>
      </c>
      <c r="E368" s="196" t="s">
        <v>5700</v>
      </c>
      <c r="F368" s="150">
        <v>0</v>
      </c>
      <c r="G368" s="209">
        <v>0</v>
      </c>
      <c r="H368" s="209"/>
      <c r="I368" s="209">
        <v>0</v>
      </c>
      <c r="J368" s="150">
        <v>0</v>
      </c>
      <c r="K368" s="150">
        <v>0</v>
      </c>
      <c r="L368" s="150">
        <f t="shared" si="476"/>
        <v>0</v>
      </c>
      <c r="M368" s="150">
        <v>0</v>
      </c>
      <c r="N368" s="150"/>
      <c r="O368" s="150">
        <v>0</v>
      </c>
      <c r="P368" s="150">
        <v>0</v>
      </c>
      <c r="Q368" s="150"/>
      <c r="R368" s="150">
        <f>P368+Q368</f>
        <v>0</v>
      </c>
      <c r="S368" s="150">
        <f t="shared" si="456"/>
        <v>0</v>
      </c>
      <c r="T368" s="150"/>
      <c r="U368" s="150">
        <v>0</v>
      </c>
      <c r="V368" s="199"/>
      <c r="W368" s="150">
        <f>U368+V368</f>
        <v>0</v>
      </c>
      <c r="X368" s="150">
        <v>0</v>
      </c>
      <c r="Y368" s="150"/>
      <c r="Z368" s="150">
        <v>0</v>
      </c>
      <c r="AA368" s="150">
        <f t="shared" si="457"/>
        <v>0</v>
      </c>
      <c r="AB368" s="150">
        <v>0</v>
      </c>
      <c r="AC368" s="199"/>
      <c r="AD368" s="150">
        <f>AB368+AC368</f>
        <v>0</v>
      </c>
      <c r="AE368" s="150">
        <v>0</v>
      </c>
      <c r="AF368" s="169" t="s">
        <v>4680</v>
      </c>
      <c r="AG368" s="201">
        <v>0</v>
      </c>
      <c r="AH368" s="199"/>
      <c r="AI368" s="150">
        <v>0</v>
      </c>
      <c r="AJ368" s="169">
        <f t="shared" si="458"/>
        <v>0</v>
      </c>
      <c r="AK368" s="201">
        <v>0</v>
      </c>
      <c r="AL368" s="199"/>
      <c r="AM368" s="150">
        <f>AK368+AL368</f>
        <v>0</v>
      </c>
      <c r="AN368" s="153">
        <f t="shared" si="459"/>
        <v>0</v>
      </c>
      <c r="AO368" s="154">
        <f t="shared" si="460"/>
        <v>0</v>
      </c>
      <c r="AP368" s="150">
        <v>0</v>
      </c>
      <c r="AQ368" s="201">
        <v>0</v>
      </c>
      <c r="AR368" s="199"/>
      <c r="AS368" s="150">
        <f>AQ368+AR368</f>
        <v>0</v>
      </c>
      <c r="AT368" s="155"/>
      <c r="AU368" s="156">
        <f t="shared" si="453"/>
        <v>0</v>
      </c>
      <c r="AV368" s="156">
        <f t="shared" si="454"/>
        <v>0</v>
      </c>
      <c r="AW368" s="157"/>
      <c r="AX368" s="150">
        <v>0</v>
      </c>
      <c r="AY368" s="150">
        <v>0</v>
      </c>
      <c r="AZ368" s="150"/>
      <c r="BA368" s="150">
        <f t="shared" si="455"/>
        <v>0</v>
      </c>
      <c r="BB368" s="202">
        <v>4</v>
      </c>
      <c r="BC368" s="202" t="s">
        <v>755</v>
      </c>
      <c r="BD368" s="202" t="s">
        <v>671</v>
      </c>
      <c r="BE368" s="202" t="s">
        <v>632</v>
      </c>
      <c r="BF368" s="202" t="s">
        <v>632</v>
      </c>
      <c r="BG368" s="203" t="s">
        <v>5696</v>
      </c>
      <c r="BH368" s="216">
        <f>AS368+AS369</f>
        <v>0</v>
      </c>
      <c r="BI368" s="205"/>
      <c r="BJ368" s="206" t="s">
        <v>5697</v>
      </c>
      <c r="BK368" s="206" t="s">
        <v>5695</v>
      </c>
      <c r="BL368" s="207" t="s">
        <v>5698</v>
      </c>
      <c r="BM368" s="208">
        <f>BH368</f>
        <v>0</v>
      </c>
      <c r="BN368" s="160"/>
      <c r="BO368" s="161">
        <f t="shared" si="461"/>
        <v>0</v>
      </c>
      <c r="BP368" s="161"/>
    </row>
    <row r="369" spans="1:68" ht="25.5">
      <c r="A369" s="210"/>
      <c r="B369" s="195" t="s">
        <v>5701</v>
      </c>
      <c r="C369" s="196" t="s">
        <v>5588</v>
      </c>
      <c r="D369" s="146" t="s">
        <v>4692</v>
      </c>
      <c r="E369" s="196" t="s">
        <v>5588</v>
      </c>
      <c r="F369" s="150">
        <v>0</v>
      </c>
      <c r="G369" s="209">
        <v>0</v>
      </c>
      <c r="H369" s="209">
        <v>3324750.81</v>
      </c>
      <c r="I369" s="209">
        <v>3324750.81</v>
      </c>
      <c r="J369" s="150">
        <v>0</v>
      </c>
      <c r="K369" s="150">
        <v>0</v>
      </c>
      <c r="L369" s="150">
        <f t="shared" si="476"/>
        <v>0</v>
      </c>
      <c r="M369" s="150">
        <v>0</v>
      </c>
      <c r="N369" s="150"/>
      <c r="O369" s="150">
        <v>0</v>
      </c>
      <c r="P369" s="150">
        <v>0</v>
      </c>
      <c r="Q369" s="150"/>
      <c r="R369" s="150">
        <f>P369+Q369</f>
        <v>0</v>
      </c>
      <c r="S369" s="150">
        <f t="shared" si="456"/>
        <v>0</v>
      </c>
      <c r="T369" s="150"/>
      <c r="U369" s="150">
        <v>0</v>
      </c>
      <c r="V369" s="199"/>
      <c r="W369" s="150">
        <f>U369+V369</f>
        <v>0</v>
      </c>
      <c r="X369" s="150">
        <v>0</v>
      </c>
      <c r="Y369" s="150"/>
      <c r="Z369" s="150">
        <v>0</v>
      </c>
      <c r="AA369" s="150">
        <f t="shared" si="457"/>
        <v>0</v>
      </c>
      <c r="AB369" s="150">
        <v>0</v>
      </c>
      <c r="AC369" s="199"/>
      <c r="AD369" s="150">
        <f>AB369+AC369</f>
        <v>0</v>
      </c>
      <c r="AE369" s="150">
        <v>0</v>
      </c>
      <c r="AF369" s="169" t="s">
        <v>4680</v>
      </c>
      <c r="AG369" s="201">
        <v>0</v>
      </c>
      <c r="AH369" s="199"/>
      <c r="AI369" s="150">
        <v>0</v>
      </c>
      <c r="AJ369" s="169">
        <f t="shared" si="458"/>
        <v>0</v>
      </c>
      <c r="AK369" s="201">
        <v>0</v>
      </c>
      <c r="AL369" s="199"/>
      <c r="AM369" s="150">
        <f>AK369+AL369</f>
        <v>0</v>
      </c>
      <c r="AN369" s="153">
        <f t="shared" si="459"/>
        <v>0</v>
      </c>
      <c r="AO369" s="154">
        <f t="shared" si="460"/>
        <v>0</v>
      </c>
      <c r="AP369" s="150">
        <v>0</v>
      </c>
      <c r="AQ369" s="201">
        <v>0</v>
      </c>
      <c r="AR369" s="199"/>
      <c r="AS369" s="150">
        <f>AQ369+AR369</f>
        <v>0</v>
      </c>
      <c r="AT369" s="155"/>
      <c r="AU369" s="156">
        <f t="shared" si="453"/>
        <v>0</v>
      </c>
      <c r="AV369" s="156">
        <f t="shared" si="454"/>
        <v>0</v>
      </c>
      <c r="AW369" s="157"/>
      <c r="AX369" s="150">
        <v>0</v>
      </c>
      <c r="AY369" s="150">
        <v>0</v>
      </c>
      <c r="AZ369" s="150"/>
      <c r="BA369" s="150">
        <f t="shared" si="455"/>
        <v>0</v>
      </c>
      <c r="BB369" s="210"/>
      <c r="BC369" s="210"/>
      <c r="BD369" s="210"/>
      <c r="BE369" s="210"/>
      <c r="BF369" s="210"/>
      <c r="BG369" s="210"/>
      <c r="BH369" s="217"/>
      <c r="BI369" s="210"/>
      <c r="BJ369" s="210"/>
      <c r="BK369" s="210"/>
      <c r="BL369" s="210"/>
      <c r="BM369" s="208"/>
      <c r="BN369" s="160"/>
      <c r="BO369" s="161">
        <f t="shared" si="461"/>
        <v>0</v>
      </c>
      <c r="BP369" s="161"/>
    </row>
    <row r="370" spans="1:68" ht="51">
      <c r="A370" s="255" t="s">
        <v>5702</v>
      </c>
      <c r="B370" s="174"/>
      <c r="C370" s="175" t="s">
        <v>5703</v>
      </c>
      <c r="D370" s="146" t="s">
        <v>4692</v>
      </c>
      <c r="E370" s="175" t="s">
        <v>5703</v>
      </c>
      <c r="F370" s="176">
        <v>3449118.81</v>
      </c>
      <c r="G370" s="177">
        <v>0</v>
      </c>
      <c r="H370" s="177">
        <v>3324750.81</v>
      </c>
      <c r="I370" s="177">
        <v>3324750.81</v>
      </c>
      <c r="J370" s="176">
        <f>J371</f>
        <v>0</v>
      </c>
      <c r="K370" s="176">
        <f>K371</f>
        <v>867187.75</v>
      </c>
      <c r="L370" s="176">
        <f t="shared" si="476"/>
        <v>867187.75</v>
      </c>
      <c r="M370" s="178">
        <v>0</v>
      </c>
      <c r="N370" s="178">
        <v>1739907.99</v>
      </c>
      <c r="O370" s="178">
        <v>1739907.99</v>
      </c>
      <c r="P370" s="221">
        <f t="shared" ref="P370:AS370" si="486">P371</f>
        <v>0</v>
      </c>
      <c r="Q370" s="221">
        <f t="shared" si="486"/>
        <v>3420521.82</v>
      </c>
      <c r="R370" s="221">
        <f t="shared" si="486"/>
        <v>3420521.82</v>
      </c>
      <c r="S370" s="150">
        <f t="shared" si="456"/>
        <v>4560695.76</v>
      </c>
      <c r="T370" s="213"/>
      <c r="U370" s="221">
        <f t="shared" ref="U370:W370" si="487">U371</f>
        <v>0</v>
      </c>
      <c r="V370" s="222">
        <f t="shared" si="487"/>
        <v>3379126.74</v>
      </c>
      <c r="W370" s="221">
        <f t="shared" si="487"/>
        <v>3379126.74</v>
      </c>
      <c r="X370" s="221">
        <v>0</v>
      </c>
      <c r="Y370" s="221">
        <v>3379126.74</v>
      </c>
      <c r="Z370" s="221">
        <v>3379126.74</v>
      </c>
      <c r="AA370" s="221">
        <f t="shared" si="457"/>
        <v>87704.209999999963</v>
      </c>
      <c r="AB370" s="221">
        <v>0</v>
      </c>
      <c r="AC370" s="222">
        <v>3466830.95</v>
      </c>
      <c r="AD370" s="221">
        <f t="shared" si="486"/>
        <v>3466830.95</v>
      </c>
      <c r="AE370" s="221">
        <v>4076250.2499999991</v>
      </c>
      <c r="AF370" s="169" t="s">
        <v>4680</v>
      </c>
      <c r="AG370" s="223">
        <v>0</v>
      </c>
      <c r="AH370" s="222">
        <v>4076250.2499999991</v>
      </c>
      <c r="AI370" s="221">
        <v>4076250.2499999991</v>
      </c>
      <c r="AJ370" s="169">
        <f t="shared" si="458"/>
        <v>0</v>
      </c>
      <c r="AK370" s="223">
        <v>0</v>
      </c>
      <c r="AL370" s="222">
        <v>4076250.2499999991</v>
      </c>
      <c r="AM370" s="221">
        <f t="shared" si="486"/>
        <v>4076250.2499999991</v>
      </c>
      <c r="AN370" s="153">
        <f t="shared" si="459"/>
        <v>113871.03000000073</v>
      </c>
      <c r="AO370" s="154">
        <f t="shared" si="460"/>
        <v>113871.03000000073</v>
      </c>
      <c r="AP370" s="221">
        <v>4076250.2499999991</v>
      </c>
      <c r="AQ370" s="223">
        <v>4190121.28</v>
      </c>
      <c r="AR370" s="222">
        <f t="shared" si="486"/>
        <v>0</v>
      </c>
      <c r="AS370" s="221">
        <f t="shared" si="486"/>
        <v>4190121.28</v>
      </c>
      <c r="AT370" s="155"/>
      <c r="AU370" s="156">
        <f t="shared" si="453"/>
        <v>609419.29999999888</v>
      </c>
      <c r="AV370" s="156">
        <f t="shared" si="454"/>
        <v>87704.209999999963</v>
      </c>
      <c r="AW370" s="157"/>
      <c r="AX370" s="150">
        <v>3379126.74</v>
      </c>
      <c r="AY370" s="221">
        <f t="shared" ref="AY370:BA370" si="488">AY371</f>
        <v>0</v>
      </c>
      <c r="AZ370" s="221">
        <f t="shared" si="488"/>
        <v>3624927.04</v>
      </c>
      <c r="BA370" s="221">
        <f t="shared" si="488"/>
        <v>3624927.04</v>
      </c>
      <c r="BB370" s="254">
        <v>4</v>
      </c>
      <c r="BC370" s="255" t="s">
        <v>755</v>
      </c>
      <c r="BD370" s="255" t="s">
        <v>693</v>
      </c>
      <c r="BE370" s="173" t="s">
        <v>630</v>
      </c>
      <c r="BF370" s="255" t="s">
        <v>630</v>
      </c>
      <c r="BG370" s="175" t="s">
        <v>5703</v>
      </c>
      <c r="BH370" s="224">
        <f>BH371</f>
        <v>4190121.28</v>
      </c>
      <c r="BI370" s="254"/>
      <c r="BJ370" s="255" t="s">
        <v>5704</v>
      </c>
      <c r="BK370" s="255" t="s">
        <v>5702</v>
      </c>
      <c r="BL370" s="182" t="s">
        <v>5705</v>
      </c>
      <c r="BM370" s="224">
        <f>BM371</f>
        <v>4190121.28</v>
      </c>
      <c r="BN370" s="160"/>
      <c r="BO370" s="161">
        <f t="shared" si="461"/>
        <v>0</v>
      </c>
      <c r="BP370" s="161"/>
    </row>
    <row r="371" spans="1:68" ht="51">
      <c r="A371" s="256" t="s">
        <v>5702</v>
      </c>
      <c r="B371" s="184"/>
      <c r="C371" s="185" t="s">
        <v>5703</v>
      </c>
      <c r="D371" s="146" t="s">
        <v>4692</v>
      </c>
      <c r="E371" s="185" t="s">
        <v>5703</v>
      </c>
      <c r="F371" s="186">
        <v>3449118.81</v>
      </c>
      <c r="G371" s="187">
        <v>0</v>
      </c>
      <c r="H371" s="187">
        <v>3324750.81</v>
      </c>
      <c r="I371" s="187">
        <v>3324750.81</v>
      </c>
      <c r="J371" s="186">
        <f>SUM(J372:J389)</f>
        <v>0</v>
      </c>
      <c r="K371" s="186">
        <f>SUM(K372:K389)</f>
        <v>867187.75</v>
      </c>
      <c r="L371" s="186">
        <f t="shared" si="476"/>
        <v>867187.75</v>
      </c>
      <c r="M371" s="188">
        <v>0</v>
      </c>
      <c r="N371" s="188">
        <v>1739907.99</v>
      </c>
      <c r="O371" s="188">
        <v>1739907.99</v>
      </c>
      <c r="P371" s="225">
        <f t="shared" ref="P371:R371" si="489">SUM(P372:P389)</f>
        <v>0</v>
      </c>
      <c r="Q371" s="225">
        <f t="shared" si="489"/>
        <v>3420521.82</v>
      </c>
      <c r="R371" s="225">
        <f t="shared" si="489"/>
        <v>3420521.82</v>
      </c>
      <c r="S371" s="150">
        <f t="shared" si="456"/>
        <v>4560695.76</v>
      </c>
      <c r="T371" s="213"/>
      <c r="U371" s="225">
        <f t="shared" ref="U371:W371" si="490">SUM(U372:U389)</f>
        <v>0</v>
      </c>
      <c r="V371" s="226">
        <f t="shared" si="490"/>
        <v>3379126.74</v>
      </c>
      <c r="W371" s="225">
        <f t="shared" si="490"/>
        <v>3379126.74</v>
      </c>
      <c r="X371" s="225">
        <v>0</v>
      </c>
      <c r="Y371" s="225">
        <v>3379126.74</v>
      </c>
      <c r="Z371" s="225">
        <v>3379126.74</v>
      </c>
      <c r="AA371" s="225">
        <f t="shared" si="457"/>
        <v>87704.209999999963</v>
      </c>
      <c r="AB371" s="225">
        <v>0</v>
      </c>
      <c r="AC371" s="226">
        <v>3466830.95</v>
      </c>
      <c r="AD371" s="225">
        <f t="shared" ref="AD371" si="491">SUM(AD372:AD389)</f>
        <v>3466830.95</v>
      </c>
      <c r="AE371" s="225">
        <v>4076250.2499999991</v>
      </c>
      <c r="AF371" s="169" t="s">
        <v>4680</v>
      </c>
      <c r="AG371" s="212">
        <v>0</v>
      </c>
      <c r="AH371" s="226">
        <v>4076250.2499999991</v>
      </c>
      <c r="AI371" s="225">
        <v>4076250.2499999991</v>
      </c>
      <c r="AJ371" s="169">
        <f t="shared" si="458"/>
        <v>0</v>
      </c>
      <c r="AK371" s="212">
        <v>0</v>
      </c>
      <c r="AL371" s="226">
        <v>4076250.2499999991</v>
      </c>
      <c r="AM371" s="225">
        <f t="shared" ref="AM371" si="492">SUM(AM372:AM389)</f>
        <v>4076250.2499999991</v>
      </c>
      <c r="AN371" s="153">
        <f t="shared" si="459"/>
        <v>113871.03000000073</v>
      </c>
      <c r="AO371" s="154">
        <f t="shared" si="460"/>
        <v>113871.03000000073</v>
      </c>
      <c r="AP371" s="225">
        <v>4076250.2499999991</v>
      </c>
      <c r="AQ371" s="212">
        <v>4190121.28</v>
      </c>
      <c r="AR371" s="226">
        <f t="shared" ref="AR371:AS371" si="493">SUM(AR372:AR389)</f>
        <v>0</v>
      </c>
      <c r="AS371" s="225">
        <f t="shared" si="493"/>
        <v>4190121.28</v>
      </c>
      <c r="AT371" s="155" t="s">
        <v>5706</v>
      </c>
      <c r="AU371" s="156">
        <f t="shared" si="453"/>
        <v>609419.29999999888</v>
      </c>
      <c r="AV371" s="156">
        <f t="shared" si="454"/>
        <v>87704.209999999963</v>
      </c>
      <c r="AW371" s="157" t="s">
        <v>5706</v>
      </c>
      <c r="AX371" s="150">
        <v>3379126.74</v>
      </c>
      <c r="AY371" s="225">
        <f t="shared" ref="AY371:BA371" si="494">SUM(AY372:AY389)</f>
        <v>0</v>
      </c>
      <c r="AZ371" s="225">
        <f t="shared" si="494"/>
        <v>3624927.04</v>
      </c>
      <c r="BA371" s="225">
        <f t="shared" si="494"/>
        <v>3624927.04</v>
      </c>
      <c r="BB371" s="192">
        <v>4</v>
      </c>
      <c r="BC371" s="256" t="s">
        <v>755</v>
      </c>
      <c r="BD371" s="256" t="s">
        <v>693</v>
      </c>
      <c r="BE371" s="256" t="s">
        <v>632</v>
      </c>
      <c r="BF371" s="256" t="s">
        <v>630</v>
      </c>
      <c r="BG371" s="185" t="s">
        <v>5703</v>
      </c>
      <c r="BH371" s="215">
        <f>SUM(BH372:BH389)</f>
        <v>4190121.28</v>
      </c>
      <c r="BI371" s="192"/>
      <c r="BJ371" s="256" t="s">
        <v>5704</v>
      </c>
      <c r="BK371" s="256" t="s">
        <v>5702</v>
      </c>
      <c r="BL371" s="238" t="s">
        <v>5705</v>
      </c>
      <c r="BM371" s="215">
        <f>SUM(BM372:BM389)</f>
        <v>4190121.28</v>
      </c>
      <c r="BN371" s="160"/>
      <c r="BO371" s="161">
        <f t="shared" si="461"/>
        <v>0</v>
      </c>
      <c r="BP371" s="161"/>
    </row>
    <row r="372" spans="1:68" ht="51">
      <c r="A372" s="206" t="s">
        <v>5702</v>
      </c>
      <c r="B372" s="195" t="s">
        <v>5707</v>
      </c>
      <c r="C372" s="196" t="s">
        <v>5708</v>
      </c>
      <c r="D372" s="146" t="s">
        <v>4692</v>
      </c>
      <c r="E372" s="196" t="s">
        <v>5708</v>
      </c>
      <c r="F372" s="150">
        <v>3449118.81</v>
      </c>
      <c r="G372" s="209">
        <v>0</v>
      </c>
      <c r="H372" s="209"/>
      <c r="I372" s="209">
        <v>0</v>
      </c>
      <c r="J372" s="150">
        <v>0</v>
      </c>
      <c r="K372" s="150">
        <v>867187.75</v>
      </c>
      <c r="L372" s="150">
        <f t="shared" si="476"/>
        <v>867187.75</v>
      </c>
      <c r="M372" s="150">
        <v>0</v>
      </c>
      <c r="N372" s="150">
        <v>1739907.99</v>
      </c>
      <c r="O372" s="150">
        <v>1739907.99</v>
      </c>
      <c r="P372" s="150">
        <v>0</v>
      </c>
      <c r="Q372" s="237">
        <f>Q71*-1</f>
        <v>3420521.82</v>
      </c>
      <c r="R372" s="150">
        <f t="shared" ref="R372:R389" si="495">P372+Q372</f>
        <v>3420521.82</v>
      </c>
      <c r="S372" s="150">
        <f t="shared" si="456"/>
        <v>4560695.76</v>
      </c>
      <c r="T372" s="150"/>
      <c r="U372" s="150">
        <v>0</v>
      </c>
      <c r="V372" s="230">
        <f>-V71</f>
        <v>3379126.74</v>
      </c>
      <c r="W372" s="150">
        <f t="shared" ref="W372:W389" si="496">U372+V372</f>
        <v>3379126.74</v>
      </c>
      <c r="X372" s="150">
        <v>0</v>
      </c>
      <c r="Y372" s="150">
        <v>3379126.74</v>
      </c>
      <c r="Z372" s="150">
        <v>3379126.74</v>
      </c>
      <c r="AA372" s="150">
        <f t="shared" si="457"/>
        <v>87704.209999999963</v>
      </c>
      <c r="AB372" s="150">
        <v>0</v>
      </c>
      <c r="AC372" s="230">
        <v>3466830.95</v>
      </c>
      <c r="AD372" s="150">
        <f t="shared" ref="AD372:AD389" si="497">AB372+AC372</f>
        <v>3466830.95</v>
      </c>
      <c r="AE372" s="279">
        <v>4076250.2499999991</v>
      </c>
      <c r="AF372" s="169" t="s">
        <v>4680</v>
      </c>
      <c r="AG372" s="201">
        <v>0</v>
      </c>
      <c r="AH372" s="279">
        <v>4076250.2499999991</v>
      </c>
      <c r="AI372" s="150">
        <v>4076250.2499999991</v>
      </c>
      <c r="AJ372" s="169">
        <f t="shared" si="458"/>
        <v>0</v>
      </c>
      <c r="AK372" s="201">
        <v>0</v>
      </c>
      <c r="AL372" s="279">
        <v>4076250.2499999991</v>
      </c>
      <c r="AM372" s="150">
        <f t="shared" ref="AM372:AM389" si="498">AK372+AL372</f>
        <v>4076250.2499999991</v>
      </c>
      <c r="AN372" s="153">
        <f t="shared" si="459"/>
        <v>113871.03000000073</v>
      </c>
      <c r="AO372" s="154">
        <f t="shared" si="460"/>
        <v>113871.03000000073</v>
      </c>
      <c r="AP372" s="150">
        <v>4076250.2499999991</v>
      </c>
      <c r="AQ372" s="201">
        <v>4190121.28</v>
      </c>
      <c r="AR372" s="150"/>
      <c r="AS372" s="150">
        <f t="shared" ref="AS372:AS389" si="499">AQ372+AR372</f>
        <v>4190121.28</v>
      </c>
      <c r="AT372" s="155" t="s">
        <v>5709</v>
      </c>
      <c r="AU372" s="156">
        <f t="shared" si="453"/>
        <v>609419.29999999888</v>
      </c>
      <c r="AV372" s="156">
        <f t="shared" si="454"/>
        <v>87704.209999999963</v>
      </c>
      <c r="AW372" s="157"/>
      <c r="AX372" s="150">
        <v>3379126.74</v>
      </c>
      <c r="AY372" s="150">
        <v>0</v>
      </c>
      <c r="AZ372" s="150">
        <f>AZ71*-1</f>
        <v>3624927.04</v>
      </c>
      <c r="BA372" s="150">
        <f t="shared" si="455"/>
        <v>3624927.04</v>
      </c>
      <c r="BB372" s="202">
        <v>4</v>
      </c>
      <c r="BC372" s="202" t="s">
        <v>755</v>
      </c>
      <c r="BD372" s="202" t="s">
        <v>693</v>
      </c>
      <c r="BE372" s="202" t="s">
        <v>632</v>
      </c>
      <c r="BF372" s="202" t="s">
        <v>632</v>
      </c>
      <c r="BG372" s="203" t="s">
        <v>5703</v>
      </c>
      <c r="BH372" s="216">
        <f>SUM(AS372:AS389)</f>
        <v>4190121.28</v>
      </c>
      <c r="BI372" s="205"/>
      <c r="BJ372" s="206" t="s">
        <v>5704</v>
      </c>
      <c r="BK372" s="206" t="s">
        <v>5702</v>
      </c>
      <c r="BL372" s="207" t="s">
        <v>5705</v>
      </c>
      <c r="BM372" s="208">
        <f>BH372</f>
        <v>4190121.28</v>
      </c>
      <c r="BN372" s="160"/>
      <c r="BO372" s="161">
        <f t="shared" si="461"/>
        <v>0</v>
      </c>
      <c r="BP372" s="161"/>
    </row>
    <row r="373" spans="1:68" ht="51">
      <c r="A373" s="210"/>
      <c r="B373" s="195" t="s">
        <v>5710</v>
      </c>
      <c r="C373" s="196" t="s">
        <v>5711</v>
      </c>
      <c r="D373" s="146" t="s">
        <v>4692</v>
      </c>
      <c r="E373" s="196" t="s">
        <v>5711</v>
      </c>
      <c r="F373" s="150">
        <v>0</v>
      </c>
      <c r="G373" s="209">
        <v>0</v>
      </c>
      <c r="H373" s="209"/>
      <c r="I373" s="209">
        <v>0</v>
      </c>
      <c r="J373" s="150">
        <v>0</v>
      </c>
      <c r="K373" s="150">
        <v>0</v>
      </c>
      <c r="L373" s="150">
        <f t="shared" si="476"/>
        <v>0</v>
      </c>
      <c r="M373" s="150">
        <v>0</v>
      </c>
      <c r="N373" s="150"/>
      <c r="O373" s="150">
        <v>0</v>
      </c>
      <c r="P373" s="150">
        <v>0</v>
      </c>
      <c r="Q373" s="150"/>
      <c r="R373" s="150">
        <f t="shared" si="495"/>
        <v>0</v>
      </c>
      <c r="S373" s="150">
        <f t="shared" si="456"/>
        <v>0</v>
      </c>
      <c r="T373" s="150"/>
      <c r="U373" s="150">
        <v>0</v>
      </c>
      <c r="V373" s="199"/>
      <c r="W373" s="150">
        <f t="shared" si="496"/>
        <v>0</v>
      </c>
      <c r="X373" s="150">
        <v>0</v>
      </c>
      <c r="Y373" s="150"/>
      <c r="Z373" s="150">
        <v>0</v>
      </c>
      <c r="AA373" s="150">
        <f t="shared" si="457"/>
        <v>0</v>
      </c>
      <c r="AB373" s="150">
        <v>0</v>
      </c>
      <c r="AC373" s="199"/>
      <c r="AD373" s="150">
        <f t="shared" si="497"/>
        <v>0</v>
      </c>
      <c r="AE373" s="150">
        <v>0</v>
      </c>
      <c r="AF373" s="169" t="s">
        <v>4680</v>
      </c>
      <c r="AG373" s="201">
        <v>0</v>
      </c>
      <c r="AH373" s="199"/>
      <c r="AI373" s="150">
        <v>0</v>
      </c>
      <c r="AJ373" s="169">
        <f t="shared" si="458"/>
        <v>0</v>
      </c>
      <c r="AK373" s="201">
        <v>0</v>
      </c>
      <c r="AL373" s="199"/>
      <c r="AM373" s="150">
        <f t="shared" si="498"/>
        <v>0</v>
      </c>
      <c r="AN373" s="153">
        <f t="shared" si="459"/>
        <v>0</v>
      </c>
      <c r="AO373" s="154">
        <f t="shared" si="460"/>
        <v>0</v>
      </c>
      <c r="AP373" s="150">
        <v>0</v>
      </c>
      <c r="AQ373" s="201">
        <v>0</v>
      </c>
      <c r="AR373" s="199"/>
      <c r="AS373" s="150">
        <f t="shared" si="499"/>
        <v>0</v>
      </c>
      <c r="AT373" s="155"/>
      <c r="AU373" s="156">
        <f t="shared" si="453"/>
        <v>0</v>
      </c>
      <c r="AV373" s="156">
        <f t="shared" si="454"/>
        <v>0</v>
      </c>
      <c r="AW373" s="157"/>
      <c r="AX373" s="150">
        <v>0</v>
      </c>
      <c r="AY373" s="150">
        <v>0</v>
      </c>
      <c r="AZ373" s="150"/>
      <c r="BA373" s="150">
        <f t="shared" si="455"/>
        <v>0</v>
      </c>
      <c r="BB373" s="210"/>
      <c r="BC373" s="210"/>
      <c r="BD373" s="210"/>
      <c r="BE373" s="210"/>
      <c r="BF373" s="210"/>
      <c r="BG373" s="210"/>
      <c r="BH373" s="217"/>
      <c r="BI373" s="210"/>
      <c r="BJ373" s="210"/>
      <c r="BK373" s="210"/>
      <c r="BL373" s="210"/>
      <c r="BM373" s="208"/>
      <c r="BN373" s="160"/>
      <c r="BO373" s="161">
        <f t="shared" si="461"/>
        <v>0</v>
      </c>
      <c r="BP373" s="161"/>
    </row>
    <row r="374" spans="1:68" ht="51">
      <c r="A374" s="210"/>
      <c r="B374" s="195" t="s">
        <v>5712</v>
      </c>
      <c r="C374" s="196" t="s">
        <v>5713</v>
      </c>
      <c r="D374" s="146" t="s">
        <v>4692</v>
      </c>
      <c r="E374" s="196" t="s">
        <v>5713</v>
      </c>
      <c r="F374" s="150">
        <v>0</v>
      </c>
      <c r="G374" s="209">
        <v>0</v>
      </c>
      <c r="H374" s="209"/>
      <c r="I374" s="209">
        <v>0</v>
      </c>
      <c r="J374" s="150">
        <v>0</v>
      </c>
      <c r="K374" s="150">
        <v>0</v>
      </c>
      <c r="L374" s="150">
        <f t="shared" si="476"/>
        <v>0</v>
      </c>
      <c r="M374" s="150">
        <v>0</v>
      </c>
      <c r="N374" s="150"/>
      <c r="O374" s="150">
        <v>0</v>
      </c>
      <c r="P374" s="150">
        <v>0</v>
      </c>
      <c r="Q374" s="150"/>
      <c r="R374" s="150">
        <f t="shared" si="495"/>
        <v>0</v>
      </c>
      <c r="S374" s="150">
        <f t="shared" si="456"/>
        <v>0</v>
      </c>
      <c r="T374" s="150"/>
      <c r="U374" s="150">
        <v>0</v>
      </c>
      <c r="V374" s="199"/>
      <c r="W374" s="150">
        <f t="shared" si="496"/>
        <v>0</v>
      </c>
      <c r="X374" s="150">
        <v>0</v>
      </c>
      <c r="Y374" s="150"/>
      <c r="Z374" s="150">
        <v>0</v>
      </c>
      <c r="AA374" s="150">
        <f t="shared" si="457"/>
        <v>0</v>
      </c>
      <c r="AB374" s="150">
        <v>0</v>
      </c>
      <c r="AC374" s="199"/>
      <c r="AD374" s="150">
        <f t="shared" si="497"/>
        <v>0</v>
      </c>
      <c r="AE374" s="150">
        <v>0</v>
      </c>
      <c r="AF374" s="169" t="s">
        <v>4680</v>
      </c>
      <c r="AG374" s="201">
        <v>0</v>
      </c>
      <c r="AH374" s="199"/>
      <c r="AI374" s="150">
        <v>0</v>
      </c>
      <c r="AJ374" s="169">
        <f t="shared" si="458"/>
        <v>0</v>
      </c>
      <c r="AK374" s="201">
        <v>0</v>
      </c>
      <c r="AL374" s="199"/>
      <c r="AM374" s="150">
        <f t="shared" si="498"/>
        <v>0</v>
      </c>
      <c r="AN374" s="153">
        <f t="shared" si="459"/>
        <v>0</v>
      </c>
      <c r="AO374" s="154">
        <f t="shared" si="460"/>
        <v>0</v>
      </c>
      <c r="AP374" s="150">
        <v>0</v>
      </c>
      <c r="AQ374" s="201">
        <v>0</v>
      </c>
      <c r="AR374" s="199"/>
      <c r="AS374" s="150">
        <f t="shared" si="499"/>
        <v>0</v>
      </c>
      <c r="AT374" s="155"/>
      <c r="AU374" s="156">
        <f t="shared" si="453"/>
        <v>0</v>
      </c>
      <c r="AV374" s="156">
        <f t="shared" si="454"/>
        <v>0</v>
      </c>
      <c r="AW374" s="157"/>
      <c r="AX374" s="150">
        <v>0</v>
      </c>
      <c r="AY374" s="150">
        <v>0</v>
      </c>
      <c r="AZ374" s="150"/>
      <c r="BA374" s="150">
        <f t="shared" si="455"/>
        <v>0</v>
      </c>
      <c r="BB374" s="210"/>
      <c r="BC374" s="210"/>
      <c r="BD374" s="210"/>
      <c r="BE374" s="210"/>
      <c r="BF374" s="210"/>
      <c r="BG374" s="210"/>
      <c r="BH374" s="217"/>
      <c r="BI374" s="210"/>
      <c r="BJ374" s="210"/>
      <c r="BK374" s="210"/>
      <c r="BL374" s="210"/>
      <c r="BM374" s="208"/>
      <c r="BN374" s="160"/>
      <c r="BO374" s="161">
        <f t="shared" si="461"/>
        <v>0</v>
      </c>
      <c r="BP374" s="161"/>
    </row>
    <row r="375" spans="1:68" ht="51">
      <c r="A375" s="210"/>
      <c r="B375" s="195" t="s">
        <v>5714</v>
      </c>
      <c r="C375" s="196" t="s">
        <v>5715</v>
      </c>
      <c r="D375" s="146" t="s">
        <v>4692</v>
      </c>
      <c r="E375" s="196" t="s">
        <v>5715</v>
      </c>
      <c r="F375" s="150">
        <v>0</v>
      </c>
      <c r="G375" s="209">
        <v>0</v>
      </c>
      <c r="H375" s="209"/>
      <c r="I375" s="209">
        <v>0</v>
      </c>
      <c r="J375" s="150">
        <v>0</v>
      </c>
      <c r="K375" s="150">
        <v>0</v>
      </c>
      <c r="L375" s="150">
        <f t="shared" si="476"/>
        <v>0</v>
      </c>
      <c r="M375" s="150">
        <v>0</v>
      </c>
      <c r="N375" s="150"/>
      <c r="O375" s="150">
        <v>0</v>
      </c>
      <c r="P375" s="150">
        <v>0</v>
      </c>
      <c r="Q375" s="150"/>
      <c r="R375" s="150">
        <f t="shared" si="495"/>
        <v>0</v>
      </c>
      <c r="S375" s="150">
        <f t="shared" si="456"/>
        <v>0</v>
      </c>
      <c r="T375" s="150"/>
      <c r="U375" s="150">
        <v>0</v>
      </c>
      <c r="V375" s="199"/>
      <c r="W375" s="150">
        <f t="shared" si="496"/>
        <v>0</v>
      </c>
      <c r="X375" s="150">
        <v>0</v>
      </c>
      <c r="Y375" s="150"/>
      <c r="Z375" s="150">
        <v>0</v>
      </c>
      <c r="AA375" s="150">
        <f t="shared" si="457"/>
        <v>0</v>
      </c>
      <c r="AB375" s="150">
        <v>0</v>
      </c>
      <c r="AC375" s="199"/>
      <c r="AD375" s="150">
        <f t="shared" si="497"/>
        <v>0</v>
      </c>
      <c r="AE375" s="150">
        <v>0</v>
      </c>
      <c r="AF375" s="169" t="s">
        <v>4680</v>
      </c>
      <c r="AG375" s="201">
        <v>0</v>
      </c>
      <c r="AH375" s="199"/>
      <c r="AI375" s="150">
        <v>0</v>
      </c>
      <c r="AJ375" s="169">
        <f t="shared" si="458"/>
        <v>0</v>
      </c>
      <c r="AK375" s="201">
        <v>0</v>
      </c>
      <c r="AL375" s="199"/>
      <c r="AM375" s="150">
        <f t="shared" si="498"/>
        <v>0</v>
      </c>
      <c r="AN375" s="153">
        <f t="shared" si="459"/>
        <v>0</v>
      </c>
      <c r="AO375" s="154">
        <f t="shared" si="460"/>
        <v>0</v>
      </c>
      <c r="AP375" s="150">
        <v>0</v>
      </c>
      <c r="AQ375" s="201">
        <v>0</v>
      </c>
      <c r="AR375" s="199"/>
      <c r="AS375" s="150">
        <f t="shared" si="499"/>
        <v>0</v>
      </c>
      <c r="AT375" s="155"/>
      <c r="AU375" s="156">
        <f t="shared" si="453"/>
        <v>0</v>
      </c>
      <c r="AV375" s="156">
        <f t="shared" si="454"/>
        <v>0</v>
      </c>
      <c r="AW375" s="157"/>
      <c r="AX375" s="150">
        <v>0</v>
      </c>
      <c r="AY375" s="150">
        <v>0</v>
      </c>
      <c r="AZ375" s="150"/>
      <c r="BA375" s="150">
        <f t="shared" si="455"/>
        <v>0</v>
      </c>
      <c r="BB375" s="210"/>
      <c r="BC375" s="210"/>
      <c r="BD375" s="210"/>
      <c r="BE375" s="210"/>
      <c r="BF375" s="210"/>
      <c r="BG375" s="210"/>
      <c r="BH375" s="217"/>
      <c r="BI375" s="210"/>
      <c r="BJ375" s="210"/>
      <c r="BK375" s="210"/>
      <c r="BL375" s="210"/>
      <c r="BM375" s="208"/>
      <c r="BN375" s="160"/>
      <c r="BO375" s="161">
        <f t="shared" si="461"/>
        <v>0</v>
      </c>
      <c r="BP375" s="161"/>
    </row>
    <row r="376" spans="1:68" ht="51">
      <c r="A376" s="210"/>
      <c r="B376" s="195" t="s">
        <v>5716</v>
      </c>
      <c r="C376" s="196" t="s">
        <v>5717</v>
      </c>
      <c r="D376" s="146" t="s">
        <v>4692</v>
      </c>
      <c r="E376" s="196" t="s">
        <v>5717</v>
      </c>
      <c r="F376" s="150">
        <v>0</v>
      </c>
      <c r="G376" s="209">
        <v>0</v>
      </c>
      <c r="H376" s="209"/>
      <c r="I376" s="209">
        <v>0</v>
      </c>
      <c r="J376" s="150">
        <v>0</v>
      </c>
      <c r="K376" s="150">
        <v>0</v>
      </c>
      <c r="L376" s="150">
        <f t="shared" si="476"/>
        <v>0</v>
      </c>
      <c r="M376" s="150">
        <v>0</v>
      </c>
      <c r="N376" s="150"/>
      <c r="O376" s="150">
        <v>0</v>
      </c>
      <c r="P376" s="150">
        <v>0</v>
      </c>
      <c r="Q376" s="150"/>
      <c r="R376" s="150">
        <f t="shared" si="495"/>
        <v>0</v>
      </c>
      <c r="S376" s="150">
        <f t="shared" si="456"/>
        <v>0</v>
      </c>
      <c r="T376" s="150"/>
      <c r="U376" s="150">
        <v>0</v>
      </c>
      <c r="V376" s="199"/>
      <c r="W376" s="150">
        <f t="shared" si="496"/>
        <v>0</v>
      </c>
      <c r="X376" s="150">
        <v>0</v>
      </c>
      <c r="Y376" s="150"/>
      <c r="Z376" s="150">
        <v>0</v>
      </c>
      <c r="AA376" s="150">
        <f t="shared" si="457"/>
        <v>0</v>
      </c>
      <c r="AB376" s="150">
        <v>0</v>
      </c>
      <c r="AC376" s="199"/>
      <c r="AD376" s="150">
        <f t="shared" si="497"/>
        <v>0</v>
      </c>
      <c r="AE376" s="150">
        <v>0</v>
      </c>
      <c r="AF376" s="169" t="s">
        <v>4680</v>
      </c>
      <c r="AG376" s="201">
        <v>0</v>
      </c>
      <c r="AH376" s="199"/>
      <c r="AI376" s="150">
        <v>0</v>
      </c>
      <c r="AJ376" s="169">
        <f t="shared" si="458"/>
        <v>0</v>
      </c>
      <c r="AK376" s="201">
        <v>0</v>
      </c>
      <c r="AL376" s="199"/>
      <c r="AM376" s="150">
        <f t="shared" si="498"/>
        <v>0</v>
      </c>
      <c r="AN376" s="153">
        <f t="shared" si="459"/>
        <v>0</v>
      </c>
      <c r="AO376" s="154">
        <f t="shared" si="460"/>
        <v>0</v>
      </c>
      <c r="AP376" s="150">
        <v>0</v>
      </c>
      <c r="AQ376" s="201">
        <v>0</v>
      </c>
      <c r="AR376" s="199"/>
      <c r="AS376" s="150">
        <f t="shared" si="499"/>
        <v>0</v>
      </c>
      <c r="AT376" s="155"/>
      <c r="AU376" s="156">
        <f t="shared" si="453"/>
        <v>0</v>
      </c>
      <c r="AV376" s="156">
        <f t="shared" si="454"/>
        <v>0</v>
      </c>
      <c r="AW376" s="157"/>
      <c r="AX376" s="150">
        <v>0</v>
      </c>
      <c r="AY376" s="150">
        <v>0</v>
      </c>
      <c r="AZ376" s="150"/>
      <c r="BA376" s="150">
        <f t="shared" si="455"/>
        <v>0</v>
      </c>
      <c r="BB376" s="210"/>
      <c r="BC376" s="210"/>
      <c r="BD376" s="210"/>
      <c r="BE376" s="210"/>
      <c r="BF376" s="210"/>
      <c r="BG376" s="210"/>
      <c r="BH376" s="217"/>
      <c r="BI376" s="210"/>
      <c r="BJ376" s="210"/>
      <c r="BK376" s="210"/>
      <c r="BL376" s="210"/>
      <c r="BM376" s="208"/>
      <c r="BN376" s="160"/>
      <c r="BO376" s="161">
        <f t="shared" si="461"/>
        <v>0</v>
      </c>
      <c r="BP376" s="161"/>
    </row>
    <row r="377" spans="1:68" ht="51">
      <c r="A377" s="210"/>
      <c r="B377" s="195" t="s">
        <v>5718</v>
      </c>
      <c r="C377" s="196" t="s">
        <v>5719</v>
      </c>
      <c r="D377" s="146" t="s">
        <v>4692</v>
      </c>
      <c r="E377" s="196" t="s">
        <v>5719</v>
      </c>
      <c r="F377" s="150">
        <v>0</v>
      </c>
      <c r="G377" s="209">
        <v>0</v>
      </c>
      <c r="H377" s="209"/>
      <c r="I377" s="209">
        <v>0</v>
      </c>
      <c r="J377" s="150">
        <v>0</v>
      </c>
      <c r="K377" s="150">
        <v>0</v>
      </c>
      <c r="L377" s="150">
        <f t="shared" si="476"/>
        <v>0</v>
      </c>
      <c r="M377" s="150">
        <v>0</v>
      </c>
      <c r="N377" s="150"/>
      <c r="O377" s="150">
        <v>0</v>
      </c>
      <c r="P377" s="150">
        <v>0</v>
      </c>
      <c r="Q377" s="150"/>
      <c r="R377" s="150">
        <f t="shared" si="495"/>
        <v>0</v>
      </c>
      <c r="S377" s="150">
        <f t="shared" si="456"/>
        <v>0</v>
      </c>
      <c r="T377" s="150"/>
      <c r="U377" s="150">
        <v>0</v>
      </c>
      <c r="V377" s="199"/>
      <c r="W377" s="150">
        <f t="shared" si="496"/>
        <v>0</v>
      </c>
      <c r="X377" s="150">
        <v>0</v>
      </c>
      <c r="Y377" s="150"/>
      <c r="Z377" s="150">
        <v>0</v>
      </c>
      <c r="AA377" s="150">
        <f t="shared" si="457"/>
        <v>0</v>
      </c>
      <c r="AB377" s="150">
        <v>0</v>
      </c>
      <c r="AC377" s="199"/>
      <c r="AD377" s="150">
        <f t="shared" si="497"/>
        <v>0</v>
      </c>
      <c r="AE377" s="150">
        <v>0</v>
      </c>
      <c r="AF377" s="169" t="s">
        <v>4680</v>
      </c>
      <c r="AG377" s="201">
        <v>0</v>
      </c>
      <c r="AH377" s="199"/>
      <c r="AI377" s="150">
        <v>0</v>
      </c>
      <c r="AJ377" s="169">
        <f t="shared" si="458"/>
        <v>0</v>
      </c>
      <c r="AK377" s="201">
        <v>0</v>
      </c>
      <c r="AL377" s="199"/>
      <c r="AM377" s="150">
        <f t="shared" si="498"/>
        <v>0</v>
      </c>
      <c r="AN377" s="153">
        <f t="shared" si="459"/>
        <v>0</v>
      </c>
      <c r="AO377" s="154">
        <f t="shared" si="460"/>
        <v>0</v>
      </c>
      <c r="AP377" s="150">
        <v>0</v>
      </c>
      <c r="AQ377" s="201">
        <v>0</v>
      </c>
      <c r="AR377" s="199"/>
      <c r="AS377" s="150">
        <f t="shared" si="499"/>
        <v>0</v>
      </c>
      <c r="AT377" s="155"/>
      <c r="AU377" s="156">
        <f t="shared" si="453"/>
        <v>0</v>
      </c>
      <c r="AV377" s="156">
        <f t="shared" si="454"/>
        <v>0</v>
      </c>
      <c r="AW377" s="157"/>
      <c r="AX377" s="150">
        <v>0</v>
      </c>
      <c r="AY377" s="150">
        <v>0</v>
      </c>
      <c r="AZ377" s="150"/>
      <c r="BA377" s="150">
        <f t="shared" si="455"/>
        <v>0</v>
      </c>
      <c r="BB377" s="210"/>
      <c r="BC377" s="210"/>
      <c r="BD377" s="210"/>
      <c r="BE377" s="210"/>
      <c r="BF377" s="210"/>
      <c r="BG377" s="210"/>
      <c r="BH377" s="217"/>
      <c r="BI377" s="210"/>
      <c r="BJ377" s="210"/>
      <c r="BK377" s="210"/>
      <c r="BL377" s="210"/>
      <c r="BM377" s="208"/>
      <c r="BN377" s="160"/>
      <c r="BO377" s="161">
        <f t="shared" si="461"/>
        <v>0</v>
      </c>
      <c r="BP377" s="161"/>
    </row>
    <row r="378" spans="1:68" ht="51">
      <c r="A378" s="210"/>
      <c r="B378" s="195" t="s">
        <v>5720</v>
      </c>
      <c r="C378" s="196" t="s">
        <v>5721</v>
      </c>
      <c r="D378" s="146" t="s">
        <v>4692</v>
      </c>
      <c r="E378" s="196" t="s">
        <v>5721</v>
      </c>
      <c r="F378" s="150">
        <v>0</v>
      </c>
      <c r="G378" s="209">
        <v>0</v>
      </c>
      <c r="H378" s="209"/>
      <c r="I378" s="209">
        <v>0</v>
      </c>
      <c r="J378" s="150">
        <v>0</v>
      </c>
      <c r="K378" s="150">
        <v>0</v>
      </c>
      <c r="L378" s="150">
        <f t="shared" si="476"/>
        <v>0</v>
      </c>
      <c r="M378" s="150">
        <v>0</v>
      </c>
      <c r="N378" s="150"/>
      <c r="O378" s="150">
        <v>0</v>
      </c>
      <c r="P378" s="150">
        <v>0</v>
      </c>
      <c r="Q378" s="150"/>
      <c r="R378" s="150">
        <f t="shared" si="495"/>
        <v>0</v>
      </c>
      <c r="S378" s="150">
        <f t="shared" si="456"/>
        <v>0</v>
      </c>
      <c r="T378" s="150"/>
      <c r="U378" s="150">
        <v>0</v>
      </c>
      <c r="V378" s="199"/>
      <c r="W378" s="150">
        <f t="shared" si="496"/>
        <v>0</v>
      </c>
      <c r="X378" s="150">
        <v>0</v>
      </c>
      <c r="Y378" s="150"/>
      <c r="Z378" s="150">
        <v>0</v>
      </c>
      <c r="AA378" s="150">
        <f t="shared" si="457"/>
        <v>0</v>
      </c>
      <c r="AB378" s="150">
        <v>0</v>
      </c>
      <c r="AC378" s="199"/>
      <c r="AD378" s="150">
        <f t="shared" si="497"/>
        <v>0</v>
      </c>
      <c r="AE378" s="150">
        <v>0</v>
      </c>
      <c r="AF378" s="169" t="s">
        <v>4680</v>
      </c>
      <c r="AG378" s="201">
        <v>0</v>
      </c>
      <c r="AH378" s="199"/>
      <c r="AI378" s="150">
        <v>0</v>
      </c>
      <c r="AJ378" s="169">
        <f t="shared" si="458"/>
        <v>0</v>
      </c>
      <c r="AK378" s="201">
        <v>0</v>
      </c>
      <c r="AL378" s="199"/>
      <c r="AM378" s="150">
        <f t="shared" si="498"/>
        <v>0</v>
      </c>
      <c r="AN378" s="153">
        <f t="shared" si="459"/>
        <v>0</v>
      </c>
      <c r="AO378" s="154">
        <f t="shared" si="460"/>
        <v>0</v>
      </c>
      <c r="AP378" s="150">
        <v>0</v>
      </c>
      <c r="AQ378" s="201">
        <v>0</v>
      </c>
      <c r="AR378" s="199"/>
      <c r="AS378" s="150">
        <f t="shared" si="499"/>
        <v>0</v>
      </c>
      <c r="AT378" s="155"/>
      <c r="AU378" s="156">
        <f t="shared" si="453"/>
        <v>0</v>
      </c>
      <c r="AV378" s="156">
        <f t="shared" si="454"/>
        <v>0</v>
      </c>
      <c r="AW378" s="157"/>
      <c r="AX378" s="150">
        <v>0</v>
      </c>
      <c r="AY378" s="150">
        <v>0</v>
      </c>
      <c r="AZ378" s="150"/>
      <c r="BA378" s="150">
        <f t="shared" si="455"/>
        <v>0</v>
      </c>
      <c r="BB378" s="210"/>
      <c r="BC378" s="210"/>
      <c r="BD378" s="210"/>
      <c r="BE378" s="210"/>
      <c r="BF378" s="210"/>
      <c r="BG378" s="210"/>
      <c r="BH378" s="217"/>
      <c r="BI378" s="210"/>
      <c r="BJ378" s="210"/>
      <c r="BK378" s="210"/>
      <c r="BL378" s="210"/>
      <c r="BM378" s="208"/>
      <c r="BN378" s="160"/>
      <c r="BO378" s="161">
        <f t="shared" si="461"/>
        <v>0</v>
      </c>
      <c r="BP378" s="161"/>
    </row>
    <row r="379" spans="1:68" ht="51">
      <c r="A379" s="210"/>
      <c r="B379" s="195" t="s">
        <v>5722</v>
      </c>
      <c r="C379" s="196" t="s">
        <v>5723</v>
      </c>
      <c r="D379" s="146" t="s">
        <v>4692</v>
      </c>
      <c r="E379" s="196" t="s">
        <v>5723</v>
      </c>
      <c r="F379" s="150">
        <v>0</v>
      </c>
      <c r="G379" s="209">
        <v>0</v>
      </c>
      <c r="H379" s="209"/>
      <c r="I379" s="209">
        <v>0</v>
      </c>
      <c r="J379" s="150">
        <v>0</v>
      </c>
      <c r="K379" s="150">
        <v>0</v>
      </c>
      <c r="L379" s="150">
        <f t="shared" si="476"/>
        <v>0</v>
      </c>
      <c r="M379" s="150">
        <v>0</v>
      </c>
      <c r="N379" s="150"/>
      <c r="O379" s="150">
        <v>0</v>
      </c>
      <c r="P379" s="150">
        <v>0</v>
      </c>
      <c r="Q379" s="150"/>
      <c r="R379" s="150">
        <f t="shared" si="495"/>
        <v>0</v>
      </c>
      <c r="S379" s="150">
        <f t="shared" si="456"/>
        <v>0</v>
      </c>
      <c r="T379" s="150"/>
      <c r="U379" s="150">
        <v>0</v>
      </c>
      <c r="V379" s="199"/>
      <c r="W379" s="150">
        <f t="shared" si="496"/>
        <v>0</v>
      </c>
      <c r="X379" s="150">
        <v>0</v>
      </c>
      <c r="Y379" s="150"/>
      <c r="Z379" s="150">
        <v>0</v>
      </c>
      <c r="AA379" s="150">
        <f t="shared" si="457"/>
        <v>0</v>
      </c>
      <c r="AB379" s="150">
        <v>0</v>
      </c>
      <c r="AC379" s="199"/>
      <c r="AD379" s="150">
        <f t="shared" si="497"/>
        <v>0</v>
      </c>
      <c r="AE379" s="150">
        <v>0</v>
      </c>
      <c r="AF379" s="169" t="s">
        <v>4680</v>
      </c>
      <c r="AG379" s="201">
        <v>0</v>
      </c>
      <c r="AH379" s="199"/>
      <c r="AI379" s="150">
        <v>0</v>
      </c>
      <c r="AJ379" s="169">
        <f t="shared" si="458"/>
        <v>0</v>
      </c>
      <c r="AK379" s="201">
        <v>0</v>
      </c>
      <c r="AL379" s="199"/>
      <c r="AM379" s="150">
        <f t="shared" si="498"/>
        <v>0</v>
      </c>
      <c r="AN379" s="153">
        <f t="shared" si="459"/>
        <v>0</v>
      </c>
      <c r="AO379" s="154">
        <f t="shared" si="460"/>
        <v>0</v>
      </c>
      <c r="AP379" s="150">
        <v>0</v>
      </c>
      <c r="AQ379" s="201">
        <v>0</v>
      </c>
      <c r="AR379" s="199"/>
      <c r="AS379" s="150">
        <f t="shared" si="499"/>
        <v>0</v>
      </c>
      <c r="AT379" s="155"/>
      <c r="AU379" s="156">
        <f t="shared" si="453"/>
        <v>0</v>
      </c>
      <c r="AV379" s="156">
        <f t="shared" si="454"/>
        <v>0</v>
      </c>
      <c r="AW379" s="157"/>
      <c r="AX379" s="150">
        <v>0</v>
      </c>
      <c r="AY379" s="150">
        <v>0</v>
      </c>
      <c r="AZ379" s="150"/>
      <c r="BA379" s="150">
        <f t="shared" si="455"/>
        <v>0</v>
      </c>
      <c r="BB379" s="210"/>
      <c r="BC379" s="210"/>
      <c r="BD379" s="210"/>
      <c r="BE379" s="210"/>
      <c r="BF379" s="210"/>
      <c r="BG379" s="210"/>
      <c r="BH379" s="217"/>
      <c r="BI379" s="210"/>
      <c r="BJ379" s="210"/>
      <c r="BK379" s="210"/>
      <c r="BL379" s="210"/>
      <c r="BM379" s="208"/>
      <c r="BN379" s="160"/>
      <c r="BO379" s="161">
        <f t="shared" si="461"/>
        <v>0</v>
      </c>
      <c r="BP379" s="161"/>
    </row>
    <row r="380" spans="1:68" ht="51">
      <c r="A380" s="210"/>
      <c r="B380" s="195" t="s">
        <v>5724</v>
      </c>
      <c r="C380" s="196" t="s">
        <v>5725</v>
      </c>
      <c r="D380" s="146" t="s">
        <v>4692</v>
      </c>
      <c r="E380" s="196" t="s">
        <v>5725</v>
      </c>
      <c r="F380" s="150">
        <v>0</v>
      </c>
      <c r="G380" s="209">
        <v>0</v>
      </c>
      <c r="H380" s="209"/>
      <c r="I380" s="209">
        <v>0</v>
      </c>
      <c r="J380" s="150">
        <v>0</v>
      </c>
      <c r="K380" s="150">
        <v>0</v>
      </c>
      <c r="L380" s="150">
        <f t="shared" si="476"/>
        <v>0</v>
      </c>
      <c r="M380" s="150">
        <v>0</v>
      </c>
      <c r="N380" s="150"/>
      <c r="O380" s="150">
        <v>0</v>
      </c>
      <c r="P380" s="150">
        <v>0</v>
      </c>
      <c r="Q380" s="150"/>
      <c r="R380" s="150">
        <f t="shared" si="495"/>
        <v>0</v>
      </c>
      <c r="S380" s="150">
        <f t="shared" si="456"/>
        <v>0</v>
      </c>
      <c r="T380" s="150"/>
      <c r="U380" s="150">
        <v>0</v>
      </c>
      <c r="V380" s="199"/>
      <c r="W380" s="150">
        <f t="shared" si="496"/>
        <v>0</v>
      </c>
      <c r="X380" s="150">
        <v>0</v>
      </c>
      <c r="Y380" s="150"/>
      <c r="Z380" s="150">
        <v>0</v>
      </c>
      <c r="AA380" s="150">
        <f t="shared" si="457"/>
        <v>0</v>
      </c>
      <c r="AB380" s="150">
        <v>0</v>
      </c>
      <c r="AC380" s="199"/>
      <c r="AD380" s="150">
        <f t="shared" si="497"/>
        <v>0</v>
      </c>
      <c r="AE380" s="150">
        <v>0</v>
      </c>
      <c r="AF380" s="169" t="s">
        <v>4680</v>
      </c>
      <c r="AG380" s="201">
        <v>0</v>
      </c>
      <c r="AH380" s="199"/>
      <c r="AI380" s="150">
        <v>0</v>
      </c>
      <c r="AJ380" s="169">
        <f t="shared" si="458"/>
        <v>0</v>
      </c>
      <c r="AK380" s="201">
        <v>0</v>
      </c>
      <c r="AL380" s="199"/>
      <c r="AM380" s="150">
        <f t="shared" si="498"/>
        <v>0</v>
      </c>
      <c r="AN380" s="153">
        <f t="shared" si="459"/>
        <v>0</v>
      </c>
      <c r="AO380" s="154">
        <f t="shared" si="460"/>
        <v>0</v>
      </c>
      <c r="AP380" s="150">
        <v>0</v>
      </c>
      <c r="AQ380" s="201">
        <v>0</v>
      </c>
      <c r="AR380" s="199"/>
      <c r="AS380" s="150">
        <f t="shared" si="499"/>
        <v>0</v>
      </c>
      <c r="AT380" s="155"/>
      <c r="AU380" s="156">
        <f t="shared" si="453"/>
        <v>0</v>
      </c>
      <c r="AV380" s="156">
        <f t="shared" si="454"/>
        <v>0</v>
      </c>
      <c r="AW380" s="157"/>
      <c r="AX380" s="150">
        <v>0</v>
      </c>
      <c r="AY380" s="150">
        <v>0</v>
      </c>
      <c r="AZ380" s="150"/>
      <c r="BA380" s="150">
        <f t="shared" si="455"/>
        <v>0</v>
      </c>
      <c r="BB380" s="210"/>
      <c r="BC380" s="210"/>
      <c r="BD380" s="210"/>
      <c r="BE380" s="210"/>
      <c r="BF380" s="210"/>
      <c r="BG380" s="210"/>
      <c r="BH380" s="217"/>
      <c r="BI380" s="210"/>
      <c r="BJ380" s="210"/>
      <c r="BK380" s="210"/>
      <c r="BL380" s="210"/>
      <c r="BM380" s="208"/>
      <c r="BN380" s="160"/>
      <c r="BO380" s="161">
        <f t="shared" si="461"/>
        <v>0</v>
      </c>
      <c r="BP380" s="161"/>
    </row>
    <row r="381" spans="1:68" ht="51">
      <c r="A381" s="210"/>
      <c r="B381" s="195" t="s">
        <v>5726</v>
      </c>
      <c r="C381" s="196" t="s">
        <v>5727</v>
      </c>
      <c r="D381" s="146" t="s">
        <v>4692</v>
      </c>
      <c r="E381" s="196" t="s">
        <v>5727</v>
      </c>
      <c r="F381" s="150">
        <v>0</v>
      </c>
      <c r="G381" s="209">
        <v>0</v>
      </c>
      <c r="H381" s="209"/>
      <c r="I381" s="209">
        <v>0</v>
      </c>
      <c r="J381" s="150">
        <v>0</v>
      </c>
      <c r="K381" s="150">
        <v>0</v>
      </c>
      <c r="L381" s="150">
        <f t="shared" si="476"/>
        <v>0</v>
      </c>
      <c r="M381" s="150">
        <v>0</v>
      </c>
      <c r="N381" s="150"/>
      <c r="O381" s="150">
        <v>0</v>
      </c>
      <c r="P381" s="150">
        <v>0</v>
      </c>
      <c r="Q381" s="150"/>
      <c r="R381" s="150">
        <f t="shared" si="495"/>
        <v>0</v>
      </c>
      <c r="S381" s="150">
        <f t="shared" si="456"/>
        <v>0</v>
      </c>
      <c r="T381" s="150"/>
      <c r="U381" s="150">
        <v>0</v>
      </c>
      <c r="V381" s="199"/>
      <c r="W381" s="150">
        <f t="shared" si="496"/>
        <v>0</v>
      </c>
      <c r="X381" s="150">
        <v>0</v>
      </c>
      <c r="Y381" s="150"/>
      <c r="Z381" s="150">
        <v>0</v>
      </c>
      <c r="AA381" s="150">
        <f t="shared" si="457"/>
        <v>0</v>
      </c>
      <c r="AB381" s="150">
        <v>0</v>
      </c>
      <c r="AC381" s="199"/>
      <c r="AD381" s="150">
        <f t="shared" si="497"/>
        <v>0</v>
      </c>
      <c r="AE381" s="150">
        <v>0</v>
      </c>
      <c r="AF381" s="169" t="s">
        <v>4680</v>
      </c>
      <c r="AG381" s="201">
        <v>0</v>
      </c>
      <c r="AH381" s="199"/>
      <c r="AI381" s="150">
        <v>0</v>
      </c>
      <c r="AJ381" s="169">
        <f t="shared" si="458"/>
        <v>0</v>
      </c>
      <c r="AK381" s="201">
        <v>0</v>
      </c>
      <c r="AL381" s="199"/>
      <c r="AM381" s="150">
        <f t="shared" si="498"/>
        <v>0</v>
      </c>
      <c r="AN381" s="153">
        <f t="shared" si="459"/>
        <v>0</v>
      </c>
      <c r="AO381" s="154">
        <f t="shared" si="460"/>
        <v>0</v>
      </c>
      <c r="AP381" s="150">
        <v>0</v>
      </c>
      <c r="AQ381" s="201">
        <v>0</v>
      </c>
      <c r="AR381" s="199"/>
      <c r="AS381" s="150">
        <f t="shared" si="499"/>
        <v>0</v>
      </c>
      <c r="AT381" s="155"/>
      <c r="AU381" s="156">
        <f t="shared" si="453"/>
        <v>0</v>
      </c>
      <c r="AV381" s="156">
        <f t="shared" si="454"/>
        <v>0</v>
      </c>
      <c r="AW381" s="157"/>
      <c r="AX381" s="150">
        <v>0</v>
      </c>
      <c r="AY381" s="150">
        <v>0</v>
      </c>
      <c r="AZ381" s="150"/>
      <c r="BA381" s="150">
        <f t="shared" si="455"/>
        <v>0</v>
      </c>
      <c r="BB381" s="210"/>
      <c r="BC381" s="210"/>
      <c r="BD381" s="210"/>
      <c r="BE381" s="210"/>
      <c r="BF381" s="210"/>
      <c r="BG381" s="210"/>
      <c r="BH381" s="217"/>
      <c r="BI381" s="210"/>
      <c r="BJ381" s="210"/>
      <c r="BK381" s="210"/>
      <c r="BL381" s="210"/>
      <c r="BM381" s="208"/>
      <c r="BN381" s="160"/>
      <c r="BO381" s="161">
        <f t="shared" si="461"/>
        <v>0</v>
      </c>
      <c r="BP381" s="161"/>
    </row>
    <row r="382" spans="1:68" ht="51">
      <c r="A382" s="210"/>
      <c r="B382" s="195" t="s">
        <v>5728</v>
      </c>
      <c r="C382" s="196" t="s">
        <v>5729</v>
      </c>
      <c r="D382" s="146" t="s">
        <v>4692</v>
      </c>
      <c r="E382" s="196" t="s">
        <v>5729</v>
      </c>
      <c r="F382" s="150">
        <v>0</v>
      </c>
      <c r="G382" s="209">
        <v>0</v>
      </c>
      <c r="H382" s="209"/>
      <c r="I382" s="209">
        <v>0</v>
      </c>
      <c r="J382" s="150">
        <v>0</v>
      </c>
      <c r="K382" s="150">
        <v>0</v>
      </c>
      <c r="L382" s="150">
        <f t="shared" si="476"/>
        <v>0</v>
      </c>
      <c r="M382" s="150">
        <v>0</v>
      </c>
      <c r="N382" s="150"/>
      <c r="O382" s="150">
        <v>0</v>
      </c>
      <c r="P382" s="150">
        <v>0</v>
      </c>
      <c r="Q382" s="150"/>
      <c r="R382" s="150">
        <f t="shared" si="495"/>
        <v>0</v>
      </c>
      <c r="S382" s="150">
        <f t="shared" si="456"/>
        <v>0</v>
      </c>
      <c r="T382" s="150"/>
      <c r="U382" s="150">
        <v>0</v>
      </c>
      <c r="V382" s="199"/>
      <c r="W382" s="150">
        <f t="shared" si="496"/>
        <v>0</v>
      </c>
      <c r="X382" s="150">
        <v>0</v>
      </c>
      <c r="Y382" s="150"/>
      <c r="Z382" s="150">
        <v>0</v>
      </c>
      <c r="AA382" s="150">
        <f t="shared" si="457"/>
        <v>0</v>
      </c>
      <c r="AB382" s="150">
        <v>0</v>
      </c>
      <c r="AC382" s="199"/>
      <c r="AD382" s="150">
        <f t="shared" si="497"/>
        <v>0</v>
      </c>
      <c r="AE382" s="150">
        <v>0</v>
      </c>
      <c r="AF382" s="169" t="s">
        <v>4680</v>
      </c>
      <c r="AG382" s="201">
        <v>0</v>
      </c>
      <c r="AH382" s="199"/>
      <c r="AI382" s="150">
        <v>0</v>
      </c>
      <c r="AJ382" s="169">
        <f t="shared" si="458"/>
        <v>0</v>
      </c>
      <c r="AK382" s="201">
        <v>0</v>
      </c>
      <c r="AL382" s="199"/>
      <c r="AM382" s="150">
        <f t="shared" si="498"/>
        <v>0</v>
      </c>
      <c r="AN382" s="153">
        <f t="shared" si="459"/>
        <v>0</v>
      </c>
      <c r="AO382" s="154">
        <f t="shared" si="460"/>
        <v>0</v>
      </c>
      <c r="AP382" s="150">
        <v>0</v>
      </c>
      <c r="AQ382" s="201">
        <v>0</v>
      </c>
      <c r="AR382" s="199"/>
      <c r="AS382" s="150">
        <f t="shared" si="499"/>
        <v>0</v>
      </c>
      <c r="AT382" s="155"/>
      <c r="AU382" s="156">
        <f t="shared" si="453"/>
        <v>0</v>
      </c>
      <c r="AV382" s="156">
        <f t="shared" si="454"/>
        <v>0</v>
      </c>
      <c r="AW382" s="157"/>
      <c r="AX382" s="150">
        <v>0</v>
      </c>
      <c r="AY382" s="150">
        <v>0</v>
      </c>
      <c r="AZ382" s="150"/>
      <c r="BA382" s="150">
        <f t="shared" si="455"/>
        <v>0</v>
      </c>
      <c r="BB382" s="210"/>
      <c r="BC382" s="210"/>
      <c r="BD382" s="210"/>
      <c r="BE382" s="210"/>
      <c r="BF382" s="210"/>
      <c r="BG382" s="210"/>
      <c r="BH382" s="217"/>
      <c r="BI382" s="210"/>
      <c r="BJ382" s="210"/>
      <c r="BK382" s="210"/>
      <c r="BL382" s="210"/>
      <c r="BM382" s="208"/>
      <c r="BN382" s="160"/>
      <c r="BO382" s="161">
        <f t="shared" si="461"/>
        <v>0</v>
      </c>
      <c r="BP382" s="161"/>
    </row>
    <row r="383" spans="1:68" ht="51">
      <c r="A383" s="210"/>
      <c r="B383" s="195" t="s">
        <v>5730</v>
      </c>
      <c r="C383" s="196" t="s">
        <v>5731</v>
      </c>
      <c r="D383" s="146" t="s">
        <v>4692</v>
      </c>
      <c r="E383" s="196" t="s">
        <v>5731</v>
      </c>
      <c r="F383" s="150">
        <v>0</v>
      </c>
      <c r="G383" s="209">
        <v>0</v>
      </c>
      <c r="H383" s="209"/>
      <c r="I383" s="209">
        <v>0</v>
      </c>
      <c r="J383" s="150">
        <v>0</v>
      </c>
      <c r="K383" s="150">
        <v>0</v>
      </c>
      <c r="L383" s="150">
        <f t="shared" si="476"/>
        <v>0</v>
      </c>
      <c r="M383" s="150">
        <v>0</v>
      </c>
      <c r="N383" s="150"/>
      <c r="O383" s="150">
        <v>0</v>
      </c>
      <c r="P383" s="150">
        <v>0</v>
      </c>
      <c r="Q383" s="150"/>
      <c r="R383" s="150">
        <f t="shared" si="495"/>
        <v>0</v>
      </c>
      <c r="S383" s="150">
        <f t="shared" si="456"/>
        <v>0</v>
      </c>
      <c r="T383" s="150"/>
      <c r="U383" s="150">
        <v>0</v>
      </c>
      <c r="V383" s="199"/>
      <c r="W383" s="150">
        <f t="shared" si="496"/>
        <v>0</v>
      </c>
      <c r="X383" s="150">
        <v>0</v>
      </c>
      <c r="Y383" s="150"/>
      <c r="Z383" s="150">
        <v>0</v>
      </c>
      <c r="AA383" s="150">
        <f t="shared" si="457"/>
        <v>0</v>
      </c>
      <c r="AB383" s="150">
        <v>0</v>
      </c>
      <c r="AC383" s="199"/>
      <c r="AD383" s="150">
        <f t="shared" si="497"/>
        <v>0</v>
      </c>
      <c r="AE383" s="150">
        <v>0</v>
      </c>
      <c r="AF383" s="169" t="s">
        <v>4680</v>
      </c>
      <c r="AG383" s="201">
        <v>0</v>
      </c>
      <c r="AH383" s="199"/>
      <c r="AI383" s="150">
        <v>0</v>
      </c>
      <c r="AJ383" s="169">
        <f t="shared" si="458"/>
        <v>0</v>
      </c>
      <c r="AK383" s="201">
        <v>0</v>
      </c>
      <c r="AL383" s="199"/>
      <c r="AM383" s="150">
        <f t="shared" si="498"/>
        <v>0</v>
      </c>
      <c r="AN383" s="153">
        <f t="shared" si="459"/>
        <v>0</v>
      </c>
      <c r="AO383" s="154">
        <f t="shared" si="460"/>
        <v>0</v>
      </c>
      <c r="AP383" s="150">
        <v>0</v>
      </c>
      <c r="AQ383" s="201">
        <v>0</v>
      </c>
      <c r="AR383" s="199"/>
      <c r="AS383" s="150">
        <f t="shared" si="499"/>
        <v>0</v>
      </c>
      <c r="AT383" s="155"/>
      <c r="AU383" s="156">
        <f t="shared" si="453"/>
        <v>0</v>
      </c>
      <c r="AV383" s="156">
        <f t="shared" si="454"/>
        <v>0</v>
      </c>
      <c r="AW383" s="157"/>
      <c r="AX383" s="150">
        <v>0</v>
      </c>
      <c r="AY383" s="150">
        <v>0</v>
      </c>
      <c r="AZ383" s="150"/>
      <c r="BA383" s="150">
        <f t="shared" si="455"/>
        <v>0</v>
      </c>
      <c r="BB383" s="210"/>
      <c r="BC383" s="210"/>
      <c r="BD383" s="210"/>
      <c r="BE383" s="210"/>
      <c r="BF383" s="210"/>
      <c r="BG383" s="210"/>
      <c r="BH383" s="217"/>
      <c r="BI383" s="210"/>
      <c r="BJ383" s="210"/>
      <c r="BK383" s="210"/>
      <c r="BL383" s="210"/>
      <c r="BM383" s="208"/>
      <c r="BN383" s="160"/>
      <c r="BO383" s="161">
        <f t="shared" si="461"/>
        <v>0</v>
      </c>
      <c r="BP383" s="161"/>
    </row>
    <row r="384" spans="1:68" ht="51">
      <c r="A384" s="210"/>
      <c r="B384" s="195" t="s">
        <v>5732</v>
      </c>
      <c r="C384" s="196" t="s">
        <v>5733</v>
      </c>
      <c r="D384" s="146" t="s">
        <v>4692</v>
      </c>
      <c r="E384" s="196" t="s">
        <v>5733</v>
      </c>
      <c r="F384" s="150">
        <v>0</v>
      </c>
      <c r="G384" s="209">
        <v>0</v>
      </c>
      <c r="H384" s="209"/>
      <c r="I384" s="209">
        <v>0</v>
      </c>
      <c r="J384" s="150">
        <v>0</v>
      </c>
      <c r="K384" s="150">
        <v>0</v>
      </c>
      <c r="L384" s="150">
        <f t="shared" si="476"/>
        <v>0</v>
      </c>
      <c r="M384" s="150">
        <v>0</v>
      </c>
      <c r="N384" s="150"/>
      <c r="O384" s="150">
        <v>0</v>
      </c>
      <c r="P384" s="150">
        <v>0</v>
      </c>
      <c r="Q384" s="150"/>
      <c r="R384" s="150">
        <f t="shared" si="495"/>
        <v>0</v>
      </c>
      <c r="S384" s="150">
        <f t="shared" si="456"/>
        <v>0</v>
      </c>
      <c r="T384" s="150"/>
      <c r="U384" s="150">
        <v>0</v>
      </c>
      <c r="V384" s="199"/>
      <c r="W384" s="150">
        <f t="shared" si="496"/>
        <v>0</v>
      </c>
      <c r="X384" s="150">
        <v>0</v>
      </c>
      <c r="Y384" s="150"/>
      <c r="Z384" s="150">
        <v>0</v>
      </c>
      <c r="AA384" s="150">
        <f t="shared" si="457"/>
        <v>0</v>
      </c>
      <c r="AB384" s="150">
        <v>0</v>
      </c>
      <c r="AC384" s="199"/>
      <c r="AD384" s="150">
        <f t="shared" si="497"/>
        <v>0</v>
      </c>
      <c r="AE384" s="150">
        <v>0</v>
      </c>
      <c r="AF384" s="169" t="s">
        <v>4680</v>
      </c>
      <c r="AG384" s="201">
        <v>0</v>
      </c>
      <c r="AH384" s="199"/>
      <c r="AI384" s="150">
        <v>0</v>
      </c>
      <c r="AJ384" s="169">
        <f t="shared" si="458"/>
        <v>0</v>
      </c>
      <c r="AK384" s="201">
        <v>0</v>
      </c>
      <c r="AL384" s="199"/>
      <c r="AM384" s="150">
        <f t="shared" si="498"/>
        <v>0</v>
      </c>
      <c r="AN384" s="153">
        <f t="shared" si="459"/>
        <v>0</v>
      </c>
      <c r="AO384" s="154">
        <f t="shared" si="460"/>
        <v>0</v>
      </c>
      <c r="AP384" s="150">
        <v>0</v>
      </c>
      <c r="AQ384" s="201">
        <v>0</v>
      </c>
      <c r="AR384" s="199"/>
      <c r="AS384" s="150">
        <f t="shared" si="499"/>
        <v>0</v>
      </c>
      <c r="AT384" s="155"/>
      <c r="AU384" s="156">
        <f t="shared" si="453"/>
        <v>0</v>
      </c>
      <c r="AV384" s="156">
        <f t="shared" si="454"/>
        <v>0</v>
      </c>
      <c r="AW384" s="157"/>
      <c r="AX384" s="150">
        <v>0</v>
      </c>
      <c r="AY384" s="150">
        <v>0</v>
      </c>
      <c r="AZ384" s="150"/>
      <c r="BA384" s="150">
        <f t="shared" si="455"/>
        <v>0</v>
      </c>
      <c r="BB384" s="210"/>
      <c r="BC384" s="210"/>
      <c r="BD384" s="210"/>
      <c r="BE384" s="210"/>
      <c r="BF384" s="210"/>
      <c r="BG384" s="210"/>
      <c r="BH384" s="217"/>
      <c r="BI384" s="210"/>
      <c r="BJ384" s="210"/>
      <c r="BK384" s="210"/>
      <c r="BL384" s="210"/>
      <c r="BM384" s="208"/>
      <c r="BN384" s="160"/>
      <c r="BO384" s="161">
        <f t="shared" si="461"/>
        <v>0</v>
      </c>
      <c r="BP384" s="161"/>
    </row>
    <row r="385" spans="1:68" ht="51">
      <c r="A385" s="210"/>
      <c r="B385" s="195" t="s">
        <v>5734</v>
      </c>
      <c r="C385" s="196" t="s">
        <v>5735</v>
      </c>
      <c r="D385" s="146" t="s">
        <v>4692</v>
      </c>
      <c r="E385" s="196" t="s">
        <v>5735</v>
      </c>
      <c r="F385" s="150">
        <v>0</v>
      </c>
      <c r="G385" s="209">
        <v>0</v>
      </c>
      <c r="H385" s="209"/>
      <c r="I385" s="209">
        <v>0</v>
      </c>
      <c r="J385" s="150">
        <v>0</v>
      </c>
      <c r="K385" s="150">
        <v>0</v>
      </c>
      <c r="L385" s="150">
        <f t="shared" si="476"/>
        <v>0</v>
      </c>
      <c r="M385" s="150">
        <v>0</v>
      </c>
      <c r="N385" s="150"/>
      <c r="O385" s="150">
        <v>0</v>
      </c>
      <c r="P385" s="150">
        <v>0</v>
      </c>
      <c r="Q385" s="150"/>
      <c r="R385" s="150">
        <f t="shared" si="495"/>
        <v>0</v>
      </c>
      <c r="S385" s="150">
        <f t="shared" si="456"/>
        <v>0</v>
      </c>
      <c r="T385" s="150"/>
      <c r="U385" s="150">
        <v>0</v>
      </c>
      <c r="V385" s="199"/>
      <c r="W385" s="150">
        <f t="shared" si="496"/>
        <v>0</v>
      </c>
      <c r="X385" s="150">
        <v>0</v>
      </c>
      <c r="Y385" s="150"/>
      <c r="Z385" s="150">
        <v>0</v>
      </c>
      <c r="AA385" s="150">
        <f t="shared" si="457"/>
        <v>0</v>
      </c>
      <c r="AB385" s="150">
        <v>0</v>
      </c>
      <c r="AC385" s="199"/>
      <c r="AD385" s="150">
        <f t="shared" si="497"/>
        <v>0</v>
      </c>
      <c r="AE385" s="150">
        <v>0</v>
      </c>
      <c r="AF385" s="169" t="s">
        <v>4680</v>
      </c>
      <c r="AG385" s="201">
        <v>0</v>
      </c>
      <c r="AH385" s="199"/>
      <c r="AI385" s="150">
        <v>0</v>
      </c>
      <c r="AJ385" s="169">
        <f t="shared" si="458"/>
        <v>0</v>
      </c>
      <c r="AK385" s="201">
        <v>0</v>
      </c>
      <c r="AL385" s="199"/>
      <c r="AM385" s="150">
        <f t="shared" si="498"/>
        <v>0</v>
      </c>
      <c r="AN385" s="153">
        <f t="shared" si="459"/>
        <v>0</v>
      </c>
      <c r="AO385" s="154">
        <f t="shared" si="460"/>
        <v>0</v>
      </c>
      <c r="AP385" s="150">
        <v>0</v>
      </c>
      <c r="AQ385" s="201">
        <v>0</v>
      </c>
      <c r="AR385" s="199"/>
      <c r="AS385" s="150">
        <f t="shared" si="499"/>
        <v>0</v>
      </c>
      <c r="AT385" s="155"/>
      <c r="AU385" s="156">
        <f t="shared" si="453"/>
        <v>0</v>
      </c>
      <c r="AV385" s="156">
        <f t="shared" si="454"/>
        <v>0</v>
      </c>
      <c r="AW385" s="157"/>
      <c r="AX385" s="150">
        <v>0</v>
      </c>
      <c r="AY385" s="150">
        <v>0</v>
      </c>
      <c r="AZ385" s="150"/>
      <c r="BA385" s="150">
        <f t="shared" si="455"/>
        <v>0</v>
      </c>
      <c r="BB385" s="210"/>
      <c r="BC385" s="210"/>
      <c r="BD385" s="210"/>
      <c r="BE385" s="210"/>
      <c r="BF385" s="210"/>
      <c r="BG385" s="210"/>
      <c r="BH385" s="217"/>
      <c r="BI385" s="210"/>
      <c r="BJ385" s="210"/>
      <c r="BK385" s="210"/>
      <c r="BL385" s="210"/>
      <c r="BM385" s="208"/>
      <c r="BN385" s="160"/>
      <c r="BO385" s="161">
        <f t="shared" si="461"/>
        <v>0</v>
      </c>
      <c r="BP385" s="161"/>
    </row>
    <row r="386" spans="1:68" ht="51">
      <c r="A386" s="210"/>
      <c r="B386" s="195" t="s">
        <v>5736</v>
      </c>
      <c r="C386" s="196" t="s">
        <v>5737</v>
      </c>
      <c r="D386" s="146" t="s">
        <v>4692</v>
      </c>
      <c r="E386" s="196" t="s">
        <v>5737</v>
      </c>
      <c r="F386" s="150">
        <v>0</v>
      </c>
      <c r="G386" s="209">
        <v>0</v>
      </c>
      <c r="H386" s="209"/>
      <c r="I386" s="209">
        <v>0</v>
      </c>
      <c r="J386" s="150">
        <v>0</v>
      </c>
      <c r="K386" s="150">
        <v>0</v>
      </c>
      <c r="L386" s="150">
        <f t="shared" si="476"/>
        <v>0</v>
      </c>
      <c r="M386" s="150">
        <v>0</v>
      </c>
      <c r="N386" s="150"/>
      <c r="O386" s="150">
        <v>0</v>
      </c>
      <c r="P386" s="150">
        <v>0</v>
      </c>
      <c r="Q386" s="150"/>
      <c r="R386" s="150">
        <f t="shared" si="495"/>
        <v>0</v>
      </c>
      <c r="S386" s="150">
        <f t="shared" si="456"/>
        <v>0</v>
      </c>
      <c r="T386" s="150"/>
      <c r="U386" s="150">
        <v>0</v>
      </c>
      <c r="V386" s="199"/>
      <c r="W386" s="150">
        <f t="shared" si="496"/>
        <v>0</v>
      </c>
      <c r="X386" s="150">
        <v>0</v>
      </c>
      <c r="Y386" s="150"/>
      <c r="Z386" s="150">
        <v>0</v>
      </c>
      <c r="AA386" s="150">
        <f t="shared" si="457"/>
        <v>0</v>
      </c>
      <c r="AB386" s="150">
        <v>0</v>
      </c>
      <c r="AC386" s="199"/>
      <c r="AD386" s="150">
        <f t="shared" si="497"/>
        <v>0</v>
      </c>
      <c r="AE386" s="150">
        <v>0</v>
      </c>
      <c r="AF386" s="169" t="s">
        <v>4680</v>
      </c>
      <c r="AG386" s="201">
        <v>0</v>
      </c>
      <c r="AH386" s="199"/>
      <c r="AI386" s="150">
        <v>0</v>
      </c>
      <c r="AJ386" s="169">
        <f t="shared" si="458"/>
        <v>0</v>
      </c>
      <c r="AK386" s="201">
        <v>0</v>
      </c>
      <c r="AL386" s="199"/>
      <c r="AM386" s="150">
        <f t="shared" si="498"/>
        <v>0</v>
      </c>
      <c r="AN386" s="153">
        <f t="shared" si="459"/>
        <v>0</v>
      </c>
      <c r="AO386" s="154">
        <f t="shared" si="460"/>
        <v>0</v>
      </c>
      <c r="AP386" s="150">
        <v>0</v>
      </c>
      <c r="AQ386" s="201">
        <v>0</v>
      </c>
      <c r="AR386" s="199"/>
      <c r="AS386" s="150">
        <f t="shared" si="499"/>
        <v>0</v>
      </c>
      <c r="AT386" s="155"/>
      <c r="AU386" s="156">
        <f t="shared" ref="AU386:AU449" si="500">AM386-AD386</f>
        <v>0</v>
      </c>
      <c r="AV386" s="156">
        <f t="shared" ref="AV386:AV449" si="501">AD386-AX386</f>
        <v>0</v>
      </c>
      <c r="AW386" s="157"/>
      <c r="AX386" s="150">
        <v>0</v>
      </c>
      <c r="AY386" s="150">
        <v>0</v>
      </c>
      <c r="AZ386" s="150"/>
      <c r="BA386" s="150">
        <f t="shared" ref="BA386:BA449" si="502">AY386+AZ386</f>
        <v>0</v>
      </c>
      <c r="BB386" s="210"/>
      <c r="BC386" s="210"/>
      <c r="BD386" s="210"/>
      <c r="BE386" s="210"/>
      <c r="BF386" s="210"/>
      <c r="BG386" s="210"/>
      <c r="BH386" s="217"/>
      <c r="BI386" s="210"/>
      <c r="BJ386" s="210"/>
      <c r="BK386" s="210"/>
      <c r="BL386" s="210"/>
      <c r="BM386" s="208"/>
      <c r="BN386" s="160"/>
      <c r="BO386" s="161">
        <f t="shared" si="461"/>
        <v>0</v>
      </c>
      <c r="BP386" s="161"/>
    </row>
    <row r="387" spans="1:68" ht="51">
      <c r="A387" s="210"/>
      <c r="B387" s="195" t="s">
        <v>5738</v>
      </c>
      <c r="C387" s="196" t="s">
        <v>5739</v>
      </c>
      <c r="D387" s="146" t="s">
        <v>4692</v>
      </c>
      <c r="E387" s="196" t="s">
        <v>5739</v>
      </c>
      <c r="F387" s="150">
        <v>0</v>
      </c>
      <c r="G387" s="209">
        <v>0</v>
      </c>
      <c r="H387" s="209"/>
      <c r="I387" s="209">
        <v>0</v>
      </c>
      <c r="J387" s="150">
        <v>0</v>
      </c>
      <c r="K387" s="150">
        <v>0</v>
      </c>
      <c r="L387" s="150">
        <f t="shared" si="476"/>
        <v>0</v>
      </c>
      <c r="M387" s="150">
        <v>0</v>
      </c>
      <c r="N387" s="150"/>
      <c r="O387" s="150">
        <v>0</v>
      </c>
      <c r="P387" s="150">
        <v>0</v>
      </c>
      <c r="Q387" s="150"/>
      <c r="R387" s="150">
        <f t="shared" si="495"/>
        <v>0</v>
      </c>
      <c r="S387" s="150">
        <f t="shared" ref="S387:S450" si="503">R387/9*12</f>
        <v>0</v>
      </c>
      <c r="T387" s="150"/>
      <c r="U387" s="150">
        <v>0</v>
      </c>
      <c r="V387" s="199"/>
      <c r="W387" s="150">
        <f t="shared" si="496"/>
        <v>0</v>
      </c>
      <c r="X387" s="150">
        <v>0</v>
      </c>
      <c r="Y387" s="150"/>
      <c r="Z387" s="150">
        <v>0</v>
      </c>
      <c r="AA387" s="150">
        <f t="shared" ref="AA387:AA450" si="504">AD387-Z387</f>
        <v>0</v>
      </c>
      <c r="AB387" s="150">
        <v>0</v>
      </c>
      <c r="AC387" s="199"/>
      <c r="AD387" s="150">
        <f t="shared" si="497"/>
        <v>0</v>
      </c>
      <c r="AE387" s="150">
        <v>0</v>
      </c>
      <c r="AF387" s="169" t="s">
        <v>4680</v>
      </c>
      <c r="AG387" s="201">
        <v>0</v>
      </c>
      <c r="AH387" s="199"/>
      <c r="AI387" s="150">
        <v>0</v>
      </c>
      <c r="AJ387" s="169">
        <f t="shared" ref="AJ387:AJ450" si="505">AM387-AI387</f>
        <v>0</v>
      </c>
      <c r="AK387" s="201">
        <v>0</v>
      </c>
      <c r="AL387" s="199"/>
      <c r="AM387" s="150">
        <f t="shared" si="498"/>
        <v>0</v>
      </c>
      <c r="AN387" s="153">
        <f t="shared" ref="AN387:AN450" si="506">AS387-AM387</f>
        <v>0</v>
      </c>
      <c r="AO387" s="154">
        <f t="shared" ref="AO387:AO450" si="507">AS387-AP387</f>
        <v>0</v>
      </c>
      <c r="AP387" s="150">
        <v>0</v>
      </c>
      <c r="AQ387" s="201">
        <v>0</v>
      </c>
      <c r="AR387" s="199"/>
      <c r="AS387" s="150">
        <f t="shared" si="499"/>
        <v>0</v>
      </c>
      <c r="AT387" s="155"/>
      <c r="AU387" s="156">
        <f t="shared" si="500"/>
        <v>0</v>
      </c>
      <c r="AV387" s="156">
        <f t="shared" si="501"/>
        <v>0</v>
      </c>
      <c r="AW387" s="157"/>
      <c r="AX387" s="150">
        <v>0</v>
      </c>
      <c r="AY387" s="150">
        <v>0</v>
      </c>
      <c r="AZ387" s="150"/>
      <c r="BA387" s="150">
        <f t="shared" si="502"/>
        <v>0</v>
      </c>
      <c r="BB387" s="210"/>
      <c r="BC387" s="210"/>
      <c r="BD387" s="210"/>
      <c r="BE387" s="210"/>
      <c r="BF387" s="210"/>
      <c r="BG387" s="210"/>
      <c r="BH387" s="217"/>
      <c r="BI387" s="210"/>
      <c r="BJ387" s="210"/>
      <c r="BK387" s="210"/>
      <c r="BL387" s="210"/>
      <c r="BM387" s="208"/>
      <c r="BN387" s="160"/>
      <c r="BO387" s="161">
        <f t="shared" si="461"/>
        <v>0</v>
      </c>
      <c r="BP387" s="161"/>
    </row>
    <row r="388" spans="1:68" ht="51">
      <c r="A388" s="210"/>
      <c r="B388" s="195" t="s">
        <v>5740</v>
      </c>
      <c r="C388" s="196" t="s">
        <v>5741</v>
      </c>
      <c r="D388" s="146" t="s">
        <v>4692</v>
      </c>
      <c r="E388" s="196" t="s">
        <v>5741</v>
      </c>
      <c r="F388" s="150">
        <v>0</v>
      </c>
      <c r="G388" s="209">
        <v>0</v>
      </c>
      <c r="H388" s="209"/>
      <c r="I388" s="209">
        <v>0</v>
      </c>
      <c r="J388" s="150">
        <v>0</v>
      </c>
      <c r="K388" s="150">
        <v>0</v>
      </c>
      <c r="L388" s="150">
        <f t="shared" si="476"/>
        <v>0</v>
      </c>
      <c r="M388" s="150">
        <v>0</v>
      </c>
      <c r="N388" s="150"/>
      <c r="O388" s="150">
        <v>0</v>
      </c>
      <c r="P388" s="150">
        <v>0</v>
      </c>
      <c r="Q388" s="150"/>
      <c r="R388" s="150">
        <f t="shared" si="495"/>
        <v>0</v>
      </c>
      <c r="S388" s="150">
        <f t="shared" si="503"/>
        <v>0</v>
      </c>
      <c r="T388" s="150"/>
      <c r="U388" s="150">
        <v>0</v>
      </c>
      <c r="V388" s="199"/>
      <c r="W388" s="150">
        <f t="shared" si="496"/>
        <v>0</v>
      </c>
      <c r="X388" s="150">
        <v>0</v>
      </c>
      <c r="Y388" s="150"/>
      <c r="Z388" s="150">
        <v>0</v>
      </c>
      <c r="AA388" s="150">
        <f t="shared" si="504"/>
        <v>0</v>
      </c>
      <c r="AB388" s="150">
        <v>0</v>
      </c>
      <c r="AC388" s="199"/>
      <c r="AD388" s="150">
        <f t="shared" si="497"/>
        <v>0</v>
      </c>
      <c r="AE388" s="150">
        <v>0</v>
      </c>
      <c r="AF388" s="169" t="s">
        <v>4680</v>
      </c>
      <c r="AG388" s="201">
        <v>0</v>
      </c>
      <c r="AH388" s="199"/>
      <c r="AI388" s="150">
        <v>0</v>
      </c>
      <c r="AJ388" s="169">
        <f t="shared" si="505"/>
        <v>0</v>
      </c>
      <c r="AK388" s="201">
        <v>0</v>
      </c>
      <c r="AL388" s="199"/>
      <c r="AM388" s="150">
        <f t="shared" si="498"/>
        <v>0</v>
      </c>
      <c r="AN388" s="153">
        <f t="shared" si="506"/>
        <v>0</v>
      </c>
      <c r="AO388" s="154">
        <f t="shared" si="507"/>
        <v>0</v>
      </c>
      <c r="AP388" s="150">
        <v>0</v>
      </c>
      <c r="AQ388" s="201">
        <v>0</v>
      </c>
      <c r="AR388" s="199"/>
      <c r="AS388" s="150">
        <f t="shared" si="499"/>
        <v>0</v>
      </c>
      <c r="AT388" s="155"/>
      <c r="AU388" s="156">
        <f t="shared" si="500"/>
        <v>0</v>
      </c>
      <c r="AV388" s="156">
        <f t="shared" si="501"/>
        <v>0</v>
      </c>
      <c r="AW388" s="157"/>
      <c r="AX388" s="150">
        <v>0</v>
      </c>
      <c r="AY388" s="150">
        <v>0</v>
      </c>
      <c r="AZ388" s="150"/>
      <c r="BA388" s="150">
        <f t="shared" si="502"/>
        <v>0</v>
      </c>
      <c r="BB388" s="210"/>
      <c r="BC388" s="210"/>
      <c r="BD388" s="210"/>
      <c r="BE388" s="210"/>
      <c r="BF388" s="210"/>
      <c r="BG388" s="210"/>
      <c r="BH388" s="217"/>
      <c r="BI388" s="210"/>
      <c r="BJ388" s="210"/>
      <c r="BK388" s="210"/>
      <c r="BL388" s="210"/>
      <c r="BM388" s="208"/>
      <c r="BN388" s="160"/>
      <c r="BO388" s="161">
        <f t="shared" ref="BO388:BO451" si="508">BM388-AS388</f>
        <v>0</v>
      </c>
      <c r="BP388" s="161"/>
    </row>
    <row r="389" spans="1:68" ht="51">
      <c r="A389" s="210"/>
      <c r="B389" s="195" t="s">
        <v>5742</v>
      </c>
      <c r="C389" s="196" t="s">
        <v>5743</v>
      </c>
      <c r="D389" s="146" t="s">
        <v>4692</v>
      </c>
      <c r="E389" s="196" t="s">
        <v>5743</v>
      </c>
      <c r="F389" s="150">
        <v>0</v>
      </c>
      <c r="G389" s="209">
        <v>0</v>
      </c>
      <c r="H389" s="209">
        <v>0</v>
      </c>
      <c r="I389" s="209">
        <v>0</v>
      </c>
      <c r="J389" s="150">
        <v>0</v>
      </c>
      <c r="K389" s="150">
        <v>0</v>
      </c>
      <c r="L389" s="150">
        <f t="shared" si="476"/>
        <v>0</v>
      </c>
      <c r="M389" s="150">
        <v>0</v>
      </c>
      <c r="N389" s="150"/>
      <c r="O389" s="150">
        <v>0</v>
      </c>
      <c r="P389" s="150">
        <v>0</v>
      </c>
      <c r="Q389" s="150"/>
      <c r="R389" s="150">
        <f t="shared" si="495"/>
        <v>0</v>
      </c>
      <c r="S389" s="150">
        <f t="shared" si="503"/>
        <v>0</v>
      </c>
      <c r="T389" s="150"/>
      <c r="U389" s="150">
        <v>0</v>
      </c>
      <c r="V389" s="199"/>
      <c r="W389" s="150">
        <f t="shared" si="496"/>
        <v>0</v>
      </c>
      <c r="X389" s="150">
        <v>0</v>
      </c>
      <c r="Y389" s="150"/>
      <c r="Z389" s="150">
        <v>0</v>
      </c>
      <c r="AA389" s="150">
        <f t="shared" si="504"/>
        <v>0</v>
      </c>
      <c r="AB389" s="150">
        <v>0</v>
      </c>
      <c r="AC389" s="199"/>
      <c r="AD389" s="150">
        <f t="shared" si="497"/>
        <v>0</v>
      </c>
      <c r="AE389" s="150">
        <v>0</v>
      </c>
      <c r="AF389" s="169" t="s">
        <v>4680</v>
      </c>
      <c r="AG389" s="201">
        <v>0</v>
      </c>
      <c r="AH389" s="199"/>
      <c r="AI389" s="150">
        <v>0</v>
      </c>
      <c r="AJ389" s="169">
        <f t="shared" si="505"/>
        <v>0</v>
      </c>
      <c r="AK389" s="201">
        <v>0</v>
      </c>
      <c r="AL389" s="199"/>
      <c r="AM389" s="150">
        <f t="shared" si="498"/>
        <v>0</v>
      </c>
      <c r="AN389" s="153">
        <f t="shared" si="506"/>
        <v>0</v>
      </c>
      <c r="AO389" s="154">
        <f t="shared" si="507"/>
        <v>0</v>
      </c>
      <c r="AP389" s="150">
        <v>0</v>
      </c>
      <c r="AQ389" s="201">
        <v>0</v>
      </c>
      <c r="AR389" s="199"/>
      <c r="AS389" s="150">
        <f t="shared" si="499"/>
        <v>0</v>
      </c>
      <c r="AT389" s="155"/>
      <c r="AU389" s="156">
        <f t="shared" si="500"/>
        <v>0</v>
      </c>
      <c r="AV389" s="156">
        <f t="shared" si="501"/>
        <v>0</v>
      </c>
      <c r="AW389" s="157"/>
      <c r="AX389" s="150">
        <v>0</v>
      </c>
      <c r="AY389" s="150">
        <v>0</v>
      </c>
      <c r="AZ389" s="150"/>
      <c r="BA389" s="150">
        <f t="shared" si="502"/>
        <v>0</v>
      </c>
      <c r="BB389" s="210"/>
      <c r="BC389" s="210"/>
      <c r="BD389" s="210"/>
      <c r="BE389" s="210"/>
      <c r="BF389" s="210"/>
      <c r="BG389" s="210"/>
      <c r="BH389" s="217"/>
      <c r="BI389" s="210"/>
      <c r="BJ389" s="210"/>
      <c r="BK389" s="210"/>
      <c r="BL389" s="210"/>
      <c r="BM389" s="208"/>
      <c r="BN389" s="160"/>
      <c r="BO389" s="161">
        <f t="shared" si="508"/>
        <v>0</v>
      </c>
      <c r="BP389" s="161"/>
    </row>
    <row r="390" spans="1:68" ht="51">
      <c r="A390" s="255" t="s">
        <v>5744</v>
      </c>
      <c r="B390" s="174"/>
      <c r="C390" s="175" t="s">
        <v>5745</v>
      </c>
      <c r="D390" s="146" t="s">
        <v>4692</v>
      </c>
      <c r="E390" s="175" t="s">
        <v>5745</v>
      </c>
      <c r="F390" s="176">
        <v>0</v>
      </c>
      <c r="G390" s="177">
        <v>0</v>
      </c>
      <c r="H390" s="177">
        <v>0</v>
      </c>
      <c r="I390" s="177">
        <v>0</v>
      </c>
      <c r="J390" s="176">
        <f>J391</f>
        <v>0</v>
      </c>
      <c r="K390" s="176">
        <f>K391</f>
        <v>0</v>
      </c>
      <c r="L390" s="176">
        <f t="shared" si="476"/>
        <v>0</v>
      </c>
      <c r="M390" s="178">
        <v>0</v>
      </c>
      <c r="N390" s="178">
        <v>0</v>
      </c>
      <c r="O390" s="178">
        <v>0</v>
      </c>
      <c r="P390" s="221">
        <f t="shared" ref="P390:AS390" si="509">P391</f>
        <v>0</v>
      </c>
      <c r="Q390" s="221">
        <f t="shared" si="509"/>
        <v>0</v>
      </c>
      <c r="R390" s="221">
        <f t="shared" si="509"/>
        <v>0</v>
      </c>
      <c r="S390" s="150">
        <f t="shared" si="503"/>
        <v>0</v>
      </c>
      <c r="T390" s="213"/>
      <c r="U390" s="221">
        <f t="shared" ref="U390:W390" si="510">U391</f>
        <v>0</v>
      </c>
      <c r="V390" s="222">
        <f t="shared" si="510"/>
        <v>0</v>
      </c>
      <c r="W390" s="221">
        <f t="shared" si="510"/>
        <v>0</v>
      </c>
      <c r="X390" s="221">
        <v>0</v>
      </c>
      <c r="Y390" s="221">
        <v>0</v>
      </c>
      <c r="Z390" s="221">
        <v>0</v>
      </c>
      <c r="AA390" s="221">
        <f t="shared" si="504"/>
        <v>0</v>
      </c>
      <c r="AB390" s="221">
        <v>0</v>
      </c>
      <c r="AC390" s="222">
        <v>0</v>
      </c>
      <c r="AD390" s="221">
        <f t="shared" si="509"/>
        <v>0</v>
      </c>
      <c r="AE390" s="221">
        <v>0</v>
      </c>
      <c r="AF390" s="169" t="s">
        <v>4680</v>
      </c>
      <c r="AG390" s="223">
        <v>0</v>
      </c>
      <c r="AH390" s="222">
        <v>0</v>
      </c>
      <c r="AI390" s="221">
        <v>0</v>
      </c>
      <c r="AJ390" s="169">
        <f t="shared" si="505"/>
        <v>0</v>
      </c>
      <c r="AK390" s="223">
        <v>0</v>
      </c>
      <c r="AL390" s="222">
        <v>0</v>
      </c>
      <c r="AM390" s="221">
        <f t="shared" si="509"/>
        <v>0</v>
      </c>
      <c r="AN390" s="153">
        <f t="shared" si="506"/>
        <v>0</v>
      </c>
      <c r="AO390" s="154">
        <f t="shared" si="507"/>
        <v>0</v>
      </c>
      <c r="AP390" s="221">
        <v>0</v>
      </c>
      <c r="AQ390" s="223">
        <v>0</v>
      </c>
      <c r="AR390" s="222">
        <f t="shared" si="509"/>
        <v>0</v>
      </c>
      <c r="AS390" s="221">
        <f t="shared" si="509"/>
        <v>0</v>
      </c>
      <c r="AT390" s="155"/>
      <c r="AU390" s="156">
        <f t="shared" si="500"/>
        <v>0</v>
      </c>
      <c r="AV390" s="156">
        <f t="shared" si="501"/>
        <v>0</v>
      </c>
      <c r="AW390" s="157"/>
      <c r="AX390" s="150">
        <v>0</v>
      </c>
      <c r="AY390" s="221">
        <f t="shared" ref="AY390:BA390" si="511">AY391</f>
        <v>0</v>
      </c>
      <c r="AZ390" s="221">
        <f t="shared" si="511"/>
        <v>0</v>
      </c>
      <c r="BA390" s="221">
        <f t="shared" si="511"/>
        <v>0</v>
      </c>
      <c r="BB390" s="254">
        <v>4</v>
      </c>
      <c r="BC390" s="255" t="s">
        <v>755</v>
      </c>
      <c r="BD390" s="255" t="s">
        <v>714</v>
      </c>
      <c r="BE390" s="173" t="s">
        <v>630</v>
      </c>
      <c r="BF390" s="255" t="s">
        <v>630</v>
      </c>
      <c r="BG390" s="175" t="s">
        <v>5745</v>
      </c>
      <c r="BH390" s="224">
        <f>BH391</f>
        <v>0</v>
      </c>
      <c r="BI390" s="254"/>
      <c r="BJ390" s="255" t="s">
        <v>5746</v>
      </c>
      <c r="BK390" s="255" t="s">
        <v>5744</v>
      </c>
      <c r="BL390" s="182" t="s">
        <v>5747</v>
      </c>
      <c r="BM390" s="224">
        <f>BM391</f>
        <v>0</v>
      </c>
      <c r="BN390" s="160"/>
      <c r="BO390" s="161">
        <f t="shared" si="508"/>
        <v>0</v>
      </c>
      <c r="BP390" s="161"/>
    </row>
    <row r="391" spans="1:68" ht="51">
      <c r="A391" s="256" t="s">
        <v>5744</v>
      </c>
      <c r="B391" s="184"/>
      <c r="C391" s="185" t="s">
        <v>5745</v>
      </c>
      <c r="D391" s="146" t="s">
        <v>4692</v>
      </c>
      <c r="E391" s="185" t="s">
        <v>5745</v>
      </c>
      <c r="F391" s="186">
        <v>0</v>
      </c>
      <c r="G391" s="187">
        <v>0</v>
      </c>
      <c r="H391" s="187"/>
      <c r="I391" s="187">
        <v>0</v>
      </c>
      <c r="J391" s="186">
        <f>SUM(J392)</f>
        <v>0</v>
      </c>
      <c r="K391" s="186">
        <f>SUM(K392)</f>
        <v>0</v>
      </c>
      <c r="L391" s="186">
        <f t="shared" si="476"/>
        <v>0</v>
      </c>
      <c r="M391" s="188">
        <v>0</v>
      </c>
      <c r="N391" s="188">
        <v>0</v>
      </c>
      <c r="O391" s="188">
        <v>0</v>
      </c>
      <c r="P391" s="225">
        <f t="shared" ref="P391:AS391" si="512">SUM(P392)</f>
        <v>0</v>
      </c>
      <c r="Q391" s="225">
        <f t="shared" si="512"/>
        <v>0</v>
      </c>
      <c r="R391" s="225">
        <f t="shared" si="512"/>
        <v>0</v>
      </c>
      <c r="S391" s="150">
        <f t="shared" si="503"/>
        <v>0</v>
      </c>
      <c r="T391" s="213"/>
      <c r="U391" s="225">
        <f t="shared" ref="U391:W391" si="513">SUM(U392)</f>
        <v>0</v>
      </c>
      <c r="V391" s="226">
        <f t="shared" si="513"/>
        <v>0</v>
      </c>
      <c r="W391" s="225">
        <f t="shared" si="513"/>
        <v>0</v>
      </c>
      <c r="X391" s="225">
        <v>0</v>
      </c>
      <c r="Y391" s="225">
        <v>0</v>
      </c>
      <c r="Z391" s="225">
        <v>0</v>
      </c>
      <c r="AA391" s="225">
        <f t="shared" si="504"/>
        <v>0</v>
      </c>
      <c r="AB391" s="225">
        <v>0</v>
      </c>
      <c r="AC391" s="226">
        <v>0</v>
      </c>
      <c r="AD391" s="225">
        <f t="shared" si="512"/>
        <v>0</v>
      </c>
      <c r="AE391" s="225">
        <v>0</v>
      </c>
      <c r="AF391" s="169" t="s">
        <v>4680</v>
      </c>
      <c r="AG391" s="212">
        <v>0</v>
      </c>
      <c r="AH391" s="226">
        <v>0</v>
      </c>
      <c r="AI391" s="225">
        <v>0</v>
      </c>
      <c r="AJ391" s="169">
        <f t="shared" si="505"/>
        <v>0</v>
      </c>
      <c r="AK391" s="212">
        <v>0</v>
      </c>
      <c r="AL391" s="226">
        <v>0</v>
      </c>
      <c r="AM391" s="225">
        <f t="shared" si="512"/>
        <v>0</v>
      </c>
      <c r="AN391" s="153">
        <f t="shared" si="506"/>
        <v>0</v>
      </c>
      <c r="AO391" s="154">
        <f t="shared" si="507"/>
        <v>0</v>
      </c>
      <c r="AP391" s="225">
        <v>0</v>
      </c>
      <c r="AQ391" s="212">
        <v>0</v>
      </c>
      <c r="AR391" s="226">
        <f t="shared" si="512"/>
        <v>0</v>
      </c>
      <c r="AS391" s="225">
        <f t="shared" si="512"/>
        <v>0</v>
      </c>
      <c r="AT391" s="155"/>
      <c r="AU391" s="156">
        <f t="shared" si="500"/>
        <v>0</v>
      </c>
      <c r="AV391" s="156">
        <f t="shared" si="501"/>
        <v>0</v>
      </c>
      <c r="AW391" s="157"/>
      <c r="AX391" s="150">
        <v>0</v>
      </c>
      <c r="AY391" s="225">
        <f t="shared" ref="AY391:BA391" si="514">SUM(AY392)</f>
        <v>0</v>
      </c>
      <c r="AZ391" s="225">
        <f t="shared" si="514"/>
        <v>0</v>
      </c>
      <c r="BA391" s="225">
        <f t="shared" si="514"/>
        <v>0</v>
      </c>
      <c r="BB391" s="192">
        <v>4</v>
      </c>
      <c r="BC391" s="256" t="s">
        <v>755</v>
      </c>
      <c r="BD391" s="256" t="s">
        <v>714</v>
      </c>
      <c r="BE391" s="256" t="s">
        <v>632</v>
      </c>
      <c r="BF391" s="256" t="s">
        <v>630</v>
      </c>
      <c r="BG391" s="185" t="s">
        <v>5745</v>
      </c>
      <c r="BH391" s="215">
        <f>SUM(BH392)</f>
        <v>0</v>
      </c>
      <c r="BI391" s="192"/>
      <c r="BJ391" s="256" t="s">
        <v>5746</v>
      </c>
      <c r="BK391" s="256" t="s">
        <v>5744</v>
      </c>
      <c r="BL391" s="238" t="s">
        <v>5747</v>
      </c>
      <c r="BM391" s="215">
        <f>SUM(BM392)</f>
        <v>0</v>
      </c>
      <c r="BN391" s="160"/>
      <c r="BO391" s="161">
        <f t="shared" si="508"/>
        <v>0</v>
      </c>
      <c r="BP391" s="161"/>
    </row>
    <row r="392" spans="1:68" ht="51">
      <c r="A392" s="206" t="s">
        <v>5744</v>
      </c>
      <c r="B392" s="195" t="s">
        <v>5748</v>
      </c>
      <c r="C392" s="196" t="s">
        <v>5749</v>
      </c>
      <c r="D392" s="146" t="s">
        <v>4692</v>
      </c>
      <c r="E392" s="196" t="s">
        <v>5749</v>
      </c>
      <c r="F392" s="150">
        <v>0</v>
      </c>
      <c r="G392" s="209">
        <v>0</v>
      </c>
      <c r="H392" s="209">
        <v>0</v>
      </c>
      <c r="I392" s="209">
        <v>0</v>
      </c>
      <c r="J392" s="150">
        <v>0</v>
      </c>
      <c r="K392" s="150">
        <v>0</v>
      </c>
      <c r="L392" s="150">
        <f t="shared" ref="L392:L455" si="515">J392+K392</f>
        <v>0</v>
      </c>
      <c r="M392" s="150">
        <v>0</v>
      </c>
      <c r="N392" s="150"/>
      <c r="O392" s="150">
        <v>0</v>
      </c>
      <c r="P392" s="150">
        <v>0</v>
      </c>
      <c r="Q392" s="150"/>
      <c r="R392" s="150">
        <f>P392+Q392</f>
        <v>0</v>
      </c>
      <c r="S392" s="150">
        <f t="shared" si="503"/>
        <v>0</v>
      </c>
      <c r="T392" s="150"/>
      <c r="U392" s="150">
        <v>0</v>
      </c>
      <c r="V392" s="199"/>
      <c r="W392" s="150">
        <f>U392+V392</f>
        <v>0</v>
      </c>
      <c r="X392" s="150">
        <v>0</v>
      </c>
      <c r="Y392" s="150"/>
      <c r="Z392" s="150">
        <v>0</v>
      </c>
      <c r="AA392" s="150">
        <f t="shared" si="504"/>
        <v>0</v>
      </c>
      <c r="AB392" s="150">
        <v>0</v>
      </c>
      <c r="AC392" s="199"/>
      <c r="AD392" s="150">
        <f>AB392+AC392</f>
        <v>0</v>
      </c>
      <c r="AE392" s="150">
        <v>0</v>
      </c>
      <c r="AF392" s="169" t="s">
        <v>4680</v>
      </c>
      <c r="AG392" s="201">
        <v>0</v>
      </c>
      <c r="AH392" s="199"/>
      <c r="AI392" s="150">
        <v>0</v>
      </c>
      <c r="AJ392" s="169">
        <f t="shared" si="505"/>
        <v>0</v>
      </c>
      <c r="AK392" s="201">
        <v>0</v>
      </c>
      <c r="AL392" s="199"/>
      <c r="AM392" s="150">
        <f>AK392+AL392</f>
        <v>0</v>
      </c>
      <c r="AN392" s="153">
        <f t="shared" si="506"/>
        <v>0</v>
      </c>
      <c r="AO392" s="154">
        <f t="shared" si="507"/>
        <v>0</v>
      </c>
      <c r="AP392" s="150">
        <v>0</v>
      </c>
      <c r="AQ392" s="201">
        <v>0</v>
      </c>
      <c r="AR392" s="199"/>
      <c r="AS392" s="150">
        <f>AQ392+AR392</f>
        <v>0</v>
      </c>
      <c r="AT392" s="155"/>
      <c r="AU392" s="156">
        <f t="shared" si="500"/>
        <v>0</v>
      </c>
      <c r="AV392" s="156">
        <f t="shared" si="501"/>
        <v>0</v>
      </c>
      <c r="AW392" s="157"/>
      <c r="AX392" s="150">
        <v>0</v>
      </c>
      <c r="AY392" s="150">
        <v>0</v>
      </c>
      <c r="AZ392" s="150"/>
      <c r="BA392" s="150">
        <f t="shared" si="502"/>
        <v>0</v>
      </c>
      <c r="BB392" s="202">
        <v>4</v>
      </c>
      <c r="BC392" s="202" t="s">
        <v>755</v>
      </c>
      <c r="BD392" s="202" t="s">
        <v>714</v>
      </c>
      <c r="BE392" s="202" t="s">
        <v>632</v>
      </c>
      <c r="BF392" s="202" t="s">
        <v>632</v>
      </c>
      <c r="BG392" s="203" t="s">
        <v>5745</v>
      </c>
      <c r="BH392" s="216">
        <f>AS392</f>
        <v>0</v>
      </c>
      <c r="BI392" s="205"/>
      <c r="BJ392" s="206" t="s">
        <v>5746</v>
      </c>
      <c r="BK392" s="206" t="s">
        <v>5744</v>
      </c>
      <c r="BL392" s="207" t="s">
        <v>5747</v>
      </c>
      <c r="BM392" s="208">
        <f>BH392</f>
        <v>0</v>
      </c>
      <c r="BN392" s="160"/>
      <c r="BO392" s="161">
        <f t="shared" si="508"/>
        <v>0</v>
      </c>
      <c r="BP392" s="161"/>
    </row>
    <row r="393" spans="1:68" ht="38.25">
      <c r="A393" s="255" t="s">
        <v>5750</v>
      </c>
      <c r="B393" s="174"/>
      <c r="C393" s="175" t="s">
        <v>5751</v>
      </c>
      <c r="D393" s="146" t="s">
        <v>4692</v>
      </c>
      <c r="E393" s="175" t="s">
        <v>5751</v>
      </c>
      <c r="F393" s="176">
        <v>0</v>
      </c>
      <c r="G393" s="177">
        <v>0</v>
      </c>
      <c r="H393" s="177">
        <v>0</v>
      </c>
      <c r="I393" s="177">
        <v>0</v>
      </c>
      <c r="J393" s="176">
        <f>J394</f>
        <v>0</v>
      </c>
      <c r="K393" s="176">
        <f>K394</f>
        <v>0</v>
      </c>
      <c r="L393" s="176">
        <f t="shared" si="515"/>
        <v>0</v>
      </c>
      <c r="M393" s="178">
        <v>0</v>
      </c>
      <c r="N393" s="178">
        <v>0</v>
      </c>
      <c r="O393" s="178">
        <v>0</v>
      </c>
      <c r="P393" s="221">
        <f t="shared" ref="P393:AS393" si="516">P394</f>
        <v>0</v>
      </c>
      <c r="Q393" s="221">
        <f t="shared" si="516"/>
        <v>0</v>
      </c>
      <c r="R393" s="221">
        <f t="shared" si="516"/>
        <v>0</v>
      </c>
      <c r="S393" s="150">
        <f t="shared" si="503"/>
        <v>0</v>
      </c>
      <c r="T393" s="213"/>
      <c r="U393" s="221">
        <f t="shared" ref="U393:W393" si="517">U394</f>
        <v>0</v>
      </c>
      <c r="V393" s="222">
        <f t="shared" si="517"/>
        <v>0</v>
      </c>
      <c r="W393" s="221">
        <f t="shared" si="517"/>
        <v>0</v>
      </c>
      <c r="X393" s="221">
        <v>0</v>
      </c>
      <c r="Y393" s="221">
        <v>0</v>
      </c>
      <c r="Z393" s="221">
        <v>0</v>
      </c>
      <c r="AA393" s="221">
        <f t="shared" si="504"/>
        <v>0</v>
      </c>
      <c r="AB393" s="221">
        <v>0</v>
      </c>
      <c r="AC393" s="222">
        <v>0</v>
      </c>
      <c r="AD393" s="221">
        <f t="shared" si="516"/>
        <v>0</v>
      </c>
      <c r="AE393" s="221">
        <v>0</v>
      </c>
      <c r="AF393" s="169" t="s">
        <v>4680</v>
      </c>
      <c r="AG393" s="223">
        <v>0</v>
      </c>
      <c r="AH393" s="222">
        <v>0</v>
      </c>
      <c r="AI393" s="221">
        <v>0</v>
      </c>
      <c r="AJ393" s="169">
        <f t="shared" si="505"/>
        <v>0</v>
      </c>
      <c r="AK393" s="223">
        <v>0</v>
      </c>
      <c r="AL393" s="222">
        <v>0</v>
      </c>
      <c r="AM393" s="221">
        <f t="shared" si="516"/>
        <v>0</v>
      </c>
      <c r="AN393" s="153">
        <f t="shared" si="506"/>
        <v>0</v>
      </c>
      <c r="AO393" s="154">
        <f t="shared" si="507"/>
        <v>0</v>
      </c>
      <c r="AP393" s="221">
        <v>0</v>
      </c>
      <c r="AQ393" s="223">
        <v>0</v>
      </c>
      <c r="AR393" s="222">
        <f t="shared" si="516"/>
        <v>0</v>
      </c>
      <c r="AS393" s="221">
        <f t="shared" si="516"/>
        <v>0</v>
      </c>
      <c r="AT393" s="155"/>
      <c r="AU393" s="156">
        <f t="shared" si="500"/>
        <v>0</v>
      </c>
      <c r="AV393" s="156">
        <f t="shared" si="501"/>
        <v>0</v>
      </c>
      <c r="AW393" s="157"/>
      <c r="AX393" s="150">
        <v>0</v>
      </c>
      <c r="AY393" s="221">
        <f t="shared" ref="AY393:BA393" si="518">AY394</f>
        <v>0</v>
      </c>
      <c r="AZ393" s="221">
        <f t="shared" si="518"/>
        <v>0</v>
      </c>
      <c r="BA393" s="221">
        <f t="shared" si="518"/>
        <v>0</v>
      </c>
      <c r="BB393" s="254">
        <v>4</v>
      </c>
      <c r="BC393" s="255" t="s">
        <v>755</v>
      </c>
      <c r="BD393" s="255" t="s">
        <v>739</v>
      </c>
      <c r="BE393" s="173" t="s">
        <v>630</v>
      </c>
      <c r="BF393" s="255" t="s">
        <v>630</v>
      </c>
      <c r="BG393" s="175" t="s">
        <v>5751</v>
      </c>
      <c r="BH393" s="224">
        <f>BH394</f>
        <v>0</v>
      </c>
      <c r="BI393" s="254"/>
      <c r="BJ393" s="255" t="s">
        <v>5752</v>
      </c>
      <c r="BK393" s="255" t="s">
        <v>5750</v>
      </c>
      <c r="BL393" s="182" t="s">
        <v>5753</v>
      </c>
      <c r="BM393" s="224">
        <f>BM394</f>
        <v>0</v>
      </c>
      <c r="BN393" s="160"/>
      <c r="BO393" s="161">
        <f t="shared" si="508"/>
        <v>0</v>
      </c>
      <c r="BP393" s="161"/>
    </row>
    <row r="394" spans="1:68" ht="38.25">
      <c r="A394" s="256" t="s">
        <v>5750</v>
      </c>
      <c r="B394" s="184"/>
      <c r="C394" s="185" t="s">
        <v>5751</v>
      </c>
      <c r="D394" s="146" t="s">
        <v>4692</v>
      </c>
      <c r="E394" s="185" t="s">
        <v>5751</v>
      </c>
      <c r="F394" s="186">
        <v>0</v>
      </c>
      <c r="G394" s="187">
        <v>0</v>
      </c>
      <c r="H394" s="187"/>
      <c r="I394" s="187">
        <v>0</v>
      </c>
      <c r="J394" s="186">
        <f>SUM(J395)</f>
        <v>0</v>
      </c>
      <c r="K394" s="186">
        <f>SUM(K395)</f>
        <v>0</v>
      </c>
      <c r="L394" s="186">
        <f t="shared" si="515"/>
        <v>0</v>
      </c>
      <c r="M394" s="188">
        <v>0</v>
      </c>
      <c r="N394" s="188">
        <v>0</v>
      </c>
      <c r="O394" s="188">
        <v>0</v>
      </c>
      <c r="P394" s="225">
        <f t="shared" ref="P394:AS394" si="519">SUM(P395)</f>
        <v>0</v>
      </c>
      <c r="Q394" s="225">
        <f t="shared" si="519"/>
        <v>0</v>
      </c>
      <c r="R394" s="225">
        <f t="shared" si="519"/>
        <v>0</v>
      </c>
      <c r="S394" s="150">
        <f t="shared" si="503"/>
        <v>0</v>
      </c>
      <c r="T394" s="213"/>
      <c r="U394" s="225">
        <f t="shared" ref="U394:W394" si="520">SUM(U395)</f>
        <v>0</v>
      </c>
      <c r="V394" s="226">
        <f t="shared" si="520"/>
        <v>0</v>
      </c>
      <c r="W394" s="225">
        <f t="shared" si="520"/>
        <v>0</v>
      </c>
      <c r="X394" s="225">
        <v>0</v>
      </c>
      <c r="Y394" s="225">
        <v>0</v>
      </c>
      <c r="Z394" s="225">
        <v>0</v>
      </c>
      <c r="AA394" s="225">
        <f t="shared" si="504"/>
        <v>0</v>
      </c>
      <c r="AB394" s="225">
        <v>0</v>
      </c>
      <c r="AC394" s="226">
        <v>0</v>
      </c>
      <c r="AD394" s="225">
        <f t="shared" si="519"/>
        <v>0</v>
      </c>
      <c r="AE394" s="225">
        <v>0</v>
      </c>
      <c r="AF394" s="169" t="s">
        <v>4680</v>
      </c>
      <c r="AG394" s="212">
        <v>0</v>
      </c>
      <c r="AH394" s="226">
        <v>0</v>
      </c>
      <c r="AI394" s="225">
        <v>0</v>
      </c>
      <c r="AJ394" s="169">
        <f t="shared" si="505"/>
        <v>0</v>
      </c>
      <c r="AK394" s="212">
        <v>0</v>
      </c>
      <c r="AL394" s="226">
        <v>0</v>
      </c>
      <c r="AM394" s="225">
        <f t="shared" si="519"/>
        <v>0</v>
      </c>
      <c r="AN394" s="153">
        <f t="shared" si="506"/>
        <v>0</v>
      </c>
      <c r="AO394" s="154">
        <f t="shared" si="507"/>
        <v>0</v>
      </c>
      <c r="AP394" s="225">
        <v>0</v>
      </c>
      <c r="AQ394" s="212">
        <v>0</v>
      </c>
      <c r="AR394" s="226">
        <f t="shared" si="519"/>
        <v>0</v>
      </c>
      <c r="AS394" s="225">
        <f t="shared" si="519"/>
        <v>0</v>
      </c>
      <c r="AT394" s="155"/>
      <c r="AU394" s="156">
        <f t="shared" si="500"/>
        <v>0</v>
      </c>
      <c r="AV394" s="156">
        <f t="shared" si="501"/>
        <v>0</v>
      </c>
      <c r="AW394" s="157"/>
      <c r="AX394" s="150">
        <v>0</v>
      </c>
      <c r="AY394" s="225">
        <f t="shared" ref="AY394:BA394" si="521">SUM(AY395)</f>
        <v>0</v>
      </c>
      <c r="AZ394" s="225">
        <f t="shared" si="521"/>
        <v>0</v>
      </c>
      <c r="BA394" s="225">
        <f t="shared" si="521"/>
        <v>0</v>
      </c>
      <c r="BB394" s="192">
        <v>4</v>
      </c>
      <c r="BC394" s="256" t="s">
        <v>755</v>
      </c>
      <c r="BD394" s="256" t="s">
        <v>739</v>
      </c>
      <c r="BE394" s="256" t="s">
        <v>632</v>
      </c>
      <c r="BF394" s="256" t="s">
        <v>630</v>
      </c>
      <c r="BG394" s="185" t="s">
        <v>5751</v>
      </c>
      <c r="BH394" s="215">
        <f>SUM(BH395)</f>
        <v>0</v>
      </c>
      <c r="BI394" s="192"/>
      <c r="BJ394" s="256" t="s">
        <v>5752</v>
      </c>
      <c r="BK394" s="256" t="s">
        <v>5750</v>
      </c>
      <c r="BL394" s="238" t="s">
        <v>5753</v>
      </c>
      <c r="BM394" s="215">
        <f>SUM(BM395)</f>
        <v>0</v>
      </c>
      <c r="BN394" s="160"/>
      <c r="BO394" s="161">
        <f t="shared" si="508"/>
        <v>0</v>
      </c>
      <c r="BP394" s="161"/>
    </row>
    <row r="395" spans="1:68" ht="38.25">
      <c r="A395" s="206" t="s">
        <v>5750</v>
      </c>
      <c r="B395" s="195" t="s">
        <v>5754</v>
      </c>
      <c r="C395" s="196" t="s">
        <v>5755</v>
      </c>
      <c r="D395" s="146" t="s">
        <v>4692</v>
      </c>
      <c r="E395" s="196" t="s">
        <v>5755</v>
      </c>
      <c r="F395" s="150">
        <v>0</v>
      </c>
      <c r="G395" s="209">
        <v>0</v>
      </c>
      <c r="H395" s="209">
        <v>0</v>
      </c>
      <c r="I395" s="209">
        <v>0</v>
      </c>
      <c r="J395" s="150">
        <v>0</v>
      </c>
      <c r="K395" s="150">
        <v>0</v>
      </c>
      <c r="L395" s="150">
        <f t="shared" si="515"/>
        <v>0</v>
      </c>
      <c r="M395" s="150">
        <v>0</v>
      </c>
      <c r="N395" s="150"/>
      <c r="O395" s="150">
        <v>0</v>
      </c>
      <c r="P395" s="150">
        <v>0</v>
      </c>
      <c r="Q395" s="150"/>
      <c r="R395" s="150">
        <f>P395+Q395</f>
        <v>0</v>
      </c>
      <c r="S395" s="150">
        <f t="shared" si="503"/>
        <v>0</v>
      </c>
      <c r="T395" s="150"/>
      <c r="U395" s="150">
        <v>0</v>
      </c>
      <c r="V395" s="199"/>
      <c r="W395" s="150">
        <f>U395+V395</f>
        <v>0</v>
      </c>
      <c r="X395" s="150">
        <v>0</v>
      </c>
      <c r="Y395" s="150"/>
      <c r="Z395" s="150">
        <v>0</v>
      </c>
      <c r="AA395" s="150">
        <f t="shared" si="504"/>
        <v>0</v>
      </c>
      <c r="AB395" s="150">
        <v>0</v>
      </c>
      <c r="AC395" s="199"/>
      <c r="AD395" s="150">
        <f>AB395+AC395</f>
        <v>0</v>
      </c>
      <c r="AE395" s="150">
        <v>0</v>
      </c>
      <c r="AF395" s="169" t="s">
        <v>4680</v>
      </c>
      <c r="AG395" s="201">
        <v>0</v>
      </c>
      <c r="AH395" s="199"/>
      <c r="AI395" s="150">
        <v>0</v>
      </c>
      <c r="AJ395" s="169">
        <f t="shared" si="505"/>
        <v>0</v>
      </c>
      <c r="AK395" s="201">
        <v>0</v>
      </c>
      <c r="AL395" s="199"/>
      <c r="AM395" s="150">
        <f>AK395+AL395</f>
        <v>0</v>
      </c>
      <c r="AN395" s="153">
        <f t="shared" si="506"/>
        <v>0</v>
      </c>
      <c r="AO395" s="154">
        <f t="shared" si="507"/>
        <v>0</v>
      </c>
      <c r="AP395" s="150">
        <v>0</v>
      </c>
      <c r="AQ395" s="201">
        <v>0</v>
      </c>
      <c r="AR395" s="199"/>
      <c r="AS395" s="150">
        <f>AQ395+AR395</f>
        <v>0</v>
      </c>
      <c r="AT395" s="155"/>
      <c r="AU395" s="156">
        <f t="shared" si="500"/>
        <v>0</v>
      </c>
      <c r="AV395" s="156">
        <f t="shared" si="501"/>
        <v>0</v>
      </c>
      <c r="AW395" s="157"/>
      <c r="AX395" s="150">
        <v>0</v>
      </c>
      <c r="AY395" s="150">
        <v>0</v>
      </c>
      <c r="AZ395" s="150"/>
      <c r="BA395" s="150">
        <f t="shared" si="502"/>
        <v>0</v>
      </c>
      <c r="BB395" s="202">
        <v>4</v>
      </c>
      <c r="BC395" s="202" t="s">
        <v>755</v>
      </c>
      <c r="BD395" s="202" t="s">
        <v>739</v>
      </c>
      <c r="BE395" s="202" t="s">
        <v>632</v>
      </c>
      <c r="BF395" s="202" t="s">
        <v>632</v>
      </c>
      <c r="BG395" s="203" t="s">
        <v>5751</v>
      </c>
      <c r="BH395" s="216">
        <f>AS395</f>
        <v>0</v>
      </c>
      <c r="BI395" s="205"/>
      <c r="BJ395" s="206" t="s">
        <v>5752</v>
      </c>
      <c r="BK395" s="206" t="s">
        <v>5750</v>
      </c>
      <c r="BL395" s="207" t="s">
        <v>5753</v>
      </c>
      <c r="BM395" s="208">
        <f>BH395</f>
        <v>0</v>
      </c>
      <c r="BN395" s="160"/>
      <c r="BO395" s="161">
        <f t="shared" si="508"/>
        <v>0</v>
      </c>
      <c r="BP395" s="161"/>
    </row>
    <row r="396" spans="1:68" ht="38.25">
      <c r="A396" s="162" t="s">
        <v>5756</v>
      </c>
      <c r="B396" s="163"/>
      <c r="C396" s="164" t="s">
        <v>5757</v>
      </c>
      <c r="D396" s="146" t="s">
        <v>4692</v>
      </c>
      <c r="E396" s="164" t="s">
        <v>5757</v>
      </c>
      <c r="F396" s="165">
        <v>0</v>
      </c>
      <c r="G396" s="166">
        <v>0</v>
      </c>
      <c r="H396" s="166">
        <v>0</v>
      </c>
      <c r="I396" s="166">
        <v>0</v>
      </c>
      <c r="J396" s="165">
        <f t="shared" ref="J396:K398" si="522">J397</f>
        <v>0</v>
      </c>
      <c r="K396" s="165">
        <f t="shared" si="522"/>
        <v>0</v>
      </c>
      <c r="L396" s="165">
        <f t="shared" si="515"/>
        <v>0</v>
      </c>
      <c r="M396" s="167">
        <v>0</v>
      </c>
      <c r="N396" s="167">
        <v>0</v>
      </c>
      <c r="O396" s="167">
        <v>0</v>
      </c>
      <c r="P396" s="232">
        <f t="shared" ref="P396:AM398" si="523">P397</f>
        <v>0</v>
      </c>
      <c r="Q396" s="232">
        <f t="shared" si="523"/>
        <v>0</v>
      </c>
      <c r="R396" s="232">
        <f t="shared" si="523"/>
        <v>0</v>
      </c>
      <c r="S396" s="150">
        <f t="shared" si="503"/>
        <v>0</v>
      </c>
      <c r="T396" s="213"/>
      <c r="U396" s="232">
        <f t="shared" ref="U396:W398" si="524">U397</f>
        <v>0</v>
      </c>
      <c r="V396" s="233">
        <f t="shared" si="524"/>
        <v>0</v>
      </c>
      <c r="W396" s="232">
        <f t="shared" si="524"/>
        <v>0</v>
      </c>
      <c r="X396" s="232">
        <v>0</v>
      </c>
      <c r="Y396" s="232">
        <v>0</v>
      </c>
      <c r="Z396" s="232">
        <v>0</v>
      </c>
      <c r="AA396" s="232">
        <f t="shared" si="504"/>
        <v>0</v>
      </c>
      <c r="AB396" s="232">
        <v>0</v>
      </c>
      <c r="AC396" s="233">
        <v>0</v>
      </c>
      <c r="AD396" s="232">
        <f t="shared" si="523"/>
        <v>0</v>
      </c>
      <c r="AE396" s="232">
        <v>0</v>
      </c>
      <c r="AF396" s="169" t="s">
        <v>4680</v>
      </c>
      <c r="AG396" s="234">
        <v>0</v>
      </c>
      <c r="AH396" s="233">
        <v>0</v>
      </c>
      <c r="AI396" s="232">
        <v>0</v>
      </c>
      <c r="AJ396" s="169">
        <f t="shared" si="505"/>
        <v>0</v>
      </c>
      <c r="AK396" s="234">
        <v>0</v>
      </c>
      <c r="AL396" s="233">
        <v>0</v>
      </c>
      <c r="AM396" s="232">
        <f t="shared" si="523"/>
        <v>0</v>
      </c>
      <c r="AN396" s="153">
        <f t="shared" si="506"/>
        <v>0</v>
      </c>
      <c r="AO396" s="154">
        <f t="shared" si="507"/>
        <v>0</v>
      </c>
      <c r="AP396" s="232">
        <v>0</v>
      </c>
      <c r="AQ396" s="234">
        <v>0</v>
      </c>
      <c r="AR396" s="233">
        <f t="shared" ref="AR396:AS398" si="525">AR397</f>
        <v>0</v>
      </c>
      <c r="AS396" s="232">
        <f t="shared" si="525"/>
        <v>0</v>
      </c>
      <c r="AT396" s="155"/>
      <c r="AU396" s="156">
        <f t="shared" si="500"/>
        <v>0</v>
      </c>
      <c r="AV396" s="156">
        <f t="shared" si="501"/>
        <v>0</v>
      </c>
      <c r="AW396" s="157"/>
      <c r="AX396" s="150">
        <v>0</v>
      </c>
      <c r="AY396" s="232">
        <f>AY397</f>
        <v>0</v>
      </c>
      <c r="AZ396" s="232">
        <f t="shared" ref="AZ396:BA398" si="526">AZ397</f>
        <v>0</v>
      </c>
      <c r="BA396" s="232">
        <f t="shared" si="526"/>
        <v>0</v>
      </c>
      <c r="BB396" s="171">
        <v>4</v>
      </c>
      <c r="BC396" s="262" t="s">
        <v>766</v>
      </c>
      <c r="BD396" s="162" t="s">
        <v>630</v>
      </c>
      <c r="BE396" s="162" t="s">
        <v>630</v>
      </c>
      <c r="BF396" s="162" t="s">
        <v>630</v>
      </c>
      <c r="BG396" s="164" t="s">
        <v>5757</v>
      </c>
      <c r="BH396" s="235">
        <f>BH397</f>
        <v>0</v>
      </c>
      <c r="BI396" s="171"/>
      <c r="BJ396" s="162" t="s">
        <v>5758</v>
      </c>
      <c r="BK396" s="162" t="s">
        <v>5756</v>
      </c>
      <c r="BL396" s="172" t="s">
        <v>5759</v>
      </c>
      <c r="BM396" s="235">
        <f>BM397</f>
        <v>0</v>
      </c>
      <c r="BN396" s="160"/>
      <c r="BO396" s="161">
        <f t="shared" si="508"/>
        <v>0</v>
      </c>
      <c r="BP396" s="161"/>
    </row>
    <row r="397" spans="1:68" ht="38.25">
      <c r="A397" s="255" t="s">
        <v>5756</v>
      </c>
      <c r="B397" s="174"/>
      <c r="C397" s="175" t="s">
        <v>5757</v>
      </c>
      <c r="D397" s="146" t="s">
        <v>4692</v>
      </c>
      <c r="E397" s="175" t="s">
        <v>5757</v>
      </c>
      <c r="F397" s="176">
        <v>0</v>
      </c>
      <c r="G397" s="177">
        <v>0</v>
      </c>
      <c r="H397" s="177">
        <v>0</v>
      </c>
      <c r="I397" s="177">
        <v>0</v>
      </c>
      <c r="J397" s="176">
        <f t="shared" si="522"/>
        <v>0</v>
      </c>
      <c r="K397" s="176">
        <f t="shared" si="522"/>
        <v>0</v>
      </c>
      <c r="L397" s="176">
        <f t="shared" si="515"/>
        <v>0</v>
      </c>
      <c r="M397" s="178">
        <v>0</v>
      </c>
      <c r="N397" s="178">
        <v>0</v>
      </c>
      <c r="O397" s="178">
        <v>0</v>
      </c>
      <c r="P397" s="221">
        <f t="shared" si="523"/>
        <v>0</v>
      </c>
      <c r="Q397" s="221">
        <f t="shared" si="523"/>
        <v>0</v>
      </c>
      <c r="R397" s="221">
        <f t="shared" si="523"/>
        <v>0</v>
      </c>
      <c r="S397" s="150">
        <f t="shared" si="503"/>
        <v>0</v>
      </c>
      <c r="T397" s="213"/>
      <c r="U397" s="221">
        <f t="shared" si="524"/>
        <v>0</v>
      </c>
      <c r="V397" s="222">
        <f t="shared" si="524"/>
        <v>0</v>
      </c>
      <c r="W397" s="221">
        <f t="shared" si="524"/>
        <v>0</v>
      </c>
      <c r="X397" s="221">
        <v>0</v>
      </c>
      <c r="Y397" s="221">
        <v>0</v>
      </c>
      <c r="Z397" s="221">
        <v>0</v>
      </c>
      <c r="AA397" s="221">
        <f t="shared" si="504"/>
        <v>0</v>
      </c>
      <c r="AB397" s="221">
        <v>0</v>
      </c>
      <c r="AC397" s="222">
        <v>0</v>
      </c>
      <c r="AD397" s="221">
        <f t="shared" si="523"/>
        <v>0</v>
      </c>
      <c r="AE397" s="221">
        <v>0</v>
      </c>
      <c r="AF397" s="169" t="s">
        <v>4680</v>
      </c>
      <c r="AG397" s="223">
        <v>0</v>
      </c>
      <c r="AH397" s="222">
        <v>0</v>
      </c>
      <c r="AI397" s="221">
        <v>0</v>
      </c>
      <c r="AJ397" s="169">
        <f t="shared" si="505"/>
        <v>0</v>
      </c>
      <c r="AK397" s="223">
        <v>0</v>
      </c>
      <c r="AL397" s="222">
        <v>0</v>
      </c>
      <c r="AM397" s="221">
        <f t="shared" si="523"/>
        <v>0</v>
      </c>
      <c r="AN397" s="153">
        <f t="shared" si="506"/>
        <v>0</v>
      </c>
      <c r="AO397" s="154">
        <f t="shared" si="507"/>
        <v>0</v>
      </c>
      <c r="AP397" s="221">
        <v>0</v>
      </c>
      <c r="AQ397" s="223">
        <v>0</v>
      </c>
      <c r="AR397" s="222">
        <f t="shared" si="525"/>
        <v>0</v>
      </c>
      <c r="AS397" s="221">
        <f t="shared" si="525"/>
        <v>0</v>
      </c>
      <c r="AT397" s="155"/>
      <c r="AU397" s="156">
        <f t="shared" si="500"/>
        <v>0</v>
      </c>
      <c r="AV397" s="156">
        <f t="shared" si="501"/>
        <v>0</v>
      </c>
      <c r="AW397" s="157"/>
      <c r="AX397" s="150">
        <v>0</v>
      </c>
      <c r="AY397" s="221">
        <f>AY398</f>
        <v>0</v>
      </c>
      <c r="AZ397" s="221">
        <f t="shared" si="526"/>
        <v>0</v>
      </c>
      <c r="BA397" s="221">
        <f t="shared" si="526"/>
        <v>0</v>
      </c>
      <c r="BB397" s="254">
        <v>4</v>
      </c>
      <c r="BC397" s="255" t="s">
        <v>766</v>
      </c>
      <c r="BD397" s="255" t="s">
        <v>632</v>
      </c>
      <c r="BE397" s="173" t="s">
        <v>630</v>
      </c>
      <c r="BF397" s="255" t="s">
        <v>630</v>
      </c>
      <c r="BG397" s="175" t="s">
        <v>5757</v>
      </c>
      <c r="BH397" s="224">
        <f>BH398</f>
        <v>0</v>
      </c>
      <c r="BI397" s="254"/>
      <c r="BJ397" s="255" t="s">
        <v>5758</v>
      </c>
      <c r="BK397" s="255" t="s">
        <v>5756</v>
      </c>
      <c r="BL397" s="182" t="s">
        <v>5759</v>
      </c>
      <c r="BM397" s="224">
        <f>BM398</f>
        <v>0</v>
      </c>
      <c r="BN397" s="160"/>
      <c r="BO397" s="161">
        <f t="shared" si="508"/>
        <v>0</v>
      </c>
      <c r="BP397" s="161"/>
    </row>
    <row r="398" spans="1:68" ht="38.25">
      <c r="A398" s="256" t="s">
        <v>5756</v>
      </c>
      <c r="B398" s="184"/>
      <c r="C398" s="185" t="s">
        <v>5757</v>
      </c>
      <c r="D398" s="146" t="s">
        <v>4692</v>
      </c>
      <c r="E398" s="185" t="s">
        <v>5757</v>
      </c>
      <c r="F398" s="186">
        <v>0</v>
      </c>
      <c r="G398" s="187">
        <v>0</v>
      </c>
      <c r="H398" s="187"/>
      <c r="I398" s="187">
        <v>0</v>
      </c>
      <c r="J398" s="186">
        <f t="shared" si="522"/>
        <v>0</v>
      </c>
      <c r="K398" s="186">
        <f t="shared" si="522"/>
        <v>0</v>
      </c>
      <c r="L398" s="186">
        <f t="shared" si="515"/>
        <v>0</v>
      </c>
      <c r="M398" s="188">
        <v>0</v>
      </c>
      <c r="N398" s="188">
        <v>0</v>
      </c>
      <c r="O398" s="188">
        <v>0</v>
      </c>
      <c r="P398" s="225">
        <f t="shared" si="523"/>
        <v>0</v>
      </c>
      <c r="Q398" s="225">
        <f t="shared" si="523"/>
        <v>0</v>
      </c>
      <c r="R398" s="225">
        <f t="shared" si="523"/>
        <v>0</v>
      </c>
      <c r="S398" s="150">
        <f t="shared" si="503"/>
        <v>0</v>
      </c>
      <c r="T398" s="213"/>
      <c r="U398" s="225">
        <f t="shared" si="524"/>
        <v>0</v>
      </c>
      <c r="V398" s="226">
        <f t="shared" si="524"/>
        <v>0</v>
      </c>
      <c r="W398" s="225">
        <f t="shared" si="524"/>
        <v>0</v>
      </c>
      <c r="X398" s="225">
        <v>0</v>
      </c>
      <c r="Y398" s="225">
        <v>0</v>
      </c>
      <c r="Z398" s="225">
        <v>0</v>
      </c>
      <c r="AA398" s="225">
        <f t="shared" si="504"/>
        <v>0</v>
      </c>
      <c r="AB398" s="225">
        <v>0</v>
      </c>
      <c r="AC398" s="226">
        <v>0</v>
      </c>
      <c r="AD398" s="225">
        <f t="shared" si="523"/>
        <v>0</v>
      </c>
      <c r="AE398" s="225">
        <v>0</v>
      </c>
      <c r="AF398" s="169" t="s">
        <v>4680</v>
      </c>
      <c r="AG398" s="212">
        <v>0</v>
      </c>
      <c r="AH398" s="226">
        <v>0</v>
      </c>
      <c r="AI398" s="225">
        <v>0</v>
      </c>
      <c r="AJ398" s="169">
        <f t="shared" si="505"/>
        <v>0</v>
      </c>
      <c r="AK398" s="212">
        <v>0</v>
      </c>
      <c r="AL398" s="226">
        <v>0</v>
      </c>
      <c r="AM398" s="225">
        <f t="shared" si="523"/>
        <v>0</v>
      </c>
      <c r="AN398" s="153">
        <f t="shared" si="506"/>
        <v>0</v>
      </c>
      <c r="AO398" s="154">
        <f t="shared" si="507"/>
        <v>0</v>
      </c>
      <c r="AP398" s="225">
        <v>0</v>
      </c>
      <c r="AQ398" s="212">
        <v>0</v>
      </c>
      <c r="AR398" s="226">
        <f t="shared" si="525"/>
        <v>0</v>
      </c>
      <c r="AS398" s="225">
        <f t="shared" si="525"/>
        <v>0</v>
      </c>
      <c r="AT398" s="155"/>
      <c r="AU398" s="156">
        <f t="shared" si="500"/>
        <v>0</v>
      </c>
      <c r="AV398" s="156">
        <f t="shared" si="501"/>
        <v>0</v>
      </c>
      <c r="AW398" s="157"/>
      <c r="AX398" s="150">
        <v>0</v>
      </c>
      <c r="AY398" s="225">
        <f>AY399</f>
        <v>0</v>
      </c>
      <c r="AZ398" s="225">
        <f t="shared" si="526"/>
        <v>0</v>
      </c>
      <c r="BA398" s="225">
        <f t="shared" si="526"/>
        <v>0</v>
      </c>
      <c r="BB398" s="192">
        <v>4</v>
      </c>
      <c r="BC398" s="256" t="s">
        <v>766</v>
      </c>
      <c r="BD398" s="256" t="s">
        <v>632</v>
      </c>
      <c r="BE398" s="256" t="s">
        <v>632</v>
      </c>
      <c r="BF398" s="256" t="s">
        <v>630</v>
      </c>
      <c r="BG398" s="185" t="s">
        <v>5757</v>
      </c>
      <c r="BH398" s="215">
        <f>BH399</f>
        <v>0</v>
      </c>
      <c r="BI398" s="192"/>
      <c r="BJ398" s="256" t="s">
        <v>5758</v>
      </c>
      <c r="BK398" s="256" t="s">
        <v>5756</v>
      </c>
      <c r="BL398" s="238" t="s">
        <v>5759</v>
      </c>
      <c r="BM398" s="215">
        <f>BM399</f>
        <v>0</v>
      </c>
      <c r="BN398" s="160"/>
      <c r="BO398" s="161">
        <f t="shared" si="508"/>
        <v>0</v>
      </c>
      <c r="BP398" s="161"/>
    </row>
    <row r="399" spans="1:68" ht="38.25">
      <c r="A399" s="206" t="s">
        <v>5756</v>
      </c>
      <c r="B399" s="195" t="s">
        <v>5760</v>
      </c>
      <c r="C399" s="196" t="s">
        <v>5761</v>
      </c>
      <c r="D399" s="146" t="s">
        <v>4692</v>
      </c>
      <c r="E399" s="196" t="s">
        <v>5761</v>
      </c>
      <c r="F399" s="150">
        <v>0</v>
      </c>
      <c r="G399" s="209">
        <v>603499.59000000008</v>
      </c>
      <c r="H399" s="209">
        <v>60000</v>
      </c>
      <c r="I399" s="209">
        <v>663499.59000000008</v>
      </c>
      <c r="J399" s="150">
        <v>0</v>
      </c>
      <c r="K399" s="150">
        <v>0</v>
      </c>
      <c r="L399" s="150">
        <f t="shared" si="515"/>
        <v>0</v>
      </c>
      <c r="M399" s="150">
        <v>0</v>
      </c>
      <c r="N399" s="150"/>
      <c r="O399" s="150">
        <v>0</v>
      </c>
      <c r="P399" s="150">
        <v>0</v>
      </c>
      <c r="Q399" s="150"/>
      <c r="R399" s="150">
        <f>P399+Q399</f>
        <v>0</v>
      </c>
      <c r="S399" s="150">
        <f t="shared" si="503"/>
        <v>0</v>
      </c>
      <c r="T399" s="150"/>
      <c r="U399" s="150">
        <v>0</v>
      </c>
      <c r="V399" s="199"/>
      <c r="W399" s="150">
        <f>U399+V399</f>
        <v>0</v>
      </c>
      <c r="X399" s="150">
        <v>0</v>
      </c>
      <c r="Y399" s="150"/>
      <c r="Z399" s="150">
        <v>0</v>
      </c>
      <c r="AA399" s="150">
        <f t="shared" si="504"/>
        <v>0</v>
      </c>
      <c r="AB399" s="150">
        <v>0</v>
      </c>
      <c r="AC399" s="199"/>
      <c r="AD399" s="150">
        <f>AB399+AC399</f>
        <v>0</v>
      </c>
      <c r="AE399" s="150">
        <v>0</v>
      </c>
      <c r="AF399" s="169" t="s">
        <v>4680</v>
      </c>
      <c r="AG399" s="201">
        <v>0</v>
      </c>
      <c r="AH399" s="199"/>
      <c r="AI399" s="150">
        <v>0</v>
      </c>
      <c r="AJ399" s="169">
        <f t="shared" si="505"/>
        <v>0</v>
      </c>
      <c r="AK399" s="201">
        <v>0</v>
      </c>
      <c r="AL399" s="199"/>
      <c r="AM399" s="150">
        <f>AK399+AL399</f>
        <v>0</v>
      </c>
      <c r="AN399" s="153">
        <f t="shared" si="506"/>
        <v>0</v>
      </c>
      <c r="AO399" s="154">
        <f t="shared" si="507"/>
        <v>0</v>
      </c>
      <c r="AP399" s="150">
        <v>0</v>
      </c>
      <c r="AQ399" s="201">
        <v>0</v>
      </c>
      <c r="AR399" s="199"/>
      <c r="AS399" s="150">
        <f>AQ399+AR399</f>
        <v>0</v>
      </c>
      <c r="AT399" s="155"/>
      <c r="AU399" s="156">
        <f t="shared" si="500"/>
        <v>0</v>
      </c>
      <c r="AV399" s="156">
        <f t="shared" si="501"/>
        <v>0</v>
      </c>
      <c r="AW399" s="157"/>
      <c r="AX399" s="150">
        <v>0</v>
      </c>
      <c r="AY399" s="150">
        <v>0</v>
      </c>
      <c r="AZ399" s="150"/>
      <c r="BA399" s="150">
        <f t="shared" si="502"/>
        <v>0</v>
      </c>
      <c r="BB399" s="202">
        <v>4</v>
      </c>
      <c r="BC399" s="202" t="s">
        <v>766</v>
      </c>
      <c r="BD399" s="202" t="s">
        <v>632</v>
      </c>
      <c r="BE399" s="202" t="s">
        <v>632</v>
      </c>
      <c r="BF399" s="202" t="s">
        <v>632</v>
      </c>
      <c r="BG399" s="203" t="s">
        <v>5762</v>
      </c>
      <c r="BH399" s="216">
        <f>AS399</f>
        <v>0</v>
      </c>
      <c r="BI399" s="205"/>
      <c r="BJ399" s="206" t="s">
        <v>5758</v>
      </c>
      <c r="BK399" s="206" t="s">
        <v>5756</v>
      </c>
      <c r="BL399" s="207" t="s">
        <v>5763</v>
      </c>
      <c r="BM399" s="208">
        <f>BH399</f>
        <v>0</v>
      </c>
      <c r="BN399" s="160"/>
      <c r="BO399" s="161">
        <f t="shared" si="508"/>
        <v>0</v>
      </c>
      <c r="BP399" s="161"/>
    </row>
    <row r="400" spans="1:68">
      <c r="A400" s="262" t="s">
        <v>5764</v>
      </c>
      <c r="B400" s="163"/>
      <c r="C400" s="164" t="s">
        <v>5765</v>
      </c>
      <c r="D400" s="146" t="s">
        <v>4692</v>
      </c>
      <c r="E400" s="164" t="s">
        <v>5765</v>
      </c>
      <c r="F400" s="165">
        <v>782745.25000000012</v>
      </c>
      <c r="G400" s="166">
        <v>111268</v>
      </c>
      <c r="H400" s="166">
        <v>0</v>
      </c>
      <c r="I400" s="166">
        <v>111268</v>
      </c>
      <c r="J400" s="165">
        <f>J401+J409+J415</f>
        <v>1688</v>
      </c>
      <c r="K400" s="165">
        <f>K401+K409+K415</f>
        <v>0</v>
      </c>
      <c r="L400" s="165">
        <f t="shared" si="515"/>
        <v>1688</v>
      </c>
      <c r="M400" s="167">
        <v>130547.52</v>
      </c>
      <c r="N400" s="167">
        <v>252287.72500000001</v>
      </c>
      <c r="O400" s="167">
        <v>382835.245</v>
      </c>
      <c r="P400" s="232">
        <f t="shared" ref="P400:R400" si="527">P401+P409+P415</f>
        <v>251646.6</v>
      </c>
      <c r="Q400" s="232">
        <f t="shared" si="527"/>
        <v>70000</v>
      </c>
      <c r="R400" s="232">
        <f t="shared" si="527"/>
        <v>321646.59999999998</v>
      </c>
      <c r="S400" s="150">
        <f t="shared" si="503"/>
        <v>428862.1333333333</v>
      </c>
      <c r="T400" s="213"/>
      <c r="U400" s="232">
        <f t="shared" ref="U400:W400" si="528">U401+U409+U415</f>
        <v>550975.56000000006</v>
      </c>
      <c r="V400" s="233">
        <f t="shared" si="528"/>
        <v>0</v>
      </c>
      <c r="W400" s="232">
        <f t="shared" si="528"/>
        <v>550975.56000000006</v>
      </c>
      <c r="X400" s="232">
        <v>550975.56000000006</v>
      </c>
      <c r="Y400" s="232">
        <v>0</v>
      </c>
      <c r="Z400" s="232">
        <v>550975.56000000006</v>
      </c>
      <c r="AA400" s="232">
        <f t="shared" si="504"/>
        <v>104449.70999999996</v>
      </c>
      <c r="AB400" s="232">
        <v>655425.27</v>
      </c>
      <c r="AC400" s="233">
        <v>0</v>
      </c>
      <c r="AD400" s="232">
        <f t="shared" ref="AD400" si="529">AD401+AD409+AD415</f>
        <v>655425.27</v>
      </c>
      <c r="AE400" s="232">
        <v>655425.27</v>
      </c>
      <c r="AF400" s="169" t="s">
        <v>4680</v>
      </c>
      <c r="AG400" s="234">
        <v>655425.27</v>
      </c>
      <c r="AH400" s="233">
        <v>0</v>
      </c>
      <c r="AI400" s="232">
        <v>655425.27</v>
      </c>
      <c r="AJ400" s="169">
        <f t="shared" si="505"/>
        <v>-2000</v>
      </c>
      <c r="AK400" s="234">
        <v>653425.27</v>
      </c>
      <c r="AL400" s="233">
        <v>0</v>
      </c>
      <c r="AM400" s="232">
        <f t="shared" ref="AM400" si="530">AM401+AM409+AM415</f>
        <v>653425.27</v>
      </c>
      <c r="AN400" s="153">
        <f t="shared" si="506"/>
        <v>0</v>
      </c>
      <c r="AO400" s="154">
        <f t="shared" si="507"/>
        <v>0</v>
      </c>
      <c r="AP400" s="232">
        <v>653425.27</v>
      </c>
      <c r="AQ400" s="234">
        <v>653425.27</v>
      </c>
      <c r="AR400" s="233">
        <f t="shared" ref="AR400:AS400" si="531">AR401+AR409+AR415</f>
        <v>0</v>
      </c>
      <c r="AS400" s="232">
        <f t="shared" si="531"/>
        <v>653425.27</v>
      </c>
      <c r="AT400" s="155"/>
      <c r="AU400" s="156">
        <f t="shared" si="500"/>
        <v>-2000</v>
      </c>
      <c r="AV400" s="156">
        <f t="shared" si="501"/>
        <v>104449.70999999996</v>
      </c>
      <c r="AW400" s="157"/>
      <c r="AX400" s="150">
        <v>550975.56000000006</v>
      </c>
      <c r="AY400" s="232">
        <f t="shared" ref="AY400:BA400" si="532">AY401+AY409+AY415</f>
        <v>193162.45</v>
      </c>
      <c r="AZ400" s="232">
        <f t="shared" si="532"/>
        <v>0</v>
      </c>
      <c r="BA400" s="232">
        <f t="shared" si="532"/>
        <v>193162.45</v>
      </c>
      <c r="BB400" s="263">
        <v>4</v>
      </c>
      <c r="BC400" s="262" t="s">
        <v>779</v>
      </c>
      <c r="BD400" s="262" t="s">
        <v>630</v>
      </c>
      <c r="BE400" s="162" t="s">
        <v>630</v>
      </c>
      <c r="BF400" s="262" t="s">
        <v>630</v>
      </c>
      <c r="BG400" s="164" t="s">
        <v>5765</v>
      </c>
      <c r="BH400" s="235">
        <f>BH401+BH409+BH415</f>
        <v>653425.27</v>
      </c>
      <c r="BI400" s="263"/>
      <c r="BJ400" s="262" t="s">
        <v>5766</v>
      </c>
      <c r="BK400" s="262" t="s">
        <v>5764</v>
      </c>
      <c r="BL400" s="172" t="s">
        <v>5767</v>
      </c>
      <c r="BM400" s="235">
        <f>BM401+BM409+BM415</f>
        <v>653425.27</v>
      </c>
      <c r="BN400" s="160"/>
      <c r="BO400" s="161">
        <f t="shared" si="508"/>
        <v>0</v>
      </c>
      <c r="BP400" s="161"/>
    </row>
    <row r="401" spans="1:68" ht="25.5">
      <c r="A401" s="254" t="s">
        <v>5768</v>
      </c>
      <c r="B401" s="174"/>
      <c r="C401" s="175" t="s">
        <v>5769</v>
      </c>
      <c r="D401" s="146" t="s">
        <v>4692</v>
      </c>
      <c r="E401" s="175" t="s">
        <v>5769</v>
      </c>
      <c r="F401" s="176">
        <v>187768</v>
      </c>
      <c r="G401" s="177">
        <v>111268</v>
      </c>
      <c r="H401" s="177">
        <v>0</v>
      </c>
      <c r="I401" s="177">
        <v>111268</v>
      </c>
      <c r="J401" s="176">
        <f>J402</f>
        <v>0</v>
      </c>
      <c r="K401" s="176">
        <f>K402</f>
        <v>0</v>
      </c>
      <c r="L401" s="176">
        <f t="shared" si="515"/>
        <v>0</v>
      </c>
      <c r="M401" s="178">
        <v>40000</v>
      </c>
      <c r="N401" s="178">
        <v>44744</v>
      </c>
      <c r="O401" s="178">
        <v>84744</v>
      </c>
      <c r="P401" s="221">
        <f t="shared" ref="P401:AS401" si="533">P402</f>
        <v>160500</v>
      </c>
      <c r="Q401" s="221">
        <f t="shared" si="533"/>
        <v>0</v>
      </c>
      <c r="R401" s="221">
        <f t="shared" si="533"/>
        <v>160500</v>
      </c>
      <c r="S401" s="150">
        <f t="shared" si="503"/>
        <v>214000</v>
      </c>
      <c r="T401" s="213"/>
      <c r="U401" s="221">
        <f t="shared" ref="U401:W401" si="534">U402</f>
        <v>228996</v>
      </c>
      <c r="V401" s="222">
        <f t="shared" si="534"/>
        <v>0</v>
      </c>
      <c r="W401" s="221">
        <f t="shared" si="534"/>
        <v>228996</v>
      </c>
      <c r="X401" s="221">
        <v>228996</v>
      </c>
      <c r="Y401" s="221">
        <v>0</v>
      </c>
      <c r="Z401" s="221">
        <v>228996</v>
      </c>
      <c r="AA401" s="221">
        <f t="shared" si="504"/>
        <v>84500</v>
      </c>
      <c r="AB401" s="221">
        <v>313496</v>
      </c>
      <c r="AC401" s="222">
        <v>0</v>
      </c>
      <c r="AD401" s="221">
        <f t="shared" si="533"/>
        <v>313496</v>
      </c>
      <c r="AE401" s="221">
        <v>313496</v>
      </c>
      <c r="AF401" s="169" t="s">
        <v>4680</v>
      </c>
      <c r="AG401" s="223">
        <v>313496</v>
      </c>
      <c r="AH401" s="222">
        <v>0</v>
      </c>
      <c r="AI401" s="221">
        <v>313496</v>
      </c>
      <c r="AJ401" s="169">
        <f t="shared" si="505"/>
        <v>-2000</v>
      </c>
      <c r="AK401" s="223">
        <v>311496</v>
      </c>
      <c r="AL401" s="222">
        <v>0</v>
      </c>
      <c r="AM401" s="221">
        <f t="shared" si="533"/>
        <v>311496</v>
      </c>
      <c r="AN401" s="153">
        <f t="shared" si="506"/>
        <v>0</v>
      </c>
      <c r="AO401" s="154">
        <f t="shared" si="507"/>
        <v>0</v>
      </c>
      <c r="AP401" s="221">
        <v>311496</v>
      </c>
      <c r="AQ401" s="223">
        <v>311496</v>
      </c>
      <c r="AR401" s="222">
        <f t="shared" si="533"/>
        <v>0</v>
      </c>
      <c r="AS401" s="221">
        <f t="shared" si="533"/>
        <v>311496</v>
      </c>
      <c r="AT401" s="155"/>
      <c r="AU401" s="156">
        <f t="shared" si="500"/>
        <v>-2000</v>
      </c>
      <c r="AV401" s="156">
        <f t="shared" si="501"/>
        <v>84500</v>
      </c>
      <c r="AW401" s="157"/>
      <c r="AX401" s="150">
        <v>228996</v>
      </c>
      <c r="AY401" s="221">
        <f t="shared" ref="AY401:BA401" si="535">AY402</f>
        <v>48000</v>
      </c>
      <c r="AZ401" s="221">
        <f t="shared" si="535"/>
        <v>0</v>
      </c>
      <c r="BA401" s="221">
        <f t="shared" si="535"/>
        <v>48000</v>
      </c>
      <c r="BB401" s="254">
        <v>4</v>
      </c>
      <c r="BC401" s="255" t="s">
        <v>779</v>
      </c>
      <c r="BD401" s="255" t="s">
        <v>632</v>
      </c>
      <c r="BE401" s="173" t="s">
        <v>630</v>
      </c>
      <c r="BF401" s="255" t="s">
        <v>630</v>
      </c>
      <c r="BG401" s="175" t="s">
        <v>5769</v>
      </c>
      <c r="BH401" s="224">
        <f>BH402</f>
        <v>311496</v>
      </c>
      <c r="BI401" s="254"/>
      <c r="BJ401" s="255" t="s">
        <v>5770</v>
      </c>
      <c r="BK401" s="254" t="s">
        <v>5768</v>
      </c>
      <c r="BL401" s="175" t="s">
        <v>5771</v>
      </c>
      <c r="BM401" s="224">
        <f>BM402</f>
        <v>311496</v>
      </c>
      <c r="BN401" s="160"/>
      <c r="BO401" s="161">
        <f t="shared" si="508"/>
        <v>0</v>
      </c>
      <c r="BP401" s="161"/>
    </row>
    <row r="402" spans="1:68" ht="25.5">
      <c r="A402" s="256" t="s">
        <v>5768</v>
      </c>
      <c r="B402" s="184"/>
      <c r="C402" s="185" t="s">
        <v>5769</v>
      </c>
      <c r="D402" s="146" t="s">
        <v>4692</v>
      </c>
      <c r="E402" s="185" t="s">
        <v>5769</v>
      </c>
      <c r="F402" s="186">
        <v>187768</v>
      </c>
      <c r="G402" s="187">
        <v>0</v>
      </c>
      <c r="H402" s="187"/>
      <c r="I402" s="187">
        <v>0</v>
      </c>
      <c r="J402" s="186">
        <f>SUM(J403:J408)</f>
        <v>0</v>
      </c>
      <c r="K402" s="186">
        <f>SUM(K403:K408)</f>
        <v>0</v>
      </c>
      <c r="L402" s="186">
        <f t="shared" si="515"/>
        <v>0</v>
      </c>
      <c r="M402" s="188">
        <v>40000</v>
      </c>
      <c r="N402" s="188">
        <v>44744</v>
      </c>
      <c r="O402" s="188">
        <v>84744</v>
      </c>
      <c r="P402" s="225">
        <f t="shared" ref="P402:R402" si="536">SUM(P403:P408)</f>
        <v>160500</v>
      </c>
      <c r="Q402" s="225">
        <f t="shared" si="536"/>
        <v>0</v>
      </c>
      <c r="R402" s="225">
        <f t="shared" si="536"/>
        <v>160500</v>
      </c>
      <c r="S402" s="150">
        <f t="shared" si="503"/>
        <v>214000</v>
      </c>
      <c r="T402" s="213"/>
      <c r="U402" s="225">
        <f t="shared" ref="U402:W402" si="537">SUM(U403:U408)</f>
        <v>228996</v>
      </c>
      <c r="V402" s="226">
        <f t="shared" si="537"/>
        <v>0</v>
      </c>
      <c r="W402" s="225">
        <f t="shared" si="537"/>
        <v>228996</v>
      </c>
      <c r="X402" s="225">
        <v>228996</v>
      </c>
      <c r="Y402" s="225">
        <v>0</v>
      </c>
      <c r="Z402" s="225">
        <v>228996</v>
      </c>
      <c r="AA402" s="225">
        <f t="shared" si="504"/>
        <v>84500</v>
      </c>
      <c r="AB402" s="225">
        <v>313496</v>
      </c>
      <c r="AC402" s="226">
        <v>0</v>
      </c>
      <c r="AD402" s="225">
        <f t="shared" ref="AD402" si="538">SUM(AD403:AD408)</f>
        <v>313496</v>
      </c>
      <c r="AE402" s="225">
        <v>313496</v>
      </c>
      <c r="AF402" s="169" t="s">
        <v>4680</v>
      </c>
      <c r="AG402" s="212">
        <v>313496</v>
      </c>
      <c r="AH402" s="226">
        <v>0</v>
      </c>
      <c r="AI402" s="225">
        <v>313496</v>
      </c>
      <c r="AJ402" s="169">
        <f t="shared" si="505"/>
        <v>-2000</v>
      </c>
      <c r="AK402" s="212">
        <v>311496</v>
      </c>
      <c r="AL402" s="226">
        <v>0</v>
      </c>
      <c r="AM402" s="225">
        <f t="shared" ref="AM402" si="539">SUM(AM403:AM408)</f>
        <v>311496</v>
      </c>
      <c r="AN402" s="153">
        <f t="shared" si="506"/>
        <v>0</v>
      </c>
      <c r="AO402" s="154">
        <f t="shared" si="507"/>
        <v>0</v>
      </c>
      <c r="AP402" s="225">
        <v>311496</v>
      </c>
      <c r="AQ402" s="212">
        <v>311496</v>
      </c>
      <c r="AR402" s="226">
        <f t="shared" ref="AR402:AS402" si="540">SUM(AR403:AR408)</f>
        <v>0</v>
      </c>
      <c r="AS402" s="225">
        <f t="shared" si="540"/>
        <v>311496</v>
      </c>
      <c r="AT402" s="155"/>
      <c r="AU402" s="156">
        <f t="shared" si="500"/>
        <v>-2000</v>
      </c>
      <c r="AV402" s="156">
        <f t="shared" si="501"/>
        <v>84500</v>
      </c>
      <c r="AW402" s="157"/>
      <c r="AX402" s="150">
        <v>228996</v>
      </c>
      <c r="AY402" s="225">
        <f t="shared" ref="AY402:BA402" si="541">SUM(AY403:AY408)</f>
        <v>48000</v>
      </c>
      <c r="AZ402" s="225">
        <f t="shared" si="541"/>
        <v>0</v>
      </c>
      <c r="BA402" s="225">
        <f t="shared" si="541"/>
        <v>48000</v>
      </c>
      <c r="BB402" s="192">
        <v>4</v>
      </c>
      <c r="BC402" s="256" t="s">
        <v>779</v>
      </c>
      <c r="BD402" s="256" t="s">
        <v>632</v>
      </c>
      <c r="BE402" s="256" t="s">
        <v>632</v>
      </c>
      <c r="BF402" s="256" t="s">
        <v>630</v>
      </c>
      <c r="BG402" s="185" t="s">
        <v>5769</v>
      </c>
      <c r="BH402" s="215">
        <f>SUM(BH403:BH408)</f>
        <v>311496</v>
      </c>
      <c r="BI402" s="192"/>
      <c r="BJ402" s="256" t="s">
        <v>5770</v>
      </c>
      <c r="BK402" s="256" t="s">
        <v>5768</v>
      </c>
      <c r="BL402" s="185" t="s">
        <v>5771</v>
      </c>
      <c r="BM402" s="215">
        <f>SUM(BM403:BM408)</f>
        <v>311496</v>
      </c>
      <c r="BN402" s="160"/>
      <c r="BO402" s="161">
        <f t="shared" si="508"/>
        <v>0</v>
      </c>
      <c r="BP402" s="161"/>
    </row>
    <row r="403" spans="1:68" ht="51">
      <c r="A403" s="206" t="s">
        <v>5768</v>
      </c>
      <c r="B403" s="195" t="s">
        <v>5772</v>
      </c>
      <c r="C403" s="196" t="s">
        <v>5773</v>
      </c>
      <c r="D403" s="146" t="s">
        <v>4692</v>
      </c>
      <c r="E403" s="196" t="s">
        <v>5773</v>
      </c>
      <c r="F403" s="150">
        <v>0</v>
      </c>
      <c r="G403" s="209">
        <v>0</v>
      </c>
      <c r="H403" s="209"/>
      <c r="I403" s="209">
        <v>0</v>
      </c>
      <c r="J403" s="150">
        <v>0</v>
      </c>
      <c r="K403" s="150">
        <v>0</v>
      </c>
      <c r="L403" s="150">
        <f t="shared" si="515"/>
        <v>0</v>
      </c>
      <c r="M403" s="150">
        <v>0</v>
      </c>
      <c r="N403" s="150"/>
      <c r="O403" s="150">
        <v>0</v>
      </c>
      <c r="P403" s="150">
        <v>0</v>
      </c>
      <c r="Q403" s="150"/>
      <c r="R403" s="150">
        <f t="shared" ref="R403:R408" si="542">P403+Q403</f>
        <v>0</v>
      </c>
      <c r="S403" s="150">
        <f t="shared" si="503"/>
        <v>0</v>
      </c>
      <c r="T403" s="150"/>
      <c r="U403" s="150">
        <v>2000</v>
      </c>
      <c r="V403" s="199"/>
      <c r="W403" s="150">
        <f t="shared" ref="W403:W408" si="543">U403+V403</f>
        <v>2000</v>
      </c>
      <c r="X403" s="150">
        <v>2000</v>
      </c>
      <c r="Y403" s="150"/>
      <c r="Z403" s="150">
        <v>2000</v>
      </c>
      <c r="AA403" s="150">
        <f t="shared" si="504"/>
        <v>2000</v>
      </c>
      <c r="AB403" s="150">
        <v>4000</v>
      </c>
      <c r="AC403" s="199"/>
      <c r="AD403" s="150">
        <f t="shared" ref="AD403:AD408" si="544">AB403+AC403</f>
        <v>4000</v>
      </c>
      <c r="AE403" s="150">
        <v>4000</v>
      </c>
      <c r="AF403" s="169" t="s">
        <v>4680</v>
      </c>
      <c r="AG403" s="201">
        <v>4000</v>
      </c>
      <c r="AH403" s="199"/>
      <c r="AI403" s="150">
        <v>4000</v>
      </c>
      <c r="AJ403" s="169">
        <f t="shared" si="505"/>
        <v>0</v>
      </c>
      <c r="AK403" s="201">
        <v>4000</v>
      </c>
      <c r="AL403" s="199"/>
      <c r="AM403" s="150">
        <f t="shared" ref="AM403:AM408" si="545">AK403+AL403</f>
        <v>4000</v>
      </c>
      <c r="AN403" s="153">
        <f t="shared" si="506"/>
        <v>0</v>
      </c>
      <c r="AO403" s="154">
        <f t="shared" si="507"/>
        <v>0</v>
      </c>
      <c r="AP403" s="150">
        <v>4000</v>
      </c>
      <c r="AQ403" s="201">
        <v>4000</v>
      </c>
      <c r="AR403" s="199"/>
      <c r="AS403" s="150">
        <f t="shared" ref="AS403:AS408" si="546">AQ403+AR403</f>
        <v>4000</v>
      </c>
      <c r="AT403" s="155"/>
      <c r="AU403" s="156">
        <f t="shared" si="500"/>
        <v>0</v>
      </c>
      <c r="AV403" s="156">
        <f t="shared" si="501"/>
        <v>2000</v>
      </c>
      <c r="AW403" s="157"/>
      <c r="AX403" s="150">
        <v>2000</v>
      </c>
      <c r="AY403" s="150">
        <v>0</v>
      </c>
      <c r="AZ403" s="150"/>
      <c r="BA403" s="150">
        <f t="shared" si="502"/>
        <v>0</v>
      </c>
      <c r="BB403" s="205">
        <v>4</v>
      </c>
      <c r="BC403" s="206" t="s">
        <v>779</v>
      </c>
      <c r="BD403" s="206" t="s">
        <v>632</v>
      </c>
      <c r="BE403" s="202" t="s">
        <v>632</v>
      </c>
      <c r="BF403" s="206" t="s">
        <v>632</v>
      </c>
      <c r="BG403" s="203" t="s">
        <v>5774</v>
      </c>
      <c r="BH403" s="216">
        <f>AS403</f>
        <v>4000</v>
      </c>
      <c r="BI403" s="205"/>
      <c r="BJ403" s="206" t="s">
        <v>5770</v>
      </c>
      <c r="BK403" s="206" t="s">
        <v>5768</v>
      </c>
      <c r="BL403" s="207" t="s">
        <v>5771</v>
      </c>
      <c r="BM403" s="208">
        <f>BH403</f>
        <v>4000</v>
      </c>
      <c r="BN403" s="160"/>
      <c r="BO403" s="161">
        <f t="shared" si="508"/>
        <v>0</v>
      </c>
      <c r="BP403" s="161"/>
    </row>
    <row r="404" spans="1:68" ht="38.25">
      <c r="A404" s="206" t="s">
        <v>5768</v>
      </c>
      <c r="B404" s="195" t="s">
        <v>5775</v>
      </c>
      <c r="C404" s="196" t="s">
        <v>5776</v>
      </c>
      <c r="D404" s="146" t="s">
        <v>4692</v>
      </c>
      <c r="E404" s="196" t="s">
        <v>5776</v>
      </c>
      <c r="F404" s="150">
        <v>0</v>
      </c>
      <c r="G404" s="209">
        <v>280</v>
      </c>
      <c r="H404" s="209"/>
      <c r="I404" s="209">
        <v>280</v>
      </c>
      <c r="J404" s="150">
        <v>0</v>
      </c>
      <c r="K404" s="150">
        <v>0</v>
      </c>
      <c r="L404" s="150">
        <f t="shared" si="515"/>
        <v>0</v>
      </c>
      <c r="M404" s="150">
        <v>0</v>
      </c>
      <c r="N404" s="150"/>
      <c r="O404" s="150">
        <v>0</v>
      </c>
      <c r="P404" s="150">
        <v>0</v>
      </c>
      <c r="Q404" s="150"/>
      <c r="R404" s="150">
        <f t="shared" si="542"/>
        <v>0</v>
      </c>
      <c r="S404" s="150">
        <f t="shared" si="503"/>
        <v>0</v>
      </c>
      <c r="T404" s="150"/>
      <c r="U404" s="150">
        <v>0</v>
      </c>
      <c r="V404" s="199"/>
      <c r="W404" s="150">
        <f t="shared" si="543"/>
        <v>0</v>
      </c>
      <c r="X404" s="150">
        <v>0</v>
      </c>
      <c r="Y404" s="150"/>
      <c r="Z404" s="150">
        <v>0</v>
      </c>
      <c r="AA404" s="150">
        <f t="shared" si="504"/>
        <v>0</v>
      </c>
      <c r="AB404" s="150">
        <v>0</v>
      </c>
      <c r="AC404" s="199"/>
      <c r="AD404" s="150">
        <f t="shared" si="544"/>
        <v>0</v>
      </c>
      <c r="AE404" s="150">
        <v>0</v>
      </c>
      <c r="AF404" s="169" t="s">
        <v>4680</v>
      </c>
      <c r="AG404" s="201">
        <v>0</v>
      </c>
      <c r="AH404" s="199"/>
      <c r="AI404" s="150">
        <v>0</v>
      </c>
      <c r="AJ404" s="169">
        <f t="shared" si="505"/>
        <v>0</v>
      </c>
      <c r="AK404" s="201">
        <v>0</v>
      </c>
      <c r="AL404" s="199"/>
      <c r="AM404" s="150">
        <f t="shared" si="545"/>
        <v>0</v>
      </c>
      <c r="AN404" s="153">
        <f t="shared" si="506"/>
        <v>0</v>
      </c>
      <c r="AO404" s="154">
        <f t="shared" si="507"/>
        <v>0</v>
      </c>
      <c r="AP404" s="150">
        <v>0</v>
      </c>
      <c r="AQ404" s="201">
        <v>0</v>
      </c>
      <c r="AR404" s="199"/>
      <c r="AS404" s="150">
        <f t="shared" si="546"/>
        <v>0</v>
      </c>
      <c r="AT404" s="155"/>
      <c r="AU404" s="156">
        <f t="shared" si="500"/>
        <v>0</v>
      </c>
      <c r="AV404" s="156">
        <f t="shared" si="501"/>
        <v>0</v>
      </c>
      <c r="AW404" s="157"/>
      <c r="AX404" s="150">
        <v>0</v>
      </c>
      <c r="AY404" s="150">
        <v>0</v>
      </c>
      <c r="AZ404" s="150"/>
      <c r="BA404" s="150">
        <f t="shared" si="502"/>
        <v>0</v>
      </c>
      <c r="BB404" s="205">
        <v>4</v>
      </c>
      <c r="BC404" s="206" t="s">
        <v>779</v>
      </c>
      <c r="BD404" s="206" t="s">
        <v>632</v>
      </c>
      <c r="BE404" s="202" t="s">
        <v>632</v>
      </c>
      <c r="BF404" s="206" t="s">
        <v>647</v>
      </c>
      <c r="BG404" s="203" t="s">
        <v>5777</v>
      </c>
      <c r="BH404" s="216">
        <f>AS404</f>
        <v>0</v>
      </c>
      <c r="BI404" s="205"/>
      <c r="BJ404" s="206" t="s">
        <v>5770</v>
      </c>
      <c r="BK404" s="206" t="s">
        <v>5768</v>
      </c>
      <c r="BL404" s="207" t="s">
        <v>5771</v>
      </c>
      <c r="BM404" s="208">
        <f>BH404</f>
        <v>0</v>
      </c>
      <c r="BN404" s="160"/>
      <c r="BO404" s="161">
        <f t="shared" si="508"/>
        <v>0</v>
      </c>
      <c r="BP404" s="161"/>
    </row>
    <row r="405" spans="1:68" ht="25.5">
      <c r="A405" s="206" t="s">
        <v>5768</v>
      </c>
      <c r="B405" s="195" t="s">
        <v>5778</v>
      </c>
      <c r="C405" s="196" t="s">
        <v>5779</v>
      </c>
      <c r="D405" s="146" t="s">
        <v>4692</v>
      </c>
      <c r="E405" s="196" t="s">
        <v>5780</v>
      </c>
      <c r="F405" s="150">
        <v>280</v>
      </c>
      <c r="G405" s="209">
        <v>110988</v>
      </c>
      <c r="H405" s="209"/>
      <c r="I405" s="209">
        <v>110988</v>
      </c>
      <c r="J405" s="150">
        <v>0</v>
      </c>
      <c r="K405" s="150">
        <v>0</v>
      </c>
      <c r="L405" s="150">
        <f t="shared" si="515"/>
        <v>0</v>
      </c>
      <c r="M405" s="150">
        <v>0</v>
      </c>
      <c r="N405" s="150"/>
      <c r="O405" s="150">
        <v>0</v>
      </c>
      <c r="P405" s="150">
        <v>0</v>
      </c>
      <c r="Q405" s="150"/>
      <c r="R405" s="150">
        <f t="shared" si="542"/>
        <v>0</v>
      </c>
      <c r="S405" s="150">
        <f t="shared" si="503"/>
        <v>0</v>
      </c>
      <c r="T405" s="150"/>
      <c r="U405" s="150">
        <v>0</v>
      </c>
      <c r="V405" s="199"/>
      <c r="W405" s="150">
        <f t="shared" si="543"/>
        <v>0</v>
      </c>
      <c r="X405" s="150">
        <v>0</v>
      </c>
      <c r="Y405" s="150"/>
      <c r="Z405" s="150">
        <v>0</v>
      </c>
      <c r="AA405" s="150">
        <f t="shared" si="504"/>
        <v>0</v>
      </c>
      <c r="AB405" s="150">
        <v>0</v>
      </c>
      <c r="AC405" s="199"/>
      <c r="AD405" s="150">
        <f t="shared" si="544"/>
        <v>0</v>
      </c>
      <c r="AE405" s="150">
        <v>0</v>
      </c>
      <c r="AF405" s="169" t="s">
        <v>4680</v>
      </c>
      <c r="AG405" s="201">
        <v>0</v>
      </c>
      <c r="AH405" s="199"/>
      <c r="AI405" s="150">
        <v>0</v>
      </c>
      <c r="AJ405" s="169">
        <f t="shared" si="505"/>
        <v>0</v>
      </c>
      <c r="AK405" s="201">
        <v>0</v>
      </c>
      <c r="AL405" s="199"/>
      <c r="AM405" s="150">
        <f t="shared" si="545"/>
        <v>0</v>
      </c>
      <c r="AN405" s="153">
        <f t="shared" si="506"/>
        <v>0</v>
      </c>
      <c r="AO405" s="154">
        <f t="shared" si="507"/>
        <v>0</v>
      </c>
      <c r="AP405" s="150">
        <v>0</v>
      </c>
      <c r="AQ405" s="201">
        <v>0</v>
      </c>
      <c r="AR405" s="199"/>
      <c r="AS405" s="150">
        <f t="shared" si="546"/>
        <v>0</v>
      </c>
      <c r="AT405" s="155"/>
      <c r="AU405" s="156">
        <f t="shared" si="500"/>
        <v>0</v>
      </c>
      <c r="AV405" s="156">
        <f t="shared" si="501"/>
        <v>0</v>
      </c>
      <c r="AW405" s="157"/>
      <c r="AX405" s="150">
        <v>0</v>
      </c>
      <c r="AY405" s="150">
        <v>0</v>
      </c>
      <c r="AZ405" s="150"/>
      <c r="BA405" s="150">
        <f t="shared" si="502"/>
        <v>0</v>
      </c>
      <c r="BB405" s="205">
        <v>4</v>
      </c>
      <c r="BC405" s="206" t="s">
        <v>779</v>
      </c>
      <c r="BD405" s="206" t="s">
        <v>632</v>
      </c>
      <c r="BE405" s="202" t="s">
        <v>632</v>
      </c>
      <c r="BF405" s="206" t="s">
        <v>671</v>
      </c>
      <c r="BG405" s="203" t="s">
        <v>5781</v>
      </c>
      <c r="BH405" s="216">
        <f>AS405</f>
        <v>0</v>
      </c>
      <c r="BI405" s="205"/>
      <c r="BJ405" s="206" t="s">
        <v>5770</v>
      </c>
      <c r="BK405" s="206" t="s">
        <v>5768</v>
      </c>
      <c r="BL405" s="207" t="s">
        <v>5771</v>
      </c>
      <c r="BM405" s="208">
        <f>BH405</f>
        <v>0</v>
      </c>
      <c r="BN405" s="160"/>
      <c r="BO405" s="161">
        <f t="shared" si="508"/>
        <v>0</v>
      </c>
      <c r="BP405" s="161"/>
    </row>
    <row r="406" spans="1:68" ht="38.25">
      <c r="A406" s="206" t="s">
        <v>5768</v>
      </c>
      <c r="B406" s="195" t="s">
        <v>5782</v>
      </c>
      <c r="C406" s="196" t="s">
        <v>5783</v>
      </c>
      <c r="D406" s="146" t="s">
        <v>4692</v>
      </c>
      <c r="E406" s="196" t="s">
        <v>5783</v>
      </c>
      <c r="F406" s="150">
        <v>169488</v>
      </c>
      <c r="G406" s="209">
        <v>0</v>
      </c>
      <c r="H406" s="209"/>
      <c r="I406" s="209">
        <v>0</v>
      </c>
      <c r="J406" s="150">
        <v>0</v>
      </c>
      <c r="K406" s="150">
        <v>0</v>
      </c>
      <c r="L406" s="150">
        <f t="shared" si="515"/>
        <v>0</v>
      </c>
      <c r="M406" s="150">
        <v>40000</v>
      </c>
      <c r="N406" s="150">
        <v>44744</v>
      </c>
      <c r="O406" s="150">
        <v>84744</v>
      </c>
      <c r="P406" s="150">
        <v>160500</v>
      </c>
      <c r="Q406" s="150"/>
      <c r="R406" s="150">
        <f t="shared" si="542"/>
        <v>160500</v>
      </c>
      <c r="S406" s="150">
        <f t="shared" si="503"/>
        <v>214000</v>
      </c>
      <c r="T406" s="150"/>
      <c r="U406" s="150">
        <v>208996</v>
      </c>
      <c r="V406" s="199"/>
      <c r="W406" s="150">
        <f t="shared" si="543"/>
        <v>208996</v>
      </c>
      <c r="X406" s="150">
        <v>208996</v>
      </c>
      <c r="Y406" s="150"/>
      <c r="Z406" s="150">
        <v>208996</v>
      </c>
      <c r="AA406" s="150">
        <f t="shared" si="504"/>
        <v>82500</v>
      </c>
      <c r="AB406" s="150">
        <v>291496</v>
      </c>
      <c r="AC406" s="199"/>
      <c r="AD406" s="150">
        <f t="shared" si="544"/>
        <v>291496</v>
      </c>
      <c r="AE406" s="150">
        <v>291496</v>
      </c>
      <c r="AF406" s="169" t="s">
        <v>4680</v>
      </c>
      <c r="AG406" s="201">
        <v>291496</v>
      </c>
      <c r="AH406" s="199"/>
      <c r="AI406" s="150">
        <v>291496</v>
      </c>
      <c r="AJ406" s="169">
        <f t="shared" si="505"/>
        <v>-2000</v>
      </c>
      <c r="AK406" s="201">
        <v>289496</v>
      </c>
      <c r="AL406" s="199"/>
      <c r="AM406" s="150">
        <f t="shared" si="545"/>
        <v>289496</v>
      </c>
      <c r="AN406" s="153">
        <f t="shared" si="506"/>
        <v>0</v>
      </c>
      <c r="AO406" s="154">
        <f t="shared" si="507"/>
        <v>0</v>
      </c>
      <c r="AP406" s="150">
        <v>289496</v>
      </c>
      <c r="AQ406" s="201">
        <v>289496</v>
      </c>
      <c r="AR406" s="199"/>
      <c r="AS406" s="150">
        <f t="shared" si="546"/>
        <v>289496</v>
      </c>
      <c r="AT406" s="155"/>
      <c r="AU406" s="156">
        <f t="shared" si="500"/>
        <v>-2000</v>
      </c>
      <c r="AV406" s="156">
        <f t="shared" si="501"/>
        <v>82500</v>
      </c>
      <c r="AW406" s="157"/>
      <c r="AX406" s="150">
        <v>208996</v>
      </c>
      <c r="AY406" s="150">
        <v>48000</v>
      </c>
      <c r="AZ406" s="237"/>
      <c r="BA406" s="150">
        <f t="shared" si="502"/>
        <v>48000</v>
      </c>
      <c r="BB406" s="205">
        <v>4</v>
      </c>
      <c r="BC406" s="206" t="s">
        <v>779</v>
      </c>
      <c r="BD406" s="206" t="s">
        <v>632</v>
      </c>
      <c r="BE406" s="202" t="s">
        <v>632</v>
      </c>
      <c r="BF406" s="206" t="s">
        <v>693</v>
      </c>
      <c r="BG406" s="203" t="s">
        <v>5784</v>
      </c>
      <c r="BH406" s="216">
        <f>AS406</f>
        <v>289496</v>
      </c>
      <c r="BI406" s="205"/>
      <c r="BJ406" s="206" t="s">
        <v>5770</v>
      </c>
      <c r="BK406" s="206" t="s">
        <v>5768</v>
      </c>
      <c r="BL406" s="207" t="s">
        <v>5771</v>
      </c>
      <c r="BM406" s="208">
        <f>BH406</f>
        <v>289496</v>
      </c>
      <c r="BN406" s="160"/>
      <c r="BO406" s="161">
        <f t="shared" si="508"/>
        <v>0</v>
      </c>
      <c r="BP406" s="161"/>
    </row>
    <row r="407" spans="1:68" ht="25.5">
      <c r="A407" s="206" t="s">
        <v>5768</v>
      </c>
      <c r="B407" s="195" t="s">
        <v>5785</v>
      </c>
      <c r="C407" s="196" t="s">
        <v>5786</v>
      </c>
      <c r="D407" s="146" t="s">
        <v>4692</v>
      </c>
      <c r="E407" s="196" t="s">
        <v>5786</v>
      </c>
      <c r="F407" s="150">
        <v>18000</v>
      </c>
      <c r="G407" s="209">
        <v>0</v>
      </c>
      <c r="H407" s="209"/>
      <c r="I407" s="209">
        <v>0</v>
      </c>
      <c r="J407" s="150">
        <v>0</v>
      </c>
      <c r="K407" s="150">
        <v>0</v>
      </c>
      <c r="L407" s="150">
        <f t="shared" si="515"/>
        <v>0</v>
      </c>
      <c r="M407" s="150">
        <v>0</v>
      </c>
      <c r="N407" s="150"/>
      <c r="O407" s="150">
        <v>0</v>
      </c>
      <c r="P407" s="150">
        <v>0</v>
      </c>
      <c r="Q407" s="150"/>
      <c r="R407" s="150">
        <f t="shared" si="542"/>
        <v>0</v>
      </c>
      <c r="S407" s="150">
        <f t="shared" si="503"/>
        <v>0</v>
      </c>
      <c r="T407" s="150"/>
      <c r="U407" s="150">
        <v>18000</v>
      </c>
      <c r="V407" s="199"/>
      <c r="W407" s="150">
        <f t="shared" si="543"/>
        <v>18000</v>
      </c>
      <c r="X407" s="150">
        <v>18000</v>
      </c>
      <c r="Y407" s="150"/>
      <c r="Z407" s="150">
        <v>18000</v>
      </c>
      <c r="AA407" s="150">
        <f t="shared" si="504"/>
        <v>0</v>
      </c>
      <c r="AB407" s="150">
        <v>18000</v>
      </c>
      <c r="AC407" s="199"/>
      <c r="AD407" s="150">
        <f t="shared" si="544"/>
        <v>18000</v>
      </c>
      <c r="AE407" s="150">
        <v>18000</v>
      </c>
      <c r="AF407" s="169" t="s">
        <v>4680</v>
      </c>
      <c r="AG407" s="201">
        <v>18000</v>
      </c>
      <c r="AH407" s="199"/>
      <c r="AI407" s="150">
        <v>18000</v>
      </c>
      <c r="AJ407" s="169">
        <f t="shared" si="505"/>
        <v>0</v>
      </c>
      <c r="AK407" s="201">
        <v>18000</v>
      </c>
      <c r="AL407" s="199"/>
      <c r="AM407" s="150">
        <f t="shared" si="545"/>
        <v>18000</v>
      </c>
      <c r="AN407" s="153">
        <f t="shared" si="506"/>
        <v>0</v>
      </c>
      <c r="AO407" s="154">
        <f t="shared" si="507"/>
        <v>0</v>
      </c>
      <c r="AP407" s="150">
        <v>18000</v>
      </c>
      <c r="AQ407" s="201">
        <v>18000</v>
      </c>
      <c r="AR407" s="199"/>
      <c r="AS407" s="150">
        <f t="shared" si="546"/>
        <v>18000</v>
      </c>
      <c r="AT407" s="155"/>
      <c r="AU407" s="156">
        <f t="shared" si="500"/>
        <v>0</v>
      </c>
      <c r="AV407" s="156">
        <f t="shared" si="501"/>
        <v>0</v>
      </c>
      <c r="AW407" s="157"/>
      <c r="AX407" s="150">
        <v>18000</v>
      </c>
      <c r="AY407" s="150">
        <v>0</v>
      </c>
      <c r="AZ407" s="150"/>
      <c r="BA407" s="150">
        <f t="shared" si="502"/>
        <v>0</v>
      </c>
      <c r="BB407" s="205">
        <v>4</v>
      </c>
      <c r="BC407" s="206" t="s">
        <v>779</v>
      </c>
      <c r="BD407" s="206" t="s">
        <v>632</v>
      </c>
      <c r="BE407" s="202" t="s">
        <v>632</v>
      </c>
      <c r="BF407" s="206" t="s">
        <v>1124</v>
      </c>
      <c r="BG407" s="203" t="s">
        <v>5787</v>
      </c>
      <c r="BH407" s="216">
        <f>AS407+AS408</f>
        <v>18000</v>
      </c>
      <c r="BI407" s="205"/>
      <c r="BJ407" s="206" t="s">
        <v>5770</v>
      </c>
      <c r="BK407" s="206" t="s">
        <v>5768</v>
      </c>
      <c r="BL407" s="207" t="s">
        <v>5771</v>
      </c>
      <c r="BM407" s="208">
        <f>BH407</f>
        <v>18000</v>
      </c>
      <c r="BN407" s="160"/>
      <c r="BO407" s="161">
        <f t="shared" si="508"/>
        <v>0</v>
      </c>
      <c r="BP407" s="161"/>
    </row>
    <row r="408" spans="1:68">
      <c r="A408" s="210"/>
      <c r="B408" s="195" t="s">
        <v>5788</v>
      </c>
      <c r="C408" s="196" t="s">
        <v>5789</v>
      </c>
      <c r="D408" s="146" t="s">
        <v>4692</v>
      </c>
      <c r="E408" s="196" t="s">
        <v>5789</v>
      </c>
      <c r="F408" s="150">
        <v>0</v>
      </c>
      <c r="G408" s="209">
        <v>0</v>
      </c>
      <c r="H408" s="209">
        <v>0</v>
      </c>
      <c r="I408" s="209">
        <v>0</v>
      </c>
      <c r="J408" s="150">
        <v>0</v>
      </c>
      <c r="K408" s="150">
        <v>0</v>
      </c>
      <c r="L408" s="150">
        <f t="shared" si="515"/>
        <v>0</v>
      </c>
      <c r="M408" s="150">
        <v>0</v>
      </c>
      <c r="N408" s="150"/>
      <c r="O408" s="150">
        <v>0</v>
      </c>
      <c r="P408" s="150">
        <v>0</v>
      </c>
      <c r="Q408" s="150"/>
      <c r="R408" s="150">
        <f t="shared" si="542"/>
        <v>0</v>
      </c>
      <c r="S408" s="150">
        <f t="shared" si="503"/>
        <v>0</v>
      </c>
      <c r="T408" s="150"/>
      <c r="U408" s="150">
        <v>0</v>
      </c>
      <c r="V408" s="199"/>
      <c r="W408" s="150">
        <f t="shared" si="543"/>
        <v>0</v>
      </c>
      <c r="X408" s="150">
        <v>0</v>
      </c>
      <c r="Y408" s="150"/>
      <c r="Z408" s="150">
        <v>0</v>
      </c>
      <c r="AA408" s="150">
        <f t="shared" si="504"/>
        <v>0</v>
      </c>
      <c r="AB408" s="150">
        <v>0</v>
      </c>
      <c r="AC408" s="199"/>
      <c r="AD408" s="150">
        <f t="shared" si="544"/>
        <v>0</v>
      </c>
      <c r="AE408" s="150">
        <v>0</v>
      </c>
      <c r="AF408" s="169" t="s">
        <v>4680</v>
      </c>
      <c r="AG408" s="201">
        <v>0</v>
      </c>
      <c r="AH408" s="199"/>
      <c r="AI408" s="150">
        <v>0</v>
      </c>
      <c r="AJ408" s="169">
        <f t="shared" si="505"/>
        <v>0</v>
      </c>
      <c r="AK408" s="201">
        <v>0</v>
      </c>
      <c r="AL408" s="199"/>
      <c r="AM408" s="150">
        <f t="shared" si="545"/>
        <v>0</v>
      </c>
      <c r="AN408" s="153">
        <f t="shared" si="506"/>
        <v>0</v>
      </c>
      <c r="AO408" s="154">
        <f t="shared" si="507"/>
        <v>0</v>
      </c>
      <c r="AP408" s="150">
        <v>0</v>
      </c>
      <c r="AQ408" s="201">
        <v>0</v>
      </c>
      <c r="AR408" s="199"/>
      <c r="AS408" s="150">
        <f t="shared" si="546"/>
        <v>0</v>
      </c>
      <c r="AT408" s="155"/>
      <c r="AU408" s="156">
        <f t="shared" si="500"/>
        <v>0</v>
      </c>
      <c r="AV408" s="156">
        <f t="shared" si="501"/>
        <v>0</v>
      </c>
      <c r="AW408" s="157"/>
      <c r="AX408" s="150">
        <v>0</v>
      </c>
      <c r="AY408" s="150">
        <v>0</v>
      </c>
      <c r="AZ408" s="150"/>
      <c r="BA408" s="150">
        <f t="shared" si="502"/>
        <v>0</v>
      </c>
      <c r="BB408" s="210"/>
      <c r="BC408" s="210"/>
      <c r="BD408" s="210"/>
      <c r="BE408" s="210"/>
      <c r="BF408" s="210"/>
      <c r="BG408" s="210"/>
      <c r="BH408" s="217"/>
      <c r="BI408" s="210"/>
      <c r="BJ408" s="210"/>
      <c r="BK408" s="210"/>
      <c r="BL408" s="210"/>
      <c r="BM408" s="208"/>
      <c r="BN408" s="160"/>
      <c r="BO408" s="161">
        <f t="shared" si="508"/>
        <v>0</v>
      </c>
      <c r="BP408" s="161"/>
    </row>
    <row r="409" spans="1:68" ht="25.5">
      <c r="A409" s="254" t="s">
        <v>5790</v>
      </c>
      <c r="B409" s="174"/>
      <c r="C409" s="175" t="s">
        <v>5791</v>
      </c>
      <c r="D409" s="146" t="s">
        <v>4692</v>
      </c>
      <c r="E409" s="175" t="s">
        <v>5791</v>
      </c>
      <c r="F409" s="176">
        <v>0</v>
      </c>
      <c r="G409" s="177">
        <v>0</v>
      </c>
      <c r="H409" s="177">
        <v>0</v>
      </c>
      <c r="I409" s="177">
        <v>0</v>
      </c>
      <c r="J409" s="176">
        <f>J410</f>
        <v>0</v>
      </c>
      <c r="K409" s="176">
        <f>K410</f>
        <v>0</v>
      </c>
      <c r="L409" s="176">
        <f t="shared" si="515"/>
        <v>0</v>
      </c>
      <c r="M409" s="178">
        <v>0</v>
      </c>
      <c r="N409" s="178">
        <v>0</v>
      </c>
      <c r="O409" s="178">
        <v>0</v>
      </c>
      <c r="P409" s="221">
        <f t="shared" ref="P409:AS409" si="547">P410</f>
        <v>0</v>
      </c>
      <c r="Q409" s="221">
        <f t="shared" si="547"/>
        <v>0</v>
      </c>
      <c r="R409" s="221">
        <f t="shared" si="547"/>
        <v>0</v>
      </c>
      <c r="S409" s="150">
        <f t="shared" si="503"/>
        <v>0</v>
      </c>
      <c r="T409" s="213"/>
      <c r="U409" s="221">
        <f t="shared" ref="U409:W409" si="548">U410</f>
        <v>0</v>
      </c>
      <c r="V409" s="222">
        <f t="shared" si="548"/>
        <v>0</v>
      </c>
      <c r="W409" s="221">
        <f t="shared" si="548"/>
        <v>0</v>
      </c>
      <c r="X409" s="221">
        <v>0</v>
      </c>
      <c r="Y409" s="221">
        <v>0</v>
      </c>
      <c r="Z409" s="221">
        <v>0</v>
      </c>
      <c r="AA409" s="221">
        <f t="shared" si="504"/>
        <v>0</v>
      </c>
      <c r="AB409" s="221">
        <v>0</v>
      </c>
      <c r="AC409" s="222">
        <v>0</v>
      </c>
      <c r="AD409" s="221">
        <f t="shared" si="547"/>
        <v>0</v>
      </c>
      <c r="AE409" s="221">
        <v>0</v>
      </c>
      <c r="AF409" s="169" t="s">
        <v>4680</v>
      </c>
      <c r="AG409" s="223">
        <v>0</v>
      </c>
      <c r="AH409" s="222">
        <v>0</v>
      </c>
      <c r="AI409" s="221">
        <v>0</v>
      </c>
      <c r="AJ409" s="169">
        <f t="shared" si="505"/>
        <v>0</v>
      </c>
      <c r="AK409" s="223">
        <v>0</v>
      </c>
      <c r="AL409" s="222">
        <v>0</v>
      </c>
      <c r="AM409" s="221">
        <f t="shared" si="547"/>
        <v>0</v>
      </c>
      <c r="AN409" s="153">
        <f t="shared" si="506"/>
        <v>0</v>
      </c>
      <c r="AO409" s="154">
        <f t="shared" si="507"/>
        <v>0</v>
      </c>
      <c r="AP409" s="221">
        <v>0</v>
      </c>
      <c r="AQ409" s="223">
        <v>0</v>
      </c>
      <c r="AR409" s="222">
        <f t="shared" si="547"/>
        <v>0</v>
      </c>
      <c r="AS409" s="221">
        <f t="shared" si="547"/>
        <v>0</v>
      </c>
      <c r="AT409" s="155"/>
      <c r="AU409" s="156">
        <f t="shared" si="500"/>
        <v>0</v>
      </c>
      <c r="AV409" s="156">
        <f t="shared" si="501"/>
        <v>0</v>
      </c>
      <c r="AW409" s="157"/>
      <c r="AX409" s="150">
        <v>0</v>
      </c>
      <c r="AY409" s="221">
        <f t="shared" ref="AY409:BA409" si="549">AY410</f>
        <v>0</v>
      </c>
      <c r="AZ409" s="221">
        <f t="shared" si="549"/>
        <v>0</v>
      </c>
      <c r="BA409" s="221">
        <f t="shared" si="549"/>
        <v>0</v>
      </c>
      <c r="BB409" s="254">
        <v>4</v>
      </c>
      <c r="BC409" s="255" t="s">
        <v>779</v>
      </c>
      <c r="BD409" s="255" t="s">
        <v>647</v>
      </c>
      <c r="BE409" s="173" t="s">
        <v>630</v>
      </c>
      <c r="BF409" s="255" t="s">
        <v>630</v>
      </c>
      <c r="BG409" s="175" t="s">
        <v>5791</v>
      </c>
      <c r="BH409" s="224">
        <f>BH410</f>
        <v>0</v>
      </c>
      <c r="BI409" s="254"/>
      <c r="BJ409" s="255" t="s">
        <v>5792</v>
      </c>
      <c r="BK409" s="254" t="s">
        <v>5790</v>
      </c>
      <c r="BL409" s="175" t="s">
        <v>5793</v>
      </c>
      <c r="BM409" s="224">
        <f>BM410</f>
        <v>0</v>
      </c>
      <c r="BN409" s="160"/>
      <c r="BO409" s="161">
        <f t="shared" si="508"/>
        <v>0</v>
      </c>
      <c r="BP409" s="161"/>
    </row>
    <row r="410" spans="1:68" ht="38.25">
      <c r="A410" s="256" t="s">
        <v>5790</v>
      </c>
      <c r="B410" s="184"/>
      <c r="C410" s="185" t="s">
        <v>5791</v>
      </c>
      <c r="D410" s="146" t="s">
        <v>4692</v>
      </c>
      <c r="E410" s="185" t="s">
        <v>5791</v>
      </c>
      <c r="F410" s="186">
        <v>0</v>
      </c>
      <c r="G410" s="187">
        <v>0</v>
      </c>
      <c r="H410" s="187"/>
      <c r="I410" s="187">
        <v>0</v>
      </c>
      <c r="J410" s="186">
        <f>SUM(J411:J414)</f>
        <v>0</v>
      </c>
      <c r="K410" s="186">
        <f>SUM(K411:K414)</f>
        <v>0</v>
      </c>
      <c r="L410" s="186">
        <f t="shared" si="515"/>
        <v>0</v>
      </c>
      <c r="M410" s="188">
        <v>0</v>
      </c>
      <c r="N410" s="188">
        <v>0</v>
      </c>
      <c r="O410" s="188">
        <v>0</v>
      </c>
      <c r="P410" s="225">
        <f t="shared" ref="P410:R410" si="550">SUM(P411:P414)</f>
        <v>0</v>
      </c>
      <c r="Q410" s="225">
        <f t="shared" si="550"/>
        <v>0</v>
      </c>
      <c r="R410" s="225">
        <f t="shared" si="550"/>
        <v>0</v>
      </c>
      <c r="S410" s="150">
        <f t="shared" si="503"/>
        <v>0</v>
      </c>
      <c r="T410" s="213"/>
      <c r="U410" s="225">
        <f t="shared" ref="U410:W410" si="551">SUM(U411:U414)</f>
        <v>0</v>
      </c>
      <c r="V410" s="226">
        <f t="shared" si="551"/>
        <v>0</v>
      </c>
      <c r="W410" s="225">
        <f t="shared" si="551"/>
        <v>0</v>
      </c>
      <c r="X410" s="225">
        <v>0</v>
      </c>
      <c r="Y410" s="225">
        <v>0</v>
      </c>
      <c r="Z410" s="225">
        <v>0</v>
      </c>
      <c r="AA410" s="225">
        <f t="shared" si="504"/>
        <v>0</v>
      </c>
      <c r="AB410" s="225">
        <v>0</v>
      </c>
      <c r="AC410" s="226">
        <v>0</v>
      </c>
      <c r="AD410" s="225">
        <f t="shared" ref="AD410" si="552">SUM(AD411:AD414)</f>
        <v>0</v>
      </c>
      <c r="AE410" s="225">
        <v>0</v>
      </c>
      <c r="AF410" s="169" t="s">
        <v>4680</v>
      </c>
      <c r="AG410" s="212">
        <v>0</v>
      </c>
      <c r="AH410" s="226">
        <v>0</v>
      </c>
      <c r="AI410" s="225">
        <v>0</v>
      </c>
      <c r="AJ410" s="169">
        <f t="shared" si="505"/>
        <v>0</v>
      </c>
      <c r="AK410" s="212">
        <v>0</v>
      </c>
      <c r="AL410" s="226">
        <v>0</v>
      </c>
      <c r="AM410" s="225">
        <f t="shared" ref="AM410" si="553">SUM(AM411:AM414)</f>
        <v>0</v>
      </c>
      <c r="AN410" s="153">
        <f t="shared" si="506"/>
        <v>0</v>
      </c>
      <c r="AO410" s="154">
        <f t="shared" si="507"/>
        <v>0</v>
      </c>
      <c r="AP410" s="225">
        <v>0</v>
      </c>
      <c r="AQ410" s="212">
        <v>0</v>
      </c>
      <c r="AR410" s="226">
        <f t="shared" ref="AR410:AS410" si="554">SUM(AR411:AR414)</f>
        <v>0</v>
      </c>
      <c r="AS410" s="225">
        <f t="shared" si="554"/>
        <v>0</v>
      </c>
      <c r="AT410" s="155"/>
      <c r="AU410" s="156">
        <f t="shared" si="500"/>
        <v>0</v>
      </c>
      <c r="AV410" s="156">
        <f t="shared" si="501"/>
        <v>0</v>
      </c>
      <c r="AW410" s="157"/>
      <c r="AX410" s="150">
        <v>0</v>
      </c>
      <c r="AY410" s="225">
        <f t="shared" ref="AY410:BA410" si="555">SUM(AY411:AY414)</f>
        <v>0</v>
      </c>
      <c r="AZ410" s="225">
        <f t="shared" si="555"/>
        <v>0</v>
      </c>
      <c r="BA410" s="225">
        <f t="shared" si="555"/>
        <v>0</v>
      </c>
      <c r="BB410" s="192">
        <v>4</v>
      </c>
      <c r="BC410" s="256" t="s">
        <v>779</v>
      </c>
      <c r="BD410" s="256" t="s">
        <v>647</v>
      </c>
      <c r="BE410" s="256" t="s">
        <v>632</v>
      </c>
      <c r="BF410" s="256" t="s">
        <v>630</v>
      </c>
      <c r="BG410" s="185" t="s">
        <v>5791</v>
      </c>
      <c r="BH410" s="215">
        <f>SUM(BH411:BH414)</f>
        <v>0</v>
      </c>
      <c r="BI410" s="192"/>
      <c r="BJ410" s="256" t="s">
        <v>5792</v>
      </c>
      <c r="BK410" s="256" t="s">
        <v>5790</v>
      </c>
      <c r="BL410" s="238" t="s">
        <v>5794</v>
      </c>
      <c r="BM410" s="215">
        <f>SUM(BM411:BM414)</f>
        <v>0</v>
      </c>
      <c r="BN410" s="160"/>
      <c r="BO410" s="161">
        <f t="shared" si="508"/>
        <v>0</v>
      </c>
      <c r="BP410" s="161"/>
    </row>
    <row r="411" spans="1:68" ht="25.5">
      <c r="A411" s="206" t="s">
        <v>5790</v>
      </c>
      <c r="B411" s="195" t="s">
        <v>5795</v>
      </c>
      <c r="C411" s="196" t="s">
        <v>5796</v>
      </c>
      <c r="D411" s="146" t="s">
        <v>4692</v>
      </c>
      <c r="E411" s="196" t="s">
        <v>5796</v>
      </c>
      <c r="F411" s="150">
        <v>0</v>
      </c>
      <c r="G411" s="209">
        <v>0</v>
      </c>
      <c r="H411" s="209"/>
      <c r="I411" s="209">
        <v>0</v>
      </c>
      <c r="J411" s="150">
        <v>0</v>
      </c>
      <c r="K411" s="150">
        <v>0</v>
      </c>
      <c r="L411" s="150">
        <f t="shared" si="515"/>
        <v>0</v>
      </c>
      <c r="M411" s="150">
        <v>0</v>
      </c>
      <c r="N411" s="150"/>
      <c r="O411" s="150">
        <v>0</v>
      </c>
      <c r="P411" s="150">
        <v>0</v>
      </c>
      <c r="Q411" s="150"/>
      <c r="R411" s="150">
        <f>P411+Q411</f>
        <v>0</v>
      </c>
      <c r="S411" s="150">
        <f t="shared" si="503"/>
        <v>0</v>
      </c>
      <c r="T411" s="150"/>
      <c r="U411" s="150">
        <v>0</v>
      </c>
      <c r="V411" s="199"/>
      <c r="W411" s="150">
        <f>U411+V411</f>
        <v>0</v>
      </c>
      <c r="X411" s="150">
        <v>0</v>
      </c>
      <c r="Y411" s="150"/>
      <c r="Z411" s="150">
        <v>0</v>
      </c>
      <c r="AA411" s="150">
        <f t="shared" si="504"/>
        <v>0</v>
      </c>
      <c r="AB411" s="150">
        <v>0</v>
      </c>
      <c r="AC411" s="199"/>
      <c r="AD411" s="150">
        <f>AB411+AC411</f>
        <v>0</v>
      </c>
      <c r="AE411" s="150">
        <v>0</v>
      </c>
      <c r="AF411" s="169" t="s">
        <v>4680</v>
      </c>
      <c r="AG411" s="201">
        <v>0</v>
      </c>
      <c r="AH411" s="199"/>
      <c r="AI411" s="150">
        <v>0</v>
      </c>
      <c r="AJ411" s="169">
        <f t="shared" si="505"/>
        <v>0</v>
      </c>
      <c r="AK411" s="201">
        <v>0</v>
      </c>
      <c r="AL411" s="199"/>
      <c r="AM411" s="150">
        <f>AK411+AL411</f>
        <v>0</v>
      </c>
      <c r="AN411" s="153">
        <f t="shared" si="506"/>
        <v>0</v>
      </c>
      <c r="AO411" s="154">
        <f t="shared" si="507"/>
        <v>0</v>
      </c>
      <c r="AP411" s="150">
        <v>0</v>
      </c>
      <c r="AQ411" s="201">
        <v>0</v>
      </c>
      <c r="AR411" s="199"/>
      <c r="AS411" s="150">
        <f>AQ411+AR411</f>
        <v>0</v>
      </c>
      <c r="AT411" s="155"/>
      <c r="AU411" s="156">
        <f t="shared" si="500"/>
        <v>0</v>
      </c>
      <c r="AV411" s="156">
        <f t="shared" si="501"/>
        <v>0</v>
      </c>
      <c r="AW411" s="157"/>
      <c r="AX411" s="150">
        <v>0</v>
      </c>
      <c r="AY411" s="150">
        <v>0</v>
      </c>
      <c r="AZ411" s="150"/>
      <c r="BA411" s="150">
        <f t="shared" si="502"/>
        <v>0</v>
      </c>
      <c r="BB411" s="202">
        <v>4</v>
      </c>
      <c r="BC411" s="202" t="s">
        <v>779</v>
      </c>
      <c r="BD411" s="202" t="s">
        <v>647</v>
      </c>
      <c r="BE411" s="202" t="s">
        <v>632</v>
      </c>
      <c r="BF411" s="202" t="s">
        <v>632</v>
      </c>
      <c r="BG411" s="203" t="s">
        <v>5797</v>
      </c>
      <c r="BH411" s="216">
        <f>SUM(AS411:AS413)</f>
        <v>0</v>
      </c>
      <c r="BI411" s="205"/>
      <c r="BJ411" s="206" t="s">
        <v>5792</v>
      </c>
      <c r="BK411" s="206" t="s">
        <v>5790</v>
      </c>
      <c r="BL411" s="207" t="s">
        <v>5794</v>
      </c>
      <c r="BM411" s="208">
        <f>BH411</f>
        <v>0</v>
      </c>
      <c r="BN411" s="160"/>
      <c r="BO411" s="161">
        <f t="shared" si="508"/>
        <v>0</v>
      </c>
      <c r="BP411" s="161"/>
    </row>
    <row r="412" spans="1:68" ht="25.5">
      <c r="A412" s="210"/>
      <c r="B412" s="195" t="s">
        <v>5798</v>
      </c>
      <c r="C412" s="196" t="s">
        <v>5799</v>
      </c>
      <c r="D412" s="146" t="s">
        <v>4692</v>
      </c>
      <c r="E412" s="196" t="s">
        <v>5799</v>
      </c>
      <c r="F412" s="150">
        <v>0</v>
      </c>
      <c r="G412" s="209">
        <v>0</v>
      </c>
      <c r="H412" s="209"/>
      <c r="I412" s="209">
        <v>0</v>
      </c>
      <c r="J412" s="150">
        <v>0</v>
      </c>
      <c r="K412" s="150">
        <v>0</v>
      </c>
      <c r="L412" s="150">
        <f t="shared" si="515"/>
        <v>0</v>
      </c>
      <c r="M412" s="150">
        <v>0</v>
      </c>
      <c r="N412" s="150"/>
      <c r="O412" s="150">
        <v>0</v>
      </c>
      <c r="P412" s="150">
        <v>0</v>
      </c>
      <c r="Q412" s="150"/>
      <c r="R412" s="150">
        <f>P412+Q412</f>
        <v>0</v>
      </c>
      <c r="S412" s="150">
        <f t="shared" si="503"/>
        <v>0</v>
      </c>
      <c r="T412" s="150"/>
      <c r="U412" s="150">
        <v>0</v>
      </c>
      <c r="V412" s="199"/>
      <c r="W412" s="150">
        <f>U412+V412</f>
        <v>0</v>
      </c>
      <c r="X412" s="150">
        <v>0</v>
      </c>
      <c r="Y412" s="150"/>
      <c r="Z412" s="150">
        <v>0</v>
      </c>
      <c r="AA412" s="150">
        <f t="shared" si="504"/>
        <v>0</v>
      </c>
      <c r="AB412" s="150">
        <v>0</v>
      </c>
      <c r="AC412" s="199"/>
      <c r="AD412" s="150">
        <f>AB412+AC412</f>
        <v>0</v>
      </c>
      <c r="AE412" s="150">
        <v>0</v>
      </c>
      <c r="AF412" s="169" t="s">
        <v>4680</v>
      </c>
      <c r="AG412" s="201">
        <v>0</v>
      </c>
      <c r="AH412" s="199"/>
      <c r="AI412" s="150">
        <v>0</v>
      </c>
      <c r="AJ412" s="169">
        <f t="shared" si="505"/>
        <v>0</v>
      </c>
      <c r="AK412" s="201">
        <v>0</v>
      </c>
      <c r="AL412" s="199"/>
      <c r="AM412" s="150">
        <f>AK412+AL412</f>
        <v>0</v>
      </c>
      <c r="AN412" s="153">
        <f t="shared" si="506"/>
        <v>0</v>
      </c>
      <c r="AO412" s="154">
        <f t="shared" si="507"/>
        <v>0</v>
      </c>
      <c r="AP412" s="150">
        <v>0</v>
      </c>
      <c r="AQ412" s="201">
        <v>0</v>
      </c>
      <c r="AR412" s="199"/>
      <c r="AS412" s="150">
        <f>AQ412+AR412</f>
        <v>0</v>
      </c>
      <c r="AT412" s="155"/>
      <c r="AU412" s="156">
        <f t="shared" si="500"/>
        <v>0</v>
      </c>
      <c r="AV412" s="156">
        <f t="shared" si="501"/>
        <v>0</v>
      </c>
      <c r="AW412" s="157"/>
      <c r="AX412" s="150">
        <v>0</v>
      </c>
      <c r="AY412" s="150">
        <v>0</v>
      </c>
      <c r="AZ412" s="150"/>
      <c r="BA412" s="150">
        <f t="shared" si="502"/>
        <v>0</v>
      </c>
      <c r="BB412" s="210"/>
      <c r="BC412" s="210"/>
      <c r="BD412" s="210"/>
      <c r="BE412" s="210"/>
      <c r="BF412" s="210"/>
      <c r="BG412" s="210"/>
      <c r="BH412" s="217"/>
      <c r="BI412" s="210"/>
      <c r="BJ412" s="210"/>
      <c r="BK412" s="210"/>
      <c r="BL412" s="210"/>
      <c r="BM412" s="208"/>
      <c r="BN412" s="160"/>
      <c r="BO412" s="161">
        <f t="shared" si="508"/>
        <v>0</v>
      </c>
      <c r="BP412" s="161"/>
    </row>
    <row r="413" spans="1:68">
      <c r="A413" s="210"/>
      <c r="B413" s="195" t="s">
        <v>5800</v>
      </c>
      <c r="C413" s="196" t="s">
        <v>5801</v>
      </c>
      <c r="D413" s="146" t="s">
        <v>4692</v>
      </c>
      <c r="E413" s="196" t="s">
        <v>5801</v>
      </c>
      <c r="F413" s="150">
        <v>0</v>
      </c>
      <c r="G413" s="209">
        <v>0</v>
      </c>
      <c r="H413" s="209"/>
      <c r="I413" s="209">
        <v>0</v>
      </c>
      <c r="J413" s="150">
        <v>0</v>
      </c>
      <c r="K413" s="150">
        <v>0</v>
      </c>
      <c r="L413" s="150">
        <f t="shared" si="515"/>
        <v>0</v>
      </c>
      <c r="M413" s="150">
        <v>0</v>
      </c>
      <c r="N413" s="150"/>
      <c r="O413" s="150">
        <v>0</v>
      </c>
      <c r="P413" s="150">
        <v>0</v>
      </c>
      <c r="Q413" s="150"/>
      <c r="R413" s="150">
        <f>P413+Q413</f>
        <v>0</v>
      </c>
      <c r="S413" s="150">
        <f t="shared" si="503"/>
        <v>0</v>
      </c>
      <c r="T413" s="150"/>
      <c r="U413" s="150">
        <v>0</v>
      </c>
      <c r="V413" s="199"/>
      <c r="W413" s="150">
        <f>U413+V413</f>
        <v>0</v>
      </c>
      <c r="X413" s="150">
        <v>0</v>
      </c>
      <c r="Y413" s="150"/>
      <c r="Z413" s="150">
        <v>0</v>
      </c>
      <c r="AA413" s="150">
        <f t="shared" si="504"/>
        <v>0</v>
      </c>
      <c r="AB413" s="150">
        <v>0</v>
      </c>
      <c r="AC413" s="199"/>
      <c r="AD413" s="150">
        <f>AB413+AC413</f>
        <v>0</v>
      </c>
      <c r="AE413" s="150">
        <v>0</v>
      </c>
      <c r="AF413" s="169" t="s">
        <v>4680</v>
      </c>
      <c r="AG413" s="201">
        <v>0</v>
      </c>
      <c r="AH413" s="199"/>
      <c r="AI413" s="150">
        <v>0</v>
      </c>
      <c r="AJ413" s="169">
        <f t="shared" si="505"/>
        <v>0</v>
      </c>
      <c r="AK413" s="201">
        <v>0</v>
      </c>
      <c r="AL413" s="199"/>
      <c r="AM413" s="150">
        <f>AK413+AL413</f>
        <v>0</v>
      </c>
      <c r="AN413" s="153">
        <f t="shared" si="506"/>
        <v>0</v>
      </c>
      <c r="AO413" s="154">
        <f t="shared" si="507"/>
        <v>0</v>
      </c>
      <c r="AP413" s="150">
        <v>0</v>
      </c>
      <c r="AQ413" s="201">
        <v>0</v>
      </c>
      <c r="AR413" s="199"/>
      <c r="AS413" s="150">
        <f>AQ413+AR413</f>
        <v>0</v>
      </c>
      <c r="AT413" s="155"/>
      <c r="AU413" s="156">
        <f t="shared" si="500"/>
        <v>0</v>
      </c>
      <c r="AV413" s="156">
        <f t="shared" si="501"/>
        <v>0</v>
      </c>
      <c r="AW413" s="157"/>
      <c r="AX413" s="150">
        <v>0</v>
      </c>
      <c r="AY413" s="150">
        <v>0</v>
      </c>
      <c r="AZ413" s="150"/>
      <c r="BA413" s="150">
        <f t="shared" si="502"/>
        <v>0</v>
      </c>
      <c r="BB413" s="210"/>
      <c r="BC413" s="210"/>
      <c r="BD413" s="210"/>
      <c r="BE413" s="210"/>
      <c r="BF413" s="210"/>
      <c r="BG413" s="210"/>
      <c r="BH413" s="217"/>
      <c r="BI413" s="210"/>
      <c r="BJ413" s="210"/>
      <c r="BK413" s="210"/>
      <c r="BL413" s="210"/>
      <c r="BM413" s="208"/>
      <c r="BN413" s="160"/>
      <c r="BO413" s="161">
        <f t="shared" si="508"/>
        <v>0</v>
      </c>
      <c r="BP413" s="161"/>
    </row>
    <row r="414" spans="1:68" ht="25.5">
      <c r="A414" s="206" t="s">
        <v>5790</v>
      </c>
      <c r="B414" s="195" t="s">
        <v>5802</v>
      </c>
      <c r="C414" s="196" t="s">
        <v>5803</v>
      </c>
      <c r="D414" s="146" t="s">
        <v>4692</v>
      </c>
      <c r="E414" s="196" t="s">
        <v>5803</v>
      </c>
      <c r="F414" s="150">
        <v>0</v>
      </c>
      <c r="G414" s="209">
        <v>492231.59</v>
      </c>
      <c r="H414" s="209">
        <v>60000</v>
      </c>
      <c r="I414" s="209">
        <v>552231.59000000008</v>
      </c>
      <c r="J414" s="150">
        <v>0</v>
      </c>
      <c r="K414" s="150">
        <v>0</v>
      </c>
      <c r="L414" s="150">
        <f t="shared" si="515"/>
        <v>0</v>
      </c>
      <c r="M414" s="150">
        <v>0</v>
      </c>
      <c r="N414" s="150"/>
      <c r="O414" s="150">
        <v>0</v>
      </c>
      <c r="P414" s="150">
        <v>0</v>
      </c>
      <c r="Q414" s="150"/>
      <c r="R414" s="150">
        <f>P414+Q414</f>
        <v>0</v>
      </c>
      <c r="S414" s="150">
        <f t="shared" si="503"/>
        <v>0</v>
      </c>
      <c r="T414" s="150"/>
      <c r="U414" s="150">
        <v>0</v>
      </c>
      <c r="V414" s="199"/>
      <c r="W414" s="150">
        <f>U414+V414</f>
        <v>0</v>
      </c>
      <c r="X414" s="150">
        <v>0</v>
      </c>
      <c r="Y414" s="150"/>
      <c r="Z414" s="150">
        <v>0</v>
      </c>
      <c r="AA414" s="150">
        <f t="shared" si="504"/>
        <v>0</v>
      </c>
      <c r="AB414" s="150">
        <v>0</v>
      </c>
      <c r="AC414" s="199"/>
      <c r="AD414" s="150">
        <f>AB414+AC414</f>
        <v>0</v>
      </c>
      <c r="AE414" s="150">
        <v>0</v>
      </c>
      <c r="AF414" s="169" t="s">
        <v>4680</v>
      </c>
      <c r="AG414" s="201">
        <v>0</v>
      </c>
      <c r="AH414" s="199"/>
      <c r="AI414" s="150">
        <v>0</v>
      </c>
      <c r="AJ414" s="169">
        <f t="shared" si="505"/>
        <v>0</v>
      </c>
      <c r="AK414" s="201">
        <v>0</v>
      </c>
      <c r="AL414" s="199"/>
      <c r="AM414" s="150">
        <f>AK414+AL414</f>
        <v>0</v>
      </c>
      <c r="AN414" s="153">
        <f t="shared" si="506"/>
        <v>0</v>
      </c>
      <c r="AO414" s="154">
        <f t="shared" si="507"/>
        <v>0</v>
      </c>
      <c r="AP414" s="150">
        <v>0</v>
      </c>
      <c r="AQ414" s="201">
        <v>0</v>
      </c>
      <c r="AR414" s="199"/>
      <c r="AS414" s="150">
        <f>AQ414+AR414</f>
        <v>0</v>
      </c>
      <c r="AT414" s="155"/>
      <c r="AU414" s="156">
        <f t="shared" si="500"/>
        <v>0</v>
      </c>
      <c r="AV414" s="156">
        <f t="shared" si="501"/>
        <v>0</v>
      </c>
      <c r="AW414" s="157"/>
      <c r="AX414" s="150">
        <v>0</v>
      </c>
      <c r="AY414" s="150">
        <v>0</v>
      </c>
      <c r="AZ414" s="150"/>
      <c r="BA414" s="150">
        <f t="shared" si="502"/>
        <v>0</v>
      </c>
      <c r="BB414" s="202">
        <v>4</v>
      </c>
      <c r="BC414" s="202" t="s">
        <v>779</v>
      </c>
      <c r="BD414" s="202" t="s">
        <v>647</v>
      </c>
      <c r="BE414" s="202" t="s">
        <v>632</v>
      </c>
      <c r="BF414" s="194" t="s">
        <v>647</v>
      </c>
      <c r="BG414" s="203" t="s">
        <v>5804</v>
      </c>
      <c r="BH414" s="216">
        <f>AS414</f>
        <v>0</v>
      </c>
      <c r="BI414" s="205"/>
      <c r="BJ414" s="206" t="s">
        <v>5792</v>
      </c>
      <c r="BK414" s="206" t="s">
        <v>5790</v>
      </c>
      <c r="BL414" s="207" t="s">
        <v>5794</v>
      </c>
      <c r="BM414" s="208">
        <f>BH414</f>
        <v>0</v>
      </c>
      <c r="BN414" s="160"/>
      <c r="BO414" s="161">
        <f t="shared" si="508"/>
        <v>0</v>
      </c>
      <c r="BP414" s="161"/>
    </row>
    <row r="415" spans="1:68">
      <c r="A415" s="254" t="s">
        <v>5805</v>
      </c>
      <c r="B415" s="174"/>
      <c r="C415" s="175" t="s">
        <v>5806</v>
      </c>
      <c r="D415" s="146" t="s">
        <v>4692</v>
      </c>
      <c r="E415" s="175" t="s">
        <v>5806</v>
      </c>
      <c r="F415" s="176">
        <v>594977.25000000012</v>
      </c>
      <c r="G415" s="177">
        <v>492231.59</v>
      </c>
      <c r="H415" s="177">
        <v>60000</v>
      </c>
      <c r="I415" s="177">
        <v>552231.59000000008</v>
      </c>
      <c r="J415" s="176">
        <f>J416</f>
        <v>1688</v>
      </c>
      <c r="K415" s="176">
        <f>K416</f>
        <v>0</v>
      </c>
      <c r="L415" s="176">
        <f t="shared" si="515"/>
        <v>1688</v>
      </c>
      <c r="M415" s="178">
        <v>90547.520000000004</v>
      </c>
      <c r="N415" s="178">
        <v>207543.72500000001</v>
      </c>
      <c r="O415" s="178">
        <v>298091.245</v>
      </c>
      <c r="P415" s="221">
        <f t="shared" ref="P415:AS415" si="556">P416</f>
        <v>91146.6</v>
      </c>
      <c r="Q415" s="221">
        <f t="shared" si="556"/>
        <v>70000</v>
      </c>
      <c r="R415" s="221">
        <f t="shared" si="556"/>
        <v>161146.6</v>
      </c>
      <c r="S415" s="150">
        <f t="shared" si="503"/>
        <v>214862.13333333336</v>
      </c>
      <c r="T415" s="213"/>
      <c r="U415" s="221">
        <f t="shared" ref="U415:W415" si="557">U416</f>
        <v>321979.56</v>
      </c>
      <c r="V415" s="222">
        <f t="shared" si="557"/>
        <v>0</v>
      </c>
      <c r="W415" s="221">
        <f t="shared" si="557"/>
        <v>321979.56</v>
      </c>
      <c r="X415" s="221">
        <v>321979.56</v>
      </c>
      <c r="Y415" s="221">
        <v>0</v>
      </c>
      <c r="Z415" s="221">
        <v>321979.56</v>
      </c>
      <c r="AA415" s="221">
        <f t="shared" si="504"/>
        <v>19949.710000000021</v>
      </c>
      <c r="AB415" s="221">
        <v>341929.27</v>
      </c>
      <c r="AC415" s="222">
        <v>0</v>
      </c>
      <c r="AD415" s="221">
        <f t="shared" si="556"/>
        <v>341929.27</v>
      </c>
      <c r="AE415" s="221">
        <v>341929.27</v>
      </c>
      <c r="AF415" s="169" t="s">
        <v>4680</v>
      </c>
      <c r="AG415" s="223">
        <v>341929.27</v>
      </c>
      <c r="AH415" s="222">
        <v>0</v>
      </c>
      <c r="AI415" s="221">
        <v>341929.27</v>
      </c>
      <c r="AJ415" s="169">
        <f t="shared" si="505"/>
        <v>0</v>
      </c>
      <c r="AK415" s="223">
        <v>341929.27</v>
      </c>
      <c r="AL415" s="222">
        <v>0</v>
      </c>
      <c r="AM415" s="221">
        <f t="shared" si="556"/>
        <v>341929.27</v>
      </c>
      <c r="AN415" s="153">
        <f t="shared" si="506"/>
        <v>0</v>
      </c>
      <c r="AO415" s="154">
        <f t="shared" si="507"/>
        <v>0</v>
      </c>
      <c r="AP415" s="221">
        <v>341929.27</v>
      </c>
      <c r="AQ415" s="223">
        <v>341929.27</v>
      </c>
      <c r="AR415" s="222">
        <f t="shared" si="556"/>
        <v>0</v>
      </c>
      <c r="AS415" s="221">
        <f t="shared" si="556"/>
        <v>341929.27</v>
      </c>
      <c r="AT415" s="155"/>
      <c r="AU415" s="156">
        <f t="shared" si="500"/>
        <v>0</v>
      </c>
      <c r="AV415" s="156">
        <f t="shared" si="501"/>
        <v>19949.710000000021</v>
      </c>
      <c r="AW415" s="157"/>
      <c r="AX415" s="150">
        <v>321979.56</v>
      </c>
      <c r="AY415" s="221">
        <f t="shared" ref="AY415:BA415" si="558">AY416</f>
        <v>145162.45000000001</v>
      </c>
      <c r="AZ415" s="221">
        <f t="shared" si="558"/>
        <v>0</v>
      </c>
      <c r="BA415" s="221">
        <f t="shared" si="558"/>
        <v>145162.45000000001</v>
      </c>
      <c r="BB415" s="254">
        <v>4</v>
      </c>
      <c r="BC415" s="255" t="s">
        <v>779</v>
      </c>
      <c r="BD415" s="255" t="s">
        <v>671</v>
      </c>
      <c r="BE415" s="173" t="s">
        <v>630</v>
      </c>
      <c r="BF415" s="255" t="s">
        <v>630</v>
      </c>
      <c r="BG415" s="175" t="s">
        <v>5806</v>
      </c>
      <c r="BH415" s="224">
        <f>BH416</f>
        <v>341929.27</v>
      </c>
      <c r="BI415" s="254"/>
      <c r="BJ415" s="255" t="s">
        <v>5807</v>
      </c>
      <c r="BK415" s="254" t="s">
        <v>5805</v>
      </c>
      <c r="BL415" s="175" t="s">
        <v>5808</v>
      </c>
      <c r="BM415" s="224">
        <f>BM416</f>
        <v>341929.27</v>
      </c>
      <c r="BN415" s="160"/>
      <c r="BO415" s="161">
        <f t="shared" si="508"/>
        <v>0</v>
      </c>
      <c r="BP415" s="161"/>
    </row>
    <row r="416" spans="1:68">
      <c r="A416" s="256" t="s">
        <v>5805</v>
      </c>
      <c r="B416" s="184"/>
      <c r="C416" s="185" t="s">
        <v>5806</v>
      </c>
      <c r="D416" s="146" t="s">
        <v>4692</v>
      </c>
      <c r="E416" s="185" t="s">
        <v>5806</v>
      </c>
      <c r="F416" s="186">
        <v>594977.25000000012</v>
      </c>
      <c r="G416" s="187">
        <v>0</v>
      </c>
      <c r="H416" s="187"/>
      <c r="I416" s="187">
        <v>0</v>
      </c>
      <c r="J416" s="186">
        <f>SUM(J417:J435)</f>
        <v>1688</v>
      </c>
      <c r="K416" s="186">
        <f>SUM(K417:K435)</f>
        <v>0</v>
      </c>
      <c r="L416" s="186">
        <f t="shared" si="515"/>
        <v>1688</v>
      </c>
      <c r="M416" s="188">
        <v>90547.520000000004</v>
      </c>
      <c r="N416" s="188">
        <v>207543.72500000001</v>
      </c>
      <c r="O416" s="188">
        <v>298091.245</v>
      </c>
      <c r="P416" s="225">
        <f t="shared" ref="P416:R416" si="559">SUM(P417:P435)</f>
        <v>91146.6</v>
      </c>
      <c r="Q416" s="225">
        <f t="shared" si="559"/>
        <v>70000</v>
      </c>
      <c r="R416" s="225">
        <f t="shared" si="559"/>
        <v>161146.6</v>
      </c>
      <c r="S416" s="150">
        <f t="shared" si="503"/>
        <v>214862.13333333336</v>
      </c>
      <c r="T416" s="213"/>
      <c r="U416" s="225">
        <f t="shared" ref="U416:W416" si="560">SUM(U417:U435)</f>
        <v>321979.56</v>
      </c>
      <c r="V416" s="226">
        <f t="shared" si="560"/>
        <v>0</v>
      </c>
      <c r="W416" s="225">
        <f t="shared" si="560"/>
        <v>321979.56</v>
      </c>
      <c r="X416" s="225">
        <v>321979.56</v>
      </c>
      <c r="Y416" s="225">
        <v>0</v>
      </c>
      <c r="Z416" s="225">
        <v>321979.56</v>
      </c>
      <c r="AA416" s="225">
        <f t="shared" si="504"/>
        <v>19949.710000000021</v>
      </c>
      <c r="AB416" s="225">
        <v>341929.27</v>
      </c>
      <c r="AC416" s="226">
        <v>0</v>
      </c>
      <c r="AD416" s="225">
        <f t="shared" ref="AD416" si="561">SUM(AD417:AD435)</f>
        <v>341929.27</v>
      </c>
      <c r="AE416" s="225">
        <v>341929.27</v>
      </c>
      <c r="AF416" s="169" t="s">
        <v>4680</v>
      </c>
      <c r="AG416" s="212">
        <v>341929.27</v>
      </c>
      <c r="AH416" s="226">
        <v>0</v>
      </c>
      <c r="AI416" s="225">
        <v>341929.27</v>
      </c>
      <c r="AJ416" s="169">
        <f t="shared" si="505"/>
        <v>0</v>
      </c>
      <c r="AK416" s="212">
        <v>341929.27</v>
      </c>
      <c r="AL416" s="226">
        <v>0</v>
      </c>
      <c r="AM416" s="225">
        <f t="shared" ref="AM416" si="562">SUM(AM417:AM435)</f>
        <v>341929.27</v>
      </c>
      <c r="AN416" s="153">
        <f t="shared" si="506"/>
        <v>0</v>
      </c>
      <c r="AO416" s="154">
        <f t="shared" si="507"/>
        <v>0</v>
      </c>
      <c r="AP416" s="225">
        <v>341929.27</v>
      </c>
      <c r="AQ416" s="212">
        <v>341929.27</v>
      </c>
      <c r="AR416" s="226">
        <f t="shared" ref="AR416:AS416" si="563">SUM(AR417:AR435)</f>
        <v>0</v>
      </c>
      <c r="AS416" s="225">
        <f t="shared" si="563"/>
        <v>341929.27</v>
      </c>
      <c r="AT416" s="155"/>
      <c r="AU416" s="156">
        <f t="shared" si="500"/>
        <v>0</v>
      </c>
      <c r="AV416" s="156">
        <f t="shared" si="501"/>
        <v>19949.710000000021</v>
      </c>
      <c r="AW416" s="157"/>
      <c r="AX416" s="150">
        <v>321979.56</v>
      </c>
      <c r="AY416" s="225">
        <f t="shared" ref="AY416:BA416" si="564">SUM(AY417:AY435)</f>
        <v>145162.45000000001</v>
      </c>
      <c r="AZ416" s="225">
        <f t="shared" si="564"/>
        <v>0</v>
      </c>
      <c r="BA416" s="225">
        <f t="shared" si="564"/>
        <v>145162.45000000001</v>
      </c>
      <c r="BB416" s="192">
        <v>4</v>
      </c>
      <c r="BC416" s="256" t="s">
        <v>779</v>
      </c>
      <c r="BD416" s="256" t="s">
        <v>671</v>
      </c>
      <c r="BE416" s="256" t="s">
        <v>632</v>
      </c>
      <c r="BF416" s="256" t="s">
        <v>630</v>
      </c>
      <c r="BG416" s="185" t="s">
        <v>5806</v>
      </c>
      <c r="BH416" s="215">
        <f>SUM(BH417:BH435)</f>
        <v>341929.27</v>
      </c>
      <c r="BI416" s="192"/>
      <c r="BJ416" s="256" t="s">
        <v>5807</v>
      </c>
      <c r="BK416" s="256" t="s">
        <v>5805</v>
      </c>
      <c r="BL416" s="238" t="s">
        <v>5808</v>
      </c>
      <c r="BM416" s="215">
        <f>SUM(BM417:BM435)</f>
        <v>341929.27</v>
      </c>
      <c r="BN416" s="160"/>
      <c r="BO416" s="161">
        <f t="shared" si="508"/>
        <v>0</v>
      </c>
      <c r="BP416" s="161"/>
    </row>
    <row r="417" spans="1:68" ht="25.5">
      <c r="A417" s="206" t="s">
        <v>5805</v>
      </c>
      <c r="B417" s="195" t="s">
        <v>5809</v>
      </c>
      <c r="C417" s="196" t="s">
        <v>5810</v>
      </c>
      <c r="D417" s="146" t="s">
        <v>4692</v>
      </c>
      <c r="E417" s="231" t="s">
        <v>5811</v>
      </c>
      <c r="F417" s="150">
        <v>0</v>
      </c>
      <c r="G417" s="251">
        <v>0</v>
      </c>
      <c r="H417" s="251"/>
      <c r="I417" s="251">
        <v>0</v>
      </c>
      <c r="J417" s="150">
        <v>0</v>
      </c>
      <c r="K417" s="150">
        <v>0</v>
      </c>
      <c r="L417" s="150">
        <f t="shared" si="515"/>
        <v>0</v>
      </c>
      <c r="M417" s="150">
        <v>0</v>
      </c>
      <c r="N417" s="150"/>
      <c r="O417" s="150">
        <v>0</v>
      </c>
      <c r="P417" s="150">
        <v>0</v>
      </c>
      <c r="Q417" s="150"/>
      <c r="R417" s="150">
        <f t="shared" ref="R417:R435" si="565">P417+Q417</f>
        <v>0</v>
      </c>
      <c r="S417" s="150">
        <f t="shared" si="503"/>
        <v>0</v>
      </c>
      <c r="T417" s="150"/>
      <c r="U417" s="150">
        <v>0</v>
      </c>
      <c r="V417" s="199"/>
      <c r="W417" s="150">
        <f t="shared" ref="W417:W435" si="566">U417+V417</f>
        <v>0</v>
      </c>
      <c r="X417" s="150">
        <v>0</v>
      </c>
      <c r="Y417" s="150"/>
      <c r="Z417" s="150">
        <v>0</v>
      </c>
      <c r="AA417" s="150">
        <f t="shared" si="504"/>
        <v>0</v>
      </c>
      <c r="AB417" s="150">
        <v>0</v>
      </c>
      <c r="AC417" s="199"/>
      <c r="AD417" s="150">
        <f t="shared" ref="AD417:AD435" si="567">AB417+AC417</f>
        <v>0</v>
      </c>
      <c r="AE417" s="150">
        <v>0</v>
      </c>
      <c r="AF417" s="169" t="s">
        <v>4680</v>
      </c>
      <c r="AG417" s="201">
        <v>0</v>
      </c>
      <c r="AH417" s="199"/>
      <c r="AI417" s="150">
        <v>0</v>
      </c>
      <c r="AJ417" s="169">
        <f t="shared" si="505"/>
        <v>0</v>
      </c>
      <c r="AK417" s="201">
        <v>0</v>
      </c>
      <c r="AL417" s="199"/>
      <c r="AM417" s="150">
        <f t="shared" ref="AM417:AM435" si="568">AK417+AL417</f>
        <v>0</v>
      </c>
      <c r="AN417" s="153">
        <f t="shared" si="506"/>
        <v>0</v>
      </c>
      <c r="AO417" s="154">
        <f t="shared" si="507"/>
        <v>0</v>
      </c>
      <c r="AP417" s="150">
        <v>0</v>
      </c>
      <c r="AQ417" s="201">
        <v>0</v>
      </c>
      <c r="AR417" s="199"/>
      <c r="AS417" s="150">
        <f t="shared" ref="AS417:AS435" si="569">AQ417+AR417</f>
        <v>0</v>
      </c>
      <c r="AT417" s="155"/>
      <c r="AU417" s="156">
        <f t="shared" si="500"/>
        <v>0</v>
      </c>
      <c r="AV417" s="156">
        <f t="shared" si="501"/>
        <v>0</v>
      </c>
      <c r="AW417" s="157"/>
      <c r="AX417" s="150">
        <v>0</v>
      </c>
      <c r="AY417" s="150">
        <v>0</v>
      </c>
      <c r="AZ417" s="150"/>
      <c r="BA417" s="150">
        <f t="shared" si="502"/>
        <v>0</v>
      </c>
      <c r="BB417" s="202">
        <v>4</v>
      </c>
      <c r="BC417" s="202" t="s">
        <v>779</v>
      </c>
      <c r="BD417" s="202" t="s">
        <v>671</v>
      </c>
      <c r="BE417" s="202" t="s">
        <v>632</v>
      </c>
      <c r="BF417" s="202" t="s">
        <v>632</v>
      </c>
      <c r="BG417" s="231" t="s">
        <v>5811</v>
      </c>
      <c r="BH417" s="216">
        <f>SUM(AS417:AS421)</f>
        <v>0</v>
      </c>
      <c r="BI417" s="205"/>
      <c r="BJ417" s="206" t="s">
        <v>5807</v>
      </c>
      <c r="BK417" s="206" t="s">
        <v>5805</v>
      </c>
      <c r="BL417" s="207" t="s">
        <v>5808</v>
      </c>
      <c r="BM417" s="208">
        <f>BH417</f>
        <v>0</v>
      </c>
      <c r="BN417" s="160"/>
      <c r="BO417" s="161">
        <f t="shared" si="508"/>
        <v>0</v>
      </c>
      <c r="BP417" s="161"/>
    </row>
    <row r="418" spans="1:68" ht="38.25">
      <c r="A418" s="210"/>
      <c r="B418" s="195" t="s">
        <v>5812</v>
      </c>
      <c r="C418" s="196" t="s">
        <v>5813</v>
      </c>
      <c r="D418" s="146" t="s">
        <v>4692</v>
      </c>
      <c r="E418" s="196" t="s">
        <v>5813</v>
      </c>
      <c r="F418" s="150">
        <v>0</v>
      </c>
      <c r="G418" s="209">
        <v>0</v>
      </c>
      <c r="H418" s="209"/>
      <c r="I418" s="209">
        <v>0</v>
      </c>
      <c r="J418" s="150">
        <v>0</v>
      </c>
      <c r="K418" s="150">
        <v>0</v>
      </c>
      <c r="L418" s="150">
        <f t="shared" si="515"/>
        <v>0</v>
      </c>
      <c r="M418" s="150">
        <v>0</v>
      </c>
      <c r="N418" s="150"/>
      <c r="O418" s="150">
        <v>0</v>
      </c>
      <c r="P418" s="150">
        <v>0</v>
      </c>
      <c r="Q418" s="150"/>
      <c r="R418" s="150">
        <f t="shared" si="565"/>
        <v>0</v>
      </c>
      <c r="S418" s="150">
        <f t="shared" si="503"/>
        <v>0</v>
      </c>
      <c r="T418" s="150"/>
      <c r="U418" s="150">
        <v>0</v>
      </c>
      <c r="V418" s="199"/>
      <c r="W418" s="150">
        <f t="shared" si="566"/>
        <v>0</v>
      </c>
      <c r="X418" s="150">
        <v>0</v>
      </c>
      <c r="Y418" s="150"/>
      <c r="Z418" s="150">
        <v>0</v>
      </c>
      <c r="AA418" s="150">
        <f t="shared" si="504"/>
        <v>0</v>
      </c>
      <c r="AB418" s="150">
        <v>0</v>
      </c>
      <c r="AC418" s="199"/>
      <c r="AD418" s="150">
        <f t="shared" si="567"/>
        <v>0</v>
      </c>
      <c r="AE418" s="150">
        <v>0</v>
      </c>
      <c r="AF418" s="169" t="s">
        <v>4680</v>
      </c>
      <c r="AG418" s="201">
        <v>0</v>
      </c>
      <c r="AH418" s="199"/>
      <c r="AI418" s="150">
        <v>0</v>
      </c>
      <c r="AJ418" s="169">
        <f t="shared" si="505"/>
        <v>0</v>
      </c>
      <c r="AK418" s="201">
        <v>0</v>
      </c>
      <c r="AL418" s="199"/>
      <c r="AM418" s="150">
        <f t="shared" si="568"/>
        <v>0</v>
      </c>
      <c r="AN418" s="153">
        <f t="shared" si="506"/>
        <v>0</v>
      </c>
      <c r="AO418" s="154">
        <f t="shared" si="507"/>
        <v>0</v>
      </c>
      <c r="AP418" s="150">
        <v>0</v>
      </c>
      <c r="AQ418" s="201">
        <v>0</v>
      </c>
      <c r="AR418" s="199"/>
      <c r="AS418" s="150">
        <f t="shared" si="569"/>
        <v>0</v>
      </c>
      <c r="AT418" s="155"/>
      <c r="AU418" s="156">
        <f t="shared" si="500"/>
        <v>0</v>
      </c>
      <c r="AV418" s="156">
        <f t="shared" si="501"/>
        <v>0</v>
      </c>
      <c r="AW418" s="157"/>
      <c r="AX418" s="150">
        <v>0</v>
      </c>
      <c r="AY418" s="150">
        <v>0</v>
      </c>
      <c r="AZ418" s="150"/>
      <c r="BA418" s="150">
        <f t="shared" si="502"/>
        <v>0</v>
      </c>
      <c r="BB418" s="210"/>
      <c r="BC418" s="210"/>
      <c r="BD418" s="210"/>
      <c r="BE418" s="210"/>
      <c r="BF418" s="210"/>
      <c r="BG418" s="210"/>
      <c r="BH418" s="217"/>
      <c r="BI418" s="210"/>
      <c r="BJ418" s="210"/>
      <c r="BK418" s="210"/>
      <c r="BL418" s="210"/>
      <c r="BM418" s="208"/>
      <c r="BN418" s="160"/>
      <c r="BO418" s="161">
        <f t="shared" si="508"/>
        <v>0</v>
      </c>
      <c r="BP418" s="161"/>
    </row>
    <row r="419" spans="1:68" ht="38.25">
      <c r="A419" s="210"/>
      <c r="B419" s="195" t="s">
        <v>5814</v>
      </c>
      <c r="C419" s="196" t="s">
        <v>5815</v>
      </c>
      <c r="D419" s="146" t="s">
        <v>4692</v>
      </c>
      <c r="E419" s="196" t="s">
        <v>5816</v>
      </c>
      <c r="F419" s="150">
        <v>0</v>
      </c>
      <c r="G419" s="209">
        <v>0</v>
      </c>
      <c r="H419" s="209"/>
      <c r="I419" s="209">
        <v>0</v>
      </c>
      <c r="J419" s="150">
        <v>0</v>
      </c>
      <c r="K419" s="150">
        <v>0</v>
      </c>
      <c r="L419" s="150">
        <f t="shared" si="515"/>
        <v>0</v>
      </c>
      <c r="M419" s="150">
        <v>0</v>
      </c>
      <c r="N419" s="150"/>
      <c r="O419" s="150">
        <v>0</v>
      </c>
      <c r="P419" s="150">
        <v>0</v>
      </c>
      <c r="Q419" s="150"/>
      <c r="R419" s="150">
        <f t="shared" si="565"/>
        <v>0</v>
      </c>
      <c r="S419" s="150">
        <f t="shared" si="503"/>
        <v>0</v>
      </c>
      <c r="T419" s="150"/>
      <c r="U419" s="150">
        <v>0</v>
      </c>
      <c r="V419" s="199"/>
      <c r="W419" s="150">
        <f t="shared" si="566"/>
        <v>0</v>
      </c>
      <c r="X419" s="150">
        <v>0</v>
      </c>
      <c r="Y419" s="150"/>
      <c r="Z419" s="150">
        <v>0</v>
      </c>
      <c r="AA419" s="150">
        <f t="shared" si="504"/>
        <v>0</v>
      </c>
      <c r="AB419" s="150">
        <v>0</v>
      </c>
      <c r="AC419" s="199"/>
      <c r="AD419" s="150">
        <f t="shared" si="567"/>
        <v>0</v>
      </c>
      <c r="AE419" s="150">
        <v>0</v>
      </c>
      <c r="AF419" s="169" t="s">
        <v>4680</v>
      </c>
      <c r="AG419" s="201">
        <v>0</v>
      </c>
      <c r="AH419" s="199"/>
      <c r="AI419" s="150">
        <v>0</v>
      </c>
      <c r="AJ419" s="169">
        <f t="shared" si="505"/>
        <v>0</v>
      </c>
      <c r="AK419" s="201">
        <v>0</v>
      </c>
      <c r="AL419" s="199"/>
      <c r="AM419" s="150">
        <f t="shared" si="568"/>
        <v>0</v>
      </c>
      <c r="AN419" s="153">
        <f t="shared" si="506"/>
        <v>0</v>
      </c>
      <c r="AO419" s="154">
        <f t="shared" si="507"/>
        <v>0</v>
      </c>
      <c r="AP419" s="150">
        <v>0</v>
      </c>
      <c r="AQ419" s="201">
        <v>0</v>
      </c>
      <c r="AR419" s="199"/>
      <c r="AS419" s="150">
        <f t="shared" si="569"/>
        <v>0</v>
      </c>
      <c r="AT419" s="155"/>
      <c r="AU419" s="156">
        <f t="shared" si="500"/>
        <v>0</v>
      </c>
      <c r="AV419" s="156">
        <f t="shared" si="501"/>
        <v>0</v>
      </c>
      <c r="AW419" s="157"/>
      <c r="AX419" s="150">
        <v>0</v>
      </c>
      <c r="AY419" s="150">
        <v>0</v>
      </c>
      <c r="AZ419" s="150"/>
      <c r="BA419" s="150">
        <f t="shared" si="502"/>
        <v>0</v>
      </c>
      <c r="BB419" s="210"/>
      <c r="BC419" s="210"/>
      <c r="BD419" s="210"/>
      <c r="BE419" s="210"/>
      <c r="BF419" s="210"/>
      <c r="BG419" s="210"/>
      <c r="BH419" s="217"/>
      <c r="BI419" s="210"/>
      <c r="BJ419" s="210"/>
      <c r="BK419" s="210"/>
      <c r="BL419" s="210"/>
      <c r="BM419" s="208"/>
      <c r="BN419" s="160"/>
      <c r="BO419" s="161">
        <f t="shared" si="508"/>
        <v>0</v>
      </c>
      <c r="BP419" s="161"/>
    </row>
    <row r="420" spans="1:68" ht="25.5">
      <c r="A420" s="210"/>
      <c r="B420" s="195" t="s">
        <v>5817</v>
      </c>
      <c r="C420" s="196" t="s">
        <v>5818</v>
      </c>
      <c r="D420" s="146" t="s">
        <v>4692</v>
      </c>
      <c r="E420" s="196" t="s">
        <v>5818</v>
      </c>
      <c r="F420" s="150">
        <v>0</v>
      </c>
      <c r="G420" s="209">
        <v>0</v>
      </c>
      <c r="H420" s="209"/>
      <c r="I420" s="209">
        <v>0</v>
      </c>
      <c r="J420" s="150">
        <v>0</v>
      </c>
      <c r="K420" s="150">
        <v>0</v>
      </c>
      <c r="L420" s="150">
        <f t="shared" si="515"/>
        <v>0</v>
      </c>
      <c r="M420" s="150">
        <v>0</v>
      </c>
      <c r="N420" s="150"/>
      <c r="O420" s="150">
        <v>0</v>
      </c>
      <c r="P420" s="150">
        <v>0</v>
      </c>
      <c r="Q420" s="150"/>
      <c r="R420" s="150">
        <f t="shared" si="565"/>
        <v>0</v>
      </c>
      <c r="S420" s="150">
        <f t="shared" si="503"/>
        <v>0</v>
      </c>
      <c r="T420" s="150"/>
      <c r="U420" s="150">
        <v>0</v>
      </c>
      <c r="V420" s="199"/>
      <c r="W420" s="150">
        <f t="shared" si="566"/>
        <v>0</v>
      </c>
      <c r="X420" s="150">
        <v>0</v>
      </c>
      <c r="Y420" s="150"/>
      <c r="Z420" s="150">
        <v>0</v>
      </c>
      <c r="AA420" s="150">
        <f t="shared" si="504"/>
        <v>0</v>
      </c>
      <c r="AB420" s="150">
        <v>0</v>
      </c>
      <c r="AC420" s="199"/>
      <c r="AD420" s="150">
        <f t="shared" si="567"/>
        <v>0</v>
      </c>
      <c r="AE420" s="150">
        <v>0</v>
      </c>
      <c r="AF420" s="169" t="s">
        <v>4680</v>
      </c>
      <c r="AG420" s="201">
        <v>0</v>
      </c>
      <c r="AH420" s="199"/>
      <c r="AI420" s="150">
        <v>0</v>
      </c>
      <c r="AJ420" s="169">
        <f t="shared" si="505"/>
        <v>0</v>
      </c>
      <c r="AK420" s="201">
        <v>0</v>
      </c>
      <c r="AL420" s="199"/>
      <c r="AM420" s="150">
        <f t="shared" si="568"/>
        <v>0</v>
      </c>
      <c r="AN420" s="153">
        <f t="shared" si="506"/>
        <v>0</v>
      </c>
      <c r="AO420" s="154">
        <f t="shared" si="507"/>
        <v>0</v>
      </c>
      <c r="AP420" s="150">
        <v>0</v>
      </c>
      <c r="AQ420" s="201">
        <v>0</v>
      </c>
      <c r="AR420" s="199"/>
      <c r="AS420" s="150">
        <f t="shared" si="569"/>
        <v>0</v>
      </c>
      <c r="AT420" s="155"/>
      <c r="AU420" s="156">
        <f t="shared" si="500"/>
        <v>0</v>
      </c>
      <c r="AV420" s="156">
        <f t="shared" si="501"/>
        <v>0</v>
      </c>
      <c r="AW420" s="157"/>
      <c r="AX420" s="150">
        <v>0</v>
      </c>
      <c r="AY420" s="150">
        <v>0</v>
      </c>
      <c r="AZ420" s="150"/>
      <c r="BA420" s="150">
        <f t="shared" si="502"/>
        <v>0</v>
      </c>
      <c r="BB420" s="210"/>
      <c r="BC420" s="210"/>
      <c r="BD420" s="210"/>
      <c r="BE420" s="210"/>
      <c r="BF420" s="210"/>
      <c r="BG420" s="210"/>
      <c r="BH420" s="217"/>
      <c r="BI420" s="210"/>
      <c r="BJ420" s="210"/>
      <c r="BK420" s="210"/>
      <c r="BL420" s="210"/>
      <c r="BM420" s="208"/>
      <c r="BN420" s="160"/>
      <c r="BO420" s="161">
        <f t="shared" si="508"/>
        <v>0</v>
      </c>
      <c r="BP420" s="161"/>
    </row>
    <row r="421" spans="1:68" ht="38.25">
      <c r="A421" s="210"/>
      <c r="B421" s="195" t="s">
        <v>5819</v>
      </c>
      <c r="C421" s="196" t="s">
        <v>5820</v>
      </c>
      <c r="D421" s="146" t="s">
        <v>4692</v>
      </c>
      <c r="E421" s="196" t="s">
        <v>5821</v>
      </c>
      <c r="F421" s="150">
        <v>0</v>
      </c>
      <c r="G421" s="209">
        <v>0</v>
      </c>
      <c r="H421" s="209"/>
      <c r="I421" s="209">
        <v>0</v>
      </c>
      <c r="J421" s="150">
        <v>0</v>
      </c>
      <c r="K421" s="150">
        <v>0</v>
      </c>
      <c r="L421" s="150">
        <f t="shared" si="515"/>
        <v>0</v>
      </c>
      <c r="M421" s="150">
        <v>0</v>
      </c>
      <c r="N421" s="150"/>
      <c r="O421" s="150">
        <v>0</v>
      </c>
      <c r="P421" s="150">
        <v>0</v>
      </c>
      <c r="Q421" s="150"/>
      <c r="R421" s="150">
        <f t="shared" si="565"/>
        <v>0</v>
      </c>
      <c r="S421" s="150">
        <f t="shared" si="503"/>
        <v>0</v>
      </c>
      <c r="T421" s="150"/>
      <c r="U421" s="150">
        <v>0</v>
      </c>
      <c r="V421" s="199"/>
      <c r="W421" s="150">
        <f t="shared" si="566"/>
        <v>0</v>
      </c>
      <c r="X421" s="150">
        <v>0</v>
      </c>
      <c r="Y421" s="150"/>
      <c r="Z421" s="150">
        <v>0</v>
      </c>
      <c r="AA421" s="150">
        <f t="shared" si="504"/>
        <v>0</v>
      </c>
      <c r="AB421" s="150">
        <v>0</v>
      </c>
      <c r="AC421" s="199"/>
      <c r="AD421" s="150">
        <f t="shared" si="567"/>
        <v>0</v>
      </c>
      <c r="AE421" s="150">
        <v>0</v>
      </c>
      <c r="AF421" s="169" t="s">
        <v>4680</v>
      </c>
      <c r="AG421" s="201">
        <v>0</v>
      </c>
      <c r="AH421" s="199"/>
      <c r="AI421" s="150">
        <v>0</v>
      </c>
      <c r="AJ421" s="169">
        <f t="shared" si="505"/>
        <v>0</v>
      </c>
      <c r="AK421" s="201">
        <v>0</v>
      </c>
      <c r="AL421" s="199"/>
      <c r="AM421" s="150">
        <f t="shared" si="568"/>
        <v>0</v>
      </c>
      <c r="AN421" s="153">
        <f t="shared" si="506"/>
        <v>0</v>
      </c>
      <c r="AO421" s="154">
        <f t="shared" si="507"/>
        <v>0</v>
      </c>
      <c r="AP421" s="150">
        <v>0</v>
      </c>
      <c r="AQ421" s="201">
        <v>0</v>
      </c>
      <c r="AR421" s="199"/>
      <c r="AS421" s="150">
        <f t="shared" si="569"/>
        <v>0</v>
      </c>
      <c r="AT421" s="155"/>
      <c r="AU421" s="156">
        <f t="shared" si="500"/>
        <v>0</v>
      </c>
      <c r="AV421" s="156">
        <f t="shared" si="501"/>
        <v>0</v>
      </c>
      <c r="AW421" s="157"/>
      <c r="AX421" s="150">
        <v>0</v>
      </c>
      <c r="AY421" s="150">
        <v>0</v>
      </c>
      <c r="AZ421" s="150"/>
      <c r="BA421" s="150">
        <f t="shared" si="502"/>
        <v>0</v>
      </c>
      <c r="BB421" s="210"/>
      <c r="BC421" s="210"/>
      <c r="BD421" s="210"/>
      <c r="BE421" s="210"/>
      <c r="BF421" s="210"/>
      <c r="BG421" s="210"/>
      <c r="BH421" s="217"/>
      <c r="BI421" s="210"/>
      <c r="BJ421" s="210"/>
      <c r="BK421" s="210"/>
      <c r="BL421" s="210"/>
      <c r="BM421" s="208"/>
      <c r="BN421" s="160"/>
      <c r="BO421" s="161">
        <f t="shared" si="508"/>
        <v>0</v>
      </c>
      <c r="BP421" s="161"/>
    </row>
    <row r="422" spans="1:68" ht="25.5">
      <c r="A422" s="206" t="s">
        <v>5805</v>
      </c>
      <c r="B422" s="195" t="s">
        <v>5822</v>
      </c>
      <c r="C422" s="196" t="s">
        <v>5823</v>
      </c>
      <c r="D422" s="146" t="s">
        <v>4692</v>
      </c>
      <c r="E422" s="196" t="s">
        <v>5823</v>
      </c>
      <c r="F422" s="150">
        <v>0</v>
      </c>
      <c r="G422" s="209">
        <v>0</v>
      </c>
      <c r="H422" s="209"/>
      <c r="I422" s="209">
        <v>0</v>
      </c>
      <c r="J422" s="150">
        <v>0</v>
      </c>
      <c r="K422" s="150">
        <v>0</v>
      </c>
      <c r="L422" s="150">
        <f t="shared" si="515"/>
        <v>0</v>
      </c>
      <c r="M422" s="150">
        <v>0</v>
      </c>
      <c r="N422" s="150"/>
      <c r="O422" s="150">
        <v>0</v>
      </c>
      <c r="P422" s="150">
        <v>0</v>
      </c>
      <c r="Q422" s="150"/>
      <c r="R422" s="150">
        <f t="shared" si="565"/>
        <v>0</v>
      </c>
      <c r="S422" s="150">
        <f t="shared" si="503"/>
        <v>0</v>
      </c>
      <c r="T422" s="150"/>
      <c r="U422" s="150">
        <v>0</v>
      </c>
      <c r="V422" s="199"/>
      <c r="W422" s="150">
        <f t="shared" si="566"/>
        <v>0</v>
      </c>
      <c r="X422" s="150">
        <v>0</v>
      </c>
      <c r="Y422" s="150"/>
      <c r="Z422" s="150">
        <v>0</v>
      </c>
      <c r="AA422" s="150">
        <f t="shared" si="504"/>
        <v>0</v>
      </c>
      <c r="AB422" s="150">
        <v>0</v>
      </c>
      <c r="AC422" s="199"/>
      <c r="AD422" s="150">
        <f t="shared" si="567"/>
        <v>0</v>
      </c>
      <c r="AE422" s="150">
        <v>0</v>
      </c>
      <c r="AF422" s="169" t="s">
        <v>4680</v>
      </c>
      <c r="AG422" s="201">
        <v>0</v>
      </c>
      <c r="AH422" s="199"/>
      <c r="AI422" s="150">
        <v>0</v>
      </c>
      <c r="AJ422" s="169">
        <f t="shared" si="505"/>
        <v>0</v>
      </c>
      <c r="AK422" s="201">
        <v>0</v>
      </c>
      <c r="AL422" s="199"/>
      <c r="AM422" s="150">
        <f t="shared" si="568"/>
        <v>0</v>
      </c>
      <c r="AN422" s="153">
        <f t="shared" si="506"/>
        <v>0</v>
      </c>
      <c r="AO422" s="154">
        <f t="shared" si="507"/>
        <v>0</v>
      </c>
      <c r="AP422" s="150">
        <v>0</v>
      </c>
      <c r="AQ422" s="201">
        <v>0</v>
      </c>
      <c r="AR422" s="199"/>
      <c r="AS422" s="150">
        <f t="shared" si="569"/>
        <v>0</v>
      </c>
      <c r="AT422" s="155"/>
      <c r="AU422" s="156">
        <f t="shared" si="500"/>
        <v>0</v>
      </c>
      <c r="AV422" s="156">
        <f t="shared" si="501"/>
        <v>0</v>
      </c>
      <c r="AW422" s="157"/>
      <c r="AX422" s="150">
        <v>0</v>
      </c>
      <c r="AY422" s="150">
        <v>0</v>
      </c>
      <c r="AZ422" s="150"/>
      <c r="BA422" s="150">
        <f t="shared" si="502"/>
        <v>0</v>
      </c>
      <c r="BB422" s="202">
        <v>4</v>
      </c>
      <c r="BC422" s="202" t="s">
        <v>779</v>
      </c>
      <c r="BD422" s="202" t="s">
        <v>671</v>
      </c>
      <c r="BE422" s="202" t="s">
        <v>632</v>
      </c>
      <c r="BF422" s="194" t="s">
        <v>647</v>
      </c>
      <c r="BG422" s="282" t="s">
        <v>5824</v>
      </c>
      <c r="BH422" s="283">
        <f>SUM(AS422:AS429)</f>
        <v>0</v>
      </c>
      <c r="BI422" s="205"/>
      <c r="BJ422" s="206" t="s">
        <v>5807</v>
      </c>
      <c r="BK422" s="206" t="s">
        <v>5805</v>
      </c>
      <c r="BL422" s="207" t="s">
        <v>5808</v>
      </c>
      <c r="BM422" s="208">
        <f>BH422</f>
        <v>0</v>
      </c>
      <c r="BN422" s="160"/>
      <c r="BO422" s="161">
        <f t="shared" si="508"/>
        <v>0</v>
      </c>
      <c r="BP422" s="161"/>
    </row>
    <row r="423" spans="1:68">
      <c r="A423" s="210"/>
      <c r="B423" s="195" t="s">
        <v>5825</v>
      </c>
      <c r="C423" s="196" t="s">
        <v>5826</v>
      </c>
      <c r="D423" s="146" t="s">
        <v>4692</v>
      </c>
      <c r="E423" s="196" t="s">
        <v>5826</v>
      </c>
      <c r="F423" s="150">
        <v>0</v>
      </c>
      <c r="G423" s="209">
        <v>0</v>
      </c>
      <c r="H423" s="209"/>
      <c r="I423" s="209">
        <v>0</v>
      </c>
      <c r="J423" s="150">
        <v>0</v>
      </c>
      <c r="K423" s="150">
        <v>0</v>
      </c>
      <c r="L423" s="150">
        <f t="shared" si="515"/>
        <v>0</v>
      </c>
      <c r="M423" s="150">
        <v>0</v>
      </c>
      <c r="N423" s="150"/>
      <c r="O423" s="150">
        <v>0</v>
      </c>
      <c r="P423" s="150">
        <v>0</v>
      </c>
      <c r="Q423" s="150"/>
      <c r="R423" s="150">
        <f t="shared" si="565"/>
        <v>0</v>
      </c>
      <c r="S423" s="150">
        <f t="shared" si="503"/>
        <v>0</v>
      </c>
      <c r="T423" s="150"/>
      <c r="U423" s="150">
        <v>0</v>
      </c>
      <c r="V423" s="199"/>
      <c r="W423" s="150">
        <f t="shared" si="566"/>
        <v>0</v>
      </c>
      <c r="X423" s="150">
        <v>0</v>
      </c>
      <c r="Y423" s="150"/>
      <c r="Z423" s="150">
        <v>0</v>
      </c>
      <c r="AA423" s="150">
        <f t="shared" si="504"/>
        <v>0</v>
      </c>
      <c r="AB423" s="150">
        <v>0</v>
      </c>
      <c r="AC423" s="199"/>
      <c r="AD423" s="150">
        <f t="shared" si="567"/>
        <v>0</v>
      </c>
      <c r="AE423" s="150">
        <v>0</v>
      </c>
      <c r="AF423" s="169" t="s">
        <v>4680</v>
      </c>
      <c r="AG423" s="201">
        <v>0</v>
      </c>
      <c r="AH423" s="199"/>
      <c r="AI423" s="150">
        <v>0</v>
      </c>
      <c r="AJ423" s="169">
        <f t="shared" si="505"/>
        <v>0</v>
      </c>
      <c r="AK423" s="201">
        <v>0</v>
      </c>
      <c r="AL423" s="199"/>
      <c r="AM423" s="150">
        <f t="shared" si="568"/>
        <v>0</v>
      </c>
      <c r="AN423" s="153">
        <f t="shared" si="506"/>
        <v>0</v>
      </c>
      <c r="AO423" s="154">
        <f t="shared" si="507"/>
        <v>0</v>
      </c>
      <c r="AP423" s="150">
        <v>0</v>
      </c>
      <c r="AQ423" s="201">
        <v>0</v>
      </c>
      <c r="AR423" s="199"/>
      <c r="AS423" s="150">
        <f t="shared" si="569"/>
        <v>0</v>
      </c>
      <c r="AT423" s="155"/>
      <c r="AU423" s="156">
        <f t="shared" si="500"/>
        <v>0</v>
      </c>
      <c r="AV423" s="156">
        <f t="shared" si="501"/>
        <v>0</v>
      </c>
      <c r="AW423" s="157"/>
      <c r="AX423" s="150">
        <v>0</v>
      </c>
      <c r="AY423" s="150">
        <v>0</v>
      </c>
      <c r="AZ423" s="150"/>
      <c r="BA423" s="150">
        <f t="shared" si="502"/>
        <v>0</v>
      </c>
      <c r="BB423" s="210"/>
      <c r="BC423" s="210"/>
      <c r="BD423" s="210"/>
      <c r="BE423" s="210"/>
      <c r="BF423" s="210"/>
      <c r="BG423" s="210"/>
      <c r="BH423" s="217"/>
      <c r="BI423" s="210"/>
      <c r="BJ423" s="210"/>
      <c r="BK423" s="210"/>
      <c r="BL423" s="210"/>
      <c r="BM423" s="208"/>
      <c r="BN423" s="160"/>
      <c r="BO423" s="161">
        <f t="shared" si="508"/>
        <v>0</v>
      </c>
      <c r="BP423" s="161"/>
    </row>
    <row r="424" spans="1:68" ht="25.5">
      <c r="A424" s="210"/>
      <c r="B424" s="195" t="s">
        <v>5827</v>
      </c>
      <c r="C424" s="196" t="s">
        <v>5828</v>
      </c>
      <c r="D424" s="146" t="s">
        <v>4692</v>
      </c>
      <c r="E424" s="196" t="s">
        <v>5828</v>
      </c>
      <c r="F424" s="150">
        <v>0</v>
      </c>
      <c r="G424" s="209">
        <v>0</v>
      </c>
      <c r="H424" s="209"/>
      <c r="I424" s="209">
        <v>0</v>
      </c>
      <c r="J424" s="150">
        <v>0</v>
      </c>
      <c r="K424" s="150">
        <v>0</v>
      </c>
      <c r="L424" s="150">
        <f t="shared" si="515"/>
        <v>0</v>
      </c>
      <c r="M424" s="150">
        <v>0</v>
      </c>
      <c r="N424" s="150"/>
      <c r="O424" s="150">
        <v>0</v>
      </c>
      <c r="P424" s="150">
        <v>0</v>
      </c>
      <c r="Q424" s="150"/>
      <c r="R424" s="150">
        <f t="shared" si="565"/>
        <v>0</v>
      </c>
      <c r="S424" s="150">
        <f t="shared" si="503"/>
        <v>0</v>
      </c>
      <c r="T424" s="150"/>
      <c r="U424" s="150">
        <v>0</v>
      </c>
      <c r="V424" s="199"/>
      <c r="W424" s="150">
        <f t="shared" si="566"/>
        <v>0</v>
      </c>
      <c r="X424" s="150">
        <v>0</v>
      </c>
      <c r="Y424" s="150"/>
      <c r="Z424" s="150">
        <v>0</v>
      </c>
      <c r="AA424" s="150">
        <f t="shared" si="504"/>
        <v>0</v>
      </c>
      <c r="AB424" s="150">
        <v>0</v>
      </c>
      <c r="AC424" s="199"/>
      <c r="AD424" s="150">
        <f t="shared" si="567"/>
        <v>0</v>
      </c>
      <c r="AE424" s="150">
        <v>0</v>
      </c>
      <c r="AF424" s="169" t="s">
        <v>4680</v>
      </c>
      <c r="AG424" s="201">
        <v>0</v>
      </c>
      <c r="AH424" s="199"/>
      <c r="AI424" s="150">
        <v>0</v>
      </c>
      <c r="AJ424" s="169">
        <f t="shared" si="505"/>
        <v>0</v>
      </c>
      <c r="AK424" s="201">
        <v>0</v>
      </c>
      <c r="AL424" s="199"/>
      <c r="AM424" s="150">
        <f t="shared" si="568"/>
        <v>0</v>
      </c>
      <c r="AN424" s="153">
        <f t="shared" si="506"/>
        <v>0</v>
      </c>
      <c r="AO424" s="154">
        <f t="shared" si="507"/>
        <v>0</v>
      </c>
      <c r="AP424" s="150">
        <v>0</v>
      </c>
      <c r="AQ424" s="201">
        <v>0</v>
      </c>
      <c r="AR424" s="199"/>
      <c r="AS424" s="150">
        <f t="shared" si="569"/>
        <v>0</v>
      </c>
      <c r="AT424" s="155"/>
      <c r="AU424" s="156">
        <f t="shared" si="500"/>
        <v>0</v>
      </c>
      <c r="AV424" s="156">
        <f t="shared" si="501"/>
        <v>0</v>
      </c>
      <c r="AW424" s="157"/>
      <c r="AX424" s="150">
        <v>0</v>
      </c>
      <c r="AY424" s="150">
        <v>0</v>
      </c>
      <c r="AZ424" s="150"/>
      <c r="BA424" s="150">
        <f t="shared" si="502"/>
        <v>0</v>
      </c>
      <c r="BB424" s="210"/>
      <c r="BC424" s="210"/>
      <c r="BD424" s="210"/>
      <c r="BE424" s="210"/>
      <c r="BF424" s="210"/>
      <c r="BG424" s="210"/>
      <c r="BH424" s="217"/>
      <c r="BI424" s="210"/>
      <c r="BJ424" s="210"/>
      <c r="BK424" s="210"/>
      <c r="BL424" s="210"/>
      <c r="BM424" s="208"/>
      <c r="BN424" s="160"/>
      <c r="BO424" s="161">
        <f t="shared" si="508"/>
        <v>0</v>
      </c>
      <c r="BP424" s="161"/>
    </row>
    <row r="425" spans="1:68" ht="25.5">
      <c r="A425" s="210"/>
      <c r="B425" s="195" t="s">
        <v>5829</v>
      </c>
      <c r="C425" s="196" t="s">
        <v>5830</v>
      </c>
      <c r="D425" s="146" t="s">
        <v>4692</v>
      </c>
      <c r="E425" s="196" t="s">
        <v>5830</v>
      </c>
      <c r="F425" s="150">
        <v>0</v>
      </c>
      <c r="G425" s="209">
        <v>0</v>
      </c>
      <c r="H425" s="209"/>
      <c r="I425" s="209">
        <v>0</v>
      </c>
      <c r="J425" s="150">
        <v>0</v>
      </c>
      <c r="K425" s="150">
        <v>0</v>
      </c>
      <c r="L425" s="150">
        <f t="shared" si="515"/>
        <v>0</v>
      </c>
      <c r="M425" s="150">
        <v>0</v>
      </c>
      <c r="N425" s="150"/>
      <c r="O425" s="150">
        <v>0</v>
      </c>
      <c r="P425" s="150">
        <v>0</v>
      </c>
      <c r="Q425" s="150"/>
      <c r="R425" s="150">
        <f t="shared" si="565"/>
        <v>0</v>
      </c>
      <c r="S425" s="150">
        <f t="shared" si="503"/>
        <v>0</v>
      </c>
      <c r="T425" s="150"/>
      <c r="U425" s="150">
        <v>0</v>
      </c>
      <c r="V425" s="199"/>
      <c r="W425" s="150">
        <f t="shared" si="566"/>
        <v>0</v>
      </c>
      <c r="X425" s="150">
        <v>0</v>
      </c>
      <c r="Y425" s="150"/>
      <c r="Z425" s="150">
        <v>0</v>
      </c>
      <c r="AA425" s="150">
        <f t="shared" si="504"/>
        <v>0</v>
      </c>
      <c r="AB425" s="150">
        <v>0</v>
      </c>
      <c r="AC425" s="199"/>
      <c r="AD425" s="150">
        <f t="shared" si="567"/>
        <v>0</v>
      </c>
      <c r="AE425" s="150">
        <v>0</v>
      </c>
      <c r="AF425" s="169" t="s">
        <v>4680</v>
      </c>
      <c r="AG425" s="201">
        <v>0</v>
      </c>
      <c r="AH425" s="199"/>
      <c r="AI425" s="150">
        <v>0</v>
      </c>
      <c r="AJ425" s="169">
        <f t="shared" si="505"/>
        <v>0</v>
      </c>
      <c r="AK425" s="201">
        <v>0</v>
      </c>
      <c r="AL425" s="199"/>
      <c r="AM425" s="150">
        <f t="shared" si="568"/>
        <v>0</v>
      </c>
      <c r="AN425" s="153">
        <f t="shared" si="506"/>
        <v>0</v>
      </c>
      <c r="AO425" s="154">
        <f t="shared" si="507"/>
        <v>0</v>
      </c>
      <c r="AP425" s="150">
        <v>0</v>
      </c>
      <c r="AQ425" s="201">
        <v>0</v>
      </c>
      <c r="AR425" s="199"/>
      <c r="AS425" s="150">
        <f t="shared" si="569"/>
        <v>0</v>
      </c>
      <c r="AT425" s="155"/>
      <c r="AU425" s="156">
        <f t="shared" si="500"/>
        <v>0</v>
      </c>
      <c r="AV425" s="156">
        <f t="shared" si="501"/>
        <v>0</v>
      </c>
      <c r="AW425" s="157"/>
      <c r="AX425" s="150">
        <v>0</v>
      </c>
      <c r="AY425" s="150">
        <v>0</v>
      </c>
      <c r="AZ425" s="150"/>
      <c r="BA425" s="150">
        <f t="shared" si="502"/>
        <v>0</v>
      </c>
      <c r="BB425" s="210"/>
      <c r="BC425" s="210"/>
      <c r="BD425" s="210"/>
      <c r="BE425" s="210"/>
      <c r="BF425" s="210"/>
      <c r="BG425" s="210"/>
      <c r="BH425" s="217"/>
      <c r="BI425" s="210"/>
      <c r="BJ425" s="210"/>
      <c r="BK425" s="210"/>
      <c r="BL425" s="210"/>
      <c r="BM425" s="208"/>
      <c r="BN425" s="160"/>
      <c r="BO425" s="161">
        <f t="shared" si="508"/>
        <v>0</v>
      </c>
      <c r="BP425" s="161"/>
    </row>
    <row r="426" spans="1:68" ht="25.5">
      <c r="A426" s="210"/>
      <c r="B426" s="195" t="s">
        <v>5831</v>
      </c>
      <c r="C426" s="196" t="s">
        <v>5832</v>
      </c>
      <c r="D426" s="146" t="s">
        <v>4692</v>
      </c>
      <c r="E426" s="196" t="s">
        <v>5832</v>
      </c>
      <c r="F426" s="150">
        <v>0</v>
      </c>
      <c r="G426" s="209">
        <v>0</v>
      </c>
      <c r="H426" s="209"/>
      <c r="I426" s="209">
        <v>0</v>
      </c>
      <c r="J426" s="150">
        <v>0</v>
      </c>
      <c r="K426" s="150">
        <v>0</v>
      </c>
      <c r="L426" s="150">
        <f t="shared" si="515"/>
        <v>0</v>
      </c>
      <c r="M426" s="150">
        <v>0</v>
      </c>
      <c r="N426" s="150"/>
      <c r="O426" s="150">
        <v>0</v>
      </c>
      <c r="P426" s="150">
        <v>0</v>
      </c>
      <c r="Q426" s="150"/>
      <c r="R426" s="150">
        <f t="shared" si="565"/>
        <v>0</v>
      </c>
      <c r="S426" s="150">
        <f t="shared" si="503"/>
        <v>0</v>
      </c>
      <c r="T426" s="150"/>
      <c r="U426" s="150">
        <v>0</v>
      </c>
      <c r="V426" s="199"/>
      <c r="W426" s="150">
        <f t="shared" si="566"/>
        <v>0</v>
      </c>
      <c r="X426" s="150">
        <v>0</v>
      </c>
      <c r="Y426" s="150"/>
      <c r="Z426" s="150">
        <v>0</v>
      </c>
      <c r="AA426" s="150">
        <f t="shared" si="504"/>
        <v>0</v>
      </c>
      <c r="AB426" s="150">
        <v>0</v>
      </c>
      <c r="AC426" s="199"/>
      <c r="AD426" s="150">
        <f t="shared" si="567"/>
        <v>0</v>
      </c>
      <c r="AE426" s="150">
        <v>0</v>
      </c>
      <c r="AF426" s="169" t="s">
        <v>4680</v>
      </c>
      <c r="AG426" s="201">
        <v>0</v>
      </c>
      <c r="AH426" s="199"/>
      <c r="AI426" s="150">
        <v>0</v>
      </c>
      <c r="AJ426" s="169">
        <f t="shared" si="505"/>
        <v>0</v>
      </c>
      <c r="AK426" s="201">
        <v>0</v>
      </c>
      <c r="AL426" s="199"/>
      <c r="AM426" s="150">
        <f t="shared" si="568"/>
        <v>0</v>
      </c>
      <c r="AN426" s="153">
        <f t="shared" si="506"/>
        <v>0</v>
      </c>
      <c r="AO426" s="154">
        <f t="shared" si="507"/>
        <v>0</v>
      </c>
      <c r="AP426" s="150">
        <v>0</v>
      </c>
      <c r="AQ426" s="201">
        <v>0</v>
      </c>
      <c r="AR426" s="199"/>
      <c r="AS426" s="150">
        <f t="shared" si="569"/>
        <v>0</v>
      </c>
      <c r="AT426" s="155"/>
      <c r="AU426" s="156">
        <f t="shared" si="500"/>
        <v>0</v>
      </c>
      <c r="AV426" s="156">
        <f t="shared" si="501"/>
        <v>0</v>
      </c>
      <c r="AW426" s="157"/>
      <c r="AX426" s="150">
        <v>0</v>
      </c>
      <c r="AY426" s="150">
        <v>0</v>
      </c>
      <c r="AZ426" s="150"/>
      <c r="BA426" s="150">
        <f t="shared" si="502"/>
        <v>0</v>
      </c>
      <c r="BB426" s="210"/>
      <c r="BC426" s="210"/>
      <c r="BD426" s="210"/>
      <c r="BE426" s="210"/>
      <c r="BF426" s="210"/>
      <c r="BG426" s="210"/>
      <c r="BH426" s="217"/>
      <c r="BI426" s="210"/>
      <c r="BJ426" s="210"/>
      <c r="BK426" s="210"/>
      <c r="BL426" s="210"/>
      <c r="BM426" s="208"/>
      <c r="BN426" s="160"/>
      <c r="BO426" s="161">
        <f t="shared" si="508"/>
        <v>0</v>
      </c>
      <c r="BP426" s="161"/>
    </row>
    <row r="427" spans="1:68" ht="25.5">
      <c r="A427" s="210"/>
      <c r="B427" s="195" t="s">
        <v>5833</v>
      </c>
      <c r="C427" s="196" t="s">
        <v>5834</v>
      </c>
      <c r="D427" s="146" t="s">
        <v>4692</v>
      </c>
      <c r="E427" s="196" t="s">
        <v>5834</v>
      </c>
      <c r="F427" s="150">
        <v>0</v>
      </c>
      <c r="G427" s="209">
        <v>0</v>
      </c>
      <c r="H427" s="209"/>
      <c r="I427" s="209">
        <v>0</v>
      </c>
      <c r="J427" s="150">
        <v>0</v>
      </c>
      <c r="K427" s="150">
        <v>0</v>
      </c>
      <c r="L427" s="150">
        <f t="shared" si="515"/>
        <v>0</v>
      </c>
      <c r="M427" s="150">
        <v>0</v>
      </c>
      <c r="N427" s="150"/>
      <c r="O427" s="150">
        <v>0</v>
      </c>
      <c r="P427" s="150">
        <v>0</v>
      </c>
      <c r="Q427" s="150"/>
      <c r="R427" s="150">
        <f t="shared" si="565"/>
        <v>0</v>
      </c>
      <c r="S427" s="150">
        <f t="shared" si="503"/>
        <v>0</v>
      </c>
      <c r="T427" s="150"/>
      <c r="U427" s="150">
        <v>0</v>
      </c>
      <c r="V427" s="199"/>
      <c r="W427" s="150">
        <f t="shared" si="566"/>
        <v>0</v>
      </c>
      <c r="X427" s="150">
        <v>0</v>
      </c>
      <c r="Y427" s="150"/>
      <c r="Z427" s="150">
        <v>0</v>
      </c>
      <c r="AA427" s="150">
        <f t="shared" si="504"/>
        <v>0</v>
      </c>
      <c r="AB427" s="150">
        <v>0</v>
      </c>
      <c r="AC427" s="199"/>
      <c r="AD427" s="150">
        <f t="shared" si="567"/>
        <v>0</v>
      </c>
      <c r="AE427" s="150">
        <v>0</v>
      </c>
      <c r="AF427" s="169" t="s">
        <v>4680</v>
      </c>
      <c r="AG427" s="201">
        <v>0</v>
      </c>
      <c r="AH427" s="199"/>
      <c r="AI427" s="150">
        <v>0</v>
      </c>
      <c r="AJ427" s="169">
        <f t="shared" si="505"/>
        <v>0</v>
      </c>
      <c r="AK427" s="201">
        <v>0</v>
      </c>
      <c r="AL427" s="199"/>
      <c r="AM427" s="150">
        <f t="shared" si="568"/>
        <v>0</v>
      </c>
      <c r="AN427" s="153">
        <f t="shared" si="506"/>
        <v>0</v>
      </c>
      <c r="AO427" s="154">
        <f t="shared" si="507"/>
        <v>0</v>
      </c>
      <c r="AP427" s="150">
        <v>0</v>
      </c>
      <c r="AQ427" s="201">
        <v>0</v>
      </c>
      <c r="AR427" s="199"/>
      <c r="AS427" s="150">
        <f t="shared" si="569"/>
        <v>0</v>
      </c>
      <c r="AT427" s="155"/>
      <c r="AU427" s="156">
        <f t="shared" si="500"/>
        <v>0</v>
      </c>
      <c r="AV427" s="156">
        <f t="shared" si="501"/>
        <v>0</v>
      </c>
      <c r="AW427" s="157"/>
      <c r="AX427" s="150">
        <v>0</v>
      </c>
      <c r="AY427" s="150">
        <v>0</v>
      </c>
      <c r="AZ427" s="150"/>
      <c r="BA427" s="150">
        <f t="shared" si="502"/>
        <v>0</v>
      </c>
      <c r="BB427" s="210"/>
      <c r="BC427" s="210"/>
      <c r="BD427" s="210"/>
      <c r="BE427" s="210"/>
      <c r="BF427" s="210"/>
      <c r="BG427" s="210"/>
      <c r="BH427" s="217"/>
      <c r="BI427" s="210"/>
      <c r="BJ427" s="210"/>
      <c r="BK427" s="210"/>
      <c r="BL427" s="210"/>
      <c r="BM427" s="208"/>
      <c r="BN427" s="160"/>
      <c r="BO427" s="161">
        <f t="shared" si="508"/>
        <v>0</v>
      </c>
      <c r="BP427" s="161"/>
    </row>
    <row r="428" spans="1:68">
      <c r="A428" s="210"/>
      <c r="B428" s="195" t="s">
        <v>5835</v>
      </c>
      <c r="C428" s="196" t="s">
        <v>5836</v>
      </c>
      <c r="D428" s="146" t="s">
        <v>4692</v>
      </c>
      <c r="E428" s="196" t="s">
        <v>5836</v>
      </c>
      <c r="F428" s="150">
        <v>0</v>
      </c>
      <c r="G428" s="209">
        <v>0</v>
      </c>
      <c r="H428" s="209"/>
      <c r="I428" s="209">
        <v>0</v>
      </c>
      <c r="J428" s="150">
        <v>0</v>
      </c>
      <c r="K428" s="150">
        <v>0</v>
      </c>
      <c r="L428" s="150">
        <f t="shared" si="515"/>
        <v>0</v>
      </c>
      <c r="M428" s="150">
        <v>0</v>
      </c>
      <c r="N428" s="150"/>
      <c r="O428" s="150">
        <v>0</v>
      </c>
      <c r="P428" s="150">
        <v>0</v>
      </c>
      <c r="Q428" s="150"/>
      <c r="R428" s="150">
        <f t="shared" si="565"/>
        <v>0</v>
      </c>
      <c r="S428" s="150">
        <f t="shared" si="503"/>
        <v>0</v>
      </c>
      <c r="T428" s="150"/>
      <c r="U428" s="150">
        <v>0</v>
      </c>
      <c r="V428" s="199"/>
      <c r="W428" s="150">
        <f t="shared" si="566"/>
        <v>0</v>
      </c>
      <c r="X428" s="150">
        <v>0</v>
      </c>
      <c r="Y428" s="150"/>
      <c r="Z428" s="150">
        <v>0</v>
      </c>
      <c r="AA428" s="150">
        <f t="shared" si="504"/>
        <v>0</v>
      </c>
      <c r="AB428" s="150">
        <v>0</v>
      </c>
      <c r="AC428" s="199"/>
      <c r="AD428" s="150">
        <f t="shared" si="567"/>
        <v>0</v>
      </c>
      <c r="AE428" s="150">
        <v>0</v>
      </c>
      <c r="AF428" s="169" t="s">
        <v>4680</v>
      </c>
      <c r="AG428" s="201">
        <v>0</v>
      </c>
      <c r="AH428" s="199"/>
      <c r="AI428" s="150">
        <v>0</v>
      </c>
      <c r="AJ428" s="169">
        <f t="shared" si="505"/>
        <v>0</v>
      </c>
      <c r="AK428" s="201">
        <v>0</v>
      </c>
      <c r="AL428" s="199"/>
      <c r="AM428" s="150">
        <f t="shared" si="568"/>
        <v>0</v>
      </c>
      <c r="AN428" s="153">
        <f t="shared" si="506"/>
        <v>0</v>
      </c>
      <c r="AO428" s="154">
        <f t="shared" si="507"/>
        <v>0</v>
      </c>
      <c r="AP428" s="150">
        <v>0</v>
      </c>
      <c r="AQ428" s="201">
        <v>0</v>
      </c>
      <c r="AR428" s="199"/>
      <c r="AS428" s="150">
        <f t="shared" si="569"/>
        <v>0</v>
      </c>
      <c r="AT428" s="155"/>
      <c r="AU428" s="156">
        <f t="shared" si="500"/>
        <v>0</v>
      </c>
      <c r="AV428" s="156">
        <f t="shared" si="501"/>
        <v>0</v>
      </c>
      <c r="AW428" s="157"/>
      <c r="AX428" s="150">
        <v>0</v>
      </c>
      <c r="AY428" s="150">
        <v>0</v>
      </c>
      <c r="AZ428" s="150"/>
      <c r="BA428" s="150">
        <f t="shared" si="502"/>
        <v>0</v>
      </c>
      <c r="BB428" s="210"/>
      <c r="BC428" s="210"/>
      <c r="BD428" s="210"/>
      <c r="BE428" s="210"/>
      <c r="BF428" s="210"/>
      <c r="BG428" s="210"/>
      <c r="BH428" s="217"/>
      <c r="BI428" s="210"/>
      <c r="BJ428" s="210"/>
      <c r="BK428" s="210"/>
      <c r="BL428" s="210"/>
      <c r="BM428" s="208"/>
      <c r="BN428" s="160"/>
      <c r="BO428" s="161">
        <f t="shared" si="508"/>
        <v>0</v>
      </c>
      <c r="BP428" s="161"/>
    </row>
    <row r="429" spans="1:68">
      <c r="A429" s="210"/>
      <c r="B429" s="195" t="s">
        <v>5837</v>
      </c>
      <c r="C429" s="196" t="s">
        <v>5838</v>
      </c>
      <c r="D429" s="146" t="s">
        <v>4692</v>
      </c>
      <c r="E429" s="196" t="s">
        <v>5838</v>
      </c>
      <c r="F429" s="150">
        <v>0</v>
      </c>
      <c r="G429" s="209">
        <v>0</v>
      </c>
      <c r="H429" s="209"/>
      <c r="I429" s="209">
        <v>0</v>
      </c>
      <c r="J429" s="150">
        <v>0</v>
      </c>
      <c r="K429" s="150">
        <v>0</v>
      </c>
      <c r="L429" s="150">
        <f t="shared" si="515"/>
        <v>0</v>
      </c>
      <c r="M429" s="150">
        <v>0</v>
      </c>
      <c r="N429" s="150"/>
      <c r="O429" s="150">
        <v>0</v>
      </c>
      <c r="P429" s="150">
        <v>0</v>
      </c>
      <c r="Q429" s="150"/>
      <c r="R429" s="150">
        <f t="shared" si="565"/>
        <v>0</v>
      </c>
      <c r="S429" s="150">
        <f t="shared" si="503"/>
        <v>0</v>
      </c>
      <c r="T429" s="150"/>
      <c r="U429" s="150">
        <v>0</v>
      </c>
      <c r="V429" s="199"/>
      <c r="W429" s="150">
        <f t="shared" si="566"/>
        <v>0</v>
      </c>
      <c r="X429" s="150">
        <v>0</v>
      </c>
      <c r="Y429" s="150"/>
      <c r="Z429" s="150">
        <v>0</v>
      </c>
      <c r="AA429" s="150">
        <f t="shared" si="504"/>
        <v>0</v>
      </c>
      <c r="AB429" s="150">
        <v>0</v>
      </c>
      <c r="AC429" s="199"/>
      <c r="AD429" s="150">
        <f t="shared" si="567"/>
        <v>0</v>
      </c>
      <c r="AE429" s="150">
        <v>0</v>
      </c>
      <c r="AF429" s="169" t="s">
        <v>4680</v>
      </c>
      <c r="AG429" s="201">
        <v>0</v>
      </c>
      <c r="AH429" s="199"/>
      <c r="AI429" s="150">
        <v>0</v>
      </c>
      <c r="AJ429" s="169">
        <f t="shared" si="505"/>
        <v>0</v>
      </c>
      <c r="AK429" s="201">
        <v>0</v>
      </c>
      <c r="AL429" s="199"/>
      <c r="AM429" s="150">
        <f t="shared" si="568"/>
        <v>0</v>
      </c>
      <c r="AN429" s="153">
        <f t="shared" si="506"/>
        <v>0</v>
      </c>
      <c r="AO429" s="154">
        <f t="shared" si="507"/>
        <v>0</v>
      </c>
      <c r="AP429" s="150">
        <v>0</v>
      </c>
      <c r="AQ429" s="201">
        <v>0</v>
      </c>
      <c r="AR429" s="199"/>
      <c r="AS429" s="150">
        <f t="shared" si="569"/>
        <v>0</v>
      </c>
      <c r="AT429" s="155"/>
      <c r="AU429" s="156">
        <f t="shared" si="500"/>
        <v>0</v>
      </c>
      <c r="AV429" s="156">
        <f t="shared" si="501"/>
        <v>0</v>
      </c>
      <c r="AW429" s="157"/>
      <c r="AX429" s="150">
        <v>0</v>
      </c>
      <c r="AY429" s="150">
        <v>0</v>
      </c>
      <c r="AZ429" s="150"/>
      <c r="BA429" s="150">
        <f t="shared" si="502"/>
        <v>0</v>
      </c>
      <c r="BB429" s="210"/>
      <c r="BC429" s="210"/>
      <c r="BD429" s="210"/>
      <c r="BE429" s="210"/>
      <c r="BF429" s="210"/>
      <c r="BG429" s="210"/>
      <c r="BH429" s="217"/>
      <c r="BI429" s="210"/>
      <c r="BJ429" s="210"/>
      <c r="BK429" s="210"/>
      <c r="BL429" s="210"/>
      <c r="BM429" s="208"/>
      <c r="BN429" s="160"/>
      <c r="BO429" s="161">
        <f t="shared" si="508"/>
        <v>0</v>
      </c>
      <c r="BP429" s="161"/>
    </row>
    <row r="430" spans="1:68">
      <c r="A430" s="206" t="s">
        <v>5805</v>
      </c>
      <c r="B430" s="195" t="s">
        <v>5839</v>
      </c>
      <c r="C430" s="196" t="s">
        <v>5840</v>
      </c>
      <c r="D430" s="146" t="s">
        <v>4692</v>
      </c>
      <c r="E430" s="196" t="s">
        <v>5840</v>
      </c>
      <c r="F430" s="150">
        <v>0</v>
      </c>
      <c r="G430" s="209">
        <v>0</v>
      </c>
      <c r="H430" s="209"/>
      <c r="I430" s="209">
        <v>0</v>
      </c>
      <c r="J430" s="150">
        <v>0</v>
      </c>
      <c r="K430" s="150">
        <v>0</v>
      </c>
      <c r="L430" s="150">
        <f t="shared" si="515"/>
        <v>0</v>
      </c>
      <c r="M430" s="150">
        <v>0</v>
      </c>
      <c r="N430" s="150"/>
      <c r="O430" s="150">
        <v>0</v>
      </c>
      <c r="P430" s="150">
        <v>0</v>
      </c>
      <c r="Q430" s="150"/>
      <c r="R430" s="150">
        <f t="shared" si="565"/>
        <v>0</v>
      </c>
      <c r="S430" s="150">
        <f t="shared" si="503"/>
        <v>0</v>
      </c>
      <c r="T430" s="150"/>
      <c r="U430" s="150">
        <v>0</v>
      </c>
      <c r="V430" s="199"/>
      <c r="W430" s="150">
        <f t="shared" si="566"/>
        <v>0</v>
      </c>
      <c r="X430" s="150">
        <v>0</v>
      </c>
      <c r="Y430" s="150"/>
      <c r="Z430" s="150">
        <v>0</v>
      </c>
      <c r="AA430" s="150">
        <f t="shared" si="504"/>
        <v>0</v>
      </c>
      <c r="AB430" s="150">
        <v>0</v>
      </c>
      <c r="AC430" s="199"/>
      <c r="AD430" s="150">
        <f t="shared" si="567"/>
        <v>0</v>
      </c>
      <c r="AE430" s="150">
        <v>0</v>
      </c>
      <c r="AF430" s="169" t="s">
        <v>4680</v>
      </c>
      <c r="AG430" s="201">
        <v>0</v>
      </c>
      <c r="AH430" s="199"/>
      <c r="AI430" s="150">
        <v>0</v>
      </c>
      <c r="AJ430" s="169">
        <f t="shared" si="505"/>
        <v>0</v>
      </c>
      <c r="AK430" s="201">
        <v>0</v>
      </c>
      <c r="AL430" s="199"/>
      <c r="AM430" s="150">
        <f t="shared" si="568"/>
        <v>0</v>
      </c>
      <c r="AN430" s="153">
        <f t="shared" si="506"/>
        <v>0</v>
      </c>
      <c r="AO430" s="154">
        <f t="shared" si="507"/>
        <v>0</v>
      </c>
      <c r="AP430" s="150">
        <v>0</v>
      </c>
      <c r="AQ430" s="201">
        <v>0</v>
      </c>
      <c r="AR430" s="199"/>
      <c r="AS430" s="150">
        <f t="shared" si="569"/>
        <v>0</v>
      </c>
      <c r="AT430" s="155"/>
      <c r="AU430" s="156">
        <f t="shared" si="500"/>
        <v>0</v>
      </c>
      <c r="AV430" s="156">
        <f t="shared" si="501"/>
        <v>0</v>
      </c>
      <c r="AW430" s="157"/>
      <c r="AX430" s="150">
        <v>0</v>
      </c>
      <c r="AY430" s="150">
        <v>0</v>
      </c>
      <c r="AZ430" s="150"/>
      <c r="BA430" s="150">
        <f t="shared" si="502"/>
        <v>0</v>
      </c>
      <c r="BB430" s="202">
        <v>4</v>
      </c>
      <c r="BC430" s="202" t="s">
        <v>779</v>
      </c>
      <c r="BD430" s="202" t="s">
        <v>671</v>
      </c>
      <c r="BE430" s="202" t="s">
        <v>632</v>
      </c>
      <c r="BF430" s="202" t="s">
        <v>671</v>
      </c>
      <c r="BG430" s="282" t="s">
        <v>5841</v>
      </c>
      <c r="BH430" s="283">
        <f>AS430</f>
        <v>0</v>
      </c>
      <c r="BI430" s="205"/>
      <c r="BJ430" s="206" t="s">
        <v>5807</v>
      </c>
      <c r="BK430" s="206" t="s">
        <v>5805</v>
      </c>
      <c r="BL430" s="207" t="s">
        <v>5808</v>
      </c>
      <c r="BM430" s="208">
        <f>BH430</f>
        <v>0</v>
      </c>
      <c r="BN430" s="160"/>
      <c r="BO430" s="161">
        <f t="shared" si="508"/>
        <v>0</v>
      </c>
      <c r="BP430" s="161"/>
    </row>
    <row r="431" spans="1:68">
      <c r="A431" s="206" t="s">
        <v>5805</v>
      </c>
      <c r="B431" s="195" t="s">
        <v>5842</v>
      </c>
      <c r="C431" s="196" t="s">
        <v>5843</v>
      </c>
      <c r="D431" s="146" t="s">
        <v>4692</v>
      </c>
      <c r="E431" s="196" t="s">
        <v>5843</v>
      </c>
      <c r="F431" s="150">
        <v>0</v>
      </c>
      <c r="G431" s="209">
        <v>268913.82</v>
      </c>
      <c r="H431" s="209">
        <v>60000</v>
      </c>
      <c r="I431" s="209">
        <v>328913.82</v>
      </c>
      <c r="J431" s="150">
        <v>0</v>
      </c>
      <c r="K431" s="150">
        <v>0</v>
      </c>
      <c r="L431" s="150">
        <f t="shared" si="515"/>
        <v>0</v>
      </c>
      <c r="M431" s="150">
        <v>0</v>
      </c>
      <c r="N431" s="150"/>
      <c r="O431" s="150">
        <v>0</v>
      </c>
      <c r="P431" s="150">
        <v>0</v>
      </c>
      <c r="Q431" s="150"/>
      <c r="R431" s="150">
        <f t="shared" si="565"/>
        <v>0</v>
      </c>
      <c r="S431" s="150">
        <f t="shared" si="503"/>
        <v>0</v>
      </c>
      <c r="T431" s="150"/>
      <c r="U431" s="150">
        <v>0</v>
      </c>
      <c r="V431" s="199"/>
      <c r="W431" s="150">
        <f t="shared" si="566"/>
        <v>0</v>
      </c>
      <c r="X431" s="150">
        <v>0</v>
      </c>
      <c r="Y431" s="150"/>
      <c r="Z431" s="150">
        <v>0</v>
      </c>
      <c r="AA431" s="150">
        <f t="shared" si="504"/>
        <v>0</v>
      </c>
      <c r="AB431" s="150">
        <v>0</v>
      </c>
      <c r="AC431" s="199"/>
      <c r="AD431" s="150">
        <f t="shared" si="567"/>
        <v>0</v>
      </c>
      <c r="AE431" s="150">
        <v>0</v>
      </c>
      <c r="AF431" s="169" t="s">
        <v>4680</v>
      </c>
      <c r="AG431" s="201">
        <v>0</v>
      </c>
      <c r="AH431" s="199"/>
      <c r="AI431" s="150">
        <v>0</v>
      </c>
      <c r="AJ431" s="169">
        <f t="shared" si="505"/>
        <v>0</v>
      </c>
      <c r="AK431" s="201">
        <v>0</v>
      </c>
      <c r="AL431" s="199"/>
      <c r="AM431" s="150">
        <f t="shared" si="568"/>
        <v>0</v>
      </c>
      <c r="AN431" s="153">
        <f t="shared" si="506"/>
        <v>0</v>
      </c>
      <c r="AO431" s="154">
        <f t="shared" si="507"/>
        <v>0</v>
      </c>
      <c r="AP431" s="150">
        <v>0</v>
      </c>
      <c r="AQ431" s="201">
        <v>0</v>
      </c>
      <c r="AR431" s="199"/>
      <c r="AS431" s="150">
        <f t="shared" si="569"/>
        <v>0</v>
      </c>
      <c r="AT431" s="155"/>
      <c r="AU431" s="156">
        <f t="shared" si="500"/>
        <v>0</v>
      </c>
      <c r="AV431" s="156">
        <f t="shared" si="501"/>
        <v>0</v>
      </c>
      <c r="AW431" s="157"/>
      <c r="AX431" s="150">
        <v>0</v>
      </c>
      <c r="AY431" s="150">
        <v>0</v>
      </c>
      <c r="AZ431" s="150"/>
      <c r="BA431" s="150">
        <f t="shared" si="502"/>
        <v>0</v>
      </c>
      <c r="BB431" s="202">
        <v>4</v>
      </c>
      <c r="BC431" s="202" t="s">
        <v>779</v>
      </c>
      <c r="BD431" s="202" t="s">
        <v>671</v>
      </c>
      <c r="BE431" s="202" t="s">
        <v>632</v>
      </c>
      <c r="BF431" s="194" t="s">
        <v>693</v>
      </c>
      <c r="BG431" s="282" t="s">
        <v>5844</v>
      </c>
      <c r="BH431" s="283">
        <f>AS431</f>
        <v>0</v>
      </c>
      <c r="BI431" s="205"/>
      <c r="BJ431" s="206" t="s">
        <v>5807</v>
      </c>
      <c r="BK431" s="206" t="s">
        <v>5805</v>
      </c>
      <c r="BL431" s="207" t="s">
        <v>5808</v>
      </c>
      <c r="BM431" s="208">
        <f>BH431</f>
        <v>0</v>
      </c>
      <c r="BN431" s="160"/>
      <c r="BO431" s="161">
        <f t="shared" si="508"/>
        <v>0</v>
      </c>
      <c r="BP431" s="161"/>
    </row>
    <row r="432" spans="1:68">
      <c r="A432" s="206" t="s">
        <v>5805</v>
      </c>
      <c r="B432" s="195" t="s">
        <v>5845</v>
      </c>
      <c r="C432" s="196" t="s">
        <v>5846</v>
      </c>
      <c r="D432" s="146" t="s">
        <v>4692</v>
      </c>
      <c r="E432" s="196" t="s">
        <v>5846</v>
      </c>
      <c r="F432" s="150">
        <v>371508.09</v>
      </c>
      <c r="G432" s="209">
        <v>218489</v>
      </c>
      <c r="H432" s="209"/>
      <c r="I432" s="209">
        <v>218489</v>
      </c>
      <c r="J432" s="150">
        <v>0</v>
      </c>
      <c r="K432" s="150">
        <v>0</v>
      </c>
      <c r="L432" s="150">
        <f t="shared" si="515"/>
        <v>0</v>
      </c>
      <c r="M432" s="150">
        <v>83254.320000000007</v>
      </c>
      <c r="N432" s="150">
        <v>102499.72500000001</v>
      </c>
      <c r="O432" s="150">
        <v>185754.04500000001</v>
      </c>
      <c r="P432" s="150">
        <v>62274.6</v>
      </c>
      <c r="Q432" s="150">
        <v>70000</v>
      </c>
      <c r="R432" s="150">
        <f t="shared" si="565"/>
        <v>132274.6</v>
      </c>
      <c r="S432" s="150">
        <f t="shared" si="503"/>
        <v>176366.13333333336</v>
      </c>
      <c r="T432" s="150"/>
      <c r="U432" s="150">
        <v>280716.06</v>
      </c>
      <c r="V432" s="230"/>
      <c r="W432" s="150">
        <f t="shared" si="566"/>
        <v>280716.06</v>
      </c>
      <c r="X432" s="150">
        <v>280716.06</v>
      </c>
      <c r="Y432" s="150"/>
      <c r="Z432" s="150">
        <v>280716.06</v>
      </c>
      <c r="AA432" s="150">
        <f t="shared" si="504"/>
        <v>19892.710000000021</v>
      </c>
      <c r="AB432" s="150">
        <v>300608.77</v>
      </c>
      <c r="AC432" s="245"/>
      <c r="AD432" s="150">
        <f t="shared" si="567"/>
        <v>300608.77</v>
      </c>
      <c r="AE432" s="150">
        <v>300608.77</v>
      </c>
      <c r="AF432" s="169" t="s">
        <v>4680</v>
      </c>
      <c r="AG432" s="201">
        <v>300608.77</v>
      </c>
      <c r="AH432" s="245"/>
      <c r="AI432" s="150">
        <v>300608.77</v>
      </c>
      <c r="AJ432" s="169">
        <f t="shared" si="505"/>
        <v>0</v>
      </c>
      <c r="AK432" s="201">
        <v>300608.77</v>
      </c>
      <c r="AL432" s="245"/>
      <c r="AM432" s="150">
        <f t="shared" si="568"/>
        <v>300608.77</v>
      </c>
      <c r="AN432" s="153">
        <f t="shared" si="506"/>
        <v>0</v>
      </c>
      <c r="AO432" s="154">
        <f t="shared" si="507"/>
        <v>0</v>
      </c>
      <c r="AP432" s="150">
        <v>300608.77</v>
      </c>
      <c r="AQ432" s="201">
        <v>300608.77</v>
      </c>
      <c r="AR432" s="245"/>
      <c r="AS432" s="150">
        <f t="shared" si="569"/>
        <v>300608.77</v>
      </c>
      <c r="AT432" s="155"/>
      <c r="AU432" s="156">
        <f t="shared" si="500"/>
        <v>0</v>
      </c>
      <c r="AV432" s="156">
        <f t="shared" si="501"/>
        <v>19892.710000000021</v>
      </c>
      <c r="AW432" s="157"/>
      <c r="AX432" s="150">
        <v>280716.06</v>
      </c>
      <c r="AY432" s="150">
        <v>127702.45</v>
      </c>
      <c r="AZ432" s="237"/>
      <c r="BA432" s="150">
        <f t="shared" si="502"/>
        <v>127702.45</v>
      </c>
      <c r="BB432" s="202">
        <v>4</v>
      </c>
      <c r="BC432" s="202" t="s">
        <v>779</v>
      </c>
      <c r="BD432" s="202" t="s">
        <v>671</v>
      </c>
      <c r="BE432" s="202" t="s">
        <v>632</v>
      </c>
      <c r="BF432" s="194" t="s">
        <v>1124</v>
      </c>
      <c r="BG432" s="203" t="s">
        <v>5847</v>
      </c>
      <c r="BH432" s="216">
        <f>SUM(AS432:AS435)</f>
        <v>341929.27</v>
      </c>
      <c r="BI432" s="205"/>
      <c r="BJ432" s="206" t="s">
        <v>5807</v>
      </c>
      <c r="BK432" s="206" t="s">
        <v>5805</v>
      </c>
      <c r="BL432" s="207" t="s">
        <v>5808</v>
      </c>
      <c r="BM432" s="208">
        <f>BH432</f>
        <v>341929.27</v>
      </c>
      <c r="BN432" s="160"/>
      <c r="BO432" s="161"/>
      <c r="BP432" s="161"/>
    </row>
    <row r="433" spans="1:68">
      <c r="A433" s="210"/>
      <c r="B433" s="195" t="s">
        <v>5848</v>
      </c>
      <c r="C433" s="196" t="s">
        <v>5849</v>
      </c>
      <c r="D433" s="146" t="s">
        <v>4692</v>
      </c>
      <c r="E433" s="196" t="s">
        <v>5849</v>
      </c>
      <c r="F433" s="150">
        <v>218632</v>
      </c>
      <c r="G433" s="209">
        <v>0</v>
      </c>
      <c r="H433" s="209"/>
      <c r="I433" s="209">
        <v>0</v>
      </c>
      <c r="J433" s="150">
        <v>480</v>
      </c>
      <c r="K433" s="150">
        <v>0</v>
      </c>
      <c r="L433" s="150">
        <f t="shared" si="515"/>
        <v>480</v>
      </c>
      <c r="M433" s="150">
        <v>4272</v>
      </c>
      <c r="N433" s="150">
        <v>105044</v>
      </c>
      <c r="O433" s="150">
        <v>109316</v>
      </c>
      <c r="P433" s="150">
        <v>24564</v>
      </c>
      <c r="Q433" s="150"/>
      <c r="R433" s="150">
        <f t="shared" si="565"/>
        <v>24564</v>
      </c>
      <c r="S433" s="150">
        <f t="shared" si="503"/>
        <v>32752</v>
      </c>
      <c r="T433" s="150"/>
      <c r="U433" s="150">
        <v>35332</v>
      </c>
      <c r="V433" s="199"/>
      <c r="W433" s="150">
        <f t="shared" si="566"/>
        <v>35332</v>
      </c>
      <c r="X433" s="150">
        <v>35332</v>
      </c>
      <c r="Y433" s="150"/>
      <c r="Z433" s="150">
        <v>35332</v>
      </c>
      <c r="AA433" s="150">
        <f t="shared" si="504"/>
        <v>57</v>
      </c>
      <c r="AB433" s="150">
        <v>35389</v>
      </c>
      <c r="AC433" s="199"/>
      <c r="AD433" s="150">
        <f t="shared" si="567"/>
        <v>35389</v>
      </c>
      <c r="AE433" s="150">
        <v>35389</v>
      </c>
      <c r="AF433" s="169" t="s">
        <v>4680</v>
      </c>
      <c r="AG433" s="201">
        <v>35389</v>
      </c>
      <c r="AH433" s="199"/>
      <c r="AI433" s="150">
        <v>35389</v>
      </c>
      <c r="AJ433" s="169">
        <f t="shared" si="505"/>
        <v>0</v>
      </c>
      <c r="AK433" s="201">
        <v>35389</v>
      </c>
      <c r="AL433" s="199"/>
      <c r="AM433" s="150">
        <f t="shared" si="568"/>
        <v>35389</v>
      </c>
      <c r="AN433" s="153">
        <f t="shared" si="506"/>
        <v>0</v>
      </c>
      <c r="AO433" s="154">
        <f t="shared" si="507"/>
        <v>0</v>
      </c>
      <c r="AP433" s="150">
        <v>35389</v>
      </c>
      <c r="AQ433" s="201">
        <v>35389</v>
      </c>
      <c r="AR433" s="199"/>
      <c r="AS433" s="150">
        <f t="shared" si="569"/>
        <v>35389</v>
      </c>
      <c r="AT433" s="155"/>
      <c r="AU433" s="156">
        <f t="shared" si="500"/>
        <v>0</v>
      </c>
      <c r="AV433" s="156">
        <f t="shared" si="501"/>
        <v>57</v>
      </c>
      <c r="AW433" s="157"/>
      <c r="AX433" s="150">
        <v>35332</v>
      </c>
      <c r="AY433" s="150">
        <v>13764</v>
      </c>
      <c r="AZ433" s="237"/>
      <c r="BA433" s="150">
        <f t="shared" si="502"/>
        <v>13764</v>
      </c>
      <c r="BB433" s="210"/>
      <c r="BC433" s="210"/>
      <c r="BD433" s="210"/>
      <c r="BE433" s="210"/>
      <c r="BF433" s="210"/>
      <c r="BG433" s="210"/>
      <c r="BH433" s="217"/>
      <c r="BI433" s="210"/>
      <c r="BJ433" s="210"/>
      <c r="BK433" s="210"/>
      <c r="BL433" s="210"/>
      <c r="BM433" s="208"/>
      <c r="BN433" s="160"/>
      <c r="BO433" s="161"/>
      <c r="BP433" s="161"/>
    </row>
    <row r="434" spans="1:68" ht="25.5">
      <c r="A434" s="210"/>
      <c r="B434" s="195" t="s">
        <v>5850</v>
      </c>
      <c r="C434" s="196" t="s">
        <v>5851</v>
      </c>
      <c r="D434" s="146" t="s">
        <v>4692</v>
      </c>
      <c r="E434" s="196" t="s">
        <v>5851</v>
      </c>
      <c r="F434" s="150">
        <v>0</v>
      </c>
      <c r="G434" s="209">
        <v>4828.7700000000004</v>
      </c>
      <c r="H434" s="209"/>
      <c r="I434" s="209">
        <v>4828.7700000000004</v>
      </c>
      <c r="J434" s="150">
        <v>0</v>
      </c>
      <c r="K434" s="150">
        <v>0</v>
      </c>
      <c r="L434" s="150">
        <f t="shared" si="515"/>
        <v>0</v>
      </c>
      <c r="M434" s="150">
        <v>0</v>
      </c>
      <c r="N434" s="150"/>
      <c r="O434" s="150">
        <v>0</v>
      </c>
      <c r="P434" s="150">
        <v>0</v>
      </c>
      <c r="Q434" s="150"/>
      <c r="R434" s="150">
        <f t="shared" si="565"/>
        <v>0</v>
      </c>
      <c r="S434" s="150">
        <f t="shared" si="503"/>
        <v>0</v>
      </c>
      <c r="T434" s="150"/>
      <c r="U434" s="150">
        <v>0</v>
      </c>
      <c r="V434" s="199"/>
      <c r="W434" s="150">
        <f t="shared" si="566"/>
        <v>0</v>
      </c>
      <c r="X434" s="150">
        <v>0</v>
      </c>
      <c r="Y434" s="150"/>
      <c r="Z434" s="150">
        <v>0</v>
      </c>
      <c r="AA434" s="150">
        <f t="shared" si="504"/>
        <v>0</v>
      </c>
      <c r="AB434" s="150">
        <v>0</v>
      </c>
      <c r="AC434" s="199"/>
      <c r="AD434" s="150">
        <f t="shared" si="567"/>
        <v>0</v>
      </c>
      <c r="AE434" s="150">
        <v>0</v>
      </c>
      <c r="AF434" s="169" t="s">
        <v>4680</v>
      </c>
      <c r="AG434" s="201">
        <v>0</v>
      </c>
      <c r="AH434" s="199"/>
      <c r="AI434" s="150">
        <v>0</v>
      </c>
      <c r="AJ434" s="169">
        <f t="shared" si="505"/>
        <v>0</v>
      </c>
      <c r="AK434" s="201">
        <v>0</v>
      </c>
      <c r="AL434" s="199"/>
      <c r="AM434" s="150">
        <f t="shared" si="568"/>
        <v>0</v>
      </c>
      <c r="AN434" s="153">
        <f t="shared" si="506"/>
        <v>0</v>
      </c>
      <c r="AO434" s="154">
        <f t="shared" si="507"/>
        <v>0</v>
      </c>
      <c r="AP434" s="150">
        <v>0</v>
      </c>
      <c r="AQ434" s="201">
        <v>0</v>
      </c>
      <c r="AR434" s="199"/>
      <c r="AS434" s="150">
        <f t="shared" si="569"/>
        <v>0</v>
      </c>
      <c r="AT434" s="155"/>
      <c r="AU434" s="156">
        <f t="shared" si="500"/>
        <v>0</v>
      </c>
      <c r="AV434" s="156">
        <f t="shared" si="501"/>
        <v>0</v>
      </c>
      <c r="AW434" s="157"/>
      <c r="AX434" s="150">
        <v>0</v>
      </c>
      <c r="AY434" s="150">
        <v>0</v>
      </c>
      <c r="AZ434" s="150"/>
      <c r="BA434" s="150">
        <f t="shared" si="502"/>
        <v>0</v>
      </c>
      <c r="BB434" s="210"/>
      <c r="BC434" s="210"/>
      <c r="BD434" s="284"/>
      <c r="BE434" s="210"/>
      <c r="BF434" s="210"/>
      <c r="BG434" s="210"/>
      <c r="BH434" s="217"/>
      <c r="BI434" s="210"/>
      <c r="BJ434" s="210"/>
      <c r="BK434" s="210"/>
      <c r="BL434" s="210"/>
      <c r="BM434" s="208"/>
      <c r="BN434" s="160"/>
      <c r="BO434" s="161"/>
      <c r="BP434" s="161"/>
    </row>
    <row r="435" spans="1:68">
      <c r="A435" s="210"/>
      <c r="B435" s="195" t="s">
        <v>5852</v>
      </c>
      <c r="C435" s="196" t="s">
        <v>5853</v>
      </c>
      <c r="D435" s="146" t="s">
        <v>4692</v>
      </c>
      <c r="E435" s="196" t="s">
        <v>5853</v>
      </c>
      <c r="F435" s="150">
        <v>4837.16</v>
      </c>
      <c r="G435" s="209">
        <v>0</v>
      </c>
      <c r="H435" s="209">
        <v>16182230.890000002</v>
      </c>
      <c r="I435" s="209">
        <v>16182230.890000002</v>
      </c>
      <c r="J435" s="150">
        <v>1208</v>
      </c>
      <c r="K435" s="150">
        <v>0</v>
      </c>
      <c r="L435" s="150">
        <f t="shared" si="515"/>
        <v>1208</v>
      </c>
      <c r="M435" s="150">
        <v>3021.2</v>
      </c>
      <c r="N435" s="150"/>
      <c r="O435" s="150">
        <v>3021.2</v>
      </c>
      <c r="P435" s="150">
        <v>4308</v>
      </c>
      <c r="Q435" s="150"/>
      <c r="R435" s="150">
        <f t="shared" si="565"/>
        <v>4308</v>
      </c>
      <c r="S435" s="150">
        <f t="shared" si="503"/>
        <v>5744</v>
      </c>
      <c r="T435" s="150"/>
      <c r="U435" s="150">
        <v>5931.5</v>
      </c>
      <c r="V435" s="199"/>
      <c r="W435" s="150">
        <f t="shared" si="566"/>
        <v>5931.5</v>
      </c>
      <c r="X435" s="150">
        <v>5931.5</v>
      </c>
      <c r="Y435" s="150"/>
      <c r="Z435" s="150">
        <v>5931.5</v>
      </c>
      <c r="AA435" s="150">
        <f t="shared" si="504"/>
        <v>0</v>
      </c>
      <c r="AB435" s="150">
        <v>5931.5</v>
      </c>
      <c r="AC435" s="199"/>
      <c r="AD435" s="150">
        <f t="shared" si="567"/>
        <v>5931.5</v>
      </c>
      <c r="AE435" s="150">
        <v>5931.5</v>
      </c>
      <c r="AF435" s="169" t="s">
        <v>4680</v>
      </c>
      <c r="AG435" s="201">
        <v>5931.5</v>
      </c>
      <c r="AH435" s="199"/>
      <c r="AI435" s="150">
        <v>5931.5</v>
      </c>
      <c r="AJ435" s="169">
        <f t="shared" si="505"/>
        <v>0</v>
      </c>
      <c r="AK435" s="201">
        <v>5931.5</v>
      </c>
      <c r="AL435" s="199"/>
      <c r="AM435" s="150">
        <f t="shared" si="568"/>
        <v>5931.5</v>
      </c>
      <c r="AN435" s="153">
        <f t="shared" si="506"/>
        <v>0</v>
      </c>
      <c r="AO435" s="154">
        <f t="shared" si="507"/>
        <v>0</v>
      </c>
      <c r="AP435" s="150">
        <v>5931.5</v>
      </c>
      <c r="AQ435" s="201">
        <v>5931.5</v>
      </c>
      <c r="AR435" s="199"/>
      <c r="AS435" s="150">
        <f t="shared" si="569"/>
        <v>5931.5</v>
      </c>
      <c r="AT435" s="155"/>
      <c r="AU435" s="156">
        <f t="shared" si="500"/>
        <v>0</v>
      </c>
      <c r="AV435" s="156">
        <f t="shared" si="501"/>
        <v>0</v>
      </c>
      <c r="AW435" s="157"/>
      <c r="AX435" s="150">
        <v>5931.5</v>
      </c>
      <c r="AY435" s="150">
        <v>3696</v>
      </c>
      <c r="AZ435" s="237"/>
      <c r="BA435" s="150">
        <f t="shared" si="502"/>
        <v>3696</v>
      </c>
      <c r="BB435" s="210"/>
      <c r="BC435" s="210"/>
      <c r="BD435" s="210"/>
      <c r="BE435" s="210"/>
      <c r="BF435" s="210"/>
      <c r="BG435" s="210"/>
      <c r="BH435" s="217"/>
      <c r="BI435" s="210"/>
      <c r="BJ435" s="210"/>
      <c r="BK435" s="210"/>
      <c r="BL435" s="210"/>
      <c r="BM435" s="208"/>
      <c r="BN435" s="160"/>
      <c r="BO435" s="161"/>
      <c r="BP435" s="161"/>
    </row>
    <row r="436" spans="1:68" ht="24" customHeight="1">
      <c r="A436" s="162" t="s">
        <v>5854</v>
      </c>
      <c r="B436" s="163"/>
      <c r="C436" s="164" t="s">
        <v>5855</v>
      </c>
      <c r="D436" s="146" t="s">
        <v>4692</v>
      </c>
      <c r="E436" s="164" t="s">
        <v>5855</v>
      </c>
      <c r="F436" s="165">
        <v>16339199.83</v>
      </c>
      <c r="G436" s="166">
        <v>0</v>
      </c>
      <c r="H436" s="166">
        <v>16149962.660000002</v>
      </c>
      <c r="I436" s="166">
        <v>16149962.660000002</v>
      </c>
      <c r="J436" s="165">
        <f>J437+J488</f>
        <v>0</v>
      </c>
      <c r="K436" s="165">
        <f>K437+K488</f>
        <v>16182230.890000002</v>
      </c>
      <c r="L436" s="165">
        <f t="shared" si="515"/>
        <v>16182230.890000002</v>
      </c>
      <c r="M436" s="167">
        <v>0</v>
      </c>
      <c r="N436" s="167">
        <v>18093728.759999994</v>
      </c>
      <c r="O436" s="167">
        <v>18093728.759999994</v>
      </c>
      <c r="P436" s="232">
        <f t="shared" ref="P436:R436" si="570">P437+P488</f>
        <v>0</v>
      </c>
      <c r="Q436" s="232">
        <f t="shared" si="570"/>
        <v>17036383</v>
      </c>
      <c r="R436" s="232">
        <f t="shared" si="570"/>
        <v>17036383</v>
      </c>
      <c r="S436" s="150">
        <f t="shared" si="503"/>
        <v>22715177.333333336</v>
      </c>
      <c r="T436" s="213"/>
      <c r="U436" s="232">
        <f t="shared" ref="U436:W436" si="571">U437+U488</f>
        <v>0</v>
      </c>
      <c r="V436" s="233">
        <f t="shared" si="571"/>
        <v>18423690.819999997</v>
      </c>
      <c r="W436" s="232">
        <f t="shared" si="571"/>
        <v>18423690.819999997</v>
      </c>
      <c r="X436" s="232">
        <v>0</v>
      </c>
      <c r="Y436" s="232">
        <v>18423690.819999997</v>
      </c>
      <c r="Z436" s="232">
        <v>18423690.819999997</v>
      </c>
      <c r="AA436" s="232">
        <f t="shared" si="504"/>
        <v>0</v>
      </c>
      <c r="AB436" s="232">
        <v>0</v>
      </c>
      <c r="AC436" s="233">
        <v>18423690.819999997</v>
      </c>
      <c r="AD436" s="232">
        <f t="shared" ref="AD436" si="572">AD437+AD488</f>
        <v>18423690.819999997</v>
      </c>
      <c r="AE436" s="232">
        <v>24858866.960000001</v>
      </c>
      <c r="AF436" s="169" t="s">
        <v>4680</v>
      </c>
      <c r="AG436" s="234">
        <v>0</v>
      </c>
      <c r="AH436" s="233">
        <v>24858866.960000001</v>
      </c>
      <c r="AI436" s="232">
        <v>24858866.960000001</v>
      </c>
      <c r="AJ436" s="169">
        <f t="shared" si="505"/>
        <v>0</v>
      </c>
      <c r="AK436" s="234">
        <v>0</v>
      </c>
      <c r="AL436" s="233">
        <v>24858866.960000001</v>
      </c>
      <c r="AM436" s="232">
        <f t="shared" ref="AM436" si="573">AM437+AM488</f>
        <v>24858866.960000001</v>
      </c>
      <c r="AN436" s="153">
        <f t="shared" si="506"/>
        <v>-984.39000000059605</v>
      </c>
      <c r="AO436" s="154">
        <f t="shared" si="507"/>
        <v>0</v>
      </c>
      <c r="AP436" s="232">
        <v>24857882.57</v>
      </c>
      <c r="AQ436" s="234">
        <v>24857882.57</v>
      </c>
      <c r="AR436" s="233">
        <f t="shared" ref="AR436:AS436" si="574">AR437+AR488</f>
        <v>0</v>
      </c>
      <c r="AS436" s="232">
        <f t="shared" si="574"/>
        <v>24857882.57</v>
      </c>
      <c r="AT436" s="1379" t="s">
        <v>5856</v>
      </c>
      <c r="AU436" s="156">
        <f t="shared" si="500"/>
        <v>6435176.1400000043</v>
      </c>
      <c r="AV436" s="156">
        <f t="shared" si="501"/>
        <v>0</v>
      </c>
      <c r="AW436" s="1382" t="s">
        <v>5857</v>
      </c>
      <c r="AX436" s="150">
        <v>18423690.819999997</v>
      </c>
      <c r="AY436" s="232">
        <f t="shared" ref="AY436:BA436" si="575">AY437+AY488</f>
        <v>0</v>
      </c>
      <c r="AZ436" s="232">
        <f t="shared" si="575"/>
        <v>0</v>
      </c>
      <c r="BA436" s="232">
        <f t="shared" si="575"/>
        <v>0</v>
      </c>
      <c r="BB436" s="171">
        <v>4</v>
      </c>
      <c r="BC436" s="171">
        <v>10</v>
      </c>
      <c r="BD436" s="162" t="s">
        <v>630</v>
      </c>
      <c r="BE436" s="162" t="s">
        <v>630</v>
      </c>
      <c r="BF436" s="162" t="s">
        <v>630</v>
      </c>
      <c r="BG436" s="164" t="s">
        <v>5855</v>
      </c>
      <c r="BH436" s="235">
        <f>BH437+BH488</f>
        <v>24857882.57</v>
      </c>
      <c r="BI436" s="171"/>
      <c r="BJ436" s="162" t="s">
        <v>5858</v>
      </c>
      <c r="BK436" s="162" t="s">
        <v>5854</v>
      </c>
      <c r="BL436" s="172" t="s">
        <v>5859</v>
      </c>
      <c r="BM436" s="235">
        <f>BM437+BM488</f>
        <v>24857882.57</v>
      </c>
      <c r="BN436" s="160"/>
      <c r="BO436" s="161">
        <f t="shared" si="508"/>
        <v>0</v>
      </c>
      <c r="BP436" s="161"/>
    </row>
    <row r="437" spans="1:68" ht="25.5">
      <c r="A437" s="254" t="s">
        <v>5860</v>
      </c>
      <c r="B437" s="174"/>
      <c r="C437" s="175" t="s">
        <v>5861</v>
      </c>
      <c r="D437" s="146" t="s">
        <v>4692</v>
      </c>
      <c r="E437" s="175" t="s">
        <v>5861</v>
      </c>
      <c r="F437" s="176">
        <v>16306931.6</v>
      </c>
      <c r="G437" s="177">
        <v>0</v>
      </c>
      <c r="H437" s="177">
        <v>16149962.660000002</v>
      </c>
      <c r="I437" s="177">
        <v>16149962.660000002</v>
      </c>
      <c r="J437" s="176">
        <f>J438</f>
        <v>0</v>
      </c>
      <c r="K437" s="176">
        <f>K438</f>
        <v>16149962.660000002</v>
      </c>
      <c r="L437" s="176">
        <f t="shared" si="515"/>
        <v>16149962.660000002</v>
      </c>
      <c r="M437" s="178">
        <v>0</v>
      </c>
      <c r="N437" s="178">
        <v>18086816.209999993</v>
      </c>
      <c r="O437" s="178">
        <v>18086816.209999993</v>
      </c>
      <c r="P437" s="221">
        <f t="shared" ref="P437:AS437" si="576">P438</f>
        <v>0</v>
      </c>
      <c r="Q437" s="221">
        <f t="shared" si="576"/>
        <v>17010404.25</v>
      </c>
      <c r="R437" s="221">
        <f t="shared" si="576"/>
        <v>17010404.25</v>
      </c>
      <c r="S437" s="150">
        <f t="shared" si="503"/>
        <v>22680539</v>
      </c>
      <c r="T437" s="213"/>
      <c r="U437" s="221">
        <f t="shared" ref="U437:W437" si="577">U438</f>
        <v>0</v>
      </c>
      <c r="V437" s="222">
        <f t="shared" si="577"/>
        <v>18164169.549999997</v>
      </c>
      <c r="W437" s="221">
        <f t="shared" si="577"/>
        <v>18164169.549999997</v>
      </c>
      <c r="X437" s="221">
        <v>0</v>
      </c>
      <c r="Y437" s="221">
        <v>18164169.549999997</v>
      </c>
      <c r="Z437" s="221">
        <v>18164169.549999997</v>
      </c>
      <c r="AA437" s="221">
        <f t="shared" si="504"/>
        <v>0</v>
      </c>
      <c r="AB437" s="221">
        <v>0</v>
      </c>
      <c r="AC437" s="222">
        <v>18164169.549999997</v>
      </c>
      <c r="AD437" s="221">
        <f t="shared" si="576"/>
        <v>18164169.549999997</v>
      </c>
      <c r="AE437" s="221">
        <v>24782943.670000002</v>
      </c>
      <c r="AF437" s="169" t="s">
        <v>4680</v>
      </c>
      <c r="AG437" s="223">
        <v>0</v>
      </c>
      <c r="AH437" s="222">
        <v>24782943.670000002</v>
      </c>
      <c r="AI437" s="221">
        <v>24782943.670000002</v>
      </c>
      <c r="AJ437" s="169">
        <f t="shared" si="505"/>
        <v>0</v>
      </c>
      <c r="AK437" s="223">
        <v>0</v>
      </c>
      <c r="AL437" s="222">
        <v>24782943.670000002</v>
      </c>
      <c r="AM437" s="221">
        <f t="shared" si="576"/>
        <v>24782943.670000002</v>
      </c>
      <c r="AN437" s="153">
        <f t="shared" si="506"/>
        <v>-984.39000000059605</v>
      </c>
      <c r="AO437" s="154">
        <f t="shared" si="507"/>
        <v>0</v>
      </c>
      <c r="AP437" s="221">
        <v>24781959.280000001</v>
      </c>
      <c r="AQ437" s="223">
        <v>24781959.280000001</v>
      </c>
      <c r="AR437" s="222">
        <f t="shared" si="576"/>
        <v>0</v>
      </c>
      <c r="AS437" s="221">
        <f t="shared" si="576"/>
        <v>24781959.280000001</v>
      </c>
      <c r="AT437" s="1380"/>
      <c r="AU437" s="156">
        <f t="shared" si="500"/>
        <v>6618774.1200000048</v>
      </c>
      <c r="AV437" s="156">
        <f t="shared" si="501"/>
        <v>0</v>
      </c>
      <c r="AW437" s="1383"/>
      <c r="AX437" s="150">
        <v>18164169.549999997</v>
      </c>
      <c r="AY437" s="221">
        <f t="shared" ref="AY437:BA437" si="578">AY438</f>
        <v>0</v>
      </c>
      <c r="AZ437" s="221">
        <f t="shared" si="578"/>
        <v>0</v>
      </c>
      <c r="BA437" s="221">
        <f t="shared" si="578"/>
        <v>0</v>
      </c>
      <c r="BB437" s="254">
        <v>4</v>
      </c>
      <c r="BC437" s="254">
        <v>10</v>
      </c>
      <c r="BD437" s="255" t="s">
        <v>632</v>
      </c>
      <c r="BE437" s="173" t="s">
        <v>630</v>
      </c>
      <c r="BF437" s="255" t="s">
        <v>630</v>
      </c>
      <c r="BG437" s="175" t="s">
        <v>5861</v>
      </c>
      <c r="BH437" s="224">
        <f>BH438</f>
        <v>24781959.280000001</v>
      </c>
      <c r="BI437" s="254"/>
      <c r="BJ437" s="255" t="s">
        <v>5862</v>
      </c>
      <c r="BK437" s="254" t="s">
        <v>5860</v>
      </c>
      <c r="BL437" s="175" t="s">
        <v>5863</v>
      </c>
      <c r="BM437" s="224">
        <f>BM438</f>
        <v>24781959.280000001</v>
      </c>
      <c r="BN437" s="160"/>
      <c r="BO437" s="161">
        <f t="shared" si="508"/>
        <v>0</v>
      </c>
      <c r="BP437" s="161"/>
    </row>
    <row r="438" spans="1:68" ht="25.5">
      <c r="A438" s="183" t="s">
        <v>5860</v>
      </c>
      <c r="B438" s="184"/>
      <c r="C438" s="185" t="s">
        <v>5861</v>
      </c>
      <c r="D438" s="146" t="s">
        <v>4692</v>
      </c>
      <c r="E438" s="185" t="s">
        <v>5861</v>
      </c>
      <c r="F438" s="186">
        <v>16306931.6</v>
      </c>
      <c r="G438" s="187">
        <v>0</v>
      </c>
      <c r="H438" s="187">
        <v>2261764.0499999998</v>
      </c>
      <c r="I438" s="187">
        <v>2261764.0499999998</v>
      </c>
      <c r="J438" s="186">
        <f>SUM(J439:J487)</f>
        <v>0</v>
      </c>
      <c r="K438" s="186">
        <f>SUM(K439:K487)</f>
        <v>16149962.660000002</v>
      </c>
      <c r="L438" s="186">
        <f t="shared" si="515"/>
        <v>16149962.660000002</v>
      </c>
      <c r="M438" s="188">
        <v>0</v>
      </c>
      <c r="N438" s="188">
        <v>18086816.209999993</v>
      </c>
      <c r="O438" s="188">
        <v>18086816.209999993</v>
      </c>
      <c r="P438" s="225">
        <f t="shared" ref="P438:R438" si="579">SUM(P439:P487)</f>
        <v>0</v>
      </c>
      <c r="Q438" s="225">
        <f t="shared" si="579"/>
        <v>17010404.25</v>
      </c>
      <c r="R438" s="225">
        <f t="shared" si="579"/>
        <v>17010404.25</v>
      </c>
      <c r="S438" s="150">
        <f t="shared" si="503"/>
        <v>22680539</v>
      </c>
      <c r="T438" s="213"/>
      <c r="U438" s="225">
        <f t="shared" ref="U438:W438" si="580">SUM(U439:U487)</f>
        <v>0</v>
      </c>
      <c r="V438" s="226">
        <f t="shared" si="580"/>
        <v>18164169.549999997</v>
      </c>
      <c r="W438" s="225">
        <f t="shared" si="580"/>
        <v>18164169.549999997</v>
      </c>
      <c r="X438" s="225">
        <v>0</v>
      </c>
      <c r="Y438" s="225">
        <v>18164169.549999997</v>
      </c>
      <c r="Z438" s="225">
        <v>18164169.549999997</v>
      </c>
      <c r="AA438" s="225">
        <f t="shared" si="504"/>
        <v>0</v>
      </c>
      <c r="AB438" s="225">
        <v>0</v>
      </c>
      <c r="AC438" s="226">
        <v>18164169.549999997</v>
      </c>
      <c r="AD438" s="225">
        <f t="shared" ref="AD438" si="581">SUM(AD439:AD487)</f>
        <v>18164169.549999997</v>
      </c>
      <c r="AE438" s="225">
        <v>24782943.670000002</v>
      </c>
      <c r="AF438" s="169" t="s">
        <v>4680</v>
      </c>
      <c r="AG438" s="212">
        <v>0</v>
      </c>
      <c r="AH438" s="226">
        <v>24782943.670000002</v>
      </c>
      <c r="AI438" s="225">
        <v>24782943.670000002</v>
      </c>
      <c r="AJ438" s="169">
        <f t="shared" si="505"/>
        <v>0</v>
      </c>
      <c r="AK438" s="212">
        <v>0</v>
      </c>
      <c r="AL438" s="226">
        <v>24782943.670000002</v>
      </c>
      <c r="AM438" s="225">
        <f t="shared" ref="AM438" si="582">SUM(AM439:AM487)</f>
        <v>24782943.670000002</v>
      </c>
      <c r="AN438" s="153">
        <f t="shared" si="506"/>
        <v>-984.39000000059605</v>
      </c>
      <c r="AO438" s="154">
        <f t="shared" si="507"/>
        <v>0</v>
      </c>
      <c r="AP438" s="225">
        <v>24781959.280000001</v>
      </c>
      <c r="AQ438" s="212">
        <v>24781959.280000001</v>
      </c>
      <c r="AR438" s="226">
        <f t="shared" ref="AR438:AS438" si="583">SUM(AR439:AR487)</f>
        <v>0</v>
      </c>
      <c r="AS438" s="225">
        <f t="shared" si="583"/>
        <v>24781959.280000001</v>
      </c>
      <c r="AT438" s="1381"/>
      <c r="AU438" s="156">
        <f t="shared" si="500"/>
        <v>6618774.1200000048</v>
      </c>
      <c r="AV438" s="156">
        <f t="shared" si="501"/>
        <v>0</v>
      </c>
      <c r="AW438" s="1384"/>
      <c r="AX438" s="150">
        <v>18164169.549999997</v>
      </c>
      <c r="AY438" s="225">
        <f t="shared" ref="AY438:BA438" si="584">SUM(AY439:AY487)</f>
        <v>0</v>
      </c>
      <c r="AZ438" s="225">
        <f t="shared" si="584"/>
        <v>0</v>
      </c>
      <c r="BA438" s="225">
        <f t="shared" si="584"/>
        <v>0</v>
      </c>
      <c r="BB438" s="191">
        <v>4</v>
      </c>
      <c r="BC438" s="191">
        <v>10</v>
      </c>
      <c r="BD438" s="183" t="s">
        <v>632</v>
      </c>
      <c r="BE438" s="183" t="s">
        <v>632</v>
      </c>
      <c r="BF438" s="183" t="s">
        <v>630</v>
      </c>
      <c r="BG438" s="185" t="s">
        <v>5861</v>
      </c>
      <c r="BH438" s="215">
        <f>SUM(BH439:BH487)</f>
        <v>24781959.280000001</v>
      </c>
      <c r="BI438" s="191"/>
      <c r="BJ438" s="183" t="s">
        <v>5862</v>
      </c>
      <c r="BK438" s="183" t="s">
        <v>5860</v>
      </c>
      <c r="BL438" s="238" t="s">
        <v>5863</v>
      </c>
      <c r="BM438" s="215">
        <f>SUM(BM439:BM487)</f>
        <v>24781959.280000001</v>
      </c>
      <c r="BN438" s="160"/>
      <c r="BO438" s="161">
        <f t="shared" si="508"/>
        <v>0</v>
      </c>
      <c r="BP438" s="161"/>
    </row>
    <row r="439" spans="1:68" ht="51">
      <c r="A439" s="194" t="s">
        <v>5864</v>
      </c>
      <c r="B439" s="195" t="s">
        <v>5865</v>
      </c>
      <c r="C439" s="196" t="s">
        <v>5866</v>
      </c>
      <c r="D439" s="146" t="s">
        <v>4692</v>
      </c>
      <c r="E439" s="196" t="s">
        <v>5866</v>
      </c>
      <c r="F439" s="150">
        <v>2262359.14</v>
      </c>
      <c r="G439" s="209">
        <v>0</v>
      </c>
      <c r="H439" s="209">
        <v>6914869.2199999997</v>
      </c>
      <c r="I439" s="209">
        <v>6914869.2199999997</v>
      </c>
      <c r="J439" s="150">
        <v>0</v>
      </c>
      <c r="K439" s="150">
        <v>2261764.0499999998</v>
      </c>
      <c r="L439" s="150">
        <f t="shared" si="515"/>
        <v>2261764.0499999998</v>
      </c>
      <c r="M439" s="150">
        <v>0</v>
      </c>
      <c r="N439" s="150">
        <v>2637024.67</v>
      </c>
      <c r="O439" s="150">
        <v>2637024.67</v>
      </c>
      <c r="P439" s="150">
        <v>0</v>
      </c>
      <c r="Q439" s="150">
        <v>2446572.98</v>
      </c>
      <c r="R439" s="150">
        <f t="shared" ref="R439:R487" si="585">P439+Q439</f>
        <v>2446572.98</v>
      </c>
      <c r="S439" s="150">
        <f t="shared" si="503"/>
        <v>3262097.3066666666</v>
      </c>
      <c r="T439" s="150"/>
      <c r="U439" s="150">
        <v>0</v>
      </c>
      <c r="V439" s="199">
        <f>530697.38+1323933.75</f>
        <v>1854631.13</v>
      </c>
      <c r="W439" s="150">
        <f t="shared" ref="W439:W487" si="586">U439+V439</f>
        <v>1854631.13</v>
      </c>
      <c r="X439" s="150">
        <v>0</v>
      </c>
      <c r="Y439" s="150">
        <v>1854631.13</v>
      </c>
      <c r="Z439" s="150">
        <v>1854631.13</v>
      </c>
      <c r="AA439" s="150">
        <f t="shared" si="504"/>
        <v>0</v>
      </c>
      <c r="AB439" s="150">
        <v>0</v>
      </c>
      <c r="AC439" s="199">
        <v>1854631.13</v>
      </c>
      <c r="AD439" s="150">
        <f t="shared" ref="AD439:AD487" si="587">AB439+AC439</f>
        <v>1854631.13</v>
      </c>
      <c r="AE439" s="150">
        <v>1668506.09</v>
      </c>
      <c r="AF439" s="169" t="s">
        <v>4680</v>
      </c>
      <c r="AG439" s="201">
        <v>0</v>
      </c>
      <c r="AH439" s="199">
        <v>1668506.09</v>
      </c>
      <c r="AI439" s="150">
        <v>1668506.09</v>
      </c>
      <c r="AJ439" s="169">
        <f t="shared" si="505"/>
        <v>0</v>
      </c>
      <c r="AK439" s="201">
        <v>0</v>
      </c>
      <c r="AL439" s="199">
        <v>1668506.09</v>
      </c>
      <c r="AM439" s="150">
        <f t="shared" ref="AM439:AM487" si="588">AK439+AL439</f>
        <v>1668506.09</v>
      </c>
      <c r="AN439" s="153">
        <f t="shared" si="506"/>
        <v>0</v>
      </c>
      <c r="AO439" s="154">
        <f t="shared" si="507"/>
        <v>0</v>
      </c>
      <c r="AP439" s="150">
        <v>1668506.09</v>
      </c>
      <c r="AQ439" s="201">
        <v>1668506.09</v>
      </c>
      <c r="AR439" s="199"/>
      <c r="AS439" s="150">
        <f t="shared" ref="AS439:AS486" si="589">AQ439+AR439</f>
        <v>1668506.09</v>
      </c>
      <c r="AT439" s="155"/>
      <c r="AU439" s="156">
        <f t="shared" si="500"/>
        <v>-186125.0399999998</v>
      </c>
      <c r="AV439" s="156">
        <f t="shared" si="501"/>
        <v>0</v>
      </c>
      <c r="AW439" s="157"/>
      <c r="AX439" s="150">
        <v>1854631.13</v>
      </c>
      <c r="AY439" s="150">
        <v>0</v>
      </c>
      <c r="AZ439" s="150"/>
      <c r="BA439" s="150">
        <f t="shared" si="502"/>
        <v>0</v>
      </c>
      <c r="BB439" s="202">
        <v>4</v>
      </c>
      <c r="BC439" s="202">
        <v>10</v>
      </c>
      <c r="BD439" s="194" t="s">
        <v>632</v>
      </c>
      <c r="BE439" s="194" t="s">
        <v>632</v>
      </c>
      <c r="BF439" s="194" t="s">
        <v>632</v>
      </c>
      <c r="BG439" s="203" t="s">
        <v>1153</v>
      </c>
      <c r="BH439" s="216">
        <f>SUM(AS439:AS443)</f>
        <v>8306197.0199999996</v>
      </c>
      <c r="BI439" s="202"/>
      <c r="BJ439" s="194" t="s">
        <v>5867</v>
      </c>
      <c r="BK439" s="194" t="s">
        <v>5864</v>
      </c>
      <c r="BL439" s="207" t="s">
        <v>5868</v>
      </c>
      <c r="BM439" s="208">
        <f>BH439</f>
        <v>8306197.0199999996</v>
      </c>
      <c r="BN439" s="160"/>
      <c r="BO439" s="161"/>
      <c r="BP439" s="161"/>
    </row>
    <row r="440" spans="1:68" ht="51">
      <c r="A440" s="210"/>
      <c r="B440" s="195" t="s">
        <v>5869</v>
      </c>
      <c r="C440" s="196" t="s">
        <v>5870</v>
      </c>
      <c r="D440" s="146" t="s">
        <v>4692</v>
      </c>
      <c r="E440" s="196" t="s">
        <v>5870</v>
      </c>
      <c r="F440" s="150">
        <v>6914393.9800000004</v>
      </c>
      <c r="G440" s="209">
        <v>0</v>
      </c>
      <c r="H440" s="209">
        <v>1183997.8699999999</v>
      </c>
      <c r="I440" s="209">
        <v>1183997.8699999999</v>
      </c>
      <c r="J440" s="150">
        <v>0</v>
      </c>
      <c r="K440" s="150">
        <v>6914869.2199999997</v>
      </c>
      <c r="L440" s="150">
        <f t="shared" si="515"/>
        <v>6914869.2199999997</v>
      </c>
      <c r="M440" s="150">
        <v>0</v>
      </c>
      <c r="N440" s="150">
        <v>7239170.1699999999</v>
      </c>
      <c r="O440" s="150">
        <v>7239170.1699999999</v>
      </c>
      <c r="P440" s="150">
        <v>0</v>
      </c>
      <c r="Q440" s="150">
        <v>6885271.7199999997</v>
      </c>
      <c r="R440" s="150">
        <f t="shared" si="585"/>
        <v>6885271.7199999997</v>
      </c>
      <c r="S440" s="150">
        <f t="shared" si="503"/>
        <v>9180362.293333333</v>
      </c>
      <c r="T440" s="150"/>
      <c r="U440" s="150">
        <v>0</v>
      </c>
      <c r="V440" s="199">
        <f>4611791.92+82018.82</f>
        <v>4693810.74</v>
      </c>
      <c r="W440" s="150">
        <f t="shared" si="586"/>
        <v>4693810.74</v>
      </c>
      <c r="X440" s="150">
        <v>0</v>
      </c>
      <c r="Y440" s="150">
        <v>4693810.74</v>
      </c>
      <c r="Z440" s="150">
        <v>4693810.74</v>
      </c>
      <c r="AA440" s="150">
        <f t="shared" si="504"/>
        <v>0</v>
      </c>
      <c r="AB440" s="150">
        <v>0</v>
      </c>
      <c r="AC440" s="199">
        <v>4693810.74</v>
      </c>
      <c r="AD440" s="150">
        <f t="shared" si="587"/>
        <v>4693810.74</v>
      </c>
      <c r="AE440" s="150">
        <v>4886593.71</v>
      </c>
      <c r="AF440" s="169" t="s">
        <v>4680</v>
      </c>
      <c r="AG440" s="201">
        <v>0</v>
      </c>
      <c r="AH440" s="199">
        <v>4886593.71</v>
      </c>
      <c r="AI440" s="150">
        <v>4886593.71</v>
      </c>
      <c r="AJ440" s="169">
        <f t="shared" si="505"/>
        <v>0</v>
      </c>
      <c r="AK440" s="201">
        <v>0</v>
      </c>
      <c r="AL440" s="199">
        <v>4886593.71</v>
      </c>
      <c r="AM440" s="150">
        <f t="shared" si="588"/>
        <v>4886593.71</v>
      </c>
      <c r="AN440" s="153">
        <f t="shared" si="506"/>
        <v>0</v>
      </c>
      <c r="AO440" s="154">
        <f t="shared" si="507"/>
        <v>0</v>
      </c>
      <c r="AP440" s="150">
        <v>4886593.71</v>
      </c>
      <c r="AQ440" s="201">
        <v>4886593.71</v>
      </c>
      <c r="AR440" s="199"/>
      <c r="AS440" s="150">
        <f t="shared" si="589"/>
        <v>4886593.71</v>
      </c>
      <c r="AT440" s="155"/>
      <c r="AU440" s="156">
        <f t="shared" si="500"/>
        <v>192782.96999999974</v>
      </c>
      <c r="AV440" s="156">
        <f t="shared" si="501"/>
        <v>0</v>
      </c>
      <c r="AW440" s="157"/>
      <c r="AX440" s="150">
        <v>4693810.74</v>
      </c>
      <c r="AY440" s="150">
        <v>0</v>
      </c>
      <c r="AZ440" s="150"/>
      <c r="BA440" s="150">
        <f t="shared" si="502"/>
        <v>0</v>
      </c>
      <c r="BB440" s="210"/>
      <c r="BC440" s="210"/>
      <c r="BD440" s="208"/>
      <c r="BE440" s="210"/>
      <c r="BF440" s="210"/>
      <c r="BG440" s="210"/>
      <c r="BH440" s="217"/>
      <c r="BI440" s="210"/>
      <c r="BJ440" s="210"/>
      <c r="BK440" s="210"/>
      <c r="BL440" s="210"/>
      <c r="BM440" s="208"/>
      <c r="BN440" s="160"/>
      <c r="BO440" s="161"/>
      <c r="BP440" s="161"/>
    </row>
    <row r="441" spans="1:68" ht="51">
      <c r="A441" s="210"/>
      <c r="B441" s="195" t="s">
        <v>5871</v>
      </c>
      <c r="C441" s="196" t="s">
        <v>5872</v>
      </c>
      <c r="D441" s="146" t="s">
        <v>4692</v>
      </c>
      <c r="E441" s="196" t="s">
        <v>5872</v>
      </c>
      <c r="F441" s="150">
        <v>1183997.8700000001</v>
      </c>
      <c r="G441" s="209">
        <v>0</v>
      </c>
      <c r="H441" s="209"/>
      <c r="I441" s="209">
        <v>0</v>
      </c>
      <c r="J441" s="150">
        <v>0</v>
      </c>
      <c r="K441" s="150">
        <v>1183997.8699999999</v>
      </c>
      <c r="L441" s="150">
        <f t="shared" si="515"/>
        <v>1183997.8699999999</v>
      </c>
      <c r="M441" s="150">
        <v>0</v>
      </c>
      <c r="N441" s="150">
        <v>1929242.29</v>
      </c>
      <c r="O441" s="150">
        <v>1929242.29</v>
      </c>
      <c r="P441" s="150">
        <v>0</v>
      </c>
      <c r="Q441" s="150">
        <v>1585100.23</v>
      </c>
      <c r="R441" s="150">
        <f t="shared" si="585"/>
        <v>1585100.23</v>
      </c>
      <c r="S441" s="150">
        <f t="shared" si="503"/>
        <v>2113466.9733333336</v>
      </c>
      <c r="T441" s="150"/>
      <c r="U441" s="150">
        <v>0</v>
      </c>
      <c r="V441" s="199">
        <f>1632869.02+8678.83</f>
        <v>1641547.85</v>
      </c>
      <c r="W441" s="150">
        <f t="shared" si="586"/>
        <v>1641547.85</v>
      </c>
      <c r="X441" s="150">
        <v>0</v>
      </c>
      <c r="Y441" s="150">
        <v>1641547.85</v>
      </c>
      <c r="Z441" s="150">
        <v>1641547.85</v>
      </c>
      <c r="AA441" s="150">
        <f t="shared" si="504"/>
        <v>0</v>
      </c>
      <c r="AB441" s="150">
        <v>0</v>
      </c>
      <c r="AC441" s="199">
        <v>1641547.85</v>
      </c>
      <c r="AD441" s="150">
        <f t="shared" si="587"/>
        <v>1641547.85</v>
      </c>
      <c r="AE441" s="150">
        <v>1641302</v>
      </c>
      <c r="AF441" s="169" t="s">
        <v>4680</v>
      </c>
      <c r="AG441" s="201">
        <v>0</v>
      </c>
      <c r="AH441" s="199">
        <v>1641302</v>
      </c>
      <c r="AI441" s="150">
        <v>1641302</v>
      </c>
      <c r="AJ441" s="169">
        <f t="shared" si="505"/>
        <v>0</v>
      </c>
      <c r="AK441" s="201">
        <v>0</v>
      </c>
      <c r="AL441" s="199">
        <v>1641302</v>
      </c>
      <c r="AM441" s="150">
        <f t="shared" si="588"/>
        <v>1641302</v>
      </c>
      <c r="AN441" s="153">
        <f t="shared" si="506"/>
        <v>0</v>
      </c>
      <c r="AO441" s="154">
        <f t="shared" si="507"/>
        <v>0</v>
      </c>
      <c r="AP441" s="150">
        <v>1641302</v>
      </c>
      <c r="AQ441" s="201">
        <v>1641302</v>
      </c>
      <c r="AR441" s="199"/>
      <c r="AS441" s="150">
        <f t="shared" si="589"/>
        <v>1641302</v>
      </c>
      <c r="AT441" s="155"/>
      <c r="AU441" s="156">
        <f t="shared" si="500"/>
        <v>-245.85000000009313</v>
      </c>
      <c r="AV441" s="156">
        <f t="shared" si="501"/>
        <v>0</v>
      </c>
      <c r="AW441" s="157"/>
      <c r="AX441" s="150">
        <v>1641547.85</v>
      </c>
      <c r="AY441" s="150">
        <v>0</v>
      </c>
      <c r="AZ441" s="150"/>
      <c r="BA441" s="150">
        <f t="shared" si="502"/>
        <v>0</v>
      </c>
      <c r="BB441" s="210"/>
      <c r="BC441" s="210"/>
      <c r="BD441" s="210"/>
      <c r="BE441" s="284"/>
      <c r="BF441" s="210"/>
      <c r="BG441" s="284"/>
      <c r="BH441" s="217"/>
      <c r="BI441" s="210"/>
      <c r="BJ441" s="210"/>
      <c r="BK441" s="210"/>
      <c r="BL441" s="210"/>
      <c r="BM441" s="208"/>
      <c r="BN441" s="160"/>
      <c r="BO441" s="161"/>
      <c r="BP441" s="161"/>
    </row>
    <row r="442" spans="1:68" ht="51">
      <c r="A442" s="210"/>
      <c r="B442" s="195" t="s">
        <v>5873</v>
      </c>
      <c r="C442" s="196" t="s">
        <v>5874</v>
      </c>
      <c r="D442" s="146" t="s">
        <v>4692</v>
      </c>
      <c r="E442" s="196" t="s">
        <v>5874</v>
      </c>
      <c r="F442" s="150">
        <v>0</v>
      </c>
      <c r="G442" s="209">
        <v>0</v>
      </c>
      <c r="H442" s="209">
        <v>140706.43</v>
      </c>
      <c r="I442" s="209">
        <v>140706.43</v>
      </c>
      <c r="J442" s="150">
        <v>0</v>
      </c>
      <c r="K442" s="150">
        <v>0</v>
      </c>
      <c r="L442" s="150">
        <f t="shared" si="515"/>
        <v>0</v>
      </c>
      <c r="M442" s="150">
        <v>0</v>
      </c>
      <c r="N442" s="150">
        <v>0</v>
      </c>
      <c r="O442" s="150">
        <v>0</v>
      </c>
      <c r="P442" s="150">
        <v>0</v>
      </c>
      <c r="Q442" s="150"/>
      <c r="R442" s="150">
        <f t="shared" si="585"/>
        <v>0</v>
      </c>
      <c r="S442" s="150">
        <f t="shared" si="503"/>
        <v>0</v>
      </c>
      <c r="T442" s="150"/>
      <c r="U442" s="150">
        <v>0</v>
      </c>
      <c r="V442" s="199">
        <v>0</v>
      </c>
      <c r="W442" s="150">
        <f t="shared" si="586"/>
        <v>0</v>
      </c>
      <c r="X442" s="150">
        <v>0</v>
      </c>
      <c r="Y442" s="150">
        <v>0</v>
      </c>
      <c r="Z442" s="150">
        <v>0</v>
      </c>
      <c r="AA442" s="150">
        <f t="shared" si="504"/>
        <v>0</v>
      </c>
      <c r="AB442" s="150">
        <v>0</v>
      </c>
      <c r="AC442" s="199">
        <v>0</v>
      </c>
      <c r="AD442" s="150">
        <f t="shared" si="587"/>
        <v>0</v>
      </c>
      <c r="AE442" s="150">
        <v>0</v>
      </c>
      <c r="AF442" s="169" t="s">
        <v>4680</v>
      </c>
      <c r="AG442" s="201">
        <v>0</v>
      </c>
      <c r="AH442" s="199">
        <v>0</v>
      </c>
      <c r="AI442" s="150">
        <v>0</v>
      </c>
      <c r="AJ442" s="169">
        <f t="shared" si="505"/>
        <v>0</v>
      </c>
      <c r="AK442" s="201">
        <v>0</v>
      </c>
      <c r="AL442" s="199">
        <v>0</v>
      </c>
      <c r="AM442" s="150">
        <f t="shared" si="588"/>
        <v>0</v>
      </c>
      <c r="AN442" s="153">
        <f t="shared" si="506"/>
        <v>0</v>
      </c>
      <c r="AO442" s="154">
        <f t="shared" si="507"/>
        <v>0</v>
      </c>
      <c r="AP442" s="150">
        <v>0</v>
      </c>
      <c r="AQ442" s="201">
        <v>0</v>
      </c>
      <c r="AR442" s="199"/>
      <c r="AS442" s="150">
        <f t="shared" si="589"/>
        <v>0</v>
      </c>
      <c r="AT442" s="155"/>
      <c r="AU442" s="156">
        <f t="shared" si="500"/>
        <v>0</v>
      </c>
      <c r="AV442" s="156">
        <f t="shared" si="501"/>
        <v>0</v>
      </c>
      <c r="AW442" s="157"/>
      <c r="AX442" s="150">
        <v>0</v>
      </c>
      <c r="AY442" s="150">
        <v>0</v>
      </c>
      <c r="AZ442" s="150"/>
      <c r="BA442" s="150">
        <f t="shared" si="502"/>
        <v>0</v>
      </c>
      <c r="BB442" s="210"/>
      <c r="BC442" s="210"/>
      <c r="BD442" s="210"/>
      <c r="BE442" s="210"/>
      <c r="BF442" s="210"/>
      <c r="BG442" s="210"/>
      <c r="BH442" s="217"/>
      <c r="BI442" s="210"/>
      <c r="BJ442" s="210"/>
      <c r="BK442" s="210"/>
      <c r="BL442" s="210"/>
      <c r="BM442" s="208"/>
      <c r="BN442" s="160"/>
      <c r="BO442" s="161"/>
      <c r="BP442" s="161"/>
    </row>
    <row r="443" spans="1:68" ht="51">
      <c r="A443" s="210"/>
      <c r="B443" s="195" t="s">
        <v>5875</v>
      </c>
      <c r="C443" s="196" t="s">
        <v>5876</v>
      </c>
      <c r="D443" s="146" t="s">
        <v>4692</v>
      </c>
      <c r="E443" s="196" t="s">
        <v>5876</v>
      </c>
      <c r="F443" s="150">
        <v>140717.42000000001</v>
      </c>
      <c r="G443" s="209">
        <v>0</v>
      </c>
      <c r="H443" s="209">
        <v>181839.37</v>
      </c>
      <c r="I443" s="209">
        <v>181839.37</v>
      </c>
      <c r="J443" s="150">
        <v>0</v>
      </c>
      <c r="K443" s="150">
        <v>140706.43</v>
      </c>
      <c r="L443" s="150">
        <f t="shared" si="515"/>
        <v>140706.43</v>
      </c>
      <c r="M443" s="150">
        <v>0</v>
      </c>
      <c r="N443" s="150">
        <v>177839.2</v>
      </c>
      <c r="O443" s="150">
        <v>177839.2</v>
      </c>
      <c r="P443" s="150">
        <v>0</v>
      </c>
      <c r="Q443" s="150">
        <v>174302.38</v>
      </c>
      <c r="R443" s="150">
        <f t="shared" si="585"/>
        <v>174302.38</v>
      </c>
      <c r="S443" s="150">
        <f t="shared" si="503"/>
        <v>232403.17333333334</v>
      </c>
      <c r="T443" s="150"/>
      <c r="U443" s="150">
        <v>0</v>
      </c>
      <c r="V443" s="199">
        <f>23386.36+84451.03</f>
        <v>107837.39</v>
      </c>
      <c r="W443" s="150">
        <f t="shared" si="586"/>
        <v>107837.39</v>
      </c>
      <c r="X443" s="150">
        <v>0</v>
      </c>
      <c r="Y443" s="150">
        <v>107837.39</v>
      </c>
      <c r="Z443" s="150">
        <v>107837.39</v>
      </c>
      <c r="AA443" s="150">
        <f t="shared" si="504"/>
        <v>0</v>
      </c>
      <c r="AB443" s="150">
        <v>0</v>
      </c>
      <c r="AC443" s="199">
        <v>107837.39</v>
      </c>
      <c r="AD443" s="150">
        <f t="shared" si="587"/>
        <v>107837.39</v>
      </c>
      <c r="AE443" s="150">
        <v>109795.22</v>
      </c>
      <c r="AF443" s="169" t="s">
        <v>4680</v>
      </c>
      <c r="AG443" s="201">
        <v>0</v>
      </c>
      <c r="AH443" s="199">
        <v>109795.22</v>
      </c>
      <c r="AI443" s="150">
        <v>109795.22</v>
      </c>
      <c r="AJ443" s="169">
        <f t="shared" si="505"/>
        <v>0</v>
      </c>
      <c r="AK443" s="201">
        <v>0</v>
      </c>
      <c r="AL443" s="199">
        <v>109795.22</v>
      </c>
      <c r="AM443" s="150">
        <f t="shared" si="588"/>
        <v>109795.22</v>
      </c>
      <c r="AN443" s="153">
        <f t="shared" si="506"/>
        <v>0</v>
      </c>
      <c r="AO443" s="154">
        <f t="shared" si="507"/>
        <v>0</v>
      </c>
      <c r="AP443" s="150">
        <v>109795.22</v>
      </c>
      <c r="AQ443" s="201">
        <v>109795.22</v>
      </c>
      <c r="AR443" s="199"/>
      <c r="AS443" s="150">
        <f t="shared" si="589"/>
        <v>109795.22</v>
      </c>
      <c r="AT443" s="155"/>
      <c r="AU443" s="156">
        <f t="shared" si="500"/>
        <v>1957.8300000000017</v>
      </c>
      <c r="AV443" s="156">
        <f t="shared" si="501"/>
        <v>0</v>
      </c>
      <c r="AW443" s="157"/>
      <c r="AX443" s="150">
        <v>107837.39</v>
      </c>
      <c r="AY443" s="150">
        <v>0</v>
      </c>
      <c r="AZ443" s="150"/>
      <c r="BA443" s="150">
        <f t="shared" si="502"/>
        <v>0</v>
      </c>
      <c r="BB443" s="210"/>
      <c r="BC443" s="210"/>
      <c r="BD443" s="210"/>
      <c r="BE443" s="210"/>
      <c r="BF443" s="210"/>
      <c r="BG443" s="210"/>
      <c r="BH443" s="217"/>
      <c r="BI443" s="210"/>
      <c r="BJ443" s="210"/>
      <c r="BK443" s="210"/>
      <c r="BL443" s="210"/>
      <c r="BM443" s="208"/>
      <c r="BN443" s="160"/>
      <c r="BO443" s="161"/>
      <c r="BP443" s="161"/>
    </row>
    <row r="444" spans="1:68" ht="25.5">
      <c r="A444" s="194" t="s">
        <v>5864</v>
      </c>
      <c r="B444" s="195" t="s">
        <v>5877</v>
      </c>
      <c r="C444" s="196" t="s">
        <v>1166</v>
      </c>
      <c r="D444" s="146" t="s">
        <v>4692</v>
      </c>
      <c r="E444" s="196" t="s">
        <v>1166</v>
      </c>
      <c r="F444" s="150">
        <v>252881.77</v>
      </c>
      <c r="G444" s="209">
        <v>0</v>
      </c>
      <c r="H444" s="209">
        <v>40762.080000000002</v>
      </c>
      <c r="I444" s="209">
        <v>40762.080000000002</v>
      </c>
      <c r="J444" s="150">
        <v>0</v>
      </c>
      <c r="K444" s="150">
        <v>181839.37</v>
      </c>
      <c r="L444" s="150">
        <f t="shared" si="515"/>
        <v>181839.37</v>
      </c>
      <c r="M444" s="150">
        <v>0</v>
      </c>
      <c r="N444" s="150">
        <v>423756.59</v>
      </c>
      <c r="O444" s="150">
        <v>423756.59</v>
      </c>
      <c r="P444" s="150">
        <v>0</v>
      </c>
      <c r="Q444" s="150">
        <v>313631.05</v>
      </c>
      <c r="R444" s="150">
        <f t="shared" si="585"/>
        <v>313631.05</v>
      </c>
      <c r="S444" s="150">
        <f t="shared" si="503"/>
        <v>418174.73333333328</v>
      </c>
      <c r="T444" s="150"/>
      <c r="U444" s="150">
        <v>0</v>
      </c>
      <c r="V444" s="199">
        <f>3788.16+366256.86</f>
        <v>370045.01999999996</v>
      </c>
      <c r="W444" s="150">
        <f t="shared" si="586"/>
        <v>370045.01999999996</v>
      </c>
      <c r="X444" s="150">
        <v>0</v>
      </c>
      <c r="Y444" s="150">
        <v>370045.01999999996</v>
      </c>
      <c r="Z444" s="150">
        <v>370045.01999999996</v>
      </c>
      <c r="AA444" s="150">
        <f t="shared" si="504"/>
        <v>0</v>
      </c>
      <c r="AB444" s="150">
        <v>0</v>
      </c>
      <c r="AC444" s="199">
        <v>370045.01999999996</v>
      </c>
      <c r="AD444" s="150">
        <f t="shared" si="587"/>
        <v>370045.01999999996</v>
      </c>
      <c r="AE444" s="150">
        <v>312412.71000000002</v>
      </c>
      <c r="AF444" s="169" t="s">
        <v>4680</v>
      </c>
      <c r="AG444" s="201">
        <v>0</v>
      </c>
      <c r="AH444" s="199">
        <v>312412.71000000002</v>
      </c>
      <c r="AI444" s="150">
        <v>312412.71000000002</v>
      </c>
      <c r="AJ444" s="169">
        <f t="shared" si="505"/>
        <v>0</v>
      </c>
      <c r="AK444" s="201">
        <v>0</v>
      </c>
      <c r="AL444" s="199">
        <v>312412.71000000002</v>
      </c>
      <c r="AM444" s="150">
        <f t="shared" si="588"/>
        <v>312412.71000000002</v>
      </c>
      <c r="AN444" s="153">
        <f t="shared" si="506"/>
        <v>0</v>
      </c>
      <c r="AO444" s="154">
        <f t="shared" si="507"/>
        <v>0</v>
      </c>
      <c r="AP444" s="150">
        <v>312412.71000000002</v>
      </c>
      <c r="AQ444" s="201">
        <v>312412.71000000002</v>
      </c>
      <c r="AR444" s="199"/>
      <c r="AS444" s="150">
        <f t="shared" si="589"/>
        <v>312412.71000000002</v>
      </c>
      <c r="AT444" s="155"/>
      <c r="AU444" s="156">
        <f t="shared" si="500"/>
        <v>-57632.309999999939</v>
      </c>
      <c r="AV444" s="156">
        <f t="shared" si="501"/>
        <v>0</v>
      </c>
      <c r="AW444" s="157"/>
      <c r="AX444" s="150">
        <v>370045.01999999996</v>
      </c>
      <c r="AY444" s="150">
        <v>0</v>
      </c>
      <c r="AZ444" s="150"/>
      <c r="BA444" s="150">
        <f t="shared" si="502"/>
        <v>0</v>
      </c>
      <c r="BB444" s="202">
        <v>4</v>
      </c>
      <c r="BC444" s="202">
        <v>10</v>
      </c>
      <c r="BD444" s="194" t="s">
        <v>632</v>
      </c>
      <c r="BE444" s="194" t="s">
        <v>632</v>
      </c>
      <c r="BF444" s="194" t="s">
        <v>647</v>
      </c>
      <c r="BG444" s="203" t="s">
        <v>1167</v>
      </c>
      <c r="BH444" s="216">
        <f t="shared" ref="BH444:BH469" si="590">AS444</f>
        <v>312412.71000000002</v>
      </c>
      <c r="BI444" s="202"/>
      <c r="BJ444" s="194" t="s">
        <v>5867</v>
      </c>
      <c r="BK444" s="194" t="s">
        <v>5864</v>
      </c>
      <c r="BL444" s="207" t="s">
        <v>5868</v>
      </c>
      <c r="BM444" s="208">
        <f t="shared" ref="BM444:BM470" si="591">BH444</f>
        <v>312412.71000000002</v>
      </c>
      <c r="BN444" s="160"/>
      <c r="BO444" s="161">
        <f t="shared" si="508"/>
        <v>0</v>
      </c>
      <c r="BP444" s="161"/>
    </row>
    <row r="445" spans="1:68" ht="25.5">
      <c r="A445" s="194" t="s">
        <v>5864</v>
      </c>
      <c r="B445" s="195" t="s">
        <v>5878</v>
      </c>
      <c r="C445" s="196" t="s">
        <v>1169</v>
      </c>
      <c r="D445" s="146" t="s">
        <v>4692</v>
      </c>
      <c r="E445" s="196" t="s">
        <v>1169</v>
      </c>
      <c r="F445" s="150">
        <v>1992.25</v>
      </c>
      <c r="G445" s="209">
        <v>0</v>
      </c>
      <c r="H445" s="209">
        <v>382483.76</v>
      </c>
      <c r="I445" s="209">
        <v>382483.76</v>
      </c>
      <c r="J445" s="150">
        <v>0</v>
      </c>
      <c r="K445" s="150">
        <v>40762.080000000002</v>
      </c>
      <c r="L445" s="150">
        <f t="shared" si="515"/>
        <v>40762.080000000002</v>
      </c>
      <c r="M445" s="150">
        <v>0</v>
      </c>
      <c r="N445" s="150">
        <v>76079.33</v>
      </c>
      <c r="O445" s="150">
        <v>76079.33</v>
      </c>
      <c r="P445" s="150">
        <v>0</v>
      </c>
      <c r="Q445" s="150">
        <v>83282.070000000007</v>
      </c>
      <c r="R445" s="150">
        <f t="shared" si="585"/>
        <v>83282.070000000007</v>
      </c>
      <c r="S445" s="150">
        <f t="shared" si="503"/>
        <v>111042.76000000001</v>
      </c>
      <c r="T445" s="150"/>
      <c r="U445" s="150">
        <v>0</v>
      </c>
      <c r="V445" s="199">
        <f>-15614.9+76729.11</f>
        <v>61114.21</v>
      </c>
      <c r="W445" s="150">
        <f t="shared" si="586"/>
        <v>61114.21</v>
      </c>
      <c r="X445" s="150">
        <v>0</v>
      </c>
      <c r="Y445" s="150">
        <v>61114.21</v>
      </c>
      <c r="Z445" s="150">
        <v>61114.21</v>
      </c>
      <c r="AA445" s="150">
        <f t="shared" si="504"/>
        <v>0</v>
      </c>
      <c r="AB445" s="150">
        <v>0</v>
      </c>
      <c r="AC445" s="199">
        <v>61114.21</v>
      </c>
      <c r="AD445" s="150">
        <f t="shared" si="587"/>
        <v>61114.21</v>
      </c>
      <c r="AE445" s="150">
        <v>111750.9</v>
      </c>
      <c r="AF445" s="169" t="s">
        <v>4680</v>
      </c>
      <c r="AG445" s="201">
        <v>0</v>
      </c>
      <c r="AH445" s="199">
        <v>111750.9</v>
      </c>
      <c r="AI445" s="150">
        <v>111750.9</v>
      </c>
      <c r="AJ445" s="169">
        <f t="shared" si="505"/>
        <v>0</v>
      </c>
      <c r="AK445" s="201">
        <v>0</v>
      </c>
      <c r="AL445" s="199">
        <v>111750.9</v>
      </c>
      <c r="AM445" s="150">
        <f t="shared" si="588"/>
        <v>111750.9</v>
      </c>
      <c r="AN445" s="153">
        <f t="shared" si="506"/>
        <v>0</v>
      </c>
      <c r="AO445" s="154">
        <f t="shared" si="507"/>
        <v>0</v>
      </c>
      <c r="AP445" s="150">
        <v>111750.9</v>
      </c>
      <c r="AQ445" s="201">
        <v>111750.9</v>
      </c>
      <c r="AR445" s="199"/>
      <c r="AS445" s="150">
        <f t="shared" si="589"/>
        <v>111750.9</v>
      </c>
      <c r="AT445" s="155"/>
      <c r="AU445" s="156">
        <f t="shared" si="500"/>
        <v>50636.689999999995</v>
      </c>
      <c r="AV445" s="156">
        <f t="shared" si="501"/>
        <v>0</v>
      </c>
      <c r="AW445" s="157"/>
      <c r="AX445" s="150">
        <v>61114.21</v>
      </c>
      <c r="AY445" s="150">
        <v>0</v>
      </c>
      <c r="AZ445" s="150"/>
      <c r="BA445" s="150">
        <f t="shared" si="502"/>
        <v>0</v>
      </c>
      <c r="BB445" s="202">
        <v>4</v>
      </c>
      <c r="BC445" s="202">
        <v>10</v>
      </c>
      <c r="BD445" s="194" t="s">
        <v>632</v>
      </c>
      <c r="BE445" s="194" t="s">
        <v>632</v>
      </c>
      <c r="BF445" s="194" t="s">
        <v>671</v>
      </c>
      <c r="BG445" s="203" t="s">
        <v>1170</v>
      </c>
      <c r="BH445" s="216">
        <f t="shared" si="590"/>
        <v>111750.9</v>
      </c>
      <c r="BI445" s="202"/>
      <c r="BJ445" s="194" t="s">
        <v>5867</v>
      </c>
      <c r="BK445" s="194" t="s">
        <v>5864</v>
      </c>
      <c r="BL445" s="207" t="s">
        <v>5868</v>
      </c>
      <c r="BM445" s="208">
        <f t="shared" si="591"/>
        <v>111750.9</v>
      </c>
      <c r="BN445" s="160"/>
      <c r="BO445" s="161">
        <f t="shared" si="508"/>
        <v>0</v>
      </c>
      <c r="BP445" s="161"/>
    </row>
    <row r="446" spans="1:68" ht="38.25">
      <c r="A446" s="194" t="s">
        <v>5864</v>
      </c>
      <c r="B446" s="195" t="s">
        <v>5879</v>
      </c>
      <c r="C446" s="196" t="s">
        <v>1172</v>
      </c>
      <c r="D446" s="146" t="s">
        <v>4692</v>
      </c>
      <c r="E446" s="196" t="s">
        <v>1172</v>
      </c>
      <c r="F446" s="150">
        <v>380885.21</v>
      </c>
      <c r="G446" s="209">
        <v>0</v>
      </c>
      <c r="H446" s="209"/>
      <c r="I446" s="209">
        <v>0</v>
      </c>
      <c r="J446" s="150">
        <v>0</v>
      </c>
      <c r="K446" s="150">
        <v>382483.76</v>
      </c>
      <c r="L446" s="150">
        <f t="shared" si="515"/>
        <v>382483.76</v>
      </c>
      <c r="M446" s="150">
        <v>0</v>
      </c>
      <c r="N446" s="150">
        <v>322994.78999999998</v>
      </c>
      <c r="O446" s="150">
        <v>322994.78999999998</v>
      </c>
      <c r="P446" s="150">
        <v>0</v>
      </c>
      <c r="Q446" s="150">
        <v>346977.75</v>
      </c>
      <c r="R446" s="150">
        <f t="shared" si="585"/>
        <v>346977.75</v>
      </c>
      <c r="S446" s="150">
        <f t="shared" si="503"/>
        <v>462637</v>
      </c>
      <c r="T446" s="150"/>
      <c r="U446" s="150">
        <v>0</v>
      </c>
      <c r="V446" s="199">
        <f>244157.05+44910.74</f>
        <v>289067.78999999998</v>
      </c>
      <c r="W446" s="150">
        <f t="shared" si="586"/>
        <v>289067.78999999998</v>
      </c>
      <c r="X446" s="150">
        <v>0</v>
      </c>
      <c r="Y446" s="150">
        <v>289067.78999999998</v>
      </c>
      <c r="Z446" s="150">
        <v>289067.78999999998</v>
      </c>
      <c r="AA446" s="150">
        <f t="shared" si="504"/>
        <v>0</v>
      </c>
      <c r="AB446" s="150">
        <v>0</v>
      </c>
      <c r="AC446" s="199">
        <v>289067.78999999998</v>
      </c>
      <c r="AD446" s="150">
        <f t="shared" si="587"/>
        <v>289067.78999999998</v>
      </c>
      <c r="AE446" s="150">
        <v>357350.49</v>
      </c>
      <c r="AF446" s="169" t="s">
        <v>4680</v>
      </c>
      <c r="AG446" s="201">
        <v>0</v>
      </c>
      <c r="AH446" s="199">
        <v>357350.49</v>
      </c>
      <c r="AI446" s="150">
        <v>357350.49</v>
      </c>
      <c r="AJ446" s="169">
        <f t="shared" si="505"/>
        <v>0</v>
      </c>
      <c r="AK446" s="201">
        <v>0</v>
      </c>
      <c r="AL446" s="199">
        <v>357350.49</v>
      </c>
      <c r="AM446" s="150">
        <f t="shared" si="588"/>
        <v>357350.49</v>
      </c>
      <c r="AN446" s="153">
        <f t="shared" si="506"/>
        <v>1280</v>
      </c>
      <c r="AO446" s="154">
        <f t="shared" si="507"/>
        <v>0</v>
      </c>
      <c r="AP446" s="150">
        <v>358630.49</v>
      </c>
      <c r="AQ446" s="201">
        <v>358630.49</v>
      </c>
      <c r="AR446" s="199"/>
      <c r="AS446" s="150">
        <f t="shared" si="589"/>
        <v>358630.49</v>
      </c>
      <c r="AT446" s="155"/>
      <c r="AU446" s="156">
        <f t="shared" si="500"/>
        <v>68282.700000000012</v>
      </c>
      <c r="AV446" s="156">
        <f t="shared" si="501"/>
        <v>0</v>
      </c>
      <c r="AW446" s="157"/>
      <c r="AX446" s="150">
        <v>289067.78999999998</v>
      </c>
      <c r="AY446" s="150">
        <v>0</v>
      </c>
      <c r="AZ446" s="150"/>
      <c r="BA446" s="150">
        <f t="shared" si="502"/>
        <v>0</v>
      </c>
      <c r="BB446" s="202">
        <v>4</v>
      </c>
      <c r="BC446" s="202">
        <v>10</v>
      </c>
      <c r="BD446" s="194" t="s">
        <v>632</v>
      </c>
      <c r="BE446" s="194" t="s">
        <v>632</v>
      </c>
      <c r="BF446" s="194" t="s">
        <v>693</v>
      </c>
      <c r="BG446" s="203" t="s">
        <v>1173</v>
      </c>
      <c r="BH446" s="216">
        <f t="shared" si="590"/>
        <v>358630.49</v>
      </c>
      <c r="BI446" s="202"/>
      <c r="BJ446" s="194" t="s">
        <v>5867</v>
      </c>
      <c r="BK446" s="194" t="s">
        <v>5864</v>
      </c>
      <c r="BL446" s="207" t="s">
        <v>5868</v>
      </c>
      <c r="BM446" s="208">
        <f t="shared" si="591"/>
        <v>358630.49</v>
      </c>
      <c r="BN446" s="160"/>
      <c r="BO446" s="161">
        <f t="shared" si="508"/>
        <v>0</v>
      </c>
      <c r="BP446" s="161"/>
    </row>
    <row r="447" spans="1:68" ht="25.5">
      <c r="A447" s="194" t="s">
        <v>5864</v>
      </c>
      <c r="B447" s="195" t="s">
        <v>5880</v>
      </c>
      <c r="C447" s="196" t="s">
        <v>1175</v>
      </c>
      <c r="D447" s="146" t="s">
        <v>4692</v>
      </c>
      <c r="E447" s="196" t="s">
        <v>1175</v>
      </c>
      <c r="F447" s="150">
        <v>0</v>
      </c>
      <c r="G447" s="209">
        <v>0</v>
      </c>
      <c r="H447" s="209">
        <v>32502.739999999998</v>
      </c>
      <c r="I447" s="209">
        <v>32502.739999999998</v>
      </c>
      <c r="J447" s="150">
        <v>0</v>
      </c>
      <c r="K447" s="150">
        <v>0</v>
      </c>
      <c r="L447" s="150">
        <f t="shared" si="515"/>
        <v>0</v>
      </c>
      <c r="M447" s="150">
        <v>0</v>
      </c>
      <c r="N447" s="150"/>
      <c r="O447" s="150">
        <v>0</v>
      </c>
      <c r="P447" s="150">
        <v>0</v>
      </c>
      <c r="Q447" s="150"/>
      <c r="R447" s="150">
        <f t="shared" si="585"/>
        <v>0</v>
      </c>
      <c r="S447" s="150">
        <f t="shared" si="503"/>
        <v>0</v>
      </c>
      <c r="T447" s="150"/>
      <c r="U447" s="150">
        <v>0</v>
      </c>
      <c r="V447" s="199">
        <v>0</v>
      </c>
      <c r="W447" s="150">
        <f t="shared" si="586"/>
        <v>0</v>
      </c>
      <c r="X447" s="150">
        <v>0</v>
      </c>
      <c r="Y447" s="150">
        <v>0</v>
      </c>
      <c r="Z447" s="150">
        <v>0</v>
      </c>
      <c r="AA447" s="150">
        <f t="shared" si="504"/>
        <v>0</v>
      </c>
      <c r="AB447" s="150">
        <v>0</v>
      </c>
      <c r="AC447" s="199">
        <v>0</v>
      </c>
      <c r="AD447" s="150">
        <f t="shared" si="587"/>
        <v>0</v>
      </c>
      <c r="AE447" s="150">
        <v>0</v>
      </c>
      <c r="AF447" s="169" t="s">
        <v>4680</v>
      </c>
      <c r="AG447" s="201">
        <v>0</v>
      </c>
      <c r="AH447" s="199">
        <v>0</v>
      </c>
      <c r="AI447" s="150">
        <v>0</v>
      </c>
      <c r="AJ447" s="169">
        <f t="shared" si="505"/>
        <v>0</v>
      </c>
      <c r="AK447" s="201">
        <v>0</v>
      </c>
      <c r="AL447" s="199">
        <v>0</v>
      </c>
      <c r="AM447" s="150">
        <f t="shared" si="588"/>
        <v>0</v>
      </c>
      <c r="AN447" s="153">
        <f t="shared" si="506"/>
        <v>0</v>
      </c>
      <c r="AO447" s="154">
        <f t="shared" si="507"/>
        <v>0</v>
      </c>
      <c r="AP447" s="150">
        <v>0</v>
      </c>
      <c r="AQ447" s="201">
        <v>0</v>
      </c>
      <c r="AR447" s="199"/>
      <c r="AS447" s="150">
        <f t="shared" si="589"/>
        <v>0</v>
      </c>
      <c r="AT447" s="155"/>
      <c r="AU447" s="156">
        <f t="shared" si="500"/>
        <v>0</v>
      </c>
      <c r="AV447" s="156">
        <f t="shared" si="501"/>
        <v>0</v>
      </c>
      <c r="AW447" s="157"/>
      <c r="AX447" s="150">
        <v>0</v>
      </c>
      <c r="AY447" s="150">
        <v>0</v>
      </c>
      <c r="AZ447" s="150"/>
      <c r="BA447" s="150">
        <f t="shared" si="502"/>
        <v>0</v>
      </c>
      <c r="BB447" s="202">
        <v>4</v>
      </c>
      <c r="BC447" s="202">
        <v>10</v>
      </c>
      <c r="BD447" s="194" t="s">
        <v>632</v>
      </c>
      <c r="BE447" s="194" t="s">
        <v>632</v>
      </c>
      <c r="BF447" s="194" t="s">
        <v>714</v>
      </c>
      <c r="BG447" s="203" t="s">
        <v>1176</v>
      </c>
      <c r="BH447" s="216">
        <f t="shared" si="590"/>
        <v>0</v>
      </c>
      <c r="BI447" s="202"/>
      <c r="BJ447" s="194" t="s">
        <v>5867</v>
      </c>
      <c r="BK447" s="194" t="s">
        <v>5864</v>
      </c>
      <c r="BL447" s="207" t="s">
        <v>5868</v>
      </c>
      <c r="BM447" s="208">
        <f t="shared" si="591"/>
        <v>0</v>
      </c>
      <c r="BN447" s="160"/>
      <c r="BO447" s="161">
        <f t="shared" si="508"/>
        <v>0</v>
      </c>
      <c r="BP447" s="161"/>
    </row>
    <row r="448" spans="1:68" ht="25.5">
      <c r="A448" s="194" t="s">
        <v>5864</v>
      </c>
      <c r="B448" s="195" t="s">
        <v>5881</v>
      </c>
      <c r="C448" s="196" t="s">
        <v>1178</v>
      </c>
      <c r="D448" s="146" t="s">
        <v>4692</v>
      </c>
      <c r="E448" s="196" t="s">
        <v>1178</v>
      </c>
      <c r="F448" s="150">
        <v>32502.74</v>
      </c>
      <c r="G448" s="209">
        <v>0</v>
      </c>
      <c r="H448" s="209"/>
      <c r="I448" s="209">
        <v>0</v>
      </c>
      <c r="J448" s="150">
        <v>0</v>
      </c>
      <c r="K448" s="150">
        <v>32502.739999999998</v>
      </c>
      <c r="L448" s="150">
        <f t="shared" si="515"/>
        <v>32502.739999999998</v>
      </c>
      <c r="M448" s="150">
        <v>0</v>
      </c>
      <c r="N448" s="150">
        <v>53547.74</v>
      </c>
      <c r="O448" s="150">
        <v>53547.74</v>
      </c>
      <c r="P448" s="150">
        <v>0</v>
      </c>
      <c r="Q448" s="150">
        <v>72148.62</v>
      </c>
      <c r="R448" s="150">
        <f t="shared" si="585"/>
        <v>72148.62</v>
      </c>
      <c r="S448" s="150">
        <f t="shared" si="503"/>
        <v>96198.159999999989</v>
      </c>
      <c r="T448" s="150"/>
      <c r="U448" s="150">
        <v>0</v>
      </c>
      <c r="V448" s="199">
        <f>34004.77+26175.29</f>
        <v>60180.06</v>
      </c>
      <c r="W448" s="150">
        <f t="shared" si="586"/>
        <v>60180.06</v>
      </c>
      <c r="X448" s="150">
        <v>0</v>
      </c>
      <c r="Y448" s="150">
        <v>60180.06</v>
      </c>
      <c r="Z448" s="150">
        <v>60180.06</v>
      </c>
      <c r="AA448" s="150">
        <f t="shared" si="504"/>
        <v>0</v>
      </c>
      <c r="AB448" s="150">
        <v>0</v>
      </c>
      <c r="AC448" s="199">
        <v>60180.06</v>
      </c>
      <c r="AD448" s="150">
        <f t="shared" si="587"/>
        <v>60180.06</v>
      </c>
      <c r="AE448" s="150">
        <v>64708.07</v>
      </c>
      <c r="AF448" s="169" t="s">
        <v>4680</v>
      </c>
      <c r="AG448" s="201">
        <v>0</v>
      </c>
      <c r="AH448" s="199">
        <v>64708.07</v>
      </c>
      <c r="AI448" s="150">
        <v>64708.07</v>
      </c>
      <c r="AJ448" s="169">
        <f t="shared" si="505"/>
        <v>0</v>
      </c>
      <c r="AK448" s="201">
        <v>0</v>
      </c>
      <c r="AL448" s="199">
        <v>64708.07</v>
      </c>
      <c r="AM448" s="150">
        <f t="shared" si="588"/>
        <v>64708.07</v>
      </c>
      <c r="AN448" s="153">
        <f t="shared" si="506"/>
        <v>0</v>
      </c>
      <c r="AO448" s="154">
        <f t="shared" si="507"/>
        <v>0</v>
      </c>
      <c r="AP448" s="150">
        <v>64708.07</v>
      </c>
      <c r="AQ448" s="201">
        <v>64708.07</v>
      </c>
      <c r="AR448" s="199"/>
      <c r="AS448" s="150">
        <f t="shared" si="589"/>
        <v>64708.07</v>
      </c>
      <c r="AT448" s="155"/>
      <c r="AU448" s="156">
        <f t="shared" si="500"/>
        <v>4528.010000000002</v>
      </c>
      <c r="AV448" s="156">
        <f t="shared" si="501"/>
        <v>0</v>
      </c>
      <c r="AW448" s="157"/>
      <c r="AX448" s="150">
        <v>60180.06</v>
      </c>
      <c r="AY448" s="150">
        <v>0</v>
      </c>
      <c r="AZ448" s="150"/>
      <c r="BA448" s="150">
        <f t="shared" si="502"/>
        <v>0</v>
      </c>
      <c r="BB448" s="202">
        <v>4</v>
      </c>
      <c r="BC448" s="202">
        <v>10</v>
      </c>
      <c r="BD448" s="194" t="s">
        <v>632</v>
      </c>
      <c r="BE448" s="194" t="s">
        <v>632</v>
      </c>
      <c r="BF448" s="194" t="s">
        <v>739</v>
      </c>
      <c r="BG448" s="203" t="s">
        <v>1179</v>
      </c>
      <c r="BH448" s="216">
        <f t="shared" si="590"/>
        <v>64708.07</v>
      </c>
      <c r="BI448" s="285"/>
      <c r="BJ448" s="194" t="s">
        <v>5867</v>
      </c>
      <c r="BK448" s="194" t="s">
        <v>5864</v>
      </c>
      <c r="BL448" s="207" t="s">
        <v>5868</v>
      </c>
      <c r="BM448" s="208">
        <f t="shared" si="591"/>
        <v>64708.07</v>
      </c>
      <c r="BN448" s="160"/>
      <c r="BO448" s="161">
        <f t="shared" si="508"/>
        <v>0</v>
      </c>
      <c r="BP448" s="161"/>
    </row>
    <row r="449" spans="1:68" ht="25.5">
      <c r="A449" s="194" t="s">
        <v>5864</v>
      </c>
      <c r="B449" s="195" t="s">
        <v>5882</v>
      </c>
      <c r="C449" s="196" t="s">
        <v>5883</v>
      </c>
      <c r="D449" s="146" t="s">
        <v>4692</v>
      </c>
      <c r="E449" s="196" t="s">
        <v>5883</v>
      </c>
      <c r="F449" s="150">
        <v>0</v>
      </c>
      <c r="G449" s="209">
        <v>0</v>
      </c>
      <c r="H449" s="209"/>
      <c r="I449" s="209">
        <v>0</v>
      </c>
      <c r="J449" s="150">
        <v>0</v>
      </c>
      <c r="K449" s="150">
        <v>0</v>
      </c>
      <c r="L449" s="150">
        <f t="shared" si="515"/>
        <v>0</v>
      </c>
      <c r="M449" s="150">
        <v>0</v>
      </c>
      <c r="N449" s="150"/>
      <c r="O449" s="150">
        <v>0</v>
      </c>
      <c r="P449" s="150">
        <v>0</v>
      </c>
      <c r="Q449" s="150"/>
      <c r="R449" s="150">
        <f t="shared" si="585"/>
        <v>0</v>
      </c>
      <c r="S449" s="150">
        <f t="shared" si="503"/>
        <v>0</v>
      </c>
      <c r="T449" s="150"/>
      <c r="U449" s="150">
        <v>0</v>
      </c>
      <c r="V449" s="199">
        <v>0</v>
      </c>
      <c r="W449" s="150">
        <f t="shared" si="586"/>
        <v>0</v>
      </c>
      <c r="X449" s="150">
        <v>0</v>
      </c>
      <c r="Y449" s="150">
        <v>0</v>
      </c>
      <c r="Z449" s="150">
        <v>0</v>
      </c>
      <c r="AA449" s="150">
        <f t="shared" si="504"/>
        <v>0</v>
      </c>
      <c r="AB449" s="150">
        <v>0</v>
      </c>
      <c r="AC449" s="199">
        <v>0</v>
      </c>
      <c r="AD449" s="150">
        <f t="shared" si="587"/>
        <v>0</v>
      </c>
      <c r="AE449" s="150">
        <v>0</v>
      </c>
      <c r="AF449" s="169" t="s">
        <v>4680</v>
      </c>
      <c r="AG449" s="201">
        <v>0</v>
      </c>
      <c r="AH449" s="199">
        <v>0</v>
      </c>
      <c r="AI449" s="150">
        <v>0</v>
      </c>
      <c r="AJ449" s="169">
        <f t="shared" si="505"/>
        <v>0</v>
      </c>
      <c r="AK449" s="201">
        <v>0</v>
      </c>
      <c r="AL449" s="199">
        <v>0</v>
      </c>
      <c r="AM449" s="150">
        <f t="shared" si="588"/>
        <v>0</v>
      </c>
      <c r="AN449" s="153">
        <f t="shared" si="506"/>
        <v>0</v>
      </c>
      <c r="AO449" s="154">
        <f t="shared" si="507"/>
        <v>0</v>
      </c>
      <c r="AP449" s="150">
        <v>0</v>
      </c>
      <c r="AQ449" s="201">
        <v>0</v>
      </c>
      <c r="AR449" s="199"/>
      <c r="AS449" s="150">
        <f t="shared" si="589"/>
        <v>0</v>
      </c>
      <c r="AT449" s="155"/>
      <c r="AU449" s="156">
        <f t="shared" si="500"/>
        <v>0</v>
      </c>
      <c r="AV449" s="156">
        <f t="shared" si="501"/>
        <v>0</v>
      </c>
      <c r="AW449" s="157"/>
      <c r="AX449" s="150">
        <v>0</v>
      </c>
      <c r="AY449" s="150">
        <v>0</v>
      </c>
      <c r="AZ449" s="150"/>
      <c r="BA449" s="150">
        <f t="shared" si="502"/>
        <v>0</v>
      </c>
      <c r="BB449" s="202">
        <v>4</v>
      </c>
      <c r="BC449" s="202">
        <v>10</v>
      </c>
      <c r="BD449" s="194" t="s">
        <v>632</v>
      </c>
      <c r="BE449" s="194" t="s">
        <v>632</v>
      </c>
      <c r="BF449" s="194" t="s">
        <v>1896</v>
      </c>
      <c r="BG449" s="203" t="s">
        <v>5883</v>
      </c>
      <c r="BH449" s="216">
        <f t="shared" si="590"/>
        <v>0</v>
      </c>
      <c r="BI449" s="202"/>
      <c r="BJ449" s="194" t="s">
        <v>5867</v>
      </c>
      <c r="BK449" s="194" t="s">
        <v>5864</v>
      </c>
      <c r="BL449" s="207" t="s">
        <v>5868</v>
      </c>
      <c r="BM449" s="208">
        <f t="shared" si="591"/>
        <v>0</v>
      </c>
      <c r="BN449" s="160"/>
      <c r="BO449" s="161">
        <f t="shared" si="508"/>
        <v>0</v>
      </c>
      <c r="BP449" s="161"/>
    </row>
    <row r="450" spans="1:68" ht="38.25">
      <c r="A450" s="194" t="s">
        <v>5864</v>
      </c>
      <c r="B450" s="195" t="s">
        <v>5884</v>
      </c>
      <c r="C450" s="196" t="s">
        <v>5885</v>
      </c>
      <c r="D450" s="146" t="s">
        <v>4692</v>
      </c>
      <c r="E450" s="196" t="s">
        <v>5885</v>
      </c>
      <c r="F450" s="150">
        <v>0</v>
      </c>
      <c r="G450" s="209">
        <v>0</v>
      </c>
      <c r="H450" s="209"/>
      <c r="I450" s="209">
        <v>0</v>
      </c>
      <c r="J450" s="150">
        <v>0</v>
      </c>
      <c r="K450" s="150">
        <v>0</v>
      </c>
      <c r="L450" s="150">
        <f t="shared" si="515"/>
        <v>0</v>
      </c>
      <c r="M450" s="150">
        <v>0</v>
      </c>
      <c r="N450" s="150"/>
      <c r="O450" s="150">
        <v>0</v>
      </c>
      <c r="P450" s="150">
        <v>0</v>
      </c>
      <c r="Q450" s="150"/>
      <c r="R450" s="150">
        <f t="shared" si="585"/>
        <v>0</v>
      </c>
      <c r="S450" s="150">
        <f t="shared" si="503"/>
        <v>0</v>
      </c>
      <c r="T450" s="150"/>
      <c r="U450" s="150">
        <v>0</v>
      </c>
      <c r="V450" s="199">
        <v>0</v>
      </c>
      <c r="W450" s="150">
        <f t="shared" si="586"/>
        <v>0</v>
      </c>
      <c r="X450" s="150">
        <v>0</v>
      </c>
      <c r="Y450" s="150">
        <v>0</v>
      </c>
      <c r="Z450" s="150">
        <v>0</v>
      </c>
      <c r="AA450" s="150">
        <f t="shared" si="504"/>
        <v>0</v>
      </c>
      <c r="AB450" s="150">
        <v>0</v>
      </c>
      <c r="AC450" s="199">
        <v>0</v>
      </c>
      <c r="AD450" s="150">
        <f t="shared" si="587"/>
        <v>0</v>
      </c>
      <c r="AE450" s="150">
        <v>0</v>
      </c>
      <c r="AF450" s="169" t="s">
        <v>4680</v>
      </c>
      <c r="AG450" s="201">
        <v>0</v>
      </c>
      <c r="AH450" s="199">
        <v>0</v>
      </c>
      <c r="AI450" s="150">
        <v>0</v>
      </c>
      <c r="AJ450" s="169">
        <f t="shared" si="505"/>
        <v>0</v>
      </c>
      <c r="AK450" s="201">
        <v>0</v>
      </c>
      <c r="AL450" s="199">
        <v>0</v>
      </c>
      <c r="AM450" s="150">
        <f t="shared" si="588"/>
        <v>0</v>
      </c>
      <c r="AN450" s="153">
        <f t="shared" si="506"/>
        <v>0</v>
      </c>
      <c r="AO450" s="154">
        <f t="shared" si="507"/>
        <v>0</v>
      </c>
      <c r="AP450" s="150">
        <v>0</v>
      </c>
      <c r="AQ450" s="201">
        <v>0</v>
      </c>
      <c r="AR450" s="199"/>
      <c r="AS450" s="150">
        <f t="shared" si="589"/>
        <v>0</v>
      </c>
      <c r="AT450" s="155"/>
      <c r="AU450" s="156">
        <f t="shared" ref="AU450:AU513" si="592">AM450-AD450</f>
        <v>0</v>
      </c>
      <c r="AV450" s="156">
        <f t="shared" ref="AV450:AV513" si="593">AD450-AX450</f>
        <v>0</v>
      </c>
      <c r="AW450" s="157"/>
      <c r="AX450" s="150">
        <v>0</v>
      </c>
      <c r="AY450" s="150">
        <v>0</v>
      </c>
      <c r="AZ450" s="150"/>
      <c r="BA450" s="150">
        <f t="shared" ref="BA450:BA497" si="594">AY450+AZ450</f>
        <v>0</v>
      </c>
      <c r="BB450" s="202">
        <v>4</v>
      </c>
      <c r="BC450" s="202">
        <v>10</v>
      </c>
      <c r="BD450" s="194" t="s">
        <v>632</v>
      </c>
      <c r="BE450" s="194" t="s">
        <v>632</v>
      </c>
      <c r="BF450" s="194" t="s">
        <v>1900</v>
      </c>
      <c r="BG450" s="203" t="s">
        <v>5885</v>
      </c>
      <c r="BH450" s="216">
        <f t="shared" si="590"/>
        <v>0</v>
      </c>
      <c r="BI450" s="202"/>
      <c r="BJ450" s="194" t="s">
        <v>5867</v>
      </c>
      <c r="BK450" s="194" t="s">
        <v>5864</v>
      </c>
      <c r="BL450" s="207" t="s">
        <v>5868</v>
      </c>
      <c r="BM450" s="208">
        <f t="shared" si="591"/>
        <v>0</v>
      </c>
      <c r="BN450" s="160"/>
      <c r="BO450" s="161">
        <f t="shared" si="508"/>
        <v>0</v>
      </c>
      <c r="BP450" s="161"/>
    </row>
    <row r="451" spans="1:68" ht="25.5">
      <c r="A451" s="194" t="s">
        <v>5864</v>
      </c>
      <c r="B451" s="195" t="s">
        <v>5886</v>
      </c>
      <c r="C451" s="196" t="s">
        <v>5887</v>
      </c>
      <c r="D451" s="146" t="s">
        <v>4692</v>
      </c>
      <c r="E451" s="196" t="s">
        <v>5887</v>
      </c>
      <c r="F451" s="150">
        <v>182.27</v>
      </c>
      <c r="G451" s="209">
        <v>0</v>
      </c>
      <c r="H451" s="209">
        <v>4883.0600000000004</v>
      </c>
      <c r="I451" s="209">
        <v>4883.0600000000004</v>
      </c>
      <c r="J451" s="150">
        <v>0</v>
      </c>
      <c r="K451" s="150">
        <v>0</v>
      </c>
      <c r="L451" s="150">
        <f t="shared" si="515"/>
        <v>0</v>
      </c>
      <c r="M451" s="150">
        <v>0</v>
      </c>
      <c r="N451" s="150">
        <v>182.27</v>
      </c>
      <c r="O451" s="150">
        <v>182.27</v>
      </c>
      <c r="P451" s="150">
        <v>0</v>
      </c>
      <c r="Q451" s="150">
        <v>182.27</v>
      </c>
      <c r="R451" s="150">
        <f t="shared" si="585"/>
        <v>182.27</v>
      </c>
      <c r="S451" s="150">
        <f t="shared" ref="S451:S514" si="595">R451/9*12</f>
        <v>243.02666666666667</v>
      </c>
      <c r="T451" s="150"/>
      <c r="U451" s="150">
        <v>0</v>
      </c>
      <c r="V451" s="199">
        <v>182.27</v>
      </c>
      <c r="W451" s="150">
        <f t="shared" si="586"/>
        <v>182.27</v>
      </c>
      <c r="X451" s="150">
        <v>0</v>
      </c>
      <c r="Y451" s="150">
        <v>182.27</v>
      </c>
      <c r="Z451" s="150">
        <v>182.27</v>
      </c>
      <c r="AA451" s="150">
        <f t="shared" ref="AA451:AA514" si="596">AD451-Z451</f>
        <v>0</v>
      </c>
      <c r="AB451" s="150">
        <v>0</v>
      </c>
      <c r="AC451" s="199">
        <v>182.27</v>
      </c>
      <c r="AD451" s="150">
        <f t="shared" si="587"/>
        <v>182.27</v>
      </c>
      <c r="AE451" s="150">
        <v>0</v>
      </c>
      <c r="AF451" s="169" t="s">
        <v>4680</v>
      </c>
      <c r="AG451" s="201">
        <v>0</v>
      </c>
      <c r="AH451" s="199">
        <v>0</v>
      </c>
      <c r="AI451" s="150">
        <v>0</v>
      </c>
      <c r="AJ451" s="169">
        <f t="shared" ref="AJ451:AJ514" si="597">AM451-AI451</f>
        <v>0</v>
      </c>
      <c r="AK451" s="201">
        <v>0</v>
      </c>
      <c r="AL451" s="199">
        <v>0</v>
      </c>
      <c r="AM451" s="150">
        <f t="shared" si="588"/>
        <v>0</v>
      </c>
      <c r="AN451" s="153">
        <f t="shared" ref="AN451:AN513" si="598">AS451-AM451</f>
        <v>0</v>
      </c>
      <c r="AO451" s="154">
        <f t="shared" ref="AO451:AO514" si="599">AS451-AP451</f>
        <v>0</v>
      </c>
      <c r="AP451" s="150">
        <v>0</v>
      </c>
      <c r="AQ451" s="201">
        <v>0</v>
      </c>
      <c r="AR451" s="199"/>
      <c r="AS451" s="150">
        <f t="shared" si="589"/>
        <v>0</v>
      </c>
      <c r="AT451" s="155"/>
      <c r="AU451" s="156">
        <f t="shared" si="592"/>
        <v>-182.27</v>
      </c>
      <c r="AV451" s="156">
        <f t="shared" si="593"/>
        <v>0</v>
      </c>
      <c r="AW451" s="157"/>
      <c r="AX451" s="150">
        <v>182.27</v>
      </c>
      <c r="AY451" s="150">
        <v>0</v>
      </c>
      <c r="AZ451" s="150"/>
      <c r="BA451" s="150">
        <f t="shared" si="594"/>
        <v>0</v>
      </c>
      <c r="BB451" s="202">
        <v>4</v>
      </c>
      <c r="BC451" s="202">
        <v>10</v>
      </c>
      <c r="BD451" s="194" t="s">
        <v>632</v>
      </c>
      <c r="BE451" s="194" t="s">
        <v>632</v>
      </c>
      <c r="BF451" s="194" t="s">
        <v>1904</v>
      </c>
      <c r="BG451" s="203" t="s">
        <v>5887</v>
      </c>
      <c r="BH451" s="216">
        <f t="shared" si="590"/>
        <v>0</v>
      </c>
      <c r="BI451" s="202"/>
      <c r="BJ451" s="194" t="s">
        <v>5867</v>
      </c>
      <c r="BK451" s="194" t="s">
        <v>5864</v>
      </c>
      <c r="BL451" s="207" t="s">
        <v>5868</v>
      </c>
      <c r="BM451" s="208">
        <f t="shared" si="591"/>
        <v>0</v>
      </c>
      <c r="BN451" s="160"/>
      <c r="BO451" s="161">
        <f t="shared" si="508"/>
        <v>0</v>
      </c>
      <c r="BP451" s="161"/>
    </row>
    <row r="452" spans="1:68" ht="51">
      <c r="A452" s="194" t="s">
        <v>5864</v>
      </c>
      <c r="B452" s="195" t="s">
        <v>5888</v>
      </c>
      <c r="C452" s="196" t="s">
        <v>5889</v>
      </c>
      <c r="D452" s="146" t="s">
        <v>4692</v>
      </c>
      <c r="E452" s="196" t="s">
        <v>5890</v>
      </c>
      <c r="F452" s="150">
        <v>64431.56</v>
      </c>
      <c r="G452" s="209">
        <v>0</v>
      </c>
      <c r="H452" s="209">
        <v>77707.209999999992</v>
      </c>
      <c r="I452" s="209">
        <v>77707.209999999992</v>
      </c>
      <c r="J452" s="150">
        <v>0</v>
      </c>
      <c r="K452" s="150">
        <v>4883.0600000000004</v>
      </c>
      <c r="L452" s="150">
        <f t="shared" si="515"/>
        <v>4883.0600000000004</v>
      </c>
      <c r="M452" s="150">
        <v>0</v>
      </c>
      <c r="N452" s="150">
        <v>11365.54</v>
      </c>
      <c r="O452" s="150">
        <v>11365.54</v>
      </c>
      <c r="P452" s="150">
        <v>0</v>
      </c>
      <c r="Q452" s="150">
        <v>20395.12</v>
      </c>
      <c r="R452" s="150">
        <f t="shared" si="585"/>
        <v>20395.12</v>
      </c>
      <c r="S452" s="150">
        <f t="shared" si="595"/>
        <v>27193.493333333332</v>
      </c>
      <c r="T452" s="150"/>
      <c r="U452" s="150">
        <v>0</v>
      </c>
      <c r="V452" s="199">
        <v>9798.93</v>
      </c>
      <c r="W452" s="150">
        <f t="shared" si="586"/>
        <v>9798.93</v>
      </c>
      <c r="X452" s="150">
        <v>0</v>
      </c>
      <c r="Y452" s="150">
        <v>9798.93</v>
      </c>
      <c r="Z452" s="150">
        <v>9798.93</v>
      </c>
      <c r="AA452" s="150">
        <f t="shared" si="596"/>
        <v>0</v>
      </c>
      <c r="AB452" s="150">
        <v>0</v>
      </c>
      <c r="AC452" s="199">
        <v>9798.93</v>
      </c>
      <c r="AD452" s="150">
        <f t="shared" si="587"/>
        <v>9798.93</v>
      </c>
      <c r="AE452" s="150">
        <v>12091.95</v>
      </c>
      <c r="AF452" s="169" t="s">
        <v>4680</v>
      </c>
      <c r="AG452" s="201">
        <v>0</v>
      </c>
      <c r="AH452" s="199">
        <v>12091.95</v>
      </c>
      <c r="AI452" s="150">
        <v>12091.95</v>
      </c>
      <c r="AJ452" s="169">
        <f t="shared" si="597"/>
        <v>0</v>
      </c>
      <c r="AK452" s="201">
        <v>0</v>
      </c>
      <c r="AL452" s="199">
        <v>12091.95</v>
      </c>
      <c r="AM452" s="150">
        <f t="shared" si="588"/>
        <v>12091.95</v>
      </c>
      <c r="AN452" s="153">
        <f t="shared" si="598"/>
        <v>0</v>
      </c>
      <c r="AO452" s="154">
        <f t="shared" si="599"/>
        <v>0</v>
      </c>
      <c r="AP452" s="150">
        <v>12091.95</v>
      </c>
      <c r="AQ452" s="201">
        <v>12091.95</v>
      </c>
      <c r="AR452" s="199"/>
      <c r="AS452" s="150">
        <f t="shared" si="589"/>
        <v>12091.95</v>
      </c>
      <c r="AT452" s="155"/>
      <c r="AU452" s="156">
        <f t="shared" si="592"/>
        <v>2293.0200000000004</v>
      </c>
      <c r="AV452" s="156">
        <f t="shared" si="593"/>
        <v>0</v>
      </c>
      <c r="AW452" s="157"/>
      <c r="AX452" s="150">
        <v>9798.93</v>
      </c>
      <c r="AY452" s="150">
        <v>0</v>
      </c>
      <c r="AZ452" s="150"/>
      <c r="BA452" s="150">
        <f t="shared" si="594"/>
        <v>0</v>
      </c>
      <c r="BB452" s="202">
        <v>4</v>
      </c>
      <c r="BC452" s="202">
        <v>10</v>
      </c>
      <c r="BD452" s="194" t="s">
        <v>632</v>
      </c>
      <c r="BE452" s="194" t="s">
        <v>632</v>
      </c>
      <c r="BF452" s="194" t="s">
        <v>1908</v>
      </c>
      <c r="BG452" s="203" t="s">
        <v>5891</v>
      </c>
      <c r="BH452" s="216">
        <f t="shared" si="590"/>
        <v>12091.95</v>
      </c>
      <c r="BI452" s="202"/>
      <c r="BJ452" s="194" t="s">
        <v>5867</v>
      </c>
      <c r="BK452" s="194" t="s">
        <v>5864</v>
      </c>
      <c r="BL452" s="207" t="s">
        <v>5868</v>
      </c>
      <c r="BM452" s="208">
        <f t="shared" si="591"/>
        <v>12091.95</v>
      </c>
      <c r="BN452" s="160"/>
      <c r="BO452" s="161">
        <f t="shared" ref="BO452:BO502" si="600">BM452-AS452</f>
        <v>0</v>
      </c>
      <c r="BP452" s="161"/>
    </row>
    <row r="453" spans="1:68" ht="25.5">
      <c r="A453" s="194" t="s">
        <v>5864</v>
      </c>
      <c r="B453" s="195" t="s">
        <v>5892</v>
      </c>
      <c r="C453" s="196" t="s">
        <v>5893</v>
      </c>
      <c r="D453" s="146" t="s">
        <v>4692</v>
      </c>
      <c r="E453" s="196" t="s">
        <v>5893</v>
      </c>
      <c r="F453" s="150">
        <v>77707.210000000006</v>
      </c>
      <c r="G453" s="209">
        <v>0</v>
      </c>
      <c r="H453" s="209"/>
      <c r="I453" s="209">
        <v>0</v>
      </c>
      <c r="J453" s="150">
        <v>0</v>
      </c>
      <c r="K453" s="150">
        <v>77707.209999999992</v>
      </c>
      <c r="L453" s="150">
        <f t="shared" si="515"/>
        <v>77707.209999999992</v>
      </c>
      <c r="M453" s="150">
        <v>0</v>
      </c>
      <c r="N453" s="150">
        <v>129046.73</v>
      </c>
      <c r="O453" s="150">
        <v>129046.73</v>
      </c>
      <c r="P453" s="150">
        <v>0</v>
      </c>
      <c r="Q453" s="150">
        <v>117139.75</v>
      </c>
      <c r="R453" s="150">
        <f t="shared" si="585"/>
        <v>117139.75</v>
      </c>
      <c r="S453" s="150">
        <f t="shared" si="595"/>
        <v>156186.33333333331</v>
      </c>
      <c r="T453" s="150"/>
      <c r="U453" s="150">
        <v>0</v>
      </c>
      <c r="V453" s="199">
        <f>120900.25+1583.12</f>
        <v>122483.37</v>
      </c>
      <c r="W453" s="150">
        <f t="shared" si="586"/>
        <v>122483.37</v>
      </c>
      <c r="X453" s="150">
        <v>0</v>
      </c>
      <c r="Y453" s="150">
        <v>122483.37</v>
      </c>
      <c r="Z453" s="150">
        <v>122483.37</v>
      </c>
      <c r="AA453" s="150">
        <f t="shared" si="596"/>
        <v>0</v>
      </c>
      <c r="AB453" s="150">
        <v>0</v>
      </c>
      <c r="AC453" s="199">
        <v>122483.37</v>
      </c>
      <c r="AD453" s="150">
        <f t="shared" si="587"/>
        <v>122483.37</v>
      </c>
      <c r="AE453" s="150">
        <v>118872.3</v>
      </c>
      <c r="AF453" s="169" t="s">
        <v>4680</v>
      </c>
      <c r="AG453" s="201">
        <v>0</v>
      </c>
      <c r="AH453" s="199">
        <v>118872.3</v>
      </c>
      <c r="AI453" s="150">
        <v>118872.3</v>
      </c>
      <c r="AJ453" s="169">
        <f t="shared" si="597"/>
        <v>0</v>
      </c>
      <c r="AK453" s="201">
        <v>0</v>
      </c>
      <c r="AL453" s="199">
        <v>118872.3</v>
      </c>
      <c r="AM453" s="150">
        <f t="shared" si="588"/>
        <v>118872.3</v>
      </c>
      <c r="AN453" s="153">
        <f t="shared" si="598"/>
        <v>0</v>
      </c>
      <c r="AO453" s="154">
        <f t="shared" si="599"/>
        <v>0</v>
      </c>
      <c r="AP453" s="150">
        <v>118872.3</v>
      </c>
      <c r="AQ453" s="201">
        <v>118872.3</v>
      </c>
      <c r="AR453" s="199"/>
      <c r="AS453" s="150">
        <f t="shared" si="589"/>
        <v>118872.3</v>
      </c>
      <c r="AT453" s="155"/>
      <c r="AU453" s="156">
        <f t="shared" si="592"/>
        <v>-3611.0699999999924</v>
      </c>
      <c r="AV453" s="156">
        <f t="shared" si="593"/>
        <v>0</v>
      </c>
      <c r="AW453" s="157"/>
      <c r="AX453" s="150">
        <v>122483.37</v>
      </c>
      <c r="AY453" s="150">
        <v>0</v>
      </c>
      <c r="AZ453" s="150"/>
      <c r="BA453" s="150">
        <f t="shared" si="594"/>
        <v>0</v>
      </c>
      <c r="BB453" s="202">
        <v>4</v>
      </c>
      <c r="BC453" s="202">
        <v>10</v>
      </c>
      <c r="BD453" s="194" t="s">
        <v>632</v>
      </c>
      <c r="BE453" s="194" t="s">
        <v>632</v>
      </c>
      <c r="BF453" s="194" t="s">
        <v>1912</v>
      </c>
      <c r="BG453" s="203" t="s">
        <v>5893</v>
      </c>
      <c r="BH453" s="216">
        <f t="shared" si="590"/>
        <v>118872.3</v>
      </c>
      <c r="BI453" s="285"/>
      <c r="BJ453" s="194" t="s">
        <v>5867</v>
      </c>
      <c r="BK453" s="194" t="s">
        <v>5864</v>
      </c>
      <c r="BL453" s="207" t="s">
        <v>5868</v>
      </c>
      <c r="BM453" s="208">
        <f t="shared" si="591"/>
        <v>118872.3</v>
      </c>
      <c r="BN453" s="160"/>
      <c r="BO453" s="161">
        <f t="shared" si="600"/>
        <v>0</v>
      </c>
      <c r="BP453" s="161"/>
    </row>
    <row r="454" spans="1:68" ht="63.75">
      <c r="A454" s="194" t="s">
        <v>5864</v>
      </c>
      <c r="B454" s="195" t="s">
        <v>5894</v>
      </c>
      <c r="C454" s="196" t="s">
        <v>5895</v>
      </c>
      <c r="D454" s="146" t="s">
        <v>4692</v>
      </c>
      <c r="E454" s="196" t="s">
        <v>5895</v>
      </c>
      <c r="F454" s="150">
        <v>0</v>
      </c>
      <c r="G454" s="209">
        <v>0</v>
      </c>
      <c r="H454" s="209"/>
      <c r="I454" s="209">
        <v>0</v>
      </c>
      <c r="J454" s="150">
        <v>0</v>
      </c>
      <c r="K454" s="150">
        <v>0</v>
      </c>
      <c r="L454" s="150">
        <f t="shared" si="515"/>
        <v>0</v>
      </c>
      <c r="M454" s="150">
        <v>0</v>
      </c>
      <c r="N454" s="150"/>
      <c r="O454" s="150">
        <v>0</v>
      </c>
      <c r="P454" s="150">
        <v>0</v>
      </c>
      <c r="Q454" s="150"/>
      <c r="R454" s="150">
        <f t="shared" si="585"/>
        <v>0</v>
      </c>
      <c r="S454" s="150">
        <f t="shared" si="595"/>
        <v>0</v>
      </c>
      <c r="T454" s="150"/>
      <c r="U454" s="150">
        <v>0</v>
      </c>
      <c r="V454" s="199">
        <v>0</v>
      </c>
      <c r="W454" s="150">
        <f t="shared" si="586"/>
        <v>0</v>
      </c>
      <c r="X454" s="150">
        <v>0</v>
      </c>
      <c r="Y454" s="150">
        <v>0</v>
      </c>
      <c r="Z454" s="150">
        <v>0</v>
      </c>
      <c r="AA454" s="150">
        <f t="shared" si="596"/>
        <v>0</v>
      </c>
      <c r="AB454" s="150">
        <v>0</v>
      </c>
      <c r="AC454" s="199">
        <v>0</v>
      </c>
      <c r="AD454" s="150">
        <f t="shared" si="587"/>
        <v>0</v>
      </c>
      <c r="AE454" s="150">
        <v>0</v>
      </c>
      <c r="AF454" s="169" t="s">
        <v>4680</v>
      </c>
      <c r="AG454" s="201">
        <v>0</v>
      </c>
      <c r="AH454" s="199">
        <v>0</v>
      </c>
      <c r="AI454" s="150">
        <v>0</v>
      </c>
      <c r="AJ454" s="169">
        <f t="shared" si="597"/>
        <v>0</v>
      </c>
      <c r="AK454" s="201">
        <v>0</v>
      </c>
      <c r="AL454" s="199">
        <v>0</v>
      </c>
      <c r="AM454" s="150">
        <f t="shared" si="588"/>
        <v>0</v>
      </c>
      <c r="AN454" s="153">
        <f t="shared" si="598"/>
        <v>0</v>
      </c>
      <c r="AO454" s="154">
        <f t="shared" si="599"/>
        <v>0</v>
      </c>
      <c r="AP454" s="150">
        <v>0</v>
      </c>
      <c r="AQ454" s="201">
        <v>0</v>
      </c>
      <c r="AR454" s="199"/>
      <c r="AS454" s="150">
        <f t="shared" si="589"/>
        <v>0</v>
      </c>
      <c r="AT454" s="155"/>
      <c r="AU454" s="156">
        <f t="shared" si="592"/>
        <v>0</v>
      </c>
      <c r="AV454" s="156">
        <f t="shared" si="593"/>
        <v>0</v>
      </c>
      <c r="AW454" s="157"/>
      <c r="AX454" s="150">
        <v>0</v>
      </c>
      <c r="AY454" s="150">
        <v>0</v>
      </c>
      <c r="AZ454" s="150"/>
      <c r="BA454" s="150">
        <f t="shared" si="594"/>
        <v>0</v>
      </c>
      <c r="BB454" s="202">
        <v>4</v>
      </c>
      <c r="BC454" s="202">
        <v>10</v>
      </c>
      <c r="BD454" s="194" t="s">
        <v>632</v>
      </c>
      <c r="BE454" s="194" t="s">
        <v>632</v>
      </c>
      <c r="BF454" s="194" t="s">
        <v>1920</v>
      </c>
      <c r="BG454" s="203" t="s">
        <v>5895</v>
      </c>
      <c r="BH454" s="216">
        <f t="shared" si="590"/>
        <v>0</v>
      </c>
      <c r="BI454" s="202"/>
      <c r="BJ454" s="194" t="s">
        <v>5867</v>
      </c>
      <c r="BK454" s="194" t="s">
        <v>5864</v>
      </c>
      <c r="BL454" s="207" t="s">
        <v>5868</v>
      </c>
      <c r="BM454" s="208">
        <f t="shared" si="591"/>
        <v>0</v>
      </c>
      <c r="BN454" s="160"/>
      <c r="BO454" s="161">
        <f t="shared" si="600"/>
        <v>0</v>
      </c>
      <c r="BP454" s="161"/>
    </row>
    <row r="455" spans="1:68" ht="63.75">
      <c r="A455" s="194" t="s">
        <v>5864</v>
      </c>
      <c r="B455" s="195" t="s">
        <v>5896</v>
      </c>
      <c r="C455" s="196" t="s">
        <v>5897</v>
      </c>
      <c r="D455" s="146" t="s">
        <v>4692</v>
      </c>
      <c r="E455" s="196" t="s">
        <v>5897</v>
      </c>
      <c r="F455" s="150">
        <v>0</v>
      </c>
      <c r="G455" s="209">
        <v>0</v>
      </c>
      <c r="H455" s="209"/>
      <c r="I455" s="209">
        <v>0</v>
      </c>
      <c r="J455" s="150">
        <v>0</v>
      </c>
      <c r="K455" s="150">
        <v>0</v>
      </c>
      <c r="L455" s="150">
        <f t="shared" si="515"/>
        <v>0</v>
      </c>
      <c r="M455" s="150">
        <v>0</v>
      </c>
      <c r="N455" s="150"/>
      <c r="O455" s="150">
        <v>0</v>
      </c>
      <c r="P455" s="150">
        <v>0</v>
      </c>
      <c r="Q455" s="150"/>
      <c r="R455" s="150">
        <f t="shared" si="585"/>
        <v>0</v>
      </c>
      <c r="S455" s="150">
        <f t="shared" si="595"/>
        <v>0</v>
      </c>
      <c r="T455" s="150"/>
      <c r="U455" s="150">
        <v>0</v>
      </c>
      <c r="V455" s="199">
        <v>0</v>
      </c>
      <c r="W455" s="150">
        <f t="shared" si="586"/>
        <v>0</v>
      </c>
      <c r="X455" s="150">
        <v>0</v>
      </c>
      <c r="Y455" s="150">
        <v>0</v>
      </c>
      <c r="Z455" s="150">
        <v>0</v>
      </c>
      <c r="AA455" s="150">
        <f t="shared" si="596"/>
        <v>0</v>
      </c>
      <c r="AB455" s="150">
        <v>0</v>
      </c>
      <c r="AC455" s="199">
        <v>0</v>
      </c>
      <c r="AD455" s="150">
        <f t="shared" si="587"/>
        <v>0</v>
      </c>
      <c r="AE455" s="150">
        <v>0</v>
      </c>
      <c r="AF455" s="169" t="s">
        <v>4680</v>
      </c>
      <c r="AG455" s="201">
        <v>0</v>
      </c>
      <c r="AH455" s="199">
        <v>0</v>
      </c>
      <c r="AI455" s="150">
        <v>0</v>
      </c>
      <c r="AJ455" s="169">
        <f t="shared" si="597"/>
        <v>0</v>
      </c>
      <c r="AK455" s="201">
        <v>0</v>
      </c>
      <c r="AL455" s="199">
        <v>0</v>
      </c>
      <c r="AM455" s="150">
        <f t="shared" si="588"/>
        <v>0</v>
      </c>
      <c r="AN455" s="153">
        <f t="shared" si="598"/>
        <v>0</v>
      </c>
      <c r="AO455" s="154">
        <f t="shared" si="599"/>
        <v>0</v>
      </c>
      <c r="AP455" s="150">
        <v>0</v>
      </c>
      <c r="AQ455" s="201">
        <v>0</v>
      </c>
      <c r="AR455" s="199"/>
      <c r="AS455" s="150">
        <f t="shared" si="589"/>
        <v>0</v>
      </c>
      <c r="AT455" s="155"/>
      <c r="AU455" s="156">
        <f t="shared" si="592"/>
        <v>0</v>
      </c>
      <c r="AV455" s="156">
        <f t="shared" si="593"/>
        <v>0</v>
      </c>
      <c r="AW455" s="157"/>
      <c r="AX455" s="150">
        <v>0</v>
      </c>
      <c r="AY455" s="150">
        <v>0</v>
      </c>
      <c r="AZ455" s="150"/>
      <c r="BA455" s="150">
        <f t="shared" si="594"/>
        <v>0</v>
      </c>
      <c r="BB455" s="202">
        <v>4</v>
      </c>
      <c r="BC455" s="202">
        <v>10</v>
      </c>
      <c r="BD455" s="194" t="s">
        <v>632</v>
      </c>
      <c r="BE455" s="194" t="s">
        <v>632</v>
      </c>
      <c r="BF455" s="194" t="s">
        <v>5898</v>
      </c>
      <c r="BG455" s="203" t="s">
        <v>5897</v>
      </c>
      <c r="BH455" s="216">
        <f t="shared" si="590"/>
        <v>0</v>
      </c>
      <c r="BI455" s="202"/>
      <c r="BJ455" s="194" t="s">
        <v>5867</v>
      </c>
      <c r="BK455" s="194" t="s">
        <v>5864</v>
      </c>
      <c r="BL455" s="207" t="s">
        <v>5868</v>
      </c>
      <c r="BM455" s="208">
        <f t="shared" si="591"/>
        <v>0</v>
      </c>
      <c r="BN455" s="160"/>
      <c r="BO455" s="161">
        <f t="shared" si="600"/>
        <v>0</v>
      </c>
      <c r="BP455" s="161"/>
    </row>
    <row r="456" spans="1:68" ht="38.25">
      <c r="A456" s="194" t="s">
        <v>5864</v>
      </c>
      <c r="B456" s="195" t="s">
        <v>5899</v>
      </c>
      <c r="C456" s="196" t="s">
        <v>5900</v>
      </c>
      <c r="D456" s="146" t="s">
        <v>4692</v>
      </c>
      <c r="E456" s="196" t="s">
        <v>5900</v>
      </c>
      <c r="F456" s="150">
        <v>0</v>
      </c>
      <c r="G456" s="209">
        <v>0</v>
      </c>
      <c r="H456" s="209"/>
      <c r="I456" s="209">
        <v>0</v>
      </c>
      <c r="J456" s="150">
        <v>0</v>
      </c>
      <c r="K456" s="150">
        <v>0</v>
      </c>
      <c r="L456" s="150">
        <f t="shared" ref="L456:L520" si="601">J456+K456</f>
        <v>0</v>
      </c>
      <c r="M456" s="150">
        <v>0</v>
      </c>
      <c r="N456" s="150"/>
      <c r="O456" s="150">
        <v>0</v>
      </c>
      <c r="P456" s="150">
        <v>0</v>
      </c>
      <c r="Q456" s="150"/>
      <c r="R456" s="150">
        <f t="shared" si="585"/>
        <v>0</v>
      </c>
      <c r="S456" s="150">
        <f t="shared" si="595"/>
        <v>0</v>
      </c>
      <c r="T456" s="150"/>
      <c r="U456" s="150">
        <v>0</v>
      </c>
      <c r="V456" s="199">
        <v>0</v>
      </c>
      <c r="W456" s="150">
        <f t="shared" si="586"/>
        <v>0</v>
      </c>
      <c r="X456" s="150">
        <v>0</v>
      </c>
      <c r="Y456" s="150">
        <v>0</v>
      </c>
      <c r="Z456" s="150">
        <v>0</v>
      </c>
      <c r="AA456" s="150">
        <f t="shared" si="596"/>
        <v>0</v>
      </c>
      <c r="AB456" s="150">
        <v>0</v>
      </c>
      <c r="AC456" s="199">
        <v>0</v>
      </c>
      <c r="AD456" s="150">
        <f t="shared" si="587"/>
        <v>0</v>
      </c>
      <c r="AE456" s="150">
        <v>0</v>
      </c>
      <c r="AF456" s="169" t="s">
        <v>4680</v>
      </c>
      <c r="AG456" s="201">
        <v>0</v>
      </c>
      <c r="AH456" s="199">
        <v>0</v>
      </c>
      <c r="AI456" s="150">
        <v>0</v>
      </c>
      <c r="AJ456" s="169">
        <f t="shared" si="597"/>
        <v>0</v>
      </c>
      <c r="AK456" s="201">
        <v>0</v>
      </c>
      <c r="AL456" s="199">
        <v>0</v>
      </c>
      <c r="AM456" s="150">
        <f t="shared" si="588"/>
        <v>0</v>
      </c>
      <c r="AN456" s="153">
        <f t="shared" si="598"/>
        <v>0</v>
      </c>
      <c r="AO456" s="154">
        <f t="shared" si="599"/>
        <v>0</v>
      </c>
      <c r="AP456" s="150">
        <v>0</v>
      </c>
      <c r="AQ456" s="201">
        <v>0</v>
      </c>
      <c r="AR456" s="199"/>
      <c r="AS456" s="150">
        <f t="shared" si="589"/>
        <v>0</v>
      </c>
      <c r="AT456" s="155"/>
      <c r="AU456" s="156">
        <f t="shared" si="592"/>
        <v>0</v>
      </c>
      <c r="AV456" s="156">
        <f t="shared" si="593"/>
        <v>0</v>
      </c>
      <c r="AW456" s="157"/>
      <c r="AX456" s="150">
        <v>0</v>
      </c>
      <c r="AY456" s="150">
        <v>0</v>
      </c>
      <c r="AZ456" s="150"/>
      <c r="BA456" s="150">
        <f t="shared" si="594"/>
        <v>0</v>
      </c>
      <c r="BB456" s="202">
        <v>4</v>
      </c>
      <c r="BC456" s="202">
        <v>10</v>
      </c>
      <c r="BD456" s="194" t="s">
        <v>632</v>
      </c>
      <c r="BE456" s="194" t="s">
        <v>632</v>
      </c>
      <c r="BF456" s="194" t="s">
        <v>5901</v>
      </c>
      <c r="BG456" s="203" t="s">
        <v>5900</v>
      </c>
      <c r="BH456" s="216">
        <f t="shared" si="590"/>
        <v>0</v>
      </c>
      <c r="BI456" s="202"/>
      <c r="BJ456" s="194" t="s">
        <v>5867</v>
      </c>
      <c r="BK456" s="194" t="s">
        <v>5864</v>
      </c>
      <c r="BL456" s="207" t="s">
        <v>5868</v>
      </c>
      <c r="BM456" s="208">
        <f t="shared" si="591"/>
        <v>0</v>
      </c>
      <c r="BN456" s="160"/>
      <c r="BO456" s="161">
        <f t="shared" si="600"/>
        <v>0</v>
      </c>
      <c r="BP456" s="161"/>
    </row>
    <row r="457" spans="1:68" ht="63.75">
      <c r="A457" s="194" t="s">
        <v>5902</v>
      </c>
      <c r="B457" s="195" t="s">
        <v>5903</v>
      </c>
      <c r="C457" s="196" t="s">
        <v>1185</v>
      </c>
      <c r="D457" s="146" t="s">
        <v>4692</v>
      </c>
      <c r="E457" s="196" t="s">
        <v>1185</v>
      </c>
      <c r="F457" s="150">
        <v>0</v>
      </c>
      <c r="G457" s="209">
        <v>0</v>
      </c>
      <c r="H457" s="209"/>
      <c r="I457" s="209">
        <v>0</v>
      </c>
      <c r="J457" s="150">
        <v>0</v>
      </c>
      <c r="K457" s="150">
        <v>0</v>
      </c>
      <c r="L457" s="150">
        <f t="shared" si="601"/>
        <v>0</v>
      </c>
      <c r="M457" s="150">
        <v>0</v>
      </c>
      <c r="N457" s="150"/>
      <c r="O457" s="150">
        <v>0</v>
      </c>
      <c r="P457" s="150">
        <v>0</v>
      </c>
      <c r="Q457" s="150"/>
      <c r="R457" s="150">
        <f t="shared" si="585"/>
        <v>0</v>
      </c>
      <c r="S457" s="150">
        <f t="shared" si="595"/>
        <v>0</v>
      </c>
      <c r="T457" s="150"/>
      <c r="U457" s="150">
        <v>0</v>
      </c>
      <c r="V457" s="199">
        <v>0</v>
      </c>
      <c r="W457" s="150">
        <f t="shared" si="586"/>
        <v>0</v>
      </c>
      <c r="X457" s="150">
        <v>0</v>
      </c>
      <c r="Y457" s="150">
        <v>0</v>
      </c>
      <c r="Z457" s="150">
        <v>0</v>
      </c>
      <c r="AA457" s="150">
        <f t="shared" si="596"/>
        <v>0</v>
      </c>
      <c r="AB457" s="150">
        <v>0</v>
      </c>
      <c r="AC457" s="199">
        <v>0</v>
      </c>
      <c r="AD457" s="150">
        <f t="shared" si="587"/>
        <v>0</v>
      </c>
      <c r="AE457" s="150">
        <v>0</v>
      </c>
      <c r="AF457" s="169" t="s">
        <v>4680</v>
      </c>
      <c r="AG457" s="201">
        <v>0</v>
      </c>
      <c r="AH457" s="199">
        <v>0</v>
      </c>
      <c r="AI457" s="150">
        <v>0</v>
      </c>
      <c r="AJ457" s="169">
        <f t="shared" si="597"/>
        <v>0</v>
      </c>
      <c r="AK457" s="201">
        <v>0</v>
      </c>
      <c r="AL457" s="199">
        <v>0</v>
      </c>
      <c r="AM457" s="150">
        <f t="shared" si="588"/>
        <v>0</v>
      </c>
      <c r="AN457" s="153">
        <f t="shared" si="598"/>
        <v>0</v>
      </c>
      <c r="AO457" s="154">
        <f t="shared" si="599"/>
        <v>0</v>
      </c>
      <c r="AP457" s="150">
        <v>0</v>
      </c>
      <c r="AQ457" s="201">
        <v>0</v>
      </c>
      <c r="AR457" s="199"/>
      <c r="AS457" s="150">
        <f t="shared" si="589"/>
        <v>0</v>
      </c>
      <c r="AT457" s="155"/>
      <c r="AU457" s="156">
        <f t="shared" si="592"/>
        <v>0</v>
      </c>
      <c r="AV457" s="156">
        <f t="shared" si="593"/>
        <v>0</v>
      </c>
      <c r="AW457" s="157"/>
      <c r="AX457" s="150">
        <v>0</v>
      </c>
      <c r="AY457" s="150">
        <v>0</v>
      </c>
      <c r="AZ457" s="150"/>
      <c r="BA457" s="150">
        <f t="shared" si="594"/>
        <v>0</v>
      </c>
      <c r="BB457" s="202">
        <v>4</v>
      </c>
      <c r="BC457" s="202">
        <v>10</v>
      </c>
      <c r="BD457" s="194" t="s">
        <v>632</v>
      </c>
      <c r="BE457" s="194" t="s">
        <v>632</v>
      </c>
      <c r="BF457" s="194" t="s">
        <v>766</v>
      </c>
      <c r="BG457" s="203" t="s">
        <v>1186</v>
      </c>
      <c r="BH457" s="216">
        <f t="shared" si="590"/>
        <v>0</v>
      </c>
      <c r="BI457" s="285"/>
      <c r="BJ457" s="194" t="s">
        <v>5904</v>
      </c>
      <c r="BK457" s="194" t="s">
        <v>5902</v>
      </c>
      <c r="BL457" s="207" t="s">
        <v>5905</v>
      </c>
      <c r="BM457" s="208">
        <f t="shared" si="591"/>
        <v>0</v>
      </c>
      <c r="BN457" s="160"/>
      <c r="BO457" s="161">
        <f t="shared" si="600"/>
        <v>0</v>
      </c>
      <c r="BP457" s="161"/>
    </row>
    <row r="458" spans="1:68" ht="63.75">
      <c r="A458" s="194" t="s">
        <v>5902</v>
      </c>
      <c r="B458" s="195" t="s">
        <v>5906</v>
      </c>
      <c r="C458" s="196" t="s">
        <v>5907</v>
      </c>
      <c r="D458" s="146" t="s">
        <v>4692</v>
      </c>
      <c r="E458" s="196" t="s">
        <v>5907</v>
      </c>
      <c r="F458" s="150">
        <v>0</v>
      </c>
      <c r="G458" s="209">
        <v>0</v>
      </c>
      <c r="H458" s="209"/>
      <c r="I458" s="209">
        <v>0</v>
      </c>
      <c r="J458" s="150">
        <v>0</v>
      </c>
      <c r="K458" s="150">
        <v>0</v>
      </c>
      <c r="L458" s="150">
        <f t="shared" si="601"/>
        <v>0</v>
      </c>
      <c r="M458" s="150">
        <v>0</v>
      </c>
      <c r="N458" s="150"/>
      <c r="O458" s="150">
        <v>0</v>
      </c>
      <c r="P458" s="150">
        <v>0</v>
      </c>
      <c r="Q458" s="150"/>
      <c r="R458" s="150">
        <f t="shared" si="585"/>
        <v>0</v>
      </c>
      <c r="S458" s="150">
        <f t="shared" si="595"/>
        <v>0</v>
      </c>
      <c r="T458" s="150"/>
      <c r="U458" s="150">
        <v>0</v>
      </c>
      <c r="V458" s="199">
        <v>0</v>
      </c>
      <c r="W458" s="150">
        <f t="shared" si="586"/>
        <v>0</v>
      </c>
      <c r="X458" s="150">
        <v>0</v>
      </c>
      <c r="Y458" s="150">
        <v>0</v>
      </c>
      <c r="Z458" s="150">
        <v>0</v>
      </c>
      <c r="AA458" s="150">
        <f t="shared" si="596"/>
        <v>0</v>
      </c>
      <c r="AB458" s="150">
        <v>0</v>
      </c>
      <c r="AC458" s="199">
        <v>0</v>
      </c>
      <c r="AD458" s="150">
        <f t="shared" si="587"/>
        <v>0</v>
      </c>
      <c r="AE458" s="150">
        <v>0</v>
      </c>
      <c r="AF458" s="169" t="s">
        <v>4680</v>
      </c>
      <c r="AG458" s="201">
        <v>0</v>
      </c>
      <c r="AH458" s="199">
        <v>0</v>
      </c>
      <c r="AI458" s="150">
        <v>0</v>
      </c>
      <c r="AJ458" s="169">
        <f t="shared" si="597"/>
        <v>0</v>
      </c>
      <c r="AK458" s="201">
        <v>0</v>
      </c>
      <c r="AL458" s="199">
        <v>0</v>
      </c>
      <c r="AM458" s="150">
        <f t="shared" si="588"/>
        <v>0</v>
      </c>
      <c r="AN458" s="153">
        <f t="shared" si="598"/>
        <v>0</v>
      </c>
      <c r="AO458" s="154">
        <f t="shared" si="599"/>
        <v>0</v>
      </c>
      <c r="AP458" s="150">
        <v>0</v>
      </c>
      <c r="AQ458" s="201">
        <v>0</v>
      </c>
      <c r="AR458" s="199"/>
      <c r="AS458" s="150">
        <f t="shared" si="589"/>
        <v>0</v>
      </c>
      <c r="AT458" s="155"/>
      <c r="AU458" s="156">
        <f t="shared" si="592"/>
        <v>0</v>
      </c>
      <c r="AV458" s="156">
        <f t="shared" si="593"/>
        <v>0</v>
      </c>
      <c r="AW458" s="157"/>
      <c r="AX458" s="150">
        <v>0</v>
      </c>
      <c r="AY458" s="150">
        <v>0</v>
      </c>
      <c r="AZ458" s="150"/>
      <c r="BA458" s="150">
        <f t="shared" si="594"/>
        <v>0</v>
      </c>
      <c r="BB458" s="202">
        <v>4</v>
      </c>
      <c r="BC458" s="202">
        <v>10</v>
      </c>
      <c r="BD458" s="194" t="s">
        <v>632</v>
      </c>
      <c r="BE458" s="194" t="s">
        <v>632</v>
      </c>
      <c r="BF458" s="194" t="s">
        <v>779</v>
      </c>
      <c r="BG458" s="203" t="s">
        <v>5908</v>
      </c>
      <c r="BH458" s="216">
        <f t="shared" si="590"/>
        <v>0</v>
      </c>
      <c r="BI458" s="202"/>
      <c r="BJ458" s="194" t="s">
        <v>5904</v>
      </c>
      <c r="BK458" s="194" t="s">
        <v>5902</v>
      </c>
      <c r="BL458" s="207" t="s">
        <v>5905</v>
      </c>
      <c r="BM458" s="208">
        <f t="shared" si="591"/>
        <v>0</v>
      </c>
      <c r="BN458" s="160"/>
      <c r="BO458" s="161">
        <f t="shared" si="600"/>
        <v>0</v>
      </c>
      <c r="BP458" s="161"/>
    </row>
    <row r="459" spans="1:68" ht="25.5">
      <c r="A459" s="194" t="s">
        <v>5902</v>
      </c>
      <c r="B459" s="195" t="s">
        <v>5909</v>
      </c>
      <c r="C459" s="196" t="s">
        <v>1192</v>
      </c>
      <c r="D459" s="146" t="s">
        <v>4692</v>
      </c>
      <c r="E459" s="196" t="s">
        <v>1192</v>
      </c>
      <c r="F459" s="150">
        <v>0</v>
      </c>
      <c r="G459" s="209">
        <v>0</v>
      </c>
      <c r="H459" s="209">
        <v>252803.24</v>
      </c>
      <c r="I459" s="209">
        <v>252803.24</v>
      </c>
      <c r="J459" s="150">
        <v>0</v>
      </c>
      <c r="K459" s="150">
        <v>0</v>
      </c>
      <c r="L459" s="150">
        <f t="shared" si="601"/>
        <v>0</v>
      </c>
      <c r="M459" s="150">
        <v>0</v>
      </c>
      <c r="N459" s="150"/>
      <c r="O459" s="150">
        <v>0</v>
      </c>
      <c r="P459" s="150">
        <v>0</v>
      </c>
      <c r="Q459" s="150"/>
      <c r="R459" s="150">
        <f t="shared" si="585"/>
        <v>0</v>
      </c>
      <c r="S459" s="150">
        <f t="shared" si="595"/>
        <v>0</v>
      </c>
      <c r="T459" s="150"/>
      <c r="U459" s="150">
        <v>0</v>
      </c>
      <c r="V459" s="199"/>
      <c r="W459" s="150">
        <f t="shared" si="586"/>
        <v>0</v>
      </c>
      <c r="X459" s="150">
        <v>0</v>
      </c>
      <c r="Y459" s="150"/>
      <c r="Z459" s="150">
        <v>0</v>
      </c>
      <c r="AA459" s="150">
        <f t="shared" si="596"/>
        <v>0</v>
      </c>
      <c r="AB459" s="150">
        <v>0</v>
      </c>
      <c r="AC459" s="199"/>
      <c r="AD459" s="150">
        <f t="shared" si="587"/>
        <v>0</v>
      </c>
      <c r="AE459" s="150">
        <v>222835.19</v>
      </c>
      <c r="AF459" s="169" t="s">
        <v>4680</v>
      </c>
      <c r="AG459" s="201">
        <v>0</v>
      </c>
      <c r="AH459" s="199">
        <v>222835.19</v>
      </c>
      <c r="AI459" s="150">
        <v>222835.19</v>
      </c>
      <c r="AJ459" s="169">
        <f t="shared" si="597"/>
        <v>0</v>
      </c>
      <c r="AK459" s="201">
        <v>0</v>
      </c>
      <c r="AL459" s="199">
        <v>222835.19</v>
      </c>
      <c r="AM459" s="150">
        <f t="shared" si="588"/>
        <v>222835.19</v>
      </c>
      <c r="AN459" s="153">
        <f t="shared" si="598"/>
        <v>-1280</v>
      </c>
      <c r="AO459" s="154">
        <f t="shared" si="599"/>
        <v>0</v>
      </c>
      <c r="AP459" s="150">
        <v>221555.19</v>
      </c>
      <c r="AQ459" s="201">
        <v>221555.19</v>
      </c>
      <c r="AR459" s="199"/>
      <c r="AS459" s="150">
        <f t="shared" si="589"/>
        <v>221555.19</v>
      </c>
      <c r="AT459" s="155"/>
      <c r="AU459" s="156">
        <f t="shared" si="592"/>
        <v>222835.19</v>
      </c>
      <c r="AV459" s="156">
        <f t="shared" si="593"/>
        <v>0</v>
      </c>
      <c r="AW459" s="157"/>
      <c r="AX459" s="150">
        <v>0</v>
      </c>
      <c r="AY459" s="150">
        <v>0</v>
      </c>
      <c r="AZ459" s="150"/>
      <c r="BA459" s="150">
        <f t="shared" si="594"/>
        <v>0</v>
      </c>
      <c r="BB459" s="202">
        <v>4</v>
      </c>
      <c r="BC459" s="202">
        <v>10</v>
      </c>
      <c r="BD459" s="194" t="s">
        <v>632</v>
      </c>
      <c r="BE459" s="194" t="s">
        <v>632</v>
      </c>
      <c r="BF459" s="194" t="s">
        <v>1225</v>
      </c>
      <c r="BG459" s="203" t="s">
        <v>1193</v>
      </c>
      <c r="BH459" s="216">
        <f t="shared" si="590"/>
        <v>221555.19</v>
      </c>
      <c r="BI459" s="202"/>
      <c r="BJ459" s="194" t="s">
        <v>5904</v>
      </c>
      <c r="BK459" s="194" t="s">
        <v>5902</v>
      </c>
      <c r="BL459" s="207" t="s">
        <v>5905</v>
      </c>
      <c r="BM459" s="208">
        <f t="shared" si="591"/>
        <v>221555.19</v>
      </c>
      <c r="BN459" s="160"/>
      <c r="BO459" s="161">
        <f t="shared" si="600"/>
        <v>0</v>
      </c>
      <c r="BP459" s="161"/>
    </row>
    <row r="460" spans="1:68" ht="38.25">
      <c r="A460" s="194" t="s">
        <v>5910</v>
      </c>
      <c r="B460" s="195" t="s">
        <v>5911</v>
      </c>
      <c r="C460" s="196" t="s">
        <v>1196</v>
      </c>
      <c r="D460" s="146" t="s">
        <v>4692</v>
      </c>
      <c r="E460" s="196" t="s">
        <v>1196</v>
      </c>
      <c r="F460" s="150">
        <v>259542.16</v>
      </c>
      <c r="G460" s="209">
        <v>0</v>
      </c>
      <c r="H460" s="209">
        <v>269808.40000000002</v>
      </c>
      <c r="I460" s="209">
        <v>269808.40000000002</v>
      </c>
      <c r="J460" s="150">
        <v>0</v>
      </c>
      <c r="K460" s="150">
        <v>252803.24</v>
      </c>
      <c r="L460" s="150">
        <f t="shared" si="601"/>
        <v>252803.24</v>
      </c>
      <c r="M460" s="150">
        <v>0</v>
      </c>
      <c r="N460" s="150">
        <v>281175.77</v>
      </c>
      <c r="O460" s="150">
        <v>281175.77</v>
      </c>
      <c r="P460" s="150">
        <v>0</v>
      </c>
      <c r="Q460" s="150">
        <v>249307.78</v>
      </c>
      <c r="R460" s="150">
        <f t="shared" si="585"/>
        <v>249307.78</v>
      </c>
      <c r="S460" s="150">
        <f t="shared" si="595"/>
        <v>332410.37333333329</v>
      </c>
      <c r="T460" s="150"/>
      <c r="U460" s="150">
        <v>0</v>
      </c>
      <c r="V460" s="199">
        <f>155775.42+295622.75</f>
        <v>451398.17000000004</v>
      </c>
      <c r="W460" s="150">
        <f t="shared" si="586"/>
        <v>451398.17000000004</v>
      </c>
      <c r="X460" s="150">
        <v>0</v>
      </c>
      <c r="Y460" s="150">
        <v>451398.17000000004</v>
      </c>
      <c r="Z460" s="150">
        <v>451398.17000000004</v>
      </c>
      <c r="AA460" s="150">
        <f t="shared" si="596"/>
        <v>0</v>
      </c>
      <c r="AB460" s="150">
        <v>0</v>
      </c>
      <c r="AC460" s="199">
        <v>451398.17000000004</v>
      </c>
      <c r="AD460" s="150">
        <f t="shared" si="587"/>
        <v>451398.17000000004</v>
      </c>
      <c r="AE460" s="150">
        <v>646004.94999999995</v>
      </c>
      <c r="AF460" s="169" t="s">
        <v>4680</v>
      </c>
      <c r="AG460" s="201">
        <v>0</v>
      </c>
      <c r="AH460" s="199">
        <v>646004.94999999995</v>
      </c>
      <c r="AI460" s="150">
        <v>646004.94999999995</v>
      </c>
      <c r="AJ460" s="169">
        <f t="shared" si="597"/>
        <v>0</v>
      </c>
      <c r="AK460" s="201">
        <v>0</v>
      </c>
      <c r="AL460" s="199">
        <v>646004.94999999995</v>
      </c>
      <c r="AM460" s="150">
        <f t="shared" si="588"/>
        <v>646004.94999999995</v>
      </c>
      <c r="AN460" s="153">
        <f t="shared" si="598"/>
        <v>-27.389999999897555</v>
      </c>
      <c r="AO460" s="154">
        <f t="shared" si="599"/>
        <v>0</v>
      </c>
      <c r="AP460" s="150">
        <v>645977.56000000006</v>
      </c>
      <c r="AQ460" s="201">
        <v>645977.56000000006</v>
      </c>
      <c r="AR460" s="199"/>
      <c r="AS460" s="150">
        <f t="shared" si="589"/>
        <v>645977.56000000006</v>
      </c>
      <c r="AT460" s="155"/>
      <c r="AU460" s="156">
        <f t="shared" si="592"/>
        <v>194606.77999999991</v>
      </c>
      <c r="AV460" s="156">
        <f t="shared" si="593"/>
        <v>0</v>
      </c>
      <c r="AW460" s="157"/>
      <c r="AX460" s="150">
        <v>451398.17000000004</v>
      </c>
      <c r="AY460" s="150">
        <v>0</v>
      </c>
      <c r="AZ460" s="150"/>
      <c r="BA460" s="150">
        <f t="shared" si="594"/>
        <v>0</v>
      </c>
      <c r="BB460" s="202">
        <v>4</v>
      </c>
      <c r="BC460" s="202">
        <v>10</v>
      </c>
      <c r="BD460" s="194" t="s">
        <v>632</v>
      </c>
      <c r="BE460" s="194" t="s">
        <v>632</v>
      </c>
      <c r="BF460" s="194" t="s">
        <v>1229</v>
      </c>
      <c r="BG460" s="203" t="s">
        <v>1197</v>
      </c>
      <c r="BH460" s="216">
        <f t="shared" si="590"/>
        <v>645977.56000000006</v>
      </c>
      <c r="BI460" s="202"/>
      <c r="BJ460" s="194" t="s">
        <v>5912</v>
      </c>
      <c r="BK460" s="194" t="s">
        <v>5910</v>
      </c>
      <c r="BL460" s="207" t="s">
        <v>5913</v>
      </c>
      <c r="BM460" s="208">
        <f t="shared" si="591"/>
        <v>645977.56000000006</v>
      </c>
      <c r="BN460" s="160"/>
      <c r="BO460" s="161">
        <f t="shared" si="600"/>
        <v>0</v>
      </c>
      <c r="BP460" s="161"/>
    </row>
    <row r="461" spans="1:68" ht="38.25">
      <c r="A461" s="194" t="s">
        <v>5910</v>
      </c>
      <c r="B461" s="195" t="s">
        <v>5914</v>
      </c>
      <c r="C461" s="196" t="s">
        <v>1200</v>
      </c>
      <c r="D461" s="146" t="s">
        <v>4692</v>
      </c>
      <c r="E461" s="196" t="s">
        <v>1200</v>
      </c>
      <c r="F461" s="150">
        <v>268504.62</v>
      </c>
      <c r="G461" s="209">
        <v>0</v>
      </c>
      <c r="H461" s="209">
        <v>667235.64</v>
      </c>
      <c r="I461" s="209">
        <v>667235.64</v>
      </c>
      <c r="J461" s="150">
        <v>0</v>
      </c>
      <c r="K461" s="150">
        <v>269808.40000000002</v>
      </c>
      <c r="L461" s="150">
        <f t="shared" si="601"/>
        <v>269808.40000000002</v>
      </c>
      <c r="M461" s="150">
        <v>0</v>
      </c>
      <c r="N461" s="150">
        <v>353379.77</v>
      </c>
      <c r="O461" s="150">
        <v>353379.77</v>
      </c>
      <c r="P461" s="150">
        <v>0</v>
      </c>
      <c r="Q461" s="150">
        <v>351534.12</v>
      </c>
      <c r="R461" s="150">
        <f t="shared" si="585"/>
        <v>351534.12</v>
      </c>
      <c r="S461" s="150">
        <f t="shared" si="595"/>
        <v>468712.16</v>
      </c>
      <c r="T461" s="150"/>
      <c r="U461" s="150">
        <v>0</v>
      </c>
      <c r="V461" s="199">
        <f>246780.55+706232.02</f>
        <v>953012.57000000007</v>
      </c>
      <c r="W461" s="150">
        <f t="shared" si="586"/>
        <v>953012.57000000007</v>
      </c>
      <c r="X461" s="150">
        <v>0</v>
      </c>
      <c r="Y461" s="150">
        <v>953012.57000000007</v>
      </c>
      <c r="Z461" s="150">
        <v>953012.57000000007</v>
      </c>
      <c r="AA461" s="150">
        <f t="shared" si="596"/>
        <v>0</v>
      </c>
      <c r="AB461" s="150">
        <v>0</v>
      </c>
      <c r="AC461" s="199">
        <v>953012.57000000007</v>
      </c>
      <c r="AD461" s="150">
        <f t="shared" si="587"/>
        <v>953012.57000000007</v>
      </c>
      <c r="AE461" s="150">
        <v>1621795.82</v>
      </c>
      <c r="AF461" s="169" t="s">
        <v>4680</v>
      </c>
      <c r="AG461" s="201">
        <v>0</v>
      </c>
      <c r="AH461" s="199">
        <v>1621795.82</v>
      </c>
      <c r="AI461" s="150">
        <v>1621795.82</v>
      </c>
      <c r="AJ461" s="169">
        <f t="shared" si="597"/>
        <v>0</v>
      </c>
      <c r="AK461" s="201">
        <v>0</v>
      </c>
      <c r="AL461" s="199">
        <v>1621795.82</v>
      </c>
      <c r="AM461" s="150">
        <f t="shared" si="588"/>
        <v>1621795.82</v>
      </c>
      <c r="AN461" s="153">
        <f t="shared" si="598"/>
        <v>0</v>
      </c>
      <c r="AO461" s="154">
        <f t="shared" si="599"/>
        <v>0</v>
      </c>
      <c r="AP461" s="150">
        <v>1621795.82</v>
      </c>
      <c r="AQ461" s="201">
        <v>1621795.82</v>
      </c>
      <c r="AR461" s="199"/>
      <c r="AS461" s="150">
        <f t="shared" si="589"/>
        <v>1621795.82</v>
      </c>
      <c r="AT461" s="155"/>
      <c r="AU461" s="156">
        <f t="shared" si="592"/>
        <v>668783.25</v>
      </c>
      <c r="AV461" s="156">
        <f t="shared" si="593"/>
        <v>0</v>
      </c>
      <c r="AW461" s="157"/>
      <c r="AX461" s="150">
        <v>953012.57000000007</v>
      </c>
      <c r="AY461" s="150">
        <v>0</v>
      </c>
      <c r="AZ461" s="150"/>
      <c r="BA461" s="150">
        <f t="shared" si="594"/>
        <v>0</v>
      </c>
      <c r="BB461" s="202">
        <v>4</v>
      </c>
      <c r="BC461" s="202">
        <v>10</v>
      </c>
      <c r="BD461" s="194" t="s">
        <v>632</v>
      </c>
      <c r="BE461" s="194" t="s">
        <v>632</v>
      </c>
      <c r="BF461" s="194" t="s">
        <v>1243</v>
      </c>
      <c r="BG461" s="203" t="s">
        <v>1201</v>
      </c>
      <c r="BH461" s="216">
        <f t="shared" si="590"/>
        <v>1621795.82</v>
      </c>
      <c r="BI461" s="202"/>
      <c r="BJ461" s="194" t="s">
        <v>5912</v>
      </c>
      <c r="BK461" s="194" t="s">
        <v>5910</v>
      </c>
      <c r="BL461" s="207" t="s">
        <v>5913</v>
      </c>
      <c r="BM461" s="208">
        <f t="shared" si="591"/>
        <v>1621795.82</v>
      </c>
      <c r="BN461" s="160"/>
      <c r="BO461" s="161">
        <f t="shared" si="600"/>
        <v>0</v>
      </c>
      <c r="BP461" s="161"/>
    </row>
    <row r="462" spans="1:68" ht="38.25">
      <c r="A462" s="194" t="s">
        <v>5910</v>
      </c>
      <c r="B462" s="195" t="s">
        <v>5915</v>
      </c>
      <c r="C462" s="196" t="s">
        <v>1203</v>
      </c>
      <c r="D462" s="146" t="s">
        <v>4692</v>
      </c>
      <c r="E462" s="196" t="s">
        <v>1203</v>
      </c>
      <c r="F462" s="150">
        <v>666593.49</v>
      </c>
      <c r="G462" s="209">
        <v>0</v>
      </c>
      <c r="H462" s="209">
        <v>226851.35</v>
      </c>
      <c r="I462" s="209">
        <v>226851.35</v>
      </c>
      <c r="J462" s="150">
        <v>0</v>
      </c>
      <c r="K462" s="150">
        <v>667235.64</v>
      </c>
      <c r="L462" s="150">
        <f t="shared" si="601"/>
        <v>667235.64</v>
      </c>
      <c r="M462" s="150">
        <v>0</v>
      </c>
      <c r="N462" s="150">
        <v>563060.80999999994</v>
      </c>
      <c r="O462" s="150">
        <v>563060.80999999994</v>
      </c>
      <c r="P462" s="150">
        <v>0</v>
      </c>
      <c r="Q462" s="150">
        <v>562722.26</v>
      </c>
      <c r="R462" s="150">
        <f t="shared" si="585"/>
        <v>562722.26</v>
      </c>
      <c r="S462" s="150">
        <f t="shared" si="595"/>
        <v>750296.34666666668</v>
      </c>
      <c r="T462" s="150"/>
      <c r="U462" s="150">
        <v>0</v>
      </c>
      <c r="V462" s="199">
        <f>571485.1+270244.69</f>
        <v>841729.79</v>
      </c>
      <c r="W462" s="150">
        <f t="shared" si="586"/>
        <v>841729.79</v>
      </c>
      <c r="X462" s="150">
        <v>0</v>
      </c>
      <c r="Y462" s="150">
        <v>841729.79</v>
      </c>
      <c r="Z462" s="150">
        <v>841729.79</v>
      </c>
      <c r="AA462" s="150">
        <f t="shared" si="596"/>
        <v>0</v>
      </c>
      <c r="AB462" s="150">
        <v>0</v>
      </c>
      <c r="AC462" s="199">
        <v>841729.79</v>
      </c>
      <c r="AD462" s="150">
        <f t="shared" si="587"/>
        <v>841729.79</v>
      </c>
      <c r="AE462" s="150">
        <v>1176659.1200000001</v>
      </c>
      <c r="AF462" s="169" t="s">
        <v>4680</v>
      </c>
      <c r="AG462" s="201">
        <v>0</v>
      </c>
      <c r="AH462" s="199">
        <v>1176659.1200000001</v>
      </c>
      <c r="AI462" s="150">
        <v>1176659.1200000001</v>
      </c>
      <c r="AJ462" s="169">
        <f t="shared" si="597"/>
        <v>0</v>
      </c>
      <c r="AK462" s="201">
        <v>0</v>
      </c>
      <c r="AL462" s="199">
        <v>1176659.1200000001</v>
      </c>
      <c r="AM462" s="150">
        <f t="shared" si="588"/>
        <v>1176659.1200000001</v>
      </c>
      <c r="AN462" s="153">
        <f t="shared" si="598"/>
        <v>0</v>
      </c>
      <c r="AO462" s="154">
        <f t="shared" si="599"/>
        <v>0</v>
      </c>
      <c r="AP462" s="150">
        <v>1176659.1200000001</v>
      </c>
      <c r="AQ462" s="201">
        <v>1176659.1200000001</v>
      </c>
      <c r="AR462" s="199"/>
      <c r="AS462" s="150">
        <f t="shared" si="589"/>
        <v>1176659.1200000001</v>
      </c>
      <c r="AT462" s="155"/>
      <c r="AU462" s="156">
        <f t="shared" si="592"/>
        <v>334929.33000000007</v>
      </c>
      <c r="AV462" s="156">
        <f t="shared" si="593"/>
        <v>0</v>
      </c>
      <c r="AW462" s="157"/>
      <c r="AX462" s="150">
        <v>841729.79</v>
      </c>
      <c r="AY462" s="150">
        <v>0</v>
      </c>
      <c r="AZ462" s="150"/>
      <c r="BA462" s="150">
        <f t="shared" si="594"/>
        <v>0</v>
      </c>
      <c r="BB462" s="202">
        <v>4</v>
      </c>
      <c r="BC462" s="202">
        <v>10</v>
      </c>
      <c r="BD462" s="194" t="s">
        <v>632</v>
      </c>
      <c r="BE462" s="194" t="s">
        <v>632</v>
      </c>
      <c r="BF462" s="194" t="s">
        <v>1247</v>
      </c>
      <c r="BG462" s="203" t="s">
        <v>1204</v>
      </c>
      <c r="BH462" s="216">
        <f t="shared" si="590"/>
        <v>1176659.1200000001</v>
      </c>
      <c r="BI462" s="202"/>
      <c r="BJ462" s="194" t="s">
        <v>5912</v>
      </c>
      <c r="BK462" s="194" t="s">
        <v>5910</v>
      </c>
      <c r="BL462" s="207" t="s">
        <v>5913</v>
      </c>
      <c r="BM462" s="208">
        <f t="shared" si="591"/>
        <v>1176659.1200000001</v>
      </c>
      <c r="BN462" s="160"/>
      <c r="BO462" s="161">
        <f t="shared" si="600"/>
        <v>0</v>
      </c>
      <c r="BP462" s="161"/>
    </row>
    <row r="463" spans="1:68" ht="25.5">
      <c r="A463" s="194" t="s">
        <v>5910</v>
      </c>
      <c r="B463" s="195" t="s">
        <v>5916</v>
      </c>
      <c r="C463" s="196" t="s">
        <v>1206</v>
      </c>
      <c r="D463" s="146" t="s">
        <v>4692</v>
      </c>
      <c r="E463" s="196" t="s">
        <v>1206</v>
      </c>
      <c r="F463" s="150">
        <v>252018.6</v>
      </c>
      <c r="G463" s="209">
        <v>0</v>
      </c>
      <c r="H463" s="209">
        <v>52855.14</v>
      </c>
      <c r="I463" s="209">
        <v>52855.14</v>
      </c>
      <c r="J463" s="150">
        <v>0</v>
      </c>
      <c r="K463" s="150">
        <v>226851.35</v>
      </c>
      <c r="L463" s="150">
        <f t="shared" si="601"/>
        <v>226851.35</v>
      </c>
      <c r="M463" s="150">
        <v>0</v>
      </c>
      <c r="N463" s="150">
        <v>371176.26</v>
      </c>
      <c r="O463" s="150">
        <v>371176.26</v>
      </c>
      <c r="P463" s="150">
        <v>0</v>
      </c>
      <c r="Q463" s="150">
        <v>386426.76</v>
      </c>
      <c r="R463" s="150">
        <f t="shared" si="585"/>
        <v>386426.76</v>
      </c>
      <c r="S463" s="150">
        <f t="shared" si="595"/>
        <v>515235.68000000005</v>
      </c>
      <c r="T463" s="150"/>
      <c r="U463" s="150">
        <v>0</v>
      </c>
      <c r="V463" s="199">
        <f>269835.27+390822.58</f>
        <v>660657.85000000009</v>
      </c>
      <c r="W463" s="150">
        <f t="shared" si="586"/>
        <v>660657.85000000009</v>
      </c>
      <c r="X463" s="150">
        <v>0</v>
      </c>
      <c r="Y463" s="150">
        <v>660657.85000000009</v>
      </c>
      <c r="Z463" s="150">
        <v>660657.85000000009</v>
      </c>
      <c r="AA463" s="150">
        <f t="shared" si="596"/>
        <v>0</v>
      </c>
      <c r="AB463" s="150">
        <v>0</v>
      </c>
      <c r="AC463" s="199">
        <v>660657.85000000009</v>
      </c>
      <c r="AD463" s="150">
        <f t="shared" si="587"/>
        <v>660657.85000000009</v>
      </c>
      <c r="AE463" s="150">
        <v>1431983.46</v>
      </c>
      <c r="AF463" s="169" t="s">
        <v>4680</v>
      </c>
      <c r="AG463" s="201">
        <v>0</v>
      </c>
      <c r="AH463" s="199">
        <v>1431983.46</v>
      </c>
      <c r="AI463" s="150">
        <v>1431983.46</v>
      </c>
      <c r="AJ463" s="169">
        <f t="shared" si="597"/>
        <v>0</v>
      </c>
      <c r="AK463" s="201">
        <v>0</v>
      </c>
      <c r="AL463" s="199">
        <v>1431983.46</v>
      </c>
      <c r="AM463" s="150">
        <f t="shared" si="588"/>
        <v>1431983.46</v>
      </c>
      <c r="AN463" s="153">
        <f t="shared" si="598"/>
        <v>0</v>
      </c>
      <c r="AO463" s="154">
        <f t="shared" si="599"/>
        <v>0</v>
      </c>
      <c r="AP463" s="150">
        <v>1431983.46</v>
      </c>
      <c r="AQ463" s="201">
        <v>1431983.46</v>
      </c>
      <c r="AR463" s="199"/>
      <c r="AS463" s="150">
        <f t="shared" si="589"/>
        <v>1431983.46</v>
      </c>
      <c r="AT463" s="155"/>
      <c r="AU463" s="156">
        <f t="shared" si="592"/>
        <v>771325.60999999987</v>
      </c>
      <c r="AV463" s="156">
        <f t="shared" si="593"/>
        <v>0</v>
      </c>
      <c r="AW463" s="157"/>
      <c r="AX463" s="150">
        <v>660657.85000000009</v>
      </c>
      <c r="AY463" s="150">
        <v>0</v>
      </c>
      <c r="AZ463" s="150"/>
      <c r="BA463" s="150">
        <f t="shared" si="594"/>
        <v>0</v>
      </c>
      <c r="BB463" s="202">
        <v>4</v>
      </c>
      <c r="BC463" s="202">
        <v>10</v>
      </c>
      <c r="BD463" s="194" t="s">
        <v>632</v>
      </c>
      <c r="BE463" s="194" t="s">
        <v>632</v>
      </c>
      <c r="BF463" s="194" t="s">
        <v>1253</v>
      </c>
      <c r="BG463" s="203" t="s">
        <v>1207</v>
      </c>
      <c r="BH463" s="216">
        <f t="shared" si="590"/>
        <v>1431983.46</v>
      </c>
      <c r="BI463" s="202"/>
      <c r="BJ463" s="194" t="s">
        <v>5912</v>
      </c>
      <c r="BK463" s="194" t="s">
        <v>5910</v>
      </c>
      <c r="BL463" s="207" t="s">
        <v>5913</v>
      </c>
      <c r="BM463" s="208">
        <f t="shared" si="591"/>
        <v>1431983.46</v>
      </c>
      <c r="BN463" s="160"/>
      <c r="BO463" s="161">
        <f t="shared" si="600"/>
        <v>0</v>
      </c>
      <c r="BP463" s="161"/>
    </row>
    <row r="464" spans="1:68" ht="38.25">
      <c r="A464" s="194" t="s">
        <v>5910</v>
      </c>
      <c r="B464" s="195" t="s">
        <v>5917</v>
      </c>
      <c r="C464" s="196" t="s">
        <v>1209</v>
      </c>
      <c r="D464" s="146" t="s">
        <v>4692</v>
      </c>
      <c r="E464" s="196" t="s">
        <v>1209</v>
      </c>
      <c r="F464" s="150">
        <v>55449.29</v>
      </c>
      <c r="G464" s="209">
        <v>0</v>
      </c>
      <c r="H464" s="209">
        <v>28309.34</v>
      </c>
      <c r="I464" s="209">
        <v>28309.34</v>
      </c>
      <c r="J464" s="150">
        <v>0</v>
      </c>
      <c r="K464" s="150">
        <v>52855.14</v>
      </c>
      <c r="L464" s="150">
        <f t="shared" si="601"/>
        <v>52855.14</v>
      </c>
      <c r="M464" s="150">
        <v>0</v>
      </c>
      <c r="N464" s="150">
        <v>60927.61</v>
      </c>
      <c r="O464" s="150">
        <v>60927.61</v>
      </c>
      <c r="P464" s="150">
        <v>0</v>
      </c>
      <c r="Q464" s="150">
        <v>60844.74</v>
      </c>
      <c r="R464" s="150">
        <f t="shared" si="585"/>
        <v>60844.74</v>
      </c>
      <c r="S464" s="150">
        <f t="shared" si="595"/>
        <v>81126.320000000007</v>
      </c>
      <c r="T464" s="150"/>
      <c r="U464" s="150">
        <v>0</v>
      </c>
      <c r="V464" s="199">
        <f>40674.6+48711.22</f>
        <v>89385.82</v>
      </c>
      <c r="W464" s="150">
        <f t="shared" si="586"/>
        <v>89385.82</v>
      </c>
      <c r="X464" s="150">
        <v>0</v>
      </c>
      <c r="Y464" s="150">
        <v>89385.82</v>
      </c>
      <c r="Z464" s="150">
        <v>89385.82</v>
      </c>
      <c r="AA464" s="150">
        <f t="shared" si="596"/>
        <v>0</v>
      </c>
      <c r="AB464" s="150">
        <v>0</v>
      </c>
      <c r="AC464" s="199">
        <v>89385.82</v>
      </c>
      <c r="AD464" s="150">
        <f t="shared" si="587"/>
        <v>89385.82</v>
      </c>
      <c r="AE464" s="150">
        <v>108960.51</v>
      </c>
      <c r="AF464" s="169" t="s">
        <v>4680</v>
      </c>
      <c r="AG464" s="201">
        <v>0</v>
      </c>
      <c r="AH464" s="199">
        <v>108960.51</v>
      </c>
      <c r="AI464" s="150">
        <v>108960.51</v>
      </c>
      <c r="AJ464" s="169">
        <f t="shared" si="597"/>
        <v>0</v>
      </c>
      <c r="AK464" s="201">
        <v>0</v>
      </c>
      <c r="AL464" s="199">
        <v>108960.51</v>
      </c>
      <c r="AM464" s="150">
        <f t="shared" si="588"/>
        <v>108960.51</v>
      </c>
      <c r="AN464" s="153">
        <f t="shared" si="598"/>
        <v>0</v>
      </c>
      <c r="AO464" s="154">
        <f t="shared" si="599"/>
        <v>0</v>
      </c>
      <c r="AP464" s="150">
        <v>108960.51</v>
      </c>
      <c r="AQ464" s="201">
        <v>108960.51</v>
      </c>
      <c r="AR464" s="199"/>
      <c r="AS464" s="150">
        <f t="shared" si="589"/>
        <v>108960.51</v>
      </c>
      <c r="AT464" s="155"/>
      <c r="AU464" s="156">
        <f t="shared" si="592"/>
        <v>19574.689999999988</v>
      </c>
      <c r="AV464" s="156">
        <f t="shared" si="593"/>
        <v>0</v>
      </c>
      <c r="AW464" s="157"/>
      <c r="AX464" s="150">
        <v>89385.82</v>
      </c>
      <c r="AY464" s="150">
        <v>0</v>
      </c>
      <c r="AZ464" s="150"/>
      <c r="BA464" s="150">
        <f t="shared" si="594"/>
        <v>0</v>
      </c>
      <c r="BB464" s="202">
        <v>4</v>
      </c>
      <c r="BC464" s="202">
        <v>10</v>
      </c>
      <c r="BD464" s="194" t="s">
        <v>632</v>
      </c>
      <c r="BE464" s="194" t="s">
        <v>632</v>
      </c>
      <c r="BF464" s="194" t="s">
        <v>1257</v>
      </c>
      <c r="BG464" s="203" t="s">
        <v>1210</v>
      </c>
      <c r="BH464" s="216">
        <f t="shared" si="590"/>
        <v>108960.51</v>
      </c>
      <c r="BI464" s="202"/>
      <c r="BJ464" s="194" t="s">
        <v>5912</v>
      </c>
      <c r="BK464" s="194" t="s">
        <v>5910</v>
      </c>
      <c r="BL464" s="207" t="s">
        <v>5913</v>
      </c>
      <c r="BM464" s="208">
        <f t="shared" si="591"/>
        <v>108960.51</v>
      </c>
      <c r="BN464" s="160"/>
      <c r="BO464" s="161">
        <f t="shared" si="600"/>
        <v>0</v>
      </c>
      <c r="BP464" s="161"/>
    </row>
    <row r="465" spans="1:68" ht="25.5">
      <c r="A465" s="194" t="s">
        <v>5910</v>
      </c>
      <c r="B465" s="195" t="s">
        <v>5918</v>
      </c>
      <c r="C465" s="196" t="s">
        <v>1212</v>
      </c>
      <c r="D465" s="146" t="s">
        <v>4692</v>
      </c>
      <c r="E465" s="196" t="s">
        <v>1212</v>
      </c>
      <c r="F465" s="150">
        <v>24873.95</v>
      </c>
      <c r="G465" s="209">
        <v>0</v>
      </c>
      <c r="H465" s="209">
        <v>50230.61</v>
      </c>
      <c r="I465" s="209">
        <v>50230.61</v>
      </c>
      <c r="J465" s="150">
        <v>0</v>
      </c>
      <c r="K465" s="150">
        <v>28309.34</v>
      </c>
      <c r="L465" s="150">
        <f t="shared" si="601"/>
        <v>28309.34</v>
      </c>
      <c r="M465" s="150">
        <v>0</v>
      </c>
      <c r="N465" s="150">
        <v>39237.769999999997</v>
      </c>
      <c r="O465" s="150">
        <v>39237.769999999997</v>
      </c>
      <c r="P465" s="150">
        <v>0</v>
      </c>
      <c r="Q465" s="150">
        <v>40793.5</v>
      </c>
      <c r="R465" s="150">
        <f t="shared" si="585"/>
        <v>40793.5</v>
      </c>
      <c r="S465" s="150">
        <f t="shared" si="595"/>
        <v>54391.333333333336</v>
      </c>
      <c r="T465" s="150"/>
      <c r="U465" s="150">
        <v>0</v>
      </c>
      <c r="V465" s="199">
        <f>26289.07+73994.71</f>
        <v>100283.78</v>
      </c>
      <c r="W465" s="150">
        <f t="shared" si="586"/>
        <v>100283.78</v>
      </c>
      <c r="X465" s="150">
        <v>0</v>
      </c>
      <c r="Y465" s="150">
        <v>100283.78</v>
      </c>
      <c r="Z465" s="150">
        <v>100283.78</v>
      </c>
      <c r="AA465" s="150">
        <f t="shared" si="596"/>
        <v>0</v>
      </c>
      <c r="AB465" s="150">
        <v>0</v>
      </c>
      <c r="AC465" s="199">
        <v>100283.78</v>
      </c>
      <c r="AD465" s="150">
        <f t="shared" si="587"/>
        <v>100283.78</v>
      </c>
      <c r="AE465" s="150">
        <v>185284.32</v>
      </c>
      <c r="AF465" s="169" t="s">
        <v>4680</v>
      </c>
      <c r="AG465" s="201">
        <v>0</v>
      </c>
      <c r="AH465" s="199">
        <v>185284.32</v>
      </c>
      <c r="AI465" s="150">
        <v>185284.32</v>
      </c>
      <c r="AJ465" s="169">
        <f t="shared" si="597"/>
        <v>0</v>
      </c>
      <c r="AK465" s="201">
        <v>0</v>
      </c>
      <c r="AL465" s="199">
        <v>185284.32</v>
      </c>
      <c r="AM465" s="150">
        <f t="shared" si="588"/>
        <v>185284.32</v>
      </c>
      <c r="AN465" s="153">
        <f t="shared" si="598"/>
        <v>0</v>
      </c>
      <c r="AO465" s="154">
        <f t="shared" si="599"/>
        <v>0</v>
      </c>
      <c r="AP465" s="150">
        <v>185284.32</v>
      </c>
      <c r="AQ465" s="201">
        <v>185284.32</v>
      </c>
      <c r="AR465" s="199"/>
      <c r="AS465" s="150">
        <f t="shared" si="589"/>
        <v>185284.32</v>
      </c>
      <c r="AT465" s="155"/>
      <c r="AU465" s="156">
        <f t="shared" si="592"/>
        <v>85000.540000000008</v>
      </c>
      <c r="AV465" s="156">
        <f t="shared" si="593"/>
        <v>0</v>
      </c>
      <c r="AW465" s="157"/>
      <c r="AX465" s="150">
        <v>100283.78</v>
      </c>
      <c r="AY465" s="150">
        <v>0</v>
      </c>
      <c r="AZ465" s="150"/>
      <c r="BA465" s="150">
        <f t="shared" si="594"/>
        <v>0</v>
      </c>
      <c r="BB465" s="202">
        <v>4</v>
      </c>
      <c r="BC465" s="202">
        <v>10</v>
      </c>
      <c r="BD465" s="194" t="s">
        <v>632</v>
      </c>
      <c r="BE465" s="194" t="s">
        <v>632</v>
      </c>
      <c r="BF465" s="194" t="s">
        <v>1332</v>
      </c>
      <c r="BG465" s="203" t="s">
        <v>1213</v>
      </c>
      <c r="BH465" s="216">
        <f t="shared" si="590"/>
        <v>185284.32</v>
      </c>
      <c r="BI465" s="202"/>
      <c r="BJ465" s="194" t="s">
        <v>5912</v>
      </c>
      <c r="BK465" s="194" t="s">
        <v>5910</v>
      </c>
      <c r="BL465" s="207" t="s">
        <v>5913</v>
      </c>
      <c r="BM465" s="208">
        <f t="shared" si="591"/>
        <v>185284.32</v>
      </c>
      <c r="BN465" s="160"/>
      <c r="BO465" s="161">
        <f t="shared" si="600"/>
        <v>0</v>
      </c>
      <c r="BP465" s="161"/>
    </row>
    <row r="466" spans="1:68" ht="25.5">
      <c r="A466" s="194" t="s">
        <v>5910</v>
      </c>
      <c r="B466" s="195" t="s">
        <v>5919</v>
      </c>
      <c r="C466" s="196" t="s">
        <v>1215</v>
      </c>
      <c r="D466" s="146" t="s">
        <v>4692</v>
      </c>
      <c r="E466" s="196" t="s">
        <v>1215</v>
      </c>
      <c r="F466" s="150">
        <v>50230.61</v>
      </c>
      <c r="G466" s="209">
        <v>0</v>
      </c>
      <c r="H466" s="209">
        <v>16541.080000000002</v>
      </c>
      <c r="I466" s="209">
        <v>16541.080000000002</v>
      </c>
      <c r="J466" s="150">
        <v>0</v>
      </c>
      <c r="K466" s="150">
        <v>50230.61</v>
      </c>
      <c r="L466" s="150">
        <f t="shared" si="601"/>
        <v>50230.61</v>
      </c>
      <c r="M466" s="150">
        <v>0</v>
      </c>
      <c r="N466" s="150">
        <v>42895.38</v>
      </c>
      <c r="O466" s="150">
        <v>42895.38</v>
      </c>
      <c r="P466" s="150">
        <v>0</v>
      </c>
      <c r="Q466" s="150">
        <v>22361.56</v>
      </c>
      <c r="R466" s="150">
        <f t="shared" si="585"/>
        <v>22361.56</v>
      </c>
      <c r="S466" s="150">
        <f t="shared" si="595"/>
        <v>29815.413333333338</v>
      </c>
      <c r="T466" s="150"/>
      <c r="U466" s="150">
        <v>0</v>
      </c>
      <c r="V466" s="199">
        <f>22461.98+99177.56</f>
        <v>121639.54</v>
      </c>
      <c r="W466" s="150">
        <f t="shared" si="586"/>
        <v>121639.54</v>
      </c>
      <c r="X466" s="150">
        <v>0</v>
      </c>
      <c r="Y466" s="150">
        <v>121639.54</v>
      </c>
      <c r="Z466" s="150">
        <v>121639.54</v>
      </c>
      <c r="AA466" s="150">
        <f t="shared" si="596"/>
        <v>0</v>
      </c>
      <c r="AB466" s="150">
        <v>0</v>
      </c>
      <c r="AC466" s="199">
        <v>121639.54</v>
      </c>
      <c r="AD466" s="150">
        <f t="shared" si="587"/>
        <v>121639.54</v>
      </c>
      <c r="AE466" s="150">
        <v>732650.41</v>
      </c>
      <c r="AF466" s="169" t="s">
        <v>4680</v>
      </c>
      <c r="AG466" s="201">
        <v>0</v>
      </c>
      <c r="AH466" s="199">
        <v>732650.41</v>
      </c>
      <c r="AI466" s="150">
        <v>732650.41</v>
      </c>
      <c r="AJ466" s="169">
        <f t="shared" si="597"/>
        <v>0</v>
      </c>
      <c r="AK466" s="201">
        <v>0</v>
      </c>
      <c r="AL466" s="199">
        <v>732650.41</v>
      </c>
      <c r="AM466" s="150">
        <f t="shared" si="588"/>
        <v>732650.41</v>
      </c>
      <c r="AN466" s="153">
        <f t="shared" si="598"/>
        <v>0</v>
      </c>
      <c r="AO466" s="154">
        <f t="shared" si="599"/>
        <v>0</v>
      </c>
      <c r="AP466" s="150">
        <v>732650.41</v>
      </c>
      <c r="AQ466" s="201">
        <v>732650.41</v>
      </c>
      <c r="AR466" s="199"/>
      <c r="AS466" s="150">
        <f t="shared" si="589"/>
        <v>732650.41</v>
      </c>
      <c r="AT466" s="155"/>
      <c r="AU466" s="156">
        <f t="shared" si="592"/>
        <v>611010.87</v>
      </c>
      <c r="AV466" s="156">
        <f t="shared" si="593"/>
        <v>0</v>
      </c>
      <c r="AW466" s="157"/>
      <c r="AX466" s="150">
        <v>121639.54</v>
      </c>
      <c r="AY466" s="150">
        <v>0</v>
      </c>
      <c r="AZ466" s="150"/>
      <c r="BA466" s="150">
        <f t="shared" si="594"/>
        <v>0</v>
      </c>
      <c r="BB466" s="202">
        <v>4</v>
      </c>
      <c r="BC466" s="202">
        <v>10</v>
      </c>
      <c r="BD466" s="194" t="s">
        <v>632</v>
      </c>
      <c r="BE466" s="194" t="s">
        <v>632</v>
      </c>
      <c r="BF466" s="194" t="s">
        <v>1838</v>
      </c>
      <c r="BG466" s="203" t="s">
        <v>1216</v>
      </c>
      <c r="BH466" s="216">
        <f t="shared" si="590"/>
        <v>732650.41</v>
      </c>
      <c r="BI466" s="202"/>
      <c r="BJ466" s="194" t="s">
        <v>5912</v>
      </c>
      <c r="BK466" s="194" t="s">
        <v>5910</v>
      </c>
      <c r="BL466" s="207" t="s">
        <v>5913</v>
      </c>
      <c r="BM466" s="208">
        <f t="shared" si="591"/>
        <v>732650.41</v>
      </c>
      <c r="BN466" s="160"/>
      <c r="BO466" s="161">
        <f t="shared" si="600"/>
        <v>0</v>
      </c>
      <c r="BP466" s="161"/>
    </row>
    <row r="467" spans="1:68" ht="25.5">
      <c r="A467" s="194" t="s">
        <v>5910</v>
      </c>
      <c r="B467" s="195" t="s">
        <v>5920</v>
      </c>
      <c r="C467" s="196" t="s">
        <v>1218</v>
      </c>
      <c r="D467" s="146" t="s">
        <v>4692</v>
      </c>
      <c r="E467" s="196" t="s">
        <v>1218</v>
      </c>
      <c r="F467" s="150">
        <v>16541.080000000002</v>
      </c>
      <c r="G467" s="209">
        <v>0</v>
      </c>
      <c r="H467" s="209">
        <v>1928.61</v>
      </c>
      <c r="I467" s="209">
        <v>1928.61</v>
      </c>
      <c r="J467" s="150">
        <v>0</v>
      </c>
      <c r="K467" s="150">
        <v>16541.080000000002</v>
      </c>
      <c r="L467" s="150">
        <f t="shared" si="601"/>
        <v>16541.080000000002</v>
      </c>
      <c r="M467" s="150">
        <v>0</v>
      </c>
      <c r="N467" s="150">
        <v>8407.2199999999993</v>
      </c>
      <c r="O467" s="150">
        <v>8407.2199999999993</v>
      </c>
      <c r="P467" s="150">
        <v>0</v>
      </c>
      <c r="Q467" s="150">
        <v>9242.01</v>
      </c>
      <c r="R467" s="150">
        <f t="shared" si="585"/>
        <v>9242.01</v>
      </c>
      <c r="S467" s="150">
        <f t="shared" si="595"/>
        <v>12322.68</v>
      </c>
      <c r="T467" s="150"/>
      <c r="U467" s="150">
        <v>0</v>
      </c>
      <c r="V467" s="199">
        <f>4866.67+2839.29</f>
        <v>7705.96</v>
      </c>
      <c r="W467" s="150">
        <f t="shared" si="586"/>
        <v>7705.96</v>
      </c>
      <c r="X467" s="150">
        <v>0</v>
      </c>
      <c r="Y467" s="150">
        <v>7705.96</v>
      </c>
      <c r="Z467" s="150">
        <v>7705.96</v>
      </c>
      <c r="AA467" s="150">
        <f t="shared" si="596"/>
        <v>0</v>
      </c>
      <c r="AB467" s="150">
        <v>0</v>
      </c>
      <c r="AC467" s="199">
        <v>7705.96</v>
      </c>
      <c r="AD467" s="150">
        <f t="shared" si="587"/>
        <v>7705.96</v>
      </c>
      <c r="AE467" s="150">
        <v>16183.09</v>
      </c>
      <c r="AF467" s="169" t="s">
        <v>4680</v>
      </c>
      <c r="AG467" s="201">
        <v>0</v>
      </c>
      <c r="AH467" s="199">
        <v>16183.09</v>
      </c>
      <c r="AI467" s="150">
        <v>16183.09</v>
      </c>
      <c r="AJ467" s="169">
        <f t="shared" si="597"/>
        <v>0</v>
      </c>
      <c r="AK467" s="201">
        <v>0</v>
      </c>
      <c r="AL467" s="199">
        <v>16183.09</v>
      </c>
      <c r="AM467" s="150">
        <f t="shared" si="588"/>
        <v>16183.09</v>
      </c>
      <c r="AN467" s="153">
        <f t="shared" si="598"/>
        <v>0</v>
      </c>
      <c r="AO467" s="154">
        <f t="shared" si="599"/>
        <v>0</v>
      </c>
      <c r="AP467" s="150">
        <v>16183.09</v>
      </c>
      <c r="AQ467" s="201">
        <v>16183.09</v>
      </c>
      <c r="AR467" s="199"/>
      <c r="AS467" s="150">
        <f t="shared" si="589"/>
        <v>16183.09</v>
      </c>
      <c r="AT467" s="155"/>
      <c r="AU467" s="156">
        <f t="shared" si="592"/>
        <v>8477.130000000001</v>
      </c>
      <c r="AV467" s="156">
        <f t="shared" si="593"/>
        <v>0</v>
      </c>
      <c r="AW467" s="157"/>
      <c r="AX467" s="150">
        <v>7705.96</v>
      </c>
      <c r="AY467" s="150">
        <v>0</v>
      </c>
      <c r="AZ467" s="150"/>
      <c r="BA467" s="150">
        <f t="shared" si="594"/>
        <v>0</v>
      </c>
      <c r="BB467" s="202">
        <v>4</v>
      </c>
      <c r="BC467" s="202">
        <v>10</v>
      </c>
      <c r="BD467" s="194" t="s">
        <v>632</v>
      </c>
      <c r="BE467" s="194" t="s">
        <v>632</v>
      </c>
      <c r="BF467" s="194" t="s">
        <v>1842</v>
      </c>
      <c r="BG467" s="203" t="s">
        <v>1219</v>
      </c>
      <c r="BH467" s="216">
        <f t="shared" si="590"/>
        <v>16183.09</v>
      </c>
      <c r="BI467" s="202"/>
      <c r="BJ467" s="194" t="s">
        <v>5912</v>
      </c>
      <c r="BK467" s="194" t="s">
        <v>5910</v>
      </c>
      <c r="BL467" s="207" t="s">
        <v>5913</v>
      </c>
      <c r="BM467" s="208">
        <f t="shared" si="591"/>
        <v>16183.09</v>
      </c>
      <c r="BN467" s="160"/>
      <c r="BO467" s="161">
        <f t="shared" si="600"/>
        <v>0</v>
      </c>
      <c r="BP467" s="161"/>
    </row>
    <row r="468" spans="1:68" ht="38.25">
      <c r="A468" s="194" t="s">
        <v>5910</v>
      </c>
      <c r="B468" s="195" t="s">
        <v>5921</v>
      </c>
      <c r="C468" s="196" t="s">
        <v>1221</v>
      </c>
      <c r="D468" s="146" t="s">
        <v>4692</v>
      </c>
      <c r="E468" s="196" t="s">
        <v>1221</v>
      </c>
      <c r="F468" s="150">
        <v>1928.61</v>
      </c>
      <c r="G468" s="209">
        <v>0</v>
      </c>
      <c r="H468" s="209">
        <v>7080.69</v>
      </c>
      <c r="I468" s="209">
        <v>7080.69</v>
      </c>
      <c r="J468" s="150">
        <v>0</v>
      </c>
      <c r="K468" s="150">
        <v>1928.61</v>
      </c>
      <c r="L468" s="150">
        <f t="shared" si="601"/>
        <v>1928.61</v>
      </c>
      <c r="M468" s="150">
        <v>0</v>
      </c>
      <c r="N468" s="150">
        <v>551.28</v>
      </c>
      <c r="O468" s="150">
        <v>551.28</v>
      </c>
      <c r="P468" s="150">
        <v>0</v>
      </c>
      <c r="Q468" s="150">
        <v>504.47</v>
      </c>
      <c r="R468" s="150">
        <f t="shared" si="585"/>
        <v>504.47</v>
      </c>
      <c r="S468" s="150">
        <f t="shared" si="595"/>
        <v>672.62666666666678</v>
      </c>
      <c r="T468" s="150"/>
      <c r="U468" s="150">
        <v>0</v>
      </c>
      <c r="V468" s="199">
        <f>504.47+21004.25</f>
        <v>21508.720000000001</v>
      </c>
      <c r="W468" s="150">
        <f t="shared" si="586"/>
        <v>21508.720000000001</v>
      </c>
      <c r="X468" s="150">
        <v>0</v>
      </c>
      <c r="Y468" s="150">
        <v>21508.720000000001</v>
      </c>
      <c r="Z468" s="150">
        <v>21508.720000000001</v>
      </c>
      <c r="AA468" s="150">
        <f t="shared" si="596"/>
        <v>0</v>
      </c>
      <c r="AB468" s="150">
        <v>0</v>
      </c>
      <c r="AC468" s="199">
        <v>21508.720000000001</v>
      </c>
      <c r="AD468" s="150">
        <f t="shared" si="587"/>
        <v>21508.720000000001</v>
      </c>
      <c r="AE468" s="150">
        <v>21560.82</v>
      </c>
      <c r="AF468" s="169" t="s">
        <v>4680</v>
      </c>
      <c r="AG468" s="201">
        <v>0</v>
      </c>
      <c r="AH468" s="199">
        <v>21560.82</v>
      </c>
      <c r="AI468" s="150">
        <v>21560.82</v>
      </c>
      <c r="AJ468" s="169">
        <f t="shared" si="597"/>
        <v>0</v>
      </c>
      <c r="AK468" s="201">
        <v>0</v>
      </c>
      <c r="AL468" s="199">
        <v>21560.82</v>
      </c>
      <c r="AM468" s="150">
        <f t="shared" si="588"/>
        <v>21560.82</v>
      </c>
      <c r="AN468" s="153">
        <f t="shared" si="598"/>
        <v>0</v>
      </c>
      <c r="AO468" s="154">
        <f t="shared" si="599"/>
        <v>0</v>
      </c>
      <c r="AP468" s="150">
        <v>21560.82</v>
      </c>
      <c r="AQ468" s="201">
        <v>21560.82</v>
      </c>
      <c r="AR468" s="199"/>
      <c r="AS468" s="150">
        <f t="shared" si="589"/>
        <v>21560.82</v>
      </c>
      <c r="AT468" s="155"/>
      <c r="AU468" s="156">
        <f t="shared" si="592"/>
        <v>52.099999999998545</v>
      </c>
      <c r="AV468" s="156">
        <f t="shared" si="593"/>
        <v>0</v>
      </c>
      <c r="AW468" s="157"/>
      <c r="AX468" s="150">
        <v>21508.720000000001</v>
      </c>
      <c r="AY468" s="150">
        <v>0</v>
      </c>
      <c r="AZ468" s="150"/>
      <c r="BA468" s="150">
        <f t="shared" si="594"/>
        <v>0</v>
      </c>
      <c r="BB468" s="202">
        <v>4</v>
      </c>
      <c r="BC468" s="202">
        <v>10</v>
      </c>
      <c r="BD468" s="194" t="s">
        <v>632</v>
      </c>
      <c r="BE468" s="194" t="s">
        <v>632</v>
      </c>
      <c r="BF468" s="194" t="s">
        <v>1846</v>
      </c>
      <c r="BG468" s="203" t="s">
        <v>1222</v>
      </c>
      <c r="BH468" s="216">
        <f t="shared" si="590"/>
        <v>21560.82</v>
      </c>
      <c r="BI468" s="202"/>
      <c r="BJ468" s="194" t="s">
        <v>5912</v>
      </c>
      <c r="BK468" s="194" t="s">
        <v>5910</v>
      </c>
      <c r="BL468" s="207" t="s">
        <v>5913</v>
      </c>
      <c r="BM468" s="208">
        <f t="shared" si="591"/>
        <v>21560.82</v>
      </c>
      <c r="BN468" s="160"/>
      <c r="BO468" s="161">
        <f t="shared" si="600"/>
        <v>0</v>
      </c>
      <c r="BP468" s="161"/>
    </row>
    <row r="469" spans="1:68" ht="25.5">
      <c r="A469" s="194" t="s">
        <v>5910</v>
      </c>
      <c r="B469" s="195" t="s">
        <v>5922</v>
      </c>
      <c r="C469" s="196" t="s">
        <v>1224</v>
      </c>
      <c r="D469" s="146" t="s">
        <v>4692</v>
      </c>
      <c r="E469" s="196" t="s">
        <v>1224</v>
      </c>
      <c r="F469" s="150">
        <v>269.37</v>
      </c>
      <c r="G469" s="209">
        <v>0</v>
      </c>
      <c r="H469" s="209">
        <v>529278.71999999997</v>
      </c>
      <c r="I469" s="209">
        <v>529278.71999999997</v>
      </c>
      <c r="J469" s="150">
        <v>0</v>
      </c>
      <c r="K469" s="150">
        <v>7080.69</v>
      </c>
      <c r="L469" s="150">
        <f t="shared" si="601"/>
        <v>7080.69</v>
      </c>
      <c r="M469" s="150">
        <v>0</v>
      </c>
      <c r="N469" s="150">
        <v>3500.06</v>
      </c>
      <c r="O469" s="150">
        <v>3500.06</v>
      </c>
      <c r="P469" s="150">
        <v>0</v>
      </c>
      <c r="Q469" s="150">
        <v>11660.76</v>
      </c>
      <c r="R469" s="150">
        <f t="shared" si="585"/>
        <v>11660.76</v>
      </c>
      <c r="S469" s="150">
        <f t="shared" si="595"/>
        <v>15547.68</v>
      </c>
      <c r="T469" s="150"/>
      <c r="U469" s="150">
        <v>0</v>
      </c>
      <c r="V469" s="199">
        <v>17996.150000000001</v>
      </c>
      <c r="W469" s="150">
        <f t="shared" si="586"/>
        <v>17996.150000000001</v>
      </c>
      <c r="X469" s="150">
        <v>0</v>
      </c>
      <c r="Y469" s="150">
        <v>17996.150000000001</v>
      </c>
      <c r="Z469" s="150">
        <v>17996.150000000001</v>
      </c>
      <c r="AA469" s="150">
        <f t="shared" si="596"/>
        <v>0</v>
      </c>
      <c r="AB469" s="150">
        <v>0</v>
      </c>
      <c r="AC469" s="199">
        <v>17996.150000000001</v>
      </c>
      <c r="AD469" s="150">
        <f t="shared" si="587"/>
        <v>17996.150000000001</v>
      </c>
      <c r="AE469" s="150">
        <v>34028.25</v>
      </c>
      <c r="AF469" s="169" t="s">
        <v>4680</v>
      </c>
      <c r="AG469" s="201">
        <v>0</v>
      </c>
      <c r="AH469" s="199">
        <v>34028.25</v>
      </c>
      <c r="AI469" s="150">
        <v>34028.25</v>
      </c>
      <c r="AJ469" s="169">
        <f t="shared" si="597"/>
        <v>0</v>
      </c>
      <c r="AK469" s="201">
        <v>0</v>
      </c>
      <c r="AL469" s="199">
        <v>34028.25</v>
      </c>
      <c r="AM469" s="150">
        <f t="shared" si="588"/>
        <v>34028.25</v>
      </c>
      <c r="AN469" s="153">
        <f t="shared" si="598"/>
        <v>0</v>
      </c>
      <c r="AO469" s="154">
        <f t="shared" si="599"/>
        <v>0</v>
      </c>
      <c r="AP469" s="150">
        <v>34028.25</v>
      </c>
      <c r="AQ469" s="201">
        <v>34028.25</v>
      </c>
      <c r="AR469" s="199"/>
      <c r="AS469" s="150">
        <f t="shared" si="589"/>
        <v>34028.25</v>
      </c>
      <c r="AT469" s="155"/>
      <c r="AU469" s="156">
        <f t="shared" si="592"/>
        <v>16032.099999999999</v>
      </c>
      <c r="AV469" s="156">
        <f t="shared" si="593"/>
        <v>0</v>
      </c>
      <c r="AW469" s="157"/>
      <c r="AX469" s="150">
        <v>17996.150000000001</v>
      </c>
      <c r="AY469" s="150">
        <v>0</v>
      </c>
      <c r="AZ469" s="150"/>
      <c r="BA469" s="150">
        <f t="shared" si="594"/>
        <v>0</v>
      </c>
      <c r="BB469" s="202">
        <v>4</v>
      </c>
      <c r="BC469" s="202">
        <v>10</v>
      </c>
      <c r="BD469" s="194" t="s">
        <v>632</v>
      </c>
      <c r="BE469" s="194" t="s">
        <v>632</v>
      </c>
      <c r="BF469" s="194" t="s">
        <v>1850</v>
      </c>
      <c r="BG469" s="203" t="s">
        <v>1226</v>
      </c>
      <c r="BH469" s="216">
        <f t="shared" si="590"/>
        <v>34028.25</v>
      </c>
      <c r="BI469" s="202"/>
      <c r="BJ469" s="194" t="s">
        <v>5912</v>
      </c>
      <c r="BK469" s="194" t="s">
        <v>5910</v>
      </c>
      <c r="BL469" s="207" t="s">
        <v>5913</v>
      </c>
      <c r="BM469" s="208">
        <f t="shared" si="591"/>
        <v>34028.25</v>
      </c>
      <c r="BN469" s="160"/>
      <c r="BO469" s="161">
        <f t="shared" si="600"/>
        <v>0</v>
      </c>
      <c r="BP469" s="161"/>
    </row>
    <row r="470" spans="1:68" ht="38.25">
      <c r="A470" s="194" t="s">
        <v>5910</v>
      </c>
      <c r="B470" s="195" t="s">
        <v>5923</v>
      </c>
      <c r="C470" s="196" t="s">
        <v>5924</v>
      </c>
      <c r="D470" s="146" t="s">
        <v>4692</v>
      </c>
      <c r="E470" s="196" t="s">
        <v>5924</v>
      </c>
      <c r="F470" s="150">
        <v>536090.04</v>
      </c>
      <c r="G470" s="209">
        <v>0</v>
      </c>
      <c r="H470" s="209">
        <v>10668.32</v>
      </c>
      <c r="I470" s="209">
        <v>10668.32</v>
      </c>
      <c r="J470" s="150">
        <v>0</v>
      </c>
      <c r="K470" s="150">
        <v>529278.71999999997</v>
      </c>
      <c r="L470" s="150">
        <f t="shared" si="601"/>
        <v>529278.71999999997</v>
      </c>
      <c r="M470" s="150">
        <v>0</v>
      </c>
      <c r="N470" s="150">
        <v>538992.42999999993</v>
      </c>
      <c r="O470" s="150">
        <v>538992.42999999993</v>
      </c>
      <c r="P470" s="150">
        <v>0</v>
      </c>
      <c r="Q470" s="150">
        <v>538992.42999999993</v>
      </c>
      <c r="R470" s="150">
        <f t="shared" si="585"/>
        <v>538992.42999999993</v>
      </c>
      <c r="S470" s="150">
        <f t="shared" si="595"/>
        <v>718656.57333333325</v>
      </c>
      <c r="T470" s="150"/>
      <c r="U470" s="150">
        <v>0</v>
      </c>
      <c r="V470" s="199">
        <v>9135.65</v>
      </c>
      <c r="W470" s="150">
        <f t="shared" si="586"/>
        <v>9135.65</v>
      </c>
      <c r="X470" s="150">
        <v>0</v>
      </c>
      <c r="Y470" s="150">
        <v>9135.65</v>
      </c>
      <c r="Z470" s="150">
        <v>9135.65</v>
      </c>
      <c r="AA470" s="150">
        <f t="shared" si="596"/>
        <v>0</v>
      </c>
      <c r="AB470" s="150">
        <v>0</v>
      </c>
      <c r="AC470" s="199">
        <v>9135.65</v>
      </c>
      <c r="AD470" s="150">
        <f t="shared" si="587"/>
        <v>9135.65</v>
      </c>
      <c r="AE470" s="150">
        <v>76630.13</v>
      </c>
      <c r="AF470" s="169" t="s">
        <v>4680</v>
      </c>
      <c r="AG470" s="201">
        <v>0</v>
      </c>
      <c r="AH470" s="199">
        <v>76630.13</v>
      </c>
      <c r="AI470" s="150">
        <v>76630.13</v>
      </c>
      <c r="AJ470" s="169">
        <f t="shared" si="597"/>
        <v>0</v>
      </c>
      <c r="AK470" s="201">
        <v>0</v>
      </c>
      <c r="AL470" s="199">
        <v>76630.13</v>
      </c>
      <c r="AM470" s="150">
        <f t="shared" si="588"/>
        <v>76630.13</v>
      </c>
      <c r="AN470" s="153">
        <f t="shared" si="598"/>
        <v>0</v>
      </c>
      <c r="AO470" s="154">
        <f t="shared" si="599"/>
        <v>0</v>
      </c>
      <c r="AP470" s="150">
        <v>76630.13</v>
      </c>
      <c r="AQ470" s="201">
        <v>76630.13</v>
      </c>
      <c r="AR470" s="199"/>
      <c r="AS470" s="150">
        <f t="shared" si="589"/>
        <v>76630.13</v>
      </c>
      <c r="AT470" s="155"/>
      <c r="AU470" s="156">
        <f t="shared" si="592"/>
        <v>67494.48000000001</v>
      </c>
      <c r="AV470" s="156">
        <f t="shared" si="593"/>
        <v>0</v>
      </c>
      <c r="AW470" s="157"/>
      <c r="AX470" s="150">
        <v>9135.65</v>
      </c>
      <c r="AY470" s="150">
        <v>0</v>
      </c>
      <c r="AZ470" s="150"/>
      <c r="BA470" s="150">
        <f t="shared" si="594"/>
        <v>0</v>
      </c>
      <c r="BB470" s="202">
        <v>4</v>
      </c>
      <c r="BC470" s="202">
        <v>10</v>
      </c>
      <c r="BD470" s="194" t="s">
        <v>632</v>
      </c>
      <c r="BE470" s="194" t="s">
        <v>632</v>
      </c>
      <c r="BF470" s="194" t="s">
        <v>1855</v>
      </c>
      <c r="BG470" s="203" t="s">
        <v>1230</v>
      </c>
      <c r="BH470" s="216">
        <f>SUM(AS470:AS475)</f>
        <v>1661763.37</v>
      </c>
      <c r="BI470" s="202"/>
      <c r="BJ470" s="194" t="s">
        <v>5912</v>
      </c>
      <c r="BK470" s="194" t="s">
        <v>5910</v>
      </c>
      <c r="BL470" s="207" t="s">
        <v>5913</v>
      </c>
      <c r="BM470" s="208">
        <f t="shared" si="591"/>
        <v>1661763.37</v>
      </c>
      <c r="BN470" s="160"/>
      <c r="BO470" s="161"/>
      <c r="BP470" s="161"/>
    </row>
    <row r="471" spans="1:68" ht="51">
      <c r="A471" s="202"/>
      <c r="B471" s="195" t="s">
        <v>5925</v>
      </c>
      <c r="C471" s="196" t="s">
        <v>5926</v>
      </c>
      <c r="D471" s="146" t="s">
        <v>4692</v>
      </c>
      <c r="E471" s="196" t="s">
        <v>5926</v>
      </c>
      <c r="F471" s="150">
        <v>15265.12</v>
      </c>
      <c r="G471" s="209">
        <v>0</v>
      </c>
      <c r="H471" s="209">
        <v>40000.57</v>
      </c>
      <c r="I471" s="209">
        <v>40000.57</v>
      </c>
      <c r="J471" s="150">
        <v>0</v>
      </c>
      <c r="K471" s="150">
        <v>0</v>
      </c>
      <c r="L471" s="150">
        <f t="shared" si="601"/>
        <v>0</v>
      </c>
      <c r="M471" s="150">
        <v>0</v>
      </c>
      <c r="N471" s="150">
        <v>20017.919999999998</v>
      </c>
      <c r="O471" s="150">
        <v>20017.919999999998</v>
      </c>
      <c r="P471" s="150">
        <v>0</v>
      </c>
      <c r="Q471" s="150">
        <v>22536.799999999999</v>
      </c>
      <c r="R471" s="150">
        <f t="shared" si="585"/>
        <v>22536.799999999999</v>
      </c>
      <c r="S471" s="150">
        <f t="shared" si="595"/>
        <v>30049.066666666666</v>
      </c>
      <c r="T471" s="150"/>
      <c r="U471" s="150">
        <v>0</v>
      </c>
      <c r="V471" s="199">
        <v>93201.33</v>
      </c>
      <c r="W471" s="150">
        <f t="shared" si="586"/>
        <v>93201.33</v>
      </c>
      <c r="X471" s="150">
        <v>0</v>
      </c>
      <c r="Y471" s="150">
        <v>93201.33</v>
      </c>
      <c r="Z471" s="150">
        <v>93201.33</v>
      </c>
      <c r="AA471" s="150">
        <f t="shared" si="596"/>
        <v>0</v>
      </c>
      <c r="AB471" s="150">
        <v>0</v>
      </c>
      <c r="AC471" s="199">
        <v>93201.33</v>
      </c>
      <c r="AD471" s="150">
        <f t="shared" si="587"/>
        <v>93201.33</v>
      </c>
      <c r="AE471" s="150">
        <v>44523.49</v>
      </c>
      <c r="AF471" s="169" t="s">
        <v>4680</v>
      </c>
      <c r="AG471" s="201">
        <v>0</v>
      </c>
      <c r="AH471" s="199">
        <v>44523.49</v>
      </c>
      <c r="AI471" s="150">
        <v>44523.49</v>
      </c>
      <c r="AJ471" s="169">
        <f t="shared" si="597"/>
        <v>0</v>
      </c>
      <c r="AK471" s="201">
        <v>0</v>
      </c>
      <c r="AL471" s="199">
        <v>44523.49</v>
      </c>
      <c r="AM471" s="150">
        <f t="shared" si="588"/>
        <v>44523.49</v>
      </c>
      <c r="AN471" s="153">
        <f t="shared" si="598"/>
        <v>0</v>
      </c>
      <c r="AO471" s="154">
        <f t="shared" si="599"/>
        <v>0</v>
      </c>
      <c r="AP471" s="150">
        <v>44523.49</v>
      </c>
      <c r="AQ471" s="201">
        <v>44523.49</v>
      </c>
      <c r="AR471" s="199"/>
      <c r="AS471" s="150">
        <f t="shared" si="589"/>
        <v>44523.49</v>
      </c>
      <c r="AT471" s="155"/>
      <c r="AU471" s="156">
        <f t="shared" si="592"/>
        <v>-48677.840000000004</v>
      </c>
      <c r="AV471" s="156">
        <f t="shared" si="593"/>
        <v>0</v>
      </c>
      <c r="AW471" s="157"/>
      <c r="AX471" s="150">
        <v>93201.33</v>
      </c>
      <c r="AY471" s="150">
        <v>0</v>
      </c>
      <c r="AZ471" s="150"/>
      <c r="BA471" s="150">
        <f t="shared" si="594"/>
        <v>0</v>
      </c>
      <c r="BB471" s="202"/>
      <c r="BC471" s="202"/>
      <c r="BD471" s="202"/>
      <c r="BE471" s="202"/>
      <c r="BF471" s="202"/>
      <c r="BG471" s="203"/>
      <c r="BH471" s="216"/>
      <c r="BI471" s="202"/>
      <c r="BJ471" s="202"/>
      <c r="BK471" s="202"/>
      <c r="BL471" s="203"/>
      <c r="BM471" s="208"/>
      <c r="BN471" s="160"/>
      <c r="BO471" s="161"/>
      <c r="BP471" s="161"/>
    </row>
    <row r="472" spans="1:68" ht="51">
      <c r="A472" s="202"/>
      <c r="B472" s="195" t="s">
        <v>5927</v>
      </c>
      <c r="C472" s="196" t="s">
        <v>5928</v>
      </c>
      <c r="D472" s="146" t="s">
        <v>4692</v>
      </c>
      <c r="E472" s="196" t="s">
        <v>5928</v>
      </c>
      <c r="F472" s="150">
        <v>40000.57</v>
      </c>
      <c r="G472" s="209">
        <v>0</v>
      </c>
      <c r="H472" s="209">
        <v>10056.26</v>
      </c>
      <c r="I472" s="209">
        <v>10056.26</v>
      </c>
      <c r="J472" s="150">
        <v>0</v>
      </c>
      <c r="K472" s="150">
        <v>10668.32</v>
      </c>
      <c r="L472" s="150">
        <f t="shared" si="601"/>
        <v>10668.32</v>
      </c>
      <c r="M472" s="150">
        <v>0</v>
      </c>
      <c r="N472" s="150">
        <v>129690.39</v>
      </c>
      <c r="O472" s="150">
        <v>129690.39</v>
      </c>
      <c r="P472" s="150">
        <v>0</v>
      </c>
      <c r="Q472" s="150">
        <v>47454.26</v>
      </c>
      <c r="R472" s="150">
        <f t="shared" si="585"/>
        <v>47454.26</v>
      </c>
      <c r="S472" s="150">
        <f t="shared" si="595"/>
        <v>63272.346666666672</v>
      </c>
      <c r="T472" s="150"/>
      <c r="U472" s="150">
        <v>0</v>
      </c>
      <c r="V472" s="199">
        <v>655563.42000000004</v>
      </c>
      <c r="W472" s="150">
        <f t="shared" si="586"/>
        <v>655563.42000000004</v>
      </c>
      <c r="X472" s="150">
        <v>0</v>
      </c>
      <c r="Y472" s="150">
        <v>655563.42000000004</v>
      </c>
      <c r="Z472" s="150">
        <v>655563.42000000004</v>
      </c>
      <c r="AA472" s="150">
        <f t="shared" si="596"/>
        <v>0</v>
      </c>
      <c r="AB472" s="150">
        <v>0</v>
      </c>
      <c r="AC472" s="199">
        <v>655563.42000000004</v>
      </c>
      <c r="AD472" s="150">
        <f t="shared" si="587"/>
        <v>655563.42000000004</v>
      </c>
      <c r="AE472" s="150">
        <v>747958.42</v>
      </c>
      <c r="AF472" s="169" t="s">
        <v>4680</v>
      </c>
      <c r="AG472" s="201">
        <v>0</v>
      </c>
      <c r="AH472" s="199">
        <v>747958.42</v>
      </c>
      <c r="AI472" s="150">
        <v>747958.42</v>
      </c>
      <c r="AJ472" s="169">
        <f t="shared" si="597"/>
        <v>0</v>
      </c>
      <c r="AK472" s="201">
        <v>0</v>
      </c>
      <c r="AL472" s="199">
        <v>747958.42</v>
      </c>
      <c r="AM472" s="150">
        <f t="shared" si="588"/>
        <v>747958.42</v>
      </c>
      <c r="AN472" s="153">
        <f t="shared" si="598"/>
        <v>0</v>
      </c>
      <c r="AO472" s="154">
        <f t="shared" si="599"/>
        <v>0</v>
      </c>
      <c r="AP472" s="150">
        <v>747958.42</v>
      </c>
      <c r="AQ472" s="201">
        <v>747958.42</v>
      </c>
      <c r="AR472" s="199"/>
      <c r="AS472" s="150">
        <f t="shared" si="589"/>
        <v>747958.42</v>
      </c>
      <c r="AT472" s="155"/>
      <c r="AU472" s="156">
        <f t="shared" si="592"/>
        <v>92395</v>
      </c>
      <c r="AV472" s="156">
        <f t="shared" si="593"/>
        <v>0</v>
      </c>
      <c r="AW472" s="157"/>
      <c r="AX472" s="150">
        <v>655563.42000000004</v>
      </c>
      <c r="AY472" s="150">
        <v>0</v>
      </c>
      <c r="AZ472" s="150"/>
      <c r="BA472" s="150">
        <f t="shared" si="594"/>
        <v>0</v>
      </c>
      <c r="BB472" s="202"/>
      <c r="BC472" s="202"/>
      <c r="BD472" s="202"/>
      <c r="BE472" s="202"/>
      <c r="BF472" s="202"/>
      <c r="BG472" s="203"/>
      <c r="BH472" s="216"/>
      <c r="BI472" s="202"/>
      <c r="BJ472" s="202"/>
      <c r="BK472" s="202"/>
      <c r="BL472" s="203"/>
      <c r="BM472" s="208"/>
      <c r="BN472" s="160"/>
      <c r="BO472" s="161"/>
      <c r="BP472" s="161"/>
    </row>
    <row r="473" spans="1:68" ht="51">
      <c r="A473" s="202"/>
      <c r="B473" s="195" t="s">
        <v>5929</v>
      </c>
      <c r="C473" s="196" t="s">
        <v>5930</v>
      </c>
      <c r="D473" s="146" t="s">
        <v>4692</v>
      </c>
      <c r="E473" s="196" t="s">
        <v>5930</v>
      </c>
      <c r="F473" s="150">
        <v>10056.26</v>
      </c>
      <c r="G473" s="209">
        <v>0</v>
      </c>
      <c r="H473" s="209">
        <v>18846.63</v>
      </c>
      <c r="I473" s="209">
        <v>18846.63</v>
      </c>
      <c r="J473" s="150">
        <v>0</v>
      </c>
      <c r="K473" s="150">
        <v>40000.57</v>
      </c>
      <c r="L473" s="150">
        <f t="shared" si="601"/>
        <v>40000.57</v>
      </c>
      <c r="M473" s="150">
        <v>0</v>
      </c>
      <c r="N473" s="150">
        <v>10056.26</v>
      </c>
      <c r="O473" s="150">
        <v>10056.26</v>
      </c>
      <c r="P473" s="150">
        <v>0</v>
      </c>
      <c r="Q473" s="150">
        <v>10056.26</v>
      </c>
      <c r="R473" s="150">
        <f t="shared" si="585"/>
        <v>10056.26</v>
      </c>
      <c r="S473" s="150">
        <f t="shared" si="595"/>
        <v>13408.346666666668</v>
      </c>
      <c r="T473" s="150"/>
      <c r="U473" s="150">
        <v>0</v>
      </c>
      <c r="V473" s="199">
        <v>10056.26</v>
      </c>
      <c r="W473" s="150">
        <f t="shared" si="586"/>
        <v>10056.26</v>
      </c>
      <c r="X473" s="150">
        <v>0</v>
      </c>
      <c r="Y473" s="150">
        <v>10056.26</v>
      </c>
      <c r="Z473" s="150">
        <v>10056.26</v>
      </c>
      <c r="AA473" s="150">
        <f t="shared" si="596"/>
        <v>0</v>
      </c>
      <c r="AB473" s="150">
        <v>0</v>
      </c>
      <c r="AC473" s="199">
        <v>10056.26</v>
      </c>
      <c r="AD473" s="150">
        <f t="shared" si="587"/>
        <v>10056.26</v>
      </c>
      <c r="AE473" s="150">
        <v>67587.66</v>
      </c>
      <c r="AF473" s="169" t="s">
        <v>4680</v>
      </c>
      <c r="AG473" s="201">
        <v>0</v>
      </c>
      <c r="AH473" s="199">
        <v>67587.66</v>
      </c>
      <c r="AI473" s="150">
        <v>67587.66</v>
      </c>
      <c r="AJ473" s="169">
        <f t="shared" si="597"/>
        <v>0</v>
      </c>
      <c r="AK473" s="201">
        <v>0</v>
      </c>
      <c r="AL473" s="199">
        <v>67587.66</v>
      </c>
      <c r="AM473" s="150">
        <f t="shared" si="588"/>
        <v>67587.66</v>
      </c>
      <c r="AN473" s="153">
        <f t="shared" si="598"/>
        <v>0</v>
      </c>
      <c r="AO473" s="154">
        <f t="shared" si="599"/>
        <v>0</v>
      </c>
      <c r="AP473" s="150">
        <v>67587.66</v>
      </c>
      <c r="AQ473" s="201">
        <v>67587.66</v>
      </c>
      <c r="AR473" s="199"/>
      <c r="AS473" s="150">
        <f t="shared" si="589"/>
        <v>67587.66</v>
      </c>
      <c r="AT473" s="155"/>
      <c r="AU473" s="156">
        <f t="shared" si="592"/>
        <v>57531.4</v>
      </c>
      <c r="AV473" s="156">
        <f t="shared" si="593"/>
        <v>0</v>
      </c>
      <c r="AW473" s="157"/>
      <c r="AX473" s="150">
        <v>10056.26</v>
      </c>
      <c r="AY473" s="150">
        <v>0</v>
      </c>
      <c r="AZ473" s="150"/>
      <c r="BA473" s="150">
        <f t="shared" si="594"/>
        <v>0</v>
      </c>
      <c r="BB473" s="202"/>
      <c r="BC473" s="202"/>
      <c r="BD473" s="202"/>
      <c r="BE473" s="202"/>
      <c r="BF473" s="202"/>
      <c r="BG473" s="286"/>
      <c r="BH473" s="216"/>
      <c r="BI473" s="202"/>
      <c r="BJ473" s="202"/>
      <c r="BK473" s="202"/>
      <c r="BL473" s="203"/>
      <c r="BM473" s="208"/>
      <c r="BN473" s="160"/>
      <c r="BO473" s="161"/>
      <c r="BP473" s="161"/>
    </row>
    <row r="474" spans="1:68" ht="51">
      <c r="A474" s="202"/>
      <c r="B474" s="195" t="s">
        <v>5931</v>
      </c>
      <c r="C474" s="196" t="s">
        <v>5932</v>
      </c>
      <c r="D474" s="146" t="s">
        <v>4692</v>
      </c>
      <c r="E474" s="196" t="s">
        <v>5932</v>
      </c>
      <c r="F474" s="150">
        <v>18846.63</v>
      </c>
      <c r="G474" s="209">
        <v>0</v>
      </c>
      <c r="H474" s="209"/>
      <c r="I474" s="209">
        <v>0</v>
      </c>
      <c r="J474" s="150">
        <v>0</v>
      </c>
      <c r="K474" s="150">
        <v>10056.26</v>
      </c>
      <c r="L474" s="150">
        <f t="shared" si="601"/>
        <v>10056.26</v>
      </c>
      <c r="M474" s="150">
        <v>0</v>
      </c>
      <c r="N474" s="150">
        <v>18919.43</v>
      </c>
      <c r="O474" s="150">
        <v>18919.43</v>
      </c>
      <c r="P474" s="150">
        <v>0</v>
      </c>
      <c r="Q474" s="150">
        <v>18919.43</v>
      </c>
      <c r="R474" s="150">
        <f t="shared" si="585"/>
        <v>18919.43</v>
      </c>
      <c r="S474" s="150">
        <f t="shared" si="595"/>
        <v>25225.906666666669</v>
      </c>
      <c r="T474" s="150"/>
      <c r="U474" s="150">
        <v>0</v>
      </c>
      <c r="V474" s="199">
        <v>19522.490000000002</v>
      </c>
      <c r="W474" s="150">
        <f t="shared" si="586"/>
        <v>19522.490000000002</v>
      </c>
      <c r="X474" s="150">
        <v>0</v>
      </c>
      <c r="Y474" s="150">
        <v>19522.490000000002</v>
      </c>
      <c r="Z474" s="150">
        <v>19522.490000000002</v>
      </c>
      <c r="AA474" s="150">
        <f t="shared" si="596"/>
        <v>0</v>
      </c>
      <c r="AB474" s="150">
        <v>0</v>
      </c>
      <c r="AC474" s="199">
        <v>19522.490000000002</v>
      </c>
      <c r="AD474" s="150">
        <f t="shared" si="587"/>
        <v>19522.490000000002</v>
      </c>
      <c r="AE474" s="150">
        <v>87658.37</v>
      </c>
      <c r="AF474" s="169" t="s">
        <v>4680</v>
      </c>
      <c r="AG474" s="201">
        <v>0</v>
      </c>
      <c r="AH474" s="199">
        <v>87658.37</v>
      </c>
      <c r="AI474" s="150">
        <v>87658.37</v>
      </c>
      <c r="AJ474" s="169">
        <f t="shared" si="597"/>
        <v>0</v>
      </c>
      <c r="AK474" s="201">
        <v>0</v>
      </c>
      <c r="AL474" s="199">
        <v>87658.37</v>
      </c>
      <c r="AM474" s="150">
        <f t="shared" si="588"/>
        <v>87658.37</v>
      </c>
      <c r="AN474" s="153">
        <f t="shared" si="598"/>
        <v>0</v>
      </c>
      <c r="AO474" s="154">
        <f t="shared" si="599"/>
        <v>0</v>
      </c>
      <c r="AP474" s="150">
        <v>87658.37</v>
      </c>
      <c r="AQ474" s="201">
        <v>87658.37</v>
      </c>
      <c r="AR474" s="199"/>
      <c r="AS474" s="150">
        <f t="shared" si="589"/>
        <v>87658.37</v>
      </c>
      <c r="AT474" s="155"/>
      <c r="AU474" s="156">
        <f t="shared" si="592"/>
        <v>68135.87999999999</v>
      </c>
      <c r="AV474" s="156">
        <f t="shared" si="593"/>
        <v>0</v>
      </c>
      <c r="AW474" s="157"/>
      <c r="AX474" s="150">
        <v>19522.490000000002</v>
      </c>
      <c r="AY474" s="150">
        <v>0</v>
      </c>
      <c r="AZ474" s="150"/>
      <c r="BA474" s="150">
        <f t="shared" si="594"/>
        <v>0</v>
      </c>
      <c r="BB474" s="202"/>
      <c r="BC474" s="202"/>
      <c r="BD474" s="202"/>
      <c r="BE474" s="202"/>
      <c r="BF474" s="202"/>
      <c r="BG474" s="203"/>
      <c r="BH474" s="216"/>
      <c r="BI474" s="202"/>
      <c r="BJ474" s="202"/>
      <c r="BK474" s="202"/>
      <c r="BL474" s="203"/>
      <c r="BM474" s="208"/>
      <c r="BN474" s="160"/>
      <c r="BO474" s="161"/>
      <c r="BP474" s="161"/>
    </row>
    <row r="475" spans="1:68" ht="51">
      <c r="A475" s="202"/>
      <c r="B475" s="195" t="s">
        <v>5933</v>
      </c>
      <c r="C475" s="196" t="s">
        <v>5934</v>
      </c>
      <c r="D475" s="146" t="s">
        <v>4692</v>
      </c>
      <c r="E475" s="196" t="s">
        <v>5934</v>
      </c>
      <c r="F475" s="150">
        <v>0</v>
      </c>
      <c r="G475" s="209">
        <v>0</v>
      </c>
      <c r="H475" s="209">
        <v>54218.32</v>
      </c>
      <c r="I475" s="209">
        <v>54218.32</v>
      </c>
      <c r="J475" s="150">
        <v>0</v>
      </c>
      <c r="K475" s="150">
        <v>18846.63</v>
      </c>
      <c r="L475" s="150">
        <f t="shared" si="601"/>
        <v>18846.63</v>
      </c>
      <c r="M475" s="150">
        <v>0</v>
      </c>
      <c r="N475" s="150"/>
      <c r="O475" s="150">
        <v>0</v>
      </c>
      <c r="P475" s="150">
        <v>0</v>
      </c>
      <c r="Q475" s="150"/>
      <c r="R475" s="150">
        <f t="shared" si="585"/>
        <v>0</v>
      </c>
      <c r="S475" s="150">
        <f t="shared" si="595"/>
        <v>0</v>
      </c>
      <c r="T475" s="150"/>
      <c r="U475" s="150">
        <v>0</v>
      </c>
      <c r="V475" s="199">
        <v>544846.07999999996</v>
      </c>
      <c r="W475" s="150">
        <f t="shared" si="586"/>
        <v>544846.07999999996</v>
      </c>
      <c r="X475" s="150">
        <v>0</v>
      </c>
      <c r="Y475" s="150">
        <v>544846.07999999996</v>
      </c>
      <c r="Z475" s="150">
        <v>544846.07999999996</v>
      </c>
      <c r="AA475" s="150">
        <f t="shared" si="596"/>
        <v>0</v>
      </c>
      <c r="AB475" s="150">
        <v>0</v>
      </c>
      <c r="AC475" s="199">
        <v>544846.07999999996</v>
      </c>
      <c r="AD475" s="150">
        <f t="shared" si="587"/>
        <v>544846.07999999996</v>
      </c>
      <c r="AE475" s="150">
        <v>637405.30000000005</v>
      </c>
      <c r="AF475" s="169" t="s">
        <v>4680</v>
      </c>
      <c r="AG475" s="201">
        <v>0</v>
      </c>
      <c r="AH475" s="199">
        <v>637405.30000000005</v>
      </c>
      <c r="AI475" s="150">
        <v>637405.30000000005</v>
      </c>
      <c r="AJ475" s="169">
        <f t="shared" si="597"/>
        <v>0</v>
      </c>
      <c r="AK475" s="201">
        <v>0</v>
      </c>
      <c r="AL475" s="199">
        <v>637405.30000000005</v>
      </c>
      <c r="AM475" s="150">
        <f t="shared" si="588"/>
        <v>637405.30000000005</v>
      </c>
      <c r="AN475" s="153">
        <f t="shared" si="598"/>
        <v>0</v>
      </c>
      <c r="AO475" s="154">
        <f t="shared" si="599"/>
        <v>0</v>
      </c>
      <c r="AP475" s="150">
        <v>637405.30000000005</v>
      </c>
      <c r="AQ475" s="201">
        <v>637405.30000000005</v>
      </c>
      <c r="AR475" s="199"/>
      <c r="AS475" s="150">
        <f t="shared" si="589"/>
        <v>637405.30000000005</v>
      </c>
      <c r="AT475" s="155"/>
      <c r="AU475" s="156">
        <f t="shared" si="592"/>
        <v>92559.220000000088</v>
      </c>
      <c r="AV475" s="156">
        <f t="shared" si="593"/>
        <v>0</v>
      </c>
      <c r="AW475" s="157"/>
      <c r="AX475" s="150">
        <v>544846.07999999996</v>
      </c>
      <c r="AY475" s="150">
        <v>0</v>
      </c>
      <c r="AZ475" s="150"/>
      <c r="BA475" s="150">
        <f t="shared" si="594"/>
        <v>0</v>
      </c>
      <c r="BB475" s="202"/>
      <c r="BC475" s="202"/>
      <c r="BD475" s="202"/>
      <c r="BE475" s="202"/>
      <c r="BF475" s="202"/>
      <c r="BG475" s="203"/>
      <c r="BH475" s="216"/>
      <c r="BI475" s="202"/>
      <c r="BJ475" s="202"/>
      <c r="BK475" s="202"/>
      <c r="BL475" s="203"/>
      <c r="BM475" s="208"/>
      <c r="BN475" s="160"/>
      <c r="BO475" s="161"/>
      <c r="BP475" s="161"/>
    </row>
    <row r="476" spans="1:68" ht="25.5">
      <c r="A476" s="194" t="s">
        <v>5910</v>
      </c>
      <c r="B476" s="195" t="s">
        <v>5935</v>
      </c>
      <c r="C476" s="196" t="s">
        <v>1242</v>
      </c>
      <c r="D476" s="146" t="s">
        <v>4692</v>
      </c>
      <c r="E476" s="196" t="s">
        <v>1242</v>
      </c>
      <c r="F476" s="150">
        <v>52529.23</v>
      </c>
      <c r="G476" s="209">
        <v>0</v>
      </c>
      <c r="H476" s="209">
        <v>71957.759999999995</v>
      </c>
      <c r="I476" s="209">
        <v>71957.759999999995</v>
      </c>
      <c r="J476" s="150">
        <v>0</v>
      </c>
      <c r="K476" s="150">
        <v>54218.32</v>
      </c>
      <c r="L476" s="150">
        <f t="shared" si="601"/>
        <v>54218.32</v>
      </c>
      <c r="M476" s="150">
        <v>0</v>
      </c>
      <c r="N476" s="150">
        <v>110864.26999999999</v>
      </c>
      <c r="O476" s="150">
        <v>110864.26999999999</v>
      </c>
      <c r="P476" s="150">
        <v>0</v>
      </c>
      <c r="Q476" s="150">
        <v>39450.79</v>
      </c>
      <c r="R476" s="150">
        <f t="shared" si="585"/>
        <v>39450.79</v>
      </c>
      <c r="S476" s="150">
        <f t="shared" si="595"/>
        <v>52601.05333333333</v>
      </c>
      <c r="T476" s="150"/>
      <c r="U476" s="150">
        <v>0</v>
      </c>
      <c r="V476" s="199">
        <f>39169.96+16979.41</f>
        <v>56149.369999999995</v>
      </c>
      <c r="W476" s="150">
        <f t="shared" si="586"/>
        <v>56149.369999999995</v>
      </c>
      <c r="X476" s="150">
        <v>0</v>
      </c>
      <c r="Y476" s="150">
        <v>56149.369999999995</v>
      </c>
      <c r="Z476" s="150">
        <v>56149.369999999995</v>
      </c>
      <c r="AA476" s="150">
        <f t="shared" si="596"/>
        <v>0</v>
      </c>
      <c r="AB476" s="150">
        <v>0</v>
      </c>
      <c r="AC476" s="199">
        <v>56149.369999999995</v>
      </c>
      <c r="AD476" s="150">
        <f t="shared" si="587"/>
        <v>56149.369999999995</v>
      </c>
      <c r="AE476" s="150">
        <v>98759.13</v>
      </c>
      <c r="AF476" s="169" t="s">
        <v>4680</v>
      </c>
      <c r="AG476" s="201">
        <v>0</v>
      </c>
      <c r="AH476" s="199">
        <v>98759.13</v>
      </c>
      <c r="AI476" s="150">
        <v>98759.13</v>
      </c>
      <c r="AJ476" s="169">
        <f t="shared" si="597"/>
        <v>0</v>
      </c>
      <c r="AK476" s="201">
        <v>0</v>
      </c>
      <c r="AL476" s="199">
        <v>98759.13</v>
      </c>
      <c r="AM476" s="150">
        <f t="shared" si="588"/>
        <v>98759.13</v>
      </c>
      <c r="AN476" s="153">
        <f t="shared" si="598"/>
        <v>0</v>
      </c>
      <c r="AO476" s="154">
        <f t="shared" si="599"/>
        <v>0</v>
      </c>
      <c r="AP476" s="150">
        <v>98759.13</v>
      </c>
      <c r="AQ476" s="201">
        <v>98759.13</v>
      </c>
      <c r="AR476" s="199"/>
      <c r="AS476" s="150">
        <f t="shared" si="589"/>
        <v>98759.13</v>
      </c>
      <c r="AT476" s="155"/>
      <c r="AU476" s="156">
        <f t="shared" si="592"/>
        <v>42609.760000000009</v>
      </c>
      <c r="AV476" s="156">
        <f t="shared" si="593"/>
        <v>0</v>
      </c>
      <c r="AW476" s="157"/>
      <c r="AX476" s="150">
        <v>56149.369999999995</v>
      </c>
      <c r="AY476" s="150">
        <v>0</v>
      </c>
      <c r="AZ476" s="150"/>
      <c r="BA476" s="150">
        <f t="shared" si="594"/>
        <v>0</v>
      </c>
      <c r="BB476" s="202">
        <v>4</v>
      </c>
      <c r="BC476" s="202">
        <v>10</v>
      </c>
      <c r="BD476" s="194" t="s">
        <v>632</v>
      </c>
      <c r="BE476" s="194" t="s">
        <v>632</v>
      </c>
      <c r="BF476" s="194" t="s">
        <v>1859</v>
      </c>
      <c r="BG476" s="203" t="s">
        <v>1244</v>
      </c>
      <c r="BH476" s="216">
        <f t="shared" ref="BH476:BH487" si="602">AS476</f>
        <v>98759.13</v>
      </c>
      <c r="BI476" s="202"/>
      <c r="BJ476" s="194" t="s">
        <v>5912</v>
      </c>
      <c r="BK476" s="194" t="s">
        <v>5910</v>
      </c>
      <c r="BL476" s="207" t="s">
        <v>5913</v>
      </c>
      <c r="BM476" s="208">
        <f t="shared" ref="BM476:BM487" si="603">BH476</f>
        <v>98759.13</v>
      </c>
      <c r="BN476" s="160"/>
      <c r="BO476" s="161">
        <f t="shared" si="600"/>
        <v>0</v>
      </c>
      <c r="BP476" s="161"/>
    </row>
    <row r="477" spans="1:68" ht="25.5">
      <c r="A477" s="194" t="s">
        <v>5910</v>
      </c>
      <c r="B477" s="195" t="s">
        <v>5936</v>
      </c>
      <c r="C477" s="196" t="s">
        <v>5937</v>
      </c>
      <c r="D477" s="146" t="s">
        <v>4692</v>
      </c>
      <c r="E477" s="196" t="s">
        <v>5937</v>
      </c>
      <c r="F477" s="150">
        <v>71957.759999999995</v>
      </c>
      <c r="G477" s="209">
        <v>0</v>
      </c>
      <c r="H477" s="209">
        <v>1919495.1400000001</v>
      </c>
      <c r="I477" s="209">
        <v>1919495.1400000001</v>
      </c>
      <c r="J477" s="150">
        <v>0</v>
      </c>
      <c r="K477" s="150">
        <v>71957.759999999995</v>
      </c>
      <c r="L477" s="150">
        <f t="shared" si="601"/>
        <v>71957.759999999995</v>
      </c>
      <c r="M477" s="150">
        <v>0</v>
      </c>
      <c r="N477" s="150">
        <v>82610.69</v>
      </c>
      <c r="O477" s="150">
        <v>82610.69</v>
      </c>
      <c r="P477" s="150">
        <v>0</v>
      </c>
      <c r="Q477" s="150">
        <v>81778.600000000006</v>
      </c>
      <c r="R477" s="150">
        <f t="shared" si="585"/>
        <v>81778.600000000006</v>
      </c>
      <c r="S477" s="150">
        <f t="shared" si="595"/>
        <v>109038.13333333333</v>
      </c>
      <c r="T477" s="150"/>
      <c r="U477" s="150">
        <v>0</v>
      </c>
      <c r="V477" s="199">
        <v>407910.07</v>
      </c>
      <c r="W477" s="150">
        <f t="shared" si="586"/>
        <v>407910.07</v>
      </c>
      <c r="X477" s="150">
        <v>0</v>
      </c>
      <c r="Y477" s="150">
        <v>407910.07</v>
      </c>
      <c r="Z477" s="150">
        <v>407910.07</v>
      </c>
      <c r="AA477" s="150">
        <f t="shared" si="596"/>
        <v>0</v>
      </c>
      <c r="AB477" s="150">
        <v>0</v>
      </c>
      <c r="AC477" s="199">
        <v>407910.07</v>
      </c>
      <c r="AD477" s="150">
        <f t="shared" si="587"/>
        <v>407910.07</v>
      </c>
      <c r="AE477" s="150">
        <v>100330.25</v>
      </c>
      <c r="AF477" s="169" t="s">
        <v>4680</v>
      </c>
      <c r="AG477" s="201">
        <v>0</v>
      </c>
      <c r="AH477" s="199">
        <v>100330.25</v>
      </c>
      <c r="AI477" s="150">
        <v>100330.25</v>
      </c>
      <c r="AJ477" s="169">
        <f t="shared" si="597"/>
        <v>0</v>
      </c>
      <c r="AK477" s="201">
        <v>0</v>
      </c>
      <c r="AL477" s="199">
        <v>100330.25</v>
      </c>
      <c r="AM477" s="150">
        <f t="shared" si="588"/>
        <v>100330.25</v>
      </c>
      <c r="AN477" s="153">
        <f t="shared" si="598"/>
        <v>0</v>
      </c>
      <c r="AO477" s="154">
        <f t="shared" si="599"/>
        <v>0</v>
      </c>
      <c r="AP477" s="150">
        <v>100330.25</v>
      </c>
      <c r="AQ477" s="201">
        <v>100330.25</v>
      </c>
      <c r="AR477" s="199"/>
      <c r="AS477" s="150">
        <f t="shared" si="589"/>
        <v>100330.25</v>
      </c>
      <c r="AT477" s="155"/>
      <c r="AU477" s="156">
        <f t="shared" si="592"/>
        <v>-307579.82</v>
      </c>
      <c r="AV477" s="156">
        <f t="shared" si="593"/>
        <v>0</v>
      </c>
      <c r="AW477" s="157"/>
      <c r="AX477" s="150">
        <v>407910.07</v>
      </c>
      <c r="AY477" s="150">
        <v>0</v>
      </c>
      <c r="AZ477" s="150"/>
      <c r="BA477" s="150">
        <f t="shared" si="594"/>
        <v>0</v>
      </c>
      <c r="BB477" s="202">
        <v>4</v>
      </c>
      <c r="BC477" s="202">
        <v>10</v>
      </c>
      <c r="BD477" s="194" t="s">
        <v>632</v>
      </c>
      <c r="BE477" s="194" t="s">
        <v>632</v>
      </c>
      <c r="BF477" s="194" t="s">
        <v>1863</v>
      </c>
      <c r="BG477" s="203" t="s">
        <v>1248</v>
      </c>
      <c r="BH477" s="216">
        <f t="shared" si="602"/>
        <v>100330.25</v>
      </c>
      <c r="BI477" s="202"/>
      <c r="BJ477" s="194" t="s">
        <v>5912</v>
      </c>
      <c r="BK477" s="194" t="s">
        <v>5910</v>
      </c>
      <c r="BL477" s="207" t="s">
        <v>5913</v>
      </c>
      <c r="BM477" s="208">
        <f t="shared" si="603"/>
        <v>100330.25</v>
      </c>
      <c r="BN477" s="160"/>
      <c r="BO477" s="161">
        <f t="shared" si="600"/>
        <v>0</v>
      </c>
      <c r="BP477" s="161"/>
    </row>
    <row r="478" spans="1:68" ht="25.5">
      <c r="A478" s="194" t="s">
        <v>5910</v>
      </c>
      <c r="B478" s="195" t="s">
        <v>5938</v>
      </c>
      <c r="C478" s="196" t="s">
        <v>1252</v>
      </c>
      <c r="D478" s="146" t="s">
        <v>4692</v>
      </c>
      <c r="E478" s="196" t="s">
        <v>5939</v>
      </c>
      <c r="F478" s="150">
        <v>1920276.81</v>
      </c>
      <c r="G478" s="209">
        <v>0</v>
      </c>
      <c r="H478" s="209">
        <v>57128.18</v>
      </c>
      <c r="I478" s="209">
        <v>57128.18</v>
      </c>
      <c r="J478" s="150">
        <v>0</v>
      </c>
      <c r="K478" s="150">
        <v>1919495.1400000001</v>
      </c>
      <c r="L478" s="150">
        <f t="shared" si="601"/>
        <v>1919495.1400000001</v>
      </c>
      <c r="M478" s="150">
        <v>0</v>
      </c>
      <c r="N478" s="150">
        <v>1886209.12</v>
      </c>
      <c r="O478" s="150">
        <v>1886209.12</v>
      </c>
      <c r="P478" s="150">
        <v>0</v>
      </c>
      <c r="Q478" s="150">
        <v>1920476.29</v>
      </c>
      <c r="R478" s="150">
        <f t="shared" si="585"/>
        <v>1920476.29</v>
      </c>
      <c r="S478" s="150">
        <f t="shared" si="595"/>
        <v>2560635.0533333332</v>
      </c>
      <c r="T478" s="150"/>
      <c r="U478" s="150">
        <v>0</v>
      </c>
      <c r="V478" s="199">
        <f>1872805.82+105735.46</f>
        <v>1978541.28</v>
      </c>
      <c r="W478" s="150">
        <f t="shared" si="586"/>
        <v>1978541.28</v>
      </c>
      <c r="X478" s="150">
        <v>0</v>
      </c>
      <c r="Y478" s="150">
        <v>1978541.28</v>
      </c>
      <c r="Z478" s="150">
        <v>1978541.28</v>
      </c>
      <c r="AA478" s="150">
        <f t="shared" si="596"/>
        <v>0</v>
      </c>
      <c r="AB478" s="150">
        <v>0</v>
      </c>
      <c r="AC478" s="199">
        <v>1978541.28</v>
      </c>
      <c r="AD478" s="150">
        <f t="shared" si="587"/>
        <v>1978541.28</v>
      </c>
      <c r="AE478" s="150">
        <v>4811123.79</v>
      </c>
      <c r="AF478" s="169" t="s">
        <v>4680</v>
      </c>
      <c r="AG478" s="201">
        <v>0</v>
      </c>
      <c r="AH478" s="199">
        <v>4811123.79</v>
      </c>
      <c r="AI478" s="150">
        <v>4811123.79</v>
      </c>
      <c r="AJ478" s="169">
        <f t="shared" si="597"/>
        <v>0</v>
      </c>
      <c r="AK478" s="201">
        <v>0</v>
      </c>
      <c r="AL478" s="199">
        <v>4811123.79</v>
      </c>
      <c r="AM478" s="150">
        <f t="shared" si="588"/>
        <v>4811123.79</v>
      </c>
      <c r="AN478" s="153">
        <f t="shared" si="598"/>
        <v>0</v>
      </c>
      <c r="AO478" s="154">
        <f t="shared" si="599"/>
        <v>0</v>
      </c>
      <c r="AP478" s="150">
        <v>4811123.79</v>
      </c>
      <c r="AQ478" s="201">
        <v>4811123.79</v>
      </c>
      <c r="AR478" s="199"/>
      <c r="AS478" s="150">
        <f t="shared" si="589"/>
        <v>4811123.79</v>
      </c>
      <c r="AT478" s="155"/>
      <c r="AU478" s="156">
        <f t="shared" si="592"/>
        <v>2832582.51</v>
      </c>
      <c r="AV478" s="156">
        <f t="shared" si="593"/>
        <v>0</v>
      </c>
      <c r="AW478" s="157"/>
      <c r="AX478" s="150">
        <v>1978541.28</v>
      </c>
      <c r="AY478" s="150">
        <v>0</v>
      </c>
      <c r="AZ478" s="150"/>
      <c r="BA478" s="150">
        <f t="shared" si="594"/>
        <v>0</v>
      </c>
      <c r="BB478" s="202">
        <v>4</v>
      </c>
      <c r="BC478" s="202">
        <v>10</v>
      </c>
      <c r="BD478" s="194" t="s">
        <v>632</v>
      </c>
      <c r="BE478" s="194" t="s">
        <v>632</v>
      </c>
      <c r="BF478" s="194" t="s">
        <v>1867</v>
      </c>
      <c r="BG478" s="203" t="s">
        <v>5940</v>
      </c>
      <c r="BH478" s="216">
        <f t="shared" si="602"/>
        <v>4811123.79</v>
      </c>
      <c r="BI478" s="202"/>
      <c r="BJ478" s="194" t="s">
        <v>5912</v>
      </c>
      <c r="BK478" s="194" t="s">
        <v>5910</v>
      </c>
      <c r="BL478" s="207" t="s">
        <v>5913</v>
      </c>
      <c r="BM478" s="208">
        <f t="shared" si="603"/>
        <v>4811123.79</v>
      </c>
      <c r="BN478" s="160"/>
      <c r="BO478" s="161">
        <f t="shared" si="600"/>
        <v>0</v>
      </c>
      <c r="BP478" s="161"/>
    </row>
    <row r="479" spans="1:68" ht="38.25">
      <c r="A479" s="194" t="s">
        <v>5910</v>
      </c>
      <c r="B479" s="195" t="s">
        <v>5941</v>
      </c>
      <c r="C479" s="196" t="s">
        <v>1256</v>
      </c>
      <c r="D479" s="146" t="s">
        <v>4692</v>
      </c>
      <c r="E479" s="196" t="s">
        <v>5942</v>
      </c>
      <c r="F479" s="150">
        <v>58476.42</v>
      </c>
      <c r="G479" s="209">
        <v>0</v>
      </c>
      <c r="H479" s="209">
        <v>8555.89</v>
      </c>
      <c r="I479" s="209">
        <v>8555.89</v>
      </c>
      <c r="J479" s="150">
        <v>0</v>
      </c>
      <c r="K479" s="150">
        <v>57128.18</v>
      </c>
      <c r="L479" s="150">
        <f t="shared" si="601"/>
        <v>57128.18</v>
      </c>
      <c r="M479" s="150">
        <v>0</v>
      </c>
      <c r="N479" s="150">
        <v>57388.28</v>
      </c>
      <c r="O479" s="150">
        <v>57388.28</v>
      </c>
      <c r="P479" s="150">
        <v>0</v>
      </c>
      <c r="Q479" s="150">
        <v>52618.84</v>
      </c>
      <c r="R479" s="150">
        <f t="shared" si="585"/>
        <v>52618.84</v>
      </c>
      <c r="S479" s="150">
        <f t="shared" si="595"/>
        <v>70158.453333333338</v>
      </c>
      <c r="T479" s="150"/>
      <c r="U479" s="150">
        <v>0</v>
      </c>
      <c r="V479" s="199">
        <f>45493.87+48558.13</f>
        <v>94052</v>
      </c>
      <c r="W479" s="150">
        <f t="shared" si="586"/>
        <v>94052</v>
      </c>
      <c r="X479" s="150">
        <v>0</v>
      </c>
      <c r="Y479" s="150">
        <v>94052</v>
      </c>
      <c r="Z479" s="150">
        <v>94052</v>
      </c>
      <c r="AA479" s="150">
        <f t="shared" si="596"/>
        <v>0</v>
      </c>
      <c r="AB479" s="150">
        <v>0</v>
      </c>
      <c r="AC479" s="199">
        <v>94052</v>
      </c>
      <c r="AD479" s="150">
        <f t="shared" si="587"/>
        <v>94052</v>
      </c>
      <c r="AE479" s="150">
        <v>770028.76</v>
      </c>
      <c r="AF479" s="169" t="s">
        <v>4680</v>
      </c>
      <c r="AG479" s="201">
        <v>0</v>
      </c>
      <c r="AH479" s="199">
        <v>770028.76</v>
      </c>
      <c r="AI479" s="150">
        <v>770028.76</v>
      </c>
      <c r="AJ479" s="169">
        <f t="shared" si="597"/>
        <v>0</v>
      </c>
      <c r="AK479" s="201">
        <v>0</v>
      </c>
      <c r="AL479" s="199">
        <v>770028.76</v>
      </c>
      <c r="AM479" s="150">
        <f t="shared" si="588"/>
        <v>770028.76</v>
      </c>
      <c r="AN479" s="153">
        <f t="shared" si="598"/>
        <v>0</v>
      </c>
      <c r="AO479" s="154">
        <f t="shared" si="599"/>
        <v>0</v>
      </c>
      <c r="AP479" s="150">
        <v>770028.76</v>
      </c>
      <c r="AQ479" s="201">
        <v>770028.76</v>
      </c>
      <c r="AR479" s="199"/>
      <c r="AS479" s="150">
        <f t="shared" si="589"/>
        <v>770028.76</v>
      </c>
      <c r="AT479" s="155"/>
      <c r="AU479" s="156">
        <f t="shared" si="592"/>
        <v>675976.76</v>
      </c>
      <c r="AV479" s="156">
        <f t="shared" si="593"/>
        <v>0</v>
      </c>
      <c r="AW479" s="157"/>
      <c r="AX479" s="150">
        <v>94052</v>
      </c>
      <c r="AY479" s="150">
        <v>0</v>
      </c>
      <c r="AZ479" s="150"/>
      <c r="BA479" s="150">
        <f t="shared" si="594"/>
        <v>0</v>
      </c>
      <c r="BB479" s="202">
        <v>4</v>
      </c>
      <c r="BC479" s="202">
        <v>10</v>
      </c>
      <c r="BD479" s="194" t="s">
        <v>632</v>
      </c>
      <c r="BE479" s="194" t="s">
        <v>632</v>
      </c>
      <c r="BF479" s="194" t="s">
        <v>1871</v>
      </c>
      <c r="BG479" s="203" t="s">
        <v>5943</v>
      </c>
      <c r="BH479" s="216">
        <f t="shared" si="602"/>
        <v>770028.76</v>
      </c>
      <c r="BI479" s="202"/>
      <c r="BJ479" s="194" t="s">
        <v>5912</v>
      </c>
      <c r="BK479" s="194" t="s">
        <v>5910</v>
      </c>
      <c r="BL479" s="207" t="s">
        <v>5913</v>
      </c>
      <c r="BM479" s="208">
        <f t="shared" si="603"/>
        <v>770028.76</v>
      </c>
      <c r="BN479" s="160"/>
      <c r="BO479" s="161">
        <f t="shared" si="600"/>
        <v>0</v>
      </c>
      <c r="BP479" s="161"/>
    </row>
    <row r="480" spans="1:68" ht="25.5">
      <c r="A480" s="194" t="s">
        <v>5944</v>
      </c>
      <c r="B480" s="195" t="s">
        <v>5945</v>
      </c>
      <c r="C480" s="196" t="s">
        <v>1261</v>
      </c>
      <c r="D480" s="146" t="s">
        <v>4692</v>
      </c>
      <c r="E480" s="196" t="s">
        <v>1261</v>
      </c>
      <c r="F480" s="150">
        <v>7881.64</v>
      </c>
      <c r="G480" s="209">
        <v>0</v>
      </c>
      <c r="H480" s="209"/>
      <c r="I480" s="209">
        <v>0</v>
      </c>
      <c r="J480" s="150">
        <v>0</v>
      </c>
      <c r="K480" s="150">
        <v>8555.89</v>
      </c>
      <c r="L480" s="150">
        <f t="shared" si="601"/>
        <v>8555.89</v>
      </c>
      <c r="M480" s="150">
        <v>0</v>
      </c>
      <c r="N480" s="150">
        <v>11252.06</v>
      </c>
      <c r="O480" s="150">
        <v>11252.06</v>
      </c>
      <c r="P480" s="150">
        <v>0</v>
      </c>
      <c r="Q480" s="150">
        <v>11165.32</v>
      </c>
      <c r="R480" s="150">
        <f t="shared" si="585"/>
        <v>11165.32</v>
      </c>
      <c r="S480" s="150">
        <f t="shared" si="595"/>
        <v>14887.093333333334</v>
      </c>
      <c r="T480" s="150"/>
      <c r="U480" s="150">
        <v>0</v>
      </c>
      <c r="V480" s="199">
        <f>8522.18+1447.02</f>
        <v>9969.2000000000007</v>
      </c>
      <c r="W480" s="150">
        <f t="shared" si="586"/>
        <v>9969.2000000000007</v>
      </c>
      <c r="X480" s="150">
        <v>0</v>
      </c>
      <c r="Y480" s="150">
        <v>9969.2000000000007</v>
      </c>
      <c r="Z480" s="150">
        <v>9969.2000000000007</v>
      </c>
      <c r="AA480" s="150">
        <f t="shared" si="596"/>
        <v>0</v>
      </c>
      <c r="AB480" s="150">
        <v>0</v>
      </c>
      <c r="AC480" s="199">
        <v>9969.2000000000007</v>
      </c>
      <c r="AD480" s="150">
        <f t="shared" si="587"/>
        <v>9969.2000000000007</v>
      </c>
      <c r="AE480" s="150">
        <v>10030.41</v>
      </c>
      <c r="AF480" s="169" t="s">
        <v>4680</v>
      </c>
      <c r="AG480" s="201">
        <v>0</v>
      </c>
      <c r="AH480" s="199">
        <v>10030.41</v>
      </c>
      <c r="AI480" s="150">
        <v>10030.41</v>
      </c>
      <c r="AJ480" s="169">
        <f t="shared" si="597"/>
        <v>0</v>
      </c>
      <c r="AK480" s="201">
        <v>0</v>
      </c>
      <c r="AL480" s="199">
        <v>10030.41</v>
      </c>
      <c r="AM480" s="150">
        <f t="shared" si="588"/>
        <v>10030.41</v>
      </c>
      <c r="AN480" s="153">
        <f t="shared" si="598"/>
        <v>0</v>
      </c>
      <c r="AO480" s="154">
        <f t="shared" si="599"/>
        <v>0</v>
      </c>
      <c r="AP480" s="150">
        <v>10030.41</v>
      </c>
      <c r="AQ480" s="201">
        <v>10030.41</v>
      </c>
      <c r="AR480" s="199"/>
      <c r="AS480" s="150">
        <f t="shared" si="589"/>
        <v>10030.41</v>
      </c>
      <c r="AT480" s="155"/>
      <c r="AU480" s="156">
        <f t="shared" si="592"/>
        <v>61.209999999999127</v>
      </c>
      <c r="AV480" s="156">
        <f t="shared" si="593"/>
        <v>0</v>
      </c>
      <c r="AW480" s="157"/>
      <c r="AX480" s="150">
        <v>9969.2000000000007</v>
      </c>
      <c r="AY480" s="150">
        <v>0</v>
      </c>
      <c r="AZ480" s="150"/>
      <c r="BA480" s="150">
        <f t="shared" si="594"/>
        <v>0</v>
      </c>
      <c r="BB480" s="202">
        <v>4</v>
      </c>
      <c r="BC480" s="202">
        <v>10</v>
      </c>
      <c r="BD480" s="194" t="s">
        <v>632</v>
      </c>
      <c r="BE480" s="194" t="s">
        <v>632</v>
      </c>
      <c r="BF480" s="194" t="s">
        <v>1875</v>
      </c>
      <c r="BG480" s="203" t="s">
        <v>1262</v>
      </c>
      <c r="BH480" s="216">
        <f t="shared" si="602"/>
        <v>10030.41</v>
      </c>
      <c r="BI480" s="202"/>
      <c r="BJ480" s="194" t="s">
        <v>5946</v>
      </c>
      <c r="BK480" s="194" t="s">
        <v>5944</v>
      </c>
      <c r="BL480" s="207" t="s">
        <v>5947</v>
      </c>
      <c r="BM480" s="208">
        <f t="shared" si="603"/>
        <v>10030.41</v>
      </c>
      <c r="BN480" s="160"/>
      <c r="BO480" s="161">
        <f t="shared" si="600"/>
        <v>0</v>
      </c>
      <c r="BP480" s="161"/>
    </row>
    <row r="481" spans="1:68" ht="25.5">
      <c r="A481" s="194" t="s">
        <v>5948</v>
      </c>
      <c r="B481" s="195" t="s">
        <v>5949</v>
      </c>
      <c r="C481" s="196" t="s">
        <v>1266</v>
      </c>
      <c r="D481" s="146" t="s">
        <v>4692</v>
      </c>
      <c r="E481" s="196" t="s">
        <v>1266</v>
      </c>
      <c r="F481" s="150">
        <v>0</v>
      </c>
      <c r="G481" s="209">
        <v>0</v>
      </c>
      <c r="H481" s="209"/>
      <c r="I481" s="209">
        <v>0</v>
      </c>
      <c r="J481" s="150">
        <v>0</v>
      </c>
      <c r="K481" s="150">
        <v>0</v>
      </c>
      <c r="L481" s="150">
        <f t="shared" si="601"/>
        <v>0</v>
      </c>
      <c r="M481" s="150">
        <v>0</v>
      </c>
      <c r="N481" s="150"/>
      <c r="O481" s="150">
        <v>0</v>
      </c>
      <c r="P481" s="150">
        <v>0</v>
      </c>
      <c r="Q481" s="150"/>
      <c r="R481" s="150">
        <f t="shared" si="585"/>
        <v>0</v>
      </c>
      <c r="S481" s="150">
        <f t="shared" si="595"/>
        <v>0</v>
      </c>
      <c r="T481" s="150"/>
      <c r="U481" s="150">
        <v>0</v>
      </c>
      <c r="V481" s="199">
        <v>0</v>
      </c>
      <c r="W481" s="150">
        <f t="shared" si="586"/>
        <v>0</v>
      </c>
      <c r="X481" s="150">
        <v>0</v>
      </c>
      <c r="Y481" s="150">
        <v>0</v>
      </c>
      <c r="Z481" s="150">
        <v>0</v>
      </c>
      <c r="AA481" s="150">
        <f t="shared" si="596"/>
        <v>0</v>
      </c>
      <c r="AB481" s="150">
        <v>0</v>
      </c>
      <c r="AC481" s="199">
        <v>0</v>
      </c>
      <c r="AD481" s="150">
        <f t="shared" si="587"/>
        <v>0</v>
      </c>
      <c r="AE481" s="150">
        <v>0</v>
      </c>
      <c r="AF481" s="169" t="s">
        <v>4680</v>
      </c>
      <c r="AG481" s="201">
        <v>0</v>
      </c>
      <c r="AH481" s="199">
        <v>0</v>
      </c>
      <c r="AI481" s="150">
        <v>0</v>
      </c>
      <c r="AJ481" s="169">
        <f t="shared" si="597"/>
        <v>0</v>
      </c>
      <c r="AK481" s="201">
        <v>0</v>
      </c>
      <c r="AL481" s="199">
        <v>0</v>
      </c>
      <c r="AM481" s="150">
        <f t="shared" si="588"/>
        <v>0</v>
      </c>
      <c r="AN481" s="153">
        <f t="shared" si="598"/>
        <v>0</v>
      </c>
      <c r="AO481" s="154">
        <f t="shared" si="599"/>
        <v>0</v>
      </c>
      <c r="AP481" s="150">
        <v>0</v>
      </c>
      <c r="AQ481" s="201">
        <v>0</v>
      </c>
      <c r="AR481" s="199"/>
      <c r="AS481" s="150">
        <f t="shared" si="589"/>
        <v>0</v>
      </c>
      <c r="AT481" s="155"/>
      <c r="AU481" s="156">
        <f t="shared" si="592"/>
        <v>0</v>
      </c>
      <c r="AV481" s="156">
        <f t="shared" si="593"/>
        <v>0</v>
      </c>
      <c r="AW481" s="157"/>
      <c r="AX481" s="150">
        <v>0</v>
      </c>
      <c r="AY481" s="150">
        <v>0</v>
      </c>
      <c r="AZ481" s="150"/>
      <c r="BA481" s="150">
        <f t="shared" si="594"/>
        <v>0</v>
      </c>
      <c r="BB481" s="202">
        <v>4</v>
      </c>
      <c r="BC481" s="202">
        <v>10</v>
      </c>
      <c r="BD481" s="194" t="s">
        <v>632</v>
      </c>
      <c r="BE481" s="194" t="s">
        <v>632</v>
      </c>
      <c r="BF481" s="194" t="s">
        <v>1338</v>
      </c>
      <c r="BG481" s="203" t="s">
        <v>1267</v>
      </c>
      <c r="BH481" s="216">
        <f t="shared" si="602"/>
        <v>0</v>
      </c>
      <c r="BI481" s="202"/>
      <c r="BJ481" s="194" t="s">
        <v>5950</v>
      </c>
      <c r="BK481" s="194" t="s">
        <v>5948</v>
      </c>
      <c r="BL481" s="207" t="s">
        <v>5951</v>
      </c>
      <c r="BM481" s="208">
        <f t="shared" si="603"/>
        <v>0</v>
      </c>
      <c r="BN481" s="160"/>
      <c r="BO481" s="161">
        <f t="shared" si="600"/>
        <v>0</v>
      </c>
      <c r="BP481" s="161"/>
    </row>
    <row r="482" spans="1:68" ht="25.5">
      <c r="A482" s="194" t="s">
        <v>5948</v>
      </c>
      <c r="B482" s="195" t="s">
        <v>5952</v>
      </c>
      <c r="C482" s="196" t="s">
        <v>5953</v>
      </c>
      <c r="D482" s="146" t="s">
        <v>4692</v>
      </c>
      <c r="E482" s="196" t="s">
        <v>5953</v>
      </c>
      <c r="F482" s="150">
        <v>0</v>
      </c>
      <c r="G482" s="209">
        <v>0</v>
      </c>
      <c r="H482" s="209"/>
      <c r="I482" s="209">
        <v>0</v>
      </c>
      <c r="J482" s="150">
        <v>0</v>
      </c>
      <c r="K482" s="150">
        <v>0</v>
      </c>
      <c r="L482" s="150">
        <f t="shared" si="601"/>
        <v>0</v>
      </c>
      <c r="M482" s="150">
        <v>0</v>
      </c>
      <c r="N482" s="150"/>
      <c r="O482" s="150">
        <v>0</v>
      </c>
      <c r="P482" s="150">
        <v>0</v>
      </c>
      <c r="Q482" s="150"/>
      <c r="R482" s="150">
        <f t="shared" si="585"/>
        <v>0</v>
      </c>
      <c r="S482" s="150">
        <f t="shared" si="595"/>
        <v>0</v>
      </c>
      <c r="T482" s="150"/>
      <c r="U482" s="150">
        <v>0</v>
      </c>
      <c r="V482" s="199">
        <v>0</v>
      </c>
      <c r="W482" s="150">
        <f t="shared" si="586"/>
        <v>0</v>
      </c>
      <c r="X482" s="150">
        <v>0</v>
      </c>
      <c r="Y482" s="150">
        <v>0</v>
      </c>
      <c r="Z482" s="150">
        <v>0</v>
      </c>
      <c r="AA482" s="150">
        <f t="shared" si="596"/>
        <v>0</v>
      </c>
      <c r="AB482" s="150">
        <v>0</v>
      </c>
      <c r="AC482" s="199">
        <v>0</v>
      </c>
      <c r="AD482" s="150">
        <f t="shared" si="587"/>
        <v>0</v>
      </c>
      <c r="AE482" s="150">
        <v>0</v>
      </c>
      <c r="AF482" s="169" t="s">
        <v>4680</v>
      </c>
      <c r="AG482" s="201">
        <v>0</v>
      </c>
      <c r="AH482" s="199">
        <v>0</v>
      </c>
      <c r="AI482" s="150">
        <v>0</v>
      </c>
      <c r="AJ482" s="169">
        <f t="shared" si="597"/>
        <v>0</v>
      </c>
      <c r="AK482" s="201">
        <v>0</v>
      </c>
      <c r="AL482" s="199">
        <v>0</v>
      </c>
      <c r="AM482" s="150">
        <f t="shared" si="588"/>
        <v>0</v>
      </c>
      <c r="AN482" s="153">
        <f t="shared" si="598"/>
        <v>0</v>
      </c>
      <c r="AO482" s="154">
        <f t="shared" si="599"/>
        <v>0</v>
      </c>
      <c r="AP482" s="150">
        <v>0</v>
      </c>
      <c r="AQ482" s="201">
        <v>0</v>
      </c>
      <c r="AR482" s="199"/>
      <c r="AS482" s="150">
        <f t="shared" si="589"/>
        <v>0</v>
      </c>
      <c r="AT482" s="155"/>
      <c r="AU482" s="156">
        <f t="shared" si="592"/>
        <v>0</v>
      </c>
      <c r="AV482" s="156">
        <f t="shared" si="593"/>
        <v>0</v>
      </c>
      <c r="AW482" s="157"/>
      <c r="AX482" s="150">
        <v>0</v>
      </c>
      <c r="AY482" s="150">
        <v>0</v>
      </c>
      <c r="AZ482" s="150"/>
      <c r="BA482" s="150">
        <f t="shared" si="594"/>
        <v>0</v>
      </c>
      <c r="BB482" s="202">
        <v>4</v>
      </c>
      <c r="BC482" s="202">
        <v>10</v>
      </c>
      <c r="BD482" s="194" t="s">
        <v>632</v>
      </c>
      <c r="BE482" s="202" t="s">
        <v>632</v>
      </c>
      <c r="BF482" s="202">
        <v>37</v>
      </c>
      <c r="BG482" s="203" t="s">
        <v>5953</v>
      </c>
      <c r="BH482" s="216">
        <f t="shared" si="602"/>
        <v>0</v>
      </c>
      <c r="BI482" s="202"/>
      <c r="BJ482" s="194" t="s">
        <v>5950</v>
      </c>
      <c r="BK482" s="194" t="s">
        <v>5948</v>
      </c>
      <c r="BL482" s="207" t="s">
        <v>5951</v>
      </c>
      <c r="BM482" s="208">
        <f t="shared" si="603"/>
        <v>0</v>
      </c>
      <c r="BN482" s="160"/>
      <c r="BO482" s="161">
        <f t="shared" si="600"/>
        <v>0</v>
      </c>
      <c r="BP482" s="161"/>
    </row>
    <row r="483" spans="1:68" ht="25.5">
      <c r="A483" s="194" t="s">
        <v>5954</v>
      </c>
      <c r="B483" s="195" t="s">
        <v>5955</v>
      </c>
      <c r="C483" s="196" t="s">
        <v>1271</v>
      </c>
      <c r="D483" s="146" t="s">
        <v>4692</v>
      </c>
      <c r="E483" s="196" t="s">
        <v>1271</v>
      </c>
      <c r="F483" s="150">
        <v>0</v>
      </c>
      <c r="G483" s="209">
        <v>0</v>
      </c>
      <c r="H483" s="209"/>
      <c r="I483" s="209">
        <v>0</v>
      </c>
      <c r="J483" s="150">
        <v>0</v>
      </c>
      <c r="K483" s="150">
        <v>0</v>
      </c>
      <c r="L483" s="150">
        <f t="shared" si="601"/>
        <v>0</v>
      </c>
      <c r="M483" s="150">
        <v>0</v>
      </c>
      <c r="N483" s="150"/>
      <c r="O483" s="150">
        <v>0</v>
      </c>
      <c r="P483" s="150">
        <v>0</v>
      </c>
      <c r="Q483" s="150"/>
      <c r="R483" s="150">
        <f t="shared" si="585"/>
        <v>0</v>
      </c>
      <c r="S483" s="150">
        <f t="shared" si="595"/>
        <v>0</v>
      </c>
      <c r="T483" s="150"/>
      <c r="U483" s="150">
        <v>0</v>
      </c>
      <c r="V483" s="199">
        <v>0</v>
      </c>
      <c r="W483" s="150">
        <f t="shared" si="586"/>
        <v>0</v>
      </c>
      <c r="X483" s="150">
        <v>0</v>
      </c>
      <c r="Y483" s="150">
        <v>0</v>
      </c>
      <c r="Z483" s="150">
        <v>0</v>
      </c>
      <c r="AA483" s="150">
        <f t="shared" si="596"/>
        <v>0</v>
      </c>
      <c r="AB483" s="150">
        <v>0</v>
      </c>
      <c r="AC483" s="199">
        <v>0</v>
      </c>
      <c r="AD483" s="150">
        <f t="shared" si="587"/>
        <v>0</v>
      </c>
      <c r="AE483" s="150">
        <v>0</v>
      </c>
      <c r="AF483" s="169" t="s">
        <v>4680</v>
      </c>
      <c r="AG483" s="201">
        <v>0</v>
      </c>
      <c r="AH483" s="199">
        <v>0</v>
      </c>
      <c r="AI483" s="150">
        <v>0</v>
      </c>
      <c r="AJ483" s="169">
        <f t="shared" si="597"/>
        <v>0</v>
      </c>
      <c r="AK483" s="201">
        <v>0</v>
      </c>
      <c r="AL483" s="199">
        <v>0</v>
      </c>
      <c r="AM483" s="150">
        <f t="shared" si="588"/>
        <v>0</v>
      </c>
      <c r="AN483" s="153">
        <f t="shared" si="598"/>
        <v>0</v>
      </c>
      <c r="AO483" s="154">
        <f t="shared" si="599"/>
        <v>0</v>
      </c>
      <c r="AP483" s="150">
        <v>0</v>
      </c>
      <c r="AQ483" s="201">
        <v>0</v>
      </c>
      <c r="AR483" s="199"/>
      <c r="AS483" s="150">
        <f t="shared" si="589"/>
        <v>0</v>
      </c>
      <c r="AT483" s="155"/>
      <c r="AU483" s="156">
        <f t="shared" si="592"/>
        <v>0</v>
      </c>
      <c r="AV483" s="156">
        <f t="shared" si="593"/>
        <v>0</v>
      </c>
      <c r="AW483" s="157"/>
      <c r="AX483" s="150">
        <v>0</v>
      </c>
      <c r="AY483" s="150">
        <v>0</v>
      </c>
      <c r="AZ483" s="150"/>
      <c r="BA483" s="150">
        <f t="shared" si="594"/>
        <v>0</v>
      </c>
      <c r="BB483" s="202">
        <v>4</v>
      </c>
      <c r="BC483" s="202">
        <v>10</v>
      </c>
      <c r="BD483" s="194" t="s">
        <v>632</v>
      </c>
      <c r="BE483" s="194" t="s">
        <v>632</v>
      </c>
      <c r="BF483" s="194" t="s">
        <v>1372</v>
      </c>
      <c r="BG483" s="203" t="s">
        <v>1272</v>
      </c>
      <c r="BH483" s="216">
        <f t="shared" si="602"/>
        <v>0</v>
      </c>
      <c r="BI483" s="202"/>
      <c r="BJ483" s="194" t="s">
        <v>5956</v>
      </c>
      <c r="BK483" s="194" t="s">
        <v>5954</v>
      </c>
      <c r="BL483" s="207" t="s">
        <v>5957</v>
      </c>
      <c r="BM483" s="208">
        <f t="shared" si="603"/>
        <v>0</v>
      </c>
      <c r="BN483" s="160"/>
      <c r="BO483" s="161">
        <f t="shared" si="600"/>
        <v>0</v>
      </c>
      <c r="BP483" s="161"/>
    </row>
    <row r="484" spans="1:68" ht="25.5">
      <c r="A484" s="194" t="s">
        <v>5958</v>
      </c>
      <c r="B484" s="195" t="s">
        <v>5959</v>
      </c>
      <c r="C484" s="196" t="s">
        <v>1276</v>
      </c>
      <c r="D484" s="146" t="s">
        <v>4692</v>
      </c>
      <c r="E484" s="196" t="s">
        <v>1276</v>
      </c>
      <c r="F484" s="150">
        <v>0</v>
      </c>
      <c r="G484" s="209">
        <v>0</v>
      </c>
      <c r="H484" s="209"/>
      <c r="I484" s="209">
        <v>0</v>
      </c>
      <c r="J484" s="150">
        <v>0</v>
      </c>
      <c r="K484" s="150">
        <v>0</v>
      </c>
      <c r="L484" s="150">
        <f t="shared" si="601"/>
        <v>0</v>
      </c>
      <c r="M484" s="150">
        <v>0</v>
      </c>
      <c r="N484" s="150"/>
      <c r="O484" s="150">
        <v>0</v>
      </c>
      <c r="P484" s="150">
        <v>0</v>
      </c>
      <c r="Q484" s="150"/>
      <c r="R484" s="150">
        <f t="shared" si="585"/>
        <v>0</v>
      </c>
      <c r="S484" s="150">
        <f t="shared" si="595"/>
        <v>0</v>
      </c>
      <c r="T484" s="150"/>
      <c r="U484" s="150">
        <v>0</v>
      </c>
      <c r="V484" s="199">
        <v>0</v>
      </c>
      <c r="W484" s="150">
        <f t="shared" si="586"/>
        <v>0</v>
      </c>
      <c r="X484" s="150">
        <v>0</v>
      </c>
      <c r="Y484" s="150">
        <v>0</v>
      </c>
      <c r="Z484" s="150">
        <v>0</v>
      </c>
      <c r="AA484" s="150">
        <f t="shared" si="596"/>
        <v>0</v>
      </c>
      <c r="AB484" s="150">
        <v>0</v>
      </c>
      <c r="AC484" s="199">
        <v>0</v>
      </c>
      <c r="AD484" s="150">
        <f t="shared" si="587"/>
        <v>0</v>
      </c>
      <c r="AE484" s="150">
        <v>0</v>
      </c>
      <c r="AF484" s="169" t="s">
        <v>4680</v>
      </c>
      <c r="AG484" s="201">
        <v>0</v>
      </c>
      <c r="AH484" s="199">
        <v>0</v>
      </c>
      <c r="AI484" s="150">
        <v>0</v>
      </c>
      <c r="AJ484" s="169">
        <f t="shared" si="597"/>
        <v>0</v>
      </c>
      <c r="AK484" s="201">
        <v>0</v>
      </c>
      <c r="AL484" s="199">
        <v>0</v>
      </c>
      <c r="AM484" s="150">
        <f t="shared" si="588"/>
        <v>0</v>
      </c>
      <c r="AN484" s="153">
        <f t="shared" si="598"/>
        <v>0</v>
      </c>
      <c r="AO484" s="154">
        <f t="shared" si="599"/>
        <v>0</v>
      </c>
      <c r="AP484" s="150">
        <v>0</v>
      </c>
      <c r="AQ484" s="201">
        <v>0</v>
      </c>
      <c r="AR484" s="199"/>
      <c r="AS484" s="150">
        <f t="shared" si="589"/>
        <v>0</v>
      </c>
      <c r="AT484" s="155"/>
      <c r="AU484" s="156">
        <f t="shared" si="592"/>
        <v>0</v>
      </c>
      <c r="AV484" s="156">
        <f t="shared" si="593"/>
        <v>0</v>
      </c>
      <c r="AW484" s="157"/>
      <c r="AX484" s="150">
        <v>0</v>
      </c>
      <c r="AY484" s="150">
        <v>0</v>
      </c>
      <c r="AZ484" s="150"/>
      <c r="BA484" s="150">
        <f t="shared" si="594"/>
        <v>0</v>
      </c>
      <c r="BB484" s="202">
        <v>4</v>
      </c>
      <c r="BC484" s="202">
        <v>10</v>
      </c>
      <c r="BD484" s="194" t="s">
        <v>632</v>
      </c>
      <c r="BE484" s="194" t="s">
        <v>632</v>
      </c>
      <c r="BF484" s="194" t="s">
        <v>1765</v>
      </c>
      <c r="BG484" s="203" t="s">
        <v>1277</v>
      </c>
      <c r="BH484" s="216">
        <f t="shared" si="602"/>
        <v>0</v>
      </c>
      <c r="BI484" s="202"/>
      <c r="BJ484" s="194" t="s">
        <v>5960</v>
      </c>
      <c r="BK484" s="194" t="s">
        <v>5958</v>
      </c>
      <c r="BL484" s="207" t="s">
        <v>5961</v>
      </c>
      <c r="BM484" s="208">
        <f t="shared" si="603"/>
        <v>0</v>
      </c>
      <c r="BN484" s="160"/>
      <c r="BO484" s="161">
        <f t="shared" si="600"/>
        <v>0</v>
      </c>
      <c r="BP484" s="161"/>
    </row>
    <row r="485" spans="1:68" ht="25.5">
      <c r="A485" s="194" t="s">
        <v>5958</v>
      </c>
      <c r="B485" s="195" t="s">
        <v>5962</v>
      </c>
      <c r="C485" s="196" t="s">
        <v>1280</v>
      </c>
      <c r="D485" s="146" t="s">
        <v>4692</v>
      </c>
      <c r="E485" s="196" t="s">
        <v>1280</v>
      </c>
      <c r="F485" s="150">
        <v>0</v>
      </c>
      <c r="G485" s="209">
        <v>0</v>
      </c>
      <c r="H485" s="209"/>
      <c r="I485" s="209">
        <v>0</v>
      </c>
      <c r="J485" s="150">
        <v>0</v>
      </c>
      <c r="K485" s="150">
        <v>0</v>
      </c>
      <c r="L485" s="150">
        <f t="shared" si="601"/>
        <v>0</v>
      </c>
      <c r="M485" s="150">
        <v>0</v>
      </c>
      <c r="N485" s="150"/>
      <c r="O485" s="150">
        <v>0</v>
      </c>
      <c r="P485" s="150">
        <v>0</v>
      </c>
      <c r="Q485" s="150"/>
      <c r="R485" s="150">
        <f t="shared" si="585"/>
        <v>0</v>
      </c>
      <c r="S485" s="150">
        <f t="shared" si="595"/>
        <v>0</v>
      </c>
      <c r="T485" s="150"/>
      <c r="U485" s="150">
        <v>0</v>
      </c>
      <c r="V485" s="199">
        <v>0</v>
      </c>
      <c r="W485" s="150">
        <f t="shared" si="586"/>
        <v>0</v>
      </c>
      <c r="X485" s="150">
        <v>0</v>
      </c>
      <c r="Y485" s="150">
        <v>0</v>
      </c>
      <c r="Z485" s="150">
        <v>0</v>
      </c>
      <c r="AA485" s="150">
        <f t="shared" si="596"/>
        <v>0</v>
      </c>
      <c r="AB485" s="150">
        <v>0</v>
      </c>
      <c r="AC485" s="199">
        <v>0</v>
      </c>
      <c r="AD485" s="150">
        <f t="shared" si="587"/>
        <v>0</v>
      </c>
      <c r="AE485" s="150">
        <v>0</v>
      </c>
      <c r="AF485" s="169" t="s">
        <v>4680</v>
      </c>
      <c r="AG485" s="201">
        <v>0</v>
      </c>
      <c r="AH485" s="199">
        <v>0</v>
      </c>
      <c r="AI485" s="150">
        <v>0</v>
      </c>
      <c r="AJ485" s="169">
        <f t="shared" si="597"/>
        <v>0</v>
      </c>
      <c r="AK485" s="201">
        <v>0</v>
      </c>
      <c r="AL485" s="199">
        <v>0</v>
      </c>
      <c r="AM485" s="150">
        <f t="shared" si="588"/>
        <v>0</v>
      </c>
      <c r="AN485" s="153">
        <f t="shared" si="598"/>
        <v>0</v>
      </c>
      <c r="AO485" s="154">
        <f t="shared" si="599"/>
        <v>0</v>
      </c>
      <c r="AP485" s="150">
        <v>0</v>
      </c>
      <c r="AQ485" s="201">
        <v>0</v>
      </c>
      <c r="AR485" s="199"/>
      <c r="AS485" s="150">
        <f t="shared" si="589"/>
        <v>0</v>
      </c>
      <c r="AT485" s="155"/>
      <c r="AU485" s="156">
        <f t="shared" si="592"/>
        <v>0</v>
      </c>
      <c r="AV485" s="156">
        <f t="shared" si="593"/>
        <v>0</v>
      </c>
      <c r="AW485" s="157"/>
      <c r="AX485" s="150">
        <v>0</v>
      </c>
      <c r="AY485" s="150">
        <v>0</v>
      </c>
      <c r="AZ485" s="150"/>
      <c r="BA485" s="150">
        <f t="shared" si="594"/>
        <v>0</v>
      </c>
      <c r="BB485" s="202">
        <v>4</v>
      </c>
      <c r="BC485" s="202">
        <v>10</v>
      </c>
      <c r="BD485" s="194" t="s">
        <v>632</v>
      </c>
      <c r="BE485" s="194" t="s">
        <v>632</v>
      </c>
      <c r="BF485" s="194" t="s">
        <v>1770</v>
      </c>
      <c r="BG485" s="203" t="s">
        <v>1281</v>
      </c>
      <c r="BH485" s="216">
        <f t="shared" si="602"/>
        <v>0</v>
      </c>
      <c r="BI485" s="202"/>
      <c r="BJ485" s="194" t="s">
        <v>5960</v>
      </c>
      <c r="BK485" s="194" t="s">
        <v>5958</v>
      </c>
      <c r="BL485" s="207" t="s">
        <v>5961</v>
      </c>
      <c r="BM485" s="208">
        <f t="shared" si="603"/>
        <v>0</v>
      </c>
      <c r="BN485" s="160"/>
      <c r="BO485" s="161">
        <f t="shared" si="600"/>
        <v>0</v>
      </c>
      <c r="BP485" s="161"/>
    </row>
    <row r="486" spans="1:68" ht="38.25">
      <c r="A486" s="194" t="s">
        <v>5963</v>
      </c>
      <c r="B486" s="195" t="s">
        <v>5964</v>
      </c>
      <c r="C486" s="196" t="s">
        <v>5965</v>
      </c>
      <c r="D486" s="146" t="s">
        <v>4692</v>
      </c>
      <c r="E486" s="196" t="s">
        <v>5965</v>
      </c>
      <c r="F486" s="150">
        <v>0</v>
      </c>
      <c r="G486" s="209">
        <v>0</v>
      </c>
      <c r="H486" s="209">
        <v>634596.98</v>
      </c>
      <c r="I486" s="209">
        <v>634596.98</v>
      </c>
      <c r="J486" s="150">
        <v>0</v>
      </c>
      <c r="K486" s="150">
        <v>0</v>
      </c>
      <c r="L486" s="150">
        <f t="shared" si="601"/>
        <v>0</v>
      </c>
      <c r="M486" s="150">
        <v>0</v>
      </c>
      <c r="N486" s="150"/>
      <c r="O486" s="150">
        <v>0</v>
      </c>
      <c r="P486" s="150">
        <v>0</v>
      </c>
      <c r="Q486" s="150"/>
      <c r="R486" s="150">
        <f t="shared" si="585"/>
        <v>0</v>
      </c>
      <c r="S486" s="150">
        <f t="shared" si="595"/>
        <v>0</v>
      </c>
      <c r="T486" s="150"/>
      <c r="U486" s="150">
        <v>0</v>
      </c>
      <c r="V486" s="199">
        <v>0</v>
      </c>
      <c r="W486" s="150">
        <f t="shared" si="586"/>
        <v>0</v>
      </c>
      <c r="X486" s="150">
        <v>0</v>
      </c>
      <c r="Y486" s="150">
        <v>0</v>
      </c>
      <c r="Z486" s="150">
        <v>0</v>
      </c>
      <c r="AA486" s="150">
        <f t="shared" si="596"/>
        <v>0</v>
      </c>
      <c r="AB486" s="150">
        <v>0</v>
      </c>
      <c r="AC486" s="199">
        <v>0</v>
      </c>
      <c r="AD486" s="150">
        <f t="shared" si="587"/>
        <v>0</v>
      </c>
      <c r="AE486" s="150">
        <v>0</v>
      </c>
      <c r="AF486" s="169" t="s">
        <v>4680</v>
      </c>
      <c r="AG486" s="201">
        <v>0</v>
      </c>
      <c r="AH486" s="199">
        <v>0</v>
      </c>
      <c r="AI486" s="150">
        <v>0</v>
      </c>
      <c r="AJ486" s="169">
        <f t="shared" si="597"/>
        <v>0</v>
      </c>
      <c r="AK486" s="201">
        <v>0</v>
      </c>
      <c r="AL486" s="199">
        <v>0</v>
      </c>
      <c r="AM486" s="150">
        <f t="shared" si="588"/>
        <v>0</v>
      </c>
      <c r="AN486" s="153">
        <f t="shared" si="598"/>
        <v>0</v>
      </c>
      <c r="AO486" s="154">
        <f t="shared" si="599"/>
        <v>0</v>
      </c>
      <c r="AP486" s="150">
        <v>0</v>
      </c>
      <c r="AQ486" s="201">
        <v>0</v>
      </c>
      <c r="AR486" s="199"/>
      <c r="AS486" s="150">
        <f t="shared" si="589"/>
        <v>0</v>
      </c>
      <c r="AT486" s="155"/>
      <c r="AU486" s="156">
        <f t="shared" si="592"/>
        <v>0</v>
      </c>
      <c r="AV486" s="156">
        <f t="shared" si="593"/>
        <v>0</v>
      </c>
      <c r="AW486" s="157"/>
      <c r="AX486" s="150">
        <v>0</v>
      </c>
      <c r="AY486" s="150">
        <v>0</v>
      </c>
      <c r="AZ486" s="150"/>
      <c r="BA486" s="150">
        <f t="shared" si="594"/>
        <v>0</v>
      </c>
      <c r="BB486" s="202">
        <v>4</v>
      </c>
      <c r="BC486" s="202">
        <v>10</v>
      </c>
      <c r="BD486" s="194" t="s">
        <v>632</v>
      </c>
      <c r="BE486" s="194" t="s">
        <v>632</v>
      </c>
      <c r="BF486" s="194" t="s">
        <v>1892</v>
      </c>
      <c r="BG486" s="203" t="s">
        <v>5966</v>
      </c>
      <c r="BH486" s="216">
        <f t="shared" si="602"/>
        <v>0</v>
      </c>
      <c r="BI486" s="202"/>
      <c r="BJ486" s="194" t="s">
        <v>5967</v>
      </c>
      <c r="BK486" s="194" t="s">
        <v>5963</v>
      </c>
      <c r="BL486" s="207" t="s">
        <v>5968</v>
      </c>
      <c r="BM486" s="208">
        <f t="shared" si="603"/>
        <v>0</v>
      </c>
      <c r="BN486" s="160"/>
      <c r="BO486" s="161">
        <f t="shared" si="600"/>
        <v>0</v>
      </c>
      <c r="BP486" s="161"/>
    </row>
    <row r="487" spans="1:68" ht="25.5">
      <c r="A487" s="194" t="s">
        <v>5963</v>
      </c>
      <c r="B487" s="195" t="s">
        <v>5969</v>
      </c>
      <c r="C487" s="196" t="s">
        <v>1289</v>
      </c>
      <c r="D487" s="146" t="s">
        <v>4692</v>
      </c>
      <c r="E487" s="196" t="s">
        <v>1289</v>
      </c>
      <c r="F487" s="237">
        <v>667547.92000000004</v>
      </c>
      <c r="G487" s="209">
        <v>0</v>
      </c>
      <c r="H487" s="209">
        <v>32268.229999999996</v>
      </c>
      <c r="I487" s="209">
        <v>32268.229999999996</v>
      </c>
      <c r="J487" s="150">
        <v>0</v>
      </c>
      <c r="K487" s="150">
        <v>634596.98</v>
      </c>
      <c r="L487" s="150">
        <f t="shared" si="601"/>
        <v>634596.98</v>
      </c>
      <c r="M487" s="150">
        <v>0</v>
      </c>
      <c r="N487" s="237">
        <v>496254.11</v>
      </c>
      <c r="O487" s="150">
        <v>496254.11</v>
      </c>
      <c r="P487" s="150">
        <v>0</v>
      </c>
      <c r="Q487" s="237">
        <v>526553.33000000007</v>
      </c>
      <c r="R487" s="150">
        <f t="shared" si="585"/>
        <v>526553.33000000007</v>
      </c>
      <c r="S487" s="150">
        <f t="shared" si="595"/>
        <v>702071.1066666668</v>
      </c>
      <c r="T487" s="150"/>
      <c r="U487" s="150">
        <v>0</v>
      </c>
      <c r="V487" s="199">
        <f>133998.1+258776.63+1416430.56</f>
        <v>1809205.29</v>
      </c>
      <c r="W487" s="150">
        <f t="shared" si="586"/>
        <v>1809205.29</v>
      </c>
      <c r="X487" s="150">
        <v>0</v>
      </c>
      <c r="Y487" s="150">
        <v>1809205.29</v>
      </c>
      <c r="Z487" s="150">
        <v>1809205.29</v>
      </c>
      <c r="AA487" s="150">
        <f t="shared" si="596"/>
        <v>0</v>
      </c>
      <c r="AB487" s="150">
        <v>0</v>
      </c>
      <c r="AC487" s="199">
        <v>1809205.29</v>
      </c>
      <c r="AD487" s="150">
        <f t="shared" si="587"/>
        <v>1809205.29</v>
      </c>
      <c r="AE487" s="150">
        <v>1849578.58</v>
      </c>
      <c r="AF487" s="169" t="s">
        <v>4680</v>
      </c>
      <c r="AG487" s="201">
        <v>0</v>
      </c>
      <c r="AH487" s="199">
        <v>1849578.58</v>
      </c>
      <c r="AI487" s="150">
        <v>1849578.58</v>
      </c>
      <c r="AJ487" s="169">
        <f t="shared" si="597"/>
        <v>0</v>
      </c>
      <c r="AK487" s="201">
        <v>0</v>
      </c>
      <c r="AL487" s="199">
        <v>1849578.58</v>
      </c>
      <c r="AM487" s="150">
        <f t="shared" si="588"/>
        <v>1849578.58</v>
      </c>
      <c r="AN487" s="153">
        <f t="shared" si="598"/>
        <v>-957</v>
      </c>
      <c r="AO487" s="154">
        <f t="shared" si="599"/>
        <v>0</v>
      </c>
      <c r="AP487" s="150">
        <v>1848621.58</v>
      </c>
      <c r="AQ487" s="201">
        <v>1848621.58</v>
      </c>
      <c r="AR487" s="199"/>
      <c r="AS487" s="150">
        <f>AQ487+AR487</f>
        <v>1848621.58</v>
      </c>
      <c r="AT487" s="155"/>
      <c r="AU487" s="156">
        <f t="shared" si="592"/>
        <v>40373.290000000037</v>
      </c>
      <c r="AV487" s="156">
        <f t="shared" si="593"/>
        <v>0</v>
      </c>
      <c r="AW487" s="157"/>
      <c r="AX487" s="150">
        <v>1809205.29</v>
      </c>
      <c r="AY487" s="150">
        <v>0</v>
      </c>
      <c r="AZ487" s="237">
        <v>0</v>
      </c>
      <c r="BA487" s="150">
        <f t="shared" si="594"/>
        <v>0</v>
      </c>
      <c r="BB487" s="202">
        <v>4</v>
      </c>
      <c r="BC487" s="202">
        <v>10</v>
      </c>
      <c r="BD487" s="194" t="s">
        <v>632</v>
      </c>
      <c r="BE487" s="194" t="s">
        <v>632</v>
      </c>
      <c r="BF487" s="194" t="s">
        <v>1124</v>
      </c>
      <c r="BG487" s="203" t="s">
        <v>1286</v>
      </c>
      <c r="BH487" s="216">
        <f t="shared" si="602"/>
        <v>1848621.58</v>
      </c>
      <c r="BI487" s="202"/>
      <c r="BJ487" s="194" t="s">
        <v>5967</v>
      </c>
      <c r="BK487" s="194" t="s">
        <v>5963</v>
      </c>
      <c r="BL487" s="207" t="s">
        <v>5968</v>
      </c>
      <c r="BM487" s="208">
        <f t="shared" si="603"/>
        <v>1848621.58</v>
      </c>
      <c r="BN487" s="160"/>
      <c r="BO487" s="161">
        <f t="shared" si="600"/>
        <v>0</v>
      </c>
      <c r="BP487" s="161"/>
    </row>
    <row r="488" spans="1:68" ht="25.5">
      <c r="A488" s="173" t="s">
        <v>5970</v>
      </c>
      <c r="B488" s="174"/>
      <c r="C488" s="175" t="s">
        <v>5971</v>
      </c>
      <c r="D488" s="146" t="s">
        <v>4692</v>
      </c>
      <c r="E488" s="175" t="s">
        <v>5971</v>
      </c>
      <c r="F488" s="176">
        <v>32268.23</v>
      </c>
      <c r="G488" s="177">
        <v>0</v>
      </c>
      <c r="H488" s="177">
        <v>32268.229999999996</v>
      </c>
      <c r="I488" s="177">
        <v>32268.229999999996</v>
      </c>
      <c r="J488" s="176">
        <f>J489</f>
        <v>0</v>
      </c>
      <c r="K488" s="176">
        <f>K489</f>
        <v>32268.229999999996</v>
      </c>
      <c r="L488" s="176">
        <f t="shared" si="601"/>
        <v>32268.229999999996</v>
      </c>
      <c r="M488" s="178">
        <v>0</v>
      </c>
      <c r="N488" s="178">
        <v>6912.55</v>
      </c>
      <c r="O488" s="178">
        <v>6912.55</v>
      </c>
      <c r="P488" s="221">
        <f t="shared" ref="P488:AS488" si="604">P489</f>
        <v>0</v>
      </c>
      <c r="Q488" s="221">
        <f t="shared" si="604"/>
        <v>25978.75</v>
      </c>
      <c r="R488" s="221">
        <f t="shared" si="604"/>
        <v>25978.75</v>
      </c>
      <c r="S488" s="150">
        <f t="shared" si="595"/>
        <v>34638.333333333336</v>
      </c>
      <c r="T488" s="213"/>
      <c r="U488" s="221">
        <f t="shared" ref="U488:W488" si="605">U489</f>
        <v>0</v>
      </c>
      <c r="V488" s="222">
        <f t="shared" si="605"/>
        <v>259521.27</v>
      </c>
      <c r="W488" s="221">
        <f t="shared" si="605"/>
        <v>259521.27</v>
      </c>
      <c r="X488" s="221">
        <v>0</v>
      </c>
      <c r="Y488" s="221">
        <v>259521.27</v>
      </c>
      <c r="Z488" s="221">
        <v>259521.27</v>
      </c>
      <c r="AA488" s="221">
        <f t="shared" si="596"/>
        <v>0</v>
      </c>
      <c r="AB488" s="221">
        <v>0</v>
      </c>
      <c r="AC488" s="222">
        <v>259521.27</v>
      </c>
      <c r="AD488" s="221">
        <f t="shared" si="604"/>
        <v>259521.27</v>
      </c>
      <c r="AE488" s="221">
        <v>75923.290000000008</v>
      </c>
      <c r="AF488" s="169" t="s">
        <v>4680</v>
      </c>
      <c r="AG488" s="223">
        <v>0</v>
      </c>
      <c r="AH488" s="222">
        <v>75923.290000000008</v>
      </c>
      <c r="AI488" s="221">
        <v>75923.290000000008</v>
      </c>
      <c r="AJ488" s="169">
        <f t="shared" si="597"/>
        <v>0</v>
      </c>
      <c r="AK488" s="223">
        <v>0</v>
      </c>
      <c r="AL488" s="222">
        <v>75923.290000000008</v>
      </c>
      <c r="AM488" s="221">
        <f t="shared" si="604"/>
        <v>75923.290000000008</v>
      </c>
      <c r="AN488" s="153">
        <f t="shared" si="598"/>
        <v>0</v>
      </c>
      <c r="AO488" s="154">
        <f t="shared" si="599"/>
        <v>0</v>
      </c>
      <c r="AP488" s="221">
        <v>75923.290000000008</v>
      </c>
      <c r="AQ488" s="223">
        <v>75923.290000000008</v>
      </c>
      <c r="AR488" s="222">
        <f t="shared" si="604"/>
        <v>0</v>
      </c>
      <c r="AS488" s="221">
        <f t="shared" si="604"/>
        <v>75923.290000000008</v>
      </c>
      <c r="AT488" s="1385"/>
      <c r="AU488" s="156">
        <f t="shared" si="592"/>
        <v>-183597.97999999998</v>
      </c>
      <c r="AV488" s="156">
        <f t="shared" si="593"/>
        <v>0</v>
      </c>
      <c r="AW488" s="1382" t="s">
        <v>5857</v>
      </c>
      <c r="AX488" s="150">
        <v>259521.27</v>
      </c>
      <c r="AY488" s="221">
        <f t="shared" ref="AY488:BA488" si="606">AY489</f>
        <v>0</v>
      </c>
      <c r="AZ488" s="221">
        <f t="shared" si="606"/>
        <v>0</v>
      </c>
      <c r="BA488" s="221">
        <f t="shared" si="606"/>
        <v>0</v>
      </c>
      <c r="BB488" s="181">
        <v>4</v>
      </c>
      <c r="BC488" s="181">
        <v>10</v>
      </c>
      <c r="BD488" s="173" t="s">
        <v>647</v>
      </c>
      <c r="BE488" s="173" t="s">
        <v>630</v>
      </c>
      <c r="BF488" s="173" t="s">
        <v>630</v>
      </c>
      <c r="BG488" s="175" t="s">
        <v>5971</v>
      </c>
      <c r="BH488" s="224">
        <f>BH489</f>
        <v>75923.290000000008</v>
      </c>
      <c r="BI488" s="181"/>
      <c r="BJ488" s="173" t="s">
        <v>5972</v>
      </c>
      <c r="BK488" s="173" t="s">
        <v>5970</v>
      </c>
      <c r="BL488" s="182" t="s">
        <v>5973</v>
      </c>
      <c r="BM488" s="224">
        <f>BM489</f>
        <v>75923.290000000008</v>
      </c>
      <c r="BN488" s="160"/>
      <c r="BO488" s="161">
        <f t="shared" si="600"/>
        <v>0</v>
      </c>
      <c r="BP488" s="161"/>
    </row>
    <row r="489" spans="1:68" ht="25.5">
      <c r="A489" s="183" t="s">
        <v>5970</v>
      </c>
      <c r="B489" s="184"/>
      <c r="C489" s="185" t="s">
        <v>5971</v>
      </c>
      <c r="D489" s="146" t="s">
        <v>4692</v>
      </c>
      <c r="E489" s="185" t="s">
        <v>5971</v>
      </c>
      <c r="F489" s="186">
        <v>32268.23</v>
      </c>
      <c r="G489" s="187">
        <v>0</v>
      </c>
      <c r="H489" s="187"/>
      <c r="I489" s="187">
        <v>0</v>
      </c>
      <c r="J489" s="186">
        <f>SUM(J490:J497)</f>
        <v>0</v>
      </c>
      <c r="K489" s="186">
        <f>SUM(K490:K497)</f>
        <v>32268.229999999996</v>
      </c>
      <c r="L489" s="186">
        <f t="shared" si="601"/>
        <v>32268.229999999996</v>
      </c>
      <c r="M489" s="188">
        <v>0</v>
      </c>
      <c r="N489" s="188">
        <v>6912.55</v>
      </c>
      <c r="O489" s="188">
        <v>6912.55</v>
      </c>
      <c r="P489" s="225">
        <f t="shared" ref="P489:R489" si="607">SUM(P490:P497)</f>
        <v>0</v>
      </c>
      <c r="Q489" s="225">
        <f t="shared" si="607"/>
        <v>25978.75</v>
      </c>
      <c r="R489" s="225">
        <f t="shared" si="607"/>
        <v>25978.75</v>
      </c>
      <c r="S489" s="150">
        <f t="shared" si="595"/>
        <v>34638.333333333336</v>
      </c>
      <c r="T489" s="213"/>
      <c r="U489" s="225">
        <f t="shared" ref="U489:W489" si="608">SUM(U490:U497)</f>
        <v>0</v>
      </c>
      <c r="V489" s="226">
        <f t="shared" si="608"/>
        <v>259521.27</v>
      </c>
      <c r="W489" s="225">
        <f t="shared" si="608"/>
        <v>259521.27</v>
      </c>
      <c r="X489" s="225">
        <v>0</v>
      </c>
      <c r="Y489" s="225">
        <v>259521.27</v>
      </c>
      <c r="Z489" s="225">
        <v>259521.27</v>
      </c>
      <c r="AA489" s="225">
        <f t="shared" si="596"/>
        <v>0</v>
      </c>
      <c r="AB489" s="225">
        <v>0</v>
      </c>
      <c r="AC489" s="226">
        <v>259521.27</v>
      </c>
      <c r="AD489" s="225">
        <f t="shared" ref="AD489" si="609">SUM(AD490:AD497)</f>
        <v>259521.27</v>
      </c>
      <c r="AE489" s="225">
        <v>75923.290000000008</v>
      </c>
      <c r="AF489" s="169" t="s">
        <v>4680</v>
      </c>
      <c r="AG489" s="212">
        <v>0</v>
      </c>
      <c r="AH489" s="226">
        <v>75923.290000000008</v>
      </c>
      <c r="AI489" s="225">
        <v>75923.290000000008</v>
      </c>
      <c r="AJ489" s="169">
        <f t="shared" si="597"/>
        <v>0</v>
      </c>
      <c r="AK489" s="212">
        <v>0</v>
      </c>
      <c r="AL489" s="226">
        <v>75923.290000000008</v>
      </c>
      <c r="AM489" s="225">
        <f t="shared" ref="AM489" si="610">SUM(AM490:AM497)</f>
        <v>75923.290000000008</v>
      </c>
      <c r="AN489" s="153">
        <f t="shared" si="598"/>
        <v>0</v>
      </c>
      <c r="AO489" s="154">
        <f t="shared" si="599"/>
        <v>0</v>
      </c>
      <c r="AP489" s="225">
        <v>75923.290000000008</v>
      </c>
      <c r="AQ489" s="212">
        <v>75923.290000000008</v>
      </c>
      <c r="AR489" s="226">
        <f t="shared" ref="AR489:AS489" si="611">SUM(AR490:AR497)</f>
        <v>0</v>
      </c>
      <c r="AS489" s="225">
        <f t="shared" si="611"/>
        <v>75923.290000000008</v>
      </c>
      <c r="AT489" s="1386"/>
      <c r="AU489" s="156">
        <f t="shared" si="592"/>
        <v>-183597.97999999998</v>
      </c>
      <c r="AV489" s="156">
        <f t="shared" si="593"/>
        <v>0</v>
      </c>
      <c r="AW489" s="1384"/>
      <c r="AX489" s="150">
        <v>259521.27</v>
      </c>
      <c r="AY489" s="225">
        <f t="shared" ref="AY489:BA489" si="612">SUM(AY490:AY497)</f>
        <v>0</v>
      </c>
      <c r="AZ489" s="225">
        <f t="shared" si="612"/>
        <v>0</v>
      </c>
      <c r="BA489" s="225">
        <f t="shared" si="612"/>
        <v>0</v>
      </c>
      <c r="BB489" s="191">
        <v>4</v>
      </c>
      <c r="BC489" s="191">
        <v>10</v>
      </c>
      <c r="BD489" s="183" t="s">
        <v>647</v>
      </c>
      <c r="BE489" s="183" t="s">
        <v>632</v>
      </c>
      <c r="BF489" s="183" t="s">
        <v>630</v>
      </c>
      <c r="BG489" s="185" t="s">
        <v>5971</v>
      </c>
      <c r="BH489" s="215">
        <f>SUM(BH490:BH497)</f>
        <v>75923.290000000008</v>
      </c>
      <c r="BI489" s="191"/>
      <c r="BJ489" s="183" t="s">
        <v>5972</v>
      </c>
      <c r="BK489" s="183" t="s">
        <v>5970</v>
      </c>
      <c r="BL489" s="238" t="s">
        <v>5973</v>
      </c>
      <c r="BM489" s="215">
        <f>SUM(BM490:BM497)</f>
        <v>75923.290000000008</v>
      </c>
      <c r="BN489" s="160"/>
      <c r="BO489" s="161">
        <f t="shared" si="600"/>
        <v>0</v>
      </c>
      <c r="BP489" s="161"/>
    </row>
    <row r="490" spans="1:68" ht="25.5">
      <c r="A490" s="194" t="s">
        <v>5974</v>
      </c>
      <c r="B490" s="195" t="s">
        <v>5975</v>
      </c>
      <c r="C490" s="196" t="s">
        <v>1300</v>
      </c>
      <c r="D490" s="146" t="s">
        <v>4692</v>
      </c>
      <c r="E490" s="196" t="s">
        <v>1300</v>
      </c>
      <c r="F490" s="150">
        <v>0</v>
      </c>
      <c r="G490" s="209">
        <v>0</v>
      </c>
      <c r="H490" s="209">
        <v>2197.2800000000002</v>
      </c>
      <c r="I490" s="209">
        <v>2197.2800000000002</v>
      </c>
      <c r="J490" s="150">
        <v>0</v>
      </c>
      <c r="K490" s="150">
        <v>0</v>
      </c>
      <c r="L490" s="150">
        <f t="shared" si="601"/>
        <v>0</v>
      </c>
      <c r="M490" s="150">
        <v>0</v>
      </c>
      <c r="N490" s="150"/>
      <c r="O490" s="150">
        <v>0</v>
      </c>
      <c r="P490" s="150">
        <v>0</v>
      </c>
      <c r="Q490" s="150"/>
      <c r="R490" s="150">
        <f t="shared" ref="R490:R497" si="613">P490+Q490</f>
        <v>0</v>
      </c>
      <c r="S490" s="150">
        <f t="shared" si="595"/>
        <v>0</v>
      </c>
      <c r="T490" s="150"/>
      <c r="U490" s="150">
        <v>0</v>
      </c>
      <c r="V490" s="199">
        <v>114.51</v>
      </c>
      <c r="W490" s="150">
        <f t="shared" ref="W490:W497" si="614">U490+V490</f>
        <v>114.51</v>
      </c>
      <c r="X490" s="150">
        <v>0</v>
      </c>
      <c r="Y490" s="150">
        <v>114.51</v>
      </c>
      <c r="Z490" s="150">
        <v>114.51</v>
      </c>
      <c r="AA490" s="150">
        <f t="shared" si="596"/>
        <v>0</v>
      </c>
      <c r="AB490" s="150">
        <v>0</v>
      </c>
      <c r="AC490" s="199">
        <v>114.51</v>
      </c>
      <c r="AD490" s="150">
        <f t="shared" ref="AD490:AD497" si="615">AB490+AC490</f>
        <v>114.51</v>
      </c>
      <c r="AE490" s="150">
        <v>1079.06</v>
      </c>
      <c r="AF490" s="169" t="s">
        <v>4680</v>
      </c>
      <c r="AG490" s="201">
        <v>0</v>
      </c>
      <c r="AH490" s="199">
        <v>1079.06</v>
      </c>
      <c r="AI490" s="150">
        <v>1079.06</v>
      </c>
      <c r="AJ490" s="169">
        <f t="shared" si="597"/>
        <v>0</v>
      </c>
      <c r="AK490" s="201">
        <v>0</v>
      </c>
      <c r="AL490" s="199">
        <v>1079.06</v>
      </c>
      <c r="AM490" s="150">
        <f t="shared" ref="AM490:AM497" si="616">AK490+AL490</f>
        <v>1079.06</v>
      </c>
      <c r="AN490" s="153">
        <f t="shared" si="598"/>
        <v>0</v>
      </c>
      <c r="AO490" s="154">
        <f t="shared" si="599"/>
        <v>0</v>
      </c>
      <c r="AP490" s="150">
        <v>1079.06</v>
      </c>
      <c r="AQ490" s="201">
        <v>1079.06</v>
      </c>
      <c r="AR490" s="199"/>
      <c r="AS490" s="150">
        <f t="shared" ref="AS490:AS497" si="617">AQ490+AR490</f>
        <v>1079.06</v>
      </c>
      <c r="AT490" s="155"/>
      <c r="AU490" s="156">
        <f t="shared" si="592"/>
        <v>964.55</v>
      </c>
      <c r="AV490" s="156">
        <f t="shared" si="593"/>
        <v>0</v>
      </c>
      <c r="AW490" s="157"/>
      <c r="AX490" s="150">
        <v>114.51</v>
      </c>
      <c r="AY490" s="150">
        <v>0</v>
      </c>
      <c r="AZ490" s="150"/>
      <c r="BA490" s="150">
        <f t="shared" si="594"/>
        <v>0</v>
      </c>
      <c r="BB490" s="202">
        <v>4</v>
      </c>
      <c r="BC490" s="202">
        <v>10</v>
      </c>
      <c r="BD490" s="202" t="s">
        <v>647</v>
      </c>
      <c r="BE490" s="194" t="s">
        <v>632</v>
      </c>
      <c r="BF490" s="202" t="s">
        <v>632</v>
      </c>
      <c r="BG490" s="203" t="s">
        <v>1301</v>
      </c>
      <c r="BH490" s="216">
        <f t="shared" ref="BH490:BH497" si="618">AS490</f>
        <v>1079.06</v>
      </c>
      <c r="BI490" s="202"/>
      <c r="BJ490" s="194" t="s">
        <v>5976</v>
      </c>
      <c r="BK490" s="194" t="s">
        <v>5974</v>
      </c>
      <c r="BL490" s="207" t="s">
        <v>5977</v>
      </c>
      <c r="BM490" s="208">
        <f t="shared" ref="BM490:BM497" si="619">BH490</f>
        <v>1079.06</v>
      </c>
      <c r="BN490" s="160"/>
      <c r="BO490" s="161">
        <f t="shared" si="600"/>
        <v>0</v>
      </c>
      <c r="BP490" s="161"/>
    </row>
    <row r="491" spans="1:68" ht="38.25">
      <c r="A491" s="194" t="s">
        <v>5978</v>
      </c>
      <c r="B491" s="195" t="s">
        <v>5979</v>
      </c>
      <c r="C491" s="196" t="s">
        <v>1307</v>
      </c>
      <c r="D491" s="146" t="s">
        <v>4692</v>
      </c>
      <c r="E491" s="196" t="s">
        <v>1307</v>
      </c>
      <c r="F491" s="150">
        <v>2197.2800000000002</v>
      </c>
      <c r="G491" s="209">
        <v>0</v>
      </c>
      <c r="H491" s="209"/>
      <c r="I491" s="209">
        <v>0</v>
      </c>
      <c r="J491" s="150">
        <v>0</v>
      </c>
      <c r="K491" s="150">
        <v>2197.2800000000002</v>
      </c>
      <c r="L491" s="150">
        <f t="shared" si="601"/>
        <v>2197.2800000000002</v>
      </c>
      <c r="M491" s="150">
        <v>0</v>
      </c>
      <c r="N491" s="150">
        <v>1947.72</v>
      </c>
      <c r="O491" s="150">
        <v>1947.72</v>
      </c>
      <c r="P491" s="150">
        <v>0</v>
      </c>
      <c r="Q491" s="150">
        <v>2197.2800000000002</v>
      </c>
      <c r="R491" s="150">
        <f t="shared" si="613"/>
        <v>2197.2800000000002</v>
      </c>
      <c r="S491" s="150">
        <f t="shared" si="595"/>
        <v>2929.7066666666669</v>
      </c>
      <c r="T491" s="150"/>
      <c r="U491" s="150">
        <v>0</v>
      </c>
      <c r="V491" s="199">
        <v>137756.21</v>
      </c>
      <c r="W491" s="150">
        <f t="shared" si="614"/>
        <v>137756.21</v>
      </c>
      <c r="X491" s="150">
        <v>0</v>
      </c>
      <c r="Y491" s="150">
        <v>137756.21</v>
      </c>
      <c r="Z491" s="150">
        <v>137756.21</v>
      </c>
      <c r="AA491" s="150">
        <f t="shared" si="596"/>
        <v>0</v>
      </c>
      <c r="AB491" s="150">
        <v>0</v>
      </c>
      <c r="AC491" s="199">
        <v>137756.21</v>
      </c>
      <c r="AD491" s="150">
        <f t="shared" si="615"/>
        <v>137756.21</v>
      </c>
      <c r="AE491" s="150">
        <v>529.05000000000007</v>
      </c>
      <c r="AF491" s="169" t="s">
        <v>4680</v>
      </c>
      <c r="AG491" s="201">
        <v>0</v>
      </c>
      <c r="AH491" s="199">
        <v>529.05000000000007</v>
      </c>
      <c r="AI491" s="150">
        <v>529.05000000000007</v>
      </c>
      <c r="AJ491" s="169">
        <f t="shared" si="597"/>
        <v>0</v>
      </c>
      <c r="AK491" s="201">
        <v>0</v>
      </c>
      <c r="AL491" s="199">
        <v>529.05000000000007</v>
      </c>
      <c r="AM491" s="150">
        <f t="shared" si="616"/>
        <v>529.05000000000007</v>
      </c>
      <c r="AN491" s="153">
        <f t="shared" si="598"/>
        <v>0</v>
      </c>
      <c r="AO491" s="154">
        <f t="shared" si="599"/>
        <v>0</v>
      </c>
      <c r="AP491" s="150">
        <v>529.04999999999995</v>
      </c>
      <c r="AQ491" s="201">
        <v>529.04999999999995</v>
      </c>
      <c r="AR491" s="199"/>
      <c r="AS491" s="150">
        <f t="shared" si="617"/>
        <v>529.04999999999995</v>
      </c>
      <c r="AT491" s="155"/>
      <c r="AU491" s="156">
        <f t="shared" si="592"/>
        <v>-137227.16</v>
      </c>
      <c r="AV491" s="156">
        <f t="shared" si="593"/>
        <v>0</v>
      </c>
      <c r="AW491" s="157"/>
      <c r="AX491" s="150">
        <v>137756.21</v>
      </c>
      <c r="AY491" s="150">
        <v>0</v>
      </c>
      <c r="AZ491" s="150"/>
      <c r="BA491" s="150">
        <f t="shared" si="594"/>
        <v>0</v>
      </c>
      <c r="BB491" s="202">
        <v>4</v>
      </c>
      <c r="BC491" s="202">
        <v>10</v>
      </c>
      <c r="BD491" s="202" t="s">
        <v>647</v>
      </c>
      <c r="BE491" s="194" t="s">
        <v>632</v>
      </c>
      <c r="BF491" s="194" t="s">
        <v>647</v>
      </c>
      <c r="BG491" s="203" t="s">
        <v>1308</v>
      </c>
      <c r="BH491" s="216">
        <f t="shared" si="618"/>
        <v>529.04999999999995</v>
      </c>
      <c r="BI491" s="202"/>
      <c r="BJ491" s="194" t="s">
        <v>5980</v>
      </c>
      <c r="BK491" s="194" t="s">
        <v>5978</v>
      </c>
      <c r="BL491" s="207" t="s">
        <v>5981</v>
      </c>
      <c r="BM491" s="208">
        <f t="shared" si="619"/>
        <v>529.04999999999995</v>
      </c>
      <c r="BN491" s="160"/>
      <c r="BO491" s="161">
        <f t="shared" si="600"/>
        <v>0</v>
      </c>
      <c r="BP491" s="161"/>
    </row>
    <row r="492" spans="1:68" ht="38.25">
      <c r="A492" s="194" t="s">
        <v>5982</v>
      </c>
      <c r="B492" s="195" t="s">
        <v>5983</v>
      </c>
      <c r="C492" s="196" t="s">
        <v>5984</v>
      </c>
      <c r="D492" s="146" t="s">
        <v>4692</v>
      </c>
      <c r="E492" s="196" t="s">
        <v>5984</v>
      </c>
      <c r="F492" s="150">
        <v>0</v>
      </c>
      <c r="G492" s="209">
        <v>0</v>
      </c>
      <c r="H492" s="209"/>
      <c r="I492" s="209">
        <v>0</v>
      </c>
      <c r="J492" s="150">
        <v>0</v>
      </c>
      <c r="K492" s="150">
        <v>0</v>
      </c>
      <c r="L492" s="150">
        <f t="shared" si="601"/>
        <v>0</v>
      </c>
      <c r="M492" s="150">
        <v>0</v>
      </c>
      <c r="N492" s="150"/>
      <c r="O492" s="150">
        <v>0</v>
      </c>
      <c r="P492" s="150">
        <v>0</v>
      </c>
      <c r="Q492" s="150"/>
      <c r="R492" s="150">
        <f t="shared" si="613"/>
        <v>0</v>
      </c>
      <c r="S492" s="150">
        <f t="shared" si="595"/>
        <v>0</v>
      </c>
      <c r="T492" s="150"/>
      <c r="U492" s="150">
        <v>0</v>
      </c>
      <c r="V492" s="199">
        <v>0</v>
      </c>
      <c r="W492" s="150">
        <f t="shared" si="614"/>
        <v>0</v>
      </c>
      <c r="X492" s="150">
        <v>0</v>
      </c>
      <c r="Y492" s="150">
        <v>0</v>
      </c>
      <c r="Z492" s="150">
        <v>0</v>
      </c>
      <c r="AA492" s="150">
        <f t="shared" si="596"/>
        <v>0</v>
      </c>
      <c r="AB492" s="150">
        <v>0</v>
      </c>
      <c r="AC492" s="199">
        <v>0</v>
      </c>
      <c r="AD492" s="150">
        <f t="shared" si="615"/>
        <v>0</v>
      </c>
      <c r="AE492" s="150">
        <v>0</v>
      </c>
      <c r="AF492" s="169" t="s">
        <v>4680</v>
      </c>
      <c r="AG492" s="201">
        <v>0</v>
      </c>
      <c r="AH492" s="199">
        <v>0</v>
      </c>
      <c r="AI492" s="150">
        <v>0</v>
      </c>
      <c r="AJ492" s="169">
        <f t="shared" si="597"/>
        <v>0</v>
      </c>
      <c r="AK492" s="201">
        <v>0</v>
      </c>
      <c r="AL492" s="199">
        <v>0</v>
      </c>
      <c r="AM492" s="150">
        <f t="shared" si="616"/>
        <v>0</v>
      </c>
      <c r="AN492" s="153">
        <f t="shared" si="598"/>
        <v>0</v>
      </c>
      <c r="AO492" s="154">
        <f t="shared" si="599"/>
        <v>0</v>
      </c>
      <c r="AP492" s="150">
        <v>0</v>
      </c>
      <c r="AQ492" s="201">
        <v>0</v>
      </c>
      <c r="AR492" s="199"/>
      <c r="AS492" s="150">
        <f t="shared" si="617"/>
        <v>0</v>
      </c>
      <c r="AT492" s="155"/>
      <c r="AU492" s="156">
        <f t="shared" si="592"/>
        <v>0</v>
      </c>
      <c r="AV492" s="156">
        <f t="shared" si="593"/>
        <v>0</v>
      </c>
      <c r="AW492" s="157"/>
      <c r="AX492" s="150">
        <v>0</v>
      </c>
      <c r="AY492" s="150">
        <v>0</v>
      </c>
      <c r="AZ492" s="150"/>
      <c r="BA492" s="150">
        <f t="shared" si="594"/>
        <v>0</v>
      </c>
      <c r="BB492" s="202">
        <v>4</v>
      </c>
      <c r="BC492" s="202">
        <v>10</v>
      </c>
      <c r="BD492" s="202" t="s">
        <v>647</v>
      </c>
      <c r="BE492" s="194" t="s">
        <v>632</v>
      </c>
      <c r="BF492" s="194" t="s">
        <v>671</v>
      </c>
      <c r="BG492" s="203" t="s">
        <v>5984</v>
      </c>
      <c r="BH492" s="216">
        <f t="shared" si="618"/>
        <v>0</v>
      </c>
      <c r="BI492" s="202"/>
      <c r="BJ492" s="194" t="s">
        <v>5985</v>
      </c>
      <c r="BK492" s="194" t="s">
        <v>5982</v>
      </c>
      <c r="BL492" s="207" t="s">
        <v>5986</v>
      </c>
      <c r="BM492" s="208">
        <f t="shared" si="619"/>
        <v>0</v>
      </c>
      <c r="BN492" s="160"/>
      <c r="BO492" s="161">
        <f t="shared" si="600"/>
        <v>0</v>
      </c>
      <c r="BP492" s="161"/>
    </row>
    <row r="493" spans="1:68" ht="25.5">
      <c r="A493" s="194" t="s">
        <v>5982</v>
      </c>
      <c r="B493" s="195" t="s">
        <v>5987</v>
      </c>
      <c r="C493" s="196" t="s">
        <v>5988</v>
      </c>
      <c r="D493" s="146" t="s">
        <v>4692</v>
      </c>
      <c r="E493" s="196" t="s">
        <v>5988</v>
      </c>
      <c r="F493" s="150">
        <v>0</v>
      </c>
      <c r="G493" s="209">
        <v>0</v>
      </c>
      <c r="H493" s="209">
        <v>21963.309999999998</v>
      </c>
      <c r="I493" s="209">
        <v>21963.309999999998</v>
      </c>
      <c r="J493" s="150">
        <v>0</v>
      </c>
      <c r="K493" s="150">
        <v>0</v>
      </c>
      <c r="L493" s="150">
        <f t="shared" si="601"/>
        <v>0</v>
      </c>
      <c r="M493" s="150">
        <v>0</v>
      </c>
      <c r="N493" s="150"/>
      <c r="O493" s="150">
        <v>0</v>
      </c>
      <c r="P493" s="150">
        <v>0</v>
      </c>
      <c r="Q493" s="150"/>
      <c r="R493" s="150">
        <f t="shared" si="613"/>
        <v>0</v>
      </c>
      <c r="S493" s="150">
        <f t="shared" si="595"/>
        <v>0</v>
      </c>
      <c r="T493" s="150"/>
      <c r="U493" s="150">
        <v>0</v>
      </c>
      <c r="V493" s="199">
        <v>0</v>
      </c>
      <c r="W493" s="150">
        <f t="shared" si="614"/>
        <v>0</v>
      </c>
      <c r="X493" s="150">
        <v>0</v>
      </c>
      <c r="Y493" s="150">
        <v>0</v>
      </c>
      <c r="Z493" s="150">
        <v>0</v>
      </c>
      <c r="AA493" s="150">
        <f t="shared" si="596"/>
        <v>0</v>
      </c>
      <c r="AB493" s="150">
        <v>0</v>
      </c>
      <c r="AC493" s="199">
        <v>0</v>
      </c>
      <c r="AD493" s="150">
        <f t="shared" si="615"/>
        <v>0</v>
      </c>
      <c r="AE493" s="150">
        <v>0</v>
      </c>
      <c r="AF493" s="169" t="s">
        <v>4680</v>
      </c>
      <c r="AG493" s="201">
        <v>0</v>
      </c>
      <c r="AH493" s="199">
        <v>0</v>
      </c>
      <c r="AI493" s="150">
        <v>0</v>
      </c>
      <c r="AJ493" s="169">
        <f t="shared" si="597"/>
        <v>0</v>
      </c>
      <c r="AK493" s="201">
        <v>0</v>
      </c>
      <c r="AL493" s="199">
        <v>0</v>
      </c>
      <c r="AM493" s="150">
        <f t="shared" si="616"/>
        <v>0</v>
      </c>
      <c r="AN493" s="153">
        <f t="shared" si="598"/>
        <v>0</v>
      </c>
      <c r="AO493" s="154">
        <f t="shared" si="599"/>
        <v>0</v>
      </c>
      <c r="AP493" s="150">
        <v>0</v>
      </c>
      <c r="AQ493" s="201">
        <v>0</v>
      </c>
      <c r="AR493" s="199"/>
      <c r="AS493" s="150">
        <f t="shared" si="617"/>
        <v>0</v>
      </c>
      <c r="AT493" s="155"/>
      <c r="AU493" s="156">
        <f t="shared" si="592"/>
        <v>0</v>
      </c>
      <c r="AV493" s="156">
        <f t="shared" si="593"/>
        <v>0</v>
      </c>
      <c r="AW493" s="157"/>
      <c r="AX493" s="150">
        <v>0</v>
      </c>
      <c r="AY493" s="150">
        <v>0</v>
      </c>
      <c r="AZ493" s="150"/>
      <c r="BA493" s="150">
        <f t="shared" si="594"/>
        <v>0</v>
      </c>
      <c r="BB493" s="202">
        <v>4</v>
      </c>
      <c r="BC493" s="202">
        <v>10</v>
      </c>
      <c r="BD493" s="202" t="s">
        <v>647</v>
      </c>
      <c r="BE493" s="194" t="s">
        <v>632</v>
      </c>
      <c r="BF493" s="194" t="s">
        <v>755</v>
      </c>
      <c r="BG493" s="203" t="s">
        <v>5988</v>
      </c>
      <c r="BH493" s="216">
        <f t="shared" si="618"/>
        <v>0</v>
      </c>
      <c r="BI493" s="202"/>
      <c r="BJ493" s="194" t="s">
        <v>5985</v>
      </c>
      <c r="BK493" s="194" t="s">
        <v>5982</v>
      </c>
      <c r="BL493" s="207" t="s">
        <v>5986</v>
      </c>
      <c r="BM493" s="208">
        <f t="shared" si="619"/>
        <v>0</v>
      </c>
      <c r="BN493" s="160"/>
      <c r="BO493" s="161">
        <f t="shared" si="600"/>
        <v>0</v>
      </c>
      <c r="BP493" s="161"/>
    </row>
    <row r="494" spans="1:68" ht="25.5">
      <c r="A494" s="194" t="s">
        <v>5989</v>
      </c>
      <c r="B494" s="195" t="s">
        <v>5990</v>
      </c>
      <c r="C494" s="196" t="s">
        <v>1317</v>
      </c>
      <c r="D494" s="146" t="s">
        <v>4692</v>
      </c>
      <c r="E494" s="196" t="s">
        <v>1317</v>
      </c>
      <c r="F494" s="150">
        <v>21963.31</v>
      </c>
      <c r="G494" s="209">
        <v>0</v>
      </c>
      <c r="H494" s="209">
        <v>8107.64</v>
      </c>
      <c r="I494" s="209">
        <v>8107.64</v>
      </c>
      <c r="J494" s="150">
        <v>0</v>
      </c>
      <c r="K494" s="150">
        <v>21963.309999999998</v>
      </c>
      <c r="L494" s="150">
        <f t="shared" si="601"/>
        <v>21963.309999999998</v>
      </c>
      <c r="M494" s="150">
        <v>0</v>
      </c>
      <c r="N494" s="150">
        <v>4350.29</v>
      </c>
      <c r="O494" s="150">
        <v>4350.29</v>
      </c>
      <c r="P494" s="150">
        <v>0</v>
      </c>
      <c r="Q494" s="150">
        <v>20697.46</v>
      </c>
      <c r="R494" s="150">
        <f t="shared" si="613"/>
        <v>20697.46</v>
      </c>
      <c r="S494" s="150">
        <f t="shared" si="595"/>
        <v>27596.613333333335</v>
      </c>
      <c r="T494" s="150"/>
      <c r="U494" s="150">
        <v>0</v>
      </c>
      <c r="V494" s="199">
        <v>58606.49</v>
      </c>
      <c r="W494" s="150">
        <f t="shared" si="614"/>
        <v>58606.49</v>
      </c>
      <c r="X494" s="150">
        <v>0</v>
      </c>
      <c r="Y494" s="150">
        <v>58606.49</v>
      </c>
      <c r="Z494" s="150">
        <v>58606.49</v>
      </c>
      <c r="AA494" s="150">
        <f t="shared" si="596"/>
        <v>0</v>
      </c>
      <c r="AB494" s="150">
        <v>0</v>
      </c>
      <c r="AC494" s="199">
        <v>58606.49</v>
      </c>
      <c r="AD494" s="150">
        <f t="shared" si="615"/>
        <v>58606.49</v>
      </c>
      <c r="AE494" s="150">
        <v>70022.3</v>
      </c>
      <c r="AF494" s="169" t="s">
        <v>4680</v>
      </c>
      <c r="AG494" s="201">
        <v>0</v>
      </c>
      <c r="AH494" s="199">
        <v>70022.3</v>
      </c>
      <c r="AI494" s="150">
        <v>70022.3</v>
      </c>
      <c r="AJ494" s="169">
        <f t="shared" si="597"/>
        <v>0</v>
      </c>
      <c r="AK494" s="201">
        <v>0</v>
      </c>
      <c r="AL494" s="199">
        <v>70022.3</v>
      </c>
      <c r="AM494" s="150">
        <f t="shared" si="616"/>
        <v>70022.3</v>
      </c>
      <c r="AN494" s="153">
        <f t="shared" si="598"/>
        <v>0</v>
      </c>
      <c r="AO494" s="154">
        <f t="shared" si="599"/>
        <v>0</v>
      </c>
      <c r="AP494" s="150">
        <v>70022.3</v>
      </c>
      <c r="AQ494" s="201">
        <v>70022.3</v>
      </c>
      <c r="AR494" s="199"/>
      <c r="AS494" s="150">
        <f t="shared" si="617"/>
        <v>70022.3</v>
      </c>
      <c r="AT494" s="155"/>
      <c r="AU494" s="156">
        <f t="shared" si="592"/>
        <v>11415.810000000005</v>
      </c>
      <c r="AV494" s="156">
        <f t="shared" si="593"/>
        <v>0</v>
      </c>
      <c r="AW494" s="157"/>
      <c r="AX494" s="150">
        <v>58606.49</v>
      </c>
      <c r="AY494" s="150">
        <v>0</v>
      </c>
      <c r="AZ494" s="150"/>
      <c r="BA494" s="150">
        <f t="shared" si="594"/>
        <v>0</v>
      </c>
      <c r="BB494" s="202">
        <v>4</v>
      </c>
      <c r="BC494" s="202">
        <v>10</v>
      </c>
      <c r="BD494" s="202" t="s">
        <v>647</v>
      </c>
      <c r="BE494" s="194" t="s">
        <v>632</v>
      </c>
      <c r="BF494" s="194" t="s">
        <v>693</v>
      </c>
      <c r="BG494" s="287" t="s">
        <v>1318</v>
      </c>
      <c r="BH494" s="216">
        <f t="shared" si="618"/>
        <v>70022.3</v>
      </c>
      <c r="BI494" s="202"/>
      <c r="BJ494" s="194" t="s">
        <v>5991</v>
      </c>
      <c r="BK494" s="194" t="s">
        <v>5989</v>
      </c>
      <c r="BL494" s="207" t="s">
        <v>5992</v>
      </c>
      <c r="BM494" s="208">
        <f t="shared" si="619"/>
        <v>70022.3</v>
      </c>
      <c r="BN494" s="160"/>
      <c r="BO494" s="161">
        <f t="shared" si="600"/>
        <v>0</v>
      </c>
      <c r="BP494" s="161"/>
    </row>
    <row r="495" spans="1:68" ht="25.5">
      <c r="A495" s="194" t="s">
        <v>5993</v>
      </c>
      <c r="B495" s="195" t="s">
        <v>5994</v>
      </c>
      <c r="C495" s="196" t="s">
        <v>1322</v>
      </c>
      <c r="D495" s="146" t="s">
        <v>4692</v>
      </c>
      <c r="E495" s="196" t="s">
        <v>1322</v>
      </c>
      <c r="F495" s="150">
        <v>8107.64</v>
      </c>
      <c r="G495" s="209">
        <v>0</v>
      </c>
      <c r="H495" s="209"/>
      <c r="I495" s="209">
        <v>0</v>
      </c>
      <c r="J495" s="150">
        <v>0</v>
      </c>
      <c r="K495" s="150">
        <v>8107.64</v>
      </c>
      <c r="L495" s="150">
        <f t="shared" si="601"/>
        <v>8107.64</v>
      </c>
      <c r="M495" s="150">
        <v>0</v>
      </c>
      <c r="N495" s="150">
        <v>614.54</v>
      </c>
      <c r="O495" s="150">
        <v>614.54</v>
      </c>
      <c r="P495" s="150">
        <v>0</v>
      </c>
      <c r="Q495" s="150">
        <v>3084.01</v>
      </c>
      <c r="R495" s="150">
        <f t="shared" si="613"/>
        <v>3084.01</v>
      </c>
      <c r="S495" s="150">
        <f t="shared" si="595"/>
        <v>4112.0133333333342</v>
      </c>
      <c r="T495" s="150"/>
      <c r="U495" s="150">
        <v>0</v>
      </c>
      <c r="V495" s="199">
        <v>63044.06</v>
      </c>
      <c r="W495" s="150">
        <f t="shared" si="614"/>
        <v>63044.06</v>
      </c>
      <c r="X495" s="150">
        <v>0</v>
      </c>
      <c r="Y495" s="150">
        <v>63044.06</v>
      </c>
      <c r="Z495" s="150">
        <v>63044.06</v>
      </c>
      <c r="AA495" s="150">
        <f t="shared" si="596"/>
        <v>0</v>
      </c>
      <c r="AB495" s="150">
        <v>0</v>
      </c>
      <c r="AC495" s="199">
        <v>63044.06</v>
      </c>
      <c r="AD495" s="150">
        <f t="shared" si="615"/>
        <v>63044.06</v>
      </c>
      <c r="AE495" s="150">
        <v>4292.88</v>
      </c>
      <c r="AF495" s="169" t="s">
        <v>4680</v>
      </c>
      <c r="AG495" s="201">
        <v>0</v>
      </c>
      <c r="AH495" s="199">
        <v>4292.88</v>
      </c>
      <c r="AI495" s="150">
        <v>4292.88</v>
      </c>
      <c r="AJ495" s="169">
        <f t="shared" si="597"/>
        <v>0</v>
      </c>
      <c r="AK495" s="201">
        <v>0</v>
      </c>
      <c r="AL495" s="199">
        <v>4292.88</v>
      </c>
      <c r="AM495" s="150">
        <f t="shared" si="616"/>
        <v>4292.88</v>
      </c>
      <c r="AN495" s="153">
        <f t="shared" si="598"/>
        <v>0</v>
      </c>
      <c r="AO495" s="154">
        <f t="shared" si="599"/>
        <v>0</v>
      </c>
      <c r="AP495" s="150">
        <v>4292.88</v>
      </c>
      <c r="AQ495" s="201">
        <v>4292.88</v>
      </c>
      <c r="AR495" s="199"/>
      <c r="AS495" s="150">
        <f t="shared" si="617"/>
        <v>4292.88</v>
      </c>
      <c r="AT495" s="155"/>
      <c r="AU495" s="156">
        <f t="shared" si="592"/>
        <v>-58751.18</v>
      </c>
      <c r="AV495" s="156">
        <f t="shared" si="593"/>
        <v>0</v>
      </c>
      <c r="AW495" s="157"/>
      <c r="AX495" s="150">
        <v>63044.06</v>
      </c>
      <c r="AY495" s="150">
        <v>0</v>
      </c>
      <c r="AZ495" s="150"/>
      <c r="BA495" s="150">
        <f t="shared" si="594"/>
        <v>0</v>
      </c>
      <c r="BB495" s="202">
        <v>4</v>
      </c>
      <c r="BC495" s="202">
        <v>10</v>
      </c>
      <c r="BD495" s="202" t="s">
        <v>647</v>
      </c>
      <c r="BE495" s="194" t="s">
        <v>632</v>
      </c>
      <c r="BF495" s="202" t="s">
        <v>714</v>
      </c>
      <c r="BG495" s="203" t="s">
        <v>1323</v>
      </c>
      <c r="BH495" s="216">
        <f t="shared" si="618"/>
        <v>4292.88</v>
      </c>
      <c r="BI495" s="202"/>
      <c r="BJ495" s="194" t="s">
        <v>5995</v>
      </c>
      <c r="BK495" s="194" t="s">
        <v>5993</v>
      </c>
      <c r="BL495" s="207" t="s">
        <v>5996</v>
      </c>
      <c r="BM495" s="208">
        <f t="shared" si="619"/>
        <v>4292.88</v>
      </c>
      <c r="BN495" s="160"/>
      <c r="BO495" s="161">
        <f t="shared" si="600"/>
        <v>0</v>
      </c>
      <c r="BP495" s="161"/>
    </row>
    <row r="496" spans="1:68" ht="38.25">
      <c r="A496" s="194" t="s">
        <v>5997</v>
      </c>
      <c r="B496" s="195" t="s">
        <v>5998</v>
      </c>
      <c r="C496" s="196" t="s">
        <v>5965</v>
      </c>
      <c r="D496" s="146" t="s">
        <v>4692</v>
      </c>
      <c r="E496" s="196" t="s">
        <v>5965</v>
      </c>
      <c r="F496" s="150">
        <v>0</v>
      </c>
      <c r="G496" s="209">
        <v>0</v>
      </c>
      <c r="H496" s="209"/>
      <c r="I496" s="209">
        <v>0</v>
      </c>
      <c r="J496" s="150">
        <v>0</v>
      </c>
      <c r="K496" s="150">
        <v>0</v>
      </c>
      <c r="L496" s="150">
        <f t="shared" si="601"/>
        <v>0</v>
      </c>
      <c r="M496" s="150">
        <v>0</v>
      </c>
      <c r="N496" s="150"/>
      <c r="O496" s="150">
        <v>0</v>
      </c>
      <c r="P496" s="150">
        <v>0</v>
      </c>
      <c r="Q496" s="150"/>
      <c r="R496" s="150">
        <f t="shared" si="613"/>
        <v>0</v>
      </c>
      <c r="S496" s="150">
        <f t="shared" si="595"/>
        <v>0</v>
      </c>
      <c r="T496" s="150"/>
      <c r="U496" s="150">
        <v>0</v>
      </c>
      <c r="V496" s="199">
        <v>0</v>
      </c>
      <c r="W496" s="150">
        <f t="shared" si="614"/>
        <v>0</v>
      </c>
      <c r="X496" s="150">
        <v>0</v>
      </c>
      <c r="Y496" s="150">
        <v>0</v>
      </c>
      <c r="Z496" s="150">
        <v>0</v>
      </c>
      <c r="AA496" s="150">
        <f t="shared" si="596"/>
        <v>0</v>
      </c>
      <c r="AB496" s="150">
        <v>0</v>
      </c>
      <c r="AC496" s="199">
        <v>0</v>
      </c>
      <c r="AD496" s="150">
        <f t="shared" si="615"/>
        <v>0</v>
      </c>
      <c r="AE496" s="150">
        <v>0</v>
      </c>
      <c r="AF496" s="169" t="s">
        <v>4680</v>
      </c>
      <c r="AG496" s="201">
        <v>0</v>
      </c>
      <c r="AH496" s="199">
        <v>0</v>
      </c>
      <c r="AI496" s="150">
        <v>0</v>
      </c>
      <c r="AJ496" s="169">
        <f t="shared" si="597"/>
        <v>0</v>
      </c>
      <c r="AK496" s="201">
        <v>0</v>
      </c>
      <c r="AL496" s="199">
        <v>0</v>
      </c>
      <c r="AM496" s="150">
        <f t="shared" si="616"/>
        <v>0</v>
      </c>
      <c r="AN496" s="153">
        <f t="shared" si="598"/>
        <v>0</v>
      </c>
      <c r="AO496" s="154">
        <f t="shared" si="599"/>
        <v>0</v>
      </c>
      <c r="AP496" s="150">
        <v>0</v>
      </c>
      <c r="AQ496" s="201">
        <v>0</v>
      </c>
      <c r="AR496" s="199"/>
      <c r="AS496" s="150">
        <f t="shared" si="617"/>
        <v>0</v>
      </c>
      <c r="AT496" s="155"/>
      <c r="AU496" s="156">
        <f t="shared" si="592"/>
        <v>0</v>
      </c>
      <c r="AV496" s="156">
        <f t="shared" si="593"/>
        <v>0</v>
      </c>
      <c r="AW496" s="157"/>
      <c r="AX496" s="150">
        <v>0</v>
      </c>
      <c r="AY496" s="150">
        <v>0</v>
      </c>
      <c r="AZ496" s="150"/>
      <c r="BA496" s="150">
        <f t="shared" si="594"/>
        <v>0</v>
      </c>
      <c r="BB496" s="202">
        <v>4</v>
      </c>
      <c r="BC496" s="202">
        <v>10</v>
      </c>
      <c r="BD496" s="202" t="s">
        <v>647</v>
      </c>
      <c r="BE496" s="194" t="s">
        <v>632</v>
      </c>
      <c r="BF496" s="194" t="s">
        <v>739</v>
      </c>
      <c r="BG496" s="203" t="s">
        <v>5966</v>
      </c>
      <c r="BH496" s="216">
        <f t="shared" si="618"/>
        <v>0</v>
      </c>
      <c r="BI496" s="202"/>
      <c r="BJ496" s="194" t="s">
        <v>5999</v>
      </c>
      <c r="BK496" s="194" t="s">
        <v>5997</v>
      </c>
      <c r="BL496" s="207" t="s">
        <v>6000</v>
      </c>
      <c r="BM496" s="208">
        <f t="shared" si="619"/>
        <v>0</v>
      </c>
      <c r="BN496" s="160"/>
      <c r="BO496" s="161">
        <f t="shared" si="600"/>
        <v>0</v>
      </c>
      <c r="BP496" s="161"/>
    </row>
    <row r="497" spans="1:69" ht="25.5">
      <c r="A497" s="194" t="s">
        <v>5997</v>
      </c>
      <c r="B497" s="195" t="s">
        <v>6001</v>
      </c>
      <c r="C497" s="196" t="s">
        <v>1328</v>
      </c>
      <c r="D497" s="146" t="s">
        <v>4692</v>
      </c>
      <c r="E497" s="196" t="s">
        <v>1328</v>
      </c>
      <c r="F497" s="150">
        <v>0</v>
      </c>
      <c r="G497" s="209">
        <v>288706258.72999996</v>
      </c>
      <c r="H497" s="209">
        <v>51472610.266690843</v>
      </c>
      <c r="I497" s="209">
        <v>340178868.99669093</v>
      </c>
      <c r="J497" s="150">
        <v>0</v>
      </c>
      <c r="K497" s="150">
        <v>0</v>
      </c>
      <c r="L497" s="150">
        <f t="shared" si="601"/>
        <v>0</v>
      </c>
      <c r="M497" s="150">
        <v>0</v>
      </c>
      <c r="N497" s="150"/>
      <c r="O497" s="150">
        <v>0</v>
      </c>
      <c r="P497" s="150">
        <v>0</v>
      </c>
      <c r="Q497" s="150"/>
      <c r="R497" s="150">
        <f t="shared" si="613"/>
        <v>0</v>
      </c>
      <c r="S497" s="150">
        <f t="shared" si="595"/>
        <v>0</v>
      </c>
      <c r="T497" s="150"/>
      <c r="U497" s="150">
        <v>0</v>
      </c>
      <c r="V497" s="199">
        <v>0</v>
      </c>
      <c r="W497" s="150">
        <f t="shared" si="614"/>
        <v>0</v>
      </c>
      <c r="X497" s="150">
        <v>0</v>
      </c>
      <c r="Y497" s="150">
        <v>0</v>
      </c>
      <c r="Z497" s="150">
        <v>0</v>
      </c>
      <c r="AA497" s="150">
        <f t="shared" si="596"/>
        <v>0</v>
      </c>
      <c r="AB497" s="150">
        <v>0</v>
      </c>
      <c r="AC497" s="199">
        <v>0</v>
      </c>
      <c r="AD497" s="150">
        <f t="shared" si="615"/>
        <v>0</v>
      </c>
      <c r="AE497" s="150">
        <v>0</v>
      </c>
      <c r="AF497" s="169" t="s">
        <v>4680</v>
      </c>
      <c r="AG497" s="201">
        <v>0</v>
      </c>
      <c r="AH497" s="199">
        <v>0</v>
      </c>
      <c r="AI497" s="150">
        <v>0</v>
      </c>
      <c r="AJ497" s="169">
        <f t="shared" si="597"/>
        <v>0</v>
      </c>
      <c r="AK497" s="201">
        <v>0</v>
      </c>
      <c r="AL497" s="199">
        <v>0</v>
      </c>
      <c r="AM497" s="150">
        <f t="shared" si="616"/>
        <v>0</v>
      </c>
      <c r="AN497" s="153">
        <f t="shared" si="598"/>
        <v>0</v>
      </c>
      <c r="AO497" s="154">
        <f t="shared" si="599"/>
        <v>0</v>
      </c>
      <c r="AP497" s="150">
        <v>0</v>
      </c>
      <c r="AQ497" s="201">
        <v>0</v>
      </c>
      <c r="AR497" s="199"/>
      <c r="AS497" s="150">
        <f t="shared" si="617"/>
        <v>0</v>
      </c>
      <c r="AT497" s="155"/>
      <c r="AU497" s="156">
        <f t="shared" si="592"/>
        <v>0</v>
      </c>
      <c r="AV497" s="156">
        <f t="shared" si="593"/>
        <v>0</v>
      </c>
      <c r="AW497" s="157"/>
      <c r="AX497" s="150">
        <v>0</v>
      </c>
      <c r="AY497" s="150">
        <v>0</v>
      </c>
      <c r="AZ497" s="150"/>
      <c r="BA497" s="150">
        <f t="shared" si="594"/>
        <v>0</v>
      </c>
      <c r="BB497" s="202">
        <v>4</v>
      </c>
      <c r="BC497" s="202">
        <v>10</v>
      </c>
      <c r="BD497" s="202" t="s">
        <v>647</v>
      </c>
      <c r="BE497" s="194" t="s">
        <v>632</v>
      </c>
      <c r="BF497" s="194" t="s">
        <v>1124</v>
      </c>
      <c r="BG497" s="203" t="s">
        <v>1329</v>
      </c>
      <c r="BH497" s="216">
        <f t="shared" si="618"/>
        <v>0</v>
      </c>
      <c r="BI497" s="202"/>
      <c r="BJ497" s="194" t="s">
        <v>5999</v>
      </c>
      <c r="BK497" s="194" t="s">
        <v>5997</v>
      </c>
      <c r="BL497" s="207" t="s">
        <v>6000</v>
      </c>
      <c r="BM497" s="208">
        <f t="shared" si="619"/>
        <v>0</v>
      </c>
      <c r="BN497" s="160"/>
      <c r="BO497" s="161">
        <f t="shared" si="600"/>
        <v>0</v>
      </c>
      <c r="BP497" s="161"/>
    </row>
    <row r="498" spans="1:69">
      <c r="A498" s="194"/>
      <c r="B498" s="195"/>
      <c r="C498" s="196"/>
      <c r="D498" s="146"/>
      <c r="E498" s="196"/>
      <c r="F498" s="150"/>
      <c r="G498" s="209"/>
      <c r="H498" s="209"/>
      <c r="I498" s="209"/>
      <c r="J498" s="150"/>
      <c r="K498" s="150"/>
      <c r="L498" s="150"/>
      <c r="M498" s="150"/>
      <c r="N498" s="150"/>
      <c r="O498" s="150"/>
      <c r="P498" s="150"/>
      <c r="Q498" s="150"/>
      <c r="R498" s="150"/>
      <c r="S498" s="150">
        <f t="shared" si="595"/>
        <v>0</v>
      </c>
      <c r="T498" s="150"/>
      <c r="U498" s="150"/>
      <c r="V498" s="199">
        <v>0</v>
      </c>
      <c r="W498" s="150"/>
      <c r="X498" s="150"/>
      <c r="Y498" s="150">
        <v>0</v>
      </c>
      <c r="Z498" s="150"/>
      <c r="AA498" s="150">
        <f t="shared" si="596"/>
        <v>0</v>
      </c>
      <c r="AB498" s="150"/>
      <c r="AC498" s="199">
        <v>0</v>
      </c>
      <c r="AD498" s="150"/>
      <c r="AE498" s="150"/>
      <c r="AF498" s="169" t="s">
        <v>4680</v>
      </c>
      <c r="AG498" s="201"/>
      <c r="AH498" s="199">
        <v>0</v>
      </c>
      <c r="AI498" s="150"/>
      <c r="AJ498" s="169">
        <f t="shared" si="597"/>
        <v>0</v>
      </c>
      <c r="AK498" s="201"/>
      <c r="AL498" s="199">
        <v>0</v>
      </c>
      <c r="AM498" s="150"/>
      <c r="AN498" s="153">
        <f t="shared" si="598"/>
        <v>0</v>
      </c>
      <c r="AO498" s="154">
        <f t="shared" si="599"/>
        <v>0</v>
      </c>
      <c r="AP498" s="150"/>
      <c r="AQ498" s="201"/>
      <c r="AR498" s="199"/>
      <c r="AS498" s="150"/>
      <c r="AT498" s="155"/>
      <c r="AU498" s="156">
        <f t="shared" si="592"/>
        <v>0</v>
      </c>
      <c r="AV498" s="156">
        <f t="shared" si="593"/>
        <v>0</v>
      </c>
      <c r="AW498" s="157"/>
      <c r="AX498" s="150"/>
      <c r="AY498" s="150"/>
      <c r="AZ498" s="150"/>
      <c r="BA498" s="150"/>
      <c r="BB498" s="202"/>
      <c r="BC498" s="202"/>
      <c r="BD498" s="202"/>
      <c r="BE498" s="194"/>
      <c r="BF498" s="194"/>
      <c r="BG498" s="203"/>
      <c r="BH498" s="216"/>
      <c r="BI498" s="202"/>
      <c r="BJ498" s="194"/>
      <c r="BK498" s="194"/>
      <c r="BL498" s="207"/>
      <c r="BM498" s="208"/>
      <c r="BN498" s="160"/>
      <c r="BO498" s="161">
        <f t="shared" si="600"/>
        <v>0</v>
      </c>
      <c r="BP498" s="161"/>
    </row>
    <row r="499" spans="1:69">
      <c r="A499" s="288" t="s">
        <v>2761</v>
      </c>
      <c r="B499" s="144"/>
      <c r="C499" s="145" t="s">
        <v>6002</v>
      </c>
      <c r="D499" s="146" t="s">
        <v>4692</v>
      </c>
      <c r="E499" s="145" t="s">
        <v>6002</v>
      </c>
      <c r="F499" s="147">
        <v>349065154.94</v>
      </c>
      <c r="G499" s="148">
        <v>123586202.66999997</v>
      </c>
      <c r="H499" s="148">
        <v>2437839.52316667</v>
      </c>
      <c r="I499" s="148">
        <v>126024042.19316667</v>
      </c>
      <c r="J499" s="147">
        <f>J500+J664+J1258+J1292+J1348+J1532+J1660+J1821+J1972+J2030+J2043+J2050+J2082+J2086+J2090+J2160</f>
        <v>66888245.020000018</v>
      </c>
      <c r="K499" s="147">
        <f>K500+K664+K1258+K1292+K1348+K1532+K1660+K1821+K1972+K2030+K2043+K2050+K2082+K2086+K2090+K2160</f>
        <v>30751827.974566668</v>
      </c>
      <c r="L499" s="147">
        <f t="shared" si="601"/>
        <v>97640072.994566679</v>
      </c>
      <c r="M499" s="149">
        <v>156364976.40919995</v>
      </c>
      <c r="N499" s="149">
        <v>30728899.238857917</v>
      </c>
      <c r="O499" s="149">
        <v>187093875.64805788</v>
      </c>
      <c r="P499" s="289">
        <f t="shared" ref="P499:R499" si="620">P500+P664+P1258+P1292+P1348+P1532+P1660+P1821+P1972+P2030+P2043+P2050+P2082+P2086+P2090+P2160</f>
        <v>234509721.82999998</v>
      </c>
      <c r="Q499" s="289">
        <f t="shared" si="620"/>
        <v>30921902.082129274</v>
      </c>
      <c r="R499" s="289">
        <f t="shared" si="620"/>
        <v>265431623.91212931</v>
      </c>
      <c r="S499" s="150">
        <f t="shared" si="595"/>
        <v>353908831.88283908</v>
      </c>
      <c r="T499" s="213"/>
      <c r="U499" s="289">
        <f t="shared" ref="U499:W499" si="621">U500+U664+U1258+U1292+U1348+U1532+U1660+U1821+U1972+U2030+U2043+U2050+U2082+U2086+U2090+U2160</f>
        <v>324298231.26882023</v>
      </c>
      <c r="V499" s="290">
        <f t="shared" si="621"/>
        <v>36190932.54492683</v>
      </c>
      <c r="W499" s="289">
        <f t="shared" si="621"/>
        <v>360489163.81374711</v>
      </c>
      <c r="X499" s="289">
        <v>324298231.26882023</v>
      </c>
      <c r="Y499" s="289">
        <v>36190932.54492683</v>
      </c>
      <c r="Z499" s="289">
        <v>360489163.81374711</v>
      </c>
      <c r="AA499" s="289">
        <f t="shared" si="596"/>
        <v>7246593.5135597587</v>
      </c>
      <c r="AB499" s="289">
        <v>329771957.3588202</v>
      </c>
      <c r="AC499" s="290">
        <v>37963799.968486667</v>
      </c>
      <c r="AD499" s="289">
        <f t="shared" ref="AD499" si="622">AD500+AD664+AD1258+AD1292+AD1348+AD1532+AD1660+AD1821+AD1972+AD2030+AD2043+AD2050+AD2082+AD2086+AD2090+AD2160</f>
        <v>367735757.32730687</v>
      </c>
      <c r="AE499" s="289">
        <v>364347401.90060681</v>
      </c>
      <c r="AF499" s="169" t="s">
        <v>4680</v>
      </c>
      <c r="AG499" s="291">
        <v>329935636.36882025</v>
      </c>
      <c r="AH499" s="290">
        <v>33573388.640786663</v>
      </c>
      <c r="AI499" s="289">
        <v>363509025.00960684</v>
      </c>
      <c r="AJ499" s="169">
        <f t="shared" si="597"/>
        <v>1155061.5299999714</v>
      </c>
      <c r="AK499" s="291">
        <v>329097295.53882021</v>
      </c>
      <c r="AL499" s="290">
        <v>35566791.000786662</v>
      </c>
      <c r="AM499" s="289">
        <f t="shared" ref="AM499" si="623">AM500+AM664+AM1258+AM1292+AM1348+AM1532+AM1660+AM1821+AM1972+AM2030+AM2043+AM2050+AM2082+AM2086+AM2090+AM2160</f>
        <v>364664086.53960681</v>
      </c>
      <c r="AN499" s="153">
        <f t="shared" si="598"/>
        <v>4010015.6303932071</v>
      </c>
      <c r="AO499" s="154">
        <f t="shared" si="599"/>
        <v>4269966.0603932142</v>
      </c>
      <c r="AP499" s="289">
        <v>364404136.1096068</v>
      </c>
      <c r="AQ499" s="291">
        <v>368674102.17000002</v>
      </c>
      <c r="AR499" s="290">
        <f t="shared" ref="AR499:AS499" si="624">AR500+AR664+AR1258+AR1292+AR1348+AR1532+AR1660+AR1821+AR1972+AR2030+AR2043+AR2050+AR2082+AR2086+AR2090+AR2160</f>
        <v>0</v>
      </c>
      <c r="AS499" s="289">
        <f t="shared" si="624"/>
        <v>368674102.17000002</v>
      </c>
      <c r="AT499" s="155"/>
      <c r="AU499" s="156">
        <f t="shared" si="592"/>
        <v>-3071670.787700057</v>
      </c>
      <c r="AV499" s="156">
        <f t="shared" si="593"/>
        <v>7246593.5135597587</v>
      </c>
      <c r="AW499" s="157"/>
      <c r="AX499" s="150">
        <v>360489163.81374711</v>
      </c>
      <c r="AY499" s="289">
        <f t="shared" ref="AY499:BA499" si="625">AY500+AY664+AY1258+AY1292+AY1348+AY1532+AY1660+AY1821+AY1972+AY2030+AY2043+AY2050+AY2082+AY2086+AY2090+AY2160</f>
        <v>202278698.43999997</v>
      </c>
      <c r="AZ499" s="289">
        <f t="shared" si="625"/>
        <v>133213171.41201082</v>
      </c>
      <c r="BA499" s="289">
        <f t="shared" si="625"/>
        <v>337805122.73701084</v>
      </c>
      <c r="BB499" s="288">
        <v>5</v>
      </c>
      <c r="BC499" s="292" t="s">
        <v>630</v>
      </c>
      <c r="BD499" s="292" t="s">
        <v>630</v>
      </c>
      <c r="BE499" s="158" t="s">
        <v>630</v>
      </c>
      <c r="BF499" s="292" t="s">
        <v>630</v>
      </c>
      <c r="BG499" s="145" t="s">
        <v>6002</v>
      </c>
      <c r="BH499" s="293">
        <f>BH500+BH664+BH1258+BH1292+BH1348+BH1532+BH1660+BH1821+BH1972+BH2030+BH2043+BH2050+BH2082+BH2086+BH2090+BH2160</f>
        <v>368674102.16999996</v>
      </c>
      <c r="BI499" s="288"/>
      <c r="BJ499" s="288" t="s">
        <v>2761</v>
      </c>
      <c r="BK499" s="288" t="s">
        <v>2761</v>
      </c>
      <c r="BL499" s="159" t="s">
        <v>6003</v>
      </c>
      <c r="BM499" s="293">
        <f>BM500+BM664+BM1258+BM1292+BM1348+BM1532+BM1660+BM1821+BM1972+BM2030+BM2043+BM2050+BM2082+BM2086+BM2090+BM2160</f>
        <v>368674102.16999996</v>
      </c>
      <c r="BN499" s="160"/>
      <c r="BO499" s="161">
        <f t="shared" si="600"/>
        <v>0</v>
      </c>
      <c r="BP499" s="161"/>
    </row>
    <row r="500" spans="1:69">
      <c r="A500" s="262" t="s">
        <v>6004</v>
      </c>
      <c r="B500" s="163"/>
      <c r="C500" s="164" t="s">
        <v>6005</v>
      </c>
      <c r="D500" s="146" t="s">
        <v>4692</v>
      </c>
      <c r="E500" s="164" t="s">
        <v>6005</v>
      </c>
      <c r="F500" s="165">
        <v>125646016.88000001</v>
      </c>
      <c r="G500" s="166">
        <v>123079662.70999998</v>
      </c>
      <c r="H500" s="166">
        <v>2422668.5819666702</v>
      </c>
      <c r="I500" s="166">
        <v>125502331.29196668</v>
      </c>
      <c r="J500" s="165">
        <f>J501+J643</f>
        <v>32932059.920000002</v>
      </c>
      <c r="K500" s="165">
        <f>K501+K643</f>
        <v>1051917.9343900005</v>
      </c>
      <c r="L500" s="165">
        <f t="shared" si="601"/>
        <v>33983977.854390003</v>
      </c>
      <c r="M500" s="167">
        <v>66374916.629999995</v>
      </c>
      <c r="N500" s="167">
        <v>3327116.4530700017</v>
      </c>
      <c r="O500" s="167">
        <v>69702033.083069995</v>
      </c>
      <c r="P500" s="232">
        <f t="shared" ref="P500:R500" si="626">P501+P643</f>
        <v>100098149.31999999</v>
      </c>
      <c r="Q500" s="232">
        <f t="shared" si="626"/>
        <v>1834427.549390001</v>
      </c>
      <c r="R500" s="232">
        <f t="shared" si="626"/>
        <v>101932576.86939001</v>
      </c>
      <c r="S500" s="150">
        <f t="shared" si="595"/>
        <v>135910102.49252</v>
      </c>
      <c r="T500" s="213"/>
      <c r="U500" s="232">
        <f t="shared" ref="U500:W500" si="627">U501+U643</f>
        <v>133751463.63000001</v>
      </c>
      <c r="V500" s="233">
        <f t="shared" si="627"/>
        <v>2005585.0895699975</v>
      </c>
      <c r="W500" s="232">
        <f t="shared" si="627"/>
        <v>135757048.71957001</v>
      </c>
      <c r="X500" s="232">
        <v>133751463.63000001</v>
      </c>
      <c r="Y500" s="232">
        <v>2005585.0895699975</v>
      </c>
      <c r="Z500" s="232">
        <v>135757048.71957001</v>
      </c>
      <c r="AA500" s="232">
        <f t="shared" si="596"/>
        <v>-151589.0636100173</v>
      </c>
      <c r="AB500" s="232">
        <v>133795572.16</v>
      </c>
      <c r="AC500" s="233">
        <v>1809887.4959600042</v>
      </c>
      <c r="AD500" s="232">
        <f t="shared" ref="AD500" si="628">AD501+AD643</f>
        <v>135605459.65595999</v>
      </c>
      <c r="AE500" s="232">
        <v>135602720.38595998</v>
      </c>
      <c r="AF500" s="294">
        <f>AE500-AM500</f>
        <v>0</v>
      </c>
      <c r="AG500" s="234">
        <v>133899173.87</v>
      </c>
      <c r="AH500" s="233">
        <v>1703546.5159600032</v>
      </c>
      <c r="AI500" s="232">
        <v>135602720.38595998</v>
      </c>
      <c r="AJ500" s="294">
        <f t="shared" si="597"/>
        <v>0</v>
      </c>
      <c r="AK500" s="234">
        <v>133899173.87</v>
      </c>
      <c r="AL500" s="233">
        <v>1703546.5159600032</v>
      </c>
      <c r="AM500" s="232">
        <f t="shared" ref="AM500" si="629">AM501+AM643</f>
        <v>135602720.38595998</v>
      </c>
      <c r="AN500" s="153">
        <f t="shared" si="598"/>
        <v>-280948.16595995426</v>
      </c>
      <c r="AO500" s="154">
        <f t="shared" si="599"/>
        <v>-280948.16595995426</v>
      </c>
      <c r="AP500" s="232">
        <v>135602720.38595998</v>
      </c>
      <c r="AQ500" s="234">
        <v>135321772.22000003</v>
      </c>
      <c r="AR500" s="233">
        <f t="shared" ref="AR500:AS500" si="630">AR501+AR643</f>
        <v>0</v>
      </c>
      <c r="AS500" s="232">
        <f t="shared" si="630"/>
        <v>135321772.22000003</v>
      </c>
      <c r="AT500" s="155"/>
      <c r="AU500" s="156">
        <f t="shared" si="592"/>
        <v>-2739.2700000107288</v>
      </c>
      <c r="AV500" s="156">
        <f t="shared" si="593"/>
        <v>-151589.0636100173</v>
      </c>
      <c r="AW500" s="157"/>
      <c r="AX500" s="150">
        <v>135757048.71957001</v>
      </c>
      <c r="AY500" s="232">
        <f t="shared" ref="AY500:BA500" si="631">AY501+AY643</f>
        <v>90699410.899999991</v>
      </c>
      <c r="AZ500" s="232">
        <f t="shared" si="631"/>
        <v>48538657.509274997</v>
      </c>
      <c r="BA500" s="232">
        <f t="shared" si="631"/>
        <v>139238068.409275</v>
      </c>
      <c r="BB500" s="263">
        <v>5</v>
      </c>
      <c r="BC500" s="262" t="s">
        <v>632</v>
      </c>
      <c r="BD500" s="262" t="s">
        <v>630</v>
      </c>
      <c r="BE500" s="162" t="s">
        <v>630</v>
      </c>
      <c r="BF500" s="262" t="s">
        <v>630</v>
      </c>
      <c r="BG500" s="164" t="s">
        <v>6005</v>
      </c>
      <c r="BH500" s="295">
        <f>BH501+BH643</f>
        <v>135321772.22000003</v>
      </c>
      <c r="BI500" s="263"/>
      <c r="BJ500" s="262" t="s">
        <v>6006</v>
      </c>
      <c r="BK500" s="262" t="s">
        <v>6004</v>
      </c>
      <c r="BL500" s="172" t="s">
        <v>6007</v>
      </c>
      <c r="BM500" s="295">
        <f>BM501+BM643</f>
        <v>135321772.22000003</v>
      </c>
      <c r="BN500" s="160"/>
      <c r="BO500" s="161">
        <f t="shared" si="600"/>
        <v>0</v>
      </c>
      <c r="BP500" s="161"/>
      <c r="BQ500" s="296"/>
    </row>
    <row r="501" spans="1:69">
      <c r="A501" s="255" t="s">
        <v>6008</v>
      </c>
      <c r="B501" s="174"/>
      <c r="C501" s="175" t="s">
        <v>6009</v>
      </c>
      <c r="D501" s="146" t="s">
        <v>4692</v>
      </c>
      <c r="E501" s="175" t="s">
        <v>6009</v>
      </c>
      <c r="F501" s="176">
        <v>125137366.25000001</v>
      </c>
      <c r="G501" s="177">
        <v>90324133.069999993</v>
      </c>
      <c r="H501" s="177">
        <v>690838.70488667046</v>
      </c>
      <c r="I501" s="177">
        <v>91014971.774886668</v>
      </c>
      <c r="J501" s="176">
        <f>J502+J523+J529+J531+J535+J540+J608+J611+J619+J621+J624+J626+J629+J635</f>
        <v>32881135.270000003</v>
      </c>
      <c r="K501" s="176">
        <f>K502+K523+K529+K531+K535+K540+K608+K611+K619+K621+K624+K626+K629+K635</f>
        <v>1021199.5502700005</v>
      </c>
      <c r="L501" s="176">
        <f t="shared" si="601"/>
        <v>33902334.820270002</v>
      </c>
      <c r="M501" s="178">
        <v>66254538.199999996</v>
      </c>
      <c r="N501" s="178">
        <v>3302423.3188700015</v>
      </c>
      <c r="O501" s="178">
        <v>69556961.518869996</v>
      </c>
      <c r="P501" s="221">
        <f t="shared" ref="P501:R501" si="632">P502+P523+P529+P531+P535+P540+P608+P611+P619+P621+P624+P626+P629+P635</f>
        <v>99908704.039999992</v>
      </c>
      <c r="Q501" s="221">
        <f t="shared" si="632"/>
        <v>1831649.5141900009</v>
      </c>
      <c r="R501" s="221">
        <f t="shared" si="632"/>
        <v>101740353.55419001</v>
      </c>
      <c r="S501" s="150">
        <f t="shared" si="595"/>
        <v>135653804.73892</v>
      </c>
      <c r="T501" s="213"/>
      <c r="U501" s="221">
        <f t="shared" ref="U501:W501" si="633">U502+U523+U529+U531+U535+U540+U608+U611+U619+U621+U624+U626+U629+U635</f>
        <v>133482343.19000001</v>
      </c>
      <c r="V501" s="222">
        <f t="shared" si="633"/>
        <v>1984381.3285399976</v>
      </c>
      <c r="W501" s="221">
        <f t="shared" si="633"/>
        <v>135466724.51854002</v>
      </c>
      <c r="X501" s="221">
        <v>133482343.19000001</v>
      </c>
      <c r="Y501" s="221">
        <v>1984381.3285399976</v>
      </c>
      <c r="Z501" s="221">
        <v>135466724.51854002</v>
      </c>
      <c r="AA501" s="221">
        <f t="shared" si="596"/>
        <v>-151578.22118002176</v>
      </c>
      <c r="AB501" s="221">
        <v>133521492.58</v>
      </c>
      <c r="AC501" s="222">
        <v>1793653.7173600041</v>
      </c>
      <c r="AD501" s="221">
        <f t="shared" ref="AD501" si="634">AD502+AD523+AD529+AD531+AD535+AD540+AD608+AD611+AD619+AD621+AD624+AD626+AD629+AD635</f>
        <v>135315146.29736</v>
      </c>
      <c r="AE501" s="221">
        <v>135312407.02735999</v>
      </c>
      <c r="AF501" s="297">
        <f>AE501-AM501</f>
        <v>0</v>
      </c>
      <c r="AG501" s="223">
        <v>133625094.29000001</v>
      </c>
      <c r="AH501" s="222">
        <v>1687312.7373600032</v>
      </c>
      <c r="AI501" s="221">
        <v>135312407.02735999</v>
      </c>
      <c r="AJ501" s="297">
        <f t="shared" si="597"/>
        <v>0</v>
      </c>
      <c r="AK501" s="223">
        <v>133625094.29000001</v>
      </c>
      <c r="AL501" s="222">
        <v>1687312.7373600032</v>
      </c>
      <c r="AM501" s="221">
        <f t="shared" ref="AM501" si="635">AM502+AM523+AM529+AM531+AM535+AM540+AM608+AM611+AM619+AM621+AM624+AM626+AM629+AM635</f>
        <v>135312407.02735999</v>
      </c>
      <c r="AN501" s="153">
        <f t="shared" si="598"/>
        <v>-280948.16735997796</v>
      </c>
      <c r="AO501" s="154">
        <f t="shared" si="599"/>
        <v>-280948.16735997796</v>
      </c>
      <c r="AP501" s="221">
        <v>135312407.02735999</v>
      </c>
      <c r="AQ501" s="223">
        <v>135031458.86000001</v>
      </c>
      <c r="AR501" s="222">
        <f t="shared" ref="AR501:AS501" si="636">AR502+AR523+AR529+AR531+AR535+AR540+AR608+AR611+AR619+AR621+AR624+AR626+AR629+AR635</f>
        <v>0</v>
      </c>
      <c r="AS501" s="221">
        <f t="shared" si="636"/>
        <v>135031458.86000001</v>
      </c>
      <c r="AT501" s="155"/>
      <c r="AU501" s="156">
        <f t="shared" si="592"/>
        <v>-2739.2700000107288</v>
      </c>
      <c r="AV501" s="156">
        <f t="shared" si="593"/>
        <v>-151578.22118002176</v>
      </c>
      <c r="AW501" s="157"/>
      <c r="AX501" s="150">
        <v>135466724.51854002</v>
      </c>
      <c r="AY501" s="221">
        <f t="shared" ref="AY501:BA501" si="637">AY502+AY523+AY529+AY531+AY535+AY540+AY608+AY611+AY619+AY621+AY624+AY626+AY629+AY635</f>
        <v>90540587.629999995</v>
      </c>
      <c r="AZ501" s="221">
        <f t="shared" si="637"/>
        <v>48411102.620504998</v>
      </c>
      <c r="BA501" s="221">
        <f t="shared" si="637"/>
        <v>138951690.250505</v>
      </c>
      <c r="BB501" s="254">
        <v>5</v>
      </c>
      <c r="BC501" s="255" t="s">
        <v>632</v>
      </c>
      <c r="BD501" s="255" t="s">
        <v>632</v>
      </c>
      <c r="BE501" s="173" t="s">
        <v>630</v>
      </c>
      <c r="BF501" s="255" t="s">
        <v>630</v>
      </c>
      <c r="BG501" s="175" t="s">
        <v>6009</v>
      </c>
      <c r="BH501" s="298">
        <f>BH502+BH523+BH529+BH531+BH535+BH540+BH608+BH611+BH619+BH621+BH624+BH626+BH629+BH635</f>
        <v>135031458.86000001</v>
      </c>
      <c r="BI501" s="254"/>
      <c r="BJ501" s="255" t="s">
        <v>6010</v>
      </c>
      <c r="BK501" s="255" t="s">
        <v>6008</v>
      </c>
      <c r="BL501" s="182" t="s">
        <v>6011</v>
      </c>
      <c r="BM501" s="298">
        <f>BM502+BM523+BM529+BM531+BM535+BM540+BM608+BM611+BM619+BM621+BM624+BM626+BM629+BM635</f>
        <v>135031458.86000001</v>
      </c>
      <c r="BN501" s="160"/>
      <c r="BO501" s="161">
        <f t="shared" si="600"/>
        <v>0</v>
      </c>
      <c r="BP501" s="161"/>
    </row>
    <row r="502" spans="1:69" ht="40.5" customHeight="1">
      <c r="A502" s="256" t="s">
        <v>546</v>
      </c>
      <c r="B502" s="184"/>
      <c r="C502" s="185" t="s">
        <v>6012</v>
      </c>
      <c r="D502" s="146" t="s">
        <v>4692</v>
      </c>
      <c r="E502" s="185" t="s">
        <v>6012</v>
      </c>
      <c r="F502" s="188">
        <v>90410665.63000001</v>
      </c>
      <c r="G502" s="187">
        <v>0</v>
      </c>
      <c r="H502" s="187"/>
      <c r="I502" s="187">
        <v>0</v>
      </c>
      <c r="J502" s="188">
        <f>SUM(J503:J522)</f>
        <v>25430136.07</v>
      </c>
      <c r="K502" s="188">
        <f>SUM(K503:K522)</f>
        <v>499214.46555000043</v>
      </c>
      <c r="L502" s="188">
        <f t="shared" si="601"/>
        <v>25929350.535550002</v>
      </c>
      <c r="M502" s="188">
        <v>50041819.269999996</v>
      </c>
      <c r="N502" s="188">
        <v>1563346.4070400009</v>
      </c>
      <c r="O502" s="188">
        <v>51605165.677039996</v>
      </c>
      <c r="P502" s="299">
        <f t="shared" ref="P502:R502" si="638">SUM(P503:P522)</f>
        <v>74467931.790000007</v>
      </c>
      <c r="Q502" s="299">
        <f t="shared" si="638"/>
        <v>287324.28565000067</v>
      </c>
      <c r="R502" s="299">
        <f t="shared" si="638"/>
        <v>74755256.075650007</v>
      </c>
      <c r="S502" s="150">
        <f t="shared" si="595"/>
        <v>99673674.767533347</v>
      </c>
      <c r="T502" s="213"/>
      <c r="U502" s="299">
        <f t="shared" ref="U502:AD502" si="639">SUM(U503:U522)</f>
        <v>95994522.140000001</v>
      </c>
      <c r="V502" s="226">
        <f t="shared" si="639"/>
        <v>153057.88476999797</v>
      </c>
      <c r="W502" s="299">
        <f t="shared" si="639"/>
        <v>96147580.024770007</v>
      </c>
      <c r="X502" s="299">
        <v>95994522.140000001</v>
      </c>
      <c r="Y502" s="299">
        <v>153057.88476999797</v>
      </c>
      <c r="Z502" s="299">
        <v>96147580.024770007</v>
      </c>
      <c r="AA502" s="299">
        <f t="shared" si="596"/>
        <v>13.338479995727539</v>
      </c>
      <c r="AB502" s="299">
        <v>95993035.730000004</v>
      </c>
      <c r="AC502" s="226">
        <v>154557.63325000362</v>
      </c>
      <c r="AD502" s="299">
        <f t="shared" si="639"/>
        <v>96147593.363250002</v>
      </c>
      <c r="AE502" s="299">
        <v>96147593.363250002</v>
      </c>
      <c r="AF502" s="300">
        <f>AE502-AM502</f>
        <v>0</v>
      </c>
      <c r="AG502" s="301">
        <v>96067367.570000008</v>
      </c>
      <c r="AH502" s="226">
        <v>80225.79325000348</v>
      </c>
      <c r="AI502" s="299">
        <v>96147593.363250002</v>
      </c>
      <c r="AJ502" s="300">
        <f t="shared" si="597"/>
        <v>0</v>
      </c>
      <c r="AK502" s="301">
        <v>96067367.570000008</v>
      </c>
      <c r="AL502" s="226">
        <v>80225.79325000348</v>
      </c>
      <c r="AM502" s="299">
        <f t="shared" ref="AM502" si="640">SUM(AM503:AM522)</f>
        <v>96147593.363250002</v>
      </c>
      <c r="AN502" s="153">
        <f t="shared" si="598"/>
        <v>6.7499876022338867E-3</v>
      </c>
      <c r="AO502" s="154">
        <f t="shared" si="599"/>
        <v>6.7499876022338867E-3</v>
      </c>
      <c r="AP502" s="299">
        <v>96147593.363250002</v>
      </c>
      <c r="AQ502" s="301">
        <v>96147593.36999999</v>
      </c>
      <c r="AR502" s="226">
        <f t="shared" ref="AR502:AS502" si="641">SUM(AR503:AR522)</f>
        <v>0</v>
      </c>
      <c r="AS502" s="299">
        <f t="shared" si="641"/>
        <v>96147593.36999999</v>
      </c>
      <c r="AT502" s="155"/>
      <c r="AU502" s="156">
        <f t="shared" si="592"/>
        <v>0</v>
      </c>
      <c r="AV502" s="156">
        <f t="shared" si="593"/>
        <v>13.338479995727539</v>
      </c>
      <c r="AW502" s="157"/>
      <c r="AX502" s="150">
        <v>96147580.024770007</v>
      </c>
      <c r="AY502" s="299">
        <f t="shared" ref="AY502:BA502" si="642">SUM(AY503:AY522)</f>
        <v>67577765.109999999</v>
      </c>
      <c r="AZ502" s="299">
        <f t="shared" si="642"/>
        <v>33500727.890000001</v>
      </c>
      <c r="BA502" s="299">
        <f t="shared" si="642"/>
        <v>101078493</v>
      </c>
      <c r="BB502" s="192">
        <v>5</v>
      </c>
      <c r="BC502" s="256" t="s">
        <v>632</v>
      </c>
      <c r="BD502" s="256" t="s">
        <v>632</v>
      </c>
      <c r="BE502" s="256" t="s">
        <v>632</v>
      </c>
      <c r="BF502" s="256" t="s">
        <v>630</v>
      </c>
      <c r="BG502" s="185" t="s">
        <v>6012</v>
      </c>
      <c r="BH502" s="269">
        <f>BH503+BH514+BH520+BH521+BH522</f>
        <v>96147593.36999999</v>
      </c>
      <c r="BI502" s="192"/>
      <c r="BJ502" s="256" t="s">
        <v>6013</v>
      </c>
      <c r="BK502" s="256" t="s">
        <v>546</v>
      </c>
      <c r="BL502" s="238" t="s">
        <v>6014</v>
      </c>
      <c r="BM502" s="269">
        <f>BM503+BM514+BM520+BM521+BM522</f>
        <v>96147593.36999999</v>
      </c>
      <c r="BN502" s="160"/>
      <c r="BO502" s="161">
        <f t="shared" si="600"/>
        <v>0</v>
      </c>
      <c r="BP502" s="161"/>
    </row>
    <row r="503" spans="1:69" ht="51">
      <c r="A503" s="206" t="s">
        <v>546</v>
      </c>
      <c r="B503" s="195" t="s">
        <v>6015</v>
      </c>
      <c r="C503" s="196" t="s">
        <v>6016</v>
      </c>
      <c r="D503" s="146" t="s">
        <v>4692</v>
      </c>
      <c r="E503" s="196" t="s">
        <v>6016</v>
      </c>
      <c r="F503" s="150">
        <v>0</v>
      </c>
      <c r="G503" s="209">
        <v>9929423.1999999993</v>
      </c>
      <c r="H503" s="209">
        <v>360107.78548666649</v>
      </c>
      <c r="I503" s="209">
        <v>10289530.985486666</v>
      </c>
      <c r="J503" s="150">
        <v>0</v>
      </c>
      <c r="K503" s="150">
        <v>0</v>
      </c>
      <c r="L503" s="150">
        <f t="shared" si="601"/>
        <v>0</v>
      </c>
      <c r="M503" s="150">
        <v>0</v>
      </c>
      <c r="N503" s="150"/>
      <c r="O503" s="150">
        <v>0</v>
      </c>
      <c r="P503" s="150">
        <v>0</v>
      </c>
      <c r="Q503" s="150">
        <v>0</v>
      </c>
      <c r="R503" s="150">
        <f t="shared" ref="R503:R522" si="643">P503+Q503</f>
        <v>0</v>
      </c>
      <c r="S503" s="150">
        <f t="shared" si="595"/>
        <v>0</v>
      </c>
      <c r="T503" s="150"/>
      <c r="U503" s="150">
        <v>0</v>
      </c>
      <c r="V503" s="199"/>
      <c r="W503" s="150">
        <f t="shared" ref="W503:W522" si="644">U503+V503</f>
        <v>0</v>
      </c>
      <c r="X503" s="150">
        <v>0</v>
      </c>
      <c r="Y503" s="150"/>
      <c r="Z503" s="150">
        <v>0</v>
      </c>
      <c r="AA503" s="150">
        <f t="shared" si="596"/>
        <v>0</v>
      </c>
      <c r="AB503" s="150">
        <v>0</v>
      </c>
      <c r="AC503" s="199"/>
      <c r="AD503" s="150">
        <f t="shared" ref="AD503:AD522" si="645">AB503+AC503</f>
        <v>0</v>
      </c>
      <c r="AE503" s="150">
        <v>0</v>
      </c>
      <c r="AF503" s="169" t="s">
        <v>4680</v>
      </c>
      <c r="AG503" s="201">
        <v>0</v>
      </c>
      <c r="AH503" s="199"/>
      <c r="AI503" s="150">
        <v>0</v>
      </c>
      <c r="AJ503" s="169">
        <f t="shared" si="597"/>
        <v>0</v>
      </c>
      <c r="AK503" s="201">
        <v>0</v>
      </c>
      <c r="AL503" s="199"/>
      <c r="AM503" s="150">
        <f t="shared" ref="AM503:AM522" si="646">AK503+AL503</f>
        <v>0</v>
      </c>
      <c r="AN503" s="153">
        <f t="shared" si="598"/>
        <v>0</v>
      </c>
      <c r="AO503" s="154">
        <f t="shared" si="599"/>
        <v>0</v>
      </c>
      <c r="AP503" s="150">
        <v>0</v>
      </c>
      <c r="AQ503" s="201">
        <v>0</v>
      </c>
      <c r="AR503" s="199"/>
      <c r="AS503" s="150">
        <f t="shared" ref="AS503:AS522" si="647">AQ503+AR503</f>
        <v>0</v>
      </c>
      <c r="AT503" s="155"/>
      <c r="AU503" s="156">
        <f t="shared" si="592"/>
        <v>0</v>
      </c>
      <c r="AV503" s="156">
        <f t="shared" si="593"/>
        <v>0</v>
      </c>
      <c r="AW503" s="157"/>
      <c r="AX503" s="150">
        <v>0</v>
      </c>
      <c r="AY503" s="150">
        <v>0</v>
      </c>
      <c r="AZ503" s="150"/>
      <c r="BA503" s="150">
        <f t="shared" ref="BA503:BA566" si="648">AY503+AZ503</f>
        <v>0</v>
      </c>
      <c r="BB503" s="205">
        <v>5</v>
      </c>
      <c r="BC503" s="206" t="s">
        <v>632</v>
      </c>
      <c r="BD503" s="206" t="s">
        <v>632</v>
      </c>
      <c r="BE503" s="206" t="s">
        <v>632</v>
      </c>
      <c r="BF503" s="194" t="s">
        <v>632</v>
      </c>
      <c r="BG503" s="203" t="s">
        <v>6017</v>
      </c>
      <c r="BH503" s="216">
        <f>SUM(AS503:AS513)</f>
        <v>93887007.149999991</v>
      </c>
      <c r="BI503" s="205"/>
      <c r="BJ503" s="206" t="s">
        <v>6013</v>
      </c>
      <c r="BK503" s="206" t="s">
        <v>546</v>
      </c>
      <c r="BL503" s="207" t="s">
        <v>6014</v>
      </c>
      <c r="BM503" s="208">
        <f>BH503</f>
        <v>93887007.149999991</v>
      </c>
      <c r="BN503" s="160"/>
      <c r="BO503" s="161"/>
      <c r="BP503" s="161"/>
    </row>
    <row r="504" spans="1:69" ht="51">
      <c r="A504" s="210"/>
      <c r="B504" s="195" t="s">
        <v>6018</v>
      </c>
      <c r="C504" s="196" t="s">
        <v>6019</v>
      </c>
      <c r="D504" s="146" t="s">
        <v>4692</v>
      </c>
      <c r="E504" s="196" t="s">
        <v>6019</v>
      </c>
      <c r="F504" s="150">
        <v>9955120.5999999996</v>
      </c>
      <c r="G504" s="209">
        <v>0</v>
      </c>
      <c r="H504" s="209"/>
      <c r="I504" s="209">
        <v>0</v>
      </c>
      <c r="J504" s="150">
        <v>2783330.89</v>
      </c>
      <c r="K504" s="150">
        <v>246987.47424999997</v>
      </c>
      <c r="L504" s="150">
        <f t="shared" si="601"/>
        <v>3030318.3642500001</v>
      </c>
      <c r="M504" s="150">
        <v>5602011.6699999999</v>
      </c>
      <c r="N504" s="150">
        <v>200034.83631000016</v>
      </c>
      <c r="O504" s="150">
        <v>5802046.5063100001</v>
      </c>
      <c r="P504" s="150">
        <v>8990621.5</v>
      </c>
      <c r="Q504" s="150">
        <v>204649.08823000081</v>
      </c>
      <c r="R504" s="150">
        <f t="shared" si="643"/>
        <v>9195270.5882300008</v>
      </c>
      <c r="S504" s="150">
        <f t="shared" si="595"/>
        <v>12260360.784306668</v>
      </c>
      <c r="T504" s="150"/>
      <c r="U504" s="150">
        <v>11968892.01</v>
      </c>
      <c r="V504" s="199">
        <v>2375.0392400007695</v>
      </c>
      <c r="W504" s="150">
        <f t="shared" si="644"/>
        <v>11971267.049240001</v>
      </c>
      <c r="X504" s="150">
        <v>11968892.01</v>
      </c>
      <c r="Y504" s="150">
        <v>2375.0392400007695</v>
      </c>
      <c r="Z504" s="150">
        <v>11971267.049240001</v>
      </c>
      <c r="AA504" s="150">
        <f t="shared" si="596"/>
        <v>13.307479999959469</v>
      </c>
      <c r="AB504" s="150">
        <v>11969076.539999999</v>
      </c>
      <c r="AC504" s="199">
        <v>2203.8167200013995</v>
      </c>
      <c r="AD504" s="150">
        <f t="shared" si="645"/>
        <v>11971280.356720001</v>
      </c>
      <c r="AE504" s="150">
        <v>11971280.356720001</v>
      </c>
      <c r="AF504" s="169" t="s">
        <v>4680</v>
      </c>
      <c r="AG504" s="201">
        <v>11969076.539999999</v>
      </c>
      <c r="AH504" s="199">
        <v>2203.8167200013995</v>
      </c>
      <c r="AI504" s="150">
        <v>11971280.356720001</v>
      </c>
      <c r="AJ504" s="169">
        <f t="shared" si="597"/>
        <v>0</v>
      </c>
      <c r="AK504" s="201">
        <v>11969076.539999999</v>
      </c>
      <c r="AL504" s="199">
        <v>2203.8167200013995</v>
      </c>
      <c r="AM504" s="150">
        <f t="shared" si="646"/>
        <v>11971280.356720001</v>
      </c>
      <c r="AN504" s="153"/>
      <c r="AO504" s="154">
        <f t="shared" si="599"/>
        <v>3.2799988985061646E-3</v>
      </c>
      <c r="AP504" s="150">
        <v>11971280.356720001</v>
      </c>
      <c r="AQ504" s="201">
        <v>11971280.359999999</v>
      </c>
      <c r="AR504" s="199"/>
      <c r="AS504" s="150">
        <f t="shared" si="647"/>
        <v>11971280.359999999</v>
      </c>
      <c r="AT504" s="155" t="s">
        <v>6020</v>
      </c>
      <c r="AU504" s="156">
        <f t="shared" si="592"/>
        <v>0</v>
      </c>
      <c r="AV504" s="156">
        <f t="shared" si="593"/>
        <v>13.307479999959469</v>
      </c>
      <c r="AW504" s="157" t="s">
        <v>6021</v>
      </c>
      <c r="AX504" s="150">
        <v>11971267.049240001</v>
      </c>
      <c r="AY504" s="150">
        <v>7722568.9299999997</v>
      </c>
      <c r="AZ504" s="150">
        <f>11965918-AY504</f>
        <v>4243349.07</v>
      </c>
      <c r="BA504" s="150">
        <f t="shared" si="648"/>
        <v>11965918</v>
      </c>
      <c r="BB504" s="210"/>
      <c r="BC504" s="210"/>
      <c r="BD504" s="210"/>
      <c r="BE504" s="210"/>
      <c r="BF504" s="210"/>
      <c r="BG504" s="210"/>
      <c r="BH504" s="217"/>
      <c r="BI504" s="210"/>
      <c r="BJ504" s="210"/>
      <c r="BK504" s="210"/>
      <c r="BL504" s="210"/>
      <c r="BM504" s="208"/>
      <c r="BN504" s="160"/>
      <c r="BO504" s="161"/>
      <c r="BP504" s="161"/>
    </row>
    <row r="505" spans="1:69" ht="57" customHeight="1">
      <c r="A505" s="210"/>
      <c r="B505" s="195" t="s">
        <v>6022</v>
      </c>
      <c r="C505" s="196" t="s">
        <v>6023</v>
      </c>
      <c r="D505" s="146" t="s">
        <v>4692</v>
      </c>
      <c r="E505" s="196" t="s">
        <v>6023</v>
      </c>
      <c r="F505" s="150">
        <v>0</v>
      </c>
      <c r="G505" s="209">
        <v>0</v>
      </c>
      <c r="H505" s="209"/>
      <c r="I505" s="209">
        <v>0</v>
      </c>
      <c r="J505" s="150">
        <v>0</v>
      </c>
      <c r="K505" s="150">
        <v>0</v>
      </c>
      <c r="L505" s="150">
        <f t="shared" si="601"/>
        <v>0</v>
      </c>
      <c r="M505" s="150">
        <v>0</v>
      </c>
      <c r="N505" s="150"/>
      <c r="O505" s="150">
        <v>0</v>
      </c>
      <c r="P505" s="150">
        <v>0</v>
      </c>
      <c r="Q505" s="150">
        <v>0</v>
      </c>
      <c r="R505" s="150">
        <f t="shared" si="643"/>
        <v>0</v>
      </c>
      <c r="S505" s="150">
        <f t="shared" si="595"/>
        <v>0</v>
      </c>
      <c r="T505" s="150"/>
      <c r="U505" s="150">
        <v>0</v>
      </c>
      <c r="V505" s="199"/>
      <c r="W505" s="150">
        <f t="shared" si="644"/>
        <v>0</v>
      </c>
      <c r="X505" s="150">
        <v>0</v>
      </c>
      <c r="Y505" s="150"/>
      <c r="Z505" s="150">
        <v>0</v>
      </c>
      <c r="AA505" s="150">
        <f t="shared" si="596"/>
        <v>0</v>
      </c>
      <c r="AB505" s="150">
        <v>0</v>
      </c>
      <c r="AC505" s="199"/>
      <c r="AD505" s="150">
        <f t="shared" si="645"/>
        <v>0</v>
      </c>
      <c r="AE505" s="150">
        <v>0</v>
      </c>
      <c r="AF505" s="169" t="s">
        <v>4680</v>
      </c>
      <c r="AG505" s="201">
        <v>0</v>
      </c>
      <c r="AH505" s="199"/>
      <c r="AI505" s="150">
        <v>0</v>
      </c>
      <c r="AJ505" s="169">
        <f t="shared" si="597"/>
        <v>0</v>
      </c>
      <c r="AK505" s="201">
        <v>0</v>
      </c>
      <c r="AL505" s="199"/>
      <c r="AM505" s="150">
        <f t="shared" si="646"/>
        <v>0</v>
      </c>
      <c r="AN505" s="153">
        <f t="shared" si="598"/>
        <v>0</v>
      </c>
      <c r="AO505" s="154">
        <f t="shared" si="599"/>
        <v>0</v>
      </c>
      <c r="AP505" s="150">
        <v>0</v>
      </c>
      <c r="AQ505" s="201">
        <v>0</v>
      </c>
      <c r="AR505" s="199"/>
      <c r="AS505" s="150">
        <f t="shared" si="647"/>
        <v>0</v>
      </c>
      <c r="AT505" s="155"/>
      <c r="AU505" s="156">
        <f t="shared" si="592"/>
        <v>0</v>
      </c>
      <c r="AV505" s="156">
        <f t="shared" si="593"/>
        <v>0</v>
      </c>
      <c r="AW505" s="157"/>
      <c r="AX505" s="150">
        <v>0</v>
      </c>
      <c r="AY505" s="150">
        <v>0</v>
      </c>
      <c r="AZ505" s="150"/>
      <c r="BA505" s="150">
        <f t="shared" si="648"/>
        <v>0</v>
      </c>
      <c r="BB505" s="210"/>
      <c r="BC505" s="210"/>
      <c r="BD505" s="210"/>
      <c r="BE505" s="210"/>
      <c r="BF505" s="208"/>
      <c r="BG505" s="210"/>
      <c r="BH505" s="217"/>
      <c r="BI505" s="210"/>
      <c r="BJ505" s="210"/>
      <c r="BK505" s="210"/>
      <c r="BL505" s="210"/>
      <c r="BM505" s="208"/>
      <c r="BN505" s="160"/>
      <c r="BO505" s="161"/>
      <c r="BP505" s="161"/>
    </row>
    <row r="506" spans="1:69" ht="51">
      <c r="A506" s="210"/>
      <c r="B506" s="195" t="s">
        <v>6024</v>
      </c>
      <c r="C506" s="196" t="s">
        <v>6025</v>
      </c>
      <c r="D506" s="146" t="s">
        <v>4692</v>
      </c>
      <c r="E506" s="196" t="s">
        <v>6025</v>
      </c>
      <c r="F506" s="150">
        <v>0</v>
      </c>
      <c r="G506" s="209">
        <v>0</v>
      </c>
      <c r="H506" s="209"/>
      <c r="I506" s="209">
        <v>0</v>
      </c>
      <c r="J506" s="150">
        <v>0</v>
      </c>
      <c r="K506" s="150">
        <v>0</v>
      </c>
      <c r="L506" s="150">
        <f t="shared" si="601"/>
        <v>0</v>
      </c>
      <c r="M506" s="150">
        <v>0</v>
      </c>
      <c r="N506" s="150"/>
      <c r="O506" s="150">
        <v>0</v>
      </c>
      <c r="P506" s="150">
        <v>0</v>
      </c>
      <c r="Q506" s="150">
        <v>0</v>
      </c>
      <c r="R506" s="150">
        <f t="shared" si="643"/>
        <v>0</v>
      </c>
      <c r="S506" s="150">
        <f t="shared" si="595"/>
        <v>0</v>
      </c>
      <c r="T506" s="150"/>
      <c r="U506" s="150">
        <v>0</v>
      </c>
      <c r="V506" s="199"/>
      <c r="W506" s="150">
        <f t="shared" si="644"/>
        <v>0</v>
      </c>
      <c r="X506" s="150">
        <v>0</v>
      </c>
      <c r="Y506" s="150"/>
      <c r="Z506" s="150">
        <v>0</v>
      </c>
      <c r="AA506" s="150">
        <f t="shared" si="596"/>
        <v>0</v>
      </c>
      <c r="AB506" s="150">
        <v>0</v>
      </c>
      <c r="AC506" s="199"/>
      <c r="AD506" s="150">
        <f t="shared" si="645"/>
        <v>0</v>
      </c>
      <c r="AE506" s="150">
        <v>0</v>
      </c>
      <c r="AF506" s="169" t="s">
        <v>4680</v>
      </c>
      <c r="AG506" s="201">
        <v>0</v>
      </c>
      <c r="AH506" s="199"/>
      <c r="AI506" s="150">
        <v>0</v>
      </c>
      <c r="AJ506" s="169">
        <f t="shared" si="597"/>
        <v>0</v>
      </c>
      <c r="AK506" s="201">
        <v>0</v>
      </c>
      <c r="AL506" s="199"/>
      <c r="AM506" s="150">
        <f t="shared" si="646"/>
        <v>0</v>
      </c>
      <c r="AN506" s="153">
        <f t="shared" si="598"/>
        <v>0</v>
      </c>
      <c r="AO506" s="154">
        <f t="shared" si="599"/>
        <v>0</v>
      </c>
      <c r="AP506" s="150">
        <v>0</v>
      </c>
      <c r="AQ506" s="201">
        <v>0</v>
      </c>
      <c r="AR506" s="199"/>
      <c r="AS506" s="150">
        <f t="shared" si="647"/>
        <v>0</v>
      </c>
      <c r="AT506" s="155"/>
      <c r="AU506" s="156">
        <f t="shared" si="592"/>
        <v>0</v>
      </c>
      <c r="AV506" s="156">
        <f t="shared" si="593"/>
        <v>0</v>
      </c>
      <c r="AW506" s="157"/>
      <c r="AX506" s="150">
        <v>0</v>
      </c>
      <c r="AY506" s="150">
        <v>0</v>
      </c>
      <c r="AZ506" s="150"/>
      <c r="BA506" s="150">
        <f t="shared" si="648"/>
        <v>0</v>
      </c>
      <c r="BB506" s="210"/>
      <c r="BC506" s="210"/>
      <c r="BD506" s="208"/>
      <c r="BE506" s="210"/>
      <c r="BF506" s="210"/>
      <c r="BG506" s="208"/>
      <c r="BH506" s="217"/>
      <c r="BI506" s="210"/>
      <c r="BJ506" s="210"/>
      <c r="BK506" s="210"/>
      <c r="BL506" s="210"/>
      <c r="BM506" s="208"/>
      <c r="BN506" s="160"/>
      <c r="BO506" s="161"/>
      <c r="BP506" s="161"/>
    </row>
    <row r="507" spans="1:69" ht="51">
      <c r="A507" s="210"/>
      <c r="B507" s="195" t="s">
        <v>6026</v>
      </c>
      <c r="C507" s="196" t="s">
        <v>6027</v>
      </c>
      <c r="D507" s="146" t="s">
        <v>4692</v>
      </c>
      <c r="E507" s="196" t="s">
        <v>6027</v>
      </c>
      <c r="F507" s="150">
        <v>0</v>
      </c>
      <c r="G507" s="209">
        <v>0</v>
      </c>
      <c r="H507" s="209"/>
      <c r="I507" s="209">
        <v>0</v>
      </c>
      <c r="J507" s="150">
        <v>0</v>
      </c>
      <c r="K507" s="150">
        <v>0</v>
      </c>
      <c r="L507" s="150">
        <f t="shared" si="601"/>
        <v>0</v>
      </c>
      <c r="M507" s="150">
        <v>0</v>
      </c>
      <c r="N507" s="150"/>
      <c r="O507" s="150">
        <v>0</v>
      </c>
      <c r="P507" s="150">
        <v>0</v>
      </c>
      <c r="Q507" s="150">
        <v>0</v>
      </c>
      <c r="R507" s="150">
        <f t="shared" si="643"/>
        <v>0</v>
      </c>
      <c r="S507" s="150">
        <f t="shared" si="595"/>
        <v>0</v>
      </c>
      <c r="T507" s="150"/>
      <c r="U507" s="150">
        <v>0</v>
      </c>
      <c r="V507" s="199"/>
      <c r="W507" s="150">
        <f t="shared" si="644"/>
        <v>0</v>
      </c>
      <c r="X507" s="150">
        <v>0</v>
      </c>
      <c r="Y507" s="150"/>
      <c r="Z507" s="150">
        <v>0</v>
      </c>
      <c r="AA507" s="150">
        <f t="shared" si="596"/>
        <v>0</v>
      </c>
      <c r="AB507" s="150">
        <v>0</v>
      </c>
      <c r="AC507" s="199"/>
      <c r="AD507" s="150">
        <f t="shared" si="645"/>
        <v>0</v>
      </c>
      <c r="AE507" s="150">
        <v>0</v>
      </c>
      <c r="AF507" s="169" t="s">
        <v>4680</v>
      </c>
      <c r="AG507" s="201">
        <v>0</v>
      </c>
      <c r="AH507" s="199"/>
      <c r="AI507" s="150">
        <v>0</v>
      </c>
      <c r="AJ507" s="169">
        <f t="shared" si="597"/>
        <v>0</v>
      </c>
      <c r="AK507" s="201">
        <v>0</v>
      </c>
      <c r="AL507" s="199"/>
      <c r="AM507" s="150">
        <f t="shared" si="646"/>
        <v>0</v>
      </c>
      <c r="AN507" s="153">
        <f t="shared" si="598"/>
        <v>0</v>
      </c>
      <c r="AO507" s="154">
        <f t="shared" si="599"/>
        <v>0</v>
      </c>
      <c r="AP507" s="150">
        <v>0</v>
      </c>
      <c r="AQ507" s="201">
        <v>0</v>
      </c>
      <c r="AR507" s="199"/>
      <c r="AS507" s="150">
        <f t="shared" si="647"/>
        <v>0</v>
      </c>
      <c r="AT507" s="155"/>
      <c r="AU507" s="156">
        <f t="shared" si="592"/>
        <v>0</v>
      </c>
      <c r="AV507" s="156">
        <f t="shared" si="593"/>
        <v>0</v>
      </c>
      <c r="AW507" s="157"/>
      <c r="AX507" s="150">
        <v>0</v>
      </c>
      <c r="AY507" s="150">
        <v>0</v>
      </c>
      <c r="AZ507" s="150"/>
      <c r="BA507" s="150">
        <f t="shared" si="648"/>
        <v>0</v>
      </c>
      <c r="BB507" s="210"/>
      <c r="BC507" s="210"/>
      <c r="BD507" s="210"/>
      <c r="BE507" s="210"/>
      <c r="BF507" s="210"/>
      <c r="BG507" s="210"/>
      <c r="BH507" s="217"/>
      <c r="BI507" s="210"/>
      <c r="BJ507" s="210"/>
      <c r="BK507" s="210"/>
      <c r="BL507" s="210"/>
      <c r="BM507" s="208"/>
      <c r="BN507" s="160"/>
      <c r="BO507" s="161"/>
      <c r="BP507" s="161"/>
    </row>
    <row r="508" spans="1:69" ht="51">
      <c r="A508" s="210"/>
      <c r="B508" s="195" t="s">
        <v>6028</v>
      </c>
      <c r="C508" s="196" t="s">
        <v>6029</v>
      </c>
      <c r="D508" s="146" t="s">
        <v>4692</v>
      </c>
      <c r="E508" s="196" t="s">
        <v>6029</v>
      </c>
      <c r="F508" s="150">
        <v>0</v>
      </c>
      <c r="G508" s="209">
        <v>60749073.329999998</v>
      </c>
      <c r="H508" s="209">
        <v>248078.76356000453</v>
      </c>
      <c r="I508" s="209">
        <v>60997152.093560003</v>
      </c>
      <c r="J508" s="150">
        <v>0</v>
      </c>
      <c r="K508" s="150">
        <v>0</v>
      </c>
      <c r="L508" s="150">
        <f t="shared" si="601"/>
        <v>0</v>
      </c>
      <c r="M508" s="150">
        <v>0</v>
      </c>
      <c r="N508" s="150"/>
      <c r="O508" s="150">
        <v>0</v>
      </c>
      <c r="P508" s="150">
        <v>0</v>
      </c>
      <c r="Q508" s="150">
        <v>0</v>
      </c>
      <c r="R508" s="150">
        <f t="shared" si="643"/>
        <v>0</v>
      </c>
      <c r="S508" s="150">
        <f t="shared" si="595"/>
        <v>0</v>
      </c>
      <c r="T508" s="150"/>
      <c r="U508" s="150">
        <v>0</v>
      </c>
      <c r="V508" s="199"/>
      <c r="W508" s="150">
        <f t="shared" si="644"/>
        <v>0</v>
      </c>
      <c r="X508" s="150">
        <v>0</v>
      </c>
      <c r="Y508" s="150"/>
      <c r="Z508" s="150">
        <v>0</v>
      </c>
      <c r="AA508" s="150">
        <f t="shared" si="596"/>
        <v>0</v>
      </c>
      <c r="AB508" s="150">
        <v>0</v>
      </c>
      <c r="AC508" s="199"/>
      <c r="AD508" s="150">
        <f t="shared" si="645"/>
        <v>0</v>
      </c>
      <c r="AE508" s="150">
        <v>0</v>
      </c>
      <c r="AF508" s="169" t="s">
        <v>4680</v>
      </c>
      <c r="AG508" s="201">
        <v>0</v>
      </c>
      <c r="AH508" s="199"/>
      <c r="AI508" s="150">
        <v>0</v>
      </c>
      <c r="AJ508" s="169">
        <f t="shared" si="597"/>
        <v>0</v>
      </c>
      <c r="AK508" s="201">
        <v>0</v>
      </c>
      <c r="AL508" s="199"/>
      <c r="AM508" s="150">
        <f t="shared" si="646"/>
        <v>0</v>
      </c>
      <c r="AN508" s="153">
        <f t="shared" si="598"/>
        <v>0</v>
      </c>
      <c r="AO508" s="154">
        <f t="shared" si="599"/>
        <v>0</v>
      </c>
      <c r="AP508" s="150">
        <v>0</v>
      </c>
      <c r="AQ508" s="201">
        <v>0</v>
      </c>
      <c r="AR508" s="199"/>
      <c r="AS508" s="150">
        <f t="shared" si="647"/>
        <v>0</v>
      </c>
      <c r="AT508" s="155"/>
      <c r="AU508" s="156">
        <f t="shared" si="592"/>
        <v>0</v>
      </c>
      <c r="AV508" s="156">
        <f t="shared" si="593"/>
        <v>0</v>
      </c>
      <c r="AW508" s="157"/>
      <c r="AX508" s="150">
        <v>0</v>
      </c>
      <c r="AY508" s="150">
        <v>0</v>
      </c>
      <c r="AZ508" s="150"/>
      <c r="BA508" s="150">
        <f t="shared" si="648"/>
        <v>0</v>
      </c>
      <c r="BB508" s="210"/>
      <c r="BC508" s="210"/>
      <c r="BD508" s="210"/>
      <c r="BE508" s="210"/>
      <c r="BF508" s="210"/>
      <c r="BG508" s="210"/>
      <c r="BH508" s="217"/>
      <c r="BI508" s="210"/>
      <c r="BJ508" s="210"/>
      <c r="BK508" s="210"/>
      <c r="BL508" s="210"/>
      <c r="BM508" s="208"/>
      <c r="BN508" s="160"/>
      <c r="BO508" s="161"/>
      <c r="BP508" s="161"/>
    </row>
    <row r="509" spans="1:69" ht="51">
      <c r="A509" s="210"/>
      <c r="B509" s="195" t="s">
        <v>6030</v>
      </c>
      <c r="C509" s="196" t="s">
        <v>6031</v>
      </c>
      <c r="D509" s="146" t="s">
        <v>4692</v>
      </c>
      <c r="E509" s="196" t="s">
        <v>6031</v>
      </c>
      <c r="F509" s="150">
        <v>60748671.43</v>
      </c>
      <c r="G509" s="209">
        <v>16764097.699999999</v>
      </c>
      <c r="H509" s="209">
        <v>68082.098999999464</v>
      </c>
      <c r="I509" s="209">
        <v>16832179.798999999</v>
      </c>
      <c r="J509" s="150">
        <v>16721520.02</v>
      </c>
      <c r="K509" s="150">
        <v>107652.0758100003</v>
      </c>
      <c r="L509" s="150">
        <f t="shared" si="601"/>
        <v>16829172.09581</v>
      </c>
      <c r="M509" s="150">
        <v>32386742.600000001</v>
      </c>
      <c r="N509" s="150">
        <v>523962.50270999968</v>
      </c>
      <c r="O509" s="150">
        <v>32910705.102710001</v>
      </c>
      <c r="P509" s="150">
        <v>48184855.329999998</v>
      </c>
      <c r="Q509" s="150"/>
      <c r="R509" s="150">
        <f t="shared" si="643"/>
        <v>48184855.329999998</v>
      </c>
      <c r="S509" s="150">
        <f t="shared" si="595"/>
        <v>64246473.773333326</v>
      </c>
      <c r="T509" s="150"/>
      <c r="U509" s="150">
        <v>61046577.420000002</v>
      </c>
      <c r="V509" s="199">
        <v>19889.552469998598</v>
      </c>
      <c r="W509" s="150">
        <f t="shared" si="644"/>
        <v>61066466.97247</v>
      </c>
      <c r="X509" s="150">
        <v>61046577.420000002</v>
      </c>
      <c r="Y509" s="150">
        <v>19889.552469998598</v>
      </c>
      <c r="Z509" s="150">
        <v>61066466.97247</v>
      </c>
      <c r="AA509" s="150">
        <f t="shared" si="596"/>
        <v>0</v>
      </c>
      <c r="AB509" s="150">
        <v>61044906.479999997</v>
      </c>
      <c r="AC509" s="199">
        <v>21560.492470003664</v>
      </c>
      <c r="AD509" s="150">
        <f t="shared" si="645"/>
        <v>61066466.97247</v>
      </c>
      <c r="AE509" s="150">
        <v>61066466.97247</v>
      </c>
      <c r="AF509" s="169" t="s">
        <v>4680</v>
      </c>
      <c r="AG509" s="201">
        <v>61044906.479999997</v>
      </c>
      <c r="AH509" s="199">
        <v>21560.492470003664</v>
      </c>
      <c r="AI509" s="150">
        <v>61066466.97247</v>
      </c>
      <c r="AJ509" s="169">
        <f t="shared" si="597"/>
        <v>0</v>
      </c>
      <c r="AK509" s="201">
        <v>61044906.479999997</v>
      </c>
      <c r="AL509" s="199">
        <v>21560.492470003664</v>
      </c>
      <c r="AM509" s="150">
        <f t="shared" si="646"/>
        <v>61066466.97247</v>
      </c>
      <c r="AN509" s="153"/>
      <c r="AO509" s="154">
        <f t="shared" si="599"/>
        <v>-2.4700015783309937E-3</v>
      </c>
      <c r="AP509" s="150">
        <v>61066466.97247</v>
      </c>
      <c r="AQ509" s="201">
        <v>61066466.969999999</v>
      </c>
      <c r="AR509" s="199"/>
      <c r="AS509" s="150">
        <f t="shared" si="647"/>
        <v>61066466.969999999</v>
      </c>
      <c r="AT509" s="155" t="s">
        <v>6020</v>
      </c>
      <c r="AU509" s="156">
        <f t="shared" si="592"/>
        <v>0</v>
      </c>
      <c r="AV509" s="156">
        <f t="shared" si="593"/>
        <v>0</v>
      </c>
      <c r="AW509" s="157" t="s">
        <v>6021</v>
      </c>
      <c r="AX509" s="150">
        <v>61066466.97247</v>
      </c>
      <c r="AY509" s="150">
        <v>44118304.07</v>
      </c>
      <c r="AZ509" s="150">
        <f>67000000-AY509</f>
        <v>22881695.93</v>
      </c>
      <c r="BA509" s="150">
        <f t="shared" si="648"/>
        <v>67000000</v>
      </c>
      <c r="BB509" s="210"/>
      <c r="BC509" s="210"/>
      <c r="BD509" s="210"/>
      <c r="BE509" s="210"/>
      <c r="BF509" s="210"/>
      <c r="BG509" s="210"/>
      <c r="BH509" s="217"/>
      <c r="BI509" s="210"/>
      <c r="BJ509" s="210"/>
      <c r="BK509" s="210"/>
      <c r="BL509" s="210"/>
      <c r="BM509" s="208"/>
      <c r="BN509" s="160"/>
      <c r="BO509" s="161"/>
      <c r="BP509" s="161"/>
    </row>
    <row r="510" spans="1:69" ht="51">
      <c r="A510" s="210"/>
      <c r="B510" s="195" t="s">
        <v>6032</v>
      </c>
      <c r="C510" s="196" t="s">
        <v>6033</v>
      </c>
      <c r="D510" s="146" t="s">
        <v>4692</v>
      </c>
      <c r="E510" s="196" t="s">
        <v>6033</v>
      </c>
      <c r="F510" s="150">
        <v>16739722.310000001</v>
      </c>
      <c r="G510" s="209">
        <v>0</v>
      </c>
      <c r="H510" s="209"/>
      <c r="I510" s="209">
        <v>0</v>
      </c>
      <c r="J510" s="150">
        <v>5323864.12</v>
      </c>
      <c r="K510" s="150">
        <v>98593.692970000207</v>
      </c>
      <c r="L510" s="150">
        <f t="shared" si="601"/>
        <v>5422457.8129700003</v>
      </c>
      <c r="M510" s="150">
        <v>10863865.949999999</v>
      </c>
      <c r="N510" s="150">
        <v>779535.95457000099</v>
      </c>
      <c r="O510" s="150">
        <v>11643401.90457</v>
      </c>
      <c r="P510" s="150">
        <v>15385291.59</v>
      </c>
      <c r="Q510" s="150">
        <v>72492.539359999821</v>
      </c>
      <c r="R510" s="150">
        <f t="shared" si="643"/>
        <v>15457784.12936</v>
      </c>
      <c r="S510" s="150">
        <f t="shared" si="595"/>
        <v>20610378.839146666</v>
      </c>
      <c r="T510" s="150"/>
      <c r="U510" s="150">
        <v>20399803.07</v>
      </c>
      <c r="V510" s="199">
        <v>53422.925919998437</v>
      </c>
      <c r="W510" s="150">
        <f t="shared" si="644"/>
        <v>20453225.995919999</v>
      </c>
      <c r="X510" s="150">
        <v>20399803.07</v>
      </c>
      <c r="Y510" s="150">
        <v>53422.925919998437</v>
      </c>
      <c r="Z510" s="150">
        <v>20453225.995919999</v>
      </c>
      <c r="AA510" s="150">
        <f t="shared" si="596"/>
        <v>0</v>
      </c>
      <c r="AB510" s="150">
        <v>20399803.07</v>
      </c>
      <c r="AC510" s="199">
        <v>53422.925919998437</v>
      </c>
      <c r="AD510" s="150">
        <f t="shared" si="645"/>
        <v>20453225.995919999</v>
      </c>
      <c r="AE510" s="150">
        <v>20453225.995919999</v>
      </c>
      <c r="AF510" s="169" t="s">
        <v>4680</v>
      </c>
      <c r="AG510" s="201">
        <v>20399803.07</v>
      </c>
      <c r="AH510" s="199">
        <v>53422.925919998437</v>
      </c>
      <c r="AI510" s="150">
        <v>20453225.995919999</v>
      </c>
      <c r="AJ510" s="169">
        <f t="shared" si="597"/>
        <v>0</v>
      </c>
      <c r="AK510" s="201">
        <v>20399803.07</v>
      </c>
      <c r="AL510" s="199">
        <v>53422.925919998437</v>
      </c>
      <c r="AM510" s="150">
        <f t="shared" si="646"/>
        <v>20453225.995919999</v>
      </c>
      <c r="AN510" s="153"/>
      <c r="AO510" s="154">
        <f t="shared" si="599"/>
        <v>4.0800012648105621E-3</v>
      </c>
      <c r="AP510" s="150">
        <v>20453225.995919999</v>
      </c>
      <c r="AQ510" s="201">
        <v>20453226</v>
      </c>
      <c r="AR510" s="199"/>
      <c r="AS510" s="150">
        <f t="shared" si="647"/>
        <v>20453226</v>
      </c>
      <c r="AT510" s="155" t="s">
        <v>6020</v>
      </c>
      <c r="AU510" s="156">
        <f t="shared" si="592"/>
        <v>0</v>
      </c>
      <c r="AV510" s="156">
        <f t="shared" si="593"/>
        <v>0</v>
      </c>
      <c r="AW510" s="157" t="s">
        <v>6021</v>
      </c>
      <c r="AX510" s="150">
        <v>20453225.995919999</v>
      </c>
      <c r="AY510" s="150">
        <v>14017994.17</v>
      </c>
      <c r="AZ510" s="150">
        <f>19500000-AY510</f>
        <v>5482005.8300000001</v>
      </c>
      <c r="BA510" s="150">
        <f t="shared" si="648"/>
        <v>19500000</v>
      </c>
      <c r="BB510" s="210"/>
      <c r="BC510" s="210"/>
      <c r="BD510" s="210"/>
      <c r="BE510" s="210"/>
      <c r="BF510" s="210"/>
      <c r="BG510" s="210"/>
      <c r="BH510" s="217"/>
      <c r="BI510" s="210"/>
      <c r="BJ510" s="210"/>
      <c r="BK510" s="210"/>
      <c r="BL510" s="210"/>
      <c r="BM510" s="208"/>
      <c r="BN510" s="160"/>
      <c r="BO510" s="161"/>
      <c r="BP510" s="161"/>
    </row>
    <row r="511" spans="1:69" ht="51">
      <c r="A511" s="210"/>
      <c r="B511" s="195" t="s">
        <v>6034</v>
      </c>
      <c r="C511" s="196" t="s">
        <v>6035</v>
      </c>
      <c r="D511" s="146" t="s">
        <v>4692</v>
      </c>
      <c r="E511" s="196" t="s">
        <v>6035</v>
      </c>
      <c r="F511" s="150">
        <v>0</v>
      </c>
      <c r="G511" s="209">
        <v>383863.66</v>
      </c>
      <c r="H511" s="209">
        <v>1.6839999996591359E-2</v>
      </c>
      <c r="I511" s="209">
        <v>383863.67683999997</v>
      </c>
      <c r="J511" s="150">
        <v>0</v>
      </c>
      <c r="K511" s="150">
        <v>0</v>
      </c>
      <c r="L511" s="150">
        <f t="shared" si="601"/>
        <v>0</v>
      </c>
      <c r="M511" s="150">
        <v>0</v>
      </c>
      <c r="N511" s="150"/>
      <c r="O511" s="150">
        <v>0</v>
      </c>
      <c r="P511" s="150">
        <v>0</v>
      </c>
      <c r="Q511" s="150">
        <v>0</v>
      </c>
      <c r="R511" s="150">
        <f t="shared" si="643"/>
        <v>0</v>
      </c>
      <c r="S511" s="150">
        <f t="shared" si="595"/>
        <v>0</v>
      </c>
      <c r="T511" s="150"/>
      <c r="U511" s="150">
        <v>0</v>
      </c>
      <c r="V511" s="199"/>
      <c r="W511" s="150">
        <f t="shared" si="644"/>
        <v>0</v>
      </c>
      <c r="X511" s="150">
        <v>0</v>
      </c>
      <c r="Y511" s="150"/>
      <c r="Z511" s="150">
        <v>0</v>
      </c>
      <c r="AA511" s="150">
        <f t="shared" si="596"/>
        <v>0</v>
      </c>
      <c r="AB511" s="150">
        <v>0</v>
      </c>
      <c r="AC511" s="199"/>
      <c r="AD511" s="150">
        <f t="shared" si="645"/>
        <v>0</v>
      </c>
      <c r="AE511" s="150">
        <v>0</v>
      </c>
      <c r="AF511" s="169" t="s">
        <v>4680</v>
      </c>
      <c r="AG511" s="201">
        <v>0</v>
      </c>
      <c r="AH511" s="199"/>
      <c r="AI511" s="150">
        <v>0</v>
      </c>
      <c r="AJ511" s="169">
        <f t="shared" si="597"/>
        <v>0</v>
      </c>
      <c r="AK511" s="201">
        <v>0</v>
      </c>
      <c r="AL511" s="199"/>
      <c r="AM511" s="150">
        <f t="shared" si="646"/>
        <v>0</v>
      </c>
      <c r="AN511" s="153">
        <f t="shared" si="598"/>
        <v>0</v>
      </c>
      <c r="AO511" s="154">
        <f t="shared" si="599"/>
        <v>0</v>
      </c>
      <c r="AP511" s="150">
        <v>0</v>
      </c>
      <c r="AQ511" s="201">
        <v>0</v>
      </c>
      <c r="AR511" s="199"/>
      <c r="AS511" s="150">
        <f t="shared" si="647"/>
        <v>0</v>
      </c>
      <c r="AT511" s="155"/>
      <c r="AU511" s="156">
        <f t="shared" si="592"/>
        <v>0</v>
      </c>
      <c r="AV511" s="156">
        <f t="shared" si="593"/>
        <v>0</v>
      </c>
      <c r="AW511" s="157"/>
      <c r="AX511" s="150">
        <v>0</v>
      </c>
      <c r="AY511" s="150">
        <v>0</v>
      </c>
      <c r="AZ511" s="150"/>
      <c r="BA511" s="150">
        <f t="shared" si="648"/>
        <v>0</v>
      </c>
      <c r="BB511" s="210"/>
      <c r="BC511" s="210"/>
      <c r="BD511" s="210"/>
      <c r="BE511" s="210"/>
      <c r="BF511" s="210"/>
      <c r="BG511" s="210"/>
      <c r="BH511" s="217"/>
      <c r="BI511" s="210"/>
      <c r="BJ511" s="210"/>
      <c r="BK511" s="210"/>
      <c r="BL511" s="210"/>
      <c r="BM511" s="208"/>
      <c r="BN511" s="160"/>
      <c r="BO511" s="161"/>
      <c r="BP511" s="161"/>
    </row>
    <row r="512" spans="1:69" ht="38.25">
      <c r="A512" s="210"/>
      <c r="B512" s="195" t="s">
        <v>6036</v>
      </c>
      <c r="C512" s="196" t="s">
        <v>6037</v>
      </c>
      <c r="D512" s="146" t="s">
        <v>4692</v>
      </c>
      <c r="E512" s="196" t="s">
        <v>6037</v>
      </c>
      <c r="F512" s="150">
        <v>383863.66</v>
      </c>
      <c r="G512" s="209">
        <v>0</v>
      </c>
      <c r="H512" s="209"/>
      <c r="I512" s="209">
        <v>0</v>
      </c>
      <c r="J512" s="150">
        <v>111064.45</v>
      </c>
      <c r="K512" s="150">
        <v>15787.991519999996</v>
      </c>
      <c r="L512" s="150">
        <f t="shared" si="601"/>
        <v>126852.44151999999</v>
      </c>
      <c r="M512" s="150">
        <v>197538.6</v>
      </c>
      <c r="N512" s="150">
        <v>501.69539999999688</v>
      </c>
      <c r="O512" s="150">
        <v>198040.2954</v>
      </c>
      <c r="P512" s="150">
        <v>278285.98</v>
      </c>
      <c r="Q512" s="150"/>
      <c r="R512" s="150">
        <f t="shared" si="643"/>
        <v>278285.98</v>
      </c>
      <c r="S512" s="150">
        <f t="shared" si="595"/>
        <v>371047.97333333333</v>
      </c>
      <c r="T512" s="150"/>
      <c r="U512" s="150">
        <v>394665.72</v>
      </c>
      <c r="V512" s="199">
        <v>1368.1021400000318</v>
      </c>
      <c r="W512" s="150">
        <f t="shared" si="644"/>
        <v>396033.82214</v>
      </c>
      <c r="X512" s="150">
        <v>394665.72</v>
      </c>
      <c r="Y512" s="150">
        <v>1368.1021400000318</v>
      </c>
      <c r="Z512" s="150">
        <v>396033.82214</v>
      </c>
      <c r="AA512" s="150">
        <f t="shared" si="596"/>
        <v>0</v>
      </c>
      <c r="AB512" s="150">
        <v>394665.72</v>
      </c>
      <c r="AC512" s="199">
        <v>1368.1021400000318</v>
      </c>
      <c r="AD512" s="150">
        <f t="shared" si="645"/>
        <v>396033.82214</v>
      </c>
      <c r="AE512" s="150">
        <v>396033.82214</v>
      </c>
      <c r="AF512" s="169" t="s">
        <v>4680</v>
      </c>
      <c r="AG512" s="201">
        <v>395895.96</v>
      </c>
      <c r="AH512" s="199">
        <v>137.8621399999829</v>
      </c>
      <c r="AI512" s="150">
        <v>396033.82214</v>
      </c>
      <c r="AJ512" s="169">
        <f t="shared" si="597"/>
        <v>0</v>
      </c>
      <c r="AK512" s="201">
        <v>395895.96</v>
      </c>
      <c r="AL512" s="199">
        <v>137.8621399999829</v>
      </c>
      <c r="AM512" s="150">
        <f t="shared" si="646"/>
        <v>396033.82214</v>
      </c>
      <c r="AN512" s="153"/>
      <c r="AO512" s="154">
        <f t="shared" si="599"/>
        <v>-2.1399999968707561E-3</v>
      </c>
      <c r="AP512" s="150">
        <v>396033.82214</v>
      </c>
      <c r="AQ512" s="201">
        <v>396033.82</v>
      </c>
      <c r="AR512" s="199"/>
      <c r="AS512" s="150">
        <f t="shared" si="647"/>
        <v>396033.82</v>
      </c>
      <c r="AT512" s="155" t="s">
        <v>6020</v>
      </c>
      <c r="AU512" s="156">
        <f t="shared" si="592"/>
        <v>0</v>
      </c>
      <c r="AV512" s="156">
        <f t="shared" si="593"/>
        <v>0</v>
      </c>
      <c r="AW512" s="157" t="s">
        <v>6021</v>
      </c>
      <c r="AX512" s="150">
        <v>396033.82214</v>
      </c>
      <c r="AY512" s="150">
        <v>255801.4</v>
      </c>
      <c r="AZ512" s="150">
        <f>395251-AY512</f>
        <v>139449.60000000001</v>
      </c>
      <c r="BA512" s="150">
        <f t="shared" si="648"/>
        <v>395251</v>
      </c>
      <c r="BB512" s="210"/>
      <c r="BC512" s="210"/>
      <c r="BD512" s="210"/>
      <c r="BE512" s="210"/>
      <c r="BF512" s="210"/>
      <c r="BG512" s="210"/>
      <c r="BH512" s="217"/>
      <c r="BI512" s="210"/>
      <c r="BJ512" s="210"/>
      <c r="BK512" s="210"/>
      <c r="BL512" s="210"/>
      <c r="BM512" s="208"/>
      <c r="BN512" s="160"/>
      <c r="BO512" s="161"/>
      <c r="BP512" s="161"/>
    </row>
    <row r="513" spans="1:68" ht="38.25">
      <c r="A513" s="210"/>
      <c r="B513" s="195" t="s">
        <v>6038</v>
      </c>
      <c r="C513" s="196" t="s">
        <v>6039</v>
      </c>
      <c r="D513" s="146" t="s">
        <v>4692</v>
      </c>
      <c r="E513" s="196" t="s">
        <v>6039</v>
      </c>
      <c r="F513" s="150">
        <v>0</v>
      </c>
      <c r="G513" s="209">
        <v>1194800.3</v>
      </c>
      <c r="H513" s="209"/>
      <c r="I513" s="209">
        <v>1194800.3</v>
      </c>
      <c r="J513" s="150">
        <v>0</v>
      </c>
      <c r="K513" s="150">
        <v>0</v>
      </c>
      <c r="L513" s="150">
        <f t="shared" si="601"/>
        <v>0</v>
      </c>
      <c r="M513" s="150">
        <v>0</v>
      </c>
      <c r="N513" s="150"/>
      <c r="O513" s="150">
        <v>0</v>
      </c>
      <c r="P513" s="150">
        <v>0</v>
      </c>
      <c r="Q513" s="150">
        <v>0</v>
      </c>
      <c r="R513" s="150">
        <f t="shared" si="643"/>
        <v>0</v>
      </c>
      <c r="S513" s="150">
        <f t="shared" si="595"/>
        <v>0</v>
      </c>
      <c r="T513" s="150"/>
      <c r="U513" s="150">
        <v>0</v>
      </c>
      <c r="V513" s="199"/>
      <c r="W513" s="150">
        <f t="shared" si="644"/>
        <v>0</v>
      </c>
      <c r="X513" s="150">
        <v>0</v>
      </c>
      <c r="Y513" s="150"/>
      <c r="Z513" s="150">
        <v>0</v>
      </c>
      <c r="AA513" s="150">
        <f t="shared" si="596"/>
        <v>0</v>
      </c>
      <c r="AB513" s="150">
        <v>0</v>
      </c>
      <c r="AC513" s="199"/>
      <c r="AD513" s="150">
        <f t="shared" si="645"/>
        <v>0</v>
      </c>
      <c r="AE513" s="150">
        <v>0</v>
      </c>
      <c r="AF513" s="169" t="s">
        <v>4680</v>
      </c>
      <c r="AG513" s="201">
        <v>0</v>
      </c>
      <c r="AH513" s="199"/>
      <c r="AI513" s="150">
        <v>0</v>
      </c>
      <c r="AJ513" s="169">
        <f t="shared" si="597"/>
        <v>0</v>
      </c>
      <c r="AK513" s="201">
        <v>0</v>
      </c>
      <c r="AL513" s="199"/>
      <c r="AM513" s="150">
        <f t="shared" si="646"/>
        <v>0</v>
      </c>
      <c r="AN513" s="153">
        <f t="shared" si="598"/>
        <v>0</v>
      </c>
      <c r="AO513" s="154">
        <f t="shared" si="599"/>
        <v>0</v>
      </c>
      <c r="AP513" s="150">
        <v>0</v>
      </c>
      <c r="AQ513" s="201">
        <v>0</v>
      </c>
      <c r="AR513" s="199"/>
      <c r="AS513" s="150">
        <f t="shared" si="647"/>
        <v>0</v>
      </c>
      <c r="AT513" s="155"/>
      <c r="AU513" s="156">
        <f t="shared" si="592"/>
        <v>0</v>
      </c>
      <c r="AV513" s="156">
        <f t="shared" si="593"/>
        <v>0</v>
      </c>
      <c r="AW513" s="157"/>
      <c r="AX513" s="150">
        <v>0</v>
      </c>
      <c r="AY513" s="150">
        <v>0</v>
      </c>
      <c r="AZ513" s="150"/>
      <c r="BA513" s="150">
        <f t="shared" si="648"/>
        <v>0</v>
      </c>
      <c r="BB513" s="210"/>
      <c r="BC513" s="210"/>
      <c r="BD513" s="210"/>
      <c r="BE513" s="210"/>
      <c r="BF513" s="210"/>
      <c r="BG513" s="210"/>
      <c r="BH513" s="217"/>
      <c r="BI513" s="210"/>
      <c r="BJ513" s="210"/>
      <c r="BK513" s="210"/>
      <c r="BL513" s="210"/>
      <c r="BM513" s="208"/>
      <c r="BN513" s="160"/>
      <c r="BO513" s="161"/>
      <c r="BP513" s="161"/>
    </row>
    <row r="514" spans="1:68" ht="51">
      <c r="A514" s="206" t="s">
        <v>546</v>
      </c>
      <c r="B514" s="195" t="s">
        <v>6040</v>
      </c>
      <c r="C514" s="196" t="s">
        <v>6041</v>
      </c>
      <c r="D514" s="146" t="s">
        <v>4692</v>
      </c>
      <c r="E514" s="196" t="s">
        <v>6041</v>
      </c>
      <c r="F514" s="150">
        <v>1265842.7</v>
      </c>
      <c r="G514" s="209">
        <v>0</v>
      </c>
      <c r="H514" s="209"/>
      <c r="I514" s="209">
        <v>0</v>
      </c>
      <c r="J514" s="150">
        <v>334467.28000000003</v>
      </c>
      <c r="K514" s="150">
        <v>22295.675999999978</v>
      </c>
      <c r="L514" s="150">
        <f t="shared" si="601"/>
        <v>356762.95600000001</v>
      </c>
      <c r="M514" s="150">
        <v>652805.01</v>
      </c>
      <c r="N514" s="150">
        <v>58610.190049999976</v>
      </c>
      <c r="O514" s="150">
        <v>711415.20004999998</v>
      </c>
      <c r="P514" s="150">
        <v>1043301.78</v>
      </c>
      <c r="Q514" s="150">
        <v>3170.1840599999996</v>
      </c>
      <c r="R514" s="150">
        <f t="shared" si="643"/>
        <v>1046471.96406</v>
      </c>
      <c r="S514" s="150">
        <f t="shared" si="595"/>
        <v>1395295.9520800002</v>
      </c>
      <c r="T514" s="150"/>
      <c r="U514" s="150">
        <v>1398696.16</v>
      </c>
      <c r="V514" s="199">
        <v>76002.296000000089</v>
      </c>
      <c r="W514" s="150">
        <f t="shared" si="644"/>
        <v>1474698.456</v>
      </c>
      <c r="X514" s="150">
        <v>1398696.16</v>
      </c>
      <c r="Y514" s="150">
        <v>76002.296000000089</v>
      </c>
      <c r="Z514" s="150">
        <v>1474698.456</v>
      </c>
      <c r="AA514" s="150">
        <f t="shared" si="596"/>
        <v>0</v>
      </c>
      <c r="AB514" s="150">
        <v>1398696.16</v>
      </c>
      <c r="AC514" s="199">
        <v>76002.296000000089</v>
      </c>
      <c r="AD514" s="150">
        <f t="shared" si="645"/>
        <v>1474698.456</v>
      </c>
      <c r="AE514" s="150">
        <v>1474698.456</v>
      </c>
      <c r="AF514" s="169" t="s">
        <v>4680</v>
      </c>
      <c r="AG514" s="201">
        <v>1471797.76</v>
      </c>
      <c r="AH514" s="199">
        <v>2900.6959999999963</v>
      </c>
      <c r="AI514" s="150">
        <v>1474698.456</v>
      </c>
      <c r="AJ514" s="169">
        <f t="shared" si="597"/>
        <v>0</v>
      </c>
      <c r="AK514" s="201">
        <v>1471797.76</v>
      </c>
      <c r="AL514" s="199">
        <v>2900.6959999999963</v>
      </c>
      <c r="AM514" s="150">
        <f t="shared" si="646"/>
        <v>1474698.456</v>
      </c>
      <c r="AN514" s="153"/>
      <c r="AO514" s="154">
        <f t="shared" si="599"/>
        <v>3.9999999571591616E-3</v>
      </c>
      <c r="AP514" s="150">
        <v>1474698.456</v>
      </c>
      <c r="AQ514" s="201">
        <v>1474698.46</v>
      </c>
      <c r="AR514" s="199"/>
      <c r="AS514" s="150">
        <f t="shared" si="647"/>
        <v>1474698.46</v>
      </c>
      <c r="AT514" s="155" t="s">
        <v>6020</v>
      </c>
      <c r="AU514" s="156">
        <f t="shared" ref="AU514:AU577" si="649">AM514-AD514</f>
        <v>0</v>
      </c>
      <c r="AV514" s="156">
        <f t="shared" ref="AV514:AV577" si="650">AD514-AX514</f>
        <v>0</v>
      </c>
      <c r="AW514" s="157" t="s">
        <v>6021</v>
      </c>
      <c r="AX514" s="150">
        <v>1474698.456</v>
      </c>
      <c r="AY514" s="150">
        <v>930865.3</v>
      </c>
      <c r="AZ514" s="150">
        <f>1418978-AY514</f>
        <v>488112.69999999995</v>
      </c>
      <c r="BA514" s="150">
        <f t="shared" si="648"/>
        <v>1418978</v>
      </c>
      <c r="BB514" s="205">
        <v>5</v>
      </c>
      <c r="BC514" s="206" t="s">
        <v>632</v>
      </c>
      <c r="BD514" s="206" t="s">
        <v>632</v>
      </c>
      <c r="BE514" s="206" t="s">
        <v>632</v>
      </c>
      <c r="BF514" s="194" t="s">
        <v>671</v>
      </c>
      <c r="BG514" s="203" t="s">
        <v>6042</v>
      </c>
      <c r="BH514" s="216">
        <f>SUM(AS514:AS519)</f>
        <v>1474698.46</v>
      </c>
      <c r="BI514" s="205"/>
      <c r="BJ514" s="206" t="s">
        <v>6013</v>
      </c>
      <c r="BK514" s="206" t="s">
        <v>546</v>
      </c>
      <c r="BL514" s="207" t="s">
        <v>6014</v>
      </c>
      <c r="BM514" s="208">
        <f>BH514</f>
        <v>1474698.46</v>
      </c>
      <c r="BN514" s="160"/>
      <c r="BO514" s="161"/>
      <c r="BP514" s="161"/>
    </row>
    <row r="515" spans="1:68" ht="38.25">
      <c r="A515" s="210"/>
      <c r="B515" s="195" t="s">
        <v>6043</v>
      </c>
      <c r="C515" s="196" t="s">
        <v>6044</v>
      </c>
      <c r="D515" s="146" t="s">
        <v>4692</v>
      </c>
      <c r="E515" s="196" t="s">
        <v>6044</v>
      </c>
      <c r="F515" s="150">
        <v>0</v>
      </c>
      <c r="G515" s="209">
        <v>0</v>
      </c>
      <c r="H515" s="209"/>
      <c r="I515" s="209">
        <v>0</v>
      </c>
      <c r="J515" s="150">
        <v>0</v>
      </c>
      <c r="K515" s="150">
        <v>0</v>
      </c>
      <c r="L515" s="150">
        <f t="shared" si="601"/>
        <v>0</v>
      </c>
      <c r="M515" s="150">
        <v>0</v>
      </c>
      <c r="N515" s="150"/>
      <c r="O515" s="150">
        <v>0</v>
      </c>
      <c r="P515" s="150">
        <v>0</v>
      </c>
      <c r="Q515" s="150">
        <v>0</v>
      </c>
      <c r="R515" s="150">
        <f t="shared" si="643"/>
        <v>0</v>
      </c>
      <c r="S515" s="150">
        <f t="shared" ref="S515:S578" si="651">R515/9*12</f>
        <v>0</v>
      </c>
      <c r="T515" s="150"/>
      <c r="U515" s="150">
        <v>0</v>
      </c>
      <c r="V515" s="199"/>
      <c r="W515" s="150">
        <f t="shared" si="644"/>
        <v>0</v>
      </c>
      <c r="X515" s="150">
        <v>0</v>
      </c>
      <c r="Y515" s="150"/>
      <c r="Z515" s="150">
        <v>0</v>
      </c>
      <c r="AA515" s="150">
        <f t="shared" ref="AA515:AA578" si="652">AD515-Z515</f>
        <v>0</v>
      </c>
      <c r="AB515" s="150">
        <v>0</v>
      </c>
      <c r="AC515" s="199"/>
      <c r="AD515" s="150">
        <f t="shared" si="645"/>
        <v>0</v>
      </c>
      <c r="AE515" s="150">
        <v>0</v>
      </c>
      <c r="AF515" s="169" t="s">
        <v>4680</v>
      </c>
      <c r="AG515" s="201">
        <v>0</v>
      </c>
      <c r="AH515" s="199"/>
      <c r="AI515" s="150">
        <v>0</v>
      </c>
      <c r="AJ515" s="169">
        <f t="shared" ref="AJ515:AJ578" si="653">AM515-AI515</f>
        <v>0</v>
      </c>
      <c r="AK515" s="201">
        <v>0</v>
      </c>
      <c r="AL515" s="199"/>
      <c r="AM515" s="150">
        <f t="shared" si="646"/>
        <v>0</v>
      </c>
      <c r="AN515" s="153">
        <f t="shared" ref="AN515:AN578" si="654">AS515-AM515</f>
        <v>0</v>
      </c>
      <c r="AO515" s="154">
        <f t="shared" ref="AO515:AO578" si="655">AS515-AP515</f>
        <v>0</v>
      </c>
      <c r="AP515" s="150">
        <v>0</v>
      </c>
      <c r="AQ515" s="201">
        <v>0</v>
      </c>
      <c r="AR515" s="199"/>
      <c r="AS515" s="150">
        <f t="shared" si="647"/>
        <v>0</v>
      </c>
      <c r="AT515" s="155"/>
      <c r="AU515" s="156">
        <f t="shared" si="649"/>
        <v>0</v>
      </c>
      <c r="AV515" s="156">
        <f t="shared" si="650"/>
        <v>0</v>
      </c>
      <c r="AW515" s="157"/>
      <c r="AX515" s="150">
        <v>0</v>
      </c>
      <c r="AY515" s="150">
        <v>0</v>
      </c>
      <c r="AZ515" s="150"/>
      <c r="BA515" s="150">
        <f t="shared" si="648"/>
        <v>0</v>
      </c>
      <c r="BB515" s="210"/>
      <c r="BC515" s="210"/>
      <c r="BD515" s="210"/>
      <c r="BE515" s="210"/>
      <c r="BF515" s="210"/>
      <c r="BG515" s="210"/>
      <c r="BH515" s="217"/>
      <c r="BI515" s="210"/>
      <c r="BJ515" s="210"/>
      <c r="BK515" s="210"/>
      <c r="BL515" s="210"/>
      <c r="BM515" s="208"/>
      <c r="BN515" s="160"/>
      <c r="BO515" s="161"/>
      <c r="BP515" s="161"/>
    </row>
    <row r="516" spans="1:68" ht="42" customHeight="1">
      <c r="A516" s="210"/>
      <c r="B516" s="195" t="s">
        <v>6045</v>
      </c>
      <c r="C516" s="196" t="s">
        <v>6046</v>
      </c>
      <c r="D516" s="146" t="s">
        <v>4692</v>
      </c>
      <c r="E516" s="196" t="s">
        <v>6046</v>
      </c>
      <c r="F516" s="150">
        <v>0</v>
      </c>
      <c r="G516" s="209">
        <v>0</v>
      </c>
      <c r="H516" s="209"/>
      <c r="I516" s="209">
        <v>0</v>
      </c>
      <c r="J516" s="150">
        <v>0</v>
      </c>
      <c r="K516" s="150">
        <v>0</v>
      </c>
      <c r="L516" s="150">
        <f t="shared" si="601"/>
        <v>0</v>
      </c>
      <c r="M516" s="150">
        <v>0</v>
      </c>
      <c r="N516" s="150"/>
      <c r="O516" s="150">
        <v>0</v>
      </c>
      <c r="P516" s="150">
        <v>0</v>
      </c>
      <c r="Q516" s="150">
        <v>0</v>
      </c>
      <c r="R516" s="150">
        <f t="shared" si="643"/>
        <v>0</v>
      </c>
      <c r="S516" s="150">
        <f t="shared" si="651"/>
        <v>0</v>
      </c>
      <c r="T516" s="150"/>
      <c r="U516" s="150">
        <v>0</v>
      </c>
      <c r="V516" s="199"/>
      <c r="W516" s="150">
        <f t="shared" si="644"/>
        <v>0</v>
      </c>
      <c r="X516" s="150">
        <v>0</v>
      </c>
      <c r="Y516" s="150"/>
      <c r="Z516" s="150">
        <v>0</v>
      </c>
      <c r="AA516" s="150">
        <f t="shared" si="652"/>
        <v>0</v>
      </c>
      <c r="AB516" s="150">
        <v>0</v>
      </c>
      <c r="AC516" s="199"/>
      <c r="AD516" s="150">
        <f t="shared" si="645"/>
        <v>0</v>
      </c>
      <c r="AE516" s="150">
        <v>0</v>
      </c>
      <c r="AF516" s="169" t="s">
        <v>4680</v>
      </c>
      <c r="AG516" s="201">
        <v>0</v>
      </c>
      <c r="AH516" s="199"/>
      <c r="AI516" s="150">
        <v>0</v>
      </c>
      <c r="AJ516" s="169">
        <f t="shared" si="653"/>
        <v>0</v>
      </c>
      <c r="AK516" s="201">
        <v>0</v>
      </c>
      <c r="AL516" s="199"/>
      <c r="AM516" s="150">
        <f t="shared" si="646"/>
        <v>0</v>
      </c>
      <c r="AN516" s="153">
        <f t="shared" si="654"/>
        <v>0</v>
      </c>
      <c r="AO516" s="154">
        <f t="shared" si="655"/>
        <v>0</v>
      </c>
      <c r="AP516" s="150">
        <v>0</v>
      </c>
      <c r="AQ516" s="201">
        <v>0</v>
      </c>
      <c r="AR516" s="199"/>
      <c r="AS516" s="150">
        <f t="shared" si="647"/>
        <v>0</v>
      </c>
      <c r="AT516" s="155"/>
      <c r="AU516" s="156">
        <f t="shared" si="649"/>
        <v>0</v>
      </c>
      <c r="AV516" s="156">
        <f t="shared" si="650"/>
        <v>0</v>
      </c>
      <c r="AW516" s="157"/>
      <c r="AX516" s="150">
        <v>0</v>
      </c>
      <c r="AY516" s="150">
        <v>0</v>
      </c>
      <c r="AZ516" s="150"/>
      <c r="BA516" s="150">
        <f t="shared" si="648"/>
        <v>0</v>
      </c>
      <c r="BB516" s="210"/>
      <c r="BC516" s="210"/>
      <c r="BD516" s="210"/>
      <c r="BE516" s="210"/>
      <c r="BF516" s="210"/>
      <c r="BG516" s="210"/>
      <c r="BH516" s="217"/>
      <c r="BI516" s="210"/>
      <c r="BJ516" s="210"/>
      <c r="BK516" s="210"/>
      <c r="BL516" s="210"/>
      <c r="BM516" s="208"/>
      <c r="BN516" s="160"/>
      <c r="BO516" s="161"/>
      <c r="BP516" s="161"/>
    </row>
    <row r="517" spans="1:68" ht="38.25">
      <c r="A517" s="210"/>
      <c r="B517" s="195" t="s">
        <v>6047</v>
      </c>
      <c r="C517" s="196" t="s">
        <v>6048</v>
      </c>
      <c r="D517" s="146" t="s">
        <v>4692</v>
      </c>
      <c r="E517" s="196" t="s">
        <v>6048</v>
      </c>
      <c r="F517" s="150">
        <v>0</v>
      </c>
      <c r="G517" s="209">
        <v>0</v>
      </c>
      <c r="H517" s="209"/>
      <c r="I517" s="209">
        <v>0</v>
      </c>
      <c r="J517" s="150">
        <v>0</v>
      </c>
      <c r="K517" s="150">
        <v>0</v>
      </c>
      <c r="L517" s="150">
        <f t="shared" si="601"/>
        <v>0</v>
      </c>
      <c r="M517" s="150">
        <v>0</v>
      </c>
      <c r="N517" s="150"/>
      <c r="O517" s="150">
        <v>0</v>
      </c>
      <c r="P517" s="150">
        <v>0</v>
      </c>
      <c r="Q517" s="150">
        <v>0</v>
      </c>
      <c r="R517" s="150">
        <f t="shared" si="643"/>
        <v>0</v>
      </c>
      <c r="S517" s="150">
        <f t="shared" si="651"/>
        <v>0</v>
      </c>
      <c r="T517" s="150"/>
      <c r="U517" s="150">
        <v>0</v>
      </c>
      <c r="V517" s="199"/>
      <c r="W517" s="150">
        <f t="shared" si="644"/>
        <v>0</v>
      </c>
      <c r="X517" s="150">
        <v>0</v>
      </c>
      <c r="Y517" s="150"/>
      <c r="Z517" s="150">
        <v>0</v>
      </c>
      <c r="AA517" s="150">
        <f t="shared" si="652"/>
        <v>0</v>
      </c>
      <c r="AB517" s="150">
        <v>0</v>
      </c>
      <c r="AC517" s="199"/>
      <c r="AD517" s="150">
        <f t="shared" si="645"/>
        <v>0</v>
      </c>
      <c r="AE517" s="150">
        <v>0</v>
      </c>
      <c r="AF517" s="169" t="s">
        <v>4680</v>
      </c>
      <c r="AG517" s="201">
        <v>0</v>
      </c>
      <c r="AH517" s="199"/>
      <c r="AI517" s="150">
        <v>0</v>
      </c>
      <c r="AJ517" s="169">
        <f t="shared" si="653"/>
        <v>0</v>
      </c>
      <c r="AK517" s="201">
        <v>0</v>
      </c>
      <c r="AL517" s="199"/>
      <c r="AM517" s="150">
        <f t="shared" si="646"/>
        <v>0</v>
      </c>
      <c r="AN517" s="153">
        <f t="shared" si="654"/>
        <v>0</v>
      </c>
      <c r="AO517" s="154">
        <f t="shared" si="655"/>
        <v>0</v>
      </c>
      <c r="AP517" s="150">
        <v>0</v>
      </c>
      <c r="AQ517" s="201">
        <v>0</v>
      </c>
      <c r="AR517" s="199"/>
      <c r="AS517" s="150">
        <f t="shared" si="647"/>
        <v>0</v>
      </c>
      <c r="AT517" s="155"/>
      <c r="AU517" s="156">
        <f t="shared" si="649"/>
        <v>0</v>
      </c>
      <c r="AV517" s="156">
        <f t="shared" si="650"/>
        <v>0</v>
      </c>
      <c r="AW517" s="157"/>
      <c r="AX517" s="150">
        <v>0</v>
      </c>
      <c r="AY517" s="150">
        <v>0</v>
      </c>
      <c r="AZ517" s="150"/>
      <c r="BA517" s="150">
        <f t="shared" si="648"/>
        <v>0</v>
      </c>
      <c r="BB517" s="210"/>
      <c r="BC517" s="210"/>
      <c r="BD517" s="210"/>
      <c r="BE517" s="210"/>
      <c r="BF517" s="210"/>
      <c r="BG517" s="210"/>
      <c r="BH517" s="217"/>
      <c r="BI517" s="210"/>
      <c r="BJ517" s="210"/>
      <c r="BK517" s="210"/>
      <c r="BL517" s="210"/>
      <c r="BM517" s="208"/>
      <c r="BN517" s="160"/>
      <c r="BO517" s="161"/>
      <c r="BP517" s="161"/>
    </row>
    <row r="518" spans="1:68" ht="38.25">
      <c r="A518" s="210"/>
      <c r="B518" s="195" t="s">
        <v>6049</v>
      </c>
      <c r="C518" s="196" t="s">
        <v>6050</v>
      </c>
      <c r="D518" s="146" t="s">
        <v>4692</v>
      </c>
      <c r="E518" s="196" t="s">
        <v>6050</v>
      </c>
      <c r="F518" s="150">
        <v>0</v>
      </c>
      <c r="G518" s="209">
        <v>0</v>
      </c>
      <c r="H518" s="209"/>
      <c r="I518" s="209">
        <v>0</v>
      </c>
      <c r="J518" s="150">
        <v>0</v>
      </c>
      <c r="K518" s="150">
        <v>0</v>
      </c>
      <c r="L518" s="150">
        <f t="shared" si="601"/>
        <v>0</v>
      </c>
      <c r="M518" s="150">
        <v>0</v>
      </c>
      <c r="N518" s="150"/>
      <c r="O518" s="150">
        <v>0</v>
      </c>
      <c r="P518" s="150">
        <v>0</v>
      </c>
      <c r="Q518" s="150">
        <v>0</v>
      </c>
      <c r="R518" s="150">
        <f t="shared" si="643"/>
        <v>0</v>
      </c>
      <c r="S518" s="150">
        <f t="shared" si="651"/>
        <v>0</v>
      </c>
      <c r="T518" s="150"/>
      <c r="U518" s="150">
        <v>0</v>
      </c>
      <c r="V518" s="199"/>
      <c r="W518" s="150">
        <f t="shared" si="644"/>
        <v>0</v>
      </c>
      <c r="X518" s="150">
        <v>0</v>
      </c>
      <c r="Y518" s="150"/>
      <c r="Z518" s="150">
        <v>0</v>
      </c>
      <c r="AA518" s="150">
        <f t="shared" si="652"/>
        <v>0</v>
      </c>
      <c r="AB518" s="150">
        <v>0</v>
      </c>
      <c r="AC518" s="199"/>
      <c r="AD518" s="150">
        <f t="shared" si="645"/>
        <v>0</v>
      </c>
      <c r="AE518" s="150">
        <v>0</v>
      </c>
      <c r="AF518" s="169" t="s">
        <v>4680</v>
      </c>
      <c r="AG518" s="201">
        <v>0</v>
      </c>
      <c r="AH518" s="199"/>
      <c r="AI518" s="150">
        <v>0</v>
      </c>
      <c r="AJ518" s="169">
        <f t="shared" si="653"/>
        <v>0</v>
      </c>
      <c r="AK518" s="201">
        <v>0</v>
      </c>
      <c r="AL518" s="199"/>
      <c r="AM518" s="150">
        <f t="shared" si="646"/>
        <v>0</v>
      </c>
      <c r="AN518" s="153">
        <f t="shared" si="654"/>
        <v>0</v>
      </c>
      <c r="AO518" s="154">
        <f t="shared" si="655"/>
        <v>0</v>
      </c>
      <c r="AP518" s="150">
        <v>0</v>
      </c>
      <c r="AQ518" s="201">
        <v>0</v>
      </c>
      <c r="AR518" s="199"/>
      <c r="AS518" s="150">
        <f t="shared" si="647"/>
        <v>0</v>
      </c>
      <c r="AT518" s="155"/>
      <c r="AU518" s="156">
        <f t="shared" si="649"/>
        <v>0</v>
      </c>
      <c r="AV518" s="156">
        <f t="shared" si="650"/>
        <v>0</v>
      </c>
      <c r="AW518" s="157"/>
      <c r="AX518" s="150">
        <v>0</v>
      </c>
      <c r="AY518" s="150">
        <v>0</v>
      </c>
      <c r="AZ518" s="150"/>
      <c r="BA518" s="150">
        <f t="shared" si="648"/>
        <v>0</v>
      </c>
      <c r="BB518" s="210"/>
      <c r="BC518" s="210"/>
      <c r="BD518" s="210"/>
      <c r="BE518" s="210"/>
      <c r="BF518" s="210"/>
      <c r="BG518" s="210"/>
      <c r="BH518" s="217"/>
      <c r="BI518" s="210"/>
      <c r="BJ518" s="210"/>
      <c r="BK518" s="210"/>
      <c r="BL518" s="210"/>
      <c r="BM518" s="208"/>
      <c r="BN518" s="160"/>
      <c r="BO518" s="161"/>
      <c r="BP518" s="161"/>
    </row>
    <row r="519" spans="1:68" ht="38.25">
      <c r="A519" s="210"/>
      <c r="B519" s="195" t="s">
        <v>6051</v>
      </c>
      <c r="C519" s="196" t="s">
        <v>6052</v>
      </c>
      <c r="D519" s="146" t="s">
        <v>4692</v>
      </c>
      <c r="E519" s="196" t="s">
        <v>6052</v>
      </c>
      <c r="F519" s="150">
        <v>0</v>
      </c>
      <c r="G519" s="209">
        <v>1302874.8799999999</v>
      </c>
      <c r="H519" s="209">
        <v>14570.040000000037</v>
      </c>
      <c r="I519" s="209">
        <v>1317444.92</v>
      </c>
      <c r="J519" s="150">
        <v>0</v>
      </c>
      <c r="K519" s="150">
        <v>0</v>
      </c>
      <c r="L519" s="150">
        <f t="shared" si="601"/>
        <v>0</v>
      </c>
      <c r="M519" s="150">
        <v>0</v>
      </c>
      <c r="N519" s="150"/>
      <c r="O519" s="150">
        <v>0</v>
      </c>
      <c r="P519" s="150">
        <v>0</v>
      </c>
      <c r="Q519" s="150">
        <v>0</v>
      </c>
      <c r="R519" s="150">
        <f t="shared" si="643"/>
        <v>0</v>
      </c>
      <c r="S519" s="150">
        <f t="shared" si="651"/>
        <v>0</v>
      </c>
      <c r="T519" s="150"/>
      <c r="U519" s="150">
        <v>0</v>
      </c>
      <c r="V519" s="199"/>
      <c r="W519" s="150">
        <f t="shared" si="644"/>
        <v>0</v>
      </c>
      <c r="X519" s="150">
        <v>0</v>
      </c>
      <c r="Y519" s="150"/>
      <c r="Z519" s="150">
        <v>0</v>
      </c>
      <c r="AA519" s="150">
        <f t="shared" si="652"/>
        <v>0</v>
      </c>
      <c r="AB519" s="150">
        <v>0</v>
      </c>
      <c r="AC519" s="199"/>
      <c r="AD519" s="150">
        <f t="shared" si="645"/>
        <v>0</v>
      </c>
      <c r="AE519" s="150">
        <v>0</v>
      </c>
      <c r="AF519" s="169" t="s">
        <v>4680</v>
      </c>
      <c r="AG519" s="201">
        <v>0</v>
      </c>
      <c r="AH519" s="199"/>
      <c r="AI519" s="150">
        <v>0</v>
      </c>
      <c r="AJ519" s="169">
        <f t="shared" si="653"/>
        <v>0</v>
      </c>
      <c r="AK519" s="201">
        <v>0</v>
      </c>
      <c r="AL519" s="199"/>
      <c r="AM519" s="150">
        <f t="shared" si="646"/>
        <v>0</v>
      </c>
      <c r="AN519" s="153">
        <f t="shared" si="654"/>
        <v>0</v>
      </c>
      <c r="AO519" s="154">
        <f t="shared" si="655"/>
        <v>0</v>
      </c>
      <c r="AP519" s="150">
        <v>0</v>
      </c>
      <c r="AQ519" s="201">
        <v>0</v>
      </c>
      <c r="AR519" s="199"/>
      <c r="AS519" s="150">
        <f t="shared" si="647"/>
        <v>0</v>
      </c>
      <c r="AT519" s="155"/>
      <c r="AU519" s="156">
        <f t="shared" si="649"/>
        <v>0</v>
      </c>
      <c r="AV519" s="156">
        <f t="shared" si="650"/>
        <v>0</v>
      </c>
      <c r="AW519" s="157"/>
      <c r="AX519" s="150">
        <v>0</v>
      </c>
      <c r="AY519" s="150">
        <v>0</v>
      </c>
      <c r="AZ519" s="150"/>
      <c r="BA519" s="150">
        <f t="shared" si="648"/>
        <v>0</v>
      </c>
      <c r="BB519" s="210"/>
      <c r="BC519" s="210"/>
      <c r="BD519" s="210"/>
      <c r="BE519" s="210"/>
      <c r="BF519" s="210"/>
      <c r="BG519" s="210"/>
      <c r="BH519" s="217"/>
      <c r="BI519" s="210"/>
      <c r="BJ519" s="210"/>
      <c r="BK519" s="210"/>
      <c r="BL519" s="210"/>
      <c r="BM519" s="208"/>
      <c r="BN519" s="160"/>
      <c r="BO519" s="161"/>
      <c r="BP519" s="161"/>
    </row>
    <row r="520" spans="1:68" ht="51">
      <c r="A520" s="206" t="s">
        <v>546</v>
      </c>
      <c r="B520" s="195" t="s">
        <v>6053</v>
      </c>
      <c r="C520" s="196" t="s">
        <v>6054</v>
      </c>
      <c r="D520" s="146" t="s">
        <v>4692</v>
      </c>
      <c r="E520" s="196" t="s">
        <v>6054</v>
      </c>
      <c r="F520" s="150">
        <v>1317444.93</v>
      </c>
      <c r="G520" s="209">
        <v>0</v>
      </c>
      <c r="H520" s="209"/>
      <c r="I520" s="209">
        <v>0</v>
      </c>
      <c r="J520" s="150">
        <v>155889.31</v>
      </c>
      <c r="K520" s="150">
        <v>7897.554999999993</v>
      </c>
      <c r="L520" s="150">
        <f t="shared" si="601"/>
        <v>163786.86499999999</v>
      </c>
      <c r="M520" s="150">
        <v>338855.44</v>
      </c>
      <c r="N520" s="150">
        <v>701.22800000000279</v>
      </c>
      <c r="O520" s="150">
        <v>339556.66800000001</v>
      </c>
      <c r="P520" s="150">
        <v>585575.61</v>
      </c>
      <c r="Q520" s="150">
        <v>7012.4740000000456</v>
      </c>
      <c r="R520" s="150">
        <f t="shared" si="643"/>
        <v>592588.08400000003</v>
      </c>
      <c r="S520" s="150">
        <f t="shared" si="651"/>
        <v>790117.44533333334</v>
      </c>
      <c r="T520" s="150"/>
      <c r="U520" s="150">
        <v>785887.76</v>
      </c>
      <c r="V520" s="199">
        <v>-3.0999999959021807E-2</v>
      </c>
      <c r="W520" s="150">
        <f t="shared" si="644"/>
        <v>785887.72900000005</v>
      </c>
      <c r="X520" s="150">
        <v>785887.76</v>
      </c>
      <c r="Y520" s="150">
        <v>-3.0999999959021807E-2</v>
      </c>
      <c r="Z520" s="150">
        <v>785887.72900000005</v>
      </c>
      <c r="AA520" s="150">
        <f t="shared" si="652"/>
        <v>3.0999999959021807E-2</v>
      </c>
      <c r="AB520" s="150">
        <v>785887.76</v>
      </c>
      <c r="AC520" s="199"/>
      <c r="AD520" s="150">
        <f t="shared" si="645"/>
        <v>785887.76</v>
      </c>
      <c r="AE520" s="150">
        <v>785887.76</v>
      </c>
      <c r="AF520" s="169" t="s">
        <v>4680</v>
      </c>
      <c r="AG520" s="201">
        <v>785887.76</v>
      </c>
      <c r="AH520" s="199"/>
      <c r="AI520" s="150">
        <v>785887.76</v>
      </c>
      <c r="AJ520" s="169">
        <f t="shared" si="653"/>
        <v>0</v>
      </c>
      <c r="AK520" s="201">
        <v>785887.76</v>
      </c>
      <c r="AL520" s="199"/>
      <c r="AM520" s="150">
        <f t="shared" si="646"/>
        <v>785887.76</v>
      </c>
      <c r="AN520" s="153">
        <f t="shared" si="654"/>
        <v>0</v>
      </c>
      <c r="AO520" s="154">
        <f t="shared" si="655"/>
        <v>0</v>
      </c>
      <c r="AP520" s="150">
        <v>785887.76</v>
      </c>
      <c r="AQ520" s="201">
        <v>785887.76</v>
      </c>
      <c r="AR520" s="199"/>
      <c r="AS520" s="150">
        <f t="shared" si="647"/>
        <v>785887.76</v>
      </c>
      <c r="AT520" s="155"/>
      <c r="AU520" s="156">
        <f t="shared" si="649"/>
        <v>0</v>
      </c>
      <c r="AV520" s="156">
        <f t="shared" si="650"/>
        <v>3.0999999959021807E-2</v>
      </c>
      <c r="AW520" s="157"/>
      <c r="AX520" s="150">
        <v>785887.72900000005</v>
      </c>
      <c r="AY520" s="150">
        <v>532231.24</v>
      </c>
      <c r="AZ520" s="150">
        <f>798346-AY520</f>
        <v>266114.76</v>
      </c>
      <c r="BA520" s="150">
        <f t="shared" si="648"/>
        <v>798346</v>
      </c>
      <c r="BB520" s="205">
        <v>5</v>
      </c>
      <c r="BC520" s="206" t="s">
        <v>632</v>
      </c>
      <c r="BD520" s="206" t="s">
        <v>632</v>
      </c>
      <c r="BE520" s="206" t="s">
        <v>632</v>
      </c>
      <c r="BF520" s="194" t="s">
        <v>693</v>
      </c>
      <c r="BG520" s="203" t="s">
        <v>6055</v>
      </c>
      <c r="BH520" s="216">
        <f>SUM(AS520)</f>
        <v>785887.76</v>
      </c>
      <c r="BI520" s="205"/>
      <c r="BJ520" s="206" t="s">
        <v>6013</v>
      </c>
      <c r="BK520" s="206" t="s">
        <v>546</v>
      </c>
      <c r="BL520" s="207" t="s">
        <v>6014</v>
      </c>
      <c r="BM520" s="208">
        <f>BH520</f>
        <v>785887.76</v>
      </c>
      <c r="BN520" s="160"/>
      <c r="BO520" s="161"/>
      <c r="BP520" s="161"/>
    </row>
    <row r="521" spans="1:68" ht="51">
      <c r="A521" s="206" t="s">
        <v>546</v>
      </c>
      <c r="B521" s="195" t="s">
        <v>6056</v>
      </c>
      <c r="C521" s="196" t="s">
        <v>6057</v>
      </c>
      <c r="D521" s="146" t="s">
        <v>4692</v>
      </c>
      <c r="E521" s="196" t="s">
        <v>6057</v>
      </c>
      <c r="F521" s="150">
        <v>0</v>
      </c>
      <c r="G521" s="209">
        <v>0</v>
      </c>
      <c r="H521" s="209"/>
      <c r="I521" s="209">
        <v>0</v>
      </c>
      <c r="J521" s="150">
        <v>0</v>
      </c>
      <c r="K521" s="150">
        <v>0</v>
      </c>
      <c r="L521" s="150">
        <f t="shared" ref="L521:L584" si="656">J521+K521</f>
        <v>0</v>
      </c>
      <c r="M521" s="150">
        <v>0</v>
      </c>
      <c r="N521" s="150"/>
      <c r="O521" s="150">
        <v>0</v>
      </c>
      <c r="P521" s="150">
        <v>0</v>
      </c>
      <c r="Q521" s="150">
        <v>0</v>
      </c>
      <c r="R521" s="150">
        <f t="shared" si="643"/>
        <v>0</v>
      </c>
      <c r="S521" s="150">
        <f t="shared" si="651"/>
        <v>0</v>
      </c>
      <c r="T521" s="150"/>
      <c r="U521" s="150">
        <v>0</v>
      </c>
      <c r="V521" s="199"/>
      <c r="W521" s="150">
        <f t="shared" si="644"/>
        <v>0</v>
      </c>
      <c r="X521" s="150">
        <v>0</v>
      </c>
      <c r="Y521" s="150"/>
      <c r="Z521" s="150">
        <v>0</v>
      </c>
      <c r="AA521" s="150">
        <f t="shared" si="652"/>
        <v>0</v>
      </c>
      <c r="AB521" s="150">
        <v>0</v>
      </c>
      <c r="AC521" s="199"/>
      <c r="AD521" s="150">
        <f t="shared" si="645"/>
        <v>0</v>
      </c>
      <c r="AE521" s="150">
        <v>0</v>
      </c>
      <c r="AF521" s="169" t="s">
        <v>4680</v>
      </c>
      <c r="AG521" s="201">
        <v>0</v>
      </c>
      <c r="AH521" s="199"/>
      <c r="AI521" s="150">
        <v>0</v>
      </c>
      <c r="AJ521" s="169">
        <f t="shared" si="653"/>
        <v>0</v>
      </c>
      <c r="AK521" s="201">
        <v>0</v>
      </c>
      <c r="AL521" s="199"/>
      <c r="AM521" s="150">
        <f t="shared" si="646"/>
        <v>0</v>
      </c>
      <c r="AN521" s="153">
        <f t="shared" si="654"/>
        <v>0</v>
      </c>
      <c r="AO521" s="154">
        <f t="shared" si="655"/>
        <v>0</v>
      </c>
      <c r="AP521" s="150">
        <v>0</v>
      </c>
      <c r="AQ521" s="201">
        <v>0</v>
      </c>
      <c r="AR521" s="199"/>
      <c r="AS521" s="150">
        <f t="shared" si="647"/>
        <v>0</v>
      </c>
      <c r="AT521" s="155"/>
      <c r="AU521" s="156">
        <f t="shared" si="649"/>
        <v>0</v>
      </c>
      <c r="AV521" s="156">
        <f t="shared" si="650"/>
        <v>0</v>
      </c>
      <c r="AW521" s="157"/>
      <c r="AX521" s="150">
        <v>0</v>
      </c>
      <c r="AY521" s="150">
        <v>0</v>
      </c>
      <c r="AZ521" s="150"/>
      <c r="BA521" s="150">
        <f t="shared" si="648"/>
        <v>0</v>
      </c>
      <c r="BB521" s="205">
        <v>5</v>
      </c>
      <c r="BC521" s="206" t="s">
        <v>632</v>
      </c>
      <c r="BD521" s="206" t="s">
        <v>632</v>
      </c>
      <c r="BE521" s="206" t="s">
        <v>632</v>
      </c>
      <c r="BF521" s="194" t="s">
        <v>714</v>
      </c>
      <c r="BG521" s="203" t="s">
        <v>6058</v>
      </c>
      <c r="BH521" s="216">
        <f>SUM(AS521)</f>
        <v>0</v>
      </c>
      <c r="BI521" s="205"/>
      <c r="BJ521" s="206" t="s">
        <v>6013</v>
      </c>
      <c r="BK521" s="206" t="s">
        <v>546</v>
      </c>
      <c r="BL521" s="207" t="s">
        <v>6014</v>
      </c>
      <c r="BM521" s="208">
        <f>BH521</f>
        <v>0</v>
      </c>
      <c r="BN521" s="160"/>
      <c r="BO521" s="161">
        <f t="shared" ref="BO521:BO573" si="657">BM521-AS521</f>
        <v>0</v>
      </c>
      <c r="BP521" s="161"/>
    </row>
    <row r="522" spans="1:68" ht="51">
      <c r="A522" s="206" t="s">
        <v>546</v>
      </c>
      <c r="B522" s="195" t="s">
        <v>6059</v>
      </c>
      <c r="C522" s="196" t="s">
        <v>6060</v>
      </c>
      <c r="D522" s="146" t="s">
        <v>4692</v>
      </c>
      <c r="E522" s="196" t="s">
        <v>6060</v>
      </c>
      <c r="F522" s="150">
        <v>0</v>
      </c>
      <c r="G522" s="209">
        <v>398976.87</v>
      </c>
      <c r="H522" s="209">
        <v>27.600419999987935</v>
      </c>
      <c r="I522" s="209">
        <v>399004.47042000003</v>
      </c>
      <c r="J522" s="150">
        <v>0</v>
      </c>
      <c r="K522" s="150">
        <v>0</v>
      </c>
      <c r="L522" s="150">
        <f t="shared" si="656"/>
        <v>0</v>
      </c>
      <c r="M522" s="150">
        <v>0</v>
      </c>
      <c r="N522" s="150"/>
      <c r="O522" s="150">
        <v>0</v>
      </c>
      <c r="P522" s="150">
        <v>0</v>
      </c>
      <c r="Q522" s="150">
        <v>0</v>
      </c>
      <c r="R522" s="150">
        <f t="shared" si="643"/>
        <v>0</v>
      </c>
      <c r="S522" s="150">
        <f t="shared" si="651"/>
        <v>0</v>
      </c>
      <c r="T522" s="150"/>
      <c r="U522" s="150">
        <v>0</v>
      </c>
      <c r="V522" s="199"/>
      <c r="W522" s="150">
        <f t="shared" si="644"/>
        <v>0</v>
      </c>
      <c r="X522" s="150">
        <v>0</v>
      </c>
      <c r="Y522" s="150"/>
      <c r="Z522" s="150">
        <v>0</v>
      </c>
      <c r="AA522" s="150">
        <f t="shared" si="652"/>
        <v>0</v>
      </c>
      <c r="AB522" s="150">
        <v>0</v>
      </c>
      <c r="AC522" s="199"/>
      <c r="AD522" s="150">
        <f t="shared" si="645"/>
        <v>0</v>
      </c>
      <c r="AE522" s="150">
        <v>0</v>
      </c>
      <c r="AF522" s="169" t="s">
        <v>4680</v>
      </c>
      <c r="AG522" s="201">
        <v>0</v>
      </c>
      <c r="AH522" s="199"/>
      <c r="AI522" s="150">
        <v>0</v>
      </c>
      <c r="AJ522" s="169">
        <f t="shared" si="653"/>
        <v>0</v>
      </c>
      <c r="AK522" s="201">
        <v>0</v>
      </c>
      <c r="AL522" s="199"/>
      <c r="AM522" s="150">
        <f t="shared" si="646"/>
        <v>0</v>
      </c>
      <c r="AN522" s="153">
        <f t="shared" si="654"/>
        <v>0</v>
      </c>
      <c r="AO522" s="154">
        <f t="shared" si="655"/>
        <v>0</v>
      </c>
      <c r="AP522" s="150">
        <v>0</v>
      </c>
      <c r="AQ522" s="201">
        <v>0</v>
      </c>
      <c r="AR522" s="199"/>
      <c r="AS522" s="150">
        <f t="shared" si="647"/>
        <v>0</v>
      </c>
      <c r="AT522" s="155"/>
      <c r="AU522" s="156">
        <f t="shared" si="649"/>
        <v>0</v>
      </c>
      <c r="AV522" s="156">
        <f t="shared" si="650"/>
        <v>0</v>
      </c>
      <c r="AW522" s="157"/>
      <c r="AX522" s="150">
        <v>0</v>
      </c>
      <c r="AY522" s="150">
        <v>0</v>
      </c>
      <c r="AZ522" s="150"/>
      <c r="BA522" s="150">
        <f t="shared" si="648"/>
        <v>0</v>
      </c>
      <c r="BB522" s="205">
        <v>5</v>
      </c>
      <c r="BC522" s="206" t="s">
        <v>632</v>
      </c>
      <c r="BD522" s="206" t="s">
        <v>632</v>
      </c>
      <c r="BE522" s="206" t="s">
        <v>632</v>
      </c>
      <c r="BF522" s="194" t="s">
        <v>739</v>
      </c>
      <c r="BG522" s="203" t="s">
        <v>6060</v>
      </c>
      <c r="BH522" s="216">
        <f>SUM(AS522)</f>
        <v>0</v>
      </c>
      <c r="BI522" s="205"/>
      <c r="BJ522" s="206" t="s">
        <v>6013</v>
      </c>
      <c r="BK522" s="206" t="s">
        <v>546</v>
      </c>
      <c r="BL522" s="207" t="s">
        <v>6014</v>
      </c>
      <c r="BM522" s="208">
        <f>BH522</f>
        <v>0</v>
      </c>
      <c r="BN522" s="160"/>
      <c r="BO522" s="161">
        <f t="shared" si="657"/>
        <v>0</v>
      </c>
      <c r="BP522" s="161"/>
    </row>
    <row r="523" spans="1:68">
      <c r="A523" s="256" t="s">
        <v>547</v>
      </c>
      <c r="B523" s="184"/>
      <c r="C523" s="185" t="s">
        <v>6061</v>
      </c>
      <c r="D523" s="146" t="s">
        <v>4692</v>
      </c>
      <c r="E523" s="185" t="s">
        <v>6061</v>
      </c>
      <c r="F523" s="188">
        <v>690473.20000000007</v>
      </c>
      <c r="G523" s="187">
        <v>26816.97</v>
      </c>
      <c r="H523" s="187">
        <v>0.11841999999887776</v>
      </c>
      <c r="I523" s="187">
        <v>26817.08842</v>
      </c>
      <c r="J523" s="188">
        <f>SUM(J524:J528)</f>
        <v>33141.89</v>
      </c>
      <c r="K523" s="188">
        <f>SUM(K524:K528)</f>
        <v>16583.817259999996</v>
      </c>
      <c r="L523" s="188">
        <f t="shared" si="656"/>
        <v>49725.707259999996</v>
      </c>
      <c r="M523" s="188">
        <v>270533.42000000004</v>
      </c>
      <c r="N523" s="188">
        <v>-20800.365830000017</v>
      </c>
      <c r="O523" s="188">
        <v>249733.05417000002</v>
      </c>
      <c r="P523" s="299">
        <f t="shared" ref="P523:AD523" si="658">SUM(P524:P528)</f>
        <v>711174.40999999992</v>
      </c>
      <c r="Q523" s="299">
        <f t="shared" si="658"/>
        <v>17626.630970000027</v>
      </c>
      <c r="R523" s="299">
        <f t="shared" si="658"/>
        <v>728801.04096999997</v>
      </c>
      <c r="S523" s="150">
        <f t="shared" si="651"/>
        <v>971734.72129333334</v>
      </c>
      <c r="T523" s="213"/>
      <c r="U523" s="299">
        <f>SUM(U524:U528)</f>
        <v>1045596.97</v>
      </c>
      <c r="V523" s="226">
        <f t="shared" ref="V523:W523" si="659">SUM(V524:V528)</f>
        <v>70698.03907999993</v>
      </c>
      <c r="W523" s="299">
        <f t="shared" si="659"/>
        <v>1116295.00908</v>
      </c>
      <c r="X523" s="299">
        <v>1045596.97</v>
      </c>
      <c r="Y523" s="299">
        <v>70698.03907999993</v>
      </c>
      <c r="Z523" s="299">
        <v>1116295.00908</v>
      </c>
      <c r="AA523" s="299">
        <f t="shared" si="652"/>
        <v>-59999.821460000006</v>
      </c>
      <c r="AB523" s="299">
        <v>1053697.32</v>
      </c>
      <c r="AC523" s="226">
        <v>2597.8676199999609</v>
      </c>
      <c r="AD523" s="299">
        <f t="shared" si="658"/>
        <v>1056295.18762</v>
      </c>
      <c r="AE523" s="299">
        <v>1056295.18762</v>
      </c>
      <c r="AF523" s="169" t="s">
        <v>4680</v>
      </c>
      <c r="AG523" s="301">
        <v>1053697.32</v>
      </c>
      <c r="AH523" s="226">
        <v>2597.8676199999609</v>
      </c>
      <c r="AI523" s="299">
        <v>1056295.18762</v>
      </c>
      <c r="AJ523" s="169">
        <f t="shared" si="653"/>
        <v>0</v>
      </c>
      <c r="AK523" s="301">
        <v>1053697.32</v>
      </c>
      <c r="AL523" s="226">
        <v>2597.8676199999609</v>
      </c>
      <c r="AM523" s="299">
        <f t="shared" ref="AM523" si="660">SUM(AM524:AM528)</f>
        <v>1056295.18762</v>
      </c>
      <c r="AN523" s="153">
        <f t="shared" si="654"/>
        <v>-0.1776199999731034</v>
      </c>
      <c r="AO523" s="154">
        <f t="shared" si="655"/>
        <v>-0.1776199999731034</v>
      </c>
      <c r="AP523" s="299">
        <v>1056295.18762</v>
      </c>
      <c r="AQ523" s="301">
        <v>1056295.01</v>
      </c>
      <c r="AR523" s="226">
        <f t="shared" ref="AR523:AS523" si="661">SUM(AR524:AR528)</f>
        <v>0</v>
      </c>
      <c r="AS523" s="299">
        <f t="shared" si="661"/>
        <v>1056295.01</v>
      </c>
      <c r="AT523" s="155"/>
      <c r="AU523" s="156">
        <f t="shared" si="649"/>
        <v>0</v>
      </c>
      <c r="AV523" s="156">
        <f t="shared" si="650"/>
        <v>-59999.821460000006</v>
      </c>
      <c r="AW523" s="157"/>
      <c r="AX523" s="150">
        <v>1116295.00908</v>
      </c>
      <c r="AY523" s="299">
        <f t="shared" ref="AY523:BA523" si="662">SUM(AY524:AY528)</f>
        <v>614861.93999999994</v>
      </c>
      <c r="AZ523" s="299">
        <f t="shared" si="662"/>
        <v>450607.75</v>
      </c>
      <c r="BA523" s="299">
        <f t="shared" si="662"/>
        <v>1065469.69</v>
      </c>
      <c r="BB523" s="192">
        <v>5</v>
      </c>
      <c r="BC523" s="256" t="s">
        <v>632</v>
      </c>
      <c r="BD523" s="256" t="s">
        <v>632</v>
      </c>
      <c r="BE523" s="256" t="s">
        <v>647</v>
      </c>
      <c r="BF523" s="256" t="s">
        <v>630</v>
      </c>
      <c r="BG523" s="185" t="s">
        <v>6061</v>
      </c>
      <c r="BH523" s="215">
        <f>SUM(BH524:BH528)</f>
        <v>1056295.01</v>
      </c>
      <c r="BI523" s="192"/>
      <c r="BJ523" s="256" t="s">
        <v>6062</v>
      </c>
      <c r="BK523" s="256" t="s">
        <v>547</v>
      </c>
      <c r="BL523" s="238" t="s">
        <v>6063</v>
      </c>
      <c r="BM523" s="215">
        <f>SUM(BM524:BM528)</f>
        <v>1056295.01</v>
      </c>
      <c r="BN523" s="160"/>
      <c r="BO523" s="161">
        <f t="shared" si="657"/>
        <v>0</v>
      </c>
      <c r="BP523" s="161"/>
    </row>
    <row r="524" spans="1:68" ht="25.5">
      <c r="A524" s="206" t="s">
        <v>547</v>
      </c>
      <c r="B524" s="195" t="s">
        <v>6064</v>
      </c>
      <c r="C524" s="196" t="s">
        <v>6065</v>
      </c>
      <c r="D524" s="146" t="s">
        <v>4692</v>
      </c>
      <c r="E524" s="196" t="s">
        <v>6065</v>
      </c>
      <c r="F524" s="150">
        <v>26816.97</v>
      </c>
      <c r="G524" s="209">
        <v>0</v>
      </c>
      <c r="H524" s="209"/>
      <c r="I524" s="209">
        <v>0</v>
      </c>
      <c r="J524" s="150">
        <v>21388.99</v>
      </c>
      <c r="K524" s="150">
        <v>1012.0022599999975</v>
      </c>
      <c r="L524" s="150">
        <f t="shared" si="656"/>
        <v>22400.992259999999</v>
      </c>
      <c r="M524" s="150">
        <v>34929.11</v>
      </c>
      <c r="N524" s="150">
        <v>1831.6452599999975</v>
      </c>
      <c r="O524" s="150">
        <v>36760.755259999998</v>
      </c>
      <c r="P524" s="150">
        <v>62283.199999999997</v>
      </c>
      <c r="Q524" s="150"/>
      <c r="R524" s="150">
        <f>P524+Q524</f>
        <v>62283.199999999997</v>
      </c>
      <c r="S524" s="150">
        <f t="shared" si="651"/>
        <v>83044.266666666663</v>
      </c>
      <c r="T524" s="150"/>
      <c r="U524" s="150">
        <v>72154.95</v>
      </c>
      <c r="V524" s="199"/>
      <c r="W524" s="150">
        <f>U524+V524</f>
        <v>72154.95</v>
      </c>
      <c r="X524" s="150">
        <v>72154.95</v>
      </c>
      <c r="Y524" s="150"/>
      <c r="Z524" s="150">
        <v>72154.95</v>
      </c>
      <c r="AA524" s="150">
        <f t="shared" si="652"/>
        <v>0.17854000000806991</v>
      </c>
      <c r="AB524" s="150">
        <v>72154.95</v>
      </c>
      <c r="AC524" s="199">
        <v>0.17854000000806991</v>
      </c>
      <c r="AD524" s="150">
        <f>AB524+AC524</f>
        <v>72155.128540000005</v>
      </c>
      <c r="AE524" s="150">
        <v>72155.128540000005</v>
      </c>
      <c r="AF524" s="169" t="s">
        <v>4680</v>
      </c>
      <c r="AG524" s="201">
        <v>72154.95</v>
      </c>
      <c r="AH524" s="199">
        <v>0.17854000000806991</v>
      </c>
      <c r="AI524" s="150">
        <v>72155.128540000005</v>
      </c>
      <c r="AJ524" s="169">
        <f t="shared" si="653"/>
        <v>0</v>
      </c>
      <c r="AK524" s="201">
        <v>72154.95</v>
      </c>
      <c r="AL524" s="199">
        <v>0.17854000000806991</v>
      </c>
      <c r="AM524" s="150">
        <f>AK524+AL524</f>
        <v>72155.128540000005</v>
      </c>
      <c r="AN524" s="153"/>
      <c r="AO524" s="154">
        <f t="shared" si="655"/>
        <v>-0.17854000000806991</v>
      </c>
      <c r="AP524" s="150">
        <v>72155.128540000005</v>
      </c>
      <c r="AQ524" s="201">
        <v>72154.95</v>
      </c>
      <c r="AR524" s="199"/>
      <c r="AS524" s="150">
        <f>AQ524+AR524</f>
        <v>72154.95</v>
      </c>
      <c r="AT524" s="155"/>
      <c r="AU524" s="156">
        <f t="shared" si="649"/>
        <v>0</v>
      </c>
      <c r="AV524" s="156">
        <f t="shared" si="650"/>
        <v>0.17854000000806991</v>
      </c>
      <c r="AW524" s="157"/>
      <c r="AX524" s="150">
        <v>72154.95</v>
      </c>
      <c r="AY524" s="150">
        <v>59324.45</v>
      </c>
      <c r="AZ524" s="150">
        <f>93903.55-AY524</f>
        <v>34579.100000000006</v>
      </c>
      <c r="BA524" s="150">
        <f t="shared" si="648"/>
        <v>93903.55</v>
      </c>
      <c r="BB524" s="205">
        <v>5</v>
      </c>
      <c r="BC524" s="206" t="s">
        <v>632</v>
      </c>
      <c r="BD524" s="206" t="s">
        <v>632</v>
      </c>
      <c r="BE524" s="206" t="s">
        <v>647</v>
      </c>
      <c r="BF524" s="206" t="s">
        <v>632</v>
      </c>
      <c r="BG524" s="203" t="s">
        <v>6066</v>
      </c>
      <c r="BH524" s="216">
        <f>AS524</f>
        <v>72154.95</v>
      </c>
      <c r="BI524" s="205"/>
      <c r="BJ524" s="206" t="s">
        <v>6062</v>
      </c>
      <c r="BK524" s="206" t="s">
        <v>547</v>
      </c>
      <c r="BL524" s="207" t="s">
        <v>6063</v>
      </c>
      <c r="BM524" s="208">
        <f>BH524</f>
        <v>72154.95</v>
      </c>
      <c r="BN524" s="160"/>
      <c r="BO524" s="161">
        <f t="shared" si="657"/>
        <v>0</v>
      </c>
      <c r="BP524" s="161"/>
    </row>
    <row r="525" spans="1:68" ht="24">
      <c r="A525" s="206" t="s">
        <v>547</v>
      </c>
      <c r="B525" s="195" t="s">
        <v>6067</v>
      </c>
      <c r="C525" s="196" t="s">
        <v>6068</v>
      </c>
      <c r="D525" s="146" t="s">
        <v>4692</v>
      </c>
      <c r="E525" s="196" t="s">
        <v>6068</v>
      </c>
      <c r="F525" s="150">
        <v>0</v>
      </c>
      <c r="G525" s="209">
        <v>0</v>
      </c>
      <c r="H525" s="209"/>
      <c r="I525" s="209">
        <v>0</v>
      </c>
      <c r="J525" s="150">
        <v>0</v>
      </c>
      <c r="K525" s="150">
        <v>0</v>
      </c>
      <c r="L525" s="150">
        <f t="shared" si="656"/>
        <v>0</v>
      </c>
      <c r="M525" s="150">
        <v>0</v>
      </c>
      <c r="N525" s="150"/>
      <c r="O525" s="150">
        <v>0</v>
      </c>
      <c r="P525" s="150">
        <v>0</v>
      </c>
      <c r="Q525" s="150">
        <v>0</v>
      </c>
      <c r="R525" s="150">
        <f>P525+Q525</f>
        <v>0</v>
      </c>
      <c r="S525" s="150">
        <f t="shared" si="651"/>
        <v>0</v>
      </c>
      <c r="T525" s="150"/>
      <c r="U525" s="150">
        <v>0</v>
      </c>
      <c r="V525" s="199">
        <v>60000</v>
      </c>
      <c r="W525" s="150">
        <f>U525+V525</f>
        <v>60000</v>
      </c>
      <c r="X525" s="150">
        <v>0</v>
      </c>
      <c r="Y525" s="150">
        <v>60000</v>
      </c>
      <c r="Z525" s="150">
        <v>60000</v>
      </c>
      <c r="AA525" s="150">
        <f t="shared" si="652"/>
        <v>-60000</v>
      </c>
      <c r="AB525" s="150">
        <v>0</v>
      </c>
      <c r="AC525" s="199"/>
      <c r="AD525" s="150">
        <f>AB525+AC525</f>
        <v>0</v>
      </c>
      <c r="AE525" s="150">
        <v>0</v>
      </c>
      <c r="AF525" s="169" t="s">
        <v>4680</v>
      </c>
      <c r="AG525" s="201">
        <v>0</v>
      </c>
      <c r="AH525" s="199"/>
      <c r="AI525" s="150">
        <v>0</v>
      </c>
      <c r="AJ525" s="169">
        <f t="shared" si="653"/>
        <v>0</v>
      </c>
      <c r="AK525" s="201">
        <v>0</v>
      </c>
      <c r="AL525" s="199"/>
      <c r="AM525" s="150">
        <f>AK525+AL525</f>
        <v>0</v>
      </c>
      <c r="AN525" s="153"/>
      <c r="AO525" s="154">
        <f t="shared" si="655"/>
        <v>0</v>
      </c>
      <c r="AP525" s="150">
        <v>0</v>
      </c>
      <c r="AQ525" s="201">
        <v>0</v>
      </c>
      <c r="AR525" s="199"/>
      <c r="AS525" s="150">
        <f>AQ525+AR525</f>
        <v>0</v>
      </c>
      <c r="AT525" s="155"/>
      <c r="AU525" s="156">
        <f t="shared" si="649"/>
        <v>0</v>
      </c>
      <c r="AV525" s="156">
        <f t="shared" si="650"/>
        <v>-60000</v>
      </c>
      <c r="AW525" s="157" t="s">
        <v>6069</v>
      </c>
      <c r="AX525" s="150">
        <v>60000</v>
      </c>
      <c r="AY525" s="150">
        <v>0</v>
      </c>
      <c r="AZ525" s="150"/>
      <c r="BA525" s="150">
        <f t="shared" si="648"/>
        <v>0</v>
      </c>
      <c r="BB525" s="205">
        <v>5</v>
      </c>
      <c r="BC525" s="206" t="s">
        <v>632</v>
      </c>
      <c r="BD525" s="206" t="s">
        <v>632</v>
      </c>
      <c r="BE525" s="206" t="s">
        <v>647</v>
      </c>
      <c r="BF525" s="206" t="s">
        <v>647</v>
      </c>
      <c r="BG525" s="203" t="s">
        <v>6070</v>
      </c>
      <c r="BH525" s="216">
        <f>AS525</f>
        <v>0</v>
      </c>
      <c r="BI525" s="205"/>
      <c r="BJ525" s="206" t="s">
        <v>6062</v>
      </c>
      <c r="BK525" s="206" t="s">
        <v>547</v>
      </c>
      <c r="BL525" s="207" t="s">
        <v>6063</v>
      </c>
      <c r="BM525" s="208">
        <f>BH525</f>
        <v>0</v>
      </c>
      <c r="BN525" s="160"/>
      <c r="BO525" s="161">
        <f t="shared" si="657"/>
        <v>0</v>
      </c>
      <c r="BP525" s="161"/>
    </row>
    <row r="526" spans="1:68">
      <c r="A526" s="206" t="s">
        <v>547</v>
      </c>
      <c r="B526" s="195" t="s">
        <v>6071</v>
      </c>
      <c r="C526" s="196" t="s">
        <v>6072</v>
      </c>
      <c r="D526" s="146" t="s">
        <v>4692</v>
      </c>
      <c r="E526" s="196" t="s">
        <v>6072</v>
      </c>
      <c r="F526" s="150">
        <v>0</v>
      </c>
      <c r="G526" s="209">
        <v>153992.45000000001</v>
      </c>
      <c r="H526" s="209">
        <v>27.481999999989057</v>
      </c>
      <c r="I526" s="209">
        <v>154019.932</v>
      </c>
      <c r="J526" s="150">
        <v>0</v>
      </c>
      <c r="K526" s="150">
        <v>0</v>
      </c>
      <c r="L526" s="150">
        <f t="shared" si="656"/>
        <v>0</v>
      </c>
      <c r="M526" s="150">
        <v>0</v>
      </c>
      <c r="N526" s="150"/>
      <c r="O526" s="150">
        <v>0</v>
      </c>
      <c r="P526" s="150">
        <v>0</v>
      </c>
      <c r="Q526" s="150">
        <v>0</v>
      </c>
      <c r="R526" s="150">
        <f>P526+Q526</f>
        <v>0</v>
      </c>
      <c r="S526" s="150">
        <f t="shared" si="651"/>
        <v>0</v>
      </c>
      <c r="T526" s="150"/>
      <c r="U526" s="150">
        <v>0</v>
      </c>
      <c r="V526" s="199"/>
      <c r="W526" s="150">
        <f>U526+V526</f>
        <v>0</v>
      </c>
      <c r="X526" s="150">
        <v>0</v>
      </c>
      <c r="Y526" s="150"/>
      <c r="Z526" s="150">
        <v>0</v>
      </c>
      <c r="AA526" s="150">
        <f t="shared" si="652"/>
        <v>0</v>
      </c>
      <c r="AB526" s="150">
        <v>0</v>
      </c>
      <c r="AC526" s="199"/>
      <c r="AD526" s="150">
        <f>AB526+AC526</f>
        <v>0</v>
      </c>
      <c r="AE526" s="150">
        <v>0</v>
      </c>
      <c r="AF526" s="169" t="s">
        <v>4680</v>
      </c>
      <c r="AG526" s="201">
        <v>0</v>
      </c>
      <c r="AH526" s="199"/>
      <c r="AI526" s="150">
        <v>0</v>
      </c>
      <c r="AJ526" s="169">
        <f t="shared" si="653"/>
        <v>0</v>
      </c>
      <c r="AK526" s="201">
        <v>0</v>
      </c>
      <c r="AL526" s="199"/>
      <c r="AM526" s="150">
        <f>AK526+AL526</f>
        <v>0</v>
      </c>
      <c r="AN526" s="153"/>
      <c r="AO526" s="154">
        <f t="shared" si="655"/>
        <v>0</v>
      </c>
      <c r="AP526" s="150">
        <v>0</v>
      </c>
      <c r="AQ526" s="201">
        <v>0</v>
      </c>
      <c r="AR526" s="199"/>
      <c r="AS526" s="150">
        <f>AQ526+AR526</f>
        <v>0</v>
      </c>
      <c r="AT526" s="155"/>
      <c r="AU526" s="156">
        <f t="shared" si="649"/>
        <v>0</v>
      </c>
      <c r="AV526" s="156">
        <f t="shared" si="650"/>
        <v>0</v>
      </c>
      <c r="AW526" s="157"/>
      <c r="AX526" s="150">
        <v>0</v>
      </c>
      <c r="AY526" s="150">
        <v>0</v>
      </c>
      <c r="AZ526" s="150"/>
      <c r="BA526" s="150">
        <f t="shared" si="648"/>
        <v>0</v>
      </c>
      <c r="BB526" s="205">
        <v>5</v>
      </c>
      <c r="BC526" s="206" t="s">
        <v>632</v>
      </c>
      <c r="BD526" s="206" t="s">
        <v>632</v>
      </c>
      <c r="BE526" s="206" t="s">
        <v>647</v>
      </c>
      <c r="BF526" s="206" t="s">
        <v>671</v>
      </c>
      <c r="BG526" s="203" t="s">
        <v>6073</v>
      </c>
      <c r="BH526" s="216">
        <f>AS526</f>
        <v>0</v>
      </c>
      <c r="BI526" s="205"/>
      <c r="BJ526" s="206" t="s">
        <v>6062</v>
      </c>
      <c r="BK526" s="206" t="s">
        <v>547</v>
      </c>
      <c r="BL526" s="207" t="s">
        <v>6063</v>
      </c>
      <c r="BM526" s="208">
        <f>BH526</f>
        <v>0</v>
      </c>
      <c r="BN526" s="160"/>
      <c r="BO526" s="161">
        <f t="shared" si="657"/>
        <v>0</v>
      </c>
      <c r="BP526" s="161"/>
    </row>
    <row r="527" spans="1:68" ht="38.25">
      <c r="A527" s="206" t="s">
        <v>547</v>
      </c>
      <c r="B527" s="195" t="s">
        <v>6074</v>
      </c>
      <c r="C527" s="196" t="s">
        <v>6075</v>
      </c>
      <c r="D527" s="146" t="s">
        <v>4692</v>
      </c>
      <c r="E527" s="196" t="s">
        <v>6076</v>
      </c>
      <c r="F527" s="150">
        <v>200076.95</v>
      </c>
      <c r="G527" s="209">
        <v>218167.45</v>
      </c>
      <c r="H527" s="209"/>
      <c r="I527" s="209">
        <v>218167.45</v>
      </c>
      <c r="J527" s="150">
        <v>11752.9</v>
      </c>
      <c r="K527" s="150">
        <v>15571.815000000001</v>
      </c>
      <c r="L527" s="150">
        <f t="shared" si="656"/>
        <v>27324.715</v>
      </c>
      <c r="M527" s="150">
        <v>53578.64</v>
      </c>
      <c r="N527" s="150">
        <v>30288.494999999995</v>
      </c>
      <c r="O527" s="150">
        <v>83867.134999999995</v>
      </c>
      <c r="P527" s="150">
        <v>132519.65</v>
      </c>
      <c r="Q527" s="150">
        <v>15102.99000000002</v>
      </c>
      <c r="R527" s="150">
        <f>P527+Q527</f>
        <v>147622.64000000001</v>
      </c>
      <c r="S527" s="150">
        <f t="shared" si="651"/>
        <v>196830.1866666667</v>
      </c>
      <c r="T527" s="150"/>
      <c r="U527" s="150">
        <v>221281.24</v>
      </c>
      <c r="V527" s="199">
        <v>54.985000000015134</v>
      </c>
      <c r="W527" s="150">
        <f>U527+V527</f>
        <v>221336.22500000001</v>
      </c>
      <c r="X527" s="150">
        <v>221281.24</v>
      </c>
      <c r="Y527" s="150">
        <v>54.985000000015134</v>
      </c>
      <c r="Z527" s="150">
        <v>221336.22500000001</v>
      </c>
      <c r="AA527" s="150">
        <f t="shared" si="652"/>
        <v>0</v>
      </c>
      <c r="AB527" s="150">
        <v>221281.24</v>
      </c>
      <c r="AC527" s="199">
        <v>54.985000000015134</v>
      </c>
      <c r="AD527" s="150">
        <f>AB527+AC527</f>
        <v>221336.22500000001</v>
      </c>
      <c r="AE527" s="150">
        <v>221336.22500000001</v>
      </c>
      <c r="AF527" s="169" t="s">
        <v>4680</v>
      </c>
      <c r="AG527" s="201">
        <v>221281.24</v>
      </c>
      <c r="AH527" s="199">
        <v>54.985000000015134</v>
      </c>
      <c r="AI527" s="150">
        <v>221336.22500000001</v>
      </c>
      <c r="AJ527" s="169">
        <f t="shared" si="653"/>
        <v>0</v>
      </c>
      <c r="AK527" s="201">
        <v>221281.24</v>
      </c>
      <c r="AL527" s="199">
        <v>54.985000000015134</v>
      </c>
      <c r="AM527" s="150">
        <f>AK527+AL527</f>
        <v>221336.22500000001</v>
      </c>
      <c r="AN527" s="153"/>
      <c r="AO527" s="154">
        <f t="shared" si="655"/>
        <v>5.0000000046566129E-3</v>
      </c>
      <c r="AP527" s="150">
        <v>221336.22500000001</v>
      </c>
      <c r="AQ527" s="201">
        <v>221336.23</v>
      </c>
      <c r="AR527" s="199"/>
      <c r="AS527" s="150">
        <f>AQ527+AR527</f>
        <v>221336.23</v>
      </c>
      <c r="AT527" s="155" t="s">
        <v>6020</v>
      </c>
      <c r="AU527" s="156">
        <f t="shared" si="649"/>
        <v>0</v>
      </c>
      <c r="AV527" s="156">
        <f t="shared" si="650"/>
        <v>0</v>
      </c>
      <c r="AW527" s="157"/>
      <c r="AX527" s="150">
        <v>221336.22500000001</v>
      </c>
      <c r="AY527" s="150">
        <v>101032.37</v>
      </c>
      <c r="AZ527" s="150">
        <f>193194.54-AY527</f>
        <v>92162.170000000013</v>
      </c>
      <c r="BA527" s="150">
        <f t="shared" si="648"/>
        <v>193194.54</v>
      </c>
      <c r="BB527" s="205">
        <v>5</v>
      </c>
      <c r="BC527" s="206" t="s">
        <v>632</v>
      </c>
      <c r="BD527" s="206" t="s">
        <v>632</v>
      </c>
      <c r="BE527" s="206" t="s">
        <v>647</v>
      </c>
      <c r="BF527" s="206" t="s">
        <v>693</v>
      </c>
      <c r="BG527" s="203" t="s">
        <v>6077</v>
      </c>
      <c r="BH527" s="216">
        <f>AS527</f>
        <v>221336.23</v>
      </c>
      <c r="BI527" s="205"/>
      <c r="BJ527" s="206" t="s">
        <v>6062</v>
      </c>
      <c r="BK527" s="206" t="s">
        <v>547</v>
      </c>
      <c r="BL527" s="207" t="s">
        <v>6063</v>
      </c>
      <c r="BM527" s="208">
        <f>BH527</f>
        <v>221336.23</v>
      </c>
      <c r="BN527" s="160"/>
      <c r="BO527" s="161">
        <f t="shared" si="657"/>
        <v>0</v>
      </c>
      <c r="BP527" s="161"/>
    </row>
    <row r="528" spans="1:68" ht="24">
      <c r="A528" s="206" t="s">
        <v>547</v>
      </c>
      <c r="B528" s="195" t="s">
        <v>6078</v>
      </c>
      <c r="C528" s="196" t="s">
        <v>6079</v>
      </c>
      <c r="D528" s="146" t="s">
        <v>4692</v>
      </c>
      <c r="E528" s="196" t="s">
        <v>6079</v>
      </c>
      <c r="F528" s="150">
        <v>463579.28</v>
      </c>
      <c r="G528" s="209">
        <v>251397.02</v>
      </c>
      <c r="H528" s="209">
        <v>281284.98</v>
      </c>
      <c r="I528" s="209">
        <v>532682</v>
      </c>
      <c r="J528" s="150">
        <v>0</v>
      </c>
      <c r="K528" s="150">
        <v>0</v>
      </c>
      <c r="L528" s="150">
        <f t="shared" si="656"/>
        <v>0</v>
      </c>
      <c r="M528" s="150">
        <v>182025.67</v>
      </c>
      <c r="N528" s="237">
        <v>-52920.50609000001</v>
      </c>
      <c r="O528" s="150">
        <v>129105.16391</v>
      </c>
      <c r="P528" s="150">
        <v>516371.56</v>
      </c>
      <c r="Q528" s="150">
        <v>2523.6409700000077</v>
      </c>
      <c r="R528" s="150">
        <f>P528+Q528</f>
        <v>518895.20097000001</v>
      </c>
      <c r="S528" s="150">
        <f t="shared" si="651"/>
        <v>691860.26795999997</v>
      </c>
      <c r="T528" s="150"/>
      <c r="U528" s="150">
        <v>752160.78</v>
      </c>
      <c r="V528" s="199">
        <v>10643.054079999914</v>
      </c>
      <c r="W528" s="150">
        <f>U528+V528</f>
        <v>762803.83407999994</v>
      </c>
      <c r="X528" s="150">
        <v>752160.78</v>
      </c>
      <c r="Y528" s="150">
        <v>10643.054079999914</v>
      </c>
      <c r="Z528" s="150">
        <v>762803.83407999994</v>
      </c>
      <c r="AA528" s="150">
        <f t="shared" si="652"/>
        <v>0</v>
      </c>
      <c r="AB528" s="150">
        <v>760261.13</v>
      </c>
      <c r="AC528" s="199">
        <v>2542.7040799999377</v>
      </c>
      <c r="AD528" s="150">
        <f>AB528+AC528</f>
        <v>762803.83407999994</v>
      </c>
      <c r="AE528" s="150">
        <v>762803.83407999994</v>
      </c>
      <c r="AF528" s="169" t="s">
        <v>4680</v>
      </c>
      <c r="AG528" s="201">
        <v>760261.13</v>
      </c>
      <c r="AH528" s="199">
        <v>2542.7040799999377</v>
      </c>
      <c r="AI528" s="150">
        <v>762803.83407999994</v>
      </c>
      <c r="AJ528" s="169">
        <f t="shared" si="653"/>
        <v>0</v>
      </c>
      <c r="AK528" s="201">
        <v>760261.13</v>
      </c>
      <c r="AL528" s="199">
        <v>2542.7040799999377</v>
      </c>
      <c r="AM528" s="150">
        <f>AK528+AL528</f>
        <v>762803.83407999994</v>
      </c>
      <c r="AN528" s="153"/>
      <c r="AO528" s="154">
        <f t="shared" si="655"/>
        <v>-4.079999984242022E-3</v>
      </c>
      <c r="AP528" s="150">
        <v>762803.83407999994</v>
      </c>
      <c r="AQ528" s="201">
        <v>762803.83</v>
      </c>
      <c r="AR528" s="199"/>
      <c r="AS528" s="150">
        <f>AQ528+AR528</f>
        <v>762803.83</v>
      </c>
      <c r="AT528" s="155" t="s">
        <v>6020</v>
      </c>
      <c r="AU528" s="156">
        <f t="shared" si="649"/>
        <v>0</v>
      </c>
      <c r="AV528" s="156">
        <f t="shared" si="650"/>
        <v>0</v>
      </c>
      <c r="AW528" s="157" t="s">
        <v>6021</v>
      </c>
      <c r="AX528" s="150">
        <v>762803.83407999994</v>
      </c>
      <c r="AY528" s="150">
        <v>454505.12</v>
      </c>
      <c r="AZ528" s="150">
        <f>778371.6-AY528</f>
        <v>323866.48</v>
      </c>
      <c r="BA528" s="150">
        <f t="shared" si="648"/>
        <v>778371.6</v>
      </c>
      <c r="BB528" s="205">
        <v>5</v>
      </c>
      <c r="BC528" s="206" t="s">
        <v>632</v>
      </c>
      <c r="BD528" s="206" t="s">
        <v>632</v>
      </c>
      <c r="BE528" s="206" t="s">
        <v>647</v>
      </c>
      <c r="BF528" s="206" t="s">
        <v>714</v>
      </c>
      <c r="BG528" s="203" t="s">
        <v>6080</v>
      </c>
      <c r="BH528" s="216">
        <f>AS528</f>
        <v>762803.83</v>
      </c>
      <c r="BI528" s="205"/>
      <c r="BJ528" s="206" t="s">
        <v>6062</v>
      </c>
      <c r="BK528" s="206" t="s">
        <v>547</v>
      </c>
      <c r="BL528" s="207" t="s">
        <v>6063</v>
      </c>
      <c r="BM528" s="208">
        <f>BH528</f>
        <v>762803.83</v>
      </c>
      <c r="BN528" s="160"/>
      <c r="BO528" s="161">
        <f t="shared" si="657"/>
        <v>0</v>
      </c>
      <c r="BP528" s="161"/>
    </row>
    <row r="529" spans="1:68" ht="25.5">
      <c r="A529" s="256" t="s">
        <v>6081</v>
      </c>
      <c r="B529" s="184"/>
      <c r="C529" s="185" t="s">
        <v>6082</v>
      </c>
      <c r="D529" s="146" t="s">
        <v>4692</v>
      </c>
      <c r="E529" s="185" t="s">
        <v>6082</v>
      </c>
      <c r="F529" s="188">
        <v>493455.59</v>
      </c>
      <c r="G529" s="187">
        <v>251397.02</v>
      </c>
      <c r="H529" s="187">
        <v>281284.98</v>
      </c>
      <c r="I529" s="187">
        <v>532682</v>
      </c>
      <c r="J529" s="188">
        <f>SUM(J530)</f>
        <v>0</v>
      </c>
      <c r="K529" s="188">
        <f>SUM(K530)</f>
        <v>0</v>
      </c>
      <c r="L529" s="188">
        <f t="shared" si="656"/>
        <v>0</v>
      </c>
      <c r="M529" s="188">
        <v>149617.29</v>
      </c>
      <c r="N529" s="188">
        <v>-43887.637140000006</v>
      </c>
      <c r="O529" s="188">
        <v>105729.65286</v>
      </c>
      <c r="P529" s="299">
        <f t="shared" ref="P529:AS529" si="663">SUM(P530)</f>
        <v>391975.41</v>
      </c>
      <c r="Q529" s="299">
        <f t="shared" si="663"/>
        <v>0</v>
      </c>
      <c r="R529" s="299">
        <f t="shared" si="663"/>
        <v>391975.41</v>
      </c>
      <c r="S529" s="150">
        <f t="shared" si="651"/>
        <v>522633.88</v>
      </c>
      <c r="T529" s="213"/>
      <c r="U529" s="299">
        <f t="shared" ref="U529:W529" si="664">SUM(U530)</f>
        <v>562527.11</v>
      </c>
      <c r="V529" s="226">
        <f t="shared" si="664"/>
        <v>52542.617109999992</v>
      </c>
      <c r="W529" s="299">
        <f t="shared" si="664"/>
        <v>615069.72710999998</v>
      </c>
      <c r="X529" s="299">
        <v>562527.11</v>
      </c>
      <c r="Y529" s="299">
        <v>52542.617109999992</v>
      </c>
      <c r="Z529" s="299">
        <v>615069.72710999998</v>
      </c>
      <c r="AA529" s="299">
        <f t="shared" si="652"/>
        <v>0</v>
      </c>
      <c r="AB529" s="299">
        <v>617594.25</v>
      </c>
      <c r="AC529" s="226">
        <v>-2524.522890000022</v>
      </c>
      <c r="AD529" s="299">
        <f t="shared" si="663"/>
        <v>615069.72710999998</v>
      </c>
      <c r="AE529" s="299">
        <v>615069.72710999998</v>
      </c>
      <c r="AF529" s="169" t="s">
        <v>4680</v>
      </c>
      <c r="AG529" s="301">
        <v>617594.25</v>
      </c>
      <c r="AH529" s="226">
        <v>-2524.522890000022</v>
      </c>
      <c r="AI529" s="299">
        <v>615069.72710999998</v>
      </c>
      <c r="AJ529" s="169">
        <f t="shared" si="653"/>
        <v>0</v>
      </c>
      <c r="AK529" s="301">
        <v>617594.25</v>
      </c>
      <c r="AL529" s="226">
        <v>-2524.522890000022</v>
      </c>
      <c r="AM529" s="299">
        <f t="shared" si="663"/>
        <v>615069.72710999998</v>
      </c>
      <c r="AN529" s="153">
        <f t="shared" si="654"/>
        <v>2.8900000033900142E-3</v>
      </c>
      <c r="AO529" s="154">
        <f t="shared" si="655"/>
        <v>2.8900000033900142E-3</v>
      </c>
      <c r="AP529" s="299">
        <v>615069.72710999998</v>
      </c>
      <c r="AQ529" s="301">
        <v>615069.73</v>
      </c>
      <c r="AR529" s="226">
        <f t="shared" si="663"/>
        <v>0</v>
      </c>
      <c r="AS529" s="299">
        <f t="shared" si="663"/>
        <v>615069.73</v>
      </c>
      <c r="AT529" s="155"/>
      <c r="AU529" s="156">
        <f t="shared" si="649"/>
        <v>0</v>
      </c>
      <c r="AV529" s="156">
        <f t="shared" si="650"/>
        <v>0</v>
      </c>
      <c r="AW529" s="157"/>
      <c r="AX529" s="150">
        <v>615069.72710999998</v>
      </c>
      <c r="AY529" s="299">
        <f t="shared" ref="AY529:BA529" si="665">SUM(AY530)</f>
        <v>342673.86</v>
      </c>
      <c r="AZ529" s="299">
        <f t="shared" si="665"/>
        <v>241504.01922000002</v>
      </c>
      <c r="BA529" s="299">
        <f t="shared" si="665"/>
        <v>584177.87922</v>
      </c>
      <c r="BB529" s="192">
        <v>5</v>
      </c>
      <c r="BC529" s="256" t="s">
        <v>632</v>
      </c>
      <c r="BD529" s="256" t="s">
        <v>632</v>
      </c>
      <c r="BE529" s="256" t="s">
        <v>1253</v>
      </c>
      <c r="BF529" s="256" t="s">
        <v>630</v>
      </c>
      <c r="BG529" s="185" t="s">
        <v>6082</v>
      </c>
      <c r="BH529" s="302">
        <f>SUM(BH530)</f>
        <v>615069.73</v>
      </c>
      <c r="BI529" s="192"/>
      <c r="BJ529" s="256" t="s">
        <v>6083</v>
      </c>
      <c r="BK529" s="256" t="s">
        <v>6081</v>
      </c>
      <c r="BL529" s="238" t="s">
        <v>6084</v>
      </c>
      <c r="BM529" s="302">
        <f>SUM(BM530)</f>
        <v>615069.73</v>
      </c>
      <c r="BN529" s="160"/>
      <c r="BO529" s="161">
        <f t="shared" si="657"/>
        <v>0</v>
      </c>
      <c r="BP529" s="161"/>
    </row>
    <row r="530" spans="1:68" ht="25.5">
      <c r="A530" s="206" t="s">
        <v>6081</v>
      </c>
      <c r="B530" s="195" t="s">
        <v>6085</v>
      </c>
      <c r="C530" s="196" t="s">
        <v>6086</v>
      </c>
      <c r="D530" s="146" t="s">
        <v>4692</v>
      </c>
      <c r="E530" s="196" t="s">
        <v>6086</v>
      </c>
      <c r="F530" s="150">
        <v>493455.59</v>
      </c>
      <c r="G530" s="209">
        <v>0</v>
      </c>
      <c r="H530" s="209">
        <v>923878.8</v>
      </c>
      <c r="I530" s="209">
        <v>923878.8</v>
      </c>
      <c r="J530" s="150">
        <v>0</v>
      </c>
      <c r="K530" s="150">
        <v>0</v>
      </c>
      <c r="L530" s="150">
        <f t="shared" si="656"/>
        <v>0</v>
      </c>
      <c r="M530" s="150">
        <v>149617.29</v>
      </c>
      <c r="N530" s="150">
        <v>-43887.637140000006</v>
      </c>
      <c r="O530" s="150">
        <v>105729.65286</v>
      </c>
      <c r="P530" s="150">
        <v>391975.41</v>
      </c>
      <c r="Q530" s="150"/>
      <c r="R530" s="150">
        <f>P530+Q530</f>
        <v>391975.41</v>
      </c>
      <c r="S530" s="150">
        <f t="shared" si="651"/>
        <v>522633.88</v>
      </c>
      <c r="T530" s="150"/>
      <c r="U530" s="150">
        <v>562527.11</v>
      </c>
      <c r="V530" s="199">
        <v>52542.617109999992</v>
      </c>
      <c r="W530" s="150">
        <f>U530+V530</f>
        <v>615069.72710999998</v>
      </c>
      <c r="X530" s="150">
        <v>562527.11</v>
      </c>
      <c r="Y530" s="150">
        <v>52542.617109999992</v>
      </c>
      <c r="Z530" s="150">
        <v>615069.72710999998</v>
      </c>
      <c r="AA530" s="150">
        <f t="shared" si="652"/>
        <v>0</v>
      </c>
      <c r="AB530" s="150">
        <v>617594.25</v>
      </c>
      <c r="AC530" s="199">
        <v>-2524.522890000022</v>
      </c>
      <c r="AD530" s="150">
        <f>AB530+AC530</f>
        <v>615069.72710999998</v>
      </c>
      <c r="AE530" s="150">
        <v>615069.72710999998</v>
      </c>
      <c r="AF530" s="169" t="s">
        <v>4680</v>
      </c>
      <c r="AG530" s="201">
        <v>617594.25</v>
      </c>
      <c r="AH530" s="199">
        <v>-2524.522890000022</v>
      </c>
      <c r="AI530" s="150">
        <v>615069.72710999998</v>
      </c>
      <c r="AJ530" s="169">
        <f t="shared" si="653"/>
        <v>0</v>
      </c>
      <c r="AK530" s="201">
        <v>617594.25</v>
      </c>
      <c r="AL530" s="199">
        <v>-2524.522890000022</v>
      </c>
      <c r="AM530" s="150">
        <f>AK530+AL530</f>
        <v>615069.72710999998</v>
      </c>
      <c r="AN530" s="153">
        <f t="shared" si="654"/>
        <v>2.8900000033900142E-3</v>
      </c>
      <c r="AO530" s="154">
        <f t="shared" si="655"/>
        <v>2.8900000033900142E-3</v>
      </c>
      <c r="AP530" s="150">
        <v>615069.72710999998</v>
      </c>
      <c r="AQ530" s="201">
        <v>615069.73</v>
      </c>
      <c r="AR530" s="199"/>
      <c r="AS530" s="150">
        <f>AQ530+AR530</f>
        <v>615069.73</v>
      </c>
      <c r="AT530" s="155" t="s">
        <v>6020</v>
      </c>
      <c r="AU530" s="156">
        <f t="shared" si="649"/>
        <v>0</v>
      </c>
      <c r="AV530" s="156">
        <f t="shared" si="650"/>
        <v>0</v>
      </c>
      <c r="AW530" s="157" t="s">
        <v>6021</v>
      </c>
      <c r="AX530" s="150">
        <v>615069.72710999998</v>
      </c>
      <c r="AY530" s="150">
        <v>342673.86</v>
      </c>
      <c r="AZ530" s="150">
        <v>241504.01922000002</v>
      </c>
      <c r="BA530" s="150">
        <f t="shared" si="648"/>
        <v>584177.87922</v>
      </c>
      <c r="BB530" s="205">
        <v>5</v>
      </c>
      <c r="BC530" s="206" t="s">
        <v>632</v>
      </c>
      <c r="BD530" s="206" t="s">
        <v>632</v>
      </c>
      <c r="BE530" s="206" t="s">
        <v>1253</v>
      </c>
      <c r="BF530" s="206" t="s">
        <v>632</v>
      </c>
      <c r="BG530" s="203" t="s">
        <v>6086</v>
      </c>
      <c r="BH530" s="216">
        <f>AS530</f>
        <v>615069.73</v>
      </c>
      <c r="BI530" s="205"/>
      <c r="BJ530" s="206" t="s">
        <v>6083</v>
      </c>
      <c r="BK530" s="206" t="s">
        <v>6081</v>
      </c>
      <c r="BL530" s="207" t="s">
        <v>6084</v>
      </c>
      <c r="BM530" s="208">
        <f>BH530</f>
        <v>615069.73</v>
      </c>
      <c r="BN530" s="160"/>
      <c r="BO530" s="161">
        <f t="shared" si="657"/>
        <v>0</v>
      </c>
      <c r="BP530" s="161"/>
    </row>
    <row r="531" spans="1:68" ht="25.5">
      <c r="A531" s="256" t="s">
        <v>548</v>
      </c>
      <c r="B531" s="184"/>
      <c r="C531" s="185" t="s">
        <v>45</v>
      </c>
      <c r="D531" s="146" t="s">
        <v>4692</v>
      </c>
      <c r="E531" s="185" t="s">
        <v>45</v>
      </c>
      <c r="F531" s="188">
        <v>1088159</v>
      </c>
      <c r="G531" s="187">
        <v>0</v>
      </c>
      <c r="H531" s="187"/>
      <c r="I531" s="187">
        <v>0</v>
      </c>
      <c r="J531" s="188">
        <f>SUM(J532:J534)</f>
        <v>0</v>
      </c>
      <c r="K531" s="188">
        <f>SUM(K532:K534)</f>
        <v>0</v>
      </c>
      <c r="L531" s="188">
        <f t="shared" si="656"/>
        <v>0</v>
      </c>
      <c r="M531" s="188">
        <v>0</v>
      </c>
      <c r="N531" s="188">
        <v>544079.5</v>
      </c>
      <c r="O531" s="188">
        <v>544079.5</v>
      </c>
      <c r="P531" s="299">
        <f t="shared" ref="P531:AD531" si="666">SUM(P532:P534)</f>
        <v>0</v>
      </c>
      <c r="Q531" s="299">
        <f t="shared" si="666"/>
        <v>816119.25</v>
      </c>
      <c r="R531" s="299">
        <f t="shared" si="666"/>
        <v>816119.25</v>
      </c>
      <c r="S531" s="150">
        <f t="shared" si="651"/>
        <v>1088159</v>
      </c>
      <c r="T531" s="213"/>
      <c r="U531" s="299">
        <f t="shared" ref="U531:W531" si="667">SUM(U532:U534)</f>
        <v>0</v>
      </c>
      <c r="V531" s="226">
        <f t="shared" si="667"/>
        <v>1088159</v>
      </c>
      <c r="W531" s="299">
        <f t="shared" si="667"/>
        <v>1088159</v>
      </c>
      <c r="X531" s="299">
        <v>0</v>
      </c>
      <c r="Y531" s="299">
        <v>1088159</v>
      </c>
      <c r="Z531" s="299">
        <v>1088159</v>
      </c>
      <c r="AA531" s="299">
        <f t="shared" si="652"/>
        <v>0</v>
      </c>
      <c r="AB531" s="299">
        <v>0</v>
      </c>
      <c r="AC531" s="226">
        <v>1088159</v>
      </c>
      <c r="AD531" s="299">
        <f t="shared" si="666"/>
        <v>1088159</v>
      </c>
      <c r="AE531" s="299">
        <v>1088159</v>
      </c>
      <c r="AF531" s="169" t="s">
        <v>4680</v>
      </c>
      <c r="AG531" s="301">
        <v>0</v>
      </c>
      <c r="AH531" s="226">
        <v>1088159</v>
      </c>
      <c r="AI531" s="299">
        <v>1088159</v>
      </c>
      <c r="AJ531" s="169">
        <f t="shared" si="653"/>
        <v>0</v>
      </c>
      <c r="AK531" s="301">
        <v>0</v>
      </c>
      <c r="AL531" s="226">
        <v>1088159</v>
      </c>
      <c r="AM531" s="299">
        <f t="shared" ref="AM531" si="668">SUM(AM532:AM534)</f>
        <v>1088159</v>
      </c>
      <c r="AN531" s="153">
        <f t="shared" si="654"/>
        <v>-280948</v>
      </c>
      <c r="AO531" s="154">
        <f t="shared" si="655"/>
        <v>-280948</v>
      </c>
      <c r="AP531" s="299">
        <v>1088159</v>
      </c>
      <c r="AQ531" s="301">
        <v>807211</v>
      </c>
      <c r="AR531" s="226">
        <f t="shared" ref="AR531:AS531" si="669">SUM(AR532:AR534)</f>
        <v>0</v>
      </c>
      <c r="AS531" s="299">
        <f t="shared" si="669"/>
        <v>807211</v>
      </c>
      <c r="AT531" s="155"/>
      <c r="AU531" s="156">
        <f t="shared" si="649"/>
        <v>0</v>
      </c>
      <c r="AV531" s="156">
        <f t="shared" si="650"/>
        <v>0</v>
      </c>
      <c r="AW531" s="157"/>
      <c r="AX531" s="150">
        <v>1088159</v>
      </c>
      <c r="AY531" s="299">
        <f t="shared" ref="AY531:BA531" si="670">SUM(AY532:AY534)</f>
        <v>0</v>
      </c>
      <c r="AZ531" s="299">
        <f t="shared" si="670"/>
        <v>1088159</v>
      </c>
      <c r="BA531" s="299">
        <f t="shared" si="670"/>
        <v>1088159</v>
      </c>
      <c r="BB531" s="192">
        <v>5</v>
      </c>
      <c r="BC531" s="256" t="s">
        <v>632</v>
      </c>
      <c r="BD531" s="256" t="s">
        <v>632</v>
      </c>
      <c r="BE531" s="256" t="s">
        <v>671</v>
      </c>
      <c r="BF531" s="256" t="s">
        <v>630</v>
      </c>
      <c r="BG531" s="185" t="s">
        <v>45</v>
      </c>
      <c r="BH531" s="302">
        <f>SUM(BH532:BH534)</f>
        <v>807211</v>
      </c>
      <c r="BI531" s="192"/>
      <c r="BJ531" s="256" t="s">
        <v>6087</v>
      </c>
      <c r="BK531" s="256" t="s">
        <v>548</v>
      </c>
      <c r="BL531" s="238" t="s">
        <v>6088</v>
      </c>
      <c r="BM531" s="302">
        <f>SUM(BM532:BM534)</f>
        <v>807211</v>
      </c>
      <c r="BN531" s="160"/>
      <c r="BO531" s="161">
        <f t="shared" si="657"/>
        <v>0</v>
      </c>
      <c r="BP531" s="161"/>
    </row>
    <row r="532" spans="1:68" ht="51">
      <c r="A532" s="261" t="s">
        <v>6089</v>
      </c>
      <c r="B532" s="228" t="s">
        <v>6090</v>
      </c>
      <c r="C532" s="229" t="s">
        <v>6091</v>
      </c>
      <c r="D532" s="146" t="s">
        <v>4692</v>
      </c>
      <c r="E532" s="196" t="s">
        <v>6091</v>
      </c>
      <c r="F532" s="150">
        <v>0</v>
      </c>
      <c r="G532" s="209">
        <v>0</v>
      </c>
      <c r="H532" s="209"/>
      <c r="I532" s="209">
        <v>0</v>
      </c>
      <c r="J532" s="150">
        <v>0</v>
      </c>
      <c r="K532" s="150">
        <v>0</v>
      </c>
      <c r="L532" s="150">
        <f t="shared" si="656"/>
        <v>0</v>
      </c>
      <c r="M532" s="150">
        <v>0</v>
      </c>
      <c r="N532" s="150"/>
      <c r="O532" s="150">
        <v>0</v>
      </c>
      <c r="P532" s="150">
        <v>0</v>
      </c>
      <c r="Q532" s="150">
        <v>0</v>
      </c>
      <c r="R532" s="150">
        <f>P532+Q532</f>
        <v>0</v>
      </c>
      <c r="S532" s="150">
        <f t="shared" si="651"/>
        <v>0</v>
      </c>
      <c r="T532" s="150"/>
      <c r="U532" s="150">
        <v>0</v>
      </c>
      <c r="V532" s="199"/>
      <c r="W532" s="150">
        <f>U532+V532</f>
        <v>0</v>
      </c>
      <c r="X532" s="150">
        <v>0</v>
      </c>
      <c r="Y532" s="150"/>
      <c r="Z532" s="150">
        <v>0</v>
      </c>
      <c r="AA532" s="150">
        <f t="shared" si="652"/>
        <v>0</v>
      </c>
      <c r="AB532" s="150">
        <v>0</v>
      </c>
      <c r="AC532" s="199"/>
      <c r="AD532" s="150">
        <f>AB532+AC532</f>
        <v>0</v>
      </c>
      <c r="AE532" s="150">
        <v>0</v>
      </c>
      <c r="AF532" s="169" t="s">
        <v>4680</v>
      </c>
      <c r="AG532" s="201">
        <v>0</v>
      </c>
      <c r="AH532" s="199"/>
      <c r="AI532" s="150">
        <v>0</v>
      </c>
      <c r="AJ532" s="169">
        <f t="shared" si="653"/>
        <v>0</v>
      </c>
      <c r="AK532" s="201">
        <v>0</v>
      </c>
      <c r="AL532" s="199"/>
      <c r="AM532" s="150">
        <f>AK532+AL532</f>
        <v>0</v>
      </c>
      <c r="AN532" s="153">
        <f t="shared" si="654"/>
        <v>0</v>
      </c>
      <c r="AO532" s="154">
        <f t="shared" si="655"/>
        <v>0</v>
      </c>
      <c r="AP532" s="150">
        <v>0</v>
      </c>
      <c r="AQ532" s="201">
        <v>0</v>
      </c>
      <c r="AR532" s="199"/>
      <c r="AS532" s="150">
        <f>AQ532+AR532</f>
        <v>0</v>
      </c>
      <c r="AT532" s="155"/>
      <c r="AU532" s="156">
        <f t="shared" si="649"/>
        <v>0</v>
      </c>
      <c r="AV532" s="156">
        <f t="shared" si="650"/>
        <v>0</v>
      </c>
      <c r="AW532" s="157"/>
      <c r="AX532" s="150">
        <v>0</v>
      </c>
      <c r="AY532" s="150">
        <v>0</v>
      </c>
      <c r="AZ532" s="150"/>
      <c r="BA532" s="150">
        <f t="shared" si="648"/>
        <v>0</v>
      </c>
      <c r="BB532" s="202">
        <v>5</v>
      </c>
      <c r="BC532" s="202" t="s">
        <v>632</v>
      </c>
      <c r="BD532" s="202" t="s">
        <v>632</v>
      </c>
      <c r="BE532" s="194" t="s">
        <v>671</v>
      </c>
      <c r="BF532" s="194" t="s">
        <v>632</v>
      </c>
      <c r="BG532" s="203" t="s">
        <v>6091</v>
      </c>
      <c r="BH532" s="216">
        <f>AS532</f>
        <v>0</v>
      </c>
      <c r="BI532" s="205"/>
      <c r="BJ532" s="206" t="s">
        <v>6092</v>
      </c>
      <c r="BK532" s="206" t="s">
        <v>6089</v>
      </c>
      <c r="BL532" s="207" t="s">
        <v>6093</v>
      </c>
      <c r="BM532" s="208">
        <f>BH532</f>
        <v>0</v>
      </c>
      <c r="BN532" s="160"/>
      <c r="BO532" s="161">
        <f t="shared" si="657"/>
        <v>0</v>
      </c>
      <c r="BP532" s="161"/>
    </row>
    <row r="533" spans="1:68" ht="51">
      <c r="A533" s="206" t="s">
        <v>6094</v>
      </c>
      <c r="B533" s="195" t="s">
        <v>6095</v>
      </c>
      <c r="C533" s="196" t="s">
        <v>6096</v>
      </c>
      <c r="D533" s="146" t="s">
        <v>4692</v>
      </c>
      <c r="E533" s="196" t="s">
        <v>6096</v>
      </c>
      <c r="F533" s="150">
        <v>0</v>
      </c>
      <c r="G533" s="209">
        <v>0</v>
      </c>
      <c r="H533" s="209">
        <v>923878.8</v>
      </c>
      <c r="I533" s="209">
        <v>923878.8</v>
      </c>
      <c r="J533" s="150">
        <v>0</v>
      </c>
      <c r="K533" s="150">
        <v>0</v>
      </c>
      <c r="L533" s="150">
        <f t="shared" si="656"/>
        <v>0</v>
      </c>
      <c r="M533" s="150">
        <v>0</v>
      </c>
      <c r="N533" s="150"/>
      <c r="O533" s="150">
        <v>0</v>
      </c>
      <c r="P533" s="150">
        <v>0</v>
      </c>
      <c r="Q533" s="150">
        <v>0</v>
      </c>
      <c r="R533" s="150">
        <f>P533+Q533</f>
        <v>0</v>
      </c>
      <c r="S533" s="150">
        <f t="shared" si="651"/>
        <v>0</v>
      </c>
      <c r="T533" s="150"/>
      <c r="U533" s="150">
        <v>0</v>
      </c>
      <c r="V533" s="199"/>
      <c r="W533" s="150">
        <f>U533+V533</f>
        <v>0</v>
      </c>
      <c r="X533" s="150">
        <v>0</v>
      </c>
      <c r="Y533" s="150"/>
      <c r="Z533" s="150">
        <v>0</v>
      </c>
      <c r="AA533" s="150">
        <f t="shared" si="652"/>
        <v>0</v>
      </c>
      <c r="AB533" s="150">
        <v>0</v>
      </c>
      <c r="AC533" s="199"/>
      <c r="AD533" s="150">
        <f>AB533+AC533</f>
        <v>0</v>
      </c>
      <c r="AE533" s="150">
        <v>0</v>
      </c>
      <c r="AF533" s="169" t="s">
        <v>4680</v>
      </c>
      <c r="AG533" s="201">
        <v>0</v>
      </c>
      <c r="AH533" s="199"/>
      <c r="AI533" s="150">
        <v>0</v>
      </c>
      <c r="AJ533" s="169">
        <f t="shared" si="653"/>
        <v>0</v>
      </c>
      <c r="AK533" s="201">
        <v>0</v>
      </c>
      <c r="AL533" s="199"/>
      <c r="AM533" s="150">
        <f>AK533+AL533</f>
        <v>0</v>
      </c>
      <c r="AN533" s="153">
        <f t="shared" si="654"/>
        <v>0</v>
      </c>
      <c r="AO533" s="154">
        <f t="shared" si="655"/>
        <v>0</v>
      </c>
      <c r="AP533" s="150">
        <v>0</v>
      </c>
      <c r="AQ533" s="201">
        <v>0</v>
      </c>
      <c r="AR533" s="199"/>
      <c r="AS533" s="150">
        <f>AQ533+AR533</f>
        <v>0</v>
      </c>
      <c r="AT533" s="155"/>
      <c r="AU533" s="156">
        <f t="shared" si="649"/>
        <v>0</v>
      </c>
      <c r="AV533" s="156">
        <f t="shared" si="650"/>
        <v>0</v>
      </c>
      <c r="AW533" s="157"/>
      <c r="AX533" s="150">
        <v>0</v>
      </c>
      <c r="AY533" s="150">
        <v>0</v>
      </c>
      <c r="AZ533" s="150"/>
      <c r="BA533" s="150">
        <f t="shared" si="648"/>
        <v>0</v>
      </c>
      <c r="BB533" s="202">
        <v>5</v>
      </c>
      <c r="BC533" s="202" t="s">
        <v>632</v>
      </c>
      <c r="BD533" s="202" t="s">
        <v>632</v>
      </c>
      <c r="BE533" s="194" t="s">
        <v>671</v>
      </c>
      <c r="BF533" s="194" t="s">
        <v>647</v>
      </c>
      <c r="BG533" s="203" t="s">
        <v>6096</v>
      </c>
      <c r="BH533" s="216">
        <f>AS533</f>
        <v>0</v>
      </c>
      <c r="BI533" s="205"/>
      <c r="BJ533" s="206" t="s">
        <v>6097</v>
      </c>
      <c r="BK533" s="206" t="s">
        <v>6094</v>
      </c>
      <c r="BL533" s="207" t="s">
        <v>6098</v>
      </c>
      <c r="BM533" s="208">
        <f>BH533</f>
        <v>0</v>
      </c>
      <c r="BN533" s="160"/>
      <c r="BO533" s="161">
        <f t="shared" si="657"/>
        <v>0</v>
      </c>
      <c r="BP533" s="161"/>
    </row>
    <row r="534" spans="1:68" ht="38.25">
      <c r="A534" s="206" t="s">
        <v>6099</v>
      </c>
      <c r="B534" s="195" t="s">
        <v>6100</v>
      </c>
      <c r="C534" s="196" t="s">
        <v>6101</v>
      </c>
      <c r="D534" s="146" t="s">
        <v>4692</v>
      </c>
      <c r="E534" s="196" t="s">
        <v>6101</v>
      </c>
      <c r="F534" s="150">
        <v>1088159</v>
      </c>
      <c r="G534" s="209">
        <v>562623.17000000004</v>
      </c>
      <c r="H534" s="209">
        <v>22519</v>
      </c>
      <c r="I534" s="209">
        <v>585142.17000000004</v>
      </c>
      <c r="J534" s="150">
        <v>0</v>
      </c>
      <c r="K534" s="150">
        <v>0</v>
      </c>
      <c r="L534" s="150">
        <f t="shared" si="656"/>
        <v>0</v>
      </c>
      <c r="M534" s="150">
        <v>0</v>
      </c>
      <c r="N534" s="150">
        <v>544079.5</v>
      </c>
      <c r="O534" s="150">
        <v>544079.5</v>
      </c>
      <c r="P534" s="150">
        <v>0</v>
      </c>
      <c r="Q534" s="150">
        <v>816119.25</v>
      </c>
      <c r="R534" s="150">
        <f>P534+Q534</f>
        <v>816119.25</v>
      </c>
      <c r="S534" s="150">
        <f t="shared" si="651"/>
        <v>1088159</v>
      </c>
      <c r="T534" s="150"/>
      <c r="U534" s="150">
        <v>0</v>
      </c>
      <c r="V534" s="199">
        <v>1088159</v>
      </c>
      <c r="W534" s="150">
        <f>U534+V534</f>
        <v>1088159</v>
      </c>
      <c r="X534" s="150">
        <v>0</v>
      </c>
      <c r="Y534" s="150">
        <v>1088159</v>
      </c>
      <c r="Z534" s="150">
        <v>1088159</v>
      </c>
      <c r="AA534" s="150">
        <f t="shared" si="652"/>
        <v>0</v>
      </c>
      <c r="AB534" s="150">
        <v>0</v>
      </c>
      <c r="AC534" s="199">
        <v>1088159</v>
      </c>
      <c r="AD534" s="150">
        <f>AB534+AC534</f>
        <v>1088159</v>
      </c>
      <c r="AE534" s="150">
        <v>1088159</v>
      </c>
      <c r="AF534" s="169" t="s">
        <v>4680</v>
      </c>
      <c r="AG534" s="201">
        <v>0</v>
      </c>
      <c r="AH534" s="199">
        <v>1088159</v>
      </c>
      <c r="AI534" s="150">
        <v>1088159</v>
      </c>
      <c r="AJ534" s="169">
        <f t="shared" si="653"/>
        <v>0</v>
      </c>
      <c r="AK534" s="201">
        <v>0</v>
      </c>
      <c r="AL534" s="199">
        <v>1088159</v>
      </c>
      <c r="AM534" s="150">
        <f>AK534+AL534</f>
        <v>1088159</v>
      </c>
      <c r="AN534" s="153">
        <f t="shared" si="654"/>
        <v>-280948</v>
      </c>
      <c r="AO534" s="154">
        <f t="shared" si="655"/>
        <v>-280948</v>
      </c>
      <c r="AP534" s="150">
        <v>1088159</v>
      </c>
      <c r="AQ534" s="201">
        <v>807211</v>
      </c>
      <c r="AR534" s="199"/>
      <c r="AS534" s="150">
        <f>AQ534+AR534</f>
        <v>807211</v>
      </c>
      <c r="AT534" s="155" t="s">
        <v>5489</v>
      </c>
      <c r="AU534" s="156">
        <f t="shared" si="649"/>
        <v>0</v>
      </c>
      <c r="AV534" s="156">
        <f t="shared" si="650"/>
        <v>0</v>
      </c>
      <c r="AW534" s="157" t="s">
        <v>5489</v>
      </c>
      <c r="AX534" s="150">
        <v>1088159</v>
      </c>
      <c r="AY534" s="150">
        <v>0</v>
      </c>
      <c r="AZ534" s="303">
        <v>1088159</v>
      </c>
      <c r="BA534" s="150">
        <f t="shared" si="648"/>
        <v>1088159</v>
      </c>
      <c r="BB534" s="202">
        <v>5</v>
      </c>
      <c r="BC534" s="202" t="s">
        <v>632</v>
      </c>
      <c r="BD534" s="202" t="s">
        <v>632</v>
      </c>
      <c r="BE534" s="194" t="s">
        <v>671</v>
      </c>
      <c r="BF534" s="194" t="s">
        <v>671</v>
      </c>
      <c r="BG534" s="203" t="s">
        <v>6101</v>
      </c>
      <c r="BH534" s="216">
        <f>AS534</f>
        <v>807211</v>
      </c>
      <c r="BI534" s="205"/>
      <c r="BJ534" s="206" t="s">
        <v>6102</v>
      </c>
      <c r="BK534" s="206" t="s">
        <v>6099</v>
      </c>
      <c r="BL534" s="207" t="s">
        <v>6103</v>
      </c>
      <c r="BM534" s="208">
        <f>BH534</f>
        <v>807211</v>
      </c>
      <c r="BN534" s="160"/>
      <c r="BO534" s="161">
        <f t="shared" si="657"/>
        <v>0</v>
      </c>
      <c r="BP534" s="161"/>
    </row>
    <row r="535" spans="1:68" ht="25.5">
      <c r="A535" s="192" t="s">
        <v>549</v>
      </c>
      <c r="B535" s="184"/>
      <c r="C535" s="185" t="s">
        <v>124</v>
      </c>
      <c r="D535" s="146" t="s">
        <v>4692</v>
      </c>
      <c r="E535" s="185" t="s">
        <v>124</v>
      </c>
      <c r="F535" s="188">
        <v>460862.29</v>
      </c>
      <c r="G535" s="187">
        <v>0</v>
      </c>
      <c r="H535" s="187"/>
      <c r="I535" s="187">
        <v>0</v>
      </c>
      <c r="J535" s="188">
        <f>SUM(J536:J539)</f>
        <v>55573.919999999998</v>
      </c>
      <c r="K535" s="188">
        <f>SUM(K536:K539)</f>
        <v>0</v>
      </c>
      <c r="L535" s="188">
        <f t="shared" si="656"/>
        <v>55573.919999999998</v>
      </c>
      <c r="M535" s="188">
        <v>190615.74</v>
      </c>
      <c r="N535" s="188">
        <v>25093</v>
      </c>
      <c r="O535" s="188">
        <v>215708.74</v>
      </c>
      <c r="P535" s="299">
        <f t="shared" ref="P535:AD535" si="671">SUM(P536:P539)</f>
        <v>305581.15999999997</v>
      </c>
      <c r="Q535" s="299">
        <f t="shared" si="671"/>
        <v>25134</v>
      </c>
      <c r="R535" s="299">
        <f t="shared" si="671"/>
        <v>330715.15999999997</v>
      </c>
      <c r="S535" s="150">
        <f t="shared" si="651"/>
        <v>440953.54666666663</v>
      </c>
      <c r="T535" s="213"/>
      <c r="U535" s="299">
        <f t="shared" ref="U535:W535" si="672">SUM(U536:U539)</f>
        <v>516882.78</v>
      </c>
      <c r="V535" s="226">
        <f t="shared" si="672"/>
        <v>25134</v>
      </c>
      <c r="W535" s="299">
        <f t="shared" si="672"/>
        <v>542016.78</v>
      </c>
      <c r="X535" s="299">
        <v>516882.78</v>
      </c>
      <c r="Y535" s="299">
        <v>25134</v>
      </c>
      <c r="Z535" s="299">
        <v>542016.78</v>
      </c>
      <c r="AA535" s="299">
        <f t="shared" si="652"/>
        <v>8138</v>
      </c>
      <c r="AB535" s="299">
        <v>525020.78</v>
      </c>
      <c r="AC535" s="226">
        <v>25134</v>
      </c>
      <c r="AD535" s="299">
        <f t="shared" si="671"/>
        <v>550154.78</v>
      </c>
      <c r="AE535" s="299">
        <v>550154.78</v>
      </c>
      <c r="AF535" s="169" t="s">
        <v>4680</v>
      </c>
      <c r="AG535" s="301">
        <v>525020.78</v>
      </c>
      <c r="AH535" s="226">
        <v>25134</v>
      </c>
      <c r="AI535" s="299">
        <v>550154.78</v>
      </c>
      <c r="AJ535" s="169">
        <f t="shared" si="653"/>
        <v>0</v>
      </c>
      <c r="AK535" s="301">
        <v>525020.78</v>
      </c>
      <c r="AL535" s="226">
        <v>25134</v>
      </c>
      <c r="AM535" s="299">
        <f t="shared" ref="AM535" si="673">SUM(AM536:AM539)</f>
        <v>550154.78</v>
      </c>
      <c r="AN535" s="153">
        <f t="shared" si="654"/>
        <v>0</v>
      </c>
      <c r="AO535" s="154">
        <f t="shared" si="655"/>
        <v>0</v>
      </c>
      <c r="AP535" s="299">
        <v>550154.78</v>
      </c>
      <c r="AQ535" s="301">
        <v>550154.78</v>
      </c>
      <c r="AR535" s="226">
        <f t="shared" ref="AR535:AS535" si="674">SUM(AR536:AR539)</f>
        <v>0</v>
      </c>
      <c r="AS535" s="299">
        <f t="shared" si="674"/>
        <v>550154.78</v>
      </c>
      <c r="AT535" s="155"/>
      <c r="AU535" s="156">
        <f t="shared" si="649"/>
        <v>0</v>
      </c>
      <c r="AV535" s="156">
        <f t="shared" si="650"/>
        <v>8138</v>
      </c>
      <c r="AW535" s="157"/>
      <c r="AX535" s="150">
        <v>542016.78</v>
      </c>
      <c r="AY535" s="299">
        <f t="shared" ref="AY535:BA535" si="675">SUM(AY536:AY539)</f>
        <v>289545.08</v>
      </c>
      <c r="AZ535" s="299">
        <f t="shared" si="675"/>
        <v>149880.54</v>
      </c>
      <c r="BA535" s="299">
        <f t="shared" si="675"/>
        <v>439425.62</v>
      </c>
      <c r="BB535" s="192">
        <v>5</v>
      </c>
      <c r="BC535" s="256" t="s">
        <v>632</v>
      </c>
      <c r="BD535" s="256" t="s">
        <v>632</v>
      </c>
      <c r="BE535" s="256" t="s">
        <v>693</v>
      </c>
      <c r="BF535" s="256" t="s">
        <v>630</v>
      </c>
      <c r="BG535" s="185" t="s">
        <v>124</v>
      </c>
      <c r="BH535" s="302">
        <f>SUM(BH536:BH539)</f>
        <v>550154.78</v>
      </c>
      <c r="BI535" s="192"/>
      <c r="BJ535" s="256" t="s">
        <v>6104</v>
      </c>
      <c r="BK535" s="192" t="s">
        <v>549</v>
      </c>
      <c r="BL535" s="185" t="s">
        <v>6105</v>
      </c>
      <c r="BM535" s="302">
        <f>SUM(BM536:BM539)</f>
        <v>550154.78</v>
      </c>
      <c r="BN535" s="160"/>
      <c r="BO535" s="161">
        <f t="shared" si="657"/>
        <v>0</v>
      </c>
      <c r="BP535" s="161"/>
    </row>
    <row r="536" spans="1:68" ht="51">
      <c r="A536" s="261" t="s">
        <v>6106</v>
      </c>
      <c r="B536" s="228" t="s">
        <v>6107</v>
      </c>
      <c r="C536" s="229" t="s">
        <v>6108</v>
      </c>
      <c r="D536" s="146" t="s">
        <v>4692</v>
      </c>
      <c r="E536" s="196" t="s">
        <v>6108</v>
      </c>
      <c r="F536" s="150">
        <v>0</v>
      </c>
      <c r="G536" s="209">
        <v>0</v>
      </c>
      <c r="H536" s="209"/>
      <c r="I536" s="209">
        <v>0</v>
      </c>
      <c r="J536" s="150">
        <v>0</v>
      </c>
      <c r="K536" s="150">
        <v>0</v>
      </c>
      <c r="L536" s="150">
        <f t="shared" si="656"/>
        <v>0</v>
      </c>
      <c r="M536" s="150">
        <v>0</v>
      </c>
      <c r="N536" s="150"/>
      <c r="O536" s="150">
        <v>0</v>
      </c>
      <c r="P536" s="150">
        <v>0</v>
      </c>
      <c r="Q536" s="150">
        <v>0</v>
      </c>
      <c r="R536" s="150">
        <f>P536+Q536</f>
        <v>0</v>
      </c>
      <c r="S536" s="150">
        <f t="shared" si="651"/>
        <v>0</v>
      </c>
      <c r="T536" s="150"/>
      <c r="U536" s="150">
        <v>0</v>
      </c>
      <c r="V536" s="199"/>
      <c r="W536" s="150">
        <f>U536+V536</f>
        <v>0</v>
      </c>
      <c r="X536" s="150">
        <v>0</v>
      </c>
      <c r="Y536" s="150"/>
      <c r="Z536" s="150">
        <v>0</v>
      </c>
      <c r="AA536" s="150">
        <f t="shared" si="652"/>
        <v>0</v>
      </c>
      <c r="AB536" s="150">
        <v>0</v>
      </c>
      <c r="AC536" s="199"/>
      <c r="AD536" s="150">
        <f>AB536+AC536</f>
        <v>0</v>
      </c>
      <c r="AE536" s="150">
        <v>0</v>
      </c>
      <c r="AF536" s="169" t="s">
        <v>4680</v>
      </c>
      <c r="AG536" s="201">
        <v>0</v>
      </c>
      <c r="AH536" s="199"/>
      <c r="AI536" s="150">
        <v>0</v>
      </c>
      <c r="AJ536" s="169">
        <f t="shared" si="653"/>
        <v>0</v>
      </c>
      <c r="AK536" s="201">
        <v>0</v>
      </c>
      <c r="AL536" s="199"/>
      <c r="AM536" s="150">
        <f>AK536+AL536</f>
        <v>0</v>
      </c>
      <c r="AN536" s="153">
        <f t="shared" si="654"/>
        <v>0</v>
      </c>
      <c r="AO536" s="154">
        <f t="shared" si="655"/>
        <v>0</v>
      </c>
      <c r="AP536" s="150">
        <v>0</v>
      </c>
      <c r="AQ536" s="201">
        <v>0</v>
      </c>
      <c r="AR536" s="199"/>
      <c r="AS536" s="150">
        <f>AQ536+AR536</f>
        <v>0</v>
      </c>
      <c r="AT536" s="155"/>
      <c r="AU536" s="156">
        <f t="shared" si="649"/>
        <v>0</v>
      </c>
      <c r="AV536" s="156">
        <f t="shared" si="650"/>
        <v>0</v>
      </c>
      <c r="AW536" s="157"/>
      <c r="AX536" s="150">
        <v>0</v>
      </c>
      <c r="AY536" s="150">
        <v>0</v>
      </c>
      <c r="AZ536" s="150"/>
      <c r="BA536" s="150">
        <f t="shared" si="648"/>
        <v>0</v>
      </c>
      <c r="BB536" s="202">
        <v>5</v>
      </c>
      <c r="BC536" s="202" t="s">
        <v>632</v>
      </c>
      <c r="BD536" s="202" t="s">
        <v>632</v>
      </c>
      <c r="BE536" s="194" t="s">
        <v>693</v>
      </c>
      <c r="BF536" s="202" t="s">
        <v>632</v>
      </c>
      <c r="BG536" s="203" t="s">
        <v>6109</v>
      </c>
      <c r="BH536" s="216">
        <f>AS536</f>
        <v>0</v>
      </c>
      <c r="BI536" s="205"/>
      <c r="BJ536" s="206" t="s">
        <v>6110</v>
      </c>
      <c r="BK536" s="206" t="s">
        <v>6106</v>
      </c>
      <c r="BL536" s="207" t="s">
        <v>6111</v>
      </c>
      <c r="BM536" s="208">
        <f>BH536</f>
        <v>0</v>
      </c>
      <c r="BN536" s="160"/>
      <c r="BO536" s="161">
        <f t="shared" si="657"/>
        <v>0</v>
      </c>
      <c r="BP536" s="161"/>
    </row>
    <row r="537" spans="1:68" ht="51">
      <c r="A537" s="206" t="s">
        <v>6112</v>
      </c>
      <c r="B537" s="195" t="s">
        <v>6113</v>
      </c>
      <c r="C537" s="196" t="s">
        <v>6114</v>
      </c>
      <c r="D537" s="146" t="s">
        <v>4692</v>
      </c>
      <c r="E537" s="196" t="s">
        <v>6114</v>
      </c>
      <c r="F537" s="150">
        <v>0</v>
      </c>
      <c r="G537" s="209">
        <v>562623.17000000004</v>
      </c>
      <c r="H537" s="209">
        <v>22519</v>
      </c>
      <c r="I537" s="209">
        <v>585142.17000000004</v>
      </c>
      <c r="J537" s="150">
        <v>0</v>
      </c>
      <c r="K537" s="150">
        <v>0</v>
      </c>
      <c r="L537" s="150">
        <f t="shared" si="656"/>
        <v>0</v>
      </c>
      <c r="M537" s="150">
        <v>0</v>
      </c>
      <c r="N537" s="150"/>
      <c r="O537" s="150">
        <v>0</v>
      </c>
      <c r="P537" s="150">
        <v>0</v>
      </c>
      <c r="Q537" s="150">
        <v>0</v>
      </c>
      <c r="R537" s="150">
        <f>P537+Q537</f>
        <v>0</v>
      </c>
      <c r="S537" s="150">
        <f t="shared" si="651"/>
        <v>0</v>
      </c>
      <c r="T537" s="150"/>
      <c r="U537" s="150">
        <v>0</v>
      </c>
      <c r="V537" s="199"/>
      <c r="W537" s="150">
        <f>U537+V537</f>
        <v>0</v>
      </c>
      <c r="X537" s="150">
        <v>0</v>
      </c>
      <c r="Y537" s="150"/>
      <c r="Z537" s="150">
        <v>0</v>
      </c>
      <c r="AA537" s="150">
        <f t="shared" si="652"/>
        <v>0</v>
      </c>
      <c r="AB537" s="150">
        <v>0</v>
      </c>
      <c r="AC537" s="199"/>
      <c r="AD537" s="150">
        <f>AB537+AC537</f>
        <v>0</v>
      </c>
      <c r="AE537" s="150">
        <v>0</v>
      </c>
      <c r="AF537" s="169" t="s">
        <v>4680</v>
      </c>
      <c r="AG537" s="201">
        <v>0</v>
      </c>
      <c r="AH537" s="199"/>
      <c r="AI537" s="150">
        <v>0</v>
      </c>
      <c r="AJ537" s="169">
        <f t="shared" si="653"/>
        <v>0</v>
      </c>
      <c r="AK537" s="201">
        <v>0</v>
      </c>
      <c r="AL537" s="199"/>
      <c r="AM537" s="150">
        <f>AK537+AL537</f>
        <v>0</v>
      </c>
      <c r="AN537" s="153">
        <f t="shared" si="654"/>
        <v>0</v>
      </c>
      <c r="AO537" s="154">
        <f t="shared" si="655"/>
        <v>0</v>
      </c>
      <c r="AP537" s="150">
        <v>0</v>
      </c>
      <c r="AQ537" s="201">
        <v>0</v>
      </c>
      <c r="AR537" s="199"/>
      <c r="AS537" s="150">
        <f>AQ537+AR537</f>
        <v>0</v>
      </c>
      <c r="AT537" s="155"/>
      <c r="AU537" s="156">
        <f t="shared" si="649"/>
        <v>0</v>
      </c>
      <c r="AV537" s="156">
        <f t="shared" si="650"/>
        <v>0</v>
      </c>
      <c r="AW537" s="157"/>
      <c r="AX537" s="150">
        <v>0</v>
      </c>
      <c r="AY537" s="150">
        <v>0</v>
      </c>
      <c r="AZ537" s="150"/>
      <c r="BA537" s="150">
        <f t="shared" si="648"/>
        <v>0</v>
      </c>
      <c r="BB537" s="202">
        <v>5</v>
      </c>
      <c r="BC537" s="202" t="s">
        <v>632</v>
      </c>
      <c r="BD537" s="202" t="s">
        <v>632</v>
      </c>
      <c r="BE537" s="194" t="s">
        <v>693</v>
      </c>
      <c r="BF537" s="194" t="s">
        <v>647</v>
      </c>
      <c r="BG537" s="203" t="s">
        <v>6115</v>
      </c>
      <c r="BH537" s="216">
        <f>AS537</f>
        <v>0</v>
      </c>
      <c r="BI537" s="205"/>
      <c r="BJ537" s="206" t="s">
        <v>6116</v>
      </c>
      <c r="BK537" s="206" t="s">
        <v>6112</v>
      </c>
      <c r="BL537" s="207" t="s">
        <v>6117</v>
      </c>
      <c r="BM537" s="208">
        <f>BH537</f>
        <v>0</v>
      </c>
      <c r="BN537" s="160"/>
      <c r="BO537" s="161">
        <f t="shared" si="657"/>
        <v>0</v>
      </c>
      <c r="BP537" s="161"/>
    </row>
    <row r="538" spans="1:68" ht="25.5">
      <c r="A538" s="206" t="s">
        <v>6118</v>
      </c>
      <c r="B538" s="195" t="s">
        <v>6119</v>
      </c>
      <c r="C538" s="196" t="s">
        <v>6120</v>
      </c>
      <c r="D538" s="146" t="s">
        <v>4692</v>
      </c>
      <c r="E538" s="196" t="s">
        <v>6120</v>
      </c>
      <c r="F538" s="150">
        <v>460862.29</v>
      </c>
      <c r="G538" s="209">
        <v>0</v>
      </c>
      <c r="H538" s="209"/>
      <c r="I538" s="209">
        <v>0</v>
      </c>
      <c r="J538" s="150">
        <v>55573.919999999998</v>
      </c>
      <c r="K538" s="150">
        <v>0</v>
      </c>
      <c r="L538" s="150">
        <f t="shared" si="656"/>
        <v>55573.919999999998</v>
      </c>
      <c r="M538" s="150">
        <v>190615.74</v>
      </c>
      <c r="N538" s="150">
        <v>25093</v>
      </c>
      <c r="O538" s="150">
        <v>215708.74</v>
      </c>
      <c r="P538" s="150">
        <v>305581.15999999997</v>
      </c>
      <c r="Q538" s="150">
        <v>25134</v>
      </c>
      <c r="R538" s="150">
        <f>P538+Q538</f>
        <v>330715.15999999997</v>
      </c>
      <c r="S538" s="150">
        <f t="shared" si="651"/>
        <v>440953.54666666663</v>
      </c>
      <c r="T538" s="150"/>
      <c r="U538" s="150">
        <v>516882.78</v>
      </c>
      <c r="V538" s="199">
        <v>25134</v>
      </c>
      <c r="W538" s="150">
        <f>U538+V538</f>
        <v>542016.78</v>
      </c>
      <c r="X538" s="150">
        <v>516882.78</v>
      </c>
      <c r="Y538" s="150">
        <v>25134</v>
      </c>
      <c r="Z538" s="150">
        <v>542016.78</v>
      </c>
      <c r="AA538" s="150">
        <f t="shared" si="652"/>
        <v>8138</v>
      </c>
      <c r="AB538" s="150">
        <v>525020.78</v>
      </c>
      <c r="AC538" s="199">
        <v>25134</v>
      </c>
      <c r="AD538" s="150">
        <f>AB538+AC538</f>
        <v>550154.78</v>
      </c>
      <c r="AE538" s="150">
        <v>550154.78</v>
      </c>
      <c r="AF538" s="169" t="s">
        <v>4680</v>
      </c>
      <c r="AG538" s="201">
        <v>525020.78</v>
      </c>
      <c r="AH538" s="199">
        <v>25134</v>
      </c>
      <c r="AI538" s="150">
        <v>550154.78</v>
      </c>
      <c r="AJ538" s="169">
        <f t="shared" si="653"/>
        <v>0</v>
      </c>
      <c r="AK538" s="201">
        <v>525020.78</v>
      </c>
      <c r="AL538" s="199">
        <v>25134</v>
      </c>
      <c r="AM538" s="150">
        <f>AK538+AL538</f>
        <v>550154.78</v>
      </c>
      <c r="AN538" s="153">
        <f t="shared" si="654"/>
        <v>0</v>
      </c>
      <c r="AO538" s="154">
        <f t="shared" si="655"/>
        <v>0</v>
      </c>
      <c r="AP538" s="150">
        <v>550154.78</v>
      </c>
      <c r="AQ538" s="201">
        <v>550154.78</v>
      </c>
      <c r="AR538" s="199"/>
      <c r="AS538" s="150">
        <f>AQ538+AR538</f>
        <v>550154.78</v>
      </c>
      <c r="AT538" s="155" t="s">
        <v>6020</v>
      </c>
      <c r="AU538" s="156">
        <f t="shared" si="649"/>
        <v>0</v>
      </c>
      <c r="AV538" s="156">
        <f t="shared" si="650"/>
        <v>8138</v>
      </c>
      <c r="AW538" s="157" t="s">
        <v>6021</v>
      </c>
      <c r="AX538" s="150">
        <v>542016.78</v>
      </c>
      <c r="AY538" s="150">
        <v>289545.08</v>
      </c>
      <c r="AZ538" s="150">
        <v>149880.54</v>
      </c>
      <c r="BA538" s="150">
        <f t="shared" si="648"/>
        <v>439425.62</v>
      </c>
      <c r="BB538" s="202">
        <v>5</v>
      </c>
      <c r="BC538" s="202" t="s">
        <v>632</v>
      </c>
      <c r="BD538" s="202" t="s">
        <v>632</v>
      </c>
      <c r="BE538" s="194" t="s">
        <v>693</v>
      </c>
      <c r="BF538" s="202" t="s">
        <v>671</v>
      </c>
      <c r="BG538" s="231" t="s">
        <v>6121</v>
      </c>
      <c r="BH538" s="216">
        <f>AS538</f>
        <v>550154.78</v>
      </c>
      <c r="BI538" s="205"/>
      <c r="BJ538" s="206" t="s">
        <v>6122</v>
      </c>
      <c r="BK538" s="206" t="s">
        <v>6118</v>
      </c>
      <c r="BL538" s="207" t="s">
        <v>6123</v>
      </c>
      <c r="BM538" s="208">
        <f>BH538</f>
        <v>550154.78</v>
      </c>
      <c r="BN538" s="160"/>
      <c r="BO538" s="161">
        <f t="shared" si="657"/>
        <v>0</v>
      </c>
      <c r="BP538" s="161"/>
    </row>
    <row r="539" spans="1:68" ht="25.5">
      <c r="A539" s="210"/>
      <c r="B539" s="195" t="s">
        <v>6124</v>
      </c>
      <c r="C539" s="196" t="s">
        <v>6125</v>
      </c>
      <c r="D539" s="146" t="s">
        <v>4692</v>
      </c>
      <c r="E539" s="196" t="s">
        <v>6125</v>
      </c>
      <c r="F539" s="150">
        <v>0</v>
      </c>
      <c r="G539" s="209">
        <v>21952448.219999995</v>
      </c>
      <c r="H539" s="209">
        <v>238911.95190000001</v>
      </c>
      <c r="I539" s="209">
        <v>22191360.171899997</v>
      </c>
      <c r="J539" s="150">
        <v>0</v>
      </c>
      <c r="K539" s="150">
        <v>0</v>
      </c>
      <c r="L539" s="150">
        <f t="shared" si="656"/>
        <v>0</v>
      </c>
      <c r="M539" s="150">
        <v>0</v>
      </c>
      <c r="N539" s="150"/>
      <c r="O539" s="150">
        <v>0</v>
      </c>
      <c r="P539" s="150">
        <v>0</v>
      </c>
      <c r="Q539" s="150">
        <v>0</v>
      </c>
      <c r="R539" s="150">
        <f>P539+Q539</f>
        <v>0</v>
      </c>
      <c r="S539" s="150">
        <f t="shared" si="651"/>
        <v>0</v>
      </c>
      <c r="T539" s="150"/>
      <c r="U539" s="150">
        <v>0</v>
      </c>
      <c r="V539" s="199"/>
      <c r="W539" s="150">
        <f>U539+V539</f>
        <v>0</v>
      </c>
      <c r="X539" s="150">
        <v>0</v>
      </c>
      <c r="Y539" s="150"/>
      <c r="Z539" s="150">
        <v>0</v>
      </c>
      <c r="AA539" s="150">
        <f t="shared" si="652"/>
        <v>0</v>
      </c>
      <c r="AB539" s="150">
        <v>0</v>
      </c>
      <c r="AC539" s="199"/>
      <c r="AD539" s="150">
        <f>AB539+AC539</f>
        <v>0</v>
      </c>
      <c r="AE539" s="150">
        <v>0</v>
      </c>
      <c r="AF539" s="169" t="s">
        <v>4680</v>
      </c>
      <c r="AG539" s="201">
        <v>0</v>
      </c>
      <c r="AH539" s="199"/>
      <c r="AI539" s="150">
        <v>0</v>
      </c>
      <c r="AJ539" s="169">
        <f t="shared" si="653"/>
        <v>0</v>
      </c>
      <c r="AK539" s="201">
        <v>0</v>
      </c>
      <c r="AL539" s="199"/>
      <c r="AM539" s="150">
        <f>AK539+AL539</f>
        <v>0</v>
      </c>
      <c r="AN539" s="153">
        <f t="shared" si="654"/>
        <v>0</v>
      </c>
      <c r="AO539" s="154">
        <f t="shared" si="655"/>
        <v>0</v>
      </c>
      <c r="AP539" s="150">
        <v>0</v>
      </c>
      <c r="AQ539" s="201">
        <v>0</v>
      </c>
      <c r="AR539" s="199"/>
      <c r="AS539" s="150">
        <f>AQ539+AR539</f>
        <v>0</v>
      </c>
      <c r="AT539" s="155"/>
      <c r="AU539" s="156">
        <f t="shared" si="649"/>
        <v>0</v>
      </c>
      <c r="AV539" s="156">
        <f t="shared" si="650"/>
        <v>0</v>
      </c>
      <c r="AW539" s="157"/>
      <c r="AX539" s="150">
        <v>0</v>
      </c>
      <c r="AY539" s="150">
        <v>0</v>
      </c>
      <c r="AZ539" s="150"/>
      <c r="BA539" s="150">
        <f t="shared" si="648"/>
        <v>0</v>
      </c>
      <c r="BB539" s="210"/>
      <c r="BC539" s="210"/>
      <c r="BD539" s="210"/>
      <c r="BE539" s="210"/>
      <c r="BF539" s="210"/>
      <c r="BG539" s="210"/>
      <c r="BH539" s="217"/>
      <c r="BI539" s="210"/>
      <c r="BJ539" s="210"/>
      <c r="BK539" s="210"/>
      <c r="BL539" s="210"/>
      <c r="BM539" s="208"/>
      <c r="BN539" s="160"/>
      <c r="BO539" s="161">
        <f t="shared" si="657"/>
        <v>0</v>
      </c>
      <c r="BP539" s="161"/>
    </row>
    <row r="540" spans="1:68">
      <c r="A540" s="192" t="s">
        <v>550</v>
      </c>
      <c r="B540" s="184"/>
      <c r="C540" s="185" t="s">
        <v>137</v>
      </c>
      <c r="D540" s="146" t="s">
        <v>4692</v>
      </c>
      <c r="E540" s="185" t="s">
        <v>137</v>
      </c>
      <c r="F540" s="188">
        <v>22018110.479999993</v>
      </c>
      <c r="G540" s="187">
        <v>1679824.96</v>
      </c>
      <c r="H540" s="187">
        <v>11470.702199999942</v>
      </c>
      <c r="I540" s="187">
        <v>1691295.6621999999</v>
      </c>
      <c r="J540" s="188">
        <f>SUM(J541:J607)</f>
        <v>5304830.2899999991</v>
      </c>
      <c r="K540" s="188">
        <f>SUM(K541:K607)</f>
        <v>366328.52786999993</v>
      </c>
      <c r="L540" s="188">
        <f t="shared" si="656"/>
        <v>5671158.8178699994</v>
      </c>
      <c r="M540" s="188">
        <v>10716560.26</v>
      </c>
      <c r="N540" s="188">
        <v>692188.47938000015</v>
      </c>
      <c r="O540" s="188">
        <v>11408748.73938</v>
      </c>
      <c r="P540" s="299">
        <f t="shared" ref="P540:AD540" si="676">SUM(P541:P607)</f>
        <v>17174275.739999998</v>
      </c>
      <c r="Q540" s="299">
        <f t="shared" si="676"/>
        <v>682876.26842000021</v>
      </c>
      <c r="R540" s="299">
        <f t="shared" si="676"/>
        <v>17857152.008420002</v>
      </c>
      <c r="S540" s="150">
        <f t="shared" si="651"/>
        <v>23809536.011226669</v>
      </c>
      <c r="T540" s="213"/>
      <c r="U540" s="299">
        <f t="shared" ref="U540:W540" si="677">SUM(U541:U607)</f>
        <v>24920543.659999996</v>
      </c>
      <c r="V540" s="226">
        <f t="shared" si="677"/>
        <v>425332.84460000007</v>
      </c>
      <c r="W540" s="299">
        <f t="shared" si="677"/>
        <v>25345876.504600003</v>
      </c>
      <c r="X540" s="299">
        <v>24920543.659999996</v>
      </c>
      <c r="Y540" s="299">
        <v>425332.84460000007</v>
      </c>
      <c r="Z540" s="299">
        <v>25345876.504600003</v>
      </c>
      <c r="AA540" s="299">
        <f t="shared" si="652"/>
        <v>-106002.53820000589</v>
      </c>
      <c r="AB540" s="299">
        <v>24846859.039999999</v>
      </c>
      <c r="AC540" s="226">
        <v>393014.92639999982</v>
      </c>
      <c r="AD540" s="299">
        <f t="shared" si="676"/>
        <v>25239873.966399997</v>
      </c>
      <c r="AE540" s="299">
        <v>25239873.966399997</v>
      </c>
      <c r="AF540" s="169" t="s">
        <v>4680</v>
      </c>
      <c r="AG540" s="301">
        <v>24864679.579999998</v>
      </c>
      <c r="AH540" s="226">
        <v>375194.38639999978</v>
      </c>
      <c r="AI540" s="299">
        <v>25239873.966399997</v>
      </c>
      <c r="AJ540" s="169">
        <f t="shared" si="653"/>
        <v>0</v>
      </c>
      <c r="AK540" s="301">
        <v>24864679.579999998</v>
      </c>
      <c r="AL540" s="226">
        <v>375194.38639999978</v>
      </c>
      <c r="AM540" s="299">
        <f t="shared" ref="AM540" si="678">SUM(AM541:AM607)</f>
        <v>25239873.966399997</v>
      </c>
      <c r="AN540" s="153">
        <f t="shared" si="654"/>
        <v>3.600001335144043E-3</v>
      </c>
      <c r="AO540" s="154">
        <f t="shared" si="655"/>
        <v>3.600001335144043E-3</v>
      </c>
      <c r="AP540" s="299">
        <v>25239873.966399997</v>
      </c>
      <c r="AQ540" s="301">
        <v>25239873.969999999</v>
      </c>
      <c r="AR540" s="226">
        <f t="shared" ref="AR540:AS540" si="679">SUM(AR541:AR607)</f>
        <v>0</v>
      </c>
      <c r="AS540" s="299">
        <f t="shared" si="679"/>
        <v>25239873.969999999</v>
      </c>
      <c r="AT540" s="155"/>
      <c r="AU540" s="156">
        <f t="shared" si="649"/>
        <v>0</v>
      </c>
      <c r="AV540" s="156">
        <f t="shared" si="650"/>
        <v>-106002.53820000589</v>
      </c>
      <c r="AW540" s="157"/>
      <c r="AX540" s="150">
        <v>25345876.504600003</v>
      </c>
      <c r="AY540" s="299">
        <f t="shared" ref="AY540:BA540" si="680">SUM(AY541:AY607)</f>
        <v>15469449.029999999</v>
      </c>
      <c r="AZ540" s="299">
        <f t="shared" si="680"/>
        <v>9369652.7692949995</v>
      </c>
      <c r="BA540" s="299">
        <f t="shared" si="680"/>
        <v>24839101.799295001</v>
      </c>
      <c r="BB540" s="192">
        <v>5</v>
      </c>
      <c r="BC540" s="256" t="s">
        <v>632</v>
      </c>
      <c r="BD540" s="256" t="s">
        <v>632</v>
      </c>
      <c r="BE540" s="256" t="s">
        <v>714</v>
      </c>
      <c r="BF540" s="256" t="s">
        <v>630</v>
      </c>
      <c r="BG540" s="185" t="s">
        <v>137</v>
      </c>
      <c r="BH540" s="302">
        <f>SUM(BH541:BH607)</f>
        <v>25239873.969999995</v>
      </c>
      <c r="BI540" s="192"/>
      <c r="BJ540" s="256" t="s">
        <v>6126</v>
      </c>
      <c r="BK540" s="192" t="s">
        <v>550</v>
      </c>
      <c r="BL540" s="185" t="s">
        <v>6127</v>
      </c>
      <c r="BM540" s="302">
        <f>SUM(BM541:BM607)</f>
        <v>25239873.969999995</v>
      </c>
      <c r="BN540" s="160"/>
      <c r="BO540" s="161">
        <f t="shared" si="657"/>
        <v>0</v>
      </c>
      <c r="BP540" s="161"/>
    </row>
    <row r="541" spans="1:68" ht="25.5">
      <c r="A541" s="206" t="s">
        <v>550</v>
      </c>
      <c r="B541" s="195" t="s">
        <v>6128</v>
      </c>
      <c r="C541" s="196" t="s">
        <v>6129</v>
      </c>
      <c r="D541" s="146" t="s">
        <v>4692</v>
      </c>
      <c r="E541" s="196" t="s">
        <v>6129</v>
      </c>
      <c r="F541" s="150">
        <v>1679824.96</v>
      </c>
      <c r="G541" s="209">
        <v>2666932.98</v>
      </c>
      <c r="H541" s="209">
        <v>5601.938389999792</v>
      </c>
      <c r="I541" s="209">
        <v>2672534.9183899998</v>
      </c>
      <c r="J541" s="150">
        <v>326347.58</v>
      </c>
      <c r="K541" s="150">
        <v>84889.333400000003</v>
      </c>
      <c r="L541" s="150">
        <f t="shared" si="656"/>
        <v>411236.91340000002</v>
      </c>
      <c r="M541" s="150">
        <v>762897.46</v>
      </c>
      <c r="N541" s="150">
        <v>54178.479359999998</v>
      </c>
      <c r="O541" s="150">
        <v>817075.93935999996</v>
      </c>
      <c r="P541" s="150">
        <v>1219669.82</v>
      </c>
      <c r="Q541" s="150">
        <v>81267.72</v>
      </c>
      <c r="R541" s="150">
        <f t="shared" ref="R541:R604" si="681">P541+Q541</f>
        <v>1300937.54</v>
      </c>
      <c r="S541" s="150">
        <f t="shared" si="651"/>
        <v>1734583.3866666667</v>
      </c>
      <c r="T541" s="150"/>
      <c r="U541" s="150">
        <v>1640350.73</v>
      </c>
      <c r="V541" s="199">
        <v>23514.581800000044</v>
      </c>
      <c r="W541" s="150">
        <f t="shared" ref="W541:W604" si="682">U541+V541</f>
        <v>1663865.3118</v>
      </c>
      <c r="X541" s="150">
        <v>1640350.73</v>
      </c>
      <c r="Y541" s="150">
        <v>23514.581800000044</v>
      </c>
      <c r="Z541" s="150">
        <v>1663865.3118</v>
      </c>
      <c r="AA541" s="150">
        <f t="shared" si="652"/>
        <v>-1701.9000000001397</v>
      </c>
      <c r="AB541" s="150">
        <v>1644077.83</v>
      </c>
      <c r="AC541" s="199">
        <v>18085.581799999811</v>
      </c>
      <c r="AD541" s="150">
        <f t="shared" ref="AD541:AD604" si="683">AB541+AC541</f>
        <v>1662163.4117999999</v>
      </c>
      <c r="AE541" s="150">
        <v>1662163.4117999999</v>
      </c>
      <c r="AF541" s="169" t="s">
        <v>4680</v>
      </c>
      <c r="AG541" s="201">
        <v>1661279.83</v>
      </c>
      <c r="AH541" s="199">
        <v>883.58179999981076</v>
      </c>
      <c r="AI541" s="150">
        <v>1662163.4117999999</v>
      </c>
      <c r="AJ541" s="169">
        <f t="shared" si="653"/>
        <v>0</v>
      </c>
      <c r="AK541" s="201">
        <v>1661279.83</v>
      </c>
      <c r="AL541" s="199">
        <v>883.58179999981076</v>
      </c>
      <c r="AM541" s="150">
        <f t="shared" ref="AM541:AM604" si="684">AK541+AL541</f>
        <v>1662163.4117999999</v>
      </c>
      <c r="AN541" s="153"/>
      <c r="AO541" s="154">
        <f t="shared" si="655"/>
        <v>-1.7999999690800905E-3</v>
      </c>
      <c r="AP541" s="150">
        <v>1662163.4117999999</v>
      </c>
      <c r="AQ541" s="201">
        <v>1662163.41</v>
      </c>
      <c r="AR541" s="199"/>
      <c r="AS541" s="150">
        <f t="shared" ref="AS541:AS604" si="685">AQ541+AR541</f>
        <v>1662163.41</v>
      </c>
      <c r="AT541" s="155" t="s">
        <v>6020</v>
      </c>
      <c r="AU541" s="156">
        <f t="shared" si="649"/>
        <v>0</v>
      </c>
      <c r="AV541" s="156">
        <f t="shared" si="650"/>
        <v>-1701.9000000001397</v>
      </c>
      <c r="AW541" s="157" t="s">
        <v>6021</v>
      </c>
      <c r="AX541" s="150">
        <v>1663865.3118</v>
      </c>
      <c r="AY541" s="150">
        <v>1087297.6299999999</v>
      </c>
      <c r="AZ541" s="150">
        <f>1806351.2103-AY541</f>
        <v>719053.58030000003</v>
      </c>
      <c r="BA541" s="150">
        <f t="shared" si="648"/>
        <v>1806351.2102999999</v>
      </c>
      <c r="BB541" s="205">
        <v>5</v>
      </c>
      <c r="BC541" s="206" t="s">
        <v>632</v>
      </c>
      <c r="BD541" s="206" t="s">
        <v>632</v>
      </c>
      <c r="BE541" s="206" t="s">
        <v>714</v>
      </c>
      <c r="BF541" s="206" t="s">
        <v>632</v>
      </c>
      <c r="BG541" s="287" t="s">
        <v>6130</v>
      </c>
      <c r="BH541" s="216">
        <f>AS541</f>
        <v>1662163.41</v>
      </c>
      <c r="BI541" s="205"/>
      <c r="BJ541" s="206" t="s">
        <v>6126</v>
      </c>
      <c r="BK541" s="206" t="s">
        <v>550</v>
      </c>
      <c r="BL541" s="207" t="s">
        <v>6127</v>
      </c>
      <c r="BM541" s="208">
        <f>BH541</f>
        <v>1662163.41</v>
      </c>
      <c r="BN541" s="160"/>
      <c r="BO541" s="161">
        <f t="shared" si="657"/>
        <v>0</v>
      </c>
      <c r="BP541" s="161"/>
    </row>
    <row r="542" spans="1:68" ht="25.5">
      <c r="A542" s="206" t="s">
        <v>550</v>
      </c>
      <c r="B542" s="195" t="s">
        <v>6131</v>
      </c>
      <c r="C542" s="196" t="s">
        <v>6132</v>
      </c>
      <c r="D542" s="146" t="s">
        <v>4692</v>
      </c>
      <c r="E542" s="196" t="s">
        <v>6132</v>
      </c>
      <c r="F542" s="150">
        <v>2681235.17</v>
      </c>
      <c r="G542" s="209">
        <v>0</v>
      </c>
      <c r="H542" s="209"/>
      <c r="I542" s="209">
        <v>0</v>
      </c>
      <c r="J542" s="150">
        <v>739128.68</v>
      </c>
      <c r="K542" s="150">
        <v>66161.473679999937</v>
      </c>
      <c r="L542" s="150">
        <f t="shared" si="656"/>
        <v>805290.15367999999</v>
      </c>
      <c r="M542" s="150">
        <v>1315235.42</v>
      </c>
      <c r="N542" s="150">
        <v>335444.37239000015</v>
      </c>
      <c r="O542" s="150">
        <v>1650679.7923900001</v>
      </c>
      <c r="P542" s="150">
        <v>2213005.83</v>
      </c>
      <c r="Q542" s="150">
        <v>503166.56</v>
      </c>
      <c r="R542" s="150">
        <f t="shared" si="681"/>
        <v>2716172.39</v>
      </c>
      <c r="S542" s="150">
        <f t="shared" si="651"/>
        <v>3621563.1866666665</v>
      </c>
      <c r="T542" s="150"/>
      <c r="U542" s="150">
        <v>2884127.11</v>
      </c>
      <c r="V542" s="199">
        <v>1659.47</v>
      </c>
      <c r="W542" s="150">
        <f t="shared" si="682"/>
        <v>2885786.58</v>
      </c>
      <c r="X542" s="150">
        <v>2884127.11</v>
      </c>
      <c r="Y542" s="150">
        <v>1659.47</v>
      </c>
      <c r="Z542" s="150">
        <v>2885786.58</v>
      </c>
      <c r="AA542" s="150">
        <f t="shared" si="652"/>
        <v>-3234.4900000002235</v>
      </c>
      <c r="AB542" s="150">
        <v>2882552.09</v>
      </c>
      <c r="AC542" s="199"/>
      <c r="AD542" s="150">
        <f t="shared" si="683"/>
        <v>2882552.09</v>
      </c>
      <c r="AE542" s="150">
        <v>2882552.09</v>
      </c>
      <c r="AF542" s="169" t="s">
        <v>4680</v>
      </c>
      <c r="AG542" s="201">
        <v>2882552.09</v>
      </c>
      <c r="AH542" s="199"/>
      <c r="AI542" s="150">
        <v>2882552.09</v>
      </c>
      <c r="AJ542" s="169">
        <f t="shared" si="653"/>
        <v>0</v>
      </c>
      <c r="AK542" s="201">
        <v>2882552.09</v>
      </c>
      <c r="AL542" s="199"/>
      <c r="AM542" s="150">
        <f t="shared" si="684"/>
        <v>2882552.09</v>
      </c>
      <c r="AN542" s="153">
        <f t="shared" si="654"/>
        <v>0</v>
      </c>
      <c r="AO542" s="154">
        <f t="shared" si="655"/>
        <v>0</v>
      </c>
      <c r="AP542" s="150">
        <v>2882552.09</v>
      </c>
      <c r="AQ542" s="201">
        <v>2882552.09</v>
      </c>
      <c r="AR542" s="199"/>
      <c r="AS542" s="150">
        <f t="shared" si="685"/>
        <v>2882552.09</v>
      </c>
      <c r="AT542" s="155" t="s">
        <v>6020</v>
      </c>
      <c r="AU542" s="156">
        <f t="shared" si="649"/>
        <v>0</v>
      </c>
      <c r="AV542" s="156">
        <f t="shared" si="650"/>
        <v>-3234.4900000002235</v>
      </c>
      <c r="AW542" s="157" t="s">
        <v>6021</v>
      </c>
      <c r="AX542" s="150">
        <v>2885786.58</v>
      </c>
      <c r="AY542" s="150">
        <v>1943232.68</v>
      </c>
      <c r="AZ542" s="150">
        <f>3233325.89817-AY542</f>
        <v>1290093.21817</v>
      </c>
      <c r="BA542" s="150">
        <f t="shared" si="648"/>
        <v>3233325.8981699999</v>
      </c>
      <c r="BB542" s="205">
        <v>5</v>
      </c>
      <c r="BC542" s="206" t="s">
        <v>632</v>
      </c>
      <c r="BD542" s="206" t="s">
        <v>632</v>
      </c>
      <c r="BE542" s="206" t="s">
        <v>714</v>
      </c>
      <c r="BF542" s="206" t="s">
        <v>647</v>
      </c>
      <c r="BG542" s="287" t="s">
        <v>6133</v>
      </c>
      <c r="BH542" s="283">
        <f>SUM(AS542:AS547)</f>
        <v>2882552.09</v>
      </c>
      <c r="BI542" s="205"/>
      <c r="BJ542" s="206" t="s">
        <v>6126</v>
      </c>
      <c r="BK542" s="206" t="s">
        <v>550</v>
      </c>
      <c r="BL542" s="207" t="s">
        <v>6127</v>
      </c>
      <c r="BM542" s="208">
        <f>BH542</f>
        <v>2882552.09</v>
      </c>
      <c r="BN542" s="160"/>
      <c r="BO542" s="161">
        <f t="shared" si="657"/>
        <v>0</v>
      </c>
      <c r="BP542" s="161"/>
    </row>
    <row r="543" spans="1:68" ht="38.25">
      <c r="A543" s="210"/>
      <c r="B543" s="195" t="s">
        <v>6134</v>
      </c>
      <c r="C543" s="196" t="s">
        <v>6135</v>
      </c>
      <c r="D543" s="146" t="s">
        <v>4692</v>
      </c>
      <c r="E543" s="196" t="s">
        <v>6135</v>
      </c>
      <c r="F543" s="150">
        <v>0</v>
      </c>
      <c r="G543" s="209">
        <v>0</v>
      </c>
      <c r="H543" s="209"/>
      <c r="I543" s="209">
        <v>0</v>
      </c>
      <c r="J543" s="150">
        <v>0</v>
      </c>
      <c r="K543" s="150">
        <v>0</v>
      </c>
      <c r="L543" s="150">
        <f t="shared" si="656"/>
        <v>0</v>
      </c>
      <c r="M543" s="150">
        <v>0</v>
      </c>
      <c r="N543" s="150"/>
      <c r="O543" s="150">
        <v>0</v>
      </c>
      <c r="P543" s="150">
        <v>0</v>
      </c>
      <c r="Q543" s="150">
        <v>0</v>
      </c>
      <c r="R543" s="150">
        <f t="shared" si="681"/>
        <v>0</v>
      </c>
      <c r="S543" s="150">
        <f t="shared" si="651"/>
        <v>0</v>
      </c>
      <c r="T543" s="150"/>
      <c r="U543" s="150">
        <v>0</v>
      </c>
      <c r="V543" s="199"/>
      <c r="W543" s="150">
        <f t="shared" si="682"/>
        <v>0</v>
      </c>
      <c r="X543" s="150">
        <v>0</v>
      </c>
      <c r="Y543" s="150"/>
      <c r="Z543" s="150">
        <v>0</v>
      </c>
      <c r="AA543" s="150">
        <f t="shared" si="652"/>
        <v>0</v>
      </c>
      <c r="AB543" s="150">
        <v>0</v>
      </c>
      <c r="AC543" s="199"/>
      <c r="AD543" s="150">
        <f t="shared" si="683"/>
        <v>0</v>
      </c>
      <c r="AE543" s="150">
        <v>0</v>
      </c>
      <c r="AF543" s="169" t="s">
        <v>4680</v>
      </c>
      <c r="AG543" s="201">
        <v>0</v>
      </c>
      <c r="AH543" s="199"/>
      <c r="AI543" s="150">
        <v>0</v>
      </c>
      <c r="AJ543" s="169">
        <f t="shared" si="653"/>
        <v>0</v>
      </c>
      <c r="AK543" s="201">
        <v>0</v>
      </c>
      <c r="AL543" s="199"/>
      <c r="AM543" s="150">
        <f t="shared" si="684"/>
        <v>0</v>
      </c>
      <c r="AN543" s="153">
        <f t="shared" si="654"/>
        <v>0</v>
      </c>
      <c r="AO543" s="154">
        <f t="shared" si="655"/>
        <v>0</v>
      </c>
      <c r="AP543" s="150">
        <v>0</v>
      </c>
      <c r="AQ543" s="201">
        <v>0</v>
      </c>
      <c r="AR543" s="199"/>
      <c r="AS543" s="150">
        <f t="shared" si="685"/>
        <v>0</v>
      </c>
      <c r="AT543" s="155"/>
      <c r="AU543" s="156">
        <f t="shared" si="649"/>
        <v>0</v>
      </c>
      <c r="AV543" s="156">
        <f t="shared" si="650"/>
        <v>0</v>
      </c>
      <c r="AW543" s="157"/>
      <c r="AX543" s="150">
        <v>0</v>
      </c>
      <c r="AY543" s="150">
        <v>0</v>
      </c>
      <c r="AZ543" s="150"/>
      <c r="BA543" s="150">
        <f t="shared" si="648"/>
        <v>0</v>
      </c>
      <c r="BB543" s="210"/>
      <c r="BC543" s="210"/>
      <c r="BD543" s="210"/>
      <c r="BE543" s="210"/>
      <c r="BF543" s="210"/>
      <c r="BG543" s="210"/>
      <c r="BH543" s="217"/>
      <c r="BI543" s="210"/>
      <c r="BJ543" s="210"/>
      <c r="BK543" s="210"/>
      <c r="BL543" s="210"/>
      <c r="BM543" s="208"/>
      <c r="BN543" s="160"/>
      <c r="BO543" s="161">
        <f t="shared" si="657"/>
        <v>0</v>
      </c>
      <c r="BP543" s="161"/>
    </row>
    <row r="544" spans="1:68" ht="38.25">
      <c r="A544" s="210"/>
      <c r="B544" s="195" t="s">
        <v>6136</v>
      </c>
      <c r="C544" s="196" t="s">
        <v>6137</v>
      </c>
      <c r="D544" s="146" t="s">
        <v>4692</v>
      </c>
      <c r="E544" s="196" t="s">
        <v>6137</v>
      </c>
      <c r="F544" s="150">
        <v>0</v>
      </c>
      <c r="G544" s="209">
        <v>0</v>
      </c>
      <c r="H544" s="209"/>
      <c r="I544" s="209">
        <v>0</v>
      </c>
      <c r="J544" s="150">
        <v>0</v>
      </c>
      <c r="K544" s="150">
        <v>0</v>
      </c>
      <c r="L544" s="150">
        <f t="shared" si="656"/>
        <v>0</v>
      </c>
      <c r="M544" s="150">
        <v>0</v>
      </c>
      <c r="N544" s="150"/>
      <c r="O544" s="150">
        <v>0</v>
      </c>
      <c r="P544" s="150">
        <v>0</v>
      </c>
      <c r="Q544" s="150">
        <v>0</v>
      </c>
      <c r="R544" s="150">
        <f t="shared" si="681"/>
        <v>0</v>
      </c>
      <c r="S544" s="150">
        <f t="shared" si="651"/>
        <v>0</v>
      </c>
      <c r="T544" s="150"/>
      <c r="U544" s="150">
        <v>0</v>
      </c>
      <c r="V544" s="199"/>
      <c r="W544" s="150">
        <f t="shared" si="682"/>
        <v>0</v>
      </c>
      <c r="X544" s="150">
        <v>0</v>
      </c>
      <c r="Y544" s="150"/>
      <c r="Z544" s="150">
        <v>0</v>
      </c>
      <c r="AA544" s="150">
        <f t="shared" si="652"/>
        <v>0</v>
      </c>
      <c r="AB544" s="150">
        <v>0</v>
      </c>
      <c r="AC544" s="199"/>
      <c r="AD544" s="150">
        <f t="shared" si="683"/>
        <v>0</v>
      </c>
      <c r="AE544" s="150">
        <v>0</v>
      </c>
      <c r="AF544" s="169" t="s">
        <v>4680</v>
      </c>
      <c r="AG544" s="201">
        <v>0</v>
      </c>
      <c r="AH544" s="199"/>
      <c r="AI544" s="150">
        <v>0</v>
      </c>
      <c r="AJ544" s="169">
        <f t="shared" si="653"/>
        <v>0</v>
      </c>
      <c r="AK544" s="201">
        <v>0</v>
      </c>
      <c r="AL544" s="199"/>
      <c r="AM544" s="150">
        <f t="shared" si="684"/>
        <v>0</v>
      </c>
      <c r="AN544" s="153">
        <f t="shared" si="654"/>
        <v>0</v>
      </c>
      <c r="AO544" s="154">
        <f t="shared" si="655"/>
        <v>0</v>
      </c>
      <c r="AP544" s="150">
        <v>0</v>
      </c>
      <c r="AQ544" s="201">
        <v>0</v>
      </c>
      <c r="AR544" s="199"/>
      <c r="AS544" s="150">
        <f t="shared" si="685"/>
        <v>0</v>
      </c>
      <c r="AT544" s="155"/>
      <c r="AU544" s="156">
        <f t="shared" si="649"/>
        <v>0</v>
      </c>
      <c r="AV544" s="156">
        <f t="shared" si="650"/>
        <v>0</v>
      </c>
      <c r="AW544" s="157"/>
      <c r="AX544" s="150">
        <v>0</v>
      </c>
      <c r="AY544" s="150">
        <v>0</v>
      </c>
      <c r="AZ544" s="150"/>
      <c r="BA544" s="150">
        <f t="shared" si="648"/>
        <v>0</v>
      </c>
      <c r="BB544" s="210"/>
      <c r="BC544" s="210"/>
      <c r="BD544" s="210"/>
      <c r="BE544" s="210"/>
      <c r="BF544" s="210"/>
      <c r="BG544" s="210"/>
      <c r="BH544" s="217"/>
      <c r="BI544" s="210"/>
      <c r="BJ544" s="210"/>
      <c r="BK544" s="210"/>
      <c r="BL544" s="210"/>
      <c r="BM544" s="208"/>
      <c r="BN544" s="160"/>
      <c r="BO544" s="161">
        <f t="shared" si="657"/>
        <v>0</v>
      </c>
      <c r="BP544" s="161"/>
    </row>
    <row r="545" spans="1:68" ht="38.25">
      <c r="A545" s="210"/>
      <c r="B545" s="195" t="s">
        <v>6138</v>
      </c>
      <c r="C545" s="196" t="s">
        <v>6139</v>
      </c>
      <c r="D545" s="146" t="s">
        <v>4692</v>
      </c>
      <c r="E545" s="196" t="s">
        <v>6139</v>
      </c>
      <c r="F545" s="150">
        <v>0</v>
      </c>
      <c r="G545" s="209">
        <v>0</v>
      </c>
      <c r="H545" s="209"/>
      <c r="I545" s="209">
        <v>0</v>
      </c>
      <c r="J545" s="150">
        <v>0</v>
      </c>
      <c r="K545" s="150">
        <v>0</v>
      </c>
      <c r="L545" s="150">
        <f t="shared" si="656"/>
        <v>0</v>
      </c>
      <c r="M545" s="150">
        <v>0</v>
      </c>
      <c r="N545" s="150"/>
      <c r="O545" s="150">
        <v>0</v>
      </c>
      <c r="P545" s="150">
        <v>0</v>
      </c>
      <c r="Q545" s="150">
        <v>0</v>
      </c>
      <c r="R545" s="150">
        <f t="shared" si="681"/>
        <v>0</v>
      </c>
      <c r="S545" s="150">
        <f t="shared" si="651"/>
        <v>0</v>
      </c>
      <c r="T545" s="150"/>
      <c r="U545" s="150">
        <v>0</v>
      </c>
      <c r="V545" s="199"/>
      <c r="W545" s="150">
        <f t="shared" si="682"/>
        <v>0</v>
      </c>
      <c r="X545" s="150">
        <v>0</v>
      </c>
      <c r="Y545" s="150"/>
      <c r="Z545" s="150">
        <v>0</v>
      </c>
      <c r="AA545" s="150">
        <f t="shared" si="652"/>
        <v>0</v>
      </c>
      <c r="AB545" s="150">
        <v>0</v>
      </c>
      <c r="AC545" s="199"/>
      <c r="AD545" s="150">
        <f t="shared" si="683"/>
        <v>0</v>
      </c>
      <c r="AE545" s="150">
        <v>0</v>
      </c>
      <c r="AF545" s="169" t="s">
        <v>4680</v>
      </c>
      <c r="AG545" s="201">
        <v>0</v>
      </c>
      <c r="AH545" s="199"/>
      <c r="AI545" s="150">
        <v>0</v>
      </c>
      <c r="AJ545" s="169">
        <f t="shared" si="653"/>
        <v>0</v>
      </c>
      <c r="AK545" s="201">
        <v>0</v>
      </c>
      <c r="AL545" s="199"/>
      <c r="AM545" s="150">
        <f t="shared" si="684"/>
        <v>0</v>
      </c>
      <c r="AN545" s="153">
        <f t="shared" si="654"/>
        <v>0</v>
      </c>
      <c r="AO545" s="154">
        <f t="shared" si="655"/>
        <v>0</v>
      </c>
      <c r="AP545" s="150">
        <v>0</v>
      </c>
      <c r="AQ545" s="201">
        <v>0</v>
      </c>
      <c r="AR545" s="199"/>
      <c r="AS545" s="150">
        <f t="shared" si="685"/>
        <v>0</v>
      </c>
      <c r="AT545" s="155"/>
      <c r="AU545" s="156">
        <f t="shared" si="649"/>
        <v>0</v>
      </c>
      <c r="AV545" s="156">
        <f t="shared" si="650"/>
        <v>0</v>
      </c>
      <c r="AW545" s="157"/>
      <c r="AX545" s="150">
        <v>0</v>
      </c>
      <c r="AY545" s="150">
        <v>0</v>
      </c>
      <c r="AZ545" s="150"/>
      <c r="BA545" s="150">
        <f t="shared" si="648"/>
        <v>0</v>
      </c>
      <c r="BB545" s="210"/>
      <c r="BC545" s="210"/>
      <c r="BD545" s="210"/>
      <c r="BE545" s="210"/>
      <c r="BF545" s="210"/>
      <c r="BG545" s="210"/>
      <c r="BH545" s="217"/>
      <c r="BI545" s="210"/>
      <c r="BJ545" s="210"/>
      <c r="BK545" s="210"/>
      <c r="BL545" s="210"/>
      <c r="BM545" s="208"/>
      <c r="BN545" s="160"/>
      <c r="BO545" s="161">
        <f t="shared" si="657"/>
        <v>0</v>
      </c>
      <c r="BP545" s="161"/>
    </row>
    <row r="546" spans="1:68" ht="38.25">
      <c r="A546" s="210"/>
      <c r="B546" s="195" t="s">
        <v>6140</v>
      </c>
      <c r="C546" s="196" t="s">
        <v>6141</v>
      </c>
      <c r="D546" s="146" t="s">
        <v>4692</v>
      </c>
      <c r="E546" s="196" t="s">
        <v>6141</v>
      </c>
      <c r="F546" s="150">
        <v>0</v>
      </c>
      <c r="G546" s="209">
        <v>0</v>
      </c>
      <c r="H546" s="209"/>
      <c r="I546" s="209">
        <v>0</v>
      </c>
      <c r="J546" s="150">
        <v>0</v>
      </c>
      <c r="K546" s="150">
        <v>0</v>
      </c>
      <c r="L546" s="150">
        <f t="shared" si="656"/>
        <v>0</v>
      </c>
      <c r="M546" s="150">
        <v>0</v>
      </c>
      <c r="N546" s="150"/>
      <c r="O546" s="150">
        <v>0</v>
      </c>
      <c r="P546" s="150">
        <v>0</v>
      </c>
      <c r="Q546" s="150">
        <v>0</v>
      </c>
      <c r="R546" s="150">
        <f t="shared" si="681"/>
        <v>0</v>
      </c>
      <c r="S546" s="150">
        <f t="shared" si="651"/>
        <v>0</v>
      </c>
      <c r="T546" s="150"/>
      <c r="U546" s="150">
        <v>0</v>
      </c>
      <c r="V546" s="199"/>
      <c r="W546" s="150">
        <f t="shared" si="682"/>
        <v>0</v>
      </c>
      <c r="X546" s="150">
        <v>0</v>
      </c>
      <c r="Y546" s="150"/>
      <c r="Z546" s="150">
        <v>0</v>
      </c>
      <c r="AA546" s="150">
        <f t="shared" si="652"/>
        <v>0</v>
      </c>
      <c r="AB546" s="150">
        <v>0</v>
      </c>
      <c r="AC546" s="199"/>
      <c r="AD546" s="150">
        <f t="shared" si="683"/>
        <v>0</v>
      </c>
      <c r="AE546" s="150">
        <v>0</v>
      </c>
      <c r="AF546" s="169" t="s">
        <v>4680</v>
      </c>
      <c r="AG546" s="201">
        <v>0</v>
      </c>
      <c r="AH546" s="199"/>
      <c r="AI546" s="150">
        <v>0</v>
      </c>
      <c r="AJ546" s="169">
        <f t="shared" si="653"/>
        <v>0</v>
      </c>
      <c r="AK546" s="201">
        <v>0</v>
      </c>
      <c r="AL546" s="199"/>
      <c r="AM546" s="150">
        <f t="shared" si="684"/>
        <v>0</v>
      </c>
      <c r="AN546" s="153">
        <f t="shared" si="654"/>
        <v>0</v>
      </c>
      <c r="AO546" s="154">
        <f t="shared" si="655"/>
        <v>0</v>
      </c>
      <c r="AP546" s="150">
        <v>0</v>
      </c>
      <c r="AQ546" s="201">
        <v>0</v>
      </c>
      <c r="AR546" s="199"/>
      <c r="AS546" s="150">
        <f t="shared" si="685"/>
        <v>0</v>
      </c>
      <c r="AT546" s="155"/>
      <c r="AU546" s="156">
        <f t="shared" si="649"/>
        <v>0</v>
      </c>
      <c r="AV546" s="156">
        <f t="shared" si="650"/>
        <v>0</v>
      </c>
      <c r="AW546" s="157"/>
      <c r="AX546" s="150">
        <v>0</v>
      </c>
      <c r="AY546" s="150">
        <v>0</v>
      </c>
      <c r="AZ546" s="150"/>
      <c r="BA546" s="150">
        <f t="shared" si="648"/>
        <v>0</v>
      </c>
      <c r="BB546" s="210"/>
      <c r="BC546" s="210"/>
      <c r="BD546" s="210"/>
      <c r="BE546" s="210"/>
      <c r="BF546" s="210"/>
      <c r="BG546" s="210"/>
      <c r="BH546" s="217"/>
      <c r="BI546" s="210"/>
      <c r="BJ546" s="210"/>
      <c r="BK546" s="210"/>
      <c r="BL546" s="210"/>
      <c r="BM546" s="208"/>
      <c r="BN546" s="160"/>
      <c r="BO546" s="161">
        <f t="shared" si="657"/>
        <v>0</v>
      </c>
      <c r="BP546" s="161"/>
    </row>
    <row r="547" spans="1:68" ht="38.25">
      <c r="A547" s="210"/>
      <c r="B547" s="195" t="s">
        <v>6142</v>
      </c>
      <c r="C547" s="196" t="s">
        <v>6143</v>
      </c>
      <c r="D547" s="146" t="s">
        <v>4692</v>
      </c>
      <c r="E547" s="196" t="s">
        <v>6143</v>
      </c>
      <c r="F547" s="150">
        <v>0</v>
      </c>
      <c r="G547" s="209">
        <v>2157259.84</v>
      </c>
      <c r="H547" s="209">
        <v>16283.061960000079</v>
      </c>
      <c r="I547" s="209">
        <v>2173542.9019599999</v>
      </c>
      <c r="J547" s="150">
        <v>0</v>
      </c>
      <c r="K547" s="150">
        <v>0</v>
      </c>
      <c r="L547" s="150">
        <f t="shared" si="656"/>
        <v>0</v>
      </c>
      <c r="M547" s="150">
        <v>0</v>
      </c>
      <c r="N547" s="150"/>
      <c r="O547" s="150">
        <v>0</v>
      </c>
      <c r="P547" s="150">
        <v>0</v>
      </c>
      <c r="Q547" s="150">
        <v>0</v>
      </c>
      <c r="R547" s="150">
        <f t="shared" si="681"/>
        <v>0</v>
      </c>
      <c r="S547" s="150">
        <f t="shared" si="651"/>
        <v>0</v>
      </c>
      <c r="T547" s="150"/>
      <c r="U547" s="150">
        <v>0</v>
      </c>
      <c r="V547" s="199"/>
      <c r="W547" s="150">
        <f t="shared" si="682"/>
        <v>0</v>
      </c>
      <c r="X547" s="150">
        <v>0</v>
      </c>
      <c r="Y547" s="150"/>
      <c r="Z547" s="150">
        <v>0</v>
      </c>
      <c r="AA547" s="150">
        <f t="shared" si="652"/>
        <v>0</v>
      </c>
      <c r="AB547" s="150">
        <v>0</v>
      </c>
      <c r="AC547" s="199"/>
      <c r="AD547" s="150">
        <f t="shared" si="683"/>
        <v>0</v>
      </c>
      <c r="AE547" s="150">
        <v>0</v>
      </c>
      <c r="AF547" s="169" t="s">
        <v>4680</v>
      </c>
      <c r="AG547" s="201">
        <v>0</v>
      </c>
      <c r="AH547" s="199"/>
      <c r="AI547" s="150">
        <v>0</v>
      </c>
      <c r="AJ547" s="169">
        <f t="shared" si="653"/>
        <v>0</v>
      </c>
      <c r="AK547" s="201">
        <v>0</v>
      </c>
      <c r="AL547" s="199"/>
      <c r="AM547" s="150">
        <f t="shared" si="684"/>
        <v>0</v>
      </c>
      <c r="AN547" s="153">
        <f t="shared" si="654"/>
        <v>0</v>
      </c>
      <c r="AO547" s="154">
        <f t="shared" si="655"/>
        <v>0</v>
      </c>
      <c r="AP547" s="150">
        <v>0</v>
      </c>
      <c r="AQ547" s="201">
        <v>0</v>
      </c>
      <c r="AR547" s="199"/>
      <c r="AS547" s="150">
        <f t="shared" si="685"/>
        <v>0</v>
      </c>
      <c r="AT547" s="155"/>
      <c r="AU547" s="156">
        <f t="shared" si="649"/>
        <v>0</v>
      </c>
      <c r="AV547" s="156">
        <f t="shared" si="650"/>
        <v>0</v>
      </c>
      <c r="AW547" s="157"/>
      <c r="AX547" s="150">
        <v>0</v>
      </c>
      <c r="AY547" s="150">
        <v>0</v>
      </c>
      <c r="AZ547" s="150"/>
      <c r="BA547" s="150">
        <f t="shared" si="648"/>
        <v>0</v>
      </c>
      <c r="BB547" s="210"/>
      <c r="BC547" s="210"/>
      <c r="BD547" s="210"/>
      <c r="BE547" s="210"/>
      <c r="BF547" s="210"/>
      <c r="BG547" s="210"/>
      <c r="BH547" s="217"/>
      <c r="BI547" s="210"/>
      <c r="BJ547" s="210"/>
      <c r="BK547" s="210"/>
      <c r="BL547" s="210"/>
      <c r="BM547" s="208"/>
      <c r="BN547" s="160"/>
      <c r="BO547" s="161">
        <f t="shared" si="657"/>
        <v>0</v>
      </c>
      <c r="BP547" s="161"/>
    </row>
    <row r="548" spans="1:68" ht="38.25">
      <c r="A548" s="206" t="s">
        <v>550</v>
      </c>
      <c r="B548" s="195" t="s">
        <v>6144</v>
      </c>
      <c r="C548" s="196" t="s">
        <v>6145</v>
      </c>
      <c r="D548" s="146" t="s">
        <v>4692</v>
      </c>
      <c r="E548" s="196" t="s">
        <v>6145</v>
      </c>
      <c r="F548" s="150">
        <v>2158403.84</v>
      </c>
      <c r="G548" s="209">
        <v>1265625.0900000001</v>
      </c>
      <c r="H548" s="209">
        <v>14416.246399999829</v>
      </c>
      <c r="I548" s="209">
        <v>1280041.3363999999</v>
      </c>
      <c r="J548" s="150">
        <v>419047.47</v>
      </c>
      <c r="K548" s="150">
        <v>83844.641780000005</v>
      </c>
      <c r="L548" s="150">
        <f t="shared" si="656"/>
        <v>502892.11177999998</v>
      </c>
      <c r="M548" s="150">
        <v>945174.42</v>
      </c>
      <c r="N548" s="150">
        <v>86951.605699999956</v>
      </c>
      <c r="O548" s="150">
        <v>1032126.0257</v>
      </c>
      <c r="P548" s="150">
        <v>1495421.71</v>
      </c>
      <c r="Q548" s="150">
        <v>15287.361220000079</v>
      </c>
      <c r="R548" s="150">
        <f t="shared" si="681"/>
        <v>1510709.07122</v>
      </c>
      <c r="S548" s="150">
        <f t="shared" si="651"/>
        <v>2014278.7616266669</v>
      </c>
      <c r="T548" s="150"/>
      <c r="U548" s="150">
        <v>2027587.63</v>
      </c>
      <c r="V548" s="199">
        <v>22011.95754000009</v>
      </c>
      <c r="W548" s="150">
        <f t="shared" si="682"/>
        <v>2049599.58754</v>
      </c>
      <c r="X548" s="150">
        <v>2027587.63</v>
      </c>
      <c r="Y548" s="150">
        <v>22011.95754000009</v>
      </c>
      <c r="Z548" s="150">
        <v>2049599.58754</v>
      </c>
      <c r="AA548" s="150">
        <f t="shared" si="652"/>
        <v>-1281</v>
      </c>
      <c r="AB548" s="150">
        <v>2027587.63</v>
      </c>
      <c r="AC548" s="199">
        <v>20730.95754000009</v>
      </c>
      <c r="AD548" s="150">
        <f t="shared" si="683"/>
        <v>2048318.58754</v>
      </c>
      <c r="AE548" s="150">
        <v>2048318.58754</v>
      </c>
      <c r="AF548" s="169" t="s">
        <v>4680</v>
      </c>
      <c r="AG548" s="201">
        <v>2027587.63</v>
      </c>
      <c r="AH548" s="199">
        <v>20730.95754000009</v>
      </c>
      <c r="AI548" s="150">
        <v>2048318.58754</v>
      </c>
      <c r="AJ548" s="169">
        <f t="shared" si="653"/>
        <v>0</v>
      </c>
      <c r="AK548" s="201">
        <v>2027587.63</v>
      </c>
      <c r="AL548" s="199">
        <v>20730.95754000009</v>
      </c>
      <c r="AM548" s="150">
        <f t="shared" si="684"/>
        <v>2048318.58754</v>
      </c>
      <c r="AN548" s="153"/>
      <c r="AO548" s="154">
        <f t="shared" si="655"/>
        <v>2.460000105202198E-3</v>
      </c>
      <c r="AP548" s="150">
        <v>2048318.58754</v>
      </c>
      <c r="AQ548" s="201">
        <v>2048318.59</v>
      </c>
      <c r="AR548" s="199"/>
      <c r="AS548" s="150">
        <f t="shared" si="685"/>
        <v>2048318.59</v>
      </c>
      <c r="AT548" s="155" t="s">
        <v>6020</v>
      </c>
      <c r="AU548" s="156">
        <f t="shared" si="649"/>
        <v>0</v>
      </c>
      <c r="AV548" s="156">
        <f t="shared" si="650"/>
        <v>-1281</v>
      </c>
      <c r="AW548" s="157" t="s">
        <v>6021</v>
      </c>
      <c r="AX548" s="150">
        <v>2049599.58754</v>
      </c>
      <c r="AY548" s="150">
        <v>1327443.06</v>
      </c>
      <c r="AZ548" s="150">
        <f>2238982.93185-AY548</f>
        <v>911539.87184999976</v>
      </c>
      <c r="BA548" s="150">
        <f t="shared" si="648"/>
        <v>2238982.9318499998</v>
      </c>
      <c r="BB548" s="205">
        <v>5</v>
      </c>
      <c r="BC548" s="206" t="s">
        <v>632</v>
      </c>
      <c r="BD548" s="206" t="s">
        <v>632</v>
      </c>
      <c r="BE548" s="206" t="s">
        <v>714</v>
      </c>
      <c r="BF548" s="206" t="s">
        <v>671</v>
      </c>
      <c r="BG548" s="287" t="s">
        <v>6146</v>
      </c>
      <c r="BH548" s="283">
        <f>SUM(AS548:AS554)</f>
        <v>3352745.6</v>
      </c>
      <c r="BI548" s="205"/>
      <c r="BJ548" s="206" t="s">
        <v>6126</v>
      </c>
      <c r="BK548" s="206" t="s">
        <v>550</v>
      </c>
      <c r="BL548" s="207" t="s">
        <v>6127</v>
      </c>
      <c r="BM548" s="208">
        <f>BH548</f>
        <v>3352745.6</v>
      </c>
      <c r="BN548" s="160"/>
      <c r="BO548" s="161"/>
      <c r="BP548" s="161"/>
    </row>
    <row r="549" spans="1:68" ht="51">
      <c r="A549" s="210"/>
      <c r="B549" s="195" t="s">
        <v>6147</v>
      </c>
      <c r="C549" s="196" t="s">
        <v>6148</v>
      </c>
      <c r="D549" s="146" t="s">
        <v>4692</v>
      </c>
      <c r="E549" s="196" t="s">
        <v>6148</v>
      </c>
      <c r="F549" s="150">
        <v>1272424.8799999999</v>
      </c>
      <c r="G549" s="209">
        <v>0</v>
      </c>
      <c r="H549" s="209"/>
      <c r="I549" s="209">
        <v>0</v>
      </c>
      <c r="J549" s="150">
        <v>300713.95</v>
      </c>
      <c r="K549" s="150">
        <v>0</v>
      </c>
      <c r="L549" s="150">
        <f t="shared" si="656"/>
        <v>300713.95</v>
      </c>
      <c r="M549" s="150">
        <v>559015.62</v>
      </c>
      <c r="N549" s="150"/>
      <c r="O549" s="150">
        <v>559015.62</v>
      </c>
      <c r="P549" s="150">
        <v>916176.88</v>
      </c>
      <c r="Q549" s="150"/>
      <c r="R549" s="150">
        <f t="shared" si="681"/>
        <v>916176.88</v>
      </c>
      <c r="S549" s="150">
        <f t="shared" si="651"/>
        <v>1221569.1733333333</v>
      </c>
      <c r="T549" s="150"/>
      <c r="U549" s="150">
        <v>1301862.3400000001</v>
      </c>
      <c r="V549" s="199">
        <v>2564.6717099999078</v>
      </c>
      <c r="W549" s="150">
        <f t="shared" si="682"/>
        <v>1304427.01171</v>
      </c>
      <c r="X549" s="150">
        <v>1301862.3400000001</v>
      </c>
      <c r="Y549" s="150">
        <v>2564.6717099999078</v>
      </c>
      <c r="Z549" s="150">
        <v>1304427.01171</v>
      </c>
      <c r="AA549" s="150">
        <f t="shared" si="652"/>
        <v>0</v>
      </c>
      <c r="AB549" s="150">
        <v>1301862.3400000001</v>
      </c>
      <c r="AC549" s="199">
        <v>2564.6717099999078</v>
      </c>
      <c r="AD549" s="150">
        <f t="shared" si="683"/>
        <v>1304427.01171</v>
      </c>
      <c r="AE549" s="150">
        <v>1304427.01171</v>
      </c>
      <c r="AF549" s="169" t="s">
        <v>4680</v>
      </c>
      <c r="AG549" s="201">
        <v>1301862.3400000001</v>
      </c>
      <c r="AH549" s="199">
        <v>2564.6717099999078</v>
      </c>
      <c r="AI549" s="150">
        <v>1304427.01171</v>
      </c>
      <c r="AJ549" s="169">
        <f t="shared" si="653"/>
        <v>0</v>
      </c>
      <c r="AK549" s="201">
        <v>1301862.3400000001</v>
      </c>
      <c r="AL549" s="199">
        <v>2564.6717099999078</v>
      </c>
      <c r="AM549" s="150">
        <f t="shared" si="684"/>
        <v>1304427.01171</v>
      </c>
      <c r="AN549" s="153"/>
      <c r="AO549" s="154">
        <f t="shared" si="655"/>
        <v>-1.7099999822676182E-3</v>
      </c>
      <c r="AP549" s="150">
        <v>1304427.01171</v>
      </c>
      <c r="AQ549" s="201">
        <v>1304427.01</v>
      </c>
      <c r="AR549" s="199"/>
      <c r="AS549" s="150">
        <f t="shared" si="685"/>
        <v>1304427.01</v>
      </c>
      <c r="AT549" s="155" t="s">
        <v>6020</v>
      </c>
      <c r="AU549" s="156">
        <f t="shared" si="649"/>
        <v>0</v>
      </c>
      <c r="AV549" s="156">
        <f t="shared" si="650"/>
        <v>0</v>
      </c>
      <c r="AW549" s="157" t="s">
        <v>6021</v>
      </c>
      <c r="AX549" s="150">
        <v>1304427.01171</v>
      </c>
      <c r="AY549" s="150">
        <v>855090.64</v>
      </c>
      <c r="AZ549" s="150">
        <f>1290493.686-AY549</f>
        <v>435403.04599999997</v>
      </c>
      <c r="BA549" s="150">
        <f t="shared" si="648"/>
        <v>1290493.686</v>
      </c>
      <c r="BB549" s="210"/>
      <c r="BC549" s="210"/>
      <c r="BD549" s="210"/>
      <c r="BE549" s="210"/>
      <c r="BF549" s="210"/>
      <c r="BG549" s="210"/>
      <c r="BH549" s="217"/>
      <c r="BI549" s="210"/>
      <c r="BJ549" s="210"/>
      <c r="BK549" s="210"/>
      <c r="BL549" s="210"/>
      <c r="BM549" s="208"/>
      <c r="BN549" s="160"/>
      <c r="BO549" s="161"/>
      <c r="BP549" s="161"/>
    </row>
    <row r="550" spans="1:68" ht="38.25">
      <c r="A550" s="210"/>
      <c r="B550" s="195" t="s">
        <v>6149</v>
      </c>
      <c r="C550" s="196" t="s">
        <v>6150</v>
      </c>
      <c r="D550" s="146" t="s">
        <v>4692</v>
      </c>
      <c r="E550" s="196" t="s">
        <v>6150</v>
      </c>
      <c r="F550" s="150">
        <v>0</v>
      </c>
      <c r="G550" s="209">
        <v>0</v>
      </c>
      <c r="H550" s="209"/>
      <c r="I550" s="209">
        <v>0</v>
      </c>
      <c r="J550" s="150">
        <v>0</v>
      </c>
      <c r="K550" s="150">
        <v>0</v>
      </c>
      <c r="L550" s="150">
        <f t="shared" si="656"/>
        <v>0</v>
      </c>
      <c r="M550" s="150">
        <v>0</v>
      </c>
      <c r="N550" s="150"/>
      <c r="O550" s="150">
        <v>0</v>
      </c>
      <c r="P550" s="150">
        <v>0</v>
      </c>
      <c r="Q550" s="150">
        <v>0</v>
      </c>
      <c r="R550" s="150">
        <f t="shared" si="681"/>
        <v>0</v>
      </c>
      <c r="S550" s="150">
        <f t="shared" si="651"/>
        <v>0</v>
      </c>
      <c r="T550" s="150"/>
      <c r="U550" s="150">
        <v>0</v>
      </c>
      <c r="V550" s="199"/>
      <c r="W550" s="150">
        <f t="shared" si="682"/>
        <v>0</v>
      </c>
      <c r="X550" s="150">
        <v>0</v>
      </c>
      <c r="Y550" s="150"/>
      <c r="Z550" s="150">
        <v>0</v>
      </c>
      <c r="AA550" s="150">
        <f t="shared" si="652"/>
        <v>0</v>
      </c>
      <c r="AB550" s="150">
        <v>0</v>
      </c>
      <c r="AC550" s="199"/>
      <c r="AD550" s="150">
        <f t="shared" si="683"/>
        <v>0</v>
      </c>
      <c r="AE550" s="150">
        <v>0</v>
      </c>
      <c r="AF550" s="169" t="s">
        <v>4680</v>
      </c>
      <c r="AG550" s="201">
        <v>0</v>
      </c>
      <c r="AH550" s="199"/>
      <c r="AI550" s="150">
        <v>0</v>
      </c>
      <c r="AJ550" s="169">
        <f t="shared" si="653"/>
        <v>0</v>
      </c>
      <c r="AK550" s="201">
        <v>0</v>
      </c>
      <c r="AL550" s="199"/>
      <c r="AM550" s="150">
        <f t="shared" si="684"/>
        <v>0</v>
      </c>
      <c r="AN550" s="153">
        <f t="shared" si="654"/>
        <v>0</v>
      </c>
      <c r="AO550" s="154">
        <f t="shared" si="655"/>
        <v>0</v>
      </c>
      <c r="AP550" s="150">
        <v>0</v>
      </c>
      <c r="AQ550" s="201">
        <v>0</v>
      </c>
      <c r="AR550" s="199"/>
      <c r="AS550" s="150">
        <f t="shared" si="685"/>
        <v>0</v>
      </c>
      <c r="AT550" s="155"/>
      <c r="AU550" s="156">
        <f t="shared" si="649"/>
        <v>0</v>
      </c>
      <c r="AV550" s="156">
        <f t="shared" si="650"/>
        <v>0</v>
      </c>
      <c r="AW550" s="157"/>
      <c r="AX550" s="150">
        <v>0</v>
      </c>
      <c r="AY550" s="150">
        <v>0</v>
      </c>
      <c r="AZ550" s="150"/>
      <c r="BA550" s="150">
        <f t="shared" si="648"/>
        <v>0</v>
      </c>
      <c r="BB550" s="210"/>
      <c r="BC550" s="210"/>
      <c r="BD550" s="210"/>
      <c r="BE550" s="210"/>
      <c r="BF550" s="210"/>
      <c r="BG550" s="210"/>
      <c r="BH550" s="217"/>
      <c r="BI550" s="210"/>
      <c r="BJ550" s="210"/>
      <c r="BK550" s="210"/>
      <c r="BL550" s="210"/>
      <c r="BM550" s="208"/>
      <c r="BN550" s="160"/>
      <c r="BO550" s="161"/>
      <c r="BP550" s="161"/>
    </row>
    <row r="551" spans="1:68" ht="38.25">
      <c r="A551" s="210"/>
      <c r="B551" s="195" t="s">
        <v>6151</v>
      </c>
      <c r="C551" s="196" t="s">
        <v>6152</v>
      </c>
      <c r="D551" s="146" t="s">
        <v>4692</v>
      </c>
      <c r="E551" s="196" t="s">
        <v>6152</v>
      </c>
      <c r="F551" s="150">
        <v>0</v>
      </c>
      <c r="G551" s="209">
        <v>0</v>
      </c>
      <c r="H551" s="209"/>
      <c r="I551" s="209">
        <v>0</v>
      </c>
      <c r="J551" s="150">
        <v>0</v>
      </c>
      <c r="K551" s="150">
        <v>0</v>
      </c>
      <c r="L551" s="150">
        <f t="shared" si="656"/>
        <v>0</v>
      </c>
      <c r="M551" s="150">
        <v>0</v>
      </c>
      <c r="N551" s="150"/>
      <c r="O551" s="150">
        <v>0</v>
      </c>
      <c r="P551" s="150">
        <v>0</v>
      </c>
      <c r="Q551" s="150">
        <v>0</v>
      </c>
      <c r="R551" s="150">
        <f t="shared" si="681"/>
        <v>0</v>
      </c>
      <c r="S551" s="150">
        <f t="shared" si="651"/>
        <v>0</v>
      </c>
      <c r="T551" s="150"/>
      <c r="U551" s="150">
        <v>0</v>
      </c>
      <c r="V551" s="199"/>
      <c r="W551" s="150">
        <f t="shared" si="682"/>
        <v>0</v>
      </c>
      <c r="X551" s="150">
        <v>0</v>
      </c>
      <c r="Y551" s="150"/>
      <c r="Z551" s="150">
        <v>0</v>
      </c>
      <c r="AA551" s="150">
        <f t="shared" si="652"/>
        <v>0</v>
      </c>
      <c r="AB551" s="150">
        <v>0</v>
      </c>
      <c r="AC551" s="199"/>
      <c r="AD551" s="150">
        <f t="shared" si="683"/>
        <v>0</v>
      </c>
      <c r="AE551" s="150">
        <v>0</v>
      </c>
      <c r="AF551" s="169" t="s">
        <v>4680</v>
      </c>
      <c r="AG551" s="201">
        <v>0</v>
      </c>
      <c r="AH551" s="199"/>
      <c r="AI551" s="150">
        <v>0</v>
      </c>
      <c r="AJ551" s="169">
        <f t="shared" si="653"/>
        <v>0</v>
      </c>
      <c r="AK551" s="201">
        <v>0</v>
      </c>
      <c r="AL551" s="199"/>
      <c r="AM551" s="150">
        <f t="shared" si="684"/>
        <v>0</v>
      </c>
      <c r="AN551" s="153">
        <f t="shared" si="654"/>
        <v>0</v>
      </c>
      <c r="AO551" s="154">
        <f t="shared" si="655"/>
        <v>0</v>
      </c>
      <c r="AP551" s="150">
        <v>0</v>
      </c>
      <c r="AQ551" s="201">
        <v>0</v>
      </c>
      <c r="AR551" s="199"/>
      <c r="AS551" s="150">
        <f t="shared" si="685"/>
        <v>0</v>
      </c>
      <c r="AT551" s="155"/>
      <c r="AU551" s="156">
        <f t="shared" si="649"/>
        <v>0</v>
      </c>
      <c r="AV551" s="156">
        <f t="shared" si="650"/>
        <v>0</v>
      </c>
      <c r="AW551" s="157"/>
      <c r="AX551" s="150">
        <v>0</v>
      </c>
      <c r="AY551" s="150">
        <v>0</v>
      </c>
      <c r="AZ551" s="150"/>
      <c r="BA551" s="150">
        <f t="shared" si="648"/>
        <v>0</v>
      </c>
      <c r="BB551" s="210"/>
      <c r="BC551" s="210"/>
      <c r="BD551" s="210"/>
      <c r="BE551" s="210"/>
      <c r="BF551" s="210"/>
      <c r="BG551" s="210"/>
      <c r="BH551" s="217"/>
      <c r="BI551" s="210"/>
      <c r="BJ551" s="210"/>
      <c r="BK551" s="210"/>
      <c r="BL551" s="210"/>
      <c r="BM551" s="208"/>
      <c r="BN551" s="160"/>
      <c r="BO551" s="161">
        <f t="shared" si="657"/>
        <v>0</v>
      </c>
      <c r="BP551" s="161"/>
    </row>
    <row r="552" spans="1:68" ht="38.25">
      <c r="A552" s="210"/>
      <c r="B552" s="195" t="s">
        <v>6153</v>
      </c>
      <c r="C552" s="196" t="s">
        <v>6154</v>
      </c>
      <c r="D552" s="146" t="s">
        <v>4692</v>
      </c>
      <c r="E552" s="196" t="s">
        <v>6154</v>
      </c>
      <c r="F552" s="150">
        <v>0</v>
      </c>
      <c r="G552" s="209">
        <v>0</v>
      </c>
      <c r="H552" s="209"/>
      <c r="I552" s="209">
        <v>0</v>
      </c>
      <c r="J552" s="150">
        <v>0</v>
      </c>
      <c r="K552" s="150">
        <v>0</v>
      </c>
      <c r="L552" s="150">
        <f t="shared" si="656"/>
        <v>0</v>
      </c>
      <c r="M552" s="150">
        <v>0</v>
      </c>
      <c r="N552" s="150"/>
      <c r="O552" s="150">
        <v>0</v>
      </c>
      <c r="P552" s="150">
        <v>0</v>
      </c>
      <c r="Q552" s="150">
        <v>0</v>
      </c>
      <c r="R552" s="150">
        <f t="shared" si="681"/>
        <v>0</v>
      </c>
      <c r="S552" s="150">
        <f t="shared" si="651"/>
        <v>0</v>
      </c>
      <c r="T552" s="150"/>
      <c r="U552" s="150">
        <v>0</v>
      </c>
      <c r="V552" s="199"/>
      <c r="W552" s="150">
        <f t="shared" si="682"/>
        <v>0</v>
      </c>
      <c r="X552" s="150">
        <v>0</v>
      </c>
      <c r="Y552" s="150"/>
      <c r="Z552" s="150">
        <v>0</v>
      </c>
      <c r="AA552" s="150">
        <f t="shared" si="652"/>
        <v>0</v>
      </c>
      <c r="AB552" s="150">
        <v>0</v>
      </c>
      <c r="AC552" s="199"/>
      <c r="AD552" s="150">
        <f t="shared" si="683"/>
        <v>0</v>
      </c>
      <c r="AE552" s="150">
        <v>0</v>
      </c>
      <c r="AF552" s="169" t="s">
        <v>4680</v>
      </c>
      <c r="AG552" s="201">
        <v>0</v>
      </c>
      <c r="AH552" s="199"/>
      <c r="AI552" s="150">
        <v>0</v>
      </c>
      <c r="AJ552" s="169">
        <f t="shared" si="653"/>
        <v>0</v>
      </c>
      <c r="AK552" s="201">
        <v>0</v>
      </c>
      <c r="AL552" s="199"/>
      <c r="AM552" s="150">
        <f t="shared" si="684"/>
        <v>0</v>
      </c>
      <c r="AN552" s="153">
        <f t="shared" si="654"/>
        <v>0</v>
      </c>
      <c r="AO552" s="154">
        <f t="shared" si="655"/>
        <v>0</v>
      </c>
      <c r="AP552" s="150">
        <v>0</v>
      </c>
      <c r="AQ552" s="201">
        <v>0</v>
      </c>
      <c r="AR552" s="199"/>
      <c r="AS552" s="150">
        <f t="shared" si="685"/>
        <v>0</v>
      </c>
      <c r="AT552" s="155"/>
      <c r="AU552" s="156">
        <f t="shared" si="649"/>
        <v>0</v>
      </c>
      <c r="AV552" s="156">
        <f t="shared" si="650"/>
        <v>0</v>
      </c>
      <c r="AW552" s="157"/>
      <c r="AX552" s="150">
        <v>0</v>
      </c>
      <c r="AY552" s="150">
        <v>0</v>
      </c>
      <c r="AZ552" s="150"/>
      <c r="BA552" s="150">
        <f t="shared" si="648"/>
        <v>0</v>
      </c>
      <c r="BB552" s="210"/>
      <c r="BC552" s="210"/>
      <c r="BD552" s="210"/>
      <c r="BE552" s="210"/>
      <c r="BF552" s="210"/>
      <c r="BG552" s="210"/>
      <c r="BH552" s="217"/>
      <c r="BI552" s="210"/>
      <c r="BJ552" s="210"/>
      <c r="BK552" s="210"/>
      <c r="BL552" s="210"/>
      <c r="BM552" s="208"/>
      <c r="BN552" s="160"/>
      <c r="BO552" s="161">
        <f t="shared" si="657"/>
        <v>0</v>
      </c>
      <c r="BP552" s="161"/>
    </row>
    <row r="553" spans="1:68" ht="38.25">
      <c r="A553" s="210"/>
      <c r="B553" s="195" t="s">
        <v>6155</v>
      </c>
      <c r="C553" s="196" t="s">
        <v>6156</v>
      </c>
      <c r="D553" s="146" t="s">
        <v>4692</v>
      </c>
      <c r="E553" s="196" t="s">
        <v>6156</v>
      </c>
      <c r="F553" s="150">
        <v>0</v>
      </c>
      <c r="G553" s="209">
        <v>0</v>
      </c>
      <c r="H553" s="209"/>
      <c r="I553" s="209">
        <v>0</v>
      </c>
      <c r="J553" s="150">
        <v>0</v>
      </c>
      <c r="K553" s="150">
        <v>0</v>
      </c>
      <c r="L553" s="150">
        <f t="shared" si="656"/>
        <v>0</v>
      </c>
      <c r="M553" s="150">
        <v>0</v>
      </c>
      <c r="N553" s="150"/>
      <c r="O553" s="150">
        <v>0</v>
      </c>
      <c r="P553" s="150">
        <v>0</v>
      </c>
      <c r="Q553" s="150">
        <v>0</v>
      </c>
      <c r="R553" s="150">
        <f t="shared" si="681"/>
        <v>0</v>
      </c>
      <c r="S553" s="150">
        <f t="shared" si="651"/>
        <v>0</v>
      </c>
      <c r="T553" s="150"/>
      <c r="U553" s="150">
        <v>0</v>
      </c>
      <c r="V553" s="199"/>
      <c r="W553" s="150">
        <f t="shared" si="682"/>
        <v>0</v>
      </c>
      <c r="X553" s="150">
        <v>0</v>
      </c>
      <c r="Y553" s="150"/>
      <c r="Z553" s="150">
        <v>0</v>
      </c>
      <c r="AA553" s="150">
        <f t="shared" si="652"/>
        <v>0</v>
      </c>
      <c r="AB553" s="150">
        <v>0</v>
      </c>
      <c r="AC553" s="199"/>
      <c r="AD553" s="150">
        <f t="shared" si="683"/>
        <v>0</v>
      </c>
      <c r="AE553" s="150">
        <v>0</v>
      </c>
      <c r="AF553" s="169" t="s">
        <v>4680</v>
      </c>
      <c r="AG553" s="201">
        <v>0</v>
      </c>
      <c r="AH553" s="199"/>
      <c r="AI553" s="150">
        <v>0</v>
      </c>
      <c r="AJ553" s="169">
        <f t="shared" si="653"/>
        <v>0</v>
      </c>
      <c r="AK553" s="201">
        <v>0</v>
      </c>
      <c r="AL553" s="199"/>
      <c r="AM553" s="150">
        <f t="shared" si="684"/>
        <v>0</v>
      </c>
      <c r="AN553" s="153">
        <f t="shared" si="654"/>
        <v>0</v>
      </c>
      <c r="AO553" s="154">
        <f t="shared" si="655"/>
        <v>0</v>
      </c>
      <c r="AP553" s="150">
        <v>0</v>
      </c>
      <c r="AQ553" s="201">
        <v>0</v>
      </c>
      <c r="AR553" s="199"/>
      <c r="AS553" s="150">
        <f t="shared" si="685"/>
        <v>0</v>
      </c>
      <c r="AT553" s="155"/>
      <c r="AU553" s="156">
        <f t="shared" si="649"/>
        <v>0</v>
      </c>
      <c r="AV553" s="156">
        <f t="shared" si="650"/>
        <v>0</v>
      </c>
      <c r="AW553" s="157"/>
      <c r="AX553" s="150">
        <v>0</v>
      </c>
      <c r="AY553" s="150">
        <v>0</v>
      </c>
      <c r="AZ553" s="150"/>
      <c r="BA553" s="150">
        <f t="shared" si="648"/>
        <v>0</v>
      </c>
      <c r="BB553" s="210"/>
      <c r="BC553" s="210"/>
      <c r="BD553" s="210"/>
      <c r="BE553" s="210"/>
      <c r="BF553" s="210"/>
      <c r="BG553" s="210"/>
      <c r="BH553" s="217"/>
      <c r="BI553" s="210"/>
      <c r="BJ553" s="210"/>
      <c r="BK553" s="210"/>
      <c r="BL553" s="210"/>
      <c r="BM553" s="208"/>
      <c r="BN553" s="160"/>
      <c r="BO553" s="161">
        <f t="shared" si="657"/>
        <v>0</v>
      </c>
      <c r="BP553" s="161"/>
    </row>
    <row r="554" spans="1:68" ht="51">
      <c r="A554" s="210"/>
      <c r="B554" s="195" t="s">
        <v>6157</v>
      </c>
      <c r="C554" s="196" t="s">
        <v>6158</v>
      </c>
      <c r="D554" s="146" t="s">
        <v>4692</v>
      </c>
      <c r="E554" s="196" t="s">
        <v>6159</v>
      </c>
      <c r="F554" s="150">
        <v>0</v>
      </c>
      <c r="G554" s="209">
        <v>3330430.25</v>
      </c>
      <c r="H554" s="209">
        <v>10121.653400000185</v>
      </c>
      <c r="I554" s="209">
        <v>3340551.9034000002</v>
      </c>
      <c r="J554" s="150">
        <v>0</v>
      </c>
      <c r="K554" s="150">
        <v>0</v>
      </c>
      <c r="L554" s="150">
        <f t="shared" si="656"/>
        <v>0</v>
      </c>
      <c r="M554" s="150">
        <v>0</v>
      </c>
      <c r="N554" s="150"/>
      <c r="O554" s="150">
        <v>0</v>
      </c>
      <c r="P554" s="150">
        <v>0</v>
      </c>
      <c r="Q554" s="150">
        <v>0</v>
      </c>
      <c r="R554" s="150">
        <f t="shared" si="681"/>
        <v>0</v>
      </c>
      <c r="S554" s="150">
        <f t="shared" si="651"/>
        <v>0</v>
      </c>
      <c r="T554" s="150"/>
      <c r="U554" s="150">
        <v>0</v>
      </c>
      <c r="V554" s="199"/>
      <c r="W554" s="150">
        <f t="shared" si="682"/>
        <v>0</v>
      </c>
      <c r="X554" s="150">
        <v>0</v>
      </c>
      <c r="Y554" s="150"/>
      <c r="Z554" s="150">
        <v>0</v>
      </c>
      <c r="AA554" s="150">
        <f t="shared" si="652"/>
        <v>0</v>
      </c>
      <c r="AB554" s="150">
        <v>0</v>
      </c>
      <c r="AC554" s="199"/>
      <c r="AD554" s="150">
        <f t="shared" si="683"/>
        <v>0</v>
      </c>
      <c r="AE554" s="150">
        <v>0</v>
      </c>
      <c r="AF554" s="169" t="s">
        <v>4680</v>
      </c>
      <c r="AG554" s="201">
        <v>0</v>
      </c>
      <c r="AH554" s="199"/>
      <c r="AI554" s="150">
        <v>0</v>
      </c>
      <c r="AJ554" s="169">
        <f t="shared" si="653"/>
        <v>0</v>
      </c>
      <c r="AK554" s="201">
        <v>0</v>
      </c>
      <c r="AL554" s="199"/>
      <c r="AM554" s="150">
        <f t="shared" si="684"/>
        <v>0</v>
      </c>
      <c r="AN554" s="153">
        <f t="shared" si="654"/>
        <v>0</v>
      </c>
      <c r="AO554" s="154">
        <f t="shared" si="655"/>
        <v>0</v>
      </c>
      <c r="AP554" s="150">
        <v>0</v>
      </c>
      <c r="AQ554" s="201">
        <v>0</v>
      </c>
      <c r="AR554" s="199"/>
      <c r="AS554" s="150">
        <f t="shared" si="685"/>
        <v>0</v>
      </c>
      <c r="AT554" s="155"/>
      <c r="AU554" s="156">
        <f t="shared" si="649"/>
        <v>0</v>
      </c>
      <c r="AV554" s="156">
        <f t="shared" si="650"/>
        <v>0</v>
      </c>
      <c r="AW554" s="157"/>
      <c r="AX554" s="150">
        <v>0</v>
      </c>
      <c r="AY554" s="150">
        <v>0</v>
      </c>
      <c r="AZ554" s="150"/>
      <c r="BA554" s="150">
        <f t="shared" si="648"/>
        <v>0</v>
      </c>
      <c r="BB554" s="210"/>
      <c r="BC554" s="210"/>
      <c r="BD554" s="210"/>
      <c r="BE554" s="210"/>
      <c r="BF554" s="210"/>
      <c r="BG554" s="210"/>
      <c r="BH554" s="217"/>
      <c r="BI554" s="210"/>
      <c r="BJ554" s="210"/>
      <c r="BK554" s="210"/>
      <c r="BL554" s="210"/>
      <c r="BM554" s="208"/>
      <c r="BN554" s="160"/>
      <c r="BO554" s="161">
        <f t="shared" si="657"/>
        <v>0</v>
      </c>
      <c r="BP554" s="161"/>
    </row>
    <row r="555" spans="1:68" ht="25.5">
      <c r="A555" s="206" t="s">
        <v>550</v>
      </c>
      <c r="B555" s="195" t="s">
        <v>6160</v>
      </c>
      <c r="C555" s="196" t="s">
        <v>6161</v>
      </c>
      <c r="D555" s="146" t="s">
        <v>4692</v>
      </c>
      <c r="E555" s="196" t="s">
        <v>6161</v>
      </c>
      <c r="F555" s="150">
        <v>3330430.25</v>
      </c>
      <c r="G555" s="209">
        <v>88402.02</v>
      </c>
      <c r="H555" s="209"/>
      <c r="I555" s="209">
        <v>88402.02</v>
      </c>
      <c r="J555" s="150">
        <v>928806.16</v>
      </c>
      <c r="K555" s="150">
        <v>35765.744199999957</v>
      </c>
      <c r="L555" s="150">
        <f t="shared" si="656"/>
        <v>964571.90419999999</v>
      </c>
      <c r="M555" s="150">
        <v>1807361.39</v>
      </c>
      <c r="N555" s="150">
        <v>29879.268600000069</v>
      </c>
      <c r="O555" s="150">
        <v>1837240.6586</v>
      </c>
      <c r="P555" s="150">
        <v>2734713.6</v>
      </c>
      <c r="Q555" s="150">
        <v>44818.9</v>
      </c>
      <c r="R555" s="150">
        <f t="shared" si="681"/>
        <v>2779532.5</v>
      </c>
      <c r="S555" s="150">
        <f t="shared" si="651"/>
        <v>3706043.333333333</v>
      </c>
      <c r="T555" s="150"/>
      <c r="U555" s="150">
        <v>3780119.91</v>
      </c>
      <c r="V555" s="199">
        <v>13186.353999999817</v>
      </c>
      <c r="W555" s="150">
        <f t="shared" si="682"/>
        <v>3793306.264</v>
      </c>
      <c r="X555" s="150">
        <v>3780119.91</v>
      </c>
      <c r="Y555" s="150">
        <v>13186.353999999817</v>
      </c>
      <c r="Z555" s="150">
        <v>3793306.264</v>
      </c>
      <c r="AA555" s="150">
        <f t="shared" si="652"/>
        <v>-1588.4399999999441</v>
      </c>
      <c r="AB555" s="150">
        <v>3778608.94</v>
      </c>
      <c r="AC555" s="199">
        <v>13108.884000000078</v>
      </c>
      <c r="AD555" s="150">
        <f t="shared" si="683"/>
        <v>3791717.824</v>
      </c>
      <c r="AE555" s="150">
        <v>3791717.824</v>
      </c>
      <c r="AF555" s="169" t="s">
        <v>4680</v>
      </c>
      <c r="AG555" s="201">
        <v>3779227.48</v>
      </c>
      <c r="AH555" s="199">
        <v>12490.344000000041</v>
      </c>
      <c r="AI555" s="150">
        <v>3791717.824</v>
      </c>
      <c r="AJ555" s="169">
        <f t="shared" si="653"/>
        <v>0</v>
      </c>
      <c r="AK555" s="201">
        <v>3779227.48</v>
      </c>
      <c r="AL555" s="199">
        <v>12490.344000000041</v>
      </c>
      <c r="AM555" s="150">
        <f t="shared" si="684"/>
        <v>3791717.824</v>
      </c>
      <c r="AN555" s="153"/>
      <c r="AO555" s="154">
        <f t="shared" si="655"/>
        <v>-4.0000001899898052E-3</v>
      </c>
      <c r="AP555" s="150">
        <v>3791717.824</v>
      </c>
      <c r="AQ555" s="201">
        <v>3791717.82</v>
      </c>
      <c r="AR555" s="199"/>
      <c r="AS555" s="150">
        <f t="shared" si="685"/>
        <v>3791717.82</v>
      </c>
      <c r="AT555" s="155" t="s">
        <v>6020</v>
      </c>
      <c r="AU555" s="156">
        <f t="shared" si="649"/>
        <v>0</v>
      </c>
      <c r="AV555" s="156">
        <f t="shared" si="650"/>
        <v>-1588.4399999999441</v>
      </c>
      <c r="AW555" s="157" t="s">
        <v>6021</v>
      </c>
      <c r="AX555" s="150">
        <v>3793306.264</v>
      </c>
      <c r="AY555" s="150">
        <v>2468319.9500000002</v>
      </c>
      <c r="AZ555" s="150">
        <f>3843047.5083-AY555</f>
        <v>1374727.5582999997</v>
      </c>
      <c r="BA555" s="150">
        <f t="shared" si="648"/>
        <v>3843047.5082999999</v>
      </c>
      <c r="BB555" s="205">
        <v>5</v>
      </c>
      <c r="BC555" s="206" t="s">
        <v>632</v>
      </c>
      <c r="BD555" s="206" t="s">
        <v>632</v>
      </c>
      <c r="BE555" s="206" t="s">
        <v>714</v>
      </c>
      <c r="BF555" s="206" t="s">
        <v>693</v>
      </c>
      <c r="BG555" s="287" t="s">
        <v>6162</v>
      </c>
      <c r="BH555" s="283">
        <f>AS555</f>
        <v>3791717.82</v>
      </c>
      <c r="BI555" s="205"/>
      <c r="BJ555" s="206" t="s">
        <v>6126</v>
      </c>
      <c r="BK555" s="206" t="s">
        <v>550</v>
      </c>
      <c r="BL555" s="207" t="s">
        <v>6127</v>
      </c>
      <c r="BM555" s="208">
        <f>BH555</f>
        <v>3791717.82</v>
      </c>
      <c r="BN555" s="160"/>
      <c r="BO555" s="161">
        <f t="shared" si="657"/>
        <v>0</v>
      </c>
      <c r="BP555" s="161"/>
    </row>
    <row r="556" spans="1:68" ht="38.25">
      <c r="A556" s="206" t="s">
        <v>550</v>
      </c>
      <c r="B556" s="195" t="s">
        <v>6163</v>
      </c>
      <c r="C556" s="196" t="s">
        <v>6164</v>
      </c>
      <c r="D556" s="146" t="s">
        <v>4692</v>
      </c>
      <c r="E556" s="196" t="s">
        <v>6164</v>
      </c>
      <c r="F556" s="150">
        <v>88402.02</v>
      </c>
      <c r="G556" s="209">
        <v>298872.64</v>
      </c>
      <c r="H556" s="209">
        <v>3.0399999988730997E-2</v>
      </c>
      <c r="I556" s="209">
        <v>298872.6704</v>
      </c>
      <c r="J556" s="150">
        <v>17836.27</v>
      </c>
      <c r="K556" s="150">
        <v>5300.6169999999984</v>
      </c>
      <c r="L556" s="150">
        <f t="shared" si="656"/>
        <v>23136.886999999999</v>
      </c>
      <c r="M556" s="150">
        <v>52799.4</v>
      </c>
      <c r="N556" s="150">
        <v>3769.3433199999999</v>
      </c>
      <c r="O556" s="150">
        <v>56568.743320000001</v>
      </c>
      <c r="P556" s="150">
        <v>81880.850000000006</v>
      </c>
      <c r="Q556" s="150">
        <v>1719.7219999999943</v>
      </c>
      <c r="R556" s="150">
        <f t="shared" si="681"/>
        <v>83600.572</v>
      </c>
      <c r="S556" s="150">
        <f t="shared" si="651"/>
        <v>111467.42933333333</v>
      </c>
      <c r="T556" s="150"/>
      <c r="U556" s="150">
        <v>134801.57</v>
      </c>
      <c r="V556" s="199">
        <v>146.92935999998008</v>
      </c>
      <c r="W556" s="150">
        <f t="shared" si="682"/>
        <v>134948.49935999999</v>
      </c>
      <c r="X556" s="150">
        <v>134801.57</v>
      </c>
      <c r="Y556" s="150">
        <v>146.92935999998008</v>
      </c>
      <c r="Z556" s="150">
        <v>134948.49935999999</v>
      </c>
      <c r="AA556" s="150">
        <f t="shared" si="652"/>
        <v>0</v>
      </c>
      <c r="AB556" s="150">
        <v>134801.57</v>
      </c>
      <c r="AC556" s="199">
        <v>146.92935999998008</v>
      </c>
      <c r="AD556" s="150">
        <f t="shared" si="683"/>
        <v>134948.49935999999</v>
      </c>
      <c r="AE556" s="150">
        <v>134948.49935999999</v>
      </c>
      <c r="AF556" s="169" t="s">
        <v>4680</v>
      </c>
      <c r="AG556" s="201">
        <v>134801.57</v>
      </c>
      <c r="AH556" s="199">
        <v>146.92935999998008</v>
      </c>
      <c r="AI556" s="150">
        <v>134948.49935999999</v>
      </c>
      <c r="AJ556" s="169">
        <f t="shared" si="653"/>
        <v>0</v>
      </c>
      <c r="AK556" s="201">
        <v>134801.57</v>
      </c>
      <c r="AL556" s="199">
        <v>146.92935999998008</v>
      </c>
      <c r="AM556" s="150">
        <f t="shared" si="684"/>
        <v>134948.49935999999</v>
      </c>
      <c r="AN556" s="153"/>
      <c r="AO556" s="154">
        <f t="shared" si="655"/>
        <v>6.4000001293607056E-4</v>
      </c>
      <c r="AP556" s="150">
        <v>134948.49935999999</v>
      </c>
      <c r="AQ556" s="201">
        <v>134948.5</v>
      </c>
      <c r="AR556" s="199"/>
      <c r="AS556" s="150">
        <f t="shared" si="685"/>
        <v>134948.5</v>
      </c>
      <c r="AT556" s="155" t="s">
        <v>6020</v>
      </c>
      <c r="AU556" s="156">
        <f t="shared" si="649"/>
        <v>0</v>
      </c>
      <c r="AV556" s="156">
        <f t="shared" si="650"/>
        <v>0</v>
      </c>
      <c r="AW556" s="157" t="s">
        <v>6021</v>
      </c>
      <c r="AX556" s="150">
        <v>134948.49935999999</v>
      </c>
      <c r="AY556" s="150">
        <v>72012.55</v>
      </c>
      <c r="AZ556" s="150">
        <f>113516.3562-AY556</f>
        <v>41503.806199999992</v>
      </c>
      <c r="BA556" s="150">
        <f t="shared" si="648"/>
        <v>113516.35619999999</v>
      </c>
      <c r="BB556" s="205">
        <v>5</v>
      </c>
      <c r="BC556" s="206" t="s">
        <v>632</v>
      </c>
      <c r="BD556" s="206" t="s">
        <v>632</v>
      </c>
      <c r="BE556" s="206" t="s">
        <v>714</v>
      </c>
      <c r="BF556" s="206" t="s">
        <v>714</v>
      </c>
      <c r="BG556" s="287" t="s">
        <v>6165</v>
      </c>
      <c r="BH556" s="283">
        <f>AS556</f>
        <v>134948.5</v>
      </c>
      <c r="BI556" s="205"/>
      <c r="BJ556" s="206" t="s">
        <v>6126</v>
      </c>
      <c r="BK556" s="206" t="s">
        <v>550</v>
      </c>
      <c r="BL556" s="207" t="s">
        <v>6127</v>
      </c>
      <c r="BM556" s="208">
        <f>BH556</f>
        <v>134948.5</v>
      </c>
      <c r="BN556" s="160"/>
      <c r="BO556" s="161">
        <f t="shared" si="657"/>
        <v>0</v>
      </c>
      <c r="BP556" s="161"/>
    </row>
    <row r="557" spans="1:68">
      <c r="A557" s="206" t="s">
        <v>550</v>
      </c>
      <c r="B557" s="195" t="s">
        <v>6166</v>
      </c>
      <c r="C557" s="196" t="s">
        <v>6167</v>
      </c>
      <c r="D557" s="146" t="s">
        <v>4692</v>
      </c>
      <c r="E557" s="196" t="s">
        <v>6167</v>
      </c>
      <c r="F557" s="150">
        <v>298872.64</v>
      </c>
      <c r="G557" s="209">
        <v>0</v>
      </c>
      <c r="H557" s="209"/>
      <c r="I557" s="209">
        <v>0</v>
      </c>
      <c r="J557" s="150">
        <v>83019.539999999994</v>
      </c>
      <c r="K557" s="150">
        <v>9765.17760000001</v>
      </c>
      <c r="L557" s="150">
        <f t="shared" si="656"/>
        <v>92784.717600000004</v>
      </c>
      <c r="M557" s="150">
        <v>149529.99</v>
      </c>
      <c r="N557" s="150">
        <v>744.6364000000176</v>
      </c>
      <c r="O557" s="150">
        <v>150274.62640000001</v>
      </c>
      <c r="P557" s="150">
        <v>212354.6</v>
      </c>
      <c r="Q557" s="150"/>
      <c r="R557" s="150">
        <f t="shared" si="681"/>
        <v>212354.6</v>
      </c>
      <c r="S557" s="150">
        <f t="shared" si="651"/>
        <v>283139.46666666667</v>
      </c>
      <c r="T557" s="150"/>
      <c r="U557" s="150">
        <v>270470.99</v>
      </c>
      <c r="V557" s="199"/>
      <c r="W557" s="150">
        <f t="shared" si="682"/>
        <v>270470.99</v>
      </c>
      <c r="X557" s="150">
        <v>270470.99</v>
      </c>
      <c r="Y557" s="150"/>
      <c r="Z557" s="150">
        <v>270470.99</v>
      </c>
      <c r="AA557" s="150">
        <f t="shared" si="652"/>
        <v>0</v>
      </c>
      <c r="AB557" s="150">
        <v>270470.99</v>
      </c>
      <c r="AC557" s="199"/>
      <c r="AD557" s="150">
        <f t="shared" si="683"/>
        <v>270470.99</v>
      </c>
      <c r="AE557" s="150">
        <v>270470.99</v>
      </c>
      <c r="AF557" s="169" t="s">
        <v>4680</v>
      </c>
      <c r="AG557" s="201">
        <v>270470.99</v>
      </c>
      <c r="AH557" s="199"/>
      <c r="AI557" s="150">
        <v>270470.99</v>
      </c>
      <c r="AJ557" s="169">
        <f t="shared" si="653"/>
        <v>0</v>
      </c>
      <c r="AK557" s="201">
        <v>270470.99</v>
      </c>
      <c r="AL557" s="199"/>
      <c r="AM557" s="150">
        <f t="shared" si="684"/>
        <v>270470.99</v>
      </c>
      <c r="AN557" s="153">
        <f t="shared" si="654"/>
        <v>0</v>
      </c>
      <c r="AO557" s="154">
        <f t="shared" si="655"/>
        <v>0</v>
      </c>
      <c r="AP557" s="150">
        <v>270470.99</v>
      </c>
      <c r="AQ557" s="201">
        <v>270470.99</v>
      </c>
      <c r="AR557" s="199"/>
      <c r="AS557" s="150">
        <f t="shared" si="685"/>
        <v>270470.99</v>
      </c>
      <c r="AT557" s="155"/>
      <c r="AU557" s="156">
        <f t="shared" si="649"/>
        <v>0</v>
      </c>
      <c r="AV557" s="156">
        <f t="shared" si="650"/>
        <v>0</v>
      </c>
      <c r="AW557" s="157"/>
      <c r="AX557" s="150">
        <v>270470.99</v>
      </c>
      <c r="AY557" s="150">
        <v>207056.72</v>
      </c>
      <c r="AZ557" s="150">
        <f>311981.2668-AY557</f>
        <v>104924.54679999998</v>
      </c>
      <c r="BA557" s="150">
        <f t="shared" si="648"/>
        <v>311981.26679999998</v>
      </c>
      <c r="BB557" s="205">
        <v>5</v>
      </c>
      <c r="BC557" s="206" t="s">
        <v>632</v>
      </c>
      <c r="BD557" s="206" t="s">
        <v>632</v>
      </c>
      <c r="BE557" s="206" t="s">
        <v>714</v>
      </c>
      <c r="BF557" s="206" t="s">
        <v>739</v>
      </c>
      <c r="BG557" s="287" t="s">
        <v>6168</v>
      </c>
      <c r="BH557" s="283">
        <f>SUM(AS557:AS558)</f>
        <v>270470.99</v>
      </c>
      <c r="BI557" s="205"/>
      <c r="BJ557" s="206" t="s">
        <v>6126</v>
      </c>
      <c r="BK557" s="206" t="s">
        <v>550</v>
      </c>
      <c r="BL557" s="207" t="s">
        <v>6127</v>
      </c>
      <c r="BM557" s="208">
        <f>BH557</f>
        <v>270470.99</v>
      </c>
      <c r="BN557" s="160"/>
      <c r="BO557" s="161">
        <f t="shared" si="657"/>
        <v>0</v>
      </c>
      <c r="BP557" s="161"/>
    </row>
    <row r="558" spans="1:68">
      <c r="A558" s="210"/>
      <c r="B558" s="195" t="s">
        <v>6169</v>
      </c>
      <c r="C558" s="196" t="s">
        <v>6170</v>
      </c>
      <c r="D558" s="146" t="s">
        <v>4692</v>
      </c>
      <c r="E558" s="196" t="s">
        <v>6170</v>
      </c>
      <c r="F558" s="150">
        <v>0</v>
      </c>
      <c r="G558" s="209">
        <v>1704075.72</v>
      </c>
      <c r="H558" s="209">
        <v>40752.679000000004</v>
      </c>
      <c r="I558" s="209">
        <v>1744828.399</v>
      </c>
      <c r="J558" s="150">
        <v>0</v>
      </c>
      <c r="K558" s="150">
        <v>0</v>
      </c>
      <c r="L558" s="150">
        <f t="shared" si="656"/>
        <v>0</v>
      </c>
      <c r="M558" s="150">
        <v>0</v>
      </c>
      <c r="N558" s="150"/>
      <c r="O558" s="150">
        <v>0</v>
      </c>
      <c r="P558" s="150">
        <v>0</v>
      </c>
      <c r="Q558" s="150">
        <v>0</v>
      </c>
      <c r="R558" s="150">
        <f t="shared" si="681"/>
        <v>0</v>
      </c>
      <c r="S558" s="150">
        <f t="shared" si="651"/>
        <v>0</v>
      </c>
      <c r="T558" s="150"/>
      <c r="U558" s="150">
        <v>0</v>
      </c>
      <c r="V558" s="199"/>
      <c r="W558" s="150">
        <f t="shared" si="682"/>
        <v>0</v>
      </c>
      <c r="X558" s="150">
        <v>0</v>
      </c>
      <c r="Y558" s="150"/>
      <c r="Z558" s="150">
        <v>0</v>
      </c>
      <c r="AA558" s="150">
        <f t="shared" si="652"/>
        <v>0</v>
      </c>
      <c r="AB558" s="150">
        <v>0</v>
      </c>
      <c r="AC558" s="199"/>
      <c r="AD558" s="150">
        <f t="shared" si="683"/>
        <v>0</v>
      </c>
      <c r="AE558" s="150">
        <v>0</v>
      </c>
      <c r="AF558" s="169" t="s">
        <v>4680</v>
      </c>
      <c r="AG558" s="201">
        <v>0</v>
      </c>
      <c r="AH558" s="199"/>
      <c r="AI558" s="150">
        <v>0</v>
      </c>
      <c r="AJ558" s="169">
        <f t="shared" si="653"/>
        <v>0</v>
      </c>
      <c r="AK558" s="201">
        <v>0</v>
      </c>
      <c r="AL558" s="199"/>
      <c r="AM558" s="150">
        <f t="shared" si="684"/>
        <v>0</v>
      </c>
      <c r="AN558" s="153">
        <f t="shared" si="654"/>
        <v>0</v>
      </c>
      <c r="AO558" s="154">
        <f t="shared" si="655"/>
        <v>0</v>
      </c>
      <c r="AP558" s="150">
        <v>0</v>
      </c>
      <c r="AQ558" s="201">
        <v>0</v>
      </c>
      <c r="AR558" s="199"/>
      <c r="AS558" s="150">
        <f t="shared" si="685"/>
        <v>0</v>
      </c>
      <c r="AT558" s="155"/>
      <c r="AU558" s="156">
        <f t="shared" si="649"/>
        <v>0</v>
      </c>
      <c r="AV558" s="156">
        <f t="shared" si="650"/>
        <v>0</v>
      </c>
      <c r="AW558" s="157"/>
      <c r="AX558" s="150">
        <v>0</v>
      </c>
      <c r="AY558" s="150">
        <v>0</v>
      </c>
      <c r="AZ558" s="150"/>
      <c r="BA558" s="150">
        <f t="shared" si="648"/>
        <v>0</v>
      </c>
      <c r="BB558" s="210"/>
      <c r="BC558" s="210"/>
      <c r="BD558" s="210"/>
      <c r="BE558" s="210"/>
      <c r="BF558" s="210"/>
      <c r="BG558" s="210"/>
      <c r="BH558" s="217"/>
      <c r="BI558" s="210"/>
      <c r="BJ558" s="210"/>
      <c r="BK558" s="210"/>
      <c r="BL558" s="210"/>
      <c r="BM558" s="208"/>
      <c r="BN558" s="160"/>
      <c r="BO558" s="161">
        <f t="shared" si="657"/>
        <v>0</v>
      </c>
      <c r="BP558" s="161"/>
    </row>
    <row r="559" spans="1:68" ht="24">
      <c r="A559" s="206" t="s">
        <v>550</v>
      </c>
      <c r="B559" s="195" t="s">
        <v>6171</v>
      </c>
      <c r="C559" s="196" t="s">
        <v>6172</v>
      </c>
      <c r="D559" s="146" t="s">
        <v>4692</v>
      </c>
      <c r="E559" s="196" t="s">
        <v>6172</v>
      </c>
      <c r="F559" s="150">
        <v>1715532.36</v>
      </c>
      <c r="G559" s="209">
        <v>0</v>
      </c>
      <c r="H559" s="209"/>
      <c r="I559" s="209">
        <v>0</v>
      </c>
      <c r="J559" s="150">
        <v>593529.02</v>
      </c>
      <c r="K559" s="150">
        <v>0</v>
      </c>
      <c r="L559" s="150">
        <f t="shared" si="656"/>
        <v>593529.02</v>
      </c>
      <c r="M559" s="150">
        <v>1039822.09</v>
      </c>
      <c r="N559" s="150"/>
      <c r="O559" s="150">
        <v>1039822.09</v>
      </c>
      <c r="P559" s="150">
        <v>1582747.99</v>
      </c>
      <c r="Q559" s="150"/>
      <c r="R559" s="150">
        <f t="shared" si="681"/>
        <v>1582747.99</v>
      </c>
      <c r="S559" s="150">
        <f t="shared" si="651"/>
        <v>2110330.6533333333</v>
      </c>
      <c r="T559" s="150"/>
      <c r="U559" s="150">
        <v>2279934.19</v>
      </c>
      <c r="V559" s="199">
        <v>55362.524800000247</v>
      </c>
      <c r="W559" s="150">
        <f t="shared" si="682"/>
        <v>2335296.7148000002</v>
      </c>
      <c r="X559" s="150">
        <v>2279934.19</v>
      </c>
      <c r="Y559" s="150">
        <v>55362.524800000247</v>
      </c>
      <c r="Z559" s="150">
        <v>2335296.7148000002</v>
      </c>
      <c r="AA559" s="150">
        <f t="shared" si="652"/>
        <v>-86904.418599999975</v>
      </c>
      <c r="AB559" s="150">
        <v>2187757.09</v>
      </c>
      <c r="AC559" s="199">
        <v>60635.206200000364</v>
      </c>
      <c r="AD559" s="150">
        <f t="shared" si="683"/>
        <v>2248392.2962000002</v>
      </c>
      <c r="AE559" s="150">
        <v>2248392.2962000002</v>
      </c>
      <c r="AF559" s="169" t="s">
        <v>4680</v>
      </c>
      <c r="AG559" s="201">
        <v>2187757.09</v>
      </c>
      <c r="AH559" s="199">
        <v>60635.206200000364</v>
      </c>
      <c r="AI559" s="150">
        <v>2248392.2962000002</v>
      </c>
      <c r="AJ559" s="169">
        <f t="shared" si="653"/>
        <v>0</v>
      </c>
      <c r="AK559" s="201">
        <v>2187757.09</v>
      </c>
      <c r="AL559" s="199">
        <v>60635.206200000364</v>
      </c>
      <c r="AM559" s="150">
        <f t="shared" si="684"/>
        <v>2248392.2962000002</v>
      </c>
      <c r="AN559" s="153"/>
      <c r="AO559" s="154">
        <f t="shared" si="655"/>
        <v>3.7999995984137058E-3</v>
      </c>
      <c r="AP559" s="150">
        <v>2248392.2962000002</v>
      </c>
      <c r="AQ559" s="201">
        <v>2248392.2999999998</v>
      </c>
      <c r="AR559" s="199"/>
      <c r="AS559" s="150">
        <f t="shared" si="685"/>
        <v>2248392.2999999998</v>
      </c>
      <c r="AT559" s="155" t="s">
        <v>6020</v>
      </c>
      <c r="AU559" s="156">
        <f t="shared" si="649"/>
        <v>0</v>
      </c>
      <c r="AV559" s="156">
        <f t="shared" si="650"/>
        <v>-86904.418599999975</v>
      </c>
      <c r="AW559" s="157" t="s">
        <v>6021</v>
      </c>
      <c r="AX559" s="150">
        <v>2335296.7148000002</v>
      </c>
      <c r="AY559" s="150">
        <v>1433981.59</v>
      </c>
      <c r="AZ559" s="150">
        <f>2287402.1688-AY559</f>
        <v>853420.57880000002</v>
      </c>
      <c r="BA559" s="150">
        <f t="shared" si="648"/>
        <v>2287402.1688000001</v>
      </c>
      <c r="BB559" s="205">
        <v>5</v>
      </c>
      <c r="BC559" s="206" t="s">
        <v>632</v>
      </c>
      <c r="BD559" s="206" t="s">
        <v>632</v>
      </c>
      <c r="BE559" s="206" t="s">
        <v>714</v>
      </c>
      <c r="BF559" s="206" t="s">
        <v>755</v>
      </c>
      <c r="BG559" s="287" t="s">
        <v>6173</v>
      </c>
      <c r="BH559" s="283">
        <f>SUM(AS559:AS565)</f>
        <v>2248392.2999999998</v>
      </c>
      <c r="BI559" s="205"/>
      <c r="BJ559" s="206" t="s">
        <v>6126</v>
      </c>
      <c r="BK559" s="206" t="s">
        <v>550</v>
      </c>
      <c r="BL559" s="207" t="s">
        <v>6127</v>
      </c>
      <c r="BM559" s="208">
        <f>BH559</f>
        <v>2248392.2999999998</v>
      </c>
      <c r="BN559" s="160"/>
      <c r="BO559" s="161">
        <f t="shared" si="657"/>
        <v>0</v>
      </c>
      <c r="BP559" s="161"/>
    </row>
    <row r="560" spans="1:68" ht="25.5">
      <c r="A560" s="210"/>
      <c r="B560" s="195" t="s">
        <v>6174</v>
      </c>
      <c r="C560" s="196" t="s">
        <v>6175</v>
      </c>
      <c r="D560" s="146" t="s">
        <v>4692</v>
      </c>
      <c r="E560" s="196" t="s">
        <v>6175</v>
      </c>
      <c r="F560" s="150">
        <v>0</v>
      </c>
      <c r="G560" s="209">
        <v>0</v>
      </c>
      <c r="H560" s="209"/>
      <c r="I560" s="209">
        <v>0</v>
      </c>
      <c r="J560" s="150">
        <v>0</v>
      </c>
      <c r="K560" s="150">
        <v>0</v>
      </c>
      <c r="L560" s="150">
        <f t="shared" si="656"/>
        <v>0</v>
      </c>
      <c r="M560" s="150">
        <v>0</v>
      </c>
      <c r="N560" s="150"/>
      <c r="O560" s="150">
        <v>0</v>
      </c>
      <c r="P560" s="150">
        <v>0</v>
      </c>
      <c r="Q560" s="150">
        <v>0</v>
      </c>
      <c r="R560" s="150">
        <f t="shared" si="681"/>
        <v>0</v>
      </c>
      <c r="S560" s="150">
        <f t="shared" si="651"/>
        <v>0</v>
      </c>
      <c r="T560" s="150"/>
      <c r="U560" s="150">
        <v>0</v>
      </c>
      <c r="V560" s="199"/>
      <c r="W560" s="150">
        <f t="shared" si="682"/>
        <v>0</v>
      </c>
      <c r="X560" s="150">
        <v>0</v>
      </c>
      <c r="Y560" s="150"/>
      <c r="Z560" s="150">
        <v>0</v>
      </c>
      <c r="AA560" s="150">
        <f t="shared" si="652"/>
        <v>0</v>
      </c>
      <c r="AB560" s="150">
        <v>0</v>
      </c>
      <c r="AC560" s="199"/>
      <c r="AD560" s="150">
        <f t="shared" si="683"/>
        <v>0</v>
      </c>
      <c r="AE560" s="150">
        <v>0</v>
      </c>
      <c r="AF560" s="169" t="s">
        <v>4680</v>
      </c>
      <c r="AG560" s="201">
        <v>0</v>
      </c>
      <c r="AH560" s="199"/>
      <c r="AI560" s="150">
        <v>0</v>
      </c>
      <c r="AJ560" s="169">
        <f t="shared" si="653"/>
        <v>0</v>
      </c>
      <c r="AK560" s="201">
        <v>0</v>
      </c>
      <c r="AL560" s="199"/>
      <c r="AM560" s="150">
        <f t="shared" si="684"/>
        <v>0</v>
      </c>
      <c r="AN560" s="153">
        <f t="shared" si="654"/>
        <v>0</v>
      </c>
      <c r="AO560" s="154">
        <f t="shared" si="655"/>
        <v>0</v>
      </c>
      <c r="AP560" s="150">
        <v>0</v>
      </c>
      <c r="AQ560" s="201">
        <v>0</v>
      </c>
      <c r="AR560" s="199"/>
      <c r="AS560" s="150">
        <f t="shared" si="685"/>
        <v>0</v>
      </c>
      <c r="AT560" s="155"/>
      <c r="AU560" s="156">
        <f t="shared" si="649"/>
        <v>0</v>
      </c>
      <c r="AV560" s="156">
        <f t="shared" si="650"/>
        <v>0</v>
      </c>
      <c r="AW560" s="157"/>
      <c r="AX560" s="150">
        <v>0</v>
      </c>
      <c r="AY560" s="150">
        <v>0</v>
      </c>
      <c r="AZ560" s="150"/>
      <c r="BA560" s="150">
        <f t="shared" si="648"/>
        <v>0</v>
      </c>
      <c r="BB560" s="210"/>
      <c r="BC560" s="210"/>
      <c r="BD560" s="210"/>
      <c r="BE560" s="210"/>
      <c r="BF560" s="210"/>
      <c r="BG560" s="210"/>
      <c r="BH560" s="217"/>
      <c r="BI560" s="210"/>
      <c r="BJ560" s="210"/>
      <c r="BK560" s="210"/>
      <c r="BL560" s="210"/>
      <c r="BM560" s="208"/>
      <c r="BN560" s="160"/>
      <c r="BO560" s="161">
        <f t="shared" si="657"/>
        <v>0</v>
      </c>
      <c r="BP560" s="161"/>
    </row>
    <row r="561" spans="1:68" ht="25.5">
      <c r="A561" s="210"/>
      <c r="B561" s="195" t="s">
        <v>6176</v>
      </c>
      <c r="C561" s="196" t="s">
        <v>6177</v>
      </c>
      <c r="D561" s="146" t="s">
        <v>4692</v>
      </c>
      <c r="E561" s="196" t="s">
        <v>6177</v>
      </c>
      <c r="F561" s="150">
        <v>0</v>
      </c>
      <c r="G561" s="209">
        <v>0</v>
      </c>
      <c r="H561" s="209"/>
      <c r="I561" s="209">
        <v>0</v>
      </c>
      <c r="J561" s="150">
        <v>0</v>
      </c>
      <c r="K561" s="150">
        <v>0</v>
      </c>
      <c r="L561" s="150">
        <f t="shared" si="656"/>
        <v>0</v>
      </c>
      <c r="M561" s="150">
        <v>0</v>
      </c>
      <c r="N561" s="150"/>
      <c r="O561" s="150">
        <v>0</v>
      </c>
      <c r="P561" s="150">
        <v>0</v>
      </c>
      <c r="Q561" s="150">
        <v>0</v>
      </c>
      <c r="R561" s="150">
        <f t="shared" si="681"/>
        <v>0</v>
      </c>
      <c r="S561" s="150">
        <f t="shared" si="651"/>
        <v>0</v>
      </c>
      <c r="T561" s="150"/>
      <c r="U561" s="150">
        <v>0</v>
      </c>
      <c r="V561" s="199"/>
      <c r="W561" s="150">
        <f t="shared" si="682"/>
        <v>0</v>
      </c>
      <c r="X561" s="150">
        <v>0</v>
      </c>
      <c r="Y561" s="150"/>
      <c r="Z561" s="150">
        <v>0</v>
      </c>
      <c r="AA561" s="150">
        <f t="shared" si="652"/>
        <v>0</v>
      </c>
      <c r="AB561" s="150">
        <v>0</v>
      </c>
      <c r="AC561" s="199"/>
      <c r="AD561" s="150">
        <f t="shared" si="683"/>
        <v>0</v>
      </c>
      <c r="AE561" s="150">
        <v>0</v>
      </c>
      <c r="AF561" s="169" t="s">
        <v>4680</v>
      </c>
      <c r="AG561" s="201">
        <v>0</v>
      </c>
      <c r="AH561" s="199"/>
      <c r="AI561" s="150">
        <v>0</v>
      </c>
      <c r="AJ561" s="169">
        <f t="shared" si="653"/>
        <v>0</v>
      </c>
      <c r="AK561" s="201">
        <v>0</v>
      </c>
      <c r="AL561" s="199"/>
      <c r="AM561" s="150">
        <f t="shared" si="684"/>
        <v>0</v>
      </c>
      <c r="AN561" s="153">
        <f t="shared" si="654"/>
        <v>0</v>
      </c>
      <c r="AO561" s="154">
        <f t="shared" si="655"/>
        <v>0</v>
      </c>
      <c r="AP561" s="150">
        <v>0</v>
      </c>
      <c r="AQ561" s="201">
        <v>0</v>
      </c>
      <c r="AR561" s="199"/>
      <c r="AS561" s="150">
        <f t="shared" si="685"/>
        <v>0</v>
      </c>
      <c r="AT561" s="155"/>
      <c r="AU561" s="156">
        <f t="shared" si="649"/>
        <v>0</v>
      </c>
      <c r="AV561" s="156">
        <f t="shared" si="650"/>
        <v>0</v>
      </c>
      <c r="AW561" s="157"/>
      <c r="AX561" s="150">
        <v>0</v>
      </c>
      <c r="AY561" s="150">
        <v>0</v>
      </c>
      <c r="AZ561" s="150"/>
      <c r="BA561" s="150">
        <f t="shared" si="648"/>
        <v>0</v>
      </c>
      <c r="BB561" s="210"/>
      <c r="BC561" s="210"/>
      <c r="BD561" s="210"/>
      <c r="BE561" s="210"/>
      <c r="BF561" s="210"/>
      <c r="BG561" s="210"/>
      <c r="BH561" s="217"/>
      <c r="BI561" s="210"/>
      <c r="BJ561" s="210"/>
      <c r="BK561" s="210"/>
      <c r="BL561" s="210"/>
      <c r="BM561" s="208"/>
      <c r="BN561" s="160"/>
      <c r="BO561" s="161">
        <f t="shared" si="657"/>
        <v>0</v>
      </c>
      <c r="BP561" s="161"/>
    </row>
    <row r="562" spans="1:68" ht="25.5">
      <c r="A562" s="210"/>
      <c r="B562" s="195" t="s">
        <v>6178</v>
      </c>
      <c r="C562" s="196" t="s">
        <v>6179</v>
      </c>
      <c r="D562" s="146" t="s">
        <v>4692</v>
      </c>
      <c r="E562" s="196" t="s">
        <v>6179</v>
      </c>
      <c r="F562" s="150">
        <v>0</v>
      </c>
      <c r="G562" s="209">
        <v>0</v>
      </c>
      <c r="H562" s="209"/>
      <c r="I562" s="209">
        <v>0</v>
      </c>
      <c r="J562" s="150">
        <v>0</v>
      </c>
      <c r="K562" s="150">
        <v>0</v>
      </c>
      <c r="L562" s="150">
        <f t="shared" si="656"/>
        <v>0</v>
      </c>
      <c r="M562" s="150">
        <v>0</v>
      </c>
      <c r="N562" s="150"/>
      <c r="O562" s="150">
        <v>0</v>
      </c>
      <c r="P562" s="150">
        <v>0</v>
      </c>
      <c r="Q562" s="150">
        <v>0</v>
      </c>
      <c r="R562" s="150">
        <f t="shared" si="681"/>
        <v>0</v>
      </c>
      <c r="S562" s="150">
        <f t="shared" si="651"/>
        <v>0</v>
      </c>
      <c r="T562" s="150"/>
      <c r="U562" s="150">
        <v>0</v>
      </c>
      <c r="V562" s="199"/>
      <c r="W562" s="150">
        <f t="shared" si="682"/>
        <v>0</v>
      </c>
      <c r="X562" s="150">
        <v>0</v>
      </c>
      <c r="Y562" s="150"/>
      <c r="Z562" s="150">
        <v>0</v>
      </c>
      <c r="AA562" s="150">
        <f t="shared" si="652"/>
        <v>0</v>
      </c>
      <c r="AB562" s="150">
        <v>0</v>
      </c>
      <c r="AC562" s="199"/>
      <c r="AD562" s="150">
        <f t="shared" si="683"/>
        <v>0</v>
      </c>
      <c r="AE562" s="150">
        <v>0</v>
      </c>
      <c r="AF562" s="169" t="s">
        <v>4680</v>
      </c>
      <c r="AG562" s="201">
        <v>0</v>
      </c>
      <c r="AH562" s="199"/>
      <c r="AI562" s="150">
        <v>0</v>
      </c>
      <c r="AJ562" s="169">
        <f t="shared" si="653"/>
        <v>0</v>
      </c>
      <c r="AK562" s="201">
        <v>0</v>
      </c>
      <c r="AL562" s="199"/>
      <c r="AM562" s="150">
        <f t="shared" si="684"/>
        <v>0</v>
      </c>
      <c r="AN562" s="153">
        <f t="shared" si="654"/>
        <v>0</v>
      </c>
      <c r="AO562" s="154">
        <f t="shared" si="655"/>
        <v>0</v>
      </c>
      <c r="AP562" s="150">
        <v>0</v>
      </c>
      <c r="AQ562" s="201">
        <v>0</v>
      </c>
      <c r="AR562" s="199"/>
      <c r="AS562" s="150">
        <f t="shared" si="685"/>
        <v>0</v>
      </c>
      <c r="AT562" s="155"/>
      <c r="AU562" s="156">
        <f t="shared" si="649"/>
        <v>0</v>
      </c>
      <c r="AV562" s="156">
        <f t="shared" si="650"/>
        <v>0</v>
      </c>
      <c r="AW562" s="157"/>
      <c r="AX562" s="150">
        <v>0</v>
      </c>
      <c r="AY562" s="150">
        <v>0</v>
      </c>
      <c r="AZ562" s="150"/>
      <c r="BA562" s="150">
        <f t="shared" si="648"/>
        <v>0</v>
      </c>
      <c r="BB562" s="210"/>
      <c r="BC562" s="210"/>
      <c r="BD562" s="210"/>
      <c r="BE562" s="210"/>
      <c r="BF562" s="210"/>
      <c r="BG562" s="210"/>
      <c r="BH562" s="217"/>
      <c r="BI562" s="210"/>
      <c r="BJ562" s="210"/>
      <c r="BK562" s="210"/>
      <c r="BL562" s="210"/>
      <c r="BM562" s="208"/>
      <c r="BN562" s="160"/>
      <c r="BO562" s="161">
        <f t="shared" si="657"/>
        <v>0</v>
      </c>
      <c r="BP562" s="161"/>
    </row>
    <row r="563" spans="1:68" ht="25.5">
      <c r="A563" s="210"/>
      <c r="B563" s="195" t="s">
        <v>6180</v>
      </c>
      <c r="C563" s="196" t="s">
        <v>6181</v>
      </c>
      <c r="D563" s="146" t="s">
        <v>4692</v>
      </c>
      <c r="E563" s="196" t="s">
        <v>6181</v>
      </c>
      <c r="F563" s="150">
        <v>0</v>
      </c>
      <c r="G563" s="209">
        <v>0</v>
      </c>
      <c r="H563" s="209"/>
      <c r="I563" s="209">
        <v>0</v>
      </c>
      <c r="J563" s="150">
        <v>0</v>
      </c>
      <c r="K563" s="150">
        <v>0</v>
      </c>
      <c r="L563" s="150">
        <f t="shared" si="656"/>
        <v>0</v>
      </c>
      <c r="M563" s="150">
        <v>0</v>
      </c>
      <c r="N563" s="150"/>
      <c r="O563" s="150">
        <v>0</v>
      </c>
      <c r="P563" s="150">
        <v>0</v>
      </c>
      <c r="Q563" s="150">
        <v>0</v>
      </c>
      <c r="R563" s="150">
        <f t="shared" si="681"/>
        <v>0</v>
      </c>
      <c r="S563" s="150">
        <f t="shared" si="651"/>
        <v>0</v>
      </c>
      <c r="T563" s="150"/>
      <c r="U563" s="150">
        <v>0</v>
      </c>
      <c r="V563" s="199"/>
      <c r="W563" s="150">
        <f t="shared" si="682"/>
        <v>0</v>
      </c>
      <c r="X563" s="150">
        <v>0</v>
      </c>
      <c r="Y563" s="150"/>
      <c r="Z563" s="150">
        <v>0</v>
      </c>
      <c r="AA563" s="150">
        <f t="shared" si="652"/>
        <v>0</v>
      </c>
      <c r="AB563" s="150">
        <v>0</v>
      </c>
      <c r="AC563" s="199"/>
      <c r="AD563" s="150">
        <f t="shared" si="683"/>
        <v>0</v>
      </c>
      <c r="AE563" s="150">
        <v>0</v>
      </c>
      <c r="AF563" s="169" t="s">
        <v>4680</v>
      </c>
      <c r="AG563" s="201">
        <v>0</v>
      </c>
      <c r="AH563" s="199"/>
      <c r="AI563" s="150">
        <v>0</v>
      </c>
      <c r="AJ563" s="169">
        <f t="shared" si="653"/>
        <v>0</v>
      </c>
      <c r="AK563" s="201">
        <v>0</v>
      </c>
      <c r="AL563" s="199"/>
      <c r="AM563" s="150">
        <f t="shared" si="684"/>
        <v>0</v>
      </c>
      <c r="AN563" s="153">
        <f t="shared" si="654"/>
        <v>0</v>
      </c>
      <c r="AO563" s="154">
        <f t="shared" si="655"/>
        <v>0</v>
      </c>
      <c r="AP563" s="150">
        <v>0</v>
      </c>
      <c r="AQ563" s="201">
        <v>0</v>
      </c>
      <c r="AR563" s="199"/>
      <c r="AS563" s="150">
        <f t="shared" si="685"/>
        <v>0</v>
      </c>
      <c r="AT563" s="155"/>
      <c r="AU563" s="156">
        <f t="shared" si="649"/>
        <v>0</v>
      </c>
      <c r="AV563" s="156">
        <f t="shared" si="650"/>
        <v>0</v>
      </c>
      <c r="AW563" s="157"/>
      <c r="AX563" s="150">
        <v>0</v>
      </c>
      <c r="AY563" s="150">
        <v>0</v>
      </c>
      <c r="AZ563" s="150"/>
      <c r="BA563" s="150">
        <f t="shared" si="648"/>
        <v>0</v>
      </c>
      <c r="BB563" s="210"/>
      <c r="BC563" s="210"/>
      <c r="BD563" s="210"/>
      <c r="BE563" s="210"/>
      <c r="BF563" s="210"/>
      <c r="BG563" s="210"/>
      <c r="BH563" s="217"/>
      <c r="BI563" s="210"/>
      <c r="BJ563" s="210"/>
      <c r="BK563" s="210"/>
      <c r="BL563" s="210"/>
      <c r="BM563" s="208"/>
      <c r="BN563" s="160"/>
      <c r="BO563" s="161">
        <f t="shared" si="657"/>
        <v>0</v>
      </c>
      <c r="BP563" s="161"/>
    </row>
    <row r="564" spans="1:68" ht="25.5">
      <c r="A564" s="210"/>
      <c r="B564" s="195" t="s">
        <v>6182</v>
      </c>
      <c r="C564" s="196" t="s">
        <v>6183</v>
      </c>
      <c r="D564" s="146" t="s">
        <v>4692</v>
      </c>
      <c r="E564" s="196" t="s">
        <v>6183</v>
      </c>
      <c r="F564" s="150">
        <v>0</v>
      </c>
      <c r="G564" s="209">
        <v>0</v>
      </c>
      <c r="H564" s="209"/>
      <c r="I564" s="209">
        <v>0</v>
      </c>
      <c r="J564" s="150">
        <v>0</v>
      </c>
      <c r="K564" s="150">
        <v>0</v>
      </c>
      <c r="L564" s="150">
        <f t="shared" si="656"/>
        <v>0</v>
      </c>
      <c r="M564" s="150">
        <v>0</v>
      </c>
      <c r="N564" s="150"/>
      <c r="O564" s="150">
        <v>0</v>
      </c>
      <c r="P564" s="150">
        <v>0</v>
      </c>
      <c r="Q564" s="150">
        <v>0</v>
      </c>
      <c r="R564" s="150">
        <f t="shared" si="681"/>
        <v>0</v>
      </c>
      <c r="S564" s="150">
        <f t="shared" si="651"/>
        <v>0</v>
      </c>
      <c r="T564" s="150"/>
      <c r="U564" s="150">
        <v>0</v>
      </c>
      <c r="V564" s="199"/>
      <c r="W564" s="150">
        <f t="shared" si="682"/>
        <v>0</v>
      </c>
      <c r="X564" s="150">
        <v>0</v>
      </c>
      <c r="Y564" s="150"/>
      <c r="Z564" s="150">
        <v>0</v>
      </c>
      <c r="AA564" s="150">
        <f t="shared" si="652"/>
        <v>0</v>
      </c>
      <c r="AB564" s="150">
        <v>0</v>
      </c>
      <c r="AC564" s="199"/>
      <c r="AD564" s="150">
        <f t="shared" si="683"/>
        <v>0</v>
      </c>
      <c r="AE564" s="150">
        <v>0</v>
      </c>
      <c r="AF564" s="169" t="s">
        <v>4680</v>
      </c>
      <c r="AG564" s="201">
        <v>0</v>
      </c>
      <c r="AH564" s="199"/>
      <c r="AI564" s="150">
        <v>0</v>
      </c>
      <c r="AJ564" s="169">
        <f t="shared" si="653"/>
        <v>0</v>
      </c>
      <c r="AK564" s="201">
        <v>0</v>
      </c>
      <c r="AL564" s="199"/>
      <c r="AM564" s="150">
        <f t="shared" si="684"/>
        <v>0</v>
      </c>
      <c r="AN564" s="153">
        <f t="shared" si="654"/>
        <v>0</v>
      </c>
      <c r="AO564" s="154">
        <f t="shared" si="655"/>
        <v>0</v>
      </c>
      <c r="AP564" s="150">
        <v>0</v>
      </c>
      <c r="AQ564" s="201">
        <v>0</v>
      </c>
      <c r="AR564" s="199"/>
      <c r="AS564" s="150">
        <f t="shared" si="685"/>
        <v>0</v>
      </c>
      <c r="AT564" s="155"/>
      <c r="AU564" s="156">
        <f t="shared" si="649"/>
        <v>0</v>
      </c>
      <c r="AV564" s="156">
        <f t="shared" si="650"/>
        <v>0</v>
      </c>
      <c r="AW564" s="157"/>
      <c r="AX564" s="150">
        <v>0</v>
      </c>
      <c r="AY564" s="150">
        <v>0</v>
      </c>
      <c r="AZ564" s="150"/>
      <c r="BA564" s="150">
        <f t="shared" si="648"/>
        <v>0</v>
      </c>
      <c r="BB564" s="210"/>
      <c r="BC564" s="210"/>
      <c r="BD564" s="210"/>
      <c r="BE564" s="210"/>
      <c r="BF564" s="210"/>
      <c r="BG564" s="210"/>
      <c r="BH564" s="217"/>
      <c r="BI564" s="210"/>
      <c r="BJ564" s="210"/>
      <c r="BK564" s="210"/>
      <c r="BL564" s="210"/>
      <c r="BM564" s="208"/>
      <c r="BN564" s="160"/>
      <c r="BO564" s="161">
        <f t="shared" si="657"/>
        <v>0</v>
      </c>
      <c r="BP564" s="161"/>
    </row>
    <row r="565" spans="1:68" ht="25.5">
      <c r="A565" s="210"/>
      <c r="B565" s="195" t="s">
        <v>6184</v>
      </c>
      <c r="C565" s="196" t="s">
        <v>6185</v>
      </c>
      <c r="D565" s="146" t="s">
        <v>4692</v>
      </c>
      <c r="E565" s="196" t="s">
        <v>6185</v>
      </c>
      <c r="F565" s="150">
        <v>0</v>
      </c>
      <c r="G565" s="209">
        <v>22562.92</v>
      </c>
      <c r="H565" s="209">
        <v>4.0000000008149073E-3</v>
      </c>
      <c r="I565" s="209">
        <v>22562.923999999999</v>
      </c>
      <c r="J565" s="150">
        <v>0</v>
      </c>
      <c r="K565" s="150">
        <v>0</v>
      </c>
      <c r="L565" s="150">
        <f t="shared" si="656"/>
        <v>0</v>
      </c>
      <c r="M565" s="150">
        <v>0</v>
      </c>
      <c r="N565" s="150"/>
      <c r="O565" s="150">
        <v>0</v>
      </c>
      <c r="P565" s="150">
        <v>0</v>
      </c>
      <c r="Q565" s="150">
        <v>0</v>
      </c>
      <c r="R565" s="150">
        <f t="shared" si="681"/>
        <v>0</v>
      </c>
      <c r="S565" s="150">
        <f t="shared" si="651"/>
        <v>0</v>
      </c>
      <c r="T565" s="150"/>
      <c r="U565" s="150">
        <v>0</v>
      </c>
      <c r="V565" s="199"/>
      <c r="W565" s="150">
        <f t="shared" si="682"/>
        <v>0</v>
      </c>
      <c r="X565" s="150">
        <v>0</v>
      </c>
      <c r="Y565" s="150"/>
      <c r="Z565" s="150">
        <v>0</v>
      </c>
      <c r="AA565" s="150">
        <f t="shared" si="652"/>
        <v>0</v>
      </c>
      <c r="AB565" s="150">
        <v>0</v>
      </c>
      <c r="AC565" s="199"/>
      <c r="AD565" s="150">
        <f t="shared" si="683"/>
        <v>0</v>
      </c>
      <c r="AE565" s="150">
        <v>0</v>
      </c>
      <c r="AF565" s="169" t="s">
        <v>4680</v>
      </c>
      <c r="AG565" s="201">
        <v>0</v>
      </c>
      <c r="AH565" s="199"/>
      <c r="AI565" s="150">
        <v>0</v>
      </c>
      <c r="AJ565" s="169">
        <f t="shared" si="653"/>
        <v>0</v>
      </c>
      <c r="AK565" s="201">
        <v>0</v>
      </c>
      <c r="AL565" s="199"/>
      <c r="AM565" s="150">
        <f t="shared" si="684"/>
        <v>0</v>
      </c>
      <c r="AN565" s="153">
        <f t="shared" si="654"/>
        <v>0</v>
      </c>
      <c r="AO565" s="154">
        <f t="shared" si="655"/>
        <v>0</v>
      </c>
      <c r="AP565" s="150">
        <v>0</v>
      </c>
      <c r="AQ565" s="201">
        <v>0</v>
      </c>
      <c r="AR565" s="199"/>
      <c r="AS565" s="150">
        <f t="shared" si="685"/>
        <v>0</v>
      </c>
      <c r="AT565" s="155"/>
      <c r="AU565" s="156">
        <f t="shared" si="649"/>
        <v>0</v>
      </c>
      <c r="AV565" s="156">
        <f t="shared" si="650"/>
        <v>0</v>
      </c>
      <c r="AW565" s="157"/>
      <c r="AX565" s="150">
        <v>0</v>
      </c>
      <c r="AY565" s="150">
        <v>0</v>
      </c>
      <c r="AZ565" s="150"/>
      <c r="BA565" s="150">
        <f t="shared" si="648"/>
        <v>0</v>
      </c>
      <c r="BB565" s="210"/>
      <c r="BC565" s="210"/>
      <c r="BD565" s="210"/>
      <c r="BE565" s="210"/>
      <c r="BF565" s="210"/>
      <c r="BG565" s="210"/>
      <c r="BH565" s="217"/>
      <c r="BI565" s="210"/>
      <c r="BJ565" s="210"/>
      <c r="BK565" s="210"/>
      <c r="BL565" s="210"/>
      <c r="BM565" s="208"/>
      <c r="BN565" s="160"/>
      <c r="BO565" s="161">
        <f t="shared" si="657"/>
        <v>0</v>
      </c>
      <c r="BP565" s="161"/>
    </row>
    <row r="566" spans="1:68" ht="24">
      <c r="A566" s="206" t="s">
        <v>550</v>
      </c>
      <c r="B566" s="195" t="s">
        <v>6186</v>
      </c>
      <c r="C566" s="196" t="s">
        <v>6187</v>
      </c>
      <c r="D566" s="146" t="s">
        <v>4692</v>
      </c>
      <c r="E566" s="196" t="s">
        <v>6187</v>
      </c>
      <c r="F566" s="150">
        <v>22562.92</v>
      </c>
      <c r="G566" s="209">
        <v>0</v>
      </c>
      <c r="H566" s="209"/>
      <c r="I566" s="209">
        <v>2697536.98</v>
      </c>
      <c r="J566" s="150">
        <f>F560-G567-175000</f>
        <v>-175000</v>
      </c>
      <c r="K566" s="150">
        <v>0</v>
      </c>
      <c r="L566" s="150">
        <f t="shared" si="656"/>
        <v>-175000</v>
      </c>
      <c r="M566" s="150">
        <v>11533.83</v>
      </c>
      <c r="N566" s="150"/>
      <c r="O566" s="150">
        <v>11533.83</v>
      </c>
      <c r="P566" s="150">
        <v>18314.099999999999</v>
      </c>
      <c r="Q566" s="150"/>
      <c r="R566" s="150">
        <f t="shared" si="681"/>
        <v>18314.099999999999</v>
      </c>
      <c r="S566" s="150">
        <f t="shared" si="651"/>
        <v>24418.799999999999</v>
      </c>
      <c r="T566" s="150"/>
      <c r="U566" s="150">
        <v>26741.62</v>
      </c>
      <c r="V566" s="199"/>
      <c r="W566" s="150">
        <f t="shared" si="682"/>
        <v>26741.62</v>
      </c>
      <c r="X566" s="150">
        <v>26741.62</v>
      </c>
      <c r="Y566" s="150"/>
      <c r="Z566" s="150">
        <v>26741.62</v>
      </c>
      <c r="AA566" s="150">
        <f t="shared" si="652"/>
        <v>0</v>
      </c>
      <c r="AB566" s="150">
        <v>26741.62</v>
      </c>
      <c r="AC566" s="199"/>
      <c r="AD566" s="150">
        <f t="shared" si="683"/>
        <v>26741.62</v>
      </c>
      <c r="AE566" s="150">
        <v>26741.62</v>
      </c>
      <c r="AF566" s="169" t="s">
        <v>4680</v>
      </c>
      <c r="AG566" s="201">
        <v>26741.62</v>
      </c>
      <c r="AH566" s="199"/>
      <c r="AI566" s="150">
        <v>26741.62</v>
      </c>
      <c r="AJ566" s="169">
        <f t="shared" si="653"/>
        <v>0</v>
      </c>
      <c r="AK566" s="201">
        <v>26741.62</v>
      </c>
      <c r="AL566" s="199"/>
      <c r="AM566" s="150">
        <f t="shared" si="684"/>
        <v>26741.62</v>
      </c>
      <c r="AN566" s="153">
        <f t="shared" si="654"/>
        <v>0</v>
      </c>
      <c r="AO566" s="154">
        <f t="shared" si="655"/>
        <v>0</v>
      </c>
      <c r="AP566" s="150">
        <v>26741.62</v>
      </c>
      <c r="AQ566" s="201">
        <v>26741.62</v>
      </c>
      <c r="AR566" s="199"/>
      <c r="AS566" s="150">
        <f t="shared" si="685"/>
        <v>26741.62</v>
      </c>
      <c r="AT566" s="155" t="s">
        <v>6020</v>
      </c>
      <c r="AU566" s="156">
        <f t="shared" si="649"/>
        <v>0</v>
      </c>
      <c r="AV566" s="156">
        <f t="shared" si="650"/>
        <v>0</v>
      </c>
      <c r="AW566" s="157" t="s">
        <v>6021</v>
      </c>
      <c r="AX566" s="150">
        <v>26741.62</v>
      </c>
      <c r="AY566" s="150">
        <v>15526.89</v>
      </c>
      <c r="AZ566" s="150">
        <f>24817.6365-AY566</f>
        <v>9290.7465000000011</v>
      </c>
      <c r="BA566" s="150">
        <f t="shared" si="648"/>
        <v>24817.636500000001</v>
      </c>
      <c r="BB566" s="205">
        <v>5</v>
      </c>
      <c r="BC566" s="206" t="s">
        <v>632</v>
      </c>
      <c r="BD566" s="206" t="s">
        <v>632</v>
      </c>
      <c r="BE566" s="206" t="s">
        <v>714</v>
      </c>
      <c r="BF566" s="206" t="s">
        <v>766</v>
      </c>
      <c r="BG566" s="287" t="s">
        <v>6188</v>
      </c>
      <c r="BH566" s="283">
        <f>SUM(AS566:AS571)</f>
        <v>26741.62</v>
      </c>
      <c r="BI566" s="205"/>
      <c r="BJ566" s="206" t="s">
        <v>6126</v>
      </c>
      <c r="BK566" s="206" t="s">
        <v>550</v>
      </c>
      <c r="BL566" s="207" t="s">
        <v>6127</v>
      </c>
      <c r="BM566" s="208">
        <f>BH566</f>
        <v>26741.62</v>
      </c>
      <c r="BN566" s="160"/>
      <c r="BO566" s="161">
        <f t="shared" si="657"/>
        <v>0</v>
      </c>
      <c r="BP566" s="161"/>
    </row>
    <row r="567" spans="1:68" ht="25.5">
      <c r="A567" s="210"/>
      <c r="B567" s="195" t="s">
        <v>6189</v>
      </c>
      <c r="C567" s="196" t="s">
        <v>6190</v>
      </c>
      <c r="D567" s="146" t="s">
        <v>4692</v>
      </c>
      <c r="E567" s="196" t="s">
        <v>6190</v>
      </c>
      <c r="F567" s="150">
        <v>0</v>
      </c>
      <c r="G567" s="209">
        <v>0</v>
      </c>
      <c r="H567" s="209"/>
      <c r="I567" s="209">
        <v>0</v>
      </c>
      <c r="J567" s="150">
        <v>0</v>
      </c>
      <c r="K567" s="150">
        <v>0</v>
      </c>
      <c r="L567" s="150">
        <f t="shared" si="656"/>
        <v>0</v>
      </c>
      <c r="M567" s="150">
        <v>0</v>
      </c>
      <c r="N567" s="150"/>
      <c r="O567" s="150">
        <v>0</v>
      </c>
      <c r="P567" s="150">
        <v>0</v>
      </c>
      <c r="Q567" s="150">
        <v>0</v>
      </c>
      <c r="R567" s="150">
        <f t="shared" si="681"/>
        <v>0</v>
      </c>
      <c r="S567" s="150">
        <f t="shared" si="651"/>
        <v>0</v>
      </c>
      <c r="T567" s="150"/>
      <c r="U567" s="150">
        <v>0</v>
      </c>
      <c r="V567" s="199"/>
      <c r="W567" s="150">
        <f t="shared" si="682"/>
        <v>0</v>
      </c>
      <c r="X567" s="150">
        <v>0</v>
      </c>
      <c r="Y567" s="150"/>
      <c r="Z567" s="150">
        <v>0</v>
      </c>
      <c r="AA567" s="150">
        <f t="shared" si="652"/>
        <v>0</v>
      </c>
      <c r="AB567" s="150">
        <v>0</v>
      </c>
      <c r="AC567" s="199"/>
      <c r="AD567" s="150">
        <f t="shared" si="683"/>
        <v>0</v>
      </c>
      <c r="AE567" s="150">
        <v>0</v>
      </c>
      <c r="AF567" s="169" t="s">
        <v>4680</v>
      </c>
      <c r="AG567" s="201">
        <v>0</v>
      </c>
      <c r="AH567" s="199"/>
      <c r="AI567" s="150">
        <v>0</v>
      </c>
      <c r="AJ567" s="169">
        <f t="shared" si="653"/>
        <v>0</v>
      </c>
      <c r="AK567" s="201">
        <v>0</v>
      </c>
      <c r="AL567" s="199"/>
      <c r="AM567" s="150">
        <f t="shared" si="684"/>
        <v>0</v>
      </c>
      <c r="AN567" s="153">
        <f t="shared" si="654"/>
        <v>0</v>
      </c>
      <c r="AO567" s="154">
        <f t="shared" si="655"/>
        <v>0</v>
      </c>
      <c r="AP567" s="150">
        <v>0</v>
      </c>
      <c r="AQ567" s="201">
        <v>0</v>
      </c>
      <c r="AR567" s="199"/>
      <c r="AS567" s="150">
        <f t="shared" si="685"/>
        <v>0</v>
      </c>
      <c r="AT567" s="155"/>
      <c r="AU567" s="156">
        <f t="shared" si="649"/>
        <v>0</v>
      </c>
      <c r="AV567" s="156">
        <f t="shared" si="650"/>
        <v>0</v>
      </c>
      <c r="AW567" s="157"/>
      <c r="AX567" s="150">
        <v>0</v>
      </c>
      <c r="AY567" s="150">
        <v>0</v>
      </c>
      <c r="AZ567" s="150"/>
      <c r="BA567" s="150">
        <f t="shared" ref="BA567:BA630" si="686">AY567+AZ567</f>
        <v>0</v>
      </c>
      <c r="BB567" s="210"/>
      <c r="BC567" s="210"/>
      <c r="BD567" s="210"/>
      <c r="BE567" s="210"/>
      <c r="BF567" s="210"/>
      <c r="BG567" s="210"/>
      <c r="BH567" s="217"/>
      <c r="BI567" s="210"/>
      <c r="BJ567" s="210"/>
      <c r="BK567" s="210"/>
      <c r="BL567" s="210"/>
      <c r="BM567" s="208"/>
      <c r="BN567" s="160"/>
      <c r="BO567" s="161">
        <f t="shared" si="657"/>
        <v>0</v>
      </c>
      <c r="BP567" s="161"/>
    </row>
    <row r="568" spans="1:68" ht="25.5">
      <c r="A568" s="210"/>
      <c r="B568" s="195" t="s">
        <v>6191</v>
      </c>
      <c r="C568" s="196" t="s">
        <v>6192</v>
      </c>
      <c r="D568" s="146" t="s">
        <v>4692</v>
      </c>
      <c r="E568" s="196" t="s">
        <v>6192</v>
      </c>
      <c r="F568" s="150">
        <v>0</v>
      </c>
      <c r="G568" s="209">
        <v>0</v>
      </c>
      <c r="H568" s="209"/>
      <c r="I568" s="209">
        <v>0</v>
      </c>
      <c r="J568" s="150"/>
      <c r="K568" s="150">
        <v>0</v>
      </c>
      <c r="L568" s="150">
        <f t="shared" si="656"/>
        <v>0</v>
      </c>
      <c r="M568" s="150">
        <v>0</v>
      </c>
      <c r="N568" s="150"/>
      <c r="O568" s="150">
        <v>0</v>
      </c>
      <c r="P568" s="150">
        <v>0</v>
      </c>
      <c r="Q568" s="150">
        <v>0</v>
      </c>
      <c r="R568" s="150">
        <f t="shared" si="681"/>
        <v>0</v>
      </c>
      <c r="S568" s="150">
        <f t="shared" si="651"/>
        <v>0</v>
      </c>
      <c r="T568" s="150"/>
      <c r="U568" s="150">
        <v>0</v>
      </c>
      <c r="V568" s="199"/>
      <c r="W568" s="150">
        <f t="shared" si="682"/>
        <v>0</v>
      </c>
      <c r="X568" s="150">
        <v>0</v>
      </c>
      <c r="Y568" s="150"/>
      <c r="Z568" s="150">
        <v>0</v>
      </c>
      <c r="AA568" s="150">
        <f t="shared" si="652"/>
        <v>0</v>
      </c>
      <c r="AB568" s="150">
        <v>0</v>
      </c>
      <c r="AC568" s="199"/>
      <c r="AD568" s="150">
        <f t="shared" si="683"/>
        <v>0</v>
      </c>
      <c r="AE568" s="150">
        <v>0</v>
      </c>
      <c r="AF568" s="169" t="s">
        <v>4680</v>
      </c>
      <c r="AG568" s="201">
        <v>0</v>
      </c>
      <c r="AH568" s="199"/>
      <c r="AI568" s="150">
        <v>0</v>
      </c>
      <c r="AJ568" s="169">
        <f t="shared" si="653"/>
        <v>0</v>
      </c>
      <c r="AK568" s="201">
        <v>0</v>
      </c>
      <c r="AL568" s="199"/>
      <c r="AM568" s="150">
        <f t="shared" si="684"/>
        <v>0</v>
      </c>
      <c r="AN568" s="153">
        <f t="shared" si="654"/>
        <v>0</v>
      </c>
      <c r="AO568" s="154">
        <f t="shared" si="655"/>
        <v>0</v>
      </c>
      <c r="AP568" s="150">
        <v>0</v>
      </c>
      <c r="AQ568" s="201">
        <v>0</v>
      </c>
      <c r="AR568" s="199"/>
      <c r="AS568" s="150">
        <f t="shared" si="685"/>
        <v>0</v>
      </c>
      <c r="AT568" s="155"/>
      <c r="AU568" s="156">
        <f t="shared" si="649"/>
        <v>0</v>
      </c>
      <c r="AV568" s="156">
        <f t="shared" si="650"/>
        <v>0</v>
      </c>
      <c r="AW568" s="157"/>
      <c r="AX568" s="150">
        <v>0</v>
      </c>
      <c r="AY568" s="150">
        <v>0</v>
      </c>
      <c r="AZ568" s="150"/>
      <c r="BA568" s="150">
        <f t="shared" si="686"/>
        <v>0</v>
      </c>
      <c r="BB568" s="210"/>
      <c r="BC568" s="210"/>
      <c r="BD568" s="210"/>
      <c r="BE568" s="210"/>
      <c r="BF568" s="210"/>
      <c r="BG568" s="210"/>
      <c r="BH568" s="217"/>
      <c r="BI568" s="210"/>
      <c r="BJ568" s="210"/>
      <c r="BK568" s="210"/>
      <c r="BL568" s="210"/>
      <c r="BM568" s="208"/>
      <c r="BN568" s="160"/>
      <c r="BO568" s="161">
        <f t="shared" si="657"/>
        <v>0</v>
      </c>
      <c r="BP568" s="161"/>
    </row>
    <row r="569" spans="1:68" ht="25.5">
      <c r="A569" s="210"/>
      <c r="B569" s="195" t="s">
        <v>6193</v>
      </c>
      <c r="C569" s="196" t="s">
        <v>6194</v>
      </c>
      <c r="D569" s="146" t="s">
        <v>4692</v>
      </c>
      <c r="E569" s="196" t="s">
        <v>6194</v>
      </c>
      <c r="F569" s="150">
        <v>0</v>
      </c>
      <c r="G569" s="209">
        <v>0</v>
      </c>
      <c r="H569" s="209"/>
      <c r="I569" s="209">
        <v>0</v>
      </c>
      <c r="J569" s="150">
        <v>0</v>
      </c>
      <c r="K569" s="150">
        <v>0</v>
      </c>
      <c r="L569" s="150">
        <f t="shared" si="656"/>
        <v>0</v>
      </c>
      <c r="M569" s="150">
        <v>0</v>
      </c>
      <c r="N569" s="150"/>
      <c r="O569" s="150">
        <v>0</v>
      </c>
      <c r="P569" s="150">
        <v>0</v>
      </c>
      <c r="Q569" s="150">
        <v>0</v>
      </c>
      <c r="R569" s="150">
        <f t="shared" si="681"/>
        <v>0</v>
      </c>
      <c r="S569" s="150">
        <f t="shared" si="651"/>
        <v>0</v>
      </c>
      <c r="T569" s="150"/>
      <c r="U569" s="150">
        <v>0</v>
      </c>
      <c r="V569" s="199"/>
      <c r="W569" s="150">
        <f t="shared" si="682"/>
        <v>0</v>
      </c>
      <c r="X569" s="150">
        <v>0</v>
      </c>
      <c r="Y569" s="150"/>
      <c r="Z569" s="150">
        <v>0</v>
      </c>
      <c r="AA569" s="150">
        <f t="shared" si="652"/>
        <v>0</v>
      </c>
      <c r="AB569" s="150">
        <v>0</v>
      </c>
      <c r="AC569" s="199"/>
      <c r="AD569" s="150">
        <f t="shared" si="683"/>
        <v>0</v>
      </c>
      <c r="AE569" s="150">
        <v>0</v>
      </c>
      <c r="AF569" s="169" t="s">
        <v>4680</v>
      </c>
      <c r="AG569" s="201">
        <v>0</v>
      </c>
      <c r="AH569" s="199"/>
      <c r="AI569" s="150">
        <v>0</v>
      </c>
      <c r="AJ569" s="169">
        <f t="shared" si="653"/>
        <v>0</v>
      </c>
      <c r="AK569" s="201">
        <v>0</v>
      </c>
      <c r="AL569" s="199"/>
      <c r="AM569" s="150">
        <f t="shared" si="684"/>
        <v>0</v>
      </c>
      <c r="AN569" s="153">
        <f t="shared" si="654"/>
        <v>0</v>
      </c>
      <c r="AO569" s="154">
        <f t="shared" si="655"/>
        <v>0</v>
      </c>
      <c r="AP569" s="150">
        <v>0</v>
      </c>
      <c r="AQ569" s="201">
        <v>0</v>
      </c>
      <c r="AR569" s="199"/>
      <c r="AS569" s="150">
        <f t="shared" si="685"/>
        <v>0</v>
      </c>
      <c r="AT569" s="155"/>
      <c r="AU569" s="156">
        <f t="shared" si="649"/>
        <v>0</v>
      </c>
      <c r="AV569" s="156">
        <f t="shared" si="650"/>
        <v>0</v>
      </c>
      <c r="AW569" s="157"/>
      <c r="AX569" s="150">
        <v>0</v>
      </c>
      <c r="AY569" s="150">
        <v>0</v>
      </c>
      <c r="AZ569" s="150"/>
      <c r="BA569" s="150">
        <f t="shared" si="686"/>
        <v>0</v>
      </c>
      <c r="BB569" s="210"/>
      <c r="BC569" s="210"/>
      <c r="BD569" s="210"/>
      <c r="BE569" s="210"/>
      <c r="BF569" s="210"/>
      <c r="BG569" s="210"/>
      <c r="BH569" s="217"/>
      <c r="BI569" s="210"/>
      <c r="BJ569" s="210"/>
      <c r="BK569" s="210"/>
      <c r="BL569" s="210"/>
      <c r="BM569" s="208"/>
      <c r="BN569" s="160"/>
      <c r="BO569" s="161">
        <f t="shared" si="657"/>
        <v>0</v>
      </c>
      <c r="BP569" s="161"/>
    </row>
    <row r="570" spans="1:68" ht="25.5">
      <c r="A570" s="210"/>
      <c r="B570" s="195" t="s">
        <v>6195</v>
      </c>
      <c r="C570" s="196" t="s">
        <v>6196</v>
      </c>
      <c r="D570" s="146" t="s">
        <v>4692</v>
      </c>
      <c r="E570" s="196" t="s">
        <v>6196</v>
      </c>
      <c r="F570" s="150">
        <v>0</v>
      </c>
      <c r="G570" s="209">
        <v>0</v>
      </c>
      <c r="H570" s="209"/>
      <c r="I570" s="209">
        <v>0</v>
      </c>
      <c r="J570" s="150">
        <v>0</v>
      </c>
      <c r="K570" s="150">
        <v>0</v>
      </c>
      <c r="L570" s="150">
        <f t="shared" si="656"/>
        <v>0</v>
      </c>
      <c r="M570" s="150">
        <v>0</v>
      </c>
      <c r="N570" s="150"/>
      <c r="O570" s="150">
        <v>0</v>
      </c>
      <c r="P570" s="150">
        <v>0</v>
      </c>
      <c r="Q570" s="150">
        <v>0</v>
      </c>
      <c r="R570" s="150">
        <f t="shared" si="681"/>
        <v>0</v>
      </c>
      <c r="S570" s="150">
        <f t="shared" si="651"/>
        <v>0</v>
      </c>
      <c r="T570" s="150"/>
      <c r="U570" s="150">
        <v>0</v>
      </c>
      <c r="V570" s="199"/>
      <c r="W570" s="150">
        <f t="shared" si="682"/>
        <v>0</v>
      </c>
      <c r="X570" s="150">
        <v>0</v>
      </c>
      <c r="Y570" s="150"/>
      <c r="Z570" s="150">
        <v>0</v>
      </c>
      <c r="AA570" s="150">
        <f t="shared" si="652"/>
        <v>0</v>
      </c>
      <c r="AB570" s="150">
        <v>0</v>
      </c>
      <c r="AC570" s="199"/>
      <c r="AD570" s="150">
        <f t="shared" si="683"/>
        <v>0</v>
      </c>
      <c r="AE570" s="150">
        <v>0</v>
      </c>
      <c r="AF570" s="169" t="s">
        <v>4680</v>
      </c>
      <c r="AG570" s="201">
        <v>0</v>
      </c>
      <c r="AH570" s="199"/>
      <c r="AI570" s="150">
        <v>0</v>
      </c>
      <c r="AJ570" s="169">
        <f t="shared" si="653"/>
        <v>0</v>
      </c>
      <c r="AK570" s="201">
        <v>0</v>
      </c>
      <c r="AL570" s="199"/>
      <c r="AM570" s="150">
        <f t="shared" si="684"/>
        <v>0</v>
      </c>
      <c r="AN570" s="153">
        <f t="shared" si="654"/>
        <v>0</v>
      </c>
      <c r="AO570" s="154">
        <f t="shared" si="655"/>
        <v>0</v>
      </c>
      <c r="AP570" s="150">
        <v>0</v>
      </c>
      <c r="AQ570" s="201">
        <v>0</v>
      </c>
      <c r="AR570" s="199"/>
      <c r="AS570" s="150">
        <f t="shared" si="685"/>
        <v>0</v>
      </c>
      <c r="AT570" s="155"/>
      <c r="AU570" s="156">
        <f t="shared" si="649"/>
        <v>0</v>
      </c>
      <c r="AV570" s="156">
        <f t="shared" si="650"/>
        <v>0</v>
      </c>
      <c r="AW570" s="157"/>
      <c r="AX570" s="150">
        <v>0</v>
      </c>
      <c r="AY570" s="150">
        <v>0</v>
      </c>
      <c r="AZ570" s="150"/>
      <c r="BA570" s="150">
        <f t="shared" si="686"/>
        <v>0</v>
      </c>
      <c r="BB570" s="210"/>
      <c r="BC570" s="210"/>
      <c r="BD570" s="210"/>
      <c r="BE570" s="210"/>
      <c r="BF570" s="210"/>
      <c r="BG570" s="210"/>
      <c r="BH570" s="217"/>
      <c r="BI570" s="210"/>
      <c r="BJ570" s="210"/>
      <c r="BK570" s="210"/>
      <c r="BL570" s="210"/>
      <c r="BM570" s="208"/>
      <c r="BN570" s="160"/>
      <c r="BO570" s="161">
        <f t="shared" si="657"/>
        <v>0</v>
      </c>
      <c r="BP570" s="161"/>
    </row>
    <row r="571" spans="1:68" ht="25.5">
      <c r="A571" s="210"/>
      <c r="B571" s="195" t="s">
        <v>6197</v>
      </c>
      <c r="C571" s="196" t="s">
        <v>6198</v>
      </c>
      <c r="D571" s="146" t="s">
        <v>4692</v>
      </c>
      <c r="E571" s="196" t="s">
        <v>6198</v>
      </c>
      <c r="F571" s="150">
        <v>0</v>
      </c>
      <c r="G571" s="209">
        <v>33049.519999999997</v>
      </c>
      <c r="H571" s="209">
        <v>398.93600000000151</v>
      </c>
      <c r="I571" s="209">
        <v>33448.455999999998</v>
      </c>
      <c r="J571" s="150">
        <v>0</v>
      </c>
      <c r="K571" s="150">
        <v>0</v>
      </c>
      <c r="L571" s="150">
        <f t="shared" si="656"/>
        <v>0</v>
      </c>
      <c r="M571" s="150">
        <v>0</v>
      </c>
      <c r="N571" s="150"/>
      <c r="O571" s="150">
        <v>0</v>
      </c>
      <c r="P571" s="150">
        <v>0</v>
      </c>
      <c r="Q571" s="150">
        <v>0</v>
      </c>
      <c r="R571" s="150">
        <f t="shared" si="681"/>
        <v>0</v>
      </c>
      <c r="S571" s="150">
        <f t="shared" si="651"/>
        <v>0</v>
      </c>
      <c r="T571" s="150"/>
      <c r="U571" s="150">
        <v>0</v>
      </c>
      <c r="V571" s="199"/>
      <c r="W571" s="150">
        <f t="shared" si="682"/>
        <v>0</v>
      </c>
      <c r="X571" s="150">
        <v>0</v>
      </c>
      <c r="Y571" s="150"/>
      <c r="Z571" s="150">
        <v>0</v>
      </c>
      <c r="AA571" s="150">
        <f t="shared" si="652"/>
        <v>0</v>
      </c>
      <c r="AB571" s="150">
        <v>0</v>
      </c>
      <c r="AC571" s="199"/>
      <c r="AD571" s="150">
        <f t="shared" si="683"/>
        <v>0</v>
      </c>
      <c r="AE571" s="150">
        <v>0</v>
      </c>
      <c r="AF571" s="169" t="s">
        <v>4680</v>
      </c>
      <c r="AG571" s="201">
        <v>0</v>
      </c>
      <c r="AH571" s="199"/>
      <c r="AI571" s="150">
        <v>0</v>
      </c>
      <c r="AJ571" s="169">
        <f t="shared" si="653"/>
        <v>0</v>
      </c>
      <c r="AK571" s="201">
        <v>0</v>
      </c>
      <c r="AL571" s="199"/>
      <c r="AM571" s="150">
        <f t="shared" si="684"/>
        <v>0</v>
      </c>
      <c r="AN571" s="153">
        <f t="shared" si="654"/>
        <v>0</v>
      </c>
      <c r="AO571" s="154">
        <f t="shared" si="655"/>
        <v>0</v>
      </c>
      <c r="AP571" s="150">
        <v>0</v>
      </c>
      <c r="AQ571" s="201">
        <v>0</v>
      </c>
      <c r="AR571" s="199"/>
      <c r="AS571" s="150">
        <f t="shared" si="685"/>
        <v>0</v>
      </c>
      <c r="AT571" s="155"/>
      <c r="AU571" s="156">
        <f t="shared" si="649"/>
        <v>0</v>
      </c>
      <c r="AV571" s="156">
        <f t="shared" si="650"/>
        <v>0</v>
      </c>
      <c r="AW571" s="157"/>
      <c r="AX571" s="150">
        <v>0</v>
      </c>
      <c r="AY571" s="150">
        <v>0</v>
      </c>
      <c r="AZ571" s="150"/>
      <c r="BA571" s="150">
        <f t="shared" si="686"/>
        <v>0</v>
      </c>
      <c r="BB571" s="210"/>
      <c r="BC571" s="210"/>
      <c r="BD571" s="210"/>
      <c r="BE571" s="210"/>
      <c r="BF571" s="210"/>
      <c r="BG571" s="210"/>
      <c r="BH571" s="217"/>
      <c r="BI571" s="210"/>
      <c r="BJ571" s="210"/>
      <c r="BK571" s="210"/>
      <c r="BL571" s="210"/>
      <c r="BM571" s="208"/>
      <c r="BN571" s="160"/>
      <c r="BO571" s="161">
        <f t="shared" si="657"/>
        <v>0</v>
      </c>
      <c r="BP571" s="161"/>
    </row>
    <row r="572" spans="1:68" ht="25.5">
      <c r="A572" s="206" t="s">
        <v>550</v>
      </c>
      <c r="B572" s="195" t="s">
        <v>6199</v>
      </c>
      <c r="C572" s="196" t="s">
        <v>6200</v>
      </c>
      <c r="D572" s="146" t="s">
        <v>4692</v>
      </c>
      <c r="E572" s="196" t="s">
        <v>6200</v>
      </c>
      <c r="F572" s="150">
        <v>33049.519999999997</v>
      </c>
      <c r="G572" s="209">
        <v>407.58</v>
      </c>
      <c r="H572" s="209">
        <v>-2.3999999999659849E-3</v>
      </c>
      <c r="I572" s="209">
        <v>407.57760000000002</v>
      </c>
      <c r="J572" s="150">
        <v>18020.57</v>
      </c>
      <c r="K572" s="150">
        <v>0</v>
      </c>
      <c r="L572" s="150">
        <f t="shared" si="656"/>
        <v>18020.57</v>
      </c>
      <c r="M572" s="150">
        <v>43448.25</v>
      </c>
      <c r="N572" s="150"/>
      <c r="O572" s="150">
        <v>43448.25</v>
      </c>
      <c r="P572" s="150">
        <v>64259.57</v>
      </c>
      <c r="Q572" s="150"/>
      <c r="R572" s="150">
        <f t="shared" si="681"/>
        <v>64259.57</v>
      </c>
      <c r="S572" s="150">
        <f t="shared" si="651"/>
        <v>85679.426666666666</v>
      </c>
      <c r="T572" s="150"/>
      <c r="U572" s="150">
        <v>114346.77</v>
      </c>
      <c r="V572" s="199"/>
      <c r="W572" s="150">
        <f t="shared" si="682"/>
        <v>114346.77</v>
      </c>
      <c r="X572" s="150">
        <v>114346.77</v>
      </c>
      <c r="Y572" s="150"/>
      <c r="Z572" s="150">
        <v>114346.77</v>
      </c>
      <c r="AA572" s="150">
        <f t="shared" si="652"/>
        <v>0</v>
      </c>
      <c r="AB572" s="150">
        <v>114346.77</v>
      </c>
      <c r="AC572" s="199"/>
      <c r="AD572" s="150">
        <f t="shared" si="683"/>
        <v>114346.77</v>
      </c>
      <c r="AE572" s="150">
        <v>114346.77</v>
      </c>
      <c r="AF572" s="169" t="s">
        <v>4680</v>
      </c>
      <c r="AG572" s="201">
        <v>114346.77</v>
      </c>
      <c r="AH572" s="199"/>
      <c r="AI572" s="150">
        <v>114346.77</v>
      </c>
      <c r="AJ572" s="169">
        <f t="shared" si="653"/>
        <v>0</v>
      </c>
      <c r="AK572" s="201">
        <v>114346.77</v>
      </c>
      <c r="AL572" s="199"/>
      <c r="AM572" s="150">
        <f t="shared" si="684"/>
        <v>114346.77</v>
      </c>
      <c r="AN572" s="153">
        <f t="shared" si="654"/>
        <v>0</v>
      </c>
      <c r="AO572" s="154">
        <f t="shared" si="655"/>
        <v>0</v>
      </c>
      <c r="AP572" s="150">
        <v>114346.77</v>
      </c>
      <c r="AQ572" s="201">
        <v>114346.77</v>
      </c>
      <c r="AR572" s="199"/>
      <c r="AS572" s="150">
        <f t="shared" si="685"/>
        <v>114346.77</v>
      </c>
      <c r="AT572" s="155"/>
      <c r="AU572" s="156">
        <f t="shared" si="649"/>
        <v>0</v>
      </c>
      <c r="AV572" s="156">
        <f t="shared" si="650"/>
        <v>0</v>
      </c>
      <c r="AW572" s="157"/>
      <c r="AX572" s="150">
        <v>114346.77</v>
      </c>
      <c r="AY572" s="150">
        <v>54734.81</v>
      </c>
      <c r="AZ572" s="150">
        <f>84221.358-AY572</f>
        <v>29486.547999999995</v>
      </c>
      <c r="BA572" s="150">
        <f t="shared" si="686"/>
        <v>84221.357999999993</v>
      </c>
      <c r="BB572" s="205">
        <v>5</v>
      </c>
      <c r="BC572" s="206" t="s">
        <v>632</v>
      </c>
      <c r="BD572" s="206" t="s">
        <v>632</v>
      </c>
      <c r="BE572" s="206" t="s">
        <v>714</v>
      </c>
      <c r="BF572" s="206" t="s">
        <v>779</v>
      </c>
      <c r="BG572" s="287" t="s">
        <v>6201</v>
      </c>
      <c r="BH572" s="283">
        <f>AS572</f>
        <v>114346.77</v>
      </c>
      <c r="BI572" s="205"/>
      <c r="BJ572" s="206" t="s">
        <v>6126</v>
      </c>
      <c r="BK572" s="206" t="s">
        <v>550</v>
      </c>
      <c r="BL572" s="207" t="s">
        <v>6127</v>
      </c>
      <c r="BM572" s="208">
        <f>BH572</f>
        <v>114346.77</v>
      </c>
      <c r="BN572" s="160"/>
      <c r="BO572" s="161">
        <f t="shared" si="657"/>
        <v>0</v>
      </c>
      <c r="BP572" s="161"/>
    </row>
    <row r="573" spans="1:68">
      <c r="A573" s="206" t="s">
        <v>550</v>
      </c>
      <c r="B573" s="195" t="s">
        <v>6202</v>
      </c>
      <c r="C573" s="196" t="s">
        <v>6203</v>
      </c>
      <c r="D573" s="146" t="s">
        <v>4692</v>
      </c>
      <c r="E573" s="196" t="s">
        <v>6203</v>
      </c>
      <c r="F573" s="150">
        <v>407.58</v>
      </c>
      <c r="G573" s="209">
        <v>437176.54</v>
      </c>
      <c r="H573" s="209">
        <v>41928.99040000001</v>
      </c>
      <c r="I573" s="209">
        <v>479105.53039999999</v>
      </c>
      <c r="J573" s="150">
        <v>0</v>
      </c>
      <c r="K573" s="150">
        <v>0</v>
      </c>
      <c r="L573" s="150">
        <f t="shared" si="656"/>
        <v>0</v>
      </c>
      <c r="M573" s="150">
        <v>39211.35</v>
      </c>
      <c r="N573" s="150">
        <v>2345.3148000000001</v>
      </c>
      <c r="O573" s="150">
        <v>41556.664799999999</v>
      </c>
      <c r="P573" s="150">
        <v>82892.87</v>
      </c>
      <c r="Q573" s="150">
        <v>3908.8611999999994</v>
      </c>
      <c r="R573" s="150">
        <f t="shared" si="681"/>
        <v>86801.731199999995</v>
      </c>
      <c r="S573" s="150">
        <f t="shared" si="651"/>
        <v>115735.6416</v>
      </c>
      <c r="T573" s="150"/>
      <c r="U573" s="150">
        <v>131570.28</v>
      </c>
      <c r="V573" s="199"/>
      <c r="W573" s="150">
        <f t="shared" si="682"/>
        <v>131570.28</v>
      </c>
      <c r="X573" s="150">
        <v>131570.28</v>
      </c>
      <c r="Y573" s="150"/>
      <c r="Z573" s="150">
        <v>131570.28</v>
      </c>
      <c r="AA573" s="150">
        <f t="shared" si="652"/>
        <v>0</v>
      </c>
      <c r="AB573" s="150">
        <v>131570.28</v>
      </c>
      <c r="AC573" s="199"/>
      <c r="AD573" s="150">
        <f t="shared" si="683"/>
        <v>131570.28</v>
      </c>
      <c r="AE573" s="150">
        <v>131570.28</v>
      </c>
      <c r="AF573" s="169" t="s">
        <v>4680</v>
      </c>
      <c r="AG573" s="201">
        <v>131570.28</v>
      </c>
      <c r="AH573" s="199"/>
      <c r="AI573" s="150">
        <v>131570.28</v>
      </c>
      <c r="AJ573" s="169">
        <f t="shared" si="653"/>
        <v>0</v>
      </c>
      <c r="AK573" s="201">
        <v>131570.28</v>
      </c>
      <c r="AL573" s="199"/>
      <c r="AM573" s="150">
        <f t="shared" si="684"/>
        <v>131570.28</v>
      </c>
      <c r="AN573" s="153">
        <f t="shared" si="654"/>
        <v>0</v>
      </c>
      <c r="AO573" s="154">
        <f t="shared" si="655"/>
        <v>0</v>
      </c>
      <c r="AP573" s="150">
        <v>131570.28</v>
      </c>
      <c r="AQ573" s="201">
        <v>131570.28</v>
      </c>
      <c r="AR573" s="199"/>
      <c r="AS573" s="150">
        <f t="shared" si="685"/>
        <v>131570.28</v>
      </c>
      <c r="AT573" s="155"/>
      <c r="AU573" s="156">
        <f t="shared" si="649"/>
        <v>0</v>
      </c>
      <c r="AV573" s="156">
        <f t="shared" si="650"/>
        <v>0</v>
      </c>
      <c r="AW573" s="157"/>
      <c r="AX573" s="150">
        <v>131570.28</v>
      </c>
      <c r="AY573" s="150">
        <v>72338.89</v>
      </c>
      <c r="AZ573" s="150">
        <f>118475.9568-AY573</f>
        <v>46137.066800000001</v>
      </c>
      <c r="BA573" s="150">
        <f t="shared" si="686"/>
        <v>118475.9568</v>
      </c>
      <c r="BB573" s="205">
        <v>5</v>
      </c>
      <c r="BC573" s="206" t="s">
        <v>632</v>
      </c>
      <c r="BD573" s="206" t="s">
        <v>632</v>
      </c>
      <c r="BE573" s="206" t="s">
        <v>714</v>
      </c>
      <c r="BF573" s="206" t="s">
        <v>1225</v>
      </c>
      <c r="BG573" s="287" t="s">
        <v>6204</v>
      </c>
      <c r="BH573" s="283">
        <f>AS573</f>
        <v>131570.28</v>
      </c>
      <c r="BI573" s="205"/>
      <c r="BJ573" s="206" t="s">
        <v>6126</v>
      </c>
      <c r="BK573" s="206" t="s">
        <v>550</v>
      </c>
      <c r="BL573" s="207" t="s">
        <v>6127</v>
      </c>
      <c r="BM573" s="208">
        <f>BH573</f>
        <v>131570.28</v>
      </c>
      <c r="BN573" s="160"/>
      <c r="BO573" s="161">
        <f t="shared" si="657"/>
        <v>0</v>
      </c>
      <c r="BP573" s="161"/>
    </row>
    <row r="574" spans="1:68" ht="43.5" customHeight="1">
      <c r="A574" s="206" t="s">
        <v>550</v>
      </c>
      <c r="B574" s="195" t="s">
        <v>6205</v>
      </c>
      <c r="C574" s="196" t="s">
        <v>6206</v>
      </c>
      <c r="D574" s="146" t="s">
        <v>4692</v>
      </c>
      <c r="E574" s="196" t="s">
        <v>6206</v>
      </c>
      <c r="F574" s="150">
        <v>438757.55</v>
      </c>
      <c r="G574" s="209">
        <v>1056090.67</v>
      </c>
      <c r="H574" s="209">
        <v>7322.69020000007</v>
      </c>
      <c r="I574" s="209">
        <v>1063413.3602</v>
      </c>
      <c r="J574" s="150">
        <v>200311.81</v>
      </c>
      <c r="K574" s="150">
        <v>30298.321800000005</v>
      </c>
      <c r="L574" s="150">
        <f t="shared" si="656"/>
        <v>230610.1318</v>
      </c>
      <c r="M574" s="150">
        <v>422741.34</v>
      </c>
      <c r="N574" s="150">
        <v>82863.496199999994</v>
      </c>
      <c r="O574" s="150">
        <v>505604.83620000002</v>
      </c>
      <c r="P574" s="150">
        <v>681884.24</v>
      </c>
      <c r="Q574" s="150">
        <v>2642.9925999999978</v>
      </c>
      <c r="R574" s="150">
        <f t="shared" si="681"/>
        <v>684527.23259999999</v>
      </c>
      <c r="S574" s="150">
        <f t="shared" si="651"/>
        <v>912702.97679999995</v>
      </c>
      <c r="T574" s="150"/>
      <c r="U574" s="150">
        <v>1108316.49</v>
      </c>
      <c r="V574" s="199">
        <v>186135.74659999995</v>
      </c>
      <c r="W574" s="150">
        <f t="shared" si="682"/>
        <v>1294452.2365999999</v>
      </c>
      <c r="X574" s="150">
        <v>1108316.49</v>
      </c>
      <c r="Y574" s="150">
        <v>186135.74659999995</v>
      </c>
      <c r="Z574" s="150">
        <v>1294452.2365999999</v>
      </c>
      <c r="AA574" s="150">
        <f t="shared" si="652"/>
        <v>0</v>
      </c>
      <c r="AB574" s="150">
        <v>1108316.49</v>
      </c>
      <c r="AC574" s="199">
        <v>186135.74659999995</v>
      </c>
      <c r="AD574" s="150">
        <f t="shared" si="683"/>
        <v>1294452.2365999999</v>
      </c>
      <c r="AE574" s="150">
        <v>1294452.2365999999</v>
      </c>
      <c r="AF574" s="169" t="s">
        <v>4680</v>
      </c>
      <c r="AG574" s="201">
        <v>1108316.49</v>
      </c>
      <c r="AH574" s="199">
        <v>186135.74659999995</v>
      </c>
      <c r="AI574" s="150">
        <v>1294452.2365999999</v>
      </c>
      <c r="AJ574" s="169">
        <f t="shared" si="653"/>
        <v>0</v>
      </c>
      <c r="AK574" s="201">
        <v>1108316.49</v>
      </c>
      <c r="AL574" s="199">
        <v>186135.74659999995</v>
      </c>
      <c r="AM574" s="150">
        <f t="shared" si="684"/>
        <v>1294452.2365999999</v>
      </c>
      <c r="AN574" s="153"/>
      <c r="AO574" s="154">
        <f t="shared" si="655"/>
        <v>3.4000000450760126E-3</v>
      </c>
      <c r="AP574" s="150">
        <v>1294452.2365999999</v>
      </c>
      <c r="AQ574" s="201">
        <v>1294452.24</v>
      </c>
      <c r="AR574" s="199"/>
      <c r="AS574" s="150">
        <f t="shared" si="685"/>
        <v>1294452.24</v>
      </c>
      <c r="AT574" s="155" t="s">
        <v>6020</v>
      </c>
      <c r="AU574" s="156">
        <f t="shared" si="649"/>
        <v>0</v>
      </c>
      <c r="AV574" s="156">
        <f t="shared" si="650"/>
        <v>0</v>
      </c>
      <c r="AW574" s="157" t="s">
        <v>6021</v>
      </c>
      <c r="AX574" s="150">
        <v>1294452.2365999999</v>
      </c>
      <c r="AY574" s="150">
        <v>589123.77</v>
      </c>
      <c r="AZ574" s="150">
        <f>1082688.9225-AY574</f>
        <v>493565.15250000008</v>
      </c>
      <c r="BA574" s="150">
        <f t="shared" si="686"/>
        <v>1082688.9225000001</v>
      </c>
      <c r="BB574" s="205">
        <v>5</v>
      </c>
      <c r="BC574" s="206" t="s">
        <v>632</v>
      </c>
      <c r="BD574" s="206" t="s">
        <v>632</v>
      </c>
      <c r="BE574" s="206" t="s">
        <v>714</v>
      </c>
      <c r="BF574" s="206" t="s">
        <v>1229</v>
      </c>
      <c r="BG574" s="287" t="s">
        <v>6207</v>
      </c>
      <c r="BH574" s="283">
        <f>SUM(AS574:AS604)</f>
        <v>8790303.0299999993</v>
      </c>
      <c r="BI574" s="205"/>
      <c r="BJ574" s="206" t="s">
        <v>6126</v>
      </c>
      <c r="BK574" s="206" t="s">
        <v>550</v>
      </c>
      <c r="BL574" s="207" t="s">
        <v>6127</v>
      </c>
      <c r="BM574" s="208">
        <f>BH574</f>
        <v>8790303.0299999993</v>
      </c>
      <c r="BN574" s="160"/>
      <c r="BO574" s="161"/>
      <c r="BP574" s="161"/>
    </row>
    <row r="575" spans="1:68" ht="51">
      <c r="A575" s="210"/>
      <c r="B575" s="195" t="s">
        <v>6208</v>
      </c>
      <c r="C575" s="196" t="s">
        <v>6209</v>
      </c>
      <c r="D575" s="146" t="s">
        <v>4692</v>
      </c>
      <c r="E575" s="196" t="s">
        <v>6209</v>
      </c>
      <c r="F575" s="150">
        <v>1059340.46</v>
      </c>
      <c r="G575" s="209">
        <v>0</v>
      </c>
      <c r="H575" s="209"/>
      <c r="I575" s="209">
        <v>0</v>
      </c>
      <c r="J575" s="150">
        <v>65363.92</v>
      </c>
      <c r="K575" s="150">
        <v>6349.1999999999971</v>
      </c>
      <c r="L575" s="150">
        <f t="shared" si="656"/>
        <v>71713.119999999995</v>
      </c>
      <c r="M575" s="150">
        <v>159650.92000000001</v>
      </c>
      <c r="N575" s="150">
        <v>12225.187999999995</v>
      </c>
      <c r="O575" s="150">
        <v>171876.10800000001</v>
      </c>
      <c r="P575" s="150">
        <v>546891.07999999996</v>
      </c>
      <c r="Q575" s="150">
        <v>28604.560000000056</v>
      </c>
      <c r="R575" s="150">
        <f t="shared" si="681"/>
        <v>575495.64</v>
      </c>
      <c r="S575" s="150">
        <f t="shared" si="651"/>
        <v>767327.52</v>
      </c>
      <c r="T575" s="150"/>
      <c r="U575" s="150">
        <v>900094.6</v>
      </c>
      <c r="V575" s="199">
        <v>23778.821899999981</v>
      </c>
      <c r="W575" s="150">
        <f t="shared" si="682"/>
        <v>923873.42189999996</v>
      </c>
      <c r="X575" s="150">
        <v>900094.6</v>
      </c>
      <c r="Y575" s="150">
        <v>23778.821899999981</v>
      </c>
      <c r="Z575" s="150">
        <v>923873.42189999996</v>
      </c>
      <c r="AA575" s="150">
        <f t="shared" si="652"/>
        <v>2496</v>
      </c>
      <c r="AB575" s="150">
        <v>913420.55</v>
      </c>
      <c r="AC575" s="199">
        <v>12948.871899999911</v>
      </c>
      <c r="AD575" s="150">
        <f t="shared" si="683"/>
        <v>926369.42189999996</v>
      </c>
      <c r="AE575" s="150">
        <v>926369.42189999996</v>
      </c>
      <c r="AF575" s="169" t="s">
        <v>4680</v>
      </c>
      <c r="AG575" s="201">
        <v>913420.55</v>
      </c>
      <c r="AH575" s="199">
        <v>12948.871899999911</v>
      </c>
      <c r="AI575" s="150">
        <v>926369.42189999996</v>
      </c>
      <c r="AJ575" s="169">
        <f t="shared" si="653"/>
        <v>0</v>
      </c>
      <c r="AK575" s="201">
        <v>913420.55</v>
      </c>
      <c r="AL575" s="199">
        <v>12948.871899999911</v>
      </c>
      <c r="AM575" s="150">
        <f t="shared" si="684"/>
        <v>926369.42189999996</v>
      </c>
      <c r="AN575" s="153"/>
      <c r="AO575" s="154">
        <f t="shared" si="655"/>
        <v>-1.8999999156221747E-3</v>
      </c>
      <c r="AP575" s="150">
        <v>926369.42189999996</v>
      </c>
      <c r="AQ575" s="201">
        <v>926369.42</v>
      </c>
      <c r="AR575" s="199"/>
      <c r="AS575" s="150">
        <f t="shared" si="685"/>
        <v>926369.42</v>
      </c>
      <c r="AT575" s="155" t="s">
        <v>6020</v>
      </c>
      <c r="AU575" s="156">
        <f t="shared" si="649"/>
        <v>0</v>
      </c>
      <c r="AV575" s="156">
        <f t="shared" si="650"/>
        <v>2496</v>
      </c>
      <c r="AW575" s="157" t="s">
        <v>6021</v>
      </c>
      <c r="AX575" s="150">
        <v>923873.42189999996</v>
      </c>
      <c r="AY575" s="150">
        <v>432192.07</v>
      </c>
      <c r="AZ575" s="150">
        <v>422594.0576</v>
      </c>
      <c r="BA575" s="150">
        <f t="shared" si="686"/>
        <v>854786.12760000001</v>
      </c>
      <c r="BB575" s="210"/>
      <c r="BC575" s="210"/>
      <c r="BD575" s="210"/>
      <c r="BE575" s="210"/>
      <c r="BF575" s="210"/>
      <c r="BG575" s="210"/>
      <c r="BH575" s="217"/>
      <c r="BI575" s="210"/>
      <c r="BJ575" s="210"/>
      <c r="BK575" s="210"/>
      <c r="BL575" s="210"/>
      <c r="BM575" s="208"/>
      <c r="BN575" s="160"/>
      <c r="BO575" s="161"/>
      <c r="BP575" s="161"/>
    </row>
    <row r="576" spans="1:68" ht="38.25">
      <c r="A576" s="210"/>
      <c r="B576" s="195" t="s">
        <v>6210</v>
      </c>
      <c r="C576" s="196" t="s">
        <v>6211</v>
      </c>
      <c r="D576" s="146" t="s">
        <v>4692</v>
      </c>
      <c r="E576" s="196" t="s">
        <v>6211</v>
      </c>
      <c r="F576" s="150">
        <v>0</v>
      </c>
      <c r="G576" s="209">
        <v>0</v>
      </c>
      <c r="H576" s="209"/>
      <c r="I576" s="209">
        <v>0</v>
      </c>
      <c r="J576" s="150">
        <v>0</v>
      </c>
      <c r="K576" s="150">
        <v>0</v>
      </c>
      <c r="L576" s="150">
        <f t="shared" si="656"/>
        <v>0</v>
      </c>
      <c r="M576" s="150">
        <v>0</v>
      </c>
      <c r="N576" s="150"/>
      <c r="O576" s="150">
        <v>0</v>
      </c>
      <c r="P576" s="150">
        <v>0</v>
      </c>
      <c r="Q576" s="150">
        <v>0</v>
      </c>
      <c r="R576" s="150">
        <f t="shared" si="681"/>
        <v>0</v>
      </c>
      <c r="S576" s="150">
        <f t="shared" si="651"/>
        <v>0</v>
      </c>
      <c r="T576" s="150"/>
      <c r="U576" s="150">
        <v>0</v>
      </c>
      <c r="V576" s="199"/>
      <c r="W576" s="150">
        <f t="shared" si="682"/>
        <v>0</v>
      </c>
      <c r="X576" s="150">
        <v>0</v>
      </c>
      <c r="Y576" s="150"/>
      <c r="Z576" s="150">
        <v>0</v>
      </c>
      <c r="AA576" s="150">
        <f t="shared" si="652"/>
        <v>0</v>
      </c>
      <c r="AB576" s="150">
        <v>0</v>
      </c>
      <c r="AC576" s="199"/>
      <c r="AD576" s="150">
        <f t="shared" si="683"/>
        <v>0</v>
      </c>
      <c r="AE576" s="150">
        <v>0</v>
      </c>
      <c r="AF576" s="169" t="s">
        <v>4680</v>
      </c>
      <c r="AG576" s="201">
        <v>0</v>
      </c>
      <c r="AH576" s="199"/>
      <c r="AI576" s="150">
        <v>0</v>
      </c>
      <c r="AJ576" s="169">
        <f t="shared" si="653"/>
        <v>0</v>
      </c>
      <c r="AK576" s="201">
        <v>0</v>
      </c>
      <c r="AL576" s="199"/>
      <c r="AM576" s="150">
        <f t="shared" si="684"/>
        <v>0</v>
      </c>
      <c r="AN576" s="153">
        <f t="shared" si="654"/>
        <v>0</v>
      </c>
      <c r="AO576" s="154">
        <f t="shared" si="655"/>
        <v>0</v>
      </c>
      <c r="AP576" s="150">
        <v>0</v>
      </c>
      <c r="AQ576" s="201">
        <v>0</v>
      </c>
      <c r="AR576" s="199"/>
      <c r="AS576" s="150">
        <f t="shared" si="685"/>
        <v>0</v>
      </c>
      <c r="AT576" s="155"/>
      <c r="AU576" s="156">
        <f t="shared" si="649"/>
        <v>0</v>
      </c>
      <c r="AV576" s="156">
        <f t="shared" si="650"/>
        <v>0</v>
      </c>
      <c r="AW576" s="157"/>
      <c r="AX576" s="150">
        <v>0</v>
      </c>
      <c r="AY576" s="150">
        <v>0</v>
      </c>
      <c r="AZ576" s="150"/>
      <c r="BA576" s="150">
        <f t="shared" si="686"/>
        <v>0</v>
      </c>
      <c r="BB576" s="210"/>
      <c r="BC576" s="210"/>
      <c r="BD576" s="210"/>
      <c r="BE576" s="210"/>
      <c r="BF576" s="210"/>
      <c r="BG576" s="210"/>
      <c r="BH576" s="217"/>
      <c r="BI576" s="210"/>
      <c r="BJ576" s="210"/>
      <c r="BK576" s="210"/>
      <c r="BL576" s="210"/>
      <c r="BM576" s="208"/>
      <c r="BN576" s="160"/>
      <c r="BO576" s="161"/>
      <c r="BP576" s="161"/>
    </row>
    <row r="577" spans="1:68" ht="51">
      <c r="A577" s="210"/>
      <c r="B577" s="195" t="s">
        <v>6212</v>
      </c>
      <c r="C577" s="196" t="s">
        <v>6213</v>
      </c>
      <c r="D577" s="146" t="s">
        <v>4692</v>
      </c>
      <c r="E577" s="196" t="s">
        <v>6213</v>
      </c>
      <c r="F577" s="150">
        <v>0</v>
      </c>
      <c r="G577" s="209">
        <v>0</v>
      </c>
      <c r="H577" s="209"/>
      <c r="I577" s="209">
        <v>0</v>
      </c>
      <c r="J577" s="150">
        <v>0</v>
      </c>
      <c r="K577" s="150">
        <v>0</v>
      </c>
      <c r="L577" s="150">
        <f t="shared" si="656"/>
        <v>0</v>
      </c>
      <c r="M577" s="150">
        <v>0</v>
      </c>
      <c r="N577" s="150"/>
      <c r="O577" s="150">
        <v>0</v>
      </c>
      <c r="P577" s="150">
        <v>0</v>
      </c>
      <c r="Q577" s="150">
        <v>0</v>
      </c>
      <c r="R577" s="150">
        <f t="shared" si="681"/>
        <v>0</v>
      </c>
      <c r="S577" s="150">
        <f t="shared" si="651"/>
        <v>0</v>
      </c>
      <c r="T577" s="150"/>
      <c r="U577" s="150">
        <v>0</v>
      </c>
      <c r="V577" s="199"/>
      <c r="W577" s="150">
        <f t="shared" si="682"/>
        <v>0</v>
      </c>
      <c r="X577" s="150">
        <v>0</v>
      </c>
      <c r="Y577" s="150"/>
      <c r="Z577" s="150">
        <v>0</v>
      </c>
      <c r="AA577" s="150">
        <f t="shared" si="652"/>
        <v>0</v>
      </c>
      <c r="AB577" s="150">
        <v>0</v>
      </c>
      <c r="AC577" s="199"/>
      <c r="AD577" s="150">
        <f t="shared" si="683"/>
        <v>0</v>
      </c>
      <c r="AE577" s="150">
        <v>0</v>
      </c>
      <c r="AF577" s="169" t="s">
        <v>4680</v>
      </c>
      <c r="AG577" s="201">
        <v>0</v>
      </c>
      <c r="AH577" s="199"/>
      <c r="AI577" s="150">
        <v>0</v>
      </c>
      <c r="AJ577" s="169">
        <f t="shared" si="653"/>
        <v>0</v>
      </c>
      <c r="AK577" s="201">
        <v>0</v>
      </c>
      <c r="AL577" s="199"/>
      <c r="AM577" s="150">
        <f t="shared" si="684"/>
        <v>0</v>
      </c>
      <c r="AN577" s="153">
        <f t="shared" si="654"/>
        <v>0</v>
      </c>
      <c r="AO577" s="154">
        <f t="shared" si="655"/>
        <v>0</v>
      </c>
      <c r="AP577" s="150">
        <v>0</v>
      </c>
      <c r="AQ577" s="201">
        <v>0</v>
      </c>
      <c r="AR577" s="199"/>
      <c r="AS577" s="150">
        <f t="shared" si="685"/>
        <v>0</v>
      </c>
      <c r="AT577" s="155"/>
      <c r="AU577" s="156">
        <f t="shared" si="649"/>
        <v>0</v>
      </c>
      <c r="AV577" s="156">
        <f t="shared" si="650"/>
        <v>0</v>
      </c>
      <c r="AW577" s="157"/>
      <c r="AX577" s="150">
        <v>0</v>
      </c>
      <c r="AY577" s="150">
        <v>0</v>
      </c>
      <c r="AZ577" s="150"/>
      <c r="BA577" s="150">
        <f t="shared" si="686"/>
        <v>0</v>
      </c>
      <c r="BB577" s="210"/>
      <c r="BC577" s="210"/>
      <c r="BD577" s="210"/>
      <c r="BE577" s="210"/>
      <c r="BF577" s="210"/>
      <c r="BG577" s="210"/>
      <c r="BH577" s="217"/>
      <c r="BI577" s="210"/>
      <c r="BJ577" s="210"/>
      <c r="BK577" s="210"/>
      <c r="BL577" s="210"/>
      <c r="BM577" s="208"/>
      <c r="BN577" s="160"/>
      <c r="BO577" s="161"/>
      <c r="BP577" s="161"/>
    </row>
    <row r="578" spans="1:68" ht="51">
      <c r="A578" s="210"/>
      <c r="B578" s="195" t="s">
        <v>6214</v>
      </c>
      <c r="C578" s="196" t="s">
        <v>6215</v>
      </c>
      <c r="D578" s="146" t="s">
        <v>4692</v>
      </c>
      <c r="E578" s="196" t="s">
        <v>6215</v>
      </c>
      <c r="F578" s="150">
        <v>0</v>
      </c>
      <c r="G578" s="209">
        <v>0</v>
      </c>
      <c r="H578" s="209"/>
      <c r="I578" s="209">
        <v>0</v>
      </c>
      <c r="J578" s="150">
        <v>0</v>
      </c>
      <c r="K578" s="150">
        <v>0</v>
      </c>
      <c r="L578" s="150">
        <f t="shared" si="656"/>
        <v>0</v>
      </c>
      <c r="M578" s="150">
        <v>0</v>
      </c>
      <c r="N578" s="150"/>
      <c r="O578" s="150">
        <v>0</v>
      </c>
      <c r="P578" s="150">
        <v>0</v>
      </c>
      <c r="Q578" s="150">
        <v>0</v>
      </c>
      <c r="R578" s="150">
        <f t="shared" si="681"/>
        <v>0</v>
      </c>
      <c r="S578" s="150">
        <f t="shared" si="651"/>
        <v>0</v>
      </c>
      <c r="T578" s="150"/>
      <c r="U578" s="150">
        <v>0</v>
      </c>
      <c r="V578" s="199"/>
      <c r="W578" s="150">
        <f t="shared" si="682"/>
        <v>0</v>
      </c>
      <c r="X578" s="150">
        <v>0</v>
      </c>
      <c r="Y578" s="150"/>
      <c r="Z578" s="150">
        <v>0</v>
      </c>
      <c r="AA578" s="150">
        <f t="shared" si="652"/>
        <v>0</v>
      </c>
      <c r="AB578" s="150">
        <v>0</v>
      </c>
      <c r="AC578" s="199"/>
      <c r="AD578" s="150">
        <f t="shared" si="683"/>
        <v>0</v>
      </c>
      <c r="AE578" s="150">
        <v>0</v>
      </c>
      <c r="AF578" s="169" t="s">
        <v>4680</v>
      </c>
      <c r="AG578" s="201">
        <v>0</v>
      </c>
      <c r="AH578" s="199"/>
      <c r="AI578" s="150">
        <v>0</v>
      </c>
      <c r="AJ578" s="169">
        <f t="shared" si="653"/>
        <v>0</v>
      </c>
      <c r="AK578" s="201">
        <v>0</v>
      </c>
      <c r="AL578" s="199"/>
      <c r="AM578" s="150">
        <f t="shared" si="684"/>
        <v>0</v>
      </c>
      <c r="AN578" s="153">
        <f t="shared" si="654"/>
        <v>0</v>
      </c>
      <c r="AO578" s="154">
        <f t="shared" si="655"/>
        <v>0</v>
      </c>
      <c r="AP578" s="150">
        <v>0</v>
      </c>
      <c r="AQ578" s="201">
        <v>0</v>
      </c>
      <c r="AR578" s="199"/>
      <c r="AS578" s="150">
        <f t="shared" si="685"/>
        <v>0</v>
      </c>
      <c r="AT578" s="155"/>
      <c r="AU578" s="156">
        <f t="shared" ref="AU578:AU641" si="687">AM578-AD578</f>
        <v>0</v>
      </c>
      <c r="AV578" s="156">
        <f t="shared" ref="AV578:AV641" si="688">AD578-AX578</f>
        <v>0</v>
      </c>
      <c r="AW578" s="157"/>
      <c r="AX578" s="150">
        <v>0</v>
      </c>
      <c r="AY578" s="150">
        <v>0</v>
      </c>
      <c r="AZ578" s="150"/>
      <c r="BA578" s="150">
        <f t="shared" si="686"/>
        <v>0</v>
      </c>
      <c r="BB578" s="210"/>
      <c r="BC578" s="210"/>
      <c r="BD578" s="210"/>
      <c r="BE578" s="210"/>
      <c r="BF578" s="210"/>
      <c r="BG578" s="210"/>
      <c r="BH578" s="217"/>
      <c r="BI578" s="210"/>
      <c r="BJ578" s="210"/>
      <c r="BK578" s="210"/>
      <c r="BL578" s="210"/>
      <c r="BM578" s="208"/>
      <c r="BN578" s="160"/>
      <c r="BO578" s="161"/>
      <c r="BP578" s="161"/>
    </row>
    <row r="579" spans="1:68" ht="51">
      <c r="A579" s="210"/>
      <c r="B579" s="195" t="s">
        <v>6216</v>
      </c>
      <c r="C579" s="196" t="s">
        <v>6217</v>
      </c>
      <c r="D579" s="146" t="s">
        <v>4692</v>
      </c>
      <c r="E579" s="196" t="s">
        <v>6217</v>
      </c>
      <c r="F579" s="150">
        <v>0</v>
      </c>
      <c r="G579" s="209">
        <v>1268632.77</v>
      </c>
      <c r="H579" s="209">
        <v>3927.6238100000191</v>
      </c>
      <c r="I579" s="209">
        <v>1272560.39381</v>
      </c>
      <c r="J579" s="150">
        <v>0</v>
      </c>
      <c r="K579" s="150">
        <v>0</v>
      </c>
      <c r="L579" s="150">
        <f t="shared" si="656"/>
        <v>0</v>
      </c>
      <c r="M579" s="150">
        <v>0</v>
      </c>
      <c r="N579" s="150"/>
      <c r="O579" s="150">
        <v>0</v>
      </c>
      <c r="P579" s="150">
        <v>0</v>
      </c>
      <c r="Q579" s="150">
        <v>0</v>
      </c>
      <c r="R579" s="150">
        <f t="shared" si="681"/>
        <v>0</v>
      </c>
      <c r="S579" s="150">
        <f t="shared" ref="S579:S642" si="689">R579/9*12</f>
        <v>0</v>
      </c>
      <c r="T579" s="150"/>
      <c r="U579" s="150">
        <v>0</v>
      </c>
      <c r="V579" s="199"/>
      <c r="W579" s="150">
        <f t="shared" si="682"/>
        <v>0</v>
      </c>
      <c r="X579" s="150">
        <v>0</v>
      </c>
      <c r="Y579" s="150"/>
      <c r="Z579" s="150">
        <v>0</v>
      </c>
      <c r="AA579" s="150">
        <f t="shared" ref="AA579:AA642" si="690">AD579-Z579</f>
        <v>0</v>
      </c>
      <c r="AB579" s="150">
        <v>0</v>
      </c>
      <c r="AC579" s="199"/>
      <c r="AD579" s="150">
        <f t="shared" si="683"/>
        <v>0</v>
      </c>
      <c r="AE579" s="150">
        <v>0</v>
      </c>
      <c r="AF579" s="169" t="s">
        <v>4680</v>
      </c>
      <c r="AG579" s="201">
        <v>0</v>
      </c>
      <c r="AH579" s="199"/>
      <c r="AI579" s="150">
        <v>0</v>
      </c>
      <c r="AJ579" s="169">
        <f t="shared" ref="AJ579:AJ642" si="691">AM579-AI579</f>
        <v>0</v>
      </c>
      <c r="AK579" s="201">
        <v>0</v>
      </c>
      <c r="AL579" s="199"/>
      <c r="AM579" s="150">
        <f t="shared" si="684"/>
        <v>0</v>
      </c>
      <c r="AN579" s="153">
        <f t="shared" ref="AN579:AN642" si="692">AS579-AM579</f>
        <v>0</v>
      </c>
      <c r="AO579" s="154">
        <f t="shared" ref="AO579:AO642" si="693">AS579-AP579</f>
        <v>0</v>
      </c>
      <c r="AP579" s="150">
        <v>0</v>
      </c>
      <c r="AQ579" s="201">
        <v>0</v>
      </c>
      <c r="AR579" s="199"/>
      <c r="AS579" s="150">
        <f t="shared" si="685"/>
        <v>0</v>
      </c>
      <c r="AT579" s="155"/>
      <c r="AU579" s="156">
        <f t="shared" si="687"/>
        <v>0</v>
      </c>
      <c r="AV579" s="156">
        <f t="shared" si="688"/>
        <v>0</v>
      </c>
      <c r="AW579" s="157"/>
      <c r="AX579" s="150">
        <v>0</v>
      </c>
      <c r="AY579" s="150">
        <v>0</v>
      </c>
      <c r="AZ579" s="150"/>
      <c r="BA579" s="150">
        <f t="shared" si="686"/>
        <v>0</v>
      </c>
      <c r="BB579" s="210"/>
      <c r="BC579" s="210"/>
      <c r="BD579" s="210"/>
      <c r="BE579" s="210"/>
      <c r="BF579" s="210"/>
      <c r="BG579" s="210"/>
      <c r="BH579" s="217"/>
      <c r="BI579" s="210"/>
      <c r="BJ579" s="210"/>
      <c r="BK579" s="210"/>
      <c r="BL579" s="210"/>
      <c r="BM579" s="208"/>
      <c r="BN579" s="160"/>
      <c r="BO579" s="161"/>
      <c r="BP579" s="161"/>
    </row>
    <row r="580" spans="1:68" ht="51">
      <c r="A580" s="210"/>
      <c r="B580" s="195" t="s">
        <v>6218</v>
      </c>
      <c r="C580" s="196" t="s">
        <v>6219</v>
      </c>
      <c r="D580" s="146" t="s">
        <v>4692</v>
      </c>
      <c r="E580" s="196" t="s">
        <v>6219</v>
      </c>
      <c r="F580" s="150">
        <v>1268875.6100000001</v>
      </c>
      <c r="G580" s="209">
        <v>0</v>
      </c>
      <c r="H580" s="209"/>
      <c r="I580" s="209">
        <v>0</v>
      </c>
      <c r="J580" s="150">
        <v>236032.23</v>
      </c>
      <c r="K580" s="150">
        <v>0</v>
      </c>
      <c r="L580" s="150">
        <f t="shared" si="656"/>
        <v>236032.23</v>
      </c>
      <c r="M580" s="150">
        <v>581905.18000000005</v>
      </c>
      <c r="N580" s="150"/>
      <c r="O580" s="150">
        <v>581905.18000000005</v>
      </c>
      <c r="P580" s="150">
        <v>905606.97</v>
      </c>
      <c r="Q580" s="150"/>
      <c r="R580" s="150">
        <f t="shared" si="681"/>
        <v>905606.97</v>
      </c>
      <c r="S580" s="150">
        <f t="shared" si="689"/>
        <v>1207475.96</v>
      </c>
      <c r="T580" s="150"/>
      <c r="U580" s="150">
        <v>1168502.51</v>
      </c>
      <c r="V580" s="199">
        <v>13358.967089999933</v>
      </c>
      <c r="W580" s="150">
        <f t="shared" si="682"/>
        <v>1181861.4770899999</v>
      </c>
      <c r="X580" s="150">
        <v>1168502.51</v>
      </c>
      <c r="Y580" s="150">
        <v>13358.967089999933</v>
      </c>
      <c r="Z580" s="150">
        <v>1181861.4770899999</v>
      </c>
      <c r="AA580" s="150">
        <f t="shared" si="690"/>
        <v>0</v>
      </c>
      <c r="AB580" s="150">
        <v>1168502.51</v>
      </c>
      <c r="AC580" s="199">
        <v>13358.967089999933</v>
      </c>
      <c r="AD580" s="150">
        <f t="shared" si="683"/>
        <v>1181861.4770899999</v>
      </c>
      <c r="AE580" s="150">
        <v>1181861.4770899999</v>
      </c>
      <c r="AF580" s="169" t="s">
        <v>4680</v>
      </c>
      <c r="AG580" s="201">
        <v>1168502.51</v>
      </c>
      <c r="AH580" s="199">
        <v>13358.967089999933</v>
      </c>
      <c r="AI580" s="150">
        <v>1181861.4770899999</v>
      </c>
      <c r="AJ580" s="169">
        <f t="shared" si="691"/>
        <v>0</v>
      </c>
      <c r="AK580" s="201">
        <v>1168502.51</v>
      </c>
      <c r="AL580" s="199">
        <v>13358.967089999933</v>
      </c>
      <c r="AM580" s="150">
        <f t="shared" si="684"/>
        <v>1181861.4770899999</v>
      </c>
      <c r="AN580" s="153"/>
      <c r="AO580" s="154">
        <f t="shared" si="693"/>
        <v>2.9100000392645597E-3</v>
      </c>
      <c r="AP580" s="150">
        <v>1181861.4770899999</v>
      </c>
      <c r="AQ580" s="201">
        <v>1181861.48</v>
      </c>
      <c r="AR580" s="199"/>
      <c r="AS580" s="150">
        <f t="shared" si="685"/>
        <v>1181861.48</v>
      </c>
      <c r="AT580" s="155" t="s">
        <v>6020</v>
      </c>
      <c r="AU580" s="156">
        <f t="shared" si="687"/>
        <v>0</v>
      </c>
      <c r="AV580" s="156">
        <f t="shared" si="688"/>
        <v>0</v>
      </c>
      <c r="AW580" s="157" t="s">
        <v>6021</v>
      </c>
      <c r="AX580" s="150">
        <v>1181861.4770899999</v>
      </c>
      <c r="AY580" s="150">
        <v>819794.06</v>
      </c>
      <c r="AZ580" s="150">
        <v>435286.35569499992</v>
      </c>
      <c r="BA580" s="150">
        <f t="shared" si="686"/>
        <v>1255080.415695</v>
      </c>
      <c r="BB580" s="210"/>
      <c r="BC580" s="210"/>
      <c r="BD580" s="210"/>
      <c r="BE580" s="210"/>
      <c r="BF580" s="210"/>
      <c r="BG580" s="210"/>
      <c r="BH580" s="217"/>
      <c r="BI580" s="210"/>
      <c r="BJ580" s="210"/>
      <c r="BK580" s="210"/>
      <c r="BL580" s="210"/>
      <c r="BM580" s="208"/>
      <c r="BN580" s="160"/>
      <c r="BO580" s="161"/>
      <c r="BP580" s="161"/>
    </row>
    <row r="581" spans="1:68" ht="38.25">
      <c r="A581" s="210"/>
      <c r="B581" s="195" t="s">
        <v>6220</v>
      </c>
      <c r="C581" s="196" t="s">
        <v>6221</v>
      </c>
      <c r="D581" s="146" t="s">
        <v>4692</v>
      </c>
      <c r="E581" s="196" t="s">
        <v>6221</v>
      </c>
      <c r="F581" s="150">
        <v>0</v>
      </c>
      <c r="G581" s="209">
        <v>0</v>
      </c>
      <c r="H581" s="209"/>
      <c r="I581" s="209">
        <v>0</v>
      </c>
      <c r="J581" s="150">
        <v>0</v>
      </c>
      <c r="K581" s="150">
        <v>0</v>
      </c>
      <c r="L581" s="150">
        <f t="shared" si="656"/>
        <v>0</v>
      </c>
      <c r="M581" s="150">
        <v>0</v>
      </c>
      <c r="N581" s="150"/>
      <c r="O581" s="150">
        <v>0</v>
      </c>
      <c r="P581" s="150">
        <v>0</v>
      </c>
      <c r="Q581" s="150">
        <v>0</v>
      </c>
      <c r="R581" s="150">
        <f t="shared" si="681"/>
        <v>0</v>
      </c>
      <c r="S581" s="150">
        <f t="shared" si="689"/>
        <v>0</v>
      </c>
      <c r="T581" s="150"/>
      <c r="U581" s="150">
        <v>0</v>
      </c>
      <c r="V581" s="199"/>
      <c r="W581" s="150">
        <f t="shared" si="682"/>
        <v>0</v>
      </c>
      <c r="X581" s="150">
        <v>0</v>
      </c>
      <c r="Y581" s="150"/>
      <c r="Z581" s="150">
        <v>0</v>
      </c>
      <c r="AA581" s="150">
        <f t="shared" si="690"/>
        <v>0</v>
      </c>
      <c r="AB581" s="150">
        <v>0</v>
      </c>
      <c r="AC581" s="199"/>
      <c r="AD581" s="150">
        <f t="shared" si="683"/>
        <v>0</v>
      </c>
      <c r="AE581" s="150">
        <v>0</v>
      </c>
      <c r="AF581" s="169" t="s">
        <v>4680</v>
      </c>
      <c r="AG581" s="201">
        <v>0</v>
      </c>
      <c r="AH581" s="199"/>
      <c r="AI581" s="150">
        <v>0</v>
      </c>
      <c r="AJ581" s="169">
        <f t="shared" si="691"/>
        <v>0</v>
      </c>
      <c r="AK581" s="201">
        <v>0</v>
      </c>
      <c r="AL581" s="199"/>
      <c r="AM581" s="150">
        <f t="shared" si="684"/>
        <v>0</v>
      </c>
      <c r="AN581" s="153">
        <f t="shared" si="692"/>
        <v>0</v>
      </c>
      <c r="AO581" s="154">
        <f t="shared" si="693"/>
        <v>0</v>
      </c>
      <c r="AP581" s="150">
        <v>0</v>
      </c>
      <c r="AQ581" s="201">
        <v>0</v>
      </c>
      <c r="AR581" s="199"/>
      <c r="AS581" s="150">
        <f t="shared" si="685"/>
        <v>0</v>
      </c>
      <c r="AT581" s="155"/>
      <c r="AU581" s="156">
        <f t="shared" si="687"/>
        <v>0</v>
      </c>
      <c r="AV581" s="156">
        <f t="shared" si="688"/>
        <v>0</v>
      </c>
      <c r="AW581" s="157"/>
      <c r="AX581" s="150">
        <v>0</v>
      </c>
      <c r="AY581" s="150">
        <v>0</v>
      </c>
      <c r="AZ581" s="150"/>
      <c r="BA581" s="150">
        <f t="shared" si="686"/>
        <v>0</v>
      </c>
      <c r="BB581" s="210"/>
      <c r="BC581" s="210"/>
      <c r="BD581" s="210"/>
      <c r="BE581" s="210"/>
      <c r="BF581" s="210"/>
      <c r="BG581" s="210"/>
      <c r="BH581" s="217"/>
      <c r="BI581" s="210"/>
      <c r="BJ581" s="210"/>
      <c r="BK581" s="210"/>
      <c r="BL581" s="210"/>
      <c r="BM581" s="208"/>
      <c r="BN581" s="160"/>
      <c r="BO581" s="161"/>
      <c r="BP581" s="161"/>
    </row>
    <row r="582" spans="1:68" ht="51">
      <c r="A582" s="210"/>
      <c r="B582" s="195" t="s">
        <v>6222</v>
      </c>
      <c r="C582" s="196" t="s">
        <v>6223</v>
      </c>
      <c r="D582" s="146" t="s">
        <v>4692</v>
      </c>
      <c r="E582" s="196" t="s">
        <v>6223</v>
      </c>
      <c r="F582" s="150">
        <v>0</v>
      </c>
      <c r="G582" s="209">
        <v>0</v>
      </c>
      <c r="H582" s="209"/>
      <c r="I582" s="209">
        <v>0</v>
      </c>
      <c r="J582" s="150">
        <v>0</v>
      </c>
      <c r="K582" s="150">
        <v>0</v>
      </c>
      <c r="L582" s="150">
        <f t="shared" si="656"/>
        <v>0</v>
      </c>
      <c r="M582" s="150">
        <v>0</v>
      </c>
      <c r="N582" s="150"/>
      <c r="O582" s="150">
        <v>0</v>
      </c>
      <c r="P582" s="150">
        <v>0</v>
      </c>
      <c r="Q582" s="150">
        <v>0</v>
      </c>
      <c r="R582" s="150">
        <f t="shared" si="681"/>
        <v>0</v>
      </c>
      <c r="S582" s="150">
        <f t="shared" si="689"/>
        <v>0</v>
      </c>
      <c r="T582" s="150"/>
      <c r="U582" s="150">
        <v>0</v>
      </c>
      <c r="V582" s="199"/>
      <c r="W582" s="150">
        <f t="shared" si="682"/>
        <v>0</v>
      </c>
      <c r="X582" s="150">
        <v>0</v>
      </c>
      <c r="Y582" s="150"/>
      <c r="Z582" s="150">
        <v>0</v>
      </c>
      <c r="AA582" s="150">
        <f t="shared" si="690"/>
        <v>0</v>
      </c>
      <c r="AB582" s="150">
        <v>0</v>
      </c>
      <c r="AC582" s="199"/>
      <c r="AD582" s="150">
        <f t="shared" si="683"/>
        <v>0</v>
      </c>
      <c r="AE582" s="150">
        <v>0</v>
      </c>
      <c r="AF582" s="169" t="s">
        <v>4680</v>
      </c>
      <c r="AG582" s="201">
        <v>0</v>
      </c>
      <c r="AH582" s="199"/>
      <c r="AI582" s="150">
        <v>0</v>
      </c>
      <c r="AJ582" s="169">
        <f t="shared" si="691"/>
        <v>0</v>
      </c>
      <c r="AK582" s="201">
        <v>0</v>
      </c>
      <c r="AL582" s="199"/>
      <c r="AM582" s="150">
        <f t="shared" si="684"/>
        <v>0</v>
      </c>
      <c r="AN582" s="153">
        <f t="shared" si="692"/>
        <v>0</v>
      </c>
      <c r="AO582" s="154">
        <f t="shared" si="693"/>
        <v>0</v>
      </c>
      <c r="AP582" s="150">
        <v>0</v>
      </c>
      <c r="AQ582" s="201">
        <v>0</v>
      </c>
      <c r="AR582" s="199"/>
      <c r="AS582" s="150">
        <f t="shared" si="685"/>
        <v>0</v>
      </c>
      <c r="AT582" s="155"/>
      <c r="AU582" s="156">
        <f t="shared" si="687"/>
        <v>0</v>
      </c>
      <c r="AV582" s="156">
        <f t="shared" si="688"/>
        <v>0</v>
      </c>
      <c r="AW582" s="157"/>
      <c r="AX582" s="150">
        <v>0</v>
      </c>
      <c r="AY582" s="150">
        <v>0</v>
      </c>
      <c r="AZ582" s="150"/>
      <c r="BA582" s="150">
        <f t="shared" si="686"/>
        <v>0</v>
      </c>
      <c r="BB582" s="210"/>
      <c r="BC582" s="210"/>
      <c r="BD582" s="210"/>
      <c r="BE582" s="210"/>
      <c r="BF582" s="210"/>
      <c r="BG582" s="210"/>
      <c r="BH582" s="217"/>
      <c r="BI582" s="210"/>
      <c r="BJ582" s="210"/>
      <c r="BK582" s="210"/>
      <c r="BL582" s="210"/>
      <c r="BM582" s="208"/>
      <c r="BN582" s="160"/>
      <c r="BO582" s="161"/>
      <c r="BP582" s="161"/>
    </row>
    <row r="583" spans="1:68" ht="51">
      <c r="A583" s="210"/>
      <c r="B583" s="195" t="s">
        <v>6224</v>
      </c>
      <c r="C583" s="196" t="s">
        <v>6225</v>
      </c>
      <c r="D583" s="146" t="s">
        <v>4692</v>
      </c>
      <c r="E583" s="196" t="s">
        <v>6225</v>
      </c>
      <c r="F583" s="150">
        <v>0</v>
      </c>
      <c r="G583" s="209">
        <v>0</v>
      </c>
      <c r="H583" s="209"/>
      <c r="I583" s="209">
        <v>0</v>
      </c>
      <c r="J583" s="150">
        <v>0</v>
      </c>
      <c r="K583" s="150">
        <v>0</v>
      </c>
      <c r="L583" s="150">
        <f t="shared" si="656"/>
        <v>0</v>
      </c>
      <c r="M583" s="150">
        <v>0</v>
      </c>
      <c r="N583" s="150"/>
      <c r="O583" s="150">
        <v>0</v>
      </c>
      <c r="P583" s="150">
        <v>0</v>
      </c>
      <c r="Q583" s="150">
        <v>0</v>
      </c>
      <c r="R583" s="150">
        <f t="shared" si="681"/>
        <v>0</v>
      </c>
      <c r="S583" s="150">
        <f t="shared" si="689"/>
        <v>0</v>
      </c>
      <c r="T583" s="150"/>
      <c r="U583" s="150">
        <v>0</v>
      </c>
      <c r="V583" s="199"/>
      <c r="W583" s="150">
        <f t="shared" si="682"/>
        <v>0</v>
      </c>
      <c r="X583" s="150">
        <v>0</v>
      </c>
      <c r="Y583" s="150"/>
      <c r="Z583" s="150">
        <v>0</v>
      </c>
      <c r="AA583" s="150">
        <f t="shared" si="690"/>
        <v>0</v>
      </c>
      <c r="AB583" s="150">
        <v>0</v>
      </c>
      <c r="AC583" s="199"/>
      <c r="AD583" s="150">
        <f t="shared" si="683"/>
        <v>0</v>
      </c>
      <c r="AE583" s="150">
        <v>0</v>
      </c>
      <c r="AF583" s="169" t="s">
        <v>4680</v>
      </c>
      <c r="AG583" s="201">
        <v>0</v>
      </c>
      <c r="AH583" s="199"/>
      <c r="AI583" s="150">
        <v>0</v>
      </c>
      <c r="AJ583" s="169">
        <f t="shared" si="691"/>
        <v>0</v>
      </c>
      <c r="AK583" s="201">
        <v>0</v>
      </c>
      <c r="AL583" s="199"/>
      <c r="AM583" s="150">
        <f t="shared" si="684"/>
        <v>0</v>
      </c>
      <c r="AN583" s="153">
        <f t="shared" si="692"/>
        <v>0</v>
      </c>
      <c r="AO583" s="154">
        <f t="shared" si="693"/>
        <v>0</v>
      </c>
      <c r="AP583" s="150">
        <v>0</v>
      </c>
      <c r="AQ583" s="201">
        <v>0</v>
      </c>
      <c r="AR583" s="199"/>
      <c r="AS583" s="150">
        <f t="shared" si="685"/>
        <v>0</v>
      </c>
      <c r="AT583" s="155"/>
      <c r="AU583" s="156">
        <f t="shared" si="687"/>
        <v>0</v>
      </c>
      <c r="AV583" s="156">
        <f t="shared" si="688"/>
        <v>0</v>
      </c>
      <c r="AW583" s="157"/>
      <c r="AX583" s="150">
        <v>0</v>
      </c>
      <c r="AY583" s="150">
        <v>0</v>
      </c>
      <c r="AZ583" s="150"/>
      <c r="BA583" s="150">
        <f t="shared" si="686"/>
        <v>0</v>
      </c>
      <c r="BB583" s="210"/>
      <c r="BC583" s="210"/>
      <c r="BD583" s="210"/>
      <c r="BE583" s="210"/>
      <c r="BF583" s="210"/>
      <c r="BG583" s="210"/>
      <c r="BH583" s="217"/>
      <c r="BI583" s="210"/>
      <c r="BJ583" s="210"/>
      <c r="BK583" s="210"/>
      <c r="BL583" s="210"/>
      <c r="BM583" s="208"/>
      <c r="BN583" s="160"/>
      <c r="BO583" s="161"/>
      <c r="BP583" s="161"/>
    </row>
    <row r="584" spans="1:68" ht="51">
      <c r="A584" s="210"/>
      <c r="B584" s="195" t="s">
        <v>6226</v>
      </c>
      <c r="C584" s="196" t="s">
        <v>6227</v>
      </c>
      <c r="D584" s="146" t="s">
        <v>4692</v>
      </c>
      <c r="E584" s="196" t="s">
        <v>6227</v>
      </c>
      <c r="F584" s="150">
        <v>0</v>
      </c>
      <c r="G584" s="209">
        <v>3717279.36</v>
      </c>
      <c r="H584" s="209">
        <v>3494.3824000000022</v>
      </c>
      <c r="I584" s="209">
        <v>3720773.7423999999</v>
      </c>
      <c r="J584" s="150">
        <v>0</v>
      </c>
      <c r="K584" s="150">
        <v>0</v>
      </c>
      <c r="L584" s="150">
        <f t="shared" si="656"/>
        <v>0</v>
      </c>
      <c r="M584" s="150">
        <v>0</v>
      </c>
      <c r="N584" s="150"/>
      <c r="O584" s="150">
        <v>0</v>
      </c>
      <c r="P584" s="150">
        <v>0</v>
      </c>
      <c r="Q584" s="150">
        <v>0</v>
      </c>
      <c r="R584" s="150">
        <f t="shared" si="681"/>
        <v>0</v>
      </c>
      <c r="S584" s="150">
        <f t="shared" si="689"/>
        <v>0</v>
      </c>
      <c r="T584" s="150"/>
      <c r="U584" s="150">
        <v>0</v>
      </c>
      <c r="V584" s="199"/>
      <c r="W584" s="150">
        <f t="shared" si="682"/>
        <v>0</v>
      </c>
      <c r="X584" s="150">
        <v>0</v>
      </c>
      <c r="Y584" s="150"/>
      <c r="Z584" s="150">
        <v>0</v>
      </c>
      <c r="AA584" s="150">
        <f t="shared" si="690"/>
        <v>0</v>
      </c>
      <c r="AB584" s="150">
        <v>0</v>
      </c>
      <c r="AC584" s="199"/>
      <c r="AD584" s="150">
        <f t="shared" si="683"/>
        <v>0</v>
      </c>
      <c r="AE584" s="150">
        <v>0</v>
      </c>
      <c r="AF584" s="169" t="s">
        <v>4680</v>
      </c>
      <c r="AG584" s="201">
        <v>0</v>
      </c>
      <c r="AH584" s="199"/>
      <c r="AI584" s="150">
        <v>0</v>
      </c>
      <c r="AJ584" s="169">
        <f t="shared" si="691"/>
        <v>0</v>
      </c>
      <c r="AK584" s="201">
        <v>0</v>
      </c>
      <c r="AL584" s="199"/>
      <c r="AM584" s="150">
        <f t="shared" si="684"/>
        <v>0</v>
      </c>
      <c r="AN584" s="153">
        <f t="shared" si="692"/>
        <v>0</v>
      </c>
      <c r="AO584" s="154">
        <f t="shared" si="693"/>
        <v>0</v>
      </c>
      <c r="AP584" s="150">
        <v>0</v>
      </c>
      <c r="AQ584" s="201">
        <v>0</v>
      </c>
      <c r="AR584" s="199"/>
      <c r="AS584" s="150">
        <f t="shared" si="685"/>
        <v>0</v>
      </c>
      <c r="AT584" s="155"/>
      <c r="AU584" s="156">
        <f t="shared" si="687"/>
        <v>0</v>
      </c>
      <c r="AV584" s="156">
        <f t="shared" si="688"/>
        <v>0</v>
      </c>
      <c r="AW584" s="157"/>
      <c r="AX584" s="150">
        <v>0</v>
      </c>
      <c r="AY584" s="150">
        <v>0</v>
      </c>
      <c r="AZ584" s="150"/>
      <c r="BA584" s="150">
        <f t="shared" si="686"/>
        <v>0</v>
      </c>
      <c r="BB584" s="210"/>
      <c r="BC584" s="210"/>
      <c r="BD584" s="210"/>
      <c r="BE584" s="210"/>
      <c r="BF584" s="210"/>
      <c r="BG584" s="210"/>
      <c r="BH584" s="217"/>
      <c r="BI584" s="210"/>
      <c r="BJ584" s="210"/>
      <c r="BK584" s="210"/>
      <c r="BL584" s="210"/>
      <c r="BM584" s="208"/>
      <c r="BN584" s="160"/>
      <c r="BO584" s="161"/>
      <c r="BP584" s="161"/>
    </row>
    <row r="585" spans="1:68" ht="51">
      <c r="A585" s="210"/>
      <c r="B585" s="195" t="s">
        <v>6228</v>
      </c>
      <c r="C585" s="196" t="s">
        <v>6229</v>
      </c>
      <c r="D585" s="146" t="s">
        <v>4692</v>
      </c>
      <c r="E585" s="196" t="s">
        <v>6229</v>
      </c>
      <c r="F585" s="150">
        <v>3740627.36</v>
      </c>
      <c r="G585" s="209">
        <v>0</v>
      </c>
      <c r="H585" s="209"/>
      <c r="I585" s="209">
        <v>0</v>
      </c>
      <c r="J585" s="150">
        <v>1001426.4</v>
      </c>
      <c r="K585" s="150">
        <v>0</v>
      </c>
      <c r="L585" s="150">
        <f t="shared" ref="L585:L648" si="694">J585+K585</f>
        <v>1001426.4</v>
      </c>
      <c r="M585" s="150">
        <v>1859974.48</v>
      </c>
      <c r="N585" s="150"/>
      <c r="O585" s="150">
        <v>1859974.48</v>
      </c>
      <c r="P585" s="150">
        <v>3011755.76</v>
      </c>
      <c r="Q585" s="150"/>
      <c r="R585" s="150">
        <f t="shared" si="681"/>
        <v>3011755.76</v>
      </c>
      <c r="S585" s="150">
        <f t="shared" si="689"/>
        <v>4015674.3466666667</v>
      </c>
      <c r="T585" s="150"/>
      <c r="U585" s="150">
        <v>5114422.0599999996</v>
      </c>
      <c r="V585" s="199">
        <v>8725.6</v>
      </c>
      <c r="W585" s="150">
        <f t="shared" si="682"/>
        <v>5123147.6599999992</v>
      </c>
      <c r="X585" s="150">
        <v>5114422.0599999996</v>
      </c>
      <c r="Y585" s="150">
        <v>8725.6</v>
      </c>
      <c r="Z585" s="150">
        <v>5123147.6599999992</v>
      </c>
      <c r="AA585" s="150">
        <f t="shared" si="690"/>
        <v>478.39040000084788</v>
      </c>
      <c r="AB585" s="150">
        <v>5120812.8600000003</v>
      </c>
      <c r="AC585" s="199">
        <v>2813.1903999997303</v>
      </c>
      <c r="AD585" s="150">
        <f t="shared" si="683"/>
        <v>5123626.0504000001</v>
      </c>
      <c r="AE585" s="150">
        <v>5123626.0504000001</v>
      </c>
      <c r="AF585" s="169" t="s">
        <v>4680</v>
      </c>
      <c r="AG585" s="201">
        <v>5120812.8600000003</v>
      </c>
      <c r="AH585" s="199">
        <v>2813.1903999997303</v>
      </c>
      <c r="AI585" s="150">
        <v>5123626.0504000001</v>
      </c>
      <c r="AJ585" s="169">
        <f t="shared" si="691"/>
        <v>0</v>
      </c>
      <c r="AK585" s="201">
        <v>5120812.8600000003</v>
      </c>
      <c r="AL585" s="199">
        <v>2813.1903999997303</v>
      </c>
      <c r="AM585" s="150">
        <f t="shared" si="684"/>
        <v>5123626.0504000001</v>
      </c>
      <c r="AN585" s="153"/>
      <c r="AO585" s="154">
        <f t="shared" si="693"/>
        <v>-4.0000025182962418E-4</v>
      </c>
      <c r="AP585" s="150">
        <v>5123626.0504000001</v>
      </c>
      <c r="AQ585" s="201">
        <v>5123626.05</v>
      </c>
      <c r="AR585" s="199"/>
      <c r="AS585" s="150">
        <f t="shared" si="685"/>
        <v>5123626.05</v>
      </c>
      <c r="AT585" s="155" t="s">
        <v>6020</v>
      </c>
      <c r="AU585" s="156">
        <f t="shared" si="687"/>
        <v>0</v>
      </c>
      <c r="AV585" s="156">
        <f t="shared" si="688"/>
        <v>478.39040000084788</v>
      </c>
      <c r="AW585" s="157" t="s">
        <v>6021</v>
      </c>
      <c r="AX585" s="150">
        <v>5123147.6599999992</v>
      </c>
      <c r="AY585" s="150">
        <v>2800044</v>
      </c>
      <c r="AZ585" s="150">
        <v>1427938.1999999993</v>
      </c>
      <c r="BA585" s="150">
        <f t="shared" si="686"/>
        <v>4227982.1999999993</v>
      </c>
      <c r="BB585" s="210"/>
      <c r="BC585" s="210"/>
      <c r="BD585" s="210"/>
      <c r="BE585" s="210"/>
      <c r="BF585" s="210"/>
      <c r="BG585" s="210"/>
      <c r="BH585" s="217"/>
      <c r="BI585" s="210"/>
      <c r="BJ585" s="210"/>
      <c r="BK585" s="210"/>
      <c r="BL585" s="210"/>
      <c r="BM585" s="208"/>
      <c r="BN585" s="160"/>
      <c r="BO585" s="161"/>
      <c r="BP585" s="161"/>
    </row>
    <row r="586" spans="1:68" ht="51">
      <c r="A586" s="210"/>
      <c r="B586" s="195" t="s">
        <v>6230</v>
      </c>
      <c r="C586" s="196" t="s">
        <v>6231</v>
      </c>
      <c r="D586" s="146" t="s">
        <v>4692</v>
      </c>
      <c r="E586" s="196" t="s">
        <v>6231</v>
      </c>
      <c r="F586" s="150">
        <v>0</v>
      </c>
      <c r="G586" s="209">
        <v>0</v>
      </c>
      <c r="H586" s="209"/>
      <c r="I586" s="209">
        <v>0</v>
      </c>
      <c r="J586" s="150">
        <v>0</v>
      </c>
      <c r="K586" s="150">
        <v>0</v>
      </c>
      <c r="L586" s="150">
        <f t="shared" si="694"/>
        <v>0</v>
      </c>
      <c r="M586" s="150">
        <v>0</v>
      </c>
      <c r="N586" s="150"/>
      <c r="O586" s="150">
        <v>0</v>
      </c>
      <c r="P586" s="150">
        <v>0</v>
      </c>
      <c r="Q586" s="150">
        <v>0</v>
      </c>
      <c r="R586" s="150">
        <f t="shared" si="681"/>
        <v>0</v>
      </c>
      <c r="S586" s="150">
        <f t="shared" si="689"/>
        <v>0</v>
      </c>
      <c r="T586" s="150"/>
      <c r="U586" s="150">
        <v>0</v>
      </c>
      <c r="V586" s="199"/>
      <c r="W586" s="150">
        <f t="shared" si="682"/>
        <v>0</v>
      </c>
      <c r="X586" s="150">
        <v>0</v>
      </c>
      <c r="Y586" s="150"/>
      <c r="Z586" s="150">
        <v>0</v>
      </c>
      <c r="AA586" s="150">
        <f t="shared" si="690"/>
        <v>0</v>
      </c>
      <c r="AB586" s="150">
        <v>0</v>
      </c>
      <c r="AC586" s="199"/>
      <c r="AD586" s="150">
        <f t="shared" si="683"/>
        <v>0</v>
      </c>
      <c r="AE586" s="150">
        <v>0</v>
      </c>
      <c r="AF586" s="169" t="s">
        <v>4680</v>
      </c>
      <c r="AG586" s="201">
        <v>0</v>
      </c>
      <c r="AH586" s="199"/>
      <c r="AI586" s="150">
        <v>0</v>
      </c>
      <c r="AJ586" s="169">
        <f t="shared" si="691"/>
        <v>0</v>
      </c>
      <c r="AK586" s="201">
        <v>0</v>
      </c>
      <c r="AL586" s="199"/>
      <c r="AM586" s="150">
        <f t="shared" si="684"/>
        <v>0</v>
      </c>
      <c r="AN586" s="153">
        <f t="shared" si="692"/>
        <v>0</v>
      </c>
      <c r="AO586" s="154">
        <f t="shared" si="693"/>
        <v>0</v>
      </c>
      <c r="AP586" s="150">
        <v>0</v>
      </c>
      <c r="AQ586" s="201">
        <v>0</v>
      </c>
      <c r="AR586" s="199"/>
      <c r="AS586" s="150">
        <f t="shared" si="685"/>
        <v>0</v>
      </c>
      <c r="AT586" s="155"/>
      <c r="AU586" s="156">
        <f t="shared" si="687"/>
        <v>0</v>
      </c>
      <c r="AV586" s="156">
        <f t="shared" si="688"/>
        <v>0</v>
      </c>
      <c r="AW586" s="157"/>
      <c r="AX586" s="150">
        <v>0</v>
      </c>
      <c r="AY586" s="150">
        <v>0</v>
      </c>
      <c r="AZ586" s="150"/>
      <c r="BA586" s="150">
        <f t="shared" si="686"/>
        <v>0</v>
      </c>
      <c r="BB586" s="210"/>
      <c r="BC586" s="210"/>
      <c r="BD586" s="210"/>
      <c r="BE586" s="210"/>
      <c r="BF586" s="210"/>
      <c r="BG586" s="210"/>
      <c r="BH586" s="217"/>
      <c r="BI586" s="210"/>
      <c r="BJ586" s="210"/>
      <c r="BK586" s="210"/>
      <c r="BL586" s="210"/>
      <c r="BM586" s="208"/>
      <c r="BN586" s="160"/>
      <c r="BO586" s="161"/>
      <c r="BP586" s="161"/>
    </row>
    <row r="587" spans="1:68" ht="51">
      <c r="A587" s="210"/>
      <c r="B587" s="195" t="s">
        <v>6232</v>
      </c>
      <c r="C587" s="196" t="s">
        <v>6233</v>
      </c>
      <c r="D587" s="146" t="s">
        <v>4692</v>
      </c>
      <c r="E587" s="196" t="s">
        <v>6233</v>
      </c>
      <c r="F587" s="150">
        <v>0</v>
      </c>
      <c r="G587" s="209">
        <v>0</v>
      </c>
      <c r="H587" s="209"/>
      <c r="I587" s="209">
        <v>0</v>
      </c>
      <c r="J587" s="150">
        <v>0</v>
      </c>
      <c r="K587" s="150">
        <v>0</v>
      </c>
      <c r="L587" s="150">
        <f t="shared" si="694"/>
        <v>0</v>
      </c>
      <c r="M587" s="150">
        <v>0</v>
      </c>
      <c r="N587" s="150"/>
      <c r="O587" s="150">
        <v>0</v>
      </c>
      <c r="P587" s="150">
        <v>0</v>
      </c>
      <c r="Q587" s="150">
        <v>0</v>
      </c>
      <c r="R587" s="150">
        <f t="shared" si="681"/>
        <v>0</v>
      </c>
      <c r="S587" s="150">
        <f t="shared" si="689"/>
        <v>0</v>
      </c>
      <c r="T587" s="150"/>
      <c r="U587" s="150">
        <v>0</v>
      </c>
      <c r="V587" s="199"/>
      <c r="W587" s="150">
        <f t="shared" si="682"/>
        <v>0</v>
      </c>
      <c r="X587" s="150">
        <v>0</v>
      </c>
      <c r="Y587" s="150"/>
      <c r="Z587" s="150">
        <v>0</v>
      </c>
      <c r="AA587" s="150">
        <f t="shared" si="690"/>
        <v>0</v>
      </c>
      <c r="AB587" s="150">
        <v>0</v>
      </c>
      <c r="AC587" s="199"/>
      <c r="AD587" s="150">
        <f t="shared" si="683"/>
        <v>0</v>
      </c>
      <c r="AE587" s="150">
        <v>0</v>
      </c>
      <c r="AF587" s="169" t="s">
        <v>4680</v>
      </c>
      <c r="AG587" s="201">
        <v>0</v>
      </c>
      <c r="AH587" s="199"/>
      <c r="AI587" s="150">
        <v>0</v>
      </c>
      <c r="AJ587" s="169">
        <f t="shared" si="691"/>
        <v>0</v>
      </c>
      <c r="AK587" s="201">
        <v>0</v>
      </c>
      <c r="AL587" s="199"/>
      <c r="AM587" s="150">
        <f t="shared" si="684"/>
        <v>0</v>
      </c>
      <c r="AN587" s="153">
        <f t="shared" si="692"/>
        <v>0</v>
      </c>
      <c r="AO587" s="154">
        <f t="shared" si="693"/>
        <v>0</v>
      </c>
      <c r="AP587" s="150">
        <v>0</v>
      </c>
      <c r="AQ587" s="201">
        <v>0</v>
      </c>
      <c r="AR587" s="199"/>
      <c r="AS587" s="150">
        <f t="shared" si="685"/>
        <v>0</v>
      </c>
      <c r="AT587" s="155"/>
      <c r="AU587" s="156">
        <f t="shared" si="687"/>
        <v>0</v>
      </c>
      <c r="AV587" s="156">
        <f t="shared" si="688"/>
        <v>0</v>
      </c>
      <c r="AW587" s="157"/>
      <c r="AX587" s="150">
        <v>0</v>
      </c>
      <c r="AY587" s="150">
        <v>0</v>
      </c>
      <c r="AZ587" s="150"/>
      <c r="BA587" s="150">
        <f t="shared" si="686"/>
        <v>0</v>
      </c>
      <c r="BB587" s="210"/>
      <c r="BC587" s="210"/>
      <c r="BD587" s="210"/>
      <c r="BE587" s="210"/>
      <c r="BF587" s="210"/>
      <c r="BG587" s="210"/>
      <c r="BH587" s="217"/>
      <c r="BI587" s="210"/>
      <c r="BJ587" s="210"/>
      <c r="BK587" s="210"/>
      <c r="BL587" s="210"/>
      <c r="BM587" s="208"/>
      <c r="BN587" s="160"/>
      <c r="BO587" s="161"/>
      <c r="BP587" s="161"/>
    </row>
    <row r="588" spans="1:68" ht="51">
      <c r="A588" s="210"/>
      <c r="B588" s="195" t="s">
        <v>6234</v>
      </c>
      <c r="C588" s="196" t="s">
        <v>6235</v>
      </c>
      <c r="D588" s="146" t="s">
        <v>4692</v>
      </c>
      <c r="E588" s="196" t="s">
        <v>6235</v>
      </c>
      <c r="F588" s="150">
        <v>0</v>
      </c>
      <c r="G588" s="209">
        <v>0</v>
      </c>
      <c r="H588" s="209"/>
      <c r="I588" s="209">
        <v>0</v>
      </c>
      <c r="J588" s="150">
        <v>0</v>
      </c>
      <c r="K588" s="150">
        <v>0</v>
      </c>
      <c r="L588" s="150">
        <f t="shared" si="694"/>
        <v>0</v>
      </c>
      <c r="M588" s="150">
        <v>0</v>
      </c>
      <c r="N588" s="150"/>
      <c r="O588" s="150">
        <v>0</v>
      </c>
      <c r="P588" s="150">
        <v>0</v>
      </c>
      <c r="Q588" s="150">
        <v>0</v>
      </c>
      <c r="R588" s="150">
        <f t="shared" si="681"/>
        <v>0</v>
      </c>
      <c r="S588" s="150">
        <f t="shared" si="689"/>
        <v>0</v>
      </c>
      <c r="T588" s="150"/>
      <c r="U588" s="150">
        <v>0</v>
      </c>
      <c r="V588" s="199"/>
      <c r="W588" s="150">
        <f t="shared" si="682"/>
        <v>0</v>
      </c>
      <c r="X588" s="150">
        <v>0</v>
      </c>
      <c r="Y588" s="150"/>
      <c r="Z588" s="150">
        <v>0</v>
      </c>
      <c r="AA588" s="150">
        <f t="shared" si="690"/>
        <v>0</v>
      </c>
      <c r="AB588" s="150">
        <v>0</v>
      </c>
      <c r="AC588" s="199"/>
      <c r="AD588" s="150">
        <f t="shared" si="683"/>
        <v>0</v>
      </c>
      <c r="AE588" s="150">
        <v>0</v>
      </c>
      <c r="AF588" s="169" t="s">
        <v>4680</v>
      </c>
      <c r="AG588" s="201">
        <v>0</v>
      </c>
      <c r="AH588" s="199"/>
      <c r="AI588" s="150">
        <v>0</v>
      </c>
      <c r="AJ588" s="169">
        <f t="shared" si="691"/>
        <v>0</v>
      </c>
      <c r="AK588" s="201">
        <v>0</v>
      </c>
      <c r="AL588" s="199"/>
      <c r="AM588" s="150">
        <f t="shared" si="684"/>
        <v>0</v>
      </c>
      <c r="AN588" s="153">
        <f t="shared" si="692"/>
        <v>0</v>
      </c>
      <c r="AO588" s="154">
        <f t="shared" si="693"/>
        <v>0</v>
      </c>
      <c r="AP588" s="150">
        <v>0</v>
      </c>
      <c r="AQ588" s="201">
        <v>0</v>
      </c>
      <c r="AR588" s="199"/>
      <c r="AS588" s="150">
        <f t="shared" si="685"/>
        <v>0</v>
      </c>
      <c r="AT588" s="155"/>
      <c r="AU588" s="156">
        <f t="shared" si="687"/>
        <v>0</v>
      </c>
      <c r="AV588" s="156">
        <f t="shared" si="688"/>
        <v>0</v>
      </c>
      <c r="AW588" s="157"/>
      <c r="AX588" s="150">
        <v>0</v>
      </c>
      <c r="AY588" s="150">
        <v>0</v>
      </c>
      <c r="AZ588" s="150"/>
      <c r="BA588" s="150">
        <f t="shared" si="686"/>
        <v>0</v>
      </c>
      <c r="BB588" s="210"/>
      <c r="BC588" s="210"/>
      <c r="BD588" s="210"/>
      <c r="BE588" s="210"/>
      <c r="BF588" s="210"/>
      <c r="BG588" s="210"/>
      <c r="BH588" s="217"/>
      <c r="BI588" s="210"/>
      <c r="BJ588" s="210"/>
      <c r="BK588" s="210"/>
      <c r="BL588" s="210"/>
      <c r="BM588" s="208"/>
      <c r="BN588" s="160"/>
      <c r="BO588" s="161"/>
      <c r="BP588" s="161"/>
    </row>
    <row r="589" spans="1:68" ht="51">
      <c r="A589" s="210"/>
      <c r="B589" s="195" t="s">
        <v>6236</v>
      </c>
      <c r="C589" s="196" t="s">
        <v>6237</v>
      </c>
      <c r="D589" s="146" t="s">
        <v>4692</v>
      </c>
      <c r="E589" s="196" t="s">
        <v>6237</v>
      </c>
      <c r="F589" s="150">
        <v>0</v>
      </c>
      <c r="G589" s="209">
        <v>24062.240000000002</v>
      </c>
      <c r="H589" s="209">
        <v>-3.2000000028347131E-3</v>
      </c>
      <c r="I589" s="209">
        <v>24062.236799999999</v>
      </c>
      <c r="J589" s="150">
        <v>0</v>
      </c>
      <c r="K589" s="150">
        <v>0</v>
      </c>
      <c r="L589" s="150">
        <f t="shared" si="694"/>
        <v>0</v>
      </c>
      <c r="M589" s="150">
        <v>0</v>
      </c>
      <c r="N589" s="150"/>
      <c r="O589" s="150">
        <v>0</v>
      </c>
      <c r="P589" s="150">
        <v>0</v>
      </c>
      <c r="Q589" s="150">
        <v>0</v>
      </c>
      <c r="R589" s="150">
        <f t="shared" si="681"/>
        <v>0</v>
      </c>
      <c r="S589" s="150">
        <f t="shared" si="689"/>
        <v>0</v>
      </c>
      <c r="T589" s="150"/>
      <c r="U589" s="150">
        <v>0</v>
      </c>
      <c r="V589" s="199"/>
      <c r="W589" s="150">
        <f t="shared" si="682"/>
        <v>0</v>
      </c>
      <c r="X589" s="150">
        <v>0</v>
      </c>
      <c r="Y589" s="150"/>
      <c r="Z589" s="150">
        <v>0</v>
      </c>
      <c r="AA589" s="150">
        <f t="shared" si="690"/>
        <v>0</v>
      </c>
      <c r="AB589" s="150">
        <v>0</v>
      </c>
      <c r="AC589" s="199"/>
      <c r="AD589" s="150">
        <f t="shared" si="683"/>
        <v>0</v>
      </c>
      <c r="AE589" s="150">
        <v>0</v>
      </c>
      <c r="AF589" s="169" t="s">
        <v>4680</v>
      </c>
      <c r="AG589" s="201">
        <v>0</v>
      </c>
      <c r="AH589" s="199"/>
      <c r="AI589" s="150">
        <v>0</v>
      </c>
      <c r="AJ589" s="169">
        <f t="shared" si="691"/>
        <v>0</v>
      </c>
      <c r="AK589" s="201">
        <v>0</v>
      </c>
      <c r="AL589" s="199"/>
      <c r="AM589" s="150">
        <f t="shared" si="684"/>
        <v>0</v>
      </c>
      <c r="AN589" s="153">
        <f t="shared" si="692"/>
        <v>0</v>
      </c>
      <c r="AO589" s="154">
        <f t="shared" si="693"/>
        <v>0</v>
      </c>
      <c r="AP589" s="150">
        <v>0</v>
      </c>
      <c r="AQ589" s="201">
        <v>0</v>
      </c>
      <c r="AR589" s="199"/>
      <c r="AS589" s="150">
        <f t="shared" si="685"/>
        <v>0</v>
      </c>
      <c r="AT589" s="155"/>
      <c r="AU589" s="156">
        <f t="shared" si="687"/>
        <v>0</v>
      </c>
      <c r="AV589" s="156">
        <f t="shared" si="688"/>
        <v>0</v>
      </c>
      <c r="AW589" s="157"/>
      <c r="AX589" s="150">
        <v>0</v>
      </c>
      <c r="AY589" s="150">
        <v>0</v>
      </c>
      <c r="AZ589" s="150"/>
      <c r="BA589" s="150">
        <f t="shared" si="686"/>
        <v>0</v>
      </c>
      <c r="BB589" s="210"/>
      <c r="BC589" s="210"/>
      <c r="BD589" s="210"/>
      <c r="BE589" s="210"/>
      <c r="BF589" s="210"/>
      <c r="BG589" s="210"/>
      <c r="BH589" s="217"/>
      <c r="BI589" s="210"/>
      <c r="BJ589" s="210"/>
      <c r="BK589" s="210"/>
      <c r="BL589" s="210"/>
      <c r="BM589" s="208"/>
      <c r="BN589" s="160"/>
      <c r="BO589" s="161"/>
      <c r="BP589" s="161"/>
    </row>
    <row r="590" spans="1:68" ht="51">
      <c r="A590" s="210"/>
      <c r="B590" s="195" t="s">
        <v>6238</v>
      </c>
      <c r="C590" s="196" t="s">
        <v>6239</v>
      </c>
      <c r="D590" s="146" t="s">
        <v>4692</v>
      </c>
      <c r="E590" s="196" t="s">
        <v>6239</v>
      </c>
      <c r="F590" s="150">
        <v>24062.240000000002</v>
      </c>
      <c r="G590" s="209">
        <v>0</v>
      </c>
      <c r="H590" s="209"/>
      <c r="I590" s="209">
        <v>0</v>
      </c>
      <c r="J590" s="150">
        <v>23655.68</v>
      </c>
      <c r="K590" s="150">
        <v>-6.4000000020314474E-3</v>
      </c>
      <c r="L590" s="150">
        <f t="shared" si="694"/>
        <v>23655.673599999998</v>
      </c>
      <c r="M590" s="150">
        <v>28047.68</v>
      </c>
      <c r="N590" s="150">
        <v>-6.4000000020314474E-3</v>
      </c>
      <c r="O590" s="150">
        <v>28047.673599999998</v>
      </c>
      <c r="P590" s="150">
        <v>33701.040000000001</v>
      </c>
      <c r="Q590" s="150"/>
      <c r="R590" s="150">
        <f t="shared" si="681"/>
        <v>33701.040000000001</v>
      </c>
      <c r="S590" s="150">
        <f t="shared" si="689"/>
        <v>44934.720000000001</v>
      </c>
      <c r="T590" s="150"/>
      <c r="U590" s="150">
        <v>74644.52</v>
      </c>
      <c r="V590" s="199"/>
      <c r="W590" s="150">
        <f t="shared" si="682"/>
        <v>74644.52</v>
      </c>
      <c r="X590" s="150">
        <v>74644.52</v>
      </c>
      <c r="Y590" s="150"/>
      <c r="Z590" s="150">
        <v>74644.52</v>
      </c>
      <c r="AA590" s="150">
        <f t="shared" si="690"/>
        <v>0</v>
      </c>
      <c r="AB590" s="150">
        <v>74644.52</v>
      </c>
      <c r="AC590" s="199"/>
      <c r="AD590" s="150">
        <f t="shared" si="683"/>
        <v>74644.52</v>
      </c>
      <c r="AE590" s="150">
        <v>74644.52</v>
      </c>
      <c r="AF590" s="169" t="s">
        <v>4680</v>
      </c>
      <c r="AG590" s="201">
        <v>74644.52</v>
      </c>
      <c r="AH590" s="199"/>
      <c r="AI590" s="150">
        <v>74644.52</v>
      </c>
      <c r="AJ590" s="169">
        <f t="shared" si="691"/>
        <v>0</v>
      </c>
      <c r="AK590" s="201">
        <v>74644.52</v>
      </c>
      <c r="AL590" s="199"/>
      <c r="AM590" s="150">
        <f t="shared" si="684"/>
        <v>74644.52</v>
      </c>
      <c r="AN590" s="153">
        <f t="shared" si="692"/>
        <v>0</v>
      </c>
      <c r="AO590" s="154">
        <f t="shared" si="693"/>
        <v>0</v>
      </c>
      <c r="AP590" s="150">
        <v>74644.52</v>
      </c>
      <c r="AQ590" s="201">
        <v>74644.52</v>
      </c>
      <c r="AR590" s="199"/>
      <c r="AS590" s="150">
        <f t="shared" si="685"/>
        <v>74644.52</v>
      </c>
      <c r="AT590" s="155"/>
      <c r="AU590" s="156">
        <f t="shared" si="687"/>
        <v>0</v>
      </c>
      <c r="AV590" s="156">
        <f t="shared" si="688"/>
        <v>0</v>
      </c>
      <c r="AW590" s="157"/>
      <c r="AX590" s="150">
        <v>74644.52</v>
      </c>
      <c r="AY590" s="150">
        <v>32383.439999999999</v>
      </c>
      <c r="AZ590" s="150">
        <v>18826.910399999997</v>
      </c>
      <c r="BA590" s="150">
        <f t="shared" si="686"/>
        <v>51210.350399999996</v>
      </c>
      <c r="BB590" s="210"/>
      <c r="BC590" s="210"/>
      <c r="BD590" s="210"/>
      <c r="BE590" s="210"/>
      <c r="BF590" s="210"/>
      <c r="BG590" s="210"/>
      <c r="BH590" s="217"/>
      <c r="BI590" s="210"/>
      <c r="BJ590" s="210"/>
      <c r="BK590" s="210"/>
      <c r="BL590" s="210"/>
      <c r="BM590" s="208"/>
      <c r="BN590" s="160"/>
      <c r="BO590" s="161"/>
      <c r="BP590" s="161"/>
    </row>
    <row r="591" spans="1:68" ht="38.25">
      <c r="A591" s="210"/>
      <c r="B591" s="195" t="s">
        <v>6240</v>
      </c>
      <c r="C591" s="196" t="s">
        <v>6241</v>
      </c>
      <c r="D591" s="146" t="s">
        <v>4692</v>
      </c>
      <c r="E591" s="196" t="s">
        <v>6241</v>
      </c>
      <c r="F591" s="150">
        <v>0</v>
      </c>
      <c r="G591" s="209">
        <v>0</v>
      </c>
      <c r="H591" s="209"/>
      <c r="I591" s="209">
        <v>0</v>
      </c>
      <c r="J591" s="150">
        <v>0</v>
      </c>
      <c r="K591" s="150">
        <v>0</v>
      </c>
      <c r="L591" s="150">
        <f t="shared" si="694"/>
        <v>0</v>
      </c>
      <c r="M591" s="150">
        <v>0</v>
      </c>
      <c r="N591" s="150"/>
      <c r="O591" s="150">
        <v>0</v>
      </c>
      <c r="P591" s="150">
        <v>0</v>
      </c>
      <c r="Q591" s="150">
        <v>0</v>
      </c>
      <c r="R591" s="150">
        <f t="shared" si="681"/>
        <v>0</v>
      </c>
      <c r="S591" s="150">
        <f t="shared" si="689"/>
        <v>0</v>
      </c>
      <c r="T591" s="150"/>
      <c r="U591" s="150">
        <v>0</v>
      </c>
      <c r="V591" s="199"/>
      <c r="W591" s="150">
        <f t="shared" si="682"/>
        <v>0</v>
      </c>
      <c r="X591" s="150">
        <v>0</v>
      </c>
      <c r="Y591" s="150"/>
      <c r="Z591" s="150">
        <v>0</v>
      </c>
      <c r="AA591" s="150">
        <f t="shared" si="690"/>
        <v>0</v>
      </c>
      <c r="AB591" s="150">
        <v>0</v>
      </c>
      <c r="AC591" s="199"/>
      <c r="AD591" s="150">
        <f t="shared" si="683"/>
        <v>0</v>
      </c>
      <c r="AE591" s="150">
        <v>0</v>
      </c>
      <c r="AF591" s="169" t="s">
        <v>4680</v>
      </c>
      <c r="AG591" s="201">
        <v>0</v>
      </c>
      <c r="AH591" s="199"/>
      <c r="AI591" s="150">
        <v>0</v>
      </c>
      <c r="AJ591" s="169">
        <f t="shared" si="691"/>
        <v>0</v>
      </c>
      <c r="AK591" s="201">
        <v>0</v>
      </c>
      <c r="AL591" s="199"/>
      <c r="AM591" s="150">
        <f t="shared" si="684"/>
        <v>0</v>
      </c>
      <c r="AN591" s="153">
        <f t="shared" si="692"/>
        <v>0</v>
      </c>
      <c r="AO591" s="154">
        <f t="shared" si="693"/>
        <v>0</v>
      </c>
      <c r="AP591" s="150">
        <v>0</v>
      </c>
      <c r="AQ591" s="201">
        <v>0</v>
      </c>
      <c r="AR591" s="199"/>
      <c r="AS591" s="150">
        <f t="shared" si="685"/>
        <v>0</v>
      </c>
      <c r="AT591" s="155"/>
      <c r="AU591" s="156">
        <f t="shared" si="687"/>
        <v>0</v>
      </c>
      <c r="AV591" s="156">
        <f t="shared" si="688"/>
        <v>0</v>
      </c>
      <c r="AW591" s="157"/>
      <c r="AX591" s="150">
        <v>0</v>
      </c>
      <c r="AY591" s="150">
        <v>0</v>
      </c>
      <c r="AZ591" s="150"/>
      <c r="BA591" s="150">
        <f t="shared" si="686"/>
        <v>0</v>
      </c>
      <c r="BB591" s="210"/>
      <c r="BC591" s="210"/>
      <c r="BD591" s="210"/>
      <c r="BE591" s="210"/>
      <c r="BF591" s="210"/>
      <c r="BG591" s="210"/>
      <c r="BH591" s="217"/>
      <c r="BI591" s="210"/>
      <c r="BJ591" s="210"/>
      <c r="BK591" s="210"/>
      <c r="BL591" s="210"/>
      <c r="BM591" s="208"/>
      <c r="BN591" s="160"/>
      <c r="BO591" s="161"/>
      <c r="BP591" s="161"/>
    </row>
    <row r="592" spans="1:68" ht="51">
      <c r="A592" s="210"/>
      <c r="B592" s="195" t="s">
        <v>6242</v>
      </c>
      <c r="C592" s="196" t="s">
        <v>6243</v>
      </c>
      <c r="D592" s="146" t="s">
        <v>4692</v>
      </c>
      <c r="E592" s="196" t="s">
        <v>6243</v>
      </c>
      <c r="F592" s="150">
        <v>0</v>
      </c>
      <c r="G592" s="209">
        <v>0</v>
      </c>
      <c r="H592" s="209"/>
      <c r="I592" s="209">
        <v>0</v>
      </c>
      <c r="J592" s="150">
        <v>0</v>
      </c>
      <c r="K592" s="150">
        <v>0</v>
      </c>
      <c r="L592" s="150">
        <f t="shared" si="694"/>
        <v>0</v>
      </c>
      <c r="M592" s="150">
        <v>0</v>
      </c>
      <c r="N592" s="150"/>
      <c r="O592" s="150">
        <v>0</v>
      </c>
      <c r="P592" s="150">
        <v>0</v>
      </c>
      <c r="Q592" s="150">
        <v>0</v>
      </c>
      <c r="R592" s="150">
        <f t="shared" si="681"/>
        <v>0</v>
      </c>
      <c r="S592" s="150">
        <f t="shared" si="689"/>
        <v>0</v>
      </c>
      <c r="T592" s="150"/>
      <c r="U592" s="150">
        <v>0</v>
      </c>
      <c r="V592" s="199"/>
      <c r="W592" s="150">
        <f t="shared" si="682"/>
        <v>0</v>
      </c>
      <c r="X592" s="150">
        <v>0</v>
      </c>
      <c r="Y592" s="150"/>
      <c r="Z592" s="150">
        <v>0</v>
      </c>
      <c r="AA592" s="150">
        <f t="shared" si="690"/>
        <v>0</v>
      </c>
      <c r="AB592" s="150">
        <v>0</v>
      </c>
      <c r="AC592" s="199"/>
      <c r="AD592" s="150">
        <f t="shared" si="683"/>
        <v>0</v>
      </c>
      <c r="AE592" s="150">
        <v>0</v>
      </c>
      <c r="AF592" s="169" t="s">
        <v>4680</v>
      </c>
      <c r="AG592" s="201">
        <v>0</v>
      </c>
      <c r="AH592" s="199"/>
      <c r="AI592" s="150">
        <v>0</v>
      </c>
      <c r="AJ592" s="169">
        <f t="shared" si="691"/>
        <v>0</v>
      </c>
      <c r="AK592" s="201">
        <v>0</v>
      </c>
      <c r="AL592" s="199"/>
      <c r="AM592" s="150">
        <f t="shared" si="684"/>
        <v>0</v>
      </c>
      <c r="AN592" s="153">
        <f t="shared" si="692"/>
        <v>0</v>
      </c>
      <c r="AO592" s="154">
        <f t="shared" si="693"/>
        <v>0</v>
      </c>
      <c r="AP592" s="150">
        <v>0</v>
      </c>
      <c r="AQ592" s="201">
        <v>0</v>
      </c>
      <c r="AR592" s="199"/>
      <c r="AS592" s="150">
        <f t="shared" si="685"/>
        <v>0</v>
      </c>
      <c r="AT592" s="155"/>
      <c r="AU592" s="156">
        <f t="shared" si="687"/>
        <v>0</v>
      </c>
      <c r="AV592" s="156">
        <f t="shared" si="688"/>
        <v>0</v>
      </c>
      <c r="AW592" s="157"/>
      <c r="AX592" s="150">
        <v>0</v>
      </c>
      <c r="AY592" s="150">
        <v>0</v>
      </c>
      <c r="AZ592" s="150"/>
      <c r="BA592" s="150">
        <f t="shared" si="686"/>
        <v>0</v>
      </c>
      <c r="BB592" s="210"/>
      <c r="BC592" s="210"/>
      <c r="BD592" s="210"/>
      <c r="BE592" s="210"/>
      <c r="BF592" s="210"/>
      <c r="BG592" s="210"/>
      <c r="BH592" s="217"/>
      <c r="BI592" s="210"/>
      <c r="BJ592" s="210"/>
      <c r="BK592" s="210"/>
      <c r="BL592" s="210"/>
      <c r="BM592" s="208"/>
      <c r="BN592" s="160"/>
      <c r="BO592" s="161"/>
      <c r="BP592" s="161"/>
    </row>
    <row r="593" spans="1:68" ht="51">
      <c r="A593" s="210"/>
      <c r="B593" s="195" t="s">
        <v>6244</v>
      </c>
      <c r="C593" s="196" t="s">
        <v>6245</v>
      </c>
      <c r="D593" s="146" t="s">
        <v>4692</v>
      </c>
      <c r="E593" s="196" t="s">
        <v>6245</v>
      </c>
      <c r="F593" s="150">
        <v>0</v>
      </c>
      <c r="G593" s="209">
        <v>0</v>
      </c>
      <c r="H593" s="209"/>
      <c r="I593" s="209">
        <v>0</v>
      </c>
      <c r="J593" s="150">
        <v>0</v>
      </c>
      <c r="K593" s="150">
        <v>0</v>
      </c>
      <c r="L593" s="150">
        <f t="shared" si="694"/>
        <v>0</v>
      </c>
      <c r="M593" s="150">
        <v>0</v>
      </c>
      <c r="N593" s="150"/>
      <c r="O593" s="150">
        <v>0</v>
      </c>
      <c r="P593" s="150">
        <v>0</v>
      </c>
      <c r="Q593" s="150">
        <v>0</v>
      </c>
      <c r="R593" s="150">
        <f t="shared" si="681"/>
        <v>0</v>
      </c>
      <c r="S593" s="150">
        <f t="shared" si="689"/>
        <v>0</v>
      </c>
      <c r="T593" s="150"/>
      <c r="U593" s="150">
        <v>0</v>
      </c>
      <c r="V593" s="199"/>
      <c r="W593" s="150">
        <f t="shared" si="682"/>
        <v>0</v>
      </c>
      <c r="X593" s="150">
        <v>0</v>
      </c>
      <c r="Y593" s="150"/>
      <c r="Z593" s="150">
        <v>0</v>
      </c>
      <c r="AA593" s="150">
        <f t="shared" si="690"/>
        <v>0</v>
      </c>
      <c r="AB593" s="150">
        <v>0</v>
      </c>
      <c r="AC593" s="199"/>
      <c r="AD593" s="150">
        <f t="shared" si="683"/>
        <v>0</v>
      </c>
      <c r="AE593" s="150">
        <v>0</v>
      </c>
      <c r="AF593" s="169" t="s">
        <v>4680</v>
      </c>
      <c r="AG593" s="201">
        <v>0</v>
      </c>
      <c r="AH593" s="199"/>
      <c r="AI593" s="150">
        <v>0</v>
      </c>
      <c r="AJ593" s="169">
        <f t="shared" si="691"/>
        <v>0</v>
      </c>
      <c r="AK593" s="201">
        <v>0</v>
      </c>
      <c r="AL593" s="199"/>
      <c r="AM593" s="150">
        <f t="shared" si="684"/>
        <v>0</v>
      </c>
      <c r="AN593" s="153">
        <f t="shared" si="692"/>
        <v>0</v>
      </c>
      <c r="AO593" s="154">
        <f t="shared" si="693"/>
        <v>0</v>
      </c>
      <c r="AP593" s="150">
        <v>0</v>
      </c>
      <c r="AQ593" s="201">
        <v>0</v>
      </c>
      <c r="AR593" s="199"/>
      <c r="AS593" s="150">
        <f t="shared" si="685"/>
        <v>0</v>
      </c>
      <c r="AT593" s="155"/>
      <c r="AU593" s="156">
        <f t="shared" si="687"/>
        <v>0</v>
      </c>
      <c r="AV593" s="156">
        <f t="shared" si="688"/>
        <v>0</v>
      </c>
      <c r="AW593" s="157"/>
      <c r="AX593" s="150">
        <v>0</v>
      </c>
      <c r="AY593" s="150">
        <v>0</v>
      </c>
      <c r="AZ593" s="150"/>
      <c r="BA593" s="150">
        <f t="shared" si="686"/>
        <v>0</v>
      </c>
      <c r="BB593" s="210"/>
      <c r="BC593" s="210"/>
      <c r="BD593" s="210"/>
      <c r="BE593" s="210"/>
      <c r="BF593" s="210"/>
      <c r="BG593" s="210"/>
      <c r="BH593" s="217"/>
      <c r="BI593" s="210"/>
      <c r="BJ593" s="210"/>
      <c r="BK593" s="210"/>
      <c r="BL593" s="210"/>
      <c r="BM593" s="208"/>
      <c r="BN593" s="160"/>
      <c r="BO593" s="161"/>
      <c r="BP593" s="161"/>
    </row>
    <row r="594" spans="1:68" ht="51">
      <c r="A594" s="210"/>
      <c r="B594" s="195" t="s">
        <v>6246</v>
      </c>
      <c r="C594" s="196" t="s">
        <v>6247</v>
      </c>
      <c r="D594" s="146" t="s">
        <v>4692</v>
      </c>
      <c r="E594" s="196" t="s">
        <v>6247</v>
      </c>
      <c r="F594" s="150">
        <v>0</v>
      </c>
      <c r="G594" s="209">
        <v>148566.07999999999</v>
      </c>
      <c r="H594" s="209">
        <v>97.885600000008708</v>
      </c>
      <c r="I594" s="209">
        <v>148663.9656</v>
      </c>
      <c r="J594" s="150">
        <v>0</v>
      </c>
      <c r="K594" s="150">
        <v>0</v>
      </c>
      <c r="L594" s="150">
        <f t="shared" si="694"/>
        <v>0</v>
      </c>
      <c r="M594" s="150">
        <v>0</v>
      </c>
      <c r="N594" s="150"/>
      <c r="O594" s="150">
        <v>0</v>
      </c>
      <c r="P594" s="150">
        <v>0</v>
      </c>
      <c r="Q594" s="150">
        <v>0</v>
      </c>
      <c r="R594" s="150">
        <f t="shared" si="681"/>
        <v>0</v>
      </c>
      <c r="S594" s="150">
        <f t="shared" si="689"/>
        <v>0</v>
      </c>
      <c r="T594" s="150"/>
      <c r="U594" s="150">
        <v>0</v>
      </c>
      <c r="V594" s="199"/>
      <c r="W594" s="150">
        <f t="shared" si="682"/>
        <v>0</v>
      </c>
      <c r="X594" s="150">
        <v>0</v>
      </c>
      <c r="Y594" s="150"/>
      <c r="Z594" s="150">
        <v>0</v>
      </c>
      <c r="AA594" s="150">
        <f t="shared" si="690"/>
        <v>0</v>
      </c>
      <c r="AB594" s="150">
        <v>0</v>
      </c>
      <c r="AC594" s="199"/>
      <c r="AD594" s="150">
        <f t="shared" si="683"/>
        <v>0</v>
      </c>
      <c r="AE594" s="150">
        <v>0</v>
      </c>
      <c r="AF594" s="169" t="s">
        <v>4680</v>
      </c>
      <c r="AG594" s="201">
        <v>0</v>
      </c>
      <c r="AH594" s="199"/>
      <c r="AI594" s="150">
        <v>0</v>
      </c>
      <c r="AJ594" s="169">
        <f t="shared" si="691"/>
        <v>0</v>
      </c>
      <c r="AK594" s="201">
        <v>0</v>
      </c>
      <c r="AL594" s="199"/>
      <c r="AM594" s="150">
        <f t="shared" si="684"/>
        <v>0</v>
      </c>
      <c r="AN594" s="153">
        <f t="shared" si="692"/>
        <v>0</v>
      </c>
      <c r="AO594" s="154">
        <f t="shared" si="693"/>
        <v>0</v>
      </c>
      <c r="AP594" s="150">
        <v>0</v>
      </c>
      <c r="AQ594" s="201">
        <v>0</v>
      </c>
      <c r="AR594" s="199"/>
      <c r="AS594" s="150">
        <f t="shared" si="685"/>
        <v>0</v>
      </c>
      <c r="AT594" s="155"/>
      <c r="AU594" s="156">
        <f t="shared" si="687"/>
        <v>0</v>
      </c>
      <c r="AV594" s="156">
        <f t="shared" si="688"/>
        <v>0</v>
      </c>
      <c r="AW594" s="157"/>
      <c r="AX594" s="150">
        <v>0</v>
      </c>
      <c r="AY594" s="150">
        <v>0</v>
      </c>
      <c r="AZ594" s="150"/>
      <c r="BA594" s="150">
        <f t="shared" si="686"/>
        <v>0</v>
      </c>
      <c r="BB594" s="210"/>
      <c r="BC594" s="210"/>
      <c r="BD594" s="210"/>
      <c r="BE594" s="210"/>
      <c r="BF594" s="210"/>
      <c r="BG594" s="210"/>
      <c r="BH594" s="217"/>
      <c r="BI594" s="210"/>
      <c r="BJ594" s="210"/>
      <c r="BK594" s="210"/>
      <c r="BL594" s="210"/>
      <c r="BM594" s="208"/>
      <c r="BN594" s="160"/>
      <c r="BO594" s="161"/>
      <c r="BP594" s="161"/>
    </row>
    <row r="595" spans="1:68" ht="51">
      <c r="A595" s="210"/>
      <c r="B595" s="195" t="s">
        <v>6248</v>
      </c>
      <c r="C595" s="196" t="s">
        <v>6249</v>
      </c>
      <c r="D595" s="146" t="s">
        <v>4692</v>
      </c>
      <c r="E595" s="196" t="s">
        <v>6249</v>
      </c>
      <c r="F595" s="150">
        <v>148566.07999999999</v>
      </c>
      <c r="G595" s="209">
        <v>0</v>
      </c>
      <c r="H595" s="209"/>
      <c r="I595" s="209">
        <v>0</v>
      </c>
      <c r="J595" s="150">
        <v>40549.800000000003</v>
      </c>
      <c r="K595" s="150">
        <v>20783.796009999998</v>
      </c>
      <c r="L595" s="150">
        <f t="shared" si="694"/>
        <v>61333.596010000001</v>
      </c>
      <c r="M595" s="150">
        <v>92547.9</v>
      </c>
      <c r="N595" s="150">
        <v>2.1160100000124658</v>
      </c>
      <c r="O595" s="150">
        <v>92550.016010000007</v>
      </c>
      <c r="P595" s="150">
        <v>145176.5</v>
      </c>
      <c r="Q595" s="150"/>
      <c r="R595" s="150">
        <f t="shared" si="681"/>
        <v>145176.5</v>
      </c>
      <c r="S595" s="150">
        <f t="shared" si="689"/>
        <v>193568.66666666669</v>
      </c>
      <c r="T595" s="150"/>
      <c r="U595" s="150">
        <v>189349.32</v>
      </c>
      <c r="V595" s="199"/>
      <c r="W595" s="150">
        <f t="shared" si="682"/>
        <v>189349.32</v>
      </c>
      <c r="X595" s="150">
        <v>189349.32</v>
      </c>
      <c r="Y595" s="150"/>
      <c r="Z595" s="150">
        <v>189349.32</v>
      </c>
      <c r="AA595" s="150">
        <f t="shared" si="690"/>
        <v>0</v>
      </c>
      <c r="AB595" s="150">
        <v>189349.32</v>
      </c>
      <c r="AC595" s="199"/>
      <c r="AD595" s="150">
        <f t="shared" si="683"/>
        <v>189349.32</v>
      </c>
      <c r="AE595" s="150">
        <v>189349.32</v>
      </c>
      <c r="AF595" s="169" t="s">
        <v>4680</v>
      </c>
      <c r="AG595" s="201">
        <v>189349.32</v>
      </c>
      <c r="AH595" s="199"/>
      <c r="AI595" s="150">
        <v>189349.32</v>
      </c>
      <c r="AJ595" s="169">
        <f t="shared" si="691"/>
        <v>0</v>
      </c>
      <c r="AK595" s="201">
        <v>189349.32</v>
      </c>
      <c r="AL595" s="199"/>
      <c r="AM595" s="150">
        <f t="shared" si="684"/>
        <v>189349.32</v>
      </c>
      <c r="AN595" s="153">
        <f t="shared" si="692"/>
        <v>0</v>
      </c>
      <c r="AO595" s="154">
        <f t="shared" si="693"/>
        <v>0</v>
      </c>
      <c r="AP595" s="150">
        <v>189349.32</v>
      </c>
      <c r="AQ595" s="201">
        <v>189349.32</v>
      </c>
      <c r="AR595" s="199"/>
      <c r="AS595" s="150">
        <f t="shared" si="685"/>
        <v>189349.32</v>
      </c>
      <c r="AT595" s="155"/>
      <c r="AU595" s="156">
        <f t="shared" si="687"/>
        <v>0</v>
      </c>
      <c r="AV595" s="156">
        <f t="shared" si="688"/>
        <v>0</v>
      </c>
      <c r="AW595" s="157"/>
      <c r="AX595" s="150">
        <v>189349.32</v>
      </c>
      <c r="AY595" s="150">
        <v>137062.42000000001</v>
      </c>
      <c r="AZ595" s="150">
        <v>68534.728579999966</v>
      </c>
      <c r="BA595" s="150">
        <f t="shared" si="686"/>
        <v>205597.14857999998</v>
      </c>
      <c r="BB595" s="210"/>
      <c r="BC595" s="210"/>
      <c r="BD595" s="210"/>
      <c r="BE595" s="210"/>
      <c r="BF595" s="210"/>
      <c r="BG595" s="210"/>
      <c r="BH595" s="217"/>
      <c r="BI595" s="210"/>
      <c r="BJ595" s="210"/>
      <c r="BK595" s="210"/>
      <c r="BL595" s="210"/>
      <c r="BM595" s="208"/>
      <c r="BN595" s="160"/>
      <c r="BO595" s="161"/>
      <c r="BP595" s="161"/>
    </row>
    <row r="596" spans="1:68" ht="38.25">
      <c r="A596" s="210"/>
      <c r="B596" s="195" t="s">
        <v>6250</v>
      </c>
      <c r="C596" s="196" t="s">
        <v>6251</v>
      </c>
      <c r="D596" s="146" t="s">
        <v>4692</v>
      </c>
      <c r="E596" s="196" t="s">
        <v>6251</v>
      </c>
      <c r="F596" s="150">
        <v>0</v>
      </c>
      <c r="G596" s="209">
        <v>0</v>
      </c>
      <c r="H596" s="209"/>
      <c r="I596" s="209">
        <v>0</v>
      </c>
      <c r="J596" s="150">
        <v>0</v>
      </c>
      <c r="K596" s="150">
        <v>0</v>
      </c>
      <c r="L596" s="150">
        <f t="shared" si="694"/>
        <v>0</v>
      </c>
      <c r="M596" s="150">
        <v>0</v>
      </c>
      <c r="N596" s="150"/>
      <c r="O596" s="150">
        <v>0</v>
      </c>
      <c r="P596" s="150">
        <v>0</v>
      </c>
      <c r="Q596" s="150">
        <v>0</v>
      </c>
      <c r="R596" s="150">
        <f t="shared" si="681"/>
        <v>0</v>
      </c>
      <c r="S596" s="150">
        <f t="shared" si="689"/>
        <v>0</v>
      </c>
      <c r="T596" s="150"/>
      <c r="U596" s="150">
        <v>0</v>
      </c>
      <c r="V596" s="199"/>
      <c r="W596" s="150">
        <f t="shared" si="682"/>
        <v>0</v>
      </c>
      <c r="X596" s="150">
        <v>0</v>
      </c>
      <c r="Y596" s="150"/>
      <c r="Z596" s="150">
        <v>0</v>
      </c>
      <c r="AA596" s="150">
        <f t="shared" si="690"/>
        <v>0</v>
      </c>
      <c r="AB596" s="150">
        <v>0</v>
      </c>
      <c r="AC596" s="199"/>
      <c r="AD596" s="150">
        <f t="shared" si="683"/>
        <v>0</v>
      </c>
      <c r="AE596" s="150">
        <v>0</v>
      </c>
      <c r="AF596" s="169" t="s">
        <v>4680</v>
      </c>
      <c r="AG596" s="201">
        <v>0</v>
      </c>
      <c r="AH596" s="199"/>
      <c r="AI596" s="150">
        <v>0</v>
      </c>
      <c r="AJ596" s="169">
        <f t="shared" si="691"/>
        <v>0</v>
      </c>
      <c r="AK596" s="201">
        <v>0</v>
      </c>
      <c r="AL596" s="199"/>
      <c r="AM596" s="150">
        <f t="shared" si="684"/>
        <v>0</v>
      </c>
      <c r="AN596" s="153">
        <f t="shared" si="692"/>
        <v>0</v>
      </c>
      <c r="AO596" s="154">
        <f t="shared" si="693"/>
        <v>0</v>
      </c>
      <c r="AP596" s="150">
        <v>0</v>
      </c>
      <c r="AQ596" s="201">
        <v>0</v>
      </c>
      <c r="AR596" s="199"/>
      <c r="AS596" s="150">
        <f t="shared" si="685"/>
        <v>0</v>
      </c>
      <c r="AT596" s="155"/>
      <c r="AU596" s="156">
        <f t="shared" si="687"/>
        <v>0</v>
      </c>
      <c r="AV596" s="156">
        <f t="shared" si="688"/>
        <v>0</v>
      </c>
      <c r="AW596" s="157"/>
      <c r="AX596" s="150">
        <v>0</v>
      </c>
      <c r="AY596" s="150">
        <v>0</v>
      </c>
      <c r="AZ596" s="150"/>
      <c r="BA596" s="150">
        <f t="shared" si="686"/>
        <v>0</v>
      </c>
      <c r="BB596" s="210"/>
      <c r="BC596" s="210"/>
      <c r="BD596" s="210"/>
      <c r="BE596" s="210"/>
      <c r="BF596" s="210"/>
      <c r="BG596" s="210"/>
      <c r="BH596" s="217"/>
      <c r="BI596" s="210"/>
      <c r="BJ596" s="210"/>
      <c r="BK596" s="210"/>
      <c r="BL596" s="210"/>
      <c r="BM596" s="208"/>
      <c r="BN596" s="160"/>
      <c r="BO596" s="161"/>
      <c r="BP596" s="161"/>
    </row>
    <row r="597" spans="1:68" ht="51">
      <c r="A597" s="210"/>
      <c r="B597" s="195" t="s">
        <v>6252</v>
      </c>
      <c r="C597" s="196" t="s">
        <v>6253</v>
      </c>
      <c r="D597" s="146" t="s">
        <v>4692</v>
      </c>
      <c r="E597" s="196" t="s">
        <v>6253</v>
      </c>
      <c r="F597" s="150">
        <v>0</v>
      </c>
      <c r="G597" s="209">
        <v>0</v>
      </c>
      <c r="H597" s="209"/>
      <c r="I597" s="209">
        <v>0</v>
      </c>
      <c r="J597" s="150">
        <v>0</v>
      </c>
      <c r="K597" s="150">
        <v>0</v>
      </c>
      <c r="L597" s="150">
        <f t="shared" si="694"/>
        <v>0</v>
      </c>
      <c r="M597" s="150">
        <v>0</v>
      </c>
      <c r="N597" s="150"/>
      <c r="O597" s="150">
        <v>0</v>
      </c>
      <c r="P597" s="150">
        <v>0</v>
      </c>
      <c r="Q597" s="150">
        <v>0</v>
      </c>
      <c r="R597" s="150">
        <f t="shared" si="681"/>
        <v>0</v>
      </c>
      <c r="S597" s="150">
        <f t="shared" si="689"/>
        <v>0</v>
      </c>
      <c r="T597" s="150"/>
      <c r="U597" s="150">
        <v>0</v>
      </c>
      <c r="V597" s="199"/>
      <c r="W597" s="150">
        <f t="shared" si="682"/>
        <v>0</v>
      </c>
      <c r="X597" s="150">
        <v>0</v>
      </c>
      <c r="Y597" s="150"/>
      <c r="Z597" s="150">
        <v>0</v>
      </c>
      <c r="AA597" s="150">
        <f t="shared" si="690"/>
        <v>0</v>
      </c>
      <c r="AB597" s="150">
        <v>0</v>
      </c>
      <c r="AC597" s="199"/>
      <c r="AD597" s="150">
        <f t="shared" si="683"/>
        <v>0</v>
      </c>
      <c r="AE597" s="150">
        <v>0</v>
      </c>
      <c r="AF597" s="169" t="s">
        <v>4680</v>
      </c>
      <c r="AG597" s="201">
        <v>0</v>
      </c>
      <c r="AH597" s="199"/>
      <c r="AI597" s="150">
        <v>0</v>
      </c>
      <c r="AJ597" s="169">
        <f t="shared" si="691"/>
        <v>0</v>
      </c>
      <c r="AK597" s="201">
        <v>0</v>
      </c>
      <c r="AL597" s="199"/>
      <c r="AM597" s="150">
        <f t="shared" si="684"/>
        <v>0</v>
      </c>
      <c r="AN597" s="153">
        <f t="shared" si="692"/>
        <v>0</v>
      </c>
      <c r="AO597" s="154">
        <f t="shared" si="693"/>
        <v>0</v>
      </c>
      <c r="AP597" s="150">
        <v>0</v>
      </c>
      <c r="AQ597" s="201">
        <v>0</v>
      </c>
      <c r="AR597" s="199"/>
      <c r="AS597" s="150">
        <f t="shared" si="685"/>
        <v>0</v>
      </c>
      <c r="AT597" s="155"/>
      <c r="AU597" s="156">
        <f t="shared" si="687"/>
        <v>0</v>
      </c>
      <c r="AV597" s="156">
        <f t="shared" si="688"/>
        <v>0</v>
      </c>
      <c r="AW597" s="157"/>
      <c r="AX597" s="150">
        <v>0</v>
      </c>
      <c r="AY597" s="150">
        <v>0</v>
      </c>
      <c r="AZ597" s="150"/>
      <c r="BA597" s="150">
        <f t="shared" si="686"/>
        <v>0</v>
      </c>
      <c r="BB597" s="210"/>
      <c r="BC597" s="210"/>
      <c r="BD597" s="210"/>
      <c r="BE597" s="210"/>
      <c r="BF597" s="210"/>
      <c r="BG597" s="210"/>
      <c r="BH597" s="217"/>
      <c r="BI597" s="210"/>
      <c r="BJ597" s="210"/>
      <c r="BK597" s="210"/>
      <c r="BL597" s="210"/>
      <c r="BM597" s="208"/>
      <c r="BN597" s="160"/>
      <c r="BO597" s="161"/>
      <c r="BP597" s="161"/>
    </row>
    <row r="598" spans="1:68" ht="51">
      <c r="A598" s="210"/>
      <c r="B598" s="195" t="s">
        <v>6254</v>
      </c>
      <c r="C598" s="196" t="s">
        <v>6255</v>
      </c>
      <c r="D598" s="146" t="s">
        <v>4692</v>
      </c>
      <c r="E598" s="196" t="s">
        <v>6255</v>
      </c>
      <c r="F598" s="150">
        <v>0</v>
      </c>
      <c r="G598" s="209">
        <v>0</v>
      </c>
      <c r="H598" s="209"/>
      <c r="I598" s="209">
        <v>0</v>
      </c>
      <c r="J598" s="150">
        <v>0</v>
      </c>
      <c r="K598" s="150">
        <v>0</v>
      </c>
      <c r="L598" s="150">
        <f t="shared" si="694"/>
        <v>0</v>
      </c>
      <c r="M598" s="150">
        <v>0</v>
      </c>
      <c r="N598" s="150"/>
      <c r="O598" s="150">
        <v>0</v>
      </c>
      <c r="P598" s="150">
        <v>0</v>
      </c>
      <c r="Q598" s="150">
        <v>0</v>
      </c>
      <c r="R598" s="150">
        <f t="shared" si="681"/>
        <v>0</v>
      </c>
      <c r="S598" s="150">
        <f t="shared" si="689"/>
        <v>0</v>
      </c>
      <c r="T598" s="150"/>
      <c r="U598" s="150">
        <v>0</v>
      </c>
      <c r="V598" s="199"/>
      <c r="W598" s="150">
        <f t="shared" si="682"/>
        <v>0</v>
      </c>
      <c r="X598" s="150">
        <v>0</v>
      </c>
      <c r="Y598" s="150"/>
      <c r="Z598" s="150">
        <v>0</v>
      </c>
      <c r="AA598" s="150">
        <f t="shared" si="690"/>
        <v>0</v>
      </c>
      <c r="AB598" s="150">
        <v>0</v>
      </c>
      <c r="AC598" s="199"/>
      <c r="AD598" s="150">
        <f t="shared" si="683"/>
        <v>0</v>
      </c>
      <c r="AE598" s="150">
        <v>0</v>
      </c>
      <c r="AF598" s="169" t="s">
        <v>4680</v>
      </c>
      <c r="AG598" s="201">
        <v>0</v>
      </c>
      <c r="AH598" s="199"/>
      <c r="AI598" s="150">
        <v>0</v>
      </c>
      <c r="AJ598" s="169">
        <f t="shared" si="691"/>
        <v>0</v>
      </c>
      <c r="AK598" s="201">
        <v>0</v>
      </c>
      <c r="AL598" s="199"/>
      <c r="AM598" s="150">
        <f t="shared" si="684"/>
        <v>0</v>
      </c>
      <c r="AN598" s="153">
        <f t="shared" si="692"/>
        <v>0</v>
      </c>
      <c r="AO598" s="154">
        <f t="shared" si="693"/>
        <v>0</v>
      </c>
      <c r="AP598" s="150">
        <v>0</v>
      </c>
      <c r="AQ598" s="201">
        <v>0</v>
      </c>
      <c r="AR598" s="199"/>
      <c r="AS598" s="150">
        <f t="shared" si="685"/>
        <v>0</v>
      </c>
      <c r="AT598" s="155"/>
      <c r="AU598" s="156">
        <f t="shared" si="687"/>
        <v>0</v>
      </c>
      <c r="AV598" s="156">
        <f t="shared" si="688"/>
        <v>0</v>
      </c>
      <c r="AW598" s="157"/>
      <c r="AX598" s="150">
        <v>0</v>
      </c>
      <c r="AY598" s="150">
        <v>0</v>
      </c>
      <c r="AZ598" s="150"/>
      <c r="BA598" s="150">
        <f t="shared" si="686"/>
        <v>0</v>
      </c>
      <c r="BB598" s="210"/>
      <c r="BC598" s="210"/>
      <c r="BD598" s="210"/>
      <c r="BE598" s="210"/>
      <c r="BF598" s="210"/>
      <c r="BG598" s="210"/>
      <c r="BH598" s="217"/>
      <c r="BI598" s="210"/>
      <c r="BJ598" s="210"/>
      <c r="BK598" s="210"/>
      <c r="BL598" s="210"/>
      <c r="BM598" s="208"/>
      <c r="BN598" s="160"/>
      <c r="BO598" s="161"/>
      <c r="BP598" s="161"/>
    </row>
    <row r="599" spans="1:68" ht="51">
      <c r="A599" s="210"/>
      <c r="B599" s="195" t="s">
        <v>6256</v>
      </c>
      <c r="C599" s="196" t="s">
        <v>6257</v>
      </c>
      <c r="D599" s="146" t="s">
        <v>4692</v>
      </c>
      <c r="E599" s="196" t="s">
        <v>6257</v>
      </c>
      <c r="F599" s="150">
        <v>0</v>
      </c>
      <c r="G599" s="209">
        <v>0</v>
      </c>
      <c r="H599" s="209"/>
      <c r="I599" s="209">
        <v>0</v>
      </c>
      <c r="J599" s="150">
        <v>0</v>
      </c>
      <c r="K599" s="150">
        <v>0</v>
      </c>
      <c r="L599" s="150">
        <f t="shared" si="694"/>
        <v>0</v>
      </c>
      <c r="M599" s="150">
        <v>0</v>
      </c>
      <c r="N599" s="150"/>
      <c r="O599" s="150">
        <v>0</v>
      </c>
      <c r="P599" s="150">
        <v>0</v>
      </c>
      <c r="Q599" s="150">
        <v>0</v>
      </c>
      <c r="R599" s="150">
        <f t="shared" si="681"/>
        <v>0</v>
      </c>
      <c r="S599" s="150">
        <f t="shared" si="689"/>
        <v>0</v>
      </c>
      <c r="T599" s="150"/>
      <c r="U599" s="150">
        <v>0</v>
      </c>
      <c r="V599" s="199"/>
      <c r="W599" s="150">
        <f t="shared" si="682"/>
        <v>0</v>
      </c>
      <c r="X599" s="150">
        <v>0</v>
      </c>
      <c r="Y599" s="150"/>
      <c r="Z599" s="150">
        <v>0</v>
      </c>
      <c r="AA599" s="150">
        <f t="shared" si="690"/>
        <v>0</v>
      </c>
      <c r="AB599" s="150">
        <v>0</v>
      </c>
      <c r="AC599" s="199"/>
      <c r="AD599" s="150">
        <f t="shared" si="683"/>
        <v>0</v>
      </c>
      <c r="AE599" s="150">
        <v>0</v>
      </c>
      <c r="AF599" s="169" t="s">
        <v>4680</v>
      </c>
      <c r="AG599" s="201">
        <v>0</v>
      </c>
      <c r="AH599" s="199"/>
      <c r="AI599" s="150">
        <v>0</v>
      </c>
      <c r="AJ599" s="169">
        <f t="shared" si="691"/>
        <v>0</v>
      </c>
      <c r="AK599" s="201">
        <v>0</v>
      </c>
      <c r="AL599" s="199"/>
      <c r="AM599" s="150">
        <f t="shared" si="684"/>
        <v>0</v>
      </c>
      <c r="AN599" s="153">
        <f t="shared" si="692"/>
        <v>0</v>
      </c>
      <c r="AO599" s="154">
        <f t="shared" si="693"/>
        <v>0</v>
      </c>
      <c r="AP599" s="150">
        <v>0</v>
      </c>
      <c r="AQ599" s="201">
        <v>0</v>
      </c>
      <c r="AR599" s="199"/>
      <c r="AS599" s="150">
        <f t="shared" si="685"/>
        <v>0</v>
      </c>
      <c r="AT599" s="155"/>
      <c r="AU599" s="156">
        <f t="shared" si="687"/>
        <v>0</v>
      </c>
      <c r="AV599" s="156">
        <f t="shared" si="688"/>
        <v>0</v>
      </c>
      <c r="AW599" s="157"/>
      <c r="AX599" s="150">
        <v>0</v>
      </c>
      <c r="AY599" s="150">
        <v>0</v>
      </c>
      <c r="AZ599" s="150"/>
      <c r="BA599" s="150">
        <f t="shared" si="686"/>
        <v>0</v>
      </c>
      <c r="BB599" s="210"/>
      <c r="BC599" s="210"/>
      <c r="BD599" s="210"/>
      <c r="BE599" s="210"/>
      <c r="BF599" s="210"/>
      <c r="BG599" s="210"/>
      <c r="BH599" s="217"/>
      <c r="BI599" s="210"/>
      <c r="BJ599" s="210"/>
      <c r="BK599" s="210"/>
      <c r="BL599" s="210"/>
      <c r="BM599" s="208"/>
      <c r="BN599" s="160"/>
      <c r="BO599" s="161"/>
      <c r="BP599" s="161"/>
    </row>
    <row r="600" spans="1:68" ht="51">
      <c r="A600" s="210"/>
      <c r="B600" s="195" t="s">
        <v>6258</v>
      </c>
      <c r="C600" s="196" t="s">
        <v>6259</v>
      </c>
      <c r="D600" s="146" t="s">
        <v>4692</v>
      </c>
      <c r="E600" s="196" t="s">
        <v>6259</v>
      </c>
      <c r="F600" s="150">
        <v>0</v>
      </c>
      <c r="G600" s="209">
        <v>0</v>
      </c>
      <c r="H600" s="209"/>
      <c r="I600" s="209">
        <v>0</v>
      </c>
      <c r="J600" s="150">
        <v>0</v>
      </c>
      <c r="K600" s="150">
        <v>0</v>
      </c>
      <c r="L600" s="150">
        <f t="shared" si="694"/>
        <v>0</v>
      </c>
      <c r="M600" s="150">
        <v>0</v>
      </c>
      <c r="N600" s="150"/>
      <c r="O600" s="150">
        <v>0</v>
      </c>
      <c r="P600" s="150">
        <v>0</v>
      </c>
      <c r="Q600" s="150">
        <v>0</v>
      </c>
      <c r="R600" s="150">
        <f t="shared" si="681"/>
        <v>0</v>
      </c>
      <c r="S600" s="150">
        <f t="shared" si="689"/>
        <v>0</v>
      </c>
      <c r="T600" s="150"/>
      <c r="U600" s="150">
        <v>0</v>
      </c>
      <c r="V600" s="199"/>
      <c r="W600" s="150">
        <f t="shared" si="682"/>
        <v>0</v>
      </c>
      <c r="X600" s="150">
        <v>0</v>
      </c>
      <c r="Y600" s="150"/>
      <c r="Z600" s="150">
        <v>0</v>
      </c>
      <c r="AA600" s="150">
        <f t="shared" si="690"/>
        <v>0</v>
      </c>
      <c r="AB600" s="150">
        <v>0</v>
      </c>
      <c r="AC600" s="199"/>
      <c r="AD600" s="150">
        <f t="shared" si="683"/>
        <v>0</v>
      </c>
      <c r="AE600" s="150">
        <v>0</v>
      </c>
      <c r="AF600" s="169" t="s">
        <v>4680</v>
      </c>
      <c r="AG600" s="201">
        <v>0</v>
      </c>
      <c r="AH600" s="199"/>
      <c r="AI600" s="150">
        <v>0</v>
      </c>
      <c r="AJ600" s="169">
        <f t="shared" si="691"/>
        <v>0</v>
      </c>
      <c r="AK600" s="201">
        <v>0</v>
      </c>
      <c r="AL600" s="199"/>
      <c r="AM600" s="150">
        <f t="shared" si="684"/>
        <v>0</v>
      </c>
      <c r="AN600" s="153">
        <f t="shared" si="692"/>
        <v>0</v>
      </c>
      <c r="AO600" s="154">
        <f t="shared" si="693"/>
        <v>0</v>
      </c>
      <c r="AP600" s="150">
        <v>0</v>
      </c>
      <c r="AQ600" s="201">
        <v>0</v>
      </c>
      <c r="AR600" s="199"/>
      <c r="AS600" s="150">
        <f t="shared" si="685"/>
        <v>0</v>
      </c>
      <c r="AT600" s="155"/>
      <c r="AU600" s="156">
        <f t="shared" si="687"/>
        <v>0</v>
      </c>
      <c r="AV600" s="156">
        <f t="shared" si="688"/>
        <v>0</v>
      </c>
      <c r="AW600" s="157"/>
      <c r="AX600" s="150">
        <v>0</v>
      </c>
      <c r="AY600" s="150">
        <v>0</v>
      </c>
      <c r="AZ600" s="150"/>
      <c r="BA600" s="150">
        <f t="shared" si="686"/>
        <v>0</v>
      </c>
      <c r="BB600" s="210"/>
      <c r="BC600" s="210"/>
      <c r="BD600" s="210"/>
      <c r="BE600" s="210"/>
      <c r="BF600" s="210"/>
      <c r="BG600" s="210"/>
      <c r="BH600" s="217"/>
      <c r="BI600" s="210"/>
      <c r="BJ600" s="210"/>
      <c r="BK600" s="210"/>
      <c r="BL600" s="210"/>
      <c r="BM600" s="208"/>
      <c r="BN600" s="160"/>
      <c r="BO600" s="161"/>
      <c r="BP600" s="161"/>
    </row>
    <row r="601" spans="1:68" ht="51">
      <c r="A601" s="210"/>
      <c r="B601" s="195" t="s">
        <v>6260</v>
      </c>
      <c r="C601" s="196" t="s">
        <v>6261</v>
      </c>
      <c r="D601" s="146" t="s">
        <v>4692</v>
      </c>
      <c r="E601" s="196" t="s">
        <v>6261</v>
      </c>
      <c r="F601" s="150">
        <v>0</v>
      </c>
      <c r="G601" s="209">
        <v>0</v>
      </c>
      <c r="H601" s="209"/>
      <c r="I601" s="209">
        <v>0</v>
      </c>
      <c r="J601" s="150">
        <v>0</v>
      </c>
      <c r="K601" s="150">
        <v>0</v>
      </c>
      <c r="L601" s="150">
        <f t="shared" si="694"/>
        <v>0</v>
      </c>
      <c r="M601" s="150">
        <v>0</v>
      </c>
      <c r="N601" s="150"/>
      <c r="O601" s="150">
        <v>0</v>
      </c>
      <c r="P601" s="150">
        <v>0</v>
      </c>
      <c r="Q601" s="150">
        <v>0</v>
      </c>
      <c r="R601" s="150">
        <f t="shared" si="681"/>
        <v>0</v>
      </c>
      <c r="S601" s="150">
        <f t="shared" si="689"/>
        <v>0</v>
      </c>
      <c r="T601" s="150"/>
      <c r="U601" s="150">
        <v>0</v>
      </c>
      <c r="V601" s="199"/>
      <c r="W601" s="150">
        <f t="shared" si="682"/>
        <v>0</v>
      </c>
      <c r="X601" s="150">
        <v>0</v>
      </c>
      <c r="Y601" s="150"/>
      <c r="Z601" s="150">
        <v>0</v>
      </c>
      <c r="AA601" s="150">
        <f t="shared" si="690"/>
        <v>0</v>
      </c>
      <c r="AB601" s="150">
        <v>0</v>
      </c>
      <c r="AC601" s="199"/>
      <c r="AD601" s="150">
        <f t="shared" si="683"/>
        <v>0</v>
      </c>
      <c r="AE601" s="150">
        <v>0</v>
      </c>
      <c r="AF601" s="169" t="s">
        <v>4680</v>
      </c>
      <c r="AG601" s="201">
        <v>0</v>
      </c>
      <c r="AH601" s="199"/>
      <c r="AI601" s="150">
        <v>0</v>
      </c>
      <c r="AJ601" s="169">
        <f t="shared" si="691"/>
        <v>0</v>
      </c>
      <c r="AK601" s="201">
        <v>0</v>
      </c>
      <c r="AL601" s="199"/>
      <c r="AM601" s="150">
        <f t="shared" si="684"/>
        <v>0</v>
      </c>
      <c r="AN601" s="153">
        <f t="shared" si="692"/>
        <v>0</v>
      </c>
      <c r="AO601" s="154">
        <f t="shared" si="693"/>
        <v>0</v>
      </c>
      <c r="AP601" s="150">
        <v>0</v>
      </c>
      <c r="AQ601" s="201">
        <v>0</v>
      </c>
      <c r="AR601" s="199"/>
      <c r="AS601" s="150">
        <f t="shared" si="685"/>
        <v>0</v>
      </c>
      <c r="AT601" s="155"/>
      <c r="AU601" s="156">
        <f t="shared" si="687"/>
        <v>0</v>
      </c>
      <c r="AV601" s="156">
        <f t="shared" si="688"/>
        <v>0</v>
      </c>
      <c r="AW601" s="157"/>
      <c r="AX601" s="150">
        <v>0</v>
      </c>
      <c r="AY601" s="150">
        <v>0</v>
      </c>
      <c r="AZ601" s="150"/>
      <c r="BA601" s="150">
        <f t="shared" si="686"/>
        <v>0</v>
      </c>
      <c r="BB601" s="210"/>
      <c r="BC601" s="210"/>
      <c r="BD601" s="210"/>
      <c r="BE601" s="210"/>
      <c r="BF601" s="210"/>
      <c r="BG601" s="210"/>
      <c r="BH601" s="217"/>
      <c r="BI601" s="210"/>
      <c r="BJ601" s="210"/>
      <c r="BK601" s="210"/>
      <c r="BL601" s="210"/>
      <c r="BM601" s="208"/>
      <c r="BN601" s="160"/>
      <c r="BO601" s="161"/>
      <c r="BP601" s="161"/>
    </row>
    <row r="602" spans="1:68" ht="51">
      <c r="A602" s="210"/>
      <c r="B602" s="195" t="s">
        <v>6262</v>
      </c>
      <c r="C602" s="196" t="s">
        <v>6263</v>
      </c>
      <c r="D602" s="146" t="s">
        <v>4692</v>
      </c>
      <c r="E602" s="196" t="s">
        <v>6263</v>
      </c>
      <c r="F602" s="150">
        <v>0</v>
      </c>
      <c r="G602" s="209">
        <v>0</v>
      </c>
      <c r="H602" s="209"/>
      <c r="I602" s="209">
        <v>0</v>
      </c>
      <c r="J602" s="150">
        <v>0</v>
      </c>
      <c r="K602" s="150">
        <v>0</v>
      </c>
      <c r="L602" s="150">
        <f t="shared" si="694"/>
        <v>0</v>
      </c>
      <c r="M602" s="150">
        <v>0</v>
      </c>
      <c r="N602" s="150"/>
      <c r="O602" s="150">
        <v>0</v>
      </c>
      <c r="P602" s="150">
        <v>0</v>
      </c>
      <c r="Q602" s="150">
        <v>0</v>
      </c>
      <c r="R602" s="150">
        <f t="shared" si="681"/>
        <v>0</v>
      </c>
      <c r="S602" s="150">
        <f t="shared" si="689"/>
        <v>0</v>
      </c>
      <c r="T602" s="150"/>
      <c r="U602" s="150">
        <v>0</v>
      </c>
      <c r="V602" s="199"/>
      <c r="W602" s="150">
        <f t="shared" si="682"/>
        <v>0</v>
      </c>
      <c r="X602" s="150">
        <v>0</v>
      </c>
      <c r="Y602" s="150"/>
      <c r="Z602" s="150">
        <v>0</v>
      </c>
      <c r="AA602" s="150">
        <f t="shared" si="690"/>
        <v>0</v>
      </c>
      <c r="AB602" s="150">
        <v>0</v>
      </c>
      <c r="AC602" s="199"/>
      <c r="AD602" s="150">
        <f t="shared" si="683"/>
        <v>0</v>
      </c>
      <c r="AE602" s="150">
        <v>0</v>
      </c>
      <c r="AF602" s="169" t="s">
        <v>4680</v>
      </c>
      <c r="AG602" s="201">
        <v>0</v>
      </c>
      <c r="AH602" s="199"/>
      <c r="AI602" s="150">
        <v>0</v>
      </c>
      <c r="AJ602" s="169">
        <f t="shared" si="691"/>
        <v>0</v>
      </c>
      <c r="AK602" s="201">
        <v>0</v>
      </c>
      <c r="AL602" s="199"/>
      <c r="AM602" s="150">
        <f t="shared" si="684"/>
        <v>0</v>
      </c>
      <c r="AN602" s="153">
        <f t="shared" si="692"/>
        <v>0</v>
      </c>
      <c r="AO602" s="154">
        <f t="shared" si="693"/>
        <v>0</v>
      </c>
      <c r="AP602" s="150">
        <v>0</v>
      </c>
      <c r="AQ602" s="201">
        <v>0</v>
      </c>
      <c r="AR602" s="199"/>
      <c r="AS602" s="150">
        <f t="shared" si="685"/>
        <v>0</v>
      </c>
      <c r="AT602" s="155"/>
      <c r="AU602" s="156">
        <f t="shared" si="687"/>
        <v>0</v>
      </c>
      <c r="AV602" s="156">
        <f t="shared" si="688"/>
        <v>0</v>
      </c>
      <c r="AW602" s="157"/>
      <c r="AX602" s="150">
        <v>0</v>
      </c>
      <c r="AY602" s="150">
        <v>0</v>
      </c>
      <c r="AZ602" s="150"/>
      <c r="BA602" s="150">
        <f t="shared" si="686"/>
        <v>0</v>
      </c>
      <c r="BB602" s="210"/>
      <c r="BC602" s="210"/>
      <c r="BD602" s="210"/>
      <c r="BE602" s="210"/>
      <c r="BF602" s="210"/>
      <c r="BG602" s="210"/>
      <c r="BH602" s="217"/>
      <c r="BI602" s="210"/>
      <c r="BJ602" s="210"/>
      <c r="BK602" s="210"/>
      <c r="BL602" s="210"/>
      <c r="BM602" s="208"/>
      <c r="BN602" s="160"/>
      <c r="BO602" s="161"/>
      <c r="BP602" s="161"/>
    </row>
    <row r="603" spans="1:68" ht="51">
      <c r="A603" s="210"/>
      <c r="B603" s="195" t="s">
        <v>6264</v>
      </c>
      <c r="C603" s="196" t="s">
        <v>6265</v>
      </c>
      <c r="D603" s="146" t="s">
        <v>4692</v>
      </c>
      <c r="E603" s="196" t="s">
        <v>6265</v>
      </c>
      <c r="F603" s="150">
        <v>0</v>
      </c>
      <c r="G603" s="209">
        <v>0</v>
      </c>
      <c r="H603" s="209"/>
      <c r="I603" s="209">
        <v>0</v>
      </c>
      <c r="J603" s="150">
        <v>0</v>
      </c>
      <c r="K603" s="150">
        <v>0</v>
      </c>
      <c r="L603" s="150">
        <f t="shared" si="694"/>
        <v>0</v>
      </c>
      <c r="M603" s="150">
        <v>0</v>
      </c>
      <c r="N603" s="150"/>
      <c r="O603" s="150">
        <v>0</v>
      </c>
      <c r="P603" s="150">
        <v>0</v>
      </c>
      <c r="Q603" s="150">
        <v>0</v>
      </c>
      <c r="R603" s="150">
        <f t="shared" si="681"/>
        <v>0</v>
      </c>
      <c r="S603" s="150">
        <f t="shared" si="689"/>
        <v>0</v>
      </c>
      <c r="T603" s="150"/>
      <c r="U603" s="150">
        <v>0</v>
      </c>
      <c r="V603" s="199"/>
      <c r="W603" s="150">
        <f t="shared" si="682"/>
        <v>0</v>
      </c>
      <c r="X603" s="150">
        <v>0</v>
      </c>
      <c r="Y603" s="150"/>
      <c r="Z603" s="150">
        <v>0</v>
      </c>
      <c r="AA603" s="150">
        <f t="shared" si="690"/>
        <v>0</v>
      </c>
      <c r="AB603" s="150">
        <v>0</v>
      </c>
      <c r="AC603" s="199"/>
      <c r="AD603" s="150">
        <f t="shared" si="683"/>
        <v>0</v>
      </c>
      <c r="AE603" s="150">
        <v>0</v>
      </c>
      <c r="AF603" s="169" t="s">
        <v>4680</v>
      </c>
      <c r="AG603" s="201">
        <v>0</v>
      </c>
      <c r="AH603" s="199"/>
      <c r="AI603" s="150">
        <v>0</v>
      </c>
      <c r="AJ603" s="169">
        <f t="shared" si="691"/>
        <v>0</v>
      </c>
      <c r="AK603" s="201">
        <v>0</v>
      </c>
      <c r="AL603" s="199"/>
      <c r="AM603" s="150">
        <f t="shared" si="684"/>
        <v>0</v>
      </c>
      <c r="AN603" s="153">
        <f t="shared" si="692"/>
        <v>0</v>
      </c>
      <c r="AO603" s="154">
        <f t="shared" si="693"/>
        <v>0</v>
      </c>
      <c r="AP603" s="150">
        <v>0</v>
      </c>
      <c r="AQ603" s="201">
        <v>0</v>
      </c>
      <c r="AR603" s="199"/>
      <c r="AS603" s="150">
        <f t="shared" si="685"/>
        <v>0</v>
      </c>
      <c r="AT603" s="155"/>
      <c r="AU603" s="156">
        <f t="shared" si="687"/>
        <v>0</v>
      </c>
      <c r="AV603" s="156">
        <f t="shared" si="688"/>
        <v>0</v>
      </c>
      <c r="AW603" s="157"/>
      <c r="AX603" s="150">
        <v>0</v>
      </c>
      <c r="AY603" s="150">
        <v>0</v>
      </c>
      <c r="AZ603" s="150"/>
      <c r="BA603" s="150">
        <f t="shared" si="686"/>
        <v>0</v>
      </c>
      <c r="BB603" s="210"/>
      <c r="BC603" s="210"/>
      <c r="BD603" s="210"/>
      <c r="BE603" s="210"/>
      <c r="BF603" s="210"/>
      <c r="BG603" s="210"/>
      <c r="BH603" s="217"/>
      <c r="BI603" s="210"/>
      <c r="BJ603" s="210"/>
      <c r="BK603" s="210"/>
      <c r="BL603" s="210"/>
      <c r="BM603" s="208"/>
      <c r="BN603" s="160"/>
      <c r="BO603" s="161"/>
      <c r="BP603" s="161"/>
    </row>
    <row r="604" spans="1:68" ht="51">
      <c r="A604" s="210"/>
      <c r="B604" s="195" t="s">
        <v>6266</v>
      </c>
      <c r="C604" s="196" t="s">
        <v>6267</v>
      </c>
      <c r="D604" s="146" t="s">
        <v>4692</v>
      </c>
      <c r="E604" s="196" t="s">
        <v>6267</v>
      </c>
      <c r="F604" s="150">
        <v>0</v>
      </c>
      <c r="G604" s="209"/>
      <c r="H604" s="209"/>
      <c r="I604" s="209">
        <v>0</v>
      </c>
      <c r="J604" s="150">
        <v>0</v>
      </c>
      <c r="K604" s="150">
        <v>0</v>
      </c>
      <c r="L604" s="150">
        <f t="shared" si="694"/>
        <v>0</v>
      </c>
      <c r="M604" s="150">
        <v>0</v>
      </c>
      <c r="N604" s="150"/>
      <c r="O604" s="150">
        <v>0</v>
      </c>
      <c r="P604" s="150">
        <v>0</v>
      </c>
      <c r="Q604" s="150">
        <v>0</v>
      </c>
      <c r="R604" s="150">
        <f t="shared" si="681"/>
        <v>0</v>
      </c>
      <c r="S604" s="150">
        <f t="shared" si="689"/>
        <v>0</v>
      </c>
      <c r="T604" s="150"/>
      <c r="U604" s="150">
        <v>0</v>
      </c>
      <c r="V604" s="199"/>
      <c r="W604" s="150">
        <f t="shared" si="682"/>
        <v>0</v>
      </c>
      <c r="X604" s="150">
        <v>0</v>
      </c>
      <c r="Y604" s="150"/>
      <c r="Z604" s="150">
        <v>0</v>
      </c>
      <c r="AA604" s="150">
        <f t="shared" si="690"/>
        <v>0</v>
      </c>
      <c r="AB604" s="150">
        <v>0</v>
      </c>
      <c r="AC604" s="199"/>
      <c r="AD604" s="150">
        <f t="shared" si="683"/>
        <v>0</v>
      </c>
      <c r="AE604" s="150">
        <v>0</v>
      </c>
      <c r="AF604" s="169" t="s">
        <v>4680</v>
      </c>
      <c r="AG604" s="201">
        <v>0</v>
      </c>
      <c r="AH604" s="199"/>
      <c r="AI604" s="150">
        <v>0</v>
      </c>
      <c r="AJ604" s="169">
        <f t="shared" si="691"/>
        <v>0</v>
      </c>
      <c r="AK604" s="201">
        <v>0</v>
      </c>
      <c r="AL604" s="199"/>
      <c r="AM604" s="150">
        <f t="shared" si="684"/>
        <v>0</v>
      </c>
      <c r="AN604" s="153">
        <f t="shared" si="692"/>
        <v>0</v>
      </c>
      <c r="AO604" s="154">
        <f t="shared" si="693"/>
        <v>0</v>
      </c>
      <c r="AP604" s="150">
        <v>0</v>
      </c>
      <c r="AQ604" s="201">
        <v>0</v>
      </c>
      <c r="AR604" s="199"/>
      <c r="AS604" s="150">
        <f t="shared" si="685"/>
        <v>0</v>
      </c>
      <c r="AT604" s="155"/>
      <c r="AU604" s="156">
        <f t="shared" si="687"/>
        <v>0</v>
      </c>
      <c r="AV604" s="156">
        <f t="shared" si="688"/>
        <v>0</v>
      </c>
      <c r="AW604" s="157"/>
      <c r="AX604" s="150">
        <v>0</v>
      </c>
      <c r="AY604" s="150">
        <v>0</v>
      </c>
      <c r="AZ604" s="150"/>
      <c r="BA604" s="150">
        <f t="shared" si="686"/>
        <v>0</v>
      </c>
      <c r="BB604" s="210"/>
      <c r="BC604" s="210"/>
      <c r="BD604" s="210"/>
      <c r="BE604" s="210"/>
      <c r="BF604" s="210"/>
      <c r="BG604" s="210"/>
      <c r="BH604" s="217"/>
      <c r="BI604" s="210"/>
      <c r="BJ604" s="210"/>
      <c r="BK604" s="210"/>
      <c r="BL604" s="210"/>
      <c r="BM604" s="208"/>
      <c r="BN604" s="160"/>
      <c r="BO604" s="161">
        <f t="shared" ref="BO604:BO667" si="695">BM604-AS604</f>
        <v>0</v>
      </c>
      <c r="BP604" s="161"/>
    </row>
    <row r="605" spans="1:68">
      <c r="A605" s="210"/>
      <c r="B605" s="195"/>
      <c r="C605" s="196"/>
      <c r="D605" s="146" t="s">
        <v>4692</v>
      </c>
      <c r="E605" s="196"/>
      <c r="F605" s="150"/>
      <c r="G605" s="209">
        <v>231024.4</v>
      </c>
      <c r="H605" s="209">
        <v>14467.236100000009</v>
      </c>
      <c r="I605" s="209">
        <v>245491.6361</v>
      </c>
      <c r="J605" s="150"/>
      <c r="K605" s="150"/>
      <c r="L605" s="150">
        <f t="shared" si="694"/>
        <v>0</v>
      </c>
      <c r="M605" s="150"/>
      <c r="N605" s="150"/>
      <c r="O605" s="150">
        <v>0</v>
      </c>
      <c r="P605" s="150"/>
      <c r="Q605" s="150">
        <v>0</v>
      </c>
      <c r="R605" s="150">
        <f>P605+Q605</f>
        <v>0</v>
      </c>
      <c r="S605" s="150">
        <f t="shared" si="689"/>
        <v>0</v>
      </c>
      <c r="T605" s="150"/>
      <c r="U605" s="150"/>
      <c r="V605" s="199"/>
      <c r="W605" s="150">
        <f t="shared" ref="W605:W607" si="696">U605+V605</f>
        <v>0</v>
      </c>
      <c r="X605" s="150"/>
      <c r="Y605" s="150"/>
      <c r="Z605" s="150">
        <v>0</v>
      </c>
      <c r="AA605" s="150">
        <f t="shared" si="690"/>
        <v>0</v>
      </c>
      <c r="AB605" s="150"/>
      <c r="AC605" s="199"/>
      <c r="AD605" s="150">
        <f t="shared" ref="AD605:AD607" si="697">AB605+AC605</f>
        <v>0</v>
      </c>
      <c r="AE605" s="150">
        <v>0</v>
      </c>
      <c r="AF605" s="169" t="s">
        <v>4680</v>
      </c>
      <c r="AG605" s="201"/>
      <c r="AH605" s="199"/>
      <c r="AI605" s="150">
        <v>0</v>
      </c>
      <c r="AJ605" s="169">
        <f t="shared" si="691"/>
        <v>0</v>
      </c>
      <c r="AK605" s="201"/>
      <c r="AL605" s="199"/>
      <c r="AM605" s="150">
        <f t="shared" ref="AM605:AM607" si="698">AK605+AL605</f>
        <v>0</v>
      </c>
      <c r="AN605" s="153">
        <f t="shared" si="692"/>
        <v>0</v>
      </c>
      <c r="AO605" s="154">
        <f t="shared" si="693"/>
        <v>0</v>
      </c>
      <c r="AP605" s="150">
        <v>0</v>
      </c>
      <c r="AQ605" s="201"/>
      <c r="AR605" s="199"/>
      <c r="AS605" s="150">
        <f t="shared" ref="AS605:AS607" si="699">AQ605+AR605</f>
        <v>0</v>
      </c>
      <c r="AT605" s="155"/>
      <c r="AU605" s="156">
        <f t="shared" si="687"/>
        <v>0</v>
      </c>
      <c r="AV605" s="156">
        <f t="shared" si="688"/>
        <v>0</v>
      </c>
      <c r="AW605" s="157"/>
      <c r="AX605" s="150">
        <v>0</v>
      </c>
      <c r="AY605" s="150"/>
      <c r="AZ605" s="150"/>
      <c r="BA605" s="150">
        <f t="shared" si="686"/>
        <v>0</v>
      </c>
      <c r="BB605" s="210"/>
      <c r="BC605" s="210"/>
      <c r="BD605" s="210"/>
      <c r="BE605" s="210"/>
      <c r="BF605" s="210"/>
      <c r="BG605" s="210"/>
      <c r="BH605" s="217"/>
      <c r="BI605" s="210"/>
      <c r="BJ605" s="210"/>
      <c r="BK605" s="210"/>
      <c r="BL605" s="210"/>
      <c r="BM605" s="208"/>
      <c r="BN605" s="160"/>
      <c r="BO605" s="161">
        <f t="shared" si="695"/>
        <v>0</v>
      </c>
      <c r="BP605" s="161"/>
    </row>
    <row r="606" spans="1:68" ht="38.25">
      <c r="A606" s="206" t="s">
        <v>550</v>
      </c>
      <c r="B606" s="195" t="s">
        <v>6268</v>
      </c>
      <c r="C606" s="196" t="s">
        <v>6269</v>
      </c>
      <c r="D606" s="146" t="s">
        <v>4692</v>
      </c>
      <c r="E606" s="196" t="s">
        <v>6269</v>
      </c>
      <c r="F606" s="150">
        <v>231024.4</v>
      </c>
      <c r="G606" s="209">
        <v>1822172.64</v>
      </c>
      <c r="H606" s="209">
        <v>68627.897240000078</v>
      </c>
      <c r="I606" s="209">
        <v>1890800.53724</v>
      </c>
      <c r="J606" s="150">
        <v>92023.24</v>
      </c>
      <c r="K606" s="150">
        <v>18853.87999999999</v>
      </c>
      <c r="L606" s="150">
        <f t="shared" si="694"/>
        <v>110877.12</v>
      </c>
      <c r="M606" s="150">
        <v>168341.24</v>
      </c>
      <c r="N606" s="150">
        <v>8807.1532000000007</v>
      </c>
      <c r="O606" s="150">
        <v>177148.39319999999</v>
      </c>
      <c r="P606" s="150">
        <v>221400.01</v>
      </c>
      <c r="Q606" s="150">
        <v>1459.5914000000048</v>
      </c>
      <c r="R606" s="150">
        <f>P606+Q606</f>
        <v>222859.60140000001</v>
      </c>
      <c r="S606" s="150">
        <f t="shared" si="689"/>
        <v>297146.13520000002</v>
      </c>
      <c r="T606" s="150"/>
      <c r="U606" s="150">
        <v>296764.87</v>
      </c>
      <c r="V606" s="199">
        <v>14413.531000000017</v>
      </c>
      <c r="W606" s="150">
        <f t="shared" si="696"/>
        <v>311178.40100000001</v>
      </c>
      <c r="X606" s="150">
        <v>296764.87</v>
      </c>
      <c r="Y606" s="150">
        <v>14413.531000000017</v>
      </c>
      <c r="Z606" s="150">
        <v>311178.40100000001</v>
      </c>
      <c r="AA606" s="150">
        <f t="shared" si="690"/>
        <v>0</v>
      </c>
      <c r="AB606" s="150">
        <v>296764.87</v>
      </c>
      <c r="AC606" s="199">
        <v>14413.531000000017</v>
      </c>
      <c r="AD606" s="150">
        <f t="shared" si="697"/>
        <v>311178.40100000001</v>
      </c>
      <c r="AE606" s="150">
        <v>311178.40100000001</v>
      </c>
      <c r="AF606" s="169" t="s">
        <v>4680</v>
      </c>
      <c r="AG606" s="201">
        <v>296764.87</v>
      </c>
      <c r="AH606" s="199">
        <v>14413.531000000017</v>
      </c>
      <c r="AI606" s="150">
        <v>311178.40100000001</v>
      </c>
      <c r="AJ606" s="169">
        <f t="shared" si="691"/>
        <v>0</v>
      </c>
      <c r="AK606" s="201">
        <v>296764.87</v>
      </c>
      <c r="AL606" s="199">
        <v>14413.531000000017</v>
      </c>
      <c r="AM606" s="150">
        <f t="shared" si="698"/>
        <v>311178.40100000001</v>
      </c>
      <c r="AN606" s="153"/>
      <c r="AO606" s="154">
        <f t="shared" si="693"/>
        <v>-9.9999998928979039E-4</v>
      </c>
      <c r="AP606" s="150">
        <v>311178.40100000001</v>
      </c>
      <c r="AQ606" s="201">
        <v>311178.40000000002</v>
      </c>
      <c r="AR606" s="199"/>
      <c r="AS606" s="150">
        <f t="shared" si="699"/>
        <v>311178.40000000002</v>
      </c>
      <c r="AT606" s="155" t="s">
        <v>6020</v>
      </c>
      <c r="AU606" s="156">
        <f t="shared" si="687"/>
        <v>0</v>
      </c>
      <c r="AV606" s="156">
        <f t="shared" si="688"/>
        <v>0</v>
      </c>
      <c r="AW606" s="157" t="s">
        <v>6021</v>
      </c>
      <c r="AX606" s="150">
        <v>311178.40100000001</v>
      </c>
      <c r="AY606" s="150">
        <v>212911.16</v>
      </c>
      <c r="AZ606" s="150">
        <v>134645.37130000003</v>
      </c>
      <c r="BA606" s="150">
        <f t="shared" si="686"/>
        <v>347556.53130000003</v>
      </c>
      <c r="BB606" s="205">
        <v>5</v>
      </c>
      <c r="BC606" s="206" t="s">
        <v>632</v>
      </c>
      <c r="BD606" s="206" t="s">
        <v>632</v>
      </c>
      <c r="BE606" s="206" t="s">
        <v>714</v>
      </c>
      <c r="BF606" s="206" t="s">
        <v>1243</v>
      </c>
      <c r="BG606" s="287" t="s">
        <v>6270</v>
      </c>
      <c r="BH606" s="283">
        <f>SUM(AS606:AS607)</f>
        <v>1833921.56</v>
      </c>
      <c r="BI606" s="205"/>
      <c r="BJ606" s="206" t="s">
        <v>6126</v>
      </c>
      <c r="BK606" s="206" t="s">
        <v>550</v>
      </c>
      <c r="BL606" s="207" t="s">
        <v>6127</v>
      </c>
      <c r="BM606" s="208">
        <f>BH606</f>
        <v>1833921.56</v>
      </c>
      <c r="BN606" s="160"/>
      <c r="BO606" s="161">
        <f t="shared" si="695"/>
        <v>1522743.1600000001</v>
      </c>
      <c r="BP606" s="161"/>
    </row>
    <row r="607" spans="1:68" ht="24">
      <c r="A607" s="210"/>
      <c r="B607" s="195" t="s">
        <v>6271</v>
      </c>
      <c r="C607" s="196" t="s">
        <v>6272</v>
      </c>
      <c r="D607" s="146" t="s">
        <v>4692</v>
      </c>
      <c r="E607" s="196" t="s">
        <v>6272</v>
      </c>
      <c r="F607" s="150">
        <v>1825710.64</v>
      </c>
      <c r="G607" s="209">
        <v>2061468.0499999998</v>
      </c>
      <c r="H607" s="209">
        <v>28304.81959999993</v>
      </c>
      <c r="I607" s="209">
        <v>2089772.8695999999</v>
      </c>
      <c r="J607" s="150">
        <v>394017.97</v>
      </c>
      <c r="K607" s="150">
        <v>4316.3488000000361</v>
      </c>
      <c r="L607" s="150">
        <f t="shared" si="694"/>
        <v>398334.31880000001</v>
      </c>
      <c r="M607" s="150">
        <v>677322.3</v>
      </c>
      <c r="N607" s="150">
        <v>74977.511799999978</v>
      </c>
      <c r="O607" s="150">
        <v>752299.81180000002</v>
      </c>
      <c r="P607" s="150">
        <v>1006422.32</v>
      </c>
      <c r="Q607" s="150"/>
      <c r="R607" s="150">
        <f>P607+Q607</f>
        <v>1006422.32</v>
      </c>
      <c r="S607" s="150">
        <f t="shared" si="689"/>
        <v>1341896.4266666665</v>
      </c>
      <c r="T607" s="150"/>
      <c r="U607" s="150">
        <v>1476536.15</v>
      </c>
      <c r="V607" s="199">
        <v>60473.68880000012</v>
      </c>
      <c r="W607" s="150">
        <f t="shared" si="696"/>
        <v>1537009.8388</v>
      </c>
      <c r="X607" s="150">
        <v>1476536.15</v>
      </c>
      <c r="Y607" s="150">
        <v>60473.68880000012</v>
      </c>
      <c r="Z607" s="150">
        <v>1537009.8388</v>
      </c>
      <c r="AA607" s="150">
        <f t="shared" si="690"/>
        <v>-14266.679999999935</v>
      </c>
      <c r="AB607" s="150">
        <v>1474670.77</v>
      </c>
      <c r="AC607" s="199">
        <v>48072.388800000073</v>
      </c>
      <c r="AD607" s="150">
        <f t="shared" si="697"/>
        <v>1522743.1588000001</v>
      </c>
      <c r="AE607" s="150">
        <v>1522743.1588000001</v>
      </c>
      <c r="AF607" s="169" t="s">
        <v>4680</v>
      </c>
      <c r="AG607" s="201">
        <v>1474670.77</v>
      </c>
      <c r="AH607" s="199">
        <v>48072.388800000073</v>
      </c>
      <c r="AI607" s="150">
        <v>1522743.1588000001</v>
      </c>
      <c r="AJ607" s="169">
        <f t="shared" si="691"/>
        <v>0</v>
      </c>
      <c r="AK607" s="201">
        <v>1474670.77</v>
      </c>
      <c r="AL607" s="199">
        <v>48072.388800000073</v>
      </c>
      <c r="AM607" s="150">
        <f t="shared" si="698"/>
        <v>1522743.1588000001</v>
      </c>
      <c r="AN607" s="153"/>
      <c r="AO607" s="154">
        <f t="shared" si="693"/>
        <v>1.1999998241662979E-3</v>
      </c>
      <c r="AP607" s="150">
        <v>1522743.1588000001</v>
      </c>
      <c r="AQ607" s="201">
        <v>1522743.16</v>
      </c>
      <c r="AR607" s="199"/>
      <c r="AS607" s="150">
        <f t="shared" si="699"/>
        <v>1522743.16</v>
      </c>
      <c r="AT607" s="155" t="s">
        <v>6020</v>
      </c>
      <c r="AU607" s="156">
        <f t="shared" si="687"/>
        <v>0</v>
      </c>
      <c r="AV607" s="156">
        <f t="shared" si="688"/>
        <v>-14266.679999999935</v>
      </c>
      <c r="AW607" s="157" t="s">
        <v>6021</v>
      </c>
      <c r="AX607" s="150">
        <v>1537009.8388</v>
      </c>
      <c r="AY607" s="150">
        <v>908902.7</v>
      </c>
      <c r="AZ607" s="150">
        <v>552681.42550000013</v>
      </c>
      <c r="BA607" s="150">
        <f t="shared" si="686"/>
        <v>1461584.1255000001</v>
      </c>
      <c r="BB607" s="210"/>
      <c r="BC607" s="210"/>
      <c r="BD607" s="210"/>
      <c r="BE607" s="210"/>
      <c r="BF607" s="210"/>
      <c r="BG607" s="210"/>
      <c r="BH607" s="217"/>
      <c r="BI607" s="210"/>
      <c r="BJ607" s="210"/>
      <c r="BK607" s="210"/>
      <c r="BL607" s="210"/>
      <c r="BM607" s="208"/>
      <c r="BN607" s="160"/>
      <c r="BO607" s="161">
        <f t="shared" si="695"/>
        <v>-1522743.16</v>
      </c>
      <c r="BP607" s="161"/>
    </row>
    <row r="608" spans="1:68" ht="25.5">
      <c r="A608" s="256" t="s">
        <v>552</v>
      </c>
      <c r="B608" s="184"/>
      <c r="C608" s="185" t="s">
        <v>6273</v>
      </c>
      <c r="D608" s="146" t="s">
        <v>4692</v>
      </c>
      <c r="E608" s="185" t="s">
        <v>6273</v>
      </c>
      <c r="F608" s="188">
        <v>2087992.8499999999</v>
      </c>
      <c r="G608" s="187">
        <v>1108947.6499999999</v>
      </c>
      <c r="H608" s="187">
        <v>28128.0196</v>
      </c>
      <c r="I608" s="187">
        <v>1137075.6695999999</v>
      </c>
      <c r="J608" s="188">
        <f>SUM(J609:J610)</f>
        <v>637158.96</v>
      </c>
      <c r="K608" s="188">
        <f>SUM(K609:K610)</f>
        <v>0</v>
      </c>
      <c r="L608" s="188">
        <f t="shared" si="694"/>
        <v>637158.96</v>
      </c>
      <c r="M608" s="188">
        <v>1291677.93</v>
      </c>
      <c r="N608" s="188">
        <v>7571.2011999999813</v>
      </c>
      <c r="O608" s="188">
        <v>1299249.1311999999</v>
      </c>
      <c r="P608" s="299">
        <f t="shared" ref="P608:AD608" si="700">SUM(P609:P610)</f>
        <v>1782168.04</v>
      </c>
      <c r="Q608" s="299">
        <f t="shared" si="700"/>
        <v>0</v>
      </c>
      <c r="R608" s="299">
        <f t="shared" si="700"/>
        <v>1782168.04</v>
      </c>
      <c r="S608" s="150">
        <f t="shared" si="689"/>
        <v>2376224.0533333337</v>
      </c>
      <c r="T608" s="213"/>
      <c r="U608" s="299">
        <f t="shared" ref="U608:W608" si="701">SUM(U609:U610)</f>
        <v>2691650.72</v>
      </c>
      <c r="V608" s="226">
        <f t="shared" si="701"/>
        <v>10311.756000000052</v>
      </c>
      <c r="W608" s="299">
        <f t="shared" si="701"/>
        <v>2701962.4760000003</v>
      </c>
      <c r="X608" s="299">
        <v>2691650.72</v>
      </c>
      <c r="Y608" s="299">
        <v>10311.756000000052</v>
      </c>
      <c r="Z608" s="299">
        <v>2701962.4760000003</v>
      </c>
      <c r="AA608" s="299">
        <f t="shared" si="690"/>
        <v>0</v>
      </c>
      <c r="AB608" s="299">
        <v>2691650.72</v>
      </c>
      <c r="AC608" s="226">
        <v>10311.756000000052</v>
      </c>
      <c r="AD608" s="299">
        <f t="shared" si="700"/>
        <v>2701962.4760000003</v>
      </c>
      <c r="AE608" s="299">
        <v>2701962.4760000003</v>
      </c>
      <c r="AF608" s="169" t="s">
        <v>4680</v>
      </c>
      <c r="AG608" s="301">
        <v>2691650.72</v>
      </c>
      <c r="AH608" s="226">
        <v>10311.756000000052</v>
      </c>
      <c r="AI608" s="299">
        <v>2701962.4760000003</v>
      </c>
      <c r="AJ608" s="169">
        <f t="shared" si="691"/>
        <v>0</v>
      </c>
      <c r="AK608" s="301">
        <v>2691650.72</v>
      </c>
      <c r="AL608" s="226">
        <v>10311.756000000052</v>
      </c>
      <c r="AM608" s="299">
        <f t="shared" ref="AM608" si="702">SUM(AM609:AM610)</f>
        <v>2701962.4760000003</v>
      </c>
      <c r="AN608" s="153">
        <f t="shared" si="692"/>
        <v>3.9999997243285179E-3</v>
      </c>
      <c r="AO608" s="154">
        <f t="shared" si="693"/>
        <v>3.9999997243285179E-3</v>
      </c>
      <c r="AP608" s="299">
        <v>2701962.4760000003</v>
      </c>
      <c r="AQ608" s="301">
        <v>2701962.48</v>
      </c>
      <c r="AR608" s="226">
        <f t="shared" ref="AR608:AS608" si="703">SUM(AR609:AR610)</f>
        <v>0</v>
      </c>
      <c r="AS608" s="299">
        <f t="shared" si="703"/>
        <v>2701962.48</v>
      </c>
      <c r="AT608" s="155"/>
      <c r="AU608" s="156">
        <f t="shared" si="687"/>
        <v>0</v>
      </c>
      <c r="AV608" s="156">
        <f t="shared" si="688"/>
        <v>0</v>
      </c>
      <c r="AW608" s="157"/>
      <c r="AX608" s="150">
        <v>2701962.4760000003</v>
      </c>
      <c r="AY608" s="299">
        <f t="shared" ref="AY608:BA608" si="704">SUM(AY609:AY610)</f>
        <v>1615740.92</v>
      </c>
      <c r="AZ608" s="299">
        <f t="shared" si="704"/>
        <v>919838.62600000016</v>
      </c>
      <c r="BA608" s="299">
        <f t="shared" si="704"/>
        <v>2535579.5460000001</v>
      </c>
      <c r="BB608" s="192">
        <v>5</v>
      </c>
      <c r="BC608" s="256" t="s">
        <v>632</v>
      </c>
      <c r="BD608" s="256" t="s">
        <v>632</v>
      </c>
      <c r="BE608" s="256" t="s">
        <v>739</v>
      </c>
      <c r="BF608" s="256" t="s">
        <v>630</v>
      </c>
      <c r="BG608" s="185" t="s">
        <v>6273</v>
      </c>
      <c r="BH608" s="302">
        <f>SUM(BH609:BH610)</f>
        <v>2701962.48</v>
      </c>
      <c r="BI608" s="192"/>
      <c r="BJ608" s="256" t="s">
        <v>6274</v>
      </c>
      <c r="BK608" s="256" t="s">
        <v>552</v>
      </c>
      <c r="BL608" s="238" t="s">
        <v>6275</v>
      </c>
      <c r="BM608" s="302">
        <f>SUM(BM609:BM610)</f>
        <v>2701962.48</v>
      </c>
      <c r="BN608" s="160"/>
      <c r="BO608" s="161">
        <f t="shared" si="695"/>
        <v>0</v>
      </c>
      <c r="BP608" s="161"/>
    </row>
    <row r="609" spans="1:68" ht="25.5">
      <c r="A609" s="206" t="s">
        <v>552</v>
      </c>
      <c r="B609" s="195" t="s">
        <v>6276</v>
      </c>
      <c r="C609" s="196" t="s">
        <v>6277</v>
      </c>
      <c r="D609" s="146" t="s">
        <v>4692</v>
      </c>
      <c r="E609" s="196" t="s">
        <v>6277</v>
      </c>
      <c r="F609" s="150">
        <v>1135295.6499999999</v>
      </c>
      <c r="G609" s="209">
        <v>952520.4</v>
      </c>
      <c r="H609" s="209">
        <v>176.79999999993015</v>
      </c>
      <c r="I609" s="209">
        <v>952697.2</v>
      </c>
      <c r="J609" s="150">
        <v>568851.99</v>
      </c>
      <c r="K609" s="150">
        <v>0</v>
      </c>
      <c r="L609" s="150">
        <f t="shared" si="694"/>
        <v>568851.99</v>
      </c>
      <c r="M609" s="150">
        <v>1133743.76</v>
      </c>
      <c r="N609" s="150"/>
      <c r="O609" s="150">
        <v>1133743.76</v>
      </c>
      <c r="P609" s="150">
        <v>1496740.27</v>
      </c>
      <c r="Q609" s="150"/>
      <c r="R609" s="150">
        <f>P609+Q609</f>
        <v>1496740.27</v>
      </c>
      <c r="S609" s="150">
        <f t="shared" si="689"/>
        <v>1995653.6933333334</v>
      </c>
      <c r="T609" s="150"/>
      <c r="U609" s="150">
        <v>2296357.35</v>
      </c>
      <c r="V609" s="199">
        <v>1627.5260000000708</v>
      </c>
      <c r="W609" s="150">
        <f>U609+V609</f>
        <v>2297984.8760000002</v>
      </c>
      <c r="X609" s="150">
        <v>2296357.35</v>
      </c>
      <c r="Y609" s="150">
        <v>1627.5260000000708</v>
      </c>
      <c r="Z609" s="150">
        <v>2297984.8760000002</v>
      </c>
      <c r="AA609" s="150">
        <f t="shared" si="690"/>
        <v>0</v>
      </c>
      <c r="AB609" s="150">
        <v>2296357.35</v>
      </c>
      <c r="AC609" s="199">
        <v>1627.5260000000708</v>
      </c>
      <c r="AD609" s="150">
        <f>AB609+AC609</f>
        <v>2297984.8760000002</v>
      </c>
      <c r="AE609" s="150">
        <v>2297984.8760000002</v>
      </c>
      <c r="AF609" s="169" t="s">
        <v>4680</v>
      </c>
      <c r="AG609" s="201">
        <v>2296357.35</v>
      </c>
      <c r="AH609" s="199">
        <v>1627.5260000000708</v>
      </c>
      <c r="AI609" s="150">
        <v>2297984.8760000002</v>
      </c>
      <c r="AJ609" s="169">
        <f t="shared" si="691"/>
        <v>0</v>
      </c>
      <c r="AK609" s="201">
        <v>2296357.35</v>
      </c>
      <c r="AL609" s="199">
        <v>1627.5260000000708</v>
      </c>
      <c r="AM609" s="150">
        <f>AK609+AL609</f>
        <v>2297984.8760000002</v>
      </c>
      <c r="AN609" s="153"/>
      <c r="AO609" s="154">
        <f t="shared" si="693"/>
        <v>3.9999997243285179E-3</v>
      </c>
      <c r="AP609" s="150">
        <v>2297984.8760000002</v>
      </c>
      <c r="AQ609" s="201">
        <v>2297984.88</v>
      </c>
      <c r="AR609" s="199"/>
      <c r="AS609" s="150">
        <f>AQ609+AR609</f>
        <v>2297984.88</v>
      </c>
      <c r="AT609" s="155" t="s">
        <v>6020</v>
      </c>
      <c r="AU609" s="156">
        <f t="shared" si="687"/>
        <v>0</v>
      </c>
      <c r="AV609" s="156">
        <f t="shared" si="688"/>
        <v>0</v>
      </c>
      <c r="AW609" s="157" t="s">
        <v>6021</v>
      </c>
      <c r="AX609" s="150">
        <v>2297984.8760000002</v>
      </c>
      <c r="AY609" s="150">
        <v>1373733.15</v>
      </c>
      <c r="AZ609" s="150">
        <v>781986.39600000018</v>
      </c>
      <c r="BA609" s="150">
        <f t="shared" si="686"/>
        <v>2155719.5460000001</v>
      </c>
      <c r="BB609" s="205">
        <v>5</v>
      </c>
      <c r="BC609" s="206" t="s">
        <v>632</v>
      </c>
      <c r="BD609" s="206" t="s">
        <v>632</v>
      </c>
      <c r="BE609" s="206" t="s">
        <v>739</v>
      </c>
      <c r="BF609" s="206" t="s">
        <v>632</v>
      </c>
      <c r="BG609" s="287" t="s">
        <v>6278</v>
      </c>
      <c r="BH609" s="283">
        <f>SUM(AS609:AS610)</f>
        <v>2701962.48</v>
      </c>
      <c r="BI609" s="205"/>
      <c r="BJ609" s="206" t="s">
        <v>6274</v>
      </c>
      <c r="BK609" s="206" t="s">
        <v>552</v>
      </c>
      <c r="BL609" s="207" t="s">
        <v>6275</v>
      </c>
      <c r="BM609" s="208">
        <f>BH609</f>
        <v>2701962.48</v>
      </c>
      <c r="BN609" s="160"/>
      <c r="BO609" s="161"/>
      <c r="BP609" s="161"/>
    </row>
    <row r="610" spans="1:68" ht="24">
      <c r="A610" s="210"/>
      <c r="B610" s="195" t="s">
        <v>6279</v>
      </c>
      <c r="C610" s="196" t="s">
        <v>6280</v>
      </c>
      <c r="D610" s="146" t="s">
        <v>4692</v>
      </c>
      <c r="E610" s="196" t="s">
        <v>6280</v>
      </c>
      <c r="F610" s="150">
        <v>952697.2</v>
      </c>
      <c r="G610" s="209">
        <v>6332143.1900000004</v>
      </c>
      <c r="H610" s="209">
        <v>225901.54121999937</v>
      </c>
      <c r="I610" s="209">
        <v>6558044.7312199995</v>
      </c>
      <c r="J610" s="150">
        <v>68306.97</v>
      </c>
      <c r="K610" s="150">
        <v>0</v>
      </c>
      <c r="L610" s="150">
        <f t="shared" si="694"/>
        <v>68306.97</v>
      </c>
      <c r="M610" s="150">
        <v>157934.17000000001</v>
      </c>
      <c r="N610" s="150">
        <v>7571.2011999999813</v>
      </c>
      <c r="O610" s="150">
        <v>165505.37119999999</v>
      </c>
      <c r="P610" s="150">
        <v>285427.77</v>
      </c>
      <c r="Q610" s="150"/>
      <c r="R610" s="150">
        <f>P610+Q610</f>
        <v>285427.77</v>
      </c>
      <c r="S610" s="150">
        <f t="shared" si="689"/>
        <v>380570.36000000004</v>
      </c>
      <c r="T610" s="150"/>
      <c r="U610" s="150">
        <v>395293.37</v>
      </c>
      <c r="V610" s="199">
        <v>8684.2299999999814</v>
      </c>
      <c r="W610" s="150">
        <f>U610+V610</f>
        <v>403977.6</v>
      </c>
      <c r="X610" s="150">
        <v>395293.37</v>
      </c>
      <c r="Y610" s="150">
        <v>8684.2299999999814</v>
      </c>
      <c r="Z610" s="150">
        <v>403977.6</v>
      </c>
      <c r="AA610" s="150">
        <f t="shared" si="690"/>
        <v>0</v>
      </c>
      <c r="AB610" s="150">
        <v>395293.37</v>
      </c>
      <c r="AC610" s="199">
        <v>8684.2299999999814</v>
      </c>
      <c r="AD610" s="150">
        <f>AB610+AC610</f>
        <v>403977.6</v>
      </c>
      <c r="AE610" s="150">
        <v>403977.6</v>
      </c>
      <c r="AF610" s="169" t="s">
        <v>4680</v>
      </c>
      <c r="AG610" s="201">
        <v>395293.37</v>
      </c>
      <c r="AH610" s="199">
        <v>8684.2299999999814</v>
      </c>
      <c r="AI610" s="150">
        <v>403977.6</v>
      </c>
      <c r="AJ610" s="169">
        <f t="shared" si="691"/>
        <v>0</v>
      </c>
      <c r="AK610" s="201">
        <v>395293.37</v>
      </c>
      <c r="AL610" s="199">
        <v>8684.2299999999814</v>
      </c>
      <c r="AM610" s="150">
        <f>AK610+AL610</f>
        <v>403977.6</v>
      </c>
      <c r="AN610" s="153">
        <f t="shared" si="692"/>
        <v>0</v>
      </c>
      <c r="AO610" s="154">
        <f t="shared" si="693"/>
        <v>0</v>
      </c>
      <c r="AP610" s="150">
        <v>403977.6</v>
      </c>
      <c r="AQ610" s="201">
        <v>403977.6</v>
      </c>
      <c r="AR610" s="199"/>
      <c r="AS610" s="150">
        <f>AQ610+AR610</f>
        <v>403977.6</v>
      </c>
      <c r="AT610" s="155" t="s">
        <v>6020</v>
      </c>
      <c r="AU610" s="156">
        <f t="shared" si="687"/>
        <v>0</v>
      </c>
      <c r="AV610" s="156">
        <f t="shared" si="688"/>
        <v>0</v>
      </c>
      <c r="AW610" s="157" t="s">
        <v>6021</v>
      </c>
      <c r="AX610" s="150">
        <v>403977.6</v>
      </c>
      <c r="AY610" s="150">
        <v>242007.77</v>
      </c>
      <c r="AZ610" s="150">
        <v>137852.23000000001</v>
      </c>
      <c r="BA610" s="150">
        <f t="shared" si="686"/>
        <v>379860</v>
      </c>
      <c r="BB610" s="210"/>
      <c r="BC610" s="210"/>
      <c r="BD610" s="210"/>
      <c r="BE610" s="210"/>
      <c r="BF610" s="210"/>
      <c r="BG610" s="210"/>
      <c r="BH610" s="217"/>
      <c r="BI610" s="210"/>
      <c r="BJ610" s="210"/>
      <c r="BK610" s="210"/>
      <c r="BL610" s="210"/>
      <c r="BM610" s="208"/>
      <c r="BN610" s="160"/>
      <c r="BO610" s="161"/>
      <c r="BP610" s="161"/>
    </row>
    <row r="611" spans="1:68" ht="25.5">
      <c r="A611" s="256" t="s">
        <v>553</v>
      </c>
      <c r="B611" s="184"/>
      <c r="C611" s="185" t="s">
        <v>6281</v>
      </c>
      <c r="D611" s="146" t="s">
        <v>4692</v>
      </c>
      <c r="E611" s="185" t="s">
        <v>6281</v>
      </c>
      <c r="F611" s="188">
        <v>6342285.54</v>
      </c>
      <c r="G611" s="187">
        <v>5974694.2000000002</v>
      </c>
      <c r="H611" s="187">
        <v>123851.85913999937</v>
      </c>
      <c r="I611" s="187">
        <v>6098546.0591399996</v>
      </c>
      <c r="J611" s="188">
        <f>SUM(J612:J618)</f>
        <v>1155866.71</v>
      </c>
      <c r="K611" s="188">
        <f>SUM(K612:K618)</f>
        <v>96491.345490000065</v>
      </c>
      <c r="L611" s="188">
        <f t="shared" si="694"/>
        <v>1252358.0554899999</v>
      </c>
      <c r="M611" s="188">
        <v>2999714.54</v>
      </c>
      <c r="N611" s="188">
        <v>295960.62612000015</v>
      </c>
      <c r="O611" s="188">
        <v>3295675.1661200002</v>
      </c>
      <c r="P611" s="299">
        <f t="shared" ref="P611:AD611" si="705">SUM(P612:P618)</f>
        <v>4107219.32</v>
      </c>
      <c r="Q611" s="299">
        <f t="shared" si="705"/>
        <v>2569.079150000005</v>
      </c>
      <c r="R611" s="299">
        <f t="shared" si="705"/>
        <v>4109788.39915</v>
      </c>
      <c r="S611" s="150">
        <f t="shared" si="689"/>
        <v>5479717.8655333333</v>
      </c>
      <c r="T611" s="213"/>
      <c r="U611" s="299">
        <f t="shared" ref="U611:W611" si="706">SUM(U612:U618)</f>
        <v>6482518.6799999997</v>
      </c>
      <c r="V611" s="226">
        <f t="shared" si="706"/>
        <v>110015.32908999978</v>
      </c>
      <c r="W611" s="299">
        <f t="shared" si="706"/>
        <v>6592534.0090899998</v>
      </c>
      <c r="X611" s="299">
        <v>6482518.6799999997</v>
      </c>
      <c r="Y611" s="299">
        <v>110015.32908999978</v>
      </c>
      <c r="Z611" s="299">
        <v>6592534.0090899998</v>
      </c>
      <c r="AA611" s="299">
        <f t="shared" si="690"/>
        <v>48.800000000745058</v>
      </c>
      <c r="AB611" s="299">
        <v>6485669.9399999995</v>
      </c>
      <c r="AC611" s="226">
        <v>106912.86909000052</v>
      </c>
      <c r="AD611" s="299">
        <f t="shared" si="705"/>
        <v>6592582.8090900006</v>
      </c>
      <c r="AE611" s="299">
        <v>6592582.8090900006</v>
      </c>
      <c r="AF611" s="169" t="s">
        <v>4680</v>
      </c>
      <c r="AG611" s="301">
        <v>6499858.54</v>
      </c>
      <c r="AH611" s="226">
        <v>92724.269089999958</v>
      </c>
      <c r="AI611" s="299">
        <v>6592582.8090900006</v>
      </c>
      <c r="AJ611" s="169">
        <f t="shared" si="691"/>
        <v>0</v>
      </c>
      <c r="AK611" s="301">
        <v>6499858.54</v>
      </c>
      <c r="AL611" s="226">
        <v>92724.269089999958</v>
      </c>
      <c r="AM611" s="299">
        <f t="shared" ref="AM611" si="707">SUM(AM612:AM618)</f>
        <v>6592582.8090900006</v>
      </c>
      <c r="AN611" s="153">
        <f t="shared" si="692"/>
        <v>-9.0900007635354996E-3</v>
      </c>
      <c r="AO611" s="154">
        <f t="shared" si="693"/>
        <v>-9.0900007635354996E-3</v>
      </c>
      <c r="AP611" s="299">
        <v>6592582.8090900006</v>
      </c>
      <c r="AQ611" s="301">
        <v>6592582.7999999998</v>
      </c>
      <c r="AR611" s="226">
        <f t="shared" ref="AR611:AS611" si="708">SUM(AR612:AR618)</f>
        <v>0</v>
      </c>
      <c r="AS611" s="299">
        <f t="shared" si="708"/>
        <v>6592582.7999999998</v>
      </c>
      <c r="AT611" s="155"/>
      <c r="AU611" s="156">
        <f t="shared" si="687"/>
        <v>0</v>
      </c>
      <c r="AV611" s="156">
        <f t="shared" si="688"/>
        <v>48.800000000745058</v>
      </c>
      <c r="AW611" s="157"/>
      <c r="AX611" s="150">
        <v>6592534.0090899998</v>
      </c>
      <c r="AY611" s="299">
        <f t="shared" ref="AY611:BA611" si="709">SUM(AY612:AY618)</f>
        <v>3789303.04</v>
      </c>
      <c r="AZ611" s="299">
        <f t="shared" si="709"/>
        <v>2163454.3750699996</v>
      </c>
      <c r="BA611" s="299">
        <f t="shared" si="709"/>
        <v>5952757.4150699992</v>
      </c>
      <c r="BB611" s="192">
        <v>5</v>
      </c>
      <c r="BC611" s="256" t="s">
        <v>632</v>
      </c>
      <c r="BD611" s="256" t="s">
        <v>632</v>
      </c>
      <c r="BE611" s="256" t="s">
        <v>755</v>
      </c>
      <c r="BF611" s="256" t="s">
        <v>630</v>
      </c>
      <c r="BG611" s="185" t="s">
        <v>6281</v>
      </c>
      <c r="BH611" s="302">
        <f>SUM(BH612:BH618)</f>
        <v>6592582.7999999998</v>
      </c>
      <c r="BI611" s="192"/>
      <c r="BJ611" s="256" t="s">
        <v>6282</v>
      </c>
      <c r="BK611" s="256" t="s">
        <v>553</v>
      </c>
      <c r="BL611" s="238" t="s">
        <v>6283</v>
      </c>
      <c r="BM611" s="302">
        <f>BM612+BM618</f>
        <v>6592582.7999999998</v>
      </c>
      <c r="BN611" s="160"/>
      <c r="BO611" s="161">
        <f t="shared" si="695"/>
        <v>0</v>
      </c>
      <c r="BP611" s="161"/>
    </row>
    <row r="612" spans="1:68" ht="25.5">
      <c r="A612" s="206" t="s">
        <v>553</v>
      </c>
      <c r="B612" s="195" t="s">
        <v>6284</v>
      </c>
      <c r="C612" s="196" t="s">
        <v>6285</v>
      </c>
      <c r="D612" s="146" t="s">
        <v>4692</v>
      </c>
      <c r="E612" s="196" t="s">
        <v>6286</v>
      </c>
      <c r="F612" s="150">
        <v>5984758.4699999997</v>
      </c>
      <c r="G612" s="209">
        <v>0</v>
      </c>
      <c r="H612" s="209"/>
      <c r="I612" s="209">
        <v>0</v>
      </c>
      <c r="J612" s="150">
        <v>1056550.04</v>
      </c>
      <c r="K612" s="150">
        <v>84705.168490000069</v>
      </c>
      <c r="L612" s="150">
        <f t="shared" si="694"/>
        <v>1141255.2084900001</v>
      </c>
      <c r="M612" s="150">
        <v>2803850.25</v>
      </c>
      <c r="N612" s="150">
        <v>283002.19908000017</v>
      </c>
      <c r="O612" s="150">
        <v>3086852.4490800002</v>
      </c>
      <c r="P612" s="150">
        <v>3819635.63</v>
      </c>
      <c r="Q612" s="150"/>
      <c r="R612" s="150">
        <f t="shared" ref="R612:R618" si="710">P612+Q612</f>
        <v>3819635.63</v>
      </c>
      <c r="S612" s="150">
        <f t="shared" si="689"/>
        <v>5092847.5066666668</v>
      </c>
      <c r="T612" s="150"/>
      <c r="U612" s="150">
        <v>6115900.0099999998</v>
      </c>
      <c r="V612" s="199">
        <v>92886.78433999978</v>
      </c>
      <c r="W612" s="150">
        <f t="shared" ref="W612:W618" si="711">U612+V612</f>
        <v>6208786.7943399996</v>
      </c>
      <c r="X612" s="150">
        <v>6115900.0099999998</v>
      </c>
      <c r="Y612" s="150">
        <v>92886.78433999978</v>
      </c>
      <c r="Z612" s="150">
        <v>6208786.7943399996</v>
      </c>
      <c r="AA612" s="150">
        <f t="shared" si="690"/>
        <v>48.800000000745058</v>
      </c>
      <c r="AB612" s="150">
        <v>6119011.0099999998</v>
      </c>
      <c r="AC612" s="199">
        <v>89824.584340000525</v>
      </c>
      <c r="AD612" s="150">
        <f t="shared" ref="AD612:AD618" si="712">AB612+AC612</f>
        <v>6208835.5943400003</v>
      </c>
      <c r="AE612" s="150">
        <v>6208835.5943400003</v>
      </c>
      <c r="AF612" s="169" t="s">
        <v>4680</v>
      </c>
      <c r="AG612" s="201">
        <v>6133199.6100000003</v>
      </c>
      <c r="AH612" s="199">
        <v>75635.984339999966</v>
      </c>
      <c r="AI612" s="150">
        <v>6208835.5943400003</v>
      </c>
      <c r="AJ612" s="169">
        <f t="shared" si="691"/>
        <v>0</v>
      </c>
      <c r="AK612" s="201">
        <v>6133199.6100000003</v>
      </c>
      <c r="AL612" s="199">
        <v>75635.984339999966</v>
      </c>
      <c r="AM612" s="150">
        <f t="shared" ref="AM612:AM618" si="713">AK612+AL612</f>
        <v>6208835.5943400003</v>
      </c>
      <c r="AN612" s="153">
        <f t="shared" si="692"/>
        <v>-4.3400004506111145E-3</v>
      </c>
      <c r="AO612" s="154">
        <f t="shared" si="693"/>
        <v>-4.3400004506111145E-3</v>
      </c>
      <c r="AP612" s="150">
        <v>6208835.5943400003</v>
      </c>
      <c r="AQ612" s="201">
        <v>6208835.5899999999</v>
      </c>
      <c r="AR612" s="199"/>
      <c r="AS612" s="150">
        <f t="shared" ref="AS612:AS618" si="714">AQ612+AR612</f>
        <v>6208835.5899999999</v>
      </c>
      <c r="AT612" s="155" t="s">
        <v>6020</v>
      </c>
      <c r="AU612" s="156">
        <f t="shared" si="687"/>
        <v>0</v>
      </c>
      <c r="AV612" s="156">
        <f t="shared" si="688"/>
        <v>48.800000000745058</v>
      </c>
      <c r="AW612" s="157" t="s">
        <v>6021</v>
      </c>
      <c r="AX612" s="150">
        <v>6208786.7943399996</v>
      </c>
      <c r="AY612" s="150">
        <v>3529574.07</v>
      </c>
      <c r="AZ612" s="150">
        <v>2022702.1414349996</v>
      </c>
      <c r="BA612" s="150">
        <f t="shared" si="686"/>
        <v>5552276.2114349995</v>
      </c>
      <c r="BB612" s="205">
        <v>5</v>
      </c>
      <c r="BC612" s="206" t="s">
        <v>632</v>
      </c>
      <c r="BD612" s="206" t="s">
        <v>632</v>
      </c>
      <c r="BE612" s="206" t="s">
        <v>755</v>
      </c>
      <c r="BF612" s="206" t="s">
        <v>632</v>
      </c>
      <c r="BG612" s="203" t="s">
        <v>6287</v>
      </c>
      <c r="BH612" s="216">
        <f>SUM(AS612:AS617)</f>
        <v>6208835.5899999999</v>
      </c>
      <c r="BI612" s="205"/>
      <c r="BJ612" s="206" t="s">
        <v>6282</v>
      </c>
      <c r="BK612" s="206" t="s">
        <v>553</v>
      </c>
      <c r="BL612" s="207" t="s">
        <v>6283</v>
      </c>
      <c r="BM612" s="208">
        <f>BH612</f>
        <v>6208835.5899999999</v>
      </c>
      <c r="BN612" s="160"/>
      <c r="BO612" s="161">
        <f t="shared" si="695"/>
        <v>0</v>
      </c>
      <c r="BP612" s="161"/>
    </row>
    <row r="613" spans="1:68" ht="38.25">
      <c r="A613" s="210"/>
      <c r="B613" s="195" t="s">
        <v>6288</v>
      </c>
      <c r="C613" s="196" t="s">
        <v>6289</v>
      </c>
      <c r="D613" s="146" t="s">
        <v>4692</v>
      </c>
      <c r="E613" s="196" t="s">
        <v>6290</v>
      </c>
      <c r="F613" s="150">
        <v>0</v>
      </c>
      <c r="G613" s="209">
        <v>0</v>
      </c>
      <c r="H613" s="209"/>
      <c r="I613" s="209">
        <v>0</v>
      </c>
      <c r="J613" s="150">
        <v>0</v>
      </c>
      <c r="K613" s="150">
        <v>0</v>
      </c>
      <c r="L613" s="150">
        <f t="shared" si="694"/>
        <v>0</v>
      </c>
      <c r="M613" s="150">
        <v>0</v>
      </c>
      <c r="N613" s="150"/>
      <c r="O613" s="150">
        <v>0</v>
      </c>
      <c r="P613" s="150">
        <v>0</v>
      </c>
      <c r="Q613" s="150">
        <v>0</v>
      </c>
      <c r="R613" s="150">
        <f t="shared" si="710"/>
        <v>0</v>
      </c>
      <c r="S613" s="150">
        <f t="shared" si="689"/>
        <v>0</v>
      </c>
      <c r="T613" s="150"/>
      <c r="U613" s="150">
        <v>0</v>
      </c>
      <c r="V613" s="199"/>
      <c r="W613" s="150">
        <f t="shared" si="711"/>
        <v>0</v>
      </c>
      <c r="X613" s="150">
        <v>0</v>
      </c>
      <c r="Y613" s="150"/>
      <c r="Z613" s="150">
        <v>0</v>
      </c>
      <c r="AA613" s="150">
        <f t="shared" si="690"/>
        <v>0</v>
      </c>
      <c r="AB613" s="150">
        <v>0</v>
      </c>
      <c r="AC613" s="199"/>
      <c r="AD613" s="150">
        <f t="shared" si="712"/>
        <v>0</v>
      </c>
      <c r="AE613" s="150">
        <v>0</v>
      </c>
      <c r="AF613" s="169" t="s">
        <v>4680</v>
      </c>
      <c r="AG613" s="201">
        <v>0</v>
      </c>
      <c r="AH613" s="199"/>
      <c r="AI613" s="150">
        <v>0</v>
      </c>
      <c r="AJ613" s="169">
        <f t="shared" si="691"/>
        <v>0</v>
      </c>
      <c r="AK613" s="201">
        <v>0</v>
      </c>
      <c r="AL613" s="199"/>
      <c r="AM613" s="150">
        <f t="shared" si="713"/>
        <v>0</v>
      </c>
      <c r="AN613" s="153">
        <f t="shared" si="692"/>
        <v>0</v>
      </c>
      <c r="AO613" s="154">
        <f t="shared" si="693"/>
        <v>0</v>
      </c>
      <c r="AP613" s="150">
        <v>0</v>
      </c>
      <c r="AQ613" s="201">
        <v>0</v>
      </c>
      <c r="AR613" s="199"/>
      <c r="AS613" s="150">
        <f t="shared" si="714"/>
        <v>0</v>
      </c>
      <c r="AT613" s="155"/>
      <c r="AU613" s="156">
        <f t="shared" si="687"/>
        <v>0</v>
      </c>
      <c r="AV613" s="156">
        <f t="shared" si="688"/>
        <v>0</v>
      </c>
      <c r="AW613" s="157"/>
      <c r="AX613" s="150">
        <v>0</v>
      </c>
      <c r="AY613" s="150">
        <v>0</v>
      </c>
      <c r="AZ613" s="150"/>
      <c r="BA613" s="150">
        <f t="shared" si="686"/>
        <v>0</v>
      </c>
      <c r="BB613" s="210"/>
      <c r="BC613" s="210"/>
      <c r="BD613" s="210"/>
      <c r="BE613" s="210"/>
      <c r="BF613" s="210"/>
      <c r="BG613" s="210"/>
      <c r="BH613" s="217"/>
      <c r="BI613" s="210"/>
      <c r="BJ613" s="210"/>
      <c r="BK613" s="210"/>
      <c r="BL613" s="210"/>
      <c r="BM613" s="208"/>
      <c r="BN613" s="160"/>
      <c r="BO613" s="161">
        <f t="shared" si="695"/>
        <v>0</v>
      </c>
      <c r="BP613" s="161"/>
    </row>
    <row r="614" spans="1:68" ht="25.5">
      <c r="A614" s="210"/>
      <c r="B614" s="195" t="s">
        <v>6291</v>
      </c>
      <c r="C614" s="196" t="s">
        <v>6292</v>
      </c>
      <c r="D614" s="146" t="s">
        <v>4692</v>
      </c>
      <c r="E614" s="196" t="s">
        <v>6293</v>
      </c>
      <c r="F614" s="150">
        <v>0</v>
      </c>
      <c r="G614" s="209">
        <v>0</v>
      </c>
      <c r="H614" s="209"/>
      <c r="I614" s="209">
        <v>0</v>
      </c>
      <c r="J614" s="150">
        <v>0</v>
      </c>
      <c r="K614" s="150">
        <v>0</v>
      </c>
      <c r="L614" s="150">
        <f t="shared" si="694"/>
        <v>0</v>
      </c>
      <c r="M614" s="150">
        <v>0</v>
      </c>
      <c r="N614" s="150"/>
      <c r="O614" s="150">
        <v>0</v>
      </c>
      <c r="P614" s="150">
        <v>0</v>
      </c>
      <c r="Q614" s="150">
        <v>0</v>
      </c>
      <c r="R614" s="150">
        <f t="shared" si="710"/>
        <v>0</v>
      </c>
      <c r="S614" s="150">
        <f t="shared" si="689"/>
        <v>0</v>
      </c>
      <c r="T614" s="150"/>
      <c r="U614" s="150">
        <v>0</v>
      </c>
      <c r="V614" s="199"/>
      <c r="W614" s="150">
        <f t="shared" si="711"/>
        <v>0</v>
      </c>
      <c r="X614" s="150">
        <v>0</v>
      </c>
      <c r="Y614" s="150"/>
      <c r="Z614" s="150">
        <v>0</v>
      </c>
      <c r="AA614" s="150">
        <f t="shared" si="690"/>
        <v>0</v>
      </c>
      <c r="AB614" s="150">
        <v>0</v>
      </c>
      <c r="AC614" s="199"/>
      <c r="AD614" s="150">
        <f t="shared" si="712"/>
        <v>0</v>
      </c>
      <c r="AE614" s="150">
        <v>0</v>
      </c>
      <c r="AF614" s="169" t="s">
        <v>4680</v>
      </c>
      <c r="AG614" s="201">
        <v>0</v>
      </c>
      <c r="AH614" s="199"/>
      <c r="AI614" s="150">
        <v>0</v>
      </c>
      <c r="AJ614" s="169">
        <f t="shared" si="691"/>
        <v>0</v>
      </c>
      <c r="AK614" s="201">
        <v>0</v>
      </c>
      <c r="AL614" s="199"/>
      <c r="AM614" s="150">
        <f t="shared" si="713"/>
        <v>0</v>
      </c>
      <c r="AN614" s="153">
        <f t="shared" si="692"/>
        <v>0</v>
      </c>
      <c r="AO614" s="154">
        <f t="shared" si="693"/>
        <v>0</v>
      </c>
      <c r="AP614" s="150">
        <v>0</v>
      </c>
      <c r="AQ614" s="201">
        <v>0</v>
      </c>
      <c r="AR614" s="199"/>
      <c r="AS614" s="150">
        <f t="shared" si="714"/>
        <v>0</v>
      </c>
      <c r="AT614" s="155"/>
      <c r="AU614" s="156">
        <f t="shared" si="687"/>
        <v>0</v>
      </c>
      <c r="AV614" s="156">
        <f t="shared" si="688"/>
        <v>0</v>
      </c>
      <c r="AW614" s="157"/>
      <c r="AX614" s="150">
        <v>0</v>
      </c>
      <c r="AY614" s="150">
        <v>0</v>
      </c>
      <c r="AZ614" s="150"/>
      <c r="BA614" s="150">
        <f t="shared" si="686"/>
        <v>0</v>
      </c>
      <c r="BB614" s="210"/>
      <c r="BC614" s="210"/>
      <c r="BD614" s="210"/>
      <c r="BE614" s="210"/>
      <c r="BF614" s="210"/>
      <c r="BG614" s="210"/>
      <c r="BH614" s="217"/>
      <c r="BI614" s="210"/>
      <c r="BJ614" s="210"/>
      <c r="BK614" s="210"/>
      <c r="BL614" s="210"/>
      <c r="BM614" s="208"/>
      <c r="BN614" s="160"/>
      <c r="BO614" s="161">
        <f t="shared" si="695"/>
        <v>0</v>
      </c>
      <c r="BP614" s="161"/>
    </row>
    <row r="615" spans="1:68" ht="38.25">
      <c r="A615" s="210"/>
      <c r="B615" s="195" t="s">
        <v>6294</v>
      </c>
      <c r="C615" s="196" t="s">
        <v>6295</v>
      </c>
      <c r="D615" s="146" t="s">
        <v>4692</v>
      </c>
      <c r="E615" s="196" t="s">
        <v>6296</v>
      </c>
      <c r="F615" s="150">
        <v>0</v>
      </c>
      <c r="G615" s="209">
        <v>0</v>
      </c>
      <c r="H615" s="209"/>
      <c r="I615" s="209">
        <v>0</v>
      </c>
      <c r="J615" s="150">
        <v>0</v>
      </c>
      <c r="K615" s="150">
        <v>0</v>
      </c>
      <c r="L615" s="150">
        <f t="shared" si="694"/>
        <v>0</v>
      </c>
      <c r="M615" s="150">
        <v>0</v>
      </c>
      <c r="N615" s="150"/>
      <c r="O615" s="150">
        <v>0</v>
      </c>
      <c r="P615" s="150">
        <v>0</v>
      </c>
      <c r="Q615" s="150">
        <v>0</v>
      </c>
      <c r="R615" s="150">
        <f t="shared" si="710"/>
        <v>0</v>
      </c>
      <c r="S615" s="150">
        <f t="shared" si="689"/>
        <v>0</v>
      </c>
      <c r="T615" s="150"/>
      <c r="U615" s="150">
        <v>0</v>
      </c>
      <c r="V615" s="199"/>
      <c r="W615" s="150">
        <f t="shared" si="711"/>
        <v>0</v>
      </c>
      <c r="X615" s="150">
        <v>0</v>
      </c>
      <c r="Y615" s="150"/>
      <c r="Z615" s="150">
        <v>0</v>
      </c>
      <c r="AA615" s="150">
        <f t="shared" si="690"/>
        <v>0</v>
      </c>
      <c r="AB615" s="150">
        <v>0</v>
      </c>
      <c r="AC615" s="199"/>
      <c r="AD615" s="150">
        <f t="shared" si="712"/>
        <v>0</v>
      </c>
      <c r="AE615" s="150">
        <v>0</v>
      </c>
      <c r="AF615" s="169" t="s">
        <v>4680</v>
      </c>
      <c r="AG615" s="201">
        <v>0</v>
      </c>
      <c r="AH615" s="199"/>
      <c r="AI615" s="150">
        <v>0</v>
      </c>
      <c r="AJ615" s="169">
        <f t="shared" si="691"/>
        <v>0</v>
      </c>
      <c r="AK615" s="201">
        <v>0</v>
      </c>
      <c r="AL615" s="199"/>
      <c r="AM615" s="150">
        <f t="shared" si="713"/>
        <v>0</v>
      </c>
      <c r="AN615" s="153">
        <f t="shared" si="692"/>
        <v>0</v>
      </c>
      <c r="AO615" s="154">
        <f t="shared" si="693"/>
        <v>0</v>
      </c>
      <c r="AP615" s="150">
        <v>0</v>
      </c>
      <c r="AQ615" s="201">
        <v>0</v>
      </c>
      <c r="AR615" s="199"/>
      <c r="AS615" s="150">
        <f t="shared" si="714"/>
        <v>0</v>
      </c>
      <c r="AT615" s="155"/>
      <c r="AU615" s="156">
        <f t="shared" si="687"/>
        <v>0</v>
      </c>
      <c r="AV615" s="156">
        <f t="shared" si="688"/>
        <v>0</v>
      </c>
      <c r="AW615" s="157"/>
      <c r="AX615" s="150">
        <v>0</v>
      </c>
      <c r="AY615" s="150">
        <v>0</v>
      </c>
      <c r="AZ615" s="150"/>
      <c r="BA615" s="150">
        <f t="shared" si="686"/>
        <v>0</v>
      </c>
      <c r="BB615" s="210"/>
      <c r="BC615" s="210"/>
      <c r="BD615" s="210"/>
      <c r="BE615" s="210"/>
      <c r="BF615" s="210"/>
      <c r="BG615" s="210"/>
      <c r="BH615" s="217"/>
      <c r="BI615" s="210"/>
      <c r="BJ615" s="210"/>
      <c r="BK615" s="210"/>
      <c r="BL615" s="210"/>
      <c r="BM615" s="208"/>
      <c r="BN615" s="160"/>
      <c r="BO615" s="161">
        <f t="shared" si="695"/>
        <v>0</v>
      </c>
      <c r="BP615" s="161"/>
    </row>
    <row r="616" spans="1:68" ht="38.25">
      <c r="A616" s="210"/>
      <c r="B616" s="195" t="s">
        <v>6297</v>
      </c>
      <c r="C616" s="196" t="s">
        <v>6298</v>
      </c>
      <c r="D616" s="146" t="s">
        <v>4692</v>
      </c>
      <c r="E616" s="196" t="s">
        <v>6299</v>
      </c>
      <c r="F616" s="150">
        <v>0</v>
      </c>
      <c r="G616" s="209">
        <v>0</v>
      </c>
      <c r="H616" s="209"/>
      <c r="I616" s="209">
        <v>0</v>
      </c>
      <c r="J616" s="150">
        <v>0</v>
      </c>
      <c r="K616" s="150">
        <v>0</v>
      </c>
      <c r="L616" s="150">
        <f t="shared" si="694"/>
        <v>0</v>
      </c>
      <c r="M616" s="150">
        <v>0</v>
      </c>
      <c r="N616" s="150"/>
      <c r="O616" s="150">
        <v>0</v>
      </c>
      <c r="P616" s="150">
        <v>0</v>
      </c>
      <c r="Q616" s="150">
        <v>0</v>
      </c>
      <c r="R616" s="150">
        <f t="shared" si="710"/>
        <v>0</v>
      </c>
      <c r="S616" s="150">
        <f t="shared" si="689"/>
        <v>0</v>
      </c>
      <c r="T616" s="150"/>
      <c r="U616" s="150">
        <v>0</v>
      </c>
      <c r="V616" s="199"/>
      <c r="W616" s="150">
        <f t="shared" si="711"/>
        <v>0</v>
      </c>
      <c r="X616" s="150">
        <v>0</v>
      </c>
      <c r="Y616" s="150"/>
      <c r="Z616" s="150">
        <v>0</v>
      </c>
      <c r="AA616" s="150">
        <f t="shared" si="690"/>
        <v>0</v>
      </c>
      <c r="AB616" s="150">
        <v>0</v>
      </c>
      <c r="AC616" s="199"/>
      <c r="AD616" s="150">
        <f t="shared" si="712"/>
        <v>0</v>
      </c>
      <c r="AE616" s="150">
        <v>0</v>
      </c>
      <c r="AF616" s="169" t="s">
        <v>4680</v>
      </c>
      <c r="AG616" s="201">
        <v>0</v>
      </c>
      <c r="AH616" s="199"/>
      <c r="AI616" s="150">
        <v>0</v>
      </c>
      <c r="AJ616" s="169">
        <f t="shared" si="691"/>
        <v>0</v>
      </c>
      <c r="AK616" s="201">
        <v>0</v>
      </c>
      <c r="AL616" s="199"/>
      <c r="AM616" s="150">
        <f t="shared" si="713"/>
        <v>0</v>
      </c>
      <c r="AN616" s="153">
        <f t="shared" si="692"/>
        <v>0</v>
      </c>
      <c r="AO616" s="154">
        <f t="shared" si="693"/>
        <v>0</v>
      </c>
      <c r="AP616" s="150">
        <v>0</v>
      </c>
      <c r="AQ616" s="201">
        <v>0</v>
      </c>
      <c r="AR616" s="199"/>
      <c r="AS616" s="150">
        <f t="shared" si="714"/>
        <v>0</v>
      </c>
      <c r="AT616" s="155"/>
      <c r="AU616" s="156">
        <f t="shared" si="687"/>
        <v>0</v>
      </c>
      <c r="AV616" s="156">
        <f t="shared" si="688"/>
        <v>0</v>
      </c>
      <c r="AW616" s="157"/>
      <c r="AX616" s="150">
        <v>0</v>
      </c>
      <c r="AY616" s="150">
        <v>0</v>
      </c>
      <c r="AZ616" s="150"/>
      <c r="BA616" s="150">
        <f t="shared" si="686"/>
        <v>0</v>
      </c>
      <c r="BB616" s="210"/>
      <c r="BC616" s="210"/>
      <c r="BD616" s="210"/>
      <c r="BE616" s="210"/>
      <c r="BF616" s="210"/>
      <c r="BG616" s="210"/>
      <c r="BH616" s="217"/>
      <c r="BI616" s="210"/>
      <c r="BJ616" s="210"/>
      <c r="BK616" s="210"/>
      <c r="BL616" s="210"/>
      <c r="BM616" s="208"/>
      <c r="BN616" s="160"/>
      <c r="BO616" s="161">
        <f t="shared" si="695"/>
        <v>0</v>
      </c>
      <c r="BP616" s="161"/>
    </row>
    <row r="617" spans="1:68" ht="38.25">
      <c r="A617" s="210"/>
      <c r="B617" s="195" t="s">
        <v>6300</v>
      </c>
      <c r="C617" s="196" t="s">
        <v>6301</v>
      </c>
      <c r="D617" s="146" t="s">
        <v>4692</v>
      </c>
      <c r="E617" s="196" t="s">
        <v>6302</v>
      </c>
      <c r="F617" s="150">
        <v>0</v>
      </c>
      <c r="G617" s="209">
        <v>357448.99</v>
      </c>
      <c r="H617" s="209">
        <v>102049.68208</v>
      </c>
      <c r="I617" s="209">
        <v>459498.67207999999</v>
      </c>
      <c r="J617" s="150">
        <v>0</v>
      </c>
      <c r="K617" s="150">
        <v>0</v>
      </c>
      <c r="L617" s="150">
        <f t="shared" si="694"/>
        <v>0</v>
      </c>
      <c r="M617" s="150">
        <v>0</v>
      </c>
      <c r="N617" s="150"/>
      <c r="O617" s="150">
        <v>0</v>
      </c>
      <c r="P617" s="150">
        <v>0</v>
      </c>
      <c r="Q617" s="150">
        <v>0</v>
      </c>
      <c r="R617" s="150">
        <f t="shared" si="710"/>
        <v>0</v>
      </c>
      <c r="S617" s="150">
        <f t="shared" si="689"/>
        <v>0</v>
      </c>
      <c r="T617" s="150"/>
      <c r="U617" s="150">
        <v>0</v>
      </c>
      <c r="V617" s="199"/>
      <c r="W617" s="150">
        <f t="shared" si="711"/>
        <v>0</v>
      </c>
      <c r="X617" s="150">
        <v>0</v>
      </c>
      <c r="Y617" s="150"/>
      <c r="Z617" s="150">
        <v>0</v>
      </c>
      <c r="AA617" s="150">
        <f t="shared" si="690"/>
        <v>0</v>
      </c>
      <c r="AB617" s="150">
        <v>0</v>
      </c>
      <c r="AC617" s="199"/>
      <c r="AD617" s="150">
        <f t="shared" si="712"/>
        <v>0</v>
      </c>
      <c r="AE617" s="150">
        <v>0</v>
      </c>
      <c r="AF617" s="169" t="s">
        <v>4680</v>
      </c>
      <c r="AG617" s="201">
        <v>0</v>
      </c>
      <c r="AH617" s="199"/>
      <c r="AI617" s="150">
        <v>0</v>
      </c>
      <c r="AJ617" s="169">
        <f t="shared" si="691"/>
        <v>0</v>
      </c>
      <c r="AK617" s="201">
        <v>0</v>
      </c>
      <c r="AL617" s="199"/>
      <c r="AM617" s="150">
        <f t="shared" si="713"/>
        <v>0</v>
      </c>
      <c r="AN617" s="153">
        <f t="shared" si="692"/>
        <v>0</v>
      </c>
      <c r="AO617" s="154">
        <f t="shared" si="693"/>
        <v>0</v>
      </c>
      <c r="AP617" s="150">
        <v>0</v>
      </c>
      <c r="AQ617" s="201">
        <v>0</v>
      </c>
      <c r="AR617" s="199"/>
      <c r="AS617" s="150">
        <f t="shared" si="714"/>
        <v>0</v>
      </c>
      <c r="AT617" s="155"/>
      <c r="AU617" s="156">
        <f t="shared" si="687"/>
        <v>0</v>
      </c>
      <c r="AV617" s="156">
        <f t="shared" si="688"/>
        <v>0</v>
      </c>
      <c r="AW617" s="157"/>
      <c r="AX617" s="150">
        <v>0</v>
      </c>
      <c r="AY617" s="150">
        <v>0</v>
      </c>
      <c r="AZ617" s="150"/>
      <c r="BA617" s="150">
        <f t="shared" si="686"/>
        <v>0</v>
      </c>
      <c r="BB617" s="210"/>
      <c r="BC617" s="210"/>
      <c r="BD617" s="210"/>
      <c r="BE617" s="210"/>
      <c r="BF617" s="210"/>
      <c r="BG617" s="210"/>
      <c r="BH617" s="217"/>
      <c r="BI617" s="210"/>
      <c r="BJ617" s="210"/>
      <c r="BK617" s="210"/>
      <c r="BL617" s="210"/>
      <c r="BM617" s="208"/>
      <c r="BN617" s="160"/>
      <c r="BO617" s="161">
        <f t="shared" si="695"/>
        <v>0</v>
      </c>
      <c r="BP617" s="161"/>
    </row>
    <row r="618" spans="1:68" ht="25.5">
      <c r="A618" s="206" t="s">
        <v>553</v>
      </c>
      <c r="B618" s="195" t="s">
        <v>6303</v>
      </c>
      <c r="C618" s="196" t="s">
        <v>6304</v>
      </c>
      <c r="D618" s="146" t="s">
        <v>4692</v>
      </c>
      <c r="E618" s="196" t="s">
        <v>6305</v>
      </c>
      <c r="F618" s="150">
        <v>357527.07</v>
      </c>
      <c r="G618" s="209">
        <v>37229.800000000003</v>
      </c>
      <c r="H618" s="209">
        <v>333.03254000000015</v>
      </c>
      <c r="I618" s="209">
        <v>37562.832540000003</v>
      </c>
      <c r="J618" s="150">
        <v>99316.67</v>
      </c>
      <c r="K618" s="150">
        <v>11786.176999999996</v>
      </c>
      <c r="L618" s="150">
        <f t="shared" si="694"/>
        <v>111102.84699999999</v>
      </c>
      <c r="M618" s="150">
        <v>195864.29</v>
      </c>
      <c r="N618" s="150">
        <v>12958.42703999998</v>
      </c>
      <c r="O618" s="150">
        <v>208822.71703999999</v>
      </c>
      <c r="P618" s="150">
        <v>287583.69</v>
      </c>
      <c r="Q618" s="150">
        <v>2569.079150000005</v>
      </c>
      <c r="R618" s="150">
        <f t="shared" si="710"/>
        <v>290152.76915000001</v>
      </c>
      <c r="S618" s="150">
        <f t="shared" si="689"/>
        <v>386870.35886666668</v>
      </c>
      <c r="T618" s="150"/>
      <c r="U618" s="150">
        <v>366618.67</v>
      </c>
      <c r="V618" s="199">
        <v>17128.544750000001</v>
      </c>
      <c r="W618" s="150">
        <f t="shared" si="711"/>
        <v>383747.21474999998</v>
      </c>
      <c r="X618" s="150">
        <v>366618.67</v>
      </c>
      <c r="Y618" s="150">
        <v>17128.544750000001</v>
      </c>
      <c r="Z618" s="150">
        <v>383747.21474999998</v>
      </c>
      <c r="AA618" s="150">
        <f t="shared" si="690"/>
        <v>0</v>
      </c>
      <c r="AB618" s="150">
        <v>366658.93</v>
      </c>
      <c r="AC618" s="199">
        <v>17088.284749999992</v>
      </c>
      <c r="AD618" s="150">
        <f t="shared" si="712"/>
        <v>383747.21474999998</v>
      </c>
      <c r="AE618" s="150">
        <v>383747.21474999998</v>
      </c>
      <c r="AF618" s="169" t="s">
        <v>4680</v>
      </c>
      <c r="AG618" s="201">
        <v>366658.93</v>
      </c>
      <c r="AH618" s="199">
        <v>17088.284749999992</v>
      </c>
      <c r="AI618" s="150">
        <v>383747.21474999998</v>
      </c>
      <c r="AJ618" s="169">
        <f t="shared" si="691"/>
        <v>0</v>
      </c>
      <c r="AK618" s="201">
        <v>366658.93</v>
      </c>
      <c r="AL618" s="199">
        <v>17088.284749999992</v>
      </c>
      <c r="AM618" s="150">
        <f t="shared" si="713"/>
        <v>383747.21474999998</v>
      </c>
      <c r="AN618" s="153"/>
      <c r="AO618" s="154">
        <f t="shared" si="693"/>
        <v>-4.7499999636784196E-3</v>
      </c>
      <c r="AP618" s="150">
        <v>383747.21474999998</v>
      </c>
      <c r="AQ618" s="201">
        <v>383747.21</v>
      </c>
      <c r="AR618" s="199"/>
      <c r="AS618" s="150">
        <f t="shared" si="714"/>
        <v>383747.21</v>
      </c>
      <c r="AT618" s="155" t="s">
        <v>6020</v>
      </c>
      <c r="AU618" s="156">
        <f t="shared" si="687"/>
        <v>0</v>
      </c>
      <c r="AV618" s="156">
        <f t="shared" si="688"/>
        <v>0</v>
      </c>
      <c r="AW618" s="157" t="s">
        <v>6021</v>
      </c>
      <c r="AX618" s="150">
        <v>383747.21474999998</v>
      </c>
      <c r="AY618" s="150">
        <v>259728.97</v>
      </c>
      <c r="AZ618" s="150">
        <v>140752.23363500004</v>
      </c>
      <c r="BA618" s="150">
        <f t="shared" si="686"/>
        <v>400481.20363500004</v>
      </c>
      <c r="BB618" s="205">
        <v>5</v>
      </c>
      <c r="BC618" s="206" t="s">
        <v>632</v>
      </c>
      <c r="BD618" s="206" t="s">
        <v>632</v>
      </c>
      <c r="BE618" s="206" t="s">
        <v>755</v>
      </c>
      <c r="BF618" s="206" t="s">
        <v>647</v>
      </c>
      <c r="BG618" s="287" t="s">
        <v>6306</v>
      </c>
      <c r="BH618" s="283">
        <f>SUM(AS618)</f>
        <v>383747.21</v>
      </c>
      <c r="BI618" s="205"/>
      <c r="BJ618" s="206" t="s">
        <v>6282</v>
      </c>
      <c r="BK618" s="206" t="s">
        <v>553</v>
      </c>
      <c r="BL618" s="207" t="s">
        <v>6283</v>
      </c>
      <c r="BM618" s="208">
        <f>BH618</f>
        <v>383747.21</v>
      </c>
      <c r="BN618" s="160"/>
      <c r="BO618" s="161">
        <f t="shared" si="695"/>
        <v>0</v>
      </c>
      <c r="BP618" s="161"/>
    </row>
    <row r="619" spans="1:68">
      <c r="A619" s="256" t="s">
        <v>554</v>
      </c>
      <c r="B619" s="184"/>
      <c r="C619" s="185" t="s">
        <v>125</v>
      </c>
      <c r="D619" s="146" t="s">
        <v>4692</v>
      </c>
      <c r="E619" s="185" t="s">
        <v>125</v>
      </c>
      <c r="F619" s="188">
        <v>37546.6</v>
      </c>
      <c r="G619" s="187">
        <v>37229.800000000003</v>
      </c>
      <c r="H619" s="187">
        <v>333.03254000000015</v>
      </c>
      <c r="I619" s="187">
        <v>37562.832540000003</v>
      </c>
      <c r="J619" s="188">
        <f>J620</f>
        <v>9496.91</v>
      </c>
      <c r="K619" s="188">
        <f>K620</f>
        <v>477.58330000000024</v>
      </c>
      <c r="L619" s="188">
        <f t="shared" si="694"/>
        <v>9974.4933000000001</v>
      </c>
      <c r="M619" s="188">
        <v>19006.669999999998</v>
      </c>
      <c r="N619" s="188">
        <v>694.26230000000214</v>
      </c>
      <c r="O619" s="188">
        <v>19700.9323</v>
      </c>
      <c r="P619" s="299">
        <f t="shared" ref="P619:AS619" si="715">P620</f>
        <v>28775.360000000001</v>
      </c>
      <c r="Q619" s="299">
        <f t="shared" si="715"/>
        <v>0</v>
      </c>
      <c r="R619" s="299">
        <f t="shared" si="715"/>
        <v>28775.360000000001</v>
      </c>
      <c r="S619" s="150">
        <f t="shared" si="689"/>
        <v>38367.146666666667</v>
      </c>
      <c r="T619" s="213"/>
      <c r="U619" s="299">
        <f t="shared" ref="U619:W619" si="716">U620</f>
        <v>37489.760000000002</v>
      </c>
      <c r="V619" s="226">
        <f t="shared" si="716"/>
        <v>166.83453000000009</v>
      </c>
      <c r="W619" s="299">
        <f t="shared" si="716"/>
        <v>37656.594530000002</v>
      </c>
      <c r="X619" s="299">
        <v>37489.760000000002</v>
      </c>
      <c r="Y619" s="299">
        <v>166.83453000000009</v>
      </c>
      <c r="Z619" s="299">
        <v>37656.594530000002</v>
      </c>
      <c r="AA619" s="299">
        <f t="shared" si="690"/>
        <v>0</v>
      </c>
      <c r="AB619" s="299">
        <v>37489.760000000002</v>
      </c>
      <c r="AC619" s="226">
        <v>166.83453000000009</v>
      </c>
      <c r="AD619" s="299">
        <f t="shared" si="715"/>
        <v>37656.594530000002</v>
      </c>
      <c r="AE619" s="299">
        <v>37656.594530000002</v>
      </c>
      <c r="AF619" s="169" t="s">
        <v>4680</v>
      </c>
      <c r="AG619" s="301">
        <v>37489.760000000002</v>
      </c>
      <c r="AH619" s="226">
        <v>166.83453000000009</v>
      </c>
      <c r="AI619" s="299">
        <v>37656.594530000002</v>
      </c>
      <c r="AJ619" s="169">
        <f t="shared" si="691"/>
        <v>0</v>
      </c>
      <c r="AK619" s="301">
        <v>37489.760000000002</v>
      </c>
      <c r="AL619" s="226">
        <v>166.83453000000009</v>
      </c>
      <c r="AM619" s="299">
        <f t="shared" si="715"/>
        <v>37656.594530000002</v>
      </c>
      <c r="AN619" s="153">
        <f t="shared" si="692"/>
        <v>-4.5300000056158751E-3</v>
      </c>
      <c r="AO619" s="154">
        <f t="shared" si="693"/>
        <v>-4.5300000056158751E-3</v>
      </c>
      <c r="AP619" s="299">
        <v>37656.594530000002</v>
      </c>
      <c r="AQ619" s="301">
        <v>37656.589999999997</v>
      </c>
      <c r="AR619" s="226">
        <f t="shared" si="715"/>
        <v>0</v>
      </c>
      <c r="AS619" s="299">
        <f t="shared" si="715"/>
        <v>37656.589999999997</v>
      </c>
      <c r="AT619" s="155"/>
      <c r="AU619" s="156">
        <f t="shared" si="687"/>
        <v>0</v>
      </c>
      <c r="AV619" s="156">
        <f t="shared" si="688"/>
        <v>0</v>
      </c>
      <c r="AW619" s="157"/>
      <c r="AX619" s="150">
        <v>37656.594530000002</v>
      </c>
      <c r="AY619" s="299">
        <f t="shared" ref="AY619:BA619" si="717">AY620</f>
        <v>26446.71</v>
      </c>
      <c r="AZ619" s="299">
        <f t="shared" si="717"/>
        <v>15887.629979999998</v>
      </c>
      <c r="BA619" s="299">
        <f t="shared" si="717"/>
        <v>42334.339979999997</v>
      </c>
      <c r="BB619" s="192">
        <v>5</v>
      </c>
      <c r="BC619" s="256" t="s">
        <v>632</v>
      </c>
      <c r="BD619" s="256" t="s">
        <v>632</v>
      </c>
      <c r="BE619" s="256" t="s">
        <v>766</v>
      </c>
      <c r="BF619" s="256" t="s">
        <v>630</v>
      </c>
      <c r="BG619" s="185" t="s">
        <v>125</v>
      </c>
      <c r="BH619" s="302">
        <f>BH620</f>
        <v>37656.589999999997</v>
      </c>
      <c r="BI619" s="192"/>
      <c r="BJ619" s="256" t="s">
        <v>6307</v>
      </c>
      <c r="BK619" s="256" t="s">
        <v>554</v>
      </c>
      <c r="BL619" s="238" t="s">
        <v>6308</v>
      </c>
      <c r="BM619" s="302">
        <f>BM620</f>
        <v>37656.589999999997</v>
      </c>
      <c r="BN619" s="160"/>
      <c r="BO619" s="161">
        <f t="shared" si="695"/>
        <v>0</v>
      </c>
      <c r="BP619" s="161"/>
    </row>
    <row r="620" spans="1:68" ht="24">
      <c r="A620" s="206" t="s">
        <v>554</v>
      </c>
      <c r="B620" s="195" t="s">
        <v>6309</v>
      </c>
      <c r="C620" s="196" t="s">
        <v>1259</v>
      </c>
      <c r="D620" s="146" t="s">
        <v>4692</v>
      </c>
      <c r="E620" s="196" t="s">
        <v>1259</v>
      </c>
      <c r="F620" s="150">
        <v>37546.6</v>
      </c>
      <c r="G620" s="209">
        <v>0</v>
      </c>
      <c r="H620" s="209">
        <v>0</v>
      </c>
      <c r="I620" s="209">
        <v>0</v>
      </c>
      <c r="J620" s="150">
        <v>9496.91</v>
      </c>
      <c r="K620" s="150">
        <v>477.58330000000024</v>
      </c>
      <c r="L620" s="150">
        <f t="shared" si="694"/>
        <v>9974.4933000000001</v>
      </c>
      <c r="M620" s="150">
        <v>19006.669999999998</v>
      </c>
      <c r="N620" s="150">
        <v>694.26230000000214</v>
      </c>
      <c r="O620" s="150">
        <v>19700.9323</v>
      </c>
      <c r="P620" s="150">
        <v>28775.360000000001</v>
      </c>
      <c r="Q620" s="150"/>
      <c r="R620" s="150">
        <f>P620+Q620</f>
        <v>28775.360000000001</v>
      </c>
      <c r="S620" s="150">
        <f t="shared" si="689"/>
        <v>38367.146666666667</v>
      </c>
      <c r="T620" s="150"/>
      <c r="U620" s="150">
        <v>37489.760000000002</v>
      </c>
      <c r="V620" s="199">
        <v>166.83453000000009</v>
      </c>
      <c r="W620" s="150">
        <f>U620+V620</f>
        <v>37656.594530000002</v>
      </c>
      <c r="X620" s="150">
        <v>37489.760000000002</v>
      </c>
      <c r="Y620" s="150">
        <v>166.83453000000009</v>
      </c>
      <c r="Z620" s="150">
        <v>37656.594530000002</v>
      </c>
      <c r="AA620" s="150">
        <f t="shared" si="690"/>
        <v>0</v>
      </c>
      <c r="AB620" s="150">
        <v>37489.760000000002</v>
      </c>
      <c r="AC620" s="199">
        <v>166.83453000000009</v>
      </c>
      <c r="AD620" s="150">
        <f>AB620+AC620</f>
        <v>37656.594530000002</v>
      </c>
      <c r="AE620" s="150">
        <v>37656.594530000002</v>
      </c>
      <c r="AF620" s="169" t="s">
        <v>4680</v>
      </c>
      <c r="AG620" s="201">
        <v>37489.760000000002</v>
      </c>
      <c r="AH620" s="199">
        <v>166.83453000000009</v>
      </c>
      <c r="AI620" s="150">
        <v>37656.594530000002</v>
      </c>
      <c r="AJ620" s="169">
        <f t="shared" si="691"/>
        <v>0</v>
      </c>
      <c r="AK620" s="201">
        <v>37489.760000000002</v>
      </c>
      <c r="AL620" s="199">
        <v>166.83453000000009</v>
      </c>
      <c r="AM620" s="150">
        <f>AK620+AL620</f>
        <v>37656.594530000002</v>
      </c>
      <c r="AN620" s="153"/>
      <c r="AO620" s="154">
        <f t="shared" si="693"/>
        <v>-4.5300000056158751E-3</v>
      </c>
      <c r="AP620" s="150">
        <v>37656.594530000002</v>
      </c>
      <c r="AQ620" s="201">
        <v>37656.589999999997</v>
      </c>
      <c r="AR620" s="199"/>
      <c r="AS620" s="150">
        <f>AQ620+AR620</f>
        <v>37656.589999999997</v>
      </c>
      <c r="AT620" s="155" t="s">
        <v>6020</v>
      </c>
      <c r="AU620" s="156">
        <f t="shared" si="687"/>
        <v>0</v>
      </c>
      <c r="AV620" s="156">
        <f t="shared" si="688"/>
        <v>0</v>
      </c>
      <c r="AW620" s="157" t="s">
        <v>6021</v>
      </c>
      <c r="AX620" s="150">
        <v>37656.594530000002</v>
      </c>
      <c r="AY620" s="150">
        <v>26446.71</v>
      </c>
      <c r="AZ620" s="150">
        <v>15887.629979999998</v>
      </c>
      <c r="BA620" s="150">
        <f t="shared" si="686"/>
        <v>42334.339979999997</v>
      </c>
      <c r="BB620" s="205">
        <v>5</v>
      </c>
      <c r="BC620" s="206" t="s">
        <v>632</v>
      </c>
      <c r="BD620" s="206" t="s">
        <v>632</v>
      </c>
      <c r="BE620" s="206" t="s">
        <v>766</v>
      </c>
      <c r="BF620" s="206" t="s">
        <v>632</v>
      </c>
      <c r="BG620" s="203" t="s">
        <v>125</v>
      </c>
      <c r="BH620" s="216">
        <f>AS620</f>
        <v>37656.589999999997</v>
      </c>
      <c r="BI620" s="205"/>
      <c r="BJ620" s="206" t="s">
        <v>6307</v>
      </c>
      <c r="BK620" s="206" t="s">
        <v>554</v>
      </c>
      <c r="BL620" s="207" t="s">
        <v>6308</v>
      </c>
      <c r="BM620" s="208">
        <f>BH620</f>
        <v>37656.589999999997</v>
      </c>
      <c r="BN620" s="160"/>
      <c r="BO620" s="161">
        <f t="shared" si="695"/>
        <v>0</v>
      </c>
      <c r="BP620" s="161"/>
    </row>
    <row r="621" spans="1:68" ht="25.5">
      <c r="A621" s="256" t="s">
        <v>555</v>
      </c>
      <c r="B621" s="184"/>
      <c r="C621" s="185" t="s">
        <v>126</v>
      </c>
      <c r="D621" s="146" t="s">
        <v>4692</v>
      </c>
      <c r="E621" s="185" t="s">
        <v>126</v>
      </c>
      <c r="F621" s="188">
        <v>0</v>
      </c>
      <c r="G621" s="187">
        <v>0</v>
      </c>
      <c r="H621" s="187"/>
      <c r="I621" s="187">
        <v>0</v>
      </c>
      <c r="J621" s="188">
        <f>SUM(J622:J623)</f>
        <v>0</v>
      </c>
      <c r="K621" s="188">
        <f>SUM(K622:K623)</f>
        <v>0</v>
      </c>
      <c r="L621" s="188">
        <f t="shared" si="694"/>
        <v>0</v>
      </c>
      <c r="M621" s="188">
        <v>0</v>
      </c>
      <c r="N621" s="188">
        <v>0</v>
      </c>
      <c r="O621" s="188">
        <v>0</v>
      </c>
      <c r="P621" s="299">
        <f t="shared" ref="P621:AD621" si="718">SUM(P622:P623)</f>
        <v>0</v>
      </c>
      <c r="Q621" s="299">
        <f t="shared" si="718"/>
        <v>0</v>
      </c>
      <c r="R621" s="299">
        <f t="shared" si="718"/>
        <v>0</v>
      </c>
      <c r="S621" s="150">
        <f t="shared" si="689"/>
        <v>0</v>
      </c>
      <c r="T621" s="213"/>
      <c r="U621" s="299">
        <f t="shared" ref="U621:W621" si="719">SUM(U622:U623)</f>
        <v>0</v>
      </c>
      <c r="V621" s="226">
        <f t="shared" si="719"/>
        <v>0</v>
      </c>
      <c r="W621" s="299">
        <f t="shared" si="719"/>
        <v>0</v>
      </c>
      <c r="X621" s="299">
        <v>0</v>
      </c>
      <c r="Y621" s="299">
        <v>0</v>
      </c>
      <c r="Z621" s="299">
        <v>0</v>
      </c>
      <c r="AA621" s="299">
        <f t="shared" si="690"/>
        <v>0</v>
      </c>
      <c r="AB621" s="299">
        <v>0</v>
      </c>
      <c r="AC621" s="226">
        <v>0</v>
      </c>
      <c r="AD621" s="299">
        <f t="shared" si="718"/>
        <v>0</v>
      </c>
      <c r="AE621" s="299">
        <v>0</v>
      </c>
      <c r="AF621" s="169" t="s">
        <v>4680</v>
      </c>
      <c r="AG621" s="301">
        <v>0</v>
      </c>
      <c r="AH621" s="226">
        <v>0</v>
      </c>
      <c r="AI621" s="299">
        <v>0</v>
      </c>
      <c r="AJ621" s="169">
        <f t="shared" si="691"/>
        <v>0</v>
      </c>
      <c r="AK621" s="301">
        <v>0</v>
      </c>
      <c r="AL621" s="226">
        <v>0</v>
      </c>
      <c r="AM621" s="299">
        <f t="shared" ref="AM621" si="720">SUM(AM622:AM623)</f>
        <v>0</v>
      </c>
      <c r="AN621" s="153">
        <f t="shared" si="692"/>
        <v>0</v>
      </c>
      <c r="AO621" s="154">
        <f t="shared" si="693"/>
        <v>0</v>
      </c>
      <c r="AP621" s="299">
        <v>0</v>
      </c>
      <c r="AQ621" s="301">
        <v>0</v>
      </c>
      <c r="AR621" s="226">
        <f t="shared" ref="AR621:AS621" si="721">SUM(AR622:AR623)</f>
        <v>0</v>
      </c>
      <c r="AS621" s="299">
        <f t="shared" si="721"/>
        <v>0</v>
      </c>
      <c r="AT621" s="155"/>
      <c r="AU621" s="156">
        <f t="shared" si="687"/>
        <v>0</v>
      </c>
      <c r="AV621" s="156">
        <f t="shared" si="688"/>
        <v>0</v>
      </c>
      <c r="AW621" s="157"/>
      <c r="AX621" s="150">
        <v>0</v>
      </c>
      <c r="AY621" s="299">
        <f t="shared" ref="AY621:BA621" si="722">SUM(AY622:AY623)</f>
        <v>0</v>
      </c>
      <c r="AZ621" s="299">
        <f t="shared" si="722"/>
        <v>0</v>
      </c>
      <c r="BA621" s="299">
        <f t="shared" si="722"/>
        <v>0</v>
      </c>
      <c r="BB621" s="192">
        <v>5</v>
      </c>
      <c r="BC621" s="256" t="s">
        <v>632</v>
      </c>
      <c r="BD621" s="256" t="s">
        <v>632</v>
      </c>
      <c r="BE621" s="256" t="s">
        <v>779</v>
      </c>
      <c r="BF621" s="256" t="s">
        <v>630</v>
      </c>
      <c r="BG621" s="185" t="s">
        <v>126</v>
      </c>
      <c r="BH621" s="302">
        <f>SUM(BH622:BH623)</f>
        <v>0</v>
      </c>
      <c r="BI621" s="192"/>
      <c r="BJ621" s="256" t="s">
        <v>6310</v>
      </c>
      <c r="BK621" s="256" t="s">
        <v>555</v>
      </c>
      <c r="BL621" s="238" t="s">
        <v>6311</v>
      </c>
      <c r="BM621" s="302">
        <f>SUM(BM622:BM623)</f>
        <v>0</v>
      </c>
      <c r="BN621" s="160"/>
      <c r="BO621" s="161">
        <f t="shared" si="695"/>
        <v>0</v>
      </c>
      <c r="BP621" s="161"/>
    </row>
    <row r="622" spans="1:68" ht="25.5">
      <c r="A622" s="206" t="s">
        <v>555</v>
      </c>
      <c r="B622" s="195" t="s">
        <v>6312</v>
      </c>
      <c r="C622" s="196" t="s">
        <v>1264</v>
      </c>
      <c r="D622" s="146" t="s">
        <v>4692</v>
      </c>
      <c r="E622" s="196" t="s">
        <v>1264</v>
      </c>
      <c r="F622" s="150">
        <v>0</v>
      </c>
      <c r="G622" s="209">
        <v>0</v>
      </c>
      <c r="H622" s="209"/>
      <c r="I622" s="209">
        <v>0</v>
      </c>
      <c r="J622" s="150">
        <v>0</v>
      </c>
      <c r="K622" s="150">
        <v>0</v>
      </c>
      <c r="L622" s="150">
        <f t="shared" si="694"/>
        <v>0</v>
      </c>
      <c r="M622" s="150">
        <v>0</v>
      </c>
      <c r="N622" s="150"/>
      <c r="O622" s="150">
        <v>0</v>
      </c>
      <c r="P622" s="150">
        <v>0</v>
      </c>
      <c r="Q622" s="150">
        <v>0</v>
      </c>
      <c r="R622" s="150">
        <f t="shared" ref="R622:R628" si="723">P622+Q622</f>
        <v>0</v>
      </c>
      <c r="S622" s="150">
        <f t="shared" si="689"/>
        <v>0</v>
      </c>
      <c r="T622" s="150"/>
      <c r="U622" s="150">
        <v>0</v>
      </c>
      <c r="V622" s="199"/>
      <c r="W622" s="150">
        <f t="shared" ref="W622:W628" si="724">U622+V622</f>
        <v>0</v>
      </c>
      <c r="X622" s="150">
        <v>0</v>
      </c>
      <c r="Y622" s="150"/>
      <c r="Z622" s="150">
        <v>0</v>
      </c>
      <c r="AA622" s="150">
        <f t="shared" si="690"/>
        <v>0</v>
      </c>
      <c r="AB622" s="150">
        <v>0</v>
      </c>
      <c r="AC622" s="199"/>
      <c r="AD622" s="150">
        <f t="shared" ref="AD622:AD628" si="725">AB622+AC622</f>
        <v>0</v>
      </c>
      <c r="AE622" s="150">
        <v>0</v>
      </c>
      <c r="AF622" s="169" t="s">
        <v>4680</v>
      </c>
      <c r="AG622" s="201">
        <v>0</v>
      </c>
      <c r="AH622" s="199"/>
      <c r="AI622" s="150">
        <v>0</v>
      </c>
      <c r="AJ622" s="169">
        <f t="shared" si="691"/>
        <v>0</v>
      </c>
      <c r="AK622" s="201">
        <v>0</v>
      </c>
      <c r="AL622" s="199"/>
      <c r="AM622" s="150">
        <f t="shared" ref="AM622:AM628" si="726">AK622+AL622</f>
        <v>0</v>
      </c>
      <c r="AN622" s="153">
        <f t="shared" si="692"/>
        <v>0</v>
      </c>
      <c r="AO622" s="154">
        <f t="shared" si="693"/>
        <v>0</v>
      </c>
      <c r="AP622" s="150">
        <v>0</v>
      </c>
      <c r="AQ622" s="201">
        <v>0</v>
      </c>
      <c r="AR622" s="199"/>
      <c r="AS622" s="150">
        <f t="shared" ref="AS622:AS628" si="727">AQ622+AR622</f>
        <v>0</v>
      </c>
      <c r="AT622" s="155"/>
      <c r="AU622" s="156">
        <f t="shared" si="687"/>
        <v>0</v>
      </c>
      <c r="AV622" s="156">
        <f t="shared" si="688"/>
        <v>0</v>
      </c>
      <c r="AW622" s="157"/>
      <c r="AX622" s="150">
        <v>0</v>
      </c>
      <c r="AY622" s="150">
        <v>0</v>
      </c>
      <c r="AZ622" s="150"/>
      <c r="BA622" s="150">
        <f t="shared" si="686"/>
        <v>0</v>
      </c>
      <c r="BB622" s="205">
        <v>5</v>
      </c>
      <c r="BC622" s="206" t="s">
        <v>632</v>
      </c>
      <c r="BD622" s="206" t="s">
        <v>632</v>
      </c>
      <c r="BE622" s="206" t="s">
        <v>779</v>
      </c>
      <c r="BF622" s="206" t="s">
        <v>632</v>
      </c>
      <c r="BG622" s="203" t="s">
        <v>126</v>
      </c>
      <c r="BH622" s="216">
        <f>AS622</f>
        <v>0</v>
      </c>
      <c r="BI622" s="205"/>
      <c r="BJ622" s="206" t="s">
        <v>6310</v>
      </c>
      <c r="BK622" s="206" t="s">
        <v>555</v>
      </c>
      <c r="BL622" s="207" t="s">
        <v>6311</v>
      </c>
      <c r="BM622" s="208">
        <f>BH622</f>
        <v>0</v>
      </c>
      <c r="BN622" s="160"/>
      <c r="BO622" s="161">
        <f t="shared" si="695"/>
        <v>0</v>
      </c>
      <c r="BP622" s="161"/>
    </row>
    <row r="623" spans="1:68" ht="25.5">
      <c r="A623" s="206" t="s">
        <v>555</v>
      </c>
      <c r="B623" s="195" t="s">
        <v>6313</v>
      </c>
      <c r="C623" s="196" t="s">
        <v>6314</v>
      </c>
      <c r="D623" s="146" t="s">
        <v>4692</v>
      </c>
      <c r="E623" s="196" t="s">
        <v>6314</v>
      </c>
      <c r="F623" s="150">
        <v>0</v>
      </c>
      <c r="G623" s="209">
        <v>0</v>
      </c>
      <c r="H623" s="209">
        <v>0</v>
      </c>
      <c r="I623" s="209">
        <v>0</v>
      </c>
      <c r="J623" s="150">
        <v>0</v>
      </c>
      <c r="K623" s="150">
        <v>0</v>
      </c>
      <c r="L623" s="150">
        <f t="shared" si="694"/>
        <v>0</v>
      </c>
      <c r="M623" s="150">
        <v>0</v>
      </c>
      <c r="N623" s="150"/>
      <c r="O623" s="150">
        <v>0</v>
      </c>
      <c r="P623" s="150">
        <v>0</v>
      </c>
      <c r="Q623" s="150">
        <v>0</v>
      </c>
      <c r="R623" s="150">
        <f t="shared" si="723"/>
        <v>0</v>
      </c>
      <c r="S623" s="150">
        <f t="shared" si="689"/>
        <v>0</v>
      </c>
      <c r="T623" s="150"/>
      <c r="U623" s="150">
        <v>0</v>
      </c>
      <c r="V623" s="199"/>
      <c r="W623" s="150">
        <f t="shared" si="724"/>
        <v>0</v>
      </c>
      <c r="X623" s="150">
        <v>0</v>
      </c>
      <c r="Y623" s="150"/>
      <c r="Z623" s="150">
        <v>0</v>
      </c>
      <c r="AA623" s="150">
        <f t="shared" si="690"/>
        <v>0</v>
      </c>
      <c r="AB623" s="150">
        <v>0</v>
      </c>
      <c r="AC623" s="199"/>
      <c r="AD623" s="150">
        <f t="shared" si="725"/>
        <v>0</v>
      </c>
      <c r="AE623" s="150">
        <v>0</v>
      </c>
      <c r="AF623" s="169" t="s">
        <v>4680</v>
      </c>
      <c r="AG623" s="201">
        <v>0</v>
      </c>
      <c r="AH623" s="199"/>
      <c r="AI623" s="150">
        <v>0</v>
      </c>
      <c r="AJ623" s="169">
        <f t="shared" si="691"/>
        <v>0</v>
      </c>
      <c r="AK623" s="201">
        <v>0</v>
      </c>
      <c r="AL623" s="199"/>
      <c r="AM623" s="150">
        <f t="shared" si="726"/>
        <v>0</v>
      </c>
      <c r="AN623" s="153">
        <f t="shared" si="692"/>
        <v>0</v>
      </c>
      <c r="AO623" s="154">
        <f t="shared" si="693"/>
        <v>0</v>
      </c>
      <c r="AP623" s="150">
        <v>0</v>
      </c>
      <c r="AQ623" s="201">
        <v>0</v>
      </c>
      <c r="AR623" s="199"/>
      <c r="AS623" s="150">
        <f t="shared" si="727"/>
        <v>0</v>
      </c>
      <c r="AT623" s="155"/>
      <c r="AU623" s="156">
        <f t="shared" si="687"/>
        <v>0</v>
      </c>
      <c r="AV623" s="156">
        <f t="shared" si="688"/>
        <v>0</v>
      </c>
      <c r="AW623" s="157"/>
      <c r="AX623" s="150">
        <v>0</v>
      </c>
      <c r="AY623" s="150">
        <v>0</v>
      </c>
      <c r="AZ623" s="150"/>
      <c r="BA623" s="150">
        <f t="shared" si="686"/>
        <v>0</v>
      </c>
      <c r="BB623" s="205">
        <v>5</v>
      </c>
      <c r="BC623" s="206" t="s">
        <v>632</v>
      </c>
      <c r="BD623" s="206" t="s">
        <v>632</v>
      </c>
      <c r="BE623" s="206" t="s">
        <v>779</v>
      </c>
      <c r="BF623" s="206" t="s">
        <v>647</v>
      </c>
      <c r="BG623" s="203" t="s">
        <v>6314</v>
      </c>
      <c r="BH623" s="216">
        <f>AS623</f>
        <v>0</v>
      </c>
      <c r="BI623" s="205"/>
      <c r="BJ623" s="206" t="s">
        <v>6310</v>
      </c>
      <c r="BK623" s="206" t="s">
        <v>555</v>
      </c>
      <c r="BL623" s="207" t="s">
        <v>6311</v>
      </c>
      <c r="BM623" s="208">
        <f>BH623</f>
        <v>0</v>
      </c>
      <c r="BN623" s="160"/>
      <c r="BO623" s="161">
        <f t="shared" si="695"/>
        <v>0</v>
      </c>
      <c r="BP623" s="161"/>
    </row>
    <row r="624" spans="1:68">
      <c r="A624" s="256" t="s">
        <v>556</v>
      </c>
      <c r="B624" s="184"/>
      <c r="C624" s="185" t="s">
        <v>127</v>
      </c>
      <c r="D624" s="146" t="s">
        <v>4692</v>
      </c>
      <c r="E624" s="185" t="s">
        <v>127</v>
      </c>
      <c r="F624" s="188">
        <v>0</v>
      </c>
      <c r="G624" s="187">
        <v>0</v>
      </c>
      <c r="H624" s="187"/>
      <c r="I624" s="187">
        <v>0</v>
      </c>
      <c r="J624" s="188">
        <f>J625</f>
        <v>0</v>
      </c>
      <c r="K624" s="188">
        <f>K625</f>
        <v>0</v>
      </c>
      <c r="L624" s="188">
        <f t="shared" si="694"/>
        <v>0</v>
      </c>
      <c r="M624" s="188">
        <v>0</v>
      </c>
      <c r="N624" s="188">
        <v>0</v>
      </c>
      <c r="O624" s="188">
        <v>0</v>
      </c>
      <c r="P624" s="188">
        <f>P625</f>
        <v>0</v>
      </c>
      <c r="Q624" s="188">
        <f>Q625</f>
        <v>0</v>
      </c>
      <c r="R624" s="188">
        <f t="shared" si="723"/>
        <v>0</v>
      </c>
      <c r="S624" s="150">
        <f t="shared" si="689"/>
        <v>0</v>
      </c>
      <c r="T624" s="150"/>
      <c r="U624" s="188">
        <f>U625</f>
        <v>0</v>
      </c>
      <c r="V624" s="189">
        <f>V625</f>
        <v>0</v>
      </c>
      <c r="W624" s="188">
        <f t="shared" si="724"/>
        <v>0</v>
      </c>
      <c r="X624" s="188">
        <v>0</v>
      </c>
      <c r="Y624" s="188">
        <v>0</v>
      </c>
      <c r="Z624" s="188">
        <v>0</v>
      </c>
      <c r="AA624" s="188">
        <f t="shared" si="690"/>
        <v>0</v>
      </c>
      <c r="AB624" s="188">
        <v>0</v>
      </c>
      <c r="AC624" s="189">
        <v>0</v>
      </c>
      <c r="AD624" s="188">
        <f t="shared" si="725"/>
        <v>0</v>
      </c>
      <c r="AE624" s="188">
        <v>0</v>
      </c>
      <c r="AF624" s="169" t="s">
        <v>4680</v>
      </c>
      <c r="AG624" s="304">
        <v>0</v>
      </c>
      <c r="AH624" s="189">
        <v>0</v>
      </c>
      <c r="AI624" s="188">
        <v>0</v>
      </c>
      <c r="AJ624" s="169">
        <f t="shared" si="691"/>
        <v>0</v>
      </c>
      <c r="AK624" s="304">
        <v>0</v>
      </c>
      <c r="AL624" s="189">
        <v>0</v>
      </c>
      <c r="AM624" s="188">
        <f t="shared" si="726"/>
        <v>0</v>
      </c>
      <c r="AN624" s="153">
        <f t="shared" si="692"/>
        <v>0</v>
      </c>
      <c r="AO624" s="154">
        <f t="shared" si="693"/>
        <v>0</v>
      </c>
      <c r="AP624" s="188">
        <v>0</v>
      </c>
      <c r="AQ624" s="304">
        <v>0</v>
      </c>
      <c r="AR624" s="189">
        <f>AR625</f>
        <v>0</v>
      </c>
      <c r="AS624" s="188">
        <f t="shared" si="727"/>
        <v>0</v>
      </c>
      <c r="AT624" s="155"/>
      <c r="AU624" s="156">
        <f t="shared" si="687"/>
        <v>0</v>
      </c>
      <c r="AV624" s="156">
        <f t="shared" si="688"/>
        <v>0</v>
      </c>
      <c r="AW624" s="157"/>
      <c r="AX624" s="150">
        <v>0</v>
      </c>
      <c r="AY624" s="188">
        <f>AY625</f>
        <v>0</v>
      </c>
      <c r="AZ624" s="188">
        <f>AZ625</f>
        <v>0</v>
      </c>
      <c r="BA624" s="188">
        <f t="shared" si="686"/>
        <v>0</v>
      </c>
      <c r="BB624" s="192">
        <v>5</v>
      </c>
      <c r="BC624" s="256" t="s">
        <v>632</v>
      </c>
      <c r="BD624" s="256" t="s">
        <v>632</v>
      </c>
      <c r="BE624" s="192">
        <v>10</v>
      </c>
      <c r="BF624" s="256" t="s">
        <v>630</v>
      </c>
      <c r="BG624" s="185" t="s">
        <v>127</v>
      </c>
      <c r="BH624" s="302">
        <f>BH625</f>
        <v>0</v>
      </c>
      <c r="BI624" s="192"/>
      <c r="BJ624" s="256" t="s">
        <v>6315</v>
      </c>
      <c r="BK624" s="256" t="s">
        <v>556</v>
      </c>
      <c r="BL624" s="238" t="s">
        <v>6316</v>
      </c>
      <c r="BM624" s="302">
        <f>BM625</f>
        <v>0</v>
      </c>
      <c r="BN624" s="160"/>
      <c r="BO624" s="161">
        <f t="shared" si="695"/>
        <v>0</v>
      </c>
      <c r="BP624" s="161"/>
    </row>
    <row r="625" spans="1:68">
      <c r="A625" s="206" t="s">
        <v>556</v>
      </c>
      <c r="B625" s="195" t="s">
        <v>6317</v>
      </c>
      <c r="C625" s="196" t="s">
        <v>1269</v>
      </c>
      <c r="D625" s="146" t="s">
        <v>4692</v>
      </c>
      <c r="E625" s="196" t="s">
        <v>1269</v>
      </c>
      <c r="F625" s="209">
        <v>0</v>
      </c>
      <c r="G625" s="209">
        <v>0</v>
      </c>
      <c r="H625" s="209">
        <v>0</v>
      </c>
      <c r="I625" s="209">
        <v>0</v>
      </c>
      <c r="J625" s="150">
        <v>0</v>
      </c>
      <c r="K625" s="150">
        <v>0</v>
      </c>
      <c r="L625" s="150">
        <f t="shared" si="694"/>
        <v>0</v>
      </c>
      <c r="M625" s="150">
        <v>0</v>
      </c>
      <c r="N625" s="150"/>
      <c r="O625" s="209">
        <v>0</v>
      </c>
      <c r="P625" s="150">
        <v>0</v>
      </c>
      <c r="Q625" s="150">
        <v>0</v>
      </c>
      <c r="R625" s="209">
        <f t="shared" si="723"/>
        <v>0</v>
      </c>
      <c r="S625" s="150">
        <f t="shared" si="689"/>
        <v>0</v>
      </c>
      <c r="T625" s="150"/>
      <c r="U625" s="150">
        <v>0</v>
      </c>
      <c r="V625" s="199"/>
      <c r="W625" s="150">
        <f t="shared" si="724"/>
        <v>0</v>
      </c>
      <c r="X625" s="150">
        <v>0</v>
      </c>
      <c r="Y625" s="150"/>
      <c r="Z625" s="150">
        <v>0</v>
      </c>
      <c r="AA625" s="150">
        <f t="shared" si="690"/>
        <v>0</v>
      </c>
      <c r="AB625" s="150">
        <v>0</v>
      </c>
      <c r="AC625" s="199"/>
      <c r="AD625" s="150">
        <f t="shared" si="725"/>
        <v>0</v>
      </c>
      <c r="AE625" s="150">
        <v>0</v>
      </c>
      <c r="AF625" s="169" t="s">
        <v>4680</v>
      </c>
      <c r="AG625" s="201">
        <v>0</v>
      </c>
      <c r="AH625" s="199"/>
      <c r="AI625" s="150">
        <v>0</v>
      </c>
      <c r="AJ625" s="169">
        <f t="shared" si="691"/>
        <v>0</v>
      </c>
      <c r="AK625" s="201">
        <v>0</v>
      </c>
      <c r="AL625" s="199"/>
      <c r="AM625" s="150">
        <f t="shared" si="726"/>
        <v>0</v>
      </c>
      <c r="AN625" s="153">
        <f t="shared" si="692"/>
        <v>0</v>
      </c>
      <c r="AO625" s="154">
        <f t="shared" si="693"/>
        <v>0</v>
      </c>
      <c r="AP625" s="150">
        <v>0</v>
      </c>
      <c r="AQ625" s="201">
        <v>0</v>
      </c>
      <c r="AR625" s="199"/>
      <c r="AS625" s="150">
        <f t="shared" si="727"/>
        <v>0</v>
      </c>
      <c r="AT625" s="155"/>
      <c r="AU625" s="156">
        <f t="shared" si="687"/>
        <v>0</v>
      </c>
      <c r="AV625" s="156">
        <f t="shared" si="688"/>
        <v>0</v>
      </c>
      <c r="AW625" s="157"/>
      <c r="AX625" s="150">
        <v>0</v>
      </c>
      <c r="AY625" s="150">
        <v>0</v>
      </c>
      <c r="AZ625" s="150"/>
      <c r="BA625" s="209">
        <f t="shared" si="686"/>
        <v>0</v>
      </c>
      <c r="BB625" s="205">
        <v>5</v>
      </c>
      <c r="BC625" s="206" t="s">
        <v>632</v>
      </c>
      <c r="BD625" s="206" t="s">
        <v>632</v>
      </c>
      <c r="BE625" s="205">
        <v>10</v>
      </c>
      <c r="BF625" s="206" t="s">
        <v>632</v>
      </c>
      <c r="BG625" s="203" t="s">
        <v>127</v>
      </c>
      <c r="BH625" s="216">
        <f>AS625</f>
        <v>0</v>
      </c>
      <c r="BI625" s="205"/>
      <c r="BJ625" s="206" t="s">
        <v>6315</v>
      </c>
      <c r="BK625" s="206" t="s">
        <v>556</v>
      </c>
      <c r="BL625" s="207" t="s">
        <v>6316</v>
      </c>
      <c r="BM625" s="208">
        <f>BH625</f>
        <v>0</v>
      </c>
      <c r="BN625" s="160"/>
      <c r="BO625" s="161">
        <f t="shared" si="695"/>
        <v>0</v>
      </c>
      <c r="BP625" s="161"/>
    </row>
    <row r="626" spans="1:68" ht="25.5">
      <c r="A626" s="256" t="s">
        <v>557</v>
      </c>
      <c r="B626" s="184"/>
      <c r="C626" s="185" t="s">
        <v>128</v>
      </c>
      <c r="D626" s="146" t="s">
        <v>4692</v>
      </c>
      <c r="E626" s="185" t="s">
        <v>128</v>
      </c>
      <c r="F626" s="188">
        <v>0</v>
      </c>
      <c r="G626" s="187">
        <v>0</v>
      </c>
      <c r="H626" s="187"/>
      <c r="I626" s="187">
        <v>0</v>
      </c>
      <c r="J626" s="188">
        <f>SUM(J627:J628)</f>
        <v>0</v>
      </c>
      <c r="K626" s="188">
        <f>SUM(K627:K628)</f>
        <v>0</v>
      </c>
      <c r="L626" s="188">
        <f t="shared" si="694"/>
        <v>0</v>
      </c>
      <c r="M626" s="188">
        <v>0</v>
      </c>
      <c r="N626" s="188">
        <v>0</v>
      </c>
      <c r="O626" s="188">
        <v>0</v>
      </c>
      <c r="P626" s="188">
        <f>SUM(P627:P628)</f>
        <v>0</v>
      </c>
      <c r="Q626" s="188">
        <f>SUM(Q627:Q628)</f>
        <v>0</v>
      </c>
      <c r="R626" s="188">
        <f t="shared" si="723"/>
        <v>0</v>
      </c>
      <c r="S626" s="150">
        <f t="shared" si="689"/>
        <v>0</v>
      </c>
      <c r="T626" s="150"/>
      <c r="U626" s="188">
        <f>SUM(U627:U628)</f>
        <v>0</v>
      </c>
      <c r="V626" s="189">
        <f>SUM(V627:V628)</f>
        <v>0</v>
      </c>
      <c r="W626" s="188">
        <f t="shared" si="724"/>
        <v>0</v>
      </c>
      <c r="X626" s="188">
        <v>0</v>
      </c>
      <c r="Y626" s="188">
        <v>0</v>
      </c>
      <c r="Z626" s="188">
        <v>0</v>
      </c>
      <c r="AA626" s="188">
        <f t="shared" si="690"/>
        <v>0</v>
      </c>
      <c r="AB626" s="188">
        <v>0</v>
      </c>
      <c r="AC626" s="189">
        <v>0</v>
      </c>
      <c r="AD626" s="188">
        <f t="shared" si="725"/>
        <v>0</v>
      </c>
      <c r="AE626" s="188">
        <v>0</v>
      </c>
      <c r="AF626" s="169" t="s">
        <v>4680</v>
      </c>
      <c r="AG626" s="304">
        <v>0</v>
      </c>
      <c r="AH626" s="189">
        <v>0</v>
      </c>
      <c r="AI626" s="188">
        <v>0</v>
      </c>
      <c r="AJ626" s="169">
        <f t="shared" si="691"/>
        <v>0</v>
      </c>
      <c r="AK626" s="304">
        <v>0</v>
      </c>
      <c r="AL626" s="189">
        <v>0</v>
      </c>
      <c r="AM626" s="188">
        <f t="shared" si="726"/>
        <v>0</v>
      </c>
      <c r="AN626" s="153">
        <f t="shared" si="692"/>
        <v>0</v>
      </c>
      <c r="AO626" s="154">
        <f t="shared" si="693"/>
        <v>0</v>
      </c>
      <c r="AP626" s="188">
        <v>0</v>
      </c>
      <c r="AQ626" s="304">
        <v>0</v>
      </c>
      <c r="AR626" s="189">
        <f>SUM(AR627:AR628)</f>
        <v>0</v>
      </c>
      <c r="AS626" s="188">
        <f t="shared" si="727"/>
        <v>0</v>
      </c>
      <c r="AT626" s="155"/>
      <c r="AU626" s="156">
        <f t="shared" si="687"/>
        <v>0</v>
      </c>
      <c r="AV626" s="156">
        <f t="shared" si="688"/>
        <v>0</v>
      </c>
      <c r="AW626" s="157"/>
      <c r="AX626" s="150">
        <v>0</v>
      </c>
      <c r="AY626" s="188">
        <f>SUM(AY627:AY628)</f>
        <v>0</v>
      </c>
      <c r="AZ626" s="188">
        <f>SUM(AZ627:AZ628)</f>
        <v>0</v>
      </c>
      <c r="BA626" s="188">
        <f t="shared" si="686"/>
        <v>0</v>
      </c>
      <c r="BB626" s="192">
        <v>5</v>
      </c>
      <c r="BC626" s="256" t="s">
        <v>632</v>
      </c>
      <c r="BD626" s="256" t="s">
        <v>632</v>
      </c>
      <c r="BE626" s="192">
        <v>11</v>
      </c>
      <c r="BF626" s="256" t="s">
        <v>630</v>
      </c>
      <c r="BG626" s="185" t="s">
        <v>128</v>
      </c>
      <c r="BH626" s="302">
        <f>SUM(BH627:BH628)</f>
        <v>0</v>
      </c>
      <c r="BI626" s="192"/>
      <c r="BJ626" s="256" t="s">
        <v>6318</v>
      </c>
      <c r="BK626" s="256" t="s">
        <v>557</v>
      </c>
      <c r="BL626" s="238" t="s">
        <v>6319</v>
      </c>
      <c r="BM626" s="302">
        <f>SUM(BM627:BM628)</f>
        <v>0</v>
      </c>
      <c r="BN626" s="160"/>
      <c r="BO626" s="161">
        <f t="shared" si="695"/>
        <v>0</v>
      </c>
      <c r="BP626" s="161"/>
    </row>
    <row r="627" spans="1:68" ht="25.5">
      <c r="A627" s="206" t="s">
        <v>557</v>
      </c>
      <c r="B627" s="195" t="s">
        <v>6320</v>
      </c>
      <c r="C627" s="196" t="s">
        <v>6321</v>
      </c>
      <c r="D627" s="146" t="s">
        <v>4692</v>
      </c>
      <c r="E627" s="196" t="s">
        <v>6321</v>
      </c>
      <c r="F627" s="150">
        <v>0</v>
      </c>
      <c r="G627" s="209">
        <v>0</v>
      </c>
      <c r="H627" s="209"/>
      <c r="I627" s="209">
        <v>0</v>
      </c>
      <c r="J627" s="150">
        <v>0</v>
      </c>
      <c r="K627" s="150">
        <v>0</v>
      </c>
      <c r="L627" s="150">
        <f t="shared" si="694"/>
        <v>0</v>
      </c>
      <c r="M627" s="150">
        <v>0</v>
      </c>
      <c r="N627" s="150"/>
      <c r="O627" s="150">
        <v>0</v>
      </c>
      <c r="P627" s="150">
        <v>0</v>
      </c>
      <c r="Q627" s="150">
        <v>0</v>
      </c>
      <c r="R627" s="150">
        <f t="shared" si="723"/>
        <v>0</v>
      </c>
      <c r="S627" s="150">
        <f t="shared" si="689"/>
        <v>0</v>
      </c>
      <c r="T627" s="150"/>
      <c r="U627" s="150">
        <v>0</v>
      </c>
      <c r="V627" s="199"/>
      <c r="W627" s="150">
        <f t="shared" si="724"/>
        <v>0</v>
      </c>
      <c r="X627" s="150">
        <v>0</v>
      </c>
      <c r="Y627" s="150"/>
      <c r="Z627" s="150">
        <v>0</v>
      </c>
      <c r="AA627" s="150">
        <f t="shared" si="690"/>
        <v>0</v>
      </c>
      <c r="AB627" s="150">
        <v>0</v>
      </c>
      <c r="AC627" s="199"/>
      <c r="AD627" s="150">
        <f t="shared" si="725"/>
        <v>0</v>
      </c>
      <c r="AE627" s="150">
        <v>0</v>
      </c>
      <c r="AF627" s="169" t="s">
        <v>4680</v>
      </c>
      <c r="AG627" s="201">
        <v>0</v>
      </c>
      <c r="AH627" s="199"/>
      <c r="AI627" s="150">
        <v>0</v>
      </c>
      <c r="AJ627" s="169">
        <f t="shared" si="691"/>
        <v>0</v>
      </c>
      <c r="AK627" s="201">
        <v>0</v>
      </c>
      <c r="AL627" s="199"/>
      <c r="AM627" s="150">
        <f t="shared" si="726"/>
        <v>0</v>
      </c>
      <c r="AN627" s="153">
        <f t="shared" si="692"/>
        <v>0</v>
      </c>
      <c r="AO627" s="154">
        <f t="shared" si="693"/>
        <v>0</v>
      </c>
      <c r="AP627" s="150">
        <v>0</v>
      </c>
      <c r="AQ627" s="201">
        <v>0</v>
      </c>
      <c r="AR627" s="199"/>
      <c r="AS627" s="150">
        <f t="shared" si="727"/>
        <v>0</v>
      </c>
      <c r="AT627" s="155"/>
      <c r="AU627" s="156">
        <f t="shared" si="687"/>
        <v>0</v>
      </c>
      <c r="AV627" s="156">
        <f t="shared" si="688"/>
        <v>0</v>
      </c>
      <c r="AW627" s="157"/>
      <c r="AX627" s="150">
        <v>0</v>
      </c>
      <c r="AY627" s="150">
        <v>0</v>
      </c>
      <c r="AZ627" s="150"/>
      <c r="BA627" s="150">
        <f t="shared" si="686"/>
        <v>0</v>
      </c>
      <c r="BB627" s="202">
        <v>5</v>
      </c>
      <c r="BC627" s="202" t="s">
        <v>632</v>
      </c>
      <c r="BD627" s="202" t="s">
        <v>632</v>
      </c>
      <c r="BE627" s="202">
        <v>11</v>
      </c>
      <c r="BF627" s="202" t="s">
        <v>632</v>
      </c>
      <c r="BG627" s="203" t="s">
        <v>6322</v>
      </c>
      <c r="BH627" s="216">
        <f>AS627</f>
        <v>0</v>
      </c>
      <c r="BI627" s="205"/>
      <c r="BJ627" s="206" t="s">
        <v>6318</v>
      </c>
      <c r="BK627" s="206" t="s">
        <v>557</v>
      </c>
      <c r="BL627" s="207" t="s">
        <v>6323</v>
      </c>
      <c r="BM627" s="208">
        <f>BH627</f>
        <v>0</v>
      </c>
      <c r="BN627" s="160"/>
      <c r="BO627" s="161">
        <f t="shared" si="695"/>
        <v>0</v>
      </c>
      <c r="BP627" s="161"/>
    </row>
    <row r="628" spans="1:68" ht="25.5">
      <c r="A628" s="206" t="s">
        <v>557</v>
      </c>
      <c r="B628" s="195" t="s">
        <v>6324</v>
      </c>
      <c r="C628" s="196" t="s">
        <v>6325</v>
      </c>
      <c r="D628" s="146" t="s">
        <v>4692</v>
      </c>
      <c r="E628" s="196" t="s">
        <v>6325</v>
      </c>
      <c r="F628" s="150">
        <v>0</v>
      </c>
      <c r="G628" s="209">
        <v>1159243.3199999998</v>
      </c>
      <c r="H628" s="209">
        <v>10668.15140000009</v>
      </c>
      <c r="I628" s="209">
        <v>1169911.4714000002</v>
      </c>
      <c r="J628" s="150">
        <v>0</v>
      </c>
      <c r="K628" s="150">
        <v>0</v>
      </c>
      <c r="L628" s="150">
        <f t="shared" si="694"/>
        <v>0</v>
      </c>
      <c r="M628" s="150">
        <v>0</v>
      </c>
      <c r="N628" s="150"/>
      <c r="O628" s="150">
        <v>0</v>
      </c>
      <c r="P628" s="150">
        <v>0</v>
      </c>
      <c r="Q628" s="150">
        <v>0</v>
      </c>
      <c r="R628" s="150">
        <f t="shared" si="723"/>
        <v>0</v>
      </c>
      <c r="S628" s="150">
        <f t="shared" si="689"/>
        <v>0</v>
      </c>
      <c r="T628" s="150"/>
      <c r="U628" s="150">
        <v>0</v>
      </c>
      <c r="V628" s="199"/>
      <c r="W628" s="150">
        <f t="shared" si="724"/>
        <v>0</v>
      </c>
      <c r="X628" s="150">
        <v>0</v>
      </c>
      <c r="Y628" s="150"/>
      <c r="Z628" s="150">
        <v>0</v>
      </c>
      <c r="AA628" s="150">
        <f t="shared" si="690"/>
        <v>0</v>
      </c>
      <c r="AB628" s="150">
        <v>0</v>
      </c>
      <c r="AC628" s="199"/>
      <c r="AD628" s="150">
        <f t="shared" si="725"/>
        <v>0</v>
      </c>
      <c r="AE628" s="150">
        <v>0</v>
      </c>
      <c r="AF628" s="169" t="s">
        <v>4680</v>
      </c>
      <c r="AG628" s="201">
        <v>0</v>
      </c>
      <c r="AH628" s="199"/>
      <c r="AI628" s="150">
        <v>0</v>
      </c>
      <c r="AJ628" s="169">
        <f t="shared" si="691"/>
        <v>0</v>
      </c>
      <c r="AK628" s="201">
        <v>0</v>
      </c>
      <c r="AL628" s="199"/>
      <c r="AM628" s="150">
        <f t="shared" si="726"/>
        <v>0</v>
      </c>
      <c r="AN628" s="153">
        <f t="shared" si="692"/>
        <v>0</v>
      </c>
      <c r="AO628" s="154">
        <f t="shared" si="693"/>
        <v>0</v>
      </c>
      <c r="AP628" s="150">
        <v>0</v>
      </c>
      <c r="AQ628" s="201">
        <v>0</v>
      </c>
      <c r="AR628" s="199"/>
      <c r="AS628" s="150">
        <f t="shared" si="727"/>
        <v>0</v>
      </c>
      <c r="AT628" s="155"/>
      <c r="AU628" s="156">
        <f t="shared" si="687"/>
        <v>0</v>
      </c>
      <c r="AV628" s="156">
        <f t="shared" si="688"/>
        <v>0</v>
      </c>
      <c r="AW628" s="157"/>
      <c r="AX628" s="150">
        <v>0</v>
      </c>
      <c r="AY628" s="150">
        <v>0</v>
      </c>
      <c r="AZ628" s="150"/>
      <c r="BA628" s="150">
        <f t="shared" si="686"/>
        <v>0</v>
      </c>
      <c r="BB628" s="202">
        <v>5</v>
      </c>
      <c r="BC628" s="202" t="s">
        <v>632</v>
      </c>
      <c r="BD628" s="202" t="s">
        <v>632</v>
      </c>
      <c r="BE628" s="202">
        <v>11</v>
      </c>
      <c r="BF628" s="194" t="s">
        <v>647</v>
      </c>
      <c r="BG628" s="203" t="s">
        <v>6326</v>
      </c>
      <c r="BH628" s="216">
        <f>AS628</f>
        <v>0</v>
      </c>
      <c r="BI628" s="205"/>
      <c r="BJ628" s="206" t="s">
        <v>6318</v>
      </c>
      <c r="BK628" s="206" t="s">
        <v>557</v>
      </c>
      <c r="BL628" s="207" t="s">
        <v>6323</v>
      </c>
      <c r="BM628" s="208">
        <f>BH628</f>
        <v>0</v>
      </c>
      <c r="BN628" s="160"/>
      <c r="BO628" s="161">
        <f t="shared" si="695"/>
        <v>0</v>
      </c>
      <c r="BP628" s="161"/>
    </row>
    <row r="629" spans="1:68" ht="25.5">
      <c r="A629" s="192" t="s">
        <v>558</v>
      </c>
      <c r="B629" s="184"/>
      <c r="C629" s="185" t="s">
        <v>1283</v>
      </c>
      <c r="D629" s="146" t="s">
        <v>4692</v>
      </c>
      <c r="E629" s="185" t="s">
        <v>1283</v>
      </c>
      <c r="F629" s="188">
        <v>1159115.7</v>
      </c>
      <c r="G629" s="187">
        <v>534696.86</v>
      </c>
      <c r="H629" s="187">
        <v>8933.1826000000583</v>
      </c>
      <c r="I629" s="187">
        <v>543630.04260000004</v>
      </c>
      <c r="J629" s="188">
        <f>SUM(J630:J634)</f>
        <v>254930.52000000002</v>
      </c>
      <c r="K629" s="188">
        <f>SUM(K630:K634)</f>
        <v>42103.810800000007</v>
      </c>
      <c r="L629" s="188">
        <f t="shared" si="694"/>
        <v>297034.3308</v>
      </c>
      <c r="M629" s="188">
        <v>543657.07999999996</v>
      </c>
      <c r="N629" s="188">
        <v>95164.160800000012</v>
      </c>
      <c r="O629" s="188">
        <v>638821.24080000003</v>
      </c>
      <c r="P629" s="299">
        <f t="shared" ref="P629:AD629" si="728">SUM(P630:P634)</f>
        <v>857279.13</v>
      </c>
      <c r="Q629" s="299">
        <f t="shared" si="728"/>
        <v>0</v>
      </c>
      <c r="R629" s="299">
        <f t="shared" si="728"/>
        <v>857279.13</v>
      </c>
      <c r="S629" s="150">
        <f t="shared" si="689"/>
        <v>1143038.8399999999</v>
      </c>
      <c r="T629" s="213"/>
      <c r="U629" s="299">
        <f t="shared" ref="U629:W629" si="729">SUM(U630:U634)</f>
        <v>1089243.42</v>
      </c>
      <c r="V629" s="226">
        <f t="shared" si="729"/>
        <v>15958.393359999929</v>
      </c>
      <c r="W629" s="299">
        <f t="shared" si="729"/>
        <v>1105201.81336</v>
      </c>
      <c r="X629" s="299">
        <v>1089243.42</v>
      </c>
      <c r="Y629" s="299">
        <v>15958.393359999929</v>
      </c>
      <c r="Z629" s="299">
        <v>1105201.81336</v>
      </c>
      <c r="AA629" s="299">
        <f t="shared" si="690"/>
        <v>0</v>
      </c>
      <c r="AB629" s="299">
        <v>1089878.46</v>
      </c>
      <c r="AC629" s="226">
        <v>15323.353359999892</v>
      </c>
      <c r="AD629" s="299">
        <f t="shared" si="728"/>
        <v>1105201.81336</v>
      </c>
      <c r="AE629" s="299">
        <v>1105201.81336</v>
      </c>
      <c r="AF629" s="169" t="s">
        <v>4680</v>
      </c>
      <c r="AG629" s="301">
        <v>1089878.46</v>
      </c>
      <c r="AH629" s="226">
        <v>15323.353359999892</v>
      </c>
      <c r="AI629" s="299">
        <v>1105201.81336</v>
      </c>
      <c r="AJ629" s="169">
        <f t="shared" si="691"/>
        <v>0</v>
      </c>
      <c r="AK629" s="301">
        <v>1089878.46</v>
      </c>
      <c r="AL629" s="226">
        <v>15323.353359999892</v>
      </c>
      <c r="AM629" s="299">
        <f t="shared" ref="AM629" si="730">SUM(AM630:AM634)</f>
        <v>1105201.81336</v>
      </c>
      <c r="AN629" s="153">
        <f t="shared" si="692"/>
        <v>6.6400000359863043E-3</v>
      </c>
      <c r="AO629" s="154">
        <f t="shared" si="693"/>
        <v>6.6400000359863043E-3</v>
      </c>
      <c r="AP629" s="299">
        <v>1105201.81336</v>
      </c>
      <c r="AQ629" s="301">
        <v>1105201.82</v>
      </c>
      <c r="AR629" s="226">
        <f t="shared" ref="AR629:AS629" si="731">SUM(AR630:AR634)</f>
        <v>0</v>
      </c>
      <c r="AS629" s="299">
        <f t="shared" si="731"/>
        <v>1105201.82</v>
      </c>
      <c r="AT629" s="155"/>
      <c r="AU629" s="156">
        <f t="shared" si="687"/>
        <v>0</v>
      </c>
      <c r="AV629" s="156">
        <f t="shared" si="688"/>
        <v>0</v>
      </c>
      <c r="AW629" s="157"/>
      <c r="AX629" s="150">
        <v>1105201.81336</v>
      </c>
      <c r="AY629" s="299">
        <f t="shared" ref="AY629:BA629" si="732">SUM(AY630:AY634)</f>
        <v>777054.94</v>
      </c>
      <c r="AZ629" s="299">
        <f t="shared" si="732"/>
        <v>500804.77094000002</v>
      </c>
      <c r="BA629" s="299">
        <f t="shared" si="732"/>
        <v>1277859.7109400001</v>
      </c>
      <c r="BB629" s="192">
        <v>5</v>
      </c>
      <c r="BC629" s="256" t="s">
        <v>632</v>
      </c>
      <c r="BD629" s="256" t="s">
        <v>632</v>
      </c>
      <c r="BE629" s="192">
        <v>12</v>
      </c>
      <c r="BF629" s="256" t="s">
        <v>630</v>
      </c>
      <c r="BG629" s="185" t="s">
        <v>1283</v>
      </c>
      <c r="BH629" s="302">
        <f>SUM(BH630:BH633)</f>
        <v>1105201.82</v>
      </c>
      <c r="BI629" s="192"/>
      <c r="BJ629" s="256" t="s">
        <v>6327</v>
      </c>
      <c r="BK629" s="192" t="s">
        <v>558</v>
      </c>
      <c r="BL629" s="238" t="s">
        <v>6328</v>
      </c>
      <c r="BM629" s="302">
        <f>SUM(BM630:BM633)</f>
        <v>1105201.82</v>
      </c>
      <c r="BN629" s="160"/>
      <c r="BO629" s="161">
        <f t="shared" si="695"/>
        <v>0</v>
      </c>
      <c r="BP629" s="161"/>
    </row>
    <row r="630" spans="1:68" ht="25.5">
      <c r="A630" s="205" t="s">
        <v>558</v>
      </c>
      <c r="B630" s="195" t="s">
        <v>6329</v>
      </c>
      <c r="C630" s="196" t="s">
        <v>1282</v>
      </c>
      <c r="D630" s="146" t="s">
        <v>4692</v>
      </c>
      <c r="E630" s="196" t="s">
        <v>1282</v>
      </c>
      <c r="F630" s="150">
        <v>534696.86</v>
      </c>
      <c r="G630" s="209">
        <v>0</v>
      </c>
      <c r="H630" s="209"/>
      <c r="I630" s="209">
        <v>0</v>
      </c>
      <c r="J630" s="150">
        <v>145519.66</v>
      </c>
      <c r="K630" s="150">
        <v>37307.815000000002</v>
      </c>
      <c r="L630" s="150">
        <f t="shared" si="694"/>
        <v>182827.47500000001</v>
      </c>
      <c r="M630" s="150">
        <v>330156.48</v>
      </c>
      <c r="N630" s="150">
        <v>50586.660000000033</v>
      </c>
      <c r="O630" s="150">
        <v>380743.14</v>
      </c>
      <c r="P630" s="150">
        <v>578256.23</v>
      </c>
      <c r="Q630" s="150"/>
      <c r="R630" s="150">
        <f>P630+Q630</f>
        <v>578256.23</v>
      </c>
      <c r="S630" s="150">
        <f t="shared" si="689"/>
        <v>771008.30666666664</v>
      </c>
      <c r="T630" s="150"/>
      <c r="U630" s="150">
        <v>750889.02</v>
      </c>
      <c r="V630" s="199">
        <v>15414.905359999975</v>
      </c>
      <c r="W630" s="150">
        <f>U630+V630</f>
        <v>766303.92535999999</v>
      </c>
      <c r="X630" s="150">
        <v>750889.02</v>
      </c>
      <c r="Y630" s="150">
        <v>15414.905359999975</v>
      </c>
      <c r="Z630" s="150">
        <v>766303.92535999999</v>
      </c>
      <c r="AA630" s="150">
        <f t="shared" si="690"/>
        <v>0</v>
      </c>
      <c r="AB630" s="150">
        <v>751524.06</v>
      </c>
      <c r="AC630" s="199">
        <v>14779.865359999938</v>
      </c>
      <c r="AD630" s="150">
        <f>AB630+AC630</f>
        <v>766303.92535999999</v>
      </c>
      <c r="AE630" s="150">
        <v>766303.92535999999</v>
      </c>
      <c r="AF630" s="169" t="s">
        <v>4680</v>
      </c>
      <c r="AG630" s="201">
        <v>751524.06</v>
      </c>
      <c r="AH630" s="199">
        <v>14779.865359999938</v>
      </c>
      <c r="AI630" s="150">
        <v>766303.92535999999</v>
      </c>
      <c r="AJ630" s="169">
        <f t="shared" si="691"/>
        <v>0</v>
      </c>
      <c r="AK630" s="201">
        <v>751524.06</v>
      </c>
      <c r="AL630" s="199">
        <v>14779.865359999938</v>
      </c>
      <c r="AM630" s="150">
        <f>AK630+AL630</f>
        <v>766303.92535999999</v>
      </c>
      <c r="AN630" s="153"/>
      <c r="AO630" s="154">
        <f t="shared" si="693"/>
        <v>4.6400000574067235E-3</v>
      </c>
      <c r="AP630" s="150">
        <v>766303.92535999999</v>
      </c>
      <c r="AQ630" s="201">
        <v>766303.93</v>
      </c>
      <c r="AR630" s="199"/>
      <c r="AS630" s="150">
        <f>AQ630+AR630</f>
        <v>766303.93</v>
      </c>
      <c r="AT630" s="155" t="s">
        <v>6020</v>
      </c>
      <c r="AU630" s="156">
        <f t="shared" si="687"/>
        <v>0</v>
      </c>
      <c r="AV630" s="156">
        <f t="shared" si="688"/>
        <v>0</v>
      </c>
      <c r="AW630" s="157" t="s">
        <v>6021</v>
      </c>
      <c r="AX630" s="150">
        <v>766303.92535999999</v>
      </c>
      <c r="AY630" s="150">
        <v>510709.18</v>
      </c>
      <c r="AZ630" s="150">
        <v>351355.90724000003</v>
      </c>
      <c r="BA630" s="150">
        <f t="shared" si="686"/>
        <v>862065.08724000002</v>
      </c>
      <c r="BB630" s="205">
        <v>5</v>
      </c>
      <c r="BC630" s="206" t="s">
        <v>632</v>
      </c>
      <c r="BD630" s="206" t="s">
        <v>632</v>
      </c>
      <c r="BE630" s="205">
        <v>12</v>
      </c>
      <c r="BF630" s="206" t="s">
        <v>632</v>
      </c>
      <c r="BG630" s="203" t="s">
        <v>1283</v>
      </c>
      <c r="BH630" s="216">
        <f>SUM(AS630:AS634)</f>
        <v>1105201.82</v>
      </c>
      <c r="BI630" s="205"/>
      <c r="BJ630" s="206" t="s">
        <v>6327</v>
      </c>
      <c r="BK630" s="205" t="s">
        <v>558</v>
      </c>
      <c r="BL630" s="207" t="s">
        <v>6328</v>
      </c>
      <c r="BM630" s="208">
        <f>BH630</f>
        <v>1105201.82</v>
      </c>
      <c r="BN630" s="160"/>
      <c r="BO630" s="161"/>
      <c r="BP630" s="161"/>
    </row>
    <row r="631" spans="1:68">
      <c r="A631" s="210"/>
      <c r="B631" s="195" t="s">
        <v>6330</v>
      </c>
      <c r="C631" s="196" t="s">
        <v>6331</v>
      </c>
      <c r="D631" s="146" t="s">
        <v>4692</v>
      </c>
      <c r="E631" s="196" t="s">
        <v>6331</v>
      </c>
      <c r="F631" s="150">
        <v>0</v>
      </c>
      <c r="G631" s="209">
        <v>0</v>
      </c>
      <c r="H631" s="209"/>
      <c r="I631" s="209">
        <v>0</v>
      </c>
      <c r="J631" s="150">
        <v>0</v>
      </c>
      <c r="K631" s="150">
        <v>0</v>
      </c>
      <c r="L631" s="150">
        <f t="shared" si="694"/>
        <v>0</v>
      </c>
      <c r="M631" s="150">
        <v>0</v>
      </c>
      <c r="N631" s="150"/>
      <c r="O631" s="150">
        <v>0</v>
      </c>
      <c r="P631" s="150">
        <v>0</v>
      </c>
      <c r="Q631" s="150">
        <v>0</v>
      </c>
      <c r="R631" s="150">
        <f>P631+Q631</f>
        <v>0</v>
      </c>
      <c r="S631" s="150">
        <f t="shared" si="689"/>
        <v>0</v>
      </c>
      <c r="T631" s="150"/>
      <c r="U631" s="150">
        <v>0</v>
      </c>
      <c r="V631" s="199"/>
      <c r="W631" s="150">
        <f>U631+V631</f>
        <v>0</v>
      </c>
      <c r="X631" s="150">
        <v>0</v>
      </c>
      <c r="Y631" s="150"/>
      <c r="Z631" s="150">
        <v>0</v>
      </c>
      <c r="AA631" s="150">
        <f t="shared" si="690"/>
        <v>0</v>
      </c>
      <c r="AB631" s="150">
        <v>0</v>
      </c>
      <c r="AC631" s="199"/>
      <c r="AD631" s="150">
        <f>AB631+AC631</f>
        <v>0</v>
      </c>
      <c r="AE631" s="150">
        <v>0</v>
      </c>
      <c r="AF631" s="169" t="s">
        <v>4680</v>
      </c>
      <c r="AG631" s="201">
        <v>0</v>
      </c>
      <c r="AH631" s="199"/>
      <c r="AI631" s="150">
        <v>0</v>
      </c>
      <c r="AJ631" s="169">
        <f t="shared" si="691"/>
        <v>0</v>
      </c>
      <c r="AK631" s="201">
        <v>0</v>
      </c>
      <c r="AL631" s="199"/>
      <c r="AM631" s="150">
        <f>AK631+AL631</f>
        <v>0</v>
      </c>
      <c r="AN631" s="153">
        <f t="shared" si="692"/>
        <v>0</v>
      </c>
      <c r="AO631" s="154">
        <f t="shared" si="693"/>
        <v>0</v>
      </c>
      <c r="AP631" s="150">
        <v>0</v>
      </c>
      <c r="AQ631" s="201">
        <v>0</v>
      </c>
      <c r="AR631" s="199"/>
      <c r="AS631" s="150">
        <f>AQ631+AR631</f>
        <v>0</v>
      </c>
      <c r="AT631" s="155"/>
      <c r="AU631" s="156">
        <f t="shared" si="687"/>
        <v>0</v>
      </c>
      <c r="AV631" s="156">
        <f t="shared" si="688"/>
        <v>0</v>
      </c>
      <c r="AW631" s="157"/>
      <c r="AX631" s="150">
        <v>0</v>
      </c>
      <c r="AY631" s="150">
        <v>0</v>
      </c>
      <c r="AZ631" s="150"/>
      <c r="BA631" s="150">
        <f t="shared" ref="BA631:BA694" si="733">AY631+AZ631</f>
        <v>0</v>
      </c>
      <c r="BB631" s="210"/>
      <c r="BC631" s="210"/>
      <c r="BD631" s="210"/>
      <c r="BE631" s="210"/>
      <c r="BF631" s="210"/>
      <c r="BG631" s="210"/>
      <c r="BH631" s="217"/>
      <c r="BI631" s="210"/>
      <c r="BJ631" s="210"/>
      <c r="BK631" s="210"/>
      <c r="BL631" s="210"/>
      <c r="BM631" s="208"/>
      <c r="BN631" s="160"/>
      <c r="BO631" s="161"/>
      <c r="BP631" s="161"/>
    </row>
    <row r="632" spans="1:68" ht="25.5">
      <c r="A632" s="210"/>
      <c r="B632" s="195" t="s">
        <v>6332</v>
      </c>
      <c r="C632" s="196" t="s">
        <v>6333</v>
      </c>
      <c r="D632" s="146" t="s">
        <v>4692</v>
      </c>
      <c r="E632" s="196" t="s">
        <v>6333</v>
      </c>
      <c r="F632" s="150">
        <v>0</v>
      </c>
      <c r="G632" s="209">
        <v>624546.46</v>
      </c>
      <c r="H632" s="209">
        <v>1734.9688000000315</v>
      </c>
      <c r="I632" s="209">
        <v>626281.42879999999</v>
      </c>
      <c r="J632" s="150">
        <v>0</v>
      </c>
      <c r="K632" s="150">
        <v>0</v>
      </c>
      <c r="L632" s="150">
        <f t="shared" si="694"/>
        <v>0</v>
      </c>
      <c r="M632" s="150">
        <v>0</v>
      </c>
      <c r="N632" s="150"/>
      <c r="O632" s="150">
        <v>0</v>
      </c>
      <c r="P632" s="150">
        <v>0</v>
      </c>
      <c r="Q632" s="150">
        <v>0</v>
      </c>
      <c r="R632" s="150">
        <f>P632+Q632</f>
        <v>0</v>
      </c>
      <c r="S632" s="150">
        <f t="shared" si="689"/>
        <v>0</v>
      </c>
      <c r="T632" s="150"/>
      <c r="U632" s="150">
        <v>0</v>
      </c>
      <c r="V632" s="199"/>
      <c r="W632" s="150">
        <f>U632+V632</f>
        <v>0</v>
      </c>
      <c r="X632" s="150">
        <v>0</v>
      </c>
      <c r="Y632" s="150"/>
      <c r="Z632" s="150">
        <v>0</v>
      </c>
      <c r="AA632" s="150">
        <f t="shared" si="690"/>
        <v>0</v>
      </c>
      <c r="AB632" s="150">
        <v>0</v>
      </c>
      <c r="AC632" s="199"/>
      <c r="AD632" s="150">
        <f>AB632+AC632</f>
        <v>0</v>
      </c>
      <c r="AE632" s="150">
        <v>0</v>
      </c>
      <c r="AF632" s="169" t="s">
        <v>4680</v>
      </c>
      <c r="AG632" s="201">
        <v>0</v>
      </c>
      <c r="AH632" s="199"/>
      <c r="AI632" s="150">
        <v>0</v>
      </c>
      <c r="AJ632" s="169">
        <f t="shared" si="691"/>
        <v>0</v>
      </c>
      <c r="AK632" s="201">
        <v>0</v>
      </c>
      <c r="AL632" s="199"/>
      <c r="AM632" s="150">
        <f>AK632+AL632</f>
        <v>0</v>
      </c>
      <c r="AN632" s="153">
        <f t="shared" si="692"/>
        <v>0</v>
      </c>
      <c r="AO632" s="154">
        <f t="shared" si="693"/>
        <v>0</v>
      </c>
      <c r="AP632" s="150">
        <v>0</v>
      </c>
      <c r="AQ632" s="201">
        <v>0</v>
      </c>
      <c r="AR632" s="199"/>
      <c r="AS632" s="150">
        <f>AQ632+AR632</f>
        <v>0</v>
      </c>
      <c r="AT632" s="155"/>
      <c r="AU632" s="156">
        <f t="shared" si="687"/>
        <v>0</v>
      </c>
      <c r="AV632" s="156">
        <f t="shared" si="688"/>
        <v>0</v>
      </c>
      <c r="AW632" s="157"/>
      <c r="AX632" s="150">
        <v>0</v>
      </c>
      <c r="AY632" s="150">
        <v>0</v>
      </c>
      <c r="AZ632" s="150"/>
      <c r="BA632" s="150">
        <f t="shared" si="733"/>
        <v>0</v>
      </c>
      <c r="BB632" s="210"/>
      <c r="BC632" s="210"/>
      <c r="BD632" s="210"/>
      <c r="BE632" s="210"/>
      <c r="BF632" s="210"/>
      <c r="BG632" s="210"/>
      <c r="BH632" s="217"/>
      <c r="BI632" s="210"/>
      <c r="BJ632" s="210"/>
      <c r="BK632" s="210"/>
      <c r="BL632" s="210"/>
      <c r="BM632" s="208"/>
      <c r="BN632" s="160"/>
      <c r="BO632" s="161"/>
      <c r="BP632" s="161"/>
    </row>
    <row r="633" spans="1:68" ht="25.5">
      <c r="A633" s="210"/>
      <c r="B633" s="195" t="s">
        <v>6334</v>
      </c>
      <c r="C633" s="196" t="s">
        <v>6335</v>
      </c>
      <c r="D633" s="146" t="s">
        <v>4692</v>
      </c>
      <c r="E633" s="196" t="s">
        <v>6335</v>
      </c>
      <c r="F633" s="150">
        <v>624418.84</v>
      </c>
      <c r="G633" s="209">
        <v>0</v>
      </c>
      <c r="H633" s="209"/>
      <c r="I633" s="209">
        <v>0</v>
      </c>
      <c r="J633" s="150">
        <v>109410.86</v>
      </c>
      <c r="K633" s="150">
        <v>4795.9958000000042</v>
      </c>
      <c r="L633" s="150">
        <f t="shared" si="694"/>
        <v>114206.8558</v>
      </c>
      <c r="M633" s="150">
        <v>213500.6</v>
      </c>
      <c r="N633" s="150">
        <v>44577.50079999998</v>
      </c>
      <c r="O633" s="150">
        <v>258078.10079999999</v>
      </c>
      <c r="P633" s="150">
        <v>279022.90000000002</v>
      </c>
      <c r="Q633" s="150"/>
      <c r="R633" s="150">
        <f>P633+Q633</f>
        <v>279022.90000000002</v>
      </c>
      <c r="S633" s="150">
        <f t="shared" si="689"/>
        <v>372030.53333333338</v>
      </c>
      <c r="T633" s="150"/>
      <c r="U633" s="150">
        <v>338354.4</v>
      </c>
      <c r="V633" s="199">
        <v>543.4879999999539</v>
      </c>
      <c r="W633" s="150">
        <f>U633+V633</f>
        <v>338897.88799999998</v>
      </c>
      <c r="X633" s="150">
        <v>338354.4</v>
      </c>
      <c r="Y633" s="150">
        <v>543.4879999999539</v>
      </c>
      <c r="Z633" s="150">
        <v>338897.88799999998</v>
      </c>
      <c r="AA633" s="150">
        <f t="shared" si="690"/>
        <v>0</v>
      </c>
      <c r="AB633" s="150">
        <v>338354.4</v>
      </c>
      <c r="AC633" s="199">
        <v>543.4879999999539</v>
      </c>
      <c r="AD633" s="150">
        <f>AB633+AC633</f>
        <v>338897.88799999998</v>
      </c>
      <c r="AE633" s="150">
        <v>338897.88799999998</v>
      </c>
      <c r="AF633" s="169" t="s">
        <v>4680</v>
      </c>
      <c r="AG633" s="201">
        <v>338354.4</v>
      </c>
      <c r="AH633" s="199">
        <v>543.4879999999539</v>
      </c>
      <c r="AI633" s="150">
        <v>338897.88799999998</v>
      </c>
      <c r="AJ633" s="169">
        <f t="shared" si="691"/>
        <v>0</v>
      </c>
      <c r="AK633" s="201">
        <v>338354.4</v>
      </c>
      <c r="AL633" s="199">
        <v>543.4879999999539</v>
      </c>
      <c r="AM633" s="150">
        <f>AK633+AL633</f>
        <v>338897.88799999998</v>
      </c>
      <c r="AN633" s="153"/>
      <c r="AO633" s="154">
        <f t="shared" si="693"/>
        <v>2.0000000367872417E-3</v>
      </c>
      <c r="AP633" s="150">
        <v>338897.88799999998</v>
      </c>
      <c r="AQ633" s="201">
        <v>338897.89</v>
      </c>
      <c r="AR633" s="199"/>
      <c r="AS633" s="150">
        <f>AQ633+AR633</f>
        <v>338897.89</v>
      </c>
      <c r="AT633" s="155" t="s">
        <v>6020</v>
      </c>
      <c r="AU633" s="156">
        <f t="shared" si="687"/>
        <v>0</v>
      </c>
      <c r="AV633" s="156">
        <f t="shared" si="688"/>
        <v>0</v>
      </c>
      <c r="AW633" s="157" t="s">
        <v>6021</v>
      </c>
      <c r="AX633" s="150">
        <v>338897.88799999998</v>
      </c>
      <c r="AY633" s="150">
        <v>266345.76</v>
      </c>
      <c r="AZ633" s="150">
        <v>149448.86369999999</v>
      </c>
      <c r="BA633" s="150">
        <f t="shared" si="733"/>
        <v>415794.6237</v>
      </c>
      <c r="BB633" s="210"/>
      <c r="BC633" s="210"/>
      <c r="BD633" s="210"/>
      <c r="BE633" s="210"/>
      <c r="BF633" s="210"/>
      <c r="BG633" s="210"/>
      <c r="BH633" s="217"/>
      <c r="BI633" s="210"/>
      <c r="BJ633" s="210"/>
      <c r="BK633" s="210"/>
      <c r="BL633" s="210"/>
      <c r="BM633" s="208"/>
      <c r="BN633" s="160"/>
      <c r="BO633" s="161"/>
      <c r="BP633" s="161"/>
    </row>
    <row r="634" spans="1:68" ht="25.5">
      <c r="A634" s="210"/>
      <c r="B634" s="195" t="s">
        <v>6336</v>
      </c>
      <c r="C634" s="196" t="s">
        <v>6337</v>
      </c>
      <c r="D634" s="146" t="s">
        <v>4692</v>
      </c>
      <c r="E634" s="196" t="s">
        <v>6337</v>
      </c>
      <c r="F634" s="150">
        <v>0</v>
      </c>
      <c r="G634" s="209">
        <v>0</v>
      </c>
      <c r="H634" s="209">
        <v>0</v>
      </c>
      <c r="I634" s="209">
        <v>0</v>
      </c>
      <c r="J634" s="150">
        <v>0</v>
      </c>
      <c r="K634" s="150">
        <v>0</v>
      </c>
      <c r="L634" s="150">
        <f t="shared" si="694"/>
        <v>0</v>
      </c>
      <c r="M634" s="150">
        <v>0</v>
      </c>
      <c r="N634" s="150"/>
      <c r="O634" s="150">
        <v>0</v>
      </c>
      <c r="P634" s="150">
        <v>0</v>
      </c>
      <c r="Q634" s="150">
        <v>0</v>
      </c>
      <c r="R634" s="150">
        <f>P634+Q634</f>
        <v>0</v>
      </c>
      <c r="S634" s="150">
        <f t="shared" si="689"/>
        <v>0</v>
      </c>
      <c r="T634" s="150"/>
      <c r="U634" s="150">
        <v>0</v>
      </c>
      <c r="V634" s="199"/>
      <c r="W634" s="150">
        <f>U634+V634</f>
        <v>0</v>
      </c>
      <c r="X634" s="150">
        <v>0</v>
      </c>
      <c r="Y634" s="150"/>
      <c r="Z634" s="150">
        <v>0</v>
      </c>
      <c r="AA634" s="150">
        <f t="shared" si="690"/>
        <v>0</v>
      </c>
      <c r="AB634" s="150">
        <v>0</v>
      </c>
      <c r="AC634" s="199"/>
      <c r="AD634" s="150">
        <f>AB634+AC634</f>
        <v>0</v>
      </c>
      <c r="AE634" s="150">
        <v>0</v>
      </c>
      <c r="AF634" s="169" t="s">
        <v>4680</v>
      </c>
      <c r="AG634" s="201">
        <v>0</v>
      </c>
      <c r="AH634" s="199"/>
      <c r="AI634" s="150">
        <v>0</v>
      </c>
      <c r="AJ634" s="169">
        <f t="shared" si="691"/>
        <v>0</v>
      </c>
      <c r="AK634" s="201">
        <v>0</v>
      </c>
      <c r="AL634" s="199"/>
      <c r="AM634" s="150">
        <f>AK634+AL634</f>
        <v>0</v>
      </c>
      <c r="AN634" s="153">
        <f t="shared" si="692"/>
        <v>0</v>
      </c>
      <c r="AO634" s="154">
        <f t="shared" si="693"/>
        <v>0</v>
      </c>
      <c r="AP634" s="150">
        <v>0</v>
      </c>
      <c r="AQ634" s="201">
        <v>0</v>
      </c>
      <c r="AR634" s="199"/>
      <c r="AS634" s="150">
        <f>AQ634+AR634</f>
        <v>0</v>
      </c>
      <c r="AT634" s="155"/>
      <c r="AU634" s="156">
        <f t="shared" si="687"/>
        <v>0</v>
      </c>
      <c r="AV634" s="156">
        <f t="shared" si="688"/>
        <v>0</v>
      </c>
      <c r="AW634" s="157"/>
      <c r="AX634" s="150">
        <v>0</v>
      </c>
      <c r="AY634" s="150">
        <v>0</v>
      </c>
      <c r="AZ634" s="150"/>
      <c r="BA634" s="150">
        <f t="shared" si="733"/>
        <v>0</v>
      </c>
      <c r="BB634" s="210"/>
      <c r="BC634" s="210"/>
      <c r="BD634" s="210"/>
      <c r="BE634" s="210"/>
      <c r="BF634" s="210"/>
      <c r="BG634" s="210"/>
      <c r="BH634" s="217"/>
      <c r="BI634" s="210"/>
      <c r="BJ634" s="210"/>
      <c r="BK634" s="210"/>
      <c r="BL634" s="210"/>
      <c r="BM634" s="208"/>
      <c r="BN634" s="160"/>
      <c r="BO634" s="161">
        <f t="shared" si="695"/>
        <v>0</v>
      </c>
      <c r="BP634" s="161"/>
    </row>
    <row r="635" spans="1:68" ht="38.25">
      <c r="A635" s="192" t="s">
        <v>6338</v>
      </c>
      <c r="B635" s="184"/>
      <c r="C635" s="185" t="s">
        <v>6339</v>
      </c>
      <c r="D635" s="146" t="s">
        <v>4692</v>
      </c>
      <c r="E635" s="185" t="s">
        <v>6339</v>
      </c>
      <c r="F635" s="188">
        <v>348699.37</v>
      </c>
      <c r="G635" s="187">
        <v>0</v>
      </c>
      <c r="H635" s="187"/>
      <c r="I635" s="187">
        <v>0</v>
      </c>
      <c r="J635" s="188">
        <f>SUM(J636:J642)</f>
        <v>0</v>
      </c>
      <c r="K635" s="188">
        <f>SUM(K636:K642)</f>
        <v>0</v>
      </c>
      <c r="L635" s="188">
        <f t="shared" si="694"/>
        <v>0</v>
      </c>
      <c r="M635" s="188">
        <v>31336</v>
      </c>
      <c r="N635" s="188">
        <v>143013.685</v>
      </c>
      <c r="O635" s="188">
        <v>174349.685</v>
      </c>
      <c r="P635" s="299">
        <f t="shared" ref="P635:AD635" si="734">SUM(P636:P642)</f>
        <v>82323.679999999993</v>
      </c>
      <c r="Q635" s="299">
        <f t="shared" si="734"/>
        <v>0</v>
      </c>
      <c r="R635" s="299">
        <f t="shared" si="734"/>
        <v>82323.679999999993</v>
      </c>
      <c r="S635" s="150">
        <f t="shared" si="689"/>
        <v>109764.90666666666</v>
      </c>
      <c r="T635" s="213"/>
      <c r="U635" s="299">
        <f t="shared" ref="U635:W635" si="735">SUM(U636:U642)</f>
        <v>141367.95000000001</v>
      </c>
      <c r="V635" s="226">
        <f t="shared" si="735"/>
        <v>33004.629999999997</v>
      </c>
      <c r="W635" s="299">
        <f t="shared" si="735"/>
        <v>174372.58000000002</v>
      </c>
      <c r="X635" s="299">
        <v>141367.95000000001</v>
      </c>
      <c r="Y635" s="299">
        <v>33004.629999999997</v>
      </c>
      <c r="Z635" s="299">
        <v>174372.58000000002</v>
      </c>
      <c r="AA635" s="299">
        <f t="shared" si="690"/>
        <v>6223.9999999999709</v>
      </c>
      <c r="AB635" s="299">
        <v>180596.58</v>
      </c>
      <c r="AC635" s="226">
        <v>0</v>
      </c>
      <c r="AD635" s="299">
        <f t="shared" si="734"/>
        <v>180596.58</v>
      </c>
      <c r="AE635" s="299">
        <v>177857.31</v>
      </c>
      <c r="AF635" s="169" t="s">
        <v>4680</v>
      </c>
      <c r="AG635" s="301">
        <v>177857.31</v>
      </c>
      <c r="AH635" s="226">
        <v>0</v>
      </c>
      <c r="AI635" s="299">
        <v>177857.31</v>
      </c>
      <c r="AJ635" s="169">
        <f t="shared" si="691"/>
        <v>0</v>
      </c>
      <c r="AK635" s="301">
        <v>177857.31</v>
      </c>
      <c r="AL635" s="226">
        <v>0</v>
      </c>
      <c r="AM635" s="299">
        <f t="shared" ref="AM635" si="736">SUM(AM636:AM642)</f>
        <v>177857.31</v>
      </c>
      <c r="AN635" s="153">
        <f t="shared" si="692"/>
        <v>0</v>
      </c>
      <c r="AO635" s="154">
        <f t="shared" si="693"/>
        <v>0</v>
      </c>
      <c r="AP635" s="299">
        <v>177857.31</v>
      </c>
      <c r="AQ635" s="301">
        <v>177857.31</v>
      </c>
      <c r="AR635" s="226">
        <f t="shared" ref="AR635:AS635" si="737">SUM(AR636:AR642)</f>
        <v>0</v>
      </c>
      <c r="AS635" s="299">
        <f t="shared" si="737"/>
        <v>177857.31</v>
      </c>
      <c r="AT635" s="155"/>
      <c r="AU635" s="156">
        <f t="shared" si="687"/>
        <v>-2739.2699999999895</v>
      </c>
      <c r="AV635" s="156">
        <f t="shared" si="688"/>
        <v>6223.9999999999709</v>
      </c>
      <c r="AW635" s="157"/>
      <c r="AX635" s="150">
        <v>174372.58000000002</v>
      </c>
      <c r="AY635" s="299">
        <f t="shared" ref="AY635:BA635" si="738">SUM(AY636:AY642)</f>
        <v>37747</v>
      </c>
      <c r="AZ635" s="299">
        <f t="shared" si="738"/>
        <v>10585.25</v>
      </c>
      <c r="BA635" s="299">
        <f t="shared" si="738"/>
        <v>48332.25</v>
      </c>
      <c r="BB635" s="192">
        <v>5</v>
      </c>
      <c r="BC635" s="256" t="s">
        <v>632</v>
      </c>
      <c r="BD635" s="256" t="s">
        <v>632</v>
      </c>
      <c r="BE635" s="192">
        <v>13</v>
      </c>
      <c r="BF635" s="256" t="s">
        <v>630</v>
      </c>
      <c r="BG635" s="185" t="s">
        <v>6339</v>
      </c>
      <c r="BH635" s="302">
        <f>SUM(BH636:BH642)</f>
        <v>177857.31</v>
      </c>
      <c r="BI635" s="192"/>
      <c r="BJ635" s="256" t="s">
        <v>6340</v>
      </c>
      <c r="BK635" s="192" t="s">
        <v>6338</v>
      </c>
      <c r="BL635" s="238" t="s">
        <v>6341</v>
      </c>
      <c r="BM635" s="302">
        <f>SUM(BM636:BM642)</f>
        <v>177857.31</v>
      </c>
      <c r="BN635" s="160"/>
      <c r="BO635" s="161">
        <f t="shared" si="695"/>
        <v>0</v>
      </c>
      <c r="BP635" s="161"/>
    </row>
    <row r="636" spans="1:68" ht="51">
      <c r="A636" s="261" t="s">
        <v>6342</v>
      </c>
      <c r="B636" s="228" t="s">
        <v>6343</v>
      </c>
      <c r="C636" s="229" t="s">
        <v>6344</v>
      </c>
      <c r="D636" s="146" t="s">
        <v>4692</v>
      </c>
      <c r="E636" s="196" t="s">
        <v>6344</v>
      </c>
      <c r="F636" s="150">
        <v>348699.37</v>
      </c>
      <c r="G636" s="209">
        <v>0</v>
      </c>
      <c r="H636" s="209"/>
      <c r="I636" s="209">
        <v>0</v>
      </c>
      <c r="J636" s="150">
        <v>0</v>
      </c>
      <c r="K636" s="150">
        <v>0</v>
      </c>
      <c r="L636" s="150">
        <f t="shared" si="694"/>
        <v>0</v>
      </c>
      <c r="M636" s="150">
        <v>31336</v>
      </c>
      <c r="N636" s="150">
        <v>143013.685</v>
      </c>
      <c r="O636" s="150">
        <v>174349.685</v>
      </c>
      <c r="P636" s="150">
        <v>82323.679999999993</v>
      </c>
      <c r="Q636" s="150"/>
      <c r="R636" s="150">
        <f t="shared" ref="R636:R642" si="739">P636+Q636</f>
        <v>82323.679999999993</v>
      </c>
      <c r="S636" s="150">
        <f t="shared" si="689"/>
        <v>109764.90666666666</v>
      </c>
      <c r="T636" s="150"/>
      <c r="U636" s="150">
        <v>141367.95000000001</v>
      </c>
      <c r="V636" s="199">
        <v>33004.629999999997</v>
      </c>
      <c r="W636" s="150">
        <f t="shared" ref="W636:W642" si="740">U636+V636</f>
        <v>174372.58000000002</v>
      </c>
      <c r="X636" s="150">
        <v>141367.95000000001</v>
      </c>
      <c r="Y636" s="150">
        <v>33004.629999999997</v>
      </c>
      <c r="Z636" s="150">
        <v>174372.58000000002</v>
      </c>
      <c r="AA636" s="150">
        <f t="shared" si="690"/>
        <v>6223.9999999999709</v>
      </c>
      <c r="AB636" s="150">
        <v>180596.58</v>
      </c>
      <c r="AC636" s="199"/>
      <c r="AD636" s="150">
        <f t="shared" ref="AD636:AD642" si="741">AB636+AC636</f>
        <v>180596.58</v>
      </c>
      <c r="AE636" s="150">
        <v>177857.31</v>
      </c>
      <c r="AF636" s="169" t="s">
        <v>4680</v>
      </c>
      <c r="AG636" s="201">
        <v>177857.31</v>
      </c>
      <c r="AH636" s="199"/>
      <c r="AI636" s="150">
        <v>177857.31</v>
      </c>
      <c r="AJ636" s="169">
        <f t="shared" si="691"/>
        <v>0</v>
      </c>
      <c r="AK636" s="201">
        <v>177857.31</v>
      </c>
      <c r="AL636" s="199"/>
      <c r="AM636" s="150">
        <f t="shared" ref="AM636:AM642" si="742">AK636+AL636</f>
        <v>177857.31</v>
      </c>
      <c r="AN636" s="153">
        <f t="shared" si="692"/>
        <v>0</v>
      </c>
      <c r="AO636" s="154">
        <f t="shared" si="693"/>
        <v>0</v>
      </c>
      <c r="AP636" s="150">
        <v>177857.31</v>
      </c>
      <c r="AQ636" s="201">
        <v>177857.31</v>
      </c>
      <c r="AR636" s="199"/>
      <c r="AS636" s="150">
        <f t="shared" ref="AS636:AS642" si="743">AQ636+AR636</f>
        <v>177857.31</v>
      </c>
      <c r="AT636" s="155" t="s">
        <v>4796</v>
      </c>
      <c r="AU636" s="156">
        <f t="shared" si="687"/>
        <v>-2739.2699999999895</v>
      </c>
      <c r="AV636" s="156">
        <f t="shared" si="688"/>
        <v>6223.9999999999709</v>
      </c>
      <c r="AW636" s="157" t="s">
        <v>4796</v>
      </c>
      <c r="AX636" s="150">
        <v>174372.58000000002</v>
      </c>
      <c r="AY636" s="150">
        <v>37747</v>
      </c>
      <c r="AZ636" s="237">
        <v>10585.25</v>
      </c>
      <c r="BA636" s="150">
        <f t="shared" si="733"/>
        <v>48332.25</v>
      </c>
      <c r="BB636" s="202">
        <v>5</v>
      </c>
      <c r="BC636" s="202" t="s">
        <v>632</v>
      </c>
      <c r="BD636" s="202" t="s">
        <v>632</v>
      </c>
      <c r="BE636" s="202">
        <v>13</v>
      </c>
      <c r="BF636" s="194" t="s">
        <v>647</v>
      </c>
      <c r="BG636" s="203" t="s">
        <v>6344</v>
      </c>
      <c r="BH636" s="216">
        <f>AS636</f>
        <v>177857.31</v>
      </c>
      <c r="BI636" s="205"/>
      <c r="BJ636" s="206" t="s">
        <v>6345</v>
      </c>
      <c r="BK636" s="206" t="s">
        <v>6342</v>
      </c>
      <c r="BL636" s="207" t="s">
        <v>6346</v>
      </c>
      <c r="BM636" s="208">
        <f t="shared" ref="BM636:BM642" si="744">BH636</f>
        <v>177857.31</v>
      </c>
      <c r="BN636" s="160"/>
      <c r="BO636" s="161">
        <f t="shared" si="695"/>
        <v>0</v>
      </c>
      <c r="BP636" s="161"/>
    </row>
    <row r="637" spans="1:68" ht="38.25">
      <c r="A637" s="261" t="s">
        <v>6347</v>
      </c>
      <c r="B637" s="228" t="s">
        <v>6348</v>
      </c>
      <c r="C637" s="229" t="s">
        <v>6349</v>
      </c>
      <c r="D637" s="146" t="s">
        <v>4692</v>
      </c>
      <c r="E637" s="196" t="s">
        <v>6349</v>
      </c>
      <c r="F637" s="150">
        <v>0</v>
      </c>
      <c r="G637" s="209">
        <v>0</v>
      </c>
      <c r="H637" s="209"/>
      <c r="I637" s="209">
        <v>0</v>
      </c>
      <c r="J637" s="150">
        <v>0</v>
      </c>
      <c r="K637" s="150">
        <v>0</v>
      </c>
      <c r="L637" s="150">
        <f t="shared" si="694"/>
        <v>0</v>
      </c>
      <c r="M637" s="150">
        <v>0</v>
      </c>
      <c r="N637" s="150"/>
      <c r="O637" s="150">
        <v>0</v>
      </c>
      <c r="P637" s="150">
        <v>0</v>
      </c>
      <c r="Q637" s="150">
        <v>0</v>
      </c>
      <c r="R637" s="150">
        <f t="shared" si="739"/>
        <v>0</v>
      </c>
      <c r="S637" s="150">
        <f t="shared" si="689"/>
        <v>0</v>
      </c>
      <c r="T637" s="150"/>
      <c r="U637" s="150">
        <v>0</v>
      </c>
      <c r="V637" s="199"/>
      <c r="W637" s="150">
        <f t="shared" si="740"/>
        <v>0</v>
      </c>
      <c r="X637" s="150">
        <v>0</v>
      </c>
      <c r="Y637" s="150"/>
      <c r="Z637" s="150">
        <v>0</v>
      </c>
      <c r="AA637" s="150">
        <f t="shared" si="690"/>
        <v>0</v>
      </c>
      <c r="AB637" s="150">
        <v>0</v>
      </c>
      <c r="AC637" s="199"/>
      <c r="AD637" s="150">
        <f t="shared" si="741"/>
        <v>0</v>
      </c>
      <c r="AE637" s="150">
        <v>0</v>
      </c>
      <c r="AF637" s="169" t="s">
        <v>4680</v>
      </c>
      <c r="AG637" s="201">
        <v>0</v>
      </c>
      <c r="AH637" s="199"/>
      <c r="AI637" s="150">
        <v>0</v>
      </c>
      <c r="AJ637" s="169">
        <f t="shared" si="691"/>
        <v>0</v>
      </c>
      <c r="AK637" s="201">
        <v>0</v>
      </c>
      <c r="AL637" s="199"/>
      <c r="AM637" s="150">
        <f t="shared" si="742"/>
        <v>0</v>
      </c>
      <c r="AN637" s="153">
        <f t="shared" si="692"/>
        <v>0</v>
      </c>
      <c r="AO637" s="154">
        <f t="shared" si="693"/>
        <v>0</v>
      </c>
      <c r="AP637" s="150">
        <v>0</v>
      </c>
      <c r="AQ637" s="201">
        <v>0</v>
      </c>
      <c r="AR637" s="199"/>
      <c r="AS637" s="150">
        <f t="shared" si="743"/>
        <v>0</v>
      </c>
      <c r="AT637" s="155" t="s">
        <v>4796</v>
      </c>
      <c r="AU637" s="156">
        <f t="shared" si="687"/>
        <v>0</v>
      </c>
      <c r="AV637" s="156">
        <f t="shared" si="688"/>
        <v>0</v>
      </c>
      <c r="AW637" s="157" t="s">
        <v>4796</v>
      </c>
      <c r="AX637" s="150">
        <v>0</v>
      </c>
      <c r="AY637" s="150">
        <v>0</v>
      </c>
      <c r="AZ637" s="150"/>
      <c r="BA637" s="150">
        <f t="shared" si="733"/>
        <v>0</v>
      </c>
      <c r="BB637" s="202">
        <v>5</v>
      </c>
      <c r="BC637" s="202" t="s">
        <v>632</v>
      </c>
      <c r="BD637" s="202" t="s">
        <v>632</v>
      </c>
      <c r="BE637" s="202">
        <v>13</v>
      </c>
      <c r="BF637" s="194" t="s">
        <v>671</v>
      </c>
      <c r="BG637" s="203" t="s">
        <v>6349</v>
      </c>
      <c r="BH637" s="216">
        <f>F637</f>
        <v>0</v>
      </c>
      <c r="BI637" s="205"/>
      <c r="BJ637" s="206" t="s">
        <v>6350</v>
      </c>
      <c r="BK637" s="206" t="s">
        <v>6347</v>
      </c>
      <c r="BL637" s="207" t="s">
        <v>6351</v>
      </c>
      <c r="BM637" s="208">
        <f t="shared" si="744"/>
        <v>0</v>
      </c>
      <c r="BN637" s="160"/>
      <c r="BO637" s="161">
        <f t="shared" si="695"/>
        <v>0</v>
      </c>
      <c r="BP637" s="161"/>
    </row>
    <row r="638" spans="1:68" ht="38.25">
      <c r="A638" s="261" t="s">
        <v>6352</v>
      </c>
      <c r="B638" s="228" t="s">
        <v>6353</v>
      </c>
      <c r="C638" s="229" t="s">
        <v>6354</v>
      </c>
      <c r="D638" s="146" t="s">
        <v>4692</v>
      </c>
      <c r="E638" s="196" t="s">
        <v>6354</v>
      </c>
      <c r="F638" s="150">
        <v>0</v>
      </c>
      <c r="G638" s="209">
        <v>0</v>
      </c>
      <c r="H638" s="209"/>
      <c r="I638" s="209">
        <v>0</v>
      </c>
      <c r="J638" s="150">
        <v>0</v>
      </c>
      <c r="K638" s="150">
        <v>0</v>
      </c>
      <c r="L638" s="150">
        <f t="shared" si="694"/>
        <v>0</v>
      </c>
      <c r="M638" s="150">
        <v>0</v>
      </c>
      <c r="N638" s="150"/>
      <c r="O638" s="150">
        <v>0</v>
      </c>
      <c r="P638" s="150">
        <v>0</v>
      </c>
      <c r="Q638" s="150">
        <v>0</v>
      </c>
      <c r="R638" s="150">
        <f t="shared" si="739"/>
        <v>0</v>
      </c>
      <c r="S638" s="150">
        <f t="shared" si="689"/>
        <v>0</v>
      </c>
      <c r="T638" s="150"/>
      <c r="U638" s="150">
        <v>0</v>
      </c>
      <c r="V638" s="199"/>
      <c r="W638" s="150">
        <f t="shared" si="740"/>
        <v>0</v>
      </c>
      <c r="X638" s="150">
        <v>0</v>
      </c>
      <c r="Y638" s="150"/>
      <c r="Z638" s="150">
        <v>0</v>
      </c>
      <c r="AA638" s="150">
        <f t="shared" si="690"/>
        <v>0</v>
      </c>
      <c r="AB638" s="150">
        <v>0</v>
      </c>
      <c r="AC638" s="199"/>
      <c r="AD638" s="150">
        <f t="shared" si="741"/>
        <v>0</v>
      </c>
      <c r="AE638" s="150">
        <v>0</v>
      </c>
      <c r="AF638" s="169" t="s">
        <v>4680</v>
      </c>
      <c r="AG638" s="201">
        <v>0</v>
      </c>
      <c r="AH638" s="199"/>
      <c r="AI638" s="150">
        <v>0</v>
      </c>
      <c r="AJ638" s="169">
        <f t="shared" si="691"/>
        <v>0</v>
      </c>
      <c r="AK638" s="201">
        <v>0</v>
      </c>
      <c r="AL638" s="199"/>
      <c r="AM638" s="150">
        <f t="shared" si="742"/>
        <v>0</v>
      </c>
      <c r="AN638" s="153">
        <f t="shared" si="692"/>
        <v>0</v>
      </c>
      <c r="AO638" s="154">
        <f t="shared" si="693"/>
        <v>0</v>
      </c>
      <c r="AP638" s="150">
        <v>0</v>
      </c>
      <c r="AQ638" s="201">
        <v>0</v>
      </c>
      <c r="AR638" s="199"/>
      <c r="AS638" s="150">
        <f t="shared" si="743"/>
        <v>0</v>
      </c>
      <c r="AT638" s="155" t="s">
        <v>4796</v>
      </c>
      <c r="AU638" s="156">
        <f t="shared" si="687"/>
        <v>0</v>
      </c>
      <c r="AV638" s="156">
        <f t="shared" si="688"/>
        <v>0</v>
      </c>
      <c r="AW638" s="157" t="s">
        <v>4796</v>
      </c>
      <c r="AX638" s="150">
        <v>0</v>
      </c>
      <c r="AY638" s="150">
        <v>0</v>
      </c>
      <c r="AZ638" s="150"/>
      <c r="BA638" s="150">
        <f t="shared" si="733"/>
        <v>0</v>
      </c>
      <c r="BB638" s="202">
        <v>5</v>
      </c>
      <c r="BC638" s="202" t="s">
        <v>632</v>
      </c>
      <c r="BD638" s="202" t="s">
        <v>632</v>
      </c>
      <c r="BE638" s="202">
        <v>13</v>
      </c>
      <c r="BF638" s="194" t="s">
        <v>693</v>
      </c>
      <c r="BG638" s="203" t="s">
        <v>6354</v>
      </c>
      <c r="BH638" s="216">
        <f>AS638</f>
        <v>0</v>
      </c>
      <c r="BI638" s="205"/>
      <c r="BJ638" s="206" t="s">
        <v>6355</v>
      </c>
      <c r="BK638" s="206" t="s">
        <v>6352</v>
      </c>
      <c r="BL638" s="207" t="s">
        <v>6356</v>
      </c>
      <c r="BM638" s="208">
        <f t="shared" si="744"/>
        <v>0</v>
      </c>
      <c r="BN638" s="160"/>
      <c r="BO638" s="161">
        <f t="shared" si="695"/>
        <v>0</v>
      </c>
      <c r="BP638" s="161"/>
    </row>
    <row r="639" spans="1:68" ht="38.25">
      <c r="A639" s="261" t="s">
        <v>6357</v>
      </c>
      <c r="B639" s="228" t="s">
        <v>6358</v>
      </c>
      <c r="C639" s="229" t="s">
        <v>6359</v>
      </c>
      <c r="D639" s="146" t="s">
        <v>4692</v>
      </c>
      <c r="E639" s="196" t="s">
        <v>6359</v>
      </c>
      <c r="F639" s="150">
        <v>0</v>
      </c>
      <c r="G639" s="209">
        <v>0</v>
      </c>
      <c r="H639" s="209"/>
      <c r="I639" s="209">
        <v>0</v>
      </c>
      <c r="J639" s="150">
        <v>0</v>
      </c>
      <c r="K639" s="150">
        <v>0</v>
      </c>
      <c r="L639" s="150">
        <f t="shared" si="694"/>
        <v>0</v>
      </c>
      <c r="M639" s="150">
        <v>0</v>
      </c>
      <c r="N639" s="150"/>
      <c r="O639" s="150">
        <v>0</v>
      </c>
      <c r="P639" s="150">
        <v>0</v>
      </c>
      <c r="Q639" s="150">
        <v>0</v>
      </c>
      <c r="R639" s="150">
        <f t="shared" si="739"/>
        <v>0</v>
      </c>
      <c r="S639" s="150">
        <f t="shared" si="689"/>
        <v>0</v>
      </c>
      <c r="T639" s="150"/>
      <c r="U639" s="150">
        <v>0</v>
      </c>
      <c r="V639" s="199"/>
      <c r="W639" s="150">
        <f t="shared" si="740"/>
        <v>0</v>
      </c>
      <c r="X639" s="150">
        <v>0</v>
      </c>
      <c r="Y639" s="150"/>
      <c r="Z639" s="150">
        <v>0</v>
      </c>
      <c r="AA639" s="150">
        <f t="shared" si="690"/>
        <v>0</v>
      </c>
      <c r="AB639" s="150">
        <v>0</v>
      </c>
      <c r="AC639" s="199"/>
      <c r="AD639" s="150">
        <f t="shared" si="741"/>
        <v>0</v>
      </c>
      <c r="AE639" s="150">
        <v>0</v>
      </c>
      <c r="AF639" s="169" t="s">
        <v>4680</v>
      </c>
      <c r="AG639" s="201">
        <v>0</v>
      </c>
      <c r="AH639" s="199"/>
      <c r="AI639" s="150">
        <v>0</v>
      </c>
      <c r="AJ639" s="169">
        <f t="shared" si="691"/>
        <v>0</v>
      </c>
      <c r="AK639" s="201">
        <v>0</v>
      </c>
      <c r="AL639" s="199"/>
      <c r="AM639" s="150">
        <f t="shared" si="742"/>
        <v>0</v>
      </c>
      <c r="AN639" s="153">
        <f t="shared" si="692"/>
        <v>0</v>
      </c>
      <c r="AO639" s="154">
        <f t="shared" si="693"/>
        <v>0</v>
      </c>
      <c r="AP639" s="150">
        <v>0</v>
      </c>
      <c r="AQ639" s="201">
        <v>0</v>
      </c>
      <c r="AR639" s="199"/>
      <c r="AS639" s="150">
        <f t="shared" si="743"/>
        <v>0</v>
      </c>
      <c r="AT639" s="155" t="s">
        <v>4796</v>
      </c>
      <c r="AU639" s="156">
        <f t="shared" si="687"/>
        <v>0</v>
      </c>
      <c r="AV639" s="156">
        <f t="shared" si="688"/>
        <v>0</v>
      </c>
      <c r="AW639" s="157" t="s">
        <v>4796</v>
      </c>
      <c r="AX639" s="150">
        <v>0</v>
      </c>
      <c r="AY639" s="150">
        <v>0</v>
      </c>
      <c r="AZ639" s="150"/>
      <c r="BA639" s="150">
        <f t="shared" si="733"/>
        <v>0</v>
      </c>
      <c r="BB639" s="202">
        <v>5</v>
      </c>
      <c r="BC639" s="202" t="s">
        <v>632</v>
      </c>
      <c r="BD639" s="202" t="s">
        <v>632</v>
      </c>
      <c r="BE639" s="202">
        <v>13</v>
      </c>
      <c r="BF639" s="194" t="s">
        <v>714</v>
      </c>
      <c r="BG639" s="203" t="s">
        <v>6359</v>
      </c>
      <c r="BH639" s="216">
        <f>AS639</f>
        <v>0</v>
      </c>
      <c r="BI639" s="205"/>
      <c r="BJ639" s="206" t="s">
        <v>6360</v>
      </c>
      <c r="BK639" s="206" t="s">
        <v>6357</v>
      </c>
      <c r="BL639" s="207" t="s">
        <v>6361</v>
      </c>
      <c r="BM639" s="208">
        <f t="shared" si="744"/>
        <v>0</v>
      </c>
      <c r="BN639" s="160"/>
      <c r="BO639" s="161">
        <f t="shared" si="695"/>
        <v>0</v>
      </c>
      <c r="BP639" s="161"/>
    </row>
    <row r="640" spans="1:68" ht="38.25">
      <c r="A640" s="261" t="s">
        <v>6362</v>
      </c>
      <c r="B640" s="228" t="s">
        <v>6363</v>
      </c>
      <c r="C640" s="229" t="s">
        <v>6364</v>
      </c>
      <c r="D640" s="146" t="s">
        <v>4692</v>
      </c>
      <c r="E640" s="196" t="s">
        <v>6364</v>
      </c>
      <c r="F640" s="150">
        <v>0</v>
      </c>
      <c r="G640" s="209">
        <v>0</v>
      </c>
      <c r="H640" s="209"/>
      <c r="I640" s="209">
        <v>0</v>
      </c>
      <c r="J640" s="150">
        <v>0</v>
      </c>
      <c r="K640" s="150">
        <v>0</v>
      </c>
      <c r="L640" s="150">
        <f t="shared" si="694"/>
        <v>0</v>
      </c>
      <c r="M640" s="150">
        <v>0</v>
      </c>
      <c r="N640" s="150"/>
      <c r="O640" s="150">
        <v>0</v>
      </c>
      <c r="P640" s="150">
        <v>0</v>
      </c>
      <c r="Q640" s="150">
        <v>0</v>
      </c>
      <c r="R640" s="150">
        <f t="shared" si="739"/>
        <v>0</v>
      </c>
      <c r="S640" s="150">
        <f t="shared" si="689"/>
        <v>0</v>
      </c>
      <c r="T640" s="150"/>
      <c r="U640" s="150">
        <v>0</v>
      </c>
      <c r="V640" s="199"/>
      <c r="W640" s="150">
        <f t="shared" si="740"/>
        <v>0</v>
      </c>
      <c r="X640" s="150">
        <v>0</v>
      </c>
      <c r="Y640" s="150"/>
      <c r="Z640" s="150">
        <v>0</v>
      </c>
      <c r="AA640" s="150">
        <f t="shared" si="690"/>
        <v>0</v>
      </c>
      <c r="AB640" s="150">
        <v>0</v>
      </c>
      <c r="AC640" s="199"/>
      <c r="AD640" s="150">
        <f t="shared" si="741"/>
        <v>0</v>
      </c>
      <c r="AE640" s="150">
        <v>0</v>
      </c>
      <c r="AF640" s="169" t="s">
        <v>4680</v>
      </c>
      <c r="AG640" s="201">
        <v>0</v>
      </c>
      <c r="AH640" s="199"/>
      <c r="AI640" s="150">
        <v>0</v>
      </c>
      <c r="AJ640" s="169">
        <f t="shared" si="691"/>
        <v>0</v>
      </c>
      <c r="AK640" s="201">
        <v>0</v>
      </c>
      <c r="AL640" s="199"/>
      <c r="AM640" s="150">
        <f t="shared" si="742"/>
        <v>0</v>
      </c>
      <c r="AN640" s="153">
        <f t="shared" si="692"/>
        <v>0</v>
      </c>
      <c r="AO640" s="154">
        <f t="shared" si="693"/>
        <v>0</v>
      </c>
      <c r="AP640" s="150">
        <v>0</v>
      </c>
      <c r="AQ640" s="201">
        <v>0</v>
      </c>
      <c r="AR640" s="199"/>
      <c r="AS640" s="150">
        <f t="shared" si="743"/>
        <v>0</v>
      </c>
      <c r="AT640" s="155" t="s">
        <v>4796</v>
      </c>
      <c r="AU640" s="156">
        <f t="shared" si="687"/>
        <v>0</v>
      </c>
      <c r="AV640" s="156">
        <f t="shared" si="688"/>
        <v>0</v>
      </c>
      <c r="AW640" s="157" t="s">
        <v>4796</v>
      </c>
      <c r="AX640" s="150">
        <v>0</v>
      </c>
      <c r="AY640" s="150">
        <v>0</v>
      </c>
      <c r="AZ640" s="150"/>
      <c r="BA640" s="150">
        <f t="shared" si="733"/>
        <v>0</v>
      </c>
      <c r="BB640" s="202">
        <v>5</v>
      </c>
      <c r="BC640" s="202" t="s">
        <v>632</v>
      </c>
      <c r="BD640" s="202" t="s">
        <v>632</v>
      </c>
      <c r="BE640" s="202">
        <v>13</v>
      </c>
      <c r="BF640" s="194" t="s">
        <v>739</v>
      </c>
      <c r="BG640" s="203" t="s">
        <v>6364</v>
      </c>
      <c r="BH640" s="216">
        <f>AS640</f>
        <v>0</v>
      </c>
      <c r="BI640" s="205"/>
      <c r="BJ640" s="206" t="s">
        <v>6365</v>
      </c>
      <c r="BK640" s="206" t="s">
        <v>6362</v>
      </c>
      <c r="BL640" s="207" t="s">
        <v>6366</v>
      </c>
      <c r="BM640" s="208">
        <f t="shared" si="744"/>
        <v>0</v>
      </c>
      <c r="BN640" s="160"/>
      <c r="BO640" s="161">
        <f t="shared" si="695"/>
        <v>0</v>
      </c>
      <c r="BP640" s="161"/>
    </row>
    <row r="641" spans="1:68" ht="38.25">
      <c r="A641" s="261" t="s">
        <v>6367</v>
      </c>
      <c r="B641" s="228" t="s">
        <v>6368</v>
      </c>
      <c r="C641" s="229" t="s">
        <v>6369</v>
      </c>
      <c r="D641" s="146" t="s">
        <v>4692</v>
      </c>
      <c r="E641" s="196" t="s">
        <v>6369</v>
      </c>
      <c r="F641" s="150">
        <v>0</v>
      </c>
      <c r="G641" s="209">
        <v>0</v>
      </c>
      <c r="H641" s="209"/>
      <c r="I641" s="209">
        <v>0</v>
      </c>
      <c r="J641" s="150">
        <v>0</v>
      </c>
      <c r="K641" s="150">
        <v>0</v>
      </c>
      <c r="L641" s="150">
        <f t="shared" si="694"/>
        <v>0</v>
      </c>
      <c r="M641" s="150">
        <v>0</v>
      </c>
      <c r="N641" s="150"/>
      <c r="O641" s="150">
        <v>0</v>
      </c>
      <c r="P641" s="150">
        <v>0</v>
      </c>
      <c r="Q641" s="150">
        <v>0</v>
      </c>
      <c r="R641" s="150">
        <f t="shared" si="739"/>
        <v>0</v>
      </c>
      <c r="S641" s="150">
        <f t="shared" si="689"/>
        <v>0</v>
      </c>
      <c r="T641" s="150"/>
      <c r="U641" s="150">
        <v>0</v>
      </c>
      <c r="V641" s="199"/>
      <c r="W641" s="150">
        <f t="shared" si="740"/>
        <v>0</v>
      </c>
      <c r="X641" s="150">
        <v>0</v>
      </c>
      <c r="Y641" s="150"/>
      <c r="Z641" s="150">
        <v>0</v>
      </c>
      <c r="AA641" s="150">
        <f t="shared" si="690"/>
        <v>0</v>
      </c>
      <c r="AB641" s="150">
        <v>0</v>
      </c>
      <c r="AC641" s="199"/>
      <c r="AD641" s="150">
        <f t="shared" si="741"/>
        <v>0</v>
      </c>
      <c r="AE641" s="150">
        <v>0</v>
      </c>
      <c r="AF641" s="169" t="s">
        <v>4680</v>
      </c>
      <c r="AG641" s="201">
        <v>0</v>
      </c>
      <c r="AH641" s="199"/>
      <c r="AI641" s="150">
        <v>0</v>
      </c>
      <c r="AJ641" s="169">
        <f t="shared" si="691"/>
        <v>0</v>
      </c>
      <c r="AK641" s="201">
        <v>0</v>
      </c>
      <c r="AL641" s="199"/>
      <c r="AM641" s="150">
        <f t="shared" si="742"/>
        <v>0</v>
      </c>
      <c r="AN641" s="153">
        <f t="shared" si="692"/>
        <v>0</v>
      </c>
      <c r="AO641" s="154">
        <f t="shared" si="693"/>
        <v>0</v>
      </c>
      <c r="AP641" s="150">
        <v>0</v>
      </c>
      <c r="AQ641" s="201">
        <v>0</v>
      </c>
      <c r="AR641" s="199"/>
      <c r="AS641" s="150">
        <f t="shared" si="743"/>
        <v>0</v>
      </c>
      <c r="AT641" s="155" t="s">
        <v>4796</v>
      </c>
      <c r="AU641" s="156">
        <f t="shared" si="687"/>
        <v>0</v>
      </c>
      <c r="AV641" s="156">
        <f t="shared" si="688"/>
        <v>0</v>
      </c>
      <c r="AW641" s="157" t="s">
        <v>4796</v>
      </c>
      <c r="AX641" s="150">
        <v>0</v>
      </c>
      <c r="AY641" s="150">
        <v>0</v>
      </c>
      <c r="AZ641" s="150"/>
      <c r="BA641" s="150">
        <f t="shared" si="733"/>
        <v>0</v>
      </c>
      <c r="BB641" s="202">
        <v>5</v>
      </c>
      <c r="BC641" s="202" t="s">
        <v>632</v>
      </c>
      <c r="BD641" s="202" t="s">
        <v>632</v>
      </c>
      <c r="BE641" s="202">
        <v>13</v>
      </c>
      <c r="BF641" s="194" t="s">
        <v>755</v>
      </c>
      <c r="BG641" s="203" t="s">
        <v>6369</v>
      </c>
      <c r="BH641" s="216">
        <f>AS641</f>
        <v>0</v>
      </c>
      <c r="BI641" s="205"/>
      <c r="BJ641" s="206" t="s">
        <v>6370</v>
      </c>
      <c r="BK641" s="206" t="s">
        <v>6367</v>
      </c>
      <c r="BL641" s="207" t="s">
        <v>6371</v>
      </c>
      <c r="BM641" s="208">
        <f t="shared" si="744"/>
        <v>0</v>
      </c>
      <c r="BN641" s="160"/>
      <c r="BO641" s="161">
        <f t="shared" si="695"/>
        <v>0</v>
      </c>
      <c r="BP641" s="161"/>
    </row>
    <row r="642" spans="1:68" ht="38.25">
      <c r="A642" s="261" t="s">
        <v>6372</v>
      </c>
      <c r="B642" s="228" t="s">
        <v>6373</v>
      </c>
      <c r="C642" s="229" t="s">
        <v>6374</v>
      </c>
      <c r="D642" s="146" t="s">
        <v>4692</v>
      </c>
      <c r="E642" s="196" t="s">
        <v>6374</v>
      </c>
      <c r="F642" s="150">
        <v>0</v>
      </c>
      <c r="G642" s="209">
        <v>506539.95999999996</v>
      </c>
      <c r="H642" s="209">
        <v>15170.941199999997</v>
      </c>
      <c r="I642" s="209">
        <v>521710.90119999996</v>
      </c>
      <c r="J642" s="150">
        <v>0</v>
      </c>
      <c r="K642" s="150">
        <v>0</v>
      </c>
      <c r="L642" s="150">
        <f t="shared" si="694"/>
        <v>0</v>
      </c>
      <c r="M642" s="150">
        <v>0</v>
      </c>
      <c r="N642" s="150"/>
      <c r="O642" s="150">
        <v>0</v>
      </c>
      <c r="P642" s="150">
        <v>0</v>
      </c>
      <c r="Q642" s="150">
        <v>0</v>
      </c>
      <c r="R642" s="150">
        <f t="shared" si="739"/>
        <v>0</v>
      </c>
      <c r="S642" s="150">
        <f t="shared" si="689"/>
        <v>0</v>
      </c>
      <c r="T642" s="150"/>
      <c r="U642" s="150">
        <v>0</v>
      </c>
      <c r="V642" s="199"/>
      <c r="W642" s="150">
        <f t="shared" si="740"/>
        <v>0</v>
      </c>
      <c r="X642" s="150">
        <v>0</v>
      </c>
      <c r="Y642" s="150"/>
      <c r="Z642" s="150">
        <v>0</v>
      </c>
      <c r="AA642" s="150">
        <f t="shared" si="690"/>
        <v>0</v>
      </c>
      <c r="AB642" s="150">
        <v>0</v>
      </c>
      <c r="AC642" s="199"/>
      <c r="AD642" s="150">
        <f t="shared" si="741"/>
        <v>0</v>
      </c>
      <c r="AE642" s="150">
        <v>0</v>
      </c>
      <c r="AF642" s="169" t="s">
        <v>4680</v>
      </c>
      <c r="AG642" s="201">
        <v>0</v>
      </c>
      <c r="AH642" s="199"/>
      <c r="AI642" s="150">
        <v>0</v>
      </c>
      <c r="AJ642" s="169">
        <f t="shared" si="691"/>
        <v>0</v>
      </c>
      <c r="AK642" s="201">
        <v>0</v>
      </c>
      <c r="AL642" s="199"/>
      <c r="AM642" s="150">
        <f t="shared" si="742"/>
        <v>0</v>
      </c>
      <c r="AN642" s="153">
        <f t="shared" si="692"/>
        <v>0</v>
      </c>
      <c r="AO642" s="154">
        <f t="shared" si="693"/>
        <v>0</v>
      </c>
      <c r="AP642" s="150">
        <v>0</v>
      </c>
      <c r="AQ642" s="201">
        <v>0</v>
      </c>
      <c r="AR642" s="199"/>
      <c r="AS642" s="150">
        <f t="shared" si="743"/>
        <v>0</v>
      </c>
      <c r="AT642" s="155" t="s">
        <v>4796</v>
      </c>
      <c r="AU642" s="156">
        <f t="shared" ref="AU642:AU705" si="745">AM642-AD642</f>
        <v>0</v>
      </c>
      <c r="AV642" s="156">
        <f t="shared" ref="AV642:AV705" si="746">AD642-AX642</f>
        <v>0</v>
      </c>
      <c r="AW642" s="157" t="s">
        <v>4796</v>
      </c>
      <c r="AX642" s="150">
        <v>0</v>
      </c>
      <c r="AY642" s="150">
        <v>0</v>
      </c>
      <c r="AZ642" s="150"/>
      <c r="BA642" s="150">
        <f t="shared" si="733"/>
        <v>0</v>
      </c>
      <c r="BB642" s="202">
        <v>5</v>
      </c>
      <c r="BC642" s="202" t="s">
        <v>632</v>
      </c>
      <c r="BD642" s="202" t="s">
        <v>632</v>
      </c>
      <c r="BE642" s="202">
        <v>13</v>
      </c>
      <c r="BF642" s="194" t="s">
        <v>766</v>
      </c>
      <c r="BG642" s="203" t="s">
        <v>6374</v>
      </c>
      <c r="BH642" s="216">
        <f>F642</f>
        <v>0</v>
      </c>
      <c r="BI642" s="205"/>
      <c r="BJ642" s="206" t="s">
        <v>6375</v>
      </c>
      <c r="BK642" s="206" t="s">
        <v>6372</v>
      </c>
      <c r="BL642" s="207" t="s">
        <v>6376</v>
      </c>
      <c r="BM642" s="208">
        <f t="shared" si="744"/>
        <v>0</v>
      </c>
      <c r="BN642" s="160"/>
      <c r="BO642" s="161">
        <f t="shared" si="695"/>
        <v>0</v>
      </c>
      <c r="BP642" s="161"/>
    </row>
    <row r="643" spans="1:68" ht="25.5">
      <c r="A643" s="255" t="s">
        <v>6377</v>
      </c>
      <c r="B643" s="174"/>
      <c r="C643" s="175" t="s">
        <v>6378</v>
      </c>
      <c r="D643" s="146" t="s">
        <v>4692</v>
      </c>
      <c r="E643" s="175" t="s">
        <v>6378</v>
      </c>
      <c r="F643" s="176">
        <v>508650.63</v>
      </c>
      <c r="G643" s="177">
        <v>506539.95999999996</v>
      </c>
      <c r="H643" s="177">
        <v>15170.941199999997</v>
      </c>
      <c r="I643" s="177">
        <v>521710.90119999996</v>
      </c>
      <c r="J643" s="176">
        <f>J644</f>
        <v>50924.649999999994</v>
      </c>
      <c r="K643" s="176">
        <f>K644</f>
        <v>30718.384120000002</v>
      </c>
      <c r="L643" s="176">
        <f t="shared" si="694"/>
        <v>81643.034119999997</v>
      </c>
      <c r="M643" s="178">
        <v>120378.43</v>
      </c>
      <c r="N643" s="178">
        <v>24693.134200000008</v>
      </c>
      <c r="O643" s="178">
        <v>145071.56419999999</v>
      </c>
      <c r="P643" s="221">
        <f t="shared" ref="P643:AS643" si="747">P644</f>
        <v>189445.28</v>
      </c>
      <c r="Q643" s="221">
        <f t="shared" si="747"/>
        <v>2778.0351999999984</v>
      </c>
      <c r="R643" s="221">
        <f t="shared" si="747"/>
        <v>192223.31519999998</v>
      </c>
      <c r="S643" s="150">
        <f t="shared" ref="S643:S706" si="748">R643/9*12</f>
        <v>256297.7536</v>
      </c>
      <c r="T643" s="213"/>
      <c r="U643" s="221">
        <f t="shared" ref="U643:W643" si="749">U644</f>
        <v>269120.44</v>
      </c>
      <c r="V643" s="222">
        <f t="shared" si="749"/>
        <v>21203.761030000005</v>
      </c>
      <c r="W643" s="221">
        <f t="shared" si="749"/>
        <v>290324.20103</v>
      </c>
      <c r="X643" s="221">
        <v>269120.44</v>
      </c>
      <c r="Y643" s="221">
        <v>21203.761030000005</v>
      </c>
      <c r="Z643" s="221">
        <v>290324.20103</v>
      </c>
      <c r="AA643" s="221">
        <f t="shared" ref="AA643:AA706" si="750">AD643-Z643</f>
        <v>-10.842430000018794</v>
      </c>
      <c r="AB643" s="221">
        <v>274079.58</v>
      </c>
      <c r="AC643" s="222">
        <v>16233.7786</v>
      </c>
      <c r="AD643" s="221">
        <f t="shared" si="747"/>
        <v>290313.35859999998</v>
      </c>
      <c r="AE643" s="221">
        <v>290313.35859999998</v>
      </c>
      <c r="AF643" s="169" t="s">
        <v>4680</v>
      </c>
      <c r="AG643" s="223">
        <v>274079.58</v>
      </c>
      <c r="AH643" s="222">
        <v>16233.7786</v>
      </c>
      <c r="AI643" s="221">
        <v>290313.35859999998</v>
      </c>
      <c r="AJ643" s="169">
        <f t="shared" ref="AJ643:AJ706" si="751">AM643-AI643</f>
        <v>0</v>
      </c>
      <c r="AK643" s="223">
        <v>274079.58</v>
      </c>
      <c r="AL643" s="222">
        <v>16233.7786</v>
      </c>
      <c r="AM643" s="221">
        <f t="shared" si="747"/>
        <v>290313.35859999998</v>
      </c>
      <c r="AN643" s="153">
        <f t="shared" ref="AN643:AN706" si="752">AS643-AM643</f>
        <v>1.4000000082887709E-3</v>
      </c>
      <c r="AO643" s="154">
        <f t="shared" ref="AO643:AO706" si="753">AS643-AP643</f>
        <v>1.4000000082887709E-3</v>
      </c>
      <c r="AP643" s="221">
        <v>290313.35859999998</v>
      </c>
      <c r="AQ643" s="223">
        <v>290313.36</v>
      </c>
      <c r="AR643" s="222">
        <f t="shared" si="747"/>
        <v>0</v>
      </c>
      <c r="AS643" s="221">
        <f t="shared" si="747"/>
        <v>290313.36</v>
      </c>
      <c r="AT643" s="155"/>
      <c r="AU643" s="156">
        <f t="shared" si="745"/>
        <v>0</v>
      </c>
      <c r="AV643" s="156">
        <f t="shared" si="746"/>
        <v>-10.842430000018794</v>
      </c>
      <c r="AW643" s="157"/>
      <c r="AX643" s="150">
        <v>290324.20103</v>
      </c>
      <c r="AY643" s="221">
        <f t="shared" ref="AY643:BA643" si="754">AY644</f>
        <v>158823.26999999999</v>
      </c>
      <c r="AZ643" s="221">
        <f t="shared" si="754"/>
        <v>127554.88876999998</v>
      </c>
      <c r="BA643" s="221">
        <f t="shared" si="754"/>
        <v>286378.15876999992</v>
      </c>
      <c r="BB643" s="254">
        <v>5</v>
      </c>
      <c r="BC643" s="255" t="s">
        <v>632</v>
      </c>
      <c r="BD643" s="255" t="s">
        <v>647</v>
      </c>
      <c r="BE643" s="173" t="s">
        <v>630</v>
      </c>
      <c r="BF643" s="255" t="s">
        <v>630</v>
      </c>
      <c r="BG643" s="175" t="s">
        <v>6378</v>
      </c>
      <c r="BH643" s="224">
        <f>BH644</f>
        <v>290313.36</v>
      </c>
      <c r="BI643" s="254"/>
      <c r="BJ643" s="255" t="s">
        <v>6379</v>
      </c>
      <c r="BK643" s="255" t="s">
        <v>6377</v>
      </c>
      <c r="BL643" s="182" t="s">
        <v>6380</v>
      </c>
      <c r="BM643" s="224">
        <f>BM644</f>
        <v>290313.36</v>
      </c>
      <c r="BN643" s="160"/>
      <c r="BO643" s="161">
        <f t="shared" si="695"/>
        <v>0</v>
      </c>
      <c r="BP643" s="161"/>
    </row>
    <row r="644" spans="1:68" ht="25.5">
      <c r="A644" s="256" t="s">
        <v>6377</v>
      </c>
      <c r="B644" s="184"/>
      <c r="C644" s="185" t="s">
        <v>6378</v>
      </c>
      <c r="D644" s="146" t="s">
        <v>4692</v>
      </c>
      <c r="E644" s="185" t="s">
        <v>6378</v>
      </c>
      <c r="F644" s="188">
        <v>508650.63</v>
      </c>
      <c r="G644" s="187">
        <v>256.58</v>
      </c>
      <c r="H644" s="187">
        <v>73.970000000000027</v>
      </c>
      <c r="I644" s="187">
        <v>330.55</v>
      </c>
      <c r="J644" s="188">
        <f>SUM(J645:J663)</f>
        <v>50924.649999999994</v>
      </c>
      <c r="K644" s="188">
        <f>SUM(K645:K663)</f>
        <v>30718.384120000002</v>
      </c>
      <c r="L644" s="188">
        <f t="shared" si="694"/>
        <v>81643.034119999997</v>
      </c>
      <c r="M644" s="188">
        <v>120378.43</v>
      </c>
      <c r="N644" s="188">
        <v>24693.134200000008</v>
      </c>
      <c r="O644" s="188">
        <v>145071.56419999999</v>
      </c>
      <c r="P644" s="299">
        <f t="shared" ref="P644:R644" si="755">SUM(P645:P663)</f>
        <v>189445.28</v>
      </c>
      <c r="Q644" s="299">
        <f t="shared" si="755"/>
        <v>2778.0351999999984</v>
      </c>
      <c r="R644" s="299">
        <f t="shared" si="755"/>
        <v>192223.31519999998</v>
      </c>
      <c r="S644" s="150">
        <f t="shared" si="748"/>
        <v>256297.7536</v>
      </c>
      <c r="T644" s="213"/>
      <c r="U644" s="299">
        <f t="shared" ref="U644:W644" si="756">SUM(U645:U663)</f>
        <v>269120.44</v>
      </c>
      <c r="V644" s="226">
        <f t="shared" si="756"/>
        <v>21203.761030000005</v>
      </c>
      <c r="W644" s="299">
        <f t="shared" si="756"/>
        <v>290324.20103</v>
      </c>
      <c r="X644" s="299">
        <v>269120.44</v>
      </c>
      <c r="Y644" s="299">
        <v>21203.761030000005</v>
      </c>
      <c r="Z644" s="299">
        <v>290324.20103</v>
      </c>
      <c r="AA644" s="299">
        <f t="shared" si="750"/>
        <v>-10.842430000018794</v>
      </c>
      <c r="AB644" s="299">
        <v>274079.58</v>
      </c>
      <c r="AC644" s="226">
        <v>16233.7786</v>
      </c>
      <c r="AD644" s="299">
        <f t="shared" ref="AD644" si="757">SUM(AD645:AD663)</f>
        <v>290313.35859999998</v>
      </c>
      <c r="AE644" s="299">
        <v>290313.35859999998</v>
      </c>
      <c r="AF644" s="169" t="s">
        <v>4680</v>
      </c>
      <c r="AG644" s="301">
        <v>274079.58</v>
      </c>
      <c r="AH644" s="226">
        <v>16233.7786</v>
      </c>
      <c r="AI644" s="299">
        <v>290313.35859999998</v>
      </c>
      <c r="AJ644" s="169">
        <f t="shared" si="751"/>
        <v>0</v>
      </c>
      <c r="AK644" s="301">
        <v>274079.58</v>
      </c>
      <c r="AL644" s="226">
        <v>16233.7786</v>
      </c>
      <c r="AM644" s="299">
        <f t="shared" ref="AM644" si="758">SUM(AM645:AM663)</f>
        <v>290313.35859999998</v>
      </c>
      <c r="AN644" s="153">
        <f t="shared" si="752"/>
        <v>1.4000000082887709E-3</v>
      </c>
      <c r="AO644" s="154">
        <f t="shared" si="753"/>
        <v>1.4000000082887709E-3</v>
      </c>
      <c r="AP644" s="299">
        <v>290313.35859999998</v>
      </c>
      <c r="AQ644" s="301">
        <v>290313.36</v>
      </c>
      <c r="AR644" s="226">
        <f t="shared" ref="AR644:AS644" si="759">SUM(AR645:AR663)</f>
        <v>0</v>
      </c>
      <c r="AS644" s="299">
        <f t="shared" si="759"/>
        <v>290313.36</v>
      </c>
      <c r="AT644" s="155"/>
      <c r="AU644" s="156">
        <f t="shared" si="745"/>
        <v>0</v>
      </c>
      <c r="AV644" s="156">
        <f t="shared" si="746"/>
        <v>-10.842430000018794</v>
      </c>
      <c r="AW644" s="157"/>
      <c r="AX644" s="150">
        <v>290324.20103</v>
      </c>
      <c r="AY644" s="299">
        <f t="shared" ref="AY644:BA644" si="760">SUM(AY645:AY663)</f>
        <v>158823.26999999999</v>
      </c>
      <c r="AZ644" s="299">
        <f t="shared" si="760"/>
        <v>127554.88876999998</v>
      </c>
      <c r="BA644" s="299">
        <f t="shared" si="760"/>
        <v>286378.15876999992</v>
      </c>
      <c r="BB644" s="192">
        <v>5</v>
      </c>
      <c r="BC644" s="256" t="s">
        <v>632</v>
      </c>
      <c r="BD644" s="256" t="s">
        <v>647</v>
      </c>
      <c r="BE644" s="256" t="s">
        <v>632</v>
      </c>
      <c r="BF644" s="256" t="s">
        <v>630</v>
      </c>
      <c r="BG644" s="185" t="s">
        <v>6378</v>
      </c>
      <c r="BH644" s="302">
        <f>SUM(BH645:BH663)</f>
        <v>290313.36</v>
      </c>
      <c r="BI644" s="192"/>
      <c r="BJ644" s="256" t="s">
        <v>6379</v>
      </c>
      <c r="BK644" s="256" t="s">
        <v>6377</v>
      </c>
      <c r="BL644" s="238" t="s">
        <v>6380</v>
      </c>
      <c r="BM644" s="302">
        <f>SUM(BM645:BM663)</f>
        <v>290313.36</v>
      </c>
      <c r="BN644" s="160"/>
      <c r="BO644" s="161">
        <f t="shared" si="695"/>
        <v>0</v>
      </c>
      <c r="BP644" s="161"/>
    </row>
    <row r="645" spans="1:68">
      <c r="A645" s="206" t="s">
        <v>559</v>
      </c>
      <c r="B645" s="195" t="s">
        <v>6381</v>
      </c>
      <c r="C645" s="196" t="s">
        <v>1298</v>
      </c>
      <c r="D645" s="146" t="s">
        <v>4692</v>
      </c>
      <c r="E645" s="196" t="s">
        <v>1298</v>
      </c>
      <c r="F645" s="150">
        <v>256.58</v>
      </c>
      <c r="G645" s="209">
        <v>108636.85</v>
      </c>
      <c r="H645" s="209">
        <v>8353.1499999999942</v>
      </c>
      <c r="I645" s="209">
        <v>116990</v>
      </c>
      <c r="J645" s="150">
        <v>894.61</v>
      </c>
      <c r="K645" s="150">
        <v>-2.0799999999780994E-3</v>
      </c>
      <c r="L645" s="150">
        <f t="shared" si="694"/>
        <v>894.60792000000004</v>
      </c>
      <c r="M645" s="150">
        <v>2198.6999999999998</v>
      </c>
      <c r="N645" s="150">
        <v>6.0000000003128662E-3</v>
      </c>
      <c r="O645" s="150">
        <v>2198.7060000000001</v>
      </c>
      <c r="P645" s="150">
        <v>2198.6999999999998</v>
      </c>
      <c r="Q645" s="150"/>
      <c r="R645" s="150">
        <f t="shared" ref="R645:R663" si="761">P645+Q645</f>
        <v>2198.6999999999998</v>
      </c>
      <c r="S645" s="150">
        <f t="shared" si="748"/>
        <v>2931.6</v>
      </c>
      <c r="T645" s="150"/>
      <c r="U645" s="150">
        <v>2783.68</v>
      </c>
      <c r="V645" s="199"/>
      <c r="W645" s="150">
        <f t="shared" ref="W645:W663" si="762">U645+V645</f>
        <v>2783.68</v>
      </c>
      <c r="X645" s="150">
        <v>2783.68</v>
      </c>
      <c r="Y645" s="150"/>
      <c r="Z645" s="150">
        <v>2783.68</v>
      </c>
      <c r="AA645" s="150">
        <f t="shared" si="750"/>
        <v>0</v>
      </c>
      <c r="AB645" s="150">
        <v>2783.68</v>
      </c>
      <c r="AC645" s="199"/>
      <c r="AD645" s="150">
        <f t="shared" ref="AD645:AD663" si="763">AB645+AC645</f>
        <v>2783.68</v>
      </c>
      <c r="AE645" s="150">
        <v>2783.68</v>
      </c>
      <c r="AF645" s="169" t="s">
        <v>4680</v>
      </c>
      <c r="AG645" s="201">
        <v>2783.68</v>
      </c>
      <c r="AH645" s="199"/>
      <c r="AI645" s="150">
        <v>2783.68</v>
      </c>
      <c r="AJ645" s="169">
        <f t="shared" si="751"/>
        <v>0</v>
      </c>
      <c r="AK645" s="201">
        <v>2783.68</v>
      </c>
      <c r="AL645" s="199"/>
      <c r="AM645" s="150">
        <f t="shared" ref="AM645:AM663" si="764">AK645+AL645</f>
        <v>2783.68</v>
      </c>
      <c r="AN645" s="153">
        <f t="shared" si="752"/>
        <v>0</v>
      </c>
      <c r="AO645" s="154">
        <f t="shared" si="753"/>
        <v>0</v>
      </c>
      <c r="AP645" s="150">
        <v>2783.68</v>
      </c>
      <c r="AQ645" s="201">
        <v>2783.68</v>
      </c>
      <c r="AR645" s="199"/>
      <c r="AS645" s="150">
        <f t="shared" ref="AS645:AS663" si="765">AQ645+AR645</f>
        <v>2783.68</v>
      </c>
      <c r="AT645" s="155"/>
      <c r="AU645" s="156">
        <f t="shared" si="745"/>
        <v>0</v>
      </c>
      <c r="AV645" s="156">
        <f t="shared" si="746"/>
        <v>0</v>
      </c>
      <c r="AW645" s="157"/>
      <c r="AX645" s="150">
        <v>2783.68</v>
      </c>
      <c r="AY645" s="150">
        <v>2198.6999999999998</v>
      </c>
      <c r="AZ645" s="150">
        <v>1099.3590000000004</v>
      </c>
      <c r="BA645" s="150">
        <f t="shared" si="733"/>
        <v>3298.0590000000002</v>
      </c>
      <c r="BB645" s="202">
        <v>5</v>
      </c>
      <c r="BC645" s="202" t="s">
        <v>632</v>
      </c>
      <c r="BD645" s="202" t="s">
        <v>647</v>
      </c>
      <c r="BE645" s="202" t="s">
        <v>632</v>
      </c>
      <c r="BF645" s="202" t="s">
        <v>632</v>
      </c>
      <c r="BG645" s="203" t="s">
        <v>129</v>
      </c>
      <c r="BH645" s="216">
        <f>AS645</f>
        <v>2783.68</v>
      </c>
      <c r="BI645" s="205"/>
      <c r="BJ645" s="206" t="s">
        <v>6382</v>
      </c>
      <c r="BK645" s="206" t="s">
        <v>559</v>
      </c>
      <c r="BL645" s="207" t="s">
        <v>6383</v>
      </c>
      <c r="BM645" s="208">
        <f>BH645</f>
        <v>2783.68</v>
      </c>
      <c r="BN645" s="160"/>
      <c r="BO645" s="161">
        <f t="shared" si="695"/>
        <v>0</v>
      </c>
      <c r="BP645" s="161"/>
    </row>
    <row r="646" spans="1:68" ht="38.25">
      <c r="A646" s="206" t="s">
        <v>560</v>
      </c>
      <c r="B646" s="195" t="s">
        <v>6384</v>
      </c>
      <c r="C646" s="196" t="s">
        <v>6385</v>
      </c>
      <c r="D646" s="146" t="s">
        <v>4692</v>
      </c>
      <c r="E646" s="196" t="s">
        <v>6385</v>
      </c>
      <c r="F646" s="150">
        <v>108636.85</v>
      </c>
      <c r="G646" s="209">
        <v>0</v>
      </c>
      <c r="H646" s="209"/>
      <c r="I646" s="209">
        <v>0</v>
      </c>
      <c r="J646" s="150">
        <v>15494.48</v>
      </c>
      <c r="K646" s="150">
        <v>9919.5839999999989</v>
      </c>
      <c r="L646" s="150">
        <f t="shared" si="694"/>
        <v>25414.063999999998</v>
      </c>
      <c r="M646" s="150">
        <v>43401.74</v>
      </c>
      <c r="N646" s="150">
        <v>10929.923000000003</v>
      </c>
      <c r="O646" s="150">
        <v>54331.663</v>
      </c>
      <c r="P646" s="150">
        <v>74665.2</v>
      </c>
      <c r="Q646" s="150"/>
      <c r="R646" s="150">
        <f t="shared" si="761"/>
        <v>74665.2</v>
      </c>
      <c r="S646" s="150">
        <f t="shared" si="748"/>
        <v>99553.600000000006</v>
      </c>
      <c r="T646" s="150"/>
      <c r="U646" s="150">
        <v>106092.4</v>
      </c>
      <c r="V646" s="199"/>
      <c r="W646" s="150">
        <f t="shared" si="762"/>
        <v>106092.4</v>
      </c>
      <c r="X646" s="150">
        <v>106092.4</v>
      </c>
      <c r="Y646" s="150"/>
      <c r="Z646" s="150">
        <v>106092.4</v>
      </c>
      <c r="AA646" s="150">
        <f t="shared" si="750"/>
        <v>0</v>
      </c>
      <c r="AB646" s="150">
        <v>106092.4</v>
      </c>
      <c r="AC646" s="199"/>
      <c r="AD646" s="150">
        <f t="shared" si="763"/>
        <v>106092.4</v>
      </c>
      <c r="AE646" s="150">
        <v>106092.4</v>
      </c>
      <c r="AF646" s="169" t="s">
        <v>4680</v>
      </c>
      <c r="AG646" s="201">
        <v>106092.4</v>
      </c>
      <c r="AH646" s="199"/>
      <c r="AI646" s="150">
        <v>106092.4</v>
      </c>
      <c r="AJ646" s="169">
        <f t="shared" si="751"/>
        <v>0</v>
      </c>
      <c r="AK646" s="201">
        <v>106092.4</v>
      </c>
      <c r="AL646" s="199"/>
      <c r="AM646" s="150">
        <f t="shared" si="764"/>
        <v>106092.4</v>
      </c>
      <c r="AN646" s="153">
        <f t="shared" si="752"/>
        <v>0</v>
      </c>
      <c r="AO646" s="154">
        <f t="shared" si="753"/>
        <v>0</v>
      </c>
      <c r="AP646" s="150">
        <v>106092.4</v>
      </c>
      <c r="AQ646" s="201">
        <v>106092.4</v>
      </c>
      <c r="AR646" s="199"/>
      <c r="AS646" s="150">
        <f t="shared" si="765"/>
        <v>106092.4</v>
      </c>
      <c r="AT646" s="155"/>
      <c r="AU646" s="156">
        <f t="shared" si="745"/>
        <v>0</v>
      </c>
      <c r="AV646" s="156">
        <f t="shared" si="746"/>
        <v>0</v>
      </c>
      <c r="AW646" s="157"/>
      <c r="AX646" s="150">
        <v>106092.4</v>
      </c>
      <c r="AY646" s="150">
        <v>65584.94</v>
      </c>
      <c r="AZ646" s="150">
        <v>47608.15449999999</v>
      </c>
      <c r="BA646" s="150">
        <f t="shared" si="733"/>
        <v>113193.09449999999</v>
      </c>
      <c r="BB646" s="202">
        <v>5</v>
      </c>
      <c r="BC646" s="202" t="s">
        <v>632</v>
      </c>
      <c r="BD646" s="202" t="s">
        <v>647</v>
      </c>
      <c r="BE646" s="202" t="s">
        <v>632</v>
      </c>
      <c r="BF646" s="194" t="s">
        <v>647</v>
      </c>
      <c r="BG646" s="203" t="s">
        <v>130</v>
      </c>
      <c r="BH646" s="216">
        <f>SUM(AS646:AS648)</f>
        <v>106092.4</v>
      </c>
      <c r="BI646" s="205"/>
      <c r="BJ646" s="206" t="s">
        <v>6386</v>
      </c>
      <c r="BK646" s="206" t="s">
        <v>560</v>
      </c>
      <c r="BL646" s="207" t="s">
        <v>6387</v>
      </c>
      <c r="BM646" s="208">
        <f>BH646</f>
        <v>106092.4</v>
      </c>
      <c r="BN646" s="160"/>
      <c r="BO646" s="161">
        <f t="shared" si="695"/>
        <v>0</v>
      </c>
      <c r="BP646" s="161"/>
    </row>
    <row r="647" spans="1:68" ht="38.25">
      <c r="A647" s="210"/>
      <c r="B647" s="195" t="s">
        <v>6388</v>
      </c>
      <c r="C647" s="196" t="s">
        <v>6389</v>
      </c>
      <c r="D647" s="146" t="s">
        <v>4692</v>
      </c>
      <c r="E647" s="196" t="s">
        <v>6390</v>
      </c>
      <c r="F647" s="150">
        <v>0</v>
      </c>
      <c r="G647" s="209">
        <v>166054.22</v>
      </c>
      <c r="H647" s="209">
        <v>4.4000000052619725E-3</v>
      </c>
      <c r="I647" s="209">
        <v>166054.22440000001</v>
      </c>
      <c r="J647" s="150">
        <v>0</v>
      </c>
      <c r="K647" s="150">
        <v>0</v>
      </c>
      <c r="L647" s="150">
        <f t="shared" si="694"/>
        <v>0</v>
      </c>
      <c r="M647" s="150">
        <v>0</v>
      </c>
      <c r="N647" s="150"/>
      <c r="O647" s="150">
        <v>0</v>
      </c>
      <c r="P647" s="150">
        <v>0</v>
      </c>
      <c r="Q647" s="150"/>
      <c r="R647" s="150">
        <f t="shared" si="761"/>
        <v>0</v>
      </c>
      <c r="S647" s="150">
        <f t="shared" si="748"/>
        <v>0</v>
      </c>
      <c r="T647" s="150"/>
      <c r="U647" s="150">
        <v>0</v>
      </c>
      <c r="V647" s="199"/>
      <c r="W647" s="150">
        <f t="shared" si="762"/>
        <v>0</v>
      </c>
      <c r="X647" s="150">
        <v>0</v>
      </c>
      <c r="Y647" s="150"/>
      <c r="Z647" s="150">
        <v>0</v>
      </c>
      <c r="AA647" s="150">
        <f t="shared" si="750"/>
        <v>0</v>
      </c>
      <c r="AB647" s="150">
        <v>0</v>
      </c>
      <c r="AC647" s="199"/>
      <c r="AD647" s="150">
        <f t="shared" si="763"/>
        <v>0</v>
      </c>
      <c r="AE647" s="150">
        <v>0</v>
      </c>
      <c r="AF647" s="169" t="s">
        <v>4680</v>
      </c>
      <c r="AG647" s="201">
        <v>0</v>
      </c>
      <c r="AH647" s="199"/>
      <c r="AI647" s="150">
        <v>0</v>
      </c>
      <c r="AJ647" s="169">
        <f t="shared" si="751"/>
        <v>0</v>
      </c>
      <c r="AK647" s="201">
        <v>0</v>
      </c>
      <c r="AL647" s="199"/>
      <c r="AM647" s="150">
        <f t="shared" si="764"/>
        <v>0</v>
      </c>
      <c r="AN647" s="153">
        <f t="shared" si="752"/>
        <v>0</v>
      </c>
      <c r="AO647" s="154">
        <f t="shared" si="753"/>
        <v>0</v>
      </c>
      <c r="AP647" s="150">
        <v>0</v>
      </c>
      <c r="AQ647" s="201">
        <v>0</v>
      </c>
      <c r="AR647" s="199"/>
      <c r="AS647" s="150">
        <f t="shared" si="765"/>
        <v>0</v>
      </c>
      <c r="AT647" s="155"/>
      <c r="AU647" s="156">
        <f t="shared" si="745"/>
        <v>0</v>
      </c>
      <c r="AV647" s="156">
        <f t="shared" si="746"/>
        <v>0</v>
      </c>
      <c r="AW647" s="157"/>
      <c r="AX647" s="150">
        <v>0</v>
      </c>
      <c r="AY647" s="150">
        <v>0</v>
      </c>
      <c r="AZ647" s="150"/>
      <c r="BA647" s="150">
        <f t="shared" si="733"/>
        <v>0</v>
      </c>
      <c r="BB647" s="210"/>
      <c r="BC647" s="210"/>
      <c r="BD647" s="210"/>
      <c r="BE647" s="210"/>
      <c r="BF647" s="210"/>
      <c r="BG647" s="210"/>
      <c r="BH647" s="217"/>
      <c r="BI647" s="210"/>
      <c r="BJ647" s="210"/>
      <c r="BK647" s="210"/>
      <c r="BL647" s="210"/>
      <c r="BM647" s="208"/>
      <c r="BN647" s="160"/>
      <c r="BO647" s="161">
        <f t="shared" si="695"/>
        <v>0</v>
      </c>
      <c r="BP647" s="161"/>
    </row>
    <row r="648" spans="1:68" ht="38.25">
      <c r="A648" s="210"/>
      <c r="B648" s="195" t="s">
        <v>6391</v>
      </c>
      <c r="C648" s="196" t="s">
        <v>6392</v>
      </c>
      <c r="D648" s="146" t="s">
        <v>4692</v>
      </c>
      <c r="E648" s="196" t="s">
        <v>6392</v>
      </c>
      <c r="F648" s="150">
        <v>166054.22</v>
      </c>
      <c r="G648" s="209">
        <v>0</v>
      </c>
      <c r="H648" s="209"/>
      <c r="I648" s="209">
        <v>0</v>
      </c>
      <c r="J648" s="150">
        <v>0</v>
      </c>
      <c r="K648" s="150">
        <v>0</v>
      </c>
      <c r="L648" s="150">
        <f t="shared" si="694"/>
        <v>0</v>
      </c>
      <c r="M648" s="150">
        <v>0</v>
      </c>
      <c r="N648" s="150"/>
      <c r="O648" s="150">
        <v>0</v>
      </c>
      <c r="P648" s="150">
        <v>0</v>
      </c>
      <c r="Q648" s="150"/>
      <c r="R648" s="150">
        <f t="shared" si="761"/>
        <v>0</v>
      </c>
      <c r="S648" s="150">
        <f t="shared" si="748"/>
        <v>0</v>
      </c>
      <c r="T648" s="150"/>
      <c r="U648" s="150">
        <v>0</v>
      </c>
      <c r="V648" s="199"/>
      <c r="W648" s="150">
        <f t="shared" si="762"/>
        <v>0</v>
      </c>
      <c r="X648" s="150">
        <v>0</v>
      </c>
      <c r="Y648" s="150"/>
      <c r="Z648" s="150">
        <v>0</v>
      </c>
      <c r="AA648" s="150">
        <f t="shared" si="750"/>
        <v>0</v>
      </c>
      <c r="AB648" s="150">
        <v>0</v>
      </c>
      <c r="AC648" s="199"/>
      <c r="AD648" s="150">
        <f t="shared" si="763"/>
        <v>0</v>
      </c>
      <c r="AE648" s="150">
        <v>0</v>
      </c>
      <c r="AF648" s="169" t="s">
        <v>4680</v>
      </c>
      <c r="AG648" s="201">
        <v>0</v>
      </c>
      <c r="AH648" s="199"/>
      <c r="AI648" s="150">
        <v>0</v>
      </c>
      <c r="AJ648" s="169">
        <f t="shared" si="751"/>
        <v>0</v>
      </c>
      <c r="AK648" s="201">
        <v>0</v>
      </c>
      <c r="AL648" s="199"/>
      <c r="AM648" s="150">
        <f t="shared" si="764"/>
        <v>0</v>
      </c>
      <c r="AN648" s="153">
        <f t="shared" si="752"/>
        <v>0</v>
      </c>
      <c r="AO648" s="154">
        <f t="shared" si="753"/>
        <v>0</v>
      </c>
      <c r="AP648" s="150">
        <v>0</v>
      </c>
      <c r="AQ648" s="201">
        <v>0</v>
      </c>
      <c r="AR648" s="199"/>
      <c r="AS648" s="150">
        <f t="shared" si="765"/>
        <v>0</v>
      </c>
      <c r="AT648" s="155"/>
      <c r="AU648" s="156">
        <f t="shared" si="745"/>
        <v>0</v>
      </c>
      <c r="AV648" s="156">
        <f t="shared" si="746"/>
        <v>0</v>
      </c>
      <c r="AW648" s="157"/>
      <c r="AX648" s="150">
        <v>0</v>
      </c>
      <c r="AY648" s="150">
        <v>0</v>
      </c>
      <c r="AZ648" s="150"/>
      <c r="BA648" s="150">
        <f t="shared" si="733"/>
        <v>0</v>
      </c>
      <c r="BB648" s="210"/>
      <c r="BC648" s="210"/>
      <c r="BD648" s="210"/>
      <c r="BE648" s="210"/>
      <c r="BF648" s="210"/>
      <c r="BG648" s="210"/>
      <c r="BH648" s="217"/>
      <c r="BI648" s="210"/>
      <c r="BJ648" s="210"/>
      <c r="BK648" s="210"/>
      <c r="BL648" s="210"/>
      <c r="BM648" s="208"/>
      <c r="BN648" s="160"/>
      <c r="BO648" s="161">
        <f t="shared" si="695"/>
        <v>0</v>
      </c>
      <c r="BP648" s="161"/>
    </row>
    <row r="649" spans="1:68" ht="25.5">
      <c r="A649" s="206" t="s">
        <v>561</v>
      </c>
      <c r="B649" s="195" t="s">
        <v>6393</v>
      </c>
      <c r="C649" s="196" t="s">
        <v>6394</v>
      </c>
      <c r="D649" s="146" t="s">
        <v>4692</v>
      </c>
      <c r="E649" s="196" t="s">
        <v>1309</v>
      </c>
      <c r="F649" s="150">
        <v>156.26</v>
      </c>
      <c r="G649" s="209">
        <v>37688.120000000003</v>
      </c>
      <c r="H649" s="209">
        <v>6743.8799999999974</v>
      </c>
      <c r="I649" s="209">
        <v>44432</v>
      </c>
      <c r="J649" s="150">
        <v>0</v>
      </c>
      <c r="K649" s="150">
        <v>0</v>
      </c>
      <c r="L649" s="150">
        <f t="shared" ref="L649:L712" si="766">J649+K649</f>
        <v>0</v>
      </c>
      <c r="M649" s="150">
        <v>50</v>
      </c>
      <c r="N649" s="150"/>
      <c r="O649" s="150">
        <v>50</v>
      </c>
      <c r="P649" s="150">
        <v>378.75</v>
      </c>
      <c r="Q649" s="150"/>
      <c r="R649" s="150">
        <f t="shared" si="761"/>
        <v>378.75</v>
      </c>
      <c r="S649" s="150">
        <f t="shared" si="748"/>
        <v>505</v>
      </c>
      <c r="T649" s="150"/>
      <c r="U649" s="150">
        <v>412.81</v>
      </c>
      <c r="V649" s="199">
        <v>16244.6186</v>
      </c>
      <c r="W649" s="150">
        <f t="shared" si="762"/>
        <v>16657.428599999999</v>
      </c>
      <c r="X649" s="150">
        <v>412.81</v>
      </c>
      <c r="Y649" s="150">
        <v>16244.6186</v>
      </c>
      <c r="Z649" s="150">
        <v>16657.428599999999</v>
      </c>
      <c r="AA649" s="150">
        <f t="shared" si="750"/>
        <v>0</v>
      </c>
      <c r="AB649" s="150">
        <v>412.81</v>
      </c>
      <c r="AC649" s="199">
        <v>16244.6186</v>
      </c>
      <c r="AD649" s="150">
        <f t="shared" si="763"/>
        <v>16657.428599999999</v>
      </c>
      <c r="AE649" s="150">
        <v>16657.428599999999</v>
      </c>
      <c r="AF649" s="169" t="s">
        <v>4680</v>
      </c>
      <c r="AG649" s="201">
        <v>412.81</v>
      </c>
      <c r="AH649" s="199">
        <v>16244.6186</v>
      </c>
      <c r="AI649" s="150">
        <v>16657.428599999999</v>
      </c>
      <c r="AJ649" s="169">
        <f t="shared" si="751"/>
        <v>0</v>
      </c>
      <c r="AK649" s="201">
        <v>412.81</v>
      </c>
      <c r="AL649" s="199">
        <v>16244.6186</v>
      </c>
      <c r="AM649" s="150">
        <f t="shared" si="764"/>
        <v>16657.428599999999</v>
      </c>
      <c r="AN649" s="153"/>
      <c r="AO649" s="154">
        <f t="shared" si="753"/>
        <v>1.4000000010128133E-3</v>
      </c>
      <c r="AP649" s="150">
        <v>16657.428599999999</v>
      </c>
      <c r="AQ649" s="201">
        <v>16657.43</v>
      </c>
      <c r="AR649" s="199"/>
      <c r="AS649" s="150">
        <f t="shared" si="765"/>
        <v>16657.43</v>
      </c>
      <c r="AT649" s="155" t="s">
        <v>6020</v>
      </c>
      <c r="AU649" s="156">
        <f t="shared" si="745"/>
        <v>0</v>
      </c>
      <c r="AV649" s="156">
        <f t="shared" si="746"/>
        <v>0</v>
      </c>
      <c r="AW649" s="157" t="s">
        <v>6021</v>
      </c>
      <c r="AX649" s="150">
        <v>16657.428599999999</v>
      </c>
      <c r="AY649" s="150">
        <v>50</v>
      </c>
      <c r="AZ649" s="150"/>
      <c r="BA649" s="150">
        <f t="shared" si="733"/>
        <v>50</v>
      </c>
      <c r="BB649" s="202">
        <v>5</v>
      </c>
      <c r="BC649" s="202" t="s">
        <v>632</v>
      </c>
      <c r="BD649" s="202" t="s">
        <v>647</v>
      </c>
      <c r="BE649" s="202" t="s">
        <v>632</v>
      </c>
      <c r="BF649" s="202" t="s">
        <v>671</v>
      </c>
      <c r="BG649" s="203" t="s">
        <v>131</v>
      </c>
      <c r="BH649" s="216">
        <f>AS649</f>
        <v>16657.43</v>
      </c>
      <c r="BI649" s="205"/>
      <c r="BJ649" s="206" t="s">
        <v>6395</v>
      </c>
      <c r="BK649" s="206" t="s">
        <v>561</v>
      </c>
      <c r="BL649" s="207" t="s">
        <v>6396</v>
      </c>
      <c r="BM649" s="208">
        <f>BH649</f>
        <v>16657.43</v>
      </c>
      <c r="BN649" s="160"/>
      <c r="BO649" s="161">
        <f t="shared" si="695"/>
        <v>0</v>
      </c>
      <c r="BP649" s="161"/>
    </row>
    <row r="650" spans="1:68" ht="25.5">
      <c r="A650" s="206" t="s">
        <v>561</v>
      </c>
      <c r="B650" s="195" t="s">
        <v>6397</v>
      </c>
      <c r="C650" s="196" t="s">
        <v>6398</v>
      </c>
      <c r="D650" s="146" t="s">
        <v>4692</v>
      </c>
      <c r="E650" s="196" t="s">
        <v>6398</v>
      </c>
      <c r="F650" s="150">
        <v>39549.53</v>
      </c>
      <c r="G650" s="209">
        <v>142322.6</v>
      </c>
      <c r="H650" s="209"/>
      <c r="I650" s="209">
        <v>142322.6</v>
      </c>
      <c r="J650" s="150">
        <v>6344.19</v>
      </c>
      <c r="K650" s="150">
        <v>3090.1000000000004</v>
      </c>
      <c r="L650" s="150">
        <f t="shared" si="766"/>
        <v>9434.2900000000009</v>
      </c>
      <c r="M650" s="150">
        <v>15908.32</v>
      </c>
      <c r="N650" s="150"/>
      <c r="O650" s="150">
        <v>15908.32</v>
      </c>
      <c r="P650" s="150">
        <v>26757.360000000001</v>
      </c>
      <c r="Q650" s="150"/>
      <c r="R650" s="150">
        <f t="shared" si="761"/>
        <v>26757.360000000001</v>
      </c>
      <c r="S650" s="150">
        <f t="shared" si="748"/>
        <v>35676.479999999996</v>
      </c>
      <c r="T650" s="150"/>
      <c r="U650" s="150">
        <v>35961.06</v>
      </c>
      <c r="V650" s="199">
        <v>3215.1524300000019</v>
      </c>
      <c r="W650" s="150">
        <f t="shared" si="762"/>
        <v>39176.21243</v>
      </c>
      <c r="X650" s="150">
        <v>35961.06</v>
      </c>
      <c r="Y650" s="150">
        <v>3215.1524300000019</v>
      </c>
      <c r="Z650" s="150">
        <v>39176.21243</v>
      </c>
      <c r="AA650" s="150">
        <f t="shared" si="750"/>
        <v>-2.4300000004586764E-3</v>
      </c>
      <c r="AB650" s="150">
        <v>39176.21</v>
      </c>
      <c r="AC650" s="199"/>
      <c r="AD650" s="150">
        <f t="shared" si="763"/>
        <v>39176.21</v>
      </c>
      <c r="AE650" s="150">
        <v>39176.21</v>
      </c>
      <c r="AF650" s="169" t="s">
        <v>4680</v>
      </c>
      <c r="AG650" s="201">
        <v>39176.21</v>
      </c>
      <c r="AH650" s="199"/>
      <c r="AI650" s="150">
        <v>39176.21</v>
      </c>
      <c r="AJ650" s="169">
        <f t="shared" si="751"/>
        <v>0</v>
      </c>
      <c r="AK650" s="201">
        <v>39176.21</v>
      </c>
      <c r="AL650" s="199"/>
      <c r="AM650" s="150">
        <f t="shared" si="764"/>
        <v>39176.21</v>
      </c>
      <c r="AN650" s="153">
        <f t="shared" si="752"/>
        <v>0</v>
      </c>
      <c r="AO650" s="154">
        <f t="shared" si="753"/>
        <v>0</v>
      </c>
      <c r="AP650" s="150">
        <v>39176.21</v>
      </c>
      <c r="AQ650" s="201">
        <v>39176.21</v>
      </c>
      <c r="AR650" s="199"/>
      <c r="AS650" s="150">
        <f t="shared" si="765"/>
        <v>39176.21</v>
      </c>
      <c r="AT650" s="155"/>
      <c r="AU650" s="156">
        <f t="shared" si="745"/>
        <v>0</v>
      </c>
      <c r="AV650" s="156">
        <f t="shared" si="746"/>
        <v>-2.4300000004586764E-3</v>
      </c>
      <c r="AW650" s="157"/>
      <c r="AX650" s="150">
        <v>39176.21243</v>
      </c>
      <c r="AY650" s="150">
        <v>22489.34</v>
      </c>
      <c r="AZ650" s="150">
        <v>11244.672669999996</v>
      </c>
      <c r="BA650" s="150">
        <f t="shared" si="733"/>
        <v>33734.012669999996</v>
      </c>
      <c r="BB650" s="202">
        <v>5</v>
      </c>
      <c r="BC650" s="202" t="s">
        <v>632</v>
      </c>
      <c r="BD650" s="202" t="s">
        <v>647</v>
      </c>
      <c r="BE650" s="202" t="s">
        <v>632</v>
      </c>
      <c r="BF650" s="194" t="s">
        <v>766</v>
      </c>
      <c r="BG650" s="203" t="s">
        <v>6399</v>
      </c>
      <c r="BH650" s="216">
        <f>AS650</f>
        <v>39176.21</v>
      </c>
      <c r="BI650" s="205"/>
      <c r="BJ650" s="206" t="s">
        <v>6395</v>
      </c>
      <c r="BK650" s="206" t="s">
        <v>561</v>
      </c>
      <c r="BL650" s="207" t="s">
        <v>6396</v>
      </c>
      <c r="BM650" s="208">
        <f>BH650</f>
        <v>39176.21</v>
      </c>
      <c r="BN650" s="160"/>
      <c r="BO650" s="161">
        <f t="shared" si="695"/>
        <v>0</v>
      </c>
      <c r="BP650" s="161"/>
    </row>
    <row r="651" spans="1:68" ht="25.5">
      <c r="A651" s="206" t="s">
        <v>562</v>
      </c>
      <c r="B651" s="195" t="s">
        <v>6400</v>
      </c>
      <c r="C651" s="196" t="s">
        <v>1314</v>
      </c>
      <c r="D651" s="146" t="s">
        <v>4692</v>
      </c>
      <c r="E651" s="196" t="s">
        <v>1314</v>
      </c>
      <c r="F651" s="150">
        <v>142415.6</v>
      </c>
      <c r="G651" s="209">
        <v>35989.99</v>
      </c>
      <c r="H651" s="209">
        <v>1.0000000002037268E-2</v>
      </c>
      <c r="I651" s="209">
        <v>35990</v>
      </c>
      <c r="J651" s="150">
        <v>28191.37</v>
      </c>
      <c r="K651" s="150">
        <v>17708.702200000003</v>
      </c>
      <c r="L651" s="150">
        <f t="shared" si="766"/>
        <v>45900.072200000002</v>
      </c>
      <c r="M651" s="150">
        <v>58765.99</v>
      </c>
      <c r="N651" s="150">
        <v>13763.205200000004</v>
      </c>
      <c r="O651" s="150">
        <v>72529.195200000002</v>
      </c>
      <c r="P651" s="150">
        <v>85101.81</v>
      </c>
      <c r="Q651" s="150">
        <v>2778.0351999999984</v>
      </c>
      <c r="R651" s="150">
        <f t="shared" si="761"/>
        <v>87879.845199999996</v>
      </c>
      <c r="S651" s="150">
        <f t="shared" si="748"/>
        <v>117173.12693333332</v>
      </c>
      <c r="T651" s="150"/>
      <c r="U651" s="150">
        <v>123255.16</v>
      </c>
      <c r="V651" s="199">
        <v>1743.99</v>
      </c>
      <c r="W651" s="150">
        <f t="shared" si="762"/>
        <v>124999.15000000001</v>
      </c>
      <c r="X651" s="150">
        <v>123255.16</v>
      </c>
      <c r="Y651" s="150">
        <v>1743.99</v>
      </c>
      <c r="Z651" s="150">
        <v>124999.15000000001</v>
      </c>
      <c r="AA651" s="150">
        <f t="shared" si="750"/>
        <v>0</v>
      </c>
      <c r="AB651" s="150">
        <v>124999.15</v>
      </c>
      <c r="AC651" s="199"/>
      <c r="AD651" s="150">
        <f t="shared" si="763"/>
        <v>124999.15</v>
      </c>
      <c r="AE651" s="150">
        <v>124999.15</v>
      </c>
      <c r="AF651" s="169" t="s">
        <v>4680</v>
      </c>
      <c r="AG651" s="201">
        <v>124999.15</v>
      </c>
      <c r="AH651" s="199"/>
      <c r="AI651" s="150">
        <v>124999.15</v>
      </c>
      <c r="AJ651" s="169">
        <f t="shared" si="751"/>
        <v>0</v>
      </c>
      <c r="AK651" s="201">
        <v>124999.15</v>
      </c>
      <c r="AL651" s="199"/>
      <c r="AM651" s="150">
        <f t="shared" si="764"/>
        <v>124999.15</v>
      </c>
      <c r="AN651" s="153">
        <f t="shared" si="752"/>
        <v>0</v>
      </c>
      <c r="AO651" s="154">
        <f t="shared" si="753"/>
        <v>0</v>
      </c>
      <c r="AP651" s="150">
        <v>124999.15</v>
      </c>
      <c r="AQ651" s="201">
        <v>124999.15</v>
      </c>
      <c r="AR651" s="199"/>
      <c r="AS651" s="150">
        <f t="shared" si="765"/>
        <v>124999.15</v>
      </c>
      <c r="AT651" s="155" t="s">
        <v>6020</v>
      </c>
      <c r="AU651" s="156">
        <f t="shared" si="745"/>
        <v>0</v>
      </c>
      <c r="AV651" s="156">
        <f t="shared" si="746"/>
        <v>0</v>
      </c>
      <c r="AW651" s="157" t="s">
        <v>6021</v>
      </c>
      <c r="AX651" s="150">
        <v>124999.15000000001</v>
      </c>
      <c r="AY651" s="150">
        <v>68446.61</v>
      </c>
      <c r="AZ651" s="150">
        <v>67495.342599999989</v>
      </c>
      <c r="BA651" s="150">
        <f t="shared" si="733"/>
        <v>135941.95259999999</v>
      </c>
      <c r="BB651" s="202">
        <v>5</v>
      </c>
      <c r="BC651" s="202" t="s">
        <v>632</v>
      </c>
      <c r="BD651" s="202" t="s">
        <v>647</v>
      </c>
      <c r="BE651" s="202" t="s">
        <v>632</v>
      </c>
      <c r="BF651" s="194" t="s">
        <v>693</v>
      </c>
      <c r="BG651" s="203" t="s">
        <v>132</v>
      </c>
      <c r="BH651" s="216">
        <f>AS651</f>
        <v>124999.15</v>
      </c>
      <c r="BI651" s="205"/>
      <c r="BJ651" s="206" t="s">
        <v>6401</v>
      </c>
      <c r="BK651" s="206" t="s">
        <v>562</v>
      </c>
      <c r="BL651" s="207" t="s">
        <v>6402</v>
      </c>
      <c r="BM651" s="208">
        <f>BH651</f>
        <v>124999.15</v>
      </c>
      <c r="BN651" s="160"/>
      <c r="BO651" s="161">
        <f t="shared" si="695"/>
        <v>0</v>
      </c>
      <c r="BP651" s="161"/>
    </row>
    <row r="652" spans="1:68" ht="25.5">
      <c r="A652" s="206" t="s">
        <v>563</v>
      </c>
      <c r="B652" s="195" t="s">
        <v>6403</v>
      </c>
      <c r="C652" s="196" t="s">
        <v>6404</v>
      </c>
      <c r="D652" s="146" t="s">
        <v>4692</v>
      </c>
      <c r="E652" s="196" t="s">
        <v>6404</v>
      </c>
      <c r="F652" s="150">
        <v>35989.99</v>
      </c>
      <c r="G652" s="209">
        <v>0</v>
      </c>
      <c r="H652" s="209"/>
      <c r="I652" s="209">
        <v>0</v>
      </c>
      <c r="J652" s="150">
        <v>0</v>
      </c>
      <c r="K652" s="150">
        <v>0</v>
      </c>
      <c r="L652" s="150">
        <f t="shared" si="766"/>
        <v>0</v>
      </c>
      <c r="M652" s="150">
        <v>0</v>
      </c>
      <c r="N652" s="150"/>
      <c r="O652" s="150">
        <v>0</v>
      </c>
      <c r="P652" s="150">
        <v>0</v>
      </c>
      <c r="Q652" s="150">
        <v>0</v>
      </c>
      <c r="R652" s="150">
        <f t="shared" si="761"/>
        <v>0</v>
      </c>
      <c r="S652" s="150">
        <f t="shared" si="748"/>
        <v>0</v>
      </c>
      <c r="T652" s="150"/>
      <c r="U652" s="150">
        <v>0</v>
      </c>
      <c r="V652" s="199"/>
      <c r="W652" s="150">
        <f t="shared" si="762"/>
        <v>0</v>
      </c>
      <c r="X652" s="150">
        <v>0</v>
      </c>
      <c r="Y652" s="150"/>
      <c r="Z652" s="150">
        <v>0</v>
      </c>
      <c r="AA652" s="150">
        <f t="shared" si="750"/>
        <v>0</v>
      </c>
      <c r="AB652" s="150">
        <v>0</v>
      </c>
      <c r="AC652" s="199"/>
      <c r="AD652" s="150">
        <f t="shared" si="763"/>
        <v>0</v>
      </c>
      <c r="AE652" s="150">
        <v>0</v>
      </c>
      <c r="AF652" s="169" t="s">
        <v>4680</v>
      </c>
      <c r="AG652" s="201">
        <v>0</v>
      </c>
      <c r="AH652" s="199"/>
      <c r="AI652" s="150">
        <v>0</v>
      </c>
      <c r="AJ652" s="169">
        <f t="shared" si="751"/>
        <v>0</v>
      </c>
      <c r="AK652" s="201">
        <v>0</v>
      </c>
      <c r="AL652" s="199"/>
      <c r="AM652" s="150">
        <f t="shared" si="764"/>
        <v>0</v>
      </c>
      <c r="AN652" s="153">
        <f t="shared" si="752"/>
        <v>0</v>
      </c>
      <c r="AO652" s="154">
        <f t="shared" si="753"/>
        <v>0</v>
      </c>
      <c r="AP652" s="150">
        <v>0</v>
      </c>
      <c r="AQ652" s="201">
        <v>0</v>
      </c>
      <c r="AR652" s="199"/>
      <c r="AS652" s="150">
        <f t="shared" si="765"/>
        <v>0</v>
      </c>
      <c r="AT652" s="155"/>
      <c r="AU652" s="156">
        <f t="shared" si="745"/>
        <v>0</v>
      </c>
      <c r="AV652" s="156">
        <f t="shared" si="746"/>
        <v>0</v>
      </c>
      <c r="AW652" s="157"/>
      <c r="AX652" s="150">
        <v>0</v>
      </c>
      <c r="AY652" s="150">
        <v>0</v>
      </c>
      <c r="AZ652" s="150"/>
      <c r="BA652" s="150">
        <f t="shared" si="733"/>
        <v>0</v>
      </c>
      <c r="BB652" s="202">
        <v>5</v>
      </c>
      <c r="BC652" s="202" t="s">
        <v>632</v>
      </c>
      <c r="BD652" s="202" t="s">
        <v>647</v>
      </c>
      <c r="BE652" s="202" t="s">
        <v>632</v>
      </c>
      <c r="BF652" s="202" t="s">
        <v>714</v>
      </c>
      <c r="BG652" s="203" t="s">
        <v>133</v>
      </c>
      <c r="BH652" s="216">
        <f>SUM(AS652:AS659)</f>
        <v>604.49</v>
      </c>
      <c r="BI652" s="205"/>
      <c r="BJ652" s="206" t="s">
        <v>6405</v>
      </c>
      <c r="BK652" s="206" t="s">
        <v>563</v>
      </c>
      <c r="BL652" s="207" t="s">
        <v>6406</v>
      </c>
      <c r="BM652" s="208">
        <f>BH652</f>
        <v>604.49</v>
      </c>
      <c r="BN652" s="160"/>
      <c r="BO652" s="161"/>
      <c r="BP652" s="161"/>
    </row>
    <row r="653" spans="1:68" ht="25.5">
      <c r="A653" s="210"/>
      <c r="B653" s="195" t="s">
        <v>6407</v>
      </c>
      <c r="C653" s="196" t="s">
        <v>6408</v>
      </c>
      <c r="D653" s="146" t="s">
        <v>4692</v>
      </c>
      <c r="E653" s="196" t="s">
        <v>6408</v>
      </c>
      <c r="F653" s="150">
        <v>0</v>
      </c>
      <c r="G653" s="209">
        <v>0</v>
      </c>
      <c r="H653" s="209"/>
      <c r="I653" s="209">
        <v>0</v>
      </c>
      <c r="J653" s="150">
        <v>0</v>
      </c>
      <c r="K653" s="150">
        <v>0</v>
      </c>
      <c r="L653" s="150">
        <f t="shared" si="766"/>
        <v>0</v>
      </c>
      <c r="M653" s="150">
        <v>0</v>
      </c>
      <c r="N653" s="150"/>
      <c r="O653" s="150">
        <v>0</v>
      </c>
      <c r="P653" s="150">
        <v>0</v>
      </c>
      <c r="Q653" s="150">
        <v>0</v>
      </c>
      <c r="R653" s="150">
        <f t="shared" si="761"/>
        <v>0</v>
      </c>
      <c r="S653" s="150">
        <f t="shared" si="748"/>
        <v>0</v>
      </c>
      <c r="T653" s="150"/>
      <c r="U653" s="150">
        <v>0</v>
      </c>
      <c r="V653" s="199"/>
      <c r="W653" s="150">
        <f t="shared" si="762"/>
        <v>0</v>
      </c>
      <c r="X653" s="150">
        <v>0</v>
      </c>
      <c r="Y653" s="150"/>
      <c r="Z653" s="150">
        <v>0</v>
      </c>
      <c r="AA653" s="150">
        <f t="shared" si="750"/>
        <v>0</v>
      </c>
      <c r="AB653" s="150">
        <v>0</v>
      </c>
      <c r="AC653" s="199"/>
      <c r="AD653" s="150">
        <f t="shared" si="763"/>
        <v>0</v>
      </c>
      <c r="AE653" s="150">
        <v>0</v>
      </c>
      <c r="AF653" s="169" t="s">
        <v>4680</v>
      </c>
      <c r="AG653" s="201">
        <v>0</v>
      </c>
      <c r="AH653" s="199"/>
      <c r="AI653" s="150">
        <v>0</v>
      </c>
      <c r="AJ653" s="169">
        <f t="shared" si="751"/>
        <v>0</v>
      </c>
      <c r="AK653" s="201">
        <v>0</v>
      </c>
      <c r="AL653" s="199"/>
      <c r="AM653" s="150">
        <f t="shared" si="764"/>
        <v>0</v>
      </c>
      <c r="AN653" s="153">
        <f t="shared" si="752"/>
        <v>0</v>
      </c>
      <c r="AO653" s="154">
        <f t="shared" si="753"/>
        <v>0</v>
      </c>
      <c r="AP653" s="150">
        <v>0</v>
      </c>
      <c r="AQ653" s="201">
        <v>0</v>
      </c>
      <c r="AR653" s="199"/>
      <c r="AS653" s="150">
        <f t="shared" si="765"/>
        <v>0</v>
      </c>
      <c r="AT653" s="155"/>
      <c r="AU653" s="156">
        <f t="shared" si="745"/>
        <v>0</v>
      </c>
      <c r="AV653" s="156">
        <f t="shared" si="746"/>
        <v>0</v>
      </c>
      <c r="AW653" s="157"/>
      <c r="AX653" s="150">
        <v>0</v>
      </c>
      <c r="AY653" s="150">
        <v>0</v>
      </c>
      <c r="AZ653" s="150"/>
      <c r="BA653" s="150">
        <f t="shared" si="733"/>
        <v>0</v>
      </c>
      <c r="BB653" s="210"/>
      <c r="BC653" s="210"/>
      <c r="BD653" s="210"/>
      <c r="BE653" s="210"/>
      <c r="BF653" s="210"/>
      <c r="BG653" s="210"/>
      <c r="BH653" s="217"/>
      <c r="BI653" s="210"/>
      <c r="BJ653" s="210"/>
      <c r="BK653" s="210"/>
      <c r="BL653" s="210"/>
      <c r="BM653" s="208"/>
      <c r="BN653" s="160"/>
      <c r="BO653" s="161"/>
      <c r="BP653" s="161"/>
    </row>
    <row r="654" spans="1:68" ht="38.25">
      <c r="A654" s="210"/>
      <c r="B654" s="195" t="s">
        <v>6409</v>
      </c>
      <c r="C654" s="196" t="s">
        <v>6410</v>
      </c>
      <c r="D654" s="146" t="s">
        <v>4692</v>
      </c>
      <c r="E654" s="196" t="s">
        <v>6410</v>
      </c>
      <c r="F654" s="150">
        <v>0</v>
      </c>
      <c r="G654" s="209">
        <v>0</v>
      </c>
      <c r="H654" s="209"/>
      <c r="I654" s="209">
        <v>0</v>
      </c>
      <c r="J654" s="150">
        <v>0</v>
      </c>
      <c r="K654" s="150">
        <v>0</v>
      </c>
      <c r="L654" s="150">
        <f t="shared" si="766"/>
        <v>0</v>
      </c>
      <c r="M654" s="150">
        <v>0</v>
      </c>
      <c r="N654" s="150"/>
      <c r="O654" s="150">
        <v>0</v>
      </c>
      <c r="P654" s="150">
        <v>0</v>
      </c>
      <c r="Q654" s="150">
        <v>0</v>
      </c>
      <c r="R654" s="150">
        <f t="shared" si="761"/>
        <v>0</v>
      </c>
      <c r="S654" s="150">
        <f t="shared" si="748"/>
        <v>0</v>
      </c>
      <c r="T654" s="150"/>
      <c r="U654" s="150">
        <v>0</v>
      </c>
      <c r="V654" s="199"/>
      <c r="W654" s="150">
        <f t="shared" si="762"/>
        <v>0</v>
      </c>
      <c r="X654" s="150">
        <v>0</v>
      </c>
      <c r="Y654" s="150"/>
      <c r="Z654" s="150">
        <v>0</v>
      </c>
      <c r="AA654" s="150">
        <f t="shared" si="750"/>
        <v>0</v>
      </c>
      <c r="AB654" s="150">
        <v>0</v>
      </c>
      <c r="AC654" s="199"/>
      <c r="AD654" s="150">
        <f t="shared" si="763"/>
        <v>0</v>
      </c>
      <c r="AE654" s="150">
        <v>0</v>
      </c>
      <c r="AF654" s="169" t="s">
        <v>4680</v>
      </c>
      <c r="AG654" s="201">
        <v>0</v>
      </c>
      <c r="AH654" s="199"/>
      <c r="AI654" s="150">
        <v>0</v>
      </c>
      <c r="AJ654" s="169">
        <f t="shared" si="751"/>
        <v>0</v>
      </c>
      <c r="AK654" s="201">
        <v>0</v>
      </c>
      <c r="AL654" s="199"/>
      <c r="AM654" s="150">
        <f t="shared" si="764"/>
        <v>0</v>
      </c>
      <c r="AN654" s="153">
        <f t="shared" si="752"/>
        <v>0</v>
      </c>
      <c r="AO654" s="154">
        <f t="shared" si="753"/>
        <v>0</v>
      </c>
      <c r="AP654" s="150">
        <v>0</v>
      </c>
      <c r="AQ654" s="201">
        <v>0</v>
      </c>
      <c r="AR654" s="199"/>
      <c r="AS654" s="150">
        <f t="shared" si="765"/>
        <v>0</v>
      </c>
      <c r="AT654" s="155"/>
      <c r="AU654" s="156">
        <f t="shared" si="745"/>
        <v>0</v>
      </c>
      <c r="AV654" s="156">
        <f t="shared" si="746"/>
        <v>0</v>
      </c>
      <c r="AW654" s="157"/>
      <c r="AX654" s="150">
        <v>0</v>
      </c>
      <c r="AY654" s="150">
        <v>0</v>
      </c>
      <c r="AZ654" s="150"/>
      <c r="BA654" s="150">
        <f t="shared" si="733"/>
        <v>0</v>
      </c>
      <c r="BB654" s="210"/>
      <c r="BC654" s="210"/>
      <c r="BD654" s="210"/>
      <c r="BE654" s="210"/>
      <c r="BF654" s="210"/>
      <c r="BG654" s="210"/>
      <c r="BH654" s="217"/>
      <c r="BI654" s="210"/>
      <c r="BJ654" s="210"/>
      <c r="BK654" s="210"/>
      <c r="BL654" s="210"/>
      <c r="BM654" s="208"/>
      <c r="BN654" s="160"/>
      <c r="BO654" s="161"/>
      <c r="BP654" s="161"/>
    </row>
    <row r="655" spans="1:68" ht="25.5">
      <c r="A655" s="210"/>
      <c r="B655" s="195" t="s">
        <v>6411</v>
      </c>
      <c r="C655" s="196" t="s">
        <v>6412</v>
      </c>
      <c r="D655" s="146" t="s">
        <v>4692</v>
      </c>
      <c r="E655" s="196" t="s">
        <v>6412</v>
      </c>
      <c r="F655" s="150">
        <v>0</v>
      </c>
      <c r="G655" s="209">
        <v>0</v>
      </c>
      <c r="H655" s="209"/>
      <c r="I655" s="209">
        <v>0</v>
      </c>
      <c r="J655" s="150">
        <v>0</v>
      </c>
      <c r="K655" s="150">
        <v>0</v>
      </c>
      <c r="L655" s="150">
        <f t="shared" si="766"/>
        <v>0</v>
      </c>
      <c r="M655" s="150">
        <v>0</v>
      </c>
      <c r="N655" s="150"/>
      <c r="O655" s="150">
        <v>0</v>
      </c>
      <c r="P655" s="150">
        <v>0</v>
      </c>
      <c r="Q655" s="150">
        <v>0</v>
      </c>
      <c r="R655" s="150">
        <f t="shared" si="761"/>
        <v>0</v>
      </c>
      <c r="S655" s="150">
        <f t="shared" si="748"/>
        <v>0</v>
      </c>
      <c r="T655" s="150"/>
      <c r="U655" s="150">
        <v>149.94999999999999</v>
      </c>
      <c r="V655" s="199"/>
      <c r="W655" s="150">
        <f t="shared" si="762"/>
        <v>149.94999999999999</v>
      </c>
      <c r="X655" s="150">
        <v>149.94999999999999</v>
      </c>
      <c r="Y655" s="150"/>
      <c r="Z655" s="150">
        <v>149.94999999999999</v>
      </c>
      <c r="AA655" s="150">
        <f t="shared" si="750"/>
        <v>0</v>
      </c>
      <c r="AB655" s="150">
        <v>149.94999999999999</v>
      </c>
      <c r="AC655" s="199"/>
      <c r="AD655" s="150">
        <f t="shared" si="763"/>
        <v>149.94999999999999</v>
      </c>
      <c r="AE655" s="150">
        <v>149.94999999999999</v>
      </c>
      <c r="AF655" s="169" t="s">
        <v>4680</v>
      </c>
      <c r="AG655" s="201">
        <v>149.94999999999999</v>
      </c>
      <c r="AH655" s="199"/>
      <c r="AI655" s="150">
        <v>149.94999999999999</v>
      </c>
      <c r="AJ655" s="169">
        <f t="shared" si="751"/>
        <v>0</v>
      </c>
      <c r="AK655" s="201">
        <v>149.94999999999999</v>
      </c>
      <c r="AL655" s="199"/>
      <c r="AM655" s="150">
        <f t="shared" si="764"/>
        <v>149.94999999999999</v>
      </c>
      <c r="AN655" s="153">
        <f t="shared" si="752"/>
        <v>0</v>
      </c>
      <c r="AO655" s="154">
        <f t="shared" si="753"/>
        <v>0</v>
      </c>
      <c r="AP655" s="150">
        <v>149.94999999999999</v>
      </c>
      <c r="AQ655" s="201">
        <v>149.94999999999999</v>
      </c>
      <c r="AR655" s="199"/>
      <c r="AS655" s="150">
        <f t="shared" si="765"/>
        <v>149.94999999999999</v>
      </c>
      <c r="AT655" s="155" t="s">
        <v>6020</v>
      </c>
      <c r="AU655" s="156">
        <f t="shared" si="745"/>
        <v>0</v>
      </c>
      <c r="AV655" s="156">
        <f t="shared" si="746"/>
        <v>0</v>
      </c>
      <c r="AW655" s="157" t="s">
        <v>6021</v>
      </c>
      <c r="AX655" s="150">
        <v>149.94999999999999</v>
      </c>
      <c r="AY655" s="150">
        <v>0</v>
      </c>
      <c r="AZ655" s="150"/>
      <c r="BA655" s="150">
        <f t="shared" si="733"/>
        <v>0</v>
      </c>
      <c r="BB655" s="210"/>
      <c r="BC655" s="210"/>
      <c r="BD655" s="210"/>
      <c r="BE655" s="210"/>
      <c r="BF655" s="210"/>
      <c r="BG655" s="210"/>
      <c r="BH655" s="217"/>
      <c r="BI655" s="210"/>
      <c r="BJ655" s="210"/>
      <c r="BK655" s="210"/>
      <c r="BL655" s="210"/>
      <c r="BM655" s="208"/>
      <c r="BN655" s="160"/>
      <c r="BO655" s="161"/>
      <c r="BP655" s="161"/>
    </row>
    <row r="656" spans="1:68" ht="25.5">
      <c r="A656" s="210"/>
      <c r="B656" s="195" t="s">
        <v>6413</v>
      </c>
      <c r="C656" s="196" t="s">
        <v>6414</v>
      </c>
      <c r="D656" s="146" t="s">
        <v>4692</v>
      </c>
      <c r="E656" s="196" t="s">
        <v>6414</v>
      </c>
      <c r="F656" s="150">
        <v>0</v>
      </c>
      <c r="G656" s="209">
        <v>0</v>
      </c>
      <c r="H656" s="209"/>
      <c r="I656" s="209">
        <v>0</v>
      </c>
      <c r="J656" s="150">
        <v>0</v>
      </c>
      <c r="K656" s="150">
        <v>0</v>
      </c>
      <c r="L656" s="150">
        <f t="shared" si="766"/>
        <v>0</v>
      </c>
      <c r="M656" s="150">
        <v>0</v>
      </c>
      <c r="N656" s="150"/>
      <c r="O656" s="150">
        <v>0</v>
      </c>
      <c r="P656" s="150">
        <v>0</v>
      </c>
      <c r="Q656" s="150">
        <v>0</v>
      </c>
      <c r="R656" s="150">
        <f t="shared" si="761"/>
        <v>0</v>
      </c>
      <c r="S656" s="150">
        <f t="shared" si="748"/>
        <v>0</v>
      </c>
      <c r="T656" s="150"/>
      <c r="U656" s="150">
        <v>0</v>
      </c>
      <c r="V656" s="199"/>
      <c r="W656" s="150">
        <f t="shared" si="762"/>
        <v>0</v>
      </c>
      <c r="X656" s="150">
        <v>0</v>
      </c>
      <c r="Y656" s="150"/>
      <c r="Z656" s="150">
        <v>0</v>
      </c>
      <c r="AA656" s="150">
        <f t="shared" si="750"/>
        <v>0</v>
      </c>
      <c r="AB656" s="150">
        <v>0</v>
      </c>
      <c r="AC656" s="199"/>
      <c r="AD656" s="150">
        <f t="shared" si="763"/>
        <v>0</v>
      </c>
      <c r="AE656" s="150">
        <v>0</v>
      </c>
      <c r="AF656" s="169" t="s">
        <v>4680</v>
      </c>
      <c r="AG656" s="201">
        <v>0</v>
      </c>
      <c r="AH656" s="199"/>
      <c r="AI656" s="150">
        <v>0</v>
      </c>
      <c r="AJ656" s="169">
        <f t="shared" si="751"/>
        <v>0</v>
      </c>
      <c r="AK656" s="201">
        <v>0</v>
      </c>
      <c r="AL656" s="199"/>
      <c r="AM656" s="150">
        <f t="shared" si="764"/>
        <v>0</v>
      </c>
      <c r="AN656" s="153">
        <f t="shared" si="752"/>
        <v>0</v>
      </c>
      <c r="AO656" s="154">
        <f t="shared" si="753"/>
        <v>0</v>
      </c>
      <c r="AP656" s="150">
        <v>0</v>
      </c>
      <c r="AQ656" s="201">
        <v>0</v>
      </c>
      <c r="AR656" s="199"/>
      <c r="AS656" s="150">
        <f t="shared" si="765"/>
        <v>0</v>
      </c>
      <c r="AT656" s="155"/>
      <c r="AU656" s="156">
        <f t="shared" si="745"/>
        <v>0</v>
      </c>
      <c r="AV656" s="156">
        <f t="shared" si="746"/>
        <v>0</v>
      </c>
      <c r="AW656" s="157"/>
      <c r="AX656" s="150">
        <v>0</v>
      </c>
      <c r="AY656" s="150">
        <v>0</v>
      </c>
      <c r="AZ656" s="150"/>
      <c r="BA656" s="150">
        <f t="shared" si="733"/>
        <v>0</v>
      </c>
      <c r="BB656" s="210"/>
      <c r="BC656" s="210"/>
      <c r="BD656" s="210"/>
      <c r="BE656" s="210"/>
      <c r="BF656" s="210"/>
      <c r="BG656" s="210"/>
      <c r="BH656" s="217"/>
      <c r="BI656" s="210"/>
      <c r="BJ656" s="210"/>
      <c r="BK656" s="210"/>
      <c r="BL656" s="210"/>
      <c r="BM656" s="208"/>
      <c r="BN656" s="160"/>
      <c r="BO656" s="161"/>
      <c r="BP656" s="161"/>
    </row>
    <row r="657" spans="1:68" ht="38.25">
      <c r="A657" s="210"/>
      <c r="B657" s="195" t="s">
        <v>6415</v>
      </c>
      <c r="C657" s="196" t="s">
        <v>6416</v>
      </c>
      <c r="D657" s="146" t="s">
        <v>4692</v>
      </c>
      <c r="E657" s="196" t="s">
        <v>6416</v>
      </c>
      <c r="F657" s="150">
        <v>0</v>
      </c>
      <c r="G657" s="209">
        <v>15591.6</v>
      </c>
      <c r="H657" s="209">
        <v>-7.3200000000724685E-2</v>
      </c>
      <c r="I657" s="209">
        <v>15591.5268</v>
      </c>
      <c r="J657" s="150">
        <v>0</v>
      </c>
      <c r="K657" s="150">
        <v>0</v>
      </c>
      <c r="L657" s="150">
        <f t="shared" si="766"/>
        <v>0</v>
      </c>
      <c r="M657" s="150">
        <v>0</v>
      </c>
      <c r="N657" s="150"/>
      <c r="O657" s="150">
        <v>0</v>
      </c>
      <c r="P657" s="150">
        <v>289.77999999999997</v>
      </c>
      <c r="Q657" s="150">
        <v>0</v>
      </c>
      <c r="R657" s="150">
        <f t="shared" si="761"/>
        <v>289.77999999999997</v>
      </c>
      <c r="S657" s="150">
        <f t="shared" si="748"/>
        <v>386.37333333333328</v>
      </c>
      <c r="T657" s="150"/>
      <c r="U657" s="150">
        <v>347.18</v>
      </c>
      <c r="V657" s="199"/>
      <c r="W657" s="150">
        <f t="shared" si="762"/>
        <v>347.18</v>
      </c>
      <c r="X657" s="150">
        <v>347.18</v>
      </c>
      <c r="Y657" s="150"/>
      <c r="Z657" s="150">
        <v>347.18</v>
      </c>
      <c r="AA657" s="150">
        <f t="shared" si="750"/>
        <v>0</v>
      </c>
      <c r="AB657" s="150">
        <v>347.18</v>
      </c>
      <c r="AC657" s="199"/>
      <c r="AD657" s="150">
        <f t="shared" si="763"/>
        <v>347.18</v>
      </c>
      <c r="AE657" s="150">
        <v>347.18</v>
      </c>
      <c r="AF657" s="169" t="s">
        <v>4680</v>
      </c>
      <c r="AG657" s="201">
        <v>347.18</v>
      </c>
      <c r="AH657" s="199"/>
      <c r="AI657" s="150">
        <v>347.18</v>
      </c>
      <c r="AJ657" s="169">
        <f t="shared" si="751"/>
        <v>0</v>
      </c>
      <c r="AK657" s="201">
        <v>347.18</v>
      </c>
      <c r="AL657" s="199"/>
      <c r="AM657" s="150">
        <f t="shared" si="764"/>
        <v>347.18</v>
      </c>
      <c r="AN657" s="153">
        <f t="shared" si="752"/>
        <v>0</v>
      </c>
      <c r="AO657" s="154">
        <f t="shared" si="753"/>
        <v>0</v>
      </c>
      <c r="AP657" s="150">
        <v>347.18</v>
      </c>
      <c r="AQ657" s="201">
        <v>347.18</v>
      </c>
      <c r="AR657" s="199"/>
      <c r="AS657" s="150">
        <f t="shared" si="765"/>
        <v>347.18</v>
      </c>
      <c r="AT657" s="155" t="s">
        <v>6020</v>
      </c>
      <c r="AU657" s="156">
        <f t="shared" si="745"/>
        <v>0</v>
      </c>
      <c r="AV657" s="156">
        <f t="shared" si="746"/>
        <v>0</v>
      </c>
      <c r="AW657" s="157" t="s">
        <v>6021</v>
      </c>
      <c r="AX657" s="150">
        <v>347.18</v>
      </c>
      <c r="AY657" s="150">
        <v>0</v>
      </c>
      <c r="AZ657" s="150"/>
      <c r="BA657" s="150">
        <f t="shared" si="733"/>
        <v>0</v>
      </c>
      <c r="BB657" s="210"/>
      <c r="BC657" s="210"/>
      <c r="BD657" s="210"/>
      <c r="BE657" s="210"/>
      <c r="BF657" s="210"/>
      <c r="BG657" s="210"/>
      <c r="BH657" s="217"/>
      <c r="BI657" s="210"/>
      <c r="BJ657" s="210"/>
      <c r="BK657" s="210"/>
      <c r="BL657" s="210"/>
      <c r="BM657" s="208"/>
      <c r="BN657" s="160"/>
      <c r="BO657" s="161"/>
      <c r="BP657" s="161"/>
    </row>
    <row r="658" spans="1:68" ht="25.5">
      <c r="A658" s="210"/>
      <c r="B658" s="195" t="s">
        <v>6417</v>
      </c>
      <c r="C658" s="196" t="s">
        <v>6418</v>
      </c>
      <c r="D658" s="146" t="s">
        <v>4692</v>
      </c>
      <c r="E658" s="196" t="s">
        <v>6418</v>
      </c>
      <c r="F658" s="150">
        <v>15591.6</v>
      </c>
      <c r="G658" s="209">
        <v>0</v>
      </c>
      <c r="H658" s="209"/>
      <c r="I658" s="209">
        <v>0</v>
      </c>
      <c r="J658" s="150">
        <v>0</v>
      </c>
      <c r="K658" s="150">
        <v>0</v>
      </c>
      <c r="L658" s="150">
        <f t="shared" si="766"/>
        <v>0</v>
      </c>
      <c r="M658" s="150">
        <v>53.68</v>
      </c>
      <c r="N658" s="150"/>
      <c r="O658" s="150">
        <v>53.68</v>
      </c>
      <c r="P658" s="150">
        <v>53.68</v>
      </c>
      <c r="Q658" s="150">
        <v>0</v>
      </c>
      <c r="R658" s="150">
        <f t="shared" si="761"/>
        <v>53.68</v>
      </c>
      <c r="S658" s="150">
        <f t="shared" si="748"/>
        <v>71.573333333333323</v>
      </c>
      <c r="T658" s="150"/>
      <c r="U658" s="150">
        <v>118.2</v>
      </c>
      <c r="V658" s="199"/>
      <c r="W658" s="150">
        <f t="shared" si="762"/>
        <v>118.2</v>
      </c>
      <c r="X658" s="150">
        <v>118.2</v>
      </c>
      <c r="Y658" s="150"/>
      <c r="Z658" s="150">
        <v>118.2</v>
      </c>
      <c r="AA658" s="150">
        <f t="shared" si="750"/>
        <v>-10.840000000000003</v>
      </c>
      <c r="AB658" s="150">
        <v>118.2</v>
      </c>
      <c r="AC658" s="199">
        <v>-10.840000000000003</v>
      </c>
      <c r="AD658" s="150">
        <f t="shared" si="763"/>
        <v>107.36</v>
      </c>
      <c r="AE658" s="150">
        <v>107.36</v>
      </c>
      <c r="AF658" s="169" t="s">
        <v>4680</v>
      </c>
      <c r="AG658" s="201">
        <v>118.2</v>
      </c>
      <c r="AH658" s="199">
        <v>-10.840000000000003</v>
      </c>
      <c r="AI658" s="150">
        <v>107.36</v>
      </c>
      <c r="AJ658" s="169">
        <f t="shared" si="751"/>
        <v>0</v>
      </c>
      <c r="AK658" s="201">
        <v>118.2</v>
      </c>
      <c r="AL658" s="199">
        <v>-10.840000000000003</v>
      </c>
      <c r="AM658" s="150">
        <f t="shared" si="764"/>
        <v>107.36</v>
      </c>
      <c r="AN658" s="153">
        <f t="shared" si="752"/>
        <v>0</v>
      </c>
      <c r="AO658" s="154">
        <f t="shared" si="753"/>
        <v>0</v>
      </c>
      <c r="AP658" s="150">
        <v>107.36</v>
      </c>
      <c r="AQ658" s="201">
        <v>107.36</v>
      </c>
      <c r="AR658" s="199"/>
      <c r="AS658" s="150">
        <f t="shared" si="765"/>
        <v>107.36</v>
      </c>
      <c r="AT658" s="155" t="s">
        <v>6020</v>
      </c>
      <c r="AU658" s="156">
        <f t="shared" si="745"/>
        <v>0</v>
      </c>
      <c r="AV658" s="156">
        <f t="shared" si="746"/>
        <v>-10.840000000000003</v>
      </c>
      <c r="AW658" s="157" t="s">
        <v>6021</v>
      </c>
      <c r="AX658" s="150">
        <v>118.2</v>
      </c>
      <c r="AY658" s="150">
        <v>53.68</v>
      </c>
      <c r="AZ658" s="150">
        <v>107.35999999999999</v>
      </c>
      <c r="BA658" s="150">
        <f t="shared" si="733"/>
        <v>161.04</v>
      </c>
      <c r="BB658" s="210"/>
      <c r="BC658" s="210"/>
      <c r="BD658" s="210"/>
      <c r="BE658" s="210"/>
      <c r="BF658" s="210"/>
      <c r="BG658" s="210"/>
      <c r="BH658" s="217"/>
      <c r="BI658" s="210"/>
      <c r="BJ658" s="210"/>
      <c r="BK658" s="210"/>
      <c r="BL658" s="210"/>
      <c r="BM658" s="208"/>
      <c r="BN658" s="160"/>
      <c r="BO658" s="161"/>
      <c r="BP658" s="161"/>
    </row>
    <row r="659" spans="1:68" ht="25.5">
      <c r="A659" s="210"/>
      <c r="B659" s="195" t="s">
        <v>6419</v>
      </c>
      <c r="C659" s="196" t="s">
        <v>6420</v>
      </c>
      <c r="D659" s="146" t="s">
        <v>4692</v>
      </c>
      <c r="E659" s="196" t="s">
        <v>6420</v>
      </c>
      <c r="F659" s="150">
        <v>0</v>
      </c>
      <c r="G659" s="209">
        <v>0</v>
      </c>
      <c r="H659" s="209"/>
      <c r="I659" s="209">
        <v>0</v>
      </c>
      <c r="J659" s="150">
        <v>0</v>
      </c>
      <c r="K659" s="150">
        <v>0</v>
      </c>
      <c r="L659" s="150">
        <f t="shared" si="766"/>
        <v>0</v>
      </c>
      <c r="M659" s="150">
        <v>0</v>
      </c>
      <c r="N659" s="150"/>
      <c r="O659" s="150">
        <v>0</v>
      </c>
      <c r="P659" s="150">
        <v>0</v>
      </c>
      <c r="Q659" s="150">
        <v>0</v>
      </c>
      <c r="R659" s="150">
        <f t="shared" si="761"/>
        <v>0</v>
      </c>
      <c r="S659" s="150">
        <f t="shared" si="748"/>
        <v>0</v>
      </c>
      <c r="T659" s="150"/>
      <c r="U659" s="150">
        <v>0</v>
      </c>
      <c r="V659" s="199"/>
      <c r="W659" s="150">
        <f t="shared" si="762"/>
        <v>0</v>
      </c>
      <c r="X659" s="150">
        <v>0</v>
      </c>
      <c r="Y659" s="150"/>
      <c r="Z659" s="150">
        <v>0</v>
      </c>
      <c r="AA659" s="150">
        <f t="shared" si="750"/>
        <v>0</v>
      </c>
      <c r="AB659" s="150">
        <v>0</v>
      </c>
      <c r="AC659" s="199"/>
      <c r="AD659" s="150">
        <f t="shared" si="763"/>
        <v>0</v>
      </c>
      <c r="AE659" s="150">
        <v>0</v>
      </c>
      <c r="AF659" s="169" t="s">
        <v>4680</v>
      </c>
      <c r="AG659" s="201">
        <v>0</v>
      </c>
      <c r="AH659" s="199"/>
      <c r="AI659" s="150">
        <v>0</v>
      </c>
      <c r="AJ659" s="169">
        <f t="shared" si="751"/>
        <v>0</v>
      </c>
      <c r="AK659" s="201">
        <v>0</v>
      </c>
      <c r="AL659" s="199"/>
      <c r="AM659" s="150">
        <f t="shared" si="764"/>
        <v>0</v>
      </c>
      <c r="AN659" s="153">
        <f t="shared" si="752"/>
        <v>0</v>
      </c>
      <c r="AO659" s="154">
        <f t="shared" si="753"/>
        <v>0</v>
      </c>
      <c r="AP659" s="150">
        <v>0</v>
      </c>
      <c r="AQ659" s="201">
        <v>0</v>
      </c>
      <c r="AR659" s="199"/>
      <c r="AS659" s="150">
        <f t="shared" si="765"/>
        <v>0</v>
      </c>
      <c r="AT659" s="155"/>
      <c r="AU659" s="156">
        <f t="shared" si="745"/>
        <v>0</v>
      </c>
      <c r="AV659" s="156">
        <f t="shared" si="746"/>
        <v>0</v>
      </c>
      <c r="AW659" s="157"/>
      <c r="AX659" s="150">
        <v>0</v>
      </c>
      <c r="AY659" s="150">
        <v>0</v>
      </c>
      <c r="AZ659" s="150"/>
      <c r="BA659" s="150">
        <f t="shared" si="733"/>
        <v>0</v>
      </c>
      <c r="BB659" s="210"/>
      <c r="BC659" s="210"/>
      <c r="BD659" s="210"/>
      <c r="BE659" s="210"/>
      <c r="BF659" s="210"/>
      <c r="BG659" s="210"/>
      <c r="BH659" s="217"/>
      <c r="BI659" s="210"/>
      <c r="BJ659" s="210"/>
      <c r="BK659" s="210"/>
      <c r="BL659" s="210"/>
      <c r="BM659" s="208"/>
      <c r="BN659" s="160"/>
      <c r="BO659" s="161"/>
      <c r="BP659" s="161"/>
    </row>
    <row r="660" spans="1:68" ht="25.5">
      <c r="A660" s="206" t="s">
        <v>564</v>
      </c>
      <c r="B660" s="195" t="s">
        <v>6421</v>
      </c>
      <c r="C660" s="196" t="s">
        <v>1324</v>
      </c>
      <c r="D660" s="146" t="s">
        <v>4692</v>
      </c>
      <c r="E660" s="196" t="s">
        <v>1324</v>
      </c>
      <c r="F660" s="150">
        <v>0</v>
      </c>
      <c r="G660" s="209">
        <v>0</v>
      </c>
      <c r="H660" s="209"/>
      <c r="I660" s="209">
        <v>0</v>
      </c>
      <c r="J660" s="150">
        <v>0</v>
      </c>
      <c r="K660" s="150">
        <v>0</v>
      </c>
      <c r="L660" s="150">
        <f t="shared" si="766"/>
        <v>0</v>
      </c>
      <c r="M660" s="150">
        <v>0</v>
      </c>
      <c r="N660" s="150"/>
      <c r="O660" s="150">
        <v>0</v>
      </c>
      <c r="P660" s="150">
        <v>0</v>
      </c>
      <c r="Q660" s="150">
        <v>0</v>
      </c>
      <c r="R660" s="150">
        <f t="shared" si="761"/>
        <v>0</v>
      </c>
      <c r="S660" s="150">
        <f t="shared" si="748"/>
        <v>0</v>
      </c>
      <c r="T660" s="150"/>
      <c r="U660" s="150">
        <v>0</v>
      </c>
      <c r="V660" s="199"/>
      <c r="W660" s="150">
        <f t="shared" si="762"/>
        <v>0</v>
      </c>
      <c r="X660" s="150">
        <v>0</v>
      </c>
      <c r="Y660" s="150"/>
      <c r="Z660" s="150">
        <v>0</v>
      </c>
      <c r="AA660" s="150">
        <f t="shared" si="750"/>
        <v>0</v>
      </c>
      <c r="AB660" s="150">
        <v>0</v>
      </c>
      <c r="AC660" s="199"/>
      <c r="AD660" s="150">
        <f t="shared" si="763"/>
        <v>0</v>
      </c>
      <c r="AE660" s="150">
        <v>0</v>
      </c>
      <c r="AF660" s="169" t="s">
        <v>4680</v>
      </c>
      <c r="AG660" s="201">
        <v>0</v>
      </c>
      <c r="AH660" s="199"/>
      <c r="AI660" s="150">
        <v>0</v>
      </c>
      <c r="AJ660" s="169">
        <f t="shared" si="751"/>
        <v>0</v>
      </c>
      <c r="AK660" s="201">
        <v>0</v>
      </c>
      <c r="AL660" s="199"/>
      <c r="AM660" s="150">
        <f t="shared" si="764"/>
        <v>0</v>
      </c>
      <c r="AN660" s="153">
        <f t="shared" si="752"/>
        <v>0</v>
      </c>
      <c r="AO660" s="154">
        <f t="shared" si="753"/>
        <v>0</v>
      </c>
      <c r="AP660" s="150">
        <v>0</v>
      </c>
      <c r="AQ660" s="201">
        <v>0</v>
      </c>
      <c r="AR660" s="199"/>
      <c r="AS660" s="150">
        <f t="shared" si="765"/>
        <v>0</v>
      </c>
      <c r="AT660" s="155"/>
      <c r="AU660" s="156">
        <f t="shared" si="745"/>
        <v>0</v>
      </c>
      <c r="AV660" s="156">
        <f t="shared" si="746"/>
        <v>0</v>
      </c>
      <c r="AW660" s="157"/>
      <c r="AX660" s="150">
        <v>0</v>
      </c>
      <c r="AY660" s="150">
        <v>0</v>
      </c>
      <c r="AZ660" s="150"/>
      <c r="BA660" s="150">
        <f t="shared" si="733"/>
        <v>0</v>
      </c>
      <c r="BB660" s="202">
        <v>5</v>
      </c>
      <c r="BC660" s="202" t="s">
        <v>632</v>
      </c>
      <c r="BD660" s="202" t="s">
        <v>647</v>
      </c>
      <c r="BE660" s="202" t="s">
        <v>632</v>
      </c>
      <c r="BF660" s="194" t="s">
        <v>739</v>
      </c>
      <c r="BG660" s="203" t="s">
        <v>1325</v>
      </c>
      <c r="BH660" s="216">
        <f>SUM(AS660:AS662)</f>
        <v>0</v>
      </c>
      <c r="BI660" s="205"/>
      <c r="BJ660" s="206" t="s">
        <v>6422</v>
      </c>
      <c r="BK660" s="206" t="s">
        <v>564</v>
      </c>
      <c r="BL660" s="207" t="s">
        <v>6423</v>
      </c>
      <c r="BM660" s="208">
        <f>BH660</f>
        <v>0</v>
      </c>
      <c r="BN660" s="160"/>
      <c r="BO660" s="161">
        <f t="shared" si="695"/>
        <v>0</v>
      </c>
      <c r="BP660" s="161"/>
    </row>
    <row r="661" spans="1:68">
      <c r="A661" s="210"/>
      <c r="B661" s="195" t="s">
        <v>6424</v>
      </c>
      <c r="C661" s="196" t="s">
        <v>6425</v>
      </c>
      <c r="D661" s="146" t="s">
        <v>4692</v>
      </c>
      <c r="E661" s="196" t="s">
        <v>6425</v>
      </c>
      <c r="F661" s="150">
        <v>0</v>
      </c>
      <c r="G661" s="209">
        <v>0</v>
      </c>
      <c r="H661" s="209"/>
      <c r="I661" s="209">
        <v>0</v>
      </c>
      <c r="J661" s="150">
        <v>0</v>
      </c>
      <c r="K661" s="150">
        <v>0</v>
      </c>
      <c r="L661" s="150">
        <f t="shared" si="766"/>
        <v>0</v>
      </c>
      <c r="M661" s="150">
        <v>0</v>
      </c>
      <c r="N661" s="150"/>
      <c r="O661" s="150">
        <v>0</v>
      </c>
      <c r="P661" s="150">
        <v>0</v>
      </c>
      <c r="Q661" s="150">
        <v>0</v>
      </c>
      <c r="R661" s="150">
        <f t="shared" si="761"/>
        <v>0</v>
      </c>
      <c r="S661" s="150">
        <f t="shared" si="748"/>
        <v>0</v>
      </c>
      <c r="T661" s="150"/>
      <c r="U661" s="150">
        <v>0</v>
      </c>
      <c r="V661" s="199"/>
      <c r="W661" s="150">
        <f t="shared" si="762"/>
        <v>0</v>
      </c>
      <c r="X661" s="150">
        <v>0</v>
      </c>
      <c r="Y661" s="150"/>
      <c r="Z661" s="150">
        <v>0</v>
      </c>
      <c r="AA661" s="150">
        <f t="shared" si="750"/>
        <v>0</v>
      </c>
      <c r="AB661" s="150">
        <v>0</v>
      </c>
      <c r="AC661" s="199"/>
      <c r="AD661" s="150">
        <f t="shared" si="763"/>
        <v>0</v>
      </c>
      <c r="AE661" s="150">
        <v>0</v>
      </c>
      <c r="AF661" s="169" t="s">
        <v>4680</v>
      </c>
      <c r="AG661" s="201">
        <v>0</v>
      </c>
      <c r="AH661" s="199"/>
      <c r="AI661" s="150">
        <v>0</v>
      </c>
      <c r="AJ661" s="169">
        <f t="shared" si="751"/>
        <v>0</v>
      </c>
      <c r="AK661" s="201">
        <v>0</v>
      </c>
      <c r="AL661" s="199"/>
      <c r="AM661" s="150">
        <f t="shared" si="764"/>
        <v>0</v>
      </c>
      <c r="AN661" s="153">
        <f t="shared" si="752"/>
        <v>0</v>
      </c>
      <c r="AO661" s="154">
        <f t="shared" si="753"/>
        <v>0</v>
      </c>
      <c r="AP661" s="150">
        <v>0</v>
      </c>
      <c r="AQ661" s="201">
        <v>0</v>
      </c>
      <c r="AR661" s="199"/>
      <c r="AS661" s="150">
        <f t="shared" si="765"/>
        <v>0</v>
      </c>
      <c r="AT661" s="155"/>
      <c r="AU661" s="156">
        <f t="shared" si="745"/>
        <v>0</v>
      </c>
      <c r="AV661" s="156">
        <f t="shared" si="746"/>
        <v>0</v>
      </c>
      <c r="AW661" s="157"/>
      <c r="AX661" s="150">
        <v>0</v>
      </c>
      <c r="AY661" s="150">
        <v>0</v>
      </c>
      <c r="AZ661" s="150"/>
      <c r="BA661" s="150">
        <f t="shared" si="733"/>
        <v>0</v>
      </c>
      <c r="BB661" s="210"/>
      <c r="BC661" s="210"/>
      <c r="BD661" s="210"/>
      <c r="BE661" s="210"/>
      <c r="BF661" s="210"/>
      <c r="BG661" s="210"/>
      <c r="BH661" s="217"/>
      <c r="BI661" s="210"/>
      <c r="BJ661" s="210"/>
      <c r="BK661" s="210"/>
      <c r="BL661" s="210"/>
      <c r="BM661" s="208"/>
      <c r="BN661" s="160"/>
      <c r="BO661" s="161">
        <f t="shared" si="695"/>
        <v>0</v>
      </c>
      <c r="BP661" s="161"/>
    </row>
    <row r="662" spans="1:68" ht="25.5">
      <c r="A662" s="210"/>
      <c r="B662" s="195" t="s">
        <v>6426</v>
      </c>
      <c r="C662" s="196" t="s">
        <v>6427</v>
      </c>
      <c r="D662" s="146" t="s">
        <v>4692</v>
      </c>
      <c r="E662" s="196" t="s">
        <v>6427</v>
      </c>
      <c r="F662" s="150">
        <v>0</v>
      </c>
      <c r="G662" s="209">
        <v>0</v>
      </c>
      <c r="H662" s="209"/>
      <c r="I662" s="209">
        <v>0</v>
      </c>
      <c r="J662" s="150">
        <v>0</v>
      </c>
      <c r="K662" s="150">
        <v>0</v>
      </c>
      <c r="L662" s="150">
        <f t="shared" si="766"/>
        <v>0</v>
      </c>
      <c r="M662" s="150">
        <v>0</v>
      </c>
      <c r="N662" s="150"/>
      <c r="O662" s="150">
        <v>0</v>
      </c>
      <c r="P662" s="150">
        <v>0</v>
      </c>
      <c r="Q662" s="150">
        <v>0</v>
      </c>
      <c r="R662" s="150">
        <f t="shared" si="761"/>
        <v>0</v>
      </c>
      <c r="S662" s="150">
        <f t="shared" si="748"/>
        <v>0</v>
      </c>
      <c r="T662" s="150"/>
      <c r="U662" s="150">
        <v>0</v>
      </c>
      <c r="V662" s="199"/>
      <c r="W662" s="150">
        <f t="shared" si="762"/>
        <v>0</v>
      </c>
      <c r="X662" s="150">
        <v>0</v>
      </c>
      <c r="Y662" s="150"/>
      <c r="Z662" s="150">
        <v>0</v>
      </c>
      <c r="AA662" s="150">
        <f t="shared" si="750"/>
        <v>0</v>
      </c>
      <c r="AB662" s="150">
        <v>0</v>
      </c>
      <c r="AC662" s="199"/>
      <c r="AD662" s="150">
        <f t="shared" si="763"/>
        <v>0</v>
      </c>
      <c r="AE662" s="150">
        <v>0</v>
      </c>
      <c r="AF662" s="169" t="s">
        <v>4680</v>
      </c>
      <c r="AG662" s="201">
        <v>0</v>
      </c>
      <c r="AH662" s="199"/>
      <c r="AI662" s="150">
        <v>0</v>
      </c>
      <c r="AJ662" s="169">
        <f t="shared" si="751"/>
        <v>0</v>
      </c>
      <c r="AK662" s="201">
        <v>0</v>
      </c>
      <c r="AL662" s="199"/>
      <c r="AM662" s="150">
        <f t="shared" si="764"/>
        <v>0</v>
      </c>
      <c r="AN662" s="153">
        <f t="shared" si="752"/>
        <v>0</v>
      </c>
      <c r="AO662" s="154">
        <f t="shared" si="753"/>
        <v>0</v>
      </c>
      <c r="AP662" s="150">
        <v>0</v>
      </c>
      <c r="AQ662" s="201">
        <v>0</v>
      </c>
      <c r="AR662" s="199"/>
      <c r="AS662" s="150">
        <f t="shared" si="765"/>
        <v>0</v>
      </c>
      <c r="AT662" s="155"/>
      <c r="AU662" s="156">
        <f t="shared" si="745"/>
        <v>0</v>
      </c>
      <c r="AV662" s="156">
        <f t="shared" si="746"/>
        <v>0</v>
      </c>
      <c r="AW662" s="157"/>
      <c r="AX662" s="150">
        <v>0</v>
      </c>
      <c r="AY662" s="150">
        <v>0</v>
      </c>
      <c r="AZ662" s="150"/>
      <c r="BA662" s="150">
        <f t="shared" si="733"/>
        <v>0</v>
      </c>
      <c r="BB662" s="210"/>
      <c r="BC662" s="210"/>
      <c r="BD662" s="210"/>
      <c r="BE662" s="210"/>
      <c r="BF662" s="210"/>
      <c r="BG662" s="210"/>
      <c r="BH662" s="217"/>
      <c r="BI662" s="210"/>
      <c r="BJ662" s="210"/>
      <c r="BK662" s="210"/>
      <c r="BL662" s="210"/>
      <c r="BM662" s="208"/>
      <c r="BN662" s="160"/>
      <c r="BO662" s="161">
        <f t="shared" si="695"/>
        <v>0</v>
      </c>
      <c r="BP662" s="161"/>
    </row>
    <row r="663" spans="1:68" ht="38.25">
      <c r="A663" s="261" t="s">
        <v>6428</v>
      </c>
      <c r="B663" s="228" t="s">
        <v>6429</v>
      </c>
      <c r="C663" s="229" t="s">
        <v>6430</v>
      </c>
      <c r="D663" s="146" t="s">
        <v>4692</v>
      </c>
      <c r="E663" s="196" t="s">
        <v>6430</v>
      </c>
      <c r="F663" s="150">
        <v>0</v>
      </c>
      <c r="G663" s="209">
        <v>58304342.639999986</v>
      </c>
      <c r="H663" s="209">
        <v>6606312.5869303308</v>
      </c>
      <c r="I663" s="209">
        <v>64910655.22693032</v>
      </c>
      <c r="J663" s="150">
        <v>0</v>
      </c>
      <c r="K663" s="150">
        <v>0</v>
      </c>
      <c r="L663" s="150">
        <f t="shared" si="766"/>
        <v>0</v>
      </c>
      <c r="M663" s="150">
        <v>0</v>
      </c>
      <c r="N663" s="150"/>
      <c r="O663" s="150">
        <v>0</v>
      </c>
      <c r="P663" s="150">
        <v>0</v>
      </c>
      <c r="Q663" s="150">
        <v>0</v>
      </c>
      <c r="R663" s="150">
        <f t="shared" si="761"/>
        <v>0</v>
      </c>
      <c r="S663" s="150">
        <f t="shared" si="748"/>
        <v>0</v>
      </c>
      <c r="T663" s="150"/>
      <c r="U663" s="150">
        <v>0</v>
      </c>
      <c r="V663" s="199"/>
      <c r="W663" s="150">
        <f t="shared" si="762"/>
        <v>0</v>
      </c>
      <c r="X663" s="150">
        <v>0</v>
      </c>
      <c r="Y663" s="150"/>
      <c r="Z663" s="150">
        <v>0</v>
      </c>
      <c r="AA663" s="150">
        <f t="shared" si="750"/>
        <v>0</v>
      </c>
      <c r="AB663" s="150">
        <v>0</v>
      </c>
      <c r="AC663" s="199"/>
      <c r="AD663" s="150">
        <f t="shared" si="763"/>
        <v>0</v>
      </c>
      <c r="AE663" s="150">
        <v>0</v>
      </c>
      <c r="AF663" s="169" t="s">
        <v>4680</v>
      </c>
      <c r="AG663" s="201">
        <v>0</v>
      </c>
      <c r="AH663" s="199"/>
      <c r="AI663" s="150">
        <v>0</v>
      </c>
      <c r="AJ663" s="169">
        <f t="shared" si="751"/>
        <v>0</v>
      </c>
      <c r="AK663" s="201">
        <v>0</v>
      </c>
      <c r="AL663" s="199"/>
      <c r="AM663" s="150">
        <f t="shared" si="764"/>
        <v>0</v>
      </c>
      <c r="AN663" s="153">
        <f t="shared" si="752"/>
        <v>0</v>
      </c>
      <c r="AO663" s="154">
        <f t="shared" si="753"/>
        <v>0</v>
      </c>
      <c r="AP663" s="150">
        <v>0</v>
      </c>
      <c r="AQ663" s="201">
        <v>0</v>
      </c>
      <c r="AR663" s="199"/>
      <c r="AS663" s="150">
        <f t="shared" si="765"/>
        <v>0</v>
      </c>
      <c r="AT663" s="155" t="s">
        <v>4796</v>
      </c>
      <c r="AU663" s="156">
        <f t="shared" si="745"/>
        <v>0</v>
      </c>
      <c r="AV663" s="156">
        <f t="shared" si="746"/>
        <v>0</v>
      </c>
      <c r="AW663" s="157" t="s">
        <v>4796</v>
      </c>
      <c r="AX663" s="150">
        <v>0</v>
      </c>
      <c r="AY663" s="150">
        <v>0</v>
      </c>
      <c r="AZ663" s="150"/>
      <c r="BA663" s="150">
        <f t="shared" si="733"/>
        <v>0</v>
      </c>
      <c r="BB663" s="202">
        <v>5</v>
      </c>
      <c r="BC663" s="202" t="s">
        <v>632</v>
      </c>
      <c r="BD663" s="202" t="s">
        <v>647</v>
      </c>
      <c r="BE663" s="202" t="s">
        <v>632</v>
      </c>
      <c r="BF663" s="202" t="s">
        <v>755</v>
      </c>
      <c r="BG663" s="203" t="s">
        <v>6431</v>
      </c>
      <c r="BH663" s="216">
        <f>AS663</f>
        <v>0</v>
      </c>
      <c r="BI663" s="206" t="s">
        <v>1519</v>
      </c>
      <c r="BJ663" s="206" t="s">
        <v>6432</v>
      </c>
      <c r="BK663" s="206" t="s">
        <v>6428</v>
      </c>
      <c r="BL663" s="207" t="s">
        <v>6433</v>
      </c>
      <c r="BM663" s="208">
        <f>BH663</f>
        <v>0</v>
      </c>
      <c r="BN663" s="160"/>
      <c r="BO663" s="161">
        <f t="shared" si="695"/>
        <v>0</v>
      </c>
      <c r="BP663" s="161"/>
    </row>
    <row r="664" spans="1:68">
      <c r="A664" s="263" t="s">
        <v>6434</v>
      </c>
      <c r="B664" s="163"/>
      <c r="C664" s="164" t="s">
        <v>6435</v>
      </c>
      <c r="D664" s="146" t="s">
        <v>4692</v>
      </c>
      <c r="E664" s="164" t="s">
        <v>6435</v>
      </c>
      <c r="F664" s="165">
        <v>66629745.579999998</v>
      </c>
      <c r="G664" s="166">
        <v>24073404.749999996</v>
      </c>
      <c r="H664" s="166">
        <v>1930200.5504376064</v>
      </c>
      <c r="I664" s="166">
        <v>26003605.300437599</v>
      </c>
      <c r="J664" s="165">
        <f>J665+J1028</f>
        <v>10179056.98</v>
      </c>
      <c r="K664" s="165">
        <f>K665+K1028</f>
        <v>3630845.2179999999</v>
      </c>
      <c r="L664" s="165">
        <f t="shared" si="766"/>
        <v>13809902.198000001</v>
      </c>
      <c r="M664" s="167">
        <v>23982501.700000003</v>
      </c>
      <c r="N664" s="167">
        <v>8373774.3636745745</v>
      </c>
      <c r="O664" s="167">
        <v>32356276.063674577</v>
      </c>
      <c r="P664" s="232">
        <f t="shared" ref="P664:R664" si="767">P665+P1028</f>
        <v>41081090.850000001</v>
      </c>
      <c r="Q664" s="232">
        <f t="shared" si="767"/>
        <v>9551536.9309805334</v>
      </c>
      <c r="R664" s="232">
        <f t="shared" si="767"/>
        <v>50632627.780980542</v>
      </c>
      <c r="S664" s="150">
        <f t="shared" si="748"/>
        <v>67510170.374640718</v>
      </c>
      <c r="T664" s="213"/>
      <c r="U664" s="232">
        <f t="shared" ref="U664:W664" si="768">U665+U1028</f>
        <v>62971694.988820225</v>
      </c>
      <c r="V664" s="233">
        <f t="shared" si="768"/>
        <v>5581802.4931134498</v>
      </c>
      <c r="W664" s="232">
        <f t="shared" si="768"/>
        <v>68553497.481933668</v>
      </c>
      <c r="X664" s="232">
        <v>62971694.988820225</v>
      </c>
      <c r="Y664" s="232">
        <v>5581802.4931134498</v>
      </c>
      <c r="Z664" s="232">
        <v>68553497.481933668</v>
      </c>
      <c r="AA664" s="232">
        <f t="shared" si="750"/>
        <v>1768245.2290171236</v>
      </c>
      <c r="AB664" s="232">
        <v>65741521.198820218</v>
      </c>
      <c r="AC664" s="233">
        <v>4580221.5121305604</v>
      </c>
      <c r="AD664" s="232">
        <f t="shared" ref="AD664" si="769">AD665+AD1028</f>
        <v>70321742.710950792</v>
      </c>
      <c r="AE664" s="232">
        <v>70359534.980950773</v>
      </c>
      <c r="AF664" s="169" t="s">
        <v>4680</v>
      </c>
      <c r="AG664" s="234">
        <v>65782451.598820224</v>
      </c>
      <c r="AH664" s="233">
        <v>4577047.3191305604</v>
      </c>
      <c r="AI664" s="232">
        <v>70359498.917950779</v>
      </c>
      <c r="AJ664" s="169">
        <f t="shared" si="751"/>
        <v>1960</v>
      </c>
      <c r="AK664" s="234">
        <v>65784411.598820224</v>
      </c>
      <c r="AL664" s="233">
        <v>4577047.3191305604</v>
      </c>
      <c r="AM664" s="232">
        <f t="shared" ref="AM664" si="770">AM665+AM1028</f>
        <v>70361458.917950779</v>
      </c>
      <c r="AN664" s="153">
        <f t="shared" si="752"/>
        <v>830955.87204922736</v>
      </c>
      <c r="AO664" s="154">
        <f t="shared" si="753"/>
        <v>1119313.8720492274</v>
      </c>
      <c r="AP664" s="232">
        <v>70073100.917950779</v>
      </c>
      <c r="AQ664" s="234">
        <v>71192414.790000007</v>
      </c>
      <c r="AR664" s="233">
        <f t="shared" ref="AR664:AS664" si="771">AR665+AR1028</f>
        <v>0</v>
      </c>
      <c r="AS664" s="232">
        <f t="shared" si="771"/>
        <v>71192414.790000007</v>
      </c>
      <c r="AT664" s="155"/>
      <c r="AU664" s="156">
        <f t="shared" si="745"/>
        <v>39716.206999987364</v>
      </c>
      <c r="AV664" s="156">
        <f t="shared" si="746"/>
        <v>1768245.2290171236</v>
      </c>
      <c r="AW664" s="157"/>
      <c r="AX664" s="150">
        <v>68553497.481933668</v>
      </c>
      <c r="AY664" s="232">
        <f t="shared" ref="AY664:BA664" si="772">AY665+AY1028</f>
        <v>32903470.629999995</v>
      </c>
      <c r="AZ664" s="232">
        <f t="shared" si="772"/>
        <v>34108370.433299139</v>
      </c>
      <c r="BA664" s="232">
        <f t="shared" si="772"/>
        <v>67011841.063299149</v>
      </c>
      <c r="BB664" s="263">
        <v>5</v>
      </c>
      <c r="BC664" s="262" t="s">
        <v>647</v>
      </c>
      <c r="BD664" s="262" t="s">
        <v>630</v>
      </c>
      <c r="BE664" s="162" t="s">
        <v>630</v>
      </c>
      <c r="BF664" s="262" t="s">
        <v>630</v>
      </c>
      <c r="BG664" s="164" t="s">
        <v>6435</v>
      </c>
      <c r="BH664" s="235">
        <f>BH665+BH1028</f>
        <v>71192414.789999992</v>
      </c>
      <c r="BI664" s="263"/>
      <c r="BJ664" s="262" t="s">
        <v>6436</v>
      </c>
      <c r="BK664" s="263" t="s">
        <v>6434</v>
      </c>
      <c r="BL664" s="164" t="s">
        <v>6437</v>
      </c>
      <c r="BM664" s="235">
        <f>BM665+BM1028</f>
        <v>71192414.789999992</v>
      </c>
      <c r="BN664" s="160"/>
      <c r="BO664" s="161">
        <f t="shared" si="695"/>
        <v>0</v>
      </c>
      <c r="BP664" s="161"/>
    </row>
    <row r="665" spans="1:68">
      <c r="A665" s="254" t="s">
        <v>6438</v>
      </c>
      <c r="B665" s="174"/>
      <c r="C665" s="175" t="s">
        <v>6439</v>
      </c>
      <c r="D665" s="146" t="s">
        <v>4692</v>
      </c>
      <c r="E665" s="175" t="s">
        <v>6439</v>
      </c>
      <c r="F665" s="176">
        <v>26551308.309999995</v>
      </c>
      <c r="G665" s="177">
        <v>0</v>
      </c>
      <c r="H665" s="177">
        <v>0</v>
      </c>
      <c r="I665" s="177">
        <v>0</v>
      </c>
      <c r="J665" s="176">
        <f>J666+J675+J681+J704+J710+J715+J720+J729+J735+J743+J749+J758+J788+J877+J891+J940+J995+J1026</f>
        <v>4541645.9800000004</v>
      </c>
      <c r="K665" s="176">
        <f>K666+K675+K681+K704+K710+K715+K720+K729+K735+K743+K749+K758+K788+K877+K891+K940+K995+K1026</f>
        <v>415646.03399999999</v>
      </c>
      <c r="L665" s="176">
        <f t="shared" si="766"/>
        <v>4957292.0140000004</v>
      </c>
      <c r="M665" s="178">
        <v>10287644.960000001</v>
      </c>
      <c r="N665" s="178">
        <v>2183006.0218093693</v>
      </c>
      <c r="O665" s="178">
        <v>12470650.98180937</v>
      </c>
      <c r="P665" s="221">
        <f t="shared" ref="P665:R665" si="773">P666+P675+P681+P704+P710+P715+P720+P729+P735+P743+P749+P758+P788+P877+P891+P940+P995+P1026</f>
        <v>16441325.010000004</v>
      </c>
      <c r="Q665" s="221">
        <f t="shared" si="773"/>
        <v>2330860.3626361541</v>
      </c>
      <c r="R665" s="221">
        <f t="shared" si="773"/>
        <v>18772185.372636158</v>
      </c>
      <c r="S665" s="150">
        <f t="shared" si="748"/>
        <v>25029580.496848211</v>
      </c>
      <c r="T665" s="213"/>
      <c r="U665" s="221">
        <f t="shared" ref="U665:W665" si="774">U666+U675+U681+U704+U710+U715+U720+U729+U735+U743+U749+U758+U788+U877+U891+U940+U995+U1026</f>
        <v>23870469.450118307</v>
      </c>
      <c r="V665" s="222">
        <f t="shared" si="774"/>
        <v>1869486.1001900884</v>
      </c>
      <c r="W665" s="221">
        <f t="shared" si="774"/>
        <v>25739955.550308391</v>
      </c>
      <c r="X665" s="221">
        <v>23870469.450118307</v>
      </c>
      <c r="Y665" s="221">
        <v>1869486.1001900884</v>
      </c>
      <c r="Z665" s="221">
        <v>25739955.550308391</v>
      </c>
      <c r="AA665" s="221">
        <f t="shared" si="750"/>
        <v>1615018.4463804737</v>
      </c>
      <c r="AB665" s="221">
        <v>24314889.280118305</v>
      </c>
      <c r="AC665" s="222">
        <v>3040084.7165705613</v>
      </c>
      <c r="AD665" s="221">
        <f t="shared" ref="AD665" si="775">AD666+AD675+AD681+AD704+AD710+AD715+AD720+AD729+AD735+AD743+AD749+AD758+AD788+AD877+AD891+AD940+AD995+AD1026</f>
        <v>27354973.996688865</v>
      </c>
      <c r="AE665" s="221">
        <v>27392766.266688861</v>
      </c>
      <c r="AF665" s="169" t="s">
        <v>4680</v>
      </c>
      <c r="AG665" s="223">
        <v>24355819.680118307</v>
      </c>
      <c r="AH665" s="222">
        <v>3036946.5865705614</v>
      </c>
      <c r="AI665" s="221">
        <v>27392766.266688861</v>
      </c>
      <c r="AJ665" s="169">
        <f t="shared" si="751"/>
        <v>1960</v>
      </c>
      <c r="AK665" s="223">
        <v>24357779.680118307</v>
      </c>
      <c r="AL665" s="222">
        <v>3036946.5865705614</v>
      </c>
      <c r="AM665" s="221">
        <f t="shared" ref="AM665" si="776">AM666+AM675+AM681+AM704+AM710+AM715+AM720+AM729+AM735+AM743+AM749+AM758+AM788+AM877+AM891+AM940+AM995+AM1026</f>
        <v>27394726.266688861</v>
      </c>
      <c r="AN665" s="153">
        <f t="shared" si="752"/>
        <v>383888.87331114337</v>
      </c>
      <c r="AO665" s="154">
        <f t="shared" si="753"/>
        <v>672246.87331114337</v>
      </c>
      <c r="AP665" s="221">
        <v>27106368.266688861</v>
      </c>
      <c r="AQ665" s="223">
        <v>27778615.140000004</v>
      </c>
      <c r="AR665" s="222">
        <f t="shared" ref="AR665:AS665" si="777">AR666+AR675+AR681+AR704+AR710+AR715+AR720+AR729+AR735+AR743+AR749+AR758+AR788+AR877+AR891+AR940+AR995+AR1026</f>
        <v>0</v>
      </c>
      <c r="AS665" s="221">
        <f t="shared" si="777"/>
        <v>27778615.140000004</v>
      </c>
      <c r="AT665" s="155"/>
      <c r="AU665" s="156">
        <f t="shared" si="745"/>
        <v>39752.269999995828</v>
      </c>
      <c r="AV665" s="156">
        <f t="shared" si="746"/>
        <v>1615018.4463804737</v>
      </c>
      <c r="AW665" s="157"/>
      <c r="AX665" s="150">
        <v>25739955.550308391</v>
      </c>
      <c r="AY665" s="221">
        <f t="shared" ref="AY665:BA665" si="778">AY666+AY675+AY681+AY704+AY710+AY715+AY720+AY729+AY735+AY743+AY749+AY758+AY788+AY877+AY891+AY940+AY995+AY1026</f>
        <v>12940326.159999998</v>
      </c>
      <c r="AZ665" s="221">
        <f t="shared" si="778"/>
        <v>12315622.314618737</v>
      </c>
      <c r="BA665" s="221">
        <f t="shared" si="778"/>
        <v>25255948.474618737</v>
      </c>
      <c r="BB665" s="254">
        <v>5</v>
      </c>
      <c r="BC665" s="255" t="s">
        <v>647</v>
      </c>
      <c r="BD665" s="255" t="s">
        <v>632</v>
      </c>
      <c r="BE665" s="173" t="s">
        <v>630</v>
      </c>
      <c r="BF665" s="255" t="s">
        <v>630</v>
      </c>
      <c r="BG665" s="175" t="s">
        <v>6439</v>
      </c>
      <c r="BH665" s="224">
        <f>BH666+BH675+BH681+BH704+BH710+BH715+BH720+BH729+BH735+BH743+BH749+BH758+BH788+BH877+BH891+BH940+BH995+BH1026</f>
        <v>27778615.140000001</v>
      </c>
      <c r="BI665" s="254"/>
      <c r="BJ665" s="255" t="s">
        <v>6440</v>
      </c>
      <c r="BK665" s="254" t="s">
        <v>6438</v>
      </c>
      <c r="BL665" s="175" t="s">
        <v>6441</v>
      </c>
      <c r="BM665" s="224">
        <f>BM666+BM675+BM681+BM704+BM710+BM715+BM720+BM729+BM735+BM743+BM749+BM758+BM788+BM877+BM891+BM940+BM995+BM1026</f>
        <v>27778615.140000001</v>
      </c>
      <c r="BN665" s="160"/>
      <c r="BO665" s="161">
        <f t="shared" si="695"/>
        <v>0</v>
      </c>
      <c r="BP665" s="161"/>
    </row>
    <row r="666" spans="1:68" ht="25.5">
      <c r="A666" s="192" t="s">
        <v>6442</v>
      </c>
      <c r="B666" s="184"/>
      <c r="C666" s="185" t="s">
        <v>46</v>
      </c>
      <c r="D666" s="146" t="s">
        <v>4692</v>
      </c>
      <c r="E666" s="185" t="s">
        <v>46</v>
      </c>
      <c r="F666" s="188">
        <v>0</v>
      </c>
      <c r="G666" s="187">
        <v>0</v>
      </c>
      <c r="H666" s="187"/>
      <c r="I666" s="187">
        <v>0</v>
      </c>
      <c r="J666" s="188">
        <f>SUM(J667:J674)</f>
        <v>0</v>
      </c>
      <c r="K666" s="188">
        <f>SUM(K667:K674)</f>
        <v>0</v>
      </c>
      <c r="L666" s="188">
        <f t="shared" si="766"/>
        <v>0</v>
      </c>
      <c r="M666" s="188">
        <v>0</v>
      </c>
      <c r="N666" s="188">
        <v>0</v>
      </c>
      <c r="O666" s="188">
        <v>0</v>
      </c>
      <c r="P666" s="299">
        <f t="shared" ref="P666:R666" si="779">SUM(P667:P674)</f>
        <v>0</v>
      </c>
      <c r="Q666" s="299">
        <f t="shared" si="779"/>
        <v>0</v>
      </c>
      <c r="R666" s="299">
        <f t="shared" si="779"/>
        <v>0</v>
      </c>
      <c r="S666" s="150">
        <f t="shared" si="748"/>
        <v>0</v>
      </c>
      <c r="T666" s="213"/>
      <c r="U666" s="299">
        <f t="shared" ref="U666:W666" si="780">SUM(U667:U674)</f>
        <v>0</v>
      </c>
      <c r="V666" s="226">
        <f t="shared" si="780"/>
        <v>0</v>
      </c>
      <c r="W666" s="299">
        <f t="shared" si="780"/>
        <v>0</v>
      </c>
      <c r="X666" s="299">
        <v>0</v>
      </c>
      <c r="Y666" s="299">
        <v>0</v>
      </c>
      <c r="Z666" s="299">
        <v>0</v>
      </c>
      <c r="AA666" s="299">
        <f t="shared" si="750"/>
        <v>0</v>
      </c>
      <c r="AB666" s="299">
        <v>0</v>
      </c>
      <c r="AC666" s="226">
        <v>0</v>
      </c>
      <c r="AD666" s="299">
        <f t="shared" ref="AD666" si="781">SUM(AD667:AD674)</f>
        <v>0</v>
      </c>
      <c r="AE666" s="299">
        <v>0</v>
      </c>
      <c r="AF666" s="169" t="s">
        <v>4680</v>
      </c>
      <c r="AG666" s="301">
        <v>0</v>
      </c>
      <c r="AH666" s="226">
        <v>0</v>
      </c>
      <c r="AI666" s="299">
        <v>0</v>
      </c>
      <c r="AJ666" s="169">
        <f t="shared" si="751"/>
        <v>0</v>
      </c>
      <c r="AK666" s="301">
        <v>0</v>
      </c>
      <c r="AL666" s="226">
        <v>0</v>
      </c>
      <c r="AM666" s="299">
        <f t="shared" ref="AM666" si="782">SUM(AM667:AM674)</f>
        <v>0</v>
      </c>
      <c r="AN666" s="153">
        <f t="shared" si="752"/>
        <v>0</v>
      </c>
      <c r="AO666" s="154">
        <f t="shared" si="753"/>
        <v>0</v>
      </c>
      <c r="AP666" s="299">
        <v>0</v>
      </c>
      <c r="AQ666" s="301">
        <v>0</v>
      </c>
      <c r="AR666" s="226">
        <f t="shared" ref="AR666:AS666" si="783">SUM(AR667:AR674)</f>
        <v>0</v>
      </c>
      <c r="AS666" s="299">
        <f t="shared" si="783"/>
        <v>0</v>
      </c>
      <c r="AT666" s="155"/>
      <c r="AU666" s="156">
        <f t="shared" si="745"/>
        <v>0</v>
      </c>
      <c r="AV666" s="156">
        <f t="shared" si="746"/>
        <v>0</v>
      </c>
      <c r="AW666" s="157"/>
      <c r="AX666" s="150">
        <v>0</v>
      </c>
      <c r="AY666" s="299">
        <f t="shared" ref="AY666:BA666" si="784">SUM(AY667:AY674)</f>
        <v>0</v>
      </c>
      <c r="AZ666" s="299">
        <f t="shared" si="784"/>
        <v>0</v>
      </c>
      <c r="BA666" s="299">
        <f t="shared" si="784"/>
        <v>0</v>
      </c>
      <c r="BB666" s="192">
        <v>5</v>
      </c>
      <c r="BC666" s="256" t="s">
        <v>647</v>
      </c>
      <c r="BD666" s="256" t="s">
        <v>632</v>
      </c>
      <c r="BE666" s="256" t="s">
        <v>632</v>
      </c>
      <c r="BF666" s="256" t="s">
        <v>630</v>
      </c>
      <c r="BG666" s="185" t="s">
        <v>46</v>
      </c>
      <c r="BH666" s="302">
        <f>SUM(BH667:BH674)</f>
        <v>0</v>
      </c>
      <c r="BI666" s="192"/>
      <c r="BJ666" s="256" t="s">
        <v>6443</v>
      </c>
      <c r="BK666" s="192" t="s">
        <v>6442</v>
      </c>
      <c r="BL666" s="185" t="s">
        <v>6444</v>
      </c>
      <c r="BM666" s="302">
        <f>SUM(BM667:BM674)</f>
        <v>0</v>
      </c>
      <c r="BN666" s="160"/>
      <c r="BO666" s="161">
        <f t="shared" si="695"/>
        <v>0</v>
      </c>
      <c r="BP666" s="161"/>
    </row>
    <row r="667" spans="1:68" ht="25.5">
      <c r="A667" s="206" t="s">
        <v>313</v>
      </c>
      <c r="B667" s="195" t="s">
        <v>6445</v>
      </c>
      <c r="C667" s="196" t="s">
        <v>6446</v>
      </c>
      <c r="D667" s="146" t="s">
        <v>4692</v>
      </c>
      <c r="E667" s="196" t="s">
        <v>6446</v>
      </c>
      <c r="F667" s="150">
        <v>0</v>
      </c>
      <c r="G667" s="209">
        <v>0</v>
      </c>
      <c r="H667" s="209"/>
      <c r="I667" s="209">
        <v>0</v>
      </c>
      <c r="J667" s="150">
        <v>0</v>
      </c>
      <c r="K667" s="150">
        <v>0</v>
      </c>
      <c r="L667" s="150">
        <f t="shared" si="766"/>
        <v>0</v>
      </c>
      <c r="M667" s="150">
        <v>0</v>
      </c>
      <c r="N667" s="150"/>
      <c r="O667" s="150">
        <v>0</v>
      </c>
      <c r="P667" s="150">
        <v>0</v>
      </c>
      <c r="Q667" s="150"/>
      <c r="R667" s="150">
        <f t="shared" ref="R667:R674" si="785">P667+Q667</f>
        <v>0</v>
      </c>
      <c r="S667" s="150">
        <f t="shared" si="748"/>
        <v>0</v>
      </c>
      <c r="T667" s="150"/>
      <c r="U667" s="150">
        <v>0</v>
      </c>
      <c r="V667" s="199"/>
      <c r="W667" s="150">
        <f t="shared" ref="W667:W674" si="786">U667+V667</f>
        <v>0</v>
      </c>
      <c r="X667" s="150">
        <v>0</v>
      </c>
      <c r="Y667" s="150"/>
      <c r="Z667" s="150">
        <v>0</v>
      </c>
      <c r="AA667" s="150">
        <f t="shared" si="750"/>
        <v>0</v>
      </c>
      <c r="AB667" s="150">
        <v>0</v>
      </c>
      <c r="AC667" s="199"/>
      <c r="AD667" s="150">
        <f t="shared" ref="AD667:AD674" si="787">AB667+AC667</f>
        <v>0</v>
      </c>
      <c r="AE667" s="150">
        <v>0</v>
      </c>
      <c r="AF667" s="169" t="s">
        <v>4680</v>
      </c>
      <c r="AG667" s="201">
        <v>0</v>
      </c>
      <c r="AH667" s="199"/>
      <c r="AI667" s="150">
        <v>0</v>
      </c>
      <c r="AJ667" s="169">
        <f t="shared" si="751"/>
        <v>0</v>
      </c>
      <c r="AK667" s="201">
        <v>0</v>
      </c>
      <c r="AL667" s="199"/>
      <c r="AM667" s="150">
        <f t="shared" ref="AM667:AM674" si="788">AK667+AL667</f>
        <v>0</v>
      </c>
      <c r="AN667" s="153">
        <f t="shared" si="752"/>
        <v>0</v>
      </c>
      <c r="AO667" s="154">
        <f t="shared" si="753"/>
        <v>0</v>
      </c>
      <c r="AP667" s="150">
        <v>0</v>
      </c>
      <c r="AQ667" s="201">
        <v>0</v>
      </c>
      <c r="AR667" s="199"/>
      <c r="AS667" s="150">
        <f t="shared" ref="AS667:AS674" si="789">AQ667+AR667</f>
        <v>0</v>
      </c>
      <c r="AT667" s="155"/>
      <c r="AU667" s="156">
        <f t="shared" si="745"/>
        <v>0</v>
      </c>
      <c r="AV667" s="156">
        <f t="shared" si="746"/>
        <v>0</v>
      </c>
      <c r="AW667" s="157"/>
      <c r="AX667" s="150">
        <v>0</v>
      </c>
      <c r="AY667" s="150">
        <v>0</v>
      </c>
      <c r="AZ667" s="150"/>
      <c r="BA667" s="150">
        <f t="shared" si="733"/>
        <v>0</v>
      </c>
      <c r="BB667" s="202">
        <v>5</v>
      </c>
      <c r="BC667" s="202" t="s">
        <v>647</v>
      </c>
      <c r="BD667" s="202" t="s">
        <v>632</v>
      </c>
      <c r="BE667" s="202" t="s">
        <v>632</v>
      </c>
      <c r="BF667" s="202" t="s">
        <v>632</v>
      </c>
      <c r="BG667" s="203" t="s">
        <v>314</v>
      </c>
      <c r="BH667" s="216">
        <f t="shared" ref="BH667:BH674" si="790">AS667</f>
        <v>0</v>
      </c>
      <c r="BI667" s="205"/>
      <c r="BJ667" s="206" t="s">
        <v>6447</v>
      </c>
      <c r="BK667" s="206" t="s">
        <v>313</v>
      </c>
      <c r="BL667" s="207" t="s">
        <v>6448</v>
      </c>
      <c r="BM667" s="208">
        <f t="shared" ref="BM667:BM674" si="791">BH667</f>
        <v>0</v>
      </c>
      <c r="BN667" s="160"/>
      <c r="BO667" s="161">
        <f t="shared" si="695"/>
        <v>0</v>
      </c>
      <c r="BP667" s="161"/>
    </row>
    <row r="668" spans="1:68" ht="25.5">
      <c r="A668" s="206" t="s">
        <v>315</v>
      </c>
      <c r="B668" s="195" t="s">
        <v>6449</v>
      </c>
      <c r="C668" s="196" t="s">
        <v>6450</v>
      </c>
      <c r="D668" s="146" t="s">
        <v>4692</v>
      </c>
      <c r="E668" s="196" t="s">
        <v>6450</v>
      </c>
      <c r="F668" s="150">
        <v>0</v>
      </c>
      <c r="G668" s="209">
        <v>0</v>
      </c>
      <c r="H668" s="209"/>
      <c r="I668" s="209">
        <v>0</v>
      </c>
      <c r="J668" s="150">
        <v>0</v>
      </c>
      <c r="K668" s="150">
        <v>0</v>
      </c>
      <c r="L668" s="150">
        <f t="shared" si="766"/>
        <v>0</v>
      </c>
      <c r="M668" s="150">
        <v>0</v>
      </c>
      <c r="N668" s="150"/>
      <c r="O668" s="150">
        <v>0</v>
      </c>
      <c r="P668" s="150">
        <v>0</v>
      </c>
      <c r="Q668" s="150"/>
      <c r="R668" s="150">
        <f t="shared" si="785"/>
        <v>0</v>
      </c>
      <c r="S668" s="150">
        <f t="shared" si="748"/>
        <v>0</v>
      </c>
      <c r="T668" s="150"/>
      <c r="U668" s="150">
        <v>0</v>
      </c>
      <c r="V668" s="199"/>
      <c r="W668" s="150">
        <f t="shared" si="786"/>
        <v>0</v>
      </c>
      <c r="X668" s="150">
        <v>0</v>
      </c>
      <c r="Y668" s="150"/>
      <c r="Z668" s="150">
        <v>0</v>
      </c>
      <c r="AA668" s="150">
        <f t="shared" si="750"/>
        <v>0</v>
      </c>
      <c r="AB668" s="150">
        <v>0</v>
      </c>
      <c r="AC668" s="199"/>
      <c r="AD668" s="150">
        <f t="shared" si="787"/>
        <v>0</v>
      </c>
      <c r="AE668" s="150">
        <v>0</v>
      </c>
      <c r="AF668" s="169" t="s">
        <v>4680</v>
      </c>
      <c r="AG668" s="201">
        <v>0</v>
      </c>
      <c r="AH668" s="199"/>
      <c r="AI668" s="150">
        <v>0</v>
      </c>
      <c r="AJ668" s="169">
        <f t="shared" si="751"/>
        <v>0</v>
      </c>
      <c r="AK668" s="201">
        <v>0</v>
      </c>
      <c r="AL668" s="199"/>
      <c r="AM668" s="150">
        <f t="shared" si="788"/>
        <v>0</v>
      </c>
      <c r="AN668" s="153">
        <f t="shared" si="752"/>
        <v>0</v>
      </c>
      <c r="AO668" s="154">
        <f t="shared" si="753"/>
        <v>0</v>
      </c>
      <c r="AP668" s="150">
        <v>0</v>
      </c>
      <c r="AQ668" s="201">
        <v>0</v>
      </c>
      <c r="AR668" s="199"/>
      <c r="AS668" s="150">
        <f t="shared" si="789"/>
        <v>0</v>
      </c>
      <c r="AT668" s="155"/>
      <c r="AU668" s="156">
        <f t="shared" si="745"/>
        <v>0</v>
      </c>
      <c r="AV668" s="156">
        <f t="shared" si="746"/>
        <v>0</v>
      </c>
      <c r="AW668" s="157"/>
      <c r="AX668" s="150">
        <v>0</v>
      </c>
      <c r="AY668" s="150">
        <v>0</v>
      </c>
      <c r="AZ668" s="150"/>
      <c r="BA668" s="150">
        <f t="shared" si="733"/>
        <v>0</v>
      </c>
      <c r="BB668" s="202">
        <v>5</v>
      </c>
      <c r="BC668" s="202" t="s">
        <v>647</v>
      </c>
      <c r="BD668" s="202" t="s">
        <v>632</v>
      </c>
      <c r="BE668" s="202" t="s">
        <v>632</v>
      </c>
      <c r="BF668" s="202" t="s">
        <v>647</v>
      </c>
      <c r="BG668" s="203" t="s">
        <v>316</v>
      </c>
      <c r="BH668" s="216">
        <f t="shared" si="790"/>
        <v>0</v>
      </c>
      <c r="BI668" s="205"/>
      <c r="BJ668" s="206" t="s">
        <v>6451</v>
      </c>
      <c r="BK668" s="206" t="s">
        <v>315</v>
      </c>
      <c r="BL668" s="207" t="s">
        <v>6452</v>
      </c>
      <c r="BM668" s="208">
        <f t="shared" si="791"/>
        <v>0</v>
      </c>
      <c r="BN668" s="160"/>
      <c r="BO668" s="161">
        <f t="shared" ref="BO668:BO731" si="792">BM668-AS668</f>
        <v>0</v>
      </c>
      <c r="BP668" s="161"/>
    </row>
    <row r="669" spans="1:68" ht="25.5">
      <c r="A669" s="206" t="s">
        <v>317</v>
      </c>
      <c r="B669" s="195" t="s">
        <v>6453</v>
      </c>
      <c r="C669" s="196" t="s">
        <v>6454</v>
      </c>
      <c r="D669" s="146" t="s">
        <v>4692</v>
      </c>
      <c r="E669" s="196" t="s">
        <v>6454</v>
      </c>
      <c r="F669" s="150">
        <v>0</v>
      </c>
      <c r="G669" s="209">
        <v>0</v>
      </c>
      <c r="H669" s="209"/>
      <c r="I669" s="209">
        <v>0</v>
      </c>
      <c r="J669" s="150">
        <v>0</v>
      </c>
      <c r="K669" s="150">
        <v>0</v>
      </c>
      <c r="L669" s="150">
        <f t="shared" si="766"/>
        <v>0</v>
      </c>
      <c r="M669" s="150">
        <v>0</v>
      </c>
      <c r="N669" s="150"/>
      <c r="O669" s="150">
        <v>0</v>
      </c>
      <c r="P669" s="150">
        <v>0</v>
      </c>
      <c r="Q669" s="150"/>
      <c r="R669" s="150">
        <f t="shared" si="785"/>
        <v>0</v>
      </c>
      <c r="S669" s="150">
        <f t="shared" si="748"/>
        <v>0</v>
      </c>
      <c r="T669" s="150"/>
      <c r="U669" s="150">
        <v>0</v>
      </c>
      <c r="V669" s="199"/>
      <c r="W669" s="150">
        <f t="shared" si="786"/>
        <v>0</v>
      </c>
      <c r="X669" s="150">
        <v>0</v>
      </c>
      <c r="Y669" s="150"/>
      <c r="Z669" s="150">
        <v>0</v>
      </c>
      <c r="AA669" s="150">
        <f t="shared" si="750"/>
        <v>0</v>
      </c>
      <c r="AB669" s="150">
        <v>0</v>
      </c>
      <c r="AC669" s="199"/>
      <c r="AD669" s="150">
        <f t="shared" si="787"/>
        <v>0</v>
      </c>
      <c r="AE669" s="150">
        <v>0</v>
      </c>
      <c r="AF669" s="169" t="s">
        <v>4680</v>
      </c>
      <c r="AG669" s="201">
        <v>0</v>
      </c>
      <c r="AH669" s="199"/>
      <c r="AI669" s="150">
        <v>0</v>
      </c>
      <c r="AJ669" s="169">
        <f t="shared" si="751"/>
        <v>0</v>
      </c>
      <c r="AK669" s="201">
        <v>0</v>
      </c>
      <c r="AL669" s="199"/>
      <c r="AM669" s="150">
        <f t="shared" si="788"/>
        <v>0</v>
      </c>
      <c r="AN669" s="153">
        <f t="shared" si="752"/>
        <v>0</v>
      </c>
      <c r="AO669" s="154">
        <f t="shared" si="753"/>
        <v>0</v>
      </c>
      <c r="AP669" s="150">
        <v>0</v>
      </c>
      <c r="AQ669" s="201">
        <v>0</v>
      </c>
      <c r="AR669" s="199"/>
      <c r="AS669" s="150">
        <f t="shared" si="789"/>
        <v>0</v>
      </c>
      <c r="AT669" s="155"/>
      <c r="AU669" s="156">
        <f t="shared" si="745"/>
        <v>0</v>
      </c>
      <c r="AV669" s="156">
        <f t="shared" si="746"/>
        <v>0</v>
      </c>
      <c r="AW669" s="157"/>
      <c r="AX669" s="150">
        <v>0</v>
      </c>
      <c r="AY669" s="150">
        <v>0</v>
      </c>
      <c r="AZ669" s="150"/>
      <c r="BA669" s="150">
        <f t="shared" si="733"/>
        <v>0</v>
      </c>
      <c r="BB669" s="202">
        <v>5</v>
      </c>
      <c r="BC669" s="202" t="s">
        <v>647</v>
      </c>
      <c r="BD669" s="202" t="s">
        <v>632</v>
      </c>
      <c r="BE669" s="202" t="s">
        <v>632</v>
      </c>
      <c r="BF669" s="202" t="s">
        <v>671</v>
      </c>
      <c r="BG669" s="203" t="s">
        <v>318</v>
      </c>
      <c r="BH669" s="216">
        <f t="shared" si="790"/>
        <v>0</v>
      </c>
      <c r="BI669" s="205"/>
      <c r="BJ669" s="206" t="s">
        <v>6455</v>
      </c>
      <c r="BK669" s="206" t="s">
        <v>317</v>
      </c>
      <c r="BL669" s="207" t="s">
        <v>6456</v>
      </c>
      <c r="BM669" s="208">
        <f t="shared" si="791"/>
        <v>0</v>
      </c>
      <c r="BN669" s="160"/>
      <c r="BO669" s="161">
        <f t="shared" si="792"/>
        <v>0</v>
      </c>
      <c r="BP669" s="161"/>
    </row>
    <row r="670" spans="1:68" ht="38.25">
      <c r="A670" s="206" t="s">
        <v>319</v>
      </c>
      <c r="B670" s="195" t="s">
        <v>6457</v>
      </c>
      <c r="C670" s="196" t="s">
        <v>6458</v>
      </c>
      <c r="D670" s="146" t="s">
        <v>4692</v>
      </c>
      <c r="E670" s="196" t="s">
        <v>6458</v>
      </c>
      <c r="F670" s="150">
        <v>0</v>
      </c>
      <c r="G670" s="209">
        <v>0</v>
      </c>
      <c r="H670" s="209"/>
      <c r="I670" s="209">
        <v>0</v>
      </c>
      <c r="J670" s="150">
        <v>0</v>
      </c>
      <c r="K670" s="150">
        <v>0</v>
      </c>
      <c r="L670" s="150">
        <f t="shared" si="766"/>
        <v>0</v>
      </c>
      <c r="M670" s="150">
        <v>0</v>
      </c>
      <c r="N670" s="150"/>
      <c r="O670" s="150">
        <v>0</v>
      </c>
      <c r="P670" s="150">
        <v>0</v>
      </c>
      <c r="Q670" s="150"/>
      <c r="R670" s="150">
        <f t="shared" si="785"/>
        <v>0</v>
      </c>
      <c r="S670" s="150">
        <f t="shared" si="748"/>
        <v>0</v>
      </c>
      <c r="T670" s="150"/>
      <c r="U670" s="150">
        <v>0</v>
      </c>
      <c r="V670" s="199"/>
      <c r="W670" s="150">
        <f t="shared" si="786"/>
        <v>0</v>
      </c>
      <c r="X670" s="150">
        <v>0</v>
      </c>
      <c r="Y670" s="150"/>
      <c r="Z670" s="150">
        <v>0</v>
      </c>
      <c r="AA670" s="150">
        <f t="shared" si="750"/>
        <v>0</v>
      </c>
      <c r="AB670" s="150">
        <v>0</v>
      </c>
      <c r="AC670" s="199"/>
      <c r="AD670" s="150">
        <f t="shared" si="787"/>
        <v>0</v>
      </c>
      <c r="AE670" s="150">
        <v>0</v>
      </c>
      <c r="AF670" s="169" t="s">
        <v>4680</v>
      </c>
      <c r="AG670" s="201">
        <v>0</v>
      </c>
      <c r="AH670" s="199"/>
      <c r="AI670" s="150">
        <v>0</v>
      </c>
      <c r="AJ670" s="169">
        <f t="shared" si="751"/>
        <v>0</v>
      </c>
      <c r="AK670" s="201">
        <v>0</v>
      </c>
      <c r="AL670" s="199"/>
      <c r="AM670" s="150">
        <f t="shared" si="788"/>
        <v>0</v>
      </c>
      <c r="AN670" s="153">
        <f t="shared" si="752"/>
        <v>0</v>
      </c>
      <c r="AO670" s="154">
        <f t="shared" si="753"/>
        <v>0</v>
      </c>
      <c r="AP670" s="150">
        <v>0</v>
      </c>
      <c r="AQ670" s="201">
        <v>0</v>
      </c>
      <c r="AR670" s="199"/>
      <c r="AS670" s="150">
        <f t="shared" si="789"/>
        <v>0</v>
      </c>
      <c r="AT670" s="155"/>
      <c r="AU670" s="156">
        <f t="shared" si="745"/>
        <v>0</v>
      </c>
      <c r="AV670" s="156">
        <f t="shared" si="746"/>
        <v>0</v>
      </c>
      <c r="AW670" s="157"/>
      <c r="AX670" s="150">
        <v>0</v>
      </c>
      <c r="AY670" s="150">
        <v>0</v>
      </c>
      <c r="AZ670" s="150"/>
      <c r="BA670" s="150">
        <f t="shared" si="733"/>
        <v>0</v>
      </c>
      <c r="BB670" s="202">
        <v>5</v>
      </c>
      <c r="BC670" s="202" t="s">
        <v>647</v>
      </c>
      <c r="BD670" s="202" t="s">
        <v>632</v>
      </c>
      <c r="BE670" s="202" t="s">
        <v>632</v>
      </c>
      <c r="BF670" s="202" t="s">
        <v>693</v>
      </c>
      <c r="BG670" s="287" t="s">
        <v>6459</v>
      </c>
      <c r="BH670" s="216">
        <f t="shared" si="790"/>
        <v>0</v>
      </c>
      <c r="BI670" s="205"/>
      <c r="BJ670" s="206" t="s">
        <v>6460</v>
      </c>
      <c r="BK670" s="206" t="s">
        <v>319</v>
      </c>
      <c r="BL670" s="207" t="s">
        <v>6461</v>
      </c>
      <c r="BM670" s="208">
        <f t="shared" si="791"/>
        <v>0</v>
      </c>
      <c r="BN670" s="160"/>
      <c r="BO670" s="161">
        <f t="shared" si="792"/>
        <v>0</v>
      </c>
      <c r="BP670" s="161"/>
    </row>
    <row r="671" spans="1:68" ht="38.25">
      <c r="A671" s="206" t="s">
        <v>319</v>
      </c>
      <c r="B671" s="195" t="s">
        <v>6462</v>
      </c>
      <c r="C671" s="196" t="s">
        <v>6463</v>
      </c>
      <c r="D671" s="146" t="s">
        <v>4692</v>
      </c>
      <c r="E671" s="196" t="s">
        <v>6463</v>
      </c>
      <c r="F671" s="150">
        <v>0</v>
      </c>
      <c r="G671" s="209">
        <v>0</v>
      </c>
      <c r="H671" s="209"/>
      <c r="I671" s="209">
        <v>0</v>
      </c>
      <c r="J671" s="150">
        <v>0</v>
      </c>
      <c r="K671" s="150">
        <v>0</v>
      </c>
      <c r="L671" s="150">
        <f t="shared" si="766"/>
        <v>0</v>
      </c>
      <c r="M671" s="150">
        <v>0</v>
      </c>
      <c r="N671" s="150"/>
      <c r="O671" s="150">
        <v>0</v>
      </c>
      <c r="P671" s="150">
        <v>0</v>
      </c>
      <c r="Q671" s="150"/>
      <c r="R671" s="150">
        <f t="shared" si="785"/>
        <v>0</v>
      </c>
      <c r="S671" s="150">
        <f t="shared" si="748"/>
        <v>0</v>
      </c>
      <c r="T671" s="150"/>
      <c r="U671" s="150">
        <v>0</v>
      </c>
      <c r="V671" s="199"/>
      <c r="W671" s="150">
        <f t="shared" si="786"/>
        <v>0</v>
      </c>
      <c r="X671" s="150">
        <v>0</v>
      </c>
      <c r="Y671" s="150"/>
      <c r="Z671" s="150">
        <v>0</v>
      </c>
      <c r="AA671" s="150">
        <f t="shared" si="750"/>
        <v>0</v>
      </c>
      <c r="AB671" s="150">
        <v>0</v>
      </c>
      <c r="AC671" s="199"/>
      <c r="AD671" s="150">
        <f t="shared" si="787"/>
        <v>0</v>
      </c>
      <c r="AE671" s="150">
        <v>0</v>
      </c>
      <c r="AF671" s="169" t="s">
        <v>4680</v>
      </c>
      <c r="AG671" s="201">
        <v>0</v>
      </c>
      <c r="AH671" s="199"/>
      <c r="AI671" s="150">
        <v>0</v>
      </c>
      <c r="AJ671" s="169">
        <f t="shared" si="751"/>
        <v>0</v>
      </c>
      <c r="AK671" s="201">
        <v>0</v>
      </c>
      <c r="AL671" s="199"/>
      <c r="AM671" s="150">
        <f t="shared" si="788"/>
        <v>0</v>
      </c>
      <c r="AN671" s="153">
        <f t="shared" si="752"/>
        <v>0</v>
      </c>
      <c r="AO671" s="154">
        <f t="shared" si="753"/>
        <v>0</v>
      </c>
      <c r="AP671" s="150">
        <v>0</v>
      </c>
      <c r="AQ671" s="201">
        <v>0</v>
      </c>
      <c r="AR671" s="199"/>
      <c r="AS671" s="150">
        <f t="shared" si="789"/>
        <v>0</v>
      </c>
      <c r="AT671" s="155"/>
      <c r="AU671" s="156">
        <f t="shared" si="745"/>
        <v>0</v>
      </c>
      <c r="AV671" s="156">
        <f t="shared" si="746"/>
        <v>0</v>
      </c>
      <c r="AW671" s="157"/>
      <c r="AX671" s="150">
        <v>0</v>
      </c>
      <c r="AY671" s="150">
        <v>0</v>
      </c>
      <c r="AZ671" s="150"/>
      <c r="BA671" s="150">
        <f t="shared" si="733"/>
        <v>0</v>
      </c>
      <c r="BB671" s="202">
        <v>5</v>
      </c>
      <c r="BC671" s="202" t="s">
        <v>647</v>
      </c>
      <c r="BD671" s="202" t="s">
        <v>632</v>
      </c>
      <c r="BE671" s="202" t="s">
        <v>632</v>
      </c>
      <c r="BF671" s="202" t="s">
        <v>714</v>
      </c>
      <c r="BG671" s="287" t="s">
        <v>6464</v>
      </c>
      <c r="BH671" s="216">
        <f t="shared" si="790"/>
        <v>0</v>
      </c>
      <c r="BI671" s="205"/>
      <c r="BJ671" s="206" t="s">
        <v>6460</v>
      </c>
      <c r="BK671" s="206" t="s">
        <v>319</v>
      </c>
      <c r="BL671" s="207" t="s">
        <v>6461</v>
      </c>
      <c r="BM671" s="208">
        <f t="shared" si="791"/>
        <v>0</v>
      </c>
      <c r="BN671" s="160"/>
      <c r="BO671" s="161">
        <f t="shared" si="792"/>
        <v>0</v>
      </c>
      <c r="BP671" s="161"/>
    </row>
    <row r="672" spans="1:68" ht="38.25">
      <c r="A672" s="206" t="s">
        <v>319</v>
      </c>
      <c r="B672" s="195" t="s">
        <v>6465</v>
      </c>
      <c r="C672" s="196" t="s">
        <v>6466</v>
      </c>
      <c r="D672" s="146" t="s">
        <v>4692</v>
      </c>
      <c r="E672" s="196" t="s">
        <v>6466</v>
      </c>
      <c r="F672" s="150">
        <v>0</v>
      </c>
      <c r="G672" s="209">
        <v>0</v>
      </c>
      <c r="H672" s="209"/>
      <c r="I672" s="209">
        <v>0</v>
      </c>
      <c r="J672" s="150">
        <v>0</v>
      </c>
      <c r="K672" s="150">
        <v>0</v>
      </c>
      <c r="L672" s="150">
        <f t="shared" si="766"/>
        <v>0</v>
      </c>
      <c r="M672" s="150">
        <v>0</v>
      </c>
      <c r="N672" s="150"/>
      <c r="O672" s="150">
        <v>0</v>
      </c>
      <c r="P672" s="150">
        <v>0</v>
      </c>
      <c r="Q672" s="150"/>
      <c r="R672" s="150">
        <f t="shared" si="785"/>
        <v>0</v>
      </c>
      <c r="S672" s="150">
        <f t="shared" si="748"/>
        <v>0</v>
      </c>
      <c r="T672" s="150"/>
      <c r="U672" s="150">
        <v>0</v>
      </c>
      <c r="V672" s="199"/>
      <c r="W672" s="150">
        <f t="shared" si="786"/>
        <v>0</v>
      </c>
      <c r="X672" s="150">
        <v>0</v>
      </c>
      <c r="Y672" s="150"/>
      <c r="Z672" s="150">
        <v>0</v>
      </c>
      <c r="AA672" s="150">
        <f t="shared" si="750"/>
        <v>0</v>
      </c>
      <c r="AB672" s="150">
        <v>0</v>
      </c>
      <c r="AC672" s="199"/>
      <c r="AD672" s="150">
        <f t="shared" si="787"/>
        <v>0</v>
      </c>
      <c r="AE672" s="150">
        <v>0</v>
      </c>
      <c r="AF672" s="169" t="s">
        <v>4680</v>
      </c>
      <c r="AG672" s="201">
        <v>0</v>
      </c>
      <c r="AH672" s="199"/>
      <c r="AI672" s="150">
        <v>0</v>
      </c>
      <c r="AJ672" s="169">
        <f t="shared" si="751"/>
        <v>0</v>
      </c>
      <c r="AK672" s="201">
        <v>0</v>
      </c>
      <c r="AL672" s="199"/>
      <c r="AM672" s="150">
        <f t="shared" si="788"/>
        <v>0</v>
      </c>
      <c r="AN672" s="153">
        <f t="shared" si="752"/>
        <v>0</v>
      </c>
      <c r="AO672" s="154">
        <f t="shared" si="753"/>
        <v>0</v>
      </c>
      <c r="AP672" s="150">
        <v>0</v>
      </c>
      <c r="AQ672" s="201">
        <v>0</v>
      </c>
      <c r="AR672" s="199"/>
      <c r="AS672" s="150">
        <f t="shared" si="789"/>
        <v>0</v>
      </c>
      <c r="AT672" s="155"/>
      <c r="AU672" s="156">
        <f t="shared" si="745"/>
        <v>0</v>
      </c>
      <c r="AV672" s="156">
        <f t="shared" si="746"/>
        <v>0</v>
      </c>
      <c r="AW672" s="157"/>
      <c r="AX672" s="150">
        <v>0</v>
      </c>
      <c r="AY672" s="150">
        <v>0</v>
      </c>
      <c r="AZ672" s="150"/>
      <c r="BA672" s="150">
        <f t="shared" si="733"/>
        <v>0</v>
      </c>
      <c r="BB672" s="202">
        <v>5</v>
      </c>
      <c r="BC672" s="202" t="s">
        <v>647</v>
      </c>
      <c r="BD672" s="202" t="s">
        <v>632</v>
      </c>
      <c r="BE672" s="202" t="s">
        <v>632</v>
      </c>
      <c r="BF672" s="202" t="s">
        <v>739</v>
      </c>
      <c r="BG672" s="287" t="s">
        <v>6467</v>
      </c>
      <c r="BH672" s="216">
        <f t="shared" si="790"/>
        <v>0</v>
      </c>
      <c r="BI672" s="205"/>
      <c r="BJ672" s="206" t="s">
        <v>6460</v>
      </c>
      <c r="BK672" s="206" t="s">
        <v>319</v>
      </c>
      <c r="BL672" s="207" t="s">
        <v>6461</v>
      </c>
      <c r="BM672" s="208">
        <f t="shared" si="791"/>
        <v>0</v>
      </c>
      <c r="BN672" s="160"/>
      <c r="BO672" s="161">
        <f t="shared" si="792"/>
        <v>0</v>
      </c>
      <c r="BP672" s="161"/>
    </row>
    <row r="673" spans="1:68" ht="51">
      <c r="A673" s="261" t="s">
        <v>320</v>
      </c>
      <c r="B673" s="228" t="s">
        <v>6468</v>
      </c>
      <c r="C673" s="229" t="s">
        <v>6469</v>
      </c>
      <c r="D673" s="146" t="s">
        <v>4692</v>
      </c>
      <c r="E673" s="196" t="s">
        <v>6469</v>
      </c>
      <c r="F673" s="150">
        <v>0</v>
      </c>
      <c r="G673" s="209">
        <v>0</v>
      </c>
      <c r="H673" s="209"/>
      <c r="I673" s="209">
        <v>0</v>
      </c>
      <c r="J673" s="150">
        <v>0</v>
      </c>
      <c r="K673" s="150">
        <v>0</v>
      </c>
      <c r="L673" s="150">
        <f t="shared" si="766"/>
        <v>0</v>
      </c>
      <c r="M673" s="150">
        <v>0</v>
      </c>
      <c r="N673" s="150"/>
      <c r="O673" s="150">
        <v>0</v>
      </c>
      <c r="P673" s="150">
        <v>0</v>
      </c>
      <c r="Q673" s="150"/>
      <c r="R673" s="150">
        <f t="shared" si="785"/>
        <v>0</v>
      </c>
      <c r="S673" s="150">
        <f t="shared" si="748"/>
        <v>0</v>
      </c>
      <c r="T673" s="150"/>
      <c r="U673" s="150">
        <v>0</v>
      </c>
      <c r="V673" s="199"/>
      <c r="W673" s="150">
        <f t="shared" si="786"/>
        <v>0</v>
      </c>
      <c r="X673" s="150">
        <v>0</v>
      </c>
      <c r="Y673" s="150"/>
      <c r="Z673" s="150">
        <v>0</v>
      </c>
      <c r="AA673" s="150">
        <f t="shared" si="750"/>
        <v>0</v>
      </c>
      <c r="AB673" s="150">
        <v>0</v>
      </c>
      <c r="AC673" s="199"/>
      <c r="AD673" s="150">
        <f t="shared" si="787"/>
        <v>0</v>
      </c>
      <c r="AE673" s="150">
        <v>0</v>
      </c>
      <c r="AF673" s="169" t="s">
        <v>4680</v>
      </c>
      <c r="AG673" s="201">
        <v>0</v>
      </c>
      <c r="AH673" s="199"/>
      <c r="AI673" s="150">
        <v>0</v>
      </c>
      <c r="AJ673" s="169">
        <f t="shared" si="751"/>
        <v>0</v>
      </c>
      <c r="AK673" s="201">
        <v>0</v>
      </c>
      <c r="AL673" s="199"/>
      <c r="AM673" s="150">
        <f t="shared" si="788"/>
        <v>0</v>
      </c>
      <c r="AN673" s="153">
        <f t="shared" si="752"/>
        <v>0</v>
      </c>
      <c r="AO673" s="154">
        <f t="shared" si="753"/>
        <v>0</v>
      </c>
      <c r="AP673" s="150">
        <v>0</v>
      </c>
      <c r="AQ673" s="201">
        <v>0</v>
      </c>
      <c r="AR673" s="199"/>
      <c r="AS673" s="150">
        <f t="shared" si="789"/>
        <v>0</v>
      </c>
      <c r="AT673" s="155" t="s">
        <v>4796</v>
      </c>
      <c r="AU673" s="156">
        <f t="shared" si="745"/>
        <v>0</v>
      </c>
      <c r="AV673" s="156">
        <f t="shared" si="746"/>
        <v>0</v>
      </c>
      <c r="AW673" s="157" t="s">
        <v>4796</v>
      </c>
      <c r="AX673" s="150">
        <v>0</v>
      </c>
      <c r="AY673" s="150">
        <v>0</v>
      </c>
      <c r="AZ673" s="150"/>
      <c r="BA673" s="150">
        <f t="shared" si="733"/>
        <v>0</v>
      </c>
      <c r="BB673" s="202">
        <v>5</v>
      </c>
      <c r="BC673" s="202" t="s">
        <v>647</v>
      </c>
      <c r="BD673" s="202" t="s">
        <v>632</v>
      </c>
      <c r="BE673" s="202" t="s">
        <v>632</v>
      </c>
      <c r="BF673" s="202" t="s">
        <v>755</v>
      </c>
      <c r="BG673" s="203" t="s">
        <v>6470</v>
      </c>
      <c r="BH673" s="216">
        <f t="shared" si="790"/>
        <v>0</v>
      </c>
      <c r="BI673" s="206" t="s">
        <v>1519</v>
      </c>
      <c r="BJ673" s="206" t="s">
        <v>6471</v>
      </c>
      <c r="BK673" s="206" t="s">
        <v>320</v>
      </c>
      <c r="BL673" s="207" t="s">
        <v>6472</v>
      </c>
      <c r="BM673" s="208">
        <f t="shared" si="791"/>
        <v>0</v>
      </c>
      <c r="BN673" s="160"/>
      <c r="BO673" s="161">
        <f t="shared" si="792"/>
        <v>0</v>
      </c>
      <c r="BP673" s="161"/>
    </row>
    <row r="674" spans="1:68" ht="51">
      <c r="A674" s="206" t="s">
        <v>321</v>
      </c>
      <c r="B674" s="195" t="s">
        <v>6473</v>
      </c>
      <c r="C674" s="196" t="s">
        <v>6474</v>
      </c>
      <c r="D674" s="146" t="s">
        <v>4692</v>
      </c>
      <c r="E674" s="196" t="s">
        <v>6474</v>
      </c>
      <c r="F674" s="150">
        <v>0</v>
      </c>
      <c r="G674" s="209">
        <v>0</v>
      </c>
      <c r="H674" s="209">
        <v>0</v>
      </c>
      <c r="I674" s="209">
        <v>0</v>
      </c>
      <c r="J674" s="150">
        <v>0</v>
      </c>
      <c r="K674" s="150">
        <v>0</v>
      </c>
      <c r="L674" s="150">
        <f t="shared" si="766"/>
        <v>0</v>
      </c>
      <c r="M674" s="150">
        <v>0</v>
      </c>
      <c r="N674" s="150"/>
      <c r="O674" s="150">
        <v>0</v>
      </c>
      <c r="P674" s="150">
        <v>0</v>
      </c>
      <c r="Q674" s="150"/>
      <c r="R674" s="150">
        <f t="shared" si="785"/>
        <v>0</v>
      </c>
      <c r="S674" s="150">
        <f t="shared" si="748"/>
        <v>0</v>
      </c>
      <c r="T674" s="150"/>
      <c r="U674" s="150">
        <v>0</v>
      </c>
      <c r="V674" s="199"/>
      <c r="W674" s="150">
        <f t="shared" si="786"/>
        <v>0</v>
      </c>
      <c r="X674" s="150">
        <v>0</v>
      </c>
      <c r="Y674" s="150"/>
      <c r="Z674" s="150">
        <v>0</v>
      </c>
      <c r="AA674" s="150">
        <f t="shared" si="750"/>
        <v>0</v>
      </c>
      <c r="AB674" s="150">
        <v>0</v>
      </c>
      <c r="AC674" s="199"/>
      <c r="AD674" s="150">
        <f t="shared" si="787"/>
        <v>0</v>
      </c>
      <c r="AE674" s="150">
        <v>0</v>
      </c>
      <c r="AF674" s="169" t="s">
        <v>4680</v>
      </c>
      <c r="AG674" s="201">
        <v>0</v>
      </c>
      <c r="AH674" s="199"/>
      <c r="AI674" s="150">
        <v>0</v>
      </c>
      <c r="AJ674" s="169">
        <f t="shared" si="751"/>
        <v>0</v>
      </c>
      <c r="AK674" s="201">
        <v>0</v>
      </c>
      <c r="AL674" s="199"/>
      <c r="AM674" s="150">
        <f t="shared" si="788"/>
        <v>0</v>
      </c>
      <c r="AN674" s="153">
        <f t="shared" si="752"/>
        <v>0</v>
      </c>
      <c r="AO674" s="154">
        <f t="shared" si="753"/>
        <v>0</v>
      </c>
      <c r="AP674" s="150">
        <v>0</v>
      </c>
      <c r="AQ674" s="201">
        <v>0</v>
      </c>
      <c r="AR674" s="199"/>
      <c r="AS674" s="150">
        <f t="shared" si="789"/>
        <v>0</v>
      </c>
      <c r="AT674" s="155"/>
      <c r="AU674" s="156">
        <f t="shared" si="745"/>
        <v>0</v>
      </c>
      <c r="AV674" s="156">
        <f t="shared" si="746"/>
        <v>0</v>
      </c>
      <c r="AW674" s="157"/>
      <c r="AX674" s="150">
        <v>0</v>
      </c>
      <c r="AY674" s="150">
        <v>0</v>
      </c>
      <c r="AZ674" s="150"/>
      <c r="BA674" s="150">
        <f t="shared" si="733"/>
        <v>0</v>
      </c>
      <c r="BB674" s="202">
        <v>5</v>
      </c>
      <c r="BC674" s="202" t="s">
        <v>647</v>
      </c>
      <c r="BD674" s="202" t="s">
        <v>632</v>
      </c>
      <c r="BE674" s="202" t="s">
        <v>632</v>
      </c>
      <c r="BF674" s="202" t="s">
        <v>766</v>
      </c>
      <c r="BG674" s="203" t="s">
        <v>6475</v>
      </c>
      <c r="BH674" s="216">
        <f t="shared" si="790"/>
        <v>0</v>
      </c>
      <c r="BI674" s="206" t="s">
        <v>1349</v>
      </c>
      <c r="BJ674" s="206" t="s">
        <v>6476</v>
      </c>
      <c r="BK674" s="206" t="s">
        <v>321</v>
      </c>
      <c r="BL674" s="207" t="s">
        <v>6477</v>
      </c>
      <c r="BM674" s="208">
        <f t="shared" si="791"/>
        <v>0</v>
      </c>
      <c r="BN674" s="160"/>
      <c r="BO674" s="161">
        <f t="shared" si="792"/>
        <v>0</v>
      </c>
      <c r="BP674" s="161"/>
    </row>
    <row r="675" spans="1:68" ht="25.5">
      <c r="A675" s="192" t="s">
        <v>6478</v>
      </c>
      <c r="B675" s="184"/>
      <c r="C675" s="185" t="s">
        <v>47</v>
      </c>
      <c r="D675" s="146" t="s">
        <v>4692</v>
      </c>
      <c r="E675" s="185" t="s">
        <v>47</v>
      </c>
      <c r="F675" s="188">
        <v>0</v>
      </c>
      <c r="G675" s="187">
        <v>0</v>
      </c>
      <c r="H675" s="187"/>
      <c r="I675" s="187">
        <v>0</v>
      </c>
      <c r="J675" s="188">
        <f>SUM(J676:J680)</f>
        <v>0</v>
      </c>
      <c r="K675" s="188">
        <f>SUM(K676:K680)</f>
        <v>0</v>
      </c>
      <c r="L675" s="188">
        <f t="shared" si="766"/>
        <v>0</v>
      </c>
      <c r="M675" s="188">
        <v>0</v>
      </c>
      <c r="N675" s="188">
        <v>0</v>
      </c>
      <c r="O675" s="188">
        <v>0</v>
      </c>
      <c r="P675" s="299">
        <f t="shared" ref="P675:AD675" si="793">SUM(P676:P680)</f>
        <v>0</v>
      </c>
      <c r="Q675" s="299">
        <f t="shared" si="793"/>
        <v>0</v>
      </c>
      <c r="R675" s="299">
        <f t="shared" si="793"/>
        <v>0</v>
      </c>
      <c r="S675" s="150">
        <f t="shared" si="748"/>
        <v>0</v>
      </c>
      <c r="T675" s="213"/>
      <c r="U675" s="299">
        <f t="shared" ref="U675:W675" si="794">SUM(U676:U680)</f>
        <v>0</v>
      </c>
      <c r="V675" s="226">
        <f t="shared" si="794"/>
        <v>0</v>
      </c>
      <c r="W675" s="299">
        <f t="shared" si="794"/>
        <v>0</v>
      </c>
      <c r="X675" s="299">
        <v>0</v>
      </c>
      <c r="Y675" s="299">
        <v>0</v>
      </c>
      <c r="Z675" s="299">
        <v>0</v>
      </c>
      <c r="AA675" s="299">
        <f t="shared" si="750"/>
        <v>0</v>
      </c>
      <c r="AB675" s="299">
        <v>0</v>
      </c>
      <c r="AC675" s="226">
        <v>0</v>
      </c>
      <c r="AD675" s="299">
        <f t="shared" si="793"/>
        <v>0</v>
      </c>
      <c r="AE675" s="299">
        <v>0</v>
      </c>
      <c r="AF675" s="169" t="s">
        <v>4680</v>
      </c>
      <c r="AG675" s="301">
        <v>0</v>
      </c>
      <c r="AH675" s="226">
        <v>0</v>
      </c>
      <c r="AI675" s="299">
        <v>0</v>
      </c>
      <c r="AJ675" s="169">
        <f t="shared" si="751"/>
        <v>0</v>
      </c>
      <c r="AK675" s="301">
        <v>0</v>
      </c>
      <c r="AL675" s="226">
        <v>0</v>
      </c>
      <c r="AM675" s="299">
        <f t="shared" ref="AM675" si="795">SUM(AM676:AM680)</f>
        <v>0</v>
      </c>
      <c r="AN675" s="153">
        <f t="shared" si="752"/>
        <v>0</v>
      </c>
      <c r="AO675" s="154">
        <f t="shared" si="753"/>
        <v>0</v>
      </c>
      <c r="AP675" s="299">
        <v>0</v>
      </c>
      <c r="AQ675" s="301">
        <v>0</v>
      </c>
      <c r="AR675" s="226">
        <f t="shared" ref="AR675:AS675" si="796">SUM(AR676:AR680)</f>
        <v>0</v>
      </c>
      <c r="AS675" s="299">
        <f t="shared" si="796"/>
        <v>0</v>
      </c>
      <c r="AT675" s="155"/>
      <c r="AU675" s="156">
        <f t="shared" si="745"/>
        <v>0</v>
      </c>
      <c r="AV675" s="156">
        <f t="shared" si="746"/>
        <v>0</v>
      </c>
      <c r="AW675" s="157"/>
      <c r="AX675" s="150">
        <v>0</v>
      </c>
      <c r="AY675" s="299">
        <f t="shared" ref="AY675:BA675" si="797">SUM(AY676:AY680)</f>
        <v>0</v>
      </c>
      <c r="AZ675" s="299">
        <f t="shared" si="797"/>
        <v>0</v>
      </c>
      <c r="BA675" s="299">
        <f t="shared" si="797"/>
        <v>0</v>
      </c>
      <c r="BB675" s="192">
        <v>5</v>
      </c>
      <c r="BC675" s="256" t="s">
        <v>647</v>
      </c>
      <c r="BD675" s="256" t="s">
        <v>632</v>
      </c>
      <c r="BE675" s="256" t="s">
        <v>647</v>
      </c>
      <c r="BF675" s="256" t="s">
        <v>630</v>
      </c>
      <c r="BG675" s="185" t="s">
        <v>47</v>
      </c>
      <c r="BH675" s="302">
        <f>SUM(BH676:BH680)</f>
        <v>0</v>
      </c>
      <c r="BI675" s="192"/>
      <c r="BJ675" s="256" t="s">
        <v>6479</v>
      </c>
      <c r="BK675" s="192" t="s">
        <v>6478</v>
      </c>
      <c r="BL675" s="185" t="s">
        <v>6480</v>
      </c>
      <c r="BM675" s="302">
        <f>SUM(BM676:BM680)</f>
        <v>0</v>
      </c>
      <c r="BN675" s="160"/>
      <c r="BO675" s="161">
        <f t="shared" si="792"/>
        <v>0</v>
      </c>
      <c r="BP675" s="161"/>
    </row>
    <row r="676" spans="1:68" ht="25.5">
      <c r="A676" s="206" t="s">
        <v>322</v>
      </c>
      <c r="B676" s="195" t="s">
        <v>6481</v>
      </c>
      <c r="C676" s="196" t="s">
        <v>6482</v>
      </c>
      <c r="D676" s="146" t="s">
        <v>4692</v>
      </c>
      <c r="E676" s="196" t="s">
        <v>6482</v>
      </c>
      <c r="F676" s="150">
        <v>0</v>
      </c>
      <c r="G676" s="209">
        <v>0</v>
      </c>
      <c r="H676" s="209"/>
      <c r="I676" s="209">
        <v>0</v>
      </c>
      <c r="J676" s="150">
        <v>0</v>
      </c>
      <c r="K676" s="150">
        <v>0</v>
      </c>
      <c r="L676" s="150">
        <f t="shared" si="766"/>
        <v>0</v>
      </c>
      <c r="M676" s="150">
        <v>0</v>
      </c>
      <c r="N676" s="150"/>
      <c r="O676" s="150">
        <v>0</v>
      </c>
      <c r="P676" s="150">
        <v>0</v>
      </c>
      <c r="Q676" s="150"/>
      <c r="R676" s="150">
        <f>P676+Q676</f>
        <v>0</v>
      </c>
      <c r="S676" s="150">
        <f t="shared" si="748"/>
        <v>0</v>
      </c>
      <c r="T676" s="150"/>
      <c r="U676" s="150">
        <v>0</v>
      </c>
      <c r="V676" s="199"/>
      <c r="W676" s="150">
        <f>U676+V676</f>
        <v>0</v>
      </c>
      <c r="X676" s="150">
        <v>0</v>
      </c>
      <c r="Y676" s="150"/>
      <c r="Z676" s="150">
        <v>0</v>
      </c>
      <c r="AA676" s="150">
        <f t="shared" si="750"/>
        <v>0</v>
      </c>
      <c r="AB676" s="150">
        <v>0</v>
      </c>
      <c r="AC676" s="199"/>
      <c r="AD676" s="150">
        <f>AB676+AC676</f>
        <v>0</v>
      </c>
      <c r="AE676" s="150">
        <v>0</v>
      </c>
      <c r="AF676" s="169" t="s">
        <v>4680</v>
      </c>
      <c r="AG676" s="201">
        <v>0</v>
      </c>
      <c r="AH676" s="199"/>
      <c r="AI676" s="150">
        <v>0</v>
      </c>
      <c r="AJ676" s="169">
        <f t="shared" si="751"/>
        <v>0</v>
      </c>
      <c r="AK676" s="201">
        <v>0</v>
      </c>
      <c r="AL676" s="199"/>
      <c r="AM676" s="150">
        <f>AK676+AL676</f>
        <v>0</v>
      </c>
      <c r="AN676" s="153">
        <f t="shared" si="752"/>
        <v>0</v>
      </c>
      <c r="AO676" s="154">
        <f t="shared" si="753"/>
        <v>0</v>
      </c>
      <c r="AP676" s="150">
        <v>0</v>
      </c>
      <c r="AQ676" s="201">
        <v>0</v>
      </c>
      <c r="AR676" s="199"/>
      <c r="AS676" s="150">
        <f>AQ676+AR676</f>
        <v>0</v>
      </c>
      <c r="AT676" s="155"/>
      <c r="AU676" s="156">
        <f t="shared" si="745"/>
        <v>0</v>
      </c>
      <c r="AV676" s="156">
        <f t="shared" si="746"/>
        <v>0</v>
      </c>
      <c r="AW676" s="157"/>
      <c r="AX676" s="150">
        <v>0</v>
      </c>
      <c r="AY676" s="150">
        <v>0</v>
      </c>
      <c r="AZ676" s="150"/>
      <c r="BA676" s="150">
        <f t="shared" si="733"/>
        <v>0</v>
      </c>
      <c r="BB676" s="202">
        <v>5</v>
      </c>
      <c r="BC676" s="202" t="s">
        <v>647</v>
      </c>
      <c r="BD676" s="202" t="s">
        <v>632</v>
      </c>
      <c r="BE676" s="202" t="s">
        <v>647</v>
      </c>
      <c r="BF676" s="202" t="s">
        <v>632</v>
      </c>
      <c r="BG676" s="203" t="s">
        <v>6483</v>
      </c>
      <c r="BH676" s="216">
        <f>AS676</f>
        <v>0</v>
      </c>
      <c r="BI676" s="205"/>
      <c r="BJ676" s="206" t="s">
        <v>6484</v>
      </c>
      <c r="BK676" s="206" t="s">
        <v>322</v>
      </c>
      <c r="BL676" s="207" t="s">
        <v>6485</v>
      </c>
      <c r="BM676" s="208">
        <f>BH676</f>
        <v>0</v>
      </c>
      <c r="BN676" s="160"/>
      <c r="BO676" s="161">
        <f t="shared" si="792"/>
        <v>0</v>
      </c>
      <c r="BP676" s="161"/>
    </row>
    <row r="677" spans="1:68">
      <c r="A677" s="206" t="s">
        <v>322</v>
      </c>
      <c r="B677" s="195" t="s">
        <v>6486</v>
      </c>
      <c r="C677" s="196" t="s">
        <v>6487</v>
      </c>
      <c r="D677" s="146" t="s">
        <v>4692</v>
      </c>
      <c r="E677" s="196" t="s">
        <v>6487</v>
      </c>
      <c r="F677" s="150">
        <v>0</v>
      </c>
      <c r="G677" s="209">
        <v>0</v>
      </c>
      <c r="H677" s="209"/>
      <c r="I677" s="209">
        <v>0</v>
      </c>
      <c r="J677" s="150">
        <v>0</v>
      </c>
      <c r="K677" s="150">
        <v>0</v>
      </c>
      <c r="L677" s="150">
        <f t="shared" si="766"/>
        <v>0</v>
      </c>
      <c r="M677" s="150">
        <v>0</v>
      </c>
      <c r="N677" s="150"/>
      <c r="O677" s="150">
        <v>0</v>
      </c>
      <c r="P677" s="150">
        <v>0</v>
      </c>
      <c r="Q677" s="150"/>
      <c r="R677" s="150">
        <f>P677+Q677</f>
        <v>0</v>
      </c>
      <c r="S677" s="150">
        <f t="shared" si="748"/>
        <v>0</v>
      </c>
      <c r="T677" s="150"/>
      <c r="U677" s="150">
        <v>0</v>
      </c>
      <c r="V677" s="199"/>
      <c r="W677" s="150">
        <f>U677+V677</f>
        <v>0</v>
      </c>
      <c r="X677" s="150">
        <v>0</v>
      </c>
      <c r="Y677" s="150"/>
      <c r="Z677" s="150">
        <v>0</v>
      </c>
      <c r="AA677" s="150">
        <f t="shared" si="750"/>
        <v>0</v>
      </c>
      <c r="AB677" s="150">
        <v>0</v>
      </c>
      <c r="AC677" s="199"/>
      <c r="AD677" s="150">
        <f>AB677+AC677</f>
        <v>0</v>
      </c>
      <c r="AE677" s="150">
        <v>0</v>
      </c>
      <c r="AF677" s="169" t="s">
        <v>4680</v>
      </c>
      <c r="AG677" s="201">
        <v>0</v>
      </c>
      <c r="AH677" s="199"/>
      <c r="AI677" s="150">
        <v>0</v>
      </c>
      <c r="AJ677" s="169">
        <f t="shared" si="751"/>
        <v>0</v>
      </c>
      <c r="AK677" s="201">
        <v>0</v>
      </c>
      <c r="AL677" s="199"/>
      <c r="AM677" s="150">
        <f>AK677+AL677</f>
        <v>0</v>
      </c>
      <c r="AN677" s="153">
        <f t="shared" si="752"/>
        <v>0</v>
      </c>
      <c r="AO677" s="154">
        <f t="shared" si="753"/>
        <v>0</v>
      </c>
      <c r="AP677" s="150">
        <v>0</v>
      </c>
      <c r="AQ677" s="201">
        <v>0</v>
      </c>
      <c r="AR677" s="199"/>
      <c r="AS677" s="150">
        <f>AQ677+AR677</f>
        <v>0</v>
      </c>
      <c r="AT677" s="155"/>
      <c r="AU677" s="156">
        <f t="shared" si="745"/>
        <v>0</v>
      </c>
      <c r="AV677" s="156">
        <f t="shared" si="746"/>
        <v>0</v>
      </c>
      <c r="AW677" s="157"/>
      <c r="AX677" s="150">
        <v>0</v>
      </c>
      <c r="AY677" s="150">
        <v>0</v>
      </c>
      <c r="AZ677" s="150"/>
      <c r="BA677" s="150">
        <f t="shared" si="733"/>
        <v>0</v>
      </c>
      <c r="BB677" s="202">
        <v>5</v>
      </c>
      <c r="BC677" s="202" t="s">
        <v>647</v>
      </c>
      <c r="BD677" s="202" t="s">
        <v>632</v>
      </c>
      <c r="BE677" s="202" t="s">
        <v>647</v>
      </c>
      <c r="BF677" s="194" t="s">
        <v>647</v>
      </c>
      <c r="BG677" s="203" t="s">
        <v>6488</v>
      </c>
      <c r="BH677" s="216">
        <f>AS677</f>
        <v>0</v>
      </c>
      <c r="BI677" s="205"/>
      <c r="BJ677" s="206" t="s">
        <v>6484</v>
      </c>
      <c r="BK677" s="206" t="s">
        <v>322</v>
      </c>
      <c r="BL677" s="207" t="s">
        <v>6485</v>
      </c>
      <c r="BM677" s="208">
        <f>BH677</f>
        <v>0</v>
      </c>
      <c r="BN677" s="160"/>
      <c r="BO677" s="161">
        <f t="shared" si="792"/>
        <v>0</v>
      </c>
      <c r="BP677" s="161"/>
    </row>
    <row r="678" spans="1:68" ht="25.5">
      <c r="A678" s="206" t="s">
        <v>322</v>
      </c>
      <c r="B678" s="195" t="s">
        <v>6489</v>
      </c>
      <c r="C678" s="196" t="s">
        <v>6490</v>
      </c>
      <c r="D678" s="146" t="s">
        <v>4692</v>
      </c>
      <c r="E678" s="196" t="s">
        <v>6490</v>
      </c>
      <c r="F678" s="150">
        <v>0</v>
      </c>
      <c r="G678" s="209">
        <v>0</v>
      </c>
      <c r="H678" s="209"/>
      <c r="I678" s="209">
        <v>0</v>
      </c>
      <c r="J678" s="150">
        <v>0</v>
      </c>
      <c r="K678" s="150">
        <v>0</v>
      </c>
      <c r="L678" s="150">
        <f t="shared" si="766"/>
        <v>0</v>
      </c>
      <c r="M678" s="150">
        <v>0</v>
      </c>
      <c r="N678" s="150"/>
      <c r="O678" s="150">
        <v>0</v>
      </c>
      <c r="P678" s="150">
        <v>0</v>
      </c>
      <c r="Q678" s="150"/>
      <c r="R678" s="150">
        <f>P678+Q678</f>
        <v>0</v>
      </c>
      <c r="S678" s="150">
        <f t="shared" si="748"/>
        <v>0</v>
      </c>
      <c r="T678" s="150"/>
      <c r="U678" s="150">
        <v>0</v>
      </c>
      <c r="V678" s="199"/>
      <c r="W678" s="150">
        <f>U678+V678</f>
        <v>0</v>
      </c>
      <c r="X678" s="150">
        <v>0</v>
      </c>
      <c r="Y678" s="150"/>
      <c r="Z678" s="150">
        <v>0</v>
      </c>
      <c r="AA678" s="150">
        <f t="shared" si="750"/>
        <v>0</v>
      </c>
      <c r="AB678" s="150">
        <v>0</v>
      </c>
      <c r="AC678" s="199"/>
      <c r="AD678" s="150">
        <f>AB678+AC678</f>
        <v>0</v>
      </c>
      <c r="AE678" s="150">
        <v>0</v>
      </c>
      <c r="AF678" s="169" t="s">
        <v>4680</v>
      </c>
      <c r="AG678" s="201">
        <v>0</v>
      </c>
      <c r="AH678" s="199"/>
      <c r="AI678" s="150">
        <v>0</v>
      </c>
      <c r="AJ678" s="169">
        <f t="shared" si="751"/>
        <v>0</v>
      </c>
      <c r="AK678" s="201">
        <v>0</v>
      </c>
      <c r="AL678" s="199"/>
      <c r="AM678" s="150">
        <f>AK678+AL678</f>
        <v>0</v>
      </c>
      <c r="AN678" s="153">
        <f t="shared" si="752"/>
        <v>0</v>
      </c>
      <c r="AO678" s="154">
        <f t="shared" si="753"/>
        <v>0</v>
      </c>
      <c r="AP678" s="150">
        <v>0</v>
      </c>
      <c r="AQ678" s="201">
        <v>0</v>
      </c>
      <c r="AR678" s="199"/>
      <c r="AS678" s="150">
        <f>AQ678+AR678</f>
        <v>0</v>
      </c>
      <c r="AT678" s="155"/>
      <c r="AU678" s="156">
        <f t="shared" si="745"/>
        <v>0</v>
      </c>
      <c r="AV678" s="156">
        <f t="shared" si="746"/>
        <v>0</v>
      </c>
      <c r="AW678" s="157"/>
      <c r="AX678" s="150">
        <v>0</v>
      </c>
      <c r="AY678" s="150">
        <v>0</v>
      </c>
      <c r="AZ678" s="150"/>
      <c r="BA678" s="150">
        <f t="shared" si="733"/>
        <v>0</v>
      </c>
      <c r="BB678" s="202">
        <v>5</v>
      </c>
      <c r="BC678" s="202" t="s">
        <v>647</v>
      </c>
      <c r="BD678" s="202" t="s">
        <v>632</v>
      </c>
      <c r="BE678" s="202" t="s">
        <v>647</v>
      </c>
      <c r="BF678" s="194" t="s">
        <v>671</v>
      </c>
      <c r="BG678" s="203" t="s">
        <v>6491</v>
      </c>
      <c r="BH678" s="216">
        <f>AS678</f>
        <v>0</v>
      </c>
      <c r="BI678" s="205"/>
      <c r="BJ678" s="206" t="s">
        <v>6484</v>
      </c>
      <c r="BK678" s="206" t="s">
        <v>322</v>
      </c>
      <c r="BL678" s="207" t="s">
        <v>6485</v>
      </c>
      <c r="BM678" s="208">
        <f>BH678</f>
        <v>0</v>
      </c>
      <c r="BN678" s="160"/>
      <c r="BO678" s="161">
        <f t="shared" si="792"/>
        <v>0</v>
      </c>
      <c r="BP678" s="161"/>
    </row>
    <row r="679" spans="1:68" ht="51">
      <c r="A679" s="261" t="s">
        <v>323</v>
      </c>
      <c r="B679" s="228" t="s">
        <v>6492</v>
      </c>
      <c r="C679" s="229" t="s">
        <v>6493</v>
      </c>
      <c r="D679" s="146" t="s">
        <v>4692</v>
      </c>
      <c r="E679" s="196" t="s">
        <v>6493</v>
      </c>
      <c r="F679" s="150">
        <v>0</v>
      </c>
      <c r="G679" s="209">
        <v>0</v>
      </c>
      <c r="H679" s="209"/>
      <c r="I679" s="209">
        <v>0</v>
      </c>
      <c r="J679" s="150">
        <v>0</v>
      </c>
      <c r="K679" s="150">
        <v>0</v>
      </c>
      <c r="L679" s="150">
        <f t="shared" si="766"/>
        <v>0</v>
      </c>
      <c r="M679" s="150">
        <v>0</v>
      </c>
      <c r="N679" s="150"/>
      <c r="O679" s="150">
        <v>0</v>
      </c>
      <c r="P679" s="150">
        <v>0</v>
      </c>
      <c r="Q679" s="150"/>
      <c r="R679" s="150">
        <f>P679+Q679</f>
        <v>0</v>
      </c>
      <c r="S679" s="150">
        <f t="shared" si="748"/>
        <v>0</v>
      </c>
      <c r="T679" s="150"/>
      <c r="U679" s="150">
        <v>0</v>
      </c>
      <c r="V679" s="199"/>
      <c r="W679" s="150">
        <f>U679+V679</f>
        <v>0</v>
      </c>
      <c r="X679" s="150">
        <v>0</v>
      </c>
      <c r="Y679" s="150"/>
      <c r="Z679" s="150">
        <v>0</v>
      </c>
      <c r="AA679" s="150">
        <f t="shared" si="750"/>
        <v>0</v>
      </c>
      <c r="AB679" s="150">
        <v>0</v>
      </c>
      <c r="AC679" s="199"/>
      <c r="AD679" s="150">
        <f>AB679+AC679</f>
        <v>0</v>
      </c>
      <c r="AE679" s="150">
        <v>0</v>
      </c>
      <c r="AF679" s="169" t="s">
        <v>4680</v>
      </c>
      <c r="AG679" s="201">
        <v>0</v>
      </c>
      <c r="AH679" s="199"/>
      <c r="AI679" s="150">
        <v>0</v>
      </c>
      <c r="AJ679" s="169">
        <f t="shared" si="751"/>
        <v>0</v>
      </c>
      <c r="AK679" s="201">
        <v>0</v>
      </c>
      <c r="AL679" s="199"/>
      <c r="AM679" s="150">
        <f>AK679+AL679</f>
        <v>0</v>
      </c>
      <c r="AN679" s="153">
        <f t="shared" si="752"/>
        <v>0</v>
      </c>
      <c r="AO679" s="154">
        <f t="shared" si="753"/>
        <v>0</v>
      </c>
      <c r="AP679" s="150">
        <v>0</v>
      </c>
      <c r="AQ679" s="201">
        <v>0</v>
      </c>
      <c r="AR679" s="199"/>
      <c r="AS679" s="150">
        <f>AQ679+AR679</f>
        <v>0</v>
      </c>
      <c r="AT679" s="155" t="s">
        <v>4796</v>
      </c>
      <c r="AU679" s="156">
        <f t="shared" si="745"/>
        <v>0</v>
      </c>
      <c r="AV679" s="156">
        <f t="shared" si="746"/>
        <v>0</v>
      </c>
      <c r="AW679" s="157" t="s">
        <v>4796</v>
      </c>
      <c r="AX679" s="150">
        <v>0</v>
      </c>
      <c r="AY679" s="150">
        <v>0</v>
      </c>
      <c r="AZ679" s="150"/>
      <c r="BA679" s="150">
        <f t="shared" si="733"/>
        <v>0</v>
      </c>
      <c r="BB679" s="202">
        <v>5</v>
      </c>
      <c r="BC679" s="202" t="s">
        <v>647</v>
      </c>
      <c r="BD679" s="202" t="s">
        <v>632</v>
      </c>
      <c r="BE679" s="202" t="s">
        <v>647</v>
      </c>
      <c r="BF679" s="194" t="s">
        <v>693</v>
      </c>
      <c r="BG679" s="203" t="s">
        <v>6494</v>
      </c>
      <c r="BH679" s="216">
        <f>AS679</f>
        <v>0</v>
      </c>
      <c r="BI679" s="206" t="s">
        <v>1519</v>
      </c>
      <c r="BJ679" s="206" t="s">
        <v>6495</v>
      </c>
      <c r="BK679" s="206" t="s">
        <v>323</v>
      </c>
      <c r="BL679" s="207" t="s">
        <v>6496</v>
      </c>
      <c r="BM679" s="208">
        <f>BH679</f>
        <v>0</v>
      </c>
      <c r="BN679" s="160"/>
      <c r="BO679" s="161">
        <f t="shared" si="792"/>
        <v>0</v>
      </c>
      <c r="BP679" s="161"/>
    </row>
    <row r="680" spans="1:68" ht="38.25">
      <c r="A680" s="206" t="s">
        <v>324</v>
      </c>
      <c r="B680" s="195" t="s">
        <v>6497</v>
      </c>
      <c r="C680" s="196" t="s">
        <v>6498</v>
      </c>
      <c r="D680" s="146" t="s">
        <v>4692</v>
      </c>
      <c r="E680" s="196" t="s">
        <v>6498</v>
      </c>
      <c r="F680" s="150">
        <v>0</v>
      </c>
      <c r="G680" s="209">
        <v>0</v>
      </c>
      <c r="H680" s="209">
        <v>0</v>
      </c>
      <c r="I680" s="209">
        <v>0</v>
      </c>
      <c r="J680" s="150">
        <v>0</v>
      </c>
      <c r="K680" s="150">
        <v>0</v>
      </c>
      <c r="L680" s="150">
        <f t="shared" si="766"/>
        <v>0</v>
      </c>
      <c r="M680" s="150">
        <v>0</v>
      </c>
      <c r="N680" s="150"/>
      <c r="O680" s="150">
        <v>0</v>
      </c>
      <c r="P680" s="150">
        <v>0</v>
      </c>
      <c r="Q680" s="150"/>
      <c r="R680" s="150">
        <f>P680+Q680</f>
        <v>0</v>
      </c>
      <c r="S680" s="150">
        <f t="shared" si="748"/>
        <v>0</v>
      </c>
      <c r="T680" s="150"/>
      <c r="U680" s="150">
        <v>0</v>
      </c>
      <c r="V680" s="199"/>
      <c r="W680" s="150">
        <f>U680+V680</f>
        <v>0</v>
      </c>
      <c r="X680" s="150">
        <v>0</v>
      </c>
      <c r="Y680" s="150"/>
      <c r="Z680" s="150">
        <v>0</v>
      </c>
      <c r="AA680" s="150">
        <f t="shared" si="750"/>
        <v>0</v>
      </c>
      <c r="AB680" s="150">
        <v>0</v>
      </c>
      <c r="AC680" s="199"/>
      <c r="AD680" s="150">
        <f>AB680+AC680</f>
        <v>0</v>
      </c>
      <c r="AE680" s="150">
        <v>0</v>
      </c>
      <c r="AF680" s="169" t="s">
        <v>4680</v>
      </c>
      <c r="AG680" s="201">
        <v>0</v>
      </c>
      <c r="AH680" s="199"/>
      <c r="AI680" s="150">
        <v>0</v>
      </c>
      <c r="AJ680" s="169">
        <f t="shared" si="751"/>
        <v>0</v>
      </c>
      <c r="AK680" s="201">
        <v>0</v>
      </c>
      <c r="AL680" s="199"/>
      <c r="AM680" s="150">
        <f>AK680+AL680</f>
        <v>0</v>
      </c>
      <c r="AN680" s="153">
        <f t="shared" si="752"/>
        <v>0</v>
      </c>
      <c r="AO680" s="154">
        <f t="shared" si="753"/>
        <v>0</v>
      </c>
      <c r="AP680" s="150">
        <v>0</v>
      </c>
      <c r="AQ680" s="201">
        <v>0</v>
      </c>
      <c r="AR680" s="199"/>
      <c r="AS680" s="150">
        <f>AQ680+AR680</f>
        <v>0</v>
      </c>
      <c r="AT680" s="155"/>
      <c r="AU680" s="156">
        <f t="shared" si="745"/>
        <v>0</v>
      </c>
      <c r="AV680" s="156">
        <f t="shared" si="746"/>
        <v>0</v>
      </c>
      <c r="AW680" s="157"/>
      <c r="AX680" s="150">
        <v>0</v>
      </c>
      <c r="AY680" s="150">
        <v>0</v>
      </c>
      <c r="AZ680" s="150"/>
      <c r="BA680" s="150">
        <f t="shared" si="733"/>
        <v>0</v>
      </c>
      <c r="BB680" s="202">
        <v>5</v>
      </c>
      <c r="BC680" s="202" t="s">
        <v>647</v>
      </c>
      <c r="BD680" s="202" t="s">
        <v>632</v>
      </c>
      <c r="BE680" s="202" t="s">
        <v>647</v>
      </c>
      <c r="BF680" s="194" t="s">
        <v>714</v>
      </c>
      <c r="BG680" s="203" t="s">
        <v>6499</v>
      </c>
      <c r="BH680" s="216">
        <f>AS680</f>
        <v>0</v>
      </c>
      <c r="BI680" s="206" t="s">
        <v>1349</v>
      </c>
      <c r="BJ680" s="206" t="s">
        <v>6500</v>
      </c>
      <c r="BK680" s="206" t="s">
        <v>324</v>
      </c>
      <c r="BL680" s="207" t="s">
        <v>6501</v>
      </c>
      <c r="BM680" s="208">
        <f>BH680</f>
        <v>0</v>
      </c>
      <c r="BN680" s="160"/>
      <c r="BO680" s="161">
        <f t="shared" si="792"/>
        <v>0</v>
      </c>
      <c r="BP680" s="161"/>
    </row>
    <row r="681" spans="1:68" ht="38.25">
      <c r="A681" s="192" t="s">
        <v>6502</v>
      </c>
      <c r="B681" s="184"/>
      <c r="C681" s="185" t="s">
        <v>48</v>
      </c>
      <c r="D681" s="146" t="s">
        <v>4692</v>
      </c>
      <c r="E681" s="185" t="s">
        <v>48</v>
      </c>
      <c r="F681" s="188">
        <v>0</v>
      </c>
      <c r="G681" s="187">
        <v>0</v>
      </c>
      <c r="H681" s="187"/>
      <c r="I681" s="187">
        <v>0</v>
      </c>
      <c r="J681" s="188">
        <f>SUM(J682:J703)</f>
        <v>0</v>
      </c>
      <c r="K681" s="188">
        <f>SUM(K682:K703)</f>
        <v>0</v>
      </c>
      <c r="L681" s="188">
        <f t="shared" si="766"/>
        <v>0</v>
      </c>
      <c r="M681" s="188">
        <v>0</v>
      </c>
      <c r="N681" s="188">
        <v>0</v>
      </c>
      <c r="O681" s="188">
        <v>0</v>
      </c>
      <c r="P681" s="299">
        <f t="shared" ref="P681:AD681" si="798">SUM(P682:P703)</f>
        <v>0</v>
      </c>
      <c r="Q681" s="299">
        <f t="shared" si="798"/>
        <v>0</v>
      </c>
      <c r="R681" s="299">
        <f t="shared" si="798"/>
        <v>0</v>
      </c>
      <c r="S681" s="150">
        <f t="shared" si="748"/>
        <v>0</v>
      </c>
      <c r="T681" s="213"/>
      <c r="U681" s="299">
        <f t="shared" ref="U681:W681" si="799">SUM(U682:U703)</f>
        <v>0</v>
      </c>
      <c r="V681" s="226">
        <f t="shared" si="799"/>
        <v>0</v>
      </c>
      <c r="W681" s="299">
        <f t="shared" si="799"/>
        <v>0</v>
      </c>
      <c r="X681" s="299">
        <v>0</v>
      </c>
      <c r="Y681" s="299">
        <v>0</v>
      </c>
      <c r="Z681" s="299">
        <v>0</v>
      </c>
      <c r="AA681" s="299">
        <f t="shared" si="750"/>
        <v>0</v>
      </c>
      <c r="AB681" s="299">
        <v>0</v>
      </c>
      <c r="AC681" s="226">
        <v>0</v>
      </c>
      <c r="AD681" s="299">
        <f t="shared" si="798"/>
        <v>0</v>
      </c>
      <c r="AE681" s="299">
        <v>0</v>
      </c>
      <c r="AF681" s="169" t="s">
        <v>4680</v>
      </c>
      <c r="AG681" s="301">
        <v>0</v>
      </c>
      <c r="AH681" s="226">
        <v>0</v>
      </c>
      <c r="AI681" s="299">
        <v>0</v>
      </c>
      <c r="AJ681" s="169">
        <f t="shared" si="751"/>
        <v>0</v>
      </c>
      <c r="AK681" s="301">
        <v>0</v>
      </c>
      <c r="AL681" s="226">
        <v>0</v>
      </c>
      <c r="AM681" s="299">
        <f t="shared" ref="AM681" si="800">SUM(AM682:AM703)</f>
        <v>0</v>
      </c>
      <c r="AN681" s="153">
        <f t="shared" si="752"/>
        <v>0</v>
      </c>
      <c r="AO681" s="154">
        <f t="shared" si="753"/>
        <v>0</v>
      </c>
      <c r="AP681" s="299">
        <v>0</v>
      </c>
      <c r="AQ681" s="301">
        <v>0</v>
      </c>
      <c r="AR681" s="226">
        <f t="shared" ref="AR681:AS681" si="801">SUM(AR682:AR703)</f>
        <v>0</v>
      </c>
      <c r="AS681" s="299">
        <f t="shared" si="801"/>
        <v>0</v>
      </c>
      <c r="AT681" s="155"/>
      <c r="AU681" s="156">
        <f t="shared" si="745"/>
        <v>0</v>
      </c>
      <c r="AV681" s="156">
        <f t="shared" si="746"/>
        <v>0</v>
      </c>
      <c r="AW681" s="157"/>
      <c r="AX681" s="150">
        <v>0</v>
      </c>
      <c r="AY681" s="299">
        <f t="shared" ref="AY681:BA681" si="802">SUM(AY682:AY703)</f>
        <v>0</v>
      </c>
      <c r="AZ681" s="299">
        <f t="shared" si="802"/>
        <v>0</v>
      </c>
      <c r="BA681" s="299">
        <f t="shared" si="802"/>
        <v>0</v>
      </c>
      <c r="BB681" s="192">
        <v>5</v>
      </c>
      <c r="BC681" s="256" t="s">
        <v>647</v>
      </c>
      <c r="BD681" s="256" t="s">
        <v>632</v>
      </c>
      <c r="BE681" s="256" t="s">
        <v>671</v>
      </c>
      <c r="BF681" s="256" t="s">
        <v>630</v>
      </c>
      <c r="BG681" s="185" t="s">
        <v>48</v>
      </c>
      <c r="BH681" s="302">
        <f>SUM(BH682:BH703)</f>
        <v>0</v>
      </c>
      <c r="BI681" s="192"/>
      <c r="BJ681" s="256" t="s">
        <v>6503</v>
      </c>
      <c r="BK681" s="192" t="s">
        <v>6502</v>
      </c>
      <c r="BL681" s="185" t="s">
        <v>6504</v>
      </c>
      <c r="BM681" s="302">
        <f>SUM(BM682:BM703)</f>
        <v>0</v>
      </c>
      <c r="BN681" s="160"/>
      <c r="BO681" s="161">
        <f t="shared" si="792"/>
        <v>0</v>
      </c>
      <c r="BP681" s="161"/>
    </row>
    <row r="682" spans="1:68" ht="63.75">
      <c r="A682" s="261" t="s">
        <v>325</v>
      </c>
      <c r="B682" s="228" t="s">
        <v>6505</v>
      </c>
      <c r="C682" s="229" t="s">
        <v>6506</v>
      </c>
      <c r="D682" s="146" t="s">
        <v>4692</v>
      </c>
      <c r="E682" s="196" t="s">
        <v>6506</v>
      </c>
      <c r="F682" s="150">
        <v>0</v>
      </c>
      <c r="G682" s="209">
        <v>0</v>
      </c>
      <c r="H682" s="209"/>
      <c r="I682" s="209">
        <v>0</v>
      </c>
      <c r="J682" s="150">
        <v>0</v>
      </c>
      <c r="K682" s="150">
        <v>0</v>
      </c>
      <c r="L682" s="150">
        <f t="shared" si="766"/>
        <v>0</v>
      </c>
      <c r="M682" s="150">
        <v>0</v>
      </c>
      <c r="N682" s="150"/>
      <c r="O682" s="150">
        <v>0</v>
      </c>
      <c r="P682" s="150">
        <v>0</v>
      </c>
      <c r="Q682" s="150"/>
      <c r="R682" s="150">
        <f t="shared" ref="R682:R703" si="803">P682+Q682</f>
        <v>0</v>
      </c>
      <c r="S682" s="150">
        <f t="shared" si="748"/>
        <v>0</v>
      </c>
      <c r="T682" s="150"/>
      <c r="U682" s="150">
        <v>0</v>
      </c>
      <c r="V682" s="199"/>
      <c r="W682" s="150">
        <f t="shared" ref="W682:W703" si="804">U682+V682</f>
        <v>0</v>
      </c>
      <c r="X682" s="150">
        <v>0</v>
      </c>
      <c r="Y682" s="150"/>
      <c r="Z682" s="150">
        <v>0</v>
      </c>
      <c r="AA682" s="150">
        <f t="shared" si="750"/>
        <v>0</v>
      </c>
      <c r="AB682" s="150">
        <v>0</v>
      </c>
      <c r="AC682" s="199"/>
      <c r="AD682" s="150">
        <f t="shared" ref="AD682:AD703" si="805">AB682+AC682</f>
        <v>0</v>
      </c>
      <c r="AE682" s="150">
        <v>0</v>
      </c>
      <c r="AF682" s="169" t="s">
        <v>4680</v>
      </c>
      <c r="AG682" s="201">
        <v>0</v>
      </c>
      <c r="AH682" s="199"/>
      <c r="AI682" s="150">
        <v>0</v>
      </c>
      <c r="AJ682" s="169">
        <f t="shared" si="751"/>
        <v>0</v>
      </c>
      <c r="AK682" s="201">
        <v>0</v>
      </c>
      <c r="AL682" s="199"/>
      <c r="AM682" s="150">
        <f t="shared" ref="AM682:AM703" si="806">AK682+AL682</f>
        <v>0</v>
      </c>
      <c r="AN682" s="153">
        <f t="shared" si="752"/>
        <v>0</v>
      </c>
      <c r="AO682" s="154">
        <f t="shared" si="753"/>
        <v>0</v>
      </c>
      <c r="AP682" s="150">
        <v>0</v>
      </c>
      <c r="AQ682" s="201">
        <v>0</v>
      </c>
      <c r="AR682" s="199"/>
      <c r="AS682" s="150">
        <f t="shared" ref="AS682:AS703" si="807">AQ682+AR682</f>
        <v>0</v>
      </c>
      <c r="AT682" s="155" t="s">
        <v>4796</v>
      </c>
      <c r="AU682" s="156">
        <f t="shared" si="745"/>
        <v>0</v>
      </c>
      <c r="AV682" s="156">
        <f t="shared" si="746"/>
        <v>0</v>
      </c>
      <c r="AW682" s="157" t="s">
        <v>4796</v>
      </c>
      <c r="AX682" s="150">
        <v>0</v>
      </c>
      <c r="AY682" s="150">
        <v>0</v>
      </c>
      <c r="AZ682" s="150"/>
      <c r="BA682" s="150">
        <f t="shared" si="733"/>
        <v>0</v>
      </c>
      <c r="BB682" s="202">
        <v>5</v>
      </c>
      <c r="BC682" s="202" t="s">
        <v>647</v>
      </c>
      <c r="BD682" s="202" t="s">
        <v>632</v>
      </c>
      <c r="BE682" s="202" t="s">
        <v>671</v>
      </c>
      <c r="BF682" s="202" t="s">
        <v>632</v>
      </c>
      <c r="BG682" s="203" t="s">
        <v>6507</v>
      </c>
      <c r="BH682" s="216">
        <f t="shared" ref="BH682:BH703" si="808">AS682</f>
        <v>0</v>
      </c>
      <c r="BI682" s="206" t="s">
        <v>1519</v>
      </c>
      <c r="BJ682" s="206" t="s">
        <v>6508</v>
      </c>
      <c r="BK682" s="206" t="s">
        <v>325</v>
      </c>
      <c r="BL682" s="207" t="s">
        <v>6509</v>
      </c>
      <c r="BM682" s="208">
        <f t="shared" ref="BM682:BM703" si="809">BH682</f>
        <v>0</v>
      </c>
      <c r="BN682" s="160"/>
      <c r="BO682" s="161">
        <f t="shared" si="792"/>
        <v>0</v>
      </c>
      <c r="BP682" s="161"/>
    </row>
    <row r="683" spans="1:68" ht="51">
      <c r="A683" s="261" t="s">
        <v>6510</v>
      </c>
      <c r="B683" s="228" t="s">
        <v>6511</v>
      </c>
      <c r="C683" s="229" t="s">
        <v>6512</v>
      </c>
      <c r="D683" s="146" t="s">
        <v>4692</v>
      </c>
      <c r="E683" s="196" t="s">
        <v>6512</v>
      </c>
      <c r="F683" s="150">
        <v>0</v>
      </c>
      <c r="G683" s="209">
        <v>0</v>
      </c>
      <c r="H683" s="209"/>
      <c r="I683" s="209">
        <v>0</v>
      </c>
      <c r="J683" s="150">
        <v>0</v>
      </c>
      <c r="K683" s="150">
        <v>0</v>
      </c>
      <c r="L683" s="150">
        <f t="shared" si="766"/>
        <v>0</v>
      </c>
      <c r="M683" s="150">
        <v>0</v>
      </c>
      <c r="N683" s="150"/>
      <c r="O683" s="150">
        <v>0</v>
      </c>
      <c r="P683" s="150">
        <v>0</v>
      </c>
      <c r="Q683" s="150"/>
      <c r="R683" s="150">
        <f t="shared" si="803"/>
        <v>0</v>
      </c>
      <c r="S683" s="150">
        <f t="shared" si="748"/>
        <v>0</v>
      </c>
      <c r="T683" s="150"/>
      <c r="U683" s="150">
        <v>0</v>
      </c>
      <c r="V683" s="199"/>
      <c r="W683" s="150">
        <f t="shared" si="804"/>
        <v>0</v>
      </c>
      <c r="X683" s="150">
        <v>0</v>
      </c>
      <c r="Y683" s="150"/>
      <c r="Z683" s="150">
        <v>0</v>
      </c>
      <c r="AA683" s="150">
        <f t="shared" si="750"/>
        <v>0</v>
      </c>
      <c r="AB683" s="150">
        <v>0</v>
      </c>
      <c r="AC683" s="199"/>
      <c r="AD683" s="150">
        <f t="shared" si="805"/>
        <v>0</v>
      </c>
      <c r="AE683" s="150">
        <v>0</v>
      </c>
      <c r="AF683" s="169" t="s">
        <v>4680</v>
      </c>
      <c r="AG683" s="201">
        <v>0</v>
      </c>
      <c r="AH683" s="199"/>
      <c r="AI683" s="150">
        <v>0</v>
      </c>
      <c r="AJ683" s="169">
        <f t="shared" si="751"/>
        <v>0</v>
      </c>
      <c r="AK683" s="201">
        <v>0</v>
      </c>
      <c r="AL683" s="199"/>
      <c r="AM683" s="150">
        <f t="shared" si="806"/>
        <v>0</v>
      </c>
      <c r="AN683" s="153">
        <f t="shared" si="752"/>
        <v>0</v>
      </c>
      <c r="AO683" s="154">
        <f t="shared" si="753"/>
        <v>0</v>
      </c>
      <c r="AP683" s="150">
        <v>0</v>
      </c>
      <c r="AQ683" s="201">
        <v>0</v>
      </c>
      <c r="AR683" s="199"/>
      <c r="AS683" s="150">
        <f t="shared" si="807"/>
        <v>0</v>
      </c>
      <c r="AT683" s="155" t="s">
        <v>4796</v>
      </c>
      <c r="AU683" s="156">
        <f t="shared" si="745"/>
        <v>0</v>
      </c>
      <c r="AV683" s="156">
        <f t="shared" si="746"/>
        <v>0</v>
      </c>
      <c r="AW683" s="157" t="s">
        <v>4796</v>
      </c>
      <c r="AX683" s="150">
        <v>0</v>
      </c>
      <c r="AY683" s="150">
        <v>0</v>
      </c>
      <c r="AZ683" s="150"/>
      <c r="BA683" s="150">
        <f t="shared" si="733"/>
        <v>0</v>
      </c>
      <c r="BB683" s="202">
        <v>5</v>
      </c>
      <c r="BC683" s="202" t="s">
        <v>647</v>
      </c>
      <c r="BD683" s="202" t="s">
        <v>632</v>
      </c>
      <c r="BE683" s="202" t="s">
        <v>671</v>
      </c>
      <c r="BF683" s="194" t="s">
        <v>1257</v>
      </c>
      <c r="BG683" s="203" t="s">
        <v>6513</v>
      </c>
      <c r="BH683" s="216">
        <f t="shared" si="808"/>
        <v>0</v>
      </c>
      <c r="BI683" s="206" t="s">
        <v>1519</v>
      </c>
      <c r="BJ683" s="206" t="s">
        <v>6514</v>
      </c>
      <c r="BK683" s="206" t="s">
        <v>6510</v>
      </c>
      <c r="BL683" s="207" t="s">
        <v>6515</v>
      </c>
      <c r="BM683" s="208">
        <f t="shared" si="809"/>
        <v>0</v>
      </c>
      <c r="BN683" s="160"/>
      <c r="BO683" s="161">
        <f t="shared" si="792"/>
        <v>0</v>
      </c>
      <c r="BP683" s="161"/>
    </row>
    <row r="684" spans="1:68" ht="51">
      <c r="A684" s="206" t="s">
        <v>326</v>
      </c>
      <c r="B684" s="195" t="s">
        <v>6516</v>
      </c>
      <c r="C684" s="196" t="s">
        <v>6517</v>
      </c>
      <c r="D684" s="146" t="s">
        <v>4692</v>
      </c>
      <c r="E684" s="196" t="s">
        <v>6517</v>
      </c>
      <c r="F684" s="150">
        <v>0</v>
      </c>
      <c r="G684" s="209">
        <v>0</v>
      </c>
      <c r="H684" s="209"/>
      <c r="I684" s="209">
        <v>0</v>
      </c>
      <c r="J684" s="150">
        <v>0</v>
      </c>
      <c r="K684" s="150">
        <v>0</v>
      </c>
      <c r="L684" s="150">
        <f t="shared" si="766"/>
        <v>0</v>
      </c>
      <c r="M684" s="150">
        <v>0</v>
      </c>
      <c r="N684" s="150"/>
      <c r="O684" s="150">
        <v>0</v>
      </c>
      <c r="P684" s="150">
        <v>0</v>
      </c>
      <c r="Q684" s="150"/>
      <c r="R684" s="150">
        <f t="shared" si="803"/>
        <v>0</v>
      </c>
      <c r="S684" s="150">
        <f t="shared" si="748"/>
        <v>0</v>
      </c>
      <c r="T684" s="150"/>
      <c r="U684" s="150">
        <v>0</v>
      </c>
      <c r="V684" s="199"/>
      <c r="W684" s="150">
        <f t="shared" si="804"/>
        <v>0</v>
      </c>
      <c r="X684" s="150">
        <v>0</v>
      </c>
      <c r="Y684" s="150"/>
      <c r="Z684" s="150">
        <v>0</v>
      </c>
      <c r="AA684" s="150">
        <f t="shared" si="750"/>
        <v>0</v>
      </c>
      <c r="AB684" s="150">
        <v>0</v>
      </c>
      <c r="AC684" s="199"/>
      <c r="AD684" s="150">
        <f t="shared" si="805"/>
        <v>0</v>
      </c>
      <c r="AE684" s="150">
        <v>0</v>
      </c>
      <c r="AF684" s="169" t="s">
        <v>4680</v>
      </c>
      <c r="AG684" s="201">
        <v>0</v>
      </c>
      <c r="AH684" s="199"/>
      <c r="AI684" s="150">
        <v>0</v>
      </c>
      <c r="AJ684" s="169">
        <f t="shared" si="751"/>
        <v>0</v>
      </c>
      <c r="AK684" s="201">
        <v>0</v>
      </c>
      <c r="AL684" s="199"/>
      <c r="AM684" s="150">
        <f t="shared" si="806"/>
        <v>0</v>
      </c>
      <c r="AN684" s="153">
        <f t="shared" si="752"/>
        <v>0</v>
      </c>
      <c r="AO684" s="154">
        <f t="shared" si="753"/>
        <v>0</v>
      </c>
      <c r="AP684" s="150">
        <v>0</v>
      </c>
      <c r="AQ684" s="201">
        <v>0</v>
      </c>
      <c r="AR684" s="199"/>
      <c r="AS684" s="150">
        <f t="shared" si="807"/>
        <v>0</v>
      </c>
      <c r="AT684" s="155"/>
      <c r="AU684" s="156">
        <f t="shared" si="745"/>
        <v>0</v>
      </c>
      <c r="AV684" s="156">
        <f t="shared" si="746"/>
        <v>0</v>
      </c>
      <c r="AW684" s="157"/>
      <c r="AX684" s="150">
        <v>0</v>
      </c>
      <c r="AY684" s="150">
        <v>0</v>
      </c>
      <c r="AZ684" s="150"/>
      <c r="BA684" s="150">
        <f t="shared" si="733"/>
        <v>0</v>
      </c>
      <c r="BB684" s="202">
        <v>5</v>
      </c>
      <c r="BC684" s="202" t="s">
        <v>647</v>
      </c>
      <c r="BD684" s="202" t="s">
        <v>632</v>
      </c>
      <c r="BE684" s="202" t="s">
        <v>671</v>
      </c>
      <c r="BF684" s="202" t="s">
        <v>647</v>
      </c>
      <c r="BG684" s="203" t="s">
        <v>6518</v>
      </c>
      <c r="BH684" s="216">
        <f t="shared" si="808"/>
        <v>0</v>
      </c>
      <c r="BI684" s="205"/>
      <c r="BJ684" s="206" t="s">
        <v>6519</v>
      </c>
      <c r="BK684" s="206" t="s">
        <v>326</v>
      </c>
      <c r="BL684" s="207" t="s">
        <v>6520</v>
      </c>
      <c r="BM684" s="208">
        <f t="shared" si="809"/>
        <v>0</v>
      </c>
      <c r="BN684" s="160"/>
      <c r="BO684" s="161">
        <f t="shared" si="792"/>
        <v>0</v>
      </c>
      <c r="BP684" s="161"/>
    </row>
    <row r="685" spans="1:68" ht="51">
      <c r="A685" s="206" t="s">
        <v>6521</v>
      </c>
      <c r="B685" s="195" t="s">
        <v>6522</v>
      </c>
      <c r="C685" s="196" t="s">
        <v>6523</v>
      </c>
      <c r="D685" s="146" t="s">
        <v>4692</v>
      </c>
      <c r="E685" s="196" t="s">
        <v>6523</v>
      </c>
      <c r="F685" s="150">
        <v>0</v>
      </c>
      <c r="G685" s="209">
        <v>0</v>
      </c>
      <c r="H685" s="209"/>
      <c r="I685" s="209">
        <v>0</v>
      </c>
      <c r="J685" s="150">
        <v>0</v>
      </c>
      <c r="K685" s="150">
        <v>0</v>
      </c>
      <c r="L685" s="150">
        <f t="shared" si="766"/>
        <v>0</v>
      </c>
      <c r="M685" s="150">
        <v>0</v>
      </c>
      <c r="N685" s="150"/>
      <c r="O685" s="150">
        <v>0</v>
      </c>
      <c r="P685" s="150">
        <v>0</v>
      </c>
      <c r="Q685" s="150"/>
      <c r="R685" s="150">
        <f t="shared" si="803"/>
        <v>0</v>
      </c>
      <c r="S685" s="150">
        <f t="shared" si="748"/>
        <v>0</v>
      </c>
      <c r="T685" s="150"/>
      <c r="U685" s="150">
        <v>0</v>
      </c>
      <c r="V685" s="199"/>
      <c r="W685" s="150">
        <f t="shared" si="804"/>
        <v>0</v>
      </c>
      <c r="X685" s="150">
        <v>0</v>
      </c>
      <c r="Y685" s="150"/>
      <c r="Z685" s="150">
        <v>0</v>
      </c>
      <c r="AA685" s="150">
        <f t="shared" si="750"/>
        <v>0</v>
      </c>
      <c r="AB685" s="150">
        <v>0</v>
      </c>
      <c r="AC685" s="199"/>
      <c r="AD685" s="150">
        <f t="shared" si="805"/>
        <v>0</v>
      </c>
      <c r="AE685" s="150">
        <v>0</v>
      </c>
      <c r="AF685" s="169" t="s">
        <v>4680</v>
      </c>
      <c r="AG685" s="201">
        <v>0</v>
      </c>
      <c r="AH685" s="199"/>
      <c r="AI685" s="150">
        <v>0</v>
      </c>
      <c r="AJ685" s="169">
        <f t="shared" si="751"/>
        <v>0</v>
      </c>
      <c r="AK685" s="201">
        <v>0</v>
      </c>
      <c r="AL685" s="199"/>
      <c r="AM685" s="150">
        <f t="shared" si="806"/>
        <v>0</v>
      </c>
      <c r="AN685" s="153">
        <f t="shared" si="752"/>
        <v>0</v>
      </c>
      <c r="AO685" s="154">
        <f t="shared" si="753"/>
        <v>0</v>
      </c>
      <c r="AP685" s="150">
        <v>0</v>
      </c>
      <c r="AQ685" s="201">
        <v>0</v>
      </c>
      <c r="AR685" s="199"/>
      <c r="AS685" s="150">
        <f t="shared" si="807"/>
        <v>0</v>
      </c>
      <c r="AT685" s="155"/>
      <c r="AU685" s="156">
        <f t="shared" si="745"/>
        <v>0</v>
      </c>
      <c r="AV685" s="156">
        <f t="shared" si="746"/>
        <v>0</v>
      </c>
      <c r="AW685" s="157"/>
      <c r="AX685" s="150">
        <v>0</v>
      </c>
      <c r="AY685" s="150">
        <v>0</v>
      </c>
      <c r="AZ685" s="150"/>
      <c r="BA685" s="150">
        <f t="shared" si="733"/>
        <v>0</v>
      </c>
      <c r="BB685" s="202">
        <v>5</v>
      </c>
      <c r="BC685" s="202" t="s">
        <v>647</v>
      </c>
      <c r="BD685" s="202" t="s">
        <v>632</v>
      </c>
      <c r="BE685" s="202" t="s">
        <v>671</v>
      </c>
      <c r="BF685" s="194" t="s">
        <v>1332</v>
      </c>
      <c r="BG685" s="203" t="s">
        <v>6524</v>
      </c>
      <c r="BH685" s="216">
        <f t="shared" si="808"/>
        <v>0</v>
      </c>
      <c r="BI685" s="205"/>
      <c r="BJ685" s="206" t="s">
        <v>6525</v>
      </c>
      <c r="BK685" s="206" t="s">
        <v>6521</v>
      </c>
      <c r="BL685" s="207" t="s">
        <v>6526</v>
      </c>
      <c r="BM685" s="208">
        <f t="shared" si="809"/>
        <v>0</v>
      </c>
      <c r="BN685" s="160"/>
      <c r="BO685" s="161">
        <f t="shared" si="792"/>
        <v>0</v>
      </c>
      <c r="BP685" s="161"/>
    </row>
    <row r="686" spans="1:68" ht="51">
      <c r="A686" s="206" t="s">
        <v>327</v>
      </c>
      <c r="B686" s="195" t="s">
        <v>6527</v>
      </c>
      <c r="C686" s="196" t="s">
        <v>6528</v>
      </c>
      <c r="D686" s="146" t="s">
        <v>4692</v>
      </c>
      <c r="E686" s="196" t="s">
        <v>6528</v>
      </c>
      <c r="F686" s="150">
        <v>0</v>
      </c>
      <c r="G686" s="209">
        <v>0</v>
      </c>
      <c r="H686" s="209"/>
      <c r="I686" s="209">
        <v>0</v>
      </c>
      <c r="J686" s="150">
        <v>0</v>
      </c>
      <c r="K686" s="150">
        <v>0</v>
      </c>
      <c r="L686" s="150">
        <f t="shared" si="766"/>
        <v>0</v>
      </c>
      <c r="M686" s="150">
        <v>0</v>
      </c>
      <c r="N686" s="150"/>
      <c r="O686" s="150">
        <v>0</v>
      </c>
      <c r="P686" s="150">
        <v>0</v>
      </c>
      <c r="Q686" s="150"/>
      <c r="R686" s="150">
        <f t="shared" si="803"/>
        <v>0</v>
      </c>
      <c r="S686" s="150">
        <f t="shared" si="748"/>
        <v>0</v>
      </c>
      <c r="T686" s="150"/>
      <c r="U686" s="150">
        <v>0</v>
      </c>
      <c r="V686" s="199"/>
      <c r="W686" s="150">
        <f t="shared" si="804"/>
        <v>0</v>
      </c>
      <c r="X686" s="150">
        <v>0</v>
      </c>
      <c r="Y686" s="150"/>
      <c r="Z686" s="150">
        <v>0</v>
      </c>
      <c r="AA686" s="150">
        <f t="shared" si="750"/>
        <v>0</v>
      </c>
      <c r="AB686" s="150">
        <v>0</v>
      </c>
      <c r="AC686" s="199"/>
      <c r="AD686" s="150">
        <f t="shared" si="805"/>
        <v>0</v>
      </c>
      <c r="AE686" s="150">
        <v>0</v>
      </c>
      <c r="AF686" s="169" t="s">
        <v>4680</v>
      </c>
      <c r="AG686" s="201">
        <v>0</v>
      </c>
      <c r="AH686" s="199"/>
      <c r="AI686" s="150">
        <v>0</v>
      </c>
      <c r="AJ686" s="169">
        <f t="shared" si="751"/>
        <v>0</v>
      </c>
      <c r="AK686" s="201">
        <v>0</v>
      </c>
      <c r="AL686" s="199"/>
      <c r="AM686" s="150">
        <f t="shared" si="806"/>
        <v>0</v>
      </c>
      <c r="AN686" s="153">
        <f t="shared" si="752"/>
        <v>0</v>
      </c>
      <c r="AO686" s="154">
        <f t="shared" si="753"/>
        <v>0</v>
      </c>
      <c r="AP686" s="150">
        <v>0</v>
      </c>
      <c r="AQ686" s="201">
        <v>0</v>
      </c>
      <c r="AR686" s="199"/>
      <c r="AS686" s="150">
        <f t="shared" si="807"/>
        <v>0</v>
      </c>
      <c r="AT686" s="155"/>
      <c r="AU686" s="156">
        <f t="shared" si="745"/>
        <v>0</v>
      </c>
      <c r="AV686" s="156">
        <f t="shared" si="746"/>
        <v>0</v>
      </c>
      <c r="AW686" s="157"/>
      <c r="AX686" s="150">
        <v>0</v>
      </c>
      <c r="AY686" s="150">
        <v>0</v>
      </c>
      <c r="AZ686" s="150"/>
      <c r="BA686" s="150">
        <f t="shared" si="733"/>
        <v>0</v>
      </c>
      <c r="BB686" s="202">
        <v>5</v>
      </c>
      <c r="BC686" s="202" t="s">
        <v>647</v>
      </c>
      <c r="BD686" s="202" t="s">
        <v>632</v>
      </c>
      <c r="BE686" s="202" t="s">
        <v>671</v>
      </c>
      <c r="BF686" s="202" t="s">
        <v>671</v>
      </c>
      <c r="BG686" s="203" t="s">
        <v>6499</v>
      </c>
      <c r="BH686" s="216">
        <f t="shared" si="808"/>
        <v>0</v>
      </c>
      <c r="BI686" s="206" t="s">
        <v>1349</v>
      </c>
      <c r="BJ686" s="206" t="s">
        <v>6529</v>
      </c>
      <c r="BK686" s="206" t="s">
        <v>327</v>
      </c>
      <c r="BL686" s="207" t="s">
        <v>6530</v>
      </c>
      <c r="BM686" s="208">
        <f t="shared" si="809"/>
        <v>0</v>
      </c>
      <c r="BN686" s="160"/>
      <c r="BO686" s="161">
        <f t="shared" si="792"/>
        <v>0</v>
      </c>
      <c r="BP686" s="161"/>
    </row>
    <row r="687" spans="1:68" ht="38.25">
      <c r="A687" s="206" t="s">
        <v>6531</v>
      </c>
      <c r="B687" s="195" t="s">
        <v>6532</v>
      </c>
      <c r="C687" s="196" t="s">
        <v>6533</v>
      </c>
      <c r="D687" s="146" t="s">
        <v>4692</v>
      </c>
      <c r="E687" s="196" t="s">
        <v>6533</v>
      </c>
      <c r="F687" s="150">
        <v>0</v>
      </c>
      <c r="G687" s="209">
        <v>0</v>
      </c>
      <c r="H687" s="209"/>
      <c r="I687" s="209">
        <v>0</v>
      </c>
      <c r="J687" s="150">
        <v>0</v>
      </c>
      <c r="K687" s="150">
        <v>0</v>
      </c>
      <c r="L687" s="150">
        <f t="shared" si="766"/>
        <v>0</v>
      </c>
      <c r="M687" s="150">
        <v>0</v>
      </c>
      <c r="N687" s="150"/>
      <c r="O687" s="150">
        <v>0</v>
      </c>
      <c r="P687" s="150">
        <v>0</v>
      </c>
      <c r="Q687" s="150"/>
      <c r="R687" s="150">
        <f t="shared" si="803"/>
        <v>0</v>
      </c>
      <c r="S687" s="150">
        <f t="shared" si="748"/>
        <v>0</v>
      </c>
      <c r="T687" s="150"/>
      <c r="U687" s="150">
        <v>0</v>
      </c>
      <c r="V687" s="199"/>
      <c r="W687" s="150">
        <f t="shared" si="804"/>
        <v>0</v>
      </c>
      <c r="X687" s="150">
        <v>0</v>
      </c>
      <c r="Y687" s="150"/>
      <c r="Z687" s="150">
        <v>0</v>
      </c>
      <c r="AA687" s="150">
        <f t="shared" si="750"/>
        <v>0</v>
      </c>
      <c r="AB687" s="150">
        <v>0</v>
      </c>
      <c r="AC687" s="199"/>
      <c r="AD687" s="150">
        <f t="shared" si="805"/>
        <v>0</v>
      </c>
      <c r="AE687" s="150">
        <v>0</v>
      </c>
      <c r="AF687" s="169" t="s">
        <v>4680</v>
      </c>
      <c r="AG687" s="201">
        <v>0</v>
      </c>
      <c r="AH687" s="199"/>
      <c r="AI687" s="150">
        <v>0</v>
      </c>
      <c r="AJ687" s="169">
        <f t="shared" si="751"/>
        <v>0</v>
      </c>
      <c r="AK687" s="201">
        <v>0</v>
      </c>
      <c r="AL687" s="199"/>
      <c r="AM687" s="150">
        <f t="shared" si="806"/>
        <v>0</v>
      </c>
      <c r="AN687" s="153">
        <f t="shared" si="752"/>
        <v>0</v>
      </c>
      <c r="AO687" s="154">
        <f t="shared" si="753"/>
        <v>0</v>
      </c>
      <c r="AP687" s="150">
        <v>0</v>
      </c>
      <c r="AQ687" s="201">
        <v>0</v>
      </c>
      <c r="AR687" s="199"/>
      <c r="AS687" s="150">
        <f t="shared" si="807"/>
        <v>0</v>
      </c>
      <c r="AT687" s="155"/>
      <c r="AU687" s="156">
        <f t="shared" si="745"/>
        <v>0</v>
      </c>
      <c r="AV687" s="156">
        <f t="shared" si="746"/>
        <v>0</v>
      </c>
      <c r="AW687" s="157"/>
      <c r="AX687" s="150">
        <v>0</v>
      </c>
      <c r="AY687" s="150">
        <v>0</v>
      </c>
      <c r="AZ687" s="150"/>
      <c r="BA687" s="150">
        <f t="shared" si="733"/>
        <v>0</v>
      </c>
      <c r="BB687" s="202">
        <v>5</v>
      </c>
      <c r="BC687" s="202" t="s">
        <v>647</v>
      </c>
      <c r="BD687" s="202" t="s">
        <v>632</v>
      </c>
      <c r="BE687" s="202" t="s">
        <v>671</v>
      </c>
      <c r="BF687" s="194" t="s">
        <v>1838</v>
      </c>
      <c r="BG687" s="203" t="s">
        <v>6534</v>
      </c>
      <c r="BH687" s="216">
        <f t="shared" si="808"/>
        <v>0</v>
      </c>
      <c r="BI687" s="206" t="s">
        <v>1349</v>
      </c>
      <c r="BJ687" s="206" t="s">
        <v>6535</v>
      </c>
      <c r="BK687" s="206" t="s">
        <v>6531</v>
      </c>
      <c r="BL687" s="207" t="s">
        <v>6536</v>
      </c>
      <c r="BM687" s="208">
        <f t="shared" si="809"/>
        <v>0</v>
      </c>
      <c r="BN687" s="160"/>
      <c r="BO687" s="161">
        <f t="shared" si="792"/>
        <v>0</v>
      </c>
      <c r="BP687" s="161"/>
    </row>
    <row r="688" spans="1:68" ht="25.5">
      <c r="A688" s="206" t="s">
        <v>328</v>
      </c>
      <c r="B688" s="195" t="s">
        <v>6537</v>
      </c>
      <c r="C688" s="196" t="s">
        <v>6538</v>
      </c>
      <c r="D688" s="146" t="s">
        <v>4692</v>
      </c>
      <c r="E688" s="196" t="s">
        <v>6538</v>
      </c>
      <c r="F688" s="150">
        <v>0</v>
      </c>
      <c r="G688" s="209">
        <v>0</v>
      </c>
      <c r="H688" s="209"/>
      <c r="I688" s="209">
        <v>0</v>
      </c>
      <c r="J688" s="150">
        <v>0</v>
      </c>
      <c r="K688" s="150">
        <v>0</v>
      </c>
      <c r="L688" s="150">
        <f t="shared" si="766"/>
        <v>0</v>
      </c>
      <c r="M688" s="150">
        <v>0</v>
      </c>
      <c r="N688" s="150"/>
      <c r="O688" s="150">
        <v>0</v>
      </c>
      <c r="P688" s="150">
        <v>0</v>
      </c>
      <c r="Q688" s="150"/>
      <c r="R688" s="150">
        <f t="shared" si="803"/>
        <v>0</v>
      </c>
      <c r="S688" s="150">
        <f t="shared" si="748"/>
        <v>0</v>
      </c>
      <c r="T688" s="150"/>
      <c r="U688" s="150">
        <v>0</v>
      </c>
      <c r="V688" s="199"/>
      <c r="W688" s="150">
        <f t="shared" si="804"/>
        <v>0</v>
      </c>
      <c r="X688" s="150">
        <v>0</v>
      </c>
      <c r="Y688" s="150"/>
      <c r="Z688" s="150">
        <v>0</v>
      </c>
      <c r="AA688" s="150">
        <f t="shared" si="750"/>
        <v>0</v>
      </c>
      <c r="AB688" s="150">
        <v>0</v>
      </c>
      <c r="AC688" s="199"/>
      <c r="AD688" s="150">
        <f t="shared" si="805"/>
        <v>0</v>
      </c>
      <c r="AE688" s="150">
        <v>0</v>
      </c>
      <c r="AF688" s="169" t="s">
        <v>4680</v>
      </c>
      <c r="AG688" s="201">
        <v>0</v>
      </c>
      <c r="AH688" s="199"/>
      <c r="AI688" s="150">
        <v>0</v>
      </c>
      <c r="AJ688" s="169">
        <f t="shared" si="751"/>
        <v>0</v>
      </c>
      <c r="AK688" s="201">
        <v>0</v>
      </c>
      <c r="AL688" s="199"/>
      <c r="AM688" s="150">
        <f t="shared" si="806"/>
        <v>0</v>
      </c>
      <c r="AN688" s="153">
        <f t="shared" si="752"/>
        <v>0</v>
      </c>
      <c r="AO688" s="154">
        <f t="shared" si="753"/>
        <v>0</v>
      </c>
      <c r="AP688" s="150">
        <v>0</v>
      </c>
      <c r="AQ688" s="201">
        <v>0</v>
      </c>
      <c r="AR688" s="199"/>
      <c r="AS688" s="150">
        <f t="shared" si="807"/>
        <v>0</v>
      </c>
      <c r="AT688" s="155"/>
      <c r="AU688" s="156">
        <f t="shared" si="745"/>
        <v>0</v>
      </c>
      <c r="AV688" s="156">
        <f t="shared" si="746"/>
        <v>0</v>
      </c>
      <c r="AW688" s="157"/>
      <c r="AX688" s="150">
        <v>0</v>
      </c>
      <c r="AY688" s="150">
        <v>0</v>
      </c>
      <c r="AZ688" s="150"/>
      <c r="BA688" s="150">
        <f t="shared" si="733"/>
        <v>0</v>
      </c>
      <c r="BB688" s="202">
        <v>5</v>
      </c>
      <c r="BC688" s="202" t="s">
        <v>647</v>
      </c>
      <c r="BD688" s="202" t="s">
        <v>632</v>
      </c>
      <c r="BE688" s="202" t="s">
        <v>671</v>
      </c>
      <c r="BF688" s="202" t="s">
        <v>693</v>
      </c>
      <c r="BG688" s="203" t="s">
        <v>6539</v>
      </c>
      <c r="BH688" s="216">
        <f t="shared" si="808"/>
        <v>0</v>
      </c>
      <c r="BI688" s="205"/>
      <c r="BJ688" s="206" t="s">
        <v>6540</v>
      </c>
      <c r="BK688" s="206" t="s">
        <v>328</v>
      </c>
      <c r="BL688" s="207" t="s">
        <v>6541</v>
      </c>
      <c r="BM688" s="208">
        <f t="shared" si="809"/>
        <v>0</v>
      </c>
      <c r="BN688" s="160"/>
      <c r="BO688" s="161">
        <f t="shared" si="792"/>
        <v>0</v>
      </c>
      <c r="BP688" s="161"/>
    </row>
    <row r="689" spans="1:68" ht="25.5">
      <c r="A689" s="206" t="s">
        <v>328</v>
      </c>
      <c r="B689" s="195" t="s">
        <v>6542</v>
      </c>
      <c r="C689" s="196" t="s">
        <v>6543</v>
      </c>
      <c r="D689" s="146" t="s">
        <v>4692</v>
      </c>
      <c r="E689" s="196" t="s">
        <v>6543</v>
      </c>
      <c r="F689" s="150">
        <v>0</v>
      </c>
      <c r="G689" s="209">
        <v>0</v>
      </c>
      <c r="H689" s="209"/>
      <c r="I689" s="209">
        <v>0</v>
      </c>
      <c r="J689" s="150">
        <v>0</v>
      </c>
      <c r="K689" s="150">
        <v>0</v>
      </c>
      <c r="L689" s="150">
        <f t="shared" si="766"/>
        <v>0</v>
      </c>
      <c r="M689" s="150">
        <v>0</v>
      </c>
      <c r="N689" s="150"/>
      <c r="O689" s="150">
        <v>0</v>
      </c>
      <c r="P689" s="150">
        <v>0</v>
      </c>
      <c r="Q689" s="150"/>
      <c r="R689" s="150">
        <f t="shared" si="803"/>
        <v>0</v>
      </c>
      <c r="S689" s="150">
        <f t="shared" si="748"/>
        <v>0</v>
      </c>
      <c r="T689" s="150"/>
      <c r="U689" s="150">
        <v>0</v>
      </c>
      <c r="V689" s="199"/>
      <c r="W689" s="150">
        <f t="shared" si="804"/>
        <v>0</v>
      </c>
      <c r="X689" s="150">
        <v>0</v>
      </c>
      <c r="Y689" s="150"/>
      <c r="Z689" s="150">
        <v>0</v>
      </c>
      <c r="AA689" s="150">
        <f t="shared" si="750"/>
        <v>0</v>
      </c>
      <c r="AB689" s="150">
        <v>0</v>
      </c>
      <c r="AC689" s="199"/>
      <c r="AD689" s="150">
        <f t="shared" si="805"/>
        <v>0</v>
      </c>
      <c r="AE689" s="150">
        <v>0</v>
      </c>
      <c r="AF689" s="169" t="s">
        <v>4680</v>
      </c>
      <c r="AG689" s="201">
        <v>0</v>
      </c>
      <c r="AH689" s="199"/>
      <c r="AI689" s="150">
        <v>0</v>
      </c>
      <c r="AJ689" s="169">
        <f t="shared" si="751"/>
        <v>0</v>
      </c>
      <c r="AK689" s="201">
        <v>0</v>
      </c>
      <c r="AL689" s="199"/>
      <c r="AM689" s="150">
        <f t="shared" si="806"/>
        <v>0</v>
      </c>
      <c r="AN689" s="153">
        <f t="shared" si="752"/>
        <v>0</v>
      </c>
      <c r="AO689" s="154">
        <f t="shared" si="753"/>
        <v>0</v>
      </c>
      <c r="AP689" s="150">
        <v>0</v>
      </c>
      <c r="AQ689" s="201">
        <v>0</v>
      </c>
      <c r="AR689" s="199"/>
      <c r="AS689" s="150">
        <f t="shared" si="807"/>
        <v>0</v>
      </c>
      <c r="AT689" s="155"/>
      <c r="AU689" s="156">
        <f t="shared" si="745"/>
        <v>0</v>
      </c>
      <c r="AV689" s="156">
        <f t="shared" si="746"/>
        <v>0</v>
      </c>
      <c r="AW689" s="157"/>
      <c r="AX689" s="150">
        <v>0</v>
      </c>
      <c r="AY689" s="150">
        <v>0</v>
      </c>
      <c r="AZ689" s="150"/>
      <c r="BA689" s="150">
        <f t="shared" si="733"/>
        <v>0</v>
      </c>
      <c r="BB689" s="202">
        <v>5</v>
      </c>
      <c r="BC689" s="202" t="s">
        <v>647</v>
      </c>
      <c r="BD689" s="202" t="s">
        <v>632</v>
      </c>
      <c r="BE689" s="202" t="s">
        <v>671</v>
      </c>
      <c r="BF689" s="202" t="s">
        <v>714</v>
      </c>
      <c r="BG689" s="203" t="s">
        <v>6544</v>
      </c>
      <c r="BH689" s="216">
        <f t="shared" si="808"/>
        <v>0</v>
      </c>
      <c r="BI689" s="205"/>
      <c r="BJ689" s="206" t="s">
        <v>6540</v>
      </c>
      <c r="BK689" s="206" t="s">
        <v>328</v>
      </c>
      <c r="BL689" s="207" t="s">
        <v>6541</v>
      </c>
      <c r="BM689" s="208">
        <f t="shared" si="809"/>
        <v>0</v>
      </c>
      <c r="BN689" s="160"/>
      <c r="BO689" s="161">
        <f t="shared" si="792"/>
        <v>0</v>
      </c>
      <c r="BP689" s="161"/>
    </row>
    <row r="690" spans="1:68" ht="25.5">
      <c r="A690" s="206" t="s">
        <v>328</v>
      </c>
      <c r="B690" s="195" t="s">
        <v>6545</v>
      </c>
      <c r="C690" s="196" t="s">
        <v>6546</v>
      </c>
      <c r="D690" s="146" t="s">
        <v>4692</v>
      </c>
      <c r="E690" s="196" t="s">
        <v>6546</v>
      </c>
      <c r="F690" s="150">
        <v>0</v>
      </c>
      <c r="G690" s="209">
        <v>0</v>
      </c>
      <c r="H690" s="209"/>
      <c r="I690" s="209">
        <v>0</v>
      </c>
      <c r="J690" s="150">
        <v>0</v>
      </c>
      <c r="K690" s="150">
        <v>0</v>
      </c>
      <c r="L690" s="150">
        <f t="shared" si="766"/>
        <v>0</v>
      </c>
      <c r="M690" s="150">
        <v>0</v>
      </c>
      <c r="N690" s="150"/>
      <c r="O690" s="150">
        <v>0</v>
      </c>
      <c r="P690" s="150">
        <v>0</v>
      </c>
      <c r="Q690" s="150"/>
      <c r="R690" s="150">
        <f t="shared" si="803"/>
        <v>0</v>
      </c>
      <c r="S690" s="150">
        <f t="shared" si="748"/>
        <v>0</v>
      </c>
      <c r="T690" s="150"/>
      <c r="U690" s="150">
        <v>0</v>
      </c>
      <c r="V690" s="199"/>
      <c r="W690" s="150">
        <f t="shared" si="804"/>
        <v>0</v>
      </c>
      <c r="X690" s="150">
        <v>0</v>
      </c>
      <c r="Y690" s="150"/>
      <c r="Z690" s="150">
        <v>0</v>
      </c>
      <c r="AA690" s="150">
        <f t="shared" si="750"/>
        <v>0</v>
      </c>
      <c r="AB690" s="150">
        <v>0</v>
      </c>
      <c r="AC690" s="199"/>
      <c r="AD690" s="150">
        <f t="shared" si="805"/>
        <v>0</v>
      </c>
      <c r="AE690" s="150">
        <v>0</v>
      </c>
      <c r="AF690" s="169" t="s">
        <v>4680</v>
      </c>
      <c r="AG690" s="201">
        <v>0</v>
      </c>
      <c r="AH690" s="199"/>
      <c r="AI690" s="150">
        <v>0</v>
      </c>
      <c r="AJ690" s="169">
        <f t="shared" si="751"/>
        <v>0</v>
      </c>
      <c r="AK690" s="201">
        <v>0</v>
      </c>
      <c r="AL690" s="199"/>
      <c r="AM690" s="150">
        <f t="shared" si="806"/>
        <v>0</v>
      </c>
      <c r="AN690" s="153">
        <f t="shared" si="752"/>
        <v>0</v>
      </c>
      <c r="AO690" s="154">
        <f t="shared" si="753"/>
        <v>0</v>
      </c>
      <c r="AP690" s="150">
        <v>0</v>
      </c>
      <c r="AQ690" s="201">
        <v>0</v>
      </c>
      <c r="AR690" s="199"/>
      <c r="AS690" s="150">
        <f t="shared" si="807"/>
        <v>0</v>
      </c>
      <c r="AT690" s="155"/>
      <c r="AU690" s="156">
        <f t="shared" si="745"/>
        <v>0</v>
      </c>
      <c r="AV690" s="156">
        <f t="shared" si="746"/>
        <v>0</v>
      </c>
      <c r="AW690" s="157"/>
      <c r="AX690" s="150">
        <v>0</v>
      </c>
      <c r="AY690" s="150">
        <v>0</v>
      </c>
      <c r="AZ690" s="150"/>
      <c r="BA690" s="150">
        <f t="shared" si="733"/>
        <v>0</v>
      </c>
      <c r="BB690" s="202">
        <v>5</v>
      </c>
      <c r="BC690" s="202" t="s">
        <v>647</v>
      </c>
      <c r="BD690" s="202" t="s">
        <v>632</v>
      </c>
      <c r="BE690" s="202" t="s">
        <v>671</v>
      </c>
      <c r="BF690" s="202" t="s">
        <v>739</v>
      </c>
      <c r="BG690" s="203" t="s">
        <v>6547</v>
      </c>
      <c r="BH690" s="216">
        <f t="shared" si="808"/>
        <v>0</v>
      </c>
      <c r="BI690" s="205"/>
      <c r="BJ690" s="206" t="s">
        <v>6540</v>
      </c>
      <c r="BK690" s="206" t="s">
        <v>328</v>
      </c>
      <c r="BL690" s="207" t="s">
        <v>6541</v>
      </c>
      <c r="BM690" s="208">
        <f t="shared" si="809"/>
        <v>0</v>
      </c>
      <c r="BN690" s="160"/>
      <c r="BO690" s="161">
        <f t="shared" si="792"/>
        <v>0</v>
      </c>
      <c r="BP690" s="161"/>
    </row>
    <row r="691" spans="1:68" ht="25.5">
      <c r="A691" s="206" t="s">
        <v>328</v>
      </c>
      <c r="B691" s="195" t="s">
        <v>6548</v>
      </c>
      <c r="C691" s="196" t="s">
        <v>6549</v>
      </c>
      <c r="D691" s="146" t="s">
        <v>4692</v>
      </c>
      <c r="E691" s="196" t="s">
        <v>6549</v>
      </c>
      <c r="F691" s="150">
        <v>0</v>
      </c>
      <c r="G691" s="209">
        <v>0</v>
      </c>
      <c r="H691" s="209"/>
      <c r="I691" s="209">
        <v>0</v>
      </c>
      <c r="J691" s="150">
        <v>0</v>
      </c>
      <c r="K691" s="150">
        <v>0</v>
      </c>
      <c r="L691" s="150">
        <f t="shared" si="766"/>
        <v>0</v>
      </c>
      <c r="M691" s="150">
        <v>0</v>
      </c>
      <c r="N691" s="150"/>
      <c r="O691" s="150">
        <v>0</v>
      </c>
      <c r="P691" s="150">
        <v>0</v>
      </c>
      <c r="Q691" s="150"/>
      <c r="R691" s="150">
        <f t="shared" si="803"/>
        <v>0</v>
      </c>
      <c r="S691" s="150">
        <f t="shared" si="748"/>
        <v>0</v>
      </c>
      <c r="T691" s="150"/>
      <c r="U691" s="150">
        <v>0</v>
      </c>
      <c r="V691" s="199"/>
      <c r="W691" s="150">
        <f t="shared" si="804"/>
        <v>0</v>
      </c>
      <c r="X691" s="150">
        <v>0</v>
      </c>
      <c r="Y691" s="150"/>
      <c r="Z691" s="150">
        <v>0</v>
      </c>
      <c r="AA691" s="150">
        <f t="shared" si="750"/>
        <v>0</v>
      </c>
      <c r="AB691" s="150">
        <v>0</v>
      </c>
      <c r="AC691" s="199"/>
      <c r="AD691" s="150">
        <f t="shared" si="805"/>
        <v>0</v>
      </c>
      <c r="AE691" s="150">
        <v>0</v>
      </c>
      <c r="AF691" s="169" t="s">
        <v>4680</v>
      </c>
      <c r="AG691" s="201">
        <v>0</v>
      </c>
      <c r="AH691" s="199"/>
      <c r="AI691" s="150">
        <v>0</v>
      </c>
      <c r="AJ691" s="169">
        <f t="shared" si="751"/>
        <v>0</v>
      </c>
      <c r="AK691" s="201">
        <v>0</v>
      </c>
      <c r="AL691" s="199"/>
      <c r="AM691" s="150">
        <f t="shared" si="806"/>
        <v>0</v>
      </c>
      <c r="AN691" s="153">
        <f t="shared" si="752"/>
        <v>0</v>
      </c>
      <c r="AO691" s="154">
        <f t="shared" si="753"/>
        <v>0</v>
      </c>
      <c r="AP691" s="150">
        <v>0</v>
      </c>
      <c r="AQ691" s="201">
        <v>0</v>
      </c>
      <c r="AR691" s="199"/>
      <c r="AS691" s="150">
        <f t="shared" si="807"/>
        <v>0</v>
      </c>
      <c r="AT691" s="155"/>
      <c r="AU691" s="156">
        <f t="shared" si="745"/>
        <v>0</v>
      </c>
      <c r="AV691" s="156">
        <f t="shared" si="746"/>
        <v>0</v>
      </c>
      <c r="AW691" s="157"/>
      <c r="AX691" s="150">
        <v>0</v>
      </c>
      <c r="AY691" s="150">
        <v>0</v>
      </c>
      <c r="AZ691" s="150"/>
      <c r="BA691" s="150">
        <f t="shared" si="733"/>
        <v>0</v>
      </c>
      <c r="BB691" s="202">
        <v>5</v>
      </c>
      <c r="BC691" s="202" t="s">
        <v>647</v>
      </c>
      <c r="BD691" s="202" t="s">
        <v>632</v>
      </c>
      <c r="BE691" s="202" t="s">
        <v>671</v>
      </c>
      <c r="BF691" s="194" t="s">
        <v>1243</v>
      </c>
      <c r="BG691" s="203" t="s">
        <v>6549</v>
      </c>
      <c r="BH691" s="216">
        <f t="shared" si="808"/>
        <v>0</v>
      </c>
      <c r="BI691" s="205"/>
      <c r="BJ691" s="206" t="s">
        <v>6540</v>
      </c>
      <c r="BK691" s="206" t="s">
        <v>328</v>
      </c>
      <c r="BL691" s="207" t="s">
        <v>6541</v>
      </c>
      <c r="BM691" s="208">
        <f t="shared" si="809"/>
        <v>0</v>
      </c>
      <c r="BN691" s="160"/>
      <c r="BO691" s="161">
        <f t="shared" si="792"/>
        <v>0</v>
      </c>
      <c r="BP691" s="161"/>
    </row>
    <row r="692" spans="1:68" ht="25.5">
      <c r="A692" s="206" t="s">
        <v>328</v>
      </c>
      <c r="B692" s="195" t="s">
        <v>6550</v>
      </c>
      <c r="C692" s="196" t="s">
        <v>6551</v>
      </c>
      <c r="D692" s="146" t="s">
        <v>4692</v>
      </c>
      <c r="E692" s="196" t="s">
        <v>6551</v>
      </c>
      <c r="F692" s="150">
        <v>0</v>
      </c>
      <c r="G692" s="209">
        <v>0</v>
      </c>
      <c r="H692" s="209"/>
      <c r="I692" s="209">
        <v>0</v>
      </c>
      <c r="J692" s="150">
        <v>0</v>
      </c>
      <c r="K692" s="150">
        <v>0</v>
      </c>
      <c r="L692" s="150">
        <f t="shared" si="766"/>
        <v>0</v>
      </c>
      <c r="M692" s="150">
        <v>0</v>
      </c>
      <c r="N692" s="150"/>
      <c r="O692" s="150">
        <v>0</v>
      </c>
      <c r="P692" s="150">
        <v>0</v>
      </c>
      <c r="Q692" s="150"/>
      <c r="R692" s="150">
        <f t="shared" si="803"/>
        <v>0</v>
      </c>
      <c r="S692" s="150">
        <f t="shared" si="748"/>
        <v>0</v>
      </c>
      <c r="T692" s="150"/>
      <c r="U692" s="150">
        <v>0</v>
      </c>
      <c r="V692" s="199"/>
      <c r="W692" s="150">
        <f t="shared" si="804"/>
        <v>0</v>
      </c>
      <c r="X692" s="150">
        <v>0</v>
      </c>
      <c r="Y692" s="150"/>
      <c r="Z692" s="150">
        <v>0</v>
      </c>
      <c r="AA692" s="150">
        <f t="shared" si="750"/>
        <v>0</v>
      </c>
      <c r="AB692" s="150">
        <v>0</v>
      </c>
      <c r="AC692" s="199"/>
      <c r="AD692" s="150">
        <f t="shared" si="805"/>
        <v>0</v>
      </c>
      <c r="AE692" s="150">
        <v>0</v>
      </c>
      <c r="AF692" s="169" t="s">
        <v>4680</v>
      </c>
      <c r="AG692" s="201">
        <v>0</v>
      </c>
      <c r="AH692" s="199"/>
      <c r="AI692" s="150">
        <v>0</v>
      </c>
      <c r="AJ692" s="169">
        <f t="shared" si="751"/>
        <v>0</v>
      </c>
      <c r="AK692" s="201">
        <v>0</v>
      </c>
      <c r="AL692" s="199"/>
      <c r="AM692" s="150">
        <f t="shared" si="806"/>
        <v>0</v>
      </c>
      <c r="AN692" s="153">
        <f t="shared" si="752"/>
        <v>0</v>
      </c>
      <c r="AO692" s="154">
        <f t="shared" si="753"/>
        <v>0</v>
      </c>
      <c r="AP692" s="150">
        <v>0</v>
      </c>
      <c r="AQ692" s="201">
        <v>0</v>
      </c>
      <c r="AR692" s="199"/>
      <c r="AS692" s="150">
        <f t="shared" si="807"/>
        <v>0</v>
      </c>
      <c r="AT692" s="155"/>
      <c r="AU692" s="156">
        <f t="shared" si="745"/>
        <v>0</v>
      </c>
      <c r="AV692" s="156">
        <f t="shared" si="746"/>
        <v>0</v>
      </c>
      <c r="AW692" s="157"/>
      <c r="AX692" s="150">
        <v>0</v>
      </c>
      <c r="AY692" s="150">
        <v>0</v>
      </c>
      <c r="AZ692" s="150"/>
      <c r="BA692" s="150">
        <f t="shared" si="733"/>
        <v>0</v>
      </c>
      <c r="BB692" s="202">
        <v>5</v>
      </c>
      <c r="BC692" s="202" t="s">
        <v>647</v>
      </c>
      <c r="BD692" s="202" t="s">
        <v>632</v>
      </c>
      <c r="BE692" s="202" t="s">
        <v>671</v>
      </c>
      <c r="BF692" s="194" t="s">
        <v>1247</v>
      </c>
      <c r="BG692" s="203" t="s">
        <v>6551</v>
      </c>
      <c r="BH692" s="216">
        <f t="shared" si="808"/>
        <v>0</v>
      </c>
      <c r="BI692" s="205"/>
      <c r="BJ692" s="206" t="s">
        <v>6540</v>
      </c>
      <c r="BK692" s="206" t="s">
        <v>328</v>
      </c>
      <c r="BL692" s="207" t="s">
        <v>6541</v>
      </c>
      <c r="BM692" s="208">
        <f t="shared" si="809"/>
        <v>0</v>
      </c>
      <c r="BN692" s="160"/>
      <c r="BO692" s="161">
        <f t="shared" si="792"/>
        <v>0</v>
      </c>
      <c r="BP692" s="161"/>
    </row>
    <row r="693" spans="1:68" ht="25.5">
      <c r="A693" s="206" t="s">
        <v>328</v>
      </c>
      <c r="B693" s="195" t="s">
        <v>6552</v>
      </c>
      <c r="C693" s="196" t="s">
        <v>6553</v>
      </c>
      <c r="D693" s="146" t="s">
        <v>4692</v>
      </c>
      <c r="E693" s="196" t="s">
        <v>6553</v>
      </c>
      <c r="F693" s="150">
        <v>0</v>
      </c>
      <c r="G693" s="209">
        <v>0</v>
      </c>
      <c r="H693" s="209"/>
      <c r="I693" s="209">
        <v>0</v>
      </c>
      <c r="J693" s="150">
        <v>0</v>
      </c>
      <c r="K693" s="150">
        <v>0</v>
      </c>
      <c r="L693" s="150">
        <f t="shared" si="766"/>
        <v>0</v>
      </c>
      <c r="M693" s="150">
        <v>0</v>
      </c>
      <c r="N693" s="150"/>
      <c r="O693" s="150">
        <v>0</v>
      </c>
      <c r="P693" s="150">
        <v>0</v>
      </c>
      <c r="Q693" s="150"/>
      <c r="R693" s="150">
        <f t="shared" si="803"/>
        <v>0</v>
      </c>
      <c r="S693" s="150">
        <f t="shared" si="748"/>
        <v>0</v>
      </c>
      <c r="T693" s="150"/>
      <c r="U693" s="150">
        <v>0</v>
      </c>
      <c r="V693" s="199"/>
      <c r="W693" s="150">
        <f t="shared" si="804"/>
        <v>0</v>
      </c>
      <c r="X693" s="150">
        <v>0</v>
      </c>
      <c r="Y693" s="150"/>
      <c r="Z693" s="150">
        <v>0</v>
      </c>
      <c r="AA693" s="150">
        <f t="shared" si="750"/>
        <v>0</v>
      </c>
      <c r="AB693" s="150">
        <v>0</v>
      </c>
      <c r="AC693" s="199"/>
      <c r="AD693" s="150">
        <f t="shared" si="805"/>
        <v>0</v>
      </c>
      <c r="AE693" s="150">
        <v>0</v>
      </c>
      <c r="AF693" s="169" t="s">
        <v>4680</v>
      </c>
      <c r="AG693" s="201">
        <v>0</v>
      </c>
      <c r="AH693" s="199"/>
      <c r="AI693" s="150">
        <v>0</v>
      </c>
      <c r="AJ693" s="169">
        <f t="shared" si="751"/>
        <v>0</v>
      </c>
      <c r="AK693" s="201">
        <v>0</v>
      </c>
      <c r="AL693" s="199"/>
      <c r="AM693" s="150">
        <f t="shared" si="806"/>
        <v>0</v>
      </c>
      <c r="AN693" s="153">
        <f t="shared" si="752"/>
        <v>0</v>
      </c>
      <c r="AO693" s="154">
        <f t="shared" si="753"/>
        <v>0</v>
      </c>
      <c r="AP693" s="150">
        <v>0</v>
      </c>
      <c r="AQ693" s="201">
        <v>0</v>
      </c>
      <c r="AR693" s="199"/>
      <c r="AS693" s="150">
        <f t="shared" si="807"/>
        <v>0</v>
      </c>
      <c r="AT693" s="155"/>
      <c r="AU693" s="156">
        <f t="shared" si="745"/>
        <v>0</v>
      </c>
      <c r="AV693" s="156">
        <f t="shared" si="746"/>
        <v>0</v>
      </c>
      <c r="AW693" s="157"/>
      <c r="AX693" s="150">
        <v>0</v>
      </c>
      <c r="AY693" s="150">
        <v>0</v>
      </c>
      <c r="AZ693" s="150"/>
      <c r="BA693" s="150">
        <f t="shared" si="733"/>
        <v>0</v>
      </c>
      <c r="BB693" s="202">
        <v>5</v>
      </c>
      <c r="BC693" s="202" t="s">
        <v>647</v>
      </c>
      <c r="BD693" s="202" t="s">
        <v>632</v>
      </c>
      <c r="BE693" s="202" t="s">
        <v>671</v>
      </c>
      <c r="BF693" s="194" t="s">
        <v>1253</v>
      </c>
      <c r="BG693" s="203" t="s">
        <v>6554</v>
      </c>
      <c r="BH693" s="216">
        <f t="shared" si="808"/>
        <v>0</v>
      </c>
      <c r="BI693" s="205"/>
      <c r="BJ693" s="206" t="s">
        <v>6540</v>
      </c>
      <c r="BK693" s="206" t="s">
        <v>328</v>
      </c>
      <c r="BL693" s="207" t="s">
        <v>6541</v>
      </c>
      <c r="BM693" s="208">
        <f t="shared" si="809"/>
        <v>0</v>
      </c>
      <c r="BN693" s="160"/>
      <c r="BO693" s="161">
        <f t="shared" si="792"/>
        <v>0</v>
      </c>
      <c r="BP693" s="161"/>
    </row>
    <row r="694" spans="1:68" ht="38.25">
      <c r="A694" s="206" t="s">
        <v>330</v>
      </c>
      <c r="B694" s="195" t="s">
        <v>6555</v>
      </c>
      <c r="C694" s="196" t="s">
        <v>6556</v>
      </c>
      <c r="D694" s="146" t="s">
        <v>4692</v>
      </c>
      <c r="E694" s="196" t="s">
        <v>6556</v>
      </c>
      <c r="F694" s="150">
        <v>0</v>
      </c>
      <c r="G694" s="209">
        <v>0</v>
      </c>
      <c r="H694" s="209"/>
      <c r="I694" s="209">
        <v>0</v>
      </c>
      <c r="J694" s="150">
        <v>0</v>
      </c>
      <c r="K694" s="150">
        <v>0</v>
      </c>
      <c r="L694" s="150">
        <f t="shared" si="766"/>
        <v>0</v>
      </c>
      <c r="M694" s="150">
        <v>0</v>
      </c>
      <c r="N694" s="150"/>
      <c r="O694" s="150">
        <v>0</v>
      </c>
      <c r="P694" s="150">
        <v>0</v>
      </c>
      <c r="Q694" s="150"/>
      <c r="R694" s="150">
        <f t="shared" si="803"/>
        <v>0</v>
      </c>
      <c r="S694" s="150">
        <f t="shared" si="748"/>
        <v>0</v>
      </c>
      <c r="T694" s="150"/>
      <c r="U694" s="150">
        <v>0</v>
      </c>
      <c r="V694" s="199"/>
      <c r="W694" s="150">
        <f t="shared" si="804"/>
        <v>0</v>
      </c>
      <c r="X694" s="150">
        <v>0</v>
      </c>
      <c r="Y694" s="150"/>
      <c r="Z694" s="150">
        <v>0</v>
      </c>
      <c r="AA694" s="150">
        <f t="shared" si="750"/>
        <v>0</v>
      </c>
      <c r="AB694" s="150">
        <v>0</v>
      </c>
      <c r="AC694" s="199"/>
      <c r="AD694" s="150">
        <f t="shared" si="805"/>
        <v>0</v>
      </c>
      <c r="AE694" s="150">
        <v>0</v>
      </c>
      <c r="AF694" s="169" t="s">
        <v>4680</v>
      </c>
      <c r="AG694" s="201">
        <v>0</v>
      </c>
      <c r="AH694" s="199"/>
      <c r="AI694" s="150">
        <v>0</v>
      </c>
      <c r="AJ694" s="169">
        <f t="shared" si="751"/>
        <v>0</v>
      </c>
      <c r="AK694" s="201">
        <v>0</v>
      </c>
      <c r="AL694" s="199"/>
      <c r="AM694" s="150">
        <f t="shared" si="806"/>
        <v>0</v>
      </c>
      <c r="AN694" s="153">
        <f t="shared" si="752"/>
        <v>0</v>
      </c>
      <c r="AO694" s="154">
        <f t="shared" si="753"/>
        <v>0</v>
      </c>
      <c r="AP694" s="150">
        <v>0</v>
      </c>
      <c r="AQ694" s="201">
        <v>0</v>
      </c>
      <c r="AR694" s="199"/>
      <c r="AS694" s="150">
        <f t="shared" si="807"/>
        <v>0</v>
      </c>
      <c r="AT694" s="155"/>
      <c r="AU694" s="156">
        <f t="shared" si="745"/>
        <v>0</v>
      </c>
      <c r="AV694" s="156">
        <f t="shared" si="746"/>
        <v>0</v>
      </c>
      <c r="AW694" s="157"/>
      <c r="AX694" s="150">
        <v>0</v>
      </c>
      <c r="AY694" s="150">
        <v>0</v>
      </c>
      <c r="AZ694" s="150"/>
      <c r="BA694" s="150">
        <f t="shared" si="733"/>
        <v>0</v>
      </c>
      <c r="BB694" s="202">
        <v>5</v>
      </c>
      <c r="BC694" s="202" t="s">
        <v>647</v>
      </c>
      <c r="BD694" s="202" t="s">
        <v>632</v>
      </c>
      <c r="BE694" s="202" t="s">
        <v>671</v>
      </c>
      <c r="BF694" s="194" t="s">
        <v>755</v>
      </c>
      <c r="BG694" s="203" t="s">
        <v>331</v>
      </c>
      <c r="BH694" s="216">
        <f t="shared" si="808"/>
        <v>0</v>
      </c>
      <c r="BI694" s="205"/>
      <c r="BJ694" s="206" t="s">
        <v>6557</v>
      </c>
      <c r="BK694" s="206" t="s">
        <v>330</v>
      </c>
      <c r="BL694" s="207" t="s">
        <v>6558</v>
      </c>
      <c r="BM694" s="208">
        <f t="shared" si="809"/>
        <v>0</v>
      </c>
      <c r="BN694" s="160"/>
      <c r="BO694" s="161">
        <f t="shared" si="792"/>
        <v>0</v>
      </c>
      <c r="BP694" s="161"/>
    </row>
    <row r="695" spans="1:68" ht="51">
      <c r="A695" s="206" t="s">
        <v>6559</v>
      </c>
      <c r="B695" s="195" t="s">
        <v>6560</v>
      </c>
      <c r="C695" s="196" t="s">
        <v>6561</v>
      </c>
      <c r="D695" s="146" t="s">
        <v>4692</v>
      </c>
      <c r="E695" s="196" t="s">
        <v>6561</v>
      </c>
      <c r="F695" s="150">
        <v>0</v>
      </c>
      <c r="G695" s="209">
        <v>0</v>
      </c>
      <c r="H695" s="209"/>
      <c r="I695" s="209">
        <v>0</v>
      </c>
      <c r="J695" s="150">
        <v>0</v>
      </c>
      <c r="K695" s="150">
        <v>0</v>
      </c>
      <c r="L695" s="150">
        <f t="shared" si="766"/>
        <v>0</v>
      </c>
      <c r="M695" s="150">
        <v>0</v>
      </c>
      <c r="N695" s="150"/>
      <c r="O695" s="150">
        <v>0</v>
      </c>
      <c r="P695" s="150">
        <v>0</v>
      </c>
      <c r="Q695" s="150"/>
      <c r="R695" s="150">
        <f t="shared" si="803"/>
        <v>0</v>
      </c>
      <c r="S695" s="150">
        <f t="shared" si="748"/>
        <v>0</v>
      </c>
      <c r="T695" s="150"/>
      <c r="U695" s="150">
        <v>0</v>
      </c>
      <c r="V695" s="199"/>
      <c r="W695" s="150">
        <f t="shared" si="804"/>
        <v>0</v>
      </c>
      <c r="X695" s="150">
        <v>0</v>
      </c>
      <c r="Y695" s="150"/>
      <c r="Z695" s="150">
        <v>0</v>
      </c>
      <c r="AA695" s="150">
        <f t="shared" si="750"/>
        <v>0</v>
      </c>
      <c r="AB695" s="150">
        <v>0</v>
      </c>
      <c r="AC695" s="199"/>
      <c r="AD695" s="150">
        <f t="shared" si="805"/>
        <v>0</v>
      </c>
      <c r="AE695" s="150">
        <v>0</v>
      </c>
      <c r="AF695" s="169" t="s">
        <v>4680</v>
      </c>
      <c r="AG695" s="201">
        <v>0</v>
      </c>
      <c r="AH695" s="199"/>
      <c r="AI695" s="150">
        <v>0</v>
      </c>
      <c r="AJ695" s="169">
        <f t="shared" si="751"/>
        <v>0</v>
      </c>
      <c r="AK695" s="201">
        <v>0</v>
      </c>
      <c r="AL695" s="199"/>
      <c r="AM695" s="150">
        <f t="shared" si="806"/>
        <v>0</v>
      </c>
      <c r="AN695" s="153">
        <f t="shared" si="752"/>
        <v>0</v>
      </c>
      <c r="AO695" s="154">
        <f t="shared" si="753"/>
        <v>0</v>
      </c>
      <c r="AP695" s="150">
        <v>0</v>
      </c>
      <c r="AQ695" s="201">
        <v>0</v>
      </c>
      <c r="AR695" s="199"/>
      <c r="AS695" s="150">
        <f t="shared" si="807"/>
        <v>0</v>
      </c>
      <c r="AT695" s="155"/>
      <c r="AU695" s="156">
        <f t="shared" si="745"/>
        <v>0</v>
      </c>
      <c r="AV695" s="156">
        <f t="shared" si="746"/>
        <v>0</v>
      </c>
      <c r="AW695" s="157"/>
      <c r="AX695" s="150">
        <v>0</v>
      </c>
      <c r="AY695" s="150">
        <v>0</v>
      </c>
      <c r="AZ695" s="150"/>
      <c r="BA695" s="150">
        <f t="shared" ref="BA695:BA757" si="810">AY695+AZ695</f>
        <v>0</v>
      </c>
      <c r="BB695" s="202">
        <v>5</v>
      </c>
      <c r="BC695" s="202" t="s">
        <v>647</v>
      </c>
      <c r="BD695" s="202" t="s">
        <v>632</v>
      </c>
      <c r="BE695" s="202" t="s">
        <v>671</v>
      </c>
      <c r="BF695" s="194" t="s">
        <v>1842</v>
      </c>
      <c r="BG695" s="203" t="s">
        <v>6561</v>
      </c>
      <c r="BH695" s="216">
        <f t="shared" si="808"/>
        <v>0</v>
      </c>
      <c r="BI695" s="205"/>
      <c r="BJ695" s="206" t="s">
        <v>6562</v>
      </c>
      <c r="BK695" s="206" t="s">
        <v>6559</v>
      </c>
      <c r="BL695" s="207" t="s">
        <v>6563</v>
      </c>
      <c r="BM695" s="208">
        <f t="shared" si="809"/>
        <v>0</v>
      </c>
      <c r="BN695" s="160"/>
      <c r="BO695" s="161">
        <f t="shared" si="792"/>
        <v>0</v>
      </c>
      <c r="BP695" s="161"/>
    </row>
    <row r="696" spans="1:68" ht="38.25">
      <c r="A696" s="206" t="s">
        <v>332</v>
      </c>
      <c r="B696" s="195" t="s">
        <v>6564</v>
      </c>
      <c r="C696" s="196" t="s">
        <v>6565</v>
      </c>
      <c r="D696" s="146" t="s">
        <v>4692</v>
      </c>
      <c r="E696" s="196" t="s">
        <v>6565</v>
      </c>
      <c r="F696" s="150">
        <v>0</v>
      </c>
      <c r="G696" s="209">
        <v>0</v>
      </c>
      <c r="H696" s="209"/>
      <c r="I696" s="209">
        <v>0</v>
      </c>
      <c r="J696" s="150">
        <v>0</v>
      </c>
      <c r="K696" s="150">
        <v>0</v>
      </c>
      <c r="L696" s="150">
        <f t="shared" si="766"/>
        <v>0</v>
      </c>
      <c r="M696" s="150">
        <v>0</v>
      </c>
      <c r="N696" s="150"/>
      <c r="O696" s="150">
        <v>0</v>
      </c>
      <c r="P696" s="150">
        <v>0</v>
      </c>
      <c r="Q696" s="150"/>
      <c r="R696" s="150">
        <f t="shared" si="803"/>
        <v>0</v>
      </c>
      <c r="S696" s="150">
        <f t="shared" si="748"/>
        <v>0</v>
      </c>
      <c r="T696" s="150"/>
      <c r="U696" s="150">
        <v>0</v>
      </c>
      <c r="V696" s="199"/>
      <c r="W696" s="150">
        <f t="shared" si="804"/>
        <v>0</v>
      </c>
      <c r="X696" s="150">
        <v>0</v>
      </c>
      <c r="Y696" s="150"/>
      <c r="Z696" s="150">
        <v>0</v>
      </c>
      <c r="AA696" s="150">
        <f t="shared" si="750"/>
        <v>0</v>
      </c>
      <c r="AB696" s="150">
        <v>0</v>
      </c>
      <c r="AC696" s="199"/>
      <c r="AD696" s="150">
        <f t="shared" si="805"/>
        <v>0</v>
      </c>
      <c r="AE696" s="150">
        <v>0</v>
      </c>
      <c r="AF696" s="169" t="s">
        <v>4680</v>
      </c>
      <c r="AG696" s="201">
        <v>0</v>
      </c>
      <c r="AH696" s="199"/>
      <c r="AI696" s="150">
        <v>0</v>
      </c>
      <c r="AJ696" s="169">
        <f t="shared" si="751"/>
        <v>0</v>
      </c>
      <c r="AK696" s="201">
        <v>0</v>
      </c>
      <c r="AL696" s="199"/>
      <c r="AM696" s="150">
        <f t="shared" si="806"/>
        <v>0</v>
      </c>
      <c r="AN696" s="153">
        <f t="shared" si="752"/>
        <v>0</v>
      </c>
      <c r="AO696" s="154">
        <f t="shared" si="753"/>
        <v>0</v>
      </c>
      <c r="AP696" s="150">
        <v>0</v>
      </c>
      <c r="AQ696" s="201">
        <v>0</v>
      </c>
      <c r="AR696" s="199"/>
      <c r="AS696" s="150">
        <f t="shared" si="807"/>
        <v>0</v>
      </c>
      <c r="AT696" s="155"/>
      <c r="AU696" s="156">
        <f t="shared" si="745"/>
        <v>0</v>
      </c>
      <c r="AV696" s="156">
        <f t="shared" si="746"/>
        <v>0</v>
      </c>
      <c r="AW696" s="157"/>
      <c r="AX696" s="150">
        <v>0</v>
      </c>
      <c r="AY696" s="150">
        <v>0</v>
      </c>
      <c r="AZ696" s="150"/>
      <c r="BA696" s="150">
        <f t="shared" si="810"/>
        <v>0</v>
      </c>
      <c r="BB696" s="202">
        <v>5</v>
      </c>
      <c r="BC696" s="202" t="s">
        <v>647</v>
      </c>
      <c r="BD696" s="202" t="s">
        <v>632</v>
      </c>
      <c r="BE696" s="202" t="s">
        <v>671</v>
      </c>
      <c r="BF696" s="202" t="s">
        <v>766</v>
      </c>
      <c r="BG696" s="203" t="s">
        <v>56</v>
      </c>
      <c r="BH696" s="216">
        <f t="shared" si="808"/>
        <v>0</v>
      </c>
      <c r="BI696" s="205"/>
      <c r="BJ696" s="206" t="s">
        <v>6566</v>
      </c>
      <c r="BK696" s="206" t="s">
        <v>332</v>
      </c>
      <c r="BL696" s="207" t="s">
        <v>6567</v>
      </c>
      <c r="BM696" s="208">
        <f t="shared" si="809"/>
        <v>0</v>
      </c>
      <c r="BN696" s="160"/>
      <c r="BO696" s="161">
        <f t="shared" si="792"/>
        <v>0</v>
      </c>
      <c r="BP696" s="161"/>
    </row>
    <row r="697" spans="1:68" ht="51">
      <c r="A697" s="206" t="s">
        <v>6568</v>
      </c>
      <c r="B697" s="195" t="s">
        <v>6569</v>
      </c>
      <c r="C697" s="196" t="s">
        <v>6570</v>
      </c>
      <c r="D697" s="146" t="s">
        <v>4692</v>
      </c>
      <c r="E697" s="196" t="s">
        <v>6570</v>
      </c>
      <c r="F697" s="150">
        <v>0</v>
      </c>
      <c r="G697" s="209">
        <v>0</v>
      </c>
      <c r="H697" s="209"/>
      <c r="I697" s="209">
        <v>0</v>
      </c>
      <c r="J697" s="150">
        <v>0</v>
      </c>
      <c r="K697" s="150">
        <v>0</v>
      </c>
      <c r="L697" s="150">
        <f t="shared" si="766"/>
        <v>0</v>
      </c>
      <c r="M697" s="150">
        <v>0</v>
      </c>
      <c r="N697" s="150"/>
      <c r="O697" s="150">
        <v>0</v>
      </c>
      <c r="P697" s="150">
        <v>0</v>
      </c>
      <c r="Q697" s="150"/>
      <c r="R697" s="150">
        <f t="shared" si="803"/>
        <v>0</v>
      </c>
      <c r="S697" s="150">
        <f t="shared" si="748"/>
        <v>0</v>
      </c>
      <c r="T697" s="150"/>
      <c r="U697" s="150">
        <v>0</v>
      </c>
      <c r="V697" s="199"/>
      <c r="W697" s="150">
        <f t="shared" si="804"/>
        <v>0</v>
      </c>
      <c r="X697" s="150">
        <v>0</v>
      </c>
      <c r="Y697" s="150"/>
      <c r="Z697" s="150">
        <v>0</v>
      </c>
      <c r="AA697" s="150">
        <f t="shared" si="750"/>
        <v>0</v>
      </c>
      <c r="AB697" s="150">
        <v>0</v>
      </c>
      <c r="AC697" s="199"/>
      <c r="AD697" s="150">
        <f t="shared" si="805"/>
        <v>0</v>
      </c>
      <c r="AE697" s="150">
        <v>0</v>
      </c>
      <c r="AF697" s="169" t="s">
        <v>4680</v>
      </c>
      <c r="AG697" s="201">
        <v>0</v>
      </c>
      <c r="AH697" s="199"/>
      <c r="AI697" s="150">
        <v>0</v>
      </c>
      <c r="AJ697" s="169">
        <f t="shared" si="751"/>
        <v>0</v>
      </c>
      <c r="AK697" s="201">
        <v>0</v>
      </c>
      <c r="AL697" s="199"/>
      <c r="AM697" s="150">
        <f t="shared" si="806"/>
        <v>0</v>
      </c>
      <c r="AN697" s="153">
        <f t="shared" si="752"/>
        <v>0</v>
      </c>
      <c r="AO697" s="154">
        <f t="shared" si="753"/>
        <v>0</v>
      </c>
      <c r="AP697" s="150">
        <v>0</v>
      </c>
      <c r="AQ697" s="201">
        <v>0</v>
      </c>
      <c r="AR697" s="199"/>
      <c r="AS697" s="150">
        <f t="shared" si="807"/>
        <v>0</v>
      </c>
      <c r="AT697" s="155"/>
      <c r="AU697" s="156">
        <f t="shared" si="745"/>
        <v>0</v>
      </c>
      <c r="AV697" s="156">
        <f t="shared" si="746"/>
        <v>0</v>
      </c>
      <c r="AW697" s="157"/>
      <c r="AX697" s="150">
        <v>0</v>
      </c>
      <c r="AY697" s="150">
        <v>0</v>
      </c>
      <c r="AZ697" s="150"/>
      <c r="BA697" s="150">
        <f t="shared" si="810"/>
        <v>0</v>
      </c>
      <c r="BB697" s="202">
        <v>5</v>
      </c>
      <c r="BC697" s="202" t="s">
        <v>647</v>
      </c>
      <c r="BD697" s="202" t="s">
        <v>632</v>
      </c>
      <c r="BE697" s="202" t="s">
        <v>671</v>
      </c>
      <c r="BF697" s="194" t="s">
        <v>1846</v>
      </c>
      <c r="BG697" s="203" t="s">
        <v>6570</v>
      </c>
      <c r="BH697" s="216">
        <f t="shared" si="808"/>
        <v>0</v>
      </c>
      <c r="BI697" s="205"/>
      <c r="BJ697" s="206" t="s">
        <v>6571</v>
      </c>
      <c r="BK697" s="206" t="s">
        <v>6568</v>
      </c>
      <c r="BL697" s="207" t="s">
        <v>6572</v>
      </c>
      <c r="BM697" s="208">
        <f t="shared" si="809"/>
        <v>0</v>
      </c>
      <c r="BN697" s="160"/>
      <c r="BO697" s="161">
        <f t="shared" si="792"/>
        <v>0</v>
      </c>
      <c r="BP697" s="161"/>
    </row>
    <row r="698" spans="1:68" ht="38.25">
      <c r="A698" s="206" t="s">
        <v>333</v>
      </c>
      <c r="B698" s="195" t="s">
        <v>6573</v>
      </c>
      <c r="C698" s="196" t="s">
        <v>6574</v>
      </c>
      <c r="D698" s="146" t="s">
        <v>4692</v>
      </c>
      <c r="E698" s="196" t="s">
        <v>6574</v>
      </c>
      <c r="F698" s="150">
        <v>0</v>
      </c>
      <c r="G698" s="209">
        <v>0</v>
      </c>
      <c r="H698" s="209"/>
      <c r="I698" s="209">
        <v>0</v>
      </c>
      <c r="J698" s="150">
        <v>0</v>
      </c>
      <c r="K698" s="150">
        <v>0</v>
      </c>
      <c r="L698" s="150">
        <f t="shared" si="766"/>
        <v>0</v>
      </c>
      <c r="M698" s="150">
        <v>0</v>
      </c>
      <c r="N698" s="150"/>
      <c r="O698" s="150">
        <v>0</v>
      </c>
      <c r="P698" s="150">
        <v>0</v>
      </c>
      <c r="Q698" s="150"/>
      <c r="R698" s="150">
        <f t="shared" si="803"/>
        <v>0</v>
      </c>
      <c r="S698" s="150">
        <f t="shared" si="748"/>
        <v>0</v>
      </c>
      <c r="T698" s="150"/>
      <c r="U698" s="150">
        <v>0</v>
      </c>
      <c r="V698" s="199"/>
      <c r="W698" s="150">
        <f t="shared" si="804"/>
        <v>0</v>
      </c>
      <c r="X698" s="150">
        <v>0</v>
      </c>
      <c r="Y698" s="150"/>
      <c r="Z698" s="150">
        <v>0</v>
      </c>
      <c r="AA698" s="150">
        <f t="shared" si="750"/>
        <v>0</v>
      </c>
      <c r="AB698" s="150">
        <v>0</v>
      </c>
      <c r="AC698" s="199"/>
      <c r="AD698" s="150">
        <f t="shared" si="805"/>
        <v>0</v>
      </c>
      <c r="AE698" s="150">
        <v>0</v>
      </c>
      <c r="AF698" s="169" t="s">
        <v>4680</v>
      </c>
      <c r="AG698" s="201">
        <v>0</v>
      </c>
      <c r="AH698" s="199"/>
      <c r="AI698" s="150">
        <v>0</v>
      </c>
      <c r="AJ698" s="169">
        <f t="shared" si="751"/>
        <v>0</v>
      </c>
      <c r="AK698" s="201">
        <v>0</v>
      </c>
      <c r="AL698" s="199"/>
      <c r="AM698" s="150">
        <f t="shared" si="806"/>
        <v>0</v>
      </c>
      <c r="AN698" s="153">
        <f t="shared" si="752"/>
        <v>0</v>
      </c>
      <c r="AO698" s="154">
        <f t="shared" si="753"/>
        <v>0</v>
      </c>
      <c r="AP698" s="150">
        <v>0</v>
      </c>
      <c r="AQ698" s="201">
        <v>0</v>
      </c>
      <c r="AR698" s="199"/>
      <c r="AS698" s="150">
        <f t="shared" si="807"/>
        <v>0</v>
      </c>
      <c r="AT698" s="155"/>
      <c r="AU698" s="156">
        <f t="shared" si="745"/>
        <v>0</v>
      </c>
      <c r="AV698" s="156">
        <f t="shared" si="746"/>
        <v>0</v>
      </c>
      <c r="AW698" s="157"/>
      <c r="AX698" s="150">
        <v>0</v>
      </c>
      <c r="AY698" s="150">
        <v>0</v>
      </c>
      <c r="AZ698" s="150"/>
      <c r="BA698" s="150">
        <f t="shared" si="810"/>
        <v>0</v>
      </c>
      <c r="BB698" s="202">
        <v>5</v>
      </c>
      <c r="BC698" s="202" t="s">
        <v>647</v>
      </c>
      <c r="BD698" s="202" t="s">
        <v>632</v>
      </c>
      <c r="BE698" s="202" t="s">
        <v>671</v>
      </c>
      <c r="BF698" s="202" t="s">
        <v>779</v>
      </c>
      <c r="BG698" s="203" t="s">
        <v>57</v>
      </c>
      <c r="BH698" s="216">
        <f t="shared" si="808"/>
        <v>0</v>
      </c>
      <c r="BI698" s="205"/>
      <c r="BJ698" s="206" t="s">
        <v>6575</v>
      </c>
      <c r="BK698" s="206" t="s">
        <v>333</v>
      </c>
      <c r="BL698" s="207" t="s">
        <v>6576</v>
      </c>
      <c r="BM698" s="208">
        <f t="shared" si="809"/>
        <v>0</v>
      </c>
      <c r="BN698" s="160"/>
      <c r="BO698" s="161">
        <f t="shared" si="792"/>
        <v>0</v>
      </c>
      <c r="BP698" s="161"/>
    </row>
    <row r="699" spans="1:68" ht="51">
      <c r="A699" s="206" t="s">
        <v>6577</v>
      </c>
      <c r="B699" s="195" t="s">
        <v>6578</v>
      </c>
      <c r="C699" s="196" t="s">
        <v>6579</v>
      </c>
      <c r="D699" s="146" t="s">
        <v>4692</v>
      </c>
      <c r="E699" s="196" t="s">
        <v>6579</v>
      </c>
      <c r="F699" s="150">
        <v>0</v>
      </c>
      <c r="G699" s="209">
        <v>0</v>
      </c>
      <c r="H699" s="209"/>
      <c r="I699" s="209">
        <v>0</v>
      </c>
      <c r="J699" s="150">
        <v>0</v>
      </c>
      <c r="K699" s="150">
        <v>0</v>
      </c>
      <c r="L699" s="150">
        <f t="shared" si="766"/>
        <v>0</v>
      </c>
      <c r="M699" s="150">
        <v>0</v>
      </c>
      <c r="N699" s="150"/>
      <c r="O699" s="150">
        <v>0</v>
      </c>
      <c r="P699" s="150">
        <v>0</v>
      </c>
      <c r="Q699" s="150"/>
      <c r="R699" s="150">
        <f t="shared" si="803"/>
        <v>0</v>
      </c>
      <c r="S699" s="150">
        <f t="shared" si="748"/>
        <v>0</v>
      </c>
      <c r="T699" s="150"/>
      <c r="U699" s="150">
        <v>0</v>
      </c>
      <c r="V699" s="199"/>
      <c r="W699" s="150">
        <f t="shared" si="804"/>
        <v>0</v>
      </c>
      <c r="X699" s="150">
        <v>0</v>
      </c>
      <c r="Y699" s="150"/>
      <c r="Z699" s="150">
        <v>0</v>
      </c>
      <c r="AA699" s="150">
        <f t="shared" si="750"/>
        <v>0</v>
      </c>
      <c r="AB699" s="150">
        <v>0</v>
      </c>
      <c r="AC699" s="199"/>
      <c r="AD699" s="150">
        <f t="shared" si="805"/>
        <v>0</v>
      </c>
      <c r="AE699" s="150">
        <v>0</v>
      </c>
      <c r="AF699" s="169" t="s">
        <v>4680</v>
      </c>
      <c r="AG699" s="201">
        <v>0</v>
      </c>
      <c r="AH699" s="199"/>
      <c r="AI699" s="150">
        <v>0</v>
      </c>
      <c r="AJ699" s="169">
        <f t="shared" si="751"/>
        <v>0</v>
      </c>
      <c r="AK699" s="201">
        <v>0</v>
      </c>
      <c r="AL699" s="199"/>
      <c r="AM699" s="150">
        <f t="shared" si="806"/>
        <v>0</v>
      </c>
      <c r="AN699" s="153">
        <f t="shared" si="752"/>
        <v>0</v>
      </c>
      <c r="AO699" s="154">
        <f t="shared" si="753"/>
        <v>0</v>
      </c>
      <c r="AP699" s="150">
        <v>0</v>
      </c>
      <c r="AQ699" s="201">
        <v>0</v>
      </c>
      <c r="AR699" s="199"/>
      <c r="AS699" s="150">
        <f t="shared" si="807"/>
        <v>0</v>
      </c>
      <c r="AT699" s="155"/>
      <c r="AU699" s="156">
        <f t="shared" si="745"/>
        <v>0</v>
      </c>
      <c r="AV699" s="156">
        <f t="shared" si="746"/>
        <v>0</v>
      </c>
      <c r="AW699" s="157"/>
      <c r="AX699" s="150">
        <v>0</v>
      </c>
      <c r="AY699" s="150">
        <v>0</v>
      </c>
      <c r="AZ699" s="150"/>
      <c r="BA699" s="150">
        <f t="shared" si="810"/>
        <v>0</v>
      </c>
      <c r="BB699" s="202">
        <v>5</v>
      </c>
      <c r="BC699" s="202" t="s">
        <v>647</v>
      </c>
      <c r="BD699" s="202" t="s">
        <v>632</v>
      </c>
      <c r="BE699" s="202" t="s">
        <v>671</v>
      </c>
      <c r="BF699" s="194" t="s">
        <v>1850</v>
      </c>
      <c r="BG699" s="203" t="s">
        <v>6579</v>
      </c>
      <c r="BH699" s="216">
        <f t="shared" si="808"/>
        <v>0</v>
      </c>
      <c r="BI699" s="205"/>
      <c r="BJ699" s="206" t="s">
        <v>6580</v>
      </c>
      <c r="BK699" s="206" t="s">
        <v>6577</v>
      </c>
      <c r="BL699" s="207" t="s">
        <v>6581</v>
      </c>
      <c r="BM699" s="208">
        <f t="shared" si="809"/>
        <v>0</v>
      </c>
      <c r="BN699" s="160"/>
      <c r="BO699" s="161">
        <f t="shared" si="792"/>
        <v>0</v>
      </c>
      <c r="BP699" s="161"/>
    </row>
    <row r="700" spans="1:68" ht="38.25">
      <c r="A700" s="206" t="s">
        <v>334</v>
      </c>
      <c r="B700" s="195" t="s">
        <v>6582</v>
      </c>
      <c r="C700" s="196" t="s">
        <v>6583</v>
      </c>
      <c r="D700" s="146" t="s">
        <v>4692</v>
      </c>
      <c r="E700" s="196" t="s">
        <v>6583</v>
      </c>
      <c r="F700" s="150">
        <v>0</v>
      </c>
      <c r="G700" s="209">
        <v>0</v>
      </c>
      <c r="H700" s="209"/>
      <c r="I700" s="209">
        <v>0</v>
      </c>
      <c r="J700" s="150">
        <v>0</v>
      </c>
      <c r="K700" s="150">
        <v>0</v>
      </c>
      <c r="L700" s="150">
        <f t="shared" si="766"/>
        <v>0</v>
      </c>
      <c r="M700" s="150">
        <v>0</v>
      </c>
      <c r="N700" s="150"/>
      <c r="O700" s="150">
        <v>0</v>
      </c>
      <c r="P700" s="150">
        <v>0</v>
      </c>
      <c r="Q700" s="150"/>
      <c r="R700" s="150">
        <f t="shared" si="803"/>
        <v>0</v>
      </c>
      <c r="S700" s="150">
        <f t="shared" si="748"/>
        <v>0</v>
      </c>
      <c r="T700" s="150"/>
      <c r="U700" s="150">
        <v>0</v>
      </c>
      <c r="V700" s="199"/>
      <c r="W700" s="150">
        <f t="shared" si="804"/>
        <v>0</v>
      </c>
      <c r="X700" s="150">
        <v>0</v>
      </c>
      <c r="Y700" s="150"/>
      <c r="Z700" s="150">
        <v>0</v>
      </c>
      <c r="AA700" s="150">
        <f t="shared" si="750"/>
        <v>0</v>
      </c>
      <c r="AB700" s="150">
        <v>0</v>
      </c>
      <c r="AC700" s="199"/>
      <c r="AD700" s="150">
        <f t="shared" si="805"/>
        <v>0</v>
      </c>
      <c r="AE700" s="150">
        <v>0</v>
      </c>
      <c r="AF700" s="169" t="s">
        <v>4680</v>
      </c>
      <c r="AG700" s="201">
        <v>0</v>
      </c>
      <c r="AH700" s="199"/>
      <c r="AI700" s="150">
        <v>0</v>
      </c>
      <c r="AJ700" s="169">
        <f t="shared" si="751"/>
        <v>0</v>
      </c>
      <c r="AK700" s="201">
        <v>0</v>
      </c>
      <c r="AL700" s="199"/>
      <c r="AM700" s="150">
        <f t="shared" si="806"/>
        <v>0</v>
      </c>
      <c r="AN700" s="153">
        <f t="shared" si="752"/>
        <v>0</v>
      </c>
      <c r="AO700" s="154">
        <f t="shared" si="753"/>
        <v>0</v>
      </c>
      <c r="AP700" s="150">
        <v>0</v>
      </c>
      <c r="AQ700" s="201">
        <v>0</v>
      </c>
      <c r="AR700" s="199"/>
      <c r="AS700" s="150">
        <f t="shared" si="807"/>
        <v>0</v>
      </c>
      <c r="AT700" s="155"/>
      <c r="AU700" s="156">
        <f t="shared" si="745"/>
        <v>0</v>
      </c>
      <c r="AV700" s="156">
        <f t="shared" si="746"/>
        <v>0</v>
      </c>
      <c r="AW700" s="157"/>
      <c r="AX700" s="150">
        <v>0</v>
      </c>
      <c r="AY700" s="150">
        <v>0</v>
      </c>
      <c r="AZ700" s="150"/>
      <c r="BA700" s="150">
        <f t="shared" si="810"/>
        <v>0</v>
      </c>
      <c r="BB700" s="202">
        <v>5</v>
      </c>
      <c r="BC700" s="202" t="s">
        <v>647</v>
      </c>
      <c r="BD700" s="202" t="s">
        <v>632</v>
      </c>
      <c r="BE700" s="202" t="s">
        <v>671</v>
      </c>
      <c r="BF700" s="202" t="s">
        <v>1225</v>
      </c>
      <c r="BG700" s="203" t="s">
        <v>335</v>
      </c>
      <c r="BH700" s="216">
        <f t="shared" si="808"/>
        <v>0</v>
      </c>
      <c r="BI700" s="205"/>
      <c r="BJ700" s="206" t="s">
        <v>6584</v>
      </c>
      <c r="BK700" s="206" t="s">
        <v>334</v>
      </c>
      <c r="BL700" s="207" t="s">
        <v>6585</v>
      </c>
      <c r="BM700" s="208">
        <f t="shared" si="809"/>
        <v>0</v>
      </c>
      <c r="BN700" s="160"/>
      <c r="BO700" s="161">
        <f t="shared" si="792"/>
        <v>0</v>
      </c>
      <c r="BP700" s="161"/>
    </row>
    <row r="701" spans="1:68" ht="51">
      <c r="A701" s="206" t="s">
        <v>6586</v>
      </c>
      <c r="B701" s="195" t="s">
        <v>6587</v>
      </c>
      <c r="C701" s="196" t="s">
        <v>6588</v>
      </c>
      <c r="D701" s="146" t="s">
        <v>4692</v>
      </c>
      <c r="E701" s="196" t="s">
        <v>6588</v>
      </c>
      <c r="F701" s="150">
        <v>0</v>
      </c>
      <c r="G701" s="209">
        <v>0</v>
      </c>
      <c r="H701" s="209"/>
      <c r="I701" s="209">
        <v>0</v>
      </c>
      <c r="J701" s="150">
        <v>0</v>
      </c>
      <c r="K701" s="150">
        <v>0</v>
      </c>
      <c r="L701" s="150">
        <f t="shared" si="766"/>
        <v>0</v>
      </c>
      <c r="M701" s="150">
        <v>0</v>
      </c>
      <c r="N701" s="150"/>
      <c r="O701" s="150">
        <v>0</v>
      </c>
      <c r="P701" s="150">
        <v>0</v>
      </c>
      <c r="Q701" s="150"/>
      <c r="R701" s="150">
        <f t="shared" si="803"/>
        <v>0</v>
      </c>
      <c r="S701" s="150">
        <f t="shared" si="748"/>
        <v>0</v>
      </c>
      <c r="T701" s="150"/>
      <c r="U701" s="150">
        <v>0</v>
      </c>
      <c r="V701" s="199"/>
      <c r="W701" s="150">
        <f t="shared" si="804"/>
        <v>0</v>
      </c>
      <c r="X701" s="150">
        <v>0</v>
      </c>
      <c r="Y701" s="150"/>
      <c r="Z701" s="150">
        <v>0</v>
      </c>
      <c r="AA701" s="150">
        <f t="shared" si="750"/>
        <v>0</v>
      </c>
      <c r="AB701" s="150">
        <v>0</v>
      </c>
      <c r="AC701" s="199"/>
      <c r="AD701" s="150">
        <f t="shared" si="805"/>
        <v>0</v>
      </c>
      <c r="AE701" s="150">
        <v>0</v>
      </c>
      <c r="AF701" s="169" t="s">
        <v>4680</v>
      </c>
      <c r="AG701" s="201">
        <v>0</v>
      </c>
      <c r="AH701" s="199"/>
      <c r="AI701" s="150">
        <v>0</v>
      </c>
      <c r="AJ701" s="169">
        <f t="shared" si="751"/>
        <v>0</v>
      </c>
      <c r="AK701" s="201">
        <v>0</v>
      </c>
      <c r="AL701" s="199"/>
      <c r="AM701" s="150">
        <f t="shared" si="806"/>
        <v>0</v>
      </c>
      <c r="AN701" s="153">
        <f t="shared" si="752"/>
        <v>0</v>
      </c>
      <c r="AO701" s="154">
        <f t="shared" si="753"/>
        <v>0</v>
      </c>
      <c r="AP701" s="150">
        <v>0</v>
      </c>
      <c r="AQ701" s="201">
        <v>0</v>
      </c>
      <c r="AR701" s="199"/>
      <c r="AS701" s="150">
        <f t="shared" si="807"/>
        <v>0</v>
      </c>
      <c r="AT701" s="155"/>
      <c r="AU701" s="156">
        <f t="shared" si="745"/>
        <v>0</v>
      </c>
      <c r="AV701" s="156">
        <f t="shared" si="746"/>
        <v>0</v>
      </c>
      <c r="AW701" s="157"/>
      <c r="AX701" s="150">
        <v>0</v>
      </c>
      <c r="AY701" s="150">
        <v>0</v>
      </c>
      <c r="AZ701" s="150"/>
      <c r="BA701" s="150">
        <f t="shared" si="810"/>
        <v>0</v>
      </c>
      <c r="BB701" s="202">
        <v>5</v>
      </c>
      <c r="BC701" s="202" t="s">
        <v>647</v>
      </c>
      <c r="BD701" s="202" t="s">
        <v>632</v>
      </c>
      <c r="BE701" s="202" t="s">
        <v>671</v>
      </c>
      <c r="BF701" s="194" t="s">
        <v>1855</v>
      </c>
      <c r="BG701" s="203" t="s">
        <v>6589</v>
      </c>
      <c r="BH701" s="216">
        <f t="shared" si="808"/>
        <v>0</v>
      </c>
      <c r="BI701" s="205"/>
      <c r="BJ701" s="206" t="s">
        <v>6590</v>
      </c>
      <c r="BK701" s="206" t="s">
        <v>6586</v>
      </c>
      <c r="BL701" s="207" t="s">
        <v>6591</v>
      </c>
      <c r="BM701" s="208">
        <f t="shared" si="809"/>
        <v>0</v>
      </c>
      <c r="BN701" s="160"/>
      <c r="BO701" s="161">
        <f t="shared" si="792"/>
        <v>0</v>
      </c>
      <c r="BP701" s="161"/>
    </row>
    <row r="702" spans="1:68" ht="63.75">
      <c r="A702" s="206" t="s">
        <v>336</v>
      </c>
      <c r="B702" s="195" t="s">
        <v>6592</v>
      </c>
      <c r="C702" s="196" t="s">
        <v>6593</v>
      </c>
      <c r="D702" s="146" t="s">
        <v>4692</v>
      </c>
      <c r="E702" s="196" t="s">
        <v>6593</v>
      </c>
      <c r="F702" s="150">
        <v>0</v>
      </c>
      <c r="G702" s="209">
        <v>0</v>
      </c>
      <c r="H702" s="209"/>
      <c r="I702" s="209">
        <v>0</v>
      </c>
      <c r="J702" s="150">
        <v>0</v>
      </c>
      <c r="K702" s="150">
        <v>0</v>
      </c>
      <c r="L702" s="150">
        <f t="shared" si="766"/>
        <v>0</v>
      </c>
      <c r="M702" s="150">
        <v>0</v>
      </c>
      <c r="N702" s="150"/>
      <c r="O702" s="150">
        <v>0</v>
      </c>
      <c r="P702" s="150">
        <v>0</v>
      </c>
      <c r="Q702" s="150"/>
      <c r="R702" s="150">
        <f t="shared" si="803"/>
        <v>0</v>
      </c>
      <c r="S702" s="150">
        <f t="shared" si="748"/>
        <v>0</v>
      </c>
      <c r="T702" s="150"/>
      <c r="U702" s="150">
        <v>0</v>
      </c>
      <c r="V702" s="199"/>
      <c r="W702" s="150">
        <f t="shared" si="804"/>
        <v>0</v>
      </c>
      <c r="X702" s="150">
        <v>0</v>
      </c>
      <c r="Y702" s="150"/>
      <c r="Z702" s="150">
        <v>0</v>
      </c>
      <c r="AA702" s="150">
        <f t="shared" si="750"/>
        <v>0</v>
      </c>
      <c r="AB702" s="150">
        <v>0</v>
      </c>
      <c r="AC702" s="199"/>
      <c r="AD702" s="150">
        <f t="shared" si="805"/>
        <v>0</v>
      </c>
      <c r="AE702" s="150">
        <v>0</v>
      </c>
      <c r="AF702" s="169" t="s">
        <v>4680</v>
      </c>
      <c r="AG702" s="201">
        <v>0</v>
      </c>
      <c r="AH702" s="199"/>
      <c r="AI702" s="150">
        <v>0</v>
      </c>
      <c r="AJ702" s="169">
        <f t="shared" si="751"/>
        <v>0</v>
      </c>
      <c r="AK702" s="201">
        <v>0</v>
      </c>
      <c r="AL702" s="199"/>
      <c r="AM702" s="150">
        <f t="shared" si="806"/>
        <v>0</v>
      </c>
      <c r="AN702" s="153">
        <f t="shared" si="752"/>
        <v>0</v>
      </c>
      <c r="AO702" s="154">
        <f t="shared" si="753"/>
        <v>0</v>
      </c>
      <c r="AP702" s="150">
        <v>0</v>
      </c>
      <c r="AQ702" s="201">
        <v>0</v>
      </c>
      <c r="AR702" s="199"/>
      <c r="AS702" s="150">
        <f t="shared" si="807"/>
        <v>0</v>
      </c>
      <c r="AT702" s="155"/>
      <c r="AU702" s="156">
        <f t="shared" si="745"/>
        <v>0</v>
      </c>
      <c r="AV702" s="156">
        <f t="shared" si="746"/>
        <v>0</v>
      </c>
      <c r="AW702" s="157"/>
      <c r="AX702" s="150">
        <v>0</v>
      </c>
      <c r="AY702" s="150">
        <v>0</v>
      </c>
      <c r="AZ702" s="150"/>
      <c r="BA702" s="150">
        <f t="shared" si="810"/>
        <v>0</v>
      </c>
      <c r="BB702" s="202">
        <v>5</v>
      </c>
      <c r="BC702" s="202" t="s">
        <v>647</v>
      </c>
      <c r="BD702" s="202" t="s">
        <v>632</v>
      </c>
      <c r="BE702" s="202" t="s">
        <v>671</v>
      </c>
      <c r="BF702" s="202" t="s">
        <v>1229</v>
      </c>
      <c r="BG702" s="203" t="s">
        <v>6594</v>
      </c>
      <c r="BH702" s="216">
        <f t="shared" si="808"/>
        <v>0</v>
      </c>
      <c r="BI702" s="205"/>
      <c r="BJ702" s="206" t="s">
        <v>6595</v>
      </c>
      <c r="BK702" s="206" t="s">
        <v>336</v>
      </c>
      <c r="BL702" s="207" t="s">
        <v>6596</v>
      </c>
      <c r="BM702" s="208">
        <f t="shared" si="809"/>
        <v>0</v>
      </c>
      <c r="BN702" s="160"/>
      <c r="BO702" s="161">
        <f t="shared" si="792"/>
        <v>0</v>
      </c>
      <c r="BP702" s="161"/>
    </row>
    <row r="703" spans="1:68" ht="76.5">
      <c r="A703" s="206" t="s">
        <v>6597</v>
      </c>
      <c r="B703" s="195" t="s">
        <v>6598</v>
      </c>
      <c r="C703" s="196" t="s">
        <v>6599</v>
      </c>
      <c r="D703" s="146" t="s">
        <v>4692</v>
      </c>
      <c r="E703" s="196" t="s">
        <v>6599</v>
      </c>
      <c r="F703" s="150">
        <v>0</v>
      </c>
      <c r="G703" s="209">
        <v>0</v>
      </c>
      <c r="H703" s="209">
        <v>0</v>
      </c>
      <c r="I703" s="209">
        <v>0</v>
      </c>
      <c r="J703" s="150">
        <v>0</v>
      </c>
      <c r="K703" s="150">
        <v>0</v>
      </c>
      <c r="L703" s="150">
        <f t="shared" si="766"/>
        <v>0</v>
      </c>
      <c r="M703" s="150">
        <v>0</v>
      </c>
      <c r="N703" s="150"/>
      <c r="O703" s="150">
        <v>0</v>
      </c>
      <c r="P703" s="150">
        <v>0</v>
      </c>
      <c r="Q703" s="150"/>
      <c r="R703" s="150">
        <f t="shared" si="803"/>
        <v>0</v>
      </c>
      <c r="S703" s="150">
        <f t="shared" si="748"/>
        <v>0</v>
      </c>
      <c r="T703" s="150"/>
      <c r="U703" s="150">
        <v>0</v>
      </c>
      <c r="V703" s="199"/>
      <c r="W703" s="150">
        <f t="shared" si="804"/>
        <v>0</v>
      </c>
      <c r="X703" s="150">
        <v>0</v>
      </c>
      <c r="Y703" s="150"/>
      <c r="Z703" s="150">
        <v>0</v>
      </c>
      <c r="AA703" s="150">
        <f t="shared" si="750"/>
        <v>0</v>
      </c>
      <c r="AB703" s="150">
        <v>0</v>
      </c>
      <c r="AC703" s="199"/>
      <c r="AD703" s="150">
        <f t="shared" si="805"/>
        <v>0</v>
      </c>
      <c r="AE703" s="150">
        <v>0</v>
      </c>
      <c r="AF703" s="169" t="s">
        <v>4680</v>
      </c>
      <c r="AG703" s="201">
        <v>0</v>
      </c>
      <c r="AH703" s="199"/>
      <c r="AI703" s="150">
        <v>0</v>
      </c>
      <c r="AJ703" s="169">
        <f t="shared" si="751"/>
        <v>0</v>
      </c>
      <c r="AK703" s="201">
        <v>0</v>
      </c>
      <c r="AL703" s="199"/>
      <c r="AM703" s="150">
        <f t="shared" si="806"/>
        <v>0</v>
      </c>
      <c r="AN703" s="153">
        <f t="shared" si="752"/>
        <v>0</v>
      </c>
      <c r="AO703" s="154">
        <f t="shared" si="753"/>
        <v>0</v>
      </c>
      <c r="AP703" s="150">
        <v>0</v>
      </c>
      <c r="AQ703" s="201">
        <v>0</v>
      </c>
      <c r="AR703" s="199"/>
      <c r="AS703" s="150">
        <f t="shared" si="807"/>
        <v>0</v>
      </c>
      <c r="AT703" s="155"/>
      <c r="AU703" s="156">
        <f t="shared" si="745"/>
        <v>0</v>
      </c>
      <c r="AV703" s="156">
        <f t="shared" si="746"/>
        <v>0</v>
      </c>
      <c r="AW703" s="157"/>
      <c r="AX703" s="150">
        <v>0</v>
      </c>
      <c r="AY703" s="150">
        <v>0</v>
      </c>
      <c r="AZ703" s="150"/>
      <c r="BA703" s="150">
        <f t="shared" si="810"/>
        <v>0</v>
      </c>
      <c r="BB703" s="202">
        <v>5</v>
      </c>
      <c r="BC703" s="202" t="s">
        <v>647</v>
      </c>
      <c r="BD703" s="202" t="s">
        <v>632</v>
      </c>
      <c r="BE703" s="202" t="s">
        <v>671</v>
      </c>
      <c r="BF703" s="194" t="s">
        <v>1859</v>
      </c>
      <c r="BG703" s="203" t="s">
        <v>6599</v>
      </c>
      <c r="BH703" s="216">
        <f t="shared" si="808"/>
        <v>0</v>
      </c>
      <c r="BI703" s="205"/>
      <c r="BJ703" s="206" t="s">
        <v>6600</v>
      </c>
      <c r="BK703" s="206" t="s">
        <v>6597</v>
      </c>
      <c r="BL703" s="207" t="s">
        <v>6601</v>
      </c>
      <c r="BM703" s="208">
        <f t="shared" si="809"/>
        <v>0</v>
      </c>
      <c r="BN703" s="160"/>
      <c r="BO703" s="161">
        <f t="shared" si="792"/>
        <v>0</v>
      </c>
      <c r="BP703" s="161"/>
    </row>
    <row r="704" spans="1:68" ht="38.25">
      <c r="A704" s="192" t="s">
        <v>6602</v>
      </c>
      <c r="B704" s="184"/>
      <c r="C704" s="185" t="s">
        <v>49</v>
      </c>
      <c r="D704" s="146" t="s">
        <v>4692</v>
      </c>
      <c r="E704" s="185" t="s">
        <v>49</v>
      </c>
      <c r="F704" s="188">
        <v>0</v>
      </c>
      <c r="G704" s="187">
        <v>0</v>
      </c>
      <c r="H704" s="187"/>
      <c r="I704" s="187">
        <v>0</v>
      </c>
      <c r="J704" s="188">
        <f>SUM(J705:J709)</f>
        <v>0</v>
      </c>
      <c r="K704" s="188">
        <f>SUM(K705:K709)</f>
        <v>0</v>
      </c>
      <c r="L704" s="188">
        <f t="shared" si="766"/>
        <v>0</v>
      </c>
      <c r="M704" s="188">
        <v>0</v>
      </c>
      <c r="N704" s="188">
        <v>0</v>
      </c>
      <c r="O704" s="188">
        <v>0</v>
      </c>
      <c r="P704" s="299">
        <f t="shared" ref="P704:R704" si="811">SUM(P705:P709)</f>
        <v>0</v>
      </c>
      <c r="Q704" s="299">
        <f t="shared" si="811"/>
        <v>0</v>
      </c>
      <c r="R704" s="299">
        <f t="shared" si="811"/>
        <v>0</v>
      </c>
      <c r="S704" s="150">
        <f t="shared" si="748"/>
        <v>0</v>
      </c>
      <c r="T704" s="213"/>
      <c r="U704" s="299">
        <f t="shared" ref="U704:W704" si="812">SUM(U705:U709)</f>
        <v>0</v>
      </c>
      <c r="V704" s="226">
        <f t="shared" si="812"/>
        <v>0</v>
      </c>
      <c r="W704" s="299">
        <f t="shared" si="812"/>
        <v>0</v>
      </c>
      <c r="X704" s="299">
        <v>0</v>
      </c>
      <c r="Y704" s="299">
        <v>0</v>
      </c>
      <c r="Z704" s="299">
        <v>0</v>
      </c>
      <c r="AA704" s="299">
        <f t="shared" si="750"/>
        <v>0</v>
      </c>
      <c r="AB704" s="299">
        <v>0</v>
      </c>
      <c r="AC704" s="226">
        <v>0</v>
      </c>
      <c r="AD704" s="299">
        <f t="shared" ref="AD704" si="813">SUM(AD705:AD709)</f>
        <v>0</v>
      </c>
      <c r="AE704" s="299">
        <v>0</v>
      </c>
      <c r="AF704" s="169" t="s">
        <v>4680</v>
      </c>
      <c r="AG704" s="301">
        <v>0</v>
      </c>
      <c r="AH704" s="226">
        <v>0</v>
      </c>
      <c r="AI704" s="299">
        <v>0</v>
      </c>
      <c r="AJ704" s="169">
        <f t="shared" si="751"/>
        <v>0</v>
      </c>
      <c r="AK704" s="301">
        <v>0</v>
      </c>
      <c r="AL704" s="226">
        <v>0</v>
      </c>
      <c r="AM704" s="299">
        <f t="shared" ref="AM704" si="814">SUM(AM705:AM709)</f>
        <v>0</v>
      </c>
      <c r="AN704" s="153">
        <f t="shared" si="752"/>
        <v>0</v>
      </c>
      <c r="AO704" s="154">
        <f t="shared" si="753"/>
        <v>0</v>
      </c>
      <c r="AP704" s="299">
        <v>0</v>
      </c>
      <c r="AQ704" s="301">
        <v>0</v>
      </c>
      <c r="AR704" s="226">
        <f t="shared" ref="AR704:AS704" si="815">SUM(AR705:AR709)</f>
        <v>0</v>
      </c>
      <c r="AS704" s="299">
        <f t="shared" si="815"/>
        <v>0</v>
      </c>
      <c r="AT704" s="155"/>
      <c r="AU704" s="156">
        <f t="shared" si="745"/>
        <v>0</v>
      </c>
      <c r="AV704" s="156">
        <f t="shared" si="746"/>
        <v>0</v>
      </c>
      <c r="AW704" s="157"/>
      <c r="AX704" s="150">
        <v>0</v>
      </c>
      <c r="AY704" s="299">
        <f t="shared" ref="AY704:BA704" si="816">SUM(AY705:AY709)</f>
        <v>0</v>
      </c>
      <c r="AZ704" s="299">
        <f t="shared" si="816"/>
        <v>0</v>
      </c>
      <c r="BA704" s="299">
        <f t="shared" si="816"/>
        <v>0</v>
      </c>
      <c r="BB704" s="192">
        <v>5</v>
      </c>
      <c r="BC704" s="256" t="s">
        <v>647</v>
      </c>
      <c r="BD704" s="256" t="s">
        <v>632</v>
      </c>
      <c r="BE704" s="256" t="s">
        <v>693</v>
      </c>
      <c r="BF704" s="256" t="s">
        <v>630</v>
      </c>
      <c r="BG704" s="185" t="s">
        <v>49</v>
      </c>
      <c r="BH704" s="302">
        <f>SUM(BH705:BH709)</f>
        <v>0</v>
      </c>
      <c r="BI704" s="192"/>
      <c r="BJ704" s="256" t="s">
        <v>6603</v>
      </c>
      <c r="BK704" s="192" t="s">
        <v>6602</v>
      </c>
      <c r="BL704" s="185" t="s">
        <v>6604</v>
      </c>
      <c r="BM704" s="302">
        <f>SUM(BM705:BM709)</f>
        <v>0</v>
      </c>
      <c r="BN704" s="160"/>
      <c r="BO704" s="161">
        <f t="shared" si="792"/>
        <v>0</v>
      </c>
      <c r="BP704" s="161"/>
    </row>
    <row r="705" spans="1:68" ht="51">
      <c r="A705" s="261" t="s">
        <v>337</v>
      </c>
      <c r="B705" s="228" t="s">
        <v>6605</v>
      </c>
      <c r="C705" s="229" t="s">
        <v>6606</v>
      </c>
      <c r="D705" s="146" t="s">
        <v>4692</v>
      </c>
      <c r="E705" s="196" t="s">
        <v>6606</v>
      </c>
      <c r="F705" s="150">
        <v>0</v>
      </c>
      <c r="G705" s="209">
        <v>0</v>
      </c>
      <c r="H705" s="209"/>
      <c r="I705" s="209">
        <v>0</v>
      </c>
      <c r="J705" s="150">
        <v>0</v>
      </c>
      <c r="K705" s="150">
        <v>0</v>
      </c>
      <c r="L705" s="150">
        <f t="shared" si="766"/>
        <v>0</v>
      </c>
      <c r="M705" s="150">
        <v>0</v>
      </c>
      <c r="N705" s="150"/>
      <c r="O705" s="150">
        <v>0</v>
      </c>
      <c r="P705" s="150">
        <v>0</v>
      </c>
      <c r="Q705" s="150"/>
      <c r="R705" s="150">
        <f>P705+Q705</f>
        <v>0</v>
      </c>
      <c r="S705" s="150">
        <f t="shared" si="748"/>
        <v>0</v>
      </c>
      <c r="T705" s="150"/>
      <c r="U705" s="150">
        <v>0</v>
      </c>
      <c r="V705" s="199"/>
      <c r="W705" s="150">
        <f>U705+V705</f>
        <v>0</v>
      </c>
      <c r="X705" s="150">
        <v>0</v>
      </c>
      <c r="Y705" s="150"/>
      <c r="Z705" s="150">
        <v>0</v>
      </c>
      <c r="AA705" s="150">
        <f t="shared" si="750"/>
        <v>0</v>
      </c>
      <c r="AB705" s="150">
        <v>0</v>
      </c>
      <c r="AC705" s="199"/>
      <c r="AD705" s="150">
        <f>AB705+AC705</f>
        <v>0</v>
      </c>
      <c r="AE705" s="150">
        <v>0</v>
      </c>
      <c r="AF705" s="169" t="s">
        <v>4680</v>
      </c>
      <c r="AG705" s="201">
        <v>0</v>
      </c>
      <c r="AH705" s="199"/>
      <c r="AI705" s="150">
        <v>0</v>
      </c>
      <c r="AJ705" s="169">
        <f t="shared" si="751"/>
        <v>0</v>
      </c>
      <c r="AK705" s="201">
        <v>0</v>
      </c>
      <c r="AL705" s="199"/>
      <c r="AM705" s="150">
        <f>AK705+AL705</f>
        <v>0</v>
      </c>
      <c r="AN705" s="153">
        <f t="shared" si="752"/>
        <v>0</v>
      </c>
      <c r="AO705" s="154">
        <f t="shared" si="753"/>
        <v>0</v>
      </c>
      <c r="AP705" s="150">
        <v>0</v>
      </c>
      <c r="AQ705" s="201">
        <v>0</v>
      </c>
      <c r="AR705" s="199"/>
      <c r="AS705" s="150">
        <f>AQ705+AR705</f>
        <v>0</v>
      </c>
      <c r="AT705" s="155" t="s">
        <v>4796</v>
      </c>
      <c r="AU705" s="156">
        <f t="shared" si="745"/>
        <v>0</v>
      </c>
      <c r="AV705" s="156">
        <f t="shared" si="746"/>
        <v>0</v>
      </c>
      <c r="AW705" s="157" t="s">
        <v>4796</v>
      </c>
      <c r="AX705" s="150">
        <v>0</v>
      </c>
      <c r="AY705" s="150">
        <v>0</v>
      </c>
      <c r="AZ705" s="150"/>
      <c r="BA705" s="150">
        <f t="shared" si="810"/>
        <v>0</v>
      </c>
      <c r="BB705" s="202">
        <v>5</v>
      </c>
      <c r="BC705" s="202" t="s">
        <v>647</v>
      </c>
      <c r="BD705" s="202" t="s">
        <v>632</v>
      </c>
      <c r="BE705" s="202" t="s">
        <v>693</v>
      </c>
      <c r="BF705" s="202" t="s">
        <v>632</v>
      </c>
      <c r="BG705" s="203" t="s">
        <v>6507</v>
      </c>
      <c r="BH705" s="216">
        <f>AS705</f>
        <v>0</v>
      </c>
      <c r="BI705" s="206" t="s">
        <v>1519</v>
      </c>
      <c r="BJ705" s="206" t="s">
        <v>6607</v>
      </c>
      <c r="BK705" s="206" t="s">
        <v>337</v>
      </c>
      <c r="BL705" s="207" t="s">
        <v>6608</v>
      </c>
      <c r="BM705" s="208">
        <f>BH705</f>
        <v>0</v>
      </c>
      <c r="BN705" s="160"/>
      <c r="BO705" s="161">
        <f t="shared" si="792"/>
        <v>0</v>
      </c>
      <c r="BP705" s="161"/>
    </row>
    <row r="706" spans="1:68" ht="51">
      <c r="A706" s="206" t="s">
        <v>338</v>
      </c>
      <c r="B706" s="195" t="s">
        <v>6609</v>
      </c>
      <c r="C706" s="196" t="s">
        <v>6610</v>
      </c>
      <c r="D706" s="146" t="s">
        <v>4692</v>
      </c>
      <c r="E706" s="196" t="s">
        <v>6610</v>
      </c>
      <c r="F706" s="150">
        <v>0</v>
      </c>
      <c r="G706" s="209">
        <v>0</v>
      </c>
      <c r="H706" s="209"/>
      <c r="I706" s="209">
        <v>0</v>
      </c>
      <c r="J706" s="150">
        <v>0</v>
      </c>
      <c r="K706" s="150">
        <v>0</v>
      </c>
      <c r="L706" s="150">
        <f t="shared" si="766"/>
        <v>0</v>
      </c>
      <c r="M706" s="150">
        <v>0</v>
      </c>
      <c r="N706" s="150"/>
      <c r="O706" s="150">
        <v>0</v>
      </c>
      <c r="P706" s="150">
        <v>0</v>
      </c>
      <c r="Q706" s="150"/>
      <c r="R706" s="150">
        <f>P706+Q706</f>
        <v>0</v>
      </c>
      <c r="S706" s="150">
        <f t="shared" si="748"/>
        <v>0</v>
      </c>
      <c r="T706" s="150"/>
      <c r="U706" s="150">
        <v>0</v>
      </c>
      <c r="V706" s="199"/>
      <c r="W706" s="150">
        <f>U706+V706</f>
        <v>0</v>
      </c>
      <c r="X706" s="150">
        <v>0</v>
      </c>
      <c r="Y706" s="150"/>
      <c r="Z706" s="150">
        <v>0</v>
      </c>
      <c r="AA706" s="150">
        <f t="shared" si="750"/>
        <v>0</v>
      </c>
      <c r="AB706" s="150">
        <v>0</v>
      </c>
      <c r="AC706" s="199"/>
      <c r="AD706" s="150">
        <f>AB706+AC706</f>
        <v>0</v>
      </c>
      <c r="AE706" s="150">
        <v>0</v>
      </c>
      <c r="AF706" s="169" t="s">
        <v>4680</v>
      </c>
      <c r="AG706" s="201">
        <v>0</v>
      </c>
      <c r="AH706" s="199"/>
      <c r="AI706" s="150">
        <v>0</v>
      </c>
      <c r="AJ706" s="169">
        <f t="shared" si="751"/>
        <v>0</v>
      </c>
      <c r="AK706" s="201">
        <v>0</v>
      </c>
      <c r="AL706" s="199"/>
      <c r="AM706" s="150">
        <f>AK706+AL706</f>
        <v>0</v>
      </c>
      <c r="AN706" s="153">
        <f t="shared" si="752"/>
        <v>0</v>
      </c>
      <c r="AO706" s="154">
        <f t="shared" si="753"/>
        <v>0</v>
      </c>
      <c r="AP706" s="150">
        <v>0</v>
      </c>
      <c r="AQ706" s="201">
        <v>0</v>
      </c>
      <c r="AR706" s="199"/>
      <c r="AS706" s="150">
        <f>AQ706+AR706</f>
        <v>0</v>
      </c>
      <c r="AT706" s="155"/>
      <c r="AU706" s="156">
        <f t="shared" ref="AU706:AU769" si="817">AM706-AD706</f>
        <v>0</v>
      </c>
      <c r="AV706" s="156">
        <f t="shared" ref="AV706:AV769" si="818">AD706-AX706</f>
        <v>0</v>
      </c>
      <c r="AW706" s="157"/>
      <c r="AX706" s="150">
        <v>0</v>
      </c>
      <c r="AY706" s="150">
        <v>0</v>
      </c>
      <c r="AZ706" s="150"/>
      <c r="BA706" s="150">
        <f t="shared" si="810"/>
        <v>0</v>
      </c>
      <c r="BB706" s="202">
        <v>5</v>
      </c>
      <c r="BC706" s="202" t="s">
        <v>647</v>
      </c>
      <c r="BD706" s="202" t="s">
        <v>632</v>
      </c>
      <c r="BE706" s="202" t="s">
        <v>693</v>
      </c>
      <c r="BF706" s="202" t="s">
        <v>647</v>
      </c>
      <c r="BG706" s="203" t="s">
        <v>6518</v>
      </c>
      <c r="BH706" s="216">
        <f>AS706</f>
        <v>0</v>
      </c>
      <c r="BI706" s="205"/>
      <c r="BJ706" s="206" t="s">
        <v>6611</v>
      </c>
      <c r="BK706" s="206" t="s">
        <v>338</v>
      </c>
      <c r="BL706" s="207" t="s">
        <v>6612</v>
      </c>
      <c r="BM706" s="208">
        <f>BH706</f>
        <v>0</v>
      </c>
      <c r="BN706" s="160"/>
      <c r="BO706" s="161">
        <f t="shared" si="792"/>
        <v>0</v>
      </c>
      <c r="BP706" s="161"/>
    </row>
    <row r="707" spans="1:68" ht="51">
      <c r="A707" s="206" t="s">
        <v>339</v>
      </c>
      <c r="B707" s="195" t="s">
        <v>6613</v>
      </c>
      <c r="C707" s="196" t="s">
        <v>6614</v>
      </c>
      <c r="D707" s="146" t="s">
        <v>4692</v>
      </c>
      <c r="E707" s="196" t="s">
        <v>6614</v>
      </c>
      <c r="F707" s="150">
        <v>0</v>
      </c>
      <c r="G707" s="209">
        <v>0</v>
      </c>
      <c r="H707" s="209"/>
      <c r="I707" s="209">
        <v>0</v>
      </c>
      <c r="J707" s="150">
        <v>0</v>
      </c>
      <c r="K707" s="150">
        <v>0</v>
      </c>
      <c r="L707" s="150">
        <f t="shared" si="766"/>
        <v>0</v>
      </c>
      <c r="M707" s="150">
        <v>0</v>
      </c>
      <c r="N707" s="150"/>
      <c r="O707" s="150">
        <v>0</v>
      </c>
      <c r="P707" s="150">
        <v>0</v>
      </c>
      <c r="Q707" s="150"/>
      <c r="R707" s="150">
        <f>P707+Q707</f>
        <v>0</v>
      </c>
      <c r="S707" s="150">
        <f t="shared" ref="S707:S770" si="819">R707/9*12</f>
        <v>0</v>
      </c>
      <c r="T707" s="150"/>
      <c r="U707" s="150">
        <v>0</v>
      </c>
      <c r="V707" s="199"/>
      <c r="W707" s="150">
        <f>U707+V707</f>
        <v>0</v>
      </c>
      <c r="X707" s="150">
        <v>0</v>
      </c>
      <c r="Y707" s="150"/>
      <c r="Z707" s="150">
        <v>0</v>
      </c>
      <c r="AA707" s="150">
        <f t="shared" ref="AA707:AA770" si="820">AD707-Z707</f>
        <v>0</v>
      </c>
      <c r="AB707" s="150">
        <v>0</v>
      </c>
      <c r="AC707" s="199"/>
      <c r="AD707" s="150">
        <f>AB707+AC707</f>
        <v>0</v>
      </c>
      <c r="AE707" s="150">
        <v>0</v>
      </c>
      <c r="AF707" s="169" t="s">
        <v>4680</v>
      </c>
      <c r="AG707" s="201">
        <v>0</v>
      </c>
      <c r="AH707" s="199"/>
      <c r="AI707" s="150">
        <v>0</v>
      </c>
      <c r="AJ707" s="169">
        <f t="shared" ref="AJ707:AJ770" si="821">AM707-AI707</f>
        <v>0</v>
      </c>
      <c r="AK707" s="201">
        <v>0</v>
      </c>
      <c r="AL707" s="199"/>
      <c r="AM707" s="150">
        <f>AK707+AL707</f>
        <v>0</v>
      </c>
      <c r="AN707" s="153">
        <f t="shared" ref="AN707:AN770" si="822">AS707-AM707</f>
        <v>0</v>
      </c>
      <c r="AO707" s="154">
        <f t="shared" ref="AO707:AO770" si="823">AS707-AP707</f>
        <v>0</v>
      </c>
      <c r="AP707" s="150">
        <v>0</v>
      </c>
      <c r="AQ707" s="201">
        <v>0</v>
      </c>
      <c r="AR707" s="199"/>
      <c r="AS707" s="150">
        <f>AQ707+AR707</f>
        <v>0</v>
      </c>
      <c r="AT707" s="155"/>
      <c r="AU707" s="156">
        <f t="shared" si="817"/>
        <v>0</v>
      </c>
      <c r="AV707" s="156">
        <f t="shared" si="818"/>
        <v>0</v>
      </c>
      <c r="AW707" s="157"/>
      <c r="AX707" s="150">
        <v>0</v>
      </c>
      <c r="AY707" s="150">
        <v>0</v>
      </c>
      <c r="AZ707" s="150"/>
      <c r="BA707" s="150">
        <f t="shared" si="810"/>
        <v>0</v>
      </c>
      <c r="BB707" s="202">
        <v>5</v>
      </c>
      <c r="BC707" s="202" t="s">
        <v>647</v>
      </c>
      <c r="BD707" s="202" t="s">
        <v>632</v>
      </c>
      <c r="BE707" s="202" t="s">
        <v>693</v>
      </c>
      <c r="BF707" s="202" t="s">
        <v>671</v>
      </c>
      <c r="BG707" s="203" t="s">
        <v>6615</v>
      </c>
      <c r="BH707" s="216">
        <f>AS707</f>
        <v>0</v>
      </c>
      <c r="BI707" s="206" t="s">
        <v>1340</v>
      </c>
      <c r="BJ707" s="206" t="s">
        <v>6616</v>
      </c>
      <c r="BK707" s="206" t="s">
        <v>339</v>
      </c>
      <c r="BL707" s="207" t="s">
        <v>6617</v>
      </c>
      <c r="BM707" s="208">
        <f>BH707</f>
        <v>0</v>
      </c>
      <c r="BN707" s="160"/>
      <c r="BO707" s="161">
        <f t="shared" si="792"/>
        <v>0</v>
      </c>
      <c r="BP707" s="161"/>
    </row>
    <row r="708" spans="1:68" ht="38.25">
      <c r="A708" s="206" t="s">
        <v>340</v>
      </c>
      <c r="B708" s="195" t="s">
        <v>6618</v>
      </c>
      <c r="C708" s="196" t="s">
        <v>6619</v>
      </c>
      <c r="D708" s="146" t="s">
        <v>4692</v>
      </c>
      <c r="E708" s="196" t="s">
        <v>6619</v>
      </c>
      <c r="F708" s="150">
        <v>0</v>
      </c>
      <c r="G708" s="209">
        <v>0</v>
      </c>
      <c r="H708" s="209"/>
      <c r="I708" s="209">
        <v>0</v>
      </c>
      <c r="J708" s="150">
        <v>0</v>
      </c>
      <c r="K708" s="150">
        <v>0</v>
      </c>
      <c r="L708" s="150">
        <f t="shared" si="766"/>
        <v>0</v>
      </c>
      <c r="M708" s="150">
        <v>0</v>
      </c>
      <c r="N708" s="150"/>
      <c r="O708" s="150">
        <v>0</v>
      </c>
      <c r="P708" s="150">
        <v>0</v>
      </c>
      <c r="Q708" s="150"/>
      <c r="R708" s="150">
        <f>P708+Q708</f>
        <v>0</v>
      </c>
      <c r="S708" s="150">
        <f t="shared" si="819"/>
        <v>0</v>
      </c>
      <c r="T708" s="150"/>
      <c r="U708" s="150">
        <v>0</v>
      </c>
      <c r="V708" s="199"/>
      <c r="W708" s="150">
        <f>U708+V708</f>
        <v>0</v>
      </c>
      <c r="X708" s="150">
        <v>0</v>
      </c>
      <c r="Y708" s="150"/>
      <c r="Z708" s="150">
        <v>0</v>
      </c>
      <c r="AA708" s="150">
        <f t="shared" si="820"/>
        <v>0</v>
      </c>
      <c r="AB708" s="150">
        <v>0</v>
      </c>
      <c r="AC708" s="199"/>
      <c r="AD708" s="150">
        <f>AB708+AC708</f>
        <v>0</v>
      </c>
      <c r="AE708" s="150">
        <v>0</v>
      </c>
      <c r="AF708" s="169" t="s">
        <v>4680</v>
      </c>
      <c r="AG708" s="201">
        <v>0</v>
      </c>
      <c r="AH708" s="199"/>
      <c r="AI708" s="150">
        <v>0</v>
      </c>
      <c r="AJ708" s="169">
        <f t="shared" si="821"/>
        <v>0</v>
      </c>
      <c r="AK708" s="201">
        <v>0</v>
      </c>
      <c r="AL708" s="199"/>
      <c r="AM708" s="150">
        <f>AK708+AL708</f>
        <v>0</v>
      </c>
      <c r="AN708" s="153">
        <f t="shared" si="822"/>
        <v>0</v>
      </c>
      <c r="AO708" s="154">
        <f t="shared" si="823"/>
        <v>0</v>
      </c>
      <c r="AP708" s="150">
        <v>0</v>
      </c>
      <c r="AQ708" s="201">
        <v>0</v>
      </c>
      <c r="AR708" s="199"/>
      <c r="AS708" s="150">
        <f>AQ708+AR708</f>
        <v>0</v>
      </c>
      <c r="AT708" s="155"/>
      <c r="AU708" s="156">
        <f t="shared" si="817"/>
        <v>0</v>
      </c>
      <c r="AV708" s="156">
        <f t="shared" si="818"/>
        <v>0</v>
      </c>
      <c r="AW708" s="157"/>
      <c r="AX708" s="150">
        <v>0</v>
      </c>
      <c r="AY708" s="150">
        <v>0</v>
      </c>
      <c r="AZ708" s="150"/>
      <c r="BA708" s="150">
        <f t="shared" si="810"/>
        <v>0</v>
      </c>
      <c r="BB708" s="202">
        <v>5</v>
      </c>
      <c r="BC708" s="202" t="s">
        <v>647</v>
      </c>
      <c r="BD708" s="202" t="s">
        <v>632</v>
      </c>
      <c r="BE708" s="202" t="s">
        <v>693</v>
      </c>
      <c r="BF708" s="202" t="s">
        <v>693</v>
      </c>
      <c r="BG708" s="203" t="s">
        <v>6620</v>
      </c>
      <c r="BH708" s="216">
        <f>AS708</f>
        <v>0</v>
      </c>
      <c r="BI708" s="205"/>
      <c r="BJ708" s="206" t="s">
        <v>6621</v>
      </c>
      <c r="BK708" s="206" t="s">
        <v>340</v>
      </c>
      <c r="BL708" s="207" t="s">
        <v>6622</v>
      </c>
      <c r="BM708" s="208">
        <f>BH708</f>
        <v>0</v>
      </c>
      <c r="BN708" s="160"/>
      <c r="BO708" s="161">
        <f t="shared" si="792"/>
        <v>0</v>
      </c>
      <c r="BP708" s="161"/>
    </row>
    <row r="709" spans="1:68" ht="38.25">
      <c r="A709" s="206" t="s">
        <v>341</v>
      </c>
      <c r="B709" s="195" t="s">
        <v>6623</v>
      </c>
      <c r="C709" s="196" t="s">
        <v>6624</v>
      </c>
      <c r="D709" s="146" t="s">
        <v>4692</v>
      </c>
      <c r="E709" s="196" t="s">
        <v>6624</v>
      </c>
      <c r="F709" s="150">
        <v>0</v>
      </c>
      <c r="G709" s="209">
        <v>0</v>
      </c>
      <c r="H709" s="209">
        <v>0</v>
      </c>
      <c r="I709" s="209">
        <v>0</v>
      </c>
      <c r="J709" s="150">
        <v>0</v>
      </c>
      <c r="K709" s="150">
        <v>0</v>
      </c>
      <c r="L709" s="150">
        <f t="shared" si="766"/>
        <v>0</v>
      </c>
      <c r="M709" s="150">
        <v>0</v>
      </c>
      <c r="N709" s="150"/>
      <c r="O709" s="150">
        <v>0</v>
      </c>
      <c r="P709" s="150">
        <v>0</v>
      </c>
      <c r="Q709" s="150"/>
      <c r="R709" s="150">
        <f>P709+Q709</f>
        <v>0</v>
      </c>
      <c r="S709" s="150">
        <f t="shared" si="819"/>
        <v>0</v>
      </c>
      <c r="T709" s="150"/>
      <c r="U709" s="150">
        <v>0</v>
      </c>
      <c r="V709" s="199"/>
      <c r="W709" s="150">
        <f>U709+V709</f>
        <v>0</v>
      </c>
      <c r="X709" s="150">
        <v>0</v>
      </c>
      <c r="Y709" s="150"/>
      <c r="Z709" s="150">
        <v>0</v>
      </c>
      <c r="AA709" s="150">
        <f t="shared" si="820"/>
        <v>0</v>
      </c>
      <c r="AB709" s="150">
        <v>0</v>
      </c>
      <c r="AC709" s="199"/>
      <c r="AD709" s="150">
        <f>AB709+AC709</f>
        <v>0</v>
      </c>
      <c r="AE709" s="150">
        <v>0</v>
      </c>
      <c r="AF709" s="169" t="s">
        <v>4680</v>
      </c>
      <c r="AG709" s="201">
        <v>0</v>
      </c>
      <c r="AH709" s="199"/>
      <c r="AI709" s="150">
        <v>0</v>
      </c>
      <c r="AJ709" s="169">
        <f t="shared" si="821"/>
        <v>0</v>
      </c>
      <c r="AK709" s="201">
        <v>0</v>
      </c>
      <c r="AL709" s="199"/>
      <c r="AM709" s="150">
        <f>AK709+AL709</f>
        <v>0</v>
      </c>
      <c r="AN709" s="153">
        <f t="shared" si="822"/>
        <v>0</v>
      </c>
      <c r="AO709" s="154">
        <f t="shared" si="823"/>
        <v>0</v>
      </c>
      <c r="AP709" s="150">
        <v>0</v>
      </c>
      <c r="AQ709" s="201">
        <v>0</v>
      </c>
      <c r="AR709" s="199"/>
      <c r="AS709" s="150">
        <f>AQ709+AR709</f>
        <v>0</v>
      </c>
      <c r="AT709" s="155"/>
      <c r="AU709" s="156">
        <f t="shared" si="817"/>
        <v>0</v>
      </c>
      <c r="AV709" s="156">
        <f t="shared" si="818"/>
        <v>0</v>
      </c>
      <c r="AW709" s="157"/>
      <c r="AX709" s="150">
        <v>0</v>
      </c>
      <c r="AY709" s="150">
        <v>0</v>
      </c>
      <c r="AZ709" s="150"/>
      <c r="BA709" s="150">
        <f t="shared" si="810"/>
        <v>0</v>
      </c>
      <c r="BB709" s="202">
        <v>5</v>
      </c>
      <c r="BC709" s="202" t="s">
        <v>647</v>
      </c>
      <c r="BD709" s="202" t="s">
        <v>632</v>
      </c>
      <c r="BE709" s="202" t="s">
        <v>693</v>
      </c>
      <c r="BF709" s="202" t="s">
        <v>714</v>
      </c>
      <c r="BG709" s="203" t="s">
        <v>6625</v>
      </c>
      <c r="BH709" s="216">
        <f>AS709</f>
        <v>0</v>
      </c>
      <c r="BI709" s="205"/>
      <c r="BJ709" s="206" t="s">
        <v>6626</v>
      </c>
      <c r="BK709" s="206" t="s">
        <v>341</v>
      </c>
      <c r="BL709" s="207" t="s">
        <v>6627</v>
      </c>
      <c r="BM709" s="208">
        <f>BH709</f>
        <v>0</v>
      </c>
      <c r="BN709" s="160"/>
      <c r="BO709" s="161">
        <f t="shared" si="792"/>
        <v>0</v>
      </c>
      <c r="BP709" s="161"/>
    </row>
    <row r="710" spans="1:68" ht="38.25">
      <c r="A710" s="192" t="s">
        <v>6628</v>
      </c>
      <c r="B710" s="184"/>
      <c r="C710" s="185" t="s">
        <v>50</v>
      </c>
      <c r="D710" s="146" t="s">
        <v>4692</v>
      </c>
      <c r="E710" s="185" t="s">
        <v>50</v>
      </c>
      <c r="F710" s="188">
        <v>0</v>
      </c>
      <c r="G710" s="187">
        <v>0</v>
      </c>
      <c r="H710" s="187"/>
      <c r="I710" s="187">
        <v>0</v>
      </c>
      <c r="J710" s="188">
        <f>SUM(J711:J714)</f>
        <v>0</v>
      </c>
      <c r="K710" s="188">
        <f>SUM(K711:K714)</f>
        <v>0</v>
      </c>
      <c r="L710" s="188">
        <f t="shared" si="766"/>
        <v>0</v>
      </c>
      <c r="M710" s="188">
        <v>0</v>
      </c>
      <c r="N710" s="188">
        <v>0</v>
      </c>
      <c r="O710" s="188">
        <v>0</v>
      </c>
      <c r="P710" s="299">
        <f t="shared" ref="P710:AD710" si="824">SUM(P711:P714)</f>
        <v>0</v>
      </c>
      <c r="Q710" s="299">
        <f t="shared" si="824"/>
        <v>0</v>
      </c>
      <c r="R710" s="299">
        <f t="shared" si="824"/>
        <v>0</v>
      </c>
      <c r="S710" s="150">
        <f t="shared" si="819"/>
        <v>0</v>
      </c>
      <c r="T710" s="213"/>
      <c r="U710" s="299">
        <f t="shared" ref="U710:W710" si="825">SUM(U711:U714)</f>
        <v>0</v>
      </c>
      <c r="V710" s="226">
        <f t="shared" si="825"/>
        <v>0</v>
      </c>
      <c r="W710" s="299">
        <f t="shared" si="825"/>
        <v>0</v>
      </c>
      <c r="X710" s="299">
        <v>0</v>
      </c>
      <c r="Y710" s="299">
        <v>0</v>
      </c>
      <c r="Z710" s="299">
        <v>0</v>
      </c>
      <c r="AA710" s="299">
        <f t="shared" si="820"/>
        <v>0</v>
      </c>
      <c r="AB710" s="299">
        <v>0</v>
      </c>
      <c r="AC710" s="226">
        <v>0</v>
      </c>
      <c r="AD710" s="299">
        <f t="shared" si="824"/>
        <v>0</v>
      </c>
      <c r="AE710" s="299">
        <v>0</v>
      </c>
      <c r="AF710" s="169" t="s">
        <v>4680</v>
      </c>
      <c r="AG710" s="301">
        <v>0</v>
      </c>
      <c r="AH710" s="226">
        <v>0</v>
      </c>
      <c r="AI710" s="299">
        <v>0</v>
      </c>
      <c r="AJ710" s="169">
        <f t="shared" si="821"/>
        <v>0</v>
      </c>
      <c r="AK710" s="301">
        <v>0</v>
      </c>
      <c r="AL710" s="226">
        <v>0</v>
      </c>
      <c r="AM710" s="299">
        <f t="shared" ref="AM710" si="826">SUM(AM711:AM714)</f>
        <v>0</v>
      </c>
      <c r="AN710" s="153">
        <f t="shared" si="822"/>
        <v>0</v>
      </c>
      <c r="AO710" s="154">
        <f t="shared" si="823"/>
        <v>0</v>
      </c>
      <c r="AP710" s="299">
        <v>0</v>
      </c>
      <c r="AQ710" s="301">
        <v>0</v>
      </c>
      <c r="AR710" s="226">
        <f t="shared" ref="AR710:AS710" si="827">SUM(AR711:AR714)</f>
        <v>0</v>
      </c>
      <c r="AS710" s="299">
        <f t="shared" si="827"/>
        <v>0</v>
      </c>
      <c r="AT710" s="155"/>
      <c r="AU710" s="156">
        <f t="shared" si="817"/>
        <v>0</v>
      </c>
      <c r="AV710" s="156">
        <f t="shared" si="818"/>
        <v>0</v>
      </c>
      <c r="AW710" s="157"/>
      <c r="AX710" s="150">
        <v>0</v>
      </c>
      <c r="AY710" s="299">
        <f t="shared" ref="AY710:BA710" si="828">SUM(AY711:AY714)</f>
        <v>0</v>
      </c>
      <c r="AZ710" s="299">
        <f t="shared" si="828"/>
        <v>0</v>
      </c>
      <c r="BA710" s="299">
        <f t="shared" si="828"/>
        <v>0</v>
      </c>
      <c r="BB710" s="192">
        <v>5</v>
      </c>
      <c r="BC710" s="256" t="s">
        <v>647</v>
      </c>
      <c r="BD710" s="256" t="s">
        <v>632</v>
      </c>
      <c r="BE710" s="256" t="s">
        <v>714</v>
      </c>
      <c r="BF710" s="256" t="s">
        <v>630</v>
      </c>
      <c r="BG710" s="185" t="s">
        <v>50</v>
      </c>
      <c r="BH710" s="302">
        <f>SUM(BH711:BH714)</f>
        <v>0</v>
      </c>
      <c r="BI710" s="192"/>
      <c r="BJ710" s="256" t="s">
        <v>6629</v>
      </c>
      <c r="BK710" s="192" t="s">
        <v>6628</v>
      </c>
      <c r="BL710" s="185" t="s">
        <v>6630</v>
      </c>
      <c r="BM710" s="302">
        <f>SUM(BM711:BM714)</f>
        <v>0</v>
      </c>
      <c r="BN710" s="160"/>
      <c r="BO710" s="161">
        <f t="shared" si="792"/>
        <v>0</v>
      </c>
      <c r="BP710" s="161"/>
    </row>
    <row r="711" spans="1:68" ht="51">
      <c r="A711" s="261" t="s">
        <v>342</v>
      </c>
      <c r="B711" s="228" t="s">
        <v>6631</v>
      </c>
      <c r="C711" s="229" t="s">
        <v>6632</v>
      </c>
      <c r="D711" s="146" t="s">
        <v>4692</v>
      </c>
      <c r="E711" s="196" t="s">
        <v>6632</v>
      </c>
      <c r="F711" s="150">
        <v>0</v>
      </c>
      <c r="G711" s="209">
        <v>0</v>
      </c>
      <c r="H711" s="209"/>
      <c r="I711" s="209">
        <v>0</v>
      </c>
      <c r="J711" s="150">
        <v>0</v>
      </c>
      <c r="K711" s="150">
        <v>0</v>
      </c>
      <c r="L711" s="150">
        <f t="shared" si="766"/>
        <v>0</v>
      </c>
      <c r="M711" s="150">
        <v>0</v>
      </c>
      <c r="N711" s="150"/>
      <c r="O711" s="150">
        <v>0</v>
      </c>
      <c r="P711" s="150">
        <v>0</v>
      </c>
      <c r="Q711" s="150"/>
      <c r="R711" s="150">
        <f>P711+Q711</f>
        <v>0</v>
      </c>
      <c r="S711" s="150">
        <f t="shared" si="819"/>
        <v>0</v>
      </c>
      <c r="T711" s="150"/>
      <c r="U711" s="150">
        <v>0</v>
      </c>
      <c r="V711" s="199"/>
      <c r="W711" s="150">
        <f>U711+V711</f>
        <v>0</v>
      </c>
      <c r="X711" s="150">
        <v>0</v>
      </c>
      <c r="Y711" s="150"/>
      <c r="Z711" s="150">
        <v>0</v>
      </c>
      <c r="AA711" s="150">
        <f t="shared" si="820"/>
        <v>0</v>
      </c>
      <c r="AB711" s="150">
        <v>0</v>
      </c>
      <c r="AC711" s="199"/>
      <c r="AD711" s="150">
        <f>AB711+AC711</f>
        <v>0</v>
      </c>
      <c r="AE711" s="150">
        <v>0</v>
      </c>
      <c r="AF711" s="169" t="s">
        <v>4680</v>
      </c>
      <c r="AG711" s="201">
        <v>0</v>
      </c>
      <c r="AH711" s="199"/>
      <c r="AI711" s="150">
        <v>0</v>
      </c>
      <c r="AJ711" s="169">
        <f t="shared" si="821"/>
        <v>0</v>
      </c>
      <c r="AK711" s="201">
        <v>0</v>
      </c>
      <c r="AL711" s="199"/>
      <c r="AM711" s="150">
        <f>AK711+AL711</f>
        <v>0</v>
      </c>
      <c r="AN711" s="153">
        <f t="shared" si="822"/>
        <v>0</v>
      </c>
      <c r="AO711" s="154">
        <f t="shared" si="823"/>
        <v>0</v>
      </c>
      <c r="AP711" s="150">
        <v>0</v>
      </c>
      <c r="AQ711" s="201">
        <v>0</v>
      </c>
      <c r="AR711" s="199"/>
      <c r="AS711" s="150">
        <f>AQ711+AR711</f>
        <v>0</v>
      </c>
      <c r="AT711" s="155" t="s">
        <v>4796</v>
      </c>
      <c r="AU711" s="156">
        <f t="shared" si="817"/>
        <v>0</v>
      </c>
      <c r="AV711" s="156">
        <f t="shared" si="818"/>
        <v>0</v>
      </c>
      <c r="AW711" s="157" t="s">
        <v>4796</v>
      </c>
      <c r="AX711" s="150">
        <v>0</v>
      </c>
      <c r="AY711" s="150">
        <v>0</v>
      </c>
      <c r="AZ711" s="150"/>
      <c r="BA711" s="150">
        <f t="shared" si="810"/>
        <v>0</v>
      </c>
      <c r="BB711" s="202">
        <v>5</v>
      </c>
      <c r="BC711" s="202" t="s">
        <v>647</v>
      </c>
      <c r="BD711" s="202" t="s">
        <v>632</v>
      </c>
      <c r="BE711" s="202" t="s">
        <v>714</v>
      </c>
      <c r="BF711" s="202" t="s">
        <v>632</v>
      </c>
      <c r="BG711" s="203" t="s">
        <v>6507</v>
      </c>
      <c r="BH711" s="216">
        <f>AS711</f>
        <v>0</v>
      </c>
      <c r="BI711" s="206" t="s">
        <v>1519</v>
      </c>
      <c r="BJ711" s="206" t="s">
        <v>6633</v>
      </c>
      <c r="BK711" s="206" t="s">
        <v>342</v>
      </c>
      <c r="BL711" s="207" t="s">
        <v>6634</v>
      </c>
      <c r="BM711" s="208">
        <f>BH711</f>
        <v>0</v>
      </c>
      <c r="BN711" s="160"/>
      <c r="BO711" s="161">
        <f t="shared" si="792"/>
        <v>0</v>
      </c>
      <c r="BP711" s="161"/>
    </row>
    <row r="712" spans="1:68" ht="38.25">
      <c r="A712" s="206" t="s">
        <v>343</v>
      </c>
      <c r="B712" s="195" t="s">
        <v>6635</v>
      </c>
      <c r="C712" s="196" t="s">
        <v>6636</v>
      </c>
      <c r="D712" s="146" t="s">
        <v>4692</v>
      </c>
      <c r="E712" s="196" t="s">
        <v>6636</v>
      </c>
      <c r="F712" s="150">
        <v>0</v>
      </c>
      <c r="G712" s="209">
        <v>0</v>
      </c>
      <c r="H712" s="209"/>
      <c r="I712" s="209">
        <v>0</v>
      </c>
      <c r="J712" s="150">
        <v>0</v>
      </c>
      <c r="K712" s="150">
        <v>0</v>
      </c>
      <c r="L712" s="150">
        <f t="shared" si="766"/>
        <v>0</v>
      </c>
      <c r="M712" s="150">
        <v>0</v>
      </c>
      <c r="N712" s="150"/>
      <c r="O712" s="150">
        <v>0</v>
      </c>
      <c r="P712" s="150">
        <v>0</v>
      </c>
      <c r="Q712" s="150"/>
      <c r="R712" s="150">
        <f>P712+Q712</f>
        <v>0</v>
      </c>
      <c r="S712" s="150">
        <f t="shared" si="819"/>
        <v>0</v>
      </c>
      <c r="T712" s="150"/>
      <c r="U712" s="150">
        <v>0</v>
      </c>
      <c r="V712" s="199"/>
      <c r="W712" s="150">
        <f>U712+V712</f>
        <v>0</v>
      </c>
      <c r="X712" s="150">
        <v>0</v>
      </c>
      <c r="Y712" s="150"/>
      <c r="Z712" s="150">
        <v>0</v>
      </c>
      <c r="AA712" s="150">
        <f t="shared" si="820"/>
        <v>0</v>
      </c>
      <c r="AB712" s="150">
        <v>0</v>
      </c>
      <c r="AC712" s="199"/>
      <c r="AD712" s="150">
        <f>AB712+AC712</f>
        <v>0</v>
      </c>
      <c r="AE712" s="150">
        <v>0</v>
      </c>
      <c r="AF712" s="169" t="s">
        <v>4680</v>
      </c>
      <c r="AG712" s="201">
        <v>0</v>
      </c>
      <c r="AH712" s="199"/>
      <c r="AI712" s="150">
        <v>0</v>
      </c>
      <c r="AJ712" s="169">
        <f t="shared" si="821"/>
        <v>0</v>
      </c>
      <c r="AK712" s="201">
        <v>0</v>
      </c>
      <c r="AL712" s="199"/>
      <c r="AM712" s="150">
        <f>AK712+AL712</f>
        <v>0</v>
      </c>
      <c r="AN712" s="153">
        <f t="shared" si="822"/>
        <v>0</v>
      </c>
      <c r="AO712" s="154">
        <f t="shared" si="823"/>
        <v>0</v>
      </c>
      <c r="AP712" s="150">
        <v>0</v>
      </c>
      <c r="AQ712" s="201">
        <v>0</v>
      </c>
      <c r="AR712" s="199"/>
      <c r="AS712" s="150">
        <f>AQ712+AR712</f>
        <v>0</v>
      </c>
      <c r="AT712" s="155"/>
      <c r="AU712" s="156">
        <f t="shared" si="817"/>
        <v>0</v>
      </c>
      <c r="AV712" s="156">
        <f t="shared" si="818"/>
        <v>0</v>
      </c>
      <c r="AW712" s="157"/>
      <c r="AX712" s="150">
        <v>0</v>
      </c>
      <c r="AY712" s="150">
        <v>0</v>
      </c>
      <c r="AZ712" s="150"/>
      <c r="BA712" s="150">
        <f t="shared" si="810"/>
        <v>0</v>
      </c>
      <c r="BB712" s="202">
        <v>5</v>
      </c>
      <c r="BC712" s="202" t="s">
        <v>647</v>
      </c>
      <c r="BD712" s="202" t="s">
        <v>632</v>
      </c>
      <c r="BE712" s="202" t="s">
        <v>714</v>
      </c>
      <c r="BF712" s="202" t="s">
        <v>647</v>
      </c>
      <c r="BG712" s="203" t="s">
        <v>6518</v>
      </c>
      <c r="BH712" s="216">
        <f>AS712</f>
        <v>0</v>
      </c>
      <c r="BI712" s="205"/>
      <c r="BJ712" s="206" t="s">
        <v>6637</v>
      </c>
      <c r="BK712" s="206" t="s">
        <v>343</v>
      </c>
      <c r="BL712" s="207" t="s">
        <v>6638</v>
      </c>
      <c r="BM712" s="208">
        <f>BH712</f>
        <v>0</v>
      </c>
      <c r="BN712" s="160"/>
      <c r="BO712" s="161">
        <f t="shared" si="792"/>
        <v>0</v>
      </c>
      <c r="BP712" s="161"/>
    </row>
    <row r="713" spans="1:68" ht="38.25">
      <c r="A713" s="206" t="s">
        <v>344</v>
      </c>
      <c r="B713" s="195" t="s">
        <v>6639</v>
      </c>
      <c r="C713" s="196" t="s">
        <v>6640</v>
      </c>
      <c r="D713" s="146" t="s">
        <v>4692</v>
      </c>
      <c r="E713" s="196" t="s">
        <v>6640</v>
      </c>
      <c r="F713" s="150">
        <v>0</v>
      </c>
      <c r="G713" s="209">
        <v>0</v>
      </c>
      <c r="H713" s="209"/>
      <c r="I713" s="209">
        <v>0</v>
      </c>
      <c r="J713" s="150">
        <v>0</v>
      </c>
      <c r="K713" s="150">
        <v>0</v>
      </c>
      <c r="L713" s="150">
        <f t="shared" ref="L713:L776" si="829">J713+K713</f>
        <v>0</v>
      </c>
      <c r="M713" s="150">
        <v>0</v>
      </c>
      <c r="N713" s="150"/>
      <c r="O713" s="150">
        <v>0</v>
      </c>
      <c r="P713" s="150">
        <v>0</v>
      </c>
      <c r="Q713" s="150"/>
      <c r="R713" s="150">
        <f>P713+Q713</f>
        <v>0</v>
      </c>
      <c r="S713" s="150">
        <f t="shared" si="819"/>
        <v>0</v>
      </c>
      <c r="T713" s="150"/>
      <c r="U713" s="150">
        <v>0</v>
      </c>
      <c r="V713" s="199"/>
      <c r="W713" s="150">
        <f>U713+V713</f>
        <v>0</v>
      </c>
      <c r="X713" s="150">
        <v>0</v>
      </c>
      <c r="Y713" s="150"/>
      <c r="Z713" s="150">
        <v>0</v>
      </c>
      <c r="AA713" s="150">
        <f t="shared" si="820"/>
        <v>0</v>
      </c>
      <c r="AB713" s="150">
        <v>0</v>
      </c>
      <c r="AC713" s="199"/>
      <c r="AD713" s="150">
        <f>AB713+AC713</f>
        <v>0</v>
      </c>
      <c r="AE713" s="150">
        <v>0</v>
      </c>
      <c r="AF713" s="169" t="s">
        <v>4680</v>
      </c>
      <c r="AG713" s="201">
        <v>0</v>
      </c>
      <c r="AH713" s="199"/>
      <c r="AI713" s="150">
        <v>0</v>
      </c>
      <c r="AJ713" s="169">
        <f t="shared" si="821"/>
        <v>0</v>
      </c>
      <c r="AK713" s="201">
        <v>0</v>
      </c>
      <c r="AL713" s="199"/>
      <c r="AM713" s="150">
        <f>AK713+AL713</f>
        <v>0</v>
      </c>
      <c r="AN713" s="153">
        <f t="shared" si="822"/>
        <v>0</v>
      </c>
      <c r="AO713" s="154">
        <f t="shared" si="823"/>
        <v>0</v>
      </c>
      <c r="AP713" s="150">
        <v>0</v>
      </c>
      <c r="AQ713" s="201">
        <v>0</v>
      </c>
      <c r="AR713" s="199"/>
      <c r="AS713" s="150">
        <f>AQ713+AR713</f>
        <v>0</v>
      </c>
      <c r="AT713" s="155"/>
      <c r="AU713" s="156">
        <f t="shared" si="817"/>
        <v>0</v>
      </c>
      <c r="AV713" s="156">
        <f t="shared" si="818"/>
        <v>0</v>
      </c>
      <c r="AW713" s="157"/>
      <c r="AX713" s="150">
        <v>0</v>
      </c>
      <c r="AY713" s="150">
        <v>0</v>
      </c>
      <c r="AZ713" s="150"/>
      <c r="BA713" s="150">
        <f t="shared" si="810"/>
        <v>0</v>
      </c>
      <c r="BB713" s="202">
        <v>5</v>
      </c>
      <c r="BC713" s="202" t="s">
        <v>647</v>
      </c>
      <c r="BD713" s="202" t="s">
        <v>632</v>
      </c>
      <c r="BE713" s="202" t="s">
        <v>714</v>
      </c>
      <c r="BF713" s="202" t="s">
        <v>671</v>
      </c>
      <c r="BG713" s="203" t="s">
        <v>6499</v>
      </c>
      <c r="BH713" s="216">
        <f>AS713</f>
        <v>0</v>
      </c>
      <c r="BI713" s="206" t="s">
        <v>1349</v>
      </c>
      <c r="BJ713" s="206" t="s">
        <v>6641</v>
      </c>
      <c r="BK713" s="206" t="s">
        <v>344</v>
      </c>
      <c r="BL713" s="207" t="s">
        <v>6642</v>
      </c>
      <c r="BM713" s="208">
        <f>BH713</f>
        <v>0</v>
      </c>
      <c r="BN713" s="160"/>
      <c r="BO713" s="161">
        <f t="shared" si="792"/>
        <v>0</v>
      </c>
      <c r="BP713" s="161"/>
    </row>
    <row r="714" spans="1:68" ht="25.5">
      <c r="A714" s="206" t="s">
        <v>345</v>
      </c>
      <c r="B714" s="195" t="s">
        <v>6643</v>
      </c>
      <c r="C714" s="196" t="s">
        <v>6644</v>
      </c>
      <c r="D714" s="146" t="s">
        <v>4692</v>
      </c>
      <c r="E714" s="196" t="s">
        <v>6644</v>
      </c>
      <c r="F714" s="150">
        <v>0</v>
      </c>
      <c r="G714" s="209">
        <v>0</v>
      </c>
      <c r="H714" s="209">
        <v>0</v>
      </c>
      <c r="I714" s="209">
        <v>0</v>
      </c>
      <c r="J714" s="150">
        <v>0</v>
      </c>
      <c r="K714" s="150">
        <v>0</v>
      </c>
      <c r="L714" s="150">
        <f t="shared" si="829"/>
        <v>0</v>
      </c>
      <c r="M714" s="150">
        <v>0</v>
      </c>
      <c r="N714" s="150"/>
      <c r="O714" s="150">
        <v>0</v>
      </c>
      <c r="P714" s="150">
        <v>0</v>
      </c>
      <c r="Q714" s="150"/>
      <c r="R714" s="150">
        <f>P714+Q714</f>
        <v>0</v>
      </c>
      <c r="S714" s="150">
        <f t="shared" si="819"/>
        <v>0</v>
      </c>
      <c r="T714" s="150"/>
      <c r="U714" s="150">
        <v>0</v>
      </c>
      <c r="V714" s="199"/>
      <c r="W714" s="150">
        <f>U714+V714</f>
        <v>0</v>
      </c>
      <c r="X714" s="150">
        <v>0</v>
      </c>
      <c r="Y714" s="150"/>
      <c r="Z714" s="150">
        <v>0</v>
      </c>
      <c r="AA714" s="150">
        <f t="shared" si="820"/>
        <v>0</v>
      </c>
      <c r="AB714" s="150">
        <v>0</v>
      </c>
      <c r="AC714" s="199"/>
      <c r="AD714" s="150">
        <f>AB714+AC714</f>
        <v>0</v>
      </c>
      <c r="AE714" s="150">
        <v>0</v>
      </c>
      <c r="AF714" s="169" t="s">
        <v>4680</v>
      </c>
      <c r="AG714" s="201">
        <v>0</v>
      </c>
      <c r="AH714" s="199"/>
      <c r="AI714" s="150">
        <v>0</v>
      </c>
      <c r="AJ714" s="169">
        <f t="shared" si="821"/>
        <v>0</v>
      </c>
      <c r="AK714" s="201">
        <v>0</v>
      </c>
      <c r="AL714" s="199"/>
      <c r="AM714" s="150">
        <f>AK714+AL714</f>
        <v>0</v>
      </c>
      <c r="AN714" s="153">
        <f t="shared" si="822"/>
        <v>0</v>
      </c>
      <c r="AO714" s="154">
        <f t="shared" si="823"/>
        <v>0</v>
      </c>
      <c r="AP714" s="150">
        <v>0</v>
      </c>
      <c r="AQ714" s="201">
        <v>0</v>
      </c>
      <c r="AR714" s="199"/>
      <c r="AS714" s="150">
        <f>AQ714+AR714</f>
        <v>0</v>
      </c>
      <c r="AT714" s="155"/>
      <c r="AU714" s="156">
        <f t="shared" si="817"/>
        <v>0</v>
      </c>
      <c r="AV714" s="156">
        <f t="shared" si="818"/>
        <v>0</v>
      </c>
      <c r="AW714" s="157"/>
      <c r="AX714" s="150">
        <v>0</v>
      </c>
      <c r="AY714" s="150">
        <v>0</v>
      </c>
      <c r="AZ714" s="150"/>
      <c r="BA714" s="150">
        <f t="shared" si="810"/>
        <v>0</v>
      </c>
      <c r="BB714" s="202">
        <v>5</v>
      </c>
      <c r="BC714" s="202" t="s">
        <v>647</v>
      </c>
      <c r="BD714" s="202" t="s">
        <v>632</v>
      </c>
      <c r="BE714" s="202" t="s">
        <v>714</v>
      </c>
      <c r="BF714" s="202" t="s">
        <v>693</v>
      </c>
      <c r="BG714" s="203" t="s">
        <v>6645</v>
      </c>
      <c r="BH714" s="216">
        <f>AS714</f>
        <v>0</v>
      </c>
      <c r="BI714" s="205"/>
      <c r="BJ714" s="206" t="s">
        <v>6646</v>
      </c>
      <c r="BK714" s="206" t="s">
        <v>345</v>
      </c>
      <c r="BL714" s="207" t="s">
        <v>6647</v>
      </c>
      <c r="BM714" s="208">
        <f>BH714</f>
        <v>0</v>
      </c>
      <c r="BN714" s="160"/>
      <c r="BO714" s="161">
        <f t="shared" si="792"/>
        <v>0</v>
      </c>
      <c r="BP714" s="161"/>
    </row>
    <row r="715" spans="1:68" ht="38.25">
      <c r="A715" s="192" t="s">
        <v>6648</v>
      </c>
      <c r="B715" s="184"/>
      <c r="C715" s="185" t="s">
        <v>51</v>
      </c>
      <c r="D715" s="146" t="s">
        <v>4692</v>
      </c>
      <c r="E715" s="185" t="s">
        <v>51</v>
      </c>
      <c r="F715" s="188">
        <v>0</v>
      </c>
      <c r="G715" s="187">
        <v>0</v>
      </c>
      <c r="H715" s="187"/>
      <c r="I715" s="187">
        <v>0</v>
      </c>
      <c r="J715" s="188">
        <f>SUM(J716:J719)</f>
        <v>0</v>
      </c>
      <c r="K715" s="188">
        <f>SUM(K716:K719)</f>
        <v>0</v>
      </c>
      <c r="L715" s="188">
        <f t="shared" si="829"/>
        <v>0</v>
      </c>
      <c r="M715" s="188">
        <v>0</v>
      </c>
      <c r="N715" s="188">
        <v>0</v>
      </c>
      <c r="O715" s="188">
        <v>0</v>
      </c>
      <c r="P715" s="299">
        <f t="shared" ref="P715:AD715" si="830">SUM(P716:P719)</f>
        <v>0</v>
      </c>
      <c r="Q715" s="299">
        <f t="shared" si="830"/>
        <v>0</v>
      </c>
      <c r="R715" s="299">
        <f t="shared" si="830"/>
        <v>0</v>
      </c>
      <c r="S715" s="150">
        <f t="shared" si="819"/>
        <v>0</v>
      </c>
      <c r="T715" s="213"/>
      <c r="U715" s="299">
        <f t="shared" ref="U715:W715" si="831">SUM(U716:U719)</f>
        <v>0</v>
      </c>
      <c r="V715" s="226">
        <f t="shared" si="831"/>
        <v>0</v>
      </c>
      <c r="W715" s="299">
        <f t="shared" si="831"/>
        <v>0</v>
      </c>
      <c r="X715" s="299">
        <v>0</v>
      </c>
      <c r="Y715" s="299">
        <v>0</v>
      </c>
      <c r="Z715" s="299">
        <v>0</v>
      </c>
      <c r="AA715" s="299">
        <f t="shared" si="820"/>
        <v>0</v>
      </c>
      <c r="AB715" s="299">
        <v>0</v>
      </c>
      <c r="AC715" s="226">
        <v>0</v>
      </c>
      <c r="AD715" s="299">
        <f t="shared" si="830"/>
        <v>0</v>
      </c>
      <c r="AE715" s="299">
        <v>0</v>
      </c>
      <c r="AF715" s="169" t="s">
        <v>4680</v>
      </c>
      <c r="AG715" s="301">
        <v>0</v>
      </c>
      <c r="AH715" s="226">
        <v>0</v>
      </c>
      <c r="AI715" s="299">
        <v>0</v>
      </c>
      <c r="AJ715" s="169">
        <f t="shared" si="821"/>
        <v>0</v>
      </c>
      <c r="AK715" s="301">
        <v>0</v>
      </c>
      <c r="AL715" s="226">
        <v>0</v>
      </c>
      <c r="AM715" s="299">
        <f t="shared" ref="AM715" si="832">SUM(AM716:AM719)</f>
        <v>0</v>
      </c>
      <c r="AN715" s="153">
        <f t="shared" si="822"/>
        <v>0</v>
      </c>
      <c r="AO715" s="154">
        <f t="shared" si="823"/>
        <v>0</v>
      </c>
      <c r="AP715" s="299">
        <v>0</v>
      </c>
      <c r="AQ715" s="301">
        <v>0</v>
      </c>
      <c r="AR715" s="226">
        <f t="shared" ref="AR715:AS715" si="833">SUM(AR716:AR719)</f>
        <v>0</v>
      </c>
      <c r="AS715" s="299">
        <f t="shared" si="833"/>
        <v>0</v>
      </c>
      <c r="AT715" s="155"/>
      <c r="AU715" s="156">
        <f t="shared" si="817"/>
        <v>0</v>
      </c>
      <c r="AV715" s="156">
        <f t="shared" si="818"/>
        <v>0</v>
      </c>
      <c r="AW715" s="157"/>
      <c r="AX715" s="150">
        <v>0</v>
      </c>
      <c r="AY715" s="299">
        <f t="shared" ref="AY715:BA715" si="834">SUM(AY716:AY719)</f>
        <v>0</v>
      </c>
      <c r="AZ715" s="299">
        <f t="shared" si="834"/>
        <v>0</v>
      </c>
      <c r="BA715" s="299">
        <f t="shared" si="834"/>
        <v>0</v>
      </c>
      <c r="BB715" s="192">
        <v>5</v>
      </c>
      <c r="BC715" s="256" t="s">
        <v>647</v>
      </c>
      <c r="BD715" s="256" t="s">
        <v>632</v>
      </c>
      <c r="BE715" s="256" t="s">
        <v>739</v>
      </c>
      <c r="BF715" s="256" t="s">
        <v>630</v>
      </c>
      <c r="BG715" s="185" t="s">
        <v>51</v>
      </c>
      <c r="BH715" s="302">
        <f>SUM(BH716:BH719)</f>
        <v>0</v>
      </c>
      <c r="BI715" s="192"/>
      <c r="BJ715" s="256" t="s">
        <v>6649</v>
      </c>
      <c r="BK715" s="192" t="s">
        <v>6648</v>
      </c>
      <c r="BL715" s="185" t="s">
        <v>6650</v>
      </c>
      <c r="BM715" s="305"/>
      <c r="BN715" s="160"/>
      <c r="BO715" s="161">
        <f t="shared" si="792"/>
        <v>0</v>
      </c>
      <c r="BP715" s="161"/>
    </row>
    <row r="716" spans="1:68" ht="51">
      <c r="A716" s="261" t="s">
        <v>346</v>
      </c>
      <c r="B716" s="228" t="s">
        <v>6651</v>
      </c>
      <c r="C716" s="229" t="s">
        <v>6652</v>
      </c>
      <c r="D716" s="146" t="s">
        <v>4692</v>
      </c>
      <c r="E716" s="196" t="s">
        <v>6652</v>
      </c>
      <c r="F716" s="150">
        <v>0</v>
      </c>
      <c r="G716" s="209">
        <v>0</v>
      </c>
      <c r="H716" s="209"/>
      <c r="I716" s="209">
        <v>0</v>
      </c>
      <c r="J716" s="150">
        <v>0</v>
      </c>
      <c r="K716" s="150">
        <v>0</v>
      </c>
      <c r="L716" s="150">
        <f t="shared" si="829"/>
        <v>0</v>
      </c>
      <c r="M716" s="150">
        <v>0</v>
      </c>
      <c r="N716" s="150"/>
      <c r="O716" s="150">
        <v>0</v>
      </c>
      <c r="P716" s="150">
        <v>0</v>
      </c>
      <c r="Q716" s="150"/>
      <c r="R716" s="150">
        <f>P716+Q716</f>
        <v>0</v>
      </c>
      <c r="S716" s="150">
        <f t="shared" si="819"/>
        <v>0</v>
      </c>
      <c r="T716" s="150"/>
      <c r="U716" s="150">
        <v>0</v>
      </c>
      <c r="V716" s="199"/>
      <c r="W716" s="150">
        <f>U716+V716</f>
        <v>0</v>
      </c>
      <c r="X716" s="150">
        <v>0</v>
      </c>
      <c r="Y716" s="150"/>
      <c r="Z716" s="150">
        <v>0</v>
      </c>
      <c r="AA716" s="150">
        <f t="shared" si="820"/>
        <v>0</v>
      </c>
      <c r="AB716" s="150">
        <v>0</v>
      </c>
      <c r="AC716" s="199"/>
      <c r="AD716" s="150">
        <f>AB716+AC716</f>
        <v>0</v>
      </c>
      <c r="AE716" s="150">
        <v>0</v>
      </c>
      <c r="AF716" s="169" t="s">
        <v>4680</v>
      </c>
      <c r="AG716" s="201">
        <v>0</v>
      </c>
      <c r="AH716" s="199"/>
      <c r="AI716" s="150">
        <v>0</v>
      </c>
      <c r="AJ716" s="169">
        <f t="shared" si="821"/>
        <v>0</v>
      </c>
      <c r="AK716" s="201">
        <v>0</v>
      </c>
      <c r="AL716" s="199"/>
      <c r="AM716" s="150">
        <f>AK716+AL716</f>
        <v>0</v>
      </c>
      <c r="AN716" s="153">
        <f t="shared" si="822"/>
        <v>0</v>
      </c>
      <c r="AO716" s="154">
        <f t="shared" si="823"/>
        <v>0</v>
      </c>
      <c r="AP716" s="150">
        <v>0</v>
      </c>
      <c r="AQ716" s="201">
        <v>0</v>
      </c>
      <c r="AR716" s="199"/>
      <c r="AS716" s="150">
        <f>AQ716+AR716</f>
        <v>0</v>
      </c>
      <c r="AT716" s="155" t="s">
        <v>4796</v>
      </c>
      <c r="AU716" s="156">
        <f t="shared" si="817"/>
        <v>0</v>
      </c>
      <c r="AV716" s="156">
        <f t="shared" si="818"/>
        <v>0</v>
      </c>
      <c r="AW716" s="157" t="s">
        <v>4796</v>
      </c>
      <c r="AX716" s="150">
        <v>0</v>
      </c>
      <c r="AY716" s="150">
        <v>0</v>
      </c>
      <c r="AZ716" s="150"/>
      <c r="BA716" s="150">
        <f t="shared" si="810"/>
        <v>0</v>
      </c>
      <c r="BB716" s="202">
        <v>5</v>
      </c>
      <c r="BC716" s="202" t="s">
        <v>647</v>
      </c>
      <c r="BD716" s="202" t="s">
        <v>632</v>
      </c>
      <c r="BE716" s="202" t="s">
        <v>739</v>
      </c>
      <c r="BF716" s="202" t="s">
        <v>632</v>
      </c>
      <c r="BG716" s="203" t="s">
        <v>6507</v>
      </c>
      <c r="BH716" s="216">
        <f>AS716</f>
        <v>0</v>
      </c>
      <c r="BI716" s="206" t="s">
        <v>1519</v>
      </c>
      <c r="BJ716" s="206" t="s">
        <v>6653</v>
      </c>
      <c r="BK716" s="206" t="s">
        <v>346</v>
      </c>
      <c r="BL716" s="207" t="s">
        <v>6654</v>
      </c>
      <c r="BM716" s="208">
        <f>BH716</f>
        <v>0</v>
      </c>
      <c r="BN716" s="160"/>
      <c r="BO716" s="161">
        <f t="shared" si="792"/>
        <v>0</v>
      </c>
      <c r="BP716" s="161"/>
    </row>
    <row r="717" spans="1:68" ht="51">
      <c r="A717" s="206" t="s">
        <v>347</v>
      </c>
      <c r="B717" s="195" t="s">
        <v>6655</v>
      </c>
      <c r="C717" s="196" t="s">
        <v>6656</v>
      </c>
      <c r="D717" s="146" t="s">
        <v>4692</v>
      </c>
      <c r="E717" s="196" t="s">
        <v>6656</v>
      </c>
      <c r="F717" s="150">
        <v>0</v>
      </c>
      <c r="G717" s="209">
        <v>0</v>
      </c>
      <c r="H717" s="209"/>
      <c r="I717" s="209">
        <v>0</v>
      </c>
      <c r="J717" s="150">
        <v>0</v>
      </c>
      <c r="K717" s="150">
        <v>0</v>
      </c>
      <c r="L717" s="150">
        <f t="shared" si="829"/>
        <v>0</v>
      </c>
      <c r="M717" s="150">
        <v>0</v>
      </c>
      <c r="N717" s="150"/>
      <c r="O717" s="150">
        <v>0</v>
      </c>
      <c r="P717" s="150">
        <v>0</v>
      </c>
      <c r="Q717" s="150"/>
      <c r="R717" s="150">
        <f>P717+Q717</f>
        <v>0</v>
      </c>
      <c r="S717" s="150">
        <f t="shared" si="819"/>
        <v>0</v>
      </c>
      <c r="T717" s="150"/>
      <c r="U717" s="150">
        <v>0</v>
      </c>
      <c r="V717" s="199"/>
      <c r="W717" s="150">
        <f>U717+V717</f>
        <v>0</v>
      </c>
      <c r="X717" s="150">
        <v>0</v>
      </c>
      <c r="Y717" s="150"/>
      <c r="Z717" s="150">
        <v>0</v>
      </c>
      <c r="AA717" s="150">
        <f t="shared" si="820"/>
        <v>0</v>
      </c>
      <c r="AB717" s="150">
        <v>0</v>
      </c>
      <c r="AC717" s="199"/>
      <c r="AD717" s="150">
        <f>AB717+AC717</f>
        <v>0</v>
      </c>
      <c r="AE717" s="150">
        <v>0</v>
      </c>
      <c r="AF717" s="169" t="s">
        <v>4680</v>
      </c>
      <c r="AG717" s="201">
        <v>0</v>
      </c>
      <c r="AH717" s="199"/>
      <c r="AI717" s="150">
        <v>0</v>
      </c>
      <c r="AJ717" s="169">
        <f t="shared" si="821"/>
        <v>0</v>
      </c>
      <c r="AK717" s="201">
        <v>0</v>
      </c>
      <c r="AL717" s="199"/>
      <c r="AM717" s="150">
        <f>AK717+AL717</f>
        <v>0</v>
      </c>
      <c r="AN717" s="153">
        <f t="shared" si="822"/>
        <v>0</v>
      </c>
      <c r="AO717" s="154">
        <f t="shared" si="823"/>
        <v>0</v>
      </c>
      <c r="AP717" s="150">
        <v>0</v>
      </c>
      <c r="AQ717" s="201">
        <v>0</v>
      </c>
      <c r="AR717" s="199"/>
      <c r="AS717" s="150">
        <f>AQ717+AR717</f>
        <v>0</v>
      </c>
      <c r="AT717" s="155"/>
      <c r="AU717" s="156">
        <f t="shared" si="817"/>
        <v>0</v>
      </c>
      <c r="AV717" s="156">
        <f t="shared" si="818"/>
        <v>0</v>
      </c>
      <c r="AW717" s="157"/>
      <c r="AX717" s="150">
        <v>0</v>
      </c>
      <c r="AY717" s="150">
        <v>0</v>
      </c>
      <c r="AZ717" s="150"/>
      <c r="BA717" s="150">
        <f t="shared" si="810"/>
        <v>0</v>
      </c>
      <c r="BB717" s="202">
        <v>5</v>
      </c>
      <c r="BC717" s="202" t="s">
        <v>647</v>
      </c>
      <c r="BD717" s="202" t="s">
        <v>632</v>
      </c>
      <c r="BE717" s="202" t="s">
        <v>739</v>
      </c>
      <c r="BF717" s="202" t="s">
        <v>647</v>
      </c>
      <c r="BG717" s="203" t="s">
        <v>6518</v>
      </c>
      <c r="BH717" s="216">
        <f>AS717</f>
        <v>0</v>
      </c>
      <c r="BI717" s="205"/>
      <c r="BJ717" s="206" t="s">
        <v>6657</v>
      </c>
      <c r="BK717" s="206" t="s">
        <v>347</v>
      </c>
      <c r="BL717" s="207" t="s">
        <v>6658</v>
      </c>
      <c r="BM717" s="208">
        <f>BH717</f>
        <v>0</v>
      </c>
      <c r="BN717" s="160"/>
      <c r="BO717" s="161">
        <f t="shared" si="792"/>
        <v>0</v>
      </c>
      <c r="BP717" s="161"/>
    </row>
    <row r="718" spans="1:68" ht="38.25">
      <c r="A718" s="206" t="s">
        <v>348</v>
      </c>
      <c r="B718" s="195" t="s">
        <v>6659</v>
      </c>
      <c r="C718" s="196" t="s">
        <v>6660</v>
      </c>
      <c r="D718" s="146" t="s">
        <v>4692</v>
      </c>
      <c r="E718" s="196" t="s">
        <v>6660</v>
      </c>
      <c r="F718" s="150">
        <v>0</v>
      </c>
      <c r="G718" s="209">
        <v>0</v>
      </c>
      <c r="H718" s="209"/>
      <c r="I718" s="209">
        <v>0</v>
      </c>
      <c r="J718" s="150">
        <v>0</v>
      </c>
      <c r="K718" s="150">
        <v>0</v>
      </c>
      <c r="L718" s="150">
        <f t="shared" si="829"/>
        <v>0</v>
      </c>
      <c r="M718" s="150">
        <v>0</v>
      </c>
      <c r="N718" s="150"/>
      <c r="O718" s="150">
        <v>0</v>
      </c>
      <c r="P718" s="150">
        <v>0</v>
      </c>
      <c r="Q718" s="150"/>
      <c r="R718" s="150">
        <f>P718+Q718</f>
        <v>0</v>
      </c>
      <c r="S718" s="150">
        <f t="shared" si="819"/>
        <v>0</v>
      </c>
      <c r="T718" s="150"/>
      <c r="U718" s="150">
        <v>0</v>
      </c>
      <c r="V718" s="199"/>
      <c r="W718" s="150">
        <f>U718+V718</f>
        <v>0</v>
      </c>
      <c r="X718" s="150">
        <v>0</v>
      </c>
      <c r="Y718" s="150"/>
      <c r="Z718" s="150">
        <v>0</v>
      </c>
      <c r="AA718" s="150">
        <f t="shared" si="820"/>
        <v>0</v>
      </c>
      <c r="AB718" s="150">
        <v>0</v>
      </c>
      <c r="AC718" s="199"/>
      <c r="AD718" s="150">
        <f>AB718+AC718</f>
        <v>0</v>
      </c>
      <c r="AE718" s="150">
        <v>0</v>
      </c>
      <c r="AF718" s="169" t="s">
        <v>4680</v>
      </c>
      <c r="AG718" s="201">
        <v>0</v>
      </c>
      <c r="AH718" s="199"/>
      <c r="AI718" s="150">
        <v>0</v>
      </c>
      <c r="AJ718" s="169">
        <f t="shared" si="821"/>
        <v>0</v>
      </c>
      <c r="AK718" s="201">
        <v>0</v>
      </c>
      <c r="AL718" s="199"/>
      <c r="AM718" s="150">
        <f>AK718+AL718</f>
        <v>0</v>
      </c>
      <c r="AN718" s="153">
        <f t="shared" si="822"/>
        <v>0</v>
      </c>
      <c r="AO718" s="154">
        <f t="shared" si="823"/>
        <v>0</v>
      </c>
      <c r="AP718" s="150">
        <v>0</v>
      </c>
      <c r="AQ718" s="201">
        <v>0</v>
      </c>
      <c r="AR718" s="199"/>
      <c r="AS718" s="150">
        <f>AQ718+AR718</f>
        <v>0</v>
      </c>
      <c r="AT718" s="155"/>
      <c r="AU718" s="156">
        <f t="shared" si="817"/>
        <v>0</v>
      </c>
      <c r="AV718" s="156">
        <f t="shared" si="818"/>
        <v>0</v>
      </c>
      <c r="AW718" s="157"/>
      <c r="AX718" s="150">
        <v>0</v>
      </c>
      <c r="AY718" s="150">
        <v>0</v>
      </c>
      <c r="AZ718" s="150"/>
      <c r="BA718" s="150">
        <f t="shared" si="810"/>
        <v>0</v>
      </c>
      <c r="BB718" s="202">
        <v>5</v>
      </c>
      <c r="BC718" s="202" t="s">
        <v>647</v>
      </c>
      <c r="BD718" s="202" t="s">
        <v>632</v>
      </c>
      <c r="BE718" s="202" t="s">
        <v>739</v>
      </c>
      <c r="BF718" s="202" t="s">
        <v>671</v>
      </c>
      <c r="BG718" s="203" t="s">
        <v>6499</v>
      </c>
      <c r="BH718" s="216">
        <f>AS718</f>
        <v>0</v>
      </c>
      <c r="BI718" s="206" t="s">
        <v>1349</v>
      </c>
      <c r="BJ718" s="206" t="s">
        <v>6661</v>
      </c>
      <c r="BK718" s="206" t="s">
        <v>348</v>
      </c>
      <c r="BL718" s="207" t="s">
        <v>6662</v>
      </c>
      <c r="BM718" s="208">
        <f>BH718</f>
        <v>0</v>
      </c>
      <c r="BN718" s="160"/>
      <c r="BO718" s="161">
        <f t="shared" si="792"/>
        <v>0</v>
      </c>
      <c r="BP718" s="161"/>
    </row>
    <row r="719" spans="1:68" ht="25.5">
      <c r="A719" s="206" t="s">
        <v>349</v>
      </c>
      <c r="B719" s="195" t="s">
        <v>6663</v>
      </c>
      <c r="C719" s="196" t="s">
        <v>6664</v>
      </c>
      <c r="D719" s="146" t="s">
        <v>4692</v>
      </c>
      <c r="E719" s="196" t="s">
        <v>6664</v>
      </c>
      <c r="F719" s="150">
        <v>0</v>
      </c>
      <c r="G719" s="209">
        <v>3244</v>
      </c>
      <c r="H719" s="209">
        <v>0</v>
      </c>
      <c r="I719" s="209">
        <v>3244</v>
      </c>
      <c r="J719" s="150">
        <v>0</v>
      </c>
      <c r="K719" s="150">
        <v>0</v>
      </c>
      <c r="L719" s="150">
        <f t="shared" si="829"/>
        <v>0</v>
      </c>
      <c r="M719" s="150">
        <v>0</v>
      </c>
      <c r="N719" s="150"/>
      <c r="O719" s="150">
        <v>0</v>
      </c>
      <c r="P719" s="150">
        <v>0</v>
      </c>
      <c r="Q719" s="150"/>
      <c r="R719" s="150">
        <f>P719+Q719</f>
        <v>0</v>
      </c>
      <c r="S719" s="150">
        <f t="shared" si="819"/>
        <v>0</v>
      </c>
      <c r="T719" s="150"/>
      <c r="U719" s="150">
        <v>0</v>
      </c>
      <c r="V719" s="199"/>
      <c r="W719" s="150">
        <f>U719+V719</f>
        <v>0</v>
      </c>
      <c r="X719" s="150">
        <v>0</v>
      </c>
      <c r="Y719" s="150"/>
      <c r="Z719" s="150">
        <v>0</v>
      </c>
      <c r="AA719" s="150">
        <f t="shared" si="820"/>
        <v>0</v>
      </c>
      <c r="AB719" s="150">
        <v>0</v>
      </c>
      <c r="AC719" s="199"/>
      <c r="AD719" s="150">
        <f>AB719+AC719</f>
        <v>0</v>
      </c>
      <c r="AE719" s="150">
        <v>0</v>
      </c>
      <c r="AF719" s="169" t="s">
        <v>4680</v>
      </c>
      <c r="AG719" s="201">
        <v>0</v>
      </c>
      <c r="AH719" s="199"/>
      <c r="AI719" s="150">
        <v>0</v>
      </c>
      <c r="AJ719" s="169">
        <f t="shared" si="821"/>
        <v>0</v>
      </c>
      <c r="AK719" s="201">
        <v>0</v>
      </c>
      <c r="AL719" s="199"/>
      <c r="AM719" s="150">
        <f>AK719+AL719</f>
        <v>0</v>
      </c>
      <c r="AN719" s="153">
        <f t="shared" si="822"/>
        <v>0</v>
      </c>
      <c r="AO719" s="154">
        <f t="shared" si="823"/>
        <v>0</v>
      </c>
      <c r="AP719" s="150">
        <v>0</v>
      </c>
      <c r="AQ719" s="201">
        <v>0</v>
      </c>
      <c r="AR719" s="199"/>
      <c r="AS719" s="150">
        <f>AQ719+AR719</f>
        <v>0</v>
      </c>
      <c r="AT719" s="155"/>
      <c r="AU719" s="156">
        <f t="shared" si="817"/>
        <v>0</v>
      </c>
      <c r="AV719" s="156">
        <f t="shared" si="818"/>
        <v>0</v>
      </c>
      <c r="AW719" s="157"/>
      <c r="AX719" s="150">
        <v>0</v>
      </c>
      <c r="AY719" s="150">
        <v>0</v>
      </c>
      <c r="AZ719" s="150"/>
      <c r="BA719" s="150">
        <f t="shared" si="810"/>
        <v>0</v>
      </c>
      <c r="BB719" s="202">
        <v>5</v>
      </c>
      <c r="BC719" s="202" t="s">
        <v>647</v>
      </c>
      <c r="BD719" s="202" t="s">
        <v>632</v>
      </c>
      <c r="BE719" s="202" t="s">
        <v>739</v>
      </c>
      <c r="BF719" s="202" t="s">
        <v>693</v>
      </c>
      <c r="BG719" s="203" t="s">
        <v>6645</v>
      </c>
      <c r="BH719" s="216">
        <f>AS719</f>
        <v>0</v>
      </c>
      <c r="BI719" s="205"/>
      <c r="BJ719" s="206" t="s">
        <v>6665</v>
      </c>
      <c r="BK719" s="206" t="s">
        <v>349</v>
      </c>
      <c r="BL719" s="207" t="s">
        <v>6666</v>
      </c>
      <c r="BM719" s="208">
        <f>BH719</f>
        <v>0</v>
      </c>
      <c r="BN719" s="160"/>
      <c r="BO719" s="161">
        <f t="shared" si="792"/>
        <v>0</v>
      </c>
      <c r="BP719" s="161"/>
    </row>
    <row r="720" spans="1:68" ht="38.25">
      <c r="A720" s="192" t="s">
        <v>6667</v>
      </c>
      <c r="B720" s="184"/>
      <c r="C720" s="185" t="s">
        <v>52</v>
      </c>
      <c r="D720" s="146" t="s">
        <v>4692</v>
      </c>
      <c r="E720" s="185" t="s">
        <v>52</v>
      </c>
      <c r="F720" s="188">
        <v>0</v>
      </c>
      <c r="G720" s="187">
        <v>3244</v>
      </c>
      <c r="H720" s="187"/>
      <c r="I720" s="187">
        <v>3244</v>
      </c>
      <c r="J720" s="188">
        <f>SUM(J721:J728)</f>
        <v>0</v>
      </c>
      <c r="K720" s="188">
        <f>SUM(K721:K728)</f>
        <v>0</v>
      </c>
      <c r="L720" s="188">
        <f t="shared" si="829"/>
        <v>0</v>
      </c>
      <c r="M720" s="188">
        <v>0</v>
      </c>
      <c r="N720" s="188">
        <v>0</v>
      </c>
      <c r="O720" s="188">
        <v>0</v>
      </c>
      <c r="P720" s="299">
        <f t="shared" ref="P720:AD720" si="835">SUM(P721:P728)</f>
        <v>3242</v>
      </c>
      <c r="Q720" s="299">
        <f t="shared" si="835"/>
        <v>0</v>
      </c>
      <c r="R720" s="299">
        <f t="shared" si="835"/>
        <v>3242</v>
      </c>
      <c r="S720" s="150">
        <f t="shared" si="819"/>
        <v>4322.666666666667</v>
      </c>
      <c r="T720" s="213"/>
      <c r="U720" s="299">
        <f t="shared" ref="U720:W720" si="836">SUM(U721:U728)</f>
        <v>29077.040000000001</v>
      </c>
      <c r="V720" s="226">
        <f t="shared" si="836"/>
        <v>0</v>
      </c>
      <c r="W720" s="299">
        <f t="shared" si="836"/>
        <v>29077.040000000001</v>
      </c>
      <c r="X720" s="299">
        <v>29077.040000000001</v>
      </c>
      <c r="Y720" s="299">
        <v>0</v>
      </c>
      <c r="Z720" s="299">
        <v>29077.040000000001</v>
      </c>
      <c r="AA720" s="299">
        <f t="shared" si="820"/>
        <v>22586</v>
      </c>
      <c r="AB720" s="299">
        <v>51663.040000000001</v>
      </c>
      <c r="AC720" s="226">
        <v>0</v>
      </c>
      <c r="AD720" s="299">
        <f t="shared" si="835"/>
        <v>51663.040000000001</v>
      </c>
      <c r="AE720" s="299">
        <v>51663.040000000001</v>
      </c>
      <c r="AF720" s="169" t="s">
        <v>4680</v>
      </c>
      <c r="AG720" s="301">
        <v>51663.040000000001</v>
      </c>
      <c r="AH720" s="226">
        <v>0</v>
      </c>
      <c r="AI720" s="299">
        <v>51663.040000000001</v>
      </c>
      <c r="AJ720" s="169">
        <f t="shared" si="821"/>
        <v>0</v>
      </c>
      <c r="AK720" s="301">
        <v>51663.040000000001</v>
      </c>
      <c r="AL720" s="226">
        <v>0</v>
      </c>
      <c r="AM720" s="299">
        <f t="shared" ref="AM720" si="837">SUM(AM721:AM728)</f>
        <v>51663.040000000001</v>
      </c>
      <c r="AN720" s="153">
        <f t="shared" si="822"/>
        <v>-3242</v>
      </c>
      <c r="AO720" s="154">
        <f t="shared" si="823"/>
        <v>-3242</v>
      </c>
      <c r="AP720" s="299">
        <v>51663.040000000001</v>
      </c>
      <c r="AQ720" s="301">
        <v>48421.04</v>
      </c>
      <c r="AR720" s="226">
        <f t="shared" ref="AR720:AS720" si="838">SUM(AR721:AR728)</f>
        <v>0</v>
      </c>
      <c r="AS720" s="299">
        <f t="shared" si="838"/>
        <v>48421.04</v>
      </c>
      <c r="AT720" s="155"/>
      <c r="AU720" s="156">
        <f t="shared" si="817"/>
        <v>0</v>
      </c>
      <c r="AV720" s="156">
        <f t="shared" si="818"/>
        <v>22586</v>
      </c>
      <c r="AW720" s="157"/>
      <c r="AX720" s="150">
        <v>29077.040000000001</v>
      </c>
      <c r="AY720" s="299">
        <f t="shared" ref="AY720:BA720" si="839">SUM(AY721:AY728)</f>
        <v>3242</v>
      </c>
      <c r="AZ720" s="299">
        <f t="shared" si="839"/>
        <v>0</v>
      </c>
      <c r="BA720" s="299">
        <f t="shared" si="839"/>
        <v>3242</v>
      </c>
      <c r="BB720" s="192">
        <v>5</v>
      </c>
      <c r="BC720" s="256" t="s">
        <v>647</v>
      </c>
      <c r="BD720" s="256" t="s">
        <v>632</v>
      </c>
      <c r="BE720" s="256" t="s">
        <v>755</v>
      </c>
      <c r="BF720" s="256" t="s">
        <v>630</v>
      </c>
      <c r="BG720" s="185" t="s">
        <v>52</v>
      </c>
      <c r="BH720" s="302">
        <f>SUM(BH721:BH728)</f>
        <v>48421.04</v>
      </c>
      <c r="BI720" s="192"/>
      <c r="BJ720" s="256" t="s">
        <v>6668</v>
      </c>
      <c r="BK720" s="192" t="s">
        <v>6667</v>
      </c>
      <c r="BL720" s="185" t="s">
        <v>6669</v>
      </c>
      <c r="BM720" s="302">
        <f>SUM(BM721:BM728)</f>
        <v>48421.04</v>
      </c>
      <c r="BN720" s="160"/>
      <c r="BO720" s="161">
        <f t="shared" si="792"/>
        <v>0</v>
      </c>
      <c r="BP720" s="161"/>
    </row>
    <row r="721" spans="1:68" ht="51">
      <c r="A721" s="261" t="s">
        <v>350</v>
      </c>
      <c r="B721" s="228" t="s">
        <v>6670</v>
      </c>
      <c r="C721" s="229" t="s">
        <v>6671</v>
      </c>
      <c r="D721" s="146" t="s">
        <v>4692</v>
      </c>
      <c r="E721" s="196" t="s">
        <v>6671</v>
      </c>
      <c r="F721" s="150">
        <v>0</v>
      </c>
      <c r="G721" s="209">
        <v>0</v>
      </c>
      <c r="H721" s="209"/>
      <c r="I721" s="209">
        <v>0</v>
      </c>
      <c r="J721" s="150">
        <v>0</v>
      </c>
      <c r="K721" s="150">
        <v>0</v>
      </c>
      <c r="L721" s="150">
        <f t="shared" si="829"/>
        <v>0</v>
      </c>
      <c r="M721" s="150">
        <v>0</v>
      </c>
      <c r="N721" s="150"/>
      <c r="O721" s="150">
        <v>0</v>
      </c>
      <c r="P721" s="150">
        <v>3242</v>
      </c>
      <c r="Q721" s="150">
        <v>0</v>
      </c>
      <c r="R721" s="150">
        <f t="shared" ref="R721:R728" si="840">P721+Q721</f>
        <v>3242</v>
      </c>
      <c r="S721" s="150">
        <f t="shared" si="819"/>
        <v>4322.666666666667</v>
      </c>
      <c r="T721" s="150"/>
      <c r="U721" s="150">
        <v>3242</v>
      </c>
      <c r="V721" s="199">
        <v>0</v>
      </c>
      <c r="W721" s="150">
        <f t="shared" ref="W721:W728" si="841">U721+V721</f>
        <v>3242</v>
      </c>
      <c r="X721" s="150">
        <v>3242</v>
      </c>
      <c r="Y721" s="150">
        <v>0</v>
      </c>
      <c r="Z721" s="150">
        <v>3242</v>
      </c>
      <c r="AA721" s="150">
        <f t="shared" si="820"/>
        <v>0</v>
      </c>
      <c r="AB721" s="150">
        <v>3242</v>
      </c>
      <c r="AC721" s="199">
        <v>0</v>
      </c>
      <c r="AD721" s="150">
        <f t="shared" ref="AD721:AD728" si="842">AB721+AC721</f>
        <v>3242</v>
      </c>
      <c r="AE721" s="150">
        <v>3242</v>
      </c>
      <c r="AF721" s="169" t="s">
        <v>4680</v>
      </c>
      <c r="AG721" s="201">
        <v>3242</v>
      </c>
      <c r="AH721" s="199">
        <v>0</v>
      </c>
      <c r="AI721" s="150">
        <v>3242</v>
      </c>
      <c r="AJ721" s="169">
        <f t="shared" si="821"/>
        <v>0</v>
      </c>
      <c r="AK721" s="201">
        <v>3242</v>
      </c>
      <c r="AL721" s="199">
        <v>0</v>
      </c>
      <c r="AM721" s="150">
        <f t="shared" ref="AM721:AM728" si="843">AK721+AL721</f>
        <v>3242</v>
      </c>
      <c r="AN721" s="153">
        <f t="shared" si="822"/>
        <v>-3242</v>
      </c>
      <c r="AO721" s="154">
        <f t="shared" si="823"/>
        <v>-3242</v>
      </c>
      <c r="AP721" s="150">
        <v>3242</v>
      </c>
      <c r="AQ721" s="201">
        <v>0</v>
      </c>
      <c r="AR721" s="199"/>
      <c r="AS721" s="150">
        <f t="shared" ref="AS721:AS728" si="844">AQ721+AR721</f>
        <v>0</v>
      </c>
      <c r="AT721" s="155"/>
      <c r="AU721" s="156">
        <f t="shared" si="817"/>
        <v>0</v>
      </c>
      <c r="AV721" s="156">
        <f t="shared" si="818"/>
        <v>0</v>
      </c>
      <c r="AW721" s="157" t="s">
        <v>4796</v>
      </c>
      <c r="AX721" s="150">
        <v>3242</v>
      </c>
      <c r="AY721" s="150">
        <v>3242</v>
      </c>
      <c r="AZ721" s="150"/>
      <c r="BA721" s="150">
        <f t="shared" si="810"/>
        <v>3242</v>
      </c>
      <c r="BB721" s="202">
        <v>5</v>
      </c>
      <c r="BC721" s="202" t="s">
        <v>647</v>
      </c>
      <c r="BD721" s="202" t="s">
        <v>632</v>
      </c>
      <c r="BE721" s="202" t="s">
        <v>755</v>
      </c>
      <c r="BF721" s="202" t="s">
        <v>632</v>
      </c>
      <c r="BG721" s="203" t="s">
        <v>6507</v>
      </c>
      <c r="BH721" s="216">
        <f t="shared" ref="BH721:BH728" si="845">AS721</f>
        <v>0</v>
      </c>
      <c r="BI721" s="206" t="s">
        <v>1519</v>
      </c>
      <c r="BJ721" s="206" t="s">
        <v>6672</v>
      </c>
      <c r="BK721" s="206" t="s">
        <v>350</v>
      </c>
      <c r="BL721" s="207" t="s">
        <v>6673</v>
      </c>
      <c r="BM721" s="208">
        <f t="shared" ref="BM721:BM728" si="846">BH721</f>
        <v>0</v>
      </c>
      <c r="BN721" s="160"/>
      <c r="BO721" s="161">
        <f t="shared" si="792"/>
        <v>0</v>
      </c>
      <c r="BP721" s="161"/>
    </row>
    <row r="722" spans="1:68" ht="25.5">
      <c r="A722" s="206" t="s">
        <v>351</v>
      </c>
      <c r="B722" s="195" t="s">
        <v>6674</v>
      </c>
      <c r="C722" s="196" t="s">
        <v>6518</v>
      </c>
      <c r="D722" s="146" t="s">
        <v>4692</v>
      </c>
      <c r="E722" s="196" t="s">
        <v>6518</v>
      </c>
      <c r="F722" s="150">
        <v>0</v>
      </c>
      <c r="G722" s="209">
        <v>0</v>
      </c>
      <c r="H722" s="209"/>
      <c r="I722" s="209">
        <v>0</v>
      </c>
      <c r="J722" s="150">
        <v>0</v>
      </c>
      <c r="K722" s="150">
        <v>0</v>
      </c>
      <c r="L722" s="150">
        <f t="shared" si="829"/>
        <v>0</v>
      </c>
      <c r="M722" s="150">
        <v>0</v>
      </c>
      <c r="N722" s="150"/>
      <c r="O722" s="150">
        <v>0</v>
      </c>
      <c r="P722" s="150">
        <v>0</v>
      </c>
      <c r="Q722" s="150">
        <v>0</v>
      </c>
      <c r="R722" s="150">
        <f t="shared" si="840"/>
        <v>0</v>
      </c>
      <c r="S722" s="150">
        <f t="shared" si="819"/>
        <v>0</v>
      </c>
      <c r="T722" s="150"/>
      <c r="U722" s="150">
        <v>25835.040000000001</v>
      </c>
      <c r="V722" s="199">
        <v>0</v>
      </c>
      <c r="W722" s="150">
        <f t="shared" si="841"/>
        <v>25835.040000000001</v>
      </c>
      <c r="X722" s="150">
        <v>25835.040000000001</v>
      </c>
      <c r="Y722" s="150">
        <v>0</v>
      </c>
      <c r="Z722" s="150">
        <v>25835.040000000001</v>
      </c>
      <c r="AA722" s="150">
        <f t="shared" si="820"/>
        <v>22586</v>
      </c>
      <c r="AB722" s="150">
        <v>48421.04</v>
      </c>
      <c r="AC722" s="199">
        <v>0</v>
      </c>
      <c r="AD722" s="150">
        <f t="shared" si="842"/>
        <v>48421.04</v>
      </c>
      <c r="AE722" s="150">
        <v>48421.04</v>
      </c>
      <c r="AF722" s="169" t="s">
        <v>4680</v>
      </c>
      <c r="AG722" s="201">
        <v>48421.04</v>
      </c>
      <c r="AH722" s="199">
        <v>0</v>
      </c>
      <c r="AI722" s="150">
        <v>48421.04</v>
      </c>
      <c r="AJ722" s="169">
        <f t="shared" si="821"/>
        <v>0</v>
      </c>
      <c r="AK722" s="201">
        <v>48421.04</v>
      </c>
      <c r="AL722" s="199">
        <v>0</v>
      </c>
      <c r="AM722" s="150">
        <f t="shared" si="843"/>
        <v>48421.04</v>
      </c>
      <c r="AN722" s="153">
        <f t="shared" si="822"/>
        <v>0</v>
      </c>
      <c r="AO722" s="154">
        <f t="shared" si="823"/>
        <v>0</v>
      </c>
      <c r="AP722" s="150">
        <v>48421.04</v>
      </c>
      <c r="AQ722" s="201">
        <v>48421.04</v>
      </c>
      <c r="AR722" s="199">
        <v>0</v>
      </c>
      <c r="AS722" s="150">
        <f t="shared" si="844"/>
        <v>48421.04</v>
      </c>
      <c r="AT722" s="155" t="s">
        <v>6020</v>
      </c>
      <c r="AU722" s="156">
        <f t="shared" si="817"/>
        <v>0</v>
      </c>
      <c r="AV722" s="156">
        <f t="shared" si="818"/>
        <v>22586</v>
      </c>
      <c r="AW722" s="157" t="s">
        <v>6675</v>
      </c>
      <c r="AX722" s="150">
        <v>25835.040000000001</v>
      </c>
      <c r="AY722" s="150">
        <v>0</v>
      </c>
      <c r="AZ722" s="150"/>
      <c r="BA722" s="150">
        <f t="shared" si="810"/>
        <v>0</v>
      </c>
      <c r="BB722" s="202">
        <v>5</v>
      </c>
      <c r="BC722" s="202" t="s">
        <v>647</v>
      </c>
      <c r="BD722" s="202" t="s">
        <v>632</v>
      </c>
      <c r="BE722" s="202" t="s">
        <v>755</v>
      </c>
      <c r="BF722" s="202" t="s">
        <v>647</v>
      </c>
      <c r="BG722" s="203" t="s">
        <v>6518</v>
      </c>
      <c r="BH722" s="216">
        <f t="shared" si="845"/>
        <v>48421.04</v>
      </c>
      <c r="BI722" s="205"/>
      <c r="BJ722" s="206" t="s">
        <v>6676</v>
      </c>
      <c r="BK722" s="206" t="s">
        <v>351</v>
      </c>
      <c r="BL722" s="207" t="s">
        <v>6677</v>
      </c>
      <c r="BM722" s="208">
        <f t="shared" si="846"/>
        <v>48421.04</v>
      </c>
      <c r="BN722" s="160"/>
      <c r="BO722" s="161">
        <f t="shared" si="792"/>
        <v>0</v>
      </c>
      <c r="BP722" s="161"/>
    </row>
    <row r="723" spans="1:68" ht="25.5">
      <c r="A723" s="206" t="s">
        <v>352</v>
      </c>
      <c r="B723" s="195" t="s">
        <v>6678</v>
      </c>
      <c r="C723" s="196" t="s">
        <v>6499</v>
      </c>
      <c r="D723" s="146" t="s">
        <v>4692</v>
      </c>
      <c r="E723" s="196" t="s">
        <v>6499</v>
      </c>
      <c r="F723" s="150">
        <v>0</v>
      </c>
      <c r="G723" s="209">
        <v>0</v>
      </c>
      <c r="H723" s="209"/>
      <c r="I723" s="209">
        <v>0</v>
      </c>
      <c r="J723" s="150">
        <v>0</v>
      </c>
      <c r="K723" s="150">
        <v>0</v>
      </c>
      <c r="L723" s="150">
        <f t="shared" si="829"/>
        <v>0</v>
      </c>
      <c r="M723" s="150">
        <v>0</v>
      </c>
      <c r="N723" s="150"/>
      <c r="O723" s="150">
        <v>0</v>
      </c>
      <c r="P723" s="150">
        <v>0</v>
      </c>
      <c r="Q723" s="150">
        <v>0</v>
      </c>
      <c r="R723" s="150">
        <f t="shared" si="840"/>
        <v>0</v>
      </c>
      <c r="S723" s="150">
        <f t="shared" si="819"/>
        <v>0</v>
      </c>
      <c r="T723" s="150"/>
      <c r="U723" s="150">
        <v>0</v>
      </c>
      <c r="V723" s="199"/>
      <c r="W723" s="150">
        <f t="shared" si="841"/>
        <v>0</v>
      </c>
      <c r="X723" s="150">
        <v>0</v>
      </c>
      <c r="Y723" s="150"/>
      <c r="Z723" s="150">
        <v>0</v>
      </c>
      <c r="AA723" s="150">
        <f t="shared" si="820"/>
        <v>0</v>
      </c>
      <c r="AB723" s="150">
        <v>0</v>
      </c>
      <c r="AC723" s="199"/>
      <c r="AD723" s="150">
        <f t="shared" si="842"/>
        <v>0</v>
      </c>
      <c r="AE723" s="150">
        <v>0</v>
      </c>
      <c r="AF723" s="169" t="s">
        <v>4680</v>
      </c>
      <c r="AG723" s="201">
        <v>0</v>
      </c>
      <c r="AH723" s="199"/>
      <c r="AI723" s="150">
        <v>0</v>
      </c>
      <c r="AJ723" s="169">
        <f t="shared" si="821"/>
        <v>0</v>
      </c>
      <c r="AK723" s="201">
        <v>0</v>
      </c>
      <c r="AL723" s="199"/>
      <c r="AM723" s="150">
        <f t="shared" si="843"/>
        <v>0</v>
      </c>
      <c r="AN723" s="153">
        <f t="shared" si="822"/>
        <v>0</v>
      </c>
      <c r="AO723" s="154">
        <f t="shared" si="823"/>
        <v>0</v>
      </c>
      <c r="AP723" s="150">
        <v>0</v>
      </c>
      <c r="AQ723" s="201">
        <v>0</v>
      </c>
      <c r="AR723" s="199"/>
      <c r="AS723" s="150">
        <f t="shared" si="844"/>
        <v>0</v>
      </c>
      <c r="AT723" s="155"/>
      <c r="AU723" s="156">
        <f t="shared" si="817"/>
        <v>0</v>
      </c>
      <c r="AV723" s="156">
        <f t="shared" si="818"/>
        <v>0</v>
      </c>
      <c r="AW723" s="157"/>
      <c r="AX723" s="150">
        <v>0</v>
      </c>
      <c r="AY723" s="150">
        <v>0</v>
      </c>
      <c r="AZ723" s="150"/>
      <c r="BA723" s="150">
        <f t="shared" si="810"/>
        <v>0</v>
      </c>
      <c r="BB723" s="202">
        <v>5</v>
      </c>
      <c r="BC723" s="202" t="s">
        <v>647</v>
      </c>
      <c r="BD723" s="202" t="s">
        <v>632</v>
      </c>
      <c r="BE723" s="202" t="s">
        <v>755</v>
      </c>
      <c r="BF723" s="202" t="s">
        <v>671</v>
      </c>
      <c r="BG723" s="203" t="s">
        <v>6499</v>
      </c>
      <c r="BH723" s="216">
        <f t="shared" si="845"/>
        <v>0</v>
      </c>
      <c r="BI723" s="206" t="s">
        <v>1349</v>
      </c>
      <c r="BJ723" s="206" t="s">
        <v>6679</v>
      </c>
      <c r="BK723" s="206" t="s">
        <v>352</v>
      </c>
      <c r="BL723" s="207" t="s">
        <v>6680</v>
      </c>
      <c r="BM723" s="208">
        <f t="shared" si="846"/>
        <v>0</v>
      </c>
      <c r="BN723" s="160"/>
      <c r="BO723" s="161">
        <f t="shared" si="792"/>
        <v>0</v>
      </c>
      <c r="BP723" s="161"/>
    </row>
    <row r="724" spans="1:68" ht="38.25">
      <c r="A724" s="206" t="s">
        <v>354</v>
      </c>
      <c r="B724" s="195" t="s">
        <v>6681</v>
      </c>
      <c r="C724" s="196" t="s">
        <v>6682</v>
      </c>
      <c r="D724" s="146" t="s">
        <v>4692</v>
      </c>
      <c r="E724" s="196" t="s">
        <v>6682</v>
      </c>
      <c r="F724" s="150">
        <v>0</v>
      </c>
      <c r="G724" s="209">
        <v>0</v>
      </c>
      <c r="H724" s="209"/>
      <c r="I724" s="209">
        <v>0</v>
      </c>
      <c r="J724" s="150">
        <v>0</v>
      </c>
      <c r="K724" s="150">
        <v>0</v>
      </c>
      <c r="L724" s="150">
        <f t="shared" si="829"/>
        <v>0</v>
      </c>
      <c r="M724" s="150">
        <v>0</v>
      </c>
      <c r="N724" s="150"/>
      <c r="O724" s="150">
        <v>0</v>
      </c>
      <c r="P724" s="150">
        <v>0</v>
      </c>
      <c r="Q724" s="150">
        <v>0</v>
      </c>
      <c r="R724" s="150">
        <f t="shared" si="840"/>
        <v>0</v>
      </c>
      <c r="S724" s="150">
        <f t="shared" si="819"/>
        <v>0</v>
      </c>
      <c r="T724" s="150"/>
      <c r="U724" s="150">
        <v>0</v>
      </c>
      <c r="V724" s="199"/>
      <c r="W724" s="150">
        <f t="shared" si="841"/>
        <v>0</v>
      </c>
      <c r="X724" s="150">
        <v>0</v>
      </c>
      <c r="Y724" s="150"/>
      <c r="Z724" s="150">
        <v>0</v>
      </c>
      <c r="AA724" s="150">
        <f t="shared" si="820"/>
        <v>0</v>
      </c>
      <c r="AB724" s="150">
        <v>0</v>
      </c>
      <c r="AC724" s="199"/>
      <c r="AD724" s="150">
        <f t="shared" si="842"/>
        <v>0</v>
      </c>
      <c r="AE724" s="150">
        <v>0</v>
      </c>
      <c r="AF724" s="169" t="s">
        <v>4680</v>
      </c>
      <c r="AG724" s="201">
        <v>0</v>
      </c>
      <c r="AH724" s="199"/>
      <c r="AI724" s="150">
        <v>0</v>
      </c>
      <c r="AJ724" s="169">
        <f t="shared" si="821"/>
        <v>0</v>
      </c>
      <c r="AK724" s="201">
        <v>0</v>
      </c>
      <c r="AL724" s="199"/>
      <c r="AM724" s="150">
        <f t="shared" si="843"/>
        <v>0</v>
      </c>
      <c r="AN724" s="153">
        <f t="shared" si="822"/>
        <v>0</v>
      </c>
      <c r="AO724" s="154">
        <f t="shared" si="823"/>
        <v>0</v>
      </c>
      <c r="AP724" s="150">
        <v>0</v>
      </c>
      <c r="AQ724" s="201">
        <v>0</v>
      </c>
      <c r="AR724" s="199"/>
      <c r="AS724" s="150">
        <f t="shared" si="844"/>
        <v>0</v>
      </c>
      <c r="AT724" s="155"/>
      <c r="AU724" s="156">
        <f t="shared" si="817"/>
        <v>0</v>
      </c>
      <c r="AV724" s="156">
        <f t="shared" si="818"/>
        <v>0</v>
      </c>
      <c r="AW724" s="157"/>
      <c r="AX724" s="150">
        <v>0</v>
      </c>
      <c r="AY724" s="150">
        <v>0</v>
      </c>
      <c r="AZ724" s="150"/>
      <c r="BA724" s="150">
        <f t="shared" si="810"/>
        <v>0</v>
      </c>
      <c r="BB724" s="202">
        <v>5</v>
      </c>
      <c r="BC724" s="202" t="s">
        <v>647</v>
      </c>
      <c r="BD724" s="202" t="s">
        <v>632</v>
      </c>
      <c r="BE724" s="202" t="s">
        <v>755</v>
      </c>
      <c r="BF724" s="202" t="s">
        <v>693</v>
      </c>
      <c r="BG724" s="203" t="s">
        <v>58</v>
      </c>
      <c r="BH724" s="216">
        <f t="shared" si="845"/>
        <v>0</v>
      </c>
      <c r="BI724" s="205"/>
      <c r="BJ724" s="206" t="s">
        <v>6683</v>
      </c>
      <c r="BK724" s="206" t="s">
        <v>354</v>
      </c>
      <c r="BL724" s="207" t="s">
        <v>6684</v>
      </c>
      <c r="BM724" s="208">
        <f t="shared" si="846"/>
        <v>0</v>
      </c>
      <c r="BN724" s="160"/>
      <c r="BO724" s="161">
        <f t="shared" si="792"/>
        <v>0</v>
      </c>
      <c r="BP724" s="161"/>
    </row>
    <row r="725" spans="1:68" ht="38.25">
      <c r="A725" s="206" t="s">
        <v>355</v>
      </c>
      <c r="B725" s="195" t="s">
        <v>6685</v>
      </c>
      <c r="C725" s="196" t="s">
        <v>6686</v>
      </c>
      <c r="D725" s="146" t="s">
        <v>4692</v>
      </c>
      <c r="E725" s="196" t="s">
        <v>6686</v>
      </c>
      <c r="F725" s="150">
        <v>0</v>
      </c>
      <c r="G725" s="209">
        <v>0</v>
      </c>
      <c r="H725" s="209"/>
      <c r="I725" s="209">
        <v>0</v>
      </c>
      <c r="J725" s="150">
        <v>0</v>
      </c>
      <c r="K725" s="150">
        <v>0</v>
      </c>
      <c r="L725" s="150">
        <f t="shared" si="829"/>
        <v>0</v>
      </c>
      <c r="M725" s="150">
        <v>0</v>
      </c>
      <c r="N725" s="150"/>
      <c r="O725" s="150">
        <v>0</v>
      </c>
      <c r="P725" s="150">
        <v>0</v>
      </c>
      <c r="Q725" s="150">
        <v>0</v>
      </c>
      <c r="R725" s="150">
        <f t="shared" si="840"/>
        <v>0</v>
      </c>
      <c r="S725" s="150">
        <f t="shared" si="819"/>
        <v>0</v>
      </c>
      <c r="T725" s="150"/>
      <c r="U725" s="150">
        <v>0</v>
      </c>
      <c r="V725" s="199"/>
      <c r="W725" s="150">
        <f t="shared" si="841"/>
        <v>0</v>
      </c>
      <c r="X725" s="150">
        <v>0</v>
      </c>
      <c r="Y725" s="150"/>
      <c r="Z725" s="150">
        <v>0</v>
      </c>
      <c r="AA725" s="150">
        <f t="shared" si="820"/>
        <v>0</v>
      </c>
      <c r="AB725" s="150">
        <v>0</v>
      </c>
      <c r="AC725" s="199"/>
      <c r="AD725" s="150">
        <f t="shared" si="842"/>
        <v>0</v>
      </c>
      <c r="AE725" s="150">
        <v>0</v>
      </c>
      <c r="AF725" s="169" t="s">
        <v>4680</v>
      </c>
      <c r="AG725" s="201">
        <v>0</v>
      </c>
      <c r="AH725" s="199"/>
      <c r="AI725" s="150">
        <v>0</v>
      </c>
      <c r="AJ725" s="169">
        <f t="shared" si="821"/>
        <v>0</v>
      </c>
      <c r="AK725" s="201">
        <v>0</v>
      </c>
      <c r="AL725" s="199"/>
      <c r="AM725" s="150">
        <f t="shared" si="843"/>
        <v>0</v>
      </c>
      <c r="AN725" s="153">
        <f t="shared" si="822"/>
        <v>0</v>
      </c>
      <c r="AO725" s="154">
        <f t="shared" si="823"/>
        <v>0</v>
      </c>
      <c r="AP725" s="150">
        <v>0</v>
      </c>
      <c r="AQ725" s="201">
        <v>0</v>
      </c>
      <c r="AR725" s="199"/>
      <c r="AS725" s="150">
        <f t="shared" si="844"/>
        <v>0</v>
      </c>
      <c r="AT725" s="155"/>
      <c r="AU725" s="156">
        <f t="shared" si="817"/>
        <v>0</v>
      </c>
      <c r="AV725" s="156">
        <f t="shared" si="818"/>
        <v>0</v>
      </c>
      <c r="AW725" s="157"/>
      <c r="AX725" s="150">
        <v>0</v>
      </c>
      <c r="AY725" s="150">
        <v>0</v>
      </c>
      <c r="AZ725" s="150"/>
      <c r="BA725" s="150">
        <f t="shared" si="810"/>
        <v>0</v>
      </c>
      <c r="BB725" s="202">
        <v>5</v>
      </c>
      <c r="BC725" s="202" t="s">
        <v>647</v>
      </c>
      <c r="BD725" s="202" t="s">
        <v>632</v>
      </c>
      <c r="BE725" s="202" t="s">
        <v>755</v>
      </c>
      <c r="BF725" s="194" t="s">
        <v>714</v>
      </c>
      <c r="BG725" s="203" t="s">
        <v>59</v>
      </c>
      <c r="BH725" s="216">
        <f t="shared" si="845"/>
        <v>0</v>
      </c>
      <c r="BI725" s="205"/>
      <c r="BJ725" s="206" t="s">
        <v>6687</v>
      </c>
      <c r="BK725" s="206" t="s">
        <v>355</v>
      </c>
      <c r="BL725" s="207" t="s">
        <v>6688</v>
      </c>
      <c r="BM725" s="208">
        <f t="shared" si="846"/>
        <v>0</v>
      </c>
      <c r="BN725" s="160"/>
      <c r="BO725" s="161">
        <f t="shared" si="792"/>
        <v>0</v>
      </c>
      <c r="BP725" s="161"/>
    </row>
    <row r="726" spans="1:68" ht="38.25">
      <c r="A726" s="206" t="s">
        <v>356</v>
      </c>
      <c r="B726" s="195" t="s">
        <v>6689</v>
      </c>
      <c r="C726" s="196" t="s">
        <v>6690</v>
      </c>
      <c r="D726" s="146" t="s">
        <v>4692</v>
      </c>
      <c r="E726" s="196" t="s">
        <v>6690</v>
      </c>
      <c r="F726" s="150">
        <v>0</v>
      </c>
      <c r="G726" s="209">
        <v>0</v>
      </c>
      <c r="H726" s="209"/>
      <c r="I726" s="209">
        <v>0</v>
      </c>
      <c r="J726" s="150">
        <v>0</v>
      </c>
      <c r="K726" s="150">
        <v>0</v>
      </c>
      <c r="L726" s="150">
        <f t="shared" si="829"/>
        <v>0</v>
      </c>
      <c r="M726" s="150">
        <v>0</v>
      </c>
      <c r="N726" s="150"/>
      <c r="O726" s="150">
        <v>0</v>
      </c>
      <c r="P726" s="150">
        <v>0</v>
      </c>
      <c r="Q726" s="150">
        <v>0</v>
      </c>
      <c r="R726" s="150">
        <f t="shared" si="840"/>
        <v>0</v>
      </c>
      <c r="S726" s="150">
        <f t="shared" si="819"/>
        <v>0</v>
      </c>
      <c r="T726" s="150"/>
      <c r="U726" s="150">
        <v>0</v>
      </c>
      <c r="V726" s="199"/>
      <c r="W726" s="150">
        <f t="shared" si="841"/>
        <v>0</v>
      </c>
      <c r="X726" s="150">
        <v>0</v>
      </c>
      <c r="Y726" s="150"/>
      <c r="Z726" s="150">
        <v>0</v>
      </c>
      <c r="AA726" s="150">
        <f t="shared" si="820"/>
        <v>0</v>
      </c>
      <c r="AB726" s="150">
        <v>0</v>
      </c>
      <c r="AC726" s="199"/>
      <c r="AD726" s="150">
        <f t="shared" si="842"/>
        <v>0</v>
      </c>
      <c r="AE726" s="150">
        <v>0</v>
      </c>
      <c r="AF726" s="169" t="s">
        <v>4680</v>
      </c>
      <c r="AG726" s="201">
        <v>0</v>
      </c>
      <c r="AH726" s="199"/>
      <c r="AI726" s="150">
        <v>0</v>
      </c>
      <c r="AJ726" s="169">
        <f t="shared" si="821"/>
        <v>0</v>
      </c>
      <c r="AK726" s="201">
        <v>0</v>
      </c>
      <c r="AL726" s="199"/>
      <c r="AM726" s="150">
        <f t="shared" si="843"/>
        <v>0</v>
      </c>
      <c r="AN726" s="153">
        <f t="shared" si="822"/>
        <v>0</v>
      </c>
      <c r="AO726" s="154">
        <f t="shared" si="823"/>
        <v>0</v>
      </c>
      <c r="AP726" s="150">
        <v>0</v>
      </c>
      <c r="AQ726" s="201">
        <v>0</v>
      </c>
      <c r="AR726" s="199"/>
      <c r="AS726" s="150">
        <f t="shared" si="844"/>
        <v>0</v>
      </c>
      <c r="AT726" s="155"/>
      <c r="AU726" s="156">
        <f t="shared" si="817"/>
        <v>0</v>
      </c>
      <c r="AV726" s="156">
        <f t="shared" si="818"/>
        <v>0</v>
      </c>
      <c r="AW726" s="157"/>
      <c r="AX726" s="150">
        <v>0</v>
      </c>
      <c r="AY726" s="150">
        <v>0</v>
      </c>
      <c r="AZ726" s="150"/>
      <c r="BA726" s="150">
        <f t="shared" si="810"/>
        <v>0</v>
      </c>
      <c r="BB726" s="202">
        <v>5</v>
      </c>
      <c r="BC726" s="202" t="s">
        <v>647</v>
      </c>
      <c r="BD726" s="202" t="s">
        <v>632</v>
      </c>
      <c r="BE726" s="202" t="s">
        <v>755</v>
      </c>
      <c r="BF726" s="194" t="s">
        <v>739</v>
      </c>
      <c r="BG726" s="203" t="s">
        <v>60</v>
      </c>
      <c r="BH726" s="216">
        <f t="shared" si="845"/>
        <v>0</v>
      </c>
      <c r="BI726" s="205"/>
      <c r="BJ726" s="206" t="s">
        <v>6691</v>
      </c>
      <c r="BK726" s="206" t="s">
        <v>356</v>
      </c>
      <c r="BL726" s="207" t="s">
        <v>6692</v>
      </c>
      <c r="BM726" s="208">
        <f t="shared" si="846"/>
        <v>0</v>
      </c>
      <c r="BN726" s="160"/>
      <c r="BO726" s="161">
        <f t="shared" si="792"/>
        <v>0</v>
      </c>
      <c r="BP726" s="161"/>
    </row>
    <row r="727" spans="1:68" ht="38.25">
      <c r="A727" s="206" t="s">
        <v>357</v>
      </c>
      <c r="B727" s="195" t="s">
        <v>6693</v>
      </c>
      <c r="C727" s="196" t="s">
        <v>6694</v>
      </c>
      <c r="D727" s="146" t="s">
        <v>4692</v>
      </c>
      <c r="E727" s="196" t="s">
        <v>6694</v>
      </c>
      <c r="F727" s="150">
        <v>0</v>
      </c>
      <c r="G727" s="209">
        <v>0</v>
      </c>
      <c r="H727" s="209"/>
      <c r="I727" s="209">
        <v>0</v>
      </c>
      <c r="J727" s="150">
        <v>0</v>
      </c>
      <c r="K727" s="150">
        <v>0</v>
      </c>
      <c r="L727" s="150">
        <f t="shared" si="829"/>
        <v>0</v>
      </c>
      <c r="M727" s="150">
        <v>0</v>
      </c>
      <c r="N727" s="150"/>
      <c r="O727" s="150">
        <v>0</v>
      </c>
      <c r="P727" s="150">
        <v>0</v>
      </c>
      <c r="Q727" s="150">
        <v>0</v>
      </c>
      <c r="R727" s="150">
        <f t="shared" si="840"/>
        <v>0</v>
      </c>
      <c r="S727" s="150">
        <f t="shared" si="819"/>
        <v>0</v>
      </c>
      <c r="T727" s="150"/>
      <c r="U727" s="150">
        <v>0</v>
      </c>
      <c r="V727" s="199"/>
      <c r="W727" s="150">
        <f t="shared" si="841"/>
        <v>0</v>
      </c>
      <c r="X727" s="150">
        <v>0</v>
      </c>
      <c r="Y727" s="150"/>
      <c r="Z727" s="150">
        <v>0</v>
      </c>
      <c r="AA727" s="150">
        <f t="shared" si="820"/>
        <v>0</v>
      </c>
      <c r="AB727" s="150">
        <v>0</v>
      </c>
      <c r="AC727" s="199"/>
      <c r="AD727" s="150">
        <f t="shared" si="842"/>
        <v>0</v>
      </c>
      <c r="AE727" s="150">
        <v>0</v>
      </c>
      <c r="AF727" s="169" t="s">
        <v>4680</v>
      </c>
      <c r="AG727" s="201">
        <v>0</v>
      </c>
      <c r="AH727" s="199"/>
      <c r="AI727" s="150">
        <v>0</v>
      </c>
      <c r="AJ727" s="169">
        <f t="shared" si="821"/>
        <v>0</v>
      </c>
      <c r="AK727" s="201">
        <v>0</v>
      </c>
      <c r="AL727" s="199"/>
      <c r="AM727" s="150">
        <f t="shared" si="843"/>
        <v>0</v>
      </c>
      <c r="AN727" s="153">
        <f t="shared" si="822"/>
        <v>0</v>
      </c>
      <c r="AO727" s="154">
        <f t="shared" si="823"/>
        <v>0</v>
      </c>
      <c r="AP727" s="150">
        <v>0</v>
      </c>
      <c r="AQ727" s="201">
        <v>0</v>
      </c>
      <c r="AR727" s="199"/>
      <c r="AS727" s="150">
        <f t="shared" si="844"/>
        <v>0</v>
      </c>
      <c r="AT727" s="155"/>
      <c r="AU727" s="156">
        <f t="shared" si="817"/>
        <v>0</v>
      </c>
      <c r="AV727" s="156">
        <f t="shared" si="818"/>
        <v>0</v>
      </c>
      <c r="AW727" s="157"/>
      <c r="AX727" s="150">
        <v>0</v>
      </c>
      <c r="AY727" s="150">
        <v>0</v>
      </c>
      <c r="AZ727" s="150"/>
      <c r="BA727" s="150">
        <f t="shared" si="810"/>
        <v>0</v>
      </c>
      <c r="BB727" s="202">
        <v>5</v>
      </c>
      <c r="BC727" s="202" t="s">
        <v>647</v>
      </c>
      <c r="BD727" s="202" t="s">
        <v>632</v>
      </c>
      <c r="BE727" s="202" t="s">
        <v>755</v>
      </c>
      <c r="BF727" s="194" t="s">
        <v>755</v>
      </c>
      <c r="BG727" s="203" t="s">
        <v>358</v>
      </c>
      <c r="BH727" s="216">
        <f t="shared" si="845"/>
        <v>0</v>
      </c>
      <c r="BI727" s="205"/>
      <c r="BJ727" s="206" t="s">
        <v>6695</v>
      </c>
      <c r="BK727" s="206" t="s">
        <v>357</v>
      </c>
      <c r="BL727" s="207" t="s">
        <v>6696</v>
      </c>
      <c r="BM727" s="208">
        <f t="shared" si="846"/>
        <v>0</v>
      </c>
      <c r="BN727" s="160"/>
      <c r="BO727" s="161">
        <f t="shared" si="792"/>
        <v>0</v>
      </c>
      <c r="BP727" s="161"/>
    </row>
    <row r="728" spans="1:68" ht="63.75">
      <c r="A728" s="206" t="s">
        <v>359</v>
      </c>
      <c r="B728" s="195" t="s">
        <v>6697</v>
      </c>
      <c r="C728" s="196" t="s">
        <v>6698</v>
      </c>
      <c r="D728" s="146" t="s">
        <v>4692</v>
      </c>
      <c r="E728" s="196" t="s">
        <v>6698</v>
      </c>
      <c r="F728" s="150">
        <v>0</v>
      </c>
      <c r="G728" s="209">
        <v>0</v>
      </c>
      <c r="H728" s="209">
        <v>0</v>
      </c>
      <c r="I728" s="209">
        <v>0</v>
      </c>
      <c r="J728" s="150">
        <v>0</v>
      </c>
      <c r="K728" s="150">
        <v>0</v>
      </c>
      <c r="L728" s="150">
        <f t="shared" si="829"/>
        <v>0</v>
      </c>
      <c r="M728" s="150">
        <v>0</v>
      </c>
      <c r="N728" s="150"/>
      <c r="O728" s="150">
        <v>0</v>
      </c>
      <c r="P728" s="150">
        <v>0</v>
      </c>
      <c r="Q728" s="150">
        <v>0</v>
      </c>
      <c r="R728" s="150">
        <f t="shared" si="840"/>
        <v>0</v>
      </c>
      <c r="S728" s="150">
        <f t="shared" si="819"/>
        <v>0</v>
      </c>
      <c r="T728" s="150"/>
      <c r="U728" s="150">
        <v>0</v>
      </c>
      <c r="V728" s="199"/>
      <c r="W728" s="150">
        <f t="shared" si="841"/>
        <v>0</v>
      </c>
      <c r="X728" s="150">
        <v>0</v>
      </c>
      <c r="Y728" s="150"/>
      <c r="Z728" s="150">
        <v>0</v>
      </c>
      <c r="AA728" s="150">
        <f t="shared" si="820"/>
        <v>0</v>
      </c>
      <c r="AB728" s="150">
        <v>0</v>
      </c>
      <c r="AC728" s="199"/>
      <c r="AD728" s="150">
        <f t="shared" si="842"/>
        <v>0</v>
      </c>
      <c r="AE728" s="150">
        <v>0</v>
      </c>
      <c r="AF728" s="169" t="s">
        <v>4680</v>
      </c>
      <c r="AG728" s="201">
        <v>0</v>
      </c>
      <c r="AH728" s="199"/>
      <c r="AI728" s="150">
        <v>0</v>
      </c>
      <c r="AJ728" s="169">
        <f t="shared" si="821"/>
        <v>0</v>
      </c>
      <c r="AK728" s="201">
        <v>0</v>
      </c>
      <c r="AL728" s="199"/>
      <c r="AM728" s="150">
        <f t="shared" si="843"/>
        <v>0</v>
      </c>
      <c r="AN728" s="153">
        <f t="shared" si="822"/>
        <v>0</v>
      </c>
      <c r="AO728" s="154">
        <f t="shared" si="823"/>
        <v>0</v>
      </c>
      <c r="AP728" s="150">
        <v>0</v>
      </c>
      <c r="AQ728" s="201">
        <v>0</v>
      </c>
      <c r="AR728" s="199"/>
      <c r="AS728" s="150">
        <f t="shared" si="844"/>
        <v>0</v>
      </c>
      <c r="AT728" s="155"/>
      <c r="AU728" s="156">
        <f t="shared" si="817"/>
        <v>0</v>
      </c>
      <c r="AV728" s="156">
        <f t="shared" si="818"/>
        <v>0</v>
      </c>
      <c r="AW728" s="157"/>
      <c r="AX728" s="150">
        <v>0</v>
      </c>
      <c r="AY728" s="150">
        <v>0</v>
      </c>
      <c r="AZ728" s="150"/>
      <c r="BA728" s="150">
        <f t="shared" si="810"/>
        <v>0</v>
      </c>
      <c r="BB728" s="202">
        <v>5</v>
      </c>
      <c r="BC728" s="202" t="s">
        <v>647</v>
      </c>
      <c r="BD728" s="202" t="s">
        <v>632</v>
      </c>
      <c r="BE728" s="202" t="s">
        <v>755</v>
      </c>
      <c r="BF728" s="194" t="s">
        <v>766</v>
      </c>
      <c r="BG728" s="203" t="s">
        <v>6594</v>
      </c>
      <c r="BH728" s="216">
        <f t="shared" si="845"/>
        <v>0</v>
      </c>
      <c r="BI728" s="205"/>
      <c r="BJ728" s="206" t="s">
        <v>6699</v>
      </c>
      <c r="BK728" s="206" t="s">
        <v>359</v>
      </c>
      <c r="BL728" s="207" t="s">
        <v>6700</v>
      </c>
      <c r="BM728" s="208">
        <f t="shared" si="846"/>
        <v>0</v>
      </c>
      <c r="BN728" s="160"/>
      <c r="BO728" s="161">
        <f t="shared" si="792"/>
        <v>0</v>
      </c>
      <c r="BP728" s="161"/>
    </row>
    <row r="729" spans="1:68" ht="38.25">
      <c r="A729" s="192" t="s">
        <v>6701</v>
      </c>
      <c r="B729" s="184"/>
      <c r="C729" s="185" t="s">
        <v>53</v>
      </c>
      <c r="D729" s="146" t="s">
        <v>4692</v>
      </c>
      <c r="E729" s="185" t="s">
        <v>53</v>
      </c>
      <c r="F729" s="188">
        <v>0</v>
      </c>
      <c r="G729" s="187">
        <v>0</v>
      </c>
      <c r="H729" s="187"/>
      <c r="I729" s="187">
        <v>0</v>
      </c>
      <c r="J729" s="188">
        <f>SUM(J730:J734)</f>
        <v>0</v>
      </c>
      <c r="K729" s="188">
        <f>SUM(K730:K734)</f>
        <v>0</v>
      </c>
      <c r="L729" s="188">
        <f t="shared" si="829"/>
        <v>0</v>
      </c>
      <c r="M729" s="188">
        <v>0</v>
      </c>
      <c r="N729" s="188">
        <v>0</v>
      </c>
      <c r="O729" s="188">
        <v>0</v>
      </c>
      <c r="P729" s="299">
        <f t="shared" ref="P729:AD729" si="847">SUM(P730:P734)</f>
        <v>0</v>
      </c>
      <c r="Q729" s="299">
        <f t="shared" si="847"/>
        <v>0</v>
      </c>
      <c r="R729" s="299">
        <f t="shared" si="847"/>
        <v>0</v>
      </c>
      <c r="S729" s="150">
        <f t="shared" si="819"/>
        <v>0</v>
      </c>
      <c r="T729" s="213"/>
      <c r="U729" s="299">
        <f t="shared" ref="U729:W729" si="848">SUM(U730:U734)</f>
        <v>0</v>
      </c>
      <c r="V729" s="226">
        <f t="shared" si="848"/>
        <v>0</v>
      </c>
      <c r="W729" s="299">
        <f t="shared" si="848"/>
        <v>0</v>
      </c>
      <c r="X729" s="299">
        <v>0</v>
      </c>
      <c r="Y729" s="299">
        <v>0</v>
      </c>
      <c r="Z729" s="299">
        <v>0</v>
      </c>
      <c r="AA729" s="299">
        <f t="shared" si="820"/>
        <v>0</v>
      </c>
      <c r="AB729" s="299">
        <v>0</v>
      </c>
      <c r="AC729" s="226">
        <v>0</v>
      </c>
      <c r="AD729" s="299">
        <f t="shared" si="847"/>
        <v>0</v>
      </c>
      <c r="AE729" s="299">
        <v>0</v>
      </c>
      <c r="AF729" s="169" t="s">
        <v>4680</v>
      </c>
      <c r="AG729" s="301">
        <v>0</v>
      </c>
      <c r="AH729" s="226">
        <v>0</v>
      </c>
      <c r="AI729" s="299">
        <v>0</v>
      </c>
      <c r="AJ729" s="169">
        <f t="shared" si="821"/>
        <v>0</v>
      </c>
      <c r="AK729" s="301">
        <v>0</v>
      </c>
      <c r="AL729" s="226">
        <v>0</v>
      </c>
      <c r="AM729" s="299">
        <f t="shared" ref="AM729" si="849">SUM(AM730:AM734)</f>
        <v>0</v>
      </c>
      <c r="AN729" s="153">
        <f t="shared" si="822"/>
        <v>0</v>
      </c>
      <c r="AO729" s="154">
        <f t="shared" si="823"/>
        <v>0</v>
      </c>
      <c r="AP729" s="299">
        <v>0</v>
      </c>
      <c r="AQ729" s="301">
        <v>0</v>
      </c>
      <c r="AR729" s="226">
        <f t="shared" ref="AR729:AS729" si="850">SUM(AR730:AR734)</f>
        <v>0</v>
      </c>
      <c r="AS729" s="299">
        <f t="shared" si="850"/>
        <v>0</v>
      </c>
      <c r="AT729" s="155"/>
      <c r="AU729" s="156">
        <f t="shared" si="817"/>
        <v>0</v>
      </c>
      <c r="AV729" s="156">
        <f t="shared" si="818"/>
        <v>0</v>
      </c>
      <c r="AW729" s="157"/>
      <c r="AX729" s="150">
        <v>0</v>
      </c>
      <c r="AY729" s="299">
        <f t="shared" ref="AY729:BA729" si="851">SUM(AY730:AY734)</f>
        <v>0</v>
      </c>
      <c r="AZ729" s="299">
        <f t="shared" si="851"/>
        <v>0</v>
      </c>
      <c r="BA729" s="299">
        <f t="shared" si="851"/>
        <v>0</v>
      </c>
      <c r="BB729" s="192">
        <v>5</v>
      </c>
      <c r="BC729" s="256" t="s">
        <v>647</v>
      </c>
      <c r="BD729" s="256" t="s">
        <v>632</v>
      </c>
      <c r="BE729" s="256" t="s">
        <v>766</v>
      </c>
      <c r="BF729" s="256" t="s">
        <v>630</v>
      </c>
      <c r="BG729" s="185" t="s">
        <v>53</v>
      </c>
      <c r="BH729" s="302">
        <f>SUM(BH730:BH734)</f>
        <v>0</v>
      </c>
      <c r="BI729" s="192"/>
      <c r="BJ729" s="256" t="s">
        <v>6702</v>
      </c>
      <c r="BK729" s="192" t="s">
        <v>6701</v>
      </c>
      <c r="BL729" s="185" t="s">
        <v>6703</v>
      </c>
      <c r="BM729" s="302">
        <f>SUM(BM730:BM734)</f>
        <v>0</v>
      </c>
      <c r="BN729" s="160"/>
      <c r="BO729" s="161">
        <f t="shared" si="792"/>
        <v>0</v>
      </c>
      <c r="BP729" s="161"/>
    </row>
    <row r="730" spans="1:68" ht="63.75">
      <c r="A730" s="261" t="s">
        <v>360</v>
      </c>
      <c r="B730" s="228" t="s">
        <v>6704</v>
      </c>
      <c r="C730" s="229" t="s">
        <v>6705</v>
      </c>
      <c r="D730" s="146" t="s">
        <v>4692</v>
      </c>
      <c r="E730" s="196" t="s">
        <v>6705</v>
      </c>
      <c r="F730" s="150">
        <v>0</v>
      </c>
      <c r="G730" s="209">
        <v>0</v>
      </c>
      <c r="H730" s="209"/>
      <c r="I730" s="209">
        <v>0</v>
      </c>
      <c r="J730" s="150">
        <v>0</v>
      </c>
      <c r="K730" s="150">
        <v>0</v>
      </c>
      <c r="L730" s="150">
        <f t="shared" si="829"/>
        <v>0</v>
      </c>
      <c r="M730" s="150">
        <v>0</v>
      </c>
      <c r="N730" s="150"/>
      <c r="O730" s="150">
        <v>0</v>
      </c>
      <c r="P730" s="150">
        <v>0</v>
      </c>
      <c r="Q730" s="150"/>
      <c r="R730" s="150">
        <f>P730+Q730</f>
        <v>0</v>
      </c>
      <c r="S730" s="150">
        <f t="shared" si="819"/>
        <v>0</v>
      </c>
      <c r="T730" s="150"/>
      <c r="U730" s="150">
        <v>0</v>
      </c>
      <c r="V730" s="199"/>
      <c r="W730" s="150">
        <f>U730+V730</f>
        <v>0</v>
      </c>
      <c r="X730" s="150">
        <v>0</v>
      </c>
      <c r="Y730" s="150"/>
      <c r="Z730" s="150">
        <v>0</v>
      </c>
      <c r="AA730" s="150">
        <f t="shared" si="820"/>
        <v>0</v>
      </c>
      <c r="AB730" s="150">
        <v>0</v>
      </c>
      <c r="AC730" s="199"/>
      <c r="AD730" s="150">
        <f>AB730+AC730</f>
        <v>0</v>
      </c>
      <c r="AE730" s="150">
        <v>0</v>
      </c>
      <c r="AF730" s="169" t="s">
        <v>4680</v>
      </c>
      <c r="AG730" s="201">
        <v>0</v>
      </c>
      <c r="AH730" s="199"/>
      <c r="AI730" s="150">
        <v>0</v>
      </c>
      <c r="AJ730" s="169">
        <f t="shared" si="821"/>
        <v>0</v>
      </c>
      <c r="AK730" s="201">
        <v>0</v>
      </c>
      <c r="AL730" s="199"/>
      <c r="AM730" s="150">
        <f>AK730+AL730</f>
        <v>0</v>
      </c>
      <c r="AN730" s="153">
        <f t="shared" si="822"/>
        <v>0</v>
      </c>
      <c r="AO730" s="154">
        <f t="shared" si="823"/>
        <v>0</v>
      </c>
      <c r="AP730" s="150">
        <v>0</v>
      </c>
      <c r="AQ730" s="201">
        <v>0</v>
      </c>
      <c r="AR730" s="199"/>
      <c r="AS730" s="150">
        <f>AQ730+AR730</f>
        <v>0</v>
      </c>
      <c r="AT730" s="155" t="s">
        <v>4796</v>
      </c>
      <c r="AU730" s="156">
        <f t="shared" si="817"/>
        <v>0</v>
      </c>
      <c r="AV730" s="156">
        <f t="shared" si="818"/>
        <v>0</v>
      </c>
      <c r="AW730" s="157" t="s">
        <v>4796</v>
      </c>
      <c r="AX730" s="150">
        <v>0</v>
      </c>
      <c r="AY730" s="150">
        <v>0</v>
      </c>
      <c r="AZ730" s="150"/>
      <c r="BA730" s="150">
        <f t="shared" si="810"/>
        <v>0</v>
      </c>
      <c r="BB730" s="202">
        <v>5</v>
      </c>
      <c r="BC730" s="202" t="s">
        <v>647</v>
      </c>
      <c r="BD730" s="202" t="s">
        <v>632</v>
      </c>
      <c r="BE730" s="202" t="s">
        <v>766</v>
      </c>
      <c r="BF730" s="202" t="s">
        <v>632</v>
      </c>
      <c r="BG730" s="203" t="s">
        <v>6706</v>
      </c>
      <c r="BH730" s="216">
        <f>AS730</f>
        <v>0</v>
      </c>
      <c r="BI730" s="206" t="s">
        <v>1519</v>
      </c>
      <c r="BJ730" s="206" t="s">
        <v>6707</v>
      </c>
      <c r="BK730" s="206" t="s">
        <v>360</v>
      </c>
      <c r="BL730" s="207" t="s">
        <v>6708</v>
      </c>
      <c r="BM730" s="208">
        <f>BH730</f>
        <v>0</v>
      </c>
      <c r="BN730" s="160"/>
      <c r="BO730" s="161">
        <f t="shared" si="792"/>
        <v>0</v>
      </c>
      <c r="BP730" s="161"/>
    </row>
    <row r="731" spans="1:68" ht="63.75">
      <c r="A731" s="206" t="s">
        <v>361</v>
      </c>
      <c r="B731" s="195" t="s">
        <v>6709</v>
      </c>
      <c r="C731" s="196" t="s">
        <v>6710</v>
      </c>
      <c r="D731" s="146" t="s">
        <v>4692</v>
      </c>
      <c r="E731" s="196" t="s">
        <v>6710</v>
      </c>
      <c r="F731" s="150">
        <v>0</v>
      </c>
      <c r="G731" s="209">
        <v>0</v>
      </c>
      <c r="H731" s="209"/>
      <c r="I731" s="209">
        <v>0</v>
      </c>
      <c r="J731" s="150">
        <v>0</v>
      </c>
      <c r="K731" s="150">
        <v>0</v>
      </c>
      <c r="L731" s="150">
        <f t="shared" si="829"/>
        <v>0</v>
      </c>
      <c r="M731" s="150">
        <v>0</v>
      </c>
      <c r="N731" s="150"/>
      <c r="O731" s="150">
        <v>0</v>
      </c>
      <c r="P731" s="150">
        <v>0</v>
      </c>
      <c r="Q731" s="150"/>
      <c r="R731" s="150">
        <f>P731+Q731</f>
        <v>0</v>
      </c>
      <c r="S731" s="150">
        <f t="shared" si="819"/>
        <v>0</v>
      </c>
      <c r="T731" s="150"/>
      <c r="U731" s="150">
        <v>0</v>
      </c>
      <c r="V731" s="199"/>
      <c r="W731" s="150">
        <f>U731+V731</f>
        <v>0</v>
      </c>
      <c r="X731" s="150">
        <v>0</v>
      </c>
      <c r="Y731" s="150"/>
      <c r="Z731" s="150">
        <v>0</v>
      </c>
      <c r="AA731" s="150">
        <f t="shared" si="820"/>
        <v>0</v>
      </c>
      <c r="AB731" s="150">
        <v>0</v>
      </c>
      <c r="AC731" s="199"/>
      <c r="AD731" s="150">
        <f>AB731+AC731</f>
        <v>0</v>
      </c>
      <c r="AE731" s="150">
        <v>0</v>
      </c>
      <c r="AF731" s="169" t="s">
        <v>4680</v>
      </c>
      <c r="AG731" s="201">
        <v>0</v>
      </c>
      <c r="AH731" s="199"/>
      <c r="AI731" s="150">
        <v>0</v>
      </c>
      <c r="AJ731" s="169">
        <f t="shared" si="821"/>
        <v>0</v>
      </c>
      <c r="AK731" s="201">
        <v>0</v>
      </c>
      <c r="AL731" s="199"/>
      <c r="AM731" s="150">
        <f>AK731+AL731</f>
        <v>0</v>
      </c>
      <c r="AN731" s="153">
        <f t="shared" si="822"/>
        <v>0</v>
      </c>
      <c r="AO731" s="154">
        <f t="shared" si="823"/>
        <v>0</v>
      </c>
      <c r="AP731" s="150">
        <v>0</v>
      </c>
      <c r="AQ731" s="201">
        <v>0</v>
      </c>
      <c r="AR731" s="199"/>
      <c r="AS731" s="150">
        <f>AQ731+AR731</f>
        <v>0</v>
      </c>
      <c r="AT731" s="155"/>
      <c r="AU731" s="156">
        <f t="shared" si="817"/>
        <v>0</v>
      </c>
      <c r="AV731" s="156">
        <f t="shared" si="818"/>
        <v>0</v>
      </c>
      <c r="AW731" s="157"/>
      <c r="AX731" s="150">
        <v>0</v>
      </c>
      <c r="AY731" s="150">
        <v>0</v>
      </c>
      <c r="AZ731" s="150"/>
      <c r="BA731" s="150">
        <f t="shared" si="810"/>
        <v>0</v>
      </c>
      <c r="BB731" s="202">
        <v>5</v>
      </c>
      <c r="BC731" s="202" t="s">
        <v>647</v>
      </c>
      <c r="BD731" s="202" t="s">
        <v>632</v>
      </c>
      <c r="BE731" s="202" t="s">
        <v>766</v>
      </c>
      <c r="BF731" s="202" t="s">
        <v>647</v>
      </c>
      <c r="BG731" s="203" t="s">
        <v>6711</v>
      </c>
      <c r="BH731" s="216">
        <f>AS731</f>
        <v>0</v>
      </c>
      <c r="BI731" s="205"/>
      <c r="BJ731" s="206" t="s">
        <v>6712</v>
      </c>
      <c r="BK731" s="206" t="s">
        <v>361</v>
      </c>
      <c r="BL731" s="207" t="s">
        <v>6713</v>
      </c>
      <c r="BM731" s="208">
        <f>BH731</f>
        <v>0</v>
      </c>
      <c r="BN731" s="160"/>
      <c r="BO731" s="161">
        <f t="shared" si="792"/>
        <v>0</v>
      </c>
      <c r="BP731" s="161"/>
    </row>
    <row r="732" spans="1:68" ht="63.75">
      <c r="A732" s="206" t="s">
        <v>362</v>
      </c>
      <c r="B732" s="195" t="s">
        <v>6714</v>
      </c>
      <c r="C732" s="196" t="s">
        <v>6715</v>
      </c>
      <c r="D732" s="146" t="s">
        <v>4692</v>
      </c>
      <c r="E732" s="196" t="s">
        <v>6715</v>
      </c>
      <c r="F732" s="150">
        <v>0</v>
      </c>
      <c r="G732" s="209">
        <v>0</v>
      </c>
      <c r="H732" s="209"/>
      <c r="I732" s="209">
        <v>0</v>
      </c>
      <c r="J732" s="150">
        <v>0</v>
      </c>
      <c r="K732" s="150">
        <v>0</v>
      </c>
      <c r="L732" s="150">
        <f t="shared" si="829"/>
        <v>0</v>
      </c>
      <c r="M732" s="150">
        <v>0</v>
      </c>
      <c r="N732" s="150"/>
      <c r="O732" s="150">
        <v>0</v>
      </c>
      <c r="P732" s="150">
        <v>0</v>
      </c>
      <c r="Q732" s="150"/>
      <c r="R732" s="150">
        <f>P732+Q732</f>
        <v>0</v>
      </c>
      <c r="S732" s="150">
        <f t="shared" si="819"/>
        <v>0</v>
      </c>
      <c r="T732" s="150"/>
      <c r="U732" s="150">
        <v>0</v>
      </c>
      <c r="V732" s="199"/>
      <c r="W732" s="150">
        <f>U732+V732</f>
        <v>0</v>
      </c>
      <c r="X732" s="150">
        <v>0</v>
      </c>
      <c r="Y732" s="150"/>
      <c r="Z732" s="150">
        <v>0</v>
      </c>
      <c r="AA732" s="150">
        <f t="shared" si="820"/>
        <v>0</v>
      </c>
      <c r="AB732" s="150">
        <v>0</v>
      </c>
      <c r="AC732" s="199"/>
      <c r="AD732" s="150">
        <f>AB732+AC732</f>
        <v>0</v>
      </c>
      <c r="AE732" s="150">
        <v>0</v>
      </c>
      <c r="AF732" s="169" t="s">
        <v>4680</v>
      </c>
      <c r="AG732" s="201">
        <v>0</v>
      </c>
      <c r="AH732" s="199"/>
      <c r="AI732" s="150">
        <v>0</v>
      </c>
      <c r="AJ732" s="169">
        <f t="shared" si="821"/>
        <v>0</v>
      </c>
      <c r="AK732" s="201">
        <v>0</v>
      </c>
      <c r="AL732" s="199"/>
      <c r="AM732" s="150">
        <f>AK732+AL732</f>
        <v>0</v>
      </c>
      <c r="AN732" s="153">
        <f t="shared" si="822"/>
        <v>0</v>
      </c>
      <c r="AO732" s="154">
        <f t="shared" si="823"/>
        <v>0</v>
      </c>
      <c r="AP732" s="150">
        <v>0</v>
      </c>
      <c r="AQ732" s="201">
        <v>0</v>
      </c>
      <c r="AR732" s="199"/>
      <c r="AS732" s="150">
        <f>AQ732+AR732</f>
        <v>0</v>
      </c>
      <c r="AT732" s="155"/>
      <c r="AU732" s="156">
        <f t="shared" si="817"/>
        <v>0</v>
      </c>
      <c r="AV732" s="156">
        <f t="shared" si="818"/>
        <v>0</v>
      </c>
      <c r="AW732" s="157"/>
      <c r="AX732" s="150">
        <v>0</v>
      </c>
      <c r="AY732" s="150">
        <v>0</v>
      </c>
      <c r="AZ732" s="150"/>
      <c r="BA732" s="150">
        <f t="shared" si="810"/>
        <v>0</v>
      </c>
      <c r="BB732" s="202">
        <v>5</v>
      </c>
      <c r="BC732" s="202" t="s">
        <v>647</v>
      </c>
      <c r="BD732" s="202" t="s">
        <v>632</v>
      </c>
      <c r="BE732" s="202" t="s">
        <v>766</v>
      </c>
      <c r="BF732" s="202" t="s">
        <v>671</v>
      </c>
      <c r="BG732" s="203" t="s">
        <v>6716</v>
      </c>
      <c r="BH732" s="216">
        <f>AS732</f>
        <v>0</v>
      </c>
      <c r="BI732" s="206" t="s">
        <v>1340</v>
      </c>
      <c r="BJ732" s="206" t="s">
        <v>6717</v>
      </c>
      <c r="BK732" s="206" t="s">
        <v>362</v>
      </c>
      <c r="BL732" s="207" t="s">
        <v>6718</v>
      </c>
      <c r="BM732" s="208">
        <f>BH732</f>
        <v>0</v>
      </c>
      <c r="BN732" s="160"/>
      <c r="BO732" s="161">
        <f t="shared" ref="BO732:BO795" si="852">BM732-AS732</f>
        <v>0</v>
      </c>
      <c r="BP732" s="161"/>
    </row>
    <row r="733" spans="1:68" ht="51">
      <c r="A733" s="206" t="s">
        <v>363</v>
      </c>
      <c r="B733" s="195" t="s">
        <v>6719</v>
      </c>
      <c r="C733" s="196" t="s">
        <v>6720</v>
      </c>
      <c r="D733" s="146" t="s">
        <v>4692</v>
      </c>
      <c r="E733" s="196" t="s">
        <v>6720</v>
      </c>
      <c r="F733" s="150">
        <v>0</v>
      </c>
      <c r="G733" s="209">
        <v>0</v>
      </c>
      <c r="H733" s="209"/>
      <c r="I733" s="209">
        <v>0</v>
      </c>
      <c r="J733" s="150">
        <v>0</v>
      </c>
      <c r="K733" s="150">
        <v>0</v>
      </c>
      <c r="L733" s="150">
        <f t="shared" si="829"/>
        <v>0</v>
      </c>
      <c r="M733" s="150">
        <v>0</v>
      </c>
      <c r="N733" s="150"/>
      <c r="O733" s="150">
        <v>0</v>
      </c>
      <c r="P733" s="150">
        <v>0</v>
      </c>
      <c r="Q733" s="150"/>
      <c r="R733" s="150">
        <f>P733+Q733</f>
        <v>0</v>
      </c>
      <c r="S733" s="150">
        <f t="shared" si="819"/>
        <v>0</v>
      </c>
      <c r="T733" s="150"/>
      <c r="U733" s="150">
        <v>0</v>
      </c>
      <c r="V733" s="199"/>
      <c r="W733" s="150">
        <f>U733+V733</f>
        <v>0</v>
      </c>
      <c r="X733" s="150">
        <v>0</v>
      </c>
      <c r="Y733" s="150"/>
      <c r="Z733" s="150">
        <v>0</v>
      </c>
      <c r="AA733" s="150">
        <f t="shared" si="820"/>
        <v>0</v>
      </c>
      <c r="AB733" s="150">
        <v>0</v>
      </c>
      <c r="AC733" s="199"/>
      <c r="AD733" s="150">
        <f>AB733+AC733</f>
        <v>0</v>
      </c>
      <c r="AE733" s="150">
        <v>0</v>
      </c>
      <c r="AF733" s="169" t="s">
        <v>4680</v>
      </c>
      <c r="AG733" s="201">
        <v>0</v>
      </c>
      <c r="AH733" s="199"/>
      <c r="AI733" s="150">
        <v>0</v>
      </c>
      <c r="AJ733" s="169">
        <f t="shared" si="821"/>
        <v>0</v>
      </c>
      <c r="AK733" s="201">
        <v>0</v>
      </c>
      <c r="AL733" s="199"/>
      <c r="AM733" s="150">
        <f>AK733+AL733</f>
        <v>0</v>
      </c>
      <c r="AN733" s="153">
        <f t="shared" si="822"/>
        <v>0</v>
      </c>
      <c r="AO733" s="154">
        <f t="shared" si="823"/>
        <v>0</v>
      </c>
      <c r="AP733" s="150">
        <v>0</v>
      </c>
      <c r="AQ733" s="201">
        <v>0</v>
      </c>
      <c r="AR733" s="199"/>
      <c r="AS733" s="150">
        <f>AQ733+AR733</f>
        <v>0</v>
      </c>
      <c r="AT733" s="155"/>
      <c r="AU733" s="156">
        <f t="shared" si="817"/>
        <v>0</v>
      </c>
      <c r="AV733" s="156">
        <f t="shared" si="818"/>
        <v>0</v>
      </c>
      <c r="AW733" s="157"/>
      <c r="AX733" s="150">
        <v>0</v>
      </c>
      <c r="AY733" s="150">
        <v>0</v>
      </c>
      <c r="AZ733" s="150"/>
      <c r="BA733" s="150">
        <f t="shared" si="810"/>
        <v>0</v>
      </c>
      <c r="BB733" s="202">
        <v>5</v>
      </c>
      <c r="BC733" s="202" t="s">
        <v>647</v>
      </c>
      <c r="BD733" s="202" t="s">
        <v>632</v>
      </c>
      <c r="BE733" s="202" t="s">
        <v>766</v>
      </c>
      <c r="BF733" s="202" t="s">
        <v>693</v>
      </c>
      <c r="BG733" s="203" t="s">
        <v>6721</v>
      </c>
      <c r="BH733" s="216">
        <f>AS733</f>
        <v>0</v>
      </c>
      <c r="BI733" s="205"/>
      <c r="BJ733" s="206" t="s">
        <v>6722</v>
      </c>
      <c r="BK733" s="206" t="s">
        <v>363</v>
      </c>
      <c r="BL733" s="207" t="s">
        <v>6723</v>
      </c>
      <c r="BM733" s="208">
        <f>BH733</f>
        <v>0</v>
      </c>
      <c r="BN733" s="160"/>
      <c r="BO733" s="161">
        <f t="shared" si="852"/>
        <v>0</v>
      </c>
      <c r="BP733" s="161"/>
    </row>
    <row r="734" spans="1:68" ht="51">
      <c r="A734" s="206" t="s">
        <v>364</v>
      </c>
      <c r="B734" s="195" t="s">
        <v>6724</v>
      </c>
      <c r="C734" s="196" t="s">
        <v>6725</v>
      </c>
      <c r="D734" s="146" t="s">
        <v>4692</v>
      </c>
      <c r="E734" s="196" t="s">
        <v>6725</v>
      </c>
      <c r="F734" s="150">
        <v>0</v>
      </c>
      <c r="G734" s="209">
        <v>0</v>
      </c>
      <c r="H734" s="209">
        <v>0</v>
      </c>
      <c r="I734" s="209">
        <v>0</v>
      </c>
      <c r="J734" s="150">
        <v>0</v>
      </c>
      <c r="K734" s="150">
        <v>0</v>
      </c>
      <c r="L734" s="150">
        <f t="shared" si="829"/>
        <v>0</v>
      </c>
      <c r="M734" s="150">
        <v>0</v>
      </c>
      <c r="N734" s="150"/>
      <c r="O734" s="150">
        <v>0</v>
      </c>
      <c r="P734" s="150">
        <v>0</v>
      </c>
      <c r="Q734" s="150"/>
      <c r="R734" s="150">
        <f>P734+Q734</f>
        <v>0</v>
      </c>
      <c r="S734" s="150">
        <f t="shared" si="819"/>
        <v>0</v>
      </c>
      <c r="T734" s="150"/>
      <c r="U734" s="150">
        <v>0</v>
      </c>
      <c r="V734" s="199"/>
      <c r="W734" s="150">
        <f>U734+V734</f>
        <v>0</v>
      </c>
      <c r="X734" s="150">
        <v>0</v>
      </c>
      <c r="Y734" s="150"/>
      <c r="Z734" s="150">
        <v>0</v>
      </c>
      <c r="AA734" s="150">
        <f t="shared" si="820"/>
        <v>0</v>
      </c>
      <c r="AB734" s="150">
        <v>0</v>
      </c>
      <c r="AC734" s="199"/>
      <c r="AD734" s="150">
        <f>AB734+AC734</f>
        <v>0</v>
      </c>
      <c r="AE734" s="150">
        <v>0</v>
      </c>
      <c r="AF734" s="169" t="s">
        <v>4680</v>
      </c>
      <c r="AG734" s="201">
        <v>0</v>
      </c>
      <c r="AH734" s="199"/>
      <c r="AI734" s="150">
        <v>0</v>
      </c>
      <c r="AJ734" s="169">
        <f t="shared" si="821"/>
        <v>0</v>
      </c>
      <c r="AK734" s="201">
        <v>0</v>
      </c>
      <c r="AL734" s="199"/>
      <c r="AM734" s="150">
        <f>AK734+AL734</f>
        <v>0</v>
      </c>
      <c r="AN734" s="153">
        <f t="shared" si="822"/>
        <v>0</v>
      </c>
      <c r="AO734" s="154">
        <f t="shared" si="823"/>
        <v>0</v>
      </c>
      <c r="AP734" s="150">
        <v>0</v>
      </c>
      <c r="AQ734" s="201">
        <v>0</v>
      </c>
      <c r="AR734" s="199"/>
      <c r="AS734" s="150">
        <f>AQ734+AR734</f>
        <v>0</v>
      </c>
      <c r="AT734" s="155"/>
      <c r="AU734" s="156">
        <f t="shared" si="817"/>
        <v>0</v>
      </c>
      <c r="AV734" s="156">
        <f t="shared" si="818"/>
        <v>0</v>
      </c>
      <c r="AW734" s="157"/>
      <c r="AX734" s="150">
        <v>0</v>
      </c>
      <c r="AY734" s="150">
        <v>0</v>
      </c>
      <c r="AZ734" s="150"/>
      <c r="BA734" s="150">
        <f t="shared" si="810"/>
        <v>0</v>
      </c>
      <c r="BB734" s="202">
        <v>5</v>
      </c>
      <c r="BC734" s="202" t="s">
        <v>647</v>
      </c>
      <c r="BD734" s="202" t="s">
        <v>632</v>
      </c>
      <c r="BE734" s="202" t="s">
        <v>766</v>
      </c>
      <c r="BF734" s="202" t="s">
        <v>714</v>
      </c>
      <c r="BG734" s="203" t="s">
        <v>6726</v>
      </c>
      <c r="BH734" s="216">
        <f>AS734</f>
        <v>0</v>
      </c>
      <c r="BI734" s="205"/>
      <c r="BJ734" s="206" t="s">
        <v>6727</v>
      </c>
      <c r="BK734" s="206" t="s">
        <v>364</v>
      </c>
      <c r="BL734" s="207" t="s">
        <v>6728</v>
      </c>
      <c r="BM734" s="208">
        <f>BH734</f>
        <v>0</v>
      </c>
      <c r="BN734" s="160"/>
      <c r="BO734" s="161">
        <f t="shared" si="852"/>
        <v>0</v>
      </c>
      <c r="BP734" s="161"/>
    </row>
    <row r="735" spans="1:68" ht="25.5">
      <c r="A735" s="192" t="s">
        <v>6729</v>
      </c>
      <c r="B735" s="184"/>
      <c r="C735" s="185" t="s">
        <v>310</v>
      </c>
      <c r="D735" s="146" t="s">
        <v>4692</v>
      </c>
      <c r="E735" s="185" t="s">
        <v>310</v>
      </c>
      <c r="F735" s="188">
        <v>0</v>
      </c>
      <c r="G735" s="187">
        <v>0</v>
      </c>
      <c r="H735" s="187"/>
      <c r="I735" s="187">
        <v>0</v>
      </c>
      <c r="J735" s="188">
        <f>SUM(J736:J742)</f>
        <v>0</v>
      </c>
      <c r="K735" s="188">
        <f>SUM(K736:K742)</f>
        <v>0</v>
      </c>
      <c r="L735" s="188">
        <f t="shared" si="829"/>
        <v>0</v>
      </c>
      <c r="M735" s="188">
        <v>0</v>
      </c>
      <c r="N735" s="188">
        <v>0</v>
      </c>
      <c r="O735" s="188">
        <v>0</v>
      </c>
      <c r="P735" s="299">
        <f t="shared" ref="P735:AD735" si="853">SUM(P736:P742)</f>
        <v>0</v>
      </c>
      <c r="Q735" s="299">
        <f t="shared" si="853"/>
        <v>0</v>
      </c>
      <c r="R735" s="299">
        <f t="shared" si="853"/>
        <v>0</v>
      </c>
      <c r="S735" s="150">
        <f t="shared" si="819"/>
        <v>0</v>
      </c>
      <c r="T735" s="213"/>
      <c r="U735" s="299">
        <f t="shared" ref="U735:W735" si="854">SUM(U736:U742)</f>
        <v>0</v>
      </c>
      <c r="V735" s="226">
        <f t="shared" si="854"/>
        <v>0</v>
      </c>
      <c r="W735" s="299">
        <f t="shared" si="854"/>
        <v>0</v>
      </c>
      <c r="X735" s="299">
        <v>0</v>
      </c>
      <c r="Y735" s="299">
        <v>0</v>
      </c>
      <c r="Z735" s="299">
        <v>0</v>
      </c>
      <c r="AA735" s="299">
        <f t="shared" si="820"/>
        <v>0</v>
      </c>
      <c r="AB735" s="299">
        <v>0</v>
      </c>
      <c r="AC735" s="226">
        <v>0</v>
      </c>
      <c r="AD735" s="299">
        <f t="shared" si="853"/>
        <v>0</v>
      </c>
      <c r="AE735" s="299">
        <v>0</v>
      </c>
      <c r="AF735" s="169" t="s">
        <v>4680</v>
      </c>
      <c r="AG735" s="301">
        <v>0</v>
      </c>
      <c r="AH735" s="226">
        <v>0</v>
      </c>
      <c r="AI735" s="299">
        <v>0</v>
      </c>
      <c r="AJ735" s="169">
        <f t="shared" si="821"/>
        <v>0</v>
      </c>
      <c r="AK735" s="301">
        <v>0</v>
      </c>
      <c r="AL735" s="226">
        <v>0</v>
      </c>
      <c r="AM735" s="299">
        <f t="shared" ref="AM735" si="855">SUM(AM736:AM742)</f>
        <v>0</v>
      </c>
      <c r="AN735" s="153">
        <f t="shared" si="822"/>
        <v>0</v>
      </c>
      <c r="AO735" s="154">
        <f t="shared" si="823"/>
        <v>0</v>
      </c>
      <c r="AP735" s="299">
        <v>0</v>
      </c>
      <c r="AQ735" s="301">
        <v>0</v>
      </c>
      <c r="AR735" s="226">
        <f t="shared" ref="AR735:AS735" si="856">SUM(AR736:AR742)</f>
        <v>0</v>
      </c>
      <c r="AS735" s="299">
        <f t="shared" si="856"/>
        <v>0</v>
      </c>
      <c r="AT735" s="155"/>
      <c r="AU735" s="156">
        <f t="shared" si="817"/>
        <v>0</v>
      </c>
      <c r="AV735" s="156">
        <f t="shared" si="818"/>
        <v>0</v>
      </c>
      <c r="AW735" s="157"/>
      <c r="AX735" s="150">
        <v>0</v>
      </c>
      <c r="AY735" s="299">
        <f t="shared" ref="AY735:BA735" si="857">SUM(AY736:AY742)</f>
        <v>0</v>
      </c>
      <c r="AZ735" s="299">
        <f t="shared" si="857"/>
        <v>0</v>
      </c>
      <c r="BA735" s="299">
        <f t="shared" si="857"/>
        <v>0</v>
      </c>
      <c r="BB735" s="192">
        <v>5</v>
      </c>
      <c r="BC735" s="256" t="s">
        <v>647</v>
      </c>
      <c r="BD735" s="256" t="s">
        <v>632</v>
      </c>
      <c r="BE735" s="256" t="s">
        <v>779</v>
      </c>
      <c r="BF735" s="256" t="s">
        <v>630</v>
      </c>
      <c r="BG735" s="185" t="s">
        <v>310</v>
      </c>
      <c r="BH735" s="302">
        <f>SUM(BH736:BH742)</f>
        <v>0</v>
      </c>
      <c r="BI735" s="192"/>
      <c r="BJ735" s="256" t="s">
        <v>6730</v>
      </c>
      <c r="BK735" s="192" t="s">
        <v>6729</v>
      </c>
      <c r="BL735" s="185" t="s">
        <v>6731</v>
      </c>
      <c r="BM735" s="302">
        <f>SUM(BM736:BM742)</f>
        <v>0</v>
      </c>
      <c r="BN735" s="160"/>
      <c r="BO735" s="161">
        <f t="shared" si="852"/>
        <v>0</v>
      </c>
      <c r="BP735" s="161"/>
    </row>
    <row r="736" spans="1:68" ht="63.75">
      <c r="A736" s="261" t="s">
        <v>365</v>
      </c>
      <c r="B736" s="228" t="s">
        <v>6732</v>
      </c>
      <c r="C736" s="229" t="s">
        <v>6733</v>
      </c>
      <c r="D736" s="146" t="s">
        <v>4692</v>
      </c>
      <c r="E736" s="196" t="s">
        <v>6733</v>
      </c>
      <c r="F736" s="150">
        <v>0</v>
      </c>
      <c r="G736" s="209">
        <v>0</v>
      </c>
      <c r="H736" s="209"/>
      <c r="I736" s="209">
        <v>0</v>
      </c>
      <c r="J736" s="150">
        <v>0</v>
      </c>
      <c r="K736" s="150">
        <v>0</v>
      </c>
      <c r="L736" s="150">
        <f t="shared" si="829"/>
        <v>0</v>
      </c>
      <c r="M736" s="150">
        <v>0</v>
      </c>
      <c r="N736" s="150"/>
      <c r="O736" s="150">
        <v>0</v>
      </c>
      <c r="P736" s="150">
        <v>0</v>
      </c>
      <c r="Q736" s="150"/>
      <c r="R736" s="150">
        <f t="shared" ref="R736:R748" si="858">P736+Q736</f>
        <v>0</v>
      </c>
      <c r="S736" s="150">
        <f t="shared" si="819"/>
        <v>0</v>
      </c>
      <c r="T736" s="150"/>
      <c r="U736" s="150">
        <v>0</v>
      </c>
      <c r="V736" s="199"/>
      <c r="W736" s="150">
        <f t="shared" ref="W736:W748" si="859">U736+V736</f>
        <v>0</v>
      </c>
      <c r="X736" s="150">
        <v>0</v>
      </c>
      <c r="Y736" s="150"/>
      <c r="Z736" s="150">
        <v>0</v>
      </c>
      <c r="AA736" s="150">
        <f t="shared" si="820"/>
        <v>0</v>
      </c>
      <c r="AB736" s="150">
        <v>0</v>
      </c>
      <c r="AC736" s="199"/>
      <c r="AD736" s="150">
        <f t="shared" ref="AD736:AD748" si="860">AB736+AC736</f>
        <v>0</v>
      </c>
      <c r="AE736" s="150">
        <v>0</v>
      </c>
      <c r="AF736" s="169" t="s">
        <v>4680</v>
      </c>
      <c r="AG736" s="201">
        <v>0</v>
      </c>
      <c r="AH736" s="199"/>
      <c r="AI736" s="150">
        <v>0</v>
      </c>
      <c r="AJ736" s="169">
        <f t="shared" si="821"/>
        <v>0</v>
      </c>
      <c r="AK736" s="201">
        <v>0</v>
      </c>
      <c r="AL736" s="199"/>
      <c r="AM736" s="150">
        <f t="shared" ref="AM736:AM748" si="861">AK736+AL736</f>
        <v>0</v>
      </c>
      <c r="AN736" s="153">
        <f t="shared" si="822"/>
        <v>0</v>
      </c>
      <c r="AO736" s="154">
        <f t="shared" si="823"/>
        <v>0</v>
      </c>
      <c r="AP736" s="150">
        <v>0</v>
      </c>
      <c r="AQ736" s="201">
        <v>0</v>
      </c>
      <c r="AR736" s="199"/>
      <c r="AS736" s="150">
        <f t="shared" ref="AS736:AS748" si="862">AQ736+AR736</f>
        <v>0</v>
      </c>
      <c r="AT736" s="155" t="s">
        <v>4796</v>
      </c>
      <c r="AU736" s="156">
        <f t="shared" si="817"/>
        <v>0</v>
      </c>
      <c r="AV736" s="156">
        <f t="shared" si="818"/>
        <v>0</v>
      </c>
      <c r="AW736" s="157" t="s">
        <v>4796</v>
      </c>
      <c r="AX736" s="150">
        <v>0</v>
      </c>
      <c r="AY736" s="150">
        <v>0</v>
      </c>
      <c r="AZ736" s="150"/>
      <c r="BA736" s="150">
        <f t="shared" si="810"/>
        <v>0</v>
      </c>
      <c r="BB736" s="202">
        <v>5</v>
      </c>
      <c r="BC736" s="202" t="s">
        <v>647</v>
      </c>
      <c r="BD736" s="202" t="s">
        <v>632</v>
      </c>
      <c r="BE736" s="202" t="s">
        <v>779</v>
      </c>
      <c r="BF736" s="202" t="s">
        <v>632</v>
      </c>
      <c r="BG736" s="203" t="s">
        <v>6470</v>
      </c>
      <c r="BH736" s="216">
        <f t="shared" ref="BH736:BH742" si="863">AS736</f>
        <v>0</v>
      </c>
      <c r="BI736" s="206" t="s">
        <v>1519</v>
      </c>
      <c r="BJ736" s="206" t="s">
        <v>6734</v>
      </c>
      <c r="BK736" s="206" t="s">
        <v>365</v>
      </c>
      <c r="BL736" s="207" t="s">
        <v>6735</v>
      </c>
      <c r="BM736" s="208">
        <f t="shared" ref="BM736:BM742" si="864">BH736</f>
        <v>0</v>
      </c>
      <c r="BN736" s="160"/>
      <c r="BO736" s="161">
        <f t="shared" si="852"/>
        <v>0</v>
      </c>
      <c r="BP736" s="161"/>
    </row>
    <row r="737" spans="1:68" ht="51">
      <c r="A737" s="206" t="s">
        <v>366</v>
      </c>
      <c r="B737" s="195" t="s">
        <v>6736</v>
      </c>
      <c r="C737" s="196" t="s">
        <v>6737</v>
      </c>
      <c r="D737" s="146" t="s">
        <v>4692</v>
      </c>
      <c r="E737" s="196" t="s">
        <v>6737</v>
      </c>
      <c r="F737" s="150">
        <v>0</v>
      </c>
      <c r="G737" s="209">
        <v>0</v>
      </c>
      <c r="H737" s="209"/>
      <c r="I737" s="209">
        <v>0</v>
      </c>
      <c r="J737" s="150">
        <v>0</v>
      </c>
      <c r="K737" s="150">
        <v>0</v>
      </c>
      <c r="L737" s="150">
        <f t="shared" si="829"/>
        <v>0</v>
      </c>
      <c r="M737" s="150">
        <v>0</v>
      </c>
      <c r="N737" s="150"/>
      <c r="O737" s="150">
        <v>0</v>
      </c>
      <c r="P737" s="150">
        <v>0</v>
      </c>
      <c r="Q737" s="150"/>
      <c r="R737" s="150">
        <f t="shared" si="858"/>
        <v>0</v>
      </c>
      <c r="S737" s="150">
        <f t="shared" si="819"/>
        <v>0</v>
      </c>
      <c r="T737" s="150"/>
      <c r="U737" s="150">
        <v>0</v>
      </c>
      <c r="V737" s="199"/>
      <c r="W737" s="150">
        <f t="shared" si="859"/>
        <v>0</v>
      </c>
      <c r="X737" s="150">
        <v>0</v>
      </c>
      <c r="Y737" s="150"/>
      <c r="Z737" s="150">
        <v>0</v>
      </c>
      <c r="AA737" s="150">
        <f t="shared" si="820"/>
        <v>0</v>
      </c>
      <c r="AB737" s="150">
        <v>0</v>
      </c>
      <c r="AC737" s="199"/>
      <c r="AD737" s="150">
        <f t="shared" si="860"/>
        <v>0</v>
      </c>
      <c r="AE737" s="150">
        <v>0</v>
      </c>
      <c r="AF737" s="169" t="s">
        <v>4680</v>
      </c>
      <c r="AG737" s="201">
        <v>0</v>
      </c>
      <c r="AH737" s="199"/>
      <c r="AI737" s="150">
        <v>0</v>
      </c>
      <c r="AJ737" s="169">
        <f t="shared" si="821"/>
        <v>0</v>
      </c>
      <c r="AK737" s="201">
        <v>0</v>
      </c>
      <c r="AL737" s="199"/>
      <c r="AM737" s="150">
        <f t="shared" si="861"/>
        <v>0</v>
      </c>
      <c r="AN737" s="153">
        <f t="shared" si="822"/>
        <v>0</v>
      </c>
      <c r="AO737" s="154">
        <f t="shared" si="823"/>
        <v>0</v>
      </c>
      <c r="AP737" s="150">
        <v>0</v>
      </c>
      <c r="AQ737" s="201">
        <v>0</v>
      </c>
      <c r="AR737" s="199"/>
      <c r="AS737" s="150">
        <f t="shared" si="862"/>
        <v>0</v>
      </c>
      <c r="AT737" s="155"/>
      <c r="AU737" s="156">
        <f t="shared" si="817"/>
        <v>0</v>
      </c>
      <c r="AV737" s="156">
        <f t="shared" si="818"/>
        <v>0</v>
      </c>
      <c r="AW737" s="157"/>
      <c r="AX737" s="150">
        <v>0</v>
      </c>
      <c r="AY737" s="150">
        <v>0</v>
      </c>
      <c r="AZ737" s="150"/>
      <c r="BA737" s="150">
        <f t="shared" si="810"/>
        <v>0</v>
      </c>
      <c r="BB737" s="202">
        <v>5</v>
      </c>
      <c r="BC737" s="202" t="s">
        <v>647</v>
      </c>
      <c r="BD737" s="202" t="s">
        <v>632</v>
      </c>
      <c r="BE737" s="202" t="s">
        <v>779</v>
      </c>
      <c r="BF737" s="202" t="s">
        <v>647</v>
      </c>
      <c r="BG737" s="203" t="s">
        <v>6518</v>
      </c>
      <c r="BH737" s="216">
        <f t="shared" si="863"/>
        <v>0</v>
      </c>
      <c r="BI737" s="205"/>
      <c r="BJ737" s="206" t="s">
        <v>6738</v>
      </c>
      <c r="BK737" s="206" t="s">
        <v>366</v>
      </c>
      <c r="BL737" s="207" t="s">
        <v>6739</v>
      </c>
      <c r="BM737" s="208">
        <f t="shared" si="864"/>
        <v>0</v>
      </c>
      <c r="BN737" s="160"/>
      <c r="BO737" s="161">
        <f t="shared" si="852"/>
        <v>0</v>
      </c>
      <c r="BP737" s="161"/>
    </row>
    <row r="738" spans="1:68" ht="38.25">
      <c r="A738" s="206" t="s">
        <v>367</v>
      </c>
      <c r="B738" s="195" t="s">
        <v>6740</v>
      </c>
      <c r="C738" s="196" t="s">
        <v>6741</v>
      </c>
      <c r="D738" s="146" t="s">
        <v>4692</v>
      </c>
      <c r="E738" s="196" t="s">
        <v>6741</v>
      </c>
      <c r="F738" s="150">
        <v>0</v>
      </c>
      <c r="G738" s="209">
        <v>0</v>
      </c>
      <c r="H738" s="209"/>
      <c r="I738" s="209">
        <v>0</v>
      </c>
      <c r="J738" s="150">
        <v>0</v>
      </c>
      <c r="K738" s="150">
        <v>0</v>
      </c>
      <c r="L738" s="150">
        <f t="shared" si="829"/>
        <v>0</v>
      </c>
      <c r="M738" s="150">
        <v>0</v>
      </c>
      <c r="N738" s="150"/>
      <c r="O738" s="150">
        <v>0</v>
      </c>
      <c r="P738" s="150">
        <v>0</v>
      </c>
      <c r="Q738" s="150"/>
      <c r="R738" s="150">
        <f t="shared" si="858"/>
        <v>0</v>
      </c>
      <c r="S738" s="150">
        <f t="shared" si="819"/>
        <v>0</v>
      </c>
      <c r="T738" s="150"/>
      <c r="U738" s="150">
        <v>0</v>
      </c>
      <c r="V738" s="199"/>
      <c r="W738" s="150">
        <f t="shared" si="859"/>
        <v>0</v>
      </c>
      <c r="X738" s="150">
        <v>0</v>
      </c>
      <c r="Y738" s="150"/>
      <c r="Z738" s="150">
        <v>0</v>
      </c>
      <c r="AA738" s="150">
        <f t="shared" si="820"/>
        <v>0</v>
      </c>
      <c r="AB738" s="150">
        <v>0</v>
      </c>
      <c r="AC738" s="199"/>
      <c r="AD738" s="150">
        <f t="shared" si="860"/>
        <v>0</v>
      </c>
      <c r="AE738" s="150">
        <v>0</v>
      </c>
      <c r="AF738" s="169" t="s">
        <v>4680</v>
      </c>
      <c r="AG738" s="201">
        <v>0</v>
      </c>
      <c r="AH738" s="199"/>
      <c r="AI738" s="150">
        <v>0</v>
      </c>
      <c r="AJ738" s="169">
        <f t="shared" si="821"/>
        <v>0</v>
      </c>
      <c r="AK738" s="201">
        <v>0</v>
      </c>
      <c r="AL738" s="199"/>
      <c r="AM738" s="150">
        <f t="shared" si="861"/>
        <v>0</v>
      </c>
      <c r="AN738" s="153">
        <f t="shared" si="822"/>
        <v>0</v>
      </c>
      <c r="AO738" s="154">
        <f t="shared" si="823"/>
        <v>0</v>
      </c>
      <c r="AP738" s="150">
        <v>0</v>
      </c>
      <c r="AQ738" s="201">
        <v>0</v>
      </c>
      <c r="AR738" s="199"/>
      <c r="AS738" s="150">
        <f t="shared" si="862"/>
        <v>0</v>
      </c>
      <c r="AT738" s="155"/>
      <c r="AU738" s="156">
        <f t="shared" si="817"/>
        <v>0</v>
      </c>
      <c r="AV738" s="156">
        <f t="shared" si="818"/>
        <v>0</v>
      </c>
      <c r="AW738" s="157"/>
      <c r="AX738" s="150">
        <v>0</v>
      </c>
      <c r="AY738" s="150">
        <v>0</v>
      </c>
      <c r="AZ738" s="150"/>
      <c r="BA738" s="150">
        <f t="shared" si="810"/>
        <v>0</v>
      </c>
      <c r="BB738" s="202">
        <v>5</v>
      </c>
      <c r="BC738" s="202" t="s">
        <v>647</v>
      </c>
      <c r="BD738" s="202" t="s">
        <v>632</v>
      </c>
      <c r="BE738" s="202" t="s">
        <v>779</v>
      </c>
      <c r="BF738" s="202" t="s">
        <v>671</v>
      </c>
      <c r="BG738" s="203" t="s">
        <v>6499</v>
      </c>
      <c r="BH738" s="216">
        <f t="shared" si="863"/>
        <v>0</v>
      </c>
      <c r="BI738" s="206" t="s">
        <v>1349</v>
      </c>
      <c r="BJ738" s="206" t="s">
        <v>6742</v>
      </c>
      <c r="BK738" s="206" t="s">
        <v>367</v>
      </c>
      <c r="BL738" s="207" t="s">
        <v>6743</v>
      </c>
      <c r="BM738" s="208">
        <f t="shared" si="864"/>
        <v>0</v>
      </c>
      <c r="BN738" s="160"/>
      <c r="BO738" s="161">
        <f t="shared" si="852"/>
        <v>0</v>
      </c>
      <c r="BP738" s="161"/>
    </row>
    <row r="739" spans="1:68" ht="38.25">
      <c r="A739" s="206" t="s">
        <v>368</v>
      </c>
      <c r="B739" s="195" t="s">
        <v>6744</v>
      </c>
      <c r="C739" s="196" t="s">
        <v>6745</v>
      </c>
      <c r="D739" s="146" t="s">
        <v>4692</v>
      </c>
      <c r="E739" s="196" t="s">
        <v>6745</v>
      </c>
      <c r="F739" s="150">
        <v>0</v>
      </c>
      <c r="G739" s="209">
        <v>0</v>
      </c>
      <c r="H739" s="209"/>
      <c r="I739" s="209">
        <v>0</v>
      </c>
      <c r="J739" s="150">
        <v>0</v>
      </c>
      <c r="K739" s="150">
        <v>0</v>
      </c>
      <c r="L739" s="150">
        <f t="shared" si="829"/>
        <v>0</v>
      </c>
      <c r="M739" s="150">
        <v>0</v>
      </c>
      <c r="N739" s="150"/>
      <c r="O739" s="150">
        <v>0</v>
      </c>
      <c r="P739" s="150">
        <v>0</v>
      </c>
      <c r="Q739" s="150"/>
      <c r="R739" s="150">
        <f t="shared" si="858"/>
        <v>0</v>
      </c>
      <c r="S739" s="150">
        <f t="shared" si="819"/>
        <v>0</v>
      </c>
      <c r="T739" s="150"/>
      <c r="U739" s="150">
        <v>0</v>
      </c>
      <c r="V739" s="199"/>
      <c r="W739" s="150">
        <f t="shared" si="859"/>
        <v>0</v>
      </c>
      <c r="X739" s="150">
        <v>0</v>
      </c>
      <c r="Y739" s="150"/>
      <c r="Z739" s="150">
        <v>0</v>
      </c>
      <c r="AA739" s="150">
        <f t="shared" si="820"/>
        <v>0</v>
      </c>
      <c r="AB739" s="150">
        <v>0</v>
      </c>
      <c r="AC739" s="199"/>
      <c r="AD739" s="150">
        <f t="shared" si="860"/>
        <v>0</v>
      </c>
      <c r="AE739" s="150">
        <v>0</v>
      </c>
      <c r="AF739" s="169" t="s">
        <v>4680</v>
      </c>
      <c r="AG739" s="201">
        <v>0</v>
      </c>
      <c r="AH739" s="199"/>
      <c r="AI739" s="150">
        <v>0</v>
      </c>
      <c r="AJ739" s="169">
        <f t="shared" si="821"/>
        <v>0</v>
      </c>
      <c r="AK739" s="201">
        <v>0</v>
      </c>
      <c r="AL739" s="199"/>
      <c r="AM739" s="150">
        <f t="shared" si="861"/>
        <v>0</v>
      </c>
      <c r="AN739" s="153">
        <f t="shared" si="822"/>
        <v>0</v>
      </c>
      <c r="AO739" s="154">
        <f t="shared" si="823"/>
        <v>0</v>
      </c>
      <c r="AP739" s="150">
        <v>0</v>
      </c>
      <c r="AQ739" s="201">
        <v>0</v>
      </c>
      <c r="AR739" s="199"/>
      <c r="AS739" s="150">
        <f t="shared" si="862"/>
        <v>0</v>
      </c>
      <c r="AT739" s="155"/>
      <c r="AU739" s="156">
        <f t="shared" si="817"/>
        <v>0</v>
      </c>
      <c r="AV739" s="156">
        <f t="shared" si="818"/>
        <v>0</v>
      </c>
      <c r="AW739" s="157"/>
      <c r="AX739" s="150">
        <v>0</v>
      </c>
      <c r="AY739" s="150">
        <v>0</v>
      </c>
      <c r="AZ739" s="150"/>
      <c r="BA739" s="150">
        <f t="shared" si="810"/>
        <v>0</v>
      </c>
      <c r="BB739" s="202">
        <v>5</v>
      </c>
      <c r="BC739" s="202" t="s">
        <v>647</v>
      </c>
      <c r="BD739" s="202" t="s">
        <v>632</v>
      </c>
      <c r="BE739" s="202" t="s">
        <v>779</v>
      </c>
      <c r="BF739" s="202" t="s">
        <v>693</v>
      </c>
      <c r="BG739" s="203" t="s">
        <v>6721</v>
      </c>
      <c r="BH739" s="216">
        <f t="shared" si="863"/>
        <v>0</v>
      </c>
      <c r="BI739" s="205"/>
      <c r="BJ739" s="206" t="s">
        <v>6746</v>
      </c>
      <c r="BK739" s="206" t="s">
        <v>368</v>
      </c>
      <c r="BL739" s="207" t="s">
        <v>6747</v>
      </c>
      <c r="BM739" s="208">
        <f t="shared" si="864"/>
        <v>0</v>
      </c>
      <c r="BN739" s="160"/>
      <c r="BO739" s="161">
        <f t="shared" si="852"/>
        <v>0</v>
      </c>
      <c r="BP739" s="161"/>
    </row>
    <row r="740" spans="1:68" ht="51">
      <c r="A740" s="206" t="s">
        <v>368</v>
      </c>
      <c r="B740" s="195" t="s">
        <v>6748</v>
      </c>
      <c r="C740" s="196" t="s">
        <v>6749</v>
      </c>
      <c r="D740" s="146" t="s">
        <v>4692</v>
      </c>
      <c r="E740" s="196" t="s">
        <v>6749</v>
      </c>
      <c r="F740" s="150">
        <v>0</v>
      </c>
      <c r="G740" s="209">
        <v>0</v>
      </c>
      <c r="H740" s="209"/>
      <c r="I740" s="209">
        <v>0</v>
      </c>
      <c r="J740" s="150">
        <v>0</v>
      </c>
      <c r="K740" s="150">
        <v>0</v>
      </c>
      <c r="L740" s="150">
        <f t="shared" si="829"/>
        <v>0</v>
      </c>
      <c r="M740" s="150">
        <v>0</v>
      </c>
      <c r="N740" s="150"/>
      <c r="O740" s="150">
        <v>0</v>
      </c>
      <c r="P740" s="150">
        <v>0</v>
      </c>
      <c r="Q740" s="150"/>
      <c r="R740" s="150">
        <f t="shared" si="858"/>
        <v>0</v>
      </c>
      <c r="S740" s="150">
        <f t="shared" si="819"/>
        <v>0</v>
      </c>
      <c r="T740" s="150"/>
      <c r="U740" s="150">
        <v>0</v>
      </c>
      <c r="V740" s="199"/>
      <c r="W740" s="150">
        <f t="shared" si="859"/>
        <v>0</v>
      </c>
      <c r="X740" s="150">
        <v>0</v>
      </c>
      <c r="Y740" s="150"/>
      <c r="Z740" s="150">
        <v>0</v>
      </c>
      <c r="AA740" s="150">
        <f t="shared" si="820"/>
        <v>0</v>
      </c>
      <c r="AB740" s="150">
        <v>0</v>
      </c>
      <c r="AC740" s="199"/>
      <c r="AD740" s="150">
        <f t="shared" si="860"/>
        <v>0</v>
      </c>
      <c r="AE740" s="150">
        <v>0</v>
      </c>
      <c r="AF740" s="169" t="s">
        <v>4680</v>
      </c>
      <c r="AG740" s="201">
        <v>0</v>
      </c>
      <c r="AH740" s="199"/>
      <c r="AI740" s="150">
        <v>0</v>
      </c>
      <c r="AJ740" s="169">
        <f t="shared" si="821"/>
        <v>0</v>
      </c>
      <c r="AK740" s="201">
        <v>0</v>
      </c>
      <c r="AL740" s="199"/>
      <c r="AM740" s="150">
        <f t="shared" si="861"/>
        <v>0</v>
      </c>
      <c r="AN740" s="153">
        <f t="shared" si="822"/>
        <v>0</v>
      </c>
      <c r="AO740" s="154">
        <f t="shared" si="823"/>
        <v>0</v>
      </c>
      <c r="AP740" s="150">
        <v>0</v>
      </c>
      <c r="AQ740" s="201">
        <v>0</v>
      </c>
      <c r="AR740" s="199"/>
      <c r="AS740" s="150">
        <f t="shared" si="862"/>
        <v>0</v>
      </c>
      <c r="AT740" s="155"/>
      <c r="AU740" s="156">
        <f t="shared" si="817"/>
        <v>0</v>
      </c>
      <c r="AV740" s="156">
        <f t="shared" si="818"/>
        <v>0</v>
      </c>
      <c r="AW740" s="157"/>
      <c r="AX740" s="150">
        <v>0</v>
      </c>
      <c r="AY740" s="150">
        <v>0</v>
      </c>
      <c r="AZ740" s="150"/>
      <c r="BA740" s="150">
        <f t="shared" si="810"/>
        <v>0</v>
      </c>
      <c r="BB740" s="202">
        <v>5</v>
      </c>
      <c r="BC740" s="202" t="s">
        <v>647</v>
      </c>
      <c r="BD740" s="202" t="s">
        <v>632</v>
      </c>
      <c r="BE740" s="202" t="s">
        <v>779</v>
      </c>
      <c r="BF740" s="194" t="s">
        <v>714</v>
      </c>
      <c r="BG740" s="203" t="s">
        <v>6750</v>
      </c>
      <c r="BH740" s="216">
        <f t="shared" si="863"/>
        <v>0</v>
      </c>
      <c r="BI740" s="205"/>
      <c r="BJ740" s="206" t="s">
        <v>6746</v>
      </c>
      <c r="BK740" s="206" t="s">
        <v>368</v>
      </c>
      <c r="BL740" s="207" t="s">
        <v>6747</v>
      </c>
      <c r="BM740" s="208">
        <f t="shared" si="864"/>
        <v>0</v>
      </c>
      <c r="BN740" s="160"/>
      <c r="BO740" s="161">
        <f t="shared" si="852"/>
        <v>0</v>
      </c>
      <c r="BP740" s="161"/>
    </row>
    <row r="741" spans="1:68" ht="38.25">
      <c r="A741" s="206" t="s">
        <v>369</v>
      </c>
      <c r="B741" s="195" t="s">
        <v>6751</v>
      </c>
      <c r="C741" s="196" t="s">
        <v>6752</v>
      </c>
      <c r="D741" s="146" t="s">
        <v>4692</v>
      </c>
      <c r="E741" s="196" t="s">
        <v>6752</v>
      </c>
      <c r="F741" s="150">
        <v>0</v>
      </c>
      <c r="G741" s="209">
        <v>0</v>
      </c>
      <c r="H741" s="209"/>
      <c r="I741" s="209">
        <v>0</v>
      </c>
      <c r="J741" s="150">
        <v>0</v>
      </c>
      <c r="K741" s="150">
        <v>0</v>
      </c>
      <c r="L741" s="150">
        <f t="shared" si="829"/>
        <v>0</v>
      </c>
      <c r="M741" s="150">
        <v>0</v>
      </c>
      <c r="N741" s="150"/>
      <c r="O741" s="150">
        <v>0</v>
      </c>
      <c r="P741" s="150">
        <v>0</v>
      </c>
      <c r="Q741" s="150"/>
      <c r="R741" s="150">
        <f t="shared" si="858"/>
        <v>0</v>
      </c>
      <c r="S741" s="150">
        <f t="shared" si="819"/>
        <v>0</v>
      </c>
      <c r="T741" s="150"/>
      <c r="U741" s="150">
        <v>0</v>
      </c>
      <c r="V741" s="199"/>
      <c r="W741" s="150">
        <f t="shared" si="859"/>
        <v>0</v>
      </c>
      <c r="X741" s="150">
        <v>0</v>
      </c>
      <c r="Y741" s="150"/>
      <c r="Z741" s="150">
        <v>0</v>
      </c>
      <c r="AA741" s="150">
        <f t="shared" si="820"/>
        <v>0</v>
      </c>
      <c r="AB741" s="150">
        <v>0</v>
      </c>
      <c r="AC741" s="199"/>
      <c r="AD741" s="150">
        <f t="shared" si="860"/>
        <v>0</v>
      </c>
      <c r="AE741" s="150">
        <v>0</v>
      </c>
      <c r="AF741" s="169" t="s">
        <v>4680</v>
      </c>
      <c r="AG741" s="201">
        <v>0</v>
      </c>
      <c r="AH741" s="199"/>
      <c r="AI741" s="150">
        <v>0</v>
      </c>
      <c r="AJ741" s="169">
        <f t="shared" si="821"/>
        <v>0</v>
      </c>
      <c r="AK741" s="201">
        <v>0</v>
      </c>
      <c r="AL741" s="199"/>
      <c r="AM741" s="150">
        <f t="shared" si="861"/>
        <v>0</v>
      </c>
      <c r="AN741" s="153">
        <f t="shared" si="822"/>
        <v>0</v>
      </c>
      <c r="AO741" s="154">
        <f t="shared" si="823"/>
        <v>0</v>
      </c>
      <c r="AP741" s="150">
        <v>0</v>
      </c>
      <c r="AQ741" s="201">
        <v>0</v>
      </c>
      <c r="AR741" s="199"/>
      <c r="AS741" s="150">
        <f t="shared" si="862"/>
        <v>0</v>
      </c>
      <c r="AT741" s="155"/>
      <c r="AU741" s="156">
        <f t="shared" si="817"/>
        <v>0</v>
      </c>
      <c r="AV741" s="156">
        <f t="shared" si="818"/>
        <v>0</v>
      </c>
      <c r="AW741" s="157"/>
      <c r="AX741" s="150">
        <v>0</v>
      </c>
      <c r="AY741" s="150">
        <v>0</v>
      </c>
      <c r="AZ741" s="150"/>
      <c r="BA741" s="150">
        <f t="shared" si="810"/>
        <v>0</v>
      </c>
      <c r="BB741" s="202">
        <v>5</v>
      </c>
      <c r="BC741" s="202" t="s">
        <v>647</v>
      </c>
      <c r="BD741" s="202" t="s">
        <v>632</v>
      </c>
      <c r="BE741" s="202" t="s">
        <v>779</v>
      </c>
      <c r="BF741" s="194" t="s">
        <v>739</v>
      </c>
      <c r="BG741" s="203" t="s">
        <v>6726</v>
      </c>
      <c r="BH741" s="216">
        <f t="shared" si="863"/>
        <v>0</v>
      </c>
      <c r="BI741" s="205"/>
      <c r="BJ741" s="206" t="s">
        <v>6753</v>
      </c>
      <c r="BK741" s="206" t="s">
        <v>369</v>
      </c>
      <c r="BL741" s="207" t="s">
        <v>6754</v>
      </c>
      <c r="BM741" s="208">
        <f t="shared" si="864"/>
        <v>0</v>
      </c>
      <c r="BN741" s="160"/>
      <c r="BO741" s="161">
        <f t="shared" si="852"/>
        <v>0</v>
      </c>
      <c r="BP741" s="161"/>
    </row>
    <row r="742" spans="1:68" ht="63.75">
      <c r="A742" s="206" t="s">
        <v>370</v>
      </c>
      <c r="B742" s="195" t="s">
        <v>6755</v>
      </c>
      <c r="C742" s="196" t="s">
        <v>6756</v>
      </c>
      <c r="D742" s="146" t="s">
        <v>4692</v>
      </c>
      <c r="E742" s="196" t="s">
        <v>6756</v>
      </c>
      <c r="F742" s="150">
        <v>0</v>
      </c>
      <c r="G742" s="209">
        <v>0</v>
      </c>
      <c r="H742" s="209">
        <v>0</v>
      </c>
      <c r="I742" s="209">
        <v>0</v>
      </c>
      <c r="J742" s="150">
        <v>0</v>
      </c>
      <c r="K742" s="150">
        <v>0</v>
      </c>
      <c r="L742" s="150">
        <f t="shared" si="829"/>
        <v>0</v>
      </c>
      <c r="M742" s="150">
        <v>0</v>
      </c>
      <c r="N742" s="150"/>
      <c r="O742" s="150">
        <v>0</v>
      </c>
      <c r="P742" s="150">
        <v>0</v>
      </c>
      <c r="Q742" s="150"/>
      <c r="R742" s="150">
        <f t="shared" si="858"/>
        <v>0</v>
      </c>
      <c r="S742" s="150">
        <f t="shared" si="819"/>
        <v>0</v>
      </c>
      <c r="T742" s="150"/>
      <c r="U742" s="150">
        <v>0</v>
      </c>
      <c r="V742" s="199"/>
      <c r="W742" s="150">
        <f t="shared" si="859"/>
        <v>0</v>
      </c>
      <c r="X742" s="150">
        <v>0</v>
      </c>
      <c r="Y742" s="150"/>
      <c r="Z742" s="150">
        <v>0</v>
      </c>
      <c r="AA742" s="150">
        <f t="shared" si="820"/>
        <v>0</v>
      </c>
      <c r="AB742" s="150">
        <v>0</v>
      </c>
      <c r="AC742" s="199"/>
      <c r="AD742" s="150">
        <f t="shared" si="860"/>
        <v>0</v>
      </c>
      <c r="AE742" s="150">
        <v>0</v>
      </c>
      <c r="AF742" s="169" t="s">
        <v>4680</v>
      </c>
      <c r="AG742" s="201">
        <v>0</v>
      </c>
      <c r="AH742" s="199"/>
      <c r="AI742" s="150">
        <v>0</v>
      </c>
      <c r="AJ742" s="169">
        <f t="shared" si="821"/>
        <v>0</v>
      </c>
      <c r="AK742" s="201">
        <v>0</v>
      </c>
      <c r="AL742" s="199"/>
      <c r="AM742" s="150">
        <f t="shared" si="861"/>
        <v>0</v>
      </c>
      <c r="AN742" s="153">
        <f t="shared" si="822"/>
        <v>0</v>
      </c>
      <c r="AO742" s="154">
        <f t="shared" si="823"/>
        <v>0</v>
      </c>
      <c r="AP742" s="150">
        <v>0</v>
      </c>
      <c r="AQ742" s="201">
        <v>0</v>
      </c>
      <c r="AR742" s="199"/>
      <c r="AS742" s="150">
        <f t="shared" si="862"/>
        <v>0</v>
      </c>
      <c r="AT742" s="155"/>
      <c r="AU742" s="156">
        <f t="shared" si="817"/>
        <v>0</v>
      </c>
      <c r="AV742" s="156">
        <f t="shared" si="818"/>
        <v>0</v>
      </c>
      <c r="AW742" s="157"/>
      <c r="AX742" s="150">
        <v>0</v>
      </c>
      <c r="AY742" s="150">
        <v>0</v>
      </c>
      <c r="AZ742" s="150"/>
      <c r="BA742" s="150">
        <f t="shared" si="810"/>
        <v>0</v>
      </c>
      <c r="BB742" s="202">
        <v>5</v>
      </c>
      <c r="BC742" s="202" t="s">
        <v>647</v>
      </c>
      <c r="BD742" s="202" t="s">
        <v>632</v>
      </c>
      <c r="BE742" s="202" t="s">
        <v>779</v>
      </c>
      <c r="BF742" s="194" t="s">
        <v>755</v>
      </c>
      <c r="BG742" s="203" t="s">
        <v>6594</v>
      </c>
      <c r="BH742" s="216">
        <f t="shared" si="863"/>
        <v>0</v>
      </c>
      <c r="BI742" s="205"/>
      <c r="BJ742" s="206" t="s">
        <v>6757</v>
      </c>
      <c r="BK742" s="206" t="s">
        <v>370</v>
      </c>
      <c r="BL742" s="207" t="s">
        <v>6758</v>
      </c>
      <c r="BM742" s="208">
        <f t="shared" si="864"/>
        <v>0</v>
      </c>
      <c r="BN742" s="160"/>
      <c r="BO742" s="161">
        <f t="shared" si="852"/>
        <v>0</v>
      </c>
      <c r="BP742" s="161"/>
    </row>
    <row r="743" spans="1:68" ht="25.5">
      <c r="A743" s="192" t="s">
        <v>6759</v>
      </c>
      <c r="B743" s="184"/>
      <c r="C743" s="185" t="s">
        <v>54</v>
      </c>
      <c r="D743" s="146" t="s">
        <v>4692</v>
      </c>
      <c r="E743" s="185" t="s">
        <v>54</v>
      </c>
      <c r="F743" s="188">
        <v>0</v>
      </c>
      <c r="G743" s="187">
        <v>0</v>
      </c>
      <c r="H743" s="187"/>
      <c r="I743" s="187">
        <v>0</v>
      </c>
      <c r="J743" s="188">
        <f>SUM(J744:J748)</f>
        <v>0</v>
      </c>
      <c r="K743" s="188">
        <f>SUM(K744:K748)</f>
        <v>0</v>
      </c>
      <c r="L743" s="188">
        <f t="shared" si="829"/>
        <v>0</v>
      </c>
      <c r="M743" s="188">
        <v>0</v>
      </c>
      <c r="N743" s="188">
        <v>0</v>
      </c>
      <c r="O743" s="188">
        <v>0</v>
      </c>
      <c r="P743" s="188">
        <f>SUM(P744:P748)</f>
        <v>0</v>
      </c>
      <c r="Q743" s="188">
        <f>SUM(Q744:Q748)</f>
        <v>0</v>
      </c>
      <c r="R743" s="188">
        <f t="shared" si="858"/>
        <v>0</v>
      </c>
      <c r="S743" s="150">
        <f t="shared" si="819"/>
        <v>0</v>
      </c>
      <c r="T743" s="150"/>
      <c r="U743" s="188">
        <f>SUM(U744:U748)</f>
        <v>0</v>
      </c>
      <c r="V743" s="189">
        <f>SUM(V744:V748)</f>
        <v>0</v>
      </c>
      <c r="W743" s="188">
        <f t="shared" si="859"/>
        <v>0</v>
      </c>
      <c r="X743" s="188">
        <v>0</v>
      </c>
      <c r="Y743" s="188">
        <v>0</v>
      </c>
      <c r="Z743" s="188">
        <v>0</v>
      </c>
      <c r="AA743" s="188">
        <f t="shared" si="820"/>
        <v>0</v>
      </c>
      <c r="AB743" s="188">
        <v>0</v>
      </c>
      <c r="AC743" s="189">
        <v>0</v>
      </c>
      <c r="AD743" s="188">
        <f t="shared" si="860"/>
        <v>0</v>
      </c>
      <c r="AE743" s="188">
        <v>0</v>
      </c>
      <c r="AF743" s="169" t="s">
        <v>4680</v>
      </c>
      <c r="AG743" s="304">
        <v>0</v>
      </c>
      <c r="AH743" s="189">
        <v>0</v>
      </c>
      <c r="AI743" s="188">
        <v>0</v>
      </c>
      <c r="AJ743" s="169">
        <f t="shared" si="821"/>
        <v>0</v>
      </c>
      <c r="AK743" s="304">
        <v>0</v>
      </c>
      <c r="AL743" s="189">
        <v>0</v>
      </c>
      <c r="AM743" s="188">
        <f t="shared" si="861"/>
        <v>0</v>
      </c>
      <c r="AN743" s="153">
        <f t="shared" si="822"/>
        <v>0</v>
      </c>
      <c r="AO743" s="154">
        <f t="shared" si="823"/>
        <v>0</v>
      </c>
      <c r="AP743" s="188">
        <v>0</v>
      </c>
      <c r="AQ743" s="304">
        <v>0</v>
      </c>
      <c r="AR743" s="189">
        <f>SUM(AR744:AR748)</f>
        <v>0</v>
      </c>
      <c r="AS743" s="188">
        <f t="shared" si="862"/>
        <v>0</v>
      </c>
      <c r="AT743" s="155"/>
      <c r="AU743" s="156">
        <f t="shared" si="817"/>
        <v>0</v>
      </c>
      <c r="AV743" s="156">
        <f t="shared" si="818"/>
        <v>0</v>
      </c>
      <c r="AW743" s="157"/>
      <c r="AX743" s="150">
        <v>0</v>
      </c>
      <c r="AY743" s="188">
        <f>SUM(AY744:AY748)</f>
        <v>0</v>
      </c>
      <c r="AZ743" s="188">
        <f>SUM(AZ744:AZ748)</f>
        <v>0</v>
      </c>
      <c r="BA743" s="188">
        <f t="shared" si="810"/>
        <v>0</v>
      </c>
      <c r="BB743" s="192">
        <v>5</v>
      </c>
      <c r="BC743" s="256" t="s">
        <v>647</v>
      </c>
      <c r="BD743" s="256" t="s">
        <v>632</v>
      </c>
      <c r="BE743" s="256" t="s">
        <v>1225</v>
      </c>
      <c r="BF743" s="256" t="s">
        <v>630</v>
      </c>
      <c r="BG743" s="185" t="s">
        <v>54</v>
      </c>
      <c r="BH743" s="302">
        <f>SUM(BH744:BH748)</f>
        <v>0</v>
      </c>
      <c r="BI743" s="192"/>
      <c r="BJ743" s="256" t="s">
        <v>6760</v>
      </c>
      <c r="BK743" s="192" t="s">
        <v>6759</v>
      </c>
      <c r="BL743" s="185" t="s">
        <v>6761</v>
      </c>
      <c r="BM743" s="302">
        <f>SUM(BM744:BM748)</f>
        <v>0</v>
      </c>
      <c r="BN743" s="160"/>
      <c r="BO743" s="161">
        <f t="shared" si="852"/>
        <v>0</v>
      </c>
      <c r="BP743" s="161"/>
    </row>
    <row r="744" spans="1:68" ht="51">
      <c r="A744" s="261" t="s">
        <v>371</v>
      </c>
      <c r="B744" s="228" t="s">
        <v>6762</v>
      </c>
      <c r="C744" s="229" t="s">
        <v>6763</v>
      </c>
      <c r="D744" s="146" t="s">
        <v>4692</v>
      </c>
      <c r="E744" s="196" t="s">
        <v>6763</v>
      </c>
      <c r="F744" s="150">
        <v>0</v>
      </c>
      <c r="G744" s="209">
        <v>0</v>
      </c>
      <c r="H744" s="209"/>
      <c r="I744" s="209">
        <v>0</v>
      </c>
      <c r="J744" s="150">
        <v>0</v>
      </c>
      <c r="K744" s="150">
        <v>0</v>
      </c>
      <c r="L744" s="150">
        <f t="shared" si="829"/>
        <v>0</v>
      </c>
      <c r="M744" s="150">
        <v>0</v>
      </c>
      <c r="N744" s="150"/>
      <c r="O744" s="150">
        <v>0</v>
      </c>
      <c r="P744" s="150">
        <v>0</v>
      </c>
      <c r="Q744" s="150"/>
      <c r="R744" s="150">
        <f t="shared" si="858"/>
        <v>0</v>
      </c>
      <c r="S744" s="150">
        <f t="shared" si="819"/>
        <v>0</v>
      </c>
      <c r="T744" s="150"/>
      <c r="U744" s="150">
        <v>0</v>
      </c>
      <c r="V744" s="199"/>
      <c r="W744" s="150">
        <f t="shared" si="859"/>
        <v>0</v>
      </c>
      <c r="X744" s="150">
        <v>0</v>
      </c>
      <c r="Y744" s="150"/>
      <c r="Z744" s="150">
        <v>0</v>
      </c>
      <c r="AA744" s="150">
        <f t="shared" si="820"/>
        <v>0</v>
      </c>
      <c r="AB744" s="150">
        <v>0</v>
      </c>
      <c r="AC744" s="199"/>
      <c r="AD744" s="150">
        <f t="shared" si="860"/>
        <v>0</v>
      </c>
      <c r="AE744" s="150">
        <v>0</v>
      </c>
      <c r="AF744" s="169" t="s">
        <v>4680</v>
      </c>
      <c r="AG744" s="201">
        <v>0</v>
      </c>
      <c r="AH744" s="199"/>
      <c r="AI744" s="150">
        <v>0</v>
      </c>
      <c r="AJ744" s="169">
        <f t="shared" si="821"/>
        <v>0</v>
      </c>
      <c r="AK744" s="201">
        <v>0</v>
      </c>
      <c r="AL744" s="199"/>
      <c r="AM744" s="150">
        <f t="shared" si="861"/>
        <v>0</v>
      </c>
      <c r="AN744" s="153">
        <f t="shared" si="822"/>
        <v>0</v>
      </c>
      <c r="AO744" s="154">
        <f t="shared" si="823"/>
        <v>0</v>
      </c>
      <c r="AP744" s="150">
        <v>0</v>
      </c>
      <c r="AQ744" s="201">
        <v>0</v>
      </c>
      <c r="AR744" s="199"/>
      <c r="AS744" s="150">
        <f t="shared" si="862"/>
        <v>0</v>
      </c>
      <c r="AT744" s="155" t="s">
        <v>4796</v>
      </c>
      <c r="AU744" s="156">
        <f t="shared" si="817"/>
        <v>0</v>
      </c>
      <c r="AV744" s="156">
        <f t="shared" si="818"/>
        <v>0</v>
      </c>
      <c r="AW744" s="157" t="s">
        <v>4796</v>
      </c>
      <c r="AX744" s="150">
        <v>0</v>
      </c>
      <c r="AY744" s="150">
        <v>0</v>
      </c>
      <c r="AZ744" s="150"/>
      <c r="BA744" s="150">
        <f t="shared" si="810"/>
        <v>0</v>
      </c>
      <c r="BB744" s="202">
        <v>5</v>
      </c>
      <c r="BC744" s="202" t="s">
        <v>647</v>
      </c>
      <c r="BD744" s="202" t="s">
        <v>632</v>
      </c>
      <c r="BE744" s="202" t="s">
        <v>1225</v>
      </c>
      <c r="BF744" s="202" t="s">
        <v>632</v>
      </c>
      <c r="BG744" s="203" t="s">
        <v>6470</v>
      </c>
      <c r="BH744" s="216">
        <f>AS744</f>
        <v>0</v>
      </c>
      <c r="BI744" s="206" t="s">
        <v>1519</v>
      </c>
      <c r="BJ744" s="206" t="s">
        <v>6764</v>
      </c>
      <c r="BK744" s="206" t="s">
        <v>371</v>
      </c>
      <c r="BL744" s="207" t="s">
        <v>6765</v>
      </c>
      <c r="BM744" s="208">
        <f>BH744</f>
        <v>0</v>
      </c>
      <c r="BN744" s="160"/>
      <c r="BO744" s="161">
        <f t="shared" si="852"/>
        <v>0</v>
      </c>
      <c r="BP744" s="161"/>
    </row>
    <row r="745" spans="1:68" ht="38.25">
      <c r="A745" s="206" t="s">
        <v>372</v>
      </c>
      <c r="B745" s="195" t="s">
        <v>6766</v>
      </c>
      <c r="C745" s="196" t="s">
        <v>6767</v>
      </c>
      <c r="D745" s="146" t="s">
        <v>4692</v>
      </c>
      <c r="E745" s="196" t="s">
        <v>6767</v>
      </c>
      <c r="F745" s="150">
        <v>0</v>
      </c>
      <c r="G745" s="209">
        <v>0</v>
      </c>
      <c r="H745" s="209"/>
      <c r="I745" s="209">
        <v>0</v>
      </c>
      <c r="J745" s="150">
        <v>0</v>
      </c>
      <c r="K745" s="150">
        <v>0</v>
      </c>
      <c r="L745" s="150">
        <f t="shared" si="829"/>
        <v>0</v>
      </c>
      <c r="M745" s="150">
        <v>0</v>
      </c>
      <c r="N745" s="150"/>
      <c r="O745" s="150">
        <v>0</v>
      </c>
      <c r="P745" s="150">
        <v>0</v>
      </c>
      <c r="Q745" s="150"/>
      <c r="R745" s="150">
        <f t="shared" si="858"/>
        <v>0</v>
      </c>
      <c r="S745" s="150">
        <f t="shared" si="819"/>
        <v>0</v>
      </c>
      <c r="T745" s="150"/>
      <c r="U745" s="150">
        <v>0</v>
      </c>
      <c r="V745" s="199"/>
      <c r="W745" s="150">
        <f t="shared" si="859"/>
        <v>0</v>
      </c>
      <c r="X745" s="150">
        <v>0</v>
      </c>
      <c r="Y745" s="150"/>
      <c r="Z745" s="150">
        <v>0</v>
      </c>
      <c r="AA745" s="150">
        <f t="shared" si="820"/>
        <v>0</v>
      </c>
      <c r="AB745" s="150">
        <v>0</v>
      </c>
      <c r="AC745" s="199"/>
      <c r="AD745" s="150">
        <f t="shared" si="860"/>
        <v>0</v>
      </c>
      <c r="AE745" s="150">
        <v>0</v>
      </c>
      <c r="AF745" s="169" t="s">
        <v>4680</v>
      </c>
      <c r="AG745" s="201">
        <v>0</v>
      </c>
      <c r="AH745" s="199"/>
      <c r="AI745" s="150">
        <v>0</v>
      </c>
      <c r="AJ745" s="169">
        <f t="shared" si="821"/>
        <v>0</v>
      </c>
      <c r="AK745" s="201">
        <v>0</v>
      </c>
      <c r="AL745" s="199"/>
      <c r="AM745" s="150">
        <f t="shared" si="861"/>
        <v>0</v>
      </c>
      <c r="AN745" s="153">
        <f t="shared" si="822"/>
        <v>0</v>
      </c>
      <c r="AO745" s="154">
        <f t="shared" si="823"/>
        <v>0</v>
      </c>
      <c r="AP745" s="150">
        <v>0</v>
      </c>
      <c r="AQ745" s="201">
        <v>0</v>
      </c>
      <c r="AR745" s="199"/>
      <c r="AS745" s="150">
        <f t="shared" si="862"/>
        <v>0</v>
      </c>
      <c r="AT745" s="155"/>
      <c r="AU745" s="156">
        <f t="shared" si="817"/>
        <v>0</v>
      </c>
      <c r="AV745" s="156">
        <f t="shared" si="818"/>
        <v>0</v>
      </c>
      <c r="AW745" s="157"/>
      <c r="AX745" s="150">
        <v>0</v>
      </c>
      <c r="AY745" s="150">
        <v>0</v>
      </c>
      <c r="AZ745" s="150"/>
      <c r="BA745" s="150">
        <f t="shared" si="810"/>
        <v>0</v>
      </c>
      <c r="BB745" s="202">
        <v>5</v>
      </c>
      <c r="BC745" s="202" t="s">
        <v>647</v>
      </c>
      <c r="BD745" s="202" t="s">
        <v>632</v>
      </c>
      <c r="BE745" s="202" t="s">
        <v>1225</v>
      </c>
      <c r="BF745" s="202" t="s">
        <v>647</v>
      </c>
      <c r="BG745" s="203" t="s">
        <v>6518</v>
      </c>
      <c r="BH745" s="216">
        <f>AS745</f>
        <v>0</v>
      </c>
      <c r="BI745" s="205"/>
      <c r="BJ745" s="206" t="s">
        <v>6768</v>
      </c>
      <c r="BK745" s="206" t="s">
        <v>372</v>
      </c>
      <c r="BL745" s="207" t="s">
        <v>6769</v>
      </c>
      <c r="BM745" s="208">
        <f>BH745</f>
        <v>0</v>
      </c>
      <c r="BN745" s="160"/>
      <c r="BO745" s="161">
        <f t="shared" si="852"/>
        <v>0</v>
      </c>
      <c r="BP745" s="161"/>
    </row>
    <row r="746" spans="1:68" ht="38.25">
      <c r="A746" s="206" t="s">
        <v>373</v>
      </c>
      <c r="B746" s="195" t="s">
        <v>6770</v>
      </c>
      <c r="C746" s="196" t="s">
        <v>6771</v>
      </c>
      <c r="D746" s="146" t="s">
        <v>4692</v>
      </c>
      <c r="E746" s="196" t="s">
        <v>6771</v>
      </c>
      <c r="F746" s="150">
        <v>0</v>
      </c>
      <c r="G746" s="209">
        <v>0</v>
      </c>
      <c r="H746" s="209"/>
      <c r="I746" s="209">
        <v>0</v>
      </c>
      <c r="J746" s="150">
        <v>0</v>
      </c>
      <c r="K746" s="150">
        <v>0</v>
      </c>
      <c r="L746" s="150">
        <f t="shared" si="829"/>
        <v>0</v>
      </c>
      <c r="M746" s="150">
        <v>0</v>
      </c>
      <c r="N746" s="150"/>
      <c r="O746" s="150">
        <v>0</v>
      </c>
      <c r="P746" s="150">
        <v>0</v>
      </c>
      <c r="Q746" s="150"/>
      <c r="R746" s="150">
        <f t="shared" si="858"/>
        <v>0</v>
      </c>
      <c r="S746" s="150">
        <f t="shared" si="819"/>
        <v>0</v>
      </c>
      <c r="T746" s="150"/>
      <c r="U746" s="150">
        <v>0</v>
      </c>
      <c r="V746" s="199"/>
      <c r="W746" s="150">
        <f t="shared" si="859"/>
        <v>0</v>
      </c>
      <c r="X746" s="150">
        <v>0</v>
      </c>
      <c r="Y746" s="150"/>
      <c r="Z746" s="150">
        <v>0</v>
      </c>
      <c r="AA746" s="150">
        <f t="shared" si="820"/>
        <v>0</v>
      </c>
      <c r="AB746" s="150">
        <v>0</v>
      </c>
      <c r="AC746" s="199"/>
      <c r="AD746" s="150">
        <f t="shared" si="860"/>
        <v>0</v>
      </c>
      <c r="AE746" s="150">
        <v>0</v>
      </c>
      <c r="AF746" s="169" t="s">
        <v>4680</v>
      </c>
      <c r="AG746" s="201">
        <v>0</v>
      </c>
      <c r="AH746" s="199"/>
      <c r="AI746" s="150">
        <v>0</v>
      </c>
      <c r="AJ746" s="169">
        <f t="shared" si="821"/>
        <v>0</v>
      </c>
      <c r="AK746" s="201">
        <v>0</v>
      </c>
      <c r="AL746" s="199"/>
      <c r="AM746" s="150">
        <f t="shared" si="861"/>
        <v>0</v>
      </c>
      <c r="AN746" s="153">
        <f t="shared" si="822"/>
        <v>0</v>
      </c>
      <c r="AO746" s="154">
        <f t="shared" si="823"/>
        <v>0</v>
      </c>
      <c r="AP746" s="150">
        <v>0</v>
      </c>
      <c r="AQ746" s="201">
        <v>0</v>
      </c>
      <c r="AR746" s="199"/>
      <c r="AS746" s="150">
        <f t="shared" si="862"/>
        <v>0</v>
      </c>
      <c r="AT746" s="155"/>
      <c r="AU746" s="156">
        <f t="shared" si="817"/>
        <v>0</v>
      </c>
      <c r="AV746" s="156">
        <f t="shared" si="818"/>
        <v>0</v>
      </c>
      <c r="AW746" s="157"/>
      <c r="AX746" s="150">
        <v>0</v>
      </c>
      <c r="AY746" s="150">
        <v>0</v>
      </c>
      <c r="AZ746" s="150"/>
      <c r="BA746" s="150">
        <f t="shared" si="810"/>
        <v>0</v>
      </c>
      <c r="BB746" s="202">
        <v>5</v>
      </c>
      <c r="BC746" s="202" t="s">
        <v>647</v>
      </c>
      <c r="BD746" s="202" t="s">
        <v>632</v>
      </c>
      <c r="BE746" s="202" t="s">
        <v>1225</v>
      </c>
      <c r="BF746" s="202" t="s">
        <v>671</v>
      </c>
      <c r="BG746" s="203" t="s">
        <v>6499</v>
      </c>
      <c r="BH746" s="216">
        <f>AS746</f>
        <v>0</v>
      </c>
      <c r="BI746" s="206" t="s">
        <v>1349</v>
      </c>
      <c r="BJ746" s="206" t="s">
        <v>6772</v>
      </c>
      <c r="BK746" s="206" t="s">
        <v>373</v>
      </c>
      <c r="BL746" s="207" t="s">
        <v>6773</v>
      </c>
      <c r="BM746" s="208">
        <f>BH746</f>
        <v>0</v>
      </c>
      <c r="BN746" s="160"/>
      <c r="BO746" s="161">
        <f t="shared" si="852"/>
        <v>0</v>
      </c>
      <c r="BP746" s="161"/>
    </row>
    <row r="747" spans="1:68" ht="25.5">
      <c r="A747" s="206" t="s">
        <v>374</v>
      </c>
      <c r="B747" s="195" t="s">
        <v>6774</v>
      </c>
      <c r="C747" s="196" t="s">
        <v>6775</v>
      </c>
      <c r="D747" s="146" t="s">
        <v>4692</v>
      </c>
      <c r="E747" s="196" t="s">
        <v>6775</v>
      </c>
      <c r="F747" s="150">
        <v>0</v>
      </c>
      <c r="G747" s="209">
        <v>0</v>
      </c>
      <c r="H747" s="209"/>
      <c r="I747" s="209">
        <v>0</v>
      </c>
      <c r="J747" s="150">
        <v>0</v>
      </c>
      <c r="K747" s="150">
        <v>0</v>
      </c>
      <c r="L747" s="150">
        <f t="shared" si="829"/>
        <v>0</v>
      </c>
      <c r="M747" s="150">
        <v>0</v>
      </c>
      <c r="N747" s="150"/>
      <c r="O747" s="150">
        <v>0</v>
      </c>
      <c r="P747" s="150">
        <v>0</v>
      </c>
      <c r="Q747" s="150"/>
      <c r="R747" s="150">
        <f t="shared" si="858"/>
        <v>0</v>
      </c>
      <c r="S747" s="150">
        <f t="shared" si="819"/>
        <v>0</v>
      </c>
      <c r="T747" s="150"/>
      <c r="U747" s="150">
        <v>0</v>
      </c>
      <c r="V747" s="199"/>
      <c r="W747" s="150">
        <f t="shared" si="859"/>
        <v>0</v>
      </c>
      <c r="X747" s="150">
        <v>0</v>
      </c>
      <c r="Y747" s="150"/>
      <c r="Z747" s="150">
        <v>0</v>
      </c>
      <c r="AA747" s="150">
        <f t="shared" si="820"/>
        <v>0</v>
      </c>
      <c r="AB747" s="150">
        <v>0</v>
      </c>
      <c r="AC747" s="199"/>
      <c r="AD747" s="150">
        <f t="shared" si="860"/>
        <v>0</v>
      </c>
      <c r="AE747" s="150">
        <v>0</v>
      </c>
      <c r="AF747" s="169" t="s">
        <v>4680</v>
      </c>
      <c r="AG747" s="201">
        <v>0</v>
      </c>
      <c r="AH747" s="199"/>
      <c r="AI747" s="150">
        <v>0</v>
      </c>
      <c r="AJ747" s="169">
        <f t="shared" si="821"/>
        <v>0</v>
      </c>
      <c r="AK747" s="201">
        <v>0</v>
      </c>
      <c r="AL747" s="199"/>
      <c r="AM747" s="150">
        <f t="shared" si="861"/>
        <v>0</v>
      </c>
      <c r="AN747" s="153">
        <f t="shared" si="822"/>
        <v>0</v>
      </c>
      <c r="AO747" s="154">
        <f t="shared" si="823"/>
        <v>0</v>
      </c>
      <c r="AP747" s="150">
        <v>0</v>
      </c>
      <c r="AQ747" s="201">
        <v>0</v>
      </c>
      <c r="AR747" s="199"/>
      <c r="AS747" s="150">
        <f t="shared" si="862"/>
        <v>0</v>
      </c>
      <c r="AT747" s="155"/>
      <c r="AU747" s="156">
        <f t="shared" si="817"/>
        <v>0</v>
      </c>
      <c r="AV747" s="156">
        <f t="shared" si="818"/>
        <v>0</v>
      </c>
      <c r="AW747" s="157"/>
      <c r="AX747" s="150">
        <v>0</v>
      </c>
      <c r="AY747" s="150">
        <v>0</v>
      </c>
      <c r="AZ747" s="150"/>
      <c r="BA747" s="150">
        <f t="shared" si="810"/>
        <v>0</v>
      </c>
      <c r="BB747" s="202">
        <v>5</v>
      </c>
      <c r="BC747" s="202" t="s">
        <v>647</v>
      </c>
      <c r="BD747" s="202" t="s">
        <v>632</v>
      </c>
      <c r="BE747" s="202" t="s">
        <v>1225</v>
      </c>
      <c r="BF747" s="202" t="s">
        <v>693</v>
      </c>
      <c r="BG747" s="203" t="s">
        <v>6645</v>
      </c>
      <c r="BH747" s="216">
        <f>AS747</f>
        <v>0</v>
      </c>
      <c r="BI747" s="205"/>
      <c r="BJ747" s="206" t="s">
        <v>6776</v>
      </c>
      <c r="BK747" s="206" t="s">
        <v>374</v>
      </c>
      <c r="BL747" s="207" t="s">
        <v>6777</v>
      </c>
      <c r="BM747" s="208">
        <f>BH747</f>
        <v>0</v>
      </c>
      <c r="BN747" s="160"/>
      <c r="BO747" s="161">
        <f t="shared" si="852"/>
        <v>0</v>
      </c>
      <c r="BP747" s="161"/>
    </row>
    <row r="748" spans="1:68" ht="63.75">
      <c r="A748" s="206" t="s">
        <v>375</v>
      </c>
      <c r="B748" s="195" t="s">
        <v>6778</v>
      </c>
      <c r="C748" s="196" t="s">
        <v>6779</v>
      </c>
      <c r="D748" s="146" t="s">
        <v>4692</v>
      </c>
      <c r="E748" s="196" t="s">
        <v>6779</v>
      </c>
      <c r="F748" s="150">
        <v>0</v>
      </c>
      <c r="G748" s="209">
        <v>2837453.73</v>
      </c>
      <c r="H748" s="209">
        <v>0</v>
      </c>
      <c r="I748" s="209">
        <v>2837453.73</v>
      </c>
      <c r="J748" s="150">
        <v>0</v>
      </c>
      <c r="K748" s="150">
        <v>0</v>
      </c>
      <c r="L748" s="150">
        <f t="shared" si="829"/>
        <v>0</v>
      </c>
      <c r="M748" s="150">
        <v>0</v>
      </c>
      <c r="N748" s="150"/>
      <c r="O748" s="150">
        <v>0</v>
      </c>
      <c r="P748" s="150">
        <v>0</v>
      </c>
      <c r="Q748" s="150"/>
      <c r="R748" s="150">
        <f t="shared" si="858"/>
        <v>0</v>
      </c>
      <c r="S748" s="150">
        <f t="shared" si="819"/>
        <v>0</v>
      </c>
      <c r="T748" s="150"/>
      <c r="U748" s="150">
        <v>0</v>
      </c>
      <c r="V748" s="199"/>
      <c r="W748" s="150">
        <f t="shared" si="859"/>
        <v>0</v>
      </c>
      <c r="X748" s="150">
        <v>0</v>
      </c>
      <c r="Y748" s="150"/>
      <c r="Z748" s="150">
        <v>0</v>
      </c>
      <c r="AA748" s="150">
        <f t="shared" si="820"/>
        <v>0</v>
      </c>
      <c r="AB748" s="150">
        <v>0</v>
      </c>
      <c r="AC748" s="199"/>
      <c r="AD748" s="150">
        <f t="shared" si="860"/>
        <v>0</v>
      </c>
      <c r="AE748" s="150">
        <v>0</v>
      </c>
      <c r="AF748" s="169" t="s">
        <v>4680</v>
      </c>
      <c r="AG748" s="201">
        <v>0</v>
      </c>
      <c r="AH748" s="199"/>
      <c r="AI748" s="150">
        <v>0</v>
      </c>
      <c r="AJ748" s="169">
        <f t="shared" si="821"/>
        <v>0</v>
      </c>
      <c r="AK748" s="201">
        <v>0</v>
      </c>
      <c r="AL748" s="199"/>
      <c r="AM748" s="150">
        <f t="shared" si="861"/>
        <v>0</v>
      </c>
      <c r="AN748" s="153">
        <f t="shared" si="822"/>
        <v>0</v>
      </c>
      <c r="AO748" s="154">
        <f t="shared" si="823"/>
        <v>0</v>
      </c>
      <c r="AP748" s="150">
        <v>0</v>
      </c>
      <c r="AQ748" s="201">
        <v>0</v>
      </c>
      <c r="AR748" s="199"/>
      <c r="AS748" s="150">
        <f t="shared" si="862"/>
        <v>0</v>
      </c>
      <c r="AT748" s="155"/>
      <c r="AU748" s="156">
        <f t="shared" si="817"/>
        <v>0</v>
      </c>
      <c r="AV748" s="156">
        <f t="shared" si="818"/>
        <v>0</v>
      </c>
      <c r="AW748" s="157"/>
      <c r="AX748" s="150">
        <v>0</v>
      </c>
      <c r="AY748" s="150">
        <v>0</v>
      </c>
      <c r="AZ748" s="150"/>
      <c r="BA748" s="150">
        <f t="shared" si="810"/>
        <v>0</v>
      </c>
      <c r="BB748" s="202">
        <v>5</v>
      </c>
      <c r="BC748" s="202" t="s">
        <v>647</v>
      </c>
      <c r="BD748" s="202" t="s">
        <v>632</v>
      </c>
      <c r="BE748" s="202" t="s">
        <v>1225</v>
      </c>
      <c r="BF748" s="202" t="s">
        <v>714</v>
      </c>
      <c r="BG748" s="203" t="s">
        <v>6594</v>
      </c>
      <c r="BH748" s="216">
        <f>AS748</f>
        <v>0</v>
      </c>
      <c r="BI748" s="205"/>
      <c r="BJ748" s="206" t="s">
        <v>6780</v>
      </c>
      <c r="BK748" s="206" t="s">
        <v>375</v>
      </c>
      <c r="BL748" s="207" t="s">
        <v>6781</v>
      </c>
      <c r="BM748" s="208">
        <f>BH748</f>
        <v>0</v>
      </c>
      <c r="BN748" s="160"/>
      <c r="BO748" s="161">
        <f t="shared" si="852"/>
        <v>0</v>
      </c>
      <c r="BP748" s="161"/>
    </row>
    <row r="749" spans="1:68" ht="25.5">
      <c r="A749" s="192" t="s">
        <v>6782</v>
      </c>
      <c r="B749" s="184"/>
      <c r="C749" s="185" t="s">
        <v>6783</v>
      </c>
      <c r="D749" s="146" t="s">
        <v>4692</v>
      </c>
      <c r="E749" s="185" t="s">
        <v>6783</v>
      </c>
      <c r="F749" s="188">
        <v>2838614.64</v>
      </c>
      <c r="G749" s="187">
        <v>0</v>
      </c>
      <c r="H749" s="187"/>
      <c r="I749" s="187">
        <v>0</v>
      </c>
      <c r="J749" s="188">
        <f>SUM(J750:J757)</f>
        <v>473695.69</v>
      </c>
      <c r="K749" s="188">
        <f>SUM(K750:K757)</f>
        <v>235895.21399999998</v>
      </c>
      <c r="L749" s="188">
        <f t="shared" si="829"/>
        <v>709590.90399999998</v>
      </c>
      <c r="M749" s="188">
        <v>1183126.6499999999</v>
      </c>
      <c r="N749" s="188">
        <v>236180.67000000016</v>
      </c>
      <c r="O749" s="188">
        <v>1419307.32</v>
      </c>
      <c r="P749" s="299">
        <f t="shared" ref="P749:AD749" si="865">SUM(P750:P757)</f>
        <v>1891550.26</v>
      </c>
      <c r="Q749" s="299">
        <f t="shared" si="865"/>
        <v>235895.21399999992</v>
      </c>
      <c r="R749" s="299">
        <f t="shared" si="865"/>
        <v>2127445.4739999999</v>
      </c>
      <c r="S749" s="150">
        <f t="shared" si="819"/>
        <v>2836593.9653333332</v>
      </c>
      <c r="T749" s="213"/>
      <c r="U749" s="299">
        <f t="shared" ref="U749:W749" si="866">SUM(U750:U757)</f>
        <v>2841770.07</v>
      </c>
      <c r="V749" s="226">
        <f t="shared" si="866"/>
        <v>1057.8640000000596</v>
      </c>
      <c r="W749" s="299">
        <f t="shared" si="866"/>
        <v>2842827.9339999999</v>
      </c>
      <c r="X749" s="299">
        <v>2841770.07</v>
      </c>
      <c r="Y749" s="299">
        <v>1057.8640000000596</v>
      </c>
      <c r="Z749" s="299">
        <v>2842827.9339999999</v>
      </c>
      <c r="AA749" s="299">
        <f t="shared" si="820"/>
        <v>4318.7960000000894</v>
      </c>
      <c r="AB749" s="299">
        <v>2847146.73</v>
      </c>
      <c r="AC749" s="226">
        <v>0</v>
      </c>
      <c r="AD749" s="299">
        <f t="shared" si="865"/>
        <v>2847146.73</v>
      </c>
      <c r="AE749" s="299">
        <v>2847146.73</v>
      </c>
      <c r="AF749" s="169" t="s">
        <v>4680</v>
      </c>
      <c r="AG749" s="301">
        <v>2847146.73</v>
      </c>
      <c r="AH749" s="226">
        <v>0</v>
      </c>
      <c r="AI749" s="299">
        <v>2847146.73</v>
      </c>
      <c r="AJ749" s="169">
        <f t="shared" si="821"/>
        <v>0</v>
      </c>
      <c r="AK749" s="301">
        <v>2847146.73</v>
      </c>
      <c r="AL749" s="226">
        <v>0</v>
      </c>
      <c r="AM749" s="299">
        <f t="shared" ref="AM749" si="867">SUM(AM750:AM757)</f>
        <v>2847146.73</v>
      </c>
      <c r="AN749" s="153">
        <f t="shared" si="822"/>
        <v>0</v>
      </c>
      <c r="AO749" s="154">
        <f t="shared" si="823"/>
        <v>0</v>
      </c>
      <c r="AP749" s="299">
        <v>2847146.73</v>
      </c>
      <c r="AQ749" s="301">
        <v>2847146.73</v>
      </c>
      <c r="AR749" s="226">
        <f t="shared" ref="AR749:AS749" si="868">SUM(AR750:AR757)</f>
        <v>0</v>
      </c>
      <c r="AS749" s="299">
        <f t="shared" si="868"/>
        <v>2847146.73</v>
      </c>
      <c r="AT749" s="155"/>
      <c r="AU749" s="156">
        <f t="shared" si="817"/>
        <v>0</v>
      </c>
      <c r="AV749" s="156">
        <f t="shared" si="818"/>
        <v>4318.7960000000894</v>
      </c>
      <c r="AW749" s="157"/>
      <c r="AX749" s="150">
        <v>2842827.9339999999</v>
      </c>
      <c r="AY749" s="299">
        <f t="shared" ref="AY749:BA749" si="869">SUM(AY750:AY757)</f>
        <v>1655655.05</v>
      </c>
      <c r="AZ749" s="299">
        <f t="shared" si="869"/>
        <v>827827.53100000019</v>
      </c>
      <c r="BA749" s="299">
        <f t="shared" si="869"/>
        <v>2483482.5810000002</v>
      </c>
      <c r="BB749" s="192">
        <v>5</v>
      </c>
      <c r="BC749" s="256" t="s">
        <v>647</v>
      </c>
      <c r="BD749" s="256" t="s">
        <v>632</v>
      </c>
      <c r="BE749" s="256" t="s">
        <v>1229</v>
      </c>
      <c r="BF749" s="256" t="s">
        <v>630</v>
      </c>
      <c r="BG749" s="185" t="s">
        <v>6783</v>
      </c>
      <c r="BH749" s="302">
        <f>SUM(BH750:BH757)</f>
        <v>2847146.73</v>
      </c>
      <c r="BI749" s="192"/>
      <c r="BJ749" s="256" t="s">
        <v>6784</v>
      </c>
      <c r="BK749" s="192" t="s">
        <v>6782</v>
      </c>
      <c r="BL749" s="185" t="s">
        <v>6785</v>
      </c>
      <c r="BM749" s="302">
        <f>SUM(BM750:BM757)</f>
        <v>2847146.73</v>
      </c>
      <c r="BN749" s="160"/>
      <c r="BO749" s="161">
        <f t="shared" si="852"/>
        <v>0</v>
      </c>
      <c r="BP749" s="161"/>
    </row>
    <row r="750" spans="1:68" ht="51">
      <c r="A750" s="261" t="s">
        <v>376</v>
      </c>
      <c r="B750" s="228" t="s">
        <v>6786</v>
      </c>
      <c r="C750" s="229" t="s">
        <v>6787</v>
      </c>
      <c r="D750" s="146" t="s">
        <v>4692</v>
      </c>
      <c r="E750" s="196" t="s">
        <v>6787</v>
      </c>
      <c r="F750" s="150">
        <v>0</v>
      </c>
      <c r="G750" s="209">
        <v>0</v>
      </c>
      <c r="H750" s="209"/>
      <c r="I750" s="209">
        <v>0</v>
      </c>
      <c r="J750" s="150">
        <v>0</v>
      </c>
      <c r="K750" s="150">
        <v>0</v>
      </c>
      <c r="L750" s="150">
        <f t="shared" si="829"/>
        <v>0</v>
      </c>
      <c r="M750" s="150">
        <v>0</v>
      </c>
      <c r="N750" s="150"/>
      <c r="O750" s="150">
        <v>0</v>
      </c>
      <c r="P750" s="150">
        <v>0</v>
      </c>
      <c r="Q750" s="150">
        <v>0</v>
      </c>
      <c r="R750" s="150">
        <f t="shared" ref="R750:R757" si="870">P750+Q750</f>
        <v>0</v>
      </c>
      <c r="S750" s="150">
        <f t="shared" si="819"/>
        <v>0</v>
      </c>
      <c r="T750" s="150"/>
      <c r="U750" s="150">
        <v>0</v>
      </c>
      <c r="V750" s="199"/>
      <c r="W750" s="150">
        <f t="shared" ref="W750:W757" si="871">U750+V750</f>
        <v>0</v>
      </c>
      <c r="X750" s="150">
        <v>0</v>
      </c>
      <c r="Y750" s="150"/>
      <c r="Z750" s="150">
        <v>0</v>
      </c>
      <c r="AA750" s="150">
        <f t="shared" si="820"/>
        <v>0</v>
      </c>
      <c r="AB750" s="150">
        <v>0</v>
      </c>
      <c r="AC750" s="199"/>
      <c r="AD750" s="150">
        <f t="shared" ref="AD750:AD757" si="872">AB750+AC750</f>
        <v>0</v>
      </c>
      <c r="AE750" s="150">
        <v>0</v>
      </c>
      <c r="AF750" s="169" t="s">
        <v>4680</v>
      </c>
      <c r="AG750" s="201">
        <v>0</v>
      </c>
      <c r="AH750" s="199"/>
      <c r="AI750" s="150">
        <v>0</v>
      </c>
      <c r="AJ750" s="169">
        <f t="shared" si="821"/>
        <v>0</v>
      </c>
      <c r="AK750" s="201">
        <v>0</v>
      </c>
      <c r="AL750" s="199"/>
      <c r="AM750" s="150">
        <f t="shared" ref="AM750:AM757" si="873">AK750+AL750</f>
        <v>0</v>
      </c>
      <c r="AN750" s="153">
        <f t="shared" si="822"/>
        <v>0</v>
      </c>
      <c r="AO750" s="154">
        <f t="shared" si="823"/>
        <v>0</v>
      </c>
      <c r="AP750" s="150">
        <v>0</v>
      </c>
      <c r="AQ750" s="201">
        <v>0</v>
      </c>
      <c r="AR750" s="199"/>
      <c r="AS750" s="150">
        <f t="shared" ref="AS750:AS757" si="874">AQ750+AR750</f>
        <v>0</v>
      </c>
      <c r="AT750" s="155" t="s">
        <v>4796</v>
      </c>
      <c r="AU750" s="156">
        <f t="shared" si="817"/>
        <v>0</v>
      </c>
      <c r="AV750" s="156">
        <f t="shared" si="818"/>
        <v>0</v>
      </c>
      <c r="AW750" s="157" t="s">
        <v>4796</v>
      </c>
      <c r="AX750" s="150">
        <v>0</v>
      </c>
      <c r="AY750" s="150">
        <v>0</v>
      </c>
      <c r="AZ750" s="150"/>
      <c r="BA750" s="150">
        <f t="shared" si="810"/>
        <v>0</v>
      </c>
      <c r="BB750" s="202">
        <v>5</v>
      </c>
      <c r="BC750" s="202" t="s">
        <v>647</v>
      </c>
      <c r="BD750" s="202" t="s">
        <v>632</v>
      </c>
      <c r="BE750" s="202" t="s">
        <v>1229</v>
      </c>
      <c r="BF750" s="202" t="s">
        <v>632</v>
      </c>
      <c r="BG750" s="203" t="s">
        <v>6470</v>
      </c>
      <c r="BH750" s="216">
        <f t="shared" ref="BH750:BH755" si="875">AS750</f>
        <v>0</v>
      </c>
      <c r="BI750" s="206" t="s">
        <v>1519</v>
      </c>
      <c r="BJ750" s="206" t="s">
        <v>6788</v>
      </c>
      <c r="BK750" s="206" t="s">
        <v>376</v>
      </c>
      <c r="BL750" s="207" t="s">
        <v>6789</v>
      </c>
      <c r="BM750" s="208">
        <f t="shared" ref="BM750:BM756" si="876">BH750</f>
        <v>0</v>
      </c>
      <c r="BN750" s="160"/>
      <c r="BO750" s="161">
        <f t="shared" si="852"/>
        <v>0</v>
      </c>
      <c r="BP750" s="161"/>
    </row>
    <row r="751" spans="1:68" ht="51">
      <c r="A751" s="206" t="s">
        <v>377</v>
      </c>
      <c r="B751" s="195" t="s">
        <v>6790</v>
      </c>
      <c r="C751" s="196" t="s">
        <v>6791</v>
      </c>
      <c r="D751" s="146" t="s">
        <v>4692</v>
      </c>
      <c r="E751" s="196" t="s">
        <v>6791</v>
      </c>
      <c r="F751" s="150">
        <v>0</v>
      </c>
      <c r="G751" s="209">
        <v>0</v>
      </c>
      <c r="H751" s="209"/>
      <c r="I751" s="209">
        <v>0</v>
      </c>
      <c r="J751" s="150">
        <v>0</v>
      </c>
      <c r="K751" s="150">
        <v>0</v>
      </c>
      <c r="L751" s="150">
        <f t="shared" si="829"/>
        <v>0</v>
      </c>
      <c r="M751" s="150">
        <v>0</v>
      </c>
      <c r="N751" s="150"/>
      <c r="O751" s="150">
        <v>0</v>
      </c>
      <c r="P751" s="150">
        <v>0</v>
      </c>
      <c r="Q751" s="150">
        <v>0</v>
      </c>
      <c r="R751" s="150">
        <f t="shared" si="870"/>
        <v>0</v>
      </c>
      <c r="S751" s="150">
        <f t="shared" si="819"/>
        <v>0</v>
      </c>
      <c r="T751" s="150"/>
      <c r="U751" s="150">
        <v>0</v>
      </c>
      <c r="V751" s="199"/>
      <c r="W751" s="150">
        <f t="shared" si="871"/>
        <v>0</v>
      </c>
      <c r="X751" s="150">
        <v>0</v>
      </c>
      <c r="Y751" s="150"/>
      <c r="Z751" s="150">
        <v>0</v>
      </c>
      <c r="AA751" s="150">
        <f t="shared" si="820"/>
        <v>0</v>
      </c>
      <c r="AB751" s="150">
        <v>0</v>
      </c>
      <c r="AC751" s="199"/>
      <c r="AD751" s="150">
        <f t="shared" si="872"/>
        <v>0</v>
      </c>
      <c r="AE751" s="150">
        <v>0</v>
      </c>
      <c r="AF751" s="169" t="s">
        <v>4680</v>
      </c>
      <c r="AG751" s="201">
        <v>0</v>
      </c>
      <c r="AH751" s="199"/>
      <c r="AI751" s="150">
        <v>0</v>
      </c>
      <c r="AJ751" s="169">
        <f t="shared" si="821"/>
        <v>0</v>
      </c>
      <c r="AK751" s="201">
        <v>0</v>
      </c>
      <c r="AL751" s="199"/>
      <c r="AM751" s="150">
        <f t="shared" si="873"/>
        <v>0</v>
      </c>
      <c r="AN751" s="153">
        <f t="shared" si="822"/>
        <v>0</v>
      </c>
      <c r="AO751" s="154">
        <f t="shared" si="823"/>
        <v>0</v>
      </c>
      <c r="AP751" s="150">
        <v>0</v>
      </c>
      <c r="AQ751" s="201">
        <v>0</v>
      </c>
      <c r="AR751" s="199"/>
      <c r="AS751" s="150">
        <f t="shared" si="874"/>
        <v>0</v>
      </c>
      <c r="AT751" s="155"/>
      <c r="AU751" s="156">
        <f t="shared" si="817"/>
        <v>0</v>
      </c>
      <c r="AV751" s="156">
        <f t="shared" si="818"/>
        <v>0</v>
      </c>
      <c r="AW751" s="157"/>
      <c r="AX751" s="150">
        <v>0</v>
      </c>
      <c r="AY751" s="150">
        <v>0</v>
      </c>
      <c r="AZ751" s="150"/>
      <c r="BA751" s="150">
        <f t="shared" si="810"/>
        <v>0</v>
      </c>
      <c r="BB751" s="202">
        <v>5</v>
      </c>
      <c r="BC751" s="202" t="s">
        <v>647</v>
      </c>
      <c r="BD751" s="202" t="s">
        <v>632</v>
      </c>
      <c r="BE751" s="202" t="s">
        <v>1229</v>
      </c>
      <c r="BF751" s="202" t="s">
        <v>647</v>
      </c>
      <c r="BG751" s="203" t="s">
        <v>6518</v>
      </c>
      <c r="BH751" s="216">
        <f t="shared" si="875"/>
        <v>0</v>
      </c>
      <c r="BI751" s="205"/>
      <c r="BJ751" s="206" t="s">
        <v>6792</v>
      </c>
      <c r="BK751" s="206" t="s">
        <v>377</v>
      </c>
      <c r="BL751" s="207" t="s">
        <v>6793</v>
      </c>
      <c r="BM751" s="208">
        <f t="shared" si="876"/>
        <v>0</v>
      </c>
      <c r="BN751" s="160"/>
      <c r="BO751" s="161">
        <f t="shared" si="852"/>
        <v>0</v>
      </c>
      <c r="BP751" s="161"/>
    </row>
    <row r="752" spans="1:68" ht="38.25">
      <c r="A752" s="206" t="s">
        <v>378</v>
      </c>
      <c r="B752" s="195" t="s">
        <v>6794</v>
      </c>
      <c r="C752" s="196" t="s">
        <v>6795</v>
      </c>
      <c r="D752" s="146" t="s">
        <v>4692</v>
      </c>
      <c r="E752" s="196" t="s">
        <v>6795</v>
      </c>
      <c r="F752" s="150">
        <v>0</v>
      </c>
      <c r="G752" s="209">
        <v>0</v>
      </c>
      <c r="H752" s="209"/>
      <c r="I752" s="209">
        <v>0</v>
      </c>
      <c r="J752" s="150">
        <v>0</v>
      </c>
      <c r="K752" s="150">
        <v>0</v>
      </c>
      <c r="L752" s="150">
        <f t="shared" si="829"/>
        <v>0</v>
      </c>
      <c r="M752" s="150">
        <v>0</v>
      </c>
      <c r="N752" s="150"/>
      <c r="O752" s="150">
        <v>0</v>
      </c>
      <c r="P752" s="150">
        <v>0</v>
      </c>
      <c r="Q752" s="150">
        <v>0</v>
      </c>
      <c r="R752" s="150">
        <f t="shared" si="870"/>
        <v>0</v>
      </c>
      <c r="S752" s="150">
        <f t="shared" si="819"/>
        <v>0</v>
      </c>
      <c r="T752" s="150"/>
      <c r="U752" s="150">
        <v>0</v>
      </c>
      <c r="V752" s="199"/>
      <c r="W752" s="150">
        <f t="shared" si="871"/>
        <v>0</v>
      </c>
      <c r="X752" s="150">
        <v>0</v>
      </c>
      <c r="Y752" s="150"/>
      <c r="Z752" s="150">
        <v>0</v>
      </c>
      <c r="AA752" s="150">
        <f t="shared" si="820"/>
        <v>0</v>
      </c>
      <c r="AB752" s="150">
        <v>0</v>
      </c>
      <c r="AC752" s="199"/>
      <c r="AD752" s="150">
        <f t="shared" si="872"/>
        <v>0</v>
      </c>
      <c r="AE752" s="150">
        <v>0</v>
      </c>
      <c r="AF752" s="169" t="s">
        <v>4680</v>
      </c>
      <c r="AG752" s="201">
        <v>0</v>
      </c>
      <c r="AH752" s="199"/>
      <c r="AI752" s="150">
        <v>0</v>
      </c>
      <c r="AJ752" s="169">
        <f t="shared" si="821"/>
        <v>0</v>
      </c>
      <c r="AK752" s="201">
        <v>0</v>
      </c>
      <c r="AL752" s="199"/>
      <c r="AM752" s="150">
        <f t="shared" si="873"/>
        <v>0</v>
      </c>
      <c r="AN752" s="153">
        <f t="shared" si="822"/>
        <v>0</v>
      </c>
      <c r="AO752" s="154">
        <f t="shared" si="823"/>
        <v>0</v>
      </c>
      <c r="AP752" s="150">
        <v>0</v>
      </c>
      <c r="AQ752" s="201">
        <v>0</v>
      </c>
      <c r="AR752" s="199"/>
      <c r="AS752" s="150">
        <f t="shared" si="874"/>
        <v>0</v>
      </c>
      <c r="AT752" s="155"/>
      <c r="AU752" s="156">
        <f t="shared" si="817"/>
        <v>0</v>
      </c>
      <c r="AV752" s="156">
        <f t="shared" si="818"/>
        <v>0</v>
      </c>
      <c r="AW752" s="157"/>
      <c r="AX752" s="150">
        <v>0</v>
      </c>
      <c r="AY752" s="150">
        <v>0</v>
      </c>
      <c r="AZ752" s="150"/>
      <c r="BA752" s="150">
        <f t="shared" si="810"/>
        <v>0</v>
      </c>
      <c r="BB752" s="202">
        <v>5</v>
      </c>
      <c r="BC752" s="202" t="s">
        <v>647</v>
      </c>
      <c r="BD752" s="202" t="s">
        <v>632</v>
      </c>
      <c r="BE752" s="202" t="s">
        <v>1229</v>
      </c>
      <c r="BF752" s="202" t="s">
        <v>671</v>
      </c>
      <c r="BG752" s="203" t="s">
        <v>6499</v>
      </c>
      <c r="BH752" s="216">
        <f t="shared" si="875"/>
        <v>0</v>
      </c>
      <c r="BI752" s="206" t="s">
        <v>1349</v>
      </c>
      <c r="BJ752" s="206" t="s">
        <v>6796</v>
      </c>
      <c r="BK752" s="206" t="s">
        <v>378</v>
      </c>
      <c r="BL752" s="207" t="s">
        <v>6797</v>
      </c>
      <c r="BM752" s="208">
        <f t="shared" si="876"/>
        <v>0</v>
      </c>
      <c r="BN752" s="160"/>
      <c r="BO752" s="161">
        <f t="shared" si="852"/>
        <v>0</v>
      </c>
      <c r="BP752" s="161"/>
    </row>
    <row r="753" spans="1:68" ht="25.5">
      <c r="A753" s="206" t="s">
        <v>379</v>
      </c>
      <c r="B753" s="195" t="s">
        <v>6798</v>
      </c>
      <c r="C753" s="196" t="s">
        <v>6799</v>
      </c>
      <c r="D753" s="146" t="s">
        <v>4692</v>
      </c>
      <c r="E753" s="196" t="s">
        <v>6799</v>
      </c>
      <c r="F753" s="150">
        <v>0</v>
      </c>
      <c r="G753" s="209">
        <v>0</v>
      </c>
      <c r="H753" s="209"/>
      <c r="I753" s="209">
        <v>0</v>
      </c>
      <c r="J753" s="150">
        <v>0</v>
      </c>
      <c r="K753" s="150">
        <v>0</v>
      </c>
      <c r="L753" s="150">
        <f t="shared" si="829"/>
        <v>0</v>
      </c>
      <c r="M753" s="150">
        <v>0</v>
      </c>
      <c r="N753" s="150"/>
      <c r="O753" s="150">
        <v>0</v>
      </c>
      <c r="P753" s="150">
        <v>0</v>
      </c>
      <c r="Q753" s="150">
        <v>0</v>
      </c>
      <c r="R753" s="150">
        <f t="shared" si="870"/>
        <v>0</v>
      </c>
      <c r="S753" s="150">
        <f t="shared" si="819"/>
        <v>0</v>
      </c>
      <c r="T753" s="150"/>
      <c r="U753" s="150">
        <v>0</v>
      </c>
      <c r="V753" s="199"/>
      <c r="W753" s="150">
        <f t="shared" si="871"/>
        <v>0</v>
      </c>
      <c r="X753" s="150">
        <v>0</v>
      </c>
      <c r="Y753" s="150"/>
      <c r="Z753" s="150">
        <v>0</v>
      </c>
      <c r="AA753" s="150">
        <f t="shared" si="820"/>
        <v>0</v>
      </c>
      <c r="AB753" s="150">
        <v>0</v>
      </c>
      <c r="AC753" s="199"/>
      <c r="AD753" s="150">
        <f t="shared" si="872"/>
        <v>0</v>
      </c>
      <c r="AE753" s="150">
        <v>0</v>
      </c>
      <c r="AF753" s="169" t="s">
        <v>4680</v>
      </c>
      <c r="AG753" s="201">
        <v>0</v>
      </c>
      <c r="AH753" s="199"/>
      <c r="AI753" s="150">
        <v>0</v>
      </c>
      <c r="AJ753" s="169">
        <f t="shared" si="821"/>
        <v>0</v>
      </c>
      <c r="AK753" s="201">
        <v>0</v>
      </c>
      <c r="AL753" s="199"/>
      <c r="AM753" s="150">
        <f t="shared" si="873"/>
        <v>0</v>
      </c>
      <c r="AN753" s="153">
        <f t="shared" si="822"/>
        <v>0</v>
      </c>
      <c r="AO753" s="154">
        <f t="shared" si="823"/>
        <v>0</v>
      </c>
      <c r="AP753" s="150">
        <v>0</v>
      </c>
      <c r="AQ753" s="201">
        <v>0</v>
      </c>
      <c r="AR753" s="199"/>
      <c r="AS753" s="150">
        <f t="shared" si="874"/>
        <v>0</v>
      </c>
      <c r="AT753" s="155"/>
      <c r="AU753" s="156">
        <f t="shared" si="817"/>
        <v>0</v>
      </c>
      <c r="AV753" s="156">
        <f t="shared" si="818"/>
        <v>0</v>
      </c>
      <c r="AW753" s="157"/>
      <c r="AX753" s="150">
        <v>0</v>
      </c>
      <c r="AY753" s="150">
        <v>0</v>
      </c>
      <c r="AZ753" s="150"/>
      <c r="BA753" s="150">
        <f t="shared" si="810"/>
        <v>0</v>
      </c>
      <c r="BB753" s="202">
        <v>5</v>
      </c>
      <c r="BC753" s="202" t="s">
        <v>647</v>
      </c>
      <c r="BD753" s="202" t="s">
        <v>632</v>
      </c>
      <c r="BE753" s="202" t="s">
        <v>1229</v>
      </c>
      <c r="BF753" s="202" t="s">
        <v>693</v>
      </c>
      <c r="BG753" s="203" t="s">
        <v>6800</v>
      </c>
      <c r="BH753" s="216">
        <f t="shared" si="875"/>
        <v>0</v>
      </c>
      <c r="BI753" s="205"/>
      <c r="BJ753" s="206" t="s">
        <v>6801</v>
      </c>
      <c r="BK753" s="206" t="s">
        <v>379</v>
      </c>
      <c r="BL753" s="207" t="s">
        <v>6802</v>
      </c>
      <c r="BM753" s="208">
        <f t="shared" si="876"/>
        <v>0</v>
      </c>
      <c r="BN753" s="160"/>
      <c r="BO753" s="161">
        <f t="shared" si="852"/>
        <v>0</v>
      </c>
      <c r="BP753" s="161"/>
    </row>
    <row r="754" spans="1:68">
      <c r="A754" s="206" t="s">
        <v>379</v>
      </c>
      <c r="B754" s="195" t="s">
        <v>6803</v>
      </c>
      <c r="C754" s="196" t="s">
        <v>6804</v>
      </c>
      <c r="D754" s="146" t="s">
        <v>4692</v>
      </c>
      <c r="E754" s="196" t="s">
        <v>6804</v>
      </c>
      <c r="F754" s="150">
        <v>0</v>
      </c>
      <c r="G754" s="209">
        <v>0</v>
      </c>
      <c r="H754" s="209"/>
      <c r="I754" s="209">
        <v>0</v>
      </c>
      <c r="J754" s="150">
        <v>0</v>
      </c>
      <c r="K754" s="150">
        <v>0</v>
      </c>
      <c r="L754" s="150">
        <f t="shared" si="829"/>
        <v>0</v>
      </c>
      <c r="M754" s="150">
        <v>0</v>
      </c>
      <c r="N754" s="150"/>
      <c r="O754" s="150">
        <v>0</v>
      </c>
      <c r="P754" s="150">
        <v>0</v>
      </c>
      <c r="Q754" s="150">
        <v>0</v>
      </c>
      <c r="R754" s="150">
        <f t="shared" si="870"/>
        <v>0</v>
      </c>
      <c r="S754" s="150">
        <f t="shared" si="819"/>
        <v>0</v>
      </c>
      <c r="T754" s="150"/>
      <c r="U754" s="150">
        <v>0</v>
      </c>
      <c r="V754" s="199"/>
      <c r="W754" s="150">
        <f t="shared" si="871"/>
        <v>0</v>
      </c>
      <c r="X754" s="150">
        <v>0</v>
      </c>
      <c r="Y754" s="150"/>
      <c r="Z754" s="150">
        <v>0</v>
      </c>
      <c r="AA754" s="150">
        <f t="shared" si="820"/>
        <v>0</v>
      </c>
      <c r="AB754" s="150">
        <v>0</v>
      </c>
      <c r="AC754" s="199"/>
      <c r="AD754" s="150">
        <f t="shared" si="872"/>
        <v>0</v>
      </c>
      <c r="AE754" s="150">
        <v>0</v>
      </c>
      <c r="AF754" s="169" t="s">
        <v>4680</v>
      </c>
      <c r="AG754" s="201">
        <v>0</v>
      </c>
      <c r="AH754" s="199"/>
      <c r="AI754" s="150">
        <v>0</v>
      </c>
      <c r="AJ754" s="169">
        <f t="shared" si="821"/>
        <v>0</v>
      </c>
      <c r="AK754" s="201">
        <v>0</v>
      </c>
      <c r="AL754" s="199"/>
      <c r="AM754" s="150">
        <f t="shared" si="873"/>
        <v>0</v>
      </c>
      <c r="AN754" s="153">
        <f t="shared" si="822"/>
        <v>0</v>
      </c>
      <c r="AO754" s="154">
        <f t="shared" si="823"/>
        <v>0</v>
      </c>
      <c r="AP754" s="150">
        <v>0</v>
      </c>
      <c r="AQ754" s="201">
        <v>0</v>
      </c>
      <c r="AR754" s="199"/>
      <c r="AS754" s="150">
        <f t="shared" si="874"/>
        <v>0</v>
      </c>
      <c r="AT754" s="155"/>
      <c r="AU754" s="156">
        <f t="shared" si="817"/>
        <v>0</v>
      </c>
      <c r="AV754" s="156">
        <f t="shared" si="818"/>
        <v>0</v>
      </c>
      <c r="AW754" s="157"/>
      <c r="AX754" s="150">
        <v>0</v>
      </c>
      <c r="AY754" s="150">
        <v>0</v>
      </c>
      <c r="AZ754" s="150"/>
      <c r="BA754" s="150">
        <f t="shared" si="810"/>
        <v>0</v>
      </c>
      <c r="BB754" s="202">
        <v>5</v>
      </c>
      <c r="BC754" s="202" t="s">
        <v>647</v>
      </c>
      <c r="BD754" s="202" t="s">
        <v>632</v>
      </c>
      <c r="BE754" s="202" t="s">
        <v>1229</v>
      </c>
      <c r="BF754" s="202" t="s">
        <v>714</v>
      </c>
      <c r="BG754" s="203" t="s">
        <v>6805</v>
      </c>
      <c r="BH754" s="216">
        <f t="shared" si="875"/>
        <v>0</v>
      </c>
      <c r="BI754" s="205"/>
      <c r="BJ754" s="206" t="s">
        <v>6801</v>
      </c>
      <c r="BK754" s="206" t="s">
        <v>379</v>
      </c>
      <c r="BL754" s="207" t="s">
        <v>6802</v>
      </c>
      <c r="BM754" s="208">
        <f t="shared" si="876"/>
        <v>0</v>
      </c>
      <c r="BN754" s="160"/>
      <c r="BO754" s="161">
        <f t="shared" si="852"/>
        <v>0</v>
      </c>
      <c r="BP754" s="161"/>
    </row>
    <row r="755" spans="1:68">
      <c r="A755" s="206" t="s">
        <v>379</v>
      </c>
      <c r="B755" s="195" t="s">
        <v>6806</v>
      </c>
      <c r="C755" s="196" t="s">
        <v>6807</v>
      </c>
      <c r="D755" s="146" t="s">
        <v>4692</v>
      </c>
      <c r="E755" s="196" t="s">
        <v>6807</v>
      </c>
      <c r="F755" s="150">
        <v>0</v>
      </c>
      <c r="G755" s="209">
        <v>2837453.73</v>
      </c>
      <c r="H755" s="209"/>
      <c r="I755" s="209">
        <v>2837453.73</v>
      </c>
      <c r="J755" s="150">
        <v>0</v>
      </c>
      <c r="K755" s="150">
        <v>0</v>
      </c>
      <c r="L755" s="150">
        <f t="shared" si="829"/>
        <v>0</v>
      </c>
      <c r="M755" s="150">
        <v>0</v>
      </c>
      <c r="N755" s="150"/>
      <c r="O755" s="150">
        <v>0</v>
      </c>
      <c r="P755" s="150">
        <v>0</v>
      </c>
      <c r="Q755" s="150">
        <v>0</v>
      </c>
      <c r="R755" s="150">
        <f t="shared" si="870"/>
        <v>0</v>
      </c>
      <c r="S755" s="150">
        <f t="shared" si="819"/>
        <v>0</v>
      </c>
      <c r="T755" s="150"/>
      <c r="U755" s="150">
        <v>0</v>
      </c>
      <c r="V755" s="199"/>
      <c r="W755" s="150">
        <f t="shared" si="871"/>
        <v>0</v>
      </c>
      <c r="X755" s="150">
        <v>0</v>
      </c>
      <c r="Y755" s="150"/>
      <c r="Z755" s="150">
        <v>0</v>
      </c>
      <c r="AA755" s="150">
        <f t="shared" si="820"/>
        <v>0</v>
      </c>
      <c r="AB755" s="150">
        <v>0</v>
      </c>
      <c r="AC755" s="199"/>
      <c r="AD755" s="150">
        <f t="shared" si="872"/>
        <v>0</v>
      </c>
      <c r="AE755" s="150">
        <v>0</v>
      </c>
      <c r="AF755" s="169" t="s">
        <v>4680</v>
      </c>
      <c r="AG755" s="201">
        <v>0</v>
      </c>
      <c r="AH755" s="199"/>
      <c r="AI755" s="150">
        <v>0</v>
      </c>
      <c r="AJ755" s="169">
        <f t="shared" si="821"/>
        <v>0</v>
      </c>
      <c r="AK755" s="201">
        <v>0</v>
      </c>
      <c r="AL755" s="199"/>
      <c r="AM755" s="150">
        <f t="shared" si="873"/>
        <v>0</v>
      </c>
      <c r="AN755" s="153">
        <f t="shared" si="822"/>
        <v>0</v>
      </c>
      <c r="AO755" s="154">
        <f t="shared" si="823"/>
        <v>0</v>
      </c>
      <c r="AP755" s="150">
        <v>0</v>
      </c>
      <c r="AQ755" s="201">
        <v>0</v>
      </c>
      <c r="AR755" s="199"/>
      <c r="AS755" s="150">
        <f t="shared" si="874"/>
        <v>0</v>
      </c>
      <c r="AT755" s="155"/>
      <c r="AU755" s="156">
        <f t="shared" si="817"/>
        <v>0</v>
      </c>
      <c r="AV755" s="156">
        <f t="shared" si="818"/>
        <v>0</v>
      </c>
      <c r="AW755" s="157"/>
      <c r="AX755" s="150">
        <v>0</v>
      </c>
      <c r="AY755" s="150">
        <v>0</v>
      </c>
      <c r="AZ755" s="150"/>
      <c r="BA755" s="150">
        <f t="shared" si="810"/>
        <v>0</v>
      </c>
      <c r="BB755" s="202">
        <v>5</v>
      </c>
      <c r="BC755" s="202" t="s">
        <v>647</v>
      </c>
      <c r="BD755" s="202" t="s">
        <v>632</v>
      </c>
      <c r="BE755" s="202" t="s">
        <v>1229</v>
      </c>
      <c r="BF755" s="202" t="s">
        <v>739</v>
      </c>
      <c r="BG755" s="203" t="s">
        <v>6808</v>
      </c>
      <c r="BH755" s="216">
        <f t="shared" si="875"/>
        <v>0</v>
      </c>
      <c r="BI755" s="205"/>
      <c r="BJ755" s="206" t="s">
        <v>6801</v>
      </c>
      <c r="BK755" s="206" t="s">
        <v>379</v>
      </c>
      <c r="BL755" s="207" t="s">
        <v>6802</v>
      </c>
      <c r="BM755" s="208">
        <f t="shared" si="876"/>
        <v>0</v>
      </c>
      <c r="BN755" s="160"/>
      <c r="BO755" s="161">
        <f t="shared" si="852"/>
        <v>0</v>
      </c>
      <c r="BP755" s="161"/>
    </row>
    <row r="756" spans="1:68" ht="32.25" customHeight="1">
      <c r="A756" s="206" t="s">
        <v>379</v>
      </c>
      <c r="B756" s="195" t="s">
        <v>6809</v>
      </c>
      <c r="C756" s="196" t="s">
        <v>6810</v>
      </c>
      <c r="D756" s="146" t="s">
        <v>4692</v>
      </c>
      <c r="E756" s="196" t="s">
        <v>6810</v>
      </c>
      <c r="F756" s="150">
        <v>2838614.64</v>
      </c>
      <c r="G756" s="209">
        <v>0</v>
      </c>
      <c r="H756" s="209"/>
      <c r="I756" s="209">
        <v>0</v>
      </c>
      <c r="J756" s="150">
        <v>473695.69</v>
      </c>
      <c r="K756" s="150">
        <v>235895.21399999998</v>
      </c>
      <c r="L756" s="150">
        <f t="shared" si="829"/>
        <v>709590.90399999998</v>
      </c>
      <c r="M756" s="150">
        <v>1183126.6499999999</v>
      </c>
      <c r="N756" s="150">
        <v>236180.67000000016</v>
      </c>
      <c r="O756" s="150">
        <v>1419307.32</v>
      </c>
      <c r="P756" s="150">
        <v>1891550.26</v>
      </c>
      <c r="Q756" s="150">
        <v>235895.21399999992</v>
      </c>
      <c r="R756" s="150">
        <f t="shared" si="870"/>
        <v>2127445.4739999999</v>
      </c>
      <c r="S756" s="150">
        <f t="shared" si="819"/>
        <v>2836593.9653333332</v>
      </c>
      <c r="T756" s="150"/>
      <c r="U756" s="150">
        <v>2841770.07</v>
      </c>
      <c r="V756" s="199">
        <v>1057.8640000000596</v>
      </c>
      <c r="W756" s="150">
        <f t="shared" si="871"/>
        <v>2842827.9339999999</v>
      </c>
      <c r="X756" s="150">
        <v>2841770.07</v>
      </c>
      <c r="Y756" s="150">
        <v>1057.8640000000596</v>
      </c>
      <c r="Z756" s="150">
        <v>2842827.9339999999</v>
      </c>
      <c r="AA756" s="150">
        <f t="shared" si="820"/>
        <v>4318.7960000000894</v>
      </c>
      <c r="AB756" s="150">
        <v>2847146.73</v>
      </c>
      <c r="AC756" s="199"/>
      <c r="AD756" s="150">
        <f t="shared" si="872"/>
        <v>2847146.73</v>
      </c>
      <c r="AE756" s="150">
        <v>2847146.73</v>
      </c>
      <c r="AF756" s="169" t="s">
        <v>4680</v>
      </c>
      <c r="AG756" s="201">
        <v>2847146.73</v>
      </c>
      <c r="AH756" s="199"/>
      <c r="AI756" s="150">
        <v>2847146.73</v>
      </c>
      <c r="AJ756" s="169">
        <f t="shared" si="821"/>
        <v>0</v>
      </c>
      <c r="AK756" s="201">
        <v>2847146.73</v>
      </c>
      <c r="AL756" s="199"/>
      <c r="AM756" s="150">
        <f t="shared" si="873"/>
        <v>2847146.73</v>
      </c>
      <c r="AN756" s="153">
        <f t="shared" si="822"/>
        <v>0</v>
      </c>
      <c r="AO756" s="154">
        <f t="shared" si="823"/>
        <v>0</v>
      </c>
      <c r="AP756" s="150">
        <v>2847146.73</v>
      </c>
      <c r="AQ756" s="201">
        <v>2847146.73</v>
      </c>
      <c r="AR756" s="199"/>
      <c r="AS756" s="150">
        <f t="shared" si="874"/>
        <v>2847146.73</v>
      </c>
      <c r="AT756" s="155"/>
      <c r="AU756" s="156">
        <f t="shared" si="817"/>
        <v>0</v>
      </c>
      <c r="AV756" s="156">
        <f t="shared" si="818"/>
        <v>4318.7960000000894</v>
      </c>
      <c r="AW756" s="157"/>
      <c r="AX756" s="150">
        <v>2842827.9339999999</v>
      </c>
      <c r="AY756" s="150">
        <v>1655655.05</v>
      </c>
      <c r="AZ756" s="150">
        <v>827827.53100000019</v>
      </c>
      <c r="BA756" s="150">
        <f t="shared" si="810"/>
        <v>2483482.5810000002</v>
      </c>
      <c r="BB756" s="202">
        <v>5</v>
      </c>
      <c r="BC756" s="202" t="s">
        <v>647</v>
      </c>
      <c r="BD756" s="202" t="s">
        <v>632</v>
      </c>
      <c r="BE756" s="202" t="s">
        <v>1229</v>
      </c>
      <c r="BF756" s="202" t="s">
        <v>755</v>
      </c>
      <c r="BG756" s="203" t="s">
        <v>6811</v>
      </c>
      <c r="BH756" s="216">
        <f>SUM(AS756:AS757)</f>
        <v>2847146.73</v>
      </c>
      <c r="BI756" s="205"/>
      <c r="BJ756" s="206" t="s">
        <v>6801</v>
      </c>
      <c r="BK756" s="206" t="s">
        <v>379</v>
      </c>
      <c r="BL756" s="207" t="s">
        <v>6802</v>
      </c>
      <c r="BM756" s="208">
        <f t="shared" si="876"/>
        <v>2847146.73</v>
      </c>
      <c r="BN756" s="160"/>
      <c r="BO756" s="161">
        <f t="shared" si="852"/>
        <v>0</v>
      </c>
      <c r="BP756" s="161"/>
    </row>
    <row r="757" spans="1:68">
      <c r="A757" s="210"/>
      <c r="B757" s="195" t="s">
        <v>6812</v>
      </c>
      <c r="C757" s="196" t="s">
        <v>6813</v>
      </c>
      <c r="D757" s="146" t="s">
        <v>4692</v>
      </c>
      <c r="E757" s="196" t="s">
        <v>6813</v>
      </c>
      <c r="F757" s="150">
        <v>0</v>
      </c>
      <c r="G757" s="209">
        <v>325369.89999999997</v>
      </c>
      <c r="H757" s="209">
        <v>0</v>
      </c>
      <c r="I757" s="209">
        <v>325369.89999999997</v>
      </c>
      <c r="J757" s="150">
        <v>0</v>
      </c>
      <c r="K757" s="150">
        <v>0</v>
      </c>
      <c r="L757" s="150">
        <f t="shared" si="829"/>
        <v>0</v>
      </c>
      <c r="M757" s="150">
        <v>0</v>
      </c>
      <c r="N757" s="150"/>
      <c r="O757" s="150">
        <v>0</v>
      </c>
      <c r="P757" s="150">
        <v>0</v>
      </c>
      <c r="Q757" s="150">
        <v>0</v>
      </c>
      <c r="R757" s="150">
        <f t="shared" si="870"/>
        <v>0</v>
      </c>
      <c r="S757" s="150">
        <f t="shared" si="819"/>
        <v>0</v>
      </c>
      <c r="T757" s="150"/>
      <c r="U757" s="150">
        <v>0</v>
      </c>
      <c r="V757" s="199"/>
      <c r="W757" s="150">
        <f t="shared" si="871"/>
        <v>0</v>
      </c>
      <c r="X757" s="150">
        <v>0</v>
      </c>
      <c r="Y757" s="150"/>
      <c r="Z757" s="150">
        <v>0</v>
      </c>
      <c r="AA757" s="150">
        <f t="shared" si="820"/>
        <v>0</v>
      </c>
      <c r="AB757" s="150">
        <v>0</v>
      </c>
      <c r="AC757" s="199"/>
      <c r="AD757" s="150">
        <f t="shared" si="872"/>
        <v>0</v>
      </c>
      <c r="AE757" s="150">
        <v>0</v>
      </c>
      <c r="AF757" s="169" t="s">
        <v>4680</v>
      </c>
      <c r="AG757" s="201">
        <v>0</v>
      </c>
      <c r="AH757" s="199"/>
      <c r="AI757" s="150">
        <v>0</v>
      </c>
      <c r="AJ757" s="169">
        <f t="shared" si="821"/>
        <v>0</v>
      </c>
      <c r="AK757" s="201">
        <v>0</v>
      </c>
      <c r="AL757" s="199"/>
      <c r="AM757" s="150">
        <f t="shared" si="873"/>
        <v>0</v>
      </c>
      <c r="AN757" s="153">
        <f t="shared" si="822"/>
        <v>0</v>
      </c>
      <c r="AO757" s="154">
        <f t="shared" si="823"/>
        <v>0</v>
      </c>
      <c r="AP757" s="150">
        <v>0</v>
      </c>
      <c r="AQ757" s="201">
        <v>0</v>
      </c>
      <c r="AR757" s="199"/>
      <c r="AS757" s="150">
        <f t="shared" si="874"/>
        <v>0</v>
      </c>
      <c r="AT757" s="155"/>
      <c r="AU757" s="156">
        <f t="shared" si="817"/>
        <v>0</v>
      </c>
      <c r="AV757" s="156">
        <f t="shared" si="818"/>
        <v>0</v>
      </c>
      <c r="AW757" s="157"/>
      <c r="AX757" s="150">
        <v>0</v>
      </c>
      <c r="AY757" s="150">
        <v>0</v>
      </c>
      <c r="AZ757" s="150"/>
      <c r="BA757" s="150">
        <f t="shared" si="810"/>
        <v>0</v>
      </c>
      <c r="BB757" s="210"/>
      <c r="BC757" s="210"/>
      <c r="BD757" s="210"/>
      <c r="BE757" s="210"/>
      <c r="BF757" s="210"/>
      <c r="BG757" s="210"/>
      <c r="BH757" s="217"/>
      <c r="BI757" s="210"/>
      <c r="BJ757" s="210"/>
      <c r="BK757" s="210"/>
      <c r="BL757" s="210"/>
      <c r="BM757" s="208"/>
      <c r="BN757" s="160"/>
      <c r="BO757" s="161">
        <f t="shared" si="852"/>
        <v>0</v>
      </c>
      <c r="BP757" s="161"/>
    </row>
    <row r="758" spans="1:68" ht="38.25">
      <c r="A758" s="192" t="s">
        <v>6814</v>
      </c>
      <c r="B758" s="184"/>
      <c r="C758" s="185" t="s">
        <v>55</v>
      </c>
      <c r="D758" s="146" t="s">
        <v>4692</v>
      </c>
      <c r="E758" s="185" t="s">
        <v>55</v>
      </c>
      <c r="F758" s="188">
        <v>75812.579999999987</v>
      </c>
      <c r="G758" s="187">
        <v>0</v>
      </c>
      <c r="H758" s="187"/>
      <c r="I758" s="187">
        <v>0</v>
      </c>
      <c r="J758" s="188">
        <f>SUM(J759:J787)</f>
        <v>386.33</v>
      </c>
      <c r="K758" s="188">
        <f>SUM(K759:K787)</f>
        <v>0</v>
      </c>
      <c r="L758" s="188">
        <f t="shared" si="829"/>
        <v>386.33</v>
      </c>
      <c r="M758" s="188">
        <v>63672.98</v>
      </c>
      <c r="N758" s="188">
        <v>0</v>
      </c>
      <c r="O758" s="188">
        <v>63672.98</v>
      </c>
      <c r="P758" s="299">
        <f t="shared" ref="P758:AD758" si="877">SUM(P759:P787)</f>
        <v>204930.78</v>
      </c>
      <c r="Q758" s="299">
        <f t="shared" si="877"/>
        <v>2273.9999999999995</v>
      </c>
      <c r="R758" s="299">
        <f t="shared" si="877"/>
        <v>207204.78</v>
      </c>
      <c r="S758" s="150">
        <f t="shared" si="819"/>
        <v>276273.04000000004</v>
      </c>
      <c r="T758" s="213"/>
      <c r="U758" s="299">
        <f t="shared" ref="U758:W758" si="878">SUM(U759:U787)</f>
        <v>322892.68000000005</v>
      </c>
      <c r="V758" s="226">
        <f t="shared" si="878"/>
        <v>4152.6599999999744</v>
      </c>
      <c r="W758" s="299">
        <f t="shared" si="878"/>
        <v>327045.34000000003</v>
      </c>
      <c r="X758" s="299">
        <v>322892.68000000005</v>
      </c>
      <c r="Y758" s="299">
        <v>4152.6599999999744</v>
      </c>
      <c r="Z758" s="299">
        <v>327045.34000000003</v>
      </c>
      <c r="AA758" s="299">
        <f t="shared" si="820"/>
        <v>222461.93</v>
      </c>
      <c r="AB758" s="299">
        <v>546369.14</v>
      </c>
      <c r="AC758" s="226">
        <v>3138.1300000000042</v>
      </c>
      <c r="AD758" s="299">
        <f t="shared" si="877"/>
        <v>549507.27</v>
      </c>
      <c r="AE758" s="299">
        <v>296809.97000000003</v>
      </c>
      <c r="AF758" s="169" t="s">
        <v>4680</v>
      </c>
      <c r="AG758" s="301">
        <v>296809.97000000003</v>
      </c>
      <c r="AH758" s="226">
        <v>0</v>
      </c>
      <c r="AI758" s="299">
        <v>296809.97000000003</v>
      </c>
      <c r="AJ758" s="169">
        <f t="shared" si="821"/>
        <v>0</v>
      </c>
      <c r="AK758" s="301">
        <v>296809.97000000003</v>
      </c>
      <c r="AL758" s="226">
        <v>0</v>
      </c>
      <c r="AM758" s="299">
        <f t="shared" ref="AM758" si="879">SUM(AM759:AM787)</f>
        <v>296809.97000000003</v>
      </c>
      <c r="AN758" s="153">
        <f t="shared" si="822"/>
        <v>0</v>
      </c>
      <c r="AO758" s="154">
        <f t="shared" si="823"/>
        <v>0</v>
      </c>
      <c r="AP758" s="299">
        <v>296809.97000000003</v>
      </c>
      <c r="AQ758" s="301">
        <v>296809.97000000003</v>
      </c>
      <c r="AR758" s="226">
        <f t="shared" ref="AR758:AS758" si="880">SUM(AR759:AR787)</f>
        <v>0</v>
      </c>
      <c r="AS758" s="299">
        <f t="shared" si="880"/>
        <v>296809.97000000003</v>
      </c>
      <c r="AT758" s="155"/>
      <c r="AU758" s="156">
        <f t="shared" si="817"/>
        <v>-252697.3</v>
      </c>
      <c r="AV758" s="156">
        <f t="shared" si="818"/>
        <v>222461.93</v>
      </c>
      <c r="AW758" s="157"/>
      <c r="AX758" s="150">
        <v>327045.34000000003</v>
      </c>
      <c r="AY758" s="299">
        <f t="shared" ref="AY758:BA758" si="881">SUM(AY759:AY787)</f>
        <v>103197.20999999999</v>
      </c>
      <c r="AZ758" s="299">
        <f t="shared" si="881"/>
        <v>0</v>
      </c>
      <c r="BA758" s="299">
        <f t="shared" si="881"/>
        <v>103197.20999999999</v>
      </c>
      <c r="BB758" s="192">
        <v>5</v>
      </c>
      <c r="BC758" s="256" t="s">
        <v>647</v>
      </c>
      <c r="BD758" s="256" t="s">
        <v>632</v>
      </c>
      <c r="BE758" s="256" t="s">
        <v>1243</v>
      </c>
      <c r="BF758" s="256" t="s">
        <v>630</v>
      </c>
      <c r="BG758" s="185" t="s">
        <v>55</v>
      </c>
      <c r="BH758" s="302">
        <f>SUM(BH759:BH787)</f>
        <v>296809.97000000003</v>
      </c>
      <c r="BI758" s="192"/>
      <c r="BJ758" s="256" t="s">
        <v>6815</v>
      </c>
      <c r="BK758" s="192" t="s">
        <v>6814</v>
      </c>
      <c r="BL758" s="185" t="s">
        <v>6816</v>
      </c>
      <c r="BM758" s="302">
        <f>SUM(BM759:BM787)</f>
        <v>296809.97000000003</v>
      </c>
      <c r="BN758" s="160"/>
      <c r="BO758" s="161">
        <f t="shared" si="852"/>
        <v>0</v>
      </c>
      <c r="BP758" s="161"/>
    </row>
    <row r="759" spans="1:68" ht="51">
      <c r="A759" s="261" t="s">
        <v>6817</v>
      </c>
      <c r="B759" s="228" t="s">
        <v>6818</v>
      </c>
      <c r="C759" s="229" t="s">
        <v>6819</v>
      </c>
      <c r="D759" s="146" t="s">
        <v>4692</v>
      </c>
      <c r="E759" s="196" t="s">
        <v>6819</v>
      </c>
      <c r="F759" s="150">
        <v>0</v>
      </c>
      <c r="G759" s="209">
        <v>0</v>
      </c>
      <c r="H759" s="209"/>
      <c r="I759" s="209">
        <v>0</v>
      </c>
      <c r="J759" s="150">
        <v>0</v>
      </c>
      <c r="K759" s="150">
        <v>0</v>
      </c>
      <c r="L759" s="150">
        <f t="shared" si="829"/>
        <v>0</v>
      </c>
      <c r="M759" s="150">
        <v>0</v>
      </c>
      <c r="N759" s="150"/>
      <c r="O759" s="150">
        <v>0</v>
      </c>
      <c r="P759" s="150">
        <v>0</v>
      </c>
      <c r="Q759" s="150"/>
      <c r="R759" s="150">
        <f t="shared" ref="R759:R787" si="882">P759+Q759</f>
        <v>0</v>
      </c>
      <c r="S759" s="150">
        <f t="shared" si="819"/>
        <v>0</v>
      </c>
      <c r="T759" s="150"/>
      <c r="U759" s="150">
        <v>0</v>
      </c>
      <c r="V759" s="199"/>
      <c r="W759" s="150">
        <f t="shared" ref="W759:W787" si="883">U759+V759</f>
        <v>0</v>
      </c>
      <c r="X759" s="150">
        <v>0</v>
      </c>
      <c r="Y759" s="150"/>
      <c r="Z759" s="150">
        <v>0</v>
      </c>
      <c r="AA759" s="150">
        <f t="shared" si="820"/>
        <v>0</v>
      </c>
      <c r="AB759" s="150">
        <v>0</v>
      </c>
      <c r="AC759" s="199"/>
      <c r="AD759" s="150">
        <f t="shared" ref="AD759:AD787" si="884">AB759+AC759</f>
        <v>0</v>
      </c>
      <c r="AE759" s="150">
        <v>0</v>
      </c>
      <c r="AF759" s="169" t="s">
        <v>4680</v>
      </c>
      <c r="AG759" s="201">
        <v>0</v>
      </c>
      <c r="AH759" s="199"/>
      <c r="AI759" s="150">
        <v>0</v>
      </c>
      <c r="AJ759" s="169">
        <f t="shared" si="821"/>
        <v>0</v>
      </c>
      <c r="AK759" s="201">
        <v>0</v>
      </c>
      <c r="AL759" s="199"/>
      <c r="AM759" s="150">
        <f t="shared" ref="AM759:AM787" si="885">AK759+AL759</f>
        <v>0</v>
      </c>
      <c r="AN759" s="153">
        <f t="shared" si="822"/>
        <v>0</v>
      </c>
      <c r="AO759" s="154">
        <f t="shared" si="823"/>
        <v>0</v>
      </c>
      <c r="AP759" s="150">
        <v>0</v>
      </c>
      <c r="AQ759" s="201">
        <v>0</v>
      </c>
      <c r="AR759" s="199"/>
      <c r="AS759" s="150">
        <f t="shared" ref="AS759:AS787" si="886">AQ759+AR759</f>
        <v>0</v>
      </c>
      <c r="AT759" s="155" t="s">
        <v>4796</v>
      </c>
      <c r="AU759" s="156">
        <f t="shared" si="817"/>
        <v>0</v>
      </c>
      <c r="AV759" s="156">
        <f t="shared" si="818"/>
        <v>0</v>
      </c>
      <c r="AW759" s="157" t="s">
        <v>4796</v>
      </c>
      <c r="AX759" s="150">
        <v>0</v>
      </c>
      <c r="AY759" s="150">
        <v>0</v>
      </c>
      <c r="AZ759" s="150"/>
      <c r="BA759" s="150">
        <f t="shared" ref="BA759:BA822" si="887">AY759+AZ759</f>
        <v>0</v>
      </c>
      <c r="BB759" s="202">
        <v>5</v>
      </c>
      <c r="BC759" s="202" t="s">
        <v>647</v>
      </c>
      <c r="BD759" s="202" t="s">
        <v>632</v>
      </c>
      <c r="BE759" s="202" t="s">
        <v>1243</v>
      </c>
      <c r="BF759" s="194" t="s">
        <v>632</v>
      </c>
      <c r="BG759" s="203" t="s">
        <v>6819</v>
      </c>
      <c r="BH759" s="216">
        <f t="shared" ref="BH759:BH787" si="888">AS759</f>
        <v>0</v>
      </c>
      <c r="BI759" s="206" t="s">
        <v>1519</v>
      </c>
      <c r="BJ759" s="206" t="s">
        <v>6820</v>
      </c>
      <c r="BK759" s="206" t="s">
        <v>6817</v>
      </c>
      <c r="BL759" s="207" t="s">
        <v>6821</v>
      </c>
      <c r="BM759" s="208">
        <f t="shared" ref="BM759:BM787" si="889">BH759</f>
        <v>0</v>
      </c>
      <c r="BN759" s="160"/>
      <c r="BO759" s="161">
        <f t="shared" si="852"/>
        <v>0</v>
      </c>
      <c r="BP759" s="161"/>
    </row>
    <row r="760" spans="1:68" ht="38.25">
      <c r="A760" s="206" t="s">
        <v>381</v>
      </c>
      <c r="B760" s="195" t="s">
        <v>6822</v>
      </c>
      <c r="C760" s="196" t="s">
        <v>6823</v>
      </c>
      <c r="D760" s="146" t="s">
        <v>4692</v>
      </c>
      <c r="E760" s="196" t="s">
        <v>6823</v>
      </c>
      <c r="F760" s="150">
        <v>0</v>
      </c>
      <c r="G760" s="209">
        <v>0</v>
      </c>
      <c r="H760" s="209"/>
      <c r="I760" s="209">
        <v>0</v>
      </c>
      <c r="J760" s="150">
        <v>0</v>
      </c>
      <c r="K760" s="150">
        <v>0</v>
      </c>
      <c r="L760" s="150">
        <f t="shared" si="829"/>
        <v>0</v>
      </c>
      <c r="M760" s="150">
        <v>0</v>
      </c>
      <c r="N760" s="150"/>
      <c r="O760" s="150">
        <v>0</v>
      </c>
      <c r="P760" s="150">
        <v>0</v>
      </c>
      <c r="Q760" s="150"/>
      <c r="R760" s="150">
        <f t="shared" si="882"/>
        <v>0</v>
      </c>
      <c r="S760" s="150">
        <f t="shared" si="819"/>
        <v>0</v>
      </c>
      <c r="T760" s="150"/>
      <c r="U760" s="150">
        <v>0</v>
      </c>
      <c r="V760" s="199"/>
      <c r="W760" s="150">
        <f t="shared" si="883"/>
        <v>0</v>
      </c>
      <c r="X760" s="150">
        <v>0</v>
      </c>
      <c r="Y760" s="150"/>
      <c r="Z760" s="150">
        <v>0</v>
      </c>
      <c r="AA760" s="150">
        <f t="shared" si="820"/>
        <v>0</v>
      </c>
      <c r="AB760" s="150">
        <v>0</v>
      </c>
      <c r="AC760" s="199"/>
      <c r="AD760" s="150">
        <f t="shared" si="884"/>
        <v>0</v>
      </c>
      <c r="AE760" s="150">
        <v>0</v>
      </c>
      <c r="AF760" s="169" t="s">
        <v>4680</v>
      </c>
      <c r="AG760" s="201">
        <v>0</v>
      </c>
      <c r="AH760" s="199"/>
      <c r="AI760" s="150">
        <v>0</v>
      </c>
      <c r="AJ760" s="169">
        <f t="shared" si="821"/>
        <v>0</v>
      </c>
      <c r="AK760" s="201">
        <v>0</v>
      </c>
      <c r="AL760" s="199"/>
      <c r="AM760" s="150">
        <f t="shared" si="885"/>
        <v>0</v>
      </c>
      <c r="AN760" s="153">
        <f t="shared" si="822"/>
        <v>0</v>
      </c>
      <c r="AO760" s="154">
        <f t="shared" si="823"/>
        <v>0</v>
      </c>
      <c r="AP760" s="150">
        <v>0</v>
      </c>
      <c r="AQ760" s="201">
        <v>0</v>
      </c>
      <c r="AR760" s="199"/>
      <c r="AS760" s="150">
        <f t="shared" si="886"/>
        <v>0</v>
      </c>
      <c r="AT760" s="155"/>
      <c r="AU760" s="156">
        <f t="shared" si="817"/>
        <v>0</v>
      </c>
      <c r="AV760" s="156">
        <f t="shared" si="818"/>
        <v>0</v>
      </c>
      <c r="AW760" s="157"/>
      <c r="AX760" s="150">
        <v>0</v>
      </c>
      <c r="AY760" s="150">
        <v>0</v>
      </c>
      <c r="AZ760" s="150"/>
      <c r="BA760" s="150">
        <f t="shared" si="887"/>
        <v>0</v>
      </c>
      <c r="BB760" s="202">
        <v>5</v>
      </c>
      <c r="BC760" s="202" t="s">
        <v>647</v>
      </c>
      <c r="BD760" s="202" t="s">
        <v>632</v>
      </c>
      <c r="BE760" s="202" t="s">
        <v>1243</v>
      </c>
      <c r="BF760" s="194" t="s">
        <v>647</v>
      </c>
      <c r="BG760" s="231" t="s">
        <v>6823</v>
      </c>
      <c r="BH760" s="216">
        <f t="shared" si="888"/>
        <v>0</v>
      </c>
      <c r="BI760" s="205"/>
      <c r="BJ760" s="206" t="s">
        <v>6824</v>
      </c>
      <c r="BK760" s="206" t="s">
        <v>381</v>
      </c>
      <c r="BL760" s="207" t="s">
        <v>6825</v>
      </c>
      <c r="BM760" s="208">
        <f t="shared" si="889"/>
        <v>0</v>
      </c>
      <c r="BN760" s="160"/>
      <c r="BO760" s="161">
        <f t="shared" si="852"/>
        <v>0</v>
      </c>
      <c r="BP760" s="161"/>
    </row>
    <row r="761" spans="1:68" ht="63.75">
      <c r="A761" s="206" t="s">
        <v>6826</v>
      </c>
      <c r="B761" s="195" t="s">
        <v>6827</v>
      </c>
      <c r="C761" s="196" t="s">
        <v>6828</v>
      </c>
      <c r="D761" s="146" t="s">
        <v>4692</v>
      </c>
      <c r="E761" s="196" t="s">
        <v>6828</v>
      </c>
      <c r="F761" s="150">
        <v>0</v>
      </c>
      <c r="G761" s="209">
        <v>0</v>
      </c>
      <c r="H761" s="209"/>
      <c r="I761" s="209">
        <v>0</v>
      </c>
      <c r="J761" s="150">
        <v>0</v>
      </c>
      <c r="K761" s="150">
        <v>0</v>
      </c>
      <c r="L761" s="150">
        <f t="shared" si="829"/>
        <v>0</v>
      </c>
      <c r="M761" s="150">
        <v>0</v>
      </c>
      <c r="N761" s="150"/>
      <c r="O761" s="150">
        <v>0</v>
      </c>
      <c r="P761" s="150">
        <v>0</v>
      </c>
      <c r="Q761" s="150"/>
      <c r="R761" s="150">
        <f t="shared" si="882"/>
        <v>0</v>
      </c>
      <c r="S761" s="150">
        <f t="shared" si="819"/>
        <v>0</v>
      </c>
      <c r="T761" s="150"/>
      <c r="U761" s="150">
        <v>0</v>
      </c>
      <c r="V761" s="199"/>
      <c r="W761" s="150">
        <f t="shared" si="883"/>
        <v>0</v>
      </c>
      <c r="X761" s="150">
        <v>0</v>
      </c>
      <c r="Y761" s="150"/>
      <c r="Z761" s="150">
        <v>0</v>
      </c>
      <c r="AA761" s="150">
        <f t="shared" si="820"/>
        <v>0</v>
      </c>
      <c r="AB761" s="150">
        <v>0</v>
      </c>
      <c r="AC761" s="199"/>
      <c r="AD761" s="150">
        <f t="shared" si="884"/>
        <v>0</v>
      </c>
      <c r="AE761" s="150">
        <v>0</v>
      </c>
      <c r="AF761" s="169" t="s">
        <v>4680</v>
      </c>
      <c r="AG761" s="201">
        <v>0</v>
      </c>
      <c r="AH761" s="199"/>
      <c r="AI761" s="150">
        <v>0</v>
      </c>
      <c r="AJ761" s="169">
        <f t="shared" si="821"/>
        <v>0</v>
      </c>
      <c r="AK761" s="201">
        <v>0</v>
      </c>
      <c r="AL761" s="199"/>
      <c r="AM761" s="150">
        <f t="shared" si="885"/>
        <v>0</v>
      </c>
      <c r="AN761" s="153">
        <f t="shared" si="822"/>
        <v>0</v>
      </c>
      <c r="AO761" s="154">
        <f t="shared" si="823"/>
        <v>0</v>
      </c>
      <c r="AP761" s="150">
        <v>0</v>
      </c>
      <c r="AQ761" s="201">
        <v>0</v>
      </c>
      <c r="AR761" s="199"/>
      <c r="AS761" s="150">
        <f t="shared" si="886"/>
        <v>0</v>
      </c>
      <c r="AT761" s="155"/>
      <c r="AU761" s="156">
        <f t="shared" si="817"/>
        <v>0</v>
      </c>
      <c r="AV761" s="156">
        <f t="shared" si="818"/>
        <v>0</v>
      </c>
      <c r="AW761" s="157"/>
      <c r="AX761" s="150">
        <v>0</v>
      </c>
      <c r="AY761" s="150">
        <v>0</v>
      </c>
      <c r="AZ761" s="150"/>
      <c r="BA761" s="150">
        <f t="shared" si="887"/>
        <v>0</v>
      </c>
      <c r="BB761" s="202">
        <v>5</v>
      </c>
      <c r="BC761" s="202" t="s">
        <v>647</v>
      </c>
      <c r="BD761" s="202" t="s">
        <v>632</v>
      </c>
      <c r="BE761" s="202" t="s">
        <v>1243</v>
      </c>
      <c r="BF761" s="194" t="s">
        <v>1871</v>
      </c>
      <c r="BG761" s="231" t="s">
        <v>6828</v>
      </c>
      <c r="BH761" s="216">
        <f t="shared" si="888"/>
        <v>0</v>
      </c>
      <c r="BI761" s="206" t="s">
        <v>1349</v>
      </c>
      <c r="BJ761" s="206" t="s">
        <v>6829</v>
      </c>
      <c r="BK761" s="206" t="s">
        <v>6826</v>
      </c>
      <c r="BL761" s="207" t="s">
        <v>6830</v>
      </c>
      <c r="BM761" s="208">
        <f t="shared" si="889"/>
        <v>0</v>
      </c>
      <c r="BN761" s="160"/>
      <c r="BO761" s="161">
        <f t="shared" si="852"/>
        <v>0</v>
      </c>
      <c r="BP761" s="161"/>
    </row>
    <row r="762" spans="1:68" ht="38.25">
      <c r="A762" s="206" t="s">
        <v>382</v>
      </c>
      <c r="B762" s="195" t="s">
        <v>6831</v>
      </c>
      <c r="C762" s="196" t="s">
        <v>6832</v>
      </c>
      <c r="D762" s="146" t="s">
        <v>4692</v>
      </c>
      <c r="E762" s="196" t="s">
        <v>6832</v>
      </c>
      <c r="F762" s="150">
        <v>0</v>
      </c>
      <c r="G762" s="209">
        <v>0</v>
      </c>
      <c r="H762" s="209"/>
      <c r="I762" s="209">
        <v>0</v>
      </c>
      <c r="J762" s="150">
        <v>0</v>
      </c>
      <c r="K762" s="150">
        <v>0</v>
      </c>
      <c r="L762" s="150">
        <f t="shared" si="829"/>
        <v>0</v>
      </c>
      <c r="M762" s="150">
        <v>0</v>
      </c>
      <c r="N762" s="150"/>
      <c r="O762" s="150">
        <v>0</v>
      </c>
      <c r="P762" s="150">
        <v>0</v>
      </c>
      <c r="Q762" s="150"/>
      <c r="R762" s="150">
        <f t="shared" si="882"/>
        <v>0</v>
      </c>
      <c r="S762" s="150">
        <f t="shared" si="819"/>
        <v>0</v>
      </c>
      <c r="T762" s="150"/>
      <c r="U762" s="150">
        <v>0</v>
      </c>
      <c r="V762" s="199"/>
      <c r="W762" s="150">
        <f t="shared" si="883"/>
        <v>0</v>
      </c>
      <c r="X762" s="150">
        <v>0</v>
      </c>
      <c r="Y762" s="150"/>
      <c r="Z762" s="150">
        <v>0</v>
      </c>
      <c r="AA762" s="150">
        <f t="shared" si="820"/>
        <v>0</v>
      </c>
      <c r="AB762" s="150">
        <v>0</v>
      </c>
      <c r="AC762" s="199"/>
      <c r="AD762" s="150">
        <f t="shared" si="884"/>
        <v>0</v>
      </c>
      <c r="AE762" s="150">
        <v>0</v>
      </c>
      <c r="AF762" s="169" t="s">
        <v>4680</v>
      </c>
      <c r="AG762" s="201">
        <v>0</v>
      </c>
      <c r="AH762" s="199"/>
      <c r="AI762" s="150">
        <v>0</v>
      </c>
      <c r="AJ762" s="169">
        <f t="shared" si="821"/>
        <v>0</v>
      </c>
      <c r="AK762" s="201">
        <v>0</v>
      </c>
      <c r="AL762" s="199"/>
      <c r="AM762" s="150">
        <f t="shared" si="885"/>
        <v>0</v>
      </c>
      <c r="AN762" s="153">
        <f t="shared" si="822"/>
        <v>0</v>
      </c>
      <c r="AO762" s="154">
        <f t="shared" si="823"/>
        <v>0</v>
      </c>
      <c r="AP762" s="150">
        <v>0</v>
      </c>
      <c r="AQ762" s="201">
        <v>0</v>
      </c>
      <c r="AR762" s="199"/>
      <c r="AS762" s="150">
        <f t="shared" si="886"/>
        <v>0</v>
      </c>
      <c r="AT762" s="155"/>
      <c r="AU762" s="156">
        <f t="shared" si="817"/>
        <v>0</v>
      </c>
      <c r="AV762" s="156">
        <f t="shared" si="818"/>
        <v>0</v>
      </c>
      <c r="AW762" s="157"/>
      <c r="AX762" s="150">
        <v>0</v>
      </c>
      <c r="AY762" s="150">
        <v>0</v>
      </c>
      <c r="AZ762" s="150"/>
      <c r="BA762" s="150">
        <f t="shared" si="887"/>
        <v>0</v>
      </c>
      <c r="BB762" s="202">
        <v>5</v>
      </c>
      <c r="BC762" s="202" t="s">
        <v>647</v>
      </c>
      <c r="BD762" s="202" t="s">
        <v>632</v>
      </c>
      <c r="BE762" s="202" t="s">
        <v>1243</v>
      </c>
      <c r="BF762" s="202" t="s">
        <v>671</v>
      </c>
      <c r="BG762" s="231" t="s">
        <v>6832</v>
      </c>
      <c r="BH762" s="216">
        <f t="shared" si="888"/>
        <v>0</v>
      </c>
      <c r="BI762" s="206" t="s">
        <v>1340</v>
      </c>
      <c r="BJ762" s="206" t="s">
        <v>6833</v>
      </c>
      <c r="BK762" s="206" t="s">
        <v>382</v>
      </c>
      <c r="BL762" s="207" t="s">
        <v>6834</v>
      </c>
      <c r="BM762" s="208">
        <f t="shared" si="889"/>
        <v>0</v>
      </c>
      <c r="BN762" s="160"/>
      <c r="BO762" s="161">
        <f t="shared" si="852"/>
        <v>0</v>
      </c>
      <c r="BP762" s="161"/>
    </row>
    <row r="763" spans="1:68" ht="25.5">
      <c r="A763" s="206" t="s">
        <v>383</v>
      </c>
      <c r="B763" s="195" t="s">
        <v>6835</v>
      </c>
      <c r="C763" s="196" t="s">
        <v>6836</v>
      </c>
      <c r="D763" s="146" t="s">
        <v>4692</v>
      </c>
      <c r="E763" s="196" t="s">
        <v>6836</v>
      </c>
      <c r="F763" s="150">
        <v>0</v>
      </c>
      <c r="G763" s="209">
        <v>0</v>
      </c>
      <c r="H763" s="209"/>
      <c r="I763" s="209">
        <v>0</v>
      </c>
      <c r="J763" s="150">
        <v>0</v>
      </c>
      <c r="K763" s="150">
        <v>0</v>
      </c>
      <c r="L763" s="150">
        <f t="shared" si="829"/>
        <v>0</v>
      </c>
      <c r="M763" s="150">
        <v>0</v>
      </c>
      <c r="N763" s="150"/>
      <c r="O763" s="150">
        <v>0</v>
      </c>
      <c r="P763" s="150">
        <v>0</v>
      </c>
      <c r="Q763" s="150"/>
      <c r="R763" s="150">
        <f t="shared" si="882"/>
        <v>0</v>
      </c>
      <c r="S763" s="150">
        <f t="shared" si="819"/>
        <v>0</v>
      </c>
      <c r="T763" s="150"/>
      <c r="U763" s="150">
        <v>0</v>
      </c>
      <c r="V763" s="199"/>
      <c r="W763" s="150">
        <f t="shared" si="883"/>
        <v>0</v>
      </c>
      <c r="X763" s="150">
        <v>0</v>
      </c>
      <c r="Y763" s="150"/>
      <c r="Z763" s="150">
        <v>0</v>
      </c>
      <c r="AA763" s="150">
        <f t="shared" si="820"/>
        <v>0</v>
      </c>
      <c r="AB763" s="150">
        <v>0</v>
      </c>
      <c r="AC763" s="199"/>
      <c r="AD763" s="150">
        <f t="shared" si="884"/>
        <v>0</v>
      </c>
      <c r="AE763" s="150">
        <v>0</v>
      </c>
      <c r="AF763" s="169" t="s">
        <v>4680</v>
      </c>
      <c r="AG763" s="201">
        <v>0</v>
      </c>
      <c r="AH763" s="199"/>
      <c r="AI763" s="150">
        <v>0</v>
      </c>
      <c r="AJ763" s="169">
        <f t="shared" si="821"/>
        <v>0</v>
      </c>
      <c r="AK763" s="201">
        <v>0</v>
      </c>
      <c r="AL763" s="199"/>
      <c r="AM763" s="150">
        <f t="shared" si="885"/>
        <v>0</v>
      </c>
      <c r="AN763" s="153">
        <f t="shared" si="822"/>
        <v>0</v>
      </c>
      <c r="AO763" s="154">
        <f t="shared" si="823"/>
        <v>0</v>
      </c>
      <c r="AP763" s="150">
        <v>0</v>
      </c>
      <c r="AQ763" s="201">
        <v>0</v>
      </c>
      <c r="AR763" s="199"/>
      <c r="AS763" s="150">
        <f t="shared" si="886"/>
        <v>0</v>
      </c>
      <c r="AT763" s="155"/>
      <c r="AU763" s="156">
        <f t="shared" si="817"/>
        <v>0</v>
      </c>
      <c r="AV763" s="156">
        <f t="shared" si="818"/>
        <v>0</v>
      </c>
      <c r="AW763" s="157"/>
      <c r="AX763" s="150">
        <v>0</v>
      </c>
      <c r="AY763" s="150">
        <v>0</v>
      </c>
      <c r="AZ763" s="150"/>
      <c r="BA763" s="150">
        <f t="shared" si="887"/>
        <v>0</v>
      </c>
      <c r="BB763" s="202">
        <v>5</v>
      </c>
      <c r="BC763" s="202" t="s">
        <v>647</v>
      </c>
      <c r="BD763" s="202" t="s">
        <v>632</v>
      </c>
      <c r="BE763" s="202" t="s">
        <v>1243</v>
      </c>
      <c r="BF763" s="194" t="s">
        <v>693</v>
      </c>
      <c r="BG763" s="231" t="s">
        <v>6836</v>
      </c>
      <c r="BH763" s="216">
        <f t="shared" si="888"/>
        <v>0</v>
      </c>
      <c r="BI763" s="205"/>
      <c r="BJ763" s="206" t="s">
        <v>6837</v>
      </c>
      <c r="BK763" s="206" t="s">
        <v>383</v>
      </c>
      <c r="BL763" s="207" t="s">
        <v>6838</v>
      </c>
      <c r="BM763" s="208">
        <f t="shared" si="889"/>
        <v>0</v>
      </c>
      <c r="BN763" s="160"/>
      <c r="BO763" s="161">
        <f t="shared" si="852"/>
        <v>0</v>
      </c>
      <c r="BP763" s="161"/>
    </row>
    <row r="764" spans="1:68" ht="25.5">
      <c r="A764" s="206" t="s">
        <v>384</v>
      </c>
      <c r="B764" s="195" t="s">
        <v>6839</v>
      </c>
      <c r="C764" s="196" t="s">
        <v>6840</v>
      </c>
      <c r="D764" s="146" t="s">
        <v>4692</v>
      </c>
      <c r="E764" s="196" t="s">
        <v>6840</v>
      </c>
      <c r="F764" s="150">
        <v>0</v>
      </c>
      <c r="G764" s="209">
        <v>0</v>
      </c>
      <c r="H764" s="209"/>
      <c r="I764" s="209">
        <v>0</v>
      </c>
      <c r="J764" s="150">
        <v>0</v>
      </c>
      <c r="K764" s="150">
        <v>0</v>
      </c>
      <c r="L764" s="150">
        <f t="shared" si="829"/>
        <v>0</v>
      </c>
      <c r="M764" s="150">
        <v>0</v>
      </c>
      <c r="N764" s="150"/>
      <c r="O764" s="150">
        <v>0</v>
      </c>
      <c r="P764" s="150">
        <v>0</v>
      </c>
      <c r="Q764" s="150"/>
      <c r="R764" s="150">
        <f t="shared" si="882"/>
        <v>0</v>
      </c>
      <c r="S764" s="150">
        <f t="shared" si="819"/>
        <v>0</v>
      </c>
      <c r="T764" s="150"/>
      <c r="U764" s="150">
        <v>0</v>
      </c>
      <c r="V764" s="199"/>
      <c r="W764" s="150">
        <f t="shared" si="883"/>
        <v>0</v>
      </c>
      <c r="X764" s="150">
        <v>0</v>
      </c>
      <c r="Y764" s="150"/>
      <c r="Z764" s="150">
        <v>0</v>
      </c>
      <c r="AA764" s="150">
        <f t="shared" si="820"/>
        <v>0</v>
      </c>
      <c r="AB764" s="150">
        <v>0</v>
      </c>
      <c r="AC764" s="199"/>
      <c r="AD764" s="150">
        <f t="shared" si="884"/>
        <v>0</v>
      </c>
      <c r="AE764" s="150">
        <v>0</v>
      </c>
      <c r="AF764" s="169" t="s">
        <v>4680</v>
      </c>
      <c r="AG764" s="201">
        <v>0</v>
      </c>
      <c r="AH764" s="199"/>
      <c r="AI764" s="150">
        <v>0</v>
      </c>
      <c r="AJ764" s="169">
        <f t="shared" si="821"/>
        <v>0</v>
      </c>
      <c r="AK764" s="201">
        <v>0</v>
      </c>
      <c r="AL764" s="199"/>
      <c r="AM764" s="150">
        <f t="shared" si="885"/>
        <v>0</v>
      </c>
      <c r="AN764" s="153">
        <f t="shared" si="822"/>
        <v>0</v>
      </c>
      <c r="AO764" s="154">
        <f t="shared" si="823"/>
        <v>0</v>
      </c>
      <c r="AP764" s="150">
        <v>0</v>
      </c>
      <c r="AQ764" s="201">
        <v>0</v>
      </c>
      <c r="AR764" s="199"/>
      <c r="AS764" s="150">
        <f t="shared" si="886"/>
        <v>0</v>
      </c>
      <c r="AT764" s="155"/>
      <c r="AU764" s="156">
        <f t="shared" si="817"/>
        <v>0</v>
      </c>
      <c r="AV764" s="156">
        <f t="shared" si="818"/>
        <v>0</v>
      </c>
      <c r="AW764" s="157"/>
      <c r="AX764" s="150">
        <v>0</v>
      </c>
      <c r="AY764" s="150">
        <v>0</v>
      </c>
      <c r="AZ764" s="150"/>
      <c r="BA764" s="150">
        <f t="shared" si="887"/>
        <v>0</v>
      </c>
      <c r="BB764" s="202">
        <v>5</v>
      </c>
      <c r="BC764" s="202" t="s">
        <v>647</v>
      </c>
      <c r="BD764" s="202" t="s">
        <v>632</v>
      </c>
      <c r="BE764" s="202" t="s">
        <v>1243</v>
      </c>
      <c r="BF764" s="202" t="s">
        <v>714</v>
      </c>
      <c r="BG764" s="231" t="s">
        <v>6840</v>
      </c>
      <c r="BH764" s="216">
        <f t="shared" si="888"/>
        <v>0</v>
      </c>
      <c r="BI764" s="205"/>
      <c r="BJ764" s="206" t="s">
        <v>6841</v>
      </c>
      <c r="BK764" s="206" t="s">
        <v>384</v>
      </c>
      <c r="BL764" s="207" t="s">
        <v>6842</v>
      </c>
      <c r="BM764" s="208">
        <f t="shared" si="889"/>
        <v>0</v>
      </c>
      <c r="BN764" s="160"/>
      <c r="BO764" s="161">
        <f t="shared" si="852"/>
        <v>0</v>
      </c>
      <c r="BP764" s="161"/>
    </row>
    <row r="765" spans="1:68" ht="51">
      <c r="A765" s="261" t="s">
        <v>6817</v>
      </c>
      <c r="B765" s="228" t="s">
        <v>6843</v>
      </c>
      <c r="C765" s="229" t="s">
        <v>6844</v>
      </c>
      <c r="D765" s="146" t="s">
        <v>4692</v>
      </c>
      <c r="E765" s="196" t="s">
        <v>6844</v>
      </c>
      <c r="F765" s="150">
        <v>0</v>
      </c>
      <c r="G765" s="209">
        <v>0</v>
      </c>
      <c r="H765" s="209"/>
      <c r="I765" s="209">
        <v>0</v>
      </c>
      <c r="J765" s="150">
        <v>0</v>
      </c>
      <c r="K765" s="150">
        <v>0</v>
      </c>
      <c r="L765" s="150">
        <f t="shared" si="829"/>
        <v>0</v>
      </c>
      <c r="M765" s="150">
        <v>0</v>
      </c>
      <c r="N765" s="150"/>
      <c r="O765" s="150">
        <v>0</v>
      </c>
      <c r="P765" s="150">
        <v>0</v>
      </c>
      <c r="Q765" s="150"/>
      <c r="R765" s="150">
        <f t="shared" si="882"/>
        <v>0</v>
      </c>
      <c r="S765" s="150">
        <f t="shared" si="819"/>
        <v>0</v>
      </c>
      <c r="T765" s="150"/>
      <c r="U765" s="150">
        <v>0</v>
      </c>
      <c r="V765" s="199"/>
      <c r="W765" s="150">
        <f t="shared" si="883"/>
        <v>0</v>
      </c>
      <c r="X765" s="150">
        <v>0</v>
      </c>
      <c r="Y765" s="150"/>
      <c r="Z765" s="150">
        <v>0</v>
      </c>
      <c r="AA765" s="150">
        <f t="shared" si="820"/>
        <v>0</v>
      </c>
      <c r="AB765" s="150">
        <v>0</v>
      </c>
      <c r="AC765" s="199"/>
      <c r="AD765" s="150">
        <f t="shared" si="884"/>
        <v>0</v>
      </c>
      <c r="AE765" s="150">
        <v>0</v>
      </c>
      <c r="AF765" s="169" t="s">
        <v>4680</v>
      </c>
      <c r="AG765" s="201">
        <v>0</v>
      </c>
      <c r="AH765" s="199"/>
      <c r="AI765" s="150">
        <v>0</v>
      </c>
      <c r="AJ765" s="169">
        <f t="shared" si="821"/>
        <v>0</v>
      </c>
      <c r="AK765" s="201">
        <v>0</v>
      </c>
      <c r="AL765" s="199"/>
      <c r="AM765" s="150">
        <f t="shared" si="885"/>
        <v>0</v>
      </c>
      <c r="AN765" s="153">
        <f t="shared" si="822"/>
        <v>0</v>
      </c>
      <c r="AO765" s="154">
        <f t="shared" si="823"/>
        <v>0</v>
      </c>
      <c r="AP765" s="150">
        <v>0</v>
      </c>
      <c r="AQ765" s="201">
        <v>0</v>
      </c>
      <c r="AR765" s="199"/>
      <c r="AS765" s="150">
        <f t="shared" si="886"/>
        <v>0</v>
      </c>
      <c r="AT765" s="155" t="s">
        <v>4796</v>
      </c>
      <c r="AU765" s="156">
        <f t="shared" si="817"/>
        <v>0</v>
      </c>
      <c r="AV765" s="156">
        <f t="shared" si="818"/>
        <v>0</v>
      </c>
      <c r="AW765" s="157" t="s">
        <v>4796</v>
      </c>
      <c r="AX765" s="150">
        <v>0</v>
      </c>
      <c r="AY765" s="150">
        <v>0</v>
      </c>
      <c r="AZ765" s="150"/>
      <c r="BA765" s="150">
        <f t="shared" si="887"/>
        <v>0</v>
      </c>
      <c r="BB765" s="202">
        <v>5</v>
      </c>
      <c r="BC765" s="202" t="s">
        <v>647</v>
      </c>
      <c r="BD765" s="202" t="s">
        <v>632</v>
      </c>
      <c r="BE765" s="202" t="s">
        <v>1243</v>
      </c>
      <c r="BF765" s="202" t="s">
        <v>739</v>
      </c>
      <c r="BG765" s="203" t="s">
        <v>6844</v>
      </c>
      <c r="BH765" s="216">
        <f t="shared" si="888"/>
        <v>0</v>
      </c>
      <c r="BI765" s="206" t="s">
        <v>1519</v>
      </c>
      <c r="BJ765" s="206" t="s">
        <v>6820</v>
      </c>
      <c r="BK765" s="206" t="s">
        <v>6817</v>
      </c>
      <c r="BL765" s="207" t="s">
        <v>6821</v>
      </c>
      <c r="BM765" s="208">
        <f t="shared" si="889"/>
        <v>0</v>
      </c>
      <c r="BN765" s="160"/>
      <c r="BO765" s="161">
        <f t="shared" si="852"/>
        <v>0</v>
      </c>
      <c r="BP765" s="161"/>
    </row>
    <row r="766" spans="1:68" ht="38.25">
      <c r="A766" s="206" t="s">
        <v>381</v>
      </c>
      <c r="B766" s="195" t="s">
        <v>6845</v>
      </c>
      <c r="C766" s="196" t="s">
        <v>6846</v>
      </c>
      <c r="D766" s="146" t="s">
        <v>4692</v>
      </c>
      <c r="E766" s="196" t="s">
        <v>6846</v>
      </c>
      <c r="F766" s="150">
        <v>0</v>
      </c>
      <c r="G766" s="209">
        <v>0</v>
      </c>
      <c r="H766" s="209"/>
      <c r="I766" s="209">
        <v>0</v>
      </c>
      <c r="J766" s="150">
        <v>0</v>
      </c>
      <c r="K766" s="150">
        <v>0</v>
      </c>
      <c r="L766" s="150">
        <f t="shared" si="829"/>
        <v>0</v>
      </c>
      <c r="M766" s="150">
        <v>0</v>
      </c>
      <c r="N766" s="150"/>
      <c r="O766" s="150">
        <v>0</v>
      </c>
      <c r="P766" s="150">
        <v>0</v>
      </c>
      <c r="Q766" s="150"/>
      <c r="R766" s="150">
        <f t="shared" si="882"/>
        <v>0</v>
      </c>
      <c r="S766" s="150">
        <f t="shared" si="819"/>
        <v>0</v>
      </c>
      <c r="T766" s="150"/>
      <c r="U766" s="150">
        <v>0</v>
      </c>
      <c r="V766" s="199"/>
      <c r="W766" s="150">
        <f t="shared" si="883"/>
        <v>0</v>
      </c>
      <c r="X766" s="150">
        <v>0</v>
      </c>
      <c r="Y766" s="150"/>
      <c r="Z766" s="150">
        <v>0</v>
      </c>
      <c r="AA766" s="150">
        <f t="shared" si="820"/>
        <v>0</v>
      </c>
      <c r="AB766" s="150">
        <v>0</v>
      </c>
      <c r="AC766" s="199"/>
      <c r="AD766" s="150">
        <f t="shared" si="884"/>
        <v>0</v>
      </c>
      <c r="AE766" s="150">
        <v>0</v>
      </c>
      <c r="AF766" s="169" t="s">
        <v>4680</v>
      </c>
      <c r="AG766" s="201">
        <v>0</v>
      </c>
      <c r="AH766" s="199"/>
      <c r="AI766" s="150">
        <v>0</v>
      </c>
      <c r="AJ766" s="169">
        <f t="shared" si="821"/>
        <v>0</v>
      </c>
      <c r="AK766" s="201">
        <v>0</v>
      </c>
      <c r="AL766" s="199"/>
      <c r="AM766" s="150">
        <f t="shared" si="885"/>
        <v>0</v>
      </c>
      <c r="AN766" s="153">
        <f t="shared" si="822"/>
        <v>0</v>
      </c>
      <c r="AO766" s="154">
        <f t="shared" si="823"/>
        <v>0</v>
      </c>
      <c r="AP766" s="150">
        <v>0</v>
      </c>
      <c r="AQ766" s="201">
        <v>0</v>
      </c>
      <c r="AR766" s="199"/>
      <c r="AS766" s="150">
        <f t="shared" si="886"/>
        <v>0</v>
      </c>
      <c r="AT766" s="155"/>
      <c r="AU766" s="156">
        <f t="shared" si="817"/>
        <v>0</v>
      </c>
      <c r="AV766" s="156">
        <f t="shared" si="818"/>
        <v>0</v>
      </c>
      <c r="AW766" s="157"/>
      <c r="AX766" s="150">
        <v>0</v>
      </c>
      <c r="AY766" s="150">
        <v>0</v>
      </c>
      <c r="AZ766" s="150"/>
      <c r="BA766" s="150">
        <f t="shared" si="887"/>
        <v>0</v>
      </c>
      <c r="BB766" s="202">
        <v>5</v>
      </c>
      <c r="BC766" s="202" t="s">
        <v>647</v>
      </c>
      <c r="BD766" s="202" t="s">
        <v>632</v>
      </c>
      <c r="BE766" s="202" t="s">
        <v>1243</v>
      </c>
      <c r="BF766" s="194" t="s">
        <v>755</v>
      </c>
      <c r="BG766" s="231" t="s">
        <v>6846</v>
      </c>
      <c r="BH766" s="216">
        <f t="shared" si="888"/>
        <v>0</v>
      </c>
      <c r="BI766" s="205"/>
      <c r="BJ766" s="206" t="s">
        <v>6824</v>
      </c>
      <c r="BK766" s="206" t="s">
        <v>381</v>
      </c>
      <c r="BL766" s="207" t="s">
        <v>6825</v>
      </c>
      <c r="BM766" s="208">
        <f t="shared" si="889"/>
        <v>0</v>
      </c>
      <c r="BN766" s="160"/>
      <c r="BO766" s="161">
        <f t="shared" si="852"/>
        <v>0</v>
      </c>
      <c r="BP766" s="161"/>
    </row>
    <row r="767" spans="1:68" ht="63.75">
      <c r="A767" s="206" t="s">
        <v>6826</v>
      </c>
      <c r="B767" s="195" t="s">
        <v>6847</v>
      </c>
      <c r="C767" s="196" t="s">
        <v>6848</v>
      </c>
      <c r="D767" s="146" t="s">
        <v>4692</v>
      </c>
      <c r="E767" s="196" t="s">
        <v>6848</v>
      </c>
      <c r="F767" s="150">
        <v>0</v>
      </c>
      <c r="G767" s="209">
        <v>0</v>
      </c>
      <c r="H767" s="209"/>
      <c r="I767" s="209">
        <v>0</v>
      </c>
      <c r="J767" s="150">
        <v>0</v>
      </c>
      <c r="K767" s="150">
        <v>0</v>
      </c>
      <c r="L767" s="150">
        <f t="shared" si="829"/>
        <v>0</v>
      </c>
      <c r="M767" s="150">
        <v>0</v>
      </c>
      <c r="N767" s="150"/>
      <c r="O767" s="150">
        <v>0</v>
      </c>
      <c r="P767" s="150">
        <v>0</v>
      </c>
      <c r="Q767" s="150"/>
      <c r="R767" s="150">
        <f t="shared" si="882"/>
        <v>0</v>
      </c>
      <c r="S767" s="150">
        <f t="shared" si="819"/>
        <v>0</v>
      </c>
      <c r="T767" s="150"/>
      <c r="U767" s="150">
        <v>0</v>
      </c>
      <c r="V767" s="199"/>
      <c r="W767" s="150">
        <f t="shared" si="883"/>
        <v>0</v>
      </c>
      <c r="X767" s="150">
        <v>0</v>
      </c>
      <c r="Y767" s="150"/>
      <c r="Z767" s="150">
        <v>0</v>
      </c>
      <c r="AA767" s="150">
        <f t="shared" si="820"/>
        <v>0</v>
      </c>
      <c r="AB767" s="150">
        <v>0</v>
      </c>
      <c r="AC767" s="199"/>
      <c r="AD767" s="150">
        <f t="shared" si="884"/>
        <v>0</v>
      </c>
      <c r="AE767" s="150">
        <v>0</v>
      </c>
      <c r="AF767" s="169" t="s">
        <v>4680</v>
      </c>
      <c r="AG767" s="201">
        <v>0</v>
      </c>
      <c r="AH767" s="199"/>
      <c r="AI767" s="150">
        <v>0</v>
      </c>
      <c r="AJ767" s="169">
        <f t="shared" si="821"/>
        <v>0</v>
      </c>
      <c r="AK767" s="201">
        <v>0</v>
      </c>
      <c r="AL767" s="199"/>
      <c r="AM767" s="150">
        <f t="shared" si="885"/>
        <v>0</v>
      </c>
      <c r="AN767" s="153">
        <f t="shared" si="822"/>
        <v>0</v>
      </c>
      <c r="AO767" s="154">
        <f t="shared" si="823"/>
        <v>0</v>
      </c>
      <c r="AP767" s="150">
        <v>0</v>
      </c>
      <c r="AQ767" s="201">
        <v>0</v>
      </c>
      <c r="AR767" s="199"/>
      <c r="AS767" s="150">
        <f t="shared" si="886"/>
        <v>0</v>
      </c>
      <c r="AT767" s="155"/>
      <c r="AU767" s="156">
        <f t="shared" si="817"/>
        <v>0</v>
      </c>
      <c r="AV767" s="156">
        <f t="shared" si="818"/>
        <v>0</v>
      </c>
      <c r="AW767" s="157"/>
      <c r="AX767" s="150">
        <v>0</v>
      </c>
      <c r="AY767" s="150">
        <v>0</v>
      </c>
      <c r="AZ767" s="150"/>
      <c r="BA767" s="150">
        <f t="shared" si="887"/>
        <v>0</v>
      </c>
      <c r="BB767" s="202">
        <v>5</v>
      </c>
      <c r="BC767" s="202" t="s">
        <v>647</v>
      </c>
      <c r="BD767" s="202" t="s">
        <v>632</v>
      </c>
      <c r="BE767" s="202" t="s">
        <v>1243</v>
      </c>
      <c r="BF767" s="194" t="s">
        <v>1875</v>
      </c>
      <c r="BG767" s="231" t="s">
        <v>6848</v>
      </c>
      <c r="BH767" s="216">
        <f t="shared" si="888"/>
        <v>0</v>
      </c>
      <c r="BI767" s="206" t="s">
        <v>1349</v>
      </c>
      <c r="BJ767" s="206" t="s">
        <v>6829</v>
      </c>
      <c r="BK767" s="206" t="s">
        <v>6826</v>
      </c>
      <c r="BL767" s="207" t="s">
        <v>6830</v>
      </c>
      <c r="BM767" s="208">
        <f t="shared" si="889"/>
        <v>0</v>
      </c>
      <c r="BN767" s="160"/>
      <c r="BO767" s="161">
        <f t="shared" si="852"/>
        <v>0</v>
      </c>
      <c r="BP767" s="161"/>
    </row>
    <row r="768" spans="1:68" ht="51">
      <c r="A768" s="206" t="s">
        <v>382</v>
      </c>
      <c r="B768" s="195" t="s">
        <v>6849</v>
      </c>
      <c r="C768" s="196" t="s">
        <v>6850</v>
      </c>
      <c r="D768" s="146" t="s">
        <v>4692</v>
      </c>
      <c r="E768" s="196" t="s">
        <v>6850</v>
      </c>
      <c r="F768" s="150">
        <v>408.4</v>
      </c>
      <c r="G768" s="209">
        <v>0</v>
      </c>
      <c r="H768" s="209"/>
      <c r="I768" s="209">
        <v>0</v>
      </c>
      <c r="J768" s="150">
        <v>0</v>
      </c>
      <c r="K768" s="150">
        <v>0</v>
      </c>
      <c r="L768" s="150">
        <f t="shared" si="829"/>
        <v>0</v>
      </c>
      <c r="M768" s="150">
        <v>0</v>
      </c>
      <c r="N768" s="150"/>
      <c r="O768" s="150">
        <v>0</v>
      </c>
      <c r="P768" s="150">
        <v>0</v>
      </c>
      <c r="Q768" s="150"/>
      <c r="R768" s="150">
        <f t="shared" si="882"/>
        <v>0</v>
      </c>
      <c r="S768" s="150">
        <f t="shared" si="819"/>
        <v>0</v>
      </c>
      <c r="T768" s="150"/>
      <c r="U768" s="150">
        <v>0</v>
      </c>
      <c r="V768" s="199"/>
      <c r="W768" s="150">
        <f t="shared" si="883"/>
        <v>0</v>
      </c>
      <c r="X768" s="150">
        <v>0</v>
      </c>
      <c r="Y768" s="150"/>
      <c r="Z768" s="150">
        <v>0</v>
      </c>
      <c r="AA768" s="150">
        <f t="shared" si="820"/>
        <v>0</v>
      </c>
      <c r="AB768" s="150">
        <v>0</v>
      </c>
      <c r="AC768" s="199"/>
      <c r="AD768" s="150">
        <f t="shared" si="884"/>
        <v>0</v>
      </c>
      <c r="AE768" s="150">
        <v>0</v>
      </c>
      <c r="AF768" s="169" t="s">
        <v>4680</v>
      </c>
      <c r="AG768" s="201">
        <v>0</v>
      </c>
      <c r="AH768" s="199"/>
      <c r="AI768" s="150">
        <v>0</v>
      </c>
      <c r="AJ768" s="169">
        <f t="shared" si="821"/>
        <v>0</v>
      </c>
      <c r="AK768" s="201">
        <v>0</v>
      </c>
      <c r="AL768" s="199"/>
      <c r="AM768" s="150">
        <f t="shared" si="885"/>
        <v>0</v>
      </c>
      <c r="AN768" s="153">
        <f t="shared" si="822"/>
        <v>0</v>
      </c>
      <c r="AO768" s="154">
        <f t="shared" si="823"/>
        <v>0</v>
      </c>
      <c r="AP768" s="150">
        <v>0</v>
      </c>
      <c r="AQ768" s="201">
        <v>0</v>
      </c>
      <c r="AR768" s="199"/>
      <c r="AS768" s="150">
        <f t="shared" si="886"/>
        <v>0</v>
      </c>
      <c r="AT768" s="155"/>
      <c r="AU768" s="156">
        <f t="shared" si="817"/>
        <v>0</v>
      </c>
      <c r="AV768" s="156">
        <f t="shared" si="818"/>
        <v>0</v>
      </c>
      <c r="AW768" s="157"/>
      <c r="AX768" s="150">
        <v>0</v>
      </c>
      <c r="AY768" s="150">
        <v>0</v>
      </c>
      <c r="AZ768" s="150"/>
      <c r="BA768" s="150">
        <f t="shared" si="887"/>
        <v>0</v>
      </c>
      <c r="BB768" s="202">
        <v>5</v>
      </c>
      <c r="BC768" s="202" t="s">
        <v>647</v>
      </c>
      <c r="BD768" s="202" t="s">
        <v>632</v>
      </c>
      <c r="BE768" s="202" t="s">
        <v>1243</v>
      </c>
      <c r="BF768" s="202" t="s">
        <v>766</v>
      </c>
      <c r="BG768" s="231" t="s">
        <v>6851</v>
      </c>
      <c r="BH768" s="216">
        <f t="shared" si="888"/>
        <v>0</v>
      </c>
      <c r="BI768" s="206" t="s">
        <v>1340</v>
      </c>
      <c r="BJ768" s="206" t="s">
        <v>6833</v>
      </c>
      <c r="BK768" s="206" t="s">
        <v>382</v>
      </c>
      <c r="BL768" s="207" t="s">
        <v>6834</v>
      </c>
      <c r="BM768" s="208">
        <f t="shared" si="889"/>
        <v>0</v>
      </c>
      <c r="BN768" s="160"/>
      <c r="BO768" s="161">
        <f t="shared" si="852"/>
        <v>0</v>
      </c>
      <c r="BP768" s="161"/>
    </row>
    <row r="769" spans="1:68" ht="38.25">
      <c r="A769" s="206" t="s">
        <v>383</v>
      </c>
      <c r="B769" s="195" t="s">
        <v>6852</v>
      </c>
      <c r="C769" s="196" t="s">
        <v>6853</v>
      </c>
      <c r="D769" s="146" t="s">
        <v>4692</v>
      </c>
      <c r="E769" s="196" t="s">
        <v>6853</v>
      </c>
      <c r="F769" s="150">
        <v>0</v>
      </c>
      <c r="G769" s="209">
        <v>0</v>
      </c>
      <c r="H769" s="209"/>
      <c r="I769" s="209">
        <v>0</v>
      </c>
      <c r="J769" s="150">
        <v>0</v>
      </c>
      <c r="K769" s="150">
        <v>0</v>
      </c>
      <c r="L769" s="150">
        <f t="shared" si="829"/>
        <v>0</v>
      </c>
      <c r="M769" s="150">
        <v>0</v>
      </c>
      <c r="N769" s="150"/>
      <c r="O769" s="150">
        <v>0</v>
      </c>
      <c r="P769" s="150">
        <v>0</v>
      </c>
      <c r="Q769" s="150"/>
      <c r="R769" s="150">
        <f t="shared" si="882"/>
        <v>0</v>
      </c>
      <c r="S769" s="150">
        <f t="shared" si="819"/>
        <v>0</v>
      </c>
      <c r="T769" s="150"/>
      <c r="U769" s="150">
        <v>0</v>
      </c>
      <c r="V769" s="199"/>
      <c r="W769" s="150">
        <f t="shared" si="883"/>
        <v>0</v>
      </c>
      <c r="X769" s="150">
        <v>0</v>
      </c>
      <c r="Y769" s="150"/>
      <c r="Z769" s="150">
        <v>0</v>
      </c>
      <c r="AA769" s="150">
        <f t="shared" si="820"/>
        <v>0</v>
      </c>
      <c r="AB769" s="150">
        <v>0</v>
      </c>
      <c r="AC769" s="199"/>
      <c r="AD769" s="150">
        <f t="shared" si="884"/>
        <v>0</v>
      </c>
      <c r="AE769" s="150">
        <v>0</v>
      </c>
      <c r="AF769" s="169" t="s">
        <v>4680</v>
      </c>
      <c r="AG769" s="201">
        <v>0</v>
      </c>
      <c r="AH769" s="199"/>
      <c r="AI769" s="150">
        <v>0</v>
      </c>
      <c r="AJ769" s="169">
        <f t="shared" si="821"/>
        <v>0</v>
      </c>
      <c r="AK769" s="201">
        <v>0</v>
      </c>
      <c r="AL769" s="199"/>
      <c r="AM769" s="150">
        <f t="shared" si="885"/>
        <v>0</v>
      </c>
      <c r="AN769" s="153">
        <f t="shared" si="822"/>
        <v>0</v>
      </c>
      <c r="AO769" s="154">
        <f t="shared" si="823"/>
        <v>0</v>
      </c>
      <c r="AP769" s="150">
        <v>0</v>
      </c>
      <c r="AQ769" s="201">
        <v>0</v>
      </c>
      <c r="AR769" s="199"/>
      <c r="AS769" s="150">
        <f t="shared" si="886"/>
        <v>0</v>
      </c>
      <c r="AT769" s="155"/>
      <c r="AU769" s="156">
        <f t="shared" si="817"/>
        <v>0</v>
      </c>
      <c r="AV769" s="156">
        <f t="shared" si="818"/>
        <v>0</v>
      </c>
      <c r="AW769" s="157"/>
      <c r="AX769" s="150">
        <v>0</v>
      </c>
      <c r="AY769" s="150">
        <v>0</v>
      </c>
      <c r="AZ769" s="150"/>
      <c r="BA769" s="150">
        <f t="shared" si="887"/>
        <v>0</v>
      </c>
      <c r="BB769" s="202">
        <v>5</v>
      </c>
      <c r="BC769" s="202" t="s">
        <v>647</v>
      </c>
      <c r="BD769" s="202" t="s">
        <v>632</v>
      </c>
      <c r="BE769" s="202" t="s">
        <v>1243</v>
      </c>
      <c r="BF769" s="194" t="s">
        <v>779</v>
      </c>
      <c r="BG769" s="231" t="s">
        <v>6854</v>
      </c>
      <c r="BH769" s="216">
        <f t="shared" si="888"/>
        <v>0</v>
      </c>
      <c r="BI769" s="205"/>
      <c r="BJ769" s="206" t="s">
        <v>6837</v>
      </c>
      <c r="BK769" s="206" t="s">
        <v>383</v>
      </c>
      <c r="BL769" s="207" t="s">
        <v>6838</v>
      </c>
      <c r="BM769" s="208">
        <f t="shared" si="889"/>
        <v>0</v>
      </c>
      <c r="BN769" s="160"/>
      <c r="BO769" s="161">
        <f t="shared" si="852"/>
        <v>0</v>
      </c>
      <c r="BP769" s="161"/>
    </row>
    <row r="770" spans="1:68" ht="38.25">
      <c r="A770" s="206" t="s">
        <v>384</v>
      </c>
      <c r="B770" s="195" t="s">
        <v>6855</v>
      </c>
      <c r="C770" s="196" t="s">
        <v>6856</v>
      </c>
      <c r="D770" s="146" t="s">
        <v>4692</v>
      </c>
      <c r="E770" s="196" t="s">
        <v>6856</v>
      </c>
      <c r="F770" s="150">
        <v>0</v>
      </c>
      <c r="G770" s="209">
        <v>0</v>
      </c>
      <c r="H770" s="209"/>
      <c r="I770" s="209">
        <v>0</v>
      </c>
      <c r="J770" s="150">
        <v>0</v>
      </c>
      <c r="K770" s="150">
        <v>0</v>
      </c>
      <c r="L770" s="150">
        <f t="shared" si="829"/>
        <v>0</v>
      </c>
      <c r="M770" s="150">
        <v>0</v>
      </c>
      <c r="N770" s="150"/>
      <c r="O770" s="150">
        <v>0</v>
      </c>
      <c r="P770" s="150">
        <v>0</v>
      </c>
      <c r="Q770" s="150"/>
      <c r="R770" s="150">
        <f t="shared" si="882"/>
        <v>0</v>
      </c>
      <c r="S770" s="150">
        <f t="shared" si="819"/>
        <v>0</v>
      </c>
      <c r="T770" s="150"/>
      <c r="U770" s="150">
        <v>0</v>
      </c>
      <c r="V770" s="199"/>
      <c r="W770" s="150">
        <f t="shared" si="883"/>
        <v>0</v>
      </c>
      <c r="X770" s="150">
        <v>0</v>
      </c>
      <c r="Y770" s="150"/>
      <c r="Z770" s="150">
        <v>0</v>
      </c>
      <c r="AA770" s="150">
        <f t="shared" si="820"/>
        <v>0</v>
      </c>
      <c r="AB770" s="150">
        <v>0</v>
      </c>
      <c r="AC770" s="199"/>
      <c r="AD770" s="150">
        <f t="shared" si="884"/>
        <v>0</v>
      </c>
      <c r="AE770" s="150">
        <v>0</v>
      </c>
      <c r="AF770" s="169" t="s">
        <v>4680</v>
      </c>
      <c r="AG770" s="201">
        <v>0</v>
      </c>
      <c r="AH770" s="199"/>
      <c r="AI770" s="150">
        <v>0</v>
      </c>
      <c r="AJ770" s="169">
        <f t="shared" si="821"/>
        <v>0</v>
      </c>
      <c r="AK770" s="201">
        <v>0</v>
      </c>
      <c r="AL770" s="199"/>
      <c r="AM770" s="150">
        <f t="shared" si="885"/>
        <v>0</v>
      </c>
      <c r="AN770" s="153">
        <f t="shared" si="822"/>
        <v>0</v>
      </c>
      <c r="AO770" s="154">
        <f t="shared" si="823"/>
        <v>0</v>
      </c>
      <c r="AP770" s="150">
        <v>0</v>
      </c>
      <c r="AQ770" s="201">
        <v>0</v>
      </c>
      <c r="AR770" s="199"/>
      <c r="AS770" s="150">
        <f t="shared" si="886"/>
        <v>0</v>
      </c>
      <c r="AT770" s="155"/>
      <c r="AU770" s="156">
        <f t="shared" ref="AU770:AU833" si="890">AM770-AD770</f>
        <v>0</v>
      </c>
      <c r="AV770" s="156">
        <f t="shared" ref="AV770:AV833" si="891">AD770-AX770</f>
        <v>0</v>
      </c>
      <c r="AW770" s="157"/>
      <c r="AX770" s="150">
        <v>0</v>
      </c>
      <c r="AY770" s="150">
        <v>0</v>
      </c>
      <c r="AZ770" s="150"/>
      <c r="BA770" s="150">
        <f t="shared" si="887"/>
        <v>0</v>
      </c>
      <c r="BB770" s="202">
        <v>5</v>
      </c>
      <c r="BC770" s="202" t="s">
        <v>647</v>
      </c>
      <c r="BD770" s="202" t="s">
        <v>632</v>
      </c>
      <c r="BE770" s="202" t="s">
        <v>1243</v>
      </c>
      <c r="BF770" s="202" t="s">
        <v>1225</v>
      </c>
      <c r="BG770" s="231" t="s">
        <v>6857</v>
      </c>
      <c r="BH770" s="216">
        <f t="shared" si="888"/>
        <v>0</v>
      </c>
      <c r="BI770" s="205"/>
      <c r="BJ770" s="206" t="s">
        <v>6841</v>
      </c>
      <c r="BK770" s="206" t="s">
        <v>384</v>
      </c>
      <c r="BL770" s="207" t="s">
        <v>6842</v>
      </c>
      <c r="BM770" s="208">
        <f t="shared" si="889"/>
        <v>0</v>
      </c>
      <c r="BN770" s="160"/>
      <c r="BO770" s="161">
        <f t="shared" si="852"/>
        <v>0</v>
      </c>
      <c r="BP770" s="161"/>
    </row>
    <row r="771" spans="1:68" ht="51">
      <c r="A771" s="206" t="s">
        <v>6817</v>
      </c>
      <c r="B771" s="195" t="s">
        <v>6858</v>
      </c>
      <c r="C771" s="196" t="s">
        <v>6859</v>
      </c>
      <c r="D771" s="146" t="s">
        <v>4692</v>
      </c>
      <c r="E771" s="196" t="s">
        <v>6859</v>
      </c>
      <c r="F771" s="150">
        <v>0</v>
      </c>
      <c r="G771" s="209">
        <v>0</v>
      </c>
      <c r="H771" s="209"/>
      <c r="I771" s="209">
        <v>0</v>
      </c>
      <c r="J771" s="150">
        <v>0</v>
      </c>
      <c r="K771" s="150">
        <v>0</v>
      </c>
      <c r="L771" s="150">
        <f t="shared" si="829"/>
        <v>0</v>
      </c>
      <c r="M771" s="150">
        <v>0</v>
      </c>
      <c r="N771" s="150"/>
      <c r="O771" s="150">
        <v>0</v>
      </c>
      <c r="P771" s="150">
        <v>0</v>
      </c>
      <c r="Q771" s="150"/>
      <c r="R771" s="150">
        <f t="shared" si="882"/>
        <v>0</v>
      </c>
      <c r="S771" s="150">
        <f t="shared" ref="S771:S834" si="892">R771/9*12</f>
        <v>0</v>
      </c>
      <c r="T771" s="150"/>
      <c r="U771" s="150">
        <v>0</v>
      </c>
      <c r="V771" s="199"/>
      <c r="W771" s="150">
        <f t="shared" si="883"/>
        <v>0</v>
      </c>
      <c r="X771" s="150">
        <v>0</v>
      </c>
      <c r="Y771" s="150"/>
      <c r="Z771" s="150">
        <v>0</v>
      </c>
      <c r="AA771" s="150">
        <f t="shared" ref="AA771:AA834" si="893">AD771-Z771</f>
        <v>0</v>
      </c>
      <c r="AB771" s="150">
        <v>0</v>
      </c>
      <c r="AC771" s="199"/>
      <c r="AD771" s="150">
        <f t="shared" si="884"/>
        <v>0</v>
      </c>
      <c r="AE771" s="150">
        <v>0</v>
      </c>
      <c r="AF771" s="169" t="s">
        <v>4680</v>
      </c>
      <c r="AG771" s="201">
        <v>0</v>
      </c>
      <c r="AH771" s="199"/>
      <c r="AI771" s="150">
        <v>0</v>
      </c>
      <c r="AJ771" s="169">
        <f t="shared" ref="AJ771:AJ834" si="894">AM771-AI771</f>
        <v>0</v>
      </c>
      <c r="AK771" s="201">
        <v>0</v>
      </c>
      <c r="AL771" s="199"/>
      <c r="AM771" s="150">
        <f t="shared" si="885"/>
        <v>0</v>
      </c>
      <c r="AN771" s="153">
        <f t="shared" ref="AN771:AN834" si="895">AS771-AM771</f>
        <v>0</v>
      </c>
      <c r="AO771" s="154">
        <f t="shared" ref="AO771:AO834" si="896">AS771-AP771</f>
        <v>0</v>
      </c>
      <c r="AP771" s="150">
        <v>0</v>
      </c>
      <c r="AQ771" s="201">
        <v>0</v>
      </c>
      <c r="AR771" s="199"/>
      <c r="AS771" s="150">
        <f t="shared" si="886"/>
        <v>0</v>
      </c>
      <c r="AT771" s="155"/>
      <c r="AU771" s="156">
        <f t="shared" si="890"/>
        <v>0</v>
      </c>
      <c r="AV771" s="156">
        <f t="shared" si="891"/>
        <v>0</v>
      </c>
      <c r="AW771" s="157"/>
      <c r="AX771" s="150">
        <v>0</v>
      </c>
      <c r="AY771" s="150">
        <v>0</v>
      </c>
      <c r="AZ771" s="150"/>
      <c r="BA771" s="150">
        <f t="shared" si="887"/>
        <v>0</v>
      </c>
      <c r="BB771" s="202">
        <v>5</v>
      </c>
      <c r="BC771" s="202" t="s">
        <v>647</v>
      </c>
      <c r="BD771" s="202" t="s">
        <v>632</v>
      </c>
      <c r="BE771" s="202" t="s">
        <v>1243</v>
      </c>
      <c r="BF771" s="202" t="s">
        <v>1229</v>
      </c>
      <c r="BG771" s="203" t="s">
        <v>6859</v>
      </c>
      <c r="BH771" s="216">
        <f t="shared" si="888"/>
        <v>0</v>
      </c>
      <c r="BI771" s="206" t="s">
        <v>1519</v>
      </c>
      <c r="BJ771" s="206" t="s">
        <v>6820</v>
      </c>
      <c r="BK771" s="206" t="s">
        <v>6817</v>
      </c>
      <c r="BL771" s="207" t="s">
        <v>6821</v>
      </c>
      <c r="BM771" s="208">
        <f t="shared" si="889"/>
        <v>0</v>
      </c>
      <c r="BN771" s="160"/>
      <c r="BO771" s="161">
        <f t="shared" si="852"/>
        <v>0</v>
      </c>
      <c r="BP771" s="161"/>
    </row>
    <row r="772" spans="1:68" ht="38.25">
      <c r="A772" s="206" t="s">
        <v>381</v>
      </c>
      <c r="B772" s="195" t="s">
        <v>6860</v>
      </c>
      <c r="C772" s="196" t="s">
        <v>6861</v>
      </c>
      <c r="D772" s="146" t="s">
        <v>4692</v>
      </c>
      <c r="E772" s="196" t="s">
        <v>6861</v>
      </c>
      <c r="F772" s="150">
        <v>0</v>
      </c>
      <c r="G772" s="209">
        <v>0</v>
      </c>
      <c r="H772" s="209"/>
      <c r="I772" s="209">
        <v>0</v>
      </c>
      <c r="J772" s="150">
        <v>0</v>
      </c>
      <c r="K772" s="150">
        <v>0</v>
      </c>
      <c r="L772" s="150">
        <f t="shared" si="829"/>
        <v>0</v>
      </c>
      <c r="M772" s="150">
        <v>0</v>
      </c>
      <c r="N772" s="150"/>
      <c r="O772" s="150">
        <v>0</v>
      </c>
      <c r="P772" s="150">
        <v>0</v>
      </c>
      <c r="Q772" s="150"/>
      <c r="R772" s="150">
        <f t="shared" si="882"/>
        <v>0</v>
      </c>
      <c r="S772" s="150">
        <f t="shared" si="892"/>
        <v>0</v>
      </c>
      <c r="T772" s="150"/>
      <c r="U772" s="150">
        <v>0</v>
      </c>
      <c r="V772" s="199"/>
      <c r="W772" s="150">
        <f t="shared" si="883"/>
        <v>0</v>
      </c>
      <c r="X772" s="150">
        <v>0</v>
      </c>
      <c r="Y772" s="150"/>
      <c r="Z772" s="150">
        <v>0</v>
      </c>
      <c r="AA772" s="150">
        <f t="shared" si="893"/>
        <v>0</v>
      </c>
      <c r="AB772" s="150">
        <v>0</v>
      </c>
      <c r="AC772" s="199"/>
      <c r="AD772" s="150">
        <f t="shared" si="884"/>
        <v>0</v>
      </c>
      <c r="AE772" s="150">
        <v>0</v>
      </c>
      <c r="AF772" s="169" t="s">
        <v>4680</v>
      </c>
      <c r="AG772" s="201">
        <v>0</v>
      </c>
      <c r="AH772" s="199"/>
      <c r="AI772" s="150">
        <v>0</v>
      </c>
      <c r="AJ772" s="169">
        <f t="shared" si="894"/>
        <v>0</v>
      </c>
      <c r="AK772" s="201">
        <v>0</v>
      </c>
      <c r="AL772" s="199"/>
      <c r="AM772" s="150">
        <f t="shared" si="885"/>
        <v>0</v>
      </c>
      <c r="AN772" s="153">
        <f t="shared" si="895"/>
        <v>0</v>
      </c>
      <c r="AO772" s="154">
        <f t="shared" si="896"/>
        <v>0</v>
      </c>
      <c r="AP772" s="150">
        <v>0</v>
      </c>
      <c r="AQ772" s="201">
        <v>0</v>
      </c>
      <c r="AR772" s="199"/>
      <c r="AS772" s="150">
        <f t="shared" si="886"/>
        <v>0</v>
      </c>
      <c r="AT772" s="155"/>
      <c r="AU772" s="156">
        <f t="shared" si="890"/>
        <v>0</v>
      </c>
      <c r="AV772" s="156">
        <f t="shared" si="891"/>
        <v>0</v>
      </c>
      <c r="AW772" s="157"/>
      <c r="AX772" s="150">
        <v>0</v>
      </c>
      <c r="AY772" s="150">
        <v>0</v>
      </c>
      <c r="AZ772" s="150"/>
      <c r="BA772" s="150">
        <f t="shared" si="887"/>
        <v>0</v>
      </c>
      <c r="BB772" s="202">
        <v>5</v>
      </c>
      <c r="BC772" s="202" t="s">
        <v>647</v>
      </c>
      <c r="BD772" s="202" t="s">
        <v>632</v>
      </c>
      <c r="BE772" s="202" t="s">
        <v>1243</v>
      </c>
      <c r="BF772" s="194" t="s">
        <v>1243</v>
      </c>
      <c r="BG772" s="231" t="s">
        <v>6861</v>
      </c>
      <c r="BH772" s="216">
        <f t="shared" si="888"/>
        <v>0</v>
      </c>
      <c r="BI772" s="205"/>
      <c r="BJ772" s="206" t="s">
        <v>6824</v>
      </c>
      <c r="BK772" s="206" t="s">
        <v>381</v>
      </c>
      <c r="BL772" s="207" t="s">
        <v>6825</v>
      </c>
      <c r="BM772" s="208">
        <f t="shared" si="889"/>
        <v>0</v>
      </c>
      <c r="BN772" s="160"/>
      <c r="BO772" s="161">
        <f t="shared" si="852"/>
        <v>0</v>
      </c>
      <c r="BP772" s="161"/>
    </row>
    <row r="773" spans="1:68" ht="63.75">
      <c r="A773" s="206" t="s">
        <v>6826</v>
      </c>
      <c r="B773" s="195" t="s">
        <v>6862</v>
      </c>
      <c r="C773" s="196" t="s">
        <v>6863</v>
      </c>
      <c r="D773" s="146" t="s">
        <v>4692</v>
      </c>
      <c r="E773" s="196" t="s">
        <v>6863</v>
      </c>
      <c r="F773" s="150">
        <v>0</v>
      </c>
      <c r="G773" s="209">
        <v>0</v>
      </c>
      <c r="H773" s="209"/>
      <c r="I773" s="209">
        <v>0</v>
      </c>
      <c r="J773" s="150">
        <v>0</v>
      </c>
      <c r="K773" s="150">
        <v>0</v>
      </c>
      <c r="L773" s="150">
        <f t="shared" si="829"/>
        <v>0</v>
      </c>
      <c r="M773" s="150">
        <v>0</v>
      </c>
      <c r="N773" s="150"/>
      <c r="O773" s="150">
        <v>0</v>
      </c>
      <c r="P773" s="150">
        <v>0</v>
      </c>
      <c r="Q773" s="150"/>
      <c r="R773" s="150">
        <f t="shared" si="882"/>
        <v>0</v>
      </c>
      <c r="S773" s="150">
        <f t="shared" si="892"/>
        <v>0</v>
      </c>
      <c r="T773" s="150"/>
      <c r="U773" s="150">
        <v>0</v>
      </c>
      <c r="V773" s="199"/>
      <c r="W773" s="150">
        <f t="shared" si="883"/>
        <v>0</v>
      </c>
      <c r="X773" s="150">
        <v>0</v>
      </c>
      <c r="Y773" s="150"/>
      <c r="Z773" s="150">
        <v>0</v>
      </c>
      <c r="AA773" s="150">
        <f t="shared" si="893"/>
        <v>0</v>
      </c>
      <c r="AB773" s="150">
        <v>0</v>
      </c>
      <c r="AC773" s="199"/>
      <c r="AD773" s="150">
        <f t="shared" si="884"/>
        <v>0</v>
      </c>
      <c r="AE773" s="150">
        <v>0</v>
      </c>
      <c r="AF773" s="169" t="s">
        <v>4680</v>
      </c>
      <c r="AG773" s="201">
        <v>0</v>
      </c>
      <c r="AH773" s="199"/>
      <c r="AI773" s="150">
        <v>0</v>
      </c>
      <c r="AJ773" s="169">
        <f t="shared" si="894"/>
        <v>0</v>
      </c>
      <c r="AK773" s="201">
        <v>0</v>
      </c>
      <c r="AL773" s="199"/>
      <c r="AM773" s="150">
        <f t="shared" si="885"/>
        <v>0</v>
      </c>
      <c r="AN773" s="153">
        <f t="shared" si="895"/>
        <v>0</v>
      </c>
      <c r="AO773" s="154">
        <f t="shared" si="896"/>
        <v>0</v>
      </c>
      <c r="AP773" s="150">
        <v>0</v>
      </c>
      <c r="AQ773" s="201">
        <v>0</v>
      </c>
      <c r="AR773" s="199"/>
      <c r="AS773" s="150">
        <f t="shared" si="886"/>
        <v>0</v>
      </c>
      <c r="AT773" s="155"/>
      <c r="AU773" s="156">
        <f t="shared" si="890"/>
        <v>0</v>
      </c>
      <c r="AV773" s="156">
        <f t="shared" si="891"/>
        <v>0</v>
      </c>
      <c r="AW773" s="157"/>
      <c r="AX773" s="150">
        <v>0</v>
      </c>
      <c r="AY773" s="150">
        <v>0</v>
      </c>
      <c r="AZ773" s="150"/>
      <c r="BA773" s="150">
        <f t="shared" si="887"/>
        <v>0</v>
      </c>
      <c r="BB773" s="202">
        <v>5</v>
      </c>
      <c r="BC773" s="202" t="s">
        <v>647</v>
      </c>
      <c r="BD773" s="202" t="s">
        <v>632</v>
      </c>
      <c r="BE773" s="202" t="s">
        <v>1243</v>
      </c>
      <c r="BF773" s="194" t="s">
        <v>1338</v>
      </c>
      <c r="BG773" s="231" t="s">
        <v>6863</v>
      </c>
      <c r="BH773" s="216">
        <f t="shared" si="888"/>
        <v>0</v>
      </c>
      <c r="BI773" s="206" t="s">
        <v>1349</v>
      </c>
      <c r="BJ773" s="206" t="s">
        <v>6829</v>
      </c>
      <c r="BK773" s="206" t="s">
        <v>6826</v>
      </c>
      <c r="BL773" s="207" t="s">
        <v>6830</v>
      </c>
      <c r="BM773" s="208">
        <f t="shared" si="889"/>
        <v>0</v>
      </c>
      <c r="BN773" s="160"/>
      <c r="BO773" s="161">
        <f t="shared" si="852"/>
        <v>0</v>
      </c>
      <c r="BP773" s="161"/>
    </row>
    <row r="774" spans="1:68" ht="38.25">
      <c r="A774" s="206" t="s">
        <v>382</v>
      </c>
      <c r="B774" s="195" t="s">
        <v>6864</v>
      </c>
      <c r="C774" s="196" t="s">
        <v>6865</v>
      </c>
      <c r="D774" s="146" t="s">
        <v>4692</v>
      </c>
      <c r="E774" s="196" t="s">
        <v>6865</v>
      </c>
      <c r="F774" s="150">
        <v>0</v>
      </c>
      <c r="G774" s="209">
        <v>0</v>
      </c>
      <c r="H774" s="209"/>
      <c r="I774" s="209">
        <v>0</v>
      </c>
      <c r="J774" s="150">
        <v>0</v>
      </c>
      <c r="K774" s="150">
        <v>0</v>
      </c>
      <c r="L774" s="150">
        <f t="shared" si="829"/>
        <v>0</v>
      </c>
      <c r="M774" s="150">
        <v>0</v>
      </c>
      <c r="N774" s="150"/>
      <c r="O774" s="150">
        <v>0</v>
      </c>
      <c r="P774" s="150">
        <v>0</v>
      </c>
      <c r="Q774" s="150"/>
      <c r="R774" s="150">
        <f t="shared" si="882"/>
        <v>0</v>
      </c>
      <c r="S774" s="150">
        <f t="shared" si="892"/>
        <v>0</v>
      </c>
      <c r="T774" s="150"/>
      <c r="U774" s="150">
        <v>0</v>
      </c>
      <c r="V774" s="199"/>
      <c r="W774" s="150">
        <f t="shared" si="883"/>
        <v>0</v>
      </c>
      <c r="X774" s="150">
        <v>0</v>
      </c>
      <c r="Y774" s="150"/>
      <c r="Z774" s="150">
        <v>0</v>
      </c>
      <c r="AA774" s="150">
        <f t="shared" si="893"/>
        <v>0</v>
      </c>
      <c r="AB774" s="150">
        <v>0</v>
      </c>
      <c r="AC774" s="199"/>
      <c r="AD774" s="150">
        <f t="shared" si="884"/>
        <v>0</v>
      </c>
      <c r="AE774" s="150">
        <v>0</v>
      </c>
      <c r="AF774" s="169" t="s">
        <v>4680</v>
      </c>
      <c r="AG774" s="201">
        <v>0</v>
      </c>
      <c r="AH774" s="199"/>
      <c r="AI774" s="150">
        <v>0</v>
      </c>
      <c r="AJ774" s="169">
        <f t="shared" si="894"/>
        <v>0</v>
      </c>
      <c r="AK774" s="201">
        <v>0</v>
      </c>
      <c r="AL774" s="199"/>
      <c r="AM774" s="150">
        <f t="shared" si="885"/>
        <v>0</v>
      </c>
      <c r="AN774" s="153">
        <f t="shared" si="895"/>
        <v>0</v>
      </c>
      <c r="AO774" s="154">
        <f t="shared" si="896"/>
        <v>0</v>
      </c>
      <c r="AP774" s="150">
        <v>0</v>
      </c>
      <c r="AQ774" s="201">
        <v>0</v>
      </c>
      <c r="AR774" s="199"/>
      <c r="AS774" s="150">
        <f t="shared" si="886"/>
        <v>0</v>
      </c>
      <c r="AT774" s="155"/>
      <c r="AU774" s="156">
        <f t="shared" si="890"/>
        <v>0</v>
      </c>
      <c r="AV774" s="156">
        <f t="shared" si="891"/>
        <v>0</v>
      </c>
      <c r="AW774" s="157"/>
      <c r="AX774" s="150">
        <v>0</v>
      </c>
      <c r="AY774" s="150">
        <v>0</v>
      </c>
      <c r="AZ774" s="150"/>
      <c r="BA774" s="150">
        <f t="shared" si="887"/>
        <v>0</v>
      </c>
      <c r="BB774" s="202">
        <v>5</v>
      </c>
      <c r="BC774" s="202" t="s">
        <v>647</v>
      </c>
      <c r="BD774" s="202" t="s">
        <v>632</v>
      </c>
      <c r="BE774" s="202" t="s">
        <v>1243</v>
      </c>
      <c r="BF774" s="202" t="s">
        <v>1247</v>
      </c>
      <c r="BG774" s="231" t="s">
        <v>6866</v>
      </c>
      <c r="BH774" s="216">
        <f t="shared" si="888"/>
        <v>0</v>
      </c>
      <c r="BI774" s="206" t="s">
        <v>1340</v>
      </c>
      <c r="BJ774" s="206" t="s">
        <v>6833</v>
      </c>
      <c r="BK774" s="206" t="s">
        <v>382</v>
      </c>
      <c r="BL774" s="207" t="s">
        <v>6834</v>
      </c>
      <c r="BM774" s="208">
        <f t="shared" si="889"/>
        <v>0</v>
      </c>
      <c r="BN774" s="160"/>
      <c r="BO774" s="161">
        <f t="shared" si="852"/>
        <v>0</v>
      </c>
      <c r="BP774" s="161"/>
    </row>
    <row r="775" spans="1:68" ht="25.5">
      <c r="A775" s="206" t="s">
        <v>383</v>
      </c>
      <c r="B775" s="195" t="s">
        <v>6867</v>
      </c>
      <c r="C775" s="196" t="s">
        <v>6868</v>
      </c>
      <c r="D775" s="146" t="s">
        <v>4692</v>
      </c>
      <c r="E775" s="196" t="s">
        <v>6868</v>
      </c>
      <c r="F775" s="150">
        <v>0</v>
      </c>
      <c r="G775" s="209">
        <v>0</v>
      </c>
      <c r="H775" s="209"/>
      <c r="I775" s="209">
        <v>0</v>
      </c>
      <c r="J775" s="150">
        <v>0</v>
      </c>
      <c r="K775" s="150">
        <v>0</v>
      </c>
      <c r="L775" s="150">
        <f t="shared" si="829"/>
        <v>0</v>
      </c>
      <c r="M775" s="150">
        <v>0</v>
      </c>
      <c r="N775" s="150"/>
      <c r="O775" s="150">
        <v>0</v>
      </c>
      <c r="P775" s="150">
        <v>0</v>
      </c>
      <c r="Q775" s="150"/>
      <c r="R775" s="150">
        <f t="shared" si="882"/>
        <v>0</v>
      </c>
      <c r="S775" s="150">
        <f t="shared" si="892"/>
        <v>0</v>
      </c>
      <c r="T775" s="150"/>
      <c r="U775" s="150">
        <v>0</v>
      </c>
      <c r="V775" s="199"/>
      <c r="W775" s="150">
        <f t="shared" si="883"/>
        <v>0</v>
      </c>
      <c r="X775" s="150">
        <v>0</v>
      </c>
      <c r="Y775" s="150"/>
      <c r="Z775" s="150">
        <v>0</v>
      </c>
      <c r="AA775" s="150">
        <f t="shared" si="893"/>
        <v>0</v>
      </c>
      <c r="AB775" s="150">
        <v>0</v>
      </c>
      <c r="AC775" s="199"/>
      <c r="AD775" s="150">
        <f t="shared" si="884"/>
        <v>0</v>
      </c>
      <c r="AE775" s="150">
        <v>0</v>
      </c>
      <c r="AF775" s="169" t="s">
        <v>4680</v>
      </c>
      <c r="AG775" s="201">
        <v>0</v>
      </c>
      <c r="AH775" s="199"/>
      <c r="AI775" s="150">
        <v>0</v>
      </c>
      <c r="AJ775" s="169">
        <f t="shared" si="894"/>
        <v>0</v>
      </c>
      <c r="AK775" s="201">
        <v>0</v>
      </c>
      <c r="AL775" s="199"/>
      <c r="AM775" s="150">
        <f t="shared" si="885"/>
        <v>0</v>
      </c>
      <c r="AN775" s="153">
        <f t="shared" si="895"/>
        <v>0</v>
      </c>
      <c r="AO775" s="154">
        <f t="shared" si="896"/>
        <v>0</v>
      </c>
      <c r="AP775" s="150">
        <v>0</v>
      </c>
      <c r="AQ775" s="201">
        <v>0</v>
      </c>
      <c r="AR775" s="199"/>
      <c r="AS775" s="150">
        <f t="shared" si="886"/>
        <v>0</v>
      </c>
      <c r="AT775" s="155"/>
      <c r="AU775" s="156">
        <f t="shared" si="890"/>
        <v>0</v>
      </c>
      <c r="AV775" s="156">
        <f t="shared" si="891"/>
        <v>0</v>
      </c>
      <c r="AW775" s="157"/>
      <c r="AX775" s="150">
        <v>0</v>
      </c>
      <c r="AY775" s="150">
        <v>0</v>
      </c>
      <c r="AZ775" s="150"/>
      <c r="BA775" s="150">
        <f t="shared" si="887"/>
        <v>0</v>
      </c>
      <c r="BB775" s="202">
        <v>5</v>
      </c>
      <c r="BC775" s="202" t="s">
        <v>647</v>
      </c>
      <c r="BD775" s="202" t="s">
        <v>632</v>
      </c>
      <c r="BE775" s="202" t="s">
        <v>1243</v>
      </c>
      <c r="BF775" s="194" t="s">
        <v>1253</v>
      </c>
      <c r="BG775" s="231" t="s">
        <v>6869</v>
      </c>
      <c r="BH775" s="216">
        <f t="shared" si="888"/>
        <v>0</v>
      </c>
      <c r="BI775" s="205"/>
      <c r="BJ775" s="206" t="s">
        <v>6837</v>
      </c>
      <c r="BK775" s="206" t="s">
        <v>383</v>
      </c>
      <c r="BL775" s="207" t="s">
        <v>6838</v>
      </c>
      <c r="BM775" s="208">
        <f t="shared" si="889"/>
        <v>0</v>
      </c>
      <c r="BN775" s="160"/>
      <c r="BO775" s="161">
        <f t="shared" si="852"/>
        <v>0</v>
      </c>
      <c r="BP775" s="161"/>
    </row>
    <row r="776" spans="1:68" ht="25.5">
      <c r="A776" s="206" t="s">
        <v>384</v>
      </c>
      <c r="B776" s="195" t="s">
        <v>6870</v>
      </c>
      <c r="C776" s="196" t="s">
        <v>6871</v>
      </c>
      <c r="D776" s="146" t="s">
        <v>4692</v>
      </c>
      <c r="E776" s="196" t="s">
        <v>6871</v>
      </c>
      <c r="F776" s="150">
        <v>0</v>
      </c>
      <c r="G776" s="209">
        <v>0</v>
      </c>
      <c r="H776" s="209"/>
      <c r="I776" s="209">
        <v>0</v>
      </c>
      <c r="J776" s="150">
        <v>0</v>
      </c>
      <c r="K776" s="150">
        <v>0</v>
      </c>
      <c r="L776" s="150">
        <f t="shared" si="829"/>
        <v>0</v>
      </c>
      <c r="M776" s="150">
        <v>0</v>
      </c>
      <c r="N776" s="150"/>
      <c r="O776" s="150">
        <v>0</v>
      </c>
      <c r="P776" s="150">
        <v>0</v>
      </c>
      <c r="Q776" s="150"/>
      <c r="R776" s="150">
        <f t="shared" si="882"/>
        <v>0</v>
      </c>
      <c r="S776" s="150">
        <f t="shared" si="892"/>
        <v>0</v>
      </c>
      <c r="T776" s="150"/>
      <c r="U776" s="150">
        <v>0</v>
      </c>
      <c r="V776" s="199"/>
      <c r="W776" s="150">
        <f t="shared" si="883"/>
        <v>0</v>
      </c>
      <c r="X776" s="150">
        <v>0</v>
      </c>
      <c r="Y776" s="150"/>
      <c r="Z776" s="150">
        <v>0</v>
      </c>
      <c r="AA776" s="150">
        <f t="shared" si="893"/>
        <v>0</v>
      </c>
      <c r="AB776" s="150">
        <v>0</v>
      </c>
      <c r="AC776" s="199"/>
      <c r="AD776" s="150">
        <f t="shared" si="884"/>
        <v>0</v>
      </c>
      <c r="AE776" s="150">
        <v>0</v>
      </c>
      <c r="AF776" s="169" t="s">
        <v>4680</v>
      </c>
      <c r="AG776" s="201">
        <v>0</v>
      </c>
      <c r="AH776" s="199"/>
      <c r="AI776" s="150">
        <v>0</v>
      </c>
      <c r="AJ776" s="169">
        <f t="shared" si="894"/>
        <v>0</v>
      </c>
      <c r="AK776" s="201">
        <v>0</v>
      </c>
      <c r="AL776" s="199"/>
      <c r="AM776" s="150">
        <f t="shared" si="885"/>
        <v>0</v>
      </c>
      <c r="AN776" s="153">
        <f t="shared" si="895"/>
        <v>0</v>
      </c>
      <c r="AO776" s="154">
        <f t="shared" si="896"/>
        <v>0</v>
      </c>
      <c r="AP776" s="150">
        <v>0</v>
      </c>
      <c r="AQ776" s="201">
        <v>0</v>
      </c>
      <c r="AR776" s="199"/>
      <c r="AS776" s="150">
        <f t="shared" si="886"/>
        <v>0</v>
      </c>
      <c r="AT776" s="155"/>
      <c r="AU776" s="156">
        <f t="shared" si="890"/>
        <v>0</v>
      </c>
      <c r="AV776" s="156">
        <f t="shared" si="891"/>
        <v>0</v>
      </c>
      <c r="AW776" s="157"/>
      <c r="AX776" s="150">
        <v>0</v>
      </c>
      <c r="AY776" s="150">
        <v>0</v>
      </c>
      <c r="AZ776" s="150"/>
      <c r="BA776" s="150">
        <f t="shared" si="887"/>
        <v>0</v>
      </c>
      <c r="BB776" s="202">
        <v>5</v>
      </c>
      <c r="BC776" s="202" t="s">
        <v>647</v>
      </c>
      <c r="BD776" s="202" t="s">
        <v>632</v>
      </c>
      <c r="BE776" s="202" t="s">
        <v>1243</v>
      </c>
      <c r="BF776" s="202" t="s">
        <v>1257</v>
      </c>
      <c r="BG776" s="231" t="s">
        <v>6872</v>
      </c>
      <c r="BH776" s="216">
        <f t="shared" si="888"/>
        <v>0</v>
      </c>
      <c r="BI776" s="205"/>
      <c r="BJ776" s="206" t="s">
        <v>6841</v>
      </c>
      <c r="BK776" s="206" t="s">
        <v>384</v>
      </c>
      <c r="BL776" s="207" t="s">
        <v>6842</v>
      </c>
      <c r="BM776" s="208">
        <f t="shared" si="889"/>
        <v>0</v>
      </c>
      <c r="BN776" s="160"/>
      <c r="BO776" s="161">
        <f t="shared" si="852"/>
        <v>0</v>
      </c>
      <c r="BP776" s="161"/>
    </row>
    <row r="777" spans="1:68" ht="38.25">
      <c r="A777" s="206" t="s">
        <v>6873</v>
      </c>
      <c r="B777" s="195" t="s">
        <v>6874</v>
      </c>
      <c r="C777" s="196" t="s">
        <v>6875</v>
      </c>
      <c r="D777" s="146" t="s">
        <v>4692</v>
      </c>
      <c r="E777" s="196" t="s">
        <v>6875</v>
      </c>
      <c r="F777" s="150">
        <v>0</v>
      </c>
      <c r="G777" s="209">
        <v>0</v>
      </c>
      <c r="H777" s="209"/>
      <c r="I777" s="209">
        <v>0</v>
      </c>
      <c r="J777" s="150">
        <v>0</v>
      </c>
      <c r="K777" s="150">
        <v>0</v>
      </c>
      <c r="L777" s="150">
        <f t="shared" ref="L777:L840" si="897">J777+K777</f>
        <v>0</v>
      </c>
      <c r="M777" s="150">
        <v>0</v>
      </c>
      <c r="N777" s="150"/>
      <c r="O777" s="150">
        <v>0</v>
      </c>
      <c r="P777" s="150">
        <v>0</v>
      </c>
      <c r="Q777" s="150"/>
      <c r="R777" s="150">
        <f t="shared" si="882"/>
        <v>0</v>
      </c>
      <c r="S777" s="150">
        <f t="shared" si="892"/>
        <v>0</v>
      </c>
      <c r="T777" s="150"/>
      <c r="U777" s="150">
        <v>0</v>
      </c>
      <c r="V777" s="199"/>
      <c r="W777" s="150">
        <f t="shared" si="883"/>
        <v>0</v>
      </c>
      <c r="X777" s="150">
        <v>0</v>
      </c>
      <c r="Y777" s="150"/>
      <c r="Z777" s="150">
        <v>0</v>
      </c>
      <c r="AA777" s="150">
        <f t="shared" si="893"/>
        <v>0</v>
      </c>
      <c r="AB777" s="150">
        <v>0</v>
      </c>
      <c r="AC777" s="199"/>
      <c r="AD777" s="150">
        <f t="shared" si="884"/>
        <v>0</v>
      </c>
      <c r="AE777" s="150">
        <v>0</v>
      </c>
      <c r="AF777" s="169" t="s">
        <v>4680</v>
      </c>
      <c r="AG777" s="201">
        <v>0</v>
      </c>
      <c r="AH777" s="199"/>
      <c r="AI777" s="150">
        <v>0</v>
      </c>
      <c r="AJ777" s="169">
        <f t="shared" si="894"/>
        <v>0</v>
      </c>
      <c r="AK777" s="201">
        <v>0</v>
      </c>
      <c r="AL777" s="199"/>
      <c r="AM777" s="150">
        <f t="shared" si="885"/>
        <v>0</v>
      </c>
      <c r="AN777" s="153">
        <f t="shared" si="895"/>
        <v>0</v>
      </c>
      <c r="AO777" s="154">
        <f t="shared" si="896"/>
        <v>0</v>
      </c>
      <c r="AP777" s="150">
        <v>0</v>
      </c>
      <c r="AQ777" s="201">
        <v>0</v>
      </c>
      <c r="AR777" s="199"/>
      <c r="AS777" s="150">
        <f t="shared" si="886"/>
        <v>0</v>
      </c>
      <c r="AT777" s="155"/>
      <c r="AU777" s="156">
        <f t="shared" si="890"/>
        <v>0</v>
      </c>
      <c r="AV777" s="156">
        <f t="shared" si="891"/>
        <v>0</v>
      </c>
      <c r="AW777" s="157"/>
      <c r="AX777" s="150">
        <v>0</v>
      </c>
      <c r="AY777" s="150">
        <v>0</v>
      </c>
      <c r="AZ777" s="150"/>
      <c r="BA777" s="150">
        <f t="shared" si="887"/>
        <v>0</v>
      </c>
      <c r="BB777" s="202">
        <v>5</v>
      </c>
      <c r="BC777" s="202" t="s">
        <v>647</v>
      </c>
      <c r="BD777" s="202" t="s">
        <v>632</v>
      </c>
      <c r="BE777" s="202" t="s">
        <v>1243</v>
      </c>
      <c r="BF777" s="202" t="s">
        <v>1332</v>
      </c>
      <c r="BG777" s="203" t="s">
        <v>6875</v>
      </c>
      <c r="BH777" s="216">
        <f t="shared" si="888"/>
        <v>0</v>
      </c>
      <c r="BI777" s="206" t="s">
        <v>1519</v>
      </c>
      <c r="BJ777" s="206" t="s">
        <v>6876</v>
      </c>
      <c r="BK777" s="206" t="s">
        <v>6873</v>
      </c>
      <c r="BL777" s="207" t="s">
        <v>6877</v>
      </c>
      <c r="BM777" s="208">
        <f t="shared" si="889"/>
        <v>0</v>
      </c>
      <c r="BN777" s="160"/>
      <c r="BO777" s="161">
        <f t="shared" si="852"/>
        <v>0</v>
      </c>
      <c r="BP777" s="161"/>
    </row>
    <row r="778" spans="1:68" ht="38.25">
      <c r="A778" s="206" t="s">
        <v>381</v>
      </c>
      <c r="B778" s="195" t="s">
        <v>6878</v>
      </c>
      <c r="C778" s="196" t="s">
        <v>6879</v>
      </c>
      <c r="D778" s="146" t="s">
        <v>4692</v>
      </c>
      <c r="E778" s="196" t="s">
        <v>6879</v>
      </c>
      <c r="F778" s="150">
        <v>0</v>
      </c>
      <c r="G778" s="209">
        <v>0</v>
      </c>
      <c r="H778" s="209"/>
      <c r="I778" s="209">
        <v>0</v>
      </c>
      <c r="J778" s="150">
        <v>0</v>
      </c>
      <c r="K778" s="150">
        <v>0</v>
      </c>
      <c r="L778" s="150">
        <f t="shared" si="897"/>
        <v>0</v>
      </c>
      <c r="M778" s="150">
        <v>0</v>
      </c>
      <c r="N778" s="150"/>
      <c r="O778" s="150">
        <v>0</v>
      </c>
      <c r="P778" s="150">
        <v>0</v>
      </c>
      <c r="Q778" s="150"/>
      <c r="R778" s="150">
        <f t="shared" si="882"/>
        <v>0</v>
      </c>
      <c r="S778" s="150">
        <f t="shared" si="892"/>
        <v>0</v>
      </c>
      <c r="T778" s="150"/>
      <c r="U778" s="150">
        <v>0</v>
      </c>
      <c r="V778" s="199"/>
      <c r="W778" s="150">
        <f t="shared" si="883"/>
        <v>0</v>
      </c>
      <c r="X778" s="150">
        <v>0</v>
      </c>
      <c r="Y778" s="150"/>
      <c r="Z778" s="150">
        <v>0</v>
      </c>
      <c r="AA778" s="150">
        <f t="shared" si="893"/>
        <v>0</v>
      </c>
      <c r="AB778" s="150">
        <v>0</v>
      </c>
      <c r="AC778" s="199"/>
      <c r="AD778" s="150">
        <f t="shared" si="884"/>
        <v>0</v>
      </c>
      <c r="AE778" s="150">
        <v>0</v>
      </c>
      <c r="AF778" s="169" t="s">
        <v>4680</v>
      </c>
      <c r="AG778" s="201">
        <v>0</v>
      </c>
      <c r="AH778" s="199"/>
      <c r="AI778" s="150">
        <v>0</v>
      </c>
      <c r="AJ778" s="169">
        <f t="shared" si="894"/>
        <v>0</v>
      </c>
      <c r="AK778" s="201">
        <v>0</v>
      </c>
      <c r="AL778" s="199"/>
      <c r="AM778" s="150">
        <f t="shared" si="885"/>
        <v>0</v>
      </c>
      <c r="AN778" s="153">
        <f t="shared" si="895"/>
        <v>0</v>
      </c>
      <c r="AO778" s="154">
        <f t="shared" si="896"/>
        <v>0</v>
      </c>
      <c r="AP778" s="150">
        <v>0</v>
      </c>
      <c r="AQ778" s="201">
        <v>0</v>
      </c>
      <c r="AR778" s="199"/>
      <c r="AS778" s="150">
        <f t="shared" si="886"/>
        <v>0</v>
      </c>
      <c r="AT778" s="155"/>
      <c r="AU778" s="156">
        <f t="shared" si="890"/>
        <v>0</v>
      </c>
      <c r="AV778" s="156">
        <f t="shared" si="891"/>
        <v>0</v>
      </c>
      <c r="AW778" s="157"/>
      <c r="AX778" s="150">
        <v>0</v>
      </c>
      <c r="AY778" s="150">
        <v>0</v>
      </c>
      <c r="AZ778" s="150"/>
      <c r="BA778" s="150">
        <f t="shared" si="887"/>
        <v>0</v>
      </c>
      <c r="BB778" s="202">
        <v>5</v>
      </c>
      <c r="BC778" s="202" t="s">
        <v>647</v>
      </c>
      <c r="BD778" s="202" t="s">
        <v>632</v>
      </c>
      <c r="BE778" s="202" t="s">
        <v>1243</v>
      </c>
      <c r="BF778" s="194" t="s">
        <v>1838</v>
      </c>
      <c r="BG778" s="203" t="s">
        <v>6879</v>
      </c>
      <c r="BH778" s="216">
        <f t="shared" si="888"/>
        <v>0</v>
      </c>
      <c r="BI778" s="205"/>
      <c r="BJ778" s="206" t="s">
        <v>6824</v>
      </c>
      <c r="BK778" s="206" t="s">
        <v>381</v>
      </c>
      <c r="BL778" s="207" t="s">
        <v>6825</v>
      </c>
      <c r="BM778" s="208">
        <f t="shared" si="889"/>
        <v>0</v>
      </c>
      <c r="BN778" s="160"/>
      <c r="BO778" s="161">
        <f t="shared" si="852"/>
        <v>0</v>
      </c>
      <c r="BP778" s="161"/>
    </row>
    <row r="779" spans="1:68" ht="38.25">
      <c r="A779" s="206" t="s">
        <v>382</v>
      </c>
      <c r="B779" s="195" t="s">
        <v>6880</v>
      </c>
      <c r="C779" s="196" t="s">
        <v>6881</v>
      </c>
      <c r="D779" s="146" t="s">
        <v>4692</v>
      </c>
      <c r="E779" s="196" t="s">
        <v>6881</v>
      </c>
      <c r="F779" s="150">
        <v>0</v>
      </c>
      <c r="G779" s="209">
        <v>0</v>
      </c>
      <c r="H779" s="209"/>
      <c r="I779" s="209">
        <v>0</v>
      </c>
      <c r="J779" s="150">
        <v>0</v>
      </c>
      <c r="K779" s="150">
        <v>0</v>
      </c>
      <c r="L779" s="150">
        <f t="shared" si="897"/>
        <v>0</v>
      </c>
      <c r="M779" s="150">
        <v>0</v>
      </c>
      <c r="N779" s="150"/>
      <c r="O779" s="150">
        <v>0</v>
      </c>
      <c r="P779" s="150">
        <v>0</v>
      </c>
      <c r="Q779" s="150"/>
      <c r="R779" s="150">
        <f t="shared" si="882"/>
        <v>0</v>
      </c>
      <c r="S779" s="150">
        <f t="shared" si="892"/>
        <v>0</v>
      </c>
      <c r="T779" s="150"/>
      <c r="U779" s="150">
        <v>0</v>
      </c>
      <c r="V779" s="199"/>
      <c r="W779" s="150">
        <f t="shared" si="883"/>
        <v>0</v>
      </c>
      <c r="X779" s="150">
        <v>0</v>
      </c>
      <c r="Y779" s="150"/>
      <c r="Z779" s="150">
        <v>0</v>
      </c>
      <c r="AA779" s="150">
        <f t="shared" si="893"/>
        <v>0</v>
      </c>
      <c r="AB779" s="150">
        <v>0</v>
      </c>
      <c r="AC779" s="199"/>
      <c r="AD779" s="150">
        <f t="shared" si="884"/>
        <v>0</v>
      </c>
      <c r="AE779" s="150">
        <v>0</v>
      </c>
      <c r="AF779" s="169" t="s">
        <v>4680</v>
      </c>
      <c r="AG779" s="201">
        <v>0</v>
      </c>
      <c r="AH779" s="199"/>
      <c r="AI779" s="150">
        <v>0</v>
      </c>
      <c r="AJ779" s="169">
        <f t="shared" si="894"/>
        <v>0</v>
      </c>
      <c r="AK779" s="201">
        <v>0</v>
      </c>
      <c r="AL779" s="199"/>
      <c r="AM779" s="150">
        <f t="shared" si="885"/>
        <v>0</v>
      </c>
      <c r="AN779" s="153">
        <f t="shared" si="895"/>
        <v>0</v>
      </c>
      <c r="AO779" s="154">
        <f t="shared" si="896"/>
        <v>0</v>
      </c>
      <c r="AP779" s="150">
        <v>0</v>
      </c>
      <c r="AQ779" s="201">
        <v>0</v>
      </c>
      <c r="AR779" s="199"/>
      <c r="AS779" s="150">
        <f t="shared" si="886"/>
        <v>0</v>
      </c>
      <c r="AT779" s="155"/>
      <c r="AU779" s="156">
        <f t="shared" si="890"/>
        <v>0</v>
      </c>
      <c r="AV779" s="156">
        <f t="shared" si="891"/>
        <v>0</v>
      </c>
      <c r="AW779" s="157"/>
      <c r="AX779" s="150">
        <v>0</v>
      </c>
      <c r="AY779" s="150">
        <v>0</v>
      </c>
      <c r="AZ779" s="150"/>
      <c r="BA779" s="150">
        <f t="shared" si="887"/>
        <v>0</v>
      </c>
      <c r="BB779" s="202">
        <v>5</v>
      </c>
      <c r="BC779" s="202" t="s">
        <v>647</v>
      </c>
      <c r="BD779" s="202" t="s">
        <v>632</v>
      </c>
      <c r="BE779" s="202" t="s">
        <v>1243</v>
      </c>
      <c r="BF779" s="202" t="s">
        <v>1842</v>
      </c>
      <c r="BG779" s="203" t="s">
        <v>6882</v>
      </c>
      <c r="BH779" s="216">
        <f t="shared" si="888"/>
        <v>0</v>
      </c>
      <c r="BI779" s="206" t="s">
        <v>1340</v>
      </c>
      <c r="BJ779" s="206" t="s">
        <v>6833</v>
      </c>
      <c r="BK779" s="206" t="s">
        <v>382</v>
      </c>
      <c r="BL779" s="207" t="s">
        <v>6834</v>
      </c>
      <c r="BM779" s="208">
        <f t="shared" si="889"/>
        <v>0</v>
      </c>
      <c r="BN779" s="160"/>
      <c r="BO779" s="161">
        <f t="shared" si="852"/>
        <v>0</v>
      </c>
      <c r="BP779" s="161"/>
    </row>
    <row r="780" spans="1:68" ht="25.5">
      <c r="A780" s="206" t="s">
        <v>383</v>
      </c>
      <c r="B780" s="195" t="s">
        <v>6883</v>
      </c>
      <c r="C780" s="196" t="s">
        <v>6884</v>
      </c>
      <c r="D780" s="146" t="s">
        <v>4692</v>
      </c>
      <c r="E780" s="196" t="s">
        <v>6884</v>
      </c>
      <c r="F780" s="150">
        <v>0</v>
      </c>
      <c r="G780" s="209">
        <v>0</v>
      </c>
      <c r="H780" s="209"/>
      <c r="I780" s="209">
        <v>0</v>
      </c>
      <c r="J780" s="150">
        <v>0</v>
      </c>
      <c r="K780" s="150">
        <v>0</v>
      </c>
      <c r="L780" s="150">
        <f t="shared" si="897"/>
        <v>0</v>
      </c>
      <c r="M780" s="150">
        <v>0</v>
      </c>
      <c r="N780" s="150"/>
      <c r="O780" s="150">
        <v>0</v>
      </c>
      <c r="P780" s="150">
        <v>0</v>
      </c>
      <c r="Q780" s="150"/>
      <c r="R780" s="150">
        <f t="shared" si="882"/>
        <v>0</v>
      </c>
      <c r="S780" s="150">
        <f t="shared" si="892"/>
        <v>0</v>
      </c>
      <c r="T780" s="150"/>
      <c r="U780" s="150">
        <v>0</v>
      </c>
      <c r="V780" s="199"/>
      <c r="W780" s="150">
        <f t="shared" si="883"/>
        <v>0</v>
      </c>
      <c r="X780" s="150">
        <v>0</v>
      </c>
      <c r="Y780" s="150"/>
      <c r="Z780" s="150">
        <v>0</v>
      </c>
      <c r="AA780" s="150">
        <f t="shared" si="893"/>
        <v>0</v>
      </c>
      <c r="AB780" s="150">
        <v>0</v>
      </c>
      <c r="AC780" s="199"/>
      <c r="AD780" s="150">
        <f t="shared" si="884"/>
        <v>0</v>
      </c>
      <c r="AE780" s="150">
        <v>0</v>
      </c>
      <c r="AF780" s="169" t="s">
        <v>4680</v>
      </c>
      <c r="AG780" s="201">
        <v>0</v>
      </c>
      <c r="AH780" s="199"/>
      <c r="AI780" s="150">
        <v>0</v>
      </c>
      <c r="AJ780" s="169">
        <f t="shared" si="894"/>
        <v>0</v>
      </c>
      <c r="AK780" s="201">
        <v>0</v>
      </c>
      <c r="AL780" s="199"/>
      <c r="AM780" s="150">
        <f t="shared" si="885"/>
        <v>0</v>
      </c>
      <c r="AN780" s="153">
        <f t="shared" si="895"/>
        <v>0</v>
      </c>
      <c r="AO780" s="154">
        <f t="shared" si="896"/>
        <v>0</v>
      </c>
      <c r="AP780" s="150">
        <v>0</v>
      </c>
      <c r="AQ780" s="201">
        <v>0</v>
      </c>
      <c r="AR780" s="199"/>
      <c r="AS780" s="150">
        <f t="shared" si="886"/>
        <v>0</v>
      </c>
      <c r="AT780" s="155"/>
      <c r="AU780" s="156">
        <f t="shared" si="890"/>
        <v>0</v>
      </c>
      <c r="AV780" s="156">
        <f t="shared" si="891"/>
        <v>0</v>
      </c>
      <c r="AW780" s="157"/>
      <c r="AX780" s="150">
        <v>0</v>
      </c>
      <c r="AY780" s="150">
        <v>0</v>
      </c>
      <c r="AZ780" s="150"/>
      <c r="BA780" s="150">
        <f t="shared" si="887"/>
        <v>0</v>
      </c>
      <c r="BB780" s="202">
        <v>5</v>
      </c>
      <c r="BC780" s="202" t="s">
        <v>647</v>
      </c>
      <c r="BD780" s="202" t="s">
        <v>632</v>
      </c>
      <c r="BE780" s="202" t="s">
        <v>1243</v>
      </c>
      <c r="BF780" s="194" t="s">
        <v>1846</v>
      </c>
      <c r="BG780" s="203" t="s">
        <v>6885</v>
      </c>
      <c r="BH780" s="216">
        <f t="shared" si="888"/>
        <v>0</v>
      </c>
      <c r="BI780" s="205"/>
      <c r="BJ780" s="206" t="s">
        <v>6837</v>
      </c>
      <c r="BK780" s="206" t="s">
        <v>383</v>
      </c>
      <c r="BL780" s="207" t="s">
        <v>6838</v>
      </c>
      <c r="BM780" s="208">
        <f t="shared" si="889"/>
        <v>0</v>
      </c>
      <c r="BN780" s="160"/>
      <c r="BO780" s="161">
        <f t="shared" si="852"/>
        <v>0</v>
      </c>
      <c r="BP780" s="161"/>
    </row>
    <row r="781" spans="1:68" ht="25.5">
      <c r="A781" s="206" t="s">
        <v>384</v>
      </c>
      <c r="B781" s="195" t="s">
        <v>6886</v>
      </c>
      <c r="C781" s="196" t="s">
        <v>6887</v>
      </c>
      <c r="D781" s="146" t="s">
        <v>4692</v>
      </c>
      <c r="E781" s="196" t="s">
        <v>6887</v>
      </c>
      <c r="F781" s="150">
        <v>0</v>
      </c>
      <c r="G781" s="209">
        <v>311584.26</v>
      </c>
      <c r="H781" s="209"/>
      <c r="I781" s="209">
        <v>311584.26</v>
      </c>
      <c r="J781" s="150">
        <v>0</v>
      </c>
      <c r="K781" s="150">
        <v>0</v>
      </c>
      <c r="L781" s="150">
        <f t="shared" si="897"/>
        <v>0</v>
      </c>
      <c r="M781" s="150">
        <v>0</v>
      </c>
      <c r="N781" s="150"/>
      <c r="O781" s="150">
        <v>0</v>
      </c>
      <c r="P781" s="150">
        <v>0</v>
      </c>
      <c r="Q781" s="150"/>
      <c r="R781" s="150">
        <f t="shared" si="882"/>
        <v>0</v>
      </c>
      <c r="S781" s="150">
        <f t="shared" si="892"/>
        <v>0</v>
      </c>
      <c r="T781" s="150"/>
      <c r="U781" s="150">
        <v>0</v>
      </c>
      <c r="V781" s="199"/>
      <c r="W781" s="150">
        <f t="shared" si="883"/>
        <v>0</v>
      </c>
      <c r="X781" s="150">
        <v>0</v>
      </c>
      <c r="Y781" s="150"/>
      <c r="Z781" s="150">
        <v>0</v>
      </c>
      <c r="AA781" s="150">
        <f t="shared" si="893"/>
        <v>0</v>
      </c>
      <c r="AB781" s="150">
        <v>0</v>
      </c>
      <c r="AC781" s="199"/>
      <c r="AD781" s="150">
        <f t="shared" si="884"/>
        <v>0</v>
      </c>
      <c r="AE781" s="150">
        <v>0</v>
      </c>
      <c r="AF781" s="169" t="s">
        <v>4680</v>
      </c>
      <c r="AG781" s="201">
        <v>0</v>
      </c>
      <c r="AH781" s="199"/>
      <c r="AI781" s="150">
        <v>0</v>
      </c>
      <c r="AJ781" s="169">
        <f t="shared" si="894"/>
        <v>0</v>
      </c>
      <c r="AK781" s="201">
        <v>0</v>
      </c>
      <c r="AL781" s="199"/>
      <c r="AM781" s="150">
        <f t="shared" si="885"/>
        <v>0</v>
      </c>
      <c r="AN781" s="153">
        <f t="shared" si="895"/>
        <v>0</v>
      </c>
      <c r="AO781" s="154">
        <f t="shared" si="896"/>
        <v>0</v>
      </c>
      <c r="AP781" s="150">
        <v>0</v>
      </c>
      <c r="AQ781" s="201">
        <v>0</v>
      </c>
      <c r="AR781" s="199"/>
      <c r="AS781" s="150">
        <f t="shared" si="886"/>
        <v>0</v>
      </c>
      <c r="AT781" s="155"/>
      <c r="AU781" s="156">
        <f t="shared" si="890"/>
        <v>0</v>
      </c>
      <c r="AV781" s="156">
        <f t="shared" si="891"/>
        <v>0</v>
      </c>
      <c r="AW781" s="157"/>
      <c r="AX781" s="150">
        <v>0</v>
      </c>
      <c r="AY781" s="150">
        <v>0</v>
      </c>
      <c r="AZ781" s="150"/>
      <c r="BA781" s="150">
        <f t="shared" si="887"/>
        <v>0</v>
      </c>
      <c r="BB781" s="202">
        <v>5</v>
      </c>
      <c r="BC781" s="202" t="s">
        <v>647</v>
      </c>
      <c r="BD781" s="202" t="s">
        <v>632</v>
      </c>
      <c r="BE781" s="202" t="s">
        <v>1243</v>
      </c>
      <c r="BF781" s="202" t="s">
        <v>1850</v>
      </c>
      <c r="BG781" s="203" t="s">
        <v>6888</v>
      </c>
      <c r="BH781" s="216">
        <f t="shared" si="888"/>
        <v>0</v>
      </c>
      <c r="BI781" s="205"/>
      <c r="BJ781" s="206" t="s">
        <v>6841</v>
      </c>
      <c r="BK781" s="206" t="s">
        <v>384</v>
      </c>
      <c r="BL781" s="207" t="s">
        <v>6842</v>
      </c>
      <c r="BM781" s="208">
        <f t="shared" si="889"/>
        <v>0</v>
      </c>
      <c r="BN781" s="160"/>
      <c r="BO781" s="161">
        <f t="shared" si="852"/>
        <v>0</v>
      </c>
      <c r="BP781" s="161"/>
    </row>
    <row r="782" spans="1:68" ht="63.75">
      <c r="A782" s="261" t="s">
        <v>6817</v>
      </c>
      <c r="B782" s="228" t="s">
        <v>6889</v>
      </c>
      <c r="C782" s="229" t="s">
        <v>6890</v>
      </c>
      <c r="D782" s="146" t="s">
        <v>4692</v>
      </c>
      <c r="E782" s="196" t="s">
        <v>6890</v>
      </c>
      <c r="F782" s="150">
        <v>51722.15</v>
      </c>
      <c r="G782" s="209">
        <v>0</v>
      </c>
      <c r="H782" s="209"/>
      <c r="I782" s="209">
        <v>0</v>
      </c>
      <c r="J782" s="150">
        <v>0</v>
      </c>
      <c r="K782" s="150">
        <v>0</v>
      </c>
      <c r="L782" s="150">
        <f t="shared" si="897"/>
        <v>0</v>
      </c>
      <c r="M782" s="150">
        <v>61810.66</v>
      </c>
      <c r="N782" s="150"/>
      <c r="O782" s="150">
        <v>61810.66</v>
      </c>
      <c r="P782" s="150">
        <v>202682.13</v>
      </c>
      <c r="Q782" s="150">
        <v>2</v>
      </c>
      <c r="R782" s="150">
        <f t="shared" si="882"/>
        <v>202684.13</v>
      </c>
      <c r="S782" s="150">
        <f t="shared" si="892"/>
        <v>270245.50666666671</v>
      </c>
      <c r="T782" s="150"/>
      <c r="U782" s="150">
        <v>320257.03000000003</v>
      </c>
      <c r="V782" s="199">
        <v>1880.6599999999744</v>
      </c>
      <c r="W782" s="150">
        <f t="shared" si="883"/>
        <v>322137.69</v>
      </c>
      <c r="X782" s="150">
        <v>320257.03000000003</v>
      </c>
      <c r="Y782" s="150">
        <v>1880.6599999999744</v>
      </c>
      <c r="Z782" s="150">
        <v>322137.69</v>
      </c>
      <c r="AA782" s="150">
        <f t="shared" si="893"/>
        <v>221559.93</v>
      </c>
      <c r="AB782" s="150">
        <v>542831.49</v>
      </c>
      <c r="AC782" s="199">
        <v>866.13000000000466</v>
      </c>
      <c r="AD782" s="150">
        <f t="shared" si="884"/>
        <v>543697.62</v>
      </c>
      <c r="AE782" s="150">
        <v>293272.32000000001</v>
      </c>
      <c r="AF782" s="169" t="s">
        <v>4680</v>
      </c>
      <c r="AG782" s="201">
        <v>293272.32000000001</v>
      </c>
      <c r="AH782" s="199"/>
      <c r="AI782" s="150">
        <v>293272.32000000001</v>
      </c>
      <c r="AJ782" s="169">
        <f t="shared" si="894"/>
        <v>-293272.32000000001</v>
      </c>
      <c r="AK782" s="201"/>
      <c r="AL782" s="199"/>
      <c r="AM782" s="150">
        <f t="shared" si="885"/>
        <v>0</v>
      </c>
      <c r="AN782" s="153">
        <f t="shared" si="895"/>
        <v>0</v>
      </c>
      <c r="AO782" s="154">
        <f t="shared" si="896"/>
        <v>0</v>
      </c>
      <c r="AP782" s="150">
        <v>0</v>
      </c>
      <c r="AQ782" s="201">
        <v>0</v>
      </c>
      <c r="AR782" s="199"/>
      <c r="AS782" s="150">
        <f t="shared" si="886"/>
        <v>0</v>
      </c>
      <c r="AT782" s="155" t="s">
        <v>6891</v>
      </c>
      <c r="AU782" s="156">
        <f t="shared" si="890"/>
        <v>-543697.62</v>
      </c>
      <c r="AV782" s="156">
        <f t="shared" si="891"/>
        <v>221559.93</v>
      </c>
      <c r="AW782" s="157" t="s">
        <v>6892</v>
      </c>
      <c r="AX782" s="150">
        <v>322137.69</v>
      </c>
      <c r="AY782" s="150">
        <v>100948.56</v>
      </c>
      <c r="AZ782" s="150"/>
      <c r="BA782" s="150">
        <f t="shared" si="887"/>
        <v>100948.56</v>
      </c>
      <c r="BB782" s="202">
        <v>5</v>
      </c>
      <c r="BC782" s="202" t="s">
        <v>647</v>
      </c>
      <c r="BD782" s="202" t="s">
        <v>632</v>
      </c>
      <c r="BE782" s="202" t="s">
        <v>1243</v>
      </c>
      <c r="BF782" s="202" t="s">
        <v>1855</v>
      </c>
      <c r="BG782" s="203" t="s">
        <v>6890</v>
      </c>
      <c r="BH782" s="216">
        <f t="shared" si="888"/>
        <v>0</v>
      </c>
      <c r="BI782" s="205"/>
      <c r="BJ782" s="206" t="s">
        <v>6893</v>
      </c>
      <c r="BK782" s="206" t="s">
        <v>6817</v>
      </c>
      <c r="BL782" s="207" t="s">
        <v>6821</v>
      </c>
      <c r="BM782" s="208">
        <f t="shared" si="889"/>
        <v>0</v>
      </c>
      <c r="BN782" s="160"/>
      <c r="BO782" s="161">
        <f t="shared" si="852"/>
        <v>0</v>
      </c>
      <c r="BP782" s="161"/>
    </row>
    <row r="783" spans="1:68" ht="38.25">
      <c r="A783" s="206" t="s">
        <v>381</v>
      </c>
      <c r="B783" s="195" t="s">
        <v>6894</v>
      </c>
      <c r="C783" s="196" t="s">
        <v>6895</v>
      </c>
      <c r="D783" s="146" t="s">
        <v>4692</v>
      </c>
      <c r="E783" s="196" t="s">
        <v>6895</v>
      </c>
      <c r="F783" s="150">
        <v>0</v>
      </c>
      <c r="G783" s="209">
        <v>0</v>
      </c>
      <c r="H783" s="209"/>
      <c r="I783" s="209">
        <v>0</v>
      </c>
      <c r="J783" s="150">
        <v>0</v>
      </c>
      <c r="K783" s="150">
        <v>0</v>
      </c>
      <c r="L783" s="150">
        <f t="shared" si="897"/>
        <v>0</v>
      </c>
      <c r="M783" s="150">
        <v>0</v>
      </c>
      <c r="N783" s="150"/>
      <c r="O783" s="150">
        <v>0</v>
      </c>
      <c r="P783" s="150">
        <v>0</v>
      </c>
      <c r="Q783" s="150">
        <v>0</v>
      </c>
      <c r="R783" s="150">
        <f t="shared" si="882"/>
        <v>0</v>
      </c>
      <c r="S783" s="150">
        <f t="shared" si="892"/>
        <v>0</v>
      </c>
      <c r="T783" s="150"/>
      <c r="U783" s="150">
        <v>0</v>
      </c>
      <c r="V783" s="199"/>
      <c r="W783" s="150">
        <f t="shared" si="883"/>
        <v>0</v>
      </c>
      <c r="X783" s="150">
        <v>0</v>
      </c>
      <c r="Y783" s="150"/>
      <c r="Z783" s="150">
        <v>0</v>
      </c>
      <c r="AA783" s="150">
        <f t="shared" si="893"/>
        <v>0</v>
      </c>
      <c r="AB783" s="150">
        <v>0</v>
      </c>
      <c r="AC783" s="199"/>
      <c r="AD783" s="150">
        <f t="shared" si="884"/>
        <v>0</v>
      </c>
      <c r="AE783" s="150">
        <v>0</v>
      </c>
      <c r="AF783" s="169" t="s">
        <v>4680</v>
      </c>
      <c r="AG783" s="201">
        <v>0</v>
      </c>
      <c r="AH783" s="199"/>
      <c r="AI783" s="150">
        <v>0</v>
      </c>
      <c r="AJ783" s="169">
        <f t="shared" si="894"/>
        <v>293272.32000000001</v>
      </c>
      <c r="AK783" s="201">
        <v>293272.32000000001</v>
      </c>
      <c r="AL783" s="199"/>
      <c r="AM783" s="150">
        <f t="shared" si="885"/>
        <v>293272.32000000001</v>
      </c>
      <c r="AN783" s="153">
        <f t="shared" si="895"/>
        <v>0</v>
      </c>
      <c r="AO783" s="154">
        <f t="shared" si="896"/>
        <v>0</v>
      </c>
      <c r="AP783" s="150">
        <v>293272.32000000001</v>
      </c>
      <c r="AQ783" s="201">
        <v>293272.32000000001</v>
      </c>
      <c r="AR783" s="199"/>
      <c r="AS783" s="150">
        <f t="shared" si="886"/>
        <v>293272.32000000001</v>
      </c>
      <c r="AT783" s="155" t="s">
        <v>6896</v>
      </c>
      <c r="AU783" s="156">
        <f t="shared" si="890"/>
        <v>293272.32000000001</v>
      </c>
      <c r="AV783" s="156">
        <f t="shared" si="891"/>
        <v>0</v>
      </c>
      <c r="AW783" s="157"/>
      <c r="AX783" s="150">
        <v>0</v>
      </c>
      <c r="AY783" s="150">
        <v>0</v>
      </c>
      <c r="AZ783" s="150"/>
      <c r="BA783" s="150">
        <f t="shared" si="887"/>
        <v>0</v>
      </c>
      <c r="BB783" s="202">
        <v>5</v>
      </c>
      <c r="BC783" s="202" t="s">
        <v>647</v>
      </c>
      <c r="BD783" s="202" t="s">
        <v>632</v>
      </c>
      <c r="BE783" s="202" t="s">
        <v>1243</v>
      </c>
      <c r="BF783" s="194" t="s">
        <v>1859</v>
      </c>
      <c r="BG783" s="231" t="s">
        <v>6897</v>
      </c>
      <c r="BH783" s="216">
        <f t="shared" si="888"/>
        <v>293272.32000000001</v>
      </c>
      <c r="BI783" s="205"/>
      <c r="BJ783" s="206" t="s">
        <v>6824</v>
      </c>
      <c r="BK783" s="206" t="s">
        <v>381</v>
      </c>
      <c r="BL783" s="207" t="s">
        <v>6825</v>
      </c>
      <c r="BM783" s="208">
        <f t="shared" si="889"/>
        <v>293272.32000000001</v>
      </c>
      <c r="BN783" s="160"/>
      <c r="BO783" s="161">
        <f t="shared" si="852"/>
        <v>0</v>
      </c>
      <c r="BP783" s="161"/>
    </row>
    <row r="784" spans="1:68" ht="63.75">
      <c r="A784" s="206" t="s">
        <v>6826</v>
      </c>
      <c r="B784" s="195" t="s">
        <v>6898</v>
      </c>
      <c r="C784" s="196" t="s">
        <v>6899</v>
      </c>
      <c r="D784" s="146" t="s">
        <v>4692</v>
      </c>
      <c r="E784" s="196" t="s">
        <v>6899</v>
      </c>
      <c r="F784" s="150">
        <v>0</v>
      </c>
      <c r="G784" s="209">
        <v>10563.6</v>
      </c>
      <c r="H784" s="209"/>
      <c r="I784" s="209">
        <v>10563.6</v>
      </c>
      <c r="J784" s="150">
        <v>0</v>
      </c>
      <c r="K784" s="150">
        <v>0</v>
      </c>
      <c r="L784" s="150">
        <f t="shared" si="897"/>
        <v>0</v>
      </c>
      <c r="M784" s="150">
        <v>0</v>
      </c>
      <c r="N784" s="150"/>
      <c r="O784" s="150">
        <v>0</v>
      </c>
      <c r="P784" s="150">
        <v>0</v>
      </c>
      <c r="Q784" s="150">
        <v>0</v>
      </c>
      <c r="R784" s="150">
        <f t="shared" si="882"/>
        <v>0</v>
      </c>
      <c r="S784" s="150">
        <f t="shared" si="892"/>
        <v>0</v>
      </c>
      <c r="T784" s="150"/>
      <c r="U784" s="150">
        <v>0</v>
      </c>
      <c r="V784" s="199"/>
      <c r="W784" s="150">
        <f t="shared" si="883"/>
        <v>0</v>
      </c>
      <c r="X784" s="150">
        <v>0</v>
      </c>
      <c r="Y784" s="150"/>
      <c r="Z784" s="150">
        <v>0</v>
      </c>
      <c r="AA784" s="150">
        <f t="shared" si="893"/>
        <v>0</v>
      </c>
      <c r="AB784" s="150">
        <v>0</v>
      </c>
      <c r="AC784" s="199"/>
      <c r="AD784" s="150">
        <f t="shared" si="884"/>
        <v>0</v>
      </c>
      <c r="AE784" s="150">
        <v>0</v>
      </c>
      <c r="AF784" s="169" t="s">
        <v>4680</v>
      </c>
      <c r="AG784" s="201">
        <v>0</v>
      </c>
      <c r="AH784" s="199"/>
      <c r="AI784" s="150">
        <v>0</v>
      </c>
      <c r="AJ784" s="169">
        <f t="shared" si="894"/>
        <v>0</v>
      </c>
      <c r="AK784" s="201">
        <v>0</v>
      </c>
      <c r="AL784" s="199"/>
      <c r="AM784" s="150">
        <f t="shared" si="885"/>
        <v>0</v>
      </c>
      <c r="AN784" s="153">
        <f t="shared" si="895"/>
        <v>0</v>
      </c>
      <c r="AO784" s="154">
        <f t="shared" si="896"/>
        <v>0</v>
      </c>
      <c r="AP784" s="150">
        <v>0</v>
      </c>
      <c r="AQ784" s="201">
        <v>0</v>
      </c>
      <c r="AR784" s="199"/>
      <c r="AS784" s="150">
        <f t="shared" si="886"/>
        <v>0</v>
      </c>
      <c r="AT784" s="155"/>
      <c r="AU784" s="156">
        <f t="shared" si="890"/>
        <v>0</v>
      </c>
      <c r="AV784" s="156">
        <f t="shared" si="891"/>
        <v>0</v>
      </c>
      <c r="AW784" s="157"/>
      <c r="AX784" s="150">
        <v>0</v>
      </c>
      <c r="AY784" s="150">
        <v>0</v>
      </c>
      <c r="AZ784" s="150"/>
      <c r="BA784" s="150">
        <f t="shared" si="887"/>
        <v>0</v>
      </c>
      <c r="BB784" s="202">
        <v>5</v>
      </c>
      <c r="BC784" s="202" t="s">
        <v>647</v>
      </c>
      <c r="BD784" s="202" t="s">
        <v>632</v>
      </c>
      <c r="BE784" s="202" t="s">
        <v>1243</v>
      </c>
      <c r="BF784" s="194" t="s">
        <v>1372</v>
      </c>
      <c r="BG784" s="231" t="s">
        <v>6899</v>
      </c>
      <c r="BH784" s="216">
        <f t="shared" si="888"/>
        <v>0</v>
      </c>
      <c r="BI784" s="206" t="s">
        <v>1349</v>
      </c>
      <c r="BJ784" s="206" t="s">
        <v>6829</v>
      </c>
      <c r="BK784" s="206" t="s">
        <v>6826</v>
      </c>
      <c r="BL784" s="207" t="s">
        <v>6830</v>
      </c>
      <c r="BM784" s="208">
        <f t="shared" si="889"/>
        <v>0</v>
      </c>
      <c r="BN784" s="160"/>
      <c r="BO784" s="161">
        <f t="shared" si="852"/>
        <v>0</v>
      </c>
      <c r="BP784" s="161"/>
    </row>
    <row r="785" spans="1:68" ht="51">
      <c r="A785" s="206" t="s">
        <v>382</v>
      </c>
      <c r="B785" s="195" t="s">
        <v>6900</v>
      </c>
      <c r="C785" s="196" t="s">
        <v>6901</v>
      </c>
      <c r="D785" s="146" t="s">
        <v>4692</v>
      </c>
      <c r="E785" s="196" t="s">
        <v>6901</v>
      </c>
      <c r="F785" s="150">
        <v>12039.59</v>
      </c>
      <c r="G785" s="209">
        <v>3222.04</v>
      </c>
      <c r="H785" s="209"/>
      <c r="I785" s="209">
        <v>3222.04</v>
      </c>
      <c r="J785" s="150">
        <v>386.33</v>
      </c>
      <c r="K785" s="150">
        <v>0</v>
      </c>
      <c r="L785" s="150">
        <f t="shared" si="897"/>
        <v>386.33</v>
      </c>
      <c r="M785" s="150">
        <v>1862.32</v>
      </c>
      <c r="N785" s="150"/>
      <c r="O785" s="150">
        <v>1862.32</v>
      </c>
      <c r="P785" s="150">
        <v>2248.65</v>
      </c>
      <c r="Q785" s="150">
        <v>2271.9999999999995</v>
      </c>
      <c r="R785" s="150">
        <f t="shared" si="882"/>
        <v>4520.6499999999996</v>
      </c>
      <c r="S785" s="150">
        <f t="shared" si="892"/>
        <v>6027.5333333333328</v>
      </c>
      <c r="T785" s="150"/>
      <c r="U785" s="150">
        <v>2635.65</v>
      </c>
      <c r="V785" s="199">
        <v>2271.9999999999995</v>
      </c>
      <c r="W785" s="150">
        <f t="shared" si="883"/>
        <v>4907.6499999999996</v>
      </c>
      <c r="X785" s="150">
        <v>2635.65</v>
      </c>
      <c r="Y785" s="150">
        <v>2271.9999999999995</v>
      </c>
      <c r="Z785" s="150">
        <v>4907.6499999999996</v>
      </c>
      <c r="AA785" s="150">
        <f t="shared" si="893"/>
        <v>902</v>
      </c>
      <c r="AB785" s="150">
        <v>3537.65</v>
      </c>
      <c r="AC785" s="199">
        <v>2271.9999999999995</v>
      </c>
      <c r="AD785" s="150">
        <f t="shared" si="884"/>
        <v>5809.65</v>
      </c>
      <c r="AE785" s="150">
        <v>3537.65</v>
      </c>
      <c r="AF785" s="169" t="s">
        <v>4680</v>
      </c>
      <c r="AG785" s="201">
        <v>3537.65</v>
      </c>
      <c r="AH785" s="199"/>
      <c r="AI785" s="150">
        <v>3537.65</v>
      </c>
      <c r="AJ785" s="169">
        <f t="shared" si="894"/>
        <v>0</v>
      </c>
      <c r="AK785" s="201">
        <v>3537.65</v>
      </c>
      <c r="AL785" s="199"/>
      <c r="AM785" s="150">
        <f t="shared" si="885"/>
        <v>3537.65</v>
      </c>
      <c r="AN785" s="153">
        <f t="shared" si="895"/>
        <v>0</v>
      </c>
      <c r="AO785" s="154">
        <f t="shared" si="896"/>
        <v>0</v>
      </c>
      <c r="AP785" s="150">
        <v>3537.65</v>
      </c>
      <c r="AQ785" s="201">
        <v>3537.65</v>
      </c>
      <c r="AR785" s="199"/>
      <c r="AS785" s="150">
        <f t="shared" si="886"/>
        <v>3537.65</v>
      </c>
      <c r="AT785" s="155" t="s">
        <v>6896</v>
      </c>
      <c r="AU785" s="156">
        <f t="shared" si="890"/>
        <v>-2271.9999999999995</v>
      </c>
      <c r="AV785" s="156">
        <f t="shared" si="891"/>
        <v>902</v>
      </c>
      <c r="AW785" s="157" t="s">
        <v>6675</v>
      </c>
      <c r="AX785" s="150">
        <v>4907.6499999999996</v>
      </c>
      <c r="AY785" s="150">
        <v>2248.65</v>
      </c>
      <c r="AZ785" s="150"/>
      <c r="BA785" s="150">
        <f t="shared" si="887"/>
        <v>2248.65</v>
      </c>
      <c r="BB785" s="202">
        <v>5</v>
      </c>
      <c r="BC785" s="202" t="s">
        <v>647</v>
      </c>
      <c r="BD785" s="202" t="s">
        <v>632</v>
      </c>
      <c r="BE785" s="202" t="s">
        <v>1243</v>
      </c>
      <c r="BF785" s="202" t="s">
        <v>1863</v>
      </c>
      <c r="BG785" s="231" t="s">
        <v>6901</v>
      </c>
      <c r="BH785" s="216">
        <f t="shared" si="888"/>
        <v>3537.65</v>
      </c>
      <c r="BI785" s="206" t="s">
        <v>1340</v>
      </c>
      <c r="BJ785" s="206" t="s">
        <v>6833</v>
      </c>
      <c r="BK785" s="206" t="s">
        <v>382</v>
      </c>
      <c r="BL785" s="207" t="s">
        <v>6834</v>
      </c>
      <c r="BM785" s="208">
        <f t="shared" si="889"/>
        <v>3537.65</v>
      </c>
      <c r="BN785" s="160"/>
      <c r="BO785" s="161">
        <f t="shared" si="852"/>
        <v>0</v>
      </c>
      <c r="BP785" s="161"/>
    </row>
    <row r="786" spans="1:68" ht="38.25">
      <c r="A786" s="206" t="s">
        <v>383</v>
      </c>
      <c r="B786" s="195" t="s">
        <v>6902</v>
      </c>
      <c r="C786" s="196" t="s">
        <v>6903</v>
      </c>
      <c r="D786" s="146" t="s">
        <v>4692</v>
      </c>
      <c r="E786" s="196" t="s">
        <v>6903</v>
      </c>
      <c r="F786" s="150">
        <v>3222.04</v>
      </c>
      <c r="G786" s="209">
        <v>0</v>
      </c>
      <c r="H786" s="209"/>
      <c r="I786" s="209">
        <v>0</v>
      </c>
      <c r="J786" s="150">
        <v>0</v>
      </c>
      <c r="K786" s="150">
        <v>0</v>
      </c>
      <c r="L786" s="150">
        <f t="shared" si="897"/>
        <v>0</v>
      </c>
      <c r="M786" s="150">
        <v>0</v>
      </c>
      <c r="N786" s="150"/>
      <c r="O786" s="150">
        <v>0</v>
      </c>
      <c r="P786" s="150">
        <v>0</v>
      </c>
      <c r="Q786" s="150">
        <v>0</v>
      </c>
      <c r="R786" s="150">
        <f t="shared" si="882"/>
        <v>0</v>
      </c>
      <c r="S786" s="150">
        <f t="shared" si="892"/>
        <v>0</v>
      </c>
      <c r="T786" s="150"/>
      <c r="U786" s="150">
        <v>0</v>
      </c>
      <c r="V786" s="199"/>
      <c r="W786" s="150">
        <f t="shared" si="883"/>
        <v>0</v>
      </c>
      <c r="X786" s="150">
        <v>0</v>
      </c>
      <c r="Y786" s="150"/>
      <c r="Z786" s="150">
        <v>0</v>
      </c>
      <c r="AA786" s="150">
        <f t="shared" si="893"/>
        <v>0</v>
      </c>
      <c r="AB786" s="150">
        <v>0</v>
      </c>
      <c r="AC786" s="199"/>
      <c r="AD786" s="150">
        <f t="shared" si="884"/>
        <v>0</v>
      </c>
      <c r="AE786" s="150">
        <v>0</v>
      </c>
      <c r="AF786" s="169" t="s">
        <v>4680</v>
      </c>
      <c r="AG786" s="201">
        <v>0</v>
      </c>
      <c r="AH786" s="199"/>
      <c r="AI786" s="150">
        <v>0</v>
      </c>
      <c r="AJ786" s="169">
        <f t="shared" si="894"/>
        <v>0</v>
      </c>
      <c r="AK786" s="201">
        <v>0</v>
      </c>
      <c r="AL786" s="199"/>
      <c r="AM786" s="150">
        <f t="shared" si="885"/>
        <v>0</v>
      </c>
      <c r="AN786" s="153">
        <f t="shared" si="895"/>
        <v>0</v>
      </c>
      <c r="AO786" s="154">
        <f t="shared" si="896"/>
        <v>0</v>
      </c>
      <c r="AP786" s="150">
        <v>0</v>
      </c>
      <c r="AQ786" s="201">
        <v>0</v>
      </c>
      <c r="AR786" s="199"/>
      <c r="AS786" s="150">
        <f t="shared" si="886"/>
        <v>0</v>
      </c>
      <c r="AT786" s="155"/>
      <c r="AU786" s="156">
        <f t="shared" si="890"/>
        <v>0</v>
      </c>
      <c r="AV786" s="156">
        <f t="shared" si="891"/>
        <v>0</v>
      </c>
      <c r="AW786" s="157"/>
      <c r="AX786" s="150">
        <v>0</v>
      </c>
      <c r="AY786" s="150">
        <v>0</v>
      </c>
      <c r="AZ786" s="150"/>
      <c r="BA786" s="150">
        <f t="shared" si="887"/>
        <v>0</v>
      </c>
      <c r="BB786" s="202">
        <v>5</v>
      </c>
      <c r="BC786" s="202" t="s">
        <v>647</v>
      </c>
      <c r="BD786" s="202" t="s">
        <v>632</v>
      </c>
      <c r="BE786" s="202" t="s">
        <v>1243</v>
      </c>
      <c r="BF786" s="194" t="s">
        <v>1867</v>
      </c>
      <c r="BG786" s="231" t="s">
        <v>6903</v>
      </c>
      <c r="BH786" s="216">
        <f t="shared" si="888"/>
        <v>0</v>
      </c>
      <c r="BI786" s="205"/>
      <c r="BJ786" s="206" t="s">
        <v>6837</v>
      </c>
      <c r="BK786" s="206" t="s">
        <v>383</v>
      </c>
      <c r="BL786" s="207" t="s">
        <v>6838</v>
      </c>
      <c r="BM786" s="208">
        <f t="shared" si="889"/>
        <v>0</v>
      </c>
      <c r="BN786" s="160"/>
      <c r="BO786" s="161">
        <f t="shared" si="852"/>
        <v>0</v>
      </c>
      <c r="BP786" s="161"/>
    </row>
    <row r="787" spans="1:68" ht="38.25">
      <c r="A787" s="206" t="s">
        <v>384</v>
      </c>
      <c r="B787" s="195" t="s">
        <v>6904</v>
      </c>
      <c r="C787" s="196" t="s">
        <v>6905</v>
      </c>
      <c r="D787" s="146" t="s">
        <v>4692</v>
      </c>
      <c r="E787" s="196" t="s">
        <v>6905</v>
      </c>
      <c r="F787" s="150">
        <v>8420.4</v>
      </c>
      <c r="G787" s="209">
        <v>2568163.29</v>
      </c>
      <c r="H787" s="209">
        <v>0</v>
      </c>
      <c r="I787" s="209">
        <v>2568163.29</v>
      </c>
      <c r="J787" s="150">
        <v>0</v>
      </c>
      <c r="K787" s="150">
        <v>0</v>
      </c>
      <c r="L787" s="150">
        <f t="shared" si="897"/>
        <v>0</v>
      </c>
      <c r="M787" s="150">
        <v>0</v>
      </c>
      <c r="N787" s="150"/>
      <c r="O787" s="150">
        <v>0</v>
      </c>
      <c r="P787" s="150">
        <v>0</v>
      </c>
      <c r="Q787" s="150">
        <v>0</v>
      </c>
      <c r="R787" s="150">
        <f t="shared" si="882"/>
        <v>0</v>
      </c>
      <c r="S787" s="150">
        <f t="shared" si="892"/>
        <v>0</v>
      </c>
      <c r="T787" s="150"/>
      <c r="U787" s="150">
        <v>0</v>
      </c>
      <c r="V787" s="199"/>
      <c r="W787" s="150">
        <f t="shared" si="883"/>
        <v>0</v>
      </c>
      <c r="X787" s="150">
        <v>0</v>
      </c>
      <c r="Y787" s="150"/>
      <c r="Z787" s="150">
        <v>0</v>
      </c>
      <c r="AA787" s="150">
        <f t="shared" si="893"/>
        <v>0</v>
      </c>
      <c r="AB787" s="150">
        <v>0</v>
      </c>
      <c r="AC787" s="199"/>
      <c r="AD787" s="150">
        <f t="shared" si="884"/>
        <v>0</v>
      </c>
      <c r="AE787" s="150">
        <v>0</v>
      </c>
      <c r="AF787" s="169" t="s">
        <v>4680</v>
      </c>
      <c r="AG787" s="201">
        <v>0</v>
      </c>
      <c r="AH787" s="199"/>
      <c r="AI787" s="150">
        <v>0</v>
      </c>
      <c r="AJ787" s="169">
        <f t="shared" si="894"/>
        <v>0</v>
      </c>
      <c r="AK787" s="201">
        <v>0</v>
      </c>
      <c r="AL787" s="199"/>
      <c r="AM787" s="150">
        <f t="shared" si="885"/>
        <v>0</v>
      </c>
      <c r="AN787" s="153">
        <f t="shared" si="895"/>
        <v>0</v>
      </c>
      <c r="AO787" s="154">
        <f t="shared" si="896"/>
        <v>0</v>
      </c>
      <c r="AP787" s="150">
        <v>0</v>
      </c>
      <c r="AQ787" s="201">
        <v>0</v>
      </c>
      <c r="AR787" s="199"/>
      <c r="AS787" s="150">
        <f t="shared" si="886"/>
        <v>0</v>
      </c>
      <c r="AT787" s="155"/>
      <c r="AU787" s="156">
        <f t="shared" si="890"/>
        <v>0</v>
      </c>
      <c r="AV787" s="156">
        <f t="shared" si="891"/>
        <v>0</v>
      </c>
      <c r="AW787" s="157"/>
      <c r="AX787" s="150">
        <v>0</v>
      </c>
      <c r="AY787" s="150">
        <v>0</v>
      </c>
      <c r="AZ787" s="150"/>
      <c r="BA787" s="150">
        <f t="shared" si="887"/>
        <v>0</v>
      </c>
      <c r="BB787" s="202">
        <v>5</v>
      </c>
      <c r="BC787" s="202" t="s">
        <v>647</v>
      </c>
      <c r="BD787" s="202" t="s">
        <v>632</v>
      </c>
      <c r="BE787" s="202" t="s">
        <v>1243</v>
      </c>
      <c r="BF787" s="194" t="s">
        <v>1765</v>
      </c>
      <c r="BG787" s="231" t="s">
        <v>6905</v>
      </c>
      <c r="BH787" s="216">
        <f t="shared" si="888"/>
        <v>0</v>
      </c>
      <c r="BI787" s="206" t="s">
        <v>1349</v>
      </c>
      <c r="BJ787" s="206" t="s">
        <v>6841</v>
      </c>
      <c r="BK787" s="206" t="s">
        <v>384</v>
      </c>
      <c r="BL787" s="306" t="s">
        <v>6842</v>
      </c>
      <c r="BM787" s="208">
        <f t="shared" si="889"/>
        <v>0</v>
      </c>
      <c r="BN787" s="160"/>
      <c r="BO787" s="161">
        <f t="shared" si="852"/>
        <v>0</v>
      </c>
      <c r="BP787" s="161"/>
    </row>
    <row r="788" spans="1:68" ht="38.25">
      <c r="A788" s="192" t="s">
        <v>6906</v>
      </c>
      <c r="B788" s="184"/>
      <c r="C788" s="185" t="s">
        <v>6907</v>
      </c>
      <c r="D788" s="146" t="s">
        <v>4692</v>
      </c>
      <c r="E788" s="185" t="s">
        <v>6907</v>
      </c>
      <c r="F788" s="188">
        <v>2638358.94</v>
      </c>
      <c r="G788" s="187">
        <v>64301.7</v>
      </c>
      <c r="H788" s="187"/>
      <c r="I788" s="187">
        <v>64301.7</v>
      </c>
      <c r="J788" s="188">
        <f>SUM(J789:J876)</f>
        <v>451991.51999999996</v>
      </c>
      <c r="K788" s="188">
        <f>SUM(K789:K876)</f>
        <v>0</v>
      </c>
      <c r="L788" s="188">
        <f t="shared" si="897"/>
        <v>451991.51999999996</v>
      </c>
      <c r="M788" s="188">
        <v>1363004.8699999999</v>
      </c>
      <c r="N788" s="188">
        <v>0</v>
      </c>
      <c r="O788" s="188">
        <v>1363004.8699999999</v>
      </c>
      <c r="P788" s="299">
        <f t="shared" ref="P788:AD788" si="898">SUM(P789:P876)</f>
        <v>2062060.21</v>
      </c>
      <c r="Q788" s="299">
        <f t="shared" si="898"/>
        <v>0</v>
      </c>
      <c r="R788" s="299">
        <f t="shared" si="898"/>
        <v>2062060.21</v>
      </c>
      <c r="S788" s="150">
        <f t="shared" si="892"/>
        <v>2749413.6133333333</v>
      </c>
      <c r="T788" s="213"/>
      <c r="U788" s="299">
        <f t="shared" ref="U788:W788" si="899">SUM(U789:U876)</f>
        <v>2981306.9199999995</v>
      </c>
      <c r="V788" s="226">
        <f t="shared" si="899"/>
        <v>0</v>
      </c>
      <c r="W788" s="299">
        <f t="shared" si="899"/>
        <v>2981306.9199999995</v>
      </c>
      <c r="X788" s="299">
        <v>2981306.9199999995</v>
      </c>
      <c r="Y788" s="299">
        <v>0</v>
      </c>
      <c r="Z788" s="299">
        <v>2981306.9199999995</v>
      </c>
      <c r="AA788" s="299">
        <f t="shared" si="893"/>
        <v>0</v>
      </c>
      <c r="AB788" s="299">
        <v>2981306.9199999995</v>
      </c>
      <c r="AC788" s="226">
        <v>0</v>
      </c>
      <c r="AD788" s="299">
        <f t="shared" si="898"/>
        <v>2981306.9199999995</v>
      </c>
      <c r="AE788" s="299">
        <v>3019139.1899999995</v>
      </c>
      <c r="AF788" s="169" t="s">
        <v>4680</v>
      </c>
      <c r="AG788" s="301">
        <v>3019139.1899999995</v>
      </c>
      <c r="AH788" s="226">
        <v>0</v>
      </c>
      <c r="AI788" s="299">
        <v>3019139.1899999995</v>
      </c>
      <c r="AJ788" s="169">
        <f t="shared" si="894"/>
        <v>0</v>
      </c>
      <c r="AK788" s="301">
        <v>3019139.1899999995</v>
      </c>
      <c r="AL788" s="226">
        <v>0</v>
      </c>
      <c r="AM788" s="299">
        <f t="shared" ref="AM788" si="900">SUM(AM789:AM876)</f>
        <v>3019139.1899999995</v>
      </c>
      <c r="AN788" s="153">
        <f t="shared" si="895"/>
        <v>0</v>
      </c>
      <c r="AO788" s="154">
        <f t="shared" si="896"/>
        <v>0</v>
      </c>
      <c r="AP788" s="299">
        <v>3019139.1899999995</v>
      </c>
      <c r="AQ788" s="301">
        <v>3019139.1899999995</v>
      </c>
      <c r="AR788" s="226">
        <f t="shared" ref="AR788:AS788" si="901">SUM(AR789:AR876)</f>
        <v>0</v>
      </c>
      <c r="AS788" s="299">
        <f t="shared" si="901"/>
        <v>3019139.1899999995</v>
      </c>
      <c r="AT788" s="155"/>
      <c r="AU788" s="156">
        <f t="shared" si="890"/>
        <v>37832.270000000019</v>
      </c>
      <c r="AV788" s="156">
        <f t="shared" si="891"/>
        <v>0</v>
      </c>
      <c r="AW788" s="157" t="s">
        <v>6908</v>
      </c>
      <c r="AX788" s="150">
        <v>2981306.9199999995</v>
      </c>
      <c r="AY788" s="299">
        <f t="shared" ref="AY788:BA788" si="902">SUM(AY789:AY876)</f>
        <v>1663978.8600000003</v>
      </c>
      <c r="AZ788" s="299">
        <f t="shared" si="902"/>
        <v>1188555.96</v>
      </c>
      <c r="BA788" s="299">
        <f t="shared" si="902"/>
        <v>2852534.8200000003</v>
      </c>
      <c r="BB788" s="192">
        <v>5</v>
      </c>
      <c r="BC788" s="256" t="s">
        <v>647</v>
      </c>
      <c r="BD788" s="256" t="s">
        <v>632</v>
      </c>
      <c r="BE788" s="256" t="s">
        <v>1247</v>
      </c>
      <c r="BF788" s="256" t="s">
        <v>630</v>
      </c>
      <c r="BG788" s="185" t="s">
        <v>6907</v>
      </c>
      <c r="BH788" s="302">
        <f>SUM(BH789:BH876)</f>
        <v>3019139.1899999995</v>
      </c>
      <c r="BI788" s="192"/>
      <c r="BJ788" s="256" t="s">
        <v>6909</v>
      </c>
      <c r="BK788" s="192" t="s">
        <v>6906</v>
      </c>
      <c r="BL788" s="185" t="s">
        <v>6910</v>
      </c>
      <c r="BM788" s="302">
        <f>SUM(BM789:BM876)</f>
        <v>3019139.1899999995</v>
      </c>
      <c r="BN788" s="160"/>
      <c r="BO788" s="161">
        <f t="shared" si="852"/>
        <v>0</v>
      </c>
      <c r="BP788" s="161"/>
    </row>
    <row r="789" spans="1:68" ht="51">
      <c r="A789" s="206" t="s">
        <v>539</v>
      </c>
      <c r="B789" s="195" t="s">
        <v>6911</v>
      </c>
      <c r="C789" s="196" t="s">
        <v>6912</v>
      </c>
      <c r="D789" s="146" t="s">
        <v>4692</v>
      </c>
      <c r="E789" s="196" t="s">
        <v>6912</v>
      </c>
      <c r="F789" s="150">
        <v>64301.7</v>
      </c>
      <c r="G789" s="209">
        <v>99465.8</v>
      </c>
      <c r="H789" s="209"/>
      <c r="I789" s="209">
        <v>99465.8</v>
      </c>
      <c r="J789" s="150">
        <v>14516</v>
      </c>
      <c r="K789" s="150">
        <v>0</v>
      </c>
      <c r="L789" s="150">
        <f t="shared" si="897"/>
        <v>14516</v>
      </c>
      <c r="M789" s="150">
        <v>46105.5</v>
      </c>
      <c r="N789" s="150"/>
      <c r="O789" s="150">
        <v>46105.5</v>
      </c>
      <c r="P789" s="150">
        <v>67898</v>
      </c>
      <c r="Q789" s="150">
        <v>0</v>
      </c>
      <c r="R789" s="150">
        <f t="shared" ref="R789:R852" si="903">P789+Q789</f>
        <v>67898</v>
      </c>
      <c r="S789" s="150">
        <f t="shared" si="892"/>
        <v>90530.666666666672</v>
      </c>
      <c r="T789" s="150"/>
      <c r="U789" s="150">
        <v>101820.5</v>
      </c>
      <c r="V789" s="199"/>
      <c r="W789" s="150">
        <f t="shared" ref="W789:W852" si="904">U789+V789</f>
        <v>101820.5</v>
      </c>
      <c r="X789" s="150">
        <v>101820.5</v>
      </c>
      <c r="Y789" s="150"/>
      <c r="Z789" s="150">
        <v>101820.5</v>
      </c>
      <c r="AA789" s="150">
        <f t="shared" si="893"/>
        <v>0</v>
      </c>
      <c r="AB789" s="150">
        <v>101820.5</v>
      </c>
      <c r="AC789" s="199"/>
      <c r="AD789" s="150">
        <f t="shared" ref="AD789:AD852" si="905">AB789+AC789</f>
        <v>101820.5</v>
      </c>
      <c r="AE789" s="150">
        <v>101820.5</v>
      </c>
      <c r="AF789" s="169" t="s">
        <v>4680</v>
      </c>
      <c r="AG789" s="201">
        <v>101820.5</v>
      </c>
      <c r="AH789" s="199"/>
      <c r="AI789" s="150">
        <v>101820.5</v>
      </c>
      <c r="AJ789" s="169">
        <f t="shared" si="894"/>
        <v>0</v>
      </c>
      <c r="AK789" s="201">
        <v>101820.5</v>
      </c>
      <c r="AL789" s="199"/>
      <c r="AM789" s="150">
        <f t="shared" ref="AM789:AM852" si="906">AK789+AL789</f>
        <v>101820.5</v>
      </c>
      <c r="AN789" s="153">
        <f t="shared" si="895"/>
        <v>0</v>
      </c>
      <c r="AO789" s="154">
        <f t="shared" si="896"/>
        <v>0</v>
      </c>
      <c r="AP789" s="150">
        <v>101820.5</v>
      </c>
      <c r="AQ789" s="201">
        <v>101820.5</v>
      </c>
      <c r="AR789" s="199"/>
      <c r="AS789" s="150">
        <f t="shared" ref="AS789:AS852" si="907">AQ789+AR789</f>
        <v>101820.5</v>
      </c>
      <c r="AT789" s="155"/>
      <c r="AU789" s="156">
        <f t="shared" si="890"/>
        <v>0</v>
      </c>
      <c r="AV789" s="156">
        <f t="shared" si="891"/>
        <v>0</v>
      </c>
      <c r="AW789" s="157"/>
      <c r="AX789" s="150">
        <v>101820.5</v>
      </c>
      <c r="AY789" s="150">
        <v>55693</v>
      </c>
      <c r="AZ789" s="237">
        <v>17672.5</v>
      </c>
      <c r="BA789" s="150">
        <f t="shared" si="887"/>
        <v>73365.5</v>
      </c>
      <c r="BB789" s="202">
        <v>5</v>
      </c>
      <c r="BC789" s="202" t="s">
        <v>647</v>
      </c>
      <c r="BD789" s="202" t="s">
        <v>632</v>
      </c>
      <c r="BE789" s="202" t="s">
        <v>1247</v>
      </c>
      <c r="BF789" s="202" t="s">
        <v>632</v>
      </c>
      <c r="BG789" s="203" t="s">
        <v>6913</v>
      </c>
      <c r="BH789" s="216">
        <f>SUM(AS789:AS791)</f>
        <v>229000</v>
      </c>
      <c r="BI789" s="205">
        <f>BH789/7*12</f>
        <v>392571.42857142858</v>
      </c>
      <c r="BJ789" s="206" t="s">
        <v>6914</v>
      </c>
      <c r="BK789" s="206" t="s">
        <v>539</v>
      </c>
      <c r="BL789" s="207" t="s">
        <v>6915</v>
      </c>
      <c r="BM789" s="208">
        <f>BH789</f>
        <v>229000</v>
      </c>
      <c r="BN789" s="160"/>
      <c r="BO789" s="161">
        <f t="shared" si="852"/>
        <v>127179.5</v>
      </c>
      <c r="BP789" s="161"/>
    </row>
    <row r="790" spans="1:68" ht="51">
      <c r="A790" s="210"/>
      <c r="B790" s="195" t="s">
        <v>6916</v>
      </c>
      <c r="C790" s="196" t="s">
        <v>6917</v>
      </c>
      <c r="D790" s="146" t="s">
        <v>4692</v>
      </c>
      <c r="E790" s="196" t="s">
        <v>6917</v>
      </c>
      <c r="F790" s="150">
        <v>99465.8</v>
      </c>
      <c r="G790" s="209">
        <v>0</v>
      </c>
      <c r="H790" s="209"/>
      <c r="I790" s="209">
        <v>0</v>
      </c>
      <c r="J790" s="150">
        <v>23956.5</v>
      </c>
      <c r="K790" s="150">
        <v>0</v>
      </c>
      <c r="L790" s="150">
        <f t="shared" si="897"/>
        <v>23956.5</v>
      </c>
      <c r="M790" s="150">
        <v>66349.5</v>
      </c>
      <c r="N790" s="150"/>
      <c r="O790" s="150">
        <v>66349.5</v>
      </c>
      <c r="P790" s="150">
        <v>91934.5</v>
      </c>
      <c r="Q790" s="150">
        <v>0</v>
      </c>
      <c r="R790" s="150">
        <f t="shared" si="903"/>
        <v>91934.5</v>
      </c>
      <c r="S790" s="150">
        <f t="shared" si="892"/>
        <v>122579.33333333334</v>
      </c>
      <c r="T790" s="150"/>
      <c r="U790" s="150">
        <v>127179.5</v>
      </c>
      <c r="V790" s="199"/>
      <c r="W790" s="150">
        <f t="shared" si="904"/>
        <v>127179.5</v>
      </c>
      <c r="X790" s="150">
        <v>127179.5</v>
      </c>
      <c r="Y790" s="150"/>
      <c r="Z790" s="150">
        <v>127179.5</v>
      </c>
      <c r="AA790" s="150">
        <f t="shared" si="893"/>
        <v>0</v>
      </c>
      <c r="AB790" s="150">
        <v>127179.5</v>
      </c>
      <c r="AC790" s="199"/>
      <c r="AD790" s="150">
        <f t="shared" si="905"/>
        <v>127179.5</v>
      </c>
      <c r="AE790" s="150">
        <v>127179.5</v>
      </c>
      <c r="AF790" s="169" t="s">
        <v>4680</v>
      </c>
      <c r="AG790" s="201">
        <v>127179.5</v>
      </c>
      <c r="AH790" s="199"/>
      <c r="AI790" s="150">
        <v>127179.5</v>
      </c>
      <c r="AJ790" s="169">
        <f t="shared" si="894"/>
        <v>0</v>
      </c>
      <c r="AK790" s="201">
        <v>127179.5</v>
      </c>
      <c r="AL790" s="199"/>
      <c r="AM790" s="150">
        <f t="shared" si="906"/>
        <v>127179.5</v>
      </c>
      <c r="AN790" s="153">
        <f t="shared" si="895"/>
        <v>0</v>
      </c>
      <c r="AO790" s="154">
        <f t="shared" si="896"/>
        <v>0</v>
      </c>
      <c r="AP790" s="150">
        <v>127179.5</v>
      </c>
      <c r="AQ790" s="201">
        <v>127179.5</v>
      </c>
      <c r="AR790" s="199"/>
      <c r="AS790" s="150">
        <f t="shared" si="907"/>
        <v>127179.5</v>
      </c>
      <c r="AT790" s="155"/>
      <c r="AU790" s="156">
        <f t="shared" si="890"/>
        <v>0</v>
      </c>
      <c r="AV790" s="156">
        <f t="shared" si="891"/>
        <v>0</v>
      </c>
      <c r="AW790" s="157"/>
      <c r="AX790" s="150">
        <v>127179.5</v>
      </c>
      <c r="AY790" s="150">
        <v>72792</v>
      </c>
      <c r="AZ790" s="237">
        <v>17672.5</v>
      </c>
      <c r="BA790" s="150">
        <f t="shared" si="887"/>
        <v>90464.5</v>
      </c>
      <c r="BB790" s="210"/>
      <c r="BC790" s="210"/>
      <c r="BD790" s="210"/>
      <c r="BE790" s="210"/>
      <c r="BF790" s="210"/>
      <c r="BG790" s="210"/>
      <c r="BH790" s="217"/>
      <c r="BI790" s="210"/>
      <c r="BJ790" s="210"/>
      <c r="BK790" s="210"/>
      <c r="BL790" s="210"/>
      <c r="BM790" s="208"/>
      <c r="BN790" s="160"/>
      <c r="BO790" s="161">
        <f t="shared" si="852"/>
        <v>-127179.5</v>
      </c>
      <c r="BP790" s="161"/>
    </row>
    <row r="791" spans="1:68" ht="38.25">
      <c r="A791" s="210"/>
      <c r="B791" s="195" t="s">
        <v>6918</v>
      </c>
      <c r="C791" s="196" t="s">
        <v>6919</v>
      </c>
      <c r="D791" s="146" t="s">
        <v>4692</v>
      </c>
      <c r="E791" s="196" t="s">
        <v>6919</v>
      </c>
      <c r="F791" s="150">
        <v>0</v>
      </c>
      <c r="G791" s="209">
        <v>0</v>
      </c>
      <c r="H791" s="209"/>
      <c r="I791" s="209">
        <v>0</v>
      </c>
      <c r="J791" s="150">
        <v>0</v>
      </c>
      <c r="K791" s="150">
        <v>0</v>
      </c>
      <c r="L791" s="150">
        <f t="shared" si="897"/>
        <v>0</v>
      </c>
      <c r="M791" s="150">
        <v>0</v>
      </c>
      <c r="N791" s="150"/>
      <c r="O791" s="150">
        <v>0</v>
      </c>
      <c r="P791" s="150">
        <v>0</v>
      </c>
      <c r="Q791" s="150">
        <v>0</v>
      </c>
      <c r="R791" s="150">
        <f t="shared" si="903"/>
        <v>0</v>
      </c>
      <c r="S791" s="150">
        <f t="shared" si="892"/>
        <v>0</v>
      </c>
      <c r="T791" s="150"/>
      <c r="U791" s="150">
        <v>0</v>
      </c>
      <c r="V791" s="199"/>
      <c r="W791" s="150">
        <f t="shared" si="904"/>
        <v>0</v>
      </c>
      <c r="X791" s="150">
        <v>0</v>
      </c>
      <c r="Y791" s="150"/>
      <c r="Z791" s="150">
        <v>0</v>
      </c>
      <c r="AA791" s="150">
        <f t="shared" si="893"/>
        <v>0</v>
      </c>
      <c r="AB791" s="150">
        <v>0</v>
      </c>
      <c r="AC791" s="199"/>
      <c r="AD791" s="150">
        <f t="shared" si="905"/>
        <v>0</v>
      </c>
      <c r="AE791" s="150">
        <v>0</v>
      </c>
      <c r="AF791" s="169" t="s">
        <v>4680</v>
      </c>
      <c r="AG791" s="201">
        <v>0</v>
      </c>
      <c r="AH791" s="199"/>
      <c r="AI791" s="150">
        <v>0</v>
      </c>
      <c r="AJ791" s="169">
        <f t="shared" si="894"/>
        <v>0</v>
      </c>
      <c r="AK791" s="201">
        <v>0</v>
      </c>
      <c r="AL791" s="199"/>
      <c r="AM791" s="150">
        <f t="shared" si="906"/>
        <v>0</v>
      </c>
      <c r="AN791" s="153">
        <f t="shared" si="895"/>
        <v>0</v>
      </c>
      <c r="AO791" s="154">
        <f t="shared" si="896"/>
        <v>0</v>
      </c>
      <c r="AP791" s="150">
        <v>0</v>
      </c>
      <c r="AQ791" s="201">
        <v>0</v>
      </c>
      <c r="AR791" s="199"/>
      <c r="AS791" s="150">
        <f t="shared" si="907"/>
        <v>0</v>
      </c>
      <c r="AT791" s="155"/>
      <c r="AU791" s="156">
        <f t="shared" si="890"/>
        <v>0</v>
      </c>
      <c r="AV791" s="156">
        <f t="shared" si="891"/>
        <v>0</v>
      </c>
      <c r="AW791" s="157"/>
      <c r="AX791" s="150">
        <v>0</v>
      </c>
      <c r="AY791" s="150">
        <v>0</v>
      </c>
      <c r="AZ791" s="150"/>
      <c r="BA791" s="150">
        <f t="shared" si="887"/>
        <v>0</v>
      </c>
      <c r="BB791" s="210"/>
      <c r="BC791" s="210"/>
      <c r="BD791" s="210"/>
      <c r="BE791" s="210"/>
      <c r="BF791" s="210"/>
      <c r="BG791" s="210"/>
      <c r="BH791" s="217"/>
      <c r="BI791" s="210"/>
      <c r="BJ791" s="210"/>
      <c r="BK791" s="210"/>
      <c r="BL791" s="210"/>
      <c r="BM791" s="208"/>
      <c r="BN791" s="160"/>
      <c r="BO791" s="161">
        <f t="shared" si="852"/>
        <v>0</v>
      </c>
      <c r="BP791" s="161"/>
    </row>
    <row r="792" spans="1:68" ht="51">
      <c r="A792" s="206" t="s">
        <v>539</v>
      </c>
      <c r="B792" s="195" t="s">
        <v>6920</v>
      </c>
      <c r="C792" s="196" t="s">
        <v>6921</v>
      </c>
      <c r="D792" s="146" t="s">
        <v>4692</v>
      </c>
      <c r="E792" s="196" t="s">
        <v>6921</v>
      </c>
      <c r="F792" s="150">
        <v>0</v>
      </c>
      <c r="G792" s="209">
        <v>0</v>
      </c>
      <c r="H792" s="209"/>
      <c r="I792" s="209">
        <v>0</v>
      </c>
      <c r="J792" s="150">
        <v>0</v>
      </c>
      <c r="K792" s="150">
        <v>0</v>
      </c>
      <c r="L792" s="150">
        <f t="shared" si="897"/>
        <v>0</v>
      </c>
      <c r="M792" s="150">
        <v>0</v>
      </c>
      <c r="N792" s="150"/>
      <c r="O792" s="150">
        <v>0</v>
      </c>
      <c r="P792" s="150">
        <v>0</v>
      </c>
      <c r="Q792" s="150">
        <v>0</v>
      </c>
      <c r="R792" s="150">
        <f t="shared" si="903"/>
        <v>0</v>
      </c>
      <c r="S792" s="150">
        <f t="shared" si="892"/>
        <v>0</v>
      </c>
      <c r="T792" s="150"/>
      <c r="U792" s="150">
        <v>0</v>
      </c>
      <c r="V792" s="199"/>
      <c r="W792" s="150">
        <f t="shared" si="904"/>
        <v>0</v>
      </c>
      <c r="X792" s="150">
        <v>0</v>
      </c>
      <c r="Y792" s="150"/>
      <c r="Z792" s="150">
        <v>0</v>
      </c>
      <c r="AA792" s="150">
        <f t="shared" si="893"/>
        <v>0</v>
      </c>
      <c r="AB792" s="150">
        <v>0</v>
      </c>
      <c r="AC792" s="199"/>
      <c r="AD792" s="150">
        <f t="shared" si="905"/>
        <v>0</v>
      </c>
      <c r="AE792" s="150">
        <v>0</v>
      </c>
      <c r="AF792" s="169" t="s">
        <v>4680</v>
      </c>
      <c r="AG792" s="201">
        <v>0</v>
      </c>
      <c r="AH792" s="199"/>
      <c r="AI792" s="150">
        <v>0</v>
      </c>
      <c r="AJ792" s="169">
        <f t="shared" si="894"/>
        <v>0</v>
      </c>
      <c r="AK792" s="201">
        <v>0</v>
      </c>
      <c r="AL792" s="199"/>
      <c r="AM792" s="150">
        <f t="shared" si="906"/>
        <v>0</v>
      </c>
      <c r="AN792" s="153">
        <f t="shared" si="895"/>
        <v>0</v>
      </c>
      <c r="AO792" s="154">
        <f t="shared" si="896"/>
        <v>0</v>
      </c>
      <c r="AP792" s="150">
        <v>0</v>
      </c>
      <c r="AQ792" s="201">
        <v>0</v>
      </c>
      <c r="AR792" s="199"/>
      <c r="AS792" s="150">
        <f t="shared" si="907"/>
        <v>0</v>
      </c>
      <c r="AT792" s="155"/>
      <c r="AU792" s="156">
        <f t="shared" si="890"/>
        <v>0</v>
      </c>
      <c r="AV792" s="156">
        <f t="shared" si="891"/>
        <v>0</v>
      </c>
      <c r="AW792" s="157"/>
      <c r="AX792" s="150">
        <v>0</v>
      </c>
      <c r="AY792" s="150">
        <v>0</v>
      </c>
      <c r="AZ792" s="150"/>
      <c r="BA792" s="150">
        <f t="shared" si="887"/>
        <v>0</v>
      </c>
      <c r="BB792" s="202">
        <v>5</v>
      </c>
      <c r="BC792" s="202" t="s">
        <v>647</v>
      </c>
      <c r="BD792" s="202" t="s">
        <v>632</v>
      </c>
      <c r="BE792" s="202" t="s">
        <v>1247</v>
      </c>
      <c r="BF792" s="194" t="s">
        <v>647</v>
      </c>
      <c r="BG792" s="203" t="s">
        <v>6922</v>
      </c>
      <c r="BH792" s="216">
        <f>SUM(AS792:AS801)</f>
        <v>0</v>
      </c>
      <c r="BI792" s="205">
        <f>BH792/7*12</f>
        <v>0</v>
      </c>
      <c r="BJ792" s="206" t="s">
        <v>6914</v>
      </c>
      <c r="BK792" s="206" t="s">
        <v>539</v>
      </c>
      <c r="BL792" s="207" t="s">
        <v>6915</v>
      </c>
      <c r="BM792" s="208">
        <f>BH792</f>
        <v>0</v>
      </c>
      <c r="BN792" s="160"/>
      <c r="BO792" s="161">
        <f t="shared" si="852"/>
        <v>0</v>
      </c>
      <c r="BP792" s="161"/>
    </row>
    <row r="793" spans="1:68" ht="38.25">
      <c r="A793" s="210"/>
      <c r="B793" s="195" t="s">
        <v>6923</v>
      </c>
      <c r="C793" s="196" t="s">
        <v>6924</v>
      </c>
      <c r="D793" s="146" t="s">
        <v>4692</v>
      </c>
      <c r="E793" s="196" t="s">
        <v>6924</v>
      </c>
      <c r="F793" s="150">
        <v>0</v>
      </c>
      <c r="G793" s="209">
        <v>0</v>
      </c>
      <c r="H793" s="209"/>
      <c r="I793" s="209">
        <v>0</v>
      </c>
      <c r="J793" s="150">
        <v>0</v>
      </c>
      <c r="K793" s="150">
        <v>0</v>
      </c>
      <c r="L793" s="150">
        <f t="shared" si="897"/>
        <v>0</v>
      </c>
      <c r="M793" s="150">
        <v>0</v>
      </c>
      <c r="N793" s="150"/>
      <c r="O793" s="150">
        <v>0</v>
      </c>
      <c r="P793" s="150">
        <v>0</v>
      </c>
      <c r="Q793" s="150">
        <v>0</v>
      </c>
      <c r="R793" s="150">
        <f t="shared" si="903"/>
        <v>0</v>
      </c>
      <c r="S793" s="150">
        <f t="shared" si="892"/>
        <v>0</v>
      </c>
      <c r="T793" s="150"/>
      <c r="U793" s="150">
        <v>0</v>
      </c>
      <c r="V793" s="199"/>
      <c r="W793" s="150">
        <f t="shared" si="904"/>
        <v>0</v>
      </c>
      <c r="X793" s="150">
        <v>0</v>
      </c>
      <c r="Y793" s="150"/>
      <c r="Z793" s="150">
        <v>0</v>
      </c>
      <c r="AA793" s="150">
        <f t="shared" si="893"/>
        <v>0</v>
      </c>
      <c r="AB793" s="150">
        <v>0</v>
      </c>
      <c r="AC793" s="199"/>
      <c r="AD793" s="150">
        <f t="shared" si="905"/>
        <v>0</v>
      </c>
      <c r="AE793" s="150">
        <v>0</v>
      </c>
      <c r="AF793" s="169" t="s">
        <v>4680</v>
      </c>
      <c r="AG793" s="201">
        <v>0</v>
      </c>
      <c r="AH793" s="199"/>
      <c r="AI793" s="150">
        <v>0</v>
      </c>
      <c r="AJ793" s="169">
        <f t="shared" si="894"/>
        <v>0</v>
      </c>
      <c r="AK793" s="201">
        <v>0</v>
      </c>
      <c r="AL793" s="199"/>
      <c r="AM793" s="150">
        <f t="shared" si="906"/>
        <v>0</v>
      </c>
      <c r="AN793" s="153">
        <f t="shared" si="895"/>
        <v>0</v>
      </c>
      <c r="AO793" s="154">
        <f t="shared" si="896"/>
        <v>0</v>
      </c>
      <c r="AP793" s="150">
        <v>0</v>
      </c>
      <c r="AQ793" s="201">
        <v>0</v>
      </c>
      <c r="AR793" s="199"/>
      <c r="AS793" s="150">
        <f t="shared" si="907"/>
        <v>0</v>
      </c>
      <c r="AT793" s="155"/>
      <c r="AU793" s="156">
        <f t="shared" si="890"/>
        <v>0</v>
      </c>
      <c r="AV793" s="156">
        <f t="shared" si="891"/>
        <v>0</v>
      </c>
      <c r="AW793" s="157"/>
      <c r="AX793" s="150">
        <v>0</v>
      </c>
      <c r="AY793" s="150">
        <v>0</v>
      </c>
      <c r="AZ793" s="150"/>
      <c r="BA793" s="150">
        <f t="shared" si="887"/>
        <v>0</v>
      </c>
      <c r="BB793" s="210"/>
      <c r="BC793" s="210"/>
      <c r="BD793" s="210"/>
      <c r="BE793" s="210"/>
      <c r="BF793" s="210"/>
      <c r="BG793" s="210"/>
      <c r="BH793" s="217"/>
      <c r="BI793" s="210"/>
      <c r="BJ793" s="210"/>
      <c r="BK793" s="210"/>
      <c r="BL793" s="210"/>
      <c r="BM793" s="208"/>
      <c r="BN793" s="160"/>
      <c r="BO793" s="161">
        <f t="shared" si="852"/>
        <v>0</v>
      </c>
      <c r="BP793" s="161"/>
    </row>
    <row r="794" spans="1:68" ht="38.25">
      <c r="A794" s="210"/>
      <c r="B794" s="195" t="s">
        <v>6925</v>
      </c>
      <c r="C794" s="196" t="s">
        <v>6926</v>
      </c>
      <c r="D794" s="146" t="s">
        <v>4692</v>
      </c>
      <c r="E794" s="196" t="s">
        <v>6926</v>
      </c>
      <c r="F794" s="150">
        <v>0</v>
      </c>
      <c r="G794" s="209">
        <v>0</v>
      </c>
      <c r="H794" s="209"/>
      <c r="I794" s="209">
        <v>0</v>
      </c>
      <c r="J794" s="150">
        <v>0</v>
      </c>
      <c r="K794" s="150">
        <v>0</v>
      </c>
      <c r="L794" s="150">
        <f t="shared" si="897"/>
        <v>0</v>
      </c>
      <c r="M794" s="150">
        <v>0</v>
      </c>
      <c r="N794" s="150"/>
      <c r="O794" s="150">
        <v>0</v>
      </c>
      <c r="P794" s="150">
        <v>0</v>
      </c>
      <c r="Q794" s="150">
        <v>0</v>
      </c>
      <c r="R794" s="150">
        <f t="shared" si="903"/>
        <v>0</v>
      </c>
      <c r="S794" s="150">
        <f t="shared" si="892"/>
        <v>0</v>
      </c>
      <c r="T794" s="150"/>
      <c r="U794" s="150">
        <v>0</v>
      </c>
      <c r="V794" s="199"/>
      <c r="W794" s="150">
        <f t="shared" si="904"/>
        <v>0</v>
      </c>
      <c r="X794" s="150">
        <v>0</v>
      </c>
      <c r="Y794" s="150"/>
      <c r="Z794" s="150">
        <v>0</v>
      </c>
      <c r="AA794" s="150">
        <f t="shared" si="893"/>
        <v>0</v>
      </c>
      <c r="AB794" s="150">
        <v>0</v>
      </c>
      <c r="AC794" s="199"/>
      <c r="AD794" s="150">
        <f t="shared" si="905"/>
        <v>0</v>
      </c>
      <c r="AE794" s="150">
        <v>0</v>
      </c>
      <c r="AF794" s="169" t="s">
        <v>4680</v>
      </c>
      <c r="AG794" s="201">
        <v>0</v>
      </c>
      <c r="AH794" s="199"/>
      <c r="AI794" s="150">
        <v>0</v>
      </c>
      <c r="AJ794" s="169">
        <f t="shared" si="894"/>
        <v>0</v>
      </c>
      <c r="AK794" s="201">
        <v>0</v>
      </c>
      <c r="AL794" s="199"/>
      <c r="AM794" s="150">
        <f t="shared" si="906"/>
        <v>0</v>
      </c>
      <c r="AN794" s="153">
        <f t="shared" si="895"/>
        <v>0</v>
      </c>
      <c r="AO794" s="154">
        <f t="shared" si="896"/>
        <v>0</v>
      </c>
      <c r="AP794" s="150">
        <v>0</v>
      </c>
      <c r="AQ794" s="201">
        <v>0</v>
      </c>
      <c r="AR794" s="199"/>
      <c r="AS794" s="150">
        <f t="shared" si="907"/>
        <v>0</v>
      </c>
      <c r="AT794" s="155"/>
      <c r="AU794" s="156">
        <f t="shared" si="890"/>
        <v>0</v>
      </c>
      <c r="AV794" s="156">
        <f t="shared" si="891"/>
        <v>0</v>
      </c>
      <c r="AW794" s="157"/>
      <c r="AX794" s="150">
        <v>0</v>
      </c>
      <c r="AY794" s="150">
        <v>0</v>
      </c>
      <c r="AZ794" s="150"/>
      <c r="BA794" s="150">
        <f t="shared" si="887"/>
        <v>0</v>
      </c>
      <c r="BB794" s="210"/>
      <c r="BC794" s="210"/>
      <c r="BD794" s="210"/>
      <c r="BE794" s="210"/>
      <c r="BF794" s="210"/>
      <c r="BG794" s="210"/>
      <c r="BH794" s="217"/>
      <c r="BI794" s="210"/>
      <c r="BJ794" s="210"/>
      <c r="BK794" s="210"/>
      <c r="BL794" s="210"/>
      <c r="BM794" s="208"/>
      <c r="BN794" s="160"/>
      <c r="BO794" s="161">
        <f t="shared" si="852"/>
        <v>0</v>
      </c>
      <c r="BP794" s="161"/>
    </row>
    <row r="795" spans="1:68" ht="38.25">
      <c r="A795" s="210"/>
      <c r="B795" s="195" t="s">
        <v>6927</v>
      </c>
      <c r="C795" s="196" t="s">
        <v>6928</v>
      </c>
      <c r="D795" s="146" t="s">
        <v>4692</v>
      </c>
      <c r="E795" s="196" t="s">
        <v>6928</v>
      </c>
      <c r="F795" s="150">
        <v>0</v>
      </c>
      <c r="G795" s="209">
        <v>0</v>
      </c>
      <c r="H795" s="209"/>
      <c r="I795" s="209">
        <v>0</v>
      </c>
      <c r="J795" s="150">
        <v>0</v>
      </c>
      <c r="K795" s="150">
        <v>0</v>
      </c>
      <c r="L795" s="150">
        <f t="shared" si="897"/>
        <v>0</v>
      </c>
      <c r="M795" s="150">
        <v>0</v>
      </c>
      <c r="N795" s="150"/>
      <c r="O795" s="150">
        <v>0</v>
      </c>
      <c r="P795" s="150">
        <v>0</v>
      </c>
      <c r="Q795" s="150">
        <v>0</v>
      </c>
      <c r="R795" s="150">
        <f t="shared" si="903"/>
        <v>0</v>
      </c>
      <c r="S795" s="150">
        <f t="shared" si="892"/>
        <v>0</v>
      </c>
      <c r="T795" s="150"/>
      <c r="U795" s="150">
        <v>0</v>
      </c>
      <c r="V795" s="199"/>
      <c r="W795" s="150">
        <f t="shared" si="904"/>
        <v>0</v>
      </c>
      <c r="X795" s="150">
        <v>0</v>
      </c>
      <c r="Y795" s="150"/>
      <c r="Z795" s="150">
        <v>0</v>
      </c>
      <c r="AA795" s="150">
        <f t="shared" si="893"/>
        <v>0</v>
      </c>
      <c r="AB795" s="150">
        <v>0</v>
      </c>
      <c r="AC795" s="199"/>
      <c r="AD795" s="150">
        <f t="shared" si="905"/>
        <v>0</v>
      </c>
      <c r="AE795" s="150">
        <v>0</v>
      </c>
      <c r="AF795" s="169" t="s">
        <v>4680</v>
      </c>
      <c r="AG795" s="201">
        <v>0</v>
      </c>
      <c r="AH795" s="199"/>
      <c r="AI795" s="150">
        <v>0</v>
      </c>
      <c r="AJ795" s="169">
        <f t="shared" si="894"/>
        <v>0</v>
      </c>
      <c r="AK795" s="201">
        <v>0</v>
      </c>
      <c r="AL795" s="199"/>
      <c r="AM795" s="150">
        <f t="shared" si="906"/>
        <v>0</v>
      </c>
      <c r="AN795" s="153">
        <f t="shared" si="895"/>
        <v>0</v>
      </c>
      <c r="AO795" s="154">
        <f t="shared" si="896"/>
        <v>0</v>
      </c>
      <c r="AP795" s="150">
        <v>0</v>
      </c>
      <c r="AQ795" s="201">
        <v>0</v>
      </c>
      <c r="AR795" s="199"/>
      <c r="AS795" s="150">
        <f t="shared" si="907"/>
        <v>0</v>
      </c>
      <c r="AT795" s="155"/>
      <c r="AU795" s="156">
        <f t="shared" si="890"/>
        <v>0</v>
      </c>
      <c r="AV795" s="156">
        <f t="shared" si="891"/>
        <v>0</v>
      </c>
      <c r="AW795" s="157"/>
      <c r="AX795" s="150">
        <v>0</v>
      </c>
      <c r="AY795" s="150">
        <v>0</v>
      </c>
      <c r="AZ795" s="150"/>
      <c r="BA795" s="150">
        <f t="shared" si="887"/>
        <v>0</v>
      </c>
      <c r="BB795" s="210"/>
      <c r="BC795" s="210"/>
      <c r="BD795" s="210"/>
      <c r="BE795" s="210"/>
      <c r="BF795" s="210"/>
      <c r="BG795" s="210"/>
      <c r="BH795" s="217"/>
      <c r="BI795" s="210"/>
      <c r="BJ795" s="210"/>
      <c r="BK795" s="210"/>
      <c r="BL795" s="210"/>
      <c r="BM795" s="208"/>
      <c r="BN795" s="160"/>
      <c r="BO795" s="161">
        <f t="shared" si="852"/>
        <v>0</v>
      </c>
      <c r="BP795" s="161"/>
    </row>
    <row r="796" spans="1:68" ht="51">
      <c r="A796" s="210"/>
      <c r="B796" s="195" t="s">
        <v>6929</v>
      </c>
      <c r="C796" s="196" t="s">
        <v>6930</v>
      </c>
      <c r="D796" s="146" t="s">
        <v>4692</v>
      </c>
      <c r="E796" s="196" t="s">
        <v>6930</v>
      </c>
      <c r="F796" s="150">
        <v>0</v>
      </c>
      <c r="G796" s="209">
        <v>0</v>
      </c>
      <c r="H796" s="209"/>
      <c r="I796" s="209">
        <v>0</v>
      </c>
      <c r="J796" s="150">
        <v>0</v>
      </c>
      <c r="K796" s="150">
        <v>0</v>
      </c>
      <c r="L796" s="150">
        <f t="shared" si="897"/>
        <v>0</v>
      </c>
      <c r="M796" s="150">
        <v>0</v>
      </c>
      <c r="N796" s="150"/>
      <c r="O796" s="150">
        <v>0</v>
      </c>
      <c r="P796" s="150">
        <v>0</v>
      </c>
      <c r="Q796" s="150">
        <v>0</v>
      </c>
      <c r="R796" s="150">
        <f t="shared" si="903"/>
        <v>0</v>
      </c>
      <c r="S796" s="150">
        <f t="shared" si="892"/>
        <v>0</v>
      </c>
      <c r="T796" s="150"/>
      <c r="U796" s="150">
        <v>0</v>
      </c>
      <c r="V796" s="199"/>
      <c r="W796" s="150">
        <f t="shared" si="904"/>
        <v>0</v>
      </c>
      <c r="X796" s="150">
        <v>0</v>
      </c>
      <c r="Y796" s="150"/>
      <c r="Z796" s="150">
        <v>0</v>
      </c>
      <c r="AA796" s="150">
        <f t="shared" si="893"/>
        <v>0</v>
      </c>
      <c r="AB796" s="150">
        <v>0</v>
      </c>
      <c r="AC796" s="199"/>
      <c r="AD796" s="150">
        <f t="shared" si="905"/>
        <v>0</v>
      </c>
      <c r="AE796" s="150">
        <v>0</v>
      </c>
      <c r="AF796" s="169" t="s">
        <v>4680</v>
      </c>
      <c r="AG796" s="201">
        <v>0</v>
      </c>
      <c r="AH796" s="199"/>
      <c r="AI796" s="150">
        <v>0</v>
      </c>
      <c r="AJ796" s="169">
        <f t="shared" si="894"/>
        <v>0</v>
      </c>
      <c r="AK796" s="201">
        <v>0</v>
      </c>
      <c r="AL796" s="199"/>
      <c r="AM796" s="150">
        <f t="shared" si="906"/>
        <v>0</v>
      </c>
      <c r="AN796" s="153">
        <f t="shared" si="895"/>
        <v>0</v>
      </c>
      <c r="AO796" s="154">
        <f t="shared" si="896"/>
        <v>0</v>
      </c>
      <c r="AP796" s="150">
        <v>0</v>
      </c>
      <c r="AQ796" s="201">
        <v>0</v>
      </c>
      <c r="AR796" s="199"/>
      <c r="AS796" s="150">
        <f t="shared" si="907"/>
        <v>0</v>
      </c>
      <c r="AT796" s="155"/>
      <c r="AU796" s="156">
        <f t="shared" si="890"/>
        <v>0</v>
      </c>
      <c r="AV796" s="156">
        <f t="shared" si="891"/>
        <v>0</v>
      </c>
      <c r="AW796" s="157"/>
      <c r="AX796" s="150">
        <v>0</v>
      </c>
      <c r="AY796" s="150">
        <v>0</v>
      </c>
      <c r="AZ796" s="150"/>
      <c r="BA796" s="150">
        <f t="shared" si="887"/>
        <v>0</v>
      </c>
      <c r="BB796" s="210"/>
      <c r="BC796" s="210"/>
      <c r="BD796" s="210"/>
      <c r="BE796" s="210"/>
      <c r="BF796" s="210"/>
      <c r="BG796" s="210"/>
      <c r="BH796" s="217"/>
      <c r="BI796" s="210"/>
      <c r="BJ796" s="210"/>
      <c r="BK796" s="210"/>
      <c r="BL796" s="210"/>
      <c r="BM796" s="208"/>
      <c r="BN796" s="160"/>
      <c r="BO796" s="161">
        <f t="shared" ref="BO796:BO834" si="908">BM796-AS796</f>
        <v>0</v>
      </c>
      <c r="BP796" s="161"/>
    </row>
    <row r="797" spans="1:68" ht="38.25">
      <c r="A797" s="210"/>
      <c r="B797" s="195" t="s">
        <v>6931</v>
      </c>
      <c r="C797" s="196" t="s">
        <v>6932</v>
      </c>
      <c r="D797" s="146" t="s">
        <v>4692</v>
      </c>
      <c r="E797" s="196" t="s">
        <v>6932</v>
      </c>
      <c r="F797" s="150">
        <v>0</v>
      </c>
      <c r="G797" s="209">
        <v>0</v>
      </c>
      <c r="H797" s="209"/>
      <c r="I797" s="209">
        <v>0</v>
      </c>
      <c r="J797" s="150">
        <v>0</v>
      </c>
      <c r="K797" s="150">
        <v>0</v>
      </c>
      <c r="L797" s="150">
        <f t="shared" si="897"/>
        <v>0</v>
      </c>
      <c r="M797" s="150">
        <v>0</v>
      </c>
      <c r="N797" s="150"/>
      <c r="O797" s="150">
        <v>0</v>
      </c>
      <c r="P797" s="150">
        <v>0</v>
      </c>
      <c r="Q797" s="150">
        <v>0</v>
      </c>
      <c r="R797" s="150">
        <f t="shared" si="903"/>
        <v>0</v>
      </c>
      <c r="S797" s="150">
        <f t="shared" si="892"/>
        <v>0</v>
      </c>
      <c r="T797" s="150"/>
      <c r="U797" s="150">
        <v>0</v>
      </c>
      <c r="V797" s="199"/>
      <c r="W797" s="150">
        <f t="shared" si="904"/>
        <v>0</v>
      </c>
      <c r="X797" s="150">
        <v>0</v>
      </c>
      <c r="Y797" s="150"/>
      <c r="Z797" s="150">
        <v>0</v>
      </c>
      <c r="AA797" s="150">
        <f t="shared" si="893"/>
        <v>0</v>
      </c>
      <c r="AB797" s="150">
        <v>0</v>
      </c>
      <c r="AC797" s="199"/>
      <c r="AD797" s="150">
        <f t="shared" si="905"/>
        <v>0</v>
      </c>
      <c r="AE797" s="150">
        <v>0</v>
      </c>
      <c r="AF797" s="169" t="s">
        <v>4680</v>
      </c>
      <c r="AG797" s="201">
        <v>0</v>
      </c>
      <c r="AH797" s="199"/>
      <c r="AI797" s="150">
        <v>0</v>
      </c>
      <c r="AJ797" s="169">
        <f t="shared" si="894"/>
        <v>0</v>
      </c>
      <c r="AK797" s="201">
        <v>0</v>
      </c>
      <c r="AL797" s="199"/>
      <c r="AM797" s="150">
        <f t="shared" si="906"/>
        <v>0</v>
      </c>
      <c r="AN797" s="153">
        <f t="shared" si="895"/>
        <v>0</v>
      </c>
      <c r="AO797" s="154">
        <f t="shared" si="896"/>
        <v>0</v>
      </c>
      <c r="AP797" s="150">
        <v>0</v>
      </c>
      <c r="AQ797" s="201">
        <v>0</v>
      </c>
      <c r="AR797" s="199"/>
      <c r="AS797" s="150">
        <f t="shared" si="907"/>
        <v>0</v>
      </c>
      <c r="AT797" s="155"/>
      <c r="AU797" s="156">
        <f t="shared" si="890"/>
        <v>0</v>
      </c>
      <c r="AV797" s="156">
        <f t="shared" si="891"/>
        <v>0</v>
      </c>
      <c r="AW797" s="157"/>
      <c r="AX797" s="150">
        <v>0</v>
      </c>
      <c r="AY797" s="150">
        <v>0</v>
      </c>
      <c r="AZ797" s="150"/>
      <c r="BA797" s="150">
        <f t="shared" si="887"/>
        <v>0</v>
      </c>
      <c r="BB797" s="210"/>
      <c r="BC797" s="210"/>
      <c r="BD797" s="210"/>
      <c r="BE797" s="210"/>
      <c r="BF797" s="210"/>
      <c r="BG797" s="210"/>
      <c r="BH797" s="217"/>
      <c r="BI797" s="210"/>
      <c r="BJ797" s="210"/>
      <c r="BK797" s="210"/>
      <c r="BL797" s="210"/>
      <c r="BM797" s="208"/>
      <c r="BN797" s="160"/>
      <c r="BO797" s="161">
        <f t="shared" si="908"/>
        <v>0</v>
      </c>
      <c r="BP797" s="161"/>
    </row>
    <row r="798" spans="1:68" ht="51">
      <c r="A798" s="210"/>
      <c r="B798" s="195" t="s">
        <v>6933</v>
      </c>
      <c r="C798" s="196" t="s">
        <v>6934</v>
      </c>
      <c r="D798" s="146" t="s">
        <v>4692</v>
      </c>
      <c r="E798" s="196" t="s">
        <v>6934</v>
      </c>
      <c r="F798" s="150">
        <v>0</v>
      </c>
      <c r="G798" s="209">
        <v>0</v>
      </c>
      <c r="H798" s="209"/>
      <c r="I798" s="209">
        <v>0</v>
      </c>
      <c r="J798" s="150">
        <v>0</v>
      </c>
      <c r="K798" s="150">
        <v>0</v>
      </c>
      <c r="L798" s="150">
        <f t="shared" si="897"/>
        <v>0</v>
      </c>
      <c r="M798" s="150">
        <v>0</v>
      </c>
      <c r="N798" s="150"/>
      <c r="O798" s="150">
        <v>0</v>
      </c>
      <c r="P798" s="150">
        <v>0</v>
      </c>
      <c r="Q798" s="150">
        <v>0</v>
      </c>
      <c r="R798" s="150">
        <f t="shared" si="903"/>
        <v>0</v>
      </c>
      <c r="S798" s="150">
        <f t="shared" si="892"/>
        <v>0</v>
      </c>
      <c r="T798" s="150"/>
      <c r="U798" s="150">
        <v>0</v>
      </c>
      <c r="V798" s="199"/>
      <c r="W798" s="150">
        <f t="shared" si="904"/>
        <v>0</v>
      </c>
      <c r="X798" s="150">
        <v>0</v>
      </c>
      <c r="Y798" s="150"/>
      <c r="Z798" s="150">
        <v>0</v>
      </c>
      <c r="AA798" s="150">
        <f t="shared" si="893"/>
        <v>0</v>
      </c>
      <c r="AB798" s="150">
        <v>0</v>
      </c>
      <c r="AC798" s="199"/>
      <c r="AD798" s="150">
        <f t="shared" si="905"/>
        <v>0</v>
      </c>
      <c r="AE798" s="150">
        <v>0</v>
      </c>
      <c r="AF798" s="169" t="s">
        <v>4680</v>
      </c>
      <c r="AG798" s="201">
        <v>0</v>
      </c>
      <c r="AH798" s="199"/>
      <c r="AI798" s="150">
        <v>0</v>
      </c>
      <c r="AJ798" s="169">
        <f t="shared" si="894"/>
        <v>0</v>
      </c>
      <c r="AK798" s="201">
        <v>0</v>
      </c>
      <c r="AL798" s="199"/>
      <c r="AM798" s="150">
        <f t="shared" si="906"/>
        <v>0</v>
      </c>
      <c r="AN798" s="153">
        <f t="shared" si="895"/>
        <v>0</v>
      </c>
      <c r="AO798" s="154">
        <f t="shared" si="896"/>
        <v>0</v>
      </c>
      <c r="AP798" s="150">
        <v>0</v>
      </c>
      <c r="AQ798" s="201">
        <v>0</v>
      </c>
      <c r="AR798" s="199"/>
      <c r="AS798" s="150">
        <f t="shared" si="907"/>
        <v>0</v>
      </c>
      <c r="AT798" s="155"/>
      <c r="AU798" s="156">
        <f t="shared" si="890"/>
        <v>0</v>
      </c>
      <c r="AV798" s="156">
        <f t="shared" si="891"/>
        <v>0</v>
      </c>
      <c r="AW798" s="157"/>
      <c r="AX798" s="150">
        <v>0</v>
      </c>
      <c r="AY798" s="150">
        <v>0</v>
      </c>
      <c r="AZ798" s="150"/>
      <c r="BA798" s="150">
        <f t="shared" si="887"/>
        <v>0</v>
      </c>
      <c r="BB798" s="210"/>
      <c r="BC798" s="210"/>
      <c r="BD798" s="210"/>
      <c r="BE798" s="210"/>
      <c r="BF798" s="210"/>
      <c r="BG798" s="210"/>
      <c r="BH798" s="217"/>
      <c r="BI798" s="210"/>
      <c r="BJ798" s="210"/>
      <c r="BK798" s="210"/>
      <c r="BL798" s="210"/>
      <c r="BM798" s="208"/>
      <c r="BN798" s="160"/>
      <c r="BO798" s="161">
        <f t="shared" si="908"/>
        <v>0</v>
      </c>
      <c r="BP798" s="161"/>
    </row>
    <row r="799" spans="1:68" ht="51">
      <c r="A799" s="210"/>
      <c r="B799" s="195" t="s">
        <v>6935</v>
      </c>
      <c r="C799" s="196" t="s">
        <v>6936</v>
      </c>
      <c r="D799" s="146" t="s">
        <v>4692</v>
      </c>
      <c r="E799" s="196" t="s">
        <v>6936</v>
      </c>
      <c r="F799" s="150">
        <v>0</v>
      </c>
      <c r="G799" s="209">
        <v>0</v>
      </c>
      <c r="H799" s="209"/>
      <c r="I799" s="209">
        <v>0</v>
      </c>
      <c r="J799" s="150">
        <v>0</v>
      </c>
      <c r="K799" s="150">
        <v>0</v>
      </c>
      <c r="L799" s="150">
        <f t="shared" si="897"/>
        <v>0</v>
      </c>
      <c r="M799" s="150">
        <v>0</v>
      </c>
      <c r="N799" s="150"/>
      <c r="O799" s="150">
        <v>0</v>
      </c>
      <c r="P799" s="150">
        <v>0</v>
      </c>
      <c r="Q799" s="150">
        <v>0</v>
      </c>
      <c r="R799" s="150">
        <f t="shared" si="903"/>
        <v>0</v>
      </c>
      <c r="S799" s="150">
        <f t="shared" si="892"/>
        <v>0</v>
      </c>
      <c r="T799" s="150"/>
      <c r="U799" s="150">
        <v>0</v>
      </c>
      <c r="V799" s="199"/>
      <c r="W799" s="150">
        <f t="shared" si="904"/>
        <v>0</v>
      </c>
      <c r="X799" s="150">
        <v>0</v>
      </c>
      <c r="Y799" s="150"/>
      <c r="Z799" s="150">
        <v>0</v>
      </c>
      <c r="AA799" s="150">
        <f t="shared" si="893"/>
        <v>0</v>
      </c>
      <c r="AB799" s="150">
        <v>0</v>
      </c>
      <c r="AC799" s="199"/>
      <c r="AD799" s="150">
        <f t="shared" si="905"/>
        <v>0</v>
      </c>
      <c r="AE799" s="150">
        <v>0</v>
      </c>
      <c r="AF799" s="169" t="s">
        <v>4680</v>
      </c>
      <c r="AG799" s="201">
        <v>0</v>
      </c>
      <c r="AH799" s="199"/>
      <c r="AI799" s="150">
        <v>0</v>
      </c>
      <c r="AJ799" s="169">
        <f t="shared" si="894"/>
        <v>0</v>
      </c>
      <c r="AK799" s="201">
        <v>0</v>
      </c>
      <c r="AL799" s="199"/>
      <c r="AM799" s="150">
        <f t="shared" si="906"/>
        <v>0</v>
      </c>
      <c r="AN799" s="153">
        <f t="shared" si="895"/>
        <v>0</v>
      </c>
      <c r="AO799" s="154">
        <f t="shared" si="896"/>
        <v>0</v>
      </c>
      <c r="AP799" s="150">
        <v>0</v>
      </c>
      <c r="AQ799" s="201">
        <v>0</v>
      </c>
      <c r="AR799" s="199"/>
      <c r="AS799" s="150">
        <f t="shared" si="907"/>
        <v>0</v>
      </c>
      <c r="AT799" s="155"/>
      <c r="AU799" s="156">
        <f t="shared" si="890"/>
        <v>0</v>
      </c>
      <c r="AV799" s="156">
        <f t="shared" si="891"/>
        <v>0</v>
      </c>
      <c r="AW799" s="157"/>
      <c r="AX799" s="150">
        <v>0</v>
      </c>
      <c r="AY799" s="150">
        <v>0</v>
      </c>
      <c r="AZ799" s="150"/>
      <c r="BA799" s="150">
        <f t="shared" si="887"/>
        <v>0</v>
      </c>
      <c r="BB799" s="210"/>
      <c r="BC799" s="210"/>
      <c r="BD799" s="210"/>
      <c r="BE799" s="210"/>
      <c r="BF799" s="210"/>
      <c r="BG799" s="210"/>
      <c r="BH799" s="217"/>
      <c r="BI799" s="210"/>
      <c r="BJ799" s="210"/>
      <c r="BK799" s="210"/>
      <c r="BL799" s="210"/>
      <c r="BM799" s="208"/>
      <c r="BN799" s="160"/>
      <c r="BO799" s="161">
        <f t="shared" si="908"/>
        <v>0</v>
      </c>
      <c r="BP799" s="161"/>
    </row>
    <row r="800" spans="1:68" ht="38.25">
      <c r="A800" s="210"/>
      <c r="B800" s="195" t="s">
        <v>6937</v>
      </c>
      <c r="C800" s="196" t="s">
        <v>6938</v>
      </c>
      <c r="D800" s="146" t="s">
        <v>4692</v>
      </c>
      <c r="E800" s="196" t="s">
        <v>6938</v>
      </c>
      <c r="F800" s="150">
        <v>0</v>
      </c>
      <c r="G800" s="209">
        <v>0</v>
      </c>
      <c r="H800" s="209"/>
      <c r="I800" s="209">
        <v>0</v>
      </c>
      <c r="J800" s="150">
        <v>0</v>
      </c>
      <c r="K800" s="150">
        <v>0</v>
      </c>
      <c r="L800" s="150">
        <f t="shared" si="897"/>
        <v>0</v>
      </c>
      <c r="M800" s="150">
        <v>0</v>
      </c>
      <c r="N800" s="150"/>
      <c r="O800" s="150">
        <v>0</v>
      </c>
      <c r="P800" s="150">
        <v>0</v>
      </c>
      <c r="Q800" s="150">
        <v>0</v>
      </c>
      <c r="R800" s="150">
        <f t="shared" si="903"/>
        <v>0</v>
      </c>
      <c r="S800" s="150">
        <f t="shared" si="892"/>
        <v>0</v>
      </c>
      <c r="T800" s="150"/>
      <c r="U800" s="150">
        <v>0</v>
      </c>
      <c r="V800" s="199"/>
      <c r="W800" s="150">
        <f t="shared" si="904"/>
        <v>0</v>
      </c>
      <c r="X800" s="150">
        <v>0</v>
      </c>
      <c r="Y800" s="150"/>
      <c r="Z800" s="150">
        <v>0</v>
      </c>
      <c r="AA800" s="150">
        <f t="shared" si="893"/>
        <v>0</v>
      </c>
      <c r="AB800" s="150">
        <v>0</v>
      </c>
      <c r="AC800" s="199"/>
      <c r="AD800" s="150">
        <f t="shared" si="905"/>
        <v>0</v>
      </c>
      <c r="AE800" s="150">
        <v>0</v>
      </c>
      <c r="AF800" s="169" t="s">
        <v>4680</v>
      </c>
      <c r="AG800" s="201">
        <v>0</v>
      </c>
      <c r="AH800" s="199"/>
      <c r="AI800" s="150">
        <v>0</v>
      </c>
      <c r="AJ800" s="169">
        <f t="shared" si="894"/>
        <v>0</v>
      </c>
      <c r="AK800" s="201">
        <v>0</v>
      </c>
      <c r="AL800" s="199"/>
      <c r="AM800" s="150">
        <f t="shared" si="906"/>
        <v>0</v>
      </c>
      <c r="AN800" s="153">
        <f t="shared" si="895"/>
        <v>0</v>
      </c>
      <c r="AO800" s="154">
        <f t="shared" si="896"/>
        <v>0</v>
      </c>
      <c r="AP800" s="150">
        <v>0</v>
      </c>
      <c r="AQ800" s="201">
        <v>0</v>
      </c>
      <c r="AR800" s="199"/>
      <c r="AS800" s="150">
        <f t="shared" si="907"/>
        <v>0</v>
      </c>
      <c r="AT800" s="155"/>
      <c r="AU800" s="156">
        <f t="shared" si="890"/>
        <v>0</v>
      </c>
      <c r="AV800" s="156">
        <f t="shared" si="891"/>
        <v>0</v>
      </c>
      <c r="AW800" s="157"/>
      <c r="AX800" s="150">
        <v>0</v>
      </c>
      <c r="AY800" s="150">
        <v>0</v>
      </c>
      <c r="AZ800" s="150"/>
      <c r="BA800" s="150">
        <f t="shared" si="887"/>
        <v>0</v>
      </c>
      <c r="BB800" s="210"/>
      <c r="BC800" s="210"/>
      <c r="BD800" s="210"/>
      <c r="BE800" s="210"/>
      <c r="BF800" s="210"/>
      <c r="BG800" s="210"/>
      <c r="BH800" s="217"/>
      <c r="BI800" s="210"/>
      <c r="BJ800" s="210"/>
      <c r="BK800" s="210"/>
      <c r="BL800" s="210"/>
      <c r="BM800" s="208"/>
      <c r="BN800" s="160"/>
      <c r="BO800" s="161">
        <f t="shared" si="908"/>
        <v>0</v>
      </c>
      <c r="BP800" s="161"/>
    </row>
    <row r="801" spans="1:68" ht="51">
      <c r="A801" s="210"/>
      <c r="B801" s="195" t="s">
        <v>6939</v>
      </c>
      <c r="C801" s="196" t="s">
        <v>6940</v>
      </c>
      <c r="D801" s="146" t="s">
        <v>4692</v>
      </c>
      <c r="E801" s="196" t="s">
        <v>6940</v>
      </c>
      <c r="F801" s="150">
        <v>0</v>
      </c>
      <c r="G801" s="209">
        <v>9716</v>
      </c>
      <c r="H801" s="209"/>
      <c r="I801" s="209">
        <v>9716</v>
      </c>
      <c r="J801" s="150">
        <v>0</v>
      </c>
      <c r="K801" s="150">
        <v>0</v>
      </c>
      <c r="L801" s="150">
        <f t="shared" si="897"/>
        <v>0</v>
      </c>
      <c r="M801" s="150">
        <v>0</v>
      </c>
      <c r="N801" s="150"/>
      <c r="O801" s="150">
        <v>0</v>
      </c>
      <c r="P801" s="150">
        <v>0</v>
      </c>
      <c r="Q801" s="150">
        <v>0</v>
      </c>
      <c r="R801" s="150">
        <f t="shared" si="903"/>
        <v>0</v>
      </c>
      <c r="S801" s="150">
        <f t="shared" si="892"/>
        <v>0</v>
      </c>
      <c r="T801" s="150"/>
      <c r="U801" s="150">
        <v>0</v>
      </c>
      <c r="V801" s="199"/>
      <c r="W801" s="150">
        <f t="shared" si="904"/>
        <v>0</v>
      </c>
      <c r="X801" s="150">
        <v>0</v>
      </c>
      <c r="Y801" s="150"/>
      <c r="Z801" s="150">
        <v>0</v>
      </c>
      <c r="AA801" s="150">
        <f t="shared" si="893"/>
        <v>0</v>
      </c>
      <c r="AB801" s="150">
        <v>0</v>
      </c>
      <c r="AC801" s="199"/>
      <c r="AD801" s="150">
        <f t="shared" si="905"/>
        <v>0</v>
      </c>
      <c r="AE801" s="150">
        <v>0</v>
      </c>
      <c r="AF801" s="169" t="s">
        <v>4680</v>
      </c>
      <c r="AG801" s="201">
        <v>0</v>
      </c>
      <c r="AH801" s="199"/>
      <c r="AI801" s="150">
        <v>0</v>
      </c>
      <c r="AJ801" s="169">
        <f t="shared" si="894"/>
        <v>0</v>
      </c>
      <c r="AK801" s="201">
        <v>0</v>
      </c>
      <c r="AL801" s="199"/>
      <c r="AM801" s="150">
        <f t="shared" si="906"/>
        <v>0</v>
      </c>
      <c r="AN801" s="153">
        <f t="shared" si="895"/>
        <v>0</v>
      </c>
      <c r="AO801" s="154">
        <f t="shared" si="896"/>
        <v>0</v>
      </c>
      <c r="AP801" s="150">
        <v>0</v>
      </c>
      <c r="AQ801" s="201">
        <v>0</v>
      </c>
      <c r="AR801" s="199"/>
      <c r="AS801" s="150">
        <f t="shared" si="907"/>
        <v>0</v>
      </c>
      <c r="AT801" s="155"/>
      <c r="AU801" s="156">
        <f t="shared" si="890"/>
        <v>0</v>
      </c>
      <c r="AV801" s="156">
        <f t="shared" si="891"/>
        <v>0</v>
      </c>
      <c r="AW801" s="157"/>
      <c r="AX801" s="150">
        <v>0</v>
      </c>
      <c r="AY801" s="150">
        <v>0</v>
      </c>
      <c r="AZ801" s="150"/>
      <c r="BA801" s="150">
        <f t="shared" si="887"/>
        <v>0</v>
      </c>
      <c r="BB801" s="210"/>
      <c r="BC801" s="210"/>
      <c r="BD801" s="210"/>
      <c r="BE801" s="210"/>
      <c r="BF801" s="210"/>
      <c r="BG801" s="210"/>
      <c r="BH801" s="217"/>
      <c r="BI801" s="210"/>
      <c r="BJ801" s="210"/>
      <c r="BK801" s="210"/>
      <c r="BL801" s="210"/>
      <c r="BM801" s="208"/>
      <c r="BN801" s="160"/>
      <c r="BO801" s="161">
        <f t="shared" si="908"/>
        <v>0</v>
      </c>
      <c r="BP801" s="161"/>
    </row>
    <row r="802" spans="1:68" ht="51">
      <c r="A802" s="206" t="s">
        <v>539</v>
      </c>
      <c r="B802" s="195" t="s">
        <v>6941</v>
      </c>
      <c r="C802" s="196" t="s">
        <v>6942</v>
      </c>
      <c r="D802" s="146" t="s">
        <v>4692</v>
      </c>
      <c r="E802" s="196" t="s">
        <v>6942</v>
      </c>
      <c r="F802" s="150">
        <v>9716</v>
      </c>
      <c r="G802" s="209">
        <v>5289</v>
      </c>
      <c r="H802" s="209"/>
      <c r="I802" s="209">
        <v>5289</v>
      </c>
      <c r="J802" s="150">
        <v>2962</v>
      </c>
      <c r="K802" s="150">
        <v>0</v>
      </c>
      <c r="L802" s="150">
        <f t="shared" si="897"/>
        <v>2962</v>
      </c>
      <c r="M802" s="150">
        <v>7205</v>
      </c>
      <c r="N802" s="150"/>
      <c r="O802" s="150">
        <v>7205</v>
      </c>
      <c r="P802" s="150">
        <v>10512</v>
      </c>
      <c r="Q802" s="150">
        <v>0</v>
      </c>
      <c r="R802" s="150">
        <f t="shared" si="903"/>
        <v>10512</v>
      </c>
      <c r="S802" s="150">
        <f t="shared" si="892"/>
        <v>14016</v>
      </c>
      <c r="T802" s="150"/>
      <c r="U802" s="150">
        <v>14078</v>
      </c>
      <c r="V802" s="199"/>
      <c r="W802" s="150">
        <f t="shared" si="904"/>
        <v>14078</v>
      </c>
      <c r="X802" s="150">
        <v>14078</v>
      </c>
      <c r="Y802" s="150"/>
      <c r="Z802" s="150">
        <v>14078</v>
      </c>
      <c r="AA802" s="150">
        <f t="shared" si="893"/>
        <v>0</v>
      </c>
      <c r="AB802" s="150">
        <v>14078</v>
      </c>
      <c r="AC802" s="199"/>
      <c r="AD802" s="150">
        <f t="shared" si="905"/>
        <v>14078</v>
      </c>
      <c r="AE802" s="150">
        <v>14078</v>
      </c>
      <c r="AF802" s="169" t="s">
        <v>4680</v>
      </c>
      <c r="AG802" s="201">
        <v>14078</v>
      </c>
      <c r="AH802" s="199"/>
      <c r="AI802" s="150">
        <v>14078</v>
      </c>
      <c r="AJ802" s="169">
        <f t="shared" si="894"/>
        <v>0</v>
      </c>
      <c r="AK802" s="201">
        <v>14078</v>
      </c>
      <c r="AL802" s="199"/>
      <c r="AM802" s="150">
        <f t="shared" si="906"/>
        <v>14078</v>
      </c>
      <c r="AN802" s="153">
        <f t="shared" si="895"/>
        <v>0</v>
      </c>
      <c r="AO802" s="154">
        <f t="shared" si="896"/>
        <v>0</v>
      </c>
      <c r="AP802" s="150">
        <v>14078</v>
      </c>
      <c r="AQ802" s="201">
        <v>14078</v>
      </c>
      <c r="AR802" s="199"/>
      <c r="AS802" s="150">
        <f t="shared" si="907"/>
        <v>14078</v>
      </c>
      <c r="AT802" s="155"/>
      <c r="AU802" s="156">
        <f t="shared" si="890"/>
        <v>0</v>
      </c>
      <c r="AV802" s="156">
        <f t="shared" si="891"/>
        <v>0</v>
      </c>
      <c r="AW802" s="157"/>
      <c r="AX802" s="150">
        <v>14078</v>
      </c>
      <c r="AY802" s="150">
        <v>7680</v>
      </c>
      <c r="AZ802" s="237">
        <v>17672.5</v>
      </c>
      <c r="BA802" s="150">
        <f t="shared" si="887"/>
        <v>25352.5</v>
      </c>
      <c r="BB802" s="202">
        <v>5</v>
      </c>
      <c r="BC802" s="202" t="s">
        <v>647</v>
      </c>
      <c r="BD802" s="202" t="s">
        <v>632</v>
      </c>
      <c r="BE802" s="202" t="s">
        <v>1247</v>
      </c>
      <c r="BF802" s="202" t="s">
        <v>671</v>
      </c>
      <c r="BG802" s="203" t="s">
        <v>6943</v>
      </c>
      <c r="BH802" s="216">
        <f>SUM(AS802:AS803)</f>
        <v>24740</v>
      </c>
      <c r="BI802" s="205">
        <f>BH802/7*12</f>
        <v>42411.428571428572</v>
      </c>
      <c r="BJ802" s="206" t="s">
        <v>6914</v>
      </c>
      <c r="BK802" s="206" t="s">
        <v>539</v>
      </c>
      <c r="BL802" s="207" t="s">
        <v>6915</v>
      </c>
      <c r="BM802" s="208">
        <f>BH802</f>
        <v>24740</v>
      </c>
      <c r="BN802" s="160"/>
      <c r="BO802" s="161">
        <f t="shared" si="908"/>
        <v>10662</v>
      </c>
      <c r="BP802" s="161"/>
    </row>
    <row r="803" spans="1:68" ht="38.25">
      <c r="A803" s="210"/>
      <c r="B803" s="195" t="s">
        <v>6944</v>
      </c>
      <c r="C803" s="196" t="s">
        <v>6945</v>
      </c>
      <c r="D803" s="146" t="s">
        <v>4692</v>
      </c>
      <c r="E803" s="196" t="s">
        <v>6945</v>
      </c>
      <c r="F803" s="150">
        <v>5289</v>
      </c>
      <c r="G803" s="209">
        <v>0</v>
      </c>
      <c r="H803" s="209"/>
      <c r="I803" s="209">
        <v>0</v>
      </c>
      <c r="J803" s="150">
        <v>1410</v>
      </c>
      <c r="K803" s="150">
        <v>0</v>
      </c>
      <c r="L803" s="150">
        <f t="shared" si="897"/>
        <v>1410</v>
      </c>
      <c r="M803" s="150">
        <v>4607</v>
      </c>
      <c r="N803" s="150"/>
      <c r="O803" s="150">
        <v>4607</v>
      </c>
      <c r="P803" s="150">
        <v>7262</v>
      </c>
      <c r="Q803" s="150">
        <v>0</v>
      </c>
      <c r="R803" s="150">
        <f t="shared" si="903"/>
        <v>7262</v>
      </c>
      <c r="S803" s="150">
        <f t="shared" si="892"/>
        <v>9682.6666666666679</v>
      </c>
      <c r="T803" s="150"/>
      <c r="U803" s="150">
        <v>10662</v>
      </c>
      <c r="V803" s="199"/>
      <c r="W803" s="150">
        <f t="shared" si="904"/>
        <v>10662</v>
      </c>
      <c r="X803" s="150">
        <v>10662</v>
      </c>
      <c r="Y803" s="150"/>
      <c r="Z803" s="150">
        <v>10662</v>
      </c>
      <c r="AA803" s="150">
        <f t="shared" si="893"/>
        <v>0</v>
      </c>
      <c r="AB803" s="150">
        <v>10662</v>
      </c>
      <c r="AC803" s="199"/>
      <c r="AD803" s="150">
        <f t="shared" si="905"/>
        <v>10662</v>
      </c>
      <c r="AE803" s="150">
        <v>10662</v>
      </c>
      <c r="AF803" s="169" t="s">
        <v>4680</v>
      </c>
      <c r="AG803" s="201">
        <v>10662</v>
      </c>
      <c r="AH803" s="199"/>
      <c r="AI803" s="150">
        <v>10662</v>
      </c>
      <c r="AJ803" s="169">
        <f t="shared" si="894"/>
        <v>0</v>
      </c>
      <c r="AK803" s="201">
        <v>10662</v>
      </c>
      <c r="AL803" s="199"/>
      <c r="AM803" s="150">
        <f t="shared" si="906"/>
        <v>10662</v>
      </c>
      <c r="AN803" s="153">
        <f t="shared" si="895"/>
        <v>0</v>
      </c>
      <c r="AO803" s="154">
        <f t="shared" si="896"/>
        <v>0</v>
      </c>
      <c r="AP803" s="150">
        <v>10662</v>
      </c>
      <c r="AQ803" s="201">
        <v>10662</v>
      </c>
      <c r="AR803" s="199"/>
      <c r="AS803" s="150">
        <f t="shared" si="907"/>
        <v>10662</v>
      </c>
      <c r="AT803" s="155"/>
      <c r="AU803" s="156">
        <f t="shared" si="890"/>
        <v>0</v>
      </c>
      <c r="AV803" s="156">
        <f t="shared" si="891"/>
        <v>0</v>
      </c>
      <c r="AW803" s="157"/>
      <c r="AX803" s="150">
        <v>10662</v>
      </c>
      <c r="AY803" s="150">
        <v>6162</v>
      </c>
      <c r="AZ803" s="237">
        <v>17672.5</v>
      </c>
      <c r="BA803" s="150">
        <f t="shared" si="887"/>
        <v>23834.5</v>
      </c>
      <c r="BB803" s="210"/>
      <c r="BC803" s="210"/>
      <c r="BD803" s="210"/>
      <c r="BE803" s="210"/>
      <c r="BF803" s="210"/>
      <c r="BG803" s="210"/>
      <c r="BH803" s="217"/>
      <c r="BI803" s="210"/>
      <c r="BJ803" s="210"/>
      <c r="BK803" s="210"/>
      <c r="BL803" s="210"/>
      <c r="BM803" s="208"/>
      <c r="BN803" s="160"/>
      <c r="BO803" s="161">
        <f t="shared" si="908"/>
        <v>-10662</v>
      </c>
      <c r="BP803" s="161"/>
    </row>
    <row r="804" spans="1:68" ht="51">
      <c r="A804" s="206" t="s">
        <v>539</v>
      </c>
      <c r="B804" s="195" t="s">
        <v>6946</v>
      </c>
      <c r="C804" s="196" t="s">
        <v>6947</v>
      </c>
      <c r="D804" s="146" t="s">
        <v>4692</v>
      </c>
      <c r="E804" s="196" t="s">
        <v>6947</v>
      </c>
      <c r="F804" s="150">
        <v>0</v>
      </c>
      <c r="G804" s="209">
        <v>0</v>
      </c>
      <c r="H804" s="209"/>
      <c r="I804" s="209">
        <v>0</v>
      </c>
      <c r="J804" s="150">
        <v>0</v>
      </c>
      <c r="K804" s="150">
        <v>0</v>
      </c>
      <c r="L804" s="150">
        <f t="shared" si="897"/>
        <v>0</v>
      </c>
      <c r="M804" s="150">
        <v>0</v>
      </c>
      <c r="N804" s="150"/>
      <c r="O804" s="150">
        <v>0</v>
      </c>
      <c r="P804" s="150">
        <v>0</v>
      </c>
      <c r="Q804" s="150">
        <v>0</v>
      </c>
      <c r="R804" s="150">
        <f t="shared" si="903"/>
        <v>0</v>
      </c>
      <c r="S804" s="150">
        <f t="shared" si="892"/>
        <v>0</v>
      </c>
      <c r="T804" s="150"/>
      <c r="U804" s="150">
        <v>0</v>
      </c>
      <c r="V804" s="199"/>
      <c r="W804" s="150">
        <f t="shared" si="904"/>
        <v>0</v>
      </c>
      <c r="X804" s="150">
        <v>0</v>
      </c>
      <c r="Y804" s="150"/>
      <c r="Z804" s="150">
        <v>0</v>
      </c>
      <c r="AA804" s="150">
        <f t="shared" si="893"/>
        <v>0</v>
      </c>
      <c r="AB804" s="150">
        <v>0</v>
      </c>
      <c r="AC804" s="199"/>
      <c r="AD804" s="150">
        <f t="shared" si="905"/>
        <v>0</v>
      </c>
      <c r="AE804" s="150">
        <v>0</v>
      </c>
      <c r="AF804" s="169" t="s">
        <v>4680</v>
      </c>
      <c r="AG804" s="201">
        <v>0</v>
      </c>
      <c r="AH804" s="199"/>
      <c r="AI804" s="150">
        <v>0</v>
      </c>
      <c r="AJ804" s="169">
        <f t="shared" si="894"/>
        <v>0</v>
      </c>
      <c r="AK804" s="201">
        <v>0</v>
      </c>
      <c r="AL804" s="199"/>
      <c r="AM804" s="150">
        <f t="shared" si="906"/>
        <v>0</v>
      </c>
      <c r="AN804" s="153">
        <f t="shared" si="895"/>
        <v>0</v>
      </c>
      <c r="AO804" s="154">
        <f t="shared" si="896"/>
        <v>0</v>
      </c>
      <c r="AP804" s="150">
        <v>0</v>
      </c>
      <c r="AQ804" s="201">
        <v>0</v>
      </c>
      <c r="AR804" s="199"/>
      <c r="AS804" s="150">
        <f t="shared" si="907"/>
        <v>0</v>
      </c>
      <c r="AT804" s="155"/>
      <c r="AU804" s="156">
        <f t="shared" si="890"/>
        <v>0</v>
      </c>
      <c r="AV804" s="156">
        <f t="shared" si="891"/>
        <v>0</v>
      </c>
      <c r="AW804" s="157"/>
      <c r="AX804" s="150">
        <v>0</v>
      </c>
      <c r="AY804" s="150">
        <v>0</v>
      </c>
      <c r="AZ804" s="150"/>
      <c r="BA804" s="150">
        <f t="shared" si="887"/>
        <v>0</v>
      </c>
      <c r="BB804" s="202">
        <v>5</v>
      </c>
      <c r="BC804" s="202" t="s">
        <v>647</v>
      </c>
      <c r="BD804" s="202" t="s">
        <v>632</v>
      </c>
      <c r="BE804" s="202" t="s">
        <v>1247</v>
      </c>
      <c r="BF804" s="194" t="s">
        <v>693</v>
      </c>
      <c r="BG804" s="203" t="s">
        <v>6948</v>
      </c>
      <c r="BH804" s="216">
        <f>SUM(AS804:AS810)</f>
        <v>10575.439999999999</v>
      </c>
      <c r="BI804" s="205">
        <f>BH804/7*12</f>
        <v>18129.325714285711</v>
      </c>
      <c r="BJ804" s="206" t="s">
        <v>6914</v>
      </c>
      <c r="BK804" s="206" t="s">
        <v>539</v>
      </c>
      <c r="BL804" s="207" t="s">
        <v>6915</v>
      </c>
      <c r="BM804" s="208">
        <f>BH804</f>
        <v>10575.439999999999</v>
      </c>
      <c r="BN804" s="160"/>
      <c r="BO804" s="161"/>
      <c r="BP804" s="161"/>
    </row>
    <row r="805" spans="1:68" ht="51">
      <c r="A805" s="210"/>
      <c r="B805" s="195" t="s">
        <v>6949</v>
      </c>
      <c r="C805" s="196" t="s">
        <v>6950</v>
      </c>
      <c r="D805" s="146" t="s">
        <v>4692</v>
      </c>
      <c r="E805" s="196" t="s">
        <v>6950</v>
      </c>
      <c r="F805" s="150">
        <v>0</v>
      </c>
      <c r="G805" s="209">
        <v>0</v>
      </c>
      <c r="H805" s="209"/>
      <c r="I805" s="209">
        <v>0</v>
      </c>
      <c r="J805" s="150">
        <v>0</v>
      </c>
      <c r="K805" s="150">
        <v>0</v>
      </c>
      <c r="L805" s="150">
        <f t="shared" si="897"/>
        <v>0</v>
      </c>
      <c r="M805" s="150">
        <v>0</v>
      </c>
      <c r="N805" s="150"/>
      <c r="O805" s="150">
        <v>0</v>
      </c>
      <c r="P805" s="150">
        <v>0</v>
      </c>
      <c r="Q805" s="150">
        <v>0</v>
      </c>
      <c r="R805" s="150">
        <f t="shared" si="903"/>
        <v>0</v>
      </c>
      <c r="S805" s="150">
        <f t="shared" si="892"/>
        <v>0</v>
      </c>
      <c r="T805" s="150"/>
      <c r="U805" s="150">
        <v>0</v>
      </c>
      <c r="V805" s="199"/>
      <c r="W805" s="150">
        <f t="shared" si="904"/>
        <v>0</v>
      </c>
      <c r="X805" s="150">
        <v>0</v>
      </c>
      <c r="Y805" s="150"/>
      <c r="Z805" s="150">
        <v>0</v>
      </c>
      <c r="AA805" s="150">
        <f t="shared" si="893"/>
        <v>0</v>
      </c>
      <c r="AB805" s="150">
        <v>0</v>
      </c>
      <c r="AC805" s="199"/>
      <c r="AD805" s="150">
        <f t="shared" si="905"/>
        <v>0</v>
      </c>
      <c r="AE805" s="150">
        <v>0</v>
      </c>
      <c r="AF805" s="169" t="s">
        <v>4680</v>
      </c>
      <c r="AG805" s="201">
        <v>0</v>
      </c>
      <c r="AH805" s="199"/>
      <c r="AI805" s="150">
        <v>0</v>
      </c>
      <c r="AJ805" s="169">
        <f t="shared" si="894"/>
        <v>0</v>
      </c>
      <c r="AK805" s="201">
        <v>0</v>
      </c>
      <c r="AL805" s="199"/>
      <c r="AM805" s="150">
        <f t="shared" si="906"/>
        <v>0</v>
      </c>
      <c r="AN805" s="153">
        <f t="shared" si="895"/>
        <v>0</v>
      </c>
      <c r="AO805" s="154">
        <f t="shared" si="896"/>
        <v>0</v>
      </c>
      <c r="AP805" s="150">
        <v>0</v>
      </c>
      <c r="AQ805" s="201">
        <v>0</v>
      </c>
      <c r="AR805" s="199"/>
      <c r="AS805" s="150">
        <f t="shared" si="907"/>
        <v>0</v>
      </c>
      <c r="AT805" s="155"/>
      <c r="AU805" s="156">
        <f t="shared" si="890"/>
        <v>0</v>
      </c>
      <c r="AV805" s="156">
        <f t="shared" si="891"/>
        <v>0</v>
      </c>
      <c r="AW805" s="157"/>
      <c r="AX805" s="150">
        <v>0</v>
      </c>
      <c r="AY805" s="150">
        <v>0</v>
      </c>
      <c r="AZ805" s="150"/>
      <c r="BA805" s="150">
        <f t="shared" si="887"/>
        <v>0</v>
      </c>
      <c r="BB805" s="210"/>
      <c r="BC805" s="210"/>
      <c r="BD805" s="210"/>
      <c r="BE805" s="210"/>
      <c r="BF805" s="210"/>
      <c r="BG805" s="210"/>
      <c r="BH805" s="217"/>
      <c r="BI805" s="210"/>
      <c r="BJ805" s="210"/>
      <c r="BK805" s="210"/>
      <c r="BL805" s="210"/>
      <c r="BM805" s="208"/>
      <c r="BN805" s="160"/>
      <c r="BO805" s="161"/>
      <c r="BP805" s="161"/>
    </row>
    <row r="806" spans="1:68" ht="38.25">
      <c r="A806" s="210"/>
      <c r="B806" s="195" t="s">
        <v>6951</v>
      </c>
      <c r="C806" s="196" t="s">
        <v>6952</v>
      </c>
      <c r="D806" s="146" t="s">
        <v>4692</v>
      </c>
      <c r="E806" s="196" t="s">
        <v>6952</v>
      </c>
      <c r="F806" s="150">
        <v>0</v>
      </c>
      <c r="G806" s="209">
        <v>2979.72</v>
      </c>
      <c r="H806" s="209"/>
      <c r="I806" s="209">
        <v>2979.72</v>
      </c>
      <c r="J806" s="150">
        <v>0</v>
      </c>
      <c r="K806" s="150">
        <v>0</v>
      </c>
      <c r="L806" s="150">
        <f t="shared" si="897"/>
        <v>0</v>
      </c>
      <c r="M806" s="150">
        <v>0</v>
      </c>
      <c r="N806" s="150"/>
      <c r="O806" s="150">
        <v>0</v>
      </c>
      <c r="P806" s="150">
        <v>0</v>
      </c>
      <c r="Q806" s="150">
        <v>0</v>
      </c>
      <c r="R806" s="150">
        <f t="shared" si="903"/>
        <v>0</v>
      </c>
      <c r="S806" s="150">
        <f t="shared" si="892"/>
        <v>0</v>
      </c>
      <c r="T806" s="150"/>
      <c r="U806" s="150">
        <v>0</v>
      </c>
      <c r="V806" s="199"/>
      <c r="W806" s="150">
        <f t="shared" si="904"/>
        <v>0</v>
      </c>
      <c r="X806" s="150">
        <v>0</v>
      </c>
      <c r="Y806" s="150"/>
      <c r="Z806" s="150">
        <v>0</v>
      </c>
      <c r="AA806" s="150">
        <f t="shared" si="893"/>
        <v>0</v>
      </c>
      <c r="AB806" s="150">
        <v>0</v>
      </c>
      <c r="AC806" s="199"/>
      <c r="AD806" s="150">
        <f t="shared" si="905"/>
        <v>0</v>
      </c>
      <c r="AE806" s="150">
        <v>0</v>
      </c>
      <c r="AF806" s="169" t="s">
        <v>4680</v>
      </c>
      <c r="AG806" s="201">
        <v>0</v>
      </c>
      <c r="AH806" s="199"/>
      <c r="AI806" s="150">
        <v>0</v>
      </c>
      <c r="AJ806" s="169">
        <f t="shared" si="894"/>
        <v>0</v>
      </c>
      <c r="AK806" s="201">
        <v>0</v>
      </c>
      <c r="AL806" s="199"/>
      <c r="AM806" s="150">
        <f t="shared" si="906"/>
        <v>0</v>
      </c>
      <c r="AN806" s="153">
        <f t="shared" si="895"/>
        <v>0</v>
      </c>
      <c r="AO806" s="154">
        <f t="shared" si="896"/>
        <v>0</v>
      </c>
      <c r="AP806" s="150">
        <v>0</v>
      </c>
      <c r="AQ806" s="201">
        <v>0</v>
      </c>
      <c r="AR806" s="199"/>
      <c r="AS806" s="150">
        <f t="shared" si="907"/>
        <v>0</v>
      </c>
      <c r="AT806" s="155"/>
      <c r="AU806" s="156">
        <f t="shared" si="890"/>
        <v>0</v>
      </c>
      <c r="AV806" s="156">
        <f t="shared" si="891"/>
        <v>0</v>
      </c>
      <c r="AW806" s="157"/>
      <c r="AX806" s="150">
        <v>0</v>
      </c>
      <c r="AY806" s="150">
        <v>0</v>
      </c>
      <c r="AZ806" s="150"/>
      <c r="BA806" s="150">
        <f t="shared" si="887"/>
        <v>0</v>
      </c>
      <c r="BB806" s="210"/>
      <c r="BC806" s="210"/>
      <c r="BD806" s="210"/>
      <c r="BE806" s="210"/>
      <c r="BF806" s="210"/>
      <c r="BG806" s="210"/>
      <c r="BH806" s="217"/>
      <c r="BI806" s="210"/>
      <c r="BJ806" s="210"/>
      <c r="BK806" s="210"/>
      <c r="BL806" s="210"/>
      <c r="BM806" s="208"/>
      <c r="BN806" s="160"/>
      <c r="BO806" s="161"/>
      <c r="BP806" s="161"/>
    </row>
    <row r="807" spans="1:68" ht="51">
      <c r="A807" s="210"/>
      <c r="B807" s="195" t="s">
        <v>6953</v>
      </c>
      <c r="C807" s="196" t="s">
        <v>6954</v>
      </c>
      <c r="D807" s="146" t="s">
        <v>4692</v>
      </c>
      <c r="E807" s="196" t="s">
        <v>6954</v>
      </c>
      <c r="F807" s="150">
        <v>2979.72</v>
      </c>
      <c r="G807" s="209">
        <v>0</v>
      </c>
      <c r="H807" s="209"/>
      <c r="I807" s="209">
        <v>0</v>
      </c>
      <c r="J807" s="150">
        <v>328</v>
      </c>
      <c r="K807" s="150">
        <v>0</v>
      </c>
      <c r="L807" s="150">
        <f t="shared" si="897"/>
        <v>328</v>
      </c>
      <c r="M807" s="150">
        <v>2418</v>
      </c>
      <c r="N807" s="150"/>
      <c r="O807" s="150">
        <v>2418</v>
      </c>
      <c r="P807" s="150">
        <v>2576</v>
      </c>
      <c r="Q807" s="150">
        <v>0</v>
      </c>
      <c r="R807" s="150">
        <f t="shared" si="903"/>
        <v>2576</v>
      </c>
      <c r="S807" s="150">
        <f t="shared" si="892"/>
        <v>3434.666666666667</v>
      </c>
      <c r="T807" s="150"/>
      <c r="U807" s="150">
        <v>2980</v>
      </c>
      <c r="V807" s="199"/>
      <c r="W807" s="150">
        <f t="shared" si="904"/>
        <v>2980</v>
      </c>
      <c r="X807" s="150">
        <v>2980</v>
      </c>
      <c r="Y807" s="150"/>
      <c r="Z807" s="150">
        <v>2980</v>
      </c>
      <c r="AA807" s="150">
        <f t="shared" si="893"/>
        <v>0</v>
      </c>
      <c r="AB807" s="150">
        <v>2980</v>
      </c>
      <c r="AC807" s="199"/>
      <c r="AD807" s="150">
        <f t="shared" si="905"/>
        <v>2980</v>
      </c>
      <c r="AE807" s="150">
        <v>2980</v>
      </c>
      <c r="AF807" s="169" t="s">
        <v>4680</v>
      </c>
      <c r="AG807" s="201">
        <v>2980</v>
      </c>
      <c r="AH807" s="199"/>
      <c r="AI807" s="150">
        <v>2980</v>
      </c>
      <c r="AJ807" s="169">
        <f t="shared" si="894"/>
        <v>0</v>
      </c>
      <c r="AK807" s="201">
        <v>2980</v>
      </c>
      <c r="AL807" s="199"/>
      <c r="AM807" s="150">
        <f t="shared" si="906"/>
        <v>2980</v>
      </c>
      <c r="AN807" s="153">
        <f t="shared" si="895"/>
        <v>0</v>
      </c>
      <c r="AO807" s="154">
        <f t="shared" si="896"/>
        <v>0</v>
      </c>
      <c r="AP807" s="150">
        <v>2980</v>
      </c>
      <c r="AQ807" s="201">
        <v>2980</v>
      </c>
      <c r="AR807" s="199"/>
      <c r="AS807" s="150">
        <f t="shared" si="907"/>
        <v>2980</v>
      </c>
      <c r="AT807" s="155"/>
      <c r="AU807" s="156">
        <f t="shared" si="890"/>
        <v>0</v>
      </c>
      <c r="AV807" s="156">
        <f t="shared" si="891"/>
        <v>0</v>
      </c>
      <c r="AW807" s="157"/>
      <c r="AX807" s="150">
        <v>2980</v>
      </c>
      <c r="AY807" s="150">
        <v>2418</v>
      </c>
      <c r="AZ807" s="237">
        <v>17672.5</v>
      </c>
      <c r="BA807" s="150">
        <f t="shared" si="887"/>
        <v>20090.5</v>
      </c>
      <c r="BB807" s="210"/>
      <c r="BC807" s="210"/>
      <c r="BD807" s="210"/>
      <c r="BE807" s="210"/>
      <c r="BF807" s="210"/>
      <c r="BG807" s="210"/>
      <c r="BH807" s="217"/>
      <c r="BI807" s="210"/>
      <c r="BJ807" s="210"/>
      <c r="BK807" s="210"/>
      <c r="BL807" s="210"/>
      <c r="BM807" s="208"/>
      <c r="BN807" s="160"/>
      <c r="BO807" s="161"/>
      <c r="BP807" s="161"/>
    </row>
    <row r="808" spans="1:68" ht="51">
      <c r="A808" s="210"/>
      <c r="B808" s="195" t="s">
        <v>6955</v>
      </c>
      <c r="C808" s="196" t="s">
        <v>6956</v>
      </c>
      <c r="D808" s="146" t="s">
        <v>4692</v>
      </c>
      <c r="E808" s="196" t="s">
        <v>6956</v>
      </c>
      <c r="F808" s="150">
        <v>0</v>
      </c>
      <c r="G808" s="209">
        <v>5941.09</v>
      </c>
      <c r="H808" s="209"/>
      <c r="I808" s="209">
        <v>5941.09</v>
      </c>
      <c r="J808" s="150">
        <v>0</v>
      </c>
      <c r="K808" s="150">
        <v>0</v>
      </c>
      <c r="L808" s="150">
        <f t="shared" si="897"/>
        <v>0</v>
      </c>
      <c r="M808" s="150">
        <v>0</v>
      </c>
      <c r="N808" s="150"/>
      <c r="O808" s="150">
        <v>0</v>
      </c>
      <c r="P808" s="150">
        <v>0</v>
      </c>
      <c r="Q808" s="150">
        <v>0</v>
      </c>
      <c r="R808" s="150">
        <f t="shared" si="903"/>
        <v>0</v>
      </c>
      <c r="S808" s="150">
        <f t="shared" si="892"/>
        <v>0</v>
      </c>
      <c r="T808" s="150"/>
      <c r="U808" s="150">
        <v>0</v>
      </c>
      <c r="V808" s="199"/>
      <c r="W808" s="150">
        <f t="shared" si="904"/>
        <v>0</v>
      </c>
      <c r="X808" s="150">
        <v>0</v>
      </c>
      <c r="Y808" s="150"/>
      <c r="Z808" s="150">
        <v>0</v>
      </c>
      <c r="AA808" s="150">
        <f t="shared" si="893"/>
        <v>0</v>
      </c>
      <c r="AB808" s="150">
        <v>0</v>
      </c>
      <c r="AC808" s="199"/>
      <c r="AD808" s="150">
        <f t="shared" si="905"/>
        <v>0</v>
      </c>
      <c r="AE808" s="150">
        <v>0</v>
      </c>
      <c r="AF808" s="169" t="s">
        <v>4680</v>
      </c>
      <c r="AG808" s="201">
        <v>0</v>
      </c>
      <c r="AH808" s="199"/>
      <c r="AI808" s="150">
        <v>0</v>
      </c>
      <c r="AJ808" s="169">
        <f t="shared" si="894"/>
        <v>0</v>
      </c>
      <c r="AK808" s="201">
        <v>0</v>
      </c>
      <c r="AL808" s="199"/>
      <c r="AM808" s="150">
        <f t="shared" si="906"/>
        <v>0</v>
      </c>
      <c r="AN808" s="153">
        <f t="shared" si="895"/>
        <v>0</v>
      </c>
      <c r="AO808" s="154">
        <f t="shared" si="896"/>
        <v>0</v>
      </c>
      <c r="AP808" s="150">
        <v>0</v>
      </c>
      <c r="AQ808" s="201">
        <v>0</v>
      </c>
      <c r="AR808" s="199"/>
      <c r="AS808" s="150">
        <f t="shared" si="907"/>
        <v>0</v>
      </c>
      <c r="AT808" s="155"/>
      <c r="AU808" s="156">
        <f t="shared" si="890"/>
        <v>0</v>
      </c>
      <c r="AV808" s="156">
        <f t="shared" si="891"/>
        <v>0</v>
      </c>
      <c r="AW808" s="157"/>
      <c r="AX808" s="150">
        <v>0</v>
      </c>
      <c r="AY808" s="150">
        <v>0</v>
      </c>
      <c r="AZ808" s="150"/>
      <c r="BA808" s="150">
        <f t="shared" si="887"/>
        <v>0</v>
      </c>
      <c r="BB808" s="210"/>
      <c r="BC808" s="210"/>
      <c r="BD808" s="210"/>
      <c r="BE808" s="210"/>
      <c r="BF808" s="210"/>
      <c r="BG808" s="210"/>
      <c r="BH808" s="217"/>
      <c r="BI808" s="210"/>
      <c r="BJ808" s="210"/>
      <c r="BK808" s="210"/>
      <c r="BL808" s="210"/>
      <c r="BM808" s="208"/>
      <c r="BN808" s="160"/>
      <c r="BO808" s="161"/>
      <c r="BP808" s="161"/>
    </row>
    <row r="809" spans="1:68" ht="38.25">
      <c r="A809" s="210"/>
      <c r="B809" s="195" t="s">
        <v>6957</v>
      </c>
      <c r="C809" s="196" t="s">
        <v>6958</v>
      </c>
      <c r="D809" s="146" t="s">
        <v>4692</v>
      </c>
      <c r="E809" s="196" t="s">
        <v>6958</v>
      </c>
      <c r="F809" s="150">
        <v>5941.09</v>
      </c>
      <c r="G809" s="209">
        <v>378.18</v>
      </c>
      <c r="H809" s="209"/>
      <c r="I809" s="209">
        <v>378.18</v>
      </c>
      <c r="J809" s="150">
        <v>1268.4000000000001</v>
      </c>
      <c r="K809" s="150">
        <v>0</v>
      </c>
      <c r="L809" s="150">
        <f t="shared" si="897"/>
        <v>1268.4000000000001</v>
      </c>
      <c r="M809" s="150">
        <v>2698.43</v>
      </c>
      <c r="N809" s="150"/>
      <c r="O809" s="150">
        <v>2698.43</v>
      </c>
      <c r="P809" s="150">
        <v>4893.49</v>
      </c>
      <c r="Q809" s="150">
        <v>0</v>
      </c>
      <c r="R809" s="150">
        <f t="shared" si="903"/>
        <v>4893.49</v>
      </c>
      <c r="S809" s="150">
        <f t="shared" si="892"/>
        <v>6524.6533333333336</v>
      </c>
      <c r="T809" s="150"/>
      <c r="U809" s="150">
        <v>7595.44</v>
      </c>
      <c r="V809" s="199"/>
      <c r="W809" s="150">
        <f t="shared" si="904"/>
        <v>7595.44</v>
      </c>
      <c r="X809" s="150">
        <v>7595.44</v>
      </c>
      <c r="Y809" s="150"/>
      <c r="Z809" s="150">
        <v>7595.44</v>
      </c>
      <c r="AA809" s="150">
        <f t="shared" si="893"/>
        <v>0</v>
      </c>
      <c r="AB809" s="150">
        <v>7595.44</v>
      </c>
      <c r="AC809" s="199"/>
      <c r="AD809" s="150">
        <f t="shared" si="905"/>
        <v>7595.44</v>
      </c>
      <c r="AE809" s="150">
        <v>7595.44</v>
      </c>
      <c r="AF809" s="169" t="s">
        <v>4680</v>
      </c>
      <c r="AG809" s="201">
        <v>7595.44</v>
      </c>
      <c r="AH809" s="199"/>
      <c r="AI809" s="150">
        <v>7595.44</v>
      </c>
      <c r="AJ809" s="169">
        <f t="shared" si="894"/>
        <v>0</v>
      </c>
      <c r="AK809" s="201">
        <v>7595.44</v>
      </c>
      <c r="AL809" s="199"/>
      <c r="AM809" s="150">
        <f t="shared" si="906"/>
        <v>7595.44</v>
      </c>
      <c r="AN809" s="153">
        <f t="shared" si="895"/>
        <v>0</v>
      </c>
      <c r="AO809" s="154">
        <f t="shared" si="896"/>
        <v>0</v>
      </c>
      <c r="AP809" s="150">
        <v>7595.44</v>
      </c>
      <c r="AQ809" s="201">
        <v>7595.44</v>
      </c>
      <c r="AR809" s="199"/>
      <c r="AS809" s="150">
        <f t="shared" si="907"/>
        <v>7595.44</v>
      </c>
      <c r="AT809" s="155"/>
      <c r="AU809" s="156">
        <f t="shared" si="890"/>
        <v>0</v>
      </c>
      <c r="AV809" s="156">
        <f t="shared" si="891"/>
        <v>0</v>
      </c>
      <c r="AW809" s="157"/>
      <c r="AX809" s="150">
        <v>7595.44</v>
      </c>
      <c r="AY809" s="150">
        <v>3703.29</v>
      </c>
      <c r="AZ809" s="237">
        <v>17672.5</v>
      </c>
      <c r="BA809" s="150">
        <f t="shared" si="887"/>
        <v>21375.79</v>
      </c>
      <c r="BB809" s="210"/>
      <c r="BC809" s="210"/>
      <c r="BD809" s="210"/>
      <c r="BE809" s="210"/>
      <c r="BF809" s="210"/>
      <c r="BG809" s="210"/>
      <c r="BH809" s="217"/>
      <c r="BI809" s="210"/>
      <c r="BJ809" s="210"/>
      <c r="BK809" s="210"/>
      <c r="BL809" s="210"/>
      <c r="BM809" s="208"/>
      <c r="BN809" s="160"/>
      <c r="BO809" s="161"/>
      <c r="BP809" s="161"/>
    </row>
    <row r="810" spans="1:68" ht="51">
      <c r="A810" s="210"/>
      <c r="B810" s="195" t="s">
        <v>6959</v>
      </c>
      <c r="C810" s="196" t="s">
        <v>6960</v>
      </c>
      <c r="D810" s="146" t="s">
        <v>4692</v>
      </c>
      <c r="E810" s="196" t="s">
        <v>6960</v>
      </c>
      <c r="F810" s="150">
        <v>378.18</v>
      </c>
      <c r="G810" s="209">
        <v>569037.79</v>
      </c>
      <c r="H810" s="209"/>
      <c r="I810" s="209">
        <v>569037.79</v>
      </c>
      <c r="J810" s="150">
        <v>0</v>
      </c>
      <c r="K810" s="150">
        <v>0</v>
      </c>
      <c r="L810" s="150">
        <f t="shared" si="897"/>
        <v>0</v>
      </c>
      <c r="M810" s="150">
        <v>0</v>
      </c>
      <c r="N810" s="150"/>
      <c r="O810" s="150">
        <v>0</v>
      </c>
      <c r="P810" s="150">
        <v>0</v>
      </c>
      <c r="Q810" s="150">
        <v>0</v>
      </c>
      <c r="R810" s="150">
        <f t="shared" si="903"/>
        <v>0</v>
      </c>
      <c r="S810" s="150">
        <f t="shared" si="892"/>
        <v>0</v>
      </c>
      <c r="T810" s="150"/>
      <c r="U810" s="150">
        <v>0</v>
      </c>
      <c r="V810" s="199"/>
      <c r="W810" s="150">
        <f t="shared" si="904"/>
        <v>0</v>
      </c>
      <c r="X810" s="150">
        <v>0</v>
      </c>
      <c r="Y810" s="150"/>
      <c r="Z810" s="150">
        <v>0</v>
      </c>
      <c r="AA810" s="150">
        <f t="shared" si="893"/>
        <v>0</v>
      </c>
      <c r="AB810" s="150">
        <v>0</v>
      </c>
      <c r="AC810" s="199"/>
      <c r="AD810" s="150">
        <f t="shared" si="905"/>
        <v>0</v>
      </c>
      <c r="AE810" s="150">
        <v>0</v>
      </c>
      <c r="AF810" s="169" t="s">
        <v>4680</v>
      </c>
      <c r="AG810" s="201">
        <v>0</v>
      </c>
      <c r="AH810" s="199"/>
      <c r="AI810" s="150">
        <v>0</v>
      </c>
      <c r="AJ810" s="169">
        <f t="shared" si="894"/>
        <v>0</v>
      </c>
      <c r="AK810" s="201">
        <v>0</v>
      </c>
      <c r="AL810" s="199"/>
      <c r="AM810" s="150">
        <f t="shared" si="906"/>
        <v>0</v>
      </c>
      <c r="AN810" s="153">
        <f t="shared" si="895"/>
        <v>0</v>
      </c>
      <c r="AO810" s="154">
        <f t="shared" si="896"/>
        <v>0</v>
      </c>
      <c r="AP810" s="150">
        <v>0</v>
      </c>
      <c r="AQ810" s="201">
        <v>0</v>
      </c>
      <c r="AR810" s="199"/>
      <c r="AS810" s="150">
        <f t="shared" si="907"/>
        <v>0</v>
      </c>
      <c r="AT810" s="155"/>
      <c r="AU810" s="156">
        <f t="shared" si="890"/>
        <v>0</v>
      </c>
      <c r="AV810" s="156">
        <f t="shared" si="891"/>
        <v>0</v>
      </c>
      <c r="AW810" s="157"/>
      <c r="AX810" s="150">
        <v>0</v>
      </c>
      <c r="AY810" s="150">
        <v>0</v>
      </c>
      <c r="AZ810" s="150"/>
      <c r="BA810" s="150">
        <f t="shared" si="887"/>
        <v>0</v>
      </c>
      <c r="BB810" s="210"/>
      <c r="BC810" s="210"/>
      <c r="BD810" s="210"/>
      <c r="BE810" s="210"/>
      <c r="BF810" s="210"/>
      <c r="BG810" s="210"/>
      <c r="BH810" s="217"/>
      <c r="BI810" s="210"/>
      <c r="BJ810" s="210"/>
      <c r="BK810" s="210"/>
      <c r="BL810" s="210"/>
      <c r="BM810" s="208"/>
      <c r="BN810" s="160"/>
      <c r="BO810" s="161"/>
      <c r="BP810" s="161"/>
    </row>
    <row r="811" spans="1:68" ht="51">
      <c r="A811" s="206" t="s">
        <v>540</v>
      </c>
      <c r="B811" s="195" t="s">
        <v>6961</v>
      </c>
      <c r="C811" s="196" t="s">
        <v>6962</v>
      </c>
      <c r="D811" s="146" t="s">
        <v>4692</v>
      </c>
      <c r="E811" s="196" t="s">
        <v>6962</v>
      </c>
      <c r="F811" s="150">
        <v>569037.79</v>
      </c>
      <c r="G811" s="209">
        <v>0</v>
      </c>
      <c r="H811" s="209"/>
      <c r="I811" s="209">
        <v>0</v>
      </c>
      <c r="J811" s="150">
        <v>107003.32</v>
      </c>
      <c r="K811" s="150">
        <v>0</v>
      </c>
      <c r="L811" s="150">
        <f t="shared" si="897"/>
        <v>107003.32</v>
      </c>
      <c r="M811" s="150">
        <v>279364.25</v>
      </c>
      <c r="N811" s="150"/>
      <c r="O811" s="150">
        <v>279364.25</v>
      </c>
      <c r="P811" s="150">
        <v>424688.04</v>
      </c>
      <c r="Q811" s="150">
        <v>0</v>
      </c>
      <c r="R811" s="150">
        <f t="shared" si="903"/>
        <v>424688.04</v>
      </c>
      <c r="S811" s="150">
        <f t="shared" si="892"/>
        <v>566250.72</v>
      </c>
      <c r="T811" s="150"/>
      <c r="U811" s="150">
        <v>611978.07999999996</v>
      </c>
      <c r="V811" s="199"/>
      <c r="W811" s="150">
        <f t="shared" si="904"/>
        <v>611978.07999999996</v>
      </c>
      <c r="X811" s="150">
        <v>611978.07999999996</v>
      </c>
      <c r="Y811" s="150"/>
      <c r="Z811" s="150">
        <v>611978.07999999996</v>
      </c>
      <c r="AA811" s="150">
        <f t="shared" si="893"/>
        <v>0</v>
      </c>
      <c r="AB811" s="150">
        <v>611978.07999999996</v>
      </c>
      <c r="AC811" s="199"/>
      <c r="AD811" s="150">
        <f t="shared" si="905"/>
        <v>611978.07999999996</v>
      </c>
      <c r="AE811" s="150">
        <v>611978.07999999996</v>
      </c>
      <c r="AF811" s="169" t="s">
        <v>4680</v>
      </c>
      <c r="AG811" s="201">
        <v>611978.07999999996</v>
      </c>
      <c r="AH811" s="199"/>
      <c r="AI811" s="150">
        <v>611978.07999999996</v>
      </c>
      <c r="AJ811" s="169">
        <f t="shared" si="894"/>
        <v>0</v>
      </c>
      <c r="AK811" s="201">
        <v>611978.07999999996</v>
      </c>
      <c r="AL811" s="199"/>
      <c r="AM811" s="150">
        <f t="shared" si="906"/>
        <v>611978.07999999996</v>
      </c>
      <c r="AN811" s="153">
        <f t="shared" si="895"/>
        <v>0</v>
      </c>
      <c r="AO811" s="154">
        <f t="shared" si="896"/>
        <v>0</v>
      </c>
      <c r="AP811" s="150">
        <v>611978.07999999996</v>
      </c>
      <c r="AQ811" s="201">
        <v>611978.07999999996</v>
      </c>
      <c r="AR811" s="199"/>
      <c r="AS811" s="150">
        <f t="shared" si="907"/>
        <v>611978.07999999996</v>
      </c>
      <c r="AT811" s="155"/>
      <c r="AU811" s="156">
        <f t="shared" si="890"/>
        <v>0</v>
      </c>
      <c r="AV811" s="156">
        <f t="shared" si="891"/>
        <v>0</v>
      </c>
      <c r="AW811" s="157"/>
      <c r="AX811" s="150">
        <v>611978.07999999996</v>
      </c>
      <c r="AY811" s="150">
        <v>334409.94</v>
      </c>
      <c r="AZ811" s="237">
        <v>117755.28</v>
      </c>
      <c r="BA811" s="150">
        <f t="shared" si="887"/>
        <v>452165.22</v>
      </c>
      <c r="BB811" s="202">
        <v>5</v>
      </c>
      <c r="BC811" s="202" t="s">
        <v>647</v>
      </c>
      <c r="BD811" s="202" t="s">
        <v>632</v>
      </c>
      <c r="BE811" s="202" t="s">
        <v>1247</v>
      </c>
      <c r="BF811" s="202" t="s">
        <v>714</v>
      </c>
      <c r="BG811" s="203" t="s">
        <v>6963</v>
      </c>
      <c r="BH811" s="216">
        <f>SUM(AS811:AS815)</f>
        <v>1983806.4100000001</v>
      </c>
      <c r="BI811" s="205">
        <f>BH811/7*12</f>
        <v>3400810.9885714287</v>
      </c>
      <c r="BJ811" s="206" t="s">
        <v>6964</v>
      </c>
      <c r="BK811" s="206" t="s">
        <v>540</v>
      </c>
      <c r="BL811" s="207" t="s">
        <v>6965</v>
      </c>
      <c r="BM811" s="208">
        <f>BH811</f>
        <v>1983806.4100000001</v>
      </c>
      <c r="BN811" s="160"/>
      <c r="BO811" s="161"/>
      <c r="BP811" s="161"/>
    </row>
    <row r="812" spans="1:68" ht="51">
      <c r="A812" s="210"/>
      <c r="B812" s="195" t="s">
        <v>6966</v>
      </c>
      <c r="C812" s="196" t="s">
        <v>6967</v>
      </c>
      <c r="D812" s="146" t="s">
        <v>4692</v>
      </c>
      <c r="E812" s="196" t="s">
        <v>6967</v>
      </c>
      <c r="F812" s="150">
        <v>0</v>
      </c>
      <c r="G812" s="209">
        <v>1134115.22</v>
      </c>
      <c r="H812" s="209"/>
      <c r="I812" s="209">
        <v>1134115.22</v>
      </c>
      <c r="J812" s="150">
        <v>0</v>
      </c>
      <c r="K812" s="150">
        <v>0</v>
      </c>
      <c r="L812" s="150">
        <f t="shared" si="897"/>
        <v>0</v>
      </c>
      <c r="M812" s="150">
        <v>0</v>
      </c>
      <c r="N812" s="150"/>
      <c r="O812" s="150">
        <v>0</v>
      </c>
      <c r="P812" s="150">
        <v>0</v>
      </c>
      <c r="Q812" s="150">
        <v>0</v>
      </c>
      <c r="R812" s="150">
        <f t="shared" si="903"/>
        <v>0</v>
      </c>
      <c r="S812" s="150">
        <f t="shared" si="892"/>
        <v>0</v>
      </c>
      <c r="T812" s="150"/>
      <c r="U812" s="150">
        <v>0</v>
      </c>
      <c r="V812" s="199"/>
      <c r="W812" s="150">
        <f t="shared" si="904"/>
        <v>0</v>
      </c>
      <c r="X812" s="150">
        <v>0</v>
      </c>
      <c r="Y812" s="150"/>
      <c r="Z812" s="150">
        <v>0</v>
      </c>
      <c r="AA812" s="150">
        <f t="shared" si="893"/>
        <v>0</v>
      </c>
      <c r="AB812" s="150">
        <v>0</v>
      </c>
      <c r="AC812" s="199"/>
      <c r="AD812" s="150">
        <f t="shared" si="905"/>
        <v>0</v>
      </c>
      <c r="AE812" s="150">
        <v>0</v>
      </c>
      <c r="AF812" s="169" t="s">
        <v>4680</v>
      </c>
      <c r="AG812" s="201">
        <v>0</v>
      </c>
      <c r="AH812" s="199"/>
      <c r="AI812" s="150">
        <v>0</v>
      </c>
      <c r="AJ812" s="169">
        <f t="shared" si="894"/>
        <v>0</v>
      </c>
      <c r="AK812" s="201">
        <v>0</v>
      </c>
      <c r="AL812" s="199"/>
      <c r="AM812" s="150">
        <f t="shared" si="906"/>
        <v>0</v>
      </c>
      <c r="AN812" s="153">
        <f t="shared" si="895"/>
        <v>0</v>
      </c>
      <c r="AO812" s="154">
        <f t="shared" si="896"/>
        <v>0</v>
      </c>
      <c r="AP812" s="150">
        <v>0</v>
      </c>
      <c r="AQ812" s="201">
        <v>0</v>
      </c>
      <c r="AR812" s="199"/>
      <c r="AS812" s="150">
        <f t="shared" si="907"/>
        <v>0</v>
      </c>
      <c r="AT812" s="155"/>
      <c r="AU812" s="156">
        <f t="shared" si="890"/>
        <v>0</v>
      </c>
      <c r="AV812" s="156">
        <f t="shared" si="891"/>
        <v>0</v>
      </c>
      <c r="AW812" s="157"/>
      <c r="AX812" s="150">
        <v>0</v>
      </c>
      <c r="AY812" s="150">
        <v>0</v>
      </c>
      <c r="AZ812" s="150"/>
      <c r="BA812" s="150">
        <f t="shared" si="887"/>
        <v>0</v>
      </c>
      <c r="BB812" s="210"/>
      <c r="BC812" s="210"/>
      <c r="BD812" s="210"/>
      <c r="BE812" s="210"/>
      <c r="BF812" s="210"/>
      <c r="BG812" s="210"/>
      <c r="BH812" s="217"/>
      <c r="BI812" s="210"/>
      <c r="BJ812" s="210"/>
      <c r="BK812" s="210"/>
      <c r="BL812" s="210"/>
      <c r="BM812" s="208"/>
      <c r="BN812" s="160"/>
      <c r="BO812" s="161"/>
      <c r="BP812" s="161"/>
    </row>
    <row r="813" spans="1:68" ht="51">
      <c r="A813" s="210"/>
      <c r="B813" s="195" t="s">
        <v>6968</v>
      </c>
      <c r="C813" s="196" t="s">
        <v>6969</v>
      </c>
      <c r="D813" s="146" t="s">
        <v>4692</v>
      </c>
      <c r="E813" s="196" t="s">
        <v>6969</v>
      </c>
      <c r="F813" s="150">
        <v>1134115.22</v>
      </c>
      <c r="G813" s="209">
        <v>0</v>
      </c>
      <c r="H813" s="209"/>
      <c r="I813" s="209">
        <v>0</v>
      </c>
      <c r="J813" s="150">
        <v>257636.17</v>
      </c>
      <c r="K813" s="150">
        <v>0</v>
      </c>
      <c r="L813" s="150">
        <f t="shared" si="897"/>
        <v>257636.17</v>
      </c>
      <c r="M813" s="150">
        <v>634301.96</v>
      </c>
      <c r="N813" s="150"/>
      <c r="O813" s="150">
        <v>634301.96</v>
      </c>
      <c r="P813" s="150">
        <v>957912.79</v>
      </c>
      <c r="Q813" s="150">
        <v>0</v>
      </c>
      <c r="R813" s="150">
        <f t="shared" si="903"/>
        <v>957912.79</v>
      </c>
      <c r="S813" s="150">
        <f t="shared" si="892"/>
        <v>1277217.0533333335</v>
      </c>
      <c r="T813" s="150"/>
      <c r="U813" s="150">
        <v>1371828.33</v>
      </c>
      <c r="V813" s="199"/>
      <c r="W813" s="150">
        <f t="shared" si="904"/>
        <v>1371828.33</v>
      </c>
      <c r="X813" s="150">
        <v>1371828.33</v>
      </c>
      <c r="Y813" s="150"/>
      <c r="Z813" s="150">
        <v>1371828.33</v>
      </c>
      <c r="AA813" s="150">
        <f t="shared" si="893"/>
        <v>0</v>
      </c>
      <c r="AB813" s="150">
        <v>1371828.33</v>
      </c>
      <c r="AC813" s="199"/>
      <c r="AD813" s="150">
        <f t="shared" si="905"/>
        <v>1371828.33</v>
      </c>
      <c r="AE813" s="150">
        <v>1371828.33</v>
      </c>
      <c r="AF813" s="169" t="s">
        <v>4680</v>
      </c>
      <c r="AG813" s="201">
        <v>1371828.33</v>
      </c>
      <c r="AH813" s="199"/>
      <c r="AI813" s="150">
        <v>1371828.33</v>
      </c>
      <c r="AJ813" s="169">
        <f t="shared" si="894"/>
        <v>0</v>
      </c>
      <c r="AK813" s="201">
        <v>1371828.33</v>
      </c>
      <c r="AL813" s="199"/>
      <c r="AM813" s="150">
        <f t="shared" si="906"/>
        <v>1371828.33</v>
      </c>
      <c r="AN813" s="153">
        <f t="shared" si="895"/>
        <v>0</v>
      </c>
      <c r="AO813" s="154">
        <f t="shared" si="896"/>
        <v>0</v>
      </c>
      <c r="AP813" s="150">
        <v>1371828.33</v>
      </c>
      <c r="AQ813" s="201">
        <v>1371828.33</v>
      </c>
      <c r="AR813" s="199"/>
      <c r="AS813" s="150">
        <f t="shared" si="907"/>
        <v>1371828.33</v>
      </c>
      <c r="AT813" s="155"/>
      <c r="AU813" s="156">
        <f t="shared" si="890"/>
        <v>0</v>
      </c>
      <c r="AV813" s="156">
        <f t="shared" si="891"/>
        <v>0</v>
      </c>
      <c r="AW813" s="157"/>
      <c r="AX813" s="150">
        <v>1371828.33</v>
      </c>
      <c r="AY813" s="150">
        <v>760535.05</v>
      </c>
      <c r="AZ813" s="237">
        <v>117755.28</v>
      </c>
      <c r="BA813" s="150">
        <f t="shared" si="887"/>
        <v>878290.33000000007</v>
      </c>
      <c r="BB813" s="210"/>
      <c r="BC813" s="210"/>
      <c r="BD813" s="210"/>
      <c r="BE813" s="210"/>
      <c r="BF813" s="210"/>
      <c r="BG813" s="210"/>
      <c r="BH813" s="217"/>
      <c r="BI813" s="210"/>
      <c r="BJ813" s="210"/>
      <c r="BK813" s="210"/>
      <c r="BL813" s="210"/>
      <c r="BM813" s="208"/>
      <c r="BN813" s="160"/>
      <c r="BO813" s="161"/>
      <c r="BP813" s="161"/>
    </row>
    <row r="814" spans="1:68" ht="51">
      <c r="A814" s="210"/>
      <c r="B814" s="195" t="s">
        <v>6970</v>
      </c>
      <c r="C814" s="196" t="s">
        <v>6971</v>
      </c>
      <c r="D814" s="146" t="s">
        <v>4692</v>
      </c>
      <c r="E814" s="196" t="s">
        <v>6971</v>
      </c>
      <c r="F814" s="150">
        <v>0</v>
      </c>
      <c r="G814" s="209">
        <v>0</v>
      </c>
      <c r="H814" s="209"/>
      <c r="I814" s="209">
        <v>0</v>
      </c>
      <c r="J814" s="150">
        <v>0</v>
      </c>
      <c r="K814" s="150">
        <v>0</v>
      </c>
      <c r="L814" s="150">
        <f t="shared" si="897"/>
        <v>0</v>
      </c>
      <c r="M814" s="150">
        <v>0</v>
      </c>
      <c r="N814" s="150"/>
      <c r="O814" s="150">
        <v>0</v>
      </c>
      <c r="P814" s="150">
        <v>0</v>
      </c>
      <c r="Q814" s="150">
        <v>0</v>
      </c>
      <c r="R814" s="150">
        <f t="shared" si="903"/>
        <v>0</v>
      </c>
      <c r="S814" s="150">
        <f t="shared" si="892"/>
        <v>0</v>
      </c>
      <c r="T814" s="150"/>
      <c r="U814" s="150">
        <v>0</v>
      </c>
      <c r="V814" s="199"/>
      <c r="W814" s="150">
        <f t="shared" si="904"/>
        <v>0</v>
      </c>
      <c r="X814" s="150">
        <v>0</v>
      </c>
      <c r="Y814" s="150"/>
      <c r="Z814" s="150">
        <v>0</v>
      </c>
      <c r="AA814" s="150">
        <f t="shared" si="893"/>
        <v>0</v>
      </c>
      <c r="AB814" s="150">
        <v>0</v>
      </c>
      <c r="AC814" s="199"/>
      <c r="AD814" s="150">
        <f t="shared" si="905"/>
        <v>0</v>
      </c>
      <c r="AE814" s="150">
        <v>0</v>
      </c>
      <c r="AF814" s="169" t="s">
        <v>4680</v>
      </c>
      <c r="AG814" s="201">
        <v>0</v>
      </c>
      <c r="AH814" s="199"/>
      <c r="AI814" s="150">
        <v>0</v>
      </c>
      <c r="AJ814" s="169">
        <f t="shared" si="894"/>
        <v>0</v>
      </c>
      <c r="AK814" s="201">
        <v>0</v>
      </c>
      <c r="AL814" s="199"/>
      <c r="AM814" s="150">
        <f t="shared" si="906"/>
        <v>0</v>
      </c>
      <c r="AN814" s="153">
        <f t="shared" si="895"/>
        <v>0</v>
      </c>
      <c r="AO814" s="154">
        <f t="shared" si="896"/>
        <v>0</v>
      </c>
      <c r="AP814" s="150">
        <v>0</v>
      </c>
      <c r="AQ814" s="201">
        <v>0</v>
      </c>
      <c r="AR814" s="199"/>
      <c r="AS814" s="150">
        <f t="shared" si="907"/>
        <v>0</v>
      </c>
      <c r="AT814" s="155"/>
      <c r="AU814" s="156">
        <f t="shared" si="890"/>
        <v>0</v>
      </c>
      <c r="AV814" s="156">
        <f t="shared" si="891"/>
        <v>0</v>
      </c>
      <c r="AW814" s="157"/>
      <c r="AX814" s="150">
        <v>0</v>
      </c>
      <c r="AY814" s="150">
        <v>0</v>
      </c>
      <c r="AZ814" s="150"/>
      <c r="BA814" s="150">
        <f t="shared" si="887"/>
        <v>0</v>
      </c>
      <c r="BB814" s="210"/>
      <c r="BC814" s="210"/>
      <c r="BD814" s="210"/>
      <c r="BE814" s="210"/>
      <c r="BF814" s="210"/>
      <c r="BG814" s="210"/>
      <c r="BH814" s="217"/>
      <c r="BI814" s="210"/>
      <c r="BJ814" s="210"/>
      <c r="BK814" s="210"/>
      <c r="BL814" s="210"/>
      <c r="BM814" s="208"/>
      <c r="BN814" s="160"/>
      <c r="BO814" s="161">
        <f t="shared" si="908"/>
        <v>0</v>
      </c>
      <c r="BP814" s="161"/>
    </row>
    <row r="815" spans="1:68" ht="51">
      <c r="A815" s="210"/>
      <c r="B815" s="195" t="s">
        <v>6972</v>
      </c>
      <c r="C815" s="196" t="s">
        <v>6973</v>
      </c>
      <c r="D815" s="146" t="s">
        <v>4692</v>
      </c>
      <c r="E815" s="196" t="s">
        <v>6973</v>
      </c>
      <c r="F815" s="150">
        <v>0</v>
      </c>
      <c r="G815" s="209">
        <v>0</v>
      </c>
      <c r="H815" s="209"/>
      <c r="I815" s="209">
        <v>0</v>
      </c>
      <c r="J815" s="150">
        <v>0</v>
      </c>
      <c r="K815" s="150">
        <v>0</v>
      </c>
      <c r="L815" s="150">
        <f t="shared" si="897"/>
        <v>0</v>
      </c>
      <c r="M815" s="150">
        <v>0</v>
      </c>
      <c r="N815" s="150"/>
      <c r="O815" s="150">
        <v>0</v>
      </c>
      <c r="P815" s="150">
        <v>0</v>
      </c>
      <c r="Q815" s="150">
        <v>0</v>
      </c>
      <c r="R815" s="150">
        <f t="shared" si="903"/>
        <v>0</v>
      </c>
      <c r="S815" s="150">
        <f t="shared" si="892"/>
        <v>0</v>
      </c>
      <c r="T815" s="150"/>
      <c r="U815" s="150">
        <v>0</v>
      </c>
      <c r="V815" s="199"/>
      <c r="W815" s="150">
        <f t="shared" si="904"/>
        <v>0</v>
      </c>
      <c r="X815" s="150">
        <v>0</v>
      </c>
      <c r="Y815" s="150"/>
      <c r="Z815" s="150">
        <v>0</v>
      </c>
      <c r="AA815" s="150">
        <f t="shared" si="893"/>
        <v>0</v>
      </c>
      <c r="AB815" s="150">
        <v>0</v>
      </c>
      <c r="AC815" s="199"/>
      <c r="AD815" s="150">
        <f t="shared" si="905"/>
        <v>0</v>
      </c>
      <c r="AE815" s="150">
        <v>0</v>
      </c>
      <c r="AF815" s="169" t="s">
        <v>4680</v>
      </c>
      <c r="AG815" s="201">
        <v>0</v>
      </c>
      <c r="AH815" s="199"/>
      <c r="AI815" s="150">
        <v>0</v>
      </c>
      <c r="AJ815" s="169">
        <f t="shared" si="894"/>
        <v>0</v>
      </c>
      <c r="AK815" s="201">
        <v>0</v>
      </c>
      <c r="AL815" s="199"/>
      <c r="AM815" s="150">
        <f t="shared" si="906"/>
        <v>0</v>
      </c>
      <c r="AN815" s="153">
        <f t="shared" si="895"/>
        <v>0</v>
      </c>
      <c r="AO815" s="154">
        <f t="shared" si="896"/>
        <v>0</v>
      </c>
      <c r="AP815" s="150">
        <v>0</v>
      </c>
      <c r="AQ815" s="201">
        <v>0</v>
      </c>
      <c r="AR815" s="199"/>
      <c r="AS815" s="150">
        <f t="shared" si="907"/>
        <v>0</v>
      </c>
      <c r="AT815" s="155"/>
      <c r="AU815" s="156">
        <f t="shared" si="890"/>
        <v>0</v>
      </c>
      <c r="AV815" s="156">
        <f t="shared" si="891"/>
        <v>0</v>
      </c>
      <c r="AW815" s="157"/>
      <c r="AX815" s="150">
        <v>0</v>
      </c>
      <c r="AY815" s="150">
        <v>0</v>
      </c>
      <c r="AZ815" s="150"/>
      <c r="BA815" s="150">
        <f t="shared" si="887"/>
        <v>0</v>
      </c>
      <c r="BB815" s="210"/>
      <c r="BC815" s="210"/>
      <c r="BD815" s="210"/>
      <c r="BE815" s="210"/>
      <c r="BF815" s="210"/>
      <c r="BG815" s="210"/>
      <c r="BH815" s="217"/>
      <c r="BI815" s="210"/>
      <c r="BJ815" s="210"/>
      <c r="BK815" s="210"/>
      <c r="BL815" s="210"/>
      <c r="BM815" s="208"/>
      <c r="BN815" s="160"/>
      <c r="BO815" s="161">
        <f t="shared" si="908"/>
        <v>0</v>
      </c>
      <c r="BP815" s="161"/>
    </row>
    <row r="816" spans="1:68" ht="51">
      <c r="A816" s="206" t="s">
        <v>540</v>
      </c>
      <c r="B816" s="195" t="s">
        <v>6974</v>
      </c>
      <c r="C816" s="196" t="s">
        <v>6975</v>
      </c>
      <c r="D816" s="146" t="s">
        <v>4692</v>
      </c>
      <c r="E816" s="196" t="s">
        <v>6975</v>
      </c>
      <c r="F816" s="150">
        <v>0</v>
      </c>
      <c r="G816" s="209">
        <v>0</v>
      </c>
      <c r="H816" s="209"/>
      <c r="I816" s="209">
        <v>0</v>
      </c>
      <c r="J816" s="150">
        <v>0</v>
      </c>
      <c r="K816" s="150">
        <v>0</v>
      </c>
      <c r="L816" s="150">
        <f t="shared" si="897"/>
        <v>0</v>
      </c>
      <c r="M816" s="150">
        <v>0</v>
      </c>
      <c r="N816" s="150"/>
      <c r="O816" s="150">
        <v>0</v>
      </c>
      <c r="P816" s="150">
        <v>0</v>
      </c>
      <c r="Q816" s="150">
        <v>0</v>
      </c>
      <c r="R816" s="150">
        <f t="shared" si="903"/>
        <v>0</v>
      </c>
      <c r="S816" s="150">
        <f t="shared" si="892"/>
        <v>0</v>
      </c>
      <c r="T816" s="150"/>
      <c r="U816" s="150">
        <v>0</v>
      </c>
      <c r="V816" s="199"/>
      <c r="W816" s="150">
        <f t="shared" si="904"/>
        <v>0</v>
      </c>
      <c r="X816" s="150">
        <v>0</v>
      </c>
      <c r="Y816" s="150"/>
      <c r="Z816" s="150">
        <v>0</v>
      </c>
      <c r="AA816" s="150">
        <f t="shared" si="893"/>
        <v>0</v>
      </c>
      <c r="AB816" s="150">
        <v>0</v>
      </c>
      <c r="AC816" s="199"/>
      <c r="AD816" s="150">
        <f t="shared" si="905"/>
        <v>0</v>
      </c>
      <c r="AE816" s="150">
        <v>0</v>
      </c>
      <c r="AF816" s="169" t="s">
        <v>4680</v>
      </c>
      <c r="AG816" s="201">
        <v>0</v>
      </c>
      <c r="AH816" s="199"/>
      <c r="AI816" s="150">
        <v>0</v>
      </c>
      <c r="AJ816" s="169">
        <f t="shared" si="894"/>
        <v>0</v>
      </c>
      <c r="AK816" s="201">
        <v>0</v>
      </c>
      <c r="AL816" s="199"/>
      <c r="AM816" s="150">
        <f t="shared" si="906"/>
        <v>0</v>
      </c>
      <c r="AN816" s="153">
        <f t="shared" si="895"/>
        <v>0</v>
      </c>
      <c r="AO816" s="154">
        <f t="shared" si="896"/>
        <v>0</v>
      </c>
      <c r="AP816" s="150">
        <v>0</v>
      </c>
      <c r="AQ816" s="201">
        <v>0</v>
      </c>
      <c r="AR816" s="199"/>
      <c r="AS816" s="150">
        <f t="shared" si="907"/>
        <v>0</v>
      </c>
      <c r="AT816" s="155"/>
      <c r="AU816" s="156">
        <f t="shared" si="890"/>
        <v>0</v>
      </c>
      <c r="AV816" s="156">
        <f t="shared" si="891"/>
        <v>0</v>
      </c>
      <c r="AW816" s="157"/>
      <c r="AX816" s="150">
        <v>0</v>
      </c>
      <c r="AY816" s="150">
        <v>0</v>
      </c>
      <c r="AZ816" s="150"/>
      <c r="BA816" s="150">
        <f t="shared" si="887"/>
        <v>0</v>
      </c>
      <c r="BB816" s="202">
        <v>5</v>
      </c>
      <c r="BC816" s="202" t="s">
        <v>647</v>
      </c>
      <c r="BD816" s="202" t="s">
        <v>632</v>
      </c>
      <c r="BE816" s="202" t="s">
        <v>1247</v>
      </c>
      <c r="BF816" s="194" t="s">
        <v>739</v>
      </c>
      <c r="BG816" s="203" t="s">
        <v>6976</v>
      </c>
      <c r="BH816" s="216">
        <f>SUM(AS816:AS830)</f>
        <v>8308.7999999999993</v>
      </c>
      <c r="BI816" s="205">
        <f>BH816/7*12</f>
        <v>14243.657142857142</v>
      </c>
      <c r="BJ816" s="206" t="s">
        <v>6964</v>
      </c>
      <c r="BK816" s="206" t="s">
        <v>540</v>
      </c>
      <c r="BL816" s="207" t="s">
        <v>6965</v>
      </c>
      <c r="BM816" s="208">
        <f>BH816</f>
        <v>8308.7999999999993</v>
      </c>
      <c r="BN816" s="160"/>
      <c r="BO816" s="161"/>
      <c r="BP816" s="161"/>
    </row>
    <row r="817" spans="1:68" ht="51">
      <c r="A817" s="210"/>
      <c r="B817" s="195" t="s">
        <v>6977</v>
      </c>
      <c r="C817" s="196" t="s">
        <v>6978</v>
      </c>
      <c r="D817" s="146" t="s">
        <v>4692</v>
      </c>
      <c r="E817" s="196" t="s">
        <v>6978</v>
      </c>
      <c r="F817" s="150">
        <v>0</v>
      </c>
      <c r="G817" s="209">
        <v>0</v>
      </c>
      <c r="H817" s="209"/>
      <c r="I817" s="209">
        <v>0</v>
      </c>
      <c r="J817" s="150">
        <v>0</v>
      </c>
      <c r="K817" s="150">
        <v>0</v>
      </c>
      <c r="L817" s="150">
        <f t="shared" si="897"/>
        <v>0</v>
      </c>
      <c r="M817" s="150">
        <v>0</v>
      </c>
      <c r="N817" s="150"/>
      <c r="O817" s="150">
        <v>0</v>
      </c>
      <c r="P817" s="150">
        <v>0</v>
      </c>
      <c r="Q817" s="150">
        <v>0</v>
      </c>
      <c r="R817" s="150">
        <f t="shared" si="903"/>
        <v>0</v>
      </c>
      <c r="S817" s="150">
        <f t="shared" si="892"/>
        <v>0</v>
      </c>
      <c r="T817" s="150"/>
      <c r="U817" s="150">
        <v>0</v>
      </c>
      <c r="V817" s="199"/>
      <c r="W817" s="150">
        <f t="shared" si="904"/>
        <v>0</v>
      </c>
      <c r="X817" s="150">
        <v>0</v>
      </c>
      <c r="Y817" s="150"/>
      <c r="Z817" s="150">
        <v>0</v>
      </c>
      <c r="AA817" s="150">
        <f t="shared" si="893"/>
        <v>0</v>
      </c>
      <c r="AB817" s="150">
        <v>0</v>
      </c>
      <c r="AC817" s="199"/>
      <c r="AD817" s="150">
        <f t="shared" si="905"/>
        <v>0</v>
      </c>
      <c r="AE817" s="150">
        <v>0</v>
      </c>
      <c r="AF817" s="169" t="s">
        <v>4680</v>
      </c>
      <c r="AG817" s="201">
        <v>0</v>
      </c>
      <c r="AH817" s="199"/>
      <c r="AI817" s="150">
        <v>0</v>
      </c>
      <c r="AJ817" s="169">
        <f t="shared" si="894"/>
        <v>0</v>
      </c>
      <c r="AK817" s="201">
        <v>0</v>
      </c>
      <c r="AL817" s="199"/>
      <c r="AM817" s="150">
        <f t="shared" si="906"/>
        <v>0</v>
      </c>
      <c r="AN817" s="153">
        <f t="shared" si="895"/>
        <v>0</v>
      </c>
      <c r="AO817" s="154">
        <f t="shared" si="896"/>
        <v>0</v>
      </c>
      <c r="AP817" s="150">
        <v>0</v>
      </c>
      <c r="AQ817" s="201">
        <v>0</v>
      </c>
      <c r="AR817" s="199"/>
      <c r="AS817" s="150">
        <f t="shared" si="907"/>
        <v>0</v>
      </c>
      <c r="AT817" s="155"/>
      <c r="AU817" s="156">
        <f t="shared" si="890"/>
        <v>0</v>
      </c>
      <c r="AV817" s="156">
        <f t="shared" si="891"/>
        <v>0</v>
      </c>
      <c r="AW817" s="157"/>
      <c r="AX817" s="150">
        <v>0</v>
      </c>
      <c r="AY817" s="150">
        <v>0</v>
      </c>
      <c r="AZ817" s="150"/>
      <c r="BA817" s="150">
        <f t="shared" si="887"/>
        <v>0</v>
      </c>
      <c r="BB817" s="210"/>
      <c r="BC817" s="210"/>
      <c r="BD817" s="210"/>
      <c r="BE817" s="210"/>
      <c r="BF817" s="210"/>
      <c r="BG817" s="210"/>
      <c r="BH817" s="217"/>
      <c r="BI817" s="210"/>
      <c r="BJ817" s="210"/>
      <c r="BK817" s="210"/>
      <c r="BL817" s="210"/>
      <c r="BM817" s="208"/>
      <c r="BN817" s="160"/>
      <c r="BO817" s="161"/>
      <c r="BP817" s="161"/>
    </row>
    <row r="818" spans="1:68" ht="51">
      <c r="A818" s="210"/>
      <c r="B818" s="195" t="s">
        <v>6979</v>
      </c>
      <c r="C818" s="196" t="s">
        <v>6980</v>
      </c>
      <c r="D818" s="146" t="s">
        <v>4692</v>
      </c>
      <c r="E818" s="196" t="s">
        <v>6980</v>
      </c>
      <c r="F818" s="150">
        <v>0</v>
      </c>
      <c r="G818" s="209">
        <v>0</v>
      </c>
      <c r="H818" s="209"/>
      <c r="I818" s="209">
        <v>0</v>
      </c>
      <c r="J818" s="150">
        <v>0</v>
      </c>
      <c r="K818" s="150">
        <v>0</v>
      </c>
      <c r="L818" s="150">
        <f t="shared" si="897"/>
        <v>0</v>
      </c>
      <c r="M818" s="150">
        <v>0</v>
      </c>
      <c r="N818" s="150"/>
      <c r="O818" s="150">
        <v>0</v>
      </c>
      <c r="P818" s="150">
        <v>0</v>
      </c>
      <c r="Q818" s="150">
        <v>0</v>
      </c>
      <c r="R818" s="150">
        <f t="shared" si="903"/>
        <v>0</v>
      </c>
      <c r="S818" s="150">
        <f t="shared" si="892"/>
        <v>0</v>
      </c>
      <c r="T818" s="150"/>
      <c r="U818" s="150">
        <v>0</v>
      </c>
      <c r="V818" s="199"/>
      <c r="W818" s="150">
        <f t="shared" si="904"/>
        <v>0</v>
      </c>
      <c r="X818" s="150">
        <v>0</v>
      </c>
      <c r="Y818" s="150"/>
      <c r="Z818" s="150">
        <v>0</v>
      </c>
      <c r="AA818" s="150">
        <f t="shared" si="893"/>
        <v>0</v>
      </c>
      <c r="AB818" s="150">
        <v>0</v>
      </c>
      <c r="AC818" s="199"/>
      <c r="AD818" s="150">
        <f t="shared" si="905"/>
        <v>0</v>
      </c>
      <c r="AE818" s="150">
        <v>0</v>
      </c>
      <c r="AF818" s="169" t="s">
        <v>4680</v>
      </c>
      <c r="AG818" s="201">
        <v>0</v>
      </c>
      <c r="AH818" s="199"/>
      <c r="AI818" s="150">
        <v>0</v>
      </c>
      <c r="AJ818" s="169">
        <f t="shared" si="894"/>
        <v>0</v>
      </c>
      <c r="AK818" s="201">
        <v>0</v>
      </c>
      <c r="AL818" s="199"/>
      <c r="AM818" s="150">
        <f t="shared" si="906"/>
        <v>0</v>
      </c>
      <c r="AN818" s="153">
        <f t="shared" si="895"/>
        <v>0</v>
      </c>
      <c r="AO818" s="154">
        <f t="shared" si="896"/>
        <v>0</v>
      </c>
      <c r="AP818" s="150">
        <v>0</v>
      </c>
      <c r="AQ818" s="201">
        <v>0</v>
      </c>
      <c r="AR818" s="199"/>
      <c r="AS818" s="150">
        <f t="shared" si="907"/>
        <v>0</v>
      </c>
      <c r="AT818" s="155"/>
      <c r="AU818" s="156">
        <f t="shared" si="890"/>
        <v>0</v>
      </c>
      <c r="AV818" s="156">
        <f t="shared" si="891"/>
        <v>0</v>
      </c>
      <c r="AW818" s="157"/>
      <c r="AX818" s="150">
        <v>0</v>
      </c>
      <c r="AY818" s="150">
        <v>0</v>
      </c>
      <c r="AZ818" s="150"/>
      <c r="BA818" s="150">
        <f t="shared" si="887"/>
        <v>0</v>
      </c>
      <c r="BB818" s="210"/>
      <c r="BC818" s="210"/>
      <c r="BD818" s="210"/>
      <c r="BE818" s="210"/>
      <c r="BF818" s="210"/>
      <c r="BG818" s="210"/>
      <c r="BH818" s="217"/>
      <c r="BI818" s="210"/>
      <c r="BJ818" s="210"/>
      <c r="BK818" s="210"/>
      <c r="BL818" s="210"/>
      <c r="BM818" s="208"/>
      <c r="BN818" s="160"/>
      <c r="BO818" s="161"/>
      <c r="BP818" s="161"/>
    </row>
    <row r="819" spans="1:68" ht="51">
      <c r="A819" s="210"/>
      <c r="B819" s="195" t="s">
        <v>6981</v>
      </c>
      <c r="C819" s="196" t="s">
        <v>6982</v>
      </c>
      <c r="D819" s="146" t="s">
        <v>4692</v>
      </c>
      <c r="E819" s="196" t="s">
        <v>6982</v>
      </c>
      <c r="F819" s="150">
        <v>0</v>
      </c>
      <c r="G819" s="209">
        <v>0</v>
      </c>
      <c r="H819" s="209"/>
      <c r="I819" s="209">
        <v>0</v>
      </c>
      <c r="J819" s="150">
        <v>0</v>
      </c>
      <c r="K819" s="150">
        <v>0</v>
      </c>
      <c r="L819" s="150">
        <f t="shared" si="897"/>
        <v>0</v>
      </c>
      <c r="M819" s="150">
        <v>0</v>
      </c>
      <c r="N819" s="150"/>
      <c r="O819" s="150">
        <v>0</v>
      </c>
      <c r="P819" s="150">
        <v>0</v>
      </c>
      <c r="Q819" s="150">
        <v>0</v>
      </c>
      <c r="R819" s="150">
        <f t="shared" si="903"/>
        <v>0</v>
      </c>
      <c r="S819" s="150">
        <f t="shared" si="892"/>
        <v>0</v>
      </c>
      <c r="T819" s="150"/>
      <c r="U819" s="150">
        <v>0</v>
      </c>
      <c r="V819" s="199"/>
      <c r="W819" s="150">
        <f t="shared" si="904"/>
        <v>0</v>
      </c>
      <c r="X819" s="150">
        <v>0</v>
      </c>
      <c r="Y819" s="150"/>
      <c r="Z819" s="150">
        <v>0</v>
      </c>
      <c r="AA819" s="150">
        <f t="shared" si="893"/>
        <v>0</v>
      </c>
      <c r="AB819" s="150">
        <v>0</v>
      </c>
      <c r="AC819" s="199"/>
      <c r="AD819" s="150">
        <f t="shared" si="905"/>
        <v>0</v>
      </c>
      <c r="AE819" s="150">
        <v>0</v>
      </c>
      <c r="AF819" s="169" t="s">
        <v>4680</v>
      </c>
      <c r="AG819" s="201">
        <v>0</v>
      </c>
      <c r="AH819" s="199"/>
      <c r="AI819" s="150">
        <v>0</v>
      </c>
      <c r="AJ819" s="169">
        <f t="shared" si="894"/>
        <v>0</v>
      </c>
      <c r="AK819" s="201">
        <v>0</v>
      </c>
      <c r="AL819" s="199"/>
      <c r="AM819" s="150">
        <f t="shared" si="906"/>
        <v>0</v>
      </c>
      <c r="AN819" s="153">
        <f t="shared" si="895"/>
        <v>0</v>
      </c>
      <c r="AO819" s="154">
        <f t="shared" si="896"/>
        <v>0</v>
      </c>
      <c r="AP819" s="150">
        <v>0</v>
      </c>
      <c r="AQ819" s="201">
        <v>0</v>
      </c>
      <c r="AR819" s="199"/>
      <c r="AS819" s="150">
        <f t="shared" si="907"/>
        <v>0</v>
      </c>
      <c r="AT819" s="155"/>
      <c r="AU819" s="156">
        <f t="shared" si="890"/>
        <v>0</v>
      </c>
      <c r="AV819" s="156">
        <f t="shared" si="891"/>
        <v>0</v>
      </c>
      <c r="AW819" s="157"/>
      <c r="AX819" s="150">
        <v>0</v>
      </c>
      <c r="AY819" s="150">
        <v>0</v>
      </c>
      <c r="AZ819" s="150"/>
      <c r="BA819" s="150">
        <f t="shared" si="887"/>
        <v>0</v>
      </c>
      <c r="BB819" s="210"/>
      <c r="BC819" s="210"/>
      <c r="BD819" s="210"/>
      <c r="BE819" s="210"/>
      <c r="BF819" s="210"/>
      <c r="BG819" s="210"/>
      <c r="BH819" s="217"/>
      <c r="BI819" s="210"/>
      <c r="BJ819" s="210"/>
      <c r="BK819" s="210"/>
      <c r="BL819" s="210"/>
      <c r="BM819" s="208"/>
      <c r="BN819" s="160"/>
      <c r="BO819" s="161"/>
      <c r="BP819" s="161"/>
    </row>
    <row r="820" spans="1:68" ht="51">
      <c r="A820" s="210"/>
      <c r="B820" s="195" t="s">
        <v>6983</v>
      </c>
      <c r="C820" s="196" t="s">
        <v>6984</v>
      </c>
      <c r="D820" s="146" t="s">
        <v>4692</v>
      </c>
      <c r="E820" s="196" t="s">
        <v>6984</v>
      </c>
      <c r="F820" s="150">
        <v>0</v>
      </c>
      <c r="G820" s="209">
        <v>0</v>
      </c>
      <c r="H820" s="209"/>
      <c r="I820" s="209">
        <v>0</v>
      </c>
      <c r="J820" s="150">
        <v>0</v>
      </c>
      <c r="K820" s="150">
        <v>0</v>
      </c>
      <c r="L820" s="150">
        <f t="shared" si="897"/>
        <v>0</v>
      </c>
      <c r="M820" s="150">
        <v>0</v>
      </c>
      <c r="N820" s="150"/>
      <c r="O820" s="150">
        <v>0</v>
      </c>
      <c r="P820" s="150">
        <v>0</v>
      </c>
      <c r="Q820" s="150">
        <v>0</v>
      </c>
      <c r="R820" s="150">
        <f t="shared" si="903"/>
        <v>0</v>
      </c>
      <c r="S820" s="150">
        <f t="shared" si="892"/>
        <v>0</v>
      </c>
      <c r="T820" s="150"/>
      <c r="U820" s="150">
        <v>0</v>
      </c>
      <c r="V820" s="199"/>
      <c r="W820" s="150">
        <f t="shared" si="904"/>
        <v>0</v>
      </c>
      <c r="X820" s="150">
        <v>0</v>
      </c>
      <c r="Y820" s="150"/>
      <c r="Z820" s="150">
        <v>0</v>
      </c>
      <c r="AA820" s="150">
        <f t="shared" si="893"/>
        <v>0</v>
      </c>
      <c r="AB820" s="150">
        <v>0</v>
      </c>
      <c r="AC820" s="199"/>
      <c r="AD820" s="150">
        <f t="shared" si="905"/>
        <v>0</v>
      </c>
      <c r="AE820" s="150">
        <v>0</v>
      </c>
      <c r="AF820" s="169" t="s">
        <v>4680</v>
      </c>
      <c r="AG820" s="201">
        <v>0</v>
      </c>
      <c r="AH820" s="199"/>
      <c r="AI820" s="150">
        <v>0</v>
      </c>
      <c r="AJ820" s="169">
        <f t="shared" si="894"/>
        <v>0</v>
      </c>
      <c r="AK820" s="201">
        <v>0</v>
      </c>
      <c r="AL820" s="199"/>
      <c r="AM820" s="150">
        <f t="shared" si="906"/>
        <v>0</v>
      </c>
      <c r="AN820" s="153">
        <f t="shared" si="895"/>
        <v>0</v>
      </c>
      <c r="AO820" s="154">
        <f t="shared" si="896"/>
        <v>0</v>
      </c>
      <c r="AP820" s="150">
        <v>0</v>
      </c>
      <c r="AQ820" s="201">
        <v>0</v>
      </c>
      <c r="AR820" s="199"/>
      <c r="AS820" s="150">
        <f t="shared" si="907"/>
        <v>0</v>
      </c>
      <c r="AT820" s="155"/>
      <c r="AU820" s="156">
        <f t="shared" si="890"/>
        <v>0</v>
      </c>
      <c r="AV820" s="156">
        <f t="shared" si="891"/>
        <v>0</v>
      </c>
      <c r="AW820" s="157"/>
      <c r="AX820" s="150">
        <v>0</v>
      </c>
      <c r="AY820" s="150">
        <v>0</v>
      </c>
      <c r="AZ820" s="150"/>
      <c r="BA820" s="150">
        <f t="shared" si="887"/>
        <v>0</v>
      </c>
      <c r="BB820" s="210"/>
      <c r="BC820" s="210"/>
      <c r="BD820" s="210"/>
      <c r="BE820" s="210"/>
      <c r="BF820" s="210"/>
      <c r="BG820" s="210"/>
      <c r="BH820" s="217"/>
      <c r="BI820" s="210"/>
      <c r="BJ820" s="210"/>
      <c r="BK820" s="210"/>
      <c r="BL820" s="210"/>
      <c r="BM820" s="208"/>
      <c r="BN820" s="160"/>
      <c r="BO820" s="161"/>
      <c r="BP820" s="161"/>
    </row>
    <row r="821" spans="1:68" ht="51">
      <c r="A821" s="210"/>
      <c r="B821" s="195" t="s">
        <v>6985</v>
      </c>
      <c r="C821" s="196" t="s">
        <v>6986</v>
      </c>
      <c r="D821" s="146" t="s">
        <v>4692</v>
      </c>
      <c r="E821" s="196" t="s">
        <v>6986</v>
      </c>
      <c r="F821" s="150">
        <v>0</v>
      </c>
      <c r="G821" s="209">
        <v>0</v>
      </c>
      <c r="H821" s="209"/>
      <c r="I821" s="209">
        <v>0</v>
      </c>
      <c r="J821" s="150">
        <v>0</v>
      </c>
      <c r="K821" s="150">
        <v>0</v>
      </c>
      <c r="L821" s="150">
        <f t="shared" si="897"/>
        <v>0</v>
      </c>
      <c r="M821" s="150">
        <v>0</v>
      </c>
      <c r="N821" s="150"/>
      <c r="O821" s="150">
        <v>0</v>
      </c>
      <c r="P821" s="150">
        <v>0</v>
      </c>
      <c r="Q821" s="150">
        <v>0</v>
      </c>
      <c r="R821" s="150">
        <f t="shared" si="903"/>
        <v>0</v>
      </c>
      <c r="S821" s="150">
        <f t="shared" si="892"/>
        <v>0</v>
      </c>
      <c r="T821" s="150"/>
      <c r="U821" s="150">
        <v>0</v>
      </c>
      <c r="V821" s="199"/>
      <c r="W821" s="150">
        <f t="shared" si="904"/>
        <v>0</v>
      </c>
      <c r="X821" s="150">
        <v>0</v>
      </c>
      <c r="Y821" s="150"/>
      <c r="Z821" s="150">
        <v>0</v>
      </c>
      <c r="AA821" s="150">
        <f t="shared" si="893"/>
        <v>0</v>
      </c>
      <c r="AB821" s="150">
        <v>0</v>
      </c>
      <c r="AC821" s="199"/>
      <c r="AD821" s="150">
        <f t="shared" si="905"/>
        <v>0</v>
      </c>
      <c r="AE821" s="150">
        <v>0</v>
      </c>
      <c r="AF821" s="169" t="s">
        <v>4680</v>
      </c>
      <c r="AG821" s="201">
        <v>0</v>
      </c>
      <c r="AH821" s="199"/>
      <c r="AI821" s="150">
        <v>0</v>
      </c>
      <c r="AJ821" s="169">
        <f t="shared" si="894"/>
        <v>0</v>
      </c>
      <c r="AK821" s="201">
        <v>0</v>
      </c>
      <c r="AL821" s="199"/>
      <c r="AM821" s="150">
        <f t="shared" si="906"/>
        <v>0</v>
      </c>
      <c r="AN821" s="153">
        <f t="shared" si="895"/>
        <v>0</v>
      </c>
      <c r="AO821" s="154">
        <f t="shared" si="896"/>
        <v>0</v>
      </c>
      <c r="AP821" s="150">
        <v>0</v>
      </c>
      <c r="AQ821" s="201">
        <v>0</v>
      </c>
      <c r="AR821" s="199"/>
      <c r="AS821" s="150">
        <f t="shared" si="907"/>
        <v>0</v>
      </c>
      <c r="AT821" s="155"/>
      <c r="AU821" s="156">
        <f t="shared" si="890"/>
        <v>0</v>
      </c>
      <c r="AV821" s="156">
        <f t="shared" si="891"/>
        <v>0</v>
      </c>
      <c r="AW821" s="157"/>
      <c r="AX821" s="150">
        <v>0</v>
      </c>
      <c r="AY821" s="150">
        <v>0</v>
      </c>
      <c r="AZ821" s="150"/>
      <c r="BA821" s="150">
        <f t="shared" si="887"/>
        <v>0</v>
      </c>
      <c r="BB821" s="210"/>
      <c r="BC821" s="210"/>
      <c r="BD821" s="210"/>
      <c r="BE821" s="210"/>
      <c r="BF821" s="210"/>
      <c r="BG821" s="210"/>
      <c r="BH821" s="217"/>
      <c r="BI821" s="210"/>
      <c r="BJ821" s="210"/>
      <c r="BK821" s="210"/>
      <c r="BL821" s="210"/>
      <c r="BM821" s="208"/>
      <c r="BN821" s="160"/>
      <c r="BO821" s="161"/>
      <c r="BP821" s="161"/>
    </row>
    <row r="822" spans="1:68" ht="63.75">
      <c r="A822" s="210"/>
      <c r="B822" s="195" t="s">
        <v>6987</v>
      </c>
      <c r="C822" s="196" t="s">
        <v>6988</v>
      </c>
      <c r="D822" s="146" t="s">
        <v>4692</v>
      </c>
      <c r="E822" s="196" t="s">
        <v>6988</v>
      </c>
      <c r="F822" s="150">
        <v>0</v>
      </c>
      <c r="G822" s="209">
        <v>7946.15</v>
      </c>
      <c r="H822" s="209"/>
      <c r="I822" s="209">
        <v>7946.15</v>
      </c>
      <c r="J822" s="150">
        <v>0</v>
      </c>
      <c r="K822" s="150">
        <v>0</v>
      </c>
      <c r="L822" s="150">
        <f t="shared" si="897"/>
        <v>0</v>
      </c>
      <c r="M822" s="150">
        <v>0</v>
      </c>
      <c r="N822" s="150"/>
      <c r="O822" s="150">
        <v>0</v>
      </c>
      <c r="P822" s="150">
        <v>0</v>
      </c>
      <c r="Q822" s="150">
        <v>0</v>
      </c>
      <c r="R822" s="150">
        <f t="shared" si="903"/>
        <v>0</v>
      </c>
      <c r="S822" s="150">
        <f t="shared" si="892"/>
        <v>0</v>
      </c>
      <c r="T822" s="150"/>
      <c r="U822" s="150">
        <v>0</v>
      </c>
      <c r="V822" s="199"/>
      <c r="W822" s="150">
        <f t="shared" si="904"/>
        <v>0</v>
      </c>
      <c r="X822" s="150">
        <v>0</v>
      </c>
      <c r="Y822" s="150"/>
      <c r="Z822" s="150">
        <v>0</v>
      </c>
      <c r="AA822" s="150">
        <f t="shared" si="893"/>
        <v>0</v>
      </c>
      <c r="AB822" s="150">
        <v>0</v>
      </c>
      <c r="AC822" s="199"/>
      <c r="AD822" s="150">
        <f t="shared" si="905"/>
        <v>0</v>
      </c>
      <c r="AE822" s="150">
        <v>0</v>
      </c>
      <c r="AF822" s="169" t="s">
        <v>4680</v>
      </c>
      <c r="AG822" s="201">
        <v>0</v>
      </c>
      <c r="AH822" s="199"/>
      <c r="AI822" s="150">
        <v>0</v>
      </c>
      <c r="AJ822" s="169">
        <f t="shared" si="894"/>
        <v>0</v>
      </c>
      <c r="AK822" s="201">
        <v>0</v>
      </c>
      <c r="AL822" s="199"/>
      <c r="AM822" s="150">
        <f t="shared" si="906"/>
        <v>0</v>
      </c>
      <c r="AN822" s="153">
        <f t="shared" si="895"/>
        <v>0</v>
      </c>
      <c r="AO822" s="154">
        <f t="shared" si="896"/>
        <v>0</v>
      </c>
      <c r="AP822" s="150">
        <v>0</v>
      </c>
      <c r="AQ822" s="201">
        <v>0</v>
      </c>
      <c r="AR822" s="199"/>
      <c r="AS822" s="150">
        <f t="shared" si="907"/>
        <v>0</v>
      </c>
      <c r="AT822" s="155"/>
      <c r="AU822" s="156">
        <f t="shared" si="890"/>
        <v>0</v>
      </c>
      <c r="AV822" s="156">
        <f t="shared" si="891"/>
        <v>0</v>
      </c>
      <c r="AW822" s="157"/>
      <c r="AX822" s="150">
        <v>0</v>
      </c>
      <c r="AY822" s="150">
        <v>0</v>
      </c>
      <c r="AZ822" s="150"/>
      <c r="BA822" s="150">
        <f t="shared" si="887"/>
        <v>0</v>
      </c>
      <c r="BB822" s="210"/>
      <c r="BC822" s="210"/>
      <c r="BD822" s="210"/>
      <c r="BE822" s="210"/>
      <c r="BF822" s="210"/>
      <c r="BG822" s="210"/>
      <c r="BH822" s="217"/>
      <c r="BI822" s="210"/>
      <c r="BJ822" s="210"/>
      <c r="BK822" s="210"/>
      <c r="BL822" s="210"/>
      <c r="BM822" s="208"/>
      <c r="BN822" s="160"/>
      <c r="BO822" s="161"/>
      <c r="BP822" s="161"/>
    </row>
    <row r="823" spans="1:68" ht="51">
      <c r="A823" s="210"/>
      <c r="B823" s="195" t="s">
        <v>6989</v>
      </c>
      <c r="C823" s="196" t="s">
        <v>6990</v>
      </c>
      <c r="D823" s="146" t="s">
        <v>4692</v>
      </c>
      <c r="E823" s="196" t="s">
        <v>6990</v>
      </c>
      <c r="F823" s="150">
        <v>7946.15</v>
      </c>
      <c r="G823" s="209">
        <v>0</v>
      </c>
      <c r="H823" s="209"/>
      <c r="I823" s="209">
        <v>0</v>
      </c>
      <c r="J823" s="150">
        <v>2397.35</v>
      </c>
      <c r="K823" s="150">
        <v>0</v>
      </c>
      <c r="L823" s="150">
        <f t="shared" si="897"/>
        <v>2397.35</v>
      </c>
      <c r="M823" s="150">
        <v>3597.55</v>
      </c>
      <c r="N823" s="150"/>
      <c r="O823" s="150">
        <v>3597.55</v>
      </c>
      <c r="P823" s="150">
        <v>4472.8</v>
      </c>
      <c r="Q823" s="150">
        <v>0</v>
      </c>
      <c r="R823" s="150">
        <f t="shared" si="903"/>
        <v>4472.8</v>
      </c>
      <c r="S823" s="150">
        <f t="shared" si="892"/>
        <v>5963.7333333333336</v>
      </c>
      <c r="T823" s="150"/>
      <c r="U823" s="150">
        <v>8308.7999999999993</v>
      </c>
      <c r="V823" s="199"/>
      <c r="W823" s="150">
        <f t="shared" si="904"/>
        <v>8308.7999999999993</v>
      </c>
      <c r="X823" s="150">
        <v>8308.7999999999993</v>
      </c>
      <c r="Y823" s="150"/>
      <c r="Z823" s="150">
        <v>8308.7999999999993</v>
      </c>
      <c r="AA823" s="150">
        <f t="shared" si="893"/>
        <v>0</v>
      </c>
      <c r="AB823" s="150">
        <v>8308.7999999999993</v>
      </c>
      <c r="AC823" s="199"/>
      <c r="AD823" s="150">
        <f t="shared" si="905"/>
        <v>8308.7999999999993</v>
      </c>
      <c r="AE823" s="150">
        <v>8308.7999999999993</v>
      </c>
      <c r="AF823" s="169" t="s">
        <v>4680</v>
      </c>
      <c r="AG823" s="201">
        <v>8308.7999999999993</v>
      </c>
      <c r="AH823" s="199"/>
      <c r="AI823" s="150">
        <v>8308.7999999999993</v>
      </c>
      <c r="AJ823" s="169">
        <f t="shared" si="894"/>
        <v>0</v>
      </c>
      <c r="AK823" s="201">
        <v>8308.7999999999993</v>
      </c>
      <c r="AL823" s="199"/>
      <c r="AM823" s="150">
        <f t="shared" si="906"/>
        <v>8308.7999999999993</v>
      </c>
      <c r="AN823" s="153">
        <f t="shared" si="895"/>
        <v>0</v>
      </c>
      <c r="AO823" s="154">
        <f t="shared" si="896"/>
        <v>0</v>
      </c>
      <c r="AP823" s="150">
        <v>8308.7999999999993</v>
      </c>
      <c r="AQ823" s="201">
        <v>8308.7999999999993</v>
      </c>
      <c r="AR823" s="199"/>
      <c r="AS823" s="150">
        <f t="shared" si="907"/>
        <v>8308.7999999999993</v>
      </c>
      <c r="AT823" s="155"/>
      <c r="AU823" s="156">
        <f t="shared" si="890"/>
        <v>0</v>
      </c>
      <c r="AV823" s="156">
        <f t="shared" si="891"/>
        <v>0</v>
      </c>
      <c r="AW823" s="157"/>
      <c r="AX823" s="150">
        <v>8308.7999999999993</v>
      </c>
      <c r="AY823" s="150">
        <v>4008.15</v>
      </c>
      <c r="AZ823" s="237">
        <v>117755.28</v>
      </c>
      <c r="BA823" s="150">
        <f t="shared" ref="BA823:BA886" si="909">AY823+AZ823</f>
        <v>121763.43</v>
      </c>
      <c r="BB823" s="210"/>
      <c r="BC823" s="210"/>
      <c r="BD823" s="210"/>
      <c r="BE823" s="210"/>
      <c r="BF823" s="210"/>
      <c r="BG823" s="210"/>
      <c r="BH823" s="217"/>
      <c r="BI823" s="210"/>
      <c r="BJ823" s="210"/>
      <c r="BK823" s="210"/>
      <c r="BL823" s="210"/>
      <c r="BM823" s="208"/>
      <c r="BN823" s="160"/>
      <c r="BO823" s="161"/>
      <c r="BP823" s="161"/>
    </row>
    <row r="824" spans="1:68" ht="51">
      <c r="A824" s="210"/>
      <c r="B824" s="195" t="s">
        <v>6991</v>
      </c>
      <c r="C824" s="196" t="s">
        <v>6992</v>
      </c>
      <c r="D824" s="146" t="s">
        <v>4692</v>
      </c>
      <c r="E824" s="196" t="s">
        <v>6992</v>
      </c>
      <c r="F824" s="150">
        <v>0</v>
      </c>
      <c r="G824" s="209">
        <v>0</v>
      </c>
      <c r="H824" s="209"/>
      <c r="I824" s="209">
        <v>0</v>
      </c>
      <c r="J824" s="150">
        <v>0</v>
      </c>
      <c r="K824" s="150">
        <v>0</v>
      </c>
      <c r="L824" s="150">
        <f t="shared" si="897"/>
        <v>0</v>
      </c>
      <c r="M824" s="150">
        <v>0</v>
      </c>
      <c r="N824" s="150"/>
      <c r="O824" s="150">
        <v>0</v>
      </c>
      <c r="P824" s="150">
        <v>0</v>
      </c>
      <c r="Q824" s="150">
        <v>0</v>
      </c>
      <c r="R824" s="150">
        <f t="shared" si="903"/>
        <v>0</v>
      </c>
      <c r="S824" s="150">
        <f t="shared" si="892"/>
        <v>0</v>
      </c>
      <c r="T824" s="150"/>
      <c r="U824" s="150">
        <v>0</v>
      </c>
      <c r="V824" s="199"/>
      <c r="W824" s="150">
        <f t="shared" si="904"/>
        <v>0</v>
      </c>
      <c r="X824" s="150">
        <v>0</v>
      </c>
      <c r="Y824" s="150"/>
      <c r="Z824" s="150">
        <v>0</v>
      </c>
      <c r="AA824" s="150">
        <f t="shared" si="893"/>
        <v>0</v>
      </c>
      <c r="AB824" s="150">
        <v>0</v>
      </c>
      <c r="AC824" s="199"/>
      <c r="AD824" s="150">
        <f t="shared" si="905"/>
        <v>0</v>
      </c>
      <c r="AE824" s="150">
        <v>0</v>
      </c>
      <c r="AF824" s="169" t="s">
        <v>4680</v>
      </c>
      <c r="AG824" s="201">
        <v>0</v>
      </c>
      <c r="AH824" s="199"/>
      <c r="AI824" s="150">
        <v>0</v>
      </c>
      <c r="AJ824" s="169">
        <f t="shared" si="894"/>
        <v>0</v>
      </c>
      <c r="AK824" s="201">
        <v>0</v>
      </c>
      <c r="AL824" s="199"/>
      <c r="AM824" s="150">
        <f t="shared" si="906"/>
        <v>0</v>
      </c>
      <c r="AN824" s="153">
        <f t="shared" si="895"/>
        <v>0</v>
      </c>
      <c r="AO824" s="154">
        <f t="shared" si="896"/>
        <v>0</v>
      </c>
      <c r="AP824" s="150">
        <v>0</v>
      </c>
      <c r="AQ824" s="201">
        <v>0</v>
      </c>
      <c r="AR824" s="199"/>
      <c r="AS824" s="150">
        <f t="shared" si="907"/>
        <v>0</v>
      </c>
      <c r="AT824" s="155"/>
      <c r="AU824" s="156">
        <f t="shared" si="890"/>
        <v>0</v>
      </c>
      <c r="AV824" s="156">
        <f t="shared" si="891"/>
        <v>0</v>
      </c>
      <c r="AW824" s="157"/>
      <c r="AX824" s="150">
        <v>0</v>
      </c>
      <c r="AY824" s="150">
        <v>0</v>
      </c>
      <c r="AZ824" s="150"/>
      <c r="BA824" s="150">
        <f t="shared" si="909"/>
        <v>0</v>
      </c>
      <c r="BB824" s="210"/>
      <c r="BC824" s="210"/>
      <c r="BD824" s="210"/>
      <c r="BE824" s="210"/>
      <c r="BF824" s="210"/>
      <c r="BG824" s="210"/>
      <c r="BH824" s="217"/>
      <c r="BI824" s="210"/>
      <c r="BJ824" s="210"/>
      <c r="BK824" s="210"/>
      <c r="BL824" s="210"/>
      <c r="BM824" s="208"/>
      <c r="BN824" s="160"/>
      <c r="BO824" s="161"/>
      <c r="BP824" s="161"/>
    </row>
    <row r="825" spans="1:68" ht="51">
      <c r="A825" s="210"/>
      <c r="B825" s="195" t="s">
        <v>6993</v>
      </c>
      <c r="C825" s="196" t="s">
        <v>6994</v>
      </c>
      <c r="D825" s="146" t="s">
        <v>4692</v>
      </c>
      <c r="E825" s="196" t="s">
        <v>6994</v>
      </c>
      <c r="F825" s="150">
        <v>0</v>
      </c>
      <c r="G825" s="209">
        <v>0</v>
      </c>
      <c r="H825" s="209"/>
      <c r="I825" s="209">
        <v>0</v>
      </c>
      <c r="J825" s="150">
        <v>0</v>
      </c>
      <c r="K825" s="150">
        <v>0</v>
      </c>
      <c r="L825" s="150">
        <f t="shared" si="897"/>
        <v>0</v>
      </c>
      <c r="M825" s="150">
        <v>0</v>
      </c>
      <c r="N825" s="150"/>
      <c r="O825" s="150">
        <v>0</v>
      </c>
      <c r="P825" s="150">
        <v>0</v>
      </c>
      <c r="Q825" s="150">
        <v>0</v>
      </c>
      <c r="R825" s="150">
        <f t="shared" si="903"/>
        <v>0</v>
      </c>
      <c r="S825" s="150">
        <f t="shared" si="892"/>
        <v>0</v>
      </c>
      <c r="T825" s="150"/>
      <c r="U825" s="150">
        <v>0</v>
      </c>
      <c r="V825" s="199"/>
      <c r="W825" s="150">
        <f t="shared" si="904"/>
        <v>0</v>
      </c>
      <c r="X825" s="150">
        <v>0</v>
      </c>
      <c r="Y825" s="150"/>
      <c r="Z825" s="150">
        <v>0</v>
      </c>
      <c r="AA825" s="150">
        <f t="shared" si="893"/>
        <v>0</v>
      </c>
      <c r="AB825" s="150">
        <v>0</v>
      </c>
      <c r="AC825" s="199"/>
      <c r="AD825" s="150">
        <f t="shared" si="905"/>
        <v>0</v>
      </c>
      <c r="AE825" s="150">
        <v>0</v>
      </c>
      <c r="AF825" s="169" t="s">
        <v>4680</v>
      </c>
      <c r="AG825" s="201">
        <v>0</v>
      </c>
      <c r="AH825" s="199"/>
      <c r="AI825" s="150">
        <v>0</v>
      </c>
      <c r="AJ825" s="169">
        <f t="shared" si="894"/>
        <v>0</v>
      </c>
      <c r="AK825" s="201">
        <v>0</v>
      </c>
      <c r="AL825" s="199"/>
      <c r="AM825" s="150">
        <f t="shared" si="906"/>
        <v>0</v>
      </c>
      <c r="AN825" s="153">
        <f t="shared" si="895"/>
        <v>0</v>
      </c>
      <c r="AO825" s="154">
        <f t="shared" si="896"/>
        <v>0</v>
      </c>
      <c r="AP825" s="150">
        <v>0</v>
      </c>
      <c r="AQ825" s="201">
        <v>0</v>
      </c>
      <c r="AR825" s="199"/>
      <c r="AS825" s="150">
        <f t="shared" si="907"/>
        <v>0</v>
      </c>
      <c r="AT825" s="155"/>
      <c r="AU825" s="156">
        <f t="shared" si="890"/>
        <v>0</v>
      </c>
      <c r="AV825" s="156">
        <f t="shared" si="891"/>
        <v>0</v>
      </c>
      <c r="AW825" s="157"/>
      <c r="AX825" s="150">
        <v>0</v>
      </c>
      <c r="AY825" s="150">
        <v>0</v>
      </c>
      <c r="AZ825" s="150"/>
      <c r="BA825" s="150">
        <f t="shared" si="909"/>
        <v>0</v>
      </c>
      <c r="BB825" s="210"/>
      <c r="BC825" s="210"/>
      <c r="BD825" s="210"/>
      <c r="BE825" s="210"/>
      <c r="BF825" s="210"/>
      <c r="BG825" s="210"/>
      <c r="BH825" s="217"/>
      <c r="BI825" s="210"/>
      <c r="BJ825" s="210"/>
      <c r="BK825" s="210"/>
      <c r="BL825" s="210"/>
      <c r="BM825" s="208"/>
      <c r="BN825" s="160"/>
      <c r="BO825" s="161"/>
      <c r="BP825" s="161"/>
    </row>
    <row r="826" spans="1:68" ht="51">
      <c r="A826" s="210"/>
      <c r="B826" s="195" t="s">
        <v>6995</v>
      </c>
      <c r="C826" s="196" t="s">
        <v>6996</v>
      </c>
      <c r="D826" s="146" t="s">
        <v>4692</v>
      </c>
      <c r="E826" s="196" t="s">
        <v>6996</v>
      </c>
      <c r="F826" s="150">
        <v>0</v>
      </c>
      <c r="G826" s="209">
        <v>0</v>
      </c>
      <c r="H826" s="209"/>
      <c r="I826" s="209">
        <v>0</v>
      </c>
      <c r="J826" s="150">
        <v>0</v>
      </c>
      <c r="K826" s="150">
        <v>0</v>
      </c>
      <c r="L826" s="150">
        <f t="shared" si="897"/>
        <v>0</v>
      </c>
      <c r="M826" s="150">
        <v>0</v>
      </c>
      <c r="N826" s="150"/>
      <c r="O826" s="150">
        <v>0</v>
      </c>
      <c r="P826" s="150">
        <v>0</v>
      </c>
      <c r="Q826" s="150">
        <v>0</v>
      </c>
      <c r="R826" s="150">
        <f t="shared" si="903"/>
        <v>0</v>
      </c>
      <c r="S826" s="150">
        <f t="shared" si="892"/>
        <v>0</v>
      </c>
      <c r="T826" s="150"/>
      <c r="U826" s="150">
        <v>0</v>
      </c>
      <c r="V826" s="199"/>
      <c r="W826" s="150">
        <f t="shared" si="904"/>
        <v>0</v>
      </c>
      <c r="X826" s="150">
        <v>0</v>
      </c>
      <c r="Y826" s="150"/>
      <c r="Z826" s="150">
        <v>0</v>
      </c>
      <c r="AA826" s="150">
        <f t="shared" si="893"/>
        <v>0</v>
      </c>
      <c r="AB826" s="150">
        <v>0</v>
      </c>
      <c r="AC826" s="199"/>
      <c r="AD826" s="150">
        <f t="shared" si="905"/>
        <v>0</v>
      </c>
      <c r="AE826" s="150">
        <v>0</v>
      </c>
      <c r="AF826" s="169" t="s">
        <v>4680</v>
      </c>
      <c r="AG826" s="201">
        <v>0</v>
      </c>
      <c r="AH826" s="199"/>
      <c r="AI826" s="150">
        <v>0</v>
      </c>
      <c r="AJ826" s="169">
        <f t="shared" si="894"/>
        <v>0</v>
      </c>
      <c r="AK826" s="201">
        <v>0</v>
      </c>
      <c r="AL826" s="199"/>
      <c r="AM826" s="150">
        <f t="shared" si="906"/>
        <v>0</v>
      </c>
      <c r="AN826" s="153">
        <f t="shared" si="895"/>
        <v>0</v>
      </c>
      <c r="AO826" s="154">
        <f t="shared" si="896"/>
        <v>0</v>
      </c>
      <c r="AP826" s="150">
        <v>0</v>
      </c>
      <c r="AQ826" s="201">
        <v>0</v>
      </c>
      <c r="AR826" s="199"/>
      <c r="AS826" s="150">
        <f t="shared" si="907"/>
        <v>0</v>
      </c>
      <c r="AT826" s="155"/>
      <c r="AU826" s="156">
        <f t="shared" si="890"/>
        <v>0</v>
      </c>
      <c r="AV826" s="156">
        <f t="shared" si="891"/>
        <v>0</v>
      </c>
      <c r="AW826" s="157"/>
      <c r="AX826" s="150">
        <v>0</v>
      </c>
      <c r="AY826" s="150">
        <v>0</v>
      </c>
      <c r="AZ826" s="150"/>
      <c r="BA826" s="150">
        <f t="shared" si="909"/>
        <v>0</v>
      </c>
      <c r="BB826" s="210"/>
      <c r="BC826" s="210"/>
      <c r="BD826" s="210"/>
      <c r="BE826" s="210"/>
      <c r="BF826" s="210"/>
      <c r="BG826" s="210"/>
      <c r="BH826" s="217"/>
      <c r="BI826" s="210"/>
      <c r="BJ826" s="210"/>
      <c r="BK826" s="210"/>
      <c r="BL826" s="210"/>
      <c r="BM826" s="208"/>
      <c r="BN826" s="160"/>
      <c r="BO826" s="161">
        <f t="shared" si="908"/>
        <v>0</v>
      </c>
      <c r="BP826" s="161"/>
    </row>
    <row r="827" spans="1:68" ht="63.75">
      <c r="A827" s="210"/>
      <c r="B827" s="195" t="s">
        <v>6997</v>
      </c>
      <c r="C827" s="196" t="s">
        <v>6998</v>
      </c>
      <c r="D827" s="146" t="s">
        <v>4692</v>
      </c>
      <c r="E827" s="196" t="s">
        <v>6998</v>
      </c>
      <c r="F827" s="150">
        <v>0</v>
      </c>
      <c r="G827" s="209">
        <v>0</v>
      </c>
      <c r="H827" s="209"/>
      <c r="I827" s="209">
        <v>0</v>
      </c>
      <c r="J827" s="150">
        <v>0</v>
      </c>
      <c r="K827" s="150">
        <v>0</v>
      </c>
      <c r="L827" s="150">
        <f t="shared" si="897"/>
        <v>0</v>
      </c>
      <c r="M827" s="150">
        <v>0</v>
      </c>
      <c r="N827" s="150"/>
      <c r="O827" s="150">
        <v>0</v>
      </c>
      <c r="P827" s="150">
        <v>0</v>
      </c>
      <c r="Q827" s="150">
        <v>0</v>
      </c>
      <c r="R827" s="150">
        <f t="shared" si="903"/>
        <v>0</v>
      </c>
      <c r="S827" s="150">
        <f t="shared" si="892"/>
        <v>0</v>
      </c>
      <c r="T827" s="150"/>
      <c r="U827" s="150">
        <v>0</v>
      </c>
      <c r="V827" s="199"/>
      <c r="W827" s="150">
        <f t="shared" si="904"/>
        <v>0</v>
      </c>
      <c r="X827" s="150">
        <v>0</v>
      </c>
      <c r="Y827" s="150"/>
      <c r="Z827" s="150">
        <v>0</v>
      </c>
      <c r="AA827" s="150">
        <f t="shared" si="893"/>
        <v>0</v>
      </c>
      <c r="AB827" s="150">
        <v>0</v>
      </c>
      <c r="AC827" s="199"/>
      <c r="AD827" s="150">
        <f t="shared" si="905"/>
        <v>0</v>
      </c>
      <c r="AE827" s="150">
        <v>0</v>
      </c>
      <c r="AF827" s="169" t="s">
        <v>4680</v>
      </c>
      <c r="AG827" s="201">
        <v>0</v>
      </c>
      <c r="AH827" s="199"/>
      <c r="AI827" s="150">
        <v>0</v>
      </c>
      <c r="AJ827" s="169">
        <f t="shared" si="894"/>
        <v>0</v>
      </c>
      <c r="AK827" s="201">
        <v>0</v>
      </c>
      <c r="AL827" s="199"/>
      <c r="AM827" s="150">
        <f t="shared" si="906"/>
        <v>0</v>
      </c>
      <c r="AN827" s="153">
        <f t="shared" si="895"/>
        <v>0</v>
      </c>
      <c r="AO827" s="154">
        <f t="shared" si="896"/>
        <v>0</v>
      </c>
      <c r="AP827" s="150">
        <v>0</v>
      </c>
      <c r="AQ827" s="201">
        <v>0</v>
      </c>
      <c r="AR827" s="199"/>
      <c r="AS827" s="150">
        <f t="shared" si="907"/>
        <v>0</v>
      </c>
      <c r="AT827" s="155"/>
      <c r="AU827" s="156">
        <f t="shared" si="890"/>
        <v>0</v>
      </c>
      <c r="AV827" s="156">
        <f t="shared" si="891"/>
        <v>0</v>
      </c>
      <c r="AW827" s="157"/>
      <c r="AX827" s="150">
        <v>0</v>
      </c>
      <c r="AY827" s="150">
        <v>0</v>
      </c>
      <c r="AZ827" s="150"/>
      <c r="BA827" s="150">
        <f t="shared" si="909"/>
        <v>0</v>
      </c>
      <c r="BB827" s="210"/>
      <c r="BC827" s="210"/>
      <c r="BD827" s="210"/>
      <c r="BE827" s="210"/>
      <c r="BF827" s="210"/>
      <c r="BG827" s="210"/>
      <c r="BH827" s="217"/>
      <c r="BI827" s="210"/>
      <c r="BJ827" s="210"/>
      <c r="BK827" s="210"/>
      <c r="BL827" s="210"/>
      <c r="BM827" s="208"/>
      <c r="BN827" s="160"/>
      <c r="BO827" s="161">
        <f t="shared" si="908"/>
        <v>0</v>
      </c>
      <c r="BP827" s="161"/>
    </row>
    <row r="828" spans="1:68" ht="63.75">
      <c r="A828" s="210"/>
      <c r="B828" s="195" t="s">
        <v>6999</v>
      </c>
      <c r="C828" s="196" t="s">
        <v>7000</v>
      </c>
      <c r="D828" s="146" t="s">
        <v>4692</v>
      </c>
      <c r="E828" s="196" t="s">
        <v>7000</v>
      </c>
      <c r="F828" s="150">
        <v>0</v>
      </c>
      <c r="G828" s="209">
        <v>0</v>
      </c>
      <c r="H828" s="209"/>
      <c r="I828" s="209">
        <v>0</v>
      </c>
      <c r="J828" s="150">
        <v>0</v>
      </c>
      <c r="K828" s="150">
        <v>0</v>
      </c>
      <c r="L828" s="150">
        <f t="shared" si="897"/>
        <v>0</v>
      </c>
      <c r="M828" s="150">
        <v>0</v>
      </c>
      <c r="N828" s="150"/>
      <c r="O828" s="150">
        <v>0</v>
      </c>
      <c r="P828" s="150">
        <v>0</v>
      </c>
      <c r="Q828" s="150">
        <v>0</v>
      </c>
      <c r="R828" s="150">
        <f t="shared" si="903"/>
        <v>0</v>
      </c>
      <c r="S828" s="150">
        <f t="shared" si="892"/>
        <v>0</v>
      </c>
      <c r="T828" s="150"/>
      <c r="U828" s="150">
        <v>0</v>
      </c>
      <c r="V828" s="199"/>
      <c r="W828" s="150">
        <f t="shared" si="904"/>
        <v>0</v>
      </c>
      <c r="X828" s="150">
        <v>0</v>
      </c>
      <c r="Y828" s="150"/>
      <c r="Z828" s="150">
        <v>0</v>
      </c>
      <c r="AA828" s="150">
        <f t="shared" si="893"/>
        <v>0</v>
      </c>
      <c r="AB828" s="150">
        <v>0</v>
      </c>
      <c r="AC828" s="199"/>
      <c r="AD828" s="150">
        <f t="shared" si="905"/>
        <v>0</v>
      </c>
      <c r="AE828" s="150">
        <v>0</v>
      </c>
      <c r="AF828" s="169" t="s">
        <v>4680</v>
      </c>
      <c r="AG828" s="201">
        <v>0</v>
      </c>
      <c r="AH828" s="199"/>
      <c r="AI828" s="150">
        <v>0</v>
      </c>
      <c r="AJ828" s="169">
        <f t="shared" si="894"/>
        <v>0</v>
      </c>
      <c r="AK828" s="201">
        <v>0</v>
      </c>
      <c r="AL828" s="199"/>
      <c r="AM828" s="150">
        <f t="shared" si="906"/>
        <v>0</v>
      </c>
      <c r="AN828" s="153">
        <f t="shared" si="895"/>
        <v>0</v>
      </c>
      <c r="AO828" s="154">
        <f t="shared" si="896"/>
        <v>0</v>
      </c>
      <c r="AP828" s="150">
        <v>0</v>
      </c>
      <c r="AQ828" s="201">
        <v>0</v>
      </c>
      <c r="AR828" s="199"/>
      <c r="AS828" s="150">
        <f t="shared" si="907"/>
        <v>0</v>
      </c>
      <c r="AT828" s="155"/>
      <c r="AU828" s="156">
        <f t="shared" si="890"/>
        <v>0</v>
      </c>
      <c r="AV828" s="156">
        <f t="shared" si="891"/>
        <v>0</v>
      </c>
      <c r="AW828" s="157"/>
      <c r="AX828" s="150">
        <v>0</v>
      </c>
      <c r="AY828" s="150">
        <v>0</v>
      </c>
      <c r="AZ828" s="150"/>
      <c r="BA828" s="150">
        <f t="shared" si="909"/>
        <v>0</v>
      </c>
      <c r="BB828" s="210"/>
      <c r="BC828" s="210"/>
      <c r="BD828" s="210"/>
      <c r="BE828" s="210"/>
      <c r="BF828" s="210"/>
      <c r="BG828" s="210"/>
      <c r="BH828" s="217"/>
      <c r="BI828" s="210"/>
      <c r="BJ828" s="210"/>
      <c r="BK828" s="210"/>
      <c r="BL828" s="210"/>
      <c r="BM828" s="208"/>
      <c r="BN828" s="160"/>
      <c r="BO828" s="161">
        <f t="shared" si="908"/>
        <v>0</v>
      </c>
      <c r="BP828" s="161"/>
    </row>
    <row r="829" spans="1:68" ht="51">
      <c r="A829" s="210"/>
      <c r="B829" s="195" t="s">
        <v>7001</v>
      </c>
      <c r="C829" s="196" t="s">
        <v>7002</v>
      </c>
      <c r="D829" s="146" t="s">
        <v>4692</v>
      </c>
      <c r="E829" s="196" t="s">
        <v>7002</v>
      </c>
      <c r="F829" s="150">
        <v>0</v>
      </c>
      <c r="G829" s="209">
        <v>0</v>
      </c>
      <c r="H829" s="209"/>
      <c r="I829" s="209">
        <v>0</v>
      </c>
      <c r="J829" s="150">
        <v>0</v>
      </c>
      <c r="K829" s="150">
        <v>0</v>
      </c>
      <c r="L829" s="150">
        <f t="shared" si="897"/>
        <v>0</v>
      </c>
      <c r="M829" s="150">
        <v>0</v>
      </c>
      <c r="N829" s="150"/>
      <c r="O829" s="150">
        <v>0</v>
      </c>
      <c r="P829" s="150">
        <v>0</v>
      </c>
      <c r="Q829" s="150">
        <v>0</v>
      </c>
      <c r="R829" s="150">
        <f t="shared" si="903"/>
        <v>0</v>
      </c>
      <c r="S829" s="150">
        <f t="shared" si="892"/>
        <v>0</v>
      </c>
      <c r="T829" s="150"/>
      <c r="U829" s="150">
        <v>0</v>
      </c>
      <c r="V829" s="199"/>
      <c r="W829" s="150">
        <f t="shared" si="904"/>
        <v>0</v>
      </c>
      <c r="X829" s="150">
        <v>0</v>
      </c>
      <c r="Y829" s="150"/>
      <c r="Z829" s="150">
        <v>0</v>
      </c>
      <c r="AA829" s="150">
        <f t="shared" si="893"/>
        <v>0</v>
      </c>
      <c r="AB829" s="150">
        <v>0</v>
      </c>
      <c r="AC829" s="199"/>
      <c r="AD829" s="150">
        <f t="shared" si="905"/>
        <v>0</v>
      </c>
      <c r="AE829" s="150">
        <v>0</v>
      </c>
      <c r="AF829" s="169" t="s">
        <v>4680</v>
      </c>
      <c r="AG829" s="201">
        <v>0</v>
      </c>
      <c r="AH829" s="199"/>
      <c r="AI829" s="150">
        <v>0</v>
      </c>
      <c r="AJ829" s="169">
        <f t="shared" si="894"/>
        <v>0</v>
      </c>
      <c r="AK829" s="201">
        <v>0</v>
      </c>
      <c r="AL829" s="199"/>
      <c r="AM829" s="150">
        <f t="shared" si="906"/>
        <v>0</v>
      </c>
      <c r="AN829" s="153">
        <f t="shared" si="895"/>
        <v>0</v>
      </c>
      <c r="AO829" s="154">
        <f t="shared" si="896"/>
        <v>0</v>
      </c>
      <c r="AP829" s="150">
        <v>0</v>
      </c>
      <c r="AQ829" s="201">
        <v>0</v>
      </c>
      <c r="AR829" s="199"/>
      <c r="AS829" s="150">
        <f t="shared" si="907"/>
        <v>0</v>
      </c>
      <c r="AT829" s="155"/>
      <c r="AU829" s="156">
        <f t="shared" si="890"/>
        <v>0</v>
      </c>
      <c r="AV829" s="156">
        <f t="shared" si="891"/>
        <v>0</v>
      </c>
      <c r="AW829" s="157"/>
      <c r="AX829" s="150">
        <v>0</v>
      </c>
      <c r="AY829" s="150">
        <v>0</v>
      </c>
      <c r="AZ829" s="150"/>
      <c r="BA829" s="150">
        <f t="shared" si="909"/>
        <v>0</v>
      </c>
      <c r="BB829" s="210"/>
      <c r="BC829" s="210"/>
      <c r="BD829" s="210"/>
      <c r="BE829" s="210"/>
      <c r="BF829" s="210"/>
      <c r="BG829" s="210"/>
      <c r="BH829" s="217"/>
      <c r="BI829" s="210"/>
      <c r="BJ829" s="210"/>
      <c r="BK829" s="210"/>
      <c r="BL829" s="210"/>
      <c r="BM829" s="208"/>
      <c r="BN829" s="160"/>
      <c r="BO829" s="161">
        <f t="shared" si="908"/>
        <v>0</v>
      </c>
      <c r="BP829" s="161"/>
    </row>
    <row r="830" spans="1:68" ht="63.75">
      <c r="A830" s="210"/>
      <c r="B830" s="195" t="s">
        <v>7003</v>
      </c>
      <c r="C830" s="196" t="s">
        <v>7004</v>
      </c>
      <c r="D830" s="146" t="s">
        <v>4692</v>
      </c>
      <c r="E830" s="196" t="s">
        <v>7004</v>
      </c>
      <c r="F830" s="150">
        <v>0</v>
      </c>
      <c r="G830" s="209">
        <v>26111.360000000001</v>
      </c>
      <c r="H830" s="209"/>
      <c r="I830" s="209">
        <v>26111.360000000001</v>
      </c>
      <c r="J830" s="150">
        <v>0</v>
      </c>
      <c r="K830" s="150">
        <v>0</v>
      </c>
      <c r="L830" s="150">
        <f t="shared" si="897"/>
        <v>0</v>
      </c>
      <c r="M830" s="150">
        <v>0</v>
      </c>
      <c r="N830" s="150"/>
      <c r="O830" s="150">
        <v>0</v>
      </c>
      <c r="P830" s="150">
        <v>0</v>
      </c>
      <c r="Q830" s="150">
        <v>0</v>
      </c>
      <c r="R830" s="150">
        <f t="shared" si="903"/>
        <v>0</v>
      </c>
      <c r="S830" s="150">
        <f t="shared" si="892"/>
        <v>0</v>
      </c>
      <c r="T830" s="150"/>
      <c r="U830" s="150">
        <v>0</v>
      </c>
      <c r="V830" s="199"/>
      <c r="W830" s="150">
        <f t="shared" si="904"/>
        <v>0</v>
      </c>
      <c r="X830" s="150">
        <v>0</v>
      </c>
      <c r="Y830" s="150"/>
      <c r="Z830" s="150">
        <v>0</v>
      </c>
      <c r="AA830" s="150">
        <f t="shared" si="893"/>
        <v>0</v>
      </c>
      <c r="AB830" s="150">
        <v>0</v>
      </c>
      <c r="AC830" s="199"/>
      <c r="AD830" s="150">
        <f t="shared" si="905"/>
        <v>0</v>
      </c>
      <c r="AE830" s="150">
        <v>0</v>
      </c>
      <c r="AF830" s="169" t="s">
        <v>4680</v>
      </c>
      <c r="AG830" s="201">
        <v>0</v>
      </c>
      <c r="AH830" s="199"/>
      <c r="AI830" s="150">
        <v>0</v>
      </c>
      <c r="AJ830" s="169">
        <f t="shared" si="894"/>
        <v>0</v>
      </c>
      <c r="AK830" s="201">
        <v>0</v>
      </c>
      <c r="AL830" s="199"/>
      <c r="AM830" s="150">
        <f t="shared" si="906"/>
        <v>0</v>
      </c>
      <c r="AN830" s="153">
        <f t="shared" si="895"/>
        <v>0</v>
      </c>
      <c r="AO830" s="154">
        <f t="shared" si="896"/>
        <v>0</v>
      </c>
      <c r="AP830" s="150">
        <v>0</v>
      </c>
      <c r="AQ830" s="201">
        <v>0</v>
      </c>
      <c r="AR830" s="199"/>
      <c r="AS830" s="150">
        <f t="shared" si="907"/>
        <v>0</v>
      </c>
      <c r="AT830" s="155"/>
      <c r="AU830" s="156">
        <f t="shared" si="890"/>
        <v>0</v>
      </c>
      <c r="AV830" s="156">
        <f t="shared" si="891"/>
        <v>0</v>
      </c>
      <c r="AW830" s="157"/>
      <c r="AX830" s="150">
        <v>0</v>
      </c>
      <c r="AY830" s="150">
        <v>0</v>
      </c>
      <c r="AZ830" s="150"/>
      <c r="BA830" s="150">
        <f t="shared" si="909"/>
        <v>0</v>
      </c>
      <c r="BB830" s="210"/>
      <c r="BC830" s="210"/>
      <c r="BD830" s="210"/>
      <c r="BE830" s="210"/>
      <c r="BF830" s="210"/>
      <c r="BG830" s="210"/>
      <c r="BH830" s="217"/>
      <c r="BI830" s="210"/>
      <c r="BJ830" s="210"/>
      <c r="BK830" s="210"/>
      <c r="BL830" s="210"/>
      <c r="BM830" s="208"/>
      <c r="BN830" s="160"/>
      <c r="BO830" s="161">
        <f t="shared" si="908"/>
        <v>0</v>
      </c>
      <c r="BP830" s="161"/>
    </row>
    <row r="831" spans="1:68" ht="51">
      <c r="A831" s="206" t="s">
        <v>540</v>
      </c>
      <c r="B831" s="195" t="s">
        <v>7005</v>
      </c>
      <c r="C831" s="196" t="s">
        <v>7006</v>
      </c>
      <c r="D831" s="146" t="s">
        <v>4692</v>
      </c>
      <c r="E831" s="196" t="s">
        <v>7006</v>
      </c>
      <c r="F831" s="150">
        <v>26111.360000000001</v>
      </c>
      <c r="G831" s="209">
        <v>3194.59</v>
      </c>
      <c r="H831" s="209"/>
      <c r="I831" s="209">
        <v>3194.59</v>
      </c>
      <c r="J831" s="150">
        <v>6579.51</v>
      </c>
      <c r="K831" s="150">
        <v>0</v>
      </c>
      <c r="L831" s="150">
        <f t="shared" si="897"/>
        <v>6579.51</v>
      </c>
      <c r="M831" s="150">
        <v>15887.29</v>
      </c>
      <c r="N831" s="150"/>
      <c r="O831" s="150">
        <v>15887.29</v>
      </c>
      <c r="P831" s="150">
        <v>22387.41</v>
      </c>
      <c r="Q831" s="150">
        <v>0</v>
      </c>
      <c r="R831" s="150">
        <f t="shared" si="903"/>
        <v>22387.41</v>
      </c>
      <c r="S831" s="150">
        <f t="shared" si="892"/>
        <v>29849.879999999997</v>
      </c>
      <c r="T831" s="150"/>
      <c r="U831" s="150">
        <v>33713.879999999997</v>
      </c>
      <c r="V831" s="199"/>
      <c r="W831" s="150">
        <f t="shared" si="904"/>
        <v>33713.879999999997</v>
      </c>
      <c r="X831" s="150">
        <v>33713.879999999997</v>
      </c>
      <c r="Y831" s="150"/>
      <c r="Z831" s="150">
        <v>33713.879999999997</v>
      </c>
      <c r="AA831" s="150">
        <f t="shared" si="893"/>
        <v>0</v>
      </c>
      <c r="AB831" s="150">
        <v>33713.879999999997</v>
      </c>
      <c r="AC831" s="199"/>
      <c r="AD831" s="150">
        <f t="shared" si="905"/>
        <v>33713.879999999997</v>
      </c>
      <c r="AE831" s="150">
        <v>33713.879999999997</v>
      </c>
      <c r="AF831" s="169" t="s">
        <v>4680</v>
      </c>
      <c r="AG831" s="201">
        <v>33713.879999999997</v>
      </c>
      <c r="AH831" s="199"/>
      <c r="AI831" s="150">
        <v>33713.879999999997</v>
      </c>
      <c r="AJ831" s="169">
        <f t="shared" si="894"/>
        <v>0</v>
      </c>
      <c r="AK831" s="201">
        <v>33713.879999999997</v>
      </c>
      <c r="AL831" s="199"/>
      <c r="AM831" s="150">
        <f t="shared" si="906"/>
        <v>33713.879999999997</v>
      </c>
      <c r="AN831" s="153">
        <f t="shared" si="895"/>
        <v>0</v>
      </c>
      <c r="AO831" s="154">
        <f t="shared" si="896"/>
        <v>0</v>
      </c>
      <c r="AP831" s="150">
        <v>33713.879999999997</v>
      </c>
      <c r="AQ831" s="201">
        <v>33713.879999999997</v>
      </c>
      <c r="AR831" s="199"/>
      <c r="AS831" s="150">
        <f t="shared" si="907"/>
        <v>33713.879999999997</v>
      </c>
      <c r="AT831" s="155"/>
      <c r="AU831" s="156">
        <f t="shared" si="890"/>
        <v>0</v>
      </c>
      <c r="AV831" s="156">
        <f t="shared" si="891"/>
        <v>0</v>
      </c>
      <c r="AW831" s="157"/>
      <c r="AX831" s="150">
        <v>33713.879999999997</v>
      </c>
      <c r="AY831" s="150">
        <v>18733.29</v>
      </c>
      <c r="AZ831" s="237">
        <v>117755.28</v>
      </c>
      <c r="BA831" s="150">
        <f t="shared" si="909"/>
        <v>136488.57</v>
      </c>
      <c r="BB831" s="202">
        <v>5</v>
      </c>
      <c r="BC831" s="202" t="s">
        <v>647</v>
      </c>
      <c r="BD831" s="202" t="s">
        <v>632</v>
      </c>
      <c r="BE831" s="202" t="s">
        <v>1247</v>
      </c>
      <c r="BF831" s="202" t="s">
        <v>755</v>
      </c>
      <c r="BG831" s="203" t="s">
        <v>7007</v>
      </c>
      <c r="BH831" s="216">
        <f>SUM(AS831:AS834)</f>
        <v>54748.479999999996</v>
      </c>
      <c r="BI831" s="205">
        <f>BH831/7*12</f>
        <v>93854.537142857138</v>
      </c>
      <c r="BJ831" s="206" t="s">
        <v>6964</v>
      </c>
      <c r="BK831" s="206" t="s">
        <v>540</v>
      </c>
      <c r="BL831" s="207" t="s">
        <v>6965</v>
      </c>
      <c r="BM831" s="208">
        <f>BH831</f>
        <v>54748.479999999996</v>
      </c>
      <c r="BN831" s="160"/>
      <c r="BO831" s="161"/>
      <c r="BP831" s="161"/>
    </row>
    <row r="832" spans="1:68" ht="51">
      <c r="A832" s="210"/>
      <c r="B832" s="195" t="s">
        <v>7008</v>
      </c>
      <c r="C832" s="196" t="s">
        <v>7009</v>
      </c>
      <c r="D832" s="146" t="s">
        <v>4692</v>
      </c>
      <c r="E832" s="196" t="s">
        <v>7009</v>
      </c>
      <c r="F832" s="150">
        <v>3194.59</v>
      </c>
      <c r="G832" s="209">
        <v>18746</v>
      </c>
      <c r="H832" s="209"/>
      <c r="I832" s="209">
        <v>18746</v>
      </c>
      <c r="J832" s="150">
        <v>0</v>
      </c>
      <c r="K832" s="150">
        <v>0</v>
      </c>
      <c r="L832" s="150">
        <f t="shared" si="897"/>
        <v>0</v>
      </c>
      <c r="M832" s="150">
        <v>0</v>
      </c>
      <c r="N832" s="150"/>
      <c r="O832" s="150">
        <v>0</v>
      </c>
      <c r="P832" s="150">
        <v>0</v>
      </c>
      <c r="Q832" s="150">
        <v>0</v>
      </c>
      <c r="R832" s="150">
        <f t="shared" si="903"/>
        <v>0</v>
      </c>
      <c r="S832" s="150">
        <f t="shared" si="892"/>
        <v>0</v>
      </c>
      <c r="T832" s="150"/>
      <c r="U832" s="150">
        <v>0</v>
      </c>
      <c r="V832" s="199"/>
      <c r="W832" s="150">
        <f t="shared" si="904"/>
        <v>0</v>
      </c>
      <c r="X832" s="150">
        <v>0</v>
      </c>
      <c r="Y832" s="150"/>
      <c r="Z832" s="150">
        <v>0</v>
      </c>
      <c r="AA832" s="150">
        <f t="shared" si="893"/>
        <v>0</v>
      </c>
      <c r="AB832" s="150">
        <v>0</v>
      </c>
      <c r="AC832" s="199"/>
      <c r="AD832" s="150">
        <f t="shared" si="905"/>
        <v>0</v>
      </c>
      <c r="AE832" s="150">
        <v>0</v>
      </c>
      <c r="AF832" s="169" t="s">
        <v>4680</v>
      </c>
      <c r="AG832" s="201">
        <v>0</v>
      </c>
      <c r="AH832" s="199"/>
      <c r="AI832" s="150">
        <v>0</v>
      </c>
      <c r="AJ832" s="169">
        <f t="shared" si="894"/>
        <v>0</v>
      </c>
      <c r="AK832" s="201">
        <v>0</v>
      </c>
      <c r="AL832" s="199"/>
      <c r="AM832" s="150">
        <f t="shared" si="906"/>
        <v>0</v>
      </c>
      <c r="AN832" s="153">
        <f t="shared" si="895"/>
        <v>0</v>
      </c>
      <c r="AO832" s="154">
        <f t="shared" si="896"/>
        <v>0</v>
      </c>
      <c r="AP832" s="150">
        <v>0</v>
      </c>
      <c r="AQ832" s="201">
        <v>0</v>
      </c>
      <c r="AR832" s="199"/>
      <c r="AS832" s="150">
        <f t="shared" si="907"/>
        <v>0</v>
      </c>
      <c r="AT832" s="155"/>
      <c r="AU832" s="156">
        <f t="shared" si="890"/>
        <v>0</v>
      </c>
      <c r="AV832" s="156">
        <f t="shared" si="891"/>
        <v>0</v>
      </c>
      <c r="AW832" s="157"/>
      <c r="AX832" s="150">
        <v>0</v>
      </c>
      <c r="AY832" s="150">
        <v>0</v>
      </c>
      <c r="AZ832" s="150"/>
      <c r="BA832" s="150">
        <f t="shared" si="909"/>
        <v>0</v>
      </c>
      <c r="BB832" s="210"/>
      <c r="BC832" s="210"/>
      <c r="BD832" s="210"/>
      <c r="BE832" s="210"/>
      <c r="BF832" s="210"/>
      <c r="BG832" s="210"/>
      <c r="BH832" s="217"/>
      <c r="BI832" s="210"/>
      <c r="BJ832" s="210"/>
      <c r="BK832" s="210"/>
      <c r="BL832" s="210"/>
      <c r="BM832" s="208"/>
      <c r="BN832" s="160"/>
      <c r="BO832" s="161"/>
      <c r="BP832" s="161"/>
    </row>
    <row r="833" spans="1:68" ht="51">
      <c r="A833" s="210"/>
      <c r="B833" s="195" t="s">
        <v>7010</v>
      </c>
      <c r="C833" s="196" t="s">
        <v>7011</v>
      </c>
      <c r="D833" s="146" t="s">
        <v>4692</v>
      </c>
      <c r="E833" s="196" t="s">
        <v>7011</v>
      </c>
      <c r="F833" s="150">
        <v>18746</v>
      </c>
      <c r="G833" s="209">
        <v>0</v>
      </c>
      <c r="H833" s="209"/>
      <c r="I833" s="209">
        <v>0</v>
      </c>
      <c r="J833" s="150">
        <v>4344.8</v>
      </c>
      <c r="K833" s="150">
        <v>0</v>
      </c>
      <c r="L833" s="150">
        <f t="shared" si="897"/>
        <v>4344.8</v>
      </c>
      <c r="M833" s="150">
        <v>10767.5</v>
      </c>
      <c r="N833" s="150"/>
      <c r="O833" s="150">
        <v>10767.5</v>
      </c>
      <c r="P833" s="150">
        <v>15441.5</v>
      </c>
      <c r="Q833" s="150">
        <v>0</v>
      </c>
      <c r="R833" s="150">
        <f t="shared" si="903"/>
        <v>15441.5</v>
      </c>
      <c r="S833" s="150">
        <f t="shared" si="892"/>
        <v>20588.666666666664</v>
      </c>
      <c r="T833" s="150"/>
      <c r="U833" s="150">
        <v>21034.6</v>
      </c>
      <c r="V833" s="199"/>
      <c r="W833" s="150">
        <f t="shared" si="904"/>
        <v>21034.6</v>
      </c>
      <c r="X833" s="150">
        <v>21034.6</v>
      </c>
      <c r="Y833" s="150"/>
      <c r="Z833" s="150">
        <v>21034.6</v>
      </c>
      <c r="AA833" s="150">
        <f t="shared" si="893"/>
        <v>0</v>
      </c>
      <c r="AB833" s="150">
        <v>21034.6</v>
      </c>
      <c r="AC833" s="199"/>
      <c r="AD833" s="150">
        <f t="shared" si="905"/>
        <v>21034.6</v>
      </c>
      <c r="AE833" s="150">
        <v>21034.6</v>
      </c>
      <c r="AF833" s="169" t="s">
        <v>4680</v>
      </c>
      <c r="AG833" s="201">
        <v>21034.6</v>
      </c>
      <c r="AH833" s="199"/>
      <c r="AI833" s="150">
        <v>21034.6</v>
      </c>
      <c r="AJ833" s="169">
        <f t="shared" si="894"/>
        <v>0</v>
      </c>
      <c r="AK833" s="201">
        <v>21034.6</v>
      </c>
      <c r="AL833" s="199"/>
      <c r="AM833" s="150">
        <f t="shared" si="906"/>
        <v>21034.6</v>
      </c>
      <c r="AN833" s="153">
        <f t="shared" si="895"/>
        <v>0</v>
      </c>
      <c r="AO833" s="154">
        <f t="shared" si="896"/>
        <v>0</v>
      </c>
      <c r="AP833" s="150">
        <v>21034.6</v>
      </c>
      <c r="AQ833" s="201">
        <v>21034.6</v>
      </c>
      <c r="AR833" s="199"/>
      <c r="AS833" s="150">
        <f t="shared" si="907"/>
        <v>21034.6</v>
      </c>
      <c r="AT833" s="155"/>
      <c r="AU833" s="156">
        <f t="shared" si="890"/>
        <v>0</v>
      </c>
      <c r="AV833" s="156">
        <f t="shared" si="891"/>
        <v>0</v>
      </c>
      <c r="AW833" s="157"/>
      <c r="AX833" s="150">
        <v>21034.6</v>
      </c>
      <c r="AY833" s="150">
        <v>12727.6</v>
      </c>
      <c r="AZ833" s="237">
        <v>117755.28</v>
      </c>
      <c r="BA833" s="150">
        <f t="shared" si="909"/>
        <v>130482.88</v>
      </c>
      <c r="BB833" s="210"/>
      <c r="BC833" s="210"/>
      <c r="BD833" s="210"/>
      <c r="BE833" s="210"/>
      <c r="BF833" s="210"/>
      <c r="BG833" s="210"/>
      <c r="BH833" s="217"/>
      <c r="BI833" s="210"/>
      <c r="BJ833" s="210"/>
      <c r="BK833" s="210"/>
      <c r="BL833" s="210"/>
      <c r="BM833" s="208"/>
      <c r="BN833" s="160"/>
      <c r="BO833" s="161"/>
      <c r="BP833" s="161"/>
    </row>
    <row r="834" spans="1:68" ht="51">
      <c r="A834" s="210"/>
      <c r="B834" s="195" t="s">
        <v>7012</v>
      </c>
      <c r="C834" s="196" t="s">
        <v>7013</v>
      </c>
      <c r="D834" s="146" t="s">
        <v>4692</v>
      </c>
      <c r="E834" s="196" t="s">
        <v>7013</v>
      </c>
      <c r="F834" s="150">
        <v>0</v>
      </c>
      <c r="G834" s="209">
        <v>0</v>
      </c>
      <c r="H834" s="209"/>
      <c r="I834" s="209">
        <v>0</v>
      </c>
      <c r="J834" s="150">
        <v>0</v>
      </c>
      <c r="K834" s="150">
        <v>0</v>
      </c>
      <c r="L834" s="150">
        <f t="shared" si="897"/>
        <v>0</v>
      </c>
      <c r="M834" s="150">
        <v>0</v>
      </c>
      <c r="N834" s="150"/>
      <c r="O834" s="150">
        <v>0</v>
      </c>
      <c r="P834" s="150">
        <v>0</v>
      </c>
      <c r="Q834" s="150">
        <v>0</v>
      </c>
      <c r="R834" s="150">
        <f t="shared" si="903"/>
        <v>0</v>
      </c>
      <c r="S834" s="150">
        <f t="shared" si="892"/>
        <v>0</v>
      </c>
      <c r="T834" s="150"/>
      <c r="U834" s="150">
        <v>0</v>
      </c>
      <c r="V834" s="199"/>
      <c r="W834" s="150">
        <f t="shared" si="904"/>
        <v>0</v>
      </c>
      <c r="X834" s="150">
        <v>0</v>
      </c>
      <c r="Y834" s="150"/>
      <c r="Z834" s="150">
        <v>0</v>
      </c>
      <c r="AA834" s="150">
        <f t="shared" si="893"/>
        <v>0</v>
      </c>
      <c r="AB834" s="150">
        <v>0</v>
      </c>
      <c r="AC834" s="199"/>
      <c r="AD834" s="150">
        <f t="shared" si="905"/>
        <v>0</v>
      </c>
      <c r="AE834" s="150">
        <v>0</v>
      </c>
      <c r="AF834" s="169" t="s">
        <v>4680</v>
      </c>
      <c r="AG834" s="201">
        <v>0</v>
      </c>
      <c r="AH834" s="199"/>
      <c r="AI834" s="150">
        <v>0</v>
      </c>
      <c r="AJ834" s="169">
        <f t="shared" si="894"/>
        <v>0</v>
      </c>
      <c r="AK834" s="201">
        <v>0</v>
      </c>
      <c r="AL834" s="199"/>
      <c r="AM834" s="150">
        <f t="shared" si="906"/>
        <v>0</v>
      </c>
      <c r="AN834" s="153">
        <f t="shared" si="895"/>
        <v>0</v>
      </c>
      <c r="AO834" s="154">
        <f t="shared" si="896"/>
        <v>0</v>
      </c>
      <c r="AP834" s="150">
        <v>0</v>
      </c>
      <c r="AQ834" s="201">
        <v>0</v>
      </c>
      <c r="AR834" s="199"/>
      <c r="AS834" s="150">
        <f t="shared" si="907"/>
        <v>0</v>
      </c>
      <c r="AT834" s="155"/>
      <c r="AU834" s="156">
        <f t="shared" ref="AU834:AU897" si="910">AM834-AD834</f>
        <v>0</v>
      </c>
      <c r="AV834" s="156">
        <f t="shared" ref="AV834:AV897" si="911">AD834-AX834</f>
        <v>0</v>
      </c>
      <c r="AW834" s="157"/>
      <c r="AX834" s="150">
        <v>0</v>
      </c>
      <c r="AY834" s="150">
        <v>0</v>
      </c>
      <c r="AZ834" s="150"/>
      <c r="BA834" s="150">
        <f t="shared" si="909"/>
        <v>0</v>
      </c>
      <c r="BB834" s="210"/>
      <c r="BC834" s="210"/>
      <c r="BD834" s="210"/>
      <c r="BE834" s="210"/>
      <c r="BF834" s="210"/>
      <c r="BG834" s="210"/>
      <c r="BH834" s="217"/>
      <c r="BI834" s="210"/>
      <c r="BJ834" s="210"/>
      <c r="BK834" s="210"/>
      <c r="BL834" s="210"/>
      <c r="BM834" s="208"/>
      <c r="BN834" s="160"/>
      <c r="BO834" s="161">
        <f t="shared" si="908"/>
        <v>0</v>
      </c>
      <c r="BP834" s="161"/>
    </row>
    <row r="835" spans="1:68" ht="51">
      <c r="A835" s="206" t="s">
        <v>540</v>
      </c>
      <c r="B835" s="195" t="s">
        <v>7014</v>
      </c>
      <c r="C835" s="196" t="s">
        <v>7015</v>
      </c>
      <c r="D835" s="146" t="s">
        <v>4692</v>
      </c>
      <c r="E835" s="196" t="s">
        <v>7015</v>
      </c>
      <c r="F835" s="150">
        <v>0</v>
      </c>
      <c r="G835" s="209">
        <v>0</v>
      </c>
      <c r="H835" s="209"/>
      <c r="I835" s="209">
        <v>0</v>
      </c>
      <c r="J835" s="150">
        <v>0</v>
      </c>
      <c r="K835" s="150">
        <v>0</v>
      </c>
      <c r="L835" s="150">
        <f t="shared" si="897"/>
        <v>0</v>
      </c>
      <c r="M835" s="150">
        <v>0</v>
      </c>
      <c r="N835" s="150"/>
      <c r="O835" s="150">
        <v>0</v>
      </c>
      <c r="P835" s="150">
        <v>0</v>
      </c>
      <c r="Q835" s="150">
        <v>0</v>
      </c>
      <c r="R835" s="150">
        <f t="shared" si="903"/>
        <v>0</v>
      </c>
      <c r="S835" s="150">
        <f t="shared" ref="S835:S898" si="912">R835/9*12</f>
        <v>0</v>
      </c>
      <c r="T835" s="150"/>
      <c r="U835" s="150">
        <v>0</v>
      </c>
      <c r="V835" s="199"/>
      <c r="W835" s="150">
        <f t="shared" si="904"/>
        <v>0</v>
      </c>
      <c r="X835" s="150">
        <v>0</v>
      </c>
      <c r="Y835" s="150"/>
      <c r="Z835" s="150">
        <v>0</v>
      </c>
      <c r="AA835" s="150">
        <f t="shared" ref="AA835:AA898" si="913">AD835-Z835</f>
        <v>0</v>
      </c>
      <c r="AB835" s="150">
        <v>0</v>
      </c>
      <c r="AC835" s="199"/>
      <c r="AD835" s="150">
        <f t="shared" si="905"/>
        <v>0</v>
      </c>
      <c r="AE835" s="150">
        <v>0</v>
      </c>
      <c r="AF835" s="169" t="s">
        <v>4680</v>
      </c>
      <c r="AG835" s="201">
        <v>0</v>
      </c>
      <c r="AH835" s="199"/>
      <c r="AI835" s="150">
        <v>0</v>
      </c>
      <c r="AJ835" s="169">
        <f t="shared" ref="AJ835:AJ898" si="914">AM835-AI835</f>
        <v>0</v>
      </c>
      <c r="AK835" s="201">
        <v>0</v>
      </c>
      <c r="AL835" s="199"/>
      <c r="AM835" s="150">
        <f t="shared" si="906"/>
        <v>0</v>
      </c>
      <c r="AN835" s="153">
        <f t="shared" ref="AN835:AN898" si="915">AS835-AM835</f>
        <v>0</v>
      </c>
      <c r="AO835" s="154">
        <f t="shared" ref="AO835:AO898" si="916">AS835-AP835</f>
        <v>0</v>
      </c>
      <c r="AP835" s="150">
        <v>0</v>
      </c>
      <c r="AQ835" s="201">
        <v>0</v>
      </c>
      <c r="AR835" s="199"/>
      <c r="AS835" s="150">
        <f t="shared" si="907"/>
        <v>0</v>
      </c>
      <c r="AT835" s="155"/>
      <c r="AU835" s="156">
        <f t="shared" si="910"/>
        <v>0</v>
      </c>
      <c r="AV835" s="156">
        <f t="shared" si="911"/>
        <v>0</v>
      </c>
      <c r="AW835" s="157"/>
      <c r="AX835" s="150">
        <v>0</v>
      </c>
      <c r="AY835" s="150">
        <v>0</v>
      </c>
      <c r="AZ835" s="150"/>
      <c r="BA835" s="150">
        <f t="shared" si="909"/>
        <v>0</v>
      </c>
      <c r="BB835" s="202">
        <v>5</v>
      </c>
      <c r="BC835" s="202" t="s">
        <v>647</v>
      </c>
      <c r="BD835" s="202" t="s">
        <v>632</v>
      </c>
      <c r="BE835" s="202" t="s">
        <v>1247</v>
      </c>
      <c r="BF835" s="194" t="s">
        <v>766</v>
      </c>
      <c r="BG835" s="203" t="s">
        <v>7016</v>
      </c>
      <c r="BH835" s="216">
        <f>SUM(AS835:AS846)</f>
        <v>39900.17</v>
      </c>
      <c r="BI835" s="205">
        <f>BH835/7*12</f>
        <v>68400.291428571421</v>
      </c>
      <c r="BJ835" s="206" t="s">
        <v>6964</v>
      </c>
      <c r="BK835" s="206" t="s">
        <v>540</v>
      </c>
      <c r="BL835" s="207" t="s">
        <v>6965</v>
      </c>
      <c r="BM835" s="208">
        <f>BH835</f>
        <v>39900.17</v>
      </c>
      <c r="BN835" s="160"/>
      <c r="BO835" s="161"/>
      <c r="BP835" s="161"/>
    </row>
    <row r="836" spans="1:68" ht="63.75">
      <c r="A836" s="210"/>
      <c r="B836" s="195" t="s">
        <v>7017</v>
      </c>
      <c r="C836" s="196" t="s">
        <v>7018</v>
      </c>
      <c r="D836" s="146" t="s">
        <v>4692</v>
      </c>
      <c r="E836" s="196" t="s">
        <v>7018</v>
      </c>
      <c r="F836" s="150">
        <v>0</v>
      </c>
      <c r="G836" s="209">
        <v>812.4</v>
      </c>
      <c r="H836" s="209"/>
      <c r="I836" s="209">
        <v>812.4</v>
      </c>
      <c r="J836" s="150">
        <v>0</v>
      </c>
      <c r="K836" s="150">
        <v>0</v>
      </c>
      <c r="L836" s="150">
        <f t="shared" si="897"/>
        <v>0</v>
      </c>
      <c r="M836" s="150">
        <v>0</v>
      </c>
      <c r="N836" s="150"/>
      <c r="O836" s="150">
        <v>0</v>
      </c>
      <c r="P836" s="150">
        <v>0</v>
      </c>
      <c r="Q836" s="150">
        <v>0</v>
      </c>
      <c r="R836" s="150">
        <f t="shared" si="903"/>
        <v>0</v>
      </c>
      <c r="S836" s="150">
        <f t="shared" si="912"/>
        <v>0</v>
      </c>
      <c r="T836" s="150"/>
      <c r="U836" s="150">
        <v>0</v>
      </c>
      <c r="V836" s="199"/>
      <c r="W836" s="150">
        <f t="shared" si="904"/>
        <v>0</v>
      </c>
      <c r="X836" s="150">
        <v>0</v>
      </c>
      <c r="Y836" s="150"/>
      <c r="Z836" s="150">
        <v>0</v>
      </c>
      <c r="AA836" s="150">
        <f t="shared" si="913"/>
        <v>0</v>
      </c>
      <c r="AB836" s="150">
        <v>0</v>
      </c>
      <c r="AC836" s="199"/>
      <c r="AD836" s="150">
        <f t="shared" si="905"/>
        <v>0</v>
      </c>
      <c r="AE836" s="150">
        <v>0</v>
      </c>
      <c r="AF836" s="169" t="s">
        <v>4680</v>
      </c>
      <c r="AG836" s="201">
        <v>0</v>
      </c>
      <c r="AH836" s="199"/>
      <c r="AI836" s="150">
        <v>0</v>
      </c>
      <c r="AJ836" s="169">
        <f t="shared" si="914"/>
        <v>0</v>
      </c>
      <c r="AK836" s="201">
        <v>0</v>
      </c>
      <c r="AL836" s="199"/>
      <c r="AM836" s="150">
        <f t="shared" si="906"/>
        <v>0</v>
      </c>
      <c r="AN836" s="153">
        <f t="shared" si="915"/>
        <v>0</v>
      </c>
      <c r="AO836" s="154">
        <f t="shared" si="916"/>
        <v>0</v>
      </c>
      <c r="AP836" s="150">
        <v>0</v>
      </c>
      <c r="AQ836" s="201">
        <v>0</v>
      </c>
      <c r="AR836" s="199"/>
      <c r="AS836" s="150">
        <f t="shared" si="907"/>
        <v>0</v>
      </c>
      <c r="AT836" s="155"/>
      <c r="AU836" s="156">
        <f t="shared" si="910"/>
        <v>0</v>
      </c>
      <c r="AV836" s="156">
        <f t="shared" si="911"/>
        <v>0</v>
      </c>
      <c r="AW836" s="157"/>
      <c r="AX836" s="150">
        <v>0</v>
      </c>
      <c r="AY836" s="150">
        <v>0</v>
      </c>
      <c r="AZ836" s="150"/>
      <c r="BA836" s="150">
        <f t="shared" si="909"/>
        <v>0</v>
      </c>
      <c r="BB836" s="210"/>
      <c r="BC836" s="210"/>
      <c r="BD836" s="210"/>
      <c r="BE836" s="210"/>
      <c r="BF836" s="210"/>
      <c r="BG836" s="210"/>
      <c r="BH836" s="217"/>
      <c r="BI836" s="210"/>
      <c r="BJ836" s="210"/>
      <c r="BK836" s="210"/>
      <c r="BL836" s="210"/>
      <c r="BM836" s="208"/>
      <c r="BN836" s="160"/>
      <c r="BO836" s="161"/>
      <c r="BP836" s="161"/>
    </row>
    <row r="837" spans="1:68" ht="51">
      <c r="A837" s="210"/>
      <c r="B837" s="195" t="s">
        <v>7019</v>
      </c>
      <c r="C837" s="196" t="s">
        <v>7020</v>
      </c>
      <c r="D837" s="146" t="s">
        <v>4692</v>
      </c>
      <c r="E837" s="196" t="s">
        <v>7020</v>
      </c>
      <c r="F837" s="150">
        <v>812.4</v>
      </c>
      <c r="G837" s="209">
        <v>0</v>
      </c>
      <c r="H837" s="209"/>
      <c r="I837" s="209">
        <v>0</v>
      </c>
      <c r="J837" s="150">
        <v>246</v>
      </c>
      <c r="K837" s="150">
        <v>0</v>
      </c>
      <c r="L837" s="150">
        <f t="shared" si="897"/>
        <v>246</v>
      </c>
      <c r="M837" s="150">
        <v>286.8</v>
      </c>
      <c r="N837" s="150"/>
      <c r="O837" s="150">
        <v>286.8</v>
      </c>
      <c r="P837" s="150">
        <v>286.8</v>
      </c>
      <c r="Q837" s="150">
        <v>0</v>
      </c>
      <c r="R837" s="150">
        <f t="shared" si="903"/>
        <v>286.8</v>
      </c>
      <c r="S837" s="150">
        <f t="shared" si="912"/>
        <v>382.4</v>
      </c>
      <c r="T837" s="150"/>
      <c r="U837" s="150">
        <v>358.8</v>
      </c>
      <c r="V837" s="199"/>
      <c r="W837" s="150">
        <f t="shared" si="904"/>
        <v>358.8</v>
      </c>
      <c r="X837" s="150">
        <v>358.8</v>
      </c>
      <c r="Y837" s="150"/>
      <c r="Z837" s="150">
        <v>358.8</v>
      </c>
      <c r="AA837" s="150">
        <f t="shared" si="913"/>
        <v>0</v>
      </c>
      <c r="AB837" s="150">
        <v>358.8</v>
      </c>
      <c r="AC837" s="199"/>
      <c r="AD837" s="150">
        <f t="shared" si="905"/>
        <v>358.8</v>
      </c>
      <c r="AE837" s="150">
        <v>358.8</v>
      </c>
      <c r="AF837" s="169" t="s">
        <v>4680</v>
      </c>
      <c r="AG837" s="201">
        <v>358.8</v>
      </c>
      <c r="AH837" s="199"/>
      <c r="AI837" s="150">
        <v>358.8</v>
      </c>
      <c r="AJ837" s="169">
        <f t="shared" si="914"/>
        <v>0</v>
      </c>
      <c r="AK837" s="201">
        <v>358.8</v>
      </c>
      <c r="AL837" s="199"/>
      <c r="AM837" s="150">
        <f t="shared" si="906"/>
        <v>358.8</v>
      </c>
      <c r="AN837" s="153">
        <f t="shared" si="915"/>
        <v>0</v>
      </c>
      <c r="AO837" s="154">
        <f t="shared" si="916"/>
        <v>0</v>
      </c>
      <c r="AP837" s="150">
        <v>358.8</v>
      </c>
      <c r="AQ837" s="201">
        <v>358.8</v>
      </c>
      <c r="AR837" s="199"/>
      <c r="AS837" s="150">
        <f t="shared" si="907"/>
        <v>358.8</v>
      </c>
      <c r="AT837" s="155"/>
      <c r="AU837" s="156">
        <f t="shared" si="910"/>
        <v>0</v>
      </c>
      <c r="AV837" s="156">
        <f t="shared" si="911"/>
        <v>0</v>
      </c>
      <c r="AW837" s="157"/>
      <c r="AX837" s="150">
        <v>358.8</v>
      </c>
      <c r="AY837" s="150">
        <v>286.8</v>
      </c>
      <c r="AZ837" s="150"/>
      <c r="BA837" s="150">
        <f t="shared" si="909"/>
        <v>286.8</v>
      </c>
      <c r="BB837" s="210"/>
      <c r="BC837" s="210"/>
      <c r="BD837" s="210"/>
      <c r="BE837" s="210"/>
      <c r="BF837" s="210"/>
      <c r="BG837" s="210"/>
      <c r="BH837" s="217"/>
      <c r="BI837" s="210"/>
      <c r="BJ837" s="210"/>
      <c r="BK837" s="210"/>
      <c r="BL837" s="210"/>
      <c r="BM837" s="208"/>
      <c r="BN837" s="160"/>
      <c r="BO837" s="161"/>
      <c r="BP837" s="161"/>
    </row>
    <row r="838" spans="1:68" ht="63.75">
      <c r="A838" s="210"/>
      <c r="B838" s="195" t="s">
        <v>7021</v>
      </c>
      <c r="C838" s="196" t="s">
        <v>7018</v>
      </c>
      <c r="D838" s="146" t="s">
        <v>4692</v>
      </c>
      <c r="E838" s="196" t="s">
        <v>7018</v>
      </c>
      <c r="F838" s="150">
        <v>0</v>
      </c>
      <c r="G838" s="209">
        <v>16013.9</v>
      </c>
      <c r="H838" s="209"/>
      <c r="I838" s="209">
        <v>16013.9</v>
      </c>
      <c r="J838" s="150">
        <v>0</v>
      </c>
      <c r="K838" s="150">
        <v>0</v>
      </c>
      <c r="L838" s="150">
        <f t="shared" si="897"/>
        <v>0</v>
      </c>
      <c r="M838" s="150">
        <v>0</v>
      </c>
      <c r="N838" s="150"/>
      <c r="O838" s="150">
        <v>0</v>
      </c>
      <c r="P838" s="150">
        <v>0</v>
      </c>
      <c r="Q838" s="150">
        <v>0</v>
      </c>
      <c r="R838" s="150">
        <f t="shared" si="903"/>
        <v>0</v>
      </c>
      <c r="S838" s="150">
        <f t="shared" si="912"/>
        <v>0</v>
      </c>
      <c r="T838" s="150"/>
      <c r="U838" s="150">
        <v>0</v>
      </c>
      <c r="V838" s="199"/>
      <c r="W838" s="150">
        <f t="shared" si="904"/>
        <v>0</v>
      </c>
      <c r="X838" s="150">
        <v>0</v>
      </c>
      <c r="Y838" s="150"/>
      <c r="Z838" s="150">
        <v>0</v>
      </c>
      <c r="AA838" s="150">
        <f t="shared" si="913"/>
        <v>0</v>
      </c>
      <c r="AB838" s="150">
        <v>0</v>
      </c>
      <c r="AC838" s="199"/>
      <c r="AD838" s="150">
        <f t="shared" si="905"/>
        <v>0</v>
      </c>
      <c r="AE838" s="150">
        <v>0</v>
      </c>
      <c r="AF838" s="169" t="s">
        <v>4680</v>
      </c>
      <c r="AG838" s="201">
        <v>0</v>
      </c>
      <c r="AH838" s="199"/>
      <c r="AI838" s="150">
        <v>0</v>
      </c>
      <c r="AJ838" s="169">
        <f t="shared" si="914"/>
        <v>0</v>
      </c>
      <c r="AK838" s="201">
        <v>0</v>
      </c>
      <c r="AL838" s="199"/>
      <c r="AM838" s="150">
        <f t="shared" si="906"/>
        <v>0</v>
      </c>
      <c r="AN838" s="153">
        <f t="shared" si="915"/>
        <v>0</v>
      </c>
      <c r="AO838" s="154">
        <f t="shared" si="916"/>
        <v>0</v>
      </c>
      <c r="AP838" s="150">
        <v>0</v>
      </c>
      <c r="AQ838" s="201">
        <v>0</v>
      </c>
      <c r="AR838" s="199"/>
      <c r="AS838" s="150">
        <f t="shared" si="907"/>
        <v>0</v>
      </c>
      <c r="AT838" s="155"/>
      <c r="AU838" s="156">
        <f t="shared" si="910"/>
        <v>0</v>
      </c>
      <c r="AV838" s="156">
        <f t="shared" si="911"/>
        <v>0</v>
      </c>
      <c r="AW838" s="157"/>
      <c r="AX838" s="150">
        <v>0</v>
      </c>
      <c r="AY838" s="150">
        <v>0</v>
      </c>
      <c r="AZ838" s="150"/>
      <c r="BA838" s="150">
        <f t="shared" si="909"/>
        <v>0</v>
      </c>
      <c r="BB838" s="210"/>
      <c r="BC838" s="210"/>
      <c r="BD838" s="210"/>
      <c r="BE838" s="210"/>
      <c r="BF838" s="210"/>
      <c r="BG838" s="210"/>
      <c r="BH838" s="217"/>
      <c r="BI838" s="210"/>
      <c r="BJ838" s="210"/>
      <c r="BK838" s="210"/>
      <c r="BL838" s="210"/>
      <c r="BM838" s="208"/>
      <c r="BN838" s="160"/>
      <c r="BO838" s="161"/>
      <c r="BP838" s="161"/>
    </row>
    <row r="839" spans="1:68" ht="51">
      <c r="A839" s="210"/>
      <c r="B839" s="195" t="s">
        <v>7022</v>
      </c>
      <c r="C839" s="196" t="s">
        <v>7023</v>
      </c>
      <c r="D839" s="146" t="s">
        <v>4692</v>
      </c>
      <c r="E839" s="196" t="s">
        <v>7023</v>
      </c>
      <c r="F839" s="150">
        <v>16013.9</v>
      </c>
      <c r="G839" s="209">
        <v>0</v>
      </c>
      <c r="H839" s="209"/>
      <c r="I839" s="209">
        <v>0</v>
      </c>
      <c r="J839" s="150">
        <v>3645.8</v>
      </c>
      <c r="K839" s="150">
        <v>0</v>
      </c>
      <c r="L839" s="150">
        <f t="shared" si="897"/>
        <v>3645.8</v>
      </c>
      <c r="M839" s="150">
        <v>7624.9</v>
      </c>
      <c r="N839" s="150"/>
      <c r="O839" s="150">
        <v>7624.9</v>
      </c>
      <c r="P839" s="150">
        <v>10258.299999999999</v>
      </c>
      <c r="Q839" s="150">
        <v>0</v>
      </c>
      <c r="R839" s="150">
        <f t="shared" si="903"/>
        <v>10258.299999999999</v>
      </c>
      <c r="S839" s="150">
        <f t="shared" si="912"/>
        <v>13677.733333333334</v>
      </c>
      <c r="T839" s="150"/>
      <c r="U839" s="150">
        <v>14154.8</v>
      </c>
      <c r="V839" s="199"/>
      <c r="W839" s="150">
        <f t="shared" si="904"/>
        <v>14154.8</v>
      </c>
      <c r="X839" s="150">
        <v>14154.8</v>
      </c>
      <c r="Y839" s="150"/>
      <c r="Z839" s="150">
        <v>14154.8</v>
      </c>
      <c r="AA839" s="150">
        <f t="shared" si="913"/>
        <v>0</v>
      </c>
      <c r="AB839" s="150">
        <v>14154.8</v>
      </c>
      <c r="AC839" s="199"/>
      <c r="AD839" s="150">
        <f t="shared" si="905"/>
        <v>14154.8</v>
      </c>
      <c r="AE839" s="150">
        <v>14154.8</v>
      </c>
      <c r="AF839" s="169" t="s">
        <v>4680</v>
      </c>
      <c r="AG839" s="201">
        <v>14154.8</v>
      </c>
      <c r="AH839" s="199"/>
      <c r="AI839" s="150">
        <v>14154.8</v>
      </c>
      <c r="AJ839" s="169">
        <f t="shared" si="914"/>
        <v>0</v>
      </c>
      <c r="AK839" s="201">
        <v>14154.8</v>
      </c>
      <c r="AL839" s="199"/>
      <c r="AM839" s="150">
        <f t="shared" si="906"/>
        <v>14154.8</v>
      </c>
      <c r="AN839" s="153">
        <f t="shared" si="915"/>
        <v>0</v>
      </c>
      <c r="AO839" s="154">
        <f t="shared" si="916"/>
        <v>0</v>
      </c>
      <c r="AP839" s="150">
        <v>14154.8</v>
      </c>
      <c r="AQ839" s="201">
        <v>14154.8</v>
      </c>
      <c r="AR839" s="199"/>
      <c r="AS839" s="150">
        <f t="shared" si="907"/>
        <v>14154.8</v>
      </c>
      <c r="AT839" s="155"/>
      <c r="AU839" s="156">
        <f t="shared" si="910"/>
        <v>0</v>
      </c>
      <c r="AV839" s="156">
        <f t="shared" si="911"/>
        <v>0</v>
      </c>
      <c r="AW839" s="157"/>
      <c r="AX839" s="150">
        <v>14154.8</v>
      </c>
      <c r="AY839" s="150">
        <v>8714.1</v>
      </c>
      <c r="AZ839" s="237">
        <v>117755.28</v>
      </c>
      <c r="BA839" s="150">
        <f t="shared" si="909"/>
        <v>126469.38</v>
      </c>
      <c r="BB839" s="210"/>
      <c r="BC839" s="210"/>
      <c r="BD839" s="210"/>
      <c r="BE839" s="210"/>
      <c r="BF839" s="210"/>
      <c r="BG839" s="210"/>
      <c r="BH839" s="217"/>
      <c r="BI839" s="210"/>
      <c r="BJ839" s="210"/>
      <c r="BK839" s="210"/>
      <c r="BL839" s="210"/>
      <c r="BM839" s="208"/>
      <c r="BN839" s="160"/>
      <c r="BO839" s="161"/>
      <c r="BP839" s="161"/>
    </row>
    <row r="840" spans="1:68" ht="63.75">
      <c r="A840" s="210"/>
      <c r="B840" s="195" t="s">
        <v>7024</v>
      </c>
      <c r="C840" s="196" t="s">
        <v>7018</v>
      </c>
      <c r="D840" s="146" t="s">
        <v>4692</v>
      </c>
      <c r="E840" s="196" t="s">
        <v>7018</v>
      </c>
      <c r="F840" s="150">
        <v>0</v>
      </c>
      <c r="G840" s="209">
        <v>0</v>
      </c>
      <c r="H840" s="209"/>
      <c r="I840" s="209">
        <v>0</v>
      </c>
      <c r="J840" s="150">
        <v>0</v>
      </c>
      <c r="K840" s="150">
        <v>0</v>
      </c>
      <c r="L840" s="150">
        <f t="shared" si="897"/>
        <v>0</v>
      </c>
      <c r="M840" s="150">
        <v>0</v>
      </c>
      <c r="N840" s="150"/>
      <c r="O840" s="150">
        <v>0</v>
      </c>
      <c r="P840" s="150">
        <v>0</v>
      </c>
      <c r="Q840" s="150">
        <v>0</v>
      </c>
      <c r="R840" s="150">
        <f t="shared" si="903"/>
        <v>0</v>
      </c>
      <c r="S840" s="150">
        <f t="shared" si="912"/>
        <v>0</v>
      </c>
      <c r="T840" s="150"/>
      <c r="U840" s="150">
        <v>0</v>
      </c>
      <c r="V840" s="199"/>
      <c r="W840" s="150">
        <f t="shared" si="904"/>
        <v>0</v>
      </c>
      <c r="X840" s="150">
        <v>0</v>
      </c>
      <c r="Y840" s="150"/>
      <c r="Z840" s="150">
        <v>0</v>
      </c>
      <c r="AA840" s="150">
        <f t="shared" si="913"/>
        <v>0</v>
      </c>
      <c r="AB840" s="150">
        <v>0</v>
      </c>
      <c r="AC840" s="199"/>
      <c r="AD840" s="150">
        <f t="shared" si="905"/>
        <v>0</v>
      </c>
      <c r="AE840" s="150">
        <v>0</v>
      </c>
      <c r="AF840" s="169" t="s">
        <v>4680</v>
      </c>
      <c r="AG840" s="201">
        <v>0</v>
      </c>
      <c r="AH840" s="199"/>
      <c r="AI840" s="150">
        <v>0</v>
      </c>
      <c r="AJ840" s="169">
        <f t="shared" si="914"/>
        <v>0</v>
      </c>
      <c r="AK840" s="201">
        <v>0</v>
      </c>
      <c r="AL840" s="199"/>
      <c r="AM840" s="150">
        <f t="shared" si="906"/>
        <v>0</v>
      </c>
      <c r="AN840" s="153">
        <f t="shared" si="915"/>
        <v>0</v>
      </c>
      <c r="AO840" s="154">
        <f t="shared" si="916"/>
        <v>0</v>
      </c>
      <c r="AP840" s="150">
        <v>0</v>
      </c>
      <c r="AQ840" s="201">
        <v>0</v>
      </c>
      <c r="AR840" s="199"/>
      <c r="AS840" s="150">
        <f t="shared" si="907"/>
        <v>0</v>
      </c>
      <c r="AT840" s="155"/>
      <c r="AU840" s="156">
        <f t="shared" si="910"/>
        <v>0</v>
      </c>
      <c r="AV840" s="156">
        <f t="shared" si="911"/>
        <v>0</v>
      </c>
      <c r="AW840" s="157"/>
      <c r="AX840" s="150">
        <v>0</v>
      </c>
      <c r="AY840" s="150">
        <v>0</v>
      </c>
      <c r="AZ840" s="150"/>
      <c r="BA840" s="150">
        <f t="shared" si="909"/>
        <v>0</v>
      </c>
      <c r="BB840" s="210"/>
      <c r="BC840" s="210"/>
      <c r="BD840" s="210"/>
      <c r="BE840" s="210"/>
      <c r="BF840" s="210"/>
      <c r="BG840" s="210"/>
      <c r="BH840" s="217"/>
      <c r="BI840" s="210"/>
      <c r="BJ840" s="210"/>
      <c r="BK840" s="210"/>
      <c r="BL840" s="210"/>
      <c r="BM840" s="208"/>
      <c r="BN840" s="160"/>
      <c r="BO840" s="161"/>
      <c r="BP840" s="161"/>
    </row>
    <row r="841" spans="1:68" ht="51">
      <c r="A841" s="210"/>
      <c r="B841" s="195" t="s">
        <v>7025</v>
      </c>
      <c r="C841" s="196" t="s">
        <v>7026</v>
      </c>
      <c r="D841" s="146" t="s">
        <v>4692</v>
      </c>
      <c r="E841" s="196" t="s">
        <v>7026</v>
      </c>
      <c r="F841" s="150">
        <v>0</v>
      </c>
      <c r="G841" s="209">
        <v>0</v>
      </c>
      <c r="H841" s="209"/>
      <c r="I841" s="209">
        <v>0</v>
      </c>
      <c r="J841" s="150">
        <v>0</v>
      </c>
      <c r="K841" s="150">
        <v>0</v>
      </c>
      <c r="L841" s="150">
        <f t="shared" ref="L841:L904" si="917">J841+K841</f>
        <v>0</v>
      </c>
      <c r="M841" s="150">
        <v>0</v>
      </c>
      <c r="N841" s="150"/>
      <c r="O841" s="150">
        <v>0</v>
      </c>
      <c r="P841" s="150">
        <v>0</v>
      </c>
      <c r="Q841" s="150">
        <v>0</v>
      </c>
      <c r="R841" s="150">
        <f t="shared" si="903"/>
        <v>0</v>
      </c>
      <c r="S841" s="150">
        <f t="shared" si="912"/>
        <v>0</v>
      </c>
      <c r="T841" s="150"/>
      <c r="U841" s="150">
        <v>0</v>
      </c>
      <c r="V841" s="199"/>
      <c r="W841" s="150">
        <f t="shared" si="904"/>
        <v>0</v>
      </c>
      <c r="X841" s="150">
        <v>0</v>
      </c>
      <c r="Y841" s="150"/>
      <c r="Z841" s="150">
        <v>0</v>
      </c>
      <c r="AA841" s="150">
        <f t="shared" si="913"/>
        <v>0</v>
      </c>
      <c r="AB841" s="150">
        <v>0</v>
      </c>
      <c r="AC841" s="199"/>
      <c r="AD841" s="150">
        <f t="shared" si="905"/>
        <v>0</v>
      </c>
      <c r="AE841" s="150">
        <v>0</v>
      </c>
      <c r="AF841" s="169" t="s">
        <v>4680</v>
      </c>
      <c r="AG841" s="201">
        <v>0</v>
      </c>
      <c r="AH841" s="199"/>
      <c r="AI841" s="150">
        <v>0</v>
      </c>
      <c r="AJ841" s="169">
        <f t="shared" si="914"/>
        <v>0</v>
      </c>
      <c r="AK841" s="201">
        <v>0</v>
      </c>
      <c r="AL841" s="199"/>
      <c r="AM841" s="150">
        <f t="shared" si="906"/>
        <v>0</v>
      </c>
      <c r="AN841" s="153">
        <f t="shared" si="915"/>
        <v>0</v>
      </c>
      <c r="AO841" s="154">
        <f t="shared" si="916"/>
        <v>0</v>
      </c>
      <c r="AP841" s="150">
        <v>0</v>
      </c>
      <c r="AQ841" s="201">
        <v>0</v>
      </c>
      <c r="AR841" s="199"/>
      <c r="AS841" s="150">
        <f t="shared" si="907"/>
        <v>0</v>
      </c>
      <c r="AT841" s="155"/>
      <c r="AU841" s="156">
        <f t="shared" si="910"/>
        <v>0</v>
      </c>
      <c r="AV841" s="156">
        <f t="shared" si="911"/>
        <v>0</v>
      </c>
      <c r="AW841" s="157"/>
      <c r="AX841" s="150">
        <v>0</v>
      </c>
      <c r="AY841" s="150">
        <v>0</v>
      </c>
      <c r="AZ841" s="150"/>
      <c r="BA841" s="150">
        <f t="shared" si="909"/>
        <v>0</v>
      </c>
      <c r="BB841" s="210"/>
      <c r="BC841" s="210"/>
      <c r="BD841" s="210"/>
      <c r="BE841" s="210"/>
      <c r="BF841" s="210"/>
      <c r="BG841" s="210"/>
      <c r="BH841" s="217"/>
      <c r="BI841" s="210"/>
      <c r="BJ841" s="210"/>
      <c r="BK841" s="210"/>
      <c r="BL841" s="210"/>
      <c r="BM841" s="208"/>
      <c r="BN841" s="160"/>
      <c r="BO841" s="161"/>
      <c r="BP841" s="161"/>
    </row>
    <row r="842" spans="1:68" ht="63.75">
      <c r="A842" s="210"/>
      <c r="B842" s="195" t="s">
        <v>7027</v>
      </c>
      <c r="C842" s="196" t="s">
        <v>7018</v>
      </c>
      <c r="D842" s="146" t="s">
        <v>4692</v>
      </c>
      <c r="E842" s="196" t="s">
        <v>7018</v>
      </c>
      <c r="F842" s="150">
        <v>0</v>
      </c>
      <c r="G842" s="209">
        <v>0</v>
      </c>
      <c r="H842" s="209"/>
      <c r="I842" s="209">
        <v>0</v>
      </c>
      <c r="J842" s="150">
        <v>0</v>
      </c>
      <c r="K842" s="150">
        <v>0</v>
      </c>
      <c r="L842" s="150">
        <f t="shared" si="917"/>
        <v>0</v>
      </c>
      <c r="M842" s="150">
        <v>0</v>
      </c>
      <c r="N842" s="150"/>
      <c r="O842" s="150">
        <v>0</v>
      </c>
      <c r="P842" s="150">
        <v>0</v>
      </c>
      <c r="Q842" s="150">
        <v>0</v>
      </c>
      <c r="R842" s="150">
        <f t="shared" si="903"/>
        <v>0</v>
      </c>
      <c r="S842" s="150">
        <f t="shared" si="912"/>
        <v>0</v>
      </c>
      <c r="T842" s="150"/>
      <c r="U842" s="150">
        <v>0</v>
      </c>
      <c r="V842" s="199"/>
      <c r="W842" s="150">
        <f t="shared" si="904"/>
        <v>0</v>
      </c>
      <c r="X842" s="150">
        <v>0</v>
      </c>
      <c r="Y842" s="150"/>
      <c r="Z842" s="150">
        <v>0</v>
      </c>
      <c r="AA842" s="150">
        <f t="shared" si="913"/>
        <v>0</v>
      </c>
      <c r="AB842" s="150">
        <v>0</v>
      </c>
      <c r="AC842" s="199"/>
      <c r="AD842" s="150">
        <f t="shared" si="905"/>
        <v>0</v>
      </c>
      <c r="AE842" s="150">
        <v>0</v>
      </c>
      <c r="AF842" s="169" t="s">
        <v>4680</v>
      </c>
      <c r="AG842" s="201">
        <v>0</v>
      </c>
      <c r="AH842" s="199"/>
      <c r="AI842" s="150">
        <v>0</v>
      </c>
      <c r="AJ842" s="169">
        <f t="shared" si="914"/>
        <v>0</v>
      </c>
      <c r="AK842" s="201">
        <v>0</v>
      </c>
      <c r="AL842" s="199"/>
      <c r="AM842" s="150">
        <f t="shared" si="906"/>
        <v>0</v>
      </c>
      <c r="AN842" s="153">
        <f t="shared" si="915"/>
        <v>0</v>
      </c>
      <c r="AO842" s="154">
        <f t="shared" si="916"/>
        <v>0</v>
      </c>
      <c r="AP842" s="150">
        <v>0</v>
      </c>
      <c r="AQ842" s="201">
        <v>0</v>
      </c>
      <c r="AR842" s="199"/>
      <c r="AS842" s="150">
        <f t="shared" si="907"/>
        <v>0</v>
      </c>
      <c r="AT842" s="155"/>
      <c r="AU842" s="156">
        <f t="shared" si="910"/>
        <v>0</v>
      </c>
      <c r="AV842" s="156">
        <f t="shared" si="911"/>
        <v>0</v>
      </c>
      <c r="AW842" s="157"/>
      <c r="AX842" s="150">
        <v>0</v>
      </c>
      <c r="AY842" s="150">
        <v>0</v>
      </c>
      <c r="AZ842" s="150"/>
      <c r="BA842" s="150">
        <f t="shared" si="909"/>
        <v>0</v>
      </c>
      <c r="BB842" s="210"/>
      <c r="BC842" s="210"/>
      <c r="BD842" s="210"/>
      <c r="BE842" s="210"/>
      <c r="BF842" s="210"/>
      <c r="BG842" s="210"/>
      <c r="BH842" s="217"/>
      <c r="BI842" s="210"/>
      <c r="BJ842" s="210"/>
      <c r="BK842" s="210"/>
      <c r="BL842" s="210"/>
      <c r="BM842" s="208"/>
      <c r="BN842" s="160"/>
      <c r="BO842" s="161"/>
      <c r="BP842" s="161"/>
    </row>
    <row r="843" spans="1:68" ht="51">
      <c r="A843" s="210"/>
      <c r="B843" s="195" t="s">
        <v>7028</v>
      </c>
      <c r="C843" s="196" t="s">
        <v>7029</v>
      </c>
      <c r="D843" s="146" t="s">
        <v>4692</v>
      </c>
      <c r="E843" s="196" t="s">
        <v>7029</v>
      </c>
      <c r="F843" s="150">
        <v>0</v>
      </c>
      <c r="G843" s="209">
        <v>0</v>
      </c>
      <c r="H843" s="209"/>
      <c r="I843" s="209">
        <v>0</v>
      </c>
      <c r="J843" s="150">
        <v>0</v>
      </c>
      <c r="K843" s="150">
        <v>0</v>
      </c>
      <c r="L843" s="150">
        <f t="shared" si="917"/>
        <v>0</v>
      </c>
      <c r="M843" s="150">
        <v>0</v>
      </c>
      <c r="N843" s="150"/>
      <c r="O843" s="150">
        <v>0</v>
      </c>
      <c r="P843" s="150">
        <v>0</v>
      </c>
      <c r="Q843" s="150">
        <v>0</v>
      </c>
      <c r="R843" s="150">
        <f t="shared" si="903"/>
        <v>0</v>
      </c>
      <c r="S843" s="150">
        <f t="shared" si="912"/>
        <v>0</v>
      </c>
      <c r="T843" s="150"/>
      <c r="U843" s="150">
        <v>0</v>
      </c>
      <c r="V843" s="199"/>
      <c r="W843" s="150">
        <f t="shared" si="904"/>
        <v>0</v>
      </c>
      <c r="X843" s="150">
        <v>0</v>
      </c>
      <c r="Y843" s="150"/>
      <c r="Z843" s="150">
        <v>0</v>
      </c>
      <c r="AA843" s="150">
        <f t="shared" si="913"/>
        <v>0</v>
      </c>
      <c r="AB843" s="150">
        <v>0</v>
      </c>
      <c r="AC843" s="199"/>
      <c r="AD843" s="150">
        <f t="shared" si="905"/>
        <v>0</v>
      </c>
      <c r="AE843" s="150">
        <v>0</v>
      </c>
      <c r="AF843" s="169" t="s">
        <v>4680</v>
      </c>
      <c r="AG843" s="201">
        <v>0</v>
      </c>
      <c r="AH843" s="199"/>
      <c r="AI843" s="150">
        <v>0</v>
      </c>
      <c r="AJ843" s="169">
        <f t="shared" si="914"/>
        <v>0</v>
      </c>
      <c r="AK843" s="201">
        <v>0</v>
      </c>
      <c r="AL843" s="199"/>
      <c r="AM843" s="150">
        <f t="shared" si="906"/>
        <v>0</v>
      </c>
      <c r="AN843" s="153">
        <f t="shared" si="915"/>
        <v>0</v>
      </c>
      <c r="AO843" s="154">
        <f t="shared" si="916"/>
        <v>0</v>
      </c>
      <c r="AP843" s="150">
        <v>0</v>
      </c>
      <c r="AQ843" s="201">
        <v>0</v>
      </c>
      <c r="AR843" s="199"/>
      <c r="AS843" s="150">
        <f t="shared" si="907"/>
        <v>0</v>
      </c>
      <c r="AT843" s="155"/>
      <c r="AU843" s="156">
        <f t="shared" si="910"/>
        <v>0</v>
      </c>
      <c r="AV843" s="156">
        <f t="shared" si="911"/>
        <v>0</v>
      </c>
      <c r="AW843" s="157"/>
      <c r="AX843" s="150">
        <v>0</v>
      </c>
      <c r="AY843" s="150">
        <v>0</v>
      </c>
      <c r="AZ843" s="150"/>
      <c r="BA843" s="150">
        <f t="shared" si="909"/>
        <v>0</v>
      </c>
      <c r="BB843" s="210"/>
      <c r="BC843" s="210"/>
      <c r="BD843" s="210"/>
      <c r="BE843" s="210"/>
      <c r="BF843" s="210"/>
      <c r="BG843" s="210"/>
      <c r="BH843" s="217"/>
      <c r="BI843" s="210"/>
      <c r="BJ843" s="210"/>
      <c r="BK843" s="210"/>
      <c r="BL843" s="210"/>
      <c r="BM843" s="208"/>
      <c r="BN843" s="160"/>
      <c r="BO843" s="161"/>
      <c r="BP843" s="161"/>
    </row>
    <row r="844" spans="1:68" ht="63.75">
      <c r="A844" s="210"/>
      <c r="B844" s="195" t="s">
        <v>7030</v>
      </c>
      <c r="C844" s="196" t="s">
        <v>7018</v>
      </c>
      <c r="D844" s="146" t="s">
        <v>4692</v>
      </c>
      <c r="E844" s="196" t="s">
        <v>7018</v>
      </c>
      <c r="F844" s="150">
        <v>0</v>
      </c>
      <c r="G844" s="209">
        <v>22086.55</v>
      </c>
      <c r="H844" s="209"/>
      <c r="I844" s="209">
        <v>22086.55</v>
      </c>
      <c r="J844" s="150">
        <v>0</v>
      </c>
      <c r="K844" s="150">
        <v>0</v>
      </c>
      <c r="L844" s="150">
        <f t="shared" si="917"/>
        <v>0</v>
      </c>
      <c r="M844" s="150">
        <v>0</v>
      </c>
      <c r="N844" s="150"/>
      <c r="O844" s="150">
        <v>0</v>
      </c>
      <c r="P844" s="150">
        <v>0</v>
      </c>
      <c r="Q844" s="150">
        <v>0</v>
      </c>
      <c r="R844" s="150">
        <f t="shared" si="903"/>
        <v>0</v>
      </c>
      <c r="S844" s="150">
        <f t="shared" si="912"/>
        <v>0</v>
      </c>
      <c r="T844" s="150"/>
      <c r="U844" s="150">
        <v>0</v>
      </c>
      <c r="V844" s="199"/>
      <c r="W844" s="150">
        <f t="shared" si="904"/>
        <v>0</v>
      </c>
      <c r="X844" s="150">
        <v>0</v>
      </c>
      <c r="Y844" s="150"/>
      <c r="Z844" s="150">
        <v>0</v>
      </c>
      <c r="AA844" s="150">
        <f t="shared" si="913"/>
        <v>0</v>
      </c>
      <c r="AB844" s="150">
        <v>0</v>
      </c>
      <c r="AC844" s="199"/>
      <c r="AD844" s="150">
        <f t="shared" si="905"/>
        <v>0</v>
      </c>
      <c r="AE844" s="150">
        <v>0</v>
      </c>
      <c r="AF844" s="169" t="s">
        <v>4680</v>
      </c>
      <c r="AG844" s="201">
        <v>0</v>
      </c>
      <c r="AH844" s="199"/>
      <c r="AI844" s="150">
        <v>0</v>
      </c>
      <c r="AJ844" s="169">
        <f t="shared" si="914"/>
        <v>0</v>
      </c>
      <c r="AK844" s="201">
        <v>0</v>
      </c>
      <c r="AL844" s="199"/>
      <c r="AM844" s="150">
        <f t="shared" si="906"/>
        <v>0</v>
      </c>
      <c r="AN844" s="153">
        <f t="shared" si="915"/>
        <v>0</v>
      </c>
      <c r="AO844" s="154">
        <f t="shared" si="916"/>
        <v>0</v>
      </c>
      <c r="AP844" s="150">
        <v>0</v>
      </c>
      <c r="AQ844" s="201">
        <v>0</v>
      </c>
      <c r="AR844" s="199"/>
      <c r="AS844" s="150">
        <f t="shared" si="907"/>
        <v>0</v>
      </c>
      <c r="AT844" s="155"/>
      <c r="AU844" s="156">
        <f t="shared" si="910"/>
        <v>0</v>
      </c>
      <c r="AV844" s="156">
        <f t="shared" si="911"/>
        <v>0</v>
      </c>
      <c r="AW844" s="157"/>
      <c r="AX844" s="150">
        <v>0</v>
      </c>
      <c r="AY844" s="150">
        <v>0</v>
      </c>
      <c r="AZ844" s="150"/>
      <c r="BA844" s="150">
        <f t="shared" si="909"/>
        <v>0</v>
      </c>
      <c r="BB844" s="210"/>
      <c r="BC844" s="210"/>
      <c r="BD844" s="210"/>
      <c r="BE844" s="210"/>
      <c r="BF844" s="210"/>
      <c r="BG844" s="210"/>
      <c r="BH844" s="217"/>
      <c r="BI844" s="210"/>
      <c r="BJ844" s="210"/>
      <c r="BK844" s="210"/>
      <c r="BL844" s="210"/>
      <c r="BM844" s="208"/>
      <c r="BN844" s="160"/>
      <c r="BO844" s="161"/>
      <c r="BP844" s="161"/>
    </row>
    <row r="845" spans="1:68" ht="51">
      <c r="A845" s="210"/>
      <c r="B845" s="195" t="s">
        <v>7031</v>
      </c>
      <c r="C845" s="196" t="s">
        <v>7032</v>
      </c>
      <c r="D845" s="146" t="s">
        <v>4692</v>
      </c>
      <c r="E845" s="196" t="s">
        <v>7032</v>
      </c>
      <c r="F845" s="150">
        <v>22086.55</v>
      </c>
      <c r="G845" s="209">
        <v>0</v>
      </c>
      <c r="H845" s="209"/>
      <c r="I845" s="209">
        <v>0</v>
      </c>
      <c r="J845" s="150">
        <v>4754.25</v>
      </c>
      <c r="K845" s="150">
        <v>0</v>
      </c>
      <c r="L845" s="150">
        <f t="shared" si="917"/>
        <v>4754.25</v>
      </c>
      <c r="M845" s="150">
        <v>11906.99</v>
      </c>
      <c r="N845" s="150"/>
      <c r="O845" s="150">
        <v>11906.99</v>
      </c>
      <c r="P845" s="150">
        <v>17968.759999999998</v>
      </c>
      <c r="Q845" s="150">
        <v>0</v>
      </c>
      <c r="R845" s="150">
        <f t="shared" si="903"/>
        <v>17968.759999999998</v>
      </c>
      <c r="S845" s="150">
        <f t="shared" si="912"/>
        <v>23958.346666666665</v>
      </c>
      <c r="T845" s="150"/>
      <c r="U845" s="150">
        <v>25386.57</v>
      </c>
      <c r="V845" s="199"/>
      <c r="W845" s="150">
        <f t="shared" si="904"/>
        <v>25386.57</v>
      </c>
      <c r="X845" s="150">
        <v>25386.57</v>
      </c>
      <c r="Y845" s="150"/>
      <c r="Z845" s="150">
        <v>25386.57</v>
      </c>
      <c r="AA845" s="150">
        <f t="shared" si="913"/>
        <v>0</v>
      </c>
      <c r="AB845" s="150">
        <v>25386.57</v>
      </c>
      <c r="AC845" s="199"/>
      <c r="AD845" s="150">
        <f t="shared" si="905"/>
        <v>25386.57</v>
      </c>
      <c r="AE845" s="150">
        <v>25386.57</v>
      </c>
      <c r="AF845" s="169" t="s">
        <v>4680</v>
      </c>
      <c r="AG845" s="201">
        <v>25386.57</v>
      </c>
      <c r="AH845" s="199"/>
      <c r="AI845" s="150">
        <v>25386.57</v>
      </c>
      <c r="AJ845" s="169">
        <f t="shared" si="914"/>
        <v>0</v>
      </c>
      <c r="AK845" s="201">
        <v>25386.57</v>
      </c>
      <c r="AL845" s="199"/>
      <c r="AM845" s="150">
        <f t="shared" si="906"/>
        <v>25386.57</v>
      </c>
      <c r="AN845" s="153">
        <f t="shared" si="915"/>
        <v>0</v>
      </c>
      <c r="AO845" s="154">
        <f t="shared" si="916"/>
        <v>0</v>
      </c>
      <c r="AP845" s="150">
        <v>25386.57</v>
      </c>
      <c r="AQ845" s="201">
        <v>25386.57</v>
      </c>
      <c r="AR845" s="199"/>
      <c r="AS845" s="150">
        <f t="shared" si="907"/>
        <v>25386.57</v>
      </c>
      <c r="AT845" s="155"/>
      <c r="AU845" s="156">
        <f t="shared" si="910"/>
        <v>0</v>
      </c>
      <c r="AV845" s="156">
        <f t="shared" si="911"/>
        <v>0</v>
      </c>
      <c r="AW845" s="157"/>
      <c r="AX845" s="150">
        <v>25386.57</v>
      </c>
      <c r="AY845" s="150">
        <v>14586.32</v>
      </c>
      <c r="AZ845" s="237">
        <v>117755.28</v>
      </c>
      <c r="BA845" s="150">
        <f t="shared" si="909"/>
        <v>132341.6</v>
      </c>
      <c r="BB845" s="210"/>
      <c r="BC845" s="210"/>
      <c r="BD845" s="210"/>
      <c r="BE845" s="210"/>
      <c r="BF845" s="210"/>
      <c r="BG845" s="210"/>
      <c r="BH845" s="217"/>
      <c r="BI845" s="210"/>
      <c r="BJ845" s="210"/>
      <c r="BK845" s="210"/>
      <c r="BL845" s="210"/>
      <c r="BM845" s="208"/>
      <c r="BN845" s="160"/>
      <c r="BO845" s="161"/>
      <c r="BP845" s="161"/>
    </row>
    <row r="846" spans="1:68" ht="63.75">
      <c r="A846" s="210"/>
      <c r="B846" s="195" t="s">
        <v>7033</v>
      </c>
      <c r="C846" s="196" t="s">
        <v>7018</v>
      </c>
      <c r="D846" s="146" t="s">
        <v>4692</v>
      </c>
      <c r="E846" s="196" t="s">
        <v>7018</v>
      </c>
      <c r="F846" s="150">
        <v>0</v>
      </c>
      <c r="G846" s="209">
        <v>0</v>
      </c>
      <c r="H846" s="209"/>
      <c r="I846" s="209">
        <v>0</v>
      </c>
      <c r="J846" s="150">
        <v>0</v>
      </c>
      <c r="K846" s="150">
        <v>0</v>
      </c>
      <c r="L846" s="150">
        <f t="shared" si="917"/>
        <v>0</v>
      </c>
      <c r="M846" s="150">
        <v>0</v>
      </c>
      <c r="N846" s="150"/>
      <c r="O846" s="150">
        <v>0</v>
      </c>
      <c r="P846" s="150">
        <v>0</v>
      </c>
      <c r="Q846" s="150">
        <v>0</v>
      </c>
      <c r="R846" s="150">
        <f t="shared" si="903"/>
        <v>0</v>
      </c>
      <c r="S846" s="150">
        <f t="shared" si="912"/>
        <v>0</v>
      </c>
      <c r="T846" s="150"/>
      <c r="U846" s="150">
        <v>0</v>
      </c>
      <c r="V846" s="199"/>
      <c r="W846" s="150">
        <f t="shared" si="904"/>
        <v>0</v>
      </c>
      <c r="X846" s="150">
        <v>0</v>
      </c>
      <c r="Y846" s="150"/>
      <c r="Z846" s="150">
        <v>0</v>
      </c>
      <c r="AA846" s="150">
        <f t="shared" si="913"/>
        <v>0</v>
      </c>
      <c r="AB846" s="150">
        <v>0</v>
      </c>
      <c r="AC846" s="199"/>
      <c r="AD846" s="150">
        <f t="shared" si="905"/>
        <v>0</v>
      </c>
      <c r="AE846" s="150">
        <v>0</v>
      </c>
      <c r="AF846" s="169" t="s">
        <v>4680</v>
      </c>
      <c r="AG846" s="201">
        <v>0</v>
      </c>
      <c r="AH846" s="199"/>
      <c r="AI846" s="150">
        <v>0</v>
      </c>
      <c r="AJ846" s="169">
        <f t="shared" si="914"/>
        <v>0</v>
      </c>
      <c r="AK846" s="201">
        <v>0</v>
      </c>
      <c r="AL846" s="199"/>
      <c r="AM846" s="150">
        <f t="shared" si="906"/>
        <v>0</v>
      </c>
      <c r="AN846" s="153">
        <f t="shared" si="915"/>
        <v>0</v>
      </c>
      <c r="AO846" s="154">
        <f t="shared" si="916"/>
        <v>0</v>
      </c>
      <c r="AP846" s="150">
        <v>0</v>
      </c>
      <c r="AQ846" s="201">
        <v>0</v>
      </c>
      <c r="AR846" s="199"/>
      <c r="AS846" s="150">
        <f t="shared" si="907"/>
        <v>0</v>
      </c>
      <c r="AT846" s="155"/>
      <c r="AU846" s="156">
        <f t="shared" si="910"/>
        <v>0</v>
      </c>
      <c r="AV846" s="156">
        <f t="shared" si="911"/>
        <v>0</v>
      </c>
      <c r="AW846" s="157"/>
      <c r="AX846" s="150">
        <v>0</v>
      </c>
      <c r="AY846" s="150">
        <v>0</v>
      </c>
      <c r="AZ846" s="150"/>
      <c r="BA846" s="150">
        <f t="shared" si="909"/>
        <v>0</v>
      </c>
      <c r="BB846" s="210"/>
      <c r="BC846" s="210"/>
      <c r="BD846" s="210"/>
      <c r="BE846" s="210"/>
      <c r="BF846" s="210"/>
      <c r="BG846" s="210"/>
      <c r="BH846" s="217"/>
      <c r="BI846" s="210"/>
      <c r="BJ846" s="210"/>
      <c r="BK846" s="210"/>
      <c r="BL846" s="210"/>
      <c r="BM846" s="208"/>
      <c r="BN846" s="160"/>
      <c r="BO846" s="161">
        <f t="shared" ref="BO846:BO906" si="918">BM846-AS846</f>
        <v>0</v>
      </c>
      <c r="BP846" s="161"/>
    </row>
    <row r="847" spans="1:68" ht="51">
      <c r="A847" s="206" t="s">
        <v>541</v>
      </c>
      <c r="B847" s="195" t="s">
        <v>7034</v>
      </c>
      <c r="C847" s="196" t="s">
        <v>7035</v>
      </c>
      <c r="D847" s="146" t="s">
        <v>4692</v>
      </c>
      <c r="E847" s="196" t="s">
        <v>7035</v>
      </c>
      <c r="F847" s="150">
        <v>0</v>
      </c>
      <c r="G847" s="209">
        <v>0</v>
      </c>
      <c r="H847" s="209"/>
      <c r="I847" s="209">
        <v>0</v>
      </c>
      <c r="J847" s="150">
        <v>0</v>
      </c>
      <c r="K847" s="150">
        <v>0</v>
      </c>
      <c r="L847" s="150">
        <f t="shared" si="917"/>
        <v>0</v>
      </c>
      <c r="M847" s="150">
        <v>0</v>
      </c>
      <c r="N847" s="150"/>
      <c r="O847" s="150">
        <v>0</v>
      </c>
      <c r="P847" s="150">
        <v>0</v>
      </c>
      <c r="Q847" s="150">
        <v>0</v>
      </c>
      <c r="R847" s="150">
        <f t="shared" si="903"/>
        <v>0</v>
      </c>
      <c r="S847" s="150">
        <f t="shared" si="912"/>
        <v>0</v>
      </c>
      <c r="T847" s="150"/>
      <c r="U847" s="150">
        <v>0</v>
      </c>
      <c r="V847" s="199"/>
      <c r="W847" s="150">
        <f t="shared" si="904"/>
        <v>0</v>
      </c>
      <c r="X847" s="150">
        <v>0</v>
      </c>
      <c r="Y847" s="150"/>
      <c r="Z847" s="150">
        <v>0</v>
      </c>
      <c r="AA847" s="150">
        <f t="shared" si="913"/>
        <v>0</v>
      </c>
      <c r="AB847" s="150">
        <v>0</v>
      </c>
      <c r="AC847" s="199"/>
      <c r="AD847" s="150">
        <f t="shared" si="905"/>
        <v>0</v>
      </c>
      <c r="AE847" s="150">
        <v>0</v>
      </c>
      <c r="AF847" s="169" t="s">
        <v>4680</v>
      </c>
      <c r="AG847" s="201">
        <v>0</v>
      </c>
      <c r="AH847" s="199"/>
      <c r="AI847" s="150">
        <v>0</v>
      </c>
      <c r="AJ847" s="169">
        <f t="shared" si="914"/>
        <v>0</v>
      </c>
      <c r="AK847" s="201">
        <v>0</v>
      </c>
      <c r="AL847" s="199"/>
      <c r="AM847" s="150">
        <f t="shared" si="906"/>
        <v>0</v>
      </c>
      <c r="AN847" s="153">
        <f t="shared" si="915"/>
        <v>0</v>
      </c>
      <c r="AO847" s="154">
        <f t="shared" si="916"/>
        <v>0</v>
      </c>
      <c r="AP847" s="150">
        <v>0</v>
      </c>
      <c r="AQ847" s="201">
        <v>0</v>
      </c>
      <c r="AR847" s="199"/>
      <c r="AS847" s="150">
        <f t="shared" si="907"/>
        <v>0</v>
      </c>
      <c r="AT847" s="155"/>
      <c r="AU847" s="156">
        <f t="shared" si="910"/>
        <v>0</v>
      </c>
      <c r="AV847" s="156">
        <f t="shared" si="911"/>
        <v>0</v>
      </c>
      <c r="AW847" s="157"/>
      <c r="AX847" s="150">
        <v>0</v>
      </c>
      <c r="AY847" s="150">
        <v>0</v>
      </c>
      <c r="AZ847" s="150"/>
      <c r="BA847" s="150">
        <f t="shared" si="909"/>
        <v>0</v>
      </c>
      <c r="BB847" s="202">
        <v>5</v>
      </c>
      <c r="BC847" s="202" t="s">
        <v>647</v>
      </c>
      <c r="BD847" s="202" t="s">
        <v>632</v>
      </c>
      <c r="BE847" s="202" t="s">
        <v>1247</v>
      </c>
      <c r="BF847" s="202" t="s">
        <v>779</v>
      </c>
      <c r="BG847" s="203" t="s">
        <v>7036</v>
      </c>
      <c r="BH847" s="216">
        <f>AS847</f>
        <v>0</v>
      </c>
      <c r="BI847" s="205"/>
      <c r="BJ847" s="206" t="s">
        <v>7037</v>
      </c>
      <c r="BK847" s="206" t="s">
        <v>541</v>
      </c>
      <c r="BL847" s="207" t="s">
        <v>7038</v>
      </c>
      <c r="BM847" s="208">
        <f t="shared" ref="BM847:BM852" si="919">BH847</f>
        <v>0</v>
      </c>
      <c r="BN847" s="160"/>
      <c r="BO847" s="161">
        <f t="shared" si="918"/>
        <v>0</v>
      </c>
      <c r="BP847" s="161"/>
    </row>
    <row r="848" spans="1:68" ht="51">
      <c r="A848" s="206" t="s">
        <v>541</v>
      </c>
      <c r="B848" s="195" t="s">
        <v>7039</v>
      </c>
      <c r="C848" s="196" t="s">
        <v>7040</v>
      </c>
      <c r="D848" s="146" t="s">
        <v>4692</v>
      </c>
      <c r="E848" s="196" t="s">
        <v>7040</v>
      </c>
      <c r="F848" s="150">
        <v>0</v>
      </c>
      <c r="G848" s="209">
        <v>0</v>
      </c>
      <c r="H848" s="209"/>
      <c r="I848" s="209">
        <v>0</v>
      </c>
      <c r="J848" s="150">
        <v>0</v>
      </c>
      <c r="K848" s="150">
        <v>0</v>
      </c>
      <c r="L848" s="150">
        <f t="shared" si="917"/>
        <v>0</v>
      </c>
      <c r="M848" s="150">
        <v>0</v>
      </c>
      <c r="N848" s="150"/>
      <c r="O848" s="150">
        <v>0</v>
      </c>
      <c r="P848" s="150">
        <v>0</v>
      </c>
      <c r="Q848" s="150">
        <v>0</v>
      </c>
      <c r="R848" s="150">
        <f t="shared" si="903"/>
        <v>0</v>
      </c>
      <c r="S848" s="150">
        <f t="shared" si="912"/>
        <v>0</v>
      </c>
      <c r="T848" s="150"/>
      <c r="U848" s="150">
        <v>0</v>
      </c>
      <c r="V848" s="199"/>
      <c r="W848" s="150">
        <f t="shared" si="904"/>
        <v>0</v>
      </c>
      <c r="X848" s="150">
        <v>0</v>
      </c>
      <c r="Y848" s="150"/>
      <c r="Z848" s="150">
        <v>0</v>
      </c>
      <c r="AA848" s="150">
        <f t="shared" si="913"/>
        <v>0</v>
      </c>
      <c r="AB848" s="150">
        <v>0</v>
      </c>
      <c r="AC848" s="199"/>
      <c r="AD848" s="150">
        <f t="shared" si="905"/>
        <v>0</v>
      </c>
      <c r="AE848" s="150">
        <v>0</v>
      </c>
      <c r="AF848" s="169" t="s">
        <v>4680</v>
      </c>
      <c r="AG848" s="201">
        <v>0</v>
      </c>
      <c r="AH848" s="199"/>
      <c r="AI848" s="150">
        <v>0</v>
      </c>
      <c r="AJ848" s="169">
        <f t="shared" si="914"/>
        <v>0</v>
      </c>
      <c r="AK848" s="201">
        <v>0</v>
      </c>
      <c r="AL848" s="199"/>
      <c r="AM848" s="150">
        <f t="shared" si="906"/>
        <v>0</v>
      </c>
      <c r="AN848" s="153">
        <f t="shared" si="915"/>
        <v>0</v>
      </c>
      <c r="AO848" s="154">
        <f t="shared" si="916"/>
        <v>0</v>
      </c>
      <c r="AP848" s="150">
        <v>0</v>
      </c>
      <c r="AQ848" s="201">
        <v>0</v>
      </c>
      <c r="AR848" s="199"/>
      <c r="AS848" s="150">
        <f t="shared" si="907"/>
        <v>0</v>
      </c>
      <c r="AT848" s="155"/>
      <c r="AU848" s="156">
        <f t="shared" si="910"/>
        <v>0</v>
      </c>
      <c r="AV848" s="156">
        <f t="shared" si="911"/>
        <v>0</v>
      </c>
      <c r="AW848" s="157"/>
      <c r="AX848" s="150">
        <v>0</v>
      </c>
      <c r="AY848" s="150">
        <v>0</v>
      </c>
      <c r="AZ848" s="150"/>
      <c r="BA848" s="150">
        <f t="shared" si="909"/>
        <v>0</v>
      </c>
      <c r="BB848" s="202">
        <v>5</v>
      </c>
      <c r="BC848" s="202" t="s">
        <v>647</v>
      </c>
      <c r="BD848" s="202" t="s">
        <v>632</v>
      </c>
      <c r="BE848" s="202" t="s">
        <v>1247</v>
      </c>
      <c r="BF848" s="194" t="s">
        <v>1225</v>
      </c>
      <c r="BG848" s="203" t="s">
        <v>7041</v>
      </c>
      <c r="BH848" s="216">
        <f>AS848</f>
        <v>0</v>
      </c>
      <c r="BI848" s="205"/>
      <c r="BJ848" s="206" t="s">
        <v>7037</v>
      </c>
      <c r="BK848" s="206" t="s">
        <v>541</v>
      </c>
      <c r="BL848" s="207" t="s">
        <v>7038</v>
      </c>
      <c r="BM848" s="208">
        <f t="shared" si="919"/>
        <v>0</v>
      </c>
      <c r="BN848" s="160"/>
      <c r="BO848" s="161">
        <f t="shared" si="918"/>
        <v>0</v>
      </c>
      <c r="BP848" s="161"/>
    </row>
    <row r="849" spans="1:68" ht="51">
      <c r="A849" s="206" t="s">
        <v>541</v>
      </c>
      <c r="B849" s="195" t="s">
        <v>7042</v>
      </c>
      <c r="C849" s="196" t="s">
        <v>7043</v>
      </c>
      <c r="D849" s="146" t="s">
        <v>4692</v>
      </c>
      <c r="E849" s="196" t="s">
        <v>7043</v>
      </c>
      <c r="F849" s="150">
        <v>0</v>
      </c>
      <c r="G849" s="209">
        <v>0</v>
      </c>
      <c r="H849" s="209"/>
      <c r="I849" s="209">
        <v>0</v>
      </c>
      <c r="J849" s="150">
        <v>0</v>
      </c>
      <c r="K849" s="150">
        <v>0</v>
      </c>
      <c r="L849" s="150">
        <f t="shared" si="917"/>
        <v>0</v>
      </c>
      <c r="M849" s="150">
        <v>0</v>
      </c>
      <c r="N849" s="150"/>
      <c r="O849" s="150">
        <v>0</v>
      </c>
      <c r="P849" s="150">
        <v>0</v>
      </c>
      <c r="Q849" s="150">
        <v>0</v>
      </c>
      <c r="R849" s="150">
        <f t="shared" si="903"/>
        <v>0</v>
      </c>
      <c r="S849" s="150">
        <f t="shared" si="912"/>
        <v>0</v>
      </c>
      <c r="T849" s="150"/>
      <c r="U849" s="150">
        <v>0</v>
      </c>
      <c r="V849" s="199"/>
      <c r="W849" s="150">
        <f t="shared" si="904"/>
        <v>0</v>
      </c>
      <c r="X849" s="150">
        <v>0</v>
      </c>
      <c r="Y849" s="150"/>
      <c r="Z849" s="150">
        <v>0</v>
      </c>
      <c r="AA849" s="150">
        <f t="shared" si="913"/>
        <v>0</v>
      </c>
      <c r="AB849" s="150">
        <v>0</v>
      </c>
      <c r="AC849" s="199"/>
      <c r="AD849" s="150">
        <f t="shared" si="905"/>
        <v>0</v>
      </c>
      <c r="AE849" s="150">
        <v>0</v>
      </c>
      <c r="AF849" s="169" t="s">
        <v>4680</v>
      </c>
      <c r="AG849" s="201">
        <v>0</v>
      </c>
      <c r="AH849" s="199"/>
      <c r="AI849" s="150">
        <v>0</v>
      </c>
      <c r="AJ849" s="169">
        <f t="shared" si="914"/>
        <v>0</v>
      </c>
      <c r="AK849" s="201">
        <v>0</v>
      </c>
      <c r="AL849" s="199"/>
      <c r="AM849" s="150">
        <f t="shared" si="906"/>
        <v>0</v>
      </c>
      <c r="AN849" s="153">
        <f t="shared" si="915"/>
        <v>0</v>
      </c>
      <c r="AO849" s="154">
        <f t="shared" si="916"/>
        <v>0</v>
      </c>
      <c r="AP849" s="150">
        <v>0</v>
      </c>
      <c r="AQ849" s="201">
        <v>0</v>
      </c>
      <c r="AR849" s="199"/>
      <c r="AS849" s="150">
        <f t="shared" si="907"/>
        <v>0</v>
      </c>
      <c r="AT849" s="155"/>
      <c r="AU849" s="156">
        <f t="shared" si="910"/>
        <v>0</v>
      </c>
      <c r="AV849" s="156">
        <f t="shared" si="911"/>
        <v>0</v>
      </c>
      <c r="AW849" s="157"/>
      <c r="AX849" s="150">
        <v>0</v>
      </c>
      <c r="AY849" s="150">
        <v>0</v>
      </c>
      <c r="AZ849" s="150"/>
      <c r="BA849" s="150">
        <f t="shared" si="909"/>
        <v>0</v>
      </c>
      <c r="BB849" s="202">
        <v>5</v>
      </c>
      <c r="BC849" s="202" t="s">
        <v>647</v>
      </c>
      <c r="BD849" s="202" t="s">
        <v>632</v>
      </c>
      <c r="BE849" s="202" t="s">
        <v>1247</v>
      </c>
      <c r="BF849" s="202" t="s">
        <v>1229</v>
      </c>
      <c r="BG849" s="203" t="s">
        <v>7044</v>
      </c>
      <c r="BH849" s="216">
        <f>AS849</f>
        <v>0</v>
      </c>
      <c r="BI849" s="205"/>
      <c r="BJ849" s="206" t="s">
        <v>7037</v>
      </c>
      <c r="BK849" s="206" t="s">
        <v>541</v>
      </c>
      <c r="BL849" s="207" t="s">
        <v>7038</v>
      </c>
      <c r="BM849" s="208">
        <f t="shared" si="919"/>
        <v>0</v>
      </c>
      <c r="BN849" s="160"/>
      <c r="BO849" s="161">
        <f t="shared" si="918"/>
        <v>0</v>
      </c>
      <c r="BP849" s="161"/>
    </row>
    <row r="850" spans="1:68" ht="51">
      <c r="A850" s="206" t="s">
        <v>541</v>
      </c>
      <c r="B850" s="195" t="s">
        <v>7045</v>
      </c>
      <c r="C850" s="196" t="s">
        <v>7046</v>
      </c>
      <c r="D850" s="146" t="s">
        <v>4692</v>
      </c>
      <c r="E850" s="196" t="s">
        <v>7046</v>
      </c>
      <c r="F850" s="150">
        <v>0</v>
      </c>
      <c r="G850" s="209">
        <v>194768.38</v>
      </c>
      <c r="H850" s="209"/>
      <c r="I850" s="209">
        <v>194768.38</v>
      </c>
      <c r="J850" s="150">
        <v>0</v>
      </c>
      <c r="K850" s="150">
        <v>0</v>
      </c>
      <c r="L850" s="150">
        <f t="shared" si="917"/>
        <v>0</v>
      </c>
      <c r="M850" s="150">
        <v>0</v>
      </c>
      <c r="N850" s="150"/>
      <c r="O850" s="150">
        <v>0</v>
      </c>
      <c r="P850" s="150">
        <v>0</v>
      </c>
      <c r="Q850" s="150">
        <v>0</v>
      </c>
      <c r="R850" s="150">
        <f t="shared" si="903"/>
        <v>0</v>
      </c>
      <c r="S850" s="150">
        <f t="shared" si="912"/>
        <v>0</v>
      </c>
      <c r="T850" s="150"/>
      <c r="U850" s="150">
        <v>0</v>
      </c>
      <c r="V850" s="199"/>
      <c r="W850" s="150">
        <f t="shared" si="904"/>
        <v>0</v>
      </c>
      <c r="X850" s="150">
        <v>0</v>
      </c>
      <c r="Y850" s="150"/>
      <c r="Z850" s="150">
        <v>0</v>
      </c>
      <c r="AA850" s="150">
        <f t="shared" si="913"/>
        <v>0</v>
      </c>
      <c r="AB850" s="150">
        <v>0</v>
      </c>
      <c r="AC850" s="199"/>
      <c r="AD850" s="150">
        <f t="shared" si="905"/>
        <v>0</v>
      </c>
      <c r="AE850" s="150">
        <v>0</v>
      </c>
      <c r="AF850" s="169" t="s">
        <v>4680</v>
      </c>
      <c r="AG850" s="201">
        <v>0</v>
      </c>
      <c r="AH850" s="199"/>
      <c r="AI850" s="150">
        <v>0</v>
      </c>
      <c r="AJ850" s="169">
        <f t="shared" si="914"/>
        <v>0</v>
      </c>
      <c r="AK850" s="201">
        <v>0</v>
      </c>
      <c r="AL850" s="199"/>
      <c r="AM850" s="150">
        <f t="shared" si="906"/>
        <v>0</v>
      </c>
      <c r="AN850" s="153">
        <f t="shared" si="915"/>
        <v>0</v>
      </c>
      <c r="AO850" s="154">
        <f t="shared" si="916"/>
        <v>0</v>
      </c>
      <c r="AP850" s="150">
        <v>0</v>
      </c>
      <c r="AQ850" s="201">
        <v>0</v>
      </c>
      <c r="AR850" s="199"/>
      <c r="AS850" s="150">
        <f t="shared" si="907"/>
        <v>0</v>
      </c>
      <c r="AT850" s="155"/>
      <c r="AU850" s="156">
        <f t="shared" si="910"/>
        <v>0</v>
      </c>
      <c r="AV850" s="156">
        <f t="shared" si="911"/>
        <v>0</v>
      </c>
      <c r="AW850" s="157"/>
      <c r="AX850" s="150">
        <v>0</v>
      </c>
      <c r="AY850" s="150">
        <v>0</v>
      </c>
      <c r="AZ850" s="150"/>
      <c r="BA850" s="150">
        <f t="shared" si="909"/>
        <v>0</v>
      </c>
      <c r="BB850" s="202">
        <v>5</v>
      </c>
      <c r="BC850" s="202" t="s">
        <v>647</v>
      </c>
      <c r="BD850" s="202" t="s">
        <v>632</v>
      </c>
      <c r="BE850" s="202" t="s">
        <v>1247</v>
      </c>
      <c r="BF850" s="194" t="s">
        <v>1243</v>
      </c>
      <c r="BG850" s="203" t="s">
        <v>7047</v>
      </c>
      <c r="BH850" s="216">
        <f>AS850</f>
        <v>0</v>
      </c>
      <c r="BI850" s="205"/>
      <c r="BJ850" s="206" t="s">
        <v>7037</v>
      </c>
      <c r="BK850" s="206" t="s">
        <v>541</v>
      </c>
      <c r="BL850" s="207" t="s">
        <v>7038</v>
      </c>
      <c r="BM850" s="208">
        <f t="shared" si="919"/>
        <v>0</v>
      </c>
      <c r="BN850" s="160"/>
      <c r="BO850" s="161">
        <f t="shared" si="918"/>
        <v>0</v>
      </c>
      <c r="BP850" s="161"/>
    </row>
    <row r="851" spans="1:68" ht="63.75">
      <c r="A851" s="206" t="s">
        <v>542</v>
      </c>
      <c r="B851" s="195" t="s">
        <v>7048</v>
      </c>
      <c r="C851" s="196" t="s">
        <v>7049</v>
      </c>
      <c r="D851" s="146" t="s">
        <v>4692</v>
      </c>
      <c r="E851" s="196" t="s">
        <v>7049</v>
      </c>
      <c r="F851" s="150">
        <v>194768.38</v>
      </c>
      <c r="G851" s="209">
        <v>0</v>
      </c>
      <c r="H851" s="209"/>
      <c r="I851" s="209">
        <v>0</v>
      </c>
      <c r="J851" s="150">
        <v>20943.419999999998</v>
      </c>
      <c r="K851" s="150">
        <v>0</v>
      </c>
      <c r="L851" s="150">
        <f t="shared" si="917"/>
        <v>20943.419999999998</v>
      </c>
      <c r="M851" s="150">
        <v>35579.51</v>
      </c>
      <c r="N851" s="150"/>
      <c r="O851" s="150">
        <v>35579.51</v>
      </c>
      <c r="P851" s="150">
        <v>74405.2</v>
      </c>
      <c r="Q851" s="150">
        <v>0</v>
      </c>
      <c r="R851" s="150">
        <f t="shared" si="903"/>
        <v>74405.2</v>
      </c>
      <c r="S851" s="150">
        <f t="shared" si="912"/>
        <v>99206.933333333334</v>
      </c>
      <c r="T851" s="150"/>
      <c r="U851" s="150">
        <v>130174.67</v>
      </c>
      <c r="V851" s="199"/>
      <c r="W851" s="150">
        <f t="shared" si="904"/>
        <v>130174.67</v>
      </c>
      <c r="X851" s="150">
        <v>130174.67</v>
      </c>
      <c r="Y851" s="150"/>
      <c r="Z851" s="150">
        <v>130174.67</v>
      </c>
      <c r="AA851" s="150">
        <f t="shared" si="913"/>
        <v>0</v>
      </c>
      <c r="AB851" s="150">
        <v>130174.67</v>
      </c>
      <c r="AC851" s="199"/>
      <c r="AD851" s="150">
        <f t="shared" si="905"/>
        <v>130174.67</v>
      </c>
      <c r="AE851" s="150">
        <v>130174.67</v>
      </c>
      <c r="AF851" s="169" t="s">
        <v>4680</v>
      </c>
      <c r="AG851" s="201">
        <v>130174.67</v>
      </c>
      <c r="AH851" s="199"/>
      <c r="AI851" s="150">
        <v>130174.67</v>
      </c>
      <c r="AJ851" s="169">
        <f t="shared" si="914"/>
        <v>0</v>
      </c>
      <c r="AK851" s="201">
        <v>130174.67</v>
      </c>
      <c r="AL851" s="199"/>
      <c r="AM851" s="150">
        <f t="shared" si="906"/>
        <v>130174.67</v>
      </c>
      <c r="AN851" s="153">
        <f t="shared" si="915"/>
        <v>0</v>
      </c>
      <c r="AO851" s="154">
        <f t="shared" si="916"/>
        <v>0</v>
      </c>
      <c r="AP851" s="150">
        <v>130174.67</v>
      </c>
      <c r="AQ851" s="201">
        <v>130174.67</v>
      </c>
      <c r="AR851" s="199"/>
      <c r="AS851" s="150">
        <f t="shared" si="907"/>
        <v>130174.67</v>
      </c>
      <c r="AT851" s="155"/>
      <c r="AU851" s="156">
        <f t="shared" si="910"/>
        <v>0</v>
      </c>
      <c r="AV851" s="156">
        <f t="shared" si="911"/>
        <v>0</v>
      </c>
      <c r="AW851" s="157"/>
      <c r="AX851" s="150">
        <v>130174.67</v>
      </c>
      <c r="AY851" s="150">
        <v>38204.51</v>
      </c>
      <c r="AZ851" s="237">
        <v>27288</v>
      </c>
      <c r="BA851" s="150">
        <f t="shared" si="909"/>
        <v>65492.51</v>
      </c>
      <c r="BB851" s="202">
        <v>5</v>
      </c>
      <c r="BC851" s="202" t="s">
        <v>647</v>
      </c>
      <c r="BD851" s="202" t="s">
        <v>632</v>
      </c>
      <c r="BE851" s="202" t="s">
        <v>1247</v>
      </c>
      <c r="BF851" s="202" t="s">
        <v>1247</v>
      </c>
      <c r="BG851" s="203" t="s">
        <v>7050</v>
      </c>
      <c r="BH851" s="216">
        <f>AS851</f>
        <v>130174.67</v>
      </c>
      <c r="BI851" s="205">
        <f>BH851/7*12</f>
        <v>223156.57714285713</v>
      </c>
      <c r="BJ851" s="206" t="s">
        <v>7051</v>
      </c>
      <c r="BK851" s="206" t="s">
        <v>542</v>
      </c>
      <c r="BL851" s="207" t="s">
        <v>7052</v>
      </c>
      <c r="BM851" s="208">
        <f t="shared" si="919"/>
        <v>130174.67</v>
      </c>
      <c r="BN851" s="160"/>
      <c r="BO851" s="161">
        <f t="shared" si="918"/>
        <v>0</v>
      </c>
      <c r="BP851" s="161"/>
    </row>
    <row r="852" spans="1:68" ht="63.75">
      <c r="A852" s="206" t="s">
        <v>542</v>
      </c>
      <c r="B852" s="195" t="s">
        <v>7053</v>
      </c>
      <c r="C852" s="196" t="s">
        <v>7054</v>
      </c>
      <c r="D852" s="146" t="s">
        <v>4692</v>
      </c>
      <c r="E852" s="196" t="s">
        <v>7054</v>
      </c>
      <c r="F852" s="150">
        <v>0</v>
      </c>
      <c r="G852" s="209">
        <v>0</v>
      </c>
      <c r="H852" s="209"/>
      <c r="I852" s="209">
        <v>0</v>
      </c>
      <c r="J852" s="150">
        <v>0</v>
      </c>
      <c r="K852" s="150">
        <v>0</v>
      </c>
      <c r="L852" s="150">
        <f t="shared" si="917"/>
        <v>0</v>
      </c>
      <c r="M852" s="150">
        <v>0</v>
      </c>
      <c r="N852" s="150"/>
      <c r="O852" s="150">
        <v>0</v>
      </c>
      <c r="P852" s="150">
        <v>0</v>
      </c>
      <c r="Q852" s="150">
        <v>0</v>
      </c>
      <c r="R852" s="150">
        <f t="shared" si="903"/>
        <v>0</v>
      </c>
      <c r="S852" s="150">
        <f t="shared" si="912"/>
        <v>0</v>
      </c>
      <c r="T852" s="150"/>
      <c r="U852" s="150">
        <v>0</v>
      </c>
      <c r="V852" s="199"/>
      <c r="W852" s="150">
        <f t="shared" si="904"/>
        <v>0</v>
      </c>
      <c r="X852" s="150">
        <v>0</v>
      </c>
      <c r="Y852" s="150"/>
      <c r="Z852" s="150">
        <v>0</v>
      </c>
      <c r="AA852" s="150">
        <f t="shared" si="913"/>
        <v>0</v>
      </c>
      <c r="AB852" s="150">
        <v>0</v>
      </c>
      <c r="AC852" s="199"/>
      <c r="AD852" s="150">
        <f t="shared" si="905"/>
        <v>0</v>
      </c>
      <c r="AE852" s="150">
        <v>0</v>
      </c>
      <c r="AF852" s="169" t="s">
        <v>4680</v>
      </c>
      <c r="AG852" s="201">
        <v>0</v>
      </c>
      <c r="AH852" s="199"/>
      <c r="AI852" s="150">
        <v>0</v>
      </c>
      <c r="AJ852" s="169">
        <f t="shared" si="914"/>
        <v>0</v>
      </c>
      <c r="AK852" s="201">
        <v>0</v>
      </c>
      <c r="AL852" s="199"/>
      <c r="AM852" s="150">
        <f t="shared" si="906"/>
        <v>0</v>
      </c>
      <c r="AN852" s="153">
        <f t="shared" si="915"/>
        <v>0</v>
      </c>
      <c r="AO852" s="154">
        <f t="shared" si="916"/>
        <v>0</v>
      </c>
      <c r="AP852" s="150">
        <v>0</v>
      </c>
      <c r="AQ852" s="201">
        <v>0</v>
      </c>
      <c r="AR852" s="199"/>
      <c r="AS852" s="150">
        <f t="shared" si="907"/>
        <v>0</v>
      </c>
      <c r="AT852" s="155"/>
      <c r="AU852" s="156">
        <f t="shared" si="910"/>
        <v>0</v>
      </c>
      <c r="AV852" s="156">
        <f t="shared" si="911"/>
        <v>0</v>
      </c>
      <c r="AW852" s="157"/>
      <c r="AX852" s="150">
        <v>0</v>
      </c>
      <c r="AY852" s="150">
        <v>0</v>
      </c>
      <c r="AZ852" s="150"/>
      <c r="BA852" s="150">
        <f t="shared" si="909"/>
        <v>0</v>
      </c>
      <c r="BB852" s="202">
        <v>5</v>
      </c>
      <c r="BC852" s="202" t="s">
        <v>647</v>
      </c>
      <c r="BD852" s="202" t="s">
        <v>632</v>
      </c>
      <c r="BE852" s="202" t="s">
        <v>1247</v>
      </c>
      <c r="BF852" s="194" t="s">
        <v>1253</v>
      </c>
      <c r="BG852" s="203" t="s">
        <v>7055</v>
      </c>
      <c r="BH852" s="216">
        <f>SUM(AS852:AS857)</f>
        <v>0</v>
      </c>
      <c r="BI852" s="205">
        <f>BH852/7*12</f>
        <v>0</v>
      </c>
      <c r="BJ852" s="206" t="s">
        <v>7051</v>
      </c>
      <c r="BK852" s="206" t="s">
        <v>542</v>
      </c>
      <c r="BL852" s="207" t="s">
        <v>7052</v>
      </c>
      <c r="BM852" s="208">
        <f t="shared" si="919"/>
        <v>0</v>
      </c>
      <c r="BN852" s="160"/>
      <c r="BO852" s="161">
        <f t="shared" si="918"/>
        <v>0</v>
      </c>
      <c r="BP852" s="161"/>
    </row>
    <row r="853" spans="1:68" ht="38.25">
      <c r="A853" s="210"/>
      <c r="B853" s="195" t="s">
        <v>7056</v>
      </c>
      <c r="C853" s="196" t="s">
        <v>7057</v>
      </c>
      <c r="D853" s="146" t="s">
        <v>4692</v>
      </c>
      <c r="E853" s="196" t="s">
        <v>7057</v>
      </c>
      <c r="F853" s="150">
        <v>0</v>
      </c>
      <c r="G853" s="209">
        <v>0</v>
      </c>
      <c r="H853" s="209"/>
      <c r="I853" s="209">
        <v>0</v>
      </c>
      <c r="J853" s="150">
        <v>0</v>
      </c>
      <c r="K853" s="150">
        <v>0</v>
      </c>
      <c r="L853" s="150">
        <f t="shared" si="917"/>
        <v>0</v>
      </c>
      <c r="M853" s="150">
        <v>0</v>
      </c>
      <c r="N853" s="150"/>
      <c r="O853" s="150">
        <v>0</v>
      </c>
      <c r="P853" s="150">
        <v>0</v>
      </c>
      <c r="Q853" s="150">
        <v>0</v>
      </c>
      <c r="R853" s="150">
        <f t="shared" ref="R853:R876" si="920">P853+Q853</f>
        <v>0</v>
      </c>
      <c r="S853" s="150">
        <f t="shared" si="912"/>
        <v>0</v>
      </c>
      <c r="T853" s="150"/>
      <c r="U853" s="150">
        <v>0</v>
      </c>
      <c r="V853" s="199"/>
      <c r="W853" s="150">
        <f t="shared" ref="W853:W876" si="921">U853+V853</f>
        <v>0</v>
      </c>
      <c r="X853" s="150">
        <v>0</v>
      </c>
      <c r="Y853" s="150"/>
      <c r="Z853" s="150">
        <v>0</v>
      </c>
      <c r="AA853" s="150">
        <f t="shared" si="913"/>
        <v>0</v>
      </c>
      <c r="AB853" s="150">
        <v>0</v>
      </c>
      <c r="AC853" s="199"/>
      <c r="AD853" s="150">
        <f t="shared" ref="AD853:AD876" si="922">AB853+AC853</f>
        <v>0</v>
      </c>
      <c r="AE853" s="150">
        <v>0</v>
      </c>
      <c r="AF853" s="169" t="s">
        <v>4680</v>
      </c>
      <c r="AG853" s="201">
        <v>0</v>
      </c>
      <c r="AH853" s="199"/>
      <c r="AI853" s="150">
        <v>0</v>
      </c>
      <c r="AJ853" s="169">
        <f t="shared" si="914"/>
        <v>0</v>
      </c>
      <c r="AK853" s="201">
        <v>0</v>
      </c>
      <c r="AL853" s="199"/>
      <c r="AM853" s="150">
        <f t="shared" ref="AM853:AM876" si="923">AK853+AL853</f>
        <v>0</v>
      </c>
      <c r="AN853" s="153">
        <f t="shared" si="915"/>
        <v>0</v>
      </c>
      <c r="AO853" s="154">
        <f t="shared" si="916"/>
        <v>0</v>
      </c>
      <c r="AP853" s="150">
        <v>0</v>
      </c>
      <c r="AQ853" s="201">
        <v>0</v>
      </c>
      <c r="AR853" s="199"/>
      <c r="AS853" s="150">
        <f t="shared" ref="AS853:AS876" si="924">AQ853+AR853</f>
        <v>0</v>
      </c>
      <c r="AT853" s="155"/>
      <c r="AU853" s="156">
        <f t="shared" si="910"/>
        <v>0</v>
      </c>
      <c r="AV853" s="156">
        <f t="shared" si="911"/>
        <v>0</v>
      </c>
      <c r="AW853" s="157"/>
      <c r="AX853" s="150">
        <v>0</v>
      </c>
      <c r="AY853" s="150">
        <v>0</v>
      </c>
      <c r="AZ853" s="150"/>
      <c r="BA853" s="150">
        <f t="shared" si="909"/>
        <v>0</v>
      </c>
      <c r="BB853" s="210"/>
      <c r="BC853" s="210"/>
      <c r="BD853" s="210"/>
      <c r="BE853" s="210"/>
      <c r="BF853" s="210"/>
      <c r="BG853" s="210"/>
      <c r="BH853" s="217"/>
      <c r="BI853" s="210"/>
      <c r="BJ853" s="210"/>
      <c r="BK853" s="210"/>
      <c r="BL853" s="210"/>
      <c r="BM853" s="208"/>
      <c r="BN853" s="160"/>
      <c r="BO853" s="161">
        <f t="shared" si="918"/>
        <v>0</v>
      </c>
      <c r="BP853" s="161"/>
    </row>
    <row r="854" spans="1:68" ht="38.25">
      <c r="A854" s="210"/>
      <c r="B854" s="195" t="s">
        <v>7058</v>
      </c>
      <c r="C854" s="196" t="s">
        <v>7059</v>
      </c>
      <c r="D854" s="146" t="s">
        <v>4692</v>
      </c>
      <c r="E854" s="196" t="s">
        <v>7059</v>
      </c>
      <c r="F854" s="150">
        <v>0</v>
      </c>
      <c r="G854" s="209">
        <v>0</v>
      </c>
      <c r="H854" s="209"/>
      <c r="I854" s="209">
        <v>0</v>
      </c>
      <c r="J854" s="150">
        <v>0</v>
      </c>
      <c r="K854" s="150">
        <v>0</v>
      </c>
      <c r="L854" s="150">
        <f t="shared" si="917"/>
        <v>0</v>
      </c>
      <c r="M854" s="150">
        <v>0</v>
      </c>
      <c r="N854" s="150"/>
      <c r="O854" s="150">
        <v>0</v>
      </c>
      <c r="P854" s="150">
        <v>0</v>
      </c>
      <c r="Q854" s="150">
        <v>0</v>
      </c>
      <c r="R854" s="150">
        <f t="shared" si="920"/>
        <v>0</v>
      </c>
      <c r="S854" s="150">
        <f t="shared" si="912"/>
        <v>0</v>
      </c>
      <c r="T854" s="150"/>
      <c r="U854" s="150">
        <v>0</v>
      </c>
      <c r="V854" s="199"/>
      <c r="W854" s="150">
        <f t="shared" si="921"/>
        <v>0</v>
      </c>
      <c r="X854" s="150">
        <v>0</v>
      </c>
      <c r="Y854" s="150"/>
      <c r="Z854" s="150">
        <v>0</v>
      </c>
      <c r="AA854" s="150">
        <f t="shared" si="913"/>
        <v>0</v>
      </c>
      <c r="AB854" s="150">
        <v>0</v>
      </c>
      <c r="AC854" s="199"/>
      <c r="AD854" s="150">
        <f t="shared" si="922"/>
        <v>0</v>
      </c>
      <c r="AE854" s="150">
        <v>0</v>
      </c>
      <c r="AF854" s="169" t="s">
        <v>4680</v>
      </c>
      <c r="AG854" s="201">
        <v>0</v>
      </c>
      <c r="AH854" s="199"/>
      <c r="AI854" s="150">
        <v>0</v>
      </c>
      <c r="AJ854" s="169">
        <f t="shared" si="914"/>
        <v>0</v>
      </c>
      <c r="AK854" s="201">
        <v>0</v>
      </c>
      <c r="AL854" s="199"/>
      <c r="AM854" s="150">
        <f t="shared" si="923"/>
        <v>0</v>
      </c>
      <c r="AN854" s="153">
        <f t="shared" si="915"/>
        <v>0</v>
      </c>
      <c r="AO854" s="154">
        <f t="shared" si="916"/>
        <v>0</v>
      </c>
      <c r="AP854" s="150">
        <v>0</v>
      </c>
      <c r="AQ854" s="201">
        <v>0</v>
      </c>
      <c r="AR854" s="199"/>
      <c r="AS854" s="150">
        <f t="shared" si="924"/>
        <v>0</v>
      </c>
      <c r="AT854" s="155"/>
      <c r="AU854" s="156">
        <f t="shared" si="910"/>
        <v>0</v>
      </c>
      <c r="AV854" s="156">
        <f t="shared" si="911"/>
        <v>0</v>
      </c>
      <c r="AW854" s="157"/>
      <c r="AX854" s="150">
        <v>0</v>
      </c>
      <c r="AY854" s="150">
        <v>0</v>
      </c>
      <c r="AZ854" s="150"/>
      <c r="BA854" s="150">
        <f t="shared" si="909"/>
        <v>0</v>
      </c>
      <c r="BB854" s="210"/>
      <c r="BC854" s="210"/>
      <c r="BD854" s="210"/>
      <c r="BE854" s="210"/>
      <c r="BF854" s="210"/>
      <c r="BG854" s="210"/>
      <c r="BH854" s="217"/>
      <c r="BI854" s="210"/>
      <c r="BJ854" s="210"/>
      <c r="BK854" s="210"/>
      <c r="BL854" s="210"/>
      <c r="BM854" s="208"/>
      <c r="BN854" s="160"/>
      <c r="BO854" s="161">
        <f t="shared" si="918"/>
        <v>0</v>
      </c>
      <c r="BP854" s="161"/>
    </row>
    <row r="855" spans="1:68" ht="51">
      <c r="A855" s="210"/>
      <c r="B855" s="195" t="s">
        <v>7060</v>
      </c>
      <c r="C855" s="196" t="s">
        <v>7061</v>
      </c>
      <c r="D855" s="146" t="s">
        <v>4692</v>
      </c>
      <c r="E855" s="196" t="s">
        <v>7061</v>
      </c>
      <c r="F855" s="150">
        <v>0</v>
      </c>
      <c r="G855" s="209">
        <v>0</v>
      </c>
      <c r="H855" s="209"/>
      <c r="I855" s="209">
        <v>0</v>
      </c>
      <c r="J855" s="150">
        <v>0</v>
      </c>
      <c r="K855" s="150">
        <v>0</v>
      </c>
      <c r="L855" s="150">
        <f t="shared" si="917"/>
        <v>0</v>
      </c>
      <c r="M855" s="150">
        <v>0</v>
      </c>
      <c r="N855" s="150"/>
      <c r="O855" s="150">
        <v>0</v>
      </c>
      <c r="P855" s="150">
        <v>0</v>
      </c>
      <c r="Q855" s="150">
        <v>0</v>
      </c>
      <c r="R855" s="150">
        <f t="shared" si="920"/>
        <v>0</v>
      </c>
      <c r="S855" s="150">
        <f t="shared" si="912"/>
        <v>0</v>
      </c>
      <c r="T855" s="150"/>
      <c r="U855" s="150">
        <v>0</v>
      </c>
      <c r="V855" s="199"/>
      <c r="W855" s="150">
        <f t="shared" si="921"/>
        <v>0</v>
      </c>
      <c r="X855" s="150">
        <v>0</v>
      </c>
      <c r="Y855" s="150"/>
      <c r="Z855" s="150">
        <v>0</v>
      </c>
      <c r="AA855" s="150">
        <f t="shared" si="913"/>
        <v>0</v>
      </c>
      <c r="AB855" s="150">
        <v>0</v>
      </c>
      <c r="AC855" s="199"/>
      <c r="AD855" s="150">
        <f t="shared" si="922"/>
        <v>0</v>
      </c>
      <c r="AE855" s="150">
        <v>0</v>
      </c>
      <c r="AF855" s="169" t="s">
        <v>4680</v>
      </c>
      <c r="AG855" s="201">
        <v>0</v>
      </c>
      <c r="AH855" s="199"/>
      <c r="AI855" s="150">
        <v>0</v>
      </c>
      <c r="AJ855" s="169">
        <f t="shared" si="914"/>
        <v>0</v>
      </c>
      <c r="AK855" s="201">
        <v>0</v>
      </c>
      <c r="AL855" s="199"/>
      <c r="AM855" s="150">
        <f t="shared" si="923"/>
        <v>0</v>
      </c>
      <c r="AN855" s="153">
        <f t="shared" si="915"/>
        <v>0</v>
      </c>
      <c r="AO855" s="154">
        <f t="shared" si="916"/>
        <v>0</v>
      </c>
      <c r="AP855" s="150">
        <v>0</v>
      </c>
      <c r="AQ855" s="201">
        <v>0</v>
      </c>
      <c r="AR855" s="199"/>
      <c r="AS855" s="150">
        <f t="shared" si="924"/>
        <v>0</v>
      </c>
      <c r="AT855" s="155"/>
      <c r="AU855" s="156">
        <f t="shared" si="910"/>
        <v>0</v>
      </c>
      <c r="AV855" s="156">
        <f t="shared" si="911"/>
        <v>0</v>
      </c>
      <c r="AW855" s="157"/>
      <c r="AX855" s="150">
        <v>0</v>
      </c>
      <c r="AY855" s="150">
        <v>0</v>
      </c>
      <c r="AZ855" s="150"/>
      <c r="BA855" s="150">
        <f t="shared" si="909"/>
        <v>0</v>
      </c>
      <c r="BB855" s="210"/>
      <c r="BC855" s="210"/>
      <c r="BD855" s="210"/>
      <c r="BE855" s="210"/>
      <c r="BF855" s="210"/>
      <c r="BG855" s="210"/>
      <c r="BH855" s="217"/>
      <c r="BI855" s="210"/>
      <c r="BJ855" s="210"/>
      <c r="BK855" s="210"/>
      <c r="BL855" s="210"/>
      <c r="BM855" s="208"/>
      <c r="BN855" s="160"/>
      <c r="BO855" s="161">
        <f t="shared" si="918"/>
        <v>0</v>
      </c>
      <c r="BP855" s="161"/>
    </row>
    <row r="856" spans="1:68" ht="51">
      <c r="A856" s="210"/>
      <c r="B856" s="195" t="s">
        <v>7062</v>
      </c>
      <c r="C856" s="196" t="s">
        <v>7063</v>
      </c>
      <c r="D856" s="146" t="s">
        <v>4692</v>
      </c>
      <c r="E856" s="196" t="s">
        <v>7063</v>
      </c>
      <c r="F856" s="150">
        <v>0</v>
      </c>
      <c r="G856" s="209">
        <v>0</v>
      </c>
      <c r="H856" s="209"/>
      <c r="I856" s="209">
        <v>0</v>
      </c>
      <c r="J856" s="150">
        <v>0</v>
      </c>
      <c r="K856" s="150">
        <v>0</v>
      </c>
      <c r="L856" s="150">
        <f t="shared" si="917"/>
        <v>0</v>
      </c>
      <c r="M856" s="150">
        <v>0</v>
      </c>
      <c r="N856" s="150"/>
      <c r="O856" s="150">
        <v>0</v>
      </c>
      <c r="P856" s="150">
        <v>0</v>
      </c>
      <c r="Q856" s="150">
        <v>0</v>
      </c>
      <c r="R856" s="150">
        <f t="shared" si="920"/>
        <v>0</v>
      </c>
      <c r="S856" s="150">
        <f t="shared" si="912"/>
        <v>0</v>
      </c>
      <c r="T856" s="150"/>
      <c r="U856" s="150">
        <v>0</v>
      </c>
      <c r="V856" s="199"/>
      <c r="W856" s="150">
        <f t="shared" si="921"/>
        <v>0</v>
      </c>
      <c r="X856" s="150">
        <v>0</v>
      </c>
      <c r="Y856" s="150"/>
      <c r="Z856" s="150">
        <v>0</v>
      </c>
      <c r="AA856" s="150">
        <f t="shared" si="913"/>
        <v>0</v>
      </c>
      <c r="AB856" s="150">
        <v>0</v>
      </c>
      <c r="AC856" s="199"/>
      <c r="AD856" s="150">
        <f t="shared" si="922"/>
        <v>0</v>
      </c>
      <c r="AE856" s="150">
        <v>0</v>
      </c>
      <c r="AF856" s="169" t="s">
        <v>4680</v>
      </c>
      <c r="AG856" s="201">
        <v>0</v>
      </c>
      <c r="AH856" s="199"/>
      <c r="AI856" s="150">
        <v>0</v>
      </c>
      <c r="AJ856" s="169">
        <f t="shared" si="914"/>
        <v>0</v>
      </c>
      <c r="AK856" s="201">
        <v>0</v>
      </c>
      <c r="AL856" s="199"/>
      <c r="AM856" s="150">
        <f t="shared" si="923"/>
        <v>0</v>
      </c>
      <c r="AN856" s="153">
        <f t="shared" si="915"/>
        <v>0</v>
      </c>
      <c r="AO856" s="154">
        <f t="shared" si="916"/>
        <v>0</v>
      </c>
      <c r="AP856" s="150">
        <v>0</v>
      </c>
      <c r="AQ856" s="201">
        <v>0</v>
      </c>
      <c r="AR856" s="199"/>
      <c r="AS856" s="150">
        <f t="shared" si="924"/>
        <v>0</v>
      </c>
      <c r="AT856" s="155"/>
      <c r="AU856" s="156">
        <f t="shared" si="910"/>
        <v>0</v>
      </c>
      <c r="AV856" s="156">
        <f t="shared" si="911"/>
        <v>0</v>
      </c>
      <c r="AW856" s="157"/>
      <c r="AX856" s="150">
        <v>0</v>
      </c>
      <c r="AY856" s="150">
        <v>0</v>
      </c>
      <c r="AZ856" s="150"/>
      <c r="BA856" s="150">
        <f t="shared" si="909"/>
        <v>0</v>
      </c>
      <c r="BB856" s="210"/>
      <c r="BC856" s="210"/>
      <c r="BD856" s="210"/>
      <c r="BE856" s="210"/>
      <c r="BF856" s="210"/>
      <c r="BG856" s="210"/>
      <c r="BH856" s="217"/>
      <c r="BI856" s="210"/>
      <c r="BJ856" s="210"/>
      <c r="BK856" s="210"/>
      <c r="BL856" s="210"/>
      <c r="BM856" s="208"/>
      <c r="BN856" s="160"/>
      <c r="BO856" s="161">
        <f t="shared" si="918"/>
        <v>0</v>
      </c>
      <c r="BP856" s="161"/>
    </row>
    <row r="857" spans="1:68" ht="51">
      <c r="A857" s="210"/>
      <c r="B857" s="195" t="s">
        <v>7064</v>
      </c>
      <c r="C857" s="196" t="s">
        <v>7065</v>
      </c>
      <c r="D857" s="146" t="s">
        <v>4692</v>
      </c>
      <c r="E857" s="196" t="s">
        <v>7065</v>
      </c>
      <c r="F857" s="150">
        <v>0</v>
      </c>
      <c r="G857" s="209">
        <v>0</v>
      </c>
      <c r="H857" s="209"/>
      <c r="I857" s="209">
        <v>0</v>
      </c>
      <c r="J857" s="150">
        <v>0</v>
      </c>
      <c r="K857" s="150">
        <v>0</v>
      </c>
      <c r="L857" s="150">
        <f t="shared" si="917"/>
        <v>0</v>
      </c>
      <c r="M857" s="150">
        <v>0</v>
      </c>
      <c r="N857" s="150"/>
      <c r="O857" s="150">
        <v>0</v>
      </c>
      <c r="P857" s="150">
        <v>0</v>
      </c>
      <c r="Q857" s="150">
        <v>0</v>
      </c>
      <c r="R857" s="150">
        <f t="shared" si="920"/>
        <v>0</v>
      </c>
      <c r="S857" s="150">
        <f t="shared" si="912"/>
        <v>0</v>
      </c>
      <c r="T857" s="150"/>
      <c r="U857" s="150">
        <v>0</v>
      </c>
      <c r="V857" s="199"/>
      <c r="W857" s="150">
        <f t="shared" si="921"/>
        <v>0</v>
      </c>
      <c r="X857" s="150">
        <v>0</v>
      </c>
      <c r="Y857" s="150"/>
      <c r="Z857" s="150">
        <v>0</v>
      </c>
      <c r="AA857" s="150">
        <f t="shared" si="913"/>
        <v>0</v>
      </c>
      <c r="AB857" s="150">
        <v>0</v>
      </c>
      <c r="AC857" s="199"/>
      <c r="AD857" s="150">
        <f t="shared" si="922"/>
        <v>0</v>
      </c>
      <c r="AE857" s="150">
        <v>0</v>
      </c>
      <c r="AF857" s="169" t="s">
        <v>4680</v>
      </c>
      <c r="AG857" s="201">
        <v>0</v>
      </c>
      <c r="AH857" s="199"/>
      <c r="AI857" s="150">
        <v>0</v>
      </c>
      <c r="AJ857" s="169">
        <f t="shared" si="914"/>
        <v>0</v>
      </c>
      <c r="AK857" s="201">
        <v>0</v>
      </c>
      <c r="AL857" s="199"/>
      <c r="AM857" s="150">
        <f t="shared" si="923"/>
        <v>0</v>
      </c>
      <c r="AN857" s="153">
        <f t="shared" si="915"/>
        <v>0</v>
      </c>
      <c r="AO857" s="154">
        <f t="shared" si="916"/>
        <v>0</v>
      </c>
      <c r="AP857" s="150">
        <v>0</v>
      </c>
      <c r="AQ857" s="201">
        <v>0</v>
      </c>
      <c r="AR857" s="199"/>
      <c r="AS857" s="150">
        <f t="shared" si="924"/>
        <v>0</v>
      </c>
      <c r="AT857" s="155"/>
      <c r="AU857" s="156">
        <f t="shared" si="910"/>
        <v>0</v>
      </c>
      <c r="AV857" s="156">
        <f t="shared" si="911"/>
        <v>0</v>
      </c>
      <c r="AW857" s="157"/>
      <c r="AX857" s="150">
        <v>0</v>
      </c>
      <c r="AY857" s="150">
        <v>0</v>
      </c>
      <c r="AZ857" s="150"/>
      <c r="BA857" s="150">
        <f t="shared" si="909"/>
        <v>0</v>
      </c>
      <c r="BB857" s="210"/>
      <c r="BC857" s="210"/>
      <c r="BD857" s="210"/>
      <c r="BE857" s="210"/>
      <c r="BF857" s="210"/>
      <c r="BG857" s="210"/>
      <c r="BH857" s="217"/>
      <c r="BI857" s="210"/>
      <c r="BJ857" s="210"/>
      <c r="BK857" s="210"/>
      <c r="BL857" s="210"/>
      <c r="BM857" s="208"/>
      <c r="BN857" s="160"/>
      <c r="BO857" s="161">
        <f t="shared" si="918"/>
        <v>0</v>
      </c>
      <c r="BP857" s="161"/>
    </row>
    <row r="858" spans="1:68" ht="63.75">
      <c r="A858" s="206" t="s">
        <v>542</v>
      </c>
      <c r="B858" s="195" t="s">
        <v>7066</v>
      </c>
      <c r="C858" s="196" t="s">
        <v>7067</v>
      </c>
      <c r="D858" s="146" t="s">
        <v>4692</v>
      </c>
      <c r="E858" s="196" t="s">
        <v>7067</v>
      </c>
      <c r="F858" s="150">
        <v>0</v>
      </c>
      <c r="G858" s="209">
        <v>0</v>
      </c>
      <c r="H858" s="209"/>
      <c r="I858" s="209">
        <v>0</v>
      </c>
      <c r="J858" s="150">
        <v>0</v>
      </c>
      <c r="K858" s="150">
        <v>0</v>
      </c>
      <c r="L858" s="150">
        <f t="shared" si="917"/>
        <v>0</v>
      </c>
      <c r="M858" s="150">
        <v>0</v>
      </c>
      <c r="N858" s="150"/>
      <c r="O858" s="150">
        <v>0</v>
      </c>
      <c r="P858" s="150">
        <v>0</v>
      </c>
      <c r="Q858" s="150">
        <v>0</v>
      </c>
      <c r="R858" s="150">
        <f t="shared" si="920"/>
        <v>0</v>
      </c>
      <c r="S858" s="150">
        <f t="shared" si="912"/>
        <v>0</v>
      </c>
      <c r="T858" s="150"/>
      <c r="U858" s="150">
        <v>0</v>
      </c>
      <c r="V858" s="199"/>
      <c r="W858" s="150">
        <f t="shared" si="921"/>
        <v>0</v>
      </c>
      <c r="X858" s="150">
        <v>0</v>
      </c>
      <c r="Y858" s="150"/>
      <c r="Z858" s="150">
        <v>0</v>
      </c>
      <c r="AA858" s="150">
        <f t="shared" si="913"/>
        <v>0</v>
      </c>
      <c r="AB858" s="150">
        <v>0</v>
      </c>
      <c r="AC858" s="199"/>
      <c r="AD858" s="150">
        <f t="shared" si="922"/>
        <v>0</v>
      </c>
      <c r="AE858" s="150">
        <v>0</v>
      </c>
      <c r="AF858" s="169" t="s">
        <v>4680</v>
      </c>
      <c r="AG858" s="201">
        <v>0</v>
      </c>
      <c r="AH858" s="199"/>
      <c r="AI858" s="150">
        <v>0</v>
      </c>
      <c r="AJ858" s="169">
        <f t="shared" si="914"/>
        <v>0</v>
      </c>
      <c r="AK858" s="201">
        <v>0</v>
      </c>
      <c r="AL858" s="199"/>
      <c r="AM858" s="150">
        <f t="shared" si="923"/>
        <v>0</v>
      </c>
      <c r="AN858" s="153">
        <f t="shared" si="915"/>
        <v>0</v>
      </c>
      <c r="AO858" s="154">
        <f t="shared" si="916"/>
        <v>0</v>
      </c>
      <c r="AP858" s="150">
        <v>0</v>
      </c>
      <c r="AQ858" s="201">
        <v>0</v>
      </c>
      <c r="AR858" s="199"/>
      <c r="AS858" s="150">
        <f t="shared" si="924"/>
        <v>0</v>
      </c>
      <c r="AT858" s="155"/>
      <c r="AU858" s="156">
        <f t="shared" si="910"/>
        <v>0</v>
      </c>
      <c r="AV858" s="156">
        <f t="shared" si="911"/>
        <v>0</v>
      </c>
      <c r="AW858" s="157"/>
      <c r="AX858" s="150">
        <v>0</v>
      </c>
      <c r="AY858" s="150">
        <v>0</v>
      </c>
      <c r="AZ858" s="150"/>
      <c r="BA858" s="150">
        <f t="shared" si="909"/>
        <v>0</v>
      </c>
      <c r="BB858" s="202">
        <v>5</v>
      </c>
      <c r="BC858" s="202" t="s">
        <v>647</v>
      </c>
      <c r="BD858" s="202" t="s">
        <v>632</v>
      </c>
      <c r="BE858" s="202" t="s">
        <v>1247</v>
      </c>
      <c r="BF858" s="202" t="s">
        <v>1257</v>
      </c>
      <c r="BG858" s="203" t="s">
        <v>7068</v>
      </c>
      <c r="BH858" s="216">
        <f>SUM(AS858:AS865)</f>
        <v>0</v>
      </c>
      <c r="BI858" s="205">
        <f>BH858/7*12</f>
        <v>0</v>
      </c>
      <c r="BJ858" s="206" t="s">
        <v>7051</v>
      </c>
      <c r="BK858" s="206" t="s">
        <v>542</v>
      </c>
      <c r="BL858" s="207" t="s">
        <v>7052</v>
      </c>
      <c r="BM858" s="208">
        <f>BH858</f>
        <v>0</v>
      </c>
      <c r="BN858" s="160"/>
      <c r="BO858" s="161">
        <f t="shared" si="918"/>
        <v>0</v>
      </c>
      <c r="BP858" s="161"/>
    </row>
    <row r="859" spans="1:68" ht="51">
      <c r="A859" s="210"/>
      <c r="B859" s="195" t="s">
        <v>7069</v>
      </c>
      <c r="C859" s="196" t="s">
        <v>7070</v>
      </c>
      <c r="D859" s="146" t="s">
        <v>4692</v>
      </c>
      <c r="E859" s="196" t="s">
        <v>7070</v>
      </c>
      <c r="F859" s="150">
        <v>0</v>
      </c>
      <c r="G859" s="209">
        <v>0</v>
      </c>
      <c r="H859" s="209"/>
      <c r="I859" s="209">
        <v>0</v>
      </c>
      <c r="J859" s="150">
        <v>0</v>
      </c>
      <c r="K859" s="150">
        <v>0</v>
      </c>
      <c r="L859" s="150">
        <f t="shared" si="917"/>
        <v>0</v>
      </c>
      <c r="M859" s="150">
        <v>0</v>
      </c>
      <c r="N859" s="150"/>
      <c r="O859" s="150">
        <v>0</v>
      </c>
      <c r="P859" s="150">
        <v>0</v>
      </c>
      <c r="Q859" s="150">
        <v>0</v>
      </c>
      <c r="R859" s="150">
        <f t="shared" si="920"/>
        <v>0</v>
      </c>
      <c r="S859" s="150">
        <f t="shared" si="912"/>
        <v>0</v>
      </c>
      <c r="T859" s="150"/>
      <c r="U859" s="150">
        <v>0</v>
      </c>
      <c r="V859" s="199"/>
      <c r="W859" s="150">
        <f t="shared" si="921"/>
        <v>0</v>
      </c>
      <c r="X859" s="150">
        <v>0</v>
      </c>
      <c r="Y859" s="150"/>
      <c r="Z859" s="150">
        <v>0</v>
      </c>
      <c r="AA859" s="150">
        <f t="shared" si="913"/>
        <v>0</v>
      </c>
      <c r="AB859" s="150">
        <v>0</v>
      </c>
      <c r="AC859" s="199"/>
      <c r="AD859" s="150">
        <f t="shared" si="922"/>
        <v>0</v>
      </c>
      <c r="AE859" s="150">
        <v>0</v>
      </c>
      <c r="AF859" s="169" t="s">
        <v>4680</v>
      </c>
      <c r="AG859" s="201">
        <v>0</v>
      </c>
      <c r="AH859" s="199"/>
      <c r="AI859" s="150">
        <v>0</v>
      </c>
      <c r="AJ859" s="169">
        <f t="shared" si="914"/>
        <v>0</v>
      </c>
      <c r="AK859" s="201">
        <v>0</v>
      </c>
      <c r="AL859" s="199"/>
      <c r="AM859" s="150">
        <f t="shared" si="923"/>
        <v>0</v>
      </c>
      <c r="AN859" s="153">
        <f t="shared" si="915"/>
        <v>0</v>
      </c>
      <c r="AO859" s="154">
        <f t="shared" si="916"/>
        <v>0</v>
      </c>
      <c r="AP859" s="150">
        <v>0</v>
      </c>
      <c r="AQ859" s="201">
        <v>0</v>
      </c>
      <c r="AR859" s="199"/>
      <c r="AS859" s="150">
        <f t="shared" si="924"/>
        <v>0</v>
      </c>
      <c r="AT859" s="155"/>
      <c r="AU859" s="156">
        <f t="shared" si="910"/>
        <v>0</v>
      </c>
      <c r="AV859" s="156">
        <f t="shared" si="911"/>
        <v>0</v>
      </c>
      <c r="AW859" s="157"/>
      <c r="AX859" s="150">
        <v>0</v>
      </c>
      <c r="AY859" s="150">
        <v>0</v>
      </c>
      <c r="AZ859" s="150"/>
      <c r="BA859" s="150">
        <f t="shared" si="909"/>
        <v>0</v>
      </c>
      <c r="BB859" s="210"/>
      <c r="BC859" s="210"/>
      <c r="BD859" s="210"/>
      <c r="BE859" s="210"/>
      <c r="BF859" s="210"/>
      <c r="BG859" s="210"/>
      <c r="BH859" s="217"/>
      <c r="BI859" s="210"/>
      <c r="BJ859" s="210"/>
      <c r="BK859" s="210"/>
      <c r="BL859" s="210"/>
      <c r="BM859" s="208"/>
      <c r="BN859" s="160"/>
      <c r="BO859" s="161">
        <f t="shared" si="918"/>
        <v>0</v>
      </c>
      <c r="BP859" s="161"/>
    </row>
    <row r="860" spans="1:68" ht="38.25">
      <c r="A860" s="210"/>
      <c r="B860" s="195" t="s">
        <v>7071</v>
      </c>
      <c r="C860" s="196" t="s">
        <v>7072</v>
      </c>
      <c r="D860" s="146" t="s">
        <v>4692</v>
      </c>
      <c r="E860" s="196" t="s">
        <v>7072</v>
      </c>
      <c r="F860" s="150">
        <v>0</v>
      </c>
      <c r="G860" s="209">
        <v>0</v>
      </c>
      <c r="H860" s="209"/>
      <c r="I860" s="209">
        <v>0</v>
      </c>
      <c r="J860" s="150">
        <v>0</v>
      </c>
      <c r="K860" s="150">
        <v>0</v>
      </c>
      <c r="L860" s="150">
        <f t="shared" si="917"/>
        <v>0</v>
      </c>
      <c r="M860" s="150">
        <v>0</v>
      </c>
      <c r="N860" s="150"/>
      <c r="O860" s="150">
        <v>0</v>
      </c>
      <c r="P860" s="150">
        <v>0</v>
      </c>
      <c r="Q860" s="150">
        <v>0</v>
      </c>
      <c r="R860" s="150">
        <f t="shared" si="920"/>
        <v>0</v>
      </c>
      <c r="S860" s="150">
        <f t="shared" si="912"/>
        <v>0</v>
      </c>
      <c r="T860" s="150"/>
      <c r="U860" s="150">
        <v>0</v>
      </c>
      <c r="V860" s="199"/>
      <c r="W860" s="150">
        <f t="shared" si="921"/>
        <v>0</v>
      </c>
      <c r="X860" s="150">
        <v>0</v>
      </c>
      <c r="Y860" s="150"/>
      <c r="Z860" s="150">
        <v>0</v>
      </c>
      <c r="AA860" s="150">
        <f t="shared" si="913"/>
        <v>0</v>
      </c>
      <c r="AB860" s="150">
        <v>0</v>
      </c>
      <c r="AC860" s="199"/>
      <c r="AD860" s="150">
        <f t="shared" si="922"/>
        <v>0</v>
      </c>
      <c r="AE860" s="150">
        <v>0</v>
      </c>
      <c r="AF860" s="169" t="s">
        <v>4680</v>
      </c>
      <c r="AG860" s="201">
        <v>0</v>
      </c>
      <c r="AH860" s="199"/>
      <c r="AI860" s="150">
        <v>0</v>
      </c>
      <c r="AJ860" s="169">
        <f t="shared" si="914"/>
        <v>0</v>
      </c>
      <c r="AK860" s="201">
        <v>0</v>
      </c>
      <c r="AL860" s="199"/>
      <c r="AM860" s="150">
        <f t="shared" si="923"/>
        <v>0</v>
      </c>
      <c r="AN860" s="153">
        <f t="shared" si="915"/>
        <v>0</v>
      </c>
      <c r="AO860" s="154">
        <f t="shared" si="916"/>
        <v>0</v>
      </c>
      <c r="AP860" s="150">
        <v>0</v>
      </c>
      <c r="AQ860" s="201">
        <v>0</v>
      </c>
      <c r="AR860" s="199"/>
      <c r="AS860" s="150">
        <f t="shared" si="924"/>
        <v>0</v>
      </c>
      <c r="AT860" s="155"/>
      <c r="AU860" s="156">
        <f t="shared" si="910"/>
        <v>0</v>
      </c>
      <c r="AV860" s="156">
        <f t="shared" si="911"/>
        <v>0</v>
      </c>
      <c r="AW860" s="157"/>
      <c r="AX860" s="150">
        <v>0</v>
      </c>
      <c r="AY860" s="150">
        <v>0</v>
      </c>
      <c r="AZ860" s="150"/>
      <c r="BA860" s="150">
        <f t="shared" si="909"/>
        <v>0</v>
      </c>
      <c r="BB860" s="210"/>
      <c r="BC860" s="210"/>
      <c r="BD860" s="210"/>
      <c r="BE860" s="210"/>
      <c r="BF860" s="210"/>
      <c r="BG860" s="210"/>
      <c r="BH860" s="217"/>
      <c r="BI860" s="210"/>
      <c r="BJ860" s="210"/>
      <c r="BK860" s="210"/>
      <c r="BL860" s="210"/>
      <c r="BM860" s="208"/>
      <c r="BN860" s="160"/>
      <c r="BO860" s="161">
        <f t="shared" si="918"/>
        <v>0</v>
      </c>
      <c r="BP860" s="161"/>
    </row>
    <row r="861" spans="1:68" ht="51">
      <c r="A861" s="210"/>
      <c r="B861" s="195" t="s">
        <v>7073</v>
      </c>
      <c r="C861" s="196" t="s">
        <v>7074</v>
      </c>
      <c r="D861" s="146" t="s">
        <v>4692</v>
      </c>
      <c r="E861" s="196" t="s">
        <v>7074</v>
      </c>
      <c r="F861" s="150">
        <v>0</v>
      </c>
      <c r="G861" s="209">
        <v>0</v>
      </c>
      <c r="H861" s="209"/>
      <c r="I861" s="209">
        <v>0</v>
      </c>
      <c r="J861" s="150">
        <v>0</v>
      </c>
      <c r="K861" s="150">
        <v>0</v>
      </c>
      <c r="L861" s="150">
        <f t="shared" si="917"/>
        <v>0</v>
      </c>
      <c r="M861" s="150">
        <v>0</v>
      </c>
      <c r="N861" s="150"/>
      <c r="O861" s="150">
        <v>0</v>
      </c>
      <c r="P861" s="150">
        <v>0</v>
      </c>
      <c r="Q861" s="150">
        <v>0</v>
      </c>
      <c r="R861" s="150">
        <f t="shared" si="920"/>
        <v>0</v>
      </c>
      <c r="S861" s="150">
        <f t="shared" si="912"/>
        <v>0</v>
      </c>
      <c r="T861" s="150"/>
      <c r="U861" s="150">
        <v>0</v>
      </c>
      <c r="V861" s="199"/>
      <c r="W861" s="150">
        <f t="shared" si="921"/>
        <v>0</v>
      </c>
      <c r="X861" s="150">
        <v>0</v>
      </c>
      <c r="Y861" s="150"/>
      <c r="Z861" s="150">
        <v>0</v>
      </c>
      <c r="AA861" s="150">
        <f t="shared" si="913"/>
        <v>0</v>
      </c>
      <c r="AB861" s="150">
        <v>0</v>
      </c>
      <c r="AC861" s="199"/>
      <c r="AD861" s="150">
        <f t="shared" si="922"/>
        <v>0</v>
      </c>
      <c r="AE861" s="150">
        <v>0</v>
      </c>
      <c r="AF861" s="169" t="s">
        <v>4680</v>
      </c>
      <c r="AG861" s="201">
        <v>0</v>
      </c>
      <c r="AH861" s="199"/>
      <c r="AI861" s="150">
        <v>0</v>
      </c>
      <c r="AJ861" s="169">
        <f t="shared" si="914"/>
        <v>0</v>
      </c>
      <c r="AK861" s="201">
        <v>0</v>
      </c>
      <c r="AL861" s="199"/>
      <c r="AM861" s="150">
        <f t="shared" si="923"/>
        <v>0</v>
      </c>
      <c r="AN861" s="153">
        <f t="shared" si="915"/>
        <v>0</v>
      </c>
      <c r="AO861" s="154">
        <f t="shared" si="916"/>
        <v>0</v>
      </c>
      <c r="AP861" s="150">
        <v>0</v>
      </c>
      <c r="AQ861" s="201">
        <v>0</v>
      </c>
      <c r="AR861" s="199"/>
      <c r="AS861" s="150">
        <f t="shared" si="924"/>
        <v>0</v>
      </c>
      <c r="AT861" s="155"/>
      <c r="AU861" s="156">
        <f t="shared" si="910"/>
        <v>0</v>
      </c>
      <c r="AV861" s="156">
        <f t="shared" si="911"/>
        <v>0</v>
      </c>
      <c r="AW861" s="157"/>
      <c r="AX861" s="150">
        <v>0</v>
      </c>
      <c r="AY861" s="150">
        <v>0</v>
      </c>
      <c r="AZ861" s="150"/>
      <c r="BA861" s="150">
        <f t="shared" si="909"/>
        <v>0</v>
      </c>
      <c r="BB861" s="210"/>
      <c r="BC861" s="210"/>
      <c r="BD861" s="210"/>
      <c r="BE861" s="210"/>
      <c r="BF861" s="210"/>
      <c r="BG861" s="210"/>
      <c r="BH861" s="217"/>
      <c r="BI861" s="210"/>
      <c r="BJ861" s="210"/>
      <c r="BK861" s="210"/>
      <c r="BL861" s="210"/>
      <c r="BM861" s="208"/>
      <c r="BN861" s="160"/>
      <c r="BO861" s="161">
        <f t="shared" si="918"/>
        <v>0</v>
      </c>
      <c r="BP861" s="161"/>
    </row>
    <row r="862" spans="1:68" ht="38.25">
      <c r="A862" s="210"/>
      <c r="B862" s="195" t="s">
        <v>7075</v>
      </c>
      <c r="C862" s="196" t="s">
        <v>7076</v>
      </c>
      <c r="D862" s="146" t="s">
        <v>4692</v>
      </c>
      <c r="E862" s="196" t="s">
        <v>7076</v>
      </c>
      <c r="F862" s="150">
        <v>0</v>
      </c>
      <c r="G862" s="209">
        <v>0</v>
      </c>
      <c r="H862" s="209"/>
      <c r="I862" s="209">
        <v>0</v>
      </c>
      <c r="J862" s="150">
        <v>0</v>
      </c>
      <c r="K862" s="150">
        <v>0</v>
      </c>
      <c r="L862" s="150">
        <f t="shared" si="917"/>
        <v>0</v>
      </c>
      <c r="M862" s="150">
        <v>0</v>
      </c>
      <c r="N862" s="150"/>
      <c r="O862" s="150">
        <v>0</v>
      </c>
      <c r="P862" s="150">
        <v>0</v>
      </c>
      <c r="Q862" s="150">
        <v>0</v>
      </c>
      <c r="R862" s="150">
        <f t="shared" si="920"/>
        <v>0</v>
      </c>
      <c r="S862" s="150">
        <f t="shared" si="912"/>
        <v>0</v>
      </c>
      <c r="T862" s="150"/>
      <c r="U862" s="150">
        <v>0</v>
      </c>
      <c r="V862" s="199"/>
      <c r="W862" s="150">
        <f t="shared" si="921"/>
        <v>0</v>
      </c>
      <c r="X862" s="150">
        <v>0</v>
      </c>
      <c r="Y862" s="150"/>
      <c r="Z862" s="150">
        <v>0</v>
      </c>
      <c r="AA862" s="150">
        <f t="shared" si="913"/>
        <v>0</v>
      </c>
      <c r="AB862" s="150">
        <v>0</v>
      </c>
      <c r="AC862" s="199"/>
      <c r="AD862" s="150">
        <f t="shared" si="922"/>
        <v>0</v>
      </c>
      <c r="AE862" s="150">
        <v>0</v>
      </c>
      <c r="AF862" s="169" t="s">
        <v>4680</v>
      </c>
      <c r="AG862" s="201">
        <v>0</v>
      </c>
      <c r="AH862" s="199"/>
      <c r="AI862" s="150">
        <v>0</v>
      </c>
      <c r="AJ862" s="169">
        <f t="shared" si="914"/>
        <v>0</v>
      </c>
      <c r="AK862" s="201">
        <v>0</v>
      </c>
      <c r="AL862" s="199"/>
      <c r="AM862" s="150">
        <f t="shared" si="923"/>
        <v>0</v>
      </c>
      <c r="AN862" s="153">
        <f t="shared" si="915"/>
        <v>0</v>
      </c>
      <c r="AO862" s="154">
        <f t="shared" si="916"/>
        <v>0</v>
      </c>
      <c r="AP862" s="150">
        <v>0</v>
      </c>
      <c r="AQ862" s="201">
        <v>0</v>
      </c>
      <c r="AR862" s="199"/>
      <c r="AS862" s="150">
        <f t="shared" si="924"/>
        <v>0</v>
      </c>
      <c r="AT862" s="155"/>
      <c r="AU862" s="156">
        <f t="shared" si="910"/>
        <v>0</v>
      </c>
      <c r="AV862" s="156">
        <f t="shared" si="911"/>
        <v>0</v>
      </c>
      <c r="AW862" s="157"/>
      <c r="AX862" s="150">
        <v>0</v>
      </c>
      <c r="AY862" s="150">
        <v>0</v>
      </c>
      <c r="AZ862" s="150"/>
      <c r="BA862" s="150">
        <f t="shared" si="909"/>
        <v>0</v>
      </c>
      <c r="BB862" s="210"/>
      <c r="BC862" s="210"/>
      <c r="BD862" s="210"/>
      <c r="BE862" s="210"/>
      <c r="BF862" s="210"/>
      <c r="BG862" s="210"/>
      <c r="BH862" s="217"/>
      <c r="BI862" s="210"/>
      <c r="BJ862" s="210"/>
      <c r="BK862" s="210"/>
      <c r="BL862" s="210"/>
      <c r="BM862" s="208"/>
      <c r="BN862" s="160"/>
      <c r="BO862" s="161">
        <f t="shared" si="918"/>
        <v>0</v>
      </c>
      <c r="BP862" s="161"/>
    </row>
    <row r="863" spans="1:68" ht="51">
      <c r="A863" s="210"/>
      <c r="B863" s="195" t="s">
        <v>7077</v>
      </c>
      <c r="C863" s="196" t="s">
        <v>7078</v>
      </c>
      <c r="D863" s="146" t="s">
        <v>4692</v>
      </c>
      <c r="E863" s="196" t="s">
        <v>7078</v>
      </c>
      <c r="F863" s="150">
        <v>0</v>
      </c>
      <c r="G863" s="209">
        <v>0</v>
      </c>
      <c r="H863" s="209"/>
      <c r="I863" s="209">
        <v>0</v>
      </c>
      <c r="J863" s="150">
        <v>0</v>
      </c>
      <c r="K863" s="150">
        <v>0</v>
      </c>
      <c r="L863" s="150">
        <f t="shared" si="917"/>
        <v>0</v>
      </c>
      <c r="M863" s="150">
        <v>0</v>
      </c>
      <c r="N863" s="150"/>
      <c r="O863" s="150">
        <v>0</v>
      </c>
      <c r="P863" s="150">
        <v>0</v>
      </c>
      <c r="Q863" s="150">
        <v>0</v>
      </c>
      <c r="R863" s="150">
        <f t="shared" si="920"/>
        <v>0</v>
      </c>
      <c r="S863" s="150">
        <f t="shared" si="912"/>
        <v>0</v>
      </c>
      <c r="T863" s="150"/>
      <c r="U863" s="150">
        <v>0</v>
      </c>
      <c r="V863" s="199"/>
      <c r="W863" s="150">
        <f t="shared" si="921"/>
        <v>0</v>
      </c>
      <c r="X863" s="150">
        <v>0</v>
      </c>
      <c r="Y863" s="150"/>
      <c r="Z863" s="150">
        <v>0</v>
      </c>
      <c r="AA863" s="150">
        <f t="shared" si="913"/>
        <v>0</v>
      </c>
      <c r="AB863" s="150">
        <v>0</v>
      </c>
      <c r="AC863" s="199"/>
      <c r="AD863" s="150">
        <f t="shared" si="922"/>
        <v>0</v>
      </c>
      <c r="AE863" s="150">
        <v>0</v>
      </c>
      <c r="AF863" s="169" t="s">
        <v>4680</v>
      </c>
      <c r="AG863" s="201">
        <v>0</v>
      </c>
      <c r="AH863" s="199"/>
      <c r="AI863" s="150">
        <v>0</v>
      </c>
      <c r="AJ863" s="169">
        <f t="shared" si="914"/>
        <v>0</v>
      </c>
      <c r="AK863" s="201">
        <v>0</v>
      </c>
      <c r="AL863" s="199"/>
      <c r="AM863" s="150">
        <f t="shared" si="923"/>
        <v>0</v>
      </c>
      <c r="AN863" s="153">
        <f t="shared" si="915"/>
        <v>0</v>
      </c>
      <c r="AO863" s="154">
        <f t="shared" si="916"/>
        <v>0</v>
      </c>
      <c r="AP863" s="150">
        <v>0</v>
      </c>
      <c r="AQ863" s="201">
        <v>0</v>
      </c>
      <c r="AR863" s="199"/>
      <c r="AS863" s="150">
        <f t="shared" si="924"/>
        <v>0</v>
      </c>
      <c r="AT863" s="155"/>
      <c r="AU863" s="156">
        <f t="shared" si="910"/>
        <v>0</v>
      </c>
      <c r="AV863" s="156">
        <f t="shared" si="911"/>
        <v>0</v>
      </c>
      <c r="AW863" s="157"/>
      <c r="AX863" s="150">
        <v>0</v>
      </c>
      <c r="AY863" s="150">
        <v>0</v>
      </c>
      <c r="AZ863" s="150"/>
      <c r="BA863" s="150">
        <f t="shared" si="909"/>
        <v>0</v>
      </c>
      <c r="BB863" s="210"/>
      <c r="BC863" s="210"/>
      <c r="BD863" s="210"/>
      <c r="BE863" s="210"/>
      <c r="BF863" s="210"/>
      <c r="BG863" s="210"/>
      <c r="BH863" s="217"/>
      <c r="BI863" s="210"/>
      <c r="BJ863" s="210"/>
      <c r="BK863" s="210"/>
      <c r="BL863" s="210"/>
      <c r="BM863" s="208"/>
      <c r="BN863" s="160"/>
      <c r="BO863" s="161">
        <f t="shared" si="918"/>
        <v>0</v>
      </c>
      <c r="BP863" s="161"/>
    </row>
    <row r="864" spans="1:68" ht="38.25">
      <c r="A864" s="210"/>
      <c r="B864" s="195" t="s">
        <v>7079</v>
      </c>
      <c r="C864" s="196" t="s">
        <v>7080</v>
      </c>
      <c r="D864" s="146" t="s">
        <v>4692</v>
      </c>
      <c r="E864" s="196" t="s">
        <v>7080</v>
      </c>
      <c r="F864" s="150">
        <v>0</v>
      </c>
      <c r="G864" s="209">
        <v>0</v>
      </c>
      <c r="H864" s="209"/>
      <c r="I864" s="209">
        <v>0</v>
      </c>
      <c r="J864" s="150">
        <v>0</v>
      </c>
      <c r="K864" s="150">
        <v>0</v>
      </c>
      <c r="L864" s="150">
        <f t="shared" si="917"/>
        <v>0</v>
      </c>
      <c r="M864" s="150">
        <v>0</v>
      </c>
      <c r="N864" s="150"/>
      <c r="O864" s="150">
        <v>0</v>
      </c>
      <c r="P864" s="150">
        <v>0</v>
      </c>
      <c r="Q864" s="150">
        <v>0</v>
      </c>
      <c r="R864" s="150">
        <f t="shared" si="920"/>
        <v>0</v>
      </c>
      <c r="S864" s="150">
        <f t="shared" si="912"/>
        <v>0</v>
      </c>
      <c r="T864" s="150"/>
      <c r="U864" s="150">
        <v>0</v>
      </c>
      <c r="V864" s="199"/>
      <c r="W864" s="150">
        <f t="shared" si="921"/>
        <v>0</v>
      </c>
      <c r="X864" s="150">
        <v>0</v>
      </c>
      <c r="Y864" s="150"/>
      <c r="Z864" s="150">
        <v>0</v>
      </c>
      <c r="AA864" s="150">
        <f t="shared" si="913"/>
        <v>0</v>
      </c>
      <c r="AB864" s="150">
        <v>0</v>
      </c>
      <c r="AC864" s="199"/>
      <c r="AD864" s="150">
        <f t="shared" si="922"/>
        <v>0</v>
      </c>
      <c r="AE864" s="150">
        <v>0</v>
      </c>
      <c r="AF864" s="169" t="s">
        <v>4680</v>
      </c>
      <c r="AG864" s="201">
        <v>0</v>
      </c>
      <c r="AH864" s="199"/>
      <c r="AI864" s="150">
        <v>0</v>
      </c>
      <c r="AJ864" s="169">
        <f t="shared" si="914"/>
        <v>0</v>
      </c>
      <c r="AK864" s="201">
        <v>0</v>
      </c>
      <c r="AL864" s="199"/>
      <c r="AM864" s="150">
        <f t="shared" si="923"/>
        <v>0</v>
      </c>
      <c r="AN864" s="153">
        <f t="shared" si="915"/>
        <v>0</v>
      </c>
      <c r="AO864" s="154">
        <f t="shared" si="916"/>
        <v>0</v>
      </c>
      <c r="AP864" s="150">
        <v>0</v>
      </c>
      <c r="AQ864" s="201">
        <v>0</v>
      </c>
      <c r="AR864" s="199"/>
      <c r="AS864" s="150">
        <f t="shared" si="924"/>
        <v>0</v>
      </c>
      <c r="AT864" s="155"/>
      <c r="AU864" s="156">
        <f t="shared" si="910"/>
        <v>0</v>
      </c>
      <c r="AV864" s="156">
        <f t="shared" si="911"/>
        <v>0</v>
      </c>
      <c r="AW864" s="157"/>
      <c r="AX864" s="150">
        <v>0</v>
      </c>
      <c r="AY864" s="150">
        <v>0</v>
      </c>
      <c r="AZ864" s="150"/>
      <c r="BA864" s="150">
        <f t="shared" si="909"/>
        <v>0</v>
      </c>
      <c r="BB864" s="210"/>
      <c r="BC864" s="210"/>
      <c r="BD864" s="210"/>
      <c r="BE864" s="210"/>
      <c r="BF864" s="210"/>
      <c r="BG864" s="210"/>
      <c r="BH864" s="217"/>
      <c r="BI864" s="210"/>
      <c r="BJ864" s="210"/>
      <c r="BK864" s="210"/>
      <c r="BL864" s="210"/>
      <c r="BM864" s="208"/>
      <c r="BN864" s="160"/>
      <c r="BO864" s="161">
        <f t="shared" si="918"/>
        <v>0</v>
      </c>
      <c r="BP864" s="161"/>
    </row>
    <row r="865" spans="1:68" ht="51">
      <c r="A865" s="210"/>
      <c r="B865" s="195" t="s">
        <v>7081</v>
      </c>
      <c r="C865" s="196" t="s">
        <v>7082</v>
      </c>
      <c r="D865" s="146" t="s">
        <v>4692</v>
      </c>
      <c r="E865" s="196" t="s">
        <v>7082</v>
      </c>
      <c r="F865" s="150">
        <v>0</v>
      </c>
      <c r="G865" s="209">
        <v>0</v>
      </c>
      <c r="H865" s="209"/>
      <c r="I865" s="209">
        <v>0</v>
      </c>
      <c r="J865" s="150">
        <v>0</v>
      </c>
      <c r="K865" s="150">
        <v>0</v>
      </c>
      <c r="L865" s="150">
        <f t="shared" si="917"/>
        <v>0</v>
      </c>
      <c r="M865" s="150">
        <v>0</v>
      </c>
      <c r="N865" s="150"/>
      <c r="O865" s="150">
        <v>0</v>
      </c>
      <c r="P865" s="150">
        <v>0</v>
      </c>
      <c r="Q865" s="150">
        <v>0</v>
      </c>
      <c r="R865" s="150">
        <f t="shared" si="920"/>
        <v>0</v>
      </c>
      <c r="S865" s="150">
        <f t="shared" si="912"/>
        <v>0</v>
      </c>
      <c r="T865" s="150"/>
      <c r="U865" s="150">
        <v>0</v>
      </c>
      <c r="V865" s="199"/>
      <c r="W865" s="150">
        <f t="shared" si="921"/>
        <v>0</v>
      </c>
      <c r="X865" s="150">
        <v>0</v>
      </c>
      <c r="Y865" s="150"/>
      <c r="Z865" s="150">
        <v>0</v>
      </c>
      <c r="AA865" s="150">
        <f t="shared" si="913"/>
        <v>0</v>
      </c>
      <c r="AB865" s="150">
        <v>0</v>
      </c>
      <c r="AC865" s="199"/>
      <c r="AD865" s="150">
        <f t="shared" si="922"/>
        <v>0</v>
      </c>
      <c r="AE865" s="150">
        <v>0</v>
      </c>
      <c r="AF865" s="169" t="s">
        <v>4680</v>
      </c>
      <c r="AG865" s="201">
        <v>0</v>
      </c>
      <c r="AH865" s="199"/>
      <c r="AI865" s="150">
        <v>0</v>
      </c>
      <c r="AJ865" s="169">
        <f t="shared" si="914"/>
        <v>0</v>
      </c>
      <c r="AK865" s="201">
        <v>0</v>
      </c>
      <c r="AL865" s="199"/>
      <c r="AM865" s="150">
        <f t="shared" si="923"/>
        <v>0</v>
      </c>
      <c r="AN865" s="153">
        <f t="shared" si="915"/>
        <v>0</v>
      </c>
      <c r="AO865" s="154">
        <f t="shared" si="916"/>
        <v>0</v>
      </c>
      <c r="AP865" s="150">
        <v>0</v>
      </c>
      <c r="AQ865" s="201">
        <v>0</v>
      </c>
      <c r="AR865" s="199"/>
      <c r="AS865" s="150">
        <f t="shared" si="924"/>
        <v>0</v>
      </c>
      <c r="AT865" s="155"/>
      <c r="AU865" s="156">
        <f t="shared" si="910"/>
        <v>0</v>
      </c>
      <c r="AV865" s="156">
        <f t="shared" si="911"/>
        <v>0</v>
      </c>
      <c r="AW865" s="157"/>
      <c r="AX865" s="150">
        <v>0</v>
      </c>
      <c r="AY865" s="150">
        <v>0</v>
      </c>
      <c r="AZ865" s="150"/>
      <c r="BA865" s="150">
        <f t="shared" si="909"/>
        <v>0</v>
      </c>
      <c r="BB865" s="210"/>
      <c r="BC865" s="210"/>
      <c r="BD865" s="210"/>
      <c r="BE865" s="210"/>
      <c r="BF865" s="210"/>
      <c r="BG865" s="210"/>
      <c r="BH865" s="217"/>
      <c r="BI865" s="210"/>
      <c r="BJ865" s="210"/>
      <c r="BK865" s="210"/>
      <c r="BL865" s="210"/>
      <c r="BM865" s="208"/>
      <c r="BN865" s="160"/>
      <c r="BO865" s="161">
        <f t="shared" si="918"/>
        <v>0</v>
      </c>
      <c r="BP865" s="161"/>
    </row>
    <row r="866" spans="1:68" ht="63.75">
      <c r="A866" s="206" t="s">
        <v>542</v>
      </c>
      <c r="B866" s="195" t="s">
        <v>7083</v>
      </c>
      <c r="C866" s="196" t="s">
        <v>7084</v>
      </c>
      <c r="D866" s="146" t="s">
        <v>4692</v>
      </c>
      <c r="E866" s="196" t="s">
        <v>7084</v>
      </c>
      <c r="F866" s="150">
        <v>0</v>
      </c>
      <c r="G866" s="209">
        <v>0</v>
      </c>
      <c r="H866" s="209"/>
      <c r="I866" s="209">
        <v>0</v>
      </c>
      <c r="J866" s="150">
        <v>0</v>
      </c>
      <c r="K866" s="150">
        <v>0</v>
      </c>
      <c r="L866" s="150">
        <f t="shared" si="917"/>
        <v>0</v>
      </c>
      <c r="M866" s="150">
        <v>0</v>
      </c>
      <c r="N866" s="150"/>
      <c r="O866" s="150">
        <v>0</v>
      </c>
      <c r="P866" s="150">
        <v>0</v>
      </c>
      <c r="Q866" s="150">
        <v>0</v>
      </c>
      <c r="R866" s="150">
        <f t="shared" si="920"/>
        <v>0</v>
      </c>
      <c r="S866" s="150">
        <f t="shared" si="912"/>
        <v>0</v>
      </c>
      <c r="T866" s="150"/>
      <c r="U866" s="150">
        <v>0</v>
      </c>
      <c r="V866" s="199"/>
      <c r="W866" s="150">
        <f t="shared" si="921"/>
        <v>0</v>
      </c>
      <c r="X866" s="150">
        <v>0</v>
      </c>
      <c r="Y866" s="150"/>
      <c r="Z866" s="150">
        <v>0</v>
      </c>
      <c r="AA866" s="150">
        <f t="shared" si="913"/>
        <v>0</v>
      </c>
      <c r="AB866" s="150">
        <v>0</v>
      </c>
      <c r="AC866" s="199"/>
      <c r="AD866" s="150">
        <f t="shared" si="922"/>
        <v>0</v>
      </c>
      <c r="AE866" s="150">
        <v>0</v>
      </c>
      <c r="AF866" s="169" t="s">
        <v>4680</v>
      </c>
      <c r="AG866" s="201">
        <v>0</v>
      </c>
      <c r="AH866" s="199"/>
      <c r="AI866" s="150">
        <v>0</v>
      </c>
      <c r="AJ866" s="169">
        <f t="shared" si="914"/>
        <v>0</v>
      </c>
      <c r="AK866" s="201">
        <v>0</v>
      </c>
      <c r="AL866" s="199"/>
      <c r="AM866" s="150">
        <f t="shared" si="923"/>
        <v>0</v>
      </c>
      <c r="AN866" s="153">
        <f t="shared" si="915"/>
        <v>0</v>
      </c>
      <c r="AO866" s="154">
        <f t="shared" si="916"/>
        <v>0</v>
      </c>
      <c r="AP866" s="150">
        <v>0</v>
      </c>
      <c r="AQ866" s="201">
        <v>0</v>
      </c>
      <c r="AR866" s="199"/>
      <c r="AS866" s="150">
        <f t="shared" si="924"/>
        <v>0</v>
      </c>
      <c r="AT866" s="155"/>
      <c r="AU866" s="156">
        <f t="shared" si="910"/>
        <v>0</v>
      </c>
      <c r="AV866" s="156">
        <f t="shared" si="911"/>
        <v>0</v>
      </c>
      <c r="AW866" s="157"/>
      <c r="AX866" s="150">
        <v>0</v>
      </c>
      <c r="AY866" s="150">
        <v>0</v>
      </c>
      <c r="AZ866" s="150"/>
      <c r="BA866" s="150">
        <f t="shared" si="909"/>
        <v>0</v>
      </c>
      <c r="BB866" s="202">
        <v>5</v>
      </c>
      <c r="BC866" s="202" t="s">
        <v>647</v>
      </c>
      <c r="BD866" s="202" t="s">
        <v>632</v>
      </c>
      <c r="BE866" s="202" t="s">
        <v>1247</v>
      </c>
      <c r="BF866" s="194" t="s">
        <v>1332</v>
      </c>
      <c r="BG866" s="203" t="s">
        <v>7085</v>
      </c>
      <c r="BH866" s="216">
        <f t="shared" ref="BH866:BH876" si="925">AS866</f>
        <v>0</v>
      </c>
      <c r="BI866" s="205"/>
      <c r="BJ866" s="206" t="s">
        <v>7051</v>
      </c>
      <c r="BK866" s="206" t="s">
        <v>542</v>
      </c>
      <c r="BL866" s="207" t="s">
        <v>7052</v>
      </c>
      <c r="BM866" s="208">
        <f t="shared" ref="BM866:BM876" si="926">BH866</f>
        <v>0</v>
      </c>
      <c r="BN866" s="160"/>
      <c r="BO866" s="161">
        <f t="shared" si="918"/>
        <v>0</v>
      </c>
      <c r="BP866" s="161"/>
    </row>
    <row r="867" spans="1:68" ht="76.5">
      <c r="A867" s="261" t="s">
        <v>7086</v>
      </c>
      <c r="B867" s="228" t="s">
        <v>7087</v>
      </c>
      <c r="C867" s="229" t="s">
        <v>7088</v>
      </c>
      <c r="D867" s="146" t="s">
        <v>4692</v>
      </c>
      <c r="E867" s="196" t="s">
        <v>7088</v>
      </c>
      <c r="F867" s="150">
        <v>0</v>
      </c>
      <c r="G867" s="209">
        <v>0</v>
      </c>
      <c r="H867" s="209"/>
      <c r="I867" s="209">
        <v>0</v>
      </c>
      <c r="J867" s="150">
        <v>0</v>
      </c>
      <c r="K867" s="150">
        <v>0</v>
      </c>
      <c r="L867" s="150">
        <f t="shared" si="917"/>
        <v>0</v>
      </c>
      <c r="M867" s="150">
        <v>0</v>
      </c>
      <c r="N867" s="150"/>
      <c r="O867" s="150">
        <v>0</v>
      </c>
      <c r="P867" s="150">
        <v>0</v>
      </c>
      <c r="Q867" s="150">
        <v>0</v>
      </c>
      <c r="R867" s="150">
        <f t="shared" si="920"/>
        <v>0</v>
      </c>
      <c r="S867" s="150">
        <f t="shared" si="912"/>
        <v>0</v>
      </c>
      <c r="T867" s="150"/>
      <c r="U867" s="150">
        <v>0</v>
      </c>
      <c r="V867" s="199"/>
      <c r="W867" s="150">
        <f t="shared" si="921"/>
        <v>0</v>
      </c>
      <c r="X867" s="150">
        <v>0</v>
      </c>
      <c r="Y867" s="150"/>
      <c r="Z867" s="150">
        <v>0</v>
      </c>
      <c r="AA867" s="150">
        <f t="shared" si="913"/>
        <v>0</v>
      </c>
      <c r="AB867" s="150">
        <v>0</v>
      </c>
      <c r="AC867" s="199"/>
      <c r="AD867" s="150">
        <f t="shared" si="922"/>
        <v>0</v>
      </c>
      <c r="AE867" s="150">
        <v>0</v>
      </c>
      <c r="AF867" s="169" t="s">
        <v>4680</v>
      </c>
      <c r="AG867" s="201">
        <v>0</v>
      </c>
      <c r="AH867" s="199"/>
      <c r="AI867" s="150">
        <v>0</v>
      </c>
      <c r="AJ867" s="169">
        <f t="shared" si="914"/>
        <v>0</v>
      </c>
      <c r="AK867" s="201">
        <v>0</v>
      </c>
      <c r="AL867" s="199"/>
      <c r="AM867" s="150">
        <f t="shared" si="923"/>
        <v>0</v>
      </c>
      <c r="AN867" s="153">
        <f t="shared" si="915"/>
        <v>0</v>
      </c>
      <c r="AO867" s="154">
        <f t="shared" si="916"/>
        <v>0</v>
      </c>
      <c r="AP867" s="150">
        <v>0</v>
      </c>
      <c r="AQ867" s="201">
        <v>0</v>
      </c>
      <c r="AR867" s="199"/>
      <c r="AS867" s="150">
        <f t="shared" si="924"/>
        <v>0</v>
      </c>
      <c r="AT867" s="155" t="s">
        <v>4796</v>
      </c>
      <c r="AU867" s="156">
        <f t="shared" si="910"/>
        <v>0</v>
      </c>
      <c r="AV867" s="156">
        <f t="shared" si="911"/>
        <v>0</v>
      </c>
      <c r="AW867" s="157" t="s">
        <v>4796</v>
      </c>
      <c r="AX867" s="150">
        <v>0</v>
      </c>
      <c r="AY867" s="150">
        <v>0</v>
      </c>
      <c r="AZ867" s="150"/>
      <c r="BA867" s="150">
        <f t="shared" si="909"/>
        <v>0</v>
      </c>
      <c r="BB867" s="202">
        <v>5</v>
      </c>
      <c r="BC867" s="202" t="s">
        <v>647</v>
      </c>
      <c r="BD867" s="202" t="s">
        <v>632</v>
      </c>
      <c r="BE867" s="202" t="s">
        <v>1247</v>
      </c>
      <c r="BF867" s="202" t="s">
        <v>1838</v>
      </c>
      <c r="BG867" s="203" t="s">
        <v>7089</v>
      </c>
      <c r="BH867" s="216">
        <f t="shared" si="925"/>
        <v>0</v>
      </c>
      <c r="BI867" s="206" t="s">
        <v>1519</v>
      </c>
      <c r="BJ867" s="206" t="s">
        <v>7090</v>
      </c>
      <c r="BK867" s="206" t="s">
        <v>7086</v>
      </c>
      <c r="BL867" s="207" t="s">
        <v>7091</v>
      </c>
      <c r="BM867" s="208">
        <f t="shared" si="926"/>
        <v>0</v>
      </c>
      <c r="BN867" s="160"/>
      <c r="BO867" s="161">
        <f t="shared" si="918"/>
        <v>0</v>
      </c>
      <c r="BP867" s="161"/>
    </row>
    <row r="868" spans="1:68" ht="76.5">
      <c r="A868" s="261" t="s">
        <v>7086</v>
      </c>
      <c r="B868" s="228" t="s">
        <v>7092</v>
      </c>
      <c r="C868" s="229" t="s">
        <v>7093</v>
      </c>
      <c r="D868" s="146" t="s">
        <v>4692</v>
      </c>
      <c r="E868" s="196" t="s">
        <v>7093</v>
      </c>
      <c r="F868" s="150">
        <v>0</v>
      </c>
      <c r="G868" s="209">
        <v>0</v>
      </c>
      <c r="H868" s="209"/>
      <c r="I868" s="209">
        <v>0</v>
      </c>
      <c r="J868" s="150">
        <v>0</v>
      </c>
      <c r="K868" s="150">
        <v>0</v>
      </c>
      <c r="L868" s="150">
        <f t="shared" si="917"/>
        <v>0</v>
      </c>
      <c r="M868" s="150">
        <v>0</v>
      </c>
      <c r="N868" s="150"/>
      <c r="O868" s="150">
        <v>0</v>
      </c>
      <c r="P868" s="150">
        <v>0</v>
      </c>
      <c r="Q868" s="150">
        <v>0</v>
      </c>
      <c r="R868" s="150">
        <f t="shared" si="920"/>
        <v>0</v>
      </c>
      <c r="S868" s="150">
        <f t="shared" si="912"/>
        <v>0</v>
      </c>
      <c r="T868" s="150"/>
      <c r="U868" s="150">
        <v>0</v>
      </c>
      <c r="V868" s="199"/>
      <c r="W868" s="150">
        <f t="shared" si="921"/>
        <v>0</v>
      </c>
      <c r="X868" s="150">
        <v>0</v>
      </c>
      <c r="Y868" s="150"/>
      <c r="Z868" s="150">
        <v>0</v>
      </c>
      <c r="AA868" s="150">
        <f t="shared" si="913"/>
        <v>0</v>
      </c>
      <c r="AB868" s="150">
        <v>0</v>
      </c>
      <c r="AC868" s="199"/>
      <c r="AD868" s="150">
        <f t="shared" si="922"/>
        <v>0</v>
      </c>
      <c r="AE868" s="150">
        <v>0</v>
      </c>
      <c r="AF868" s="169" t="s">
        <v>4680</v>
      </c>
      <c r="AG868" s="201">
        <v>0</v>
      </c>
      <c r="AH868" s="199"/>
      <c r="AI868" s="150">
        <v>0</v>
      </c>
      <c r="AJ868" s="169">
        <f t="shared" si="914"/>
        <v>0</v>
      </c>
      <c r="AK868" s="201">
        <v>0</v>
      </c>
      <c r="AL868" s="199"/>
      <c r="AM868" s="150">
        <f t="shared" si="923"/>
        <v>0</v>
      </c>
      <c r="AN868" s="153">
        <f t="shared" si="915"/>
        <v>0</v>
      </c>
      <c r="AO868" s="154">
        <f t="shared" si="916"/>
        <v>0</v>
      </c>
      <c r="AP868" s="150">
        <v>0</v>
      </c>
      <c r="AQ868" s="201">
        <v>0</v>
      </c>
      <c r="AR868" s="199"/>
      <c r="AS868" s="150">
        <f t="shared" si="924"/>
        <v>0</v>
      </c>
      <c r="AT868" s="155" t="s">
        <v>4796</v>
      </c>
      <c r="AU868" s="156">
        <f t="shared" si="910"/>
        <v>0</v>
      </c>
      <c r="AV868" s="156">
        <f t="shared" si="911"/>
        <v>0</v>
      </c>
      <c r="AW868" s="157" t="s">
        <v>4796</v>
      </c>
      <c r="AX868" s="150">
        <v>0</v>
      </c>
      <c r="AY868" s="150">
        <v>0</v>
      </c>
      <c r="AZ868" s="150"/>
      <c r="BA868" s="150">
        <f t="shared" si="909"/>
        <v>0</v>
      </c>
      <c r="BB868" s="202">
        <v>5</v>
      </c>
      <c r="BC868" s="202" t="s">
        <v>647</v>
      </c>
      <c r="BD868" s="202" t="s">
        <v>632</v>
      </c>
      <c r="BE868" s="202" t="s">
        <v>1247</v>
      </c>
      <c r="BF868" s="194" t="s">
        <v>1842</v>
      </c>
      <c r="BG868" s="203" t="s">
        <v>7094</v>
      </c>
      <c r="BH868" s="216">
        <f t="shared" si="925"/>
        <v>0</v>
      </c>
      <c r="BI868" s="206" t="s">
        <v>1519</v>
      </c>
      <c r="BJ868" s="206" t="s">
        <v>7090</v>
      </c>
      <c r="BK868" s="206" t="s">
        <v>7086</v>
      </c>
      <c r="BL868" s="207" t="s">
        <v>7091</v>
      </c>
      <c r="BM868" s="208">
        <f t="shared" si="926"/>
        <v>0</v>
      </c>
      <c r="BN868" s="160"/>
      <c r="BO868" s="161">
        <f t="shared" si="918"/>
        <v>0</v>
      </c>
      <c r="BP868" s="161"/>
    </row>
    <row r="869" spans="1:68" ht="76.5">
      <c r="A869" s="261" t="s">
        <v>7086</v>
      </c>
      <c r="B869" s="228" t="s">
        <v>7095</v>
      </c>
      <c r="C869" s="229" t="s">
        <v>7096</v>
      </c>
      <c r="D869" s="146" t="s">
        <v>4692</v>
      </c>
      <c r="E869" s="196" t="s">
        <v>7096</v>
      </c>
      <c r="F869" s="150">
        <v>0</v>
      </c>
      <c r="G869" s="209">
        <v>0</v>
      </c>
      <c r="H869" s="209"/>
      <c r="I869" s="209">
        <v>0</v>
      </c>
      <c r="J869" s="150">
        <v>0</v>
      </c>
      <c r="K869" s="150">
        <v>0</v>
      </c>
      <c r="L869" s="150">
        <f t="shared" si="917"/>
        <v>0</v>
      </c>
      <c r="M869" s="150">
        <v>0</v>
      </c>
      <c r="N869" s="150"/>
      <c r="O869" s="150">
        <v>0</v>
      </c>
      <c r="P869" s="150">
        <v>0</v>
      </c>
      <c r="Q869" s="150">
        <v>0</v>
      </c>
      <c r="R869" s="150">
        <f t="shared" si="920"/>
        <v>0</v>
      </c>
      <c r="S869" s="150">
        <f t="shared" si="912"/>
        <v>0</v>
      </c>
      <c r="T869" s="150"/>
      <c r="U869" s="150">
        <v>0</v>
      </c>
      <c r="V869" s="199"/>
      <c r="W869" s="150">
        <f t="shared" si="921"/>
        <v>0</v>
      </c>
      <c r="X869" s="150">
        <v>0</v>
      </c>
      <c r="Y869" s="150"/>
      <c r="Z869" s="150">
        <v>0</v>
      </c>
      <c r="AA869" s="150">
        <f t="shared" si="913"/>
        <v>0</v>
      </c>
      <c r="AB869" s="150">
        <v>0</v>
      </c>
      <c r="AC869" s="199"/>
      <c r="AD869" s="150">
        <f t="shared" si="922"/>
        <v>0</v>
      </c>
      <c r="AE869" s="150">
        <v>0</v>
      </c>
      <c r="AF869" s="169" t="s">
        <v>4680</v>
      </c>
      <c r="AG869" s="201">
        <v>0</v>
      </c>
      <c r="AH869" s="199"/>
      <c r="AI869" s="150">
        <v>0</v>
      </c>
      <c r="AJ869" s="169">
        <f t="shared" si="914"/>
        <v>0</v>
      </c>
      <c r="AK869" s="201">
        <v>0</v>
      </c>
      <c r="AL869" s="199"/>
      <c r="AM869" s="150">
        <f t="shared" si="923"/>
        <v>0</v>
      </c>
      <c r="AN869" s="153">
        <f t="shared" si="915"/>
        <v>0</v>
      </c>
      <c r="AO869" s="154">
        <f t="shared" si="916"/>
        <v>0</v>
      </c>
      <c r="AP869" s="150">
        <v>0</v>
      </c>
      <c r="AQ869" s="201">
        <v>0</v>
      </c>
      <c r="AR869" s="199"/>
      <c r="AS869" s="150">
        <f t="shared" si="924"/>
        <v>0</v>
      </c>
      <c r="AT869" s="155" t="s">
        <v>4796</v>
      </c>
      <c r="AU869" s="156">
        <f t="shared" si="910"/>
        <v>0</v>
      </c>
      <c r="AV869" s="156">
        <f t="shared" si="911"/>
        <v>0</v>
      </c>
      <c r="AW869" s="157" t="s">
        <v>4796</v>
      </c>
      <c r="AX869" s="150">
        <v>0</v>
      </c>
      <c r="AY869" s="150">
        <v>0</v>
      </c>
      <c r="AZ869" s="150"/>
      <c r="BA869" s="150">
        <f t="shared" si="909"/>
        <v>0</v>
      </c>
      <c r="BB869" s="202">
        <v>5</v>
      </c>
      <c r="BC869" s="202" t="s">
        <v>647</v>
      </c>
      <c r="BD869" s="202" t="s">
        <v>632</v>
      </c>
      <c r="BE869" s="202" t="s">
        <v>1247</v>
      </c>
      <c r="BF869" s="202" t="s">
        <v>1846</v>
      </c>
      <c r="BG869" s="203" t="s">
        <v>7096</v>
      </c>
      <c r="BH869" s="216">
        <f t="shared" si="925"/>
        <v>0</v>
      </c>
      <c r="BI869" s="206" t="s">
        <v>1519</v>
      </c>
      <c r="BJ869" s="206" t="s">
        <v>7090</v>
      </c>
      <c r="BK869" s="206" t="s">
        <v>7086</v>
      </c>
      <c r="BL869" s="207" t="s">
        <v>7091</v>
      </c>
      <c r="BM869" s="208">
        <f t="shared" si="926"/>
        <v>0</v>
      </c>
      <c r="BN869" s="160"/>
      <c r="BO869" s="161">
        <f t="shared" si="918"/>
        <v>0</v>
      </c>
      <c r="BP869" s="161"/>
    </row>
    <row r="870" spans="1:68" ht="76.5">
      <c r="A870" s="261" t="s">
        <v>7086</v>
      </c>
      <c r="B870" s="228" t="s">
        <v>7097</v>
      </c>
      <c r="C870" s="229" t="s">
        <v>7098</v>
      </c>
      <c r="D870" s="146" t="s">
        <v>4692</v>
      </c>
      <c r="E870" s="196" t="s">
        <v>7098</v>
      </c>
      <c r="F870" s="150">
        <v>0</v>
      </c>
      <c r="G870" s="209">
        <v>0</v>
      </c>
      <c r="H870" s="209"/>
      <c r="I870" s="209">
        <v>0</v>
      </c>
      <c r="J870" s="150">
        <v>0</v>
      </c>
      <c r="K870" s="150">
        <v>0</v>
      </c>
      <c r="L870" s="150">
        <f t="shared" si="917"/>
        <v>0</v>
      </c>
      <c r="M870" s="150">
        <v>0</v>
      </c>
      <c r="N870" s="150"/>
      <c r="O870" s="150">
        <v>0</v>
      </c>
      <c r="P870" s="150">
        <v>0</v>
      </c>
      <c r="Q870" s="150">
        <v>0</v>
      </c>
      <c r="R870" s="150">
        <f t="shared" si="920"/>
        <v>0</v>
      </c>
      <c r="S870" s="150">
        <f t="shared" si="912"/>
        <v>0</v>
      </c>
      <c r="T870" s="150"/>
      <c r="U870" s="150">
        <v>0</v>
      </c>
      <c r="V870" s="199"/>
      <c r="W870" s="150">
        <f t="shared" si="921"/>
        <v>0</v>
      </c>
      <c r="X870" s="150">
        <v>0</v>
      </c>
      <c r="Y870" s="150"/>
      <c r="Z870" s="150">
        <v>0</v>
      </c>
      <c r="AA870" s="150">
        <f t="shared" si="913"/>
        <v>0</v>
      </c>
      <c r="AB870" s="150">
        <v>0</v>
      </c>
      <c r="AC870" s="199"/>
      <c r="AD870" s="150">
        <f t="shared" si="922"/>
        <v>0</v>
      </c>
      <c r="AE870" s="150">
        <v>0</v>
      </c>
      <c r="AF870" s="169" t="s">
        <v>4680</v>
      </c>
      <c r="AG870" s="201">
        <v>0</v>
      </c>
      <c r="AH870" s="199"/>
      <c r="AI870" s="150">
        <v>0</v>
      </c>
      <c r="AJ870" s="169">
        <f t="shared" si="914"/>
        <v>0</v>
      </c>
      <c r="AK870" s="201">
        <v>0</v>
      </c>
      <c r="AL870" s="199"/>
      <c r="AM870" s="150">
        <f t="shared" si="923"/>
        <v>0</v>
      </c>
      <c r="AN870" s="153">
        <f t="shared" si="915"/>
        <v>0</v>
      </c>
      <c r="AO870" s="154">
        <f t="shared" si="916"/>
        <v>0</v>
      </c>
      <c r="AP870" s="150">
        <v>0</v>
      </c>
      <c r="AQ870" s="201">
        <v>0</v>
      </c>
      <c r="AR870" s="199"/>
      <c r="AS870" s="150">
        <f t="shared" si="924"/>
        <v>0</v>
      </c>
      <c r="AT870" s="155" t="s">
        <v>4796</v>
      </c>
      <c r="AU870" s="156">
        <f t="shared" si="910"/>
        <v>0</v>
      </c>
      <c r="AV870" s="156">
        <f t="shared" si="911"/>
        <v>0</v>
      </c>
      <c r="AW870" s="157" t="s">
        <v>4796</v>
      </c>
      <c r="AX870" s="150">
        <v>0</v>
      </c>
      <c r="AY870" s="150">
        <v>0</v>
      </c>
      <c r="AZ870" s="150"/>
      <c r="BA870" s="150">
        <f t="shared" si="909"/>
        <v>0</v>
      </c>
      <c r="BB870" s="202">
        <v>5</v>
      </c>
      <c r="BC870" s="202" t="s">
        <v>647</v>
      </c>
      <c r="BD870" s="202" t="s">
        <v>632</v>
      </c>
      <c r="BE870" s="202" t="s">
        <v>1247</v>
      </c>
      <c r="BF870" s="194" t="s">
        <v>1850</v>
      </c>
      <c r="BG870" s="203" t="s">
        <v>7098</v>
      </c>
      <c r="BH870" s="216">
        <f t="shared" si="925"/>
        <v>0</v>
      </c>
      <c r="BI870" s="206" t="s">
        <v>1519</v>
      </c>
      <c r="BJ870" s="206" t="s">
        <v>7090</v>
      </c>
      <c r="BK870" s="206" t="s">
        <v>7086</v>
      </c>
      <c r="BL870" s="207" t="s">
        <v>7091</v>
      </c>
      <c r="BM870" s="208">
        <f t="shared" si="926"/>
        <v>0</v>
      </c>
      <c r="BN870" s="160"/>
      <c r="BO870" s="161">
        <f t="shared" si="918"/>
        <v>0</v>
      </c>
      <c r="BP870" s="161"/>
    </row>
    <row r="871" spans="1:68" ht="38.25">
      <c r="A871" s="206" t="s">
        <v>543</v>
      </c>
      <c r="B871" s="195" t="s">
        <v>7099</v>
      </c>
      <c r="C871" s="196" t="s">
        <v>7100</v>
      </c>
      <c r="D871" s="146" t="s">
        <v>4692</v>
      </c>
      <c r="E871" s="196" t="s">
        <v>7100</v>
      </c>
      <c r="F871" s="150">
        <v>0</v>
      </c>
      <c r="G871" s="209">
        <v>0</v>
      </c>
      <c r="H871" s="209"/>
      <c r="I871" s="209">
        <v>0</v>
      </c>
      <c r="J871" s="150">
        <v>0</v>
      </c>
      <c r="K871" s="150">
        <v>0</v>
      </c>
      <c r="L871" s="150">
        <f t="shared" si="917"/>
        <v>0</v>
      </c>
      <c r="M871" s="150">
        <v>0</v>
      </c>
      <c r="N871" s="150"/>
      <c r="O871" s="150">
        <v>0</v>
      </c>
      <c r="P871" s="150">
        <v>0</v>
      </c>
      <c r="Q871" s="150">
        <v>0</v>
      </c>
      <c r="R871" s="150">
        <f t="shared" si="920"/>
        <v>0</v>
      </c>
      <c r="S871" s="150">
        <f t="shared" si="912"/>
        <v>0</v>
      </c>
      <c r="T871" s="150"/>
      <c r="U871" s="150">
        <v>0</v>
      </c>
      <c r="V871" s="199"/>
      <c r="W871" s="150">
        <f t="shared" si="921"/>
        <v>0</v>
      </c>
      <c r="X871" s="150">
        <v>0</v>
      </c>
      <c r="Y871" s="150"/>
      <c r="Z871" s="150">
        <v>0</v>
      </c>
      <c r="AA871" s="150">
        <f t="shared" si="913"/>
        <v>0</v>
      </c>
      <c r="AB871" s="150">
        <v>0</v>
      </c>
      <c r="AC871" s="199"/>
      <c r="AD871" s="150">
        <f t="shared" si="922"/>
        <v>0</v>
      </c>
      <c r="AE871" s="150">
        <v>0</v>
      </c>
      <c r="AF871" s="169" t="s">
        <v>4680</v>
      </c>
      <c r="AG871" s="201">
        <v>0</v>
      </c>
      <c r="AH871" s="199"/>
      <c r="AI871" s="150">
        <v>0</v>
      </c>
      <c r="AJ871" s="169">
        <f t="shared" si="914"/>
        <v>0</v>
      </c>
      <c r="AK871" s="201">
        <v>0</v>
      </c>
      <c r="AL871" s="199"/>
      <c r="AM871" s="150">
        <f t="shared" si="923"/>
        <v>0</v>
      </c>
      <c r="AN871" s="153">
        <f t="shared" si="915"/>
        <v>0</v>
      </c>
      <c r="AO871" s="154">
        <f t="shared" si="916"/>
        <v>0</v>
      </c>
      <c r="AP871" s="150">
        <v>0</v>
      </c>
      <c r="AQ871" s="201">
        <v>0</v>
      </c>
      <c r="AR871" s="199"/>
      <c r="AS871" s="150">
        <f t="shared" si="924"/>
        <v>0</v>
      </c>
      <c r="AT871" s="155"/>
      <c r="AU871" s="156">
        <f t="shared" si="910"/>
        <v>0</v>
      </c>
      <c r="AV871" s="156">
        <f t="shared" si="911"/>
        <v>0</v>
      </c>
      <c r="AW871" s="157"/>
      <c r="AX871" s="150">
        <v>0</v>
      </c>
      <c r="AY871" s="150">
        <v>0</v>
      </c>
      <c r="AZ871" s="150"/>
      <c r="BA871" s="150">
        <f t="shared" si="909"/>
        <v>0</v>
      </c>
      <c r="BB871" s="202">
        <v>5</v>
      </c>
      <c r="BC871" s="202" t="s">
        <v>647</v>
      </c>
      <c r="BD871" s="202" t="s">
        <v>632</v>
      </c>
      <c r="BE871" s="202" t="s">
        <v>1247</v>
      </c>
      <c r="BF871" s="202" t="s">
        <v>1855</v>
      </c>
      <c r="BG871" s="203" t="s">
        <v>7101</v>
      </c>
      <c r="BH871" s="216">
        <f t="shared" si="925"/>
        <v>0</v>
      </c>
      <c r="BI871" s="205"/>
      <c r="BJ871" s="206" t="s">
        <v>7102</v>
      </c>
      <c r="BK871" s="206" t="s">
        <v>543</v>
      </c>
      <c r="BL871" s="207" t="s">
        <v>7103</v>
      </c>
      <c r="BM871" s="208">
        <f t="shared" si="926"/>
        <v>0</v>
      </c>
      <c r="BN871" s="160"/>
      <c r="BO871" s="161">
        <f t="shared" si="918"/>
        <v>0</v>
      </c>
      <c r="BP871" s="161"/>
    </row>
    <row r="872" spans="1:68" ht="38.25">
      <c r="A872" s="206" t="s">
        <v>543</v>
      </c>
      <c r="B872" s="195" t="s">
        <v>7104</v>
      </c>
      <c r="C872" s="196" t="s">
        <v>7105</v>
      </c>
      <c r="D872" s="146" t="s">
        <v>4692</v>
      </c>
      <c r="E872" s="196" t="s">
        <v>7105</v>
      </c>
      <c r="F872" s="150">
        <v>0</v>
      </c>
      <c r="G872" s="209">
        <v>0</v>
      </c>
      <c r="H872" s="209"/>
      <c r="I872" s="209">
        <v>0</v>
      </c>
      <c r="J872" s="150">
        <v>0</v>
      </c>
      <c r="K872" s="150">
        <v>0</v>
      </c>
      <c r="L872" s="150">
        <f t="shared" si="917"/>
        <v>0</v>
      </c>
      <c r="M872" s="150">
        <v>0</v>
      </c>
      <c r="N872" s="150"/>
      <c r="O872" s="150">
        <v>0</v>
      </c>
      <c r="P872" s="150">
        <v>0</v>
      </c>
      <c r="Q872" s="150">
        <v>0</v>
      </c>
      <c r="R872" s="150">
        <f t="shared" si="920"/>
        <v>0</v>
      </c>
      <c r="S872" s="150">
        <f t="shared" si="912"/>
        <v>0</v>
      </c>
      <c r="T872" s="150"/>
      <c r="U872" s="150">
        <v>0</v>
      </c>
      <c r="V872" s="199"/>
      <c r="W872" s="150">
        <f t="shared" si="921"/>
        <v>0</v>
      </c>
      <c r="X872" s="150">
        <v>0</v>
      </c>
      <c r="Y872" s="150"/>
      <c r="Z872" s="150">
        <v>0</v>
      </c>
      <c r="AA872" s="150">
        <f t="shared" si="913"/>
        <v>0</v>
      </c>
      <c r="AB872" s="150">
        <v>0</v>
      </c>
      <c r="AC872" s="199"/>
      <c r="AD872" s="150">
        <f t="shared" si="922"/>
        <v>0</v>
      </c>
      <c r="AE872" s="150">
        <v>0</v>
      </c>
      <c r="AF872" s="169" t="s">
        <v>4680</v>
      </c>
      <c r="AG872" s="201">
        <v>0</v>
      </c>
      <c r="AH872" s="199"/>
      <c r="AI872" s="150">
        <v>0</v>
      </c>
      <c r="AJ872" s="169">
        <f t="shared" si="914"/>
        <v>0</v>
      </c>
      <c r="AK872" s="201">
        <v>0</v>
      </c>
      <c r="AL872" s="199"/>
      <c r="AM872" s="150">
        <f t="shared" si="923"/>
        <v>0</v>
      </c>
      <c r="AN872" s="153">
        <f t="shared" si="915"/>
        <v>0</v>
      </c>
      <c r="AO872" s="154">
        <f t="shared" si="916"/>
        <v>0</v>
      </c>
      <c r="AP872" s="150">
        <v>0</v>
      </c>
      <c r="AQ872" s="201">
        <v>0</v>
      </c>
      <c r="AR872" s="199"/>
      <c r="AS872" s="150">
        <f t="shared" si="924"/>
        <v>0</v>
      </c>
      <c r="AT872" s="155"/>
      <c r="AU872" s="156">
        <f t="shared" si="910"/>
        <v>0</v>
      </c>
      <c r="AV872" s="156">
        <f t="shared" si="911"/>
        <v>0</v>
      </c>
      <c r="AW872" s="157"/>
      <c r="AX872" s="150">
        <v>0</v>
      </c>
      <c r="AY872" s="150">
        <v>0</v>
      </c>
      <c r="AZ872" s="150"/>
      <c r="BA872" s="150">
        <f t="shared" si="909"/>
        <v>0</v>
      </c>
      <c r="BB872" s="202">
        <v>5</v>
      </c>
      <c r="BC872" s="202" t="s">
        <v>647</v>
      </c>
      <c r="BD872" s="202" t="s">
        <v>632</v>
      </c>
      <c r="BE872" s="202" t="s">
        <v>1247</v>
      </c>
      <c r="BF872" s="194" t="s">
        <v>1859</v>
      </c>
      <c r="BG872" s="203" t="s">
        <v>7106</v>
      </c>
      <c r="BH872" s="216">
        <f t="shared" si="925"/>
        <v>0</v>
      </c>
      <c r="BI872" s="205"/>
      <c r="BJ872" s="206" t="s">
        <v>7102</v>
      </c>
      <c r="BK872" s="206" t="s">
        <v>543</v>
      </c>
      <c r="BL872" s="207" t="s">
        <v>7103</v>
      </c>
      <c r="BM872" s="208">
        <f t="shared" si="926"/>
        <v>0</v>
      </c>
      <c r="BN872" s="160"/>
      <c r="BO872" s="161">
        <f t="shared" si="918"/>
        <v>0</v>
      </c>
      <c r="BP872" s="161"/>
    </row>
    <row r="873" spans="1:68" ht="38.25">
      <c r="A873" s="206" t="s">
        <v>543</v>
      </c>
      <c r="B873" s="195" t="s">
        <v>7107</v>
      </c>
      <c r="C873" s="196" t="s">
        <v>7108</v>
      </c>
      <c r="D873" s="146" t="s">
        <v>4692</v>
      </c>
      <c r="E873" s="196" t="s">
        <v>7108</v>
      </c>
      <c r="F873" s="150">
        <v>0</v>
      </c>
      <c r="G873" s="209">
        <v>0</v>
      </c>
      <c r="H873" s="209"/>
      <c r="I873" s="209">
        <v>0</v>
      </c>
      <c r="J873" s="150">
        <v>0</v>
      </c>
      <c r="K873" s="150">
        <v>0</v>
      </c>
      <c r="L873" s="150">
        <f t="shared" si="917"/>
        <v>0</v>
      </c>
      <c r="M873" s="150">
        <v>0</v>
      </c>
      <c r="N873" s="150"/>
      <c r="O873" s="150">
        <v>0</v>
      </c>
      <c r="P873" s="150">
        <v>0</v>
      </c>
      <c r="Q873" s="150">
        <v>0</v>
      </c>
      <c r="R873" s="150">
        <f t="shared" si="920"/>
        <v>0</v>
      </c>
      <c r="S873" s="150">
        <f t="shared" si="912"/>
        <v>0</v>
      </c>
      <c r="T873" s="150"/>
      <c r="U873" s="150">
        <v>0</v>
      </c>
      <c r="V873" s="199"/>
      <c r="W873" s="150">
        <f t="shared" si="921"/>
        <v>0</v>
      </c>
      <c r="X873" s="150">
        <v>0</v>
      </c>
      <c r="Y873" s="150"/>
      <c r="Z873" s="150">
        <v>0</v>
      </c>
      <c r="AA873" s="150">
        <f t="shared" si="913"/>
        <v>0</v>
      </c>
      <c r="AB873" s="150">
        <v>0</v>
      </c>
      <c r="AC873" s="199"/>
      <c r="AD873" s="150">
        <f t="shared" si="922"/>
        <v>0</v>
      </c>
      <c r="AE873" s="150">
        <v>0</v>
      </c>
      <c r="AF873" s="169" t="s">
        <v>4680</v>
      </c>
      <c r="AG873" s="201">
        <v>0</v>
      </c>
      <c r="AH873" s="199"/>
      <c r="AI873" s="150">
        <v>0</v>
      </c>
      <c r="AJ873" s="169">
        <f t="shared" si="914"/>
        <v>0</v>
      </c>
      <c r="AK873" s="201">
        <v>0</v>
      </c>
      <c r="AL873" s="199"/>
      <c r="AM873" s="150">
        <f t="shared" si="923"/>
        <v>0</v>
      </c>
      <c r="AN873" s="153">
        <f t="shared" si="915"/>
        <v>0</v>
      </c>
      <c r="AO873" s="154">
        <f t="shared" si="916"/>
        <v>0</v>
      </c>
      <c r="AP873" s="150">
        <v>0</v>
      </c>
      <c r="AQ873" s="201">
        <v>0</v>
      </c>
      <c r="AR873" s="199"/>
      <c r="AS873" s="150">
        <f t="shared" si="924"/>
        <v>0</v>
      </c>
      <c r="AT873" s="155"/>
      <c r="AU873" s="156">
        <f t="shared" si="910"/>
        <v>0</v>
      </c>
      <c r="AV873" s="156">
        <f t="shared" si="911"/>
        <v>0</v>
      </c>
      <c r="AW873" s="157"/>
      <c r="AX873" s="150">
        <v>0</v>
      </c>
      <c r="AY873" s="150">
        <v>0</v>
      </c>
      <c r="AZ873" s="150"/>
      <c r="BA873" s="150">
        <f t="shared" si="909"/>
        <v>0</v>
      </c>
      <c r="BB873" s="202">
        <v>5</v>
      </c>
      <c r="BC873" s="202" t="s">
        <v>647</v>
      </c>
      <c r="BD873" s="202" t="s">
        <v>632</v>
      </c>
      <c r="BE873" s="202" t="s">
        <v>1247</v>
      </c>
      <c r="BF873" s="202" t="s">
        <v>1863</v>
      </c>
      <c r="BG873" s="203" t="s">
        <v>7109</v>
      </c>
      <c r="BH873" s="216">
        <f t="shared" si="925"/>
        <v>0</v>
      </c>
      <c r="BI873" s="205"/>
      <c r="BJ873" s="206" t="s">
        <v>7102</v>
      </c>
      <c r="BK873" s="206" t="s">
        <v>543</v>
      </c>
      <c r="BL873" s="207" t="s">
        <v>7103</v>
      </c>
      <c r="BM873" s="208">
        <f t="shared" si="926"/>
        <v>0</v>
      </c>
      <c r="BN873" s="160"/>
      <c r="BO873" s="161">
        <f t="shared" si="918"/>
        <v>0</v>
      </c>
      <c r="BP873" s="161"/>
    </row>
    <row r="874" spans="1:68" ht="38.25">
      <c r="A874" s="206" t="s">
        <v>543</v>
      </c>
      <c r="B874" s="195" t="s">
        <v>7110</v>
      </c>
      <c r="C874" s="196" t="s">
        <v>7111</v>
      </c>
      <c r="D874" s="146" t="s">
        <v>4692</v>
      </c>
      <c r="E874" s="196" t="s">
        <v>7111</v>
      </c>
      <c r="F874" s="150">
        <v>0</v>
      </c>
      <c r="G874" s="209">
        <v>387259.46</v>
      </c>
      <c r="H874" s="209"/>
      <c r="I874" s="209">
        <v>387259.46</v>
      </c>
      <c r="J874" s="150">
        <v>0</v>
      </c>
      <c r="K874" s="150">
        <v>0</v>
      </c>
      <c r="L874" s="150">
        <f t="shared" si="917"/>
        <v>0</v>
      </c>
      <c r="M874" s="150">
        <v>0</v>
      </c>
      <c r="N874" s="150"/>
      <c r="O874" s="150">
        <v>0</v>
      </c>
      <c r="P874" s="150">
        <v>0</v>
      </c>
      <c r="Q874" s="150">
        <v>0</v>
      </c>
      <c r="R874" s="150">
        <f t="shared" si="920"/>
        <v>0</v>
      </c>
      <c r="S874" s="150">
        <f t="shared" si="912"/>
        <v>0</v>
      </c>
      <c r="T874" s="150"/>
      <c r="U874" s="150">
        <v>0</v>
      </c>
      <c r="V874" s="199"/>
      <c r="W874" s="150">
        <f t="shared" si="921"/>
        <v>0</v>
      </c>
      <c r="X874" s="150">
        <v>0</v>
      </c>
      <c r="Y874" s="150"/>
      <c r="Z874" s="150">
        <v>0</v>
      </c>
      <c r="AA874" s="150">
        <f t="shared" si="913"/>
        <v>0</v>
      </c>
      <c r="AB874" s="150">
        <v>0</v>
      </c>
      <c r="AC874" s="199"/>
      <c r="AD874" s="150">
        <f t="shared" si="922"/>
        <v>0</v>
      </c>
      <c r="AE874" s="150">
        <v>0</v>
      </c>
      <c r="AF874" s="169" t="s">
        <v>4680</v>
      </c>
      <c r="AG874" s="201">
        <v>0</v>
      </c>
      <c r="AH874" s="199"/>
      <c r="AI874" s="150">
        <v>0</v>
      </c>
      <c r="AJ874" s="169">
        <f t="shared" si="914"/>
        <v>0</v>
      </c>
      <c r="AK874" s="201">
        <v>0</v>
      </c>
      <c r="AL874" s="199"/>
      <c r="AM874" s="150">
        <f t="shared" si="923"/>
        <v>0</v>
      </c>
      <c r="AN874" s="153">
        <f t="shared" si="915"/>
        <v>0</v>
      </c>
      <c r="AO874" s="154">
        <f t="shared" si="916"/>
        <v>0</v>
      </c>
      <c r="AP874" s="150">
        <v>0</v>
      </c>
      <c r="AQ874" s="201">
        <v>0</v>
      </c>
      <c r="AR874" s="199"/>
      <c r="AS874" s="150">
        <f t="shared" si="924"/>
        <v>0</v>
      </c>
      <c r="AT874" s="155"/>
      <c r="AU874" s="156">
        <f t="shared" si="910"/>
        <v>0</v>
      </c>
      <c r="AV874" s="156">
        <f t="shared" si="911"/>
        <v>0</v>
      </c>
      <c r="AW874" s="157"/>
      <c r="AX874" s="150">
        <v>0</v>
      </c>
      <c r="AY874" s="150">
        <v>0</v>
      </c>
      <c r="AZ874" s="150"/>
      <c r="BA874" s="150">
        <f t="shared" si="909"/>
        <v>0</v>
      </c>
      <c r="BB874" s="202">
        <v>5</v>
      </c>
      <c r="BC874" s="202" t="s">
        <v>647</v>
      </c>
      <c r="BD874" s="202" t="s">
        <v>632</v>
      </c>
      <c r="BE874" s="202" t="s">
        <v>1247</v>
      </c>
      <c r="BF874" s="194" t="s">
        <v>1867</v>
      </c>
      <c r="BG874" s="203" t="s">
        <v>7112</v>
      </c>
      <c r="BH874" s="216">
        <f t="shared" si="925"/>
        <v>0</v>
      </c>
      <c r="BI874" s="205"/>
      <c r="BJ874" s="206" t="s">
        <v>7102</v>
      </c>
      <c r="BK874" s="206" t="s">
        <v>543</v>
      </c>
      <c r="BL874" s="207" t="s">
        <v>7103</v>
      </c>
      <c r="BM874" s="208">
        <f t="shared" si="926"/>
        <v>0</v>
      </c>
      <c r="BN874" s="160"/>
      <c r="BO874" s="161">
        <f t="shared" si="918"/>
        <v>0</v>
      </c>
      <c r="BP874" s="161"/>
    </row>
    <row r="875" spans="1:68" ht="38.25">
      <c r="A875" s="206" t="s">
        <v>543</v>
      </c>
      <c r="B875" s="195" t="s">
        <v>7113</v>
      </c>
      <c r="C875" s="196" t="s">
        <v>7114</v>
      </c>
      <c r="D875" s="146" t="s">
        <v>4692</v>
      </c>
      <c r="E875" s="196" t="s">
        <v>7114</v>
      </c>
      <c r="F875" s="150">
        <v>457455.11</v>
      </c>
      <c r="G875" s="209">
        <v>0</v>
      </c>
      <c r="H875" s="209"/>
      <c r="I875" s="209">
        <v>0</v>
      </c>
      <c r="J875" s="150">
        <v>0</v>
      </c>
      <c r="K875" s="150">
        <v>0</v>
      </c>
      <c r="L875" s="150">
        <f t="shared" si="917"/>
        <v>0</v>
      </c>
      <c r="M875" s="150">
        <v>234304.69</v>
      </c>
      <c r="N875" s="150"/>
      <c r="O875" s="150">
        <v>234304.69</v>
      </c>
      <c r="P875" s="150">
        <v>349162.62</v>
      </c>
      <c r="Q875" s="150">
        <v>0</v>
      </c>
      <c r="R875" s="150">
        <f t="shared" si="920"/>
        <v>349162.62</v>
      </c>
      <c r="S875" s="150">
        <f t="shared" si="912"/>
        <v>465550.16</v>
      </c>
      <c r="T875" s="150"/>
      <c r="U875" s="150">
        <v>500052.95</v>
      </c>
      <c r="V875" s="199"/>
      <c r="W875" s="150">
        <f t="shared" si="921"/>
        <v>500052.95</v>
      </c>
      <c r="X875" s="150">
        <v>500052.95</v>
      </c>
      <c r="Y875" s="150"/>
      <c r="Z875" s="150">
        <v>500052.95</v>
      </c>
      <c r="AA875" s="150">
        <f t="shared" si="913"/>
        <v>0</v>
      </c>
      <c r="AB875" s="150">
        <v>500052.95</v>
      </c>
      <c r="AC875" s="199"/>
      <c r="AD875" s="150">
        <f t="shared" si="922"/>
        <v>500052.95</v>
      </c>
      <c r="AE875" s="150">
        <v>537885.22</v>
      </c>
      <c r="AF875" s="169" t="s">
        <v>4680</v>
      </c>
      <c r="AG875" s="201">
        <v>537885.22</v>
      </c>
      <c r="AH875" s="199"/>
      <c r="AI875" s="150">
        <v>537885.22</v>
      </c>
      <c r="AJ875" s="169">
        <f t="shared" si="914"/>
        <v>0</v>
      </c>
      <c r="AK875" s="201">
        <v>537885.22</v>
      </c>
      <c r="AL875" s="199"/>
      <c r="AM875" s="150">
        <f t="shared" si="923"/>
        <v>537885.22</v>
      </c>
      <c r="AN875" s="153">
        <f t="shared" si="915"/>
        <v>0</v>
      </c>
      <c r="AO875" s="154">
        <f t="shared" si="916"/>
        <v>0</v>
      </c>
      <c r="AP875" s="150">
        <v>537885.22</v>
      </c>
      <c r="AQ875" s="201">
        <v>537885.22</v>
      </c>
      <c r="AR875" s="199"/>
      <c r="AS875" s="150">
        <f t="shared" si="924"/>
        <v>537885.22</v>
      </c>
      <c r="AT875" s="155" t="s">
        <v>7115</v>
      </c>
      <c r="AU875" s="156">
        <f t="shared" si="910"/>
        <v>37832.26999999996</v>
      </c>
      <c r="AV875" s="156">
        <f t="shared" si="911"/>
        <v>0</v>
      </c>
      <c r="AW875" s="157" t="s">
        <v>7116</v>
      </c>
      <c r="AX875" s="150">
        <v>500052.95</v>
      </c>
      <c r="AY875" s="150">
        <v>323324.81</v>
      </c>
      <c r="AZ875" s="237">
        <v>230946</v>
      </c>
      <c r="BA875" s="150">
        <f t="shared" si="909"/>
        <v>554270.81000000006</v>
      </c>
      <c r="BB875" s="202">
        <v>5</v>
      </c>
      <c r="BC875" s="202" t="s">
        <v>647</v>
      </c>
      <c r="BD875" s="202" t="s">
        <v>632</v>
      </c>
      <c r="BE875" s="202" t="s">
        <v>1247</v>
      </c>
      <c r="BF875" s="202" t="s">
        <v>1871</v>
      </c>
      <c r="BG875" s="231" t="s">
        <v>7117</v>
      </c>
      <c r="BH875" s="216">
        <f t="shared" si="925"/>
        <v>537885.22</v>
      </c>
      <c r="BI875" s="205">
        <f>BH875/7*12</f>
        <v>922088.94857142866</v>
      </c>
      <c r="BJ875" s="206" t="s">
        <v>7102</v>
      </c>
      <c r="BK875" s="206" t="s">
        <v>543</v>
      </c>
      <c r="BL875" s="207" t="s">
        <v>7103</v>
      </c>
      <c r="BM875" s="208">
        <f t="shared" si="926"/>
        <v>537885.22</v>
      </c>
      <c r="BN875" s="160"/>
      <c r="BO875" s="161">
        <f t="shared" si="918"/>
        <v>0</v>
      </c>
      <c r="BP875" s="161"/>
    </row>
    <row r="876" spans="1:68" ht="63.75">
      <c r="A876" s="261" t="s">
        <v>544</v>
      </c>
      <c r="B876" s="228" t="s">
        <v>7118</v>
      </c>
      <c r="C876" s="229" t="s">
        <v>7119</v>
      </c>
      <c r="D876" s="146" t="s">
        <v>4692</v>
      </c>
      <c r="E876" s="196" t="s">
        <v>7119</v>
      </c>
      <c r="F876" s="150">
        <v>0</v>
      </c>
      <c r="G876" s="209">
        <v>0</v>
      </c>
      <c r="H876" s="209">
        <v>0</v>
      </c>
      <c r="I876" s="209">
        <v>0</v>
      </c>
      <c r="J876" s="150">
        <v>0</v>
      </c>
      <c r="K876" s="150">
        <v>0</v>
      </c>
      <c r="L876" s="150">
        <f t="shared" si="917"/>
        <v>0</v>
      </c>
      <c r="M876" s="150">
        <v>0</v>
      </c>
      <c r="N876" s="150"/>
      <c r="O876" s="150">
        <v>0</v>
      </c>
      <c r="P876" s="150">
        <v>0</v>
      </c>
      <c r="Q876" s="150">
        <v>0</v>
      </c>
      <c r="R876" s="150">
        <f t="shared" si="920"/>
        <v>0</v>
      </c>
      <c r="S876" s="150">
        <f t="shared" si="912"/>
        <v>0</v>
      </c>
      <c r="T876" s="150"/>
      <c r="U876" s="150">
        <v>0</v>
      </c>
      <c r="V876" s="199"/>
      <c r="W876" s="150">
        <f t="shared" si="921"/>
        <v>0</v>
      </c>
      <c r="X876" s="150">
        <v>0</v>
      </c>
      <c r="Y876" s="150"/>
      <c r="Z876" s="150">
        <v>0</v>
      </c>
      <c r="AA876" s="150">
        <f t="shared" si="913"/>
        <v>0</v>
      </c>
      <c r="AB876" s="150">
        <v>0</v>
      </c>
      <c r="AC876" s="199"/>
      <c r="AD876" s="150">
        <f t="shared" si="922"/>
        <v>0</v>
      </c>
      <c r="AE876" s="150">
        <v>0</v>
      </c>
      <c r="AF876" s="169" t="s">
        <v>4680</v>
      </c>
      <c r="AG876" s="201">
        <v>0</v>
      </c>
      <c r="AH876" s="199"/>
      <c r="AI876" s="150">
        <v>0</v>
      </c>
      <c r="AJ876" s="169">
        <f t="shared" si="914"/>
        <v>0</v>
      </c>
      <c r="AK876" s="201">
        <v>0</v>
      </c>
      <c r="AL876" s="199"/>
      <c r="AM876" s="150">
        <f t="shared" si="923"/>
        <v>0</v>
      </c>
      <c r="AN876" s="153">
        <f t="shared" si="915"/>
        <v>0</v>
      </c>
      <c r="AO876" s="154">
        <f t="shared" si="916"/>
        <v>0</v>
      </c>
      <c r="AP876" s="150">
        <v>0</v>
      </c>
      <c r="AQ876" s="201">
        <v>0</v>
      </c>
      <c r="AR876" s="199"/>
      <c r="AS876" s="150">
        <f t="shared" si="924"/>
        <v>0</v>
      </c>
      <c r="AT876" s="155" t="s">
        <v>4796</v>
      </c>
      <c r="AU876" s="156">
        <f t="shared" si="910"/>
        <v>0</v>
      </c>
      <c r="AV876" s="156">
        <f t="shared" si="911"/>
        <v>0</v>
      </c>
      <c r="AW876" s="157" t="s">
        <v>4796</v>
      </c>
      <c r="AX876" s="150">
        <v>0</v>
      </c>
      <c r="AY876" s="150">
        <v>0</v>
      </c>
      <c r="AZ876" s="150"/>
      <c r="BA876" s="150">
        <f t="shared" si="909"/>
        <v>0</v>
      </c>
      <c r="BB876" s="202">
        <v>5</v>
      </c>
      <c r="BC876" s="202" t="s">
        <v>647</v>
      </c>
      <c r="BD876" s="202" t="s">
        <v>632</v>
      </c>
      <c r="BE876" s="202" t="s">
        <v>1247</v>
      </c>
      <c r="BF876" s="194" t="s">
        <v>1875</v>
      </c>
      <c r="BG876" s="203" t="s">
        <v>7120</v>
      </c>
      <c r="BH876" s="216">
        <f t="shared" si="925"/>
        <v>0</v>
      </c>
      <c r="BI876" s="206" t="s">
        <v>1519</v>
      </c>
      <c r="BJ876" s="206" t="s">
        <v>7121</v>
      </c>
      <c r="BK876" s="206" t="s">
        <v>544</v>
      </c>
      <c r="BL876" s="207" t="s">
        <v>7122</v>
      </c>
      <c r="BM876" s="208">
        <f t="shared" si="926"/>
        <v>0</v>
      </c>
      <c r="BN876" s="160"/>
      <c r="BO876" s="161">
        <f t="shared" si="918"/>
        <v>0</v>
      </c>
      <c r="BP876" s="161"/>
    </row>
    <row r="877" spans="1:68" ht="25.5">
      <c r="A877" s="192" t="s">
        <v>7123</v>
      </c>
      <c r="B877" s="184"/>
      <c r="C877" s="185" t="s">
        <v>7124</v>
      </c>
      <c r="D877" s="146" t="s">
        <v>4692</v>
      </c>
      <c r="E877" s="185" t="s">
        <v>7124</v>
      </c>
      <c r="F877" s="188">
        <v>358824.96000000002</v>
      </c>
      <c r="G877" s="187">
        <v>0</v>
      </c>
      <c r="H877" s="187"/>
      <c r="I877" s="187">
        <v>0</v>
      </c>
      <c r="J877" s="188">
        <f>SUM(J878:J890)</f>
        <v>0</v>
      </c>
      <c r="K877" s="188">
        <f>SUM(K878:K890)</f>
        <v>0</v>
      </c>
      <c r="L877" s="188">
        <f t="shared" si="917"/>
        <v>0</v>
      </c>
      <c r="M877" s="188">
        <v>2100</v>
      </c>
      <c r="N877" s="188">
        <v>177312.48</v>
      </c>
      <c r="O877" s="188">
        <v>179412.48000000001</v>
      </c>
      <c r="P877" s="299">
        <f t="shared" ref="P877:AD877" si="927">SUM(P878:P890)</f>
        <v>293700</v>
      </c>
      <c r="Q877" s="299">
        <f t="shared" si="927"/>
        <v>0</v>
      </c>
      <c r="R877" s="299">
        <f t="shared" si="927"/>
        <v>293700</v>
      </c>
      <c r="S877" s="150">
        <f t="shared" si="912"/>
        <v>391600</v>
      </c>
      <c r="T877" s="213"/>
      <c r="U877" s="299">
        <f t="shared" ref="U877:W877" si="928">SUM(U878:U890)</f>
        <v>294060</v>
      </c>
      <c r="V877" s="226">
        <f t="shared" si="928"/>
        <v>0</v>
      </c>
      <c r="W877" s="299">
        <f t="shared" si="928"/>
        <v>294060</v>
      </c>
      <c r="X877" s="299">
        <v>294060</v>
      </c>
      <c r="Y877" s="299">
        <v>0</v>
      </c>
      <c r="Z877" s="299">
        <v>294060</v>
      </c>
      <c r="AA877" s="299">
        <f t="shared" si="913"/>
        <v>346716.24</v>
      </c>
      <c r="AB877" s="299">
        <v>294060</v>
      </c>
      <c r="AC877" s="226">
        <v>346716.24</v>
      </c>
      <c r="AD877" s="299">
        <f t="shared" si="927"/>
        <v>640776.24</v>
      </c>
      <c r="AE877" s="299">
        <v>657308.84</v>
      </c>
      <c r="AF877" s="169" t="s">
        <v>4680</v>
      </c>
      <c r="AG877" s="301">
        <v>310592.59999999998</v>
      </c>
      <c r="AH877" s="226">
        <v>346716.24</v>
      </c>
      <c r="AI877" s="299">
        <v>657308.84</v>
      </c>
      <c r="AJ877" s="169">
        <f t="shared" si="914"/>
        <v>14720</v>
      </c>
      <c r="AK877" s="301">
        <v>325312.59999999998</v>
      </c>
      <c r="AL877" s="226">
        <v>346716.24</v>
      </c>
      <c r="AM877" s="299">
        <f t="shared" ref="AM877" si="929">SUM(AM878:AM890)</f>
        <v>672028.84</v>
      </c>
      <c r="AN877" s="153">
        <f t="shared" si="915"/>
        <v>-291569.99999999994</v>
      </c>
      <c r="AO877" s="154">
        <f t="shared" si="916"/>
        <v>30.000000000058208</v>
      </c>
      <c r="AP877" s="299">
        <v>380428.83999999997</v>
      </c>
      <c r="AQ877" s="301">
        <v>380458.84</v>
      </c>
      <c r="AR877" s="226">
        <f t="shared" ref="AR877:AS877" si="930">SUM(AR878:AR890)</f>
        <v>0</v>
      </c>
      <c r="AS877" s="299">
        <f t="shared" si="930"/>
        <v>380458.84</v>
      </c>
      <c r="AT877" s="155"/>
      <c r="AU877" s="156">
        <f t="shared" si="910"/>
        <v>31252.599999999977</v>
      </c>
      <c r="AV877" s="156">
        <f t="shared" si="911"/>
        <v>346716.24</v>
      </c>
      <c r="AW877" s="157"/>
      <c r="AX877" s="150">
        <v>294060</v>
      </c>
      <c r="AY877" s="299">
        <f t="shared" ref="AY877:BA877" si="931">SUM(AY878:AY890)</f>
        <v>293700</v>
      </c>
      <c r="AZ877" s="299">
        <f t="shared" si="931"/>
        <v>0</v>
      </c>
      <c r="BA877" s="299">
        <f t="shared" si="931"/>
        <v>293700</v>
      </c>
      <c r="BB877" s="192">
        <v>5</v>
      </c>
      <c r="BC877" s="256" t="s">
        <v>647</v>
      </c>
      <c r="BD877" s="256" t="s">
        <v>632</v>
      </c>
      <c r="BE877" s="256" t="s">
        <v>1253</v>
      </c>
      <c r="BF877" s="256" t="s">
        <v>630</v>
      </c>
      <c r="BG877" s="185" t="s">
        <v>7124</v>
      </c>
      <c r="BH877" s="302">
        <f>SUM(BH878:BH890)</f>
        <v>380458.84</v>
      </c>
      <c r="BI877" s="192"/>
      <c r="BJ877" s="256" t="s">
        <v>7125</v>
      </c>
      <c r="BK877" s="192" t="s">
        <v>7123</v>
      </c>
      <c r="BL877" s="185" t="s">
        <v>7126</v>
      </c>
      <c r="BM877" s="302">
        <f>SUM(BM878:BM890)</f>
        <v>380458.84</v>
      </c>
      <c r="BN877" s="160"/>
      <c r="BO877" s="161">
        <f t="shared" si="918"/>
        <v>0</v>
      </c>
      <c r="BP877" s="161"/>
    </row>
    <row r="878" spans="1:68" ht="25.5">
      <c r="A878" s="206" t="s">
        <v>385</v>
      </c>
      <c r="B878" s="195" t="s">
        <v>7127</v>
      </c>
      <c r="C878" s="196" t="s">
        <v>7128</v>
      </c>
      <c r="D878" s="146" t="s">
        <v>4692</v>
      </c>
      <c r="E878" s="196" t="s">
        <v>7128</v>
      </c>
      <c r="F878" s="150">
        <v>0</v>
      </c>
      <c r="G878" s="209">
        <v>0</v>
      </c>
      <c r="H878" s="209"/>
      <c r="I878" s="209">
        <v>0</v>
      </c>
      <c r="J878" s="150">
        <v>0</v>
      </c>
      <c r="K878" s="150">
        <v>0</v>
      </c>
      <c r="L878" s="150">
        <f t="shared" si="917"/>
        <v>0</v>
      </c>
      <c r="M878" s="150">
        <v>0</v>
      </c>
      <c r="N878" s="150"/>
      <c r="O878" s="150">
        <v>0</v>
      </c>
      <c r="P878" s="150">
        <v>0</v>
      </c>
      <c r="Q878" s="150">
        <v>0</v>
      </c>
      <c r="R878" s="150">
        <f t="shared" ref="R878:R890" si="932">P878+Q878</f>
        <v>0</v>
      </c>
      <c r="S878" s="150">
        <f t="shared" si="912"/>
        <v>0</v>
      </c>
      <c r="T878" s="150"/>
      <c r="U878" s="150">
        <v>0</v>
      </c>
      <c r="V878" s="199"/>
      <c r="W878" s="150">
        <f t="shared" ref="W878:W890" si="933">U878+V878</f>
        <v>0</v>
      </c>
      <c r="X878" s="150">
        <v>0</v>
      </c>
      <c r="Y878" s="150"/>
      <c r="Z878" s="150">
        <v>0</v>
      </c>
      <c r="AA878" s="150">
        <f t="shared" si="913"/>
        <v>0</v>
      </c>
      <c r="AB878" s="150">
        <v>0</v>
      </c>
      <c r="AC878" s="199"/>
      <c r="AD878" s="150">
        <f t="shared" ref="AD878:AD890" si="934">AB878+AC878</f>
        <v>0</v>
      </c>
      <c r="AE878" s="150">
        <v>0</v>
      </c>
      <c r="AF878" s="169" t="s">
        <v>4680</v>
      </c>
      <c r="AG878" s="201">
        <v>0</v>
      </c>
      <c r="AH878" s="199"/>
      <c r="AI878" s="150">
        <v>0</v>
      </c>
      <c r="AJ878" s="169">
        <f t="shared" si="914"/>
        <v>0</v>
      </c>
      <c r="AK878" s="201">
        <v>0</v>
      </c>
      <c r="AL878" s="199"/>
      <c r="AM878" s="150">
        <f t="shared" ref="AM878:AM890" si="935">AK878+AL878</f>
        <v>0</v>
      </c>
      <c r="AN878" s="153">
        <f t="shared" si="915"/>
        <v>0</v>
      </c>
      <c r="AO878" s="154">
        <f t="shared" si="916"/>
        <v>0</v>
      </c>
      <c r="AP878" s="150">
        <v>0</v>
      </c>
      <c r="AQ878" s="201">
        <v>0</v>
      </c>
      <c r="AR878" s="199"/>
      <c r="AS878" s="150">
        <f t="shared" ref="AS878:AS890" si="936">AQ878+AR878</f>
        <v>0</v>
      </c>
      <c r="AT878" s="155"/>
      <c r="AU878" s="156">
        <f t="shared" si="910"/>
        <v>0</v>
      </c>
      <c r="AV878" s="156">
        <f t="shared" si="911"/>
        <v>0</v>
      </c>
      <c r="AW878" s="157"/>
      <c r="AX878" s="150">
        <v>0</v>
      </c>
      <c r="AY878" s="150">
        <v>0</v>
      </c>
      <c r="AZ878" s="150"/>
      <c r="BA878" s="150">
        <f t="shared" si="909"/>
        <v>0</v>
      </c>
      <c r="BB878" s="202">
        <v>5</v>
      </c>
      <c r="BC878" s="202" t="s">
        <v>647</v>
      </c>
      <c r="BD878" s="202" t="s">
        <v>632</v>
      </c>
      <c r="BE878" s="202" t="s">
        <v>1253</v>
      </c>
      <c r="BF878" s="202" t="s">
        <v>632</v>
      </c>
      <c r="BG878" s="203" t="s">
        <v>386</v>
      </c>
      <c r="BH878" s="216">
        <f>AS878</f>
        <v>0</v>
      </c>
      <c r="BI878" s="205"/>
      <c r="BJ878" s="206" t="s">
        <v>7129</v>
      </c>
      <c r="BK878" s="206" t="s">
        <v>385</v>
      </c>
      <c r="BL878" s="207" t="s">
        <v>7130</v>
      </c>
      <c r="BM878" s="208">
        <f t="shared" ref="BM878:BM883" si="937">BH878</f>
        <v>0</v>
      </c>
      <c r="BN878" s="160"/>
      <c r="BO878" s="161">
        <f t="shared" si="918"/>
        <v>0</v>
      </c>
      <c r="BP878" s="161"/>
    </row>
    <row r="879" spans="1:68" ht="25.5">
      <c r="A879" s="206" t="s">
        <v>387</v>
      </c>
      <c r="B879" s="195" t="s">
        <v>7131</v>
      </c>
      <c r="C879" s="196" t="s">
        <v>7132</v>
      </c>
      <c r="D879" s="146" t="s">
        <v>4692</v>
      </c>
      <c r="E879" s="196" t="s">
        <v>7132</v>
      </c>
      <c r="F879" s="150">
        <v>0</v>
      </c>
      <c r="G879" s="209">
        <v>0</v>
      </c>
      <c r="H879" s="209"/>
      <c r="I879" s="209">
        <v>0</v>
      </c>
      <c r="J879" s="150">
        <v>0</v>
      </c>
      <c r="K879" s="150">
        <v>0</v>
      </c>
      <c r="L879" s="150">
        <f t="shared" si="917"/>
        <v>0</v>
      </c>
      <c r="M879" s="150">
        <v>0</v>
      </c>
      <c r="N879" s="150"/>
      <c r="O879" s="150">
        <v>0</v>
      </c>
      <c r="P879" s="150">
        <v>0</v>
      </c>
      <c r="Q879" s="150">
        <v>0</v>
      </c>
      <c r="R879" s="150">
        <f t="shared" si="932"/>
        <v>0</v>
      </c>
      <c r="S879" s="150">
        <f t="shared" si="912"/>
        <v>0</v>
      </c>
      <c r="T879" s="150"/>
      <c r="U879" s="150">
        <v>0</v>
      </c>
      <c r="V879" s="199"/>
      <c r="W879" s="150">
        <f t="shared" si="933"/>
        <v>0</v>
      </c>
      <c r="X879" s="150">
        <v>0</v>
      </c>
      <c r="Y879" s="150"/>
      <c r="Z879" s="150">
        <v>0</v>
      </c>
      <c r="AA879" s="150">
        <f t="shared" si="913"/>
        <v>0</v>
      </c>
      <c r="AB879" s="150">
        <v>0</v>
      </c>
      <c r="AC879" s="199"/>
      <c r="AD879" s="150">
        <f t="shared" si="934"/>
        <v>0</v>
      </c>
      <c r="AE879" s="150">
        <v>0</v>
      </c>
      <c r="AF879" s="169" t="s">
        <v>4680</v>
      </c>
      <c r="AG879" s="201">
        <v>0</v>
      </c>
      <c r="AH879" s="199"/>
      <c r="AI879" s="150">
        <v>0</v>
      </c>
      <c r="AJ879" s="169">
        <f t="shared" si="914"/>
        <v>0</v>
      </c>
      <c r="AK879" s="201">
        <v>0</v>
      </c>
      <c r="AL879" s="199"/>
      <c r="AM879" s="150">
        <f t="shared" si="935"/>
        <v>0</v>
      </c>
      <c r="AN879" s="153">
        <f t="shared" si="915"/>
        <v>0</v>
      </c>
      <c r="AO879" s="154">
        <f t="shared" si="916"/>
        <v>0</v>
      </c>
      <c r="AP879" s="150">
        <v>0</v>
      </c>
      <c r="AQ879" s="201">
        <v>0</v>
      </c>
      <c r="AR879" s="199"/>
      <c r="AS879" s="150">
        <f t="shared" si="936"/>
        <v>0</v>
      </c>
      <c r="AT879" s="155"/>
      <c r="AU879" s="156">
        <f t="shared" si="910"/>
        <v>0</v>
      </c>
      <c r="AV879" s="156">
        <f t="shared" si="911"/>
        <v>0</v>
      </c>
      <c r="AW879" s="157"/>
      <c r="AX879" s="150">
        <v>0</v>
      </c>
      <c r="AY879" s="150">
        <v>0</v>
      </c>
      <c r="AZ879" s="150"/>
      <c r="BA879" s="150">
        <f t="shared" si="909"/>
        <v>0</v>
      </c>
      <c r="BB879" s="202">
        <v>5</v>
      </c>
      <c r="BC879" s="202" t="s">
        <v>647</v>
      </c>
      <c r="BD879" s="202" t="s">
        <v>632</v>
      </c>
      <c r="BE879" s="202" t="s">
        <v>1253</v>
      </c>
      <c r="BF879" s="202" t="s">
        <v>647</v>
      </c>
      <c r="BG879" s="203" t="s">
        <v>388</v>
      </c>
      <c r="BH879" s="216">
        <f>AS879</f>
        <v>0</v>
      </c>
      <c r="BI879" s="205"/>
      <c r="BJ879" s="206" t="s">
        <v>7133</v>
      </c>
      <c r="BK879" s="206" t="s">
        <v>387</v>
      </c>
      <c r="BL879" s="207" t="s">
        <v>7134</v>
      </c>
      <c r="BM879" s="208">
        <f t="shared" si="937"/>
        <v>0</v>
      </c>
      <c r="BN879" s="160"/>
      <c r="BO879" s="161">
        <f t="shared" si="918"/>
        <v>0</v>
      </c>
      <c r="BP879" s="161"/>
    </row>
    <row r="880" spans="1:68" ht="38.25">
      <c r="A880" s="206" t="s">
        <v>389</v>
      </c>
      <c r="B880" s="195" t="s">
        <v>7135</v>
      </c>
      <c r="C880" s="196" t="s">
        <v>7136</v>
      </c>
      <c r="D880" s="146" t="s">
        <v>4692</v>
      </c>
      <c r="E880" s="196" t="s">
        <v>7136</v>
      </c>
      <c r="F880" s="150">
        <v>0</v>
      </c>
      <c r="G880" s="209">
        <v>0</v>
      </c>
      <c r="H880" s="209"/>
      <c r="I880" s="209">
        <v>0</v>
      </c>
      <c r="J880" s="150">
        <v>0</v>
      </c>
      <c r="K880" s="150">
        <v>0</v>
      </c>
      <c r="L880" s="150">
        <f t="shared" si="917"/>
        <v>0</v>
      </c>
      <c r="M880" s="150">
        <v>0</v>
      </c>
      <c r="N880" s="150"/>
      <c r="O880" s="150">
        <v>0</v>
      </c>
      <c r="P880" s="150">
        <v>0</v>
      </c>
      <c r="Q880" s="150">
        <v>0</v>
      </c>
      <c r="R880" s="150">
        <f t="shared" si="932"/>
        <v>0</v>
      </c>
      <c r="S880" s="150">
        <f t="shared" si="912"/>
        <v>0</v>
      </c>
      <c r="T880" s="150"/>
      <c r="U880" s="150">
        <v>0</v>
      </c>
      <c r="V880" s="199"/>
      <c r="W880" s="150">
        <f t="shared" si="933"/>
        <v>0</v>
      </c>
      <c r="X880" s="150">
        <v>0</v>
      </c>
      <c r="Y880" s="150"/>
      <c r="Z880" s="150">
        <v>0</v>
      </c>
      <c r="AA880" s="150">
        <f t="shared" si="913"/>
        <v>0</v>
      </c>
      <c r="AB880" s="150">
        <v>0</v>
      </c>
      <c r="AC880" s="199"/>
      <c r="AD880" s="150">
        <f t="shared" si="934"/>
        <v>0</v>
      </c>
      <c r="AE880" s="150">
        <v>0</v>
      </c>
      <c r="AF880" s="169" t="s">
        <v>4680</v>
      </c>
      <c r="AG880" s="201">
        <v>0</v>
      </c>
      <c r="AH880" s="199"/>
      <c r="AI880" s="150">
        <v>0</v>
      </c>
      <c r="AJ880" s="169">
        <f t="shared" si="914"/>
        <v>0</v>
      </c>
      <c r="AK880" s="201">
        <v>0</v>
      </c>
      <c r="AL880" s="199"/>
      <c r="AM880" s="150">
        <f t="shared" si="935"/>
        <v>0</v>
      </c>
      <c r="AN880" s="153">
        <f t="shared" si="915"/>
        <v>0</v>
      </c>
      <c r="AO880" s="154">
        <f t="shared" si="916"/>
        <v>0</v>
      </c>
      <c r="AP880" s="150">
        <v>0</v>
      </c>
      <c r="AQ880" s="201">
        <v>0</v>
      </c>
      <c r="AR880" s="199"/>
      <c r="AS880" s="150">
        <f t="shared" si="936"/>
        <v>0</v>
      </c>
      <c r="AT880" s="155"/>
      <c r="AU880" s="156">
        <f t="shared" si="910"/>
        <v>0</v>
      </c>
      <c r="AV880" s="156">
        <f t="shared" si="911"/>
        <v>0</v>
      </c>
      <c r="AW880" s="157"/>
      <c r="AX880" s="150">
        <v>0</v>
      </c>
      <c r="AY880" s="150">
        <v>0</v>
      </c>
      <c r="AZ880" s="150"/>
      <c r="BA880" s="150">
        <f t="shared" si="909"/>
        <v>0</v>
      </c>
      <c r="BB880" s="202">
        <v>5</v>
      </c>
      <c r="BC880" s="202" t="s">
        <v>647</v>
      </c>
      <c r="BD880" s="202" t="s">
        <v>632</v>
      </c>
      <c r="BE880" s="202" t="s">
        <v>1253</v>
      </c>
      <c r="BF880" s="202" t="s">
        <v>671</v>
      </c>
      <c r="BG880" s="231" t="s">
        <v>7137</v>
      </c>
      <c r="BH880" s="216">
        <f>AS880</f>
        <v>0</v>
      </c>
      <c r="BI880" s="205"/>
      <c r="BJ880" s="206" t="s">
        <v>7138</v>
      </c>
      <c r="BK880" s="206" t="s">
        <v>389</v>
      </c>
      <c r="BL880" s="207" t="s">
        <v>7139</v>
      </c>
      <c r="BM880" s="208">
        <f t="shared" si="937"/>
        <v>0</v>
      </c>
      <c r="BN880" s="160"/>
      <c r="BO880" s="161">
        <f t="shared" si="918"/>
        <v>0</v>
      </c>
      <c r="BP880" s="161"/>
    </row>
    <row r="881" spans="1:68" ht="38.25">
      <c r="A881" s="206" t="s">
        <v>389</v>
      </c>
      <c r="B881" s="195" t="s">
        <v>7140</v>
      </c>
      <c r="C881" s="196" t="s">
        <v>7141</v>
      </c>
      <c r="D881" s="146" t="s">
        <v>4692</v>
      </c>
      <c r="E881" s="196" t="s">
        <v>7141</v>
      </c>
      <c r="F881" s="150">
        <v>0</v>
      </c>
      <c r="G881" s="209">
        <v>0</v>
      </c>
      <c r="H881" s="209"/>
      <c r="I881" s="209">
        <v>0</v>
      </c>
      <c r="J881" s="150">
        <v>0</v>
      </c>
      <c r="K881" s="150">
        <v>0</v>
      </c>
      <c r="L881" s="150">
        <f t="shared" si="917"/>
        <v>0</v>
      </c>
      <c r="M881" s="150">
        <v>0</v>
      </c>
      <c r="N881" s="150"/>
      <c r="O881" s="150">
        <v>0</v>
      </c>
      <c r="P881" s="150">
        <v>0</v>
      </c>
      <c r="Q881" s="150">
        <v>0</v>
      </c>
      <c r="R881" s="150">
        <f t="shared" si="932"/>
        <v>0</v>
      </c>
      <c r="S881" s="150">
        <f t="shared" si="912"/>
        <v>0</v>
      </c>
      <c r="T881" s="150"/>
      <c r="U881" s="150">
        <v>0</v>
      </c>
      <c r="V881" s="199"/>
      <c r="W881" s="150">
        <f t="shared" si="933"/>
        <v>0</v>
      </c>
      <c r="X881" s="150">
        <v>0</v>
      </c>
      <c r="Y881" s="150"/>
      <c r="Z881" s="150">
        <v>0</v>
      </c>
      <c r="AA881" s="150">
        <f t="shared" si="913"/>
        <v>0</v>
      </c>
      <c r="AB881" s="150">
        <v>0</v>
      </c>
      <c r="AC881" s="199"/>
      <c r="AD881" s="150">
        <f t="shared" si="934"/>
        <v>0</v>
      </c>
      <c r="AE881" s="150">
        <v>0</v>
      </c>
      <c r="AF881" s="169" t="s">
        <v>4680</v>
      </c>
      <c r="AG881" s="201">
        <v>0</v>
      </c>
      <c r="AH881" s="199"/>
      <c r="AI881" s="150">
        <v>0</v>
      </c>
      <c r="AJ881" s="169">
        <f t="shared" si="914"/>
        <v>0</v>
      </c>
      <c r="AK881" s="201">
        <v>0</v>
      </c>
      <c r="AL881" s="199"/>
      <c r="AM881" s="150">
        <f t="shared" si="935"/>
        <v>0</v>
      </c>
      <c r="AN881" s="153">
        <f t="shared" si="915"/>
        <v>0</v>
      </c>
      <c r="AO881" s="154">
        <f t="shared" si="916"/>
        <v>0</v>
      </c>
      <c r="AP881" s="150">
        <v>0</v>
      </c>
      <c r="AQ881" s="201">
        <v>0</v>
      </c>
      <c r="AR881" s="199"/>
      <c r="AS881" s="150">
        <f t="shared" si="936"/>
        <v>0</v>
      </c>
      <c r="AT881" s="155"/>
      <c r="AU881" s="156">
        <f t="shared" si="910"/>
        <v>0</v>
      </c>
      <c r="AV881" s="156">
        <f t="shared" si="911"/>
        <v>0</v>
      </c>
      <c r="AW881" s="157"/>
      <c r="AX881" s="150">
        <v>0</v>
      </c>
      <c r="AY881" s="150">
        <v>0</v>
      </c>
      <c r="AZ881" s="150"/>
      <c r="BA881" s="150">
        <f t="shared" si="909"/>
        <v>0</v>
      </c>
      <c r="BB881" s="202">
        <v>5</v>
      </c>
      <c r="BC881" s="202" t="s">
        <v>647</v>
      </c>
      <c r="BD881" s="202" t="s">
        <v>632</v>
      </c>
      <c r="BE881" s="202" t="s">
        <v>1253</v>
      </c>
      <c r="BF881" s="194" t="s">
        <v>693</v>
      </c>
      <c r="BG881" s="231" t="s">
        <v>390</v>
      </c>
      <c r="BH881" s="216">
        <f>AS881</f>
        <v>0</v>
      </c>
      <c r="BI881" s="205"/>
      <c r="BJ881" s="206" t="s">
        <v>7138</v>
      </c>
      <c r="BK881" s="206" t="s">
        <v>389</v>
      </c>
      <c r="BL881" s="207" t="s">
        <v>7139</v>
      </c>
      <c r="BM881" s="208">
        <f t="shared" si="937"/>
        <v>0</v>
      </c>
      <c r="BN881" s="160"/>
      <c r="BO881" s="161">
        <f t="shared" si="918"/>
        <v>0</v>
      </c>
      <c r="BP881" s="161"/>
    </row>
    <row r="882" spans="1:68" ht="25.5">
      <c r="A882" s="206" t="s">
        <v>391</v>
      </c>
      <c r="B882" s="195" t="s">
        <v>7142</v>
      </c>
      <c r="C882" s="196" t="s">
        <v>7143</v>
      </c>
      <c r="D882" s="146" t="s">
        <v>4692</v>
      </c>
      <c r="E882" s="196" t="s">
        <v>7143</v>
      </c>
      <c r="F882" s="150">
        <v>0</v>
      </c>
      <c r="G882" s="209">
        <v>0</v>
      </c>
      <c r="H882" s="209"/>
      <c r="I882" s="209">
        <v>0</v>
      </c>
      <c r="J882" s="150">
        <v>0</v>
      </c>
      <c r="K882" s="150">
        <v>0</v>
      </c>
      <c r="L882" s="150">
        <f t="shared" si="917"/>
        <v>0</v>
      </c>
      <c r="M882" s="150">
        <v>0</v>
      </c>
      <c r="N882" s="150"/>
      <c r="O882" s="150">
        <v>0</v>
      </c>
      <c r="P882" s="150">
        <v>0</v>
      </c>
      <c r="Q882" s="150">
        <v>0</v>
      </c>
      <c r="R882" s="150">
        <f t="shared" si="932"/>
        <v>0</v>
      </c>
      <c r="S882" s="150">
        <f t="shared" si="912"/>
        <v>0</v>
      </c>
      <c r="T882" s="150"/>
      <c r="U882" s="150">
        <v>0</v>
      </c>
      <c r="V882" s="199"/>
      <c r="W882" s="150">
        <f t="shared" si="933"/>
        <v>0</v>
      </c>
      <c r="X882" s="150">
        <v>0</v>
      </c>
      <c r="Y882" s="150"/>
      <c r="Z882" s="150">
        <v>0</v>
      </c>
      <c r="AA882" s="150">
        <f t="shared" si="913"/>
        <v>0</v>
      </c>
      <c r="AB882" s="150">
        <v>0</v>
      </c>
      <c r="AC882" s="199"/>
      <c r="AD882" s="150">
        <f t="shared" si="934"/>
        <v>0</v>
      </c>
      <c r="AE882" s="150">
        <v>0</v>
      </c>
      <c r="AF882" s="169" t="s">
        <v>4680</v>
      </c>
      <c r="AG882" s="201">
        <v>0</v>
      </c>
      <c r="AH882" s="199"/>
      <c r="AI882" s="150">
        <v>0</v>
      </c>
      <c r="AJ882" s="169">
        <f t="shared" si="914"/>
        <v>0</v>
      </c>
      <c r="AK882" s="201">
        <v>0</v>
      </c>
      <c r="AL882" s="199"/>
      <c r="AM882" s="150">
        <f t="shared" si="935"/>
        <v>0</v>
      </c>
      <c r="AN882" s="153">
        <f t="shared" si="915"/>
        <v>0</v>
      </c>
      <c r="AO882" s="154">
        <f t="shared" si="916"/>
        <v>0</v>
      </c>
      <c r="AP882" s="150">
        <v>0</v>
      </c>
      <c r="AQ882" s="201">
        <v>0</v>
      </c>
      <c r="AR882" s="199"/>
      <c r="AS882" s="150">
        <f t="shared" si="936"/>
        <v>0</v>
      </c>
      <c r="AT882" s="155"/>
      <c r="AU882" s="156">
        <f t="shared" si="910"/>
        <v>0</v>
      </c>
      <c r="AV882" s="156">
        <f t="shared" si="911"/>
        <v>0</v>
      </c>
      <c r="AW882" s="157"/>
      <c r="AX882" s="150">
        <v>0</v>
      </c>
      <c r="AY882" s="150">
        <v>0</v>
      </c>
      <c r="AZ882" s="150"/>
      <c r="BA882" s="150">
        <f t="shared" si="909"/>
        <v>0</v>
      </c>
      <c r="BB882" s="202">
        <v>5</v>
      </c>
      <c r="BC882" s="202" t="s">
        <v>647</v>
      </c>
      <c r="BD882" s="202" t="s">
        <v>632</v>
      </c>
      <c r="BE882" s="202" t="s">
        <v>1253</v>
      </c>
      <c r="BF882" s="202" t="s">
        <v>714</v>
      </c>
      <c r="BG882" s="203" t="s">
        <v>392</v>
      </c>
      <c r="BH882" s="216">
        <f>AS882</f>
        <v>0</v>
      </c>
      <c r="BI882" s="205"/>
      <c r="BJ882" s="206" t="s">
        <v>7144</v>
      </c>
      <c r="BK882" s="206" t="s">
        <v>391</v>
      </c>
      <c r="BL882" s="207" t="s">
        <v>7145</v>
      </c>
      <c r="BM882" s="208">
        <f t="shared" si="937"/>
        <v>0</v>
      </c>
      <c r="BN882" s="160"/>
      <c r="BO882" s="161">
        <f t="shared" si="918"/>
        <v>0</v>
      </c>
      <c r="BP882" s="161"/>
    </row>
    <row r="883" spans="1:68" ht="69.75" customHeight="1">
      <c r="A883" s="206" t="s">
        <v>393</v>
      </c>
      <c r="B883" s="195" t="s">
        <v>7146</v>
      </c>
      <c r="C883" s="196" t="s">
        <v>7147</v>
      </c>
      <c r="D883" s="146" t="s">
        <v>4692</v>
      </c>
      <c r="E883" s="196" t="s">
        <v>7147</v>
      </c>
      <c r="F883" s="150">
        <v>0</v>
      </c>
      <c r="G883" s="209">
        <v>0</v>
      </c>
      <c r="H883" s="209"/>
      <c r="I883" s="209">
        <v>0</v>
      </c>
      <c r="J883" s="150">
        <v>0</v>
      </c>
      <c r="K883" s="150">
        <v>0</v>
      </c>
      <c r="L883" s="150">
        <f t="shared" si="917"/>
        <v>0</v>
      </c>
      <c r="M883" s="150">
        <v>0</v>
      </c>
      <c r="N883" s="150"/>
      <c r="O883" s="150">
        <v>0</v>
      </c>
      <c r="P883" s="150">
        <v>291600</v>
      </c>
      <c r="Q883" s="150">
        <v>0</v>
      </c>
      <c r="R883" s="150">
        <f t="shared" si="932"/>
        <v>291600</v>
      </c>
      <c r="S883" s="150">
        <f t="shared" si="912"/>
        <v>388800</v>
      </c>
      <c r="T883" s="150"/>
      <c r="U883" s="150">
        <v>291600</v>
      </c>
      <c r="V883" s="199"/>
      <c r="W883" s="150">
        <f t="shared" si="933"/>
        <v>291600</v>
      </c>
      <c r="X883" s="150">
        <v>291600</v>
      </c>
      <c r="Y883" s="150"/>
      <c r="Z883" s="150">
        <v>291600</v>
      </c>
      <c r="AA883" s="150">
        <f t="shared" si="913"/>
        <v>0</v>
      </c>
      <c r="AB883" s="150">
        <v>291600</v>
      </c>
      <c r="AC883" s="199"/>
      <c r="AD883" s="150">
        <f t="shared" si="934"/>
        <v>291600</v>
      </c>
      <c r="AE883" s="150">
        <v>291600</v>
      </c>
      <c r="AF883" s="169" t="s">
        <v>4680</v>
      </c>
      <c r="AG883" s="201">
        <v>291600</v>
      </c>
      <c r="AH883" s="199"/>
      <c r="AI883" s="150">
        <v>291600</v>
      </c>
      <c r="AJ883" s="169">
        <f t="shared" si="914"/>
        <v>0</v>
      </c>
      <c r="AK883" s="201">
        <v>291600</v>
      </c>
      <c r="AL883" s="199"/>
      <c r="AM883" s="150">
        <f t="shared" si="935"/>
        <v>291600</v>
      </c>
      <c r="AN883" s="153">
        <f t="shared" si="915"/>
        <v>-291600</v>
      </c>
      <c r="AO883" s="154">
        <f t="shared" si="916"/>
        <v>0</v>
      </c>
      <c r="AP883" s="150">
        <v>0</v>
      </c>
      <c r="AQ883" s="201">
        <v>0</v>
      </c>
      <c r="AR883" s="199"/>
      <c r="AS883" s="150">
        <f t="shared" si="936"/>
        <v>0</v>
      </c>
      <c r="AT883" s="155" t="s">
        <v>7148</v>
      </c>
      <c r="AU883" s="156">
        <f t="shared" si="910"/>
        <v>0</v>
      </c>
      <c r="AV883" s="156">
        <f t="shared" si="911"/>
        <v>0</v>
      </c>
      <c r="AW883" s="157" t="s">
        <v>7148</v>
      </c>
      <c r="AX883" s="150">
        <v>291600</v>
      </c>
      <c r="AY883" s="150">
        <v>291600</v>
      </c>
      <c r="AZ883" s="237"/>
      <c r="BA883" s="150">
        <f t="shared" si="909"/>
        <v>291600</v>
      </c>
      <c r="BB883" s="202">
        <v>5</v>
      </c>
      <c r="BC883" s="202" t="s">
        <v>647</v>
      </c>
      <c r="BD883" s="202" t="s">
        <v>632</v>
      </c>
      <c r="BE883" s="202" t="s">
        <v>1253</v>
      </c>
      <c r="BF883" s="194" t="s">
        <v>739</v>
      </c>
      <c r="BG883" s="203" t="s">
        <v>394</v>
      </c>
      <c r="BH883" s="216">
        <f>SUM(AS883:AS888)</f>
        <v>0</v>
      </c>
      <c r="BI883" s="205"/>
      <c r="BJ883" s="206" t="s">
        <v>7149</v>
      </c>
      <c r="BK883" s="206" t="s">
        <v>393</v>
      </c>
      <c r="BL883" s="207" t="s">
        <v>7150</v>
      </c>
      <c r="BM883" s="208">
        <f t="shared" si="937"/>
        <v>0</v>
      </c>
      <c r="BN883" s="160"/>
      <c r="BO883" s="161">
        <f t="shared" si="918"/>
        <v>0</v>
      </c>
      <c r="BP883" s="161"/>
    </row>
    <row r="884" spans="1:68" ht="25.5">
      <c r="A884" s="210"/>
      <c r="B884" s="195" t="s">
        <v>7151</v>
      </c>
      <c r="C884" s="196" t="s">
        <v>7152</v>
      </c>
      <c r="D884" s="146" t="s">
        <v>4692</v>
      </c>
      <c r="E884" s="196" t="s">
        <v>7152</v>
      </c>
      <c r="F884" s="150">
        <v>0</v>
      </c>
      <c r="G884" s="209">
        <v>0</v>
      </c>
      <c r="H884" s="209"/>
      <c r="I884" s="209">
        <v>0</v>
      </c>
      <c r="J884" s="150">
        <v>0</v>
      </c>
      <c r="K884" s="150">
        <v>0</v>
      </c>
      <c r="L884" s="150">
        <f t="shared" si="917"/>
        <v>0</v>
      </c>
      <c r="M884" s="150">
        <v>0</v>
      </c>
      <c r="N884" s="150"/>
      <c r="O884" s="150">
        <v>0</v>
      </c>
      <c r="P884" s="150">
        <v>0</v>
      </c>
      <c r="Q884" s="150">
        <v>0</v>
      </c>
      <c r="R884" s="150">
        <f t="shared" si="932"/>
        <v>0</v>
      </c>
      <c r="S884" s="150">
        <f t="shared" si="912"/>
        <v>0</v>
      </c>
      <c r="T884" s="150"/>
      <c r="U884" s="150">
        <v>0</v>
      </c>
      <c r="V884" s="199"/>
      <c r="W884" s="150">
        <f t="shared" si="933"/>
        <v>0</v>
      </c>
      <c r="X884" s="150">
        <v>0</v>
      </c>
      <c r="Y884" s="150"/>
      <c r="Z884" s="150">
        <v>0</v>
      </c>
      <c r="AA884" s="150">
        <f t="shared" si="913"/>
        <v>0</v>
      </c>
      <c r="AB884" s="150">
        <v>0</v>
      </c>
      <c r="AC884" s="199"/>
      <c r="AD884" s="150">
        <f t="shared" si="934"/>
        <v>0</v>
      </c>
      <c r="AE884" s="150">
        <v>0</v>
      </c>
      <c r="AF884" s="169" t="s">
        <v>4680</v>
      </c>
      <c r="AG884" s="201">
        <v>0</v>
      </c>
      <c r="AH884" s="199"/>
      <c r="AI884" s="150">
        <v>0</v>
      </c>
      <c r="AJ884" s="169">
        <f t="shared" si="914"/>
        <v>0</v>
      </c>
      <c r="AK884" s="201">
        <v>0</v>
      </c>
      <c r="AL884" s="199"/>
      <c r="AM884" s="150">
        <f t="shared" si="935"/>
        <v>0</v>
      </c>
      <c r="AN884" s="153">
        <f t="shared" si="915"/>
        <v>0</v>
      </c>
      <c r="AO884" s="154">
        <f t="shared" si="916"/>
        <v>0</v>
      </c>
      <c r="AP884" s="150">
        <v>0</v>
      </c>
      <c r="AQ884" s="201">
        <v>0</v>
      </c>
      <c r="AR884" s="199"/>
      <c r="AS884" s="150">
        <f t="shared" si="936"/>
        <v>0</v>
      </c>
      <c r="AT884" s="155"/>
      <c r="AU884" s="156">
        <f t="shared" si="910"/>
        <v>0</v>
      </c>
      <c r="AV884" s="156">
        <f t="shared" si="911"/>
        <v>0</v>
      </c>
      <c r="AW884" s="157"/>
      <c r="AX884" s="150">
        <v>0</v>
      </c>
      <c r="AY884" s="150">
        <v>0</v>
      </c>
      <c r="AZ884" s="150"/>
      <c r="BA884" s="150">
        <f t="shared" si="909"/>
        <v>0</v>
      </c>
      <c r="BB884" s="210"/>
      <c r="BC884" s="210"/>
      <c r="BD884" s="210"/>
      <c r="BE884" s="210"/>
      <c r="BF884" s="210"/>
      <c r="BG884" s="210"/>
      <c r="BH884" s="217"/>
      <c r="BI884" s="210"/>
      <c r="BJ884" s="210"/>
      <c r="BK884" s="210"/>
      <c r="BL884" s="210"/>
      <c r="BM884" s="208"/>
      <c r="BN884" s="160"/>
      <c r="BO884" s="161">
        <f t="shared" si="918"/>
        <v>0</v>
      </c>
      <c r="BP884" s="161"/>
    </row>
    <row r="885" spans="1:68" ht="25.5">
      <c r="A885" s="210"/>
      <c r="B885" s="195" t="s">
        <v>7153</v>
      </c>
      <c r="C885" s="196" t="s">
        <v>7154</v>
      </c>
      <c r="D885" s="146" t="s">
        <v>4692</v>
      </c>
      <c r="E885" s="196" t="s">
        <v>7154</v>
      </c>
      <c r="F885" s="150">
        <v>0</v>
      </c>
      <c r="G885" s="209">
        <v>0</v>
      </c>
      <c r="H885" s="209"/>
      <c r="I885" s="209">
        <v>0</v>
      </c>
      <c r="J885" s="150">
        <v>0</v>
      </c>
      <c r="K885" s="150">
        <v>0</v>
      </c>
      <c r="L885" s="150">
        <f t="shared" si="917"/>
        <v>0</v>
      </c>
      <c r="M885" s="150">
        <v>0</v>
      </c>
      <c r="N885" s="150"/>
      <c r="O885" s="150">
        <v>0</v>
      </c>
      <c r="P885" s="150">
        <v>0</v>
      </c>
      <c r="Q885" s="150">
        <v>0</v>
      </c>
      <c r="R885" s="150">
        <f t="shared" si="932"/>
        <v>0</v>
      </c>
      <c r="S885" s="150">
        <f t="shared" si="912"/>
        <v>0</v>
      </c>
      <c r="T885" s="150"/>
      <c r="U885" s="150">
        <v>0</v>
      </c>
      <c r="V885" s="199"/>
      <c r="W885" s="150">
        <f t="shared" si="933"/>
        <v>0</v>
      </c>
      <c r="X885" s="150">
        <v>0</v>
      </c>
      <c r="Y885" s="150"/>
      <c r="Z885" s="150">
        <v>0</v>
      </c>
      <c r="AA885" s="150">
        <f t="shared" si="913"/>
        <v>0</v>
      </c>
      <c r="AB885" s="150">
        <v>0</v>
      </c>
      <c r="AC885" s="199"/>
      <c r="AD885" s="150">
        <f t="shared" si="934"/>
        <v>0</v>
      </c>
      <c r="AE885" s="150">
        <v>0</v>
      </c>
      <c r="AF885" s="169" t="s">
        <v>4680</v>
      </c>
      <c r="AG885" s="201">
        <v>0</v>
      </c>
      <c r="AH885" s="199"/>
      <c r="AI885" s="150">
        <v>0</v>
      </c>
      <c r="AJ885" s="169">
        <f t="shared" si="914"/>
        <v>0</v>
      </c>
      <c r="AK885" s="201">
        <v>0</v>
      </c>
      <c r="AL885" s="199"/>
      <c r="AM885" s="150">
        <f t="shared" si="935"/>
        <v>0</v>
      </c>
      <c r="AN885" s="153">
        <f t="shared" si="915"/>
        <v>0</v>
      </c>
      <c r="AO885" s="154">
        <f t="shared" si="916"/>
        <v>0</v>
      </c>
      <c r="AP885" s="150">
        <v>0</v>
      </c>
      <c r="AQ885" s="201">
        <v>0</v>
      </c>
      <c r="AR885" s="199"/>
      <c r="AS885" s="150">
        <f t="shared" si="936"/>
        <v>0</v>
      </c>
      <c r="AT885" s="155"/>
      <c r="AU885" s="156">
        <f t="shared" si="910"/>
        <v>0</v>
      </c>
      <c r="AV885" s="156">
        <f t="shared" si="911"/>
        <v>0</v>
      </c>
      <c r="AW885" s="157"/>
      <c r="AX885" s="150">
        <v>0</v>
      </c>
      <c r="AY885" s="150">
        <v>0</v>
      </c>
      <c r="AZ885" s="150"/>
      <c r="BA885" s="150">
        <f t="shared" si="909"/>
        <v>0</v>
      </c>
      <c r="BB885" s="210"/>
      <c r="BC885" s="210"/>
      <c r="BD885" s="210"/>
      <c r="BE885" s="210"/>
      <c r="BF885" s="210"/>
      <c r="BG885" s="210"/>
      <c r="BH885" s="217"/>
      <c r="BI885" s="210"/>
      <c r="BJ885" s="210"/>
      <c r="BK885" s="210"/>
      <c r="BL885" s="210"/>
      <c r="BM885" s="208"/>
      <c r="BN885" s="160"/>
      <c r="BO885" s="161">
        <f t="shared" si="918"/>
        <v>0</v>
      </c>
      <c r="BP885" s="161"/>
    </row>
    <row r="886" spans="1:68" ht="25.5">
      <c r="A886" s="210"/>
      <c r="B886" s="195" t="s">
        <v>7155</v>
      </c>
      <c r="C886" s="196" t="s">
        <v>7156</v>
      </c>
      <c r="D886" s="146" t="s">
        <v>4692</v>
      </c>
      <c r="E886" s="196" t="s">
        <v>7156</v>
      </c>
      <c r="F886" s="150">
        <v>0</v>
      </c>
      <c r="G886" s="209">
        <v>0</v>
      </c>
      <c r="H886" s="209"/>
      <c r="I886" s="209">
        <v>0</v>
      </c>
      <c r="J886" s="150">
        <v>0</v>
      </c>
      <c r="K886" s="150">
        <v>0</v>
      </c>
      <c r="L886" s="150">
        <f t="shared" si="917"/>
        <v>0</v>
      </c>
      <c r="M886" s="150">
        <v>0</v>
      </c>
      <c r="N886" s="150"/>
      <c r="O886" s="150">
        <v>0</v>
      </c>
      <c r="P886" s="150">
        <v>0</v>
      </c>
      <c r="Q886" s="150">
        <v>0</v>
      </c>
      <c r="R886" s="150">
        <f t="shared" si="932"/>
        <v>0</v>
      </c>
      <c r="S886" s="150">
        <f t="shared" si="912"/>
        <v>0</v>
      </c>
      <c r="T886" s="150"/>
      <c r="U886" s="150">
        <v>0</v>
      </c>
      <c r="V886" s="199"/>
      <c r="W886" s="150">
        <f t="shared" si="933"/>
        <v>0</v>
      </c>
      <c r="X886" s="150">
        <v>0</v>
      </c>
      <c r="Y886" s="150"/>
      <c r="Z886" s="150">
        <v>0</v>
      </c>
      <c r="AA886" s="150">
        <f t="shared" si="913"/>
        <v>0</v>
      </c>
      <c r="AB886" s="150">
        <v>0</v>
      </c>
      <c r="AC886" s="199"/>
      <c r="AD886" s="150">
        <f t="shared" si="934"/>
        <v>0</v>
      </c>
      <c r="AE886" s="150">
        <v>0</v>
      </c>
      <c r="AF886" s="169" t="s">
        <v>4680</v>
      </c>
      <c r="AG886" s="201">
        <v>0</v>
      </c>
      <c r="AH886" s="199"/>
      <c r="AI886" s="150">
        <v>0</v>
      </c>
      <c r="AJ886" s="169">
        <f t="shared" si="914"/>
        <v>0</v>
      </c>
      <c r="AK886" s="201">
        <v>0</v>
      </c>
      <c r="AL886" s="199"/>
      <c r="AM886" s="150">
        <f t="shared" si="935"/>
        <v>0</v>
      </c>
      <c r="AN886" s="153">
        <f t="shared" si="915"/>
        <v>0</v>
      </c>
      <c r="AO886" s="154">
        <f t="shared" si="916"/>
        <v>0</v>
      </c>
      <c r="AP886" s="150">
        <v>0</v>
      </c>
      <c r="AQ886" s="201">
        <v>0</v>
      </c>
      <c r="AR886" s="199"/>
      <c r="AS886" s="150">
        <f t="shared" si="936"/>
        <v>0</v>
      </c>
      <c r="AT886" s="155"/>
      <c r="AU886" s="156">
        <f t="shared" si="910"/>
        <v>0</v>
      </c>
      <c r="AV886" s="156">
        <f t="shared" si="911"/>
        <v>0</v>
      </c>
      <c r="AW886" s="157"/>
      <c r="AX886" s="150">
        <v>0</v>
      </c>
      <c r="AY886" s="150">
        <v>0</v>
      </c>
      <c r="AZ886" s="150"/>
      <c r="BA886" s="150">
        <f t="shared" si="909"/>
        <v>0</v>
      </c>
      <c r="BB886" s="210"/>
      <c r="BC886" s="210"/>
      <c r="BD886" s="210"/>
      <c r="BE886" s="210"/>
      <c r="BF886" s="210"/>
      <c r="BG886" s="307"/>
      <c r="BH886" s="307"/>
      <c r="BI886" s="210"/>
      <c r="BJ886" s="210"/>
      <c r="BK886" s="210"/>
      <c r="BL886" s="210"/>
      <c r="BM886" s="208"/>
      <c r="BN886" s="160"/>
      <c r="BO886" s="161">
        <f t="shared" si="918"/>
        <v>0</v>
      </c>
      <c r="BP886" s="161"/>
    </row>
    <row r="887" spans="1:68" ht="25.5">
      <c r="A887" s="210"/>
      <c r="B887" s="195" t="s">
        <v>7157</v>
      </c>
      <c r="C887" s="196" t="s">
        <v>7158</v>
      </c>
      <c r="D887" s="146" t="s">
        <v>4692</v>
      </c>
      <c r="E887" s="196" t="s">
        <v>7158</v>
      </c>
      <c r="F887" s="150">
        <v>0</v>
      </c>
      <c r="G887" s="209">
        <v>0</v>
      </c>
      <c r="H887" s="209"/>
      <c r="I887" s="209">
        <v>0</v>
      </c>
      <c r="J887" s="150">
        <v>0</v>
      </c>
      <c r="K887" s="150">
        <v>0</v>
      </c>
      <c r="L887" s="150">
        <f t="shared" si="917"/>
        <v>0</v>
      </c>
      <c r="M887" s="150">
        <v>0</v>
      </c>
      <c r="N887" s="150"/>
      <c r="O887" s="150">
        <v>0</v>
      </c>
      <c r="P887" s="150">
        <v>0</v>
      </c>
      <c r="Q887" s="150">
        <v>0</v>
      </c>
      <c r="R887" s="150">
        <f t="shared" si="932"/>
        <v>0</v>
      </c>
      <c r="S887" s="150">
        <f t="shared" si="912"/>
        <v>0</v>
      </c>
      <c r="T887" s="150"/>
      <c r="U887" s="150">
        <v>0</v>
      </c>
      <c r="V887" s="199"/>
      <c r="W887" s="150">
        <f t="shared" si="933"/>
        <v>0</v>
      </c>
      <c r="X887" s="150">
        <v>0</v>
      </c>
      <c r="Y887" s="150"/>
      <c r="Z887" s="150">
        <v>0</v>
      </c>
      <c r="AA887" s="150">
        <f t="shared" si="913"/>
        <v>0</v>
      </c>
      <c r="AB887" s="150">
        <v>0</v>
      </c>
      <c r="AC887" s="199"/>
      <c r="AD887" s="150">
        <f t="shared" si="934"/>
        <v>0</v>
      </c>
      <c r="AE887" s="150">
        <v>0</v>
      </c>
      <c r="AF887" s="169" t="s">
        <v>4680</v>
      </c>
      <c r="AG887" s="201">
        <v>0</v>
      </c>
      <c r="AH887" s="199"/>
      <c r="AI887" s="150">
        <v>0</v>
      </c>
      <c r="AJ887" s="169">
        <f t="shared" si="914"/>
        <v>0</v>
      </c>
      <c r="AK887" s="201">
        <v>0</v>
      </c>
      <c r="AL887" s="199"/>
      <c r="AM887" s="150">
        <f t="shared" si="935"/>
        <v>0</v>
      </c>
      <c r="AN887" s="153">
        <f t="shared" si="915"/>
        <v>0</v>
      </c>
      <c r="AO887" s="154">
        <f t="shared" si="916"/>
        <v>0</v>
      </c>
      <c r="AP887" s="150">
        <v>0</v>
      </c>
      <c r="AQ887" s="201">
        <v>0</v>
      </c>
      <c r="AR887" s="199"/>
      <c r="AS887" s="150">
        <f t="shared" si="936"/>
        <v>0</v>
      </c>
      <c r="AT887" s="155"/>
      <c r="AU887" s="156">
        <f t="shared" si="910"/>
        <v>0</v>
      </c>
      <c r="AV887" s="156">
        <f t="shared" si="911"/>
        <v>0</v>
      </c>
      <c r="AW887" s="157"/>
      <c r="AX887" s="150">
        <v>0</v>
      </c>
      <c r="AY887" s="150">
        <v>0</v>
      </c>
      <c r="AZ887" s="150"/>
      <c r="BA887" s="150">
        <f t="shared" ref="BA887:BA939" si="938">AY887+AZ887</f>
        <v>0</v>
      </c>
      <c r="BB887" s="210"/>
      <c r="BC887" s="210"/>
      <c r="BD887" s="210"/>
      <c r="BE887" s="210"/>
      <c r="BF887" s="210"/>
      <c r="BG887" s="307"/>
      <c r="BH887" s="307"/>
      <c r="BI887" s="210"/>
      <c r="BJ887" s="210"/>
      <c r="BK887" s="210"/>
      <c r="BL887" s="210"/>
      <c r="BM887" s="208"/>
      <c r="BN887" s="160"/>
      <c r="BO887" s="161">
        <f t="shared" si="918"/>
        <v>0</v>
      </c>
      <c r="BP887" s="161"/>
    </row>
    <row r="888" spans="1:68" ht="25.5">
      <c r="A888" s="210"/>
      <c r="B888" s="195" t="s">
        <v>7159</v>
      </c>
      <c r="C888" s="196" t="s">
        <v>7160</v>
      </c>
      <c r="D888" s="146" t="s">
        <v>4692</v>
      </c>
      <c r="E888" s="196" t="s">
        <v>7160</v>
      </c>
      <c r="F888" s="150">
        <v>0</v>
      </c>
      <c r="G888" s="209">
        <v>0</v>
      </c>
      <c r="H888" s="209"/>
      <c r="I888" s="209">
        <v>0</v>
      </c>
      <c r="J888" s="150">
        <v>0</v>
      </c>
      <c r="K888" s="150">
        <v>0</v>
      </c>
      <c r="L888" s="150">
        <f t="shared" si="917"/>
        <v>0</v>
      </c>
      <c r="M888" s="150">
        <v>0</v>
      </c>
      <c r="N888" s="150"/>
      <c r="O888" s="150">
        <v>0</v>
      </c>
      <c r="P888" s="150">
        <v>0</v>
      </c>
      <c r="Q888" s="150">
        <v>0</v>
      </c>
      <c r="R888" s="150">
        <f t="shared" si="932"/>
        <v>0</v>
      </c>
      <c r="S888" s="150">
        <f t="shared" si="912"/>
        <v>0</v>
      </c>
      <c r="T888" s="150"/>
      <c r="U888" s="150">
        <v>0</v>
      </c>
      <c r="V888" s="199"/>
      <c r="W888" s="150">
        <f t="shared" si="933"/>
        <v>0</v>
      </c>
      <c r="X888" s="150">
        <v>0</v>
      </c>
      <c r="Y888" s="150"/>
      <c r="Z888" s="150">
        <v>0</v>
      </c>
      <c r="AA888" s="150">
        <f t="shared" si="913"/>
        <v>0</v>
      </c>
      <c r="AB888" s="150">
        <v>0</v>
      </c>
      <c r="AC888" s="199"/>
      <c r="AD888" s="150">
        <f t="shared" si="934"/>
        <v>0</v>
      </c>
      <c r="AE888" s="150">
        <v>0</v>
      </c>
      <c r="AF888" s="169" t="s">
        <v>4680</v>
      </c>
      <c r="AG888" s="201">
        <v>0</v>
      </c>
      <c r="AH888" s="199"/>
      <c r="AI888" s="150">
        <v>0</v>
      </c>
      <c r="AJ888" s="169">
        <f t="shared" si="914"/>
        <v>0</v>
      </c>
      <c r="AK888" s="201">
        <v>0</v>
      </c>
      <c r="AL888" s="199"/>
      <c r="AM888" s="150">
        <f t="shared" si="935"/>
        <v>0</v>
      </c>
      <c r="AN888" s="153">
        <f t="shared" si="915"/>
        <v>0</v>
      </c>
      <c r="AO888" s="154">
        <f t="shared" si="916"/>
        <v>0</v>
      </c>
      <c r="AP888" s="150">
        <v>0</v>
      </c>
      <c r="AQ888" s="201">
        <v>0</v>
      </c>
      <c r="AR888" s="199"/>
      <c r="AS888" s="150">
        <f t="shared" si="936"/>
        <v>0</v>
      </c>
      <c r="AT888" s="155"/>
      <c r="AU888" s="156">
        <f t="shared" si="910"/>
        <v>0</v>
      </c>
      <c r="AV888" s="156">
        <f t="shared" si="911"/>
        <v>0</v>
      </c>
      <c r="AW888" s="157"/>
      <c r="AX888" s="150">
        <v>0</v>
      </c>
      <c r="AY888" s="150">
        <v>0</v>
      </c>
      <c r="AZ888" s="150"/>
      <c r="BA888" s="150">
        <f t="shared" si="938"/>
        <v>0</v>
      </c>
      <c r="BB888" s="210"/>
      <c r="BC888" s="210"/>
      <c r="BD888" s="210"/>
      <c r="BE888" s="210"/>
      <c r="BF888" s="210"/>
      <c r="BG888" s="210"/>
      <c r="BH888" s="217"/>
      <c r="BI888" s="210"/>
      <c r="BJ888" s="210"/>
      <c r="BK888" s="210"/>
      <c r="BL888" s="210"/>
      <c r="BM888" s="208"/>
      <c r="BN888" s="160"/>
      <c r="BO888" s="161">
        <f t="shared" si="918"/>
        <v>0</v>
      </c>
      <c r="BP888" s="161"/>
    </row>
    <row r="889" spans="1:68" ht="48">
      <c r="A889" s="261" t="s">
        <v>395</v>
      </c>
      <c r="B889" s="228" t="s">
        <v>7161</v>
      </c>
      <c r="C889" s="229" t="s">
        <v>7162</v>
      </c>
      <c r="D889" s="146" t="s">
        <v>4692</v>
      </c>
      <c r="E889" s="196" t="s">
        <v>7162</v>
      </c>
      <c r="F889" s="150">
        <v>358824.96000000002</v>
      </c>
      <c r="G889" s="209">
        <v>0</v>
      </c>
      <c r="H889" s="209"/>
      <c r="I889" s="209">
        <v>0</v>
      </c>
      <c r="J889" s="150">
        <v>0</v>
      </c>
      <c r="K889" s="150">
        <v>0</v>
      </c>
      <c r="L889" s="150">
        <f t="shared" si="917"/>
        <v>0</v>
      </c>
      <c r="M889" s="150">
        <v>2100</v>
      </c>
      <c r="N889" s="150">
        <v>177312.48</v>
      </c>
      <c r="O889" s="150">
        <v>179412.48000000001</v>
      </c>
      <c r="P889" s="150">
        <v>2100</v>
      </c>
      <c r="Q889" s="150">
        <v>0</v>
      </c>
      <c r="R889" s="150">
        <f t="shared" si="932"/>
        <v>2100</v>
      </c>
      <c r="S889" s="150">
        <f t="shared" si="912"/>
        <v>2800</v>
      </c>
      <c r="T889" s="150"/>
      <c r="U889" s="150">
        <v>2460</v>
      </c>
      <c r="V889" s="199"/>
      <c r="W889" s="150">
        <f t="shared" si="933"/>
        <v>2460</v>
      </c>
      <c r="X889" s="150">
        <v>2460</v>
      </c>
      <c r="Y889" s="150"/>
      <c r="Z889" s="150">
        <v>2460</v>
      </c>
      <c r="AA889" s="150">
        <f t="shared" si="913"/>
        <v>346716.24</v>
      </c>
      <c r="AB889" s="150">
        <v>2460</v>
      </c>
      <c r="AC889" s="199">
        <v>346716.24</v>
      </c>
      <c r="AD889" s="150">
        <f t="shared" si="934"/>
        <v>349176.24</v>
      </c>
      <c r="AE889" s="150">
        <v>365708.83999999997</v>
      </c>
      <c r="AF889" s="169" t="s">
        <v>4680</v>
      </c>
      <c r="AG889" s="201">
        <v>18992.599999999999</v>
      </c>
      <c r="AH889" s="199">
        <v>346716.24</v>
      </c>
      <c r="AI889" s="150">
        <v>365708.83999999997</v>
      </c>
      <c r="AJ889" s="169">
        <f t="shared" si="914"/>
        <v>14720</v>
      </c>
      <c r="AK889" s="201">
        <v>33712.6</v>
      </c>
      <c r="AL889" s="199">
        <v>346716.24</v>
      </c>
      <c r="AM889" s="150">
        <f t="shared" si="935"/>
        <v>380428.83999999997</v>
      </c>
      <c r="AN889" s="153">
        <f t="shared" si="915"/>
        <v>30.000000000058208</v>
      </c>
      <c r="AO889" s="154">
        <f t="shared" si="916"/>
        <v>30.000000000058208</v>
      </c>
      <c r="AP889" s="150">
        <v>380428.83999999997</v>
      </c>
      <c r="AQ889" s="201">
        <v>380458.84</v>
      </c>
      <c r="AR889" s="199"/>
      <c r="AS889" s="150">
        <f t="shared" si="936"/>
        <v>380458.84</v>
      </c>
      <c r="AT889" s="155" t="s">
        <v>7163</v>
      </c>
      <c r="AU889" s="156">
        <f t="shared" si="910"/>
        <v>31252.599999999977</v>
      </c>
      <c r="AV889" s="156">
        <f t="shared" si="911"/>
        <v>346716.24</v>
      </c>
      <c r="AW889" s="157" t="s">
        <v>6892</v>
      </c>
      <c r="AX889" s="150">
        <v>2460</v>
      </c>
      <c r="AY889" s="150">
        <v>2100</v>
      </c>
      <c r="AZ889" s="237"/>
      <c r="BA889" s="150">
        <f t="shared" si="938"/>
        <v>2100</v>
      </c>
      <c r="BB889" s="202">
        <v>5</v>
      </c>
      <c r="BC889" s="202" t="s">
        <v>647</v>
      </c>
      <c r="BD889" s="202" t="s">
        <v>632</v>
      </c>
      <c r="BE889" s="202" t="s">
        <v>1253</v>
      </c>
      <c r="BF889" s="202" t="s">
        <v>755</v>
      </c>
      <c r="BG889" s="203" t="s">
        <v>396</v>
      </c>
      <c r="BH889" s="216">
        <f>AS889</f>
        <v>380458.84</v>
      </c>
      <c r="BI889" s="206" t="s">
        <v>1519</v>
      </c>
      <c r="BJ889" s="206" t="s">
        <v>7164</v>
      </c>
      <c r="BK889" s="206" t="s">
        <v>395</v>
      </c>
      <c r="BL889" s="207" t="s">
        <v>7165</v>
      </c>
      <c r="BM889" s="208">
        <f>BH889</f>
        <v>380458.84</v>
      </c>
      <c r="BN889" s="160"/>
      <c r="BO889" s="161">
        <f t="shared" si="918"/>
        <v>0</v>
      </c>
      <c r="BP889" s="161"/>
    </row>
    <row r="890" spans="1:68" ht="25.5">
      <c r="A890" s="206" t="s">
        <v>7166</v>
      </c>
      <c r="B890" s="195" t="s">
        <v>7167</v>
      </c>
      <c r="C890" s="196" t="s">
        <v>7168</v>
      </c>
      <c r="D890" s="146" t="s">
        <v>4692</v>
      </c>
      <c r="E890" s="196" t="s">
        <v>7168</v>
      </c>
      <c r="F890" s="150">
        <v>0</v>
      </c>
      <c r="G890" s="209">
        <v>2242817.6199999996</v>
      </c>
      <c r="H890" s="209">
        <v>244781.26</v>
      </c>
      <c r="I890" s="209">
        <v>2487598.88</v>
      </c>
      <c r="J890" s="150">
        <v>0</v>
      </c>
      <c r="K890" s="150">
        <v>0</v>
      </c>
      <c r="L890" s="150">
        <f t="shared" si="917"/>
        <v>0</v>
      </c>
      <c r="M890" s="150">
        <v>0</v>
      </c>
      <c r="N890" s="150"/>
      <c r="O890" s="150">
        <v>0</v>
      </c>
      <c r="P890" s="150">
        <v>0</v>
      </c>
      <c r="Q890" s="150">
        <v>0</v>
      </c>
      <c r="R890" s="150">
        <f t="shared" si="932"/>
        <v>0</v>
      </c>
      <c r="S890" s="150">
        <f t="shared" si="912"/>
        <v>0</v>
      </c>
      <c r="T890" s="150"/>
      <c r="U890" s="150">
        <v>0</v>
      </c>
      <c r="V890" s="199"/>
      <c r="W890" s="150">
        <f t="shared" si="933"/>
        <v>0</v>
      </c>
      <c r="X890" s="150">
        <v>0</v>
      </c>
      <c r="Y890" s="150"/>
      <c r="Z890" s="150">
        <v>0</v>
      </c>
      <c r="AA890" s="150">
        <f t="shared" si="913"/>
        <v>0</v>
      </c>
      <c r="AB890" s="150">
        <v>0</v>
      </c>
      <c r="AC890" s="199"/>
      <c r="AD890" s="150">
        <f t="shared" si="934"/>
        <v>0</v>
      </c>
      <c r="AE890" s="150">
        <v>0</v>
      </c>
      <c r="AF890" s="169" t="s">
        <v>4680</v>
      </c>
      <c r="AG890" s="201">
        <v>0</v>
      </c>
      <c r="AH890" s="199"/>
      <c r="AI890" s="150">
        <v>0</v>
      </c>
      <c r="AJ890" s="169">
        <f t="shared" si="914"/>
        <v>0</v>
      </c>
      <c r="AK890" s="201">
        <v>0</v>
      </c>
      <c r="AL890" s="199"/>
      <c r="AM890" s="150">
        <f t="shared" si="935"/>
        <v>0</v>
      </c>
      <c r="AN890" s="153">
        <f t="shared" si="915"/>
        <v>0</v>
      </c>
      <c r="AO890" s="154">
        <f t="shared" si="916"/>
        <v>0</v>
      </c>
      <c r="AP890" s="150">
        <v>0</v>
      </c>
      <c r="AQ890" s="201">
        <v>0</v>
      </c>
      <c r="AR890" s="199"/>
      <c r="AS890" s="150">
        <f t="shared" si="936"/>
        <v>0</v>
      </c>
      <c r="AT890" s="155"/>
      <c r="AU890" s="156">
        <f t="shared" si="910"/>
        <v>0</v>
      </c>
      <c r="AV890" s="156">
        <f t="shared" si="911"/>
        <v>0</v>
      </c>
      <c r="AW890" s="157"/>
      <c r="AX890" s="150">
        <v>0</v>
      </c>
      <c r="AY890" s="150">
        <v>0</v>
      </c>
      <c r="AZ890" s="150"/>
      <c r="BA890" s="150">
        <f t="shared" si="938"/>
        <v>0</v>
      </c>
      <c r="BB890" s="202">
        <v>5</v>
      </c>
      <c r="BC890" s="202" t="s">
        <v>647</v>
      </c>
      <c r="BD890" s="202" t="s">
        <v>632</v>
      </c>
      <c r="BE890" s="202" t="s">
        <v>1253</v>
      </c>
      <c r="BF890" s="194" t="s">
        <v>766</v>
      </c>
      <c r="BG890" s="203" t="s">
        <v>7168</v>
      </c>
      <c r="BH890" s="216">
        <f>AS890</f>
        <v>0</v>
      </c>
      <c r="BI890" s="206" t="s">
        <v>1519</v>
      </c>
      <c r="BJ890" s="206" t="s">
        <v>7169</v>
      </c>
      <c r="BK890" s="206" t="s">
        <v>7166</v>
      </c>
      <c r="BL890" s="207" t="s">
        <v>7170</v>
      </c>
      <c r="BM890" s="208">
        <f>BH890</f>
        <v>0</v>
      </c>
      <c r="BN890" s="160"/>
      <c r="BO890" s="161">
        <f t="shared" si="918"/>
        <v>0</v>
      </c>
      <c r="BP890" s="161"/>
    </row>
    <row r="891" spans="1:68" ht="51">
      <c r="A891" s="192" t="s">
        <v>7171</v>
      </c>
      <c r="B891" s="184"/>
      <c r="C891" s="185" t="s">
        <v>7172</v>
      </c>
      <c r="D891" s="146" t="s">
        <v>4692</v>
      </c>
      <c r="E891" s="185" t="s">
        <v>7172</v>
      </c>
      <c r="F891" s="188">
        <v>2632934.12</v>
      </c>
      <c r="G891" s="187">
        <v>2305.71</v>
      </c>
      <c r="H891" s="187"/>
      <c r="I891" s="187">
        <v>2305.71</v>
      </c>
      <c r="J891" s="188">
        <f>SUM(J892:J939)</f>
        <v>143491.93</v>
      </c>
      <c r="K891" s="188">
        <f>SUM(K892:K939)</f>
        <v>95332.19</v>
      </c>
      <c r="L891" s="188">
        <f t="shared" si="917"/>
        <v>238824.12</v>
      </c>
      <c r="M891" s="188">
        <v>388938.75</v>
      </c>
      <c r="N891" s="188">
        <v>171814</v>
      </c>
      <c r="O891" s="188">
        <v>560752.75</v>
      </c>
      <c r="P891" s="299">
        <f t="shared" ref="P891:AD891" si="939">SUM(P892:P939)</f>
        <v>732864.53</v>
      </c>
      <c r="Q891" s="299">
        <f t="shared" si="939"/>
        <v>0</v>
      </c>
      <c r="R891" s="299">
        <f t="shared" si="939"/>
        <v>732864.53</v>
      </c>
      <c r="S891" s="150">
        <f t="shared" si="912"/>
        <v>977152.70666666678</v>
      </c>
      <c r="T891" s="213"/>
      <c r="U891" s="299">
        <f>SUM(U892:U939)</f>
        <v>1884126.7399999998</v>
      </c>
      <c r="V891" s="226">
        <f t="shared" ref="V891:W891" si="940">SUM(V892:V939)</f>
        <v>0</v>
      </c>
      <c r="W891" s="299">
        <f t="shared" si="940"/>
        <v>1884126.7399999998</v>
      </c>
      <c r="X891" s="299">
        <v>1884126.7399999998</v>
      </c>
      <c r="Y891" s="299">
        <v>0</v>
      </c>
      <c r="Z891" s="299">
        <v>1884126.7399999998</v>
      </c>
      <c r="AA891" s="299">
        <f t="shared" si="913"/>
        <v>192980.7100000002</v>
      </c>
      <c r="AB891" s="299">
        <v>2077107.45</v>
      </c>
      <c r="AC891" s="226">
        <v>0</v>
      </c>
      <c r="AD891" s="299">
        <f t="shared" si="939"/>
        <v>2077107.45</v>
      </c>
      <c r="AE891" s="299">
        <v>2063274.85</v>
      </c>
      <c r="AF891" s="169" t="s">
        <v>4680</v>
      </c>
      <c r="AG891" s="301">
        <v>2063274.85</v>
      </c>
      <c r="AH891" s="226">
        <v>0</v>
      </c>
      <c r="AI891" s="299">
        <v>2063274.85</v>
      </c>
      <c r="AJ891" s="169">
        <f t="shared" si="914"/>
        <v>-12760</v>
      </c>
      <c r="AK891" s="301">
        <v>2050514.85</v>
      </c>
      <c r="AL891" s="226">
        <v>0</v>
      </c>
      <c r="AM891" s="299">
        <f t="shared" ref="AM891" si="941">SUM(AM892:AM939)</f>
        <v>2050514.85</v>
      </c>
      <c r="AN891" s="153">
        <f t="shared" si="915"/>
        <v>-12453.310000000056</v>
      </c>
      <c r="AO891" s="154">
        <f t="shared" si="916"/>
        <v>-12453.310000000056</v>
      </c>
      <c r="AP891" s="299">
        <v>2050514.85</v>
      </c>
      <c r="AQ891" s="301">
        <v>2038061.54</v>
      </c>
      <c r="AR891" s="226">
        <f t="shared" ref="AR891:AS891" si="942">SUM(AR892:AR939)</f>
        <v>0</v>
      </c>
      <c r="AS891" s="299">
        <f t="shared" si="942"/>
        <v>2038061.54</v>
      </c>
      <c r="AT891" s="155"/>
      <c r="AU891" s="156">
        <f t="shared" si="910"/>
        <v>-26592.59999999986</v>
      </c>
      <c r="AV891" s="156">
        <f t="shared" si="911"/>
        <v>192980.7100000002</v>
      </c>
      <c r="AW891" s="157"/>
      <c r="AX891" s="150">
        <v>1884126.7399999998</v>
      </c>
      <c r="AY891" s="299">
        <f t="shared" ref="AY891:BA891" si="943">SUM(AY892:AY939)</f>
        <v>529792.29</v>
      </c>
      <c r="AZ891" s="299">
        <f t="shared" si="943"/>
        <v>1248943.1600000001</v>
      </c>
      <c r="BA891" s="299">
        <f t="shared" si="943"/>
        <v>1778735.4499999997</v>
      </c>
      <c r="BB891" s="192">
        <v>5</v>
      </c>
      <c r="BC891" s="256" t="s">
        <v>647</v>
      </c>
      <c r="BD891" s="256" t="s">
        <v>632</v>
      </c>
      <c r="BE891" s="256" t="s">
        <v>1257</v>
      </c>
      <c r="BF891" s="256" t="s">
        <v>630</v>
      </c>
      <c r="BG891" s="185" t="s">
        <v>7172</v>
      </c>
      <c r="BH891" s="302">
        <f>SUM(BH892:BH939)</f>
        <v>2038061.54</v>
      </c>
      <c r="BI891" s="192"/>
      <c r="BJ891" s="256" t="s">
        <v>7173</v>
      </c>
      <c r="BK891" s="192" t="s">
        <v>7171</v>
      </c>
      <c r="BL891" s="185" t="s">
        <v>7174</v>
      </c>
      <c r="BM891" s="302">
        <f>SUM(BM892:BM939)</f>
        <v>2038061.54</v>
      </c>
      <c r="BN891" s="160"/>
      <c r="BO891" s="161">
        <f t="shared" si="918"/>
        <v>0</v>
      </c>
      <c r="BP891" s="161"/>
    </row>
    <row r="892" spans="1:68" ht="51">
      <c r="A892" s="261" t="s">
        <v>397</v>
      </c>
      <c r="B892" s="228" t="s">
        <v>7175</v>
      </c>
      <c r="C892" s="229" t="s">
        <v>7176</v>
      </c>
      <c r="D892" s="146" t="s">
        <v>4692</v>
      </c>
      <c r="E892" s="196" t="s">
        <v>7176</v>
      </c>
      <c r="F892" s="150">
        <v>261594.6</v>
      </c>
      <c r="G892" s="209">
        <v>0</v>
      </c>
      <c r="H892" s="209"/>
      <c r="I892" s="209">
        <v>0</v>
      </c>
      <c r="J892" s="150">
        <v>0</v>
      </c>
      <c r="K892" s="150">
        <v>0</v>
      </c>
      <c r="L892" s="150">
        <f t="shared" si="917"/>
        <v>0</v>
      </c>
      <c r="M892" s="150">
        <v>138.80000000000001</v>
      </c>
      <c r="N892" s="150">
        <v>130658.49999999999</v>
      </c>
      <c r="O892" s="150">
        <v>130797.29999999999</v>
      </c>
      <c r="P892" s="150">
        <v>553.20000000000005</v>
      </c>
      <c r="Q892" s="150">
        <v>0</v>
      </c>
      <c r="R892" s="150">
        <f t="shared" ref="R892:R939" si="944">P892+Q892</f>
        <v>553.20000000000005</v>
      </c>
      <c r="S892" s="150">
        <f t="shared" si="912"/>
        <v>737.6</v>
      </c>
      <c r="T892" s="150"/>
      <c r="U892" s="150">
        <v>2184.52</v>
      </c>
      <c r="V892" s="199"/>
      <c r="W892" s="150">
        <f t="shared" ref="W892:W939" si="945">U892+V892</f>
        <v>2184.52</v>
      </c>
      <c r="X892" s="150">
        <v>2184.52</v>
      </c>
      <c r="Y892" s="150"/>
      <c r="Z892" s="150">
        <v>2184.52</v>
      </c>
      <c r="AA892" s="150">
        <f t="shared" si="913"/>
        <v>0</v>
      </c>
      <c r="AB892" s="150">
        <v>2184.52</v>
      </c>
      <c r="AC892" s="199"/>
      <c r="AD892" s="150">
        <f t="shared" ref="AD892:AD939" si="946">AB892+AC892</f>
        <v>2184.52</v>
      </c>
      <c r="AE892" s="150">
        <v>2184.52</v>
      </c>
      <c r="AF892" s="169" t="s">
        <v>4680</v>
      </c>
      <c r="AG892" s="201">
        <v>2184.52</v>
      </c>
      <c r="AH892" s="199"/>
      <c r="AI892" s="150">
        <v>2184.52</v>
      </c>
      <c r="AJ892" s="169">
        <f t="shared" si="914"/>
        <v>-2184.52</v>
      </c>
      <c r="AK892" s="201"/>
      <c r="AL892" s="199"/>
      <c r="AM892" s="150">
        <f t="shared" ref="AM892:AM939" si="947">AK892+AL892</f>
        <v>0</v>
      </c>
      <c r="AN892" s="153">
        <f t="shared" si="915"/>
        <v>0</v>
      </c>
      <c r="AO892" s="154">
        <f t="shared" si="916"/>
        <v>0</v>
      </c>
      <c r="AP892" s="150">
        <v>0</v>
      </c>
      <c r="AQ892" s="201">
        <v>0</v>
      </c>
      <c r="AR892" s="199"/>
      <c r="AS892" s="150">
        <f t="shared" ref="AS892:AS939" si="948">AQ892+AR892</f>
        <v>0</v>
      </c>
      <c r="AT892" s="155" t="s">
        <v>7177</v>
      </c>
      <c r="AU892" s="156">
        <f t="shared" si="910"/>
        <v>-2184.52</v>
      </c>
      <c r="AV892" s="156">
        <f t="shared" si="911"/>
        <v>0</v>
      </c>
      <c r="AW892" s="157" t="s">
        <v>4796</v>
      </c>
      <c r="AX892" s="150">
        <v>2184.52</v>
      </c>
      <c r="AY892" s="150">
        <v>138.80000000000001</v>
      </c>
      <c r="AZ892" s="237"/>
      <c r="BA892" s="150">
        <f t="shared" si="938"/>
        <v>138.80000000000001</v>
      </c>
      <c r="BB892" s="202">
        <v>5</v>
      </c>
      <c r="BC892" s="202" t="s">
        <v>647</v>
      </c>
      <c r="BD892" s="202" t="s">
        <v>632</v>
      </c>
      <c r="BE892" s="202" t="s">
        <v>1257</v>
      </c>
      <c r="BF892" s="202" t="s">
        <v>632</v>
      </c>
      <c r="BG892" s="203" t="s">
        <v>7178</v>
      </c>
      <c r="BH892" s="216">
        <f>SUM(AS892:AS897)</f>
        <v>0</v>
      </c>
      <c r="BI892" s="206" t="s">
        <v>1519</v>
      </c>
      <c r="BJ892" s="206" t="s">
        <v>7179</v>
      </c>
      <c r="BK892" s="206" t="s">
        <v>397</v>
      </c>
      <c r="BL892" s="207" t="s">
        <v>7180</v>
      </c>
      <c r="BM892" s="208">
        <f>BH892</f>
        <v>0</v>
      </c>
      <c r="BN892" s="160"/>
      <c r="BO892" s="161">
        <f t="shared" si="918"/>
        <v>0</v>
      </c>
      <c r="BP892" s="161"/>
    </row>
    <row r="893" spans="1:68" ht="25.5">
      <c r="A893" s="308"/>
      <c r="B893" s="228" t="s">
        <v>7181</v>
      </c>
      <c r="C893" s="229" t="s">
        <v>7182</v>
      </c>
      <c r="D893" s="146" t="s">
        <v>4692</v>
      </c>
      <c r="E893" s="196" t="s">
        <v>7182</v>
      </c>
      <c r="F893" s="150">
        <v>0</v>
      </c>
      <c r="G893" s="209">
        <v>0</v>
      </c>
      <c r="H893" s="209"/>
      <c r="I893" s="209">
        <v>0</v>
      </c>
      <c r="J893" s="150">
        <v>0</v>
      </c>
      <c r="K893" s="150">
        <v>0</v>
      </c>
      <c r="L893" s="150">
        <f t="shared" si="917"/>
        <v>0</v>
      </c>
      <c r="M893" s="150">
        <v>0</v>
      </c>
      <c r="N893" s="150"/>
      <c r="O893" s="150">
        <v>0</v>
      </c>
      <c r="P893" s="150">
        <v>0</v>
      </c>
      <c r="Q893" s="150">
        <v>0</v>
      </c>
      <c r="R893" s="150">
        <f t="shared" si="944"/>
        <v>0</v>
      </c>
      <c r="S893" s="150">
        <f t="shared" si="912"/>
        <v>0</v>
      </c>
      <c r="T893" s="150"/>
      <c r="U893" s="150">
        <v>0</v>
      </c>
      <c r="V893" s="199"/>
      <c r="W893" s="150">
        <f t="shared" si="945"/>
        <v>0</v>
      </c>
      <c r="X893" s="150">
        <v>0</v>
      </c>
      <c r="Y893" s="150"/>
      <c r="Z893" s="150">
        <v>0</v>
      </c>
      <c r="AA893" s="150">
        <f t="shared" si="913"/>
        <v>0</v>
      </c>
      <c r="AB893" s="150">
        <v>0</v>
      </c>
      <c r="AC893" s="199"/>
      <c r="AD893" s="150">
        <f t="shared" si="946"/>
        <v>0</v>
      </c>
      <c r="AE893" s="150">
        <v>0</v>
      </c>
      <c r="AF893" s="169" t="s">
        <v>4680</v>
      </c>
      <c r="AG893" s="201">
        <v>0</v>
      </c>
      <c r="AH893" s="199"/>
      <c r="AI893" s="150">
        <v>0</v>
      </c>
      <c r="AJ893" s="169">
        <f t="shared" si="914"/>
        <v>0</v>
      </c>
      <c r="AK893" s="201">
        <v>0</v>
      </c>
      <c r="AL893" s="199"/>
      <c r="AM893" s="150">
        <f t="shared" si="947"/>
        <v>0</v>
      </c>
      <c r="AN893" s="153">
        <f t="shared" si="915"/>
        <v>0</v>
      </c>
      <c r="AO893" s="154">
        <f t="shared" si="916"/>
        <v>0</v>
      </c>
      <c r="AP893" s="150">
        <v>0</v>
      </c>
      <c r="AQ893" s="201">
        <v>0</v>
      </c>
      <c r="AR893" s="199"/>
      <c r="AS893" s="150">
        <f t="shared" si="948"/>
        <v>0</v>
      </c>
      <c r="AT893" s="155" t="s">
        <v>4796</v>
      </c>
      <c r="AU893" s="156">
        <f t="shared" si="910"/>
        <v>0</v>
      </c>
      <c r="AV893" s="156">
        <f t="shared" si="911"/>
        <v>0</v>
      </c>
      <c r="AW893" s="157" t="s">
        <v>4796</v>
      </c>
      <c r="AX893" s="150">
        <v>0</v>
      </c>
      <c r="AY893" s="150">
        <v>0</v>
      </c>
      <c r="AZ893" s="150"/>
      <c r="BA893" s="150">
        <f t="shared" si="938"/>
        <v>0</v>
      </c>
      <c r="BB893" s="210"/>
      <c r="BC893" s="210"/>
      <c r="BD893" s="210"/>
      <c r="BE893" s="210"/>
      <c r="BF893" s="210"/>
      <c r="BG893" s="210"/>
      <c r="BH893" s="217"/>
      <c r="BI893" s="210"/>
      <c r="BJ893" s="210"/>
      <c r="BK893" s="210"/>
      <c r="BL893" s="210"/>
      <c r="BM893" s="208"/>
      <c r="BN893" s="160"/>
      <c r="BO893" s="161">
        <f t="shared" si="918"/>
        <v>0</v>
      </c>
      <c r="BP893" s="161"/>
    </row>
    <row r="894" spans="1:68" ht="25.5">
      <c r="A894" s="308"/>
      <c r="B894" s="228" t="s">
        <v>7183</v>
      </c>
      <c r="C894" s="229" t="s">
        <v>7184</v>
      </c>
      <c r="D894" s="146" t="s">
        <v>4692</v>
      </c>
      <c r="E894" s="196" t="s">
        <v>7184</v>
      </c>
      <c r="F894" s="150">
        <v>0</v>
      </c>
      <c r="G894" s="209">
        <v>0</v>
      </c>
      <c r="H894" s="209"/>
      <c r="I894" s="209">
        <v>0</v>
      </c>
      <c r="J894" s="150">
        <v>0</v>
      </c>
      <c r="K894" s="150">
        <v>0</v>
      </c>
      <c r="L894" s="150">
        <f t="shared" si="917"/>
        <v>0</v>
      </c>
      <c r="M894" s="150">
        <v>0</v>
      </c>
      <c r="N894" s="150"/>
      <c r="O894" s="150">
        <v>0</v>
      </c>
      <c r="P894" s="150">
        <v>0</v>
      </c>
      <c r="Q894" s="150">
        <v>0</v>
      </c>
      <c r="R894" s="150">
        <f t="shared" si="944"/>
        <v>0</v>
      </c>
      <c r="S894" s="150">
        <f t="shared" si="912"/>
        <v>0</v>
      </c>
      <c r="T894" s="150"/>
      <c r="U894" s="150">
        <v>0</v>
      </c>
      <c r="V894" s="199"/>
      <c r="W894" s="150">
        <f t="shared" si="945"/>
        <v>0</v>
      </c>
      <c r="X894" s="150">
        <v>0</v>
      </c>
      <c r="Y894" s="150"/>
      <c r="Z894" s="150">
        <v>0</v>
      </c>
      <c r="AA894" s="150">
        <f t="shared" si="913"/>
        <v>0</v>
      </c>
      <c r="AB894" s="150">
        <v>0</v>
      </c>
      <c r="AC894" s="199"/>
      <c r="AD894" s="150">
        <f t="shared" si="946"/>
        <v>0</v>
      </c>
      <c r="AE894" s="150">
        <v>0</v>
      </c>
      <c r="AF894" s="169" t="s">
        <v>4680</v>
      </c>
      <c r="AG894" s="201">
        <v>0</v>
      </c>
      <c r="AH894" s="199"/>
      <c r="AI894" s="150">
        <v>0</v>
      </c>
      <c r="AJ894" s="169">
        <f t="shared" si="914"/>
        <v>0</v>
      </c>
      <c r="AK894" s="201">
        <v>0</v>
      </c>
      <c r="AL894" s="199"/>
      <c r="AM894" s="150">
        <f t="shared" si="947"/>
        <v>0</v>
      </c>
      <c r="AN894" s="153">
        <f t="shared" si="915"/>
        <v>0</v>
      </c>
      <c r="AO894" s="154">
        <f t="shared" si="916"/>
        <v>0</v>
      </c>
      <c r="AP894" s="150">
        <v>0</v>
      </c>
      <c r="AQ894" s="201">
        <v>0</v>
      </c>
      <c r="AR894" s="199"/>
      <c r="AS894" s="150">
        <f t="shared" si="948"/>
        <v>0</v>
      </c>
      <c r="AT894" s="155" t="s">
        <v>4796</v>
      </c>
      <c r="AU894" s="156">
        <f t="shared" si="910"/>
        <v>0</v>
      </c>
      <c r="AV894" s="156">
        <f t="shared" si="911"/>
        <v>0</v>
      </c>
      <c r="AW894" s="157" t="s">
        <v>4796</v>
      </c>
      <c r="AX894" s="150">
        <v>0</v>
      </c>
      <c r="AY894" s="150">
        <v>0</v>
      </c>
      <c r="AZ894" s="150"/>
      <c r="BA894" s="150">
        <f t="shared" si="938"/>
        <v>0</v>
      </c>
      <c r="BB894" s="210"/>
      <c r="BC894" s="210"/>
      <c r="BD894" s="210"/>
      <c r="BE894" s="210"/>
      <c r="BF894" s="210"/>
      <c r="BG894" s="210"/>
      <c r="BH894" s="217"/>
      <c r="BI894" s="210"/>
      <c r="BJ894" s="210"/>
      <c r="BK894" s="210"/>
      <c r="BL894" s="210"/>
      <c r="BM894" s="208"/>
      <c r="BN894" s="160"/>
      <c r="BO894" s="161">
        <f t="shared" si="918"/>
        <v>0</v>
      </c>
      <c r="BP894" s="161"/>
    </row>
    <row r="895" spans="1:68" ht="25.5">
      <c r="A895" s="308"/>
      <c r="B895" s="228" t="s">
        <v>7185</v>
      </c>
      <c r="C895" s="229" t="s">
        <v>7186</v>
      </c>
      <c r="D895" s="146" t="s">
        <v>4692</v>
      </c>
      <c r="E895" s="196" t="s">
        <v>7186</v>
      </c>
      <c r="F895" s="150">
        <v>0</v>
      </c>
      <c r="G895" s="209">
        <v>0</v>
      </c>
      <c r="H895" s="209"/>
      <c r="I895" s="209">
        <v>0</v>
      </c>
      <c r="J895" s="150">
        <v>0</v>
      </c>
      <c r="K895" s="150">
        <v>0</v>
      </c>
      <c r="L895" s="150">
        <f t="shared" si="917"/>
        <v>0</v>
      </c>
      <c r="M895" s="150">
        <v>0</v>
      </c>
      <c r="N895" s="150"/>
      <c r="O895" s="150">
        <v>0</v>
      </c>
      <c r="P895" s="150">
        <v>0</v>
      </c>
      <c r="Q895" s="150">
        <v>0</v>
      </c>
      <c r="R895" s="150">
        <f t="shared" si="944"/>
        <v>0</v>
      </c>
      <c r="S895" s="150">
        <f t="shared" si="912"/>
        <v>0</v>
      </c>
      <c r="T895" s="150"/>
      <c r="U895" s="150">
        <v>0</v>
      </c>
      <c r="V895" s="199"/>
      <c r="W895" s="150">
        <f t="shared" si="945"/>
        <v>0</v>
      </c>
      <c r="X895" s="150">
        <v>0</v>
      </c>
      <c r="Y895" s="150"/>
      <c r="Z895" s="150">
        <v>0</v>
      </c>
      <c r="AA895" s="150">
        <f t="shared" si="913"/>
        <v>0</v>
      </c>
      <c r="AB895" s="150">
        <v>0</v>
      </c>
      <c r="AC895" s="199"/>
      <c r="AD895" s="150">
        <f t="shared" si="946"/>
        <v>0</v>
      </c>
      <c r="AE895" s="150">
        <v>0</v>
      </c>
      <c r="AF895" s="169" t="s">
        <v>4680</v>
      </c>
      <c r="AG895" s="201">
        <v>0</v>
      </c>
      <c r="AH895" s="199"/>
      <c r="AI895" s="150">
        <v>0</v>
      </c>
      <c r="AJ895" s="169">
        <f t="shared" si="914"/>
        <v>0</v>
      </c>
      <c r="AK895" s="201">
        <v>0</v>
      </c>
      <c r="AL895" s="199"/>
      <c r="AM895" s="150">
        <f t="shared" si="947"/>
        <v>0</v>
      </c>
      <c r="AN895" s="153">
        <f t="shared" si="915"/>
        <v>0</v>
      </c>
      <c r="AO895" s="154">
        <f t="shared" si="916"/>
        <v>0</v>
      </c>
      <c r="AP895" s="150">
        <v>0</v>
      </c>
      <c r="AQ895" s="201">
        <v>0</v>
      </c>
      <c r="AR895" s="199"/>
      <c r="AS895" s="150">
        <f t="shared" si="948"/>
        <v>0</v>
      </c>
      <c r="AT895" s="155" t="s">
        <v>4796</v>
      </c>
      <c r="AU895" s="156">
        <f t="shared" si="910"/>
        <v>0</v>
      </c>
      <c r="AV895" s="156">
        <f t="shared" si="911"/>
        <v>0</v>
      </c>
      <c r="AW895" s="157" t="s">
        <v>4796</v>
      </c>
      <c r="AX895" s="150">
        <v>0</v>
      </c>
      <c r="AY895" s="150">
        <v>0</v>
      </c>
      <c r="AZ895" s="150"/>
      <c r="BA895" s="150">
        <f t="shared" si="938"/>
        <v>0</v>
      </c>
      <c r="BB895" s="210"/>
      <c r="BC895" s="210"/>
      <c r="BD895" s="210"/>
      <c r="BE895" s="210"/>
      <c r="BF895" s="210"/>
      <c r="BG895" s="210"/>
      <c r="BH895" s="217"/>
      <c r="BI895" s="210"/>
      <c r="BJ895" s="210"/>
      <c r="BK895" s="210"/>
      <c r="BL895" s="210"/>
      <c r="BM895" s="208"/>
      <c r="BN895" s="160"/>
      <c r="BO895" s="161">
        <f t="shared" si="918"/>
        <v>0</v>
      </c>
      <c r="BP895" s="161"/>
    </row>
    <row r="896" spans="1:68" ht="25.5">
      <c r="A896" s="308"/>
      <c r="B896" s="228" t="s">
        <v>7187</v>
      </c>
      <c r="C896" s="229" t="s">
        <v>7188</v>
      </c>
      <c r="D896" s="146" t="s">
        <v>4692</v>
      </c>
      <c r="E896" s="196" t="s">
        <v>7188</v>
      </c>
      <c r="F896" s="150">
        <v>0</v>
      </c>
      <c r="G896" s="209">
        <v>0</v>
      </c>
      <c r="H896" s="209"/>
      <c r="I896" s="209">
        <v>0</v>
      </c>
      <c r="J896" s="150">
        <v>0</v>
      </c>
      <c r="K896" s="150">
        <v>0</v>
      </c>
      <c r="L896" s="150">
        <f t="shared" si="917"/>
        <v>0</v>
      </c>
      <c r="M896" s="150">
        <v>0</v>
      </c>
      <c r="N896" s="150"/>
      <c r="O896" s="150">
        <v>0</v>
      </c>
      <c r="P896" s="150">
        <v>0</v>
      </c>
      <c r="Q896" s="150">
        <v>0</v>
      </c>
      <c r="R896" s="150">
        <f t="shared" si="944"/>
        <v>0</v>
      </c>
      <c r="S896" s="150">
        <f t="shared" si="912"/>
        <v>0</v>
      </c>
      <c r="T896" s="150"/>
      <c r="U896" s="150">
        <v>0</v>
      </c>
      <c r="V896" s="199"/>
      <c r="W896" s="150">
        <f t="shared" si="945"/>
        <v>0</v>
      </c>
      <c r="X896" s="150">
        <v>0</v>
      </c>
      <c r="Y896" s="150"/>
      <c r="Z896" s="150">
        <v>0</v>
      </c>
      <c r="AA896" s="150">
        <f t="shared" si="913"/>
        <v>0</v>
      </c>
      <c r="AB896" s="150">
        <v>0</v>
      </c>
      <c r="AC896" s="199"/>
      <c r="AD896" s="150">
        <f t="shared" si="946"/>
        <v>0</v>
      </c>
      <c r="AE896" s="150">
        <v>0</v>
      </c>
      <c r="AF896" s="169" t="s">
        <v>4680</v>
      </c>
      <c r="AG896" s="201">
        <v>0</v>
      </c>
      <c r="AH896" s="199"/>
      <c r="AI896" s="150">
        <v>0</v>
      </c>
      <c r="AJ896" s="169">
        <f t="shared" si="914"/>
        <v>0</v>
      </c>
      <c r="AK896" s="201">
        <v>0</v>
      </c>
      <c r="AL896" s="199"/>
      <c r="AM896" s="150">
        <f t="shared" si="947"/>
        <v>0</v>
      </c>
      <c r="AN896" s="153">
        <f t="shared" si="915"/>
        <v>0</v>
      </c>
      <c r="AO896" s="154">
        <f t="shared" si="916"/>
        <v>0</v>
      </c>
      <c r="AP896" s="150">
        <v>0</v>
      </c>
      <c r="AQ896" s="201">
        <v>0</v>
      </c>
      <c r="AR896" s="199"/>
      <c r="AS896" s="150">
        <f t="shared" si="948"/>
        <v>0</v>
      </c>
      <c r="AT896" s="155" t="s">
        <v>4796</v>
      </c>
      <c r="AU896" s="156">
        <f t="shared" si="910"/>
        <v>0</v>
      </c>
      <c r="AV896" s="156">
        <f t="shared" si="911"/>
        <v>0</v>
      </c>
      <c r="AW896" s="157" t="s">
        <v>4796</v>
      </c>
      <c r="AX896" s="150">
        <v>0</v>
      </c>
      <c r="AY896" s="150">
        <v>0</v>
      </c>
      <c r="AZ896" s="150"/>
      <c r="BA896" s="150">
        <f t="shared" si="938"/>
        <v>0</v>
      </c>
      <c r="BB896" s="210"/>
      <c r="BC896" s="210"/>
      <c r="BD896" s="210"/>
      <c r="BE896" s="210"/>
      <c r="BF896" s="210"/>
      <c r="BG896" s="210"/>
      <c r="BH896" s="217"/>
      <c r="BI896" s="210"/>
      <c r="BJ896" s="210"/>
      <c r="BK896" s="210"/>
      <c r="BL896" s="210"/>
      <c r="BM896" s="208"/>
      <c r="BN896" s="160"/>
      <c r="BO896" s="161">
        <f t="shared" si="918"/>
        <v>0</v>
      </c>
      <c r="BP896" s="161"/>
    </row>
    <row r="897" spans="1:68" ht="38.25">
      <c r="A897" s="308"/>
      <c r="B897" s="228" t="s">
        <v>7189</v>
      </c>
      <c r="C897" s="229" t="s">
        <v>7190</v>
      </c>
      <c r="D897" s="146" t="s">
        <v>4692</v>
      </c>
      <c r="E897" s="196" t="s">
        <v>7191</v>
      </c>
      <c r="F897" s="150">
        <v>0</v>
      </c>
      <c r="G897" s="209">
        <v>0</v>
      </c>
      <c r="H897" s="209"/>
      <c r="I897" s="209">
        <v>0</v>
      </c>
      <c r="J897" s="150">
        <v>0</v>
      </c>
      <c r="K897" s="150">
        <v>0</v>
      </c>
      <c r="L897" s="150">
        <f t="shared" si="917"/>
        <v>0</v>
      </c>
      <c r="M897" s="150">
        <v>0</v>
      </c>
      <c r="N897" s="150"/>
      <c r="O897" s="150">
        <v>0</v>
      </c>
      <c r="P897" s="150">
        <v>14583.31</v>
      </c>
      <c r="Q897" s="150">
        <v>0</v>
      </c>
      <c r="R897" s="150">
        <f t="shared" si="944"/>
        <v>14583.31</v>
      </c>
      <c r="S897" s="150">
        <f t="shared" si="912"/>
        <v>19444.413333333334</v>
      </c>
      <c r="T897" s="150"/>
      <c r="U897" s="150">
        <v>12453.31</v>
      </c>
      <c r="V897" s="199"/>
      <c r="W897" s="150">
        <f t="shared" si="945"/>
        <v>12453.31</v>
      </c>
      <c r="X897" s="150">
        <v>12453.31</v>
      </c>
      <c r="Y897" s="150"/>
      <c r="Z897" s="150">
        <v>12453.31</v>
      </c>
      <c r="AA897" s="150">
        <f t="shared" si="913"/>
        <v>0</v>
      </c>
      <c r="AB897" s="150">
        <v>12453.31</v>
      </c>
      <c r="AC897" s="199"/>
      <c r="AD897" s="150">
        <f t="shared" si="946"/>
        <v>12453.31</v>
      </c>
      <c r="AE897" s="150">
        <v>12453.31</v>
      </c>
      <c r="AF897" s="169" t="s">
        <v>4680</v>
      </c>
      <c r="AG897" s="201">
        <v>12453.31</v>
      </c>
      <c r="AH897" s="199"/>
      <c r="AI897" s="150">
        <v>12453.31</v>
      </c>
      <c r="AJ897" s="169">
        <f t="shared" si="914"/>
        <v>-12453.31</v>
      </c>
      <c r="AK897" s="201"/>
      <c r="AL897" s="199"/>
      <c r="AM897" s="150">
        <f t="shared" si="947"/>
        <v>0</v>
      </c>
      <c r="AN897" s="153">
        <f t="shared" si="915"/>
        <v>0</v>
      </c>
      <c r="AO897" s="154">
        <f t="shared" si="916"/>
        <v>0</v>
      </c>
      <c r="AP897" s="150">
        <v>0</v>
      </c>
      <c r="AQ897" s="201">
        <v>0</v>
      </c>
      <c r="AR897" s="199"/>
      <c r="AS897" s="150">
        <f t="shared" si="948"/>
        <v>0</v>
      </c>
      <c r="AT897" s="155" t="s">
        <v>7177</v>
      </c>
      <c r="AU897" s="156">
        <f t="shared" si="910"/>
        <v>-12453.31</v>
      </c>
      <c r="AV897" s="156">
        <f t="shared" si="911"/>
        <v>0</v>
      </c>
      <c r="AW897" s="157" t="s">
        <v>4796</v>
      </c>
      <c r="AX897" s="150">
        <v>12453.31</v>
      </c>
      <c r="AY897" s="150">
        <v>0</v>
      </c>
      <c r="AZ897" s="150"/>
      <c r="BA897" s="150">
        <f t="shared" si="938"/>
        <v>0</v>
      </c>
      <c r="BB897" s="210"/>
      <c r="BC897" s="210"/>
      <c r="BD897" s="210"/>
      <c r="BE897" s="210"/>
      <c r="BF897" s="210"/>
      <c r="BG897" s="210"/>
      <c r="BH897" s="217"/>
      <c r="BI897" s="210"/>
      <c r="BJ897" s="210"/>
      <c r="BK897" s="210"/>
      <c r="BL897" s="210"/>
      <c r="BM897" s="208"/>
      <c r="BN897" s="160"/>
      <c r="BO897" s="161">
        <f t="shared" si="918"/>
        <v>0</v>
      </c>
      <c r="BP897" s="161"/>
    </row>
    <row r="898" spans="1:68" ht="38.25">
      <c r="A898" s="206" t="s">
        <v>398</v>
      </c>
      <c r="B898" s="195" t="s">
        <v>7192</v>
      </c>
      <c r="C898" s="196" t="s">
        <v>7193</v>
      </c>
      <c r="D898" s="146" t="s">
        <v>4692</v>
      </c>
      <c r="E898" s="196" t="s">
        <v>7193</v>
      </c>
      <c r="F898" s="150">
        <v>0</v>
      </c>
      <c r="G898" s="209">
        <v>0</v>
      </c>
      <c r="H898" s="209"/>
      <c r="I898" s="209">
        <v>0</v>
      </c>
      <c r="J898" s="150">
        <v>0</v>
      </c>
      <c r="K898" s="150">
        <v>0</v>
      </c>
      <c r="L898" s="150">
        <f t="shared" si="917"/>
        <v>0</v>
      </c>
      <c r="M898" s="150">
        <v>0</v>
      </c>
      <c r="N898" s="150"/>
      <c r="O898" s="150">
        <v>0</v>
      </c>
      <c r="P898" s="150">
        <v>0</v>
      </c>
      <c r="Q898" s="150">
        <v>0</v>
      </c>
      <c r="R898" s="150">
        <f t="shared" si="944"/>
        <v>0</v>
      </c>
      <c r="S898" s="150">
        <f t="shared" si="912"/>
        <v>0</v>
      </c>
      <c r="T898" s="150"/>
      <c r="U898" s="150">
        <v>0</v>
      </c>
      <c r="V898" s="199"/>
      <c r="W898" s="150">
        <f t="shared" si="945"/>
        <v>0</v>
      </c>
      <c r="X898" s="150">
        <v>0</v>
      </c>
      <c r="Y898" s="150"/>
      <c r="Z898" s="150">
        <v>0</v>
      </c>
      <c r="AA898" s="150">
        <f t="shared" si="913"/>
        <v>0</v>
      </c>
      <c r="AB898" s="150">
        <v>0</v>
      </c>
      <c r="AC898" s="199"/>
      <c r="AD898" s="150">
        <f t="shared" si="946"/>
        <v>0</v>
      </c>
      <c r="AE898" s="150">
        <v>0</v>
      </c>
      <c r="AF898" s="169" t="s">
        <v>4680</v>
      </c>
      <c r="AG898" s="201">
        <v>0</v>
      </c>
      <c r="AH898" s="199"/>
      <c r="AI898" s="150">
        <v>0</v>
      </c>
      <c r="AJ898" s="169">
        <f t="shared" si="914"/>
        <v>2184.52</v>
      </c>
      <c r="AK898" s="201">
        <v>2184.52</v>
      </c>
      <c r="AL898" s="199"/>
      <c r="AM898" s="150">
        <f t="shared" si="947"/>
        <v>2184.52</v>
      </c>
      <c r="AN898" s="153">
        <f t="shared" si="915"/>
        <v>0</v>
      </c>
      <c r="AO898" s="154">
        <f t="shared" si="916"/>
        <v>0</v>
      </c>
      <c r="AP898" s="150">
        <v>2184.52</v>
      </c>
      <c r="AQ898" s="201">
        <v>2184.52</v>
      </c>
      <c r="AR898" s="199"/>
      <c r="AS898" s="150">
        <f t="shared" si="948"/>
        <v>2184.52</v>
      </c>
      <c r="AT898" s="155"/>
      <c r="AU898" s="156">
        <f t="shared" ref="AU898:AU961" si="949">AM898-AD898</f>
        <v>2184.52</v>
      </c>
      <c r="AV898" s="156">
        <f t="shared" ref="AV898:AV961" si="950">AD898-AX898</f>
        <v>0</v>
      </c>
      <c r="AW898" s="157"/>
      <c r="AX898" s="150">
        <v>0</v>
      </c>
      <c r="AY898" s="150">
        <v>0</v>
      </c>
      <c r="AZ898" s="150"/>
      <c r="BA898" s="150">
        <f t="shared" si="938"/>
        <v>0</v>
      </c>
      <c r="BB898" s="202">
        <v>5</v>
      </c>
      <c r="BC898" s="202" t="s">
        <v>647</v>
      </c>
      <c r="BD898" s="202" t="s">
        <v>632</v>
      </c>
      <c r="BE898" s="202" t="s">
        <v>1257</v>
      </c>
      <c r="BF898" s="202" t="s">
        <v>647</v>
      </c>
      <c r="BG898" s="203" t="s">
        <v>7194</v>
      </c>
      <c r="BH898" s="216">
        <f t="shared" ref="BH898:BH906" si="951">AS898</f>
        <v>2184.52</v>
      </c>
      <c r="BI898" s="205"/>
      <c r="BJ898" s="206" t="s">
        <v>7195</v>
      </c>
      <c r="BK898" s="206" t="s">
        <v>398</v>
      </c>
      <c r="BL898" s="207" t="s">
        <v>7196</v>
      </c>
      <c r="BM898" s="208">
        <f t="shared" ref="BM898:BM907" si="952">BH898</f>
        <v>2184.52</v>
      </c>
      <c r="BN898" s="160"/>
      <c r="BO898" s="161">
        <f t="shared" si="918"/>
        <v>0</v>
      </c>
      <c r="BP898" s="161"/>
    </row>
    <row r="899" spans="1:68" ht="38.25">
      <c r="A899" s="206" t="s">
        <v>400</v>
      </c>
      <c r="B899" s="195" t="s">
        <v>7197</v>
      </c>
      <c r="C899" s="196" t="s">
        <v>7198</v>
      </c>
      <c r="D899" s="146" t="s">
        <v>4692</v>
      </c>
      <c r="E899" s="196" t="s">
        <v>7198</v>
      </c>
      <c r="F899" s="150">
        <v>0</v>
      </c>
      <c r="G899" s="209">
        <v>0</v>
      </c>
      <c r="H899" s="209"/>
      <c r="I899" s="209">
        <v>0</v>
      </c>
      <c r="J899" s="150">
        <v>0</v>
      </c>
      <c r="K899" s="150">
        <v>0</v>
      </c>
      <c r="L899" s="150">
        <f t="shared" si="917"/>
        <v>0</v>
      </c>
      <c r="M899" s="150">
        <v>0</v>
      </c>
      <c r="N899" s="150"/>
      <c r="O899" s="150">
        <v>0</v>
      </c>
      <c r="P899" s="150">
        <v>0</v>
      </c>
      <c r="Q899" s="150">
        <v>0</v>
      </c>
      <c r="R899" s="150">
        <f t="shared" si="944"/>
        <v>0</v>
      </c>
      <c r="S899" s="150">
        <f t="shared" ref="S899:S963" si="953">R899/9*12</f>
        <v>0</v>
      </c>
      <c r="T899" s="150"/>
      <c r="U899" s="150">
        <v>0</v>
      </c>
      <c r="V899" s="199"/>
      <c r="W899" s="150">
        <f t="shared" si="945"/>
        <v>0</v>
      </c>
      <c r="X899" s="150">
        <v>0</v>
      </c>
      <c r="Y899" s="150"/>
      <c r="Z899" s="150">
        <v>0</v>
      </c>
      <c r="AA899" s="150">
        <f t="shared" ref="AA899:AA962" si="954">AD899-Z899</f>
        <v>0</v>
      </c>
      <c r="AB899" s="150">
        <v>0</v>
      </c>
      <c r="AC899" s="199"/>
      <c r="AD899" s="150">
        <f t="shared" si="946"/>
        <v>0</v>
      </c>
      <c r="AE899" s="150">
        <v>0</v>
      </c>
      <c r="AF899" s="169" t="s">
        <v>4680</v>
      </c>
      <c r="AG899" s="201">
        <v>0</v>
      </c>
      <c r="AH899" s="199"/>
      <c r="AI899" s="150">
        <v>0</v>
      </c>
      <c r="AJ899" s="169">
        <f t="shared" ref="AJ899:AJ962" si="955">AM899-AI899</f>
        <v>0</v>
      </c>
      <c r="AK899" s="201">
        <v>0</v>
      </c>
      <c r="AL899" s="199"/>
      <c r="AM899" s="150">
        <f t="shared" si="947"/>
        <v>0</v>
      </c>
      <c r="AN899" s="153">
        <f t="shared" ref="AN899:AN962" si="956">AS899-AM899</f>
        <v>0</v>
      </c>
      <c r="AO899" s="154">
        <f t="shared" ref="AO899:AO962" si="957">AS899-AP899</f>
        <v>0</v>
      </c>
      <c r="AP899" s="150">
        <v>0</v>
      </c>
      <c r="AQ899" s="201">
        <v>0</v>
      </c>
      <c r="AR899" s="199"/>
      <c r="AS899" s="150">
        <f t="shared" si="948"/>
        <v>0</v>
      </c>
      <c r="AT899" s="155"/>
      <c r="AU899" s="156">
        <f t="shared" si="949"/>
        <v>0</v>
      </c>
      <c r="AV899" s="156">
        <f t="shared" si="950"/>
        <v>0</v>
      </c>
      <c r="AW899" s="157"/>
      <c r="AX899" s="150">
        <v>0</v>
      </c>
      <c r="AY899" s="150">
        <v>0</v>
      </c>
      <c r="AZ899" s="150"/>
      <c r="BA899" s="150">
        <f t="shared" si="938"/>
        <v>0</v>
      </c>
      <c r="BB899" s="202">
        <v>5</v>
      </c>
      <c r="BC899" s="202" t="s">
        <v>647</v>
      </c>
      <c r="BD899" s="202" t="s">
        <v>632</v>
      </c>
      <c r="BE899" s="202" t="s">
        <v>1257</v>
      </c>
      <c r="BF899" s="202" t="s">
        <v>671</v>
      </c>
      <c r="BG899" s="203" t="s">
        <v>401</v>
      </c>
      <c r="BH899" s="216">
        <f t="shared" si="951"/>
        <v>0</v>
      </c>
      <c r="BI899" s="205"/>
      <c r="BJ899" s="206" t="s">
        <v>7199</v>
      </c>
      <c r="BK899" s="206" t="s">
        <v>400</v>
      </c>
      <c r="BL899" s="207" t="s">
        <v>7200</v>
      </c>
      <c r="BM899" s="208">
        <f t="shared" si="952"/>
        <v>0</v>
      </c>
      <c r="BN899" s="160"/>
      <c r="BO899" s="161">
        <f t="shared" si="918"/>
        <v>0</v>
      </c>
      <c r="BP899" s="161"/>
    </row>
    <row r="900" spans="1:68" ht="38.25">
      <c r="A900" s="206" t="s">
        <v>402</v>
      </c>
      <c r="B900" s="195" t="s">
        <v>7201</v>
      </c>
      <c r="C900" s="196" t="s">
        <v>7202</v>
      </c>
      <c r="D900" s="146" t="s">
        <v>4692</v>
      </c>
      <c r="E900" s="196" t="s">
        <v>7202</v>
      </c>
      <c r="F900" s="150">
        <v>0</v>
      </c>
      <c r="G900" s="209">
        <v>0</v>
      </c>
      <c r="H900" s="209"/>
      <c r="I900" s="209">
        <v>0</v>
      </c>
      <c r="J900" s="150">
        <v>0</v>
      </c>
      <c r="K900" s="150">
        <v>0</v>
      </c>
      <c r="L900" s="150">
        <f t="shared" si="917"/>
        <v>0</v>
      </c>
      <c r="M900" s="150">
        <v>0</v>
      </c>
      <c r="N900" s="150"/>
      <c r="O900" s="150">
        <v>0</v>
      </c>
      <c r="P900" s="150">
        <v>0</v>
      </c>
      <c r="Q900" s="150">
        <v>0</v>
      </c>
      <c r="R900" s="150">
        <f t="shared" si="944"/>
        <v>0</v>
      </c>
      <c r="S900" s="150">
        <f t="shared" si="953"/>
        <v>0</v>
      </c>
      <c r="T900" s="150"/>
      <c r="U900" s="150">
        <v>0</v>
      </c>
      <c r="V900" s="199"/>
      <c r="W900" s="150">
        <f t="shared" si="945"/>
        <v>0</v>
      </c>
      <c r="X900" s="150">
        <v>0</v>
      </c>
      <c r="Y900" s="150"/>
      <c r="Z900" s="150">
        <v>0</v>
      </c>
      <c r="AA900" s="150">
        <f t="shared" si="954"/>
        <v>0</v>
      </c>
      <c r="AB900" s="150">
        <v>0</v>
      </c>
      <c r="AC900" s="199"/>
      <c r="AD900" s="150">
        <f t="shared" si="946"/>
        <v>0</v>
      </c>
      <c r="AE900" s="150">
        <v>0</v>
      </c>
      <c r="AF900" s="169" t="s">
        <v>4680</v>
      </c>
      <c r="AG900" s="201">
        <v>0</v>
      </c>
      <c r="AH900" s="199"/>
      <c r="AI900" s="150">
        <v>0</v>
      </c>
      <c r="AJ900" s="169">
        <f t="shared" si="955"/>
        <v>0</v>
      </c>
      <c r="AK900" s="201">
        <v>0</v>
      </c>
      <c r="AL900" s="199"/>
      <c r="AM900" s="150">
        <f t="shared" si="947"/>
        <v>0</v>
      </c>
      <c r="AN900" s="153">
        <f t="shared" si="956"/>
        <v>0</v>
      </c>
      <c r="AO900" s="154">
        <f t="shared" si="957"/>
        <v>0</v>
      </c>
      <c r="AP900" s="150">
        <v>0</v>
      </c>
      <c r="AQ900" s="201">
        <v>0</v>
      </c>
      <c r="AR900" s="199"/>
      <c r="AS900" s="150">
        <f t="shared" si="948"/>
        <v>0</v>
      </c>
      <c r="AT900" s="155"/>
      <c r="AU900" s="156">
        <f t="shared" si="949"/>
        <v>0</v>
      </c>
      <c r="AV900" s="156">
        <f t="shared" si="950"/>
        <v>0</v>
      </c>
      <c r="AW900" s="157"/>
      <c r="AX900" s="150">
        <v>0</v>
      </c>
      <c r="AY900" s="150">
        <v>0</v>
      </c>
      <c r="AZ900" s="150"/>
      <c r="BA900" s="150">
        <f t="shared" si="938"/>
        <v>0</v>
      </c>
      <c r="BB900" s="202">
        <v>5</v>
      </c>
      <c r="BC900" s="202" t="s">
        <v>647</v>
      </c>
      <c r="BD900" s="202" t="s">
        <v>632</v>
      </c>
      <c r="BE900" s="202" t="s">
        <v>1257</v>
      </c>
      <c r="BF900" s="202" t="s">
        <v>693</v>
      </c>
      <c r="BG900" s="231" t="s">
        <v>7203</v>
      </c>
      <c r="BH900" s="216">
        <f t="shared" si="951"/>
        <v>0</v>
      </c>
      <c r="BI900" s="205"/>
      <c r="BJ900" s="206" t="s">
        <v>7204</v>
      </c>
      <c r="BK900" s="206" t="s">
        <v>402</v>
      </c>
      <c r="BL900" s="207" t="s">
        <v>7205</v>
      </c>
      <c r="BM900" s="208">
        <f t="shared" si="952"/>
        <v>0</v>
      </c>
      <c r="BN900" s="160"/>
      <c r="BO900" s="161">
        <f t="shared" si="918"/>
        <v>0</v>
      </c>
      <c r="BP900" s="161"/>
    </row>
    <row r="901" spans="1:68" ht="51">
      <c r="A901" s="206" t="s">
        <v>402</v>
      </c>
      <c r="B901" s="195" t="s">
        <v>7206</v>
      </c>
      <c r="C901" s="196" t="s">
        <v>7207</v>
      </c>
      <c r="D901" s="146" t="s">
        <v>4692</v>
      </c>
      <c r="E901" s="196" t="s">
        <v>7207</v>
      </c>
      <c r="F901" s="150">
        <v>0</v>
      </c>
      <c r="G901" s="209">
        <v>134863.22</v>
      </c>
      <c r="H901" s="209"/>
      <c r="I901" s="209">
        <v>134863.22</v>
      </c>
      <c r="J901" s="150">
        <v>0</v>
      </c>
      <c r="K901" s="150">
        <v>0</v>
      </c>
      <c r="L901" s="150">
        <f t="shared" si="917"/>
        <v>0</v>
      </c>
      <c r="M901" s="150">
        <v>0</v>
      </c>
      <c r="N901" s="150"/>
      <c r="O901" s="150">
        <v>0</v>
      </c>
      <c r="P901" s="150">
        <v>0</v>
      </c>
      <c r="Q901" s="150">
        <v>0</v>
      </c>
      <c r="R901" s="150">
        <f t="shared" si="944"/>
        <v>0</v>
      </c>
      <c r="S901" s="150">
        <f t="shared" si="953"/>
        <v>0</v>
      </c>
      <c r="T901" s="150"/>
      <c r="U901" s="150">
        <v>0</v>
      </c>
      <c r="V901" s="199"/>
      <c r="W901" s="150">
        <f t="shared" si="945"/>
        <v>0</v>
      </c>
      <c r="X901" s="150">
        <v>0</v>
      </c>
      <c r="Y901" s="150"/>
      <c r="Z901" s="150">
        <v>0</v>
      </c>
      <c r="AA901" s="150">
        <f t="shared" si="954"/>
        <v>0</v>
      </c>
      <c r="AB901" s="150">
        <v>0</v>
      </c>
      <c r="AC901" s="199"/>
      <c r="AD901" s="150">
        <f t="shared" si="946"/>
        <v>0</v>
      </c>
      <c r="AE901" s="150">
        <v>0</v>
      </c>
      <c r="AF901" s="169" t="s">
        <v>4680</v>
      </c>
      <c r="AG901" s="201">
        <v>0</v>
      </c>
      <c r="AH901" s="199"/>
      <c r="AI901" s="150">
        <v>0</v>
      </c>
      <c r="AJ901" s="169">
        <f t="shared" si="955"/>
        <v>0</v>
      </c>
      <c r="AK901" s="201">
        <v>0</v>
      </c>
      <c r="AL901" s="199"/>
      <c r="AM901" s="150">
        <f t="shared" si="947"/>
        <v>0</v>
      </c>
      <c r="AN901" s="153">
        <f t="shared" si="956"/>
        <v>0</v>
      </c>
      <c r="AO901" s="154">
        <f t="shared" si="957"/>
        <v>0</v>
      </c>
      <c r="AP901" s="150">
        <v>0</v>
      </c>
      <c r="AQ901" s="201">
        <v>0</v>
      </c>
      <c r="AR901" s="199"/>
      <c r="AS901" s="150">
        <f t="shared" si="948"/>
        <v>0</v>
      </c>
      <c r="AT901" s="155"/>
      <c r="AU901" s="156">
        <f t="shared" si="949"/>
        <v>0</v>
      </c>
      <c r="AV901" s="156">
        <f t="shared" si="950"/>
        <v>0</v>
      </c>
      <c r="AW901" s="157"/>
      <c r="AX901" s="150">
        <v>0</v>
      </c>
      <c r="AY901" s="150">
        <v>0</v>
      </c>
      <c r="AZ901" s="150"/>
      <c r="BA901" s="150">
        <f t="shared" si="938"/>
        <v>0</v>
      </c>
      <c r="BB901" s="202">
        <v>5</v>
      </c>
      <c r="BC901" s="202" t="s">
        <v>647</v>
      </c>
      <c r="BD901" s="202" t="s">
        <v>632</v>
      </c>
      <c r="BE901" s="202" t="s">
        <v>1257</v>
      </c>
      <c r="BF901" s="202" t="s">
        <v>714</v>
      </c>
      <c r="BG901" s="231" t="s">
        <v>7208</v>
      </c>
      <c r="BH901" s="216">
        <f t="shared" si="951"/>
        <v>0</v>
      </c>
      <c r="BI901" s="205"/>
      <c r="BJ901" s="206" t="s">
        <v>7204</v>
      </c>
      <c r="BK901" s="206" t="s">
        <v>402</v>
      </c>
      <c r="BL901" s="207" t="s">
        <v>7205</v>
      </c>
      <c r="BM901" s="208">
        <f t="shared" si="952"/>
        <v>0</v>
      </c>
      <c r="BN901" s="160"/>
      <c r="BO901" s="161">
        <f t="shared" si="918"/>
        <v>0</v>
      </c>
      <c r="BP901" s="161"/>
    </row>
    <row r="902" spans="1:68" ht="38.25">
      <c r="A902" s="206" t="s">
        <v>402</v>
      </c>
      <c r="B902" s="195" t="s">
        <v>7209</v>
      </c>
      <c r="C902" s="196" t="s">
        <v>7210</v>
      </c>
      <c r="D902" s="146" t="s">
        <v>4692</v>
      </c>
      <c r="E902" s="196" t="s">
        <v>7210</v>
      </c>
      <c r="F902" s="150">
        <v>150754.53</v>
      </c>
      <c r="G902" s="209">
        <v>1014351.97</v>
      </c>
      <c r="H902" s="209">
        <v>244781.26</v>
      </c>
      <c r="I902" s="209">
        <v>1259133.23</v>
      </c>
      <c r="J902" s="150">
        <v>11833.33</v>
      </c>
      <c r="K902" s="150">
        <v>0</v>
      </c>
      <c r="L902" s="150">
        <f t="shared" si="917"/>
        <v>11833.33</v>
      </c>
      <c r="M902" s="150">
        <v>15833.33</v>
      </c>
      <c r="N902" s="150"/>
      <c r="O902" s="150">
        <v>15833.33</v>
      </c>
      <c r="P902" s="150">
        <v>32333.33</v>
      </c>
      <c r="Q902" s="150">
        <v>0</v>
      </c>
      <c r="R902" s="150">
        <f t="shared" si="944"/>
        <v>32333.33</v>
      </c>
      <c r="S902" s="150">
        <f t="shared" si="953"/>
        <v>43111.106666666674</v>
      </c>
      <c r="T902" s="150"/>
      <c r="U902" s="309">
        <v>880629.64999999991</v>
      </c>
      <c r="V902" s="199"/>
      <c r="W902" s="150">
        <f t="shared" si="945"/>
        <v>880629.64999999991</v>
      </c>
      <c r="X902" s="150">
        <v>880629.65</v>
      </c>
      <c r="Y902" s="150"/>
      <c r="Z902" s="150">
        <v>880629.64999999991</v>
      </c>
      <c r="AA902" s="150">
        <f t="shared" si="954"/>
        <v>0</v>
      </c>
      <c r="AB902" s="150">
        <v>880629.65</v>
      </c>
      <c r="AC902" s="199"/>
      <c r="AD902" s="150">
        <f t="shared" si="946"/>
        <v>880629.65</v>
      </c>
      <c r="AE902" s="150">
        <v>880629.65</v>
      </c>
      <c r="AF902" s="169" t="s">
        <v>4680</v>
      </c>
      <c r="AG902" s="310">
        <v>880629.65</v>
      </c>
      <c r="AH902" s="199"/>
      <c r="AI902" s="150">
        <v>880629.65</v>
      </c>
      <c r="AJ902" s="169">
        <f t="shared" si="955"/>
        <v>12453.310000000056</v>
      </c>
      <c r="AK902" s="310">
        <v>893082.96000000008</v>
      </c>
      <c r="AL902" s="199"/>
      <c r="AM902" s="150">
        <f t="shared" si="947"/>
        <v>893082.96000000008</v>
      </c>
      <c r="AN902" s="153">
        <f t="shared" si="956"/>
        <v>-12453.310000000056</v>
      </c>
      <c r="AO902" s="154">
        <f t="shared" si="957"/>
        <v>-12453.310000000056</v>
      </c>
      <c r="AP902" s="150">
        <v>893082.96000000008</v>
      </c>
      <c r="AQ902" s="201">
        <v>880629.65</v>
      </c>
      <c r="AR902" s="199"/>
      <c r="AS902" s="150">
        <f t="shared" si="948"/>
        <v>880629.65</v>
      </c>
      <c r="AT902" s="155" t="s">
        <v>7211</v>
      </c>
      <c r="AU902" s="156">
        <f t="shared" si="949"/>
        <v>12453.310000000056</v>
      </c>
      <c r="AV902" s="156">
        <f t="shared" si="950"/>
        <v>0</v>
      </c>
      <c r="AW902" s="157" t="s">
        <v>7212</v>
      </c>
      <c r="AX902" s="150">
        <v>880629.64999999991</v>
      </c>
      <c r="AY902" s="150">
        <v>28166.67</v>
      </c>
      <c r="AZ902" s="237"/>
      <c r="BA902" s="150">
        <f t="shared" si="938"/>
        <v>28166.67</v>
      </c>
      <c r="BB902" s="202">
        <v>5</v>
      </c>
      <c r="BC902" s="202" t="s">
        <v>647</v>
      </c>
      <c r="BD902" s="202" t="s">
        <v>632</v>
      </c>
      <c r="BE902" s="202" t="s">
        <v>1257</v>
      </c>
      <c r="BF902" s="202" t="s">
        <v>739</v>
      </c>
      <c r="BG902" s="203" t="s">
        <v>403</v>
      </c>
      <c r="BH902" s="216">
        <f t="shared" si="951"/>
        <v>880629.65</v>
      </c>
      <c r="BI902" s="205"/>
      <c r="BJ902" s="206" t="s">
        <v>7204</v>
      </c>
      <c r="BK902" s="206" t="s">
        <v>402</v>
      </c>
      <c r="BL902" s="207" t="s">
        <v>7205</v>
      </c>
      <c r="BM902" s="208">
        <f t="shared" si="952"/>
        <v>880629.65</v>
      </c>
      <c r="BN902" s="160"/>
      <c r="BO902" s="161">
        <f t="shared" si="918"/>
        <v>0</v>
      </c>
      <c r="BP902" s="161"/>
    </row>
    <row r="903" spans="1:68" ht="38.25">
      <c r="A903" s="206" t="s">
        <v>404</v>
      </c>
      <c r="B903" s="195" t="s">
        <v>7213</v>
      </c>
      <c r="C903" s="196" t="s">
        <v>7214</v>
      </c>
      <c r="D903" s="146" t="s">
        <v>4692</v>
      </c>
      <c r="E903" s="196" t="s">
        <v>7214</v>
      </c>
      <c r="F903" s="150">
        <v>1014351.97</v>
      </c>
      <c r="G903" s="209">
        <v>0</v>
      </c>
      <c r="H903" s="209"/>
      <c r="I903" s="209">
        <v>0</v>
      </c>
      <c r="J903" s="150">
        <v>0</v>
      </c>
      <c r="K903" s="150">
        <v>86633.5</v>
      </c>
      <c r="L903" s="150">
        <f t="shared" si="917"/>
        <v>86633.5</v>
      </c>
      <c r="M903" s="150">
        <v>0</v>
      </c>
      <c r="N903" s="150"/>
      <c r="O903" s="150">
        <v>0</v>
      </c>
      <c r="P903" s="237">
        <v>0</v>
      </c>
      <c r="Q903" s="150">
        <v>0</v>
      </c>
      <c r="R903" s="150">
        <f t="shared" si="944"/>
        <v>0</v>
      </c>
      <c r="S903" s="150">
        <f t="shared" si="953"/>
        <v>0</v>
      </c>
      <c r="T903" s="150"/>
      <c r="U903" s="150">
        <v>0</v>
      </c>
      <c r="V903" s="199"/>
      <c r="W903" s="150">
        <f t="shared" si="945"/>
        <v>0</v>
      </c>
      <c r="X903" s="150">
        <v>0</v>
      </c>
      <c r="Y903" s="150"/>
      <c r="Z903" s="150">
        <v>0</v>
      </c>
      <c r="AA903" s="150">
        <f t="shared" si="954"/>
        <v>0</v>
      </c>
      <c r="AB903" s="150">
        <v>0</v>
      </c>
      <c r="AC903" s="199"/>
      <c r="AD903" s="150">
        <f t="shared" si="946"/>
        <v>0</v>
      </c>
      <c r="AE903" s="150">
        <v>0</v>
      </c>
      <c r="AF903" s="169" t="s">
        <v>4680</v>
      </c>
      <c r="AG903" s="201">
        <v>0</v>
      </c>
      <c r="AH903" s="199"/>
      <c r="AI903" s="150">
        <v>0</v>
      </c>
      <c r="AJ903" s="169">
        <f t="shared" si="955"/>
        <v>0</v>
      </c>
      <c r="AK903" s="201">
        <v>0</v>
      </c>
      <c r="AL903" s="199"/>
      <c r="AM903" s="150">
        <f t="shared" si="947"/>
        <v>0</v>
      </c>
      <c r="AN903" s="153">
        <f t="shared" si="956"/>
        <v>0</v>
      </c>
      <c r="AO903" s="154">
        <f t="shared" si="957"/>
        <v>0</v>
      </c>
      <c r="AP903" s="150">
        <v>0</v>
      </c>
      <c r="AQ903" s="201">
        <v>0</v>
      </c>
      <c r="AR903" s="199"/>
      <c r="AS903" s="150">
        <f t="shared" si="948"/>
        <v>0</v>
      </c>
      <c r="AT903" s="155"/>
      <c r="AU903" s="156">
        <f t="shared" si="949"/>
        <v>0</v>
      </c>
      <c r="AV903" s="156">
        <f t="shared" si="950"/>
        <v>0</v>
      </c>
      <c r="AW903" s="157"/>
      <c r="AX903" s="150">
        <v>0</v>
      </c>
      <c r="AY903" s="150">
        <v>0</v>
      </c>
      <c r="AZ903" s="150">
        <v>609133</v>
      </c>
      <c r="BA903" s="150">
        <f t="shared" si="938"/>
        <v>609133</v>
      </c>
      <c r="BB903" s="202">
        <v>5</v>
      </c>
      <c r="BC903" s="202" t="s">
        <v>647</v>
      </c>
      <c r="BD903" s="202" t="s">
        <v>632</v>
      </c>
      <c r="BE903" s="202" t="s">
        <v>1257</v>
      </c>
      <c r="BF903" s="202" t="s">
        <v>755</v>
      </c>
      <c r="BG903" s="203" t="s">
        <v>7215</v>
      </c>
      <c r="BH903" s="216">
        <f t="shared" si="951"/>
        <v>0</v>
      </c>
      <c r="BI903" s="205"/>
      <c r="BJ903" s="206" t="s">
        <v>7216</v>
      </c>
      <c r="BK903" s="206" t="s">
        <v>404</v>
      </c>
      <c r="BL903" s="207" t="s">
        <v>7217</v>
      </c>
      <c r="BM903" s="208">
        <f t="shared" si="952"/>
        <v>0</v>
      </c>
      <c r="BN903" s="160"/>
      <c r="BO903" s="161">
        <f t="shared" si="918"/>
        <v>0</v>
      </c>
      <c r="BP903" s="161"/>
    </row>
    <row r="904" spans="1:68" ht="25.5">
      <c r="A904" s="206" t="s">
        <v>406</v>
      </c>
      <c r="B904" s="195" t="s">
        <v>7218</v>
      </c>
      <c r="C904" s="196" t="s">
        <v>7219</v>
      </c>
      <c r="D904" s="146" t="s">
        <v>4692</v>
      </c>
      <c r="E904" s="196" t="s">
        <v>7219</v>
      </c>
      <c r="F904" s="150">
        <v>0</v>
      </c>
      <c r="G904" s="209">
        <v>0</v>
      </c>
      <c r="H904" s="209"/>
      <c r="I904" s="209">
        <v>0</v>
      </c>
      <c r="J904" s="150">
        <v>0</v>
      </c>
      <c r="K904" s="150">
        <v>0</v>
      </c>
      <c r="L904" s="150">
        <f t="shared" si="917"/>
        <v>0</v>
      </c>
      <c r="M904" s="150">
        <v>0</v>
      </c>
      <c r="N904" s="150"/>
      <c r="O904" s="150">
        <v>0</v>
      </c>
      <c r="P904" s="150">
        <v>0</v>
      </c>
      <c r="Q904" s="150">
        <v>0</v>
      </c>
      <c r="R904" s="150">
        <f t="shared" si="944"/>
        <v>0</v>
      </c>
      <c r="S904" s="150">
        <f t="shared" si="953"/>
        <v>0</v>
      </c>
      <c r="T904" s="150"/>
      <c r="U904" s="150">
        <v>0</v>
      </c>
      <c r="V904" s="199"/>
      <c r="W904" s="150">
        <f t="shared" si="945"/>
        <v>0</v>
      </c>
      <c r="X904" s="150">
        <v>0</v>
      </c>
      <c r="Y904" s="150"/>
      <c r="Z904" s="150">
        <v>0</v>
      </c>
      <c r="AA904" s="150">
        <f t="shared" si="954"/>
        <v>0</v>
      </c>
      <c r="AB904" s="150">
        <v>0</v>
      </c>
      <c r="AC904" s="199"/>
      <c r="AD904" s="150">
        <f t="shared" si="946"/>
        <v>0</v>
      </c>
      <c r="AE904" s="150">
        <v>0</v>
      </c>
      <c r="AF904" s="169" t="s">
        <v>4680</v>
      </c>
      <c r="AG904" s="201">
        <v>0</v>
      </c>
      <c r="AH904" s="199"/>
      <c r="AI904" s="150">
        <v>0</v>
      </c>
      <c r="AJ904" s="169">
        <f t="shared" si="955"/>
        <v>0</v>
      </c>
      <c r="AK904" s="201">
        <v>0</v>
      </c>
      <c r="AL904" s="199"/>
      <c r="AM904" s="150">
        <f t="shared" si="947"/>
        <v>0</v>
      </c>
      <c r="AN904" s="153">
        <f t="shared" si="956"/>
        <v>0</v>
      </c>
      <c r="AO904" s="154">
        <f t="shared" si="957"/>
        <v>0</v>
      </c>
      <c r="AP904" s="150">
        <v>0</v>
      </c>
      <c r="AQ904" s="201">
        <v>0</v>
      </c>
      <c r="AR904" s="199"/>
      <c r="AS904" s="150">
        <f t="shared" si="948"/>
        <v>0</v>
      </c>
      <c r="AT904" s="155"/>
      <c r="AU904" s="156">
        <f t="shared" si="949"/>
        <v>0</v>
      </c>
      <c r="AV904" s="156">
        <f t="shared" si="950"/>
        <v>0</v>
      </c>
      <c r="AW904" s="157"/>
      <c r="AX904" s="150">
        <v>0</v>
      </c>
      <c r="AY904" s="150">
        <v>0</v>
      </c>
      <c r="AZ904" s="150"/>
      <c r="BA904" s="150">
        <f t="shared" si="938"/>
        <v>0</v>
      </c>
      <c r="BB904" s="202">
        <v>5</v>
      </c>
      <c r="BC904" s="202" t="s">
        <v>647</v>
      </c>
      <c r="BD904" s="202" t="s">
        <v>632</v>
      </c>
      <c r="BE904" s="202" t="s">
        <v>1257</v>
      </c>
      <c r="BF904" s="202" t="s">
        <v>766</v>
      </c>
      <c r="BG904" s="203" t="s">
        <v>7220</v>
      </c>
      <c r="BH904" s="216">
        <f t="shared" si="951"/>
        <v>0</v>
      </c>
      <c r="BI904" s="205"/>
      <c r="BJ904" s="206" t="s">
        <v>7221</v>
      </c>
      <c r="BK904" s="206" t="s">
        <v>406</v>
      </c>
      <c r="BL904" s="207" t="s">
        <v>7222</v>
      </c>
      <c r="BM904" s="208">
        <f t="shared" si="952"/>
        <v>0</v>
      </c>
      <c r="BN904" s="160"/>
      <c r="BO904" s="161">
        <f t="shared" si="918"/>
        <v>0</v>
      </c>
      <c r="BP904" s="161"/>
    </row>
    <row r="905" spans="1:68" ht="38.25">
      <c r="A905" s="206" t="s">
        <v>407</v>
      </c>
      <c r="B905" s="195" t="s">
        <v>7223</v>
      </c>
      <c r="C905" s="196" t="s">
        <v>7224</v>
      </c>
      <c r="D905" s="146" t="s">
        <v>4692</v>
      </c>
      <c r="E905" s="196" t="s">
        <v>7224</v>
      </c>
      <c r="F905" s="150">
        <v>0</v>
      </c>
      <c r="G905" s="209">
        <v>94200.2</v>
      </c>
      <c r="H905" s="209"/>
      <c r="I905" s="209">
        <v>94200.2</v>
      </c>
      <c r="J905" s="150">
        <v>0</v>
      </c>
      <c r="K905" s="150">
        <v>0</v>
      </c>
      <c r="L905" s="150">
        <f t="shared" ref="L905:L969" si="958">J905+K905</f>
        <v>0</v>
      </c>
      <c r="M905" s="150">
        <v>0</v>
      </c>
      <c r="N905" s="150"/>
      <c r="O905" s="150">
        <v>0</v>
      </c>
      <c r="P905" s="150">
        <v>0</v>
      </c>
      <c r="Q905" s="150">
        <v>0</v>
      </c>
      <c r="R905" s="150">
        <f t="shared" si="944"/>
        <v>0</v>
      </c>
      <c r="S905" s="150">
        <f t="shared" si="953"/>
        <v>0</v>
      </c>
      <c r="T905" s="150"/>
      <c r="U905" s="150">
        <v>0</v>
      </c>
      <c r="V905" s="199"/>
      <c r="W905" s="150">
        <f t="shared" si="945"/>
        <v>0</v>
      </c>
      <c r="X905" s="150">
        <v>0</v>
      </c>
      <c r="Y905" s="150"/>
      <c r="Z905" s="150">
        <v>0</v>
      </c>
      <c r="AA905" s="150">
        <f t="shared" si="954"/>
        <v>0</v>
      </c>
      <c r="AB905" s="150">
        <v>0</v>
      </c>
      <c r="AC905" s="199"/>
      <c r="AD905" s="150">
        <f t="shared" si="946"/>
        <v>0</v>
      </c>
      <c r="AE905" s="150">
        <v>0</v>
      </c>
      <c r="AF905" s="169" t="s">
        <v>4680</v>
      </c>
      <c r="AG905" s="201">
        <v>0</v>
      </c>
      <c r="AH905" s="199"/>
      <c r="AI905" s="150">
        <v>0</v>
      </c>
      <c r="AJ905" s="169">
        <f t="shared" si="955"/>
        <v>0</v>
      </c>
      <c r="AK905" s="201">
        <v>0</v>
      </c>
      <c r="AL905" s="199"/>
      <c r="AM905" s="150">
        <f t="shared" si="947"/>
        <v>0</v>
      </c>
      <c r="AN905" s="153">
        <f t="shared" si="956"/>
        <v>0</v>
      </c>
      <c r="AO905" s="154">
        <f t="shared" si="957"/>
        <v>0</v>
      </c>
      <c r="AP905" s="150">
        <v>0</v>
      </c>
      <c r="AQ905" s="201">
        <v>0</v>
      </c>
      <c r="AR905" s="199"/>
      <c r="AS905" s="150">
        <f t="shared" si="948"/>
        <v>0</v>
      </c>
      <c r="AT905" s="155"/>
      <c r="AU905" s="156">
        <f t="shared" si="949"/>
        <v>0</v>
      </c>
      <c r="AV905" s="156">
        <f t="shared" si="950"/>
        <v>0</v>
      </c>
      <c r="AW905" s="157"/>
      <c r="AX905" s="150">
        <v>0</v>
      </c>
      <c r="AY905" s="150">
        <v>0</v>
      </c>
      <c r="AZ905" s="150"/>
      <c r="BA905" s="150">
        <f t="shared" si="938"/>
        <v>0</v>
      </c>
      <c r="BB905" s="202">
        <v>5</v>
      </c>
      <c r="BC905" s="194" t="s">
        <v>647</v>
      </c>
      <c r="BD905" s="202" t="s">
        <v>632</v>
      </c>
      <c r="BE905" s="202" t="s">
        <v>1257</v>
      </c>
      <c r="BF905" s="202" t="s">
        <v>779</v>
      </c>
      <c r="BG905" s="231" t="s">
        <v>7225</v>
      </c>
      <c r="BH905" s="216">
        <f t="shared" si="951"/>
        <v>0</v>
      </c>
      <c r="BI905" s="205"/>
      <c r="BJ905" s="206" t="s">
        <v>7226</v>
      </c>
      <c r="BK905" s="206" t="s">
        <v>407</v>
      </c>
      <c r="BL905" s="207" t="s">
        <v>7227</v>
      </c>
      <c r="BM905" s="208">
        <f t="shared" si="952"/>
        <v>0</v>
      </c>
      <c r="BN905" s="160"/>
      <c r="BO905" s="161">
        <f t="shared" si="918"/>
        <v>0</v>
      </c>
      <c r="BP905" s="161"/>
    </row>
    <row r="906" spans="1:68" ht="38.25">
      <c r="A906" s="206" t="s">
        <v>407</v>
      </c>
      <c r="B906" s="195" t="s">
        <v>7228</v>
      </c>
      <c r="C906" s="196" t="s">
        <v>7229</v>
      </c>
      <c r="D906" s="146" t="s">
        <v>4692</v>
      </c>
      <c r="E906" s="196" t="s">
        <v>7229</v>
      </c>
      <c r="F906" s="150">
        <v>106922.74</v>
      </c>
      <c r="G906" s="209">
        <v>0</v>
      </c>
      <c r="H906" s="209"/>
      <c r="I906" s="209">
        <v>0</v>
      </c>
      <c r="J906" s="150">
        <v>9745.08</v>
      </c>
      <c r="K906" s="150">
        <v>0</v>
      </c>
      <c r="L906" s="150">
        <f t="shared" si="958"/>
        <v>9745.08</v>
      </c>
      <c r="M906" s="150">
        <v>16213.47</v>
      </c>
      <c r="N906" s="150"/>
      <c r="O906" s="150">
        <v>16213.47</v>
      </c>
      <c r="P906" s="150">
        <v>71281.87</v>
      </c>
      <c r="Q906" s="150">
        <v>0</v>
      </c>
      <c r="R906" s="150">
        <f t="shared" si="944"/>
        <v>71281.87</v>
      </c>
      <c r="S906" s="150">
        <f t="shared" si="953"/>
        <v>95042.493333333332</v>
      </c>
      <c r="T906" s="150"/>
      <c r="U906" s="150">
        <v>143113.23000000001</v>
      </c>
      <c r="V906" s="199"/>
      <c r="W906" s="150">
        <f t="shared" si="945"/>
        <v>143113.23000000001</v>
      </c>
      <c r="X906" s="150">
        <v>143113.23000000001</v>
      </c>
      <c r="Y906" s="150"/>
      <c r="Z906" s="150">
        <v>143113.23000000001</v>
      </c>
      <c r="AA906" s="150">
        <f t="shared" si="954"/>
        <v>170480.71</v>
      </c>
      <c r="AB906" s="150">
        <v>313593.94</v>
      </c>
      <c r="AC906" s="199"/>
      <c r="AD906" s="150">
        <f t="shared" si="946"/>
        <v>313593.94</v>
      </c>
      <c r="AE906" s="150">
        <v>299761.34000000003</v>
      </c>
      <c r="AF906" s="169" t="s">
        <v>4680</v>
      </c>
      <c r="AG906" s="201">
        <v>299761.34000000003</v>
      </c>
      <c r="AH906" s="199"/>
      <c r="AI906" s="150">
        <v>299761.34000000003</v>
      </c>
      <c r="AJ906" s="169">
        <f t="shared" si="955"/>
        <v>-12760</v>
      </c>
      <c r="AK906" s="201">
        <v>287001.34000000003</v>
      </c>
      <c r="AL906" s="199"/>
      <c r="AM906" s="150">
        <f t="shared" si="947"/>
        <v>287001.34000000003</v>
      </c>
      <c r="AN906" s="153">
        <f t="shared" si="956"/>
        <v>0</v>
      </c>
      <c r="AO906" s="154">
        <f t="shared" si="957"/>
        <v>0</v>
      </c>
      <c r="AP906" s="150">
        <v>287001.34000000003</v>
      </c>
      <c r="AQ906" s="201">
        <v>287001.34000000003</v>
      </c>
      <c r="AR906" s="199"/>
      <c r="AS906" s="150">
        <f t="shared" si="948"/>
        <v>287001.34000000003</v>
      </c>
      <c r="AT906" s="155" t="s">
        <v>6675</v>
      </c>
      <c r="AU906" s="156">
        <f t="shared" si="949"/>
        <v>-26592.599999999977</v>
      </c>
      <c r="AV906" s="156">
        <f t="shared" si="950"/>
        <v>170480.71</v>
      </c>
      <c r="AW906" s="157" t="s">
        <v>6675</v>
      </c>
      <c r="AX906" s="150">
        <v>143113.23000000001</v>
      </c>
      <c r="AY906" s="150">
        <v>58538.46</v>
      </c>
      <c r="AZ906" s="237">
        <v>79976.27</v>
      </c>
      <c r="BA906" s="150">
        <f t="shared" si="938"/>
        <v>138514.73000000001</v>
      </c>
      <c r="BB906" s="202">
        <v>5</v>
      </c>
      <c r="BC906" s="194" t="s">
        <v>647</v>
      </c>
      <c r="BD906" s="202" t="s">
        <v>632</v>
      </c>
      <c r="BE906" s="202" t="s">
        <v>1257</v>
      </c>
      <c r="BF906" s="202" t="s">
        <v>1225</v>
      </c>
      <c r="BG906" s="231" t="s">
        <v>7230</v>
      </c>
      <c r="BH906" s="216">
        <f t="shared" si="951"/>
        <v>287001.34000000003</v>
      </c>
      <c r="BI906" s="205"/>
      <c r="BJ906" s="206" t="s">
        <v>7226</v>
      </c>
      <c r="BK906" s="206" t="s">
        <v>407</v>
      </c>
      <c r="BL906" s="207" t="s">
        <v>7227</v>
      </c>
      <c r="BM906" s="208">
        <f t="shared" si="952"/>
        <v>287001.34000000003</v>
      </c>
      <c r="BN906" s="160"/>
      <c r="BO906" s="161">
        <f t="shared" si="918"/>
        <v>0</v>
      </c>
      <c r="BP906" s="161"/>
    </row>
    <row r="907" spans="1:68" ht="38.25">
      <c r="A907" s="206" t="s">
        <v>407</v>
      </c>
      <c r="B907" s="195" t="s">
        <v>7231</v>
      </c>
      <c r="C907" s="196" t="s">
        <v>7232</v>
      </c>
      <c r="D907" s="146" t="s">
        <v>4692</v>
      </c>
      <c r="E907" s="196" t="s">
        <v>7232</v>
      </c>
      <c r="F907" s="150">
        <v>0</v>
      </c>
      <c r="G907" s="209">
        <v>10343.32</v>
      </c>
      <c r="H907" s="209"/>
      <c r="I907" s="209">
        <v>10343.32</v>
      </c>
      <c r="J907" s="150">
        <v>0</v>
      </c>
      <c r="K907" s="150">
        <v>0</v>
      </c>
      <c r="L907" s="150">
        <f t="shared" si="958"/>
        <v>0</v>
      </c>
      <c r="M907" s="150">
        <v>0</v>
      </c>
      <c r="N907" s="150"/>
      <c r="O907" s="150">
        <v>0</v>
      </c>
      <c r="P907" s="150">
        <v>0</v>
      </c>
      <c r="Q907" s="150">
        <v>0</v>
      </c>
      <c r="R907" s="150">
        <f t="shared" si="944"/>
        <v>0</v>
      </c>
      <c r="S907" s="150">
        <f t="shared" si="953"/>
        <v>0</v>
      </c>
      <c r="T907" s="150"/>
      <c r="U907" s="150">
        <v>0</v>
      </c>
      <c r="V907" s="199"/>
      <c r="W907" s="150">
        <f t="shared" si="945"/>
        <v>0</v>
      </c>
      <c r="X907" s="150">
        <v>0</v>
      </c>
      <c r="Y907" s="150"/>
      <c r="Z907" s="150">
        <v>0</v>
      </c>
      <c r="AA907" s="150">
        <f t="shared" si="954"/>
        <v>0</v>
      </c>
      <c r="AB907" s="150">
        <v>0</v>
      </c>
      <c r="AC907" s="199"/>
      <c r="AD907" s="150">
        <f t="shared" si="946"/>
        <v>0</v>
      </c>
      <c r="AE907" s="150">
        <v>0</v>
      </c>
      <c r="AF907" s="169" t="s">
        <v>4680</v>
      </c>
      <c r="AG907" s="201">
        <v>0</v>
      </c>
      <c r="AH907" s="199"/>
      <c r="AI907" s="150">
        <v>0</v>
      </c>
      <c r="AJ907" s="169">
        <f t="shared" si="955"/>
        <v>0</v>
      </c>
      <c r="AK907" s="201">
        <v>0</v>
      </c>
      <c r="AL907" s="199"/>
      <c r="AM907" s="150">
        <f t="shared" si="947"/>
        <v>0</v>
      </c>
      <c r="AN907" s="153">
        <f t="shared" si="956"/>
        <v>0</v>
      </c>
      <c r="AO907" s="154">
        <f t="shared" si="957"/>
        <v>0</v>
      </c>
      <c r="AP907" s="150">
        <v>0</v>
      </c>
      <c r="AQ907" s="201">
        <v>0</v>
      </c>
      <c r="AR907" s="199"/>
      <c r="AS907" s="150">
        <f t="shared" si="948"/>
        <v>0</v>
      </c>
      <c r="AT907" s="155"/>
      <c r="AU907" s="156">
        <f t="shared" si="949"/>
        <v>0</v>
      </c>
      <c r="AV907" s="156">
        <f t="shared" si="950"/>
        <v>0</v>
      </c>
      <c r="AW907" s="157"/>
      <c r="AX907" s="150">
        <v>0</v>
      </c>
      <c r="AY907" s="150">
        <v>0</v>
      </c>
      <c r="AZ907" s="150"/>
      <c r="BA907" s="150">
        <f t="shared" si="938"/>
        <v>0</v>
      </c>
      <c r="BB907" s="202">
        <v>5</v>
      </c>
      <c r="BC907" s="194" t="s">
        <v>647</v>
      </c>
      <c r="BD907" s="202" t="s">
        <v>632</v>
      </c>
      <c r="BE907" s="202" t="s">
        <v>1257</v>
      </c>
      <c r="BF907" s="202" t="s">
        <v>1229</v>
      </c>
      <c r="BG907" s="231" t="s">
        <v>7233</v>
      </c>
      <c r="BH907" s="216">
        <f>SUM(AS907:AS926)</f>
        <v>59617.96</v>
      </c>
      <c r="BI907" s="205"/>
      <c r="BJ907" s="206" t="s">
        <v>7226</v>
      </c>
      <c r="BK907" s="206" t="s">
        <v>407</v>
      </c>
      <c r="BL907" s="207" t="s">
        <v>7227</v>
      </c>
      <c r="BM907" s="208">
        <f t="shared" si="952"/>
        <v>59617.96</v>
      </c>
      <c r="BN907" s="160"/>
      <c r="BO907" s="161"/>
      <c r="BP907" s="161"/>
    </row>
    <row r="908" spans="1:68" ht="25.5">
      <c r="A908" s="210"/>
      <c r="B908" s="195" t="s">
        <v>7234</v>
      </c>
      <c r="C908" s="196" t="s">
        <v>7235</v>
      </c>
      <c r="D908" s="146" t="s">
        <v>4692</v>
      </c>
      <c r="E908" s="196" t="s">
        <v>7235</v>
      </c>
      <c r="F908" s="150">
        <v>10343.32</v>
      </c>
      <c r="G908" s="209">
        <v>13688.89</v>
      </c>
      <c r="H908" s="209"/>
      <c r="I908" s="209">
        <v>13688.89</v>
      </c>
      <c r="J908" s="150">
        <v>1694.18</v>
      </c>
      <c r="K908" s="150">
        <v>0</v>
      </c>
      <c r="L908" s="150">
        <f t="shared" si="958"/>
        <v>1694.18</v>
      </c>
      <c r="M908" s="150">
        <v>3068.08</v>
      </c>
      <c r="N908" s="150"/>
      <c r="O908" s="150">
        <v>3068.08</v>
      </c>
      <c r="P908" s="150">
        <v>3068.08</v>
      </c>
      <c r="Q908" s="150">
        <v>0</v>
      </c>
      <c r="R908" s="150">
        <f t="shared" si="944"/>
        <v>3068.08</v>
      </c>
      <c r="S908" s="150">
        <f t="shared" si="953"/>
        <v>4090.7733333333335</v>
      </c>
      <c r="T908" s="150"/>
      <c r="U908" s="150">
        <v>8576.4699999999993</v>
      </c>
      <c r="V908" s="199"/>
      <c r="W908" s="150">
        <f t="shared" si="945"/>
        <v>8576.4699999999993</v>
      </c>
      <c r="X908" s="150">
        <v>8576.4699999999993</v>
      </c>
      <c r="Y908" s="150"/>
      <c r="Z908" s="150">
        <v>8576.4699999999993</v>
      </c>
      <c r="AA908" s="150">
        <f t="shared" si="954"/>
        <v>0</v>
      </c>
      <c r="AB908" s="150">
        <v>8576.4699999999993</v>
      </c>
      <c r="AC908" s="199"/>
      <c r="AD908" s="150">
        <f t="shared" si="946"/>
        <v>8576.4699999999993</v>
      </c>
      <c r="AE908" s="150">
        <v>8576.4699999999993</v>
      </c>
      <c r="AF908" s="169" t="s">
        <v>4680</v>
      </c>
      <c r="AG908" s="201">
        <v>8576.4699999999993</v>
      </c>
      <c r="AH908" s="199"/>
      <c r="AI908" s="150">
        <v>8576.4699999999993</v>
      </c>
      <c r="AJ908" s="169">
        <f t="shared" si="955"/>
        <v>0</v>
      </c>
      <c r="AK908" s="201">
        <v>8576.4699999999993</v>
      </c>
      <c r="AL908" s="199"/>
      <c r="AM908" s="150">
        <f t="shared" si="947"/>
        <v>8576.4699999999993</v>
      </c>
      <c r="AN908" s="153">
        <f t="shared" si="956"/>
        <v>0</v>
      </c>
      <c r="AO908" s="154">
        <f t="shared" si="957"/>
        <v>0</v>
      </c>
      <c r="AP908" s="150">
        <v>8576.4699999999993</v>
      </c>
      <c r="AQ908" s="201">
        <v>8576.4699999999993</v>
      </c>
      <c r="AR908" s="199"/>
      <c r="AS908" s="150">
        <f t="shared" si="948"/>
        <v>8576.4699999999993</v>
      </c>
      <c r="AT908" s="155" t="s">
        <v>6675</v>
      </c>
      <c r="AU908" s="156">
        <f t="shared" si="949"/>
        <v>0</v>
      </c>
      <c r="AV908" s="156">
        <f t="shared" si="950"/>
        <v>0</v>
      </c>
      <c r="AW908" s="157" t="s">
        <v>6675</v>
      </c>
      <c r="AX908" s="150">
        <v>8576.4699999999993</v>
      </c>
      <c r="AY908" s="150">
        <v>3068.08</v>
      </c>
      <c r="AZ908" s="237">
        <v>79976.27</v>
      </c>
      <c r="BA908" s="150">
        <f t="shared" si="938"/>
        <v>83044.350000000006</v>
      </c>
      <c r="BB908" s="210"/>
      <c r="BC908" s="210"/>
      <c r="BD908" s="210"/>
      <c r="BE908" s="210"/>
      <c r="BF908" s="210"/>
      <c r="BG908" s="210"/>
      <c r="BH908" s="217"/>
      <c r="BI908" s="210"/>
      <c r="BJ908" s="210"/>
      <c r="BK908" s="210"/>
      <c r="BL908" s="210"/>
      <c r="BM908" s="208"/>
      <c r="BN908" s="160"/>
      <c r="BO908" s="161"/>
      <c r="BP908" s="161"/>
    </row>
    <row r="909" spans="1:68" ht="38.25">
      <c r="A909" s="210"/>
      <c r="B909" s="195" t="s">
        <v>7236</v>
      </c>
      <c r="C909" s="196" t="s">
        <v>7237</v>
      </c>
      <c r="D909" s="146" t="s">
        <v>4692</v>
      </c>
      <c r="E909" s="196" t="s">
        <v>7237</v>
      </c>
      <c r="F909" s="150">
        <v>13688.89</v>
      </c>
      <c r="G909" s="209">
        <v>0</v>
      </c>
      <c r="H909" s="209"/>
      <c r="I909" s="209">
        <v>0</v>
      </c>
      <c r="J909" s="150">
        <v>0</v>
      </c>
      <c r="K909" s="150">
        <v>0</v>
      </c>
      <c r="L909" s="150">
        <f t="shared" si="958"/>
        <v>0</v>
      </c>
      <c r="M909" s="150">
        <v>0</v>
      </c>
      <c r="N909" s="150"/>
      <c r="O909" s="150">
        <v>0</v>
      </c>
      <c r="P909" s="150">
        <v>0</v>
      </c>
      <c r="Q909" s="150">
        <v>0</v>
      </c>
      <c r="R909" s="150">
        <f t="shared" si="944"/>
        <v>0</v>
      </c>
      <c r="S909" s="150">
        <f t="shared" si="953"/>
        <v>0</v>
      </c>
      <c r="T909" s="150"/>
      <c r="U909" s="150">
        <v>0</v>
      </c>
      <c r="V909" s="199"/>
      <c r="W909" s="150">
        <f t="shared" si="945"/>
        <v>0</v>
      </c>
      <c r="X909" s="150">
        <v>0</v>
      </c>
      <c r="Y909" s="150"/>
      <c r="Z909" s="150">
        <v>0</v>
      </c>
      <c r="AA909" s="150">
        <f t="shared" si="954"/>
        <v>0</v>
      </c>
      <c r="AB909" s="150">
        <v>0</v>
      </c>
      <c r="AC909" s="199"/>
      <c r="AD909" s="150">
        <f t="shared" si="946"/>
        <v>0</v>
      </c>
      <c r="AE909" s="150">
        <v>0</v>
      </c>
      <c r="AF909" s="169" t="s">
        <v>4680</v>
      </c>
      <c r="AG909" s="201">
        <v>0</v>
      </c>
      <c r="AH909" s="199"/>
      <c r="AI909" s="150">
        <v>0</v>
      </c>
      <c r="AJ909" s="169">
        <f t="shared" si="955"/>
        <v>0</v>
      </c>
      <c r="AK909" s="201">
        <v>0</v>
      </c>
      <c r="AL909" s="199"/>
      <c r="AM909" s="150">
        <f t="shared" si="947"/>
        <v>0</v>
      </c>
      <c r="AN909" s="153">
        <f t="shared" si="956"/>
        <v>0</v>
      </c>
      <c r="AO909" s="154">
        <f t="shared" si="957"/>
        <v>0</v>
      </c>
      <c r="AP909" s="150">
        <v>0</v>
      </c>
      <c r="AQ909" s="201">
        <v>0</v>
      </c>
      <c r="AR909" s="199"/>
      <c r="AS909" s="150">
        <f t="shared" si="948"/>
        <v>0</v>
      </c>
      <c r="AT909" s="155"/>
      <c r="AU909" s="156">
        <f t="shared" si="949"/>
        <v>0</v>
      </c>
      <c r="AV909" s="156">
        <f t="shared" si="950"/>
        <v>0</v>
      </c>
      <c r="AW909" s="157"/>
      <c r="AX909" s="150">
        <v>0</v>
      </c>
      <c r="AY909" s="150">
        <v>0</v>
      </c>
      <c r="AZ909" s="150"/>
      <c r="BA909" s="150">
        <f t="shared" si="938"/>
        <v>0</v>
      </c>
      <c r="BB909" s="210"/>
      <c r="BC909" s="210"/>
      <c r="BD909" s="210"/>
      <c r="BE909" s="210"/>
      <c r="BF909" s="210"/>
      <c r="BG909" s="208"/>
      <c r="BH909" s="217"/>
      <c r="BI909" s="210"/>
      <c r="BJ909" s="210"/>
      <c r="BK909" s="210"/>
      <c r="BL909" s="210"/>
      <c r="BM909" s="208"/>
      <c r="BN909" s="160"/>
      <c r="BO909" s="161"/>
      <c r="BP909" s="161"/>
    </row>
    <row r="910" spans="1:68" ht="38.25">
      <c r="A910" s="210"/>
      <c r="B910" s="195" t="s">
        <v>7238</v>
      </c>
      <c r="C910" s="196" t="s">
        <v>7239</v>
      </c>
      <c r="D910" s="146" t="s">
        <v>4692</v>
      </c>
      <c r="E910" s="196" t="s">
        <v>7239</v>
      </c>
      <c r="F910" s="150">
        <v>0</v>
      </c>
      <c r="G910" s="209">
        <v>0</v>
      </c>
      <c r="H910" s="209"/>
      <c r="I910" s="209">
        <v>0</v>
      </c>
      <c r="J910" s="150">
        <v>0</v>
      </c>
      <c r="K910" s="150">
        <v>0</v>
      </c>
      <c r="L910" s="150">
        <f t="shared" si="958"/>
        <v>0</v>
      </c>
      <c r="M910" s="150">
        <v>0</v>
      </c>
      <c r="N910" s="150"/>
      <c r="O910" s="150">
        <v>0</v>
      </c>
      <c r="P910" s="150">
        <v>0</v>
      </c>
      <c r="Q910" s="150">
        <v>0</v>
      </c>
      <c r="R910" s="150">
        <f t="shared" si="944"/>
        <v>0</v>
      </c>
      <c r="S910" s="150">
        <f t="shared" si="953"/>
        <v>0</v>
      </c>
      <c r="T910" s="150"/>
      <c r="U910" s="150">
        <v>0</v>
      </c>
      <c r="V910" s="199"/>
      <c r="W910" s="150">
        <f t="shared" si="945"/>
        <v>0</v>
      </c>
      <c r="X910" s="150">
        <v>0</v>
      </c>
      <c r="Y910" s="150"/>
      <c r="Z910" s="150">
        <v>0</v>
      </c>
      <c r="AA910" s="150">
        <f t="shared" si="954"/>
        <v>0</v>
      </c>
      <c r="AB910" s="150">
        <v>0</v>
      </c>
      <c r="AC910" s="199"/>
      <c r="AD910" s="150">
        <f t="shared" si="946"/>
        <v>0</v>
      </c>
      <c r="AE910" s="150">
        <v>0</v>
      </c>
      <c r="AF910" s="169" t="s">
        <v>4680</v>
      </c>
      <c r="AG910" s="201">
        <v>0</v>
      </c>
      <c r="AH910" s="199"/>
      <c r="AI910" s="150">
        <v>0</v>
      </c>
      <c r="AJ910" s="169">
        <f t="shared" si="955"/>
        <v>0</v>
      </c>
      <c r="AK910" s="201">
        <v>0</v>
      </c>
      <c r="AL910" s="199"/>
      <c r="AM910" s="150">
        <f t="shared" si="947"/>
        <v>0</v>
      </c>
      <c r="AN910" s="153">
        <f t="shared" si="956"/>
        <v>0</v>
      </c>
      <c r="AO910" s="154">
        <f t="shared" si="957"/>
        <v>0</v>
      </c>
      <c r="AP910" s="150">
        <v>0</v>
      </c>
      <c r="AQ910" s="201">
        <v>0</v>
      </c>
      <c r="AR910" s="199"/>
      <c r="AS910" s="150">
        <f t="shared" si="948"/>
        <v>0</v>
      </c>
      <c r="AT910" s="155"/>
      <c r="AU910" s="156">
        <f t="shared" si="949"/>
        <v>0</v>
      </c>
      <c r="AV910" s="156">
        <f t="shared" si="950"/>
        <v>0</v>
      </c>
      <c r="AW910" s="157"/>
      <c r="AX910" s="150">
        <v>0</v>
      </c>
      <c r="AY910" s="150">
        <v>0</v>
      </c>
      <c r="AZ910" s="150"/>
      <c r="BA910" s="150">
        <f t="shared" si="938"/>
        <v>0</v>
      </c>
      <c r="BB910" s="210"/>
      <c r="BC910" s="210"/>
      <c r="BD910" s="210"/>
      <c r="BE910" s="210"/>
      <c r="BF910" s="210"/>
      <c r="BG910" s="210"/>
      <c r="BH910" s="217"/>
      <c r="BI910" s="210"/>
      <c r="BJ910" s="210"/>
      <c r="BK910" s="210"/>
      <c r="BL910" s="210"/>
      <c r="BM910" s="208"/>
      <c r="BN910" s="160"/>
      <c r="BO910" s="161"/>
      <c r="BP910" s="161"/>
    </row>
    <row r="911" spans="1:68" ht="38.25">
      <c r="A911" s="210"/>
      <c r="B911" s="195" t="s">
        <v>7240</v>
      </c>
      <c r="C911" s="196" t="s">
        <v>7241</v>
      </c>
      <c r="D911" s="146" t="s">
        <v>4692</v>
      </c>
      <c r="E911" s="196" t="s">
        <v>7241</v>
      </c>
      <c r="F911" s="150">
        <v>0</v>
      </c>
      <c r="G911" s="209">
        <v>10560</v>
      </c>
      <c r="H911" s="209"/>
      <c r="I911" s="209">
        <v>10560</v>
      </c>
      <c r="J911" s="150">
        <v>0</v>
      </c>
      <c r="K911" s="150">
        <v>0</v>
      </c>
      <c r="L911" s="150">
        <f t="shared" si="958"/>
        <v>0</v>
      </c>
      <c r="M911" s="150">
        <v>0</v>
      </c>
      <c r="N911" s="150"/>
      <c r="O911" s="150">
        <v>0</v>
      </c>
      <c r="P911" s="150">
        <v>0</v>
      </c>
      <c r="Q911" s="150">
        <v>0</v>
      </c>
      <c r="R911" s="150">
        <f t="shared" si="944"/>
        <v>0</v>
      </c>
      <c r="S911" s="150">
        <f t="shared" si="953"/>
        <v>0</v>
      </c>
      <c r="T911" s="150"/>
      <c r="U911" s="150">
        <v>0</v>
      </c>
      <c r="V911" s="199"/>
      <c r="W911" s="150">
        <f t="shared" si="945"/>
        <v>0</v>
      </c>
      <c r="X911" s="150">
        <v>0</v>
      </c>
      <c r="Y911" s="150"/>
      <c r="Z911" s="150">
        <v>0</v>
      </c>
      <c r="AA911" s="150">
        <f t="shared" si="954"/>
        <v>0</v>
      </c>
      <c r="AB911" s="150">
        <v>0</v>
      </c>
      <c r="AC911" s="199"/>
      <c r="AD911" s="150">
        <f t="shared" si="946"/>
        <v>0</v>
      </c>
      <c r="AE911" s="150">
        <v>0</v>
      </c>
      <c r="AF911" s="169" t="s">
        <v>4680</v>
      </c>
      <c r="AG911" s="201">
        <v>0</v>
      </c>
      <c r="AH911" s="199"/>
      <c r="AI911" s="150">
        <v>0</v>
      </c>
      <c r="AJ911" s="169">
        <f t="shared" si="955"/>
        <v>0</v>
      </c>
      <c r="AK911" s="201">
        <v>0</v>
      </c>
      <c r="AL911" s="199"/>
      <c r="AM911" s="150">
        <f t="shared" si="947"/>
        <v>0</v>
      </c>
      <c r="AN911" s="153">
        <f t="shared" si="956"/>
        <v>0</v>
      </c>
      <c r="AO911" s="154">
        <f t="shared" si="957"/>
        <v>0</v>
      </c>
      <c r="AP911" s="150">
        <v>0</v>
      </c>
      <c r="AQ911" s="201">
        <v>0</v>
      </c>
      <c r="AR911" s="199"/>
      <c r="AS911" s="150">
        <f t="shared" si="948"/>
        <v>0</v>
      </c>
      <c r="AT911" s="155"/>
      <c r="AU911" s="156">
        <f t="shared" si="949"/>
        <v>0</v>
      </c>
      <c r="AV911" s="156">
        <f t="shared" si="950"/>
        <v>0</v>
      </c>
      <c r="AW911" s="157"/>
      <c r="AX911" s="150">
        <v>0</v>
      </c>
      <c r="AY911" s="150">
        <v>0</v>
      </c>
      <c r="AZ911" s="150"/>
      <c r="BA911" s="150">
        <f t="shared" si="938"/>
        <v>0</v>
      </c>
      <c r="BB911" s="210"/>
      <c r="BC911" s="210"/>
      <c r="BD911" s="210"/>
      <c r="BE911" s="210"/>
      <c r="BF911" s="210"/>
      <c r="BG911" s="210"/>
      <c r="BH911" s="217"/>
      <c r="BI911" s="210"/>
      <c r="BJ911" s="210"/>
      <c r="BK911" s="210"/>
      <c r="BL911" s="210"/>
      <c r="BM911" s="208"/>
      <c r="BN911" s="160"/>
      <c r="BO911" s="161"/>
      <c r="BP911" s="161"/>
    </row>
    <row r="912" spans="1:68" ht="38.25">
      <c r="A912" s="210"/>
      <c r="B912" s="195" t="s">
        <v>7242</v>
      </c>
      <c r="C912" s="196" t="s">
        <v>7243</v>
      </c>
      <c r="D912" s="146" t="s">
        <v>4692</v>
      </c>
      <c r="E912" s="196" t="s">
        <v>7243</v>
      </c>
      <c r="F912" s="150">
        <v>10560</v>
      </c>
      <c r="G912" s="209">
        <v>0</v>
      </c>
      <c r="H912" s="209"/>
      <c r="I912" s="209">
        <v>0</v>
      </c>
      <c r="J912" s="150">
        <v>0</v>
      </c>
      <c r="K912" s="150">
        <v>0</v>
      </c>
      <c r="L912" s="150">
        <f t="shared" si="958"/>
        <v>0</v>
      </c>
      <c r="M912" s="150">
        <v>293.56</v>
      </c>
      <c r="N912" s="150"/>
      <c r="O912" s="150">
        <v>293.56</v>
      </c>
      <c r="P912" s="150">
        <v>13013.56</v>
      </c>
      <c r="Q912" s="150">
        <v>0</v>
      </c>
      <c r="R912" s="150">
        <f t="shared" si="944"/>
        <v>13013.56</v>
      </c>
      <c r="S912" s="150">
        <f t="shared" si="953"/>
        <v>17351.41333333333</v>
      </c>
      <c r="T912" s="150"/>
      <c r="U912" s="150">
        <v>13253.56</v>
      </c>
      <c r="V912" s="199"/>
      <c r="W912" s="150">
        <f t="shared" si="945"/>
        <v>13253.56</v>
      </c>
      <c r="X912" s="150">
        <v>13253.56</v>
      </c>
      <c r="Y912" s="150"/>
      <c r="Z912" s="150">
        <v>13253.56</v>
      </c>
      <c r="AA912" s="150">
        <f t="shared" si="954"/>
        <v>0</v>
      </c>
      <c r="AB912" s="150">
        <v>13253.56</v>
      </c>
      <c r="AC912" s="199"/>
      <c r="AD912" s="150">
        <f t="shared" si="946"/>
        <v>13253.56</v>
      </c>
      <c r="AE912" s="150">
        <v>13253.56</v>
      </c>
      <c r="AF912" s="169" t="s">
        <v>4680</v>
      </c>
      <c r="AG912" s="201">
        <v>13253.56</v>
      </c>
      <c r="AH912" s="199"/>
      <c r="AI912" s="150">
        <v>13253.56</v>
      </c>
      <c r="AJ912" s="169">
        <f t="shared" si="955"/>
        <v>0</v>
      </c>
      <c r="AK912" s="201">
        <v>13253.56</v>
      </c>
      <c r="AL912" s="199"/>
      <c r="AM912" s="150">
        <f t="shared" si="947"/>
        <v>13253.56</v>
      </c>
      <c r="AN912" s="153">
        <f t="shared" si="956"/>
        <v>0</v>
      </c>
      <c r="AO912" s="154">
        <f t="shared" si="957"/>
        <v>0</v>
      </c>
      <c r="AP912" s="150">
        <v>13253.56</v>
      </c>
      <c r="AQ912" s="201">
        <v>13253.56</v>
      </c>
      <c r="AR912" s="199"/>
      <c r="AS912" s="150">
        <f t="shared" si="948"/>
        <v>13253.56</v>
      </c>
      <c r="AT912" s="155"/>
      <c r="AU912" s="156">
        <f t="shared" si="949"/>
        <v>0</v>
      </c>
      <c r="AV912" s="156">
        <f t="shared" si="950"/>
        <v>0</v>
      </c>
      <c r="AW912" s="157"/>
      <c r="AX912" s="150">
        <v>13253.56</v>
      </c>
      <c r="AY912" s="150">
        <v>653.55999999999995</v>
      </c>
      <c r="AZ912" s="237">
        <v>79976.27</v>
      </c>
      <c r="BA912" s="150">
        <f t="shared" si="938"/>
        <v>80629.83</v>
      </c>
      <c r="BB912" s="210"/>
      <c r="BC912" s="210"/>
      <c r="BD912" s="210"/>
      <c r="BE912" s="210"/>
      <c r="BF912" s="210"/>
      <c r="BG912" s="210"/>
      <c r="BH912" s="217"/>
      <c r="BI912" s="210"/>
      <c r="BJ912" s="210"/>
      <c r="BK912" s="210"/>
      <c r="BL912" s="210"/>
      <c r="BM912" s="208"/>
      <c r="BN912" s="160"/>
      <c r="BO912" s="161"/>
      <c r="BP912" s="161"/>
    </row>
    <row r="913" spans="1:68" ht="51">
      <c r="A913" s="210"/>
      <c r="B913" s="195" t="s">
        <v>7244</v>
      </c>
      <c r="C913" s="196" t="s">
        <v>7245</v>
      </c>
      <c r="D913" s="146" t="s">
        <v>4692</v>
      </c>
      <c r="E913" s="196" t="s">
        <v>7245</v>
      </c>
      <c r="F913" s="150">
        <v>0</v>
      </c>
      <c r="G913" s="209">
        <v>0</v>
      </c>
      <c r="H913" s="209"/>
      <c r="I913" s="209">
        <v>0</v>
      </c>
      <c r="J913" s="150">
        <v>0</v>
      </c>
      <c r="K913" s="150">
        <v>0</v>
      </c>
      <c r="L913" s="150">
        <f t="shared" si="958"/>
        <v>0</v>
      </c>
      <c r="M913" s="150">
        <v>0</v>
      </c>
      <c r="N913" s="150"/>
      <c r="O913" s="150">
        <v>0</v>
      </c>
      <c r="P913" s="150">
        <v>0</v>
      </c>
      <c r="Q913" s="150">
        <v>0</v>
      </c>
      <c r="R913" s="150">
        <f t="shared" si="944"/>
        <v>0</v>
      </c>
      <c r="S913" s="150">
        <f t="shared" si="953"/>
        <v>0</v>
      </c>
      <c r="T913" s="150"/>
      <c r="U913" s="150">
        <v>0</v>
      </c>
      <c r="V913" s="199"/>
      <c r="W913" s="150">
        <f t="shared" si="945"/>
        <v>0</v>
      </c>
      <c r="X913" s="150">
        <v>0</v>
      </c>
      <c r="Y913" s="150"/>
      <c r="Z913" s="150">
        <v>0</v>
      </c>
      <c r="AA913" s="150">
        <f t="shared" si="954"/>
        <v>0</v>
      </c>
      <c r="AB913" s="150">
        <v>0</v>
      </c>
      <c r="AC913" s="199"/>
      <c r="AD913" s="150">
        <f t="shared" si="946"/>
        <v>0</v>
      </c>
      <c r="AE913" s="150">
        <v>0</v>
      </c>
      <c r="AF913" s="169" t="s">
        <v>4680</v>
      </c>
      <c r="AG913" s="201">
        <v>0</v>
      </c>
      <c r="AH913" s="199"/>
      <c r="AI913" s="150">
        <v>0</v>
      </c>
      <c r="AJ913" s="169">
        <f t="shared" si="955"/>
        <v>0</v>
      </c>
      <c r="AK913" s="201">
        <v>0</v>
      </c>
      <c r="AL913" s="199"/>
      <c r="AM913" s="150">
        <f t="shared" si="947"/>
        <v>0</v>
      </c>
      <c r="AN913" s="153">
        <f t="shared" si="956"/>
        <v>0</v>
      </c>
      <c r="AO913" s="154">
        <f t="shared" si="957"/>
        <v>0</v>
      </c>
      <c r="AP913" s="150">
        <v>0</v>
      </c>
      <c r="AQ913" s="201">
        <v>0</v>
      </c>
      <c r="AR913" s="199"/>
      <c r="AS913" s="150">
        <f t="shared" si="948"/>
        <v>0</v>
      </c>
      <c r="AT913" s="155"/>
      <c r="AU913" s="156">
        <f t="shared" si="949"/>
        <v>0</v>
      </c>
      <c r="AV913" s="156">
        <f t="shared" si="950"/>
        <v>0</v>
      </c>
      <c r="AW913" s="157"/>
      <c r="AX913" s="150">
        <v>0</v>
      </c>
      <c r="AY913" s="150">
        <v>0</v>
      </c>
      <c r="AZ913" s="150"/>
      <c r="BA913" s="150">
        <f t="shared" si="938"/>
        <v>0</v>
      </c>
      <c r="BB913" s="210"/>
      <c r="BC913" s="210"/>
      <c r="BD913" s="210"/>
      <c r="BE913" s="210"/>
      <c r="BF913" s="210"/>
      <c r="BG913" s="210"/>
      <c r="BH913" s="217"/>
      <c r="BI913" s="210"/>
      <c r="BJ913" s="210"/>
      <c r="BK913" s="210"/>
      <c r="BL913" s="210"/>
      <c r="BM913" s="208"/>
      <c r="BN913" s="160"/>
      <c r="BO913" s="161"/>
      <c r="BP913" s="161"/>
    </row>
    <row r="914" spans="1:68" ht="38.25">
      <c r="A914" s="210"/>
      <c r="B914" s="195" t="s">
        <v>7246</v>
      </c>
      <c r="C914" s="196" t="s">
        <v>7247</v>
      </c>
      <c r="D914" s="146" t="s">
        <v>4692</v>
      </c>
      <c r="E914" s="196" t="s">
        <v>7247</v>
      </c>
      <c r="F914" s="150">
        <v>0</v>
      </c>
      <c r="G914" s="209">
        <v>0</v>
      </c>
      <c r="H914" s="209"/>
      <c r="I914" s="209">
        <v>0</v>
      </c>
      <c r="J914" s="150">
        <v>0</v>
      </c>
      <c r="K914" s="150">
        <v>0</v>
      </c>
      <c r="L914" s="150">
        <f t="shared" si="958"/>
        <v>0</v>
      </c>
      <c r="M914" s="150">
        <v>0</v>
      </c>
      <c r="N914" s="150"/>
      <c r="O914" s="150">
        <v>0</v>
      </c>
      <c r="P914" s="150">
        <v>0</v>
      </c>
      <c r="Q914" s="150">
        <v>0</v>
      </c>
      <c r="R914" s="150">
        <f t="shared" si="944"/>
        <v>0</v>
      </c>
      <c r="S914" s="150">
        <f t="shared" si="953"/>
        <v>0</v>
      </c>
      <c r="T914" s="150"/>
      <c r="U914" s="150">
        <v>0</v>
      </c>
      <c r="V914" s="199"/>
      <c r="W914" s="150">
        <f t="shared" si="945"/>
        <v>0</v>
      </c>
      <c r="X914" s="150">
        <v>0</v>
      </c>
      <c r="Y914" s="150"/>
      <c r="Z914" s="150">
        <v>0</v>
      </c>
      <c r="AA914" s="150">
        <f t="shared" si="954"/>
        <v>0</v>
      </c>
      <c r="AB914" s="150">
        <v>0</v>
      </c>
      <c r="AC914" s="199"/>
      <c r="AD914" s="150">
        <f t="shared" si="946"/>
        <v>0</v>
      </c>
      <c r="AE914" s="150">
        <v>0</v>
      </c>
      <c r="AF914" s="169" t="s">
        <v>4680</v>
      </c>
      <c r="AG914" s="201">
        <v>0</v>
      </c>
      <c r="AH914" s="199"/>
      <c r="AI914" s="150">
        <v>0</v>
      </c>
      <c r="AJ914" s="169">
        <f t="shared" si="955"/>
        <v>0</v>
      </c>
      <c r="AK914" s="201">
        <v>0</v>
      </c>
      <c r="AL914" s="199"/>
      <c r="AM914" s="150">
        <f t="shared" si="947"/>
        <v>0</v>
      </c>
      <c r="AN914" s="153">
        <f t="shared" si="956"/>
        <v>0</v>
      </c>
      <c r="AO914" s="154">
        <f t="shared" si="957"/>
        <v>0</v>
      </c>
      <c r="AP914" s="150">
        <v>0</v>
      </c>
      <c r="AQ914" s="201">
        <v>0</v>
      </c>
      <c r="AR914" s="199"/>
      <c r="AS914" s="150">
        <f t="shared" si="948"/>
        <v>0</v>
      </c>
      <c r="AT914" s="155"/>
      <c r="AU914" s="156">
        <f t="shared" si="949"/>
        <v>0</v>
      </c>
      <c r="AV914" s="156">
        <f t="shared" si="950"/>
        <v>0</v>
      </c>
      <c r="AW914" s="157"/>
      <c r="AX914" s="150">
        <v>0</v>
      </c>
      <c r="AY914" s="150">
        <v>0</v>
      </c>
      <c r="AZ914" s="150"/>
      <c r="BA914" s="150">
        <f t="shared" si="938"/>
        <v>0</v>
      </c>
      <c r="BB914" s="210"/>
      <c r="BC914" s="210"/>
      <c r="BD914" s="210"/>
      <c r="BE914" s="210"/>
      <c r="BF914" s="210"/>
      <c r="BG914" s="210"/>
      <c r="BH914" s="217"/>
      <c r="BI914" s="210"/>
      <c r="BJ914" s="210"/>
      <c r="BK914" s="210"/>
      <c r="BL914" s="210"/>
      <c r="BM914" s="208"/>
      <c r="BN914" s="160"/>
      <c r="BO914" s="161"/>
      <c r="BP914" s="161"/>
    </row>
    <row r="915" spans="1:68" ht="38.25">
      <c r="A915" s="210"/>
      <c r="B915" s="195" t="s">
        <v>7248</v>
      </c>
      <c r="C915" s="196" t="s">
        <v>7249</v>
      </c>
      <c r="D915" s="146" t="s">
        <v>4692</v>
      </c>
      <c r="E915" s="196" t="s">
        <v>7249</v>
      </c>
      <c r="F915" s="150">
        <v>0</v>
      </c>
      <c r="G915" s="209">
        <v>0</v>
      </c>
      <c r="H915" s="209"/>
      <c r="I915" s="209">
        <v>0</v>
      </c>
      <c r="J915" s="150">
        <v>0</v>
      </c>
      <c r="K915" s="150">
        <v>0</v>
      </c>
      <c r="L915" s="150">
        <f t="shared" si="958"/>
        <v>0</v>
      </c>
      <c r="M915" s="150">
        <v>0</v>
      </c>
      <c r="N915" s="150"/>
      <c r="O915" s="150">
        <v>0</v>
      </c>
      <c r="P915" s="150">
        <v>0</v>
      </c>
      <c r="Q915" s="150">
        <v>0</v>
      </c>
      <c r="R915" s="150">
        <f t="shared" si="944"/>
        <v>0</v>
      </c>
      <c r="S915" s="150">
        <f t="shared" si="953"/>
        <v>0</v>
      </c>
      <c r="T915" s="150"/>
      <c r="U915" s="150">
        <v>0</v>
      </c>
      <c r="V915" s="199"/>
      <c r="W915" s="150">
        <f t="shared" si="945"/>
        <v>0</v>
      </c>
      <c r="X915" s="150">
        <v>0</v>
      </c>
      <c r="Y915" s="150"/>
      <c r="Z915" s="150">
        <v>0</v>
      </c>
      <c r="AA915" s="150">
        <f t="shared" si="954"/>
        <v>0</v>
      </c>
      <c r="AB915" s="150">
        <v>0</v>
      </c>
      <c r="AC915" s="199"/>
      <c r="AD915" s="150">
        <f t="shared" si="946"/>
        <v>0</v>
      </c>
      <c r="AE915" s="150">
        <v>0</v>
      </c>
      <c r="AF915" s="169" t="s">
        <v>4680</v>
      </c>
      <c r="AG915" s="201">
        <v>0</v>
      </c>
      <c r="AH915" s="199"/>
      <c r="AI915" s="150">
        <v>0</v>
      </c>
      <c r="AJ915" s="169">
        <f t="shared" si="955"/>
        <v>0</v>
      </c>
      <c r="AK915" s="201">
        <v>0</v>
      </c>
      <c r="AL915" s="199"/>
      <c r="AM915" s="150">
        <f t="shared" si="947"/>
        <v>0</v>
      </c>
      <c r="AN915" s="153">
        <f t="shared" si="956"/>
        <v>0</v>
      </c>
      <c r="AO915" s="154">
        <f t="shared" si="957"/>
        <v>0</v>
      </c>
      <c r="AP915" s="150">
        <v>0</v>
      </c>
      <c r="AQ915" s="201">
        <v>0</v>
      </c>
      <c r="AR915" s="199"/>
      <c r="AS915" s="150">
        <f t="shared" si="948"/>
        <v>0</v>
      </c>
      <c r="AT915" s="155"/>
      <c r="AU915" s="156">
        <f t="shared" si="949"/>
        <v>0</v>
      </c>
      <c r="AV915" s="156">
        <f t="shared" si="950"/>
        <v>0</v>
      </c>
      <c r="AW915" s="157"/>
      <c r="AX915" s="150">
        <v>0</v>
      </c>
      <c r="AY915" s="150">
        <v>0</v>
      </c>
      <c r="AZ915" s="150"/>
      <c r="BA915" s="150">
        <f t="shared" si="938"/>
        <v>0</v>
      </c>
      <c r="BB915" s="210"/>
      <c r="BC915" s="210"/>
      <c r="BD915" s="210"/>
      <c r="BE915" s="210"/>
      <c r="BF915" s="210"/>
      <c r="BG915" s="210"/>
      <c r="BH915" s="217"/>
      <c r="BI915" s="210"/>
      <c r="BJ915" s="210"/>
      <c r="BK915" s="210"/>
      <c r="BL915" s="210"/>
      <c r="BM915" s="208"/>
      <c r="BN915" s="160"/>
      <c r="BO915" s="161"/>
      <c r="BP915" s="161"/>
    </row>
    <row r="916" spans="1:68" ht="51">
      <c r="A916" s="210"/>
      <c r="B916" s="195" t="s">
        <v>7250</v>
      </c>
      <c r="C916" s="196" t="s">
        <v>7251</v>
      </c>
      <c r="D916" s="146" t="s">
        <v>4692</v>
      </c>
      <c r="E916" s="196" t="s">
        <v>7251</v>
      </c>
      <c r="F916" s="150">
        <v>0</v>
      </c>
      <c r="G916" s="209">
        <v>933.94</v>
      </c>
      <c r="H916" s="209"/>
      <c r="I916" s="209">
        <v>933.94</v>
      </c>
      <c r="J916" s="150">
        <v>0</v>
      </c>
      <c r="K916" s="150">
        <v>0</v>
      </c>
      <c r="L916" s="150">
        <f t="shared" si="958"/>
        <v>0</v>
      </c>
      <c r="M916" s="150">
        <v>0</v>
      </c>
      <c r="N916" s="150"/>
      <c r="O916" s="150">
        <v>0</v>
      </c>
      <c r="P916" s="150">
        <v>0</v>
      </c>
      <c r="Q916" s="150">
        <v>0</v>
      </c>
      <c r="R916" s="150">
        <f t="shared" si="944"/>
        <v>0</v>
      </c>
      <c r="S916" s="150">
        <f t="shared" si="953"/>
        <v>0</v>
      </c>
      <c r="T916" s="150"/>
      <c r="U916" s="150">
        <v>0</v>
      </c>
      <c r="V916" s="199"/>
      <c r="W916" s="150">
        <f t="shared" si="945"/>
        <v>0</v>
      </c>
      <c r="X916" s="150">
        <v>0</v>
      </c>
      <c r="Y916" s="150"/>
      <c r="Z916" s="150">
        <v>0</v>
      </c>
      <c r="AA916" s="150">
        <f t="shared" si="954"/>
        <v>0</v>
      </c>
      <c r="AB916" s="150">
        <v>0</v>
      </c>
      <c r="AC916" s="199"/>
      <c r="AD916" s="150">
        <f t="shared" si="946"/>
        <v>0</v>
      </c>
      <c r="AE916" s="150">
        <v>0</v>
      </c>
      <c r="AF916" s="169" t="s">
        <v>4680</v>
      </c>
      <c r="AG916" s="201">
        <v>0</v>
      </c>
      <c r="AH916" s="199"/>
      <c r="AI916" s="150">
        <v>0</v>
      </c>
      <c r="AJ916" s="169">
        <f t="shared" si="955"/>
        <v>0</v>
      </c>
      <c r="AK916" s="201">
        <v>0</v>
      </c>
      <c r="AL916" s="199"/>
      <c r="AM916" s="150">
        <f t="shared" si="947"/>
        <v>0</v>
      </c>
      <c r="AN916" s="153">
        <f t="shared" si="956"/>
        <v>0</v>
      </c>
      <c r="AO916" s="154">
        <f t="shared" si="957"/>
        <v>0</v>
      </c>
      <c r="AP916" s="150">
        <v>0</v>
      </c>
      <c r="AQ916" s="201">
        <v>0</v>
      </c>
      <c r="AR916" s="199"/>
      <c r="AS916" s="150">
        <f t="shared" si="948"/>
        <v>0</v>
      </c>
      <c r="AT916" s="155"/>
      <c r="AU916" s="156">
        <f t="shared" si="949"/>
        <v>0</v>
      </c>
      <c r="AV916" s="156">
        <f t="shared" si="950"/>
        <v>0</v>
      </c>
      <c r="AW916" s="157"/>
      <c r="AX916" s="150">
        <v>0</v>
      </c>
      <c r="AY916" s="150">
        <v>0</v>
      </c>
      <c r="AZ916" s="150"/>
      <c r="BA916" s="150">
        <f t="shared" si="938"/>
        <v>0</v>
      </c>
      <c r="BB916" s="210"/>
      <c r="BC916" s="210"/>
      <c r="BD916" s="210"/>
      <c r="BE916" s="210"/>
      <c r="BF916" s="210"/>
      <c r="BG916" s="210"/>
      <c r="BH916" s="217"/>
      <c r="BI916" s="210"/>
      <c r="BJ916" s="210"/>
      <c r="BK916" s="210"/>
      <c r="BL916" s="210"/>
      <c r="BM916" s="208"/>
      <c r="BN916" s="160"/>
      <c r="BO916" s="161"/>
      <c r="BP916" s="161"/>
    </row>
    <row r="917" spans="1:68" ht="51">
      <c r="A917" s="210"/>
      <c r="B917" s="195" t="s">
        <v>7252</v>
      </c>
      <c r="C917" s="196" t="s">
        <v>7253</v>
      </c>
      <c r="D917" s="146" t="s">
        <v>4692</v>
      </c>
      <c r="E917" s="196" t="s">
        <v>7253</v>
      </c>
      <c r="F917" s="150">
        <v>933.94</v>
      </c>
      <c r="G917" s="209">
        <v>6108.84</v>
      </c>
      <c r="H917" s="209"/>
      <c r="I917" s="209">
        <v>6108.84</v>
      </c>
      <c r="J917" s="150">
        <v>0</v>
      </c>
      <c r="K917" s="150">
        <v>0</v>
      </c>
      <c r="L917" s="150">
        <f t="shared" si="958"/>
        <v>0</v>
      </c>
      <c r="M917" s="150">
        <v>442.42</v>
      </c>
      <c r="N917" s="150"/>
      <c r="O917" s="150">
        <v>442.42</v>
      </c>
      <c r="P917" s="150">
        <v>442.42</v>
      </c>
      <c r="Q917" s="150">
        <v>0</v>
      </c>
      <c r="R917" s="150">
        <f t="shared" si="944"/>
        <v>442.42</v>
      </c>
      <c r="S917" s="150">
        <f t="shared" si="953"/>
        <v>589.89333333333343</v>
      </c>
      <c r="T917" s="150"/>
      <c r="U917" s="150">
        <v>904.67</v>
      </c>
      <c r="V917" s="199"/>
      <c r="W917" s="150">
        <f t="shared" si="945"/>
        <v>904.67</v>
      </c>
      <c r="X917" s="150">
        <v>904.67</v>
      </c>
      <c r="Y917" s="150"/>
      <c r="Z917" s="150">
        <v>904.67</v>
      </c>
      <c r="AA917" s="150">
        <f t="shared" si="954"/>
        <v>0</v>
      </c>
      <c r="AB917" s="150">
        <v>904.67</v>
      </c>
      <c r="AC917" s="199"/>
      <c r="AD917" s="150">
        <f t="shared" si="946"/>
        <v>904.67</v>
      </c>
      <c r="AE917" s="150">
        <v>904.67</v>
      </c>
      <c r="AF917" s="169" t="s">
        <v>4680</v>
      </c>
      <c r="AG917" s="201">
        <v>904.67</v>
      </c>
      <c r="AH917" s="199"/>
      <c r="AI917" s="150">
        <v>904.67</v>
      </c>
      <c r="AJ917" s="169">
        <f t="shared" si="955"/>
        <v>0</v>
      </c>
      <c r="AK917" s="201">
        <v>904.67</v>
      </c>
      <c r="AL917" s="199"/>
      <c r="AM917" s="150">
        <f t="shared" si="947"/>
        <v>904.67</v>
      </c>
      <c r="AN917" s="153">
        <f t="shared" si="956"/>
        <v>0</v>
      </c>
      <c r="AO917" s="154">
        <f t="shared" si="957"/>
        <v>0</v>
      </c>
      <c r="AP917" s="150">
        <v>904.67</v>
      </c>
      <c r="AQ917" s="201">
        <v>904.67</v>
      </c>
      <c r="AR917" s="199"/>
      <c r="AS917" s="150">
        <f t="shared" si="948"/>
        <v>904.67</v>
      </c>
      <c r="AT917" s="155"/>
      <c r="AU917" s="156">
        <f t="shared" si="949"/>
        <v>0</v>
      </c>
      <c r="AV917" s="156">
        <f t="shared" si="950"/>
        <v>0</v>
      </c>
      <c r="AW917" s="157"/>
      <c r="AX917" s="150">
        <v>904.67</v>
      </c>
      <c r="AY917" s="150">
        <v>442.42</v>
      </c>
      <c r="AZ917" s="150"/>
      <c r="BA917" s="150">
        <f t="shared" si="938"/>
        <v>442.42</v>
      </c>
      <c r="BB917" s="210"/>
      <c r="BC917" s="210"/>
      <c r="BD917" s="210"/>
      <c r="BE917" s="210"/>
      <c r="BF917" s="210"/>
      <c r="BG917" s="210"/>
      <c r="BH917" s="217"/>
      <c r="BI917" s="210"/>
      <c r="BJ917" s="210"/>
      <c r="BK917" s="210"/>
      <c r="BL917" s="210"/>
      <c r="BM917" s="208"/>
      <c r="BN917" s="160"/>
      <c r="BO917" s="161"/>
      <c r="BP917" s="161"/>
    </row>
    <row r="918" spans="1:68" ht="38.25">
      <c r="A918" s="210"/>
      <c r="B918" s="195" t="s">
        <v>7254</v>
      </c>
      <c r="C918" s="196" t="s">
        <v>7255</v>
      </c>
      <c r="D918" s="146" t="s">
        <v>4692</v>
      </c>
      <c r="E918" s="196" t="s">
        <v>7255</v>
      </c>
      <c r="F918" s="150">
        <v>6108.84</v>
      </c>
      <c r="G918" s="209">
        <v>0</v>
      </c>
      <c r="H918" s="209"/>
      <c r="I918" s="209">
        <v>0</v>
      </c>
      <c r="J918" s="150">
        <v>0</v>
      </c>
      <c r="K918" s="150">
        <v>0</v>
      </c>
      <c r="L918" s="150">
        <f t="shared" si="958"/>
        <v>0</v>
      </c>
      <c r="M918" s="150">
        <v>0</v>
      </c>
      <c r="N918" s="150"/>
      <c r="O918" s="150">
        <v>0</v>
      </c>
      <c r="P918" s="150">
        <v>0</v>
      </c>
      <c r="Q918" s="150">
        <v>0</v>
      </c>
      <c r="R918" s="150">
        <f t="shared" si="944"/>
        <v>0</v>
      </c>
      <c r="S918" s="150">
        <f t="shared" si="953"/>
        <v>0</v>
      </c>
      <c r="T918" s="150"/>
      <c r="U918" s="150">
        <v>0</v>
      </c>
      <c r="V918" s="199"/>
      <c r="W918" s="150">
        <f t="shared" si="945"/>
        <v>0</v>
      </c>
      <c r="X918" s="150">
        <v>0</v>
      </c>
      <c r="Y918" s="150"/>
      <c r="Z918" s="150">
        <v>0</v>
      </c>
      <c r="AA918" s="150">
        <f t="shared" si="954"/>
        <v>0</v>
      </c>
      <c r="AB918" s="150">
        <v>0</v>
      </c>
      <c r="AC918" s="199"/>
      <c r="AD918" s="150">
        <f t="shared" si="946"/>
        <v>0</v>
      </c>
      <c r="AE918" s="150">
        <v>0</v>
      </c>
      <c r="AF918" s="169" t="s">
        <v>4680</v>
      </c>
      <c r="AG918" s="201">
        <v>0</v>
      </c>
      <c r="AH918" s="199"/>
      <c r="AI918" s="150">
        <v>0</v>
      </c>
      <c r="AJ918" s="169">
        <f t="shared" si="955"/>
        <v>0</v>
      </c>
      <c r="AK918" s="201">
        <v>0</v>
      </c>
      <c r="AL918" s="199"/>
      <c r="AM918" s="150">
        <f t="shared" si="947"/>
        <v>0</v>
      </c>
      <c r="AN918" s="153">
        <f t="shared" si="956"/>
        <v>0</v>
      </c>
      <c r="AO918" s="154">
        <f t="shared" si="957"/>
        <v>0</v>
      </c>
      <c r="AP918" s="150">
        <v>0</v>
      </c>
      <c r="AQ918" s="201">
        <v>0</v>
      </c>
      <c r="AR918" s="199"/>
      <c r="AS918" s="150">
        <f t="shared" si="948"/>
        <v>0</v>
      </c>
      <c r="AT918" s="155"/>
      <c r="AU918" s="156">
        <f t="shared" si="949"/>
        <v>0</v>
      </c>
      <c r="AV918" s="156">
        <f t="shared" si="950"/>
        <v>0</v>
      </c>
      <c r="AW918" s="157"/>
      <c r="AX918" s="150">
        <v>0</v>
      </c>
      <c r="AY918" s="150">
        <v>0</v>
      </c>
      <c r="AZ918" s="150"/>
      <c r="BA918" s="150">
        <f t="shared" si="938"/>
        <v>0</v>
      </c>
      <c r="BB918" s="210"/>
      <c r="BC918" s="210"/>
      <c r="BD918" s="210"/>
      <c r="BE918" s="210"/>
      <c r="BF918" s="210"/>
      <c r="BG918" s="210"/>
      <c r="BH918" s="217"/>
      <c r="BI918" s="210"/>
      <c r="BJ918" s="210"/>
      <c r="BK918" s="210"/>
      <c r="BL918" s="210"/>
      <c r="BM918" s="208"/>
      <c r="BN918" s="160"/>
      <c r="BO918" s="161"/>
      <c r="BP918" s="161"/>
    </row>
    <row r="919" spans="1:68" ht="51">
      <c r="A919" s="210"/>
      <c r="B919" s="195" t="s">
        <v>7256</v>
      </c>
      <c r="C919" s="196" t="s">
        <v>7257</v>
      </c>
      <c r="D919" s="146" t="s">
        <v>4692</v>
      </c>
      <c r="E919" s="196" t="s">
        <v>7257</v>
      </c>
      <c r="F919" s="150">
        <v>0</v>
      </c>
      <c r="G919" s="209">
        <v>0</v>
      </c>
      <c r="H919" s="209"/>
      <c r="I919" s="209">
        <v>0</v>
      </c>
      <c r="J919" s="150">
        <v>0</v>
      </c>
      <c r="K919" s="150">
        <v>0</v>
      </c>
      <c r="L919" s="150">
        <f t="shared" si="958"/>
        <v>0</v>
      </c>
      <c r="M919" s="150">
        <v>0</v>
      </c>
      <c r="N919" s="150"/>
      <c r="O919" s="150">
        <v>0</v>
      </c>
      <c r="P919" s="150">
        <v>0</v>
      </c>
      <c r="Q919" s="150">
        <v>0</v>
      </c>
      <c r="R919" s="150">
        <f t="shared" si="944"/>
        <v>0</v>
      </c>
      <c r="S919" s="150">
        <f t="shared" si="953"/>
        <v>0</v>
      </c>
      <c r="T919" s="150"/>
      <c r="U919" s="150">
        <v>0</v>
      </c>
      <c r="V919" s="199"/>
      <c r="W919" s="150">
        <f t="shared" si="945"/>
        <v>0</v>
      </c>
      <c r="X919" s="150">
        <v>0</v>
      </c>
      <c r="Y919" s="150"/>
      <c r="Z919" s="150">
        <v>0</v>
      </c>
      <c r="AA919" s="150">
        <f t="shared" si="954"/>
        <v>0</v>
      </c>
      <c r="AB919" s="150">
        <v>0</v>
      </c>
      <c r="AC919" s="199"/>
      <c r="AD919" s="150">
        <f t="shared" si="946"/>
        <v>0</v>
      </c>
      <c r="AE919" s="150">
        <v>0</v>
      </c>
      <c r="AF919" s="169" t="s">
        <v>4680</v>
      </c>
      <c r="AG919" s="201">
        <v>0</v>
      </c>
      <c r="AH919" s="199"/>
      <c r="AI919" s="150">
        <v>0</v>
      </c>
      <c r="AJ919" s="169">
        <f t="shared" si="955"/>
        <v>0</v>
      </c>
      <c r="AK919" s="201">
        <v>0</v>
      </c>
      <c r="AL919" s="199"/>
      <c r="AM919" s="150">
        <f t="shared" si="947"/>
        <v>0</v>
      </c>
      <c r="AN919" s="153">
        <f t="shared" si="956"/>
        <v>0</v>
      </c>
      <c r="AO919" s="154">
        <f t="shared" si="957"/>
        <v>0</v>
      </c>
      <c r="AP919" s="150">
        <v>0</v>
      </c>
      <c r="AQ919" s="201">
        <v>0</v>
      </c>
      <c r="AR919" s="199"/>
      <c r="AS919" s="150">
        <f t="shared" si="948"/>
        <v>0</v>
      </c>
      <c r="AT919" s="155"/>
      <c r="AU919" s="156">
        <f t="shared" si="949"/>
        <v>0</v>
      </c>
      <c r="AV919" s="156">
        <f t="shared" si="950"/>
        <v>0</v>
      </c>
      <c r="AW919" s="157"/>
      <c r="AX919" s="150">
        <v>0</v>
      </c>
      <c r="AY919" s="150">
        <v>0</v>
      </c>
      <c r="AZ919" s="150"/>
      <c r="BA919" s="150">
        <f t="shared" si="938"/>
        <v>0</v>
      </c>
      <c r="BB919" s="210"/>
      <c r="BC919" s="210"/>
      <c r="BD919" s="210"/>
      <c r="BE919" s="210"/>
      <c r="BF919" s="210"/>
      <c r="BG919" s="210"/>
      <c r="BH919" s="217"/>
      <c r="BI919" s="210"/>
      <c r="BJ919" s="210"/>
      <c r="BK919" s="210"/>
      <c r="BL919" s="210"/>
      <c r="BM919" s="208"/>
      <c r="BN919" s="160"/>
      <c r="BO919" s="161"/>
      <c r="BP919" s="161"/>
    </row>
    <row r="920" spans="1:68" ht="38.25">
      <c r="A920" s="210"/>
      <c r="B920" s="195" t="s">
        <v>7258</v>
      </c>
      <c r="C920" s="196" t="s">
        <v>7259</v>
      </c>
      <c r="D920" s="146" t="s">
        <v>4692</v>
      </c>
      <c r="E920" s="196" t="s">
        <v>7259</v>
      </c>
      <c r="F920" s="150">
        <v>0</v>
      </c>
      <c r="G920" s="209">
        <v>9840</v>
      </c>
      <c r="H920" s="209"/>
      <c r="I920" s="209">
        <v>9840</v>
      </c>
      <c r="J920" s="150">
        <v>0</v>
      </c>
      <c r="K920" s="150">
        <v>0</v>
      </c>
      <c r="L920" s="150">
        <f t="shared" si="958"/>
        <v>0</v>
      </c>
      <c r="M920" s="150">
        <v>0</v>
      </c>
      <c r="N920" s="150"/>
      <c r="O920" s="150">
        <v>0</v>
      </c>
      <c r="P920" s="150">
        <v>0</v>
      </c>
      <c r="Q920" s="150">
        <v>0</v>
      </c>
      <c r="R920" s="150">
        <f t="shared" si="944"/>
        <v>0</v>
      </c>
      <c r="S920" s="150">
        <f t="shared" si="953"/>
        <v>0</v>
      </c>
      <c r="T920" s="150"/>
      <c r="U920" s="150">
        <v>0</v>
      </c>
      <c r="V920" s="199"/>
      <c r="W920" s="150">
        <f t="shared" si="945"/>
        <v>0</v>
      </c>
      <c r="X920" s="150">
        <v>0</v>
      </c>
      <c r="Y920" s="150"/>
      <c r="Z920" s="150">
        <v>0</v>
      </c>
      <c r="AA920" s="150">
        <f t="shared" si="954"/>
        <v>0</v>
      </c>
      <c r="AB920" s="150">
        <v>0</v>
      </c>
      <c r="AC920" s="199"/>
      <c r="AD920" s="150">
        <f t="shared" si="946"/>
        <v>0</v>
      </c>
      <c r="AE920" s="150">
        <v>0</v>
      </c>
      <c r="AF920" s="169" t="s">
        <v>4680</v>
      </c>
      <c r="AG920" s="201">
        <v>0</v>
      </c>
      <c r="AH920" s="199"/>
      <c r="AI920" s="150">
        <v>0</v>
      </c>
      <c r="AJ920" s="169">
        <f t="shared" si="955"/>
        <v>0</v>
      </c>
      <c r="AK920" s="201">
        <v>0</v>
      </c>
      <c r="AL920" s="199"/>
      <c r="AM920" s="150">
        <f t="shared" si="947"/>
        <v>0</v>
      </c>
      <c r="AN920" s="153">
        <f t="shared" si="956"/>
        <v>0</v>
      </c>
      <c r="AO920" s="154">
        <f t="shared" si="957"/>
        <v>0</v>
      </c>
      <c r="AP920" s="150">
        <v>0</v>
      </c>
      <c r="AQ920" s="201">
        <v>0</v>
      </c>
      <c r="AR920" s="199"/>
      <c r="AS920" s="150">
        <f t="shared" si="948"/>
        <v>0</v>
      </c>
      <c r="AT920" s="155"/>
      <c r="AU920" s="156">
        <f t="shared" si="949"/>
        <v>0</v>
      </c>
      <c r="AV920" s="156">
        <f t="shared" si="950"/>
        <v>0</v>
      </c>
      <c r="AW920" s="157"/>
      <c r="AX920" s="150">
        <v>0</v>
      </c>
      <c r="AY920" s="150">
        <v>0</v>
      </c>
      <c r="AZ920" s="150"/>
      <c r="BA920" s="150">
        <f t="shared" si="938"/>
        <v>0</v>
      </c>
      <c r="BB920" s="210"/>
      <c r="BC920" s="210"/>
      <c r="BD920" s="210"/>
      <c r="BE920" s="210"/>
      <c r="BF920" s="210"/>
      <c r="BG920" s="210"/>
      <c r="BH920" s="217"/>
      <c r="BI920" s="210"/>
      <c r="BJ920" s="210"/>
      <c r="BK920" s="210"/>
      <c r="BL920" s="210"/>
      <c r="BM920" s="208"/>
      <c r="BN920" s="160"/>
      <c r="BO920" s="161"/>
      <c r="BP920" s="161"/>
    </row>
    <row r="921" spans="1:68" ht="51">
      <c r="A921" s="210"/>
      <c r="B921" s="195" t="s">
        <v>7260</v>
      </c>
      <c r="C921" s="196" t="s">
        <v>7261</v>
      </c>
      <c r="D921" s="146" t="s">
        <v>4692</v>
      </c>
      <c r="E921" s="196" t="s">
        <v>7261</v>
      </c>
      <c r="F921" s="150">
        <v>9840</v>
      </c>
      <c r="G921" s="209">
        <v>0</v>
      </c>
      <c r="H921" s="209"/>
      <c r="I921" s="209">
        <v>0</v>
      </c>
      <c r="J921" s="150">
        <v>0</v>
      </c>
      <c r="K921" s="150">
        <v>0</v>
      </c>
      <c r="L921" s="150">
        <f t="shared" si="958"/>
        <v>0</v>
      </c>
      <c r="M921" s="150">
        <v>645.83000000000004</v>
      </c>
      <c r="N921" s="150"/>
      <c r="O921" s="150">
        <v>645.83000000000004</v>
      </c>
      <c r="P921" s="150">
        <v>13065.83</v>
      </c>
      <c r="Q921" s="150">
        <v>0</v>
      </c>
      <c r="R921" s="150">
        <f t="shared" si="944"/>
        <v>13065.83</v>
      </c>
      <c r="S921" s="150">
        <f t="shared" si="953"/>
        <v>17421.106666666667</v>
      </c>
      <c r="T921" s="150"/>
      <c r="U921" s="150">
        <v>13485.83</v>
      </c>
      <c r="V921" s="199"/>
      <c r="W921" s="150">
        <f t="shared" si="945"/>
        <v>13485.83</v>
      </c>
      <c r="X921" s="150">
        <v>13485.83</v>
      </c>
      <c r="Y921" s="150"/>
      <c r="Z921" s="150">
        <v>13485.83</v>
      </c>
      <c r="AA921" s="150">
        <f t="shared" si="954"/>
        <v>0</v>
      </c>
      <c r="AB921" s="150">
        <v>13485.83</v>
      </c>
      <c r="AC921" s="199"/>
      <c r="AD921" s="150">
        <f t="shared" si="946"/>
        <v>13485.83</v>
      </c>
      <c r="AE921" s="150">
        <v>13485.83</v>
      </c>
      <c r="AF921" s="169" t="s">
        <v>4680</v>
      </c>
      <c r="AG921" s="201">
        <v>13485.83</v>
      </c>
      <c r="AH921" s="199"/>
      <c r="AI921" s="150">
        <v>13485.83</v>
      </c>
      <c r="AJ921" s="169">
        <f t="shared" si="955"/>
        <v>0</v>
      </c>
      <c r="AK921" s="201">
        <v>13485.83</v>
      </c>
      <c r="AL921" s="199"/>
      <c r="AM921" s="150">
        <f t="shared" si="947"/>
        <v>13485.83</v>
      </c>
      <c r="AN921" s="153">
        <f t="shared" si="956"/>
        <v>0</v>
      </c>
      <c r="AO921" s="154">
        <f t="shared" si="957"/>
        <v>0</v>
      </c>
      <c r="AP921" s="150">
        <v>13485.83</v>
      </c>
      <c r="AQ921" s="201">
        <v>13485.83</v>
      </c>
      <c r="AR921" s="199"/>
      <c r="AS921" s="150">
        <f t="shared" si="948"/>
        <v>13485.83</v>
      </c>
      <c r="AT921" s="155"/>
      <c r="AU921" s="156">
        <f t="shared" si="949"/>
        <v>0</v>
      </c>
      <c r="AV921" s="156">
        <f t="shared" si="950"/>
        <v>0</v>
      </c>
      <c r="AW921" s="157"/>
      <c r="AX921" s="150">
        <v>13485.83</v>
      </c>
      <c r="AY921" s="150">
        <v>1005.83</v>
      </c>
      <c r="AZ921" s="237">
        <v>79976.27</v>
      </c>
      <c r="BA921" s="150">
        <f t="shared" si="938"/>
        <v>80982.100000000006</v>
      </c>
      <c r="BB921" s="210"/>
      <c r="BC921" s="210"/>
      <c r="BD921" s="210"/>
      <c r="BE921" s="210"/>
      <c r="BF921" s="210"/>
      <c r="BG921" s="210"/>
      <c r="BH921" s="217"/>
      <c r="BI921" s="210"/>
      <c r="BJ921" s="210"/>
      <c r="BK921" s="210"/>
      <c r="BL921" s="210"/>
      <c r="BM921" s="208"/>
      <c r="BN921" s="160"/>
      <c r="BO921" s="161"/>
      <c r="BP921" s="161"/>
    </row>
    <row r="922" spans="1:68" ht="51">
      <c r="A922" s="210"/>
      <c r="B922" s="195" t="s">
        <v>7262</v>
      </c>
      <c r="C922" s="196" t="s">
        <v>7263</v>
      </c>
      <c r="D922" s="146" t="s">
        <v>4692</v>
      </c>
      <c r="E922" s="196" t="s">
        <v>7263</v>
      </c>
      <c r="F922" s="150">
        <v>0</v>
      </c>
      <c r="G922" s="209">
        <v>7950</v>
      </c>
      <c r="H922" s="209"/>
      <c r="I922" s="209">
        <v>7950</v>
      </c>
      <c r="J922" s="150">
        <v>0</v>
      </c>
      <c r="K922" s="150">
        <v>0</v>
      </c>
      <c r="L922" s="150">
        <f t="shared" si="958"/>
        <v>0</v>
      </c>
      <c r="M922" s="150">
        <v>0</v>
      </c>
      <c r="N922" s="150"/>
      <c r="O922" s="150">
        <v>0</v>
      </c>
      <c r="P922" s="150">
        <v>0</v>
      </c>
      <c r="Q922" s="150">
        <v>0</v>
      </c>
      <c r="R922" s="150">
        <f t="shared" si="944"/>
        <v>0</v>
      </c>
      <c r="S922" s="150">
        <f t="shared" si="953"/>
        <v>0</v>
      </c>
      <c r="T922" s="150"/>
      <c r="U922" s="150">
        <v>0</v>
      </c>
      <c r="V922" s="199"/>
      <c r="W922" s="150">
        <f t="shared" si="945"/>
        <v>0</v>
      </c>
      <c r="X922" s="150">
        <v>0</v>
      </c>
      <c r="Y922" s="150"/>
      <c r="Z922" s="150">
        <v>0</v>
      </c>
      <c r="AA922" s="150">
        <f t="shared" si="954"/>
        <v>0</v>
      </c>
      <c r="AB922" s="150">
        <v>0</v>
      </c>
      <c r="AC922" s="199"/>
      <c r="AD922" s="150">
        <f t="shared" si="946"/>
        <v>0</v>
      </c>
      <c r="AE922" s="150">
        <v>0</v>
      </c>
      <c r="AF922" s="169" t="s">
        <v>4680</v>
      </c>
      <c r="AG922" s="201">
        <v>0</v>
      </c>
      <c r="AH922" s="199"/>
      <c r="AI922" s="150">
        <v>0</v>
      </c>
      <c r="AJ922" s="169">
        <f t="shared" si="955"/>
        <v>0</v>
      </c>
      <c r="AK922" s="201">
        <v>0</v>
      </c>
      <c r="AL922" s="199"/>
      <c r="AM922" s="150">
        <f t="shared" si="947"/>
        <v>0</v>
      </c>
      <c r="AN922" s="153">
        <f t="shared" si="956"/>
        <v>0</v>
      </c>
      <c r="AO922" s="154">
        <f t="shared" si="957"/>
        <v>0</v>
      </c>
      <c r="AP922" s="150">
        <v>0</v>
      </c>
      <c r="AQ922" s="201">
        <v>0</v>
      </c>
      <c r="AR922" s="199"/>
      <c r="AS922" s="150">
        <f t="shared" si="948"/>
        <v>0</v>
      </c>
      <c r="AT922" s="155"/>
      <c r="AU922" s="156">
        <f t="shared" si="949"/>
        <v>0</v>
      </c>
      <c r="AV922" s="156">
        <f t="shared" si="950"/>
        <v>0</v>
      </c>
      <c r="AW922" s="157"/>
      <c r="AX922" s="150">
        <v>0</v>
      </c>
      <c r="AY922" s="150">
        <v>0</v>
      </c>
      <c r="AZ922" s="150"/>
      <c r="BA922" s="150">
        <f t="shared" si="938"/>
        <v>0</v>
      </c>
      <c r="BB922" s="210"/>
      <c r="BC922" s="210"/>
      <c r="BD922" s="210"/>
      <c r="BE922" s="210"/>
      <c r="BF922" s="210"/>
      <c r="BG922" s="210"/>
      <c r="BH922" s="217"/>
      <c r="BI922" s="210"/>
      <c r="BJ922" s="210"/>
      <c r="BK922" s="210"/>
      <c r="BL922" s="210"/>
      <c r="BM922" s="208"/>
      <c r="BN922" s="160"/>
      <c r="BO922" s="161"/>
      <c r="BP922" s="161"/>
    </row>
    <row r="923" spans="1:68" ht="38.25">
      <c r="A923" s="210"/>
      <c r="B923" s="195" t="s">
        <v>7264</v>
      </c>
      <c r="C923" s="196" t="s">
        <v>7265</v>
      </c>
      <c r="D923" s="146" t="s">
        <v>4692</v>
      </c>
      <c r="E923" s="196" t="s">
        <v>7265</v>
      </c>
      <c r="F923" s="150">
        <v>7950</v>
      </c>
      <c r="G923" s="209">
        <v>6625</v>
      </c>
      <c r="H923" s="209"/>
      <c r="I923" s="209">
        <v>6625</v>
      </c>
      <c r="J923" s="150">
        <v>0</v>
      </c>
      <c r="K923" s="150">
        <v>0</v>
      </c>
      <c r="L923" s="150">
        <f t="shared" si="958"/>
        <v>0</v>
      </c>
      <c r="M923" s="150">
        <v>0</v>
      </c>
      <c r="N923" s="150"/>
      <c r="O923" s="150">
        <v>0</v>
      </c>
      <c r="P923" s="150">
        <v>11100</v>
      </c>
      <c r="Q923" s="150">
        <v>0</v>
      </c>
      <c r="R923" s="150">
        <f t="shared" si="944"/>
        <v>11100</v>
      </c>
      <c r="S923" s="150">
        <f t="shared" si="953"/>
        <v>14800</v>
      </c>
      <c r="T923" s="150"/>
      <c r="U923" s="150">
        <v>11340</v>
      </c>
      <c r="V923" s="199"/>
      <c r="W923" s="150">
        <f t="shared" si="945"/>
        <v>11340</v>
      </c>
      <c r="X923" s="150">
        <v>11340</v>
      </c>
      <c r="Y923" s="150"/>
      <c r="Z923" s="150">
        <v>11340</v>
      </c>
      <c r="AA923" s="150">
        <f t="shared" si="954"/>
        <v>0</v>
      </c>
      <c r="AB923" s="150">
        <v>11340</v>
      </c>
      <c r="AC923" s="199"/>
      <c r="AD923" s="150">
        <f t="shared" si="946"/>
        <v>11340</v>
      </c>
      <c r="AE923" s="150">
        <v>11340</v>
      </c>
      <c r="AF923" s="169" t="s">
        <v>4680</v>
      </c>
      <c r="AG923" s="201">
        <v>11340</v>
      </c>
      <c r="AH923" s="199"/>
      <c r="AI923" s="150">
        <v>11340</v>
      </c>
      <c r="AJ923" s="169">
        <f t="shared" si="955"/>
        <v>0</v>
      </c>
      <c r="AK923" s="201">
        <v>11340</v>
      </c>
      <c r="AL923" s="199"/>
      <c r="AM923" s="150">
        <f t="shared" si="947"/>
        <v>11340</v>
      </c>
      <c r="AN923" s="153">
        <f t="shared" si="956"/>
        <v>0</v>
      </c>
      <c r="AO923" s="154">
        <f t="shared" si="957"/>
        <v>0</v>
      </c>
      <c r="AP923" s="150">
        <v>11340</v>
      </c>
      <c r="AQ923" s="201">
        <v>11340</v>
      </c>
      <c r="AR923" s="199"/>
      <c r="AS923" s="150">
        <f t="shared" si="948"/>
        <v>11340</v>
      </c>
      <c r="AT923" s="155"/>
      <c r="AU923" s="156">
        <f t="shared" si="949"/>
        <v>0</v>
      </c>
      <c r="AV923" s="156">
        <f t="shared" si="950"/>
        <v>0</v>
      </c>
      <c r="AW923" s="157"/>
      <c r="AX923" s="150">
        <v>11340</v>
      </c>
      <c r="AY923" s="150">
        <v>360</v>
      </c>
      <c r="AZ923" s="237">
        <v>79976.27</v>
      </c>
      <c r="BA923" s="150">
        <f t="shared" si="938"/>
        <v>80336.27</v>
      </c>
      <c r="BB923" s="210"/>
      <c r="BC923" s="210"/>
      <c r="BD923" s="210"/>
      <c r="BE923" s="210"/>
      <c r="BF923" s="210"/>
      <c r="BG923" s="210"/>
      <c r="BH923" s="217"/>
      <c r="BI923" s="210"/>
      <c r="BJ923" s="210"/>
      <c r="BK923" s="210"/>
      <c r="BL923" s="210"/>
      <c r="BM923" s="208"/>
      <c r="BN923" s="160"/>
      <c r="BO923" s="161"/>
      <c r="BP923" s="161"/>
    </row>
    <row r="924" spans="1:68" ht="38.25">
      <c r="A924" s="210"/>
      <c r="B924" s="195" t="s">
        <v>7266</v>
      </c>
      <c r="C924" s="196" t="s">
        <v>7267</v>
      </c>
      <c r="D924" s="146" t="s">
        <v>4692</v>
      </c>
      <c r="E924" s="196" t="s">
        <v>7267</v>
      </c>
      <c r="F924" s="150">
        <v>6625</v>
      </c>
      <c r="G924" s="209">
        <v>0</v>
      </c>
      <c r="H924" s="209"/>
      <c r="I924" s="209">
        <v>0</v>
      </c>
      <c r="J924" s="150">
        <v>0</v>
      </c>
      <c r="K924" s="150">
        <v>0</v>
      </c>
      <c r="L924" s="150">
        <f t="shared" si="958"/>
        <v>0</v>
      </c>
      <c r="M924" s="150">
        <v>0</v>
      </c>
      <c r="N924" s="150"/>
      <c r="O924" s="150">
        <v>0</v>
      </c>
      <c r="P924" s="150">
        <v>7500</v>
      </c>
      <c r="Q924" s="150">
        <v>0</v>
      </c>
      <c r="R924" s="150">
        <f t="shared" si="944"/>
        <v>7500</v>
      </c>
      <c r="S924" s="150">
        <f t="shared" si="953"/>
        <v>10000</v>
      </c>
      <c r="T924" s="150"/>
      <c r="U924" s="150">
        <v>7500</v>
      </c>
      <c r="V924" s="199"/>
      <c r="W924" s="150">
        <f t="shared" si="945"/>
        <v>7500</v>
      </c>
      <c r="X924" s="150">
        <v>7500</v>
      </c>
      <c r="Y924" s="150"/>
      <c r="Z924" s="150">
        <v>7500</v>
      </c>
      <c r="AA924" s="150">
        <f t="shared" si="954"/>
        <v>0</v>
      </c>
      <c r="AB924" s="150">
        <v>7500</v>
      </c>
      <c r="AC924" s="199"/>
      <c r="AD924" s="150">
        <f t="shared" si="946"/>
        <v>7500</v>
      </c>
      <c r="AE924" s="150">
        <v>7500</v>
      </c>
      <c r="AF924" s="169" t="s">
        <v>4680</v>
      </c>
      <c r="AG924" s="201">
        <v>7500</v>
      </c>
      <c r="AH924" s="199"/>
      <c r="AI924" s="150">
        <v>7500</v>
      </c>
      <c r="AJ924" s="169">
        <f t="shared" si="955"/>
        <v>0</v>
      </c>
      <c r="AK924" s="201">
        <v>7500</v>
      </c>
      <c r="AL924" s="199"/>
      <c r="AM924" s="150">
        <f t="shared" si="947"/>
        <v>7500</v>
      </c>
      <c r="AN924" s="153">
        <f t="shared" si="956"/>
        <v>0</v>
      </c>
      <c r="AO924" s="154">
        <f t="shared" si="957"/>
        <v>0</v>
      </c>
      <c r="AP924" s="150">
        <v>7500</v>
      </c>
      <c r="AQ924" s="201">
        <v>7500</v>
      </c>
      <c r="AR924" s="199"/>
      <c r="AS924" s="150">
        <f t="shared" si="948"/>
        <v>7500</v>
      </c>
      <c r="AT924" s="155"/>
      <c r="AU924" s="156">
        <f t="shared" si="949"/>
        <v>0</v>
      </c>
      <c r="AV924" s="156">
        <f t="shared" si="950"/>
        <v>0</v>
      </c>
      <c r="AW924" s="157"/>
      <c r="AX924" s="150">
        <v>7500</v>
      </c>
      <c r="AY924" s="150">
        <v>100</v>
      </c>
      <c r="AZ924" s="237">
        <v>79976.27</v>
      </c>
      <c r="BA924" s="150">
        <f t="shared" si="938"/>
        <v>80076.27</v>
      </c>
      <c r="BB924" s="210"/>
      <c r="BC924" s="210"/>
      <c r="BD924" s="210"/>
      <c r="BE924" s="210"/>
      <c r="BF924" s="210"/>
      <c r="BG924" s="210"/>
      <c r="BH924" s="217"/>
      <c r="BI924" s="210"/>
      <c r="BJ924" s="210"/>
      <c r="BK924" s="210"/>
      <c r="BL924" s="210"/>
      <c r="BM924" s="208"/>
      <c r="BN924" s="160"/>
      <c r="BO924" s="161"/>
      <c r="BP924" s="161"/>
    </row>
    <row r="925" spans="1:68" ht="51">
      <c r="A925" s="210"/>
      <c r="B925" s="195" t="s">
        <v>7268</v>
      </c>
      <c r="C925" s="196" t="s">
        <v>7269</v>
      </c>
      <c r="D925" s="146" t="s">
        <v>4692</v>
      </c>
      <c r="E925" s="196" t="s">
        <v>7269</v>
      </c>
      <c r="F925" s="150">
        <v>0</v>
      </c>
      <c r="G925" s="209">
        <v>5356.44</v>
      </c>
      <c r="H925" s="209"/>
      <c r="I925" s="209">
        <v>5356.44</v>
      </c>
      <c r="J925" s="150">
        <v>0</v>
      </c>
      <c r="K925" s="150">
        <v>0</v>
      </c>
      <c r="L925" s="150">
        <f t="shared" si="958"/>
        <v>0</v>
      </c>
      <c r="M925" s="150">
        <v>0</v>
      </c>
      <c r="N925" s="150"/>
      <c r="O925" s="150">
        <v>0</v>
      </c>
      <c r="P925" s="150">
        <v>0</v>
      </c>
      <c r="Q925" s="150">
        <v>0</v>
      </c>
      <c r="R925" s="150">
        <f t="shared" si="944"/>
        <v>0</v>
      </c>
      <c r="S925" s="150">
        <f t="shared" si="953"/>
        <v>0</v>
      </c>
      <c r="T925" s="150"/>
      <c r="U925" s="150">
        <v>0</v>
      </c>
      <c r="V925" s="199"/>
      <c r="W925" s="150">
        <f t="shared" si="945"/>
        <v>0</v>
      </c>
      <c r="X925" s="150">
        <v>0</v>
      </c>
      <c r="Y925" s="150"/>
      <c r="Z925" s="150">
        <v>0</v>
      </c>
      <c r="AA925" s="150">
        <f t="shared" si="954"/>
        <v>0</v>
      </c>
      <c r="AB925" s="150">
        <v>0</v>
      </c>
      <c r="AC925" s="199"/>
      <c r="AD925" s="150">
        <f t="shared" si="946"/>
        <v>0</v>
      </c>
      <c r="AE925" s="150">
        <v>0</v>
      </c>
      <c r="AF925" s="169" t="s">
        <v>4680</v>
      </c>
      <c r="AG925" s="201">
        <v>0</v>
      </c>
      <c r="AH925" s="199"/>
      <c r="AI925" s="150">
        <v>0</v>
      </c>
      <c r="AJ925" s="169">
        <f t="shared" si="955"/>
        <v>0</v>
      </c>
      <c r="AK925" s="201">
        <v>0</v>
      </c>
      <c r="AL925" s="199"/>
      <c r="AM925" s="150">
        <f t="shared" si="947"/>
        <v>0</v>
      </c>
      <c r="AN925" s="153">
        <f t="shared" si="956"/>
        <v>0</v>
      </c>
      <c r="AO925" s="154">
        <f t="shared" si="957"/>
        <v>0</v>
      </c>
      <c r="AP925" s="150">
        <v>0</v>
      </c>
      <c r="AQ925" s="201">
        <v>0</v>
      </c>
      <c r="AR925" s="199"/>
      <c r="AS925" s="150">
        <f t="shared" si="948"/>
        <v>0</v>
      </c>
      <c r="AT925" s="155"/>
      <c r="AU925" s="156">
        <f t="shared" si="949"/>
        <v>0</v>
      </c>
      <c r="AV925" s="156">
        <f t="shared" si="950"/>
        <v>0</v>
      </c>
      <c r="AW925" s="157"/>
      <c r="AX925" s="150">
        <v>0</v>
      </c>
      <c r="AY925" s="150">
        <v>0</v>
      </c>
      <c r="AZ925" s="150"/>
      <c r="BA925" s="150">
        <f t="shared" si="938"/>
        <v>0</v>
      </c>
      <c r="BB925" s="210"/>
      <c r="BC925" s="210"/>
      <c r="BD925" s="210"/>
      <c r="BE925" s="210"/>
      <c r="BF925" s="210"/>
      <c r="BG925" s="210"/>
      <c r="BH925" s="217"/>
      <c r="BI925" s="210"/>
      <c r="BJ925" s="210"/>
      <c r="BK925" s="210"/>
      <c r="BL925" s="210"/>
      <c r="BM925" s="208"/>
      <c r="BN925" s="160"/>
      <c r="BO925" s="161"/>
      <c r="BP925" s="161"/>
    </row>
    <row r="926" spans="1:68" ht="51">
      <c r="A926" s="210"/>
      <c r="B926" s="195" t="s">
        <v>7270</v>
      </c>
      <c r="C926" s="196" t="s">
        <v>7271</v>
      </c>
      <c r="D926" s="146" t="s">
        <v>4692</v>
      </c>
      <c r="E926" s="196" t="s">
        <v>7271</v>
      </c>
      <c r="F926" s="150">
        <v>5356.44</v>
      </c>
      <c r="G926" s="209">
        <v>0</v>
      </c>
      <c r="H926" s="209"/>
      <c r="I926" s="209">
        <v>0</v>
      </c>
      <c r="J926" s="150">
        <v>242.29</v>
      </c>
      <c r="K926" s="150">
        <v>0</v>
      </c>
      <c r="L926" s="150">
        <f t="shared" si="958"/>
        <v>242.29</v>
      </c>
      <c r="M926" s="150">
        <v>449.86</v>
      </c>
      <c r="N926" s="150"/>
      <c r="O926" s="150">
        <v>449.86</v>
      </c>
      <c r="P926" s="150">
        <v>4557.43</v>
      </c>
      <c r="Q926" s="150">
        <v>0</v>
      </c>
      <c r="R926" s="150">
        <f t="shared" si="944"/>
        <v>4557.43</v>
      </c>
      <c r="S926" s="150">
        <f t="shared" si="953"/>
        <v>6076.5733333333337</v>
      </c>
      <c r="T926" s="150"/>
      <c r="U926" s="150">
        <v>4557.43</v>
      </c>
      <c r="V926" s="199"/>
      <c r="W926" s="150">
        <f t="shared" si="945"/>
        <v>4557.43</v>
      </c>
      <c r="X926" s="150">
        <v>4557.43</v>
      </c>
      <c r="Y926" s="150"/>
      <c r="Z926" s="150">
        <v>4557.43</v>
      </c>
      <c r="AA926" s="150">
        <f t="shared" si="954"/>
        <v>0</v>
      </c>
      <c r="AB926" s="150">
        <v>4557.43</v>
      </c>
      <c r="AC926" s="199"/>
      <c r="AD926" s="150">
        <f t="shared" si="946"/>
        <v>4557.43</v>
      </c>
      <c r="AE926" s="150">
        <v>4557.43</v>
      </c>
      <c r="AF926" s="169" t="s">
        <v>4680</v>
      </c>
      <c r="AG926" s="201">
        <v>4557.43</v>
      </c>
      <c r="AH926" s="199"/>
      <c r="AI926" s="150">
        <v>4557.43</v>
      </c>
      <c r="AJ926" s="169">
        <f t="shared" si="955"/>
        <v>0</v>
      </c>
      <c r="AK926" s="201">
        <v>4557.43</v>
      </c>
      <c r="AL926" s="199"/>
      <c r="AM926" s="150">
        <f t="shared" si="947"/>
        <v>4557.43</v>
      </c>
      <c r="AN926" s="153">
        <f t="shared" si="956"/>
        <v>0</v>
      </c>
      <c r="AO926" s="154">
        <f t="shared" si="957"/>
        <v>0</v>
      </c>
      <c r="AP926" s="150">
        <v>4557.43</v>
      </c>
      <c r="AQ926" s="201">
        <v>4557.43</v>
      </c>
      <c r="AR926" s="199"/>
      <c r="AS926" s="150">
        <f t="shared" si="948"/>
        <v>4557.43</v>
      </c>
      <c r="AT926" s="155"/>
      <c r="AU926" s="156">
        <f t="shared" si="949"/>
        <v>0</v>
      </c>
      <c r="AV926" s="156">
        <f t="shared" si="950"/>
        <v>0</v>
      </c>
      <c r="AW926" s="157"/>
      <c r="AX926" s="150">
        <v>4557.43</v>
      </c>
      <c r="AY926" s="150">
        <v>449.86</v>
      </c>
      <c r="AZ926" s="237">
        <v>79976.27</v>
      </c>
      <c r="BA926" s="150">
        <f t="shared" si="938"/>
        <v>80426.13</v>
      </c>
      <c r="BB926" s="210"/>
      <c r="BC926" s="210"/>
      <c r="BD926" s="210"/>
      <c r="BE926" s="210"/>
      <c r="BF926" s="210"/>
      <c r="BG926" s="210"/>
      <c r="BH926" s="217"/>
      <c r="BI926" s="210"/>
      <c r="BJ926" s="210"/>
      <c r="BK926" s="210"/>
      <c r="BL926" s="210"/>
      <c r="BM926" s="208"/>
      <c r="BN926" s="160"/>
      <c r="BO926" s="161"/>
      <c r="BP926" s="161"/>
    </row>
    <row r="927" spans="1:68" ht="38.25">
      <c r="A927" s="206" t="s">
        <v>407</v>
      </c>
      <c r="B927" s="195" t="s">
        <v>7272</v>
      </c>
      <c r="C927" s="196" t="s">
        <v>7273</v>
      </c>
      <c r="D927" s="146" t="s">
        <v>4692</v>
      </c>
      <c r="E927" s="196" t="s">
        <v>7273</v>
      </c>
      <c r="F927" s="150">
        <v>0</v>
      </c>
      <c r="G927" s="209">
        <v>925690.09</v>
      </c>
      <c r="H927" s="209"/>
      <c r="I927" s="209">
        <v>925690.09</v>
      </c>
      <c r="J927" s="150">
        <v>0</v>
      </c>
      <c r="K927" s="150">
        <v>0</v>
      </c>
      <c r="L927" s="150">
        <f t="shared" si="958"/>
        <v>0</v>
      </c>
      <c r="M927" s="150">
        <v>0</v>
      </c>
      <c r="N927" s="150"/>
      <c r="O927" s="150">
        <v>0</v>
      </c>
      <c r="P927" s="150">
        <v>0</v>
      </c>
      <c r="Q927" s="150">
        <v>0</v>
      </c>
      <c r="R927" s="150">
        <f t="shared" si="944"/>
        <v>0</v>
      </c>
      <c r="S927" s="150">
        <f t="shared" si="953"/>
        <v>0</v>
      </c>
      <c r="T927" s="150"/>
      <c r="U927" s="150">
        <v>0</v>
      </c>
      <c r="V927" s="199"/>
      <c r="W927" s="150">
        <f t="shared" si="945"/>
        <v>0</v>
      </c>
      <c r="X927" s="150">
        <v>0</v>
      </c>
      <c r="Y927" s="150"/>
      <c r="Z927" s="150">
        <v>0</v>
      </c>
      <c r="AA927" s="150">
        <f t="shared" si="954"/>
        <v>0</v>
      </c>
      <c r="AB927" s="150">
        <v>0</v>
      </c>
      <c r="AC927" s="199"/>
      <c r="AD927" s="150">
        <f t="shared" si="946"/>
        <v>0</v>
      </c>
      <c r="AE927" s="150">
        <v>0</v>
      </c>
      <c r="AF927" s="169" t="s">
        <v>4680</v>
      </c>
      <c r="AG927" s="201">
        <v>0</v>
      </c>
      <c r="AH927" s="199"/>
      <c r="AI927" s="150">
        <v>0</v>
      </c>
      <c r="AJ927" s="169">
        <f t="shared" si="955"/>
        <v>0</v>
      </c>
      <c r="AK927" s="201">
        <v>0</v>
      </c>
      <c r="AL927" s="199"/>
      <c r="AM927" s="150">
        <f t="shared" si="947"/>
        <v>0</v>
      </c>
      <c r="AN927" s="153">
        <f t="shared" si="956"/>
        <v>0</v>
      </c>
      <c r="AO927" s="154">
        <f t="shared" si="957"/>
        <v>0</v>
      </c>
      <c r="AP927" s="150">
        <v>0</v>
      </c>
      <c r="AQ927" s="201">
        <v>0</v>
      </c>
      <c r="AR927" s="199"/>
      <c r="AS927" s="150">
        <f t="shared" si="948"/>
        <v>0</v>
      </c>
      <c r="AT927" s="155"/>
      <c r="AU927" s="156">
        <f t="shared" si="949"/>
        <v>0</v>
      </c>
      <c r="AV927" s="156">
        <f t="shared" si="950"/>
        <v>0</v>
      </c>
      <c r="AW927" s="157"/>
      <c r="AX927" s="150">
        <v>0</v>
      </c>
      <c r="AY927" s="150">
        <v>0</v>
      </c>
      <c r="AZ927" s="150"/>
      <c r="BA927" s="150">
        <f t="shared" si="938"/>
        <v>0</v>
      </c>
      <c r="BB927" s="202">
        <v>5</v>
      </c>
      <c r="BC927" s="202" t="s">
        <v>647</v>
      </c>
      <c r="BD927" s="202" t="s">
        <v>632</v>
      </c>
      <c r="BE927" s="202" t="s">
        <v>1257</v>
      </c>
      <c r="BF927" s="202" t="s">
        <v>1243</v>
      </c>
      <c r="BG927" s="203" t="s">
        <v>7274</v>
      </c>
      <c r="BH927" s="216">
        <f>SUM(AS927:AS933)</f>
        <v>808628.07000000007</v>
      </c>
      <c r="BI927" s="205"/>
      <c r="BJ927" s="206" t="s">
        <v>7226</v>
      </c>
      <c r="BK927" s="206" t="s">
        <v>407</v>
      </c>
      <c r="BL927" s="207" t="s">
        <v>7227</v>
      </c>
      <c r="BM927" s="208">
        <f>BH927</f>
        <v>808628.07000000007</v>
      </c>
      <c r="BN927" s="160"/>
      <c r="BO927" s="161"/>
      <c r="BP927" s="161"/>
    </row>
    <row r="928" spans="1:68" ht="51">
      <c r="A928" s="210"/>
      <c r="B928" s="195" t="s">
        <v>7275</v>
      </c>
      <c r="C928" s="196" t="s">
        <v>7276</v>
      </c>
      <c r="D928" s="146" t="s">
        <v>4692</v>
      </c>
      <c r="E928" s="311" t="s">
        <v>7276</v>
      </c>
      <c r="F928" s="150">
        <v>945592.85</v>
      </c>
      <c r="G928" s="312">
        <v>0</v>
      </c>
      <c r="H928" s="312"/>
      <c r="I928" s="312">
        <v>0</v>
      </c>
      <c r="J928" s="150">
        <v>119977.05</v>
      </c>
      <c r="K928" s="150">
        <v>8698.69</v>
      </c>
      <c r="L928" s="150">
        <f t="shared" si="958"/>
        <v>128675.74</v>
      </c>
      <c r="M928" s="150">
        <v>351853.4</v>
      </c>
      <c r="N928" s="150"/>
      <c r="O928" s="150">
        <v>351853.4</v>
      </c>
      <c r="P928" s="150">
        <v>561365.5</v>
      </c>
      <c r="Q928" s="150">
        <v>0</v>
      </c>
      <c r="R928" s="150">
        <f t="shared" si="944"/>
        <v>561365.5</v>
      </c>
      <c r="S928" s="150">
        <f t="shared" si="953"/>
        <v>748487.33333333337</v>
      </c>
      <c r="T928" s="150"/>
      <c r="U928" s="150">
        <v>774701.26</v>
      </c>
      <c r="V928" s="199"/>
      <c r="W928" s="150">
        <f t="shared" si="945"/>
        <v>774701.26</v>
      </c>
      <c r="X928" s="150">
        <v>774701.26</v>
      </c>
      <c r="Y928" s="150"/>
      <c r="Z928" s="150">
        <v>774701.26</v>
      </c>
      <c r="AA928" s="150">
        <f t="shared" si="954"/>
        <v>22500</v>
      </c>
      <c r="AB928" s="150">
        <v>797201.26</v>
      </c>
      <c r="AC928" s="199"/>
      <c r="AD928" s="150">
        <f t="shared" si="946"/>
        <v>797201.26</v>
      </c>
      <c r="AE928" s="150">
        <v>797201.26</v>
      </c>
      <c r="AF928" s="169" t="s">
        <v>4680</v>
      </c>
      <c r="AG928" s="201">
        <v>797201.26</v>
      </c>
      <c r="AH928" s="199"/>
      <c r="AI928" s="150">
        <v>797201.26</v>
      </c>
      <c r="AJ928" s="169">
        <f t="shared" si="955"/>
        <v>0</v>
      </c>
      <c r="AK928" s="201">
        <v>797201.26</v>
      </c>
      <c r="AL928" s="199"/>
      <c r="AM928" s="150">
        <f t="shared" si="947"/>
        <v>797201.26</v>
      </c>
      <c r="AN928" s="153">
        <f t="shared" si="956"/>
        <v>0</v>
      </c>
      <c r="AO928" s="154">
        <f t="shared" si="957"/>
        <v>0</v>
      </c>
      <c r="AP928" s="150">
        <v>797201.26</v>
      </c>
      <c r="AQ928" s="201">
        <v>797201.26</v>
      </c>
      <c r="AR928" s="199"/>
      <c r="AS928" s="150">
        <f t="shared" si="948"/>
        <v>797201.26</v>
      </c>
      <c r="AT928" s="155" t="s">
        <v>7277</v>
      </c>
      <c r="AU928" s="156">
        <f t="shared" si="949"/>
        <v>0</v>
      </c>
      <c r="AV928" s="156">
        <f t="shared" si="950"/>
        <v>22500</v>
      </c>
      <c r="AW928" s="157" t="s">
        <v>7277</v>
      </c>
      <c r="AX928" s="150">
        <v>774701.26</v>
      </c>
      <c r="AY928" s="150">
        <v>436868.61</v>
      </c>
      <c r="AZ928" s="237">
        <v>79976.27</v>
      </c>
      <c r="BA928" s="150">
        <f t="shared" si="938"/>
        <v>516844.88</v>
      </c>
      <c r="BB928" s="210"/>
      <c r="BC928" s="210"/>
      <c r="BD928" s="210"/>
      <c r="BE928" s="210"/>
      <c r="BF928" s="210"/>
      <c r="BG928" s="210"/>
      <c r="BH928" s="217"/>
      <c r="BI928" s="210"/>
      <c r="BJ928" s="210"/>
      <c r="BK928" s="210"/>
      <c r="BL928" s="210"/>
      <c r="BM928" s="208"/>
      <c r="BN928" s="160"/>
      <c r="BO928" s="161"/>
      <c r="BP928" s="161"/>
    </row>
    <row r="929" spans="1:68" ht="51">
      <c r="A929" s="210"/>
      <c r="B929" s="195" t="s">
        <v>7278</v>
      </c>
      <c r="C929" s="196" t="s">
        <v>7279</v>
      </c>
      <c r="D929" s="146" t="s">
        <v>4692</v>
      </c>
      <c r="E929" s="196" t="s">
        <v>7279</v>
      </c>
      <c r="F929" s="150">
        <v>0</v>
      </c>
      <c r="G929" s="209">
        <v>0</v>
      </c>
      <c r="H929" s="209"/>
      <c r="I929" s="209">
        <v>0</v>
      </c>
      <c r="J929" s="150">
        <v>0</v>
      </c>
      <c r="K929" s="150">
        <v>0</v>
      </c>
      <c r="L929" s="150">
        <f t="shared" si="958"/>
        <v>0</v>
      </c>
      <c r="M929" s="150">
        <v>0</v>
      </c>
      <c r="N929" s="150"/>
      <c r="O929" s="150">
        <v>0</v>
      </c>
      <c r="P929" s="150">
        <v>0</v>
      </c>
      <c r="Q929" s="150">
        <v>0</v>
      </c>
      <c r="R929" s="150">
        <f t="shared" si="944"/>
        <v>0</v>
      </c>
      <c r="S929" s="150">
        <f t="shared" si="953"/>
        <v>0</v>
      </c>
      <c r="T929" s="150"/>
      <c r="U929" s="150">
        <v>0</v>
      </c>
      <c r="V929" s="199"/>
      <c r="W929" s="150">
        <f t="shared" si="945"/>
        <v>0</v>
      </c>
      <c r="X929" s="150">
        <v>0</v>
      </c>
      <c r="Y929" s="150"/>
      <c r="Z929" s="150">
        <v>0</v>
      </c>
      <c r="AA929" s="150">
        <f t="shared" si="954"/>
        <v>0</v>
      </c>
      <c r="AB929" s="150">
        <v>0</v>
      </c>
      <c r="AC929" s="199"/>
      <c r="AD929" s="150">
        <f t="shared" si="946"/>
        <v>0</v>
      </c>
      <c r="AE929" s="150">
        <v>0</v>
      </c>
      <c r="AF929" s="169" t="s">
        <v>4680</v>
      </c>
      <c r="AG929" s="201">
        <v>0</v>
      </c>
      <c r="AH929" s="199"/>
      <c r="AI929" s="150">
        <v>0</v>
      </c>
      <c r="AJ929" s="169">
        <f t="shared" si="955"/>
        <v>0</v>
      </c>
      <c r="AK929" s="201">
        <v>0</v>
      </c>
      <c r="AL929" s="199"/>
      <c r="AM929" s="150">
        <f t="shared" si="947"/>
        <v>0</v>
      </c>
      <c r="AN929" s="153">
        <f t="shared" si="956"/>
        <v>0</v>
      </c>
      <c r="AO929" s="154">
        <f t="shared" si="957"/>
        <v>0</v>
      </c>
      <c r="AP929" s="150">
        <v>0</v>
      </c>
      <c r="AQ929" s="201">
        <v>0</v>
      </c>
      <c r="AR929" s="199"/>
      <c r="AS929" s="150">
        <f t="shared" si="948"/>
        <v>0</v>
      </c>
      <c r="AT929" s="155"/>
      <c r="AU929" s="156">
        <f t="shared" si="949"/>
        <v>0</v>
      </c>
      <c r="AV929" s="156">
        <f t="shared" si="950"/>
        <v>0</v>
      </c>
      <c r="AW929" s="157"/>
      <c r="AX929" s="150">
        <v>0</v>
      </c>
      <c r="AY929" s="150">
        <v>0</v>
      </c>
      <c r="AZ929" s="150"/>
      <c r="BA929" s="150">
        <f t="shared" si="938"/>
        <v>0</v>
      </c>
      <c r="BB929" s="210"/>
      <c r="BC929" s="210"/>
      <c r="BD929" s="210"/>
      <c r="BE929" s="210"/>
      <c r="BF929" s="210"/>
      <c r="BG929" s="210"/>
      <c r="BH929" s="217"/>
      <c r="BI929" s="210"/>
      <c r="BJ929" s="210"/>
      <c r="BK929" s="210"/>
      <c r="BL929" s="210"/>
      <c r="BM929" s="208"/>
      <c r="BN929" s="160"/>
      <c r="BO929" s="161"/>
      <c r="BP929" s="161"/>
    </row>
    <row r="930" spans="1:68" ht="38.25">
      <c r="A930" s="210"/>
      <c r="B930" s="195" t="s">
        <v>7280</v>
      </c>
      <c r="C930" s="196" t="s">
        <v>7281</v>
      </c>
      <c r="D930" s="146" t="s">
        <v>4692</v>
      </c>
      <c r="E930" s="196" t="s">
        <v>7281</v>
      </c>
      <c r="F930" s="150">
        <v>0</v>
      </c>
      <c r="G930" s="209">
        <v>0</v>
      </c>
      <c r="H930" s="209"/>
      <c r="I930" s="209">
        <v>0</v>
      </c>
      <c r="J930" s="150">
        <v>0</v>
      </c>
      <c r="K930" s="150">
        <v>0</v>
      </c>
      <c r="L930" s="150">
        <f t="shared" si="958"/>
        <v>0</v>
      </c>
      <c r="M930" s="150">
        <v>0</v>
      </c>
      <c r="N930" s="150"/>
      <c r="O930" s="150">
        <v>0</v>
      </c>
      <c r="P930" s="150">
        <v>0</v>
      </c>
      <c r="Q930" s="150">
        <v>0</v>
      </c>
      <c r="R930" s="150">
        <f t="shared" si="944"/>
        <v>0</v>
      </c>
      <c r="S930" s="150">
        <f t="shared" si="953"/>
        <v>0</v>
      </c>
      <c r="T930" s="150"/>
      <c r="U930" s="150">
        <v>0</v>
      </c>
      <c r="V930" s="199"/>
      <c r="W930" s="150">
        <f t="shared" si="945"/>
        <v>0</v>
      </c>
      <c r="X930" s="150">
        <v>0</v>
      </c>
      <c r="Y930" s="150"/>
      <c r="Z930" s="150">
        <v>0</v>
      </c>
      <c r="AA930" s="150">
        <f t="shared" si="954"/>
        <v>0</v>
      </c>
      <c r="AB930" s="150">
        <v>0</v>
      </c>
      <c r="AC930" s="199"/>
      <c r="AD930" s="150">
        <f t="shared" si="946"/>
        <v>0</v>
      </c>
      <c r="AE930" s="150">
        <v>0</v>
      </c>
      <c r="AF930" s="169" t="s">
        <v>4680</v>
      </c>
      <c r="AG930" s="201">
        <v>0</v>
      </c>
      <c r="AH930" s="199"/>
      <c r="AI930" s="150">
        <v>0</v>
      </c>
      <c r="AJ930" s="169">
        <f t="shared" si="955"/>
        <v>0</v>
      </c>
      <c r="AK930" s="201">
        <v>0</v>
      </c>
      <c r="AL930" s="199"/>
      <c r="AM930" s="150">
        <f t="shared" si="947"/>
        <v>0</v>
      </c>
      <c r="AN930" s="153">
        <f t="shared" si="956"/>
        <v>0</v>
      </c>
      <c r="AO930" s="154">
        <f t="shared" si="957"/>
        <v>0</v>
      </c>
      <c r="AP930" s="150">
        <v>0</v>
      </c>
      <c r="AQ930" s="201">
        <v>0</v>
      </c>
      <c r="AR930" s="199"/>
      <c r="AS930" s="150">
        <f t="shared" si="948"/>
        <v>0</v>
      </c>
      <c r="AT930" s="155"/>
      <c r="AU930" s="156">
        <f t="shared" si="949"/>
        <v>0</v>
      </c>
      <c r="AV930" s="156">
        <f t="shared" si="950"/>
        <v>0</v>
      </c>
      <c r="AW930" s="157"/>
      <c r="AX930" s="150">
        <v>0</v>
      </c>
      <c r="AY930" s="150">
        <v>0</v>
      </c>
      <c r="AZ930" s="150"/>
      <c r="BA930" s="150">
        <f t="shared" si="938"/>
        <v>0</v>
      </c>
      <c r="BB930" s="210"/>
      <c r="BC930" s="210"/>
      <c r="BD930" s="210"/>
      <c r="BE930" s="210"/>
      <c r="BF930" s="210"/>
      <c r="BG930" s="210"/>
      <c r="BH930" s="217"/>
      <c r="BI930" s="210"/>
      <c r="BJ930" s="210"/>
      <c r="BK930" s="210"/>
      <c r="BL930" s="210"/>
      <c r="BM930" s="208"/>
      <c r="BN930" s="160"/>
      <c r="BO930" s="161"/>
      <c r="BP930" s="161"/>
    </row>
    <row r="931" spans="1:68" ht="51">
      <c r="A931" s="210"/>
      <c r="B931" s="195" t="s">
        <v>7282</v>
      </c>
      <c r="C931" s="196" t="s">
        <v>7283</v>
      </c>
      <c r="D931" s="146"/>
      <c r="E931" s="196" t="s">
        <v>7283</v>
      </c>
      <c r="F931" s="150"/>
      <c r="G931" s="209"/>
      <c r="H931" s="209"/>
      <c r="I931" s="209"/>
      <c r="J931" s="150"/>
      <c r="K931" s="150"/>
      <c r="L931" s="150"/>
      <c r="M931" s="150"/>
      <c r="N931" s="150"/>
      <c r="O931" s="150"/>
      <c r="P931" s="150"/>
      <c r="Q931" s="150"/>
      <c r="R931" s="150"/>
      <c r="S931" s="150"/>
      <c r="T931" s="150"/>
      <c r="U931" s="150">
        <v>11426.81</v>
      </c>
      <c r="V931" s="199"/>
      <c r="W931" s="150">
        <f t="shared" si="945"/>
        <v>11426.81</v>
      </c>
      <c r="X931" s="150">
        <v>11426.81</v>
      </c>
      <c r="Y931" s="150"/>
      <c r="Z931" s="150">
        <v>11426.81</v>
      </c>
      <c r="AA931" s="150">
        <f t="shared" si="954"/>
        <v>0</v>
      </c>
      <c r="AB931" s="150">
        <v>11426.81</v>
      </c>
      <c r="AC931" s="199"/>
      <c r="AD931" s="150">
        <f t="shared" si="946"/>
        <v>11426.81</v>
      </c>
      <c r="AE931" s="150">
        <v>11426.81</v>
      </c>
      <c r="AF931" s="169" t="s">
        <v>4680</v>
      </c>
      <c r="AG931" s="201">
        <v>11426.81</v>
      </c>
      <c r="AH931" s="199"/>
      <c r="AI931" s="150">
        <v>11426.81</v>
      </c>
      <c r="AJ931" s="169">
        <f t="shared" si="955"/>
        <v>0</v>
      </c>
      <c r="AK931" s="201">
        <v>11426.81</v>
      </c>
      <c r="AL931" s="199"/>
      <c r="AM931" s="150">
        <f t="shared" si="947"/>
        <v>11426.81</v>
      </c>
      <c r="AN931" s="153">
        <f t="shared" si="956"/>
        <v>0</v>
      </c>
      <c r="AO931" s="154">
        <f t="shared" si="957"/>
        <v>0</v>
      </c>
      <c r="AP931" s="150">
        <v>11426.81</v>
      </c>
      <c r="AQ931" s="201">
        <v>11426.81</v>
      </c>
      <c r="AR931" s="199"/>
      <c r="AS931" s="150">
        <f t="shared" si="948"/>
        <v>11426.81</v>
      </c>
      <c r="AT931" s="155"/>
      <c r="AU931" s="156">
        <f t="shared" si="949"/>
        <v>0</v>
      </c>
      <c r="AV931" s="156">
        <f t="shared" si="950"/>
        <v>0</v>
      </c>
      <c r="AW931" s="157"/>
      <c r="AX931" s="150">
        <v>11426.81</v>
      </c>
      <c r="AY931" s="150"/>
      <c r="AZ931" s="150"/>
      <c r="BA931" s="150"/>
      <c r="BB931" s="210"/>
      <c r="BC931" s="210"/>
      <c r="BD931" s="210"/>
      <c r="BE931" s="210"/>
      <c r="BF931" s="210"/>
      <c r="BG931" s="210"/>
      <c r="BH931" s="217"/>
      <c r="BI931" s="210"/>
      <c r="BJ931" s="210"/>
      <c r="BK931" s="210"/>
      <c r="BL931" s="210"/>
      <c r="BM931" s="208"/>
      <c r="BN931" s="160"/>
      <c r="BO931" s="161"/>
      <c r="BP931" s="161"/>
    </row>
    <row r="932" spans="1:68" ht="51">
      <c r="A932" s="210"/>
      <c r="B932" s="195" t="s">
        <v>7284</v>
      </c>
      <c r="C932" s="196" t="s">
        <v>7285</v>
      </c>
      <c r="D932" s="146" t="s">
        <v>4692</v>
      </c>
      <c r="E932" s="196" t="s">
        <v>7285</v>
      </c>
      <c r="F932" s="150">
        <v>0</v>
      </c>
      <c r="G932" s="209">
        <v>0</v>
      </c>
      <c r="H932" s="209"/>
      <c r="I932" s="209">
        <v>0</v>
      </c>
      <c r="J932" s="150">
        <v>0</v>
      </c>
      <c r="K932" s="150">
        <v>0</v>
      </c>
      <c r="L932" s="150">
        <f t="shared" si="958"/>
        <v>0</v>
      </c>
      <c r="M932" s="150">
        <v>0</v>
      </c>
      <c r="N932" s="150"/>
      <c r="O932" s="150">
        <v>0</v>
      </c>
      <c r="P932" s="150">
        <v>0</v>
      </c>
      <c r="Q932" s="150">
        <v>0</v>
      </c>
      <c r="R932" s="150">
        <f t="shared" si="944"/>
        <v>0</v>
      </c>
      <c r="S932" s="150">
        <f t="shared" si="953"/>
        <v>0</v>
      </c>
      <c r="T932" s="150"/>
      <c r="U932" s="150">
        <v>0</v>
      </c>
      <c r="V932" s="199"/>
      <c r="W932" s="150">
        <f t="shared" si="945"/>
        <v>0</v>
      </c>
      <c r="X932" s="150">
        <v>0</v>
      </c>
      <c r="Y932" s="150"/>
      <c r="Z932" s="150">
        <v>0</v>
      </c>
      <c r="AA932" s="150">
        <f t="shared" si="954"/>
        <v>0</v>
      </c>
      <c r="AB932" s="150">
        <v>0</v>
      </c>
      <c r="AC932" s="199"/>
      <c r="AD932" s="150">
        <f t="shared" si="946"/>
        <v>0</v>
      </c>
      <c r="AE932" s="150">
        <v>0</v>
      </c>
      <c r="AF932" s="169" t="s">
        <v>4680</v>
      </c>
      <c r="AG932" s="201">
        <v>0</v>
      </c>
      <c r="AH932" s="199"/>
      <c r="AI932" s="150">
        <v>0</v>
      </c>
      <c r="AJ932" s="169">
        <f t="shared" si="955"/>
        <v>0</v>
      </c>
      <c r="AK932" s="201">
        <v>0</v>
      </c>
      <c r="AL932" s="199"/>
      <c r="AM932" s="150">
        <f t="shared" si="947"/>
        <v>0</v>
      </c>
      <c r="AN932" s="153">
        <f t="shared" si="956"/>
        <v>0</v>
      </c>
      <c r="AO932" s="154">
        <f t="shared" si="957"/>
        <v>0</v>
      </c>
      <c r="AP932" s="150">
        <v>0</v>
      </c>
      <c r="AQ932" s="201">
        <v>0</v>
      </c>
      <c r="AR932" s="199"/>
      <c r="AS932" s="150">
        <f t="shared" si="948"/>
        <v>0</v>
      </c>
      <c r="AT932" s="155"/>
      <c r="AU932" s="156">
        <f t="shared" si="949"/>
        <v>0</v>
      </c>
      <c r="AV932" s="156">
        <f t="shared" si="950"/>
        <v>0</v>
      </c>
      <c r="AW932" s="157"/>
      <c r="AX932" s="150">
        <v>0</v>
      </c>
      <c r="AY932" s="150">
        <v>0</v>
      </c>
      <c r="AZ932" s="150"/>
      <c r="BA932" s="150">
        <f t="shared" si="938"/>
        <v>0</v>
      </c>
      <c r="BB932" s="210"/>
      <c r="BC932" s="210"/>
      <c r="BD932" s="210"/>
      <c r="BE932" s="210"/>
      <c r="BF932" s="210"/>
      <c r="BG932" s="210"/>
      <c r="BH932" s="217"/>
      <c r="BI932" s="210"/>
      <c r="BJ932" s="210"/>
      <c r="BK932" s="210"/>
      <c r="BL932" s="210"/>
      <c r="BM932" s="208"/>
      <c r="BN932" s="160"/>
      <c r="BO932" s="161"/>
      <c r="BP932" s="161"/>
    </row>
    <row r="933" spans="1:68" ht="38.25">
      <c r="A933" s="210"/>
      <c r="B933" s="195" t="s">
        <v>7286</v>
      </c>
      <c r="C933" s="196" t="s">
        <v>7287</v>
      </c>
      <c r="D933" s="146" t="s">
        <v>4692</v>
      </c>
      <c r="E933" s="196" t="s">
        <v>7287</v>
      </c>
      <c r="F933" s="150">
        <v>0</v>
      </c>
      <c r="G933" s="209">
        <v>0</v>
      </c>
      <c r="H933" s="209"/>
      <c r="I933" s="209">
        <v>0</v>
      </c>
      <c r="J933" s="150">
        <v>0</v>
      </c>
      <c r="K933" s="150">
        <v>0</v>
      </c>
      <c r="L933" s="150">
        <f t="shared" si="958"/>
        <v>0</v>
      </c>
      <c r="M933" s="150">
        <v>0</v>
      </c>
      <c r="N933" s="150"/>
      <c r="O933" s="150">
        <v>0</v>
      </c>
      <c r="P933" s="150">
        <v>0</v>
      </c>
      <c r="Q933" s="150">
        <v>0</v>
      </c>
      <c r="R933" s="150">
        <f t="shared" si="944"/>
        <v>0</v>
      </c>
      <c r="S933" s="150">
        <f t="shared" si="953"/>
        <v>0</v>
      </c>
      <c r="T933" s="150"/>
      <c r="U933" s="150">
        <v>0</v>
      </c>
      <c r="V933" s="199"/>
      <c r="W933" s="150">
        <f t="shared" si="945"/>
        <v>0</v>
      </c>
      <c r="X933" s="150">
        <v>0</v>
      </c>
      <c r="Y933" s="150"/>
      <c r="Z933" s="150">
        <v>0</v>
      </c>
      <c r="AA933" s="150">
        <f t="shared" si="954"/>
        <v>0</v>
      </c>
      <c r="AB933" s="150">
        <v>0</v>
      </c>
      <c r="AC933" s="199"/>
      <c r="AD933" s="150">
        <f t="shared" si="946"/>
        <v>0</v>
      </c>
      <c r="AE933" s="150">
        <v>0</v>
      </c>
      <c r="AF933" s="169" t="s">
        <v>4680</v>
      </c>
      <c r="AG933" s="201">
        <v>0</v>
      </c>
      <c r="AH933" s="199"/>
      <c r="AI933" s="150">
        <v>0</v>
      </c>
      <c r="AJ933" s="169">
        <f t="shared" si="955"/>
        <v>0</v>
      </c>
      <c r="AK933" s="201">
        <v>0</v>
      </c>
      <c r="AL933" s="199"/>
      <c r="AM933" s="150">
        <f t="shared" si="947"/>
        <v>0</v>
      </c>
      <c r="AN933" s="153">
        <f t="shared" si="956"/>
        <v>0</v>
      </c>
      <c r="AO933" s="154">
        <f t="shared" si="957"/>
        <v>0</v>
      </c>
      <c r="AP933" s="150">
        <v>0</v>
      </c>
      <c r="AQ933" s="201">
        <v>0</v>
      </c>
      <c r="AR933" s="199"/>
      <c r="AS933" s="150">
        <f t="shared" si="948"/>
        <v>0</v>
      </c>
      <c r="AT933" s="155"/>
      <c r="AU933" s="156">
        <f t="shared" si="949"/>
        <v>0</v>
      </c>
      <c r="AV933" s="156">
        <f t="shared" si="950"/>
        <v>0</v>
      </c>
      <c r="AW933" s="157"/>
      <c r="AX933" s="150">
        <v>0</v>
      </c>
      <c r="AY933" s="150">
        <v>0</v>
      </c>
      <c r="AZ933" s="150"/>
      <c r="BA933" s="150">
        <f t="shared" si="938"/>
        <v>0</v>
      </c>
      <c r="BB933" s="210"/>
      <c r="BC933" s="210"/>
      <c r="BD933" s="210"/>
      <c r="BE933" s="210"/>
      <c r="BF933" s="210"/>
      <c r="BG933" s="210"/>
      <c r="BH933" s="217"/>
      <c r="BI933" s="210"/>
      <c r="BJ933" s="210"/>
      <c r="BK933" s="210"/>
      <c r="BL933" s="210"/>
      <c r="BM933" s="208"/>
      <c r="BN933" s="160"/>
      <c r="BO933" s="161"/>
      <c r="BP933" s="161"/>
    </row>
    <row r="934" spans="1:68" ht="51">
      <c r="A934" s="261" t="s">
        <v>409</v>
      </c>
      <c r="B934" s="228" t="s">
        <v>7288</v>
      </c>
      <c r="C934" s="229" t="s">
        <v>7289</v>
      </c>
      <c r="D934" s="146" t="s">
        <v>4692</v>
      </c>
      <c r="E934" s="196" t="s">
        <v>7289</v>
      </c>
      <c r="F934" s="150">
        <v>82311</v>
      </c>
      <c r="G934" s="209">
        <v>0</v>
      </c>
      <c r="H934" s="209"/>
      <c r="I934" s="209">
        <v>0</v>
      </c>
      <c r="J934" s="150">
        <v>0</v>
      </c>
      <c r="K934" s="150">
        <v>0</v>
      </c>
      <c r="L934" s="150">
        <f t="shared" si="958"/>
        <v>0</v>
      </c>
      <c r="M934" s="150">
        <v>0</v>
      </c>
      <c r="N934" s="150">
        <v>41155.5</v>
      </c>
      <c r="O934" s="150">
        <v>41155.5</v>
      </c>
      <c r="P934" s="150">
        <v>0</v>
      </c>
      <c r="Q934" s="150">
        <v>0</v>
      </c>
      <c r="R934" s="150">
        <f t="shared" si="944"/>
        <v>0</v>
      </c>
      <c r="S934" s="150">
        <f t="shared" si="953"/>
        <v>0</v>
      </c>
      <c r="T934" s="150"/>
      <c r="U934" s="150">
        <v>0</v>
      </c>
      <c r="V934" s="199"/>
      <c r="W934" s="150">
        <f t="shared" si="945"/>
        <v>0</v>
      </c>
      <c r="X934" s="150">
        <v>0</v>
      </c>
      <c r="Y934" s="150"/>
      <c r="Z934" s="150">
        <v>0</v>
      </c>
      <c r="AA934" s="150">
        <f t="shared" si="954"/>
        <v>0</v>
      </c>
      <c r="AB934" s="150">
        <v>0</v>
      </c>
      <c r="AC934" s="199"/>
      <c r="AD934" s="150">
        <f t="shared" si="946"/>
        <v>0</v>
      </c>
      <c r="AE934" s="150">
        <v>0</v>
      </c>
      <c r="AF934" s="169" t="s">
        <v>4680</v>
      </c>
      <c r="AG934" s="201">
        <v>0</v>
      </c>
      <c r="AH934" s="199"/>
      <c r="AI934" s="150">
        <v>0</v>
      </c>
      <c r="AJ934" s="169">
        <f t="shared" si="955"/>
        <v>0</v>
      </c>
      <c r="AK934" s="201">
        <v>0</v>
      </c>
      <c r="AL934" s="199"/>
      <c r="AM934" s="150">
        <f t="shared" si="947"/>
        <v>0</v>
      </c>
      <c r="AN934" s="153">
        <f t="shared" si="956"/>
        <v>0</v>
      </c>
      <c r="AO934" s="154">
        <f t="shared" si="957"/>
        <v>0</v>
      </c>
      <c r="AP934" s="150">
        <v>0</v>
      </c>
      <c r="AQ934" s="201">
        <v>0</v>
      </c>
      <c r="AR934" s="199"/>
      <c r="AS934" s="150">
        <f t="shared" si="948"/>
        <v>0</v>
      </c>
      <c r="AT934" s="155" t="s">
        <v>4796</v>
      </c>
      <c r="AU934" s="156">
        <f t="shared" si="949"/>
        <v>0</v>
      </c>
      <c r="AV934" s="156">
        <f t="shared" si="950"/>
        <v>0</v>
      </c>
      <c r="AW934" s="157" t="s">
        <v>4796</v>
      </c>
      <c r="AX934" s="150">
        <v>0</v>
      </c>
      <c r="AY934" s="150">
        <v>0</v>
      </c>
      <c r="AZ934" s="237"/>
      <c r="BA934" s="150">
        <f t="shared" si="938"/>
        <v>0</v>
      </c>
      <c r="BB934" s="202">
        <v>5</v>
      </c>
      <c r="BC934" s="202" t="s">
        <v>647</v>
      </c>
      <c r="BD934" s="202" t="s">
        <v>632</v>
      </c>
      <c r="BE934" s="202" t="s">
        <v>1257</v>
      </c>
      <c r="BF934" s="202" t="s">
        <v>1247</v>
      </c>
      <c r="BG934" s="203" t="s">
        <v>410</v>
      </c>
      <c r="BH934" s="216">
        <f>SUM(AS934:AS937)</f>
        <v>0</v>
      </c>
      <c r="BI934" s="206" t="s">
        <v>1519</v>
      </c>
      <c r="BJ934" s="206" t="s">
        <v>7290</v>
      </c>
      <c r="BK934" s="206" t="s">
        <v>409</v>
      </c>
      <c r="BL934" s="207" t="s">
        <v>7291</v>
      </c>
      <c r="BM934" s="208">
        <f>BH934</f>
        <v>0</v>
      </c>
      <c r="BN934" s="160"/>
      <c r="BO934" s="161">
        <f t="shared" ref="BO934:BO940" si="959">BM934-AS934</f>
        <v>0</v>
      </c>
      <c r="BP934" s="161"/>
    </row>
    <row r="935" spans="1:68" ht="38.25">
      <c r="A935" s="308"/>
      <c r="B935" s="228" t="s">
        <v>7292</v>
      </c>
      <c r="C935" s="229" t="s">
        <v>7293</v>
      </c>
      <c r="D935" s="146" t="s">
        <v>4692</v>
      </c>
      <c r="E935" s="196" t="s">
        <v>7294</v>
      </c>
      <c r="F935" s="150">
        <v>0</v>
      </c>
      <c r="G935" s="209">
        <v>0</v>
      </c>
      <c r="H935" s="209"/>
      <c r="I935" s="209">
        <v>0</v>
      </c>
      <c r="J935" s="150">
        <v>0</v>
      </c>
      <c r="K935" s="150">
        <v>0</v>
      </c>
      <c r="L935" s="150">
        <f t="shared" si="958"/>
        <v>0</v>
      </c>
      <c r="M935" s="150">
        <v>0</v>
      </c>
      <c r="N935" s="150"/>
      <c r="O935" s="150">
        <v>0</v>
      </c>
      <c r="P935" s="150">
        <v>0</v>
      </c>
      <c r="Q935" s="150">
        <v>0</v>
      </c>
      <c r="R935" s="150">
        <f t="shared" si="944"/>
        <v>0</v>
      </c>
      <c r="S935" s="150">
        <f t="shared" si="953"/>
        <v>0</v>
      </c>
      <c r="T935" s="150"/>
      <c r="U935" s="150">
        <v>0</v>
      </c>
      <c r="V935" s="199"/>
      <c r="W935" s="150">
        <f t="shared" si="945"/>
        <v>0</v>
      </c>
      <c r="X935" s="150">
        <v>0</v>
      </c>
      <c r="Y935" s="150"/>
      <c r="Z935" s="150">
        <v>0</v>
      </c>
      <c r="AA935" s="150">
        <f t="shared" si="954"/>
        <v>0</v>
      </c>
      <c r="AB935" s="150">
        <v>0</v>
      </c>
      <c r="AC935" s="199"/>
      <c r="AD935" s="150">
        <f t="shared" si="946"/>
        <v>0</v>
      </c>
      <c r="AE935" s="150">
        <v>0</v>
      </c>
      <c r="AF935" s="169" t="s">
        <v>4680</v>
      </c>
      <c r="AG935" s="201">
        <v>0</v>
      </c>
      <c r="AH935" s="199"/>
      <c r="AI935" s="150">
        <v>0</v>
      </c>
      <c r="AJ935" s="169">
        <f t="shared" si="955"/>
        <v>0</v>
      </c>
      <c r="AK935" s="201">
        <v>0</v>
      </c>
      <c r="AL935" s="199"/>
      <c r="AM935" s="150">
        <f t="shared" si="947"/>
        <v>0</v>
      </c>
      <c r="AN935" s="153">
        <f t="shared" si="956"/>
        <v>0</v>
      </c>
      <c r="AO935" s="154">
        <f t="shared" si="957"/>
        <v>0</v>
      </c>
      <c r="AP935" s="150">
        <v>0</v>
      </c>
      <c r="AQ935" s="201">
        <v>0</v>
      </c>
      <c r="AR935" s="199"/>
      <c r="AS935" s="150">
        <f t="shared" si="948"/>
        <v>0</v>
      </c>
      <c r="AT935" s="155" t="s">
        <v>4796</v>
      </c>
      <c r="AU935" s="156">
        <f t="shared" si="949"/>
        <v>0</v>
      </c>
      <c r="AV935" s="156">
        <f t="shared" si="950"/>
        <v>0</v>
      </c>
      <c r="AW935" s="157" t="s">
        <v>4796</v>
      </c>
      <c r="AX935" s="150">
        <v>0</v>
      </c>
      <c r="AY935" s="150">
        <v>0</v>
      </c>
      <c r="AZ935" s="150"/>
      <c r="BA935" s="150">
        <f t="shared" si="938"/>
        <v>0</v>
      </c>
      <c r="BB935" s="210"/>
      <c r="BC935" s="210"/>
      <c r="BD935" s="210"/>
      <c r="BE935" s="210"/>
      <c r="BF935" s="210"/>
      <c r="BG935" s="210"/>
      <c r="BH935" s="217"/>
      <c r="BI935" s="210"/>
      <c r="BJ935" s="210"/>
      <c r="BK935" s="210"/>
      <c r="BL935" s="210"/>
      <c r="BM935" s="208"/>
      <c r="BN935" s="160"/>
      <c r="BO935" s="161">
        <f t="shared" si="959"/>
        <v>0</v>
      </c>
      <c r="BP935" s="161"/>
    </row>
    <row r="936" spans="1:68" ht="38.25">
      <c r="A936" s="308"/>
      <c r="B936" s="228" t="s">
        <v>7295</v>
      </c>
      <c r="C936" s="229" t="s">
        <v>7296</v>
      </c>
      <c r="D936" s="146" t="s">
        <v>4692</v>
      </c>
      <c r="E936" s="196" t="s">
        <v>7297</v>
      </c>
      <c r="F936" s="150">
        <v>0</v>
      </c>
      <c r="G936" s="209">
        <v>0</v>
      </c>
      <c r="H936" s="209"/>
      <c r="I936" s="209">
        <v>0</v>
      </c>
      <c r="J936" s="150">
        <v>0</v>
      </c>
      <c r="K936" s="150">
        <v>0</v>
      </c>
      <c r="L936" s="150">
        <f t="shared" si="958"/>
        <v>0</v>
      </c>
      <c r="M936" s="150">
        <v>0</v>
      </c>
      <c r="N936" s="150"/>
      <c r="O936" s="150">
        <v>0</v>
      </c>
      <c r="P936" s="150">
        <v>0</v>
      </c>
      <c r="Q936" s="150">
        <v>0</v>
      </c>
      <c r="R936" s="150">
        <f t="shared" si="944"/>
        <v>0</v>
      </c>
      <c r="S936" s="150">
        <f t="shared" si="953"/>
        <v>0</v>
      </c>
      <c r="T936" s="150"/>
      <c r="U936" s="150">
        <v>0</v>
      </c>
      <c r="V936" s="199"/>
      <c r="W936" s="150">
        <f t="shared" si="945"/>
        <v>0</v>
      </c>
      <c r="X936" s="150">
        <v>0</v>
      </c>
      <c r="Y936" s="150"/>
      <c r="Z936" s="150">
        <v>0</v>
      </c>
      <c r="AA936" s="150">
        <f t="shared" si="954"/>
        <v>0</v>
      </c>
      <c r="AB936" s="150">
        <v>0</v>
      </c>
      <c r="AC936" s="199"/>
      <c r="AD936" s="150">
        <f t="shared" si="946"/>
        <v>0</v>
      </c>
      <c r="AE936" s="150">
        <v>0</v>
      </c>
      <c r="AF936" s="169" t="s">
        <v>4680</v>
      </c>
      <c r="AG936" s="201">
        <v>0</v>
      </c>
      <c r="AH936" s="199"/>
      <c r="AI936" s="150">
        <v>0</v>
      </c>
      <c r="AJ936" s="169">
        <f t="shared" si="955"/>
        <v>0</v>
      </c>
      <c r="AK936" s="201">
        <v>0</v>
      </c>
      <c r="AL936" s="199"/>
      <c r="AM936" s="150">
        <f t="shared" si="947"/>
        <v>0</v>
      </c>
      <c r="AN936" s="153">
        <f t="shared" si="956"/>
        <v>0</v>
      </c>
      <c r="AO936" s="154">
        <f t="shared" si="957"/>
        <v>0</v>
      </c>
      <c r="AP936" s="150">
        <v>0</v>
      </c>
      <c r="AQ936" s="201">
        <v>0</v>
      </c>
      <c r="AR936" s="199"/>
      <c r="AS936" s="150">
        <f t="shared" si="948"/>
        <v>0</v>
      </c>
      <c r="AT936" s="155" t="s">
        <v>4796</v>
      </c>
      <c r="AU936" s="156">
        <f t="shared" si="949"/>
        <v>0</v>
      </c>
      <c r="AV936" s="156">
        <f t="shared" si="950"/>
        <v>0</v>
      </c>
      <c r="AW936" s="157" t="s">
        <v>4796</v>
      </c>
      <c r="AX936" s="150">
        <v>0</v>
      </c>
      <c r="AY936" s="150">
        <v>0</v>
      </c>
      <c r="AZ936" s="150"/>
      <c r="BA936" s="150">
        <f t="shared" si="938"/>
        <v>0</v>
      </c>
      <c r="BB936" s="210"/>
      <c r="BC936" s="210"/>
      <c r="BD936" s="210"/>
      <c r="BE936" s="210"/>
      <c r="BF936" s="210"/>
      <c r="BG936" s="210"/>
      <c r="BH936" s="217"/>
      <c r="BI936" s="210"/>
      <c r="BJ936" s="210"/>
      <c r="BK936" s="210"/>
      <c r="BL936" s="210"/>
      <c r="BM936" s="208"/>
      <c r="BN936" s="160"/>
      <c r="BO936" s="161">
        <f t="shared" si="959"/>
        <v>0</v>
      </c>
      <c r="BP936" s="161"/>
    </row>
    <row r="937" spans="1:68" ht="38.25">
      <c r="A937" s="308"/>
      <c r="B937" s="228" t="s">
        <v>7298</v>
      </c>
      <c r="C937" s="229" t="s">
        <v>7299</v>
      </c>
      <c r="D937" s="146" t="s">
        <v>4692</v>
      </c>
      <c r="E937" s="196" t="s">
        <v>7300</v>
      </c>
      <c r="F937" s="150">
        <v>0</v>
      </c>
      <c r="G937" s="209">
        <v>0</v>
      </c>
      <c r="H937" s="209"/>
      <c r="I937" s="209">
        <v>0</v>
      </c>
      <c r="J937" s="150">
        <v>0</v>
      </c>
      <c r="K937" s="150">
        <v>0</v>
      </c>
      <c r="L937" s="150">
        <f t="shared" si="958"/>
        <v>0</v>
      </c>
      <c r="M937" s="150">
        <v>0</v>
      </c>
      <c r="N937" s="150"/>
      <c r="O937" s="150">
        <v>0</v>
      </c>
      <c r="P937" s="150">
        <v>0</v>
      </c>
      <c r="Q937" s="150">
        <v>0</v>
      </c>
      <c r="R937" s="150">
        <f t="shared" si="944"/>
        <v>0</v>
      </c>
      <c r="S937" s="150">
        <f t="shared" si="953"/>
        <v>0</v>
      </c>
      <c r="T937" s="150"/>
      <c r="U937" s="150">
        <v>0</v>
      </c>
      <c r="V937" s="199"/>
      <c r="W937" s="150">
        <f t="shared" si="945"/>
        <v>0</v>
      </c>
      <c r="X937" s="150">
        <v>0</v>
      </c>
      <c r="Y937" s="150"/>
      <c r="Z937" s="150">
        <v>0</v>
      </c>
      <c r="AA937" s="150">
        <f t="shared" si="954"/>
        <v>0</v>
      </c>
      <c r="AB937" s="150">
        <v>0</v>
      </c>
      <c r="AC937" s="199"/>
      <c r="AD937" s="150">
        <f t="shared" si="946"/>
        <v>0</v>
      </c>
      <c r="AE937" s="150">
        <v>0</v>
      </c>
      <c r="AF937" s="169" t="s">
        <v>4680</v>
      </c>
      <c r="AG937" s="201">
        <v>0</v>
      </c>
      <c r="AH937" s="199"/>
      <c r="AI937" s="150">
        <v>0</v>
      </c>
      <c r="AJ937" s="169">
        <f t="shared" si="955"/>
        <v>0</v>
      </c>
      <c r="AK937" s="201">
        <v>0</v>
      </c>
      <c r="AL937" s="199"/>
      <c r="AM937" s="150">
        <f t="shared" si="947"/>
        <v>0</v>
      </c>
      <c r="AN937" s="153">
        <f t="shared" si="956"/>
        <v>0</v>
      </c>
      <c r="AO937" s="154">
        <f t="shared" si="957"/>
        <v>0</v>
      </c>
      <c r="AP937" s="150">
        <v>0</v>
      </c>
      <c r="AQ937" s="201">
        <v>0</v>
      </c>
      <c r="AR937" s="199"/>
      <c r="AS937" s="150">
        <f t="shared" si="948"/>
        <v>0</v>
      </c>
      <c r="AT937" s="155" t="s">
        <v>4796</v>
      </c>
      <c r="AU937" s="156">
        <f t="shared" si="949"/>
        <v>0</v>
      </c>
      <c r="AV937" s="156">
        <f t="shared" si="950"/>
        <v>0</v>
      </c>
      <c r="AW937" s="157" t="s">
        <v>4796</v>
      </c>
      <c r="AX937" s="150">
        <v>0</v>
      </c>
      <c r="AY937" s="150">
        <v>0</v>
      </c>
      <c r="AZ937" s="150"/>
      <c r="BA937" s="150">
        <f t="shared" si="938"/>
        <v>0</v>
      </c>
      <c r="BB937" s="210"/>
      <c r="BC937" s="210"/>
      <c r="BD937" s="210"/>
      <c r="BE937" s="210"/>
      <c r="BF937" s="210"/>
      <c r="BG937" s="210"/>
      <c r="BH937" s="217"/>
      <c r="BI937" s="210"/>
      <c r="BJ937" s="210"/>
      <c r="BK937" s="210"/>
      <c r="BL937" s="210"/>
      <c r="BM937" s="208"/>
      <c r="BN937" s="160"/>
      <c r="BO937" s="161">
        <f t="shared" si="959"/>
        <v>0</v>
      </c>
      <c r="BP937" s="161"/>
    </row>
    <row r="938" spans="1:68" ht="51">
      <c r="A938" s="206" t="s">
        <v>411</v>
      </c>
      <c r="B938" s="195" t="s">
        <v>7301</v>
      </c>
      <c r="C938" s="196" t="s">
        <v>7302</v>
      </c>
      <c r="D938" s="146" t="s">
        <v>4692</v>
      </c>
      <c r="E938" s="196" t="s">
        <v>7302</v>
      </c>
      <c r="F938" s="150">
        <v>0</v>
      </c>
      <c r="G938" s="209">
        <v>0</v>
      </c>
      <c r="H938" s="209"/>
      <c r="I938" s="209">
        <v>0</v>
      </c>
      <c r="J938" s="150">
        <v>0</v>
      </c>
      <c r="K938" s="150">
        <v>0</v>
      </c>
      <c r="L938" s="150">
        <f t="shared" si="958"/>
        <v>0</v>
      </c>
      <c r="M938" s="150">
        <v>0</v>
      </c>
      <c r="N938" s="150"/>
      <c r="O938" s="150">
        <v>0</v>
      </c>
      <c r="P938" s="150">
        <v>0</v>
      </c>
      <c r="Q938" s="150">
        <v>0</v>
      </c>
      <c r="R938" s="150">
        <f t="shared" si="944"/>
        <v>0</v>
      </c>
      <c r="S938" s="150">
        <f t="shared" si="953"/>
        <v>0</v>
      </c>
      <c r="T938" s="150"/>
      <c r="U938" s="150">
        <v>0</v>
      </c>
      <c r="V938" s="199"/>
      <c r="W938" s="150">
        <f t="shared" si="945"/>
        <v>0</v>
      </c>
      <c r="X938" s="150">
        <v>0</v>
      </c>
      <c r="Y938" s="150"/>
      <c r="Z938" s="150">
        <v>0</v>
      </c>
      <c r="AA938" s="150">
        <f t="shared" si="954"/>
        <v>0</v>
      </c>
      <c r="AB938" s="150">
        <v>0</v>
      </c>
      <c r="AC938" s="199"/>
      <c r="AD938" s="150">
        <f t="shared" si="946"/>
        <v>0</v>
      </c>
      <c r="AE938" s="150">
        <v>0</v>
      </c>
      <c r="AF938" s="169" t="s">
        <v>4680</v>
      </c>
      <c r="AG938" s="201">
        <v>0</v>
      </c>
      <c r="AH938" s="199"/>
      <c r="AI938" s="150">
        <v>0</v>
      </c>
      <c r="AJ938" s="169">
        <f t="shared" si="955"/>
        <v>0</v>
      </c>
      <c r="AK938" s="201">
        <v>0</v>
      </c>
      <c r="AL938" s="199"/>
      <c r="AM938" s="150">
        <f t="shared" si="947"/>
        <v>0</v>
      </c>
      <c r="AN938" s="153">
        <f t="shared" si="956"/>
        <v>0</v>
      </c>
      <c r="AO938" s="154">
        <f t="shared" si="957"/>
        <v>0</v>
      </c>
      <c r="AP938" s="150">
        <v>0</v>
      </c>
      <c r="AQ938" s="201">
        <v>0</v>
      </c>
      <c r="AR938" s="199"/>
      <c r="AS938" s="150">
        <f t="shared" si="948"/>
        <v>0</v>
      </c>
      <c r="AT938" s="155"/>
      <c r="AU938" s="156">
        <f t="shared" si="949"/>
        <v>0</v>
      </c>
      <c r="AV938" s="156">
        <f t="shared" si="950"/>
        <v>0</v>
      </c>
      <c r="AW938" s="157"/>
      <c r="AX938" s="150">
        <v>0</v>
      </c>
      <c r="AY938" s="150">
        <v>0</v>
      </c>
      <c r="AZ938" s="150"/>
      <c r="BA938" s="150">
        <f t="shared" si="938"/>
        <v>0</v>
      </c>
      <c r="BB938" s="202">
        <v>5</v>
      </c>
      <c r="BC938" s="202" t="s">
        <v>647</v>
      </c>
      <c r="BD938" s="202" t="s">
        <v>632</v>
      </c>
      <c r="BE938" s="202" t="s">
        <v>1257</v>
      </c>
      <c r="BF938" s="202" t="s">
        <v>1253</v>
      </c>
      <c r="BG938" s="203" t="s">
        <v>412</v>
      </c>
      <c r="BH938" s="216">
        <f>AS938</f>
        <v>0</v>
      </c>
      <c r="BI938" s="205"/>
      <c r="BJ938" s="206" t="s">
        <v>7303</v>
      </c>
      <c r="BK938" s="206" t="s">
        <v>411</v>
      </c>
      <c r="BL938" s="207" t="s">
        <v>7304</v>
      </c>
      <c r="BM938" s="208">
        <f>BH938</f>
        <v>0</v>
      </c>
      <c r="BN938" s="160"/>
      <c r="BO938" s="161">
        <f t="shared" si="959"/>
        <v>0</v>
      </c>
      <c r="BP938" s="161"/>
    </row>
    <row r="939" spans="1:68" ht="51">
      <c r="A939" s="206" t="s">
        <v>413</v>
      </c>
      <c r="B939" s="195" t="s">
        <v>7305</v>
      </c>
      <c r="C939" s="196" t="s">
        <v>7306</v>
      </c>
      <c r="D939" s="146" t="s">
        <v>4692</v>
      </c>
      <c r="E939" s="196" t="s">
        <v>7306</v>
      </c>
      <c r="F939" s="150">
        <v>0</v>
      </c>
      <c r="G939" s="209">
        <v>15954584.9</v>
      </c>
      <c r="H939" s="209">
        <v>1685419.2904376064</v>
      </c>
      <c r="I939" s="209">
        <v>17640004.1904376</v>
      </c>
      <c r="J939" s="150">
        <v>0</v>
      </c>
      <c r="K939" s="150">
        <v>0</v>
      </c>
      <c r="L939" s="150">
        <f t="shared" si="958"/>
        <v>0</v>
      </c>
      <c r="M939" s="150">
        <v>0</v>
      </c>
      <c r="N939" s="150"/>
      <c r="O939" s="150">
        <v>0</v>
      </c>
      <c r="P939" s="150">
        <v>0</v>
      </c>
      <c r="Q939" s="150">
        <v>0</v>
      </c>
      <c r="R939" s="150">
        <f t="shared" si="944"/>
        <v>0</v>
      </c>
      <c r="S939" s="150">
        <f t="shared" si="953"/>
        <v>0</v>
      </c>
      <c r="T939" s="150"/>
      <c r="U939" s="150">
        <v>0</v>
      </c>
      <c r="V939" s="199"/>
      <c r="W939" s="150">
        <f t="shared" si="945"/>
        <v>0</v>
      </c>
      <c r="X939" s="150">
        <v>0</v>
      </c>
      <c r="Y939" s="150"/>
      <c r="Z939" s="150">
        <v>0</v>
      </c>
      <c r="AA939" s="150">
        <f t="shared" si="954"/>
        <v>0</v>
      </c>
      <c r="AB939" s="150">
        <v>0</v>
      </c>
      <c r="AC939" s="199"/>
      <c r="AD939" s="150">
        <f t="shared" si="946"/>
        <v>0</v>
      </c>
      <c r="AE939" s="150">
        <v>0</v>
      </c>
      <c r="AF939" s="169" t="s">
        <v>4680</v>
      </c>
      <c r="AG939" s="201">
        <v>0</v>
      </c>
      <c r="AH939" s="199"/>
      <c r="AI939" s="150">
        <v>0</v>
      </c>
      <c r="AJ939" s="169">
        <f t="shared" si="955"/>
        <v>0</v>
      </c>
      <c r="AK939" s="201">
        <v>0</v>
      </c>
      <c r="AL939" s="199"/>
      <c r="AM939" s="150">
        <f t="shared" si="947"/>
        <v>0</v>
      </c>
      <c r="AN939" s="153">
        <f t="shared" si="956"/>
        <v>0</v>
      </c>
      <c r="AO939" s="154">
        <f t="shared" si="957"/>
        <v>0</v>
      </c>
      <c r="AP939" s="150">
        <v>0</v>
      </c>
      <c r="AQ939" s="201">
        <v>0</v>
      </c>
      <c r="AR939" s="199"/>
      <c r="AS939" s="150">
        <f t="shared" si="948"/>
        <v>0</v>
      </c>
      <c r="AT939" s="155"/>
      <c r="AU939" s="156">
        <f t="shared" si="949"/>
        <v>0</v>
      </c>
      <c r="AV939" s="156">
        <f t="shared" si="950"/>
        <v>0</v>
      </c>
      <c r="AW939" s="157"/>
      <c r="AX939" s="150">
        <v>0</v>
      </c>
      <c r="AY939" s="150">
        <v>0</v>
      </c>
      <c r="AZ939" s="150"/>
      <c r="BA939" s="150">
        <f t="shared" si="938"/>
        <v>0</v>
      </c>
      <c r="BB939" s="202">
        <v>5</v>
      </c>
      <c r="BC939" s="202" t="s">
        <v>647</v>
      </c>
      <c r="BD939" s="202" t="s">
        <v>632</v>
      </c>
      <c r="BE939" s="202" t="s">
        <v>1257</v>
      </c>
      <c r="BF939" s="202" t="s">
        <v>1257</v>
      </c>
      <c r="BG939" s="203" t="s">
        <v>414</v>
      </c>
      <c r="BH939" s="216">
        <f>AS939</f>
        <v>0</v>
      </c>
      <c r="BI939" s="206" t="s">
        <v>1340</v>
      </c>
      <c r="BJ939" s="206" t="s">
        <v>7307</v>
      </c>
      <c r="BK939" s="206" t="s">
        <v>413</v>
      </c>
      <c r="BL939" s="207" t="s">
        <v>7308</v>
      </c>
      <c r="BM939" s="208">
        <f>BH939</f>
        <v>0</v>
      </c>
      <c r="BN939" s="160"/>
      <c r="BO939" s="161">
        <f t="shared" si="959"/>
        <v>0</v>
      </c>
      <c r="BP939" s="161"/>
    </row>
    <row r="940" spans="1:68" ht="38.25">
      <c r="A940" s="256" t="s">
        <v>405</v>
      </c>
      <c r="B940" s="184"/>
      <c r="C940" s="185" t="s">
        <v>7309</v>
      </c>
      <c r="D940" s="146" t="s">
        <v>4692</v>
      </c>
      <c r="E940" s="185" t="s">
        <v>7309</v>
      </c>
      <c r="F940" s="188">
        <v>17687555.249999996</v>
      </c>
      <c r="G940" s="187">
        <v>3164882.7</v>
      </c>
      <c r="H940" s="187">
        <v>0</v>
      </c>
      <c r="I940" s="187">
        <v>3164882.7</v>
      </c>
      <c r="J940" s="188">
        <f>SUM(J941:J994)</f>
        <v>3467280.5100000007</v>
      </c>
      <c r="K940" s="188">
        <f>SUM(K941:K994)</f>
        <v>84418.63</v>
      </c>
      <c r="L940" s="188">
        <f t="shared" si="958"/>
        <v>3551699.1400000006</v>
      </c>
      <c r="M940" s="188">
        <v>7273001.7100000009</v>
      </c>
      <c r="N940" s="188">
        <v>1579465.3718093694</v>
      </c>
      <c r="O940" s="188">
        <v>8852467.0818093698</v>
      </c>
      <c r="P940" s="299">
        <f t="shared" ref="P940:AD940" si="960">SUM(P941:P994)</f>
        <v>11201138.720000004</v>
      </c>
      <c r="Q940" s="299">
        <f t="shared" si="960"/>
        <v>2092691.1486361541</v>
      </c>
      <c r="R940" s="299">
        <f t="shared" si="960"/>
        <v>13293829.868636156</v>
      </c>
      <c r="S940" s="150">
        <f t="shared" si="953"/>
        <v>17725106.491514873</v>
      </c>
      <c r="T940" s="213"/>
      <c r="U940" s="299">
        <f t="shared" ref="U940:W940" si="961">SUM(U941:U994)</f>
        <v>15303678.520118307</v>
      </c>
      <c r="V940" s="226">
        <f t="shared" si="961"/>
        <v>1864252.1561900885</v>
      </c>
      <c r="W940" s="299">
        <f t="shared" si="961"/>
        <v>17167930.676308393</v>
      </c>
      <c r="X940" s="299">
        <v>15303678.520118307</v>
      </c>
      <c r="Y940" s="299">
        <v>1864252.1561900885</v>
      </c>
      <c r="Z940" s="299">
        <v>17167930.676308393</v>
      </c>
      <c r="AA940" s="299">
        <f t="shared" si="954"/>
        <v>825954.75038047135</v>
      </c>
      <c r="AB940" s="299">
        <v>15303678.520118307</v>
      </c>
      <c r="AC940" s="226">
        <v>2690206.9065705612</v>
      </c>
      <c r="AD940" s="299">
        <f t="shared" si="960"/>
        <v>17993885.426688865</v>
      </c>
      <c r="AE940" s="299">
        <v>17993885.426688865</v>
      </c>
      <c r="AF940" s="169" t="s">
        <v>4680</v>
      </c>
      <c r="AG940" s="301">
        <v>15303678.520118307</v>
      </c>
      <c r="AH940" s="226">
        <v>2690206.9065705612</v>
      </c>
      <c r="AI940" s="299">
        <v>17993885.426688865</v>
      </c>
      <c r="AJ940" s="169">
        <f t="shared" si="955"/>
        <v>0</v>
      </c>
      <c r="AK940" s="301">
        <v>15303678.520118307</v>
      </c>
      <c r="AL940" s="226">
        <v>2690206.9065705612</v>
      </c>
      <c r="AM940" s="299">
        <f t="shared" ref="AM940" si="962">SUM(AM941:AM994)</f>
        <v>17993885.426688865</v>
      </c>
      <c r="AN940" s="153">
        <f t="shared" si="956"/>
        <v>687935.62331113964</v>
      </c>
      <c r="AO940" s="154">
        <f t="shared" si="957"/>
        <v>687935.62331113964</v>
      </c>
      <c r="AP940" s="299">
        <v>17993885.426688865</v>
      </c>
      <c r="AQ940" s="301">
        <v>18681821.050000004</v>
      </c>
      <c r="AR940" s="226">
        <f t="shared" ref="AR940:AS940" si="963">SUM(AR941:AR994)</f>
        <v>0</v>
      </c>
      <c r="AS940" s="299">
        <f t="shared" si="963"/>
        <v>18681821.050000004</v>
      </c>
      <c r="AT940" s="155"/>
      <c r="AU940" s="156">
        <f t="shared" si="949"/>
        <v>0</v>
      </c>
      <c r="AV940" s="156">
        <f t="shared" si="950"/>
        <v>825954.75038047135</v>
      </c>
      <c r="AW940" s="157"/>
      <c r="AX940" s="150">
        <v>17167930.676308393</v>
      </c>
      <c r="AY940" s="299">
        <f t="shared" ref="AY940:BA940" si="964">SUM(AY941:AY994)</f>
        <v>8656185.0999999978</v>
      </c>
      <c r="AZ940" s="299">
        <f t="shared" si="964"/>
        <v>9050295.663618736</v>
      </c>
      <c r="BA940" s="299">
        <f t="shared" si="964"/>
        <v>17706480.763618737</v>
      </c>
      <c r="BB940" s="192">
        <v>5</v>
      </c>
      <c r="BC940" s="256" t="s">
        <v>647</v>
      </c>
      <c r="BD940" s="256" t="s">
        <v>632</v>
      </c>
      <c r="BE940" s="256" t="s">
        <v>1332</v>
      </c>
      <c r="BF940" s="256" t="s">
        <v>630</v>
      </c>
      <c r="BG940" s="185" t="s">
        <v>7309</v>
      </c>
      <c r="BH940" s="302">
        <f>SUM(BH941:BH994)</f>
        <v>18681821.050000001</v>
      </c>
      <c r="BI940" s="192"/>
      <c r="BJ940" s="256" t="s">
        <v>7310</v>
      </c>
      <c r="BK940" s="256" t="s">
        <v>405</v>
      </c>
      <c r="BL940" s="238" t="s">
        <v>7311</v>
      </c>
      <c r="BM940" s="302">
        <f>SUM(BM941:BM994)</f>
        <v>18681821.050000001</v>
      </c>
      <c r="BN940" s="160"/>
      <c r="BO940" s="161">
        <f t="shared" si="959"/>
        <v>0</v>
      </c>
      <c r="BP940" s="161"/>
    </row>
    <row r="941" spans="1:68" ht="51">
      <c r="A941" s="206" t="s">
        <v>405</v>
      </c>
      <c r="B941" s="195" t="s">
        <v>7312</v>
      </c>
      <c r="C941" s="196" t="s">
        <v>7313</v>
      </c>
      <c r="D941" s="146" t="s">
        <v>4692</v>
      </c>
      <c r="E941" s="196" t="s">
        <v>7313</v>
      </c>
      <c r="F941" s="150">
        <v>3164882.7</v>
      </c>
      <c r="G941" s="209">
        <v>0</v>
      </c>
      <c r="H941" s="209">
        <v>0</v>
      </c>
      <c r="I941" s="209">
        <v>0</v>
      </c>
      <c r="J941" s="150">
        <v>730350.86</v>
      </c>
      <c r="K941" s="150">
        <v>17702.25</v>
      </c>
      <c r="L941" s="150">
        <f t="shared" si="958"/>
        <v>748053.11</v>
      </c>
      <c r="M941" s="150">
        <v>1467157.83</v>
      </c>
      <c r="N941" s="150">
        <v>154882.96158700041</v>
      </c>
      <c r="O941" s="150">
        <v>1622040.7915870005</v>
      </c>
      <c r="P941" s="150">
        <v>2201216.5699999998</v>
      </c>
      <c r="Q941" s="150">
        <v>232375</v>
      </c>
      <c r="R941" s="313">
        <f>P941+Q941</f>
        <v>2433591.5699999998</v>
      </c>
      <c r="S941" s="150">
        <f t="shared" si="953"/>
        <v>3244788.76</v>
      </c>
      <c r="T941" s="150"/>
      <c r="U941" s="309">
        <v>3195397.21</v>
      </c>
      <c r="V941" s="199">
        <v>0</v>
      </c>
      <c r="W941" s="313">
        <f t="shared" ref="W941:W994" si="965">U941+V941</f>
        <v>3195397.21</v>
      </c>
      <c r="X941" s="313">
        <v>3195397.21</v>
      </c>
      <c r="Y941" s="313">
        <v>0</v>
      </c>
      <c r="Z941" s="313">
        <v>3195397.21</v>
      </c>
      <c r="AA941" s="313">
        <f t="shared" si="954"/>
        <v>0</v>
      </c>
      <c r="AB941" s="150">
        <v>3195397.21</v>
      </c>
      <c r="AC941" s="199">
        <v>0</v>
      </c>
      <c r="AD941" s="313">
        <f t="shared" ref="AD941:AD994" si="966">AB941+AC941</f>
        <v>3195397.21</v>
      </c>
      <c r="AE941" s="150">
        <v>3195397.21</v>
      </c>
      <c r="AF941" s="169" t="s">
        <v>4680</v>
      </c>
      <c r="AG941" s="201">
        <v>3195397.21</v>
      </c>
      <c r="AH941" s="199">
        <v>0</v>
      </c>
      <c r="AI941" s="313">
        <v>3195397.21</v>
      </c>
      <c r="AJ941" s="169">
        <f t="shared" si="955"/>
        <v>0</v>
      </c>
      <c r="AK941" s="201">
        <v>3195397.21</v>
      </c>
      <c r="AL941" s="199">
        <v>0</v>
      </c>
      <c r="AM941" s="313">
        <f t="shared" ref="AM941:AM994" si="967">AK941+AL941</f>
        <v>3195397.21</v>
      </c>
      <c r="AN941" s="153">
        <f t="shared" si="956"/>
        <v>29919.64000000013</v>
      </c>
      <c r="AO941" s="154">
        <f t="shared" si="957"/>
        <v>29919.64000000013</v>
      </c>
      <c r="AP941" s="313">
        <v>3195397.21</v>
      </c>
      <c r="AQ941" s="201">
        <v>3225316.85</v>
      </c>
      <c r="AR941" s="199"/>
      <c r="AS941" s="313">
        <f t="shared" ref="AS941:AS994" si="968">AQ941+AR941</f>
        <v>3225316.85</v>
      </c>
      <c r="AT941" s="155" t="s">
        <v>7314</v>
      </c>
      <c r="AU941" s="156">
        <f t="shared" si="949"/>
        <v>0</v>
      </c>
      <c r="AV941" s="156">
        <f t="shared" si="950"/>
        <v>0</v>
      </c>
      <c r="AW941" s="157"/>
      <c r="AX941" s="150">
        <v>3195397.21</v>
      </c>
      <c r="AY941" s="150">
        <v>1712847.92</v>
      </c>
      <c r="AZ941" s="150">
        <f>BA941-AY941</f>
        <v>1531233.663174001</v>
      </c>
      <c r="BA941" s="313">
        <v>3244081.583174001</v>
      </c>
      <c r="BB941" s="202">
        <v>5</v>
      </c>
      <c r="BC941" s="202" t="s">
        <v>647</v>
      </c>
      <c r="BD941" s="202" t="s">
        <v>632</v>
      </c>
      <c r="BE941" s="202" t="s">
        <v>1332</v>
      </c>
      <c r="BF941" s="202" t="s">
        <v>632</v>
      </c>
      <c r="BG941" s="287" t="s">
        <v>7315</v>
      </c>
      <c r="BH941" s="283">
        <f>SUM(AS941:AS949)</f>
        <v>3529734.7</v>
      </c>
      <c r="BI941" s="205"/>
      <c r="BJ941" s="206" t="s">
        <v>7310</v>
      </c>
      <c r="BK941" s="206" t="s">
        <v>405</v>
      </c>
      <c r="BL941" s="207" t="s">
        <v>7311</v>
      </c>
      <c r="BM941" s="208">
        <f>BH941</f>
        <v>3529734.7</v>
      </c>
      <c r="BN941" s="160"/>
      <c r="BO941" s="161"/>
      <c r="BP941" s="161"/>
    </row>
    <row r="942" spans="1:68" ht="51">
      <c r="A942" s="210"/>
      <c r="B942" s="195" t="s">
        <v>7316</v>
      </c>
      <c r="C942" s="196" t="s">
        <v>7317</v>
      </c>
      <c r="D942" s="146" t="s">
        <v>4692</v>
      </c>
      <c r="E942" s="196" t="s">
        <v>7317</v>
      </c>
      <c r="F942" s="150">
        <v>0</v>
      </c>
      <c r="G942" s="209">
        <v>0</v>
      </c>
      <c r="H942" s="209">
        <v>0</v>
      </c>
      <c r="I942" s="209">
        <v>0</v>
      </c>
      <c r="J942" s="150">
        <v>0</v>
      </c>
      <c r="K942" s="150">
        <v>0</v>
      </c>
      <c r="L942" s="150">
        <f t="shared" si="958"/>
        <v>0</v>
      </c>
      <c r="M942" s="150">
        <v>0</v>
      </c>
      <c r="N942" s="150">
        <v>0</v>
      </c>
      <c r="O942" s="150">
        <v>0</v>
      </c>
      <c r="P942" s="150">
        <v>0</v>
      </c>
      <c r="Q942" s="150">
        <v>0</v>
      </c>
      <c r="R942" s="313">
        <f t="shared" ref="R942:R994" si="969">P942+Q942</f>
        <v>0</v>
      </c>
      <c r="S942" s="150">
        <f t="shared" si="953"/>
        <v>0</v>
      </c>
      <c r="T942" s="150"/>
      <c r="U942" s="150">
        <v>0</v>
      </c>
      <c r="V942" s="199">
        <v>0</v>
      </c>
      <c r="W942" s="313">
        <f t="shared" si="965"/>
        <v>0</v>
      </c>
      <c r="X942" s="313">
        <v>0</v>
      </c>
      <c r="Y942" s="313">
        <v>0</v>
      </c>
      <c r="Z942" s="313">
        <v>0</v>
      </c>
      <c r="AA942" s="313">
        <f t="shared" si="954"/>
        <v>0</v>
      </c>
      <c r="AB942" s="150">
        <v>0</v>
      </c>
      <c r="AC942" s="199">
        <v>0</v>
      </c>
      <c r="AD942" s="313">
        <f t="shared" si="966"/>
        <v>0</v>
      </c>
      <c r="AE942" s="150">
        <v>0</v>
      </c>
      <c r="AF942" s="169" t="s">
        <v>4680</v>
      </c>
      <c r="AG942" s="201">
        <v>0</v>
      </c>
      <c r="AH942" s="199">
        <v>0</v>
      </c>
      <c r="AI942" s="313">
        <v>0</v>
      </c>
      <c r="AJ942" s="169">
        <f t="shared" si="955"/>
        <v>0</v>
      </c>
      <c r="AK942" s="201">
        <v>0</v>
      </c>
      <c r="AL942" s="199">
        <v>0</v>
      </c>
      <c r="AM942" s="313">
        <f t="shared" si="967"/>
        <v>0</v>
      </c>
      <c r="AN942" s="153">
        <f t="shared" si="956"/>
        <v>0</v>
      </c>
      <c r="AO942" s="154">
        <f t="shared" si="957"/>
        <v>0</v>
      </c>
      <c r="AP942" s="313">
        <v>0</v>
      </c>
      <c r="AQ942" s="201">
        <v>0</v>
      </c>
      <c r="AR942" s="199">
        <v>0</v>
      </c>
      <c r="AS942" s="313">
        <f t="shared" si="968"/>
        <v>0</v>
      </c>
      <c r="AT942" s="155"/>
      <c r="AU942" s="156">
        <f t="shared" si="949"/>
        <v>0</v>
      </c>
      <c r="AV942" s="156">
        <f t="shared" si="950"/>
        <v>0</v>
      </c>
      <c r="AW942" s="157"/>
      <c r="AX942" s="150">
        <v>0</v>
      </c>
      <c r="AY942" s="150">
        <v>0</v>
      </c>
      <c r="AZ942" s="150">
        <f t="shared" ref="AZ942:AZ994" si="970">BA942-AY942</f>
        <v>0</v>
      </c>
      <c r="BA942" s="313">
        <v>0</v>
      </c>
      <c r="BB942" s="210"/>
      <c r="BC942" s="210"/>
      <c r="BD942" s="210"/>
      <c r="BE942" s="210"/>
      <c r="BF942" s="210"/>
      <c r="BG942" s="210"/>
      <c r="BH942" s="217"/>
      <c r="BI942" s="210"/>
      <c r="BJ942" s="210"/>
      <c r="BK942" s="210"/>
      <c r="BL942" s="210"/>
      <c r="BM942" s="208"/>
      <c r="BN942" s="160"/>
      <c r="BO942" s="161"/>
      <c r="BP942" s="161"/>
    </row>
    <row r="943" spans="1:68" ht="51">
      <c r="A943" s="210"/>
      <c r="B943" s="195" t="s">
        <v>7318</v>
      </c>
      <c r="C943" s="196" t="s">
        <v>7319</v>
      </c>
      <c r="D943" s="146" t="s">
        <v>4692</v>
      </c>
      <c r="E943" s="196" t="s">
        <v>7319</v>
      </c>
      <c r="F943" s="150">
        <v>0</v>
      </c>
      <c r="G943" s="209">
        <v>976345.88</v>
      </c>
      <c r="H943" s="209">
        <v>-939849</v>
      </c>
      <c r="I943" s="209">
        <v>36496.880000000005</v>
      </c>
      <c r="J943" s="150">
        <v>0</v>
      </c>
      <c r="K943" s="150">
        <v>0</v>
      </c>
      <c r="L943" s="150">
        <f t="shared" si="958"/>
        <v>0</v>
      </c>
      <c r="M943" s="150">
        <v>0</v>
      </c>
      <c r="N943" s="150">
        <v>0</v>
      </c>
      <c r="O943" s="150">
        <v>0</v>
      </c>
      <c r="P943" s="150">
        <v>0</v>
      </c>
      <c r="Q943" s="150">
        <v>0</v>
      </c>
      <c r="R943" s="313">
        <f t="shared" si="969"/>
        <v>0</v>
      </c>
      <c r="S943" s="150">
        <f t="shared" si="953"/>
        <v>0</v>
      </c>
      <c r="T943" s="150"/>
      <c r="U943" s="150">
        <v>0</v>
      </c>
      <c r="V943" s="199">
        <v>0</v>
      </c>
      <c r="W943" s="313">
        <f t="shared" si="965"/>
        <v>0</v>
      </c>
      <c r="X943" s="313">
        <v>0</v>
      </c>
      <c r="Y943" s="313">
        <v>0</v>
      </c>
      <c r="Z943" s="313">
        <v>0</v>
      </c>
      <c r="AA943" s="313">
        <f t="shared" si="954"/>
        <v>0</v>
      </c>
      <c r="AB943" s="150">
        <v>0</v>
      </c>
      <c r="AC943" s="199">
        <v>0</v>
      </c>
      <c r="AD943" s="313">
        <f t="shared" si="966"/>
        <v>0</v>
      </c>
      <c r="AE943" s="150">
        <v>0</v>
      </c>
      <c r="AF943" s="169" t="s">
        <v>4680</v>
      </c>
      <c r="AG943" s="201">
        <v>0</v>
      </c>
      <c r="AH943" s="199">
        <v>0</v>
      </c>
      <c r="AI943" s="313">
        <v>0</v>
      </c>
      <c r="AJ943" s="169">
        <f t="shared" si="955"/>
        <v>0</v>
      </c>
      <c r="AK943" s="201">
        <v>0</v>
      </c>
      <c r="AL943" s="199">
        <v>0</v>
      </c>
      <c r="AM943" s="313">
        <f t="shared" si="967"/>
        <v>0</v>
      </c>
      <c r="AN943" s="153">
        <f t="shared" si="956"/>
        <v>0</v>
      </c>
      <c r="AO943" s="154">
        <f t="shared" si="957"/>
        <v>0</v>
      </c>
      <c r="AP943" s="313">
        <v>0</v>
      </c>
      <c r="AQ943" s="201">
        <v>0</v>
      </c>
      <c r="AR943" s="199">
        <v>0</v>
      </c>
      <c r="AS943" s="313">
        <f t="shared" si="968"/>
        <v>0</v>
      </c>
      <c r="AT943" s="155"/>
      <c r="AU943" s="156">
        <f t="shared" si="949"/>
        <v>0</v>
      </c>
      <c r="AV943" s="156">
        <f t="shared" si="950"/>
        <v>0</v>
      </c>
      <c r="AW943" s="157"/>
      <c r="AX943" s="150">
        <v>0</v>
      </c>
      <c r="AY943" s="150">
        <v>0</v>
      </c>
      <c r="AZ943" s="150">
        <f t="shared" si="970"/>
        <v>0</v>
      </c>
      <c r="BA943" s="313">
        <v>0</v>
      </c>
      <c r="BB943" s="210"/>
      <c r="BC943" s="210"/>
      <c r="BD943" s="210"/>
      <c r="BE943" s="210"/>
      <c r="BF943" s="210"/>
      <c r="BG943" s="210"/>
      <c r="BH943" s="217"/>
      <c r="BI943" s="210"/>
      <c r="BJ943" s="210"/>
      <c r="BK943" s="210"/>
      <c r="BL943" s="210"/>
      <c r="BM943" s="208"/>
      <c r="BN943" s="160"/>
      <c r="BO943" s="161"/>
      <c r="BP943" s="161"/>
    </row>
    <row r="944" spans="1:68" ht="38.25">
      <c r="A944" s="210"/>
      <c r="B944" s="195" t="s">
        <v>7320</v>
      </c>
      <c r="C944" s="196" t="s">
        <v>7321</v>
      </c>
      <c r="D944" s="146" t="s">
        <v>4692</v>
      </c>
      <c r="E944" s="196" t="s">
        <v>7322</v>
      </c>
      <c r="F944" s="150">
        <v>37547.589999999997</v>
      </c>
      <c r="G944" s="209">
        <v>34218.879999999997</v>
      </c>
      <c r="H944" s="209">
        <v>23755.73</v>
      </c>
      <c r="I944" s="209">
        <v>57974.61</v>
      </c>
      <c r="J944" s="150">
        <v>237245.25</v>
      </c>
      <c r="K944" s="150">
        <v>0</v>
      </c>
      <c r="L944" s="150">
        <f t="shared" si="958"/>
        <v>237245.25</v>
      </c>
      <c r="M944" s="150">
        <v>460034.28</v>
      </c>
      <c r="N944" s="150">
        <v>-360000</v>
      </c>
      <c r="O944" s="150">
        <v>100034.28000000003</v>
      </c>
      <c r="P944" s="150">
        <v>678460.23</v>
      </c>
      <c r="Q944" s="150">
        <v>-600000</v>
      </c>
      <c r="R944" s="313">
        <f t="shared" si="969"/>
        <v>78460.229999999981</v>
      </c>
      <c r="S944" s="150">
        <f t="shared" si="953"/>
        <v>104613.63999999998</v>
      </c>
      <c r="T944" s="150"/>
      <c r="U944" s="150">
        <v>935143.66</v>
      </c>
      <c r="V944" s="199">
        <v>-900000</v>
      </c>
      <c r="W944" s="313">
        <f t="shared" si="965"/>
        <v>35143.660000000033</v>
      </c>
      <c r="X944" s="313">
        <v>935143.66</v>
      </c>
      <c r="Y944" s="313">
        <v>-900000</v>
      </c>
      <c r="Z944" s="313">
        <v>35143.660000000033</v>
      </c>
      <c r="AA944" s="313">
        <f t="shared" si="954"/>
        <v>0</v>
      </c>
      <c r="AB944" s="150">
        <v>935143.66</v>
      </c>
      <c r="AC944" s="199">
        <v>-900000</v>
      </c>
      <c r="AD944" s="313">
        <f t="shared" si="966"/>
        <v>35143.660000000033</v>
      </c>
      <c r="AE944" s="150">
        <v>35143.660000000033</v>
      </c>
      <c r="AF944" s="169" t="s">
        <v>4680</v>
      </c>
      <c r="AG944" s="201">
        <v>935143.66</v>
      </c>
      <c r="AH944" s="199">
        <v>-900000</v>
      </c>
      <c r="AI944" s="313">
        <v>35143.660000000033</v>
      </c>
      <c r="AJ944" s="169">
        <f t="shared" si="955"/>
        <v>0</v>
      </c>
      <c r="AK944" s="201">
        <v>935143.66</v>
      </c>
      <c r="AL944" s="199">
        <v>-900000</v>
      </c>
      <c r="AM944" s="313">
        <f t="shared" si="967"/>
        <v>35143.660000000033</v>
      </c>
      <c r="AN944" s="153">
        <f t="shared" si="956"/>
        <v>3974.0999999999694</v>
      </c>
      <c r="AO944" s="154">
        <f t="shared" si="957"/>
        <v>3974.0999999999694</v>
      </c>
      <c r="AP944" s="313">
        <v>35143.660000000033</v>
      </c>
      <c r="AQ944" s="201">
        <v>39117.760000000002</v>
      </c>
      <c r="AR944" s="199"/>
      <c r="AS944" s="313">
        <f t="shared" si="968"/>
        <v>39117.760000000002</v>
      </c>
      <c r="AT944" s="155"/>
      <c r="AU944" s="156">
        <f t="shared" si="949"/>
        <v>0</v>
      </c>
      <c r="AV944" s="156">
        <f t="shared" si="950"/>
        <v>0</v>
      </c>
      <c r="AW944" s="157"/>
      <c r="AX944" s="150">
        <v>35143.660000000033</v>
      </c>
      <c r="AY944" s="150">
        <v>533793.43999999994</v>
      </c>
      <c r="AZ944" s="150">
        <f t="shared" si="970"/>
        <v>-333724.87999999989</v>
      </c>
      <c r="BA944" s="313">
        <v>200068.56000000006</v>
      </c>
      <c r="BB944" s="210"/>
      <c r="BC944" s="210"/>
      <c r="BD944" s="210"/>
      <c r="BE944" s="210"/>
      <c r="BF944" s="210"/>
      <c r="BG944" s="210"/>
      <c r="BH944" s="217"/>
      <c r="BI944" s="210"/>
      <c r="BJ944" s="210"/>
      <c r="BK944" s="210"/>
      <c r="BL944" s="210"/>
      <c r="BM944" s="208"/>
      <c r="BN944" s="160"/>
      <c r="BO944" s="161"/>
      <c r="BP944" s="161"/>
    </row>
    <row r="945" spans="1:68" ht="38.25">
      <c r="A945" s="210"/>
      <c r="B945" s="195" t="s">
        <v>7323</v>
      </c>
      <c r="C945" s="196" t="s">
        <v>7324</v>
      </c>
      <c r="D945" s="146" t="s">
        <v>4692</v>
      </c>
      <c r="E945" s="196" t="s">
        <v>7324</v>
      </c>
      <c r="F945" s="150">
        <v>57974.879999999997</v>
      </c>
      <c r="G945" s="314">
        <v>0</v>
      </c>
      <c r="H945" s="314">
        <v>0</v>
      </c>
      <c r="I945" s="314">
        <v>0</v>
      </c>
      <c r="J945" s="150">
        <v>0</v>
      </c>
      <c r="K945" s="150">
        <v>0</v>
      </c>
      <c r="L945" s="150">
        <f t="shared" si="958"/>
        <v>0</v>
      </c>
      <c r="M945" s="150">
        <v>14799.8</v>
      </c>
      <c r="N945" s="150">
        <v>14187.64</v>
      </c>
      <c r="O945" s="150">
        <v>28987.439999999999</v>
      </c>
      <c r="P945" s="150">
        <v>29579.8</v>
      </c>
      <c r="Q945" s="150">
        <v>0</v>
      </c>
      <c r="R945" s="313">
        <f t="shared" si="969"/>
        <v>29579.8</v>
      </c>
      <c r="S945" s="150">
        <f t="shared" si="953"/>
        <v>39439.73333333333</v>
      </c>
      <c r="T945" s="150"/>
      <c r="U945" s="150">
        <v>48116.2</v>
      </c>
      <c r="V945" s="199">
        <v>0</v>
      </c>
      <c r="W945" s="313">
        <f t="shared" si="965"/>
        <v>48116.2</v>
      </c>
      <c r="X945" s="313">
        <v>48116.2</v>
      </c>
      <c r="Y945" s="313">
        <v>0</v>
      </c>
      <c r="Z945" s="313">
        <v>48116.2</v>
      </c>
      <c r="AA945" s="313">
        <f t="shared" si="954"/>
        <v>0</v>
      </c>
      <c r="AB945" s="150">
        <v>48116.2</v>
      </c>
      <c r="AC945" s="199">
        <v>0</v>
      </c>
      <c r="AD945" s="313">
        <f t="shared" si="966"/>
        <v>48116.2</v>
      </c>
      <c r="AE945" s="150">
        <v>48116.2</v>
      </c>
      <c r="AF945" s="169" t="s">
        <v>4680</v>
      </c>
      <c r="AG945" s="201">
        <v>48116.2</v>
      </c>
      <c r="AH945" s="199">
        <v>0</v>
      </c>
      <c r="AI945" s="313">
        <v>48116.2</v>
      </c>
      <c r="AJ945" s="169">
        <f t="shared" si="955"/>
        <v>0</v>
      </c>
      <c r="AK945" s="201">
        <v>48116.2</v>
      </c>
      <c r="AL945" s="199">
        <v>0</v>
      </c>
      <c r="AM945" s="313">
        <f t="shared" si="967"/>
        <v>48116.2</v>
      </c>
      <c r="AN945" s="153">
        <f t="shared" si="956"/>
        <v>0</v>
      </c>
      <c r="AO945" s="154">
        <f t="shared" si="957"/>
        <v>0</v>
      </c>
      <c r="AP945" s="313">
        <v>48116.2</v>
      </c>
      <c r="AQ945" s="201">
        <v>48116.2</v>
      </c>
      <c r="AR945" s="199">
        <v>0</v>
      </c>
      <c r="AS945" s="313">
        <f t="shared" si="968"/>
        <v>48116.2</v>
      </c>
      <c r="AT945" s="155"/>
      <c r="AU945" s="156">
        <f t="shared" si="949"/>
        <v>0</v>
      </c>
      <c r="AV945" s="156">
        <f t="shared" si="950"/>
        <v>0</v>
      </c>
      <c r="AW945" s="157"/>
      <c r="AX945" s="150">
        <v>48116.2</v>
      </c>
      <c r="AY945" s="150">
        <v>19503.400000000001</v>
      </c>
      <c r="AZ945" s="150">
        <f t="shared" si="970"/>
        <v>38471.479999999996</v>
      </c>
      <c r="BA945" s="313">
        <v>57974.879999999997</v>
      </c>
      <c r="BB945" s="210"/>
      <c r="BC945" s="210"/>
      <c r="BD945" s="210"/>
      <c r="BE945" s="210"/>
      <c r="BF945" s="210"/>
      <c r="BG945" s="210"/>
      <c r="BH945" s="217"/>
      <c r="BI945" s="210"/>
      <c r="BJ945" s="210"/>
      <c r="BK945" s="210"/>
      <c r="BL945" s="210"/>
      <c r="BM945" s="208"/>
      <c r="BN945" s="160"/>
      <c r="BO945" s="161"/>
      <c r="BP945" s="161"/>
    </row>
    <row r="946" spans="1:68" ht="38.25">
      <c r="A946" s="210"/>
      <c r="B946" s="195" t="s">
        <v>7325</v>
      </c>
      <c r="C946" s="196" t="s">
        <v>7326</v>
      </c>
      <c r="D946" s="146" t="s">
        <v>4692</v>
      </c>
      <c r="E946" s="196" t="s">
        <v>7326</v>
      </c>
      <c r="F946" s="150">
        <v>0</v>
      </c>
      <c r="G946" s="209">
        <v>719344.69</v>
      </c>
      <c r="H946" s="209">
        <v>-719345</v>
      </c>
      <c r="I946" s="209">
        <v>-0.31000000005587935</v>
      </c>
      <c r="J946" s="150">
        <v>0</v>
      </c>
      <c r="K946" s="150">
        <v>0</v>
      </c>
      <c r="L946" s="150">
        <f t="shared" si="958"/>
        <v>0</v>
      </c>
      <c r="M946" s="150">
        <v>0</v>
      </c>
      <c r="N946" s="150">
        <v>0</v>
      </c>
      <c r="O946" s="150">
        <v>0</v>
      </c>
      <c r="P946" s="150">
        <v>0</v>
      </c>
      <c r="Q946" s="150">
        <v>0</v>
      </c>
      <c r="R946" s="313">
        <f t="shared" si="969"/>
        <v>0</v>
      </c>
      <c r="S946" s="150">
        <f t="shared" si="953"/>
        <v>0</v>
      </c>
      <c r="T946" s="150"/>
      <c r="U946" s="150">
        <v>0</v>
      </c>
      <c r="V946" s="199">
        <v>0</v>
      </c>
      <c r="W946" s="313">
        <f t="shared" si="965"/>
        <v>0</v>
      </c>
      <c r="X946" s="313">
        <v>0</v>
      </c>
      <c r="Y946" s="313">
        <v>0</v>
      </c>
      <c r="Z946" s="313">
        <v>0</v>
      </c>
      <c r="AA946" s="313">
        <f t="shared" si="954"/>
        <v>0</v>
      </c>
      <c r="AB946" s="150">
        <v>0</v>
      </c>
      <c r="AC946" s="199">
        <v>0</v>
      </c>
      <c r="AD946" s="313">
        <f t="shared" si="966"/>
        <v>0</v>
      </c>
      <c r="AE946" s="150">
        <v>0</v>
      </c>
      <c r="AF946" s="169" t="s">
        <v>4680</v>
      </c>
      <c r="AG946" s="201">
        <v>0</v>
      </c>
      <c r="AH946" s="199">
        <v>0</v>
      </c>
      <c r="AI946" s="313">
        <v>0</v>
      </c>
      <c r="AJ946" s="169">
        <f t="shared" si="955"/>
        <v>0</v>
      </c>
      <c r="AK946" s="201">
        <v>0</v>
      </c>
      <c r="AL946" s="199">
        <v>0</v>
      </c>
      <c r="AM946" s="313">
        <f t="shared" si="967"/>
        <v>0</v>
      </c>
      <c r="AN946" s="153">
        <f t="shared" si="956"/>
        <v>0</v>
      </c>
      <c r="AO946" s="154">
        <f t="shared" si="957"/>
        <v>0</v>
      </c>
      <c r="AP946" s="313">
        <v>0</v>
      </c>
      <c r="AQ946" s="201">
        <v>0</v>
      </c>
      <c r="AR946" s="199">
        <v>0</v>
      </c>
      <c r="AS946" s="313">
        <f t="shared" si="968"/>
        <v>0</v>
      </c>
      <c r="AT946" s="155"/>
      <c r="AU946" s="156">
        <f t="shared" si="949"/>
        <v>0</v>
      </c>
      <c r="AV946" s="156">
        <f t="shared" si="950"/>
        <v>0</v>
      </c>
      <c r="AW946" s="157"/>
      <c r="AX946" s="150">
        <v>0</v>
      </c>
      <c r="AY946" s="150">
        <v>0</v>
      </c>
      <c r="AZ946" s="150">
        <f t="shared" si="970"/>
        <v>0</v>
      </c>
      <c r="BA946" s="313">
        <v>0</v>
      </c>
      <c r="BB946" s="210"/>
      <c r="BC946" s="210"/>
      <c r="BD946" s="210"/>
      <c r="BE946" s="210"/>
      <c r="BF946" s="210"/>
      <c r="BG946" s="210"/>
      <c r="BH946" s="217"/>
      <c r="BI946" s="210"/>
      <c r="BJ946" s="210"/>
      <c r="BK946" s="210"/>
      <c r="BL946" s="210"/>
      <c r="BM946" s="208"/>
      <c r="BN946" s="160"/>
      <c r="BO946" s="161"/>
      <c r="BP946" s="161"/>
    </row>
    <row r="947" spans="1:68" ht="51">
      <c r="A947" s="210"/>
      <c r="B947" s="195" t="s">
        <v>7327</v>
      </c>
      <c r="C947" s="196" t="s">
        <v>7328</v>
      </c>
      <c r="D947" s="146" t="s">
        <v>4692</v>
      </c>
      <c r="E947" s="196" t="s">
        <v>7328</v>
      </c>
      <c r="F947" s="150">
        <v>-0.31</v>
      </c>
      <c r="G947" s="209">
        <v>314972.42</v>
      </c>
      <c r="H947" s="209">
        <v>0</v>
      </c>
      <c r="I947" s="209">
        <v>314972.42</v>
      </c>
      <c r="J947" s="150">
        <v>187887.88</v>
      </c>
      <c r="K947" s="150">
        <v>0</v>
      </c>
      <c r="L947" s="150">
        <f t="shared" si="958"/>
        <v>187887.88</v>
      </c>
      <c r="M947" s="150">
        <v>362871.85</v>
      </c>
      <c r="N947" s="150">
        <v>-309625.88</v>
      </c>
      <c r="O947" s="150">
        <v>53245.969999999972</v>
      </c>
      <c r="P947" s="150">
        <v>544934</v>
      </c>
      <c r="Q947" s="150">
        <v>-544934</v>
      </c>
      <c r="R947" s="313">
        <f t="shared" si="969"/>
        <v>0</v>
      </c>
      <c r="S947" s="150">
        <f t="shared" si="953"/>
        <v>0</v>
      </c>
      <c r="T947" s="150"/>
      <c r="U947" s="150">
        <v>627484.41</v>
      </c>
      <c r="V947" s="199">
        <v>-600000</v>
      </c>
      <c r="W947" s="313">
        <f t="shared" si="965"/>
        <v>27484.410000000033</v>
      </c>
      <c r="X947" s="313">
        <v>627484.41</v>
      </c>
      <c r="Y947" s="313">
        <v>-600000</v>
      </c>
      <c r="Z947" s="313">
        <v>27484.410000000033</v>
      </c>
      <c r="AA947" s="313">
        <f t="shared" si="954"/>
        <v>0</v>
      </c>
      <c r="AB947" s="150">
        <v>627484.41</v>
      </c>
      <c r="AC947" s="199">
        <v>-600000</v>
      </c>
      <c r="AD947" s="313">
        <f t="shared" si="966"/>
        <v>27484.410000000033</v>
      </c>
      <c r="AE947" s="150">
        <v>27484.410000000033</v>
      </c>
      <c r="AF947" s="169" t="s">
        <v>4680</v>
      </c>
      <c r="AG947" s="201">
        <v>627484.41</v>
      </c>
      <c r="AH947" s="199">
        <v>-600000</v>
      </c>
      <c r="AI947" s="313">
        <v>27484.410000000033</v>
      </c>
      <c r="AJ947" s="169">
        <f t="shared" si="955"/>
        <v>0</v>
      </c>
      <c r="AK947" s="201">
        <v>627484.41</v>
      </c>
      <c r="AL947" s="199">
        <v>-600000</v>
      </c>
      <c r="AM947" s="313">
        <f t="shared" si="967"/>
        <v>27484.410000000033</v>
      </c>
      <c r="AN947" s="153"/>
      <c r="AO947" s="154">
        <f t="shared" si="957"/>
        <v>-3.2741809263825417E-11</v>
      </c>
      <c r="AP947" s="313">
        <v>27484.410000000033</v>
      </c>
      <c r="AQ947" s="201">
        <v>27484.41</v>
      </c>
      <c r="AR947" s="199"/>
      <c r="AS947" s="313">
        <f t="shared" si="968"/>
        <v>27484.41</v>
      </c>
      <c r="AT947" s="155"/>
      <c r="AU947" s="156">
        <f t="shared" si="949"/>
        <v>0</v>
      </c>
      <c r="AV947" s="156">
        <f t="shared" si="950"/>
        <v>0</v>
      </c>
      <c r="AW947" s="157"/>
      <c r="AX947" s="150">
        <v>27484.410000000033</v>
      </c>
      <c r="AY947" s="150">
        <v>427111.31</v>
      </c>
      <c r="AZ947" s="150">
        <f t="shared" si="970"/>
        <v>-320619.37000000005</v>
      </c>
      <c r="BA947" s="313">
        <v>106491.93999999994</v>
      </c>
      <c r="BB947" s="210"/>
      <c r="BC947" s="210"/>
      <c r="BD947" s="210"/>
      <c r="BE947" s="210"/>
      <c r="BF947" s="210"/>
      <c r="BG947" s="210"/>
      <c r="BH947" s="217"/>
      <c r="BI947" s="210"/>
      <c r="BJ947" s="210"/>
      <c r="BK947" s="210"/>
      <c r="BL947" s="210"/>
      <c r="BM947" s="208"/>
      <c r="BN947" s="160"/>
      <c r="BO947" s="161"/>
      <c r="BP947" s="161"/>
    </row>
    <row r="948" spans="1:68" ht="25.5">
      <c r="A948" s="210"/>
      <c r="B948" s="195" t="s">
        <v>7329</v>
      </c>
      <c r="C948" s="196" t="s">
        <v>7330</v>
      </c>
      <c r="D948" s="146" t="s">
        <v>4692</v>
      </c>
      <c r="E948" s="196" t="s">
        <v>7330</v>
      </c>
      <c r="F948" s="150">
        <v>314972.42</v>
      </c>
      <c r="G948" s="209">
        <v>0</v>
      </c>
      <c r="H948" s="209">
        <v>0</v>
      </c>
      <c r="I948" s="209">
        <v>0</v>
      </c>
      <c r="J948" s="150">
        <v>0</v>
      </c>
      <c r="K948" s="150">
        <v>0</v>
      </c>
      <c r="L948" s="150">
        <f t="shared" si="958"/>
        <v>0</v>
      </c>
      <c r="M948" s="150">
        <v>15947.2</v>
      </c>
      <c r="N948" s="150">
        <v>0</v>
      </c>
      <c r="O948" s="150">
        <v>15947.2</v>
      </c>
      <c r="P948" s="150">
        <v>168766.98</v>
      </c>
      <c r="Q948" s="150">
        <v>0</v>
      </c>
      <c r="R948" s="313">
        <f t="shared" si="969"/>
        <v>168766.98</v>
      </c>
      <c r="S948" s="150">
        <f t="shared" si="953"/>
        <v>225022.64</v>
      </c>
      <c r="T948" s="150"/>
      <c r="U948" s="309">
        <v>106734.40000000001</v>
      </c>
      <c r="V948" s="199">
        <v>0</v>
      </c>
      <c r="W948" s="313">
        <f t="shared" si="965"/>
        <v>106734.40000000001</v>
      </c>
      <c r="X948" s="313">
        <v>106734.40000000001</v>
      </c>
      <c r="Y948" s="313">
        <v>0</v>
      </c>
      <c r="Z948" s="313">
        <v>106734.40000000001</v>
      </c>
      <c r="AA948" s="313">
        <f t="shared" si="954"/>
        <v>0</v>
      </c>
      <c r="AB948" s="150">
        <v>106734.40000000001</v>
      </c>
      <c r="AC948" s="199">
        <v>0</v>
      </c>
      <c r="AD948" s="313">
        <f t="shared" si="966"/>
        <v>106734.40000000001</v>
      </c>
      <c r="AE948" s="150">
        <v>106734.40000000001</v>
      </c>
      <c r="AF948" s="169" t="s">
        <v>4680</v>
      </c>
      <c r="AG948" s="201">
        <v>106734.40000000001</v>
      </c>
      <c r="AH948" s="199">
        <v>0</v>
      </c>
      <c r="AI948" s="313">
        <v>106734.40000000001</v>
      </c>
      <c r="AJ948" s="169">
        <f t="shared" si="955"/>
        <v>0</v>
      </c>
      <c r="AK948" s="201">
        <v>106734.40000000001</v>
      </c>
      <c r="AL948" s="199">
        <v>0</v>
      </c>
      <c r="AM948" s="313">
        <f t="shared" si="967"/>
        <v>106734.40000000001</v>
      </c>
      <c r="AN948" s="153">
        <f t="shared" si="956"/>
        <v>82965.08</v>
      </c>
      <c r="AO948" s="154">
        <f t="shared" si="957"/>
        <v>82965.08</v>
      </c>
      <c r="AP948" s="313">
        <v>106734.40000000001</v>
      </c>
      <c r="AQ948" s="201">
        <v>189699.48</v>
      </c>
      <c r="AR948" s="199"/>
      <c r="AS948" s="313">
        <f t="shared" si="968"/>
        <v>189699.48</v>
      </c>
      <c r="AT948" s="155" t="s">
        <v>7314</v>
      </c>
      <c r="AU948" s="156">
        <f t="shared" si="949"/>
        <v>0</v>
      </c>
      <c r="AV948" s="156">
        <f t="shared" si="950"/>
        <v>0</v>
      </c>
      <c r="AW948" s="157"/>
      <c r="AX948" s="150">
        <v>106734.40000000001</v>
      </c>
      <c r="AY948" s="150">
        <v>84165.9</v>
      </c>
      <c r="AZ948" s="150">
        <f t="shared" si="970"/>
        <v>-52271.499999999993</v>
      </c>
      <c r="BA948" s="313">
        <v>31894.400000000001</v>
      </c>
      <c r="BB948" s="210"/>
      <c r="BC948" s="210"/>
      <c r="BD948" s="210"/>
      <c r="BE948" s="210"/>
      <c r="BF948" s="210"/>
      <c r="BG948" s="210"/>
      <c r="BH948" s="217"/>
      <c r="BI948" s="210"/>
      <c r="BJ948" s="210"/>
      <c r="BK948" s="210"/>
      <c r="BL948" s="210"/>
      <c r="BM948" s="208"/>
      <c r="BN948" s="160"/>
      <c r="BO948" s="161"/>
      <c r="BP948" s="161"/>
    </row>
    <row r="949" spans="1:68">
      <c r="A949" s="210"/>
      <c r="B949" s="195" t="s">
        <v>7331</v>
      </c>
      <c r="C949" s="196" t="s">
        <v>7332</v>
      </c>
      <c r="D949" s="146" t="s">
        <v>4692</v>
      </c>
      <c r="E949" s="196" t="s">
        <v>7332</v>
      </c>
      <c r="F949" s="150">
        <v>0</v>
      </c>
      <c r="G949" s="209">
        <v>2319772.09</v>
      </c>
      <c r="H949" s="209">
        <v>1659194</v>
      </c>
      <c r="I949" s="209">
        <v>3978966.09</v>
      </c>
      <c r="J949" s="150">
        <v>0</v>
      </c>
      <c r="K949" s="150">
        <v>0</v>
      </c>
      <c r="L949" s="150">
        <f t="shared" si="958"/>
        <v>0</v>
      </c>
      <c r="M949" s="150">
        <v>0</v>
      </c>
      <c r="N949" s="150">
        <v>0</v>
      </c>
      <c r="O949" s="150">
        <v>0</v>
      </c>
      <c r="P949" s="150">
        <v>0</v>
      </c>
      <c r="Q949" s="150">
        <v>0</v>
      </c>
      <c r="R949" s="313">
        <f t="shared" si="969"/>
        <v>0</v>
      </c>
      <c r="S949" s="150">
        <f t="shared" si="953"/>
        <v>0</v>
      </c>
      <c r="T949" s="150"/>
      <c r="U949" s="150">
        <v>0</v>
      </c>
      <c r="V949" s="199">
        <v>0</v>
      </c>
      <c r="W949" s="313">
        <f t="shared" si="965"/>
        <v>0</v>
      </c>
      <c r="X949" s="313">
        <v>0</v>
      </c>
      <c r="Y949" s="313">
        <v>0</v>
      </c>
      <c r="Z949" s="313">
        <v>0</v>
      </c>
      <c r="AA949" s="313">
        <f t="shared" si="954"/>
        <v>0</v>
      </c>
      <c r="AB949" s="150">
        <v>0</v>
      </c>
      <c r="AC949" s="199">
        <v>0</v>
      </c>
      <c r="AD949" s="313">
        <f t="shared" si="966"/>
        <v>0</v>
      </c>
      <c r="AE949" s="150">
        <v>0</v>
      </c>
      <c r="AF949" s="169" t="s">
        <v>4680</v>
      </c>
      <c r="AG949" s="201">
        <v>0</v>
      </c>
      <c r="AH949" s="199">
        <v>0</v>
      </c>
      <c r="AI949" s="313">
        <v>0</v>
      </c>
      <c r="AJ949" s="169">
        <f t="shared" si="955"/>
        <v>0</v>
      </c>
      <c r="AK949" s="201">
        <v>0</v>
      </c>
      <c r="AL949" s="199">
        <v>0</v>
      </c>
      <c r="AM949" s="313">
        <f t="shared" si="967"/>
        <v>0</v>
      </c>
      <c r="AN949" s="153">
        <f t="shared" si="956"/>
        <v>0</v>
      </c>
      <c r="AO949" s="154">
        <f t="shared" si="957"/>
        <v>0</v>
      </c>
      <c r="AP949" s="313">
        <v>0</v>
      </c>
      <c r="AQ949" s="201">
        <v>0</v>
      </c>
      <c r="AR949" s="199">
        <v>0</v>
      </c>
      <c r="AS949" s="313">
        <f t="shared" si="968"/>
        <v>0</v>
      </c>
      <c r="AT949" s="155"/>
      <c r="AU949" s="156">
        <f t="shared" si="949"/>
        <v>0</v>
      </c>
      <c r="AV949" s="156">
        <f t="shared" si="950"/>
        <v>0</v>
      </c>
      <c r="AW949" s="157"/>
      <c r="AX949" s="150">
        <v>0</v>
      </c>
      <c r="AY949" s="150">
        <v>0</v>
      </c>
      <c r="AZ949" s="150">
        <f t="shared" si="970"/>
        <v>0</v>
      </c>
      <c r="BA949" s="313">
        <v>0</v>
      </c>
      <c r="BB949" s="210"/>
      <c r="BC949" s="210"/>
      <c r="BD949" s="210"/>
      <c r="BE949" s="210"/>
      <c r="BF949" s="210"/>
      <c r="BG949" s="210"/>
      <c r="BH949" s="217"/>
      <c r="BI949" s="210"/>
      <c r="BJ949" s="210"/>
      <c r="BK949" s="210"/>
      <c r="BL949" s="210"/>
      <c r="BM949" s="208"/>
      <c r="BN949" s="160"/>
      <c r="BO949" s="161"/>
      <c r="BP949" s="161"/>
    </row>
    <row r="950" spans="1:68" ht="38.25">
      <c r="A950" s="206" t="s">
        <v>405</v>
      </c>
      <c r="B950" s="195" t="s">
        <v>7333</v>
      </c>
      <c r="C950" s="196" t="s">
        <v>7334</v>
      </c>
      <c r="D950" s="146" t="s">
        <v>4692</v>
      </c>
      <c r="E950" s="196" t="s">
        <v>7334</v>
      </c>
      <c r="F950" s="150">
        <v>3978966.09</v>
      </c>
      <c r="G950" s="150">
        <v>282947</v>
      </c>
      <c r="H950" s="150">
        <v>35831.063732503913</v>
      </c>
      <c r="I950" s="150">
        <v>318778.06373250391</v>
      </c>
      <c r="J950" s="150">
        <v>555180.77</v>
      </c>
      <c r="K950" s="150">
        <v>59625.412499999999</v>
      </c>
      <c r="L950" s="150">
        <f t="shared" si="958"/>
        <v>614806.1825</v>
      </c>
      <c r="M950" s="150">
        <v>1115498.77</v>
      </c>
      <c r="N950" s="150">
        <v>669625.87504991214</v>
      </c>
      <c r="O950" s="150">
        <v>1785124.6450499122</v>
      </c>
      <c r="P950" s="150">
        <v>1676628.44</v>
      </c>
      <c r="Q950" s="150">
        <v>1144934</v>
      </c>
      <c r="R950" s="313">
        <f t="shared" si="969"/>
        <v>2821562.44</v>
      </c>
      <c r="S950" s="150">
        <f t="shared" si="953"/>
        <v>3762083.2533333334</v>
      </c>
      <c r="T950" s="150"/>
      <c r="U950" s="150">
        <v>2424854.11</v>
      </c>
      <c r="V950" s="199">
        <v>1500000</v>
      </c>
      <c r="W950" s="313">
        <f t="shared" si="965"/>
        <v>3924854.11</v>
      </c>
      <c r="X950" s="313">
        <v>2424854.11</v>
      </c>
      <c r="Y950" s="313">
        <v>1500000</v>
      </c>
      <c r="Z950" s="313">
        <v>3924854.11</v>
      </c>
      <c r="AA950" s="313">
        <f t="shared" si="954"/>
        <v>35143.659999999683</v>
      </c>
      <c r="AB950" s="150">
        <v>2424854.11</v>
      </c>
      <c r="AC950" s="199">
        <v>1535143.66</v>
      </c>
      <c r="AD950" s="313">
        <f t="shared" si="966"/>
        <v>3959997.7699999996</v>
      </c>
      <c r="AE950" s="150">
        <v>3959997.7699999996</v>
      </c>
      <c r="AF950" s="169" t="s">
        <v>4680</v>
      </c>
      <c r="AG950" s="201">
        <v>2424854.11</v>
      </c>
      <c r="AH950" s="199">
        <v>1535143.66</v>
      </c>
      <c r="AI950" s="313">
        <v>3959997.7699999996</v>
      </c>
      <c r="AJ950" s="169">
        <f t="shared" si="955"/>
        <v>0</v>
      </c>
      <c r="AK950" s="201">
        <v>2424854.11</v>
      </c>
      <c r="AL950" s="199">
        <v>1535143.66</v>
      </c>
      <c r="AM950" s="313">
        <f t="shared" si="967"/>
        <v>3959997.7699999996</v>
      </c>
      <c r="AN950" s="153">
        <f t="shared" si="956"/>
        <v>0</v>
      </c>
      <c r="AO950" s="154">
        <f t="shared" si="957"/>
        <v>0</v>
      </c>
      <c r="AP950" s="313">
        <v>3959997.7699999996</v>
      </c>
      <c r="AQ950" s="201">
        <v>3959997.77</v>
      </c>
      <c r="AR950" s="199"/>
      <c r="AS950" s="313">
        <f t="shared" si="968"/>
        <v>3959997.77</v>
      </c>
      <c r="AT950" s="155"/>
      <c r="AU950" s="156">
        <f t="shared" si="949"/>
        <v>0</v>
      </c>
      <c r="AV950" s="315">
        <f t="shared" si="950"/>
        <v>35143.659999999683</v>
      </c>
      <c r="AW950" s="316"/>
      <c r="AX950" s="150">
        <v>3924854.11</v>
      </c>
      <c r="AY950" s="150">
        <v>1302367.1100000001</v>
      </c>
      <c r="AZ950" s="150">
        <f t="shared" si="970"/>
        <v>2267882.1800998244</v>
      </c>
      <c r="BA950" s="313">
        <v>3570249.2900998243</v>
      </c>
      <c r="BB950" s="202">
        <v>5</v>
      </c>
      <c r="BC950" s="202" t="s">
        <v>647</v>
      </c>
      <c r="BD950" s="202" t="s">
        <v>632</v>
      </c>
      <c r="BE950" s="202" t="s">
        <v>1332</v>
      </c>
      <c r="BF950" s="202" t="s">
        <v>647</v>
      </c>
      <c r="BG950" s="203" t="s">
        <v>7335</v>
      </c>
      <c r="BH950" s="216">
        <f>AS950</f>
        <v>3959997.77</v>
      </c>
      <c r="BI950" s="205"/>
      <c r="BJ950" s="206" t="s">
        <v>7310</v>
      </c>
      <c r="BK950" s="206" t="s">
        <v>405</v>
      </c>
      <c r="BL950" s="207" t="s">
        <v>7311</v>
      </c>
      <c r="BM950" s="208">
        <f>BH950</f>
        <v>3959997.77</v>
      </c>
      <c r="BN950" s="160"/>
      <c r="BO950" s="161"/>
      <c r="BP950" s="161"/>
    </row>
    <row r="951" spans="1:68" ht="51">
      <c r="A951" s="206" t="s">
        <v>405</v>
      </c>
      <c r="B951" s="195" t="s">
        <v>7336</v>
      </c>
      <c r="C951" s="196" t="s">
        <v>7337</v>
      </c>
      <c r="D951" s="146" t="s">
        <v>4692</v>
      </c>
      <c r="E951" s="196" t="s">
        <v>7337</v>
      </c>
      <c r="F951" s="150">
        <v>318778</v>
      </c>
      <c r="G951" s="150">
        <v>317800</v>
      </c>
      <c r="H951" s="150">
        <v>368859.81594090199</v>
      </c>
      <c r="I951" s="150">
        <v>686659.81594090199</v>
      </c>
      <c r="J951" s="150">
        <v>33043.51</v>
      </c>
      <c r="K951" s="150">
        <v>7340.1</v>
      </c>
      <c r="L951" s="150">
        <f t="shared" si="958"/>
        <v>40383.61</v>
      </c>
      <c r="M951" s="150">
        <v>122276.08</v>
      </c>
      <c r="N951" s="150">
        <v>180667.77313740458</v>
      </c>
      <c r="O951" s="150">
        <v>302943.8531374046</v>
      </c>
      <c r="P951" s="150">
        <v>217931.51999999999</v>
      </c>
      <c r="Q951" s="150">
        <v>111450.08686459911</v>
      </c>
      <c r="R951" s="313">
        <f t="shared" si="969"/>
        <v>329381.6068645991</v>
      </c>
      <c r="S951" s="150">
        <f t="shared" si="953"/>
        <v>439175.47581946547</v>
      </c>
      <c r="T951" s="150"/>
      <c r="U951" s="150">
        <v>331309.51</v>
      </c>
      <c r="V951" s="199">
        <v>10984.508801214048</v>
      </c>
      <c r="W951" s="313">
        <f t="shared" si="965"/>
        <v>342294.01880121406</v>
      </c>
      <c r="X951" s="313">
        <v>331309.51</v>
      </c>
      <c r="Y951" s="313">
        <v>10984.508801214048</v>
      </c>
      <c r="Z951" s="313">
        <v>342294.01880121406</v>
      </c>
      <c r="AA951" s="313">
        <f t="shared" si="954"/>
        <v>436128.65119878587</v>
      </c>
      <c r="AB951" s="150">
        <v>331309.51</v>
      </c>
      <c r="AC951" s="199">
        <v>447113.16</v>
      </c>
      <c r="AD951" s="313">
        <f t="shared" si="966"/>
        <v>778422.66999999993</v>
      </c>
      <c r="AE951" s="150">
        <v>778422.66999999993</v>
      </c>
      <c r="AF951" s="169" t="s">
        <v>4680</v>
      </c>
      <c r="AG951" s="201">
        <v>331309.51</v>
      </c>
      <c r="AH951" s="199">
        <v>447113.16</v>
      </c>
      <c r="AI951" s="313">
        <v>778422.66999999993</v>
      </c>
      <c r="AJ951" s="169">
        <f t="shared" si="955"/>
        <v>0</v>
      </c>
      <c r="AK951" s="201">
        <v>331309.51</v>
      </c>
      <c r="AL951" s="199">
        <v>447113.16</v>
      </c>
      <c r="AM951" s="313">
        <f t="shared" si="967"/>
        <v>778422.66999999993</v>
      </c>
      <c r="AN951" s="153">
        <f t="shared" si="956"/>
        <v>0</v>
      </c>
      <c r="AO951" s="154">
        <f t="shared" si="957"/>
        <v>0</v>
      </c>
      <c r="AP951" s="313">
        <v>778422.66999999993</v>
      </c>
      <c r="AQ951" s="201">
        <v>778422.67</v>
      </c>
      <c r="AR951" s="199"/>
      <c r="AS951" s="313">
        <f t="shared" si="968"/>
        <v>778422.67</v>
      </c>
      <c r="AT951" s="155"/>
      <c r="AU951" s="156">
        <f t="shared" si="949"/>
        <v>0</v>
      </c>
      <c r="AV951" s="315">
        <f t="shared" si="950"/>
        <v>436128.65119878587</v>
      </c>
      <c r="AW951" s="316"/>
      <c r="AX951" s="150">
        <v>342294.01880121406</v>
      </c>
      <c r="AY951" s="150">
        <v>156531.95000000001</v>
      </c>
      <c r="AZ951" s="150">
        <f t="shared" si="970"/>
        <v>449355.75627480919</v>
      </c>
      <c r="BA951" s="313">
        <v>605887.7062748092</v>
      </c>
      <c r="BB951" s="202">
        <v>5</v>
      </c>
      <c r="BC951" s="202" t="s">
        <v>647</v>
      </c>
      <c r="BD951" s="202" t="s">
        <v>632</v>
      </c>
      <c r="BE951" s="202" t="s">
        <v>1332</v>
      </c>
      <c r="BF951" s="202" t="s">
        <v>671</v>
      </c>
      <c r="BG951" s="203" t="s">
        <v>7338</v>
      </c>
      <c r="BH951" s="216">
        <f>AS951</f>
        <v>778422.67</v>
      </c>
      <c r="BI951" s="205"/>
      <c r="BJ951" s="206" t="s">
        <v>7310</v>
      </c>
      <c r="BK951" s="206" t="s">
        <v>405</v>
      </c>
      <c r="BL951" s="207" t="s">
        <v>7311</v>
      </c>
      <c r="BM951" s="208">
        <f>BH951</f>
        <v>778422.67</v>
      </c>
      <c r="BN951" s="160"/>
      <c r="BO951" s="161"/>
      <c r="BP951" s="161"/>
    </row>
    <row r="952" spans="1:68" ht="38.25">
      <c r="A952" s="206" t="s">
        <v>405</v>
      </c>
      <c r="B952" s="195" t="s">
        <v>7339</v>
      </c>
      <c r="C952" s="196" t="s">
        <v>7340</v>
      </c>
      <c r="D952" s="146" t="s">
        <v>4692</v>
      </c>
      <c r="E952" s="196" t="s">
        <v>7340</v>
      </c>
      <c r="F952" s="150">
        <v>686660</v>
      </c>
      <c r="G952" s="150">
        <v>0</v>
      </c>
      <c r="H952" s="150">
        <v>0</v>
      </c>
      <c r="I952" s="150">
        <v>0</v>
      </c>
      <c r="J952" s="150">
        <v>0</v>
      </c>
      <c r="K952" s="150">
        <v>5373.3874999999998</v>
      </c>
      <c r="L952" s="150">
        <f t="shared" si="958"/>
        <v>5373.3874999999998</v>
      </c>
      <c r="M952" s="150">
        <v>0</v>
      </c>
      <c r="N952" s="150">
        <v>342519.90874045802</v>
      </c>
      <c r="O952" s="150">
        <v>342519.90874045802</v>
      </c>
      <c r="P952" s="150">
        <v>0</v>
      </c>
      <c r="Q952" s="150">
        <v>509116.20323373668</v>
      </c>
      <c r="R952" s="313">
        <f t="shared" si="969"/>
        <v>509116.20323373668</v>
      </c>
      <c r="S952" s="150">
        <f t="shared" si="953"/>
        <v>678821.60431164887</v>
      </c>
      <c r="T952" s="150"/>
      <c r="U952" s="150">
        <v>0</v>
      </c>
      <c r="V952" s="199">
        <v>667465.37154779967</v>
      </c>
      <c r="W952" s="313">
        <f t="shared" si="965"/>
        <v>667465.37154779967</v>
      </c>
      <c r="X952" s="313">
        <v>0</v>
      </c>
      <c r="Y952" s="313">
        <v>667465.37154779967</v>
      </c>
      <c r="Z952" s="313">
        <v>667465.37154779967</v>
      </c>
      <c r="AA952" s="313">
        <f t="shared" si="954"/>
        <v>0</v>
      </c>
      <c r="AB952" s="150">
        <v>0</v>
      </c>
      <c r="AC952" s="199">
        <v>667465.37154779967</v>
      </c>
      <c r="AD952" s="313">
        <f t="shared" si="966"/>
        <v>667465.37154779967</v>
      </c>
      <c r="AE952" s="150">
        <v>667465.37154779967</v>
      </c>
      <c r="AF952" s="169" t="s">
        <v>4680</v>
      </c>
      <c r="AG952" s="201">
        <v>0</v>
      </c>
      <c r="AH952" s="199">
        <v>667465.37154779967</v>
      </c>
      <c r="AI952" s="313">
        <v>667465.37154779967</v>
      </c>
      <c r="AJ952" s="169">
        <f t="shared" si="955"/>
        <v>0</v>
      </c>
      <c r="AK952" s="201">
        <v>0</v>
      </c>
      <c r="AL952" s="199">
        <v>667465.37154779967</v>
      </c>
      <c r="AM952" s="313">
        <f t="shared" si="967"/>
        <v>667465.37154779967</v>
      </c>
      <c r="AN952" s="153"/>
      <c r="AO952" s="154">
        <f t="shared" si="957"/>
        <v>-1.5477996785193682E-3</v>
      </c>
      <c r="AP952" s="313">
        <v>667465.37154779967</v>
      </c>
      <c r="AQ952" s="201">
        <v>667465.37</v>
      </c>
      <c r="AR952" s="199"/>
      <c r="AS952" s="313">
        <f t="shared" si="968"/>
        <v>667465.37</v>
      </c>
      <c r="AT952" s="155"/>
      <c r="AU952" s="156">
        <f t="shared" si="949"/>
        <v>0</v>
      </c>
      <c r="AV952" s="315">
        <f t="shared" si="950"/>
        <v>0</v>
      </c>
      <c r="AW952" s="316"/>
      <c r="AX952" s="150">
        <v>667465.37154779967</v>
      </c>
      <c r="AY952" s="150">
        <v>0</v>
      </c>
      <c r="AZ952" s="150">
        <f t="shared" si="970"/>
        <v>685039.81748091604</v>
      </c>
      <c r="BA952" s="313">
        <v>685039.81748091604</v>
      </c>
      <c r="BB952" s="202">
        <v>5</v>
      </c>
      <c r="BC952" s="202" t="s">
        <v>647</v>
      </c>
      <c r="BD952" s="202" t="s">
        <v>632</v>
      </c>
      <c r="BE952" s="202" t="s">
        <v>1332</v>
      </c>
      <c r="BF952" s="202" t="s">
        <v>693</v>
      </c>
      <c r="BG952" s="203" t="s">
        <v>7341</v>
      </c>
      <c r="BH952" s="216">
        <f>AS952</f>
        <v>667465.37</v>
      </c>
      <c r="BI952" s="205"/>
      <c r="BJ952" s="206" t="s">
        <v>7310</v>
      </c>
      <c r="BK952" s="206" t="s">
        <v>405</v>
      </c>
      <c r="BL952" s="207" t="s">
        <v>7311</v>
      </c>
      <c r="BM952" s="208">
        <f>BH952</f>
        <v>667465.37</v>
      </c>
      <c r="BN952" s="160"/>
      <c r="BO952" s="161"/>
      <c r="BP952" s="161"/>
    </row>
    <row r="953" spans="1:68" ht="38.25">
      <c r="A953" s="206" t="s">
        <v>405</v>
      </c>
      <c r="B953" s="195" t="s">
        <v>7342</v>
      </c>
      <c r="C953" s="196" t="s">
        <v>7343</v>
      </c>
      <c r="D953" s="146" t="s">
        <v>4692</v>
      </c>
      <c r="E953" s="196" t="s">
        <v>7343</v>
      </c>
      <c r="F953" s="150">
        <v>0</v>
      </c>
      <c r="G953" s="209">
        <v>0</v>
      </c>
      <c r="H953" s="209">
        <v>0</v>
      </c>
      <c r="I953" s="209">
        <v>0</v>
      </c>
      <c r="J953" s="150">
        <v>0</v>
      </c>
      <c r="K953" s="150">
        <v>0</v>
      </c>
      <c r="L953" s="150">
        <f t="shared" si="958"/>
        <v>0</v>
      </c>
      <c r="M953" s="150">
        <v>0</v>
      </c>
      <c r="N953" s="150">
        <v>0</v>
      </c>
      <c r="O953" s="150">
        <v>0</v>
      </c>
      <c r="P953" s="150">
        <v>0</v>
      </c>
      <c r="Q953" s="150">
        <v>0</v>
      </c>
      <c r="R953" s="313">
        <f t="shared" si="969"/>
        <v>0</v>
      </c>
      <c r="S953" s="150">
        <f t="shared" si="953"/>
        <v>0</v>
      </c>
      <c r="T953" s="150"/>
      <c r="U953" s="150">
        <v>0</v>
      </c>
      <c r="V953" s="199">
        <v>0</v>
      </c>
      <c r="W953" s="313">
        <f t="shared" si="965"/>
        <v>0</v>
      </c>
      <c r="X953" s="313">
        <v>0</v>
      </c>
      <c r="Y953" s="313">
        <v>0</v>
      </c>
      <c r="Z953" s="313">
        <v>0</v>
      </c>
      <c r="AA953" s="313">
        <f t="shared" si="954"/>
        <v>0</v>
      </c>
      <c r="AB953" s="150">
        <v>0</v>
      </c>
      <c r="AC953" s="199">
        <v>0</v>
      </c>
      <c r="AD953" s="313">
        <f t="shared" si="966"/>
        <v>0</v>
      </c>
      <c r="AE953" s="150">
        <v>0</v>
      </c>
      <c r="AF953" s="169" t="s">
        <v>4680</v>
      </c>
      <c r="AG953" s="201">
        <v>0</v>
      </c>
      <c r="AH953" s="199">
        <v>0</v>
      </c>
      <c r="AI953" s="313">
        <v>0</v>
      </c>
      <c r="AJ953" s="169">
        <f t="shared" si="955"/>
        <v>0</v>
      </c>
      <c r="AK953" s="201">
        <v>0</v>
      </c>
      <c r="AL953" s="199">
        <v>0</v>
      </c>
      <c r="AM953" s="313">
        <f t="shared" si="967"/>
        <v>0</v>
      </c>
      <c r="AN953" s="153">
        <f t="shared" si="956"/>
        <v>0</v>
      </c>
      <c r="AO953" s="154">
        <f t="shared" si="957"/>
        <v>0</v>
      </c>
      <c r="AP953" s="313">
        <v>0</v>
      </c>
      <c r="AQ953" s="201">
        <v>0</v>
      </c>
      <c r="AR953" s="199">
        <v>0</v>
      </c>
      <c r="AS953" s="313">
        <f t="shared" si="968"/>
        <v>0</v>
      </c>
      <c r="AT953" s="155"/>
      <c r="AU953" s="156">
        <f t="shared" si="949"/>
        <v>0</v>
      </c>
      <c r="AV953" s="156">
        <f t="shared" si="950"/>
        <v>0</v>
      </c>
      <c r="AW953" s="157"/>
      <c r="AX953" s="150">
        <v>0</v>
      </c>
      <c r="AY953" s="150">
        <v>0</v>
      </c>
      <c r="AZ953" s="150">
        <f t="shared" si="970"/>
        <v>0</v>
      </c>
      <c r="BA953" s="313">
        <v>0</v>
      </c>
      <c r="BB953" s="202">
        <v>5</v>
      </c>
      <c r="BC953" s="202" t="s">
        <v>647</v>
      </c>
      <c r="BD953" s="202" t="s">
        <v>632</v>
      </c>
      <c r="BE953" s="202" t="s">
        <v>1332</v>
      </c>
      <c r="BF953" s="202" t="s">
        <v>714</v>
      </c>
      <c r="BG953" s="287" t="s">
        <v>7344</v>
      </c>
      <c r="BH953" s="283">
        <f>SUM(AS953:AS962)</f>
        <v>2630783.13</v>
      </c>
      <c r="BI953" s="205"/>
      <c r="BJ953" s="206" t="s">
        <v>7310</v>
      </c>
      <c r="BK953" s="206" t="s">
        <v>405</v>
      </c>
      <c r="BL953" s="207" t="s">
        <v>7311</v>
      </c>
      <c r="BM953" s="208">
        <f>BH953</f>
        <v>2630783.13</v>
      </c>
      <c r="BN953" s="160"/>
      <c r="BO953" s="161"/>
      <c r="BP953" s="161"/>
    </row>
    <row r="954" spans="1:68" ht="38.25">
      <c r="A954" s="210"/>
      <c r="B954" s="195" t="s">
        <v>7345</v>
      </c>
      <c r="C954" s="196" t="s">
        <v>7346</v>
      </c>
      <c r="D954" s="146" t="s">
        <v>4692</v>
      </c>
      <c r="E954" s="196" t="s">
        <v>7346</v>
      </c>
      <c r="F954" s="150">
        <v>0</v>
      </c>
      <c r="G954" s="209">
        <v>1927777.06</v>
      </c>
      <c r="H954" s="209">
        <v>96316.429362270603</v>
      </c>
      <c r="I954" s="209">
        <v>2024093.4893622706</v>
      </c>
      <c r="J954" s="150">
        <v>0</v>
      </c>
      <c r="K954" s="150">
        <v>0</v>
      </c>
      <c r="L954" s="150">
        <f t="shared" si="958"/>
        <v>0</v>
      </c>
      <c r="M954" s="150">
        <v>0</v>
      </c>
      <c r="N954" s="150">
        <v>0</v>
      </c>
      <c r="O954" s="150">
        <v>0</v>
      </c>
      <c r="P954" s="150">
        <v>0</v>
      </c>
      <c r="Q954" s="150">
        <v>0</v>
      </c>
      <c r="R954" s="313">
        <f t="shared" si="969"/>
        <v>0</v>
      </c>
      <c r="S954" s="150">
        <f t="shared" si="953"/>
        <v>0</v>
      </c>
      <c r="T954" s="150"/>
      <c r="U954" s="150">
        <v>0</v>
      </c>
      <c r="V954" s="199">
        <v>0</v>
      </c>
      <c r="W954" s="313">
        <f t="shared" si="965"/>
        <v>0</v>
      </c>
      <c r="X954" s="313">
        <v>0</v>
      </c>
      <c r="Y954" s="313">
        <v>0</v>
      </c>
      <c r="Z954" s="313">
        <v>0</v>
      </c>
      <c r="AA954" s="313">
        <f t="shared" si="954"/>
        <v>0</v>
      </c>
      <c r="AB954" s="150">
        <v>0</v>
      </c>
      <c r="AC954" s="199">
        <v>0</v>
      </c>
      <c r="AD954" s="313">
        <f t="shared" si="966"/>
        <v>0</v>
      </c>
      <c r="AE954" s="150">
        <v>0</v>
      </c>
      <c r="AF954" s="169" t="s">
        <v>4680</v>
      </c>
      <c r="AG954" s="201">
        <v>0</v>
      </c>
      <c r="AH954" s="199">
        <v>0</v>
      </c>
      <c r="AI954" s="313">
        <v>0</v>
      </c>
      <c r="AJ954" s="169">
        <f t="shared" si="955"/>
        <v>0</v>
      </c>
      <c r="AK954" s="201">
        <v>0</v>
      </c>
      <c r="AL954" s="199">
        <v>0</v>
      </c>
      <c r="AM954" s="313">
        <f t="shared" si="967"/>
        <v>0</v>
      </c>
      <c r="AN954" s="153">
        <f t="shared" si="956"/>
        <v>0</v>
      </c>
      <c r="AO954" s="154">
        <f t="shared" si="957"/>
        <v>0</v>
      </c>
      <c r="AP954" s="313">
        <v>0</v>
      </c>
      <c r="AQ954" s="201">
        <v>0</v>
      </c>
      <c r="AR954" s="199">
        <v>0</v>
      </c>
      <c r="AS954" s="313">
        <f t="shared" si="968"/>
        <v>0</v>
      </c>
      <c r="AT954" s="155"/>
      <c r="AU954" s="156">
        <f t="shared" si="949"/>
        <v>0</v>
      </c>
      <c r="AV954" s="156">
        <f t="shared" si="950"/>
        <v>0</v>
      </c>
      <c r="AW954" s="157"/>
      <c r="AX954" s="150">
        <v>0</v>
      </c>
      <c r="AY954" s="150">
        <v>0</v>
      </c>
      <c r="AZ954" s="150">
        <f t="shared" si="970"/>
        <v>0</v>
      </c>
      <c r="BA954" s="313">
        <v>0</v>
      </c>
      <c r="BB954" s="210"/>
      <c r="BC954" s="210"/>
      <c r="BD954" s="210"/>
      <c r="BE954" s="210"/>
      <c r="BF954" s="210"/>
      <c r="BG954" s="210"/>
      <c r="BH954" s="217"/>
      <c r="BI954" s="210"/>
      <c r="BJ954" s="210"/>
      <c r="BK954" s="210"/>
      <c r="BL954" s="210"/>
      <c r="BM954" s="208"/>
      <c r="BN954" s="160"/>
      <c r="BO954" s="161"/>
      <c r="BP954" s="161"/>
    </row>
    <row r="955" spans="1:68" ht="38.25">
      <c r="A955" s="210"/>
      <c r="B955" s="195" t="s">
        <v>7347</v>
      </c>
      <c r="C955" s="196" t="s">
        <v>7348</v>
      </c>
      <c r="D955" s="146" t="s">
        <v>4692</v>
      </c>
      <c r="E955" s="196" t="s">
        <v>7348</v>
      </c>
      <c r="F955" s="150">
        <v>2024407.01</v>
      </c>
      <c r="G955" s="150">
        <v>0</v>
      </c>
      <c r="H955" s="150">
        <v>0</v>
      </c>
      <c r="I955" s="150">
        <v>0</v>
      </c>
      <c r="J955" s="150">
        <v>424423.2</v>
      </c>
      <c r="K955" s="150">
        <v>17506.014999999999</v>
      </c>
      <c r="L955" s="150">
        <f t="shared" si="958"/>
        <v>441929.21500000003</v>
      </c>
      <c r="M955" s="150">
        <v>856334.76</v>
      </c>
      <c r="N955" s="150">
        <v>124518.66696624784</v>
      </c>
      <c r="O955" s="150">
        <v>980853.42696624785</v>
      </c>
      <c r="P955" s="150">
        <v>1309016.8899999999</v>
      </c>
      <c r="Q955" s="150">
        <v>147694.77704340391</v>
      </c>
      <c r="R955" s="313">
        <f t="shared" si="969"/>
        <v>1456711.6670434037</v>
      </c>
      <c r="S955" s="150">
        <f t="shared" si="953"/>
        <v>1942282.2227245383</v>
      </c>
      <c r="T955" s="150"/>
      <c r="U955" s="150">
        <v>1852180.55</v>
      </c>
      <c r="V955" s="199">
        <v>161471.07152306527</v>
      </c>
      <c r="W955" s="313">
        <f t="shared" si="965"/>
        <v>2013651.6215230653</v>
      </c>
      <c r="X955" s="313">
        <v>1852180.55</v>
      </c>
      <c r="Y955" s="313">
        <v>161471.07152306527</v>
      </c>
      <c r="Z955" s="313">
        <v>2013651.6215230653</v>
      </c>
      <c r="AA955" s="313">
        <f t="shared" si="954"/>
        <v>113174.94847693504</v>
      </c>
      <c r="AB955" s="150">
        <v>1852180.55</v>
      </c>
      <c r="AC955" s="199">
        <v>274646.02</v>
      </c>
      <c r="AD955" s="313">
        <f t="shared" si="966"/>
        <v>2126826.5700000003</v>
      </c>
      <c r="AE955" s="150">
        <v>2126826.5700000003</v>
      </c>
      <c r="AF955" s="169" t="s">
        <v>4680</v>
      </c>
      <c r="AG955" s="201">
        <v>1852180.55</v>
      </c>
      <c r="AH955" s="199">
        <v>274646.02</v>
      </c>
      <c r="AI955" s="313">
        <v>2126826.5700000003</v>
      </c>
      <c r="AJ955" s="169">
        <f t="shared" si="955"/>
        <v>0</v>
      </c>
      <c r="AK955" s="201">
        <v>1852180.55</v>
      </c>
      <c r="AL955" s="199">
        <v>274646.02</v>
      </c>
      <c r="AM955" s="313">
        <f t="shared" si="967"/>
        <v>2126826.5700000003</v>
      </c>
      <c r="AN955" s="153">
        <f t="shared" si="956"/>
        <v>1187.4599999994971</v>
      </c>
      <c r="AO955" s="154">
        <f t="shared" si="957"/>
        <v>1187.4599999994971</v>
      </c>
      <c r="AP955" s="313">
        <v>2126826.5700000003</v>
      </c>
      <c r="AQ955" s="201">
        <v>2128014.0299999998</v>
      </c>
      <c r="AR955" s="199"/>
      <c r="AS955" s="313">
        <f t="shared" si="968"/>
        <v>2128014.0299999998</v>
      </c>
      <c r="AT955" s="155"/>
      <c r="AU955" s="156">
        <f t="shared" si="949"/>
        <v>0</v>
      </c>
      <c r="AV955" s="315">
        <f t="shared" si="950"/>
        <v>113174.94847693504</v>
      </c>
      <c r="AW955" s="316"/>
      <c r="AX955" s="150">
        <v>2013651.6215230653</v>
      </c>
      <c r="AY955" s="150">
        <v>1003933.47</v>
      </c>
      <c r="AZ955" s="150">
        <f t="shared" si="970"/>
        <v>957773.38393249572</v>
      </c>
      <c r="BA955" s="313">
        <v>1961706.8539324957</v>
      </c>
      <c r="BB955" s="210"/>
      <c r="BC955" s="210"/>
      <c r="BD955" s="210"/>
      <c r="BE955" s="210"/>
      <c r="BF955" s="210"/>
      <c r="BG955" s="210"/>
      <c r="BH955" s="217"/>
      <c r="BI955" s="210"/>
      <c r="BJ955" s="210"/>
      <c r="BK955" s="210"/>
      <c r="BL955" s="210"/>
      <c r="BM955" s="208"/>
      <c r="BN955" s="160"/>
      <c r="BO955" s="161"/>
      <c r="BP955" s="161"/>
    </row>
    <row r="956" spans="1:68" ht="38.25">
      <c r="A956" s="210"/>
      <c r="B956" s="195" t="s">
        <v>7349</v>
      </c>
      <c r="C956" s="196" t="s">
        <v>7350</v>
      </c>
      <c r="D956" s="146" t="s">
        <v>4692</v>
      </c>
      <c r="E956" s="196" t="s">
        <v>7350</v>
      </c>
      <c r="F956" s="150">
        <v>0</v>
      </c>
      <c r="G956" s="209">
        <v>8779.94</v>
      </c>
      <c r="H956" s="209">
        <v>0</v>
      </c>
      <c r="I956" s="209">
        <v>8779.94</v>
      </c>
      <c r="J956" s="150">
        <v>0</v>
      </c>
      <c r="K956" s="150">
        <v>0</v>
      </c>
      <c r="L956" s="150">
        <f t="shared" si="958"/>
        <v>0</v>
      </c>
      <c r="M956" s="150">
        <v>0</v>
      </c>
      <c r="N956" s="150">
        <v>0</v>
      </c>
      <c r="O956" s="150">
        <v>0</v>
      </c>
      <c r="P956" s="150">
        <v>0</v>
      </c>
      <c r="Q956" s="150">
        <v>0</v>
      </c>
      <c r="R956" s="313">
        <f t="shared" si="969"/>
        <v>0</v>
      </c>
      <c r="S956" s="150">
        <f t="shared" si="953"/>
        <v>0</v>
      </c>
      <c r="T956" s="150"/>
      <c r="U956" s="150">
        <v>0</v>
      </c>
      <c r="V956" s="199">
        <v>0</v>
      </c>
      <c r="W956" s="313">
        <f t="shared" si="965"/>
        <v>0</v>
      </c>
      <c r="X956" s="313">
        <v>0</v>
      </c>
      <c r="Y956" s="313">
        <v>0</v>
      </c>
      <c r="Z956" s="313">
        <v>0</v>
      </c>
      <c r="AA956" s="313">
        <f t="shared" si="954"/>
        <v>0</v>
      </c>
      <c r="AB956" s="150">
        <v>0</v>
      </c>
      <c r="AC956" s="199">
        <v>0</v>
      </c>
      <c r="AD956" s="313">
        <f t="shared" si="966"/>
        <v>0</v>
      </c>
      <c r="AE956" s="150">
        <v>0</v>
      </c>
      <c r="AF956" s="169" t="s">
        <v>4680</v>
      </c>
      <c r="AG956" s="201">
        <v>0</v>
      </c>
      <c r="AH956" s="199">
        <v>0</v>
      </c>
      <c r="AI956" s="313">
        <v>0</v>
      </c>
      <c r="AJ956" s="169">
        <f t="shared" si="955"/>
        <v>0</v>
      </c>
      <c r="AK956" s="201">
        <v>0</v>
      </c>
      <c r="AL956" s="199">
        <v>0</v>
      </c>
      <c r="AM956" s="313">
        <f t="shared" si="967"/>
        <v>0</v>
      </c>
      <c r="AN956" s="153">
        <f t="shared" si="956"/>
        <v>0</v>
      </c>
      <c r="AO956" s="154">
        <f t="shared" si="957"/>
        <v>0</v>
      </c>
      <c r="AP956" s="313">
        <v>0</v>
      </c>
      <c r="AQ956" s="201">
        <v>0</v>
      </c>
      <c r="AR956" s="199">
        <v>0</v>
      </c>
      <c r="AS956" s="313">
        <f t="shared" si="968"/>
        <v>0</v>
      </c>
      <c r="AT956" s="155"/>
      <c r="AU956" s="156">
        <f t="shared" si="949"/>
        <v>0</v>
      </c>
      <c r="AV956" s="156">
        <f t="shared" si="950"/>
        <v>0</v>
      </c>
      <c r="AW956" s="157"/>
      <c r="AX956" s="150">
        <v>0</v>
      </c>
      <c r="AY956" s="150">
        <v>0</v>
      </c>
      <c r="AZ956" s="150">
        <f t="shared" si="970"/>
        <v>0</v>
      </c>
      <c r="BA956" s="313">
        <v>0</v>
      </c>
      <c r="BB956" s="210"/>
      <c r="BC956" s="210"/>
      <c r="BD956" s="210"/>
      <c r="BE956" s="210"/>
      <c r="BF956" s="210"/>
      <c r="BG956" s="210"/>
      <c r="BH956" s="217"/>
      <c r="BI956" s="210"/>
      <c r="BJ956" s="210"/>
      <c r="BK956" s="210"/>
      <c r="BL956" s="210"/>
      <c r="BM956" s="208"/>
      <c r="BN956" s="160"/>
      <c r="BO956" s="161"/>
      <c r="BP956" s="161"/>
    </row>
    <row r="957" spans="1:68" ht="38.25">
      <c r="A957" s="210"/>
      <c r="B957" s="195" t="s">
        <v>7351</v>
      </c>
      <c r="C957" s="196" t="s">
        <v>7352</v>
      </c>
      <c r="D957" s="146" t="s">
        <v>4692</v>
      </c>
      <c r="E957" s="196" t="s">
        <v>7352</v>
      </c>
      <c r="F957" s="150">
        <v>8779.94</v>
      </c>
      <c r="G957" s="209">
        <v>0</v>
      </c>
      <c r="H957" s="209">
        <v>0</v>
      </c>
      <c r="I957" s="209">
        <v>0</v>
      </c>
      <c r="J957" s="150">
        <v>1987.14</v>
      </c>
      <c r="K957" s="150">
        <v>0</v>
      </c>
      <c r="L957" s="150">
        <f t="shared" si="958"/>
        <v>1987.14</v>
      </c>
      <c r="M957" s="150">
        <v>4061.36</v>
      </c>
      <c r="N957" s="150">
        <v>0</v>
      </c>
      <c r="O957" s="150">
        <v>4061.36</v>
      </c>
      <c r="P957" s="150">
        <v>6541.9</v>
      </c>
      <c r="Q957" s="150">
        <v>0</v>
      </c>
      <c r="R957" s="313">
        <f t="shared" si="969"/>
        <v>6541.9</v>
      </c>
      <c r="S957" s="150">
        <f t="shared" si="953"/>
        <v>8722.5333333333328</v>
      </c>
      <c r="T957" s="150"/>
      <c r="U957" s="150">
        <v>8832.1</v>
      </c>
      <c r="V957" s="199">
        <v>0</v>
      </c>
      <c r="W957" s="313">
        <f t="shared" si="965"/>
        <v>8832.1</v>
      </c>
      <c r="X957" s="313">
        <v>8832.1</v>
      </c>
      <c r="Y957" s="313">
        <v>0</v>
      </c>
      <c r="Z957" s="313">
        <v>8832.1</v>
      </c>
      <c r="AA957" s="313">
        <f t="shared" si="954"/>
        <v>0</v>
      </c>
      <c r="AB957" s="150">
        <v>8832.1</v>
      </c>
      <c r="AC957" s="199">
        <v>0</v>
      </c>
      <c r="AD957" s="313">
        <f t="shared" si="966"/>
        <v>8832.1</v>
      </c>
      <c r="AE957" s="150">
        <v>8832.1</v>
      </c>
      <c r="AF957" s="169" t="s">
        <v>4680</v>
      </c>
      <c r="AG957" s="201">
        <v>8832.1</v>
      </c>
      <c r="AH957" s="199">
        <v>0</v>
      </c>
      <c r="AI957" s="313">
        <v>8832.1</v>
      </c>
      <c r="AJ957" s="169">
        <f t="shared" si="955"/>
        <v>0</v>
      </c>
      <c r="AK957" s="201">
        <v>8832.1</v>
      </c>
      <c r="AL957" s="199">
        <v>0</v>
      </c>
      <c r="AM957" s="313">
        <f t="shared" si="967"/>
        <v>8832.1</v>
      </c>
      <c r="AN957" s="153">
        <f t="shared" si="956"/>
        <v>0</v>
      </c>
      <c r="AO957" s="154">
        <f t="shared" si="957"/>
        <v>0</v>
      </c>
      <c r="AP957" s="313">
        <v>8832.1</v>
      </c>
      <c r="AQ957" s="201">
        <v>8832.1</v>
      </c>
      <c r="AR957" s="199">
        <v>0</v>
      </c>
      <c r="AS957" s="313">
        <f t="shared" si="968"/>
        <v>8832.1</v>
      </c>
      <c r="AT957" s="155"/>
      <c r="AU957" s="156">
        <f t="shared" si="949"/>
        <v>0</v>
      </c>
      <c r="AV957" s="156">
        <f t="shared" si="950"/>
        <v>0</v>
      </c>
      <c r="AW957" s="157"/>
      <c r="AX957" s="150">
        <v>8832.1</v>
      </c>
      <c r="AY957" s="150">
        <v>4836.57</v>
      </c>
      <c r="AZ957" s="150">
        <f t="shared" si="970"/>
        <v>3286.1500000000005</v>
      </c>
      <c r="BA957" s="313">
        <v>8122.72</v>
      </c>
      <c r="BB957" s="210"/>
      <c r="BC957" s="210"/>
      <c r="BD957" s="210"/>
      <c r="BE957" s="210"/>
      <c r="BF957" s="210"/>
      <c r="BG957" s="210"/>
      <c r="BH957" s="217"/>
      <c r="BI957" s="210"/>
      <c r="BJ957" s="210"/>
      <c r="BK957" s="210"/>
      <c r="BL957" s="210"/>
      <c r="BM957" s="208"/>
      <c r="BN957" s="160"/>
      <c r="BO957" s="161"/>
      <c r="BP957" s="161"/>
    </row>
    <row r="958" spans="1:68" ht="38.25">
      <c r="A958" s="210"/>
      <c r="B958" s="195" t="s">
        <v>7353</v>
      </c>
      <c r="C958" s="196" t="s">
        <v>7354</v>
      </c>
      <c r="D958" s="146" t="s">
        <v>4692</v>
      </c>
      <c r="E958" s="196" t="s">
        <v>7354</v>
      </c>
      <c r="F958" s="150">
        <v>0</v>
      </c>
      <c r="G958" s="209">
        <v>372945.3</v>
      </c>
      <c r="H958" s="209">
        <v>0</v>
      </c>
      <c r="I958" s="209">
        <v>372945.3</v>
      </c>
      <c r="J958" s="150">
        <v>0</v>
      </c>
      <c r="K958" s="150">
        <v>0</v>
      </c>
      <c r="L958" s="150">
        <f t="shared" si="958"/>
        <v>0</v>
      </c>
      <c r="M958" s="150">
        <v>0</v>
      </c>
      <c r="N958" s="150">
        <v>0</v>
      </c>
      <c r="O958" s="150">
        <v>0</v>
      </c>
      <c r="P958" s="150">
        <v>0</v>
      </c>
      <c r="Q958" s="150">
        <v>0</v>
      </c>
      <c r="R958" s="313">
        <f t="shared" si="969"/>
        <v>0</v>
      </c>
      <c r="S958" s="150">
        <f t="shared" si="953"/>
        <v>0</v>
      </c>
      <c r="T958" s="150"/>
      <c r="U958" s="150">
        <v>0</v>
      </c>
      <c r="V958" s="199">
        <v>0</v>
      </c>
      <c r="W958" s="313">
        <f t="shared" si="965"/>
        <v>0</v>
      </c>
      <c r="X958" s="313">
        <v>0</v>
      </c>
      <c r="Y958" s="313">
        <v>0</v>
      </c>
      <c r="Z958" s="313">
        <v>0</v>
      </c>
      <c r="AA958" s="313">
        <f t="shared" si="954"/>
        <v>0</v>
      </c>
      <c r="AB958" s="150">
        <v>0</v>
      </c>
      <c r="AC958" s="199">
        <v>0</v>
      </c>
      <c r="AD958" s="313">
        <f t="shared" si="966"/>
        <v>0</v>
      </c>
      <c r="AE958" s="150">
        <v>0</v>
      </c>
      <c r="AF958" s="169" t="s">
        <v>4680</v>
      </c>
      <c r="AG958" s="201">
        <v>0</v>
      </c>
      <c r="AH958" s="199">
        <v>0</v>
      </c>
      <c r="AI958" s="313">
        <v>0</v>
      </c>
      <c r="AJ958" s="169">
        <f t="shared" si="955"/>
        <v>0</v>
      </c>
      <c r="AK958" s="201">
        <v>0</v>
      </c>
      <c r="AL958" s="199">
        <v>0</v>
      </c>
      <c r="AM958" s="313">
        <f t="shared" si="967"/>
        <v>0</v>
      </c>
      <c r="AN958" s="153">
        <f t="shared" si="956"/>
        <v>0</v>
      </c>
      <c r="AO958" s="154">
        <f t="shared" si="957"/>
        <v>0</v>
      </c>
      <c r="AP958" s="313">
        <v>0</v>
      </c>
      <c r="AQ958" s="201">
        <v>0</v>
      </c>
      <c r="AR958" s="199">
        <v>0</v>
      </c>
      <c r="AS958" s="313">
        <f t="shared" si="968"/>
        <v>0</v>
      </c>
      <c r="AT958" s="155"/>
      <c r="AU958" s="156">
        <f t="shared" si="949"/>
        <v>0</v>
      </c>
      <c r="AV958" s="156">
        <f t="shared" si="950"/>
        <v>0</v>
      </c>
      <c r="AW958" s="157"/>
      <c r="AX958" s="150">
        <v>0</v>
      </c>
      <c r="AY958" s="150">
        <v>0</v>
      </c>
      <c r="AZ958" s="150">
        <f t="shared" si="970"/>
        <v>0</v>
      </c>
      <c r="BA958" s="313">
        <v>0</v>
      </c>
      <c r="BB958" s="210"/>
      <c r="BC958" s="210"/>
      <c r="BD958" s="210"/>
      <c r="BE958" s="210"/>
      <c r="BF958" s="210"/>
      <c r="BG958" s="210"/>
      <c r="BH958" s="217"/>
      <c r="BI958" s="210"/>
      <c r="BJ958" s="210"/>
      <c r="BK958" s="210"/>
      <c r="BL958" s="210"/>
      <c r="BM958" s="208"/>
      <c r="BN958" s="160"/>
      <c r="BO958" s="161"/>
      <c r="BP958" s="161"/>
    </row>
    <row r="959" spans="1:68" ht="51">
      <c r="A959" s="210"/>
      <c r="B959" s="195" t="s">
        <v>7355</v>
      </c>
      <c r="C959" s="196" t="s">
        <v>7356</v>
      </c>
      <c r="D959" s="146" t="s">
        <v>4692</v>
      </c>
      <c r="E959" s="196" t="s">
        <v>7356</v>
      </c>
      <c r="F959" s="150">
        <v>372945.3</v>
      </c>
      <c r="G959" s="209">
        <v>12.4</v>
      </c>
      <c r="H959" s="209">
        <v>0</v>
      </c>
      <c r="I959" s="209">
        <v>12.4</v>
      </c>
      <c r="J959" s="150">
        <v>89103.45</v>
      </c>
      <c r="K959" s="150">
        <v>0</v>
      </c>
      <c r="L959" s="150">
        <f t="shared" si="958"/>
        <v>89103.45</v>
      </c>
      <c r="M959" s="150">
        <v>177417.33</v>
      </c>
      <c r="N959" s="150">
        <v>0</v>
      </c>
      <c r="O959" s="150">
        <v>177417.33</v>
      </c>
      <c r="P959" s="150">
        <v>265899.84999999998</v>
      </c>
      <c r="Q959" s="150">
        <v>0</v>
      </c>
      <c r="R959" s="313">
        <f t="shared" si="969"/>
        <v>265899.84999999998</v>
      </c>
      <c r="S959" s="150">
        <f t="shared" si="953"/>
        <v>354533.1333333333</v>
      </c>
      <c r="T959" s="150"/>
      <c r="U959" s="150">
        <v>374951.38</v>
      </c>
      <c r="V959" s="199">
        <v>0</v>
      </c>
      <c r="W959" s="313">
        <f t="shared" si="965"/>
        <v>374951.38</v>
      </c>
      <c r="X959" s="313">
        <v>374951.38</v>
      </c>
      <c r="Y959" s="313">
        <v>0</v>
      </c>
      <c r="Z959" s="313">
        <v>374951.38</v>
      </c>
      <c r="AA959" s="313">
        <f t="shared" si="954"/>
        <v>0</v>
      </c>
      <c r="AB959" s="150">
        <v>374951.38</v>
      </c>
      <c r="AC959" s="199">
        <v>0</v>
      </c>
      <c r="AD959" s="313">
        <f t="shared" si="966"/>
        <v>374951.38</v>
      </c>
      <c r="AE959" s="150">
        <v>374951.38</v>
      </c>
      <c r="AF959" s="169" t="s">
        <v>4680</v>
      </c>
      <c r="AG959" s="201">
        <v>374951.38</v>
      </c>
      <c r="AH959" s="199">
        <v>0</v>
      </c>
      <c r="AI959" s="313">
        <v>374951.38</v>
      </c>
      <c r="AJ959" s="169">
        <f t="shared" si="955"/>
        <v>0</v>
      </c>
      <c r="AK959" s="201">
        <v>374951.38</v>
      </c>
      <c r="AL959" s="199">
        <v>0</v>
      </c>
      <c r="AM959" s="313">
        <f t="shared" si="967"/>
        <v>374951.38</v>
      </c>
      <c r="AN959" s="153">
        <f t="shared" si="956"/>
        <v>0</v>
      </c>
      <c r="AO959" s="154">
        <f t="shared" si="957"/>
        <v>0</v>
      </c>
      <c r="AP959" s="313">
        <v>374951.38</v>
      </c>
      <c r="AQ959" s="201">
        <v>374951.38</v>
      </c>
      <c r="AR959" s="199">
        <v>0</v>
      </c>
      <c r="AS959" s="313">
        <f t="shared" si="968"/>
        <v>374951.38</v>
      </c>
      <c r="AT959" s="155"/>
      <c r="AU959" s="156">
        <f t="shared" si="949"/>
        <v>0</v>
      </c>
      <c r="AV959" s="156">
        <f t="shared" si="950"/>
        <v>0</v>
      </c>
      <c r="AW959" s="157"/>
      <c r="AX959" s="150">
        <v>374951.38</v>
      </c>
      <c r="AY959" s="150">
        <v>207170.71</v>
      </c>
      <c r="AZ959" s="150">
        <f t="shared" si="970"/>
        <v>147663.94999999998</v>
      </c>
      <c r="BA959" s="313">
        <v>354834.66</v>
      </c>
      <c r="BB959" s="210"/>
      <c r="BC959" s="210"/>
      <c r="BD959" s="210"/>
      <c r="BE959" s="210"/>
      <c r="BF959" s="210"/>
      <c r="BG959" s="210"/>
      <c r="BH959" s="217"/>
      <c r="BI959" s="210"/>
      <c r="BJ959" s="210"/>
      <c r="BK959" s="210"/>
      <c r="BL959" s="210"/>
      <c r="BM959" s="208"/>
      <c r="BN959" s="160"/>
      <c r="BO959" s="161"/>
      <c r="BP959" s="161"/>
    </row>
    <row r="960" spans="1:68" ht="51">
      <c r="A960" s="210"/>
      <c r="B960" s="195" t="s">
        <v>7357</v>
      </c>
      <c r="C960" s="196" t="s">
        <v>7358</v>
      </c>
      <c r="D960" s="146" t="s">
        <v>4692</v>
      </c>
      <c r="E960" s="196" t="s">
        <v>7358</v>
      </c>
      <c r="F960" s="150">
        <v>12.4</v>
      </c>
      <c r="G960" s="209">
        <v>8060.26</v>
      </c>
      <c r="H960" s="209">
        <v>5627.49</v>
      </c>
      <c r="I960" s="209">
        <v>13687.75</v>
      </c>
      <c r="J960" s="150">
        <v>0.24</v>
      </c>
      <c r="K960" s="150">
        <v>0</v>
      </c>
      <c r="L960" s="150">
        <f t="shared" si="958"/>
        <v>0.24</v>
      </c>
      <c r="M960" s="150">
        <v>1.18</v>
      </c>
      <c r="N960" s="150">
        <v>0</v>
      </c>
      <c r="O960" s="150">
        <v>1.18</v>
      </c>
      <c r="P960" s="150">
        <v>6.07</v>
      </c>
      <c r="Q960" s="150">
        <v>0</v>
      </c>
      <c r="R960" s="313">
        <f t="shared" si="969"/>
        <v>6.07</v>
      </c>
      <c r="S960" s="150">
        <f t="shared" si="953"/>
        <v>8.0933333333333337</v>
      </c>
      <c r="T960" s="150"/>
      <c r="U960" s="150">
        <v>10.24</v>
      </c>
      <c r="V960" s="199">
        <v>0</v>
      </c>
      <c r="W960" s="313">
        <f t="shared" si="965"/>
        <v>10.24</v>
      </c>
      <c r="X960" s="313">
        <v>10.24</v>
      </c>
      <c r="Y960" s="313">
        <v>0</v>
      </c>
      <c r="Z960" s="313">
        <v>10.24</v>
      </c>
      <c r="AA960" s="313">
        <f t="shared" si="954"/>
        <v>0</v>
      </c>
      <c r="AB960" s="150">
        <v>10.24</v>
      </c>
      <c r="AC960" s="199">
        <v>0</v>
      </c>
      <c r="AD960" s="313">
        <f t="shared" si="966"/>
        <v>10.24</v>
      </c>
      <c r="AE960" s="150">
        <v>10.24</v>
      </c>
      <c r="AF960" s="169" t="s">
        <v>4680</v>
      </c>
      <c r="AG960" s="201">
        <v>10.24</v>
      </c>
      <c r="AH960" s="199">
        <v>0</v>
      </c>
      <c r="AI960" s="313">
        <v>10.24</v>
      </c>
      <c r="AJ960" s="169">
        <f t="shared" si="955"/>
        <v>0</v>
      </c>
      <c r="AK960" s="201">
        <v>10.24</v>
      </c>
      <c r="AL960" s="199">
        <v>0</v>
      </c>
      <c r="AM960" s="313">
        <f t="shared" si="967"/>
        <v>10.24</v>
      </c>
      <c r="AN960" s="153">
        <f t="shared" si="956"/>
        <v>0</v>
      </c>
      <c r="AO960" s="154">
        <f t="shared" si="957"/>
        <v>0</v>
      </c>
      <c r="AP960" s="313">
        <v>10.24</v>
      </c>
      <c r="AQ960" s="201">
        <v>10.24</v>
      </c>
      <c r="AR960" s="199">
        <v>0</v>
      </c>
      <c r="AS960" s="313">
        <f t="shared" si="968"/>
        <v>10.24</v>
      </c>
      <c r="AT960" s="155"/>
      <c r="AU960" s="156">
        <f t="shared" si="949"/>
        <v>0</v>
      </c>
      <c r="AV960" s="156">
        <f t="shared" si="950"/>
        <v>0</v>
      </c>
      <c r="AW960" s="157"/>
      <c r="AX960" s="150">
        <v>10.24</v>
      </c>
      <c r="AY960" s="150">
        <v>1.18</v>
      </c>
      <c r="AZ960" s="150">
        <f t="shared" si="970"/>
        <v>1.18</v>
      </c>
      <c r="BA960" s="313">
        <v>2.36</v>
      </c>
      <c r="BB960" s="210"/>
      <c r="BC960" s="210"/>
      <c r="BD960" s="210"/>
      <c r="BE960" s="210"/>
      <c r="BF960" s="210"/>
      <c r="BG960" s="210"/>
      <c r="BH960" s="217"/>
      <c r="BI960" s="210"/>
      <c r="BJ960" s="210"/>
      <c r="BK960" s="210"/>
      <c r="BL960" s="210"/>
      <c r="BM960" s="208"/>
      <c r="BN960" s="160"/>
      <c r="BO960" s="161"/>
      <c r="BP960" s="161"/>
    </row>
    <row r="961" spans="1:68" ht="38.25">
      <c r="A961" s="210"/>
      <c r="B961" s="195" t="s">
        <v>7359</v>
      </c>
      <c r="C961" s="196" t="s">
        <v>7360</v>
      </c>
      <c r="D961" s="146" t="s">
        <v>4692</v>
      </c>
      <c r="E961" s="196" t="s">
        <v>7360</v>
      </c>
      <c r="F961" s="150">
        <v>13687.26</v>
      </c>
      <c r="G961" s="314">
        <v>138906.59</v>
      </c>
      <c r="H961" s="314">
        <v>0</v>
      </c>
      <c r="I961" s="314">
        <v>138906.59</v>
      </c>
      <c r="J961" s="150">
        <v>0</v>
      </c>
      <c r="K961" s="150">
        <v>0</v>
      </c>
      <c r="L961" s="150">
        <f t="shared" si="958"/>
        <v>0</v>
      </c>
      <c r="M961" s="150">
        <v>3557.72</v>
      </c>
      <c r="N961" s="150">
        <v>3285.9100000000003</v>
      </c>
      <c r="O961" s="150">
        <v>6843.63</v>
      </c>
      <c r="P961" s="150">
        <v>7108.74</v>
      </c>
      <c r="Q961" s="150">
        <v>0</v>
      </c>
      <c r="R961" s="313">
        <f t="shared" si="969"/>
        <v>7108.74</v>
      </c>
      <c r="S961" s="150">
        <f t="shared" si="953"/>
        <v>9478.32</v>
      </c>
      <c r="T961" s="150"/>
      <c r="U961" s="150">
        <v>11625.48</v>
      </c>
      <c r="V961" s="199">
        <v>0</v>
      </c>
      <c r="W961" s="313">
        <f t="shared" si="965"/>
        <v>11625.48</v>
      </c>
      <c r="X961" s="313">
        <v>11625.48</v>
      </c>
      <c r="Y961" s="313">
        <v>0</v>
      </c>
      <c r="Z961" s="313">
        <v>11625.48</v>
      </c>
      <c r="AA961" s="313">
        <f t="shared" si="954"/>
        <v>0</v>
      </c>
      <c r="AB961" s="150">
        <v>11625.48</v>
      </c>
      <c r="AC961" s="199">
        <v>0</v>
      </c>
      <c r="AD961" s="313">
        <f t="shared" si="966"/>
        <v>11625.48</v>
      </c>
      <c r="AE961" s="150">
        <v>11625.48</v>
      </c>
      <c r="AF961" s="169" t="s">
        <v>4680</v>
      </c>
      <c r="AG961" s="201">
        <v>11625.48</v>
      </c>
      <c r="AH961" s="199">
        <v>0</v>
      </c>
      <c r="AI961" s="313">
        <v>11625.48</v>
      </c>
      <c r="AJ961" s="169">
        <f t="shared" si="955"/>
        <v>0</v>
      </c>
      <c r="AK961" s="201">
        <v>11625.48</v>
      </c>
      <c r="AL961" s="199">
        <v>0</v>
      </c>
      <c r="AM961" s="313">
        <f t="shared" si="967"/>
        <v>11625.48</v>
      </c>
      <c r="AN961" s="153">
        <f t="shared" si="956"/>
        <v>0</v>
      </c>
      <c r="AO961" s="154">
        <f t="shared" si="957"/>
        <v>0</v>
      </c>
      <c r="AP961" s="313">
        <v>11625.48</v>
      </c>
      <c r="AQ961" s="201">
        <v>11625.48</v>
      </c>
      <c r="AR961" s="199">
        <v>0</v>
      </c>
      <c r="AS961" s="313">
        <f t="shared" si="968"/>
        <v>11625.48</v>
      </c>
      <c r="AT961" s="155"/>
      <c r="AU961" s="156">
        <f t="shared" si="949"/>
        <v>0</v>
      </c>
      <c r="AV961" s="156">
        <f t="shared" si="950"/>
        <v>0</v>
      </c>
      <c r="AW961" s="157"/>
      <c r="AX961" s="150">
        <v>11625.48</v>
      </c>
      <c r="AY961" s="150">
        <v>4686.8</v>
      </c>
      <c r="AZ961" s="150">
        <f t="shared" si="970"/>
        <v>9000.4599999999991</v>
      </c>
      <c r="BA961" s="313">
        <v>13687.26</v>
      </c>
      <c r="BB961" s="210"/>
      <c r="BC961" s="210"/>
      <c r="BD961" s="210"/>
      <c r="BE961" s="210"/>
      <c r="BF961" s="210"/>
      <c r="BG961" s="210"/>
      <c r="BH961" s="217"/>
      <c r="BI961" s="210"/>
      <c r="BJ961" s="210"/>
      <c r="BK961" s="210"/>
      <c r="BL961" s="210"/>
      <c r="BM961" s="208"/>
      <c r="BN961" s="160"/>
      <c r="BO961" s="161"/>
      <c r="BP961" s="161"/>
    </row>
    <row r="962" spans="1:68" ht="38.25">
      <c r="A962" s="210"/>
      <c r="B962" s="195" t="s">
        <v>7361</v>
      </c>
      <c r="C962" s="196" t="s">
        <v>7362</v>
      </c>
      <c r="D962" s="146" t="s">
        <v>4692</v>
      </c>
      <c r="E962" s="196" t="s">
        <v>7362</v>
      </c>
      <c r="F962" s="150">
        <v>138906.59</v>
      </c>
      <c r="G962" s="209">
        <v>451998.55</v>
      </c>
      <c r="H962" s="209">
        <v>0</v>
      </c>
      <c r="I962" s="209">
        <v>451998.55</v>
      </c>
      <c r="J962" s="150">
        <v>8000</v>
      </c>
      <c r="K962" s="150">
        <v>0</v>
      </c>
      <c r="L962" s="150">
        <f t="shared" si="958"/>
        <v>8000</v>
      </c>
      <c r="M962" s="150">
        <v>45200</v>
      </c>
      <c r="N962" s="150">
        <v>0</v>
      </c>
      <c r="O962" s="150">
        <v>45200</v>
      </c>
      <c r="P962" s="150">
        <v>58533.3</v>
      </c>
      <c r="Q962" s="150">
        <v>0</v>
      </c>
      <c r="R962" s="313">
        <f t="shared" si="969"/>
        <v>58533.3</v>
      </c>
      <c r="S962" s="150">
        <f t="shared" si="953"/>
        <v>78044.400000000009</v>
      </c>
      <c r="T962" s="150"/>
      <c r="U962" s="150">
        <v>99349.9</v>
      </c>
      <c r="V962" s="199">
        <v>0</v>
      </c>
      <c r="W962" s="313">
        <f t="shared" si="965"/>
        <v>99349.9</v>
      </c>
      <c r="X962" s="313">
        <v>99349.9</v>
      </c>
      <c r="Y962" s="313">
        <v>0</v>
      </c>
      <c r="Z962" s="313">
        <v>99349.9</v>
      </c>
      <c r="AA962" s="313">
        <f t="shared" si="954"/>
        <v>0</v>
      </c>
      <c r="AB962" s="150">
        <v>99349.9</v>
      </c>
      <c r="AC962" s="199">
        <v>0</v>
      </c>
      <c r="AD962" s="313">
        <f t="shared" si="966"/>
        <v>99349.9</v>
      </c>
      <c r="AE962" s="150">
        <v>99349.9</v>
      </c>
      <c r="AF962" s="169" t="s">
        <v>4680</v>
      </c>
      <c r="AG962" s="201">
        <v>99349.9</v>
      </c>
      <c r="AH962" s="199">
        <v>0</v>
      </c>
      <c r="AI962" s="313">
        <v>99349.9</v>
      </c>
      <c r="AJ962" s="169">
        <f t="shared" si="955"/>
        <v>0</v>
      </c>
      <c r="AK962" s="201">
        <v>99349.9</v>
      </c>
      <c r="AL962" s="199">
        <v>0</v>
      </c>
      <c r="AM962" s="313">
        <f t="shared" si="967"/>
        <v>99349.9</v>
      </c>
      <c r="AN962" s="153">
        <f t="shared" si="956"/>
        <v>8000</v>
      </c>
      <c r="AO962" s="154">
        <f t="shared" si="957"/>
        <v>8000</v>
      </c>
      <c r="AP962" s="313">
        <v>99349.9</v>
      </c>
      <c r="AQ962" s="201">
        <v>107349.9</v>
      </c>
      <c r="AR962" s="199"/>
      <c r="AS962" s="313">
        <f t="shared" si="968"/>
        <v>107349.9</v>
      </c>
      <c r="AT962" s="155" t="s">
        <v>7314</v>
      </c>
      <c r="AU962" s="156">
        <f t="shared" ref="AU962:AU1025" si="971">AM962-AD962</f>
        <v>0</v>
      </c>
      <c r="AV962" s="156">
        <f t="shared" ref="AV962:AV1025" si="972">AD962-AX962</f>
        <v>0</v>
      </c>
      <c r="AW962" s="157"/>
      <c r="AX962" s="150">
        <v>99349.9</v>
      </c>
      <c r="AY962" s="150">
        <v>56693.3</v>
      </c>
      <c r="AZ962" s="150">
        <f t="shared" si="970"/>
        <v>35253.300000000003</v>
      </c>
      <c r="BA962" s="313">
        <v>91946.6</v>
      </c>
      <c r="BB962" s="210"/>
      <c r="BC962" s="210"/>
      <c r="BD962" s="210"/>
      <c r="BE962" s="210"/>
      <c r="BF962" s="210"/>
      <c r="BG962" s="210"/>
      <c r="BH962" s="217"/>
      <c r="BI962" s="210"/>
      <c r="BJ962" s="210"/>
      <c r="BK962" s="210"/>
      <c r="BL962" s="210"/>
      <c r="BM962" s="208"/>
      <c r="BN962" s="160"/>
      <c r="BO962" s="161"/>
      <c r="BP962" s="161"/>
    </row>
    <row r="963" spans="1:68" ht="51">
      <c r="A963" s="206" t="s">
        <v>405</v>
      </c>
      <c r="B963" s="195" t="s">
        <v>7363</v>
      </c>
      <c r="C963" s="196" t="s">
        <v>7364</v>
      </c>
      <c r="D963" s="146" t="s">
        <v>4692</v>
      </c>
      <c r="E963" s="196" t="s">
        <v>7364</v>
      </c>
      <c r="F963" s="150">
        <v>451998.55</v>
      </c>
      <c r="G963" s="209">
        <v>0</v>
      </c>
      <c r="H963" s="209">
        <v>0</v>
      </c>
      <c r="I963" s="209">
        <v>0</v>
      </c>
      <c r="J963" s="150">
        <v>101732.31</v>
      </c>
      <c r="K963" s="150">
        <v>12297.5</v>
      </c>
      <c r="L963" s="150">
        <f t="shared" si="958"/>
        <v>114029.81</v>
      </c>
      <c r="M963" s="150">
        <v>204156.9</v>
      </c>
      <c r="N963" s="150">
        <v>21552.163409999979</v>
      </c>
      <c r="O963" s="150">
        <v>225709.06340999997</v>
      </c>
      <c r="P963" s="150">
        <v>301349.06</v>
      </c>
      <c r="Q963" s="150">
        <v>31812.42</v>
      </c>
      <c r="R963" s="313">
        <f t="shared" si="969"/>
        <v>333161.48</v>
      </c>
      <c r="S963" s="150">
        <f t="shared" si="953"/>
        <v>444215.30666666664</v>
      </c>
      <c r="T963" s="150"/>
      <c r="U963" s="150">
        <v>425876.66</v>
      </c>
      <c r="V963" s="199">
        <v>0</v>
      </c>
      <c r="W963" s="313">
        <f t="shared" si="965"/>
        <v>425876.66</v>
      </c>
      <c r="X963" s="313">
        <v>425876.66</v>
      </c>
      <c r="Y963" s="313">
        <v>0</v>
      </c>
      <c r="Z963" s="313">
        <v>425876.66</v>
      </c>
      <c r="AA963" s="313">
        <f t="shared" ref="AA963:AA1026" si="973">AD963-Z963</f>
        <v>0</v>
      </c>
      <c r="AB963" s="150">
        <v>425876.66</v>
      </c>
      <c r="AC963" s="199">
        <v>0</v>
      </c>
      <c r="AD963" s="313">
        <f t="shared" si="966"/>
        <v>425876.66</v>
      </c>
      <c r="AE963" s="150">
        <v>425876.66</v>
      </c>
      <c r="AF963" s="169" t="s">
        <v>4680</v>
      </c>
      <c r="AG963" s="201">
        <v>425876.66</v>
      </c>
      <c r="AH963" s="199">
        <v>0</v>
      </c>
      <c r="AI963" s="313">
        <v>425876.66</v>
      </c>
      <c r="AJ963" s="169">
        <f t="shared" ref="AJ963:AJ1026" si="974">AM963-AI963</f>
        <v>0</v>
      </c>
      <c r="AK963" s="201">
        <v>425876.66</v>
      </c>
      <c r="AL963" s="199">
        <v>0</v>
      </c>
      <c r="AM963" s="313">
        <f t="shared" si="967"/>
        <v>425876.66</v>
      </c>
      <c r="AN963" s="153">
        <f t="shared" ref="AN963:AN1026" si="975">AS963-AM963</f>
        <v>0</v>
      </c>
      <c r="AO963" s="154">
        <f t="shared" ref="AO963:AO1026" si="976">AS963-AP963</f>
        <v>0</v>
      </c>
      <c r="AP963" s="313">
        <v>425876.66</v>
      </c>
      <c r="AQ963" s="201">
        <v>425876.66</v>
      </c>
      <c r="AR963" s="199">
        <v>0</v>
      </c>
      <c r="AS963" s="313">
        <f t="shared" si="968"/>
        <v>425876.66</v>
      </c>
      <c r="AT963" s="155"/>
      <c r="AU963" s="156">
        <f t="shared" si="971"/>
        <v>0</v>
      </c>
      <c r="AV963" s="156">
        <f t="shared" si="972"/>
        <v>0</v>
      </c>
      <c r="AW963" s="157"/>
      <c r="AX963" s="150">
        <v>425876.66</v>
      </c>
      <c r="AY963" s="150">
        <v>236433.98</v>
      </c>
      <c r="AZ963" s="150">
        <f t="shared" si="970"/>
        <v>214984.14681999994</v>
      </c>
      <c r="BA963" s="313">
        <v>451418.12681999995</v>
      </c>
      <c r="BB963" s="202">
        <v>5</v>
      </c>
      <c r="BC963" s="202" t="s">
        <v>647</v>
      </c>
      <c r="BD963" s="202" t="s">
        <v>632</v>
      </c>
      <c r="BE963" s="202" t="s">
        <v>1332</v>
      </c>
      <c r="BF963" s="202" t="s">
        <v>739</v>
      </c>
      <c r="BG963" s="287" t="s">
        <v>7365</v>
      </c>
      <c r="BH963" s="283">
        <f>SUM(AS963:AS968)</f>
        <v>886490.40999999992</v>
      </c>
      <c r="BI963" s="205"/>
      <c r="BJ963" s="206" t="s">
        <v>7310</v>
      </c>
      <c r="BK963" s="206" t="s">
        <v>405</v>
      </c>
      <c r="BL963" s="207" t="s">
        <v>7311</v>
      </c>
      <c r="BM963" s="208">
        <f>BH963</f>
        <v>886490.40999999992</v>
      </c>
      <c r="BN963" s="160"/>
      <c r="BO963" s="161"/>
      <c r="BP963" s="161"/>
    </row>
    <row r="964" spans="1:68" ht="51">
      <c r="A964" s="210"/>
      <c r="B964" s="195" t="s">
        <v>7366</v>
      </c>
      <c r="C964" s="196" t="s">
        <v>7367</v>
      </c>
      <c r="D964" s="146" t="s">
        <v>4692</v>
      </c>
      <c r="E964" s="196" t="s">
        <v>7367</v>
      </c>
      <c r="F964" s="150">
        <v>0</v>
      </c>
      <c r="G964" s="209">
        <v>450787.75</v>
      </c>
      <c r="H964" s="209">
        <v>-65999.05</v>
      </c>
      <c r="I964" s="209">
        <v>384788.7</v>
      </c>
      <c r="J964" s="150">
        <v>0</v>
      </c>
      <c r="K964" s="150">
        <v>0</v>
      </c>
      <c r="L964" s="150">
        <f t="shared" si="958"/>
        <v>0</v>
      </c>
      <c r="M964" s="150">
        <v>0</v>
      </c>
      <c r="N964" s="150">
        <v>0</v>
      </c>
      <c r="O964" s="150">
        <v>0</v>
      </c>
      <c r="P964" s="150">
        <v>0</v>
      </c>
      <c r="Q964" s="150">
        <v>0</v>
      </c>
      <c r="R964" s="313">
        <f t="shared" si="969"/>
        <v>0</v>
      </c>
      <c r="S964" s="150">
        <f t="shared" ref="S964:S1027" si="977">R964/9*12</f>
        <v>0</v>
      </c>
      <c r="T964" s="150"/>
      <c r="U964" s="150">
        <v>0</v>
      </c>
      <c r="V964" s="199">
        <v>0</v>
      </c>
      <c r="W964" s="313">
        <f t="shared" si="965"/>
        <v>0</v>
      </c>
      <c r="X964" s="313">
        <v>0</v>
      </c>
      <c r="Y964" s="313">
        <v>0</v>
      </c>
      <c r="Z964" s="313">
        <v>0</v>
      </c>
      <c r="AA964" s="313">
        <f t="shared" si="973"/>
        <v>0</v>
      </c>
      <c r="AB964" s="150">
        <v>0</v>
      </c>
      <c r="AC964" s="199">
        <v>0</v>
      </c>
      <c r="AD964" s="313">
        <f t="shared" si="966"/>
        <v>0</v>
      </c>
      <c r="AE964" s="150">
        <v>0</v>
      </c>
      <c r="AF964" s="169" t="s">
        <v>4680</v>
      </c>
      <c r="AG964" s="201">
        <v>0</v>
      </c>
      <c r="AH964" s="199">
        <v>0</v>
      </c>
      <c r="AI964" s="313">
        <v>0</v>
      </c>
      <c r="AJ964" s="169">
        <f t="shared" si="974"/>
        <v>0</v>
      </c>
      <c r="AK964" s="201">
        <v>0</v>
      </c>
      <c r="AL964" s="199">
        <v>0</v>
      </c>
      <c r="AM964" s="313">
        <f t="shared" si="967"/>
        <v>0</v>
      </c>
      <c r="AN964" s="153">
        <f t="shared" si="975"/>
        <v>0</v>
      </c>
      <c r="AO964" s="154">
        <f t="shared" si="976"/>
        <v>0</v>
      </c>
      <c r="AP964" s="313">
        <v>0</v>
      </c>
      <c r="AQ964" s="201">
        <v>0</v>
      </c>
      <c r="AR964" s="199">
        <v>0</v>
      </c>
      <c r="AS964" s="313">
        <f t="shared" si="968"/>
        <v>0</v>
      </c>
      <c r="AT964" s="155"/>
      <c r="AU964" s="156">
        <f t="shared" si="971"/>
        <v>0</v>
      </c>
      <c r="AV964" s="156">
        <f t="shared" si="972"/>
        <v>0</v>
      </c>
      <c r="AW964" s="157"/>
      <c r="AX964" s="150">
        <v>0</v>
      </c>
      <c r="AY964" s="150">
        <v>0</v>
      </c>
      <c r="AZ964" s="150">
        <f t="shared" si="970"/>
        <v>0</v>
      </c>
      <c r="BA964" s="313">
        <v>0</v>
      </c>
      <c r="BB964" s="210"/>
      <c r="BC964" s="210"/>
      <c r="BD964" s="210"/>
      <c r="BE964" s="210"/>
      <c r="BF964" s="210"/>
      <c r="BG964" s="210"/>
      <c r="BH964" s="217"/>
      <c r="BI964" s="210"/>
      <c r="BJ964" s="210"/>
      <c r="BK964" s="210"/>
      <c r="BL964" s="210"/>
      <c r="BM964" s="208"/>
      <c r="BN964" s="160"/>
      <c r="BO964" s="161"/>
      <c r="BP964" s="161"/>
    </row>
    <row r="965" spans="1:68" ht="51">
      <c r="A965" s="210"/>
      <c r="B965" s="195" t="s">
        <v>7368</v>
      </c>
      <c r="C965" s="196" t="s">
        <v>7369</v>
      </c>
      <c r="D965" s="146" t="s">
        <v>4692</v>
      </c>
      <c r="E965" s="196" t="s">
        <v>7370</v>
      </c>
      <c r="F965" s="150">
        <v>382503.08</v>
      </c>
      <c r="G965" s="209">
        <v>14458.95</v>
      </c>
      <c r="H965" s="209">
        <v>0</v>
      </c>
      <c r="I965" s="209">
        <v>14458.95</v>
      </c>
      <c r="J965" s="150">
        <v>112581.75</v>
      </c>
      <c r="K965" s="150">
        <v>0</v>
      </c>
      <c r="L965" s="150">
        <f t="shared" si="958"/>
        <v>112581.75</v>
      </c>
      <c r="M965" s="150">
        <v>232177.02</v>
      </c>
      <c r="N965" s="150">
        <v>-31070</v>
      </c>
      <c r="O965" s="150">
        <v>201107.02</v>
      </c>
      <c r="P965" s="150">
        <v>344445.74</v>
      </c>
      <c r="Q965" s="150">
        <v>-45886</v>
      </c>
      <c r="R965" s="313">
        <f t="shared" si="969"/>
        <v>298559.74</v>
      </c>
      <c r="S965" s="150">
        <f t="shared" si="977"/>
        <v>398079.65333333332</v>
      </c>
      <c r="T965" s="150"/>
      <c r="U965" s="150">
        <v>482669.69</v>
      </c>
      <c r="V965" s="199">
        <v>-50000</v>
      </c>
      <c r="W965" s="313">
        <f t="shared" si="965"/>
        <v>432669.69</v>
      </c>
      <c r="X965" s="313">
        <v>482669.69</v>
      </c>
      <c r="Y965" s="313">
        <v>-50000</v>
      </c>
      <c r="Z965" s="313">
        <v>432669.69</v>
      </c>
      <c r="AA965" s="313">
        <f t="shared" si="973"/>
        <v>-39480</v>
      </c>
      <c r="AB965" s="150">
        <v>482669.69</v>
      </c>
      <c r="AC965" s="199">
        <v>-89480</v>
      </c>
      <c r="AD965" s="313">
        <f t="shared" si="966"/>
        <v>393189.69</v>
      </c>
      <c r="AE965" s="150">
        <v>393189.69</v>
      </c>
      <c r="AF965" s="169" t="s">
        <v>4680</v>
      </c>
      <c r="AG965" s="201">
        <v>482669.69</v>
      </c>
      <c r="AH965" s="199">
        <v>-89480</v>
      </c>
      <c r="AI965" s="313">
        <v>393189.69</v>
      </c>
      <c r="AJ965" s="169">
        <f t="shared" si="974"/>
        <v>0</v>
      </c>
      <c r="AK965" s="201">
        <v>482669.69</v>
      </c>
      <c r="AL965" s="199">
        <v>-89480</v>
      </c>
      <c r="AM965" s="313">
        <f t="shared" si="967"/>
        <v>393189.69</v>
      </c>
      <c r="AN965" s="153">
        <f t="shared" si="975"/>
        <v>16983.609999999986</v>
      </c>
      <c r="AO965" s="154">
        <f t="shared" si="976"/>
        <v>16983.609999999986</v>
      </c>
      <c r="AP965" s="313">
        <v>393189.69</v>
      </c>
      <c r="AQ965" s="201">
        <v>410173.3</v>
      </c>
      <c r="AR965" s="199"/>
      <c r="AS965" s="313">
        <f t="shared" si="968"/>
        <v>410173.3</v>
      </c>
      <c r="AT965" s="155"/>
      <c r="AU965" s="156">
        <f t="shared" si="971"/>
        <v>0</v>
      </c>
      <c r="AV965" s="156">
        <f t="shared" si="972"/>
        <v>-39480</v>
      </c>
      <c r="AW965" s="157"/>
      <c r="AX965" s="150">
        <v>432669.69</v>
      </c>
      <c r="AY965" s="150">
        <v>270873.09000000003</v>
      </c>
      <c r="AZ965" s="150">
        <f t="shared" si="970"/>
        <v>131340.94999999995</v>
      </c>
      <c r="BA965" s="313">
        <v>402214.04</v>
      </c>
      <c r="BB965" s="210"/>
      <c r="BC965" s="210"/>
      <c r="BD965" s="210"/>
      <c r="BE965" s="210"/>
      <c r="BF965" s="210"/>
      <c r="BG965" s="210"/>
      <c r="BH965" s="217"/>
      <c r="BI965" s="210"/>
      <c r="BJ965" s="210"/>
      <c r="BK965" s="210"/>
      <c r="BL965" s="210"/>
      <c r="BM965" s="208"/>
      <c r="BN965" s="160"/>
      <c r="BO965" s="161"/>
      <c r="BP965" s="161"/>
    </row>
    <row r="966" spans="1:68" ht="51">
      <c r="A966" s="210"/>
      <c r="B966" s="195" t="s">
        <v>7371</v>
      </c>
      <c r="C966" s="196" t="s">
        <v>7372</v>
      </c>
      <c r="D966" s="146" t="s">
        <v>4692</v>
      </c>
      <c r="E966" s="196" t="s">
        <v>7372</v>
      </c>
      <c r="F966" s="150">
        <v>14458.95</v>
      </c>
      <c r="G966" s="209">
        <v>0</v>
      </c>
      <c r="H966" s="209">
        <v>0</v>
      </c>
      <c r="I966" s="209">
        <v>0</v>
      </c>
      <c r="J966" s="150">
        <v>0</v>
      </c>
      <c r="K966" s="150">
        <v>0</v>
      </c>
      <c r="L966" s="150">
        <f t="shared" si="958"/>
        <v>0</v>
      </c>
      <c r="M966" s="150">
        <v>0</v>
      </c>
      <c r="N966" s="150">
        <v>0</v>
      </c>
      <c r="O966" s="150">
        <v>0</v>
      </c>
      <c r="P966" s="150">
        <v>0</v>
      </c>
      <c r="Q966" s="150">
        <v>0</v>
      </c>
      <c r="R966" s="313">
        <f t="shared" si="969"/>
        <v>0</v>
      </c>
      <c r="S966" s="150">
        <f t="shared" si="977"/>
        <v>0</v>
      </c>
      <c r="T966" s="150"/>
      <c r="U966" s="150">
        <v>-165.79</v>
      </c>
      <c r="V966" s="199">
        <v>0</v>
      </c>
      <c r="W966" s="313">
        <f t="shared" si="965"/>
        <v>-165.79</v>
      </c>
      <c r="X966" s="313">
        <v>-165.79</v>
      </c>
      <c r="Y966" s="313">
        <v>0</v>
      </c>
      <c r="Z966" s="313">
        <v>-165.79</v>
      </c>
      <c r="AA966" s="313">
        <f t="shared" si="973"/>
        <v>0</v>
      </c>
      <c r="AB966" s="150">
        <v>-165.79</v>
      </c>
      <c r="AC966" s="199">
        <v>0</v>
      </c>
      <c r="AD966" s="313">
        <f t="shared" si="966"/>
        <v>-165.79</v>
      </c>
      <c r="AE966" s="150">
        <v>-165.79</v>
      </c>
      <c r="AF966" s="169" t="s">
        <v>4680</v>
      </c>
      <c r="AG966" s="201">
        <v>-165.79</v>
      </c>
      <c r="AH966" s="199">
        <v>0</v>
      </c>
      <c r="AI966" s="313">
        <v>-165.79</v>
      </c>
      <c r="AJ966" s="169">
        <f t="shared" si="974"/>
        <v>0</v>
      </c>
      <c r="AK966" s="201">
        <v>-165.79</v>
      </c>
      <c r="AL966" s="199">
        <v>0</v>
      </c>
      <c r="AM966" s="313">
        <f t="shared" si="967"/>
        <v>-165.79</v>
      </c>
      <c r="AN966" s="153">
        <f t="shared" si="975"/>
        <v>0</v>
      </c>
      <c r="AO966" s="154">
        <f t="shared" si="976"/>
        <v>0</v>
      </c>
      <c r="AP966" s="313">
        <v>-165.79</v>
      </c>
      <c r="AQ966" s="201">
        <v>-165.79</v>
      </c>
      <c r="AR966" s="199">
        <v>0</v>
      </c>
      <c r="AS966" s="313">
        <f t="shared" si="968"/>
        <v>-165.79</v>
      </c>
      <c r="AT966" s="155"/>
      <c r="AU966" s="156">
        <f t="shared" si="971"/>
        <v>0</v>
      </c>
      <c r="AV966" s="156">
        <f t="shared" si="972"/>
        <v>0</v>
      </c>
      <c r="AW966" s="157"/>
      <c r="AX966" s="150">
        <v>-165.79</v>
      </c>
      <c r="AY966" s="150">
        <v>0</v>
      </c>
      <c r="AZ966" s="150">
        <f t="shared" si="970"/>
        <v>0</v>
      </c>
      <c r="BA966" s="313">
        <v>0</v>
      </c>
      <c r="BB966" s="210"/>
      <c r="BC966" s="210"/>
      <c r="BD966" s="210"/>
      <c r="BE966" s="210"/>
      <c r="BF966" s="210"/>
      <c r="BG966" s="210"/>
      <c r="BH966" s="217"/>
      <c r="BI966" s="210"/>
      <c r="BJ966" s="210"/>
      <c r="BK966" s="210"/>
      <c r="BL966" s="210"/>
      <c r="BM966" s="208"/>
      <c r="BN966" s="160"/>
      <c r="BO966" s="161"/>
      <c r="BP966" s="161"/>
    </row>
    <row r="967" spans="1:68" ht="51">
      <c r="A967" s="210"/>
      <c r="B967" s="195" t="s">
        <v>7373</v>
      </c>
      <c r="C967" s="196" t="s">
        <v>7374</v>
      </c>
      <c r="D967" s="146" t="s">
        <v>4692</v>
      </c>
      <c r="E967" s="196" t="s">
        <v>7374</v>
      </c>
      <c r="F967" s="150">
        <v>0</v>
      </c>
      <c r="G967" s="209">
        <v>43248.91</v>
      </c>
      <c r="H967" s="209">
        <v>0</v>
      </c>
      <c r="I967" s="209">
        <v>43248.91</v>
      </c>
      <c r="J967" s="150">
        <v>0</v>
      </c>
      <c r="K967" s="150">
        <v>0</v>
      </c>
      <c r="L967" s="150">
        <f t="shared" si="958"/>
        <v>0</v>
      </c>
      <c r="M967" s="150">
        <v>0</v>
      </c>
      <c r="N967" s="150">
        <v>0</v>
      </c>
      <c r="O967" s="150">
        <v>0</v>
      </c>
      <c r="P967" s="150">
        <v>0</v>
      </c>
      <c r="Q967" s="150">
        <v>0</v>
      </c>
      <c r="R967" s="313">
        <f t="shared" si="969"/>
        <v>0</v>
      </c>
      <c r="S967" s="150">
        <f t="shared" si="977"/>
        <v>0</v>
      </c>
      <c r="T967" s="150"/>
      <c r="U967" s="150">
        <v>0</v>
      </c>
      <c r="V967" s="199">
        <v>0</v>
      </c>
      <c r="W967" s="313">
        <f t="shared" si="965"/>
        <v>0</v>
      </c>
      <c r="X967" s="313">
        <v>0</v>
      </c>
      <c r="Y967" s="313">
        <v>0</v>
      </c>
      <c r="Z967" s="313">
        <v>0</v>
      </c>
      <c r="AA967" s="313">
        <f t="shared" si="973"/>
        <v>0</v>
      </c>
      <c r="AB967" s="150">
        <v>0</v>
      </c>
      <c r="AC967" s="199">
        <v>0</v>
      </c>
      <c r="AD967" s="313">
        <f t="shared" si="966"/>
        <v>0</v>
      </c>
      <c r="AE967" s="150">
        <v>0</v>
      </c>
      <c r="AF967" s="169" t="s">
        <v>4680</v>
      </c>
      <c r="AG967" s="201">
        <v>0</v>
      </c>
      <c r="AH967" s="199">
        <v>0</v>
      </c>
      <c r="AI967" s="313">
        <v>0</v>
      </c>
      <c r="AJ967" s="169">
        <f t="shared" si="974"/>
        <v>0</v>
      </c>
      <c r="AK967" s="201">
        <v>0</v>
      </c>
      <c r="AL967" s="199">
        <v>0</v>
      </c>
      <c r="AM967" s="313">
        <f t="shared" si="967"/>
        <v>0</v>
      </c>
      <c r="AN967" s="153">
        <f t="shared" si="975"/>
        <v>0</v>
      </c>
      <c r="AO967" s="154">
        <f t="shared" si="976"/>
        <v>0</v>
      </c>
      <c r="AP967" s="313">
        <v>0</v>
      </c>
      <c r="AQ967" s="201">
        <v>0</v>
      </c>
      <c r="AR967" s="199">
        <v>0</v>
      </c>
      <c r="AS967" s="313">
        <f t="shared" si="968"/>
        <v>0</v>
      </c>
      <c r="AT967" s="155"/>
      <c r="AU967" s="156">
        <f t="shared" si="971"/>
        <v>0</v>
      </c>
      <c r="AV967" s="156">
        <f t="shared" si="972"/>
        <v>0</v>
      </c>
      <c r="AW967" s="157"/>
      <c r="AX967" s="150">
        <v>0</v>
      </c>
      <c r="AY967" s="150">
        <v>0</v>
      </c>
      <c r="AZ967" s="150">
        <f t="shared" si="970"/>
        <v>0</v>
      </c>
      <c r="BA967" s="313">
        <v>0</v>
      </c>
      <c r="BB967" s="210"/>
      <c r="BC967" s="210"/>
      <c r="BD967" s="210"/>
      <c r="BE967" s="210"/>
      <c r="BF967" s="210"/>
      <c r="BG967" s="210"/>
      <c r="BH967" s="217"/>
      <c r="BI967" s="210"/>
      <c r="BJ967" s="210"/>
      <c r="BK967" s="210"/>
      <c r="BL967" s="210"/>
      <c r="BM967" s="208"/>
      <c r="BN967" s="160"/>
      <c r="BO967" s="161"/>
      <c r="BP967" s="161"/>
    </row>
    <row r="968" spans="1:68" ht="51">
      <c r="A968" s="210"/>
      <c r="B968" s="195" t="s">
        <v>7375</v>
      </c>
      <c r="C968" s="196" t="s">
        <v>7376</v>
      </c>
      <c r="D968" s="146" t="s">
        <v>4692</v>
      </c>
      <c r="E968" s="196" t="s">
        <v>7376</v>
      </c>
      <c r="F968" s="150">
        <v>43248.91</v>
      </c>
      <c r="G968" s="209">
        <v>261665.96</v>
      </c>
      <c r="H968" s="209">
        <v>382959.29241057538</v>
      </c>
      <c r="I968" s="209">
        <v>644625.2524105754</v>
      </c>
      <c r="J968" s="150">
        <v>11773.33</v>
      </c>
      <c r="K968" s="150">
        <v>0</v>
      </c>
      <c r="L968" s="150">
        <f t="shared" si="958"/>
        <v>11773.33</v>
      </c>
      <c r="M968" s="150">
        <v>29495.96</v>
      </c>
      <c r="N968" s="150">
        <v>0</v>
      </c>
      <c r="O968" s="150">
        <v>29495.96</v>
      </c>
      <c r="P968" s="150">
        <v>43484.19</v>
      </c>
      <c r="Q968" s="150">
        <v>0</v>
      </c>
      <c r="R968" s="313">
        <f t="shared" si="969"/>
        <v>43484.19</v>
      </c>
      <c r="S968" s="150">
        <f t="shared" si="977"/>
        <v>57978.92</v>
      </c>
      <c r="T968" s="150"/>
      <c r="U968" s="150">
        <v>50606.239999999998</v>
      </c>
      <c r="V968" s="199">
        <v>-40000</v>
      </c>
      <c r="W968" s="313">
        <f t="shared" si="965"/>
        <v>10606.239999999998</v>
      </c>
      <c r="X968" s="313">
        <v>50606.239999999998</v>
      </c>
      <c r="Y968" s="313">
        <v>-40000</v>
      </c>
      <c r="Z968" s="313">
        <v>10606.239999999998</v>
      </c>
      <c r="AA968" s="313">
        <f t="shared" si="973"/>
        <v>40000</v>
      </c>
      <c r="AB968" s="150">
        <v>50606.239999999998</v>
      </c>
      <c r="AC968" s="199">
        <v>0</v>
      </c>
      <c r="AD968" s="313">
        <f t="shared" si="966"/>
        <v>50606.239999999998</v>
      </c>
      <c r="AE968" s="150">
        <v>50606.239999999998</v>
      </c>
      <c r="AF968" s="169" t="s">
        <v>4680</v>
      </c>
      <c r="AG968" s="201">
        <v>50606.239999999998</v>
      </c>
      <c r="AH968" s="199">
        <v>0</v>
      </c>
      <c r="AI968" s="313">
        <v>50606.239999999998</v>
      </c>
      <c r="AJ968" s="169">
        <f t="shared" si="974"/>
        <v>0</v>
      </c>
      <c r="AK968" s="201">
        <v>50606.239999999998</v>
      </c>
      <c r="AL968" s="199">
        <v>0</v>
      </c>
      <c r="AM968" s="313">
        <f t="shared" si="967"/>
        <v>50606.239999999998</v>
      </c>
      <c r="AN968" s="153">
        <f t="shared" si="975"/>
        <v>0</v>
      </c>
      <c r="AO968" s="154">
        <f t="shared" si="976"/>
        <v>0</v>
      </c>
      <c r="AP968" s="313">
        <v>50606.239999999998</v>
      </c>
      <c r="AQ968" s="201">
        <v>50606.239999999998</v>
      </c>
      <c r="AR968" s="199">
        <v>0</v>
      </c>
      <c r="AS968" s="313">
        <f t="shared" si="968"/>
        <v>50606.239999999998</v>
      </c>
      <c r="AT968" s="155"/>
      <c r="AU968" s="156">
        <f t="shared" si="971"/>
        <v>0</v>
      </c>
      <c r="AV968" s="156">
        <f t="shared" si="972"/>
        <v>40000</v>
      </c>
      <c r="AW968" s="157"/>
      <c r="AX968" s="150">
        <v>10606.239999999998</v>
      </c>
      <c r="AY968" s="150">
        <v>34158.160000000003</v>
      </c>
      <c r="AZ968" s="150">
        <f t="shared" si="970"/>
        <v>24833.759999999995</v>
      </c>
      <c r="BA968" s="313">
        <v>58991.92</v>
      </c>
      <c r="BB968" s="210"/>
      <c r="BC968" s="210"/>
      <c r="BD968" s="210"/>
      <c r="BE968" s="210"/>
      <c r="BF968" s="210"/>
      <c r="BG968" s="210"/>
      <c r="BH968" s="217"/>
      <c r="BI968" s="210"/>
      <c r="BJ968" s="210"/>
      <c r="BK968" s="210"/>
      <c r="BL968" s="210"/>
      <c r="BM968" s="208"/>
      <c r="BN968" s="160"/>
      <c r="BO968" s="161"/>
      <c r="BP968" s="161"/>
    </row>
    <row r="969" spans="1:68" ht="51">
      <c r="A969" s="206" t="s">
        <v>405</v>
      </c>
      <c r="B969" s="195" t="s">
        <v>7377</v>
      </c>
      <c r="C969" s="196" t="s">
        <v>7378</v>
      </c>
      <c r="D969" s="146" t="s">
        <v>4692</v>
      </c>
      <c r="E969" s="196" t="s">
        <v>7378</v>
      </c>
      <c r="F969" s="150">
        <v>644624.96</v>
      </c>
      <c r="G969" s="150">
        <v>63895.58</v>
      </c>
      <c r="H969" s="150">
        <v>32627.156003110431</v>
      </c>
      <c r="I969" s="150">
        <v>96522.736003110433</v>
      </c>
      <c r="J969" s="150">
        <v>60693.2</v>
      </c>
      <c r="K969" s="150">
        <v>11370.4275</v>
      </c>
      <c r="L969" s="150">
        <f t="shared" si="958"/>
        <v>72063.627500000002</v>
      </c>
      <c r="M969" s="150">
        <v>121635.62</v>
      </c>
      <c r="N969" s="150">
        <v>194938.20867880213</v>
      </c>
      <c r="O969" s="150">
        <v>316573.82867880212</v>
      </c>
      <c r="P969" s="150">
        <v>175718.63</v>
      </c>
      <c r="Q969" s="150">
        <v>294831.72805888508</v>
      </c>
      <c r="R969" s="313">
        <f t="shared" si="969"/>
        <v>470550.35805888509</v>
      </c>
      <c r="S969" s="150">
        <f t="shared" si="977"/>
        <v>627400.47741184686</v>
      </c>
      <c r="T969" s="150"/>
      <c r="U969" s="150">
        <v>245630.47</v>
      </c>
      <c r="V969" s="199">
        <v>360366.52908952953</v>
      </c>
      <c r="W969" s="313">
        <f t="shared" si="965"/>
        <v>605996.9990895295</v>
      </c>
      <c r="X969" s="313">
        <v>245630.47</v>
      </c>
      <c r="Y969" s="313">
        <v>360366.52908952953</v>
      </c>
      <c r="Z969" s="313">
        <v>605996.9990895295</v>
      </c>
      <c r="AA969" s="313">
        <f t="shared" si="973"/>
        <v>7881.7809104705229</v>
      </c>
      <c r="AB969" s="150">
        <v>245630.47</v>
      </c>
      <c r="AC969" s="199">
        <v>368248.31</v>
      </c>
      <c r="AD969" s="313">
        <f t="shared" si="966"/>
        <v>613878.78</v>
      </c>
      <c r="AE969" s="150">
        <v>613878.78</v>
      </c>
      <c r="AF969" s="169" t="s">
        <v>4680</v>
      </c>
      <c r="AG969" s="201">
        <v>245630.47</v>
      </c>
      <c r="AH969" s="199">
        <v>368248.31</v>
      </c>
      <c r="AI969" s="313">
        <v>613878.78</v>
      </c>
      <c r="AJ969" s="169">
        <f t="shared" si="974"/>
        <v>0</v>
      </c>
      <c r="AK969" s="201">
        <v>245630.47</v>
      </c>
      <c r="AL969" s="199">
        <v>368248.31</v>
      </c>
      <c r="AM969" s="313">
        <f t="shared" si="967"/>
        <v>613878.78</v>
      </c>
      <c r="AN969" s="153">
        <f t="shared" si="975"/>
        <v>0</v>
      </c>
      <c r="AO969" s="154">
        <f t="shared" si="976"/>
        <v>0</v>
      </c>
      <c r="AP969" s="313">
        <v>613878.78</v>
      </c>
      <c r="AQ969" s="201">
        <v>613878.78</v>
      </c>
      <c r="AR969" s="199"/>
      <c r="AS969" s="313">
        <f t="shared" si="968"/>
        <v>613878.78</v>
      </c>
      <c r="AT969" s="155"/>
      <c r="AU969" s="156">
        <f t="shared" si="971"/>
        <v>0</v>
      </c>
      <c r="AV969" s="156">
        <f t="shared" si="972"/>
        <v>7881.7809104705229</v>
      </c>
      <c r="AW969" s="157"/>
      <c r="AX969" s="150">
        <v>605996.9990895295</v>
      </c>
      <c r="AY969" s="150">
        <v>139728.63</v>
      </c>
      <c r="AZ969" s="150">
        <f t="shared" si="970"/>
        <v>493419.02735760424</v>
      </c>
      <c r="BA969" s="313">
        <v>633147.65735760424</v>
      </c>
      <c r="BB969" s="202">
        <v>5</v>
      </c>
      <c r="BC969" s="202" t="s">
        <v>647</v>
      </c>
      <c r="BD969" s="202" t="s">
        <v>632</v>
      </c>
      <c r="BE969" s="202" t="s">
        <v>1332</v>
      </c>
      <c r="BF969" s="202" t="s">
        <v>755</v>
      </c>
      <c r="BG969" s="203" t="s">
        <v>7379</v>
      </c>
      <c r="BH969" s="216">
        <f>AS969</f>
        <v>613878.78</v>
      </c>
      <c r="BI969" s="205"/>
      <c r="BJ969" s="206" t="s">
        <v>7310</v>
      </c>
      <c r="BK969" s="206" t="s">
        <v>405</v>
      </c>
      <c r="BL969" s="207" t="s">
        <v>7311</v>
      </c>
      <c r="BM969" s="208">
        <f>BH969</f>
        <v>613878.78</v>
      </c>
      <c r="BN969" s="160"/>
      <c r="BO969" s="161"/>
      <c r="BP969" s="161"/>
    </row>
    <row r="970" spans="1:68" ht="51">
      <c r="A970" s="206" t="s">
        <v>405</v>
      </c>
      <c r="B970" s="195" t="s">
        <v>7380</v>
      </c>
      <c r="C970" s="196" t="s">
        <v>7381</v>
      </c>
      <c r="D970" s="146" t="s">
        <v>4692</v>
      </c>
      <c r="E970" s="196" t="s">
        <v>7381</v>
      </c>
      <c r="F970" s="150">
        <v>96522.58</v>
      </c>
      <c r="G970" s="150">
        <v>57200</v>
      </c>
      <c r="H970" s="150">
        <v>60034.602721617412</v>
      </c>
      <c r="I970" s="150">
        <v>117234.60272161741</v>
      </c>
      <c r="J970" s="150">
        <v>7103.17</v>
      </c>
      <c r="K970" s="150">
        <v>1399.74</v>
      </c>
      <c r="L970" s="150">
        <f t="shared" ref="L970:L1033" si="978">J970+K970</f>
        <v>8502.91</v>
      </c>
      <c r="M970" s="150">
        <v>34754.78</v>
      </c>
      <c r="N970" s="150">
        <v>18969.253068702288</v>
      </c>
      <c r="O970" s="150">
        <v>53724.033068702287</v>
      </c>
      <c r="P970" s="150">
        <v>53829.16</v>
      </c>
      <c r="Q970" s="150">
        <v>26025.397473524965</v>
      </c>
      <c r="R970" s="313">
        <f t="shared" si="969"/>
        <v>79854.557473524968</v>
      </c>
      <c r="S970" s="150">
        <f t="shared" si="977"/>
        <v>106472.74329803328</v>
      </c>
      <c r="T970" s="150"/>
      <c r="U970" s="150">
        <v>70469.55</v>
      </c>
      <c r="V970" s="199">
        <v>24460.118952959034</v>
      </c>
      <c r="W970" s="313">
        <f t="shared" si="965"/>
        <v>94929.668952959037</v>
      </c>
      <c r="X970" s="313">
        <v>70469.55</v>
      </c>
      <c r="Y970" s="313">
        <v>24460.118952959034</v>
      </c>
      <c r="Z970" s="313">
        <v>94929.668952959037</v>
      </c>
      <c r="AA970" s="313">
        <f t="shared" si="973"/>
        <v>30243.821047040969</v>
      </c>
      <c r="AB970" s="150">
        <v>70469.55</v>
      </c>
      <c r="AC970" s="199">
        <v>54703.94</v>
      </c>
      <c r="AD970" s="313">
        <f t="shared" si="966"/>
        <v>125173.49</v>
      </c>
      <c r="AE970" s="150">
        <v>125173.49</v>
      </c>
      <c r="AF970" s="169" t="s">
        <v>4680</v>
      </c>
      <c r="AG970" s="201">
        <v>70469.55</v>
      </c>
      <c r="AH970" s="199">
        <v>54703.94</v>
      </c>
      <c r="AI970" s="313">
        <v>125173.49</v>
      </c>
      <c r="AJ970" s="169">
        <f t="shared" si="974"/>
        <v>0</v>
      </c>
      <c r="AK970" s="201">
        <v>70469.55</v>
      </c>
      <c r="AL970" s="199">
        <v>54703.94</v>
      </c>
      <c r="AM970" s="313">
        <f t="shared" si="967"/>
        <v>125173.49</v>
      </c>
      <c r="AN970" s="153">
        <f t="shared" si="975"/>
        <v>0</v>
      </c>
      <c r="AO970" s="154">
        <f t="shared" si="976"/>
        <v>0</v>
      </c>
      <c r="AP970" s="313">
        <v>125173.49</v>
      </c>
      <c r="AQ970" s="201">
        <v>125173.49</v>
      </c>
      <c r="AR970" s="199"/>
      <c r="AS970" s="313">
        <f t="shared" si="968"/>
        <v>125173.49</v>
      </c>
      <c r="AT970" s="155"/>
      <c r="AU970" s="156">
        <f t="shared" si="971"/>
        <v>0</v>
      </c>
      <c r="AV970" s="156">
        <f t="shared" si="972"/>
        <v>30243.821047040969</v>
      </c>
      <c r="AW970" s="157"/>
      <c r="AX970" s="150">
        <v>94929.668952959037</v>
      </c>
      <c r="AY970" s="150">
        <v>41327.35</v>
      </c>
      <c r="AZ970" s="150">
        <f t="shared" si="970"/>
        <v>66120.716137404583</v>
      </c>
      <c r="BA970" s="313">
        <v>107448.06613740457</v>
      </c>
      <c r="BB970" s="202">
        <v>5</v>
      </c>
      <c r="BC970" s="202" t="s">
        <v>647</v>
      </c>
      <c r="BD970" s="202" t="s">
        <v>632</v>
      </c>
      <c r="BE970" s="202" t="s">
        <v>1332</v>
      </c>
      <c r="BF970" s="202" t="s">
        <v>766</v>
      </c>
      <c r="BG970" s="203" t="s">
        <v>7382</v>
      </c>
      <c r="BH970" s="216">
        <f>AS970</f>
        <v>125173.49</v>
      </c>
      <c r="BI970" s="205"/>
      <c r="BJ970" s="206" t="s">
        <v>7310</v>
      </c>
      <c r="BK970" s="206" t="s">
        <v>405</v>
      </c>
      <c r="BL970" s="207" t="s">
        <v>7311</v>
      </c>
      <c r="BM970" s="208">
        <f>BH970</f>
        <v>125173.49</v>
      </c>
      <c r="BN970" s="160"/>
      <c r="BO970" s="161"/>
      <c r="BP970" s="161"/>
    </row>
    <row r="971" spans="1:68" ht="51">
      <c r="A971" s="206" t="s">
        <v>405</v>
      </c>
      <c r="B971" s="195" t="s">
        <v>7383</v>
      </c>
      <c r="C971" s="196" t="s">
        <v>7384</v>
      </c>
      <c r="D971" s="146" t="s">
        <v>4692</v>
      </c>
      <c r="E971" s="196" t="s">
        <v>7384</v>
      </c>
      <c r="F971" s="150">
        <v>117235</v>
      </c>
      <c r="G971" s="150">
        <v>1047.53</v>
      </c>
      <c r="H971" s="150">
        <v>0</v>
      </c>
      <c r="I971" s="150">
        <v>1047.53</v>
      </c>
      <c r="J971" s="150">
        <v>0</v>
      </c>
      <c r="K971" s="150">
        <v>1024.6925000000001</v>
      </c>
      <c r="L971" s="150">
        <f t="shared" si="978"/>
        <v>1024.6925000000001</v>
      </c>
      <c r="M971" s="150">
        <v>0</v>
      </c>
      <c r="N971" s="150">
        <v>60742.446870229003</v>
      </c>
      <c r="O971" s="150">
        <v>60742.446870229003</v>
      </c>
      <c r="P971" s="150">
        <v>0</v>
      </c>
      <c r="Q971" s="150">
        <v>90286.617322239021</v>
      </c>
      <c r="R971" s="313">
        <f t="shared" si="969"/>
        <v>90286.617322239021</v>
      </c>
      <c r="S971" s="150">
        <f t="shared" si="977"/>
        <v>120382.15642965204</v>
      </c>
      <c r="T971" s="150"/>
      <c r="U971" s="150">
        <v>0</v>
      </c>
      <c r="V971" s="199">
        <v>107331.11502276176</v>
      </c>
      <c r="W971" s="313">
        <f t="shared" si="965"/>
        <v>107331.11502276176</v>
      </c>
      <c r="X971" s="313">
        <v>0</v>
      </c>
      <c r="Y971" s="313">
        <v>107331.11502276176</v>
      </c>
      <c r="Z971" s="313">
        <v>107331.11502276176</v>
      </c>
      <c r="AA971" s="313">
        <f t="shared" si="973"/>
        <v>0</v>
      </c>
      <c r="AB971" s="150">
        <v>0</v>
      </c>
      <c r="AC971" s="199">
        <v>107331.11502276176</v>
      </c>
      <c r="AD971" s="313">
        <f t="shared" si="966"/>
        <v>107331.11502276176</v>
      </c>
      <c r="AE971" s="150">
        <v>107331.11502276176</v>
      </c>
      <c r="AF971" s="169" t="s">
        <v>4680</v>
      </c>
      <c r="AG971" s="201">
        <v>0</v>
      </c>
      <c r="AH971" s="199">
        <v>107331.11502276176</v>
      </c>
      <c r="AI971" s="313">
        <v>107331.11502276176</v>
      </c>
      <c r="AJ971" s="169">
        <f t="shared" si="974"/>
        <v>0</v>
      </c>
      <c r="AK971" s="201">
        <v>0</v>
      </c>
      <c r="AL971" s="199">
        <v>107331.11502276176</v>
      </c>
      <c r="AM971" s="313">
        <f t="shared" si="967"/>
        <v>107331.11502276176</v>
      </c>
      <c r="AN971" s="153"/>
      <c r="AO971" s="154">
        <f t="shared" si="976"/>
        <v>4.9772382335504517E-3</v>
      </c>
      <c r="AP971" s="313">
        <v>107331.11502276176</v>
      </c>
      <c r="AQ971" s="201">
        <v>107331.12</v>
      </c>
      <c r="AR971" s="199"/>
      <c r="AS971" s="313">
        <f t="shared" si="968"/>
        <v>107331.12</v>
      </c>
      <c r="AT971" s="155"/>
      <c r="AU971" s="156">
        <f t="shared" si="971"/>
        <v>0</v>
      </c>
      <c r="AV971" s="156">
        <f t="shared" si="972"/>
        <v>0</v>
      </c>
      <c r="AW971" s="157"/>
      <c r="AX971" s="150">
        <v>107331.11502276176</v>
      </c>
      <c r="AY971" s="150">
        <v>0</v>
      </c>
      <c r="AZ971" s="150">
        <f t="shared" si="970"/>
        <v>121484.89374045801</v>
      </c>
      <c r="BA971" s="313">
        <v>121484.89374045801</v>
      </c>
      <c r="BB971" s="202">
        <v>5</v>
      </c>
      <c r="BC971" s="202" t="s">
        <v>647</v>
      </c>
      <c r="BD971" s="202" t="s">
        <v>632</v>
      </c>
      <c r="BE971" s="202" t="s">
        <v>1332</v>
      </c>
      <c r="BF971" s="202" t="s">
        <v>779</v>
      </c>
      <c r="BG971" s="203" t="s">
        <v>7385</v>
      </c>
      <c r="BH971" s="216">
        <f>AS971</f>
        <v>107331.12</v>
      </c>
      <c r="BI971" s="205"/>
      <c r="BJ971" s="206" t="s">
        <v>7310</v>
      </c>
      <c r="BK971" s="206" t="s">
        <v>405</v>
      </c>
      <c r="BL971" s="207" t="s">
        <v>7311</v>
      </c>
      <c r="BM971" s="208">
        <f>BH971</f>
        <v>107331.12</v>
      </c>
      <c r="BN971" s="160"/>
      <c r="BO971" s="161"/>
      <c r="BP971" s="161"/>
    </row>
    <row r="972" spans="1:68" ht="38.25">
      <c r="A972" s="206" t="s">
        <v>405</v>
      </c>
      <c r="B972" s="195" t="s">
        <v>7386</v>
      </c>
      <c r="C972" s="196" t="s">
        <v>7387</v>
      </c>
      <c r="D972" s="146" t="s">
        <v>4692</v>
      </c>
      <c r="E972" s="196" t="s">
        <v>7387</v>
      </c>
      <c r="F972" s="150">
        <v>1047.53</v>
      </c>
      <c r="G972" s="209">
        <v>327211.25</v>
      </c>
      <c r="H972" s="209">
        <v>106618.49125162672</v>
      </c>
      <c r="I972" s="209">
        <v>433829.74125162675</v>
      </c>
      <c r="J972" s="150">
        <v>208.03</v>
      </c>
      <c r="K972" s="150">
        <v>0</v>
      </c>
      <c r="L972" s="150">
        <f t="shared" si="978"/>
        <v>208.03</v>
      </c>
      <c r="M972" s="150">
        <v>633.70000000000005</v>
      </c>
      <c r="N972" s="150">
        <v>0</v>
      </c>
      <c r="O972" s="150">
        <v>633.70000000000005</v>
      </c>
      <c r="P972" s="150">
        <v>1001.86</v>
      </c>
      <c r="Q972" s="150">
        <v>0</v>
      </c>
      <c r="R972" s="313">
        <f t="shared" si="969"/>
        <v>1001.86</v>
      </c>
      <c r="S972" s="150">
        <f t="shared" si="977"/>
        <v>1335.8133333333333</v>
      </c>
      <c r="T972" s="150"/>
      <c r="U972" s="150">
        <v>1244.46</v>
      </c>
      <c r="V972" s="199">
        <v>0</v>
      </c>
      <c r="W972" s="313">
        <f t="shared" si="965"/>
        <v>1244.46</v>
      </c>
      <c r="X972" s="313">
        <v>1244.46</v>
      </c>
      <c r="Y972" s="313">
        <v>0</v>
      </c>
      <c r="Z972" s="313">
        <v>1244.46</v>
      </c>
      <c r="AA972" s="313">
        <f t="shared" si="973"/>
        <v>0</v>
      </c>
      <c r="AB972" s="150">
        <v>1244.46</v>
      </c>
      <c r="AC972" s="199">
        <v>0</v>
      </c>
      <c r="AD972" s="313">
        <f t="shared" si="966"/>
        <v>1244.46</v>
      </c>
      <c r="AE972" s="150">
        <v>1244.46</v>
      </c>
      <c r="AF972" s="169" t="s">
        <v>4680</v>
      </c>
      <c r="AG972" s="201">
        <v>1244.46</v>
      </c>
      <c r="AH972" s="199">
        <v>0</v>
      </c>
      <c r="AI972" s="313">
        <v>1244.46</v>
      </c>
      <c r="AJ972" s="169">
        <f t="shared" si="974"/>
        <v>0</v>
      </c>
      <c r="AK972" s="201">
        <v>1244.46</v>
      </c>
      <c r="AL972" s="199">
        <v>0</v>
      </c>
      <c r="AM972" s="313">
        <f t="shared" si="967"/>
        <v>1244.46</v>
      </c>
      <c r="AN972" s="153">
        <f t="shared" si="975"/>
        <v>0</v>
      </c>
      <c r="AO972" s="154">
        <f t="shared" si="976"/>
        <v>0</v>
      </c>
      <c r="AP972" s="313">
        <v>1244.46</v>
      </c>
      <c r="AQ972" s="201">
        <v>1244.46</v>
      </c>
      <c r="AR972" s="199">
        <v>0</v>
      </c>
      <c r="AS972" s="313">
        <f t="shared" si="968"/>
        <v>1244.46</v>
      </c>
      <c r="AT972" s="155"/>
      <c r="AU972" s="156">
        <f t="shared" si="971"/>
        <v>0</v>
      </c>
      <c r="AV972" s="156">
        <f t="shared" si="972"/>
        <v>0</v>
      </c>
      <c r="AW972" s="157"/>
      <c r="AX972" s="150">
        <v>1244.46</v>
      </c>
      <c r="AY972" s="150">
        <v>755.31</v>
      </c>
      <c r="AZ972" s="150">
        <f t="shared" si="970"/>
        <v>512.09000000000015</v>
      </c>
      <c r="BA972" s="313">
        <v>1267.4000000000001</v>
      </c>
      <c r="BB972" s="202">
        <v>5</v>
      </c>
      <c r="BC972" s="202" t="s">
        <v>647</v>
      </c>
      <c r="BD972" s="202" t="s">
        <v>632</v>
      </c>
      <c r="BE972" s="202" t="s">
        <v>1332</v>
      </c>
      <c r="BF972" s="202" t="s">
        <v>1225</v>
      </c>
      <c r="BG972" s="287" t="s">
        <v>7388</v>
      </c>
      <c r="BH972" s="283">
        <f>SUM(AS972:AS975)</f>
        <v>497927.55000000005</v>
      </c>
      <c r="BI972" s="205"/>
      <c r="BJ972" s="206" t="s">
        <v>7310</v>
      </c>
      <c r="BK972" s="206" t="s">
        <v>405</v>
      </c>
      <c r="BL972" s="207" t="s">
        <v>7311</v>
      </c>
      <c r="BM972" s="208">
        <f>BH972</f>
        <v>497927.55000000005</v>
      </c>
      <c r="BN972" s="160"/>
      <c r="BO972" s="161"/>
      <c r="BP972" s="161"/>
    </row>
    <row r="973" spans="1:68" ht="51">
      <c r="A973" s="210"/>
      <c r="B973" s="195" t="s">
        <v>7389</v>
      </c>
      <c r="C973" s="196" t="s">
        <v>7390</v>
      </c>
      <c r="D973" s="146" t="s">
        <v>4692</v>
      </c>
      <c r="E973" s="196" t="s">
        <v>7390</v>
      </c>
      <c r="F973" s="150">
        <v>433146.29</v>
      </c>
      <c r="G973" s="150">
        <v>64126.07</v>
      </c>
      <c r="H973" s="150">
        <v>0</v>
      </c>
      <c r="I973" s="150">
        <v>64126.07</v>
      </c>
      <c r="J973" s="150">
        <v>71119.789999999994</v>
      </c>
      <c r="K973" s="150">
        <v>3338.355</v>
      </c>
      <c r="L973" s="150">
        <f t="shared" si="978"/>
        <v>74458.14499999999</v>
      </c>
      <c r="M973" s="150">
        <v>150577.46</v>
      </c>
      <c r="N973" s="150">
        <v>62691.422660970042</v>
      </c>
      <c r="O973" s="150">
        <v>213268.88266097003</v>
      </c>
      <c r="P973" s="150">
        <v>228605.53</v>
      </c>
      <c r="Q973" s="150">
        <v>94100.979767502358</v>
      </c>
      <c r="R973" s="313">
        <f t="shared" si="969"/>
        <v>322706.50976750237</v>
      </c>
      <c r="S973" s="150">
        <f t="shared" si="977"/>
        <v>430275.34635666985</v>
      </c>
      <c r="T973" s="150"/>
      <c r="U973" s="150">
        <v>314925.42</v>
      </c>
      <c r="V973" s="199">
        <v>103500.10364730802</v>
      </c>
      <c r="W973" s="313">
        <f t="shared" si="965"/>
        <v>418425.523647308</v>
      </c>
      <c r="X973" s="313">
        <v>314925.42</v>
      </c>
      <c r="Y973" s="313">
        <v>103500.10364730802</v>
      </c>
      <c r="Z973" s="313">
        <v>418425.523647308</v>
      </c>
      <c r="AA973" s="313">
        <f t="shared" si="973"/>
        <v>9439.6263526919647</v>
      </c>
      <c r="AB973" s="150">
        <v>314925.42</v>
      </c>
      <c r="AC973" s="199">
        <v>112939.73</v>
      </c>
      <c r="AD973" s="313">
        <f t="shared" si="966"/>
        <v>427865.14999999997</v>
      </c>
      <c r="AE973" s="150">
        <v>427865.14999999997</v>
      </c>
      <c r="AF973" s="169" t="s">
        <v>4680</v>
      </c>
      <c r="AG973" s="201">
        <v>314925.42</v>
      </c>
      <c r="AH973" s="199">
        <v>112939.73</v>
      </c>
      <c r="AI973" s="313">
        <v>427865.14999999997</v>
      </c>
      <c r="AJ973" s="169">
        <f t="shared" si="974"/>
        <v>0</v>
      </c>
      <c r="AK973" s="201">
        <v>314925.42</v>
      </c>
      <c r="AL973" s="199">
        <v>112939.73</v>
      </c>
      <c r="AM973" s="313">
        <f t="shared" si="967"/>
        <v>427865.14999999997</v>
      </c>
      <c r="AN973" s="153">
        <f t="shared" si="975"/>
        <v>5074.7000000000116</v>
      </c>
      <c r="AO973" s="154">
        <f t="shared" si="976"/>
        <v>5074.7000000000116</v>
      </c>
      <c r="AP973" s="313">
        <v>427865.14999999997</v>
      </c>
      <c r="AQ973" s="201">
        <v>432939.85</v>
      </c>
      <c r="AR973" s="199"/>
      <c r="AS973" s="313">
        <f t="shared" si="968"/>
        <v>432939.85</v>
      </c>
      <c r="AT973" s="155"/>
      <c r="AU973" s="156">
        <f t="shared" si="971"/>
        <v>0</v>
      </c>
      <c r="AV973" s="156">
        <f t="shared" si="972"/>
        <v>9439.6263526919647</v>
      </c>
      <c r="AW973" s="157"/>
      <c r="AX973" s="150">
        <v>418425.523647308</v>
      </c>
      <c r="AY973" s="150">
        <v>178919.77</v>
      </c>
      <c r="AZ973" s="150">
        <f t="shared" si="970"/>
        <v>247617.99532194008</v>
      </c>
      <c r="BA973" s="313">
        <v>426537.76532194007</v>
      </c>
      <c r="BB973" s="210"/>
      <c r="BC973" s="210"/>
      <c r="BD973" s="210"/>
      <c r="BE973" s="210"/>
      <c r="BF973" s="210"/>
      <c r="BG973" s="210"/>
      <c r="BH973" s="217"/>
      <c r="BI973" s="210"/>
      <c r="BJ973" s="210"/>
      <c r="BK973" s="210"/>
      <c r="BL973" s="210"/>
      <c r="BM973" s="208"/>
      <c r="BN973" s="160"/>
      <c r="BO973" s="161"/>
      <c r="BP973" s="161"/>
    </row>
    <row r="974" spans="1:68" ht="51">
      <c r="A974" s="210"/>
      <c r="B974" s="195" t="s">
        <v>7391</v>
      </c>
      <c r="C974" s="196" t="s">
        <v>7392</v>
      </c>
      <c r="D974" s="146" t="s">
        <v>4692</v>
      </c>
      <c r="E974" s="196" t="s">
        <v>7392</v>
      </c>
      <c r="F974" s="150">
        <v>64126.07</v>
      </c>
      <c r="G974" s="209">
        <v>2.15</v>
      </c>
      <c r="H974" s="209">
        <v>0</v>
      </c>
      <c r="I974" s="209">
        <v>2.15</v>
      </c>
      <c r="J974" s="150">
        <v>14940.95</v>
      </c>
      <c r="K974" s="150">
        <v>0</v>
      </c>
      <c r="L974" s="150">
        <f t="shared" si="978"/>
        <v>14940.95</v>
      </c>
      <c r="M974" s="150">
        <v>30672.03</v>
      </c>
      <c r="N974" s="150">
        <v>0</v>
      </c>
      <c r="O974" s="150">
        <v>30672.03</v>
      </c>
      <c r="P974" s="150">
        <v>46089.64</v>
      </c>
      <c r="Q974" s="150">
        <v>0</v>
      </c>
      <c r="R974" s="313">
        <f t="shared" si="969"/>
        <v>46089.64</v>
      </c>
      <c r="S974" s="150">
        <f t="shared" si="977"/>
        <v>61452.853333333333</v>
      </c>
      <c r="T974" s="150"/>
      <c r="U974" s="150">
        <v>63740.97</v>
      </c>
      <c r="V974" s="199">
        <v>0</v>
      </c>
      <c r="W974" s="313">
        <f t="shared" si="965"/>
        <v>63740.97</v>
      </c>
      <c r="X974" s="313">
        <v>63740.97</v>
      </c>
      <c r="Y974" s="313">
        <v>0</v>
      </c>
      <c r="Z974" s="313">
        <v>63740.97</v>
      </c>
      <c r="AA974" s="313">
        <f t="shared" si="973"/>
        <v>0</v>
      </c>
      <c r="AB974" s="150">
        <v>63740.97</v>
      </c>
      <c r="AC974" s="199">
        <v>0</v>
      </c>
      <c r="AD974" s="313">
        <f t="shared" si="966"/>
        <v>63740.97</v>
      </c>
      <c r="AE974" s="150">
        <v>63740.97</v>
      </c>
      <c r="AF974" s="169" t="s">
        <v>4680</v>
      </c>
      <c r="AG974" s="201">
        <v>63740.97</v>
      </c>
      <c r="AH974" s="199">
        <v>0</v>
      </c>
      <c r="AI974" s="313">
        <v>63740.97</v>
      </c>
      <c r="AJ974" s="169">
        <f t="shared" si="974"/>
        <v>0</v>
      </c>
      <c r="AK974" s="201">
        <v>63740.97</v>
      </c>
      <c r="AL974" s="199">
        <v>0</v>
      </c>
      <c r="AM974" s="313">
        <f t="shared" si="967"/>
        <v>63740.97</v>
      </c>
      <c r="AN974" s="153">
        <f t="shared" si="975"/>
        <v>0</v>
      </c>
      <c r="AO974" s="154">
        <f t="shared" si="976"/>
        <v>0</v>
      </c>
      <c r="AP974" s="313">
        <v>63740.97</v>
      </c>
      <c r="AQ974" s="201">
        <v>63740.97</v>
      </c>
      <c r="AR974" s="199">
        <v>0</v>
      </c>
      <c r="AS974" s="313">
        <f t="shared" si="968"/>
        <v>63740.97</v>
      </c>
      <c r="AT974" s="155"/>
      <c r="AU974" s="156">
        <f t="shared" si="971"/>
        <v>0</v>
      </c>
      <c r="AV974" s="156">
        <f t="shared" si="972"/>
        <v>0</v>
      </c>
      <c r="AW974" s="157"/>
      <c r="AX974" s="150">
        <v>63740.97</v>
      </c>
      <c r="AY974" s="150">
        <v>36505.26</v>
      </c>
      <c r="AZ974" s="150">
        <f t="shared" si="970"/>
        <v>24838.799999999996</v>
      </c>
      <c r="BA974" s="313">
        <v>61344.06</v>
      </c>
      <c r="BB974" s="210"/>
      <c r="BC974" s="210"/>
      <c r="BD974" s="210"/>
      <c r="BE974" s="210"/>
      <c r="BF974" s="210"/>
      <c r="BG974" s="210"/>
      <c r="BH974" s="217"/>
      <c r="BI974" s="210"/>
      <c r="BJ974" s="210"/>
      <c r="BK974" s="210"/>
      <c r="BL974" s="210"/>
      <c r="BM974" s="208"/>
      <c r="BN974" s="160"/>
      <c r="BO974" s="161"/>
      <c r="BP974" s="161"/>
    </row>
    <row r="975" spans="1:68" ht="51">
      <c r="A975" s="210"/>
      <c r="B975" s="195" t="s">
        <v>7393</v>
      </c>
      <c r="C975" s="196" t="s">
        <v>7394</v>
      </c>
      <c r="D975" s="146" t="s">
        <v>4692</v>
      </c>
      <c r="E975" s="196" t="s">
        <v>7394</v>
      </c>
      <c r="F975" s="150">
        <v>2.15</v>
      </c>
      <c r="G975" s="209">
        <v>631984.6</v>
      </c>
      <c r="H975" s="209">
        <v>0</v>
      </c>
      <c r="I975" s="209">
        <v>631984.6</v>
      </c>
      <c r="J975" s="150">
        <v>0</v>
      </c>
      <c r="K975" s="150">
        <v>0</v>
      </c>
      <c r="L975" s="150">
        <f t="shared" si="978"/>
        <v>0</v>
      </c>
      <c r="M975" s="150">
        <v>0</v>
      </c>
      <c r="N975" s="150">
        <v>0</v>
      </c>
      <c r="O975" s="150">
        <v>0</v>
      </c>
      <c r="P975" s="150">
        <v>1.17</v>
      </c>
      <c r="Q975" s="150">
        <v>0</v>
      </c>
      <c r="R975" s="313">
        <f t="shared" si="969"/>
        <v>1.17</v>
      </c>
      <c r="S975" s="150">
        <f t="shared" si="977"/>
        <v>1.56</v>
      </c>
      <c r="T975" s="150"/>
      <c r="U975" s="150">
        <v>2.27</v>
      </c>
      <c r="V975" s="199">
        <v>0</v>
      </c>
      <c r="W975" s="313">
        <f t="shared" si="965"/>
        <v>2.27</v>
      </c>
      <c r="X975" s="313">
        <v>2.27</v>
      </c>
      <c r="Y975" s="313">
        <v>0</v>
      </c>
      <c r="Z975" s="313">
        <v>2.27</v>
      </c>
      <c r="AA975" s="313">
        <f t="shared" si="973"/>
        <v>0</v>
      </c>
      <c r="AB975" s="150">
        <v>2.27</v>
      </c>
      <c r="AC975" s="199">
        <v>0</v>
      </c>
      <c r="AD975" s="313">
        <f t="shared" si="966"/>
        <v>2.27</v>
      </c>
      <c r="AE975" s="150">
        <v>2.27</v>
      </c>
      <c r="AF975" s="169" t="s">
        <v>4680</v>
      </c>
      <c r="AG975" s="201">
        <v>2.27</v>
      </c>
      <c r="AH975" s="199">
        <v>0</v>
      </c>
      <c r="AI975" s="313">
        <v>2.27</v>
      </c>
      <c r="AJ975" s="169">
        <f t="shared" si="974"/>
        <v>0</v>
      </c>
      <c r="AK975" s="201">
        <v>2.27</v>
      </c>
      <c r="AL975" s="199">
        <v>0</v>
      </c>
      <c r="AM975" s="313">
        <f t="shared" si="967"/>
        <v>2.27</v>
      </c>
      <c r="AN975" s="153">
        <f t="shared" si="975"/>
        <v>0</v>
      </c>
      <c r="AO975" s="154">
        <f t="shared" si="976"/>
        <v>0</v>
      </c>
      <c r="AP975" s="313">
        <v>2.27</v>
      </c>
      <c r="AQ975" s="201">
        <v>2.27</v>
      </c>
      <c r="AR975" s="199">
        <v>0</v>
      </c>
      <c r="AS975" s="313">
        <f t="shared" si="968"/>
        <v>2.27</v>
      </c>
      <c r="AT975" s="155"/>
      <c r="AU975" s="156">
        <f t="shared" si="971"/>
        <v>0</v>
      </c>
      <c r="AV975" s="156">
        <f t="shared" si="972"/>
        <v>0</v>
      </c>
      <c r="AW975" s="157"/>
      <c r="AX975" s="150">
        <v>2.27</v>
      </c>
      <c r="AY975" s="150">
        <v>0</v>
      </c>
      <c r="AZ975" s="150">
        <f t="shared" si="970"/>
        <v>0</v>
      </c>
      <c r="BA975" s="313">
        <v>0</v>
      </c>
      <c r="BB975" s="210"/>
      <c r="BC975" s="210"/>
      <c r="BD975" s="210"/>
      <c r="BE975" s="210"/>
      <c r="BF975" s="210"/>
      <c r="BG975" s="210"/>
      <c r="BH975" s="217"/>
      <c r="BI975" s="210"/>
      <c r="BJ975" s="210"/>
      <c r="BK975" s="210"/>
      <c r="BL975" s="210"/>
      <c r="BM975" s="208"/>
      <c r="BN975" s="160"/>
      <c r="BO975" s="161"/>
      <c r="BP975" s="161"/>
    </row>
    <row r="976" spans="1:68" ht="38.25">
      <c r="A976" s="206" t="s">
        <v>405</v>
      </c>
      <c r="B976" s="195" t="s">
        <v>7395</v>
      </c>
      <c r="C976" s="196" t="s">
        <v>7396</v>
      </c>
      <c r="D976" s="146" t="s">
        <v>4692</v>
      </c>
      <c r="E976" s="196" t="s">
        <v>7396</v>
      </c>
      <c r="F976" s="150">
        <v>631984.6</v>
      </c>
      <c r="G976" s="209">
        <v>0</v>
      </c>
      <c r="H976" s="209">
        <v>0</v>
      </c>
      <c r="I976" s="209">
        <v>0</v>
      </c>
      <c r="J976" s="150">
        <v>147893.85</v>
      </c>
      <c r="K976" s="150">
        <v>-52559.25</v>
      </c>
      <c r="L976" s="150">
        <f t="shared" si="978"/>
        <v>95334.6</v>
      </c>
      <c r="M976" s="150">
        <v>296645.78000000003</v>
      </c>
      <c r="N976" s="150">
        <v>31315.906175333366</v>
      </c>
      <c r="O976" s="150">
        <v>327961.68617533339</v>
      </c>
      <c r="P976" s="150">
        <v>444822.18</v>
      </c>
      <c r="Q976" s="150">
        <v>46958.39</v>
      </c>
      <c r="R976" s="313">
        <f t="shared" si="969"/>
        <v>491780.57</v>
      </c>
      <c r="S976" s="150">
        <f t="shared" si="977"/>
        <v>655707.42666666675</v>
      </c>
      <c r="T976" s="150"/>
      <c r="U976" s="309">
        <v>519516.64000000007</v>
      </c>
      <c r="V976" s="245"/>
      <c r="W976" s="313">
        <f t="shared" si="965"/>
        <v>519516.64000000007</v>
      </c>
      <c r="X976" s="313">
        <v>519516.64000000007</v>
      </c>
      <c r="Y976" s="313"/>
      <c r="Z976" s="313">
        <v>519516.64000000007</v>
      </c>
      <c r="AA976" s="313">
        <f t="shared" si="973"/>
        <v>0</v>
      </c>
      <c r="AB976" s="150">
        <v>519516.64000000007</v>
      </c>
      <c r="AC976" s="245">
        <v>0</v>
      </c>
      <c r="AD976" s="313">
        <f t="shared" si="966"/>
        <v>519516.64000000007</v>
      </c>
      <c r="AE976" s="150">
        <v>519516.64000000007</v>
      </c>
      <c r="AF976" s="169" t="s">
        <v>4680</v>
      </c>
      <c r="AG976" s="201">
        <v>519516.64000000007</v>
      </c>
      <c r="AH976" s="245">
        <v>0</v>
      </c>
      <c r="AI976" s="313">
        <v>519516.64000000007</v>
      </c>
      <c r="AJ976" s="169">
        <f t="shared" si="974"/>
        <v>0</v>
      </c>
      <c r="AK976" s="201">
        <v>519516.64000000007</v>
      </c>
      <c r="AL976" s="245">
        <v>0</v>
      </c>
      <c r="AM976" s="313">
        <f t="shared" si="967"/>
        <v>519516.64000000007</v>
      </c>
      <c r="AN976" s="153">
        <f t="shared" si="975"/>
        <v>120017.41999999998</v>
      </c>
      <c r="AO976" s="154">
        <f t="shared" si="976"/>
        <v>120017.41999999998</v>
      </c>
      <c r="AP976" s="313">
        <v>519516.64000000007</v>
      </c>
      <c r="AQ976" s="201">
        <v>639534.06000000006</v>
      </c>
      <c r="AR976" s="199"/>
      <c r="AS976" s="313">
        <f t="shared" si="968"/>
        <v>639534.06000000006</v>
      </c>
      <c r="AT976" s="155" t="s">
        <v>7314</v>
      </c>
      <c r="AU976" s="156">
        <f t="shared" si="971"/>
        <v>0</v>
      </c>
      <c r="AV976" s="156">
        <f t="shared" si="972"/>
        <v>0</v>
      </c>
      <c r="AW976" s="157"/>
      <c r="AX976" s="150">
        <v>519516.64000000007</v>
      </c>
      <c r="AY976" s="150">
        <v>345985.5</v>
      </c>
      <c r="AZ976" s="150">
        <f t="shared" si="970"/>
        <v>309937.87235066679</v>
      </c>
      <c r="BA976" s="313">
        <v>655923.37235066679</v>
      </c>
      <c r="BB976" s="202">
        <v>5</v>
      </c>
      <c r="BC976" s="202" t="s">
        <v>647</v>
      </c>
      <c r="BD976" s="202" t="s">
        <v>632</v>
      </c>
      <c r="BE976" s="202" t="s">
        <v>1332</v>
      </c>
      <c r="BF976" s="202" t="s">
        <v>1229</v>
      </c>
      <c r="BG976" s="287" t="s">
        <v>7397</v>
      </c>
      <c r="BH976" s="283">
        <f>SUM(AS976:AS982)</f>
        <v>1537913.5200000003</v>
      </c>
      <c r="BI976" s="205"/>
      <c r="BJ976" s="206" t="s">
        <v>7310</v>
      </c>
      <c r="BK976" s="206" t="s">
        <v>405</v>
      </c>
      <c r="BL976" s="207" t="s">
        <v>7311</v>
      </c>
      <c r="BM976" s="208">
        <f>BH976</f>
        <v>1537913.5200000003</v>
      </c>
      <c r="BN976" s="160"/>
      <c r="BO976" s="161"/>
      <c r="BP976" s="161"/>
    </row>
    <row r="977" spans="1:68" ht="51">
      <c r="A977" s="210"/>
      <c r="B977" s="195" t="s">
        <v>7398</v>
      </c>
      <c r="C977" s="196" t="s">
        <v>7399</v>
      </c>
      <c r="D977" s="146" t="s">
        <v>4692</v>
      </c>
      <c r="E977" s="196" t="s">
        <v>7399</v>
      </c>
      <c r="F977" s="150">
        <v>0</v>
      </c>
      <c r="G977" s="209">
        <v>0</v>
      </c>
      <c r="H977" s="209">
        <v>0</v>
      </c>
      <c r="I977" s="209">
        <v>0</v>
      </c>
      <c r="J977" s="150">
        <v>0</v>
      </c>
      <c r="K977" s="150">
        <v>0</v>
      </c>
      <c r="L977" s="150">
        <f t="shared" si="978"/>
        <v>0</v>
      </c>
      <c r="M977" s="150">
        <v>0</v>
      </c>
      <c r="N977" s="150">
        <v>0</v>
      </c>
      <c r="O977" s="150">
        <v>0</v>
      </c>
      <c r="P977" s="150">
        <v>0</v>
      </c>
      <c r="Q977" s="150">
        <v>0</v>
      </c>
      <c r="R977" s="313">
        <f t="shared" si="969"/>
        <v>0</v>
      </c>
      <c r="S977" s="150">
        <f t="shared" si="977"/>
        <v>0</v>
      </c>
      <c r="T977" s="150"/>
      <c r="U977" s="150">
        <v>0</v>
      </c>
      <c r="V977" s="199">
        <v>0</v>
      </c>
      <c r="W977" s="313">
        <f t="shared" si="965"/>
        <v>0</v>
      </c>
      <c r="X977" s="313">
        <v>0</v>
      </c>
      <c r="Y977" s="313">
        <v>0</v>
      </c>
      <c r="Z977" s="313">
        <v>0</v>
      </c>
      <c r="AA977" s="313">
        <f t="shared" si="973"/>
        <v>0</v>
      </c>
      <c r="AB977" s="150">
        <v>0</v>
      </c>
      <c r="AC977" s="199">
        <v>0</v>
      </c>
      <c r="AD977" s="313">
        <f t="shared" si="966"/>
        <v>0</v>
      </c>
      <c r="AE977" s="150">
        <v>0</v>
      </c>
      <c r="AF977" s="169" t="s">
        <v>4680</v>
      </c>
      <c r="AG977" s="201">
        <v>0</v>
      </c>
      <c r="AH977" s="199">
        <v>0</v>
      </c>
      <c r="AI977" s="313">
        <v>0</v>
      </c>
      <c r="AJ977" s="169">
        <f t="shared" si="974"/>
        <v>0</v>
      </c>
      <c r="AK977" s="201">
        <v>0</v>
      </c>
      <c r="AL977" s="199">
        <v>0</v>
      </c>
      <c r="AM977" s="313">
        <f t="shared" si="967"/>
        <v>0</v>
      </c>
      <c r="AN977" s="153">
        <f t="shared" si="975"/>
        <v>0</v>
      </c>
      <c r="AO977" s="154">
        <f t="shared" si="976"/>
        <v>0</v>
      </c>
      <c r="AP977" s="313">
        <v>0</v>
      </c>
      <c r="AQ977" s="201">
        <v>0</v>
      </c>
      <c r="AR977" s="199">
        <v>0</v>
      </c>
      <c r="AS977" s="313">
        <f t="shared" si="968"/>
        <v>0</v>
      </c>
      <c r="AT977" s="155"/>
      <c r="AU977" s="156">
        <f t="shared" si="971"/>
        <v>0</v>
      </c>
      <c r="AV977" s="156">
        <f t="shared" si="972"/>
        <v>0</v>
      </c>
      <c r="AW977" s="157"/>
      <c r="AX977" s="150">
        <v>0</v>
      </c>
      <c r="AY977" s="150">
        <v>0</v>
      </c>
      <c r="AZ977" s="150">
        <f t="shared" si="970"/>
        <v>0</v>
      </c>
      <c r="BA977" s="313">
        <v>0</v>
      </c>
      <c r="BB977" s="210"/>
      <c r="BC977" s="210"/>
      <c r="BD977" s="210"/>
      <c r="BE977" s="210"/>
      <c r="BF977" s="210"/>
      <c r="BG977" s="210"/>
      <c r="BH977" s="217"/>
      <c r="BI977" s="210"/>
      <c r="BJ977" s="210"/>
      <c r="BK977" s="210"/>
      <c r="BL977" s="210"/>
      <c r="BM977" s="208"/>
      <c r="BN977" s="160"/>
      <c r="BO977" s="161"/>
      <c r="BP977" s="161"/>
    </row>
    <row r="978" spans="1:68" ht="51">
      <c r="A978" s="210"/>
      <c r="B978" s="195" t="s">
        <v>7400</v>
      </c>
      <c r="C978" s="196" t="s">
        <v>7401</v>
      </c>
      <c r="D978" s="146" t="s">
        <v>4692</v>
      </c>
      <c r="E978" s="196" t="s">
        <v>7401</v>
      </c>
      <c r="F978" s="150">
        <v>0</v>
      </c>
      <c r="G978" s="209">
        <v>1219253.18</v>
      </c>
      <c r="H978" s="209">
        <v>-1010898.78</v>
      </c>
      <c r="I978" s="209">
        <v>208354.39999999991</v>
      </c>
      <c r="J978" s="150">
        <v>0</v>
      </c>
      <c r="K978" s="150">
        <v>0</v>
      </c>
      <c r="L978" s="150">
        <f t="shared" si="978"/>
        <v>0</v>
      </c>
      <c r="M978" s="150">
        <v>0</v>
      </c>
      <c r="N978" s="150">
        <v>0</v>
      </c>
      <c r="O978" s="150">
        <v>0</v>
      </c>
      <c r="P978" s="150">
        <v>0</v>
      </c>
      <c r="Q978" s="150">
        <v>0</v>
      </c>
      <c r="R978" s="313">
        <f t="shared" si="969"/>
        <v>0</v>
      </c>
      <c r="S978" s="150">
        <f t="shared" si="977"/>
        <v>0</v>
      </c>
      <c r="T978" s="150"/>
      <c r="U978" s="150">
        <v>0</v>
      </c>
      <c r="V978" s="199">
        <v>0</v>
      </c>
      <c r="W978" s="313">
        <f t="shared" si="965"/>
        <v>0</v>
      </c>
      <c r="X978" s="313">
        <v>0</v>
      </c>
      <c r="Y978" s="313">
        <v>0</v>
      </c>
      <c r="Z978" s="313">
        <v>0</v>
      </c>
      <c r="AA978" s="313">
        <f t="shared" si="973"/>
        <v>0</v>
      </c>
      <c r="AB978" s="150">
        <v>0</v>
      </c>
      <c r="AC978" s="199">
        <v>0</v>
      </c>
      <c r="AD978" s="313">
        <f t="shared" si="966"/>
        <v>0</v>
      </c>
      <c r="AE978" s="150">
        <v>0</v>
      </c>
      <c r="AF978" s="169" t="s">
        <v>4680</v>
      </c>
      <c r="AG978" s="201">
        <v>0</v>
      </c>
      <c r="AH978" s="199">
        <v>0</v>
      </c>
      <c r="AI978" s="313">
        <v>0</v>
      </c>
      <c r="AJ978" s="169">
        <f t="shared" si="974"/>
        <v>0</v>
      </c>
      <c r="AK978" s="201">
        <v>0</v>
      </c>
      <c r="AL978" s="199">
        <v>0</v>
      </c>
      <c r="AM978" s="313">
        <f t="shared" si="967"/>
        <v>0</v>
      </c>
      <c r="AN978" s="153">
        <f t="shared" si="975"/>
        <v>0</v>
      </c>
      <c r="AO978" s="154">
        <f t="shared" si="976"/>
        <v>0</v>
      </c>
      <c r="AP978" s="313">
        <v>0</v>
      </c>
      <c r="AQ978" s="201">
        <v>0</v>
      </c>
      <c r="AR978" s="199">
        <v>0</v>
      </c>
      <c r="AS978" s="313">
        <f t="shared" si="968"/>
        <v>0</v>
      </c>
      <c r="AT978" s="155"/>
      <c r="AU978" s="156">
        <f t="shared" si="971"/>
        <v>0</v>
      </c>
      <c r="AV978" s="156">
        <f t="shared" si="972"/>
        <v>0</v>
      </c>
      <c r="AW978" s="157"/>
      <c r="AX978" s="150">
        <v>0</v>
      </c>
      <c r="AY978" s="150">
        <v>0</v>
      </c>
      <c r="AZ978" s="150">
        <f t="shared" si="970"/>
        <v>0</v>
      </c>
      <c r="BA978" s="313">
        <v>0</v>
      </c>
      <c r="BB978" s="210"/>
      <c r="BC978" s="210"/>
      <c r="BD978" s="210"/>
      <c r="BE978" s="210"/>
      <c r="BF978" s="210"/>
      <c r="BG978" s="210"/>
      <c r="BH978" s="217"/>
      <c r="BI978" s="210"/>
      <c r="BJ978" s="210"/>
      <c r="BK978" s="210"/>
      <c r="BL978" s="210"/>
      <c r="BM978" s="208"/>
      <c r="BN978" s="160"/>
      <c r="BO978" s="161"/>
      <c r="BP978" s="161"/>
    </row>
    <row r="979" spans="1:68" ht="51">
      <c r="A979" s="210"/>
      <c r="B979" s="195" t="s">
        <v>7402</v>
      </c>
      <c r="C979" s="196" t="s">
        <v>7403</v>
      </c>
      <c r="D979" s="146" t="s">
        <v>4692</v>
      </c>
      <c r="E979" s="196" t="s">
        <v>7404</v>
      </c>
      <c r="F979" s="150">
        <v>246201.67</v>
      </c>
      <c r="G979" s="209">
        <v>47120.04</v>
      </c>
      <c r="H979" s="209">
        <v>0</v>
      </c>
      <c r="I979" s="209">
        <v>47120.04</v>
      </c>
      <c r="J979" s="150">
        <v>388174</v>
      </c>
      <c r="K979" s="150">
        <v>0</v>
      </c>
      <c r="L979" s="150">
        <f t="shared" si="978"/>
        <v>388174</v>
      </c>
      <c r="M979" s="150">
        <v>712724.14</v>
      </c>
      <c r="N979" s="150">
        <v>-319560.75</v>
      </c>
      <c r="O979" s="150">
        <v>393163.39</v>
      </c>
      <c r="P979" s="150">
        <v>1035038.86</v>
      </c>
      <c r="Q979" s="150">
        <v>-738550</v>
      </c>
      <c r="R979" s="313">
        <f t="shared" si="969"/>
        <v>296488.86</v>
      </c>
      <c r="S979" s="150">
        <f t="shared" si="977"/>
        <v>395318.48</v>
      </c>
      <c r="T979" s="150"/>
      <c r="U979" s="150">
        <v>1480801.55</v>
      </c>
      <c r="V979" s="199">
        <v>-700000</v>
      </c>
      <c r="W979" s="313">
        <f t="shared" si="965"/>
        <v>780801.55</v>
      </c>
      <c r="X979" s="313">
        <v>1480801.55</v>
      </c>
      <c r="Y979" s="313">
        <v>-700000</v>
      </c>
      <c r="Z979" s="313">
        <v>780801.55</v>
      </c>
      <c r="AA979" s="313">
        <f t="shared" si="973"/>
        <v>-136587</v>
      </c>
      <c r="AB979" s="150">
        <v>1480801.55</v>
      </c>
      <c r="AC979" s="199">
        <v>-836587</v>
      </c>
      <c r="AD979" s="313">
        <f t="shared" si="966"/>
        <v>644214.55000000005</v>
      </c>
      <c r="AE979" s="150">
        <v>644214.55000000005</v>
      </c>
      <c r="AF979" s="169" t="s">
        <v>4680</v>
      </c>
      <c r="AG979" s="201">
        <v>1480801.55</v>
      </c>
      <c r="AH979" s="199">
        <v>-836587</v>
      </c>
      <c r="AI979" s="313">
        <v>644214.55000000005</v>
      </c>
      <c r="AJ979" s="169">
        <f t="shared" si="974"/>
        <v>0</v>
      </c>
      <c r="AK979" s="201">
        <v>1480801.55</v>
      </c>
      <c r="AL979" s="199">
        <v>-836587</v>
      </c>
      <c r="AM979" s="313">
        <f t="shared" si="967"/>
        <v>644214.55000000005</v>
      </c>
      <c r="AN979" s="153">
        <f t="shared" si="975"/>
        <v>170535.31999999995</v>
      </c>
      <c r="AO979" s="154">
        <f t="shared" si="976"/>
        <v>170535.31999999995</v>
      </c>
      <c r="AP979" s="313">
        <v>644214.55000000005</v>
      </c>
      <c r="AQ979" s="201">
        <v>814749.87</v>
      </c>
      <c r="AR979" s="199"/>
      <c r="AS979" s="313">
        <f t="shared" si="968"/>
        <v>814749.87</v>
      </c>
      <c r="AT979" s="155"/>
      <c r="AU979" s="156">
        <f t="shared" si="971"/>
        <v>0</v>
      </c>
      <c r="AV979" s="156">
        <f t="shared" si="972"/>
        <v>-136587</v>
      </c>
      <c r="AW979" s="157"/>
      <c r="AX979" s="150">
        <v>780801.55</v>
      </c>
      <c r="AY979" s="150">
        <v>818328.78</v>
      </c>
      <c r="AZ979" s="150">
        <f t="shared" si="970"/>
        <v>-32002</v>
      </c>
      <c r="BA979" s="313">
        <v>786326.78</v>
      </c>
      <c r="BB979" s="210"/>
      <c r="BC979" s="210"/>
      <c r="BD979" s="210"/>
      <c r="BE979" s="210"/>
      <c r="BF979" s="210"/>
      <c r="BG979" s="210"/>
      <c r="BH979" s="217"/>
      <c r="BI979" s="210"/>
      <c r="BJ979" s="210"/>
      <c r="BK979" s="210"/>
      <c r="BL979" s="210"/>
      <c r="BM979" s="208"/>
      <c r="BN979" s="160"/>
      <c r="BO979" s="161"/>
      <c r="BP979" s="161"/>
    </row>
    <row r="980" spans="1:68" ht="38.25">
      <c r="A980" s="210"/>
      <c r="B980" s="195" t="s">
        <v>7405</v>
      </c>
      <c r="C980" s="196" t="s">
        <v>7406</v>
      </c>
      <c r="D980" s="146" t="s">
        <v>4692</v>
      </c>
      <c r="E980" s="196" t="s">
        <v>7406</v>
      </c>
      <c r="F980" s="150">
        <v>47120.04</v>
      </c>
      <c r="G980" s="209">
        <v>23729.11</v>
      </c>
      <c r="H980" s="209">
        <v>0</v>
      </c>
      <c r="I980" s="209">
        <v>23729.11</v>
      </c>
      <c r="J980" s="150">
        <v>0</v>
      </c>
      <c r="K980" s="150">
        <v>0</v>
      </c>
      <c r="L980" s="150">
        <f t="shared" si="978"/>
        <v>0</v>
      </c>
      <c r="M980" s="150">
        <v>0</v>
      </c>
      <c r="N980" s="150">
        <v>0</v>
      </c>
      <c r="O980" s="150">
        <v>0</v>
      </c>
      <c r="P980" s="150">
        <v>56616.13</v>
      </c>
      <c r="Q980" s="150">
        <v>0</v>
      </c>
      <c r="R980" s="313">
        <f t="shared" si="969"/>
        <v>56616.13</v>
      </c>
      <c r="S980" s="150">
        <f t="shared" si="977"/>
        <v>75488.17333333334</v>
      </c>
      <c r="T980" s="150"/>
      <c r="U980" s="150">
        <v>55647.79</v>
      </c>
      <c r="V980" s="199">
        <v>0</v>
      </c>
      <c r="W980" s="313">
        <f t="shared" si="965"/>
        <v>55647.79</v>
      </c>
      <c r="X980" s="313">
        <v>55647.79</v>
      </c>
      <c r="Y980" s="313">
        <v>0</v>
      </c>
      <c r="Z980" s="313">
        <v>55647.79</v>
      </c>
      <c r="AA980" s="313">
        <f t="shared" si="973"/>
        <v>0</v>
      </c>
      <c r="AB980" s="150">
        <v>55647.79</v>
      </c>
      <c r="AC980" s="199">
        <v>0</v>
      </c>
      <c r="AD980" s="313">
        <f t="shared" si="966"/>
        <v>55647.79</v>
      </c>
      <c r="AE980" s="150">
        <v>55647.79</v>
      </c>
      <c r="AF980" s="169" t="s">
        <v>4680</v>
      </c>
      <c r="AG980" s="201">
        <v>55647.79</v>
      </c>
      <c r="AH980" s="199">
        <v>0</v>
      </c>
      <c r="AI980" s="313">
        <v>55647.79</v>
      </c>
      <c r="AJ980" s="169">
        <f t="shared" si="974"/>
        <v>0</v>
      </c>
      <c r="AK980" s="201">
        <v>55647.79</v>
      </c>
      <c r="AL980" s="199">
        <v>0</v>
      </c>
      <c r="AM980" s="313">
        <f t="shared" si="967"/>
        <v>55647.79</v>
      </c>
      <c r="AN980" s="153">
        <f t="shared" si="975"/>
        <v>0</v>
      </c>
      <c r="AO980" s="154">
        <f t="shared" si="976"/>
        <v>0</v>
      </c>
      <c r="AP980" s="313">
        <v>55647.79</v>
      </c>
      <c r="AQ980" s="201">
        <v>55647.79</v>
      </c>
      <c r="AR980" s="199">
        <v>0</v>
      </c>
      <c r="AS980" s="313">
        <f t="shared" si="968"/>
        <v>55647.79</v>
      </c>
      <c r="AT980" s="155"/>
      <c r="AU980" s="156">
        <f t="shared" si="971"/>
        <v>0</v>
      </c>
      <c r="AV980" s="156">
        <f t="shared" si="972"/>
        <v>0</v>
      </c>
      <c r="AW980" s="157"/>
      <c r="AX980" s="150">
        <v>55647.79</v>
      </c>
      <c r="AY980" s="150">
        <v>56616.13</v>
      </c>
      <c r="AZ980" s="150">
        <f t="shared" si="970"/>
        <v>-56616.13</v>
      </c>
      <c r="BA980" s="313">
        <v>0</v>
      </c>
      <c r="BB980" s="210"/>
      <c r="BC980" s="210"/>
      <c r="BD980" s="210"/>
      <c r="BE980" s="210"/>
      <c r="BF980" s="210"/>
      <c r="BG980" s="210"/>
      <c r="BH980" s="217"/>
      <c r="BI980" s="210"/>
      <c r="BJ980" s="210"/>
      <c r="BK980" s="210"/>
      <c r="BL980" s="210"/>
      <c r="BM980" s="208"/>
      <c r="BN980" s="160"/>
      <c r="BO980" s="161"/>
      <c r="BP980" s="161"/>
    </row>
    <row r="981" spans="1:68" ht="25.5">
      <c r="A981" s="210"/>
      <c r="B981" s="195" t="s">
        <v>7407</v>
      </c>
      <c r="C981" s="196" t="s">
        <v>7408</v>
      </c>
      <c r="D981" s="146" t="s">
        <v>4692</v>
      </c>
      <c r="E981" s="196" t="s">
        <v>7408</v>
      </c>
      <c r="F981" s="150">
        <v>23729.11</v>
      </c>
      <c r="G981" s="209">
        <v>1700</v>
      </c>
      <c r="H981" s="209">
        <v>-1700</v>
      </c>
      <c r="I981" s="209">
        <v>0</v>
      </c>
      <c r="J981" s="150">
        <v>0</v>
      </c>
      <c r="K981" s="150">
        <v>0</v>
      </c>
      <c r="L981" s="150">
        <f t="shared" si="978"/>
        <v>0</v>
      </c>
      <c r="M981" s="150">
        <v>600</v>
      </c>
      <c r="N981" s="150">
        <v>0</v>
      </c>
      <c r="O981" s="150">
        <v>600</v>
      </c>
      <c r="P981" s="150">
        <v>24944.33</v>
      </c>
      <c r="Q981" s="150">
        <v>0</v>
      </c>
      <c r="R981" s="313">
        <f t="shared" si="969"/>
        <v>24944.33</v>
      </c>
      <c r="S981" s="150">
        <f t="shared" si="977"/>
        <v>33259.106666666674</v>
      </c>
      <c r="T981" s="150"/>
      <c r="U981" s="309">
        <v>1680.1999999999998</v>
      </c>
      <c r="V981" s="199">
        <v>0</v>
      </c>
      <c r="W981" s="313">
        <f t="shared" si="965"/>
        <v>1680.1999999999998</v>
      </c>
      <c r="X981" s="313">
        <v>1680.1999999999998</v>
      </c>
      <c r="Y981" s="313">
        <v>0</v>
      </c>
      <c r="Z981" s="313">
        <v>1680.1999999999998</v>
      </c>
      <c r="AA981" s="313">
        <f t="shared" si="973"/>
        <v>0</v>
      </c>
      <c r="AB981" s="150">
        <v>1680.1999999999998</v>
      </c>
      <c r="AC981" s="199">
        <v>0</v>
      </c>
      <c r="AD981" s="313">
        <f t="shared" si="966"/>
        <v>1680.1999999999998</v>
      </c>
      <c r="AE981" s="150">
        <v>1680.1999999999998</v>
      </c>
      <c r="AF981" s="169" t="s">
        <v>4680</v>
      </c>
      <c r="AG981" s="201">
        <v>1680.1999999999998</v>
      </c>
      <c r="AH981" s="199">
        <v>0</v>
      </c>
      <c r="AI981" s="313">
        <v>1680.1999999999998</v>
      </c>
      <c r="AJ981" s="169">
        <f t="shared" si="974"/>
        <v>0</v>
      </c>
      <c r="AK981" s="201">
        <v>1680.1999999999998</v>
      </c>
      <c r="AL981" s="199">
        <v>0</v>
      </c>
      <c r="AM981" s="313">
        <f t="shared" si="967"/>
        <v>1680.1999999999998</v>
      </c>
      <c r="AN981" s="153">
        <f t="shared" si="975"/>
        <v>24521.599999999999</v>
      </c>
      <c r="AO981" s="154">
        <f t="shared" si="976"/>
        <v>24521.599999999999</v>
      </c>
      <c r="AP981" s="313">
        <v>1680.1999999999998</v>
      </c>
      <c r="AQ981" s="201">
        <v>26201.8</v>
      </c>
      <c r="AR981" s="199"/>
      <c r="AS981" s="313">
        <f t="shared" si="968"/>
        <v>26201.8</v>
      </c>
      <c r="AT981" s="155" t="s">
        <v>7314</v>
      </c>
      <c r="AU981" s="156">
        <f t="shared" si="971"/>
        <v>0</v>
      </c>
      <c r="AV981" s="156">
        <f t="shared" si="972"/>
        <v>0</v>
      </c>
      <c r="AW981" s="157"/>
      <c r="AX981" s="150">
        <v>1680.1999999999998</v>
      </c>
      <c r="AY981" s="150">
        <v>720</v>
      </c>
      <c r="AZ981" s="150">
        <f t="shared" si="970"/>
        <v>480</v>
      </c>
      <c r="BA981" s="313">
        <v>1200</v>
      </c>
      <c r="BB981" s="210"/>
      <c r="BC981" s="210"/>
      <c r="BD981" s="210"/>
      <c r="BE981" s="210"/>
      <c r="BF981" s="210"/>
      <c r="BG981" s="210"/>
      <c r="BH981" s="217"/>
      <c r="BI981" s="210"/>
      <c r="BJ981" s="210"/>
      <c r="BK981" s="210"/>
      <c r="BL981" s="210"/>
      <c r="BM981" s="208"/>
      <c r="BN981" s="160"/>
      <c r="BO981" s="161"/>
      <c r="BP981" s="161"/>
    </row>
    <row r="982" spans="1:68" ht="25.5">
      <c r="A982" s="210"/>
      <c r="B982" s="195" t="s">
        <v>7409</v>
      </c>
      <c r="C982" s="196" t="s">
        <v>7410</v>
      </c>
      <c r="D982" s="146" t="s">
        <v>4692</v>
      </c>
      <c r="E982" s="196" t="s">
        <v>7410</v>
      </c>
      <c r="F982" s="150">
        <v>0</v>
      </c>
      <c r="G982" s="209">
        <v>136657.25</v>
      </c>
      <c r="H982" s="209">
        <v>927044.70400000003</v>
      </c>
      <c r="I982" s="209">
        <v>1063701.9539999999</v>
      </c>
      <c r="J982" s="150">
        <v>0</v>
      </c>
      <c r="K982" s="150">
        <v>0</v>
      </c>
      <c r="L982" s="150">
        <f t="shared" si="978"/>
        <v>0</v>
      </c>
      <c r="M982" s="150">
        <v>730</v>
      </c>
      <c r="N982" s="150">
        <v>0</v>
      </c>
      <c r="O982" s="150">
        <v>730</v>
      </c>
      <c r="P982" s="150">
        <v>1290</v>
      </c>
      <c r="Q982" s="150">
        <v>0</v>
      </c>
      <c r="R982" s="313">
        <f t="shared" si="969"/>
        <v>1290</v>
      </c>
      <c r="S982" s="150">
        <f t="shared" si="977"/>
        <v>1720</v>
      </c>
      <c r="T982" s="150"/>
      <c r="U982" s="150">
        <v>1780</v>
      </c>
      <c r="V982" s="199">
        <v>0</v>
      </c>
      <c r="W982" s="313">
        <f t="shared" si="965"/>
        <v>1780</v>
      </c>
      <c r="X982" s="313">
        <v>1780</v>
      </c>
      <c r="Y982" s="313">
        <v>0</v>
      </c>
      <c r="Z982" s="313">
        <v>1780</v>
      </c>
      <c r="AA982" s="313">
        <f t="shared" si="973"/>
        <v>0</v>
      </c>
      <c r="AB982" s="150">
        <v>1780</v>
      </c>
      <c r="AC982" s="199">
        <v>0</v>
      </c>
      <c r="AD982" s="313">
        <f t="shared" si="966"/>
        <v>1780</v>
      </c>
      <c r="AE982" s="150">
        <v>1780</v>
      </c>
      <c r="AF982" s="169" t="s">
        <v>4680</v>
      </c>
      <c r="AG982" s="201">
        <v>1780</v>
      </c>
      <c r="AH982" s="199">
        <v>0</v>
      </c>
      <c r="AI982" s="313">
        <v>1780</v>
      </c>
      <c r="AJ982" s="169">
        <f t="shared" si="974"/>
        <v>0</v>
      </c>
      <c r="AK982" s="201">
        <v>1780</v>
      </c>
      <c r="AL982" s="199">
        <v>0</v>
      </c>
      <c r="AM982" s="313">
        <f t="shared" si="967"/>
        <v>1780</v>
      </c>
      <c r="AN982" s="153">
        <f t="shared" si="975"/>
        <v>0</v>
      </c>
      <c r="AO982" s="154">
        <f t="shared" si="976"/>
        <v>0</v>
      </c>
      <c r="AP982" s="313">
        <v>1780</v>
      </c>
      <c r="AQ982" s="201">
        <v>1780</v>
      </c>
      <c r="AR982" s="199">
        <v>0</v>
      </c>
      <c r="AS982" s="313">
        <f t="shared" si="968"/>
        <v>1780</v>
      </c>
      <c r="AT982" s="155"/>
      <c r="AU982" s="156">
        <f t="shared" si="971"/>
        <v>0</v>
      </c>
      <c r="AV982" s="156">
        <f t="shared" si="972"/>
        <v>0</v>
      </c>
      <c r="AW982" s="157"/>
      <c r="AX982" s="150">
        <v>1780</v>
      </c>
      <c r="AY982" s="150">
        <v>910</v>
      </c>
      <c r="AZ982" s="150">
        <f t="shared" si="970"/>
        <v>550</v>
      </c>
      <c r="BA982" s="313">
        <v>1460</v>
      </c>
      <c r="BB982" s="210"/>
      <c r="BC982" s="210"/>
      <c r="BD982" s="210"/>
      <c r="BE982" s="210"/>
      <c r="BF982" s="210"/>
      <c r="BG982" s="210"/>
      <c r="BH982" s="217"/>
      <c r="BI982" s="210"/>
      <c r="BJ982" s="210"/>
      <c r="BK982" s="210"/>
      <c r="BL982" s="210"/>
      <c r="BM982" s="208"/>
      <c r="BN982" s="160"/>
      <c r="BO982" s="161"/>
      <c r="BP982" s="161"/>
    </row>
    <row r="983" spans="1:68" ht="63.75">
      <c r="A983" s="206" t="s">
        <v>405</v>
      </c>
      <c r="B983" s="195" t="s">
        <v>7411</v>
      </c>
      <c r="C983" s="196" t="s">
        <v>7412</v>
      </c>
      <c r="D983" s="146" t="s">
        <v>4692</v>
      </c>
      <c r="E983" s="196" t="s">
        <v>7412</v>
      </c>
      <c r="F983" s="150">
        <v>1063702.25</v>
      </c>
      <c r="G983" s="150">
        <v>492965.81</v>
      </c>
      <c r="H983" s="150">
        <v>876397.84250000003</v>
      </c>
      <c r="I983" s="150">
        <v>1369363.6525000001</v>
      </c>
      <c r="J983" s="150">
        <v>37565.69</v>
      </c>
      <c r="K983" s="150">
        <v>0</v>
      </c>
      <c r="L983" s="150">
        <f t="shared" si="978"/>
        <v>37565.69</v>
      </c>
      <c r="M983" s="150">
        <v>74821.509999999995</v>
      </c>
      <c r="N983" s="150">
        <v>319560.74599686038</v>
      </c>
      <c r="O983" s="150">
        <v>394382.25599686039</v>
      </c>
      <c r="P983" s="150">
        <v>111331.46</v>
      </c>
      <c r="Q983" s="150">
        <v>806536</v>
      </c>
      <c r="R983" s="313">
        <f t="shared" si="969"/>
        <v>917867.46</v>
      </c>
      <c r="S983" s="150">
        <f t="shared" si="977"/>
        <v>1223823.28</v>
      </c>
      <c r="T983" s="150"/>
      <c r="U983" s="150">
        <v>143175.63</v>
      </c>
      <c r="V983" s="199">
        <v>700000</v>
      </c>
      <c r="W983" s="313">
        <f t="shared" si="965"/>
        <v>843175.63</v>
      </c>
      <c r="X983" s="313">
        <v>143175.63</v>
      </c>
      <c r="Y983" s="313">
        <v>700000</v>
      </c>
      <c r="Z983" s="313">
        <v>843175.63</v>
      </c>
      <c r="AA983" s="313">
        <f t="shared" si="973"/>
        <v>138367.01</v>
      </c>
      <c r="AB983" s="150">
        <v>143175.63</v>
      </c>
      <c r="AC983" s="199">
        <v>838367.01</v>
      </c>
      <c r="AD983" s="313">
        <f t="shared" si="966"/>
        <v>981542.64</v>
      </c>
      <c r="AE983" s="150">
        <v>981542.64</v>
      </c>
      <c r="AF983" s="169" t="s">
        <v>4680</v>
      </c>
      <c r="AG983" s="201">
        <v>143175.63</v>
      </c>
      <c r="AH983" s="199">
        <v>838367.01</v>
      </c>
      <c r="AI983" s="313">
        <v>981542.64</v>
      </c>
      <c r="AJ983" s="169">
        <f t="shared" si="974"/>
        <v>0</v>
      </c>
      <c r="AK983" s="201">
        <v>143175.63</v>
      </c>
      <c r="AL983" s="199">
        <v>838367.01</v>
      </c>
      <c r="AM983" s="313">
        <f t="shared" si="967"/>
        <v>981542.64</v>
      </c>
      <c r="AN983" s="153">
        <f t="shared" si="975"/>
        <v>0</v>
      </c>
      <c r="AO983" s="154">
        <f t="shared" si="976"/>
        <v>0</v>
      </c>
      <c r="AP983" s="313">
        <v>981542.64</v>
      </c>
      <c r="AQ983" s="201">
        <v>981542.64</v>
      </c>
      <c r="AR983" s="199"/>
      <c r="AS983" s="313">
        <f t="shared" si="968"/>
        <v>981542.64</v>
      </c>
      <c r="AT983" s="155"/>
      <c r="AU983" s="156">
        <f t="shared" si="971"/>
        <v>0</v>
      </c>
      <c r="AV983" s="156">
        <f t="shared" si="972"/>
        <v>138367.01</v>
      </c>
      <c r="AW983" s="157"/>
      <c r="AX983" s="150">
        <v>843175.63</v>
      </c>
      <c r="AY983" s="150">
        <v>87309.56</v>
      </c>
      <c r="AZ983" s="150">
        <f t="shared" si="970"/>
        <v>701454.95199372084</v>
      </c>
      <c r="BA983" s="313">
        <v>788764.51199372078</v>
      </c>
      <c r="BB983" s="202">
        <v>5</v>
      </c>
      <c r="BC983" s="202" t="s">
        <v>647</v>
      </c>
      <c r="BD983" s="202" t="s">
        <v>632</v>
      </c>
      <c r="BE983" s="202" t="s">
        <v>1332</v>
      </c>
      <c r="BF983" s="202" t="s">
        <v>1243</v>
      </c>
      <c r="BG983" s="203" t="s">
        <v>7413</v>
      </c>
      <c r="BH983" s="216">
        <f>AS983</f>
        <v>981542.64</v>
      </c>
      <c r="BI983" s="205"/>
      <c r="BJ983" s="206" t="s">
        <v>7310</v>
      </c>
      <c r="BK983" s="206" t="s">
        <v>405</v>
      </c>
      <c r="BL983" s="207" t="s">
        <v>7311</v>
      </c>
      <c r="BM983" s="208">
        <f>BH983</f>
        <v>981542.64</v>
      </c>
      <c r="BN983" s="160"/>
      <c r="BO983" s="161">
        <f t="shared" ref="BO983:BO1044" si="979">BM983-AS983</f>
        <v>0</v>
      </c>
      <c r="BP983" s="161"/>
    </row>
    <row r="984" spans="1:68" ht="76.5">
      <c r="A984" s="206" t="s">
        <v>405</v>
      </c>
      <c r="B984" s="195" t="s">
        <v>7414</v>
      </c>
      <c r="C984" s="196" t="s">
        <v>7415</v>
      </c>
      <c r="D984" s="146" t="s">
        <v>4692</v>
      </c>
      <c r="E984" s="196" t="s">
        <v>7415</v>
      </c>
      <c r="F984" s="150">
        <v>1369363.81</v>
      </c>
      <c r="G984" s="150">
        <v>0</v>
      </c>
      <c r="H984" s="150">
        <v>0</v>
      </c>
      <c r="I984" s="150">
        <v>0</v>
      </c>
      <c r="J984" s="150">
        <v>51044.69</v>
      </c>
      <c r="K984" s="150">
        <v>0</v>
      </c>
      <c r="L984" s="150">
        <f t="shared" si="978"/>
        <v>51044.69</v>
      </c>
      <c r="M984" s="150">
        <v>200030.26</v>
      </c>
      <c r="N984" s="150">
        <v>0</v>
      </c>
      <c r="O984" s="150">
        <v>200030.26</v>
      </c>
      <c r="P984" s="150">
        <v>339049.41</v>
      </c>
      <c r="Q984" s="150">
        <v>-339049.41</v>
      </c>
      <c r="R984" s="313">
        <f t="shared" si="969"/>
        <v>0</v>
      </c>
      <c r="S984" s="150">
        <f t="shared" si="977"/>
        <v>0</v>
      </c>
      <c r="T984" s="150"/>
      <c r="U984" s="150">
        <v>469896.71</v>
      </c>
      <c r="V984" s="199">
        <v>0</v>
      </c>
      <c r="W984" s="313">
        <f t="shared" si="965"/>
        <v>469896.71</v>
      </c>
      <c r="X984" s="313">
        <v>469896.71</v>
      </c>
      <c r="Y984" s="313">
        <v>0</v>
      </c>
      <c r="Z984" s="313">
        <v>469896.71</v>
      </c>
      <c r="AA984" s="313">
        <f t="shared" si="973"/>
        <v>0</v>
      </c>
      <c r="AB984" s="150">
        <v>469896.71</v>
      </c>
      <c r="AC984" s="199">
        <v>0</v>
      </c>
      <c r="AD984" s="313">
        <f t="shared" si="966"/>
        <v>469896.71</v>
      </c>
      <c r="AE984" s="150">
        <v>469896.71</v>
      </c>
      <c r="AF984" s="169" t="s">
        <v>4680</v>
      </c>
      <c r="AG984" s="201">
        <v>469896.71</v>
      </c>
      <c r="AH984" s="199">
        <v>0</v>
      </c>
      <c r="AI984" s="313">
        <v>469896.71</v>
      </c>
      <c r="AJ984" s="169">
        <f t="shared" si="974"/>
        <v>0</v>
      </c>
      <c r="AK984" s="201">
        <v>469896.71</v>
      </c>
      <c r="AL984" s="199">
        <v>0</v>
      </c>
      <c r="AM984" s="313">
        <f t="shared" si="967"/>
        <v>469896.71</v>
      </c>
      <c r="AN984" s="153">
        <f t="shared" si="975"/>
        <v>0</v>
      </c>
      <c r="AO984" s="154">
        <f t="shared" si="976"/>
        <v>0</v>
      </c>
      <c r="AP984" s="313">
        <v>469896.71</v>
      </c>
      <c r="AQ984" s="201">
        <v>469896.71</v>
      </c>
      <c r="AR984" s="199">
        <v>0</v>
      </c>
      <c r="AS984" s="313">
        <f t="shared" si="968"/>
        <v>469896.71</v>
      </c>
      <c r="AT984" s="155"/>
      <c r="AU984" s="156">
        <f t="shared" si="971"/>
        <v>0</v>
      </c>
      <c r="AV984" s="156">
        <f t="shared" si="972"/>
        <v>0</v>
      </c>
      <c r="AW984" s="157"/>
      <c r="AX984" s="150">
        <v>469896.71</v>
      </c>
      <c r="AY984" s="150">
        <v>248083.92</v>
      </c>
      <c r="AZ984" s="150">
        <f t="shared" si="970"/>
        <v>151976.6</v>
      </c>
      <c r="BA984" s="313">
        <v>400060.52</v>
      </c>
      <c r="BB984" s="202">
        <v>5</v>
      </c>
      <c r="BC984" s="202" t="s">
        <v>647</v>
      </c>
      <c r="BD984" s="202" t="s">
        <v>632</v>
      </c>
      <c r="BE984" s="202" t="s">
        <v>1332</v>
      </c>
      <c r="BF984" s="202" t="s">
        <v>1247</v>
      </c>
      <c r="BG984" s="203" t="s">
        <v>7416</v>
      </c>
      <c r="BH984" s="216">
        <f>SUM(AS984:AS985)</f>
        <v>469896.71</v>
      </c>
      <c r="BI984" s="205"/>
      <c r="BJ984" s="206" t="s">
        <v>7310</v>
      </c>
      <c r="BK984" s="206" t="s">
        <v>405</v>
      </c>
      <c r="BL984" s="207" t="s">
        <v>7311</v>
      </c>
      <c r="BM984" s="208">
        <f>BH984</f>
        <v>469896.71</v>
      </c>
      <c r="BN984" s="160"/>
      <c r="BO984" s="161">
        <f t="shared" si="979"/>
        <v>0</v>
      </c>
      <c r="BP984" s="161"/>
    </row>
    <row r="985" spans="1:68" ht="51">
      <c r="A985" s="210"/>
      <c r="B985" s="195" t="s">
        <v>7417</v>
      </c>
      <c r="C985" s="196" t="s">
        <v>7418</v>
      </c>
      <c r="D985" s="146" t="s">
        <v>4692</v>
      </c>
      <c r="E985" s="196" t="s">
        <v>7418</v>
      </c>
      <c r="F985" s="150">
        <v>0</v>
      </c>
      <c r="G985" s="209">
        <v>290003.56</v>
      </c>
      <c r="H985" s="209">
        <v>-290004</v>
      </c>
      <c r="I985" s="209">
        <v>-0.44000000000232831</v>
      </c>
      <c r="J985" s="150">
        <v>0</v>
      </c>
      <c r="K985" s="150">
        <v>0</v>
      </c>
      <c r="L985" s="150">
        <f t="shared" si="978"/>
        <v>0</v>
      </c>
      <c r="M985" s="150">
        <v>0</v>
      </c>
      <c r="N985" s="150">
        <v>0</v>
      </c>
      <c r="O985" s="150">
        <v>0</v>
      </c>
      <c r="P985" s="150">
        <v>0</v>
      </c>
      <c r="Q985" s="150">
        <v>0</v>
      </c>
      <c r="R985" s="313">
        <f t="shared" si="969"/>
        <v>0</v>
      </c>
      <c r="S985" s="150">
        <f t="shared" si="977"/>
        <v>0</v>
      </c>
      <c r="T985" s="150"/>
      <c r="U985" s="150">
        <v>0</v>
      </c>
      <c r="V985" s="199">
        <v>0</v>
      </c>
      <c r="W985" s="313">
        <f t="shared" si="965"/>
        <v>0</v>
      </c>
      <c r="X985" s="313">
        <v>0</v>
      </c>
      <c r="Y985" s="313">
        <v>0</v>
      </c>
      <c r="Z985" s="313">
        <v>0</v>
      </c>
      <c r="AA985" s="313">
        <f t="shared" si="973"/>
        <v>0</v>
      </c>
      <c r="AB985" s="150">
        <v>0</v>
      </c>
      <c r="AC985" s="199">
        <v>0</v>
      </c>
      <c r="AD985" s="313">
        <f t="shared" si="966"/>
        <v>0</v>
      </c>
      <c r="AE985" s="150">
        <v>0</v>
      </c>
      <c r="AF985" s="169" t="s">
        <v>4680</v>
      </c>
      <c r="AG985" s="201">
        <v>0</v>
      </c>
      <c r="AH985" s="199">
        <v>0</v>
      </c>
      <c r="AI985" s="313">
        <v>0</v>
      </c>
      <c r="AJ985" s="169">
        <f t="shared" si="974"/>
        <v>0</v>
      </c>
      <c r="AK985" s="201">
        <v>0</v>
      </c>
      <c r="AL985" s="199">
        <v>0</v>
      </c>
      <c r="AM985" s="313">
        <f t="shared" si="967"/>
        <v>0</v>
      </c>
      <c r="AN985" s="153">
        <f t="shared" si="975"/>
        <v>0</v>
      </c>
      <c r="AO985" s="154">
        <f t="shared" si="976"/>
        <v>0</v>
      </c>
      <c r="AP985" s="313">
        <v>0</v>
      </c>
      <c r="AQ985" s="201">
        <v>0</v>
      </c>
      <c r="AR985" s="199">
        <v>0</v>
      </c>
      <c r="AS985" s="313">
        <f t="shared" si="968"/>
        <v>0</v>
      </c>
      <c r="AT985" s="155"/>
      <c r="AU985" s="156">
        <f t="shared" si="971"/>
        <v>0</v>
      </c>
      <c r="AV985" s="156">
        <f t="shared" si="972"/>
        <v>0</v>
      </c>
      <c r="AW985" s="157"/>
      <c r="AX985" s="150">
        <v>0</v>
      </c>
      <c r="AY985" s="150">
        <v>0</v>
      </c>
      <c r="AZ985" s="150">
        <f t="shared" si="970"/>
        <v>0</v>
      </c>
      <c r="BA985" s="313">
        <v>0</v>
      </c>
      <c r="BB985" s="210"/>
      <c r="BC985" s="210"/>
      <c r="BD985" s="210"/>
      <c r="BE985" s="210"/>
      <c r="BF985" s="210"/>
      <c r="BG985" s="210"/>
      <c r="BH985" s="217"/>
      <c r="BI985" s="210"/>
      <c r="BJ985" s="210"/>
      <c r="BK985" s="210"/>
      <c r="BL985" s="210"/>
      <c r="BM985" s="208"/>
      <c r="BN985" s="160"/>
      <c r="BO985" s="161">
        <f t="shared" si="979"/>
        <v>0</v>
      </c>
      <c r="BP985" s="161"/>
    </row>
    <row r="986" spans="1:68" ht="76.5">
      <c r="A986" s="206" t="s">
        <v>405</v>
      </c>
      <c r="B986" s="195" t="s">
        <v>7419</v>
      </c>
      <c r="C986" s="196" t="s">
        <v>7420</v>
      </c>
      <c r="D986" s="146" t="s">
        <v>4692</v>
      </c>
      <c r="E986" s="196" t="s">
        <v>7420</v>
      </c>
      <c r="F986" s="150">
        <v>-0.44</v>
      </c>
      <c r="G986" s="150">
        <v>0</v>
      </c>
      <c r="H986" s="150">
        <v>0</v>
      </c>
      <c r="I986" s="150">
        <v>0</v>
      </c>
      <c r="J986" s="150">
        <v>28254.880000000001</v>
      </c>
      <c r="K986" s="150">
        <v>0</v>
      </c>
      <c r="L986" s="150">
        <f t="shared" si="978"/>
        <v>28254.880000000001</v>
      </c>
      <c r="M986" s="150">
        <v>135506.73000000001</v>
      </c>
      <c r="N986" s="150">
        <v>306495.54076530621</v>
      </c>
      <c r="O986" s="150">
        <v>442002.2707653062</v>
      </c>
      <c r="P986" s="150">
        <v>185301.65</v>
      </c>
      <c r="Q986" s="150">
        <v>731569.23946063244</v>
      </c>
      <c r="R986" s="313">
        <f t="shared" si="969"/>
        <v>916870.88946063246</v>
      </c>
      <c r="S986" s="150">
        <f t="shared" si="977"/>
        <v>1222494.5192808432</v>
      </c>
      <c r="T986" s="150"/>
      <c r="U986" s="150">
        <v>232391.28</v>
      </c>
      <c r="V986" s="199">
        <v>518673.33760545123</v>
      </c>
      <c r="W986" s="313">
        <f t="shared" si="965"/>
        <v>751064.61760545126</v>
      </c>
      <c r="X986" s="313">
        <v>232391.28</v>
      </c>
      <c r="Y986" s="313">
        <v>518673.33760545123</v>
      </c>
      <c r="Z986" s="313">
        <v>751064.61760545126</v>
      </c>
      <c r="AA986" s="313">
        <f t="shared" si="973"/>
        <v>54745.042394548771</v>
      </c>
      <c r="AB986" s="150">
        <v>232391.28</v>
      </c>
      <c r="AC986" s="199">
        <v>573418.38</v>
      </c>
      <c r="AD986" s="313">
        <f t="shared" si="966"/>
        <v>805809.66</v>
      </c>
      <c r="AE986" s="150">
        <v>805809.66</v>
      </c>
      <c r="AF986" s="169" t="s">
        <v>4680</v>
      </c>
      <c r="AG986" s="201">
        <v>232391.28</v>
      </c>
      <c r="AH986" s="199">
        <v>573418.38</v>
      </c>
      <c r="AI986" s="313">
        <v>805809.66</v>
      </c>
      <c r="AJ986" s="169">
        <f t="shared" si="974"/>
        <v>0</v>
      </c>
      <c r="AK986" s="201">
        <v>232391.28</v>
      </c>
      <c r="AL986" s="199">
        <v>573418.38</v>
      </c>
      <c r="AM986" s="313">
        <f t="shared" si="967"/>
        <v>805809.66</v>
      </c>
      <c r="AN986" s="153">
        <f t="shared" si="975"/>
        <v>0</v>
      </c>
      <c r="AO986" s="154">
        <f t="shared" si="976"/>
        <v>0</v>
      </c>
      <c r="AP986" s="313">
        <v>805809.66</v>
      </c>
      <c r="AQ986" s="201">
        <v>805809.66</v>
      </c>
      <c r="AR986" s="199"/>
      <c r="AS986" s="313">
        <f t="shared" si="968"/>
        <v>805809.66</v>
      </c>
      <c r="AT986" s="155"/>
      <c r="AU986" s="156">
        <f t="shared" si="971"/>
        <v>0</v>
      </c>
      <c r="AV986" s="156">
        <f t="shared" si="972"/>
        <v>54745.042394548771</v>
      </c>
      <c r="AW986" s="157"/>
      <c r="AX986" s="150">
        <v>751064.61760545126</v>
      </c>
      <c r="AY986" s="150">
        <v>152701.73000000001</v>
      </c>
      <c r="AZ986" s="150">
        <f t="shared" si="970"/>
        <v>731302.81153061241</v>
      </c>
      <c r="BA986" s="313">
        <v>884004.54153061239</v>
      </c>
      <c r="BB986" s="202">
        <v>5</v>
      </c>
      <c r="BC986" s="202" t="s">
        <v>647</v>
      </c>
      <c r="BD986" s="202" t="s">
        <v>632</v>
      </c>
      <c r="BE986" s="202" t="s">
        <v>1332</v>
      </c>
      <c r="BF986" s="202" t="s">
        <v>1253</v>
      </c>
      <c r="BG986" s="203" t="s">
        <v>7421</v>
      </c>
      <c r="BH986" s="216">
        <f>AS986</f>
        <v>805809.66</v>
      </c>
      <c r="BI986" s="205"/>
      <c r="BJ986" s="206" t="s">
        <v>7310</v>
      </c>
      <c r="BK986" s="206" t="s">
        <v>405</v>
      </c>
      <c r="BL986" s="207" t="s">
        <v>7311</v>
      </c>
      <c r="BM986" s="208">
        <f>BH986</f>
        <v>805809.66</v>
      </c>
      <c r="BN986" s="160"/>
      <c r="BO986" s="161">
        <f t="shared" si="979"/>
        <v>0</v>
      </c>
      <c r="BP986" s="161"/>
    </row>
    <row r="987" spans="1:68" ht="38.25">
      <c r="A987" s="206" t="s">
        <v>405</v>
      </c>
      <c r="B987" s="195" t="s">
        <v>7422</v>
      </c>
      <c r="C987" s="196" t="s">
        <v>7423</v>
      </c>
      <c r="D987" s="146" t="s">
        <v>4692</v>
      </c>
      <c r="E987" s="196" t="s">
        <v>7423</v>
      </c>
      <c r="F987" s="150">
        <v>0</v>
      </c>
      <c r="G987" s="209">
        <v>617185.01</v>
      </c>
      <c r="H987" s="209">
        <v>119199.882515</v>
      </c>
      <c r="I987" s="209">
        <v>736384.89251499996</v>
      </c>
      <c r="J987" s="150">
        <v>0</v>
      </c>
      <c r="K987" s="150">
        <v>0</v>
      </c>
      <c r="L987" s="150">
        <f t="shared" si="978"/>
        <v>0</v>
      </c>
      <c r="M987" s="150">
        <v>0</v>
      </c>
      <c r="N987" s="150">
        <v>0</v>
      </c>
      <c r="O987" s="150">
        <v>0</v>
      </c>
      <c r="P987" s="150">
        <v>0</v>
      </c>
      <c r="Q987" s="150">
        <v>0</v>
      </c>
      <c r="R987" s="313">
        <f t="shared" si="969"/>
        <v>0</v>
      </c>
      <c r="S987" s="150">
        <f t="shared" si="977"/>
        <v>0</v>
      </c>
      <c r="T987" s="150"/>
      <c r="U987" s="150">
        <v>0</v>
      </c>
      <c r="V987" s="199">
        <v>0</v>
      </c>
      <c r="W987" s="313">
        <f t="shared" si="965"/>
        <v>0</v>
      </c>
      <c r="X987" s="313">
        <v>0</v>
      </c>
      <c r="Y987" s="313">
        <v>0</v>
      </c>
      <c r="Z987" s="313">
        <v>0</v>
      </c>
      <c r="AA987" s="313">
        <f t="shared" si="973"/>
        <v>0</v>
      </c>
      <c r="AB987" s="150">
        <v>0</v>
      </c>
      <c r="AC987" s="199">
        <v>0</v>
      </c>
      <c r="AD987" s="313">
        <f t="shared" si="966"/>
        <v>0</v>
      </c>
      <c r="AE987" s="150">
        <v>0</v>
      </c>
      <c r="AF987" s="169" t="s">
        <v>4680</v>
      </c>
      <c r="AG987" s="201">
        <v>0</v>
      </c>
      <c r="AH987" s="199">
        <v>0</v>
      </c>
      <c r="AI987" s="313">
        <v>0</v>
      </c>
      <c r="AJ987" s="169">
        <f t="shared" si="974"/>
        <v>0</v>
      </c>
      <c r="AK987" s="201">
        <v>0</v>
      </c>
      <c r="AL987" s="199">
        <v>0</v>
      </c>
      <c r="AM987" s="313">
        <f t="shared" si="967"/>
        <v>0</v>
      </c>
      <c r="AN987" s="153">
        <f t="shared" si="975"/>
        <v>0</v>
      </c>
      <c r="AO987" s="154">
        <f t="shared" si="976"/>
        <v>0</v>
      </c>
      <c r="AP987" s="313">
        <v>0</v>
      </c>
      <c r="AQ987" s="201">
        <v>0</v>
      </c>
      <c r="AR987" s="199">
        <v>0</v>
      </c>
      <c r="AS987" s="313">
        <f t="shared" si="968"/>
        <v>0</v>
      </c>
      <c r="AT987" s="155"/>
      <c r="AU987" s="156">
        <f t="shared" si="971"/>
        <v>0</v>
      </c>
      <c r="AV987" s="156">
        <f t="shared" si="972"/>
        <v>0</v>
      </c>
      <c r="AW987" s="157"/>
      <c r="AX987" s="150">
        <v>0</v>
      </c>
      <c r="AY987" s="150">
        <v>0</v>
      </c>
      <c r="AZ987" s="150">
        <f t="shared" si="970"/>
        <v>0</v>
      </c>
      <c r="BA987" s="313">
        <v>0</v>
      </c>
      <c r="BB987" s="202">
        <v>5</v>
      </c>
      <c r="BC987" s="202" t="s">
        <v>647</v>
      </c>
      <c r="BD987" s="202" t="s">
        <v>632</v>
      </c>
      <c r="BE987" s="202" t="s">
        <v>1332</v>
      </c>
      <c r="BF987" s="202" t="s">
        <v>1257</v>
      </c>
      <c r="BG987" s="287" t="s">
        <v>7424</v>
      </c>
      <c r="BH987" s="283">
        <f>SUM(AS987:AS994)</f>
        <v>1089453.53</v>
      </c>
      <c r="BI987" s="205"/>
      <c r="BJ987" s="206" t="s">
        <v>7310</v>
      </c>
      <c r="BK987" s="206" t="s">
        <v>405</v>
      </c>
      <c r="BL987" s="207" t="s">
        <v>7311</v>
      </c>
      <c r="BM987" s="208">
        <f>BH987</f>
        <v>1089453.53</v>
      </c>
      <c r="BN987" s="160"/>
      <c r="BO987" s="161"/>
      <c r="BP987" s="161"/>
    </row>
    <row r="988" spans="1:68" ht="38.25">
      <c r="A988" s="210"/>
      <c r="B988" s="195" t="s">
        <v>7425</v>
      </c>
      <c r="C988" s="196" t="s">
        <v>7426</v>
      </c>
      <c r="D988" s="146" t="s">
        <v>4692</v>
      </c>
      <c r="E988" s="196" t="s">
        <v>7426</v>
      </c>
      <c r="F988" s="150">
        <v>747693.84</v>
      </c>
      <c r="G988" s="150">
        <v>0</v>
      </c>
      <c r="H988" s="150">
        <v>0</v>
      </c>
      <c r="I988" s="150">
        <v>0</v>
      </c>
      <c r="J988" s="150">
        <v>139617.31</v>
      </c>
      <c r="K988" s="150">
        <v>0</v>
      </c>
      <c r="L988" s="150">
        <f t="shared" si="978"/>
        <v>139617.31</v>
      </c>
      <c r="M988" s="150">
        <v>328380.37</v>
      </c>
      <c r="N988" s="150">
        <v>72945.938702142856</v>
      </c>
      <c r="O988" s="150">
        <v>401326.30870214285</v>
      </c>
      <c r="P988" s="150">
        <v>519691.96</v>
      </c>
      <c r="Q988" s="150">
        <v>93419.719411630504</v>
      </c>
      <c r="R988" s="313">
        <f t="shared" si="969"/>
        <v>613111.6794116305</v>
      </c>
      <c r="S988" s="150">
        <f t="shared" si="977"/>
        <v>817482.2392155074</v>
      </c>
      <c r="T988" s="150"/>
      <c r="U988" s="150">
        <v>548319.51011829998</v>
      </c>
      <c r="V988" s="199"/>
      <c r="W988" s="313">
        <f t="shared" si="965"/>
        <v>548319.51011829998</v>
      </c>
      <c r="X988" s="313">
        <v>548319.51011829998</v>
      </c>
      <c r="Y988" s="313"/>
      <c r="Z988" s="313">
        <v>548319.51011829998</v>
      </c>
      <c r="AA988" s="313">
        <f t="shared" si="973"/>
        <v>136897.21000000008</v>
      </c>
      <c r="AB988" s="150">
        <v>548319.51011829998</v>
      </c>
      <c r="AC988" s="199">
        <v>136897.21000000002</v>
      </c>
      <c r="AD988" s="313">
        <f t="shared" si="966"/>
        <v>685216.72011830006</v>
      </c>
      <c r="AE988" s="150">
        <v>685216.72011830006</v>
      </c>
      <c r="AF988" s="169" t="s">
        <v>4680</v>
      </c>
      <c r="AG988" s="201">
        <v>548319.51011829998</v>
      </c>
      <c r="AH988" s="199">
        <v>136897.21000000002</v>
      </c>
      <c r="AI988" s="313">
        <v>685216.72011830006</v>
      </c>
      <c r="AJ988" s="169">
        <f t="shared" si="974"/>
        <v>0</v>
      </c>
      <c r="AK988" s="201">
        <v>548319.51011829998</v>
      </c>
      <c r="AL988" s="199">
        <v>136897.21000000002</v>
      </c>
      <c r="AM988" s="313">
        <f t="shared" si="967"/>
        <v>685216.72011830006</v>
      </c>
      <c r="AN988" s="153">
        <f t="shared" si="975"/>
        <v>224756.68988169997</v>
      </c>
      <c r="AO988" s="154">
        <f t="shared" si="976"/>
        <v>224756.68988169997</v>
      </c>
      <c r="AP988" s="317">
        <v>685216.72011830006</v>
      </c>
      <c r="AQ988" s="201">
        <v>909973.41</v>
      </c>
      <c r="AR988" s="199"/>
      <c r="AS988" s="313">
        <f t="shared" si="968"/>
        <v>909973.41</v>
      </c>
      <c r="AT988" s="155" t="s">
        <v>7314</v>
      </c>
      <c r="AU988" s="156">
        <f t="shared" si="971"/>
        <v>0</v>
      </c>
      <c r="AV988" s="156">
        <f t="shared" si="972"/>
        <v>136897.21000000008</v>
      </c>
      <c r="AW988" s="157"/>
      <c r="AX988" s="150">
        <v>548319.51011829998</v>
      </c>
      <c r="AY988" s="150">
        <v>399968.62</v>
      </c>
      <c r="AZ988" s="150">
        <f t="shared" si="970"/>
        <v>402683.99740428571</v>
      </c>
      <c r="BA988" s="313">
        <v>802652.6174042857</v>
      </c>
      <c r="BB988" s="210"/>
      <c r="BC988" s="210"/>
      <c r="BD988" s="210"/>
      <c r="BE988" s="210"/>
      <c r="BF988" s="210"/>
      <c r="BG988" s="210"/>
      <c r="BH988" s="217"/>
      <c r="BI988" s="210"/>
      <c r="BJ988" s="210"/>
      <c r="BK988" s="210"/>
      <c r="BL988" s="210"/>
      <c r="BM988" s="208"/>
      <c r="BN988" s="160"/>
      <c r="BO988" s="161"/>
      <c r="BP988" s="161"/>
    </row>
    <row r="989" spans="1:68" ht="38.25">
      <c r="A989" s="210"/>
      <c r="B989" s="195" t="s">
        <v>7427</v>
      </c>
      <c r="C989" s="196" t="s">
        <v>7428</v>
      </c>
      <c r="D989" s="146" t="s">
        <v>4692</v>
      </c>
      <c r="E989" s="196" t="s">
        <v>7428</v>
      </c>
      <c r="F989" s="150">
        <v>0</v>
      </c>
      <c r="G989" s="209">
        <v>0</v>
      </c>
      <c r="H989" s="209">
        <v>0</v>
      </c>
      <c r="I989" s="209">
        <v>0</v>
      </c>
      <c r="J989" s="150">
        <v>0</v>
      </c>
      <c r="K989" s="150">
        <v>0</v>
      </c>
      <c r="L989" s="150">
        <f t="shared" si="978"/>
        <v>0</v>
      </c>
      <c r="M989" s="150">
        <v>0</v>
      </c>
      <c r="N989" s="150">
        <v>0</v>
      </c>
      <c r="O989" s="150">
        <v>0</v>
      </c>
      <c r="P989" s="150">
        <v>0</v>
      </c>
      <c r="Q989" s="150">
        <v>0</v>
      </c>
      <c r="R989" s="313">
        <f t="shared" si="969"/>
        <v>0</v>
      </c>
      <c r="S989" s="150">
        <f t="shared" si="977"/>
        <v>0</v>
      </c>
      <c r="T989" s="150"/>
      <c r="U989" s="150">
        <v>0</v>
      </c>
      <c r="V989" s="199">
        <v>0</v>
      </c>
      <c r="W989" s="313">
        <f t="shared" si="965"/>
        <v>0</v>
      </c>
      <c r="X989" s="313">
        <v>0</v>
      </c>
      <c r="Y989" s="313">
        <v>0</v>
      </c>
      <c r="Z989" s="313">
        <v>0</v>
      </c>
      <c r="AA989" s="313">
        <f t="shared" si="973"/>
        <v>0</v>
      </c>
      <c r="AB989" s="150">
        <v>0</v>
      </c>
      <c r="AC989" s="199">
        <v>0</v>
      </c>
      <c r="AD989" s="313">
        <f t="shared" si="966"/>
        <v>0</v>
      </c>
      <c r="AE989" s="150">
        <v>0</v>
      </c>
      <c r="AF989" s="169" t="s">
        <v>4680</v>
      </c>
      <c r="AG989" s="201">
        <v>0</v>
      </c>
      <c r="AH989" s="199">
        <v>0</v>
      </c>
      <c r="AI989" s="313">
        <v>0</v>
      </c>
      <c r="AJ989" s="169">
        <f t="shared" si="974"/>
        <v>0</v>
      </c>
      <c r="AK989" s="201">
        <v>0</v>
      </c>
      <c r="AL989" s="199">
        <v>0</v>
      </c>
      <c r="AM989" s="313">
        <f t="shared" si="967"/>
        <v>0</v>
      </c>
      <c r="AN989" s="153">
        <f t="shared" si="975"/>
        <v>0</v>
      </c>
      <c r="AO989" s="154">
        <f t="shared" si="976"/>
        <v>0</v>
      </c>
      <c r="AP989" s="313">
        <v>0</v>
      </c>
      <c r="AQ989" s="201">
        <v>0</v>
      </c>
      <c r="AR989" s="199">
        <v>0</v>
      </c>
      <c r="AS989" s="313">
        <f t="shared" si="968"/>
        <v>0</v>
      </c>
      <c r="AT989" s="155"/>
      <c r="AU989" s="156">
        <f t="shared" si="971"/>
        <v>0</v>
      </c>
      <c r="AV989" s="156">
        <f t="shared" si="972"/>
        <v>0</v>
      </c>
      <c r="AW989" s="157"/>
      <c r="AX989" s="150">
        <v>0</v>
      </c>
      <c r="AY989" s="150">
        <v>0</v>
      </c>
      <c r="AZ989" s="150">
        <f t="shared" si="970"/>
        <v>0</v>
      </c>
      <c r="BA989" s="313">
        <v>0</v>
      </c>
      <c r="BB989" s="210"/>
      <c r="BC989" s="210"/>
      <c r="BD989" s="210"/>
      <c r="BE989" s="210"/>
      <c r="BF989" s="210"/>
      <c r="BG989" s="210"/>
      <c r="BH989" s="217"/>
      <c r="BI989" s="210"/>
      <c r="BJ989" s="210"/>
      <c r="BK989" s="210"/>
      <c r="BL989" s="210"/>
      <c r="BM989" s="208"/>
      <c r="BN989" s="160"/>
      <c r="BO989" s="161"/>
      <c r="BP989" s="161"/>
    </row>
    <row r="990" spans="1:68" ht="38.25">
      <c r="A990" s="210"/>
      <c r="B990" s="195" t="s">
        <v>7429</v>
      </c>
      <c r="C990" s="196" t="s">
        <v>7430</v>
      </c>
      <c r="D990" s="146" t="s">
        <v>4692</v>
      </c>
      <c r="E990" s="196" t="s">
        <v>7430</v>
      </c>
      <c r="F990" s="150">
        <v>0</v>
      </c>
      <c r="G990" s="209">
        <v>108326.9</v>
      </c>
      <c r="H990" s="209">
        <v>0</v>
      </c>
      <c r="I990" s="209">
        <v>108326.9</v>
      </c>
      <c r="J990" s="150">
        <v>0</v>
      </c>
      <c r="K990" s="150">
        <v>0</v>
      </c>
      <c r="L990" s="150">
        <f t="shared" si="978"/>
        <v>0</v>
      </c>
      <c r="M990" s="150">
        <v>0</v>
      </c>
      <c r="N990" s="150">
        <v>0</v>
      </c>
      <c r="O990" s="150">
        <v>0</v>
      </c>
      <c r="P990" s="150">
        <v>0</v>
      </c>
      <c r="Q990" s="150">
        <v>0</v>
      </c>
      <c r="R990" s="313">
        <f t="shared" si="969"/>
        <v>0</v>
      </c>
      <c r="S990" s="150">
        <f t="shared" si="977"/>
        <v>0</v>
      </c>
      <c r="T990" s="150"/>
      <c r="U990" s="150">
        <v>0</v>
      </c>
      <c r="V990" s="199">
        <v>0</v>
      </c>
      <c r="W990" s="313">
        <f t="shared" si="965"/>
        <v>0</v>
      </c>
      <c r="X990" s="313">
        <v>0</v>
      </c>
      <c r="Y990" s="313">
        <v>0</v>
      </c>
      <c r="Z990" s="313">
        <v>0</v>
      </c>
      <c r="AA990" s="313">
        <f t="shared" si="973"/>
        <v>0</v>
      </c>
      <c r="AB990" s="150">
        <v>0</v>
      </c>
      <c r="AC990" s="199">
        <v>0</v>
      </c>
      <c r="AD990" s="313">
        <f t="shared" si="966"/>
        <v>0</v>
      </c>
      <c r="AE990" s="150">
        <v>0</v>
      </c>
      <c r="AF990" s="169" t="s">
        <v>4680</v>
      </c>
      <c r="AG990" s="201">
        <v>0</v>
      </c>
      <c r="AH990" s="199">
        <v>0</v>
      </c>
      <c r="AI990" s="313">
        <v>0</v>
      </c>
      <c r="AJ990" s="169">
        <f t="shared" si="974"/>
        <v>0</v>
      </c>
      <c r="AK990" s="201">
        <v>0</v>
      </c>
      <c r="AL990" s="199">
        <v>0</v>
      </c>
      <c r="AM990" s="313">
        <f t="shared" si="967"/>
        <v>0</v>
      </c>
      <c r="AN990" s="153">
        <f t="shared" si="975"/>
        <v>0</v>
      </c>
      <c r="AO990" s="154">
        <f t="shared" si="976"/>
        <v>0</v>
      </c>
      <c r="AP990" s="313">
        <v>0</v>
      </c>
      <c r="AQ990" s="201">
        <v>0</v>
      </c>
      <c r="AR990" s="199">
        <v>0</v>
      </c>
      <c r="AS990" s="313">
        <f t="shared" si="968"/>
        <v>0</v>
      </c>
      <c r="AT990" s="155"/>
      <c r="AU990" s="156">
        <f t="shared" si="971"/>
        <v>0</v>
      </c>
      <c r="AV990" s="156">
        <f t="shared" si="972"/>
        <v>0</v>
      </c>
      <c r="AW990" s="157"/>
      <c r="AX990" s="150">
        <v>0</v>
      </c>
      <c r="AY990" s="150">
        <v>0</v>
      </c>
      <c r="AZ990" s="150">
        <f t="shared" si="970"/>
        <v>0</v>
      </c>
      <c r="BA990" s="313">
        <v>0</v>
      </c>
      <c r="BB990" s="210"/>
      <c r="BC990" s="210"/>
      <c r="BD990" s="210"/>
      <c r="BE990" s="210"/>
      <c r="BF990" s="210"/>
      <c r="BG990" s="210"/>
      <c r="BH990" s="217"/>
      <c r="BI990" s="210"/>
      <c r="BJ990" s="210"/>
      <c r="BK990" s="210"/>
      <c r="BL990" s="210"/>
      <c r="BM990" s="208"/>
      <c r="BN990" s="160"/>
      <c r="BO990" s="161"/>
      <c r="BP990" s="161"/>
    </row>
    <row r="991" spans="1:68" ht="51">
      <c r="A991" s="210"/>
      <c r="B991" s="195" t="s">
        <v>7431</v>
      </c>
      <c r="C991" s="196" t="s">
        <v>7432</v>
      </c>
      <c r="D991" s="146" t="s">
        <v>4692</v>
      </c>
      <c r="E991" s="196" t="s">
        <v>7432</v>
      </c>
      <c r="F991" s="150">
        <v>108326.9</v>
      </c>
      <c r="G991" s="209">
        <v>18.95</v>
      </c>
      <c r="H991" s="209">
        <v>0</v>
      </c>
      <c r="I991" s="209">
        <v>18.95</v>
      </c>
      <c r="J991" s="150">
        <v>27352.19</v>
      </c>
      <c r="K991" s="150">
        <v>0</v>
      </c>
      <c r="L991" s="150">
        <f t="shared" si="978"/>
        <v>27352.19</v>
      </c>
      <c r="M991" s="150">
        <v>54124.71</v>
      </c>
      <c r="N991" s="150">
        <v>0</v>
      </c>
      <c r="O991" s="150">
        <v>54124.71</v>
      </c>
      <c r="P991" s="150">
        <v>83802.55</v>
      </c>
      <c r="Q991" s="150">
        <v>0</v>
      </c>
      <c r="R991" s="313">
        <f t="shared" si="969"/>
        <v>83802.55</v>
      </c>
      <c r="S991" s="150">
        <f t="shared" si="977"/>
        <v>111736.73333333334</v>
      </c>
      <c r="T991" s="150"/>
      <c r="U991" s="150">
        <v>118424.71</v>
      </c>
      <c r="V991" s="199">
        <v>0</v>
      </c>
      <c r="W991" s="313">
        <f t="shared" si="965"/>
        <v>118424.71</v>
      </c>
      <c r="X991" s="313">
        <v>118424.71</v>
      </c>
      <c r="Y991" s="313">
        <v>0</v>
      </c>
      <c r="Z991" s="313">
        <v>118424.71</v>
      </c>
      <c r="AA991" s="313">
        <f t="shared" si="973"/>
        <v>0</v>
      </c>
      <c r="AB991" s="150">
        <v>118424.71</v>
      </c>
      <c r="AC991" s="199">
        <v>0</v>
      </c>
      <c r="AD991" s="313">
        <f t="shared" si="966"/>
        <v>118424.71</v>
      </c>
      <c r="AE991" s="150">
        <v>118424.71</v>
      </c>
      <c r="AF991" s="169" t="s">
        <v>4680</v>
      </c>
      <c r="AG991" s="201">
        <v>118424.71</v>
      </c>
      <c r="AH991" s="199">
        <v>0</v>
      </c>
      <c r="AI991" s="313">
        <v>118424.71</v>
      </c>
      <c r="AJ991" s="169">
        <f t="shared" si="974"/>
        <v>0</v>
      </c>
      <c r="AK991" s="201">
        <v>118424.71</v>
      </c>
      <c r="AL991" s="199">
        <v>0</v>
      </c>
      <c r="AM991" s="313">
        <f t="shared" si="967"/>
        <v>118424.71</v>
      </c>
      <c r="AN991" s="153">
        <f t="shared" si="975"/>
        <v>0</v>
      </c>
      <c r="AO991" s="154">
        <f t="shared" si="976"/>
        <v>0</v>
      </c>
      <c r="AP991" s="313">
        <v>118424.71</v>
      </c>
      <c r="AQ991" s="201">
        <v>118424.71</v>
      </c>
      <c r="AR991" s="199">
        <v>0</v>
      </c>
      <c r="AS991" s="313">
        <f t="shared" si="968"/>
        <v>118424.71</v>
      </c>
      <c r="AT991" s="155"/>
      <c r="AU991" s="156">
        <f t="shared" si="971"/>
        <v>0</v>
      </c>
      <c r="AV991" s="156">
        <f t="shared" si="972"/>
        <v>0</v>
      </c>
      <c r="AW991" s="157"/>
      <c r="AX991" s="150">
        <v>118424.71</v>
      </c>
      <c r="AY991" s="150">
        <v>65940.69</v>
      </c>
      <c r="AZ991" s="150">
        <f t="shared" si="970"/>
        <v>42308.729999999996</v>
      </c>
      <c r="BA991" s="313">
        <v>108249.42</v>
      </c>
      <c r="BB991" s="210"/>
      <c r="BC991" s="210"/>
      <c r="BD991" s="210"/>
      <c r="BE991" s="210"/>
      <c r="BF991" s="210"/>
      <c r="BG991" s="210"/>
      <c r="BH991" s="217"/>
      <c r="BI991" s="210"/>
      <c r="BJ991" s="210"/>
      <c r="BK991" s="210"/>
      <c r="BL991" s="210"/>
      <c r="BM991" s="208"/>
      <c r="BN991" s="160"/>
      <c r="BO991" s="161"/>
      <c r="BP991" s="161"/>
    </row>
    <row r="992" spans="1:68" ht="51">
      <c r="A992" s="210"/>
      <c r="B992" s="195" t="s">
        <v>7433</v>
      </c>
      <c r="C992" s="196" t="s">
        <v>7434</v>
      </c>
      <c r="D992" s="146" t="s">
        <v>4692</v>
      </c>
      <c r="E992" s="196" t="s">
        <v>7434</v>
      </c>
      <c r="F992" s="150">
        <v>18.95</v>
      </c>
      <c r="G992" s="209">
        <v>10390.469999999999</v>
      </c>
      <c r="H992" s="209">
        <v>4422.17</v>
      </c>
      <c r="I992" s="209">
        <v>14812.64</v>
      </c>
      <c r="J992" s="150">
        <v>3.07</v>
      </c>
      <c r="K992" s="150">
        <v>0</v>
      </c>
      <c r="L992" s="150">
        <f t="shared" si="978"/>
        <v>3.07</v>
      </c>
      <c r="M992" s="150">
        <v>7.93</v>
      </c>
      <c r="N992" s="150">
        <v>0</v>
      </c>
      <c r="O992" s="150">
        <v>7.93</v>
      </c>
      <c r="P992" s="150">
        <v>17.64</v>
      </c>
      <c r="Q992" s="150">
        <v>0</v>
      </c>
      <c r="R992" s="313">
        <f t="shared" si="969"/>
        <v>17.64</v>
      </c>
      <c r="S992" s="150">
        <f t="shared" si="977"/>
        <v>23.52</v>
      </c>
      <c r="T992" s="150"/>
      <c r="U992" s="150">
        <v>47.2</v>
      </c>
      <c r="V992" s="199">
        <v>0</v>
      </c>
      <c r="W992" s="313">
        <f t="shared" si="965"/>
        <v>47.2</v>
      </c>
      <c r="X992" s="313">
        <v>47.2</v>
      </c>
      <c r="Y992" s="313">
        <v>0</v>
      </c>
      <c r="Z992" s="313">
        <v>47.2</v>
      </c>
      <c r="AA992" s="313">
        <f t="shared" si="973"/>
        <v>0</v>
      </c>
      <c r="AB992" s="150">
        <v>47.2</v>
      </c>
      <c r="AC992" s="199">
        <v>0</v>
      </c>
      <c r="AD992" s="313">
        <f t="shared" si="966"/>
        <v>47.2</v>
      </c>
      <c r="AE992" s="150">
        <v>47.2</v>
      </c>
      <c r="AF992" s="169" t="s">
        <v>4680</v>
      </c>
      <c r="AG992" s="201">
        <v>47.2</v>
      </c>
      <c r="AH992" s="199">
        <v>0</v>
      </c>
      <c r="AI992" s="313">
        <v>47.2</v>
      </c>
      <c r="AJ992" s="169">
        <f t="shared" si="974"/>
        <v>0</v>
      </c>
      <c r="AK992" s="201">
        <v>47.2</v>
      </c>
      <c r="AL992" s="199">
        <v>0</v>
      </c>
      <c r="AM992" s="313">
        <f t="shared" si="967"/>
        <v>47.2</v>
      </c>
      <c r="AN992" s="153">
        <f t="shared" si="975"/>
        <v>0</v>
      </c>
      <c r="AO992" s="154">
        <f t="shared" si="976"/>
        <v>0</v>
      </c>
      <c r="AP992" s="313">
        <v>47.2</v>
      </c>
      <c r="AQ992" s="201">
        <v>47.2</v>
      </c>
      <c r="AR992" s="199">
        <v>0</v>
      </c>
      <c r="AS992" s="313">
        <f t="shared" si="968"/>
        <v>47.2</v>
      </c>
      <c r="AT992" s="155"/>
      <c r="AU992" s="156">
        <f t="shared" si="971"/>
        <v>0</v>
      </c>
      <c r="AV992" s="156">
        <f t="shared" si="972"/>
        <v>0</v>
      </c>
      <c r="AW992" s="157"/>
      <c r="AX992" s="150">
        <v>47.2</v>
      </c>
      <c r="AY992" s="150">
        <v>11.17</v>
      </c>
      <c r="AZ992" s="150">
        <f t="shared" si="970"/>
        <v>4.6899999999999995</v>
      </c>
      <c r="BA992" s="313">
        <v>15.86</v>
      </c>
      <c r="BB992" s="210"/>
      <c r="BC992" s="210"/>
      <c r="BD992" s="210"/>
      <c r="BE992" s="210"/>
      <c r="BF992" s="210"/>
      <c r="BG992" s="210"/>
      <c r="BH992" s="217"/>
      <c r="BI992" s="210"/>
      <c r="BJ992" s="210"/>
      <c r="BK992" s="210"/>
      <c r="BL992" s="210"/>
      <c r="BM992" s="208"/>
      <c r="BN992" s="160"/>
      <c r="BO992" s="161"/>
      <c r="BP992" s="161"/>
    </row>
    <row r="993" spans="1:68" ht="51">
      <c r="A993" s="210"/>
      <c r="B993" s="195" t="s">
        <v>7435</v>
      </c>
      <c r="C993" s="196" t="s">
        <v>7436</v>
      </c>
      <c r="D993" s="146" t="s">
        <v>4692</v>
      </c>
      <c r="E993" s="196" t="s">
        <v>7436</v>
      </c>
      <c r="F993" s="150">
        <v>14812.47</v>
      </c>
      <c r="G993" s="314">
        <v>52842.11</v>
      </c>
      <c r="H993" s="314">
        <v>14326.449999999997</v>
      </c>
      <c r="I993" s="314">
        <v>67168.56</v>
      </c>
      <c r="J993" s="150">
        <v>0</v>
      </c>
      <c r="K993" s="150">
        <v>0</v>
      </c>
      <c r="L993" s="150">
        <f t="shared" si="978"/>
        <v>0</v>
      </c>
      <c r="M993" s="150">
        <v>3806.5</v>
      </c>
      <c r="N993" s="150">
        <v>3599.7349999999997</v>
      </c>
      <c r="O993" s="150">
        <v>7406.2349999999997</v>
      </c>
      <c r="P993" s="150">
        <v>7566.23</v>
      </c>
      <c r="Q993" s="150">
        <v>0</v>
      </c>
      <c r="R993" s="313">
        <f t="shared" si="969"/>
        <v>7566.23</v>
      </c>
      <c r="S993" s="150">
        <f t="shared" si="977"/>
        <v>10088.306666666667</v>
      </c>
      <c r="T993" s="150"/>
      <c r="U993" s="150">
        <v>11532.91</v>
      </c>
      <c r="V993" s="199">
        <v>0</v>
      </c>
      <c r="W993" s="313">
        <f t="shared" si="965"/>
        <v>11532.91</v>
      </c>
      <c r="X993" s="313">
        <v>11532.91</v>
      </c>
      <c r="Y993" s="313">
        <v>0</v>
      </c>
      <c r="Z993" s="313">
        <v>11532.91</v>
      </c>
      <c r="AA993" s="313">
        <f t="shared" si="973"/>
        <v>0</v>
      </c>
      <c r="AB993" s="150">
        <v>11532.91</v>
      </c>
      <c r="AC993" s="199">
        <v>0</v>
      </c>
      <c r="AD993" s="313">
        <f t="shared" si="966"/>
        <v>11532.91</v>
      </c>
      <c r="AE993" s="150">
        <v>11532.91</v>
      </c>
      <c r="AF993" s="169" t="s">
        <v>4680</v>
      </c>
      <c r="AG993" s="201">
        <v>11532.91</v>
      </c>
      <c r="AH993" s="199">
        <v>0</v>
      </c>
      <c r="AI993" s="313">
        <v>11532.91</v>
      </c>
      <c r="AJ993" s="169">
        <f t="shared" si="974"/>
        <v>0</v>
      </c>
      <c r="AK993" s="201">
        <v>11532.91</v>
      </c>
      <c r="AL993" s="199">
        <v>0</v>
      </c>
      <c r="AM993" s="313">
        <f t="shared" si="967"/>
        <v>11532.91</v>
      </c>
      <c r="AN993" s="153">
        <f t="shared" si="975"/>
        <v>0</v>
      </c>
      <c r="AO993" s="154">
        <f t="shared" si="976"/>
        <v>0</v>
      </c>
      <c r="AP993" s="313">
        <v>11532.91</v>
      </c>
      <c r="AQ993" s="201">
        <v>11532.91</v>
      </c>
      <c r="AR993" s="199">
        <v>0</v>
      </c>
      <c r="AS993" s="313">
        <f t="shared" si="968"/>
        <v>11532.91</v>
      </c>
      <c r="AT993" s="155"/>
      <c r="AU993" s="156">
        <f t="shared" si="971"/>
        <v>0</v>
      </c>
      <c r="AV993" s="156">
        <f t="shared" si="972"/>
        <v>0</v>
      </c>
      <c r="AW993" s="157"/>
      <c r="AX993" s="150">
        <v>11532.91</v>
      </c>
      <c r="AY993" s="150">
        <v>5143.1400000000003</v>
      </c>
      <c r="AZ993" s="150">
        <f t="shared" si="970"/>
        <v>9669.3299999999981</v>
      </c>
      <c r="BA993" s="313">
        <v>14812.47</v>
      </c>
      <c r="BB993" s="210"/>
      <c r="BC993" s="210"/>
      <c r="BD993" s="210"/>
      <c r="BE993" s="210"/>
      <c r="BF993" s="210"/>
      <c r="BG993" s="210"/>
      <c r="BH993" s="217"/>
      <c r="BI993" s="210"/>
      <c r="BJ993" s="210"/>
      <c r="BK993" s="210"/>
      <c r="BL993" s="210"/>
      <c r="BM993" s="208"/>
      <c r="BN993" s="160"/>
      <c r="BO993" s="161"/>
      <c r="BP993" s="161"/>
    </row>
    <row r="994" spans="1:68" ht="38.25">
      <c r="A994" s="210"/>
      <c r="B994" s="195" t="s">
        <v>7437</v>
      </c>
      <c r="C994" s="196" t="s">
        <v>7438</v>
      </c>
      <c r="D994" s="146" t="s">
        <v>4692</v>
      </c>
      <c r="E994" s="196" t="s">
        <v>7438</v>
      </c>
      <c r="F994" s="150">
        <v>67168.11</v>
      </c>
      <c r="G994" s="314">
        <v>141771.31</v>
      </c>
      <c r="H994" s="314">
        <v>0</v>
      </c>
      <c r="I994" s="314">
        <v>141771.31</v>
      </c>
      <c r="J994" s="150">
        <v>0</v>
      </c>
      <c r="K994" s="150">
        <v>0</v>
      </c>
      <c r="L994" s="150">
        <f t="shared" si="978"/>
        <v>0</v>
      </c>
      <c r="M994" s="150">
        <v>16362.15</v>
      </c>
      <c r="N994" s="150">
        <v>17221.904999999999</v>
      </c>
      <c r="O994" s="150">
        <v>33584.055</v>
      </c>
      <c r="P994" s="150">
        <v>32517.05</v>
      </c>
      <c r="Q994" s="150">
        <v>0</v>
      </c>
      <c r="R994" s="313">
        <f t="shared" si="969"/>
        <v>32517.05</v>
      </c>
      <c r="S994" s="150">
        <f t="shared" si="977"/>
        <v>43356.066666666666</v>
      </c>
      <c r="T994" s="150"/>
      <c r="U994" s="150">
        <v>49475.3</v>
      </c>
      <c r="V994" s="199">
        <v>0</v>
      </c>
      <c r="W994" s="313">
        <f t="shared" si="965"/>
        <v>49475.3</v>
      </c>
      <c r="X994" s="313">
        <v>49475.3</v>
      </c>
      <c r="Y994" s="313">
        <v>0</v>
      </c>
      <c r="Z994" s="313">
        <v>49475.3</v>
      </c>
      <c r="AA994" s="313">
        <f t="shared" si="973"/>
        <v>0</v>
      </c>
      <c r="AB994" s="150">
        <v>49475.3</v>
      </c>
      <c r="AC994" s="199">
        <v>0</v>
      </c>
      <c r="AD994" s="313">
        <f t="shared" si="966"/>
        <v>49475.3</v>
      </c>
      <c r="AE994" s="150">
        <v>49475.3</v>
      </c>
      <c r="AF994" s="169" t="s">
        <v>4680</v>
      </c>
      <c r="AG994" s="201">
        <v>49475.3</v>
      </c>
      <c r="AH994" s="199">
        <v>0</v>
      </c>
      <c r="AI994" s="313">
        <v>49475.3</v>
      </c>
      <c r="AJ994" s="169">
        <f t="shared" si="974"/>
        <v>0</v>
      </c>
      <c r="AK994" s="201">
        <v>49475.3</v>
      </c>
      <c r="AL994" s="199">
        <v>0</v>
      </c>
      <c r="AM994" s="313">
        <f t="shared" si="967"/>
        <v>49475.3</v>
      </c>
      <c r="AN994" s="153">
        <f t="shared" si="975"/>
        <v>0</v>
      </c>
      <c r="AO994" s="154">
        <f t="shared" si="976"/>
        <v>0</v>
      </c>
      <c r="AP994" s="313">
        <v>49475.3</v>
      </c>
      <c r="AQ994" s="201">
        <v>49475.3</v>
      </c>
      <c r="AR994" s="199">
        <v>0</v>
      </c>
      <c r="AS994" s="313">
        <f t="shared" si="968"/>
        <v>49475.3</v>
      </c>
      <c r="AT994" s="155"/>
      <c r="AU994" s="156">
        <f t="shared" si="971"/>
        <v>0</v>
      </c>
      <c r="AV994" s="156">
        <f t="shared" si="972"/>
        <v>0</v>
      </c>
      <c r="AW994" s="157"/>
      <c r="AX994" s="150">
        <v>49475.3</v>
      </c>
      <c r="AY994" s="150">
        <v>22121.25</v>
      </c>
      <c r="AZ994" s="150">
        <f t="shared" si="970"/>
        <v>45046.86</v>
      </c>
      <c r="BA994" s="313">
        <v>67168.11</v>
      </c>
      <c r="BB994" s="210"/>
      <c r="BC994" s="210"/>
      <c r="BD994" s="210"/>
      <c r="BE994" s="210"/>
      <c r="BF994" s="210"/>
      <c r="BG994" s="210"/>
      <c r="BH994" s="217"/>
      <c r="BI994" s="210"/>
      <c r="BJ994" s="210"/>
      <c r="BK994" s="210"/>
      <c r="BL994" s="210"/>
      <c r="BM994" s="208"/>
      <c r="BN994" s="160"/>
      <c r="BO994" s="161"/>
      <c r="BP994" s="161"/>
    </row>
    <row r="995" spans="1:68" ht="38.25">
      <c r="A995" s="256" t="s">
        <v>7439</v>
      </c>
      <c r="B995" s="184"/>
      <c r="C995" s="185" t="s">
        <v>7440</v>
      </c>
      <c r="D995" s="146" t="s">
        <v>4692</v>
      </c>
      <c r="E995" s="185" t="s">
        <v>7440</v>
      </c>
      <c r="F995" s="188">
        <v>319207.82</v>
      </c>
      <c r="G995" s="187">
        <v>34668.660000000003</v>
      </c>
      <c r="H995" s="187"/>
      <c r="I995" s="187">
        <v>34668.660000000003</v>
      </c>
      <c r="J995" s="188">
        <f>SUM(J996:J1025)</f>
        <v>4800</v>
      </c>
      <c r="K995" s="188">
        <f>SUM(K996:K1025)</f>
        <v>0</v>
      </c>
      <c r="L995" s="188">
        <f t="shared" si="978"/>
        <v>4800</v>
      </c>
      <c r="M995" s="188">
        <v>13800</v>
      </c>
      <c r="N995" s="188">
        <v>18233.5</v>
      </c>
      <c r="O995" s="188">
        <v>32033.5</v>
      </c>
      <c r="P995" s="299">
        <f t="shared" ref="P995:AD995" si="980">SUM(P996:P1025)</f>
        <v>51838.51</v>
      </c>
      <c r="Q995" s="299">
        <f t="shared" si="980"/>
        <v>0</v>
      </c>
      <c r="R995" s="299">
        <f t="shared" si="980"/>
        <v>51838.51</v>
      </c>
      <c r="S995" s="150">
        <f t="shared" si="977"/>
        <v>69118.013333333336</v>
      </c>
      <c r="T995" s="213"/>
      <c r="U995" s="299">
        <f t="shared" ref="U995:W995" si="981">SUM(U996:U1025)</f>
        <v>213557.47999999998</v>
      </c>
      <c r="V995" s="226">
        <f t="shared" si="981"/>
        <v>23.42</v>
      </c>
      <c r="W995" s="299">
        <f t="shared" si="981"/>
        <v>213580.9</v>
      </c>
      <c r="X995" s="299">
        <v>213557.47999999998</v>
      </c>
      <c r="Y995" s="299">
        <v>23.42</v>
      </c>
      <c r="Z995" s="299">
        <v>213580.9</v>
      </c>
      <c r="AA995" s="299">
        <f t="shared" si="973"/>
        <v>1.9999999989522621E-2</v>
      </c>
      <c r="AB995" s="299">
        <v>213557.47999999998</v>
      </c>
      <c r="AC995" s="226">
        <v>23.440000000002328</v>
      </c>
      <c r="AD995" s="299">
        <f t="shared" si="980"/>
        <v>213580.91999999998</v>
      </c>
      <c r="AE995" s="299">
        <v>463538.22000000003</v>
      </c>
      <c r="AF995" s="169" t="s">
        <v>4680</v>
      </c>
      <c r="AG995" s="301">
        <v>463514.77999999997</v>
      </c>
      <c r="AH995" s="226">
        <v>23.440000000002328</v>
      </c>
      <c r="AI995" s="299">
        <v>463538.22000000003</v>
      </c>
      <c r="AJ995" s="169">
        <f t="shared" si="974"/>
        <v>0</v>
      </c>
      <c r="AK995" s="301">
        <v>463514.77999999997</v>
      </c>
      <c r="AL995" s="226">
        <v>23.440000000002328</v>
      </c>
      <c r="AM995" s="299">
        <f t="shared" ref="AM995" si="982">SUM(AM996:AM1025)</f>
        <v>463538.22000000003</v>
      </c>
      <c r="AN995" s="153">
        <f t="shared" si="975"/>
        <v>3218.5599999999395</v>
      </c>
      <c r="AO995" s="154">
        <f t="shared" si="976"/>
        <v>-23.440000000060536</v>
      </c>
      <c r="AP995" s="299">
        <v>466780.22000000003</v>
      </c>
      <c r="AQ995" s="301">
        <v>466756.77999999997</v>
      </c>
      <c r="AR995" s="226">
        <f t="shared" ref="AR995:AS995" si="983">SUM(AR996:AR1025)</f>
        <v>0</v>
      </c>
      <c r="AS995" s="299">
        <f t="shared" si="983"/>
        <v>466756.77999999997</v>
      </c>
      <c r="AT995" s="155"/>
      <c r="AU995" s="156">
        <f t="shared" si="971"/>
        <v>249957.30000000005</v>
      </c>
      <c r="AV995" s="156">
        <f t="shared" si="972"/>
        <v>1.9999999989522621E-2</v>
      </c>
      <c r="AW995" s="157"/>
      <c r="AX995" s="150">
        <v>213580.9</v>
      </c>
      <c r="AY995" s="299">
        <f t="shared" ref="AY995:BA995" si="984">SUM(AY996:AY1025)</f>
        <v>34575.65</v>
      </c>
      <c r="AZ995" s="299">
        <f t="shared" si="984"/>
        <v>0</v>
      </c>
      <c r="BA995" s="299">
        <f t="shared" si="984"/>
        <v>34575.65</v>
      </c>
      <c r="BB995" s="192">
        <v>5</v>
      </c>
      <c r="BC995" s="256" t="s">
        <v>647</v>
      </c>
      <c r="BD995" s="256" t="s">
        <v>632</v>
      </c>
      <c r="BE995" s="256" t="s">
        <v>1838</v>
      </c>
      <c r="BF995" s="256" t="s">
        <v>630</v>
      </c>
      <c r="BG995" s="185" t="s">
        <v>7440</v>
      </c>
      <c r="BH995" s="215">
        <f>BH996+BH997+BH998+BH999+BH1023+BH1024+BH1025</f>
        <v>466756.77999999997</v>
      </c>
      <c r="BI995" s="192"/>
      <c r="BJ995" s="256" t="s">
        <v>7441</v>
      </c>
      <c r="BK995" s="256" t="s">
        <v>7439</v>
      </c>
      <c r="BL995" s="185" t="s">
        <v>7442</v>
      </c>
      <c r="BM995" s="215">
        <f>BM996+BM997+BM998+BM999+BM1023+BM1024+BM1025</f>
        <v>466756.77999999997</v>
      </c>
      <c r="BN995" s="160"/>
      <c r="BO995" s="161"/>
      <c r="BP995" s="161"/>
    </row>
    <row r="996" spans="1:68" ht="63.75">
      <c r="A996" s="261" t="s">
        <v>415</v>
      </c>
      <c r="B996" s="228" t="s">
        <v>7443</v>
      </c>
      <c r="C996" s="229" t="s">
        <v>7444</v>
      </c>
      <c r="D996" s="146" t="s">
        <v>4692</v>
      </c>
      <c r="E996" s="196" t="s">
        <v>7444</v>
      </c>
      <c r="F996" s="150">
        <v>36467</v>
      </c>
      <c r="G996" s="209">
        <v>0</v>
      </c>
      <c r="H996" s="209"/>
      <c r="I996" s="209">
        <v>0</v>
      </c>
      <c r="J996" s="150">
        <v>0</v>
      </c>
      <c r="K996" s="150">
        <v>0</v>
      </c>
      <c r="L996" s="150">
        <f t="shared" si="978"/>
        <v>0</v>
      </c>
      <c r="M996" s="150">
        <v>0</v>
      </c>
      <c r="N996" s="237">
        <v>18233.5</v>
      </c>
      <c r="O996" s="150">
        <v>18233.5</v>
      </c>
      <c r="P996" s="150">
        <v>0</v>
      </c>
      <c r="Q996" s="150">
        <v>0</v>
      </c>
      <c r="R996" s="150">
        <f>P996+Q996</f>
        <v>0</v>
      </c>
      <c r="S996" s="150">
        <f t="shared" si="977"/>
        <v>0</v>
      </c>
      <c r="T996" s="150"/>
      <c r="U996" s="150">
        <v>0</v>
      </c>
      <c r="V996" s="199"/>
      <c r="W996" s="150">
        <f t="shared" ref="W996:W1025" si="985">U996+V996</f>
        <v>0</v>
      </c>
      <c r="X996" s="150">
        <v>0</v>
      </c>
      <c r="Y996" s="150"/>
      <c r="Z996" s="150">
        <v>0</v>
      </c>
      <c r="AA996" s="150">
        <f t="shared" si="973"/>
        <v>0</v>
      </c>
      <c r="AB996" s="150">
        <v>0</v>
      </c>
      <c r="AC996" s="199"/>
      <c r="AD996" s="150">
        <f t="shared" ref="AD996:AD1025" si="986">AB996+AC996</f>
        <v>0</v>
      </c>
      <c r="AE996" s="150">
        <v>249957.3</v>
      </c>
      <c r="AF996" s="169" t="s">
        <v>4680</v>
      </c>
      <c r="AG996" s="201">
        <v>249957.3</v>
      </c>
      <c r="AH996" s="199"/>
      <c r="AI996" s="150">
        <v>249957.3</v>
      </c>
      <c r="AJ996" s="169">
        <f t="shared" si="974"/>
        <v>0</v>
      </c>
      <c r="AK996" s="201">
        <v>249957.3</v>
      </c>
      <c r="AL996" s="199"/>
      <c r="AM996" s="150">
        <f t="shared" ref="AM996:AM1025" si="987">AK996+AL996</f>
        <v>249957.3</v>
      </c>
      <c r="AN996" s="153">
        <f t="shared" si="975"/>
        <v>3242</v>
      </c>
      <c r="AO996" s="154">
        <f t="shared" si="976"/>
        <v>0</v>
      </c>
      <c r="AP996" s="150">
        <v>253199.3</v>
      </c>
      <c r="AQ996" s="201">
        <v>253199.3</v>
      </c>
      <c r="AR996" s="199"/>
      <c r="AS996" s="150">
        <f t="shared" ref="AS996:AS1025" si="988">AQ996+AR996</f>
        <v>253199.3</v>
      </c>
      <c r="AT996" s="155" t="s">
        <v>7445</v>
      </c>
      <c r="AU996" s="156">
        <f t="shared" si="971"/>
        <v>249957.3</v>
      </c>
      <c r="AV996" s="156">
        <f t="shared" si="972"/>
        <v>0</v>
      </c>
      <c r="AW996" s="157" t="s">
        <v>4796</v>
      </c>
      <c r="AX996" s="150">
        <v>0</v>
      </c>
      <c r="AY996" s="150">
        <v>0</v>
      </c>
      <c r="AZ996" s="237"/>
      <c r="BA996" s="150">
        <f t="shared" ref="BA996:BA1025" si="989">AY996+AZ996</f>
        <v>0</v>
      </c>
      <c r="BB996" s="202">
        <v>5</v>
      </c>
      <c r="BC996" s="202" t="s">
        <v>647</v>
      </c>
      <c r="BD996" s="202" t="s">
        <v>632</v>
      </c>
      <c r="BE996" s="202" t="s">
        <v>1838</v>
      </c>
      <c r="BF996" s="194" t="s">
        <v>632</v>
      </c>
      <c r="BG996" s="203" t="s">
        <v>416</v>
      </c>
      <c r="BH996" s="216">
        <f>AS996</f>
        <v>253199.3</v>
      </c>
      <c r="BI996" s="206" t="s">
        <v>1519</v>
      </c>
      <c r="BJ996" s="206" t="s">
        <v>7446</v>
      </c>
      <c r="BK996" s="206" t="s">
        <v>415</v>
      </c>
      <c r="BL996" s="207" t="s">
        <v>7447</v>
      </c>
      <c r="BM996" s="208">
        <f>BH996</f>
        <v>253199.3</v>
      </c>
      <c r="BN996" s="160"/>
      <c r="BO996" s="161">
        <f t="shared" si="979"/>
        <v>0</v>
      </c>
      <c r="BP996" s="161"/>
    </row>
    <row r="997" spans="1:68" ht="51">
      <c r="A997" s="206" t="s">
        <v>417</v>
      </c>
      <c r="B997" s="195" t="s">
        <v>7448</v>
      </c>
      <c r="C997" s="196" t="s">
        <v>7449</v>
      </c>
      <c r="D997" s="146" t="s">
        <v>4692</v>
      </c>
      <c r="E997" s="196" t="s">
        <v>7449</v>
      </c>
      <c r="F997" s="150">
        <v>0</v>
      </c>
      <c r="G997" s="209">
        <v>0</v>
      </c>
      <c r="H997" s="209"/>
      <c r="I997" s="209">
        <v>0</v>
      </c>
      <c r="J997" s="150">
        <v>0</v>
      </c>
      <c r="K997" s="150">
        <v>0</v>
      </c>
      <c r="L997" s="150">
        <f t="shared" si="978"/>
        <v>0</v>
      </c>
      <c r="M997" s="150">
        <v>0</v>
      </c>
      <c r="N997" s="150"/>
      <c r="O997" s="150">
        <v>0</v>
      </c>
      <c r="P997" s="150">
        <v>0</v>
      </c>
      <c r="Q997" s="150">
        <v>0</v>
      </c>
      <c r="R997" s="150">
        <f t="shared" ref="R997:R1025" si="990">P997+Q997</f>
        <v>0</v>
      </c>
      <c r="S997" s="150">
        <f t="shared" si="977"/>
        <v>0</v>
      </c>
      <c r="T997" s="150"/>
      <c r="U997" s="150">
        <v>0</v>
      </c>
      <c r="V997" s="199"/>
      <c r="W997" s="150">
        <f t="shared" si="985"/>
        <v>0</v>
      </c>
      <c r="X997" s="150">
        <v>0</v>
      </c>
      <c r="Y997" s="150"/>
      <c r="Z997" s="150">
        <v>0</v>
      </c>
      <c r="AA997" s="150">
        <f t="shared" si="973"/>
        <v>0</v>
      </c>
      <c r="AB997" s="150">
        <v>0</v>
      </c>
      <c r="AC997" s="199"/>
      <c r="AD997" s="150">
        <f t="shared" si="986"/>
        <v>0</v>
      </c>
      <c r="AE997" s="150">
        <v>0</v>
      </c>
      <c r="AF997" s="169" t="s">
        <v>4680</v>
      </c>
      <c r="AG997" s="201">
        <v>0</v>
      </c>
      <c r="AH997" s="199"/>
      <c r="AI997" s="150">
        <v>0</v>
      </c>
      <c r="AJ997" s="169">
        <f t="shared" si="974"/>
        <v>0</v>
      </c>
      <c r="AK997" s="201">
        <v>0</v>
      </c>
      <c r="AL997" s="199"/>
      <c r="AM997" s="150">
        <f t="shared" si="987"/>
        <v>0</v>
      </c>
      <c r="AN997" s="153">
        <f t="shared" si="975"/>
        <v>0</v>
      </c>
      <c r="AO997" s="154">
        <f t="shared" si="976"/>
        <v>0</v>
      </c>
      <c r="AP997" s="150">
        <v>0</v>
      </c>
      <c r="AQ997" s="201">
        <v>0</v>
      </c>
      <c r="AR997" s="199"/>
      <c r="AS997" s="150">
        <f t="shared" si="988"/>
        <v>0</v>
      </c>
      <c r="AT997" s="155"/>
      <c r="AU997" s="156">
        <f t="shared" si="971"/>
        <v>0</v>
      </c>
      <c r="AV997" s="156">
        <f t="shared" si="972"/>
        <v>0</v>
      </c>
      <c r="AW997" s="157"/>
      <c r="AX997" s="150">
        <v>0</v>
      </c>
      <c r="AY997" s="150">
        <v>0</v>
      </c>
      <c r="AZ997" s="150"/>
      <c r="BA997" s="150">
        <f t="shared" si="989"/>
        <v>0</v>
      </c>
      <c r="BB997" s="202">
        <v>5</v>
      </c>
      <c r="BC997" s="202" t="s">
        <v>647</v>
      </c>
      <c r="BD997" s="202" t="s">
        <v>632</v>
      </c>
      <c r="BE997" s="202" t="s">
        <v>1838</v>
      </c>
      <c r="BF997" s="194" t="s">
        <v>647</v>
      </c>
      <c r="BG997" s="203" t="s">
        <v>418</v>
      </c>
      <c r="BH997" s="216">
        <f>AS997</f>
        <v>0</v>
      </c>
      <c r="BI997" s="205"/>
      <c r="BJ997" s="206" t="s">
        <v>7450</v>
      </c>
      <c r="BK997" s="206" t="s">
        <v>417</v>
      </c>
      <c r="BL997" s="207" t="s">
        <v>7451</v>
      </c>
      <c r="BM997" s="208">
        <f>BH997</f>
        <v>0</v>
      </c>
      <c r="BN997" s="160"/>
      <c r="BO997" s="161">
        <f t="shared" si="979"/>
        <v>0</v>
      </c>
      <c r="BP997" s="161"/>
    </row>
    <row r="998" spans="1:68" ht="51">
      <c r="A998" s="206" t="s">
        <v>419</v>
      </c>
      <c r="B998" s="195" t="s">
        <v>7452</v>
      </c>
      <c r="C998" s="196" t="s">
        <v>7453</v>
      </c>
      <c r="D998" s="146" t="s">
        <v>4692</v>
      </c>
      <c r="E998" s="196" t="s">
        <v>7453</v>
      </c>
      <c r="F998" s="150">
        <v>0</v>
      </c>
      <c r="G998" s="209">
        <v>44004</v>
      </c>
      <c r="H998" s="209"/>
      <c r="I998" s="209">
        <v>44004</v>
      </c>
      <c r="J998" s="150">
        <v>0</v>
      </c>
      <c r="K998" s="150">
        <v>0</v>
      </c>
      <c r="L998" s="150">
        <f t="shared" si="978"/>
        <v>0</v>
      </c>
      <c r="M998" s="150">
        <v>0</v>
      </c>
      <c r="N998" s="150"/>
      <c r="O998" s="150">
        <v>0</v>
      </c>
      <c r="P998" s="150">
        <v>0</v>
      </c>
      <c r="Q998" s="150">
        <v>0</v>
      </c>
      <c r="R998" s="150">
        <f t="shared" si="990"/>
        <v>0</v>
      </c>
      <c r="S998" s="150">
        <f t="shared" si="977"/>
        <v>0</v>
      </c>
      <c r="T998" s="150"/>
      <c r="U998" s="150">
        <v>0</v>
      </c>
      <c r="V998" s="199"/>
      <c r="W998" s="150">
        <f t="shared" si="985"/>
        <v>0</v>
      </c>
      <c r="X998" s="150">
        <v>0</v>
      </c>
      <c r="Y998" s="150"/>
      <c r="Z998" s="150">
        <v>0</v>
      </c>
      <c r="AA998" s="150">
        <f t="shared" si="973"/>
        <v>0</v>
      </c>
      <c r="AB998" s="150">
        <v>0</v>
      </c>
      <c r="AC998" s="199"/>
      <c r="AD998" s="150">
        <f t="shared" si="986"/>
        <v>0</v>
      </c>
      <c r="AE998" s="150">
        <v>0</v>
      </c>
      <c r="AF998" s="169" t="s">
        <v>4680</v>
      </c>
      <c r="AG998" s="201">
        <v>0</v>
      </c>
      <c r="AH998" s="199"/>
      <c r="AI998" s="150">
        <v>0</v>
      </c>
      <c r="AJ998" s="169">
        <f t="shared" si="974"/>
        <v>0</v>
      </c>
      <c r="AK998" s="201">
        <v>0</v>
      </c>
      <c r="AL998" s="199"/>
      <c r="AM998" s="150">
        <f t="shared" si="987"/>
        <v>0</v>
      </c>
      <c r="AN998" s="153">
        <f t="shared" si="975"/>
        <v>0</v>
      </c>
      <c r="AO998" s="154">
        <f t="shared" si="976"/>
        <v>0</v>
      </c>
      <c r="AP998" s="150">
        <v>0</v>
      </c>
      <c r="AQ998" s="201">
        <v>0</v>
      </c>
      <c r="AR998" s="199"/>
      <c r="AS998" s="150">
        <f t="shared" si="988"/>
        <v>0</v>
      </c>
      <c r="AT998" s="155"/>
      <c r="AU998" s="156">
        <f t="shared" si="971"/>
        <v>0</v>
      </c>
      <c r="AV998" s="156">
        <f t="shared" si="972"/>
        <v>0</v>
      </c>
      <c r="AW998" s="157"/>
      <c r="AX998" s="150">
        <v>0</v>
      </c>
      <c r="AY998" s="150">
        <v>0</v>
      </c>
      <c r="AZ998" s="150"/>
      <c r="BA998" s="150">
        <f t="shared" si="989"/>
        <v>0</v>
      </c>
      <c r="BB998" s="202">
        <v>5</v>
      </c>
      <c r="BC998" s="202" t="s">
        <v>647</v>
      </c>
      <c r="BD998" s="202" t="s">
        <v>632</v>
      </c>
      <c r="BE998" s="202" t="s">
        <v>1838</v>
      </c>
      <c r="BF998" s="194" t="s">
        <v>671</v>
      </c>
      <c r="BG998" s="203" t="s">
        <v>420</v>
      </c>
      <c r="BH998" s="216">
        <f>AS998</f>
        <v>0</v>
      </c>
      <c r="BI998" s="205"/>
      <c r="BJ998" s="206" t="s">
        <v>7454</v>
      </c>
      <c r="BK998" s="206" t="s">
        <v>419</v>
      </c>
      <c r="BL998" s="207" t="s">
        <v>7455</v>
      </c>
      <c r="BM998" s="208">
        <f>BH998</f>
        <v>0</v>
      </c>
      <c r="BN998" s="160"/>
      <c r="BO998" s="161">
        <f t="shared" si="979"/>
        <v>0</v>
      </c>
      <c r="BP998" s="161"/>
    </row>
    <row r="999" spans="1:68" ht="51">
      <c r="A999" s="206" t="s">
        <v>421</v>
      </c>
      <c r="B999" s="195" t="s">
        <v>7456</v>
      </c>
      <c r="C999" s="196" t="s">
        <v>7457</v>
      </c>
      <c r="D999" s="146" t="s">
        <v>4692</v>
      </c>
      <c r="E999" s="196" t="s">
        <v>7457</v>
      </c>
      <c r="F999" s="150">
        <v>219642.17</v>
      </c>
      <c r="G999" s="209">
        <v>5788.65</v>
      </c>
      <c r="H999" s="209"/>
      <c r="I999" s="209">
        <v>5788.65</v>
      </c>
      <c r="J999" s="150">
        <v>0</v>
      </c>
      <c r="K999" s="150">
        <v>0</v>
      </c>
      <c r="L999" s="150">
        <f t="shared" si="978"/>
        <v>0</v>
      </c>
      <c r="M999" s="150">
        <v>0</v>
      </c>
      <c r="N999" s="150"/>
      <c r="O999" s="150">
        <v>0</v>
      </c>
      <c r="P999" s="150">
        <v>0</v>
      </c>
      <c r="Q999" s="150">
        <v>0</v>
      </c>
      <c r="R999" s="150">
        <f t="shared" si="990"/>
        <v>0</v>
      </c>
      <c r="S999" s="150">
        <f t="shared" si="977"/>
        <v>0</v>
      </c>
      <c r="T999" s="150"/>
      <c r="U999" s="150">
        <v>0</v>
      </c>
      <c r="V999" s="199"/>
      <c r="W999" s="150">
        <f t="shared" si="985"/>
        <v>0</v>
      </c>
      <c r="X999" s="150">
        <v>0</v>
      </c>
      <c r="Y999" s="150"/>
      <c r="Z999" s="150">
        <v>0</v>
      </c>
      <c r="AA999" s="150">
        <f t="shared" si="973"/>
        <v>0</v>
      </c>
      <c r="AB999" s="150">
        <v>0</v>
      </c>
      <c r="AC999" s="199"/>
      <c r="AD999" s="150">
        <f t="shared" si="986"/>
        <v>0</v>
      </c>
      <c r="AE999" s="150">
        <v>0</v>
      </c>
      <c r="AF999" s="169" t="s">
        <v>4680</v>
      </c>
      <c r="AG999" s="201">
        <v>0</v>
      </c>
      <c r="AH999" s="199"/>
      <c r="AI999" s="150">
        <v>0</v>
      </c>
      <c r="AJ999" s="169">
        <f t="shared" si="974"/>
        <v>0</v>
      </c>
      <c r="AK999" s="201">
        <v>0</v>
      </c>
      <c r="AL999" s="199"/>
      <c r="AM999" s="150">
        <f t="shared" si="987"/>
        <v>0</v>
      </c>
      <c r="AN999" s="153">
        <f t="shared" si="975"/>
        <v>0</v>
      </c>
      <c r="AO999" s="154">
        <f t="shared" si="976"/>
        <v>0</v>
      </c>
      <c r="AP999" s="150">
        <v>0</v>
      </c>
      <c r="AQ999" s="201">
        <v>0</v>
      </c>
      <c r="AR999" s="199"/>
      <c r="AS999" s="150">
        <f t="shared" si="988"/>
        <v>0</v>
      </c>
      <c r="AT999" s="155"/>
      <c r="AU999" s="156">
        <f t="shared" si="971"/>
        <v>0</v>
      </c>
      <c r="AV999" s="156">
        <f t="shared" si="972"/>
        <v>0</v>
      </c>
      <c r="AW999" s="157"/>
      <c r="AX999" s="150">
        <v>0</v>
      </c>
      <c r="AY999" s="150">
        <v>0</v>
      </c>
      <c r="AZ999" s="150"/>
      <c r="BA999" s="150">
        <f t="shared" si="989"/>
        <v>0</v>
      </c>
      <c r="BB999" s="202">
        <v>5</v>
      </c>
      <c r="BC999" s="202" t="s">
        <v>647</v>
      </c>
      <c r="BD999" s="202" t="s">
        <v>632</v>
      </c>
      <c r="BE999" s="202" t="s">
        <v>1838</v>
      </c>
      <c r="BF999" s="194" t="s">
        <v>693</v>
      </c>
      <c r="BG999" s="203" t="s">
        <v>7458</v>
      </c>
      <c r="BH999" s="216">
        <f>SUM(AS999:AS1022)</f>
        <v>213557.47999999998</v>
      </c>
      <c r="BI999" s="205"/>
      <c r="BJ999" s="206" t="s">
        <v>7459</v>
      </c>
      <c r="BK999" s="206" t="s">
        <v>421</v>
      </c>
      <c r="BL999" s="207" t="s">
        <v>7460</v>
      </c>
      <c r="BM999" s="208">
        <f>BH999</f>
        <v>213557.47999999998</v>
      </c>
      <c r="BN999" s="160"/>
      <c r="BO999" s="161"/>
      <c r="BP999" s="161"/>
    </row>
    <row r="1000" spans="1:68" ht="38.25">
      <c r="A1000" s="210"/>
      <c r="B1000" s="195" t="s">
        <v>7461</v>
      </c>
      <c r="C1000" s="196" t="s">
        <v>7462</v>
      </c>
      <c r="D1000" s="146" t="s">
        <v>4692</v>
      </c>
      <c r="E1000" s="196" t="s">
        <v>7462</v>
      </c>
      <c r="F1000" s="150">
        <v>5788.65</v>
      </c>
      <c r="G1000" s="209">
        <v>0</v>
      </c>
      <c r="H1000" s="209"/>
      <c r="I1000" s="209">
        <v>0</v>
      </c>
      <c r="J1000" s="150">
        <v>0</v>
      </c>
      <c r="K1000" s="150">
        <v>0</v>
      </c>
      <c r="L1000" s="150">
        <f t="shared" si="978"/>
        <v>0</v>
      </c>
      <c r="M1000" s="150">
        <v>0</v>
      </c>
      <c r="N1000" s="150"/>
      <c r="O1000" s="150">
        <v>0</v>
      </c>
      <c r="P1000" s="150">
        <v>4838.51</v>
      </c>
      <c r="Q1000" s="150">
        <v>0</v>
      </c>
      <c r="R1000" s="150">
        <f t="shared" si="990"/>
        <v>4838.51</v>
      </c>
      <c r="S1000" s="150">
        <f t="shared" si="977"/>
        <v>6451.3466666666673</v>
      </c>
      <c r="T1000" s="150"/>
      <c r="U1000" s="150">
        <v>118389.28</v>
      </c>
      <c r="V1000" s="199">
        <v>23.42</v>
      </c>
      <c r="W1000" s="150">
        <f t="shared" si="985"/>
        <v>118412.7</v>
      </c>
      <c r="X1000" s="150">
        <v>118389.28</v>
      </c>
      <c r="Y1000" s="150">
        <v>23.42</v>
      </c>
      <c r="Z1000" s="150">
        <v>118412.7</v>
      </c>
      <c r="AA1000" s="150">
        <f t="shared" si="973"/>
        <v>2.0000000004074536E-2</v>
      </c>
      <c r="AB1000" s="150">
        <v>118389.28</v>
      </c>
      <c r="AC1000" s="199">
        <v>23.440000000002328</v>
      </c>
      <c r="AD1000" s="150">
        <f t="shared" si="986"/>
        <v>118412.72</v>
      </c>
      <c r="AE1000" s="150">
        <v>118412.72</v>
      </c>
      <c r="AF1000" s="169" t="s">
        <v>4680</v>
      </c>
      <c r="AG1000" s="201">
        <v>118389.28</v>
      </c>
      <c r="AH1000" s="199">
        <v>23.440000000002328</v>
      </c>
      <c r="AI1000" s="150">
        <v>118412.72</v>
      </c>
      <c r="AJ1000" s="169">
        <f t="shared" si="974"/>
        <v>0</v>
      </c>
      <c r="AK1000" s="201">
        <v>118389.28</v>
      </c>
      <c r="AL1000" s="199">
        <v>23.440000000002328</v>
      </c>
      <c r="AM1000" s="150">
        <f t="shared" si="987"/>
        <v>118412.72</v>
      </c>
      <c r="AN1000" s="153">
        <f t="shared" si="975"/>
        <v>-23.440000000002328</v>
      </c>
      <c r="AO1000" s="154">
        <f t="shared" si="976"/>
        <v>-23.440000000002328</v>
      </c>
      <c r="AP1000" s="150">
        <v>118412.72</v>
      </c>
      <c r="AQ1000" s="201">
        <v>118389.28</v>
      </c>
      <c r="AR1000" s="199"/>
      <c r="AS1000" s="150">
        <f t="shared" si="988"/>
        <v>118389.28</v>
      </c>
      <c r="AT1000" s="155"/>
      <c r="AU1000" s="156">
        <f t="shared" si="971"/>
        <v>0</v>
      </c>
      <c r="AV1000" s="156">
        <f t="shared" si="972"/>
        <v>2.0000000004074536E-2</v>
      </c>
      <c r="AW1000" s="157"/>
      <c r="AX1000" s="150">
        <v>118412.7</v>
      </c>
      <c r="AY1000" s="150">
        <v>3775.65</v>
      </c>
      <c r="AZ1000" s="237"/>
      <c r="BA1000" s="150">
        <f t="shared" si="989"/>
        <v>3775.65</v>
      </c>
      <c r="BB1000" s="210"/>
      <c r="BC1000" s="210"/>
      <c r="BD1000" s="210"/>
      <c r="BE1000" s="210"/>
      <c r="BF1000" s="210"/>
      <c r="BG1000" s="210"/>
      <c r="BH1000" s="217"/>
      <c r="BI1000" s="210"/>
      <c r="BJ1000" s="210"/>
      <c r="BK1000" s="210"/>
      <c r="BL1000" s="210"/>
      <c r="BM1000" s="208"/>
      <c r="BN1000" s="160"/>
      <c r="BO1000" s="161"/>
      <c r="BP1000" s="161"/>
    </row>
    <row r="1001" spans="1:68" ht="38.25">
      <c r="A1001" s="210"/>
      <c r="B1001" s="195" t="s">
        <v>7463</v>
      </c>
      <c r="C1001" s="196" t="s">
        <v>7464</v>
      </c>
      <c r="D1001" s="146" t="s">
        <v>4692</v>
      </c>
      <c r="E1001" s="196" t="s">
        <v>7464</v>
      </c>
      <c r="F1001" s="150">
        <v>0</v>
      </c>
      <c r="G1001" s="209">
        <v>8960</v>
      </c>
      <c r="H1001" s="209"/>
      <c r="I1001" s="209">
        <v>8960</v>
      </c>
      <c r="J1001" s="150">
        <v>0</v>
      </c>
      <c r="K1001" s="150">
        <v>0</v>
      </c>
      <c r="L1001" s="150">
        <f t="shared" si="978"/>
        <v>0</v>
      </c>
      <c r="M1001" s="150">
        <v>0</v>
      </c>
      <c r="N1001" s="150"/>
      <c r="O1001" s="150">
        <v>0</v>
      </c>
      <c r="P1001" s="150">
        <v>0</v>
      </c>
      <c r="Q1001" s="150">
        <v>0</v>
      </c>
      <c r="R1001" s="150">
        <f t="shared" si="990"/>
        <v>0</v>
      </c>
      <c r="S1001" s="150">
        <f t="shared" si="977"/>
        <v>0</v>
      </c>
      <c r="T1001" s="150"/>
      <c r="U1001" s="150">
        <v>0</v>
      </c>
      <c r="V1001" s="199"/>
      <c r="W1001" s="150">
        <f t="shared" si="985"/>
        <v>0</v>
      </c>
      <c r="X1001" s="150">
        <v>0</v>
      </c>
      <c r="Y1001" s="150"/>
      <c r="Z1001" s="150">
        <v>0</v>
      </c>
      <c r="AA1001" s="150">
        <f t="shared" si="973"/>
        <v>0</v>
      </c>
      <c r="AB1001" s="150">
        <v>0</v>
      </c>
      <c r="AC1001" s="199"/>
      <c r="AD1001" s="150">
        <f t="shared" si="986"/>
        <v>0</v>
      </c>
      <c r="AE1001" s="150">
        <v>0</v>
      </c>
      <c r="AF1001" s="169" t="s">
        <v>4680</v>
      </c>
      <c r="AG1001" s="201">
        <v>0</v>
      </c>
      <c r="AH1001" s="199"/>
      <c r="AI1001" s="150">
        <v>0</v>
      </c>
      <c r="AJ1001" s="169">
        <f t="shared" si="974"/>
        <v>0</v>
      </c>
      <c r="AK1001" s="201">
        <v>0</v>
      </c>
      <c r="AL1001" s="199"/>
      <c r="AM1001" s="150">
        <f t="shared" si="987"/>
        <v>0</v>
      </c>
      <c r="AN1001" s="153">
        <f t="shared" si="975"/>
        <v>0</v>
      </c>
      <c r="AO1001" s="154">
        <f t="shared" si="976"/>
        <v>0</v>
      </c>
      <c r="AP1001" s="150">
        <v>0</v>
      </c>
      <c r="AQ1001" s="201">
        <v>0</v>
      </c>
      <c r="AR1001" s="199"/>
      <c r="AS1001" s="150">
        <f t="shared" si="988"/>
        <v>0</v>
      </c>
      <c r="AT1001" s="155"/>
      <c r="AU1001" s="156">
        <f t="shared" si="971"/>
        <v>0</v>
      </c>
      <c r="AV1001" s="156">
        <f t="shared" si="972"/>
        <v>0</v>
      </c>
      <c r="AW1001" s="157"/>
      <c r="AX1001" s="150">
        <v>0</v>
      </c>
      <c r="AY1001" s="150">
        <v>0</v>
      </c>
      <c r="AZ1001" s="150"/>
      <c r="BA1001" s="150">
        <f t="shared" si="989"/>
        <v>0</v>
      </c>
      <c r="BB1001" s="210"/>
      <c r="BC1001" s="210"/>
      <c r="BD1001" s="210"/>
      <c r="BE1001" s="210"/>
      <c r="BF1001" s="210"/>
      <c r="BG1001" s="210"/>
      <c r="BH1001" s="217"/>
      <c r="BI1001" s="210"/>
      <c r="BJ1001" s="210"/>
      <c r="BK1001" s="210"/>
      <c r="BL1001" s="210"/>
      <c r="BM1001" s="208"/>
      <c r="BN1001" s="160"/>
      <c r="BO1001" s="161"/>
      <c r="BP1001" s="161"/>
    </row>
    <row r="1002" spans="1:68" ht="38.25">
      <c r="A1002" s="210"/>
      <c r="B1002" s="195" t="s">
        <v>7465</v>
      </c>
      <c r="C1002" s="196" t="s">
        <v>7466</v>
      </c>
      <c r="D1002" s="146" t="s">
        <v>4692</v>
      </c>
      <c r="E1002" s="196" t="s">
        <v>7466</v>
      </c>
      <c r="F1002" s="150">
        <v>8960</v>
      </c>
      <c r="G1002" s="209">
        <v>600</v>
      </c>
      <c r="H1002" s="209"/>
      <c r="I1002" s="209">
        <v>600</v>
      </c>
      <c r="J1002" s="150">
        <v>0</v>
      </c>
      <c r="K1002" s="150">
        <v>0</v>
      </c>
      <c r="L1002" s="150">
        <f t="shared" si="978"/>
        <v>0</v>
      </c>
      <c r="M1002" s="150">
        <v>0</v>
      </c>
      <c r="N1002" s="150"/>
      <c r="O1002" s="150">
        <v>0</v>
      </c>
      <c r="P1002" s="150">
        <v>1700</v>
      </c>
      <c r="Q1002" s="150">
        <v>0</v>
      </c>
      <c r="R1002" s="150">
        <f t="shared" si="990"/>
        <v>1700</v>
      </c>
      <c r="S1002" s="150">
        <f t="shared" si="977"/>
        <v>2266.6666666666665</v>
      </c>
      <c r="T1002" s="150"/>
      <c r="U1002" s="150">
        <v>3368.2</v>
      </c>
      <c r="V1002" s="199"/>
      <c r="W1002" s="150">
        <f t="shared" si="985"/>
        <v>3368.2</v>
      </c>
      <c r="X1002" s="150">
        <v>3368.2</v>
      </c>
      <c r="Y1002" s="150"/>
      <c r="Z1002" s="150">
        <v>3368.2</v>
      </c>
      <c r="AA1002" s="150">
        <f t="shared" si="973"/>
        <v>0</v>
      </c>
      <c r="AB1002" s="150">
        <v>3368.2</v>
      </c>
      <c r="AC1002" s="199"/>
      <c r="AD1002" s="150">
        <f t="shared" si="986"/>
        <v>3368.2</v>
      </c>
      <c r="AE1002" s="150">
        <v>3368.2</v>
      </c>
      <c r="AF1002" s="169" t="s">
        <v>4680</v>
      </c>
      <c r="AG1002" s="201">
        <v>3368.2</v>
      </c>
      <c r="AH1002" s="199"/>
      <c r="AI1002" s="150">
        <v>3368.2</v>
      </c>
      <c r="AJ1002" s="169">
        <f t="shared" si="974"/>
        <v>0</v>
      </c>
      <c r="AK1002" s="201">
        <v>3368.2</v>
      </c>
      <c r="AL1002" s="199"/>
      <c r="AM1002" s="150">
        <f t="shared" si="987"/>
        <v>3368.2</v>
      </c>
      <c r="AN1002" s="153">
        <f t="shared" si="975"/>
        <v>0</v>
      </c>
      <c r="AO1002" s="154">
        <f t="shared" si="976"/>
        <v>0</v>
      </c>
      <c r="AP1002" s="150">
        <v>3368.2</v>
      </c>
      <c r="AQ1002" s="201">
        <v>3368.2</v>
      </c>
      <c r="AR1002" s="199"/>
      <c r="AS1002" s="150">
        <f t="shared" si="988"/>
        <v>3368.2</v>
      </c>
      <c r="AT1002" s="155"/>
      <c r="AU1002" s="156">
        <f t="shared" si="971"/>
        <v>0</v>
      </c>
      <c r="AV1002" s="156">
        <f t="shared" si="972"/>
        <v>0</v>
      </c>
      <c r="AW1002" s="157"/>
      <c r="AX1002" s="150">
        <v>3368.2</v>
      </c>
      <c r="AY1002" s="150">
        <v>1000</v>
      </c>
      <c r="AZ1002" s="237"/>
      <c r="BA1002" s="150">
        <f t="shared" si="989"/>
        <v>1000</v>
      </c>
      <c r="BB1002" s="210"/>
      <c r="BC1002" s="210"/>
      <c r="BD1002" s="210"/>
      <c r="BE1002" s="210"/>
      <c r="BF1002" s="210"/>
      <c r="BG1002" s="210"/>
      <c r="BH1002" s="217"/>
      <c r="BI1002" s="210"/>
      <c r="BJ1002" s="210"/>
      <c r="BK1002" s="210"/>
      <c r="BL1002" s="210"/>
      <c r="BM1002" s="208"/>
      <c r="BN1002" s="160"/>
      <c r="BO1002" s="161"/>
      <c r="BP1002" s="161"/>
    </row>
    <row r="1003" spans="1:68" ht="38.25">
      <c r="A1003" s="210"/>
      <c r="B1003" s="195" t="s">
        <v>7467</v>
      </c>
      <c r="C1003" s="196" t="s">
        <v>7468</v>
      </c>
      <c r="D1003" s="146" t="s">
        <v>4692</v>
      </c>
      <c r="E1003" s="196" t="s">
        <v>7468</v>
      </c>
      <c r="F1003" s="150">
        <v>600</v>
      </c>
      <c r="G1003" s="209">
        <v>0</v>
      </c>
      <c r="H1003" s="209"/>
      <c r="I1003" s="209">
        <v>0</v>
      </c>
      <c r="J1003" s="150">
        <v>600</v>
      </c>
      <c r="K1003" s="150">
        <v>0</v>
      </c>
      <c r="L1003" s="150">
        <f t="shared" si="978"/>
        <v>600</v>
      </c>
      <c r="M1003" s="150">
        <v>1800</v>
      </c>
      <c r="N1003" s="150"/>
      <c r="O1003" s="150">
        <v>1800</v>
      </c>
      <c r="P1003" s="150">
        <v>4300</v>
      </c>
      <c r="Q1003" s="150">
        <v>0</v>
      </c>
      <c r="R1003" s="150">
        <f t="shared" si="990"/>
        <v>4300</v>
      </c>
      <c r="S1003" s="150">
        <f t="shared" si="977"/>
        <v>5733.333333333333</v>
      </c>
      <c r="T1003" s="150"/>
      <c r="U1003" s="150">
        <v>5500</v>
      </c>
      <c r="V1003" s="199"/>
      <c r="W1003" s="150">
        <f t="shared" si="985"/>
        <v>5500</v>
      </c>
      <c r="X1003" s="150">
        <v>5500</v>
      </c>
      <c r="Y1003" s="150"/>
      <c r="Z1003" s="150">
        <v>5500</v>
      </c>
      <c r="AA1003" s="150">
        <f t="shared" si="973"/>
        <v>0</v>
      </c>
      <c r="AB1003" s="150">
        <v>5500</v>
      </c>
      <c r="AC1003" s="199"/>
      <c r="AD1003" s="150">
        <f t="shared" si="986"/>
        <v>5500</v>
      </c>
      <c r="AE1003" s="150">
        <v>5500</v>
      </c>
      <c r="AF1003" s="169" t="s">
        <v>4680</v>
      </c>
      <c r="AG1003" s="201">
        <v>5500</v>
      </c>
      <c r="AH1003" s="199"/>
      <c r="AI1003" s="150">
        <v>5500</v>
      </c>
      <c r="AJ1003" s="169">
        <f t="shared" si="974"/>
        <v>0</v>
      </c>
      <c r="AK1003" s="201">
        <v>5500</v>
      </c>
      <c r="AL1003" s="199"/>
      <c r="AM1003" s="150">
        <f t="shared" si="987"/>
        <v>5500</v>
      </c>
      <c r="AN1003" s="153">
        <f t="shared" si="975"/>
        <v>0</v>
      </c>
      <c r="AO1003" s="154">
        <f t="shared" si="976"/>
        <v>0</v>
      </c>
      <c r="AP1003" s="150">
        <v>5500</v>
      </c>
      <c r="AQ1003" s="201">
        <v>5500</v>
      </c>
      <c r="AR1003" s="199"/>
      <c r="AS1003" s="150">
        <f t="shared" si="988"/>
        <v>5500</v>
      </c>
      <c r="AT1003" s="155"/>
      <c r="AU1003" s="156">
        <f t="shared" si="971"/>
        <v>0</v>
      </c>
      <c r="AV1003" s="156">
        <f t="shared" si="972"/>
        <v>0</v>
      </c>
      <c r="AW1003" s="157"/>
      <c r="AX1003" s="150">
        <v>5500</v>
      </c>
      <c r="AY1003" s="150">
        <v>3300</v>
      </c>
      <c r="AZ1003" s="150"/>
      <c r="BA1003" s="150">
        <f t="shared" si="989"/>
        <v>3300</v>
      </c>
      <c r="BB1003" s="210"/>
      <c r="BC1003" s="210"/>
      <c r="BD1003" s="210"/>
      <c r="BE1003" s="210"/>
      <c r="BF1003" s="210"/>
      <c r="BG1003" s="210"/>
      <c r="BH1003" s="217"/>
      <c r="BI1003" s="210"/>
      <c r="BJ1003" s="210"/>
      <c r="BK1003" s="210"/>
      <c r="BL1003" s="210"/>
      <c r="BM1003" s="208"/>
      <c r="BN1003" s="160"/>
      <c r="BO1003" s="161"/>
      <c r="BP1003" s="161"/>
    </row>
    <row r="1004" spans="1:68" ht="38.25">
      <c r="A1004" s="210"/>
      <c r="B1004" s="195" t="s">
        <v>7469</v>
      </c>
      <c r="C1004" s="196" t="s">
        <v>7470</v>
      </c>
      <c r="D1004" s="146" t="s">
        <v>4692</v>
      </c>
      <c r="E1004" s="196" t="s">
        <v>7470</v>
      </c>
      <c r="F1004" s="150">
        <v>0</v>
      </c>
      <c r="G1004" s="209">
        <v>0</v>
      </c>
      <c r="H1004" s="209"/>
      <c r="I1004" s="209">
        <v>0</v>
      </c>
      <c r="J1004" s="150">
        <v>0</v>
      </c>
      <c r="K1004" s="150">
        <v>0</v>
      </c>
      <c r="L1004" s="150">
        <f t="shared" si="978"/>
        <v>0</v>
      </c>
      <c r="M1004" s="150">
        <v>0</v>
      </c>
      <c r="N1004" s="150"/>
      <c r="O1004" s="150">
        <v>0</v>
      </c>
      <c r="P1004" s="150">
        <v>0</v>
      </c>
      <c r="Q1004" s="150">
        <v>0</v>
      </c>
      <c r="R1004" s="150">
        <f t="shared" si="990"/>
        <v>0</v>
      </c>
      <c r="S1004" s="150">
        <f t="shared" si="977"/>
        <v>0</v>
      </c>
      <c r="T1004" s="150"/>
      <c r="U1004" s="150">
        <v>1500</v>
      </c>
      <c r="V1004" s="199"/>
      <c r="W1004" s="150">
        <f t="shared" si="985"/>
        <v>1500</v>
      </c>
      <c r="X1004" s="150">
        <v>1500</v>
      </c>
      <c r="Y1004" s="150"/>
      <c r="Z1004" s="150">
        <v>1500</v>
      </c>
      <c r="AA1004" s="150">
        <f t="shared" si="973"/>
        <v>0</v>
      </c>
      <c r="AB1004" s="150">
        <v>1500</v>
      </c>
      <c r="AC1004" s="199"/>
      <c r="AD1004" s="150">
        <f t="shared" si="986"/>
        <v>1500</v>
      </c>
      <c r="AE1004" s="150">
        <v>1500</v>
      </c>
      <c r="AF1004" s="169" t="s">
        <v>4680</v>
      </c>
      <c r="AG1004" s="201">
        <v>1500</v>
      </c>
      <c r="AH1004" s="199"/>
      <c r="AI1004" s="150">
        <v>1500</v>
      </c>
      <c r="AJ1004" s="169">
        <f t="shared" si="974"/>
        <v>0</v>
      </c>
      <c r="AK1004" s="201">
        <v>1500</v>
      </c>
      <c r="AL1004" s="199"/>
      <c r="AM1004" s="150">
        <f t="shared" si="987"/>
        <v>1500</v>
      </c>
      <c r="AN1004" s="153">
        <f t="shared" si="975"/>
        <v>0</v>
      </c>
      <c r="AO1004" s="154">
        <f t="shared" si="976"/>
        <v>0</v>
      </c>
      <c r="AP1004" s="150">
        <v>1500</v>
      </c>
      <c r="AQ1004" s="201">
        <v>1500</v>
      </c>
      <c r="AR1004" s="199"/>
      <c r="AS1004" s="150">
        <f t="shared" si="988"/>
        <v>1500</v>
      </c>
      <c r="AT1004" s="155"/>
      <c r="AU1004" s="156">
        <f t="shared" si="971"/>
        <v>0</v>
      </c>
      <c r="AV1004" s="156">
        <f t="shared" si="972"/>
        <v>0</v>
      </c>
      <c r="AW1004" s="157"/>
      <c r="AX1004" s="150">
        <v>1500</v>
      </c>
      <c r="AY1004" s="150">
        <v>0</v>
      </c>
      <c r="AZ1004" s="150"/>
      <c r="BA1004" s="150">
        <f t="shared" si="989"/>
        <v>0</v>
      </c>
      <c r="BB1004" s="210"/>
      <c r="BC1004" s="210"/>
      <c r="BD1004" s="210"/>
      <c r="BE1004" s="210"/>
      <c r="BF1004" s="210"/>
      <c r="BG1004" s="210"/>
      <c r="BH1004" s="217"/>
      <c r="BI1004" s="210"/>
      <c r="BJ1004" s="210"/>
      <c r="BK1004" s="210"/>
      <c r="BL1004" s="210"/>
      <c r="BM1004" s="208"/>
      <c r="BN1004" s="160"/>
      <c r="BO1004" s="161"/>
      <c r="BP1004" s="161"/>
    </row>
    <row r="1005" spans="1:68" ht="38.25">
      <c r="A1005" s="210"/>
      <c r="B1005" s="195" t="s">
        <v>7471</v>
      </c>
      <c r="C1005" s="196" t="s">
        <v>7472</v>
      </c>
      <c r="D1005" s="146" t="s">
        <v>4692</v>
      </c>
      <c r="E1005" s="196" t="s">
        <v>7472</v>
      </c>
      <c r="F1005" s="150">
        <v>0</v>
      </c>
      <c r="G1005" s="209">
        <v>2240</v>
      </c>
      <c r="H1005" s="209"/>
      <c r="I1005" s="209">
        <v>2240</v>
      </c>
      <c r="J1005" s="150">
        <v>0</v>
      </c>
      <c r="K1005" s="150">
        <v>0</v>
      </c>
      <c r="L1005" s="150">
        <f t="shared" si="978"/>
        <v>0</v>
      </c>
      <c r="M1005" s="150">
        <v>0</v>
      </c>
      <c r="N1005" s="150"/>
      <c r="O1005" s="150">
        <v>0</v>
      </c>
      <c r="P1005" s="150">
        <v>0</v>
      </c>
      <c r="Q1005" s="150">
        <v>0</v>
      </c>
      <c r="R1005" s="150">
        <f t="shared" si="990"/>
        <v>0</v>
      </c>
      <c r="S1005" s="150">
        <f t="shared" si="977"/>
        <v>0</v>
      </c>
      <c r="T1005" s="150"/>
      <c r="U1005" s="150">
        <v>900</v>
      </c>
      <c r="V1005" s="199"/>
      <c r="W1005" s="150">
        <f t="shared" si="985"/>
        <v>900</v>
      </c>
      <c r="X1005" s="150">
        <v>900</v>
      </c>
      <c r="Y1005" s="150"/>
      <c r="Z1005" s="150">
        <v>900</v>
      </c>
      <c r="AA1005" s="150">
        <f t="shared" si="973"/>
        <v>0</v>
      </c>
      <c r="AB1005" s="150">
        <v>900</v>
      </c>
      <c r="AC1005" s="199"/>
      <c r="AD1005" s="150">
        <f t="shared" si="986"/>
        <v>900</v>
      </c>
      <c r="AE1005" s="150">
        <v>900</v>
      </c>
      <c r="AF1005" s="169" t="s">
        <v>4680</v>
      </c>
      <c r="AG1005" s="201">
        <v>900</v>
      </c>
      <c r="AH1005" s="199"/>
      <c r="AI1005" s="150">
        <v>900</v>
      </c>
      <c r="AJ1005" s="169">
        <f t="shared" si="974"/>
        <v>0</v>
      </c>
      <c r="AK1005" s="201">
        <v>900</v>
      </c>
      <c r="AL1005" s="199"/>
      <c r="AM1005" s="150">
        <f t="shared" si="987"/>
        <v>900</v>
      </c>
      <c r="AN1005" s="153">
        <f t="shared" si="975"/>
        <v>0</v>
      </c>
      <c r="AO1005" s="154">
        <f t="shared" si="976"/>
        <v>0</v>
      </c>
      <c r="AP1005" s="150">
        <v>900</v>
      </c>
      <c r="AQ1005" s="201">
        <v>900</v>
      </c>
      <c r="AR1005" s="199"/>
      <c r="AS1005" s="150">
        <f t="shared" si="988"/>
        <v>900</v>
      </c>
      <c r="AT1005" s="155"/>
      <c r="AU1005" s="156">
        <f t="shared" si="971"/>
        <v>0</v>
      </c>
      <c r="AV1005" s="156">
        <f t="shared" si="972"/>
        <v>0</v>
      </c>
      <c r="AW1005" s="157"/>
      <c r="AX1005" s="150">
        <v>900</v>
      </c>
      <c r="AY1005" s="150">
        <v>0</v>
      </c>
      <c r="AZ1005" s="150"/>
      <c r="BA1005" s="150">
        <f t="shared" si="989"/>
        <v>0</v>
      </c>
      <c r="BB1005" s="210"/>
      <c r="BC1005" s="210"/>
      <c r="BD1005" s="210"/>
      <c r="BE1005" s="210"/>
      <c r="BF1005" s="210"/>
      <c r="BG1005" s="210"/>
      <c r="BH1005" s="217"/>
      <c r="BI1005" s="210"/>
      <c r="BJ1005" s="210"/>
      <c r="BK1005" s="210"/>
      <c r="BL1005" s="210"/>
      <c r="BM1005" s="208"/>
      <c r="BN1005" s="160"/>
      <c r="BO1005" s="161"/>
      <c r="BP1005" s="161"/>
    </row>
    <row r="1006" spans="1:68" ht="38.25">
      <c r="A1006" s="210"/>
      <c r="B1006" s="195" t="s">
        <v>7473</v>
      </c>
      <c r="C1006" s="196" t="s">
        <v>7474</v>
      </c>
      <c r="D1006" s="146" t="s">
        <v>4692</v>
      </c>
      <c r="E1006" s="196" t="s">
        <v>7474</v>
      </c>
      <c r="F1006" s="150">
        <v>2240</v>
      </c>
      <c r="G1006" s="209">
        <v>0</v>
      </c>
      <c r="H1006" s="209"/>
      <c r="I1006" s="209">
        <v>0</v>
      </c>
      <c r="J1006" s="150">
        <v>0</v>
      </c>
      <c r="K1006" s="150">
        <v>0</v>
      </c>
      <c r="L1006" s="150">
        <f t="shared" si="978"/>
        <v>0</v>
      </c>
      <c r="M1006" s="150">
        <v>0</v>
      </c>
      <c r="N1006" s="150"/>
      <c r="O1006" s="150">
        <v>0</v>
      </c>
      <c r="P1006" s="150">
        <v>0</v>
      </c>
      <c r="Q1006" s="150">
        <v>0</v>
      </c>
      <c r="R1006" s="150">
        <f t="shared" si="990"/>
        <v>0</v>
      </c>
      <c r="S1006" s="150">
        <f t="shared" si="977"/>
        <v>0</v>
      </c>
      <c r="T1006" s="150"/>
      <c r="U1006" s="150">
        <v>0</v>
      </c>
      <c r="V1006" s="199"/>
      <c r="W1006" s="150">
        <f t="shared" si="985"/>
        <v>0</v>
      </c>
      <c r="X1006" s="150">
        <v>0</v>
      </c>
      <c r="Y1006" s="150"/>
      <c r="Z1006" s="150">
        <v>0</v>
      </c>
      <c r="AA1006" s="150">
        <f t="shared" si="973"/>
        <v>0</v>
      </c>
      <c r="AB1006" s="150">
        <v>0</v>
      </c>
      <c r="AC1006" s="199"/>
      <c r="AD1006" s="150">
        <f t="shared" si="986"/>
        <v>0</v>
      </c>
      <c r="AE1006" s="150">
        <v>0</v>
      </c>
      <c r="AF1006" s="169" t="s">
        <v>4680</v>
      </c>
      <c r="AG1006" s="201">
        <v>0</v>
      </c>
      <c r="AH1006" s="199"/>
      <c r="AI1006" s="150">
        <v>0</v>
      </c>
      <c r="AJ1006" s="169">
        <f t="shared" si="974"/>
        <v>0</v>
      </c>
      <c r="AK1006" s="201">
        <v>0</v>
      </c>
      <c r="AL1006" s="199"/>
      <c r="AM1006" s="150">
        <f t="shared" si="987"/>
        <v>0</v>
      </c>
      <c r="AN1006" s="153">
        <f t="shared" si="975"/>
        <v>0</v>
      </c>
      <c r="AO1006" s="154">
        <f t="shared" si="976"/>
        <v>0</v>
      </c>
      <c r="AP1006" s="150">
        <v>0</v>
      </c>
      <c r="AQ1006" s="201">
        <v>0</v>
      </c>
      <c r="AR1006" s="199"/>
      <c r="AS1006" s="150">
        <f t="shared" si="988"/>
        <v>0</v>
      </c>
      <c r="AT1006" s="155"/>
      <c r="AU1006" s="156">
        <f t="shared" si="971"/>
        <v>0</v>
      </c>
      <c r="AV1006" s="156">
        <f t="shared" si="972"/>
        <v>0</v>
      </c>
      <c r="AW1006" s="157"/>
      <c r="AX1006" s="150">
        <v>0</v>
      </c>
      <c r="AY1006" s="150">
        <v>0</v>
      </c>
      <c r="AZ1006" s="150"/>
      <c r="BA1006" s="150">
        <f t="shared" si="989"/>
        <v>0</v>
      </c>
      <c r="BB1006" s="210"/>
      <c r="BC1006" s="210"/>
      <c r="BD1006" s="210"/>
      <c r="BE1006" s="210"/>
      <c r="BF1006" s="210"/>
      <c r="BG1006" s="210"/>
      <c r="BH1006" s="217"/>
      <c r="BI1006" s="210"/>
      <c r="BJ1006" s="210"/>
      <c r="BK1006" s="210"/>
      <c r="BL1006" s="210"/>
      <c r="BM1006" s="208"/>
      <c r="BN1006" s="160"/>
      <c r="BO1006" s="161"/>
      <c r="BP1006" s="161"/>
    </row>
    <row r="1007" spans="1:68" ht="38.25">
      <c r="A1007" s="210"/>
      <c r="B1007" s="195" t="s">
        <v>7475</v>
      </c>
      <c r="C1007" s="196" t="s">
        <v>7476</v>
      </c>
      <c r="D1007" s="146" t="s">
        <v>4692</v>
      </c>
      <c r="E1007" s="196" t="s">
        <v>7476</v>
      </c>
      <c r="F1007" s="150">
        <v>0</v>
      </c>
      <c r="G1007" s="209">
        <v>0</v>
      </c>
      <c r="H1007" s="209"/>
      <c r="I1007" s="209">
        <v>0</v>
      </c>
      <c r="J1007" s="150">
        <v>0</v>
      </c>
      <c r="K1007" s="150">
        <v>0</v>
      </c>
      <c r="L1007" s="150">
        <f t="shared" si="978"/>
        <v>0</v>
      </c>
      <c r="M1007" s="150">
        <v>0</v>
      </c>
      <c r="N1007" s="150"/>
      <c r="O1007" s="150">
        <v>0</v>
      </c>
      <c r="P1007" s="150">
        <v>0</v>
      </c>
      <c r="Q1007" s="150">
        <v>0</v>
      </c>
      <c r="R1007" s="150">
        <f t="shared" si="990"/>
        <v>0</v>
      </c>
      <c r="S1007" s="150">
        <f t="shared" si="977"/>
        <v>0</v>
      </c>
      <c r="T1007" s="150"/>
      <c r="U1007" s="150">
        <v>0</v>
      </c>
      <c r="V1007" s="199"/>
      <c r="W1007" s="150">
        <f t="shared" si="985"/>
        <v>0</v>
      </c>
      <c r="X1007" s="150">
        <v>0</v>
      </c>
      <c r="Y1007" s="150"/>
      <c r="Z1007" s="150">
        <v>0</v>
      </c>
      <c r="AA1007" s="150">
        <f t="shared" si="973"/>
        <v>0</v>
      </c>
      <c r="AB1007" s="150">
        <v>0</v>
      </c>
      <c r="AC1007" s="199"/>
      <c r="AD1007" s="150">
        <f t="shared" si="986"/>
        <v>0</v>
      </c>
      <c r="AE1007" s="150">
        <v>0</v>
      </c>
      <c r="AF1007" s="169" t="s">
        <v>4680</v>
      </c>
      <c r="AG1007" s="201">
        <v>0</v>
      </c>
      <c r="AH1007" s="199"/>
      <c r="AI1007" s="150">
        <v>0</v>
      </c>
      <c r="AJ1007" s="169">
        <f t="shared" si="974"/>
        <v>0</v>
      </c>
      <c r="AK1007" s="201">
        <v>0</v>
      </c>
      <c r="AL1007" s="199"/>
      <c r="AM1007" s="150">
        <f t="shared" si="987"/>
        <v>0</v>
      </c>
      <c r="AN1007" s="153">
        <f t="shared" si="975"/>
        <v>0</v>
      </c>
      <c r="AO1007" s="154">
        <f t="shared" si="976"/>
        <v>0</v>
      </c>
      <c r="AP1007" s="150">
        <v>0</v>
      </c>
      <c r="AQ1007" s="201">
        <v>0</v>
      </c>
      <c r="AR1007" s="199"/>
      <c r="AS1007" s="150">
        <f t="shared" si="988"/>
        <v>0</v>
      </c>
      <c r="AT1007" s="155"/>
      <c r="AU1007" s="156">
        <f t="shared" si="971"/>
        <v>0</v>
      </c>
      <c r="AV1007" s="156">
        <f t="shared" si="972"/>
        <v>0</v>
      </c>
      <c r="AW1007" s="157"/>
      <c r="AX1007" s="150">
        <v>0</v>
      </c>
      <c r="AY1007" s="150">
        <v>0</v>
      </c>
      <c r="AZ1007" s="150"/>
      <c r="BA1007" s="150">
        <f t="shared" si="989"/>
        <v>0</v>
      </c>
      <c r="BB1007" s="210"/>
      <c r="BC1007" s="210"/>
      <c r="BD1007" s="210"/>
      <c r="BE1007" s="210"/>
      <c r="BF1007" s="210"/>
      <c r="BG1007" s="210"/>
      <c r="BH1007" s="217"/>
      <c r="BI1007" s="210"/>
      <c r="BJ1007" s="210"/>
      <c r="BK1007" s="210"/>
      <c r="BL1007" s="210"/>
      <c r="BM1007" s="208"/>
      <c r="BN1007" s="160"/>
      <c r="BO1007" s="161"/>
      <c r="BP1007" s="161"/>
    </row>
    <row r="1008" spans="1:68" ht="38.25">
      <c r="A1008" s="210"/>
      <c r="B1008" s="195" t="s">
        <v>7477</v>
      </c>
      <c r="C1008" s="196" t="s">
        <v>7478</v>
      </c>
      <c r="D1008" s="146" t="s">
        <v>4692</v>
      </c>
      <c r="E1008" s="196" t="s">
        <v>7478</v>
      </c>
      <c r="F1008" s="150">
        <v>0</v>
      </c>
      <c r="G1008" s="209">
        <v>0</v>
      </c>
      <c r="H1008" s="209"/>
      <c r="I1008" s="209">
        <v>0</v>
      </c>
      <c r="J1008" s="150">
        <v>0</v>
      </c>
      <c r="K1008" s="150">
        <v>0</v>
      </c>
      <c r="L1008" s="150">
        <f t="shared" si="978"/>
        <v>0</v>
      </c>
      <c r="M1008" s="150">
        <v>0</v>
      </c>
      <c r="N1008" s="150"/>
      <c r="O1008" s="150">
        <v>0</v>
      </c>
      <c r="P1008" s="150">
        <v>0</v>
      </c>
      <c r="Q1008" s="150">
        <v>0</v>
      </c>
      <c r="R1008" s="150">
        <f t="shared" si="990"/>
        <v>0</v>
      </c>
      <c r="S1008" s="150">
        <f t="shared" si="977"/>
        <v>0</v>
      </c>
      <c r="T1008" s="150"/>
      <c r="U1008" s="150">
        <v>0</v>
      </c>
      <c r="V1008" s="199"/>
      <c r="W1008" s="150">
        <f t="shared" si="985"/>
        <v>0</v>
      </c>
      <c r="X1008" s="150">
        <v>0</v>
      </c>
      <c r="Y1008" s="150"/>
      <c r="Z1008" s="150">
        <v>0</v>
      </c>
      <c r="AA1008" s="150">
        <f t="shared" si="973"/>
        <v>0</v>
      </c>
      <c r="AB1008" s="150">
        <v>0</v>
      </c>
      <c r="AC1008" s="199"/>
      <c r="AD1008" s="150">
        <f t="shared" si="986"/>
        <v>0</v>
      </c>
      <c r="AE1008" s="150">
        <v>0</v>
      </c>
      <c r="AF1008" s="169" t="s">
        <v>4680</v>
      </c>
      <c r="AG1008" s="201">
        <v>0</v>
      </c>
      <c r="AH1008" s="199"/>
      <c r="AI1008" s="150">
        <v>0</v>
      </c>
      <c r="AJ1008" s="169">
        <f t="shared" si="974"/>
        <v>0</v>
      </c>
      <c r="AK1008" s="201">
        <v>0</v>
      </c>
      <c r="AL1008" s="199"/>
      <c r="AM1008" s="150">
        <f t="shared" si="987"/>
        <v>0</v>
      </c>
      <c r="AN1008" s="153">
        <f t="shared" si="975"/>
        <v>0</v>
      </c>
      <c r="AO1008" s="154">
        <f t="shared" si="976"/>
        <v>0</v>
      </c>
      <c r="AP1008" s="150">
        <v>0</v>
      </c>
      <c r="AQ1008" s="201">
        <v>0</v>
      </c>
      <c r="AR1008" s="199"/>
      <c r="AS1008" s="150">
        <f t="shared" si="988"/>
        <v>0</v>
      </c>
      <c r="AT1008" s="155"/>
      <c r="AU1008" s="156">
        <f t="shared" si="971"/>
        <v>0</v>
      </c>
      <c r="AV1008" s="156">
        <f t="shared" si="972"/>
        <v>0</v>
      </c>
      <c r="AW1008" s="157"/>
      <c r="AX1008" s="150">
        <v>0</v>
      </c>
      <c r="AY1008" s="150">
        <v>0</v>
      </c>
      <c r="AZ1008" s="150"/>
      <c r="BA1008" s="150">
        <f t="shared" si="989"/>
        <v>0</v>
      </c>
      <c r="BB1008" s="210"/>
      <c r="BC1008" s="210"/>
      <c r="BD1008" s="210"/>
      <c r="BE1008" s="210"/>
      <c r="BF1008" s="210"/>
      <c r="BG1008" s="210"/>
      <c r="BH1008" s="217"/>
      <c r="BI1008" s="210"/>
      <c r="BJ1008" s="210"/>
      <c r="BK1008" s="210"/>
      <c r="BL1008" s="210"/>
      <c r="BM1008" s="208"/>
      <c r="BN1008" s="160"/>
      <c r="BO1008" s="161"/>
      <c r="BP1008" s="161"/>
    </row>
    <row r="1009" spans="1:68" ht="38.25">
      <c r="A1009" s="210"/>
      <c r="B1009" s="195" t="s">
        <v>7479</v>
      </c>
      <c r="C1009" s="196" t="s">
        <v>7480</v>
      </c>
      <c r="D1009" s="146" t="s">
        <v>4692</v>
      </c>
      <c r="E1009" s="196" t="s">
        <v>7480</v>
      </c>
      <c r="F1009" s="150">
        <v>0</v>
      </c>
      <c r="G1009" s="209">
        <v>12700</v>
      </c>
      <c r="H1009" s="209"/>
      <c r="I1009" s="209">
        <v>12700</v>
      </c>
      <c r="J1009" s="150">
        <v>0</v>
      </c>
      <c r="K1009" s="150">
        <v>0</v>
      </c>
      <c r="L1009" s="150">
        <f t="shared" si="978"/>
        <v>0</v>
      </c>
      <c r="M1009" s="150">
        <v>0</v>
      </c>
      <c r="N1009" s="150"/>
      <c r="O1009" s="150">
        <v>0</v>
      </c>
      <c r="P1009" s="150">
        <v>0</v>
      </c>
      <c r="Q1009" s="150">
        <v>0</v>
      </c>
      <c r="R1009" s="150">
        <f t="shared" si="990"/>
        <v>0</v>
      </c>
      <c r="S1009" s="150">
        <f t="shared" si="977"/>
        <v>0</v>
      </c>
      <c r="T1009" s="150"/>
      <c r="U1009" s="150">
        <v>0</v>
      </c>
      <c r="V1009" s="199"/>
      <c r="W1009" s="150">
        <f t="shared" si="985"/>
        <v>0</v>
      </c>
      <c r="X1009" s="150">
        <v>0</v>
      </c>
      <c r="Y1009" s="150"/>
      <c r="Z1009" s="150">
        <v>0</v>
      </c>
      <c r="AA1009" s="150">
        <f t="shared" si="973"/>
        <v>0</v>
      </c>
      <c r="AB1009" s="150">
        <v>0</v>
      </c>
      <c r="AC1009" s="199"/>
      <c r="AD1009" s="150">
        <f t="shared" si="986"/>
        <v>0</v>
      </c>
      <c r="AE1009" s="150">
        <v>0</v>
      </c>
      <c r="AF1009" s="169" t="s">
        <v>4680</v>
      </c>
      <c r="AG1009" s="201">
        <v>0</v>
      </c>
      <c r="AH1009" s="199"/>
      <c r="AI1009" s="150">
        <v>0</v>
      </c>
      <c r="AJ1009" s="169">
        <f t="shared" si="974"/>
        <v>0</v>
      </c>
      <c r="AK1009" s="201">
        <v>0</v>
      </c>
      <c r="AL1009" s="199"/>
      <c r="AM1009" s="150">
        <f t="shared" si="987"/>
        <v>0</v>
      </c>
      <c r="AN1009" s="153">
        <f t="shared" si="975"/>
        <v>0</v>
      </c>
      <c r="AO1009" s="154">
        <f t="shared" si="976"/>
        <v>0</v>
      </c>
      <c r="AP1009" s="150">
        <v>0</v>
      </c>
      <c r="AQ1009" s="201">
        <v>0</v>
      </c>
      <c r="AR1009" s="199"/>
      <c r="AS1009" s="150">
        <f t="shared" si="988"/>
        <v>0</v>
      </c>
      <c r="AT1009" s="155"/>
      <c r="AU1009" s="156">
        <f t="shared" si="971"/>
        <v>0</v>
      </c>
      <c r="AV1009" s="156">
        <f t="shared" si="972"/>
        <v>0</v>
      </c>
      <c r="AW1009" s="157"/>
      <c r="AX1009" s="150">
        <v>0</v>
      </c>
      <c r="AY1009" s="150">
        <v>0</v>
      </c>
      <c r="AZ1009" s="150"/>
      <c r="BA1009" s="150">
        <f t="shared" si="989"/>
        <v>0</v>
      </c>
      <c r="BB1009" s="210"/>
      <c r="BC1009" s="210"/>
      <c r="BD1009" s="210"/>
      <c r="BE1009" s="210"/>
      <c r="BF1009" s="210"/>
      <c r="BG1009" s="210"/>
      <c r="BH1009" s="217"/>
      <c r="BI1009" s="210"/>
      <c r="BJ1009" s="210"/>
      <c r="BK1009" s="210"/>
      <c r="BL1009" s="210"/>
      <c r="BM1009" s="208"/>
      <c r="BN1009" s="160"/>
      <c r="BO1009" s="161"/>
      <c r="BP1009" s="161"/>
    </row>
    <row r="1010" spans="1:68" ht="38.25">
      <c r="A1010" s="210"/>
      <c r="B1010" s="195" t="s">
        <v>7481</v>
      </c>
      <c r="C1010" s="196" t="s">
        <v>7482</v>
      </c>
      <c r="D1010" s="146" t="s">
        <v>4692</v>
      </c>
      <c r="E1010" s="196" t="s">
        <v>7482</v>
      </c>
      <c r="F1010" s="150">
        <v>12700</v>
      </c>
      <c r="G1010" s="209">
        <v>14880</v>
      </c>
      <c r="H1010" s="209"/>
      <c r="I1010" s="209">
        <v>14880</v>
      </c>
      <c r="J1010" s="150">
        <v>1200</v>
      </c>
      <c r="K1010" s="150">
        <v>0</v>
      </c>
      <c r="L1010" s="150">
        <f t="shared" si="978"/>
        <v>1200</v>
      </c>
      <c r="M1010" s="150">
        <v>3600</v>
      </c>
      <c r="N1010" s="150"/>
      <c r="O1010" s="150">
        <v>3600</v>
      </c>
      <c r="P1010" s="150">
        <v>14100</v>
      </c>
      <c r="Q1010" s="150">
        <v>0</v>
      </c>
      <c r="R1010" s="150">
        <f t="shared" si="990"/>
        <v>14100</v>
      </c>
      <c r="S1010" s="150">
        <f t="shared" si="977"/>
        <v>18800</v>
      </c>
      <c r="T1010" s="150"/>
      <c r="U1010" s="150">
        <v>31800</v>
      </c>
      <c r="V1010" s="199"/>
      <c r="W1010" s="150">
        <f t="shared" si="985"/>
        <v>31800</v>
      </c>
      <c r="X1010" s="150">
        <v>31800</v>
      </c>
      <c r="Y1010" s="150"/>
      <c r="Z1010" s="150">
        <v>31800</v>
      </c>
      <c r="AA1010" s="150">
        <f t="shared" si="973"/>
        <v>0</v>
      </c>
      <c r="AB1010" s="150">
        <v>31800</v>
      </c>
      <c r="AC1010" s="199"/>
      <c r="AD1010" s="150">
        <f t="shared" si="986"/>
        <v>31800</v>
      </c>
      <c r="AE1010" s="150">
        <v>31800</v>
      </c>
      <c r="AF1010" s="169" t="s">
        <v>4680</v>
      </c>
      <c r="AG1010" s="201">
        <v>31800</v>
      </c>
      <c r="AH1010" s="199"/>
      <c r="AI1010" s="150">
        <v>31800</v>
      </c>
      <c r="AJ1010" s="169">
        <f t="shared" si="974"/>
        <v>0</v>
      </c>
      <c r="AK1010" s="201">
        <v>31800</v>
      </c>
      <c r="AL1010" s="199"/>
      <c r="AM1010" s="150">
        <f t="shared" si="987"/>
        <v>31800</v>
      </c>
      <c r="AN1010" s="153">
        <f t="shared" si="975"/>
        <v>0</v>
      </c>
      <c r="AO1010" s="154">
        <f t="shared" si="976"/>
        <v>0</v>
      </c>
      <c r="AP1010" s="150">
        <v>31800</v>
      </c>
      <c r="AQ1010" s="201">
        <v>31800</v>
      </c>
      <c r="AR1010" s="199"/>
      <c r="AS1010" s="150">
        <f t="shared" si="988"/>
        <v>31800</v>
      </c>
      <c r="AT1010" s="155"/>
      <c r="AU1010" s="156">
        <f t="shared" si="971"/>
        <v>0</v>
      </c>
      <c r="AV1010" s="156">
        <f t="shared" si="972"/>
        <v>0</v>
      </c>
      <c r="AW1010" s="157"/>
      <c r="AX1010" s="150">
        <v>31800</v>
      </c>
      <c r="AY1010" s="150">
        <v>8400</v>
      </c>
      <c r="AZ1010" s="237"/>
      <c r="BA1010" s="150">
        <f t="shared" si="989"/>
        <v>8400</v>
      </c>
      <c r="BB1010" s="210"/>
      <c r="BC1010" s="210"/>
      <c r="BD1010" s="210"/>
      <c r="BE1010" s="210"/>
      <c r="BF1010" s="210"/>
      <c r="BG1010" s="210"/>
      <c r="BH1010" s="217"/>
      <c r="BI1010" s="210"/>
      <c r="BJ1010" s="210"/>
      <c r="BK1010" s="210"/>
      <c r="BL1010" s="210"/>
      <c r="BM1010" s="208"/>
      <c r="BN1010" s="160"/>
      <c r="BO1010" s="161"/>
      <c r="BP1010" s="161"/>
    </row>
    <row r="1011" spans="1:68" ht="38.25">
      <c r="A1011" s="210"/>
      <c r="B1011" s="195" t="s">
        <v>7483</v>
      </c>
      <c r="C1011" s="196" t="s">
        <v>7484</v>
      </c>
      <c r="D1011" s="146" t="s">
        <v>4692</v>
      </c>
      <c r="E1011" s="196" t="s">
        <v>7484</v>
      </c>
      <c r="F1011" s="150">
        <v>14880</v>
      </c>
      <c r="G1011" s="209">
        <v>0</v>
      </c>
      <c r="H1011" s="209"/>
      <c r="I1011" s="209">
        <v>0</v>
      </c>
      <c r="J1011" s="150">
        <v>600</v>
      </c>
      <c r="K1011" s="150">
        <v>0</v>
      </c>
      <c r="L1011" s="150">
        <f t="shared" si="978"/>
        <v>600</v>
      </c>
      <c r="M1011" s="150">
        <v>1200</v>
      </c>
      <c r="N1011" s="150"/>
      <c r="O1011" s="150">
        <v>1200</v>
      </c>
      <c r="P1011" s="150">
        <v>9800</v>
      </c>
      <c r="Q1011" s="150">
        <v>0</v>
      </c>
      <c r="R1011" s="150">
        <f t="shared" si="990"/>
        <v>9800</v>
      </c>
      <c r="S1011" s="150">
        <f t="shared" si="977"/>
        <v>13066.666666666668</v>
      </c>
      <c r="T1011" s="150"/>
      <c r="U1011" s="150">
        <v>22600</v>
      </c>
      <c r="V1011" s="199"/>
      <c r="W1011" s="150">
        <f t="shared" si="985"/>
        <v>22600</v>
      </c>
      <c r="X1011" s="150">
        <v>22600</v>
      </c>
      <c r="Y1011" s="150"/>
      <c r="Z1011" s="150">
        <v>22600</v>
      </c>
      <c r="AA1011" s="150">
        <f t="shared" si="973"/>
        <v>0</v>
      </c>
      <c r="AB1011" s="150">
        <v>22600</v>
      </c>
      <c r="AC1011" s="199"/>
      <c r="AD1011" s="150">
        <f t="shared" si="986"/>
        <v>22600</v>
      </c>
      <c r="AE1011" s="150">
        <v>22600</v>
      </c>
      <c r="AF1011" s="169" t="s">
        <v>4680</v>
      </c>
      <c r="AG1011" s="201">
        <v>22600</v>
      </c>
      <c r="AH1011" s="199"/>
      <c r="AI1011" s="150">
        <v>22600</v>
      </c>
      <c r="AJ1011" s="169">
        <f t="shared" si="974"/>
        <v>0</v>
      </c>
      <c r="AK1011" s="201">
        <v>22600</v>
      </c>
      <c r="AL1011" s="199"/>
      <c r="AM1011" s="150">
        <f t="shared" si="987"/>
        <v>22600</v>
      </c>
      <c r="AN1011" s="153">
        <f t="shared" si="975"/>
        <v>0</v>
      </c>
      <c r="AO1011" s="154">
        <f t="shared" si="976"/>
        <v>0</v>
      </c>
      <c r="AP1011" s="150">
        <v>22600</v>
      </c>
      <c r="AQ1011" s="201">
        <v>22600</v>
      </c>
      <c r="AR1011" s="199"/>
      <c r="AS1011" s="150">
        <f t="shared" si="988"/>
        <v>22600</v>
      </c>
      <c r="AT1011" s="155"/>
      <c r="AU1011" s="156">
        <f t="shared" si="971"/>
        <v>0</v>
      </c>
      <c r="AV1011" s="156">
        <f t="shared" si="972"/>
        <v>0</v>
      </c>
      <c r="AW1011" s="157"/>
      <c r="AX1011" s="150">
        <v>22600</v>
      </c>
      <c r="AY1011" s="150">
        <v>6300</v>
      </c>
      <c r="AZ1011" s="237"/>
      <c r="BA1011" s="150">
        <f t="shared" si="989"/>
        <v>6300</v>
      </c>
      <c r="BB1011" s="210"/>
      <c r="BC1011" s="210"/>
      <c r="BD1011" s="210"/>
      <c r="BE1011" s="210"/>
      <c r="BF1011" s="210"/>
      <c r="BG1011" s="210"/>
      <c r="BH1011" s="217"/>
      <c r="BI1011" s="210"/>
      <c r="BJ1011" s="210"/>
      <c r="BK1011" s="210"/>
      <c r="BL1011" s="210"/>
      <c r="BM1011" s="208"/>
      <c r="BN1011" s="160"/>
      <c r="BO1011" s="161"/>
      <c r="BP1011" s="161"/>
    </row>
    <row r="1012" spans="1:68" ht="38.25">
      <c r="A1012" s="210"/>
      <c r="B1012" s="195" t="s">
        <v>7485</v>
      </c>
      <c r="C1012" s="196" t="s">
        <v>7486</v>
      </c>
      <c r="D1012" s="146" t="s">
        <v>4692</v>
      </c>
      <c r="E1012" s="196" t="s">
        <v>7486</v>
      </c>
      <c r="F1012" s="150">
        <v>0</v>
      </c>
      <c r="G1012" s="209">
        <v>2080</v>
      </c>
      <c r="H1012" s="209"/>
      <c r="I1012" s="209">
        <v>2080</v>
      </c>
      <c r="J1012" s="150">
        <v>0</v>
      </c>
      <c r="K1012" s="150">
        <v>0</v>
      </c>
      <c r="L1012" s="150">
        <f t="shared" si="978"/>
        <v>0</v>
      </c>
      <c r="M1012" s="150">
        <v>0</v>
      </c>
      <c r="N1012" s="150"/>
      <c r="O1012" s="150">
        <v>0</v>
      </c>
      <c r="P1012" s="150">
        <v>0</v>
      </c>
      <c r="Q1012" s="150">
        <v>0</v>
      </c>
      <c r="R1012" s="150">
        <f t="shared" si="990"/>
        <v>0</v>
      </c>
      <c r="S1012" s="150">
        <f t="shared" si="977"/>
        <v>0</v>
      </c>
      <c r="T1012" s="150"/>
      <c r="U1012" s="150">
        <v>0</v>
      </c>
      <c r="V1012" s="199"/>
      <c r="W1012" s="150">
        <f t="shared" si="985"/>
        <v>0</v>
      </c>
      <c r="X1012" s="150">
        <v>0</v>
      </c>
      <c r="Y1012" s="150"/>
      <c r="Z1012" s="150">
        <v>0</v>
      </c>
      <c r="AA1012" s="150">
        <f t="shared" si="973"/>
        <v>0</v>
      </c>
      <c r="AB1012" s="150">
        <v>0</v>
      </c>
      <c r="AC1012" s="199"/>
      <c r="AD1012" s="150">
        <f t="shared" si="986"/>
        <v>0</v>
      </c>
      <c r="AE1012" s="150">
        <v>0</v>
      </c>
      <c r="AF1012" s="169" t="s">
        <v>4680</v>
      </c>
      <c r="AG1012" s="201">
        <v>0</v>
      </c>
      <c r="AH1012" s="199"/>
      <c r="AI1012" s="150">
        <v>0</v>
      </c>
      <c r="AJ1012" s="169">
        <f t="shared" si="974"/>
        <v>0</v>
      </c>
      <c r="AK1012" s="201">
        <v>0</v>
      </c>
      <c r="AL1012" s="199"/>
      <c r="AM1012" s="150">
        <f t="shared" si="987"/>
        <v>0</v>
      </c>
      <c r="AN1012" s="153">
        <f t="shared" si="975"/>
        <v>0</v>
      </c>
      <c r="AO1012" s="154">
        <f t="shared" si="976"/>
        <v>0</v>
      </c>
      <c r="AP1012" s="150">
        <v>0</v>
      </c>
      <c r="AQ1012" s="201">
        <v>0</v>
      </c>
      <c r="AR1012" s="199"/>
      <c r="AS1012" s="150">
        <f t="shared" si="988"/>
        <v>0</v>
      </c>
      <c r="AT1012" s="155"/>
      <c r="AU1012" s="156">
        <f t="shared" si="971"/>
        <v>0</v>
      </c>
      <c r="AV1012" s="156">
        <f t="shared" si="972"/>
        <v>0</v>
      </c>
      <c r="AW1012" s="157"/>
      <c r="AX1012" s="150">
        <v>0</v>
      </c>
      <c r="AY1012" s="150">
        <v>0</v>
      </c>
      <c r="AZ1012" s="150"/>
      <c r="BA1012" s="150">
        <f t="shared" si="989"/>
        <v>0</v>
      </c>
      <c r="BB1012" s="210"/>
      <c r="BC1012" s="210"/>
      <c r="BD1012" s="210"/>
      <c r="BE1012" s="210"/>
      <c r="BF1012" s="210"/>
      <c r="BG1012" s="210"/>
      <c r="BH1012" s="217"/>
      <c r="BI1012" s="210"/>
      <c r="BJ1012" s="210"/>
      <c r="BK1012" s="210"/>
      <c r="BL1012" s="210"/>
      <c r="BM1012" s="208"/>
      <c r="BN1012" s="160"/>
      <c r="BO1012" s="161"/>
      <c r="BP1012" s="161"/>
    </row>
    <row r="1013" spans="1:68" ht="38.25">
      <c r="A1013" s="210"/>
      <c r="B1013" s="195" t="s">
        <v>7487</v>
      </c>
      <c r="C1013" s="196" t="s">
        <v>7488</v>
      </c>
      <c r="D1013" s="146" t="s">
        <v>4692</v>
      </c>
      <c r="E1013" s="196" t="s">
        <v>7488</v>
      </c>
      <c r="F1013" s="150">
        <v>2080</v>
      </c>
      <c r="G1013" s="209">
        <v>0</v>
      </c>
      <c r="H1013" s="209"/>
      <c r="I1013" s="209">
        <v>0</v>
      </c>
      <c r="J1013" s="150">
        <v>600</v>
      </c>
      <c r="K1013" s="150">
        <v>0</v>
      </c>
      <c r="L1013" s="150">
        <f t="shared" si="978"/>
        <v>600</v>
      </c>
      <c r="M1013" s="150">
        <v>1800</v>
      </c>
      <c r="N1013" s="150"/>
      <c r="O1013" s="150">
        <v>1800</v>
      </c>
      <c r="P1013" s="150">
        <v>4500</v>
      </c>
      <c r="Q1013" s="150">
        <v>0</v>
      </c>
      <c r="R1013" s="150">
        <f t="shared" si="990"/>
        <v>4500</v>
      </c>
      <c r="S1013" s="150">
        <f t="shared" si="977"/>
        <v>6000</v>
      </c>
      <c r="T1013" s="150"/>
      <c r="U1013" s="150">
        <v>5700</v>
      </c>
      <c r="V1013" s="199"/>
      <c r="W1013" s="150">
        <f t="shared" si="985"/>
        <v>5700</v>
      </c>
      <c r="X1013" s="150">
        <v>5700</v>
      </c>
      <c r="Y1013" s="150"/>
      <c r="Z1013" s="150">
        <v>5700</v>
      </c>
      <c r="AA1013" s="150">
        <f t="shared" si="973"/>
        <v>0</v>
      </c>
      <c r="AB1013" s="150">
        <v>5700</v>
      </c>
      <c r="AC1013" s="199"/>
      <c r="AD1013" s="150">
        <f t="shared" si="986"/>
        <v>5700</v>
      </c>
      <c r="AE1013" s="150">
        <v>5700</v>
      </c>
      <c r="AF1013" s="169" t="s">
        <v>4680</v>
      </c>
      <c r="AG1013" s="201">
        <v>5700</v>
      </c>
      <c r="AH1013" s="199"/>
      <c r="AI1013" s="150">
        <v>5700</v>
      </c>
      <c r="AJ1013" s="169">
        <f t="shared" si="974"/>
        <v>0</v>
      </c>
      <c r="AK1013" s="201">
        <v>5700</v>
      </c>
      <c r="AL1013" s="199"/>
      <c r="AM1013" s="150">
        <f t="shared" si="987"/>
        <v>5700</v>
      </c>
      <c r="AN1013" s="153">
        <f t="shared" si="975"/>
        <v>0</v>
      </c>
      <c r="AO1013" s="154">
        <f t="shared" si="976"/>
        <v>0</v>
      </c>
      <c r="AP1013" s="150">
        <v>5700</v>
      </c>
      <c r="AQ1013" s="201">
        <v>5700</v>
      </c>
      <c r="AR1013" s="199"/>
      <c r="AS1013" s="150">
        <f t="shared" si="988"/>
        <v>5700</v>
      </c>
      <c r="AT1013" s="155"/>
      <c r="AU1013" s="156">
        <f t="shared" si="971"/>
        <v>0</v>
      </c>
      <c r="AV1013" s="156">
        <f t="shared" si="972"/>
        <v>0</v>
      </c>
      <c r="AW1013" s="157"/>
      <c r="AX1013" s="150">
        <v>5700</v>
      </c>
      <c r="AY1013" s="150">
        <v>3500</v>
      </c>
      <c r="AZ1013" s="150"/>
      <c r="BA1013" s="150">
        <f t="shared" si="989"/>
        <v>3500</v>
      </c>
      <c r="BB1013" s="210"/>
      <c r="BC1013" s="210"/>
      <c r="BD1013" s="210"/>
      <c r="BE1013" s="210"/>
      <c r="BF1013" s="210"/>
      <c r="BG1013" s="210"/>
      <c r="BH1013" s="217"/>
      <c r="BI1013" s="210"/>
      <c r="BJ1013" s="210"/>
      <c r="BK1013" s="210"/>
      <c r="BL1013" s="210"/>
      <c r="BM1013" s="208"/>
      <c r="BN1013" s="160"/>
      <c r="BO1013" s="161"/>
      <c r="BP1013" s="161"/>
    </row>
    <row r="1014" spans="1:68" ht="38.25">
      <c r="A1014" s="210"/>
      <c r="B1014" s="195" t="s">
        <v>7489</v>
      </c>
      <c r="C1014" s="196" t="s">
        <v>7490</v>
      </c>
      <c r="D1014" s="146" t="s">
        <v>4692</v>
      </c>
      <c r="E1014" s="196" t="s">
        <v>7490</v>
      </c>
      <c r="F1014" s="150">
        <v>0</v>
      </c>
      <c r="G1014" s="209">
        <v>0</v>
      </c>
      <c r="H1014" s="209"/>
      <c r="I1014" s="209">
        <v>0</v>
      </c>
      <c r="J1014" s="150">
        <v>0</v>
      </c>
      <c r="K1014" s="150">
        <v>0</v>
      </c>
      <c r="L1014" s="150">
        <f t="shared" si="978"/>
        <v>0</v>
      </c>
      <c r="M1014" s="150">
        <v>0</v>
      </c>
      <c r="N1014" s="150"/>
      <c r="O1014" s="150">
        <v>0</v>
      </c>
      <c r="P1014" s="150">
        <v>0</v>
      </c>
      <c r="Q1014" s="150">
        <v>0</v>
      </c>
      <c r="R1014" s="150">
        <f t="shared" si="990"/>
        <v>0</v>
      </c>
      <c r="S1014" s="150">
        <f t="shared" si="977"/>
        <v>0</v>
      </c>
      <c r="T1014" s="150"/>
      <c r="U1014" s="150">
        <v>0</v>
      </c>
      <c r="V1014" s="199"/>
      <c r="W1014" s="150">
        <f t="shared" si="985"/>
        <v>0</v>
      </c>
      <c r="X1014" s="150">
        <v>0</v>
      </c>
      <c r="Y1014" s="150"/>
      <c r="Z1014" s="150">
        <v>0</v>
      </c>
      <c r="AA1014" s="150">
        <f t="shared" si="973"/>
        <v>0</v>
      </c>
      <c r="AB1014" s="150">
        <v>0</v>
      </c>
      <c r="AC1014" s="199"/>
      <c r="AD1014" s="150">
        <f t="shared" si="986"/>
        <v>0</v>
      </c>
      <c r="AE1014" s="150">
        <v>0</v>
      </c>
      <c r="AF1014" s="169" t="s">
        <v>4680</v>
      </c>
      <c r="AG1014" s="201">
        <v>0</v>
      </c>
      <c r="AH1014" s="199"/>
      <c r="AI1014" s="150">
        <v>0</v>
      </c>
      <c r="AJ1014" s="169">
        <f t="shared" si="974"/>
        <v>0</v>
      </c>
      <c r="AK1014" s="201">
        <v>0</v>
      </c>
      <c r="AL1014" s="199"/>
      <c r="AM1014" s="150">
        <f t="shared" si="987"/>
        <v>0</v>
      </c>
      <c r="AN1014" s="153">
        <f t="shared" si="975"/>
        <v>0</v>
      </c>
      <c r="AO1014" s="154">
        <f t="shared" si="976"/>
        <v>0</v>
      </c>
      <c r="AP1014" s="150">
        <v>0</v>
      </c>
      <c r="AQ1014" s="201">
        <v>0</v>
      </c>
      <c r="AR1014" s="199"/>
      <c r="AS1014" s="150">
        <f t="shared" si="988"/>
        <v>0</v>
      </c>
      <c r="AT1014" s="155"/>
      <c r="AU1014" s="156">
        <f t="shared" si="971"/>
        <v>0</v>
      </c>
      <c r="AV1014" s="156">
        <f t="shared" si="972"/>
        <v>0</v>
      </c>
      <c r="AW1014" s="157"/>
      <c r="AX1014" s="150">
        <v>0</v>
      </c>
      <c r="AY1014" s="150">
        <v>0</v>
      </c>
      <c r="AZ1014" s="150"/>
      <c r="BA1014" s="150">
        <f t="shared" si="989"/>
        <v>0</v>
      </c>
      <c r="BB1014" s="210"/>
      <c r="BC1014" s="210"/>
      <c r="BD1014" s="210"/>
      <c r="BE1014" s="210"/>
      <c r="BF1014" s="210"/>
      <c r="BG1014" s="210"/>
      <c r="BH1014" s="217"/>
      <c r="BI1014" s="210"/>
      <c r="BJ1014" s="210"/>
      <c r="BK1014" s="210"/>
      <c r="BL1014" s="210"/>
      <c r="BM1014" s="208"/>
      <c r="BN1014" s="160"/>
      <c r="BO1014" s="161"/>
      <c r="BP1014" s="161"/>
    </row>
    <row r="1015" spans="1:68" ht="38.25">
      <c r="A1015" s="210"/>
      <c r="B1015" s="195" t="s">
        <v>7491</v>
      </c>
      <c r="C1015" s="196" t="s">
        <v>7492</v>
      </c>
      <c r="D1015" s="146" t="s">
        <v>4692</v>
      </c>
      <c r="E1015" s="196" t="s">
        <v>7492</v>
      </c>
      <c r="F1015" s="150">
        <v>0</v>
      </c>
      <c r="G1015" s="209">
        <v>0</v>
      </c>
      <c r="H1015" s="209"/>
      <c r="I1015" s="209">
        <v>0</v>
      </c>
      <c r="J1015" s="150">
        <v>0</v>
      </c>
      <c r="K1015" s="150">
        <v>0</v>
      </c>
      <c r="L1015" s="150">
        <f t="shared" si="978"/>
        <v>0</v>
      </c>
      <c r="M1015" s="150">
        <v>0</v>
      </c>
      <c r="N1015" s="150"/>
      <c r="O1015" s="150">
        <v>0</v>
      </c>
      <c r="P1015" s="150">
        <v>0</v>
      </c>
      <c r="Q1015" s="150">
        <v>0</v>
      </c>
      <c r="R1015" s="150">
        <f t="shared" si="990"/>
        <v>0</v>
      </c>
      <c r="S1015" s="150">
        <f t="shared" si="977"/>
        <v>0</v>
      </c>
      <c r="T1015" s="150"/>
      <c r="U1015" s="150">
        <v>0</v>
      </c>
      <c r="V1015" s="199"/>
      <c r="W1015" s="150">
        <f t="shared" si="985"/>
        <v>0</v>
      </c>
      <c r="X1015" s="150">
        <v>0</v>
      </c>
      <c r="Y1015" s="150"/>
      <c r="Z1015" s="150">
        <v>0</v>
      </c>
      <c r="AA1015" s="150">
        <f t="shared" si="973"/>
        <v>0</v>
      </c>
      <c r="AB1015" s="150">
        <v>0</v>
      </c>
      <c r="AC1015" s="199"/>
      <c r="AD1015" s="150">
        <f t="shared" si="986"/>
        <v>0</v>
      </c>
      <c r="AE1015" s="150">
        <v>0</v>
      </c>
      <c r="AF1015" s="169" t="s">
        <v>4680</v>
      </c>
      <c r="AG1015" s="201">
        <v>0</v>
      </c>
      <c r="AH1015" s="199"/>
      <c r="AI1015" s="150">
        <v>0</v>
      </c>
      <c r="AJ1015" s="169">
        <f t="shared" si="974"/>
        <v>0</v>
      </c>
      <c r="AK1015" s="201">
        <v>0</v>
      </c>
      <c r="AL1015" s="199"/>
      <c r="AM1015" s="150">
        <f t="shared" si="987"/>
        <v>0</v>
      </c>
      <c r="AN1015" s="153">
        <f t="shared" si="975"/>
        <v>0</v>
      </c>
      <c r="AO1015" s="154">
        <f t="shared" si="976"/>
        <v>0</v>
      </c>
      <c r="AP1015" s="150">
        <v>0</v>
      </c>
      <c r="AQ1015" s="201">
        <v>0</v>
      </c>
      <c r="AR1015" s="199"/>
      <c r="AS1015" s="150">
        <f t="shared" si="988"/>
        <v>0</v>
      </c>
      <c r="AT1015" s="155"/>
      <c r="AU1015" s="156">
        <f t="shared" si="971"/>
        <v>0</v>
      </c>
      <c r="AV1015" s="156">
        <f t="shared" si="972"/>
        <v>0</v>
      </c>
      <c r="AW1015" s="157"/>
      <c r="AX1015" s="150">
        <v>0</v>
      </c>
      <c r="AY1015" s="150">
        <v>0</v>
      </c>
      <c r="AZ1015" s="150"/>
      <c r="BA1015" s="150">
        <f t="shared" si="989"/>
        <v>0</v>
      </c>
      <c r="BB1015" s="210"/>
      <c r="BC1015" s="210"/>
      <c r="BD1015" s="210"/>
      <c r="BE1015" s="210"/>
      <c r="BF1015" s="210"/>
      <c r="BG1015" s="210"/>
      <c r="BH1015" s="217"/>
      <c r="BI1015" s="210"/>
      <c r="BJ1015" s="210"/>
      <c r="BK1015" s="210"/>
      <c r="BL1015" s="210"/>
      <c r="BM1015" s="208"/>
      <c r="BN1015" s="160"/>
      <c r="BO1015" s="161"/>
      <c r="BP1015" s="161"/>
    </row>
    <row r="1016" spans="1:68" ht="38.25">
      <c r="A1016" s="210"/>
      <c r="B1016" s="195" t="s">
        <v>7493</v>
      </c>
      <c r="C1016" s="196" t="s">
        <v>7494</v>
      </c>
      <c r="D1016" s="146" t="s">
        <v>4692</v>
      </c>
      <c r="E1016" s="196" t="s">
        <v>7494</v>
      </c>
      <c r="F1016" s="150">
        <v>0</v>
      </c>
      <c r="G1016" s="209">
        <v>0</v>
      </c>
      <c r="H1016" s="209"/>
      <c r="I1016" s="209">
        <v>0</v>
      </c>
      <c r="J1016" s="150">
        <v>0</v>
      </c>
      <c r="K1016" s="150">
        <v>0</v>
      </c>
      <c r="L1016" s="150">
        <f t="shared" si="978"/>
        <v>0</v>
      </c>
      <c r="M1016" s="150">
        <v>0</v>
      </c>
      <c r="N1016" s="150"/>
      <c r="O1016" s="150">
        <v>0</v>
      </c>
      <c r="P1016" s="150">
        <v>0</v>
      </c>
      <c r="Q1016" s="150">
        <v>0</v>
      </c>
      <c r="R1016" s="150">
        <f t="shared" si="990"/>
        <v>0</v>
      </c>
      <c r="S1016" s="150">
        <f t="shared" si="977"/>
        <v>0</v>
      </c>
      <c r="T1016" s="150"/>
      <c r="U1016" s="150">
        <v>0</v>
      </c>
      <c r="V1016" s="199"/>
      <c r="W1016" s="150">
        <f t="shared" si="985"/>
        <v>0</v>
      </c>
      <c r="X1016" s="150">
        <v>0</v>
      </c>
      <c r="Y1016" s="150"/>
      <c r="Z1016" s="150">
        <v>0</v>
      </c>
      <c r="AA1016" s="150">
        <f t="shared" si="973"/>
        <v>0</v>
      </c>
      <c r="AB1016" s="150">
        <v>0</v>
      </c>
      <c r="AC1016" s="199"/>
      <c r="AD1016" s="150">
        <f t="shared" si="986"/>
        <v>0</v>
      </c>
      <c r="AE1016" s="150">
        <v>0</v>
      </c>
      <c r="AF1016" s="169" t="s">
        <v>4680</v>
      </c>
      <c r="AG1016" s="201">
        <v>0</v>
      </c>
      <c r="AH1016" s="199"/>
      <c r="AI1016" s="150">
        <v>0</v>
      </c>
      <c r="AJ1016" s="169">
        <f t="shared" si="974"/>
        <v>0</v>
      </c>
      <c r="AK1016" s="201">
        <v>0</v>
      </c>
      <c r="AL1016" s="199"/>
      <c r="AM1016" s="150">
        <f t="shared" si="987"/>
        <v>0</v>
      </c>
      <c r="AN1016" s="153">
        <f t="shared" si="975"/>
        <v>0</v>
      </c>
      <c r="AO1016" s="154">
        <f t="shared" si="976"/>
        <v>0</v>
      </c>
      <c r="AP1016" s="150">
        <v>0</v>
      </c>
      <c r="AQ1016" s="201">
        <v>0</v>
      </c>
      <c r="AR1016" s="199"/>
      <c r="AS1016" s="150">
        <f t="shared" si="988"/>
        <v>0</v>
      </c>
      <c r="AT1016" s="155"/>
      <c r="AU1016" s="156">
        <f t="shared" si="971"/>
        <v>0</v>
      </c>
      <c r="AV1016" s="156">
        <f t="shared" si="972"/>
        <v>0</v>
      </c>
      <c r="AW1016" s="157"/>
      <c r="AX1016" s="150">
        <v>0</v>
      </c>
      <c r="AY1016" s="150">
        <v>0</v>
      </c>
      <c r="AZ1016" s="150"/>
      <c r="BA1016" s="150">
        <f t="shared" si="989"/>
        <v>0</v>
      </c>
      <c r="BB1016" s="210"/>
      <c r="BC1016" s="210"/>
      <c r="BD1016" s="210"/>
      <c r="BE1016" s="210"/>
      <c r="BF1016" s="210"/>
      <c r="BG1016" s="210"/>
      <c r="BH1016" s="217"/>
      <c r="BI1016" s="210"/>
      <c r="BJ1016" s="210"/>
      <c r="BK1016" s="210"/>
      <c r="BL1016" s="210"/>
      <c r="BM1016" s="208"/>
      <c r="BN1016" s="160"/>
      <c r="BO1016" s="161"/>
      <c r="BP1016" s="161"/>
    </row>
    <row r="1017" spans="1:68" ht="38.25">
      <c r="A1017" s="210"/>
      <c r="B1017" s="195" t="s">
        <v>7495</v>
      </c>
      <c r="C1017" s="196" t="s">
        <v>7496</v>
      </c>
      <c r="D1017" s="146" t="s">
        <v>4692</v>
      </c>
      <c r="E1017" s="196" t="s">
        <v>7496</v>
      </c>
      <c r="F1017" s="150">
        <v>0</v>
      </c>
      <c r="G1017" s="209">
        <v>0</v>
      </c>
      <c r="H1017" s="209"/>
      <c r="I1017" s="209">
        <v>0</v>
      </c>
      <c r="J1017" s="150">
        <v>0</v>
      </c>
      <c r="K1017" s="150">
        <v>0</v>
      </c>
      <c r="L1017" s="150">
        <f t="shared" si="978"/>
        <v>0</v>
      </c>
      <c r="M1017" s="150">
        <v>0</v>
      </c>
      <c r="N1017" s="150"/>
      <c r="O1017" s="150">
        <v>0</v>
      </c>
      <c r="P1017" s="150">
        <v>0</v>
      </c>
      <c r="Q1017" s="150">
        <v>0</v>
      </c>
      <c r="R1017" s="150">
        <f t="shared" si="990"/>
        <v>0</v>
      </c>
      <c r="S1017" s="150">
        <f t="shared" si="977"/>
        <v>0</v>
      </c>
      <c r="T1017" s="150"/>
      <c r="U1017" s="150">
        <v>0</v>
      </c>
      <c r="V1017" s="199"/>
      <c r="W1017" s="150">
        <f t="shared" si="985"/>
        <v>0</v>
      </c>
      <c r="X1017" s="150">
        <v>0</v>
      </c>
      <c r="Y1017" s="150"/>
      <c r="Z1017" s="150">
        <v>0</v>
      </c>
      <c r="AA1017" s="150">
        <f t="shared" si="973"/>
        <v>0</v>
      </c>
      <c r="AB1017" s="150">
        <v>0</v>
      </c>
      <c r="AC1017" s="199"/>
      <c r="AD1017" s="150">
        <f t="shared" si="986"/>
        <v>0</v>
      </c>
      <c r="AE1017" s="150">
        <v>0</v>
      </c>
      <c r="AF1017" s="169" t="s">
        <v>4680</v>
      </c>
      <c r="AG1017" s="201">
        <v>0</v>
      </c>
      <c r="AH1017" s="199"/>
      <c r="AI1017" s="150">
        <v>0</v>
      </c>
      <c r="AJ1017" s="169">
        <f t="shared" si="974"/>
        <v>0</v>
      </c>
      <c r="AK1017" s="201">
        <v>0</v>
      </c>
      <c r="AL1017" s="199"/>
      <c r="AM1017" s="150">
        <f t="shared" si="987"/>
        <v>0</v>
      </c>
      <c r="AN1017" s="153">
        <f t="shared" si="975"/>
        <v>0</v>
      </c>
      <c r="AO1017" s="154">
        <f t="shared" si="976"/>
        <v>0</v>
      </c>
      <c r="AP1017" s="150">
        <v>0</v>
      </c>
      <c r="AQ1017" s="201">
        <v>0</v>
      </c>
      <c r="AR1017" s="199"/>
      <c r="AS1017" s="150">
        <f t="shared" si="988"/>
        <v>0</v>
      </c>
      <c r="AT1017" s="155"/>
      <c r="AU1017" s="156">
        <f t="shared" si="971"/>
        <v>0</v>
      </c>
      <c r="AV1017" s="156">
        <f t="shared" si="972"/>
        <v>0</v>
      </c>
      <c r="AW1017" s="157"/>
      <c r="AX1017" s="150">
        <v>0</v>
      </c>
      <c r="AY1017" s="150">
        <v>0</v>
      </c>
      <c r="AZ1017" s="150"/>
      <c r="BA1017" s="150">
        <f t="shared" si="989"/>
        <v>0</v>
      </c>
      <c r="BB1017" s="210"/>
      <c r="BC1017" s="210"/>
      <c r="BD1017" s="210"/>
      <c r="BE1017" s="210"/>
      <c r="BF1017" s="210"/>
      <c r="BG1017" s="210"/>
      <c r="BH1017" s="217"/>
      <c r="BI1017" s="210"/>
      <c r="BJ1017" s="210"/>
      <c r="BK1017" s="210"/>
      <c r="BL1017" s="210"/>
      <c r="BM1017" s="208"/>
      <c r="BN1017" s="160"/>
      <c r="BO1017" s="161"/>
      <c r="BP1017" s="161"/>
    </row>
    <row r="1018" spans="1:68" ht="38.25">
      <c r="A1018" s="210"/>
      <c r="B1018" s="195" t="s">
        <v>7497</v>
      </c>
      <c r="C1018" s="196" t="s">
        <v>7498</v>
      </c>
      <c r="D1018" s="146" t="s">
        <v>4692</v>
      </c>
      <c r="E1018" s="196" t="s">
        <v>7498</v>
      </c>
      <c r="F1018" s="150">
        <v>0</v>
      </c>
      <c r="G1018" s="209">
        <v>15850</v>
      </c>
      <c r="H1018" s="209"/>
      <c r="I1018" s="209">
        <v>15850</v>
      </c>
      <c r="J1018" s="150">
        <v>0</v>
      </c>
      <c r="K1018" s="150">
        <v>0</v>
      </c>
      <c r="L1018" s="150">
        <f t="shared" si="978"/>
        <v>0</v>
      </c>
      <c r="M1018" s="150">
        <v>0</v>
      </c>
      <c r="N1018" s="150"/>
      <c r="O1018" s="150">
        <v>0</v>
      </c>
      <c r="P1018" s="150">
        <v>0</v>
      </c>
      <c r="Q1018" s="150">
        <v>0</v>
      </c>
      <c r="R1018" s="150">
        <f t="shared" si="990"/>
        <v>0</v>
      </c>
      <c r="S1018" s="150">
        <f t="shared" si="977"/>
        <v>0</v>
      </c>
      <c r="T1018" s="150"/>
      <c r="U1018" s="150">
        <v>0</v>
      </c>
      <c r="V1018" s="199"/>
      <c r="W1018" s="150">
        <f t="shared" si="985"/>
        <v>0</v>
      </c>
      <c r="X1018" s="150">
        <v>0</v>
      </c>
      <c r="Y1018" s="150"/>
      <c r="Z1018" s="150">
        <v>0</v>
      </c>
      <c r="AA1018" s="150">
        <f t="shared" si="973"/>
        <v>0</v>
      </c>
      <c r="AB1018" s="150">
        <v>0</v>
      </c>
      <c r="AC1018" s="199"/>
      <c r="AD1018" s="150">
        <f t="shared" si="986"/>
        <v>0</v>
      </c>
      <c r="AE1018" s="150">
        <v>0</v>
      </c>
      <c r="AF1018" s="169" t="s">
        <v>4680</v>
      </c>
      <c r="AG1018" s="201">
        <v>0</v>
      </c>
      <c r="AH1018" s="199"/>
      <c r="AI1018" s="150">
        <v>0</v>
      </c>
      <c r="AJ1018" s="169">
        <f t="shared" si="974"/>
        <v>0</v>
      </c>
      <c r="AK1018" s="201">
        <v>0</v>
      </c>
      <c r="AL1018" s="199"/>
      <c r="AM1018" s="150">
        <f t="shared" si="987"/>
        <v>0</v>
      </c>
      <c r="AN1018" s="153">
        <f t="shared" si="975"/>
        <v>0</v>
      </c>
      <c r="AO1018" s="154">
        <f t="shared" si="976"/>
        <v>0</v>
      </c>
      <c r="AP1018" s="150">
        <v>0</v>
      </c>
      <c r="AQ1018" s="201">
        <v>0</v>
      </c>
      <c r="AR1018" s="199"/>
      <c r="AS1018" s="150">
        <f t="shared" si="988"/>
        <v>0</v>
      </c>
      <c r="AT1018" s="155"/>
      <c r="AU1018" s="156">
        <f t="shared" si="971"/>
        <v>0</v>
      </c>
      <c r="AV1018" s="156">
        <f t="shared" si="972"/>
        <v>0</v>
      </c>
      <c r="AW1018" s="157"/>
      <c r="AX1018" s="150">
        <v>0</v>
      </c>
      <c r="AY1018" s="150">
        <v>0</v>
      </c>
      <c r="AZ1018" s="150"/>
      <c r="BA1018" s="150">
        <f t="shared" si="989"/>
        <v>0</v>
      </c>
      <c r="BB1018" s="210"/>
      <c r="BC1018" s="210"/>
      <c r="BD1018" s="210"/>
      <c r="BE1018" s="210"/>
      <c r="BF1018" s="210"/>
      <c r="BG1018" s="210"/>
      <c r="BH1018" s="217"/>
      <c r="BI1018" s="210"/>
      <c r="BJ1018" s="210"/>
      <c r="BK1018" s="210"/>
      <c r="BL1018" s="210"/>
      <c r="BM1018" s="208"/>
      <c r="BN1018" s="160"/>
      <c r="BO1018" s="161"/>
      <c r="BP1018" s="161"/>
    </row>
    <row r="1019" spans="1:68" ht="38.25">
      <c r="A1019" s="210"/>
      <c r="B1019" s="195" t="s">
        <v>7499</v>
      </c>
      <c r="C1019" s="196" t="s">
        <v>7500</v>
      </c>
      <c r="D1019" s="146" t="s">
        <v>4692</v>
      </c>
      <c r="E1019" s="196" t="s">
        <v>7500</v>
      </c>
      <c r="F1019" s="150">
        <v>15850</v>
      </c>
      <c r="G1019" s="209">
        <v>0</v>
      </c>
      <c r="H1019" s="209"/>
      <c r="I1019" s="209">
        <v>0</v>
      </c>
      <c r="J1019" s="150">
        <v>1800</v>
      </c>
      <c r="K1019" s="150">
        <v>0</v>
      </c>
      <c r="L1019" s="150">
        <f t="shared" si="978"/>
        <v>1800</v>
      </c>
      <c r="M1019" s="150">
        <v>5400</v>
      </c>
      <c r="N1019" s="150"/>
      <c r="O1019" s="150">
        <v>5400</v>
      </c>
      <c r="P1019" s="150">
        <v>12600</v>
      </c>
      <c r="Q1019" s="150">
        <v>0</v>
      </c>
      <c r="R1019" s="150">
        <f t="shared" si="990"/>
        <v>12600</v>
      </c>
      <c r="S1019" s="150">
        <f t="shared" si="977"/>
        <v>16800</v>
      </c>
      <c r="T1019" s="150"/>
      <c r="U1019" s="150">
        <v>23800</v>
      </c>
      <c r="V1019" s="199"/>
      <c r="W1019" s="150">
        <f t="shared" si="985"/>
        <v>23800</v>
      </c>
      <c r="X1019" s="150">
        <v>23800</v>
      </c>
      <c r="Y1019" s="150"/>
      <c r="Z1019" s="150">
        <v>23800</v>
      </c>
      <c r="AA1019" s="150">
        <f t="shared" si="973"/>
        <v>0</v>
      </c>
      <c r="AB1019" s="150">
        <v>23800</v>
      </c>
      <c r="AC1019" s="199"/>
      <c r="AD1019" s="150">
        <f t="shared" si="986"/>
        <v>23800</v>
      </c>
      <c r="AE1019" s="150">
        <v>23800</v>
      </c>
      <c r="AF1019" s="169" t="s">
        <v>4680</v>
      </c>
      <c r="AG1019" s="201">
        <v>23800</v>
      </c>
      <c r="AH1019" s="199"/>
      <c r="AI1019" s="150">
        <v>23800</v>
      </c>
      <c r="AJ1019" s="169">
        <f t="shared" si="974"/>
        <v>0</v>
      </c>
      <c r="AK1019" s="201">
        <v>23800</v>
      </c>
      <c r="AL1019" s="199"/>
      <c r="AM1019" s="150">
        <f t="shared" si="987"/>
        <v>23800</v>
      </c>
      <c r="AN1019" s="153">
        <f t="shared" si="975"/>
        <v>0</v>
      </c>
      <c r="AO1019" s="154">
        <f t="shared" si="976"/>
        <v>0</v>
      </c>
      <c r="AP1019" s="150">
        <v>23800</v>
      </c>
      <c r="AQ1019" s="201">
        <v>23800</v>
      </c>
      <c r="AR1019" s="199"/>
      <c r="AS1019" s="150">
        <f t="shared" si="988"/>
        <v>23800</v>
      </c>
      <c r="AT1019" s="155"/>
      <c r="AU1019" s="156">
        <f t="shared" si="971"/>
        <v>0</v>
      </c>
      <c r="AV1019" s="156">
        <f t="shared" si="972"/>
        <v>0</v>
      </c>
      <c r="AW1019" s="157"/>
      <c r="AX1019" s="150">
        <v>23800</v>
      </c>
      <c r="AY1019" s="150">
        <v>8300</v>
      </c>
      <c r="AZ1019" s="237"/>
      <c r="BA1019" s="150">
        <f t="shared" si="989"/>
        <v>8300</v>
      </c>
      <c r="BB1019" s="210"/>
      <c r="BC1019" s="210"/>
      <c r="BD1019" s="210"/>
      <c r="BE1019" s="210"/>
      <c r="BF1019" s="210"/>
      <c r="BG1019" s="210"/>
      <c r="BH1019" s="217"/>
      <c r="BI1019" s="210"/>
      <c r="BJ1019" s="210"/>
      <c r="BK1019" s="210"/>
      <c r="BL1019" s="210"/>
      <c r="BM1019" s="208"/>
      <c r="BN1019" s="160"/>
      <c r="BO1019" s="161"/>
      <c r="BP1019" s="161"/>
    </row>
    <row r="1020" spans="1:68" ht="38.25">
      <c r="A1020" s="210"/>
      <c r="B1020" s="195" t="s">
        <v>7501</v>
      </c>
      <c r="C1020" s="196" t="s">
        <v>7502</v>
      </c>
      <c r="D1020" s="146" t="s">
        <v>4692</v>
      </c>
      <c r="E1020" s="196" t="s">
        <v>7502</v>
      </c>
      <c r="F1020" s="150">
        <v>0</v>
      </c>
      <c r="G1020" s="209">
        <v>0</v>
      </c>
      <c r="H1020" s="209"/>
      <c r="I1020" s="209">
        <v>0</v>
      </c>
      <c r="J1020" s="150">
        <v>0</v>
      </c>
      <c r="K1020" s="150">
        <v>0</v>
      </c>
      <c r="L1020" s="150">
        <f t="shared" si="978"/>
        <v>0</v>
      </c>
      <c r="M1020" s="150">
        <v>0</v>
      </c>
      <c r="N1020" s="150"/>
      <c r="O1020" s="150">
        <v>0</v>
      </c>
      <c r="P1020" s="150">
        <v>0</v>
      </c>
      <c r="Q1020" s="150">
        <v>0</v>
      </c>
      <c r="R1020" s="150">
        <f t="shared" si="990"/>
        <v>0</v>
      </c>
      <c r="S1020" s="150">
        <f t="shared" si="977"/>
        <v>0</v>
      </c>
      <c r="T1020" s="150"/>
      <c r="U1020" s="150">
        <v>0</v>
      </c>
      <c r="V1020" s="199"/>
      <c r="W1020" s="150">
        <f t="shared" si="985"/>
        <v>0</v>
      </c>
      <c r="X1020" s="150">
        <v>0</v>
      </c>
      <c r="Y1020" s="150"/>
      <c r="Z1020" s="150">
        <v>0</v>
      </c>
      <c r="AA1020" s="150">
        <f t="shared" si="973"/>
        <v>0</v>
      </c>
      <c r="AB1020" s="150">
        <v>0</v>
      </c>
      <c r="AC1020" s="199"/>
      <c r="AD1020" s="150">
        <f t="shared" si="986"/>
        <v>0</v>
      </c>
      <c r="AE1020" s="150">
        <v>0</v>
      </c>
      <c r="AF1020" s="169" t="s">
        <v>4680</v>
      </c>
      <c r="AG1020" s="201">
        <v>0</v>
      </c>
      <c r="AH1020" s="199"/>
      <c r="AI1020" s="150">
        <v>0</v>
      </c>
      <c r="AJ1020" s="169">
        <f t="shared" si="974"/>
        <v>0</v>
      </c>
      <c r="AK1020" s="201">
        <v>0</v>
      </c>
      <c r="AL1020" s="199"/>
      <c r="AM1020" s="150">
        <f t="shared" si="987"/>
        <v>0</v>
      </c>
      <c r="AN1020" s="153">
        <f t="shared" si="975"/>
        <v>0</v>
      </c>
      <c r="AO1020" s="154">
        <f t="shared" si="976"/>
        <v>0</v>
      </c>
      <c r="AP1020" s="150">
        <v>0</v>
      </c>
      <c r="AQ1020" s="201">
        <v>0</v>
      </c>
      <c r="AR1020" s="199"/>
      <c r="AS1020" s="150">
        <f t="shared" si="988"/>
        <v>0</v>
      </c>
      <c r="AT1020" s="155"/>
      <c r="AU1020" s="156">
        <f t="shared" si="971"/>
        <v>0</v>
      </c>
      <c r="AV1020" s="156">
        <f t="shared" si="972"/>
        <v>0</v>
      </c>
      <c r="AW1020" s="157"/>
      <c r="AX1020" s="150">
        <v>0</v>
      </c>
      <c r="AY1020" s="150">
        <v>0</v>
      </c>
      <c r="AZ1020" s="150"/>
      <c r="BA1020" s="150">
        <f t="shared" si="989"/>
        <v>0</v>
      </c>
      <c r="BB1020" s="210"/>
      <c r="BC1020" s="210"/>
      <c r="BD1020" s="210"/>
      <c r="BE1020" s="210"/>
      <c r="BF1020" s="210"/>
      <c r="BG1020" s="210"/>
      <c r="BH1020" s="217"/>
      <c r="BI1020" s="210"/>
      <c r="BJ1020" s="210"/>
      <c r="BK1020" s="210"/>
      <c r="BL1020" s="210"/>
      <c r="BM1020" s="208"/>
      <c r="BN1020" s="160"/>
      <c r="BO1020" s="161"/>
      <c r="BP1020" s="161"/>
    </row>
    <row r="1021" spans="1:68">
      <c r="A1021" s="210"/>
      <c r="B1021" s="195" t="s">
        <v>7503</v>
      </c>
      <c r="C1021" s="196" t="s">
        <v>7504</v>
      </c>
      <c r="D1021" s="146" t="s">
        <v>4692</v>
      </c>
      <c r="E1021" s="196" t="s">
        <v>7504</v>
      </c>
      <c r="F1021" s="150">
        <v>0</v>
      </c>
      <c r="G1021" s="209">
        <v>0</v>
      </c>
      <c r="H1021" s="209"/>
      <c r="I1021" s="209">
        <v>0</v>
      </c>
      <c r="J1021" s="150">
        <v>0</v>
      </c>
      <c r="K1021" s="150">
        <v>0</v>
      </c>
      <c r="L1021" s="150">
        <f t="shared" si="978"/>
        <v>0</v>
      </c>
      <c r="M1021" s="150">
        <v>0</v>
      </c>
      <c r="N1021" s="150"/>
      <c r="O1021" s="150">
        <v>0</v>
      </c>
      <c r="P1021" s="150">
        <v>0</v>
      </c>
      <c r="Q1021" s="150">
        <v>0</v>
      </c>
      <c r="R1021" s="150">
        <f t="shared" si="990"/>
        <v>0</v>
      </c>
      <c r="S1021" s="150">
        <f t="shared" si="977"/>
        <v>0</v>
      </c>
      <c r="T1021" s="150"/>
      <c r="U1021" s="150">
        <v>0</v>
      </c>
      <c r="V1021" s="199"/>
      <c r="W1021" s="150">
        <f t="shared" si="985"/>
        <v>0</v>
      </c>
      <c r="X1021" s="150">
        <v>0</v>
      </c>
      <c r="Y1021" s="150"/>
      <c r="Z1021" s="150">
        <v>0</v>
      </c>
      <c r="AA1021" s="150">
        <f t="shared" si="973"/>
        <v>0</v>
      </c>
      <c r="AB1021" s="150">
        <v>0</v>
      </c>
      <c r="AC1021" s="199"/>
      <c r="AD1021" s="150">
        <f t="shared" si="986"/>
        <v>0</v>
      </c>
      <c r="AE1021" s="150">
        <v>0</v>
      </c>
      <c r="AF1021" s="169" t="s">
        <v>4680</v>
      </c>
      <c r="AG1021" s="201">
        <v>0</v>
      </c>
      <c r="AH1021" s="199"/>
      <c r="AI1021" s="150">
        <v>0</v>
      </c>
      <c r="AJ1021" s="169">
        <f t="shared" si="974"/>
        <v>0</v>
      </c>
      <c r="AK1021" s="201">
        <v>0</v>
      </c>
      <c r="AL1021" s="199"/>
      <c r="AM1021" s="150">
        <f t="shared" si="987"/>
        <v>0</v>
      </c>
      <c r="AN1021" s="153">
        <f t="shared" si="975"/>
        <v>0</v>
      </c>
      <c r="AO1021" s="154">
        <f t="shared" si="976"/>
        <v>0</v>
      </c>
      <c r="AP1021" s="150">
        <v>0</v>
      </c>
      <c r="AQ1021" s="201">
        <v>0</v>
      </c>
      <c r="AR1021" s="199"/>
      <c r="AS1021" s="150">
        <f t="shared" si="988"/>
        <v>0</v>
      </c>
      <c r="AT1021" s="155"/>
      <c r="AU1021" s="156">
        <f t="shared" si="971"/>
        <v>0</v>
      </c>
      <c r="AV1021" s="156">
        <f t="shared" si="972"/>
        <v>0</v>
      </c>
      <c r="AW1021" s="157"/>
      <c r="AX1021" s="150">
        <v>0</v>
      </c>
      <c r="AY1021" s="150">
        <v>0</v>
      </c>
      <c r="AZ1021" s="150"/>
      <c r="BA1021" s="150">
        <f t="shared" si="989"/>
        <v>0</v>
      </c>
      <c r="BB1021" s="210"/>
      <c r="BC1021" s="210"/>
      <c r="BD1021" s="210"/>
      <c r="BE1021" s="210"/>
      <c r="BF1021" s="210"/>
      <c r="BG1021" s="210"/>
      <c r="BH1021" s="217"/>
      <c r="BI1021" s="210"/>
      <c r="BJ1021" s="210"/>
      <c r="BK1021" s="210"/>
      <c r="BL1021" s="210"/>
      <c r="BM1021" s="208"/>
      <c r="BN1021" s="160"/>
      <c r="BO1021" s="161"/>
      <c r="BP1021" s="161"/>
    </row>
    <row r="1022" spans="1:68" ht="25.5">
      <c r="A1022" s="210"/>
      <c r="B1022" s="195" t="s">
        <v>7505</v>
      </c>
      <c r="C1022" s="196" t="s">
        <v>7506</v>
      </c>
      <c r="D1022" s="146" t="s">
        <v>4692</v>
      </c>
      <c r="E1022" s="196" t="s">
        <v>7506</v>
      </c>
      <c r="F1022" s="150">
        <v>0</v>
      </c>
      <c r="G1022" s="209">
        <v>0</v>
      </c>
      <c r="H1022" s="209"/>
      <c r="I1022" s="209">
        <v>0</v>
      </c>
      <c r="J1022" s="150">
        <v>0</v>
      </c>
      <c r="K1022" s="150">
        <v>0</v>
      </c>
      <c r="L1022" s="150">
        <f t="shared" si="978"/>
        <v>0</v>
      </c>
      <c r="M1022" s="150">
        <v>0</v>
      </c>
      <c r="N1022" s="150"/>
      <c r="O1022" s="150">
        <v>0</v>
      </c>
      <c r="P1022" s="150">
        <v>0</v>
      </c>
      <c r="Q1022" s="150">
        <v>0</v>
      </c>
      <c r="R1022" s="150">
        <f t="shared" si="990"/>
        <v>0</v>
      </c>
      <c r="S1022" s="150">
        <f t="shared" si="977"/>
        <v>0</v>
      </c>
      <c r="T1022" s="150"/>
      <c r="U1022" s="150">
        <v>0</v>
      </c>
      <c r="V1022" s="199"/>
      <c r="W1022" s="150">
        <f t="shared" si="985"/>
        <v>0</v>
      </c>
      <c r="X1022" s="150">
        <v>0</v>
      </c>
      <c r="Y1022" s="150"/>
      <c r="Z1022" s="150">
        <v>0</v>
      </c>
      <c r="AA1022" s="150">
        <f t="shared" si="973"/>
        <v>0</v>
      </c>
      <c r="AB1022" s="150">
        <v>0</v>
      </c>
      <c r="AC1022" s="199"/>
      <c r="AD1022" s="150">
        <f t="shared" si="986"/>
        <v>0</v>
      </c>
      <c r="AE1022" s="150">
        <v>0</v>
      </c>
      <c r="AF1022" s="169" t="s">
        <v>4680</v>
      </c>
      <c r="AG1022" s="201">
        <v>0</v>
      </c>
      <c r="AH1022" s="199"/>
      <c r="AI1022" s="150">
        <v>0</v>
      </c>
      <c r="AJ1022" s="169">
        <f t="shared" si="974"/>
        <v>0</v>
      </c>
      <c r="AK1022" s="201">
        <v>0</v>
      </c>
      <c r="AL1022" s="199"/>
      <c r="AM1022" s="150">
        <f t="shared" si="987"/>
        <v>0</v>
      </c>
      <c r="AN1022" s="153">
        <f t="shared" si="975"/>
        <v>0</v>
      </c>
      <c r="AO1022" s="154">
        <f t="shared" si="976"/>
        <v>0</v>
      </c>
      <c r="AP1022" s="150">
        <v>0</v>
      </c>
      <c r="AQ1022" s="201">
        <v>0</v>
      </c>
      <c r="AR1022" s="199"/>
      <c r="AS1022" s="150">
        <f t="shared" si="988"/>
        <v>0</v>
      </c>
      <c r="AT1022" s="155"/>
      <c r="AU1022" s="156">
        <f t="shared" si="971"/>
        <v>0</v>
      </c>
      <c r="AV1022" s="156">
        <f t="shared" si="972"/>
        <v>0</v>
      </c>
      <c r="AW1022" s="157"/>
      <c r="AX1022" s="150">
        <v>0</v>
      </c>
      <c r="AY1022" s="150">
        <v>0</v>
      </c>
      <c r="AZ1022" s="150"/>
      <c r="BA1022" s="150">
        <f t="shared" si="989"/>
        <v>0</v>
      </c>
      <c r="BB1022" s="210"/>
      <c r="BC1022" s="210"/>
      <c r="BD1022" s="210"/>
      <c r="BE1022" s="210"/>
      <c r="BF1022" s="210"/>
      <c r="BG1022" s="210"/>
      <c r="BH1022" s="217"/>
      <c r="BI1022" s="210"/>
      <c r="BJ1022" s="210"/>
      <c r="BK1022" s="210"/>
      <c r="BL1022" s="210"/>
      <c r="BM1022" s="208"/>
      <c r="BN1022" s="160"/>
      <c r="BO1022" s="161"/>
      <c r="BP1022" s="161"/>
    </row>
    <row r="1023" spans="1:68" ht="38.25">
      <c r="A1023" s="206" t="s">
        <v>422</v>
      </c>
      <c r="B1023" s="195" t="s">
        <v>7507</v>
      </c>
      <c r="C1023" s="196" t="s">
        <v>7508</v>
      </c>
      <c r="D1023" s="146" t="s">
        <v>4692</v>
      </c>
      <c r="E1023" s="196" t="s">
        <v>7508</v>
      </c>
      <c r="F1023" s="150">
        <v>0</v>
      </c>
      <c r="G1023" s="209">
        <v>0</v>
      </c>
      <c r="H1023" s="209"/>
      <c r="I1023" s="209">
        <v>0</v>
      </c>
      <c r="J1023" s="150">
        <v>0</v>
      </c>
      <c r="K1023" s="150">
        <v>0</v>
      </c>
      <c r="L1023" s="150">
        <f t="shared" si="978"/>
        <v>0</v>
      </c>
      <c r="M1023" s="150">
        <v>0</v>
      </c>
      <c r="N1023" s="150"/>
      <c r="O1023" s="150">
        <v>0</v>
      </c>
      <c r="P1023" s="150">
        <v>0</v>
      </c>
      <c r="Q1023" s="150">
        <v>0</v>
      </c>
      <c r="R1023" s="150">
        <f t="shared" si="990"/>
        <v>0</v>
      </c>
      <c r="S1023" s="150">
        <f t="shared" si="977"/>
        <v>0</v>
      </c>
      <c r="T1023" s="150"/>
      <c r="U1023" s="150">
        <v>0</v>
      </c>
      <c r="V1023" s="199"/>
      <c r="W1023" s="150">
        <f t="shared" si="985"/>
        <v>0</v>
      </c>
      <c r="X1023" s="150">
        <v>0</v>
      </c>
      <c r="Y1023" s="150"/>
      <c r="Z1023" s="150">
        <v>0</v>
      </c>
      <c r="AA1023" s="150">
        <f t="shared" si="973"/>
        <v>0</v>
      </c>
      <c r="AB1023" s="150">
        <v>0</v>
      </c>
      <c r="AC1023" s="199"/>
      <c r="AD1023" s="150">
        <f t="shared" si="986"/>
        <v>0</v>
      </c>
      <c r="AE1023" s="150">
        <v>0</v>
      </c>
      <c r="AF1023" s="169" t="s">
        <v>4680</v>
      </c>
      <c r="AG1023" s="201">
        <v>0</v>
      </c>
      <c r="AH1023" s="199"/>
      <c r="AI1023" s="150">
        <v>0</v>
      </c>
      <c r="AJ1023" s="169">
        <f t="shared" si="974"/>
        <v>0</v>
      </c>
      <c r="AK1023" s="201">
        <v>0</v>
      </c>
      <c r="AL1023" s="199"/>
      <c r="AM1023" s="150">
        <f t="shared" si="987"/>
        <v>0</v>
      </c>
      <c r="AN1023" s="153">
        <f t="shared" si="975"/>
        <v>0</v>
      </c>
      <c r="AO1023" s="154">
        <f t="shared" si="976"/>
        <v>0</v>
      </c>
      <c r="AP1023" s="150">
        <v>0</v>
      </c>
      <c r="AQ1023" s="201">
        <v>0</v>
      </c>
      <c r="AR1023" s="199"/>
      <c r="AS1023" s="150">
        <f t="shared" si="988"/>
        <v>0</v>
      </c>
      <c r="AT1023" s="155"/>
      <c r="AU1023" s="156">
        <f t="shared" si="971"/>
        <v>0</v>
      </c>
      <c r="AV1023" s="156">
        <f t="shared" si="972"/>
        <v>0</v>
      </c>
      <c r="AW1023" s="157"/>
      <c r="AX1023" s="150">
        <v>0</v>
      </c>
      <c r="AY1023" s="150">
        <v>0</v>
      </c>
      <c r="AZ1023" s="150"/>
      <c r="BA1023" s="150">
        <f t="shared" si="989"/>
        <v>0</v>
      </c>
      <c r="BB1023" s="202">
        <v>5</v>
      </c>
      <c r="BC1023" s="202" t="s">
        <v>647</v>
      </c>
      <c r="BD1023" s="202" t="s">
        <v>632</v>
      </c>
      <c r="BE1023" s="202" t="s">
        <v>1838</v>
      </c>
      <c r="BF1023" s="194" t="s">
        <v>714</v>
      </c>
      <c r="BG1023" s="203" t="s">
        <v>423</v>
      </c>
      <c r="BH1023" s="216">
        <f>AS1023</f>
        <v>0</v>
      </c>
      <c r="BI1023" s="205"/>
      <c r="BJ1023" s="206" t="s">
        <v>7509</v>
      </c>
      <c r="BK1023" s="206" t="s">
        <v>422</v>
      </c>
      <c r="BL1023" s="207" t="s">
        <v>7510</v>
      </c>
      <c r="BM1023" s="208">
        <f>BH1023</f>
        <v>0</v>
      </c>
      <c r="BN1023" s="160"/>
      <c r="BO1023" s="161"/>
      <c r="BP1023" s="161"/>
    </row>
    <row r="1024" spans="1:68" ht="38.25">
      <c r="A1024" s="318" t="s">
        <v>7511</v>
      </c>
      <c r="B1024" s="228" t="s">
        <v>7512</v>
      </c>
      <c r="C1024" s="229" t="s">
        <v>7513</v>
      </c>
      <c r="D1024" s="146" t="s">
        <v>4692</v>
      </c>
      <c r="E1024" s="196" t="s">
        <v>7513</v>
      </c>
      <c r="F1024" s="150">
        <v>0</v>
      </c>
      <c r="G1024" s="209">
        <v>0</v>
      </c>
      <c r="H1024" s="209"/>
      <c r="I1024" s="209">
        <v>0</v>
      </c>
      <c r="J1024" s="150">
        <v>0</v>
      </c>
      <c r="K1024" s="150">
        <v>0</v>
      </c>
      <c r="L1024" s="150">
        <f t="shared" si="978"/>
        <v>0</v>
      </c>
      <c r="M1024" s="150">
        <v>0</v>
      </c>
      <c r="N1024" s="150"/>
      <c r="O1024" s="150">
        <v>0</v>
      </c>
      <c r="P1024" s="150">
        <v>0</v>
      </c>
      <c r="Q1024" s="150">
        <v>0</v>
      </c>
      <c r="R1024" s="150">
        <f t="shared" si="990"/>
        <v>0</v>
      </c>
      <c r="S1024" s="150">
        <f t="shared" si="977"/>
        <v>0</v>
      </c>
      <c r="T1024" s="150"/>
      <c r="U1024" s="150">
        <v>0</v>
      </c>
      <c r="V1024" s="199"/>
      <c r="W1024" s="150">
        <f t="shared" si="985"/>
        <v>0</v>
      </c>
      <c r="X1024" s="150">
        <v>0</v>
      </c>
      <c r="Y1024" s="150"/>
      <c r="Z1024" s="150">
        <v>0</v>
      </c>
      <c r="AA1024" s="150">
        <f t="shared" si="973"/>
        <v>0</v>
      </c>
      <c r="AB1024" s="150">
        <v>0</v>
      </c>
      <c r="AC1024" s="199"/>
      <c r="AD1024" s="150">
        <f t="shared" si="986"/>
        <v>0</v>
      </c>
      <c r="AE1024" s="150">
        <v>0</v>
      </c>
      <c r="AF1024" s="169" t="s">
        <v>4680</v>
      </c>
      <c r="AG1024" s="201">
        <v>0</v>
      </c>
      <c r="AH1024" s="199"/>
      <c r="AI1024" s="150">
        <v>0</v>
      </c>
      <c r="AJ1024" s="169">
        <f t="shared" si="974"/>
        <v>0</v>
      </c>
      <c r="AK1024" s="201">
        <v>0</v>
      </c>
      <c r="AL1024" s="199"/>
      <c r="AM1024" s="150">
        <f t="shared" si="987"/>
        <v>0</v>
      </c>
      <c r="AN1024" s="153">
        <f t="shared" si="975"/>
        <v>0</v>
      </c>
      <c r="AO1024" s="154">
        <f t="shared" si="976"/>
        <v>0</v>
      </c>
      <c r="AP1024" s="150">
        <v>0</v>
      </c>
      <c r="AQ1024" s="201">
        <v>0</v>
      </c>
      <c r="AR1024" s="199"/>
      <c r="AS1024" s="150">
        <f t="shared" si="988"/>
        <v>0</v>
      </c>
      <c r="AT1024" s="155" t="s">
        <v>4796</v>
      </c>
      <c r="AU1024" s="156">
        <f t="shared" si="971"/>
        <v>0</v>
      </c>
      <c r="AV1024" s="156">
        <f t="shared" si="972"/>
        <v>0</v>
      </c>
      <c r="AW1024" s="157" t="s">
        <v>4796</v>
      </c>
      <c r="AX1024" s="150">
        <v>0</v>
      </c>
      <c r="AY1024" s="150">
        <v>0</v>
      </c>
      <c r="AZ1024" s="150"/>
      <c r="BA1024" s="150">
        <f t="shared" si="989"/>
        <v>0</v>
      </c>
      <c r="BB1024" s="202">
        <v>5</v>
      </c>
      <c r="BC1024" s="202" t="s">
        <v>647</v>
      </c>
      <c r="BD1024" s="202" t="s">
        <v>632</v>
      </c>
      <c r="BE1024" s="202" t="s">
        <v>1838</v>
      </c>
      <c r="BF1024" s="194" t="s">
        <v>739</v>
      </c>
      <c r="BG1024" s="203" t="s">
        <v>7514</v>
      </c>
      <c r="BH1024" s="216">
        <f>AS1024</f>
        <v>0</v>
      </c>
      <c r="BI1024" s="206" t="s">
        <v>1519</v>
      </c>
      <c r="BJ1024" s="206" t="s">
        <v>7515</v>
      </c>
      <c r="BK1024" s="205" t="s">
        <v>7511</v>
      </c>
      <c r="BL1024" s="203" t="s">
        <v>7516</v>
      </c>
      <c r="BM1024" s="208">
        <f>BH1024</f>
        <v>0</v>
      </c>
      <c r="BN1024" s="160"/>
      <c r="BO1024" s="161">
        <f t="shared" si="979"/>
        <v>0</v>
      </c>
      <c r="BP1024" s="161"/>
    </row>
    <row r="1025" spans="1:68" ht="51">
      <c r="A1025" s="205" t="s">
        <v>7517</v>
      </c>
      <c r="B1025" s="195" t="s">
        <v>7518</v>
      </c>
      <c r="C1025" s="196" t="s">
        <v>7519</v>
      </c>
      <c r="D1025" s="146" t="s">
        <v>4692</v>
      </c>
      <c r="E1025" s="196" t="s">
        <v>7519</v>
      </c>
      <c r="F1025" s="150">
        <v>0</v>
      </c>
      <c r="G1025" s="209">
        <v>0</v>
      </c>
      <c r="H1025" s="209">
        <v>0</v>
      </c>
      <c r="I1025" s="209">
        <v>0</v>
      </c>
      <c r="J1025" s="150">
        <v>0</v>
      </c>
      <c r="K1025" s="150">
        <v>0</v>
      </c>
      <c r="L1025" s="150">
        <f t="shared" si="978"/>
        <v>0</v>
      </c>
      <c r="M1025" s="150">
        <v>0</v>
      </c>
      <c r="N1025" s="150"/>
      <c r="O1025" s="150">
        <v>0</v>
      </c>
      <c r="P1025" s="150">
        <v>0</v>
      </c>
      <c r="Q1025" s="150">
        <v>0</v>
      </c>
      <c r="R1025" s="150">
        <f t="shared" si="990"/>
        <v>0</v>
      </c>
      <c r="S1025" s="150">
        <f t="shared" si="977"/>
        <v>0</v>
      </c>
      <c r="T1025" s="150"/>
      <c r="U1025" s="150">
        <v>0</v>
      </c>
      <c r="V1025" s="199"/>
      <c r="W1025" s="150">
        <f t="shared" si="985"/>
        <v>0</v>
      </c>
      <c r="X1025" s="150">
        <v>0</v>
      </c>
      <c r="Y1025" s="150"/>
      <c r="Z1025" s="150">
        <v>0</v>
      </c>
      <c r="AA1025" s="150">
        <f t="shared" si="973"/>
        <v>0</v>
      </c>
      <c r="AB1025" s="150">
        <v>0</v>
      </c>
      <c r="AC1025" s="199"/>
      <c r="AD1025" s="150">
        <f t="shared" si="986"/>
        <v>0</v>
      </c>
      <c r="AE1025" s="150">
        <v>0</v>
      </c>
      <c r="AF1025" s="169" t="s">
        <v>4680</v>
      </c>
      <c r="AG1025" s="201">
        <v>0</v>
      </c>
      <c r="AH1025" s="199"/>
      <c r="AI1025" s="150">
        <v>0</v>
      </c>
      <c r="AJ1025" s="169">
        <f t="shared" si="974"/>
        <v>0</v>
      </c>
      <c r="AK1025" s="201">
        <v>0</v>
      </c>
      <c r="AL1025" s="199"/>
      <c r="AM1025" s="150">
        <f t="shared" si="987"/>
        <v>0</v>
      </c>
      <c r="AN1025" s="153">
        <f t="shared" si="975"/>
        <v>0</v>
      </c>
      <c r="AO1025" s="154">
        <f t="shared" si="976"/>
        <v>0</v>
      </c>
      <c r="AP1025" s="150">
        <v>0</v>
      </c>
      <c r="AQ1025" s="201">
        <v>0</v>
      </c>
      <c r="AR1025" s="199"/>
      <c r="AS1025" s="150">
        <f t="shared" si="988"/>
        <v>0</v>
      </c>
      <c r="AT1025" s="155"/>
      <c r="AU1025" s="156">
        <f t="shared" si="971"/>
        <v>0</v>
      </c>
      <c r="AV1025" s="156">
        <f t="shared" si="972"/>
        <v>0</v>
      </c>
      <c r="AW1025" s="157"/>
      <c r="AX1025" s="150">
        <v>0</v>
      </c>
      <c r="AY1025" s="150">
        <v>0</v>
      </c>
      <c r="AZ1025" s="150"/>
      <c r="BA1025" s="150">
        <f t="shared" si="989"/>
        <v>0</v>
      </c>
      <c r="BB1025" s="202">
        <v>5</v>
      </c>
      <c r="BC1025" s="202" t="s">
        <v>647</v>
      </c>
      <c r="BD1025" s="202" t="s">
        <v>632</v>
      </c>
      <c r="BE1025" s="202" t="s">
        <v>1838</v>
      </c>
      <c r="BF1025" s="194" t="s">
        <v>755</v>
      </c>
      <c r="BG1025" s="203" t="s">
        <v>7519</v>
      </c>
      <c r="BH1025" s="216">
        <f>F1025</f>
        <v>0</v>
      </c>
      <c r="BI1025" s="206" t="s">
        <v>1340</v>
      </c>
      <c r="BJ1025" s="206" t="s">
        <v>7520</v>
      </c>
      <c r="BK1025" s="205" t="s">
        <v>7517</v>
      </c>
      <c r="BL1025" s="203" t="s">
        <v>7521</v>
      </c>
      <c r="BM1025" s="208">
        <f>BH1025</f>
        <v>0</v>
      </c>
      <c r="BN1025" s="160"/>
      <c r="BO1025" s="161">
        <f t="shared" si="979"/>
        <v>0</v>
      </c>
      <c r="BP1025" s="161"/>
    </row>
    <row r="1026" spans="1:68" ht="38.25">
      <c r="A1026" s="256" t="s">
        <v>424</v>
      </c>
      <c r="B1026" s="184"/>
      <c r="C1026" s="185" t="s">
        <v>7522</v>
      </c>
      <c r="D1026" s="146" t="s">
        <v>4692</v>
      </c>
      <c r="E1026" s="185" t="s">
        <v>7522</v>
      </c>
      <c r="F1026" s="188">
        <v>0</v>
      </c>
      <c r="G1026" s="187">
        <v>0</v>
      </c>
      <c r="H1026" s="187"/>
      <c r="I1026" s="187">
        <v>0</v>
      </c>
      <c r="J1026" s="188">
        <f>SUM(J1027)</f>
        <v>0</v>
      </c>
      <c r="K1026" s="188">
        <f>SUM(K1027)</f>
        <v>0</v>
      </c>
      <c r="L1026" s="188">
        <f t="shared" si="978"/>
        <v>0</v>
      </c>
      <c r="M1026" s="188">
        <v>0</v>
      </c>
      <c r="N1026" s="188">
        <v>0</v>
      </c>
      <c r="O1026" s="188">
        <v>0</v>
      </c>
      <c r="P1026" s="299">
        <f t="shared" ref="P1026:AS1026" si="991">SUM(P1027)</f>
        <v>0</v>
      </c>
      <c r="Q1026" s="299">
        <f t="shared" si="991"/>
        <v>0</v>
      </c>
      <c r="R1026" s="299">
        <f t="shared" si="991"/>
        <v>0</v>
      </c>
      <c r="S1026" s="150">
        <f t="shared" si="977"/>
        <v>0</v>
      </c>
      <c r="T1026" s="213"/>
      <c r="U1026" s="299">
        <f t="shared" ref="U1026:W1026" si="992">SUM(U1027)</f>
        <v>0</v>
      </c>
      <c r="V1026" s="226">
        <f t="shared" si="992"/>
        <v>0</v>
      </c>
      <c r="W1026" s="299">
        <f t="shared" si="992"/>
        <v>0</v>
      </c>
      <c r="X1026" s="299">
        <v>0</v>
      </c>
      <c r="Y1026" s="299">
        <v>0</v>
      </c>
      <c r="Z1026" s="299">
        <v>0</v>
      </c>
      <c r="AA1026" s="299">
        <f t="shared" si="973"/>
        <v>0</v>
      </c>
      <c r="AB1026" s="299">
        <v>0</v>
      </c>
      <c r="AC1026" s="226">
        <v>0</v>
      </c>
      <c r="AD1026" s="299">
        <f t="shared" si="991"/>
        <v>0</v>
      </c>
      <c r="AE1026" s="299">
        <v>0</v>
      </c>
      <c r="AF1026" s="169" t="s">
        <v>4680</v>
      </c>
      <c r="AG1026" s="301">
        <v>0</v>
      </c>
      <c r="AH1026" s="226">
        <v>0</v>
      </c>
      <c r="AI1026" s="299">
        <v>0</v>
      </c>
      <c r="AJ1026" s="169">
        <f t="shared" si="974"/>
        <v>0</v>
      </c>
      <c r="AK1026" s="301">
        <v>0</v>
      </c>
      <c r="AL1026" s="226">
        <v>0</v>
      </c>
      <c r="AM1026" s="299">
        <f t="shared" si="991"/>
        <v>0</v>
      </c>
      <c r="AN1026" s="153">
        <f t="shared" si="975"/>
        <v>0</v>
      </c>
      <c r="AO1026" s="154">
        <f t="shared" si="976"/>
        <v>0</v>
      </c>
      <c r="AP1026" s="299">
        <v>0</v>
      </c>
      <c r="AQ1026" s="301">
        <v>0</v>
      </c>
      <c r="AR1026" s="226">
        <f t="shared" si="991"/>
        <v>0</v>
      </c>
      <c r="AS1026" s="299">
        <f t="shared" si="991"/>
        <v>0</v>
      </c>
      <c r="AT1026" s="155"/>
      <c r="AU1026" s="156">
        <f t="shared" ref="AU1026:AU1089" si="993">AM1026-AD1026</f>
        <v>0</v>
      </c>
      <c r="AV1026" s="156">
        <f t="shared" ref="AV1026:AV1089" si="994">AD1026-AX1026</f>
        <v>0</v>
      </c>
      <c r="AW1026" s="157"/>
      <c r="AX1026" s="150">
        <v>0</v>
      </c>
      <c r="AY1026" s="299">
        <f t="shared" ref="AY1026:BA1026" si="995">SUM(AY1027)</f>
        <v>0</v>
      </c>
      <c r="AZ1026" s="299">
        <f t="shared" si="995"/>
        <v>0</v>
      </c>
      <c r="BA1026" s="299">
        <f t="shared" si="995"/>
        <v>0</v>
      </c>
      <c r="BB1026" s="192">
        <v>5</v>
      </c>
      <c r="BC1026" s="256" t="s">
        <v>647</v>
      </c>
      <c r="BD1026" s="256" t="s">
        <v>632</v>
      </c>
      <c r="BE1026" s="256" t="s">
        <v>1842</v>
      </c>
      <c r="BF1026" s="256" t="s">
        <v>630</v>
      </c>
      <c r="BG1026" s="185" t="s">
        <v>7522</v>
      </c>
      <c r="BH1026" s="302">
        <f>SUM(BH1027)</f>
        <v>0</v>
      </c>
      <c r="BI1026" s="256" t="s">
        <v>1349</v>
      </c>
      <c r="BJ1026" s="256" t="s">
        <v>7523</v>
      </c>
      <c r="BK1026" s="256" t="s">
        <v>424</v>
      </c>
      <c r="BL1026" s="185" t="s">
        <v>7524</v>
      </c>
      <c r="BM1026" s="302">
        <f>SUM(BM1027)</f>
        <v>0</v>
      </c>
      <c r="BN1026" s="160"/>
      <c r="BO1026" s="161">
        <f t="shared" si="979"/>
        <v>0</v>
      </c>
      <c r="BP1026" s="161"/>
    </row>
    <row r="1027" spans="1:68" ht="38.25">
      <c r="A1027" s="206" t="s">
        <v>424</v>
      </c>
      <c r="B1027" s="195" t="s">
        <v>7525</v>
      </c>
      <c r="C1027" s="196" t="s">
        <v>7522</v>
      </c>
      <c r="D1027" s="146" t="s">
        <v>4692</v>
      </c>
      <c r="E1027" s="203" t="s">
        <v>7522</v>
      </c>
      <c r="F1027" s="150">
        <v>0</v>
      </c>
      <c r="G1027" s="242">
        <v>34230937.889999993</v>
      </c>
      <c r="H1027" s="242">
        <v>4676112.0364927249</v>
      </c>
      <c r="I1027" s="242">
        <v>38907049.926492721</v>
      </c>
      <c r="J1027" s="150">
        <v>0</v>
      </c>
      <c r="K1027" s="150">
        <v>0</v>
      </c>
      <c r="L1027" s="150">
        <f t="shared" si="978"/>
        <v>0</v>
      </c>
      <c r="M1027" s="150">
        <v>0</v>
      </c>
      <c r="N1027" s="150"/>
      <c r="O1027" s="150">
        <v>0</v>
      </c>
      <c r="P1027" s="150">
        <v>0</v>
      </c>
      <c r="Q1027" s="150"/>
      <c r="R1027" s="150">
        <f>P1027+Q1027</f>
        <v>0</v>
      </c>
      <c r="S1027" s="150">
        <f t="shared" si="977"/>
        <v>0</v>
      </c>
      <c r="T1027" s="150"/>
      <c r="U1027" s="150">
        <v>0</v>
      </c>
      <c r="V1027" s="199"/>
      <c r="W1027" s="150">
        <f>U1027+V1027</f>
        <v>0</v>
      </c>
      <c r="X1027" s="150">
        <v>0</v>
      </c>
      <c r="Y1027" s="150"/>
      <c r="Z1027" s="150">
        <v>0</v>
      </c>
      <c r="AA1027" s="150">
        <f t="shared" ref="AA1027:AA1090" si="996">AD1027-Z1027</f>
        <v>0</v>
      </c>
      <c r="AB1027" s="150">
        <v>0</v>
      </c>
      <c r="AC1027" s="199"/>
      <c r="AD1027" s="150">
        <f>AB1027+AC1027</f>
        <v>0</v>
      </c>
      <c r="AE1027" s="150">
        <v>0</v>
      </c>
      <c r="AF1027" s="169" t="s">
        <v>4680</v>
      </c>
      <c r="AG1027" s="201">
        <v>0</v>
      </c>
      <c r="AH1027" s="199"/>
      <c r="AI1027" s="150">
        <v>0</v>
      </c>
      <c r="AJ1027" s="169">
        <f t="shared" ref="AJ1027:AJ1090" si="997">AM1027-AI1027</f>
        <v>0</v>
      </c>
      <c r="AK1027" s="201">
        <v>0</v>
      </c>
      <c r="AL1027" s="199"/>
      <c r="AM1027" s="150">
        <f>AK1027+AL1027</f>
        <v>0</v>
      </c>
      <c r="AN1027" s="153">
        <f t="shared" ref="AN1027:AN1090" si="998">AS1027-AM1027</f>
        <v>0</v>
      </c>
      <c r="AO1027" s="154">
        <f t="shared" ref="AO1027:AO1090" si="999">AS1027-AP1027</f>
        <v>0</v>
      </c>
      <c r="AP1027" s="150">
        <v>0</v>
      </c>
      <c r="AQ1027" s="201">
        <v>0</v>
      </c>
      <c r="AR1027" s="199"/>
      <c r="AS1027" s="150">
        <f>AQ1027+AR1027</f>
        <v>0</v>
      </c>
      <c r="AT1027" s="155"/>
      <c r="AU1027" s="156">
        <f t="shared" si="993"/>
        <v>0</v>
      </c>
      <c r="AV1027" s="156">
        <f t="shared" si="994"/>
        <v>0</v>
      </c>
      <c r="AW1027" s="157"/>
      <c r="AX1027" s="150">
        <v>0</v>
      </c>
      <c r="AY1027" s="150">
        <v>0</v>
      </c>
      <c r="AZ1027" s="150"/>
      <c r="BA1027" s="150">
        <f t="shared" ref="BA1027:BA1088" si="1000">AY1027+AZ1027</f>
        <v>0</v>
      </c>
      <c r="BB1027" s="202">
        <v>5</v>
      </c>
      <c r="BC1027" s="202" t="s">
        <v>647</v>
      </c>
      <c r="BD1027" s="202" t="s">
        <v>632</v>
      </c>
      <c r="BE1027" s="202">
        <v>18</v>
      </c>
      <c r="BF1027" s="202" t="s">
        <v>632</v>
      </c>
      <c r="BG1027" s="203" t="s">
        <v>7522</v>
      </c>
      <c r="BH1027" s="216">
        <f>AS1027</f>
        <v>0</v>
      </c>
      <c r="BI1027" s="206" t="s">
        <v>1349</v>
      </c>
      <c r="BJ1027" s="206" t="s">
        <v>7523</v>
      </c>
      <c r="BK1027" s="206" t="s">
        <v>424</v>
      </c>
      <c r="BL1027" s="207" t="s">
        <v>7524</v>
      </c>
      <c r="BM1027" s="208">
        <f>BH1027</f>
        <v>0</v>
      </c>
      <c r="BN1027" s="160"/>
      <c r="BO1027" s="161">
        <f t="shared" si="979"/>
        <v>0</v>
      </c>
      <c r="BP1027" s="161"/>
    </row>
    <row r="1028" spans="1:68" ht="25.5">
      <c r="A1028" s="255" t="s">
        <v>7526</v>
      </c>
      <c r="B1028" s="174"/>
      <c r="C1028" s="175" t="s">
        <v>7527</v>
      </c>
      <c r="D1028" s="146" t="s">
        <v>4692</v>
      </c>
      <c r="E1028" s="175" t="s">
        <v>7527</v>
      </c>
      <c r="F1028" s="178">
        <v>40078437.270000003</v>
      </c>
      <c r="G1028" s="177">
        <v>24312476.289999995</v>
      </c>
      <c r="H1028" s="177">
        <v>3114832.3638300002</v>
      </c>
      <c r="I1028" s="177">
        <v>27427308.653829999</v>
      </c>
      <c r="J1028" s="178">
        <f>J1029+J1068+J1089+J1237</f>
        <v>5637411</v>
      </c>
      <c r="K1028" s="178">
        <f>K1029+K1068+K1089+K1237</f>
        <v>3215199.1839999999</v>
      </c>
      <c r="L1028" s="178">
        <f t="shared" si="978"/>
        <v>8852610.1840000004</v>
      </c>
      <c r="M1028" s="178">
        <v>13694856.740000002</v>
      </c>
      <c r="N1028" s="178">
        <v>6190768.3418652052</v>
      </c>
      <c r="O1028" s="178">
        <v>19885625.081865206</v>
      </c>
      <c r="P1028" s="319">
        <f t="shared" ref="P1028:R1028" si="1001">P1029+P1068+P1089+P1237</f>
        <v>24639765.84</v>
      </c>
      <c r="Q1028" s="319">
        <f t="shared" si="1001"/>
        <v>7220676.5683443788</v>
      </c>
      <c r="R1028" s="319">
        <f t="shared" si="1001"/>
        <v>31860442.408344388</v>
      </c>
      <c r="S1028" s="150">
        <f t="shared" ref="S1028:S1091" si="1002">R1028/9*12</f>
        <v>42480589.877792515</v>
      </c>
      <c r="T1028" s="213"/>
      <c r="U1028" s="319">
        <f t="shared" ref="U1028:W1028" si="1003">U1029+U1068+U1089+U1237</f>
        <v>39101225.538701922</v>
      </c>
      <c r="V1028" s="222">
        <f t="shared" si="1003"/>
        <v>3712316.3929233612</v>
      </c>
      <c r="W1028" s="319">
        <f t="shared" si="1003"/>
        <v>42813541.931625277</v>
      </c>
      <c r="X1028" s="319">
        <v>39101225.538701922</v>
      </c>
      <c r="Y1028" s="319">
        <v>3712316.3929233612</v>
      </c>
      <c r="Z1028" s="319">
        <v>42813541.931625277</v>
      </c>
      <c r="AA1028" s="319">
        <f t="shared" si="996"/>
        <v>153226.78263664246</v>
      </c>
      <c r="AB1028" s="319">
        <v>41426631.918701917</v>
      </c>
      <c r="AC1028" s="222">
        <v>1540136.7955599995</v>
      </c>
      <c r="AD1028" s="319">
        <f t="shared" ref="AD1028" si="1004">AD1029+AD1068+AD1089+AD1237</f>
        <v>42966768.714261919</v>
      </c>
      <c r="AE1028" s="319">
        <v>42966768.714261919</v>
      </c>
      <c r="AF1028" s="169" t="s">
        <v>4680</v>
      </c>
      <c r="AG1028" s="320">
        <v>41426631.918701917</v>
      </c>
      <c r="AH1028" s="222">
        <v>1540100.7325599995</v>
      </c>
      <c r="AI1028" s="319">
        <v>42966732.651261918</v>
      </c>
      <c r="AJ1028" s="169">
        <f t="shared" si="997"/>
        <v>0</v>
      </c>
      <c r="AK1028" s="320">
        <v>41426631.918701917</v>
      </c>
      <c r="AL1028" s="222">
        <v>1540100.7325599995</v>
      </c>
      <c r="AM1028" s="319">
        <f t="shared" ref="AM1028" si="1005">AM1029+AM1068+AM1089+AM1237</f>
        <v>42966732.651261918</v>
      </c>
      <c r="AN1028" s="153">
        <f t="shared" si="998"/>
        <v>447066.99873808026</v>
      </c>
      <c r="AO1028" s="154">
        <f t="shared" si="999"/>
        <v>447066.99873808026</v>
      </c>
      <c r="AP1028" s="319">
        <v>42966732.651261918</v>
      </c>
      <c r="AQ1028" s="320">
        <v>43413799.649999999</v>
      </c>
      <c r="AR1028" s="222">
        <f t="shared" ref="AR1028:AS1028" si="1006">AR1029+AR1068+AR1089+AR1237</f>
        <v>0</v>
      </c>
      <c r="AS1028" s="319">
        <f t="shared" si="1006"/>
        <v>43413799.649999999</v>
      </c>
      <c r="AT1028" s="155"/>
      <c r="AU1028" s="156">
        <f t="shared" si="993"/>
        <v>-36.063000001013279</v>
      </c>
      <c r="AV1028" s="156">
        <f t="shared" si="994"/>
        <v>153226.78263664246</v>
      </c>
      <c r="AW1028" s="157"/>
      <c r="AX1028" s="150">
        <v>42813541.931625277</v>
      </c>
      <c r="AY1028" s="319">
        <f t="shared" ref="AY1028:BA1028" si="1007">AY1029+AY1068+AY1089+AY1237</f>
        <v>19963144.469999999</v>
      </c>
      <c r="AZ1028" s="319">
        <f t="shared" si="1007"/>
        <v>21792748.118680406</v>
      </c>
      <c r="BA1028" s="319">
        <f t="shared" si="1007"/>
        <v>41755892.588680416</v>
      </c>
      <c r="BB1028" s="254">
        <v>5</v>
      </c>
      <c r="BC1028" s="255" t="s">
        <v>647</v>
      </c>
      <c r="BD1028" s="255" t="s">
        <v>647</v>
      </c>
      <c r="BE1028" s="173" t="s">
        <v>630</v>
      </c>
      <c r="BF1028" s="255" t="s">
        <v>630</v>
      </c>
      <c r="BG1028" s="175" t="s">
        <v>7527</v>
      </c>
      <c r="BH1028" s="224">
        <f>BH1029+BH1068+BH1089+BH1237</f>
        <v>43413799.649999991</v>
      </c>
      <c r="BI1028" s="254"/>
      <c r="BJ1028" s="255" t="s">
        <v>7528</v>
      </c>
      <c r="BK1028" s="255" t="s">
        <v>7526</v>
      </c>
      <c r="BL1028" s="175" t="s">
        <v>7529</v>
      </c>
      <c r="BM1028" s="224">
        <f>BM1029+BM1068+BM1089+BM1237</f>
        <v>43413799.649999991</v>
      </c>
      <c r="BN1028" s="160"/>
      <c r="BO1028" s="161">
        <f t="shared" si="979"/>
        <v>0</v>
      </c>
      <c r="BP1028" s="161"/>
    </row>
    <row r="1029" spans="1:68">
      <c r="A1029" s="256" t="s">
        <v>7530</v>
      </c>
      <c r="B1029" s="184"/>
      <c r="C1029" s="185" t="s">
        <v>7531</v>
      </c>
      <c r="D1029" s="146" t="s">
        <v>4692</v>
      </c>
      <c r="E1029" s="185" t="s">
        <v>7531</v>
      </c>
      <c r="F1029" s="188">
        <v>28733631.350000005</v>
      </c>
      <c r="G1029" s="187">
        <v>0</v>
      </c>
      <c r="H1029" s="187">
        <v>291250.48</v>
      </c>
      <c r="I1029" s="187">
        <v>291250.48</v>
      </c>
      <c r="J1029" s="188">
        <f>SUM(J1030:J1067)</f>
        <v>2976820.9499999997</v>
      </c>
      <c r="K1029" s="188">
        <f>SUM(K1030:K1067)</f>
        <v>3318507.9339999999</v>
      </c>
      <c r="L1029" s="188">
        <f t="shared" si="978"/>
        <v>6295328.8839999996</v>
      </c>
      <c r="M1029" s="188">
        <v>8797965.870000001</v>
      </c>
      <c r="N1029" s="188">
        <v>5462874.8450000007</v>
      </c>
      <c r="O1029" s="188">
        <v>14260840.715000002</v>
      </c>
      <c r="P1029" s="299">
        <f t="shared" ref="P1029:R1029" si="1008">SUM(P1030:P1067)</f>
        <v>17288068.619999997</v>
      </c>
      <c r="Q1029" s="299">
        <f t="shared" si="1008"/>
        <v>6157444.409599998</v>
      </c>
      <c r="R1029" s="299">
        <f t="shared" si="1008"/>
        <v>23445513.029600006</v>
      </c>
      <c r="S1029" s="150">
        <f t="shared" si="1002"/>
        <v>31260684.039466672</v>
      </c>
      <c r="T1029" s="213"/>
      <c r="U1029" s="299">
        <f t="shared" ref="U1029:W1029" si="1009">SUM(U1030:U1067)</f>
        <v>30007522.580000006</v>
      </c>
      <c r="V1029" s="226">
        <f t="shared" si="1009"/>
        <v>2577126.2428599996</v>
      </c>
      <c r="W1029" s="299">
        <f t="shared" si="1009"/>
        <v>32584648.822859999</v>
      </c>
      <c r="X1029" s="299">
        <v>30007522.580000006</v>
      </c>
      <c r="Y1029" s="299">
        <v>2577126.2428599996</v>
      </c>
      <c r="Z1029" s="299">
        <v>32584648.822859999</v>
      </c>
      <c r="AA1029" s="299">
        <f t="shared" si="996"/>
        <v>47774.352699998766</v>
      </c>
      <c r="AB1029" s="299">
        <v>32250243.859999999</v>
      </c>
      <c r="AC1029" s="226">
        <v>382179.31555999967</v>
      </c>
      <c r="AD1029" s="299">
        <f t="shared" ref="AD1029" si="1010">SUM(AD1030:AD1067)</f>
        <v>32632423.175559998</v>
      </c>
      <c r="AE1029" s="299">
        <v>32632423.175559998</v>
      </c>
      <c r="AF1029" s="169" t="s">
        <v>4680</v>
      </c>
      <c r="AG1029" s="301">
        <v>32250243.859999999</v>
      </c>
      <c r="AH1029" s="226">
        <v>382143.25255999959</v>
      </c>
      <c r="AI1029" s="299">
        <v>32632387.112559997</v>
      </c>
      <c r="AJ1029" s="169">
        <f t="shared" si="997"/>
        <v>0</v>
      </c>
      <c r="AK1029" s="301">
        <v>32250243.859999999</v>
      </c>
      <c r="AL1029" s="226">
        <v>382143.25255999959</v>
      </c>
      <c r="AM1029" s="299">
        <f t="shared" ref="AM1029" si="1011">SUM(AM1030:AM1067)</f>
        <v>32632387.112559997</v>
      </c>
      <c r="AN1029" s="153">
        <f t="shared" si="998"/>
        <v>7.4400007724761963E-3</v>
      </c>
      <c r="AO1029" s="154">
        <f t="shared" si="999"/>
        <v>7.4400007724761963E-3</v>
      </c>
      <c r="AP1029" s="299">
        <v>32632387.112559997</v>
      </c>
      <c r="AQ1029" s="301">
        <v>32632387.119999997</v>
      </c>
      <c r="AR1029" s="226">
        <f t="shared" ref="AR1029:AS1029" si="1012">SUM(AR1030:AR1067)</f>
        <v>0</v>
      </c>
      <c r="AS1029" s="299">
        <f t="shared" si="1012"/>
        <v>32632387.119999997</v>
      </c>
      <c r="AT1029" s="155"/>
      <c r="AU1029" s="156">
        <f t="shared" si="993"/>
        <v>-36.063000001013279</v>
      </c>
      <c r="AV1029" s="156">
        <f t="shared" si="994"/>
        <v>47774.352699998766</v>
      </c>
      <c r="AW1029" s="157"/>
      <c r="AX1029" s="150">
        <v>32584648.822859999</v>
      </c>
      <c r="AY1029" s="299">
        <f t="shared" ref="AY1029:BA1029" si="1013">SUM(AY1030:AY1067)</f>
        <v>14023819.709999997</v>
      </c>
      <c r="AZ1029" s="299">
        <f t="shared" si="1013"/>
        <v>16528460.01495</v>
      </c>
      <c r="BA1029" s="299">
        <f t="shared" si="1013"/>
        <v>30552279.724950004</v>
      </c>
      <c r="BB1029" s="192">
        <v>5</v>
      </c>
      <c r="BC1029" s="256" t="s">
        <v>647</v>
      </c>
      <c r="BD1029" s="256" t="s">
        <v>647</v>
      </c>
      <c r="BE1029" s="256" t="s">
        <v>632</v>
      </c>
      <c r="BF1029" s="256" t="s">
        <v>630</v>
      </c>
      <c r="BG1029" s="185" t="s">
        <v>7531</v>
      </c>
      <c r="BH1029" s="302">
        <f>SUM(BH1030:BH1067)</f>
        <v>32632387.120000001</v>
      </c>
      <c r="BI1029" s="192"/>
      <c r="BJ1029" s="256" t="s">
        <v>7532</v>
      </c>
      <c r="BK1029" s="256" t="s">
        <v>7530</v>
      </c>
      <c r="BL1029" s="185" t="s">
        <v>7533</v>
      </c>
      <c r="BM1029" s="302">
        <f>SUM(BM1030:BM1067)</f>
        <v>32632387.120000001</v>
      </c>
      <c r="BN1029" s="160"/>
      <c r="BO1029" s="161">
        <f t="shared" si="979"/>
        <v>0</v>
      </c>
      <c r="BP1029" s="161"/>
    </row>
    <row r="1030" spans="1:68">
      <c r="A1030" s="206" t="s">
        <v>425</v>
      </c>
      <c r="B1030" s="195" t="s">
        <v>7534</v>
      </c>
      <c r="C1030" s="196" t="s">
        <v>7535</v>
      </c>
      <c r="D1030" s="146" t="s">
        <v>4692</v>
      </c>
      <c r="E1030" s="196" t="s">
        <v>7535</v>
      </c>
      <c r="F1030" s="150">
        <v>278789.09999999998</v>
      </c>
      <c r="G1030" s="209">
        <v>4832999.97</v>
      </c>
      <c r="H1030" s="209">
        <v>1006457.0300000003</v>
      </c>
      <c r="I1030" s="209">
        <v>5839457</v>
      </c>
      <c r="J1030" s="150">
        <v>0</v>
      </c>
      <c r="K1030" s="150">
        <v>83780.53</v>
      </c>
      <c r="L1030" s="150">
        <f t="shared" si="978"/>
        <v>83780.53</v>
      </c>
      <c r="M1030" s="150">
        <v>87187.51</v>
      </c>
      <c r="N1030" s="150">
        <v>52207.039999999994</v>
      </c>
      <c r="O1030" s="150">
        <v>139394.54999999999</v>
      </c>
      <c r="P1030" s="150">
        <v>87187.51</v>
      </c>
      <c r="Q1030" s="150">
        <f>326593-P1030</f>
        <v>239405.49</v>
      </c>
      <c r="R1030" s="150">
        <f t="shared" ref="R1030:R1067" si="1014">P1030+Q1030</f>
        <v>326593</v>
      </c>
      <c r="S1030" s="150">
        <f t="shared" si="1002"/>
        <v>435457.33333333331</v>
      </c>
      <c r="T1030" s="150"/>
      <c r="U1030" s="150">
        <v>87187.51</v>
      </c>
      <c r="V1030" s="199">
        <v>323750.83</v>
      </c>
      <c r="W1030" s="150">
        <f t="shared" ref="W1030:W1067" si="1015">U1030+V1030</f>
        <v>410938.34</v>
      </c>
      <c r="X1030" s="150">
        <v>87187.51</v>
      </c>
      <c r="Y1030" s="150">
        <v>323750.83</v>
      </c>
      <c r="Z1030" s="150">
        <v>410938.34</v>
      </c>
      <c r="AA1030" s="150">
        <f t="shared" si="996"/>
        <v>-27662.059999999998</v>
      </c>
      <c r="AB1030" s="150">
        <v>383276.28</v>
      </c>
      <c r="AC1030" s="199"/>
      <c r="AD1030" s="150">
        <f t="shared" ref="AD1030:AD1067" si="1016">AB1030+AC1030</f>
        <v>383276.28</v>
      </c>
      <c r="AE1030" s="150">
        <v>383276.28</v>
      </c>
      <c r="AF1030" s="169" t="s">
        <v>4680</v>
      </c>
      <c r="AG1030" s="201">
        <v>383276.28</v>
      </c>
      <c r="AH1030" s="199"/>
      <c r="AI1030" s="150">
        <v>383276.28</v>
      </c>
      <c r="AJ1030" s="169">
        <f t="shared" si="997"/>
        <v>0</v>
      </c>
      <c r="AK1030" s="201">
        <v>383276.28</v>
      </c>
      <c r="AL1030" s="199"/>
      <c r="AM1030" s="150">
        <f t="shared" ref="AM1030:AM1067" si="1017">AK1030+AL1030</f>
        <v>383276.28</v>
      </c>
      <c r="AN1030" s="153">
        <f t="shared" si="998"/>
        <v>0</v>
      </c>
      <c r="AO1030" s="154">
        <f t="shared" si="999"/>
        <v>0</v>
      </c>
      <c r="AP1030" s="150">
        <v>383276.28</v>
      </c>
      <c r="AQ1030" s="201">
        <v>383276.28</v>
      </c>
      <c r="AR1030" s="199"/>
      <c r="AS1030" s="150">
        <f t="shared" ref="AS1030:AS1067" si="1018">AQ1030+AR1030</f>
        <v>383276.28</v>
      </c>
      <c r="AT1030" s="155" t="s">
        <v>7536</v>
      </c>
      <c r="AU1030" s="156">
        <f t="shared" si="993"/>
        <v>0</v>
      </c>
      <c r="AV1030" s="156">
        <f t="shared" si="994"/>
        <v>-27662.059999999998</v>
      </c>
      <c r="AW1030" s="157" t="s">
        <v>7277</v>
      </c>
      <c r="AX1030" s="150">
        <v>410938.34</v>
      </c>
      <c r="AY1030" s="150">
        <v>87187.51</v>
      </c>
      <c r="AZ1030" s="150">
        <f>O1030*2-AY1030</f>
        <v>191601.58999999997</v>
      </c>
      <c r="BA1030" s="150">
        <f t="shared" si="1000"/>
        <v>278789.09999999998</v>
      </c>
      <c r="BB1030" s="202">
        <v>5</v>
      </c>
      <c r="BC1030" s="202" t="s">
        <v>647</v>
      </c>
      <c r="BD1030" s="202" t="s">
        <v>647</v>
      </c>
      <c r="BE1030" s="202" t="s">
        <v>632</v>
      </c>
      <c r="BF1030" s="202" t="s">
        <v>632</v>
      </c>
      <c r="BG1030" s="203" t="s">
        <v>62</v>
      </c>
      <c r="BH1030" s="216">
        <f>AS1030</f>
        <v>383276.28</v>
      </c>
      <c r="BI1030" s="205"/>
      <c r="BJ1030" s="206" t="s">
        <v>7537</v>
      </c>
      <c r="BK1030" s="206" t="s">
        <v>425</v>
      </c>
      <c r="BL1030" s="207" t="s">
        <v>7538</v>
      </c>
      <c r="BM1030" s="208">
        <f>BH1030</f>
        <v>383276.28</v>
      </c>
      <c r="BN1030" s="160"/>
      <c r="BO1030" s="161">
        <f t="shared" si="979"/>
        <v>0</v>
      </c>
      <c r="BP1030" s="161"/>
    </row>
    <row r="1031" spans="1:68">
      <c r="A1031" s="206" t="s">
        <v>426</v>
      </c>
      <c r="B1031" s="195" t="s">
        <v>7539</v>
      </c>
      <c r="C1031" s="196" t="s">
        <v>7540</v>
      </c>
      <c r="D1031" s="146" t="s">
        <v>4692</v>
      </c>
      <c r="E1031" s="196" t="s">
        <v>7540</v>
      </c>
      <c r="F1031" s="150">
        <v>5764260.3399999999</v>
      </c>
      <c r="G1031" s="209">
        <v>2155646.64</v>
      </c>
      <c r="H1031" s="209"/>
      <c r="I1031" s="209">
        <v>2155646.64</v>
      </c>
      <c r="J1031" s="150">
        <v>939192.2</v>
      </c>
      <c r="K1031" s="150">
        <v>477066.23999999999</v>
      </c>
      <c r="L1031" s="150">
        <f t="shared" si="978"/>
        <v>1416258.44</v>
      </c>
      <c r="M1031" s="150">
        <v>1890827.49</v>
      </c>
      <c r="N1031" s="150">
        <v>991302.67999999993</v>
      </c>
      <c r="O1031" s="150">
        <v>2882130.17</v>
      </c>
      <c r="P1031" s="150">
        <v>3315733.14</v>
      </c>
      <c r="Q1031" s="150">
        <f>4358786.72-P1031</f>
        <v>1043053.5799999996</v>
      </c>
      <c r="R1031" s="150">
        <f t="shared" si="1014"/>
        <v>4358786.72</v>
      </c>
      <c r="S1031" s="150">
        <f t="shared" si="1002"/>
        <v>5811715.626666666</v>
      </c>
      <c r="T1031" s="150"/>
      <c r="U1031" s="150">
        <v>5697398.2999999998</v>
      </c>
      <c r="V1031" s="199"/>
      <c r="W1031" s="150">
        <f t="shared" si="1015"/>
        <v>5697398.2999999998</v>
      </c>
      <c r="X1031" s="150">
        <v>5697398.2999999998</v>
      </c>
      <c r="Y1031" s="150"/>
      <c r="Z1031" s="150">
        <v>5697398.2999999998</v>
      </c>
      <c r="AA1031" s="150">
        <f t="shared" si="996"/>
        <v>0</v>
      </c>
      <c r="AB1031" s="150">
        <v>5697398.2999999998</v>
      </c>
      <c r="AC1031" s="199"/>
      <c r="AD1031" s="150">
        <f t="shared" si="1016"/>
        <v>5697398.2999999998</v>
      </c>
      <c r="AE1031" s="150">
        <v>5697398.2999999998</v>
      </c>
      <c r="AF1031" s="169" t="s">
        <v>4680</v>
      </c>
      <c r="AG1031" s="201">
        <v>5697398.2999999998</v>
      </c>
      <c r="AH1031" s="199"/>
      <c r="AI1031" s="150">
        <v>5697398.2999999998</v>
      </c>
      <c r="AJ1031" s="169">
        <f t="shared" si="997"/>
        <v>0</v>
      </c>
      <c r="AK1031" s="201">
        <v>5697398.2999999998</v>
      </c>
      <c r="AL1031" s="199"/>
      <c r="AM1031" s="150">
        <f t="shared" si="1017"/>
        <v>5697398.2999999998</v>
      </c>
      <c r="AN1031" s="153">
        <f t="shared" si="998"/>
        <v>0</v>
      </c>
      <c r="AO1031" s="154">
        <f t="shared" si="999"/>
        <v>0</v>
      </c>
      <c r="AP1031" s="150">
        <v>5697398.2999999998</v>
      </c>
      <c r="AQ1031" s="201">
        <v>5697398.2999999998</v>
      </c>
      <c r="AR1031" s="199"/>
      <c r="AS1031" s="150">
        <f t="shared" si="1018"/>
        <v>5697398.2999999998</v>
      </c>
      <c r="AT1031" s="155"/>
      <c r="AU1031" s="156">
        <f t="shared" si="993"/>
        <v>0</v>
      </c>
      <c r="AV1031" s="156">
        <f t="shared" si="994"/>
        <v>0</v>
      </c>
      <c r="AW1031" s="157"/>
      <c r="AX1031" s="150">
        <v>5697398.2999999998</v>
      </c>
      <c r="AY1031" s="150">
        <v>2839539.26</v>
      </c>
      <c r="AZ1031" s="150">
        <f>6189924-AY1031</f>
        <v>3350384.74</v>
      </c>
      <c r="BA1031" s="150">
        <f t="shared" si="1000"/>
        <v>6189924</v>
      </c>
      <c r="BB1031" s="202">
        <v>5</v>
      </c>
      <c r="BC1031" s="202" t="s">
        <v>647</v>
      </c>
      <c r="BD1031" s="202" t="s">
        <v>647</v>
      </c>
      <c r="BE1031" s="202" t="s">
        <v>632</v>
      </c>
      <c r="BF1031" s="202" t="s">
        <v>647</v>
      </c>
      <c r="BG1031" s="203" t="s">
        <v>63</v>
      </c>
      <c r="BH1031" s="216">
        <f>AS1031</f>
        <v>5697398.2999999998</v>
      </c>
      <c r="BI1031" s="205"/>
      <c r="BJ1031" s="206" t="s">
        <v>7541</v>
      </c>
      <c r="BK1031" s="206" t="s">
        <v>426</v>
      </c>
      <c r="BL1031" s="207" t="s">
        <v>7542</v>
      </c>
      <c r="BM1031" s="208">
        <f>BH1031</f>
        <v>5697398.2999999998</v>
      </c>
      <c r="BN1031" s="160"/>
      <c r="BO1031" s="161">
        <f t="shared" si="979"/>
        <v>0</v>
      </c>
      <c r="BP1031" s="161"/>
    </row>
    <row r="1032" spans="1:68">
      <c r="A1032" s="206" t="s">
        <v>7543</v>
      </c>
      <c r="B1032" s="195" t="s">
        <v>7544</v>
      </c>
      <c r="C1032" s="196" t="s">
        <v>7545</v>
      </c>
      <c r="D1032" s="146" t="s">
        <v>4692</v>
      </c>
      <c r="E1032" s="203" t="s">
        <v>7546</v>
      </c>
      <c r="F1032" s="150">
        <v>2155646.64</v>
      </c>
      <c r="G1032" s="242">
        <v>575481.07999999996</v>
      </c>
      <c r="H1032" s="242"/>
      <c r="I1032" s="242">
        <v>575481.07999999996</v>
      </c>
      <c r="J1032" s="150">
        <v>376825.06</v>
      </c>
      <c r="K1032" s="150">
        <v>4.0000000153668225E-3</v>
      </c>
      <c r="L1032" s="150">
        <f t="shared" si="978"/>
        <v>376825.06400000001</v>
      </c>
      <c r="M1032" s="150">
        <v>946791.39</v>
      </c>
      <c r="N1032" s="150"/>
      <c r="O1032" s="150">
        <v>946791.39</v>
      </c>
      <c r="P1032" s="150">
        <v>1507671.29</v>
      </c>
      <c r="Q1032" s="237">
        <v>942294.56</v>
      </c>
      <c r="R1032" s="150">
        <f t="shared" si="1014"/>
        <v>2449965.85</v>
      </c>
      <c r="S1032" s="150">
        <f t="shared" si="1002"/>
        <v>3266621.1333333333</v>
      </c>
      <c r="T1032" s="150"/>
      <c r="U1032" s="150">
        <v>2232169.88</v>
      </c>
      <c r="V1032" s="199"/>
      <c r="W1032" s="150">
        <f t="shared" si="1015"/>
        <v>2232169.88</v>
      </c>
      <c r="X1032" s="150">
        <v>2232169.88</v>
      </c>
      <c r="Y1032" s="150"/>
      <c r="Z1032" s="150">
        <v>2232169.88</v>
      </c>
      <c r="AA1032" s="150">
        <f t="shared" si="996"/>
        <v>36.063000000081956</v>
      </c>
      <c r="AB1032" s="150">
        <v>2232169.88</v>
      </c>
      <c r="AC1032" s="199">
        <v>36.063000000081956</v>
      </c>
      <c r="AD1032" s="150">
        <f t="shared" si="1016"/>
        <v>2232205.943</v>
      </c>
      <c r="AE1032" s="150">
        <v>2232205.943</v>
      </c>
      <c r="AF1032" s="169" t="s">
        <v>4680</v>
      </c>
      <c r="AG1032" s="201">
        <v>2232169.88</v>
      </c>
      <c r="AH1032" s="199"/>
      <c r="AI1032" s="150">
        <v>2232169.88</v>
      </c>
      <c r="AJ1032" s="169">
        <f t="shared" si="997"/>
        <v>0</v>
      </c>
      <c r="AK1032" s="201">
        <v>2232169.88</v>
      </c>
      <c r="AL1032" s="199"/>
      <c r="AM1032" s="150">
        <f t="shared" si="1017"/>
        <v>2232169.88</v>
      </c>
      <c r="AN1032" s="153">
        <f t="shared" si="998"/>
        <v>0</v>
      </c>
      <c r="AO1032" s="154">
        <f t="shared" si="999"/>
        <v>0</v>
      </c>
      <c r="AP1032" s="150">
        <v>2232169.88</v>
      </c>
      <c r="AQ1032" s="201">
        <v>2232169.88</v>
      </c>
      <c r="AR1032" s="199"/>
      <c r="AS1032" s="150">
        <f t="shared" si="1018"/>
        <v>2232169.88</v>
      </c>
      <c r="AT1032" s="155"/>
      <c r="AU1032" s="156">
        <f t="shared" si="993"/>
        <v>-36.063000000081956</v>
      </c>
      <c r="AV1032" s="156">
        <f t="shared" si="994"/>
        <v>36.063000000081956</v>
      </c>
      <c r="AW1032" s="157"/>
      <c r="AX1032" s="150">
        <v>2232169.88</v>
      </c>
      <c r="AY1032" s="150">
        <v>1317385.2</v>
      </c>
      <c r="AZ1032" s="150">
        <f>2155647-AY1032</f>
        <v>838261.8</v>
      </c>
      <c r="BA1032" s="150">
        <f t="shared" si="1000"/>
        <v>2155647</v>
      </c>
      <c r="BB1032" s="202">
        <v>5</v>
      </c>
      <c r="BC1032" s="202" t="s">
        <v>647</v>
      </c>
      <c r="BD1032" s="202" t="s">
        <v>647</v>
      </c>
      <c r="BE1032" s="202" t="s">
        <v>632</v>
      </c>
      <c r="BF1032" s="202" t="s">
        <v>671</v>
      </c>
      <c r="BG1032" s="203" t="s">
        <v>7547</v>
      </c>
      <c r="BH1032" s="216">
        <f>AS1032</f>
        <v>2232169.88</v>
      </c>
      <c r="BI1032" s="205"/>
      <c r="BJ1032" s="206" t="s">
        <v>7548</v>
      </c>
      <c r="BK1032" s="206" t="s">
        <v>7543</v>
      </c>
      <c r="BL1032" s="207" t="s">
        <v>7549</v>
      </c>
      <c r="BM1032" s="208">
        <f>BH1033</f>
        <v>813372.97</v>
      </c>
      <c r="BN1032" s="160"/>
      <c r="BO1032" s="161"/>
      <c r="BP1032" s="161"/>
    </row>
    <row r="1033" spans="1:68">
      <c r="A1033" s="206" t="s">
        <v>7550</v>
      </c>
      <c r="B1033" s="195" t="s">
        <v>7551</v>
      </c>
      <c r="C1033" s="196" t="s">
        <v>7552</v>
      </c>
      <c r="D1033" s="146" t="s">
        <v>4692</v>
      </c>
      <c r="E1033" s="203" t="s">
        <v>7553</v>
      </c>
      <c r="F1033" s="150">
        <v>727897.63</v>
      </c>
      <c r="G1033" s="242">
        <v>0</v>
      </c>
      <c r="H1033" s="242"/>
      <c r="I1033" s="242">
        <v>0</v>
      </c>
      <c r="J1033" s="150">
        <v>0</v>
      </c>
      <c r="K1033" s="150">
        <v>0</v>
      </c>
      <c r="L1033" s="150">
        <f t="shared" si="978"/>
        <v>0</v>
      </c>
      <c r="M1033" s="150">
        <v>206469.91</v>
      </c>
      <c r="N1033" s="150">
        <v>203303.98</v>
      </c>
      <c r="O1033" s="150">
        <v>409773.89</v>
      </c>
      <c r="P1033" s="150">
        <v>409773.89</v>
      </c>
      <c r="Q1033" s="150">
        <v>304995.96999999997</v>
      </c>
      <c r="R1033" s="150">
        <f t="shared" si="1014"/>
        <v>714769.86</v>
      </c>
      <c r="S1033" s="150">
        <f t="shared" si="1002"/>
        <v>953026.48</v>
      </c>
      <c r="T1033" s="150"/>
      <c r="U1033" s="150">
        <v>601098.86</v>
      </c>
      <c r="V1033" s="199">
        <v>212274.11</v>
      </c>
      <c r="W1033" s="150">
        <f t="shared" si="1015"/>
        <v>813372.97</v>
      </c>
      <c r="X1033" s="150">
        <v>601098.86</v>
      </c>
      <c r="Y1033" s="150">
        <v>212274.11</v>
      </c>
      <c r="Z1033" s="150">
        <v>813372.97</v>
      </c>
      <c r="AA1033" s="150">
        <f t="shared" si="996"/>
        <v>0</v>
      </c>
      <c r="AB1033" s="150">
        <v>813372.97</v>
      </c>
      <c r="AC1033" s="199"/>
      <c r="AD1033" s="150">
        <f t="shared" si="1016"/>
        <v>813372.97</v>
      </c>
      <c r="AE1033" s="150">
        <v>813372.97</v>
      </c>
      <c r="AF1033" s="169" t="s">
        <v>4680</v>
      </c>
      <c r="AG1033" s="201">
        <v>813372.97</v>
      </c>
      <c r="AH1033" s="199"/>
      <c r="AI1033" s="150">
        <v>813372.97</v>
      </c>
      <c r="AJ1033" s="169">
        <f t="shared" si="997"/>
        <v>0</v>
      </c>
      <c r="AK1033" s="201">
        <v>813372.97</v>
      </c>
      <c r="AL1033" s="199"/>
      <c r="AM1033" s="150">
        <f t="shared" si="1017"/>
        <v>813372.97</v>
      </c>
      <c r="AN1033" s="153">
        <f t="shared" si="998"/>
        <v>0</v>
      </c>
      <c r="AO1033" s="154">
        <f t="shared" si="999"/>
        <v>0</v>
      </c>
      <c r="AP1033" s="150">
        <v>813372.97</v>
      </c>
      <c r="AQ1033" s="201">
        <v>813372.97</v>
      </c>
      <c r="AR1033" s="199"/>
      <c r="AS1033" s="150">
        <f t="shared" si="1018"/>
        <v>813372.97</v>
      </c>
      <c r="AT1033" s="155"/>
      <c r="AU1033" s="156">
        <f t="shared" si="993"/>
        <v>0</v>
      </c>
      <c r="AV1033" s="156">
        <f t="shared" si="994"/>
        <v>0</v>
      </c>
      <c r="AW1033" s="157"/>
      <c r="AX1033" s="150">
        <v>813372.97</v>
      </c>
      <c r="AY1033" s="150">
        <v>409773.89</v>
      </c>
      <c r="AZ1033" s="150">
        <f>778303.09-AY1033</f>
        <v>368529.19999999995</v>
      </c>
      <c r="BA1033" s="150">
        <f t="shared" si="1000"/>
        <v>778303.09</v>
      </c>
      <c r="BB1033" s="202">
        <v>5</v>
      </c>
      <c r="BC1033" s="202" t="s">
        <v>647</v>
      </c>
      <c r="BD1033" s="202" t="s">
        <v>647</v>
      </c>
      <c r="BE1033" s="202" t="s">
        <v>632</v>
      </c>
      <c r="BF1033" s="202" t="s">
        <v>693</v>
      </c>
      <c r="BG1033" s="203" t="s">
        <v>7554</v>
      </c>
      <c r="BH1033" s="216">
        <f>AS1033</f>
        <v>813372.97</v>
      </c>
      <c r="BI1033" s="205"/>
      <c r="BJ1033" s="206" t="s">
        <v>7555</v>
      </c>
      <c r="BK1033" s="206" t="s">
        <v>7550</v>
      </c>
      <c r="BL1033" s="207" t="s">
        <v>7556</v>
      </c>
      <c r="BM1033" s="208">
        <f>BH1032</f>
        <v>2232169.88</v>
      </c>
      <c r="BN1033" s="160"/>
      <c r="BO1033" s="161"/>
      <c r="BP1033" s="161"/>
    </row>
    <row r="1034" spans="1:68">
      <c r="A1034" s="206" t="s">
        <v>428</v>
      </c>
      <c r="B1034" s="195" t="s">
        <v>7557</v>
      </c>
      <c r="C1034" s="196" t="s">
        <v>7558</v>
      </c>
      <c r="D1034" s="146" t="s">
        <v>4692</v>
      </c>
      <c r="E1034" s="196" t="s">
        <v>7558</v>
      </c>
      <c r="F1034" s="150">
        <v>0</v>
      </c>
      <c r="G1034" s="209">
        <v>1869991.26</v>
      </c>
      <c r="H1034" s="209">
        <v>159608.97500000009</v>
      </c>
      <c r="I1034" s="209">
        <v>2029600.2350000001</v>
      </c>
      <c r="J1034" s="150">
        <v>0</v>
      </c>
      <c r="K1034" s="150">
        <v>0</v>
      </c>
      <c r="L1034" s="150">
        <f t="shared" ref="L1034:L1097" si="1019">J1034+K1034</f>
        <v>0</v>
      </c>
      <c r="M1034" s="150">
        <v>0</v>
      </c>
      <c r="N1034" s="150"/>
      <c r="O1034" s="150">
        <v>0</v>
      </c>
      <c r="P1034" s="150">
        <v>0</v>
      </c>
      <c r="Q1034" s="150">
        <v>0</v>
      </c>
      <c r="R1034" s="150">
        <f t="shared" si="1014"/>
        <v>0</v>
      </c>
      <c r="S1034" s="150">
        <f t="shared" si="1002"/>
        <v>0</v>
      </c>
      <c r="T1034" s="150"/>
      <c r="U1034" s="150">
        <v>0</v>
      </c>
      <c r="V1034" s="199"/>
      <c r="W1034" s="150">
        <f t="shared" si="1015"/>
        <v>0</v>
      </c>
      <c r="X1034" s="150">
        <v>0</v>
      </c>
      <c r="Y1034" s="150"/>
      <c r="Z1034" s="150">
        <v>0</v>
      </c>
      <c r="AA1034" s="150">
        <f t="shared" si="996"/>
        <v>0</v>
      </c>
      <c r="AB1034" s="150">
        <v>0</v>
      </c>
      <c r="AC1034" s="199"/>
      <c r="AD1034" s="150">
        <f t="shared" si="1016"/>
        <v>0</v>
      </c>
      <c r="AE1034" s="150">
        <v>0</v>
      </c>
      <c r="AF1034" s="169" t="s">
        <v>4680</v>
      </c>
      <c r="AG1034" s="201">
        <v>0</v>
      </c>
      <c r="AH1034" s="199"/>
      <c r="AI1034" s="150">
        <v>0</v>
      </c>
      <c r="AJ1034" s="169">
        <f t="shared" si="997"/>
        <v>0</v>
      </c>
      <c r="AK1034" s="201">
        <v>0</v>
      </c>
      <c r="AL1034" s="199"/>
      <c r="AM1034" s="150">
        <f t="shared" si="1017"/>
        <v>0</v>
      </c>
      <c r="AN1034" s="153">
        <f t="shared" si="998"/>
        <v>0</v>
      </c>
      <c r="AO1034" s="154">
        <f t="shared" si="999"/>
        <v>0</v>
      </c>
      <c r="AP1034" s="150">
        <v>0</v>
      </c>
      <c r="AQ1034" s="201">
        <v>0</v>
      </c>
      <c r="AR1034" s="199"/>
      <c r="AS1034" s="150">
        <f t="shared" si="1018"/>
        <v>0</v>
      </c>
      <c r="AT1034" s="155"/>
      <c r="AU1034" s="156">
        <f t="shared" si="993"/>
        <v>0</v>
      </c>
      <c r="AV1034" s="156">
        <f t="shared" si="994"/>
        <v>0</v>
      </c>
      <c r="AW1034" s="157"/>
      <c r="AX1034" s="150">
        <v>0</v>
      </c>
      <c r="AY1034" s="150">
        <v>0</v>
      </c>
      <c r="AZ1034" s="150"/>
      <c r="BA1034" s="150">
        <f t="shared" si="1000"/>
        <v>0</v>
      </c>
      <c r="BB1034" s="202">
        <v>5</v>
      </c>
      <c r="BC1034" s="202" t="s">
        <v>647</v>
      </c>
      <c r="BD1034" s="202" t="s">
        <v>647</v>
      </c>
      <c r="BE1034" s="202" t="s">
        <v>632</v>
      </c>
      <c r="BF1034" s="202" t="s">
        <v>714</v>
      </c>
      <c r="BG1034" s="203" t="s">
        <v>64</v>
      </c>
      <c r="BH1034" s="216">
        <f>AS1034</f>
        <v>0</v>
      </c>
      <c r="BI1034" s="205"/>
      <c r="BJ1034" s="206" t="s">
        <v>7559</v>
      </c>
      <c r="BK1034" s="206" t="s">
        <v>428</v>
      </c>
      <c r="BL1034" s="207" t="s">
        <v>7560</v>
      </c>
      <c r="BM1034" s="208">
        <f>BH1034</f>
        <v>0</v>
      </c>
      <c r="BN1034" s="160"/>
      <c r="BO1034" s="161">
        <f t="shared" si="979"/>
        <v>0</v>
      </c>
      <c r="BP1034" s="161"/>
    </row>
    <row r="1035" spans="1:68" ht="36">
      <c r="A1035" s="206" t="s">
        <v>429</v>
      </c>
      <c r="B1035" s="195" t="s">
        <v>7561</v>
      </c>
      <c r="C1035" s="196" t="s">
        <v>7562</v>
      </c>
      <c r="D1035" s="146" t="s">
        <v>4692</v>
      </c>
      <c r="E1035" s="196" t="s">
        <v>7562</v>
      </c>
      <c r="F1035" s="150">
        <v>2674692.67</v>
      </c>
      <c r="G1035" s="209">
        <v>672416.26</v>
      </c>
      <c r="H1035" s="209">
        <v>123739.65503000002</v>
      </c>
      <c r="I1035" s="209">
        <v>796155.91503000003</v>
      </c>
      <c r="J1035" s="150">
        <v>98182.15</v>
      </c>
      <c r="K1035" s="150">
        <v>0</v>
      </c>
      <c r="L1035" s="150">
        <f t="shared" si="1019"/>
        <v>98182.15</v>
      </c>
      <c r="M1035" s="150">
        <v>1094420.3700000001</v>
      </c>
      <c r="N1035" s="150"/>
      <c r="O1035" s="150">
        <v>1094420.3700000001</v>
      </c>
      <c r="P1035" s="150">
        <v>3474177.91</v>
      </c>
      <c r="Q1035" s="150"/>
      <c r="R1035" s="150">
        <f t="shared" si="1014"/>
        <v>3474177.91</v>
      </c>
      <c r="S1035" s="150">
        <f t="shared" si="1002"/>
        <v>4632237.2133333338</v>
      </c>
      <c r="T1035" s="150"/>
      <c r="U1035" s="150">
        <v>6311491.2199999997</v>
      </c>
      <c r="V1035" s="199">
        <v>516673.96270000009</v>
      </c>
      <c r="W1035" s="150">
        <f t="shared" si="1015"/>
        <v>6828165.1826999998</v>
      </c>
      <c r="X1035" s="150">
        <v>6311491.2199999997</v>
      </c>
      <c r="Y1035" s="150">
        <v>516673.96270000009</v>
      </c>
      <c r="Z1035" s="150">
        <v>6828165.1826999998</v>
      </c>
      <c r="AA1035" s="150">
        <f t="shared" si="996"/>
        <v>-59113.785000000149</v>
      </c>
      <c r="AB1035" s="150">
        <v>6767431.7000000002</v>
      </c>
      <c r="AC1035" s="199">
        <v>1619.6976999994367</v>
      </c>
      <c r="AD1035" s="150">
        <f t="shared" si="1016"/>
        <v>6769051.3976999996</v>
      </c>
      <c r="AE1035" s="150">
        <v>6769051.3976999996</v>
      </c>
      <c r="AF1035" s="169" t="s">
        <v>4680</v>
      </c>
      <c r="AG1035" s="201">
        <v>6767431.7000000002</v>
      </c>
      <c r="AH1035" s="199">
        <v>1619.6976999994367</v>
      </c>
      <c r="AI1035" s="150">
        <v>6769051.3976999996</v>
      </c>
      <c r="AJ1035" s="169">
        <f t="shared" si="997"/>
        <v>0</v>
      </c>
      <c r="AK1035" s="201">
        <v>6767431.7000000002</v>
      </c>
      <c r="AL1035" s="199">
        <v>1619.6976999994367</v>
      </c>
      <c r="AM1035" s="150">
        <f t="shared" si="1017"/>
        <v>6769051.3976999996</v>
      </c>
      <c r="AN1035" s="153">
        <f t="shared" si="998"/>
        <v>2.3000007495284081E-3</v>
      </c>
      <c r="AO1035" s="154">
        <f t="shared" si="999"/>
        <v>2.3000007495284081E-3</v>
      </c>
      <c r="AP1035" s="150">
        <v>6769051.3976999996</v>
      </c>
      <c r="AQ1035" s="201">
        <v>6769051.4000000004</v>
      </c>
      <c r="AR1035" s="199"/>
      <c r="AS1035" s="150">
        <f t="shared" si="1018"/>
        <v>6769051.4000000004</v>
      </c>
      <c r="AT1035" s="155" t="s">
        <v>7563</v>
      </c>
      <c r="AU1035" s="156">
        <f t="shared" si="993"/>
        <v>0</v>
      </c>
      <c r="AV1035" s="156">
        <f t="shared" si="994"/>
        <v>-59113.785000000149</v>
      </c>
      <c r="AW1035" s="157" t="s">
        <v>7564</v>
      </c>
      <c r="AX1035" s="150">
        <v>6828165.1826999998</v>
      </c>
      <c r="AY1035" s="150">
        <v>2252676.35</v>
      </c>
      <c r="AZ1035" s="150">
        <f>AY1035/8*4</f>
        <v>1126338.175</v>
      </c>
      <c r="BA1035" s="150">
        <f t="shared" si="1000"/>
        <v>3379014.5250000004</v>
      </c>
      <c r="BB1035" s="202">
        <v>5</v>
      </c>
      <c r="BC1035" s="202" t="s">
        <v>647</v>
      </c>
      <c r="BD1035" s="202" t="s">
        <v>647</v>
      </c>
      <c r="BE1035" s="202" t="s">
        <v>632</v>
      </c>
      <c r="BF1035" s="202" t="s">
        <v>739</v>
      </c>
      <c r="BG1035" s="203" t="s">
        <v>138</v>
      </c>
      <c r="BH1035" s="216">
        <f>SUM(AS1035:AS1036)</f>
        <v>7162647.9199999999</v>
      </c>
      <c r="BI1035" s="205"/>
      <c r="BJ1035" s="206" t="s">
        <v>7565</v>
      </c>
      <c r="BK1035" s="206" t="s">
        <v>429</v>
      </c>
      <c r="BL1035" s="207" t="s">
        <v>7566</v>
      </c>
      <c r="BM1035" s="208">
        <f>BH1035</f>
        <v>7162647.9199999999</v>
      </c>
      <c r="BN1035" s="160"/>
      <c r="BO1035" s="161"/>
      <c r="BP1035" s="161"/>
    </row>
    <row r="1036" spans="1:68" ht="36">
      <c r="A1036" s="210"/>
      <c r="B1036" s="195" t="s">
        <v>7567</v>
      </c>
      <c r="C1036" s="196" t="s">
        <v>7568</v>
      </c>
      <c r="D1036" s="146" t="s">
        <v>4692</v>
      </c>
      <c r="E1036" s="196" t="s">
        <v>7568</v>
      </c>
      <c r="F1036" s="150">
        <v>838886.38</v>
      </c>
      <c r="G1036" s="209">
        <v>0</v>
      </c>
      <c r="H1036" s="209"/>
      <c r="I1036" s="209">
        <v>0</v>
      </c>
      <c r="J1036" s="150">
        <v>0</v>
      </c>
      <c r="K1036" s="150">
        <v>0</v>
      </c>
      <c r="L1036" s="150">
        <f t="shared" si="1019"/>
        <v>0</v>
      </c>
      <c r="M1036" s="150">
        <v>31022.959999999999</v>
      </c>
      <c r="N1036" s="150">
        <v>388420.23</v>
      </c>
      <c r="O1036" s="150">
        <v>419443.19</v>
      </c>
      <c r="P1036" s="150">
        <v>181120.08</v>
      </c>
      <c r="Q1036" s="150"/>
      <c r="R1036" s="150">
        <f t="shared" si="1014"/>
        <v>181120.08</v>
      </c>
      <c r="S1036" s="150">
        <f t="shared" si="1002"/>
        <v>241493.43999999997</v>
      </c>
      <c r="T1036" s="150"/>
      <c r="U1036" s="150">
        <v>380353.45</v>
      </c>
      <c r="V1036" s="199">
        <v>23552.065029999998</v>
      </c>
      <c r="W1036" s="150">
        <f t="shared" si="1015"/>
        <v>403905.51503000001</v>
      </c>
      <c r="X1036" s="150">
        <v>380353.45</v>
      </c>
      <c r="Y1036" s="150">
        <v>23552.065029999998</v>
      </c>
      <c r="Z1036" s="150">
        <v>403905.51503000001</v>
      </c>
      <c r="AA1036" s="150">
        <f t="shared" si="996"/>
        <v>-10309</v>
      </c>
      <c r="AB1036" s="150">
        <v>380353.45</v>
      </c>
      <c r="AC1036" s="199">
        <v>13243.065029999998</v>
      </c>
      <c r="AD1036" s="150">
        <f t="shared" si="1016"/>
        <v>393596.51503000001</v>
      </c>
      <c r="AE1036" s="150">
        <v>393596.51503000001</v>
      </c>
      <c r="AF1036" s="169" t="s">
        <v>4680</v>
      </c>
      <c r="AG1036" s="201">
        <v>380353.45</v>
      </c>
      <c r="AH1036" s="199">
        <v>13243.065029999998</v>
      </c>
      <c r="AI1036" s="150">
        <v>393596.51503000001</v>
      </c>
      <c r="AJ1036" s="169">
        <f t="shared" si="997"/>
        <v>0</v>
      </c>
      <c r="AK1036" s="201">
        <v>380353.45</v>
      </c>
      <c r="AL1036" s="199">
        <v>13243.065029999998</v>
      </c>
      <c r="AM1036" s="150">
        <f t="shared" si="1017"/>
        <v>393596.51503000001</v>
      </c>
      <c r="AN1036" s="153">
        <f t="shared" si="998"/>
        <v>4.9700000090524554E-3</v>
      </c>
      <c r="AO1036" s="154">
        <f t="shared" si="999"/>
        <v>4.9700000090524554E-3</v>
      </c>
      <c r="AP1036" s="150">
        <v>393596.51503000001</v>
      </c>
      <c r="AQ1036" s="201">
        <v>393596.52</v>
      </c>
      <c r="AR1036" s="199"/>
      <c r="AS1036" s="150">
        <f t="shared" si="1018"/>
        <v>393596.52</v>
      </c>
      <c r="AT1036" s="155" t="s">
        <v>7536</v>
      </c>
      <c r="AU1036" s="156">
        <f t="shared" si="993"/>
        <v>0</v>
      </c>
      <c r="AV1036" s="156">
        <f t="shared" si="994"/>
        <v>-10309</v>
      </c>
      <c r="AW1036" s="157" t="s">
        <v>7564</v>
      </c>
      <c r="AX1036" s="150">
        <v>403905.51503000001</v>
      </c>
      <c r="AY1036" s="150">
        <v>43231.48</v>
      </c>
      <c r="AZ1036" s="150">
        <f>O1036*2-AY1036</f>
        <v>795654.9</v>
      </c>
      <c r="BA1036" s="150">
        <f t="shared" si="1000"/>
        <v>838886.38</v>
      </c>
      <c r="BB1036" s="210"/>
      <c r="BC1036" s="210"/>
      <c r="BD1036" s="210"/>
      <c r="BE1036" s="210"/>
      <c r="BF1036" s="210"/>
      <c r="BG1036" s="210"/>
      <c r="BH1036" s="217"/>
      <c r="BI1036" s="210"/>
      <c r="BJ1036" s="210"/>
      <c r="BK1036" s="210"/>
      <c r="BL1036" s="210"/>
      <c r="BM1036" s="208"/>
      <c r="BN1036" s="160"/>
      <c r="BO1036" s="161"/>
      <c r="BP1036" s="161"/>
    </row>
    <row r="1037" spans="1:68" ht="25.5">
      <c r="A1037" s="206" t="s">
        <v>430</v>
      </c>
      <c r="B1037" s="195" t="s">
        <v>7569</v>
      </c>
      <c r="C1037" s="196" t="s">
        <v>7570</v>
      </c>
      <c r="D1037" s="146" t="s">
        <v>4692</v>
      </c>
      <c r="E1037" s="196" t="s">
        <v>7570</v>
      </c>
      <c r="F1037" s="150">
        <v>0</v>
      </c>
      <c r="G1037" s="209">
        <v>808284.27</v>
      </c>
      <c r="H1037" s="209">
        <v>67441.843800000031</v>
      </c>
      <c r="I1037" s="209">
        <v>875726.11380000005</v>
      </c>
      <c r="J1037" s="150">
        <v>0</v>
      </c>
      <c r="K1037" s="150">
        <v>0</v>
      </c>
      <c r="L1037" s="150">
        <f t="shared" si="1019"/>
        <v>0</v>
      </c>
      <c r="M1037" s="150">
        <v>0</v>
      </c>
      <c r="N1037" s="150"/>
      <c r="O1037" s="150">
        <v>0</v>
      </c>
      <c r="P1037" s="150">
        <v>0</v>
      </c>
      <c r="Q1037" s="150">
        <v>0</v>
      </c>
      <c r="R1037" s="150">
        <f t="shared" si="1014"/>
        <v>0</v>
      </c>
      <c r="S1037" s="150">
        <f t="shared" si="1002"/>
        <v>0</v>
      </c>
      <c r="T1037" s="150"/>
      <c r="U1037" s="150">
        <v>0</v>
      </c>
      <c r="V1037" s="199"/>
      <c r="W1037" s="150">
        <f t="shared" si="1015"/>
        <v>0</v>
      </c>
      <c r="X1037" s="150">
        <v>0</v>
      </c>
      <c r="Y1037" s="150"/>
      <c r="Z1037" s="150">
        <v>0</v>
      </c>
      <c r="AA1037" s="150">
        <f t="shared" si="996"/>
        <v>0</v>
      </c>
      <c r="AB1037" s="150">
        <v>0</v>
      </c>
      <c r="AC1037" s="199"/>
      <c r="AD1037" s="150">
        <f t="shared" si="1016"/>
        <v>0</v>
      </c>
      <c r="AE1037" s="150">
        <v>0</v>
      </c>
      <c r="AF1037" s="169" t="s">
        <v>4680</v>
      </c>
      <c r="AG1037" s="201">
        <v>0</v>
      </c>
      <c r="AH1037" s="199"/>
      <c r="AI1037" s="150">
        <v>0</v>
      </c>
      <c r="AJ1037" s="169">
        <f t="shared" si="997"/>
        <v>0</v>
      </c>
      <c r="AK1037" s="201">
        <v>0</v>
      </c>
      <c r="AL1037" s="199"/>
      <c r="AM1037" s="150">
        <f t="shared" si="1017"/>
        <v>0</v>
      </c>
      <c r="AN1037" s="153">
        <f t="shared" si="998"/>
        <v>0</v>
      </c>
      <c r="AO1037" s="154">
        <f t="shared" si="999"/>
        <v>0</v>
      </c>
      <c r="AP1037" s="150">
        <v>0</v>
      </c>
      <c r="AQ1037" s="201">
        <v>0</v>
      </c>
      <c r="AR1037" s="199"/>
      <c r="AS1037" s="150">
        <f t="shared" si="1018"/>
        <v>0</v>
      </c>
      <c r="AT1037" s="155"/>
      <c r="AU1037" s="156">
        <f t="shared" si="993"/>
        <v>0</v>
      </c>
      <c r="AV1037" s="156">
        <f t="shared" si="994"/>
        <v>0</v>
      </c>
      <c r="AW1037" s="157"/>
      <c r="AX1037" s="150">
        <v>0</v>
      </c>
      <c r="AY1037" s="150">
        <v>0</v>
      </c>
      <c r="AZ1037" s="150"/>
      <c r="BA1037" s="150">
        <f t="shared" si="1000"/>
        <v>0</v>
      </c>
      <c r="BB1037" s="202">
        <v>5</v>
      </c>
      <c r="BC1037" s="202" t="s">
        <v>647</v>
      </c>
      <c r="BD1037" s="202" t="s">
        <v>647</v>
      </c>
      <c r="BE1037" s="202" t="s">
        <v>632</v>
      </c>
      <c r="BF1037" s="202" t="s">
        <v>755</v>
      </c>
      <c r="BG1037" s="203" t="s">
        <v>65</v>
      </c>
      <c r="BH1037" s="216">
        <f t="shared" ref="BH1037:BH1044" si="1020">AS1037</f>
        <v>0</v>
      </c>
      <c r="BI1037" s="205"/>
      <c r="BJ1037" s="206" t="s">
        <v>7571</v>
      </c>
      <c r="BK1037" s="206" t="s">
        <v>430</v>
      </c>
      <c r="BL1037" s="207" t="s">
        <v>7572</v>
      </c>
      <c r="BM1037" s="208">
        <f t="shared" ref="BM1037:BM1045" si="1021">BH1037</f>
        <v>0</v>
      </c>
      <c r="BN1037" s="160"/>
      <c r="BO1037" s="161">
        <f t="shared" si="979"/>
        <v>0</v>
      </c>
      <c r="BP1037" s="161"/>
    </row>
    <row r="1038" spans="1:68">
      <c r="A1038" s="206" t="s">
        <v>431</v>
      </c>
      <c r="B1038" s="195" t="s">
        <v>7573</v>
      </c>
      <c r="C1038" s="196" t="s">
        <v>7574</v>
      </c>
      <c r="D1038" s="146" t="s">
        <v>4692</v>
      </c>
      <c r="E1038" s="196" t="s">
        <v>7574</v>
      </c>
      <c r="F1038" s="150">
        <v>875726.1</v>
      </c>
      <c r="G1038" s="209">
        <v>510275.43</v>
      </c>
      <c r="H1038" s="209"/>
      <c r="I1038" s="209">
        <v>510275.43</v>
      </c>
      <c r="J1038" s="150">
        <v>0</v>
      </c>
      <c r="K1038" s="150">
        <v>0</v>
      </c>
      <c r="L1038" s="150">
        <f t="shared" si="1019"/>
        <v>0</v>
      </c>
      <c r="M1038" s="150">
        <v>399319.19</v>
      </c>
      <c r="N1038" s="150">
        <v>38543.860000000044</v>
      </c>
      <c r="O1038" s="150">
        <v>437863.05000000005</v>
      </c>
      <c r="P1038" s="150">
        <v>555939.41</v>
      </c>
      <c r="Q1038" s="150">
        <v>66267.34879999992</v>
      </c>
      <c r="R1038" s="150">
        <f t="shared" si="1014"/>
        <v>622206.75879999995</v>
      </c>
      <c r="S1038" s="150">
        <f t="shared" si="1002"/>
        <v>829609.01173333323</v>
      </c>
      <c r="T1038" s="150"/>
      <c r="U1038" s="150">
        <v>948765.5</v>
      </c>
      <c r="V1038" s="199"/>
      <c r="W1038" s="150">
        <f t="shared" si="1015"/>
        <v>948765.5</v>
      </c>
      <c r="X1038" s="150">
        <v>948765.5</v>
      </c>
      <c r="Y1038" s="150"/>
      <c r="Z1038" s="150">
        <v>948765.5</v>
      </c>
      <c r="AA1038" s="150">
        <f t="shared" si="996"/>
        <v>1374.9581000000471</v>
      </c>
      <c r="AB1038" s="150">
        <v>948765.5</v>
      </c>
      <c r="AC1038" s="199">
        <v>1374.9581000000471</v>
      </c>
      <c r="AD1038" s="150">
        <f t="shared" si="1016"/>
        <v>950140.45810000005</v>
      </c>
      <c r="AE1038" s="150">
        <v>950140.45810000005</v>
      </c>
      <c r="AF1038" s="169" t="s">
        <v>4680</v>
      </c>
      <c r="AG1038" s="201">
        <v>948765.5</v>
      </c>
      <c r="AH1038" s="199">
        <v>1374.9581000000471</v>
      </c>
      <c r="AI1038" s="150">
        <v>950140.45810000005</v>
      </c>
      <c r="AJ1038" s="169">
        <f t="shared" si="997"/>
        <v>0</v>
      </c>
      <c r="AK1038" s="201">
        <v>948765.5</v>
      </c>
      <c r="AL1038" s="199">
        <v>1374.9581000000471</v>
      </c>
      <c r="AM1038" s="150">
        <f t="shared" si="1017"/>
        <v>950140.45810000005</v>
      </c>
      <c r="AN1038" s="153">
        <f t="shared" si="998"/>
        <v>1.8999999156221747E-3</v>
      </c>
      <c r="AO1038" s="154">
        <f t="shared" si="999"/>
        <v>1.8999999156221747E-3</v>
      </c>
      <c r="AP1038" s="150">
        <v>950140.45810000005</v>
      </c>
      <c r="AQ1038" s="201">
        <v>950140.46</v>
      </c>
      <c r="AR1038" s="199"/>
      <c r="AS1038" s="150">
        <f t="shared" si="1018"/>
        <v>950140.46</v>
      </c>
      <c r="AT1038" s="155" t="s">
        <v>7277</v>
      </c>
      <c r="AU1038" s="156">
        <f t="shared" si="993"/>
        <v>0</v>
      </c>
      <c r="AV1038" s="156">
        <f t="shared" si="994"/>
        <v>1374.9581000000471</v>
      </c>
      <c r="AW1038" s="157" t="s">
        <v>7277</v>
      </c>
      <c r="AX1038" s="150">
        <v>948765.5</v>
      </c>
      <c r="AY1038" s="150">
        <v>403366.66</v>
      </c>
      <c r="AZ1038" s="150">
        <f>797800-AY1038</f>
        <v>394433.34</v>
      </c>
      <c r="BA1038" s="150">
        <f t="shared" si="1000"/>
        <v>797800</v>
      </c>
      <c r="BB1038" s="202">
        <v>5</v>
      </c>
      <c r="BC1038" s="202" t="s">
        <v>647</v>
      </c>
      <c r="BD1038" s="202" t="s">
        <v>647</v>
      </c>
      <c r="BE1038" s="202" t="s">
        <v>632</v>
      </c>
      <c r="BF1038" s="202" t="s">
        <v>766</v>
      </c>
      <c r="BG1038" s="203" t="s">
        <v>7575</v>
      </c>
      <c r="BH1038" s="216">
        <f t="shared" si="1020"/>
        <v>950140.46</v>
      </c>
      <c r="BI1038" s="205"/>
      <c r="BJ1038" s="206" t="s">
        <v>7576</v>
      </c>
      <c r="BK1038" s="206" t="s">
        <v>431</v>
      </c>
      <c r="BL1038" s="207" t="s">
        <v>7577</v>
      </c>
      <c r="BM1038" s="208">
        <f t="shared" si="1021"/>
        <v>950140.46</v>
      </c>
      <c r="BN1038" s="160"/>
      <c r="BO1038" s="161">
        <f t="shared" si="979"/>
        <v>0</v>
      </c>
      <c r="BP1038" s="161"/>
    </row>
    <row r="1039" spans="1:68">
      <c r="A1039" s="206" t="s">
        <v>432</v>
      </c>
      <c r="B1039" s="195" t="s">
        <v>7578</v>
      </c>
      <c r="C1039" s="196" t="s">
        <v>7579</v>
      </c>
      <c r="D1039" s="146" t="s">
        <v>4692</v>
      </c>
      <c r="E1039" s="196" t="s">
        <v>7579</v>
      </c>
      <c r="F1039" s="150">
        <v>633443.81999999995</v>
      </c>
      <c r="G1039" s="209">
        <v>5480259.3700000001</v>
      </c>
      <c r="H1039" s="209">
        <v>33340.629999999888</v>
      </c>
      <c r="I1039" s="209">
        <v>5513600</v>
      </c>
      <c r="J1039" s="150">
        <v>638.87</v>
      </c>
      <c r="K1039" s="150">
        <v>127550</v>
      </c>
      <c r="L1039" s="150">
        <f t="shared" si="1019"/>
        <v>128188.87</v>
      </c>
      <c r="M1039" s="150">
        <v>158068.24</v>
      </c>
      <c r="N1039" s="150">
        <v>158653.66999999998</v>
      </c>
      <c r="O1039" s="150">
        <v>316721.90999999997</v>
      </c>
      <c r="P1039" s="150">
        <v>306823.14</v>
      </c>
      <c r="Q1039" s="150">
        <v>237980.51</v>
      </c>
      <c r="R1039" s="150">
        <f t="shared" si="1014"/>
        <v>544803.65</v>
      </c>
      <c r="S1039" s="150">
        <f t="shared" si="1002"/>
        <v>726404.8666666667</v>
      </c>
      <c r="T1039" s="150"/>
      <c r="U1039" s="150">
        <v>447298.47</v>
      </c>
      <c r="V1039" s="199"/>
      <c r="W1039" s="150">
        <f t="shared" si="1015"/>
        <v>447298.47</v>
      </c>
      <c r="X1039" s="150">
        <v>447298.47</v>
      </c>
      <c r="Y1039" s="150"/>
      <c r="Z1039" s="150">
        <v>447298.47</v>
      </c>
      <c r="AA1039" s="150">
        <f t="shared" si="996"/>
        <v>71391.799600000028</v>
      </c>
      <c r="AB1039" s="150">
        <v>517002.52</v>
      </c>
      <c r="AC1039" s="199">
        <v>1687.749599999981</v>
      </c>
      <c r="AD1039" s="150">
        <f t="shared" si="1016"/>
        <v>518690.2696</v>
      </c>
      <c r="AE1039" s="150">
        <v>518690.2696</v>
      </c>
      <c r="AF1039" s="169" t="s">
        <v>4680</v>
      </c>
      <c r="AG1039" s="201">
        <v>517002.52</v>
      </c>
      <c r="AH1039" s="199">
        <v>1687.749599999981</v>
      </c>
      <c r="AI1039" s="150">
        <v>518690.2696</v>
      </c>
      <c r="AJ1039" s="169">
        <f t="shared" si="997"/>
        <v>0</v>
      </c>
      <c r="AK1039" s="201">
        <v>517002.52</v>
      </c>
      <c r="AL1039" s="199">
        <v>1687.749599999981</v>
      </c>
      <c r="AM1039" s="150">
        <f t="shared" si="1017"/>
        <v>518690.2696</v>
      </c>
      <c r="AN1039" s="153">
        <f t="shared" si="998"/>
        <v>4.0000001899898052E-4</v>
      </c>
      <c r="AO1039" s="154">
        <f t="shared" si="999"/>
        <v>4.0000001899898052E-4</v>
      </c>
      <c r="AP1039" s="150">
        <v>518690.2696</v>
      </c>
      <c r="AQ1039" s="201">
        <v>518690.27</v>
      </c>
      <c r="AR1039" s="199"/>
      <c r="AS1039" s="150">
        <f t="shared" si="1018"/>
        <v>518690.27</v>
      </c>
      <c r="AT1039" s="155" t="s">
        <v>7277</v>
      </c>
      <c r="AU1039" s="156">
        <f t="shared" si="993"/>
        <v>0</v>
      </c>
      <c r="AV1039" s="156">
        <f t="shared" si="994"/>
        <v>71391.799600000028</v>
      </c>
      <c r="AW1039" s="157" t="s">
        <v>7277</v>
      </c>
      <c r="AX1039" s="150">
        <v>447298.47</v>
      </c>
      <c r="AY1039" s="150">
        <v>235606.15</v>
      </c>
      <c r="AZ1039" s="150">
        <f>706562-AY1039</f>
        <v>470955.85</v>
      </c>
      <c r="BA1039" s="150">
        <f t="shared" si="1000"/>
        <v>706562</v>
      </c>
      <c r="BB1039" s="202">
        <v>5</v>
      </c>
      <c r="BC1039" s="202" t="s">
        <v>647</v>
      </c>
      <c r="BD1039" s="202" t="s">
        <v>647</v>
      </c>
      <c r="BE1039" s="202" t="s">
        <v>632</v>
      </c>
      <c r="BF1039" s="202" t="s">
        <v>779</v>
      </c>
      <c r="BG1039" s="203" t="s">
        <v>66</v>
      </c>
      <c r="BH1039" s="216">
        <f t="shared" si="1020"/>
        <v>518690.27</v>
      </c>
      <c r="BI1039" s="205"/>
      <c r="BJ1039" s="206" t="s">
        <v>7580</v>
      </c>
      <c r="BK1039" s="206" t="s">
        <v>432</v>
      </c>
      <c r="BL1039" s="207" t="s">
        <v>7581</v>
      </c>
      <c r="BM1039" s="208">
        <f t="shared" si="1021"/>
        <v>518690.27</v>
      </c>
      <c r="BN1039" s="160"/>
      <c r="BO1039" s="161">
        <f t="shared" si="979"/>
        <v>0</v>
      </c>
      <c r="BP1039" s="161"/>
    </row>
    <row r="1040" spans="1:68">
      <c r="A1040" s="206" t="s">
        <v>433</v>
      </c>
      <c r="B1040" s="195" t="s">
        <v>7582</v>
      </c>
      <c r="C1040" s="196" t="s">
        <v>7583</v>
      </c>
      <c r="D1040" s="146" t="s">
        <v>4692</v>
      </c>
      <c r="E1040" s="196" t="s">
        <v>7583</v>
      </c>
      <c r="F1040" s="150">
        <v>5497410.3099999996</v>
      </c>
      <c r="G1040" s="209">
        <v>1065451.1299999999</v>
      </c>
      <c r="H1040" s="209">
        <v>181000</v>
      </c>
      <c r="I1040" s="209">
        <v>1246451.1299999999</v>
      </c>
      <c r="J1040" s="150">
        <v>725933.56</v>
      </c>
      <c r="K1040" s="150">
        <v>1200520</v>
      </c>
      <c r="L1040" s="150">
        <f t="shared" si="1019"/>
        <v>1926453.56</v>
      </c>
      <c r="M1040" s="150">
        <v>1786499.65</v>
      </c>
      <c r="N1040" s="150">
        <v>962205.50499999989</v>
      </c>
      <c r="O1040" s="150">
        <v>2748705.1549999998</v>
      </c>
      <c r="P1040" s="150">
        <v>3722874.74</v>
      </c>
      <c r="Q1040" s="150">
        <v>1443308.26</v>
      </c>
      <c r="R1040" s="150">
        <f t="shared" si="1014"/>
        <v>5166183</v>
      </c>
      <c r="S1040" s="150">
        <f t="shared" si="1002"/>
        <v>6888244</v>
      </c>
      <c r="T1040" s="150"/>
      <c r="U1040" s="150">
        <v>5568017.4800000004</v>
      </c>
      <c r="V1040" s="199">
        <v>161243.18599999975</v>
      </c>
      <c r="W1040" s="150">
        <f t="shared" si="1015"/>
        <v>5729260.6660000002</v>
      </c>
      <c r="X1040" s="150">
        <v>5568017.4800000004</v>
      </c>
      <c r="Y1040" s="150">
        <v>161243.18599999975</v>
      </c>
      <c r="Z1040" s="150">
        <v>5729260.6660000002</v>
      </c>
      <c r="AA1040" s="150">
        <f t="shared" si="996"/>
        <v>-161208.32600000035</v>
      </c>
      <c r="AB1040" s="150">
        <v>5568052.3399999999</v>
      </c>
      <c r="AC1040" s="199"/>
      <c r="AD1040" s="150">
        <f t="shared" si="1016"/>
        <v>5568052.3399999999</v>
      </c>
      <c r="AE1040" s="150">
        <v>5568052.3399999999</v>
      </c>
      <c r="AF1040" s="169" t="s">
        <v>4680</v>
      </c>
      <c r="AG1040" s="201">
        <v>5568052.3399999999</v>
      </c>
      <c r="AH1040" s="199"/>
      <c r="AI1040" s="150">
        <v>5568052.3399999999</v>
      </c>
      <c r="AJ1040" s="169">
        <f t="shared" si="997"/>
        <v>0</v>
      </c>
      <c r="AK1040" s="201">
        <v>5568052.3399999999</v>
      </c>
      <c r="AL1040" s="199"/>
      <c r="AM1040" s="150">
        <f t="shared" si="1017"/>
        <v>5568052.3399999999</v>
      </c>
      <c r="AN1040" s="153">
        <f t="shared" si="998"/>
        <v>0</v>
      </c>
      <c r="AO1040" s="154">
        <f t="shared" si="999"/>
        <v>0</v>
      </c>
      <c r="AP1040" s="150">
        <v>5568052.3399999999</v>
      </c>
      <c r="AQ1040" s="201">
        <v>5568052.3399999999</v>
      </c>
      <c r="AR1040" s="199"/>
      <c r="AS1040" s="150">
        <f t="shared" si="1018"/>
        <v>5568052.3399999999</v>
      </c>
      <c r="AT1040" s="155"/>
      <c r="AU1040" s="156">
        <f t="shared" si="993"/>
        <v>0</v>
      </c>
      <c r="AV1040" s="156">
        <f t="shared" si="994"/>
        <v>-161208.32600000035</v>
      </c>
      <c r="AW1040" s="157"/>
      <c r="AX1040" s="150">
        <v>5729260.6660000002</v>
      </c>
      <c r="AY1040" s="150">
        <v>3000480.36</v>
      </c>
      <c r="AZ1040" s="150">
        <f>6924999.99-AY1040</f>
        <v>3924519.6300000004</v>
      </c>
      <c r="BA1040" s="150">
        <f t="shared" si="1000"/>
        <v>6924999.9900000002</v>
      </c>
      <c r="BB1040" s="202">
        <v>5</v>
      </c>
      <c r="BC1040" s="202" t="s">
        <v>647</v>
      </c>
      <c r="BD1040" s="202" t="s">
        <v>647</v>
      </c>
      <c r="BE1040" s="202" t="s">
        <v>632</v>
      </c>
      <c r="BF1040" s="202" t="s">
        <v>1225</v>
      </c>
      <c r="BG1040" s="203" t="s">
        <v>67</v>
      </c>
      <c r="BH1040" s="216">
        <f t="shared" si="1020"/>
        <v>5568052.3399999999</v>
      </c>
      <c r="BI1040" s="205"/>
      <c r="BJ1040" s="206" t="s">
        <v>7584</v>
      </c>
      <c r="BK1040" s="206" t="s">
        <v>433</v>
      </c>
      <c r="BL1040" s="207" t="s">
        <v>7585</v>
      </c>
      <c r="BM1040" s="208">
        <f t="shared" si="1021"/>
        <v>5568052.3399999999</v>
      </c>
      <c r="BN1040" s="160"/>
      <c r="BO1040" s="161">
        <f t="shared" si="979"/>
        <v>0</v>
      </c>
      <c r="BP1040" s="161"/>
    </row>
    <row r="1041" spans="1:68">
      <c r="A1041" s="206" t="s">
        <v>434</v>
      </c>
      <c r="B1041" s="195" t="s">
        <v>7586</v>
      </c>
      <c r="C1041" s="196" t="s">
        <v>7587</v>
      </c>
      <c r="D1041" s="146" t="s">
        <v>4692</v>
      </c>
      <c r="E1041" s="196" t="s">
        <v>7587</v>
      </c>
      <c r="F1041" s="150">
        <v>1239730.71</v>
      </c>
      <c r="G1041" s="209">
        <v>24996.62</v>
      </c>
      <c r="H1041" s="209">
        <v>5322.380000000001</v>
      </c>
      <c r="I1041" s="209">
        <v>30319</v>
      </c>
      <c r="J1041" s="150">
        <v>205777.05</v>
      </c>
      <c r="K1041" s="150">
        <v>300000</v>
      </c>
      <c r="L1041" s="150">
        <f t="shared" si="1019"/>
        <v>505777.05</v>
      </c>
      <c r="M1041" s="150">
        <v>479580.78</v>
      </c>
      <c r="N1041" s="150">
        <v>140284.57499999995</v>
      </c>
      <c r="O1041" s="150">
        <v>619865.35499999998</v>
      </c>
      <c r="P1041" s="150">
        <v>686396.36</v>
      </c>
      <c r="Q1041" s="150">
        <v>0</v>
      </c>
      <c r="R1041" s="150">
        <f t="shared" si="1014"/>
        <v>686396.36</v>
      </c>
      <c r="S1041" s="150">
        <f t="shared" si="1002"/>
        <v>915195.14666666673</v>
      </c>
      <c r="T1041" s="150"/>
      <c r="U1041" s="150">
        <v>942680.15</v>
      </c>
      <c r="V1041" s="199">
        <v>366162.67099999997</v>
      </c>
      <c r="W1041" s="150">
        <f t="shared" si="1015"/>
        <v>1308842.821</v>
      </c>
      <c r="X1041" s="150">
        <v>942680.15</v>
      </c>
      <c r="Y1041" s="150">
        <v>366162.67099999997</v>
      </c>
      <c r="Z1041" s="150">
        <v>1308842.821</v>
      </c>
      <c r="AA1041" s="150">
        <f t="shared" si="996"/>
        <v>0</v>
      </c>
      <c r="AB1041" s="150">
        <v>957139.98</v>
      </c>
      <c r="AC1041" s="199">
        <v>351702.84100000001</v>
      </c>
      <c r="AD1041" s="150">
        <f t="shared" si="1016"/>
        <v>1308842.821</v>
      </c>
      <c r="AE1041" s="150">
        <v>1308842.821</v>
      </c>
      <c r="AF1041" s="169" t="s">
        <v>4680</v>
      </c>
      <c r="AG1041" s="201">
        <v>957139.98</v>
      </c>
      <c r="AH1041" s="199">
        <v>351702.84100000001</v>
      </c>
      <c r="AI1041" s="150">
        <v>1308842.821</v>
      </c>
      <c r="AJ1041" s="169">
        <f t="shared" si="997"/>
        <v>0</v>
      </c>
      <c r="AK1041" s="201">
        <v>957139.98</v>
      </c>
      <c r="AL1041" s="199">
        <v>351702.84100000001</v>
      </c>
      <c r="AM1041" s="150">
        <f t="shared" si="1017"/>
        <v>1308842.821</v>
      </c>
      <c r="AN1041" s="153">
        <f t="shared" si="998"/>
        <v>-9.9999993108212948E-4</v>
      </c>
      <c r="AO1041" s="154">
        <f t="shared" si="999"/>
        <v>-9.9999993108212948E-4</v>
      </c>
      <c r="AP1041" s="150">
        <v>1308842.821</v>
      </c>
      <c r="AQ1041" s="201">
        <v>1308842.82</v>
      </c>
      <c r="AR1041" s="199"/>
      <c r="AS1041" s="150">
        <f t="shared" si="1018"/>
        <v>1308842.82</v>
      </c>
      <c r="AT1041" s="155" t="s">
        <v>7277</v>
      </c>
      <c r="AU1041" s="156">
        <f t="shared" si="993"/>
        <v>0</v>
      </c>
      <c r="AV1041" s="156">
        <f t="shared" si="994"/>
        <v>0</v>
      </c>
      <c r="AW1041" s="157" t="s">
        <v>7277</v>
      </c>
      <c r="AX1041" s="150">
        <v>1308842.821</v>
      </c>
      <c r="AY1041" s="150">
        <v>686396.36</v>
      </c>
      <c r="AZ1041" s="150">
        <v>409973.64549999998</v>
      </c>
      <c r="BA1041" s="150">
        <f t="shared" si="1000"/>
        <v>1096370.0055</v>
      </c>
      <c r="BB1041" s="202">
        <v>5</v>
      </c>
      <c r="BC1041" s="202" t="s">
        <v>647</v>
      </c>
      <c r="BD1041" s="202" t="s">
        <v>647</v>
      </c>
      <c r="BE1041" s="202" t="s">
        <v>632</v>
      </c>
      <c r="BF1041" s="202" t="s">
        <v>1229</v>
      </c>
      <c r="BG1041" s="203" t="s">
        <v>7588</v>
      </c>
      <c r="BH1041" s="216">
        <f t="shared" si="1020"/>
        <v>1308842.82</v>
      </c>
      <c r="BI1041" s="205"/>
      <c r="BJ1041" s="206" t="s">
        <v>7589</v>
      </c>
      <c r="BK1041" s="206" t="s">
        <v>434</v>
      </c>
      <c r="BL1041" s="207" t="s">
        <v>7590</v>
      </c>
      <c r="BM1041" s="208">
        <f t="shared" si="1021"/>
        <v>1308842.82</v>
      </c>
      <c r="BN1041" s="160"/>
      <c r="BO1041" s="161">
        <f t="shared" si="979"/>
        <v>0</v>
      </c>
      <c r="BP1041" s="161"/>
    </row>
    <row r="1042" spans="1:68">
      <c r="A1042" s="206" t="s">
        <v>434</v>
      </c>
      <c r="B1042" s="195" t="s">
        <v>7591</v>
      </c>
      <c r="C1042" s="196" t="s">
        <v>7592</v>
      </c>
      <c r="D1042" s="146" t="s">
        <v>4692</v>
      </c>
      <c r="E1042" s="196" t="s">
        <v>7592</v>
      </c>
      <c r="F1042" s="150">
        <v>25831.74</v>
      </c>
      <c r="G1042" s="209">
        <v>75375.48</v>
      </c>
      <c r="H1042" s="209"/>
      <c r="I1042" s="209">
        <v>75375.48</v>
      </c>
      <c r="J1042" s="150">
        <v>3443.56</v>
      </c>
      <c r="K1042" s="150">
        <v>0</v>
      </c>
      <c r="L1042" s="150">
        <f t="shared" si="1019"/>
        <v>3443.56</v>
      </c>
      <c r="M1042" s="150">
        <v>5090.0600000000004</v>
      </c>
      <c r="N1042" s="150">
        <v>7825.8099999999986</v>
      </c>
      <c r="O1042" s="150">
        <v>12915.869999999999</v>
      </c>
      <c r="P1042" s="150">
        <v>6145.76</v>
      </c>
      <c r="Q1042" s="150">
        <v>0</v>
      </c>
      <c r="R1042" s="150">
        <f t="shared" si="1014"/>
        <v>6145.76</v>
      </c>
      <c r="S1042" s="150">
        <f t="shared" si="1002"/>
        <v>8194.3466666666682</v>
      </c>
      <c r="T1042" s="150"/>
      <c r="U1042" s="150">
        <v>7572.88</v>
      </c>
      <c r="V1042" s="199">
        <v>987.0548000000008</v>
      </c>
      <c r="W1042" s="150">
        <f t="shared" si="1015"/>
        <v>8559.9348000000009</v>
      </c>
      <c r="X1042" s="150">
        <v>7572.88</v>
      </c>
      <c r="Y1042" s="150">
        <v>987.0548000000008</v>
      </c>
      <c r="Z1042" s="150">
        <v>8559.9348000000009</v>
      </c>
      <c r="AA1042" s="150">
        <f t="shared" si="996"/>
        <v>0</v>
      </c>
      <c r="AB1042" s="150">
        <v>7572.88</v>
      </c>
      <c r="AC1042" s="199">
        <v>987.0548000000008</v>
      </c>
      <c r="AD1042" s="150">
        <f t="shared" si="1016"/>
        <v>8559.9348000000009</v>
      </c>
      <c r="AE1042" s="150">
        <v>8559.9348000000009</v>
      </c>
      <c r="AF1042" s="169" t="s">
        <v>4680</v>
      </c>
      <c r="AG1042" s="201">
        <v>7572.88</v>
      </c>
      <c r="AH1042" s="199">
        <v>987.0548000000008</v>
      </c>
      <c r="AI1042" s="150">
        <v>8559.9348000000009</v>
      </c>
      <c r="AJ1042" s="169">
        <f t="shared" si="997"/>
        <v>0</v>
      </c>
      <c r="AK1042" s="201">
        <v>7572.88</v>
      </c>
      <c r="AL1042" s="199">
        <v>987.0548000000008</v>
      </c>
      <c r="AM1042" s="150">
        <f t="shared" si="1017"/>
        <v>8559.9348000000009</v>
      </c>
      <c r="AN1042" s="153">
        <f t="shared" si="998"/>
        <v>-4.8000000006140908E-3</v>
      </c>
      <c r="AO1042" s="154">
        <f t="shared" si="999"/>
        <v>-4.8000000006140908E-3</v>
      </c>
      <c r="AP1042" s="150">
        <v>8559.9348000000009</v>
      </c>
      <c r="AQ1042" s="201">
        <v>8559.93</v>
      </c>
      <c r="AR1042" s="199"/>
      <c r="AS1042" s="150">
        <f t="shared" si="1018"/>
        <v>8559.93</v>
      </c>
      <c r="AT1042" s="155" t="s">
        <v>7277</v>
      </c>
      <c r="AU1042" s="156">
        <f t="shared" si="993"/>
        <v>0</v>
      </c>
      <c r="AV1042" s="156">
        <f t="shared" si="994"/>
        <v>0</v>
      </c>
      <c r="AW1042" s="157" t="s">
        <v>7277</v>
      </c>
      <c r="AX1042" s="150">
        <v>8559.9348000000009</v>
      </c>
      <c r="AY1042" s="150">
        <v>5788.62</v>
      </c>
      <c r="AZ1042" s="150">
        <v>206610.9522</v>
      </c>
      <c r="BA1042" s="150">
        <f t="shared" si="1000"/>
        <v>212399.5722</v>
      </c>
      <c r="BB1042" s="202">
        <v>5</v>
      </c>
      <c r="BC1042" s="202" t="s">
        <v>647</v>
      </c>
      <c r="BD1042" s="202" t="s">
        <v>647</v>
      </c>
      <c r="BE1042" s="202" t="s">
        <v>632</v>
      </c>
      <c r="BF1042" s="202" t="s">
        <v>1243</v>
      </c>
      <c r="BG1042" s="203" t="s">
        <v>7593</v>
      </c>
      <c r="BH1042" s="216">
        <f t="shared" si="1020"/>
        <v>8559.93</v>
      </c>
      <c r="BI1042" s="205"/>
      <c r="BJ1042" s="206" t="s">
        <v>7589</v>
      </c>
      <c r="BK1042" s="206" t="s">
        <v>434</v>
      </c>
      <c r="BL1042" s="207" t="s">
        <v>7590</v>
      </c>
      <c r="BM1042" s="208">
        <f t="shared" si="1021"/>
        <v>8559.93</v>
      </c>
      <c r="BN1042" s="160"/>
      <c r="BO1042" s="161">
        <f t="shared" si="979"/>
        <v>0</v>
      </c>
      <c r="BP1042" s="161"/>
    </row>
    <row r="1043" spans="1:68" ht="24">
      <c r="A1043" s="206" t="s">
        <v>434</v>
      </c>
      <c r="B1043" s="195" t="s">
        <v>7594</v>
      </c>
      <c r="C1043" s="196" t="s">
        <v>7595</v>
      </c>
      <c r="D1043" s="146" t="s">
        <v>4692</v>
      </c>
      <c r="E1043" s="196" t="s">
        <v>7595</v>
      </c>
      <c r="F1043" s="150">
        <v>75375.48</v>
      </c>
      <c r="G1043" s="209">
        <v>0</v>
      </c>
      <c r="H1043" s="209"/>
      <c r="I1043" s="209">
        <v>0</v>
      </c>
      <c r="J1043" s="150">
        <v>0</v>
      </c>
      <c r="K1043" s="150">
        <v>0</v>
      </c>
      <c r="L1043" s="150">
        <f t="shared" si="1019"/>
        <v>0</v>
      </c>
      <c r="M1043" s="150">
        <v>25125.16</v>
      </c>
      <c r="N1043" s="150"/>
      <c r="O1043" s="150">
        <v>25125.16</v>
      </c>
      <c r="P1043" s="150">
        <v>50358.720000000001</v>
      </c>
      <c r="Q1043" s="150">
        <v>8.0000000161817297E-4</v>
      </c>
      <c r="R1043" s="150">
        <f t="shared" si="1014"/>
        <v>50358.720800000003</v>
      </c>
      <c r="S1043" s="150">
        <f t="shared" si="1002"/>
        <v>67144.96106666667</v>
      </c>
      <c r="T1043" s="150"/>
      <c r="U1043" s="150">
        <v>62985.919999999998</v>
      </c>
      <c r="V1043" s="199"/>
      <c r="W1043" s="150">
        <f t="shared" si="1015"/>
        <v>62985.919999999998</v>
      </c>
      <c r="X1043" s="150">
        <v>62985.919999999998</v>
      </c>
      <c r="Y1043" s="150"/>
      <c r="Z1043" s="150">
        <v>62985.919999999998</v>
      </c>
      <c r="AA1043" s="150">
        <f t="shared" si="996"/>
        <v>12389.490000000005</v>
      </c>
      <c r="AB1043" s="150">
        <v>75375.41</v>
      </c>
      <c r="AC1043" s="199"/>
      <c r="AD1043" s="150">
        <f t="shared" si="1016"/>
        <v>75375.41</v>
      </c>
      <c r="AE1043" s="150">
        <v>75375.41</v>
      </c>
      <c r="AF1043" s="169" t="s">
        <v>4680</v>
      </c>
      <c r="AG1043" s="201">
        <v>75375.41</v>
      </c>
      <c r="AH1043" s="199"/>
      <c r="AI1043" s="150">
        <v>75375.41</v>
      </c>
      <c r="AJ1043" s="169">
        <f t="shared" si="997"/>
        <v>0</v>
      </c>
      <c r="AK1043" s="201">
        <v>75375.41</v>
      </c>
      <c r="AL1043" s="199"/>
      <c r="AM1043" s="150">
        <f t="shared" si="1017"/>
        <v>75375.41</v>
      </c>
      <c r="AN1043" s="153">
        <f t="shared" si="998"/>
        <v>0</v>
      </c>
      <c r="AO1043" s="154">
        <f t="shared" si="999"/>
        <v>0</v>
      </c>
      <c r="AP1043" s="150">
        <v>75375.41</v>
      </c>
      <c r="AQ1043" s="201">
        <v>75375.41</v>
      </c>
      <c r="AR1043" s="199"/>
      <c r="AS1043" s="150">
        <f t="shared" si="1018"/>
        <v>75375.41</v>
      </c>
      <c r="AT1043" s="155"/>
      <c r="AU1043" s="156">
        <f t="shared" si="993"/>
        <v>0</v>
      </c>
      <c r="AV1043" s="156">
        <f t="shared" si="994"/>
        <v>12389.490000000005</v>
      </c>
      <c r="AW1043" s="157" t="s">
        <v>6675</v>
      </c>
      <c r="AX1043" s="150">
        <v>62985.919999999998</v>
      </c>
      <c r="AY1043" s="150">
        <v>37731.519999999997</v>
      </c>
      <c r="AZ1043" s="150">
        <v>18865.768400000008</v>
      </c>
      <c r="BA1043" s="150">
        <f t="shared" si="1000"/>
        <v>56597.288400000005</v>
      </c>
      <c r="BB1043" s="202">
        <v>5</v>
      </c>
      <c r="BC1043" s="202" t="s">
        <v>647</v>
      </c>
      <c r="BD1043" s="202" t="s">
        <v>647</v>
      </c>
      <c r="BE1043" s="202" t="s">
        <v>632</v>
      </c>
      <c r="BF1043" s="202" t="s">
        <v>1247</v>
      </c>
      <c r="BG1043" s="203" t="s">
        <v>68</v>
      </c>
      <c r="BH1043" s="216">
        <f t="shared" si="1020"/>
        <v>75375.41</v>
      </c>
      <c r="BI1043" s="205"/>
      <c r="BJ1043" s="206" t="s">
        <v>7589</v>
      </c>
      <c r="BK1043" s="206" t="s">
        <v>434</v>
      </c>
      <c r="BL1043" s="207" t="s">
        <v>7590</v>
      </c>
      <c r="BM1043" s="208">
        <f t="shared" si="1021"/>
        <v>75375.41</v>
      </c>
      <c r="BN1043" s="160"/>
      <c r="BO1043" s="161">
        <f t="shared" si="979"/>
        <v>0</v>
      </c>
      <c r="BP1043" s="161"/>
    </row>
    <row r="1044" spans="1:68" ht="38.25">
      <c r="A1044" s="206" t="s">
        <v>7596</v>
      </c>
      <c r="B1044" s="195" t="s">
        <v>7597</v>
      </c>
      <c r="C1044" s="196" t="s">
        <v>7598</v>
      </c>
      <c r="D1044" s="146" t="s">
        <v>4692</v>
      </c>
      <c r="E1044" s="196" t="s">
        <v>7598</v>
      </c>
      <c r="F1044" s="150">
        <v>0</v>
      </c>
      <c r="G1044" s="209">
        <v>0</v>
      </c>
      <c r="H1044" s="209"/>
      <c r="I1044" s="209">
        <v>0</v>
      </c>
      <c r="J1044" s="150">
        <v>0</v>
      </c>
      <c r="K1044" s="150">
        <v>0</v>
      </c>
      <c r="L1044" s="150">
        <f t="shared" si="1019"/>
        <v>0</v>
      </c>
      <c r="M1044" s="150">
        <v>0</v>
      </c>
      <c r="N1044" s="150"/>
      <c r="O1044" s="150">
        <v>0</v>
      </c>
      <c r="P1044" s="150">
        <v>0</v>
      </c>
      <c r="Q1044" s="150">
        <v>0</v>
      </c>
      <c r="R1044" s="150">
        <f t="shared" si="1014"/>
        <v>0</v>
      </c>
      <c r="S1044" s="150">
        <f t="shared" si="1002"/>
        <v>0</v>
      </c>
      <c r="T1044" s="150"/>
      <c r="U1044" s="150">
        <v>0</v>
      </c>
      <c r="V1044" s="199"/>
      <c r="W1044" s="150">
        <f t="shared" si="1015"/>
        <v>0</v>
      </c>
      <c r="X1044" s="150">
        <v>0</v>
      </c>
      <c r="Y1044" s="150"/>
      <c r="Z1044" s="150">
        <v>0</v>
      </c>
      <c r="AA1044" s="150">
        <f t="shared" si="996"/>
        <v>0</v>
      </c>
      <c r="AB1044" s="150">
        <v>0</v>
      </c>
      <c r="AC1044" s="199"/>
      <c r="AD1044" s="150">
        <f t="shared" si="1016"/>
        <v>0</v>
      </c>
      <c r="AE1044" s="150">
        <v>0</v>
      </c>
      <c r="AF1044" s="169" t="s">
        <v>4680</v>
      </c>
      <c r="AG1044" s="201">
        <v>0</v>
      </c>
      <c r="AH1044" s="199"/>
      <c r="AI1044" s="150">
        <v>0</v>
      </c>
      <c r="AJ1044" s="169">
        <f t="shared" si="997"/>
        <v>0</v>
      </c>
      <c r="AK1044" s="201">
        <v>0</v>
      </c>
      <c r="AL1044" s="199"/>
      <c r="AM1044" s="150">
        <f t="shared" si="1017"/>
        <v>0</v>
      </c>
      <c r="AN1044" s="153">
        <f t="shared" si="998"/>
        <v>0</v>
      </c>
      <c r="AO1044" s="154">
        <f t="shared" si="999"/>
        <v>0</v>
      </c>
      <c r="AP1044" s="150">
        <v>0</v>
      </c>
      <c r="AQ1044" s="201">
        <v>0</v>
      </c>
      <c r="AR1044" s="199"/>
      <c r="AS1044" s="150">
        <f t="shared" si="1018"/>
        <v>0</v>
      </c>
      <c r="AT1044" s="155"/>
      <c r="AU1044" s="156">
        <f t="shared" si="993"/>
        <v>0</v>
      </c>
      <c r="AV1044" s="156">
        <f t="shared" si="994"/>
        <v>0</v>
      </c>
      <c r="AW1044" s="157"/>
      <c r="AX1044" s="150">
        <v>0</v>
      </c>
      <c r="AY1044" s="150">
        <v>0</v>
      </c>
      <c r="AZ1044" s="150"/>
      <c r="BA1044" s="150">
        <f t="shared" si="1000"/>
        <v>0</v>
      </c>
      <c r="BB1044" s="202">
        <v>5</v>
      </c>
      <c r="BC1044" s="202" t="s">
        <v>647</v>
      </c>
      <c r="BD1044" s="202" t="s">
        <v>647</v>
      </c>
      <c r="BE1044" s="202" t="s">
        <v>632</v>
      </c>
      <c r="BF1044" s="202" t="s">
        <v>1253</v>
      </c>
      <c r="BG1044" s="203" t="s">
        <v>7599</v>
      </c>
      <c r="BH1044" s="216">
        <f t="shared" si="1020"/>
        <v>0</v>
      </c>
      <c r="BI1044" s="205"/>
      <c r="BJ1044" s="206" t="s">
        <v>7600</v>
      </c>
      <c r="BK1044" s="206" t="s">
        <v>7596</v>
      </c>
      <c r="BL1044" s="207" t="s">
        <v>7601</v>
      </c>
      <c r="BM1044" s="208">
        <f t="shared" si="1021"/>
        <v>0</v>
      </c>
      <c r="BN1044" s="160"/>
      <c r="BO1044" s="161">
        <f t="shared" si="979"/>
        <v>0</v>
      </c>
      <c r="BP1044" s="161"/>
    </row>
    <row r="1045" spans="1:68" ht="38.25">
      <c r="A1045" s="206" t="s">
        <v>7602</v>
      </c>
      <c r="B1045" s="195" t="s">
        <v>7603</v>
      </c>
      <c r="C1045" s="196" t="s">
        <v>7604</v>
      </c>
      <c r="D1045" s="146" t="s">
        <v>4692</v>
      </c>
      <c r="E1045" s="196" t="s">
        <v>7604</v>
      </c>
      <c r="F1045" s="150">
        <v>0</v>
      </c>
      <c r="G1045" s="209">
        <v>111331.5</v>
      </c>
      <c r="H1045" s="209"/>
      <c r="I1045" s="209">
        <v>111331.5</v>
      </c>
      <c r="J1045" s="150">
        <v>0</v>
      </c>
      <c r="K1045" s="150">
        <v>0</v>
      </c>
      <c r="L1045" s="150">
        <f t="shared" si="1019"/>
        <v>0</v>
      </c>
      <c r="M1045" s="150">
        <v>10391.25</v>
      </c>
      <c r="N1045" s="150"/>
      <c r="O1045" s="150">
        <v>10391.25</v>
      </c>
      <c r="P1045" s="150">
        <v>10391.25</v>
      </c>
      <c r="Q1045" s="150">
        <v>0</v>
      </c>
      <c r="R1045" s="150">
        <f t="shared" si="1014"/>
        <v>10391.25</v>
      </c>
      <c r="S1045" s="150">
        <f t="shared" si="1002"/>
        <v>13855</v>
      </c>
      <c r="T1045" s="150"/>
      <c r="U1045" s="150">
        <v>10391.25</v>
      </c>
      <c r="V1045" s="199"/>
      <c r="W1045" s="150">
        <f t="shared" si="1015"/>
        <v>10391.25</v>
      </c>
      <c r="X1045" s="150">
        <v>10391.25</v>
      </c>
      <c r="Y1045" s="150"/>
      <c r="Z1045" s="150">
        <v>10391.25</v>
      </c>
      <c r="AA1045" s="150">
        <f t="shared" si="996"/>
        <v>0</v>
      </c>
      <c r="AB1045" s="150">
        <v>10391.25</v>
      </c>
      <c r="AC1045" s="199"/>
      <c r="AD1045" s="150">
        <f t="shared" si="1016"/>
        <v>10391.25</v>
      </c>
      <c r="AE1045" s="150">
        <v>10391.25</v>
      </c>
      <c r="AF1045" s="169" t="s">
        <v>4680</v>
      </c>
      <c r="AG1045" s="201">
        <v>10391.25</v>
      </c>
      <c r="AH1045" s="199"/>
      <c r="AI1045" s="150">
        <v>10391.25</v>
      </c>
      <c r="AJ1045" s="169">
        <f t="shared" si="997"/>
        <v>0</v>
      </c>
      <c r="AK1045" s="201">
        <v>10391.25</v>
      </c>
      <c r="AL1045" s="199"/>
      <c r="AM1045" s="150">
        <f t="shared" si="1017"/>
        <v>10391.25</v>
      </c>
      <c r="AN1045" s="153">
        <f t="shared" si="998"/>
        <v>0</v>
      </c>
      <c r="AO1045" s="154">
        <f t="shared" si="999"/>
        <v>0</v>
      </c>
      <c r="AP1045" s="150">
        <v>10391.25</v>
      </c>
      <c r="AQ1045" s="201">
        <v>10391.25</v>
      </c>
      <c r="AR1045" s="199"/>
      <c r="AS1045" s="150">
        <f t="shared" si="1018"/>
        <v>10391.25</v>
      </c>
      <c r="AT1045" s="155"/>
      <c r="AU1045" s="156">
        <f t="shared" si="993"/>
        <v>0</v>
      </c>
      <c r="AV1045" s="156">
        <f t="shared" si="994"/>
        <v>0</v>
      </c>
      <c r="AW1045" s="157"/>
      <c r="AX1045" s="150">
        <v>10391.25</v>
      </c>
      <c r="AY1045" s="150">
        <v>10391.25</v>
      </c>
      <c r="AZ1045" s="150"/>
      <c r="BA1045" s="150">
        <f t="shared" si="1000"/>
        <v>10391.25</v>
      </c>
      <c r="BB1045" s="202">
        <v>5</v>
      </c>
      <c r="BC1045" s="202" t="s">
        <v>647</v>
      </c>
      <c r="BD1045" s="202" t="s">
        <v>647</v>
      </c>
      <c r="BE1045" s="202" t="s">
        <v>632</v>
      </c>
      <c r="BF1045" s="202" t="s">
        <v>1257</v>
      </c>
      <c r="BG1045" s="203" t="s">
        <v>7605</v>
      </c>
      <c r="BH1045" s="216">
        <f>SUM(AS1045:AS1048)</f>
        <v>233912.02</v>
      </c>
      <c r="BI1045" s="205"/>
      <c r="BJ1045" s="206" t="s">
        <v>7606</v>
      </c>
      <c r="BK1045" s="206" t="s">
        <v>7602</v>
      </c>
      <c r="BL1045" s="207" t="s">
        <v>7607</v>
      </c>
      <c r="BM1045" s="208">
        <f t="shared" si="1021"/>
        <v>233912.02</v>
      </c>
      <c r="BN1045" s="160"/>
      <c r="BO1045" s="161"/>
      <c r="BP1045" s="161"/>
    </row>
    <row r="1046" spans="1:68">
      <c r="A1046" s="210"/>
      <c r="B1046" s="195" t="s">
        <v>7608</v>
      </c>
      <c r="C1046" s="196" t="s">
        <v>7609</v>
      </c>
      <c r="D1046" s="146" t="s">
        <v>4692</v>
      </c>
      <c r="E1046" s="196" t="s">
        <v>7609</v>
      </c>
      <c r="F1046" s="150">
        <v>111331.5</v>
      </c>
      <c r="G1046" s="209">
        <v>306830.63</v>
      </c>
      <c r="H1046" s="209"/>
      <c r="I1046" s="209">
        <v>306830.63</v>
      </c>
      <c r="J1046" s="150">
        <v>0</v>
      </c>
      <c r="K1046" s="150">
        <v>0</v>
      </c>
      <c r="L1046" s="150">
        <f t="shared" si="1019"/>
        <v>0</v>
      </c>
      <c r="M1046" s="150">
        <v>0</v>
      </c>
      <c r="N1046" s="150"/>
      <c r="O1046" s="150">
        <v>0</v>
      </c>
      <c r="P1046" s="150">
        <v>0</v>
      </c>
      <c r="Q1046" s="150">
        <v>0</v>
      </c>
      <c r="R1046" s="150">
        <f t="shared" si="1014"/>
        <v>0</v>
      </c>
      <c r="S1046" s="150">
        <f t="shared" si="1002"/>
        <v>0</v>
      </c>
      <c r="T1046" s="150"/>
      <c r="U1046" s="150">
        <v>0</v>
      </c>
      <c r="V1046" s="199"/>
      <c r="W1046" s="150">
        <f t="shared" si="1015"/>
        <v>0</v>
      </c>
      <c r="X1046" s="150">
        <v>0</v>
      </c>
      <c r="Y1046" s="150"/>
      <c r="Z1046" s="150">
        <v>0</v>
      </c>
      <c r="AA1046" s="150">
        <f t="shared" si="996"/>
        <v>58086</v>
      </c>
      <c r="AB1046" s="150">
        <v>58086</v>
      </c>
      <c r="AC1046" s="199"/>
      <c r="AD1046" s="150">
        <f t="shared" si="1016"/>
        <v>58086</v>
      </c>
      <c r="AE1046" s="150">
        <v>58086</v>
      </c>
      <c r="AF1046" s="169" t="s">
        <v>4680</v>
      </c>
      <c r="AG1046" s="201">
        <v>58086</v>
      </c>
      <c r="AH1046" s="199"/>
      <c r="AI1046" s="150">
        <v>58086</v>
      </c>
      <c r="AJ1046" s="169">
        <f t="shared" si="997"/>
        <v>0</v>
      </c>
      <c r="AK1046" s="201">
        <v>58086</v>
      </c>
      <c r="AL1046" s="199"/>
      <c r="AM1046" s="150">
        <f t="shared" si="1017"/>
        <v>58086</v>
      </c>
      <c r="AN1046" s="153">
        <f t="shared" si="998"/>
        <v>0</v>
      </c>
      <c r="AO1046" s="154">
        <f t="shared" si="999"/>
        <v>0</v>
      </c>
      <c r="AP1046" s="150">
        <v>58086</v>
      </c>
      <c r="AQ1046" s="201">
        <v>58086</v>
      </c>
      <c r="AR1046" s="199"/>
      <c r="AS1046" s="150">
        <f t="shared" si="1018"/>
        <v>58086</v>
      </c>
      <c r="AT1046" s="155"/>
      <c r="AU1046" s="156">
        <f t="shared" si="993"/>
        <v>0</v>
      </c>
      <c r="AV1046" s="156">
        <f t="shared" si="994"/>
        <v>58086</v>
      </c>
      <c r="AW1046" s="157"/>
      <c r="AX1046" s="150">
        <v>0</v>
      </c>
      <c r="AY1046" s="150">
        <v>0</v>
      </c>
      <c r="AZ1046" s="150"/>
      <c r="BA1046" s="150">
        <f t="shared" si="1000"/>
        <v>0</v>
      </c>
      <c r="BB1046" s="210"/>
      <c r="BC1046" s="210"/>
      <c r="BD1046" s="210"/>
      <c r="BE1046" s="210"/>
      <c r="BF1046" s="210"/>
      <c r="BG1046" s="210"/>
      <c r="BH1046" s="217"/>
      <c r="BI1046" s="210"/>
      <c r="BJ1046" s="210"/>
      <c r="BK1046" s="210"/>
      <c r="BL1046" s="210"/>
      <c r="BM1046" s="208"/>
      <c r="BN1046" s="160"/>
      <c r="BO1046" s="161"/>
      <c r="BP1046" s="161"/>
    </row>
    <row r="1047" spans="1:68" ht="25.5">
      <c r="A1047" s="210"/>
      <c r="B1047" s="195" t="s">
        <v>7610</v>
      </c>
      <c r="C1047" s="196" t="s">
        <v>7611</v>
      </c>
      <c r="D1047" s="146" t="s">
        <v>4692</v>
      </c>
      <c r="E1047" s="196" t="s">
        <v>7611</v>
      </c>
      <c r="F1047" s="150">
        <v>306830.63</v>
      </c>
      <c r="G1047" s="209">
        <v>4593.87</v>
      </c>
      <c r="H1047" s="209"/>
      <c r="I1047" s="209">
        <v>4593.87</v>
      </c>
      <c r="J1047" s="150">
        <v>2426.37</v>
      </c>
      <c r="K1047" s="150">
        <v>0</v>
      </c>
      <c r="L1047" s="150">
        <f t="shared" si="1019"/>
        <v>2426.37</v>
      </c>
      <c r="M1047" s="150">
        <v>2426.37</v>
      </c>
      <c r="N1047" s="150">
        <v>431991</v>
      </c>
      <c r="O1047" s="150">
        <v>434417.37</v>
      </c>
      <c r="P1047" s="150">
        <v>2426.37</v>
      </c>
      <c r="Q1047" s="150">
        <v>0</v>
      </c>
      <c r="R1047" s="150">
        <f t="shared" si="1014"/>
        <v>2426.37</v>
      </c>
      <c r="S1047" s="150">
        <f t="shared" si="1002"/>
        <v>3235.16</v>
      </c>
      <c r="T1047" s="150"/>
      <c r="U1047" s="150">
        <v>2426.37</v>
      </c>
      <c r="V1047" s="199"/>
      <c r="W1047" s="150">
        <f t="shared" si="1015"/>
        <v>2426.37</v>
      </c>
      <c r="X1047" s="150">
        <v>2426.37</v>
      </c>
      <c r="Y1047" s="150"/>
      <c r="Z1047" s="150">
        <v>2426.37</v>
      </c>
      <c r="AA1047" s="150">
        <f t="shared" si="996"/>
        <v>160989</v>
      </c>
      <c r="AB1047" s="150">
        <v>163415.37</v>
      </c>
      <c r="AC1047" s="199"/>
      <c r="AD1047" s="150">
        <f t="shared" si="1016"/>
        <v>163415.37</v>
      </c>
      <c r="AE1047" s="150">
        <v>163415.37</v>
      </c>
      <c r="AF1047" s="169" t="s">
        <v>4680</v>
      </c>
      <c r="AG1047" s="201">
        <v>163415.37</v>
      </c>
      <c r="AH1047" s="199"/>
      <c r="AI1047" s="150">
        <v>163415.37</v>
      </c>
      <c r="AJ1047" s="169">
        <f t="shared" si="997"/>
        <v>0</v>
      </c>
      <c r="AK1047" s="201">
        <v>163415.37</v>
      </c>
      <c r="AL1047" s="199"/>
      <c r="AM1047" s="150">
        <f t="shared" si="1017"/>
        <v>163415.37</v>
      </c>
      <c r="AN1047" s="153">
        <f t="shared" si="998"/>
        <v>0</v>
      </c>
      <c r="AO1047" s="154">
        <f t="shared" si="999"/>
        <v>0</v>
      </c>
      <c r="AP1047" s="150">
        <v>163415.37</v>
      </c>
      <c r="AQ1047" s="201">
        <v>163415.37</v>
      </c>
      <c r="AR1047" s="199"/>
      <c r="AS1047" s="150">
        <f t="shared" si="1018"/>
        <v>163415.37</v>
      </c>
      <c r="AT1047" s="155"/>
      <c r="AU1047" s="156">
        <f t="shared" si="993"/>
        <v>0</v>
      </c>
      <c r="AV1047" s="156">
        <f t="shared" si="994"/>
        <v>160989</v>
      </c>
      <c r="AW1047" s="157" t="s">
        <v>7612</v>
      </c>
      <c r="AX1047" s="150">
        <v>2426.37</v>
      </c>
      <c r="AY1047" s="150">
        <v>2426.37</v>
      </c>
      <c r="AZ1047" s="237"/>
      <c r="BA1047" s="150">
        <f t="shared" si="1000"/>
        <v>2426.37</v>
      </c>
      <c r="BB1047" s="210"/>
      <c r="BC1047" s="210"/>
      <c r="BD1047" s="210"/>
      <c r="BE1047" s="210"/>
      <c r="BF1047" s="210"/>
      <c r="BG1047" s="210"/>
      <c r="BH1047" s="217"/>
      <c r="BI1047" s="210"/>
      <c r="BJ1047" s="210"/>
      <c r="BK1047" s="210"/>
      <c r="BL1047" s="210"/>
      <c r="BM1047" s="208"/>
      <c r="BN1047" s="160"/>
      <c r="BO1047" s="161"/>
      <c r="BP1047" s="161"/>
    </row>
    <row r="1048" spans="1:68">
      <c r="A1048" s="210"/>
      <c r="B1048" s="195" t="s">
        <v>7613</v>
      </c>
      <c r="C1048" s="196" t="s">
        <v>7614</v>
      </c>
      <c r="D1048" s="146" t="s">
        <v>4692</v>
      </c>
      <c r="E1048" s="196" t="s">
        <v>7614</v>
      </c>
      <c r="F1048" s="150">
        <v>4593.87</v>
      </c>
      <c r="G1048" s="209">
        <v>12344.45</v>
      </c>
      <c r="H1048" s="209"/>
      <c r="I1048" s="209">
        <v>12344.45</v>
      </c>
      <c r="J1048" s="150">
        <v>0</v>
      </c>
      <c r="K1048" s="150">
        <v>0</v>
      </c>
      <c r="L1048" s="150">
        <f t="shared" si="1019"/>
        <v>0</v>
      </c>
      <c r="M1048" s="150">
        <v>0</v>
      </c>
      <c r="N1048" s="150">
        <v>2296.9349999999999</v>
      </c>
      <c r="O1048" s="150">
        <v>2296.9349999999999</v>
      </c>
      <c r="P1048" s="150">
        <v>0</v>
      </c>
      <c r="Q1048" s="150">
        <v>0</v>
      </c>
      <c r="R1048" s="150">
        <f t="shared" si="1014"/>
        <v>0</v>
      </c>
      <c r="S1048" s="150">
        <f t="shared" si="1002"/>
        <v>0</v>
      </c>
      <c r="T1048" s="150"/>
      <c r="U1048" s="150">
        <v>0</v>
      </c>
      <c r="V1048" s="199"/>
      <c r="W1048" s="150">
        <f t="shared" si="1015"/>
        <v>0</v>
      </c>
      <c r="X1048" s="150">
        <v>0</v>
      </c>
      <c r="Y1048" s="150"/>
      <c r="Z1048" s="150">
        <v>0</v>
      </c>
      <c r="AA1048" s="150">
        <f t="shared" si="996"/>
        <v>2019.4</v>
      </c>
      <c r="AB1048" s="150">
        <v>2019.4</v>
      </c>
      <c r="AC1048" s="199"/>
      <c r="AD1048" s="150">
        <f t="shared" si="1016"/>
        <v>2019.4</v>
      </c>
      <c r="AE1048" s="150">
        <v>2019.4</v>
      </c>
      <c r="AF1048" s="169" t="s">
        <v>4680</v>
      </c>
      <c r="AG1048" s="201">
        <v>2019.4</v>
      </c>
      <c r="AH1048" s="199"/>
      <c r="AI1048" s="150">
        <v>2019.4</v>
      </c>
      <c r="AJ1048" s="169">
        <f t="shared" si="997"/>
        <v>0</v>
      </c>
      <c r="AK1048" s="201">
        <v>2019.4</v>
      </c>
      <c r="AL1048" s="199"/>
      <c r="AM1048" s="150">
        <f t="shared" si="1017"/>
        <v>2019.4</v>
      </c>
      <c r="AN1048" s="153">
        <f t="shared" si="998"/>
        <v>0</v>
      </c>
      <c r="AO1048" s="154">
        <f t="shared" si="999"/>
        <v>0</v>
      </c>
      <c r="AP1048" s="150">
        <v>2019.4</v>
      </c>
      <c r="AQ1048" s="201">
        <v>2019.4</v>
      </c>
      <c r="AR1048" s="199"/>
      <c r="AS1048" s="150">
        <f t="shared" si="1018"/>
        <v>2019.4</v>
      </c>
      <c r="AT1048" s="155"/>
      <c r="AU1048" s="156">
        <f t="shared" si="993"/>
        <v>0</v>
      </c>
      <c r="AV1048" s="156">
        <f t="shared" si="994"/>
        <v>2019.4</v>
      </c>
      <c r="AW1048" s="157"/>
      <c r="AX1048" s="150">
        <v>0</v>
      </c>
      <c r="AY1048" s="150">
        <v>0</v>
      </c>
      <c r="AZ1048" s="150"/>
      <c r="BA1048" s="150">
        <f t="shared" si="1000"/>
        <v>0</v>
      </c>
      <c r="BB1048" s="210"/>
      <c r="BC1048" s="210"/>
      <c r="BD1048" s="210"/>
      <c r="BE1048" s="210"/>
      <c r="BF1048" s="210"/>
      <c r="BG1048" s="210"/>
      <c r="BH1048" s="217"/>
      <c r="BI1048" s="210"/>
      <c r="BJ1048" s="210"/>
      <c r="BK1048" s="210"/>
      <c r="BL1048" s="210"/>
      <c r="BM1048" s="208"/>
      <c r="BN1048" s="160"/>
      <c r="BO1048" s="161"/>
      <c r="BP1048" s="161"/>
    </row>
    <row r="1049" spans="1:68" ht="38.25">
      <c r="A1049" s="261" t="s">
        <v>436</v>
      </c>
      <c r="B1049" s="228" t="s">
        <v>7615</v>
      </c>
      <c r="C1049" s="229" t="s">
        <v>7616</v>
      </c>
      <c r="D1049" s="146" t="s">
        <v>4692</v>
      </c>
      <c r="E1049" s="196" t="s">
        <v>7616</v>
      </c>
      <c r="F1049" s="150">
        <v>24762.87</v>
      </c>
      <c r="G1049" s="209">
        <v>0</v>
      </c>
      <c r="H1049" s="209"/>
      <c r="I1049" s="209">
        <v>0</v>
      </c>
      <c r="J1049" s="150">
        <v>0</v>
      </c>
      <c r="K1049" s="150">
        <v>0</v>
      </c>
      <c r="L1049" s="150">
        <f t="shared" si="1019"/>
        <v>0</v>
      </c>
      <c r="M1049" s="150">
        <v>0</v>
      </c>
      <c r="N1049" s="150">
        <v>12381.434999999998</v>
      </c>
      <c r="O1049" s="150">
        <v>12381.434999999998</v>
      </c>
      <c r="P1049" s="150">
        <v>0</v>
      </c>
      <c r="Q1049" s="150">
        <v>0</v>
      </c>
      <c r="R1049" s="150">
        <f t="shared" si="1014"/>
        <v>0</v>
      </c>
      <c r="S1049" s="150">
        <f t="shared" si="1002"/>
        <v>0</v>
      </c>
      <c r="T1049" s="150"/>
      <c r="U1049" s="150">
        <v>8375.7999999999993</v>
      </c>
      <c r="V1049" s="199"/>
      <c r="W1049" s="150">
        <f t="shared" si="1015"/>
        <v>8375.7999999999993</v>
      </c>
      <c r="X1049" s="150">
        <v>8375.7999999999993</v>
      </c>
      <c r="Y1049" s="150"/>
      <c r="Z1049" s="150">
        <v>8375.7999999999993</v>
      </c>
      <c r="AA1049" s="150">
        <f t="shared" si="996"/>
        <v>12576.52</v>
      </c>
      <c r="AB1049" s="150">
        <v>20952.32</v>
      </c>
      <c r="AC1049" s="199"/>
      <c r="AD1049" s="150">
        <f t="shared" si="1016"/>
        <v>20952.32</v>
      </c>
      <c r="AE1049" s="150">
        <v>20952.32</v>
      </c>
      <c r="AF1049" s="169" t="s">
        <v>4680</v>
      </c>
      <c r="AG1049" s="201">
        <v>20952.32</v>
      </c>
      <c r="AH1049" s="199"/>
      <c r="AI1049" s="150">
        <v>20952.32</v>
      </c>
      <c r="AJ1049" s="169">
        <f t="shared" si="997"/>
        <v>0</v>
      </c>
      <c r="AK1049" s="201">
        <v>20952.32</v>
      </c>
      <c r="AL1049" s="199"/>
      <c r="AM1049" s="150">
        <f t="shared" si="1017"/>
        <v>20952.32</v>
      </c>
      <c r="AN1049" s="153">
        <f t="shared" si="998"/>
        <v>0</v>
      </c>
      <c r="AO1049" s="154">
        <f t="shared" si="999"/>
        <v>0</v>
      </c>
      <c r="AP1049" s="150">
        <v>20952.32</v>
      </c>
      <c r="AQ1049" s="201">
        <v>20952.32</v>
      </c>
      <c r="AR1049" s="199"/>
      <c r="AS1049" s="150">
        <f t="shared" si="1018"/>
        <v>20952.32</v>
      </c>
      <c r="AT1049" s="155" t="s">
        <v>4796</v>
      </c>
      <c r="AU1049" s="156">
        <f t="shared" si="993"/>
        <v>0</v>
      </c>
      <c r="AV1049" s="156">
        <f t="shared" si="994"/>
        <v>12576.52</v>
      </c>
      <c r="AW1049" s="157" t="s">
        <v>4796</v>
      </c>
      <c r="AX1049" s="150">
        <v>8375.7999999999993</v>
      </c>
      <c r="AY1049" s="150">
        <v>0</v>
      </c>
      <c r="AZ1049" s="237"/>
      <c r="BA1049" s="150">
        <f t="shared" si="1000"/>
        <v>0</v>
      </c>
      <c r="BB1049" s="202">
        <v>5</v>
      </c>
      <c r="BC1049" s="202" t="s">
        <v>647</v>
      </c>
      <c r="BD1049" s="202" t="s">
        <v>647</v>
      </c>
      <c r="BE1049" s="202" t="s">
        <v>632</v>
      </c>
      <c r="BF1049" s="202" t="s">
        <v>1332</v>
      </c>
      <c r="BG1049" s="203" t="s">
        <v>437</v>
      </c>
      <c r="BH1049" s="216">
        <f>SUM(AS1049:AS1052)</f>
        <v>20952.32</v>
      </c>
      <c r="BI1049" s="206" t="s">
        <v>1519</v>
      </c>
      <c r="BJ1049" s="206" t="s">
        <v>7617</v>
      </c>
      <c r="BK1049" s="206" t="s">
        <v>436</v>
      </c>
      <c r="BL1049" s="207" t="s">
        <v>7618</v>
      </c>
      <c r="BM1049" s="208">
        <f>BH1049</f>
        <v>20952.32</v>
      </c>
      <c r="BN1049" s="160"/>
      <c r="BO1049" s="161">
        <f t="shared" ref="BO1049:BO1089" si="1022">BM1049-AS1049</f>
        <v>0</v>
      </c>
      <c r="BP1049" s="161"/>
    </row>
    <row r="1050" spans="1:68" ht="25.5">
      <c r="A1050" s="308"/>
      <c r="B1050" s="228" t="s">
        <v>7619</v>
      </c>
      <c r="C1050" s="229" t="s">
        <v>7620</v>
      </c>
      <c r="D1050" s="146" t="s">
        <v>4692</v>
      </c>
      <c r="E1050" s="196" t="s">
        <v>7620</v>
      </c>
      <c r="F1050" s="150">
        <v>0</v>
      </c>
      <c r="G1050" s="209">
        <v>0</v>
      </c>
      <c r="H1050" s="209"/>
      <c r="I1050" s="209">
        <v>0</v>
      </c>
      <c r="J1050" s="150">
        <v>0</v>
      </c>
      <c r="K1050" s="150">
        <v>0</v>
      </c>
      <c r="L1050" s="150">
        <f t="shared" si="1019"/>
        <v>0</v>
      </c>
      <c r="M1050" s="150">
        <v>0</v>
      </c>
      <c r="N1050" s="150"/>
      <c r="O1050" s="150">
        <v>0</v>
      </c>
      <c r="P1050" s="150">
        <v>0</v>
      </c>
      <c r="Q1050" s="150">
        <v>0</v>
      </c>
      <c r="R1050" s="150">
        <f t="shared" si="1014"/>
        <v>0</v>
      </c>
      <c r="S1050" s="150">
        <f t="shared" si="1002"/>
        <v>0</v>
      </c>
      <c r="T1050" s="150"/>
      <c r="U1050" s="150">
        <v>0</v>
      </c>
      <c r="V1050" s="199"/>
      <c r="W1050" s="150">
        <f t="shared" si="1015"/>
        <v>0</v>
      </c>
      <c r="X1050" s="150">
        <v>0</v>
      </c>
      <c r="Y1050" s="150"/>
      <c r="Z1050" s="150">
        <v>0</v>
      </c>
      <c r="AA1050" s="150">
        <f t="shared" si="996"/>
        <v>0</v>
      </c>
      <c r="AB1050" s="150">
        <v>0</v>
      </c>
      <c r="AC1050" s="199"/>
      <c r="AD1050" s="150">
        <f t="shared" si="1016"/>
        <v>0</v>
      </c>
      <c r="AE1050" s="150">
        <v>0</v>
      </c>
      <c r="AF1050" s="169" t="s">
        <v>4680</v>
      </c>
      <c r="AG1050" s="201">
        <v>0</v>
      </c>
      <c r="AH1050" s="199"/>
      <c r="AI1050" s="150">
        <v>0</v>
      </c>
      <c r="AJ1050" s="169">
        <f t="shared" si="997"/>
        <v>0</v>
      </c>
      <c r="AK1050" s="201">
        <v>0</v>
      </c>
      <c r="AL1050" s="199"/>
      <c r="AM1050" s="150">
        <f t="shared" si="1017"/>
        <v>0</v>
      </c>
      <c r="AN1050" s="153">
        <f t="shared" si="998"/>
        <v>0</v>
      </c>
      <c r="AO1050" s="154">
        <f t="shared" si="999"/>
        <v>0</v>
      </c>
      <c r="AP1050" s="150">
        <v>0</v>
      </c>
      <c r="AQ1050" s="201">
        <v>0</v>
      </c>
      <c r="AR1050" s="199"/>
      <c r="AS1050" s="150">
        <f t="shared" si="1018"/>
        <v>0</v>
      </c>
      <c r="AT1050" s="155" t="s">
        <v>4796</v>
      </c>
      <c r="AU1050" s="156">
        <f t="shared" si="993"/>
        <v>0</v>
      </c>
      <c r="AV1050" s="156">
        <f t="shared" si="994"/>
        <v>0</v>
      </c>
      <c r="AW1050" s="157" t="s">
        <v>4796</v>
      </c>
      <c r="AX1050" s="150">
        <v>0</v>
      </c>
      <c r="AY1050" s="150">
        <v>0</v>
      </c>
      <c r="AZ1050" s="150"/>
      <c r="BA1050" s="150">
        <f t="shared" si="1000"/>
        <v>0</v>
      </c>
      <c r="BB1050" s="210"/>
      <c r="BC1050" s="210"/>
      <c r="BD1050" s="210"/>
      <c r="BE1050" s="210"/>
      <c r="BF1050" s="210"/>
      <c r="BG1050" s="210"/>
      <c r="BH1050" s="217"/>
      <c r="BI1050" s="210"/>
      <c r="BJ1050" s="210"/>
      <c r="BK1050" s="210"/>
      <c r="BL1050" s="210"/>
      <c r="BM1050" s="208"/>
      <c r="BN1050" s="160"/>
      <c r="BO1050" s="161">
        <f t="shared" si="1022"/>
        <v>0</v>
      </c>
      <c r="BP1050" s="161"/>
    </row>
    <row r="1051" spans="1:68" ht="25.5">
      <c r="A1051" s="308"/>
      <c r="B1051" s="228" t="s">
        <v>7621</v>
      </c>
      <c r="C1051" s="229" t="s">
        <v>7622</v>
      </c>
      <c r="D1051" s="146" t="s">
        <v>4692</v>
      </c>
      <c r="E1051" s="196" t="s">
        <v>7622</v>
      </c>
      <c r="F1051" s="150">
        <v>0</v>
      </c>
      <c r="G1051" s="209">
        <v>0</v>
      </c>
      <c r="H1051" s="209"/>
      <c r="I1051" s="209">
        <v>0</v>
      </c>
      <c r="J1051" s="150">
        <v>0</v>
      </c>
      <c r="K1051" s="150">
        <v>0</v>
      </c>
      <c r="L1051" s="150">
        <f t="shared" si="1019"/>
        <v>0</v>
      </c>
      <c r="M1051" s="150">
        <v>0</v>
      </c>
      <c r="N1051" s="150"/>
      <c r="O1051" s="150">
        <v>0</v>
      </c>
      <c r="P1051" s="150">
        <v>0</v>
      </c>
      <c r="Q1051" s="150">
        <v>0</v>
      </c>
      <c r="R1051" s="150">
        <f t="shared" si="1014"/>
        <v>0</v>
      </c>
      <c r="S1051" s="150">
        <f t="shared" si="1002"/>
        <v>0</v>
      </c>
      <c r="T1051" s="150"/>
      <c r="U1051" s="150">
        <v>0</v>
      </c>
      <c r="V1051" s="199"/>
      <c r="W1051" s="150">
        <f t="shared" si="1015"/>
        <v>0</v>
      </c>
      <c r="X1051" s="150">
        <v>0</v>
      </c>
      <c r="Y1051" s="150"/>
      <c r="Z1051" s="150">
        <v>0</v>
      </c>
      <c r="AA1051" s="150">
        <f t="shared" si="996"/>
        <v>0</v>
      </c>
      <c r="AB1051" s="150">
        <v>0</v>
      </c>
      <c r="AC1051" s="199"/>
      <c r="AD1051" s="150">
        <f t="shared" si="1016"/>
        <v>0</v>
      </c>
      <c r="AE1051" s="150">
        <v>0</v>
      </c>
      <c r="AF1051" s="169" t="s">
        <v>4680</v>
      </c>
      <c r="AG1051" s="201">
        <v>0</v>
      </c>
      <c r="AH1051" s="199"/>
      <c r="AI1051" s="150">
        <v>0</v>
      </c>
      <c r="AJ1051" s="169">
        <f t="shared" si="997"/>
        <v>0</v>
      </c>
      <c r="AK1051" s="201">
        <v>0</v>
      </c>
      <c r="AL1051" s="199"/>
      <c r="AM1051" s="150">
        <f t="shared" si="1017"/>
        <v>0</v>
      </c>
      <c r="AN1051" s="153">
        <f t="shared" si="998"/>
        <v>0</v>
      </c>
      <c r="AO1051" s="154">
        <f t="shared" si="999"/>
        <v>0</v>
      </c>
      <c r="AP1051" s="150">
        <v>0</v>
      </c>
      <c r="AQ1051" s="201">
        <v>0</v>
      </c>
      <c r="AR1051" s="199"/>
      <c r="AS1051" s="150">
        <f t="shared" si="1018"/>
        <v>0</v>
      </c>
      <c r="AT1051" s="155" t="s">
        <v>4796</v>
      </c>
      <c r="AU1051" s="156">
        <f t="shared" si="993"/>
        <v>0</v>
      </c>
      <c r="AV1051" s="156">
        <f t="shared" si="994"/>
        <v>0</v>
      </c>
      <c r="AW1051" s="157" t="s">
        <v>4796</v>
      </c>
      <c r="AX1051" s="150">
        <v>0</v>
      </c>
      <c r="AY1051" s="150">
        <v>0</v>
      </c>
      <c r="AZ1051" s="150"/>
      <c r="BA1051" s="150">
        <f t="shared" si="1000"/>
        <v>0</v>
      </c>
      <c r="BB1051" s="210"/>
      <c r="BC1051" s="210"/>
      <c r="BD1051" s="210"/>
      <c r="BE1051" s="210"/>
      <c r="BF1051" s="210"/>
      <c r="BG1051" s="210"/>
      <c r="BH1051" s="217"/>
      <c r="BI1051" s="210"/>
      <c r="BJ1051" s="210"/>
      <c r="BK1051" s="210"/>
      <c r="BL1051" s="210"/>
      <c r="BM1051" s="208"/>
      <c r="BN1051" s="160"/>
      <c r="BO1051" s="161">
        <f t="shared" si="1022"/>
        <v>0</v>
      </c>
      <c r="BP1051" s="161"/>
    </row>
    <row r="1052" spans="1:68" ht="38.25">
      <c r="A1052" s="308"/>
      <c r="B1052" s="228" t="s">
        <v>7623</v>
      </c>
      <c r="C1052" s="229" t="s">
        <v>7624</v>
      </c>
      <c r="D1052" s="146" t="s">
        <v>4692</v>
      </c>
      <c r="E1052" s="196" t="s">
        <v>7624</v>
      </c>
      <c r="F1052" s="150">
        <v>0</v>
      </c>
      <c r="G1052" s="209">
        <v>2014.23</v>
      </c>
      <c r="H1052" s="209"/>
      <c r="I1052" s="209">
        <v>2014.23</v>
      </c>
      <c r="J1052" s="150">
        <v>0</v>
      </c>
      <c r="K1052" s="150">
        <v>0</v>
      </c>
      <c r="L1052" s="150">
        <f t="shared" si="1019"/>
        <v>0</v>
      </c>
      <c r="M1052" s="150">
        <v>0</v>
      </c>
      <c r="N1052" s="150"/>
      <c r="O1052" s="150">
        <v>0</v>
      </c>
      <c r="P1052" s="150">
        <v>0</v>
      </c>
      <c r="Q1052" s="150">
        <v>0</v>
      </c>
      <c r="R1052" s="150">
        <f t="shared" si="1014"/>
        <v>0</v>
      </c>
      <c r="S1052" s="150">
        <f t="shared" si="1002"/>
        <v>0</v>
      </c>
      <c r="T1052" s="150"/>
      <c r="U1052" s="150">
        <v>0</v>
      </c>
      <c r="V1052" s="199"/>
      <c r="W1052" s="150">
        <f t="shared" si="1015"/>
        <v>0</v>
      </c>
      <c r="X1052" s="150">
        <v>0</v>
      </c>
      <c r="Y1052" s="150"/>
      <c r="Z1052" s="150">
        <v>0</v>
      </c>
      <c r="AA1052" s="150">
        <f t="shared" si="996"/>
        <v>0</v>
      </c>
      <c r="AB1052" s="150">
        <v>0</v>
      </c>
      <c r="AC1052" s="199"/>
      <c r="AD1052" s="150">
        <f t="shared" si="1016"/>
        <v>0</v>
      </c>
      <c r="AE1052" s="150">
        <v>0</v>
      </c>
      <c r="AF1052" s="169" t="s">
        <v>4680</v>
      </c>
      <c r="AG1052" s="201">
        <v>0</v>
      </c>
      <c r="AH1052" s="199"/>
      <c r="AI1052" s="150">
        <v>0</v>
      </c>
      <c r="AJ1052" s="169">
        <f t="shared" si="997"/>
        <v>0</v>
      </c>
      <c r="AK1052" s="201">
        <v>0</v>
      </c>
      <c r="AL1052" s="199"/>
      <c r="AM1052" s="150">
        <f t="shared" si="1017"/>
        <v>0</v>
      </c>
      <c r="AN1052" s="153">
        <f t="shared" si="998"/>
        <v>0</v>
      </c>
      <c r="AO1052" s="154">
        <f t="shared" si="999"/>
        <v>0</v>
      </c>
      <c r="AP1052" s="150">
        <v>0</v>
      </c>
      <c r="AQ1052" s="201">
        <v>0</v>
      </c>
      <c r="AR1052" s="199"/>
      <c r="AS1052" s="150">
        <f t="shared" si="1018"/>
        <v>0</v>
      </c>
      <c r="AT1052" s="155" t="s">
        <v>4796</v>
      </c>
      <c r="AU1052" s="156">
        <f t="shared" si="993"/>
        <v>0</v>
      </c>
      <c r="AV1052" s="156">
        <f t="shared" si="994"/>
        <v>0</v>
      </c>
      <c r="AW1052" s="157" t="s">
        <v>4796</v>
      </c>
      <c r="AX1052" s="150">
        <v>0</v>
      </c>
      <c r="AY1052" s="150">
        <v>0</v>
      </c>
      <c r="AZ1052" s="150"/>
      <c r="BA1052" s="150">
        <f t="shared" si="1000"/>
        <v>0</v>
      </c>
      <c r="BB1052" s="210"/>
      <c r="BC1052" s="210"/>
      <c r="BD1052" s="210"/>
      <c r="BE1052" s="210"/>
      <c r="BF1052" s="210"/>
      <c r="BG1052" s="210"/>
      <c r="BH1052" s="217"/>
      <c r="BI1052" s="210"/>
      <c r="BJ1052" s="210"/>
      <c r="BK1052" s="210"/>
      <c r="BL1052" s="210"/>
      <c r="BM1052" s="208"/>
      <c r="BN1052" s="160"/>
      <c r="BO1052" s="161">
        <f t="shared" si="1022"/>
        <v>0</v>
      </c>
      <c r="BP1052" s="161"/>
    </row>
    <row r="1053" spans="1:68" ht="25.5">
      <c r="A1053" s="206" t="s">
        <v>438</v>
      </c>
      <c r="B1053" s="195" t="s">
        <v>7625</v>
      </c>
      <c r="C1053" s="196" t="s">
        <v>439</v>
      </c>
      <c r="D1053" s="146" t="s">
        <v>4692</v>
      </c>
      <c r="E1053" s="196" t="s">
        <v>439</v>
      </c>
      <c r="F1053" s="150">
        <v>2014.23</v>
      </c>
      <c r="G1053" s="209">
        <v>0</v>
      </c>
      <c r="H1053" s="209"/>
      <c r="I1053" s="209">
        <v>0</v>
      </c>
      <c r="J1053" s="150">
        <v>0</v>
      </c>
      <c r="K1053" s="150">
        <v>0</v>
      </c>
      <c r="L1053" s="150">
        <f t="shared" si="1019"/>
        <v>0</v>
      </c>
      <c r="M1053" s="150">
        <v>0</v>
      </c>
      <c r="N1053" s="150"/>
      <c r="O1053" s="150">
        <v>0</v>
      </c>
      <c r="P1053" s="150">
        <v>0</v>
      </c>
      <c r="Q1053" s="150">
        <v>0</v>
      </c>
      <c r="R1053" s="150">
        <f t="shared" si="1014"/>
        <v>0</v>
      </c>
      <c r="S1053" s="150">
        <f t="shared" si="1002"/>
        <v>0</v>
      </c>
      <c r="T1053" s="150"/>
      <c r="U1053" s="150">
        <v>23460.37</v>
      </c>
      <c r="V1053" s="199"/>
      <c r="W1053" s="150">
        <f t="shared" si="1015"/>
        <v>23460.37</v>
      </c>
      <c r="X1053" s="150">
        <v>23460.37</v>
      </c>
      <c r="Y1053" s="150"/>
      <c r="Z1053" s="150">
        <v>23460.37</v>
      </c>
      <c r="AA1053" s="150">
        <f t="shared" si="996"/>
        <v>0</v>
      </c>
      <c r="AB1053" s="150">
        <v>23460.37</v>
      </c>
      <c r="AC1053" s="199"/>
      <c r="AD1053" s="150">
        <f t="shared" si="1016"/>
        <v>23460.37</v>
      </c>
      <c r="AE1053" s="150">
        <v>23460.37</v>
      </c>
      <c r="AF1053" s="169" t="s">
        <v>4680</v>
      </c>
      <c r="AG1053" s="201">
        <v>23460.37</v>
      </c>
      <c r="AH1053" s="199"/>
      <c r="AI1053" s="150">
        <v>23460.37</v>
      </c>
      <c r="AJ1053" s="169">
        <f t="shared" si="997"/>
        <v>0</v>
      </c>
      <c r="AK1053" s="201">
        <v>23460.37</v>
      </c>
      <c r="AL1053" s="199"/>
      <c r="AM1053" s="150">
        <f t="shared" si="1017"/>
        <v>23460.37</v>
      </c>
      <c r="AN1053" s="153">
        <f t="shared" si="998"/>
        <v>0</v>
      </c>
      <c r="AO1053" s="154">
        <f t="shared" si="999"/>
        <v>0</v>
      </c>
      <c r="AP1053" s="150">
        <v>23460.37</v>
      </c>
      <c r="AQ1053" s="201">
        <v>23460.37</v>
      </c>
      <c r="AR1053" s="199"/>
      <c r="AS1053" s="150">
        <f t="shared" si="1018"/>
        <v>23460.37</v>
      </c>
      <c r="AT1053" s="155"/>
      <c r="AU1053" s="156">
        <f t="shared" si="993"/>
        <v>0</v>
      </c>
      <c r="AV1053" s="156">
        <f t="shared" si="994"/>
        <v>0</v>
      </c>
      <c r="AW1053" s="157"/>
      <c r="AX1053" s="150">
        <v>23460.37</v>
      </c>
      <c r="AY1053" s="150">
        <v>0</v>
      </c>
      <c r="AZ1053" s="150"/>
      <c r="BA1053" s="150">
        <f t="shared" si="1000"/>
        <v>0</v>
      </c>
      <c r="BB1053" s="202">
        <v>5</v>
      </c>
      <c r="BC1053" s="202" t="s">
        <v>647</v>
      </c>
      <c r="BD1053" s="202" t="s">
        <v>647</v>
      </c>
      <c r="BE1053" s="202" t="s">
        <v>632</v>
      </c>
      <c r="BF1053" s="202" t="s">
        <v>1838</v>
      </c>
      <c r="BG1053" s="203" t="s">
        <v>439</v>
      </c>
      <c r="BH1053" s="216">
        <f>SUM(AS1053:AS1055)</f>
        <v>23460.37</v>
      </c>
      <c r="BI1053" s="205"/>
      <c r="BJ1053" s="206" t="s">
        <v>7626</v>
      </c>
      <c r="BK1053" s="206" t="s">
        <v>438</v>
      </c>
      <c r="BL1053" s="207" t="s">
        <v>7627</v>
      </c>
      <c r="BM1053" s="208">
        <f>BH1053</f>
        <v>23460.37</v>
      </c>
      <c r="BN1053" s="160"/>
      <c r="BO1053" s="161">
        <f t="shared" si="1022"/>
        <v>0</v>
      </c>
      <c r="BP1053" s="161"/>
    </row>
    <row r="1054" spans="1:68">
      <c r="A1054" s="210"/>
      <c r="B1054" s="195" t="s">
        <v>7628</v>
      </c>
      <c r="C1054" s="196" t="s">
        <v>7629</v>
      </c>
      <c r="D1054" s="146" t="s">
        <v>4692</v>
      </c>
      <c r="E1054" s="196" t="s">
        <v>7629</v>
      </c>
      <c r="F1054" s="150">
        <v>0</v>
      </c>
      <c r="G1054" s="209">
        <v>0</v>
      </c>
      <c r="H1054" s="209"/>
      <c r="I1054" s="209">
        <v>0</v>
      </c>
      <c r="J1054" s="150">
        <v>0</v>
      </c>
      <c r="K1054" s="150">
        <v>0</v>
      </c>
      <c r="L1054" s="150">
        <f t="shared" si="1019"/>
        <v>0</v>
      </c>
      <c r="M1054" s="150">
        <v>0</v>
      </c>
      <c r="N1054" s="150"/>
      <c r="O1054" s="150">
        <v>0</v>
      </c>
      <c r="P1054" s="150">
        <v>0</v>
      </c>
      <c r="Q1054" s="150">
        <v>0</v>
      </c>
      <c r="R1054" s="150">
        <f t="shared" si="1014"/>
        <v>0</v>
      </c>
      <c r="S1054" s="150">
        <f t="shared" si="1002"/>
        <v>0</v>
      </c>
      <c r="T1054" s="150"/>
      <c r="U1054" s="150">
        <v>0</v>
      </c>
      <c r="V1054" s="199"/>
      <c r="W1054" s="150">
        <f t="shared" si="1015"/>
        <v>0</v>
      </c>
      <c r="X1054" s="150">
        <v>0</v>
      </c>
      <c r="Y1054" s="150"/>
      <c r="Z1054" s="150">
        <v>0</v>
      </c>
      <c r="AA1054" s="150">
        <f t="shared" si="996"/>
        <v>0</v>
      </c>
      <c r="AB1054" s="150">
        <v>0</v>
      </c>
      <c r="AC1054" s="199"/>
      <c r="AD1054" s="150">
        <f t="shared" si="1016"/>
        <v>0</v>
      </c>
      <c r="AE1054" s="150">
        <v>0</v>
      </c>
      <c r="AF1054" s="169" t="s">
        <v>4680</v>
      </c>
      <c r="AG1054" s="201">
        <v>0</v>
      </c>
      <c r="AH1054" s="199"/>
      <c r="AI1054" s="150">
        <v>0</v>
      </c>
      <c r="AJ1054" s="169">
        <f t="shared" si="997"/>
        <v>0</v>
      </c>
      <c r="AK1054" s="201">
        <v>0</v>
      </c>
      <c r="AL1054" s="199"/>
      <c r="AM1054" s="150">
        <f t="shared" si="1017"/>
        <v>0</v>
      </c>
      <c r="AN1054" s="153">
        <f t="shared" si="998"/>
        <v>0</v>
      </c>
      <c r="AO1054" s="154">
        <f t="shared" si="999"/>
        <v>0</v>
      </c>
      <c r="AP1054" s="150">
        <v>0</v>
      </c>
      <c r="AQ1054" s="201">
        <v>0</v>
      </c>
      <c r="AR1054" s="199"/>
      <c r="AS1054" s="150">
        <f t="shared" si="1018"/>
        <v>0</v>
      </c>
      <c r="AT1054" s="155"/>
      <c r="AU1054" s="156">
        <f t="shared" si="993"/>
        <v>0</v>
      </c>
      <c r="AV1054" s="156">
        <f t="shared" si="994"/>
        <v>0</v>
      </c>
      <c r="AW1054" s="157"/>
      <c r="AX1054" s="150">
        <v>0</v>
      </c>
      <c r="AY1054" s="150">
        <v>0</v>
      </c>
      <c r="AZ1054" s="150"/>
      <c r="BA1054" s="150">
        <f t="shared" si="1000"/>
        <v>0</v>
      </c>
      <c r="BB1054" s="210"/>
      <c r="BC1054" s="210"/>
      <c r="BD1054" s="210"/>
      <c r="BE1054" s="210"/>
      <c r="BF1054" s="210"/>
      <c r="BG1054" s="210"/>
      <c r="BH1054" s="217"/>
      <c r="BI1054" s="210"/>
      <c r="BJ1054" s="210"/>
      <c r="BK1054" s="210"/>
      <c r="BL1054" s="210"/>
      <c r="BM1054" s="208"/>
      <c r="BN1054" s="160"/>
      <c r="BO1054" s="161">
        <f t="shared" si="1022"/>
        <v>0</v>
      </c>
      <c r="BP1054" s="161"/>
    </row>
    <row r="1055" spans="1:68" ht="25.5">
      <c r="A1055" s="210"/>
      <c r="B1055" s="195" t="s">
        <v>7630</v>
      </c>
      <c r="C1055" s="196" t="s">
        <v>7631</v>
      </c>
      <c r="D1055" s="146" t="s">
        <v>4692</v>
      </c>
      <c r="E1055" s="196" t="s">
        <v>7631</v>
      </c>
      <c r="F1055" s="150">
        <v>0</v>
      </c>
      <c r="G1055" s="209">
        <v>1960967.27</v>
      </c>
      <c r="H1055" s="209">
        <v>850602.73</v>
      </c>
      <c r="I1055" s="209">
        <v>2811570</v>
      </c>
      <c r="J1055" s="150">
        <v>0</v>
      </c>
      <c r="K1055" s="150">
        <v>0</v>
      </c>
      <c r="L1055" s="150">
        <f t="shared" si="1019"/>
        <v>0</v>
      </c>
      <c r="M1055" s="150">
        <v>0</v>
      </c>
      <c r="N1055" s="150"/>
      <c r="O1055" s="150">
        <v>0</v>
      </c>
      <c r="P1055" s="150">
        <v>0</v>
      </c>
      <c r="Q1055" s="150">
        <v>0</v>
      </c>
      <c r="R1055" s="150">
        <f t="shared" si="1014"/>
        <v>0</v>
      </c>
      <c r="S1055" s="150">
        <f t="shared" si="1002"/>
        <v>0</v>
      </c>
      <c r="T1055" s="150"/>
      <c r="U1055" s="150">
        <v>0</v>
      </c>
      <c r="V1055" s="199"/>
      <c r="W1055" s="150">
        <f t="shared" si="1015"/>
        <v>0</v>
      </c>
      <c r="X1055" s="150">
        <v>0</v>
      </c>
      <c r="Y1055" s="150"/>
      <c r="Z1055" s="150">
        <v>0</v>
      </c>
      <c r="AA1055" s="150">
        <f t="shared" si="996"/>
        <v>0</v>
      </c>
      <c r="AB1055" s="150">
        <v>0</v>
      </c>
      <c r="AC1055" s="199"/>
      <c r="AD1055" s="150">
        <f t="shared" si="1016"/>
        <v>0</v>
      </c>
      <c r="AE1055" s="150">
        <v>0</v>
      </c>
      <c r="AF1055" s="169" t="s">
        <v>4680</v>
      </c>
      <c r="AG1055" s="201">
        <v>0</v>
      </c>
      <c r="AH1055" s="199"/>
      <c r="AI1055" s="150">
        <v>0</v>
      </c>
      <c r="AJ1055" s="169">
        <f t="shared" si="997"/>
        <v>0</v>
      </c>
      <c r="AK1055" s="201">
        <v>0</v>
      </c>
      <c r="AL1055" s="199"/>
      <c r="AM1055" s="150">
        <f t="shared" si="1017"/>
        <v>0</v>
      </c>
      <c r="AN1055" s="153">
        <f t="shared" si="998"/>
        <v>0</v>
      </c>
      <c r="AO1055" s="154">
        <f t="shared" si="999"/>
        <v>0</v>
      </c>
      <c r="AP1055" s="150">
        <v>0</v>
      </c>
      <c r="AQ1055" s="201">
        <v>0</v>
      </c>
      <c r="AR1055" s="199"/>
      <c r="AS1055" s="150">
        <f t="shared" si="1018"/>
        <v>0</v>
      </c>
      <c r="AT1055" s="155"/>
      <c r="AU1055" s="156">
        <f t="shared" si="993"/>
        <v>0</v>
      </c>
      <c r="AV1055" s="156">
        <f t="shared" si="994"/>
        <v>0</v>
      </c>
      <c r="AW1055" s="157"/>
      <c r="AX1055" s="150">
        <v>0</v>
      </c>
      <c r="AY1055" s="150">
        <v>0</v>
      </c>
      <c r="AZ1055" s="150"/>
      <c r="BA1055" s="150">
        <f t="shared" si="1000"/>
        <v>0</v>
      </c>
      <c r="BB1055" s="210"/>
      <c r="BC1055" s="210"/>
      <c r="BD1055" s="210"/>
      <c r="BE1055" s="210"/>
      <c r="BF1055" s="210"/>
      <c r="BG1055" s="210"/>
      <c r="BH1055" s="217"/>
      <c r="BI1055" s="210"/>
      <c r="BJ1055" s="210"/>
      <c r="BK1055" s="210"/>
      <c r="BL1055" s="210"/>
      <c r="BM1055" s="208"/>
      <c r="BN1055" s="160"/>
      <c r="BO1055" s="161">
        <f t="shared" si="1022"/>
        <v>0</v>
      </c>
      <c r="BP1055" s="161"/>
    </row>
    <row r="1056" spans="1:68" s="330" customFormat="1" ht="25.5">
      <c r="A1056" s="321" t="s">
        <v>440</v>
      </c>
      <c r="B1056" s="322" t="s">
        <v>7632</v>
      </c>
      <c r="C1056" s="196" t="s">
        <v>7633</v>
      </c>
      <c r="D1056" s="146" t="s">
        <v>4692</v>
      </c>
      <c r="E1056" s="323" t="s">
        <v>7633</v>
      </c>
      <c r="F1056" s="150">
        <v>3151831.62</v>
      </c>
      <c r="G1056" s="220">
        <v>0</v>
      </c>
      <c r="H1056" s="220"/>
      <c r="I1056" s="220">
        <v>0</v>
      </c>
      <c r="J1056" s="150">
        <v>467417.04</v>
      </c>
      <c r="K1056" s="150">
        <v>401985.76</v>
      </c>
      <c r="L1056" s="150">
        <f t="shared" si="1019"/>
        <v>869402.8</v>
      </c>
      <c r="M1056" s="150">
        <v>1173233.73</v>
      </c>
      <c r="N1056" s="150">
        <v>402682.08000000007</v>
      </c>
      <c r="O1056" s="150">
        <v>1575915.81</v>
      </c>
      <c r="P1056" s="150">
        <v>1868821.03</v>
      </c>
      <c r="Q1056" s="150">
        <f>2265345.88-P1056</f>
        <v>396524.84999999986</v>
      </c>
      <c r="R1056" s="150">
        <f t="shared" si="1014"/>
        <v>2265345.88</v>
      </c>
      <c r="S1056" s="150">
        <f t="shared" si="1002"/>
        <v>3020461.1733333329</v>
      </c>
      <c r="T1056" s="150"/>
      <c r="U1056" s="150">
        <v>2947254.5</v>
      </c>
      <c r="V1056" s="199">
        <v>173564.06</v>
      </c>
      <c r="W1056" s="150">
        <f t="shared" si="1015"/>
        <v>3120818.56</v>
      </c>
      <c r="X1056" s="150">
        <v>2947254.5</v>
      </c>
      <c r="Y1056" s="150">
        <v>173564.06</v>
      </c>
      <c r="Z1056" s="150">
        <v>3120818.56</v>
      </c>
      <c r="AA1056" s="150">
        <f t="shared" si="996"/>
        <v>-2.0000000018626451E-2</v>
      </c>
      <c r="AB1056" s="150">
        <v>3120818.54</v>
      </c>
      <c r="AC1056" s="199"/>
      <c r="AD1056" s="150">
        <f t="shared" si="1016"/>
        <v>3120818.54</v>
      </c>
      <c r="AE1056" s="150">
        <v>3120818.54</v>
      </c>
      <c r="AF1056" s="169" t="s">
        <v>4680</v>
      </c>
      <c r="AG1056" s="201">
        <v>3120818.54</v>
      </c>
      <c r="AH1056" s="199"/>
      <c r="AI1056" s="150">
        <v>3120818.54</v>
      </c>
      <c r="AJ1056" s="169">
        <f t="shared" si="997"/>
        <v>0</v>
      </c>
      <c r="AK1056" s="201">
        <v>3120818.54</v>
      </c>
      <c r="AL1056" s="199"/>
      <c r="AM1056" s="150">
        <f t="shared" si="1017"/>
        <v>3120818.54</v>
      </c>
      <c r="AN1056" s="153">
        <f t="shared" si="998"/>
        <v>0</v>
      </c>
      <c r="AO1056" s="154">
        <f t="shared" si="999"/>
        <v>0</v>
      </c>
      <c r="AP1056" s="150">
        <v>3120818.54</v>
      </c>
      <c r="AQ1056" s="201">
        <v>3120818.54</v>
      </c>
      <c r="AR1056" s="199"/>
      <c r="AS1056" s="150">
        <f t="shared" si="1018"/>
        <v>3120818.54</v>
      </c>
      <c r="AT1056" s="155"/>
      <c r="AU1056" s="156">
        <f t="shared" si="993"/>
        <v>0</v>
      </c>
      <c r="AV1056" s="156">
        <f t="shared" si="994"/>
        <v>-2.0000000018626451E-2</v>
      </c>
      <c r="AW1056" s="157"/>
      <c r="AX1056" s="150">
        <v>3120818.56</v>
      </c>
      <c r="AY1056" s="150">
        <v>1629097.48</v>
      </c>
      <c r="AZ1056" s="150">
        <v>815668.6665500002</v>
      </c>
      <c r="BA1056" s="150">
        <f t="shared" si="1000"/>
        <v>2444766.1465500002</v>
      </c>
      <c r="BB1056" s="324">
        <v>5</v>
      </c>
      <c r="BC1056" s="324" t="s">
        <v>647</v>
      </c>
      <c r="BD1056" s="324" t="s">
        <v>647</v>
      </c>
      <c r="BE1056" s="324" t="s">
        <v>632</v>
      </c>
      <c r="BF1056" s="324" t="s">
        <v>1842</v>
      </c>
      <c r="BG1056" s="325" t="s">
        <v>7634</v>
      </c>
      <c r="BH1056" s="326">
        <f>AS1056</f>
        <v>3120818.54</v>
      </c>
      <c r="BI1056" s="327"/>
      <c r="BJ1056" s="321" t="s">
        <v>7635</v>
      </c>
      <c r="BK1056" s="321" t="s">
        <v>440</v>
      </c>
      <c r="BL1056" s="328" t="s">
        <v>7636</v>
      </c>
      <c r="BM1056" s="329">
        <f>BH1056</f>
        <v>3120818.54</v>
      </c>
      <c r="BN1056" s="160"/>
      <c r="BO1056" s="161">
        <f t="shared" si="1022"/>
        <v>0</v>
      </c>
      <c r="BP1056" s="161"/>
    </row>
    <row r="1057" spans="1:68" ht="25.5">
      <c r="A1057" s="206" t="s">
        <v>440</v>
      </c>
      <c r="B1057" s="195" t="s">
        <v>7637</v>
      </c>
      <c r="C1057" s="196" t="s">
        <v>7638</v>
      </c>
      <c r="D1057" s="146" t="s">
        <v>4692</v>
      </c>
      <c r="E1057" s="196" t="s">
        <v>7638</v>
      </c>
      <c r="F1057" s="150">
        <v>0</v>
      </c>
      <c r="G1057" s="209">
        <v>0</v>
      </c>
      <c r="H1057" s="209"/>
      <c r="I1057" s="209">
        <v>0</v>
      </c>
      <c r="J1057" s="150">
        <v>0</v>
      </c>
      <c r="K1057" s="150">
        <v>0</v>
      </c>
      <c r="L1057" s="150">
        <f t="shared" si="1019"/>
        <v>0</v>
      </c>
      <c r="M1057" s="150">
        <v>0</v>
      </c>
      <c r="N1057" s="150"/>
      <c r="O1057" s="150">
        <v>0</v>
      </c>
      <c r="P1057" s="150">
        <v>0</v>
      </c>
      <c r="Q1057" s="150">
        <v>0</v>
      </c>
      <c r="R1057" s="150">
        <f t="shared" si="1014"/>
        <v>0</v>
      </c>
      <c r="S1057" s="150">
        <f t="shared" si="1002"/>
        <v>0</v>
      </c>
      <c r="T1057" s="150"/>
      <c r="U1057" s="150">
        <v>0</v>
      </c>
      <c r="V1057" s="199"/>
      <c r="W1057" s="150">
        <f t="shared" si="1015"/>
        <v>0</v>
      </c>
      <c r="X1057" s="150">
        <v>0</v>
      </c>
      <c r="Y1057" s="150"/>
      <c r="Z1057" s="150">
        <v>0</v>
      </c>
      <c r="AA1057" s="150">
        <f t="shared" si="996"/>
        <v>0</v>
      </c>
      <c r="AB1057" s="150">
        <v>0</v>
      </c>
      <c r="AC1057" s="199"/>
      <c r="AD1057" s="150">
        <f t="shared" si="1016"/>
        <v>0</v>
      </c>
      <c r="AE1057" s="150">
        <v>0</v>
      </c>
      <c r="AF1057" s="169" t="s">
        <v>4680</v>
      </c>
      <c r="AG1057" s="201">
        <v>0</v>
      </c>
      <c r="AH1057" s="199"/>
      <c r="AI1057" s="150">
        <v>0</v>
      </c>
      <c r="AJ1057" s="169">
        <f t="shared" si="997"/>
        <v>0</v>
      </c>
      <c r="AK1057" s="201">
        <v>0</v>
      </c>
      <c r="AL1057" s="199"/>
      <c r="AM1057" s="150">
        <f t="shared" si="1017"/>
        <v>0</v>
      </c>
      <c r="AN1057" s="153">
        <f t="shared" si="998"/>
        <v>0</v>
      </c>
      <c r="AO1057" s="154">
        <f t="shared" si="999"/>
        <v>0</v>
      </c>
      <c r="AP1057" s="150">
        <v>0</v>
      </c>
      <c r="AQ1057" s="201">
        <v>0</v>
      </c>
      <c r="AR1057" s="199"/>
      <c r="AS1057" s="150">
        <f t="shared" si="1018"/>
        <v>0</v>
      </c>
      <c r="AT1057" s="155"/>
      <c r="AU1057" s="156">
        <f t="shared" si="993"/>
        <v>0</v>
      </c>
      <c r="AV1057" s="156">
        <f t="shared" si="994"/>
        <v>0</v>
      </c>
      <c r="AW1057" s="157"/>
      <c r="AX1057" s="150">
        <v>0</v>
      </c>
      <c r="AY1057" s="150">
        <v>0</v>
      </c>
      <c r="AZ1057" s="150"/>
      <c r="BA1057" s="150">
        <f t="shared" si="1000"/>
        <v>0</v>
      </c>
      <c r="BB1057" s="202">
        <v>5</v>
      </c>
      <c r="BC1057" s="202" t="s">
        <v>647</v>
      </c>
      <c r="BD1057" s="202" t="s">
        <v>647</v>
      </c>
      <c r="BE1057" s="202" t="s">
        <v>632</v>
      </c>
      <c r="BF1057" s="202" t="s">
        <v>1846</v>
      </c>
      <c r="BG1057" s="203" t="s">
        <v>7639</v>
      </c>
      <c r="BH1057" s="326">
        <f>AS1057</f>
        <v>0</v>
      </c>
      <c r="BI1057" s="205"/>
      <c r="BJ1057" s="206" t="s">
        <v>7635</v>
      </c>
      <c r="BK1057" s="206" t="s">
        <v>440</v>
      </c>
      <c r="BL1057" s="207" t="s">
        <v>7636</v>
      </c>
      <c r="BM1057" s="208">
        <f>BH1057</f>
        <v>0</v>
      </c>
      <c r="BN1057" s="160"/>
      <c r="BO1057" s="161">
        <f t="shared" si="1022"/>
        <v>0</v>
      </c>
      <c r="BP1057" s="161"/>
    </row>
    <row r="1058" spans="1:68" ht="25.5">
      <c r="A1058" s="206" t="s">
        <v>440</v>
      </c>
      <c r="B1058" s="195" t="s">
        <v>7640</v>
      </c>
      <c r="C1058" s="196" t="s">
        <v>7641</v>
      </c>
      <c r="D1058" s="146" t="s">
        <v>4692</v>
      </c>
      <c r="E1058" s="196" t="s">
        <v>7641</v>
      </c>
      <c r="F1058" s="150">
        <v>0</v>
      </c>
      <c r="G1058" s="209">
        <v>165235.82999999999</v>
      </c>
      <c r="H1058" s="209">
        <v>27356.170000000013</v>
      </c>
      <c r="I1058" s="209">
        <v>192592</v>
      </c>
      <c r="J1058" s="150">
        <v>0</v>
      </c>
      <c r="K1058" s="150">
        <v>0</v>
      </c>
      <c r="L1058" s="150">
        <f t="shared" si="1019"/>
        <v>0</v>
      </c>
      <c r="M1058" s="150">
        <v>0</v>
      </c>
      <c r="N1058" s="150"/>
      <c r="O1058" s="150">
        <v>0</v>
      </c>
      <c r="P1058" s="150">
        <v>0</v>
      </c>
      <c r="Q1058" s="150">
        <v>0</v>
      </c>
      <c r="R1058" s="150">
        <f t="shared" si="1014"/>
        <v>0</v>
      </c>
      <c r="S1058" s="150">
        <f t="shared" si="1002"/>
        <v>0</v>
      </c>
      <c r="T1058" s="150"/>
      <c r="U1058" s="150">
        <v>0</v>
      </c>
      <c r="V1058" s="199"/>
      <c r="W1058" s="150">
        <f t="shared" si="1015"/>
        <v>0</v>
      </c>
      <c r="X1058" s="150">
        <v>0</v>
      </c>
      <c r="Y1058" s="150"/>
      <c r="Z1058" s="150">
        <v>0</v>
      </c>
      <c r="AA1058" s="150">
        <f t="shared" si="996"/>
        <v>0</v>
      </c>
      <c r="AB1058" s="150">
        <v>0</v>
      </c>
      <c r="AC1058" s="199"/>
      <c r="AD1058" s="150">
        <f t="shared" si="1016"/>
        <v>0</v>
      </c>
      <c r="AE1058" s="150">
        <v>0</v>
      </c>
      <c r="AF1058" s="169" t="s">
        <v>4680</v>
      </c>
      <c r="AG1058" s="201">
        <v>0</v>
      </c>
      <c r="AH1058" s="199"/>
      <c r="AI1058" s="150">
        <v>0</v>
      </c>
      <c r="AJ1058" s="169">
        <f t="shared" si="997"/>
        <v>0</v>
      </c>
      <c r="AK1058" s="201">
        <v>0</v>
      </c>
      <c r="AL1058" s="199"/>
      <c r="AM1058" s="150">
        <f t="shared" si="1017"/>
        <v>0</v>
      </c>
      <c r="AN1058" s="153">
        <f t="shared" si="998"/>
        <v>0</v>
      </c>
      <c r="AO1058" s="154">
        <f t="shared" si="999"/>
        <v>0</v>
      </c>
      <c r="AP1058" s="150">
        <v>0</v>
      </c>
      <c r="AQ1058" s="201">
        <v>0</v>
      </c>
      <c r="AR1058" s="199"/>
      <c r="AS1058" s="150">
        <f t="shared" si="1018"/>
        <v>0</v>
      </c>
      <c r="AT1058" s="155"/>
      <c r="AU1058" s="156">
        <f t="shared" si="993"/>
        <v>0</v>
      </c>
      <c r="AV1058" s="156">
        <f t="shared" si="994"/>
        <v>0</v>
      </c>
      <c r="AW1058" s="157"/>
      <c r="AX1058" s="150">
        <v>0</v>
      </c>
      <c r="AY1058" s="150">
        <v>0</v>
      </c>
      <c r="AZ1058" s="150"/>
      <c r="BA1058" s="150">
        <f t="shared" si="1000"/>
        <v>0</v>
      </c>
      <c r="BB1058" s="202">
        <v>5</v>
      </c>
      <c r="BC1058" s="202" t="s">
        <v>647</v>
      </c>
      <c r="BD1058" s="202" t="s">
        <v>647</v>
      </c>
      <c r="BE1058" s="202" t="s">
        <v>632</v>
      </c>
      <c r="BF1058" s="202" t="s">
        <v>1850</v>
      </c>
      <c r="BG1058" s="203" t="s">
        <v>7642</v>
      </c>
      <c r="BH1058" s="216">
        <f>SUM(AS1058:AS1062)</f>
        <v>197678.19</v>
      </c>
      <c r="BI1058" s="205"/>
      <c r="BJ1058" s="206" t="s">
        <v>7635</v>
      </c>
      <c r="BK1058" s="206" t="s">
        <v>440</v>
      </c>
      <c r="BL1058" s="207" t="s">
        <v>7636</v>
      </c>
      <c r="BM1058" s="208">
        <f>BH1058</f>
        <v>197678.19</v>
      </c>
      <c r="BN1058" s="160"/>
      <c r="BO1058" s="161"/>
      <c r="BP1058" s="161"/>
    </row>
    <row r="1059" spans="1:68">
      <c r="A1059" s="210"/>
      <c r="B1059" s="195" t="s">
        <v>7643</v>
      </c>
      <c r="C1059" s="196" t="s">
        <v>7644</v>
      </c>
      <c r="D1059" s="146" t="s">
        <v>4692</v>
      </c>
      <c r="E1059" s="196" t="s">
        <v>7645</v>
      </c>
      <c r="F1059" s="150">
        <v>197691.43</v>
      </c>
      <c r="G1059" s="209">
        <v>0</v>
      </c>
      <c r="H1059" s="209"/>
      <c r="I1059" s="209">
        <v>0</v>
      </c>
      <c r="J1059" s="150">
        <v>34297.519999999997</v>
      </c>
      <c r="K1059" s="150">
        <v>18560.400000000001</v>
      </c>
      <c r="L1059" s="150">
        <f t="shared" si="1019"/>
        <v>52857.919999999998</v>
      </c>
      <c r="M1059" s="150">
        <v>68226.64</v>
      </c>
      <c r="N1059" s="150">
        <v>30619.074999999997</v>
      </c>
      <c r="O1059" s="150">
        <v>98845.714999999997</v>
      </c>
      <c r="P1059" s="150">
        <v>84324.33</v>
      </c>
      <c r="Q1059" s="150">
        <f>142242.42-P1059</f>
        <v>57918.090000000011</v>
      </c>
      <c r="R1059" s="150">
        <f t="shared" si="1014"/>
        <v>142242.42000000001</v>
      </c>
      <c r="S1059" s="150">
        <f t="shared" si="1002"/>
        <v>189656.56000000003</v>
      </c>
      <c r="T1059" s="150"/>
      <c r="U1059" s="150">
        <v>192127.19</v>
      </c>
      <c r="V1059" s="199"/>
      <c r="W1059" s="150">
        <f t="shared" si="1015"/>
        <v>192127.19</v>
      </c>
      <c r="X1059" s="150">
        <v>192127.19</v>
      </c>
      <c r="Y1059" s="150"/>
      <c r="Z1059" s="150">
        <v>192127.19</v>
      </c>
      <c r="AA1059" s="150">
        <f t="shared" si="996"/>
        <v>0</v>
      </c>
      <c r="AB1059" s="150">
        <v>192127.19</v>
      </c>
      <c r="AC1059" s="199"/>
      <c r="AD1059" s="150">
        <f t="shared" si="1016"/>
        <v>192127.19</v>
      </c>
      <c r="AE1059" s="150">
        <v>192127.19</v>
      </c>
      <c r="AF1059" s="169" t="s">
        <v>4680</v>
      </c>
      <c r="AG1059" s="201">
        <v>192127.19</v>
      </c>
      <c r="AH1059" s="199"/>
      <c r="AI1059" s="150">
        <v>192127.19</v>
      </c>
      <c r="AJ1059" s="169">
        <f t="shared" si="997"/>
        <v>0</v>
      </c>
      <c r="AK1059" s="201">
        <v>192127.19</v>
      </c>
      <c r="AL1059" s="199"/>
      <c r="AM1059" s="150">
        <f t="shared" si="1017"/>
        <v>192127.19</v>
      </c>
      <c r="AN1059" s="153">
        <f t="shared" si="998"/>
        <v>0</v>
      </c>
      <c r="AO1059" s="154">
        <f t="shared" si="999"/>
        <v>0</v>
      </c>
      <c r="AP1059" s="150">
        <v>192127.19</v>
      </c>
      <c r="AQ1059" s="201">
        <v>192127.19</v>
      </c>
      <c r="AR1059" s="199"/>
      <c r="AS1059" s="150">
        <f t="shared" si="1018"/>
        <v>192127.19</v>
      </c>
      <c r="AT1059" s="155"/>
      <c r="AU1059" s="156">
        <f t="shared" si="993"/>
        <v>0</v>
      </c>
      <c r="AV1059" s="156">
        <f t="shared" si="994"/>
        <v>0</v>
      </c>
      <c r="AW1059" s="157"/>
      <c r="AX1059" s="150">
        <v>192127.19</v>
      </c>
      <c r="AY1059" s="150">
        <v>84324.33</v>
      </c>
      <c r="AZ1059" s="150">
        <v>42162.177299999996</v>
      </c>
      <c r="BA1059" s="150">
        <f t="shared" si="1000"/>
        <v>126486.5073</v>
      </c>
      <c r="BB1059" s="210"/>
      <c r="BC1059" s="210"/>
      <c r="BD1059" s="210"/>
      <c r="BE1059" s="210"/>
      <c r="BF1059" s="210"/>
      <c r="BG1059" s="210"/>
      <c r="BH1059" s="217"/>
      <c r="BI1059" s="210"/>
      <c r="BJ1059" s="210"/>
      <c r="BK1059" s="210"/>
      <c r="BL1059" s="210"/>
      <c r="BM1059" s="208"/>
      <c r="BN1059" s="160"/>
      <c r="BO1059" s="161"/>
      <c r="BP1059" s="161"/>
    </row>
    <row r="1060" spans="1:68" ht="28.5" customHeight="1">
      <c r="A1060" s="210"/>
      <c r="B1060" s="195" t="s">
        <v>7646</v>
      </c>
      <c r="C1060" s="196" t="s">
        <v>7647</v>
      </c>
      <c r="D1060" s="146" t="s">
        <v>4692</v>
      </c>
      <c r="E1060" s="196" t="s">
        <v>7647</v>
      </c>
      <c r="F1060" s="150">
        <v>0</v>
      </c>
      <c r="G1060" s="209">
        <v>0</v>
      </c>
      <c r="H1060" s="209"/>
      <c r="I1060" s="209">
        <v>0</v>
      </c>
      <c r="J1060" s="150">
        <v>0</v>
      </c>
      <c r="K1060" s="150">
        <v>0</v>
      </c>
      <c r="L1060" s="150">
        <f t="shared" si="1019"/>
        <v>0</v>
      </c>
      <c r="M1060" s="150">
        <v>0</v>
      </c>
      <c r="N1060" s="150"/>
      <c r="O1060" s="150">
        <v>0</v>
      </c>
      <c r="P1060" s="150">
        <v>0</v>
      </c>
      <c r="Q1060" s="150">
        <v>0</v>
      </c>
      <c r="R1060" s="150">
        <f t="shared" si="1014"/>
        <v>0</v>
      </c>
      <c r="S1060" s="150">
        <f t="shared" si="1002"/>
        <v>0</v>
      </c>
      <c r="T1060" s="150"/>
      <c r="U1060" s="150">
        <v>0</v>
      </c>
      <c r="V1060" s="199"/>
      <c r="W1060" s="150">
        <f t="shared" si="1015"/>
        <v>0</v>
      </c>
      <c r="X1060" s="150">
        <v>0</v>
      </c>
      <c r="Y1060" s="150"/>
      <c r="Z1060" s="150">
        <v>0</v>
      </c>
      <c r="AA1060" s="150">
        <f t="shared" si="996"/>
        <v>0</v>
      </c>
      <c r="AB1060" s="150">
        <v>0</v>
      </c>
      <c r="AC1060" s="199"/>
      <c r="AD1060" s="150">
        <f t="shared" si="1016"/>
        <v>0</v>
      </c>
      <c r="AE1060" s="150">
        <v>0</v>
      </c>
      <c r="AF1060" s="169" t="s">
        <v>4680</v>
      </c>
      <c r="AG1060" s="201">
        <v>0</v>
      </c>
      <c r="AH1060" s="199"/>
      <c r="AI1060" s="150">
        <v>0</v>
      </c>
      <c r="AJ1060" s="169">
        <f t="shared" si="997"/>
        <v>0</v>
      </c>
      <c r="AK1060" s="201">
        <v>0</v>
      </c>
      <c r="AL1060" s="199"/>
      <c r="AM1060" s="150">
        <f t="shared" si="1017"/>
        <v>0</v>
      </c>
      <c r="AN1060" s="153">
        <f t="shared" si="998"/>
        <v>0</v>
      </c>
      <c r="AO1060" s="154">
        <f t="shared" si="999"/>
        <v>0</v>
      </c>
      <c r="AP1060" s="150">
        <v>0</v>
      </c>
      <c r="AQ1060" s="201">
        <v>0</v>
      </c>
      <c r="AR1060" s="199"/>
      <c r="AS1060" s="150">
        <f t="shared" si="1018"/>
        <v>0</v>
      </c>
      <c r="AT1060" s="155"/>
      <c r="AU1060" s="156">
        <f t="shared" si="993"/>
        <v>0</v>
      </c>
      <c r="AV1060" s="156">
        <f t="shared" si="994"/>
        <v>0</v>
      </c>
      <c r="AW1060" s="157"/>
      <c r="AX1060" s="150">
        <v>0</v>
      </c>
      <c r="AY1060" s="150">
        <v>0</v>
      </c>
      <c r="AZ1060" s="150"/>
      <c r="BA1060" s="150">
        <f t="shared" si="1000"/>
        <v>0</v>
      </c>
      <c r="BB1060" s="210"/>
      <c r="BC1060" s="210"/>
      <c r="BD1060" s="210"/>
      <c r="BE1060" s="210"/>
      <c r="BF1060" s="210"/>
      <c r="BG1060" s="210"/>
      <c r="BH1060" s="217"/>
      <c r="BI1060" s="210"/>
      <c r="BJ1060" s="210"/>
      <c r="BK1060" s="210"/>
      <c r="BL1060" s="210"/>
      <c r="BM1060" s="208"/>
      <c r="BN1060" s="160"/>
      <c r="BO1060" s="161"/>
      <c r="BP1060" s="161"/>
    </row>
    <row r="1061" spans="1:68" ht="25.5">
      <c r="A1061" s="210"/>
      <c r="B1061" s="195" t="s">
        <v>7648</v>
      </c>
      <c r="C1061" s="196" t="s">
        <v>7649</v>
      </c>
      <c r="D1061" s="146" t="s">
        <v>4692</v>
      </c>
      <c r="E1061" s="196" t="s">
        <v>7649</v>
      </c>
      <c r="F1061" s="150">
        <v>0</v>
      </c>
      <c r="G1061" s="209">
        <v>0</v>
      </c>
      <c r="H1061" s="209"/>
      <c r="I1061" s="209">
        <v>0</v>
      </c>
      <c r="J1061" s="150">
        <v>0</v>
      </c>
      <c r="K1061" s="150">
        <v>0</v>
      </c>
      <c r="L1061" s="150">
        <f t="shared" si="1019"/>
        <v>0</v>
      </c>
      <c r="M1061" s="150">
        <v>0</v>
      </c>
      <c r="N1061" s="150"/>
      <c r="O1061" s="150">
        <v>0</v>
      </c>
      <c r="P1061" s="150">
        <v>0</v>
      </c>
      <c r="Q1061" s="150">
        <v>0</v>
      </c>
      <c r="R1061" s="150">
        <f t="shared" si="1014"/>
        <v>0</v>
      </c>
      <c r="S1061" s="150">
        <f t="shared" si="1002"/>
        <v>0</v>
      </c>
      <c r="T1061" s="150"/>
      <c r="U1061" s="150">
        <v>0</v>
      </c>
      <c r="V1061" s="199"/>
      <c r="W1061" s="150">
        <f t="shared" si="1015"/>
        <v>0</v>
      </c>
      <c r="X1061" s="150">
        <v>0</v>
      </c>
      <c r="Y1061" s="150"/>
      <c r="Z1061" s="150">
        <v>0</v>
      </c>
      <c r="AA1061" s="150">
        <f t="shared" si="996"/>
        <v>0</v>
      </c>
      <c r="AB1061" s="150">
        <v>0</v>
      </c>
      <c r="AC1061" s="199"/>
      <c r="AD1061" s="150">
        <f t="shared" si="1016"/>
        <v>0</v>
      </c>
      <c r="AE1061" s="150">
        <v>0</v>
      </c>
      <c r="AF1061" s="169" t="s">
        <v>4680</v>
      </c>
      <c r="AG1061" s="201">
        <v>0</v>
      </c>
      <c r="AH1061" s="199"/>
      <c r="AI1061" s="150">
        <v>0</v>
      </c>
      <c r="AJ1061" s="169">
        <f t="shared" si="997"/>
        <v>0</v>
      </c>
      <c r="AK1061" s="201">
        <v>0</v>
      </c>
      <c r="AL1061" s="199"/>
      <c r="AM1061" s="150">
        <f t="shared" si="1017"/>
        <v>0</v>
      </c>
      <c r="AN1061" s="153">
        <f t="shared" si="998"/>
        <v>0</v>
      </c>
      <c r="AO1061" s="154">
        <f t="shared" si="999"/>
        <v>0</v>
      </c>
      <c r="AP1061" s="150">
        <v>0</v>
      </c>
      <c r="AQ1061" s="201">
        <v>0</v>
      </c>
      <c r="AR1061" s="199"/>
      <c r="AS1061" s="150">
        <f t="shared" si="1018"/>
        <v>0</v>
      </c>
      <c r="AT1061" s="155"/>
      <c r="AU1061" s="156">
        <f t="shared" si="993"/>
        <v>0</v>
      </c>
      <c r="AV1061" s="156">
        <f t="shared" si="994"/>
        <v>0</v>
      </c>
      <c r="AW1061" s="157"/>
      <c r="AX1061" s="150">
        <v>0</v>
      </c>
      <c r="AY1061" s="150">
        <v>0</v>
      </c>
      <c r="AZ1061" s="150"/>
      <c r="BA1061" s="150">
        <f t="shared" si="1000"/>
        <v>0</v>
      </c>
      <c r="BB1061" s="210"/>
      <c r="BC1061" s="210"/>
      <c r="BD1061" s="210"/>
      <c r="BE1061" s="210"/>
      <c r="BF1061" s="210"/>
      <c r="BG1061" s="210"/>
      <c r="BH1061" s="217"/>
      <c r="BI1061" s="210"/>
      <c r="BJ1061" s="210"/>
      <c r="BK1061" s="210"/>
      <c r="BL1061" s="210"/>
      <c r="BM1061" s="208"/>
      <c r="BN1061" s="160"/>
      <c r="BO1061" s="161"/>
      <c r="BP1061" s="161"/>
    </row>
    <row r="1062" spans="1:68" ht="25.5">
      <c r="A1062" s="210"/>
      <c r="B1062" s="195" t="s">
        <v>7650</v>
      </c>
      <c r="C1062" s="196" t="s">
        <v>7651</v>
      </c>
      <c r="D1062" s="146" t="s">
        <v>4692</v>
      </c>
      <c r="E1062" s="311" t="s">
        <v>7651</v>
      </c>
      <c r="F1062" s="150">
        <v>0</v>
      </c>
      <c r="G1062" s="312">
        <v>0</v>
      </c>
      <c r="H1062" s="312"/>
      <c r="I1062" s="312">
        <v>0</v>
      </c>
      <c r="J1062" s="150">
        <v>0</v>
      </c>
      <c r="K1062" s="150">
        <v>0</v>
      </c>
      <c r="L1062" s="150">
        <f t="shared" si="1019"/>
        <v>0</v>
      </c>
      <c r="M1062" s="150">
        <v>0</v>
      </c>
      <c r="N1062" s="150"/>
      <c r="O1062" s="150">
        <v>0</v>
      </c>
      <c r="P1062" s="150">
        <v>0</v>
      </c>
      <c r="Q1062" s="150">
        <v>0</v>
      </c>
      <c r="R1062" s="150">
        <f t="shared" si="1014"/>
        <v>0</v>
      </c>
      <c r="S1062" s="150">
        <f t="shared" si="1002"/>
        <v>0</v>
      </c>
      <c r="T1062" s="150"/>
      <c r="U1062" s="150">
        <v>0</v>
      </c>
      <c r="V1062" s="199">
        <v>5551</v>
      </c>
      <c r="W1062" s="150">
        <f t="shared" si="1015"/>
        <v>5551</v>
      </c>
      <c r="X1062" s="150">
        <v>0</v>
      </c>
      <c r="Y1062" s="150">
        <v>5551</v>
      </c>
      <c r="Z1062" s="150">
        <v>5551</v>
      </c>
      <c r="AA1062" s="150">
        <f t="shared" si="996"/>
        <v>0</v>
      </c>
      <c r="AB1062" s="150">
        <v>0</v>
      </c>
      <c r="AC1062" s="199">
        <v>5551</v>
      </c>
      <c r="AD1062" s="150">
        <f t="shared" si="1016"/>
        <v>5551</v>
      </c>
      <c r="AE1062" s="150">
        <v>5551</v>
      </c>
      <c r="AF1062" s="169" t="s">
        <v>4680</v>
      </c>
      <c r="AG1062" s="201">
        <v>0</v>
      </c>
      <c r="AH1062" s="199">
        <v>5551</v>
      </c>
      <c r="AI1062" s="150">
        <v>5551</v>
      </c>
      <c r="AJ1062" s="169">
        <f t="shared" si="997"/>
        <v>0</v>
      </c>
      <c r="AK1062" s="201">
        <v>0</v>
      </c>
      <c r="AL1062" s="199">
        <v>5551</v>
      </c>
      <c r="AM1062" s="150">
        <f t="shared" si="1017"/>
        <v>5551</v>
      </c>
      <c r="AN1062" s="153">
        <f t="shared" si="998"/>
        <v>0</v>
      </c>
      <c r="AO1062" s="154">
        <f t="shared" si="999"/>
        <v>0</v>
      </c>
      <c r="AP1062" s="150">
        <v>5551</v>
      </c>
      <c r="AQ1062" s="201">
        <v>5551</v>
      </c>
      <c r="AR1062" s="199"/>
      <c r="AS1062" s="150">
        <f t="shared" si="1018"/>
        <v>5551</v>
      </c>
      <c r="AT1062" s="155" t="s">
        <v>7652</v>
      </c>
      <c r="AU1062" s="156">
        <f t="shared" si="993"/>
        <v>0</v>
      </c>
      <c r="AV1062" s="156">
        <f t="shared" si="994"/>
        <v>0</v>
      </c>
      <c r="AW1062" s="157" t="s">
        <v>7652</v>
      </c>
      <c r="AX1062" s="150">
        <v>5551</v>
      </c>
      <c r="AY1062" s="150">
        <v>0</v>
      </c>
      <c r="AZ1062" s="150"/>
      <c r="BA1062" s="150">
        <f t="shared" si="1000"/>
        <v>0</v>
      </c>
      <c r="BB1062" s="210"/>
      <c r="BC1062" s="210"/>
      <c r="BD1062" s="210"/>
      <c r="BE1062" s="210"/>
      <c r="BF1062" s="210"/>
      <c r="BG1062" s="210"/>
      <c r="BH1062" s="217"/>
      <c r="BI1062" s="210"/>
      <c r="BJ1062" s="210"/>
      <c r="BK1062" s="210"/>
      <c r="BL1062" s="210"/>
      <c r="BM1062" s="208"/>
      <c r="BN1062" s="160"/>
      <c r="BO1062" s="161"/>
      <c r="BP1062" s="161"/>
    </row>
    <row r="1063" spans="1:68" ht="25.5">
      <c r="A1063" s="206" t="s">
        <v>440</v>
      </c>
      <c r="B1063" s="195" t="s">
        <v>7653</v>
      </c>
      <c r="C1063" s="196" t="s">
        <v>7654</v>
      </c>
      <c r="D1063" s="146" t="s">
        <v>4692</v>
      </c>
      <c r="E1063" s="196" t="s">
        <v>7655</v>
      </c>
      <c r="F1063" s="150">
        <v>0</v>
      </c>
      <c r="G1063" s="209">
        <v>2742654.29</v>
      </c>
      <c r="H1063" s="209">
        <v>368712.47</v>
      </c>
      <c r="I1063" s="209">
        <v>3111366.76</v>
      </c>
      <c r="J1063" s="150">
        <v>0</v>
      </c>
      <c r="K1063" s="150">
        <v>0</v>
      </c>
      <c r="L1063" s="150">
        <f t="shared" si="1019"/>
        <v>0</v>
      </c>
      <c r="M1063" s="150">
        <v>0</v>
      </c>
      <c r="N1063" s="150"/>
      <c r="O1063" s="150">
        <v>0</v>
      </c>
      <c r="P1063" s="150">
        <v>0</v>
      </c>
      <c r="Q1063" s="150">
        <v>0</v>
      </c>
      <c r="R1063" s="150">
        <f t="shared" si="1014"/>
        <v>0</v>
      </c>
      <c r="S1063" s="150">
        <f t="shared" si="1002"/>
        <v>0</v>
      </c>
      <c r="T1063" s="150"/>
      <c r="U1063" s="150">
        <v>0</v>
      </c>
      <c r="V1063" s="199"/>
      <c r="W1063" s="150">
        <f t="shared" si="1015"/>
        <v>0</v>
      </c>
      <c r="X1063" s="150">
        <v>0</v>
      </c>
      <c r="Y1063" s="150"/>
      <c r="Z1063" s="150">
        <v>0</v>
      </c>
      <c r="AA1063" s="150">
        <f t="shared" si="996"/>
        <v>0</v>
      </c>
      <c r="AB1063" s="150">
        <v>0</v>
      </c>
      <c r="AC1063" s="199"/>
      <c r="AD1063" s="150">
        <f t="shared" si="1016"/>
        <v>0</v>
      </c>
      <c r="AE1063" s="150">
        <v>0</v>
      </c>
      <c r="AF1063" s="169" t="s">
        <v>4680</v>
      </c>
      <c r="AG1063" s="201">
        <v>0</v>
      </c>
      <c r="AH1063" s="199"/>
      <c r="AI1063" s="150">
        <v>0</v>
      </c>
      <c r="AJ1063" s="169">
        <f t="shared" si="997"/>
        <v>0</v>
      </c>
      <c r="AK1063" s="201">
        <v>0</v>
      </c>
      <c r="AL1063" s="199"/>
      <c r="AM1063" s="150">
        <f t="shared" si="1017"/>
        <v>0</v>
      </c>
      <c r="AN1063" s="153">
        <f t="shared" si="998"/>
        <v>0</v>
      </c>
      <c r="AO1063" s="154">
        <f t="shared" si="999"/>
        <v>0</v>
      </c>
      <c r="AP1063" s="150">
        <v>0</v>
      </c>
      <c r="AQ1063" s="201">
        <v>0</v>
      </c>
      <c r="AR1063" s="199"/>
      <c r="AS1063" s="150">
        <f t="shared" si="1018"/>
        <v>0</v>
      </c>
      <c r="AT1063" s="155"/>
      <c r="AU1063" s="156">
        <f t="shared" si="993"/>
        <v>0</v>
      </c>
      <c r="AV1063" s="156">
        <f t="shared" si="994"/>
        <v>0</v>
      </c>
      <c r="AW1063" s="157"/>
      <c r="AX1063" s="150">
        <v>0</v>
      </c>
      <c r="AY1063" s="150">
        <v>0</v>
      </c>
      <c r="AZ1063" s="150"/>
      <c r="BA1063" s="150">
        <f t="shared" si="1000"/>
        <v>0</v>
      </c>
      <c r="BB1063" s="202">
        <v>5</v>
      </c>
      <c r="BC1063" s="202" t="s">
        <v>647</v>
      </c>
      <c r="BD1063" s="202" t="s">
        <v>647</v>
      </c>
      <c r="BE1063" s="202" t="s">
        <v>632</v>
      </c>
      <c r="BF1063" s="202" t="s">
        <v>1855</v>
      </c>
      <c r="BG1063" s="203" t="s">
        <v>7656</v>
      </c>
      <c r="BH1063" s="216">
        <f>AS1063</f>
        <v>0</v>
      </c>
      <c r="BI1063" s="205"/>
      <c r="BJ1063" s="206" t="s">
        <v>7635</v>
      </c>
      <c r="BK1063" s="206" t="s">
        <v>440</v>
      </c>
      <c r="BL1063" s="207" t="s">
        <v>7636</v>
      </c>
      <c r="BM1063" s="208">
        <f>BH1063</f>
        <v>0</v>
      </c>
      <c r="BN1063" s="160"/>
      <c r="BO1063" s="161"/>
      <c r="BP1063" s="161"/>
    </row>
    <row r="1064" spans="1:68" ht="25.5">
      <c r="A1064" s="206" t="s">
        <v>440</v>
      </c>
      <c r="B1064" s="195" t="s">
        <v>7657</v>
      </c>
      <c r="C1064" s="196" t="s">
        <v>7658</v>
      </c>
      <c r="D1064" s="146" t="s">
        <v>4692</v>
      </c>
      <c r="E1064" s="196" t="s">
        <v>7658</v>
      </c>
      <c r="F1064" s="150">
        <v>3207770.61</v>
      </c>
      <c r="G1064" s="209">
        <v>0</v>
      </c>
      <c r="H1064" s="209"/>
      <c r="I1064" s="209">
        <v>0</v>
      </c>
      <c r="J1064" s="150">
        <v>30118.38</v>
      </c>
      <c r="K1064" s="150">
        <v>709045</v>
      </c>
      <c r="L1064" s="150">
        <f t="shared" si="1019"/>
        <v>739163.38</v>
      </c>
      <c r="M1064" s="150">
        <v>245507.94</v>
      </c>
      <c r="N1064" s="150">
        <v>1358377.3649999998</v>
      </c>
      <c r="O1064" s="150">
        <v>1603885.3049999997</v>
      </c>
      <c r="P1064" s="150">
        <v>601190.73</v>
      </c>
      <c r="Q1064" s="150">
        <f>2026886.48-P1064</f>
        <v>1425695.75</v>
      </c>
      <c r="R1064" s="150">
        <f t="shared" si="1014"/>
        <v>2026886.48</v>
      </c>
      <c r="S1064" s="150">
        <f t="shared" si="1002"/>
        <v>2702515.3066666666</v>
      </c>
      <c r="T1064" s="150"/>
      <c r="U1064" s="150">
        <v>2485043.33</v>
      </c>
      <c r="V1064" s="199">
        <v>793367.30333000002</v>
      </c>
      <c r="W1064" s="150">
        <f t="shared" si="1015"/>
        <v>3278410.6333300001</v>
      </c>
      <c r="X1064" s="150">
        <v>2485043.33</v>
      </c>
      <c r="Y1064" s="150">
        <v>793367.30333000002</v>
      </c>
      <c r="Z1064" s="150">
        <v>3278410.6333300001</v>
      </c>
      <c r="AA1064" s="150">
        <f t="shared" si="996"/>
        <v>-9488.8969999998808</v>
      </c>
      <c r="AB1064" s="150">
        <v>3262944.85</v>
      </c>
      <c r="AC1064" s="199">
        <v>5976.8863300001249</v>
      </c>
      <c r="AD1064" s="150">
        <f t="shared" si="1016"/>
        <v>3268921.7363300002</v>
      </c>
      <c r="AE1064" s="150">
        <v>3268921.7363300002</v>
      </c>
      <c r="AF1064" s="169" t="s">
        <v>4680</v>
      </c>
      <c r="AG1064" s="201">
        <v>3262944.85</v>
      </c>
      <c r="AH1064" s="199">
        <v>5976.8863300001249</v>
      </c>
      <c r="AI1064" s="150">
        <v>3268921.7363300002</v>
      </c>
      <c r="AJ1064" s="169">
        <f t="shared" si="997"/>
        <v>0</v>
      </c>
      <c r="AK1064" s="201">
        <v>3262944.85</v>
      </c>
      <c r="AL1064" s="199">
        <v>5976.8863300001249</v>
      </c>
      <c r="AM1064" s="150">
        <f t="shared" si="1017"/>
        <v>3268921.7363300002</v>
      </c>
      <c r="AN1064" s="153">
        <f t="shared" si="998"/>
        <v>3.6700000055134296E-3</v>
      </c>
      <c r="AO1064" s="154">
        <f t="shared" si="999"/>
        <v>3.6700000055134296E-3</v>
      </c>
      <c r="AP1064" s="150">
        <v>3268921.7363300002</v>
      </c>
      <c r="AQ1064" s="201">
        <v>3268921.74</v>
      </c>
      <c r="AR1064" s="199"/>
      <c r="AS1064" s="150">
        <f t="shared" si="1018"/>
        <v>3268921.74</v>
      </c>
      <c r="AT1064" s="155" t="s">
        <v>7277</v>
      </c>
      <c r="AU1064" s="156">
        <f t="shared" si="993"/>
        <v>0</v>
      </c>
      <c r="AV1064" s="156">
        <f t="shared" si="994"/>
        <v>-9488.8969999998808</v>
      </c>
      <c r="AW1064" s="157" t="s">
        <v>7277</v>
      </c>
      <c r="AX1064" s="150">
        <v>3278410.6333300001</v>
      </c>
      <c r="AY1064" s="150">
        <v>562563.31000000006</v>
      </c>
      <c r="AZ1064" s="150">
        <f>2671025+78000+25000+50000+1000000-AY1064</f>
        <v>3261461.69</v>
      </c>
      <c r="BA1064" s="150">
        <f t="shared" si="1000"/>
        <v>3824025</v>
      </c>
      <c r="BB1064" s="202">
        <v>5</v>
      </c>
      <c r="BC1064" s="202" t="s">
        <v>647</v>
      </c>
      <c r="BD1064" s="202" t="s">
        <v>647</v>
      </c>
      <c r="BE1064" s="202" t="s">
        <v>632</v>
      </c>
      <c r="BF1064" s="194" t="s">
        <v>1124</v>
      </c>
      <c r="BG1064" s="203" t="s">
        <v>441</v>
      </c>
      <c r="BH1064" s="216">
        <f>SUM(AS1064:AS1067)</f>
        <v>4317039.1000000006</v>
      </c>
      <c r="BI1064" s="205"/>
      <c r="BJ1064" s="206" t="s">
        <v>7635</v>
      </c>
      <c r="BK1064" s="206" t="s">
        <v>440</v>
      </c>
      <c r="BL1064" s="207" t="s">
        <v>7636</v>
      </c>
      <c r="BM1064" s="208">
        <f>BH1064</f>
        <v>4317039.1000000006</v>
      </c>
      <c r="BN1064" s="160"/>
      <c r="BO1064" s="161"/>
      <c r="BP1064" s="161"/>
    </row>
    <row r="1065" spans="1:68" ht="25.5">
      <c r="A1065" s="210"/>
      <c r="B1065" s="195" t="s">
        <v>7659</v>
      </c>
      <c r="C1065" s="196" t="s">
        <v>7660</v>
      </c>
      <c r="D1065" s="146" t="s">
        <v>4692</v>
      </c>
      <c r="E1065" s="196" t="s">
        <v>7660</v>
      </c>
      <c r="F1065" s="150">
        <v>0</v>
      </c>
      <c r="G1065" s="209">
        <v>0</v>
      </c>
      <c r="H1065" s="209"/>
      <c r="I1065" s="209">
        <v>0</v>
      </c>
      <c r="J1065" s="150">
        <v>0</v>
      </c>
      <c r="K1065" s="150">
        <v>0</v>
      </c>
      <c r="L1065" s="150">
        <f t="shared" si="1019"/>
        <v>0</v>
      </c>
      <c r="M1065" s="150">
        <v>0</v>
      </c>
      <c r="N1065" s="150"/>
      <c r="O1065" s="150">
        <v>0</v>
      </c>
      <c r="P1065" s="150">
        <v>0</v>
      </c>
      <c r="Q1065" s="150">
        <v>0</v>
      </c>
      <c r="R1065" s="150">
        <f t="shared" si="1014"/>
        <v>0</v>
      </c>
      <c r="S1065" s="150">
        <f t="shared" si="1002"/>
        <v>0</v>
      </c>
      <c r="T1065" s="150"/>
      <c r="U1065" s="150">
        <v>0</v>
      </c>
      <c r="V1065" s="199"/>
      <c r="W1065" s="150">
        <f t="shared" si="1015"/>
        <v>0</v>
      </c>
      <c r="X1065" s="150">
        <v>0</v>
      </c>
      <c r="Y1065" s="150"/>
      <c r="Z1065" s="150">
        <v>0</v>
      </c>
      <c r="AA1065" s="150">
        <f t="shared" si="996"/>
        <v>0</v>
      </c>
      <c r="AB1065" s="150">
        <v>0</v>
      </c>
      <c r="AC1065" s="199"/>
      <c r="AD1065" s="150">
        <f t="shared" si="1016"/>
        <v>0</v>
      </c>
      <c r="AE1065" s="150">
        <v>0</v>
      </c>
      <c r="AF1065" s="169" t="s">
        <v>4680</v>
      </c>
      <c r="AG1065" s="201">
        <v>0</v>
      </c>
      <c r="AH1065" s="199"/>
      <c r="AI1065" s="150">
        <v>0</v>
      </c>
      <c r="AJ1065" s="169">
        <f t="shared" si="997"/>
        <v>0</v>
      </c>
      <c r="AK1065" s="201">
        <v>0</v>
      </c>
      <c r="AL1065" s="199"/>
      <c r="AM1065" s="150">
        <f t="shared" si="1017"/>
        <v>0</v>
      </c>
      <c r="AN1065" s="153">
        <f t="shared" si="998"/>
        <v>0</v>
      </c>
      <c r="AO1065" s="154">
        <f t="shared" si="999"/>
        <v>0</v>
      </c>
      <c r="AP1065" s="150">
        <v>0</v>
      </c>
      <c r="AQ1065" s="201">
        <v>0</v>
      </c>
      <c r="AR1065" s="199"/>
      <c r="AS1065" s="150">
        <f t="shared" si="1018"/>
        <v>0</v>
      </c>
      <c r="AT1065" s="155"/>
      <c r="AU1065" s="156">
        <f t="shared" si="993"/>
        <v>0</v>
      </c>
      <c r="AV1065" s="156">
        <f t="shared" si="994"/>
        <v>0</v>
      </c>
      <c r="AW1065" s="157"/>
      <c r="AX1065" s="150">
        <v>0</v>
      </c>
      <c r="AY1065" s="150">
        <v>0</v>
      </c>
      <c r="AZ1065" s="150"/>
      <c r="BA1065" s="150">
        <f t="shared" si="1000"/>
        <v>0</v>
      </c>
      <c r="BB1065" s="210"/>
      <c r="BC1065" s="210"/>
      <c r="BD1065" s="210"/>
      <c r="BE1065" s="210"/>
      <c r="BF1065" s="210"/>
      <c r="BG1065" s="210"/>
      <c r="BH1065" s="217"/>
      <c r="BI1065" s="210"/>
      <c r="BJ1065" s="210"/>
      <c r="BK1065" s="210"/>
      <c r="BL1065" s="210"/>
      <c r="BM1065" s="208"/>
      <c r="BN1065" s="160"/>
      <c r="BO1065" s="161"/>
      <c r="BP1065" s="161"/>
    </row>
    <row r="1066" spans="1:68" ht="25.5">
      <c r="A1066" s="210"/>
      <c r="B1066" s="195" t="s">
        <v>7661</v>
      </c>
      <c r="C1066" s="196" t="s">
        <v>7662</v>
      </c>
      <c r="D1066" s="146" t="s">
        <v>4692</v>
      </c>
      <c r="E1066" s="196" t="s">
        <v>7662</v>
      </c>
      <c r="F1066" s="150">
        <v>0</v>
      </c>
      <c r="G1066" s="209">
        <v>935326.71</v>
      </c>
      <c r="H1066" s="209"/>
      <c r="I1066" s="209">
        <v>935326.71</v>
      </c>
      <c r="J1066" s="150">
        <v>0</v>
      </c>
      <c r="K1066" s="150">
        <v>0</v>
      </c>
      <c r="L1066" s="150">
        <f t="shared" si="1019"/>
        <v>0</v>
      </c>
      <c r="M1066" s="150">
        <v>0</v>
      </c>
      <c r="N1066" s="150"/>
      <c r="O1066" s="150">
        <v>0</v>
      </c>
      <c r="P1066" s="150">
        <v>0</v>
      </c>
      <c r="Q1066" s="150">
        <v>0</v>
      </c>
      <c r="R1066" s="150">
        <f t="shared" si="1014"/>
        <v>0</v>
      </c>
      <c r="S1066" s="150">
        <f t="shared" si="1002"/>
        <v>0</v>
      </c>
      <c r="T1066" s="150"/>
      <c r="U1066" s="150">
        <v>0</v>
      </c>
      <c r="V1066" s="199"/>
      <c r="W1066" s="150">
        <f t="shared" si="1015"/>
        <v>0</v>
      </c>
      <c r="X1066" s="150">
        <v>0</v>
      </c>
      <c r="Y1066" s="150"/>
      <c r="Z1066" s="150">
        <v>0</v>
      </c>
      <c r="AA1066" s="150">
        <f t="shared" si="996"/>
        <v>0</v>
      </c>
      <c r="AB1066" s="150">
        <v>0</v>
      </c>
      <c r="AC1066" s="199"/>
      <c r="AD1066" s="150">
        <f t="shared" si="1016"/>
        <v>0</v>
      </c>
      <c r="AE1066" s="150">
        <v>0</v>
      </c>
      <c r="AF1066" s="169" t="s">
        <v>4680</v>
      </c>
      <c r="AG1066" s="201">
        <v>0</v>
      </c>
      <c r="AH1066" s="199"/>
      <c r="AI1066" s="150">
        <v>0</v>
      </c>
      <c r="AJ1066" s="169">
        <f t="shared" si="997"/>
        <v>0</v>
      </c>
      <c r="AK1066" s="201">
        <v>0</v>
      </c>
      <c r="AL1066" s="199"/>
      <c r="AM1066" s="150">
        <f t="shared" si="1017"/>
        <v>0</v>
      </c>
      <c r="AN1066" s="153">
        <f t="shared" si="998"/>
        <v>0</v>
      </c>
      <c r="AO1066" s="154">
        <f t="shared" si="999"/>
        <v>0</v>
      </c>
      <c r="AP1066" s="150">
        <v>0</v>
      </c>
      <c r="AQ1066" s="201">
        <v>0</v>
      </c>
      <c r="AR1066" s="199"/>
      <c r="AS1066" s="150">
        <f t="shared" si="1018"/>
        <v>0</v>
      </c>
      <c r="AT1066" s="155"/>
      <c r="AU1066" s="156">
        <f t="shared" si="993"/>
        <v>0</v>
      </c>
      <c r="AV1066" s="156">
        <f t="shared" si="994"/>
        <v>0</v>
      </c>
      <c r="AW1066" s="157"/>
      <c r="AX1066" s="150">
        <v>0</v>
      </c>
      <c r="AY1066" s="150">
        <v>0</v>
      </c>
      <c r="AZ1066" s="150"/>
      <c r="BA1066" s="150">
        <f t="shared" si="1000"/>
        <v>0</v>
      </c>
      <c r="BB1066" s="210"/>
      <c r="BC1066" s="210"/>
      <c r="BD1066" s="210"/>
      <c r="BE1066" s="210"/>
      <c r="BF1066" s="210"/>
      <c r="BG1066" s="210"/>
      <c r="BH1066" s="217"/>
      <c r="BI1066" s="210"/>
      <c r="BJ1066" s="210"/>
      <c r="BK1066" s="210"/>
      <c r="BL1066" s="210"/>
      <c r="BM1066" s="208"/>
      <c r="BN1066" s="160"/>
      <c r="BO1066" s="161"/>
      <c r="BP1066" s="161"/>
    </row>
    <row r="1067" spans="1:68" ht="25.5">
      <c r="A1067" s="210"/>
      <c r="B1067" s="195" t="s">
        <v>7663</v>
      </c>
      <c r="C1067" s="196" t="s">
        <v>7664</v>
      </c>
      <c r="D1067" s="146" t="s">
        <v>4692</v>
      </c>
      <c r="E1067" s="196" t="s">
        <v>7664</v>
      </c>
      <c r="F1067" s="150">
        <v>939113.67</v>
      </c>
      <c r="G1067" s="209">
        <v>277103.86</v>
      </c>
      <c r="H1067" s="209">
        <v>0</v>
      </c>
      <c r="I1067" s="209">
        <v>277103.86</v>
      </c>
      <c r="J1067" s="150">
        <v>92569.19</v>
      </c>
      <c r="K1067" s="150">
        <v>0</v>
      </c>
      <c r="L1067" s="150">
        <f t="shared" si="1019"/>
        <v>92569.19</v>
      </c>
      <c r="M1067" s="150">
        <v>187777.23</v>
      </c>
      <c r="N1067" s="150">
        <v>281779.60499999998</v>
      </c>
      <c r="O1067" s="150">
        <v>469556.83499999996</v>
      </c>
      <c r="P1067" s="150">
        <v>416712.96000000002</v>
      </c>
      <c r="Q1067" s="150">
        <v>0</v>
      </c>
      <c r="R1067" s="150">
        <f t="shared" si="1014"/>
        <v>416712.96000000002</v>
      </c>
      <c r="S1067" s="150">
        <f t="shared" si="1002"/>
        <v>555617.28000000003</v>
      </c>
      <c r="T1067" s="150"/>
      <c r="U1067" s="150">
        <v>1051424.1499999999</v>
      </c>
      <c r="V1067" s="199"/>
      <c r="W1067" s="150">
        <f t="shared" si="1015"/>
        <v>1051424.1499999999</v>
      </c>
      <c r="X1067" s="150">
        <v>1051424.1499999999</v>
      </c>
      <c r="Y1067" s="150"/>
      <c r="Z1067" s="150">
        <v>1051424.1499999999</v>
      </c>
      <c r="AA1067" s="150">
        <f t="shared" si="996"/>
        <v>-3306.7899999999208</v>
      </c>
      <c r="AB1067" s="150">
        <v>1048117.36</v>
      </c>
      <c r="AC1067" s="199"/>
      <c r="AD1067" s="150">
        <f t="shared" si="1016"/>
        <v>1048117.36</v>
      </c>
      <c r="AE1067" s="150">
        <v>1048117.36</v>
      </c>
      <c r="AF1067" s="169" t="s">
        <v>4680</v>
      </c>
      <c r="AG1067" s="201">
        <v>1048117.36</v>
      </c>
      <c r="AH1067" s="199"/>
      <c r="AI1067" s="150">
        <v>1048117.36</v>
      </c>
      <c r="AJ1067" s="169">
        <f t="shared" si="997"/>
        <v>0</v>
      </c>
      <c r="AK1067" s="201">
        <v>1048117.36</v>
      </c>
      <c r="AL1067" s="199"/>
      <c r="AM1067" s="150">
        <f t="shared" si="1017"/>
        <v>1048117.36</v>
      </c>
      <c r="AN1067" s="153">
        <f t="shared" si="998"/>
        <v>0</v>
      </c>
      <c r="AO1067" s="154">
        <f t="shared" si="999"/>
        <v>0</v>
      </c>
      <c r="AP1067" s="150">
        <v>1048117.36</v>
      </c>
      <c r="AQ1067" s="201">
        <v>1048117.36</v>
      </c>
      <c r="AR1067" s="199"/>
      <c r="AS1067" s="150">
        <f t="shared" si="1018"/>
        <v>1048117.36</v>
      </c>
      <c r="AT1067" s="155" t="s">
        <v>7665</v>
      </c>
      <c r="AU1067" s="156">
        <f t="shared" si="993"/>
        <v>0</v>
      </c>
      <c r="AV1067" s="156">
        <f t="shared" si="994"/>
        <v>-3306.7899999999208</v>
      </c>
      <c r="AW1067" s="157" t="s">
        <v>7665</v>
      </c>
      <c r="AX1067" s="150">
        <v>1051424.1499999999</v>
      </c>
      <c r="AY1067" s="150">
        <v>415853.61</v>
      </c>
      <c r="AZ1067" s="150">
        <f>F1067/12*4</f>
        <v>313037.89</v>
      </c>
      <c r="BA1067" s="150">
        <f t="shared" si="1000"/>
        <v>728891.5</v>
      </c>
      <c r="BB1067" s="210"/>
      <c r="BC1067" s="210"/>
      <c r="BD1067" s="210"/>
      <c r="BE1067" s="210"/>
      <c r="BF1067" s="210"/>
      <c r="BG1067" s="210"/>
      <c r="BH1067" s="217"/>
      <c r="BI1067" s="210"/>
      <c r="BJ1067" s="210"/>
      <c r="BK1067" s="210"/>
      <c r="BL1067" s="210"/>
      <c r="BM1067" s="208"/>
      <c r="BN1067" s="160"/>
      <c r="BO1067" s="161"/>
      <c r="BP1067" s="161"/>
    </row>
    <row r="1068" spans="1:68" ht="51">
      <c r="A1068" s="256" t="s">
        <v>7666</v>
      </c>
      <c r="B1068" s="184"/>
      <c r="C1068" s="185" t="s">
        <v>7667</v>
      </c>
      <c r="D1068" s="146" t="s">
        <v>4692</v>
      </c>
      <c r="E1068" s="185" t="s">
        <v>7667</v>
      </c>
      <c r="F1068" s="188">
        <v>277103.86</v>
      </c>
      <c r="G1068" s="187">
        <v>0</v>
      </c>
      <c r="H1068" s="187"/>
      <c r="I1068" s="187">
        <v>0</v>
      </c>
      <c r="J1068" s="188">
        <f>SUM(J1069:J1088)</f>
        <v>85885.11</v>
      </c>
      <c r="K1068" s="188">
        <f>SUM(K1069:K1088)</f>
        <v>0</v>
      </c>
      <c r="L1068" s="188">
        <f t="shared" si="1019"/>
        <v>85885.11</v>
      </c>
      <c r="M1068" s="188">
        <v>172651.48</v>
      </c>
      <c r="N1068" s="188">
        <v>0</v>
      </c>
      <c r="O1068" s="188">
        <v>172651.48</v>
      </c>
      <c r="P1068" s="299">
        <f t="shared" ref="P1068:AD1068" si="1023">SUM(P1069:P1088)</f>
        <v>245977.30000000002</v>
      </c>
      <c r="Q1068" s="299">
        <f t="shared" si="1023"/>
        <v>0</v>
      </c>
      <c r="R1068" s="299">
        <f t="shared" si="1023"/>
        <v>245977.30000000002</v>
      </c>
      <c r="S1068" s="150">
        <f t="shared" si="1002"/>
        <v>327969.7333333334</v>
      </c>
      <c r="T1068" s="213"/>
      <c r="U1068" s="299">
        <f t="shared" ref="U1068:W1068" si="1024">SUM(U1069:U1088)</f>
        <v>294970.82</v>
      </c>
      <c r="V1068" s="226">
        <f t="shared" si="1024"/>
        <v>12500.0052</v>
      </c>
      <c r="W1068" s="299">
        <f t="shared" si="1024"/>
        <v>307470.82519999996</v>
      </c>
      <c r="X1068" s="299">
        <v>294970.82</v>
      </c>
      <c r="Y1068" s="299">
        <v>12500.0052</v>
      </c>
      <c r="Z1068" s="299">
        <v>307470.82519999996</v>
      </c>
      <c r="AA1068" s="299">
        <f t="shared" si="996"/>
        <v>70185.094799999963</v>
      </c>
      <c r="AB1068" s="299">
        <v>377655.91999999993</v>
      </c>
      <c r="AC1068" s="226">
        <v>0</v>
      </c>
      <c r="AD1068" s="299">
        <f t="shared" si="1023"/>
        <v>377655.91999999993</v>
      </c>
      <c r="AE1068" s="299">
        <v>377655.91999999993</v>
      </c>
      <c r="AF1068" s="169" t="s">
        <v>4680</v>
      </c>
      <c r="AG1068" s="301">
        <v>377655.91999999993</v>
      </c>
      <c r="AH1068" s="226">
        <v>0</v>
      </c>
      <c r="AI1068" s="299">
        <v>377655.91999999993</v>
      </c>
      <c r="AJ1068" s="169">
        <f t="shared" si="997"/>
        <v>0</v>
      </c>
      <c r="AK1068" s="301">
        <v>377655.91999999993</v>
      </c>
      <c r="AL1068" s="226">
        <v>0</v>
      </c>
      <c r="AM1068" s="299">
        <f t="shared" ref="AM1068" si="1025">SUM(AM1069:AM1088)</f>
        <v>377655.91999999993</v>
      </c>
      <c r="AN1068" s="153">
        <f t="shared" si="998"/>
        <v>0</v>
      </c>
      <c r="AO1068" s="154">
        <f t="shared" si="999"/>
        <v>0</v>
      </c>
      <c r="AP1068" s="299">
        <v>377655.91999999993</v>
      </c>
      <c r="AQ1068" s="301">
        <v>377655.91999999993</v>
      </c>
      <c r="AR1068" s="226">
        <f t="shared" ref="AR1068:AS1068" si="1026">SUM(AR1069:AR1088)</f>
        <v>0</v>
      </c>
      <c r="AS1068" s="299">
        <f t="shared" si="1026"/>
        <v>377655.91999999993</v>
      </c>
      <c r="AT1068" s="155"/>
      <c r="AU1068" s="156">
        <f t="shared" si="993"/>
        <v>0</v>
      </c>
      <c r="AV1068" s="156">
        <f t="shared" si="994"/>
        <v>70185.094799999963</v>
      </c>
      <c r="AW1068" s="157"/>
      <c r="AX1068" s="150">
        <v>307470.82519999996</v>
      </c>
      <c r="AY1068" s="299">
        <f t="shared" ref="AY1068:BA1068" si="1027">SUM(AY1069:AY1088)</f>
        <v>207010.72000000003</v>
      </c>
      <c r="AZ1068" s="299">
        <f t="shared" si="1027"/>
        <v>0</v>
      </c>
      <c r="BA1068" s="299">
        <f t="shared" si="1027"/>
        <v>207010.72000000003</v>
      </c>
      <c r="BB1068" s="192">
        <v>5</v>
      </c>
      <c r="BC1068" s="256" t="s">
        <v>647</v>
      </c>
      <c r="BD1068" s="256" t="s">
        <v>647</v>
      </c>
      <c r="BE1068" s="256" t="s">
        <v>647</v>
      </c>
      <c r="BF1068" s="256" t="s">
        <v>630</v>
      </c>
      <c r="BG1068" s="185" t="s">
        <v>7667</v>
      </c>
      <c r="BH1068" s="302">
        <f>SUM(BH1069:BH1088)</f>
        <v>377655.91999999993</v>
      </c>
      <c r="BI1068" s="192"/>
      <c r="BJ1068" s="256" t="s">
        <v>7668</v>
      </c>
      <c r="BK1068" s="256" t="s">
        <v>7666</v>
      </c>
      <c r="BL1068" s="185" t="s">
        <v>7669</v>
      </c>
      <c r="BM1068" s="302">
        <f>SUM(BM1069:BM1088)</f>
        <v>377655.91999999993</v>
      </c>
      <c r="BN1068" s="160"/>
      <c r="BO1068" s="161"/>
      <c r="BP1068" s="161"/>
    </row>
    <row r="1069" spans="1:68" ht="38.25">
      <c r="A1069" s="261" t="s">
        <v>443</v>
      </c>
      <c r="B1069" s="228" t="s">
        <v>7670</v>
      </c>
      <c r="C1069" s="229" t="s">
        <v>7671</v>
      </c>
      <c r="D1069" s="146" t="s">
        <v>4692</v>
      </c>
      <c r="E1069" s="196" t="s">
        <v>7671</v>
      </c>
      <c r="F1069" s="150">
        <v>0</v>
      </c>
      <c r="G1069" s="209">
        <v>0</v>
      </c>
      <c r="H1069" s="209"/>
      <c r="I1069" s="209">
        <v>0</v>
      </c>
      <c r="J1069" s="150">
        <v>0</v>
      </c>
      <c r="K1069" s="150">
        <v>0</v>
      </c>
      <c r="L1069" s="150">
        <f t="shared" si="1019"/>
        <v>0</v>
      </c>
      <c r="M1069" s="150">
        <v>0</v>
      </c>
      <c r="N1069" s="150"/>
      <c r="O1069" s="150">
        <v>0</v>
      </c>
      <c r="P1069" s="150">
        <v>0</v>
      </c>
      <c r="Q1069" s="150"/>
      <c r="R1069" s="150">
        <f t="shared" ref="R1069:R1088" si="1028">P1069+Q1069</f>
        <v>0</v>
      </c>
      <c r="S1069" s="150">
        <f t="shared" si="1002"/>
        <v>0</v>
      </c>
      <c r="T1069" s="150"/>
      <c r="U1069" s="150">
        <v>0</v>
      </c>
      <c r="V1069" s="199"/>
      <c r="W1069" s="150">
        <f t="shared" ref="W1069:W1088" si="1029">U1069+V1069</f>
        <v>0</v>
      </c>
      <c r="X1069" s="150">
        <v>0</v>
      </c>
      <c r="Y1069" s="150"/>
      <c r="Z1069" s="150">
        <v>0</v>
      </c>
      <c r="AA1069" s="150">
        <f t="shared" si="996"/>
        <v>0</v>
      </c>
      <c r="AB1069" s="150">
        <v>0</v>
      </c>
      <c r="AC1069" s="199"/>
      <c r="AD1069" s="150">
        <f t="shared" ref="AD1069:AD1088" si="1030">AB1069+AC1069</f>
        <v>0</v>
      </c>
      <c r="AE1069" s="150">
        <v>0</v>
      </c>
      <c r="AF1069" s="169" t="s">
        <v>4680</v>
      </c>
      <c r="AG1069" s="201">
        <v>0</v>
      </c>
      <c r="AH1069" s="199"/>
      <c r="AI1069" s="150">
        <v>0</v>
      </c>
      <c r="AJ1069" s="169">
        <f t="shared" si="997"/>
        <v>0</v>
      </c>
      <c r="AK1069" s="201">
        <v>0</v>
      </c>
      <c r="AL1069" s="199"/>
      <c r="AM1069" s="150">
        <f t="shared" ref="AM1069:AM1088" si="1031">AK1069+AL1069</f>
        <v>0</v>
      </c>
      <c r="AN1069" s="153">
        <f t="shared" si="998"/>
        <v>0</v>
      </c>
      <c r="AO1069" s="154">
        <f t="shared" si="999"/>
        <v>0</v>
      </c>
      <c r="AP1069" s="150">
        <v>0</v>
      </c>
      <c r="AQ1069" s="201">
        <v>0</v>
      </c>
      <c r="AR1069" s="199"/>
      <c r="AS1069" s="150">
        <f t="shared" ref="AS1069:AS1088" si="1032">AQ1069+AR1069</f>
        <v>0</v>
      </c>
      <c r="AT1069" s="155" t="s">
        <v>4796</v>
      </c>
      <c r="AU1069" s="156">
        <f t="shared" si="993"/>
        <v>0</v>
      </c>
      <c r="AV1069" s="156">
        <f t="shared" si="994"/>
        <v>0</v>
      </c>
      <c r="AW1069" s="157" t="s">
        <v>4796</v>
      </c>
      <c r="AX1069" s="150">
        <v>0</v>
      </c>
      <c r="AY1069" s="150">
        <v>0</v>
      </c>
      <c r="AZ1069" s="150"/>
      <c r="BA1069" s="150">
        <f t="shared" si="1000"/>
        <v>0</v>
      </c>
      <c r="BB1069" s="202">
        <v>5</v>
      </c>
      <c r="BC1069" s="202" t="s">
        <v>647</v>
      </c>
      <c r="BD1069" s="202" t="s">
        <v>647</v>
      </c>
      <c r="BE1069" s="202" t="s">
        <v>647</v>
      </c>
      <c r="BF1069" s="202" t="s">
        <v>632</v>
      </c>
      <c r="BG1069" s="203" t="s">
        <v>444</v>
      </c>
      <c r="BH1069" s="216">
        <f>SUM(AS1069:AS1072)</f>
        <v>0</v>
      </c>
      <c r="BI1069" s="206" t="s">
        <v>1519</v>
      </c>
      <c r="BJ1069" s="206" t="s">
        <v>7672</v>
      </c>
      <c r="BK1069" s="206" t="s">
        <v>443</v>
      </c>
      <c r="BL1069" s="207" t="s">
        <v>7673</v>
      </c>
      <c r="BM1069" s="208">
        <f>BH1069</f>
        <v>0</v>
      </c>
      <c r="BN1069" s="160"/>
      <c r="BO1069" s="161">
        <f t="shared" si="1022"/>
        <v>0</v>
      </c>
      <c r="BP1069" s="161"/>
    </row>
    <row r="1070" spans="1:68">
      <c r="A1070" s="308"/>
      <c r="B1070" s="228" t="s">
        <v>7674</v>
      </c>
      <c r="C1070" s="229" t="s">
        <v>7675</v>
      </c>
      <c r="D1070" s="146" t="s">
        <v>4692</v>
      </c>
      <c r="E1070" s="196" t="s">
        <v>7675</v>
      </c>
      <c r="F1070" s="150">
        <v>0</v>
      </c>
      <c r="G1070" s="209">
        <v>0</v>
      </c>
      <c r="H1070" s="209"/>
      <c r="I1070" s="209">
        <v>0</v>
      </c>
      <c r="J1070" s="150">
        <v>0</v>
      </c>
      <c r="K1070" s="150">
        <v>0</v>
      </c>
      <c r="L1070" s="150">
        <f t="shared" si="1019"/>
        <v>0</v>
      </c>
      <c r="M1070" s="150">
        <v>0</v>
      </c>
      <c r="N1070" s="150"/>
      <c r="O1070" s="150">
        <v>0</v>
      </c>
      <c r="P1070" s="150">
        <v>0</v>
      </c>
      <c r="Q1070" s="150"/>
      <c r="R1070" s="150">
        <f t="shared" si="1028"/>
        <v>0</v>
      </c>
      <c r="S1070" s="150">
        <f t="shared" si="1002"/>
        <v>0</v>
      </c>
      <c r="T1070" s="150"/>
      <c r="U1070" s="150">
        <v>0</v>
      </c>
      <c r="V1070" s="199"/>
      <c r="W1070" s="150">
        <f t="shared" si="1029"/>
        <v>0</v>
      </c>
      <c r="X1070" s="150">
        <v>0</v>
      </c>
      <c r="Y1070" s="150"/>
      <c r="Z1070" s="150">
        <v>0</v>
      </c>
      <c r="AA1070" s="150">
        <f t="shared" si="996"/>
        <v>0</v>
      </c>
      <c r="AB1070" s="150">
        <v>0</v>
      </c>
      <c r="AC1070" s="199"/>
      <c r="AD1070" s="150">
        <f t="shared" si="1030"/>
        <v>0</v>
      </c>
      <c r="AE1070" s="150">
        <v>0</v>
      </c>
      <c r="AF1070" s="169" t="s">
        <v>4680</v>
      </c>
      <c r="AG1070" s="201">
        <v>0</v>
      </c>
      <c r="AH1070" s="199"/>
      <c r="AI1070" s="150">
        <v>0</v>
      </c>
      <c r="AJ1070" s="169">
        <f t="shared" si="997"/>
        <v>0</v>
      </c>
      <c r="AK1070" s="201">
        <v>0</v>
      </c>
      <c r="AL1070" s="199"/>
      <c r="AM1070" s="150">
        <f t="shared" si="1031"/>
        <v>0</v>
      </c>
      <c r="AN1070" s="153">
        <f t="shared" si="998"/>
        <v>0</v>
      </c>
      <c r="AO1070" s="154">
        <f t="shared" si="999"/>
        <v>0</v>
      </c>
      <c r="AP1070" s="150">
        <v>0</v>
      </c>
      <c r="AQ1070" s="201">
        <v>0</v>
      </c>
      <c r="AR1070" s="199"/>
      <c r="AS1070" s="150">
        <f t="shared" si="1032"/>
        <v>0</v>
      </c>
      <c r="AT1070" s="155" t="s">
        <v>4796</v>
      </c>
      <c r="AU1070" s="156">
        <f t="shared" si="993"/>
        <v>0</v>
      </c>
      <c r="AV1070" s="156">
        <f t="shared" si="994"/>
        <v>0</v>
      </c>
      <c r="AW1070" s="157" t="s">
        <v>4796</v>
      </c>
      <c r="AX1070" s="150">
        <v>0</v>
      </c>
      <c r="AY1070" s="150">
        <v>0</v>
      </c>
      <c r="AZ1070" s="150"/>
      <c r="BA1070" s="150">
        <f t="shared" si="1000"/>
        <v>0</v>
      </c>
      <c r="BB1070" s="210"/>
      <c r="BC1070" s="210"/>
      <c r="BD1070" s="210"/>
      <c r="BE1070" s="210"/>
      <c r="BF1070" s="210"/>
      <c r="BG1070" s="210"/>
      <c r="BH1070" s="217"/>
      <c r="BI1070" s="210"/>
      <c r="BJ1070" s="210"/>
      <c r="BK1070" s="210"/>
      <c r="BL1070" s="210"/>
      <c r="BM1070" s="208"/>
      <c r="BN1070" s="160"/>
      <c r="BO1070" s="161">
        <f t="shared" si="1022"/>
        <v>0</v>
      </c>
      <c r="BP1070" s="161"/>
    </row>
    <row r="1071" spans="1:68">
      <c r="A1071" s="308"/>
      <c r="B1071" s="228" t="s">
        <v>7676</v>
      </c>
      <c r="C1071" s="229" t="s">
        <v>7677</v>
      </c>
      <c r="D1071" s="146" t="s">
        <v>4692</v>
      </c>
      <c r="E1071" s="196" t="s">
        <v>7677</v>
      </c>
      <c r="F1071" s="150">
        <v>0</v>
      </c>
      <c r="G1071" s="209">
        <v>0</v>
      </c>
      <c r="H1071" s="209"/>
      <c r="I1071" s="209">
        <v>0</v>
      </c>
      <c r="J1071" s="150">
        <v>0</v>
      </c>
      <c r="K1071" s="150">
        <v>0</v>
      </c>
      <c r="L1071" s="150">
        <f t="shared" si="1019"/>
        <v>0</v>
      </c>
      <c r="M1071" s="150">
        <v>0</v>
      </c>
      <c r="N1071" s="150"/>
      <c r="O1071" s="150">
        <v>0</v>
      </c>
      <c r="P1071" s="150">
        <v>0</v>
      </c>
      <c r="Q1071" s="150"/>
      <c r="R1071" s="150">
        <f t="shared" si="1028"/>
        <v>0</v>
      </c>
      <c r="S1071" s="150">
        <f t="shared" si="1002"/>
        <v>0</v>
      </c>
      <c r="T1071" s="150"/>
      <c r="U1071" s="150">
        <v>0</v>
      </c>
      <c r="V1071" s="199"/>
      <c r="W1071" s="150">
        <f t="shared" si="1029"/>
        <v>0</v>
      </c>
      <c r="X1071" s="150">
        <v>0</v>
      </c>
      <c r="Y1071" s="150"/>
      <c r="Z1071" s="150">
        <v>0</v>
      </c>
      <c r="AA1071" s="150">
        <f t="shared" si="996"/>
        <v>0</v>
      </c>
      <c r="AB1071" s="150">
        <v>0</v>
      </c>
      <c r="AC1071" s="199"/>
      <c r="AD1071" s="150">
        <f t="shared" si="1030"/>
        <v>0</v>
      </c>
      <c r="AE1071" s="150">
        <v>0</v>
      </c>
      <c r="AF1071" s="169" t="s">
        <v>4680</v>
      </c>
      <c r="AG1071" s="201">
        <v>0</v>
      </c>
      <c r="AH1071" s="199"/>
      <c r="AI1071" s="150">
        <v>0</v>
      </c>
      <c r="AJ1071" s="169">
        <f t="shared" si="997"/>
        <v>0</v>
      </c>
      <c r="AK1071" s="201">
        <v>0</v>
      </c>
      <c r="AL1071" s="199"/>
      <c r="AM1071" s="150">
        <f t="shared" si="1031"/>
        <v>0</v>
      </c>
      <c r="AN1071" s="153">
        <f t="shared" si="998"/>
        <v>0</v>
      </c>
      <c r="AO1071" s="154">
        <f t="shared" si="999"/>
        <v>0</v>
      </c>
      <c r="AP1071" s="150">
        <v>0</v>
      </c>
      <c r="AQ1071" s="201">
        <v>0</v>
      </c>
      <c r="AR1071" s="199"/>
      <c r="AS1071" s="150">
        <f t="shared" si="1032"/>
        <v>0</v>
      </c>
      <c r="AT1071" s="155" t="s">
        <v>4796</v>
      </c>
      <c r="AU1071" s="156">
        <f t="shared" si="993"/>
        <v>0</v>
      </c>
      <c r="AV1071" s="156">
        <f t="shared" si="994"/>
        <v>0</v>
      </c>
      <c r="AW1071" s="157" t="s">
        <v>4796</v>
      </c>
      <c r="AX1071" s="150">
        <v>0</v>
      </c>
      <c r="AY1071" s="150">
        <v>0</v>
      </c>
      <c r="AZ1071" s="150"/>
      <c r="BA1071" s="150">
        <f t="shared" si="1000"/>
        <v>0</v>
      </c>
      <c r="BB1071" s="210"/>
      <c r="BC1071" s="210"/>
      <c r="BD1071" s="210"/>
      <c r="BE1071" s="210"/>
      <c r="BF1071" s="210"/>
      <c r="BG1071" s="210"/>
      <c r="BH1071" s="217"/>
      <c r="BI1071" s="210"/>
      <c r="BJ1071" s="210"/>
      <c r="BK1071" s="210"/>
      <c r="BL1071" s="210"/>
      <c r="BM1071" s="208"/>
      <c r="BN1071" s="160"/>
      <c r="BO1071" s="161">
        <f t="shared" si="1022"/>
        <v>0</v>
      </c>
      <c r="BP1071" s="161"/>
    </row>
    <row r="1072" spans="1:68" ht="25.5">
      <c r="A1072" s="308"/>
      <c r="B1072" s="228" t="s">
        <v>7678</v>
      </c>
      <c r="C1072" s="229" t="s">
        <v>7679</v>
      </c>
      <c r="D1072" s="146" t="s">
        <v>4692</v>
      </c>
      <c r="E1072" s="196" t="s">
        <v>7679</v>
      </c>
      <c r="F1072" s="150">
        <v>0</v>
      </c>
      <c r="G1072" s="209">
        <v>0</v>
      </c>
      <c r="H1072" s="209"/>
      <c r="I1072" s="209">
        <v>0</v>
      </c>
      <c r="J1072" s="150">
        <v>0</v>
      </c>
      <c r="K1072" s="150">
        <v>0</v>
      </c>
      <c r="L1072" s="150">
        <f t="shared" si="1019"/>
        <v>0</v>
      </c>
      <c r="M1072" s="150">
        <v>0</v>
      </c>
      <c r="N1072" s="150"/>
      <c r="O1072" s="150">
        <v>0</v>
      </c>
      <c r="P1072" s="150">
        <v>0</v>
      </c>
      <c r="Q1072" s="150"/>
      <c r="R1072" s="150">
        <f t="shared" si="1028"/>
        <v>0</v>
      </c>
      <c r="S1072" s="150">
        <f t="shared" si="1002"/>
        <v>0</v>
      </c>
      <c r="T1072" s="150"/>
      <c r="U1072" s="150">
        <v>0</v>
      </c>
      <c r="V1072" s="199"/>
      <c r="W1072" s="150">
        <f t="shared" si="1029"/>
        <v>0</v>
      </c>
      <c r="X1072" s="150">
        <v>0</v>
      </c>
      <c r="Y1072" s="150"/>
      <c r="Z1072" s="150">
        <v>0</v>
      </c>
      <c r="AA1072" s="150">
        <f t="shared" si="996"/>
        <v>0</v>
      </c>
      <c r="AB1072" s="150">
        <v>0</v>
      </c>
      <c r="AC1072" s="199"/>
      <c r="AD1072" s="150">
        <f t="shared" si="1030"/>
        <v>0</v>
      </c>
      <c r="AE1072" s="150">
        <v>0</v>
      </c>
      <c r="AF1072" s="169" t="s">
        <v>4680</v>
      </c>
      <c r="AG1072" s="201">
        <v>0</v>
      </c>
      <c r="AH1072" s="199"/>
      <c r="AI1072" s="150">
        <v>0</v>
      </c>
      <c r="AJ1072" s="169">
        <f t="shared" si="997"/>
        <v>0</v>
      </c>
      <c r="AK1072" s="201">
        <v>0</v>
      </c>
      <c r="AL1072" s="199"/>
      <c r="AM1072" s="150">
        <f t="shared" si="1031"/>
        <v>0</v>
      </c>
      <c r="AN1072" s="153">
        <f t="shared" si="998"/>
        <v>0</v>
      </c>
      <c r="AO1072" s="154">
        <f t="shared" si="999"/>
        <v>0</v>
      </c>
      <c r="AP1072" s="150">
        <v>0</v>
      </c>
      <c r="AQ1072" s="201">
        <v>0</v>
      </c>
      <c r="AR1072" s="199"/>
      <c r="AS1072" s="150">
        <f t="shared" si="1032"/>
        <v>0</v>
      </c>
      <c r="AT1072" s="155" t="s">
        <v>4796</v>
      </c>
      <c r="AU1072" s="156">
        <f t="shared" si="993"/>
        <v>0</v>
      </c>
      <c r="AV1072" s="156">
        <f t="shared" si="994"/>
        <v>0</v>
      </c>
      <c r="AW1072" s="157" t="s">
        <v>4796</v>
      </c>
      <c r="AX1072" s="150">
        <v>0</v>
      </c>
      <c r="AY1072" s="150">
        <v>0</v>
      </c>
      <c r="AZ1072" s="150"/>
      <c r="BA1072" s="150">
        <f t="shared" si="1000"/>
        <v>0</v>
      </c>
      <c r="BB1072" s="210"/>
      <c r="BC1072" s="210"/>
      <c r="BD1072" s="210"/>
      <c r="BE1072" s="210"/>
      <c r="BF1072" s="210"/>
      <c r="BG1072" s="210"/>
      <c r="BH1072" s="217"/>
      <c r="BI1072" s="210"/>
      <c r="BJ1072" s="210"/>
      <c r="BK1072" s="210"/>
      <c r="BL1072" s="210"/>
      <c r="BM1072" s="208"/>
      <c r="BN1072" s="160"/>
      <c r="BO1072" s="161">
        <f t="shared" si="1022"/>
        <v>0</v>
      </c>
      <c r="BP1072" s="161"/>
    </row>
    <row r="1073" spans="1:68" ht="38.25">
      <c r="A1073" s="206" t="s">
        <v>445</v>
      </c>
      <c r="B1073" s="195" t="s">
        <v>7680</v>
      </c>
      <c r="C1073" s="196" t="s">
        <v>7681</v>
      </c>
      <c r="D1073" s="146" t="s">
        <v>4692</v>
      </c>
      <c r="E1073" s="196" t="s">
        <v>7681</v>
      </c>
      <c r="F1073" s="150">
        <v>0</v>
      </c>
      <c r="G1073" s="209">
        <v>0</v>
      </c>
      <c r="H1073" s="209"/>
      <c r="I1073" s="209">
        <v>0</v>
      </c>
      <c r="J1073" s="150">
        <v>0</v>
      </c>
      <c r="K1073" s="150">
        <v>0</v>
      </c>
      <c r="L1073" s="150">
        <f t="shared" si="1019"/>
        <v>0</v>
      </c>
      <c r="M1073" s="150">
        <v>0</v>
      </c>
      <c r="N1073" s="150"/>
      <c r="O1073" s="150">
        <v>0</v>
      </c>
      <c r="P1073" s="150">
        <v>0</v>
      </c>
      <c r="Q1073" s="150"/>
      <c r="R1073" s="150">
        <f t="shared" si="1028"/>
        <v>0</v>
      </c>
      <c r="S1073" s="150">
        <f t="shared" si="1002"/>
        <v>0</v>
      </c>
      <c r="T1073" s="150"/>
      <c r="U1073" s="150">
        <v>0</v>
      </c>
      <c r="V1073" s="199"/>
      <c r="W1073" s="150">
        <f t="shared" si="1029"/>
        <v>0</v>
      </c>
      <c r="X1073" s="150">
        <v>0</v>
      </c>
      <c r="Y1073" s="150"/>
      <c r="Z1073" s="150">
        <v>0</v>
      </c>
      <c r="AA1073" s="150">
        <f t="shared" si="996"/>
        <v>0</v>
      </c>
      <c r="AB1073" s="150">
        <v>0</v>
      </c>
      <c r="AC1073" s="199"/>
      <c r="AD1073" s="150">
        <f t="shared" si="1030"/>
        <v>0</v>
      </c>
      <c r="AE1073" s="150">
        <v>0</v>
      </c>
      <c r="AF1073" s="169" t="s">
        <v>4680</v>
      </c>
      <c r="AG1073" s="201">
        <v>0</v>
      </c>
      <c r="AH1073" s="199"/>
      <c r="AI1073" s="150">
        <v>0</v>
      </c>
      <c r="AJ1073" s="169">
        <f t="shared" si="997"/>
        <v>0</v>
      </c>
      <c r="AK1073" s="201">
        <v>0</v>
      </c>
      <c r="AL1073" s="199"/>
      <c r="AM1073" s="150">
        <f t="shared" si="1031"/>
        <v>0</v>
      </c>
      <c r="AN1073" s="153">
        <f t="shared" si="998"/>
        <v>0</v>
      </c>
      <c r="AO1073" s="154">
        <f t="shared" si="999"/>
        <v>0</v>
      </c>
      <c r="AP1073" s="150">
        <v>0</v>
      </c>
      <c r="AQ1073" s="201">
        <v>0</v>
      </c>
      <c r="AR1073" s="199"/>
      <c r="AS1073" s="150">
        <f t="shared" si="1032"/>
        <v>0</v>
      </c>
      <c r="AT1073" s="155"/>
      <c r="AU1073" s="156">
        <f t="shared" si="993"/>
        <v>0</v>
      </c>
      <c r="AV1073" s="156">
        <f t="shared" si="994"/>
        <v>0</v>
      </c>
      <c r="AW1073" s="157"/>
      <c r="AX1073" s="150">
        <v>0</v>
      </c>
      <c r="AY1073" s="150">
        <v>0</v>
      </c>
      <c r="AZ1073" s="150"/>
      <c r="BA1073" s="150">
        <f t="shared" si="1000"/>
        <v>0</v>
      </c>
      <c r="BB1073" s="202">
        <v>5</v>
      </c>
      <c r="BC1073" s="202" t="s">
        <v>647</v>
      </c>
      <c r="BD1073" s="202" t="s">
        <v>647</v>
      </c>
      <c r="BE1073" s="202" t="s">
        <v>647</v>
      </c>
      <c r="BF1073" s="202" t="s">
        <v>647</v>
      </c>
      <c r="BG1073" s="203" t="s">
        <v>446</v>
      </c>
      <c r="BH1073" s="216">
        <f>SUM(AS1073:AS1074)</f>
        <v>0</v>
      </c>
      <c r="BI1073" s="205"/>
      <c r="BJ1073" s="206" t="s">
        <v>7682</v>
      </c>
      <c r="BK1073" s="206" t="s">
        <v>445</v>
      </c>
      <c r="BL1073" s="207" t="s">
        <v>7683</v>
      </c>
      <c r="BM1073" s="208">
        <f>BH1073</f>
        <v>0</v>
      </c>
      <c r="BN1073" s="160"/>
      <c r="BO1073" s="161">
        <f t="shared" si="1022"/>
        <v>0</v>
      </c>
      <c r="BP1073" s="161"/>
    </row>
    <row r="1074" spans="1:68" ht="25.5">
      <c r="A1074" s="210"/>
      <c r="B1074" s="195" t="s">
        <v>7684</v>
      </c>
      <c r="C1074" s="196" t="s">
        <v>7685</v>
      </c>
      <c r="D1074" s="146" t="s">
        <v>4692</v>
      </c>
      <c r="E1074" s="196" t="s">
        <v>7685</v>
      </c>
      <c r="F1074" s="150">
        <v>0</v>
      </c>
      <c r="G1074" s="209">
        <v>0</v>
      </c>
      <c r="H1074" s="209"/>
      <c r="I1074" s="209">
        <v>0</v>
      </c>
      <c r="J1074" s="150">
        <v>0</v>
      </c>
      <c r="K1074" s="150">
        <v>0</v>
      </c>
      <c r="L1074" s="150">
        <f t="shared" si="1019"/>
        <v>0</v>
      </c>
      <c r="M1074" s="150">
        <v>0</v>
      </c>
      <c r="N1074" s="150"/>
      <c r="O1074" s="150">
        <v>0</v>
      </c>
      <c r="P1074" s="150">
        <v>0</v>
      </c>
      <c r="Q1074" s="150"/>
      <c r="R1074" s="150">
        <f t="shared" si="1028"/>
        <v>0</v>
      </c>
      <c r="S1074" s="150">
        <f t="shared" si="1002"/>
        <v>0</v>
      </c>
      <c r="T1074" s="150"/>
      <c r="U1074" s="150">
        <v>0</v>
      </c>
      <c r="V1074" s="199"/>
      <c r="W1074" s="150">
        <f t="shared" si="1029"/>
        <v>0</v>
      </c>
      <c r="X1074" s="150">
        <v>0</v>
      </c>
      <c r="Y1074" s="150"/>
      <c r="Z1074" s="150">
        <v>0</v>
      </c>
      <c r="AA1074" s="150">
        <f t="shared" si="996"/>
        <v>0</v>
      </c>
      <c r="AB1074" s="150">
        <v>0</v>
      </c>
      <c r="AC1074" s="199"/>
      <c r="AD1074" s="150">
        <f t="shared" si="1030"/>
        <v>0</v>
      </c>
      <c r="AE1074" s="150">
        <v>0</v>
      </c>
      <c r="AF1074" s="169" t="s">
        <v>4680</v>
      </c>
      <c r="AG1074" s="201">
        <v>0</v>
      </c>
      <c r="AH1074" s="199"/>
      <c r="AI1074" s="150">
        <v>0</v>
      </c>
      <c r="AJ1074" s="169">
        <f t="shared" si="997"/>
        <v>0</v>
      </c>
      <c r="AK1074" s="201">
        <v>0</v>
      </c>
      <c r="AL1074" s="199"/>
      <c r="AM1074" s="150">
        <f t="shared" si="1031"/>
        <v>0</v>
      </c>
      <c r="AN1074" s="153">
        <f t="shared" si="998"/>
        <v>0</v>
      </c>
      <c r="AO1074" s="154">
        <f t="shared" si="999"/>
        <v>0</v>
      </c>
      <c r="AP1074" s="150">
        <v>0</v>
      </c>
      <c r="AQ1074" s="201">
        <v>0</v>
      </c>
      <c r="AR1074" s="199"/>
      <c r="AS1074" s="150">
        <f t="shared" si="1032"/>
        <v>0</v>
      </c>
      <c r="AT1074" s="155"/>
      <c r="AU1074" s="156">
        <f t="shared" si="993"/>
        <v>0</v>
      </c>
      <c r="AV1074" s="156">
        <f t="shared" si="994"/>
        <v>0</v>
      </c>
      <c r="AW1074" s="157"/>
      <c r="AX1074" s="150">
        <v>0</v>
      </c>
      <c r="AY1074" s="150">
        <v>0</v>
      </c>
      <c r="AZ1074" s="150"/>
      <c r="BA1074" s="150">
        <f t="shared" si="1000"/>
        <v>0</v>
      </c>
      <c r="BB1074" s="210"/>
      <c r="BC1074" s="210"/>
      <c r="BD1074" s="210"/>
      <c r="BE1074" s="210"/>
      <c r="BF1074" s="210"/>
      <c r="BG1074" s="210"/>
      <c r="BH1074" s="217"/>
      <c r="BI1074" s="210"/>
      <c r="BJ1074" s="210"/>
      <c r="BK1074" s="210"/>
      <c r="BL1074" s="210"/>
      <c r="BM1074" s="208"/>
      <c r="BN1074" s="160"/>
      <c r="BO1074" s="161">
        <f t="shared" si="1022"/>
        <v>0</v>
      </c>
      <c r="BP1074" s="161"/>
    </row>
    <row r="1075" spans="1:68" ht="25.5">
      <c r="A1075" s="206" t="s">
        <v>448</v>
      </c>
      <c r="B1075" s="195" t="s">
        <v>7686</v>
      </c>
      <c r="C1075" s="196" t="s">
        <v>7687</v>
      </c>
      <c r="D1075" s="146" t="s">
        <v>4692</v>
      </c>
      <c r="E1075" s="196" t="s">
        <v>7687</v>
      </c>
      <c r="F1075" s="150">
        <v>0</v>
      </c>
      <c r="G1075" s="209">
        <v>277103.86</v>
      </c>
      <c r="H1075" s="209"/>
      <c r="I1075" s="209">
        <v>277103.86</v>
      </c>
      <c r="J1075" s="150">
        <v>8333.33</v>
      </c>
      <c r="K1075" s="150">
        <v>0</v>
      </c>
      <c r="L1075" s="150">
        <f t="shared" si="1019"/>
        <v>8333.33</v>
      </c>
      <c r="M1075" s="150">
        <v>8333.33</v>
      </c>
      <c r="N1075" s="150"/>
      <c r="O1075" s="150">
        <v>8333.33</v>
      </c>
      <c r="P1075" s="150">
        <v>44690.31</v>
      </c>
      <c r="Q1075" s="150"/>
      <c r="R1075" s="150">
        <f t="shared" si="1028"/>
        <v>44690.31</v>
      </c>
      <c r="S1075" s="150">
        <f t="shared" si="1002"/>
        <v>59587.08</v>
      </c>
      <c r="T1075" s="150"/>
      <c r="U1075" s="150">
        <v>55995.64</v>
      </c>
      <c r="V1075" s="199">
        <v>12500.0052</v>
      </c>
      <c r="W1075" s="150">
        <f t="shared" si="1029"/>
        <v>68495.645199999999</v>
      </c>
      <c r="X1075" s="150">
        <v>55995.64</v>
      </c>
      <c r="Y1075" s="150">
        <v>12500.0052</v>
      </c>
      <c r="Z1075" s="150">
        <v>68495.645199999999</v>
      </c>
      <c r="AA1075" s="150">
        <f t="shared" si="996"/>
        <v>4497.0047999999952</v>
      </c>
      <c r="AB1075" s="150">
        <v>72992.649999999994</v>
      </c>
      <c r="AC1075" s="199"/>
      <c r="AD1075" s="150">
        <f t="shared" si="1030"/>
        <v>72992.649999999994</v>
      </c>
      <c r="AE1075" s="150">
        <v>72992.649999999994</v>
      </c>
      <c r="AF1075" s="169" t="s">
        <v>4680</v>
      </c>
      <c r="AG1075" s="201">
        <v>72992.649999999994</v>
      </c>
      <c r="AH1075" s="199"/>
      <c r="AI1075" s="150">
        <v>72992.649999999994</v>
      </c>
      <c r="AJ1075" s="169">
        <f t="shared" si="997"/>
        <v>0</v>
      </c>
      <c r="AK1075" s="201">
        <v>72992.649999999994</v>
      </c>
      <c r="AL1075" s="199"/>
      <c r="AM1075" s="150">
        <f t="shared" si="1031"/>
        <v>72992.649999999994</v>
      </c>
      <c r="AN1075" s="153">
        <f t="shared" si="998"/>
        <v>0</v>
      </c>
      <c r="AO1075" s="154">
        <f t="shared" si="999"/>
        <v>0</v>
      </c>
      <c r="AP1075" s="150">
        <v>72992.649999999994</v>
      </c>
      <c r="AQ1075" s="201">
        <v>72992.649999999994</v>
      </c>
      <c r="AR1075" s="199"/>
      <c r="AS1075" s="150">
        <f t="shared" si="1032"/>
        <v>72992.649999999994</v>
      </c>
      <c r="AT1075" s="155" t="s">
        <v>7665</v>
      </c>
      <c r="AU1075" s="156">
        <f t="shared" si="993"/>
        <v>0</v>
      </c>
      <c r="AV1075" s="156">
        <f t="shared" si="994"/>
        <v>4497.0047999999952</v>
      </c>
      <c r="AW1075" s="157" t="s">
        <v>7665</v>
      </c>
      <c r="AX1075" s="150">
        <v>68495.645199999999</v>
      </c>
      <c r="AY1075" s="150">
        <v>30810.66</v>
      </c>
      <c r="AZ1075" s="150"/>
      <c r="BA1075" s="150">
        <f t="shared" si="1000"/>
        <v>30810.66</v>
      </c>
      <c r="BB1075" s="202">
        <v>5</v>
      </c>
      <c r="BC1075" s="202" t="s">
        <v>647</v>
      </c>
      <c r="BD1075" s="202" t="s">
        <v>647</v>
      </c>
      <c r="BE1075" s="202" t="s">
        <v>647</v>
      </c>
      <c r="BF1075" s="202" t="s">
        <v>671</v>
      </c>
      <c r="BG1075" s="203" t="s">
        <v>449</v>
      </c>
      <c r="BH1075" s="216">
        <f>AS1075</f>
        <v>72992.649999999994</v>
      </c>
      <c r="BI1075" s="205"/>
      <c r="BJ1075" s="206" t="s">
        <v>7688</v>
      </c>
      <c r="BK1075" s="206" t="s">
        <v>448</v>
      </c>
      <c r="BL1075" s="207" t="s">
        <v>7689</v>
      </c>
      <c r="BM1075" s="208">
        <f>BH1075</f>
        <v>72992.649999999994</v>
      </c>
      <c r="BN1075" s="160"/>
      <c r="BO1075" s="161">
        <f t="shared" si="1022"/>
        <v>0</v>
      </c>
      <c r="BP1075" s="161"/>
    </row>
    <row r="1076" spans="1:68" ht="38.25">
      <c r="A1076" s="206" t="s">
        <v>450</v>
      </c>
      <c r="B1076" s="195" t="s">
        <v>7690</v>
      </c>
      <c r="C1076" s="196" t="s">
        <v>7691</v>
      </c>
      <c r="D1076" s="146" t="s">
        <v>4692</v>
      </c>
      <c r="E1076" s="331" t="s">
        <v>7691</v>
      </c>
      <c r="F1076" s="150">
        <v>277103.86</v>
      </c>
      <c r="G1076" s="332">
        <v>0</v>
      </c>
      <c r="H1076" s="332"/>
      <c r="I1076" s="332">
        <v>0</v>
      </c>
      <c r="J1076" s="150">
        <v>77551.78</v>
      </c>
      <c r="K1076" s="150">
        <v>0</v>
      </c>
      <c r="L1076" s="150">
        <f t="shared" si="1019"/>
        <v>77551.78</v>
      </c>
      <c r="M1076" s="150">
        <v>161519.23000000001</v>
      </c>
      <c r="N1076" s="150"/>
      <c r="O1076" s="150">
        <v>161519.23000000001</v>
      </c>
      <c r="P1076" s="150">
        <v>198488.07</v>
      </c>
      <c r="Q1076" s="150"/>
      <c r="R1076" s="150">
        <f t="shared" si="1028"/>
        <v>198488.07</v>
      </c>
      <c r="S1076" s="150">
        <f t="shared" si="1002"/>
        <v>264650.76</v>
      </c>
      <c r="T1076" s="150"/>
      <c r="U1076" s="150">
        <v>234279.93</v>
      </c>
      <c r="V1076" s="199"/>
      <c r="W1076" s="150">
        <f t="shared" si="1029"/>
        <v>234279.93</v>
      </c>
      <c r="X1076" s="150">
        <v>234279.93</v>
      </c>
      <c r="Y1076" s="150"/>
      <c r="Z1076" s="150">
        <v>234279.93</v>
      </c>
      <c r="AA1076" s="150">
        <f t="shared" si="996"/>
        <v>0</v>
      </c>
      <c r="AB1076" s="150">
        <v>234279.93</v>
      </c>
      <c r="AC1076" s="199"/>
      <c r="AD1076" s="150">
        <f t="shared" si="1030"/>
        <v>234279.93</v>
      </c>
      <c r="AE1076" s="150">
        <v>234279.93</v>
      </c>
      <c r="AF1076" s="169" t="s">
        <v>4680</v>
      </c>
      <c r="AG1076" s="201">
        <v>234279.93</v>
      </c>
      <c r="AH1076" s="199"/>
      <c r="AI1076" s="150">
        <v>234279.93</v>
      </c>
      <c r="AJ1076" s="169">
        <f t="shared" si="997"/>
        <v>0</v>
      </c>
      <c r="AK1076" s="201">
        <v>234279.93</v>
      </c>
      <c r="AL1076" s="199"/>
      <c r="AM1076" s="150">
        <f t="shared" si="1031"/>
        <v>234279.93</v>
      </c>
      <c r="AN1076" s="153">
        <f t="shared" si="998"/>
        <v>0</v>
      </c>
      <c r="AO1076" s="154">
        <f t="shared" si="999"/>
        <v>0</v>
      </c>
      <c r="AP1076" s="150">
        <v>234279.93</v>
      </c>
      <c r="AQ1076" s="201">
        <v>234279.93</v>
      </c>
      <c r="AR1076" s="199"/>
      <c r="AS1076" s="150">
        <f t="shared" si="1032"/>
        <v>234279.93</v>
      </c>
      <c r="AT1076" s="155"/>
      <c r="AU1076" s="156">
        <f t="shared" si="993"/>
        <v>0</v>
      </c>
      <c r="AV1076" s="156">
        <f t="shared" si="994"/>
        <v>0</v>
      </c>
      <c r="AW1076" s="157"/>
      <c r="AX1076" s="150">
        <v>234279.93</v>
      </c>
      <c r="AY1076" s="150">
        <v>173401.14</v>
      </c>
      <c r="AZ1076" s="237"/>
      <c r="BA1076" s="150">
        <f t="shared" si="1000"/>
        <v>173401.14</v>
      </c>
      <c r="BB1076" s="202">
        <v>5</v>
      </c>
      <c r="BC1076" s="202" t="s">
        <v>647</v>
      </c>
      <c r="BD1076" s="202" t="s">
        <v>647</v>
      </c>
      <c r="BE1076" s="202" t="s">
        <v>647</v>
      </c>
      <c r="BF1076" s="202" t="s">
        <v>693</v>
      </c>
      <c r="BG1076" s="203" t="s">
        <v>451</v>
      </c>
      <c r="BH1076" s="216">
        <f>SUM(AS1076:AS1077)</f>
        <v>234279.93</v>
      </c>
      <c r="BI1076" s="205"/>
      <c r="BJ1076" s="206" t="s">
        <v>7692</v>
      </c>
      <c r="BK1076" s="206" t="s">
        <v>450</v>
      </c>
      <c r="BL1076" s="207" t="s">
        <v>7693</v>
      </c>
      <c r="BM1076" s="208">
        <f>BH1076</f>
        <v>234279.93</v>
      </c>
      <c r="BN1076" s="160"/>
      <c r="BO1076" s="161">
        <f t="shared" si="1022"/>
        <v>0</v>
      </c>
      <c r="BP1076" s="161"/>
    </row>
    <row r="1077" spans="1:68" ht="25.5">
      <c r="A1077" s="210"/>
      <c r="B1077" s="195" t="s">
        <v>7694</v>
      </c>
      <c r="C1077" s="196" t="s">
        <v>7695</v>
      </c>
      <c r="D1077" s="146" t="s">
        <v>4692</v>
      </c>
      <c r="E1077" s="311" t="s">
        <v>7695</v>
      </c>
      <c r="F1077" s="150">
        <v>0</v>
      </c>
      <c r="G1077" s="312">
        <v>0</v>
      </c>
      <c r="H1077" s="312"/>
      <c r="I1077" s="312">
        <v>0</v>
      </c>
      <c r="J1077" s="150">
        <v>0</v>
      </c>
      <c r="K1077" s="150">
        <v>0</v>
      </c>
      <c r="L1077" s="150">
        <f t="shared" si="1019"/>
        <v>0</v>
      </c>
      <c r="M1077" s="150">
        <v>0</v>
      </c>
      <c r="N1077" s="150"/>
      <c r="O1077" s="150">
        <v>0</v>
      </c>
      <c r="P1077" s="150">
        <v>0</v>
      </c>
      <c r="Q1077" s="150"/>
      <c r="R1077" s="150">
        <f t="shared" si="1028"/>
        <v>0</v>
      </c>
      <c r="S1077" s="150">
        <f t="shared" si="1002"/>
        <v>0</v>
      </c>
      <c r="T1077" s="150"/>
      <c r="U1077" s="150">
        <v>0</v>
      </c>
      <c r="V1077" s="199"/>
      <c r="W1077" s="150">
        <f t="shared" si="1029"/>
        <v>0</v>
      </c>
      <c r="X1077" s="150">
        <v>0</v>
      </c>
      <c r="Y1077" s="150"/>
      <c r="Z1077" s="150">
        <v>0</v>
      </c>
      <c r="AA1077" s="150">
        <f t="shared" si="996"/>
        <v>0</v>
      </c>
      <c r="AB1077" s="150">
        <v>0</v>
      </c>
      <c r="AC1077" s="199"/>
      <c r="AD1077" s="150">
        <f t="shared" si="1030"/>
        <v>0</v>
      </c>
      <c r="AE1077" s="150">
        <v>0</v>
      </c>
      <c r="AF1077" s="169" t="s">
        <v>4680</v>
      </c>
      <c r="AG1077" s="201">
        <v>0</v>
      </c>
      <c r="AH1077" s="199"/>
      <c r="AI1077" s="150">
        <v>0</v>
      </c>
      <c r="AJ1077" s="169">
        <f t="shared" si="997"/>
        <v>0</v>
      </c>
      <c r="AK1077" s="201">
        <v>0</v>
      </c>
      <c r="AL1077" s="199"/>
      <c r="AM1077" s="150">
        <f t="shared" si="1031"/>
        <v>0</v>
      </c>
      <c r="AN1077" s="153">
        <f t="shared" si="998"/>
        <v>0</v>
      </c>
      <c r="AO1077" s="154">
        <f t="shared" si="999"/>
        <v>0</v>
      </c>
      <c r="AP1077" s="150">
        <v>0</v>
      </c>
      <c r="AQ1077" s="201">
        <v>0</v>
      </c>
      <c r="AR1077" s="199"/>
      <c r="AS1077" s="150">
        <f t="shared" si="1032"/>
        <v>0</v>
      </c>
      <c r="AT1077" s="155"/>
      <c r="AU1077" s="156">
        <f t="shared" si="993"/>
        <v>0</v>
      </c>
      <c r="AV1077" s="156">
        <f t="shared" si="994"/>
        <v>0</v>
      </c>
      <c r="AW1077" s="157"/>
      <c r="AX1077" s="150">
        <v>0</v>
      </c>
      <c r="AY1077" s="150">
        <v>0</v>
      </c>
      <c r="AZ1077" s="150"/>
      <c r="BA1077" s="150">
        <f t="shared" si="1000"/>
        <v>0</v>
      </c>
      <c r="BB1077" s="210"/>
      <c r="BC1077" s="210"/>
      <c r="BD1077" s="210"/>
      <c r="BE1077" s="210"/>
      <c r="BF1077" s="210"/>
      <c r="BG1077" s="210"/>
      <c r="BH1077" s="217"/>
      <c r="BI1077" s="210"/>
      <c r="BJ1077" s="210"/>
      <c r="BK1077" s="210"/>
      <c r="BL1077" s="210"/>
      <c r="BM1077" s="208"/>
      <c r="BN1077" s="160"/>
      <c r="BO1077" s="161">
        <f t="shared" si="1022"/>
        <v>0</v>
      </c>
      <c r="BP1077" s="161"/>
    </row>
    <row r="1078" spans="1:68" ht="25.5">
      <c r="A1078" s="206" t="s">
        <v>453</v>
      </c>
      <c r="B1078" s="195" t="s">
        <v>7696</v>
      </c>
      <c r="C1078" s="196" t="s">
        <v>7697</v>
      </c>
      <c r="D1078" s="146" t="s">
        <v>4692</v>
      </c>
      <c r="E1078" s="196" t="s">
        <v>7697</v>
      </c>
      <c r="F1078" s="150">
        <v>0</v>
      </c>
      <c r="G1078" s="209">
        <v>0</v>
      </c>
      <c r="H1078" s="209"/>
      <c r="I1078" s="209">
        <v>0</v>
      </c>
      <c r="J1078" s="150">
        <v>0</v>
      </c>
      <c r="K1078" s="150">
        <v>0</v>
      </c>
      <c r="L1078" s="150">
        <f t="shared" si="1019"/>
        <v>0</v>
      </c>
      <c r="M1078" s="150">
        <v>0</v>
      </c>
      <c r="N1078" s="150"/>
      <c r="O1078" s="150">
        <v>0</v>
      </c>
      <c r="P1078" s="150">
        <v>0</v>
      </c>
      <c r="Q1078" s="150"/>
      <c r="R1078" s="150">
        <f t="shared" si="1028"/>
        <v>0</v>
      </c>
      <c r="S1078" s="150">
        <f t="shared" si="1002"/>
        <v>0</v>
      </c>
      <c r="T1078" s="150"/>
      <c r="U1078" s="150">
        <v>0</v>
      </c>
      <c r="V1078" s="199"/>
      <c r="W1078" s="150">
        <f t="shared" si="1029"/>
        <v>0</v>
      </c>
      <c r="X1078" s="150">
        <v>0</v>
      </c>
      <c r="Y1078" s="150"/>
      <c r="Z1078" s="150">
        <v>0</v>
      </c>
      <c r="AA1078" s="150">
        <f t="shared" si="996"/>
        <v>0</v>
      </c>
      <c r="AB1078" s="150">
        <v>0</v>
      </c>
      <c r="AC1078" s="199"/>
      <c r="AD1078" s="150">
        <f t="shared" si="1030"/>
        <v>0</v>
      </c>
      <c r="AE1078" s="150">
        <v>0</v>
      </c>
      <c r="AF1078" s="169" t="s">
        <v>4680</v>
      </c>
      <c r="AG1078" s="201">
        <v>0</v>
      </c>
      <c r="AH1078" s="199"/>
      <c r="AI1078" s="150">
        <v>0</v>
      </c>
      <c r="AJ1078" s="169">
        <f t="shared" si="997"/>
        <v>0</v>
      </c>
      <c r="AK1078" s="201">
        <v>0</v>
      </c>
      <c r="AL1078" s="199"/>
      <c r="AM1078" s="150">
        <f t="shared" si="1031"/>
        <v>0</v>
      </c>
      <c r="AN1078" s="153">
        <f t="shared" si="998"/>
        <v>0</v>
      </c>
      <c r="AO1078" s="154">
        <f t="shared" si="999"/>
        <v>0</v>
      </c>
      <c r="AP1078" s="150">
        <v>0</v>
      </c>
      <c r="AQ1078" s="201">
        <v>0</v>
      </c>
      <c r="AR1078" s="199"/>
      <c r="AS1078" s="150">
        <f t="shared" si="1032"/>
        <v>0</v>
      </c>
      <c r="AT1078" s="155"/>
      <c r="AU1078" s="156">
        <f t="shared" si="993"/>
        <v>0</v>
      </c>
      <c r="AV1078" s="156">
        <f t="shared" si="994"/>
        <v>0</v>
      </c>
      <c r="AW1078" s="157"/>
      <c r="AX1078" s="150">
        <v>0</v>
      </c>
      <c r="AY1078" s="150">
        <v>0</v>
      </c>
      <c r="AZ1078" s="150"/>
      <c r="BA1078" s="150">
        <f t="shared" si="1000"/>
        <v>0</v>
      </c>
      <c r="BB1078" s="202">
        <v>5</v>
      </c>
      <c r="BC1078" s="202" t="s">
        <v>647</v>
      </c>
      <c r="BD1078" s="202" t="s">
        <v>647</v>
      </c>
      <c r="BE1078" s="202" t="s">
        <v>647</v>
      </c>
      <c r="BF1078" s="202" t="s">
        <v>714</v>
      </c>
      <c r="BG1078" s="203" t="s">
        <v>7698</v>
      </c>
      <c r="BH1078" s="216">
        <f>AS1078</f>
        <v>0</v>
      </c>
      <c r="BI1078" s="205"/>
      <c r="BJ1078" s="206" t="s">
        <v>7699</v>
      </c>
      <c r="BK1078" s="206" t="s">
        <v>453</v>
      </c>
      <c r="BL1078" s="207" t="s">
        <v>7700</v>
      </c>
      <c r="BM1078" s="208">
        <f>BH1078</f>
        <v>0</v>
      </c>
      <c r="BN1078" s="160"/>
      <c r="BO1078" s="161">
        <f t="shared" si="1022"/>
        <v>0</v>
      </c>
      <c r="BP1078" s="161"/>
    </row>
    <row r="1079" spans="1:68" ht="62.25" customHeight="1">
      <c r="A1079" s="206" t="s">
        <v>454</v>
      </c>
      <c r="B1079" s="195" t="s">
        <v>7701</v>
      </c>
      <c r="C1079" s="196" t="s">
        <v>7702</v>
      </c>
      <c r="D1079" s="146" t="s">
        <v>4692</v>
      </c>
      <c r="E1079" s="196" t="s">
        <v>7702</v>
      </c>
      <c r="F1079" s="150">
        <v>0</v>
      </c>
      <c r="G1079" s="209">
        <v>0</v>
      </c>
      <c r="H1079" s="209"/>
      <c r="I1079" s="209">
        <v>0</v>
      </c>
      <c r="J1079" s="150">
        <v>0</v>
      </c>
      <c r="K1079" s="150">
        <v>0</v>
      </c>
      <c r="L1079" s="150">
        <f t="shared" si="1019"/>
        <v>0</v>
      </c>
      <c r="M1079" s="150">
        <v>2798.92</v>
      </c>
      <c r="N1079" s="150"/>
      <c r="O1079" s="150">
        <v>2798.92</v>
      </c>
      <c r="P1079" s="150">
        <v>2798.92</v>
      </c>
      <c r="Q1079" s="150"/>
      <c r="R1079" s="150">
        <f t="shared" si="1028"/>
        <v>2798.92</v>
      </c>
      <c r="S1079" s="150">
        <f t="shared" si="1002"/>
        <v>3731.8933333333334</v>
      </c>
      <c r="T1079" s="150"/>
      <c r="U1079" s="150">
        <v>4695.25</v>
      </c>
      <c r="V1079" s="199"/>
      <c r="W1079" s="150">
        <f t="shared" si="1029"/>
        <v>4695.25</v>
      </c>
      <c r="X1079" s="150">
        <v>4695.25</v>
      </c>
      <c r="Y1079" s="150"/>
      <c r="Z1079" s="150">
        <v>4695.25</v>
      </c>
      <c r="AA1079" s="150">
        <f t="shared" si="996"/>
        <v>65688.09</v>
      </c>
      <c r="AB1079" s="150">
        <v>70383.34</v>
      </c>
      <c r="AC1079" s="199"/>
      <c r="AD1079" s="150">
        <f t="shared" si="1030"/>
        <v>70383.34</v>
      </c>
      <c r="AE1079" s="150">
        <v>70383.34</v>
      </c>
      <c r="AF1079" s="169" t="s">
        <v>4680</v>
      </c>
      <c r="AG1079" s="201">
        <v>70383.34</v>
      </c>
      <c r="AH1079" s="199"/>
      <c r="AI1079" s="150">
        <v>70383.34</v>
      </c>
      <c r="AJ1079" s="169">
        <f t="shared" si="997"/>
        <v>0</v>
      </c>
      <c r="AK1079" s="201">
        <v>70383.34</v>
      </c>
      <c r="AL1079" s="199"/>
      <c r="AM1079" s="150">
        <f t="shared" si="1031"/>
        <v>70383.34</v>
      </c>
      <c r="AN1079" s="153">
        <f t="shared" si="998"/>
        <v>0</v>
      </c>
      <c r="AO1079" s="154">
        <f t="shared" si="999"/>
        <v>0</v>
      </c>
      <c r="AP1079" s="150">
        <v>70383.34</v>
      </c>
      <c r="AQ1079" s="201">
        <v>70383.34</v>
      </c>
      <c r="AR1079" s="199"/>
      <c r="AS1079" s="150">
        <f t="shared" si="1032"/>
        <v>70383.34</v>
      </c>
      <c r="AT1079" s="155" t="s">
        <v>7703</v>
      </c>
      <c r="AU1079" s="156">
        <f t="shared" si="993"/>
        <v>0</v>
      </c>
      <c r="AV1079" s="156">
        <f t="shared" si="994"/>
        <v>65688.09</v>
      </c>
      <c r="AW1079" s="157" t="s">
        <v>7703</v>
      </c>
      <c r="AX1079" s="150">
        <v>4695.25</v>
      </c>
      <c r="AY1079" s="150">
        <v>2798.92</v>
      </c>
      <c r="AZ1079" s="150"/>
      <c r="BA1079" s="150">
        <f t="shared" si="1000"/>
        <v>2798.92</v>
      </c>
      <c r="BB1079" s="202">
        <v>5</v>
      </c>
      <c r="BC1079" s="202" t="s">
        <v>647</v>
      </c>
      <c r="BD1079" s="202" t="s">
        <v>647</v>
      </c>
      <c r="BE1079" s="202" t="s">
        <v>647</v>
      </c>
      <c r="BF1079" s="202" t="s">
        <v>779</v>
      </c>
      <c r="BG1079" s="203" t="s">
        <v>7704</v>
      </c>
      <c r="BH1079" s="216">
        <f>SUM(AS1079:AS1083)</f>
        <v>70383.34</v>
      </c>
      <c r="BI1079" s="205"/>
      <c r="BJ1079" s="206" t="s">
        <v>7705</v>
      </c>
      <c r="BK1079" s="206" t="s">
        <v>454</v>
      </c>
      <c r="BL1079" s="207" t="s">
        <v>7706</v>
      </c>
      <c r="BM1079" s="208">
        <f>BH1079</f>
        <v>70383.34</v>
      </c>
      <c r="BN1079" s="160"/>
      <c r="BO1079" s="161">
        <f t="shared" si="1022"/>
        <v>0</v>
      </c>
      <c r="BP1079" s="161"/>
    </row>
    <row r="1080" spans="1:68" ht="50.25" customHeight="1">
      <c r="A1080" s="210"/>
      <c r="B1080" s="195" t="s">
        <v>7707</v>
      </c>
      <c r="C1080" s="196" t="s">
        <v>7708</v>
      </c>
      <c r="D1080" s="146" t="s">
        <v>4692</v>
      </c>
      <c r="E1080" s="196" t="s">
        <v>7708</v>
      </c>
      <c r="F1080" s="150">
        <v>0</v>
      </c>
      <c r="G1080" s="209">
        <v>0</v>
      </c>
      <c r="H1080" s="209"/>
      <c r="I1080" s="209">
        <v>0</v>
      </c>
      <c r="J1080" s="150">
        <v>0</v>
      </c>
      <c r="K1080" s="150">
        <v>0</v>
      </c>
      <c r="L1080" s="150">
        <f t="shared" si="1019"/>
        <v>0</v>
      </c>
      <c r="M1080" s="150">
        <v>0</v>
      </c>
      <c r="N1080" s="150"/>
      <c r="O1080" s="150">
        <v>0</v>
      </c>
      <c r="P1080" s="150">
        <v>0</v>
      </c>
      <c r="Q1080" s="150"/>
      <c r="R1080" s="150">
        <f t="shared" si="1028"/>
        <v>0</v>
      </c>
      <c r="S1080" s="150">
        <f t="shared" si="1002"/>
        <v>0</v>
      </c>
      <c r="T1080" s="150"/>
      <c r="U1080" s="150">
        <v>0</v>
      </c>
      <c r="V1080" s="199"/>
      <c r="W1080" s="150">
        <f t="shared" si="1029"/>
        <v>0</v>
      </c>
      <c r="X1080" s="150">
        <v>0</v>
      </c>
      <c r="Y1080" s="150"/>
      <c r="Z1080" s="150">
        <v>0</v>
      </c>
      <c r="AA1080" s="150">
        <f t="shared" si="996"/>
        <v>0</v>
      </c>
      <c r="AB1080" s="150">
        <v>0</v>
      </c>
      <c r="AC1080" s="199"/>
      <c r="AD1080" s="150">
        <f t="shared" si="1030"/>
        <v>0</v>
      </c>
      <c r="AE1080" s="150">
        <v>0</v>
      </c>
      <c r="AF1080" s="169" t="s">
        <v>4680</v>
      </c>
      <c r="AG1080" s="201">
        <v>0</v>
      </c>
      <c r="AH1080" s="199"/>
      <c r="AI1080" s="150">
        <v>0</v>
      </c>
      <c r="AJ1080" s="169">
        <f t="shared" si="997"/>
        <v>0</v>
      </c>
      <c r="AK1080" s="201">
        <v>0</v>
      </c>
      <c r="AL1080" s="199"/>
      <c r="AM1080" s="150">
        <f t="shared" si="1031"/>
        <v>0</v>
      </c>
      <c r="AN1080" s="153">
        <f t="shared" si="998"/>
        <v>0</v>
      </c>
      <c r="AO1080" s="154">
        <f t="shared" si="999"/>
        <v>0</v>
      </c>
      <c r="AP1080" s="150">
        <v>0</v>
      </c>
      <c r="AQ1080" s="201">
        <v>0</v>
      </c>
      <c r="AR1080" s="199"/>
      <c r="AS1080" s="150">
        <f t="shared" si="1032"/>
        <v>0</v>
      </c>
      <c r="AT1080" s="155"/>
      <c r="AU1080" s="156">
        <f t="shared" si="993"/>
        <v>0</v>
      </c>
      <c r="AV1080" s="156">
        <f t="shared" si="994"/>
        <v>0</v>
      </c>
      <c r="AW1080" s="157"/>
      <c r="AX1080" s="150">
        <v>0</v>
      </c>
      <c r="AY1080" s="150">
        <v>0</v>
      </c>
      <c r="AZ1080" s="150"/>
      <c r="BA1080" s="150">
        <f t="shared" si="1000"/>
        <v>0</v>
      </c>
      <c r="BB1080" s="210"/>
      <c r="BC1080" s="210"/>
      <c r="BD1080" s="210"/>
      <c r="BE1080" s="210"/>
      <c r="BF1080" s="210"/>
      <c r="BG1080" s="210"/>
      <c r="BH1080" s="217"/>
      <c r="BI1080" s="210"/>
      <c r="BJ1080" s="210"/>
      <c r="BK1080" s="210"/>
      <c r="BL1080" s="210"/>
      <c r="BM1080" s="208"/>
      <c r="BN1080" s="160"/>
      <c r="BO1080" s="161">
        <f t="shared" si="1022"/>
        <v>0</v>
      </c>
      <c r="BP1080" s="161"/>
    </row>
    <row r="1081" spans="1:68" ht="51">
      <c r="A1081" s="210"/>
      <c r="B1081" s="195" t="s">
        <v>7709</v>
      </c>
      <c r="C1081" s="196" t="s">
        <v>7710</v>
      </c>
      <c r="D1081" s="146" t="s">
        <v>4692</v>
      </c>
      <c r="E1081" s="196" t="s">
        <v>7710</v>
      </c>
      <c r="F1081" s="150">
        <v>0</v>
      </c>
      <c r="G1081" s="209">
        <v>0</v>
      </c>
      <c r="H1081" s="209"/>
      <c r="I1081" s="209">
        <v>0</v>
      </c>
      <c r="J1081" s="150">
        <v>0</v>
      </c>
      <c r="K1081" s="150">
        <v>0</v>
      </c>
      <c r="L1081" s="150">
        <f t="shared" si="1019"/>
        <v>0</v>
      </c>
      <c r="M1081" s="150">
        <v>0</v>
      </c>
      <c r="N1081" s="150"/>
      <c r="O1081" s="150">
        <v>0</v>
      </c>
      <c r="P1081" s="150">
        <v>0</v>
      </c>
      <c r="Q1081" s="150"/>
      <c r="R1081" s="150">
        <f t="shared" si="1028"/>
        <v>0</v>
      </c>
      <c r="S1081" s="150">
        <f t="shared" si="1002"/>
        <v>0</v>
      </c>
      <c r="T1081" s="150"/>
      <c r="U1081" s="150">
        <v>0</v>
      </c>
      <c r="V1081" s="199"/>
      <c r="W1081" s="150">
        <f t="shared" si="1029"/>
        <v>0</v>
      </c>
      <c r="X1081" s="150">
        <v>0</v>
      </c>
      <c r="Y1081" s="150"/>
      <c r="Z1081" s="150">
        <v>0</v>
      </c>
      <c r="AA1081" s="150">
        <f t="shared" si="996"/>
        <v>0</v>
      </c>
      <c r="AB1081" s="150">
        <v>0</v>
      </c>
      <c r="AC1081" s="199"/>
      <c r="AD1081" s="150">
        <f t="shared" si="1030"/>
        <v>0</v>
      </c>
      <c r="AE1081" s="150">
        <v>0</v>
      </c>
      <c r="AF1081" s="169" t="s">
        <v>4680</v>
      </c>
      <c r="AG1081" s="201">
        <v>0</v>
      </c>
      <c r="AH1081" s="199"/>
      <c r="AI1081" s="150">
        <v>0</v>
      </c>
      <c r="AJ1081" s="169">
        <f t="shared" si="997"/>
        <v>0</v>
      </c>
      <c r="AK1081" s="201">
        <v>0</v>
      </c>
      <c r="AL1081" s="199"/>
      <c r="AM1081" s="150">
        <f t="shared" si="1031"/>
        <v>0</v>
      </c>
      <c r="AN1081" s="153">
        <f t="shared" si="998"/>
        <v>0</v>
      </c>
      <c r="AO1081" s="154">
        <f t="shared" si="999"/>
        <v>0</v>
      </c>
      <c r="AP1081" s="150">
        <v>0</v>
      </c>
      <c r="AQ1081" s="201">
        <v>0</v>
      </c>
      <c r="AR1081" s="199"/>
      <c r="AS1081" s="150">
        <f t="shared" si="1032"/>
        <v>0</v>
      </c>
      <c r="AT1081" s="155"/>
      <c r="AU1081" s="156">
        <f t="shared" si="993"/>
        <v>0</v>
      </c>
      <c r="AV1081" s="156">
        <f t="shared" si="994"/>
        <v>0</v>
      </c>
      <c r="AW1081" s="157"/>
      <c r="AX1081" s="150">
        <v>0</v>
      </c>
      <c r="AY1081" s="150">
        <v>0</v>
      </c>
      <c r="AZ1081" s="150"/>
      <c r="BA1081" s="150">
        <f t="shared" si="1000"/>
        <v>0</v>
      </c>
      <c r="BB1081" s="210"/>
      <c r="BC1081" s="210"/>
      <c r="BD1081" s="210"/>
      <c r="BE1081" s="210"/>
      <c r="BF1081" s="210"/>
      <c r="BG1081" s="210" t="s">
        <v>2976</v>
      </c>
      <c r="BH1081" s="217"/>
      <c r="BI1081" s="210"/>
      <c r="BJ1081" s="210"/>
      <c r="BK1081" s="210"/>
      <c r="BL1081" s="210"/>
      <c r="BM1081" s="208"/>
      <c r="BN1081" s="160"/>
      <c r="BO1081" s="161">
        <f t="shared" si="1022"/>
        <v>0</v>
      </c>
      <c r="BP1081" s="161"/>
    </row>
    <row r="1082" spans="1:68" ht="51">
      <c r="A1082" s="210"/>
      <c r="B1082" s="195" t="s">
        <v>7711</v>
      </c>
      <c r="C1082" s="196" t="s">
        <v>7712</v>
      </c>
      <c r="D1082" s="146" t="s">
        <v>4692</v>
      </c>
      <c r="E1082" s="196" t="s">
        <v>7712</v>
      </c>
      <c r="F1082" s="150">
        <v>0</v>
      </c>
      <c r="G1082" s="209">
        <v>0</v>
      </c>
      <c r="H1082" s="209"/>
      <c r="I1082" s="209">
        <v>0</v>
      </c>
      <c r="J1082" s="150">
        <v>0</v>
      </c>
      <c r="K1082" s="150">
        <v>0</v>
      </c>
      <c r="L1082" s="150">
        <f t="shared" si="1019"/>
        <v>0</v>
      </c>
      <c r="M1082" s="150">
        <v>0</v>
      </c>
      <c r="N1082" s="150"/>
      <c r="O1082" s="150">
        <v>0</v>
      </c>
      <c r="P1082" s="150">
        <v>0</v>
      </c>
      <c r="Q1082" s="150"/>
      <c r="R1082" s="150">
        <f t="shared" si="1028"/>
        <v>0</v>
      </c>
      <c r="S1082" s="150">
        <f t="shared" si="1002"/>
        <v>0</v>
      </c>
      <c r="T1082" s="150"/>
      <c r="U1082" s="150">
        <v>0</v>
      </c>
      <c r="V1082" s="199"/>
      <c r="W1082" s="150">
        <f t="shared" si="1029"/>
        <v>0</v>
      </c>
      <c r="X1082" s="150">
        <v>0</v>
      </c>
      <c r="Y1082" s="150"/>
      <c r="Z1082" s="150">
        <v>0</v>
      </c>
      <c r="AA1082" s="150">
        <f t="shared" si="996"/>
        <v>0</v>
      </c>
      <c r="AB1082" s="150">
        <v>0</v>
      </c>
      <c r="AC1082" s="199"/>
      <c r="AD1082" s="150">
        <f t="shared" si="1030"/>
        <v>0</v>
      </c>
      <c r="AE1082" s="150">
        <v>0</v>
      </c>
      <c r="AF1082" s="169" t="s">
        <v>4680</v>
      </c>
      <c r="AG1082" s="201">
        <v>0</v>
      </c>
      <c r="AH1082" s="199"/>
      <c r="AI1082" s="150">
        <v>0</v>
      </c>
      <c r="AJ1082" s="169">
        <f t="shared" si="997"/>
        <v>0</v>
      </c>
      <c r="AK1082" s="201">
        <v>0</v>
      </c>
      <c r="AL1082" s="199"/>
      <c r="AM1082" s="150">
        <f t="shared" si="1031"/>
        <v>0</v>
      </c>
      <c r="AN1082" s="153">
        <f t="shared" si="998"/>
        <v>0</v>
      </c>
      <c r="AO1082" s="154">
        <f t="shared" si="999"/>
        <v>0</v>
      </c>
      <c r="AP1082" s="150">
        <v>0</v>
      </c>
      <c r="AQ1082" s="201">
        <v>0</v>
      </c>
      <c r="AR1082" s="199"/>
      <c r="AS1082" s="150">
        <f t="shared" si="1032"/>
        <v>0</v>
      </c>
      <c r="AT1082" s="155"/>
      <c r="AU1082" s="156">
        <f t="shared" si="993"/>
        <v>0</v>
      </c>
      <c r="AV1082" s="156">
        <f t="shared" si="994"/>
        <v>0</v>
      </c>
      <c r="AW1082" s="157"/>
      <c r="AX1082" s="150">
        <v>0</v>
      </c>
      <c r="AY1082" s="150">
        <v>0</v>
      </c>
      <c r="AZ1082" s="150"/>
      <c r="BA1082" s="150">
        <f t="shared" si="1000"/>
        <v>0</v>
      </c>
      <c r="BB1082" s="210"/>
      <c r="BC1082" s="210"/>
      <c r="BD1082" s="210"/>
      <c r="BE1082" s="210"/>
      <c r="BF1082" s="210"/>
      <c r="BG1082" s="210"/>
      <c r="BH1082" s="217"/>
      <c r="BI1082" s="210"/>
      <c r="BJ1082" s="210"/>
      <c r="BK1082" s="210"/>
      <c r="BL1082" s="210"/>
      <c r="BM1082" s="208"/>
      <c r="BN1082" s="160"/>
      <c r="BO1082" s="161">
        <f t="shared" si="1022"/>
        <v>0</v>
      </c>
      <c r="BP1082" s="161"/>
    </row>
    <row r="1083" spans="1:68" ht="51">
      <c r="A1083" s="210"/>
      <c r="B1083" s="195" t="s">
        <v>7713</v>
      </c>
      <c r="C1083" s="196" t="s">
        <v>7714</v>
      </c>
      <c r="D1083" s="146" t="s">
        <v>4692</v>
      </c>
      <c r="E1083" s="311" t="s">
        <v>7714</v>
      </c>
      <c r="F1083" s="150">
        <v>0</v>
      </c>
      <c r="G1083" s="312">
        <v>0</v>
      </c>
      <c r="H1083" s="312"/>
      <c r="I1083" s="312">
        <v>0</v>
      </c>
      <c r="J1083" s="150">
        <v>0</v>
      </c>
      <c r="K1083" s="150">
        <v>0</v>
      </c>
      <c r="L1083" s="150">
        <f t="shared" si="1019"/>
        <v>0</v>
      </c>
      <c r="M1083" s="150">
        <v>0</v>
      </c>
      <c r="N1083" s="150"/>
      <c r="O1083" s="150">
        <v>0</v>
      </c>
      <c r="P1083" s="150">
        <v>0</v>
      </c>
      <c r="Q1083" s="150"/>
      <c r="R1083" s="150">
        <f t="shared" si="1028"/>
        <v>0</v>
      </c>
      <c r="S1083" s="150">
        <f t="shared" si="1002"/>
        <v>0</v>
      </c>
      <c r="T1083" s="150"/>
      <c r="U1083" s="150">
        <v>0</v>
      </c>
      <c r="V1083" s="199"/>
      <c r="W1083" s="150">
        <f t="shared" si="1029"/>
        <v>0</v>
      </c>
      <c r="X1083" s="150">
        <v>0</v>
      </c>
      <c r="Y1083" s="150"/>
      <c r="Z1083" s="150">
        <v>0</v>
      </c>
      <c r="AA1083" s="150">
        <f t="shared" si="996"/>
        <v>0</v>
      </c>
      <c r="AB1083" s="150">
        <v>0</v>
      </c>
      <c r="AC1083" s="199"/>
      <c r="AD1083" s="150">
        <f t="shared" si="1030"/>
        <v>0</v>
      </c>
      <c r="AE1083" s="150">
        <v>0</v>
      </c>
      <c r="AF1083" s="169" t="s">
        <v>4680</v>
      </c>
      <c r="AG1083" s="201">
        <v>0</v>
      </c>
      <c r="AH1083" s="199"/>
      <c r="AI1083" s="150">
        <v>0</v>
      </c>
      <c r="AJ1083" s="169">
        <f t="shared" si="997"/>
        <v>0</v>
      </c>
      <c r="AK1083" s="201">
        <v>0</v>
      </c>
      <c r="AL1083" s="199"/>
      <c r="AM1083" s="150">
        <f t="shared" si="1031"/>
        <v>0</v>
      </c>
      <c r="AN1083" s="153">
        <f t="shared" si="998"/>
        <v>0</v>
      </c>
      <c r="AO1083" s="154">
        <f t="shared" si="999"/>
        <v>0</v>
      </c>
      <c r="AP1083" s="150">
        <v>0</v>
      </c>
      <c r="AQ1083" s="201">
        <v>0</v>
      </c>
      <c r="AR1083" s="199"/>
      <c r="AS1083" s="150">
        <f t="shared" si="1032"/>
        <v>0</v>
      </c>
      <c r="AT1083" s="155"/>
      <c r="AU1083" s="156">
        <f t="shared" si="993"/>
        <v>0</v>
      </c>
      <c r="AV1083" s="156">
        <f t="shared" si="994"/>
        <v>0</v>
      </c>
      <c r="AW1083" s="157"/>
      <c r="AX1083" s="150">
        <v>0</v>
      </c>
      <c r="AY1083" s="150">
        <v>0</v>
      </c>
      <c r="AZ1083" s="150"/>
      <c r="BA1083" s="150">
        <f t="shared" si="1000"/>
        <v>0</v>
      </c>
      <c r="BB1083" s="210"/>
      <c r="BC1083" s="210"/>
      <c r="BD1083" s="210"/>
      <c r="BE1083" s="210"/>
      <c r="BF1083" s="210"/>
      <c r="BG1083" s="210"/>
      <c r="BH1083" s="217"/>
      <c r="BI1083" s="210"/>
      <c r="BJ1083" s="210"/>
      <c r="BK1083" s="210"/>
      <c r="BL1083" s="210"/>
      <c r="BM1083" s="208"/>
      <c r="BN1083" s="160"/>
      <c r="BO1083" s="161">
        <f t="shared" si="1022"/>
        <v>0</v>
      </c>
      <c r="BP1083" s="161"/>
    </row>
    <row r="1084" spans="1:68" ht="89.25">
      <c r="A1084" s="206" t="s">
        <v>7715</v>
      </c>
      <c r="B1084" s="195" t="s">
        <v>7716</v>
      </c>
      <c r="C1084" s="196" t="s">
        <v>7717</v>
      </c>
      <c r="D1084" s="146" t="s">
        <v>4692</v>
      </c>
      <c r="E1084" s="333" t="s">
        <v>7718</v>
      </c>
      <c r="F1084" s="150">
        <v>0</v>
      </c>
      <c r="G1084" s="334">
        <v>0</v>
      </c>
      <c r="H1084" s="334"/>
      <c r="I1084" s="334">
        <v>0</v>
      </c>
      <c r="J1084" s="150">
        <v>0</v>
      </c>
      <c r="K1084" s="150">
        <v>0</v>
      </c>
      <c r="L1084" s="150">
        <f t="shared" si="1019"/>
        <v>0</v>
      </c>
      <c r="M1084" s="150">
        <v>0</v>
      </c>
      <c r="N1084" s="150"/>
      <c r="O1084" s="150">
        <v>0</v>
      </c>
      <c r="P1084" s="150">
        <v>0</v>
      </c>
      <c r="Q1084" s="150"/>
      <c r="R1084" s="150">
        <f t="shared" si="1028"/>
        <v>0</v>
      </c>
      <c r="S1084" s="150">
        <f t="shared" si="1002"/>
        <v>0</v>
      </c>
      <c r="T1084" s="150"/>
      <c r="U1084" s="150">
        <v>0</v>
      </c>
      <c r="V1084" s="199"/>
      <c r="W1084" s="150">
        <f t="shared" si="1029"/>
        <v>0</v>
      </c>
      <c r="X1084" s="150">
        <v>0</v>
      </c>
      <c r="Y1084" s="150"/>
      <c r="Z1084" s="150">
        <v>0</v>
      </c>
      <c r="AA1084" s="150">
        <f t="shared" si="996"/>
        <v>0</v>
      </c>
      <c r="AB1084" s="150">
        <v>0</v>
      </c>
      <c r="AC1084" s="199"/>
      <c r="AD1084" s="150">
        <f t="shared" si="1030"/>
        <v>0</v>
      </c>
      <c r="AE1084" s="150">
        <v>0</v>
      </c>
      <c r="AF1084" s="169" t="s">
        <v>4680</v>
      </c>
      <c r="AG1084" s="201">
        <v>0</v>
      </c>
      <c r="AH1084" s="199"/>
      <c r="AI1084" s="150">
        <v>0</v>
      </c>
      <c r="AJ1084" s="169">
        <f t="shared" si="997"/>
        <v>0</v>
      </c>
      <c r="AK1084" s="201">
        <v>0</v>
      </c>
      <c r="AL1084" s="199"/>
      <c r="AM1084" s="150">
        <f t="shared" si="1031"/>
        <v>0</v>
      </c>
      <c r="AN1084" s="153">
        <f t="shared" si="998"/>
        <v>0</v>
      </c>
      <c r="AO1084" s="154">
        <f t="shared" si="999"/>
        <v>0</v>
      </c>
      <c r="AP1084" s="150">
        <v>0</v>
      </c>
      <c r="AQ1084" s="201">
        <v>0</v>
      </c>
      <c r="AR1084" s="199"/>
      <c r="AS1084" s="150">
        <f t="shared" si="1032"/>
        <v>0</v>
      </c>
      <c r="AT1084" s="155"/>
      <c r="AU1084" s="156">
        <f t="shared" si="993"/>
        <v>0</v>
      </c>
      <c r="AV1084" s="156">
        <f t="shared" si="994"/>
        <v>0</v>
      </c>
      <c r="AW1084" s="157"/>
      <c r="AX1084" s="150">
        <v>0</v>
      </c>
      <c r="AY1084" s="150">
        <v>0</v>
      </c>
      <c r="AZ1084" s="150"/>
      <c r="BA1084" s="150">
        <f t="shared" si="1000"/>
        <v>0</v>
      </c>
      <c r="BB1084" s="202">
        <v>5</v>
      </c>
      <c r="BC1084" s="202" t="s">
        <v>647</v>
      </c>
      <c r="BD1084" s="202" t="s">
        <v>647</v>
      </c>
      <c r="BE1084" s="202" t="s">
        <v>647</v>
      </c>
      <c r="BF1084" s="194" t="s">
        <v>1247</v>
      </c>
      <c r="BG1084" s="203" t="s">
        <v>7719</v>
      </c>
      <c r="BH1084" s="216">
        <f>AS1084</f>
        <v>0</v>
      </c>
      <c r="BI1084" s="205"/>
      <c r="BJ1084" s="206" t="s">
        <v>7720</v>
      </c>
      <c r="BK1084" s="206" t="s">
        <v>7715</v>
      </c>
      <c r="BL1084" s="207" t="s">
        <v>7721</v>
      </c>
      <c r="BM1084" s="208">
        <f>BH1084</f>
        <v>0</v>
      </c>
      <c r="BN1084" s="160"/>
      <c r="BO1084" s="161">
        <f t="shared" si="1022"/>
        <v>0</v>
      </c>
      <c r="BP1084" s="161"/>
    </row>
    <row r="1085" spans="1:68" ht="51">
      <c r="A1085" s="261" t="s">
        <v>456</v>
      </c>
      <c r="B1085" s="228" t="s">
        <v>7722</v>
      </c>
      <c r="C1085" s="229" t="s">
        <v>457</v>
      </c>
      <c r="D1085" s="146" t="s">
        <v>4692</v>
      </c>
      <c r="E1085" s="196" t="s">
        <v>457</v>
      </c>
      <c r="F1085" s="150">
        <v>0</v>
      </c>
      <c r="G1085" s="209">
        <v>0</v>
      </c>
      <c r="H1085" s="209"/>
      <c r="I1085" s="209">
        <v>0</v>
      </c>
      <c r="J1085" s="150">
        <v>0</v>
      </c>
      <c r="K1085" s="150">
        <v>0</v>
      </c>
      <c r="L1085" s="150">
        <f t="shared" si="1019"/>
        <v>0</v>
      </c>
      <c r="M1085" s="150">
        <v>0</v>
      </c>
      <c r="N1085" s="150"/>
      <c r="O1085" s="150">
        <v>0</v>
      </c>
      <c r="P1085" s="150">
        <v>0</v>
      </c>
      <c r="Q1085" s="150"/>
      <c r="R1085" s="150">
        <f t="shared" si="1028"/>
        <v>0</v>
      </c>
      <c r="S1085" s="150">
        <f t="shared" si="1002"/>
        <v>0</v>
      </c>
      <c r="T1085" s="150"/>
      <c r="U1085" s="150">
        <v>0</v>
      </c>
      <c r="V1085" s="199"/>
      <c r="W1085" s="150">
        <f t="shared" si="1029"/>
        <v>0</v>
      </c>
      <c r="X1085" s="150">
        <v>0</v>
      </c>
      <c r="Y1085" s="150"/>
      <c r="Z1085" s="150">
        <v>0</v>
      </c>
      <c r="AA1085" s="150">
        <f t="shared" si="996"/>
        <v>0</v>
      </c>
      <c r="AB1085" s="150">
        <v>0</v>
      </c>
      <c r="AC1085" s="199"/>
      <c r="AD1085" s="150">
        <f t="shared" si="1030"/>
        <v>0</v>
      </c>
      <c r="AE1085" s="150">
        <v>0</v>
      </c>
      <c r="AF1085" s="169" t="s">
        <v>4680</v>
      </c>
      <c r="AG1085" s="201">
        <v>0</v>
      </c>
      <c r="AH1085" s="199"/>
      <c r="AI1085" s="150">
        <v>0</v>
      </c>
      <c r="AJ1085" s="169">
        <f t="shared" si="997"/>
        <v>0</v>
      </c>
      <c r="AK1085" s="201">
        <v>0</v>
      </c>
      <c r="AL1085" s="199"/>
      <c r="AM1085" s="150">
        <f t="shared" si="1031"/>
        <v>0</v>
      </c>
      <c r="AN1085" s="153">
        <f t="shared" si="998"/>
        <v>0</v>
      </c>
      <c r="AO1085" s="154">
        <f t="shared" si="999"/>
        <v>0</v>
      </c>
      <c r="AP1085" s="150">
        <v>0</v>
      </c>
      <c r="AQ1085" s="201">
        <v>0</v>
      </c>
      <c r="AR1085" s="199"/>
      <c r="AS1085" s="150">
        <f t="shared" si="1032"/>
        <v>0</v>
      </c>
      <c r="AT1085" s="155" t="s">
        <v>4796</v>
      </c>
      <c r="AU1085" s="156">
        <f t="shared" si="993"/>
        <v>0</v>
      </c>
      <c r="AV1085" s="156">
        <f t="shared" si="994"/>
        <v>0</v>
      </c>
      <c r="AW1085" s="157" t="s">
        <v>4796</v>
      </c>
      <c r="AX1085" s="150">
        <v>0</v>
      </c>
      <c r="AY1085" s="150">
        <v>0</v>
      </c>
      <c r="AZ1085" s="150"/>
      <c r="BA1085" s="150">
        <f t="shared" si="1000"/>
        <v>0</v>
      </c>
      <c r="BB1085" s="202">
        <v>5</v>
      </c>
      <c r="BC1085" s="202" t="s">
        <v>647</v>
      </c>
      <c r="BD1085" s="202" t="s">
        <v>647</v>
      </c>
      <c r="BE1085" s="202" t="s">
        <v>647</v>
      </c>
      <c r="BF1085" s="202" t="s">
        <v>1225</v>
      </c>
      <c r="BG1085" s="203" t="s">
        <v>457</v>
      </c>
      <c r="BH1085" s="216">
        <f>SUM(AS1085:AS1086)</f>
        <v>0</v>
      </c>
      <c r="BI1085" s="206" t="s">
        <v>1519</v>
      </c>
      <c r="BJ1085" s="206" t="s">
        <v>7723</v>
      </c>
      <c r="BK1085" s="206" t="s">
        <v>456</v>
      </c>
      <c r="BL1085" s="207" t="s">
        <v>7724</v>
      </c>
      <c r="BM1085" s="208">
        <f>BH1085</f>
        <v>0</v>
      </c>
      <c r="BN1085" s="160"/>
      <c r="BO1085" s="161">
        <f t="shared" si="1022"/>
        <v>0</v>
      </c>
      <c r="BP1085" s="161"/>
    </row>
    <row r="1086" spans="1:68" ht="25.5">
      <c r="A1086" s="318"/>
      <c r="B1086" s="228" t="s">
        <v>7725</v>
      </c>
      <c r="C1086" s="229" t="s">
        <v>7726</v>
      </c>
      <c r="D1086" s="146" t="s">
        <v>4692</v>
      </c>
      <c r="E1086" s="196" t="s">
        <v>7726</v>
      </c>
      <c r="F1086" s="150">
        <v>0</v>
      </c>
      <c r="G1086" s="209">
        <v>0</v>
      </c>
      <c r="H1086" s="209"/>
      <c r="I1086" s="209">
        <v>0</v>
      </c>
      <c r="J1086" s="150">
        <v>0</v>
      </c>
      <c r="K1086" s="150">
        <v>0</v>
      </c>
      <c r="L1086" s="150">
        <f t="shared" si="1019"/>
        <v>0</v>
      </c>
      <c r="M1086" s="150">
        <v>0</v>
      </c>
      <c r="N1086" s="150"/>
      <c r="O1086" s="150">
        <v>0</v>
      </c>
      <c r="P1086" s="150">
        <v>0</v>
      </c>
      <c r="Q1086" s="150"/>
      <c r="R1086" s="150">
        <f t="shared" si="1028"/>
        <v>0</v>
      </c>
      <c r="S1086" s="150">
        <f t="shared" si="1002"/>
        <v>0</v>
      </c>
      <c r="T1086" s="150"/>
      <c r="U1086" s="150">
        <v>0</v>
      </c>
      <c r="V1086" s="199"/>
      <c r="W1086" s="150">
        <f t="shared" si="1029"/>
        <v>0</v>
      </c>
      <c r="X1086" s="150">
        <v>0</v>
      </c>
      <c r="Y1086" s="150"/>
      <c r="Z1086" s="150">
        <v>0</v>
      </c>
      <c r="AA1086" s="150">
        <f t="shared" si="996"/>
        <v>0</v>
      </c>
      <c r="AB1086" s="150">
        <v>0</v>
      </c>
      <c r="AC1086" s="199"/>
      <c r="AD1086" s="150">
        <f t="shared" si="1030"/>
        <v>0</v>
      </c>
      <c r="AE1086" s="150">
        <v>0</v>
      </c>
      <c r="AF1086" s="169" t="s">
        <v>4680</v>
      </c>
      <c r="AG1086" s="201">
        <v>0</v>
      </c>
      <c r="AH1086" s="199"/>
      <c r="AI1086" s="150">
        <v>0</v>
      </c>
      <c r="AJ1086" s="169">
        <f t="shared" si="997"/>
        <v>0</v>
      </c>
      <c r="AK1086" s="201">
        <v>0</v>
      </c>
      <c r="AL1086" s="199"/>
      <c r="AM1086" s="150">
        <f t="shared" si="1031"/>
        <v>0</v>
      </c>
      <c r="AN1086" s="153">
        <f t="shared" si="998"/>
        <v>0</v>
      </c>
      <c r="AO1086" s="154">
        <f t="shared" si="999"/>
        <v>0</v>
      </c>
      <c r="AP1086" s="150">
        <v>0</v>
      </c>
      <c r="AQ1086" s="201">
        <v>0</v>
      </c>
      <c r="AR1086" s="199"/>
      <c r="AS1086" s="150">
        <f t="shared" si="1032"/>
        <v>0</v>
      </c>
      <c r="AT1086" s="155" t="s">
        <v>4796</v>
      </c>
      <c r="AU1086" s="156">
        <f t="shared" si="993"/>
        <v>0</v>
      </c>
      <c r="AV1086" s="156">
        <f t="shared" si="994"/>
        <v>0</v>
      </c>
      <c r="AW1086" s="157" t="s">
        <v>4796</v>
      </c>
      <c r="AX1086" s="150">
        <v>0</v>
      </c>
      <c r="AY1086" s="150">
        <v>0</v>
      </c>
      <c r="AZ1086" s="150"/>
      <c r="BA1086" s="150">
        <f t="shared" si="1000"/>
        <v>0</v>
      </c>
      <c r="BB1086" s="202"/>
      <c r="BC1086" s="202"/>
      <c r="BD1086" s="202"/>
      <c r="BE1086" s="202"/>
      <c r="BF1086" s="202"/>
      <c r="BG1086" s="203"/>
      <c r="BH1086" s="216"/>
      <c r="BI1086" s="205"/>
      <c r="BJ1086" s="205"/>
      <c r="BK1086" s="205"/>
      <c r="BL1086" s="203"/>
      <c r="BM1086" s="208"/>
      <c r="BN1086" s="160"/>
      <c r="BO1086" s="161">
        <f t="shared" si="1022"/>
        <v>0</v>
      </c>
      <c r="BP1086" s="161"/>
    </row>
    <row r="1087" spans="1:68" ht="51">
      <c r="A1087" s="206" t="s">
        <v>458</v>
      </c>
      <c r="B1087" s="195" t="s">
        <v>7727</v>
      </c>
      <c r="C1087" s="196" t="s">
        <v>459</v>
      </c>
      <c r="D1087" s="146" t="s">
        <v>4692</v>
      </c>
      <c r="E1087" s="196" t="s">
        <v>459</v>
      </c>
      <c r="F1087" s="150">
        <v>0</v>
      </c>
      <c r="G1087" s="209">
        <v>0</v>
      </c>
      <c r="H1087" s="209"/>
      <c r="I1087" s="209">
        <v>0</v>
      </c>
      <c r="J1087" s="150">
        <v>0</v>
      </c>
      <c r="K1087" s="150">
        <v>0</v>
      </c>
      <c r="L1087" s="150">
        <f t="shared" si="1019"/>
        <v>0</v>
      </c>
      <c r="M1087" s="150">
        <v>0</v>
      </c>
      <c r="N1087" s="150"/>
      <c r="O1087" s="150">
        <v>0</v>
      </c>
      <c r="P1087" s="150">
        <v>0</v>
      </c>
      <c r="Q1087" s="150"/>
      <c r="R1087" s="150">
        <f t="shared" si="1028"/>
        <v>0</v>
      </c>
      <c r="S1087" s="150">
        <f t="shared" si="1002"/>
        <v>0</v>
      </c>
      <c r="T1087" s="150"/>
      <c r="U1087" s="150">
        <v>0</v>
      </c>
      <c r="V1087" s="199"/>
      <c r="W1087" s="150">
        <f t="shared" si="1029"/>
        <v>0</v>
      </c>
      <c r="X1087" s="150">
        <v>0</v>
      </c>
      <c r="Y1087" s="150"/>
      <c r="Z1087" s="150">
        <v>0</v>
      </c>
      <c r="AA1087" s="150">
        <f t="shared" si="996"/>
        <v>0</v>
      </c>
      <c r="AB1087" s="150">
        <v>0</v>
      </c>
      <c r="AC1087" s="199"/>
      <c r="AD1087" s="150">
        <f t="shared" si="1030"/>
        <v>0</v>
      </c>
      <c r="AE1087" s="150">
        <v>0</v>
      </c>
      <c r="AF1087" s="169" t="s">
        <v>4680</v>
      </c>
      <c r="AG1087" s="201">
        <v>0</v>
      </c>
      <c r="AH1087" s="199"/>
      <c r="AI1087" s="150">
        <v>0</v>
      </c>
      <c r="AJ1087" s="169">
        <f t="shared" si="997"/>
        <v>0</v>
      </c>
      <c r="AK1087" s="201">
        <v>0</v>
      </c>
      <c r="AL1087" s="199"/>
      <c r="AM1087" s="150">
        <f t="shared" si="1031"/>
        <v>0</v>
      </c>
      <c r="AN1087" s="153">
        <f t="shared" si="998"/>
        <v>0</v>
      </c>
      <c r="AO1087" s="154">
        <f t="shared" si="999"/>
        <v>0</v>
      </c>
      <c r="AP1087" s="150">
        <v>0</v>
      </c>
      <c r="AQ1087" s="201">
        <v>0</v>
      </c>
      <c r="AR1087" s="199"/>
      <c r="AS1087" s="150">
        <f t="shared" si="1032"/>
        <v>0</v>
      </c>
      <c r="AT1087" s="155"/>
      <c r="AU1087" s="156">
        <f t="shared" si="993"/>
        <v>0</v>
      </c>
      <c r="AV1087" s="156">
        <f t="shared" si="994"/>
        <v>0</v>
      </c>
      <c r="AW1087" s="157"/>
      <c r="AX1087" s="150">
        <v>0</v>
      </c>
      <c r="AY1087" s="150">
        <v>0</v>
      </c>
      <c r="AZ1087" s="150"/>
      <c r="BA1087" s="150">
        <f t="shared" si="1000"/>
        <v>0</v>
      </c>
      <c r="BB1087" s="202">
        <v>5</v>
      </c>
      <c r="BC1087" s="202" t="s">
        <v>647</v>
      </c>
      <c r="BD1087" s="202" t="s">
        <v>647</v>
      </c>
      <c r="BE1087" s="202" t="s">
        <v>647</v>
      </c>
      <c r="BF1087" s="202" t="s">
        <v>1229</v>
      </c>
      <c r="BG1087" s="203" t="s">
        <v>459</v>
      </c>
      <c r="BH1087" s="216">
        <f>AS1087</f>
        <v>0</v>
      </c>
      <c r="BI1087" s="205"/>
      <c r="BJ1087" s="206" t="s">
        <v>7728</v>
      </c>
      <c r="BK1087" s="206" t="s">
        <v>458</v>
      </c>
      <c r="BL1087" s="207" t="s">
        <v>7729</v>
      </c>
      <c r="BM1087" s="208">
        <f>BH1087</f>
        <v>0</v>
      </c>
      <c r="BN1087" s="160"/>
      <c r="BO1087" s="161">
        <f t="shared" si="1022"/>
        <v>0</v>
      </c>
      <c r="BP1087" s="161"/>
    </row>
    <row r="1088" spans="1:68" ht="51">
      <c r="A1088" s="206" t="s">
        <v>460</v>
      </c>
      <c r="B1088" s="195" t="s">
        <v>7730</v>
      </c>
      <c r="C1088" s="196" t="s">
        <v>461</v>
      </c>
      <c r="D1088" s="146" t="s">
        <v>4692</v>
      </c>
      <c r="E1088" s="196" t="s">
        <v>461</v>
      </c>
      <c r="F1088" s="150">
        <v>0</v>
      </c>
      <c r="G1088" s="209">
        <v>9587621.3300000001</v>
      </c>
      <c r="H1088" s="209">
        <v>1561279.6726627245</v>
      </c>
      <c r="I1088" s="209">
        <v>11148901.002662722</v>
      </c>
      <c r="J1088" s="150">
        <v>0</v>
      </c>
      <c r="K1088" s="150">
        <v>0</v>
      </c>
      <c r="L1088" s="150">
        <f t="shared" si="1019"/>
        <v>0</v>
      </c>
      <c r="M1088" s="150">
        <v>0</v>
      </c>
      <c r="N1088" s="150"/>
      <c r="O1088" s="150">
        <v>0</v>
      </c>
      <c r="P1088" s="150">
        <v>0</v>
      </c>
      <c r="Q1088" s="150"/>
      <c r="R1088" s="150">
        <f t="shared" si="1028"/>
        <v>0</v>
      </c>
      <c r="S1088" s="150">
        <f t="shared" si="1002"/>
        <v>0</v>
      </c>
      <c r="T1088" s="150"/>
      <c r="U1088" s="150">
        <v>0</v>
      </c>
      <c r="V1088" s="199"/>
      <c r="W1088" s="150">
        <f t="shared" si="1029"/>
        <v>0</v>
      </c>
      <c r="X1088" s="150">
        <v>0</v>
      </c>
      <c r="Y1088" s="150"/>
      <c r="Z1088" s="150">
        <v>0</v>
      </c>
      <c r="AA1088" s="150">
        <f t="shared" si="996"/>
        <v>0</v>
      </c>
      <c r="AB1088" s="150">
        <v>0</v>
      </c>
      <c r="AC1088" s="199"/>
      <c r="AD1088" s="150">
        <f t="shared" si="1030"/>
        <v>0</v>
      </c>
      <c r="AE1088" s="150">
        <v>0</v>
      </c>
      <c r="AF1088" s="169" t="s">
        <v>4680</v>
      </c>
      <c r="AG1088" s="201">
        <v>0</v>
      </c>
      <c r="AH1088" s="199"/>
      <c r="AI1088" s="150">
        <v>0</v>
      </c>
      <c r="AJ1088" s="169">
        <f t="shared" si="997"/>
        <v>0</v>
      </c>
      <c r="AK1088" s="201">
        <v>0</v>
      </c>
      <c r="AL1088" s="199"/>
      <c r="AM1088" s="150">
        <f t="shared" si="1031"/>
        <v>0</v>
      </c>
      <c r="AN1088" s="153">
        <f t="shared" si="998"/>
        <v>0</v>
      </c>
      <c r="AO1088" s="154">
        <f t="shared" si="999"/>
        <v>0</v>
      </c>
      <c r="AP1088" s="150">
        <v>0</v>
      </c>
      <c r="AQ1088" s="201">
        <v>0</v>
      </c>
      <c r="AR1088" s="199"/>
      <c r="AS1088" s="150">
        <f t="shared" si="1032"/>
        <v>0</v>
      </c>
      <c r="AT1088" s="155"/>
      <c r="AU1088" s="156">
        <f t="shared" si="993"/>
        <v>0</v>
      </c>
      <c r="AV1088" s="156">
        <f t="shared" si="994"/>
        <v>0</v>
      </c>
      <c r="AW1088" s="157"/>
      <c r="AX1088" s="150">
        <v>0</v>
      </c>
      <c r="AY1088" s="150">
        <v>0</v>
      </c>
      <c r="AZ1088" s="150"/>
      <c r="BA1088" s="150">
        <f t="shared" si="1000"/>
        <v>0</v>
      </c>
      <c r="BB1088" s="202">
        <v>5</v>
      </c>
      <c r="BC1088" s="202" t="s">
        <v>647</v>
      </c>
      <c r="BD1088" s="202" t="s">
        <v>647</v>
      </c>
      <c r="BE1088" s="202" t="s">
        <v>647</v>
      </c>
      <c r="BF1088" s="202" t="s">
        <v>1243</v>
      </c>
      <c r="BG1088" s="203" t="s">
        <v>461</v>
      </c>
      <c r="BH1088" s="216">
        <f>AS1088</f>
        <v>0</v>
      </c>
      <c r="BI1088" s="206" t="s">
        <v>1340</v>
      </c>
      <c r="BJ1088" s="206" t="s">
        <v>7731</v>
      </c>
      <c r="BK1088" s="206" t="s">
        <v>460</v>
      </c>
      <c r="BL1088" s="207" t="s">
        <v>7732</v>
      </c>
      <c r="BM1088" s="208">
        <f>BH1088</f>
        <v>0</v>
      </c>
      <c r="BN1088" s="160"/>
      <c r="BO1088" s="161">
        <f t="shared" si="1022"/>
        <v>0</v>
      </c>
      <c r="BP1088" s="161"/>
    </row>
    <row r="1089" spans="1:68" ht="38.25">
      <c r="A1089" s="256" t="s">
        <v>452</v>
      </c>
      <c r="B1089" s="184"/>
      <c r="C1089" s="185" t="s">
        <v>7733</v>
      </c>
      <c r="D1089" s="146" t="s">
        <v>4692</v>
      </c>
      <c r="E1089" s="185" t="s">
        <v>7733</v>
      </c>
      <c r="F1089" s="188">
        <v>10994539.849999998</v>
      </c>
      <c r="G1089" s="187">
        <v>65712.2</v>
      </c>
      <c r="H1089" s="187">
        <v>0</v>
      </c>
      <c r="I1089" s="187">
        <v>65712.2</v>
      </c>
      <c r="J1089" s="188">
        <f>SUM(J1090:J1236)</f>
        <v>2574704.9400000004</v>
      </c>
      <c r="K1089" s="188">
        <f>SUM(K1090:K1236)</f>
        <v>-108158.74999999999</v>
      </c>
      <c r="L1089" s="188">
        <f t="shared" si="1019"/>
        <v>2466546.1900000004</v>
      </c>
      <c r="M1089" s="188">
        <v>4714120.24</v>
      </c>
      <c r="N1089" s="188">
        <v>706462.70686520473</v>
      </c>
      <c r="O1089" s="188">
        <v>5420582.9468652047</v>
      </c>
      <c r="P1089" s="299">
        <f t="shared" ref="P1089:AD1089" si="1033">SUM(P1090:P1236)</f>
        <v>7090524.3199999994</v>
      </c>
      <c r="Q1089" s="299">
        <f t="shared" si="1033"/>
        <v>1063232.1587443813</v>
      </c>
      <c r="R1089" s="299">
        <f t="shared" si="1033"/>
        <v>8153756.4787443802</v>
      </c>
      <c r="S1089" s="150">
        <f t="shared" si="1002"/>
        <v>10871675.304992508</v>
      </c>
      <c r="T1089" s="213"/>
      <c r="U1089" s="299">
        <f t="shared" ref="U1089:W1089" si="1034">SUM(U1090:U1236)</f>
        <v>8688087.2287019193</v>
      </c>
      <c r="V1089" s="226">
        <f t="shared" si="1034"/>
        <v>1125470.7174633613</v>
      </c>
      <c r="W1089" s="299">
        <f t="shared" si="1034"/>
        <v>9813557.9461652823</v>
      </c>
      <c r="X1089" s="299">
        <v>8688087.2287019193</v>
      </c>
      <c r="Y1089" s="299">
        <v>1125470.7174633613</v>
      </c>
      <c r="Z1089" s="299">
        <v>9813557.9461652823</v>
      </c>
      <c r="AA1089" s="299">
        <f t="shared" si="996"/>
        <v>32486.762536639348</v>
      </c>
      <c r="AB1089" s="299">
        <v>8688087.2287019193</v>
      </c>
      <c r="AC1089" s="226">
        <v>1157957.48</v>
      </c>
      <c r="AD1089" s="299">
        <f t="shared" si="1033"/>
        <v>9846044.7087019216</v>
      </c>
      <c r="AE1089" s="299">
        <v>9846044.7087019216</v>
      </c>
      <c r="AF1089" s="169" t="s">
        <v>4680</v>
      </c>
      <c r="AG1089" s="301">
        <v>8688087.2287019193</v>
      </c>
      <c r="AH1089" s="226">
        <v>1157957.48</v>
      </c>
      <c r="AI1089" s="299">
        <v>9846044.7087019216</v>
      </c>
      <c r="AJ1089" s="169">
        <f t="shared" si="997"/>
        <v>0</v>
      </c>
      <c r="AK1089" s="301">
        <v>8688087.2287019193</v>
      </c>
      <c r="AL1089" s="226">
        <v>1157957.48</v>
      </c>
      <c r="AM1089" s="299">
        <f t="shared" ref="AM1089" si="1035">SUM(AM1090:AM1236)</f>
        <v>9846044.7087019216</v>
      </c>
      <c r="AN1089" s="153">
        <f t="shared" si="998"/>
        <v>447066.99129807949</v>
      </c>
      <c r="AO1089" s="154">
        <f t="shared" si="999"/>
        <v>447066.99129807949</v>
      </c>
      <c r="AP1089" s="299">
        <v>9846044.7087019216</v>
      </c>
      <c r="AQ1089" s="301">
        <v>10293111.700000001</v>
      </c>
      <c r="AR1089" s="226">
        <f t="shared" ref="AR1089:AS1089" si="1036">SUM(AR1090:AR1236)</f>
        <v>0</v>
      </c>
      <c r="AS1089" s="299">
        <f t="shared" si="1036"/>
        <v>10293111.700000001</v>
      </c>
      <c r="AT1089" s="155"/>
      <c r="AU1089" s="156">
        <f t="shared" si="993"/>
        <v>0</v>
      </c>
      <c r="AV1089" s="156">
        <f t="shared" si="994"/>
        <v>32486.762536639348</v>
      </c>
      <c r="AW1089" s="157"/>
      <c r="AX1089" s="150">
        <v>9813557.9461652823</v>
      </c>
      <c r="AY1089" s="299">
        <f t="shared" ref="AY1089:BA1089" si="1037">SUM(AY1090:AY1236)</f>
        <v>5717118.4399999985</v>
      </c>
      <c r="AZ1089" s="299">
        <f t="shared" si="1037"/>
        <v>5264288.1037304075</v>
      </c>
      <c r="BA1089" s="299">
        <f t="shared" si="1037"/>
        <v>10981406.54373041</v>
      </c>
      <c r="BB1089" s="192">
        <v>5</v>
      </c>
      <c r="BC1089" s="256" t="s">
        <v>647</v>
      </c>
      <c r="BD1089" s="256" t="s">
        <v>647</v>
      </c>
      <c r="BE1089" s="256" t="s">
        <v>671</v>
      </c>
      <c r="BF1089" s="256" t="s">
        <v>630</v>
      </c>
      <c r="BG1089" s="185" t="s">
        <v>7733</v>
      </c>
      <c r="BH1089" s="302">
        <f>SUM(BH1090:BH1236)</f>
        <v>10293111.699999999</v>
      </c>
      <c r="BI1089" s="192"/>
      <c r="BJ1089" s="256" t="s">
        <v>7734</v>
      </c>
      <c r="BK1089" s="256" t="s">
        <v>452</v>
      </c>
      <c r="BL1089" s="238" t="s">
        <v>7735</v>
      </c>
      <c r="BM1089" s="302">
        <f>SUM(BM1090:BM1236)</f>
        <v>10293111.699999999</v>
      </c>
      <c r="BN1089" s="160"/>
      <c r="BO1089" s="161">
        <f t="shared" si="1022"/>
        <v>0</v>
      </c>
      <c r="BP1089" s="161"/>
    </row>
    <row r="1090" spans="1:68" ht="51">
      <c r="A1090" s="206" t="s">
        <v>452</v>
      </c>
      <c r="B1090" s="195" t="s">
        <v>7736</v>
      </c>
      <c r="C1090" s="196" t="s">
        <v>7737</v>
      </c>
      <c r="D1090" s="146" t="s">
        <v>4692</v>
      </c>
      <c r="E1090" s="196" t="s">
        <v>7737</v>
      </c>
      <c r="F1090" s="150">
        <v>65712.2</v>
      </c>
      <c r="G1090" s="209">
        <v>0</v>
      </c>
      <c r="H1090" s="209">
        <v>0</v>
      </c>
      <c r="I1090" s="209">
        <v>0</v>
      </c>
      <c r="J1090" s="150">
        <v>15574.98</v>
      </c>
      <c r="K1090" s="150">
        <v>-43333.332499999997</v>
      </c>
      <c r="L1090" s="150">
        <f t="shared" si="1019"/>
        <v>-27758.352499999997</v>
      </c>
      <c r="M1090" s="150">
        <v>31284.36</v>
      </c>
      <c r="N1090" s="150">
        <v>3302.5856039999999</v>
      </c>
      <c r="O1090" s="150">
        <v>34586.945604</v>
      </c>
      <c r="P1090" s="150">
        <v>46926.54</v>
      </c>
      <c r="Q1090" s="150">
        <v>4953.88</v>
      </c>
      <c r="R1090" s="313">
        <f t="shared" ref="R1090:R1153" si="1038">P1090+Q1090</f>
        <v>51880.42</v>
      </c>
      <c r="S1090" s="150">
        <f t="shared" si="1002"/>
        <v>69173.893333333326</v>
      </c>
      <c r="T1090" s="150"/>
      <c r="U1090" s="150">
        <v>67680.11</v>
      </c>
      <c r="V1090" s="199">
        <v>0</v>
      </c>
      <c r="W1090" s="150">
        <f>U1090+V1090</f>
        <v>67680.11</v>
      </c>
      <c r="X1090" s="150">
        <v>67680.11</v>
      </c>
      <c r="Y1090" s="150">
        <v>0</v>
      </c>
      <c r="Z1090" s="150">
        <v>67680.11</v>
      </c>
      <c r="AA1090" s="150">
        <f t="shared" si="996"/>
        <v>0</v>
      </c>
      <c r="AB1090" s="150">
        <v>67680.11</v>
      </c>
      <c r="AC1090" s="199">
        <v>0</v>
      </c>
      <c r="AD1090" s="150">
        <f t="shared" ref="AD1090:AD1153" si="1039">AB1090+AC1090</f>
        <v>67680.11</v>
      </c>
      <c r="AE1090" s="150">
        <v>67680.11</v>
      </c>
      <c r="AF1090" s="169" t="s">
        <v>4680</v>
      </c>
      <c r="AG1090" s="201">
        <v>67680.11</v>
      </c>
      <c r="AH1090" s="199">
        <v>0</v>
      </c>
      <c r="AI1090" s="150">
        <v>67680.11</v>
      </c>
      <c r="AJ1090" s="169">
        <f t="shared" si="997"/>
        <v>0</v>
      </c>
      <c r="AK1090" s="201">
        <v>67680.11</v>
      </c>
      <c r="AL1090" s="199">
        <v>0</v>
      </c>
      <c r="AM1090" s="150">
        <f t="shared" ref="AM1090:AM1153" si="1040">AK1090+AL1090</f>
        <v>67680.11</v>
      </c>
      <c r="AN1090" s="153">
        <f t="shared" si="998"/>
        <v>0</v>
      </c>
      <c r="AO1090" s="154">
        <f t="shared" si="999"/>
        <v>0</v>
      </c>
      <c r="AP1090" s="150">
        <v>67680.11</v>
      </c>
      <c r="AQ1090" s="201">
        <v>67680.11</v>
      </c>
      <c r="AR1090" s="199">
        <v>0</v>
      </c>
      <c r="AS1090" s="150">
        <f t="shared" ref="AS1090:AS1153" si="1041">AQ1090+AR1090</f>
        <v>67680.11</v>
      </c>
      <c r="AT1090" s="155"/>
      <c r="AU1090" s="156">
        <f t="shared" ref="AU1090:AU1153" si="1042">AM1090-AD1090</f>
        <v>0</v>
      </c>
      <c r="AV1090" s="156">
        <f t="shared" ref="AV1090:AV1153" si="1043">AD1090-AX1090</f>
        <v>0</v>
      </c>
      <c r="AW1090" s="157"/>
      <c r="AX1090" s="150">
        <v>67680.11</v>
      </c>
      <c r="AY1090" s="150">
        <v>36498.42</v>
      </c>
      <c r="AZ1090" s="150">
        <f>BA1090-AY1090</f>
        <v>101364.77120800001</v>
      </c>
      <c r="BA1090" s="313">
        <v>137863.191208</v>
      </c>
      <c r="BB1090" s="202">
        <v>5</v>
      </c>
      <c r="BC1090" s="202" t="s">
        <v>647</v>
      </c>
      <c r="BD1090" s="194" t="s">
        <v>647</v>
      </c>
      <c r="BE1090" s="335" t="s">
        <v>671</v>
      </c>
      <c r="BF1090" s="202" t="s">
        <v>632</v>
      </c>
      <c r="BG1090" s="287" t="s">
        <v>7738</v>
      </c>
      <c r="BH1090" s="283">
        <f>SUM(AS1090:AS1118)</f>
        <v>411306.97</v>
      </c>
      <c r="BI1090" s="205"/>
      <c r="BJ1090" s="206" t="s">
        <v>7734</v>
      </c>
      <c r="BK1090" s="206" t="s">
        <v>452</v>
      </c>
      <c r="BL1090" s="207" t="s">
        <v>7735</v>
      </c>
      <c r="BM1090" s="208">
        <f>BH1090</f>
        <v>411306.97</v>
      </c>
      <c r="BN1090" s="160"/>
      <c r="BO1090" s="161"/>
      <c r="BP1090" s="161"/>
    </row>
    <row r="1091" spans="1:68" ht="38.25">
      <c r="A1091" s="210"/>
      <c r="B1091" s="195" t="s">
        <v>7739</v>
      </c>
      <c r="C1091" s="196" t="s">
        <v>7740</v>
      </c>
      <c r="D1091" s="146" t="s">
        <v>4692</v>
      </c>
      <c r="E1091" s="196" t="s">
        <v>7740</v>
      </c>
      <c r="F1091" s="150">
        <v>0</v>
      </c>
      <c r="G1091" s="209">
        <v>0</v>
      </c>
      <c r="H1091" s="209">
        <v>0</v>
      </c>
      <c r="I1091" s="209">
        <v>0</v>
      </c>
      <c r="J1091" s="150">
        <v>4545.6099999999997</v>
      </c>
      <c r="K1091" s="150">
        <v>0</v>
      </c>
      <c r="L1091" s="150">
        <f t="shared" si="1019"/>
        <v>4545.6099999999997</v>
      </c>
      <c r="M1091" s="150">
        <v>4545.6099999999997</v>
      </c>
      <c r="N1091" s="150">
        <v>479.86489566666569</v>
      </c>
      <c r="O1091" s="150">
        <v>5025.4748956666654</v>
      </c>
      <c r="P1091" s="150">
        <v>4545.6099999999997</v>
      </c>
      <c r="Q1091" s="150">
        <v>479.86</v>
      </c>
      <c r="R1091" s="313">
        <f t="shared" si="1038"/>
        <v>5025.4699999999993</v>
      </c>
      <c r="S1091" s="150">
        <f t="shared" si="1002"/>
        <v>6700.6266666666652</v>
      </c>
      <c r="T1091" s="150"/>
      <c r="U1091" s="150">
        <v>4545.6099999999997</v>
      </c>
      <c r="V1091" s="199">
        <v>0</v>
      </c>
      <c r="W1091" s="150">
        <f t="shared" ref="W1091:W1154" si="1044">U1091+V1091</f>
        <v>4545.6099999999997</v>
      </c>
      <c r="X1091" s="150">
        <v>4545.6099999999997</v>
      </c>
      <c r="Y1091" s="150">
        <v>0</v>
      </c>
      <c r="Z1091" s="150">
        <v>4545.6099999999997</v>
      </c>
      <c r="AA1091" s="150">
        <f t="shared" ref="AA1091:AA1154" si="1045">AD1091-Z1091</f>
        <v>0</v>
      </c>
      <c r="AB1091" s="150">
        <v>4545.6099999999997</v>
      </c>
      <c r="AC1091" s="199">
        <v>0</v>
      </c>
      <c r="AD1091" s="150">
        <f t="shared" si="1039"/>
        <v>4545.6099999999997</v>
      </c>
      <c r="AE1091" s="150">
        <v>4545.6099999999997</v>
      </c>
      <c r="AF1091" s="169" t="s">
        <v>4680</v>
      </c>
      <c r="AG1091" s="201">
        <v>4545.6099999999997</v>
      </c>
      <c r="AH1091" s="199">
        <v>0</v>
      </c>
      <c r="AI1091" s="150">
        <v>4545.6099999999997</v>
      </c>
      <c r="AJ1091" s="169">
        <f t="shared" ref="AJ1091:AJ1154" si="1046">AM1091-AI1091</f>
        <v>0</v>
      </c>
      <c r="AK1091" s="201">
        <v>4545.6099999999997</v>
      </c>
      <c r="AL1091" s="199">
        <v>0</v>
      </c>
      <c r="AM1091" s="150">
        <f t="shared" si="1040"/>
        <v>4545.6099999999997</v>
      </c>
      <c r="AN1091" s="153">
        <f t="shared" ref="AN1091:AN1154" si="1047">AS1091-AM1091</f>
        <v>0</v>
      </c>
      <c r="AO1091" s="154">
        <f t="shared" ref="AO1091:AO1154" si="1048">AS1091-AP1091</f>
        <v>0</v>
      </c>
      <c r="AP1091" s="150">
        <v>4545.6099999999997</v>
      </c>
      <c r="AQ1091" s="201">
        <v>4545.6099999999997</v>
      </c>
      <c r="AR1091" s="199">
        <v>0</v>
      </c>
      <c r="AS1091" s="150">
        <f t="shared" si="1041"/>
        <v>4545.6099999999997</v>
      </c>
      <c r="AT1091" s="155"/>
      <c r="AU1091" s="156">
        <f t="shared" si="1042"/>
        <v>0</v>
      </c>
      <c r="AV1091" s="156">
        <f t="shared" si="1043"/>
        <v>0</v>
      </c>
      <c r="AW1091" s="157"/>
      <c r="AX1091" s="150">
        <v>4545.6099999999997</v>
      </c>
      <c r="AY1091" s="150">
        <v>4545.6099999999997</v>
      </c>
      <c r="AZ1091" s="150">
        <f t="shared" ref="AZ1091:AZ1154" si="1049">BA1091-AY1091</f>
        <v>77056.689791333338</v>
      </c>
      <c r="BA1091" s="313">
        <v>81602.299791333338</v>
      </c>
      <c r="BB1091" s="210"/>
      <c r="BC1091" s="210"/>
      <c r="BD1091" s="210"/>
      <c r="BE1091" s="210"/>
      <c r="BF1091" s="210"/>
      <c r="BG1091" s="210"/>
      <c r="BH1091" s="217"/>
      <c r="BI1091" s="210"/>
      <c r="BJ1091" s="210"/>
      <c r="BK1091" s="210"/>
      <c r="BL1091" s="210"/>
      <c r="BM1091" s="208"/>
      <c r="BN1091" s="160"/>
      <c r="BO1091" s="161"/>
      <c r="BP1091" s="161"/>
    </row>
    <row r="1092" spans="1:68" ht="51">
      <c r="A1092" s="210"/>
      <c r="B1092" s="195" t="s">
        <v>7741</v>
      </c>
      <c r="C1092" s="196" t="s">
        <v>7742</v>
      </c>
      <c r="D1092" s="146" t="s">
        <v>4692</v>
      </c>
      <c r="E1092" s="196" t="s">
        <v>7742</v>
      </c>
      <c r="F1092" s="150">
        <v>0</v>
      </c>
      <c r="G1092" s="209">
        <v>63061.04</v>
      </c>
      <c r="H1092" s="209">
        <v>-33718.230000000003</v>
      </c>
      <c r="I1092" s="209">
        <v>29342.809999999998</v>
      </c>
      <c r="J1092" s="150">
        <v>0</v>
      </c>
      <c r="K1092" s="150">
        <v>0</v>
      </c>
      <c r="L1092" s="150">
        <f t="shared" si="1019"/>
        <v>0</v>
      </c>
      <c r="M1092" s="150">
        <v>0</v>
      </c>
      <c r="N1092" s="150">
        <v>0</v>
      </c>
      <c r="O1092" s="150">
        <v>0</v>
      </c>
      <c r="P1092" s="150">
        <v>0</v>
      </c>
      <c r="Q1092" s="150">
        <v>0</v>
      </c>
      <c r="R1092" s="313">
        <f t="shared" si="1038"/>
        <v>0</v>
      </c>
      <c r="S1092" s="150">
        <f t="shared" ref="S1092:S1155" si="1050">R1092/9*12</f>
        <v>0</v>
      </c>
      <c r="T1092" s="150"/>
      <c r="U1092" s="150">
        <v>0</v>
      </c>
      <c r="V1092" s="199">
        <v>0</v>
      </c>
      <c r="W1092" s="150">
        <f t="shared" si="1044"/>
        <v>0</v>
      </c>
      <c r="X1092" s="150">
        <v>0</v>
      </c>
      <c r="Y1092" s="150">
        <v>0</v>
      </c>
      <c r="Z1092" s="150">
        <v>0</v>
      </c>
      <c r="AA1092" s="150">
        <f t="shared" si="1045"/>
        <v>0</v>
      </c>
      <c r="AB1092" s="150">
        <v>0</v>
      </c>
      <c r="AC1092" s="199">
        <v>0</v>
      </c>
      <c r="AD1092" s="150">
        <f t="shared" si="1039"/>
        <v>0</v>
      </c>
      <c r="AE1092" s="150">
        <v>0</v>
      </c>
      <c r="AF1092" s="169" t="s">
        <v>4680</v>
      </c>
      <c r="AG1092" s="201">
        <v>0</v>
      </c>
      <c r="AH1092" s="199">
        <v>0</v>
      </c>
      <c r="AI1092" s="150">
        <v>0</v>
      </c>
      <c r="AJ1092" s="169">
        <f t="shared" si="1046"/>
        <v>0</v>
      </c>
      <c r="AK1092" s="201">
        <v>0</v>
      </c>
      <c r="AL1092" s="199">
        <v>0</v>
      </c>
      <c r="AM1092" s="150">
        <f t="shared" si="1040"/>
        <v>0</v>
      </c>
      <c r="AN1092" s="153">
        <f t="shared" si="1047"/>
        <v>0</v>
      </c>
      <c r="AO1092" s="154">
        <f t="shared" si="1048"/>
        <v>0</v>
      </c>
      <c r="AP1092" s="150">
        <v>0</v>
      </c>
      <c r="AQ1092" s="201">
        <v>0</v>
      </c>
      <c r="AR1092" s="199">
        <v>0</v>
      </c>
      <c r="AS1092" s="150">
        <f t="shared" si="1041"/>
        <v>0</v>
      </c>
      <c r="AT1092" s="155"/>
      <c r="AU1092" s="156">
        <f t="shared" si="1042"/>
        <v>0</v>
      </c>
      <c r="AV1092" s="156">
        <f t="shared" si="1043"/>
        <v>0</v>
      </c>
      <c r="AW1092" s="157"/>
      <c r="AX1092" s="150">
        <v>0</v>
      </c>
      <c r="AY1092" s="150">
        <v>0</v>
      </c>
      <c r="AZ1092" s="150">
        <f t="shared" si="1049"/>
        <v>0</v>
      </c>
      <c r="BA1092" s="313">
        <v>0</v>
      </c>
      <c r="BB1092" s="210"/>
      <c r="BC1092" s="210"/>
      <c r="BD1092" s="210"/>
      <c r="BE1092" s="210"/>
      <c r="BF1092" s="210"/>
      <c r="BG1092" s="210"/>
      <c r="BH1092" s="217"/>
      <c r="BI1092" s="210"/>
      <c r="BJ1092" s="210"/>
      <c r="BK1092" s="210"/>
      <c r="BL1092" s="210"/>
      <c r="BM1092" s="208"/>
      <c r="BN1092" s="160"/>
      <c r="BO1092" s="161"/>
      <c r="BP1092" s="161"/>
    </row>
    <row r="1093" spans="1:68" ht="51">
      <c r="A1093" s="210"/>
      <c r="B1093" s="195" t="s">
        <v>7743</v>
      </c>
      <c r="C1093" s="196" t="s">
        <v>7744</v>
      </c>
      <c r="D1093" s="146" t="s">
        <v>4692</v>
      </c>
      <c r="E1093" s="196" t="s">
        <v>7745</v>
      </c>
      <c r="F1093" s="150">
        <v>29227.32</v>
      </c>
      <c r="G1093" s="209">
        <v>409549.57</v>
      </c>
      <c r="H1093" s="209">
        <v>-114949.59</v>
      </c>
      <c r="I1093" s="209">
        <v>294599.98</v>
      </c>
      <c r="J1093" s="150">
        <v>14567.4</v>
      </c>
      <c r="K1093" s="150">
        <v>0</v>
      </c>
      <c r="L1093" s="150">
        <f t="shared" si="1019"/>
        <v>14567.4</v>
      </c>
      <c r="M1093" s="150">
        <v>23067.48</v>
      </c>
      <c r="N1093" s="150">
        <v>-11221</v>
      </c>
      <c r="O1093" s="150">
        <v>11846.48</v>
      </c>
      <c r="P1093" s="150">
        <v>30675.72</v>
      </c>
      <c r="Q1093" s="150">
        <v>-14769</v>
      </c>
      <c r="R1093" s="313">
        <f t="shared" si="1038"/>
        <v>15906.720000000001</v>
      </c>
      <c r="S1093" s="150">
        <f t="shared" si="1050"/>
        <v>21208.959999999999</v>
      </c>
      <c r="T1093" s="150"/>
      <c r="U1093" s="150">
        <v>39561.81</v>
      </c>
      <c r="V1093" s="199">
        <v>-36711.849999999991</v>
      </c>
      <c r="W1093" s="150">
        <f t="shared" si="1044"/>
        <v>2849.9600000000064</v>
      </c>
      <c r="X1093" s="150">
        <v>39561.81</v>
      </c>
      <c r="Y1093" s="150">
        <v>-36711.849999999991</v>
      </c>
      <c r="Z1093" s="150">
        <v>2849.9600000000064</v>
      </c>
      <c r="AA1093" s="150">
        <f t="shared" si="1045"/>
        <v>18352.849999999991</v>
      </c>
      <c r="AB1093" s="150">
        <v>39561.81</v>
      </c>
      <c r="AC1093" s="199">
        <v>-18359</v>
      </c>
      <c r="AD1093" s="150">
        <f t="shared" si="1039"/>
        <v>21202.809999999998</v>
      </c>
      <c r="AE1093" s="150">
        <v>21202.809999999998</v>
      </c>
      <c r="AF1093" s="169" t="s">
        <v>4680</v>
      </c>
      <c r="AG1093" s="201">
        <v>39561.81</v>
      </c>
      <c r="AH1093" s="199">
        <v>-18359</v>
      </c>
      <c r="AI1093" s="150">
        <v>21202.809999999998</v>
      </c>
      <c r="AJ1093" s="169">
        <f t="shared" si="1046"/>
        <v>0</v>
      </c>
      <c r="AK1093" s="201">
        <v>39561.81</v>
      </c>
      <c r="AL1093" s="199">
        <v>-18359</v>
      </c>
      <c r="AM1093" s="150">
        <f t="shared" si="1040"/>
        <v>21202.809999999998</v>
      </c>
      <c r="AN1093" s="153">
        <f t="shared" si="1047"/>
        <v>1324.7000000000007</v>
      </c>
      <c r="AO1093" s="154">
        <f t="shared" si="1048"/>
        <v>1324.7000000000007</v>
      </c>
      <c r="AP1093" s="150">
        <v>21202.809999999998</v>
      </c>
      <c r="AQ1093" s="201">
        <v>22527.51</v>
      </c>
      <c r="AR1093" s="199"/>
      <c r="AS1093" s="150">
        <f t="shared" si="1041"/>
        <v>22527.51</v>
      </c>
      <c r="AT1093" s="155"/>
      <c r="AU1093" s="156">
        <f t="shared" si="1042"/>
        <v>0</v>
      </c>
      <c r="AV1093" s="156">
        <f t="shared" si="1043"/>
        <v>18352.849999999991</v>
      </c>
      <c r="AW1093" s="157"/>
      <c r="AX1093" s="150">
        <v>2849.9600000000064</v>
      </c>
      <c r="AY1093" s="150">
        <v>24901.4</v>
      </c>
      <c r="AZ1093" s="150">
        <f t="shared" si="1049"/>
        <v>-1208.4400000000023</v>
      </c>
      <c r="BA1093" s="313">
        <v>23692.959999999999</v>
      </c>
      <c r="BB1093" s="210"/>
      <c r="BC1093" s="210"/>
      <c r="BD1093" s="210"/>
      <c r="BE1093" s="210"/>
      <c r="BF1093" s="210"/>
      <c r="BG1093" s="210"/>
      <c r="BH1093" s="217"/>
      <c r="BI1093" s="210"/>
      <c r="BJ1093" s="210"/>
      <c r="BK1093" s="210"/>
      <c r="BL1093" s="210"/>
      <c r="BM1093" s="208"/>
      <c r="BN1093" s="160"/>
      <c r="BO1093" s="161"/>
      <c r="BP1093" s="161"/>
    </row>
    <row r="1094" spans="1:68" ht="38.25">
      <c r="A1094" s="210"/>
      <c r="B1094" s="195" t="s">
        <v>7746</v>
      </c>
      <c r="C1094" s="196" t="s">
        <v>7747</v>
      </c>
      <c r="D1094" s="146" t="s">
        <v>4692</v>
      </c>
      <c r="E1094" s="196" t="s">
        <v>7748</v>
      </c>
      <c r="F1094" s="150">
        <v>284121.06</v>
      </c>
      <c r="G1094" s="209">
        <v>0</v>
      </c>
      <c r="H1094" s="209">
        <v>0</v>
      </c>
      <c r="I1094" s="209">
        <v>0</v>
      </c>
      <c r="J1094" s="150">
        <v>93978.34</v>
      </c>
      <c r="K1094" s="150">
        <v>0</v>
      </c>
      <c r="L1094" s="150">
        <f t="shared" si="1019"/>
        <v>93978.34</v>
      </c>
      <c r="M1094" s="150">
        <v>180285.05</v>
      </c>
      <c r="N1094" s="150">
        <v>-48563</v>
      </c>
      <c r="O1094" s="150">
        <v>131722.04999999999</v>
      </c>
      <c r="P1094" s="150">
        <v>272243.20000000001</v>
      </c>
      <c r="Q1094" s="150">
        <v>-71556</v>
      </c>
      <c r="R1094" s="313">
        <f t="shared" si="1038"/>
        <v>200687.2</v>
      </c>
      <c r="S1094" s="150">
        <f t="shared" si="1050"/>
        <v>267582.93333333335</v>
      </c>
      <c r="T1094" s="150"/>
      <c r="U1094" s="150">
        <v>378266.2</v>
      </c>
      <c r="V1094" s="199">
        <v>-146448.82666666666</v>
      </c>
      <c r="W1094" s="150">
        <f t="shared" si="1044"/>
        <v>231817.37333333335</v>
      </c>
      <c r="X1094" s="150">
        <v>378266.2</v>
      </c>
      <c r="Y1094" s="150">
        <v>-146448.82666666666</v>
      </c>
      <c r="Z1094" s="150">
        <v>231817.37333333335</v>
      </c>
      <c r="AA1094" s="150">
        <f t="shared" si="1045"/>
        <v>51684.82666666666</v>
      </c>
      <c r="AB1094" s="150">
        <v>378266.2</v>
      </c>
      <c r="AC1094" s="199">
        <v>-94764</v>
      </c>
      <c r="AD1094" s="150">
        <f t="shared" si="1039"/>
        <v>283502.2</v>
      </c>
      <c r="AE1094" s="150">
        <v>283502.2</v>
      </c>
      <c r="AF1094" s="169" t="s">
        <v>4680</v>
      </c>
      <c r="AG1094" s="201">
        <v>378266.2</v>
      </c>
      <c r="AH1094" s="199">
        <v>-94764</v>
      </c>
      <c r="AI1094" s="150">
        <v>283502.2</v>
      </c>
      <c r="AJ1094" s="169">
        <f t="shared" si="1046"/>
        <v>0</v>
      </c>
      <c r="AK1094" s="201">
        <v>378266.2</v>
      </c>
      <c r="AL1094" s="199">
        <v>-94764</v>
      </c>
      <c r="AM1094" s="150">
        <f t="shared" si="1040"/>
        <v>283502.2</v>
      </c>
      <c r="AN1094" s="153">
        <f t="shared" si="1047"/>
        <v>33051.539999999979</v>
      </c>
      <c r="AO1094" s="154">
        <f t="shared" si="1048"/>
        <v>33051.539999999979</v>
      </c>
      <c r="AP1094" s="150">
        <v>283502.2</v>
      </c>
      <c r="AQ1094" s="201">
        <v>316553.74</v>
      </c>
      <c r="AR1094" s="199"/>
      <c r="AS1094" s="150">
        <f t="shared" si="1041"/>
        <v>316553.74</v>
      </c>
      <c r="AT1094" s="155"/>
      <c r="AU1094" s="156">
        <f t="shared" si="1042"/>
        <v>0</v>
      </c>
      <c r="AV1094" s="156">
        <f t="shared" si="1043"/>
        <v>51684.82666666666</v>
      </c>
      <c r="AW1094" s="157"/>
      <c r="AX1094" s="150">
        <v>231817.37333333335</v>
      </c>
      <c r="AY1094" s="150">
        <v>206313.27</v>
      </c>
      <c r="AZ1094" s="150">
        <f t="shared" si="1049"/>
        <v>57130.829999999987</v>
      </c>
      <c r="BA1094" s="313">
        <v>263444.09999999998</v>
      </c>
      <c r="BB1094" s="210"/>
      <c r="BC1094" s="210"/>
      <c r="BD1094" s="210"/>
      <c r="BE1094" s="210"/>
      <c r="BF1094" s="210"/>
      <c r="BG1094" s="210"/>
      <c r="BH1094" s="217"/>
      <c r="BI1094" s="210"/>
      <c r="BJ1094" s="210"/>
      <c r="BK1094" s="210"/>
      <c r="BL1094" s="210"/>
      <c r="BM1094" s="208"/>
      <c r="BN1094" s="160"/>
      <c r="BO1094" s="161"/>
      <c r="BP1094" s="161"/>
    </row>
    <row r="1095" spans="1:68" ht="51">
      <c r="A1095" s="210"/>
      <c r="B1095" s="195" t="s">
        <v>7749</v>
      </c>
      <c r="C1095" s="196" t="s">
        <v>7750</v>
      </c>
      <c r="D1095" s="146" t="s">
        <v>4692</v>
      </c>
      <c r="E1095" s="196" t="s">
        <v>7751</v>
      </c>
      <c r="F1095" s="150">
        <v>0</v>
      </c>
      <c r="G1095" s="209">
        <v>0</v>
      </c>
      <c r="H1095" s="209">
        <v>0</v>
      </c>
      <c r="I1095" s="209">
        <v>0</v>
      </c>
      <c r="J1095" s="150">
        <v>0</v>
      </c>
      <c r="K1095" s="150">
        <v>0</v>
      </c>
      <c r="L1095" s="150">
        <f t="shared" si="1019"/>
        <v>0</v>
      </c>
      <c r="M1095" s="150">
        <v>0</v>
      </c>
      <c r="N1095" s="150">
        <v>0</v>
      </c>
      <c r="O1095" s="150">
        <v>0</v>
      </c>
      <c r="P1095" s="150">
        <v>0</v>
      </c>
      <c r="Q1095" s="150">
        <v>0</v>
      </c>
      <c r="R1095" s="313">
        <f t="shared" si="1038"/>
        <v>0</v>
      </c>
      <c r="S1095" s="150">
        <f t="shared" si="1050"/>
        <v>0</v>
      </c>
      <c r="T1095" s="150"/>
      <c r="U1095" s="150">
        <v>0</v>
      </c>
      <c r="V1095" s="199">
        <v>0</v>
      </c>
      <c r="W1095" s="150">
        <f t="shared" si="1044"/>
        <v>0</v>
      </c>
      <c r="X1095" s="150">
        <v>0</v>
      </c>
      <c r="Y1095" s="150">
        <v>0</v>
      </c>
      <c r="Z1095" s="150">
        <v>0</v>
      </c>
      <c r="AA1095" s="150">
        <f t="shared" si="1045"/>
        <v>0</v>
      </c>
      <c r="AB1095" s="150">
        <v>0</v>
      </c>
      <c r="AC1095" s="199">
        <v>0</v>
      </c>
      <c r="AD1095" s="150">
        <f t="shared" si="1039"/>
        <v>0</v>
      </c>
      <c r="AE1095" s="150">
        <v>0</v>
      </c>
      <c r="AF1095" s="169" t="s">
        <v>4680</v>
      </c>
      <c r="AG1095" s="201">
        <v>0</v>
      </c>
      <c r="AH1095" s="199">
        <v>0</v>
      </c>
      <c r="AI1095" s="150">
        <v>0</v>
      </c>
      <c r="AJ1095" s="169">
        <f t="shared" si="1046"/>
        <v>0</v>
      </c>
      <c r="AK1095" s="201">
        <v>0</v>
      </c>
      <c r="AL1095" s="199">
        <v>0</v>
      </c>
      <c r="AM1095" s="150">
        <f t="shared" si="1040"/>
        <v>0</v>
      </c>
      <c r="AN1095" s="153">
        <f t="shared" si="1047"/>
        <v>0</v>
      </c>
      <c r="AO1095" s="154">
        <f t="shared" si="1048"/>
        <v>0</v>
      </c>
      <c r="AP1095" s="150">
        <v>0</v>
      </c>
      <c r="AQ1095" s="201">
        <v>0</v>
      </c>
      <c r="AR1095" s="199">
        <v>0</v>
      </c>
      <c r="AS1095" s="150">
        <f t="shared" si="1041"/>
        <v>0</v>
      </c>
      <c r="AT1095" s="155"/>
      <c r="AU1095" s="156">
        <f t="shared" si="1042"/>
        <v>0</v>
      </c>
      <c r="AV1095" s="156">
        <f t="shared" si="1043"/>
        <v>0</v>
      </c>
      <c r="AW1095" s="157"/>
      <c r="AX1095" s="150">
        <v>0</v>
      </c>
      <c r="AY1095" s="150">
        <v>0</v>
      </c>
      <c r="AZ1095" s="150">
        <f t="shared" si="1049"/>
        <v>0</v>
      </c>
      <c r="BA1095" s="313">
        <v>0</v>
      </c>
      <c r="BB1095" s="210"/>
      <c r="BC1095" s="210"/>
      <c r="BD1095" s="210"/>
      <c r="BE1095" s="210"/>
      <c r="BF1095" s="210"/>
      <c r="BG1095" s="210"/>
      <c r="BH1095" s="217"/>
      <c r="BI1095" s="210"/>
      <c r="BJ1095" s="210"/>
      <c r="BK1095" s="210"/>
      <c r="BL1095" s="210"/>
      <c r="BM1095" s="208"/>
      <c r="BN1095" s="160"/>
      <c r="BO1095" s="161">
        <f t="shared" ref="BO1095:BO1156" si="1051">BM1095-AS1095</f>
        <v>0</v>
      </c>
      <c r="BP1095" s="161"/>
    </row>
    <row r="1096" spans="1:68" ht="51">
      <c r="A1096" s="210"/>
      <c r="B1096" s="195" t="s">
        <v>7752</v>
      </c>
      <c r="C1096" s="196" t="s">
        <v>7753</v>
      </c>
      <c r="D1096" s="146" t="s">
        <v>4692</v>
      </c>
      <c r="E1096" s="196" t="s">
        <v>7753</v>
      </c>
      <c r="F1096" s="150">
        <v>0</v>
      </c>
      <c r="G1096" s="209">
        <v>0</v>
      </c>
      <c r="H1096" s="209">
        <v>0</v>
      </c>
      <c r="I1096" s="209">
        <v>0</v>
      </c>
      <c r="J1096" s="150">
        <v>0</v>
      </c>
      <c r="K1096" s="150">
        <v>0</v>
      </c>
      <c r="L1096" s="150">
        <f t="shared" si="1019"/>
        <v>0</v>
      </c>
      <c r="M1096" s="150">
        <v>0</v>
      </c>
      <c r="N1096" s="150">
        <v>0</v>
      </c>
      <c r="O1096" s="150">
        <v>0</v>
      </c>
      <c r="P1096" s="150">
        <v>0</v>
      </c>
      <c r="Q1096" s="150">
        <v>0</v>
      </c>
      <c r="R1096" s="313">
        <f t="shared" si="1038"/>
        <v>0</v>
      </c>
      <c r="S1096" s="150">
        <f t="shared" si="1050"/>
        <v>0</v>
      </c>
      <c r="T1096" s="150"/>
      <c r="U1096" s="150">
        <v>0</v>
      </c>
      <c r="V1096" s="199">
        <v>0</v>
      </c>
      <c r="W1096" s="150">
        <f t="shared" si="1044"/>
        <v>0</v>
      </c>
      <c r="X1096" s="150">
        <v>0</v>
      </c>
      <c r="Y1096" s="150">
        <v>0</v>
      </c>
      <c r="Z1096" s="150">
        <v>0</v>
      </c>
      <c r="AA1096" s="150">
        <f t="shared" si="1045"/>
        <v>0</v>
      </c>
      <c r="AB1096" s="150">
        <v>0</v>
      </c>
      <c r="AC1096" s="199">
        <v>0</v>
      </c>
      <c r="AD1096" s="150">
        <f t="shared" si="1039"/>
        <v>0</v>
      </c>
      <c r="AE1096" s="150">
        <v>0</v>
      </c>
      <c r="AF1096" s="169" t="s">
        <v>4680</v>
      </c>
      <c r="AG1096" s="201">
        <v>0</v>
      </c>
      <c r="AH1096" s="199">
        <v>0</v>
      </c>
      <c r="AI1096" s="150">
        <v>0</v>
      </c>
      <c r="AJ1096" s="169">
        <f t="shared" si="1046"/>
        <v>0</v>
      </c>
      <c r="AK1096" s="201">
        <v>0</v>
      </c>
      <c r="AL1096" s="199">
        <v>0</v>
      </c>
      <c r="AM1096" s="150">
        <f t="shared" si="1040"/>
        <v>0</v>
      </c>
      <c r="AN1096" s="153">
        <f t="shared" si="1047"/>
        <v>0</v>
      </c>
      <c r="AO1096" s="154">
        <f t="shared" si="1048"/>
        <v>0</v>
      </c>
      <c r="AP1096" s="150">
        <v>0</v>
      </c>
      <c r="AQ1096" s="201">
        <v>0</v>
      </c>
      <c r="AR1096" s="199">
        <v>0</v>
      </c>
      <c r="AS1096" s="150">
        <f t="shared" si="1041"/>
        <v>0</v>
      </c>
      <c r="AT1096" s="155"/>
      <c r="AU1096" s="156">
        <f t="shared" si="1042"/>
        <v>0</v>
      </c>
      <c r="AV1096" s="156">
        <f t="shared" si="1043"/>
        <v>0</v>
      </c>
      <c r="AW1096" s="157"/>
      <c r="AX1096" s="150">
        <v>0</v>
      </c>
      <c r="AY1096" s="150">
        <v>0</v>
      </c>
      <c r="AZ1096" s="150">
        <f t="shared" si="1049"/>
        <v>0</v>
      </c>
      <c r="BA1096" s="313">
        <v>0</v>
      </c>
      <c r="BB1096" s="210"/>
      <c r="BC1096" s="210"/>
      <c r="BD1096" s="210"/>
      <c r="BE1096" s="210"/>
      <c r="BF1096" s="210"/>
      <c r="BG1096" s="210"/>
      <c r="BH1096" s="217"/>
      <c r="BI1096" s="210"/>
      <c r="BJ1096" s="210"/>
      <c r="BK1096" s="210"/>
      <c r="BL1096" s="210"/>
      <c r="BM1096" s="208"/>
      <c r="BN1096" s="160"/>
      <c r="BO1096" s="161">
        <f t="shared" si="1051"/>
        <v>0</v>
      </c>
      <c r="BP1096" s="161"/>
    </row>
    <row r="1097" spans="1:68" ht="38.25">
      <c r="A1097" s="210"/>
      <c r="B1097" s="195" t="s">
        <v>7754</v>
      </c>
      <c r="C1097" s="196" t="s">
        <v>7755</v>
      </c>
      <c r="D1097" s="146" t="s">
        <v>4692</v>
      </c>
      <c r="E1097" s="196" t="s">
        <v>7755</v>
      </c>
      <c r="F1097" s="150">
        <v>0</v>
      </c>
      <c r="G1097" s="209">
        <v>0</v>
      </c>
      <c r="H1097" s="209">
        <v>0</v>
      </c>
      <c r="I1097" s="209">
        <v>0</v>
      </c>
      <c r="J1097" s="150">
        <v>0</v>
      </c>
      <c r="K1097" s="150">
        <v>0</v>
      </c>
      <c r="L1097" s="150">
        <f t="shared" si="1019"/>
        <v>0</v>
      </c>
      <c r="M1097" s="150">
        <v>0</v>
      </c>
      <c r="N1097" s="150">
        <v>0</v>
      </c>
      <c r="O1097" s="150">
        <v>0</v>
      </c>
      <c r="P1097" s="150">
        <v>0</v>
      </c>
      <c r="Q1097" s="150">
        <v>0</v>
      </c>
      <c r="R1097" s="313">
        <f t="shared" si="1038"/>
        <v>0</v>
      </c>
      <c r="S1097" s="150">
        <f t="shared" si="1050"/>
        <v>0</v>
      </c>
      <c r="T1097" s="150"/>
      <c r="U1097" s="150">
        <v>0</v>
      </c>
      <c r="V1097" s="199">
        <v>0</v>
      </c>
      <c r="W1097" s="150">
        <f t="shared" si="1044"/>
        <v>0</v>
      </c>
      <c r="X1097" s="150">
        <v>0</v>
      </c>
      <c r="Y1097" s="150">
        <v>0</v>
      </c>
      <c r="Z1097" s="150">
        <v>0</v>
      </c>
      <c r="AA1097" s="150">
        <f t="shared" si="1045"/>
        <v>0</v>
      </c>
      <c r="AB1097" s="150">
        <v>0</v>
      </c>
      <c r="AC1097" s="199">
        <v>0</v>
      </c>
      <c r="AD1097" s="150">
        <f t="shared" si="1039"/>
        <v>0</v>
      </c>
      <c r="AE1097" s="150">
        <v>0</v>
      </c>
      <c r="AF1097" s="169" t="s">
        <v>4680</v>
      </c>
      <c r="AG1097" s="201">
        <v>0</v>
      </c>
      <c r="AH1097" s="199">
        <v>0</v>
      </c>
      <c r="AI1097" s="150">
        <v>0</v>
      </c>
      <c r="AJ1097" s="169">
        <f t="shared" si="1046"/>
        <v>0</v>
      </c>
      <c r="AK1097" s="201">
        <v>0</v>
      </c>
      <c r="AL1097" s="199">
        <v>0</v>
      </c>
      <c r="AM1097" s="150">
        <f t="shared" si="1040"/>
        <v>0</v>
      </c>
      <c r="AN1097" s="153">
        <f t="shared" si="1047"/>
        <v>0</v>
      </c>
      <c r="AO1097" s="154">
        <f t="shared" si="1048"/>
        <v>0</v>
      </c>
      <c r="AP1097" s="150">
        <v>0</v>
      </c>
      <c r="AQ1097" s="201">
        <v>0</v>
      </c>
      <c r="AR1097" s="199">
        <v>0</v>
      </c>
      <c r="AS1097" s="150">
        <f t="shared" si="1041"/>
        <v>0</v>
      </c>
      <c r="AT1097" s="155"/>
      <c r="AU1097" s="156">
        <f t="shared" si="1042"/>
        <v>0</v>
      </c>
      <c r="AV1097" s="156">
        <f t="shared" si="1043"/>
        <v>0</v>
      </c>
      <c r="AW1097" s="157"/>
      <c r="AX1097" s="150">
        <v>0</v>
      </c>
      <c r="AY1097" s="150">
        <v>0</v>
      </c>
      <c r="AZ1097" s="150">
        <f t="shared" si="1049"/>
        <v>0</v>
      </c>
      <c r="BA1097" s="313">
        <v>0</v>
      </c>
      <c r="BB1097" s="210"/>
      <c r="BC1097" s="210"/>
      <c r="BD1097" s="210"/>
      <c r="BE1097" s="210"/>
      <c r="BF1097" s="210"/>
      <c r="BG1097" s="210"/>
      <c r="BH1097" s="217"/>
      <c r="BI1097" s="210"/>
      <c r="BJ1097" s="210"/>
      <c r="BK1097" s="210"/>
      <c r="BL1097" s="210"/>
      <c r="BM1097" s="208"/>
      <c r="BN1097" s="160"/>
      <c r="BO1097" s="161">
        <f t="shared" si="1051"/>
        <v>0</v>
      </c>
      <c r="BP1097" s="161"/>
    </row>
    <row r="1098" spans="1:68" ht="51">
      <c r="A1098" s="210"/>
      <c r="B1098" s="195" t="s">
        <v>7756</v>
      </c>
      <c r="C1098" s="196" t="s">
        <v>7757</v>
      </c>
      <c r="D1098" s="146" t="s">
        <v>4692</v>
      </c>
      <c r="E1098" s="196" t="s">
        <v>7757</v>
      </c>
      <c r="F1098" s="150">
        <v>0</v>
      </c>
      <c r="G1098" s="209">
        <v>0</v>
      </c>
      <c r="H1098" s="209">
        <v>0</v>
      </c>
      <c r="I1098" s="209">
        <v>0</v>
      </c>
      <c r="J1098" s="150">
        <v>0</v>
      </c>
      <c r="K1098" s="150">
        <v>0</v>
      </c>
      <c r="L1098" s="150">
        <f t="shared" ref="L1098:L1161" si="1052">J1098+K1098</f>
        <v>0</v>
      </c>
      <c r="M1098" s="150">
        <v>0</v>
      </c>
      <c r="N1098" s="150">
        <v>0</v>
      </c>
      <c r="O1098" s="150">
        <v>0</v>
      </c>
      <c r="P1098" s="150">
        <v>0</v>
      </c>
      <c r="Q1098" s="150">
        <v>0</v>
      </c>
      <c r="R1098" s="313">
        <f t="shared" si="1038"/>
        <v>0</v>
      </c>
      <c r="S1098" s="150">
        <f t="shared" si="1050"/>
        <v>0</v>
      </c>
      <c r="T1098" s="150"/>
      <c r="U1098" s="150">
        <v>0</v>
      </c>
      <c r="V1098" s="199">
        <v>0</v>
      </c>
      <c r="W1098" s="150">
        <f t="shared" si="1044"/>
        <v>0</v>
      </c>
      <c r="X1098" s="150">
        <v>0</v>
      </c>
      <c r="Y1098" s="150">
        <v>0</v>
      </c>
      <c r="Z1098" s="150">
        <v>0</v>
      </c>
      <c r="AA1098" s="150">
        <f t="shared" si="1045"/>
        <v>0</v>
      </c>
      <c r="AB1098" s="150">
        <v>0</v>
      </c>
      <c r="AC1098" s="199">
        <v>0</v>
      </c>
      <c r="AD1098" s="150">
        <f t="shared" si="1039"/>
        <v>0</v>
      </c>
      <c r="AE1098" s="150">
        <v>0</v>
      </c>
      <c r="AF1098" s="169" t="s">
        <v>4680</v>
      </c>
      <c r="AG1098" s="201">
        <v>0</v>
      </c>
      <c r="AH1098" s="199">
        <v>0</v>
      </c>
      <c r="AI1098" s="150">
        <v>0</v>
      </c>
      <c r="AJ1098" s="169">
        <f t="shared" si="1046"/>
        <v>0</v>
      </c>
      <c r="AK1098" s="201">
        <v>0</v>
      </c>
      <c r="AL1098" s="199">
        <v>0</v>
      </c>
      <c r="AM1098" s="150">
        <f t="shared" si="1040"/>
        <v>0</v>
      </c>
      <c r="AN1098" s="153">
        <f t="shared" si="1047"/>
        <v>0</v>
      </c>
      <c r="AO1098" s="154">
        <f t="shared" si="1048"/>
        <v>0</v>
      </c>
      <c r="AP1098" s="150">
        <v>0</v>
      </c>
      <c r="AQ1098" s="201">
        <v>0</v>
      </c>
      <c r="AR1098" s="199">
        <v>0</v>
      </c>
      <c r="AS1098" s="150">
        <f t="shared" si="1041"/>
        <v>0</v>
      </c>
      <c r="AT1098" s="155"/>
      <c r="AU1098" s="156">
        <f t="shared" si="1042"/>
        <v>0</v>
      </c>
      <c r="AV1098" s="156">
        <f t="shared" si="1043"/>
        <v>0</v>
      </c>
      <c r="AW1098" s="157"/>
      <c r="AX1098" s="150">
        <v>0</v>
      </c>
      <c r="AY1098" s="150">
        <v>0</v>
      </c>
      <c r="AZ1098" s="150">
        <f t="shared" si="1049"/>
        <v>0</v>
      </c>
      <c r="BA1098" s="313">
        <v>0</v>
      </c>
      <c r="BB1098" s="210"/>
      <c r="BC1098" s="210"/>
      <c r="BD1098" s="210"/>
      <c r="BE1098" s="210"/>
      <c r="BF1098" s="210"/>
      <c r="BG1098" s="210"/>
      <c r="BH1098" s="217"/>
      <c r="BI1098" s="210"/>
      <c r="BJ1098" s="210"/>
      <c r="BK1098" s="210"/>
      <c r="BL1098" s="210"/>
      <c r="BM1098" s="208"/>
      <c r="BN1098" s="160"/>
      <c r="BO1098" s="161">
        <f t="shared" si="1051"/>
        <v>0</v>
      </c>
      <c r="BP1098" s="161"/>
    </row>
    <row r="1099" spans="1:68" ht="51">
      <c r="A1099" s="210"/>
      <c r="B1099" s="195" t="s">
        <v>7758</v>
      </c>
      <c r="C1099" s="196" t="s">
        <v>7759</v>
      </c>
      <c r="D1099" s="146" t="s">
        <v>4692</v>
      </c>
      <c r="E1099" s="196" t="s">
        <v>7759</v>
      </c>
      <c r="F1099" s="150">
        <v>0</v>
      </c>
      <c r="G1099" s="209">
        <v>0</v>
      </c>
      <c r="H1099" s="209">
        <v>0</v>
      </c>
      <c r="I1099" s="209">
        <v>0</v>
      </c>
      <c r="J1099" s="150">
        <v>0</v>
      </c>
      <c r="K1099" s="150">
        <v>0</v>
      </c>
      <c r="L1099" s="150">
        <f t="shared" si="1052"/>
        <v>0</v>
      </c>
      <c r="M1099" s="150">
        <v>0</v>
      </c>
      <c r="N1099" s="150">
        <v>0</v>
      </c>
      <c r="O1099" s="150">
        <v>0</v>
      </c>
      <c r="P1099" s="150">
        <v>0</v>
      </c>
      <c r="Q1099" s="150">
        <v>0</v>
      </c>
      <c r="R1099" s="313">
        <f t="shared" si="1038"/>
        <v>0</v>
      </c>
      <c r="S1099" s="150">
        <f t="shared" si="1050"/>
        <v>0</v>
      </c>
      <c r="T1099" s="150"/>
      <c r="U1099" s="150">
        <v>0</v>
      </c>
      <c r="V1099" s="199">
        <v>0</v>
      </c>
      <c r="W1099" s="150">
        <f t="shared" si="1044"/>
        <v>0</v>
      </c>
      <c r="X1099" s="150">
        <v>0</v>
      </c>
      <c r="Y1099" s="150">
        <v>0</v>
      </c>
      <c r="Z1099" s="150">
        <v>0</v>
      </c>
      <c r="AA1099" s="150">
        <f t="shared" si="1045"/>
        <v>0</v>
      </c>
      <c r="AB1099" s="150">
        <v>0</v>
      </c>
      <c r="AC1099" s="199">
        <v>0</v>
      </c>
      <c r="AD1099" s="150">
        <f t="shared" si="1039"/>
        <v>0</v>
      </c>
      <c r="AE1099" s="150">
        <v>0</v>
      </c>
      <c r="AF1099" s="169" t="s">
        <v>4680</v>
      </c>
      <c r="AG1099" s="201">
        <v>0</v>
      </c>
      <c r="AH1099" s="199">
        <v>0</v>
      </c>
      <c r="AI1099" s="150">
        <v>0</v>
      </c>
      <c r="AJ1099" s="169">
        <f t="shared" si="1046"/>
        <v>0</v>
      </c>
      <c r="AK1099" s="201">
        <v>0</v>
      </c>
      <c r="AL1099" s="199">
        <v>0</v>
      </c>
      <c r="AM1099" s="150">
        <f t="shared" si="1040"/>
        <v>0</v>
      </c>
      <c r="AN1099" s="153">
        <f t="shared" si="1047"/>
        <v>0</v>
      </c>
      <c r="AO1099" s="154">
        <f t="shared" si="1048"/>
        <v>0</v>
      </c>
      <c r="AP1099" s="150">
        <v>0</v>
      </c>
      <c r="AQ1099" s="201">
        <v>0</v>
      </c>
      <c r="AR1099" s="199">
        <v>0</v>
      </c>
      <c r="AS1099" s="150">
        <f t="shared" si="1041"/>
        <v>0</v>
      </c>
      <c r="AT1099" s="155"/>
      <c r="AU1099" s="156">
        <f t="shared" si="1042"/>
        <v>0</v>
      </c>
      <c r="AV1099" s="156">
        <f t="shared" si="1043"/>
        <v>0</v>
      </c>
      <c r="AW1099" s="157"/>
      <c r="AX1099" s="150">
        <v>0</v>
      </c>
      <c r="AY1099" s="150">
        <v>0</v>
      </c>
      <c r="AZ1099" s="150">
        <f t="shared" si="1049"/>
        <v>0</v>
      </c>
      <c r="BA1099" s="313">
        <v>0</v>
      </c>
      <c r="BB1099" s="210"/>
      <c r="BC1099" s="210"/>
      <c r="BD1099" s="210"/>
      <c r="BE1099" s="210"/>
      <c r="BF1099" s="210"/>
      <c r="BG1099" s="210"/>
      <c r="BH1099" s="217"/>
      <c r="BI1099" s="210"/>
      <c r="BJ1099" s="210"/>
      <c r="BK1099" s="210"/>
      <c r="BL1099" s="210"/>
      <c r="BM1099" s="208"/>
      <c r="BN1099" s="160"/>
      <c r="BO1099" s="161">
        <f t="shared" si="1051"/>
        <v>0</v>
      </c>
      <c r="BP1099" s="161"/>
    </row>
    <row r="1100" spans="1:68" ht="38.25">
      <c r="A1100" s="210"/>
      <c r="B1100" s="195" t="s">
        <v>7760</v>
      </c>
      <c r="C1100" s="196" t="s">
        <v>7761</v>
      </c>
      <c r="D1100" s="146" t="s">
        <v>4692</v>
      </c>
      <c r="E1100" s="196" t="s">
        <v>7761</v>
      </c>
      <c r="F1100" s="150">
        <v>0</v>
      </c>
      <c r="G1100" s="209">
        <v>0</v>
      </c>
      <c r="H1100" s="209">
        <v>0</v>
      </c>
      <c r="I1100" s="209">
        <v>0</v>
      </c>
      <c r="J1100" s="150">
        <v>0</v>
      </c>
      <c r="K1100" s="150">
        <v>0</v>
      </c>
      <c r="L1100" s="150">
        <f t="shared" si="1052"/>
        <v>0</v>
      </c>
      <c r="M1100" s="150">
        <v>0</v>
      </c>
      <c r="N1100" s="150">
        <v>0</v>
      </c>
      <c r="O1100" s="150">
        <v>0</v>
      </c>
      <c r="P1100" s="150">
        <v>0</v>
      </c>
      <c r="Q1100" s="150">
        <v>0</v>
      </c>
      <c r="R1100" s="313">
        <f t="shared" si="1038"/>
        <v>0</v>
      </c>
      <c r="S1100" s="150">
        <f t="shared" si="1050"/>
        <v>0</v>
      </c>
      <c r="T1100" s="150"/>
      <c r="U1100" s="150">
        <v>0</v>
      </c>
      <c r="V1100" s="199">
        <v>0</v>
      </c>
      <c r="W1100" s="150">
        <f t="shared" si="1044"/>
        <v>0</v>
      </c>
      <c r="X1100" s="150">
        <v>0</v>
      </c>
      <c r="Y1100" s="150">
        <v>0</v>
      </c>
      <c r="Z1100" s="150">
        <v>0</v>
      </c>
      <c r="AA1100" s="150">
        <f t="shared" si="1045"/>
        <v>0</v>
      </c>
      <c r="AB1100" s="150">
        <v>0</v>
      </c>
      <c r="AC1100" s="199">
        <v>0</v>
      </c>
      <c r="AD1100" s="150">
        <f t="shared" si="1039"/>
        <v>0</v>
      </c>
      <c r="AE1100" s="150">
        <v>0</v>
      </c>
      <c r="AF1100" s="169" t="s">
        <v>4680</v>
      </c>
      <c r="AG1100" s="201">
        <v>0</v>
      </c>
      <c r="AH1100" s="199">
        <v>0</v>
      </c>
      <c r="AI1100" s="150">
        <v>0</v>
      </c>
      <c r="AJ1100" s="169">
        <f t="shared" si="1046"/>
        <v>0</v>
      </c>
      <c r="AK1100" s="201">
        <v>0</v>
      </c>
      <c r="AL1100" s="199">
        <v>0</v>
      </c>
      <c r="AM1100" s="150">
        <f t="shared" si="1040"/>
        <v>0</v>
      </c>
      <c r="AN1100" s="153">
        <f t="shared" si="1047"/>
        <v>0</v>
      </c>
      <c r="AO1100" s="154">
        <f t="shared" si="1048"/>
        <v>0</v>
      </c>
      <c r="AP1100" s="150">
        <v>0</v>
      </c>
      <c r="AQ1100" s="201">
        <v>0</v>
      </c>
      <c r="AR1100" s="199">
        <v>0</v>
      </c>
      <c r="AS1100" s="150">
        <f t="shared" si="1041"/>
        <v>0</v>
      </c>
      <c r="AT1100" s="155"/>
      <c r="AU1100" s="156">
        <f t="shared" si="1042"/>
        <v>0</v>
      </c>
      <c r="AV1100" s="156">
        <f t="shared" si="1043"/>
        <v>0</v>
      </c>
      <c r="AW1100" s="157"/>
      <c r="AX1100" s="150">
        <v>0</v>
      </c>
      <c r="AY1100" s="150">
        <v>0</v>
      </c>
      <c r="AZ1100" s="150">
        <f t="shared" si="1049"/>
        <v>0</v>
      </c>
      <c r="BA1100" s="313">
        <v>0</v>
      </c>
      <c r="BB1100" s="210"/>
      <c r="BC1100" s="210"/>
      <c r="BD1100" s="210"/>
      <c r="BE1100" s="210"/>
      <c r="BF1100" s="210"/>
      <c r="BG1100" s="210"/>
      <c r="BH1100" s="217"/>
      <c r="BI1100" s="210"/>
      <c r="BJ1100" s="210"/>
      <c r="BK1100" s="210"/>
      <c r="BL1100" s="210"/>
      <c r="BM1100" s="208"/>
      <c r="BN1100" s="160"/>
      <c r="BO1100" s="161">
        <f t="shared" si="1051"/>
        <v>0</v>
      </c>
      <c r="BP1100" s="161"/>
    </row>
    <row r="1101" spans="1:68" ht="51">
      <c r="A1101" s="210"/>
      <c r="B1101" s="195" t="s">
        <v>7762</v>
      </c>
      <c r="C1101" s="196" t="s">
        <v>7763</v>
      </c>
      <c r="D1101" s="146" t="s">
        <v>4692</v>
      </c>
      <c r="E1101" s="196" t="s">
        <v>7763</v>
      </c>
      <c r="F1101" s="150">
        <v>0</v>
      </c>
      <c r="G1101" s="209">
        <v>0</v>
      </c>
      <c r="H1101" s="209">
        <v>0</v>
      </c>
      <c r="I1101" s="209">
        <v>0</v>
      </c>
      <c r="J1101" s="150">
        <v>0</v>
      </c>
      <c r="K1101" s="150">
        <v>0</v>
      </c>
      <c r="L1101" s="150">
        <f t="shared" si="1052"/>
        <v>0</v>
      </c>
      <c r="M1101" s="150">
        <v>0</v>
      </c>
      <c r="N1101" s="150">
        <v>0</v>
      </c>
      <c r="O1101" s="150">
        <v>0</v>
      </c>
      <c r="P1101" s="150">
        <v>0</v>
      </c>
      <c r="Q1101" s="150">
        <v>0</v>
      </c>
      <c r="R1101" s="313">
        <f t="shared" si="1038"/>
        <v>0</v>
      </c>
      <c r="S1101" s="150">
        <f t="shared" si="1050"/>
        <v>0</v>
      </c>
      <c r="T1101" s="150"/>
      <c r="U1101" s="150">
        <v>0</v>
      </c>
      <c r="V1101" s="199">
        <v>0</v>
      </c>
      <c r="W1101" s="150">
        <f t="shared" si="1044"/>
        <v>0</v>
      </c>
      <c r="X1101" s="150">
        <v>0</v>
      </c>
      <c r="Y1101" s="150">
        <v>0</v>
      </c>
      <c r="Z1101" s="150">
        <v>0</v>
      </c>
      <c r="AA1101" s="150">
        <f t="shared" si="1045"/>
        <v>0</v>
      </c>
      <c r="AB1101" s="150">
        <v>0</v>
      </c>
      <c r="AC1101" s="199">
        <v>0</v>
      </c>
      <c r="AD1101" s="150">
        <f t="shared" si="1039"/>
        <v>0</v>
      </c>
      <c r="AE1101" s="150">
        <v>0</v>
      </c>
      <c r="AF1101" s="169" t="s">
        <v>4680</v>
      </c>
      <c r="AG1101" s="201">
        <v>0</v>
      </c>
      <c r="AH1101" s="199">
        <v>0</v>
      </c>
      <c r="AI1101" s="150">
        <v>0</v>
      </c>
      <c r="AJ1101" s="169">
        <f t="shared" si="1046"/>
        <v>0</v>
      </c>
      <c r="AK1101" s="201">
        <v>0</v>
      </c>
      <c r="AL1101" s="199">
        <v>0</v>
      </c>
      <c r="AM1101" s="150">
        <f t="shared" si="1040"/>
        <v>0</v>
      </c>
      <c r="AN1101" s="153">
        <f t="shared" si="1047"/>
        <v>0</v>
      </c>
      <c r="AO1101" s="154">
        <f t="shared" si="1048"/>
        <v>0</v>
      </c>
      <c r="AP1101" s="150">
        <v>0</v>
      </c>
      <c r="AQ1101" s="201">
        <v>0</v>
      </c>
      <c r="AR1101" s="199">
        <v>0</v>
      </c>
      <c r="AS1101" s="150">
        <f t="shared" si="1041"/>
        <v>0</v>
      </c>
      <c r="AT1101" s="155"/>
      <c r="AU1101" s="156">
        <f t="shared" si="1042"/>
        <v>0</v>
      </c>
      <c r="AV1101" s="156">
        <f t="shared" si="1043"/>
        <v>0</v>
      </c>
      <c r="AW1101" s="157"/>
      <c r="AX1101" s="150">
        <v>0</v>
      </c>
      <c r="AY1101" s="150">
        <v>0</v>
      </c>
      <c r="AZ1101" s="150">
        <f t="shared" si="1049"/>
        <v>0</v>
      </c>
      <c r="BA1101" s="313">
        <v>0</v>
      </c>
      <c r="BB1101" s="210"/>
      <c r="BC1101" s="210"/>
      <c r="BD1101" s="210"/>
      <c r="BE1101" s="210"/>
      <c r="BF1101" s="210"/>
      <c r="BG1101" s="210"/>
      <c r="BH1101" s="217"/>
      <c r="BI1101" s="210"/>
      <c r="BJ1101" s="210"/>
      <c r="BK1101" s="210"/>
      <c r="BL1101" s="210"/>
      <c r="BM1101" s="208"/>
      <c r="BN1101" s="160"/>
      <c r="BO1101" s="161">
        <f t="shared" si="1051"/>
        <v>0</v>
      </c>
      <c r="BP1101" s="161"/>
    </row>
    <row r="1102" spans="1:68" ht="38.25">
      <c r="A1102" s="210"/>
      <c r="B1102" s="195" t="s">
        <v>7764</v>
      </c>
      <c r="C1102" s="196" t="s">
        <v>7765</v>
      </c>
      <c r="D1102" s="146" t="s">
        <v>4692</v>
      </c>
      <c r="E1102" s="196" t="s">
        <v>7765</v>
      </c>
      <c r="F1102" s="150">
        <v>0</v>
      </c>
      <c r="G1102" s="209">
        <v>0</v>
      </c>
      <c r="H1102" s="209">
        <v>0</v>
      </c>
      <c r="I1102" s="209">
        <v>0</v>
      </c>
      <c r="J1102" s="150">
        <v>0</v>
      </c>
      <c r="K1102" s="150">
        <v>0</v>
      </c>
      <c r="L1102" s="150">
        <f t="shared" si="1052"/>
        <v>0</v>
      </c>
      <c r="M1102" s="150">
        <v>0</v>
      </c>
      <c r="N1102" s="150">
        <v>0</v>
      </c>
      <c r="O1102" s="150">
        <v>0</v>
      </c>
      <c r="P1102" s="150">
        <v>0</v>
      </c>
      <c r="Q1102" s="150">
        <v>0</v>
      </c>
      <c r="R1102" s="313">
        <f t="shared" si="1038"/>
        <v>0</v>
      </c>
      <c r="S1102" s="150">
        <f t="shared" si="1050"/>
        <v>0</v>
      </c>
      <c r="T1102" s="150"/>
      <c r="U1102" s="150">
        <v>0</v>
      </c>
      <c r="V1102" s="199">
        <v>0</v>
      </c>
      <c r="W1102" s="150">
        <f t="shared" si="1044"/>
        <v>0</v>
      </c>
      <c r="X1102" s="150">
        <v>0</v>
      </c>
      <c r="Y1102" s="150">
        <v>0</v>
      </c>
      <c r="Z1102" s="150">
        <v>0</v>
      </c>
      <c r="AA1102" s="150">
        <f t="shared" si="1045"/>
        <v>0</v>
      </c>
      <c r="AB1102" s="150">
        <v>0</v>
      </c>
      <c r="AC1102" s="199">
        <v>0</v>
      </c>
      <c r="AD1102" s="150">
        <f t="shared" si="1039"/>
        <v>0</v>
      </c>
      <c r="AE1102" s="150">
        <v>0</v>
      </c>
      <c r="AF1102" s="169" t="s">
        <v>4680</v>
      </c>
      <c r="AG1102" s="201">
        <v>0</v>
      </c>
      <c r="AH1102" s="199">
        <v>0</v>
      </c>
      <c r="AI1102" s="150">
        <v>0</v>
      </c>
      <c r="AJ1102" s="169">
        <f t="shared" si="1046"/>
        <v>0</v>
      </c>
      <c r="AK1102" s="201">
        <v>0</v>
      </c>
      <c r="AL1102" s="199">
        <v>0</v>
      </c>
      <c r="AM1102" s="150">
        <f t="shared" si="1040"/>
        <v>0</v>
      </c>
      <c r="AN1102" s="153">
        <f t="shared" si="1047"/>
        <v>0</v>
      </c>
      <c r="AO1102" s="154">
        <f t="shared" si="1048"/>
        <v>0</v>
      </c>
      <c r="AP1102" s="150">
        <v>0</v>
      </c>
      <c r="AQ1102" s="201">
        <v>0</v>
      </c>
      <c r="AR1102" s="199">
        <v>0</v>
      </c>
      <c r="AS1102" s="150">
        <f t="shared" si="1041"/>
        <v>0</v>
      </c>
      <c r="AT1102" s="155"/>
      <c r="AU1102" s="156">
        <f t="shared" si="1042"/>
        <v>0</v>
      </c>
      <c r="AV1102" s="156">
        <f t="shared" si="1043"/>
        <v>0</v>
      </c>
      <c r="AW1102" s="157"/>
      <c r="AX1102" s="150">
        <v>0</v>
      </c>
      <c r="AY1102" s="150">
        <v>0</v>
      </c>
      <c r="AZ1102" s="150">
        <f t="shared" si="1049"/>
        <v>0</v>
      </c>
      <c r="BA1102" s="313">
        <v>0</v>
      </c>
      <c r="BB1102" s="210"/>
      <c r="BC1102" s="210"/>
      <c r="BD1102" s="210"/>
      <c r="BE1102" s="210"/>
      <c r="BF1102" s="210"/>
      <c r="BG1102" s="210"/>
      <c r="BH1102" s="217"/>
      <c r="BI1102" s="210"/>
      <c r="BJ1102" s="210"/>
      <c r="BK1102" s="210"/>
      <c r="BL1102" s="210"/>
      <c r="BM1102" s="208"/>
      <c r="BN1102" s="160"/>
      <c r="BO1102" s="161">
        <f t="shared" si="1051"/>
        <v>0</v>
      </c>
      <c r="BP1102" s="161"/>
    </row>
    <row r="1103" spans="1:68" ht="38.25">
      <c r="A1103" s="210"/>
      <c r="B1103" s="195" t="s">
        <v>7766</v>
      </c>
      <c r="C1103" s="196" t="s">
        <v>7767</v>
      </c>
      <c r="D1103" s="146" t="s">
        <v>4692</v>
      </c>
      <c r="E1103" s="196" t="s">
        <v>7767</v>
      </c>
      <c r="F1103" s="150">
        <v>0</v>
      </c>
      <c r="G1103" s="209">
        <v>0</v>
      </c>
      <c r="H1103" s="209">
        <v>0</v>
      </c>
      <c r="I1103" s="209">
        <v>0</v>
      </c>
      <c r="J1103" s="150">
        <v>0</v>
      </c>
      <c r="K1103" s="150">
        <v>0</v>
      </c>
      <c r="L1103" s="150">
        <f t="shared" si="1052"/>
        <v>0</v>
      </c>
      <c r="M1103" s="150">
        <v>0</v>
      </c>
      <c r="N1103" s="150">
        <v>0</v>
      </c>
      <c r="O1103" s="150">
        <v>0</v>
      </c>
      <c r="P1103" s="150">
        <v>0</v>
      </c>
      <c r="Q1103" s="150">
        <v>0</v>
      </c>
      <c r="R1103" s="313">
        <f t="shared" si="1038"/>
        <v>0</v>
      </c>
      <c r="S1103" s="150">
        <f t="shared" si="1050"/>
        <v>0</v>
      </c>
      <c r="T1103" s="150"/>
      <c r="U1103" s="150">
        <v>0</v>
      </c>
      <c r="V1103" s="199">
        <v>0</v>
      </c>
      <c r="W1103" s="150">
        <f t="shared" si="1044"/>
        <v>0</v>
      </c>
      <c r="X1103" s="150">
        <v>0</v>
      </c>
      <c r="Y1103" s="150">
        <v>0</v>
      </c>
      <c r="Z1103" s="150">
        <v>0</v>
      </c>
      <c r="AA1103" s="150">
        <f t="shared" si="1045"/>
        <v>0</v>
      </c>
      <c r="AB1103" s="150">
        <v>0</v>
      </c>
      <c r="AC1103" s="199">
        <v>0</v>
      </c>
      <c r="AD1103" s="150">
        <f t="shared" si="1039"/>
        <v>0</v>
      </c>
      <c r="AE1103" s="150">
        <v>0</v>
      </c>
      <c r="AF1103" s="169" t="s">
        <v>4680</v>
      </c>
      <c r="AG1103" s="201">
        <v>0</v>
      </c>
      <c r="AH1103" s="199">
        <v>0</v>
      </c>
      <c r="AI1103" s="150">
        <v>0</v>
      </c>
      <c r="AJ1103" s="169">
        <f t="shared" si="1046"/>
        <v>0</v>
      </c>
      <c r="AK1103" s="201">
        <v>0</v>
      </c>
      <c r="AL1103" s="199">
        <v>0</v>
      </c>
      <c r="AM1103" s="150">
        <f t="shared" si="1040"/>
        <v>0</v>
      </c>
      <c r="AN1103" s="153">
        <f t="shared" si="1047"/>
        <v>0</v>
      </c>
      <c r="AO1103" s="154">
        <f t="shared" si="1048"/>
        <v>0</v>
      </c>
      <c r="AP1103" s="150">
        <v>0</v>
      </c>
      <c r="AQ1103" s="201">
        <v>0</v>
      </c>
      <c r="AR1103" s="199">
        <v>0</v>
      </c>
      <c r="AS1103" s="150">
        <f t="shared" si="1041"/>
        <v>0</v>
      </c>
      <c r="AT1103" s="155"/>
      <c r="AU1103" s="156">
        <f t="shared" si="1042"/>
        <v>0</v>
      </c>
      <c r="AV1103" s="156">
        <f t="shared" si="1043"/>
        <v>0</v>
      </c>
      <c r="AW1103" s="157"/>
      <c r="AX1103" s="150">
        <v>0</v>
      </c>
      <c r="AY1103" s="150">
        <v>0</v>
      </c>
      <c r="AZ1103" s="150">
        <f t="shared" si="1049"/>
        <v>0</v>
      </c>
      <c r="BA1103" s="313">
        <v>0</v>
      </c>
      <c r="BB1103" s="210"/>
      <c r="BC1103" s="210"/>
      <c r="BD1103" s="210"/>
      <c r="BE1103" s="210"/>
      <c r="BF1103" s="210"/>
      <c r="BG1103" s="210"/>
      <c r="BH1103" s="217"/>
      <c r="BI1103" s="210"/>
      <c r="BJ1103" s="210"/>
      <c r="BK1103" s="210"/>
      <c r="BL1103" s="210"/>
      <c r="BM1103" s="208"/>
      <c r="BN1103" s="160"/>
      <c r="BO1103" s="161">
        <f t="shared" si="1051"/>
        <v>0</v>
      </c>
      <c r="BP1103" s="161"/>
    </row>
    <row r="1104" spans="1:68" ht="38.25">
      <c r="A1104" s="210"/>
      <c r="B1104" s="195" t="s">
        <v>7768</v>
      </c>
      <c r="C1104" s="196" t="s">
        <v>7769</v>
      </c>
      <c r="D1104" s="146" t="s">
        <v>4692</v>
      </c>
      <c r="E1104" s="196" t="s">
        <v>7769</v>
      </c>
      <c r="F1104" s="150">
        <v>0</v>
      </c>
      <c r="G1104" s="209">
        <v>0</v>
      </c>
      <c r="H1104" s="209">
        <v>0</v>
      </c>
      <c r="I1104" s="209">
        <v>0</v>
      </c>
      <c r="J1104" s="150">
        <v>0</v>
      </c>
      <c r="K1104" s="150">
        <v>0</v>
      </c>
      <c r="L1104" s="150">
        <f t="shared" si="1052"/>
        <v>0</v>
      </c>
      <c r="M1104" s="150">
        <v>0</v>
      </c>
      <c r="N1104" s="150">
        <v>0</v>
      </c>
      <c r="O1104" s="150">
        <v>0</v>
      </c>
      <c r="P1104" s="150">
        <v>0</v>
      </c>
      <c r="Q1104" s="150">
        <v>0</v>
      </c>
      <c r="R1104" s="313">
        <f t="shared" si="1038"/>
        <v>0</v>
      </c>
      <c r="S1104" s="150">
        <f t="shared" si="1050"/>
        <v>0</v>
      </c>
      <c r="T1104" s="150"/>
      <c r="U1104" s="150">
        <v>0</v>
      </c>
      <c r="V1104" s="199">
        <v>0</v>
      </c>
      <c r="W1104" s="150">
        <f t="shared" si="1044"/>
        <v>0</v>
      </c>
      <c r="X1104" s="150">
        <v>0</v>
      </c>
      <c r="Y1104" s="150">
        <v>0</v>
      </c>
      <c r="Z1104" s="150">
        <v>0</v>
      </c>
      <c r="AA1104" s="150">
        <f t="shared" si="1045"/>
        <v>0</v>
      </c>
      <c r="AB1104" s="150">
        <v>0</v>
      </c>
      <c r="AC1104" s="199">
        <v>0</v>
      </c>
      <c r="AD1104" s="150">
        <f t="shared" si="1039"/>
        <v>0</v>
      </c>
      <c r="AE1104" s="150">
        <v>0</v>
      </c>
      <c r="AF1104" s="169" t="s">
        <v>4680</v>
      </c>
      <c r="AG1104" s="201">
        <v>0</v>
      </c>
      <c r="AH1104" s="199">
        <v>0</v>
      </c>
      <c r="AI1104" s="150">
        <v>0</v>
      </c>
      <c r="AJ1104" s="169">
        <f t="shared" si="1046"/>
        <v>0</v>
      </c>
      <c r="AK1104" s="201">
        <v>0</v>
      </c>
      <c r="AL1104" s="199">
        <v>0</v>
      </c>
      <c r="AM1104" s="150">
        <f t="shared" si="1040"/>
        <v>0</v>
      </c>
      <c r="AN1104" s="153">
        <f t="shared" si="1047"/>
        <v>0</v>
      </c>
      <c r="AO1104" s="154">
        <f t="shared" si="1048"/>
        <v>0</v>
      </c>
      <c r="AP1104" s="150">
        <v>0</v>
      </c>
      <c r="AQ1104" s="201">
        <v>0</v>
      </c>
      <c r="AR1104" s="199">
        <v>0</v>
      </c>
      <c r="AS1104" s="150">
        <f t="shared" si="1041"/>
        <v>0</v>
      </c>
      <c r="AT1104" s="155"/>
      <c r="AU1104" s="156">
        <f t="shared" si="1042"/>
        <v>0</v>
      </c>
      <c r="AV1104" s="156">
        <f t="shared" si="1043"/>
        <v>0</v>
      </c>
      <c r="AW1104" s="157"/>
      <c r="AX1104" s="150">
        <v>0</v>
      </c>
      <c r="AY1104" s="150">
        <v>0</v>
      </c>
      <c r="AZ1104" s="150">
        <f t="shared" si="1049"/>
        <v>0</v>
      </c>
      <c r="BA1104" s="313">
        <v>0</v>
      </c>
      <c r="BB1104" s="210"/>
      <c r="BC1104" s="210"/>
      <c r="BD1104" s="210"/>
      <c r="BE1104" s="210"/>
      <c r="BF1104" s="210"/>
      <c r="BG1104" s="210"/>
      <c r="BH1104" s="217"/>
      <c r="BI1104" s="210"/>
      <c r="BJ1104" s="210"/>
      <c r="BK1104" s="210"/>
      <c r="BL1104" s="210"/>
      <c r="BM1104" s="208"/>
      <c r="BN1104" s="160"/>
      <c r="BO1104" s="161">
        <f t="shared" si="1051"/>
        <v>0</v>
      </c>
      <c r="BP1104" s="161"/>
    </row>
    <row r="1105" spans="1:68" ht="51">
      <c r="A1105" s="210"/>
      <c r="B1105" s="195" t="s">
        <v>7770</v>
      </c>
      <c r="C1105" s="196" t="s">
        <v>7771</v>
      </c>
      <c r="D1105" s="146" t="s">
        <v>4692</v>
      </c>
      <c r="E1105" s="196" t="s">
        <v>7771</v>
      </c>
      <c r="F1105" s="150">
        <v>0</v>
      </c>
      <c r="G1105" s="209">
        <v>0</v>
      </c>
      <c r="H1105" s="209">
        <v>0</v>
      </c>
      <c r="I1105" s="209">
        <v>0</v>
      </c>
      <c r="J1105" s="150">
        <v>0</v>
      </c>
      <c r="K1105" s="150">
        <v>0</v>
      </c>
      <c r="L1105" s="150">
        <f t="shared" si="1052"/>
        <v>0</v>
      </c>
      <c r="M1105" s="150">
        <v>0</v>
      </c>
      <c r="N1105" s="150">
        <v>0</v>
      </c>
      <c r="O1105" s="150">
        <v>0</v>
      </c>
      <c r="P1105" s="150">
        <v>0</v>
      </c>
      <c r="Q1105" s="150">
        <v>0</v>
      </c>
      <c r="R1105" s="313">
        <f t="shared" si="1038"/>
        <v>0</v>
      </c>
      <c r="S1105" s="150">
        <f t="shared" si="1050"/>
        <v>0</v>
      </c>
      <c r="T1105" s="150"/>
      <c r="U1105" s="150">
        <v>0</v>
      </c>
      <c r="V1105" s="199">
        <v>0</v>
      </c>
      <c r="W1105" s="150">
        <f t="shared" si="1044"/>
        <v>0</v>
      </c>
      <c r="X1105" s="150">
        <v>0</v>
      </c>
      <c r="Y1105" s="150">
        <v>0</v>
      </c>
      <c r="Z1105" s="150">
        <v>0</v>
      </c>
      <c r="AA1105" s="150">
        <f t="shared" si="1045"/>
        <v>0</v>
      </c>
      <c r="AB1105" s="150">
        <v>0</v>
      </c>
      <c r="AC1105" s="199">
        <v>0</v>
      </c>
      <c r="AD1105" s="150">
        <f t="shared" si="1039"/>
        <v>0</v>
      </c>
      <c r="AE1105" s="150">
        <v>0</v>
      </c>
      <c r="AF1105" s="169" t="s">
        <v>4680</v>
      </c>
      <c r="AG1105" s="201">
        <v>0</v>
      </c>
      <c r="AH1105" s="199">
        <v>0</v>
      </c>
      <c r="AI1105" s="150">
        <v>0</v>
      </c>
      <c r="AJ1105" s="169">
        <f t="shared" si="1046"/>
        <v>0</v>
      </c>
      <c r="AK1105" s="201">
        <v>0</v>
      </c>
      <c r="AL1105" s="199">
        <v>0</v>
      </c>
      <c r="AM1105" s="150">
        <f t="shared" si="1040"/>
        <v>0</v>
      </c>
      <c r="AN1105" s="153">
        <f t="shared" si="1047"/>
        <v>0</v>
      </c>
      <c r="AO1105" s="154">
        <f t="shared" si="1048"/>
        <v>0</v>
      </c>
      <c r="AP1105" s="150">
        <v>0</v>
      </c>
      <c r="AQ1105" s="201">
        <v>0</v>
      </c>
      <c r="AR1105" s="199">
        <v>0</v>
      </c>
      <c r="AS1105" s="150">
        <f t="shared" si="1041"/>
        <v>0</v>
      </c>
      <c r="AT1105" s="155"/>
      <c r="AU1105" s="156">
        <f t="shared" si="1042"/>
        <v>0</v>
      </c>
      <c r="AV1105" s="156">
        <f t="shared" si="1043"/>
        <v>0</v>
      </c>
      <c r="AW1105" s="157"/>
      <c r="AX1105" s="150">
        <v>0</v>
      </c>
      <c r="AY1105" s="150">
        <v>0</v>
      </c>
      <c r="AZ1105" s="150">
        <f t="shared" si="1049"/>
        <v>0</v>
      </c>
      <c r="BA1105" s="313">
        <v>0</v>
      </c>
      <c r="BB1105" s="210"/>
      <c r="BC1105" s="210"/>
      <c r="BD1105" s="210"/>
      <c r="BE1105" s="210"/>
      <c r="BF1105" s="210"/>
      <c r="BG1105" s="210"/>
      <c r="BH1105" s="217"/>
      <c r="BI1105" s="210"/>
      <c r="BJ1105" s="210"/>
      <c r="BK1105" s="210"/>
      <c r="BL1105" s="210"/>
      <c r="BM1105" s="208"/>
      <c r="BN1105" s="160"/>
      <c r="BO1105" s="161">
        <f t="shared" si="1051"/>
        <v>0</v>
      </c>
      <c r="BP1105" s="161"/>
    </row>
    <row r="1106" spans="1:68" ht="38.25">
      <c r="A1106" s="210"/>
      <c r="B1106" s="195" t="s">
        <v>7772</v>
      </c>
      <c r="C1106" s="196" t="s">
        <v>7773</v>
      </c>
      <c r="D1106" s="146" t="s">
        <v>4692</v>
      </c>
      <c r="E1106" s="196" t="s">
        <v>7773</v>
      </c>
      <c r="F1106" s="150">
        <v>0</v>
      </c>
      <c r="G1106" s="209">
        <v>0</v>
      </c>
      <c r="H1106" s="209">
        <v>0</v>
      </c>
      <c r="I1106" s="209">
        <v>0</v>
      </c>
      <c r="J1106" s="150">
        <v>0</v>
      </c>
      <c r="K1106" s="150">
        <v>0</v>
      </c>
      <c r="L1106" s="150">
        <f t="shared" si="1052"/>
        <v>0</v>
      </c>
      <c r="M1106" s="150">
        <v>0</v>
      </c>
      <c r="N1106" s="150">
        <v>0</v>
      </c>
      <c r="O1106" s="150">
        <v>0</v>
      </c>
      <c r="P1106" s="150">
        <v>0</v>
      </c>
      <c r="Q1106" s="150">
        <v>0</v>
      </c>
      <c r="R1106" s="313">
        <f t="shared" si="1038"/>
        <v>0</v>
      </c>
      <c r="S1106" s="150">
        <f t="shared" si="1050"/>
        <v>0</v>
      </c>
      <c r="T1106" s="150"/>
      <c r="U1106" s="150">
        <v>0</v>
      </c>
      <c r="V1106" s="199">
        <v>0</v>
      </c>
      <c r="W1106" s="150">
        <f t="shared" si="1044"/>
        <v>0</v>
      </c>
      <c r="X1106" s="150">
        <v>0</v>
      </c>
      <c r="Y1106" s="150">
        <v>0</v>
      </c>
      <c r="Z1106" s="150">
        <v>0</v>
      </c>
      <c r="AA1106" s="150">
        <f t="shared" si="1045"/>
        <v>0</v>
      </c>
      <c r="AB1106" s="150">
        <v>0</v>
      </c>
      <c r="AC1106" s="199">
        <v>0</v>
      </c>
      <c r="AD1106" s="150">
        <f t="shared" si="1039"/>
        <v>0</v>
      </c>
      <c r="AE1106" s="150">
        <v>0</v>
      </c>
      <c r="AF1106" s="169" t="s">
        <v>4680</v>
      </c>
      <c r="AG1106" s="201">
        <v>0</v>
      </c>
      <c r="AH1106" s="199">
        <v>0</v>
      </c>
      <c r="AI1106" s="150">
        <v>0</v>
      </c>
      <c r="AJ1106" s="169">
        <f t="shared" si="1046"/>
        <v>0</v>
      </c>
      <c r="AK1106" s="201">
        <v>0</v>
      </c>
      <c r="AL1106" s="199">
        <v>0</v>
      </c>
      <c r="AM1106" s="150">
        <f t="shared" si="1040"/>
        <v>0</v>
      </c>
      <c r="AN1106" s="153">
        <f t="shared" si="1047"/>
        <v>0</v>
      </c>
      <c r="AO1106" s="154">
        <f t="shared" si="1048"/>
        <v>0</v>
      </c>
      <c r="AP1106" s="150">
        <v>0</v>
      </c>
      <c r="AQ1106" s="201">
        <v>0</v>
      </c>
      <c r="AR1106" s="199">
        <v>0</v>
      </c>
      <c r="AS1106" s="150">
        <f t="shared" si="1041"/>
        <v>0</v>
      </c>
      <c r="AT1106" s="155"/>
      <c r="AU1106" s="156">
        <f t="shared" si="1042"/>
        <v>0</v>
      </c>
      <c r="AV1106" s="156">
        <f t="shared" si="1043"/>
        <v>0</v>
      </c>
      <c r="AW1106" s="157"/>
      <c r="AX1106" s="150">
        <v>0</v>
      </c>
      <c r="AY1106" s="150">
        <v>0</v>
      </c>
      <c r="AZ1106" s="150">
        <f t="shared" si="1049"/>
        <v>0</v>
      </c>
      <c r="BA1106" s="313">
        <v>0</v>
      </c>
      <c r="BB1106" s="210"/>
      <c r="BC1106" s="210"/>
      <c r="BD1106" s="210"/>
      <c r="BE1106" s="210"/>
      <c r="BF1106" s="210"/>
      <c r="BG1106" s="210"/>
      <c r="BH1106" s="217"/>
      <c r="BI1106" s="210"/>
      <c r="BJ1106" s="210"/>
      <c r="BK1106" s="210"/>
      <c r="BL1106" s="210"/>
      <c r="BM1106" s="208"/>
      <c r="BN1106" s="160"/>
      <c r="BO1106" s="161">
        <f t="shared" si="1051"/>
        <v>0</v>
      </c>
      <c r="BP1106" s="161"/>
    </row>
    <row r="1107" spans="1:68" ht="51">
      <c r="A1107" s="210"/>
      <c r="B1107" s="195" t="s">
        <v>7774</v>
      </c>
      <c r="C1107" s="196" t="s">
        <v>7775</v>
      </c>
      <c r="D1107" s="146" t="s">
        <v>4692</v>
      </c>
      <c r="E1107" s="196" t="s">
        <v>7775</v>
      </c>
      <c r="F1107" s="150">
        <v>0</v>
      </c>
      <c r="G1107" s="209">
        <v>0</v>
      </c>
      <c r="H1107" s="209">
        <v>0</v>
      </c>
      <c r="I1107" s="209">
        <v>0</v>
      </c>
      <c r="J1107" s="150">
        <v>0</v>
      </c>
      <c r="K1107" s="150">
        <v>0</v>
      </c>
      <c r="L1107" s="150">
        <f t="shared" si="1052"/>
        <v>0</v>
      </c>
      <c r="M1107" s="150">
        <v>0</v>
      </c>
      <c r="N1107" s="150">
        <v>0</v>
      </c>
      <c r="O1107" s="150">
        <v>0</v>
      </c>
      <c r="P1107" s="150">
        <v>0</v>
      </c>
      <c r="Q1107" s="150">
        <v>0</v>
      </c>
      <c r="R1107" s="313">
        <f t="shared" si="1038"/>
        <v>0</v>
      </c>
      <c r="S1107" s="150">
        <f t="shared" si="1050"/>
        <v>0</v>
      </c>
      <c r="T1107" s="150"/>
      <c r="U1107" s="150">
        <v>0</v>
      </c>
      <c r="V1107" s="199">
        <v>0</v>
      </c>
      <c r="W1107" s="150">
        <f t="shared" si="1044"/>
        <v>0</v>
      </c>
      <c r="X1107" s="150">
        <v>0</v>
      </c>
      <c r="Y1107" s="150">
        <v>0</v>
      </c>
      <c r="Z1107" s="150">
        <v>0</v>
      </c>
      <c r="AA1107" s="150">
        <f t="shared" si="1045"/>
        <v>0</v>
      </c>
      <c r="AB1107" s="150">
        <v>0</v>
      </c>
      <c r="AC1107" s="199">
        <v>0</v>
      </c>
      <c r="AD1107" s="150">
        <f t="shared" si="1039"/>
        <v>0</v>
      </c>
      <c r="AE1107" s="150">
        <v>0</v>
      </c>
      <c r="AF1107" s="169" t="s">
        <v>4680</v>
      </c>
      <c r="AG1107" s="201">
        <v>0</v>
      </c>
      <c r="AH1107" s="199">
        <v>0</v>
      </c>
      <c r="AI1107" s="150">
        <v>0</v>
      </c>
      <c r="AJ1107" s="169">
        <f t="shared" si="1046"/>
        <v>0</v>
      </c>
      <c r="AK1107" s="201">
        <v>0</v>
      </c>
      <c r="AL1107" s="199">
        <v>0</v>
      </c>
      <c r="AM1107" s="150">
        <f t="shared" si="1040"/>
        <v>0</v>
      </c>
      <c r="AN1107" s="153">
        <f t="shared" si="1047"/>
        <v>0</v>
      </c>
      <c r="AO1107" s="154">
        <f t="shared" si="1048"/>
        <v>0</v>
      </c>
      <c r="AP1107" s="150">
        <v>0</v>
      </c>
      <c r="AQ1107" s="201">
        <v>0</v>
      </c>
      <c r="AR1107" s="199">
        <v>0</v>
      </c>
      <c r="AS1107" s="150">
        <f t="shared" si="1041"/>
        <v>0</v>
      </c>
      <c r="AT1107" s="155"/>
      <c r="AU1107" s="156">
        <f t="shared" si="1042"/>
        <v>0</v>
      </c>
      <c r="AV1107" s="156">
        <f t="shared" si="1043"/>
        <v>0</v>
      </c>
      <c r="AW1107" s="157"/>
      <c r="AX1107" s="150">
        <v>0</v>
      </c>
      <c r="AY1107" s="150">
        <v>0</v>
      </c>
      <c r="AZ1107" s="150">
        <f t="shared" si="1049"/>
        <v>0</v>
      </c>
      <c r="BA1107" s="313">
        <v>0</v>
      </c>
      <c r="BB1107" s="210"/>
      <c r="BC1107" s="210"/>
      <c r="BD1107" s="210"/>
      <c r="BE1107" s="210"/>
      <c r="BF1107" s="210"/>
      <c r="BG1107" s="210"/>
      <c r="BH1107" s="217"/>
      <c r="BI1107" s="210"/>
      <c r="BJ1107" s="210"/>
      <c r="BK1107" s="210"/>
      <c r="BL1107" s="210"/>
      <c r="BM1107" s="208"/>
      <c r="BN1107" s="160"/>
      <c r="BO1107" s="161">
        <f t="shared" si="1051"/>
        <v>0</v>
      </c>
      <c r="BP1107" s="161"/>
    </row>
    <row r="1108" spans="1:68" ht="38.25">
      <c r="A1108" s="210"/>
      <c r="B1108" s="195" t="s">
        <v>7776</v>
      </c>
      <c r="C1108" s="196" t="s">
        <v>7777</v>
      </c>
      <c r="D1108" s="146" t="s">
        <v>4692</v>
      </c>
      <c r="E1108" s="196" t="s">
        <v>7777</v>
      </c>
      <c r="F1108" s="150">
        <v>0</v>
      </c>
      <c r="G1108" s="209">
        <v>0</v>
      </c>
      <c r="H1108" s="209">
        <v>0</v>
      </c>
      <c r="I1108" s="209">
        <v>0</v>
      </c>
      <c r="J1108" s="150">
        <v>0</v>
      </c>
      <c r="K1108" s="150">
        <v>0</v>
      </c>
      <c r="L1108" s="150">
        <f t="shared" si="1052"/>
        <v>0</v>
      </c>
      <c r="M1108" s="150">
        <v>0</v>
      </c>
      <c r="N1108" s="150">
        <v>0</v>
      </c>
      <c r="O1108" s="150">
        <v>0</v>
      </c>
      <c r="P1108" s="150">
        <v>0</v>
      </c>
      <c r="Q1108" s="150">
        <v>0</v>
      </c>
      <c r="R1108" s="313">
        <f t="shared" si="1038"/>
        <v>0</v>
      </c>
      <c r="S1108" s="150">
        <f t="shared" si="1050"/>
        <v>0</v>
      </c>
      <c r="T1108" s="150"/>
      <c r="U1108" s="150">
        <v>0</v>
      </c>
      <c r="V1108" s="199">
        <v>0</v>
      </c>
      <c r="W1108" s="150">
        <f t="shared" si="1044"/>
        <v>0</v>
      </c>
      <c r="X1108" s="150">
        <v>0</v>
      </c>
      <c r="Y1108" s="150">
        <v>0</v>
      </c>
      <c r="Z1108" s="150">
        <v>0</v>
      </c>
      <c r="AA1108" s="150">
        <f t="shared" si="1045"/>
        <v>0</v>
      </c>
      <c r="AB1108" s="150">
        <v>0</v>
      </c>
      <c r="AC1108" s="199">
        <v>0</v>
      </c>
      <c r="AD1108" s="150">
        <f t="shared" si="1039"/>
        <v>0</v>
      </c>
      <c r="AE1108" s="150">
        <v>0</v>
      </c>
      <c r="AF1108" s="169" t="s">
        <v>4680</v>
      </c>
      <c r="AG1108" s="201">
        <v>0</v>
      </c>
      <c r="AH1108" s="199">
        <v>0</v>
      </c>
      <c r="AI1108" s="150">
        <v>0</v>
      </c>
      <c r="AJ1108" s="169">
        <f t="shared" si="1046"/>
        <v>0</v>
      </c>
      <c r="AK1108" s="201">
        <v>0</v>
      </c>
      <c r="AL1108" s="199">
        <v>0</v>
      </c>
      <c r="AM1108" s="150">
        <f t="shared" si="1040"/>
        <v>0</v>
      </c>
      <c r="AN1108" s="153">
        <f t="shared" si="1047"/>
        <v>0</v>
      </c>
      <c r="AO1108" s="154">
        <f t="shared" si="1048"/>
        <v>0</v>
      </c>
      <c r="AP1108" s="150">
        <v>0</v>
      </c>
      <c r="AQ1108" s="201">
        <v>0</v>
      </c>
      <c r="AR1108" s="199">
        <v>0</v>
      </c>
      <c r="AS1108" s="150">
        <f t="shared" si="1041"/>
        <v>0</v>
      </c>
      <c r="AT1108" s="155"/>
      <c r="AU1108" s="156">
        <f t="shared" si="1042"/>
        <v>0</v>
      </c>
      <c r="AV1108" s="156">
        <f t="shared" si="1043"/>
        <v>0</v>
      </c>
      <c r="AW1108" s="157"/>
      <c r="AX1108" s="150">
        <v>0</v>
      </c>
      <c r="AY1108" s="150">
        <v>0</v>
      </c>
      <c r="AZ1108" s="150">
        <f t="shared" si="1049"/>
        <v>0</v>
      </c>
      <c r="BA1108" s="313">
        <v>0</v>
      </c>
      <c r="BB1108" s="210"/>
      <c r="BC1108" s="210"/>
      <c r="BD1108" s="210"/>
      <c r="BE1108" s="210"/>
      <c r="BF1108" s="210"/>
      <c r="BG1108" s="210"/>
      <c r="BH1108" s="217"/>
      <c r="BI1108" s="210"/>
      <c r="BJ1108" s="210"/>
      <c r="BK1108" s="210"/>
      <c r="BL1108" s="210"/>
      <c r="BM1108" s="208"/>
      <c r="BN1108" s="160"/>
      <c r="BO1108" s="161">
        <f t="shared" si="1051"/>
        <v>0</v>
      </c>
      <c r="BP1108" s="161"/>
    </row>
    <row r="1109" spans="1:68" ht="51">
      <c r="A1109" s="210"/>
      <c r="B1109" s="195" t="s">
        <v>7778</v>
      </c>
      <c r="C1109" s="196" t="s">
        <v>7779</v>
      </c>
      <c r="D1109" s="146" t="s">
        <v>4692</v>
      </c>
      <c r="E1109" s="196" t="s">
        <v>7779</v>
      </c>
      <c r="F1109" s="150">
        <v>0</v>
      </c>
      <c r="G1109" s="209">
        <v>0</v>
      </c>
      <c r="H1109" s="209">
        <v>0</v>
      </c>
      <c r="I1109" s="209">
        <v>0</v>
      </c>
      <c r="J1109" s="150">
        <v>0</v>
      </c>
      <c r="K1109" s="150">
        <v>0</v>
      </c>
      <c r="L1109" s="150">
        <f t="shared" si="1052"/>
        <v>0</v>
      </c>
      <c r="M1109" s="150">
        <v>0</v>
      </c>
      <c r="N1109" s="150">
        <v>0</v>
      </c>
      <c r="O1109" s="150">
        <v>0</v>
      </c>
      <c r="P1109" s="150">
        <v>0</v>
      </c>
      <c r="Q1109" s="150">
        <v>0</v>
      </c>
      <c r="R1109" s="313">
        <f t="shared" si="1038"/>
        <v>0</v>
      </c>
      <c r="S1109" s="150">
        <f t="shared" si="1050"/>
        <v>0</v>
      </c>
      <c r="T1109" s="150"/>
      <c r="U1109" s="150">
        <v>0</v>
      </c>
      <c r="V1109" s="199">
        <v>0</v>
      </c>
      <c r="W1109" s="150">
        <f t="shared" si="1044"/>
        <v>0</v>
      </c>
      <c r="X1109" s="150">
        <v>0</v>
      </c>
      <c r="Y1109" s="150">
        <v>0</v>
      </c>
      <c r="Z1109" s="150">
        <v>0</v>
      </c>
      <c r="AA1109" s="150">
        <f t="shared" si="1045"/>
        <v>0</v>
      </c>
      <c r="AB1109" s="150">
        <v>0</v>
      </c>
      <c r="AC1109" s="199">
        <v>0</v>
      </c>
      <c r="AD1109" s="150">
        <f t="shared" si="1039"/>
        <v>0</v>
      </c>
      <c r="AE1109" s="150">
        <v>0</v>
      </c>
      <c r="AF1109" s="169" t="s">
        <v>4680</v>
      </c>
      <c r="AG1109" s="201">
        <v>0</v>
      </c>
      <c r="AH1109" s="199">
        <v>0</v>
      </c>
      <c r="AI1109" s="150">
        <v>0</v>
      </c>
      <c r="AJ1109" s="169">
        <f t="shared" si="1046"/>
        <v>0</v>
      </c>
      <c r="AK1109" s="201">
        <v>0</v>
      </c>
      <c r="AL1109" s="199">
        <v>0</v>
      </c>
      <c r="AM1109" s="150">
        <f t="shared" si="1040"/>
        <v>0</v>
      </c>
      <c r="AN1109" s="153">
        <f t="shared" si="1047"/>
        <v>0</v>
      </c>
      <c r="AO1109" s="154">
        <f t="shared" si="1048"/>
        <v>0</v>
      </c>
      <c r="AP1109" s="150">
        <v>0</v>
      </c>
      <c r="AQ1109" s="201">
        <v>0</v>
      </c>
      <c r="AR1109" s="199">
        <v>0</v>
      </c>
      <c r="AS1109" s="150">
        <f t="shared" si="1041"/>
        <v>0</v>
      </c>
      <c r="AT1109" s="155"/>
      <c r="AU1109" s="156">
        <f t="shared" si="1042"/>
        <v>0</v>
      </c>
      <c r="AV1109" s="156">
        <f t="shared" si="1043"/>
        <v>0</v>
      </c>
      <c r="AW1109" s="157"/>
      <c r="AX1109" s="150">
        <v>0</v>
      </c>
      <c r="AY1109" s="150">
        <v>0</v>
      </c>
      <c r="AZ1109" s="150">
        <f t="shared" si="1049"/>
        <v>0</v>
      </c>
      <c r="BA1109" s="313">
        <v>0</v>
      </c>
      <c r="BB1109" s="210"/>
      <c r="BC1109" s="210"/>
      <c r="BD1109" s="210"/>
      <c r="BE1109" s="210"/>
      <c r="BF1109" s="210"/>
      <c r="BG1109" s="210"/>
      <c r="BH1109" s="217"/>
      <c r="BI1109" s="210"/>
      <c r="BJ1109" s="210"/>
      <c r="BK1109" s="210"/>
      <c r="BL1109" s="210"/>
      <c r="BM1109" s="208"/>
      <c r="BN1109" s="160"/>
      <c r="BO1109" s="161">
        <f t="shared" si="1051"/>
        <v>0</v>
      </c>
      <c r="BP1109" s="161"/>
    </row>
    <row r="1110" spans="1:68" ht="51">
      <c r="A1110" s="210"/>
      <c r="B1110" s="195" t="s">
        <v>7780</v>
      </c>
      <c r="C1110" s="196" t="s">
        <v>7781</v>
      </c>
      <c r="D1110" s="146" t="s">
        <v>4692</v>
      </c>
      <c r="E1110" s="196" t="s">
        <v>7781</v>
      </c>
      <c r="F1110" s="150">
        <v>0</v>
      </c>
      <c r="G1110" s="209">
        <v>0</v>
      </c>
      <c r="H1110" s="209">
        <v>0</v>
      </c>
      <c r="I1110" s="209">
        <v>0</v>
      </c>
      <c r="J1110" s="150">
        <v>0</v>
      </c>
      <c r="K1110" s="150">
        <v>0</v>
      </c>
      <c r="L1110" s="150">
        <f t="shared" si="1052"/>
        <v>0</v>
      </c>
      <c r="M1110" s="150">
        <v>0</v>
      </c>
      <c r="N1110" s="150">
        <v>0</v>
      </c>
      <c r="O1110" s="150">
        <v>0</v>
      </c>
      <c r="P1110" s="150">
        <v>0</v>
      </c>
      <c r="Q1110" s="150">
        <v>0</v>
      </c>
      <c r="R1110" s="313">
        <f t="shared" si="1038"/>
        <v>0</v>
      </c>
      <c r="S1110" s="150">
        <f t="shared" si="1050"/>
        <v>0</v>
      </c>
      <c r="T1110" s="150"/>
      <c r="U1110" s="150">
        <v>0</v>
      </c>
      <c r="V1110" s="199">
        <v>0</v>
      </c>
      <c r="W1110" s="150">
        <f t="shared" si="1044"/>
        <v>0</v>
      </c>
      <c r="X1110" s="150">
        <v>0</v>
      </c>
      <c r="Y1110" s="150">
        <v>0</v>
      </c>
      <c r="Z1110" s="150">
        <v>0</v>
      </c>
      <c r="AA1110" s="150">
        <f t="shared" si="1045"/>
        <v>0</v>
      </c>
      <c r="AB1110" s="150">
        <v>0</v>
      </c>
      <c r="AC1110" s="199">
        <v>0</v>
      </c>
      <c r="AD1110" s="150">
        <f t="shared" si="1039"/>
        <v>0</v>
      </c>
      <c r="AE1110" s="150">
        <v>0</v>
      </c>
      <c r="AF1110" s="169" t="s">
        <v>4680</v>
      </c>
      <c r="AG1110" s="201">
        <v>0</v>
      </c>
      <c r="AH1110" s="199">
        <v>0</v>
      </c>
      <c r="AI1110" s="150">
        <v>0</v>
      </c>
      <c r="AJ1110" s="169">
        <f t="shared" si="1046"/>
        <v>0</v>
      </c>
      <c r="AK1110" s="201">
        <v>0</v>
      </c>
      <c r="AL1110" s="199">
        <v>0</v>
      </c>
      <c r="AM1110" s="150">
        <f t="shared" si="1040"/>
        <v>0</v>
      </c>
      <c r="AN1110" s="153">
        <f t="shared" si="1047"/>
        <v>0</v>
      </c>
      <c r="AO1110" s="154">
        <f t="shared" si="1048"/>
        <v>0</v>
      </c>
      <c r="AP1110" s="150">
        <v>0</v>
      </c>
      <c r="AQ1110" s="201">
        <v>0</v>
      </c>
      <c r="AR1110" s="199">
        <v>0</v>
      </c>
      <c r="AS1110" s="150">
        <f t="shared" si="1041"/>
        <v>0</v>
      </c>
      <c r="AT1110" s="155"/>
      <c r="AU1110" s="156">
        <f t="shared" si="1042"/>
        <v>0</v>
      </c>
      <c r="AV1110" s="156">
        <f t="shared" si="1043"/>
        <v>0</v>
      </c>
      <c r="AW1110" s="157"/>
      <c r="AX1110" s="150">
        <v>0</v>
      </c>
      <c r="AY1110" s="150">
        <v>0</v>
      </c>
      <c r="AZ1110" s="150">
        <f t="shared" si="1049"/>
        <v>0</v>
      </c>
      <c r="BA1110" s="313">
        <v>0</v>
      </c>
      <c r="BB1110" s="210"/>
      <c r="BC1110" s="210"/>
      <c r="BD1110" s="210"/>
      <c r="BE1110" s="210"/>
      <c r="BF1110" s="210"/>
      <c r="BG1110" s="210"/>
      <c r="BH1110" s="217"/>
      <c r="BI1110" s="210"/>
      <c r="BJ1110" s="210"/>
      <c r="BK1110" s="210"/>
      <c r="BL1110" s="210"/>
      <c r="BM1110" s="208"/>
      <c r="BN1110" s="160"/>
      <c r="BO1110" s="161">
        <f t="shared" si="1051"/>
        <v>0</v>
      </c>
      <c r="BP1110" s="161"/>
    </row>
    <row r="1111" spans="1:68" ht="63.75">
      <c r="A1111" s="210"/>
      <c r="B1111" s="195" t="s">
        <v>7782</v>
      </c>
      <c r="C1111" s="196" t="s">
        <v>7783</v>
      </c>
      <c r="D1111" s="146" t="s">
        <v>4692</v>
      </c>
      <c r="E1111" s="196" t="s">
        <v>7783</v>
      </c>
      <c r="F1111" s="150">
        <v>0</v>
      </c>
      <c r="G1111" s="209">
        <v>0</v>
      </c>
      <c r="H1111" s="209">
        <v>0</v>
      </c>
      <c r="I1111" s="209">
        <v>0</v>
      </c>
      <c r="J1111" s="150">
        <v>0</v>
      </c>
      <c r="K1111" s="150">
        <v>0</v>
      </c>
      <c r="L1111" s="150">
        <f t="shared" si="1052"/>
        <v>0</v>
      </c>
      <c r="M1111" s="150">
        <v>0</v>
      </c>
      <c r="N1111" s="150">
        <v>0</v>
      </c>
      <c r="O1111" s="150">
        <v>0</v>
      </c>
      <c r="P1111" s="150">
        <v>0</v>
      </c>
      <c r="Q1111" s="150">
        <v>0</v>
      </c>
      <c r="R1111" s="313">
        <f t="shared" si="1038"/>
        <v>0</v>
      </c>
      <c r="S1111" s="150">
        <f t="shared" si="1050"/>
        <v>0</v>
      </c>
      <c r="T1111" s="150"/>
      <c r="U1111" s="150">
        <v>0</v>
      </c>
      <c r="V1111" s="199">
        <v>0</v>
      </c>
      <c r="W1111" s="150">
        <f t="shared" si="1044"/>
        <v>0</v>
      </c>
      <c r="X1111" s="150">
        <v>0</v>
      </c>
      <c r="Y1111" s="150">
        <v>0</v>
      </c>
      <c r="Z1111" s="150">
        <v>0</v>
      </c>
      <c r="AA1111" s="150">
        <f t="shared" si="1045"/>
        <v>0</v>
      </c>
      <c r="AB1111" s="150">
        <v>0</v>
      </c>
      <c r="AC1111" s="199">
        <v>0</v>
      </c>
      <c r="AD1111" s="150">
        <f t="shared" si="1039"/>
        <v>0</v>
      </c>
      <c r="AE1111" s="150">
        <v>0</v>
      </c>
      <c r="AF1111" s="169" t="s">
        <v>4680</v>
      </c>
      <c r="AG1111" s="201">
        <v>0</v>
      </c>
      <c r="AH1111" s="199">
        <v>0</v>
      </c>
      <c r="AI1111" s="150">
        <v>0</v>
      </c>
      <c r="AJ1111" s="169">
        <f t="shared" si="1046"/>
        <v>0</v>
      </c>
      <c r="AK1111" s="201">
        <v>0</v>
      </c>
      <c r="AL1111" s="199">
        <v>0</v>
      </c>
      <c r="AM1111" s="150">
        <f t="shared" si="1040"/>
        <v>0</v>
      </c>
      <c r="AN1111" s="153">
        <f t="shared" si="1047"/>
        <v>0</v>
      </c>
      <c r="AO1111" s="154">
        <f t="shared" si="1048"/>
        <v>0</v>
      </c>
      <c r="AP1111" s="150">
        <v>0</v>
      </c>
      <c r="AQ1111" s="201">
        <v>0</v>
      </c>
      <c r="AR1111" s="199">
        <v>0</v>
      </c>
      <c r="AS1111" s="150">
        <f t="shared" si="1041"/>
        <v>0</v>
      </c>
      <c r="AT1111" s="155"/>
      <c r="AU1111" s="156">
        <f t="shared" si="1042"/>
        <v>0</v>
      </c>
      <c r="AV1111" s="156">
        <f t="shared" si="1043"/>
        <v>0</v>
      </c>
      <c r="AW1111" s="157"/>
      <c r="AX1111" s="150">
        <v>0</v>
      </c>
      <c r="AY1111" s="150">
        <v>0</v>
      </c>
      <c r="AZ1111" s="150">
        <f t="shared" si="1049"/>
        <v>0</v>
      </c>
      <c r="BA1111" s="313">
        <v>0</v>
      </c>
      <c r="BB1111" s="210"/>
      <c r="BC1111" s="210"/>
      <c r="BD1111" s="210"/>
      <c r="BE1111" s="210"/>
      <c r="BF1111" s="210"/>
      <c r="BG1111" s="210"/>
      <c r="BH1111" s="217"/>
      <c r="BI1111" s="210"/>
      <c r="BJ1111" s="210"/>
      <c r="BK1111" s="210"/>
      <c r="BL1111" s="210"/>
      <c r="BM1111" s="208"/>
      <c r="BN1111" s="160"/>
      <c r="BO1111" s="161">
        <f t="shared" si="1051"/>
        <v>0</v>
      </c>
      <c r="BP1111" s="161"/>
    </row>
    <row r="1112" spans="1:68" ht="63.75">
      <c r="A1112" s="210"/>
      <c r="B1112" s="195" t="s">
        <v>7784</v>
      </c>
      <c r="C1112" s="196" t="s">
        <v>7785</v>
      </c>
      <c r="D1112" s="146" t="s">
        <v>4692</v>
      </c>
      <c r="E1112" s="196" t="s">
        <v>7785</v>
      </c>
      <c r="F1112" s="150">
        <v>0</v>
      </c>
      <c r="G1112" s="209">
        <v>0</v>
      </c>
      <c r="H1112" s="209">
        <v>0</v>
      </c>
      <c r="I1112" s="209">
        <v>0</v>
      </c>
      <c r="J1112" s="150">
        <v>0</v>
      </c>
      <c r="K1112" s="150">
        <v>0</v>
      </c>
      <c r="L1112" s="150">
        <f t="shared" si="1052"/>
        <v>0</v>
      </c>
      <c r="M1112" s="150">
        <v>0</v>
      </c>
      <c r="N1112" s="150">
        <v>0</v>
      </c>
      <c r="O1112" s="150">
        <v>0</v>
      </c>
      <c r="P1112" s="150">
        <v>0</v>
      </c>
      <c r="Q1112" s="150">
        <v>0</v>
      </c>
      <c r="R1112" s="313">
        <f t="shared" si="1038"/>
        <v>0</v>
      </c>
      <c r="S1112" s="150">
        <f t="shared" si="1050"/>
        <v>0</v>
      </c>
      <c r="T1112" s="150"/>
      <c r="U1112" s="150">
        <v>0</v>
      </c>
      <c r="V1112" s="199">
        <v>0</v>
      </c>
      <c r="W1112" s="150">
        <f t="shared" si="1044"/>
        <v>0</v>
      </c>
      <c r="X1112" s="150">
        <v>0</v>
      </c>
      <c r="Y1112" s="150">
        <v>0</v>
      </c>
      <c r="Z1112" s="150">
        <v>0</v>
      </c>
      <c r="AA1112" s="150">
        <f t="shared" si="1045"/>
        <v>0</v>
      </c>
      <c r="AB1112" s="150">
        <v>0</v>
      </c>
      <c r="AC1112" s="199">
        <v>0</v>
      </c>
      <c r="AD1112" s="150">
        <f t="shared" si="1039"/>
        <v>0</v>
      </c>
      <c r="AE1112" s="150">
        <v>0</v>
      </c>
      <c r="AF1112" s="169" t="s">
        <v>4680</v>
      </c>
      <c r="AG1112" s="201">
        <v>0</v>
      </c>
      <c r="AH1112" s="199">
        <v>0</v>
      </c>
      <c r="AI1112" s="150">
        <v>0</v>
      </c>
      <c r="AJ1112" s="169">
        <f t="shared" si="1046"/>
        <v>0</v>
      </c>
      <c r="AK1112" s="201">
        <v>0</v>
      </c>
      <c r="AL1112" s="199">
        <v>0</v>
      </c>
      <c r="AM1112" s="150">
        <f t="shared" si="1040"/>
        <v>0</v>
      </c>
      <c r="AN1112" s="153">
        <f t="shared" si="1047"/>
        <v>0</v>
      </c>
      <c r="AO1112" s="154">
        <f t="shared" si="1048"/>
        <v>0</v>
      </c>
      <c r="AP1112" s="150">
        <v>0</v>
      </c>
      <c r="AQ1112" s="201">
        <v>0</v>
      </c>
      <c r="AR1112" s="199">
        <v>0</v>
      </c>
      <c r="AS1112" s="150">
        <f t="shared" si="1041"/>
        <v>0</v>
      </c>
      <c r="AT1112" s="155"/>
      <c r="AU1112" s="156">
        <f t="shared" si="1042"/>
        <v>0</v>
      </c>
      <c r="AV1112" s="156">
        <f t="shared" si="1043"/>
        <v>0</v>
      </c>
      <c r="AW1112" s="157"/>
      <c r="AX1112" s="150">
        <v>0</v>
      </c>
      <c r="AY1112" s="150">
        <v>0</v>
      </c>
      <c r="AZ1112" s="150">
        <f t="shared" si="1049"/>
        <v>0</v>
      </c>
      <c r="BA1112" s="313">
        <v>0</v>
      </c>
      <c r="BB1112" s="210"/>
      <c r="BC1112" s="210"/>
      <c r="BD1112" s="210"/>
      <c r="BE1112" s="210"/>
      <c r="BF1112" s="210"/>
      <c r="BG1112" s="210"/>
      <c r="BH1112" s="217"/>
      <c r="BI1112" s="210"/>
      <c r="BJ1112" s="210"/>
      <c r="BK1112" s="210"/>
      <c r="BL1112" s="210"/>
      <c r="BM1112" s="208"/>
      <c r="BN1112" s="160"/>
      <c r="BO1112" s="161">
        <f t="shared" si="1051"/>
        <v>0</v>
      </c>
      <c r="BP1112" s="161"/>
    </row>
    <row r="1113" spans="1:68" ht="51">
      <c r="A1113" s="210"/>
      <c r="B1113" s="195" t="s">
        <v>7786</v>
      </c>
      <c r="C1113" s="196" t="s">
        <v>7787</v>
      </c>
      <c r="D1113" s="146" t="s">
        <v>4692</v>
      </c>
      <c r="E1113" s="196" t="s">
        <v>7787</v>
      </c>
      <c r="F1113" s="150">
        <v>0</v>
      </c>
      <c r="G1113" s="209">
        <v>0</v>
      </c>
      <c r="H1113" s="209">
        <v>0</v>
      </c>
      <c r="I1113" s="209">
        <v>0</v>
      </c>
      <c r="J1113" s="150">
        <v>0</v>
      </c>
      <c r="K1113" s="150">
        <v>0</v>
      </c>
      <c r="L1113" s="150">
        <f t="shared" si="1052"/>
        <v>0</v>
      </c>
      <c r="M1113" s="150">
        <v>0</v>
      </c>
      <c r="N1113" s="150">
        <v>0</v>
      </c>
      <c r="O1113" s="150">
        <v>0</v>
      </c>
      <c r="P1113" s="150">
        <v>0</v>
      </c>
      <c r="Q1113" s="150">
        <v>0</v>
      </c>
      <c r="R1113" s="313">
        <f t="shared" si="1038"/>
        <v>0</v>
      </c>
      <c r="S1113" s="150">
        <f t="shared" si="1050"/>
        <v>0</v>
      </c>
      <c r="T1113" s="150"/>
      <c r="U1113" s="150">
        <v>0</v>
      </c>
      <c r="V1113" s="199">
        <v>0</v>
      </c>
      <c r="W1113" s="150">
        <f t="shared" si="1044"/>
        <v>0</v>
      </c>
      <c r="X1113" s="150">
        <v>0</v>
      </c>
      <c r="Y1113" s="150">
        <v>0</v>
      </c>
      <c r="Z1113" s="150">
        <v>0</v>
      </c>
      <c r="AA1113" s="150">
        <f t="shared" si="1045"/>
        <v>0</v>
      </c>
      <c r="AB1113" s="150">
        <v>0</v>
      </c>
      <c r="AC1113" s="199">
        <v>0</v>
      </c>
      <c r="AD1113" s="150">
        <f t="shared" si="1039"/>
        <v>0</v>
      </c>
      <c r="AE1113" s="150">
        <v>0</v>
      </c>
      <c r="AF1113" s="169" t="s">
        <v>4680</v>
      </c>
      <c r="AG1113" s="201">
        <v>0</v>
      </c>
      <c r="AH1113" s="199">
        <v>0</v>
      </c>
      <c r="AI1113" s="150">
        <v>0</v>
      </c>
      <c r="AJ1113" s="169">
        <f t="shared" si="1046"/>
        <v>0</v>
      </c>
      <c r="AK1113" s="201">
        <v>0</v>
      </c>
      <c r="AL1113" s="199">
        <v>0</v>
      </c>
      <c r="AM1113" s="150">
        <f t="shared" si="1040"/>
        <v>0</v>
      </c>
      <c r="AN1113" s="153">
        <f t="shared" si="1047"/>
        <v>0</v>
      </c>
      <c r="AO1113" s="154">
        <f t="shared" si="1048"/>
        <v>0</v>
      </c>
      <c r="AP1113" s="150">
        <v>0</v>
      </c>
      <c r="AQ1113" s="201">
        <v>0</v>
      </c>
      <c r="AR1113" s="199">
        <v>0</v>
      </c>
      <c r="AS1113" s="150">
        <f t="shared" si="1041"/>
        <v>0</v>
      </c>
      <c r="AT1113" s="155"/>
      <c r="AU1113" s="156">
        <f t="shared" si="1042"/>
        <v>0</v>
      </c>
      <c r="AV1113" s="156">
        <f t="shared" si="1043"/>
        <v>0</v>
      </c>
      <c r="AW1113" s="157"/>
      <c r="AX1113" s="150">
        <v>0</v>
      </c>
      <c r="AY1113" s="150">
        <v>0</v>
      </c>
      <c r="AZ1113" s="150">
        <f t="shared" si="1049"/>
        <v>0</v>
      </c>
      <c r="BA1113" s="313">
        <v>0</v>
      </c>
      <c r="BB1113" s="210"/>
      <c r="BC1113" s="210"/>
      <c r="BD1113" s="210"/>
      <c r="BE1113" s="210"/>
      <c r="BF1113" s="210"/>
      <c r="BG1113" s="210"/>
      <c r="BH1113" s="217"/>
      <c r="BI1113" s="210"/>
      <c r="BJ1113" s="210"/>
      <c r="BK1113" s="210"/>
      <c r="BL1113" s="210"/>
      <c r="BM1113" s="208"/>
      <c r="BN1113" s="160"/>
      <c r="BO1113" s="161">
        <f t="shared" si="1051"/>
        <v>0</v>
      </c>
      <c r="BP1113" s="161"/>
    </row>
    <row r="1114" spans="1:68" ht="51">
      <c r="A1114" s="210"/>
      <c r="B1114" s="195" t="s">
        <v>7788</v>
      </c>
      <c r="C1114" s="196" t="s">
        <v>7789</v>
      </c>
      <c r="D1114" s="146" t="s">
        <v>4692</v>
      </c>
      <c r="E1114" s="196" t="s">
        <v>7789</v>
      </c>
      <c r="F1114" s="150">
        <v>0</v>
      </c>
      <c r="G1114" s="209">
        <v>0</v>
      </c>
      <c r="H1114" s="209">
        <v>0</v>
      </c>
      <c r="I1114" s="209">
        <v>0</v>
      </c>
      <c r="J1114" s="150">
        <v>0</v>
      </c>
      <c r="K1114" s="150">
        <v>0</v>
      </c>
      <c r="L1114" s="150">
        <f t="shared" si="1052"/>
        <v>0</v>
      </c>
      <c r="M1114" s="150">
        <v>0</v>
      </c>
      <c r="N1114" s="150">
        <v>0</v>
      </c>
      <c r="O1114" s="150">
        <v>0</v>
      </c>
      <c r="P1114" s="150">
        <v>0</v>
      </c>
      <c r="Q1114" s="150">
        <v>0</v>
      </c>
      <c r="R1114" s="313">
        <f t="shared" si="1038"/>
        <v>0</v>
      </c>
      <c r="S1114" s="150">
        <f t="shared" si="1050"/>
        <v>0</v>
      </c>
      <c r="T1114" s="150"/>
      <c r="U1114" s="150">
        <v>0</v>
      </c>
      <c r="V1114" s="199">
        <v>0</v>
      </c>
      <c r="W1114" s="150">
        <f t="shared" si="1044"/>
        <v>0</v>
      </c>
      <c r="X1114" s="150">
        <v>0</v>
      </c>
      <c r="Y1114" s="150">
        <v>0</v>
      </c>
      <c r="Z1114" s="150">
        <v>0</v>
      </c>
      <c r="AA1114" s="150">
        <f t="shared" si="1045"/>
        <v>0</v>
      </c>
      <c r="AB1114" s="150">
        <v>0</v>
      </c>
      <c r="AC1114" s="199">
        <v>0</v>
      </c>
      <c r="AD1114" s="150">
        <f t="shared" si="1039"/>
        <v>0</v>
      </c>
      <c r="AE1114" s="150">
        <v>0</v>
      </c>
      <c r="AF1114" s="169" t="s">
        <v>4680</v>
      </c>
      <c r="AG1114" s="201">
        <v>0</v>
      </c>
      <c r="AH1114" s="199">
        <v>0</v>
      </c>
      <c r="AI1114" s="150">
        <v>0</v>
      </c>
      <c r="AJ1114" s="169">
        <f t="shared" si="1046"/>
        <v>0</v>
      </c>
      <c r="AK1114" s="201">
        <v>0</v>
      </c>
      <c r="AL1114" s="199">
        <v>0</v>
      </c>
      <c r="AM1114" s="150">
        <f t="shared" si="1040"/>
        <v>0</v>
      </c>
      <c r="AN1114" s="153">
        <f t="shared" si="1047"/>
        <v>0</v>
      </c>
      <c r="AO1114" s="154">
        <f t="shared" si="1048"/>
        <v>0</v>
      </c>
      <c r="AP1114" s="150">
        <v>0</v>
      </c>
      <c r="AQ1114" s="201">
        <v>0</v>
      </c>
      <c r="AR1114" s="199">
        <v>0</v>
      </c>
      <c r="AS1114" s="150">
        <f t="shared" si="1041"/>
        <v>0</v>
      </c>
      <c r="AT1114" s="155"/>
      <c r="AU1114" s="156">
        <f t="shared" si="1042"/>
        <v>0</v>
      </c>
      <c r="AV1114" s="156">
        <f t="shared" si="1043"/>
        <v>0</v>
      </c>
      <c r="AW1114" s="157"/>
      <c r="AX1114" s="150">
        <v>0</v>
      </c>
      <c r="AY1114" s="150">
        <v>0</v>
      </c>
      <c r="AZ1114" s="150">
        <f t="shared" si="1049"/>
        <v>0</v>
      </c>
      <c r="BA1114" s="313">
        <v>0</v>
      </c>
      <c r="BB1114" s="210"/>
      <c r="BC1114" s="210"/>
      <c r="BD1114" s="210"/>
      <c r="BE1114" s="210"/>
      <c r="BF1114" s="210"/>
      <c r="BG1114" s="210"/>
      <c r="BH1114" s="217"/>
      <c r="BI1114" s="210"/>
      <c r="BJ1114" s="210"/>
      <c r="BK1114" s="210"/>
      <c r="BL1114" s="210"/>
      <c r="BM1114" s="208"/>
      <c r="BN1114" s="160"/>
      <c r="BO1114" s="161">
        <f t="shared" si="1051"/>
        <v>0</v>
      </c>
      <c r="BP1114" s="161"/>
    </row>
    <row r="1115" spans="1:68" ht="51">
      <c r="A1115" s="210"/>
      <c r="B1115" s="195" t="s">
        <v>7790</v>
      </c>
      <c r="C1115" s="196" t="s">
        <v>7791</v>
      </c>
      <c r="D1115" s="146" t="s">
        <v>4692</v>
      </c>
      <c r="E1115" s="196" t="s">
        <v>7791</v>
      </c>
      <c r="F1115" s="150">
        <v>0</v>
      </c>
      <c r="G1115" s="209">
        <v>0</v>
      </c>
      <c r="H1115" s="209">
        <v>0</v>
      </c>
      <c r="I1115" s="209">
        <v>0</v>
      </c>
      <c r="J1115" s="150">
        <v>0</v>
      </c>
      <c r="K1115" s="150">
        <v>0</v>
      </c>
      <c r="L1115" s="150">
        <f t="shared" si="1052"/>
        <v>0</v>
      </c>
      <c r="M1115" s="150">
        <v>0</v>
      </c>
      <c r="N1115" s="150">
        <v>0</v>
      </c>
      <c r="O1115" s="150">
        <v>0</v>
      </c>
      <c r="P1115" s="150">
        <v>0</v>
      </c>
      <c r="Q1115" s="150">
        <v>0</v>
      </c>
      <c r="R1115" s="313">
        <f t="shared" si="1038"/>
        <v>0</v>
      </c>
      <c r="S1115" s="150">
        <f t="shared" si="1050"/>
        <v>0</v>
      </c>
      <c r="T1115" s="150"/>
      <c r="U1115" s="150">
        <v>0</v>
      </c>
      <c r="V1115" s="199">
        <v>0</v>
      </c>
      <c r="W1115" s="150">
        <f t="shared" si="1044"/>
        <v>0</v>
      </c>
      <c r="X1115" s="150">
        <v>0</v>
      </c>
      <c r="Y1115" s="150">
        <v>0</v>
      </c>
      <c r="Z1115" s="150">
        <v>0</v>
      </c>
      <c r="AA1115" s="150">
        <f t="shared" si="1045"/>
        <v>0</v>
      </c>
      <c r="AB1115" s="150">
        <v>0</v>
      </c>
      <c r="AC1115" s="199">
        <v>0</v>
      </c>
      <c r="AD1115" s="150">
        <f t="shared" si="1039"/>
        <v>0</v>
      </c>
      <c r="AE1115" s="150">
        <v>0</v>
      </c>
      <c r="AF1115" s="169" t="s">
        <v>4680</v>
      </c>
      <c r="AG1115" s="201">
        <v>0</v>
      </c>
      <c r="AH1115" s="199">
        <v>0</v>
      </c>
      <c r="AI1115" s="150">
        <v>0</v>
      </c>
      <c r="AJ1115" s="169">
        <f t="shared" si="1046"/>
        <v>0</v>
      </c>
      <c r="AK1115" s="201">
        <v>0</v>
      </c>
      <c r="AL1115" s="199">
        <v>0</v>
      </c>
      <c r="AM1115" s="150">
        <f t="shared" si="1040"/>
        <v>0</v>
      </c>
      <c r="AN1115" s="153">
        <f t="shared" si="1047"/>
        <v>0</v>
      </c>
      <c r="AO1115" s="154">
        <f t="shared" si="1048"/>
        <v>0</v>
      </c>
      <c r="AP1115" s="150">
        <v>0</v>
      </c>
      <c r="AQ1115" s="201">
        <v>0</v>
      </c>
      <c r="AR1115" s="199">
        <v>0</v>
      </c>
      <c r="AS1115" s="150">
        <f t="shared" si="1041"/>
        <v>0</v>
      </c>
      <c r="AT1115" s="155"/>
      <c r="AU1115" s="156">
        <f t="shared" si="1042"/>
        <v>0</v>
      </c>
      <c r="AV1115" s="156">
        <f t="shared" si="1043"/>
        <v>0</v>
      </c>
      <c r="AW1115" s="157"/>
      <c r="AX1115" s="150">
        <v>0</v>
      </c>
      <c r="AY1115" s="150">
        <v>0</v>
      </c>
      <c r="AZ1115" s="150">
        <f t="shared" si="1049"/>
        <v>0</v>
      </c>
      <c r="BA1115" s="313">
        <v>0</v>
      </c>
      <c r="BB1115" s="210"/>
      <c r="BC1115" s="210"/>
      <c r="BD1115" s="210"/>
      <c r="BE1115" s="210"/>
      <c r="BF1115" s="210"/>
      <c r="BG1115" s="210"/>
      <c r="BH1115" s="217"/>
      <c r="BI1115" s="210"/>
      <c r="BJ1115" s="210"/>
      <c r="BK1115" s="210"/>
      <c r="BL1115" s="210"/>
      <c r="BM1115" s="208"/>
      <c r="BN1115" s="160"/>
      <c r="BO1115" s="161">
        <f t="shared" si="1051"/>
        <v>0</v>
      </c>
      <c r="BP1115" s="161"/>
    </row>
    <row r="1116" spans="1:68" ht="51">
      <c r="A1116" s="210"/>
      <c r="B1116" s="195" t="s">
        <v>7792</v>
      </c>
      <c r="C1116" s="196" t="s">
        <v>7793</v>
      </c>
      <c r="D1116" s="146" t="s">
        <v>4692</v>
      </c>
      <c r="E1116" s="196" t="s">
        <v>7793</v>
      </c>
      <c r="F1116" s="150">
        <v>0</v>
      </c>
      <c r="G1116" s="209">
        <v>0</v>
      </c>
      <c r="H1116" s="209">
        <v>0</v>
      </c>
      <c r="I1116" s="209">
        <v>0</v>
      </c>
      <c r="J1116" s="150">
        <v>0</v>
      </c>
      <c r="K1116" s="150">
        <v>0</v>
      </c>
      <c r="L1116" s="150">
        <f t="shared" si="1052"/>
        <v>0</v>
      </c>
      <c r="M1116" s="150">
        <v>0</v>
      </c>
      <c r="N1116" s="150">
        <v>0</v>
      </c>
      <c r="O1116" s="150">
        <v>0</v>
      </c>
      <c r="P1116" s="150">
        <v>0</v>
      </c>
      <c r="Q1116" s="150">
        <v>0</v>
      </c>
      <c r="R1116" s="313">
        <f t="shared" si="1038"/>
        <v>0</v>
      </c>
      <c r="S1116" s="150">
        <f t="shared" si="1050"/>
        <v>0</v>
      </c>
      <c r="T1116" s="150"/>
      <c r="U1116" s="150">
        <v>0</v>
      </c>
      <c r="V1116" s="199">
        <v>0</v>
      </c>
      <c r="W1116" s="150">
        <f t="shared" si="1044"/>
        <v>0</v>
      </c>
      <c r="X1116" s="150">
        <v>0</v>
      </c>
      <c r="Y1116" s="150">
        <v>0</v>
      </c>
      <c r="Z1116" s="150">
        <v>0</v>
      </c>
      <c r="AA1116" s="150">
        <f t="shared" si="1045"/>
        <v>0</v>
      </c>
      <c r="AB1116" s="150">
        <v>0</v>
      </c>
      <c r="AC1116" s="199">
        <v>0</v>
      </c>
      <c r="AD1116" s="150">
        <f t="shared" si="1039"/>
        <v>0</v>
      </c>
      <c r="AE1116" s="150">
        <v>0</v>
      </c>
      <c r="AF1116" s="169" t="s">
        <v>4680</v>
      </c>
      <c r="AG1116" s="201">
        <v>0</v>
      </c>
      <c r="AH1116" s="199">
        <v>0</v>
      </c>
      <c r="AI1116" s="150">
        <v>0</v>
      </c>
      <c r="AJ1116" s="169">
        <f t="shared" si="1046"/>
        <v>0</v>
      </c>
      <c r="AK1116" s="201">
        <v>0</v>
      </c>
      <c r="AL1116" s="199">
        <v>0</v>
      </c>
      <c r="AM1116" s="150">
        <f t="shared" si="1040"/>
        <v>0</v>
      </c>
      <c r="AN1116" s="153">
        <f t="shared" si="1047"/>
        <v>0</v>
      </c>
      <c r="AO1116" s="154">
        <f t="shared" si="1048"/>
        <v>0</v>
      </c>
      <c r="AP1116" s="150">
        <v>0</v>
      </c>
      <c r="AQ1116" s="201">
        <v>0</v>
      </c>
      <c r="AR1116" s="199">
        <v>0</v>
      </c>
      <c r="AS1116" s="150">
        <f t="shared" si="1041"/>
        <v>0</v>
      </c>
      <c r="AT1116" s="155"/>
      <c r="AU1116" s="156">
        <f t="shared" si="1042"/>
        <v>0</v>
      </c>
      <c r="AV1116" s="156">
        <f t="shared" si="1043"/>
        <v>0</v>
      </c>
      <c r="AW1116" s="157"/>
      <c r="AX1116" s="150">
        <v>0</v>
      </c>
      <c r="AY1116" s="150">
        <v>0</v>
      </c>
      <c r="AZ1116" s="150">
        <f t="shared" si="1049"/>
        <v>0</v>
      </c>
      <c r="BA1116" s="313">
        <v>0</v>
      </c>
      <c r="BB1116" s="210"/>
      <c r="BC1116" s="210"/>
      <c r="BD1116" s="210"/>
      <c r="BE1116" s="210"/>
      <c r="BF1116" s="210"/>
      <c r="BG1116" s="210"/>
      <c r="BH1116" s="217"/>
      <c r="BI1116" s="210"/>
      <c r="BJ1116" s="210"/>
      <c r="BK1116" s="210"/>
      <c r="BL1116" s="210"/>
      <c r="BM1116" s="208"/>
      <c r="BN1116" s="160"/>
      <c r="BO1116" s="161">
        <f t="shared" si="1051"/>
        <v>0</v>
      </c>
      <c r="BP1116" s="161"/>
    </row>
    <row r="1117" spans="1:68" ht="51">
      <c r="A1117" s="210"/>
      <c r="B1117" s="195" t="s">
        <v>7794</v>
      </c>
      <c r="C1117" s="196" t="s">
        <v>7795</v>
      </c>
      <c r="D1117" s="146" t="s">
        <v>4692</v>
      </c>
      <c r="E1117" s="196" t="s">
        <v>7795</v>
      </c>
      <c r="F1117" s="150">
        <v>0</v>
      </c>
      <c r="G1117" s="209">
        <v>0</v>
      </c>
      <c r="H1117" s="209">
        <v>0</v>
      </c>
      <c r="I1117" s="209">
        <v>0</v>
      </c>
      <c r="J1117" s="150">
        <v>0</v>
      </c>
      <c r="K1117" s="150">
        <v>0</v>
      </c>
      <c r="L1117" s="150">
        <f t="shared" si="1052"/>
        <v>0</v>
      </c>
      <c r="M1117" s="150">
        <v>0</v>
      </c>
      <c r="N1117" s="150">
        <v>0</v>
      </c>
      <c r="O1117" s="150">
        <v>0</v>
      </c>
      <c r="P1117" s="150">
        <v>0</v>
      </c>
      <c r="Q1117" s="150">
        <v>0</v>
      </c>
      <c r="R1117" s="313">
        <f t="shared" si="1038"/>
        <v>0</v>
      </c>
      <c r="S1117" s="150">
        <f t="shared" si="1050"/>
        <v>0</v>
      </c>
      <c r="T1117" s="150"/>
      <c r="U1117" s="150">
        <v>0</v>
      </c>
      <c r="V1117" s="199">
        <v>0</v>
      </c>
      <c r="W1117" s="150">
        <f t="shared" si="1044"/>
        <v>0</v>
      </c>
      <c r="X1117" s="150">
        <v>0</v>
      </c>
      <c r="Y1117" s="150">
        <v>0</v>
      </c>
      <c r="Z1117" s="150">
        <v>0</v>
      </c>
      <c r="AA1117" s="150">
        <f t="shared" si="1045"/>
        <v>0</v>
      </c>
      <c r="AB1117" s="150">
        <v>0</v>
      </c>
      <c r="AC1117" s="199">
        <v>0</v>
      </c>
      <c r="AD1117" s="150">
        <f t="shared" si="1039"/>
        <v>0</v>
      </c>
      <c r="AE1117" s="150">
        <v>0</v>
      </c>
      <c r="AF1117" s="169" t="s">
        <v>4680</v>
      </c>
      <c r="AG1117" s="201">
        <v>0</v>
      </c>
      <c r="AH1117" s="199">
        <v>0</v>
      </c>
      <c r="AI1117" s="150">
        <v>0</v>
      </c>
      <c r="AJ1117" s="169">
        <f t="shared" si="1046"/>
        <v>0</v>
      </c>
      <c r="AK1117" s="201">
        <v>0</v>
      </c>
      <c r="AL1117" s="199">
        <v>0</v>
      </c>
      <c r="AM1117" s="150">
        <f t="shared" si="1040"/>
        <v>0</v>
      </c>
      <c r="AN1117" s="153">
        <f t="shared" si="1047"/>
        <v>0</v>
      </c>
      <c r="AO1117" s="154">
        <f t="shared" si="1048"/>
        <v>0</v>
      </c>
      <c r="AP1117" s="150">
        <v>0</v>
      </c>
      <c r="AQ1117" s="201">
        <v>0</v>
      </c>
      <c r="AR1117" s="199">
        <v>0</v>
      </c>
      <c r="AS1117" s="150">
        <f t="shared" si="1041"/>
        <v>0</v>
      </c>
      <c r="AT1117" s="155"/>
      <c r="AU1117" s="156">
        <f t="shared" si="1042"/>
        <v>0</v>
      </c>
      <c r="AV1117" s="156">
        <f t="shared" si="1043"/>
        <v>0</v>
      </c>
      <c r="AW1117" s="157"/>
      <c r="AX1117" s="150">
        <v>0</v>
      </c>
      <c r="AY1117" s="150">
        <v>0</v>
      </c>
      <c r="AZ1117" s="150">
        <f t="shared" si="1049"/>
        <v>0</v>
      </c>
      <c r="BA1117" s="313">
        <v>0</v>
      </c>
      <c r="BB1117" s="210"/>
      <c r="BC1117" s="210"/>
      <c r="BD1117" s="210"/>
      <c r="BE1117" s="210"/>
      <c r="BF1117" s="210"/>
      <c r="BG1117" s="210"/>
      <c r="BH1117" s="217"/>
      <c r="BI1117" s="210"/>
      <c r="BJ1117" s="210"/>
      <c r="BK1117" s="210"/>
      <c r="BL1117" s="210"/>
      <c r="BM1117" s="208"/>
      <c r="BN1117" s="160"/>
      <c r="BO1117" s="161">
        <f t="shared" si="1051"/>
        <v>0</v>
      </c>
      <c r="BP1117" s="161"/>
    </row>
    <row r="1118" spans="1:68" ht="63.75">
      <c r="A1118" s="210"/>
      <c r="B1118" s="195" t="s">
        <v>7796</v>
      </c>
      <c r="C1118" s="196" t="s">
        <v>7797</v>
      </c>
      <c r="D1118" s="146" t="s">
        <v>4692</v>
      </c>
      <c r="E1118" s="196" t="s">
        <v>7797</v>
      </c>
      <c r="F1118" s="150">
        <v>0</v>
      </c>
      <c r="G1118" s="209">
        <v>24469.39</v>
      </c>
      <c r="H1118" s="209">
        <v>33718.230000000003</v>
      </c>
      <c r="I1118" s="209">
        <v>58187.62</v>
      </c>
      <c r="J1118" s="150">
        <v>0</v>
      </c>
      <c r="K1118" s="150">
        <v>0</v>
      </c>
      <c r="L1118" s="150">
        <f t="shared" si="1052"/>
        <v>0</v>
      </c>
      <c r="M1118" s="150">
        <v>0</v>
      </c>
      <c r="N1118" s="150">
        <v>0</v>
      </c>
      <c r="O1118" s="150">
        <v>0</v>
      </c>
      <c r="P1118" s="150">
        <v>0</v>
      </c>
      <c r="Q1118" s="150">
        <v>0</v>
      </c>
      <c r="R1118" s="313">
        <f t="shared" si="1038"/>
        <v>0</v>
      </c>
      <c r="S1118" s="150">
        <f t="shared" si="1050"/>
        <v>0</v>
      </c>
      <c r="T1118" s="150"/>
      <c r="U1118" s="150">
        <v>0</v>
      </c>
      <c r="V1118" s="199">
        <v>0</v>
      </c>
      <c r="W1118" s="150">
        <f t="shared" si="1044"/>
        <v>0</v>
      </c>
      <c r="X1118" s="150">
        <v>0</v>
      </c>
      <c r="Y1118" s="150">
        <v>0</v>
      </c>
      <c r="Z1118" s="150">
        <v>0</v>
      </c>
      <c r="AA1118" s="150">
        <f t="shared" si="1045"/>
        <v>0</v>
      </c>
      <c r="AB1118" s="150">
        <v>0</v>
      </c>
      <c r="AC1118" s="199">
        <v>0</v>
      </c>
      <c r="AD1118" s="150">
        <f t="shared" si="1039"/>
        <v>0</v>
      </c>
      <c r="AE1118" s="150">
        <v>0</v>
      </c>
      <c r="AF1118" s="169" t="s">
        <v>4680</v>
      </c>
      <c r="AG1118" s="201">
        <v>0</v>
      </c>
      <c r="AH1118" s="199">
        <v>0</v>
      </c>
      <c r="AI1118" s="150">
        <v>0</v>
      </c>
      <c r="AJ1118" s="169">
        <f t="shared" si="1046"/>
        <v>0</v>
      </c>
      <c r="AK1118" s="201">
        <v>0</v>
      </c>
      <c r="AL1118" s="199">
        <v>0</v>
      </c>
      <c r="AM1118" s="150">
        <f t="shared" si="1040"/>
        <v>0</v>
      </c>
      <c r="AN1118" s="153">
        <f t="shared" si="1047"/>
        <v>0</v>
      </c>
      <c r="AO1118" s="154">
        <f t="shared" si="1048"/>
        <v>0</v>
      </c>
      <c r="AP1118" s="150">
        <v>0</v>
      </c>
      <c r="AQ1118" s="201">
        <v>0</v>
      </c>
      <c r="AR1118" s="199">
        <v>0</v>
      </c>
      <c r="AS1118" s="150">
        <f t="shared" si="1041"/>
        <v>0</v>
      </c>
      <c r="AT1118" s="155"/>
      <c r="AU1118" s="156">
        <f t="shared" si="1042"/>
        <v>0</v>
      </c>
      <c r="AV1118" s="156">
        <f t="shared" si="1043"/>
        <v>0</v>
      </c>
      <c r="AW1118" s="157"/>
      <c r="AX1118" s="150">
        <v>0</v>
      </c>
      <c r="AY1118" s="150">
        <v>0</v>
      </c>
      <c r="AZ1118" s="150">
        <f t="shared" si="1049"/>
        <v>0</v>
      </c>
      <c r="BA1118" s="313">
        <v>0</v>
      </c>
      <c r="BB1118" s="210"/>
      <c r="BC1118" s="210"/>
      <c r="BD1118" s="210"/>
      <c r="BE1118" s="210"/>
      <c r="BF1118" s="210"/>
      <c r="BG1118" s="210"/>
      <c r="BH1118" s="217"/>
      <c r="BI1118" s="210"/>
      <c r="BJ1118" s="210"/>
      <c r="BK1118" s="210"/>
      <c r="BL1118" s="210"/>
      <c r="BM1118" s="208"/>
      <c r="BN1118" s="160"/>
      <c r="BO1118" s="161">
        <f t="shared" si="1051"/>
        <v>0</v>
      </c>
      <c r="BP1118" s="161"/>
    </row>
    <row r="1119" spans="1:68" ht="51">
      <c r="A1119" s="206" t="s">
        <v>452</v>
      </c>
      <c r="B1119" s="195" t="s">
        <v>7798</v>
      </c>
      <c r="C1119" s="196" t="s">
        <v>7799</v>
      </c>
      <c r="D1119" s="146" t="s">
        <v>4692</v>
      </c>
      <c r="E1119" s="196" t="s">
        <v>7799</v>
      </c>
      <c r="F1119" s="150">
        <v>58187.39</v>
      </c>
      <c r="G1119" s="209">
        <v>66275.7</v>
      </c>
      <c r="H1119" s="209">
        <v>318047.54500000004</v>
      </c>
      <c r="I1119" s="209">
        <v>384323.24500000005</v>
      </c>
      <c r="J1119" s="150">
        <v>5866.62</v>
      </c>
      <c r="K1119" s="150">
        <v>0</v>
      </c>
      <c r="L1119" s="150">
        <f t="shared" si="1052"/>
        <v>5866.62</v>
      </c>
      <c r="M1119" s="150">
        <v>10013.24</v>
      </c>
      <c r="N1119" s="150">
        <v>20169.921538461538</v>
      </c>
      <c r="O1119" s="150">
        <v>30183.161538461536</v>
      </c>
      <c r="P1119" s="150">
        <v>13278.47</v>
      </c>
      <c r="Q1119" s="150">
        <v>14768.997307692305</v>
      </c>
      <c r="R1119" s="313">
        <f t="shared" si="1038"/>
        <v>28047.467307692306</v>
      </c>
      <c r="S1119" s="150">
        <f t="shared" si="1050"/>
        <v>37396.623076923075</v>
      </c>
      <c r="T1119" s="150"/>
      <c r="U1119" s="150">
        <v>16911.21</v>
      </c>
      <c r="V1119" s="199">
        <v>18359.004516129033</v>
      </c>
      <c r="W1119" s="150">
        <f t="shared" si="1044"/>
        <v>35270.214516129032</v>
      </c>
      <c r="X1119" s="150">
        <v>16911.21</v>
      </c>
      <c r="Y1119" s="150">
        <v>18359.004516129033</v>
      </c>
      <c r="Z1119" s="150">
        <v>35270.214516129032</v>
      </c>
      <c r="AA1119" s="150">
        <f t="shared" si="1045"/>
        <v>-4.5161290327087045E-3</v>
      </c>
      <c r="AB1119" s="150">
        <v>16911.21</v>
      </c>
      <c r="AC1119" s="199">
        <v>18359</v>
      </c>
      <c r="AD1119" s="150">
        <f t="shared" si="1039"/>
        <v>35270.21</v>
      </c>
      <c r="AE1119" s="150">
        <v>35270.21</v>
      </c>
      <c r="AF1119" s="169" t="s">
        <v>4680</v>
      </c>
      <c r="AG1119" s="201">
        <v>16911.21</v>
      </c>
      <c r="AH1119" s="199">
        <v>18359</v>
      </c>
      <c r="AI1119" s="150">
        <v>35270.21</v>
      </c>
      <c r="AJ1119" s="169">
        <f t="shared" si="1046"/>
        <v>0</v>
      </c>
      <c r="AK1119" s="201">
        <v>16911.21</v>
      </c>
      <c r="AL1119" s="199">
        <v>18359</v>
      </c>
      <c r="AM1119" s="150">
        <f t="shared" si="1040"/>
        <v>35270.21</v>
      </c>
      <c r="AN1119" s="153">
        <f t="shared" si="1047"/>
        <v>0</v>
      </c>
      <c r="AO1119" s="154">
        <f t="shared" si="1048"/>
        <v>0</v>
      </c>
      <c r="AP1119" s="150">
        <v>35270.21</v>
      </c>
      <c r="AQ1119" s="201">
        <v>35270.21</v>
      </c>
      <c r="AR1119" s="199"/>
      <c r="AS1119" s="150">
        <f t="shared" si="1041"/>
        <v>35270.21</v>
      </c>
      <c r="AT1119" s="155"/>
      <c r="AU1119" s="156">
        <f t="shared" si="1042"/>
        <v>0</v>
      </c>
      <c r="AV1119" s="156">
        <f t="shared" si="1043"/>
        <v>-4.5161290327087045E-3</v>
      </c>
      <c r="AW1119" s="157"/>
      <c r="AX1119" s="150">
        <v>35270.214516129032</v>
      </c>
      <c r="AY1119" s="150">
        <v>11108.78</v>
      </c>
      <c r="AZ1119" s="150">
        <f t="shared" si="1049"/>
        <v>49257.543076923073</v>
      </c>
      <c r="BA1119" s="313">
        <v>60366.323076923072</v>
      </c>
      <c r="BB1119" s="202">
        <v>5</v>
      </c>
      <c r="BC1119" s="202" t="s">
        <v>647</v>
      </c>
      <c r="BD1119" s="194" t="s">
        <v>647</v>
      </c>
      <c r="BE1119" s="335" t="s">
        <v>671</v>
      </c>
      <c r="BF1119" s="202" t="s">
        <v>647</v>
      </c>
      <c r="BG1119" s="287" t="s">
        <v>7800</v>
      </c>
      <c r="BH1119" s="283">
        <f>SUM(AS1119:AS1121)</f>
        <v>324267.47000000003</v>
      </c>
      <c r="BI1119" s="205"/>
      <c r="BJ1119" s="206" t="s">
        <v>7734</v>
      </c>
      <c r="BK1119" s="206" t="s">
        <v>452</v>
      </c>
      <c r="BL1119" s="207" t="s">
        <v>7735</v>
      </c>
      <c r="BM1119" s="208">
        <f>BH1119</f>
        <v>324267.47000000003</v>
      </c>
      <c r="BN1119" s="160"/>
      <c r="BO1119" s="161"/>
      <c r="BP1119" s="161"/>
    </row>
    <row r="1120" spans="1:68" ht="38.25">
      <c r="A1120" s="210"/>
      <c r="B1120" s="195" t="s">
        <v>7801</v>
      </c>
      <c r="C1120" s="196" t="s">
        <v>7802</v>
      </c>
      <c r="D1120" s="146" t="s">
        <v>4692</v>
      </c>
      <c r="E1120" s="196" t="s">
        <v>7802</v>
      </c>
      <c r="F1120" s="150">
        <v>384323.7</v>
      </c>
      <c r="G1120" s="209">
        <v>0</v>
      </c>
      <c r="H1120" s="209">
        <v>0</v>
      </c>
      <c r="I1120" s="209">
        <v>0</v>
      </c>
      <c r="J1120" s="150">
        <v>9732.94</v>
      </c>
      <c r="K1120" s="150">
        <v>0</v>
      </c>
      <c r="L1120" s="150">
        <f t="shared" si="1052"/>
        <v>9732.94</v>
      </c>
      <c r="M1120" s="150">
        <v>22728.05</v>
      </c>
      <c r="N1120" s="150">
        <v>112892.90999999999</v>
      </c>
      <c r="O1120" s="150">
        <v>135620.96</v>
      </c>
      <c r="P1120" s="150">
        <v>33179.440000000002</v>
      </c>
      <c r="Q1120" s="150">
        <v>179286.16769230767</v>
      </c>
      <c r="R1120" s="313">
        <f t="shared" si="1038"/>
        <v>212465.60769230768</v>
      </c>
      <c r="S1120" s="150">
        <f t="shared" si="1050"/>
        <v>283287.4769230769</v>
      </c>
      <c r="T1120" s="150"/>
      <c r="U1120" s="150">
        <v>47040.09</v>
      </c>
      <c r="V1120" s="199">
        <v>240511.08419354839</v>
      </c>
      <c r="W1120" s="150">
        <f t="shared" si="1044"/>
        <v>287551.17419354839</v>
      </c>
      <c r="X1120" s="150">
        <v>47040.09</v>
      </c>
      <c r="Y1120" s="150">
        <v>240511.08419354839</v>
      </c>
      <c r="Z1120" s="150">
        <v>287551.17419354839</v>
      </c>
      <c r="AA1120" s="150">
        <f t="shared" si="1045"/>
        <v>1446.0858064516215</v>
      </c>
      <c r="AB1120" s="150">
        <v>47040.09</v>
      </c>
      <c r="AC1120" s="199">
        <v>241957.17</v>
      </c>
      <c r="AD1120" s="150">
        <f t="shared" si="1039"/>
        <v>288997.26</v>
      </c>
      <c r="AE1120" s="150">
        <v>288997.26</v>
      </c>
      <c r="AF1120" s="169" t="s">
        <v>4680</v>
      </c>
      <c r="AG1120" s="201">
        <v>47040.09</v>
      </c>
      <c r="AH1120" s="199">
        <v>241957.17</v>
      </c>
      <c r="AI1120" s="150">
        <v>288997.26</v>
      </c>
      <c r="AJ1120" s="169">
        <f t="shared" si="1046"/>
        <v>0</v>
      </c>
      <c r="AK1120" s="201">
        <v>47040.09</v>
      </c>
      <c r="AL1120" s="199">
        <v>241957.17</v>
      </c>
      <c r="AM1120" s="150">
        <f t="shared" si="1040"/>
        <v>288997.26</v>
      </c>
      <c r="AN1120" s="153">
        <f t="shared" si="1047"/>
        <v>0</v>
      </c>
      <c r="AO1120" s="154">
        <f t="shared" si="1048"/>
        <v>0</v>
      </c>
      <c r="AP1120" s="150">
        <v>288997.26</v>
      </c>
      <c r="AQ1120" s="201">
        <v>288997.26</v>
      </c>
      <c r="AR1120" s="199"/>
      <c r="AS1120" s="150">
        <f t="shared" si="1041"/>
        <v>288997.26</v>
      </c>
      <c r="AT1120" s="155"/>
      <c r="AU1120" s="156">
        <f t="shared" si="1042"/>
        <v>0</v>
      </c>
      <c r="AV1120" s="156">
        <f t="shared" si="1043"/>
        <v>1446.0858064516215</v>
      </c>
      <c r="AW1120" s="157"/>
      <c r="AX1120" s="150">
        <v>287551.17419354839</v>
      </c>
      <c r="AY1120" s="150">
        <v>26631.94</v>
      </c>
      <c r="AZ1120" s="150">
        <f t="shared" si="1049"/>
        <v>244609.97999999998</v>
      </c>
      <c r="BA1120" s="313">
        <v>271241.92</v>
      </c>
      <c r="BB1120" s="210"/>
      <c r="BC1120" s="210"/>
      <c r="BD1120" s="210"/>
      <c r="BE1120" s="210"/>
      <c r="BF1120" s="210"/>
      <c r="BG1120" s="210"/>
      <c r="BH1120" s="217"/>
      <c r="BI1120" s="210"/>
      <c r="BJ1120" s="210"/>
      <c r="BK1120" s="210"/>
      <c r="BL1120" s="210"/>
      <c r="BM1120" s="208"/>
      <c r="BN1120" s="160"/>
      <c r="BO1120" s="161"/>
      <c r="BP1120" s="161"/>
    </row>
    <row r="1121" spans="1:68" ht="51">
      <c r="A1121" s="210"/>
      <c r="B1121" s="195" t="s">
        <v>7803</v>
      </c>
      <c r="C1121" s="196" t="s">
        <v>7804</v>
      </c>
      <c r="D1121" s="146" t="s">
        <v>4692</v>
      </c>
      <c r="E1121" s="196" t="s">
        <v>7804</v>
      </c>
      <c r="F1121" s="150">
        <v>0</v>
      </c>
      <c r="G1121" s="209">
        <v>0</v>
      </c>
      <c r="H1121" s="209">
        <v>0</v>
      </c>
      <c r="I1121" s="209">
        <v>0</v>
      </c>
      <c r="J1121" s="150">
        <v>0</v>
      </c>
      <c r="K1121" s="150">
        <v>0</v>
      </c>
      <c r="L1121" s="150">
        <f t="shared" si="1052"/>
        <v>0</v>
      </c>
      <c r="M1121" s="150">
        <v>0</v>
      </c>
      <c r="N1121" s="150">
        <v>0</v>
      </c>
      <c r="O1121" s="150">
        <v>0</v>
      </c>
      <c r="P1121" s="150">
        <v>0</v>
      </c>
      <c r="Q1121" s="150">
        <v>0</v>
      </c>
      <c r="R1121" s="313">
        <f t="shared" si="1038"/>
        <v>0</v>
      </c>
      <c r="S1121" s="150">
        <f t="shared" si="1050"/>
        <v>0</v>
      </c>
      <c r="T1121" s="150"/>
      <c r="U1121" s="150">
        <v>0</v>
      </c>
      <c r="V1121" s="199">
        <v>0</v>
      </c>
      <c r="W1121" s="150">
        <f t="shared" si="1044"/>
        <v>0</v>
      </c>
      <c r="X1121" s="150">
        <v>0</v>
      </c>
      <c r="Y1121" s="150">
        <v>0</v>
      </c>
      <c r="Z1121" s="150">
        <v>0</v>
      </c>
      <c r="AA1121" s="150">
        <f t="shared" si="1045"/>
        <v>0</v>
      </c>
      <c r="AB1121" s="150">
        <v>0</v>
      </c>
      <c r="AC1121" s="199">
        <v>0</v>
      </c>
      <c r="AD1121" s="150">
        <f t="shared" si="1039"/>
        <v>0</v>
      </c>
      <c r="AE1121" s="150">
        <v>0</v>
      </c>
      <c r="AF1121" s="169" t="s">
        <v>4680</v>
      </c>
      <c r="AG1121" s="201">
        <v>0</v>
      </c>
      <c r="AH1121" s="199">
        <v>0</v>
      </c>
      <c r="AI1121" s="150">
        <v>0</v>
      </c>
      <c r="AJ1121" s="169">
        <f t="shared" si="1046"/>
        <v>0</v>
      </c>
      <c r="AK1121" s="201">
        <v>0</v>
      </c>
      <c r="AL1121" s="199">
        <v>0</v>
      </c>
      <c r="AM1121" s="150">
        <f t="shared" si="1040"/>
        <v>0</v>
      </c>
      <c r="AN1121" s="153">
        <f t="shared" si="1047"/>
        <v>0</v>
      </c>
      <c r="AO1121" s="154">
        <f t="shared" si="1048"/>
        <v>0</v>
      </c>
      <c r="AP1121" s="150">
        <v>0</v>
      </c>
      <c r="AQ1121" s="201">
        <v>0</v>
      </c>
      <c r="AR1121" s="199">
        <v>0</v>
      </c>
      <c r="AS1121" s="150">
        <f t="shared" si="1041"/>
        <v>0</v>
      </c>
      <c r="AT1121" s="155"/>
      <c r="AU1121" s="156">
        <f t="shared" si="1042"/>
        <v>0</v>
      </c>
      <c r="AV1121" s="156">
        <f t="shared" si="1043"/>
        <v>0</v>
      </c>
      <c r="AW1121" s="157"/>
      <c r="AX1121" s="150">
        <v>0</v>
      </c>
      <c r="AY1121" s="150">
        <v>0</v>
      </c>
      <c r="AZ1121" s="150">
        <f t="shared" si="1049"/>
        <v>0</v>
      </c>
      <c r="BA1121" s="313">
        <v>0</v>
      </c>
      <c r="BB1121" s="210"/>
      <c r="BC1121" s="210"/>
      <c r="BD1121" s="210"/>
      <c r="BE1121" s="210"/>
      <c r="BF1121" s="210"/>
      <c r="BG1121" s="210"/>
      <c r="BH1121" s="217"/>
      <c r="BI1121" s="210"/>
      <c r="BJ1121" s="210"/>
      <c r="BK1121" s="210"/>
      <c r="BL1121" s="210"/>
      <c r="BM1121" s="208"/>
      <c r="BN1121" s="160"/>
      <c r="BO1121" s="161">
        <f t="shared" si="1051"/>
        <v>0</v>
      </c>
      <c r="BP1121" s="161"/>
    </row>
    <row r="1122" spans="1:68" ht="51">
      <c r="A1122" s="206" t="s">
        <v>452</v>
      </c>
      <c r="B1122" s="195" t="s">
        <v>7805</v>
      </c>
      <c r="C1122" s="196" t="s">
        <v>7806</v>
      </c>
      <c r="D1122" s="146" t="s">
        <v>4692</v>
      </c>
      <c r="E1122" s="196" t="s">
        <v>7806</v>
      </c>
      <c r="F1122" s="150">
        <v>0</v>
      </c>
      <c r="G1122" s="209">
        <v>6848.17</v>
      </c>
      <c r="H1122" s="209">
        <v>-6848.17</v>
      </c>
      <c r="I1122" s="209">
        <v>0</v>
      </c>
      <c r="J1122" s="150">
        <v>0</v>
      </c>
      <c r="K1122" s="150">
        <v>0</v>
      </c>
      <c r="L1122" s="150">
        <f t="shared" si="1052"/>
        <v>0</v>
      </c>
      <c r="M1122" s="150">
        <v>0</v>
      </c>
      <c r="N1122" s="150">
        <v>0</v>
      </c>
      <c r="O1122" s="150">
        <v>0</v>
      </c>
      <c r="P1122" s="150">
        <v>0</v>
      </c>
      <c r="Q1122" s="150">
        <v>0</v>
      </c>
      <c r="R1122" s="313">
        <f t="shared" si="1038"/>
        <v>0</v>
      </c>
      <c r="S1122" s="150">
        <f t="shared" si="1050"/>
        <v>0</v>
      </c>
      <c r="T1122" s="150"/>
      <c r="U1122" s="150">
        <v>0</v>
      </c>
      <c r="V1122" s="199">
        <v>0</v>
      </c>
      <c r="W1122" s="150">
        <f t="shared" si="1044"/>
        <v>0</v>
      </c>
      <c r="X1122" s="150">
        <v>0</v>
      </c>
      <c r="Y1122" s="150">
        <v>0</v>
      </c>
      <c r="Z1122" s="150">
        <v>0</v>
      </c>
      <c r="AA1122" s="150">
        <f t="shared" si="1045"/>
        <v>0</v>
      </c>
      <c r="AB1122" s="150">
        <v>0</v>
      </c>
      <c r="AC1122" s="199">
        <v>0</v>
      </c>
      <c r="AD1122" s="150">
        <f t="shared" si="1039"/>
        <v>0</v>
      </c>
      <c r="AE1122" s="150">
        <v>0</v>
      </c>
      <c r="AF1122" s="169" t="s">
        <v>4680</v>
      </c>
      <c r="AG1122" s="201">
        <v>0</v>
      </c>
      <c r="AH1122" s="199">
        <v>0</v>
      </c>
      <c r="AI1122" s="150">
        <v>0</v>
      </c>
      <c r="AJ1122" s="169">
        <f t="shared" si="1046"/>
        <v>0</v>
      </c>
      <c r="AK1122" s="201">
        <v>0</v>
      </c>
      <c r="AL1122" s="199">
        <v>0</v>
      </c>
      <c r="AM1122" s="150">
        <f t="shared" si="1040"/>
        <v>0</v>
      </c>
      <c r="AN1122" s="153">
        <f t="shared" si="1047"/>
        <v>0</v>
      </c>
      <c r="AO1122" s="154">
        <f t="shared" si="1048"/>
        <v>0</v>
      </c>
      <c r="AP1122" s="150">
        <v>0</v>
      </c>
      <c r="AQ1122" s="201">
        <v>0</v>
      </c>
      <c r="AR1122" s="199">
        <v>0</v>
      </c>
      <c r="AS1122" s="150">
        <f t="shared" si="1041"/>
        <v>0</v>
      </c>
      <c r="AT1122" s="155"/>
      <c r="AU1122" s="156">
        <f t="shared" si="1042"/>
        <v>0</v>
      </c>
      <c r="AV1122" s="156">
        <f t="shared" si="1043"/>
        <v>0</v>
      </c>
      <c r="AW1122" s="157"/>
      <c r="AX1122" s="150">
        <v>0</v>
      </c>
      <c r="AY1122" s="150">
        <v>0</v>
      </c>
      <c r="AZ1122" s="150">
        <f t="shared" si="1049"/>
        <v>0</v>
      </c>
      <c r="BA1122" s="313">
        <v>0</v>
      </c>
      <c r="BB1122" s="202">
        <v>5</v>
      </c>
      <c r="BC1122" s="202" t="s">
        <v>647</v>
      </c>
      <c r="BD1122" s="194" t="s">
        <v>647</v>
      </c>
      <c r="BE1122" s="335" t="s">
        <v>671</v>
      </c>
      <c r="BF1122" s="202" t="s">
        <v>671</v>
      </c>
      <c r="BG1122" s="287" t="s">
        <v>7807</v>
      </c>
      <c r="BH1122" s="283">
        <f>SUM(AS1122:AS1129)</f>
        <v>5951.16</v>
      </c>
      <c r="BI1122" s="205"/>
      <c r="BJ1122" s="206" t="s">
        <v>7734</v>
      </c>
      <c r="BK1122" s="206" t="s">
        <v>452</v>
      </c>
      <c r="BL1122" s="207" t="s">
        <v>7735</v>
      </c>
      <c r="BM1122" s="208">
        <f>BH1122</f>
        <v>5951.16</v>
      </c>
      <c r="BN1122" s="160"/>
      <c r="BO1122" s="161"/>
      <c r="BP1122" s="161"/>
    </row>
    <row r="1123" spans="1:68" ht="51">
      <c r="A1123" s="210"/>
      <c r="B1123" s="195" t="s">
        <v>7808</v>
      </c>
      <c r="C1123" s="196" t="s">
        <v>7809</v>
      </c>
      <c r="D1123" s="146" t="s">
        <v>4692</v>
      </c>
      <c r="E1123" s="196" t="s">
        <v>7809</v>
      </c>
      <c r="F1123" s="150">
        <v>0.17</v>
      </c>
      <c r="G1123" s="209">
        <v>0</v>
      </c>
      <c r="H1123" s="209">
        <v>0</v>
      </c>
      <c r="I1123" s="209">
        <v>0</v>
      </c>
      <c r="J1123" s="150">
        <v>619.74</v>
      </c>
      <c r="K1123" s="150">
        <v>0</v>
      </c>
      <c r="L1123" s="150">
        <f t="shared" si="1052"/>
        <v>619.74</v>
      </c>
      <c r="M1123" s="150">
        <v>2314.08</v>
      </c>
      <c r="N1123" s="150">
        <v>-2314.08</v>
      </c>
      <c r="O1123" s="150">
        <v>0</v>
      </c>
      <c r="P1123" s="150">
        <v>3949.02</v>
      </c>
      <c r="Q1123" s="150">
        <v>-3949.02</v>
      </c>
      <c r="R1123" s="313">
        <f t="shared" si="1038"/>
        <v>0</v>
      </c>
      <c r="S1123" s="150">
        <f t="shared" si="1050"/>
        <v>0</v>
      </c>
      <c r="T1123" s="150"/>
      <c r="U1123" s="150">
        <v>5951.16</v>
      </c>
      <c r="V1123" s="199">
        <v>0</v>
      </c>
      <c r="W1123" s="150">
        <f t="shared" si="1044"/>
        <v>5951.16</v>
      </c>
      <c r="X1123" s="150">
        <v>5951.16</v>
      </c>
      <c r="Y1123" s="150">
        <v>0</v>
      </c>
      <c r="Z1123" s="150">
        <v>5951.16</v>
      </c>
      <c r="AA1123" s="150">
        <f t="shared" si="1045"/>
        <v>0</v>
      </c>
      <c r="AB1123" s="150">
        <v>5951.16</v>
      </c>
      <c r="AC1123" s="199">
        <v>0</v>
      </c>
      <c r="AD1123" s="150">
        <f t="shared" si="1039"/>
        <v>5951.16</v>
      </c>
      <c r="AE1123" s="150">
        <v>5951.16</v>
      </c>
      <c r="AF1123" s="169" t="s">
        <v>4680</v>
      </c>
      <c r="AG1123" s="201">
        <v>5951.16</v>
      </c>
      <c r="AH1123" s="199">
        <v>0</v>
      </c>
      <c r="AI1123" s="150">
        <v>5951.16</v>
      </c>
      <c r="AJ1123" s="169">
        <f t="shared" si="1046"/>
        <v>0</v>
      </c>
      <c r="AK1123" s="201">
        <v>5951.16</v>
      </c>
      <c r="AL1123" s="199">
        <v>0</v>
      </c>
      <c r="AM1123" s="150">
        <f t="shared" si="1040"/>
        <v>5951.16</v>
      </c>
      <c r="AN1123" s="153">
        <f t="shared" si="1047"/>
        <v>0</v>
      </c>
      <c r="AO1123" s="154">
        <f t="shared" si="1048"/>
        <v>0</v>
      </c>
      <c r="AP1123" s="150">
        <v>5951.16</v>
      </c>
      <c r="AQ1123" s="201">
        <v>5951.16</v>
      </c>
      <c r="AR1123" s="199">
        <v>0</v>
      </c>
      <c r="AS1123" s="150">
        <f t="shared" si="1041"/>
        <v>5951.16</v>
      </c>
      <c r="AT1123" s="155"/>
      <c r="AU1123" s="156">
        <f t="shared" si="1042"/>
        <v>0</v>
      </c>
      <c r="AV1123" s="156">
        <f t="shared" si="1043"/>
        <v>0</v>
      </c>
      <c r="AW1123" s="157"/>
      <c r="AX1123" s="150">
        <v>5951.16</v>
      </c>
      <c r="AY1123" s="150">
        <v>2520.66</v>
      </c>
      <c r="AZ1123" s="150">
        <f t="shared" si="1049"/>
        <v>-2520.66</v>
      </c>
      <c r="BA1123" s="313">
        <v>0</v>
      </c>
      <c r="BB1123" s="210"/>
      <c r="BC1123" s="210"/>
      <c r="BD1123" s="210"/>
      <c r="BE1123" s="210"/>
      <c r="BF1123" s="210"/>
      <c r="BG1123" s="210"/>
      <c r="BH1123" s="217"/>
      <c r="BI1123" s="210"/>
      <c r="BJ1123" s="210"/>
      <c r="BK1123" s="210"/>
      <c r="BL1123" s="210"/>
      <c r="BM1123" s="208"/>
      <c r="BN1123" s="160"/>
      <c r="BO1123" s="161"/>
      <c r="BP1123" s="161"/>
    </row>
    <row r="1124" spans="1:68" ht="51">
      <c r="A1124" s="210"/>
      <c r="B1124" s="195" t="s">
        <v>7810</v>
      </c>
      <c r="C1124" s="196" t="s">
        <v>7811</v>
      </c>
      <c r="D1124" s="146" t="s">
        <v>4692</v>
      </c>
      <c r="E1124" s="196" t="s">
        <v>7811</v>
      </c>
      <c r="F1124" s="150">
        <v>0</v>
      </c>
      <c r="G1124" s="209">
        <v>0</v>
      </c>
      <c r="H1124" s="209">
        <v>0</v>
      </c>
      <c r="I1124" s="209">
        <v>0</v>
      </c>
      <c r="J1124" s="150">
        <v>0</v>
      </c>
      <c r="K1124" s="150">
        <v>0</v>
      </c>
      <c r="L1124" s="150">
        <f t="shared" si="1052"/>
        <v>0</v>
      </c>
      <c r="M1124" s="150">
        <v>0</v>
      </c>
      <c r="N1124" s="150">
        <v>0</v>
      </c>
      <c r="O1124" s="150">
        <v>0</v>
      </c>
      <c r="P1124" s="150">
        <v>0</v>
      </c>
      <c r="Q1124" s="150">
        <v>0</v>
      </c>
      <c r="R1124" s="313">
        <f t="shared" si="1038"/>
        <v>0</v>
      </c>
      <c r="S1124" s="150">
        <f t="shared" si="1050"/>
        <v>0</v>
      </c>
      <c r="T1124" s="150"/>
      <c r="U1124" s="150">
        <v>0</v>
      </c>
      <c r="V1124" s="199">
        <v>0</v>
      </c>
      <c r="W1124" s="150">
        <f t="shared" si="1044"/>
        <v>0</v>
      </c>
      <c r="X1124" s="150">
        <v>0</v>
      </c>
      <c r="Y1124" s="150">
        <v>0</v>
      </c>
      <c r="Z1124" s="150">
        <v>0</v>
      </c>
      <c r="AA1124" s="150">
        <f t="shared" si="1045"/>
        <v>0</v>
      </c>
      <c r="AB1124" s="150">
        <v>0</v>
      </c>
      <c r="AC1124" s="199">
        <v>0</v>
      </c>
      <c r="AD1124" s="150">
        <f t="shared" si="1039"/>
        <v>0</v>
      </c>
      <c r="AE1124" s="150">
        <v>0</v>
      </c>
      <c r="AF1124" s="169" t="s">
        <v>4680</v>
      </c>
      <c r="AG1124" s="201">
        <v>0</v>
      </c>
      <c r="AH1124" s="199">
        <v>0</v>
      </c>
      <c r="AI1124" s="150">
        <v>0</v>
      </c>
      <c r="AJ1124" s="169">
        <f t="shared" si="1046"/>
        <v>0</v>
      </c>
      <c r="AK1124" s="201">
        <v>0</v>
      </c>
      <c r="AL1124" s="199">
        <v>0</v>
      </c>
      <c r="AM1124" s="150">
        <f t="shared" si="1040"/>
        <v>0</v>
      </c>
      <c r="AN1124" s="153">
        <f t="shared" si="1047"/>
        <v>0</v>
      </c>
      <c r="AO1124" s="154">
        <f t="shared" si="1048"/>
        <v>0</v>
      </c>
      <c r="AP1124" s="150">
        <v>0</v>
      </c>
      <c r="AQ1124" s="201">
        <v>0</v>
      </c>
      <c r="AR1124" s="199">
        <v>0</v>
      </c>
      <c r="AS1124" s="150">
        <f t="shared" si="1041"/>
        <v>0</v>
      </c>
      <c r="AT1124" s="155"/>
      <c r="AU1124" s="156">
        <f t="shared" si="1042"/>
        <v>0</v>
      </c>
      <c r="AV1124" s="156">
        <f t="shared" si="1043"/>
        <v>0</v>
      </c>
      <c r="AW1124" s="157"/>
      <c r="AX1124" s="150">
        <v>0</v>
      </c>
      <c r="AY1124" s="150">
        <v>0</v>
      </c>
      <c r="AZ1124" s="150">
        <f t="shared" si="1049"/>
        <v>0</v>
      </c>
      <c r="BA1124" s="313">
        <v>0</v>
      </c>
      <c r="BB1124" s="210"/>
      <c r="BC1124" s="210"/>
      <c r="BD1124" s="210"/>
      <c r="BE1124" s="210"/>
      <c r="BF1124" s="210"/>
      <c r="BG1124" s="210"/>
      <c r="BH1124" s="217"/>
      <c r="BI1124" s="210"/>
      <c r="BJ1124" s="210"/>
      <c r="BK1124" s="210"/>
      <c r="BL1124" s="210"/>
      <c r="BM1124" s="208"/>
      <c r="BN1124" s="160"/>
      <c r="BO1124" s="161">
        <f t="shared" si="1051"/>
        <v>0</v>
      </c>
      <c r="BP1124" s="161"/>
    </row>
    <row r="1125" spans="1:68" ht="51">
      <c r="A1125" s="210"/>
      <c r="B1125" s="195" t="s">
        <v>7812</v>
      </c>
      <c r="C1125" s="196" t="s">
        <v>7813</v>
      </c>
      <c r="D1125" s="146" t="s">
        <v>4692</v>
      </c>
      <c r="E1125" s="196" t="s">
        <v>7813</v>
      </c>
      <c r="F1125" s="150">
        <v>0</v>
      </c>
      <c r="G1125" s="209">
        <v>0</v>
      </c>
      <c r="H1125" s="209">
        <v>0</v>
      </c>
      <c r="I1125" s="209">
        <v>0</v>
      </c>
      <c r="J1125" s="150">
        <v>0</v>
      </c>
      <c r="K1125" s="150">
        <v>0</v>
      </c>
      <c r="L1125" s="150">
        <f t="shared" si="1052"/>
        <v>0</v>
      </c>
      <c r="M1125" s="150">
        <v>0</v>
      </c>
      <c r="N1125" s="150">
        <v>0</v>
      </c>
      <c r="O1125" s="150">
        <v>0</v>
      </c>
      <c r="P1125" s="150">
        <v>0</v>
      </c>
      <c r="Q1125" s="150">
        <v>0</v>
      </c>
      <c r="R1125" s="313">
        <f t="shared" si="1038"/>
        <v>0</v>
      </c>
      <c r="S1125" s="150">
        <f t="shared" si="1050"/>
        <v>0</v>
      </c>
      <c r="T1125" s="150"/>
      <c r="U1125" s="150">
        <v>0</v>
      </c>
      <c r="V1125" s="199">
        <v>0</v>
      </c>
      <c r="W1125" s="150">
        <f t="shared" si="1044"/>
        <v>0</v>
      </c>
      <c r="X1125" s="150">
        <v>0</v>
      </c>
      <c r="Y1125" s="150">
        <v>0</v>
      </c>
      <c r="Z1125" s="150">
        <v>0</v>
      </c>
      <c r="AA1125" s="150">
        <f t="shared" si="1045"/>
        <v>0</v>
      </c>
      <c r="AB1125" s="150">
        <v>0</v>
      </c>
      <c r="AC1125" s="199">
        <v>0</v>
      </c>
      <c r="AD1125" s="150">
        <f t="shared" si="1039"/>
        <v>0</v>
      </c>
      <c r="AE1125" s="150">
        <v>0</v>
      </c>
      <c r="AF1125" s="169" t="s">
        <v>4680</v>
      </c>
      <c r="AG1125" s="201">
        <v>0</v>
      </c>
      <c r="AH1125" s="199">
        <v>0</v>
      </c>
      <c r="AI1125" s="150">
        <v>0</v>
      </c>
      <c r="AJ1125" s="169">
        <f t="shared" si="1046"/>
        <v>0</v>
      </c>
      <c r="AK1125" s="201">
        <v>0</v>
      </c>
      <c r="AL1125" s="199">
        <v>0</v>
      </c>
      <c r="AM1125" s="150">
        <f t="shared" si="1040"/>
        <v>0</v>
      </c>
      <c r="AN1125" s="153">
        <f t="shared" si="1047"/>
        <v>0</v>
      </c>
      <c r="AO1125" s="154">
        <f t="shared" si="1048"/>
        <v>0</v>
      </c>
      <c r="AP1125" s="150">
        <v>0</v>
      </c>
      <c r="AQ1125" s="201">
        <v>0</v>
      </c>
      <c r="AR1125" s="199">
        <v>0</v>
      </c>
      <c r="AS1125" s="150">
        <f t="shared" si="1041"/>
        <v>0</v>
      </c>
      <c r="AT1125" s="155"/>
      <c r="AU1125" s="156">
        <f t="shared" si="1042"/>
        <v>0</v>
      </c>
      <c r="AV1125" s="156">
        <f t="shared" si="1043"/>
        <v>0</v>
      </c>
      <c r="AW1125" s="157"/>
      <c r="AX1125" s="150">
        <v>0</v>
      </c>
      <c r="AY1125" s="150">
        <v>0</v>
      </c>
      <c r="AZ1125" s="150">
        <f t="shared" si="1049"/>
        <v>0</v>
      </c>
      <c r="BA1125" s="313">
        <v>0</v>
      </c>
      <c r="BB1125" s="210"/>
      <c r="BC1125" s="210"/>
      <c r="BD1125" s="210"/>
      <c r="BE1125" s="210"/>
      <c r="BF1125" s="210"/>
      <c r="BG1125" s="210"/>
      <c r="BH1125" s="217"/>
      <c r="BI1125" s="210"/>
      <c r="BJ1125" s="210"/>
      <c r="BK1125" s="210"/>
      <c r="BL1125" s="210"/>
      <c r="BM1125" s="208"/>
      <c r="BN1125" s="160"/>
      <c r="BO1125" s="161">
        <f t="shared" si="1051"/>
        <v>0</v>
      </c>
      <c r="BP1125" s="161"/>
    </row>
    <row r="1126" spans="1:68" ht="38.25">
      <c r="A1126" s="210"/>
      <c r="B1126" s="195" t="s">
        <v>7814</v>
      </c>
      <c r="C1126" s="196" t="s">
        <v>7815</v>
      </c>
      <c r="D1126" s="146" t="s">
        <v>4692</v>
      </c>
      <c r="E1126" s="196" t="s">
        <v>7815</v>
      </c>
      <c r="F1126" s="150">
        <v>0</v>
      </c>
      <c r="G1126" s="209">
        <v>0</v>
      </c>
      <c r="H1126" s="209">
        <v>0</v>
      </c>
      <c r="I1126" s="209">
        <v>0</v>
      </c>
      <c r="J1126" s="150">
        <v>0</v>
      </c>
      <c r="K1126" s="150">
        <v>0</v>
      </c>
      <c r="L1126" s="150">
        <f t="shared" si="1052"/>
        <v>0</v>
      </c>
      <c r="M1126" s="150">
        <v>0</v>
      </c>
      <c r="N1126" s="150">
        <v>0</v>
      </c>
      <c r="O1126" s="150">
        <v>0</v>
      </c>
      <c r="P1126" s="150">
        <v>0</v>
      </c>
      <c r="Q1126" s="150">
        <v>0</v>
      </c>
      <c r="R1126" s="313">
        <f t="shared" si="1038"/>
        <v>0</v>
      </c>
      <c r="S1126" s="150">
        <f t="shared" si="1050"/>
        <v>0</v>
      </c>
      <c r="T1126" s="150"/>
      <c r="U1126" s="150">
        <v>0</v>
      </c>
      <c r="V1126" s="199">
        <v>0</v>
      </c>
      <c r="W1126" s="150">
        <f t="shared" si="1044"/>
        <v>0</v>
      </c>
      <c r="X1126" s="150">
        <v>0</v>
      </c>
      <c r="Y1126" s="150">
        <v>0</v>
      </c>
      <c r="Z1126" s="150">
        <v>0</v>
      </c>
      <c r="AA1126" s="150">
        <f t="shared" si="1045"/>
        <v>0</v>
      </c>
      <c r="AB1126" s="150">
        <v>0</v>
      </c>
      <c r="AC1126" s="199">
        <v>0</v>
      </c>
      <c r="AD1126" s="150">
        <f t="shared" si="1039"/>
        <v>0</v>
      </c>
      <c r="AE1126" s="150">
        <v>0</v>
      </c>
      <c r="AF1126" s="169" t="s">
        <v>4680</v>
      </c>
      <c r="AG1126" s="201">
        <v>0</v>
      </c>
      <c r="AH1126" s="199">
        <v>0</v>
      </c>
      <c r="AI1126" s="150">
        <v>0</v>
      </c>
      <c r="AJ1126" s="169">
        <f t="shared" si="1046"/>
        <v>0</v>
      </c>
      <c r="AK1126" s="201">
        <v>0</v>
      </c>
      <c r="AL1126" s="199">
        <v>0</v>
      </c>
      <c r="AM1126" s="150">
        <f t="shared" si="1040"/>
        <v>0</v>
      </c>
      <c r="AN1126" s="153">
        <f t="shared" si="1047"/>
        <v>0</v>
      </c>
      <c r="AO1126" s="154">
        <f t="shared" si="1048"/>
        <v>0</v>
      </c>
      <c r="AP1126" s="150">
        <v>0</v>
      </c>
      <c r="AQ1126" s="201">
        <v>0</v>
      </c>
      <c r="AR1126" s="199">
        <v>0</v>
      </c>
      <c r="AS1126" s="150">
        <f t="shared" si="1041"/>
        <v>0</v>
      </c>
      <c r="AT1126" s="155"/>
      <c r="AU1126" s="156">
        <f t="shared" si="1042"/>
        <v>0</v>
      </c>
      <c r="AV1126" s="156">
        <f t="shared" si="1043"/>
        <v>0</v>
      </c>
      <c r="AW1126" s="157"/>
      <c r="AX1126" s="150">
        <v>0</v>
      </c>
      <c r="AY1126" s="150">
        <v>0</v>
      </c>
      <c r="AZ1126" s="150">
        <f t="shared" si="1049"/>
        <v>0</v>
      </c>
      <c r="BA1126" s="313">
        <v>0</v>
      </c>
      <c r="BB1126" s="210"/>
      <c r="BC1126" s="210"/>
      <c r="BD1126" s="210"/>
      <c r="BE1126" s="210"/>
      <c r="BF1126" s="210"/>
      <c r="BG1126" s="210"/>
      <c r="BH1126" s="217"/>
      <c r="BI1126" s="210"/>
      <c r="BJ1126" s="210"/>
      <c r="BK1126" s="210"/>
      <c r="BL1126" s="210"/>
      <c r="BM1126" s="208"/>
      <c r="BN1126" s="160"/>
      <c r="BO1126" s="161">
        <f t="shared" si="1051"/>
        <v>0</v>
      </c>
      <c r="BP1126" s="161"/>
    </row>
    <row r="1127" spans="1:68" ht="51">
      <c r="A1127" s="210"/>
      <c r="B1127" s="195" t="s">
        <v>7816</v>
      </c>
      <c r="C1127" s="196" t="s">
        <v>7817</v>
      </c>
      <c r="D1127" s="146" t="s">
        <v>4692</v>
      </c>
      <c r="E1127" s="196" t="s">
        <v>7817</v>
      </c>
      <c r="F1127" s="150">
        <v>0</v>
      </c>
      <c r="G1127" s="209">
        <v>0</v>
      </c>
      <c r="H1127" s="209">
        <v>0</v>
      </c>
      <c r="I1127" s="209">
        <v>0</v>
      </c>
      <c r="J1127" s="150">
        <v>0</v>
      </c>
      <c r="K1127" s="150">
        <v>0</v>
      </c>
      <c r="L1127" s="150">
        <f t="shared" si="1052"/>
        <v>0</v>
      </c>
      <c r="M1127" s="150">
        <v>0</v>
      </c>
      <c r="N1127" s="150">
        <v>0</v>
      </c>
      <c r="O1127" s="150">
        <v>0</v>
      </c>
      <c r="P1127" s="150">
        <v>0</v>
      </c>
      <c r="Q1127" s="150">
        <v>0</v>
      </c>
      <c r="R1127" s="313">
        <f t="shared" si="1038"/>
        <v>0</v>
      </c>
      <c r="S1127" s="150">
        <f t="shared" si="1050"/>
        <v>0</v>
      </c>
      <c r="T1127" s="150"/>
      <c r="U1127" s="150">
        <v>0</v>
      </c>
      <c r="V1127" s="199">
        <v>0</v>
      </c>
      <c r="W1127" s="150">
        <f t="shared" si="1044"/>
        <v>0</v>
      </c>
      <c r="X1127" s="150">
        <v>0</v>
      </c>
      <c r="Y1127" s="150">
        <v>0</v>
      </c>
      <c r="Z1127" s="150">
        <v>0</v>
      </c>
      <c r="AA1127" s="150">
        <f t="shared" si="1045"/>
        <v>0</v>
      </c>
      <c r="AB1127" s="150">
        <v>0</v>
      </c>
      <c r="AC1127" s="199">
        <v>0</v>
      </c>
      <c r="AD1127" s="150">
        <f t="shared" si="1039"/>
        <v>0</v>
      </c>
      <c r="AE1127" s="150">
        <v>0</v>
      </c>
      <c r="AF1127" s="169" t="s">
        <v>4680</v>
      </c>
      <c r="AG1127" s="201">
        <v>0</v>
      </c>
      <c r="AH1127" s="199">
        <v>0</v>
      </c>
      <c r="AI1127" s="150">
        <v>0</v>
      </c>
      <c r="AJ1127" s="169">
        <f t="shared" si="1046"/>
        <v>0</v>
      </c>
      <c r="AK1127" s="201">
        <v>0</v>
      </c>
      <c r="AL1127" s="199">
        <v>0</v>
      </c>
      <c r="AM1127" s="150">
        <f t="shared" si="1040"/>
        <v>0</v>
      </c>
      <c r="AN1127" s="153">
        <f t="shared" si="1047"/>
        <v>0</v>
      </c>
      <c r="AO1127" s="154">
        <f t="shared" si="1048"/>
        <v>0</v>
      </c>
      <c r="AP1127" s="150">
        <v>0</v>
      </c>
      <c r="AQ1127" s="201">
        <v>0</v>
      </c>
      <c r="AR1127" s="199">
        <v>0</v>
      </c>
      <c r="AS1127" s="150">
        <f t="shared" si="1041"/>
        <v>0</v>
      </c>
      <c r="AT1127" s="155"/>
      <c r="AU1127" s="156">
        <f t="shared" si="1042"/>
        <v>0</v>
      </c>
      <c r="AV1127" s="156">
        <f t="shared" si="1043"/>
        <v>0</v>
      </c>
      <c r="AW1127" s="157"/>
      <c r="AX1127" s="150">
        <v>0</v>
      </c>
      <c r="AY1127" s="150">
        <v>0</v>
      </c>
      <c r="AZ1127" s="150">
        <f t="shared" si="1049"/>
        <v>0</v>
      </c>
      <c r="BA1127" s="313">
        <v>0</v>
      </c>
      <c r="BB1127" s="210"/>
      <c r="BC1127" s="210"/>
      <c r="BD1127" s="210"/>
      <c r="BE1127" s="210"/>
      <c r="BF1127" s="210"/>
      <c r="BG1127" s="210"/>
      <c r="BH1127" s="217"/>
      <c r="BI1127" s="210"/>
      <c r="BJ1127" s="210"/>
      <c r="BK1127" s="210"/>
      <c r="BL1127" s="210"/>
      <c r="BM1127" s="208"/>
      <c r="BN1127" s="160"/>
      <c r="BO1127" s="161">
        <f t="shared" si="1051"/>
        <v>0</v>
      </c>
      <c r="BP1127" s="161"/>
    </row>
    <row r="1128" spans="1:68" ht="38.25">
      <c r="A1128" s="210"/>
      <c r="B1128" s="195" t="s">
        <v>7818</v>
      </c>
      <c r="C1128" s="196" t="s">
        <v>7819</v>
      </c>
      <c r="D1128" s="146" t="s">
        <v>4692</v>
      </c>
      <c r="E1128" s="196" t="s">
        <v>7819</v>
      </c>
      <c r="F1128" s="150">
        <v>0</v>
      </c>
      <c r="G1128" s="209">
        <v>0</v>
      </c>
      <c r="H1128" s="209">
        <v>0</v>
      </c>
      <c r="I1128" s="209">
        <v>0</v>
      </c>
      <c r="J1128" s="150">
        <v>0</v>
      </c>
      <c r="K1128" s="150">
        <v>0</v>
      </c>
      <c r="L1128" s="150">
        <f t="shared" si="1052"/>
        <v>0</v>
      </c>
      <c r="M1128" s="150">
        <v>0</v>
      </c>
      <c r="N1128" s="150">
        <v>0</v>
      </c>
      <c r="O1128" s="150">
        <v>0</v>
      </c>
      <c r="P1128" s="150">
        <v>0</v>
      </c>
      <c r="Q1128" s="150">
        <v>0</v>
      </c>
      <c r="R1128" s="313">
        <f t="shared" si="1038"/>
        <v>0</v>
      </c>
      <c r="S1128" s="150">
        <f t="shared" si="1050"/>
        <v>0</v>
      </c>
      <c r="T1128" s="150"/>
      <c r="U1128" s="150">
        <v>0</v>
      </c>
      <c r="V1128" s="199">
        <v>0</v>
      </c>
      <c r="W1128" s="150">
        <f t="shared" si="1044"/>
        <v>0</v>
      </c>
      <c r="X1128" s="150">
        <v>0</v>
      </c>
      <c r="Y1128" s="150">
        <v>0</v>
      </c>
      <c r="Z1128" s="150">
        <v>0</v>
      </c>
      <c r="AA1128" s="150">
        <f t="shared" si="1045"/>
        <v>0</v>
      </c>
      <c r="AB1128" s="150">
        <v>0</v>
      </c>
      <c r="AC1128" s="199">
        <v>0</v>
      </c>
      <c r="AD1128" s="150">
        <f t="shared" si="1039"/>
        <v>0</v>
      </c>
      <c r="AE1128" s="150">
        <v>0</v>
      </c>
      <c r="AF1128" s="169" t="s">
        <v>4680</v>
      </c>
      <c r="AG1128" s="201">
        <v>0</v>
      </c>
      <c r="AH1128" s="199">
        <v>0</v>
      </c>
      <c r="AI1128" s="150">
        <v>0</v>
      </c>
      <c r="AJ1128" s="169">
        <f t="shared" si="1046"/>
        <v>0</v>
      </c>
      <c r="AK1128" s="201">
        <v>0</v>
      </c>
      <c r="AL1128" s="199">
        <v>0</v>
      </c>
      <c r="AM1128" s="150">
        <f t="shared" si="1040"/>
        <v>0</v>
      </c>
      <c r="AN1128" s="153">
        <f t="shared" si="1047"/>
        <v>0</v>
      </c>
      <c r="AO1128" s="154">
        <f t="shared" si="1048"/>
        <v>0</v>
      </c>
      <c r="AP1128" s="150">
        <v>0</v>
      </c>
      <c r="AQ1128" s="201">
        <v>0</v>
      </c>
      <c r="AR1128" s="199">
        <v>0</v>
      </c>
      <c r="AS1128" s="150">
        <f t="shared" si="1041"/>
        <v>0</v>
      </c>
      <c r="AT1128" s="155"/>
      <c r="AU1128" s="156">
        <f t="shared" si="1042"/>
        <v>0</v>
      </c>
      <c r="AV1128" s="156">
        <f t="shared" si="1043"/>
        <v>0</v>
      </c>
      <c r="AW1128" s="157"/>
      <c r="AX1128" s="150">
        <v>0</v>
      </c>
      <c r="AY1128" s="150">
        <v>0</v>
      </c>
      <c r="AZ1128" s="150">
        <f t="shared" si="1049"/>
        <v>0</v>
      </c>
      <c r="BA1128" s="313">
        <v>0</v>
      </c>
      <c r="BB1128" s="210"/>
      <c r="BC1128" s="210"/>
      <c r="BD1128" s="210"/>
      <c r="BE1128" s="210"/>
      <c r="BF1128" s="210"/>
      <c r="BG1128" s="210"/>
      <c r="BH1128" s="217"/>
      <c r="BI1128" s="210"/>
      <c r="BJ1128" s="210"/>
      <c r="BK1128" s="210"/>
      <c r="BL1128" s="210"/>
      <c r="BM1128" s="208"/>
      <c r="BN1128" s="160"/>
      <c r="BO1128" s="161">
        <f t="shared" si="1051"/>
        <v>0</v>
      </c>
      <c r="BP1128" s="161"/>
    </row>
    <row r="1129" spans="1:68" ht="51">
      <c r="A1129" s="210"/>
      <c r="B1129" s="195" t="s">
        <v>7820</v>
      </c>
      <c r="C1129" s="196" t="s">
        <v>7821</v>
      </c>
      <c r="D1129" s="146" t="s">
        <v>4692</v>
      </c>
      <c r="E1129" s="196" t="s">
        <v>7821</v>
      </c>
      <c r="F1129" s="150">
        <v>0</v>
      </c>
      <c r="G1129" s="209">
        <v>4600</v>
      </c>
      <c r="H1129" s="209">
        <v>27364.126250000001</v>
      </c>
      <c r="I1129" s="209">
        <v>31964.126250000001</v>
      </c>
      <c r="J1129" s="150">
        <v>0</v>
      </c>
      <c r="K1129" s="150">
        <v>0</v>
      </c>
      <c r="L1129" s="150">
        <f t="shared" si="1052"/>
        <v>0</v>
      </c>
      <c r="M1129" s="150">
        <v>0</v>
      </c>
      <c r="N1129" s="150">
        <v>0</v>
      </c>
      <c r="O1129" s="150">
        <v>0</v>
      </c>
      <c r="P1129" s="150">
        <v>0</v>
      </c>
      <c r="Q1129" s="150">
        <v>0</v>
      </c>
      <c r="R1129" s="313">
        <f t="shared" si="1038"/>
        <v>0</v>
      </c>
      <c r="S1129" s="150">
        <f t="shared" si="1050"/>
        <v>0</v>
      </c>
      <c r="T1129" s="150"/>
      <c r="U1129" s="150">
        <v>0</v>
      </c>
      <c r="V1129" s="199">
        <v>0</v>
      </c>
      <c r="W1129" s="150">
        <f t="shared" si="1044"/>
        <v>0</v>
      </c>
      <c r="X1129" s="150">
        <v>0</v>
      </c>
      <c r="Y1129" s="150">
        <v>0</v>
      </c>
      <c r="Z1129" s="150">
        <v>0</v>
      </c>
      <c r="AA1129" s="150">
        <f t="shared" si="1045"/>
        <v>0</v>
      </c>
      <c r="AB1129" s="150">
        <v>0</v>
      </c>
      <c r="AC1129" s="199">
        <v>0</v>
      </c>
      <c r="AD1129" s="150">
        <f t="shared" si="1039"/>
        <v>0</v>
      </c>
      <c r="AE1129" s="150">
        <v>0</v>
      </c>
      <c r="AF1129" s="169" t="s">
        <v>4680</v>
      </c>
      <c r="AG1129" s="201">
        <v>0</v>
      </c>
      <c r="AH1129" s="199">
        <v>0</v>
      </c>
      <c r="AI1129" s="150">
        <v>0</v>
      </c>
      <c r="AJ1129" s="169">
        <f t="shared" si="1046"/>
        <v>0</v>
      </c>
      <c r="AK1129" s="201">
        <v>0</v>
      </c>
      <c r="AL1129" s="199">
        <v>0</v>
      </c>
      <c r="AM1129" s="150">
        <f t="shared" si="1040"/>
        <v>0</v>
      </c>
      <c r="AN1129" s="153">
        <f t="shared" si="1047"/>
        <v>0</v>
      </c>
      <c r="AO1129" s="154">
        <f t="shared" si="1048"/>
        <v>0</v>
      </c>
      <c r="AP1129" s="150">
        <v>0</v>
      </c>
      <c r="AQ1129" s="201">
        <v>0</v>
      </c>
      <c r="AR1129" s="199">
        <v>0</v>
      </c>
      <c r="AS1129" s="150">
        <f t="shared" si="1041"/>
        <v>0</v>
      </c>
      <c r="AT1129" s="155"/>
      <c r="AU1129" s="156">
        <f t="shared" si="1042"/>
        <v>0</v>
      </c>
      <c r="AV1129" s="156">
        <f t="shared" si="1043"/>
        <v>0</v>
      </c>
      <c r="AW1129" s="157"/>
      <c r="AX1129" s="150">
        <v>0</v>
      </c>
      <c r="AY1129" s="150">
        <v>0</v>
      </c>
      <c r="AZ1129" s="150">
        <f t="shared" si="1049"/>
        <v>0</v>
      </c>
      <c r="BA1129" s="313">
        <v>0</v>
      </c>
      <c r="BB1129" s="210"/>
      <c r="BC1129" s="210"/>
      <c r="BD1129" s="210"/>
      <c r="BE1129" s="210"/>
      <c r="BF1129" s="210"/>
      <c r="BG1129" s="210"/>
      <c r="BH1129" s="217"/>
      <c r="BI1129" s="210"/>
      <c r="BJ1129" s="210"/>
      <c r="BK1129" s="210"/>
      <c r="BL1129" s="210"/>
      <c r="BM1129" s="208"/>
      <c r="BN1129" s="160"/>
      <c r="BO1129" s="161">
        <f t="shared" si="1051"/>
        <v>0</v>
      </c>
      <c r="BP1129" s="161"/>
    </row>
    <row r="1130" spans="1:68" ht="51">
      <c r="A1130" s="206" t="s">
        <v>452</v>
      </c>
      <c r="B1130" s="195" t="s">
        <v>7822</v>
      </c>
      <c r="C1130" s="196" t="s">
        <v>7823</v>
      </c>
      <c r="D1130" s="146" t="s">
        <v>4692</v>
      </c>
      <c r="E1130" s="196" t="s">
        <v>7823</v>
      </c>
      <c r="F1130" s="150">
        <v>31964</v>
      </c>
      <c r="G1130" s="209">
        <v>28620</v>
      </c>
      <c r="H1130" s="209">
        <v>227093.01</v>
      </c>
      <c r="I1130" s="209">
        <v>255713.01</v>
      </c>
      <c r="J1130" s="150">
        <v>0</v>
      </c>
      <c r="K1130" s="150">
        <v>0</v>
      </c>
      <c r="L1130" s="150">
        <f t="shared" si="1052"/>
        <v>0</v>
      </c>
      <c r="M1130" s="150">
        <v>0</v>
      </c>
      <c r="N1130" s="150">
        <v>8523.7669999999998</v>
      </c>
      <c r="O1130" s="150">
        <v>8523.7669999999998</v>
      </c>
      <c r="P1130" s="150">
        <v>0</v>
      </c>
      <c r="Q1130" s="150">
        <v>12785.6505</v>
      </c>
      <c r="R1130" s="313">
        <f t="shared" si="1038"/>
        <v>12785.6505</v>
      </c>
      <c r="S1130" s="150">
        <f t="shared" si="1050"/>
        <v>17047.534</v>
      </c>
      <c r="T1130" s="150"/>
      <c r="U1130" s="150">
        <v>0</v>
      </c>
      <c r="V1130" s="199">
        <v>16497.613548387097</v>
      </c>
      <c r="W1130" s="150">
        <f t="shared" si="1044"/>
        <v>16497.613548387097</v>
      </c>
      <c r="X1130" s="150">
        <v>0</v>
      </c>
      <c r="Y1130" s="150">
        <v>16497.613548387097</v>
      </c>
      <c r="Z1130" s="150">
        <v>16497.613548387097</v>
      </c>
      <c r="AA1130" s="150">
        <f t="shared" si="1045"/>
        <v>-444.05354838709718</v>
      </c>
      <c r="AB1130" s="150">
        <v>0</v>
      </c>
      <c r="AC1130" s="199">
        <v>16053.56</v>
      </c>
      <c r="AD1130" s="150">
        <f t="shared" si="1039"/>
        <v>16053.56</v>
      </c>
      <c r="AE1130" s="150">
        <v>16053.56</v>
      </c>
      <c r="AF1130" s="169" t="s">
        <v>4680</v>
      </c>
      <c r="AG1130" s="201">
        <v>0</v>
      </c>
      <c r="AH1130" s="199">
        <v>16053.56</v>
      </c>
      <c r="AI1130" s="150">
        <v>16053.56</v>
      </c>
      <c r="AJ1130" s="169">
        <f t="shared" si="1046"/>
        <v>0</v>
      </c>
      <c r="AK1130" s="201">
        <v>0</v>
      </c>
      <c r="AL1130" s="199">
        <v>16053.56</v>
      </c>
      <c r="AM1130" s="150">
        <f t="shared" si="1040"/>
        <v>16053.56</v>
      </c>
      <c r="AN1130" s="153">
        <f t="shared" si="1047"/>
        <v>0</v>
      </c>
      <c r="AO1130" s="154">
        <f t="shared" si="1048"/>
        <v>0</v>
      </c>
      <c r="AP1130" s="150">
        <v>16053.56</v>
      </c>
      <c r="AQ1130" s="201">
        <v>16053.56</v>
      </c>
      <c r="AR1130" s="199"/>
      <c r="AS1130" s="150">
        <f t="shared" si="1041"/>
        <v>16053.56</v>
      </c>
      <c r="AT1130" s="155"/>
      <c r="AU1130" s="156">
        <f t="shared" si="1042"/>
        <v>0</v>
      </c>
      <c r="AV1130" s="156">
        <f t="shared" si="1043"/>
        <v>-444.05354838709718</v>
      </c>
      <c r="AW1130" s="157"/>
      <c r="AX1130" s="150">
        <v>16497.613548387097</v>
      </c>
      <c r="AY1130" s="150">
        <v>0</v>
      </c>
      <c r="AZ1130" s="150">
        <f t="shared" si="1049"/>
        <v>17047.534</v>
      </c>
      <c r="BA1130" s="313">
        <v>17047.534</v>
      </c>
      <c r="BB1130" s="202">
        <v>5</v>
      </c>
      <c r="BC1130" s="202" t="s">
        <v>647</v>
      </c>
      <c r="BD1130" s="194" t="s">
        <v>647</v>
      </c>
      <c r="BE1130" s="335" t="s">
        <v>671</v>
      </c>
      <c r="BF1130" s="202" t="s">
        <v>693</v>
      </c>
      <c r="BG1130" s="287" t="s">
        <v>7824</v>
      </c>
      <c r="BH1130" s="283">
        <f>SUM(AS1130:AS1132)</f>
        <v>202745.07</v>
      </c>
      <c r="BI1130" s="205"/>
      <c r="BJ1130" s="206" t="s">
        <v>7734</v>
      </c>
      <c r="BK1130" s="206" t="s">
        <v>452</v>
      </c>
      <c r="BL1130" s="207" t="s">
        <v>7735</v>
      </c>
      <c r="BM1130" s="208">
        <f>BH1130</f>
        <v>202745.07</v>
      </c>
      <c r="BN1130" s="160"/>
      <c r="BO1130" s="161"/>
      <c r="BP1130" s="161"/>
    </row>
    <row r="1131" spans="1:68" ht="38.25">
      <c r="A1131" s="210"/>
      <c r="B1131" s="195" t="s">
        <v>7825</v>
      </c>
      <c r="C1131" s="196" t="s">
        <v>7826</v>
      </c>
      <c r="D1131" s="146" t="s">
        <v>4692</v>
      </c>
      <c r="E1131" s="196" t="s">
        <v>7826</v>
      </c>
      <c r="F1131" s="150">
        <v>255713</v>
      </c>
      <c r="G1131" s="209">
        <v>0</v>
      </c>
      <c r="H1131" s="209">
        <v>0</v>
      </c>
      <c r="I1131" s="209">
        <v>0</v>
      </c>
      <c r="J1131" s="150">
        <v>420</v>
      </c>
      <c r="K1131" s="150">
        <v>0</v>
      </c>
      <c r="L1131" s="150">
        <f t="shared" si="1052"/>
        <v>420</v>
      </c>
      <c r="M1131" s="150">
        <v>1400</v>
      </c>
      <c r="N1131" s="150">
        <v>109408.97099999999</v>
      </c>
      <c r="O1131" s="150">
        <v>110808.97099999999</v>
      </c>
      <c r="P1131" s="150">
        <v>2520</v>
      </c>
      <c r="Q1131" s="150">
        <v>157376.82599999997</v>
      </c>
      <c r="R1131" s="313">
        <f t="shared" si="1038"/>
        <v>159896.82599999997</v>
      </c>
      <c r="S1131" s="150">
        <f t="shared" si="1050"/>
        <v>213195.76799999998</v>
      </c>
      <c r="T1131" s="150"/>
      <c r="U1131" s="150">
        <v>3780</v>
      </c>
      <c r="V1131" s="199">
        <v>188240.20258064516</v>
      </c>
      <c r="W1131" s="150">
        <f t="shared" si="1044"/>
        <v>192020.20258064516</v>
      </c>
      <c r="X1131" s="150">
        <v>3780</v>
      </c>
      <c r="Y1131" s="150">
        <v>188240.20258064516</v>
      </c>
      <c r="Z1131" s="150">
        <v>192020.20258064516</v>
      </c>
      <c r="AA1131" s="150">
        <f t="shared" si="1045"/>
        <v>-5328.6925806451472</v>
      </c>
      <c r="AB1131" s="150">
        <v>3780</v>
      </c>
      <c r="AC1131" s="199">
        <v>182911.51</v>
      </c>
      <c r="AD1131" s="150">
        <f t="shared" si="1039"/>
        <v>186691.51</v>
      </c>
      <c r="AE1131" s="150">
        <v>186691.51</v>
      </c>
      <c r="AF1131" s="169" t="s">
        <v>4680</v>
      </c>
      <c r="AG1131" s="201">
        <v>3780</v>
      </c>
      <c r="AH1131" s="199">
        <v>182911.51</v>
      </c>
      <c r="AI1131" s="150">
        <v>186691.51</v>
      </c>
      <c r="AJ1131" s="169">
        <f t="shared" si="1046"/>
        <v>0</v>
      </c>
      <c r="AK1131" s="201">
        <v>3780</v>
      </c>
      <c r="AL1131" s="199">
        <v>182911.51</v>
      </c>
      <c r="AM1131" s="150">
        <f t="shared" si="1040"/>
        <v>186691.51</v>
      </c>
      <c r="AN1131" s="153">
        <f t="shared" si="1047"/>
        <v>0</v>
      </c>
      <c r="AO1131" s="154">
        <f t="shared" si="1048"/>
        <v>0</v>
      </c>
      <c r="AP1131" s="150">
        <v>186691.51</v>
      </c>
      <c r="AQ1131" s="201">
        <v>186691.51</v>
      </c>
      <c r="AR1131" s="199"/>
      <c r="AS1131" s="150">
        <f t="shared" si="1041"/>
        <v>186691.51</v>
      </c>
      <c r="AT1131" s="155"/>
      <c r="AU1131" s="156">
        <f t="shared" si="1042"/>
        <v>0</v>
      </c>
      <c r="AV1131" s="156">
        <f t="shared" si="1043"/>
        <v>-5328.6925806451472</v>
      </c>
      <c r="AW1131" s="157"/>
      <c r="AX1131" s="150">
        <v>192020.20258064516</v>
      </c>
      <c r="AY1131" s="150">
        <v>1680</v>
      </c>
      <c r="AZ1131" s="150">
        <f t="shared" si="1049"/>
        <v>219937.94199999998</v>
      </c>
      <c r="BA1131" s="313">
        <v>221617.94199999998</v>
      </c>
      <c r="BB1131" s="210"/>
      <c r="BC1131" s="210"/>
      <c r="BD1131" s="210"/>
      <c r="BE1131" s="210"/>
      <c r="BF1131" s="210"/>
      <c r="BG1131" s="210"/>
      <c r="BH1131" s="217"/>
      <c r="BI1131" s="210"/>
      <c r="BJ1131" s="210"/>
      <c r="BK1131" s="210"/>
      <c r="BL1131" s="210"/>
      <c r="BM1131" s="208"/>
      <c r="BN1131" s="160"/>
      <c r="BO1131" s="161"/>
      <c r="BP1131" s="161"/>
    </row>
    <row r="1132" spans="1:68" ht="51">
      <c r="A1132" s="210"/>
      <c r="B1132" s="195" t="s">
        <v>7827</v>
      </c>
      <c r="C1132" s="196" t="s">
        <v>7828</v>
      </c>
      <c r="D1132" s="146" t="s">
        <v>4692</v>
      </c>
      <c r="E1132" s="196" t="s">
        <v>7828</v>
      </c>
      <c r="F1132" s="150">
        <v>0</v>
      </c>
      <c r="G1132" s="209">
        <v>0</v>
      </c>
      <c r="H1132" s="209">
        <v>0</v>
      </c>
      <c r="I1132" s="209">
        <v>0</v>
      </c>
      <c r="J1132" s="150">
        <v>0</v>
      </c>
      <c r="K1132" s="150">
        <v>0</v>
      </c>
      <c r="L1132" s="150">
        <f t="shared" si="1052"/>
        <v>0</v>
      </c>
      <c r="M1132" s="150">
        <v>0</v>
      </c>
      <c r="N1132" s="150">
        <v>0</v>
      </c>
      <c r="O1132" s="150">
        <v>0</v>
      </c>
      <c r="P1132" s="150">
        <v>0</v>
      </c>
      <c r="Q1132" s="150">
        <v>0</v>
      </c>
      <c r="R1132" s="313">
        <f t="shared" si="1038"/>
        <v>0</v>
      </c>
      <c r="S1132" s="150">
        <f t="shared" si="1050"/>
        <v>0</v>
      </c>
      <c r="T1132" s="150"/>
      <c r="U1132" s="150">
        <v>0</v>
      </c>
      <c r="V1132" s="199">
        <v>0</v>
      </c>
      <c r="W1132" s="150">
        <f t="shared" si="1044"/>
        <v>0</v>
      </c>
      <c r="X1132" s="150">
        <v>0</v>
      </c>
      <c r="Y1132" s="150">
        <v>0</v>
      </c>
      <c r="Z1132" s="150">
        <v>0</v>
      </c>
      <c r="AA1132" s="150">
        <f t="shared" si="1045"/>
        <v>0</v>
      </c>
      <c r="AB1132" s="150">
        <v>0</v>
      </c>
      <c r="AC1132" s="199">
        <v>0</v>
      </c>
      <c r="AD1132" s="150">
        <f t="shared" si="1039"/>
        <v>0</v>
      </c>
      <c r="AE1132" s="150">
        <v>0</v>
      </c>
      <c r="AF1132" s="169" t="s">
        <v>4680</v>
      </c>
      <c r="AG1132" s="201">
        <v>0</v>
      </c>
      <c r="AH1132" s="199">
        <v>0</v>
      </c>
      <c r="AI1132" s="150">
        <v>0</v>
      </c>
      <c r="AJ1132" s="169">
        <f t="shared" si="1046"/>
        <v>0</v>
      </c>
      <c r="AK1132" s="201">
        <v>0</v>
      </c>
      <c r="AL1132" s="199">
        <v>0</v>
      </c>
      <c r="AM1132" s="150">
        <f t="shared" si="1040"/>
        <v>0</v>
      </c>
      <c r="AN1132" s="153">
        <f t="shared" si="1047"/>
        <v>0</v>
      </c>
      <c r="AO1132" s="154">
        <f t="shared" si="1048"/>
        <v>0</v>
      </c>
      <c r="AP1132" s="150">
        <v>0</v>
      </c>
      <c r="AQ1132" s="201">
        <v>0</v>
      </c>
      <c r="AR1132" s="199">
        <v>0</v>
      </c>
      <c r="AS1132" s="150">
        <f t="shared" si="1041"/>
        <v>0</v>
      </c>
      <c r="AT1132" s="155"/>
      <c r="AU1132" s="156">
        <f t="shared" si="1042"/>
        <v>0</v>
      </c>
      <c r="AV1132" s="156">
        <f t="shared" si="1043"/>
        <v>0</v>
      </c>
      <c r="AW1132" s="157"/>
      <c r="AX1132" s="150">
        <v>0</v>
      </c>
      <c r="AY1132" s="150">
        <v>0</v>
      </c>
      <c r="AZ1132" s="150">
        <f t="shared" si="1049"/>
        <v>0</v>
      </c>
      <c r="BA1132" s="313">
        <v>0</v>
      </c>
      <c r="BB1132" s="210"/>
      <c r="BC1132" s="210"/>
      <c r="BD1132" s="210"/>
      <c r="BE1132" s="210"/>
      <c r="BF1132" s="210"/>
      <c r="BG1132" s="210"/>
      <c r="BH1132" s="217"/>
      <c r="BI1132" s="210"/>
      <c r="BJ1132" s="210"/>
      <c r="BK1132" s="210"/>
      <c r="BL1132" s="210"/>
      <c r="BM1132" s="208"/>
      <c r="BN1132" s="160"/>
      <c r="BO1132" s="161">
        <f t="shared" si="1051"/>
        <v>0</v>
      </c>
      <c r="BP1132" s="161"/>
    </row>
    <row r="1133" spans="1:68" ht="38.25">
      <c r="A1133" s="206" t="s">
        <v>452</v>
      </c>
      <c r="B1133" s="195" t="s">
        <v>7829</v>
      </c>
      <c r="C1133" s="196" t="s">
        <v>7830</v>
      </c>
      <c r="D1133" s="146" t="s">
        <v>4692</v>
      </c>
      <c r="E1133" s="196" t="s">
        <v>7830</v>
      </c>
      <c r="F1133" s="150">
        <v>0</v>
      </c>
      <c r="G1133" s="209">
        <v>0</v>
      </c>
      <c r="H1133" s="209">
        <v>0</v>
      </c>
      <c r="I1133" s="209">
        <v>0</v>
      </c>
      <c r="J1133" s="150">
        <v>0</v>
      </c>
      <c r="K1133" s="150">
        <v>0</v>
      </c>
      <c r="L1133" s="150">
        <f t="shared" si="1052"/>
        <v>0</v>
      </c>
      <c r="M1133" s="150">
        <v>0</v>
      </c>
      <c r="N1133" s="150">
        <v>0</v>
      </c>
      <c r="O1133" s="150">
        <v>0</v>
      </c>
      <c r="P1133" s="150">
        <v>0</v>
      </c>
      <c r="Q1133" s="150">
        <v>0</v>
      </c>
      <c r="R1133" s="313">
        <f t="shared" si="1038"/>
        <v>0</v>
      </c>
      <c r="S1133" s="150">
        <f t="shared" si="1050"/>
        <v>0</v>
      </c>
      <c r="T1133" s="150"/>
      <c r="U1133" s="150">
        <v>0</v>
      </c>
      <c r="V1133" s="199">
        <v>0</v>
      </c>
      <c r="W1133" s="150">
        <f t="shared" si="1044"/>
        <v>0</v>
      </c>
      <c r="X1133" s="150">
        <v>0</v>
      </c>
      <c r="Y1133" s="150">
        <v>0</v>
      </c>
      <c r="Z1133" s="150">
        <v>0</v>
      </c>
      <c r="AA1133" s="150">
        <f t="shared" si="1045"/>
        <v>0</v>
      </c>
      <c r="AB1133" s="150">
        <v>0</v>
      </c>
      <c r="AC1133" s="199">
        <v>0</v>
      </c>
      <c r="AD1133" s="150">
        <f t="shared" si="1039"/>
        <v>0</v>
      </c>
      <c r="AE1133" s="150">
        <v>0</v>
      </c>
      <c r="AF1133" s="169" t="s">
        <v>4680</v>
      </c>
      <c r="AG1133" s="201">
        <v>0</v>
      </c>
      <c r="AH1133" s="199">
        <v>0</v>
      </c>
      <c r="AI1133" s="150">
        <v>0</v>
      </c>
      <c r="AJ1133" s="169">
        <f t="shared" si="1046"/>
        <v>0</v>
      </c>
      <c r="AK1133" s="201">
        <v>0</v>
      </c>
      <c r="AL1133" s="199">
        <v>0</v>
      </c>
      <c r="AM1133" s="150">
        <f t="shared" si="1040"/>
        <v>0</v>
      </c>
      <c r="AN1133" s="153">
        <f t="shared" si="1047"/>
        <v>0</v>
      </c>
      <c r="AO1133" s="154">
        <f t="shared" si="1048"/>
        <v>0</v>
      </c>
      <c r="AP1133" s="150">
        <v>0</v>
      </c>
      <c r="AQ1133" s="201">
        <v>0</v>
      </c>
      <c r="AR1133" s="199">
        <v>0</v>
      </c>
      <c r="AS1133" s="150">
        <f t="shared" si="1041"/>
        <v>0</v>
      </c>
      <c r="AT1133" s="155"/>
      <c r="AU1133" s="156">
        <f t="shared" si="1042"/>
        <v>0</v>
      </c>
      <c r="AV1133" s="156">
        <f t="shared" si="1043"/>
        <v>0</v>
      </c>
      <c r="AW1133" s="157"/>
      <c r="AX1133" s="150">
        <v>0</v>
      </c>
      <c r="AY1133" s="150">
        <v>0</v>
      </c>
      <c r="AZ1133" s="150">
        <f t="shared" si="1049"/>
        <v>0</v>
      </c>
      <c r="BA1133" s="313">
        <v>0</v>
      </c>
      <c r="BB1133" s="202">
        <v>5</v>
      </c>
      <c r="BC1133" s="202" t="s">
        <v>647</v>
      </c>
      <c r="BD1133" s="194" t="s">
        <v>647</v>
      </c>
      <c r="BE1133" s="335" t="s">
        <v>671</v>
      </c>
      <c r="BF1133" s="202" t="s">
        <v>714</v>
      </c>
      <c r="BG1133" s="287" t="s">
        <v>7831</v>
      </c>
      <c r="BH1133" s="283">
        <f>SUM(AS1133:AS1156)</f>
        <v>272090.32</v>
      </c>
      <c r="BI1133" s="205"/>
      <c r="BJ1133" s="206" t="s">
        <v>7734</v>
      </c>
      <c r="BK1133" s="206" t="s">
        <v>452</v>
      </c>
      <c r="BL1133" s="207" t="s">
        <v>7735</v>
      </c>
      <c r="BM1133" s="208">
        <f>BH1133</f>
        <v>272090.32</v>
      </c>
      <c r="BN1133" s="160"/>
      <c r="BO1133" s="161"/>
      <c r="BP1133" s="161"/>
    </row>
    <row r="1134" spans="1:68" ht="38.25">
      <c r="A1134" s="210"/>
      <c r="B1134" s="195" t="s">
        <v>7832</v>
      </c>
      <c r="C1134" s="196" t="s">
        <v>7833</v>
      </c>
      <c r="D1134" s="146" t="s">
        <v>4692</v>
      </c>
      <c r="E1134" s="196" t="s">
        <v>7833</v>
      </c>
      <c r="F1134" s="150">
        <v>0</v>
      </c>
      <c r="G1134" s="209">
        <v>41316.629999999997</v>
      </c>
      <c r="H1134" s="209">
        <v>6512.6620475</v>
      </c>
      <c r="I1134" s="209">
        <v>47829.292047499999</v>
      </c>
      <c r="J1134" s="150">
        <v>0</v>
      </c>
      <c r="K1134" s="150">
        <v>0</v>
      </c>
      <c r="L1134" s="150">
        <f t="shared" si="1052"/>
        <v>0</v>
      </c>
      <c r="M1134" s="150">
        <v>0</v>
      </c>
      <c r="N1134" s="150">
        <v>0</v>
      </c>
      <c r="O1134" s="150">
        <v>0</v>
      </c>
      <c r="P1134" s="150">
        <v>0</v>
      </c>
      <c r="Q1134" s="150">
        <v>0</v>
      </c>
      <c r="R1134" s="313">
        <f t="shared" si="1038"/>
        <v>0</v>
      </c>
      <c r="S1134" s="150">
        <f t="shared" si="1050"/>
        <v>0</v>
      </c>
      <c r="T1134" s="150"/>
      <c r="U1134" s="150">
        <v>0</v>
      </c>
      <c r="V1134" s="199">
        <v>0</v>
      </c>
      <c r="W1134" s="150">
        <f t="shared" si="1044"/>
        <v>0</v>
      </c>
      <c r="X1134" s="150">
        <v>0</v>
      </c>
      <c r="Y1134" s="150">
        <v>0</v>
      </c>
      <c r="Z1134" s="150">
        <v>0</v>
      </c>
      <c r="AA1134" s="150">
        <f t="shared" si="1045"/>
        <v>0</v>
      </c>
      <c r="AB1134" s="150">
        <v>0</v>
      </c>
      <c r="AC1134" s="199">
        <v>0</v>
      </c>
      <c r="AD1134" s="150">
        <f t="shared" si="1039"/>
        <v>0</v>
      </c>
      <c r="AE1134" s="150">
        <v>0</v>
      </c>
      <c r="AF1134" s="169" t="s">
        <v>4680</v>
      </c>
      <c r="AG1134" s="201">
        <v>0</v>
      </c>
      <c r="AH1134" s="199">
        <v>0</v>
      </c>
      <c r="AI1134" s="150">
        <v>0</v>
      </c>
      <c r="AJ1134" s="169">
        <f t="shared" si="1046"/>
        <v>0</v>
      </c>
      <c r="AK1134" s="201">
        <v>0</v>
      </c>
      <c r="AL1134" s="199">
        <v>0</v>
      </c>
      <c r="AM1134" s="150">
        <f t="shared" si="1040"/>
        <v>0</v>
      </c>
      <c r="AN1134" s="153">
        <f t="shared" si="1047"/>
        <v>0</v>
      </c>
      <c r="AO1134" s="154">
        <f t="shared" si="1048"/>
        <v>0</v>
      </c>
      <c r="AP1134" s="150">
        <v>0</v>
      </c>
      <c r="AQ1134" s="201">
        <v>0</v>
      </c>
      <c r="AR1134" s="199">
        <v>0</v>
      </c>
      <c r="AS1134" s="150">
        <f t="shared" si="1041"/>
        <v>0</v>
      </c>
      <c r="AT1134" s="155"/>
      <c r="AU1134" s="156">
        <f t="shared" si="1042"/>
        <v>0</v>
      </c>
      <c r="AV1134" s="156">
        <f t="shared" si="1043"/>
        <v>0</v>
      </c>
      <c r="AW1134" s="157"/>
      <c r="AX1134" s="150">
        <v>0</v>
      </c>
      <c r="AY1134" s="150">
        <v>0</v>
      </c>
      <c r="AZ1134" s="150">
        <f t="shared" si="1049"/>
        <v>0</v>
      </c>
      <c r="BA1134" s="313">
        <v>0</v>
      </c>
      <c r="BB1134" s="210"/>
      <c r="BC1134" s="210"/>
      <c r="BD1134" s="210"/>
      <c r="BE1134" s="210"/>
      <c r="BF1134" s="210"/>
      <c r="BG1134" s="210"/>
      <c r="BH1134" s="217"/>
      <c r="BI1134" s="210"/>
      <c r="BJ1134" s="210"/>
      <c r="BK1134" s="210"/>
      <c r="BL1134" s="210"/>
      <c r="BM1134" s="208"/>
      <c r="BN1134" s="160"/>
      <c r="BO1134" s="161"/>
      <c r="BP1134" s="161"/>
    </row>
    <row r="1135" spans="1:68" ht="38.25">
      <c r="A1135" s="210"/>
      <c r="B1135" s="195" t="s">
        <v>7834</v>
      </c>
      <c r="C1135" s="196" t="s">
        <v>7835</v>
      </c>
      <c r="D1135" s="146" t="s">
        <v>4692</v>
      </c>
      <c r="E1135" s="196" t="s">
        <v>7835</v>
      </c>
      <c r="F1135" s="150">
        <v>47795.05</v>
      </c>
      <c r="G1135" s="209">
        <v>0</v>
      </c>
      <c r="H1135" s="209">
        <v>0</v>
      </c>
      <c r="I1135" s="209">
        <v>0</v>
      </c>
      <c r="J1135" s="150">
        <v>8714.2199999999993</v>
      </c>
      <c r="K1135" s="150">
        <v>0</v>
      </c>
      <c r="L1135" s="150">
        <f t="shared" si="1052"/>
        <v>8714.2199999999993</v>
      </c>
      <c r="M1135" s="150">
        <v>18182.86</v>
      </c>
      <c r="N1135" s="150">
        <v>4416.228812461537</v>
      </c>
      <c r="O1135" s="150">
        <v>22599.088812461538</v>
      </c>
      <c r="P1135" s="150">
        <v>27616.7</v>
      </c>
      <c r="Q1135" s="150">
        <v>3042.984100692307</v>
      </c>
      <c r="R1135" s="313">
        <f t="shared" si="1038"/>
        <v>30659.684100692306</v>
      </c>
      <c r="S1135" s="150">
        <f t="shared" si="1050"/>
        <v>40879.578800923075</v>
      </c>
      <c r="T1135" s="150"/>
      <c r="U1135" s="150">
        <v>35890.239999999998</v>
      </c>
      <c r="V1135" s="199">
        <v>3926.433229419355</v>
      </c>
      <c r="W1135" s="150">
        <f t="shared" si="1044"/>
        <v>39816.67322941935</v>
      </c>
      <c r="X1135" s="150">
        <v>35890.239999999998</v>
      </c>
      <c r="Y1135" s="150">
        <v>3926.433229419355</v>
      </c>
      <c r="Z1135" s="150">
        <v>39816.67322941935</v>
      </c>
      <c r="AA1135" s="150">
        <f t="shared" si="1045"/>
        <v>-105.68322941935185</v>
      </c>
      <c r="AB1135" s="150">
        <v>35890.239999999998</v>
      </c>
      <c r="AC1135" s="199">
        <v>3820.75</v>
      </c>
      <c r="AD1135" s="150">
        <f t="shared" si="1039"/>
        <v>39710.99</v>
      </c>
      <c r="AE1135" s="150">
        <v>39710.99</v>
      </c>
      <c r="AF1135" s="169" t="s">
        <v>4680</v>
      </c>
      <c r="AG1135" s="201">
        <v>35890.239999999998</v>
      </c>
      <c r="AH1135" s="199">
        <v>3820.75</v>
      </c>
      <c r="AI1135" s="150">
        <v>39710.99</v>
      </c>
      <c r="AJ1135" s="169">
        <f t="shared" si="1046"/>
        <v>0</v>
      </c>
      <c r="AK1135" s="201">
        <v>35890.239999999998</v>
      </c>
      <c r="AL1135" s="199">
        <v>3820.75</v>
      </c>
      <c r="AM1135" s="150">
        <f t="shared" si="1040"/>
        <v>39710.99</v>
      </c>
      <c r="AN1135" s="153">
        <f t="shared" si="1047"/>
        <v>395.81999999999971</v>
      </c>
      <c r="AO1135" s="154">
        <f t="shared" si="1048"/>
        <v>395.81999999999971</v>
      </c>
      <c r="AP1135" s="309">
        <v>39710.99</v>
      </c>
      <c r="AQ1135" s="201">
        <v>40106.81</v>
      </c>
      <c r="AR1135" s="199"/>
      <c r="AS1135" s="150">
        <f t="shared" si="1041"/>
        <v>40106.81</v>
      </c>
      <c r="AT1135" s="155"/>
      <c r="AU1135" s="156">
        <f t="shared" si="1042"/>
        <v>0</v>
      </c>
      <c r="AV1135" s="156">
        <f t="shared" si="1043"/>
        <v>-105.68322941935185</v>
      </c>
      <c r="AW1135" s="157"/>
      <c r="AX1135" s="150">
        <v>39816.67322941935</v>
      </c>
      <c r="AY1135" s="150">
        <v>20240.72</v>
      </c>
      <c r="AZ1135" s="150">
        <f t="shared" si="1049"/>
        <v>24957.457624923074</v>
      </c>
      <c r="BA1135" s="313">
        <v>45198.177624923075</v>
      </c>
      <c r="BB1135" s="210"/>
      <c r="BC1135" s="210"/>
      <c r="BD1135" s="210"/>
      <c r="BE1135" s="210"/>
      <c r="BF1135" s="210"/>
      <c r="BG1135" s="210"/>
      <c r="BH1135" s="217"/>
      <c r="BI1135" s="210"/>
      <c r="BJ1135" s="210"/>
      <c r="BK1135" s="210"/>
      <c r="BL1135" s="210"/>
      <c r="BM1135" s="208"/>
      <c r="BN1135" s="160"/>
      <c r="BO1135" s="161"/>
      <c r="BP1135" s="161"/>
    </row>
    <row r="1136" spans="1:68" ht="38.25">
      <c r="A1136" s="210"/>
      <c r="B1136" s="195" t="s">
        <v>7836</v>
      </c>
      <c r="C1136" s="196" t="s">
        <v>7837</v>
      </c>
      <c r="D1136" s="146" t="s">
        <v>4692</v>
      </c>
      <c r="E1136" s="196" t="s">
        <v>7837</v>
      </c>
      <c r="F1136" s="150">
        <v>0</v>
      </c>
      <c r="G1136" s="209">
        <v>0</v>
      </c>
      <c r="H1136" s="209">
        <v>0</v>
      </c>
      <c r="I1136" s="209">
        <v>0</v>
      </c>
      <c r="J1136" s="150">
        <v>0</v>
      </c>
      <c r="K1136" s="150">
        <v>0</v>
      </c>
      <c r="L1136" s="150">
        <f t="shared" si="1052"/>
        <v>0</v>
      </c>
      <c r="M1136" s="150">
        <v>0</v>
      </c>
      <c r="N1136" s="150">
        <v>0</v>
      </c>
      <c r="O1136" s="150">
        <v>0</v>
      </c>
      <c r="P1136" s="150">
        <v>0</v>
      </c>
      <c r="Q1136" s="150">
        <v>0</v>
      </c>
      <c r="R1136" s="313">
        <f t="shared" si="1038"/>
        <v>0</v>
      </c>
      <c r="S1136" s="150">
        <f t="shared" si="1050"/>
        <v>0</v>
      </c>
      <c r="T1136" s="150"/>
      <c r="U1136" s="150">
        <v>0</v>
      </c>
      <c r="V1136" s="199">
        <v>0</v>
      </c>
      <c r="W1136" s="150">
        <f t="shared" si="1044"/>
        <v>0</v>
      </c>
      <c r="X1136" s="150">
        <v>0</v>
      </c>
      <c r="Y1136" s="150">
        <v>0</v>
      </c>
      <c r="Z1136" s="150">
        <v>0</v>
      </c>
      <c r="AA1136" s="150">
        <f t="shared" si="1045"/>
        <v>0</v>
      </c>
      <c r="AB1136" s="150">
        <v>0</v>
      </c>
      <c r="AC1136" s="199">
        <v>0</v>
      </c>
      <c r="AD1136" s="150">
        <f t="shared" si="1039"/>
        <v>0</v>
      </c>
      <c r="AE1136" s="150">
        <v>0</v>
      </c>
      <c r="AF1136" s="169" t="s">
        <v>4680</v>
      </c>
      <c r="AG1136" s="201">
        <v>0</v>
      </c>
      <c r="AH1136" s="199">
        <v>0</v>
      </c>
      <c r="AI1136" s="150">
        <v>0</v>
      </c>
      <c r="AJ1136" s="169">
        <f t="shared" si="1046"/>
        <v>0</v>
      </c>
      <c r="AK1136" s="201">
        <v>0</v>
      </c>
      <c r="AL1136" s="199">
        <v>0</v>
      </c>
      <c r="AM1136" s="150">
        <f t="shared" si="1040"/>
        <v>0</v>
      </c>
      <c r="AN1136" s="153">
        <f t="shared" si="1047"/>
        <v>0</v>
      </c>
      <c r="AO1136" s="154">
        <f t="shared" si="1048"/>
        <v>0</v>
      </c>
      <c r="AP1136" s="150">
        <v>0</v>
      </c>
      <c r="AQ1136" s="201">
        <v>0</v>
      </c>
      <c r="AR1136" s="199"/>
      <c r="AS1136" s="150">
        <f t="shared" si="1041"/>
        <v>0</v>
      </c>
      <c r="AT1136" s="155"/>
      <c r="AU1136" s="156">
        <f t="shared" si="1042"/>
        <v>0</v>
      </c>
      <c r="AV1136" s="156">
        <f t="shared" si="1043"/>
        <v>0</v>
      </c>
      <c r="AW1136" s="157"/>
      <c r="AX1136" s="150">
        <v>0</v>
      </c>
      <c r="AY1136" s="150">
        <v>0</v>
      </c>
      <c r="AZ1136" s="150">
        <f t="shared" si="1049"/>
        <v>0</v>
      </c>
      <c r="BA1136" s="313">
        <v>0</v>
      </c>
      <c r="BB1136" s="210"/>
      <c r="BC1136" s="210"/>
      <c r="BD1136" s="210"/>
      <c r="BE1136" s="210"/>
      <c r="BF1136" s="210"/>
      <c r="BG1136" s="210"/>
      <c r="BH1136" s="217"/>
      <c r="BI1136" s="210"/>
      <c r="BJ1136" s="210"/>
      <c r="BK1136" s="210"/>
      <c r="BL1136" s="210"/>
      <c r="BM1136" s="208"/>
      <c r="BN1136" s="160"/>
      <c r="BO1136" s="161"/>
      <c r="BP1136" s="161"/>
    </row>
    <row r="1137" spans="1:68" ht="38.25">
      <c r="A1137" s="210"/>
      <c r="B1137" s="195" t="s">
        <v>7838</v>
      </c>
      <c r="C1137" s="196" t="s">
        <v>7839</v>
      </c>
      <c r="D1137" s="146" t="s">
        <v>4692</v>
      </c>
      <c r="E1137" s="196" t="s">
        <v>7839</v>
      </c>
      <c r="F1137" s="150">
        <v>0</v>
      </c>
      <c r="G1137" s="209">
        <v>0</v>
      </c>
      <c r="H1137" s="209">
        <v>0</v>
      </c>
      <c r="I1137" s="209">
        <v>0</v>
      </c>
      <c r="J1137" s="150">
        <v>0</v>
      </c>
      <c r="K1137" s="150">
        <v>0</v>
      </c>
      <c r="L1137" s="150">
        <f t="shared" si="1052"/>
        <v>0</v>
      </c>
      <c r="M1137" s="150">
        <v>0</v>
      </c>
      <c r="N1137" s="150">
        <v>0</v>
      </c>
      <c r="O1137" s="150">
        <v>0</v>
      </c>
      <c r="P1137" s="150">
        <v>0</v>
      </c>
      <c r="Q1137" s="150">
        <v>0</v>
      </c>
      <c r="R1137" s="313">
        <f t="shared" si="1038"/>
        <v>0</v>
      </c>
      <c r="S1137" s="150">
        <f t="shared" si="1050"/>
        <v>0</v>
      </c>
      <c r="T1137" s="150"/>
      <c r="U1137" s="150">
        <v>0</v>
      </c>
      <c r="V1137" s="199">
        <v>0</v>
      </c>
      <c r="W1137" s="150">
        <f t="shared" si="1044"/>
        <v>0</v>
      </c>
      <c r="X1137" s="150">
        <v>0</v>
      </c>
      <c r="Y1137" s="150">
        <v>0</v>
      </c>
      <c r="Z1137" s="150">
        <v>0</v>
      </c>
      <c r="AA1137" s="150">
        <f t="shared" si="1045"/>
        <v>0</v>
      </c>
      <c r="AB1137" s="150">
        <v>0</v>
      </c>
      <c r="AC1137" s="199">
        <v>0</v>
      </c>
      <c r="AD1137" s="150">
        <f t="shared" si="1039"/>
        <v>0</v>
      </c>
      <c r="AE1137" s="150">
        <v>0</v>
      </c>
      <c r="AF1137" s="169" t="s">
        <v>4680</v>
      </c>
      <c r="AG1137" s="201">
        <v>0</v>
      </c>
      <c r="AH1137" s="199">
        <v>0</v>
      </c>
      <c r="AI1137" s="150">
        <v>0</v>
      </c>
      <c r="AJ1137" s="169">
        <f t="shared" si="1046"/>
        <v>0</v>
      </c>
      <c r="AK1137" s="201">
        <v>0</v>
      </c>
      <c r="AL1137" s="199">
        <v>0</v>
      </c>
      <c r="AM1137" s="150">
        <f t="shared" si="1040"/>
        <v>0</v>
      </c>
      <c r="AN1137" s="153">
        <f t="shared" si="1047"/>
        <v>0</v>
      </c>
      <c r="AO1137" s="154">
        <f t="shared" si="1048"/>
        <v>0</v>
      </c>
      <c r="AP1137" s="150">
        <v>0</v>
      </c>
      <c r="AQ1137" s="201">
        <v>0</v>
      </c>
      <c r="AR1137" s="199"/>
      <c r="AS1137" s="150">
        <f t="shared" si="1041"/>
        <v>0</v>
      </c>
      <c r="AT1137" s="155"/>
      <c r="AU1137" s="156">
        <f t="shared" si="1042"/>
        <v>0</v>
      </c>
      <c r="AV1137" s="156">
        <f t="shared" si="1043"/>
        <v>0</v>
      </c>
      <c r="AW1137" s="157"/>
      <c r="AX1137" s="150">
        <v>0</v>
      </c>
      <c r="AY1137" s="150">
        <v>0</v>
      </c>
      <c r="AZ1137" s="150">
        <f t="shared" si="1049"/>
        <v>0</v>
      </c>
      <c r="BA1137" s="313">
        <v>0</v>
      </c>
      <c r="BB1137" s="210"/>
      <c r="BC1137" s="210"/>
      <c r="BD1137" s="210"/>
      <c r="BE1137" s="210"/>
      <c r="BF1137" s="210"/>
      <c r="BG1137" s="210"/>
      <c r="BH1137" s="217"/>
      <c r="BI1137" s="210"/>
      <c r="BJ1137" s="210"/>
      <c r="BK1137" s="210"/>
      <c r="BL1137" s="210"/>
      <c r="BM1137" s="208"/>
      <c r="BN1137" s="160"/>
      <c r="BO1137" s="161"/>
      <c r="BP1137" s="161"/>
    </row>
    <row r="1138" spans="1:68" ht="38.25">
      <c r="A1138" s="210"/>
      <c r="B1138" s="195" t="s">
        <v>7840</v>
      </c>
      <c r="C1138" s="196" t="s">
        <v>7841</v>
      </c>
      <c r="D1138" s="146" t="s">
        <v>4692</v>
      </c>
      <c r="E1138" s="196" t="s">
        <v>7841</v>
      </c>
      <c r="F1138" s="150">
        <v>0</v>
      </c>
      <c r="G1138" s="209">
        <v>9347.19</v>
      </c>
      <c r="H1138" s="209">
        <v>0</v>
      </c>
      <c r="I1138" s="209">
        <v>9347.19</v>
      </c>
      <c r="J1138" s="150">
        <v>0</v>
      </c>
      <c r="K1138" s="150">
        <v>0</v>
      </c>
      <c r="L1138" s="150">
        <f t="shared" si="1052"/>
        <v>0</v>
      </c>
      <c r="M1138" s="150">
        <v>0</v>
      </c>
      <c r="N1138" s="150">
        <v>0</v>
      </c>
      <c r="O1138" s="150">
        <v>0</v>
      </c>
      <c r="P1138" s="150">
        <v>0</v>
      </c>
      <c r="Q1138" s="150">
        <v>0</v>
      </c>
      <c r="R1138" s="313">
        <f t="shared" si="1038"/>
        <v>0</v>
      </c>
      <c r="S1138" s="150">
        <f t="shared" si="1050"/>
        <v>0</v>
      </c>
      <c r="T1138" s="150"/>
      <c r="U1138" s="150">
        <v>0</v>
      </c>
      <c r="V1138" s="199">
        <v>0</v>
      </c>
      <c r="W1138" s="150">
        <f t="shared" si="1044"/>
        <v>0</v>
      </c>
      <c r="X1138" s="150">
        <v>0</v>
      </c>
      <c r="Y1138" s="150">
        <v>0</v>
      </c>
      <c r="Z1138" s="150">
        <v>0</v>
      </c>
      <c r="AA1138" s="150">
        <f t="shared" si="1045"/>
        <v>0</v>
      </c>
      <c r="AB1138" s="150">
        <v>0</v>
      </c>
      <c r="AC1138" s="199">
        <v>0</v>
      </c>
      <c r="AD1138" s="150">
        <f t="shared" si="1039"/>
        <v>0</v>
      </c>
      <c r="AE1138" s="150">
        <v>0</v>
      </c>
      <c r="AF1138" s="169" t="s">
        <v>4680</v>
      </c>
      <c r="AG1138" s="201">
        <v>0</v>
      </c>
      <c r="AH1138" s="199">
        <v>0</v>
      </c>
      <c r="AI1138" s="150">
        <v>0</v>
      </c>
      <c r="AJ1138" s="169">
        <f t="shared" si="1046"/>
        <v>0</v>
      </c>
      <c r="AK1138" s="201">
        <v>0</v>
      </c>
      <c r="AL1138" s="199">
        <v>0</v>
      </c>
      <c r="AM1138" s="150">
        <f t="shared" si="1040"/>
        <v>0</v>
      </c>
      <c r="AN1138" s="153">
        <f t="shared" si="1047"/>
        <v>0</v>
      </c>
      <c r="AO1138" s="154">
        <f t="shared" si="1048"/>
        <v>0</v>
      </c>
      <c r="AP1138" s="150">
        <v>0</v>
      </c>
      <c r="AQ1138" s="201">
        <v>0</v>
      </c>
      <c r="AR1138" s="199"/>
      <c r="AS1138" s="150">
        <f t="shared" si="1041"/>
        <v>0</v>
      </c>
      <c r="AT1138" s="155"/>
      <c r="AU1138" s="156">
        <f t="shared" si="1042"/>
        <v>0</v>
      </c>
      <c r="AV1138" s="156">
        <f t="shared" si="1043"/>
        <v>0</v>
      </c>
      <c r="AW1138" s="157"/>
      <c r="AX1138" s="150">
        <v>0</v>
      </c>
      <c r="AY1138" s="150">
        <v>0</v>
      </c>
      <c r="AZ1138" s="150">
        <f t="shared" si="1049"/>
        <v>0</v>
      </c>
      <c r="BA1138" s="313">
        <v>0</v>
      </c>
      <c r="BB1138" s="210"/>
      <c r="BC1138" s="210"/>
      <c r="BD1138" s="210"/>
      <c r="BE1138" s="210"/>
      <c r="BF1138" s="210"/>
      <c r="BG1138" s="210"/>
      <c r="BH1138" s="217"/>
      <c r="BI1138" s="210"/>
      <c r="BJ1138" s="210"/>
      <c r="BK1138" s="210"/>
      <c r="BL1138" s="210"/>
      <c r="BM1138" s="208"/>
      <c r="BN1138" s="160"/>
      <c r="BO1138" s="161"/>
      <c r="BP1138" s="161"/>
    </row>
    <row r="1139" spans="1:68" ht="51">
      <c r="A1139" s="210"/>
      <c r="B1139" s="195" t="s">
        <v>7842</v>
      </c>
      <c r="C1139" s="196" t="s">
        <v>7843</v>
      </c>
      <c r="D1139" s="146" t="s">
        <v>4692</v>
      </c>
      <c r="E1139" s="196" t="s">
        <v>7843</v>
      </c>
      <c r="F1139" s="150">
        <v>9347.19</v>
      </c>
      <c r="G1139" s="209">
        <v>0.75</v>
      </c>
      <c r="H1139" s="209">
        <v>0</v>
      </c>
      <c r="I1139" s="209">
        <v>0.75</v>
      </c>
      <c r="J1139" s="150">
        <v>2202.09</v>
      </c>
      <c r="K1139" s="150">
        <v>0</v>
      </c>
      <c r="L1139" s="150">
        <f t="shared" si="1052"/>
        <v>2202.09</v>
      </c>
      <c r="M1139" s="150">
        <v>4069.9</v>
      </c>
      <c r="N1139" s="150">
        <v>0</v>
      </c>
      <c r="O1139" s="150">
        <v>4069.9</v>
      </c>
      <c r="P1139" s="150">
        <v>5882.81</v>
      </c>
      <c r="Q1139" s="150">
        <v>0</v>
      </c>
      <c r="R1139" s="313">
        <f t="shared" si="1038"/>
        <v>5882.81</v>
      </c>
      <c r="S1139" s="150">
        <f t="shared" si="1050"/>
        <v>7843.7466666666669</v>
      </c>
      <c r="T1139" s="150"/>
      <c r="U1139" s="150">
        <v>8167.86</v>
      </c>
      <c r="V1139" s="199">
        <v>0</v>
      </c>
      <c r="W1139" s="150">
        <f t="shared" si="1044"/>
        <v>8167.86</v>
      </c>
      <c r="X1139" s="150">
        <v>8167.86</v>
      </c>
      <c r="Y1139" s="150">
        <v>0</v>
      </c>
      <c r="Z1139" s="150">
        <v>8167.86</v>
      </c>
      <c r="AA1139" s="150">
        <f t="shared" si="1045"/>
        <v>0</v>
      </c>
      <c r="AB1139" s="150">
        <v>8167.86</v>
      </c>
      <c r="AC1139" s="199">
        <v>0</v>
      </c>
      <c r="AD1139" s="150">
        <f t="shared" si="1039"/>
        <v>8167.86</v>
      </c>
      <c r="AE1139" s="150">
        <v>8167.86</v>
      </c>
      <c r="AF1139" s="169" t="s">
        <v>4680</v>
      </c>
      <c r="AG1139" s="201">
        <v>8167.86</v>
      </c>
      <c r="AH1139" s="199">
        <v>0</v>
      </c>
      <c r="AI1139" s="150">
        <v>8167.86</v>
      </c>
      <c r="AJ1139" s="169">
        <f t="shared" si="1046"/>
        <v>0</v>
      </c>
      <c r="AK1139" s="201">
        <v>8167.86</v>
      </c>
      <c r="AL1139" s="199">
        <v>0</v>
      </c>
      <c r="AM1139" s="150">
        <f t="shared" si="1040"/>
        <v>8167.86</v>
      </c>
      <c r="AN1139" s="153">
        <f t="shared" si="1047"/>
        <v>0</v>
      </c>
      <c r="AO1139" s="154">
        <f t="shared" si="1048"/>
        <v>0</v>
      </c>
      <c r="AP1139" s="150">
        <v>8167.86</v>
      </c>
      <c r="AQ1139" s="201">
        <v>8167.86</v>
      </c>
      <c r="AR1139" s="199"/>
      <c r="AS1139" s="150">
        <f t="shared" si="1041"/>
        <v>8167.86</v>
      </c>
      <c r="AT1139" s="155"/>
      <c r="AU1139" s="156">
        <f t="shared" si="1042"/>
        <v>0</v>
      </c>
      <c r="AV1139" s="156">
        <f t="shared" si="1043"/>
        <v>0</v>
      </c>
      <c r="AW1139" s="157"/>
      <c r="AX1139" s="150">
        <v>8167.86</v>
      </c>
      <c r="AY1139" s="150">
        <v>4634.01</v>
      </c>
      <c r="AZ1139" s="150">
        <f t="shared" si="1049"/>
        <v>3505.79</v>
      </c>
      <c r="BA1139" s="313">
        <v>8139.8</v>
      </c>
      <c r="BB1139" s="210"/>
      <c r="BC1139" s="210"/>
      <c r="BD1139" s="210"/>
      <c r="BE1139" s="210"/>
      <c r="BF1139" s="210"/>
      <c r="BG1139" s="210"/>
      <c r="BH1139" s="217"/>
      <c r="BI1139" s="210"/>
      <c r="BJ1139" s="210"/>
      <c r="BK1139" s="210"/>
      <c r="BL1139" s="210"/>
      <c r="BM1139" s="208"/>
      <c r="BN1139" s="160"/>
      <c r="BO1139" s="161"/>
      <c r="BP1139" s="161"/>
    </row>
    <row r="1140" spans="1:68" ht="51">
      <c r="A1140" s="210"/>
      <c r="B1140" s="195" t="s">
        <v>7844</v>
      </c>
      <c r="C1140" s="196" t="s">
        <v>7845</v>
      </c>
      <c r="D1140" s="146" t="s">
        <v>4692</v>
      </c>
      <c r="E1140" s="196" t="s">
        <v>7845</v>
      </c>
      <c r="F1140" s="150">
        <v>0.75</v>
      </c>
      <c r="G1140" s="209">
        <v>0</v>
      </c>
      <c r="H1140" s="209">
        <v>0</v>
      </c>
      <c r="I1140" s="209">
        <v>0</v>
      </c>
      <c r="J1140" s="150">
        <v>0</v>
      </c>
      <c r="K1140" s="150">
        <v>0</v>
      </c>
      <c r="L1140" s="150">
        <f t="shared" si="1052"/>
        <v>0</v>
      </c>
      <c r="M1140" s="150">
        <v>0</v>
      </c>
      <c r="N1140" s="150">
        <v>0</v>
      </c>
      <c r="O1140" s="150">
        <v>0</v>
      </c>
      <c r="P1140" s="150">
        <v>0.12</v>
      </c>
      <c r="Q1140" s="150">
        <v>0</v>
      </c>
      <c r="R1140" s="313">
        <f t="shared" si="1038"/>
        <v>0.12</v>
      </c>
      <c r="S1140" s="150">
        <f t="shared" si="1050"/>
        <v>0.15999999999999998</v>
      </c>
      <c r="T1140" s="150"/>
      <c r="U1140" s="150">
        <v>1.4</v>
      </c>
      <c r="V1140" s="199">
        <v>0</v>
      </c>
      <c r="W1140" s="150">
        <f t="shared" si="1044"/>
        <v>1.4</v>
      </c>
      <c r="X1140" s="150">
        <v>1.4</v>
      </c>
      <c r="Y1140" s="150">
        <v>0</v>
      </c>
      <c r="Z1140" s="150">
        <v>1.4</v>
      </c>
      <c r="AA1140" s="150">
        <f t="shared" si="1045"/>
        <v>0</v>
      </c>
      <c r="AB1140" s="150">
        <v>1.4</v>
      </c>
      <c r="AC1140" s="199">
        <v>0</v>
      </c>
      <c r="AD1140" s="150">
        <f t="shared" si="1039"/>
        <v>1.4</v>
      </c>
      <c r="AE1140" s="150">
        <v>1.4</v>
      </c>
      <c r="AF1140" s="169" t="s">
        <v>4680</v>
      </c>
      <c r="AG1140" s="201">
        <v>1.4</v>
      </c>
      <c r="AH1140" s="199">
        <v>0</v>
      </c>
      <c r="AI1140" s="150">
        <v>1.4</v>
      </c>
      <c r="AJ1140" s="169">
        <f t="shared" si="1046"/>
        <v>0</v>
      </c>
      <c r="AK1140" s="201">
        <v>1.4</v>
      </c>
      <c r="AL1140" s="199">
        <v>0</v>
      </c>
      <c r="AM1140" s="150">
        <f t="shared" si="1040"/>
        <v>1.4</v>
      </c>
      <c r="AN1140" s="153">
        <f t="shared" si="1047"/>
        <v>0</v>
      </c>
      <c r="AO1140" s="154">
        <f t="shared" si="1048"/>
        <v>0</v>
      </c>
      <c r="AP1140" s="150">
        <v>1.4</v>
      </c>
      <c r="AQ1140" s="201">
        <v>1.4</v>
      </c>
      <c r="AR1140" s="199"/>
      <c r="AS1140" s="150">
        <f t="shared" si="1041"/>
        <v>1.4</v>
      </c>
      <c r="AT1140" s="155"/>
      <c r="AU1140" s="156">
        <f t="shared" si="1042"/>
        <v>0</v>
      </c>
      <c r="AV1140" s="156">
        <f t="shared" si="1043"/>
        <v>0</v>
      </c>
      <c r="AW1140" s="157"/>
      <c r="AX1140" s="150">
        <v>1.4</v>
      </c>
      <c r="AY1140" s="150">
        <v>0</v>
      </c>
      <c r="AZ1140" s="150">
        <f t="shared" si="1049"/>
        <v>0</v>
      </c>
      <c r="BA1140" s="313">
        <v>0</v>
      </c>
      <c r="BB1140" s="210"/>
      <c r="BC1140" s="210"/>
      <c r="BD1140" s="210"/>
      <c r="BE1140" s="210"/>
      <c r="BF1140" s="210"/>
      <c r="BG1140" s="210"/>
      <c r="BH1140" s="217"/>
      <c r="BI1140" s="210"/>
      <c r="BJ1140" s="210"/>
      <c r="BK1140" s="210"/>
      <c r="BL1140" s="210"/>
      <c r="BM1140" s="208"/>
      <c r="BN1140" s="160"/>
      <c r="BO1140" s="161"/>
      <c r="BP1140" s="161"/>
    </row>
    <row r="1141" spans="1:68" ht="38.25">
      <c r="A1141" s="210"/>
      <c r="B1141" s="195" t="s">
        <v>7846</v>
      </c>
      <c r="C1141" s="196" t="s">
        <v>7847</v>
      </c>
      <c r="D1141" s="146" t="s">
        <v>4692</v>
      </c>
      <c r="E1141" s="196" t="s">
        <v>7847</v>
      </c>
      <c r="F1141" s="150">
        <v>0</v>
      </c>
      <c r="G1141" s="209">
        <v>0</v>
      </c>
      <c r="H1141" s="209">
        <v>0</v>
      </c>
      <c r="I1141" s="209">
        <v>0</v>
      </c>
      <c r="J1141" s="150">
        <v>0</v>
      </c>
      <c r="K1141" s="150">
        <v>0</v>
      </c>
      <c r="L1141" s="150">
        <f t="shared" si="1052"/>
        <v>0</v>
      </c>
      <c r="M1141" s="150">
        <v>0</v>
      </c>
      <c r="N1141" s="150">
        <v>0</v>
      </c>
      <c r="O1141" s="150">
        <v>0</v>
      </c>
      <c r="P1141" s="150">
        <v>0</v>
      </c>
      <c r="Q1141" s="150">
        <v>0</v>
      </c>
      <c r="R1141" s="313">
        <f t="shared" si="1038"/>
        <v>0</v>
      </c>
      <c r="S1141" s="150">
        <f t="shared" si="1050"/>
        <v>0</v>
      </c>
      <c r="T1141" s="150"/>
      <c r="U1141" s="150">
        <v>0</v>
      </c>
      <c r="V1141" s="199">
        <v>0</v>
      </c>
      <c r="W1141" s="150">
        <f t="shared" si="1044"/>
        <v>0</v>
      </c>
      <c r="X1141" s="150">
        <v>0</v>
      </c>
      <c r="Y1141" s="150">
        <v>0</v>
      </c>
      <c r="Z1141" s="150">
        <v>0</v>
      </c>
      <c r="AA1141" s="150">
        <f t="shared" si="1045"/>
        <v>0</v>
      </c>
      <c r="AB1141" s="150">
        <v>0</v>
      </c>
      <c r="AC1141" s="199">
        <v>0</v>
      </c>
      <c r="AD1141" s="150">
        <f t="shared" si="1039"/>
        <v>0</v>
      </c>
      <c r="AE1141" s="150">
        <v>0</v>
      </c>
      <c r="AF1141" s="169" t="s">
        <v>4680</v>
      </c>
      <c r="AG1141" s="201">
        <v>0</v>
      </c>
      <c r="AH1141" s="199">
        <v>0</v>
      </c>
      <c r="AI1141" s="150">
        <v>0</v>
      </c>
      <c r="AJ1141" s="169">
        <f t="shared" si="1046"/>
        <v>0</v>
      </c>
      <c r="AK1141" s="201">
        <v>0</v>
      </c>
      <c r="AL1141" s="199">
        <v>0</v>
      </c>
      <c r="AM1141" s="150">
        <f t="shared" si="1040"/>
        <v>0</v>
      </c>
      <c r="AN1141" s="153">
        <f t="shared" si="1047"/>
        <v>0</v>
      </c>
      <c r="AO1141" s="154">
        <f t="shared" si="1048"/>
        <v>0</v>
      </c>
      <c r="AP1141" s="150">
        <v>0</v>
      </c>
      <c r="AQ1141" s="201">
        <v>0</v>
      </c>
      <c r="AR1141" s="199"/>
      <c r="AS1141" s="150">
        <f t="shared" si="1041"/>
        <v>0</v>
      </c>
      <c r="AT1141" s="155"/>
      <c r="AU1141" s="156">
        <f t="shared" si="1042"/>
        <v>0</v>
      </c>
      <c r="AV1141" s="156">
        <f t="shared" si="1043"/>
        <v>0</v>
      </c>
      <c r="AW1141" s="157"/>
      <c r="AX1141" s="150">
        <v>0</v>
      </c>
      <c r="AY1141" s="150">
        <v>0</v>
      </c>
      <c r="AZ1141" s="150">
        <f t="shared" si="1049"/>
        <v>0</v>
      </c>
      <c r="BA1141" s="313">
        <v>0</v>
      </c>
      <c r="BB1141" s="210"/>
      <c r="BC1141" s="210"/>
      <c r="BD1141" s="210"/>
      <c r="BE1141" s="210"/>
      <c r="BF1141" s="210"/>
      <c r="BG1141" s="210"/>
      <c r="BH1141" s="217"/>
      <c r="BI1141" s="210"/>
      <c r="BJ1141" s="210"/>
      <c r="BK1141" s="210"/>
      <c r="BL1141" s="210"/>
      <c r="BM1141" s="208"/>
      <c r="BN1141" s="160"/>
      <c r="BO1141" s="161"/>
      <c r="BP1141" s="161"/>
    </row>
    <row r="1142" spans="1:68" ht="38.25">
      <c r="A1142" s="210"/>
      <c r="B1142" s="195" t="s">
        <v>7848</v>
      </c>
      <c r="C1142" s="196" t="s">
        <v>7849</v>
      </c>
      <c r="D1142" s="146" t="s">
        <v>4692</v>
      </c>
      <c r="E1142" s="196" t="s">
        <v>7849</v>
      </c>
      <c r="F1142" s="150">
        <v>0</v>
      </c>
      <c r="G1142" s="209">
        <v>124516.98</v>
      </c>
      <c r="H1142" s="209">
        <v>106604.84677400001</v>
      </c>
      <c r="I1142" s="209">
        <v>231121.82677400002</v>
      </c>
      <c r="J1142" s="150">
        <v>0</v>
      </c>
      <c r="K1142" s="150">
        <v>0</v>
      </c>
      <c r="L1142" s="150">
        <f t="shared" si="1052"/>
        <v>0</v>
      </c>
      <c r="M1142" s="150">
        <v>0</v>
      </c>
      <c r="N1142" s="150">
        <v>0</v>
      </c>
      <c r="O1142" s="150">
        <v>0</v>
      </c>
      <c r="P1142" s="150">
        <v>0</v>
      </c>
      <c r="Q1142" s="150">
        <v>0</v>
      </c>
      <c r="R1142" s="313">
        <f t="shared" si="1038"/>
        <v>0</v>
      </c>
      <c r="S1142" s="150">
        <f t="shared" si="1050"/>
        <v>0</v>
      </c>
      <c r="T1142" s="150"/>
      <c r="U1142" s="150">
        <v>0</v>
      </c>
      <c r="V1142" s="199">
        <v>0</v>
      </c>
      <c r="W1142" s="150">
        <f t="shared" si="1044"/>
        <v>0</v>
      </c>
      <c r="X1142" s="150">
        <v>0</v>
      </c>
      <c r="Y1142" s="150">
        <v>0</v>
      </c>
      <c r="Z1142" s="150">
        <v>0</v>
      </c>
      <c r="AA1142" s="150">
        <f t="shared" si="1045"/>
        <v>0</v>
      </c>
      <c r="AB1142" s="150">
        <v>0</v>
      </c>
      <c r="AC1142" s="199">
        <v>0</v>
      </c>
      <c r="AD1142" s="150">
        <f t="shared" si="1039"/>
        <v>0</v>
      </c>
      <c r="AE1142" s="150">
        <v>0</v>
      </c>
      <c r="AF1142" s="169" t="s">
        <v>4680</v>
      </c>
      <c r="AG1142" s="201">
        <v>0</v>
      </c>
      <c r="AH1142" s="199">
        <v>0</v>
      </c>
      <c r="AI1142" s="150">
        <v>0</v>
      </c>
      <c r="AJ1142" s="169">
        <f t="shared" si="1046"/>
        <v>0</v>
      </c>
      <c r="AK1142" s="201">
        <v>0</v>
      </c>
      <c r="AL1142" s="199">
        <v>0</v>
      </c>
      <c r="AM1142" s="150">
        <f t="shared" si="1040"/>
        <v>0</v>
      </c>
      <c r="AN1142" s="153">
        <f t="shared" si="1047"/>
        <v>0</v>
      </c>
      <c r="AO1142" s="154">
        <f t="shared" si="1048"/>
        <v>0</v>
      </c>
      <c r="AP1142" s="150">
        <v>0</v>
      </c>
      <c r="AQ1142" s="201">
        <v>0</v>
      </c>
      <c r="AR1142" s="199"/>
      <c r="AS1142" s="150">
        <f t="shared" si="1041"/>
        <v>0</v>
      </c>
      <c r="AT1142" s="155"/>
      <c r="AU1142" s="156">
        <f t="shared" si="1042"/>
        <v>0</v>
      </c>
      <c r="AV1142" s="156">
        <f t="shared" si="1043"/>
        <v>0</v>
      </c>
      <c r="AW1142" s="157"/>
      <c r="AX1142" s="150">
        <v>0</v>
      </c>
      <c r="AY1142" s="150">
        <v>0</v>
      </c>
      <c r="AZ1142" s="150">
        <f t="shared" si="1049"/>
        <v>0</v>
      </c>
      <c r="BA1142" s="313">
        <v>0</v>
      </c>
      <c r="BB1142" s="210"/>
      <c r="BC1142" s="210"/>
      <c r="BD1142" s="210"/>
      <c r="BE1142" s="210"/>
      <c r="BF1142" s="210"/>
      <c r="BG1142" s="210"/>
      <c r="BH1142" s="217"/>
      <c r="BI1142" s="210"/>
      <c r="BJ1142" s="210"/>
      <c r="BK1142" s="210"/>
      <c r="BL1142" s="210"/>
      <c r="BM1142" s="208"/>
      <c r="BN1142" s="160"/>
      <c r="BO1142" s="161"/>
      <c r="BP1142" s="161"/>
    </row>
    <row r="1143" spans="1:68" ht="38.25">
      <c r="A1143" s="210"/>
      <c r="B1143" s="195" t="s">
        <v>7850</v>
      </c>
      <c r="C1143" s="196" t="s">
        <v>7851</v>
      </c>
      <c r="D1143" s="146" t="s">
        <v>4692</v>
      </c>
      <c r="E1143" s="196" t="s">
        <v>7851</v>
      </c>
      <c r="F1143" s="150">
        <v>227991.01</v>
      </c>
      <c r="G1143" s="209">
        <v>0</v>
      </c>
      <c r="H1143" s="209">
        <v>0</v>
      </c>
      <c r="I1143" s="209">
        <v>0</v>
      </c>
      <c r="J1143" s="150">
        <v>26449.82</v>
      </c>
      <c r="K1143" s="150">
        <v>0</v>
      </c>
      <c r="L1143" s="150">
        <f t="shared" si="1052"/>
        <v>26449.82</v>
      </c>
      <c r="M1143" s="150">
        <v>51128.2</v>
      </c>
      <c r="N1143" s="150">
        <v>42651.80404599999</v>
      </c>
      <c r="O1143" s="150">
        <v>93780.004045999987</v>
      </c>
      <c r="P1143" s="150">
        <v>79468.45</v>
      </c>
      <c r="Q1143" s="150">
        <v>65258.226568307677</v>
      </c>
      <c r="R1143" s="313">
        <f t="shared" si="1038"/>
        <v>144726.67656830768</v>
      </c>
      <c r="S1143" s="150">
        <f t="shared" si="1050"/>
        <v>192968.90209107692</v>
      </c>
      <c r="T1143" s="150"/>
      <c r="U1143" s="150">
        <v>109643.29</v>
      </c>
      <c r="V1143" s="199">
        <v>83686.383557032255</v>
      </c>
      <c r="W1143" s="150">
        <f t="shared" si="1044"/>
        <v>193329.67355703225</v>
      </c>
      <c r="X1143" s="150">
        <v>109643.29</v>
      </c>
      <c r="Y1143" s="150">
        <v>83686.383557032255</v>
      </c>
      <c r="Z1143" s="150">
        <v>193329.67355703225</v>
      </c>
      <c r="AA1143" s="150">
        <f t="shared" si="1045"/>
        <v>-882.30355703225359</v>
      </c>
      <c r="AB1143" s="150">
        <v>109643.29</v>
      </c>
      <c r="AC1143" s="199">
        <v>82804.08</v>
      </c>
      <c r="AD1143" s="150">
        <f t="shared" si="1039"/>
        <v>192447.37</v>
      </c>
      <c r="AE1143" s="150">
        <v>192447.37</v>
      </c>
      <c r="AF1143" s="169" t="s">
        <v>4680</v>
      </c>
      <c r="AG1143" s="201">
        <v>109643.29</v>
      </c>
      <c r="AH1143" s="199">
        <v>82804.08</v>
      </c>
      <c r="AI1143" s="150">
        <v>192447.37</v>
      </c>
      <c r="AJ1143" s="169">
        <f t="shared" si="1046"/>
        <v>0</v>
      </c>
      <c r="AK1143" s="201">
        <v>109643.29</v>
      </c>
      <c r="AL1143" s="199">
        <v>82804.08</v>
      </c>
      <c r="AM1143" s="150">
        <f t="shared" si="1040"/>
        <v>192447.37</v>
      </c>
      <c r="AN1143" s="153">
        <f t="shared" si="1047"/>
        <v>9875.8000000000175</v>
      </c>
      <c r="AO1143" s="154">
        <f t="shared" si="1048"/>
        <v>9875.8000000000175</v>
      </c>
      <c r="AP1143" s="150">
        <v>192447.37</v>
      </c>
      <c r="AQ1143" s="201">
        <v>202323.17</v>
      </c>
      <c r="AR1143" s="199"/>
      <c r="AS1143" s="150">
        <f t="shared" si="1041"/>
        <v>202323.17</v>
      </c>
      <c r="AT1143" s="155"/>
      <c r="AU1143" s="156">
        <f t="shared" si="1042"/>
        <v>0</v>
      </c>
      <c r="AV1143" s="156">
        <f t="shared" si="1043"/>
        <v>-882.30355703225359</v>
      </c>
      <c r="AW1143" s="157"/>
      <c r="AX1143" s="150">
        <v>193329.67355703225</v>
      </c>
      <c r="AY1143" s="150">
        <v>58576.67</v>
      </c>
      <c r="AZ1143" s="150">
        <f t="shared" si="1049"/>
        <v>128983.33809199998</v>
      </c>
      <c r="BA1143" s="313">
        <v>187560.00809199997</v>
      </c>
      <c r="BB1143" s="210"/>
      <c r="BC1143" s="210"/>
      <c r="BD1143" s="210"/>
      <c r="BE1143" s="210"/>
      <c r="BF1143" s="210"/>
      <c r="BG1143" s="210"/>
      <c r="BH1143" s="217"/>
      <c r="BI1143" s="210"/>
      <c r="BJ1143" s="210"/>
      <c r="BK1143" s="210"/>
      <c r="BL1143" s="210"/>
      <c r="BM1143" s="208"/>
      <c r="BN1143" s="160"/>
      <c r="BO1143" s="161"/>
      <c r="BP1143" s="161"/>
    </row>
    <row r="1144" spans="1:68" ht="38.25">
      <c r="A1144" s="210"/>
      <c r="B1144" s="195" t="s">
        <v>7852</v>
      </c>
      <c r="C1144" s="196" t="s">
        <v>7853</v>
      </c>
      <c r="D1144" s="146" t="s">
        <v>4692</v>
      </c>
      <c r="E1144" s="196" t="s">
        <v>7853</v>
      </c>
      <c r="F1144" s="150">
        <v>0</v>
      </c>
      <c r="G1144" s="209">
        <v>0</v>
      </c>
      <c r="H1144" s="209">
        <v>0</v>
      </c>
      <c r="I1144" s="209">
        <v>0</v>
      </c>
      <c r="J1144" s="150">
        <v>0</v>
      </c>
      <c r="K1144" s="150">
        <v>0</v>
      </c>
      <c r="L1144" s="150">
        <f t="shared" si="1052"/>
        <v>0</v>
      </c>
      <c r="M1144" s="150">
        <v>0</v>
      </c>
      <c r="N1144" s="150">
        <v>0</v>
      </c>
      <c r="O1144" s="150">
        <v>0</v>
      </c>
      <c r="P1144" s="150">
        <v>0</v>
      </c>
      <c r="Q1144" s="150">
        <v>0</v>
      </c>
      <c r="R1144" s="313">
        <f t="shared" si="1038"/>
        <v>0</v>
      </c>
      <c r="S1144" s="150">
        <f t="shared" si="1050"/>
        <v>0</v>
      </c>
      <c r="T1144" s="150"/>
      <c r="U1144" s="150">
        <v>0</v>
      </c>
      <c r="V1144" s="199">
        <v>0</v>
      </c>
      <c r="W1144" s="150">
        <f t="shared" si="1044"/>
        <v>0</v>
      </c>
      <c r="X1144" s="150">
        <v>0</v>
      </c>
      <c r="Y1144" s="150">
        <v>0</v>
      </c>
      <c r="Z1144" s="150">
        <v>0</v>
      </c>
      <c r="AA1144" s="150">
        <f t="shared" si="1045"/>
        <v>0</v>
      </c>
      <c r="AB1144" s="150">
        <v>0</v>
      </c>
      <c r="AC1144" s="199">
        <v>0</v>
      </c>
      <c r="AD1144" s="150">
        <f t="shared" si="1039"/>
        <v>0</v>
      </c>
      <c r="AE1144" s="150">
        <v>0</v>
      </c>
      <c r="AF1144" s="169" t="s">
        <v>4680</v>
      </c>
      <c r="AG1144" s="201">
        <v>0</v>
      </c>
      <c r="AH1144" s="199">
        <v>0</v>
      </c>
      <c r="AI1144" s="150">
        <v>0</v>
      </c>
      <c r="AJ1144" s="169">
        <f t="shared" si="1046"/>
        <v>0</v>
      </c>
      <c r="AK1144" s="201">
        <v>0</v>
      </c>
      <c r="AL1144" s="199">
        <v>0</v>
      </c>
      <c r="AM1144" s="150">
        <f t="shared" si="1040"/>
        <v>0</v>
      </c>
      <c r="AN1144" s="153">
        <f t="shared" si="1047"/>
        <v>0</v>
      </c>
      <c r="AO1144" s="154">
        <f t="shared" si="1048"/>
        <v>0</v>
      </c>
      <c r="AP1144" s="150">
        <v>0</v>
      </c>
      <c r="AQ1144" s="201">
        <v>0</v>
      </c>
      <c r="AR1144" s="199">
        <v>0</v>
      </c>
      <c r="AS1144" s="150">
        <f t="shared" si="1041"/>
        <v>0</v>
      </c>
      <c r="AT1144" s="155"/>
      <c r="AU1144" s="156">
        <f t="shared" si="1042"/>
        <v>0</v>
      </c>
      <c r="AV1144" s="156">
        <f t="shared" si="1043"/>
        <v>0</v>
      </c>
      <c r="AW1144" s="157"/>
      <c r="AX1144" s="150">
        <v>0</v>
      </c>
      <c r="AY1144" s="150">
        <v>0</v>
      </c>
      <c r="AZ1144" s="150">
        <f t="shared" si="1049"/>
        <v>0</v>
      </c>
      <c r="BA1144" s="313">
        <v>0</v>
      </c>
      <c r="BB1144" s="210"/>
      <c r="BC1144" s="210"/>
      <c r="BD1144" s="210"/>
      <c r="BE1144" s="210"/>
      <c r="BF1144" s="210"/>
      <c r="BG1144" s="210"/>
      <c r="BH1144" s="217"/>
      <c r="BI1144" s="210"/>
      <c r="BJ1144" s="210"/>
      <c r="BK1144" s="210"/>
      <c r="BL1144" s="210"/>
      <c r="BM1144" s="208"/>
      <c r="BN1144" s="160"/>
      <c r="BO1144" s="161"/>
      <c r="BP1144" s="161"/>
    </row>
    <row r="1145" spans="1:68" ht="38.25">
      <c r="A1145" s="210"/>
      <c r="B1145" s="195" t="s">
        <v>7854</v>
      </c>
      <c r="C1145" s="196" t="s">
        <v>7855</v>
      </c>
      <c r="D1145" s="146" t="s">
        <v>4692</v>
      </c>
      <c r="E1145" s="196" t="s">
        <v>7855</v>
      </c>
      <c r="F1145" s="150">
        <v>0</v>
      </c>
      <c r="G1145" s="209">
        <v>0</v>
      </c>
      <c r="H1145" s="209">
        <v>0</v>
      </c>
      <c r="I1145" s="209">
        <v>0</v>
      </c>
      <c r="J1145" s="150">
        <v>0</v>
      </c>
      <c r="K1145" s="150">
        <v>0</v>
      </c>
      <c r="L1145" s="150">
        <f t="shared" si="1052"/>
        <v>0</v>
      </c>
      <c r="M1145" s="150">
        <v>0</v>
      </c>
      <c r="N1145" s="150">
        <v>0</v>
      </c>
      <c r="O1145" s="150">
        <v>0</v>
      </c>
      <c r="P1145" s="150">
        <v>0</v>
      </c>
      <c r="Q1145" s="150">
        <v>0</v>
      </c>
      <c r="R1145" s="313">
        <f t="shared" si="1038"/>
        <v>0</v>
      </c>
      <c r="S1145" s="150">
        <f t="shared" si="1050"/>
        <v>0</v>
      </c>
      <c r="T1145" s="150"/>
      <c r="U1145" s="150">
        <v>0</v>
      </c>
      <c r="V1145" s="199">
        <v>0</v>
      </c>
      <c r="W1145" s="150">
        <f t="shared" si="1044"/>
        <v>0</v>
      </c>
      <c r="X1145" s="150">
        <v>0</v>
      </c>
      <c r="Y1145" s="150">
        <v>0</v>
      </c>
      <c r="Z1145" s="150">
        <v>0</v>
      </c>
      <c r="AA1145" s="150">
        <f t="shared" si="1045"/>
        <v>0</v>
      </c>
      <c r="AB1145" s="150">
        <v>0</v>
      </c>
      <c r="AC1145" s="199">
        <v>0</v>
      </c>
      <c r="AD1145" s="150">
        <f t="shared" si="1039"/>
        <v>0</v>
      </c>
      <c r="AE1145" s="150">
        <v>0</v>
      </c>
      <c r="AF1145" s="169" t="s">
        <v>4680</v>
      </c>
      <c r="AG1145" s="201">
        <v>0</v>
      </c>
      <c r="AH1145" s="199">
        <v>0</v>
      </c>
      <c r="AI1145" s="150">
        <v>0</v>
      </c>
      <c r="AJ1145" s="169">
        <f t="shared" si="1046"/>
        <v>0</v>
      </c>
      <c r="AK1145" s="201">
        <v>0</v>
      </c>
      <c r="AL1145" s="199">
        <v>0</v>
      </c>
      <c r="AM1145" s="150">
        <f t="shared" si="1040"/>
        <v>0</v>
      </c>
      <c r="AN1145" s="153">
        <f t="shared" si="1047"/>
        <v>0</v>
      </c>
      <c r="AO1145" s="154">
        <f t="shared" si="1048"/>
        <v>0</v>
      </c>
      <c r="AP1145" s="150">
        <v>0</v>
      </c>
      <c r="AQ1145" s="201">
        <v>0</v>
      </c>
      <c r="AR1145" s="199">
        <v>0</v>
      </c>
      <c r="AS1145" s="150">
        <f t="shared" si="1041"/>
        <v>0</v>
      </c>
      <c r="AT1145" s="155"/>
      <c r="AU1145" s="156">
        <f t="shared" si="1042"/>
        <v>0</v>
      </c>
      <c r="AV1145" s="156">
        <f t="shared" si="1043"/>
        <v>0</v>
      </c>
      <c r="AW1145" s="157"/>
      <c r="AX1145" s="150">
        <v>0</v>
      </c>
      <c r="AY1145" s="150">
        <v>0</v>
      </c>
      <c r="AZ1145" s="150">
        <f t="shared" si="1049"/>
        <v>0</v>
      </c>
      <c r="BA1145" s="313">
        <v>0</v>
      </c>
      <c r="BB1145" s="210"/>
      <c r="BC1145" s="210"/>
      <c r="BD1145" s="210"/>
      <c r="BE1145" s="210"/>
      <c r="BF1145" s="210"/>
      <c r="BG1145" s="210"/>
      <c r="BH1145" s="217"/>
      <c r="BI1145" s="210"/>
      <c r="BJ1145" s="210"/>
      <c r="BK1145" s="210"/>
      <c r="BL1145" s="210"/>
      <c r="BM1145" s="208"/>
      <c r="BN1145" s="160"/>
      <c r="BO1145" s="161"/>
      <c r="BP1145" s="161"/>
    </row>
    <row r="1146" spans="1:68" ht="38.25">
      <c r="A1146" s="210"/>
      <c r="B1146" s="195" t="s">
        <v>7856</v>
      </c>
      <c r="C1146" s="196" t="s">
        <v>7857</v>
      </c>
      <c r="D1146" s="146" t="s">
        <v>4692</v>
      </c>
      <c r="E1146" s="196" t="s">
        <v>7857</v>
      </c>
      <c r="F1146" s="150">
        <v>0</v>
      </c>
      <c r="G1146" s="209">
        <v>24544.58</v>
      </c>
      <c r="H1146" s="209">
        <v>0</v>
      </c>
      <c r="I1146" s="209">
        <v>24544.58</v>
      </c>
      <c r="J1146" s="150">
        <v>0</v>
      </c>
      <c r="K1146" s="150">
        <v>0</v>
      </c>
      <c r="L1146" s="150">
        <f t="shared" si="1052"/>
        <v>0</v>
      </c>
      <c r="M1146" s="150">
        <v>0</v>
      </c>
      <c r="N1146" s="150">
        <v>0</v>
      </c>
      <c r="O1146" s="150">
        <v>0</v>
      </c>
      <c r="P1146" s="150">
        <v>0</v>
      </c>
      <c r="Q1146" s="150">
        <v>0</v>
      </c>
      <c r="R1146" s="313">
        <f t="shared" si="1038"/>
        <v>0</v>
      </c>
      <c r="S1146" s="150">
        <f t="shared" si="1050"/>
        <v>0</v>
      </c>
      <c r="T1146" s="150"/>
      <c r="U1146" s="150">
        <v>0</v>
      </c>
      <c r="V1146" s="199">
        <v>0</v>
      </c>
      <c r="W1146" s="150">
        <f t="shared" si="1044"/>
        <v>0</v>
      </c>
      <c r="X1146" s="150">
        <v>0</v>
      </c>
      <c r="Y1146" s="150">
        <v>0</v>
      </c>
      <c r="Z1146" s="150">
        <v>0</v>
      </c>
      <c r="AA1146" s="150">
        <f t="shared" si="1045"/>
        <v>0</v>
      </c>
      <c r="AB1146" s="150">
        <v>0</v>
      </c>
      <c r="AC1146" s="199">
        <v>0</v>
      </c>
      <c r="AD1146" s="150">
        <f t="shared" si="1039"/>
        <v>0</v>
      </c>
      <c r="AE1146" s="150">
        <v>0</v>
      </c>
      <c r="AF1146" s="169" t="s">
        <v>4680</v>
      </c>
      <c r="AG1146" s="201">
        <v>0</v>
      </c>
      <c r="AH1146" s="199">
        <v>0</v>
      </c>
      <c r="AI1146" s="150">
        <v>0</v>
      </c>
      <c r="AJ1146" s="169">
        <f t="shared" si="1046"/>
        <v>0</v>
      </c>
      <c r="AK1146" s="201">
        <v>0</v>
      </c>
      <c r="AL1146" s="199">
        <v>0</v>
      </c>
      <c r="AM1146" s="150">
        <f t="shared" si="1040"/>
        <v>0</v>
      </c>
      <c r="AN1146" s="153">
        <f t="shared" si="1047"/>
        <v>0</v>
      </c>
      <c r="AO1146" s="154">
        <f t="shared" si="1048"/>
        <v>0</v>
      </c>
      <c r="AP1146" s="150">
        <v>0</v>
      </c>
      <c r="AQ1146" s="201">
        <v>0</v>
      </c>
      <c r="AR1146" s="199">
        <v>0</v>
      </c>
      <c r="AS1146" s="150">
        <f t="shared" si="1041"/>
        <v>0</v>
      </c>
      <c r="AT1146" s="155"/>
      <c r="AU1146" s="156">
        <f t="shared" si="1042"/>
        <v>0</v>
      </c>
      <c r="AV1146" s="156">
        <f t="shared" si="1043"/>
        <v>0</v>
      </c>
      <c r="AW1146" s="157"/>
      <c r="AX1146" s="150">
        <v>0</v>
      </c>
      <c r="AY1146" s="150">
        <v>0</v>
      </c>
      <c r="AZ1146" s="150">
        <f t="shared" si="1049"/>
        <v>0</v>
      </c>
      <c r="BA1146" s="313">
        <v>0</v>
      </c>
      <c r="BB1146" s="210"/>
      <c r="BC1146" s="210"/>
      <c r="BD1146" s="210"/>
      <c r="BE1146" s="210"/>
      <c r="BF1146" s="210"/>
      <c r="BG1146" s="210"/>
      <c r="BH1146" s="217"/>
      <c r="BI1146" s="210"/>
      <c r="BJ1146" s="210"/>
      <c r="BK1146" s="210"/>
      <c r="BL1146" s="210"/>
      <c r="BM1146" s="208"/>
      <c r="BN1146" s="160"/>
      <c r="BO1146" s="161"/>
      <c r="BP1146" s="161"/>
    </row>
    <row r="1147" spans="1:68" ht="38.25">
      <c r="A1147" s="210"/>
      <c r="B1147" s="195" t="s">
        <v>7858</v>
      </c>
      <c r="C1147" s="196" t="s">
        <v>7859</v>
      </c>
      <c r="D1147" s="146" t="s">
        <v>4692</v>
      </c>
      <c r="E1147" s="196" t="s">
        <v>7859</v>
      </c>
      <c r="F1147" s="150">
        <v>24544.58</v>
      </c>
      <c r="G1147" s="209">
        <v>1.51</v>
      </c>
      <c r="H1147" s="209">
        <v>0</v>
      </c>
      <c r="I1147" s="209">
        <v>1.51</v>
      </c>
      <c r="J1147" s="150">
        <v>5337.91</v>
      </c>
      <c r="K1147" s="150">
        <v>0</v>
      </c>
      <c r="L1147" s="150">
        <f t="shared" si="1052"/>
        <v>5337.91</v>
      </c>
      <c r="M1147" s="150">
        <v>10240.219999999999</v>
      </c>
      <c r="N1147" s="150">
        <v>0</v>
      </c>
      <c r="O1147" s="150">
        <v>10240.219999999999</v>
      </c>
      <c r="P1147" s="150">
        <v>15463.4</v>
      </c>
      <c r="Q1147" s="150">
        <v>0</v>
      </c>
      <c r="R1147" s="313">
        <f t="shared" si="1038"/>
        <v>15463.4</v>
      </c>
      <c r="S1147" s="150">
        <f t="shared" si="1050"/>
        <v>20617.866666666669</v>
      </c>
      <c r="T1147" s="150"/>
      <c r="U1147" s="150">
        <v>21485.53</v>
      </c>
      <c r="V1147" s="199">
        <v>0</v>
      </c>
      <c r="W1147" s="150">
        <f t="shared" si="1044"/>
        <v>21485.53</v>
      </c>
      <c r="X1147" s="150">
        <v>21485.53</v>
      </c>
      <c r="Y1147" s="150">
        <v>0</v>
      </c>
      <c r="Z1147" s="150">
        <v>21485.53</v>
      </c>
      <c r="AA1147" s="150">
        <f t="shared" si="1045"/>
        <v>0</v>
      </c>
      <c r="AB1147" s="150">
        <v>21485.53</v>
      </c>
      <c r="AC1147" s="199">
        <v>0</v>
      </c>
      <c r="AD1147" s="150">
        <f t="shared" si="1039"/>
        <v>21485.53</v>
      </c>
      <c r="AE1147" s="150">
        <v>21485.53</v>
      </c>
      <c r="AF1147" s="169" t="s">
        <v>4680</v>
      </c>
      <c r="AG1147" s="201">
        <v>21485.53</v>
      </c>
      <c r="AH1147" s="199">
        <v>0</v>
      </c>
      <c r="AI1147" s="150">
        <v>21485.53</v>
      </c>
      <c r="AJ1147" s="169">
        <f t="shared" si="1046"/>
        <v>0</v>
      </c>
      <c r="AK1147" s="201">
        <v>21485.53</v>
      </c>
      <c r="AL1147" s="199">
        <v>0</v>
      </c>
      <c r="AM1147" s="150">
        <f t="shared" si="1040"/>
        <v>21485.53</v>
      </c>
      <c r="AN1147" s="153">
        <f t="shared" si="1047"/>
        <v>0</v>
      </c>
      <c r="AO1147" s="154">
        <f t="shared" si="1048"/>
        <v>0</v>
      </c>
      <c r="AP1147" s="150">
        <v>21485.53</v>
      </c>
      <c r="AQ1147" s="201">
        <v>21485.53</v>
      </c>
      <c r="AR1147" s="199">
        <v>0</v>
      </c>
      <c r="AS1147" s="150">
        <f t="shared" si="1041"/>
        <v>21485.53</v>
      </c>
      <c r="AT1147" s="155"/>
      <c r="AU1147" s="156">
        <f t="shared" si="1042"/>
        <v>0</v>
      </c>
      <c r="AV1147" s="156">
        <f t="shared" si="1043"/>
        <v>0</v>
      </c>
      <c r="AW1147" s="157"/>
      <c r="AX1147" s="150">
        <v>21485.53</v>
      </c>
      <c r="AY1147" s="150">
        <v>11718.62</v>
      </c>
      <c r="AZ1147" s="150">
        <f t="shared" si="1049"/>
        <v>8761.8199999999979</v>
      </c>
      <c r="BA1147" s="313">
        <v>20480.439999999999</v>
      </c>
      <c r="BB1147" s="210"/>
      <c r="BC1147" s="210"/>
      <c r="BD1147" s="210"/>
      <c r="BE1147" s="210"/>
      <c r="BF1147" s="210"/>
      <c r="BG1147" s="210"/>
      <c r="BH1147" s="217"/>
      <c r="BI1147" s="210"/>
      <c r="BJ1147" s="210"/>
      <c r="BK1147" s="210"/>
      <c r="BL1147" s="210"/>
      <c r="BM1147" s="208"/>
      <c r="BN1147" s="160"/>
      <c r="BO1147" s="161"/>
      <c r="BP1147" s="161"/>
    </row>
    <row r="1148" spans="1:68" ht="38.25">
      <c r="A1148" s="210"/>
      <c r="B1148" s="195" t="s">
        <v>7860</v>
      </c>
      <c r="C1148" s="196" t="s">
        <v>7861</v>
      </c>
      <c r="D1148" s="146" t="s">
        <v>4692</v>
      </c>
      <c r="E1148" s="196" t="s">
        <v>7861</v>
      </c>
      <c r="F1148" s="150">
        <v>1.51</v>
      </c>
      <c r="G1148" s="209">
        <v>0</v>
      </c>
      <c r="H1148" s="209">
        <v>0</v>
      </c>
      <c r="I1148" s="209">
        <v>0</v>
      </c>
      <c r="J1148" s="150">
        <v>0</v>
      </c>
      <c r="K1148" s="150">
        <v>0</v>
      </c>
      <c r="L1148" s="150">
        <f t="shared" si="1052"/>
        <v>0</v>
      </c>
      <c r="M1148" s="150">
        <v>0</v>
      </c>
      <c r="N1148" s="150">
        <v>0</v>
      </c>
      <c r="O1148" s="150">
        <v>0</v>
      </c>
      <c r="P1148" s="150">
        <v>2.1800000000000002</v>
      </c>
      <c r="Q1148" s="150">
        <v>0</v>
      </c>
      <c r="R1148" s="313">
        <f t="shared" si="1038"/>
        <v>2.1800000000000002</v>
      </c>
      <c r="S1148" s="150">
        <f t="shared" si="1050"/>
        <v>2.9066666666666667</v>
      </c>
      <c r="T1148" s="150"/>
      <c r="U1148" s="150">
        <v>5.55</v>
      </c>
      <c r="V1148" s="199">
        <v>0</v>
      </c>
      <c r="W1148" s="150">
        <f t="shared" si="1044"/>
        <v>5.55</v>
      </c>
      <c r="X1148" s="150">
        <v>5.55</v>
      </c>
      <c r="Y1148" s="150">
        <v>0</v>
      </c>
      <c r="Z1148" s="150">
        <v>5.55</v>
      </c>
      <c r="AA1148" s="150">
        <f t="shared" si="1045"/>
        <v>0</v>
      </c>
      <c r="AB1148" s="150">
        <v>5.55</v>
      </c>
      <c r="AC1148" s="199">
        <v>0</v>
      </c>
      <c r="AD1148" s="150">
        <f t="shared" si="1039"/>
        <v>5.55</v>
      </c>
      <c r="AE1148" s="150">
        <v>5.55</v>
      </c>
      <c r="AF1148" s="169" t="s">
        <v>4680</v>
      </c>
      <c r="AG1148" s="201">
        <v>5.55</v>
      </c>
      <c r="AH1148" s="199">
        <v>0</v>
      </c>
      <c r="AI1148" s="150">
        <v>5.55</v>
      </c>
      <c r="AJ1148" s="169">
        <f t="shared" si="1046"/>
        <v>0</v>
      </c>
      <c r="AK1148" s="201">
        <v>5.55</v>
      </c>
      <c r="AL1148" s="199">
        <v>0</v>
      </c>
      <c r="AM1148" s="150">
        <f t="shared" si="1040"/>
        <v>5.55</v>
      </c>
      <c r="AN1148" s="153">
        <f t="shared" si="1047"/>
        <v>0</v>
      </c>
      <c r="AO1148" s="154">
        <f t="shared" si="1048"/>
        <v>0</v>
      </c>
      <c r="AP1148" s="150">
        <v>5.55</v>
      </c>
      <c r="AQ1148" s="201">
        <v>5.55</v>
      </c>
      <c r="AR1148" s="199">
        <v>0</v>
      </c>
      <c r="AS1148" s="150">
        <f t="shared" si="1041"/>
        <v>5.55</v>
      </c>
      <c r="AT1148" s="155"/>
      <c r="AU1148" s="156">
        <f t="shared" si="1042"/>
        <v>0</v>
      </c>
      <c r="AV1148" s="156">
        <f t="shared" si="1043"/>
        <v>0</v>
      </c>
      <c r="AW1148" s="157"/>
      <c r="AX1148" s="150">
        <v>5.55</v>
      </c>
      <c r="AY1148" s="150">
        <v>0</v>
      </c>
      <c r="AZ1148" s="150">
        <f t="shared" si="1049"/>
        <v>0</v>
      </c>
      <c r="BA1148" s="313">
        <v>0</v>
      </c>
      <c r="BB1148" s="210"/>
      <c r="BC1148" s="210"/>
      <c r="BD1148" s="210"/>
      <c r="BE1148" s="210"/>
      <c r="BF1148" s="210"/>
      <c r="BG1148" s="210"/>
      <c r="BH1148" s="217"/>
      <c r="BI1148" s="210"/>
      <c r="BJ1148" s="210"/>
      <c r="BK1148" s="210"/>
      <c r="BL1148" s="210"/>
      <c r="BM1148" s="208"/>
      <c r="BN1148" s="160"/>
      <c r="BO1148" s="161"/>
      <c r="BP1148" s="161"/>
    </row>
    <row r="1149" spans="1:68" ht="38.25">
      <c r="A1149" s="210"/>
      <c r="B1149" s="195" t="s">
        <v>7862</v>
      </c>
      <c r="C1149" s="196" t="s">
        <v>7863</v>
      </c>
      <c r="D1149" s="146" t="s">
        <v>4692</v>
      </c>
      <c r="E1149" s="196" t="s">
        <v>7863</v>
      </c>
      <c r="F1149" s="150">
        <v>0</v>
      </c>
      <c r="G1149" s="209">
        <v>0</v>
      </c>
      <c r="H1149" s="209">
        <v>0</v>
      </c>
      <c r="I1149" s="209">
        <v>0</v>
      </c>
      <c r="J1149" s="150">
        <v>0</v>
      </c>
      <c r="K1149" s="150">
        <v>0</v>
      </c>
      <c r="L1149" s="150">
        <f t="shared" si="1052"/>
        <v>0</v>
      </c>
      <c r="M1149" s="150">
        <v>0</v>
      </c>
      <c r="N1149" s="150">
        <v>0</v>
      </c>
      <c r="O1149" s="150">
        <v>0</v>
      </c>
      <c r="P1149" s="150">
        <v>0</v>
      </c>
      <c r="Q1149" s="150">
        <v>0</v>
      </c>
      <c r="R1149" s="313">
        <f t="shared" si="1038"/>
        <v>0</v>
      </c>
      <c r="S1149" s="150">
        <f t="shared" si="1050"/>
        <v>0</v>
      </c>
      <c r="T1149" s="150"/>
      <c r="U1149" s="150">
        <v>0</v>
      </c>
      <c r="V1149" s="199">
        <v>0</v>
      </c>
      <c r="W1149" s="150">
        <f t="shared" si="1044"/>
        <v>0</v>
      </c>
      <c r="X1149" s="150">
        <v>0</v>
      </c>
      <c r="Y1149" s="150">
        <v>0</v>
      </c>
      <c r="Z1149" s="150">
        <v>0</v>
      </c>
      <c r="AA1149" s="150">
        <f t="shared" si="1045"/>
        <v>0</v>
      </c>
      <c r="AB1149" s="150">
        <v>0</v>
      </c>
      <c r="AC1149" s="199">
        <v>0</v>
      </c>
      <c r="AD1149" s="150">
        <f t="shared" si="1039"/>
        <v>0</v>
      </c>
      <c r="AE1149" s="150">
        <v>0</v>
      </c>
      <c r="AF1149" s="169" t="s">
        <v>4680</v>
      </c>
      <c r="AG1149" s="201">
        <v>0</v>
      </c>
      <c r="AH1149" s="199">
        <v>0</v>
      </c>
      <c r="AI1149" s="150">
        <v>0</v>
      </c>
      <c r="AJ1149" s="169">
        <f t="shared" si="1046"/>
        <v>0</v>
      </c>
      <c r="AK1149" s="201">
        <v>0</v>
      </c>
      <c r="AL1149" s="199">
        <v>0</v>
      </c>
      <c r="AM1149" s="150">
        <f t="shared" si="1040"/>
        <v>0</v>
      </c>
      <c r="AN1149" s="153">
        <f t="shared" si="1047"/>
        <v>0</v>
      </c>
      <c r="AO1149" s="154">
        <f t="shared" si="1048"/>
        <v>0</v>
      </c>
      <c r="AP1149" s="150">
        <v>0</v>
      </c>
      <c r="AQ1149" s="201">
        <v>0</v>
      </c>
      <c r="AR1149" s="199">
        <v>0</v>
      </c>
      <c r="AS1149" s="150">
        <f t="shared" si="1041"/>
        <v>0</v>
      </c>
      <c r="AT1149" s="155"/>
      <c r="AU1149" s="156">
        <f t="shared" si="1042"/>
        <v>0</v>
      </c>
      <c r="AV1149" s="156">
        <f t="shared" si="1043"/>
        <v>0</v>
      </c>
      <c r="AW1149" s="157"/>
      <c r="AX1149" s="150">
        <v>0</v>
      </c>
      <c r="AY1149" s="150">
        <v>0</v>
      </c>
      <c r="AZ1149" s="150">
        <f t="shared" si="1049"/>
        <v>0</v>
      </c>
      <c r="BA1149" s="313">
        <v>0</v>
      </c>
      <c r="BB1149" s="210"/>
      <c r="BC1149" s="210"/>
      <c r="BD1149" s="210"/>
      <c r="BE1149" s="210"/>
      <c r="BF1149" s="210"/>
      <c r="BG1149" s="210"/>
      <c r="BH1149" s="217"/>
      <c r="BI1149" s="210"/>
      <c r="BJ1149" s="210"/>
      <c r="BK1149" s="210"/>
      <c r="BL1149" s="210"/>
      <c r="BM1149" s="208"/>
      <c r="BN1149" s="160"/>
      <c r="BO1149" s="161"/>
      <c r="BP1149" s="161"/>
    </row>
    <row r="1150" spans="1:68" ht="38.25">
      <c r="A1150" s="210"/>
      <c r="B1150" s="195" t="s">
        <v>7864</v>
      </c>
      <c r="C1150" s="196" t="s">
        <v>7865</v>
      </c>
      <c r="D1150" s="146" t="s">
        <v>4692</v>
      </c>
      <c r="E1150" s="196" t="s">
        <v>7865</v>
      </c>
      <c r="F1150" s="150">
        <v>0</v>
      </c>
      <c r="G1150" s="209">
        <v>0</v>
      </c>
      <c r="H1150" s="209">
        <v>0</v>
      </c>
      <c r="I1150" s="209">
        <v>0</v>
      </c>
      <c r="J1150" s="150">
        <v>0</v>
      </c>
      <c r="K1150" s="150">
        <v>0</v>
      </c>
      <c r="L1150" s="150">
        <f t="shared" si="1052"/>
        <v>0</v>
      </c>
      <c r="M1150" s="150">
        <v>0</v>
      </c>
      <c r="N1150" s="150">
        <v>0</v>
      </c>
      <c r="O1150" s="150">
        <v>0</v>
      </c>
      <c r="P1150" s="150">
        <v>0</v>
      </c>
      <c r="Q1150" s="150">
        <v>0</v>
      </c>
      <c r="R1150" s="313">
        <f t="shared" si="1038"/>
        <v>0</v>
      </c>
      <c r="S1150" s="150">
        <f t="shared" si="1050"/>
        <v>0</v>
      </c>
      <c r="T1150" s="150"/>
      <c r="U1150" s="150">
        <v>0</v>
      </c>
      <c r="V1150" s="199">
        <v>0</v>
      </c>
      <c r="W1150" s="150">
        <f t="shared" si="1044"/>
        <v>0</v>
      </c>
      <c r="X1150" s="150">
        <v>0</v>
      </c>
      <c r="Y1150" s="150">
        <v>0</v>
      </c>
      <c r="Z1150" s="150">
        <v>0</v>
      </c>
      <c r="AA1150" s="150">
        <f t="shared" si="1045"/>
        <v>0</v>
      </c>
      <c r="AB1150" s="150">
        <v>0</v>
      </c>
      <c r="AC1150" s="199">
        <v>0</v>
      </c>
      <c r="AD1150" s="150">
        <f t="shared" si="1039"/>
        <v>0</v>
      </c>
      <c r="AE1150" s="150">
        <v>0</v>
      </c>
      <c r="AF1150" s="169" t="s">
        <v>4680</v>
      </c>
      <c r="AG1150" s="201">
        <v>0</v>
      </c>
      <c r="AH1150" s="199">
        <v>0</v>
      </c>
      <c r="AI1150" s="150">
        <v>0</v>
      </c>
      <c r="AJ1150" s="169">
        <f t="shared" si="1046"/>
        <v>0</v>
      </c>
      <c r="AK1150" s="201">
        <v>0</v>
      </c>
      <c r="AL1150" s="199">
        <v>0</v>
      </c>
      <c r="AM1150" s="150">
        <f t="shared" si="1040"/>
        <v>0</v>
      </c>
      <c r="AN1150" s="153">
        <f t="shared" si="1047"/>
        <v>0</v>
      </c>
      <c r="AO1150" s="154">
        <f t="shared" si="1048"/>
        <v>0</v>
      </c>
      <c r="AP1150" s="150">
        <v>0</v>
      </c>
      <c r="AQ1150" s="201">
        <v>0</v>
      </c>
      <c r="AR1150" s="199">
        <v>0</v>
      </c>
      <c r="AS1150" s="150">
        <f t="shared" si="1041"/>
        <v>0</v>
      </c>
      <c r="AT1150" s="155"/>
      <c r="AU1150" s="156">
        <f t="shared" si="1042"/>
        <v>0</v>
      </c>
      <c r="AV1150" s="156">
        <f t="shared" si="1043"/>
        <v>0</v>
      </c>
      <c r="AW1150" s="157"/>
      <c r="AX1150" s="150">
        <v>0</v>
      </c>
      <c r="AY1150" s="150">
        <v>0</v>
      </c>
      <c r="AZ1150" s="150">
        <f t="shared" si="1049"/>
        <v>0</v>
      </c>
      <c r="BA1150" s="313">
        <v>0</v>
      </c>
      <c r="BB1150" s="210"/>
      <c r="BC1150" s="210"/>
      <c r="BD1150" s="210"/>
      <c r="BE1150" s="210"/>
      <c r="BF1150" s="210"/>
      <c r="BG1150" s="210"/>
      <c r="BH1150" s="217"/>
      <c r="BI1150" s="210"/>
      <c r="BJ1150" s="210"/>
      <c r="BK1150" s="210"/>
      <c r="BL1150" s="210"/>
      <c r="BM1150" s="208"/>
      <c r="BN1150" s="160"/>
      <c r="BO1150" s="161">
        <f t="shared" si="1051"/>
        <v>0</v>
      </c>
      <c r="BP1150" s="161"/>
    </row>
    <row r="1151" spans="1:68" ht="38.25">
      <c r="A1151" s="210"/>
      <c r="B1151" s="195" t="s">
        <v>7866</v>
      </c>
      <c r="C1151" s="196" t="s">
        <v>7867</v>
      </c>
      <c r="D1151" s="146" t="s">
        <v>4692</v>
      </c>
      <c r="E1151" s="196" t="s">
        <v>7867</v>
      </c>
      <c r="F1151" s="150">
        <v>0</v>
      </c>
      <c r="G1151" s="209">
        <v>0</v>
      </c>
      <c r="H1151" s="209">
        <v>0</v>
      </c>
      <c r="I1151" s="209">
        <v>0</v>
      </c>
      <c r="J1151" s="150">
        <v>0</v>
      </c>
      <c r="K1151" s="150">
        <v>0</v>
      </c>
      <c r="L1151" s="150">
        <f t="shared" si="1052"/>
        <v>0</v>
      </c>
      <c r="M1151" s="150">
        <v>0</v>
      </c>
      <c r="N1151" s="150">
        <v>0</v>
      </c>
      <c r="O1151" s="150">
        <v>0</v>
      </c>
      <c r="P1151" s="150">
        <v>0</v>
      </c>
      <c r="Q1151" s="150">
        <v>0</v>
      </c>
      <c r="R1151" s="313">
        <f t="shared" si="1038"/>
        <v>0</v>
      </c>
      <c r="S1151" s="150">
        <f t="shared" si="1050"/>
        <v>0</v>
      </c>
      <c r="T1151" s="150"/>
      <c r="U1151" s="150">
        <v>0</v>
      </c>
      <c r="V1151" s="199">
        <v>0</v>
      </c>
      <c r="W1151" s="150">
        <f t="shared" si="1044"/>
        <v>0</v>
      </c>
      <c r="X1151" s="150">
        <v>0</v>
      </c>
      <c r="Y1151" s="150">
        <v>0</v>
      </c>
      <c r="Z1151" s="150">
        <v>0</v>
      </c>
      <c r="AA1151" s="150">
        <f t="shared" si="1045"/>
        <v>0</v>
      </c>
      <c r="AB1151" s="150">
        <v>0</v>
      </c>
      <c r="AC1151" s="199">
        <v>0</v>
      </c>
      <c r="AD1151" s="150">
        <f t="shared" si="1039"/>
        <v>0</v>
      </c>
      <c r="AE1151" s="150">
        <v>0</v>
      </c>
      <c r="AF1151" s="169" t="s">
        <v>4680</v>
      </c>
      <c r="AG1151" s="201">
        <v>0</v>
      </c>
      <c r="AH1151" s="199">
        <v>0</v>
      </c>
      <c r="AI1151" s="150">
        <v>0</v>
      </c>
      <c r="AJ1151" s="169">
        <f t="shared" si="1046"/>
        <v>0</v>
      </c>
      <c r="AK1151" s="201">
        <v>0</v>
      </c>
      <c r="AL1151" s="199">
        <v>0</v>
      </c>
      <c r="AM1151" s="150">
        <f t="shared" si="1040"/>
        <v>0</v>
      </c>
      <c r="AN1151" s="153">
        <f t="shared" si="1047"/>
        <v>0</v>
      </c>
      <c r="AO1151" s="154">
        <f t="shared" si="1048"/>
        <v>0</v>
      </c>
      <c r="AP1151" s="150">
        <v>0</v>
      </c>
      <c r="AQ1151" s="201">
        <v>0</v>
      </c>
      <c r="AR1151" s="199">
        <v>0</v>
      </c>
      <c r="AS1151" s="150">
        <f t="shared" si="1041"/>
        <v>0</v>
      </c>
      <c r="AT1151" s="155"/>
      <c r="AU1151" s="156">
        <f t="shared" si="1042"/>
        <v>0</v>
      </c>
      <c r="AV1151" s="156">
        <f t="shared" si="1043"/>
        <v>0</v>
      </c>
      <c r="AW1151" s="157"/>
      <c r="AX1151" s="150">
        <v>0</v>
      </c>
      <c r="AY1151" s="150">
        <v>0</v>
      </c>
      <c r="AZ1151" s="150">
        <f t="shared" si="1049"/>
        <v>0</v>
      </c>
      <c r="BA1151" s="313">
        <v>0</v>
      </c>
      <c r="BB1151" s="210"/>
      <c r="BC1151" s="210"/>
      <c r="BD1151" s="210"/>
      <c r="BE1151" s="210"/>
      <c r="BF1151" s="210"/>
      <c r="BG1151" s="210"/>
      <c r="BH1151" s="217"/>
      <c r="BI1151" s="210"/>
      <c r="BJ1151" s="210"/>
      <c r="BK1151" s="210"/>
      <c r="BL1151" s="210"/>
      <c r="BM1151" s="208"/>
      <c r="BN1151" s="160"/>
      <c r="BO1151" s="161">
        <f t="shared" si="1051"/>
        <v>0</v>
      </c>
      <c r="BP1151" s="161"/>
    </row>
    <row r="1152" spans="1:68" ht="38.25">
      <c r="A1152" s="210"/>
      <c r="B1152" s="195" t="s">
        <v>7868</v>
      </c>
      <c r="C1152" s="196" t="s">
        <v>7869</v>
      </c>
      <c r="D1152" s="146" t="s">
        <v>4692</v>
      </c>
      <c r="E1152" s="196" t="s">
        <v>7869</v>
      </c>
      <c r="F1152" s="150">
        <v>0</v>
      </c>
      <c r="G1152" s="209">
        <v>0</v>
      </c>
      <c r="H1152" s="209">
        <v>0</v>
      </c>
      <c r="I1152" s="209">
        <v>0</v>
      </c>
      <c r="J1152" s="150">
        <v>0</v>
      </c>
      <c r="K1152" s="150">
        <v>0</v>
      </c>
      <c r="L1152" s="150">
        <f t="shared" si="1052"/>
        <v>0</v>
      </c>
      <c r="M1152" s="150">
        <v>0</v>
      </c>
      <c r="N1152" s="150">
        <v>0</v>
      </c>
      <c r="O1152" s="150">
        <v>0</v>
      </c>
      <c r="P1152" s="150">
        <v>0</v>
      </c>
      <c r="Q1152" s="150">
        <v>0</v>
      </c>
      <c r="R1152" s="313">
        <f t="shared" si="1038"/>
        <v>0</v>
      </c>
      <c r="S1152" s="150">
        <f t="shared" si="1050"/>
        <v>0</v>
      </c>
      <c r="T1152" s="150"/>
      <c r="U1152" s="150">
        <v>0</v>
      </c>
      <c r="V1152" s="199">
        <v>0</v>
      </c>
      <c r="W1152" s="150">
        <f t="shared" si="1044"/>
        <v>0</v>
      </c>
      <c r="X1152" s="150">
        <v>0</v>
      </c>
      <c r="Y1152" s="150">
        <v>0</v>
      </c>
      <c r="Z1152" s="150">
        <v>0</v>
      </c>
      <c r="AA1152" s="150">
        <f t="shared" si="1045"/>
        <v>0</v>
      </c>
      <c r="AB1152" s="150">
        <v>0</v>
      </c>
      <c r="AC1152" s="199">
        <v>0</v>
      </c>
      <c r="AD1152" s="150">
        <f t="shared" si="1039"/>
        <v>0</v>
      </c>
      <c r="AE1152" s="150">
        <v>0</v>
      </c>
      <c r="AF1152" s="169" t="s">
        <v>4680</v>
      </c>
      <c r="AG1152" s="201">
        <v>0</v>
      </c>
      <c r="AH1152" s="199">
        <v>0</v>
      </c>
      <c r="AI1152" s="150">
        <v>0</v>
      </c>
      <c r="AJ1152" s="169">
        <f t="shared" si="1046"/>
        <v>0</v>
      </c>
      <c r="AK1152" s="201">
        <v>0</v>
      </c>
      <c r="AL1152" s="199">
        <v>0</v>
      </c>
      <c r="AM1152" s="150">
        <f t="shared" si="1040"/>
        <v>0</v>
      </c>
      <c r="AN1152" s="153">
        <f t="shared" si="1047"/>
        <v>0</v>
      </c>
      <c r="AO1152" s="154">
        <f t="shared" si="1048"/>
        <v>0</v>
      </c>
      <c r="AP1152" s="150">
        <v>0</v>
      </c>
      <c r="AQ1152" s="201">
        <v>0</v>
      </c>
      <c r="AR1152" s="199">
        <v>0</v>
      </c>
      <c r="AS1152" s="150">
        <f t="shared" si="1041"/>
        <v>0</v>
      </c>
      <c r="AT1152" s="155"/>
      <c r="AU1152" s="156">
        <f t="shared" si="1042"/>
        <v>0</v>
      </c>
      <c r="AV1152" s="156">
        <f t="shared" si="1043"/>
        <v>0</v>
      </c>
      <c r="AW1152" s="157"/>
      <c r="AX1152" s="150">
        <v>0</v>
      </c>
      <c r="AY1152" s="150">
        <v>0</v>
      </c>
      <c r="AZ1152" s="150">
        <f t="shared" si="1049"/>
        <v>0</v>
      </c>
      <c r="BA1152" s="313">
        <v>0</v>
      </c>
      <c r="BB1152" s="210"/>
      <c r="BC1152" s="210"/>
      <c r="BD1152" s="210"/>
      <c r="BE1152" s="210"/>
      <c r="BF1152" s="210"/>
      <c r="BG1152" s="210"/>
      <c r="BH1152" s="217"/>
      <c r="BI1152" s="210"/>
      <c r="BJ1152" s="210"/>
      <c r="BK1152" s="210"/>
      <c r="BL1152" s="210"/>
      <c r="BM1152" s="208"/>
      <c r="BN1152" s="160"/>
      <c r="BO1152" s="161">
        <f t="shared" si="1051"/>
        <v>0</v>
      </c>
      <c r="BP1152" s="161"/>
    </row>
    <row r="1153" spans="1:68" ht="38.25">
      <c r="A1153" s="210"/>
      <c r="B1153" s="195" t="s">
        <v>7870</v>
      </c>
      <c r="C1153" s="196" t="s">
        <v>7871</v>
      </c>
      <c r="D1153" s="146" t="s">
        <v>4692</v>
      </c>
      <c r="E1153" s="196" t="s">
        <v>7871</v>
      </c>
      <c r="F1153" s="150">
        <v>0</v>
      </c>
      <c r="G1153" s="209">
        <v>0</v>
      </c>
      <c r="H1153" s="209">
        <v>0</v>
      </c>
      <c r="I1153" s="209">
        <v>0</v>
      </c>
      <c r="J1153" s="150">
        <v>0</v>
      </c>
      <c r="K1153" s="150">
        <v>0</v>
      </c>
      <c r="L1153" s="150">
        <f t="shared" si="1052"/>
        <v>0</v>
      </c>
      <c r="M1153" s="150">
        <v>0</v>
      </c>
      <c r="N1153" s="150">
        <v>0</v>
      </c>
      <c r="O1153" s="150">
        <v>0</v>
      </c>
      <c r="P1153" s="150">
        <v>0</v>
      </c>
      <c r="Q1153" s="150">
        <v>0</v>
      </c>
      <c r="R1153" s="313">
        <f t="shared" si="1038"/>
        <v>0</v>
      </c>
      <c r="S1153" s="150">
        <f t="shared" si="1050"/>
        <v>0</v>
      </c>
      <c r="T1153" s="150"/>
      <c r="U1153" s="150">
        <v>0</v>
      </c>
      <c r="V1153" s="199">
        <v>0</v>
      </c>
      <c r="W1153" s="150">
        <f t="shared" si="1044"/>
        <v>0</v>
      </c>
      <c r="X1153" s="150">
        <v>0</v>
      </c>
      <c r="Y1153" s="150">
        <v>0</v>
      </c>
      <c r="Z1153" s="150">
        <v>0</v>
      </c>
      <c r="AA1153" s="150">
        <f t="shared" si="1045"/>
        <v>0</v>
      </c>
      <c r="AB1153" s="150">
        <v>0</v>
      </c>
      <c r="AC1153" s="199">
        <v>0</v>
      </c>
      <c r="AD1153" s="150">
        <f t="shared" si="1039"/>
        <v>0</v>
      </c>
      <c r="AE1153" s="150">
        <v>0</v>
      </c>
      <c r="AF1153" s="169" t="s">
        <v>4680</v>
      </c>
      <c r="AG1153" s="201">
        <v>0</v>
      </c>
      <c r="AH1153" s="199">
        <v>0</v>
      </c>
      <c r="AI1153" s="150">
        <v>0</v>
      </c>
      <c r="AJ1153" s="169">
        <f t="shared" si="1046"/>
        <v>0</v>
      </c>
      <c r="AK1153" s="201">
        <v>0</v>
      </c>
      <c r="AL1153" s="199">
        <v>0</v>
      </c>
      <c r="AM1153" s="150">
        <f t="shared" si="1040"/>
        <v>0</v>
      </c>
      <c r="AN1153" s="153">
        <f t="shared" si="1047"/>
        <v>0</v>
      </c>
      <c r="AO1153" s="154">
        <f t="shared" si="1048"/>
        <v>0</v>
      </c>
      <c r="AP1153" s="150">
        <v>0</v>
      </c>
      <c r="AQ1153" s="201">
        <v>0</v>
      </c>
      <c r="AR1153" s="199">
        <v>0</v>
      </c>
      <c r="AS1153" s="150">
        <f t="shared" si="1041"/>
        <v>0</v>
      </c>
      <c r="AT1153" s="155"/>
      <c r="AU1153" s="156">
        <f t="shared" si="1042"/>
        <v>0</v>
      </c>
      <c r="AV1153" s="156">
        <f t="shared" si="1043"/>
        <v>0</v>
      </c>
      <c r="AW1153" s="157"/>
      <c r="AX1153" s="150">
        <v>0</v>
      </c>
      <c r="AY1153" s="150">
        <v>0</v>
      </c>
      <c r="AZ1153" s="150">
        <f t="shared" si="1049"/>
        <v>0</v>
      </c>
      <c r="BA1153" s="313">
        <v>0</v>
      </c>
      <c r="BB1153" s="210"/>
      <c r="BC1153" s="210"/>
      <c r="BD1153" s="210"/>
      <c r="BE1153" s="210"/>
      <c r="BF1153" s="210"/>
      <c r="BG1153" s="210"/>
      <c r="BH1153" s="217"/>
      <c r="BI1153" s="210"/>
      <c r="BJ1153" s="210"/>
      <c r="BK1153" s="210"/>
      <c r="BL1153" s="210"/>
      <c r="BM1153" s="208"/>
      <c r="BN1153" s="160"/>
      <c r="BO1153" s="161">
        <f t="shared" si="1051"/>
        <v>0</v>
      </c>
      <c r="BP1153" s="161"/>
    </row>
    <row r="1154" spans="1:68" ht="38.25">
      <c r="A1154" s="210"/>
      <c r="B1154" s="195" t="s">
        <v>7872</v>
      </c>
      <c r="C1154" s="196" t="s">
        <v>7873</v>
      </c>
      <c r="D1154" s="146" t="s">
        <v>4692</v>
      </c>
      <c r="E1154" s="196" t="s">
        <v>7873</v>
      </c>
      <c r="F1154" s="150">
        <v>0</v>
      </c>
      <c r="G1154" s="209">
        <v>0</v>
      </c>
      <c r="H1154" s="209">
        <v>0</v>
      </c>
      <c r="I1154" s="209">
        <v>0</v>
      </c>
      <c r="J1154" s="150">
        <v>0</v>
      </c>
      <c r="K1154" s="150">
        <v>0</v>
      </c>
      <c r="L1154" s="150">
        <f t="shared" si="1052"/>
        <v>0</v>
      </c>
      <c r="M1154" s="150">
        <v>0</v>
      </c>
      <c r="N1154" s="150">
        <v>0</v>
      </c>
      <c r="O1154" s="150">
        <v>0</v>
      </c>
      <c r="P1154" s="150">
        <v>0</v>
      </c>
      <c r="Q1154" s="150">
        <v>0</v>
      </c>
      <c r="R1154" s="313">
        <f t="shared" ref="R1154:R1217" si="1053">P1154+Q1154</f>
        <v>0</v>
      </c>
      <c r="S1154" s="150">
        <f t="shared" si="1050"/>
        <v>0</v>
      </c>
      <c r="T1154" s="150"/>
      <c r="U1154" s="150">
        <v>0</v>
      </c>
      <c r="V1154" s="199">
        <v>0</v>
      </c>
      <c r="W1154" s="150">
        <f t="shared" si="1044"/>
        <v>0</v>
      </c>
      <c r="X1154" s="150">
        <v>0</v>
      </c>
      <c r="Y1154" s="150">
        <v>0</v>
      </c>
      <c r="Z1154" s="150">
        <v>0</v>
      </c>
      <c r="AA1154" s="150">
        <f t="shared" si="1045"/>
        <v>0</v>
      </c>
      <c r="AB1154" s="150">
        <v>0</v>
      </c>
      <c r="AC1154" s="199">
        <v>0</v>
      </c>
      <c r="AD1154" s="150">
        <f t="shared" ref="AD1154:AD1217" si="1054">AB1154+AC1154</f>
        <v>0</v>
      </c>
      <c r="AE1154" s="150">
        <v>0</v>
      </c>
      <c r="AF1154" s="169" t="s">
        <v>4680</v>
      </c>
      <c r="AG1154" s="201">
        <v>0</v>
      </c>
      <c r="AH1154" s="199">
        <v>0</v>
      </c>
      <c r="AI1154" s="150">
        <v>0</v>
      </c>
      <c r="AJ1154" s="169">
        <f t="shared" si="1046"/>
        <v>0</v>
      </c>
      <c r="AK1154" s="201">
        <v>0</v>
      </c>
      <c r="AL1154" s="199">
        <v>0</v>
      </c>
      <c r="AM1154" s="150">
        <f t="shared" ref="AM1154:AM1217" si="1055">AK1154+AL1154</f>
        <v>0</v>
      </c>
      <c r="AN1154" s="153">
        <f t="shared" si="1047"/>
        <v>0</v>
      </c>
      <c r="AO1154" s="154">
        <f t="shared" si="1048"/>
        <v>0</v>
      </c>
      <c r="AP1154" s="150">
        <v>0</v>
      </c>
      <c r="AQ1154" s="201">
        <v>0</v>
      </c>
      <c r="AR1154" s="199">
        <v>0</v>
      </c>
      <c r="AS1154" s="150">
        <f t="shared" ref="AS1154:AS1217" si="1056">AQ1154+AR1154</f>
        <v>0</v>
      </c>
      <c r="AT1154" s="155"/>
      <c r="AU1154" s="156">
        <f t="shared" ref="AU1154:AU1217" si="1057">AM1154-AD1154</f>
        <v>0</v>
      </c>
      <c r="AV1154" s="156">
        <f t="shared" ref="AV1154:AV1217" si="1058">AD1154-AX1154</f>
        <v>0</v>
      </c>
      <c r="AW1154" s="157"/>
      <c r="AX1154" s="150">
        <v>0</v>
      </c>
      <c r="AY1154" s="150">
        <v>0</v>
      </c>
      <c r="AZ1154" s="150">
        <f t="shared" si="1049"/>
        <v>0</v>
      </c>
      <c r="BA1154" s="313">
        <v>0</v>
      </c>
      <c r="BB1154" s="210"/>
      <c r="BC1154" s="210"/>
      <c r="BD1154" s="210"/>
      <c r="BE1154" s="210"/>
      <c r="BF1154" s="210"/>
      <c r="BG1154" s="210"/>
      <c r="BH1154" s="217"/>
      <c r="BI1154" s="210"/>
      <c r="BJ1154" s="210"/>
      <c r="BK1154" s="210"/>
      <c r="BL1154" s="210"/>
      <c r="BM1154" s="208"/>
      <c r="BN1154" s="160"/>
      <c r="BO1154" s="161">
        <f t="shared" si="1051"/>
        <v>0</v>
      </c>
      <c r="BP1154" s="161"/>
    </row>
    <row r="1155" spans="1:68" ht="51">
      <c r="A1155" s="210"/>
      <c r="B1155" s="195" t="s">
        <v>7874</v>
      </c>
      <c r="C1155" s="196" t="s">
        <v>7875</v>
      </c>
      <c r="D1155" s="146" t="s">
        <v>4692</v>
      </c>
      <c r="E1155" s="196" t="s">
        <v>7875</v>
      </c>
      <c r="F1155" s="150">
        <v>0</v>
      </c>
      <c r="G1155" s="209">
        <v>0</v>
      </c>
      <c r="H1155" s="209">
        <v>0</v>
      </c>
      <c r="I1155" s="209">
        <v>0</v>
      </c>
      <c r="J1155" s="150">
        <v>0</v>
      </c>
      <c r="K1155" s="150">
        <v>0</v>
      </c>
      <c r="L1155" s="150">
        <f t="shared" si="1052"/>
        <v>0</v>
      </c>
      <c r="M1155" s="150">
        <v>0</v>
      </c>
      <c r="N1155" s="150">
        <v>0</v>
      </c>
      <c r="O1155" s="150">
        <v>0</v>
      </c>
      <c r="P1155" s="150">
        <v>0</v>
      </c>
      <c r="Q1155" s="150">
        <v>0</v>
      </c>
      <c r="R1155" s="313">
        <f t="shared" si="1053"/>
        <v>0</v>
      </c>
      <c r="S1155" s="150">
        <f t="shared" si="1050"/>
        <v>0</v>
      </c>
      <c r="T1155" s="150"/>
      <c r="U1155" s="150">
        <v>0</v>
      </c>
      <c r="V1155" s="199">
        <v>0</v>
      </c>
      <c r="W1155" s="150">
        <f t="shared" ref="W1155:W1218" si="1059">U1155+V1155</f>
        <v>0</v>
      </c>
      <c r="X1155" s="150">
        <v>0</v>
      </c>
      <c r="Y1155" s="150">
        <v>0</v>
      </c>
      <c r="Z1155" s="150">
        <v>0</v>
      </c>
      <c r="AA1155" s="150">
        <f t="shared" ref="AA1155:AA1218" si="1060">AD1155-Z1155</f>
        <v>0</v>
      </c>
      <c r="AB1155" s="150">
        <v>0</v>
      </c>
      <c r="AC1155" s="199">
        <v>0</v>
      </c>
      <c r="AD1155" s="150">
        <f t="shared" si="1054"/>
        <v>0</v>
      </c>
      <c r="AE1155" s="150">
        <v>0</v>
      </c>
      <c r="AF1155" s="169" t="s">
        <v>4680</v>
      </c>
      <c r="AG1155" s="201">
        <v>0</v>
      </c>
      <c r="AH1155" s="199">
        <v>0</v>
      </c>
      <c r="AI1155" s="150">
        <v>0</v>
      </c>
      <c r="AJ1155" s="169">
        <f t="shared" ref="AJ1155:AJ1218" si="1061">AM1155-AI1155</f>
        <v>0</v>
      </c>
      <c r="AK1155" s="201">
        <v>0</v>
      </c>
      <c r="AL1155" s="199">
        <v>0</v>
      </c>
      <c r="AM1155" s="150">
        <f t="shared" si="1055"/>
        <v>0</v>
      </c>
      <c r="AN1155" s="153">
        <f t="shared" ref="AN1155:AN1218" si="1062">AS1155-AM1155</f>
        <v>0</v>
      </c>
      <c r="AO1155" s="154">
        <f t="shared" ref="AO1155:AO1218" si="1063">AS1155-AP1155</f>
        <v>0</v>
      </c>
      <c r="AP1155" s="150">
        <v>0</v>
      </c>
      <c r="AQ1155" s="201">
        <v>0</v>
      </c>
      <c r="AR1155" s="199">
        <v>0</v>
      </c>
      <c r="AS1155" s="150">
        <f t="shared" si="1056"/>
        <v>0</v>
      </c>
      <c r="AT1155" s="155"/>
      <c r="AU1155" s="156">
        <f t="shared" si="1057"/>
        <v>0</v>
      </c>
      <c r="AV1155" s="156">
        <f t="shared" si="1058"/>
        <v>0</v>
      </c>
      <c r="AW1155" s="157"/>
      <c r="AX1155" s="150">
        <v>0</v>
      </c>
      <c r="AY1155" s="150">
        <v>0</v>
      </c>
      <c r="AZ1155" s="150">
        <f t="shared" ref="AZ1155:AZ1218" si="1064">BA1155-AY1155</f>
        <v>0</v>
      </c>
      <c r="BA1155" s="313">
        <v>0</v>
      </c>
      <c r="BB1155" s="210"/>
      <c r="BC1155" s="210"/>
      <c r="BD1155" s="210"/>
      <c r="BE1155" s="210"/>
      <c r="BF1155" s="210"/>
      <c r="BG1155" s="210"/>
      <c r="BH1155" s="217"/>
      <c r="BI1155" s="210"/>
      <c r="BJ1155" s="210"/>
      <c r="BK1155" s="210"/>
      <c r="BL1155" s="210"/>
      <c r="BM1155" s="208"/>
      <c r="BN1155" s="160"/>
      <c r="BO1155" s="161">
        <f t="shared" si="1051"/>
        <v>0</v>
      </c>
      <c r="BP1155" s="161"/>
    </row>
    <row r="1156" spans="1:68" ht="51">
      <c r="A1156" s="210"/>
      <c r="B1156" s="195" t="s">
        <v>7876</v>
      </c>
      <c r="C1156" s="196" t="s">
        <v>7877</v>
      </c>
      <c r="D1156" s="146" t="s">
        <v>4692</v>
      </c>
      <c r="E1156" s="196" t="s">
        <v>7877</v>
      </c>
      <c r="F1156" s="150">
        <v>0</v>
      </c>
      <c r="G1156" s="209">
        <v>0</v>
      </c>
      <c r="H1156" s="209">
        <v>0</v>
      </c>
      <c r="I1156" s="209">
        <v>0</v>
      </c>
      <c r="J1156" s="150">
        <v>0</v>
      </c>
      <c r="K1156" s="150">
        <v>0</v>
      </c>
      <c r="L1156" s="150">
        <f t="shared" si="1052"/>
        <v>0</v>
      </c>
      <c r="M1156" s="150">
        <v>0</v>
      </c>
      <c r="N1156" s="150">
        <v>0</v>
      </c>
      <c r="O1156" s="150">
        <v>0</v>
      </c>
      <c r="P1156" s="150">
        <v>0</v>
      </c>
      <c r="Q1156" s="150">
        <v>0</v>
      </c>
      <c r="R1156" s="313">
        <f t="shared" si="1053"/>
        <v>0</v>
      </c>
      <c r="S1156" s="150">
        <f t="shared" ref="S1156:S1219" si="1065">R1156/9*12</f>
        <v>0</v>
      </c>
      <c r="T1156" s="150"/>
      <c r="U1156" s="150">
        <v>0</v>
      </c>
      <c r="V1156" s="199">
        <v>0</v>
      </c>
      <c r="W1156" s="150">
        <f t="shared" si="1059"/>
        <v>0</v>
      </c>
      <c r="X1156" s="150">
        <v>0</v>
      </c>
      <c r="Y1156" s="150">
        <v>0</v>
      </c>
      <c r="Z1156" s="150">
        <v>0</v>
      </c>
      <c r="AA1156" s="150">
        <f t="shared" si="1060"/>
        <v>0</v>
      </c>
      <c r="AB1156" s="150">
        <v>0</v>
      </c>
      <c r="AC1156" s="199">
        <v>0</v>
      </c>
      <c r="AD1156" s="150">
        <f t="shared" si="1054"/>
        <v>0</v>
      </c>
      <c r="AE1156" s="150">
        <v>0</v>
      </c>
      <c r="AF1156" s="169" t="s">
        <v>4680</v>
      </c>
      <c r="AG1156" s="201">
        <v>0</v>
      </c>
      <c r="AH1156" s="199">
        <v>0</v>
      </c>
      <c r="AI1156" s="150">
        <v>0</v>
      </c>
      <c r="AJ1156" s="169">
        <f t="shared" si="1061"/>
        <v>0</v>
      </c>
      <c r="AK1156" s="201">
        <v>0</v>
      </c>
      <c r="AL1156" s="199">
        <v>0</v>
      </c>
      <c r="AM1156" s="150">
        <f t="shared" si="1055"/>
        <v>0</v>
      </c>
      <c r="AN1156" s="153">
        <f t="shared" si="1062"/>
        <v>0</v>
      </c>
      <c r="AO1156" s="154">
        <f t="shared" si="1063"/>
        <v>0</v>
      </c>
      <c r="AP1156" s="150">
        <v>0</v>
      </c>
      <c r="AQ1156" s="201">
        <v>0</v>
      </c>
      <c r="AR1156" s="199">
        <v>0</v>
      </c>
      <c r="AS1156" s="150">
        <f t="shared" si="1056"/>
        <v>0</v>
      </c>
      <c r="AT1156" s="155"/>
      <c r="AU1156" s="156">
        <f t="shared" si="1057"/>
        <v>0</v>
      </c>
      <c r="AV1156" s="156">
        <f t="shared" si="1058"/>
        <v>0</v>
      </c>
      <c r="AW1156" s="157"/>
      <c r="AX1156" s="150">
        <v>0</v>
      </c>
      <c r="AY1156" s="150">
        <v>0</v>
      </c>
      <c r="AZ1156" s="150">
        <f t="shared" si="1064"/>
        <v>0</v>
      </c>
      <c r="BA1156" s="313">
        <v>0</v>
      </c>
      <c r="BB1156" s="210"/>
      <c r="BC1156" s="210"/>
      <c r="BD1156" s="210"/>
      <c r="BE1156" s="210"/>
      <c r="BF1156" s="210"/>
      <c r="BG1156" s="210"/>
      <c r="BH1156" s="217"/>
      <c r="BI1156" s="210"/>
      <c r="BJ1156" s="210"/>
      <c r="BK1156" s="210"/>
      <c r="BL1156" s="210"/>
      <c r="BM1156" s="208"/>
      <c r="BN1156" s="160"/>
      <c r="BO1156" s="161">
        <f t="shared" si="1051"/>
        <v>0</v>
      </c>
      <c r="BP1156" s="161"/>
    </row>
    <row r="1157" spans="1:68" ht="51">
      <c r="A1157" s="206" t="s">
        <v>452</v>
      </c>
      <c r="B1157" s="195" t="s">
        <v>7878</v>
      </c>
      <c r="C1157" s="196" t="s">
        <v>7879</v>
      </c>
      <c r="D1157" s="146" t="s">
        <v>4692</v>
      </c>
      <c r="E1157" s="196" t="s">
        <v>7879</v>
      </c>
      <c r="F1157" s="150">
        <v>0</v>
      </c>
      <c r="G1157" s="209">
        <v>3051939.38</v>
      </c>
      <c r="H1157" s="209">
        <v>0</v>
      </c>
      <c r="I1157" s="209">
        <v>3051939.38</v>
      </c>
      <c r="J1157" s="150">
        <v>0</v>
      </c>
      <c r="K1157" s="150">
        <v>0</v>
      </c>
      <c r="L1157" s="150">
        <f t="shared" si="1052"/>
        <v>0</v>
      </c>
      <c r="M1157" s="150">
        <v>0</v>
      </c>
      <c r="N1157" s="150">
        <v>0</v>
      </c>
      <c r="O1157" s="150">
        <v>0</v>
      </c>
      <c r="P1157" s="150">
        <v>0</v>
      </c>
      <c r="Q1157" s="150">
        <v>0</v>
      </c>
      <c r="R1157" s="313">
        <f t="shared" si="1053"/>
        <v>0</v>
      </c>
      <c r="S1157" s="150">
        <f t="shared" si="1065"/>
        <v>0</v>
      </c>
      <c r="T1157" s="150"/>
      <c r="U1157" s="150">
        <v>0</v>
      </c>
      <c r="V1157" s="199">
        <v>0</v>
      </c>
      <c r="W1157" s="150">
        <f t="shared" si="1059"/>
        <v>0</v>
      </c>
      <c r="X1157" s="150">
        <v>0</v>
      </c>
      <c r="Y1157" s="150">
        <v>0</v>
      </c>
      <c r="Z1157" s="150">
        <v>0</v>
      </c>
      <c r="AA1157" s="150">
        <f t="shared" si="1060"/>
        <v>0</v>
      </c>
      <c r="AB1157" s="150">
        <v>0</v>
      </c>
      <c r="AC1157" s="199">
        <v>0</v>
      </c>
      <c r="AD1157" s="150">
        <f t="shared" si="1054"/>
        <v>0</v>
      </c>
      <c r="AE1157" s="150">
        <v>0</v>
      </c>
      <c r="AF1157" s="169" t="s">
        <v>4680</v>
      </c>
      <c r="AG1157" s="201">
        <v>0</v>
      </c>
      <c r="AH1157" s="199">
        <v>0</v>
      </c>
      <c r="AI1157" s="150">
        <v>0</v>
      </c>
      <c r="AJ1157" s="169">
        <f t="shared" si="1061"/>
        <v>0</v>
      </c>
      <c r="AK1157" s="201">
        <v>0</v>
      </c>
      <c r="AL1157" s="199">
        <v>0</v>
      </c>
      <c r="AM1157" s="150">
        <f t="shared" si="1055"/>
        <v>0</v>
      </c>
      <c r="AN1157" s="153">
        <f t="shared" si="1062"/>
        <v>0</v>
      </c>
      <c r="AO1157" s="154">
        <f t="shared" si="1063"/>
        <v>0</v>
      </c>
      <c r="AP1157" s="150">
        <v>0</v>
      </c>
      <c r="AQ1157" s="201">
        <v>0</v>
      </c>
      <c r="AR1157" s="199">
        <v>0</v>
      </c>
      <c r="AS1157" s="150">
        <f t="shared" si="1056"/>
        <v>0</v>
      </c>
      <c r="AT1157" s="155"/>
      <c r="AU1157" s="156">
        <f t="shared" si="1057"/>
        <v>0</v>
      </c>
      <c r="AV1157" s="156">
        <f t="shared" si="1058"/>
        <v>0</v>
      </c>
      <c r="AW1157" s="157"/>
      <c r="AX1157" s="150">
        <v>0</v>
      </c>
      <c r="AY1157" s="150">
        <v>0</v>
      </c>
      <c r="AZ1157" s="150">
        <f t="shared" si="1064"/>
        <v>0</v>
      </c>
      <c r="BA1157" s="313">
        <v>0</v>
      </c>
      <c r="BB1157" s="202">
        <v>5</v>
      </c>
      <c r="BC1157" s="202" t="s">
        <v>647</v>
      </c>
      <c r="BD1157" s="194" t="s">
        <v>647</v>
      </c>
      <c r="BE1157" s="335" t="s">
        <v>671</v>
      </c>
      <c r="BF1157" s="202" t="s">
        <v>739</v>
      </c>
      <c r="BG1157" s="287" t="s">
        <v>7880</v>
      </c>
      <c r="BH1157" s="283">
        <f>SUM(AS1157:AS1194)</f>
        <v>4887347.01</v>
      </c>
      <c r="BI1157" s="205"/>
      <c r="BJ1157" s="206" t="s">
        <v>7734</v>
      </c>
      <c r="BK1157" s="206" t="s">
        <v>452</v>
      </c>
      <c r="BL1157" s="207" t="s">
        <v>7735</v>
      </c>
      <c r="BM1157" s="208">
        <f>BH1157</f>
        <v>4887347.01</v>
      </c>
      <c r="BN1157" s="160"/>
      <c r="BO1157" s="161"/>
      <c r="BP1157" s="161"/>
    </row>
    <row r="1158" spans="1:68" ht="38.25">
      <c r="A1158" s="210"/>
      <c r="B1158" s="195" t="s">
        <v>7881</v>
      </c>
      <c r="C1158" s="196" t="s">
        <v>7882</v>
      </c>
      <c r="D1158" s="146" t="s">
        <v>4692</v>
      </c>
      <c r="E1158" s="196" t="s">
        <v>7882</v>
      </c>
      <c r="F1158" s="150">
        <v>3051939.38</v>
      </c>
      <c r="G1158" s="209">
        <v>1059617.73</v>
      </c>
      <c r="H1158" s="209">
        <v>0</v>
      </c>
      <c r="I1158" s="209">
        <v>1059617.73</v>
      </c>
      <c r="J1158" s="150">
        <v>676623.05</v>
      </c>
      <c r="K1158" s="150">
        <v>-36920</v>
      </c>
      <c r="L1158" s="150">
        <f t="shared" si="1052"/>
        <v>639703.05000000005</v>
      </c>
      <c r="M1158" s="150">
        <v>1345389.17</v>
      </c>
      <c r="N1158" s="150">
        <v>142028.2500463333</v>
      </c>
      <c r="O1158" s="150">
        <v>1487417.4200463332</v>
      </c>
      <c r="P1158" s="150">
        <v>1973418.15</v>
      </c>
      <c r="Q1158" s="150">
        <v>208327.18</v>
      </c>
      <c r="R1158" s="313">
        <f t="shared" si="1053"/>
        <v>2181745.33</v>
      </c>
      <c r="S1158" s="150">
        <f t="shared" si="1065"/>
        <v>2908993.7733333334</v>
      </c>
      <c r="T1158" s="150"/>
      <c r="U1158" s="309">
        <v>2603109.61</v>
      </c>
      <c r="V1158" s="245"/>
      <c r="W1158" s="150">
        <f t="shared" si="1059"/>
        <v>2603109.61</v>
      </c>
      <c r="X1158" s="150">
        <v>2603109.61</v>
      </c>
      <c r="Y1158" s="150"/>
      <c r="Z1158" s="150">
        <v>2603109.61</v>
      </c>
      <c r="AA1158" s="150">
        <f t="shared" si="1060"/>
        <v>0</v>
      </c>
      <c r="AB1158" s="150">
        <v>2603109.61</v>
      </c>
      <c r="AC1158" s="245">
        <v>0</v>
      </c>
      <c r="AD1158" s="150">
        <f t="shared" si="1054"/>
        <v>2603109.61</v>
      </c>
      <c r="AE1158" s="150">
        <v>2603109.61</v>
      </c>
      <c r="AF1158" s="169" t="s">
        <v>4680</v>
      </c>
      <c r="AG1158" s="201">
        <v>2603109.61</v>
      </c>
      <c r="AH1158" s="245">
        <v>0</v>
      </c>
      <c r="AI1158" s="150">
        <v>2603109.61</v>
      </c>
      <c r="AJ1158" s="169">
        <f t="shared" si="1061"/>
        <v>0</v>
      </c>
      <c r="AK1158" s="201">
        <v>2603109.61</v>
      </c>
      <c r="AL1158" s="245">
        <v>0</v>
      </c>
      <c r="AM1158" s="150">
        <f t="shared" si="1055"/>
        <v>2603109.61</v>
      </c>
      <c r="AN1158" s="153">
        <f t="shared" si="1062"/>
        <v>0</v>
      </c>
      <c r="AO1158" s="154">
        <f t="shared" si="1063"/>
        <v>0</v>
      </c>
      <c r="AP1158" s="150">
        <v>2603109.61</v>
      </c>
      <c r="AQ1158" s="201">
        <v>2603109.61</v>
      </c>
      <c r="AR1158" s="199"/>
      <c r="AS1158" s="150">
        <f t="shared" si="1056"/>
        <v>2603109.61</v>
      </c>
      <c r="AT1158" s="155"/>
      <c r="AU1158" s="156">
        <f t="shared" si="1057"/>
        <v>0</v>
      </c>
      <c r="AV1158" s="156">
        <f t="shared" si="1058"/>
        <v>0</v>
      </c>
      <c r="AW1158" s="157"/>
      <c r="AX1158" s="150">
        <v>2603109.61</v>
      </c>
      <c r="AY1158" s="150">
        <v>1554839.67</v>
      </c>
      <c r="AZ1158" s="150">
        <f t="shared" si="1064"/>
        <v>1419995.1700926665</v>
      </c>
      <c r="BA1158" s="313">
        <v>2974834.8400926664</v>
      </c>
      <c r="BB1158" s="210"/>
      <c r="BC1158" s="210"/>
      <c r="BD1158" s="210"/>
      <c r="BE1158" s="210"/>
      <c r="BF1158" s="210"/>
      <c r="BG1158" s="210"/>
      <c r="BH1158" s="217"/>
      <c r="BI1158" s="210"/>
      <c r="BJ1158" s="210"/>
      <c r="BK1158" s="210"/>
      <c r="BL1158" s="210"/>
      <c r="BM1158" s="208"/>
      <c r="BN1158" s="160"/>
      <c r="BO1158" s="161"/>
      <c r="BP1158" s="161"/>
    </row>
    <row r="1159" spans="1:68" ht="51">
      <c r="A1159" s="210"/>
      <c r="B1159" s="195" t="s">
        <v>7883</v>
      </c>
      <c r="C1159" s="196" t="s">
        <v>7884</v>
      </c>
      <c r="D1159" s="146" t="s">
        <v>4692</v>
      </c>
      <c r="E1159" s="196" t="s">
        <v>7884</v>
      </c>
      <c r="F1159" s="150">
        <v>1059617.73</v>
      </c>
      <c r="G1159" s="209">
        <v>0</v>
      </c>
      <c r="H1159" s="209">
        <v>0</v>
      </c>
      <c r="I1159" s="209">
        <v>0</v>
      </c>
      <c r="J1159" s="150">
        <v>238975.76</v>
      </c>
      <c r="K1159" s="150">
        <v>-27905.4175</v>
      </c>
      <c r="L1159" s="150">
        <f t="shared" si="1052"/>
        <v>211070.3425</v>
      </c>
      <c r="M1159" s="150">
        <v>478272.8</v>
      </c>
      <c r="N1159" s="150">
        <v>50489.66525333334</v>
      </c>
      <c r="O1159" s="150">
        <v>528762.46525333333</v>
      </c>
      <c r="P1159" s="150">
        <v>711896.5</v>
      </c>
      <c r="Q1159" s="150">
        <v>75152.539999999994</v>
      </c>
      <c r="R1159" s="313">
        <f t="shared" si="1053"/>
        <v>787049.04</v>
      </c>
      <c r="S1159" s="150">
        <f t="shared" si="1065"/>
        <v>1049398.7200000002</v>
      </c>
      <c r="T1159" s="150"/>
      <c r="U1159" s="309">
        <v>554892.01</v>
      </c>
      <c r="V1159" s="245"/>
      <c r="W1159" s="150">
        <f t="shared" si="1059"/>
        <v>554892.01</v>
      </c>
      <c r="X1159" s="150">
        <v>554892.01</v>
      </c>
      <c r="Y1159" s="150"/>
      <c r="Z1159" s="150">
        <v>554892.01</v>
      </c>
      <c r="AA1159" s="150">
        <f t="shared" si="1060"/>
        <v>0</v>
      </c>
      <c r="AB1159" s="150">
        <v>554892.01</v>
      </c>
      <c r="AC1159" s="245">
        <v>0</v>
      </c>
      <c r="AD1159" s="150">
        <f t="shared" si="1054"/>
        <v>554892.01</v>
      </c>
      <c r="AE1159" s="150">
        <v>554892.01</v>
      </c>
      <c r="AF1159" s="169" t="s">
        <v>4680</v>
      </c>
      <c r="AG1159" s="201">
        <v>554892.01</v>
      </c>
      <c r="AH1159" s="245">
        <v>0</v>
      </c>
      <c r="AI1159" s="150">
        <v>554892.01</v>
      </c>
      <c r="AJ1159" s="169">
        <f t="shared" si="1061"/>
        <v>0</v>
      </c>
      <c r="AK1159" s="201">
        <v>554892.01</v>
      </c>
      <c r="AL1159" s="245">
        <v>0</v>
      </c>
      <c r="AM1159" s="150">
        <f t="shared" si="1055"/>
        <v>554892.01</v>
      </c>
      <c r="AN1159" s="153">
        <f t="shared" si="1062"/>
        <v>0</v>
      </c>
      <c r="AO1159" s="154">
        <f t="shared" si="1063"/>
        <v>0</v>
      </c>
      <c r="AP1159" s="150">
        <v>554892.01</v>
      </c>
      <c r="AQ1159" s="201">
        <v>554892.01</v>
      </c>
      <c r="AR1159" s="199"/>
      <c r="AS1159" s="150">
        <f t="shared" si="1056"/>
        <v>554892.01</v>
      </c>
      <c r="AT1159" s="155"/>
      <c r="AU1159" s="156">
        <f t="shared" si="1057"/>
        <v>0</v>
      </c>
      <c r="AV1159" s="156">
        <f t="shared" si="1058"/>
        <v>0</v>
      </c>
      <c r="AW1159" s="157"/>
      <c r="AX1159" s="150">
        <v>554892.01</v>
      </c>
      <c r="AY1159" s="150">
        <v>556147.29</v>
      </c>
      <c r="AZ1159" s="150">
        <f t="shared" si="1064"/>
        <v>501377.64050666662</v>
      </c>
      <c r="BA1159" s="313">
        <v>1057524.9305066667</v>
      </c>
      <c r="BB1159" s="210"/>
      <c r="BC1159" s="210"/>
      <c r="BD1159" s="210"/>
      <c r="BE1159" s="210"/>
      <c r="BF1159" s="210"/>
      <c r="BG1159" s="210"/>
      <c r="BH1159" s="217"/>
      <c r="BI1159" s="210"/>
      <c r="BJ1159" s="210"/>
      <c r="BK1159" s="210"/>
      <c r="BL1159" s="210"/>
      <c r="BM1159" s="208"/>
      <c r="BN1159" s="160"/>
      <c r="BO1159" s="161"/>
      <c r="BP1159" s="161"/>
    </row>
    <row r="1160" spans="1:68" ht="51">
      <c r="A1160" s="210"/>
      <c r="B1160" s="195" t="s">
        <v>7885</v>
      </c>
      <c r="C1160" s="196" t="s">
        <v>7886</v>
      </c>
      <c r="D1160" s="146" t="s">
        <v>4692</v>
      </c>
      <c r="E1160" s="196" t="s">
        <v>7886</v>
      </c>
      <c r="F1160" s="150">
        <v>0</v>
      </c>
      <c r="G1160" s="209">
        <v>15164.81</v>
      </c>
      <c r="H1160" s="209">
        <v>0</v>
      </c>
      <c r="I1160" s="209">
        <v>15164.81</v>
      </c>
      <c r="J1160" s="150">
        <v>0</v>
      </c>
      <c r="K1160" s="150">
        <v>0</v>
      </c>
      <c r="L1160" s="150">
        <f t="shared" si="1052"/>
        <v>0</v>
      </c>
      <c r="M1160" s="150">
        <v>0</v>
      </c>
      <c r="N1160" s="150">
        <v>0</v>
      </c>
      <c r="O1160" s="150">
        <v>0</v>
      </c>
      <c r="P1160" s="150">
        <v>0</v>
      </c>
      <c r="Q1160" s="150">
        <v>0</v>
      </c>
      <c r="R1160" s="313">
        <f t="shared" si="1053"/>
        <v>0</v>
      </c>
      <c r="S1160" s="150">
        <f t="shared" si="1065"/>
        <v>0</v>
      </c>
      <c r="T1160" s="150"/>
      <c r="U1160" s="150">
        <v>0</v>
      </c>
      <c r="V1160" s="199">
        <v>0</v>
      </c>
      <c r="W1160" s="150">
        <f t="shared" si="1059"/>
        <v>0</v>
      </c>
      <c r="X1160" s="150">
        <v>0</v>
      </c>
      <c r="Y1160" s="150">
        <v>0</v>
      </c>
      <c r="Z1160" s="150">
        <v>0</v>
      </c>
      <c r="AA1160" s="150">
        <f t="shared" si="1060"/>
        <v>0</v>
      </c>
      <c r="AB1160" s="150">
        <v>0</v>
      </c>
      <c r="AC1160" s="199">
        <v>0</v>
      </c>
      <c r="AD1160" s="150">
        <f t="shared" si="1054"/>
        <v>0</v>
      </c>
      <c r="AE1160" s="150">
        <v>0</v>
      </c>
      <c r="AF1160" s="169" t="s">
        <v>4680</v>
      </c>
      <c r="AG1160" s="201">
        <v>0</v>
      </c>
      <c r="AH1160" s="199">
        <v>0</v>
      </c>
      <c r="AI1160" s="150">
        <v>0</v>
      </c>
      <c r="AJ1160" s="169">
        <f t="shared" si="1061"/>
        <v>0</v>
      </c>
      <c r="AK1160" s="201">
        <v>0</v>
      </c>
      <c r="AL1160" s="199">
        <v>0</v>
      </c>
      <c r="AM1160" s="150">
        <f t="shared" si="1055"/>
        <v>0</v>
      </c>
      <c r="AN1160" s="153">
        <f t="shared" si="1062"/>
        <v>0</v>
      </c>
      <c r="AO1160" s="154">
        <f t="shared" si="1063"/>
        <v>0</v>
      </c>
      <c r="AP1160" s="150">
        <v>0</v>
      </c>
      <c r="AQ1160" s="201">
        <v>0</v>
      </c>
      <c r="AR1160" s="199">
        <v>0</v>
      </c>
      <c r="AS1160" s="150">
        <f t="shared" si="1056"/>
        <v>0</v>
      </c>
      <c r="AT1160" s="155"/>
      <c r="AU1160" s="156">
        <f t="shared" si="1057"/>
        <v>0</v>
      </c>
      <c r="AV1160" s="156">
        <f t="shared" si="1058"/>
        <v>0</v>
      </c>
      <c r="AW1160" s="157"/>
      <c r="AX1160" s="150">
        <v>0</v>
      </c>
      <c r="AY1160" s="150">
        <v>0</v>
      </c>
      <c r="AZ1160" s="150">
        <f t="shared" si="1064"/>
        <v>0</v>
      </c>
      <c r="BA1160" s="313">
        <v>0</v>
      </c>
      <c r="BB1160" s="210"/>
      <c r="BC1160" s="210"/>
      <c r="BD1160" s="210"/>
      <c r="BE1160" s="210"/>
      <c r="BF1160" s="210"/>
      <c r="BG1160" s="210"/>
      <c r="BH1160" s="217"/>
      <c r="BI1160" s="210"/>
      <c r="BJ1160" s="210"/>
      <c r="BK1160" s="210"/>
      <c r="BL1160" s="210"/>
      <c r="BM1160" s="208"/>
      <c r="BN1160" s="160"/>
      <c r="BO1160" s="161"/>
      <c r="BP1160" s="161"/>
    </row>
    <row r="1161" spans="1:68" ht="38.25">
      <c r="A1161" s="210"/>
      <c r="B1161" s="195" t="s">
        <v>7887</v>
      </c>
      <c r="C1161" s="196" t="s">
        <v>7888</v>
      </c>
      <c r="D1161" s="146" t="s">
        <v>4692</v>
      </c>
      <c r="E1161" s="196" t="s">
        <v>7888</v>
      </c>
      <c r="F1161" s="150">
        <v>15164.81</v>
      </c>
      <c r="G1161" s="209">
        <v>2067.89</v>
      </c>
      <c r="H1161" s="209">
        <v>0</v>
      </c>
      <c r="I1161" s="209">
        <v>2067.89</v>
      </c>
      <c r="J1161" s="150">
        <v>0</v>
      </c>
      <c r="K1161" s="150">
        <v>0</v>
      </c>
      <c r="L1161" s="150">
        <f t="shared" si="1052"/>
        <v>0</v>
      </c>
      <c r="M1161" s="150">
        <v>0</v>
      </c>
      <c r="N1161" s="150">
        <v>0</v>
      </c>
      <c r="O1161" s="150">
        <v>0</v>
      </c>
      <c r="P1161" s="150">
        <v>7512.85</v>
      </c>
      <c r="Q1161" s="150">
        <v>0</v>
      </c>
      <c r="R1161" s="313">
        <f t="shared" si="1053"/>
        <v>7512.85</v>
      </c>
      <c r="S1161" s="150">
        <f t="shared" si="1065"/>
        <v>10017.133333333335</v>
      </c>
      <c r="T1161" s="150"/>
      <c r="U1161" s="150">
        <v>15001.55</v>
      </c>
      <c r="V1161" s="199">
        <v>0</v>
      </c>
      <c r="W1161" s="150">
        <f t="shared" si="1059"/>
        <v>15001.55</v>
      </c>
      <c r="X1161" s="150">
        <v>15001.55</v>
      </c>
      <c r="Y1161" s="150">
        <v>0</v>
      </c>
      <c r="Z1161" s="150">
        <v>15001.55</v>
      </c>
      <c r="AA1161" s="150">
        <f t="shared" si="1060"/>
        <v>0</v>
      </c>
      <c r="AB1161" s="150">
        <v>15001.55</v>
      </c>
      <c r="AC1161" s="199">
        <v>0</v>
      </c>
      <c r="AD1161" s="150">
        <f t="shared" si="1054"/>
        <v>15001.55</v>
      </c>
      <c r="AE1161" s="150">
        <v>15001.55</v>
      </c>
      <c r="AF1161" s="169" t="s">
        <v>4680</v>
      </c>
      <c r="AG1161" s="201">
        <v>15001.55</v>
      </c>
      <c r="AH1161" s="199">
        <v>0</v>
      </c>
      <c r="AI1161" s="150">
        <v>15001.55</v>
      </c>
      <c r="AJ1161" s="169">
        <f t="shared" si="1061"/>
        <v>0</v>
      </c>
      <c r="AK1161" s="201">
        <v>15001.55</v>
      </c>
      <c r="AL1161" s="199">
        <v>0</v>
      </c>
      <c r="AM1161" s="150">
        <f t="shared" si="1055"/>
        <v>15001.55</v>
      </c>
      <c r="AN1161" s="153">
        <f t="shared" si="1062"/>
        <v>0</v>
      </c>
      <c r="AO1161" s="154">
        <f t="shared" si="1063"/>
        <v>0</v>
      </c>
      <c r="AP1161" s="150">
        <v>15001.55</v>
      </c>
      <c r="AQ1161" s="201">
        <v>15001.55</v>
      </c>
      <c r="AR1161" s="199">
        <v>0</v>
      </c>
      <c r="AS1161" s="150">
        <f t="shared" si="1056"/>
        <v>15001.55</v>
      </c>
      <c r="AT1161" s="155"/>
      <c r="AU1161" s="156">
        <f t="shared" si="1057"/>
        <v>0</v>
      </c>
      <c r="AV1161" s="156">
        <f t="shared" si="1058"/>
        <v>0</v>
      </c>
      <c r="AW1161" s="157"/>
      <c r="AX1161" s="150">
        <v>15001.55</v>
      </c>
      <c r="AY1161" s="150">
        <v>0</v>
      </c>
      <c r="AZ1161" s="150">
        <f t="shared" si="1064"/>
        <v>0</v>
      </c>
      <c r="BA1161" s="313">
        <v>0</v>
      </c>
      <c r="BB1161" s="210"/>
      <c r="BC1161" s="210"/>
      <c r="BD1161" s="210"/>
      <c r="BE1161" s="210"/>
      <c r="BF1161" s="210"/>
      <c r="BG1161" s="210"/>
      <c r="BH1161" s="217"/>
      <c r="BI1161" s="210"/>
      <c r="BJ1161" s="210"/>
      <c r="BK1161" s="210"/>
      <c r="BL1161" s="210"/>
      <c r="BM1161" s="208"/>
      <c r="BN1161" s="160"/>
      <c r="BO1161" s="161"/>
      <c r="BP1161" s="161"/>
    </row>
    <row r="1162" spans="1:68" ht="51">
      <c r="A1162" s="210"/>
      <c r="B1162" s="195" t="s">
        <v>7889</v>
      </c>
      <c r="C1162" s="196" t="s">
        <v>7890</v>
      </c>
      <c r="D1162" s="146" t="s">
        <v>4692</v>
      </c>
      <c r="E1162" s="196" t="s">
        <v>7890</v>
      </c>
      <c r="F1162" s="150">
        <v>2067.89</v>
      </c>
      <c r="G1162" s="209">
        <v>0</v>
      </c>
      <c r="H1162" s="209">
        <v>0</v>
      </c>
      <c r="I1162" s="209">
        <v>0</v>
      </c>
      <c r="J1162" s="150">
        <v>0</v>
      </c>
      <c r="K1162" s="150">
        <v>0</v>
      </c>
      <c r="L1162" s="150">
        <f t="shared" ref="L1162:L1225" si="1066">J1162+K1162</f>
        <v>0</v>
      </c>
      <c r="M1162" s="150">
        <v>0</v>
      </c>
      <c r="N1162" s="150">
        <v>0</v>
      </c>
      <c r="O1162" s="150">
        <v>0</v>
      </c>
      <c r="P1162" s="150">
        <v>0</v>
      </c>
      <c r="Q1162" s="150">
        <v>0</v>
      </c>
      <c r="R1162" s="313">
        <f t="shared" si="1053"/>
        <v>0</v>
      </c>
      <c r="S1162" s="150">
        <f t="shared" si="1065"/>
        <v>0</v>
      </c>
      <c r="T1162" s="150"/>
      <c r="U1162" s="150">
        <v>0</v>
      </c>
      <c r="V1162" s="199">
        <v>0</v>
      </c>
      <c r="W1162" s="150">
        <f t="shared" si="1059"/>
        <v>0</v>
      </c>
      <c r="X1162" s="150">
        <v>0</v>
      </c>
      <c r="Y1162" s="150">
        <v>0</v>
      </c>
      <c r="Z1162" s="150">
        <v>0</v>
      </c>
      <c r="AA1162" s="150">
        <f t="shared" si="1060"/>
        <v>0</v>
      </c>
      <c r="AB1162" s="150">
        <v>0</v>
      </c>
      <c r="AC1162" s="199">
        <v>0</v>
      </c>
      <c r="AD1162" s="150">
        <f t="shared" si="1054"/>
        <v>0</v>
      </c>
      <c r="AE1162" s="150">
        <v>0</v>
      </c>
      <c r="AF1162" s="169" t="s">
        <v>4680</v>
      </c>
      <c r="AG1162" s="201">
        <v>0</v>
      </c>
      <c r="AH1162" s="199">
        <v>0</v>
      </c>
      <c r="AI1162" s="150">
        <v>0</v>
      </c>
      <c r="AJ1162" s="169">
        <f t="shared" si="1061"/>
        <v>0</v>
      </c>
      <c r="AK1162" s="201">
        <v>0</v>
      </c>
      <c r="AL1162" s="199">
        <v>0</v>
      </c>
      <c r="AM1162" s="150">
        <f t="shared" si="1055"/>
        <v>0</v>
      </c>
      <c r="AN1162" s="153">
        <f t="shared" si="1062"/>
        <v>0</v>
      </c>
      <c r="AO1162" s="154">
        <f t="shared" si="1063"/>
        <v>0</v>
      </c>
      <c r="AP1162" s="150">
        <v>0</v>
      </c>
      <c r="AQ1162" s="201">
        <v>0</v>
      </c>
      <c r="AR1162" s="199">
        <v>0</v>
      </c>
      <c r="AS1162" s="150">
        <f t="shared" si="1056"/>
        <v>0</v>
      </c>
      <c r="AT1162" s="155"/>
      <c r="AU1162" s="156">
        <f t="shared" si="1057"/>
        <v>0</v>
      </c>
      <c r="AV1162" s="156">
        <f t="shared" si="1058"/>
        <v>0</v>
      </c>
      <c r="AW1162" s="157"/>
      <c r="AX1162" s="150">
        <v>0</v>
      </c>
      <c r="AY1162" s="150">
        <v>0</v>
      </c>
      <c r="AZ1162" s="150">
        <f t="shared" si="1064"/>
        <v>0</v>
      </c>
      <c r="BA1162" s="313">
        <v>0</v>
      </c>
      <c r="BB1162" s="210"/>
      <c r="BC1162" s="210"/>
      <c r="BD1162" s="210"/>
      <c r="BE1162" s="210"/>
      <c r="BF1162" s="210"/>
      <c r="BG1162" s="210"/>
      <c r="BH1162" s="217"/>
      <c r="BI1162" s="210"/>
      <c r="BJ1162" s="210"/>
      <c r="BK1162" s="210"/>
      <c r="BL1162" s="210"/>
      <c r="BM1162" s="208"/>
      <c r="BN1162" s="160"/>
      <c r="BO1162" s="161"/>
      <c r="BP1162" s="161"/>
    </row>
    <row r="1163" spans="1:68" ht="51">
      <c r="A1163" s="210"/>
      <c r="B1163" s="195" t="s">
        <v>7891</v>
      </c>
      <c r="C1163" s="196" t="s">
        <v>7892</v>
      </c>
      <c r="D1163" s="146" t="s">
        <v>4692</v>
      </c>
      <c r="E1163" s="196" t="s">
        <v>7892</v>
      </c>
      <c r="F1163" s="150">
        <v>0</v>
      </c>
      <c r="G1163" s="209">
        <v>0</v>
      </c>
      <c r="H1163" s="209">
        <v>0</v>
      </c>
      <c r="I1163" s="209">
        <v>0</v>
      </c>
      <c r="J1163" s="150">
        <v>0</v>
      </c>
      <c r="K1163" s="150">
        <v>0</v>
      </c>
      <c r="L1163" s="150">
        <f t="shared" si="1066"/>
        <v>0</v>
      </c>
      <c r="M1163" s="150">
        <v>0</v>
      </c>
      <c r="N1163" s="150">
        <v>0</v>
      </c>
      <c r="O1163" s="150">
        <v>0</v>
      </c>
      <c r="P1163" s="150">
        <v>0</v>
      </c>
      <c r="Q1163" s="150">
        <v>0</v>
      </c>
      <c r="R1163" s="313">
        <f t="shared" si="1053"/>
        <v>0</v>
      </c>
      <c r="S1163" s="150">
        <f t="shared" si="1065"/>
        <v>0</v>
      </c>
      <c r="T1163" s="150"/>
      <c r="U1163" s="150">
        <v>0</v>
      </c>
      <c r="V1163" s="199">
        <v>0</v>
      </c>
      <c r="W1163" s="150">
        <f t="shared" si="1059"/>
        <v>0</v>
      </c>
      <c r="X1163" s="150">
        <v>0</v>
      </c>
      <c r="Y1163" s="150">
        <v>0</v>
      </c>
      <c r="Z1163" s="150">
        <v>0</v>
      </c>
      <c r="AA1163" s="150">
        <f t="shared" si="1060"/>
        <v>0</v>
      </c>
      <c r="AB1163" s="150">
        <v>0</v>
      </c>
      <c r="AC1163" s="199">
        <v>0</v>
      </c>
      <c r="AD1163" s="150">
        <f t="shared" si="1054"/>
        <v>0</v>
      </c>
      <c r="AE1163" s="150">
        <v>0</v>
      </c>
      <c r="AF1163" s="169" t="s">
        <v>4680</v>
      </c>
      <c r="AG1163" s="201">
        <v>0</v>
      </c>
      <c r="AH1163" s="199">
        <v>0</v>
      </c>
      <c r="AI1163" s="150">
        <v>0</v>
      </c>
      <c r="AJ1163" s="169">
        <f t="shared" si="1061"/>
        <v>0</v>
      </c>
      <c r="AK1163" s="201">
        <v>0</v>
      </c>
      <c r="AL1163" s="199">
        <v>0</v>
      </c>
      <c r="AM1163" s="150">
        <f t="shared" si="1055"/>
        <v>0</v>
      </c>
      <c r="AN1163" s="153">
        <f t="shared" si="1062"/>
        <v>0</v>
      </c>
      <c r="AO1163" s="154">
        <f t="shared" si="1063"/>
        <v>0</v>
      </c>
      <c r="AP1163" s="150">
        <v>0</v>
      </c>
      <c r="AQ1163" s="201">
        <v>0</v>
      </c>
      <c r="AR1163" s="199">
        <v>0</v>
      </c>
      <c r="AS1163" s="150">
        <f t="shared" si="1056"/>
        <v>0</v>
      </c>
      <c r="AT1163" s="155"/>
      <c r="AU1163" s="156">
        <f t="shared" si="1057"/>
        <v>0</v>
      </c>
      <c r="AV1163" s="156">
        <f t="shared" si="1058"/>
        <v>0</v>
      </c>
      <c r="AW1163" s="157"/>
      <c r="AX1163" s="150">
        <v>0</v>
      </c>
      <c r="AY1163" s="150">
        <v>0</v>
      </c>
      <c r="AZ1163" s="150">
        <f t="shared" si="1064"/>
        <v>0</v>
      </c>
      <c r="BA1163" s="313">
        <v>0</v>
      </c>
      <c r="BB1163" s="210"/>
      <c r="BC1163" s="210"/>
      <c r="BD1163" s="210"/>
      <c r="BE1163" s="210"/>
      <c r="BF1163" s="210"/>
      <c r="BG1163" s="210"/>
      <c r="BH1163" s="217"/>
      <c r="BI1163" s="210"/>
      <c r="BJ1163" s="210"/>
      <c r="BK1163" s="210"/>
      <c r="BL1163" s="210"/>
      <c r="BM1163" s="208"/>
      <c r="BN1163" s="160"/>
      <c r="BO1163" s="161"/>
      <c r="BP1163" s="161"/>
    </row>
    <row r="1164" spans="1:68" ht="38.25">
      <c r="A1164" s="210"/>
      <c r="B1164" s="195" t="s">
        <v>7893</v>
      </c>
      <c r="C1164" s="196" t="s">
        <v>7894</v>
      </c>
      <c r="D1164" s="146" t="s">
        <v>4692</v>
      </c>
      <c r="E1164" s="196" t="s">
        <v>7894</v>
      </c>
      <c r="F1164" s="150">
        <v>0</v>
      </c>
      <c r="G1164" s="209">
        <v>0</v>
      </c>
      <c r="H1164" s="209">
        <v>0</v>
      </c>
      <c r="I1164" s="209">
        <v>0</v>
      </c>
      <c r="J1164" s="150">
        <v>0</v>
      </c>
      <c r="K1164" s="150">
        <v>0</v>
      </c>
      <c r="L1164" s="150">
        <f t="shared" si="1066"/>
        <v>0</v>
      </c>
      <c r="M1164" s="150">
        <v>0</v>
      </c>
      <c r="N1164" s="150">
        <v>0</v>
      </c>
      <c r="O1164" s="150">
        <v>0</v>
      </c>
      <c r="P1164" s="150">
        <v>0</v>
      </c>
      <c r="Q1164" s="150">
        <v>0</v>
      </c>
      <c r="R1164" s="313">
        <f t="shared" si="1053"/>
        <v>0</v>
      </c>
      <c r="S1164" s="150">
        <f t="shared" si="1065"/>
        <v>0</v>
      </c>
      <c r="T1164" s="150"/>
      <c r="U1164" s="150">
        <v>0</v>
      </c>
      <c r="V1164" s="199">
        <v>0</v>
      </c>
      <c r="W1164" s="150">
        <f t="shared" si="1059"/>
        <v>0</v>
      </c>
      <c r="X1164" s="150">
        <v>0</v>
      </c>
      <c r="Y1164" s="150">
        <v>0</v>
      </c>
      <c r="Z1164" s="150">
        <v>0</v>
      </c>
      <c r="AA1164" s="150">
        <f t="shared" si="1060"/>
        <v>0</v>
      </c>
      <c r="AB1164" s="150">
        <v>0</v>
      </c>
      <c r="AC1164" s="199">
        <v>0</v>
      </c>
      <c r="AD1164" s="150">
        <f t="shared" si="1054"/>
        <v>0</v>
      </c>
      <c r="AE1164" s="150">
        <v>0</v>
      </c>
      <c r="AF1164" s="169" t="s">
        <v>4680</v>
      </c>
      <c r="AG1164" s="201">
        <v>0</v>
      </c>
      <c r="AH1164" s="199">
        <v>0</v>
      </c>
      <c r="AI1164" s="150">
        <v>0</v>
      </c>
      <c r="AJ1164" s="169">
        <f t="shared" si="1061"/>
        <v>0</v>
      </c>
      <c r="AK1164" s="201">
        <v>0</v>
      </c>
      <c r="AL1164" s="199">
        <v>0</v>
      </c>
      <c r="AM1164" s="150">
        <f t="shared" si="1055"/>
        <v>0</v>
      </c>
      <c r="AN1164" s="153">
        <f t="shared" si="1062"/>
        <v>0</v>
      </c>
      <c r="AO1164" s="154">
        <f t="shared" si="1063"/>
        <v>0</v>
      </c>
      <c r="AP1164" s="150">
        <v>0</v>
      </c>
      <c r="AQ1164" s="201">
        <v>0</v>
      </c>
      <c r="AR1164" s="199">
        <v>0</v>
      </c>
      <c r="AS1164" s="150">
        <f t="shared" si="1056"/>
        <v>0</v>
      </c>
      <c r="AT1164" s="155"/>
      <c r="AU1164" s="156">
        <f t="shared" si="1057"/>
        <v>0</v>
      </c>
      <c r="AV1164" s="156">
        <f t="shared" si="1058"/>
        <v>0</v>
      </c>
      <c r="AW1164" s="157"/>
      <c r="AX1164" s="150">
        <v>0</v>
      </c>
      <c r="AY1164" s="150">
        <v>0</v>
      </c>
      <c r="AZ1164" s="150">
        <f t="shared" si="1064"/>
        <v>0</v>
      </c>
      <c r="BA1164" s="313">
        <v>0</v>
      </c>
      <c r="BB1164" s="210"/>
      <c r="BC1164" s="210"/>
      <c r="BD1164" s="210"/>
      <c r="BE1164" s="210"/>
      <c r="BF1164" s="210"/>
      <c r="BG1164" s="210"/>
      <c r="BH1164" s="217"/>
      <c r="BI1164" s="210"/>
      <c r="BJ1164" s="210"/>
      <c r="BK1164" s="210"/>
      <c r="BL1164" s="210"/>
      <c r="BM1164" s="208"/>
      <c r="BN1164" s="160"/>
      <c r="BO1164" s="161"/>
      <c r="BP1164" s="161"/>
    </row>
    <row r="1165" spans="1:68" ht="51">
      <c r="A1165" s="210"/>
      <c r="B1165" s="195" t="s">
        <v>7895</v>
      </c>
      <c r="C1165" s="196" t="s">
        <v>7896</v>
      </c>
      <c r="D1165" s="146" t="s">
        <v>4692</v>
      </c>
      <c r="E1165" s="196" t="s">
        <v>7896</v>
      </c>
      <c r="F1165" s="150">
        <v>0</v>
      </c>
      <c r="G1165" s="209">
        <v>0</v>
      </c>
      <c r="H1165" s="209">
        <v>0</v>
      </c>
      <c r="I1165" s="209">
        <v>0</v>
      </c>
      <c r="J1165" s="150">
        <v>0</v>
      </c>
      <c r="K1165" s="150">
        <v>0</v>
      </c>
      <c r="L1165" s="150">
        <f t="shared" si="1066"/>
        <v>0</v>
      </c>
      <c r="M1165" s="150">
        <v>0</v>
      </c>
      <c r="N1165" s="150">
        <v>0</v>
      </c>
      <c r="O1165" s="150">
        <v>0</v>
      </c>
      <c r="P1165" s="150">
        <v>0</v>
      </c>
      <c r="Q1165" s="150">
        <v>0</v>
      </c>
      <c r="R1165" s="313">
        <f t="shared" si="1053"/>
        <v>0</v>
      </c>
      <c r="S1165" s="150">
        <f t="shared" si="1065"/>
        <v>0</v>
      </c>
      <c r="T1165" s="150"/>
      <c r="U1165" s="150">
        <v>0</v>
      </c>
      <c r="V1165" s="199">
        <v>0</v>
      </c>
      <c r="W1165" s="150">
        <f t="shared" si="1059"/>
        <v>0</v>
      </c>
      <c r="X1165" s="150">
        <v>0</v>
      </c>
      <c r="Y1165" s="150">
        <v>0</v>
      </c>
      <c r="Z1165" s="150">
        <v>0</v>
      </c>
      <c r="AA1165" s="150">
        <f t="shared" si="1060"/>
        <v>0</v>
      </c>
      <c r="AB1165" s="150">
        <v>0</v>
      </c>
      <c r="AC1165" s="199">
        <v>0</v>
      </c>
      <c r="AD1165" s="150">
        <f t="shared" si="1054"/>
        <v>0</v>
      </c>
      <c r="AE1165" s="150">
        <v>0</v>
      </c>
      <c r="AF1165" s="169" t="s">
        <v>4680</v>
      </c>
      <c r="AG1165" s="201">
        <v>0</v>
      </c>
      <c r="AH1165" s="199">
        <v>0</v>
      </c>
      <c r="AI1165" s="150">
        <v>0</v>
      </c>
      <c r="AJ1165" s="169">
        <f t="shared" si="1061"/>
        <v>0</v>
      </c>
      <c r="AK1165" s="201">
        <v>0</v>
      </c>
      <c r="AL1165" s="199">
        <v>0</v>
      </c>
      <c r="AM1165" s="150">
        <f t="shared" si="1055"/>
        <v>0</v>
      </c>
      <c r="AN1165" s="153">
        <f t="shared" si="1062"/>
        <v>0</v>
      </c>
      <c r="AO1165" s="154">
        <f t="shared" si="1063"/>
        <v>0</v>
      </c>
      <c r="AP1165" s="150">
        <v>0</v>
      </c>
      <c r="AQ1165" s="201">
        <v>0</v>
      </c>
      <c r="AR1165" s="199">
        <v>0</v>
      </c>
      <c r="AS1165" s="150">
        <f t="shared" si="1056"/>
        <v>0</v>
      </c>
      <c r="AT1165" s="155"/>
      <c r="AU1165" s="156">
        <f t="shared" si="1057"/>
        <v>0</v>
      </c>
      <c r="AV1165" s="156">
        <f t="shared" si="1058"/>
        <v>0</v>
      </c>
      <c r="AW1165" s="157"/>
      <c r="AX1165" s="150">
        <v>0</v>
      </c>
      <c r="AY1165" s="150">
        <v>0</v>
      </c>
      <c r="AZ1165" s="150">
        <f t="shared" si="1064"/>
        <v>0</v>
      </c>
      <c r="BA1165" s="313">
        <v>0</v>
      </c>
      <c r="BB1165" s="210"/>
      <c r="BC1165" s="210"/>
      <c r="BD1165" s="210"/>
      <c r="BE1165" s="210"/>
      <c r="BF1165" s="210"/>
      <c r="BG1165" s="210"/>
      <c r="BH1165" s="217"/>
      <c r="BI1165" s="210"/>
      <c r="BJ1165" s="210"/>
      <c r="BK1165" s="210"/>
      <c r="BL1165" s="210"/>
      <c r="BM1165" s="208"/>
      <c r="BN1165" s="160"/>
      <c r="BO1165" s="161"/>
      <c r="BP1165" s="161"/>
    </row>
    <row r="1166" spans="1:68" ht="51">
      <c r="A1166" s="210"/>
      <c r="B1166" s="195" t="s">
        <v>7897</v>
      </c>
      <c r="C1166" s="196" t="s">
        <v>7898</v>
      </c>
      <c r="D1166" s="146" t="s">
        <v>4692</v>
      </c>
      <c r="E1166" s="196" t="s">
        <v>7898</v>
      </c>
      <c r="F1166" s="150">
        <v>0</v>
      </c>
      <c r="G1166" s="209">
        <v>990.72</v>
      </c>
      <c r="H1166" s="209">
        <v>0</v>
      </c>
      <c r="I1166" s="209">
        <v>990.72</v>
      </c>
      <c r="J1166" s="150">
        <v>0</v>
      </c>
      <c r="K1166" s="150">
        <v>0</v>
      </c>
      <c r="L1166" s="150">
        <f t="shared" si="1066"/>
        <v>0</v>
      </c>
      <c r="M1166" s="150">
        <v>0</v>
      </c>
      <c r="N1166" s="150">
        <v>0</v>
      </c>
      <c r="O1166" s="150">
        <v>0</v>
      </c>
      <c r="P1166" s="150">
        <v>0</v>
      </c>
      <c r="Q1166" s="150">
        <v>0</v>
      </c>
      <c r="R1166" s="313">
        <f t="shared" si="1053"/>
        <v>0</v>
      </c>
      <c r="S1166" s="150">
        <f t="shared" si="1065"/>
        <v>0</v>
      </c>
      <c r="T1166" s="150"/>
      <c r="U1166" s="150">
        <v>0</v>
      </c>
      <c r="V1166" s="199">
        <v>0</v>
      </c>
      <c r="W1166" s="150">
        <f t="shared" si="1059"/>
        <v>0</v>
      </c>
      <c r="X1166" s="150">
        <v>0</v>
      </c>
      <c r="Y1166" s="150">
        <v>0</v>
      </c>
      <c r="Z1166" s="150">
        <v>0</v>
      </c>
      <c r="AA1166" s="150">
        <f t="shared" si="1060"/>
        <v>0</v>
      </c>
      <c r="AB1166" s="150">
        <v>0</v>
      </c>
      <c r="AC1166" s="199">
        <v>0</v>
      </c>
      <c r="AD1166" s="150">
        <f t="shared" si="1054"/>
        <v>0</v>
      </c>
      <c r="AE1166" s="150">
        <v>0</v>
      </c>
      <c r="AF1166" s="169" t="s">
        <v>4680</v>
      </c>
      <c r="AG1166" s="201">
        <v>0</v>
      </c>
      <c r="AH1166" s="199">
        <v>0</v>
      </c>
      <c r="AI1166" s="150">
        <v>0</v>
      </c>
      <c r="AJ1166" s="169">
        <f t="shared" si="1061"/>
        <v>0</v>
      </c>
      <c r="AK1166" s="201">
        <v>0</v>
      </c>
      <c r="AL1166" s="199">
        <v>0</v>
      </c>
      <c r="AM1166" s="150">
        <f t="shared" si="1055"/>
        <v>0</v>
      </c>
      <c r="AN1166" s="153">
        <f t="shared" si="1062"/>
        <v>0</v>
      </c>
      <c r="AO1166" s="154">
        <f t="shared" si="1063"/>
        <v>0</v>
      </c>
      <c r="AP1166" s="150">
        <v>0</v>
      </c>
      <c r="AQ1166" s="201">
        <v>0</v>
      </c>
      <c r="AR1166" s="199">
        <v>0</v>
      </c>
      <c r="AS1166" s="150">
        <f t="shared" si="1056"/>
        <v>0</v>
      </c>
      <c r="AT1166" s="155"/>
      <c r="AU1166" s="156">
        <f t="shared" si="1057"/>
        <v>0</v>
      </c>
      <c r="AV1166" s="156">
        <f t="shared" si="1058"/>
        <v>0</v>
      </c>
      <c r="AW1166" s="157"/>
      <c r="AX1166" s="150">
        <v>0</v>
      </c>
      <c r="AY1166" s="150">
        <v>0</v>
      </c>
      <c r="AZ1166" s="150">
        <f t="shared" si="1064"/>
        <v>0</v>
      </c>
      <c r="BA1166" s="313">
        <v>0</v>
      </c>
      <c r="BB1166" s="210"/>
      <c r="BC1166" s="210"/>
      <c r="BD1166" s="210"/>
      <c r="BE1166" s="210"/>
      <c r="BF1166" s="210"/>
      <c r="BG1166" s="210"/>
      <c r="BH1166" s="217"/>
      <c r="BI1166" s="210"/>
      <c r="BJ1166" s="210"/>
      <c r="BK1166" s="210"/>
      <c r="BL1166" s="210"/>
      <c r="BM1166" s="208"/>
      <c r="BN1166" s="160"/>
      <c r="BO1166" s="161"/>
      <c r="BP1166" s="161"/>
    </row>
    <row r="1167" spans="1:68" ht="51">
      <c r="A1167" s="210"/>
      <c r="B1167" s="195" t="s">
        <v>7899</v>
      </c>
      <c r="C1167" s="196" t="s">
        <v>7900</v>
      </c>
      <c r="D1167" s="146" t="s">
        <v>4692</v>
      </c>
      <c r="E1167" s="196" t="s">
        <v>7900</v>
      </c>
      <c r="F1167" s="150">
        <v>990.72</v>
      </c>
      <c r="G1167" s="209">
        <v>836.5</v>
      </c>
      <c r="H1167" s="209">
        <v>0</v>
      </c>
      <c r="I1167" s="209">
        <v>836.5</v>
      </c>
      <c r="J1167" s="150">
        <v>0</v>
      </c>
      <c r="K1167" s="150">
        <v>0</v>
      </c>
      <c r="L1167" s="150">
        <f t="shared" si="1066"/>
        <v>0</v>
      </c>
      <c r="M1167" s="150">
        <v>0</v>
      </c>
      <c r="N1167" s="150">
        <v>0</v>
      </c>
      <c r="O1167" s="150">
        <v>0</v>
      </c>
      <c r="P1167" s="150">
        <v>0</v>
      </c>
      <c r="Q1167" s="150">
        <v>0</v>
      </c>
      <c r="R1167" s="313">
        <f t="shared" si="1053"/>
        <v>0</v>
      </c>
      <c r="S1167" s="150">
        <f t="shared" si="1065"/>
        <v>0</v>
      </c>
      <c r="T1167" s="150"/>
      <c r="U1167" s="150">
        <v>0</v>
      </c>
      <c r="V1167" s="199">
        <v>0</v>
      </c>
      <c r="W1167" s="150">
        <f t="shared" si="1059"/>
        <v>0</v>
      </c>
      <c r="X1167" s="150">
        <v>0</v>
      </c>
      <c r="Y1167" s="150">
        <v>0</v>
      </c>
      <c r="Z1167" s="150">
        <v>0</v>
      </c>
      <c r="AA1167" s="150">
        <f t="shared" si="1060"/>
        <v>0</v>
      </c>
      <c r="AB1167" s="150">
        <v>0</v>
      </c>
      <c r="AC1167" s="199">
        <v>0</v>
      </c>
      <c r="AD1167" s="150">
        <f t="shared" si="1054"/>
        <v>0</v>
      </c>
      <c r="AE1167" s="150">
        <v>0</v>
      </c>
      <c r="AF1167" s="169" t="s">
        <v>4680</v>
      </c>
      <c r="AG1167" s="201">
        <v>0</v>
      </c>
      <c r="AH1167" s="199">
        <v>0</v>
      </c>
      <c r="AI1167" s="150">
        <v>0</v>
      </c>
      <c r="AJ1167" s="169">
        <f t="shared" si="1061"/>
        <v>0</v>
      </c>
      <c r="AK1167" s="201">
        <v>0</v>
      </c>
      <c r="AL1167" s="199">
        <v>0</v>
      </c>
      <c r="AM1167" s="150">
        <f t="shared" si="1055"/>
        <v>0</v>
      </c>
      <c r="AN1167" s="153">
        <f t="shared" si="1062"/>
        <v>0</v>
      </c>
      <c r="AO1167" s="154">
        <f t="shared" si="1063"/>
        <v>0</v>
      </c>
      <c r="AP1167" s="150">
        <v>0</v>
      </c>
      <c r="AQ1167" s="201">
        <v>0</v>
      </c>
      <c r="AR1167" s="199">
        <v>0</v>
      </c>
      <c r="AS1167" s="150">
        <f t="shared" si="1056"/>
        <v>0</v>
      </c>
      <c r="AT1167" s="155"/>
      <c r="AU1167" s="156">
        <f t="shared" si="1057"/>
        <v>0</v>
      </c>
      <c r="AV1167" s="156">
        <f t="shared" si="1058"/>
        <v>0</v>
      </c>
      <c r="AW1167" s="157"/>
      <c r="AX1167" s="150">
        <v>0</v>
      </c>
      <c r="AY1167" s="150">
        <v>0</v>
      </c>
      <c r="AZ1167" s="150">
        <f t="shared" si="1064"/>
        <v>0</v>
      </c>
      <c r="BA1167" s="313">
        <v>0</v>
      </c>
      <c r="BB1167" s="210"/>
      <c r="BC1167" s="210"/>
      <c r="BD1167" s="210"/>
      <c r="BE1167" s="210"/>
      <c r="BF1167" s="210"/>
      <c r="BG1167" s="210"/>
      <c r="BH1167" s="217"/>
      <c r="BI1167" s="210"/>
      <c r="BJ1167" s="210"/>
      <c r="BK1167" s="210"/>
      <c r="BL1167" s="210"/>
      <c r="BM1167" s="208"/>
      <c r="BN1167" s="160"/>
      <c r="BO1167" s="161"/>
      <c r="BP1167" s="161"/>
    </row>
    <row r="1168" spans="1:68" ht="51">
      <c r="A1168" s="210"/>
      <c r="B1168" s="195" t="s">
        <v>7901</v>
      </c>
      <c r="C1168" s="196" t="s">
        <v>7902</v>
      </c>
      <c r="D1168" s="146" t="s">
        <v>4692</v>
      </c>
      <c r="E1168" s="196" t="s">
        <v>7902</v>
      </c>
      <c r="F1168" s="150">
        <v>836.5</v>
      </c>
      <c r="G1168" s="209">
        <v>-158.65</v>
      </c>
      <c r="H1168" s="209">
        <v>0</v>
      </c>
      <c r="I1168" s="209">
        <v>-158.65</v>
      </c>
      <c r="J1168" s="150">
        <v>0</v>
      </c>
      <c r="K1168" s="150">
        <v>0</v>
      </c>
      <c r="L1168" s="150">
        <f t="shared" si="1066"/>
        <v>0</v>
      </c>
      <c r="M1168" s="150">
        <v>0</v>
      </c>
      <c r="N1168" s="150">
        <v>0</v>
      </c>
      <c r="O1168" s="150">
        <v>0</v>
      </c>
      <c r="P1168" s="150">
        <v>0</v>
      </c>
      <c r="Q1168" s="150">
        <v>0</v>
      </c>
      <c r="R1168" s="313">
        <f t="shared" si="1053"/>
        <v>0</v>
      </c>
      <c r="S1168" s="150">
        <f t="shared" si="1065"/>
        <v>0</v>
      </c>
      <c r="T1168" s="150"/>
      <c r="U1168" s="150">
        <v>0</v>
      </c>
      <c r="V1168" s="199">
        <v>0</v>
      </c>
      <c r="W1168" s="150">
        <f t="shared" si="1059"/>
        <v>0</v>
      </c>
      <c r="X1168" s="150">
        <v>0</v>
      </c>
      <c r="Y1168" s="150">
        <v>0</v>
      </c>
      <c r="Z1168" s="150">
        <v>0</v>
      </c>
      <c r="AA1168" s="150">
        <f t="shared" si="1060"/>
        <v>0</v>
      </c>
      <c r="AB1168" s="150">
        <v>0</v>
      </c>
      <c r="AC1168" s="199">
        <v>0</v>
      </c>
      <c r="AD1168" s="150">
        <f t="shared" si="1054"/>
        <v>0</v>
      </c>
      <c r="AE1168" s="150">
        <v>0</v>
      </c>
      <c r="AF1168" s="169" t="s">
        <v>4680</v>
      </c>
      <c r="AG1168" s="201">
        <v>0</v>
      </c>
      <c r="AH1168" s="199">
        <v>0</v>
      </c>
      <c r="AI1168" s="150">
        <v>0</v>
      </c>
      <c r="AJ1168" s="169">
        <f t="shared" si="1061"/>
        <v>0</v>
      </c>
      <c r="AK1168" s="201">
        <v>0</v>
      </c>
      <c r="AL1168" s="199">
        <v>0</v>
      </c>
      <c r="AM1168" s="150">
        <f t="shared" si="1055"/>
        <v>0</v>
      </c>
      <c r="AN1168" s="153">
        <f t="shared" si="1062"/>
        <v>0</v>
      </c>
      <c r="AO1168" s="154">
        <f t="shared" si="1063"/>
        <v>0</v>
      </c>
      <c r="AP1168" s="150">
        <v>0</v>
      </c>
      <c r="AQ1168" s="201">
        <v>0</v>
      </c>
      <c r="AR1168" s="199">
        <v>0</v>
      </c>
      <c r="AS1168" s="150">
        <f t="shared" si="1056"/>
        <v>0</v>
      </c>
      <c r="AT1168" s="155"/>
      <c r="AU1168" s="156">
        <f t="shared" si="1057"/>
        <v>0</v>
      </c>
      <c r="AV1168" s="156">
        <f t="shared" si="1058"/>
        <v>0</v>
      </c>
      <c r="AW1168" s="157"/>
      <c r="AX1168" s="150">
        <v>0</v>
      </c>
      <c r="AY1168" s="150">
        <v>0</v>
      </c>
      <c r="AZ1168" s="150">
        <f t="shared" si="1064"/>
        <v>0</v>
      </c>
      <c r="BA1168" s="313">
        <v>0</v>
      </c>
      <c r="BB1168" s="210"/>
      <c r="BC1168" s="210"/>
      <c r="BD1168" s="210"/>
      <c r="BE1168" s="210"/>
      <c r="BF1168" s="210"/>
      <c r="BG1168" s="210"/>
      <c r="BH1168" s="217"/>
      <c r="BI1168" s="210"/>
      <c r="BJ1168" s="210"/>
      <c r="BK1168" s="210"/>
      <c r="BL1168" s="210"/>
      <c r="BM1168" s="208"/>
      <c r="BN1168" s="160"/>
      <c r="BO1168" s="161"/>
      <c r="BP1168" s="161"/>
    </row>
    <row r="1169" spans="1:68" ht="51">
      <c r="A1169" s="210"/>
      <c r="B1169" s="195" t="s">
        <v>7903</v>
      </c>
      <c r="C1169" s="196" t="s">
        <v>7904</v>
      </c>
      <c r="D1169" s="146" t="s">
        <v>4692</v>
      </c>
      <c r="E1169" s="196" t="s">
        <v>7905</v>
      </c>
      <c r="F1169" s="150">
        <v>-158.65</v>
      </c>
      <c r="G1169" s="209">
        <v>420624.01</v>
      </c>
      <c r="H1169" s="209">
        <v>-312847.43</v>
      </c>
      <c r="I1169" s="209">
        <v>107776.58000000002</v>
      </c>
      <c r="J1169" s="150">
        <v>0</v>
      </c>
      <c r="K1169" s="150">
        <v>0</v>
      </c>
      <c r="L1169" s="150">
        <f t="shared" si="1066"/>
        <v>0</v>
      </c>
      <c r="M1169" s="150">
        <v>0</v>
      </c>
      <c r="N1169" s="150">
        <v>0</v>
      </c>
      <c r="O1169" s="150">
        <v>0</v>
      </c>
      <c r="P1169" s="150">
        <v>0</v>
      </c>
      <c r="Q1169" s="150">
        <v>0</v>
      </c>
      <c r="R1169" s="313">
        <f t="shared" si="1053"/>
        <v>0</v>
      </c>
      <c r="S1169" s="150">
        <f t="shared" si="1065"/>
        <v>0</v>
      </c>
      <c r="T1169" s="150"/>
      <c r="U1169" s="150">
        <v>0</v>
      </c>
      <c r="V1169" s="199">
        <v>0</v>
      </c>
      <c r="W1169" s="150">
        <f t="shared" si="1059"/>
        <v>0</v>
      </c>
      <c r="X1169" s="150">
        <v>0</v>
      </c>
      <c r="Y1169" s="150">
        <v>0</v>
      </c>
      <c r="Z1169" s="150">
        <v>0</v>
      </c>
      <c r="AA1169" s="150">
        <f t="shared" si="1060"/>
        <v>0</v>
      </c>
      <c r="AB1169" s="150">
        <v>0</v>
      </c>
      <c r="AC1169" s="199">
        <v>0</v>
      </c>
      <c r="AD1169" s="150">
        <f t="shared" si="1054"/>
        <v>0</v>
      </c>
      <c r="AE1169" s="150">
        <v>0</v>
      </c>
      <c r="AF1169" s="169" t="s">
        <v>4680</v>
      </c>
      <c r="AG1169" s="201">
        <v>0</v>
      </c>
      <c r="AH1169" s="199">
        <v>0</v>
      </c>
      <c r="AI1169" s="150">
        <v>0</v>
      </c>
      <c r="AJ1169" s="169">
        <f t="shared" si="1061"/>
        <v>0</v>
      </c>
      <c r="AK1169" s="201">
        <v>0</v>
      </c>
      <c r="AL1169" s="199">
        <v>0</v>
      </c>
      <c r="AM1169" s="150">
        <f t="shared" si="1055"/>
        <v>0</v>
      </c>
      <c r="AN1169" s="153">
        <f t="shared" si="1062"/>
        <v>2422.16</v>
      </c>
      <c r="AO1169" s="154">
        <f t="shared" si="1063"/>
        <v>2422.16</v>
      </c>
      <c r="AP1169" s="150">
        <v>0</v>
      </c>
      <c r="AQ1169" s="201">
        <v>2422.16</v>
      </c>
      <c r="AR1169" s="199">
        <v>0</v>
      </c>
      <c r="AS1169" s="150">
        <f t="shared" si="1056"/>
        <v>2422.16</v>
      </c>
      <c r="AT1169" s="155"/>
      <c r="AU1169" s="156">
        <f t="shared" si="1057"/>
        <v>0</v>
      </c>
      <c r="AV1169" s="156">
        <f t="shared" si="1058"/>
        <v>0</v>
      </c>
      <c r="AW1169" s="157"/>
      <c r="AX1169" s="150">
        <v>0</v>
      </c>
      <c r="AY1169" s="150">
        <v>0</v>
      </c>
      <c r="AZ1169" s="150">
        <f t="shared" si="1064"/>
        <v>0</v>
      </c>
      <c r="BA1169" s="313">
        <v>0</v>
      </c>
      <c r="BB1169" s="210"/>
      <c r="BC1169" s="210"/>
      <c r="BD1169" s="210"/>
      <c r="BE1169" s="210"/>
      <c r="BF1169" s="210"/>
      <c r="BG1169" s="210"/>
      <c r="BH1169" s="217"/>
      <c r="BI1169" s="210"/>
      <c r="BJ1169" s="210"/>
      <c r="BK1169" s="210"/>
      <c r="BL1169" s="210"/>
      <c r="BM1169" s="208"/>
      <c r="BN1169" s="160"/>
      <c r="BO1169" s="161"/>
      <c r="BP1169" s="161"/>
    </row>
    <row r="1170" spans="1:68" ht="38.25">
      <c r="A1170" s="210"/>
      <c r="B1170" s="195" t="s">
        <v>7906</v>
      </c>
      <c r="C1170" s="196" t="s">
        <v>7907</v>
      </c>
      <c r="D1170" s="146" t="s">
        <v>4692</v>
      </c>
      <c r="E1170" s="196" t="s">
        <v>7908</v>
      </c>
      <c r="F1170" s="150">
        <v>17770.46</v>
      </c>
      <c r="G1170" s="209">
        <v>941523.68</v>
      </c>
      <c r="H1170" s="209">
        <v>-422640.77</v>
      </c>
      <c r="I1170" s="209">
        <v>518882.91000000003</v>
      </c>
      <c r="J1170" s="150">
        <v>244699.85</v>
      </c>
      <c r="K1170" s="150">
        <v>0</v>
      </c>
      <c r="L1170" s="150">
        <f t="shared" si="1066"/>
        <v>244699.85</v>
      </c>
      <c r="M1170" s="150">
        <v>358217.41</v>
      </c>
      <c r="N1170" s="150">
        <v>-206101.39</v>
      </c>
      <c r="O1170" s="150">
        <v>152116.01999999996</v>
      </c>
      <c r="P1170" s="150">
        <v>473154.06</v>
      </c>
      <c r="Q1170" s="150">
        <v>-314219</v>
      </c>
      <c r="R1170" s="313">
        <f t="shared" si="1053"/>
        <v>158935.06</v>
      </c>
      <c r="S1170" s="150">
        <f t="shared" si="1065"/>
        <v>211913.41333333333</v>
      </c>
      <c r="T1170" s="150"/>
      <c r="U1170" s="150">
        <v>618067.87</v>
      </c>
      <c r="V1170" s="199">
        <v>-200000</v>
      </c>
      <c r="W1170" s="150">
        <f t="shared" si="1059"/>
        <v>418067.87</v>
      </c>
      <c r="X1170" s="150">
        <v>618067.87</v>
      </c>
      <c r="Y1170" s="150">
        <v>-200000</v>
      </c>
      <c r="Z1170" s="150">
        <v>418067.87</v>
      </c>
      <c r="AA1170" s="150">
        <f t="shared" si="1060"/>
        <v>-215513</v>
      </c>
      <c r="AB1170" s="150">
        <v>618067.87</v>
      </c>
      <c r="AC1170" s="199">
        <v>-415513</v>
      </c>
      <c r="AD1170" s="150">
        <f t="shared" si="1054"/>
        <v>202554.87</v>
      </c>
      <c r="AE1170" s="150">
        <v>202554.87</v>
      </c>
      <c r="AF1170" s="169" t="s">
        <v>4680</v>
      </c>
      <c r="AG1170" s="201">
        <v>618067.87</v>
      </c>
      <c r="AH1170" s="199">
        <v>-415513</v>
      </c>
      <c r="AI1170" s="150">
        <v>202554.87</v>
      </c>
      <c r="AJ1170" s="169">
        <f t="shared" si="1061"/>
        <v>0</v>
      </c>
      <c r="AK1170" s="201">
        <v>618067.87</v>
      </c>
      <c r="AL1170" s="199">
        <v>-415513</v>
      </c>
      <c r="AM1170" s="150">
        <f t="shared" si="1055"/>
        <v>202554.87</v>
      </c>
      <c r="AN1170" s="153">
        <f t="shared" si="1062"/>
        <v>176239.44</v>
      </c>
      <c r="AO1170" s="154">
        <f t="shared" si="1063"/>
        <v>176239.44</v>
      </c>
      <c r="AP1170" s="150">
        <v>202554.87</v>
      </c>
      <c r="AQ1170" s="201">
        <v>378794.31</v>
      </c>
      <c r="AR1170" s="199"/>
      <c r="AS1170" s="150">
        <f t="shared" si="1056"/>
        <v>378794.31</v>
      </c>
      <c r="AT1170" s="155"/>
      <c r="AU1170" s="156">
        <f t="shared" si="1057"/>
        <v>0</v>
      </c>
      <c r="AV1170" s="156">
        <f t="shared" si="1058"/>
        <v>-215513</v>
      </c>
      <c r="AW1170" s="157"/>
      <c r="AX1170" s="150">
        <v>418067.87</v>
      </c>
      <c r="AY1170" s="150">
        <v>394928.64000000001</v>
      </c>
      <c r="AZ1170" s="150">
        <f t="shared" si="1064"/>
        <v>-90696.600000000093</v>
      </c>
      <c r="BA1170" s="313">
        <v>304232.03999999992</v>
      </c>
      <c r="BB1170" s="210"/>
      <c r="BC1170" s="210"/>
      <c r="BD1170" s="210"/>
      <c r="BE1170" s="210"/>
      <c r="BF1170" s="210"/>
      <c r="BG1170" s="210"/>
      <c r="BH1170" s="217"/>
      <c r="BI1170" s="210"/>
      <c r="BJ1170" s="210"/>
      <c r="BK1170" s="210"/>
      <c r="BL1170" s="210"/>
      <c r="BM1170" s="208"/>
      <c r="BN1170" s="160"/>
      <c r="BO1170" s="161"/>
      <c r="BP1170" s="161"/>
    </row>
    <row r="1171" spans="1:68" ht="51">
      <c r="A1171" s="210"/>
      <c r="B1171" s="195" t="s">
        <v>7909</v>
      </c>
      <c r="C1171" s="196" t="s">
        <v>7910</v>
      </c>
      <c r="D1171" s="146" t="s">
        <v>4692</v>
      </c>
      <c r="E1171" s="196" t="s">
        <v>7911</v>
      </c>
      <c r="F1171" s="150">
        <v>500634.14</v>
      </c>
      <c r="G1171" s="209">
        <v>0</v>
      </c>
      <c r="H1171" s="209">
        <v>0</v>
      </c>
      <c r="I1171" s="209">
        <v>0</v>
      </c>
      <c r="J1171" s="150">
        <v>493296.83</v>
      </c>
      <c r="K1171" s="150">
        <v>0</v>
      </c>
      <c r="L1171" s="150">
        <f t="shared" si="1066"/>
        <v>493296.83</v>
      </c>
      <c r="M1171" s="150">
        <v>707261.41</v>
      </c>
      <c r="N1171" s="150">
        <v>-147713.31999999995</v>
      </c>
      <c r="O1171" s="150">
        <v>559548.09000000008</v>
      </c>
      <c r="P1171" s="150">
        <v>917109.53</v>
      </c>
      <c r="Q1171" s="150">
        <v>-424981</v>
      </c>
      <c r="R1171" s="313">
        <f t="shared" si="1053"/>
        <v>492128.53</v>
      </c>
      <c r="S1171" s="150">
        <f t="shared" si="1065"/>
        <v>656171.37333333329</v>
      </c>
      <c r="T1171" s="150"/>
      <c r="U1171" s="150">
        <v>1170800.71</v>
      </c>
      <c r="V1171" s="199">
        <v>-196764.49</v>
      </c>
      <c r="W1171" s="150">
        <f t="shared" si="1059"/>
        <v>974036.22</v>
      </c>
      <c r="X1171" s="150">
        <v>1170800.71</v>
      </c>
      <c r="Y1171" s="150">
        <v>-196764.49</v>
      </c>
      <c r="Z1171" s="150">
        <v>974036.22</v>
      </c>
      <c r="AA1171" s="150">
        <f t="shared" si="1060"/>
        <v>-110205.51000000001</v>
      </c>
      <c r="AB1171" s="150">
        <v>1170800.71</v>
      </c>
      <c r="AC1171" s="199">
        <v>-306970</v>
      </c>
      <c r="AD1171" s="150">
        <f t="shared" si="1054"/>
        <v>863830.71</v>
      </c>
      <c r="AE1171" s="150">
        <v>863830.71</v>
      </c>
      <c r="AF1171" s="169" t="s">
        <v>4680</v>
      </c>
      <c r="AG1171" s="201">
        <v>1170800.71</v>
      </c>
      <c r="AH1171" s="199">
        <v>-306970</v>
      </c>
      <c r="AI1171" s="150">
        <v>863830.71</v>
      </c>
      <c r="AJ1171" s="169">
        <f t="shared" si="1061"/>
        <v>0</v>
      </c>
      <c r="AK1171" s="201">
        <v>1170800.71</v>
      </c>
      <c r="AL1171" s="199">
        <v>-306970</v>
      </c>
      <c r="AM1171" s="150">
        <f t="shared" si="1055"/>
        <v>863830.71</v>
      </c>
      <c r="AN1171" s="153">
        <f t="shared" si="1062"/>
        <v>131177.59000000008</v>
      </c>
      <c r="AO1171" s="154">
        <f t="shared" si="1063"/>
        <v>131177.59000000008</v>
      </c>
      <c r="AP1171" s="150">
        <v>863830.71</v>
      </c>
      <c r="AQ1171" s="201">
        <v>995008.3</v>
      </c>
      <c r="AR1171" s="199"/>
      <c r="AS1171" s="150">
        <f t="shared" si="1056"/>
        <v>995008.3</v>
      </c>
      <c r="AT1171" s="155"/>
      <c r="AU1171" s="156">
        <f t="shared" si="1057"/>
        <v>0</v>
      </c>
      <c r="AV1171" s="156">
        <f t="shared" si="1058"/>
        <v>-110205.51000000001</v>
      </c>
      <c r="AW1171" s="157"/>
      <c r="AX1171" s="150">
        <v>974036.22</v>
      </c>
      <c r="AY1171" s="150">
        <v>769326.84</v>
      </c>
      <c r="AZ1171" s="150">
        <f t="shared" si="1064"/>
        <v>349769.3400000002</v>
      </c>
      <c r="BA1171" s="313">
        <v>1119096.1800000002</v>
      </c>
      <c r="BB1171" s="210"/>
      <c r="BC1171" s="210"/>
      <c r="BD1171" s="210"/>
      <c r="BE1171" s="210"/>
      <c r="BF1171" s="210"/>
      <c r="BG1171" s="210"/>
      <c r="BH1171" s="217"/>
      <c r="BI1171" s="210"/>
      <c r="BJ1171" s="210"/>
      <c r="BK1171" s="210"/>
      <c r="BL1171" s="210"/>
      <c r="BM1171" s="208"/>
      <c r="BN1171" s="160"/>
      <c r="BO1171" s="161"/>
      <c r="BP1171" s="161"/>
    </row>
    <row r="1172" spans="1:68" ht="38.25">
      <c r="A1172" s="210"/>
      <c r="B1172" s="195" t="s">
        <v>7912</v>
      </c>
      <c r="C1172" s="196" t="s">
        <v>7913</v>
      </c>
      <c r="D1172" s="146" t="s">
        <v>4692</v>
      </c>
      <c r="E1172" s="196" t="s">
        <v>7913</v>
      </c>
      <c r="F1172" s="150">
        <v>0</v>
      </c>
      <c r="G1172" s="209">
        <v>0</v>
      </c>
      <c r="H1172" s="209">
        <v>0</v>
      </c>
      <c r="I1172" s="209">
        <v>0</v>
      </c>
      <c r="J1172" s="150">
        <v>0</v>
      </c>
      <c r="K1172" s="150">
        <v>0</v>
      </c>
      <c r="L1172" s="150">
        <f t="shared" si="1066"/>
        <v>0</v>
      </c>
      <c r="M1172" s="150">
        <v>0</v>
      </c>
      <c r="N1172" s="150">
        <v>0</v>
      </c>
      <c r="O1172" s="150">
        <v>0</v>
      </c>
      <c r="P1172" s="150">
        <v>0</v>
      </c>
      <c r="Q1172" s="150">
        <v>0</v>
      </c>
      <c r="R1172" s="313">
        <f t="shared" si="1053"/>
        <v>0</v>
      </c>
      <c r="S1172" s="150">
        <f t="shared" si="1065"/>
        <v>0</v>
      </c>
      <c r="T1172" s="150"/>
      <c r="U1172" s="150">
        <v>0</v>
      </c>
      <c r="V1172" s="199">
        <v>0</v>
      </c>
      <c r="W1172" s="150">
        <f t="shared" si="1059"/>
        <v>0</v>
      </c>
      <c r="X1172" s="150">
        <v>0</v>
      </c>
      <c r="Y1172" s="150">
        <v>0</v>
      </c>
      <c r="Z1172" s="150">
        <v>0</v>
      </c>
      <c r="AA1172" s="150">
        <f t="shared" si="1060"/>
        <v>0</v>
      </c>
      <c r="AB1172" s="150">
        <v>0</v>
      </c>
      <c r="AC1172" s="199">
        <v>0</v>
      </c>
      <c r="AD1172" s="150">
        <f t="shared" si="1054"/>
        <v>0</v>
      </c>
      <c r="AE1172" s="150">
        <v>0</v>
      </c>
      <c r="AF1172" s="169" t="s">
        <v>4680</v>
      </c>
      <c r="AG1172" s="201">
        <v>0</v>
      </c>
      <c r="AH1172" s="199">
        <v>0</v>
      </c>
      <c r="AI1172" s="150">
        <v>0</v>
      </c>
      <c r="AJ1172" s="169">
        <f t="shared" si="1061"/>
        <v>0</v>
      </c>
      <c r="AK1172" s="201">
        <v>0</v>
      </c>
      <c r="AL1172" s="199">
        <v>0</v>
      </c>
      <c r="AM1172" s="150">
        <f t="shared" si="1055"/>
        <v>0</v>
      </c>
      <c r="AN1172" s="153">
        <f t="shared" si="1062"/>
        <v>0</v>
      </c>
      <c r="AO1172" s="154">
        <f t="shared" si="1063"/>
        <v>0</v>
      </c>
      <c r="AP1172" s="150">
        <v>0</v>
      </c>
      <c r="AQ1172" s="201">
        <v>0</v>
      </c>
      <c r="AR1172" s="199">
        <v>0</v>
      </c>
      <c r="AS1172" s="150">
        <f t="shared" si="1056"/>
        <v>0</v>
      </c>
      <c r="AT1172" s="155"/>
      <c r="AU1172" s="156">
        <f t="shared" si="1057"/>
        <v>0</v>
      </c>
      <c r="AV1172" s="156">
        <f t="shared" si="1058"/>
        <v>0</v>
      </c>
      <c r="AW1172" s="157"/>
      <c r="AX1172" s="150">
        <v>0</v>
      </c>
      <c r="AY1172" s="150">
        <v>0</v>
      </c>
      <c r="AZ1172" s="150">
        <f t="shared" si="1064"/>
        <v>0</v>
      </c>
      <c r="BA1172" s="313">
        <v>0</v>
      </c>
      <c r="BB1172" s="210"/>
      <c r="BC1172" s="210"/>
      <c r="BD1172" s="210"/>
      <c r="BE1172" s="210"/>
      <c r="BF1172" s="210"/>
      <c r="BG1172" s="210"/>
      <c r="BH1172" s="217"/>
      <c r="BI1172" s="210"/>
      <c r="BJ1172" s="210"/>
      <c r="BK1172" s="210"/>
      <c r="BL1172" s="210"/>
      <c r="BM1172" s="208"/>
      <c r="BN1172" s="160"/>
      <c r="BO1172" s="161"/>
      <c r="BP1172" s="161"/>
    </row>
    <row r="1173" spans="1:68" ht="38.25">
      <c r="A1173" s="210"/>
      <c r="B1173" s="195" t="s">
        <v>7914</v>
      </c>
      <c r="C1173" s="196" t="s">
        <v>7915</v>
      </c>
      <c r="D1173" s="146" t="s">
        <v>4692</v>
      </c>
      <c r="E1173" s="196" t="s">
        <v>7915</v>
      </c>
      <c r="F1173" s="150">
        <v>0</v>
      </c>
      <c r="G1173" s="209">
        <v>0</v>
      </c>
      <c r="H1173" s="209">
        <v>0</v>
      </c>
      <c r="I1173" s="209">
        <v>0</v>
      </c>
      <c r="J1173" s="150">
        <v>0</v>
      </c>
      <c r="K1173" s="150">
        <v>0</v>
      </c>
      <c r="L1173" s="150">
        <f t="shared" si="1066"/>
        <v>0</v>
      </c>
      <c r="M1173" s="150">
        <v>0</v>
      </c>
      <c r="N1173" s="150">
        <v>0</v>
      </c>
      <c r="O1173" s="150">
        <v>0</v>
      </c>
      <c r="P1173" s="150">
        <v>0</v>
      </c>
      <c r="Q1173" s="150">
        <v>0</v>
      </c>
      <c r="R1173" s="313">
        <f t="shared" si="1053"/>
        <v>0</v>
      </c>
      <c r="S1173" s="150">
        <f t="shared" si="1065"/>
        <v>0</v>
      </c>
      <c r="T1173" s="150"/>
      <c r="U1173" s="150">
        <v>0</v>
      </c>
      <c r="V1173" s="199">
        <v>0</v>
      </c>
      <c r="W1173" s="150">
        <f t="shared" si="1059"/>
        <v>0</v>
      </c>
      <c r="X1173" s="150">
        <v>0</v>
      </c>
      <c r="Y1173" s="150">
        <v>0</v>
      </c>
      <c r="Z1173" s="150">
        <v>0</v>
      </c>
      <c r="AA1173" s="150">
        <f t="shared" si="1060"/>
        <v>0</v>
      </c>
      <c r="AB1173" s="150">
        <v>0</v>
      </c>
      <c r="AC1173" s="199">
        <v>0</v>
      </c>
      <c r="AD1173" s="150">
        <f t="shared" si="1054"/>
        <v>0</v>
      </c>
      <c r="AE1173" s="150">
        <v>0</v>
      </c>
      <c r="AF1173" s="169" t="s">
        <v>4680</v>
      </c>
      <c r="AG1173" s="201">
        <v>0</v>
      </c>
      <c r="AH1173" s="199">
        <v>0</v>
      </c>
      <c r="AI1173" s="150">
        <v>0</v>
      </c>
      <c r="AJ1173" s="169">
        <f t="shared" si="1061"/>
        <v>0</v>
      </c>
      <c r="AK1173" s="201">
        <v>0</v>
      </c>
      <c r="AL1173" s="199">
        <v>0</v>
      </c>
      <c r="AM1173" s="150">
        <f t="shared" si="1055"/>
        <v>0</v>
      </c>
      <c r="AN1173" s="153">
        <f t="shared" si="1062"/>
        <v>0</v>
      </c>
      <c r="AO1173" s="154">
        <f t="shared" si="1063"/>
        <v>0</v>
      </c>
      <c r="AP1173" s="150">
        <v>0</v>
      </c>
      <c r="AQ1173" s="201">
        <v>0</v>
      </c>
      <c r="AR1173" s="199">
        <v>0</v>
      </c>
      <c r="AS1173" s="150">
        <f t="shared" si="1056"/>
        <v>0</v>
      </c>
      <c r="AT1173" s="155"/>
      <c r="AU1173" s="156">
        <f t="shared" si="1057"/>
        <v>0</v>
      </c>
      <c r="AV1173" s="156">
        <f t="shared" si="1058"/>
        <v>0</v>
      </c>
      <c r="AW1173" s="157"/>
      <c r="AX1173" s="150">
        <v>0</v>
      </c>
      <c r="AY1173" s="150">
        <v>0</v>
      </c>
      <c r="AZ1173" s="150">
        <f t="shared" si="1064"/>
        <v>0</v>
      </c>
      <c r="BA1173" s="313">
        <v>0</v>
      </c>
      <c r="BB1173" s="210"/>
      <c r="BC1173" s="210"/>
      <c r="BD1173" s="210"/>
      <c r="BE1173" s="210"/>
      <c r="BF1173" s="210"/>
      <c r="BG1173" s="210"/>
      <c r="BH1173" s="217"/>
      <c r="BI1173" s="210"/>
      <c r="BJ1173" s="210"/>
      <c r="BK1173" s="210"/>
      <c r="BL1173" s="210"/>
      <c r="BM1173" s="208"/>
      <c r="BN1173" s="160"/>
      <c r="BO1173" s="161"/>
      <c r="BP1173" s="161"/>
    </row>
    <row r="1174" spans="1:68" ht="38.25">
      <c r="A1174" s="210"/>
      <c r="B1174" s="195" t="s">
        <v>7916</v>
      </c>
      <c r="C1174" s="196" t="s">
        <v>7917</v>
      </c>
      <c r="D1174" s="146" t="s">
        <v>4692</v>
      </c>
      <c r="E1174" s="196" t="s">
        <v>7917</v>
      </c>
      <c r="F1174" s="150">
        <v>0</v>
      </c>
      <c r="G1174" s="209">
        <v>0</v>
      </c>
      <c r="H1174" s="209">
        <v>0</v>
      </c>
      <c r="I1174" s="209">
        <v>0</v>
      </c>
      <c r="J1174" s="150">
        <v>0</v>
      </c>
      <c r="K1174" s="150">
        <v>0</v>
      </c>
      <c r="L1174" s="150">
        <f t="shared" si="1066"/>
        <v>0</v>
      </c>
      <c r="M1174" s="150">
        <v>0</v>
      </c>
      <c r="N1174" s="150">
        <v>0</v>
      </c>
      <c r="O1174" s="150">
        <v>0</v>
      </c>
      <c r="P1174" s="150">
        <v>0</v>
      </c>
      <c r="Q1174" s="150">
        <v>0</v>
      </c>
      <c r="R1174" s="313">
        <f t="shared" si="1053"/>
        <v>0</v>
      </c>
      <c r="S1174" s="150">
        <f t="shared" si="1065"/>
        <v>0</v>
      </c>
      <c r="T1174" s="150"/>
      <c r="U1174" s="150">
        <v>0</v>
      </c>
      <c r="V1174" s="199">
        <v>0</v>
      </c>
      <c r="W1174" s="150">
        <f t="shared" si="1059"/>
        <v>0</v>
      </c>
      <c r="X1174" s="150">
        <v>0</v>
      </c>
      <c r="Y1174" s="150">
        <v>0</v>
      </c>
      <c r="Z1174" s="150">
        <v>0</v>
      </c>
      <c r="AA1174" s="150">
        <f t="shared" si="1060"/>
        <v>0</v>
      </c>
      <c r="AB1174" s="150">
        <v>0</v>
      </c>
      <c r="AC1174" s="199">
        <v>0</v>
      </c>
      <c r="AD1174" s="150">
        <f t="shared" si="1054"/>
        <v>0</v>
      </c>
      <c r="AE1174" s="150">
        <v>0</v>
      </c>
      <c r="AF1174" s="169" t="s">
        <v>4680</v>
      </c>
      <c r="AG1174" s="201">
        <v>0</v>
      </c>
      <c r="AH1174" s="199">
        <v>0</v>
      </c>
      <c r="AI1174" s="150">
        <v>0</v>
      </c>
      <c r="AJ1174" s="169">
        <f t="shared" si="1061"/>
        <v>0</v>
      </c>
      <c r="AK1174" s="201">
        <v>0</v>
      </c>
      <c r="AL1174" s="199">
        <v>0</v>
      </c>
      <c r="AM1174" s="150">
        <f t="shared" si="1055"/>
        <v>0</v>
      </c>
      <c r="AN1174" s="153">
        <f t="shared" si="1062"/>
        <v>0</v>
      </c>
      <c r="AO1174" s="154">
        <f t="shared" si="1063"/>
        <v>0</v>
      </c>
      <c r="AP1174" s="150">
        <v>0</v>
      </c>
      <c r="AQ1174" s="201">
        <v>0</v>
      </c>
      <c r="AR1174" s="199">
        <v>0</v>
      </c>
      <c r="AS1174" s="150">
        <f t="shared" si="1056"/>
        <v>0</v>
      </c>
      <c r="AT1174" s="155"/>
      <c r="AU1174" s="156">
        <f t="shared" si="1057"/>
        <v>0</v>
      </c>
      <c r="AV1174" s="156">
        <f t="shared" si="1058"/>
        <v>0</v>
      </c>
      <c r="AW1174" s="157"/>
      <c r="AX1174" s="150">
        <v>0</v>
      </c>
      <c r="AY1174" s="150">
        <v>0</v>
      </c>
      <c r="AZ1174" s="150">
        <f t="shared" si="1064"/>
        <v>0</v>
      </c>
      <c r="BA1174" s="313">
        <v>0</v>
      </c>
      <c r="BB1174" s="210"/>
      <c r="BC1174" s="210"/>
      <c r="BD1174" s="210"/>
      <c r="BE1174" s="210"/>
      <c r="BF1174" s="210"/>
      <c r="BG1174" s="210"/>
      <c r="BH1174" s="217"/>
      <c r="BI1174" s="210"/>
      <c r="BJ1174" s="210"/>
      <c r="BK1174" s="210"/>
      <c r="BL1174" s="210"/>
      <c r="BM1174" s="208"/>
      <c r="BN1174" s="160"/>
      <c r="BO1174" s="161"/>
      <c r="BP1174" s="161"/>
    </row>
    <row r="1175" spans="1:68" ht="51">
      <c r="A1175" s="210"/>
      <c r="B1175" s="195" t="s">
        <v>7918</v>
      </c>
      <c r="C1175" s="196" t="s">
        <v>7919</v>
      </c>
      <c r="D1175" s="146" t="s">
        <v>4692</v>
      </c>
      <c r="E1175" s="196" t="s">
        <v>7919</v>
      </c>
      <c r="F1175" s="150">
        <v>0</v>
      </c>
      <c r="G1175" s="209">
        <v>173437.07</v>
      </c>
      <c r="H1175" s="209">
        <v>0</v>
      </c>
      <c r="I1175" s="209">
        <v>173437.07</v>
      </c>
      <c r="J1175" s="150">
        <v>0</v>
      </c>
      <c r="K1175" s="150">
        <v>0</v>
      </c>
      <c r="L1175" s="150">
        <f t="shared" si="1066"/>
        <v>0</v>
      </c>
      <c r="M1175" s="150">
        <v>0</v>
      </c>
      <c r="N1175" s="150">
        <v>0</v>
      </c>
      <c r="O1175" s="150">
        <v>0</v>
      </c>
      <c r="P1175" s="150">
        <v>0</v>
      </c>
      <c r="Q1175" s="150">
        <v>0</v>
      </c>
      <c r="R1175" s="313">
        <f t="shared" si="1053"/>
        <v>0</v>
      </c>
      <c r="S1175" s="150">
        <f t="shared" si="1065"/>
        <v>0</v>
      </c>
      <c r="T1175" s="150"/>
      <c r="U1175" s="150">
        <v>0</v>
      </c>
      <c r="V1175" s="199">
        <v>0</v>
      </c>
      <c r="W1175" s="150">
        <f t="shared" si="1059"/>
        <v>0</v>
      </c>
      <c r="X1175" s="150">
        <v>0</v>
      </c>
      <c r="Y1175" s="150">
        <v>0</v>
      </c>
      <c r="Z1175" s="150">
        <v>0</v>
      </c>
      <c r="AA1175" s="150">
        <f t="shared" si="1060"/>
        <v>0</v>
      </c>
      <c r="AB1175" s="150">
        <v>0</v>
      </c>
      <c r="AC1175" s="199">
        <v>0</v>
      </c>
      <c r="AD1175" s="150">
        <f t="shared" si="1054"/>
        <v>0</v>
      </c>
      <c r="AE1175" s="150">
        <v>0</v>
      </c>
      <c r="AF1175" s="169" t="s">
        <v>4680</v>
      </c>
      <c r="AG1175" s="201">
        <v>0</v>
      </c>
      <c r="AH1175" s="199">
        <v>0</v>
      </c>
      <c r="AI1175" s="150">
        <v>0</v>
      </c>
      <c r="AJ1175" s="169">
        <f t="shared" si="1061"/>
        <v>0</v>
      </c>
      <c r="AK1175" s="201">
        <v>0</v>
      </c>
      <c r="AL1175" s="199">
        <v>0</v>
      </c>
      <c r="AM1175" s="150">
        <f t="shared" si="1055"/>
        <v>0</v>
      </c>
      <c r="AN1175" s="153">
        <f t="shared" si="1062"/>
        <v>0</v>
      </c>
      <c r="AO1175" s="154">
        <f t="shared" si="1063"/>
        <v>0</v>
      </c>
      <c r="AP1175" s="150">
        <v>0</v>
      </c>
      <c r="AQ1175" s="201">
        <v>0</v>
      </c>
      <c r="AR1175" s="199">
        <v>0</v>
      </c>
      <c r="AS1175" s="150">
        <f t="shared" si="1056"/>
        <v>0</v>
      </c>
      <c r="AT1175" s="155"/>
      <c r="AU1175" s="156">
        <f t="shared" si="1057"/>
        <v>0</v>
      </c>
      <c r="AV1175" s="156">
        <f t="shared" si="1058"/>
        <v>0</v>
      </c>
      <c r="AW1175" s="157"/>
      <c r="AX1175" s="150">
        <v>0</v>
      </c>
      <c r="AY1175" s="150">
        <v>0</v>
      </c>
      <c r="AZ1175" s="150">
        <f t="shared" si="1064"/>
        <v>0</v>
      </c>
      <c r="BA1175" s="313">
        <v>0</v>
      </c>
      <c r="BB1175" s="210"/>
      <c r="BC1175" s="210"/>
      <c r="BD1175" s="210"/>
      <c r="BE1175" s="210"/>
      <c r="BF1175" s="210"/>
      <c r="BG1175" s="210"/>
      <c r="BH1175" s="217"/>
      <c r="BI1175" s="210"/>
      <c r="BJ1175" s="210"/>
      <c r="BK1175" s="210"/>
      <c r="BL1175" s="210"/>
      <c r="BM1175" s="208"/>
      <c r="BN1175" s="160"/>
      <c r="BO1175" s="161"/>
      <c r="BP1175" s="161"/>
    </row>
    <row r="1176" spans="1:68" ht="38.25">
      <c r="A1176" s="210"/>
      <c r="B1176" s="195" t="s">
        <v>7920</v>
      </c>
      <c r="C1176" s="196" t="s">
        <v>7921</v>
      </c>
      <c r="D1176" s="146" t="s">
        <v>4692</v>
      </c>
      <c r="E1176" s="196" t="s">
        <v>7921</v>
      </c>
      <c r="F1176" s="150">
        <v>173437.07</v>
      </c>
      <c r="G1176" s="209">
        <v>70259.17</v>
      </c>
      <c r="H1176" s="209">
        <v>0</v>
      </c>
      <c r="I1176" s="209">
        <v>70259.17</v>
      </c>
      <c r="J1176" s="150">
        <v>0</v>
      </c>
      <c r="K1176" s="150">
        <v>0</v>
      </c>
      <c r="L1176" s="150">
        <f t="shared" si="1066"/>
        <v>0</v>
      </c>
      <c r="M1176" s="150">
        <v>0</v>
      </c>
      <c r="N1176" s="150">
        <v>0</v>
      </c>
      <c r="O1176" s="150">
        <v>0</v>
      </c>
      <c r="P1176" s="150">
        <v>194390.43</v>
      </c>
      <c r="Q1176" s="150">
        <v>0</v>
      </c>
      <c r="R1176" s="313">
        <f t="shared" si="1053"/>
        <v>194390.43</v>
      </c>
      <c r="S1176" s="150">
        <f t="shared" si="1065"/>
        <v>259187.24</v>
      </c>
      <c r="T1176" s="150"/>
      <c r="U1176" s="150">
        <v>190696.93</v>
      </c>
      <c r="V1176" s="199">
        <v>0</v>
      </c>
      <c r="W1176" s="150">
        <f t="shared" si="1059"/>
        <v>190696.93</v>
      </c>
      <c r="X1176" s="150">
        <v>190696.93</v>
      </c>
      <c r="Y1176" s="150">
        <v>0</v>
      </c>
      <c r="Z1176" s="150">
        <v>190696.93</v>
      </c>
      <c r="AA1176" s="150">
        <f t="shared" si="1060"/>
        <v>0</v>
      </c>
      <c r="AB1176" s="150">
        <v>190696.93</v>
      </c>
      <c r="AC1176" s="199">
        <v>0</v>
      </c>
      <c r="AD1176" s="150">
        <f t="shared" si="1054"/>
        <v>190696.93</v>
      </c>
      <c r="AE1176" s="150">
        <v>190696.93</v>
      </c>
      <c r="AF1176" s="169" t="s">
        <v>4680</v>
      </c>
      <c r="AG1176" s="201">
        <v>190696.93</v>
      </c>
      <c r="AH1176" s="199">
        <v>0</v>
      </c>
      <c r="AI1176" s="150">
        <v>190696.93</v>
      </c>
      <c r="AJ1176" s="169">
        <f t="shared" si="1061"/>
        <v>0</v>
      </c>
      <c r="AK1176" s="201">
        <v>190696.93</v>
      </c>
      <c r="AL1176" s="199">
        <v>0</v>
      </c>
      <c r="AM1176" s="150">
        <f t="shared" si="1055"/>
        <v>190696.93</v>
      </c>
      <c r="AN1176" s="153">
        <f t="shared" si="1062"/>
        <v>0</v>
      </c>
      <c r="AO1176" s="154">
        <f t="shared" si="1063"/>
        <v>0</v>
      </c>
      <c r="AP1176" s="150">
        <v>190696.93</v>
      </c>
      <c r="AQ1176" s="201">
        <v>190696.93</v>
      </c>
      <c r="AR1176" s="199">
        <v>0</v>
      </c>
      <c r="AS1176" s="150">
        <f t="shared" si="1056"/>
        <v>190696.93</v>
      </c>
      <c r="AT1176" s="155"/>
      <c r="AU1176" s="156">
        <f t="shared" si="1057"/>
        <v>0</v>
      </c>
      <c r="AV1176" s="156">
        <f t="shared" si="1058"/>
        <v>0</v>
      </c>
      <c r="AW1176" s="157"/>
      <c r="AX1176" s="150">
        <v>190696.93</v>
      </c>
      <c r="AY1176" s="150">
        <v>194390.43</v>
      </c>
      <c r="AZ1176" s="150">
        <f t="shared" si="1064"/>
        <v>-194390.43</v>
      </c>
      <c r="BA1176" s="313">
        <v>0</v>
      </c>
      <c r="BB1176" s="210"/>
      <c r="BC1176" s="210"/>
      <c r="BD1176" s="210"/>
      <c r="BE1176" s="210"/>
      <c r="BF1176" s="210"/>
      <c r="BG1176" s="210"/>
      <c r="BH1176" s="217"/>
      <c r="BI1176" s="210"/>
      <c r="BJ1176" s="210"/>
      <c r="BK1176" s="210"/>
      <c r="BL1176" s="210"/>
      <c r="BM1176" s="208"/>
      <c r="BN1176" s="160"/>
      <c r="BO1176" s="161"/>
      <c r="BP1176" s="161"/>
    </row>
    <row r="1177" spans="1:68" ht="51">
      <c r="A1177" s="210"/>
      <c r="B1177" s="195" t="s">
        <v>7922</v>
      </c>
      <c r="C1177" s="196" t="s">
        <v>7923</v>
      </c>
      <c r="D1177" s="146" t="s">
        <v>4692</v>
      </c>
      <c r="E1177" s="196" t="s">
        <v>7923</v>
      </c>
      <c r="F1177" s="150">
        <v>70259.17</v>
      </c>
      <c r="G1177" s="209">
        <v>0</v>
      </c>
      <c r="H1177" s="209">
        <v>0</v>
      </c>
      <c r="I1177" s="209">
        <v>0</v>
      </c>
      <c r="J1177" s="150">
        <v>0</v>
      </c>
      <c r="K1177" s="150">
        <v>0</v>
      </c>
      <c r="L1177" s="150">
        <f t="shared" si="1066"/>
        <v>0</v>
      </c>
      <c r="M1177" s="150">
        <v>0</v>
      </c>
      <c r="N1177" s="150">
        <v>0</v>
      </c>
      <c r="O1177" s="150">
        <v>0</v>
      </c>
      <c r="P1177" s="150">
        <v>80735.72</v>
      </c>
      <c r="Q1177" s="150">
        <v>0</v>
      </c>
      <c r="R1177" s="313">
        <f t="shared" si="1053"/>
        <v>80735.72</v>
      </c>
      <c r="S1177" s="150">
        <f t="shared" si="1065"/>
        <v>107647.62666666668</v>
      </c>
      <c r="T1177" s="150"/>
      <c r="U1177" s="150">
        <v>78885.429999999993</v>
      </c>
      <c r="V1177" s="199">
        <v>0</v>
      </c>
      <c r="W1177" s="150">
        <f t="shared" si="1059"/>
        <v>78885.429999999993</v>
      </c>
      <c r="X1177" s="150">
        <v>78885.429999999993</v>
      </c>
      <c r="Y1177" s="150">
        <v>0</v>
      </c>
      <c r="Z1177" s="150">
        <v>78885.429999999993</v>
      </c>
      <c r="AA1177" s="150">
        <f t="shared" si="1060"/>
        <v>0</v>
      </c>
      <c r="AB1177" s="150">
        <v>78885.429999999993</v>
      </c>
      <c r="AC1177" s="199">
        <v>0</v>
      </c>
      <c r="AD1177" s="150">
        <f t="shared" si="1054"/>
        <v>78885.429999999993</v>
      </c>
      <c r="AE1177" s="150">
        <v>78885.429999999993</v>
      </c>
      <c r="AF1177" s="169" t="s">
        <v>4680</v>
      </c>
      <c r="AG1177" s="201">
        <v>78885.429999999993</v>
      </c>
      <c r="AH1177" s="199">
        <v>0</v>
      </c>
      <c r="AI1177" s="150">
        <v>78885.429999999993</v>
      </c>
      <c r="AJ1177" s="169">
        <f t="shared" si="1061"/>
        <v>0</v>
      </c>
      <c r="AK1177" s="201">
        <v>78885.429999999993</v>
      </c>
      <c r="AL1177" s="199">
        <v>0</v>
      </c>
      <c r="AM1177" s="150">
        <f t="shared" si="1055"/>
        <v>78885.429999999993</v>
      </c>
      <c r="AN1177" s="153">
        <f t="shared" si="1062"/>
        <v>0</v>
      </c>
      <c r="AO1177" s="154">
        <f t="shared" si="1063"/>
        <v>0</v>
      </c>
      <c r="AP1177" s="150">
        <v>78885.429999999993</v>
      </c>
      <c r="AQ1177" s="201">
        <v>78885.429999999993</v>
      </c>
      <c r="AR1177" s="199">
        <v>0</v>
      </c>
      <c r="AS1177" s="150">
        <f t="shared" si="1056"/>
        <v>78885.429999999993</v>
      </c>
      <c r="AT1177" s="155"/>
      <c r="AU1177" s="156">
        <f t="shared" si="1057"/>
        <v>0</v>
      </c>
      <c r="AV1177" s="156">
        <f t="shared" si="1058"/>
        <v>0</v>
      </c>
      <c r="AW1177" s="157"/>
      <c r="AX1177" s="150">
        <v>78885.429999999993</v>
      </c>
      <c r="AY1177" s="150">
        <v>80735.72</v>
      </c>
      <c r="AZ1177" s="150">
        <f t="shared" si="1064"/>
        <v>-80735.72</v>
      </c>
      <c r="BA1177" s="313">
        <v>0</v>
      </c>
      <c r="BB1177" s="210"/>
      <c r="BC1177" s="210"/>
      <c r="BD1177" s="210"/>
      <c r="BE1177" s="210"/>
      <c r="BF1177" s="210"/>
      <c r="BG1177" s="210"/>
      <c r="BH1177" s="217"/>
      <c r="BI1177" s="210"/>
      <c r="BJ1177" s="210"/>
      <c r="BK1177" s="210"/>
      <c r="BL1177" s="210"/>
      <c r="BM1177" s="208"/>
      <c r="BN1177" s="160"/>
      <c r="BO1177" s="161"/>
      <c r="BP1177" s="161"/>
    </row>
    <row r="1178" spans="1:68" ht="51">
      <c r="A1178" s="210"/>
      <c r="B1178" s="195" t="s">
        <v>7924</v>
      </c>
      <c r="C1178" s="196" t="s">
        <v>7925</v>
      </c>
      <c r="D1178" s="146" t="s">
        <v>4692</v>
      </c>
      <c r="E1178" s="196" t="s">
        <v>7925</v>
      </c>
      <c r="F1178" s="150">
        <v>0</v>
      </c>
      <c r="G1178" s="209">
        <v>647.58000000000004</v>
      </c>
      <c r="H1178" s="209">
        <v>0</v>
      </c>
      <c r="I1178" s="209">
        <v>647.58000000000004</v>
      </c>
      <c r="J1178" s="150">
        <v>0</v>
      </c>
      <c r="K1178" s="150">
        <v>0</v>
      </c>
      <c r="L1178" s="150">
        <f t="shared" si="1066"/>
        <v>0</v>
      </c>
      <c r="M1178" s="150">
        <v>0</v>
      </c>
      <c r="N1178" s="150">
        <v>0</v>
      </c>
      <c r="O1178" s="150">
        <v>0</v>
      </c>
      <c r="P1178" s="150">
        <v>0</v>
      </c>
      <c r="Q1178" s="150">
        <v>0</v>
      </c>
      <c r="R1178" s="313">
        <f t="shared" si="1053"/>
        <v>0</v>
      </c>
      <c r="S1178" s="150">
        <f t="shared" si="1065"/>
        <v>0</v>
      </c>
      <c r="T1178" s="150"/>
      <c r="U1178" s="150">
        <v>0</v>
      </c>
      <c r="V1178" s="199">
        <v>0</v>
      </c>
      <c r="W1178" s="150">
        <f t="shared" si="1059"/>
        <v>0</v>
      </c>
      <c r="X1178" s="150">
        <v>0</v>
      </c>
      <c r="Y1178" s="150">
        <v>0</v>
      </c>
      <c r="Z1178" s="150">
        <v>0</v>
      </c>
      <c r="AA1178" s="150">
        <f t="shared" si="1060"/>
        <v>0</v>
      </c>
      <c r="AB1178" s="150">
        <v>0</v>
      </c>
      <c r="AC1178" s="199">
        <v>0</v>
      </c>
      <c r="AD1178" s="150">
        <f t="shared" si="1054"/>
        <v>0</v>
      </c>
      <c r="AE1178" s="150">
        <v>0</v>
      </c>
      <c r="AF1178" s="169" t="s">
        <v>4680</v>
      </c>
      <c r="AG1178" s="201">
        <v>0</v>
      </c>
      <c r="AH1178" s="199">
        <v>0</v>
      </c>
      <c r="AI1178" s="150">
        <v>0</v>
      </c>
      <c r="AJ1178" s="169">
        <f t="shared" si="1061"/>
        <v>0</v>
      </c>
      <c r="AK1178" s="201">
        <v>0</v>
      </c>
      <c r="AL1178" s="199">
        <v>0</v>
      </c>
      <c r="AM1178" s="150">
        <f t="shared" si="1055"/>
        <v>0</v>
      </c>
      <c r="AN1178" s="153">
        <f t="shared" si="1062"/>
        <v>0</v>
      </c>
      <c r="AO1178" s="154">
        <f t="shared" si="1063"/>
        <v>0</v>
      </c>
      <c r="AP1178" s="150">
        <v>0</v>
      </c>
      <c r="AQ1178" s="201">
        <v>0</v>
      </c>
      <c r="AR1178" s="199">
        <v>0</v>
      </c>
      <c r="AS1178" s="150">
        <f t="shared" si="1056"/>
        <v>0</v>
      </c>
      <c r="AT1178" s="155"/>
      <c r="AU1178" s="156">
        <f t="shared" si="1057"/>
        <v>0</v>
      </c>
      <c r="AV1178" s="156">
        <f t="shared" si="1058"/>
        <v>0</v>
      </c>
      <c r="AW1178" s="157"/>
      <c r="AX1178" s="150">
        <v>0</v>
      </c>
      <c r="AY1178" s="150">
        <v>0</v>
      </c>
      <c r="AZ1178" s="150">
        <f t="shared" si="1064"/>
        <v>0</v>
      </c>
      <c r="BA1178" s="313">
        <v>0</v>
      </c>
      <c r="BB1178" s="210"/>
      <c r="BC1178" s="210"/>
      <c r="BD1178" s="210"/>
      <c r="BE1178" s="210"/>
      <c r="BF1178" s="210"/>
      <c r="BG1178" s="210"/>
      <c r="BH1178" s="217"/>
      <c r="BI1178" s="210"/>
      <c r="BJ1178" s="210"/>
      <c r="BK1178" s="210"/>
      <c r="BL1178" s="210"/>
      <c r="BM1178" s="208"/>
      <c r="BN1178" s="160"/>
      <c r="BO1178" s="161"/>
      <c r="BP1178" s="161"/>
    </row>
    <row r="1179" spans="1:68" ht="38.25">
      <c r="A1179" s="210"/>
      <c r="B1179" s="195" t="s">
        <v>7926</v>
      </c>
      <c r="C1179" s="196" t="s">
        <v>7927</v>
      </c>
      <c r="D1179" s="146" t="s">
        <v>4692</v>
      </c>
      <c r="E1179" s="196" t="s">
        <v>7927</v>
      </c>
      <c r="F1179" s="150">
        <v>647.58000000000004</v>
      </c>
      <c r="G1179" s="209">
        <v>0</v>
      </c>
      <c r="H1179" s="209">
        <v>0</v>
      </c>
      <c r="I1179" s="209">
        <v>0</v>
      </c>
      <c r="J1179" s="150">
        <v>204.51</v>
      </c>
      <c r="K1179" s="150">
        <v>0</v>
      </c>
      <c r="L1179" s="150">
        <f t="shared" si="1066"/>
        <v>204.51</v>
      </c>
      <c r="M1179" s="150">
        <v>409.02</v>
      </c>
      <c r="N1179" s="150">
        <v>0</v>
      </c>
      <c r="O1179" s="150">
        <v>409.02</v>
      </c>
      <c r="P1179" s="150">
        <v>494.22</v>
      </c>
      <c r="Q1179" s="150">
        <v>0</v>
      </c>
      <c r="R1179" s="313">
        <f t="shared" si="1053"/>
        <v>494.22</v>
      </c>
      <c r="S1179" s="150">
        <f t="shared" si="1065"/>
        <v>658.96</v>
      </c>
      <c r="T1179" s="150"/>
      <c r="U1179" s="150">
        <v>579.45000000000005</v>
      </c>
      <c r="V1179" s="199">
        <v>79.509999999999991</v>
      </c>
      <c r="W1179" s="150">
        <f t="shared" si="1059"/>
        <v>658.96</v>
      </c>
      <c r="X1179" s="150">
        <v>579.45000000000005</v>
      </c>
      <c r="Y1179" s="150">
        <v>79.509999999999991</v>
      </c>
      <c r="Z1179" s="150">
        <v>658.96</v>
      </c>
      <c r="AA1179" s="150">
        <f t="shared" si="1060"/>
        <v>0</v>
      </c>
      <c r="AB1179" s="150">
        <v>579.45000000000005</v>
      </c>
      <c r="AC1179" s="199">
        <v>79.509999999999991</v>
      </c>
      <c r="AD1179" s="150">
        <f t="shared" si="1054"/>
        <v>658.96</v>
      </c>
      <c r="AE1179" s="150">
        <v>658.96</v>
      </c>
      <c r="AF1179" s="169" t="s">
        <v>4680</v>
      </c>
      <c r="AG1179" s="201">
        <v>579.45000000000005</v>
      </c>
      <c r="AH1179" s="199">
        <v>79.509999999999991</v>
      </c>
      <c r="AI1179" s="150">
        <v>658.96</v>
      </c>
      <c r="AJ1179" s="169">
        <f t="shared" si="1061"/>
        <v>0</v>
      </c>
      <c r="AK1179" s="201">
        <v>579.45000000000005</v>
      </c>
      <c r="AL1179" s="199">
        <v>79.509999999999991</v>
      </c>
      <c r="AM1179" s="150">
        <f t="shared" si="1055"/>
        <v>658.96</v>
      </c>
      <c r="AN1179" s="153">
        <f t="shared" si="1062"/>
        <v>0</v>
      </c>
      <c r="AO1179" s="154">
        <f t="shared" si="1063"/>
        <v>0</v>
      </c>
      <c r="AP1179" s="150">
        <v>658.96</v>
      </c>
      <c r="AQ1179" s="201">
        <v>658.96</v>
      </c>
      <c r="AR1179" s="199"/>
      <c r="AS1179" s="150">
        <f t="shared" si="1056"/>
        <v>658.96</v>
      </c>
      <c r="AT1179" s="155"/>
      <c r="AU1179" s="156">
        <f t="shared" si="1057"/>
        <v>0</v>
      </c>
      <c r="AV1179" s="156">
        <f t="shared" si="1058"/>
        <v>0</v>
      </c>
      <c r="AW1179" s="157"/>
      <c r="AX1179" s="150">
        <v>658.96</v>
      </c>
      <c r="AY1179" s="150">
        <v>409.02</v>
      </c>
      <c r="AZ1179" s="150">
        <f t="shared" si="1064"/>
        <v>409.02</v>
      </c>
      <c r="BA1179" s="313">
        <v>818.04</v>
      </c>
      <c r="BB1179" s="210"/>
      <c r="BC1179" s="210"/>
      <c r="BD1179" s="210"/>
      <c r="BE1179" s="210"/>
      <c r="BF1179" s="210"/>
      <c r="BG1179" s="210"/>
      <c r="BH1179" s="217"/>
      <c r="BI1179" s="210"/>
      <c r="BJ1179" s="210"/>
      <c r="BK1179" s="210"/>
      <c r="BL1179" s="210"/>
      <c r="BM1179" s="208"/>
      <c r="BN1179" s="160"/>
      <c r="BO1179" s="161"/>
      <c r="BP1179" s="161"/>
    </row>
    <row r="1180" spans="1:68" ht="51">
      <c r="A1180" s="210"/>
      <c r="B1180" s="195" t="s">
        <v>7928</v>
      </c>
      <c r="C1180" s="196" t="s">
        <v>7929</v>
      </c>
      <c r="D1180" s="146" t="s">
        <v>4692</v>
      </c>
      <c r="E1180" s="196" t="s">
        <v>7929</v>
      </c>
      <c r="F1180" s="150">
        <v>0</v>
      </c>
      <c r="G1180" s="209">
        <v>0</v>
      </c>
      <c r="H1180" s="209">
        <v>0</v>
      </c>
      <c r="I1180" s="209">
        <v>0</v>
      </c>
      <c r="J1180" s="150">
        <v>0</v>
      </c>
      <c r="K1180" s="150">
        <v>0</v>
      </c>
      <c r="L1180" s="150">
        <f t="shared" si="1066"/>
        <v>0</v>
      </c>
      <c r="M1180" s="150">
        <v>0</v>
      </c>
      <c r="N1180" s="150">
        <v>0</v>
      </c>
      <c r="O1180" s="150">
        <v>0</v>
      </c>
      <c r="P1180" s="150">
        <v>0</v>
      </c>
      <c r="Q1180" s="150">
        <v>0</v>
      </c>
      <c r="R1180" s="313">
        <f t="shared" si="1053"/>
        <v>0</v>
      </c>
      <c r="S1180" s="150">
        <f t="shared" si="1065"/>
        <v>0</v>
      </c>
      <c r="T1180" s="150"/>
      <c r="U1180" s="150">
        <v>0</v>
      </c>
      <c r="V1180" s="199">
        <v>0</v>
      </c>
      <c r="W1180" s="150">
        <f t="shared" si="1059"/>
        <v>0</v>
      </c>
      <c r="X1180" s="150">
        <v>0</v>
      </c>
      <c r="Y1180" s="150">
        <v>0</v>
      </c>
      <c r="Z1180" s="150">
        <v>0</v>
      </c>
      <c r="AA1180" s="150">
        <f t="shared" si="1060"/>
        <v>0</v>
      </c>
      <c r="AB1180" s="150">
        <v>0</v>
      </c>
      <c r="AC1180" s="199">
        <v>0</v>
      </c>
      <c r="AD1180" s="150">
        <f t="shared" si="1054"/>
        <v>0</v>
      </c>
      <c r="AE1180" s="150">
        <v>0</v>
      </c>
      <c r="AF1180" s="169" t="s">
        <v>4680</v>
      </c>
      <c r="AG1180" s="201">
        <v>0</v>
      </c>
      <c r="AH1180" s="199">
        <v>0</v>
      </c>
      <c r="AI1180" s="150">
        <v>0</v>
      </c>
      <c r="AJ1180" s="169">
        <f t="shared" si="1061"/>
        <v>0</v>
      </c>
      <c r="AK1180" s="201">
        <v>0</v>
      </c>
      <c r="AL1180" s="199">
        <v>0</v>
      </c>
      <c r="AM1180" s="150">
        <f t="shared" si="1055"/>
        <v>0</v>
      </c>
      <c r="AN1180" s="153">
        <f t="shared" si="1062"/>
        <v>0</v>
      </c>
      <c r="AO1180" s="154">
        <f t="shared" si="1063"/>
        <v>0</v>
      </c>
      <c r="AP1180" s="150">
        <v>0</v>
      </c>
      <c r="AQ1180" s="201">
        <v>0</v>
      </c>
      <c r="AR1180" s="199">
        <v>0</v>
      </c>
      <c r="AS1180" s="150">
        <f t="shared" si="1056"/>
        <v>0</v>
      </c>
      <c r="AT1180" s="155"/>
      <c r="AU1180" s="156">
        <f t="shared" si="1057"/>
        <v>0</v>
      </c>
      <c r="AV1180" s="156">
        <f t="shared" si="1058"/>
        <v>0</v>
      </c>
      <c r="AW1180" s="157"/>
      <c r="AX1180" s="150">
        <v>0</v>
      </c>
      <c r="AY1180" s="150">
        <v>0</v>
      </c>
      <c r="AZ1180" s="150">
        <f t="shared" si="1064"/>
        <v>0</v>
      </c>
      <c r="BA1180" s="313">
        <v>0</v>
      </c>
      <c r="BB1180" s="210"/>
      <c r="BC1180" s="210"/>
      <c r="BD1180" s="210"/>
      <c r="BE1180" s="210"/>
      <c r="BF1180" s="210"/>
      <c r="BG1180" s="210"/>
      <c r="BH1180" s="217"/>
      <c r="BI1180" s="210"/>
      <c r="BJ1180" s="210"/>
      <c r="BK1180" s="210"/>
      <c r="BL1180" s="210"/>
      <c r="BM1180" s="208"/>
      <c r="BN1180" s="160"/>
      <c r="BO1180" s="161"/>
      <c r="BP1180" s="161"/>
    </row>
    <row r="1181" spans="1:68" ht="51">
      <c r="A1181" s="210"/>
      <c r="B1181" s="195" t="s">
        <v>7930</v>
      </c>
      <c r="C1181" s="196" t="s">
        <v>7931</v>
      </c>
      <c r="D1181" s="146" t="s">
        <v>4692</v>
      </c>
      <c r="E1181" s="196" t="s">
        <v>7931</v>
      </c>
      <c r="F1181" s="150">
        <v>0</v>
      </c>
      <c r="G1181" s="209">
        <v>0</v>
      </c>
      <c r="H1181" s="209">
        <v>0</v>
      </c>
      <c r="I1181" s="209">
        <v>0</v>
      </c>
      <c r="J1181" s="150">
        <v>0</v>
      </c>
      <c r="K1181" s="150">
        <v>0</v>
      </c>
      <c r="L1181" s="150">
        <f t="shared" si="1066"/>
        <v>0</v>
      </c>
      <c r="M1181" s="150">
        <v>0</v>
      </c>
      <c r="N1181" s="150">
        <v>0</v>
      </c>
      <c r="O1181" s="150">
        <v>0</v>
      </c>
      <c r="P1181" s="150">
        <v>0</v>
      </c>
      <c r="Q1181" s="150">
        <v>0</v>
      </c>
      <c r="R1181" s="313">
        <f t="shared" si="1053"/>
        <v>0</v>
      </c>
      <c r="S1181" s="150">
        <f t="shared" si="1065"/>
        <v>0</v>
      </c>
      <c r="T1181" s="150"/>
      <c r="U1181" s="150">
        <v>0</v>
      </c>
      <c r="V1181" s="199">
        <v>0</v>
      </c>
      <c r="W1181" s="150">
        <f t="shared" si="1059"/>
        <v>0</v>
      </c>
      <c r="X1181" s="150">
        <v>0</v>
      </c>
      <c r="Y1181" s="150">
        <v>0</v>
      </c>
      <c r="Z1181" s="150">
        <v>0</v>
      </c>
      <c r="AA1181" s="150">
        <f t="shared" si="1060"/>
        <v>0</v>
      </c>
      <c r="AB1181" s="150">
        <v>0</v>
      </c>
      <c r="AC1181" s="199">
        <v>0</v>
      </c>
      <c r="AD1181" s="150">
        <f t="shared" si="1054"/>
        <v>0</v>
      </c>
      <c r="AE1181" s="150">
        <v>0</v>
      </c>
      <c r="AF1181" s="169" t="s">
        <v>4680</v>
      </c>
      <c r="AG1181" s="201">
        <v>0</v>
      </c>
      <c r="AH1181" s="199">
        <v>0</v>
      </c>
      <c r="AI1181" s="150">
        <v>0</v>
      </c>
      <c r="AJ1181" s="169">
        <f t="shared" si="1061"/>
        <v>0</v>
      </c>
      <c r="AK1181" s="201">
        <v>0</v>
      </c>
      <c r="AL1181" s="199">
        <v>0</v>
      </c>
      <c r="AM1181" s="150">
        <f t="shared" si="1055"/>
        <v>0</v>
      </c>
      <c r="AN1181" s="153">
        <f t="shared" si="1062"/>
        <v>0</v>
      </c>
      <c r="AO1181" s="154">
        <f t="shared" si="1063"/>
        <v>0</v>
      </c>
      <c r="AP1181" s="150">
        <v>0</v>
      </c>
      <c r="AQ1181" s="201">
        <v>0</v>
      </c>
      <c r="AR1181" s="199">
        <v>0</v>
      </c>
      <c r="AS1181" s="150">
        <f t="shared" si="1056"/>
        <v>0</v>
      </c>
      <c r="AT1181" s="155"/>
      <c r="AU1181" s="156">
        <f t="shared" si="1057"/>
        <v>0</v>
      </c>
      <c r="AV1181" s="156">
        <f t="shared" si="1058"/>
        <v>0</v>
      </c>
      <c r="AW1181" s="157"/>
      <c r="AX1181" s="150">
        <v>0</v>
      </c>
      <c r="AY1181" s="150">
        <v>0</v>
      </c>
      <c r="AZ1181" s="150">
        <f t="shared" si="1064"/>
        <v>0</v>
      </c>
      <c r="BA1181" s="313">
        <v>0</v>
      </c>
      <c r="BB1181" s="210"/>
      <c r="BC1181" s="210"/>
      <c r="BD1181" s="210"/>
      <c r="BE1181" s="210"/>
      <c r="BF1181" s="210"/>
      <c r="BG1181" s="210"/>
      <c r="BH1181" s="217"/>
      <c r="BI1181" s="210"/>
      <c r="BJ1181" s="210"/>
      <c r="BK1181" s="210"/>
      <c r="BL1181" s="210"/>
      <c r="BM1181" s="208"/>
      <c r="BN1181" s="160"/>
      <c r="BO1181" s="161"/>
      <c r="BP1181" s="161"/>
    </row>
    <row r="1182" spans="1:68" ht="51">
      <c r="A1182" s="210"/>
      <c r="B1182" s="195" t="s">
        <v>7932</v>
      </c>
      <c r="C1182" s="196" t="s">
        <v>7933</v>
      </c>
      <c r="D1182" s="146" t="s">
        <v>4692</v>
      </c>
      <c r="E1182" s="196" t="s">
        <v>7933</v>
      </c>
      <c r="F1182" s="150">
        <v>0</v>
      </c>
      <c r="G1182" s="209">
        <v>0</v>
      </c>
      <c r="H1182" s="209">
        <v>0</v>
      </c>
      <c r="I1182" s="209">
        <v>0</v>
      </c>
      <c r="J1182" s="150">
        <v>0</v>
      </c>
      <c r="K1182" s="150">
        <v>0</v>
      </c>
      <c r="L1182" s="150">
        <f t="shared" si="1066"/>
        <v>0</v>
      </c>
      <c r="M1182" s="150">
        <v>0</v>
      </c>
      <c r="N1182" s="150">
        <v>0</v>
      </c>
      <c r="O1182" s="150">
        <v>0</v>
      </c>
      <c r="P1182" s="150">
        <v>0</v>
      </c>
      <c r="Q1182" s="150">
        <v>0</v>
      </c>
      <c r="R1182" s="313">
        <f t="shared" si="1053"/>
        <v>0</v>
      </c>
      <c r="S1182" s="150">
        <f t="shared" si="1065"/>
        <v>0</v>
      </c>
      <c r="T1182" s="150"/>
      <c r="U1182" s="150">
        <v>0</v>
      </c>
      <c r="V1182" s="199">
        <v>0</v>
      </c>
      <c r="W1182" s="150">
        <f t="shared" si="1059"/>
        <v>0</v>
      </c>
      <c r="X1182" s="150">
        <v>0</v>
      </c>
      <c r="Y1182" s="150">
        <v>0</v>
      </c>
      <c r="Z1182" s="150">
        <v>0</v>
      </c>
      <c r="AA1182" s="150">
        <f t="shared" si="1060"/>
        <v>0</v>
      </c>
      <c r="AB1182" s="150">
        <v>0</v>
      </c>
      <c r="AC1182" s="199">
        <v>0</v>
      </c>
      <c r="AD1182" s="150">
        <f t="shared" si="1054"/>
        <v>0</v>
      </c>
      <c r="AE1182" s="150">
        <v>0</v>
      </c>
      <c r="AF1182" s="169" t="s">
        <v>4680</v>
      </c>
      <c r="AG1182" s="201">
        <v>0</v>
      </c>
      <c r="AH1182" s="199">
        <v>0</v>
      </c>
      <c r="AI1182" s="150">
        <v>0</v>
      </c>
      <c r="AJ1182" s="169">
        <f t="shared" si="1061"/>
        <v>0</v>
      </c>
      <c r="AK1182" s="201">
        <v>0</v>
      </c>
      <c r="AL1182" s="199">
        <v>0</v>
      </c>
      <c r="AM1182" s="150">
        <f t="shared" si="1055"/>
        <v>0</v>
      </c>
      <c r="AN1182" s="153">
        <f t="shared" si="1062"/>
        <v>0</v>
      </c>
      <c r="AO1182" s="154">
        <f t="shared" si="1063"/>
        <v>0</v>
      </c>
      <c r="AP1182" s="150">
        <v>0</v>
      </c>
      <c r="AQ1182" s="201">
        <v>0</v>
      </c>
      <c r="AR1182" s="199">
        <v>0</v>
      </c>
      <c r="AS1182" s="150">
        <f t="shared" si="1056"/>
        <v>0</v>
      </c>
      <c r="AT1182" s="155"/>
      <c r="AU1182" s="156">
        <f t="shared" si="1057"/>
        <v>0</v>
      </c>
      <c r="AV1182" s="156">
        <f t="shared" si="1058"/>
        <v>0</v>
      </c>
      <c r="AW1182" s="157"/>
      <c r="AX1182" s="150">
        <v>0</v>
      </c>
      <c r="AY1182" s="150">
        <v>0</v>
      </c>
      <c r="AZ1182" s="150">
        <f t="shared" si="1064"/>
        <v>0</v>
      </c>
      <c r="BA1182" s="313">
        <v>0</v>
      </c>
      <c r="BB1182" s="210"/>
      <c r="BC1182" s="210"/>
      <c r="BD1182" s="210"/>
      <c r="BE1182" s="210"/>
      <c r="BF1182" s="210"/>
      <c r="BG1182" s="210"/>
      <c r="BH1182" s="217"/>
      <c r="BI1182" s="210"/>
      <c r="BJ1182" s="210"/>
      <c r="BK1182" s="210"/>
      <c r="BL1182" s="210"/>
      <c r="BM1182" s="208"/>
      <c r="BN1182" s="160"/>
      <c r="BO1182" s="161"/>
      <c r="BP1182" s="161"/>
    </row>
    <row r="1183" spans="1:68" ht="38.25">
      <c r="A1183" s="210"/>
      <c r="B1183" s="195" t="s">
        <v>7934</v>
      </c>
      <c r="C1183" s="196" t="s">
        <v>7935</v>
      </c>
      <c r="D1183" s="146" t="s">
        <v>4692</v>
      </c>
      <c r="E1183" s="196" t="s">
        <v>7935</v>
      </c>
      <c r="F1183" s="150">
        <v>0</v>
      </c>
      <c r="G1183" s="209">
        <v>8880</v>
      </c>
      <c r="H1183" s="209">
        <v>-8880</v>
      </c>
      <c r="I1183" s="209">
        <v>0</v>
      </c>
      <c r="J1183" s="150">
        <v>0</v>
      </c>
      <c r="K1183" s="150">
        <v>0</v>
      </c>
      <c r="L1183" s="150">
        <f t="shared" si="1066"/>
        <v>0</v>
      </c>
      <c r="M1183" s="150">
        <v>0</v>
      </c>
      <c r="N1183" s="150">
        <v>0</v>
      </c>
      <c r="O1183" s="150">
        <v>0</v>
      </c>
      <c r="P1183" s="150">
        <v>0</v>
      </c>
      <c r="Q1183" s="150">
        <v>0</v>
      </c>
      <c r="R1183" s="313">
        <f t="shared" si="1053"/>
        <v>0</v>
      </c>
      <c r="S1183" s="150">
        <f t="shared" si="1065"/>
        <v>0</v>
      </c>
      <c r="T1183" s="150"/>
      <c r="U1183" s="150">
        <v>0</v>
      </c>
      <c r="V1183" s="199">
        <v>0</v>
      </c>
      <c r="W1183" s="150">
        <f t="shared" si="1059"/>
        <v>0</v>
      </c>
      <c r="X1183" s="150">
        <v>0</v>
      </c>
      <c r="Y1183" s="150">
        <v>0</v>
      </c>
      <c r="Z1183" s="150">
        <v>0</v>
      </c>
      <c r="AA1183" s="150">
        <f t="shared" si="1060"/>
        <v>0</v>
      </c>
      <c r="AB1183" s="150">
        <v>0</v>
      </c>
      <c r="AC1183" s="199">
        <v>0</v>
      </c>
      <c r="AD1183" s="150">
        <f t="shared" si="1054"/>
        <v>0</v>
      </c>
      <c r="AE1183" s="150">
        <v>0</v>
      </c>
      <c r="AF1183" s="169" t="s">
        <v>4680</v>
      </c>
      <c r="AG1183" s="201">
        <v>0</v>
      </c>
      <c r="AH1183" s="199">
        <v>0</v>
      </c>
      <c r="AI1183" s="150">
        <v>0</v>
      </c>
      <c r="AJ1183" s="169">
        <f t="shared" si="1061"/>
        <v>0</v>
      </c>
      <c r="AK1183" s="201">
        <v>0</v>
      </c>
      <c r="AL1183" s="199">
        <v>0</v>
      </c>
      <c r="AM1183" s="150">
        <f t="shared" si="1055"/>
        <v>0</v>
      </c>
      <c r="AN1183" s="153">
        <f t="shared" si="1062"/>
        <v>0</v>
      </c>
      <c r="AO1183" s="154">
        <f t="shared" si="1063"/>
        <v>0</v>
      </c>
      <c r="AP1183" s="150">
        <v>0</v>
      </c>
      <c r="AQ1183" s="201">
        <v>0</v>
      </c>
      <c r="AR1183" s="199">
        <v>0</v>
      </c>
      <c r="AS1183" s="150">
        <f t="shared" si="1056"/>
        <v>0</v>
      </c>
      <c r="AT1183" s="155"/>
      <c r="AU1183" s="156">
        <f t="shared" si="1057"/>
        <v>0</v>
      </c>
      <c r="AV1183" s="156">
        <f t="shared" si="1058"/>
        <v>0</v>
      </c>
      <c r="AW1183" s="157"/>
      <c r="AX1183" s="150">
        <v>0</v>
      </c>
      <c r="AY1183" s="150">
        <v>0</v>
      </c>
      <c r="AZ1183" s="150">
        <f t="shared" si="1064"/>
        <v>0</v>
      </c>
      <c r="BA1183" s="313">
        <v>0</v>
      </c>
      <c r="BB1183" s="210"/>
      <c r="BC1183" s="210"/>
      <c r="BD1183" s="210"/>
      <c r="BE1183" s="210"/>
      <c r="BF1183" s="210"/>
      <c r="BG1183" s="210"/>
      <c r="BH1183" s="217"/>
      <c r="BI1183" s="210"/>
      <c r="BJ1183" s="210"/>
      <c r="BK1183" s="210"/>
      <c r="BL1183" s="210"/>
      <c r="BM1183" s="208"/>
      <c r="BN1183" s="160"/>
      <c r="BO1183" s="161"/>
      <c r="BP1183" s="161"/>
    </row>
    <row r="1184" spans="1:68" ht="51">
      <c r="A1184" s="210"/>
      <c r="B1184" s="195" t="s">
        <v>7936</v>
      </c>
      <c r="C1184" s="196" t="s">
        <v>7937</v>
      </c>
      <c r="D1184" s="146" t="s">
        <v>4692</v>
      </c>
      <c r="E1184" s="196" t="s">
        <v>7937</v>
      </c>
      <c r="F1184" s="150">
        <v>0</v>
      </c>
      <c r="G1184" s="209">
        <v>0</v>
      </c>
      <c r="H1184" s="209">
        <v>0</v>
      </c>
      <c r="I1184" s="209">
        <v>0</v>
      </c>
      <c r="J1184" s="150">
        <v>820</v>
      </c>
      <c r="K1184" s="150">
        <v>0</v>
      </c>
      <c r="L1184" s="150">
        <f t="shared" si="1066"/>
        <v>820</v>
      </c>
      <c r="M1184" s="150">
        <v>3020</v>
      </c>
      <c r="N1184" s="150">
        <v>0</v>
      </c>
      <c r="O1184" s="150">
        <v>3020</v>
      </c>
      <c r="P1184" s="150">
        <v>5210</v>
      </c>
      <c r="Q1184" s="150">
        <v>0</v>
      </c>
      <c r="R1184" s="313">
        <f t="shared" si="1053"/>
        <v>5210</v>
      </c>
      <c r="S1184" s="150">
        <f t="shared" si="1065"/>
        <v>6946.666666666667</v>
      </c>
      <c r="T1184" s="150"/>
      <c r="U1184" s="150">
        <v>6970</v>
      </c>
      <c r="V1184" s="199">
        <v>0</v>
      </c>
      <c r="W1184" s="150">
        <f t="shared" si="1059"/>
        <v>6970</v>
      </c>
      <c r="X1184" s="150">
        <v>6970</v>
      </c>
      <c r="Y1184" s="150">
        <v>0</v>
      </c>
      <c r="Z1184" s="150">
        <v>6970</v>
      </c>
      <c r="AA1184" s="150">
        <f t="shared" si="1060"/>
        <v>0</v>
      </c>
      <c r="AB1184" s="150">
        <v>6970</v>
      </c>
      <c r="AC1184" s="199">
        <v>0</v>
      </c>
      <c r="AD1184" s="150">
        <f t="shared" si="1054"/>
        <v>6970</v>
      </c>
      <c r="AE1184" s="150">
        <v>6970</v>
      </c>
      <c r="AF1184" s="169" t="s">
        <v>4680</v>
      </c>
      <c r="AG1184" s="201">
        <v>6970</v>
      </c>
      <c r="AH1184" s="199">
        <v>0</v>
      </c>
      <c r="AI1184" s="150">
        <v>6970</v>
      </c>
      <c r="AJ1184" s="169">
        <f t="shared" si="1061"/>
        <v>0</v>
      </c>
      <c r="AK1184" s="201">
        <v>6970</v>
      </c>
      <c r="AL1184" s="199">
        <v>0</v>
      </c>
      <c r="AM1184" s="150">
        <f t="shared" si="1055"/>
        <v>6970</v>
      </c>
      <c r="AN1184" s="153">
        <f t="shared" si="1062"/>
        <v>0</v>
      </c>
      <c r="AO1184" s="154">
        <f t="shared" si="1063"/>
        <v>0</v>
      </c>
      <c r="AP1184" s="150">
        <v>6970</v>
      </c>
      <c r="AQ1184" s="201">
        <v>6970</v>
      </c>
      <c r="AR1184" s="199">
        <v>0</v>
      </c>
      <c r="AS1184" s="150">
        <f t="shared" si="1056"/>
        <v>6970</v>
      </c>
      <c r="AT1184" s="155"/>
      <c r="AU1184" s="156">
        <f t="shared" si="1057"/>
        <v>0</v>
      </c>
      <c r="AV1184" s="156">
        <f t="shared" si="1058"/>
        <v>0</v>
      </c>
      <c r="AW1184" s="157"/>
      <c r="AX1184" s="150">
        <v>6970</v>
      </c>
      <c r="AY1184" s="150">
        <v>3810</v>
      </c>
      <c r="AZ1184" s="150">
        <f t="shared" si="1064"/>
        <v>2230</v>
      </c>
      <c r="BA1184" s="313">
        <v>6040</v>
      </c>
      <c r="BB1184" s="210"/>
      <c r="BC1184" s="210"/>
      <c r="BD1184" s="210"/>
      <c r="BE1184" s="210"/>
      <c r="BF1184" s="210"/>
      <c r="BG1184" s="210"/>
      <c r="BH1184" s="217"/>
      <c r="BI1184" s="210"/>
      <c r="BJ1184" s="210"/>
      <c r="BK1184" s="210"/>
      <c r="BL1184" s="210"/>
      <c r="BM1184" s="208"/>
      <c r="BN1184" s="160"/>
      <c r="BO1184" s="161"/>
      <c r="BP1184" s="161"/>
    </row>
    <row r="1185" spans="1:68" ht="51">
      <c r="A1185" s="210"/>
      <c r="B1185" s="195" t="s">
        <v>7938</v>
      </c>
      <c r="C1185" s="196" t="s">
        <v>7939</v>
      </c>
      <c r="D1185" s="146" t="s">
        <v>4692</v>
      </c>
      <c r="E1185" s="196" t="s">
        <v>7939</v>
      </c>
      <c r="F1185" s="150">
        <v>0</v>
      </c>
      <c r="G1185" s="209">
        <v>0</v>
      </c>
      <c r="H1185" s="209">
        <v>0</v>
      </c>
      <c r="I1185" s="209">
        <v>0</v>
      </c>
      <c r="J1185" s="150">
        <v>0</v>
      </c>
      <c r="K1185" s="150">
        <v>0</v>
      </c>
      <c r="L1185" s="150">
        <f t="shared" si="1066"/>
        <v>0</v>
      </c>
      <c r="M1185" s="150">
        <v>0</v>
      </c>
      <c r="N1185" s="150">
        <v>0</v>
      </c>
      <c r="O1185" s="150">
        <v>0</v>
      </c>
      <c r="P1185" s="150">
        <v>0</v>
      </c>
      <c r="Q1185" s="150">
        <v>0</v>
      </c>
      <c r="R1185" s="313">
        <f t="shared" si="1053"/>
        <v>0</v>
      </c>
      <c r="S1185" s="150">
        <f t="shared" si="1065"/>
        <v>0</v>
      </c>
      <c r="T1185" s="150"/>
      <c r="U1185" s="150">
        <v>0</v>
      </c>
      <c r="V1185" s="199">
        <v>0</v>
      </c>
      <c r="W1185" s="150">
        <f t="shared" si="1059"/>
        <v>0</v>
      </c>
      <c r="X1185" s="150">
        <v>0</v>
      </c>
      <c r="Y1185" s="150">
        <v>0</v>
      </c>
      <c r="Z1185" s="150">
        <v>0</v>
      </c>
      <c r="AA1185" s="150">
        <f t="shared" si="1060"/>
        <v>0</v>
      </c>
      <c r="AB1185" s="150">
        <v>0</v>
      </c>
      <c r="AC1185" s="199">
        <v>0</v>
      </c>
      <c r="AD1185" s="150">
        <f t="shared" si="1054"/>
        <v>0</v>
      </c>
      <c r="AE1185" s="150">
        <v>0</v>
      </c>
      <c r="AF1185" s="169" t="s">
        <v>4680</v>
      </c>
      <c r="AG1185" s="201">
        <v>0</v>
      </c>
      <c r="AH1185" s="199">
        <v>0</v>
      </c>
      <c r="AI1185" s="150">
        <v>0</v>
      </c>
      <c r="AJ1185" s="169">
        <f t="shared" si="1061"/>
        <v>0</v>
      </c>
      <c r="AK1185" s="201">
        <v>0</v>
      </c>
      <c r="AL1185" s="199">
        <v>0</v>
      </c>
      <c r="AM1185" s="150">
        <f t="shared" si="1055"/>
        <v>0</v>
      </c>
      <c r="AN1185" s="153">
        <f t="shared" si="1062"/>
        <v>0</v>
      </c>
      <c r="AO1185" s="154">
        <f t="shared" si="1063"/>
        <v>0</v>
      </c>
      <c r="AP1185" s="150">
        <v>0</v>
      </c>
      <c r="AQ1185" s="201">
        <v>0</v>
      </c>
      <c r="AR1185" s="199">
        <v>0</v>
      </c>
      <c r="AS1185" s="150">
        <f t="shared" si="1056"/>
        <v>0</v>
      </c>
      <c r="AT1185" s="155"/>
      <c r="AU1185" s="156">
        <f t="shared" si="1057"/>
        <v>0</v>
      </c>
      <c r="AV1185" s="156">
        <f t="shared" si="1058"/>
        <v>0</v>
      </c>
      <c r="AW1185" s="157"/>
      <c r="AX1185" s="150">
        <v>0</v>
      </c>
      <c r="AY1185" s="150">
        <v>0</v>
      </c>
      <c r="AZ1185" s="150">
        <f t="shared" si="1064"/>
        <v>0</v>
      </c>
      <c r="BA1185" s="313">
        <v>0</v>
      </c>
      <c r="BB1185" s="210"/>
      <c r="BC1185" s="210"/>
      <c r="BD1185" s="210"/>
      <c r="BE1185" s="210"/>
      <c r="BF1185" s="210"/>
      <c r="BG1185" s="210"/>
      <c r="BH1185" s="217"/>
      <c r="BI1185" s="210"/>
      <c r="BJ1185" s="210"/>
      <c r="BK1185" s="210"/>
      <c r="BL1185" s="210"/>
      <c r="BM1185" s="208"/>
      <c r="BN1185" s="160"/>
      <c r="BO1185" s="161"/>
      <c r="BP1185" s="161"/>
    </row>
    <row r="1186" spans="1:68" ht="63.75">
      <c r="A1186" s="210"/>
      <c r="B1186" s="195" t="s">
        <v>7940</v>
      </c>
      <c r="C1186" s="196" t="s">
        <v>7941</v>
      </c>
      <c r="D1186" s="146" t="s">
        <v>4692</v>
      </c>
      <c r="E1186" s="196" t="s">
        <v>7941</v>
      </c>
      <c r="F1186" s="150">
        <v>0</v>
      </c>
      <c r="G1186" s="209">
        <v>0</v>
      </c>
      <c r="H1186" s="209">
        <v>0</v>
      </c>
      <c r="I1186" s="209">
        <v>0</v>
      </c>
      <c r="J1186" s="150">
        <v>0</v>
      </c>
      <c r="K1186" s="150">
        <v>0</v>
      </c>
      <c r="L1186" s="150">
        <f t="shared" si="1066"/>
        <v>0</v>
      </c>
      <c r="M1186" s="150">
        <v>0</v>
      </c>
      <c r="N1186" s="150">
        <v>0</v>
      </c>
      <c r="O1186" s="150">
        <v>0</v>
      </c>
      <c r="P1186" s="150">
        <v>0</v>
      </c>
      <c r="Q1186" s="150">
        <v>0</v>
      </c>
      <c r="R1186" s="313">
        <f t="shared" si="1053"/>
        <v>0</v>
      </c>
      <c r="S1186" s="150">
        <f t="shared" si="1065"/>
        <v>0</v>
      </c>
      <c r="T1186" s="150"/>
      <c r="U1186" s="150">
        <v>0</v>
      </c>
      <c r="V1186" s="199">
        <v>0</v>
      </c>
      <c r="W1186" s="150">
        <f t="shared" si="1059"/>
        <v>0</v>
      </c>
      <c r="X1186" s="150">
        <v>0</v>
      </c>
      <c r="Y1186" s="150">
        <v>0</v>
      </c>
      <c r="Z1186" s="150">
        <v>0</v>
      </c>
      <c r="AA1186" s="150">
        <f t="shared" si="1060"/>
        <v>0</v>
      </c>
      <c r="AB1186" s="150">
        <v>0</v>
      </c>
      <c r="AC1186" s="199">
        <v>0</v>
      </c>
      <c r="AD1186" s="150">
        <f t="shared" si="1054"/>
        <v>0</v>
      </c>
      <c r="AE1186" s="150">
        <v>0</v>
      </c>
      <c r="AF1186" s="169" t="s">
        <v>4680</v>
      </c>
      <c r="AG1186" s="201">
        <v>0</v>
      </c>
      <c r="AH1186" s="199">
        <v>0</v>
      </c>
      <c r="AI1186" s="150">
        <v>0</v>
      </c>
      <c r="AJ1186" s="169">
        <f t="shared" si="1061"/>
        <v>0</v>
      </c>
      <c r="AK1186" s="201">
        <v>0</v>
      </c>
      <c r="AL1186" s="199">
        <v>0</v>
      </c>
      <c r="AM1186" s="150">
        <f t="shared" si="1055"/>
        <v>0</v>
      </c>
      <c r="AN1186" s="153">
        <f t="shared" si="1062"/>
        <v>0</v>
      </c>
      <c r="AO1186" s="154">
        <f t="shared" si="1063"/>
        <v>0</v>
      </c>
      <c r="AP1186" s="150">
        <v>0</v>
      </c>
      <c r="AQ1186" s="201">
        <v>0</v>
      </c>
      <c r="AR1186" s="199">
        <v>0</v>
      </c>
      <c r="AS1186" s="150">
        <f t="shared" si="1056"/>
        <v>0</v>
      </c>
      <c r="AT1186" s="155"/>
      <c r="AU1186" s="156">
        <f t="shared" si="1057"/>
        <v>0</v>
      </c>
      <c r="AV1186" s="156">
        <f t="shared" si="1058"/>
        <v>0</v>
      </c>
      <c r="AW1186" s="157"/>
      <c r="AX1186" s="150">
        <v>0</v>
      </c>
      <c r="AY1186" s="150">
        <v>0</v>
      </c>
      <c r="AZ1186" s="150">
        <f t="shared" si="1064"/>
        <v>0</v>
      </c>
      <c r="BA1186" s="313">
        <v>0</v>
      </c>
      <c r="BB1186" s="210"/>
      <c r="BC1186" s="210"/>
      <c r="BD1186" s="210"/>
      <c r="BE1186" s="210"/>
      <c r="BF1186" s="210"/>
      <c r="BG1186" s="210"/>
      <c r="BH1186" s="217"/>
      <c r="BI1186" s="210"/>
      <c r="BJ1186" s="210"/>
      <c r="BK1186" s="210"/>
      <c r="BL1186" s="210"/>
      <c r="BM1186" s="208"/>
      <c r="BN1186" s="160"/>
      <c r="BO1186" s="161"/>
      <c r="BP1186" s="161"/>
    </row>
    <row r="1187" spans="1:68" ht="51">
      <c r="A1187" s="210"/>
      <c r="B1187" s="195" t="s">
        <v>7942</v>
      </c>
      <c r="C1187" s="196" t="s">
        <v>7943</v>
      </c>
      <c r="D1187" s="146" t="s">
        <v>4692</v>
      </c>
      <c r="E1187" s="196" t="s">
        <v>7943</v>
      </c>
      <c r="F1187" s="150">
        <v>0</v>
      </c>
      <c r="G1187" s="209">
        <v>0</v>
      </c>
      <c r="H1187" s="209">
        <v>0</v>
      </c>
      <c r="I1187" s="209">
        <v>0</v>
      </c>
      <c r="J1187" s="150">
        <v>0</v>
      </c>
      <c r="K1187" s="150">
        <v>0</v>
      </c>
      <c r="L1187" s="150">
        <f t="shared" si="1066"/>
        <v>0</v>
      </c>
      <c r="M1187" s="150">
        <v>0</v>
      </c>
      <c r="N1187" s="150">
        <v>0</v>
      </c>
      <c r="O1187" s="150">
        <v>0</v>
      </c>
      <c r="P1187" s="150">
        <v>0</v>
      </c>
      <c r="Q1187" s="150">
        <v>0</v>
      </c>
      <c r="R1187" s="313">
        <f t="shared" si="1053"/>
        <v>0</v>
      </c>
      <c r="S1187" s="150">
        <f t="shared" si="1065"/>
        <v>0</v>
      </c>
      <c r="T1187" s="150"/>
      <c r="U1187" s="150">
        <v>0</v>
      </c>
      <c r="V1187" s="199">
        <v>0</v>
      </c>
      <c r="W1187" s="150">
        <f t="shared" si="1059"/>
        <v>0</v>
      </c>
      <c r="X1187" s="150">
        <v>0</v>
      </c>
      <c r="Y1187" s="150">
        <v>0</v>
      </c>
      <c r="Z1187" s="150">
        <v>0</v>
      </c>
      <c r="AA1187" s="150">
        <f t="shared" si="1060"/>
        <v>0</v>
      </c>
      <c r="AB1187" s="150">
        <v>0</v>
      </c>
      <c r="AC1187" s="199">
        <v>0</v>
      </c>
      <c r="AD1187" s="150">
        <f t="shared" si="1054"/>
        <v>0</v>
      </c>
      <c r="AE1187" s="150">
        <v>0</v>
      </c>
      <c r="AF1187" s="169" t="s">
        <v>4680</v>
      </c>
      <c r="AG1187" s="201">
        <v>0</v>
      </c>
      <c r="AH1187" s="199">
        <v>0</v>
      </c>
      <c r="AI1187" s="150">
        <v>0</v>
      </c>
      <c r="AJ1187" s="169">
        <f t="shared" si="1061"/>
        <v>0</v>
      </c>
      <c r="AK1187" s="201">
        <v>0</v>
      </c>
      <c r="AL1187" s="199">
        <v>0</v>
      </c>
      <c r="AM1187" s="150">
        <f t="shared" si="1055"/>
        <v>0</v>
      </c>
      <c r="AN1187" s="153">
        <f t="shared" si="1062"/>
        <v>0</v>
      </c>
      <c r="AO1187" s="154">
        <f t="shared" si="1063"/>
        <v>0</v>
      </c>
      <c r="AP1187" s="150">
        <v>0</v>
      </c>
      <c r="AQ1187" s="201">
        <v>0</v>
      </c>
      <c r="AR1187" s="199">
        <v>0</v>
      </c>
      <c r="AS1187" s="150">
        <f t="shared" si="1056"/>
        <v>0</v>
      </c>
      <c r="AT1187" s="155"/>
      <c r="AU1187" s="156">
        <f t="shared" si="1057"/>
        <v>0</v>
      </c>
      <c r="AV1187" s="156">
        <f t="shared" si="1058"/>
        <v>0</v>
      </c>
      <c r="AW1187" s="157"/>
      <c r="AX1187" s="150">
        <v>0</v>
      </c>
      <c r="AY1187" s="150">
        <v>0</v>
      </c>
      <c r="AZ1187" s="150">
        <f t="shared" si="1064"/>
        <v>0</v>
      </c>
      <c r="BA1187" s="313">
        <v>0</v>
      </c>
      <c r="BB1187" s="210"/>
      <c r="BC1187" s="210"/>
      <c r="BD1187" s="210"/>
      <c r="BE1187" s="210"/>
      <c r="BF1187" s="210"/>
      <c r="BG1187" s="210"/>
      <c r="BH1187" s="217"/>
      <c r="BI1187" s="210"/>
      <c r="BJ1187" s="210"/>
      <c r="BK1187" s="210"/>
      <c r="BL1187" s="210"/>
      <c r="BM1187" s="208"/>
      <c r="BN1187" s="160"/>
      <c r="BO1187" s="161"/>
      <c r="BP1187" s="161"/>
    </row>
    <row r="1188" spans="1:68" ht="51">
      <c r="A1188" s="210"/>
      <c r="B1188" s="195" t="s">
        <v>7944</v>
      </c>
      <c r="C1188" s="196" t="s">
        <v>7945</v>
      </c>
      <c r="D1188" s="146" t="s">
        <v>4692</v>
      </c>
      <c r="E1188" s="196" t="s">
        <v>7945</v>
      </c>
      <c r="F1188" s="150">
        <v>0</v>
      </c>
      <c r="G1188" s="209">
        <v>43150.77</v>
      </c>
      <c r="H1188" s="209">
        <v>-43150.77</v>
      </c>
      <c r="I1188" s="209">
        <v>0</v>
      </c>
      <c r="J1188" s="150">
        <v>0</v>
      </c>
      <c r="K1188" s="150">
        <v>0</v>
      </c>
      <c r="L1188" s="150">
        <f t="shared" si="1066"/>
        <v>0</v>
      </c>
      <c r="M1188" s="150">
        <v>0</v>
      </c>
      <c r="N1188" s="150">
        <v>0</v>
      </c>
      <c r="O1188" s="150">
        <v>0</v>
      </c>
      <c r="P1188" s="150">
        <v>0</v>
      </c>
      <c r="Q1188" s="150">
        <v>0</v>
      </c>
      <c r="R1188" s="313">
        <f t="shared" si="1053"/>
        <v>0</v>
      </c>
      <c r="S1188" s="150">
        <f t="shared" si="1065"/>
        <v>0</v>
      </c>
      <c r="T1188" s="150"/>
      <c r="U1188" s="150">
        <v>0</v>
      </c>
      <c r="V1188" s="199">
        <v>0</v>
      </c>
      <c r="W1188" s="150">
        <f t="shared" si="1059"/>
        <v>0</v>
      </c>
      <c r="X1188" s="150">
        <v>0</v>
      </c>
      <c r="Y1188" s="150">
        <v>0</v>
      </c>
      <c r="Z1188" s="150">
        <v>0</v>
      </c>
      <c r="AA1188" s="150">
        <f t="shared" si="1060"/>
        <v>0</v>
      </c>
      <c r="AB1188" s="150">
        <v>0</v>
      </c>
      <c r="AC1188" s="199">
        <v>0</v>
      </c>
      <c r="AD1188" s="150">
        <f t="shared" si="1054"/>
        <v>0</v>
      </c>
      <c r="AE1188" s="150">
        <v>0</v>
      </c>
      <c r="AF1188" s="169" t="s">
        <v>4680</v>
      </c>
      <c r="AG1188" s="201">
        <v>0</v>
      </c>
      <c r="AH1188" s="199">
        <v>0</v>
      </c>
      <c r="AI1188" s="150">
        <v>0</v>
      </c>
      <c r="AJ1188" s="169">
        <f t="shared" si="1061"/>
        <v>0</v>
      </c>
      <c r="AK1188" s="201">
        <v>0</v>
      </c>
      <c r="AL1188" s="199">
        <v>0</v>
      </c>
      <c r="AM1188" s="150">
        <f t="shared" si="1055"/>
        <v>0</v>
      </c>
      <c r="AN1188" s="153">
        <f t="shared" si="1062"/>
        <v>0</v>
      </c>
      <c r="AO1188" s="154">
        <f t="shared" si="1063"/>
        <v>0</v>
      </c>
      <c r="AP1188" s="150">
        <v>0</v>
      </c>
      <c r="AQ1188" s="201">
        <v>0</v>
      </c>
      <c r="AR1188" s="199">
        <v>0</v>
      </c>
      <c r="AS1188" s="150">
        <f t="shared" si="1056"/>
        <v>0</v>
      </c>
      <c r="AT1188" s="155"/>
      <c r="AU1188" s="156">
        <f t="shared" si="1057"/>
        <v>0</v>
      </c>
      <c r="AV1188" s="156">
        <f t="shared" si="1058"/>
        <v>0</v>
      </c>
      <c r="AW1188" s="157"/>
      <c r="AX1188" s="150">
        <v>0</v>
      </c>
      <c r="AY1188" s="150">
        <v>0</v>
      </c>
      <c r="AZ1188" s="150">
        <f t="shared" si="1064"/>
        <v>0</v>
      </c>
      <c r="BA1188" s="313">
        <v>0</v>
      </c>
      <c r="BB1188" s="210"/>
      <c r="BC1188" s="210"/>
      <c r="BD1188" s="210"/>
      <c r="BE1188" s="210"/>
      <c r="BF1188" s="210"/>
      <c r="BG1188" s="210"/>
      <c r="BH1188" s="217"/>
      <c r="BI1188" s="210"/>
      <c r="BJ1188" s="210"/>
      <c r="BK1188" s="210"/>
      <c r="BL1188" s="210"/>
      <c r="BM1188" s="208"/>
      <c r="BN1188" s="160"/>
      <c r="BO1188" s="161"/>
      <c r="BP1188" s="161"/>
    </row>
    <row r="1189" spans="1:68" ht="63.75">
      <c r="A1189" s="210"/>
      <c r="B1189" s="195" t="s">
        <v>7946</v>
      </c>
      <c r="C1189" s="196" t="s">
        <v>7947</v>
      </c>
      <c r="D1189" s="146" t="s">
        <v>4692</v>
      </c>
      <c r="E1189" s="196" t="s">
        <v>7947</v>
      </c>
      <c r="F1189" s="150">
        <v>-0.23</v>
      </c>
      <c r="G1189" s="209">
        <v>796.32</v>
      </c>
      <c r="H1189" s="209">
        <v>0</v>
      </c>
      <c r="I1189" s="209">
        <v>796.32</v>
      </c>
      <c r="J1189" s="150">
        <v>14999.79</v>
      </c>
      <c r="K1189" s="150">
        <v>0</v>
      </c>
      <c r="L1189" s="150">
        <f t="shared" si="1066"/>
        <v>14999.79</v>
      </c>
      <c r="M1189" s="150">
        <v>29999.58</v>
      </c>
      <c r="N1189" s="150">
        <v>0</v>
      </c>
      <c r="O1189" s="150">
        <v>29999.58</v>
      </c>
      <c r="P1189" s="150">
        <v>44846.59</v>
      </c>
      <c r="Q1189" s="150">
        <v>0</v>
      </c>
      <c r="R1189" s="313">
        <f t="shared" si="1053"/>
        <v>44846.59</v>
      </c>
      <c r="S1189" s="150">
        <f t="shared" si="1065"/>
        <v>59795.453333333324</v>
      </c>
      <c r="T1189" s="150"/>
      <c r="U1189" s="150">
        <v>59693.59</v>
      </c>
      <c r="V1189" s="199">
        <v>0</v>
      </c>
      <c r="W1189" s="150">
        <f t="shared" si="1059"/>
        <v>59693.59</v>
      </c>
      <c r="X1189" s="150">
        <v>59693.59</v>
      </c>
      <c r="Y1189" s="150">
        <v>0</v>
      </c>
      <c r="Z1189" s="150">
        <v>59693.59</v>
      </c>
      <c r="AA1189" s="150">
        <f t="shared" si="1060"/>
        <v>0</v>
      </c>
      <c r="AB1189" s="150">
        <v>59693.59</v>
      </c>
      <c r="AC1189" s="199">
        <v>0</v>
      </c>
      <c r="AD1189" s="150">
        <f t="shared" si="1054"/>
        <v>59693.59</v>
      </c>
      <c r="AE1189" s="150">
        <v>59693.59</v>
      </c>
      <c r="AF1189" s="169" t="s">
        <v>4680</v>
      </c>
      <c r="AG1189" s="201">
        <v>59693.59</v>
      </c>
      <c r="AH1189" s="199">
        <v>0</v>
      </c>
      <c r="AI1189" s="150">
        <v>59693.59</v>
      </c>
      <c r="AJ1189" s="169">
        <f t="shared" si="1061"/>
        <v>0</v>
      </c>
      <c r="AK1189" s="201">
        <v>59693.59</v>
      </c>
      <c r="AL1189" s="199">
        <v>0</v>
      </c>
      <c r="AM1189" s="150">
        <f t="shared" si="1055"/>
        <v>59693.59</v>
      </c>
      <c r="AN1189" s="153">
        <f t="shared" si="1062"/>
        <v>0</v>
      </c>
      <c r="AO1189" s="154">
        <f t="shared" si="1063"/>
        <v>0</v>
      </c>
      <c r="AP1189" s="150">
        <v>59693.59</v>
      </c>
      <c r="AQ1189" s="201">
        <v>59693.59</v>
      </c>
      <c r="AR1189" s="199">
        <v>0</v>
      </c>
      <c r="AS1189" s="150">
        <f t="shared" si="1056"/>
        <v>59693.59</v>
      </c>
      <c r="AT1189" s="155"/>
      <c r="AU1189" s="156">
        <f t="shared" si="1057"/>
        <v>0</v>
      </c>
      <c r="AV1189" s="156">
        <f t="shared" si="1058"/>
        <v>0</v>
      </c>
      <c r="AW1189" s="157"/>
      <c r="AX1189" s="150">
        <v>59693.59</v>
      </c>
      <c r="AY1189" s="150">
        <v>34999.51</v>
      </c>
      <c r="AZ1189" s="150">
        <f t="shared" si="1064"/>
        <v>24999.65</v>
      </c>
      <c r="BA1189" s="313">
        <v>59999.16</v>
      </c>
      <c r="BB1189" s="210"/>
      <c r="BC1189" s="210"/>
      <c r="BD1189" s="210"/>
      <c r="BE1189" s="210"/>
      <c r="BF1189" s="210"/>
      <c r="BG1189" s="210"/>
      <c r="BH1189" s="217"/>
      <c r="BI1189" s="210"/>
      <c r="BJ1189" s="210"/>
      <c r="BK1189" s="210"/>
      <c r="BL1189" s="210"/>
      <c r="BM1189" s="208"/>
      <c r="BN1189" s="160"/>
      <c r="BO1189" s="161"/>
      <c r="BP1189" s="161"/>
    </row>
    <row r="1190" spans="1:68" ht="51">
      <c r="A1190" s="210"/>
      <c r="B1190" s="195" t="s">
        <v>7948</v>
      </c>
      <c r="C1190" s="196" t="s">
        <v>7949</v>
      </c>
      <c r="D1190" s="146" t="s">
        <v>4692</v>
      </c>
      <c r="E1190" s="196" t="s">
        <v>7949</v>
      </c>
      <c r="F1190" s="150">
        <v>796.32</v>
      </c>
      <c r="G1190" s="209">
        <v>0</v>
      </c>
      <c r="H1190" s="209">
        <v>0</v>
      </c>
      <c r="I1190" s="209">
        <v>0</v>
      </c>
      <c r="J1190" s="150">
        <v>0</v>
      </c>
      <c r="K1190" s="150">
        <v>0</v>
      </c>
      <c r="L1190" s="150">
        <f t="shared" si="1066"/>
        <v>0</v>
      </c>
      <c r="M1190" s="150">
        <v>0</v>
      </c>
      <c r="N1190" s="150">
        <v>0</v>
      </c>
      <c r="O1190" s="150">
        <v>0</v>
      </c>
      <c r="P1190" s="150">
        <v>553.32000000000005</v>
      </c>
      <c r="Q1190" s="150">
        <v>0</v>
      </c>
      <c r="R1190" s="313">
        <f t="shared" si="1053"/>
        <v>553.32000000000005</v>
      </c>
      <c r="S1190" s="150">
        <f t="shared" si="1065"/>
        <v>737.76</v>
      </c>
      <c r="T1190" s="150"/>
      <c r="U1190" s="309"/>
      <c r="V1190" s="199">
        <v>0</v>
      </c>
      <c r="W1190" s="150">
        <f t="shared" si="1059"/>
        <v>0</v>
      </c>
      <c r="X1190" s="150"/>
      <c r="Y1190" s="150">
        <v>0</v>
      </c>
      <c r="Z1190" s="150">
        <v>0</v>
      </c>
      <c r="AA1190" s="150">
        <f t="shared" si="1060"/>
        <v>0</v>
      </c>
      <c r="AB1190" s="150">
        <v>0</v>
      </c>
      <c r="AC1190" s="199">
        <v>0</v>
      </c>
      <c r="AD1190" s="150">
        <f t="shared" si="1054"/>
        <v>0</v>
      </c>
      <c r="AE1190" s="150">
        <v>0</v>
      </c>
      <c r="AF1190" s="169" t="s">
        <v>4680</v>
      </c>
      <c r="AG1190" s="201">
        <v>0</v>
      </c>
      <c r="AH1190" s="199">
        <v>0</v>
      </c>
      <c r="AI1190" s="150">
        <v>0</v>
      </c>
      <c r="AJ1190" s="169">
        <f t="shared" si="1061"/>
        <v>0</v>
      </c>
      <c r="AK1190" s="201">
        <v>0</v>
      </c>
      <c r="AL1190" s="199">
        <v>0</v>
      </c>
      <c r="AM1190" s="150">
        <f t="shared" si="1055"/>
        <v>0</v>
      </c>
      <c r="AN1190" s="153">
        <f t="shared" si="1062"/>
        <v>0</v>
      </c>
      <c r="AO1190" s="154">
        <f t="shared" si="1063"/>
        <v>0</v>
      </c>
      <c r="AP1190" s="150">
        <v>0</v>
      </c>
      <c r="AQ1190" s="201">
        <v>0</v>
      </c>
      <c r="AR1190" s="199"/>
      <c r="AS1190" s="150">
        <f t="shared" si="1056"/>
        <v>0</v>
      </c>
      <c r="AT1190" s="155"/>
      <c r="AU1190" s="156">
        <f t="shared" si="1057"/>
        <v>0</v>
      </c>
      <c r="AV1190" s="156">
        <f t="shared" si="1058"/>
        <v>0</v>
      </c>
      <c r="AW1190" s="157"/>
      <c r="AX1190" s="150">
        <v>0</v>
      </c>
      <c r="AY1190" s="150">
        <v>0</v>
      </c>
      <c r="AZ1190" s="150">
        <f t="shared" si="1064"/>
        <v>0</v>
      </c>
      <c r="BA1190" s="313">
        <v>0</v>
      </c>
      <c r="BB1190" s="210"/>
      <c r="BC1190" s="210"/>
      <c r="BD1190" s="210"/>
      <c r="BE1190" s="210"/>
      <c r="BF1190" s="210"/>
      <c r="BG1190" s="210"/>
      <c r="BH1190" s="217"/>
      <c r="BI1190" s="210"/>
      <c r="BJ1190" s="210"/>
      <c r="BK1190" s="210"/>
      <c r="BL1190" s="210"/>
      <c r="BM1190" s="208"/>
      <c r="BN1190" s="160"/>
      <c r="BO1190" s="161"/>
      <c r="BP1190" s="161"/>
    </row>
    <row r="1191" spans="1:68" ht="51">
      <c r="A1191" s="210"/>
      <c r="B1191" s="195" t="s">
        <v>7950</v>
      </c>
      <c r="C1191" s="196" t="s">
        <v>7951</v>
      </c>
      <c r="D1191" s="146" t="s">
        <v>4692</v>
      </c>
      <c r="E1191" s="196" t="s">
        <v>7951</v>
      </c>
      <c r="F1191" s="150">
        <v>0</v>
      </c>
      <c r="G1191" s="209">
        <v>0</v>
      </c>
      <c r="H1191" s="209">
        <v>0</v>
      </c>
      <c r="I1191" s="209">
        <v>0</v>
      </c>
      <c r="J1191" s="150">
        <v>0</v>
      </c>
      <c r="K1191" s="150">
        <v>0</v>
      </c>
      <c r="L1191" s="150">
        <f t="shared" si="1066"/>
        <v>0</v>
      </c>
      <c r="M1191" s="150">
        <v>0</v>
      </c>
      <c r="N1191" s="150">
        <v>0</v>
      </c>
      <c r="O1191" s="150">
        <v>0</v>
      </c>
      <c r="P1191" s="150">
        <v>0</v>
      </c>
      <c r="Q1191" s="150">
        <v>0</v>
      </c>
      <c r="R1191" s="313">
        <f t="shared" si="1053"/>
        <v>0</v>
      </c>
      <c r="S1191" s="150">
        <f t="shared" si="1065"/>
        <v>0</v>
      </c>
      <c r="T1191" s="150"/>
      <c r="U1191" s="150">
        <v>0</v>
      </c>
      <c r="V1191" s="199">
        <v>0</v>
      </c>
      <c r="W1191" s="150">
        <f t="shared" si="1059"/>
        <v>0</v>
      </c>
      <c r="X1191" s="150">
        <v>0</v>
      </c>
      <c r="Y1191" s="150">
        <v>0</v>
      </c>
      <c r="Z1191" s="150">
        <v>0</v>
      </c>
      <c r="AA1191" s="150">
        <f t="shared" si="1060"/>
        <v>0</v>
      </c>
      <c r="AB1191" s="150">
        <v>0</v>
      </c>
      <c r="AC1191" s="199">
        <v>0</v>
      </c>
      <c r="AD1191" s="150">
        <f t="shared" si="1054"/>
        <v>0</v>
      </c>
      <c r="AE1191" s="150">
        <v>0</v>
      </c>
      <c r="AF1191" s="169" t="s">
        <v>4680</v>
      </c>
      <c r="AG1191" s="201">
        <v>0</v>
      </c>
      <c r="AH1191" s="199">
        <v>0</v>
      </c>
      <c r="AI1191" s="150">
        <v>0</v>
      </c>
      <c r="AJ1191" s="169">
        <f t="shared" si="1061"/>
        <v>0</v>
      </c>
      <c r="AK1191" s="201">
        <v>0</v>
      </c>
      <c r="AL1191" s="199">
        <v>0</v>
      </c>
      <c r="AM1191" s="150">
        <f t="shared" si="1055"/>
        <v>0</v>
      </c>
      <c r="AN1191" s="153">
        <f t="shared" si="1062"/>
        <v>0</v>
      </c>
      <c r="AO1191" s="154">
        <f t="shared" si="1063"/>
        <v>0</v>
      </c>
      <c r="AP1191" s="150">
        <v>0</v>
      </c>
      <c r="AQ1191" s="201">
        <v>0</v>
      </c>
      <c r="AR1191" s="199">
        <v>0</v>
      </c>
      <c r="AS1191" s="150">
        <f t="shared" si="1056"/>
        <v>0</v>
      </c>
      <c r="AT1191" s="155"/>
      <c r="AU1191" s="156">
        <f t="shared" si="1057"/>
        <v>0</v>
      </c>
      <c r="AV1191" s="156">
        <f t="shared" si="1058"/>
        <v>0</v>
      </c>
      <c r="AW1191" s="157"/>
      <c r="AX1191" s="150">
        <v>0</v>
      </c>
      <c r="AY1191" s="150">
        <v>0</v>
      </c>
      <c r="AZ1191" s="150">
        <f t="shared" si="1064"/>
        <v>0</v>
      </c>
      <c r="BA1191" s="313">
        <v>0</v>
      </c>
      <c r="BB1191" s="210"/>
      <c r="BC1191" s="210"/>
      <c r="BD1191" s="210"/>
      <c r="BE1191" s="210"/>
      <c r="BF1191" s="210"/>
      <c r="BG1191" s="210"/>
      <c r="BH1191" s="217"/>
      <c r="BI1191" s="210"/>
      <c r="BJ1191" s="210"/>
      <c r="BK1191" s="210"/>
      <c r="BL1191" s="210"/>
      <c r="BM1191" s="208"/>
      <c r="BN1191" s="160"/>
      <c r="BO1191" s="161"/>
      <c r="BP1191" s="161"/>
    </row>
    <row r="1192" spans="1:68" ht="51">
      <c r="A1192" s="210"/>
      <c r="B1192" s="195" t="s">
        <v>7952</v>
      </c>
      <c r="C1192" s="196" t="s">
        <v>7953</v>
      </c>
      <c r="D1192" s="146" t="s">
        <v>4692</v>
      </c>
      <c r="E1192" s="196" t="s">
        <v>7953</v>
      </c>
      <c r="F1192" s="150">
        <v>0</v>
      </c>
      <c r="G1192" s="209">
        <v>0</v>
      </c>
      <c r="H1192" s="209">
        <v>0</v>
      </c>
      <c r="I1192" s="209">
        <v>0</v>
      </c>
      <c r="J1192" s="150">
        <v>0</v>
      </c>
      <c r="K1192" s="150">
        <v>0</v>
      </c>
      <c r="L1192" s="150">
        <f t="shared" si="1066"/>
        <v>0</v>
      </c>
      <c r="M1192" s="150">
        <v>0</v>
      </c>
      <c r="N1192" s="150">
        <v>0</v>
      </c>
      <c r="O1192" s="150">
        <v>0</v>
      </c>
      <c r="P1192" s="150">
        <v>0</v>
      </c>
      <c r="Q1192" s="150">
        <v>0</v>
      </c>
      <c r="R1192" s="313">
        <f t="shared" si="1053"/>
        <v>0</v>
      </c>
      <c r="S1192" s="150">
        <f t="shared" si="1065"/>
        <v>0</v>
      </c>
      <c r="T1192" s="150"/>
      <c r="U1192" s="150">
        <v>0</v>
      </c>
      <c r="V1192" s="199">
        <v>0</v>
      </c>
      <c r="W1192" s="150">
        <f t="shared" si="1059"/>
        <v>0</v>
      </c>
      <c r="X1192" s="150">
        <v>0</v>
      </c>
      <c r="Y1192" s="150">
        <v>0</v>
      </c>
      <c r="Z1192" s="150">
        <v>0</v>
      </c>
      <c r="AA1192" s="150">
        <f t="shared" si="1060"/>
        <v>0</v>
      </c>
      <c r="AB1192" s="150">
        <v>0</v>
      </c>
      <c r="AC1192" s="199">
        <v>0</v>
      </c>
      <c r="AD1192" s="150">
        <f t="shared" si="1054"/>
        <v>0</v>
      </c>
      <c r="AE1192" s="150">
        <v>0</v>
      </c>
      <c r="AF1192" s="169" t="s">
        <v>4680</v>
      </c>
      <c r="AG1192" s="201">
        <v>0</v>
      </c>
      <c r="AH1192" s="199">
        <v>0</v>
      </c>
      <c r="AI1192" s="150">
        <v>0</v>
      </c>
      <c r="AJ1192" s="169">
        <f t="shared" si="1061"/>
        <v>0</v>
      </c>
      <c r="AK1192" s="201">
        <v>0</v>
      </c>
      <c r="AL1192" s="199">
        <v>0</v>
      </c>
      <c r="AM1192" s="150">
        <f t="shared" si="1055"/>
        <v>0</v>
      </c>
      <c r="AN1192" s="153">
        <f t="shared" si="1062"/>
        <v>0</v>
      </c>
      <c r="AO1192" s="154">
        <f t="shared" si="1063"/>
        <v>0</v>
      </c>
      <c r="AP1192" s="150">
        <v>0</v>
      </c>
      <c r="AQ1192" s="201">
        <v>0</v>
      </c>
      <c r="AR1192" s="199">
        <v>0</v>
      </c>
      <c r="AS1192" s="150">
        <f t="shared" si="1056"/>
        <v>0</v>
      </c>
      <c r="AT1192" s="155"/>
      <c r="AU1192" s="156">
        <f t="shared" si="1057"/>
        <v>0</v>
      </c>
      <c r="AV1192" s="156">
        <f t="shared" si="1058"/>
        <v>0</v>
      </c>
      <c r="AW1192" s="157"/>
      <c r="AX1192" s="150">
        <v>0</v>
      </c>
      <c r="AY1192" s="150">
        <v>0</v>
      </c>
      <c r="AZ1192" s="150">
        <f t="shared" si="1064"/>
        <v>0</v>
      </c>
      <c r="BA1192" s="313">
        <v>0</v>
      </c>
      <c r="BB1192" s="210"/>
      <c r="BC1192" s="210"/>
      <c r="BD1192" s="210"/>
      <c r="BE1192" s="210"/>
      <c r="BF1192" s="210"/>
      <c r="BG1192" s="210"/>
      <c r="BH1192" s="217"/>
      <c r="BI1192" s="210"/>
      <c r="BJ1192" s="210"/>
      <c r="BK1192" s="210"/>
      <c r="BL1192" s="210"/>
      <c r="BM1192" s="208"/>
      <c r="BN1192" s="160"/>
      <c r="BO1192" s="161"/>
      <c r="BP1192" s="161"/>
    </row>
    <row r="1193" spans="1:68" ht="63.75">
      <c r="A1193" s="210"/>
      <c r="B1193" s="195" t="s">
        <v>7954</v>
      </c>
      <c r="C1193" s="196" t="s">
        <v>7955</v>
      </c>
      <c r="D1193" s="146" t="s">
        <v>4692</v>
      </c>
      <c r="E1193" s="196" t="s">
        <v>7955</v>
      </c>
      <c r="F1193" s="150">
        <v>0</v>
      </c>
      <c r="G1193" s="209">
        <v>2399.9499999999998</v>
      </c>
      <c r="H1193" s="209">
        <v>-2399.9499999999998</v>
      </c>
      <c r="I1193" s="209">
        <v>0</v>
      </c>
      <c r="J1193" s="150">
        <v>0</v>
      </c>
      <c r="K1193" s="150">
        <v>0</v>
      </c>
      <c r="L1193" s="150">
        <f t="shared" si="1066"/>
        <v>0</v>
      </c>
      <c r="M1193" s="150">
        <v>0</v>
      </c>
      <c r="N1193" s="150">
        <v>0</v>
      </c>
      <c r="O1193" s="150">
        <v>0</v>
      </c>
      <c r="P1193" s="150">
        <v>1214.1600000000001</v>
      </c>
      <c r="Q1193" s="150">
        <v>0</v>
      </c>
      <c r="R1193" s="313">
        <f t="shared" si="1053"/>
        <v>1214.1600000000001</v>
      </c>
      <c r="S1193" s="150">
        <f t="shared" si="1065"/>
        <v>1618.88</v>
      </c>
      <c r="T1193" s="150"/>
      <c r="U1193" s="150">
        <v>1214.1600000000001</v>
      </c>
      <c r="V1193" s="199">
        <v>0</v>
      </c>
      <c r="W1193" s="150">
        <f t="shared" si="1059"/>
        <v>1214.1600000000001</v>
      </c>
      <c r="X1193" s="150">
        <v>1214.1600000000001</v>
      </c>
      <c r="Y1193" s="150">
        <v>0</v>
      </c>
      <c r="Z1193" s="150">
        <v>1214.1600000000001</v>
      </c>
      <c r="AA1193" s="150">
        <f t="shared" si="1060"/>
        <v>0</v>
      </c>
      <c r="AB1193" s="150">
        <v>1214.1600000000001</v>
      </c>
      <c r="AC1193" s="199">
        <v>0</v>
      </c>
      <c r="AD1193" s="150">
        <f t="shared" si="1054"/>
        <v>1214.1600000000001</v>
      </c>
      <c r="AE1193" s="150">
        <v>1214.1600000000001</v>
      </c>
      <c r="AF1193" s="169" t="s">
        <v>4680</v>
      </c>
      <c r="AG1193" s="201">
        <v>1214.1600000000001</v>
      </c>
      <c r="AH1193" s="199">
        <v>0</v>
      </c>
      <c r="AI1193" s="150">
        <v>1214.1600000000001</v>
      </c>
      <c r="AJ1193" s="169">
        <f t="shared" si="1061"/>
        <v>0</v>
      </c>
      <c r="AK1193" s="201">
        <v>1214.1600000000001</v>
      </c>
      <c r="AL1193" s="199">
        <v>0</v>
      </c>
      <c r="AM1193" s="150">
        <f t="shared" si="1055"/>
        <v>1214.1600000000001</v>
      </c>
      <c r="AN1193" s="153">
        <f t="shared" si="1062"/>
        <v>0</v>
      </c>
      <c r="AO1193" s="154">
        <f t="shared" si="1063"/>
        <v>0</v>
      </c>
      <c r="AP1193" s="150">
        <v>1214.1600000000001</v>
      </c>
      <c r="AQ1193" s="201">
        <v>1214.1600000000001</v>
      </c>
      <c r="AR1193" s="199">
        <v>0</v>
      </c>
      <c r="AS1193" s="150">
        <f t="shared" si="1056"/>
        <v>1214.1600000000001</v>
      </c>
      <c r="AT1193" s="155"/>
      <c r="AU1193" s="156">
        <f t="shared" si="1057"/>
        <v>0</v>
      </c>
      <c r="AV1193" s="156">
        <f t="shared" si="1058"/>
        <v>0</v>
      </c>
      <c r="AW1193" s="157"/>
      <c r="AX1193" s="150">
        <v>1214.1600000000001</v>
      </c>
      <c r="AY1193" s="150">
        <v>0</v>
      </c>
      <c r="AZ1193" s="150">
        <f t="shared" si="1064"/>
        <v>0</v>
      </c>
      <c r="BA1193" s="313">
        <v>0</v>
      </c>
      <c r="BB1193" s="210"/>
      <c r="BC1193" s="210"/>
      <c r="BD1193" s="210"/>
      <c r="BE1193" s="210"/>
      <c r="BF1193" s="210"/>
      <c r="BG1193" s="210"/>
      <c r="BH1193" s="217"/>
      <c r="BI1193" s="210"/>
      <c r="BJ1193" s="210"/>
      <c r="BK1193" s="210"/>
      <c r="BL1193" s="210"/>
      <c r="BM1193" s="208"/>
      <c r="BN1193" s="160"/>
      <c r="BO1193" s="161"/>
      <c r="BP1193" s="161"/>
    </row>
    <row r="1194" spans="1:68" ht="38.25">
      <c r="A1194" s="210"/>
      <c r="B1194" s="195" t="s">
        <v>7956</v>
      </c>
      <c r="C1194" s="196" t="s">
        <v>7957</v>
      </c>
      <c r="D1194" s="146" t="s">
        <v>4692</v>
      </c>
      <c r="E1194" s="196" t="s">
        <v>7957</v>
      </c>
      <c r="F1194" s="150">
        <v>-0.05</v>
      </c>
      <c r="G1194" s="209">
        <v>0</v>
      </c>
      <c r="H1194" s="209">
        <v>0</v>
      </c>
      <c r="I1194" s="209">
        <v>0</v>
      </c>
      <c r="J1194" s="150">
        <v>0</v>
      </c>
      <c r="K1194" s="150">
        <v>0</v>
      </c>
      <c r="L1194" s="150">
        <f t="shared" si="1066"/>
        <v>0</v>
      </c>
      <c r="M1194" s="150">
        <v>0</v>
      </c>
      <c r="N1194" s="150">
        <v>0</v>
      </c>
      <c r="O1194" s="150">
        <v>0</v>
      </c>
      <c r="P1194" s="150">
        <v>0</v>
      </c>
      <c r="Q1194" s="150">
        <v>0</v>
      </c>
      <c r="R1194" s="313">
        <f t="shared" si="1053"/>
        <v>0</v>
      </c>
      <c r="S1194" s="150">
        <f t="shared" si="1065"/>
        <v>0</v>
      </c>
      <c r="T1194" s="150"/>
      <c r="U1194" s="150">
        <v>0</v>
      </c>
      <c r="V1194" s="199">
        <v>0</v>
      </c>
      <c r="W1194" s="150">
        <f t="shared" si="1059"/>
        <v>0</v>
      </c>
      <c r="X1194" s="150">
        <v>0</v>
      </c>
      <c r="Y1194" s="150">
        <v>0</v>
      </c>
      <c r="Z1194" s="150">
        <v>0</v>
      </c>
      <c r="AA1194" s="150">
        <f t="shared" si="1060"/>
        <v>0</v>
      </c>
      <c r="AB1194" s="150">
        <v>0</v>
      </c>
      <c r="AC1194" s="199">
        <v>0</v>
      </c>
      <c r="AD1194" s="150">
        <f t="shared" si="1054"/>
        <v>0</v>
      </c>
      <c r="AE1194" s="150">
        <v>0</v>
      </c>
      <c r="AF1194" s="169" t="s">
        <v>4680</v>
      </c>
      <c r="AG1194" s="201">
        <v>0</v>
      </c>
      <c r="AH1194" s="199">
        <v>0</v>
      </c>
      <c r="AI1194" s="150">
        <v>0</v>
      </c>
      <c r="AJ1194" s="169">
        <f t="shared" si="1061"/>
        <v>0</v>
      </c>
      <c r="AK1194" s="201">
        <v>0</v>
      </c>
      <c r="AL1194" s="199">
        <v>0</v>
      </c>
      <c r="AM1194" s="150">
        <f t="shared" si="1055"/>
        <v>0</v>
      </c>
      <c r="AN1194" s="153">
        <f t="shared" si="1062"/>
        <v>0</v>
      </c>
      <c r="AO1194" s="154">
        <f t="shared" si="1063"/>
        <v>0</v>
      </c>
      <c r="AP1194" s="150">
        <v>0</v>
      </c>
      <c r="AQ1194" s="201">
        <v>0</v>
      </c>
      <c r="AR1194" s="199">
        <v>0</v>
      </c>
      <c r="AS1194" s="150">
        <f t="shared" si="1056"/>
        <v>0</v>
      </c>
      <c r="AT1194" s="155"/>
      <c r="AU1194" s="156">
        <f t="shared" si="1057"/>
        <v>0</v>
      </c>
      <c r="AV1194" s="156">
        <f t="shared" si="1058"/>
        <v>0</v>
      </c>
      <c r="AW1194" s="157"/>
      <c r="AX1194" s="150">
        <v>0</v>
      </c>
      <c r="AY1194" s="150">
        <v>0</v>
      </c>
      <c r="AZ1194" s="150">
        <f t="shared" si="1064"/>
        <v>0</v>
      </c>
      <c r="BA1194" s="313">
        <v>0</v>
      </c>
      <c r="BB1194" s="210"/>
      <c r="BC1194" s="210"/>
      <c r="BD1194" s="210"/>
      <c r="BE1194" s="210"/>
      <c r="BF1194" s="210"/>
      <c r="BG1194" s="210"/>
      <c r="BH1194" s="217"/>
      <c r="BI1194" s="210"/>
      <c r="BJ1194" s="210"/>
      <c r="BK1194" s="210"/>
      <c r="BL1194" s="210"/>
      <c r="BM1194" s="208"/>
      <c r="BN1194" s="160"/>
      <c r="BO1194" s="161"/>
      <c r="BP1194" s="161"/>
    </row>
    <row r="1195" spans="1:68" ht="63.75">
      <c r="A1195" s="206" t="s">
        <v>452</v>
      </c>
      <c r="B1195" s="195" t="s">
        <v>7958</v>
      </c>
      <c r="C1195" s="196" t="s">
        <v>7959</v>
      </c>
      <c r="D1195" s="146" t="s">
        <v>4692</v>
      </c>
      <c r="E1195" s="196" t="s">
        <v>7959</v>
      </c>
      <c r="F1195" s="150">
        <v>0</v>
      </c>
      <c r="G1195" s="209">
        <v>0</v>
      </c>
      <c r="H1195" s="209">
        <v>0</v>
      </c>
      <c r="I1195" s="209">
        <v>0</v>
      </c>
      <c r="J1195" s="150">
        <v>0</v>
      </c>
      <c r="K1195" s="150">
        <v>0</v>
      </c>
      <c r="L1195" s="150">
        <f t="shared" si="1066"/>
        <v>0</v>
      </c>
      <c r="M1195" s="150">
        <v>0</v>
      </c>
      <c r="N1195" s="150">
        <v>0</v>
      </c>
      <c r="O1195" s="150">
        <v>0</v>
      </c>
      <c r="P1195" s="150">
        <v>0</v>
      </c>
      <c r="Q1195" s="150">
        <v>0</v>
      </c>
      <c r="R1195" s="313">
        <f t="shared" si="1053"/>
        <v>0</v>
      </c>
      <c r="S1195" s="150">
        <f t="shared" si="1065"/>
        <v>0</v>
      </c>
      <c r="T1195" s="150"/>
      <c r="U1195" s="150">
        <v>0</v>
      </c>
      <c r="V1195" s="199">
        <v>0</v>
      </c>
      <c r="W1195" s="150">
        <f t="shared" si="1059"/>
        <v>0</v>
      </c>
      <c r="X1195" s="150">
        <v>0</v>
      </c>
      <c r="Y1195" s="150">
        <v>0</v>
      </c>
      <c r="Z1195" s="150">
        <v>0</v>
      </c>
      <c r="AA1195" s="150">
        <f t="shared" si="1060"/>
        <v>0</v>
      </c>
      <c r="AB1195" s="150">
        <v>0</v>
      </c>
      <c r="AC1195" s="199">
        <v>0</v>
      </c>
      <c r="AD1195" s="150">
        <f t="shared" si="1054"/>
        <v>0</v>
      </c>
      <c r="AE1195" s="150">
        <v>0</v>
      </c>
      <c r="AF1195" s="169" t="s">
        <v>4680</v>
      </c>
      <c r="AG1195" s="201">
        <v>0</v>
      </c>
      <c r="AH1195" s="199">
        <v>0</v>
      </c>
      <c r="AI1195" s="150">
        <v>0</v>
      </c>
      <c r="AJ1195" s="169">
        <f t="shared" si="1061"/>
        <v>0</v>
      </c>
      <c r="AK1195" s="201">
        <v>0</v>
      </c>
      <c r="AL1195" s="199">
        <v>0</v>
      </c>
      <c r="AM1195" s="150">
        <f t="shared" si="1055"/>
        <v>0</v>
      </c>
      <c r="AN1195" s="153">
        <f t="shared" si="1062"/>
        <v>0</v>
      </c>
      <c r="AO1195" s="154">
        <f t="shared" si="1063"/>
        <v>0</v>
      </c>
      <c r="AP1195" s="150">
        <v>0</v>
      </c>
      <c r="AQ1195" s="201">
        <v>0</v>
      </c>
      <c r="AR1195" s="199">
        <v>0</v>
      </c>
      <c r="AS1195" s="150">
        <f t="shared" si="1056"/>
        <v>0</v>
      </c>
      <c r="AT1195" s="155"/>
      <c r="AU1195" s="156">
        <f t="shared" si="1057"/>
        <v>0</v>
      </c>
      <c r="AV1195" s="156">
        <f t="shared" si="1058"/>
        <v>0</v>
      </c>
      <c r="AW1195" s="157"/>
      <c r="AX1195" s="150">
        <v>0</v>
      </c>
      <c r="AY1195" s="150">
        <v>0</v>
      </c>
      <c r="AZ1195" s="150">
        <f t="shared" si="1064"/>
        <v>0</v>
      </c>
      <c r="BA1195" s="313">
        <v>0</v>
      </c>
      <c r="BB1195" s="202">
        <v>5</v>
      </c>
      <c r="BC1195" s="202" t="s">
        <v>647</v>
      </c>
      <c r="BD1195" s="194" t="s">
        <v>647</v>
      </c>
      <c r="BE1195" s="335" t="s">
        <v>671</v>
      </c>
      <c r="BF1195" s="202" t="s">
        <v>755</v>
      </c>
      <c r="BG1195" s="287" t="s">
        <v>7960</v>
      </c>
      <c r="BH1195" s="283">
        <f>SUM(AS1195:AS1198)</f>
        <v>1002857.3200000001</v>
      </c>
      <c r="BI1195" s="205"/>
      <c r="BJ1195" s="206" t="s">
        <v>7734</v>
      </c>
      <c r="BK1195" s="206" t="s">
        <v>452</v>
      </c>
      <c r="BL1195" s="207" t="s">
        <v>7735</v>
      </c>
      <c r="BM1195" s="208">
        <f>BH1195</f>
        <v>1002857.3200000001</v>
      </c>
      <c r="BN1195" s="160"/>
      <c r="BO1195" s="161"/>
      <c r="BP1195" s="161"/>
    </row>
    <row r="1196" spans="1:68" ht="51">
      <c r="A1196" s="210"/>
      <c r="B1196" s="195" t="s">
        <v>7961</v>
      </c>
      <c r="C1196" s="196" t="s">
        <v>7962</v>
      </c>
      <c r="D1196" s="146" t="s">
        <v>4692</v>
      </c>
      <c r="E1196" s="196" t="s">
        <v>7962</v>
      </c>
      <c r="F1196" s="150">
        <v>0</v>
      </c>
      <c r="G1196" s="209">
        <v>0</v>
      </c>
      <c r="H1196" s="209">
        <v>0</v>
      </c>
      <c r="I1196" s="209">
        <v>0</v>
      </c>
      <c r="J1196" s="150">
        <v>0</v>
      </c>
      <c r="K1196" s="150">
        <v>0</v>
      </c>
      <c r="L1196" s="150">
        <f t="shared" si="1066"/>
        <v>0</v>
      </c>
      <c r="M1196" s="150">
        <v>0</v>
      </c>
      <c r="N1196" s="150">
        <v>206101.39</v>
      </c>
      <c r="O1196" s="150">
        <v>206101.39</v>
      </c>
      <c r="P1196" s="150">
        <v>0</v>
      </c>
      <c r="Q1196" s="150">
        <v>314219</v>
      </c>
      <c r="R1196" s="313">
        <f t="shared" si="1053"/>
        <v>314219</v>
      </c>
      <c r="S1196" s="150">
        <f t="shared" si="1065"/>
        <v>418958.66666666663</v>
      </c>
      <c r="T1196" s="150"/>
      <c r="U1196" s="150">
        <v>0</v>
      </c>
      <c r="V1196" s="199">
        <v>417445.21503569116</v>
      </c>
      <c r="W1196" s="150">
        <f t="shared" si="1059"/>
        <v>417445.21503569116</v>
      </c>
      <c r="X1196" s="150">
        <v>0</v>
      </c>
      <c r="Y1196" s="150">
        <v>417445.21503569116</v>
      </c>
      <c r="Z1196" s="150">
        <v>417445.21503569116</v>
      </c>
      <c r="AA1196" s="150">
        <f t="shared" si="1060"/>
        <v>-1932.2150356911588</v>
      </c>
      <c r="AB1196" s="150">
        <v>0</v>
      </c>
      <c r="AC1196" s="199">
        <v>415513</v>
      </c>
      <c r="AD1196" s="150">
        <f t="shared" si="1054"/>
        <v>415513</v>
      </c>
      <c r="AE1196" s="150">
        <v>415513</v>
      </c>
      <c r="AF1196" s="169" t="s">
        <v>4680</v>
      </c>
      <c r="AG1196" s="201">
        <v>0</v>
      </c>
      <c r="AH1196" s="199">
        <v>415513</v>
      </c>
      <c r="AI1196" s="150">
        <v>415513</v>
      </c>
      <c r="AJ1196" s="169">
        <f t="shared" si="1061"/>
        <v>0</v>
      </c>
      <c r="AK1196" s="201">
        <v>0</v>
      </c>
      <c r="AL1196" s="199">
        <v>415513</v>
      </c>
      <c r="AM1196" s="150">
        <f t="shared" si="1055"/>
        <v>415513</v>
      </c>
      <c r="AN1196" s="153">
        <f t="shared" si="1062"/>
        <v>0</v>
      </c>
      <c r="AO1196" s="154">
        <f t="shared" si="1063"/>
        <v>0</v>
      </c>
      <c r="AP1196" s="150">
        <v>415513</v>
      </c>
      <c r="AQ1196" s="201">
        <v>415513</v>
      </c>
      <c r="AR1196" s="199"/>
      <c r="AS1196" s="150">
        <f t="shared" si="1056"/>
        <v>415513</v>
      </c>
      <c r="AT1196" s="155"/>
      <c r="AU1196" s="156">
        <f t="shared" si="1057"/>
        <v>0</v>
      </c>
      <c r="AV1196" s="156">
        <f t="shared" si="1058"/>
        <v>-1932.2150356911588</v>
      </c>
      <c r="AW1196" s="157"/>
      <c r="AX1196" s="150">
        <v>417445.21503569116</v>
      </c>
      <c r="AY1196" s="150">
        <v>0</v>
      </c>
      <c r="AZ1196" s="150">
        <f t="shared" si="1064"/>
        <v>412202.78</v>
      </c>
      <c r="BA1196" s="313">
        <v>412202.78</v>
      </c>
      <c r="BB1196" s="210"/>
      <c r="BC1196" s="210"/>
      <c r="BD1196" s="210"/>
      <c r="BE1196" s="210"/>
      <c r="BF1196" s="210"/>
      <c r="BG1196" s="210"/>
      <c r="BH1196" s="217"/>
      <c r="BI1196" s="210"/>
      <c r="BJ1196" s="210"/>
      <c r="BK1196" s="210"/>
      <c r="BL1196" s="210"/>
      <c r="BM1196" s="208"/>
      <c r="BN1196" s="160"/>
      <c r="BO1196" s="161"/>
      <c r="BP1196" s="161"/>
    </row>
    <row r="1197" spans="1:68" ht="63.75">
      <c r="A1197" s="210"/>
      <c r="B1197" s="195" t="s">
        <v>7963</v>
      </c>
      <c r="C1197" s="196" t="s">
        <v>7964</v>
      </c>
      <c r="D1197" s="146" t="s">
        <v>4692</v>
      </c>
      <c r="E1197" s="196" t="s">
        <v>7964</v>
      </c>
      <c r="F1197" s="150">
        <v>0</v>
      </c>
      <c r="G1197" s="209">
        <v>271034.65999999997</v>
      </c>
      <c r="H1197" s="209">
        <v>-271034.65999999997</v>
      </c>
      <c r="I1197" s="209">
        <v>0</v>
      </c>
      <c r="J1197" s="150">
        <v>0</v>
      </c>
      <c r="K1197" s="150">
        <v>0</v>
      </c>
      <c r="L1197" s="150">
        <f t="shared" si="1066"/>
        <v>0</v>
      </c>
      <c r="M1197" s="150">
        <v>0</v>
      </c>
      <c r="N1197" s="150">
        <v>147713.32</v>
      </c>
      <c r="O1197" s="150">
        <v>147713.32</v>
      </c>
      <c r="P1197" s="150">
        <v>0</v>
      </c>
      <c r="Q1197" s="150">
        <v>424981</v>
      </c>
      <c r="R1197" s="313">
        <f t="shared" si="1053"/>
        <v>424981</v>
      </c>
      <c r="S1197" s="150">
        <f t="shared" si="1065"/>
        <v>566641.33333333326</v>
      </c>
      <c r="T1197" s="150"/>
      <c r="U1197" s="150">
        <v>0</v>
      </c>
      <c r="V1197" s="199">
        <v>199999.99503569113</v>
      </c>
      <c r="W1197" s="150">
        <f t="shared" si="1059"/>
        <v>199999.99503569113</v>
      </c>
      <c r="X1197" s="150">
        <v>0</v>
      </c>
      <c r="Y1197" s="150">
        <v>199999.99503569113</v>
      </c>
      <c r="Z1197" s="150">
        <v>199999.99503569113</v>
      </c>
      <c r="AA1197" s="150">
        <f t="shared" si="1060"/>
        <v>106970.00496430887</v>
      </c>
      <c r="AB1197" s="150">
        <v>0</v>
      </c>
      <c r="AC1197" s="199">
        <v>306970</v>
      </c>
      <c r="AD1197" s="150">
        <f t="shared" si="1054"/>
        <v>306970</v>
      </c>
      <c r="AE1197" s="150">
        <v>306970</v>
      </c>
      <c r="AF1197" s="169" t="s">
        <v>4680</v>
      </c>
      <c r="AG1197" s="201">
        <v>0</v>
      </c>
      <c r="AH1197" s="199">
        <v>306970</v>
      </c>
      <c r="AI1197" s="150">
        <v>306970</v>
      </c>
      <c r="AJ1197" s="169">
        <f t="shared" si="1061"/>
        <v>0</v>
      </c>
      <c r="AK1197" s="201">
        <v>0</v>
      </c>
      <c r="AL1197" s="199">
        <v>306970</v>
      </c>
      <c r="AM1197" s="150">
        <f t="shared" si="1055"/>
        <v>306970</v>
      </c>
      <c r="AN1197" s="153">
        <f t="shared" si="1062"/>
        <v>0</v>
      </c>
      <c r="AO1197" s="154">
        <f t="shared" si="1063"/>
        <v>0</v>
      </c>
      <c r="AP1197" s="150">
        <v>306970</v>
      </c>
      <c r="AQ1197" s="201">
        <v>306970</v>
      </c>
      <c r="AR1197" s="199"/>
      <c r="AS1197" s="150">
        <f t="shared" si="1056"/>
        <v>306970</v>
      </c>
      <c r="AT1197" s="155"/>
      <c r="AU1197" s="156">
        <f t="shared" si="1057"/>
        <v>0</v>
      </c>
      <c r="AV1197" s="156">
        <f t="shared" si="1058"/>
        <v>106970.00496430887</v>
      </c>
      <c r="AW1197" s="157"/>
      <c r="AX1197" s="150">
        <v>199999.99503569113</v>
      </c>
      <c r="AY1197" s="150">
        <v>0</v>
      </c>
      <c r="AZ1197" s="150">
        <f t="shared" si="1064"/>
        <v>295426.64</v>
      </c>
      <c r="BA1197" s="313">
        <v>295426.64</v>
      </c>
      <c r="BB1197" s="210"/>
      <c r="BC1197" s="210"/>
      <c r="BD1197" s="210"/>
      <c r="BE1197" s="210"/>
      <c r="BF1197" s="210"/>
      <c r="BG1197" s="210"/>
      <c r="BH1197" s="217"/>
      <c r="BI1197" s="210"/>
      <c r="BJ1197" s="210"/>
      <c r="BK1197" s="210"/>
      <c r="BL1197" s="210"/>
      <c r="BM1197" s="208"/>
      <c r="BN1197" s="160"/>
      <c r="BO1197" s="161"/>
      <c r="BP1197" s="161"/>
    </row>
    <row r="1198" spans="1:68" ht="63.75">
      <c r="A1198" s="210"/>
      <c r="B1198" s="195" t="s">
        <v>7965</v>
      </c>
      <c r="C1198" s="196" t="s">
        <v>7966</v>
      </c>
      <c r="D1198" s="146" t="s">
        <v>4692</v>
      </c>
      <c r="E1198" s="196" t="s">
        <v>7966</v>
      </c>
      <c r="F1198" s="150">
        <v>-0.34</v>
      </c>
      <c r="G1198" s="209">
        <v>3846.54</v>
      </c>
      <c r="H1198" s="209">
        <v>1479.1937563775509</v>
      </c>
      <c r="I1198" s="209">
        <v>5325.7337563775509</v>
      </c>
      <c r="J1198" s="150">
        <v>74932.789999999994</v>
      </c>
      <c r="K1198" s="150">
        <v>0</v>
      </c>
      <c r="L1198" s="150">
        <f t="shared" si="1066"/>
        <v>74932.789999999994</v>
      </c>
      <c r="M1198" s="150">
        <v>146532.26</v>
      </c>
      <c r="N1198" s="150">
        <v>0</v>
      </c>
      <c r="O1198" s="150">
        <v>146532.26</v>
      </c>
      <c r="P1198" s="150">
        <v>214382.58</v>
      </c>
      <c r="Q1198" s="150">
        <v>0</v>
      </c>
      <c r="R1198" s="313">
        <f t="shared" si="1053"/>
        <v>214382.58</v>
      </c>
      <c r="S1198" s="150">
        <f t="shared" si="1065"/>
        <v>285843.44</v>
      </c>
      <c r="T1198" s="150"/>
      <c r="U1198" s="150">
        <v>280374.32</v>
      </c>
      <c r="V1198" s="199">
        <v>0</v>
      </c>
      <c r="W1198" s="150">
        <f t="shared" si="1059"/>
        <v>280374.32</v>
      </c>
      <c r="X1198" s="150">
        <v>280374.32</v>
      </c>
      <c r="Y1198" s="150">
        <v>0</v>
      </c>
      <c r="Z1198" s="150">
        <v>280374.32</v>
      </c>
      <c r="AA1198" s="150">
        <f t="shared" si="1060"/>
        <v>0</v>
      </c>
      <c r="AB1198" s="150">
        <v>280374.32</v>
      </c>
      <c r="AC1198" s="199">
        <v>0</v>
      </c>
      <c r="AD1198" s="150">
        <f t="shared" si="1054"/>
        <v>280374.32</v>
      </c>
      <c r="AE1198" s="150">
        <v>280374.32</v>
      </c>
      <c r="AF1198" s="169" t="s">
        <v>4680</v>
      </c>
      <c r="AG1198" s="201">
        <v>280374.32</v>
      </c>
      <c r="AH1198" s="199">
        <v>0</v>
      </c>
      <c r="AI1198" s="150">
        <v>280374.32</v>
      </c>
      <c r="AJ1198" s="169">
        <f t="shared" si="1061"/>
        <v>0</v>
      </c>
      <c r="AK1198" s="201">
        <v>280374.32</v>
      </c>
      <c r="AL1198" s="199">
        <v>0</v>
      </c>
      <c r="AM1198" s="150">
        <f t="shared" si="1055"/>
        <v>280374.32</v>
      </c>
      <c r="AN1198" s="153">
        <f t="shared" si="1062"/>
        <v>0</v>
      </c>
      <c r="AO1198" s="154">
        <f t="shared" si="1063"/>
        <v>0</v>
      </c>
      <c r="AP1198" s="150">
        <v>280374.32</v>
      </c>
      <c r="AQ1198" s="201">
        <v>280374.32</v>
      </c>
      <c r="AR1198" s="199">
        <v>0</v>
      </c>
      <c r="AS1198" s="150">
        <f t="shared" si="1056"/>
        <v>280374.32</v>
      </c>
      <c r="AT1198" s="155"/>
      <c r="AU1198" s="156">
        <f t="shared" si="1057"/>
        <v>0</v>
      </c>
      <c r="AV1198" s="156">
        <f t="shared" si="1058"/>
        <v>0</v>
      </c>
      <c r="AW1198" s="157"/>
      <c r="AX1198" s="150">
        <v>280374.32</v>
      </c>
      <c r="AY1198" s="150">
        <v>169565.42</v>
      </c>
      <c r="AZ1198" s="150">
        <f t="shared" si="1064"/>
        <v>123499.1</v>
      </c>
      <c r="BA1198" s="313">
        <v>293064.52</v>
      </c>
      <c r="BB1198" s="210"/>
      <c r="BC1198" s="210"/>
      <c r="BD1198" s="210"/>
      <c r="BE1198" s="210"/>
      <c r="BF1198" s="210"/>
      <c r="BG1198" s="210"/>
      <c r="BH1198" s="217"/>
      <c r="BI1198" s="210"/>
      <c r="BJ1198" s="210"/>
      <c r="BK1198" s="210"/>
      <c r="BL1198" s="210"/>
      <c r="BM1198" s="208"/>
      <c r="BN1198" s="160"/>
      <c r="BO1198" s="161"/>
      <c r="BP1198" s="161"/>
    </row>
    <row r="1199" spans="1:68" ht="76.5">
      <c r="A1199" s="206" t="s">
        <v>452</v>
      </c>
      <c r="B1199" s="195" t="s">
        <v>7967</v>
      </c>
      <c r="C1199" s="196" t="s">
        <v>7968</v>
      </c>
      <c r="D1199" s="146" t="s">
        <v>4692</v>
      </c>
      <c r="E1199" s="196" t="s">
        <v>7968</v>
      </c>
      <c r="F1199" s="150">
        <v>5325.54</v>
      </c>
      <c r="G1199" s="209">
        <v>268826</v>
      </c>
      <c r="H1199" s="209">
        <v>258467.18188137759</v>
      </c>
      <c r="I1199" s="209">
        <v>527293.18188137759</v>
      </c>
      <c r="J1199" s="150">
        <v>0</v>
      </c>
      <c r="K1199" s="150">
        <v>0</v>
      </c>
      <c r="L1199" s="150">
        <f t="shared" si="1066"/>
        <v>0</v>
      </c>
      <c r="M1199" s="150">
        <v>0</v>
      </c>
      <c r="N1199" s="150">
        <v>0</v>
      </c>
      <c r="O1199" s="150">
        <v>0</v>
      </c>
      <c r="P1199" s="150">
        <v>0</v>
      </c>
      <c r="Q1199" s="150">
        <v>0</v>
      </c>
      <c r="R1199" s="313">
        <f t="shared" si="1053"/>
        <v>0</v>
      </c>
      <c r="S1199" s="150">
        <f t="shared" si="1065"/>
        <v>0</v>
      </c>
      <c r="T1199" s="150"/>
      <c r="U1199" s="150">
        <v>0</v>
      </c>
      <c r="V1199" s="199">
        <v>0</v>
      </c>
      <c r="W1199" s="150">
        <f t="shared" si="1059"/>
        <v>0</v>
      </c>
      <c r="X1199" s="150">
        <v>0</v>
      </c>
      <c r="Y1199" s="150">
        <v>0</v>
      </c>
      <c r="Z1199" s="150">
        <v>0</v>
      </c>
      <c r="AA1199" s="150">
        <f t="shared" si="1060"/>
        <v>0</v>
      </c>
      <c r="AB1199" s="150">
        <v>0</v>
      </c>
      <c r="AC1199" s="199">
        <v>0</v>
      </c>
      <c r="AD1199" s="150">
        <f t="shared" si="1054"/>
        <v>0</v>
      </c>
      <c r="AE1199" s="150">
        <v>0</v>
      </c>
      <c r="AF1199" s="169" t="s">
        <v>4680</v>
      </c>
      <c r="AG1199" s="201">
        <v>0</v>
      </c>
      <c r="AH1199" s="199">
        <v>0</v>
      </c>
      <c r="AI1199" s="150">
        <v>0</v>
      </c>
      <c r="AJ1199" s="169">
        <f t="shared" si="1061"/>
        <v>0</v>
      </c>
      <c r="AK1199" s="201">
        <v>0</v>
      </c>
      <c r="AL1199" s="199">
        <v>0</v>
      </c>
      <c r="AM1199" s="150">
        <f t="shared" si="1055"/>
        <v>0</v>
      </c>
      <c r="AN1199" s="153">
        <f t="shared" si="1062"/>
        <v>0</v>
      </c>
      <c r="AO1199" s="154">
        <f t="shared" si="1063"/>
        <v>0</v>
      </c>
      <c r="AP1199" s="150">
        <v>0</v>
      </c>
      <c r="AQ1199" s="201">
        <v>0</v>
      </c>
      <c r="AR1199" s="199">
        <v>0</v>
      </c>
      <c r="AS1199" s="150">
        <f t="shared" si="1056"/>
        <v>0</v>
      </c>
      <c r="AT1199" s="155"/>
      <c r="AU1199" s="156">
        <f t="shared" si="1057"/>
        <v>0</v>
      </c>
      <c r="AV1199" s="156">
        <f t="shared" si="1058"/>
        <v>0</v>
      </c>
      <c r="AW1199" s="157"/>
      <c r="AX1199" s="150">
        <v>0</v>
      </c>
      <c r="AY1199" s="150">
        <v>0</v>
      </c>
      <c r="AZ1199" s="150">
        <f t="shared" si="1064"/>
        <v>0</v>
      </c>
      <c r="BA1199" s="313">
        <v>0</v>
      </c>
      <c r="BB1199" s="202">
        <v>5</v>
      </c>
      <c r="BC1199" s="202" t="s">
        <v>647</v>
      </c>
      <c r="BD1199" s="194" t="s">
        <v>647</v>
      </c>
      <c r="BE1199" s="335" t="s">
        <v>671</v>
      </c>
      <c r="BF1199" s="202" t="s">
        <v>766</v>
      </c>
      <c r="BG1199" s="287" t="s">
        <v>7969</v>
      </c>
      <c r="BH1199" s="283">
        <f>SUM(AS1199:AS1207)</f>
        <v>290592.21000000002</v>
      </c>
      <c r="BI1199" s="205"/>
      <c r="BJ1199" s="206" t="s">
        <v>7734</v>
      </c>
      <c r="BK1199" s="206" t="s">
        <v>452</v>
      </c>
      <c r="BL1199" s="207" t="s">
        <v>7735</v>
      </c>
      <c r="BM1199" s="208">
        <f>BH1199</f>
        <v>290592.21000000002</v>
      </c>
      <c r="BN1199" s="160"/>
      <c r="BO1199" s="161"/>
      <c r="BP1199" s="161"/>
    </row>
    <row r="1200" spans="1:68" ht="63.75">
      <c r="A1200" s="210"/>
      <c r="B1200" s="195" t="s">
        <v>7970</v>
      </c>
      <c r="C1200" s="196" t="s">
        <v>7971</v>
      </c>
      <c r="D1200" s="146" t="s">
        <v>4692</v>
      </c>
      <c r="E1200" s="196" t="s">
        <v>7971</v>
      </c>
      <c r="F1200" s="150">
        <v>527293</v>
      </c>
      <c r="G1200" s="209">
        <v>62556.76</v>
      </c>
      <c r="H1200" s="209">
        <v>631119.01</v>
      </c>
      <c r="I1200" s="209">
        <v>693675.77</v>
      </c>
      <c r="J1200" s="150">
        <v>24660.13</v>
      </c>
      <c r="K1200" s="150">
        <v>0</v>
      </c>
      <c r="L1200" s="150">
        <f t="shared" si="1066"/>
        <v>24660.13</v>
      </c>
      <c r="M1200" s="150">
        <v>96082.75</v>
      </c>
      <c r="N1200" s="150">
        <v>0</v>
      </c>
      <c r="O1200" s="150">
        <v>96082.75</v>
      </c>
      <c r="P1200" s="150">
        <v>167187.42000000001</v>
      </c>
      <c r="Q1200" s="150">
        <v>0</v>
      </c>
      <c r="R1200" s="313">
        <f t="shared" si="1053"/>
        <v>167187.42000000001</v>
      </c>
      <c r="S1200" s="150">
        <f t="shared" si="1065"/>
        <v>222916.56</v>
      </c>
      <c r="T1200" s="150"/>
      <c r="U1200" s="150">
        <v>231623.31</v>
      </c>
      <c r="V1200" s="199">
        <v>0</v>
      </c>
      <c r="W1200" s="150">
        <f t="shared" si="1059"/>
        <v>231623.31</v>
      </c>
      <c r="X1200" s="150">
        <v>231623.31</v>
      </c>
      <c r="Y1200" s="150">
        <v>0</v>
      </c>
      <c r="Z1200" s="150">
        <v>231623.31</v>
      </c>
      <c r="AA1200" s="150">
        <f t="shared" si="1060"/>
        <v>0</v>
      </c>
      <c r="AB1200" s="150">
        <v>231623.31</v>
      </c>
      <c r="AC1200" s="199">
        <v>0</v>
      </c>
      <c r="AD1200" s="150">
        <f t="shared" si="1054"/>
        <v>231623.31</v>
      </c>
      <c r="AE1200" s="150">
        <v>231623.31</v>
      </c>
      <c r="AF1200" s="169" t="s">
        <v>4680</v>
      </c>
      <c r="AG1200" s="201">
        <v>231623.31</v>
      </c>
      <c r="AH1200" s="199">
        <v>0</v>
      </c>
      <c r="AI1200" s="150">
        <v>231623.31</v>
      </c>
      <c r="AJ1200" s="169">
        <f t="shared" si="1061"/>
        <v>0</v>
      </c>
      <c r="AK1200" s="201">
        <v>231623.31</v>
      </c>
      <c r="AL1200" s="199">
        <v>0</v>
      </c>
      <c r="AM1200" s="150">
        <f t="shared" si="1055"/>
        <v>231623.31</v>
      </c>
      <c r="AN1200" s="153">
        <f t="shared" si="1062"/>
        <v>0</v>
      </c>
      <c r="AO1200" s="154">
        <f t="shared" si="1063"/>
        <v>0</v>
      </c>
      <c r="AP1200" s="150">
        <v>231623.31</v>
      </c>
      <c r="AQ1200" s="201">
        <v>231623.31</v>
      </c>
      <c r="AR1200" s="199">
        <v>0</v>
      </c>
      <c r="AS1200" s="150">
        <f t="shared" si="1056"/>
        <v>231623.31</v>
      </c>
      <c r="AT1200" s="155"/>
      <c r="AU1200" s="156">
        <f t="shared" si="1057"/>
        <v>0</v>
      </c>
      <c r="AV1200" s="156">
        <f t="shared" si="1058"/>
        <v>0</v>
      </c>
      <c r="AW1200" s="157"/>
      <c r="AX1200" s="150">
        <v>231623.31</v>
      </c>
      <c r="AY1200" s="150">
        <v>117762.81</v>
      </c>
      <c r="AZ1200" s="150">
        <f t="shared" si="1064"/>
        <v>74402.69</v>
      </c>
      <c r="BA1200" s="313">
        <v>192165.5</v>
      </c>
      <c r="BB1200" s="210"/>
      <c r="BC1200" s="210"/>
      <c r="BD1200" s="210"/>
      <c r="BE1200" s="210"/>
      <c r="BF1200" s="210"/>
      <c r="BG1200" s="210"/>
      <c r="BH1200" s="217"/>
      <c r="BI1200" s="210"/>
      <c r="BJ1200" s="210"/>
      <c r="BK1200" s="210"/>
      <c r="BL1200" s="210"/>
      <c r="BM1200" s="208"/>
      <c r="BN1200" s="160"/>
      <c r="BO1200" s="161"/>
      <c r="BP1200" s="161"/>
    </row>
    <row r="1201" spans="1:68" ht="76.5">
      <c r="A1201" s="210"/>
      <c r="B1201" s="195" t="s">
        <v>7972</v>
      </c>
      <c r="C1201" s="196" t="s">
        <v>7973</v>
      </c>
      <c r="D1201" s="146" t="s">
        <v>4692</v>
      </c>
      <c r="E1201" s="196" t="s">
        <v>7973</v>
      </c>
      <c r="F1201" s="150">
        <v>693675.76</v>
      </c>
      <c r="G1201" s="209">
        <v>0</v>
      </c>
      <c r="H1201" s="209">
        <v>0</v>
      </c>
      <c r="I1201" s="209">
        <v>0</v>
      </c>
      <c r="J1201" s="150">
        <v>6686.33</v>
      </c>
      <c r="K1201" s="150">
        <v>0</v>
      </c>
      <c r="L1201" s="150">
        <f t="shared" si="1066"/>
        <v>6686.33</v>
      </c>
      <c r="M1201" s="150">
        <v>25890.080000000002</v>
      </c>
      <c r="N1201" s="150">
        <v>0</v>
      </c>
      <c r="O1201" s="150">
        <v>25890.080000000002</v>
      </c>
      <c r="P1201" s="150">
        <v>45541.45</v>
      </c>
      <c r="Q1201" s="150">
        <v>0</v>
      </c>
      <c r="R1201" s="313">
        <f t="shared" si="1053"/>
        <v>45541.45</v>
      </c>
      <c r="S1201" s="150">
        <f t="shared" si="1065"/>
        <v>60721.933333333327</v>
      </c>
      <c r="T1201" s="150"/>
      <c r="U1201" s="150">
        <v>58968.9</v>
      </c>
      <c r="V1201" s="199">
        <v>0</v>
      </c>
      <c r="W1201" s="150">
        <f t="shared" si="1059"/>
        <v>58968.9</v>
      </c>
      <c r="X1201" s="150">
        <v>58968.9</v>
      </c>
      <c r="Y1201" s="150">
        <v>0</v>
      </c>
      <c r="Z1201" s="150">
        <v>58968.9</v>
      </c>
      <c r="AA1201" s="150">
        <f t="shared" si="1060"/>
        <v>0</v>
      </c>
      <c r="AB1201" s="150">
        <v>58968.9</v>
      </c>
      <c r="AC1201" s="199">
        <v>0</v>
      </c>
      <c r="AD1201" s="150">
        <f t="shared" si="1054"/>
        <v>58968.9</v>
      </c>
      <c r="AE1201" s="150">
        <v>58968.9</v>
      </c>
      <c r="AF1201" s="169" t="s">
        <v>4680</v>
      </c>
      <c r="AG1201" s="201">
        <v>58968.9</v>
      </c>
      <c r="AH1201" s="199">
        <v>0</v>
      </c>
      <c r="AI1201" s="150">
        <v>58968.9</v>
      </c>
      <c r="AJ1201" s="169">
        <f t="shared" si="1061"/>
        <v>0</v>
      </c>
      <c r="AK1201" s="201">
        <v>58968.9</v>
      </c>
      <c r="AL1201" s="199">
        <v>0</v>
      </c>
      <c r="AM1201" s="150">
        <f t="shared" si="1055"/>
        <v>58968.9</v>
      </c>
      <c r="AN1201" s="153">
        <f t="shared" si="1062"/>
        <v>0</v>
      </c>
      <c r="AO1201" s="154">
        <f t="shared" si="1063"/>
        <v>0</v>
      </c>
      <c r="AP1201" s="150">
        <v>58968.9</v>
      </c>
      <c r="AQ1201" s="201">
        <v>58968.9</v>
      </c>
      <c r="AR1201" s="199">
        <v>0</v>
      </c>
      <c r="AS1201" s="150">
        <f t="shared" si="1056"/>
        <v>58968.9</v>
      </c>
      <c r="AT1201" s="155"/>
      <c r="AU1201" s="156">
        <f t="shared" si="1057"/>
        <v>0</v>
      </c>
      <c r="AV1201" s="156">
        <f t="shared" si="1058"/>
        <v>0</v>
      </c>
      <c r="AW1201" s="157"/>
      <c r="AX1201" s="150">
        <v>58968.9</v>
      </c>
      <c r="AY1201" s="150">
        <v>30914.76</v>
      </c>
      <c r="AZ1201" s="150">
        <f t="shared" si="1064"/>
        <v>20865.400000000005</v>
      </c>
      <c r="BA1201" s="313">
        <v>51780.160000000003</v>
      </c>
      <c r="BB1201" s="210"/>
      <c r="BC1201" s="210"/>
      <c r="BD1201" s="210"/>
      <c r="BE1201" s="210"/>
      <c r="BF1201" s="210"/>
      <c r="BG1201" s="210"/>
      <c r="BH1201" s="217"/>
      <c r="BI1201" s="210"/>
      <c r="BJ1201" s="210"/>
      <c r="BK1201" s="210"/>
      <c r="BL1201" s="210"/>
      <c r="BM1201" s="208"/>
      <c r="BN1201" s="160"/>
      <c r="BO1201" s="161"/>
      <c r="BP1201" s="161"/>
    </row>
    <row r="1202" spans="1:68" ht="51">
      <c r="A1202" s="210"/>
      <c r="B1202" s="195" t="s">
        <v>7974</v>
      </c>
      <c r="C1202" s="196" t="s">
        <v>7975</v>
      </c>
      <c r="D1202" s="146" t="s">
        <v>4692</v>
      </c>
      <c r="E1202" s="196" t="s">
        <v>7975</v>
      </c>
      <c r="F1202" s="150">
        <v>0</v>
      </c>
      <c r="G1202" s="209">
        <v>0</v>
      </c>
      <c r="H1202" s="209">
        <v>0</v>
      </c>
      <c r="I1202" s="209">
        <v>0</v>
      </c>
      <c r="J1202" s="150">
        <v>0</v>
      </c>
      <c r="K1202" s="150">
        <v>0</v>
      </c>
      <c r="L1202" s="150">
        <f t="shared" si="1066"/>
        <v>0</v>
      </c>
      <c r="M1202" s="150">
        <v>0</v>
      </c>
      <c r="N1202" s="150">
        <v>0</v>
      </c>
      <c r="O1202" s="150">
        <v>0</v>
      </c>
      <c r="P1202" s="150">
        <v>0</v>
      </c>
      <c r="Q1202" s="150">
        <v>0</v>
      </c>
      <c r="R1202" s="313">
        <f t="shared" si="1053"/>
        <v>0</v>
      </c>
      <c r="S1202" s="150">
        <f t="shared" si="1065"/>
        <v>0</v>
      </c>
      <c r="T1202" s="150"/>
      <c r="U1202" s="150">
        <v>0</v>
      </c>
      <c r="V1202" s="199">
        <v>0</v>
      </c>
      <c r="W1202" s="150">
        <f t="shared" si="1059"/>
        <v>0</v>
      </c>
      <c r="X1202" s="150">
        <v>0</v>
      </c>
      <c r="Y1202" s="150">
        <v>0</v>
      </c>
      <c r="Z1202" s="150">
        <v>0</v>
      </c>
      <c r="AA1202" s="150">
        <f t="shared" si="1060"/>
        <v>0</v>
      </c>
      <c r="AB1202" s="150">
        <v>0</v>
      </c>
      <c r="AC1202" s="199">
        <v>0</v>
      </c>
      <c r="AD1202" s="150">
        <f t="shared" si="1054"/>
        <v>0</v>
      </c>
      <c r="AE1202" s="150">
        <v>0</v>
      </c>
      <c r="AF1202" s="169" t="s">
        <v>4680</v>
      </c>
      <c r="AG1202" s="201">
        <v>0</v>
      </c>
      <c r="AH1202" s="199">
        <v>0</v>
      </c>
      <c r="AI1202" s="150">
        <v>0</v>
      </c>
      <c r="AJ1202" s="169">
        <f t="shared" si="1061"/>
        <v>0</v>
      </c>
      <c r="AK1202" s="201">
        <v>0</v>
      </c>
      <c r="AL1202" s="199">
        <v>0</v>
      </c>
      <c r="AM1202" s="150">
        <f t="shared" si="1055"/>
        <v>0</v>
      </c>
      <c r="AN1202" s="153">
        <f t="shared" si="1062"/>
        <v>0</v>
      </c>
      <c r="AO1202" s="154">
        <f t="shared" si="1063"/>
        <v>0</v>
      </c>
      <c r="AP1202" s="150">
        <v>0</v>
      </c>
      <c r="AQ1202" s="201">
        <v>0</v>
      </c>
      <c r="AR1202" s="199">
        <v>0</v>
      </c>
      <c r="AS1202" s="150">
        <f t="shared" si="1056"/>
        <v>0</v>
      </c>
      <c r="AT1202" s="155"/>
      <c r="AU1202" s="156">
        <f t="shared" si="1057"/>
        <v>0</v>
      </c>
      <c r="AV1202" s="156">
        <f t="shared" si="1058"/>
        <v>0</v>
      </c>
      <c r="AW1202" s="157"/>
      <c r="AX1202" s="150">
        <v>0</v>
      </c>
      <c r="AY1202" s="150">
        <v>0</v>
      </c>
      <c r="AZ1202" s="150">
        <f t="shared" si="1064"/>
        <v>0</v>
      </c>
      <c r="BA1202" s="313">
        <v>0</v>
      </c>
      <c r="BB1202" s="210"/>
      <c r="BC1202" s="210"/>
      <c r="BD1202" s="210"/>
      <c r="BE1202" s="210"/>
      <c r="BF1202" s="210"/>
      <c r="BG1202" s="210"/>
      <c r="BH1202" s="217"/>
      <c r="BI1202" s="210"/>
      <c r="BJ1202" s="210"/>
      <c r="BK1202" s="210"/>
      <c r="BL1202" s="210"/>
      <c r="BM1202" s="208"/>
      <c r="BN1202" s="160"/>
      <c r="BO1202" s="161"/>
      <c r="BP1202" s="161"/>
    </row>
    <row r="1203" spans="1:68" ht="51">
      <c r="A1203" s="210"/>
      <c r="B1203" s="195" t="s">
        <v>7976</v>
      </c>
      <c r="C1203" s="196" t="s">
        <v>7977</v>
      </c>
      <c r="D1203" s="146" t="s">
        <v>4692</v>
      </c>
      <c r="E1203" s="196" t="s">
        <v>7977</v>
      </c>
      <c r="F1203" s="150">
        <v>0</v>
      </c>
      <c r="G1203" s="209">
        <v>0</v>
      </c>
      <c r="H1203" s="209">
        <v>0</v>
      </c>
      <c r="I1203" s="209">
        <v>0</v>
      </c>
      <c r="J1203" s="150">
        <v>0</v>
      </c>
      <c r="K1203" s="150">
        <v>0</v>
      </c>
      <c r="L1203" s="150">
        <f t="shared" si="1066"/>
        <v>0</v>
      </c>
      <c r="M1203" s="150">
        <v>0</v>
      </c>
      <c r="N1203" s="150">
        <v>0</v>
      </c>
      <c r="O1203" s="150">
        <v>0</v>
      </c>
      <c r="P1203" s="150">
        <v>0</v>
      </c>
      <c r="Q1203" s="150">
        <v>0</v>
      </c>
      <c r="R1203" s="313">
        <f t="shared" si="1053"/>
        <v>0</v>
      </c>
      <c r="S1203" s="150">
        <f t="shared" si="1065"/>
        <v>0</v>
      </c>
      <c r="T1203" s="150"/>
      <c r="U1203" s="150">
        <v>0</v>
      </c>
      <c r="V1203" s="199">
        <v>0</v>
      </c>
      <c r="W1203" s="150">
        <f t="shared" si="1059"/>
        <v>0</v>
      </c>
      <c r="X1203" s="150">
        <v>0</v>
      </c>
      <c r="Y1203" s="150">
        <v>0</v>
      </c>
      <c r="Z1203" s="150">
        <v>0</v>
      </c>
      <c r="AA1203" s="150">
        <f t="shared" si="1060"/>
        <v>0</v>
      </c>
      <c r="AB1203" s="150">
        <v>0</v>
      </c>
      <c r="AC1203" s="199">
        <v>0</v>
      </c>
      <c r="AD1203" s="150">
        <f t="shared" si="1054"/>
        <v>0</v>
      </c>
      <c r="AE1203" s="150">
        <v>0</v>
      </c>
      <c r="AF1203" s="169" t="s">
        <v>4680</v>
      </c>
      <c r="AG1203" s="201">
        <v>0</v>
      </c>
      <c r="AH1203" s="199">
        <v>0</v>
      </c>
      <c r="AI1203" s="150">
        <v>0</v>
      </c>
      <c r="AJ1203" s="169">
        <f t="shared" si="1061"/>
        <v>0</v>
      </c>
      <c r="AK1203" s="201">
        <v>0</v>
      </c>
      <c r="AL1203" s="199">
        <v>0</v>
      </c>
      <c r="AM1203" s="150">
        <f t="shared" si="1055"/>
        <v>0</v>
      </c>
      <c r="AN1203" s="153">
        <f t="shared" si="1062"/>
        <v>0</v>
      </c>
      <c r="AO1203" s="154">
        <f t="shared" si="1063"/>
        <v>0</v>
      </c>
      <c r="AP1203" s="150">
        <v>0</v>
      </c>
      <c r="AQ1203" s="201">
        <v>0</v>
      </c>
      <c r="AR1203" s="199">
        <v>0</v>
      </c>
      <c r="AS1203" s="150">
        <f t="shared" si="1056"/>
        <v>0</v>
      </c>
      <c r="AT1203" s="155"/>
      <c r="AU1203" s="156">
        <f t="shared" si="1057"/>
        <v>0</v>
      </c>
      <c r="AV1203" s="156">
        <f t="shared" si="1058"/>
        <v>0</v>
      </c>
      <c r="AW1203" s="157"/>
      <c r="AX1203" s="150">
        <v>0</v>
      </c>
      <c r="AY1203" s="150">
        <v>0</v>
      </c>
      <c r="AZ1203" s="150">
        <f t="shared" si="1064"/>
        <v>0</v>
      </c>
      <c r="BA1203" s="313">
        <v>0</v>
      </c>
      <c r="BB1203" s="210"/>
      <c r="BC1203" s="210"/>
      <c r="BD1203" s="210"/>
      <c r="BE1203" s="210"/>
      <c r="BF1203" s="210"/>
      <c r="BG1203" s="210"/>
      <c r="BH1203" s="217"/>
      <c r="BI1203" s="210"/>
      <c r="BJ1203" s="210"/>
      <c r="BK1203" s="210"/>
      <c r="BL1203" s="210"/>
      <c r="BM1203" s="208"/>
      <c r="BN1203" s="160"/>
      <c r="BO1203" s="161"/>
      <c r="BP1203" s="161"/>
    </row>
    <row r="1204" spans="1:68" ht="51">
      <c r="A1204" s="210"/>
      <c r="B1204" s="195" t="s">
        <v>7978</v>
      </c>
      <c r="C1204" s="196" t="s">
        <v>7979</v>
      </c>
      <c r="D1204" s="146" t="s">
        <v>4692</v>
      </c>
      <c r="E1204" s="196" t="s">
        <v>7979</v>
      </c>
      <c r="F1204" s="150">
        <v>0</v>
      </c>
      <c r="G1204" s="209">
        <v>0</v>
      </c>
      <c r="H1204" s="209">
        <v>0</v>
      </c>
      <c r="I1204" s="209">
        <v>0</v>
      </c>
      <c r="J1204" s="150">
        <v>0</v>
      </c>
      <c r="K1204" s="150">
        <v>0</v>
      </c>
      <c r="L1204" s="150">
        <f t="shared" si="1066"/>
        <v>0</v>
      </c>
      <c r="M1204" s="150">
        <v>0</v>
      </c>
      <c r="N1204" s="150">
        <v>0</v>
      </c>
      <c r="O1204" s="150">
        <v>0</v>
      </c>
      <c r="P1204" s="150">
        <v>0</v>
      </c>
      <c r="Q1204" s="150">
        <v>0</v>
      </c>
      <c r="R1204" s="313">
        <f t="shared" si="1053"/>
        <v>0</v>
      </c>
      <c r="S1204" s="150">
        <f t="shared" si="1065"/>
        <v>0</v>
      </c>
      <c r="T1204" s="150"/>
      <c r="U1204" s="150">
        <v>0</v>
      </c>
      <c r="V1204" s="199">
        <v>0</v>
      </c>
      <c r="W1204" s="150">
        <f t="shared" si="1059"/>
        <v>0</v>
      </c>
      <c r="X1204" s="150">
        <v>0</v>
      </c>
      <c r="Y1204" s="150">
        <v>0</v>
      </c>
      <c r="Z1204" s="150">
        <v>0</v>
      </c>
      <c r="AA1204" s="150">
        <f t="shared" si="1060"/>
        <v>0</v>
      </c>
      <c r="AB1204" s="150">
        <v>0</v>
      </c>
      <c r="AC1204" s="199">
        <v>0</v>
      </c>
      <c r="AD1204" s="150">
        <f t="shared" si="1054"/>
        <v>0</v>
      </c>
      <c r="AE1204" s="150">
        <v>0</v>
      </c>
      <c r="AF1204" s="169" t="s">
        <v>4680</v>
      </c>
      <c r="AG1204" s="201">
        <v>0</v>
      </c>
      <c r="AH1204" s="199">
        <v>0</v>
      </c>
      <c r="AI1204" s="150">
        <v>0</v>
      </c>
      <c r="AJ1204" s="169">
        <f t="shared" si="1061"/>
        <v>0</v>
      </c>
      <c r="AK1204" s="201">
        <v>0</v>
      </c>
      <c r="AL1204" s="199">
        <v>0</v>
      </c>
      <c r="AM1204" s="150">
        <f t="shared" si="1055"/>
        <v>0</v>
      </c>
      <c r="AN1204" s="153">
        <f t="shared" si="1062"/>
        <v>0</v>
      </c>
      <c r="AO1204" s="154">
        <f t="shared" si="1063"/>
        <v>0</v>
      </c>
      <c r="AP1204" s="150">
        <v>0</v>
      </c>
      <c r="AQ1204" s="201">
        <v>0</v>
      </c>
      <c r="AR1204" s="199">
        <v>0</v>
      </c>
      <c r="AS1204" s="150">
        <f t="shared" si="1056"/>
        <v>0</v>
      </c>
      <c r="AT1204" s="155"/>
      <c r="AU1204" s="156">
        <f t="shared" si="1057"/>
        <v>0</v>
      </c>
      <c r="AV1204" s="156">
        <f t="shared" si="1058"/>
        <v>0</v>
      </c>
      <c r="AW1204" s="157"/>
      <c r="AX1204" s="150">
        <v>0</v>
      </c>
      <c r="AY1204" s="150">
        <v>0</v>
      </c>
      <c r="AZ1204" s="150">
        <f t="shared" si="1064"/>
        <v>0</v>
      </c>
      <c r="BA1204" s="313">
        <v>0</v>
      </c>
      <c r="BB1204" s="210"/>
      <c r="BC1204" s="210"/>
      <c r="BD1204" s="210"/>
      <c r="BE1204" s="210"/>
      <c r="BF1204" s="210"/>
      <c r="BG1204" s="210"/>
      <c r="BH1204" s="217"/>
      <c r="BI1204" s="210"/>
      <c r="BJ1204" s="210"/>
      <c r="BK1204" s="210"/>
      <c r="BL1204" s="210"/>
      <c r="BM1204" s="208"/>
      <c r="BN1204" s="160"/>
      <c r="BO1204" s="161"/>
      <c r="BP1204" s="161"/>
    </row>
    <row r="1205" spans="1:68" ht="51">
      <c r="A1205" s="210"/>
      <c r="B1205" s="195" t="s">
        <v>7980</v>
      </c>
      <c r="C1205" s="196" t="s">
        <v>7981</v>
      </c>
      <c r="D1205" s="146" t="s">
        <v>4692</v>
      </c>
      <c r="E1205" s="196" t="s">
        <v>7981</v>
      </c>
      <c r="F1205" s="150">
        <v>0</v>
      </c>
      <c r="G1205" s="209">
        <v>0</v>
      </c>
      <c r="H1205" s="209">
        <v>0</v>
      </c>
      <c r="I1205" s="209">
        <v>0</v>
      </c>
      <c r="J1205" s="150">
        <v>0</v>
      </c>
      <c r="K1205" s="150">
        <v>0</v>
      </c>
      <c r="L1205" s="150">
        <f t="shared" si="1066"/>
        <v>0</v>
      </c>
      <c r="M1205" s="150">
        <v>0</v>
      </c>
      <c r="N1205" s="150">
        <v>0</v>
      </c>
      <c r="O1205" s="150">
        <v>0</v>
      </c>
      <c r="P1205" s="150">
        <v>0</v>
      </c>
      <c r="Q1205" s="150">
        <v>0</v>
      </c>
      <c r="R1205" s="313">
        <f t="shared" si="1053"/>
        <v>0</v>
      </c>
      <c r="S1205" s="150">
        <f t="shared" si="1065"/>
        <v>0</v>
      </c>
      <c r="T1205" s="150"/>
      <c r="U1205" s="150">
        <v>0</v>
      </c>
      <c r="V1205" s="199">
        <v>0</v>
      </c>
      <c r="W1205" s="150">
        <f t="shared" si="1059"/>
        <v>0</v>
      </c>
      <c r="X1205" s="150">
        <v>0</v>
      </c>
      <c r="Y1205" s="150">
        <v>0</v>
      </c>
      <c r="Z1205" s="150">
        <v>0</v>
      </c>
      <c r="AA1205" s="150">
        <f t="shared" si="1060"/>
        <v>0</v>
      </c>
      <c r="AB1205" s="150">
        <v>0</v>
      </c>
      <c r="AC1205" s="199">
        <v>0</v>
      </c>
      <c r="AD1205" s="150">
        <f t="shared" si="1054"/>
        <v>0</v>
      </c>
      <c r="AE1205" s="150">
        <v>0</v>
      </c>
      <c r="AF1205" s="169" t="s">
        <v>4680</v>
      </c>
      <c r="AG1205" s="201">
        <v>0</v>
      </c>
      <c r="AH1205" s="199">
        <v>0</v>
      </c>
      <c r="AI1205" s="150">
        <v>0</v>
      </c>
      <c r="AJ1205" s="169">
        <f t="shared" si="1061"/>
        <v>0</v>
      </c>
      <c r="AK1205" s="201">
        <v>0</v>
      </c>
      <c r="AL1205" s="199">
        <v>0</v>
      </c>
      <c r="AM1205" s="150">
        <f t="shared" si="1055"/>
        <v>0</v>
      </c>
      <c r="AN1205" s="153">
        <f t="shared" si="1062"/>
        <v>0</v>
      </c>
      <c r="AO1205" s="154">
        <f t="shared" si="1063"/>
        <v>0</v>
      </c>
      <c r="AP1205" s="150">
        <v>0</v>
      </c>
      <c r="AQ1205" s="201">
        <v>0</v>
      </c>
      <c r="AR1205" s="199">
        <v>0</v>
      </c>
      <c r="AS1205" s="150">
        <f t="shared" si="1056"/>
        <v>0</v>
      </c>
      <c r="AT1205" s="155"/>
      <c r="AU1205" s="156">
        <f t="shared" si="1057"/>
        <v>0</v>
      </c>
      <c r="AV1205" s="156">
        <f t="shared" si="1058"/>
        <v>0</v>
      </c>
      <c r="AW1205" s="157"/>
      <c r="AX1205" s="150">
        <v>0</v>
      </c>
      <c r="AY1205" s="150">
        <v>0</v>
      </c>
      <c r="AZ1205" s="150">
        <f t="shared" si="1064"/>
        <v>0</v>
      </c>
      <c r="BA1205" s="313">
        <v>0</v>
      </c>
      <c r="BB1205" s="210"/>
      <c r="BC1205" s="210"/>
      <c r="BD1205" s="210"/>
      <c r="BE1205" s="210"/>
      <c r="BF1205" s="210"/>
      <c r="BG1205" s="210"/>
      <c r="BH1205" s="217"/>
      <c r="BI1205" s="210"/>
      <c r="BJ1205" s="210"/>
      <c r="BK1205" s="210"/>
      <c r="BL1205" s="210"/>
      <c r="BM1205" s="208"/>
      <c r="BN1205" s="160"/>
      <c r="BO1205" s="161"/>
      <c r="BP1205" s="161"/>
    </row>
    <row r="1206" spans="1:68" ht="51">
      <c r="A1206" s="210"/>
      <c r="B1206" s="195" t="s">
        <v>7982</v>
      </c>
      <c r="C1206" s="196" t="s">
        <v>7983</v>
      </c>
      <c r="D1206" s="146" t="s">
        <v>4692</v>
      </c>
      <c r="E1206" s="196" t="s">
        <v>7983</v>
      </c>
      <c r="F1206" s="150">
        <v>0</v>
      </c>
      <c r="G1206" s="209">
        <v>0</v>
      </c>
      <c r="H1206" s="209">
        <v>0</v>
      </c>
      <c r="I1206" s="209">
        <v>0</v>
      </c>
      <c r="J1206" s="150">
        <v>0</v>
      </c>
      <c r="K1206" s="150">
        <v>0</v>
      </c>
      <c r="L1206" s="150">
        <f t="shared" si="1066"/>
        <v>0</v>
      </c>
      <c r="M1206" s="150">
        <v>0</v>
      </c>
      <c r="N1206" s="150">
        <v>0</v>
      </c>
      <c r="O1206" s="150">
        <v>0</v>
      </c>
      <c r="P1206" s="150">
        <v>0</v>
      </c>
      <c r="Q1206" s="150">
        <v>0</v>
      </c>
      <c r="R1206" s="313">
        <f t="shared" si="1053"/>
        <v>0</v>
      </c>
      <c r="S1206" s="150">
        <f t="shared" si="1065"/>
        <v>0</v>
      </c>
      <c r="T1206" s="150"/>
      <c r="U1206" s="150">
        <v>0</v>
      </c>
      <c r="V1206" s="199">
        <v>0</v>
      </c>
      <c r="W1206" s="150">
        <f t="shared" si="1059"/>
        <v>0</v>
      </c>
      <c r="X1206" s="150">
        <v>0</v>
      </c>
      <c r="Y1206" s="150">
        <v>0</v>
      </c>
      <c r="Z1206" s="150">
        <v>0</v>
      </c>
      <c r="AA1206" s="150">
        <f t="shared" si="1060"/>
        <v>0</v>
      </c>
      <c r="AB1206" s="150">
        <v>0</v>
      </c>
      <c r="AC1206" s="199">
        <v>0</v>
      </c>
      <c r="AD1206" s="150">
        <f t="shared" si="1054"/>
        <v>0</v>
      </c>
      <c r="AE1206" s="150">
        <v>0</v>
      </c>
      <c r="AF1206" s="169" t="s">
        <v>4680</v>
      </c>
      <c r="AG1206" s="201">
        <v>0</v>
      </c>
      <c r="AH1206" s="199">
        <v>0</v>
      </c>
      <c r="AI1206" s="150">
        <v>0</v>
      </c>
      <c r="AJ1206" s="169">
        <f t="shared" si="1061"/>
        <v>0</v>
      </c>
      <c r="AK1206" s="201">
        <v>0</v>
      </c>
      <c r="AL1206" s="199">
        <v>0</v>
      </c>
      <c r="AM1206" s="150">
        <f t="shared" si="1055"/>
        <v>0</v>
      </c>
      <c r="AN1206" s="153">
        <f t="shared" si="1062"/>
        <v>0</v>
      </c>
      <c r="AO1206" s="154">
        <f t="shared" si="1063"/>
        <v>0</v>
      </c>
      <c r="AP1206" s="150">
        <v>0</v>
      </c>
      <c r="AQ1206" s="201">
        <v>0</v>
      </c>
      <c r="AR1206" s="199">
        <v>0</v>
      </c>
      <c r="AS1206" s="150">
        <f t="shared" si="1056"/>
        <v>0</v>
      </c>
      <c r="AT1206" s="155"/>
      <c r="AU1206" s="156">
        <f t="shared" si="1057"/>
        <v>0</v>
      </c>
      <c r="AV1206" s="156">
        <f t="shared" si="1058"/>
        <v>0</v>
      </c>
      <c r="AW1206" s="157"/>
      <c r="AX1206" s="150">
        <v>0</v>
      </c>
      <c r="AY1206" s="150">
        <v>0</v>
      </c>
      <c r="AZ1206" s="150">
        <f t="shared" si="1064"/>
        <v>0</v>
      </c>
      <c r="BA1206" s="313">
        <v>0</v>
      </c>
      <c r="BB1206" s="210"/>
      <c r="BC1206" s="210"/>
      <c r="BD1206" s="210"/>
      <c r="BE1206" s="210"/>
      <c r="BF1206" s="210"/>
      <c r="BG1206" s="210"/>
      <c r="BH1206" s="217"/>
      <c r="BI1206" s="210"/>
      <c r="BJ1206" s="210"/>
      <c r="BK1206" s="210"/>
      <c r="BL1206" s="210"/>
      <c r="BM1206" s="208"/>
      <c r="BN1206" s="160"/>
      <c r="BO1206" s="161"/>
      <c r="BP1206" s="161"/>
    </row>
    <row r="1207" spans="1:68" ht="51">
      <c r="A1207" s="210"/>
      <c r="B1207" s="195" t="s">
        <v>7984</v>
      </c>
      <c r="C1207" s="196" t="s">
        <v>7985</v>
      </c>
      <c r="D1207" s="146" t="s">
        <v>4692</v>
      </c>
      <c r="E1207" s="196" t="s">
        <v>7985</v>
      </c>
      <c r="F1207" s="150">
        <v>0</v>
      </c>
      <c r="G1207" s="209">
        <v>1424</v>
      </c>
      <c r="H1207" s="209">
        <v>5562.5492474489802</v>
      </c>
      <c r="I1207" s="209">
        <v>6986.5492474489802</v>
      </c>
      <c r="J1207" s="150">
        <v>0</v>
      </c>
      <c r="K1207" s="150">
        <v>0</v>
      </c>
      <c r="L1207" s="150">
        <f t="shared" si="1066"/>
        <v>0</v>
      </c>
      <c r="M1207" s="150">
        <v>0</v>
      </c>
      <c r="N1207" s="150">
        <v>0</v>
      </c>
      <c r="O1207" s="150">
        <v>0</v>
      </c>
      <c r="P1207" s="150">
        <v>0</v>
      </c>
      <c r="Q1207" s="150">
        <v>0</v>
      </c>
      <c r="R1207" s="313">
        <f t="shared" si="1053"/>
        <v>0</v>
      </c>
      <c r="S1207" s="150">
        <f t="shared" si="1065"/>
        <v>0</v>
      </c>
      <c r="T1207" s="150"/>
      <c r="U1207" s="150">
        <v>0</v>
      </c>
      <c r="V1207" s="199">
        <v>0</v>
      </c>
      <c r="W1207" s="150">
        <f t="shared" si="1059"/>
        <v>0</v>
      </c>
      <c r="X1207" s="150">
        <v>0</v>
      </c>
      <c r="Y1207" s="150">
        <v>0</v>
      </c>
      <c r="Z1207" s="150">
        <v>0</v>
      </c>
      <c r="AA1207" s="150">
        <f t="shared" si="1060"/>
        <v>0</v>
      </c>
      <c r="AB1207" s="150">
        <v>0</v>
      </c>
      <c r="AC1207" s="199">
        <v>0</v>
      </c>
      <c r="AD1207" s="150">
        <f t="shared" si="1054"/>
        <v>0</v>
      </c>
      <c r="AE1207" s="150">
        <v>0</v>
      </c>
      <c r="AF1207" s="169" t="s">
        <v>4680</v>
      </c>
      <c r="AG1207" s="201">
        <v>0</v>
      </c>
      <c r="AH1207" s="199">
        <v>0</v>
      </c>
      <c r="AI1207" s="150">
        <v>0</v>
      </c>
      <c r="AJ1207" s="169">
        <f t="shared" si="1061"/>
        <v>0</v>
      </c>
      <c r="AK1207" s="201">
        <v>0</v>
      </c>
      <c r="AL1207" s="199">
        <v>0</v>
      </c>
      <c r="AM1207" s="150">
        <f t="shared" si="1055"/>
        <v>0</v>
      </c>
      <c r="AN1207" s="153">
        <f t="shared" si="1062"/>
        <v>0</v>
      </c>
      <c r="AO1207" s="154">
        <f t="shared" si="1063"/>
        <v>0</v>
      </c>
      <c r="AP1207" s="150">
        <v>0</v>
      </c>
      <c r="AQ1207" s="201">
        <v>0</v>
      </c>
      <c r="AR1207" s="199">
        <v>0</v>
      </c>
      <c r="AS1207" s="150">
        <f t="shared" si="1056"/>
        <v>0</v>
      </c>
      <c r="AT1207" s="155"/>
      <c r="AU1207" s="156">
        <f t="shared" si="1057"/>
        <v>0</v>
      </c>
      <c r="AV1207" s="156">
        <f t="shared" si="1058"/>
        <v>0</v>
      </c>
      <c r="AW1207" s="157"/>
      <c r="AX1207" s="150">
        <v>0</v>
      </c>
      <c r="AY1207" s="150">
        <v>0</v>
      </c>
      <c r="AZ1207" s="150">
        <f t="shared" si="1064"/>
        <v>0</v>
      </c>
      <c r="BA1207" s="313">
        <v>0</v>
      </c>
      <c r="BB1207" s="210"/>
      <c r="BC1207" s="210"/>
      <c r="BD1207" s="210"/>
      <c r="BE1207" s="210"/>
      <c r="BF1207" s="210"/>
      <c r="BG1207" s="210"/>
      <c r="BH1207" s="217"/>
      <c r="BI1207" s="210"/>
      <c r="BJ1207" s="210"/>
      <c r="BK1207" s="210"/>
      <c r="BL1207" s="210"/>
      <c r="BM1207" s="208"/>
      <c r="BN1207" s="160"/>
      <c r="BO1207" s="161"/>
      <c r="BP1207" s="161"/>
    </row>
    <row r="1208" spans="1:68" ht="76.5">
      <c r="A1208" s="206" t="s">
        <v>452</v>
      </c>
      <c r="B1208" s="195" t="s">
        <v>7986</v>
      </c>
      <c r="C1208" s="196" t="s">
        <v>7987</v>
      </c>
      <c r="D1208" s="146" t="s">
        <v>4692</v>
      </c>
      <c r="E1208" s="196" t="s">
        <v>7987</v>
      </c>
      <c r="F1208" s="150">
        <v>6987</v>
      </c>
      <c r="G1208" s="209">
        <v>154273.9</v>
      </c>
      <c r="H1208" s="209">
        <v>537394.47549744905</v>
      </c>
      <c r="I1208" s="209">
        <v>691668.37549744907</v>
      </c>
      <c r="J1208" s="150">
        <v>0</v>
      </c>
      <c r="K1208" s="150">
        <v>0</v>
      </c>
      <c r="L1208" s="150">
        <f t="shared" si="1066"/>
        <v>0</v>
      </c>
      <c r="M1208" s="150">
        <v>0</v>
      </c>
      <c r="N1208" s="150">
        <v>0</v>
      </c>
      <c r="O1208" s="150">
        <v>0</v>
      </c>
      <c r="P1208" s="150">
        <v>0</v>
      </c>
      <c r="Q1208" s="150">
        <v>0</v>
      </c>
      <c r="R1208" s="313">
        <f t="shared" si="1053"/>
        <v>0</v>
      </c>
      <c r="S1208" s="150">
        <f t="shared" si="1065"/>
        <v>0</v>
      </c>
      <c r="T1208" s="150"/>
      <c r="U1208" s="150">
        <v>0</v>
      </c>
      <c r="V1208" s="199">
        <v>0</v>
      </c>
      <c r="W1208" s="150">
        <f t="shared" si="1059"/>
        <v>0</v>
      </c>
      <c r="X1208" s="150">
        <v>0</v>
      </c>
      <c r="Y1208" s="150">
        <v>0</v>
      </c>
      <c r="Z1208" s="150">
        <v>0</v>
      </c>
      <c r="AA1208" s="150">
        <f t="shared" si="1060"/>
        <v>0</v>
      </c>
      <c r="AB1208" s="150">
        <v>0</v>
      </c>
      <c r="AC1208" s="199">
        <v>0</v>
      </c>
      <c r="AD1208" s="150">
        <f t="shared" si="1054"/>
        <v>0</v>
      </c>
      <c r="AE1208" s="150">
        <v>0</v>
      </c>
      <c r="AF1208" s="169" t="s">
        <v>4680</v>
      </c>
      <c r="AG1208" s="201">
        <v>0</v>
      </c>
      <c r="AH1208" s="199">
        <v>0</v>
      </c>
      <c r="AI1208" s="150">
        <v>0</v>
      </c>
      <c r="AJ1208" s="169">
        <f t="shared" si="1061"/>
        <v>0</v>
      </c>
      <c r="AK1208" s="201">
        <v>0</v>
      </c>
      <c r="AL1208" s="199">
        <v>0</v>
      </c>
      <c r="AM1208" s="150">
        <f t="shared" si="1055"/>
        <v>0</v>
      </c>
      <c r="AN1208" s="153">
        <f t="shared" si="1062"/>
        <v>0</v>
      </c>
      <c r="AO1208" s="154">
        <f t="shared" si="1063"/>
        <v>0</v>
      </c>
      <c r="AP1208" s="150">
        <v>0</v>
      </c>
      <c r="AQ1208" s="201">
        <v>0</v>
      </c>
      <c r="AR1208" s="199">
        <v>0</v>
      </c>
      <c r="AS1208" s="150">
        <f t="shared" si="1056"/>
        <v>0</v>
      </c>
      <c r="AT1208" s="155"/>
      <c r="AU1208" s="156">
        <f t="shared" si="1057"/>
        <v>0</v>
      </c>
      <c r="AV1208" s="156">
        <f t="shared" si="1058"/>
        <v>0</v>
      </c>
      <c r="AW1208" s="157"/>
      <c r="AX1208" s="150">
        <v>0</v>
      </c>
      <c r="AY1208" s="150">
        <v>0</v>
      </c>
      <c r="AZ1208" s="150">
        <f t="shared" si="1064"/>
        <v>0</v>
      </c>
      <c r="BA1208" s="313">
        <v>0</v>
      </c>
      <c r="BB1208" s="202">
        <v>5</v>
      </c>
      <c r="BC1208" s="202" t="s">
        <v>647</v>
      </c>
      <c r="BD1208" s="194" t="s">
        <v>647</v>
      </c>
      <c r="BE1208" s="335" t="s">
        <v>671</v>
      </c>
      <c r="BF1208" s="202" t="s">
        <v>779</v>
      </c>
      <c r="BG1208" s="287" t="s">
        <v>7988</v>
      </c>
      <c r="BH1208" s="283">
        <f>SUM(AS1208:AS1210)</f>
        <v>1009633.15</v>
      </c>
      <c r="BI1208" s="205"/>
      <c r="BJ1208" s="206" t="s">
        <v>7734</v>
      </c>
      <c r="BK1208" s="206" t="s">
        <v>452</v>
      </c>
      <c r="BL1208" s="207" t="s">
        <v>7735</v>
      </c>
      <c r="BM1208" s="208">
        <f>BH1208</f>
        <v>1009633.15</v>
      </c>
      <c r="BN1208" s="160"/>
      <c r="BO1208" s="161"/>
      <c r="BP1208" s="161"/>
    </row>
    <row r="1209" spans="1:68" ht="63.75">
      <c r="A1209" s="210"/>
      <c r="B1209" s="195" t="s">
        <v>7989</v>
      </c>
      <c r="C1209" s="196" t="s">
        <v>7990</v>
      </c>
      <c r="D1209" s="146" t="s">
        <v>4692</v>
      </c>
      <c r="E1209" s="196" t="s">
        <v>7990</v>
      </c>
      <c r="F1209" s="150">
        <v>691667.9</v>
      </c>
      <c r="G1209" s="209">
        <v>252051.78</v>
      </c>
      <c r="H1209" s="209">
        <v>432630.04625000001</v>
      </c>
      <c r="I1209" s="209">
        <v>684681.82625000004</v>
      </c>
      <c r="J1209" s="150">
        <v>73137.09</v>
      </c>
      <c r="K1209" s="150">
        <v>0</v>
      </c>
      <c r="L1209" s="150">
        <f t="shared" si="1066"/>
        <v>73137.09</v>
      </c>
      <c r="M1209" s="150">
        <v>128794.41</v>
      </c>
      <c r="N1209" s="150">
        <v>159042.17387755102</v>
      </c>
      <c r="O1209" s="150">
        <v>287836.58387755102</v>
      </c>
      <c r="P1209" s="150">
        <v>154254.49</v>
      </c>
      <c r="Q1209" s="150">
        <v>147180.98905765649</v>
      </c>
      <c r="R1209" s="313">
        <f t="shared" si="1053"/>
        <v>301435.47905765648</v>
      </c>
      <c r="S1209" s="150">
        <f t="shared" si="1065"/>
        <v>401913.97207687527</v>
      </c>
      <c r="T1209" s="150"/>
      <c r="U1209" s="150">
        <v>178916.5</v>
      </c>
      <c r="V1209" s="199">
        <v>215048.77621674241</v>
      </c>
      <c r="W1209" s="150">
        <f t="shared" si="1059"/>
        <v>393965.27621674241</v>
      </c>
      <c r="X1209" s="150">
        <v>178916.5</v>
      </c>
      <c r="Y1209" s="150">
        <v>215048.77621674241</v>
      </c>
      <c r="Z1209" s="150">
        <v>393965.27621674241</v>
      </c>
      <c r="AA1209" s="150">
        <f t="shared" si="1060"/>
        <v>28009.093783257587</v>
      </c>
      <c r="AB1209" s="150">
        <v>178916.5</v>
      </c>
      <c r="AC1209" s="199">
        <v>243057.87</v>
      </c>
      <c r="AD1209" s="150">
        <f t="shared" si="1054"/>
        <v>421974.37</v>
      </c>
      <c r="AE1209" s="150">
        <v>421974.37</v>
      </c>
      <c r="AF1209" s="169" t="s">
        <v>4680</v>
      </c>
      <c r="AG1209" s="201">
        <v>178916.5</v>
      </c>
      <c r="AH1209" s="199">
        <v>243057.87</v>
      </c>
      <c r="AI1209" s="150">
        <v>421974.37</v>
      </c>
      <c r="AJ1209" s="169">
        <f t="shared" si="1061"/>
        <v>0</v>
      </c>
      <c r="AK1209" s="201">
        <v>178916.5</v>
      </c>
      <c r="AL1209" s="199">
        <v>243057.87</v>
      </c>
      <c r="AM1209" s="150">
        <f t="shared" si="1055"/>
        <v>421974.37</v>
      </c>
      <c r="AN1209" s="153">
        <f t="shared" si="1062"/>
        <v>0</v>
      </c>
      <c r="AO1209" s="154">
        <f t="shared" si="1063"/>
        <v>0</v>
      </c>
      <c r="AP1209" s="150">
        <v>421974.37</v>
      </c>
      <c r="AQ1209" s="201">
        <v>421974.37</v>
      </c>
      <c r="AR1209" s="199"/>
      <c r="AS1209" s="150">
        <f t="shared" si="1056"/>
        <v>421974.37</v>
      </c>
      <c r="AT1209" s="155"/>
      <c r="AU1209" s="156">
        <f t="shared" si="1057"/>
        <v>0</v>
      </c>
      <c r="AV1209" s="156">
        <f t="shared" si="1058"/>
        <v>28009.093783257587</v>
      </c>
      <c r="AW1209" s="157"/>
      <c r="AX1209" s="150">
        <v>393965.27621674241</v>
      </c>
      <c r="AY1209" s="150">
        <v>137676.91</v>
      </c>
      <c r="AZ1209" s="150">
        <f t="shared" si="1064"/>
        <v>437996.25775510201</v>
      </c>
      <c r="BA1209" s="313">
        <v>575673.16775510204</v>
      </c>
      <c r="BB1209" s="210"/>
      <c r="BC1209" s="210"/>
      <c r="BD1209" s="210"/>
      <c r="BE1209" s="210"/>
      <c r="BF1209" s="210"/>
      <c r="BG1209" s="210"/>
      <c r="BH1209" s="217"/>
      <c r="BI1209" s="210"/>
      <c r="BJ1209" s="210"/>
      <c r="BK1209" s="210"/>
      <c r="BL1209" s="210"/>
      <c r="BM1209" s="208"/>
      <c r="BN1209" s="160"/>
      <c r="BO1209" s="161"/>
      <c r="BP1209" s="161"/>
    </row>
    <row r="1210" spans="1:68" ht="63.75">
      <c r="A1210" s="210"/>
      <c r="B1210" s="195" t="s">
        <v>7991</v>
      </c>
      <c r="C1210" s="196" t="s">
        <v>7992</v>
      </c>
      <c r="D1210" s="146" t="s">
        <v>4692</v>
      </c>
      <c r="E1210" s="196" t="s">
        <v>7992</v>
      </c>
      <c r="F1210" s="150">
        <v>684682.78</v>
      </c>
      <c r="G1210" s="209">
        <v>0</v>
      </c>
      <c r="H1210" s="209">
        <v>0</v>
      </c>
      <c r="I1210" s="209">
        <v>0</v>
      </c>
      <c r="J1210" s="150">
        <v>137145.48000000001</v>
      </c>
      <c r="K1210" s="150">
        <v>0</v>
      </c>
      <c r="L1210" s="150">
        <f t="shared" si="1066"/>
        <v>137145.48000000001</v>
      </c>
      <c r="M1210" s="150">
        <v>195437.79</v>
      </c>
      <c r="N1210" s="150">
        <v>62441.523877551081</v>
      </c>
      <c r="O1210" s="150">
        <v>257879.31387755109</v>
      </c>
      <c r="P1210" s="150">
        <v>221136.58</v>
      </c>
      <c r="Q1210" s="150">
        <v>201828.59622132673</v>
      </c>
      <c r="R1210" s="313">
        <f t="shared" si="1053"/>
        <v>422965.17622132669</v>
      </c>
      <c r="S1210" s="150">
        <f t="shared" si="1065"/>
        <v>563953.56829510222</v>
      </c>
      <c r="T1210" s="150"/>
      <c r="U1210" s="150">
        <v>245018.02</v>
      </c>
      <c r="V1210" s="245">
        <f>321601.666216742</f>
        <v>321601.66621674201</v>
      </c>
      <c r="W1210" s="150">
        <f t="shared" si="1059"/>
        <v>566619.68621674203</v>
      </c>
      <c r="X1210" s="150">
        <v>245018.02</v>
      </c>
      <c r="Y1210" s="150">
        <v>321601.66621674201</v>
      </c>
      <c r="Z1210" s="150">
        <v>566619.68621674203</v>
      </c>
      <c r="AA1210" s="150">
        <f t="shared" si="1060"/>
        <v>21039.093783257995</v>
      </c>
      <c r="AB1210" s="150">
        <v>245018.02</v>
      </c>
      <c r="AC1210" s="245">
        <v>342640.76</v>
      </c>
      <c r="AD1210" s="150">
        <f t="shared" si="1054"/>
        <v>587658.78</v>
      </c>
      <c r="AE1210" s="150">
        <v>587658.78</v>
      </c>
      <c r="AF1210" s="169" t="s">
        <v>4680</v>
      </c>
      <c r="AG1210" s="201">
        <v>245018.02</v>
      </c>
      <c r="AH1210" s="245">
        <v>342640.76</v>
      </c>
      <c r="AI1210" s="150">
        <v>587658.78</v>
      </c>
      <c r="AJ1210" s="169">
        <f t="shared" si="1061"/>
        <v>0</v>
      </c>
      <c r="AK1210" s="201">
        <v>245018.02</v>
      </c>
      <c r="AL1210" s="245">
        <v>342640.76</v>
      </c>
      <c r="AM1210" s="150">
        <f t="shared" si="1055"/>
        <v>587658.78</v>
      </c>
      <c r="AN1210" s="153">
        <f t="shared" si="1062"/>
        <v>0</v>
      </c>
      <c r="AO1210" s="154">
        <f t="shared" si="1063"/>
        <v>0</v>
      </c>
      <c r="AP1210" s="150">
        <v>587658.78</v>
      </c>
      <c r="AQ1210" s="201">
        <v>587658.78</v>
      </c>
      <c r="AR1210" s="245"/>
      <c r="AS1210" s="150">
        <f t="shared" si="1056"/>
        <v>587658.78</v>
      </c>
      <c r="AT1210" s="155"/>
      <c r="AU1210" s="156">
        <f t="shared" si="1057"/>
        <v>0</v>
      </c>
      <c r="AV1210" s="156">
        <f t="shared" si="1058"/>
        <v>21039.093783257995</v>
      </c>
      <c r="AW1210" s="157"/>
      <c r="AX1210" s="150">
        <v>566619.68621674203</v>
      </c>
      <c r="AY1210" s="150">
        <v>204367.79</v>
      </c>
      <c r="AZ1210" s="150">
        <f t="shared" si="1064"/>
        <v>311390.8377551022</v>
      </c>
      <c r="BA1210" s="313">
        <v>515758.62775510218</v>
      </c>
      <c r="BB1210" s="210"/>
      <c r="BC1210" s="210"/>
      <c r="BD1210" s="210"/>
      <c r="BE1210" s="210"/>
      <c r="BF1210" s="210"/>
      <c r="BG1210" s="210"/>
      <c r="BH1210" s="217"/>
      <c r="BI1210" s="210"/>
      <c r="BJ1210" s="210"/>
      <c r="BK1210" s="210"/>
      <c r="BL1210" s="210"/>
      <c r="BM1210" s="208"/>
      <c r="BN1210" s="160"/>
      <c r="BO1210" s="161"/>
      <c r="BP1210" s="161"/>
    </row>
    <row r="1211" spans="1:68" ht="51">
      <c r="A1211" s="206" t="s">
        <v>452</v>
      </c>
      <c r="B1211" s="195" t="s">
        <v>7993</v>
      </c>
      <c r="C1211" s="196" t="s">
        <v>7994</v>
      </c>
      <c r="D1211" s="146" t="s">
        <v>4692</v>
      </c>
      <c r="E1211" s="196" t="s">
        <v>7994</v>
      </c>
      <c r="F1211" s="150">
        <v>0</v>
      </c>
      <c r="G1211" s="209">
        <v>0</v>
      </c>
      <c r="H1211" s="209">
        <v>0</v>
      </c>
      <c r="I1211" s="209">
        <v>0</v>
      </c>
      <c r="J1211" s="150">
        <v>0</v>
      </c>
      <c r="K1211" s="150">
        <v>0</v>
      </c>
      <c r="L1211" s="150">
        <f t="shared" si="1066"/>
        <v>0</v>
      </c>
      <c r="M1211" s="150">
        <v>0</v>
      </c>
      <c r="N1211" s="150">
        <v>0</v>
      </c>
      <c r="O1211" s="150">
        <v>0</v>
      </c>
      <c r="P1211" s="150">
        <v>0</v>
      </c>
      <c r="Q1211" s="150">
        <v>0</v>
      </c>
      <c r="R1211" s="313">
        <f t="shared" si="1053"/>
        <v>0</v>
      </c>
      <c r="S1211" s="150">
        <f t="shared" si="1065"/>
        <v>0</v>
      </c>
      <c r="T1211" s="150"/>
      <c r="U1211" s="150">
        <v>0</v>
      </c>
      <c r="V1211" s="199">
        <v>0</v>
      </c>
      <c r="W1211" s="150">
        <f t="shared" si="1059"/>
        <v>0</v>
      </c>
      <c r="X1211" s="150">
        <v>0</v>
      </c>
      <c r="Y1211" s="150">
        <v>0</v>
      </c>
      <c r="Z1211" s="150">
        <v>0</v>
      </c>
      <c r="AA1211" s="150">
        <f t="shared" si="1060"/>
        <v>0</v>
      </c>
      <c r="AB1211" s="150">
        <v>0</v>
      </c>
      <c r="AC1211" s="199">
        <v>0</v>
      </c>
      <c r="AD1211" s="150">
        <f t="shared" si="1054"/>
        <v>0</v>
      </c>
      <c r="AE1211" s="150">
        <v>0</v>
      </c>
      <c r="AF1211" s="169" t="s">
        <v>4680</v>
      </c>
      <c r="AG1211" s="201">
        <v>0</v>
      </c>
      <c r="AH1211" s="199">
        <v>0</v>
      </c>
      <c r="AI1211" s="150">
        <v>0</v>
      </c>
      <c r="AJ1211" s="169">
        <f t="shared" si="1061"/>
        <v>0</v>
      </c>
      <c r="AK1211" s="201">
        <v>0</v>
      </c>
      <c r="AL1211" s="199">
        <v>0</v>
      </c>
      <c r="AM1211" s="150">
        <f t="shared" si="1055"/>
        <v>0</v>
      </c>
      <c r="AN1211" s="153">
        <f t="shared" si="1062"/>
        <v>0</v>
      </c>
      <c r="AO1211" s="154">
        <f t="shared" si="1063"/>
        <v>0</v>
      </c>
      <c r="AP1211" s="150">
        <v>0</v>
      </c>
      <c r="AQ1211" s="201">
        <v>0</v>
      </c>
      <c r="AR1211" s="199">
        <v>0</v>
      </c>
      <c r="AS1211" s="150">
        <f t="shared" si="1056"/>
        <v>0</v>
      </c>
      <c r="AT1211" s="155"/>
      <c r="AU1211" s="156">
        <f t="shared" si="1057"/>
        <v>0</v>
      </c>
      <c r="AV1211" s="156">
        <f t="shared" si="1058"/>
        <v>0</v>
      </c>
      <c r="AW1211" s="157"/>
      <c r="AX1211" s="150">
        <v>0</v>
      </c>
      <c r="AY1211" s="150">
        <v>0</v>
      </c>
      <c r="AZ1211" s="150">
        <f t="shared" si="1064"/>
        <v>0</v>
      </c>
      <c r="BA1211" s="313">
        <v>0</v>
      </c>
      <c r="BB1211" s="202">
        <v>5</v>
      </c>
      <c r="BC1211" s="202" t="s">
        <v>647</v>
      </c>
      <c r="BD1211" s="194" t="s">
        <v>647</v>
      </c>
      <c r="BE1211" s="335" t="s">
        <v>671</v>
      </c>
      <c r="BF1211" s="202" t="s">
        <v>1225</v>
      </c>
      <c r="BG1211" s="287" t="s">
        <v>7995</v>
      </c>
      <c r="BH1211" s="283">
        <f>SUM(AS1211:AS1236)</f>
        <v>1886321.02</v>
      </c>
      <c r="BI1211" s="205"/>
      <c r="BJ1211" s="206" t="s">
        <v>7734</v>
      </c>
      <c r="BK1211" s="206" t="s">
        <v>452</v>
      </c>
      <c r="BL1211" s="207" t="s">
        <v>7735</v>
      </c>
      <c r="BM1211" s="208">
        <f>BH1211</f>
        <v>1886321.02</v>
      </c>
      <c r="BN1211" s="160"/>
      <c r="BO1211" s="161"/>
      <c r="BP1211" s="161"/>
    </row>
    <row r="1212" spans="1:68" ht="51">
      <c r="A1212" s="210"/>
      <c r="B1212" s="195" t="s">
        <v>7996</v>
      </c>
      <c r="C1212" s="196" t="s">
        <v>7997</v>
      </c>
      <c r="D1212" s="146" t="s">
        <v>4692</v>
      </c>
      <c r="E1212" s="196" t="s">
        <v>7997</v>
      </c>
      <c r="F1212" s="150">
        <v>0</v>
      </c>
      <c r="G1212" s="209">
        <v>3721.49</v>
      </c>
      <c r="H1212" s="209">
        <v>1104.7348349107142</v>
      </c>
      <c r="I1212" s="209">
        <v>4826.224834910714</v>
      </c>
      <c r="J1212" s="150">
        <v>0</v>
      </c>
      <c r="K1212" s="150">
        <v>0</v>
      </c>
      <c r="L1212" s="150">
        <f t="shared" si="1066"/>
        <v>0</v>
      </c>
      <c r="M1212" s="150">
        <v>0</v>
      </c>
      <c r="N1212" s="150">
        <v>0</v>
      </c>
      <c r="O1212" s="150">
        <v>0</v>
      </c>
      <c r="P1212" s="150">
        <v>0</v>
      </c>
      <c r="Q1212" s="150">
        <v>0</v>
      </c>
      <c r="R1212" s="313">
        <f t="shared" si="1053"/>
        <v>0</v>
      </c>
      <c r="S1212" s="150">
        <f t="shared" si="1065"/>
        <v>0</v>
      </c>
      <c r="T1212" s="150"/>
      <c r="U1212" s="150">
        <v>0</v>
      </c>
      <c r="V1212" s="199">
        <v>0</v>
      </c>
      <c r="W1212" s="150">
        <f t="shared" si="1059"/>
        <v>0</v>
      </c>
      <c r="X1212" s="150">
        <v>0</v>
      </c>
      <c r="Y1212" s="150">
        <v>0</v>
      </c>
      <c r="Z1212" s="150">
        <v>0</v>
      </c>
      <c r="AA1212" s="150">
        <f t="shared" si="1060"/>
        <v>0</v>
      </c>
      <c r="AB1212" s="150">
        <v>0</v>
      </c>
      <c r="AC1212" s="199">
        <v>0</v>
      </c>
      <c r="AD1212" s="150">
        <f t="shared" si="1054"/>
        <v>0</v>
      </c>
      <c r="AE1212" s="150">
        <v>0</v>
      </c>
      <c r="AF1212" s="169" t="s">
        <v>4680</v>
      </c>
      <c r="AG1212" s="201">
        <v>0</v>
      </c>
      <c r="AH1212" s="199">
        <v>0</v>
      </c>
      <c r="AI1212" s="150">
        <v>0</v>
      </c>
      <c r="AJ1212" s="169">
        <f t="shared" si="1061"/>
        <v>0</v>
      </c>
      <c r="AK1212" s="201">
        <v>0</v>
      </c>
      <c r="AL1212" s="199">
        <v>0</v>
      </c>
      <c r="AM1212" s="150">
        <f t="shared" si="1055"/>
        <v>0</v>
      </c>
      <c r="AN1212" s="153">
        <f t="shared" si="1062"/>
        <v>0</v>
      </c>
      <c r="AO1212" s="154">
        <f t="shared" si="1063"/>
        <v>0</v>
      </c>
      <c r="AP1212" s="150">
        <v>0</v>
      </c>
      <c r="AQ1212" s="201">
        <v>0</v>
      </c>
      <c r="AR1212" s="199">
        <v>0</v>
      </c>
      <c r="AS1212" s="150">
        <f t="shared" si="1056"/>
        <v>0</v>
      </c>
      <c r="AT1212" s="155"/>
      <c r="AU1212" s="156">
        <f t="shared" si="1057"/>
        <v>0</v>
      </c>
      <c r="AV1212" s="156">
        <f t="shared" si="1058"/>
        <v>0</v>
      </c>
      <c r="AW1212" s="157"/>
      <c r="AX1212" s="150">
        <v>0</v>
      </c>
      <c r="AY1212" s="150">
        <v>0</v>
      </c>
      <c r="AZ1212" s="150">
        <f t="shared" si="1064"/>
        <v>0</v>
      </c>
      <c r="BA1212" s="313">
        <v>0</v>
      </c>
      <c r="BB1212" s="210"/>
      <c r="BC1212" s="210"/>
      <c r="BD1212" s="210"/>
      <c r="BE1212" s="210"/>
      <c r="BF1212" s="210"/>
      <c r="BG1212" s="210"/>
      <c r="BH1212" s="217"/>
      <c r="BI1212" s="210"/>
      <c r="BJ1212" s="210"/>
      <c r="BK1212" s="210"/>
      <c r="BL1212" s="210"/>
      <c r="BM1212" s="208"/>
      <c r="BN1212" s="160"/>
      <c r="BO1212" s="161"/>
      <c r="BP1212" s="161"/>
    </row>
    <row r="1213" spans="1:68" ht="51">
      <c r="A1213" s="210"/>
      <c r="B1213" s="195" t="s">
        <v>7998</v>
      </c>
      <c r="C1213" s="196" t="s">
        <v>7999</v>
      </c>
      <c r="D1213" s="146" t="s">
        <v>4692</v>
      </c>
      <c r="E1213" s="196" t="s">
        <v>7999</v>
      </c>
      <c r="F1213" s="150">
        <v>4826.49</v>
      </c>
      <c r="G1213" s="209">
        <v>0</v>
      </c>
      <c r="H1213" s="209">
        <v>0</v>
      </c>
      <c r="I1213" s="209">
        <v>0</v>
      </c>
      <c r="J1213" s="150">
        <v>0</v>
      </c>
      <c r="K1213" s="150">
        <v>0</v>
      </c>
      <c r="L1213" s="150">
        <f t="shared" si="1066"/>
        <v>0</v>
      </c>
      <c r="M1213" s="150">
        <v>0</v>
      </c>
      <c r="N1213" s="150">
        <v>0</v>
      </c>
      <c r="O1213" s="150">
        <v>0</v>
      </c>
      <c r="P1213" s="150">
        <v>0</v>
      </c>
      <c r="Q1213" s="150">
        <v>0</v>
      </c>
      <c r="R1213" s="313">
        <f t="shared" si="1053"/>
        <v>0</v>
      </c>
      <c r="S1213" s="150">
        <f t="shared" si="1065"/>
        <v>0</v>
      </c>
      <c r="T1213" s="150"/>
      <c r="U1213" s="150">
        <v>0</v>
      </c>
      <c r="V1213" s="199">
        <v>0</v>
      </c>
      <c r="W1213" s="150">
        <f t="shared" si="1059"/>
        <v>0</v>
      </c>
      <c r="X1213" s="150">
        <v>0</v>
      </c>
      <c r="Y1213" s="150">
        <v>0</v>
      </c>
      <c r="Z1213" s="150">
        <v>0</v>
      </c>
      <c r="AA1213" s="150">
        <f t="shared" si="1060"/>
        <v>0</v>
      </c>
      <c r="AB1213" s="150">
        <v>0</v>
      </c>
      <c r="AC1213" s="199">
        <v>0</v>
      </c>
      <c r="AD1213" s="150">
        <f t="shared" si="1054"/>
        <v>0</v>
      </c>
      <c r="AE1213" s="150">
        <v>0</v>
      </c>
      <c r="AF1213" s="169" t="s">
        <v>4680</v>
      </c>
      <c r="AG1213" s="201">
        <v>0</v>
      </c>
      <c r="AH1213" s="199">
        <v>0</v>
      </c>
      <c r="AI1213" s="150">
        <v>0</v>
      </c>
      <c r="AJ1213" s="169">
        <f t="shared" si="1061"/>
        <v>0</v>
      </c>
      <c r="AK1213" s="201">
        <v>0</v>
      </c>
      <c r="AL1213" s="199">
        <v>0</v>
      </c>
      <c r="AM1213" s="150">
        <f t="shared" si="1055"/>
        <v>0</v>
      </c>
      <c r="AN1213" s="153">
        <f t="shared" si="1062"/>
        <v>723.74</v>
      </c>
      <c r="AO1213" s="154">
        <f t="shared" si="1063"/>
        <v>723.74</v>
      </c>
      <c r="AP1213" s="150">
        <v>0</v>
      </c>
      <c r="AQ1213" s="201">
        <v>723.74</v>
      </c>
      <c r="AR1213" s="199">
        <v>0</v>
      </c>
      <c r="AS1213" s="150">
        <f t="shared" si="1056"/>
        <v>723.74</v>
      </c>
      <c r="AT1213" s="155"/>
      <c r="AU1213" s="156">
        <f t="shared" si="1057"/>
        <v>0</v>
      </c>
      <c r="AV1213" s="156">
        <f t="shared" si="1058"/>
        <v>0</v>
      </c>
      <c r="AW1213" s="157"/>
      <c r="AX1213" s="150">
        <v>0</v>
      </c>
      <c r="AY1213" s="150">
        <v>0</v>
      </c>
      <c r="AZ1213" s="150">
        <f t="shared" si="1064"/>
        <v>0</v>
      </c>
      <c r="BA1213" s="313">
        <v>0</v>
      </c>
      <c r="BB1213" s="210"/>
      <c r="BC1213" s="210"/>
      <c r="BD1213" s="210"/>
      <c r="BE1213" s="210"/>
      <c r="BF1213" s="210"/>
      <c r="BG1213" s="210"/>
      <c r="BH1213" s="217"/>
      <c r="BI1213" s="210"/>
      <c r="BJ1213" s="210"/>
      <c r="BK1213" s="210"/>
      <c r="BL1213" s="210"/>
      <c r="BM1213" s="208"/>
      <c r="BN1213" s="160"/>
      <c r="BO1213" s="161"/>
      <c r="BP1213" s="161"/>
    </row>
    <row r="1214" spans="1:68" ht="51">
      <c r="A1214" s="210"/>
      <c r="B1214" s="195" t="s">
        <v>8000</v>
      </c>
      <c r="C1214" s="196" t="s">
        <v>8001</v>
      </c>
      <c r="D1214" s="146" t="s">
        <v>4692</v>
      </c>
      <c r="E1214" s="196" t="s">
        <v>8001</v>
      </c>
      <c r="F1214" s="150">
        <v>0</v>
      </c>
      <c r="G1214" s="209">
        <v>0</v>
      </c>
      <c r="H1214" s="209">
        <v>0</v>
      </c>
      <c r="I1214" s="209">
        <v>0</v>
      </c>
      <c r="J1214" s="150">
        <v>0</v>
      </c>
      <c r="K1214" s="150">
        <v>0</v>
      </c>
      <c r="L1214" s="150">
        <f t="shared" si="1066"/>
        <v>0</v>
      </c>
      <c r="M1214" s="150">
        <v>0</v>
      </c>
      <c r="N1214" s="150">
        <v>0</v>
      </c>
      <c r="O1214" s="150">
        <v>0</v>
      </c>
      <c r="P1214" s="150">
        <v>0</v>
      </c>
      <c r="Q1214" s="150">
        <v>0</v>
      </c>
      <c r="R1214" s="313">
        <f t="shared" si="1053"/>
        <v>0</v>
      </c>
      <c r="S1214" s="150">
        <f t="shared" si="1065"/>
        <v>0</v>
      </c>
      <c r="T1214" s="150"/>
      <c r="U1214" s="150">
        <v>0</v>
      </c>
      <c r="V1214" s="199">
        <v>0</v>
      </c>
      <c r="W1214" s="150">
        <f t="shared" si="1059"/>
        <v>0</v>
      </c>
      <c r="X1214" s="150">
        <v>0</v>
      </c>
      <c r="Y1214" s="150">
        <v>0</v>
      </c>
      <c r="Z1214" s="150">
        <v>0</v>
      </c>
      <c r="AA1214" s="150">
        <f t="shared" si="1060"/>
        <v>0</v>
      </c>
      <c r="AB1214" s="150">
        <v>0</v>
      </c>
      <c r="AC1214" s="199">
        <v>0</v>
      </c>
      <c r="AD1214" s="150">
        <f t="shared" si="1054"/>
        <v>0</v>
      </c>
      <c r="AE1214" s="150">
        <v>0</v>
      </c>
      <c r="AF1214" s="169" t="s">
        <v>4680</v>
      </c>
      <c r="AG1214" s="201">
        <v>0</v>
      </c>
      <c r="AH1214" s="199">
        <v>0</v>
      </c>
      <c r="AI1214" s="150">
        <v>0</v>
      </c>
      <c r="AJ1214" s="169">
        <f t="shared" si="1061"/>
        <v>0</v>
      </c>
      <c r="AK1214" s="201">
        <v>0</v>
      </c>
      <c r="AL1214" s="199">
        <v>0</v>
      </c>
      <c r="AM1214" s="150">
        <f t="shared" si="1055"/>
        <v>0</v>
      </c>
      <c r="AN1214" s="153">
        <f t="shared" si="1062"/>
        <v>0</v>
      </c>
      <c r="AO1214" s="154">
        <f t="shared" si="1063"/>
        <v>0</v>
      </c>
      <c r="AP1214" s="150">
        <v>0</v>
      </c>
      <c r="AQ1214" s="201">
        <v>0</v>
      </c>
      <c r="AR1214" s="199">
        <v>0</v>
      </c>
      <c r="AS1214" s="150">
        <f t="shared" si="1056"/>
        <v>0</v>
      </c>
      <c r="AT1214" s="155"/>
      <c r="AU1214" s="156">
        <f t="shared" si="1057"/>
        <v>0</v>
      </c>
      <c r="AV1214" s="156">
        <f t="shared" si="1058"/>
        <v>0</v>
      </c>
      <c r="AW1214" s="157"/>
      <c r="AX1214" s="150">
        <v>0</v>
      </c>
      <c r="AY1214" s="150">
        <v>0</v>
      </c>
      <c r="AZ1214" s="150">
        <f t="shared" si="1064"/>
        <v>0</v>
      </c>
      <c r="BA1214" s="313">
        <v>0</v>
      </c>
      <c r="BB1214" s="210"/>
      <c r="BC1214" s="210"/>
      <c r="BD1214" s="210"/>
      <c r="BE1214" s="210"/>
      <c r="BF1214" s="210"/>
      <c r="BG1214" s="210"/>
      <c r="BH1214" s="217"/>
      <c r="BI1214" s="210"/>
      <c r="BJ1214" s="210"/>
      <c r="BK1214" s="210"/>
      <c r="BL1214" s="210"/>
      <c r="BM1214" s="208"/>
      <c r="BN1214" s="160"/>
      <c r="BO1214" s="161"/>
      <c r="BP1214" s="161"/>
    </row>
    <row r="1215" spans="1:68" ht="38.25">
      <c r="A1215" s="210"/>
      <c r="B1215" s="195" t="s">
        <v>8002</v>
      </c>
      <c r="C1215" s="196" t="s">
        <v>8003</v>
      </c>
      <c r="D1215" s="146" t="s">
        <v>4692</v>
      </c>
      <c r="E1215" s="196" t="s">
        <v>8003</v>
      </c>
      <c r="F1215" s="150">
        <v>0</v>
      </c>
      <c r="G1215" s="209">
        <v>0</v>
      </c>
      <c r="H1215" s="209">
        <v>0</v>
      </c>
      <c r="I1215" s="209">
        <v>0</v>
      </c>
      <c r="J1215" s="150">
        <v>0</v>
      </c>
      <c r="K1215" s="150">
        <v>0</v>
      </c>
      <c r="L1215" s="150">
        <f t="shared" si="1066"/>
        <v>0</v>
      </c>
      <c r="M1215" s="150">
        <v>0</v>
      </c>
      <c r="N1215" s="150">
        <v>0</v>
      </c>
      <c r="O1215" s="150">
        <v>0</v>
      </c>
      <c r="P1215" s="150">
        <v>0</v>
      </c>
      <c r="Q1215" s="150">
        <v>0</v>
      </c>
      <c r="R1215" s="313">
        <f t="shared" si="1053"/>
        <v>0</v>
      </c>
      <c r="S1215" s="150">
        <f t="shared" si="1065"/>
        <v>0</v>
      </c>
      <c r="T1215" s="150"/>
      <c r="U1215" s="150">
        <v>0</v>
      </c>
      <c r="V1215" s="199">
        <v>0</v>
      </c>
      <c r="W1215" s="150">
        <f t="shared" si="1059"/>
        <v>0</v>
      </c>
      <c r="X1215" s="150">
        <v>0</v>
      </c>
      <c r="Y1215" s="150">
        <v>0</v>
      </c>
      <c r="Z1215" s="150">
        <v>0</v>
      </c>
      <c r="AA1215" s="150">
        <f t="shared" si="1060"/>
        <v>0</v>
      </c>
      <c r="AB1215" s="150">
        <v>0</v>
      </c>
      <c r="AC1215" s="199">
        <v>0</v>
      </c>
      <c r="AD1215" s="150">
        <f t="shared" si="1054"/>
        <v>0</v>
      </c>
      <c r="AE1215" s="150">
        <v>0</v>
      </c>
      <c r="AF1215" s="169" t="s">
        <v>4680</v>
      </c>
      <c r="AG1215" s="201">
        <v>0</v>
      </c>
      <c r="AH1215" s="199">
        <v>0</v>
      </c>
      <c r="AI1215" s="150">
        <v>0</v>
      </c>
      <c r="AJ1215" s="169">
        <f t="shared" si="1061"/>
        <v>0</v>
      </c>
      <c r="AK1215" s="201">
        <v>0</v>
      </c>
      <c r="AL1215" s="199">
        <v>0</v>
      </c>
      <c r="AM1215" s="150">
        <f t="shared" si="1055"/>
        <v>0</v>
      </c>
      <c r="AN1215" s="153">
        <f t="shared" si="1062"/>
        <v>0</v>
      </c>
      <c r="AO1215" s="154">
        <f t="shared" si="1063"/>
        <v>0</v>
      </c>
      <c r="AP1215" s="150">
        <v>0</v>
      </c>
      <c r="AQ1215" s="201">
        <v>0</v>
      </c>
      <c r="AR1215" s="199">
        <v>0</v>
      </c>
      <c r="AS1215" s="150">
        <f t="shared" si="1056"/>
        <v>0</v>
      </c>
      <c r="AT1215" s="155"/>
      <c r="AU1215" s="156">
        <f t="shared" si="1057"/>
        <v>0</v>
      </c>
      <c r="AV1215" s="156">
        <f t="shared" si="1058"/>
        <v>0</v>
      </c>
      <c r="AW1215" s="157"/>
      <c r="AX1215" s="150">
        <v>0</v>
      </c>
      <c r="AY1215" s="150">
        <v>0</v>
      </c>
      <c r="AZ1215" s="150">
        <f t="shared" si="1064"/>
        <v>0</v>
      </c>
      <c r="BA1215" s="313">
        <v>0</v>
      </c>
      <c r="BB1215" s="210"/>
      <c r="BC1215" s="210"/>
      <c r="BD1215" s="210"/>
      <c r="BE1215" s="210"/>
      <c r="BF1215" s="210"/>
      <c r="BG1215" s="210"/>
      <c r="BH1215" s="217"/>
      <c r="BI1215" s="210"/>
      <c r="BJ1215" s="210"/>
      <c r="BK1215" s="210"/>
      <c r="BL1215" s="210"/>
      <c r="BM1215" s="208"/>
      <c r="BN1215" s="160"/>
      <c r="BO1215" s="161"/>
      <c r="BP1215" s="161"/>
    </row>
    <row r="1216" spans="1:68" ht="38.25">
      <c r="A1216" s="210"/>
      <c r="B1216" s="195" t="s">
        <v>8004</v>
      </c>
      <c r="C1216" s="196" t="s">
        <v>8005</v>
      </c>
      <c r="D1216" s="146" t="s">
        <v>4692</v>
      </c>
      <c r="E1216" s="196" t="s">
        <v>8005</v>
      </c>
      <c r="F1216" s="150">
        <v>0</v>
      </c>
      <c r="G1216" s="209">
        <v>128.54</v>
      </c>
      <c r="H1216" s="209">
        <v>0</v>
      </c>
      <c r="I1216" s="209">
        <v>128.54</v>
      </c>
      <c r="J1216" s="150">
        <v>0</v>
      </c>
      <c r="K1216" s="150">
        <v>0</v>
      </c>
      <c r="L1216" s="150">
        <f t="shared" si="1066"/>
        <v>0</v>
      </c>
      <c r="M1216" s="150">
        <v>0</v>
      </c>
      <c r="N1216" s="150">
        <v>0</v>
      </c>
      <c r="O1216" s="150">
        <v>0</v>
      </c>
      <c r="P1216" s="150">
        <v>0</v>
      </c>
      <c r="Q1216" s="150">
        <v>0</v>
      </c>
      <c r="R1216" s="313">
        <f t="shared" si="1053"/>
        <v>0</v>
      </c>
      <c r="S1216" s="150">
        <f t="shared" si="1065"/>
        <v>0</v>
      </c>
      <c r="T1216" s="150"/>
      <c r="U1216" s="150">
        <v>0</v>
      </c>
      <c r="V1216" s="199">
        <v>0</v>
      </c>
      <c r="W1216" s="150">
        <f t="shared" si="1059"/>
        <v>0</v>
      </c>
      <c r="X1216" s="150">
        <v>0</v>
      </c>
      <c r="Y1216" s="150">
        <v>0</v>
      </c>
      <c r="Z1216" s="150">
        <v>0</v>
      </c>
      <c r="AA1216" s="150">
        <f t="shared" si="1060"/>
        <v>0</v>
      </c>
      <c r="AB1216" s="150">
        <v>0</v>
      </c>
      <c r="AC1216" s="199">
        <v>0</v>
      </c>
      <c r="AD1216" s="150">
        <f t="shared" si="1054"/>
        <v>0</v>
      </c>
      <c r="AE1216" s="150">
        <v>0</v>
      </c>
      <c r="AF1216" s="169" t="s">
        <v>4680</v>
      </c>
      <c r="AG1216" s="201">
        <v>0</v>
      </c>
      <c r="AH1216" s="199">
        <v>0</v>
      </c>
      <c r="AI1216" s="150">
        <v>0</v>
      </c>
      <c r="AJ1216" s="169">
        <f t="shared" si="1061"/>
        <v>0</v>
      </c>
      <c r="AK1216" s="201">
        <v>0</v>
      </c>
      <c r="AL1216" s="199">
        <v>0</v>
      </c>
      <c r="AM1216" s="150">
        <f t="shared" si="1055"/>
        <v>0</v>
      </c>
      <c r="AN1216" s="153">
        <f t="shared" si="1062"/>
        <v>0</v>
      </c>
      <c r="AO1216" s="154">
        <f t="shared" si="1063"/>
        <v>0</v>
      </c>
      <c r="AP1216" s="150">
        <v>0</v>
      </c>
      <c r="AQ1216" s="201">
        <v>0</v>
      </c>
      <c r="AR1216" s="199">
        <v>0</v>
      </c>
      <c r="AS1216" s="150">
        <f t="shared" si="1056"/>
        <v>0</v>
      </c>
      <c r="AT1216" s="155"/>
      <c r="AU1216" s="156">
        <f t="shared" si="1057"/>
        <v>0</v>
      </c>
      <c r="AV1216" s="156">
        <f t="shared" si="1058"/>
        <v>0</v>
      </c>
      <c r="AW1216" s="157"/>
      <c r="AX1216" s="150">
        <v>0</v>
      </c>
      <c r="AY1216" s="150">
        <v>0</v>
      </c>
      <c r="AZ1216" s="150">
        <f t="shared" si="1064"/>
        <v>0</v>
      </c>
      <c r="BA1216" s="313">
        <v>0</v>
      </c>
      <c r="BB1216" s="210"/>
      <c r="BC1216" s="210"/>
      <c r="BD1216" s="210"/>
      <c r="BE1216" s="210"/>
      <c r="BF1216" s="210"/>
      <c r="BG1216" s="210"/>
      <c r="BH1216" s="217"/>
      <c r="BI1216" s="210"/>
      <c r="BJ1216" s="210"/>
      <c r="BK1216" s="210"/>
      <c r="BL1216" s="210"/>
      <c r="BM1216" s="208"/>
      <c r="BN1216" s="160"/>
      <c r="BO1216" s="161"/>
      <c r="BP1216" s="161"/>
    </row>
    <row r="1217" spans="1:68" ht="51">
      <c r="A1217" s="210"/>
      <c r="B1217" s="195" t="s">
        <v>8006</v>
      </c>
      <c r="C1217" s="196" t="s">
        <v>8007</v>
      </c>
      <c r="D1217" s="146" t="s">
        <v>4692</v>
      </c>
      <c r="E1217" s="196" t="s">
        <v>8007</v>
      </c>
      <c r="F1217" s="150">
        <v>128.54</v>
      </c>
      <c r="G1217" s="209">
        <v>0</v>
      </c>
      <c r="H1217" s="209">
        <v>0</v>
      </c>
      <c r="I1217" s="209">
        <v>0</v>
      </c>
      <c r="J1217" s="150">
        <v>0</v>
      </c>
      <c r="K1217" s="150">
        <v>0</v>
      </c>
      <c r="L1217" s="150">
        <f t="shared" si="1066"/>
        <v>0</v>
      </c>
      <c r="M1217" s="150">
        <v>0</v>
      </c>
      <c r="N1217" s="150">
        <v>0</v>
      </c>
      <c r="O1217" s="150">
        <v>0</v>
      </c>
      <c r="P1217" s="150">
        <v>0</v>
      </c>
      <c r="Q1217" s="150">
        <v>0</v>
      </c>
      <c r="R1217" s="313">
        <f t="shared" si="1053"/>
        <v>0</v>
      </c>
      <c r="S1217" s="150">
        <f t="shared" si="1065"/>
        <v>0</v>
      </c>
      <c r="T1217" s="150"/>
      <c r="U1217" s="150">
        <v>0</v>
      </c>
      <c r="V1217" s="199">
        <v>0</v>
      </c>
      <c r="W1217" s="150">
        <f t="shared" si="1059"/>
        <v>0</v>
      </c>
      <c r="X1217" s="150">
        <v>0</v>
      </c>
      <c r="Y1217" s="150">
        <v>0</v>
      </c>
      <c r="Z1217" s="150">
        <v>0</v>
      </c>
      <c r="AA1217" s="150">
        <f t="shared" si="1060"/>
        <v>0</v>
      </c>
      <c r="AB1217" s="150">
        <v>0</v>
      </c>
      <c r="AC1217" s="199">
        <v>0</v>
      </c>
      <c r="AD1217" s="150">
        <f t="shared" si="1054"/>
        <v>0</v>
      </c>
      <c r="AE1217" s="150">
        <v>0</v>
      </c>
      <c r="AF1217" s="169" t="s">
        <v>4680</v>
      </c>
      <c r="AG1217" s="201">
        <v>0</v>
      </c>
      <c r="AH1217" s="199">
        <v>0</v>
      </c>
      <c r="AI1217" s="150">
        <v>0</v>
      </c>
      <c r="AJ1217" s="169">
        <f t="shared" si="1061"/>
        <v>0</v>
      </c>
      <c r="AK1217" s="201">
        <v>0</v>
      </c>
      <c r="AL1217" s="199">
        <v>0</v>
      </c>
      <c r="AM1217" s="150">
        <f t="shared" si="1055"/>
        <v>0</v>
      </c>
      <c r="AN1217" s="153">
        <f t="shared" si="1062"/>
        <v>0</v>
      </c>
      <c r="AO1217" s="154">
        <f t="shared" si="1063"/>
        <v>0</v>
      </c>
      <c r="AP1217" s="150">
        <v>0</v>
      </c>
      <c r="AQ1217" s="201">
        <v>0</v>
      </c>
      <c r="AR1217" s="199">
        <v>0</v>
      </c>
      <c r="AS1217" s="150">
        <f t="shared" si="1056"/>
        <v>0</v>
      </c>
      <c r="AT1217" s="155"/>
      <c r="AU1217" s="156">
        <f t="shared" si="1057"/>
        <v>0</v>
      </c>
      <c r="AV1217" s="156">
        <f t="shared" si="1058"/>
        <v>0</v>
      </c>
      <c r="AW1217" s="157"/>
      <c r="AX1217" s="150">
        <v>0</v>
      </c>
      <c r="AY1217" s="150">
        <v>0</v>
      </c>
      <c r="AZ1217" s="150">
        <f t="shared" si="1064"/>
        <v>0</v>
      </c>
      <c r="BA1217" s="313">
        <v>0</v>
      </c>
      <c r="BB1217" s="210"/>
      <c r="BC1217" s="210"/>
      <c r="BD1217" s="210"/>
      <c r="BE1217" s="210"/>
      <c r="BF1217" s="210"/>
      <c r="BG1217" s="210"/>
      <c r="BH1217" s="217"/>
      <c r="BI1217" s="210"/>
      <c r="BJ1217" s="210"/>
      <c r="BK1217" s="210"/>
      <c r="BL1217" s="210"/>
      <c r="BM1217" s="208"/>
      <c r="BN1217" s="160"/>
      <c r="BO1217" s="161"/>
      <c r="BP1217" s="161"/>
    </row>
    <row r="1218" spans="1:68" ht="51">
      <c r="A1218" s="210"/>
      <c r="B1218" s="195" t="s">
        <v>8008</v>
      </c>
      <c r="C1218" s="196" t="s">
        <v>8009</v>
      </c>
      <c r="D1218" s="146" t="s">
        <v>4692</v>
      </c>
      <c r="E1218" s="196" t="s">
        <v>8009</v>
      </c>
      <c r="F1218" s="150">
        <v>0</v>
      </c>
      <c r="G1218" s="209">
        <v>0</v>
      </c>
      <c r="H1218" s="209">
        <v>0</v>
      </c>
      <c r="I1218" s="209">
        <v>0</v>
      </c>
      <c r="J1218" s="150">
        <v>0</v>
      </c>
      <c r="K1218" s="150">
        <v>0</v>
      </c>
      <c r="L1218" s="150">
        <f t="shared" si="1066"/>
        <v>0</v>
      </c>
      <c r="M1218" s="150">
        <v>0</v>
      </c>
      <c r="N1218" s="150">
        <v>0</v>
      </c>
      <c r="O1218" s="150">
        <v>0</v>
      </c>
      <c r="P1218" s="150">
        <v>0</v>
      </c>
      <c r="Q1218" s="150">
        <v>0</v>
      </c>
      <c r="R1218" s="313">
        <f t="shared" ref="R1218:R1236" si="1067">P1218+Q1218</f>
        <v>0</v>
      </c>
      <c r="S1218" s="150">
        <f t="shared" si="1065"/>
        <v>0</v>
      </c>
      <c r="T1218" s="150"/>
      <c r="U1218" s="150">
        <v>0</v>
      </c>
      <c r="V1218" s="199">
        <v>0</v>
      </c>
      <c r="W1218" s="150">
        <f t="shared" si="1059"/>
        <v>0</v>
      </c>
      <c r="X1218" s="150">
        <v>0</v>
      </c>
      <c r="Y1218" s="150">
        <v>0</v>
      </c>
      <c r="Z1218" s="150">
        <v>0</v>
      </c>
      <c r="AA1218" s="150">
        <f t="shared" si="1060"/>
        <v>0</v>
      </c>
      <c r="AB1218" s="150">
        <v>0</v>
      </c>
      <c r="AC1218" s="199">
        <v>0</v>
      </c>
      <c r="AD1218" s="150">
        <f t="shared" ref="AD1218:AD1236" si="1068">AB1218+AC1218</f>
        <v>0</v>
      </c>
      <c r="AE1218" s="150">
        <v>0</v>
      </c>
      <c r="AF1218" s="169" t="s">
        <v>4680</v>
      </c>
      <c r="AG1218" s="201">
        <v>0</v>
      </c>
      <c r="AH1218" s="199">
        <v>0</v>
      </c>
      <c r="AI1218" s="150">
        <v>0</v>
      </c>
      <c r="AJ1218" s="169">
        <f t="shared" si="1061"/>
        <v>0</v>
      </c>
      <c r="AK1218" s="201">
        <v>0</v>
      </c>
      <c r="AL1218" s="199">
        <v>0</v>
      </c>
      <c r="AM1218" s="150">
        <f t="shared" ref="AM1218:AM1236" si="1069">AK1218+AL1218</f>
        <v>0</v>
      </c>
      <c r="AN1218" s="153">
        <f t="shared" si="1062"/>
        <v>0</v>
      </c>
      <c r="AO1218" s="154">
        <f t="shared" si="1063"/>
        <v>0</v>
      </c>
      <c r="AP1218" s="150">
        <v>0</v>
      </c>
      <c r="AQ1218" s="201">
        <v>0</v>
      </c>
      <c r="AR1218" s="199">
        <v>0</v>
      </c>
      <c r="AS1218" s="150">
        <f t="shared" ref="AS1218:AS1236" si="1070">AQ1218+AR1218</f>
        <v>0</v>
      </c>
      <c r="AT1218" s="155"/>
      <c r="AU1218" s="156">
        <f t="shared" ref="AU1218:AU1281" si="1071">AM1218-AD1218</f>
        <v>0</v>
      </c>
      <c r="AV1218" s="156">
        <f t="shared" ref="AV1218:AV1281" si="1072">AD1218-AX1218</f>
        <v>0</v>
      </c>
      <c r="AW1218" s="157"/>
      <c r="AX1218" s="150">
        <v>0</v>
      </c>
      <c r="AY1218" s="150">
        <v>0</v>
      </c>
      <c r="AZ1218" s="150">
        <f t="shared" si="1064"/>
        <v>0</v>
      </c>
      <c r="BA1218" s="313">
        <v>0</v>
      </c>
      <c r="BB1218" s="210"/>
      <c r="BC1218" s="210"/>
      <c r="BD1218" s="210"/>
      <c r="BE1218" s="210"/>
      <c r="BF1218" s="210"/>
      <c r="BG1218" s="210"/>
      <c r="BH1218" s="217"/>
      <c r="BI1218" s="210"/>
      <c r="BJ1218" s="210"/>
      <c r="BK1218" s="210"/>
      <c r="BL1218" s="210"/>
      <c r="BM1218" s="208"/>
      <c r="BN1218" s="160"/>
      <c r="BO1218" s="161"/>
      <c r="BP1218" s="161"/>
    </row>
    <row r="1219" spans="1:68" ht="38.25">
      <c r="A1219" s="210"/>
      <c r="B1219" s="195" t="s">
        <v>8010</v>
      </c>
      <c r="C1219" s="196" t="s">
        <v>8011</v>
      </c>
      <c r="D1219" s="146" t="s">
        <v>4692</v>
      </c>
      <c r="E1219" s="196" t="s">
        <v>8011</v>
      </c>
      <c r="F1219" s="150">
        <v>0</v>
      </c>
      <c r="G1219" s="209">
        <v>0</v>
      </c>
      <c r="H1219" s="209">
        <v>0</v>
      </c>
      <c r="I1219" s="209">
        <v>0</v>
      </c>
      <c r="J1219" s="150">
        <v>0</v>
      </c>
      <c r="K1219" s="150">
        <v>0</v>
      </c>
      <c r="L1219" s="150">
        <f t="shared" si="1066"/>
        <v>0</v>
      </c>
      <c r="M1219" s="150">
        <v>0</v>
      </c>
      <c r="N1219" s="150">
        <v>0</v>
      </c>
      <c r="O1219" s="150">
        <v>0</v>
      </c>
      <c r="P1219" s="150">
        <v>0</v>
      </c>
      <c r="Q1219" s="150">
        <v>0</v>
      </c>
      <c r="R1219" s="313">
        <f t="shared" si="1067"/>
        <v>0</v>
      </c>
      <c r="S1219" s="150">
        <f t="shared" si="1065"/>
        <v>0</v>
      </c>
      <c r="T1219" s="150"/>
      <c r="U1219" s="150">
        <v>0</v>
      </c>
      <c r="V1219" s="199">
        <v>0</v>
      </c>
      <c r="W1219" s="150">
        <f t="shared" ref="W1219:W1236" si="1073">U1219+V1219</f>
        <v>0</v>
      </c>
      <c r="X1219" s="150">
        <v>0</v>
      </c>
      <c r="Y1219" s="150">
        <v>0</v>
      </c>
      <c r="Z1219" s="150">
        <v>0</v>
      </c>
      <c r="AA1219" s="150">
        <f t="shared" ref="AA1219:AA1282" si="1074">AD1219-Z1219</f>
        <v>0</v>
      </c>
      <c r="AB1219" s="150">
        <v>0</v>
      </c>
      <c r="AC1219" s="199">
        <v>0</v>
      </c>
      <c r="AD1219" s="150">
        <f t="shared" si="1068"/>
        <v>0</v>
      </c>
      <c r="AE1219" s="150">
        <v>0</v>
      </c>
      <c r="AF1219" s="169" t="s">
        <v>4680</v>
      </c>
      <c r="AG1219" s="201">
        <v>0</v>
      </c>
      <c r="AH1219" s="199">
        <v>0</v>
      </c>
      <c r="AI1219" s="150">
        <v>0</v>
      </c>
      <c r="AJ1219" s="169">
        <f t="shared" ref="AJ1219:AJ1282" si="1075">AM1219-AI1219</f>
        <v>0</v>
      </c>
      <c r="AK1219" s="201">
        <v>0</v>
      </c>
      <c r="AL1219" s="199">
        <v>0</v>
      </c>
      <c r="AM1219" s="150">
        <f t="shared" si="1069"/>
        <v>0</v>
      </c>
      <c r="AN1219" s="153">
        <f t="shared" ref="AN1219:AN1282" si="1076">AS1219-AM1219</f>
        <v>0</v>
      </c>
      <c r="AO1219" s="154">
        <f t="shared" ref="AO1219:AO1282" si="1077">AS1219-AP1219</f>
        <v>0</v>
      </c>
      <c r="AP1219" s="150">
        <v>0</v>
      </c>
      <c r="AQ1219" s="201">
        <v>0</v>
      </c>
      <c r="AR1219" s="199">
        <v>0</v>
      </c>
      <c r="AS1219" s="150">
        <f t="shared" si="1070"/>
        <v>0</v>
      </c>
      <c r="AT1219" s="155"/>
      <c r="AU1219" s="156">
        <f t="shared" si="1071"/>
        <v>0</v>
      </c>
      <c r="AV1219" s="156">
        <f t="shared" si="1072"/>
        <v>0</v>
      </c>
      <c r="AW1219" s="157"/>
      <c r="AX1219" s="150">
        <v>0</v>
      </c>
      <c r="AY1219" s="150">
        <v>0</v>
      </c>
      <c r="AZ1219" s="150">
        <f t="shared" ref="AZ1219:AZ1236" si="1078">BA1219-AY1219</f>
        <v>0</v>
      </c>
      <c r="BA1219" s="313">
        <v>0</v>
      </c>
      <c r="BB1219" s="210"/>
      <c r="BC1219" s="210"/>
      <c r="BD1219" s="210"/>
      <c r="BE1219" s="210"/>
      <c r="BF1219" s="210"/>
      <c r="BG1219" s="210"/>
      <c r="BH1219" s="217"/>
      <c r="BI1219" s="210"/>
      <c r="BJ1219" s="210"/>
      <c r="BK1219" s="210"/>
      <c r="BL1219" s="210"/>
      <c r="BM1219" s="208"/>
      <c r="BN1219" s="160"/>
      <c r="BO1219" s="161"/>
      <c r="BP1219" s="161"/>
    </row>
    <row r="1220" spans="1:68" ht="38.25">
      <c r="A1220" s="210"/>
      <c r="B1220" s="195" t="s">
        <v>8012</v>
      </c>
      <c r="C1220" s="196" t="s">
        <v>8013</v>
      </c>
      <c r="D1220" s="146" t="s">
        <v>4692</v>
      </c>
      <c r="E1220" s="196" t="s">
        <v>8013</v>
      </c>
      <c r="F1220" s="150">
        <v>0</v>
      </c>
      <c r="G1220" s="209">
        <v>997954.29</v>
      </c>
      <c r="H1220" s="209">
        <v>104687.44811616073</v>
      </c>
      <c r="I1220" s="209">
        <v>1102641.7381161607</v>
      </c>
      <c r="J1220" s="150">
        <v>0</v>
      </c>
      <c r="K1220" s="150">
        <v>0</v>
      </c>
      <c r="L1220" s="150">
        <f t="shared" si="1066"/>
        <v>0</v>
      </c>
      <c r="M1220" s="150">
        <v>0</v>
      </c>
      <c r="N1220" s="150">
        <v>0</v>
      </c>
      <c r="O1220" s="150">
        <v>0</v>
      </c>
      <c r="P1220" s="150">
        <v>0</v>
      </c>
      <c r="Q1220" s="150">
        <v>0</v>
      </c>
      <c r="R1220" s="313">
        <f t="shared" si="1067"/>
        <v>0</v>
      </c>
      <c r="S1220" s="150">
        <f t="shared" ref="S1220:S1283" si="1079">R1220/9*12</f>
        <v>0</v>
      </c>
      <c r="T1220" s="150"/>
      <c r="U1220" s="150">
        <v>0</v>
      </c>
      <c r="V1220" s="199">
        <v>0</v>
      </c>
      <c r="W1220" s="150">
        <f t="shared" si="1073"/>
        <v>0</v>
      </c>
      <c r="X1220" s="150">
        <v>0</v>
      </c>
      <c r="Y1220" s="150">
        <v>0</v>
      </c>
      <c r="Z1220" s="150">
        <v>0</v>
      </c>
      <c r="AA1220" s="150">
        <f t="shared" si="1074"/>
        <v>0</v>
      </c>
      <c r="AB1220" s="150">
        <v>0</v>
      </c>
      <c r="AC1220" s="199">
        <v>0</v>
      </c>
      <c r="AD1220" s="150">
        <f t="shared" si="1068"/>
        <v>0</v>
      </c>
      <c r="AE1220" s="150">
        <v>0</v>
      </c>
      <c r="AF1220" s="169" t="s">
        <v>4680</v>
      </c>
      <c r="AG1220" s="201">
        <v>0</v>
      </c>
      <c r="AH1220" s="199">
        <v>0</v>
      </c>
      <c r="AI1220" s="150">
        <v>0</v>
      </c>
      <c r="AJ1220" s="169">
        <f t="shared" si="1075"/>
        <v>0</v>
      </c>
      <c r="AK1220" s="201">
        <v>0</v>
      </c>
      <c r="AL1220" s="199">
        <v>0</v>
      </c>
      <c r="AM1220" s="150">
        <f t="shared" si="1069"/>
        <v>0</v>
      </c>
      <c r="AN1220" s="153">
        <f t="shared" si="1076"/>
        <v>0</v>
      </c>
      <c r="AO1220" s="154">
        <f t="shared" si="1077"/>
        <v>0</v>
      </c>
      <c r="AP1220" s="150">
        <v>0</v>
      </c>
      <c r="AQ1220" s="201">
        <v>0</v>
      </c>
      <c r="AR1220" s="199">
        <v>0</v>
      </c>
      <c r="AS1220" s="150">
        <f t="shared" si="1070"/>
        <v>0</v>
      </c>
      <c r="AT1220" s="155"/>
      <c r="AU1220" s="156">
        <f t="shared" si="1071"/>
        <v>0</v>
      </c>
      <c r="AV1220" s="156">
        <f t="shared" si="1072"/>
        <v>0</v>
      </c>
      <c r="AW1220" s="157"/>
      <c r="AX1220" s="150">
        <v>0</v>
      </c>
      <c r="AY1220" s="150">
        <v>0</v>
      </c>
      <c r="AZ1220" s="150">
        <f t="shared" si="1078"/>
        <v>0</v>
      </c>
      <c r="BA1220" s="313">
        <v>0</v>
      </c>
      <c r="BB1220" s="210"/>
      <c r="BC1220" s="210"/>
      <c r="BD1220" s="210"/>
      <c r="BE1220" s="210"/>
      <c r="BF1220" s="210"/>
      <c r="BG1220" s="210"/>
      <c r="BH1220" s="217"/>
      <c r="BI1220" s="210"/>
      <c r="BJ1220" s="210"/>
      <c r="BK1220" s="210"/>
      <c r="BL1220" s="210"/>
      <c r="BM1220" s="208"/>
      <c r="BN1220" s="160"/>
      <c r="BO1220" s="161"/>
      <c r="BP1220" s="161"/>
    </row>
    <row r="1221" spans="1:68" ht="38.25">
      <c r="A1221" s="210"/>
      <c r="B1221" s="195" t="s">
        <v>8014</v>
      </c>
      <c r="C1221" s="196" t="s">
        <v>8015</v>
      </c>
      <c r="D1221" s="146" t="s">
        <v>4692</v>
      </c>
      <c r="E1221" s="196" t="s">
        <v>8015</v>
      </c>
      <c r="F1221" s="150">
        <v>1075747.3400000001</v>
      </c>
      <c r="G1221" s="209">
        <v>0</v>
      </c>
      <c r="H1221" s="209">
        <v>0</v>
      </c>
      <c r="I1221" s="209">
        <v>0</v>
      </c>
      <c r="J1221" s="150">
        <v>203244.4</v>
      </c>
      <c r="K1221" s="150">
        <v>0</v>
      </c>
      <c r="L1221" s="150">
        <f t="shared" si="1066"/>
        <v>203244.4</v>
      </c>
      <c r="M1221" s="150">
        <v>428674.69</v>
      </c>
      <c r="N1221" s="150">
        <v>37852.038230989012</v>
      </c>
      <c r="O1221" s="150">
        <v>466526.72823098901</v>
      </c>
      <c r="P1221" s="150">
        <v>687884.38</v>
      </c>
      <c r="Q1221" s="150">
        <v>35029.075395722241</v>
      </c>
      <c r="R1221" s="313">
        <f t="shared" si="1067"/>
        <v>722913.4553957223</v>
      </c>
      <c r="S1221" s="150">
        <f t="shared" si="1079"/>
        <v>963884.60719429632</v>
      </c>
      <c r="T1221" s="150"/>
      <c r="U1221" s="309">
        <v>793995.77870192099</v>
      </c>
      <c r="V1221" s="245"/>
      <c r="W1221" s="150">
        <f t="shared" si="1073"/>
        <v>793995.77870192099</v>
      </c>
      <c r="X1221" s="150">
        <v>793995.77870192099</v>
      </c>
      <c r="Y1221" s="150"/>
      <c r="Z1221" s="150">
        <v>793995.77870192099</v>
      </c>
      <c r="AA1221" s="150">
        <f t="shared" si="1074"/>
        <v>57847.770000000019</v>
      </c>
      <c r="AB1221" s="150">
        <v>793995.77870192099</v>
      </c>
      <c r="AC1221" s="245">
        <v>57847.77</v>
      </c>
      <c r="AD1221" s="150">
        <f t="shared" si="1068"/>
        <v>851843.54870192101</v>
      </c>
      <c r="AE1221" s="150">
        <v>851843.54870192101</v>
      </c>
      <c r="AF1221" s="169" t="s">
        <v>4680</v>
      </c>
      <c r="AG1221" s="201">
        <v>793995.77870192099</v>
      </c>
      <c r="AH1221" s="245">
        <v>57847.77</v>
      </c>
      <c r="AI1221" s="150">
        <v>851843.54870192101</v>
      </c>
      <c r="AJ1221" s="169">
        <f t="shared" si="1075"/>
        <v>0</v>
      </c>
      <c r="AK1221" s="201">
        <v>793995.77870192099</v>
      </c>
      <c r="AL1221" s="245">
        <v>57847.77</v>
      </c>
      <c r="AM1221" s="150">
        <f t="shared" si="1069"/>
        <v>851843.54870192101</v>
      </c>
      <c r="AN1221" s="153">
        <f t="shared" si="1076"/>
        <v>52660.341298079002</v>
      </c>
      <c r="AO1221" s="154">
        <f t="shared" si="1077"/>
        <v>52660.341298079002</v>
      </c>
      <c r="AP1221" s="309">
        <v>851843.54870192101</v>
      </c>
      <c r="AQ1221" s="201">
        <v>904503.89</v>
      </c>
      <c r="AR1221" s="199"/>
      <c r="AS1221" s="150">
        <f t="shared" si="1070"/>
        <v>904503.89</v>
      </c>
      <c r="AT1221" s="155"/>
      <c r="AU1221" s="156">
        <f t="shared" si="1071"/>
        <v>0</v>
      </c>
      <c r="AV1221" s="156">
        <f t="shared" si="1072"/>
        <v>57847.770000000019</v>
      </c>
      <c r="AW1221" s="157"/>
      <c r="AX1221" s="150">
        <v>793995.77870192099</v>
      </c>
      <c r="AY1221" s="150">
        <v>545132.59</v>
      </c>
      <c r="AZ1221" s="150">
        <f t="shared" si="1078"/>
        <v>387920.86646197806</v>
      </c>
      <c r="BA1221" s="313">
        <v>933053.45646197803</v>
      </c>
      <c r="BB1221" s="210"/>
      <c r="BC1221" s="210"/>
      <c r="BD1221" s="210"/>
      <c r="BE1221" s="210"/>
      <c r="BF1221" s="210"/>
      <c r="BG1221" s="210"/>
      <c r="BH1221" s="217"/>
      <c r="BI1221" s="210"/>
      <c r="BJ1221" s="210"/>
      <c r="BK1221" s="210"/>
      <c r="BL1221" s="210"/>
      <c r="BM1221" s="208"/>
      <c r="BN1221" s="160"/>
      <c r="BO1221" s="161"/>
      <c r="BP1221" s="161"/>
    </row>
    <row r="1222" spans="1:68" ht="38.25">
      <c r="A1222" s="210"/>
      <c r="B1222" s="195" t="s">
        <v>8016</v>
      </c>
      <c r="C1222" s="196" t="s">
        <v>8017</v>
      </c>
      <c r="D1222" s="146" t="s">
        <v>4692</v>
      </c>
      <c r="E1222" s="196" t="s">
        <v>8017</v>
      </c>
      <c r="F1222" s="150">
        <v>0</v>
      </c>
      <c r="G1222" s="209">
        <v>0</v>
      </c>
      <c r="H1222" s="209">
        <v>0</v>
      </c>
      <c r="I1222" s="209">
        <v>0</v>
      </c>
      <c r="J1222" s="150">
        <v>0</v>
      </c>
      <c r="K1222" s="150">
        <v>0</v>
      </c>
      <c r="L1222" s="150">
        <f t="shared" si="1066"/>
        <v>0</v>
      </c>
      <c r="M1222" s="150">
        <v>0</v>
      </c>
      <c r="N1222" s="150">
        <v>0</v>
      </c>
      <c r="O1222" s="150">
        <v>0</v>
      </c>
      <c r="P1222" s="150">
        <v>0</v>
      </c>
      <c r="Q1222" s="150">
        <v>0</v>
      </c>
      <c r="R1222" s="313">
        <f t="shared" si="1067"/>
        <v>0</v>
      </c>
      <c r="S1222" s="150">
        <f t="shared" si="1079"/>
        <v>0</v>
      </c>
      <c r="T1222" s="150"/>
      <c r="U1222" s="150">
        <v>0</v>
      </c>
      <c r="V1222" s="199">
        <v>0</v>
      </c>
      <c r="W1222" s="150">
        <f t="shared" si="1073"/>
        <v>0</v>
      </c>
      <c r="X1222" s="150">
        <v>0</v>
      </c>
      <c r="Y1222" s="150">
        <v>0</v>
      </c>
      <c r="Z1222" s="150">
        <v>0</v>
      </c>
      <c r="AA1222" s="150">
        <f t="shared" si="1074"/>
        <v>0</v>
      </c>
      <c r="AB1222" s="150">
        <v>0</v>
      </c>
      <c r="AC1222" s="199">
        <v>0</v>
      </c>
      <c r="AD1222" s="150">
        <f t="shared" si="1068"/>
        <v>0</v>
      </c>
      <c r="AE1222" s="150">
        <v>0</v>
      </c>
      <c r="AF1222" s="169" t="s">
        <v>4680</v>
      </c>
      <c r="AG1222" s="201">
        <v>0</v>
      </c>
      <c r="AH1222" s="199">
        <v>0</v>
      </c>
      <c r="AI1222" s="150">
        <v>0</v>
      </c>
      <c r="AJ1222" s="169">
        <f t="shared" si="1075"/>
        <v>0</v>
      </c>
      <c r="AK1222" s="201">
        <v>0</v>
      </c>
      <c r="AL1222" s="199">
        <v>0</v>
      </c>
      <c r="AM1222" s="150">
        <f t="shared" si="1069"/>
        <v>0</v>
      </c>
      <c r="AN1222" s="153">
        <f t="shared" si="1076"/>
        <v>0</v>
      </c>
      <c r="AO1222" s="154">
        <f t="shared" si="1077"/>
        <v>0</v>
      </c>
      <c r="AP1222" s="150">
        <v>0</v>
      </c>
      <c r="AQ1222" s="201">
        <v>0</v>
      </c>
      <c r="AR1222" s="199">
        <v>0</v>
      </c>
      <c r="AS1222" s="150">
        <f t="shared" si="1070"/>
        <v>0</v>
      </c>
      <c r="AT1222" s="155"/>
      <c r="AU1222" s="156">
        <f t="shared" si="1071"/>
        <v>0</v>
      </c>
      <c r="AV1222" s="156">
        <f t="shared" si="1072"/>
        <v>0</v>
      </c>
      <c r="AW1222" s="157"/>
      <c r="AX1222" s="150">
        <v>0</v>
      </c>
      <c r="AY1222" s="150">
        <v>0</v>
      </c>
      <c r="AZ1222" s="150">
        <f t="shared" si="1078"/>
        <v>0</v>
      </c>
      <c r="BA1222" s="313">
        <v>0</v>
      </c>
      <c r="BB1222" s="210"/>
      <c r="BC1222" s="210"/>
      <c r="BD1222" s="210"/>
      <c r="BE1222" s="210"/>
      <c r="BF1222" s="210"/>
      <c r="BG1222" s="210"/>
      <c r="BH1222" s="217"/>
      <c r="BI1222" s="210"/>
      <c r="BJ1222" s="210"/>
      <c r="BK1222" s="210"/>
      <c r="BL1222" s="210"/>
      <c r="BM1222" s="208"/>
      <c r="BN1222" s="160"/>
      <c r="BO1222" s="161"/>
      <c r="BP1222" s="161"/>
    </row>
    <row r="1223" spans="1:68" ht="38.25">
      <c r="A1223" s="210"/>
      <c r="B1223" s="195" t="s">
        <v>8018</v>
      </c>
      <c r="C1223" s="196" t="s">
        <v>8019</v>
      </c>
      <c r="D1223" s="146" t="s">
        <v>4692</v>
      </c>
      <c r="E1223" s="196" t="s">
        <v>8019</v>
      </c>
      <c r="F1223" s="150">
        <v>0</v>
      </c>
      <c r="G1223" s="209">
        <v>0</v>
      </c>
      <c r="H1223" s="209">
        <v>0</v>
      </c>
      <c r="I1223" s="209">
        <v>0</v>
      </c>
      <c r="J1223" s="150">
        <v>0</v>
      </c>
      <c r="K1223" s="150">
        <v>0</v>
      </c>
      <c r="L1223" s="150">
        <f t="shared" si="1066"/>
        <v>0</v>
      </c>
      <c r="M1223" s="150">
        <v>0</v>
      </c>
      <c r="N1223" s="150">
        <v>0</v>
      </c>
      <c r="O1223" s="150">
        <v>0</v>
      </c>
      <c r="P1223" s="150">
        <v>0</v>
      </c>
      <c r="Q1223" s="150">
        <v>0</v>
      </c>
      <c r="R1223" s="313">
        <f t="shared" si="1067"/>
        <v>0</v>
      </c>
      <c r="S1223" s="150">
        <f t="shared" si="1079"/>
        <v>0</v>
      </c>
      <c r="T1223" s="150"/>
      <c r="U1223" s="150">
        <v>0</v>
      </c>
      <c r="V1223" s="199">
        <v>0</v>
      </c>
      <c r="W1223" s="150">
        <f t="shared" si="1073"/>
        <v>0</v>
      </c>
      <c r="X1223" s="150">
        <v>0</v>
      </c>
      <c r="Y1223" s="150">
        <v>0</v>
      </c>
      <c r="Z1223" s="150">
        <v>0</v>
      </c>
      <c r="AA1223" s="150">
        <f t="shared" si="1074"/>
        <v>0</v>
      </c>
      <c r="AB1223" s="150">
        <v>0</v>
      </c>
      <c r="AC1223" s="199">
        <v>0</v>
      </c>
      <c r="AD1223" s="150">
        <f t="shared" si="1068"/>
        <v>0</v>
      </c>
      <c r="AE1223" s="150">
        <v>0</v>
      </c>
      <c r="AF1223" s="169" t="s">
        <v>4680</v>
      </c>
      <c r="AG1223" s="201">
        <v>0</v>
      </c>
      <c r="AH1223" s="199">
        <v>0</v>
      </c>
      <c r="AI1223" s="150">
        <v>0</v>
      </c>
      <c r="AJ1223" s="169">
        <f t="shared" si="1075"/>
        <v>0</v>
      </c>
      <c r="AK1223" s="201">
        <v>0</v>
      </c>
      <c r="AL1223" s="199">
        <v>0</v>
      </c>
      <c r="AM1223" s="150">
        <f t="shared" si="1069"/>
        <v>0</v>
      </c>
      <c r="AN1223" s="153">
        <f t="shared" si="1076"/>
        <v>0</v>
      </c>
      <c r="AO1223" s="154">
        <f t="shared" si="1077"/>
        <v>0</v>
      </c>
      <c r="AP1223" s="150">
        <v>0</v>
      </c>
      <c r="AQ1223" s="201">
        <v>0</v>
      </c>
      <c r="AR1223" s="199">
        <v>0</v>
      </c>
      <c r="AS1223" s="150">
        <f t="shared" si="1070"/>
        <v>0</v>
      </c>
      <c r="AT1223" s="155"/>
      <c r="AU1223" s="156">
        <f t="shared" si="1071"/>
        <v>0</v>
      </c>
      <c r="AV1223" s="156">
        <f t="shared" si="1072"/>
        <v>0</v>
      </c>
      <c r="AW1223" s="157"/>
      <c r="AX1223" s="150">
        <v>0</v>
      </c>
      <c r="AY1223" s="150">
        <v>0</v>
      </c>
      <c r="AZ1223" s="150">
        <f t="shared" si="1078"/>
        <v>0</v>
      </c>
      <c r="BA1223" s="313">
        <v>0</v>
      </c>
      <c r="BB1223" s="210"/>
      <c r="BC1223" s="210"/>
      <c r="BD1223" s="210"/>
      <c r="BE1223" s="210"/>
      <c r="BF1223" s="210"/>
      <c r="BG1223" s="210"/>
      <c r="BH1223" s="217"/>
      <c r="BI1223" s="210"/>
      <c r="BJ1223" s="210"/>
      <c r="BK1223" s="210"/>
      <c r="BL1223" s="210"/>
      <c r="BM1223" s="208"/>
      <c r="BN1223" s="160"/>
      <c r="BO1223" s="161"/>
      <c r="BP1223" s="161"/>
    </row>
    <row r="1224" spans="1:68" ht="38.25">
      <c r="A1224" s="210"/>
      <c r="B1224" s="195" t="s">
        <v>8020</v>
      </c>
      <c r="C1224" s="196" t="s">
        <v>8021</v>
      </c>
      <c r="D1224" s="146" t="s">
        <v>4692</v>
      </c>
      <c r="E1224" s="196" t="s">
        <v>8021</v>
      </c>
      <c r="F1224" s="150">
        <v>0</v>
      </c>
      <c r="G1224" s="209">
        <v>209790.1</v>
      </c>
      <c r="H1224" s="209">
        <v>0</v>
      </c>
      <c r="I1224" s="209">
        <v>209790.1</v>
      </c>
      <c r="J1224" s="150">
        <v>0</v>
      </c>
      <c r="K1224" s="150">
        <v>0</v>
      </c>
      <c r="L1224" s="150">
        <f t="shared" si="1066"/>
        <v>0</v>
      </c>
      <c r="M1224" s="150">
        <v>0</v>
      </c>
      <c r="N1224" s="150">
        <v>0</v>
      </c>
      <c r="O1224" s="150">
        <v>0</v>
      </c>
      <c r="P1224" s="150">
        <v>0</v>
      </c>
      <c r="Q1224" s="150">
        <v>0</v>
      </c>
      <c r="R1224" s="313">
        <f t="shared" si="1067"/>
        <v>0</v>
      </c>
      <c r="S1224" s="150">
        <f t="shared" si="1079"/>
        <v>0</v>
      </c>
      <c r="T1224" s="150"/>
      <c r="U1224" s="150">
        <v>0</v>
      </c>
      <c r="V1224" s="199">
        <v>0</v>
      </c>
      <c r="W1224" s="150">
        <f t="shared" si="1073"/>
        <v>0</v>
      </c>
      <c r="X1224" s="150">
        <v>0</v>
      </c>
      <c r="Y1224" s="150">
        <v>0</v>
      </c>
      <c r="Z1224" s="150">
        <v>0</v>
      </c>
      <c r="AA1224" s="150">
        <f t="shared" si="1074"/>
        <v>0</v>
      </c>
      <c r="AB1224" s="150">
        <v>0</v>
      </c>
      <c r="AC1224" s="199">
        <v>0</v>
      </c>
      <c r="AD1224" s="150">
        <f t="shared" si="1068"/>
        <v>0</v>
      </c>
      <c r="AE1224" s="150">
        <v>0</v>
      </c>
      <c r="AF1224" s="169" t="s">
        <v>4680</v>
      </c>
      <c r="AG1224" s="201">
        <v>0</v>
      </c>
      <c r="AH1224" s="199">
        <v>0</v>
      </c>
      <c r="AI1224" s="150">
        <v>0</v>
      </c>
      <c r="AJ1224" s="169">
        <f t="shared" si="1075"/>
        <v>0</v>
      </c>
      <c r="AK1224" s="201">
        <v>0</v>
      </c>
      <c r="AL1224" s="199">
        <v>0</v>
      </c>
      <c r="AM1224" s="150">
        <f t="shared" si="1069"/>
        <v>0</v>
      </c>
      <c r="AN1224" s="153">
        <f t="shared" si="1076"/>
        <v>0</v>
      </c>
      <c r="AO1224" s="154">
        <f t="shared" si="1077"/>
        <v>0</v>
      </c>
      <c r="AP1224" s="150">
        <v>0</v>
      </c>
      <c r="AQ1224" s="201">
        <v>0</v>
      </c>
      <c r="AR1224" s="199">
        <v>0</v>
      </c>
      <c r="AS1224" s="150">
        <f t="shared" si="1070"/>
        <v>0</v>
      </c>
      <c r="AT1224" s="155"/>
      <c r="AU1224" s="156">
        <f t="shared" si="1071"/>
        <v>0</v>
      </c>
      <c r="AV1224" s="156">
        <f t="shared" si="1072"/>
        <v>0</v>
      </c>
      <c r="AW1224" s="157"/>
      <c r="AX1224" s="150">
        <v>0</v>
      </c>
      <c r="AY1224" s="150">
        <v>0</v>
      </c>
      <c r="AZ1224" s="150">
        <f t="shared" si="1078"/>
        <v>0</v>
      </c>
      <c r="BA1224" s="313">
        <v>0</v>
      </c>
      <c r="BB1224" s="210"/>
      <c r="BC1224" s="210"/>
      <c r="BD1224" s="210"/>
      <c r="BE1224" s="210"/>
      <c r="BF1224" s="210"/>
      <c r="BG1224" s="210"/>
      <c r="BH1224" s="217"/>
      <c r="BI1224" s="210"/>
      <c r="BJ1224" s="210"/>
      <c r="BK1224" s="210"/>
      <c r="BL1224" s="210"/>
      <c r="BM1224" s="208"/>
      <c r="BN1224" s="160"/>
      <c r="BO1224" s="161"/>
      <c r="BP1224" s="161"/>
    </row>
    <row r="1225" spans="1:68" ht="51">
      <c r="A1225" s="210"/>
      <c r="B1225" s="195" t="s">
        <v>8022</v>
      </c>
      <c r="C1225" s="196" t="s">
        <v>8023</v>
      </c>
      <c r="D1225" s="146" t="s">
        <v>4692</v>
      </c>
      <c r="E1225" s="196" t="s">
        <v>8023</v>
      </c>
      <c r="F1225" s="150">
        <v>209790.1</v>
      </c>
      <c r="G1225" s="209">
        <v>44.85</v>
      </c>
      <c r="H1225" s="209">
        <v>0</v>
      </c>
      <c r="I1225" s="209">
        <v>44.85</v>
      </c>
      <c r="J1225" s="150">
        <v>45037.58</v>
      </c>
      <c r="K1225" s="150">
        <v>0</v>
      </c>
      <c r="L1225" s="150">
        <f t="shared" si="1066"/>
        <v>45037.58</v>
      </c>
      <c r="M1225" s="150">
        <v>89373.54</v>
      </c>
      <c r="N1225" s="150">
        <v>0</v>
      </c>
      <c r="O1225" s="150">
        <v>89373.54</v>
      </c>
      <c r="P1225" s="150">
        <v>142412.39000000001</v>
      </c>
      <c r="Q1225" s="150">
        <v>0</v>
      </c>
      <c r="R1225" s="313">
        <f t="shared" si="1067"/>
        <v>142412.39000000001</v>
      </c>
      <c r="S1225" s="150">
        <f t="shared" si="1079"/>
        <v>189883.18666666668</v>
      </c>
      <c r="T1225" s="150"/>
      <c r="U1225" s="150">
        <v>197970.46</v>
      </c>
      <c r="V1225" s="199">
        <v>0</v>
      </c>
      <c r="W1225" s="150">
        <f t="shared" si="1073"/>
        <v>197970.46</v>
      </c>
      <c r="X1225" s="150">
        <v>197970.46</v>
      </c>
      <c r="Y1225" s="150">
        <v>0</v>
      </c>
      <c r="Z1225" s="150">
        <v>197970.46</v>
      </c>
      <c r="AA1225" s="150">
        <f t="shared" si="1074"/>
        <v>0</v>
      </c>
      <c r="AB1225" s="150">
        <v>197970.46</v>
      </c>
      <c r="AC1225" s="199">
        <v>0</v>
      </c>
      <c r="AD1225" s="150">
        <f t="shared" si="1068"/>
        <v>197970.46</v>
      </c>
      <c r="AE1225" s="150">
        <v>197970.46</v>
      </c>
      <c r="AF1225" s="169" t="s">
        <v>4680</v>
      </c>
      <c r="AG1225" s="201">
        <v>197970.46</v>
      </c>
      <c r="AH1225" s="199">
        <v>0</v>
      </c>
      <c r="AI1225" s="150">
        <v>197970.46</v>
      </c>
      <c r="AJ1225" s="169">
        <f t="shared" si="1075"/>
        <v>0</v>
      </c>
      <c r="AK1225" s="201">
        <v>197970.46</v>
      </c>
      <c r="AL1225" s="199">
        <v>0</v>
      </c>
      <c r="AM1225" s="150">
        <f t="shared" si="1069"/>
        <v>197970.46</v>
      </c>
      <c r="AN1225" s="153">
        <f t="shared" si="1076"/>
        <v>0</v>
      </c>
      <c r="AO1225" s="154">
        <f t="shared" si="1077"/>
        <v>0</v>
      </c>
      <c r="AP1225" s="150">
        <v>197970.46</v>
      </c>
      <c r="AQ1225" s="201">
        <v>197970.46</v>
      </c>
      <c r="AR1225" s="199">
        <v>0</v>
      </c>
      <c r="AS1225" s="150">
        <f t="shared" si="1070"/>
        <v>197970.46</v>
      </c>
      <c r="AT1225" s="155"/>
      <c r="AU1225" s="156">
        <f t="shared" si="1071"/>
        <v>0</v>
      </c>
      <c r="AV1225" s="156">
        <f t="shared" si="1072"/>
        <v>0</v>
      </c>
      <c r="AW1225" s="157"/>
      <c r="AX1225" s="150">
        <v>197970.46</v>
      </c>
      <c r="AY1225" s="150">
        <v>114406.7</v>
      </c>
      <c r="AZ1225" s="150">
        <f t="shared" si="1078"/>
        <v>64340.37999999999</v>
      </c>
      <c r="BA1225" s="313">
        <v>178747.08</v>
      </c>
      <c r="BB1225" s="210"/>
      <c r="BC1225" s="210"/>
      <c r="BD1225" s="210"/>
      <c r="BE1225" s="210"/>
      <c r="BF1225" s="210"/>
      <c r="BG1225" s="210"/>
      <c r="BH1225" s="217"/>
      <c r="BI1225" s="210"/>
      <c r="BJ1225" s="210"/>
      <c r="BK1225" s="210"/>
      <c r="BL1225" s="210"/>
      <c r="BM1225" s="208"/>
      <c r="BN1225" s="160"/>
      <c r="BO1225" s="161"/>
      <c r="BP1225" s="161"/>
    </row>
    <row r="1226" spans="1:68" ht="51">
      <c r="A1226" s="210"/>
      <c r="B1226" s="195" t="s">
        <v>8024</v>
      </c>
      <c r="C1226" s="196" t="s">
        <v>8025</v>
      </c>
      <c r="D1226" s="146" t="s">
        <v>4692</v>
      </c>
      <c r="E1226" s="196" t="s">
        <v>8025</v>
      </c>
      <c r="F1226" s="150">
        <v>44.85</v>
      </c>
      <c r="G1226" s="209">
        <v>0</v>
      </c>
      <c r="H1226" s="209">
        <v>0</v>
      </c>
      <c r="I1226" s="209">
        <v>0</v>
      </c>
      <c r="J1226" s="150">
        <v>13.14</v>
      </c>
      <c r="K1226" s="150">
        <v>0</v>
      </c>
      <c r="L1226" s="150">
        <f t="shared" ref="L1226:L1289" si="1080">J1226+K1226</f>
        <v>13.14</v>
      </c>
      <c r="M1226" s="150">
        <v>18.8</v>
      </c>
      <c r="N1226" s="150">
        <v>0</v>
      </c>
      <c r="O1226" s="150">
        <v>18.8</v>
      </c>
      <c r="P1226" s="150">
        <v>30.55</v>
      </c>
      <c r="Q1226" s="150">
        <v>0</v>
      </c>
      <c r="R1226" s="313">
        <f t="shared" si="1067"/>
        <v>30.55</v>
      </c>
      <c r="S1226" s="150">
        <f t="shared" si="1079"/>
        <v>40.733333333333334</v>
      </c>
      <c r="T1226" s="150"/>
      <c r="U1226" s="150">
        <v>37.06</v>
      </c>
      <c r="V1226" s="199">
        <v>0</v>
      </c>
      <c r="W1226" s="150">
        <f t="shared" si="1073"/>
        <v>37.06</v>
      </c>
      <c r="X1226" s="150">
        <v>37.06</v>
      </c>
      <c r="Y1226" s="150">
        <v>0</v>
      </c>
      <c r="Z1226" s="150">
        <v>37.06</v>
      </c>
      <c r="AA1226" s="150">
        <f t="shared" si="1074"/>
        <v>0</v>
      </c>
      <c r="AB1226" s="150">
        <v>37.06</v>
      </c>
      <c r="AC1226" s="199">
        <v>0</v>
      </c>
      <c r="AD1226" s="150">
        <f t="shared" si="1068"/>
        <v>37.06</v>
      </c>
      <c r="AE1226" s="150">
        <v>37.06</v>
      </c>
      <c r="AF1226" s="169" t="s">
        <v>4680</v>
      </c>
      <c r="AG1226" s="201">
        <v>37.06</v>
      </c>
      <c r="AH1226" s="199">
        <v>0</v>
      </c>
      <c r="AI1226" s="150">
        <v>37.06</v>
      </c>
      <c r="AJ1226" s="169">
        <f t="shared" si="1075"/>
        <v>0</v>
      </c>
      <c r="AK1226" s="201">
        <v>37.06</v>
      </c>
      <c r="AL1226" s="199">
        <v>0</v>
      </c>
      <c r="AM1226" s="150">
        <f t="shared" si="1069"/>
        <v>37.06</v>
      </c>
      <c r="AN1226" s="153">
        <f t="shared" si="1076"/>
        <v>0</v>
      </c>
      <c r="AO1226" s="154">
        <f t="shared" si="1077"/>
        <v>0</v>
      </c>
      <c r="AP1226" s="150">
        <v>37.06</v>
      </c>
      <c r="AQ1226" s="201">
        <v>37.06</v>
      </c>
      <c r="AR1226" s="199">
        <v>0</v>
      </c>
      <c r="AS1226" s="150">
        <f t="shared" si="1070"/>
        <v>37.06</v>
      </c>
      <c r="AT1226" s="155"/>
      <c r="AU1226" s="156">
        <f t="shared" si="1071"/>
        <v>0</v>
      </c>
      <c r="AV1226" s="156">
        <f t="shared" si="1072"/>
        <v>0</v>
      </c>
      <c r="AW1226" s="157"/>
      <c r="AX1226" s="150">
        <v>37.06</v>
      </c>
      <c r="AY1226" s="150">
        <v>29.09</v>
      </c>
      <c r="AZ1226" s="150">
        <f t="shared" si="1078"/>
        <v>8.5100000000000016</v>
      </c>
      <c r="BA1226" s="313">
        <v>37.6</v>
      </c>
      <c r="BB1226" s="210"/>
      <c r="BC1226" s="210"/>
      <c r="BD1226" s="210"/>
      <c r="BE1226" s="210"/>
      <c r="BF1226" s="210"/>
      <c r="BG1226" s="210"/>
      <c r="BH1226" s="217"/>
      <c r="BI1226" s="210"/>
      <c r="BJ1226" s="210"/>
      <c r="BK1226" s="210"/>
      <c r="BL1226" s="210"/>
      <c r="BM1226" s="208"/>
      <c r="BN1226" s="160"/>
      <c r="BO1226" s="161"/>
      <c r="BP1226" s="161"/>
    </row>
    <row r="1227" spans="1:68" ht="51">
      <c r="A1227" s="210"/>
      <c r="B1227" s="195" t="s">
        <v>8026</v>
      </c>
      <c r="C1227" s="196" t="s">
        <v>8027</v>
      </c>
      <c r="D1227" s="146" t="s">
        <v>4692</v>
      </c>
      <c r="E1227" s="196" t="s">
        <v>8027</v>
      </c>
      <c r="F1227" s="150">
        <v>0</v>
      </c>
      <c r="G1227" s="209">
        <v>0</v>
      </c>
      <c r="H1227" s="209">
        <v>0</v>
      </c>
      <c r="I1227" s="209">
        <v>0</v>
      </c>
      <c r="J1227" s="150">
        <v>0</v>
      </c>
      <c r="K1227" s="150">
        <v>0</v>
      </c>
      <c r="L1227" s="150">
        <f t="shared" si="1080"/>
        <v>0</v>
      </c>
      <c r="M1227" s="150">
        <v>0</v>
      </c>
      <c r="N1227" s="150">
        <v>0</v>
      </c>
      <c r="O1227" s="150">
        <v>0</v>
      </c>
      <c r="P1227" s="150">
        <v>0</v>
      </c>
      <c r="Q1227" s="150">
        <v>0</v>
      </c>
      <c r="R1227" s="313">
        <f t="shared" si="1067"/>
        <v>0</v>
      </c>
      <c r="S1227" s="150">
        <f t="shared" si="1079"/>
        <v>0</v>
      </c>
      <c r="T1227" s="150"/>
      <c r="U1227" s="150">
        <v>0</v>
      </c>
      <c r="V1227" s="199">
        <v>0</v>
      </c>
      <c r="W1227" s="150">
        <f t="shared" si="1073"/>
        <v>0</v>
      </c>
      <c r="X1227" s="150">
        <v>0</v>
      </c>
      <c r="Y1227" s="150">
        <v>0</v>
      </c>
      <c r="Z1227" s="150">
        <v>0</v>
      </c>
      <c r="AA1227" s="150">
        <f t="shared" si="1074"/>
        <v>0</v>
      </c>
      <c r="AB1227" s="150">
        <v>0</v>
      </c>
      <c r="AC1227" s="199">
        <v>0</v>
      </c>
      <c r="AD1227" s="150">
        <f t="shared" si="1068"/>
        <v>0</v>
      </c>
      <c r="AE1227" s="150">
        <v>0</v>
      </c>
      <c r="AF1227" s="169" t="s">
        <v>4680</v>
      </c>
      <c r="AG1227" s="201">
        <v>0</v>
      </c>
      <c r="AH1227" s="199">
        <v>0</v>
      </c>
      <c r="AI1227" s="150">
        <v>0</v>
      </c>
      <c r="AJ1227" s="169">
        <f t="shared" si="1075"/>
        <v>0</v>
      </c>
      <c r="AK1227" s="201">
        <v>0</v>
      </c>
      <c r="AL1227" s="199">
        <v>0</v>
      </c>
      <c r="AM1227" s="150">
        <f t="shared" si="1069"/>
        <v>0</v>
      </c>
      <c r="AN1227" s="153">
        <f t="shared" si="1076"/>
        <v>0</v>
      </c>
      <c r="AO1227" s="154">
        <f t="shared" si="1077"/>
        <v>0</v>
      </c>
      <c r="AP1227" s="150">
        <v>0</v>
      </c>
      <c r="AQ1227" s="201">
        <v>0</v>
      </c>
      <c r="AR1227" s="199">
        <v>0</v>
      </c>
      <c r="AS1227" s="150">
        <f t="shared" si="1070"/>
        <v>0</v>
      </c>
      <c r="AT1227" s="155"/>
      <c r="AU1227" s="156">
        <f t="shared" si="1071"/>
        <v>0</v>
      </c>
      <c r="AV1227" s="156">
        <f t="shared" si="1072"/>
        <v>0</v>
      </c>
      <c r="AW1227" s="157"/>
      <c r="AX1227" s="150">
        <v>0</v>
      </c>
      <c r="AY1227" s="150">
        <v>0</v>
      </c>
      <c r="AZ1227" s="150">
        <f t="shared" si="1078"/>
        <v>0</v>
      </c>
      <c r="BA1227" s="313">
        <v>0</v>
      </c>
      <c r="BB1227" s="210"/>
      <c r="BC1227" s="210"/>
      <c r="BD1227" s="210"/>
      <c r="BE1227" s="210"/>
      <c r="BF1227" s="210"/>
      <c r="BG1227" s="210"/>
      <c r="BH1227" s="217"/>
      <c r="BI1227" s="210"/>
      <c r="BJ1227" s="210"/>
      <c r="BK1227" s="210"/>
      <c r="BL1227" s="210"/>
      <c r="BM1227" s="208"/>
      <c r="BN1227" s="160"/>
      <c r="BO1227" s="161"/>
      <c r="BP1227" s="161"/>
    </row>
    <row r="1228" spans="1:68" ht="51">
      <c r="A1228" s="210"/>
      <c r="B1228" s="195" t="s">
        <v>8028</v>
      </c>
      <c r="C1228" s="196" t="s">
        <v>8029</v>
      </c>
      <c r="D1228" s="146" t="s">
        <v>4692</v>
      </c>
      <c r="E1228" s="196" t="s">
        <v>8029</v>
      </c>
      <c r="F1228" s="150">
        <v>0</v>
      </c>
      <c r="G1228" s="209">
        <v>0</v>
      </c>
      <c r="H1228" s="209">
        <v>0</v>
      </c>
      <c r="I1228" s="209">
        <v>0</v>
      </c>
      <c r="J1228" s="150">
        <v>0</v>
      </c>
      <c r="K1228" s="150">
        <v>0</v>
      </c>
      <c r="L1228" s="150">
        <f t="shared" si="1080"/>
        <v>0</v>
      </c>
      <c r="M1228" s="150">
        <v>0</v>
      </c>
      <c r="N1228" s="150">
        <v>0</v>
      </c>
      <c r="O1228" s="150">
        <v>0</v>
      </c>
      <c r="P1228" s="150">
        <v>0</v>
      </c>
      <c r="Q1228" s="150">
        <v>0</v>
      </c>
      <c r="R1228" s="313">
        <f t="shared" si="1067"/>
        <v>0</v>
      </c>
      <c r="S1228" s="150">
        <f t="shared" si="1079"/>
        <v>0</v>
      </c>
      <c r="T1228" s="150"/>
      <c r="U1228" s="150">
        <v>0</v>
      </c>
      <c r="V1228" s="199">
        <v>0</v>
      </c>
      <c r="W1228" s="150">
        <f t="shared" si="1073"/>
        <v>0</v>
      </c>
      <c r="X1228" s="150">
        <v>0</v>
      </c>
      <c r="Y1228" s="150">
        <v>0</v>
      </c>
      <c r="Z1228" s="150">
        <v>0</v>
      </c>
      <c r="AA1228" s="150">
        <f t="shared" si="1074"/>
        <v>0</v>
      </c>
      <c r="AB1228" s="150">
        <v>0</v>
      </c>
      <c r="AC1228" s="199">
        <v>0</v>
      </c>
      <c r="AD1228" s="150">
        <f t="shared" si="1068"/>
        <v>0</v>
      </c>
      <c r="AE1228" s="150">
        <v>0</v>
      </c>
      <c r="AF1228" s="169" t="s">
        <v>4680</v>
      </c>
      <c r="AG1228" s="201">
        <v>0</v>
      </c>
      <c r="AH1228" s="199">
        <v>0</v>
      </c>
      <c r="AI1228" s="150">
        <v>0</v>
      </c>
      <c r="AJ1228" s="169">
        <f t="shared" si="1075"/>
        <v>0</v>
      </c>
      <c r="AK1228" s="201">
        <v>0</v>
      </c>
      <c r="AL1228" s="199">
        <v>0</v>
      </c>
      <c r="AM1228" s="150">
        <f t="shared" si="1069"/>
        <v>0</v>
      </c>
      <c r="AN1228" s="153">
        <f t="shared" si="1076"/>
        <v>0</v>
      </c>
      <c r="AO1228" s="154">
        <f t="shared" si="1077"/>
        <v>0</v>
      </c>
      <c r="AP1228" s="150">
        <v>0</v>
      </c>
      <c r="AQ1228" s="201">
        <v>0</v>
      </c>
      <c r="AR1228" s="199">
        <v>0</v>
      </c>
      <c r="AS1228" s="150">
        <f t="shared" si="1070"/>
        <v>0</v>
      </c>
      <c r="AT1228" s="155"/>
      <c r="AU1228" s="156">
        <f t="shared" si="1071"/>
        <v>0</v>
      </c>
      <c r="AV1228" s="156">
        <f t="shared" si="1072"/>
        <v>0</v>
      </c>
      <c r="AW1228" s="157"/>
      <c r="AX1228" s="150">
        <v>0</v>
      </c>
      <c r="AY1228" s="150">
        <v>0</v>
      </c>
      <c r="AZ1228" s="150">
        <f t="shared" si="1078"/>
        <v>0</v>
      </c>
      <c r="BA1228" s="313">
        <v>0</v>
      </c>
      <c r="BB1228" s="210"/>
      <c r="BC1228" s="210"/>
      <c r="BD1228" s="210"/>
      <c r="BE1228" s="210"/>
      <c r="BF1228" s="210"/>
      <c r="BG1228" s="210"/>
      <c r="BH1228" s="217"/>
      <c r="BI1228" s="210"/>
      <c r="BJ1228" s="210"/>
      <c r="BK1228" s="210"/>
      <c r="BL1228" s="210"/>
      <c r="BM1228" s="208"/>
      <c r="BN1228" s="160"/>
      <c r="BO1228" s="161"/>
      <c r="BP1228" s="161"/>
    </row>
    <row r="1229" spans="1:68" ht="51">
      <c r="A1229" s="210"/>
      <c r="B1229" s="195" t="s">
        <v>8030</v>
      </c>
      <c r="C1229" s="196" t="s">
        <v>8031</v>
      </c>
      <c r="D1229" s="146" t="s">
        <v>4692</v>
      </c>
      <c r="E1229" s="196" t="s">
        <v>8031</v>
      </c>
      <c r="F1229" s="150">
        <v>0</v>
      </c>
      <c r="G1229" s="209">
        <v>586406.91</v>
      </c>
      <c r="H1229" s="209">
        <v>85964.183007500003</v>
      </c>
      <c r="I1229" s="209">
        <v>672371.09300750005</v>
      </c>
      <c r="J1229" s="150">
        <v>0</v>
      </c>
      <c r="K1229" s="150">
        <v>0</v>
      </c>
      <c r="L1229" s="150">
        <f t="shared" si="1080"/>
        <v>0</v>
      </c>
      <c r="M1229" s="150">
        <v>0</v>
      </c>
      <c r="N1229" s="150">
        <v>0</v>
      </c>
      <c r="O1229" s="150">
        <v>0</v>
      </c>
      <c r="P1229" s="150">
        <v>0</v>
      </c>
      <c r="Q1229" s="150">
        <v>0</v>
      </c>
      <c r="R1229" s="313">
        <f t="shared" si="1067"/>
        <v>0</v>
      </c>
      <c r="S1229" s="150">
        <f t="shared" si="1079"/>
        <v>0</v>
      </c>
      <c r="T1229" s="150"/>
      <c r="U1229" s="150">
        <v>0</v>
      </c>
      <c r="V1229" s="199">
        <v>0</v>
      </c>
      <c r="W1229" s="150">
        <f t="shared" si="1073"/>
        <v>0</v>
      </c>
      <c r="X1229" s="150">
        <v>0</v>
      </c>
      <c r="Y1229" s="150">
        <v>0</v>
      </c>
      <c r="Z1229" s="150">
        <v>0</v>
      </c>
      <c r="AA1229" s="150">
        <f t="shared" si="1074"/>
        <v>0</v>
      </c>
      <c r="AB1229" s="150">
        <v>0</v>
      </c>
      <c r="AC1229" s="199">
        <v>0</v>
      </c>
      <c r="AD1229" s="150">
        <f t="shared" si="1068"/>
        <v>0</v>
      </c>
      <c r="AE1229" s="150">
        <v>0</v>
      </c>
      <c r="AF1229" s="169" t="s">
        <v>4680</v>
      </c>
      <c r="AG1229" s="201">
        <v>0</v>
      </c>
      <c r="AH1229" s="199">
        <v>0</v>
      </c>
      <c r="AI1229" s="150">
        <v>0</v>
      </c>
      <c r="AJ1229" s="169">
        <f t="shared" si="1075"/>
        <v>0</v>
      </c>
      <c r="AK1229" s="201">
        <v>0</v>
      </c>
      <c r="AL1229" s="199">
        <v>0</v>
      </c>
      <c r="AM1229" s="150">
        <f t="shared" si="1069"/>
        <v>0</v>
      </c>
      <c r="AN1229" s="153">
        <f t="shared" si="1076"/>
        <v>0</v>
      </c>
      <c r="AO1229" s="154">
        <f t="shared" si="1077"/>
        <v>0</v>
      </c>
      <c r="AP1229" s="150">
        <v>0</v>
      </c>
      <c r="AQ1229" s="201">
        <v>0</v>
      </c>
      <c r="AR1229" s="199">
        <v>0</v>
      </c>
      <c r="AS1229" s="150">
        <f t="shared" si="1070"/>
        <v>0</v>
      </c>
      <c r="AT1229" s="155"/>
      <c r="AU1229" s="156">
        <f t="shared" si="1071"/>
        <v>0</v>
      </c>
      <c r="AV1229" s="156">
        <f t="shared" si="1072"/>
        <v>0</v>
      </c>
      <c r="AW1229" s="157"/>
      <c r="AX1229" s="150">
        <v>0</v>
      </c>
      <c r="AY1229" s="150">
        <v>0</v>
      </c>
      <c r="AZ1229" s="150">
        <f t="shared" si="1078"/>
        <v>0</v>
      </c>
      <c r="BA1229" s="313">
        <v>0</v>
      </c>
      <c r="BB1229" s="210"/>
      <c r="BC1229" s="210"/>
      <c r="BD1229" s="210"/>
      <c r="BE1229" s="210"/>
      <c r="BF1229" s="210"/>
      <c r="BG1229" s="210"/>
      <c r="BH1229" s="217"/>
      <c r="BI1229" s="210"/>
      <c r="BJ1229" s="210"/>
      <c r="BK1229" s="210"/>
      <c r="BL1229" s="210"/>
      <c r="BM1229" s="208"/>
      <c r="BN1229" s="160"/>
      <c r="BO1229" s="161"/>
      <c r="BP1229" s="161"/>
    </row>
    <row r="1230" spans="1:68" ht="51">
      <c r="A1230" s="210"/>
      <c r="B1230" s="195" t="s">
        <v>8032</v>
      </c>
      <c r="C1230" s="196" t="s">
        <v>8033</v>
      </c>
      <c r="D1230" s="146" t="s">
        <v>4692</v>
      </c>
      <c r="E1230" s="196" t="s">
        <v>8033</v>
      </c>
      <c r="F1230" s="150">
        <v>666918.25</v>
      </c>
      <c r="G1230" s="209">
        <v>0</v>
      </c>
      <c r="H1230" s="209">
        <v>0</v>
      </c>
      <c r="I1230" s="209">
        <v>0</v>
      </c>
      <c r="J1230" s="150">
        <v>126914.72</v>
      </c>
      <c r="K1230" s="150">
        <v>0</v>
      </c>
      <c r="L1230" s="150">
        <f t="shared" si="1080"/>
        <v>126914.72</v>
      </c>
      <c r="M1230" s="150">
        <v>271047.18</v>
      </c>
      <c r="N1230" s="150">
        <v>14861.082682857173</v>
      </c>
      <c r="O1230" s="150">
        <v>285908.26268285717</v>
      </c>
      <c r="P1230" s="150">
        <v>430361.61</v>
      </c>
      <c r="Q1230" s="150">
        <v>48035.205900675763</v>
      </c>
      <c r="R1230" s="313">
        <f t="shared" si="1067"/>
        <v>478396.81590067572</v>
      </c>
      <c r="S1230" s="150">
        <f t="shared" si="1079"/>
        <v>637862.42120090092</v>
      </c>
      <c r="T1230" s="150"/>
      <c r="U1230" s="309">
        <v>594912.11</v>
      </c>
      <c r="V1230" s="245">
        <v>0</v>
      </c>
      <c r="W1230" s="150">
        <f t="shared" si="1073"/>
        <v>594912.11</v>
      </c>
      <c r="X1230" s="150">
        <v>594912.11</v>
      </c>
      <c r="Y1230" s="150">
        <v>0</v>
      </c>
      <c r="Z1230" s="150">
        <v>594912.11</v>
      </c>
      <c r="AA1230" s="150">
        <f t="shared" si="1074"/>
        <v>81548.5</v>
      </c>
      <c r="AB1230" s="150">
        <v>594912.11</v>
      </c>
      <c r="AC1230" s="245">
        <v>81548.5</v>
      </c>
      <c r="AD1230" s="150">
        <f t="shared" si="1068"/>
        <v>676460.61</v>
      </c>
      <c r="AE1230" s="150">
        <v>676460.61</v>
      </c>
      <c r="AF1230" s="169" t="s">
        <v>4680</v>
      </c>
      <c r="AG1230" s="201">
        <v>594912.11</v>
      </c>
      <c r="AH1230" s="245">
        <v>81548.5</v>
      </c>
      <c r="AI1230" s="150">
        <v>676460.61</v>
      </c>
      <c r="AJ1230" s="169">
        <f t="shared" si="1075"/>
        <v>0</v>
      </c>
      <c r="AK1230" s="201">
        <v>594912.11</v>
      </c>
      <c r="AL1230" s="245">
        <v>81548.5</v>
      </c>
      <c r="AM1230" s="150">
        <f t="shared" si="1069"/>
        <v>676460.61</v>
      </c>
      <c r="AN1230" s="153">
        <f t="shared" si="1076"/>
        <v>39195.859999999986</v>
      </c>
      <c r="AO1230" s="154">
        <f t="shared" si="1077"/>
        <v>39195.859999999986</v>
      </c>
      <c r="AP1230" s="150">
        <v>676460.61</v>
      </c>
      <c r="AQ1230" s="201">
        <v>715656.47</v>
      </c>
      <c r="AR1230" s="245"/>
      <c r="AS1230" s="150">
        <f t="shared" si="1070"/>
        <v>715656.47</v>
      </c>
      <c r="AT1230" s="155"/>
      <c r="AU1230" s="156">
        <f t="shared" si="1071"/>
        <v>0</v>
      </c>
      <c r="AV1230" s="156">
        <f t="shared" si="1072"/>
        <v>81548.5</v>
      </c>
      <c r="AW1230" s="157"/>
      <c r="AX1230" s="150">
        <v>594912.11</v>
      </c>
      <c r="AY1230" s="150">
        <v>334943.34999999998</v>
      </c>
      <c r="AZ1230" s="150">
        <f t="shared" si="1078"/>
        <v>236873.17536571436</v>
      </c>
      <c r="BA1230" s="313">
        <v>571816.52536571433</v>
      </c>
      <c r="BB1230" s="210"/>
      <c r="BC1230" s="210"/>
      <c r="BD1230" s="210"/>
      <c r="BE1230" s="210"/>
      <c r="BF1230" s="210"/>
      <c r="BG1230" s="210"/>
      <c r="BH1230" s="217"/>
      <c r="BI1230" s="210"/>
      <c r="BJ1230" s="210"/>
      <c r="BK1230" s="210"/>
      <c r="BL1230" s="210"/>
      <c r="BM1230" s="208"/>
      <c r="BN1230" s="160"/>
      <c r="BO1230" s="161"/>
      <c r="BP1230" s="161"/>
    </row>
    <row r="1231" spans="1:68" ht="51">
      <c r="A1231" s="210"/>
      <c r="B1231" s="195" t="s">
        <v>8034</v>
      </c>
      <c r="C1231" s="196" t="s">
        <v>8035</v>
      </c>
      <c r="D1231" s="146" t="s">
        <v>4692</v>
      </c>
      <c r="E1231" s="196" t="s">
        <v>8035</v>
      </c>
      <c r="F1231" s="150">
        <v>0</v>
      </c>
      <c r="G1231" s="209">
        <v>0</v>
      </c>
      <c r="H1231" s="209">
        <v>0</v>
      </c>
      <c r="I1231" s="209">
        <v>0</v>
      </c>
      <c r="J1231" s="150">
        <v>0</v>
      </c>
      <c r="K1231" s="150">
        <v>0</v>
      </c>
      <c r="L1231" s="150">
        <f t="shared" si="1080"/>
        <v>0</v>
      </c>
      <c r="M1231" s="150">
        <v>0</v>
      </c>
      <c r="N1231" s="150">
        <v>0</v>
      </c>
      <c r="O1231" s="150">
        <v>0</v>
      </c>
      <c r="P1231" s="150">
        <v>0</v>
      </c>
      <c r="Q1231" s="150">
        <v>0</v>
      </c>
      <c r="R1231" s="313">
        <f t="shared" si="1067"/>
        <v>0</v>
      </c>
      <c r="S1231" s="150">
        <f t="shared" si="1079"/>
        <v>0</v>
      </c>
      <c r="T1231" s="150"/>
      <c r="U1231" s="150">
        <v>0</v>
      </c>
      <c r="V1231" s="199"/>
      <c r="W1231" s="150">
        <f t="shared" si="1073"/>
        <v>0</v>
      </c>
      <c r="X1231" s="150">
        <v>0</v>
      </c>
      <c r="Y1231" s="150"/>
      <c r="Z1231" s="150">
        <v>0</v>
      </c>
      <c r="AA1231" s="150">
        <f t="shared" si="1074"/>
        <v>0</v>
      </c>
      <c r="AB1231" s="150">
        <v>0</v>
      </c>
      <c r="AC1231" s="199">
        <v>0</v>
      </c>
      <c r="AD1231" s="150">
        <f t="shared" si="1068"/>
        <v>0</v>
      </c>
      <c r="AE1231" s="150">
        <v>0</v>
      </c>
      <c r="AF1231" s="169" t="s">
        <v>4680</v>
      </c>
      <c r="AG1231" s="201">
        <v>0</v>
      </c>
      <c r="AH1231" s="199">
        <v>0</v>
      </c>
      <c r="AI1231" s="150">
        <v>0</v>
      </c>
      <c r="AJ1231" s="169">
        <f t="shared" si="1075"/>
        <v>0</v>
      </c>
      <c r="AK1231" s="201">
        <v>0</v>
      </c>
      <c r="AL1231" s="199">
        <v>0</v>
      </c>
      <c r="AM1231" s="150">
        <f t="shared" si="1069"/>
        <v>0</v>
      </c>
      <c r="AN1231" s="153">
        <f t="shared" si="1076"/>
        <v>0</v>
      </c>
      <c r="AO1231" s="154">
        <f t="shared" si="1077"/>
        <v>0</v>
      </c>
      <c r="AP1231" s="150">
        <v>0</v>
      </c>
      <c r="AQ1231" s="201">
        <v>0</v>
      </c>
      <c r="AR1231" s="199">
        <v>0</v>
      </c>
      <c r="AS1231" s="150">
        <f t="shared" si="1070"/>
        <v>0</v>
      </c>
      <c r="AT1231" s="155"/>
      <c r="AU1231" s="156">
        <f t="shared" si="1071"/>
        <v>0</v>
      </c>
      <c r="AV1231" s="156">
        <f t="shared" si="1072"/>
        <v>0</v>
      </c>
      <c r="AW1231" s="157"/>
      <c r="AX1231" s="150">
        <v>0</v>
      </c>
      <c r="AY1231" s="150">
        <v>0</v>
      </c>
      <c r="AZ1231" s="150">
        <f t="shared" si="1078"/>
        <v>0</v>
      </c>
      <c r="BA1231" s="313">
        <v>0</v>
      </c>
      <c r="BB1231" s="210"/>
      <c r="BC1231" s="210"/>
      <c r="BD1231" s="210"/>
      <c r="BE1231" s="210"/>
      <c r="BF1231" s="210"/>
      <c r="BG1231" s="210"/>
      <c r="BH1231" s="217"/>
      <c r="BI1231" s="210"/>
      <c r="BJ1231" s="210"/>
      <c r="BK1231" s="210"/>
      <c r="BL1231" s="210"/>
      <c r="BM1231" s="208"/>
      <c r="BN1231" s="160"/>
      <c r="BO1231" s="161"/>
      <c r="BP1231" s="161"/>
    </row>
    <row r="1232" spans="1:68" ht="38.25">
      <c r="A1232" s="210"/>
      <c r="B1232" s="195" t="s">
        <v>8036</v>
      </c>
      <c r="C1232" s="196" t="s">
        <v>8037</v>
      </c>
      <c r="D1232" s="146" t="s">
        <v>4692</v>
      </c>
      <c r="E1232" s="196" t="s">
        <v>8037</v>
      </c>
      <c r="F1232" s="150">
        <v>0</v>
      </c>
      <c r="G1232" s="209">
        <v>0</v>
      </c>
      <c r="H1232" s="209">
        <v>0</v>
      </c>
      <c r="I1232" s="209">
        <v>0</v>
      </c>
      <c r="J1232" s="150">
        <v>0</v>
      </c>
      <c r="K1232" s="150">
        <v>0</v>
      </c>
      <c r="L1232" s="150">
        <f t="shared" si="1080"/>
        <v>0</v>
      </c>
      <c r="M1232" s="150">
        <v>0</v>
      </c>
      <c r="N1232" s="150">
        <v>0</v>
      </c>
      <c r="O1232" s="150">
        <v>0</v>
      </c>
      <c r="P1232" s="150">
        <v>0</v>
      </c>
      <c r="Q1232" s="150">
        <v>0</v>
      </c>
      <c r="R1232" s="313">
        <f t="shared" si="1067"/>
        <v>0</v>
      </c>
      <c r="S1232" s="150">
        <f t="shared" si="1079"/>
        <v>0</v>
      </c>
      <c r="T1232" s="150"/>
      <c r="U1232" s="150">
        <v>0</v>
      </c>
      <c r="V1232" s="199">
        <v>0</v>
      </c>
      <c r="W1232" s="150">
        <f t="shared" si="1073"/>
        <v>0</v>
      </c>
      <c r="X1232" s="150">
        <v>0</v>
      </c>
      <c r="Y1232" s="150">
        <v>0</v>
      </c>
      <c r="Z1232" s="150">
        <v>0</v>
      </c>
      <c r="AA1232" s="150">
        <f t="shared" si="1074"/>
        <v>0</v>
      </c>
      <c r="AB1232" s="150">
        <v>0</v>
      </c>
      <c r="AC1232" s="199">
        <v>0</v>
      </c>
      <c r="AD1232" s="150">
        <f t="shared" si="1068"/>
        <v>0</v>
      </c>
      <c r="AE1232" s="150">
        <v>0</v>
      </c>
      <c r="AF1232" s="169" t="s">
        <v>4680</v>
      </c>
      <c r="AG1232" s="201">
        <v>0</v>
      </c>
      <c r="AH1232" s="199">
        <v>0</v>
      </c>
      <c r="AI1232" s="150">
        <v>0</v>
      </c>
      <c r="AJ1232" s="169">
        <f t="shared" si="1075"/>
        <v>0</v>
      </c>
      <c r="AK1232" s="201">
        <v>0</v>
      </c>
      <c r="AL1232" s="199">
        <v>0</v>
      </c>
      <c r="AM1232" s="150">
        <f t="shared" si="1069"/>
        <v>0</v>
      </c>
      <c r="AN1232" s="153">
        <f t="shared" si="1076"/>
        <v>0</v>
      </c>
      <c r="AO1232" s="154">
        <f t="shared" si="1077"/>
        <v>0</v>
      </c>
      <c r="AP1232" s="150">
        <v>0</v>
      </c>
      <c r="AQ1232" s="201">
        <v>0</v>
      </c>
      <c r="AR1232" s="199">
        <v>0</v>
      </c>
      <c r="AS1232" s="150">
        <f t="shared" si="1070"/>
        <v>0</v>
      </c>
      <c r="AT1232" s="155"/>
      <c r="AU1232" s="156">
        <f t="shared" si="1071"/>
        <v>0</v>
      </c>
      <c r="AV1232" s="156">
        <f t="shared" si="1072"/>
        <v>0</v>
      </c>
      <c r="AW1232" s="157"/>
      <c r="AX1232" s="150">
        <v>0</v>
      </c>
      <c r="AY1232" s="150">
        <v>0</v>
      </c>
      <c r="AZ1232" s="150">
        <f t="shared" si="1078"/>
        <v>0</v>
      </c>
      <c r="BA1232" s="313">
        <v>0</v>
      </c>
      <c r="BB1232" s="210"/>
      <c r="BC1232" s="210"/>
      <c r="BD1232" s="210"/>
      <c r="BE1232" s="210"/>
      <c r="BF1232" s="210"/>
      <c r="BG1232" s="210"/>
      <c r="BH1232" s="217"/>
      <c r="BI1232" s="210"/>
      <c r="BJ1232" s="210"/>
      <c r="BK1232" s="210"/>
      <c r="BL1232" s="210"/>
      <c r="BM1232" s="208"/>
      <c r="BN1232" s="160"/>
      <c r="BO1232" s="161"/>
      <c r="BP1232" s="161"/>
    </row>
    <row r="1233" spans="1:68" ht="38.25">
      <c r="A1233" s="210"/>
      <c r="B1233" s="195" t="s">
        <v>8038</v>
      </c>
      <c r="C1233" s="196" t="s">
        <v>8039</v>
      </c>
      <c r="D1233" s="146" t="s">
        <v>4692</v>
      </c>
      <c r="E1233" s="196" t="s">
        <v>8039</v>
      </c>
      <c r="F1233" s="150">
        <v>0</v>
      </c>
      <c r="G1233" s="209">
        <v>114520.05</v>
      </c>
      <c r="H1233" s="209">
        <v>0</v>
      </c>
      <c r="I1233" s="209">
        <v>114520.05</v>
      </c>
      <c r="J1233" s="150">
        <v>0</v>
      </c>
      <c r="K1233" s="150">
        <v>0</v>
      </c>
      <c r="L1233" s="150">
        <f t="shared" si="1080"/>
        <v>0</v>
      </c>
      <c r="M1233" s="150">
        <v>0</v>
      </c>
      <c r="N1233" s="150">
        <v>0</v>
      </c>
      <c r="O1233" s="150">
        <v>0</v>
      </c>
      <c r="P1233" s="150">
        <v>0</v>
      </c>
      <c r="Q1233" s="150">
        <v>0</v>
      </c>
      <c r="R1233" s="313">
        <f t="shared" si="1067"/>
        <v>0</v>
      </c>
      <c r="S1233" s="150">
        <f t="shared" si="1079"/>
        <v>0</v>
      </c>
      <c r="T1233" s="150"/>
      <c r="U1233" s="150">
        <v>0</v>
      </c>
      <c r="V1233" s="199">
        <v>0</v>
      </c>
      <c r="W1233" s="150">
        <f t="shared" si="1073"/>
        <v>0</v>
      </c>
      <c r="X1233" s="150">
        <v>0</v>
      </c>
      <c r="Y1233" s="150">
        <v>0</v>
      </c>
      <c r="Z1233" s="150">
        <v>0</v>
      </c>
      <c r="AA1233" s="150">
        <f t="shared" si="1074"/>
        <v>0</v>
      </c>
      <c r="AB1233" s="150">
        <v>0</v>
      </c>
      <c r="AC1233" s="199">
        <v>0</v>
      </c>
      <c r="AD1233" s="150">
        <f t="shared" si="1068"/>
        <v>0</v>
      </c>
      <c r="AE1233" s="150">
        <v>0</v>
      </c>
      <c r="AF1233" s="169" t="s">
        <v>4680</v>
      </c>
      <c r="AG1233" s="201">
        <v>0</v>
      </c>
      <c r="AH1233" s="199">
        <v>0</v>
      </c>
      <c r="AI1233" s="150">
        <v>0</v>
      </c>
      <c r="AJ1233" s="169">
        <f t="shared" si="1075"/>
        <v>0</v>
      </c>
      <c r="AK1233" s="201">
        <v>0</v>
      </c>
      <c r="AL1233" s="199">
        <v>0</v>
      </c>
      <c r="AM1233" s="150">
        <f t="shared" si="1069"/>
        <v>0</v>
      </c>
      <c r="AN1233" s="153">
        <f t="shared" si="1076"/>
        <v>0</v>
      </c>
      <c r="AO1233" s="154">
        <f t="shared" si="1077"/>
        <v>0</v>
      </c>
      <c r="AP1233" s="150">
        <v>0</v>
      </c>
      <c r="AQ1233" s="201">
        <v>0</v>
      </c>
      <c r="AR1233" s="199">
        <v>0</v>
      </c>
      <c r="AS1233" s="150">
        <f t="shared" si="1070"/>
        <v>0</v>
      </c>
      <c r="AT1233" s="155"/>
      <c r="AU1233" s="156">
        <f t="shared" si="1071"/>
        <v>0</v>
      </c>
      <c r="AV1233" s="156">
        <f t="shared" si="1072"/>
        <v>0</v>
      </c>
      <c r="AW1233" s="157"/>
      <c r="AX1233" s="150">
        <v>0</v>
      </c>
      <c r="AY1233" s="150">
        <v>0</v>
      </c>
      <c r="AZ1233" s="150">
        <f t="shared" si="1078"/>
        <v>0</v>
      </c>
      <c r="BA1233" s="313">
        <v>0</v>
      </c>
      <c r="BB1233" s="210"/>
      <c r="BC1233" s="210"/>
      <c r="BD1233" s="210"/>
      <c r="BE1233" s="210"/>
      <c r="BF1233" s="210"/>
      <c r="BG1233" s="210"/>
      <c r="BH1233" s="217"/>
      <c r="BI1233" s="210"/>
      <c r="BJ1233" s="210"/>
      <c r="BK1233" s="210"/>
      <c r="BL1233" s="210"/>
      <c r="BM1233" s="208"/>
      <c r="BN1233" s="160"/>
      <c r="BO1233" s="161"/>
      <c r="BP1233" s="161"/>
    </row>
    <row r="1234" spans="1:68" ht="51">
      <c r="A1234" s="210"/>
      <c r="B1234" s="195" t="s">
        <v>8040</v>
      </c>
      <c r="C1234" s="196" t="s">
        <v>8041</v>
      </c>
      <c r="D1234" s="146" t="s">
        <v>4692</v>
      </c>
      <c r="E1234" s="196" t="s">
        <v>8041</v>
      </c>
      <c r="F1234" s="150">
        <v>114520.05</v>
      </c>
      <c r="G1234" s="209">
        <v>0.82</v>
      </c>
      <c r="H1234" s="209">
        <v>0</v>
      </c>
      <c r="I1234" s="209">
        <v>0.82</v>
      </c>
      <c r="J1234" s="150">
        <v>25303.82</v>
      </c>
      <c r="K1234" s="150">
        <v>0</v>
      </c>
      <c r="L1234" s="150">
        <f t="shared" si="1080"/>
        <v>25303.82</v>
      </c>
      <c r="M1234" s="150">
        <v>50440.3</v>
      </c>
      <c r="N1234" s="150">
        <v>0</v>
      </c>
      <c r="O1234" s="150">
        <v>50440.3</v>
      </c>
      <c r="P1234" s="150">
        <v>81045.31</v>
      </c>
      <c r="Q1234" s="150">
        <v>0</v>
      </c>
      <c r="R1234" s="313">
        <f t="shared" si="1067"/>
        <v>81045.31</v>
      </c>
      <c r="S1234" s="150">
        <f t="shared" si="1079"/>
        <v>108060.41333333333</v>
      </c>
      <c r="T1234" s="150"/>
      <c r="U1234" s="309">
        <v>67427.259999999995</v>
      </c>
      <c r="V1234" s="245"/>
      <c r="W1234" s="150">
        <f t="shared" si="1073"/>
        <v>67427.259999999995</v>
      </c>
      <c r="X1234" s="150">
        <v>67427.259999999995</v>
      </c>
      <c r="Y1234" s="150"/>
      <c r="Z1234" s="150">
        <v>67427.259999999995</v>
      </c>
      <c r="AA1234" s="150">
        <f t="shared" si="1074"/>
        <v>0</v>
      </c>
      <c r="AB1234" s="150">
        <v>67427.259999999995</v>
      </c>
      <c r="AC1234" s="245">
        <v>0</v>
      </c>
      <c r="AD1234" s="150">
        <f t="shared" si="1068"/>
        <v>67427.259999999995</v>
      </c>
      <c r="AE1234" s="150">
        <v>67427.259999999995</v>
      </c>
      <c r="AF1234" s="169" t="s">
        <v>4680</v>
      </c>
      <c r="AG1234" s="201">
        <v>67427.259999999995</v>
      </c>
      <c r="AH1234" s="245">
        <v>0</v>
      </c>
      <c r="AI1234" s="150">
        <v>67427.259999999995</v>
      </c>
      <c r="AJ1234" s="169">
        <f t="shared" si="1075"/>
        <v>0</v>
      </c>
      <c r="AK1234" s="201">
        <v>67427.259999999995</v>
      </c>
      <c r="AL1234" s="245">
        <v>0</v>
      </c>
      <c r="AM1234" s="150">
        <f t="shared" si="1069"/>
        <v>67427.259999999995</v>
      </c>
      <c r="AN1234" s="153">
        <f t="shared" si="1076"/>
        <v>0</v>
      </c>
      <c r="AO1234" s="154">
        <f t="shared" si="1077"/>
        <v>0</v>
      </c>
      <c r="AP1234" s="309">
        <v>67427.259999999995</v>
      </c>
      <c r="AQ1234" s="201">
        <v>67427.259999999995</v>
      </c>
      <c r="AR1234" s="199"/>
      <c r="AS1234" s="150">
        <f t="shared" si="1070"/>
        <v>67427.259999999995</v>
      </c>
      <c r="AT1234" s="155"/>
      <c r="AU1234" s="156">
        <f t="shared" si="1071"/>
        <v>0</v>
      </c>
      <c r="AV1234" s="156">
        <f t="shared" si="1072"/>
        <v>0</v>
      </c>
      <c r="AW1234" s="157"/>
      <c r="AX1234" s="150">
        <v>67427.259999999995</v>
      </c>
      <c r="AY1234" s="150">
        <v>63361.8</v>
      </c>
      <c r="AZ1234" s="150">
        <f t="shared" si="1078"/>
        <v>37518.800000000003</v>
      </c>
      <c r="BA1234" s="313">
        <v>100880.6</v>
      </c>
      <c r="BB1234" s="210"/>
      <c r="BC1234" s="210"/>
      <c r="BD1234" s="210"/>
      <c r="BE1234" s="210"/>
      <c r="BF1234" s="210"/>
      <c r="BG1234" s="210"/>
      <c r="BH1234" s="217"/>
      <c r="BI1234" s="210"/>
      <c r="BJ1234" s="210"/>
      <c r="BK1234" s="210"/>
      <c r="BL1234" s="210"/>
      <c r="BM1234" s="208"/>
      <c r="BN1234" s="160"/>
      <c r="BO1234" s="161"/>
      <c r="BP1234" s="161"/>
    </row>
    <row r="1235" spans="1:68" ht="51">
      <c r="A1235" s="210"/>
      <c r="B1235" s="195" t="s">
        <v>8042</v>
      </c>
      <c r="C1235" s="196" t="s">
        <v>8043</v>
      </c>
      <c r="D1235" s="146" t="s">
        <v>4692</v>
      </c>
      <c r="E1235" s="196" t="s">
        <v>8043</v>
      </c>
      <c r="F1235" s="150">
        <v>0.82</v>
      </c>
      <c r="G1235" s="209">
        <v>0</v>
      </c>
      <c r="H1235" s="209">
        <v>0</v>
      </c>
      <c r="I1235" s="209">
        <v>0</v>
      </c>
      <c r="J1235" s="150">
        <v>0</v>
      </c>
      <c r="K1235" s="150">
        <v>0</v>
      </c>
      <c r="L1235" s="150">
        <f t="shared" si="1080"/>
        <v>0</v>
      </c>
      <c r="M1235" s="150">
        <v>0</v>
      </c>
      <c r="N1235" s="150">
        <v>0</v>
      </c>
      <c r="O1235" s="150">
        <v>0</v>
      </c>
      <c r="P1235" s="150">
        <v>0.37</v>
      </c>
      <c r="Q1235" s="150">
        <v>0</v>
      </c>
      <c r="R1235" s="313">
        <f t="shared" si="1067"/>
        <v>0.37</v>
      </c>
      <c r="S1235" s="150">
        <f t="shared" si="1079"/>
        <v>0.49333333333333335</v>
      </c>
      <c r="T1235" s="150"/>
      <c r="U1235" s="150">
        <v>2.14</v>
      </c>
      <c r="V1235" s="199">
        <v>0</v>
      </c>
      <c r="W1235" s="150">
        <f t="shared" si="1073"/>
        <v>2.14</v>
      </c>
      <c r="X1235" s="150">
        <v>2.14</v>
      </c>
      <c r="Y1235" s="150">
        <v>0</v>
      </c>
      <c r="Z1235" s="150">
        <v>2.14</v>
      </c>
      <c r="AA1235" s="150">
        <f t="shared" si="1074"/>
        <v>0</v>
      </c>
      <c r="AB1235" s="150">
        <v>2.14</v>
      </c>
      <c r="AC1235" s="199">
        <v>0</v>
      </c>
      <c r="AD1235" s="150">
        <f t="shared" si="1068"/>
        <v>2.14</v>
      </c>
      <c r="AE1235" s="150">
        <v>2.14</v>
      </c>
      <c r="AF1235" s="169" t="s">
        <v>4680</v>
      </c>
      <c r="AG1235" s="201">
        <v>2.14</v>
      </c>
      <c r="AH1235" s="199">
        <v>0</v>
      </c>
      <c r="AI1235" s="150">
        <v>2.14</v>
      </c>
      <c r="AJ1235" s="169">
        <f t="shared" si="1075"/>
        <v>0</v>
      </c>
      <c r="AK1235" s="201">
        <v>2.14</v>
      </c>
      <c r="AL1235" s="199">
        <v>0</v>
      </c>
      <c r="AM1235" s="150">
        <f t="shared" si="1069"/>
        <v>2.14</v>
      </c>
      <c r="AN1235" s="153">
        <f t="shared" si="1076"/>
        <v>0</v>
      </c>
      <c r="AO1235" s="154">
        <f t="shared" si="1077"/>
        <v>0</v>
      </c>
      <c r="AP1235" s="150">
        <v>2.14</v>
      </c>
      <c r="AQ1235" s="201">
        <v>2.14</v>
      </c>
      <c r="AR1235" s="199">
        <v>0</v>
      </c>
      <c r="AS1235" s="150">
        <f t="shared" si="1070"/>
        <v>2.14</v>
      </c>
      <c r="AT1235" s="155"/>
      <c r="AU1235" s="156">
        <f t="shared" si="1071"/>
        <v>0</v>
      </c>
      <c r="AV1235" s="156">
        <f t="shared" si="1072"/>
        <v>0</v>
      </c>
      <c r="AW1235" s="157"/>
      <c r="AX1235" s="150">
        <v>2.14</v>
      </c>
      <c r="AY1235" s="150">
        <v>0</v>
      </c>
      <c r="AZ1235" s="150">
        <f t="shared" si="1078"/>
        <v>0</v>
      </c>
      <c r="BA1235" s="313">
        <v>0</v>
      </c>
      <c r="BB1235" s="210"/>
      <c r="BC1235" s="210"/>
      <c r="BD1235" s="210"/>
      <c r="BE1235" s="210"/>
      <c r="BF1235" s="210"/>
      <c r="BG1235" s="210"/>
      <c r="BH1235" s="217"/>
      <c r="BI1235" s="210"/>
      <c r="BJ1235" s="210"/>
      <c r="BK1235" s="210"/>
      <c r="BL1235" s="210"/>
      <c r="BM1235" s="208"/>
      <c r="BN1235" s="160"/>
      <c r="BO1235" s="161"/>
      <c r="BP1235" s="161"/>
    </row>
    <row r="1236" spans="1:68" ht="63.75">
      <c r="A1236" s="210"/>
      <c r="B1236" s="195" t="s">
        <v>8044</v>
      </c>
      <c r="C1236" s="196" t="s">
        <v>8045</v>
      </c>
      <c r="D1236" s="146" t="s">
        <v>4692</v>
      </c>
      <c r="E1236" s="196" t="s">
        <v>8045</v>
      </c>
      <c r="F1236" s="150">
        <v>0</v>
      </c>
      <c r="G1236" s="209">
        <v>53736.41</v>
      </c>
      <c r="H1236" s="209">
        <v>0</v>
      </c>
      <c r="I1236" s="209">
        <v>53736.41</v>
      </c>
      <c r="J1236" s="150">
        <v>0</v>
      </c>
      <c r="K1236" s="150">
        <v>0</v>
      </c>
      <c r="L1236" s="150">
        <f t="shared" si="1080"/>
        <v>0</v>
      </c>
      <c r="M1236" s="150">
        <v>0</v>
      </c>
      <c r="N1236" s="150">
        <v>0</v>
      </c>
      <c r="O1236" s="150">
        <v>0</v>
      </c>
      <c r="P1236" s="150">
        <v>0</v>
      </c>
      <c r="Q1236" s="150">
        <v>0</v>
      </c>
      <c r="R1236" s="313">
        <f t="shared" si="1067"/>
        <v>0</v>
      </c>
      <c r="S1236" s="150">
        <f t="shared" si="1079"/>
        <v>0</v>
      </c>
      <c r="T1236" s="150"/>
      <c r="U1236" s="150">
        <v>0</v>
      </c>
      <c r="V1236" s="199">
        <v>0</v>
      </c>
      <c r="W1236" s="150">
        <f t="shared" si="1073"/>
        <v>0</v>
      </c>
      <c r="X1236" s="150">
        <v>0</v>
      </c>
      <c r="Y1236" s="150">
        <v>0</v>
      </c>
      <c r="Z1236" s="150">
        <v>0</v>
      </c>
      <c r="AA1236" s="150">
        <f t="shared" si="1074"/>
        <v>0</v>
      </c>
      <c r="AB1236" s="150">
        <v>0</v>
      </c>
      <c r="AC1236" s="199">
        <v>0</v>
      </c>
      <c r="AD1236" s="150">
        <f t="shared" si="1068"/>
        <v>0</v>
      </c>
      <c r="AE1236" s="150">
        <v>0</v>
      </c>
      <c r="AF1236" s="169" t="s">
        <v>4680</v>
      </c>
      <c r="AG1236" s="201">
        <v>0</v>
      </c>
      <c r="AH1236" s="199">
        <v>0</v>
      </c>
      <c r="AI1236" s="150">
        <v>0</v>
      </c>
      <c r="AJ1236" s="169">
        <f t="shared" si="1075"/>
        <v>0</v>
      </c>
      <c r="AK1236" s="201">
        <v>0</v>
      </c>
      <c r="AL1236" s="199">
        <v>0</v>
      </c>
      <c r="AM1236" s="150">
        <f t="shared" si="1069"/>
        <v>0</v>
      </c>
      <c r="AN1236" s="153">
        <f t="shared" si="1076"/>
        <v>0</v>
      </c>
      <c r="AO1236" s="154">
        <f t="shared" si="1077"/>
        <v>0</v>
      </c>
      <c r="AP1236" s="150">
        <v>0</v>
      </c>
      <c r="AQ1236" s="201">
        <v>0</v>
      </c>
      <c r="AR1236" s="199">
        <v>0</v>
      </c>
      <c r="AS1236" s="150">
        <f t="shared" si="1070"/>
        <v>0</v>
      </c>
      <c r="AT1236" s="155"/>
      <c r="AU1236" s="156">
        <f t="shared" si="1071"/>
        <v>0</v>
      </c>
      <c r="AV1236" s="156">
        <f t="shared" si="1072"/>
        <v>0</v>
      </c>
      <c r="AW1236" s="157"/>
      <c r="AX1236" s="150">
        <v>0</v>
      </c>
      <c r="AY1236" s="150">
        <v>0</v>
      </c>
      <c r="AZ1236" s="150">
        <f t="shared" si="1078"/>
        <v>0</v>
      </c>
      <c r="BA1236" s="313">
        <v>0</v>
      </c>
      <c r="BB1236" s="210"/>
      <c r="BC1236" s="210"/>
      <c r="BD1236" s="210"/>
      <c r="BE1236" s="210"/>
      <c r="BF1236" s="210"/>
      <c r="BG1236" s="210"/>
      <c r="BH1236" s="217"/>
      <c r="BI1236" s="210"/>
      <c r="BJ1236" s="210"/>
      <c r="BK1236" s="210"/>
      <c r="BL1236" s="210"/>
      <c r="BM1236" s="208"/>
      <c r="BN1236" s="160"/>
      <c r="BO1236" s="161"/>
      <c r="BP1236" s="161"/>
    </row>
    <row r="1237" spans="1:68" ht="25.5">
      <c r="A1237" s="192" t="s">
        <v>8046</v>
      </c>
      <c r="B1237" s="184"/>
      <c r="C1237" s="185" t="s">
        <v>8047</v>
      </c>
      <c r="D1237" s="146" t="s">
        <v>4692</v>
      </c>
      <c r="E1237" s="185" t="s">
        <v>8047</v>
      </c>
      <c r="F1237" s="188">
        <v>73162.210000000006</v>
      </c>
      <c r="G1237" s="187">
        <v>42861.58</v>
      </c>
      <c r="H1237" s="187"/>
      <c r="I1237" s="187">
        <v>42861.58</v>
      </c>
      <c r="J1237" s="188">
        <f>SUM(J1238:J1257)</f>
        <v>0</v>
      </c>
      <c r="K1237" s="188">
        <f>SUM(K1238:K1257)</f>
        <v>4850</v>
      </c>
      <c r="L1237" s="188">
        <f t="shared" si="1080"/>
        <v>4850</v>
      </c>
      <c r="M1237" s="188">
        <v>10119.15</v>
      </c>
      <c r="N1237" s="188">
        <v>21430.79</v>
      </c>
      <c r="O1237" s="188">
        <v>31549.940000000002</v>
      </c>
      <c r="P1237" s="299">
        <f t="shared" ref="P1237:AD1237" si="1081">SUM(P1238:P1257)</f>
        <v>15195.6</v>
      </c>
      <c r="Q1237" s="299">
        <f t="shared" si="1081"/>
        <v>0</v>
      </c>
      <c r="R1237" s="299">
        <f t="shared" si="1081"/>
        <v>15195.6</v>
      </c>
      <c r="S1237" s="150">
        <f t="shared" si="1079"/>
        <v>20260.800000000003</v>
      </c>
      <c r="T1237" s="213"/>
      <c r="U1237" s="299">
        <f t="shared" ref="U1237:W1237" si="1082">SUM(U1238:U1257)</f>
        <v>110644.91</v>
      </c>
      <c r="V1237" s="226">
        <f t="shared" si="1082"/>
        <v>-2780.5726000000068</v>
      </c>
      <c r="W1237" s="299">
        <f t="shared" si="1082"/>
        <v>107864.33739999999</v>
      </c>
      <c r="X1237" s="299">
        <v>110644.91</v>
      </c>
      <c r="Y1237" s="299">
        <v>-2780.5726000000068</v>
      </c>
      <c r="Z1237" s="299">
        <v>107864.33739999999</v>
      </c>
      <c r="AA1237" s="299">
        <f t="shared" si="1074"/>
        <v>2780.5726000000141</v>
      </c>
      <c r="AB1237" s="299">
        <v>110644.91</v>
      </c>
      <c r="AC1237" s="226">
        <v>0</v>
      </c>
      <c r="AD1237" s="299">
        <f t="shared" si="1081"/>
        <v>110644.91</v>
      </c>
      <c r="AE1237" s="299">
        <v>110644.91</v>
      </c>
      <c r="AF1237" s="169" t="s">
        <v>4680</v>
      </c>
      <c r="AG1237" s="301">
        <v>110644.91</v>
      </c>
      <c r="AH1237" s="226">
        <v>0</v>
      </c>
      <c r="AI1237" s="299">
        <v>110644.91</v>
      </c>
      <c r="AJ1237" s="169">
        <f t="shared" si="1075"/>
        <v>0</v>
      </c>
      <c r="AK1237" s="301">
        <v>110644.91</v>
      </c>
      <c r="AL1237" s="226">
        <v>0</v>
      </c>
      <c r="AM1237" s="299">
        <f t="shared" ref="AM1237" si="1083">SUM(AM1238:AM1257)</f>
        <v>110644.91</v>
      </c>
      <c r="AN1237" s="153">
        <f t="shared" si="1076"/>
        <v>0</v>
      </c>
      <c r="AO1237" s="154">
        <f t="shared" si="1077"/>
        <v>0</v>
      </c>
      <c r="AP1237" s="299">
        <v>110644.91</v>
      </c>
      <c r="AQ1237" s="301">
        <v>110644.91</v>
      </c>
      <c r="AR1237" s="226">
        <f t="shared" ref="AR1237:AS1237" si="1084">SUM(AR1238:AR1257)</f>
        <v>0</v>
      </c>
      <c r="AS1237" s="299">
        <f t="shared" si="1084"/>
        <v>110644.91</v>
      </c>
      <c r="AT1237" s="155"/>
      <c r="AU1237" s="156">
        <f t="shared" si="1071"/>
        <v>0</v>
      </c>
      <c r="AV1237" s="156">
        <f t="shared" si="1072"/>
        <v>2780.5726000000141</v>
      </c>
      <c r="AW1237" s="157"/>
      <c r="AX1237" s="150">
        <v>107864.33739999999</v>
      </c>
      <c r="AY1237" s="299">
        <f t="shared" ref="AY1237:BA1237" si="1085">SUM(AY1238:AY1257)</f>
        <v>15195.6</v>
      </c>
      <c r="AZ1237" s="299">
        <f t="shared" si="1085"/>
        <v>0</v>
      </c>
      <c r="BA1237" s="299">
        <f t="shared" si="1085"/>
        <v>15195.6</v>
      </c>
      <c r="BB1237" s="192">
        <v>5</v>
      </c>
      <c r="BC1237" s="256" t="s">
        <v>647</v>
      </c>
      <c r="BD1237" s="256" t="s">
        <v>647</v>
      </c>
      <c r="BE1237" s="256" t="s">
        <v>693</v>
      </c>
      <c r="BF1237" s="256" t="s">
        <v>630</v>
      </c>
      <c r="BG1237" s="185" t="s">
        <v>8047</v>
      </c>
      <c r="BH1237" s="302">
        <f>SUM(BH1238:BH1257)</f>
        <v>110644.91</v>
      </c>
      <c r="BI1237" s="192"/>
      <c r="BJ1237" s="256" t="s">
        <v>8048</v>
      </c>
      <c r="BK1237" s="192" t="s">
        <v>8046</v>
      </c>
      <c r="BL1237" s="185" t="s">
        <v>8049</v>
      </c>
      <c r="BM1237" s="302">
        <f>SUM(BM1238:BM1257)</f>
        <v>110644.91</v>
      </c>
      <c r="BN1237" s="160"/>
      <c r="BO1237" s="161"/>
      <c r="BP1237" s="161"/>
    </row>
    <row r="1238" spans="1:68" ht="25.5">
      <c r="A1238" s="206" t="s">
        <v>462</v>
      </c>
      <c r="B1238" s="195" t="s">
        <v>8050</v>
      </c>
      <c r="C1238" s="196" t="s">
        <v>8051</v>
      </c>
      <c r="D1238" s="146" t="s">
        <v>4692</v>
      </c>
      <c r="E1238" s="196" t="s">
        <v>8051</v>
      </c>
      <c r="F1238" s="150">
        <v>42861.58</v>
      </c>
      <c r="G1238" s="209">
        <v>0</v>
      </c>
      <c r="H1238" s="209"/>
      <c r="I1238" s="209">
        <v>0</v>
      </c>
      <c r="J1238" s="150">
        <v>0</v>
      </c>
      <c r="K1238" s="150">
        <v>0</v>
      </c>
      <c r="L1238" s="150">
        <f t="shared" si="1080"/>
        <v>0</v>
      </c>
      <c r="M1238" s="150">
        <v>0</v>
      </c>
      <c r="N1238" s="150">
        <v>21430.79</v>
      </c>
      <c r="O1238" s="150">
        <v>21430.79</v>
      </c>
      <c r="P1238" s="150">
        <v>0</v>
      </c>
      <c r="Q1238" s="150">
        <v>0</v>
      </c>
      <c r="R1238" s="150">
        <f t="shared" ref="R1238:R1257" si="1086">P1238+Q1238</f>
        <v>0</v>
      </c>
      <c r="S1238" s="150">
        <f t="shared" si="1079"/>
        <v>0</v>
      </c>
      <c r="T1238" s="150"/>
      <c r="U1238" s="150">
        <v>75000</v>
      </c>
      <c r="V1238" s="199">
        <v>0</v>
      </c>
      <c r="W1238" s="150">
        <f t="shared" ref="W1238:W1257" si="1087">U1238+V1238</f>
        <v>75000</v>
      </c>
      <c r="X1238" s="150">
        <v>75000</v>
      </c>
      <c r="Y1238" s="150">
        <v>0</v>
      </c>
      <c r="Z1238" s="150">
        <v>75000</v>
      </c>
      <c r="AA1238" s="150">
        <f t="shared" si="1074"/>
        <v>0</v>
      </c>
      <c r="AB1238" s="150">
        <v>75000</v>
      </c>
      <c r="AC1238" s="199">
        <v>0</v>
      </c>
      <c r="AD1238" s="150">
        <f t="shared" ref="AD1238:AD1257" si="1088">AB1238+AC1238</f>
        <v>75000</v>
      </c>
      <c r="AE1238" s="150">
        <v>75000</v>
      </c>
      <c r="AF1238" s="169" t="s">
        <v>4680</v>
      </c>
      <c r="AG1238" s="201">
        <v>75000</v>
      </c>
      <c r="AH1238" s="199">
        <v>0</v>
      </c>
      <c r="AI1238" s="150">
        <v>75000</v>
      </c>
      <c r="AJ1238" s="169">
        <f t="shared" si="1075"/>
        <v>0</v>
      </c>
      <c r="AK1238" s="201">
        <v>75000</v>
      </c>
      <c r="AL1238" s="199">
        <v>0</v>
      </c>
      <c r="AM1238" s="150">
        <f t="shared" ref="AM1238:AM1257" si="1089">AK1238+AL1238</f>
        <v>75000</v>
      </c>
      <c r="AN1238" s="153">
        <f t="shared" si="1076"/>
        <v>0</v>
      </c>
      <c r="AO1238" s="154">
        <f t="shared" si="1077"/>
        <v>0</v>
      </c>
      <c r="AP1238" s="150">
        <v>75000</v>
      </c>
      <c r="AQ1238" s="201">
        <v>75000</v>
      </c>
      <c r="AR1238" s="199">
        <v>0</v>
      </c>
      <c r="AS1238" s="150">
        <f t="shared" ref="AS1238:AS1257" si="1090">AQ1238+AR1238</f>
        <v>75000</v>
      </c>
      <c r="AT1238" s="155"/>
      <c r="AU1238" s="156">
        <f t="shared" si="1071"/>
        <v>0</v>
      </c>
      <c r="AV1238" s="156">
        <f t="shared" si="1072"/>
        <v>0</v>
      </c>
      <c r="AW1238" s="157"/>
      <c r="AX1238" s="150">
        <v>75000</v>
      </c>
      <c r="AY1238" s="150">
        <v>0</v>
      </c>
      <c r="AZ1238" s="237"/>
      <c r="BA1238" s="150">
        <f t="shared" ref="BA1238:BA1298" si="1091">AY1238+AZ1238</f>
        <v>0</v>
      </c>
      <c r="BB1238" s="202">
        <v>5</v>
      </c>
      <c r="BC1238" s="202" t="s">
        <v>647</v>
      </c>
      <c r="BD1238" s="202" t="s">
        <v>647</v>
      </c>
      <c r="BE1238" s="194" t="s">
        <v>693</v>
      </c>
      <c r="BF1238" s="202" t="s">
        <v>632</v>
      </c>
      <c r="BG1238" s="203" t="s">
        <v>69</v>
      </c>
      <c r="BH1238" s="216">
        <f>SUM(AS1238:AS1243)</f>
        <v>75000</v>
      </c>
      <c r="BI1238" s="205"/>
      <c r="BJ1238" s="206" t="s">
        <v>8052</v>
      </c>
      <c r="BK1238" s="206" t="s">
        <v>462</v>
      </c>
      <c r="BL1238" s="207" t="s">
        <v>8053</v>
      </c>
      <c r="BM1238" s="208">
        <f>BH1238</f>
        <v>75000</v>
      </c>
      <c r="BN1238" s="160"/>
      <c r="BO1238" s="161"/>
      <c r="BP1238" s="161"/>
    </row>
    <row r="1239" spans="1:68" ht="25.5">
      <c r="A1239" s="210"/>
      <c r="B1239" s="195" t="s">
        <v>8054</v>
      </c>
      <c r="C1239" s="196" t="s">
        <v>8055</v>
      </c>
      <c r="D1239" s="146" t="s">
        <v>4692</v>
      </c>
      <c r="E1239" s="196" t="s">
        <v>8055</v>
      </c>
      <c r="F1239" s="150">
        <v>0</v>
      </c>
      <c r="G1239" s="209">
        <v>0</v>
      </c>
      <c r="H1239" s="209"/>
      <c r="I1239" s="209">
        <v>0</v>
      </c>
      <c r="J1239" s="150">
        <v>0</v>
      </c>
      <c r="K1239" s="150">
        <v>0</v>
      </c>
      <c r="L1239" s="150">
        <f t="shared" si="1080"/>
        <v>0</v>
      </c>
      <c r="M1239" s="150">
        <v>0</v>
      </c>
      <c r="N1239" s="150"/>
      <c r="O1239" s="150">
        <v>0</v>
      </c>
      <c r="P1239" s="150">
        <v>0</v>
      </c>
      <c r="Q1239" s="150">
        <v>0</v>
      </c>
      <c r="R1239" s="150">
        <f t="shared" si="1086"/>
        <v>0</v>
      </c>
      <c r="S1239" s="150">
        <f t="shared" si="1079"/>
        <v>0</v>
      </c>
      <c r="T1239" s="150"/>
      <c r="U1239" s="150">
        <v>0</v>
      </c>
      <c r="V1239" s="199"/>
      <c r="W1239" s="150">
        <f t="shared" si="1087"/>
        <v>0</v>
      </c>
      <c r="X1239" s="150">
        <v>0</v>
      </c>
      <c r="Y1239" s="150"/>
      <c r="Z1239" s="150">
        <v>0</v>
      </c>
      <c r="AA1239" s="150">
        <f t="shared" si="1074"/>
        <v>0</v>
      </c>
      <c r="AB1239" s="150">
        <v>0</v>
      </c>
      <c r="AC1239" s="199"/>
      <c r="AD1239" s="150">
        <f t="shared" si="1088"/>
        <v>0</v>
      </c>
      <c r="AE1239" s="150">
        <v>0</v>
      </c>
      <c r="AF1239" s="169" t="s">
        <v>4680</v>
      </c>
      <c r="AG1239" s="201">
        <v>0</v>
      </c>
      <c r="AH1239" s="199"/>
      <c r="AI1239" s="150">
        <v>0</v>
      </c>
      <c r="AJ1239" s="169">
        <f t="shared" si="1075"/>
        <v>0</v>
      </c>
      <c r="AK1239" s="201">
        <v>0</v>
      </c>
      <c r="AL1239" s="199"/>
      <c r="AM1239" s="150">
        <f t="shared" si="1089"/>
        <v>0</v>
      </c>
      <c r="AN1239" s="153">
        <f t="shared" si="1076"/>
        <v>0</v>
      </c>
      <c r="AO1239" s="154">
        <f t="shared" si="1077"/>
        <v>0</v>
      </c>
      <c r="AP1239" s="150">
        <v>0</v>
      </c>
      <c r="AQ1239" s="201">
        <v>0</v>
      </c>
      <c r="AR1239" s="199"/>
      <c r="AS1239" s="150">
        <f t="shared" si="1090"/>
        <v>0</v>
      </c>
      <c r="AT1239" s="155"/>
      <c r="AU1239" s="156">
        <f t="shared" si="1071"/>
        <v>0</v>
      </c>
      <c r="AV1239" s="156">
        <f t="shared" si="1072"/>
        <v>0</v>
      </c>
      <c r="AW1239" s="157"/>
      <c r="AX1239" s="150">
        <v>0</v>
      </c>
      <c r="AY1239" s="150">
        <v>0</v>
      </c>
      <c r="AZ1239" s="150"/>
      <c r="BA1239" s="150">
        <f t="shared" si="1091"/>
        <v>0</v>
      </c>
      <c r="BB1239" s="210"/>
      <c r="BC1239" s="210"/>
      <c r="BD1239" s="210"/>
      <c r="BE1239" s="210"/>
      <c r="BF1239" s="210"/>
      <c r="BG1239" s="210"/>
      <c r="BH1239" s="217"/>
      <c r="BI1239" s="210"/>
      <c r="BJ1239" s="210"/>
      <c r="BK1239" s="210"/>
      <c r="BL1239" s="210"/>
      <c r="BM1239" s="208"/>
      <c r="BN1239" s="160"/>
      <c r="BO1239" s="161">
        <f t="shared" ref="BO1239:BO1302" si="1092">BM1239-AS1239</f>
        <v>0</v>
      </c>
      <c r="BP1239" s="161"/>
    </row>
    <row r="1240" spans="1:68" ht="25.5">
      <c r="A1240" s="210"/>
      <c r="B1240" s="195" t="s">
        <v>8056</v>
      </c>
      <c r="C1240" s="196" t="s">
        <v>8057</v>
      </c>
      <c r="D1240" s="146" t="s">
        <v>4692</v>
      </c>
      <c r="E1240" s="196" t="s">
        <v>8057</v>
      </c>
      <c r="F1240" s="150">
        <v>0</v>
      </c>
      <c r="G1240" s="209">
        <v>0</v>
      </c>
      <c r="H1240" s="209"/>
      <c r="I1240" s="209">
        <v>0</v>
      </c>
      <c r="J1240" s="150">
        <v>0</v>
      </c>
      <c r="K1240" s="150">
        <v>0</v>
      </c>
      <c r="L1240" s="150">
        <f t="shared" si="1080"/>
        <v>0</v>
      </c>
      <c r="M1240" s="150">
        <v>0</v>
      </c>
      <c r="N1240" s="150"/>
      <c r="O1240" s="150">
        <v>0</v>
      </c>
      <c r="P1240" s="150">
        <v>0</v>
      </c>
      <c r="Q1240" s="150">
        <v>0</v>
      </c>
      <c r="R1240" s="150">
        <f t="shared" si="1086"/>
        <v>0</v>
      </c>
      <c r="S1240" s="150">
        <f t="shared" si="1079"/>
        <v>0</v>
      </c>
      <c r="T1240" s="150"/>
      <c r="U1240" s="150">
        <v>0</v>
      </c>
      <c r="V1240" s="199"/>
      <c r="W1240" s="150">
        <f t="shared" si="1087"/>
        <v>0</v>
      </c>
      <c r="X1240" s="150">
        <v>0</v>
      </c>
      <c r="Y1240" s="150"/>
      <c r="Z1240" s="150">
        <v>0</v>
      </c>
      <c r="AA1240" s="150">
        <f t="shared" si="1074"/>
        <v>0</v>
      </c>
      <c r="AB1240" s="150">
        <v>0</v>
      </c>
      <c r="AC1240" s="199"/>
      <c r="AD1240" s="150">
        <f t="shared" si="1088"/>
        <v>0</v>
      </c>
      <c r="AE1240" s="150">
        <v>0</v>
      </c>
      <c r="AF1240" s="169" t="s">
        <v>4680</v>
      </c>
      <c r="AG1240" s="201">
        <v>0</v>
      </c>
      <c r="AH1240" s="199"/>
      <c r="AI1240" s="150">
        <v>0</v>
      </c>
      <c r="AJ1240" s="169">
        <f t="shared" si="1075"/>
        <v>0</v>
      </c>
      <c r="AK1240" s="201">
        <v>0</v>
      </c>
      <c r="AL1240" s="199"/>
      <c r="AM1240" s="150">
        <f t="shared" si="1089"/>
        <v>0</v>
      </c>
      <c r="AN1240" s="153">
        <f t="shared" si="1076"/>
        <v>0</v>
      </c>
      <c r="AO1240" s="154">
        <f t="shared" si="1077"/>
        <v>0</v>
      </c>
      <c r="AP1240" s="150">
        <v>0</v>
      </c>
      <c r="AQ1240" s="201">
        <v>0</v>
      </c>
      <c r="AR1240" s="199"/>
      <c r="AS1240" s="150">
        <f t="shared" si="1090"/>
        <v>0</v>
      </c>
      <c r="AT1240" s="155"/>
      <c r="AU1240" s="156">
        <f t="shared" si="1071"/>
        <v>0</v>
      </c>
      <c r="AV1240" s="156">
        <f t="shared" si="1072"/>
        <v>0</v>
      </c>
      <c r="AW1240" s="157"/>
      <c r="AX1240" s="150">
        <v>0</v>
      </c>
      <c r="AY1240" s="150">
        <v>0</v>
      </c>
      <c r="AZ1240" s="150"/>
      <c r="BA1240" s="150">
        <f t="shared" si="1091"/>
        <v>0</v>
      </c>
      <c r="BB1240" s="210"/>
      <c r="BC1240" s="210"/>
      <c r="BD1240" s="210"/>
      <c r="BE1240" s="210"/>
      <c r="BF1240" s="210"/>
      <c r="BG1240" s="210"/>
      <c r="BH1240" s="217"/>
      <c r="BI1240" s="210"/>
      <c r="BJ1240" s="210"/>
      <c r="BK1240" s="210"/>
      <c r="BL1240" s="210"/>
      <c r="BM1240" s="208"/>
      <c r="BN1240" s="160"/>
      <c r="BO1240" s="161">
        <f t="shared" si="1092"/>
        <v>0</v>
      </c>
      <c r="BP1240" s="161"/>
    </row>
    <row r="1241" spans="1:68" ht="25.5">
      <c r="A1241" s="210"/>
      <c r="B1241" s="195" t="s">
        <v>8058</v>
      </c>
      <c r="C1241" s="196" t="s">
        <v>8059</v>
      </c>
      <c r="D1241" s="146" t="s">
        <v>4692</v>
      </c>
      <c r="E1241" s="196" t="s">
        <v>8059</v>
      </c>
      <c r="F1241" s="150">
        <v>0</v>
      </c>
      <c r="G1241" s="209">
        <v>0</v>
      </c>
      <c r="H1241" s="209"/>
      <c r="I1241" s="209">
        <v>0</v>
      </c>
      <c r="J1241" s="150">
        <v>0</v>
      </c>
      <c r="K1241" s="150">
        <v>0</v>
      </c>
      <c r="L1241" s="150">
        <f t="shared" si="1080"/>
        <v>0</v>
      </c>
      <c r="M1241" s="150">
        <v>0</v>
      </c>
      <c r="N1241" s="150"/>
      <c r="O1241" s="150">
        <v>0</v>
      </c>
      <c r="P1241" s="150">
        <v>0</v>
      </c>
      <c r="Q1241" s="150">
        <v>0</v>
      </c>
      <c r="R1241" s="150">
        <f t="shared" si="1086"/>
        <v>0</v>
      </c>
      <c r="S1241" s="150">
        <f t="shared" si="1079"/>
        <v>0</v>
      </c>
      <c r="T1241" s="150"/>
      <c r="U1241" s="150">
        <v>0</v>
      </c>
      <c r="V1241" s="199"/>
      <c r="W1241" s="150">
        <f t="shared" si="1087"/>
        <v>0</v>
      </c>
      <c r="X1241" s="150">
        <v>0</v>
      </c>
      <c r="Y1241" s="150"/>
      <c r="Z1241" s="150">
        <v>0</v>
      </c>
      <c r="AA1241" s="150">
        <f t="shared" si="1074"/>
        <v>0</v>
      </c>
      <c r="AB1241" s="150">
        <v>0</v>
      </c>
      <c r="AC1241" s="199"/>
      <c r="AD1241" s="150">
        <f t="shared" si="1088"/>
        <v>0</v>
      </c>
      <c r="AE1241" s="150">
        <v>0</v>
      </c>
      <c r="AF1241" s="169" t="s">
        <v>4680</v>
      </c>
      <c r="AG1241" s="201">
        <v>0</v>
      </c>
      <c r="AH1241" s="199"/>
      <c r="AI1241" s="150">
        <v>0</v>
      </c>
      <c r="AJ1241" s="169">
        <f t="shared" si="1075"/>
        <v>0</v>
      </c>
      <c r="AK1241" s="201">
        <v>0</v>
      </c>
      <c r="AL1241" s="199"/>
      <c r="AM1241" s="150">
        <f t="shared" si="1089"/>
        <v>0</v>
      </c>
      <c r="AN1241" s="153">
        <f t="shared" si="1076"/>
        <v>0</v>
      </c>
      <c r="AO1241" s="154">
        <f t="shared" si="1077"/>
        <v>0</v>
      </c>
      <c r="AP1241" s="150">
        <v>0</v>
      </c>
      <c r="AQ1241" s="201">
        <v>0</v>
      </c>
      <c r="AR1241" s="199"/>
      <c r="AS1241" s="150">
        <f t="shared" si="1090"/>
        <v>0</v>
      </c>
      <c r="AT1241" s="155"/>
      <c r="AU1241" s="156">
        <f t="shared" si="1071"/>
        <v>0</v>
      </c>
      <c r="AV1241" s="156">
        <f t="shared" si="1072"/>
        <v>0</v>
      </c>
      <c r="AW1241" s="157"/>
      <c r="AX1241" s="150">
        <v>0</v>
      </c>
      <c r="AY1241" s="150">
        <v>0</v>
      </c>
      <c r="AZ1241" s="150"/>
      <c r="BA1241" s="150">
        <f t="shared" si="1091"/>
        <v>0</v>
      </c>
      <c r="BB1241" s="210"/>
      <c r="BC1241" s="210"/>
      <c r="BD1241" s="210"/>
      <c r="BE1241" s="210"/>
      <c r="BF1241" s="210"/>
      <c r="BG1241" s="210"/>
      <c r="BH1241" s="217"/>
      <c r="BI1241" s="210"/>
      <c r="BJ1241" s="210"/>
      <c r="BK1241" s="210"/>
      <c r="BL1241" s="210"/>
      <c r="BM1241" s="208"/>
      <c r="BN1241" s="160"/>
      <c r="BO1241" s="161">
        <f t="shared" si="1092"/>
        <v>0</v>
      </c>
      <c r="BP1241" s="161"/>
    </row>
    <row r="1242" spans="1:68" ht="38.25">
      <c r="A1242" s="210"/>
      <c r="B1242" s="195" t="s">
        <v>8060</v>
      </c>
      <c r="C1242" s="196" t="s">
        <v>8061</v>
      </c>
      <c r="D1242" s="146" t="s">
        <v>4692</v>
      </c>
      <c r="E1242" s="196" t="s">
        <v>8061</v>
      </c>
      <c r="F1242" s="150">
        <v>0</v>
      </c>
      <c r="G1242" s="209">
        <v>0</v>
      </c>
      <c r="H1242" s="209"/>
      <c r="I1242" s="209">
        <v>0</v>
      </c>
      <c r="J1242" s="150">
        <v>0</v>
      </c>
      <c r="K1242" s="150">
        <v>0</v>
      </c>
      <c r="L1242" s="150">
        <f t="shared" si="1080"/>
        <v>0</v>
      </c>
      <c r="M1242" s="150">
        <v>0</v>
      </c>
      <c r="N1242" s="150"/>
      <c r="O1242" s="150">
        <v>0</v>
      </c>
      <c r="P1242" s="150">
        <v>0</v>
      </c>
      <c r="Q1242" s="150">
        <v>0</v>
      </c>
      <c r="R1242" s="150">
        <f t="shared" si="1086"/>
        <v>0</v>
      </c>
      <c r="S1242" s="150">
        <f t="shared" si="1079"/>
        <v>0</v>
      </c>
      <c r="T1242" s="150"/>
      <c r="U1242" s="150">
        <v>0</v>
      </c>
      <c r="V1242" s="199"/>
      <c r="W1242" s="150">
        <f t="shared" si="1087"/>
        <v>0</v>
      </c>
      <c r="X1242" s="150">
        <v>0</v>
      </c>
      <c r="Y1242" s="150"/>
      <c r="Z1242" s="150">
        <v>0</v>
      </c>
      <c r="AA1242" s="150">
        <f t="shared" si="1074"/>
        <v>0</v>
      </c>
      <c r="AB1242" s="150">
        <v>0</v>
      </c>
      <c r="AC1242" s="199"/>
      <c r="AD1242" s="150">
        <f t="shared" si="1088"/>
        <v>0</v>
      </c>
      <c r="AE1242" s="150">
        <v>0</v>
      </c>
      <c r="AF1242" s="169" t="s">
        <v>4680</v>
      </c>
      <c r="AG1242" s="201">
        <v>0</v>
      </c>
      <c r="AH1242" s="199"/>
      <c r="AI1242" s="150">
        <v>0</v>
      </c>
      <c r="AJ1242" s="169">
        <f t="shared" si="1075"/>
        <v>0</v>
      </c>
      <c r="AK1242" s="201">
        <v>0</v>
      </c>
      <c r="AL1242" s="199"/>
      <c r="AM1242" s="150">
        <f t="shared" si="1089"/>
        <v>0</v>
      </c>
      <c r="AN1242" s="153">
        <f t="shared" si="1076"/>
        <v>0</v>
      </c>
      <c r="AO1242" s="154">
        <f t="shared" si="1077"/>
        <v>0</v>
      </c>
      <c r="AP1242" s="150">
        <v>0</v>
      </c>
      <c r="AQ1242" s="201">
        <v>0</v>
      </c>
      <c r="AR1242" s="199"/>
      <c r="AS1242" s="150">
        <f t="shared" si="1090"/>
        <v>0</v>
      </c>
      <c r="AT1242" s="155"/>
      <c r="AU1242" s="156">
        <f t="shared" si="1071"/>
        <v>0</v>
      </c>
      <c r="AV1242" s="156">
        <f t="shared" si="1072"/>
        <v>0</v>
      </c>
      <c r="AW1242" s="157"/>
      <c r="AX1242" s="150">
        <v>0</v>
      </c>
      <c r="AY1242" s="150">
        <v>0</v>
      </c>
      <c r="AZ1242" s="150"/>
      <c r="BA1242" s="150">
        <f t="shared" si="1091"/>
        <v>0</v>
      </c>
      <c r="BB1242" s="210"/>
      <c r="BC1242" s="210"/>
      <c r="BD1242" s="210"/>
      <c r="BE1242" s="210"/>
      <c r="BF1242" s="210"/>
      <c r="BG1242" s="210"/>
      <c r="BH1242" s="217"/>
      <c r="BI1242" s="210"/>
      <c r="BJ1242" s="210"/>
      <c r="BK1242" s="210"/>
      <c r="BL1242" s="210"/>
      <c r="BM1242" s="208"/>
      <c r="BN1242" s="160"/>
      <c r="BO1242" s="161">
        <f t="shared" si="1092"/>
        <v>0</v>
      </c>
      <c r="BP1242" s="161"/>
    </row>
    <row r="1243" spans="1:68" ht="38.25">
      <c r="A1243" s="210"/>
      <c r="B1243" s="195" t="s">
        <v>8062</v>
      </c>
      <c r="C1243" s="196" t="s">
        <v>8063</v>
      </c>
      <c r="D1243" s="146" t="s">
        <v>4692</v>
      </c>
      <c r="E1243" s="196" t="s">
        <v>8063</v>
      </c>
      <c r="F1243" s="150">
        <v>0</v>
      </c>
      <c r="G1243" s="209">
        <v>10874.83</v>
      </c>
      <c r="H1243" s="209"/>
      <c r="I1243" s="209">
        <v>10874.83</v>
      </c>
      <c r="J1243" s="150">
        <v>0</v>
      </c>
      <c r="K1243" s="150">
        <v>0</v>
      </c>
      <c r="L1243" s="150">
        <f t="shared" si="1080"/>
        <v>0</v>
      </c>
      <c r="M1243" s="150">
        <v>0</v>
      </c>
      <c r="N1243" s="150"/>
      <c r="O1243" s="150">
        <v>0</v>
      </c>
      <c r="P1243" s="150">
        <v>0</v>
      </c>
      <c r="Q1243" s="150">
        <v>0</v>
      </c>
      <c r="R1243" s="150">
        <f t="shared" si="1086"/>
        <v>0</v>
      </c>
      <c r="S1243" s="150">
        <f t="shared" si="1079"/>
        <v>0</v>
      </c>
      <c r="T1243" s="150"/>
      <c r="U1243" s="150">
        <v>0</v>
      </c>
      <c r="V1243" s="199"/>
      <c r="W1243" s="150">
        <f t="shared" si="1087"/>
        <v>0</v>
      </c>
      <c r="X1243" s="150">
        <v>0</v>
      </c>
      <c r="Y1243" s="150"/>
      <c r="Z1243" s="150">
        <v>0</v>
      </c>
      <c r="AA1243" s="150">
        <f t="shared" si="1074"/>
        <v>0</v>
      </c>
      <c r="AB1243" s="150">
        <v>0</v>
      </c>
      <c r="AC1243" s="199"/>
      <c r="AD1243" s="150">
        <f t="shared" si="1088"/>
        <v>0</v>
      </c>
      <c r="AE1243" s="150">
        <v>0</v>
      </c>
      <c r="AF1243" s="169" t="s">
        <v>4680</v>
      </c>
      <c r="AG1243" s="201">
        <v>0</v>
      </c>
      <c r="AH1243" s="199"/>
      <c r="AI1243" s="150">
        <v>0</v>
      </c>
      <c r="AJ1243" s="169">
        <f t="shared" si="1075"/>
        <v>0</v>
      </c>
      <c r="AK1243" s="201">
        <v>0</v>
      </c>
      <c r="AL1243" s="199"/>
      <c r="AM1243" s="150">
        <f t="shared" si="1089"/>
        <v>0</v>
      </c>
      <c r="AN1243" s="153">
        <f t="shared" si="1076"/>
        <v>0</v>
      </c>
      <c r="AO1243" s="154">
        <f t="shared" si="1077"/>
        <v>0</v>
      </c>
      <c r="AP1243" s="150">
        <v>0</v>
      </c>
      <c r="AQ1243" s="201">
        <v>0</v>
      </c>
      <c r="AR1243" s="199"/>
      <c r="AS1243" s="150">
        <f t="shared" si="1090"/>
        <v>0</v>
      </c>
      <c r="AT1243" s="155"/>
      <c r="AU1243" s="156">
        <f t="shared" si="1071"/>
        <v>0</v>
      </c>
      <c r="AV1243" s="156">
        <f t="shared" si="1072"/>
        <v>0</v>
      </c>
      <c r="AW1243" s="157"/>
      <c r="AX1243" s="150">
        <v>0</v>
      </c>
      <c r="AY1243" s="150">
        <v>0</v>
      </c>
      <c r="AZ1243" s="150"/>
      <c r="BA1243" s="150">
        <f t="shared" si="1091"/>
        <v>0</v>
      </c>
      <c r="BB1243" s="210"/>
      <c r="BC1243" s="210"/>
      <c r="BD1243" s="210"/>
      <c r="BE1243" s="210"/>
      <c r="BF1243" s="210"/>
      <c r="BG1243" s="210"/>
      <c r="BH1243" s="217"/>
      <c r="BI1243" s="210"/>
      <c r="BJ1243" s="210"/>
      <c r="BK1243" s="210"/>
      <c r="BL1243" s="210"/>
      <c r="BM1243" s="208"/>
      <c r="BN1243" s="160"/>
      <c r="BO1243" s="161">
        <f t="shared" si="1092"/>
        <v>0</v>
      </c>
      <c r="BP1243" s="161"/>
    </row>
    <row r="1244" spans="1:68" ht="25.5">
      <c r="A1244" s="206" t="s">
        <v>463</v>
      </c>
      <c r="B1244" s="195" t="s">
        <v>8064</v>
      </c>
      <c r="C1244" s="196" t="s">
        <v>8065</v>
      </c>
      <c r="D1244" s="146" t="s">
        <v>4692</v>
      </c>
      <c r="E1244" s="196" t="s">
        <v>8065</v>
      </c>
      <c r="F1244" s="150">
        <v>30300.63</v>
      </c>
      <c r="G1244" s="209">
        <v>0</v>
      </c>
      <c r="H1244" s="209"/>
      <c r="I1244" s="209">
        <v>0</v>
      </c>
      <c r="J1244" s="150">
        <v>0</v>
      </c>
      <c r="K1244" s="150">
        <v>4850</v>
      </c>
      <c r="L1244" s="150">
        <f t="shared" si="1080"/>
        <v>4850</v>
      </c>
      <c r="M1244" s="150">
        <v>10119.15</v>
      </c>
      <c r="N1244" s="150"/>
      <c r="O1244" s="150">
        <v>10119.15</v>
      </c>
      <c r="P1244" s="150">
        <v>15195.6</v>
      </c>
      <c r="Q1244" s="237"/>
      <c r="R1244" s="150">
        <f t="shared" si="1086"/>
        <v>15195.6</v>
      </c>
      <c r="S1244" s="150">
        <f t="shared" si="1079"/>
        <v>20260.800000000003</v>
      </c>
      <c r="T1244" s="150"/>
      <c r="U1244" s="150">
        <v>35644.910000000003</v>
      </c>
      <c r="V1244" s="199">
        <v>-2780.5726000000068</v>
      </c>
      <c r="W1244" s="150">
        <f t="shared" si="1087"/>
        <v>32864.337399999997</v>
      </c>
      <c r="X1244" s="150">
        <v>35644.910000000003</v>
      </c>
      <c r="Y1244" s="150">
        <v>-2780.5726000000068</v>
      </c>
      <c r="Z1244" s="150">
        <v>32864.337399999997</v>
      </c>
      <c r="AA1244" s="150">
        <f t="shared" si="1074"/>
        <v>2780.5726000000068</v>
      </c>
      <c r="AB1244" s="150">
        <v>35644.910000000003</v>
      </c>
      <c r="AC1244" s="199"/>
      <c r="AD1244" s="150">
        <f t="shared" si="1088"/>
        <v>35644.910000000003</v>
      </c>
      <c r="AE1244" s="150">
        <v>35644.910000000003</v>
      </c>
      <c r="AF1244" s="169" t="s">
        <v>4680</v>
      </c>
      <c r="AG1244" s="201">
        <v>35644.910000000003</v>
      </c>
      <c r="AH1244" s="199"/>
      <c r="AI1244" s="150">
        <v>35644.910000000003</v>
      </c>
      <c r="AJ1244" s="169">
        <f t="shared" si="1075"/>
        <v>0</v>
      </c>
      <c r="AK1244" s="201">
        <v>35644.910000000003</v>
      </c>
      <c r="AL1244" s="199"/>
      <c r="AM1244" s="150">
        <f t="shared" si="1089"/>
        <v>35644.910000000003</v>
      </c>
      <c r="AN1244" s="153">
        <f t="shared" si="1076"/>
        <v>0</v>
      </c>
      <c r="AO1244" s="154">
        <f t="shared" si="1077"/>
        <v>0</v>
      </c>
      <c r="AP1244" s="150">
        <v>35644.910000000003</v>
      </c>
      <c r="AQ1244" s="201">
        <v>35644.910000000003</v>
      </c>
      <c r="AR1244" s="199"/>
      <c r="AS1244" s="150">
        <f t="shared" si="1090"/>
        <v>35644.910000000003</v>
      </c>
      <c r="AT1244" s="155" t="s">
        <v>7277</v>
      </c>
      <c r="AU1244" s="156">
        <f t="shared" si="1071"/>
        <v>0</v>
      </c>
      <c r="AV1244" s="156">
        <f t="shared" si="1072"/>
        <v>2780.5726000000068</v>
      </c>
      <c r="AW1244" s="157" t="s">
        <v>7277</v>
      </c>
      <c r="AX1244" s="150">
        <v>32864.337399999997</v>
      </c>
      <c r="AY1244" s="150">
        <v>15195.6</v>
      </c>
      <c r="AZ1244" s="237"/>
      <c r="BA1244" s="150">
        <f t="shared" si="1091"/>
        <v>15195.6</v>
      </c>
      <c r="BB1244" s="202">
        <v>5</v>
      </c>
      <c r="BC1244" s="202" t="s">
        <v>647</v>
      </c>
      <c r="BD1244" s="202" t="s">
        <v>647</v>
      </c>
      <c r="BE1244" s="194" t="s">
        <v>693</v>
      </c>
      <c r="BF1244" s="202" t="s">
        <v>647</v>
      </c>
      <c r="BG1244" s="203" t="s">
        <v>70</v>
      </c>
      <c r="BH1244" s="216">
        <f>SUM(AS1244:AS1257)</f>
        <v>35644.910000000003</v>
      </c>
      <c r="BI1244" s="205"/>
      <c r="BJ1244" s="206" t="s">
        <v>8066</v>
      </c>
      <c r="BK1244" s="206" t="s">
        <v>463</v>
      </c>
      <c r="BL1244" s="207" t="s">
        <v>8067</v>
      </c>
      <c r="BM1244" s="208">
        <f>BH1244</f>
        <v>35644.910000000003</v>
      </c>
      <c r="BN1244" s="160"/>
      <c r="BO1244" s="161">
        <f t="shared" si="1092"/>
        <v>0</v>
      </c>
      <c r="BP1244" s="161"/>
    </row>
    <row r="1245" spans="1:68" ht="25.5">
      <c r="A1245" s="210"/>
      <c r="B1245" s="195" t="s">
        <v>8068</v>
      </c>
      <c r="C1245" s="196" t="s">
        <v>8069</v>
      </c>
      <c r="D1245" s="146" t="s">
        <v>4692</v>
      </c>
      <c r="E1245" s="196" t="s">
        <v>8069</v>
      </c>
      <c r="F1245" s="150">
        <v>0</v>
      </c>
      <c r="G1245" s="209">
        <v>0</v>
      </c>
      <c r="H1245" s="209"/>
      <c r="I1245" s="209">
        <v>0</v>
      </c>
      <c r="J1245" s="150">
        <v>0</v>
      </c>
      <c r="K1245" s="150">
        <v>0</v>
      </c>
      <c r="L1245" s="150">
        <f t="shared" si="1080"/>
        <v>0</v>
      </c>
      <c r="M1245" s="150">
        <v>0</v>
      </c>
      <c r="N1245" s="150"/>
      <c r="O1245" s="150">
        <v>0</v>
      </c>
      <c r="P1245" s="150">
        <v>0</v>
      </c>
      <c r="Q1245" s="150">
        <v>0</v>
      </c>
      <c r="R1245" s="150">
        <f t="shared" si="1086"/>
        <v>0</v>
      </c>
      <c r="S1245" s="150">
        <f t="shared" si="1079"/>
        <v>0</v>
      </c>
      <c r="T1245" s="150"/>
      <c r="U1245" s="150">
        <v>0</v>
      </c>
      <c r="V1245" s="199"/>
      <c r="W1245" s="150">
        <f t="shared" si="1087"/>
        <v>0</v>
      </c>
      <c r="X1245" s="150">
        <v>0</v>
      </c>
      <c r="Y1245" s="150"/>
      <c r="Z1245" s="150">
        <v>0</v>
      </c>
      <c r="AA1245" s="150">
        <f t="shared" si="1074"/>
        <v>0</v>
      </c>
      <c r="AB1245" s="150">
        <v>0</v>
      </c>
      <c r="AC1245" s="199"/>
      <c r="AD1245" s="150">
        <f t="shared" si="1088"/>
        <v>0</v>
      </c>
      <c r="AE1245" s="150">
        <v>0</v>
      </c>
      <c r="AF1245" s="169" t="s">
        <v>4680</v>
      </c>
      <c r="AG1245" s="201">
        <v>0</v>
      </c>
      <c r="AH1245" s="199"/>
      <c r="AI1245" s="150">
        <v>0</v>
      </c>
      <c r="AJ1245" s="169">
        <f t="shared" si="1075"/>
        <v>0</v>
      </c>
      <c r="AK1245" s="201">
        <v>0</v>
      </c>
      <c r="AL1245" s="199"/>
      <c r="AM1245" s="150">
        <f t="shared" si="1089"/>
        <v>0</v>
      </c>
      <c r="AN1245" s="153">
        <f t="shared" si="1076"/>
        <v>0</v>
      </c>
      <c r="AO1245" s="154">
        <f t="shared" si="1077"/>
        <v>0</v>
      </c>
      <c r="AP1245" s="150">
        <v>0</v>
      </c>
      <c r="AQ1245" s="201">
        <v>0</v>
      </c>
      <c r="AR1245" s="199"/>
      <c r="AS1245" s="150">
        <f t="shared" si="1090"/>
        <v>0</v>
      </c>
      <c r="AT1245" s="155"/>
      <c r="AU1245" s="156">
        <f t="shared" si="1071"/>
        <v>0</v>
      </c>
      <c r="AV1245" s="156">
        <f t="shared" si="1072"/>
        <v>0</v>
      </c>
      <c r="AW1245" s="157"/>
      <c r="AX1245" s="150">
        <v>0</v>
      </c>
      <c r="AY1245" s="150">
        <v>0</v>
      </c>
      <c r="AZ1245" s="150"/>
      <c r="BA1245" s="150">
        <f t="shared" si="1091"/>
        <v>0</v>
      </c>
      <c r="BB1245" s="210"/>
      <c r="BC1245" s="210"/>
      <c r="BD1245" s="210"/>
      <c r="BE1245" s="210"/>
      <c r="BF1245" s="210"/>
      <c r="BG1245" s="210"/>
      <c r="BH1245" s="217"/>
      <c r="BI1245" s="210"/>
      <c r="BJ1245" s="210"/>
      <c r="BK1245" s="210"/>
      <c r="BL1245" s="210"/>
      <c r="BM1245" s="208"/>
      <c r="BN1245" s="160"/>
      <c r="BO1245" s="161">
        <f t="shared" si="1092"/>
        <v>0</v>
      </c>
      <c r="BP1245" s="161"/>
    </row>
    <row r="1246" spans="1:68" ht="25.5">
      <c r="A1246" s="210"/>
      <c r="B1246" s="195" t="s">
        <v>8070</v>
      </c>
      <c r="C1246" s="196" t="s">
        <v>8071</v>
      </c>
      <c r="D1246" s="146" t="s">
        <v>4692</v>
      </c>
      <c r="E1246" s="196" t="s">
        <v>8071</v>
      </c>
      <c r="F1246" s="150">
        <v>0</v>
      </c>
      <c r="G1246" s="209">
        <v>0</v>
      </c>
      <c r="H1246" s="209"/>
      <c r="I1246" s="209">
        <v>0</v>
      </c>
      <c r="J1246" s="150">
        <v>0</v>
      </c>
      <c r="K1246" s="150">
        <v>0</v>
      </c>
      <c r="L1246" s="150">
        <f t="shared" si="1080"/>
        <v>0</v>
      </c>
      <c r="M1246" s="150">
        <v>0</v>
      </c>
      <c r="N1246" s="150"/>
      <c r="O1246" s="150">
        <v>0</v>
      </c>
      <c r="P1246" s="150">
        <v>0</v>
      </c>
      <c r="Q1246" s="150">
        <v>0</v>
      </c>
      <c r="R1246" s="150">
        <f t="shared" si="1086"/>
        <v>0</v>
      </c>
      <c r="S1246" s="150">
        <f t="shared" si="1079"/>
        <v>0</v>
      </c>
      <c r="T1246" s="150"/>
      <c r="U1246" s="150">
        <v>0</v>
      </c>
      <c r="V1246" s="199"/>
      <c r="W1246" s="150">
        <f t="shared" si="1087"/>
        <v>0</v>
      </c>
      <c r="X1246" s="150">
        <v>0</v>
      </c>
      <c r="Y1246" s="150"/>
      <c r="Z1246" s="150">
        <v>0</v>
      </c>
      <c r="AA1246" s="150">
        <f t="shared" si="1074"/>
        <v>0</v>
      </c>
      <c r="AB1246" s="150">
        <v>0</v>
      </c>
      <c r="AC1246" s="199"/>
      <c r="AD1246" s="150">
        <f t="shared" si="1088"/>
        <v>0</v>
      </c>
      <c r="AE1246" s="150">
        <v>0</v>
      </c>
      <c r="AF1246" s="169" t="s">
        <v>4680</v>
      </c>
      <c r="AG1246" s="201">
        <v>0</v>
      </c>
      <c r="AH1246" s="199"/>
      <c r="AI1246" s="150">
        <v>0</v>
      </c>
      <c r="AJ1246" s="169">
        <f t="shared" si="1075"/>
        <v>0</v>
      </c>
      <c r="AK1246" s="201">
        <v>0</v>
      </c>
      <c r="AL1246" s="199"/>
      <c r="AM1246" s="150">
        <f t="shared" si="1089"/>
        <v>0</v>
      </c>
      <c r="AN1246" s="153">
        <f t="shared" si="1076"/>
        <v>0</v>
      </c>
      <c r="AO1246" s="154">
        <f t="shared" si="1077"/>
        <v>0</v>
      </c>
      <c r="AP1246" s="150">
        <v>0</v>
      </c>
      <c r="AQ1246" s="201">
        <v>0</v>
      </c>
      <c r="AR1246" s="199"/>
      <c r="AS1246" s="150">
        <f t="shared" si="1090"/>
        <v>0</v>
      </c>
      <c r="AT1246" s="155"/>
      <c r="AU1246" s="156">
        <f t="shared" si="1071"/>
        <v>0</v>
      </c>
      <c r="AV1246" s="156">
        <f t="shared" si="1072"/>
        <v>0</v>
      </c>
      <c r="AW1246" s="157"/>
      <c r="AX1246" s="150">
        <v>0</v>
      </c>
      <c r="AY1246" s="150">
        <v>0</v>
      </c>
      <c r="AZ1246" s="150"/>
      <c r="BA1246" s="150">
        <f t="shared" si="1091"/>
        <v>0</v>
      </c>
      <c r="BB1246" s="210"/>
      <c r="BC1246" s="210"/>
      <c r="BD1246" s="210"/>
      <c r="BE1246" s="210"/>
      <c r="BF1246" s="210"/>
      <c r="BG1246" s="210"/>
      <c r="BH1246" s="217"/>
      <c r="BI1246" s="210"/>
      <c r="BJ1246" s="210"/>
      <c r="BK1246" s="210"/>
      <c r="BL1246" s="210"/>
      <c r="BM1246" s="208"/>
      <c r="BN1246" s="160"/>
      <c r="BO1246" s="161">
        <f t="shared" si="1092"/>
        <v>0</v>
      </c>
      <c r="BP1246" s="161"/>
    </row>
    <row r="1247" spans="1:68" ht="25.5">
      <c r="A1247" s="210"/>
      <c r="B1247" s="195" t="s">
        <v>8072</v>
      </c>
      <c r="C1247" s="196" t="s">
        <v>8073</v>
      </c>
      <c r="D1247" s="146" t="s">
        <v>4692</v>
      </c>
      <c r="E1247" s="196" t="s">
        <v>8073</v>
      </c>
      <c r="F1247" s="150">
        <v>0</v>
      </c>
      <c r="G1247" s="209">
        <v>0</v>
      </c>
      <c r="H1247" s="209"/>
      <c r="I1247" s="209">
        <v>0</v>
      </c>
      <c r="J1247" s="150">
        <v>0</v>
      </c>
      <c r="K1247" s="150">
        <v>0</v>
      </c>
      <c r="L1247" s="150">
        <f t="shared" si="1080"/>
        <v>0</v>
      </c>
      <c r="M1247" s="150">
        <v>0</v>
      </c>
      <c r="N1247" s="150"/>
      <c r="O1247" s="150">
        <v>0</v>
      </c>
      <c r="P1247" s="150">
        <v>0</v>
      </c>
      <c r="Q1247" s="150">
        <v>0</v>
      </c>
      <c r="R1247" s="150">
        <f t="shared" si="1086"/>
        <v>0</v>
      </c>
      <c r="S1247" s="150">
        <f t="shared" si="1079"/>
        <v>0</v>
      </c>
      <c r="T1247" s="150"/>
      <c r="U1247" s="150">
        <v>0</v>
      </c>
      <c r="V1247" s="199"/>
      <c r="W1247" s="150">
        <f t="shared" si="1087"/>
        <v>0</v>
      </c>
      <c r="X1247" s="150">
        <v>0</v>
      </c>
      <c r="Y1247" s="150"/>
      <c r="Z1247" s="150">
        <v>0</v>
      </c>
      <c r="AA1247" s="150">
        <f t="shared" si="1074"/>
        <v>0</v>
      </c>
      <c r="AB1247" s="150">
        <v>0</v>
      </c>
      <c r="AC1247" s="199"/>
      <c r="AD1247" s="150">
        <f t="shared" si="1088"/>
        <v>0</v>
      </c>
      <c r="AE1247" s="150">
        <v>0</v>
      </c>
      <c r="AF1247" s="169" t="s">
        <v>4680</v>
      </c>
      <c r="AG1247" s="201">
        <v>0</v>
      </c>
      <c r="AH1247" s="199"/>
      <c r="AI1247" s="150">
        <v>0</v>
      </c>
      <c r="AJ1247" s="169">
        <f t="shared" si="1075"/>
        <v>0</v>
      </c>
      <c r="AK1247" s="201">
        <v>0</v>
      </c>
      <c r="AL1247" s="199"/>
      <c r="AM1247" s="150">
        <f t="shared" si="1089"/>
        <v>0</v>
      </c>
      <c r="AN1247" s="153">
        <f t="shared" si="1076"/>
        <v>0</v>
      </c>
      <c r="AO1247" s="154">
        <f t="shared" si="1077"/>
        <v>0</v>
      </c>
      <c r="AP1247" s="150">
        <v>0</v>
      </c>
      <c r="AQ1247" s="201">
        <v>0</v>
      </c>
      <c r="AR1247" s="199"/>
      <c r="AS1247" s="150">
        <f t="shared" si="1090"/>
        <v>0</v>
      </c>
      <c r="AT1247" s="155"/>
      <c r="AU1247" s="156">
        <f t="shared" si="1071"/>
        <v>0</v>
      </c>
      <c r="AV1247" s="156">
        <f t="shared" si="1072"/>
        <v>0</v>
      </c>
      <c r="AW1247" s="157"/>
      <c r="AX1247" s="150">
        <v>0</v>
      </c>
      <c r="AY1247" s="150">
        <v>0</v>
      </c>
      <c r="AZ1247" s="150"/>
      <c r="BA1247" s="150">
        <f t="shared" si="1091"/>
        <v>0</v>
      </c>
      <c r="BB1247" s="210"/>
      <c r="BC1247" s="210"/>
      <c r="BD1247" s="210"/>
      <c r="BE1247" s="210"/>
      <c r="BF1247" s="210"/>
      <c r="BG1247" s="210"/>
      <c r="BH1247" s="217"/>
      <c r="BI1247" s="210"/>
      <c r="BJ1247" s="210"/>
      <c r="BK1247" s="210"/>
      <c r="BL1247" s="210"/>
      <c r="BM1247" s="208"/>
      <c r="BN1247" s="160"/>
      <c r="BO1247" s="161">
        <f t="shared" si="1092"/>
        <v>0</v>
      </c>
      <c r="BP1247" s="161"/>
    </row>
    <row r="1248" spans="1:68" ht="25.5">
      <c r="A1248" s="210"/>
      <c r="B1248" s="195" t="s">
        <v>8074</v>
      </c>
      <c r="C1248" s="196" t="s">
        <v>8075</v>
      </c>
      <c r="D1248" s="146" t="s">
        <v>4692</v>
      </c>
      <c r="E1248" s="196" t="s">
        <v>8075</v>
      </c>
      <c r="F1248" s="150">
        <v>0</v>
      </c>
      <c r="G1248" s="209">
        <v>0</v>
      </c>
      <c r="H1248" s="209"/>
      <c r="I1248" s="209">
        <v>0</v>
      </c>
      <c r="J1248" s="150">
        <v>0</v>
      </c>
      <c r="K1248" s="150">
        <v>0</v>
      </c>
      <c r="L1248" s="150">
        <f t="shared" si="1080"/>
        <v>0</v>
      </c>
      <c r="M1248" s="150">
        <v>0</v>
      </c>
      <c r="N1248" s="150"/>
      <c r="O1248" s="150">
        <v>0</v>
      </c>
      <c r="P1248" s="150">
        <v>0</v>
      </c>
      <c r="Q1248" s="150">
        <v>0</v>
      </c>
      <c r="R1248" s="150">
        <f t="shared" si="1086"/>
        <v>0</v>
      </c>
      <c r="S1248" s="150">
        <f t="shared" si="1079"/>
        <v>0</v>
      </c>
      <c r="T1248" s="150"/>
      <c r="U1248" s="150">
        <v>0</v>
      </c>
      <c r="V1248" s="199"/>
      <c r="W1248" s="150">
        <f t="shared" si="1087"/>
        <v>0</v>
      </c>
      <c r="X1248" s="150">
        <v>0</v>
      </c>
      <c r="Y1248" s="150"/>
      <c r="Z1248" s="150">
        <v>0</v>
      </c>
      <c r="AA1248" s="150">
        <f t="shared" si="1074"/>
        <v>0</v>
      </c>
      <c r="AB1248" s="150">
        <v>0</v>
      </c>
      <c r="AC1248" s="199"/>
      <c r="AD1248" s="150">
        <f t="shared" si="1088"/>
        <v>0</v>
      </c>
      <c r="AE1248" s="150">
        <v>0</v>
      </c>
      <c r="AF1248" s="169" t="s">
        <v>4680</v>
      </c>
      <c r="AG1248" s="201">
        <v>0</v>
      </c>
      <c r="AH1248" s="199"/>
      <c r="AI1248" s="150">
        <v>0</v>
      </c>
      <c r="AJ1248" s="169">
        <f t="shared" si="1075"/>
        <v>0</v>
      </c>
      <c r="AK1248" s="201">
        <v>0</v>
      </c>
      <c r="AL1248" s="199"/>
      <c r="AM1248" s="150">
        <f t="shared" si="1089"/>
        <v>0</v>
      </c>
      <c r="AN1248" s="153">
        <f t="shared" si="1076"/>
        <v>0</v>
      </c>
      <c r="AO1248" s="154">
        <f t="shared" si="1077"/>
        <v>0</v>
      </c>
      <c r="AP1248" s="150">
        <v>0</v>
      </c>
      <c r="AQ1248" s="201">
        <v>0</v>
      </c>
      <c r="AR1248" s="199"/>
      <c r="AS1248" s="150">
        <f t="shared" si="1090"/>
        <v>0</v>
      </c>
      <c r="AT1248" s="155"/>
      <c r="AU1248" s="156">
        <f t="shared" si="1071"/>
        <v>0</v>
      </c>
      <c r="AV1248" s="156">
        <f t="shared" si="1072"/>
        <v>0</v>
      </c>
      <c r="AW1248" s="157"/>
      <c r="AX1248" s="150">
        <v>0</v>
      </c>
      <c r="AY1248" s="150">
        <v>0</v>
      </c>
      <c r="AZ1248" s="150"/>
      <c r="BA1248" s="150">
        <f t="shared" si="1091"/>
        <v>0</v>
      </c>
      <c r="BB1248" s="210"/>
      <c r="BC1248" s="210"/>
      <c r="BD1248" s="210"/>
      <c r="BE1248" s="210"/>
      <c r="BF1248" s="210"/>
      <c r="BG1248" s="210"/>
      <c r="BH1248" s="217"/>
      <c r="BI1248" s="210"/>
      <c r="BJ1248" s="210"/>
      <c r="BK1248" s="210"/>
      <c r="BL1248" s="210"/>
      <c r="BM1248" s="208"/>
      <c r="BN1248" s="160"/>
      <c r="BO1248" s="161">
        <f t="shared" si="1092"/>
        <v>0</v>
      </c>
      <c r="BP1248" s="161"/>
    </row>
    <row r="1249" spans="1:68" ht="25.5">
      <c r="A1249" s="210"/>
      <c r="B1249" s="195" t="s">
        <v>8076</v>
      </c>
      <c r="C1249" s="196" t="s">
        <v>8077</v>
      </c>
      <c r="D1249" s="146" t="s">
        <v>4692</v>
      </c>
      <c r="E1249" s="196" t="s">
        <v>8077</v>
      </c>
      <c r="F1249" s="150">
        <v>0</v>
      </c>
      <c r="G1249" s="209">
        <v>0</v>
      </c>
      <c r="H1249" s="209"/>
      <c r="I1249" s="209">
        <v>0</v>
      </c>
      <c r="J1249" s="150">
        <v>0</v>
      </c>
      <c r="K1249" s="150">
        <v>0</v>
      </c>
      <c r="L1249" s="150">
        <f t="shared" si="1080"/>
        <v>0</v>
      </c>
      <c r="M1249" s="150">
        <v>0</v>
      </c>
      <c r="N1249" s="150"/>
      <c r="O1249" s="150">
        <v>0</v>
      </c>
      <c r="P1249" s="150">
        <v>0</v>
      </c>
      <c r="Q1249" s="150">
        <v>0</v>
      </c>
      <c r="R1249" s="150">
        <f t="shared" si="1086"/>
        <v>0</v>
      </c>
      <c r="S1249" s="150">
        <f t="shared" si="1079"/>
        <v>0</v>
      </c>
      <c r="T1249" s="150"/>
      <c r="U1249" s="150">
        <v>0</v>
      </c>
      <c r="V1249" s="199"/>
      <c r="W1249" s="150">
        <f t="shared" si="1087"/>
        <v>0</v>
      </c>
      <c r="X1249" s="150">
        <v>0</v>
      </c>
      <c r="Y1249" s="150"/>
      <c r="Z1249" s="150">
        <v>0</v>
      </c>
      <c r="AA1249" s="150">
        <f t="shared" si="1074"/>
        <v>0</v>
      </c>
      <c r="AB1249" s="150">
        <v>0</v>
      </c>
      <c r="AC1249" s="199"/>
      <c r="AD1249" s="150">
        <f t="shared" si="1088"/>
        <v>0</v>
      </c>
      <c r="AE1249" s="150">
        <v>0</v>
      </c>
      <c r="AF1249" s="169" t="s">
        <v>4680</v>
      </c>
      <c r="AG1249" s="201">
        <v>0</v>
      </c>
      <c r="AH1249" s="199"/>
      <c r="AI1249" s="150">
        <v>0</v>
      </c>
      <c r="AJ1249" s="169">
        <f t="shared" si="1075"/>
        <v>0</v>
      </c>
      <c r="AK1249" s="201">
        <v>0</v>
      </c>
      <c r="AL1249" s="199"/>
      <c r="AM1249" s="150">
        <f t="shared" si="1089"/>
        <v>0</v>
      </c>
      <c r="AN1249" s="153">
        <f t="shared" si="1076"/>
        <v>0</v>
      </c>
      <c r="AO1249" s="154">
        <f t="shared" si="1077"/>
        <v>0</v>
      </c>
      <c r="AP1249" s="150">
        <v>0</v>
      </c>
      <c r="AQ1249" s="201">
        <v>0</v>
      </c>
      <c r="AR1249" s="199"/>
      <c r="AS1249" s="150">
        <f t="shared" si="1090"/>
        <v>0</v>
      </c>
      <c r="AT1249" s="155"/>
      <c r="AU1249" s="156">
        <f t="shared" si="1071"/>
        <v>0</v>
      </c>
      <c r="AV1249" s="156">
        <f t="shared" si="1072"/>
        <v>0</v>
      </c>
      <c r="AW1249" s="157"/>
      <c r="AX1249" s="150">
        <v>0</v>
      </c>
      <c r="AY1249" s="150">
        <v>0</v>
      </c>
      <c r="AZ1249" s="150"/>
      <c r="BA1249" s="150">
        <f t="shared" si="1091"/>
        <v>0</v>
      </c>
      <c r="BB1249" s="210"/>
      <c r="BC1249" s="210"/>
      <c r="BD1249" s="210"/>
      <c r="BE1249" s="210"/>
      <c r="BF1249" s="210"/>
      <c r="BG1249" s="210"/>
      <c r="BH1249" s="217"/>
      <c r="BI1249" s="210"/>
      <c r="BJ1249" s="210"/>
      <c r="BK1249" s="210"/>
      <c r="BL1249" s="210"/>
      <c r="BM1249" s="208"/>
      <c r="BN1249" s="160"/>
      <c r="BO1249" s="161">
        <f t="shared" si="1092"/>
        <v>0</v>
      </c>
      <c r="BP1249" s="161"/>
    </row>
    <row r="1250" spans="1:68" ht="38.25">
      <c r="A1250" s="210"/>
      <c r="B1250" s="195" t="s">
        <v>8078</v>
      </c>
      <c r="C1250" s="196" t="s">
        <v>8079</v>
      </c>
      <c r="D1250" s="146" t="s">
        <v>4692</v>
      </c>
      <c r="E1250" s="196" t="s">
        <v>8079</v>
      </c>
      <c r="F1250" s="150">
        <v>0</v>
      </c>
      <c r="G1250" s="209">
        <v>0</v>
      </c>
      <c r="H1250" s="209"/>
      <c r="I1250" s="209">
        <v>0</v>
      </c>
      <c r="J1250" s="150">
        <v>0</v>
      </c>
      <c r="K1250" s="150">
        <v>0</v>
      </c>
      <c r="L1250" s="150">
        <f t="shared" si="1080"/>
        <v>0</v>
      </c>
      <c r="M1250" s="150">
        <v>0</v>
      </c>
      <c r="N1250" s="150"/>
      <c r="O1250" s="150">
        <v>0</v>
      </c>
      <c r="P1250" s="150">
        <v>0</v>
      </c>
      <c r="Q1250" s="150">
        <v>0</v>
      </c>
      <c r="R1250" s="150">
        <f t="shared" si="1086"/>
        <v>0</v>
      </c>
      <c r="S1250" s="150">
        <f t="shared" si="1079"/>
        <v>0</v>
      </c>
      <c r="T1250" s="150"/>
      <c r="U1250" s="150">
        <v>0</v>
      </c>
      <c r="V1250" s="199"/>
      <c r="W1250" s="150">
        <f t="shared" si="1087"/>
        <v>0</v>
      </c>
      <c r="X1250" s="150">
        <v>0</v>
      </c>
      <c r="Y1250" s="150"/>
      <c r="Z1250" s="150">
        <v>0</v>
      </c>
      <c r="AA1250" s="150">
        <f t="shared" si="1074"/>
        <v>0</v>
      </c>
      <c r="AB1250" s="150">
        <v>0</v>
      </c>
      <c r="AC1250" s="199"/>
      <c r="AD1250" s="150">
        <f t="shared" si="1088"/>
        <v>0</v>
      </c>
      <c r="AE1250" s="150">
        <v>0</v>
      </c>
      <c r="AF1250" s="169" t="s">
        <v>4680</v>
      </c>
      <c r="AG1250" s="201">
        <v>0</v>
      </c>
      <c r="AH1250" s="199"/>
      <c r="AI1250" s="150">
        <v>0</v>
      </c>
      <c r="AJ1250" s="169">
        <f t="shared" si="1075"/>
        <v>0</v>
      </c>
      <c r="AK1250" s="201">
        <v>0</v>
      </c>
      <c r="AL1250" s="199"/>
      <c r="AM1250" s="150">
        <f t="shared" si="1089"/>
        <v>0</v>
      </c>
      <c r="AN1250" s="153">
        <f t="shared" si="1076"/>
        <v>0</v>
      </c>
      <c r="AO1250" s="154">
        <f t="shared" si="1077"/>
        <v>0</v>
      </c>
      <c r="AP1250" s="150">
        <v>0</v>
      </c>
      <c r="AQ1250" s="201">
        <v>0</v>
      </c>
      <c r="AR1250" s="199"/>
      <c r="AS1250" s="150">
        <f t="shared" si="1090"/>
        <v>0</v>
      </c>
      <c r="AT1250" s="155"/>
      <c r="AU1250" s="156">
        <f t="shared" si="1071"/>
        <v>0</v>
      </c>
      <c r="AV1250" s="156">
        <f t="shared" si="1072"/>
        <v>0</v>
      </c>
      <c r="AW1250" s="157"/>
      <c r="AX1250" s="150">
        <v>0</v>
      </c>
      <c r="AY1250" s="150">
        <v>0</v>
      </c>
      <c r="AZ1250" s="150"/>
      <c r="BA1250" s="150">
        <f t="shared" si="1091"/>
        <v>0</v>
      </c>
      <c r="BB1250" s="210"/>
      <c r="BC1250" s="210"/>
      <c r="BD1250" s="210"/>
      <c r="BE1250" s="210"/>
      <c r="BF1250" s="210"/>
      <c r="BG1250" s="210"/>
      <c r="BH1250" s="217"/>
      <c r="BI1250" s="210"/>
      <c r="BJ1250" s="210"/>
      <c r="BK1250" s="210"/>
      <c r="BL1250" s="210"/>
      <c r="BM1250" s="208"/>
      <c r="BN1250" s="160"/>
      <c r="BO1250" s="161">
        <f t="shared" si="1092"/>
        <v>0</v>
      </c>
      <c r="BP1250" s="161"/>
    </row>
    <row r="1251" spans="1:68" ht="38.25">
      <c r="A1251" s="210"/>
      <c r="B1251" s="195" t="s">
        <v>8080</v>
      </c>
      <c r="C1251" s="196" t="s">
        <v>8081</v>
      </c>
      <c r="D1251" s="146" t="s">
        <v>4692</v>
      </c>
      <c r="E1251" s="196" t="s">
        <v>8081</v>
      </c>
      <c r="F1251" s="150">
        <v>0</v>
      </c>
      <c r="G1251" s="209">
        <v>0</v>
      </c>
      <c r="H1251" s="209"/>
      <c r="I1251" s="209">
        <v>0</v>
      </c>
      <c r="J1251" s="150">
        <v>0</v>
      </c>
      <c r="K1251" s="150">
        <v>0</v>
      </c>
      <c r="L1251" s="150">
        <f t="shared" si="1080"/>
        <v>0</v>
      </c>
      <c r="M1251" s="150">
        <v>0</v>
      </c>
      <c r="N1251" s="150"/>
      <c r="O1251" s="150">
        <v>0</v>
      </c>
      <c r="P1251" s="150">
        <v>0</v>
      </c>
      <c r="Q1251" s="150">
        <v>0</v>
      </c>
      <c r="R1251" s="150">
        <f t="shared" si="1086"/>
        <v>0</v>
      </c>
      <c r="S1251" s="150">
        <f t="shared" si="1079"/>
        <v>0</v>
      </c>
      <c r="T1251" s="150"/>
      <c r="U1251" s="150">
        <v>0</v>
      </c>
      <c r="V1251" s="199"/>
      <c r="W1251" s="150">
        <f t="shared" si="1087"/>
        <v>0</v>
      </c>
      <c r="X1251" s="150">
        <v>0</v>
      </c>
      <c r="Y1251" s="150"/>
      <c r="Z1251" s="150">
        <v>0</v>
      </c>
      <c r="AA1251" s="150">
        <f t="shared" si="1074"/>
        <v>0</v>
      </c>
      <c r="AB1251" s="150">
        <v>0</v>
      </c>
      <c r="AC1251" s="199"/>
      <c r="AD1251" s="150">
        <f t="shared" si="1088"/>
        <v>0</v>
      </c>
      <c r="AE1251" s="150">
        <v>0</v>
      </c>
      <c r="AF1251" s="169" t="s">
        <v>4680</v>
      </c>
      <c r="AG1251" s="201">
        <v>0</v>
      </c>
      <c r="AH1251" s="199"/>
      <c r="AI1251" s="150">
        <v>0</v>
      </c>
      <c r="AJ1251" s="169">
        <f t="shared" si="1075"/>
        <v>0</v>
      </c>
      <c r="AK1251" s="201">
        <v>0</v>
      </c>
      <c r="AL1251" s="199"/>
      <c r="AM1251" s="150">
        <f t="shared" si="1089"/>
        <v>0</v>
      </c>
      <c r="AN1251" s="153">
        <f t="shared" si="1076"/>
        <v>0</v>
      </c>
      <c r="AO1251" s="154">
        <f t="shared" si="1077"/>
        <v>0</v>
      </c>
      <c r="AP1251" s="150">
        <v>0</v>
      </c>
      <c r="AQ1251" s="201">
        <v>0</v>
      </c>
      <c r="AR1251" s="199"/>
      <c r="AS1251" s="150">
        <f t="shared" si="1090"/>
        <v>0</v>
      </c>
      <c r="AT1251" s="155"/>
      <c r="AU1251" s="156">
        <f t="shared" si="1071"/>
        <v>0</v>
      </c>
      <c r="AV1251" s="156">
        <f t="shared" si="1072"/>
        <v>0</v>
      </c>
      <c r="AW1251" s="157"/>
      <c r="AX1251" s="150">
        <v>0</v>
      </c>
      <c r="AY1251" s="150">
        <v>0</v>
      </c>
      <c r="AZ1251" s="150"/>
      <c r="BA1251" s="150">
        <f t="shared" si="1091"/>
        <v>0</v>
      </c>
      <c r="BB1251" s="210"/>
      <c r="BC1251" s="210"/>
      <c r="BD1251" s="210"/>
      <c r="BE1251" s="210"/>
      <c r="BF1251" s="210"/>
      <c r="BG1251" s="210"/>
      <c r="BH1251" s="217"/>
      <c r="BI1251" s="210"/>
      <c r="BJ1251" s="210"/>
      <c r="BK1251" s="210"/>
      <c r="BL1251" s="210"/>
      <c r="BM1251" s="208"/>
      <c r="BN1251" s="160"/>
      <c r="BO1251" s="161">
        <f t="shared" si="1092"/>
        <v>0</v>
      </c>
      <c r="BP1251" s="161"/>
    </row>
    <row r="1252" spans="1:68" ht="38.25">
      <c r="A1252" s="210"/>
      <c r="B1252" s="195" t="s">
        <v>8082</v>
      </c>
      <c r="C1252" s="196" t="s">
        <v>8083</v>
      </c>
      <c r="D1252" s="146" t="s">
        <v>4692</v>
      </c>
      <c r="E1252" s="196" t="s">
        <v>8083</v>
      </c>
      <c r="F1252" s="150">
        <v>0</v>
      </c>
      <c r="G1252" s="209">
        <v>0</v>
      </c>
      <c r="H1252" s="209"/>
      <c r="I1252" s="209">
        <v>0</v>
      </c>
      <c r="J1252" s="150">
        <v>0</v>
      </c>
      <c r="K1252" s="150">
        <v>0</v>
      </c>
      <c r="L1252" s="150">
        <f t="shared" si="1080"/>
        <v>0</v>
      </c>
      <c r="M1252" s="150">
        <v>0</v>
      </c>
      <c r="N1252" s="150"/>
      <c r="O1252" s="150">
        <v>0</v>
      </c>
      <c r="P1252" s="150">
        <v>0</v>
      </c>
      <c r="Q1252" s="150">
        <v>0</v>
      </c>
      <c r="R1252" s="150">
        <f t="shared" si="1086"/>
        <v>0</v>
      </c>
      <c r="S1252" s="150">
        <f t="shared" si="1079"/>
        <v>0</v>
      </c>
      <c r="T1252" s="150"/>
      <c r="U1252" s="150">
        <v>0</v>
      </c>
      <c r="V1252" s="199"/>
      <c r="W1252" s="150">
        <f t="shared" si="1087"/>
        <v>0</v>
      </c>
      <c r="X1252" s="150">
        <v>0</v>
      </c>
      <c r="Y1252" s="150"/>
      <c r="Z1252" s="150">
        <v>0</v>
      </c>
      <c r="AA1252" s="150">
        <f t="shared" si="1074"/>
        <v>0</v>
      </c>
      <c r="AB1252" s="150">
        <v>0</v>
      </c>
      <c r="AC1252" s="199"/>
      <c r="AD1252" s="150">
        <f t="shared" si="1088"/>
        <v>0</v>
      </c>
      <c r="AE1252" s="150">
        <v>0</v>
      </c>
      <c r="AF1252" s="169" t="s">
        <v>4680</v>
      </c>
      <c r="AG1252" s="201">
        <v>0</v>
      </c>
      <c r="AH1252" s="199"/>
      <c r="AI1252" s="150">
        <v>0</v>
      </c>
      <c r="AJ1252" s="169">
        <f t="shared" si="1075"/>
        <v>0</v>
      </c>
      <c r="AK1252" s="201">
        <v>0</v>
      </c>
      <c r="AL1252" s="199"/>
      <c r="AM1252" s="150">
        <f t="shared" si="1089"/>
        <v>0</v>
      </c>
      <c r="AN1252" s="153">
        <f t="shared" si="1076"/>
        <v>0</v>
      </c>
      <c r="AO1252" s="154">
        <f t="shared" si="1077"/>
        <v>0</v>
      </c>
      <c r="AP1252" s="150">
        <v>0</v>
      </c>
      <c r="AQ1252" s="201">
        <v>0</v>
      </c>
      <c r="AR1252" s="199"/>
      <c r="AS1252" s="150">
        <f t="shared" si="1090"/>
        <v>0</v>
      </c>
      <c r="AT1252" s="155"/>
      <c r="AU1252" s="156">
        <f t="shared" si="1071"/>
        <v>0</v>
      </c>
      <c r="AV1252" s="156">
        <f t="shared" si="1072"/>
        <v>0</v>
      </c>
      <c r="AW1252" s="157"/>
      <c r="AX1252" s="150">
        <v>0</v>
      </c>
      <c r="AY1252" s="150">
        <v>0</v>
      </c>
      <c r="AZ1252" s="150"/>
      <c r="BA1252" s="150">
        <f t="shared" si="1091"/>
        <v>0</v>
      </c>
      <c r="BB1252" s="210"/>
      <c r="BC1252" s="210"/>
      <c r="BD1252" s="210"/>
      <c r="BE1252" s="210"/>
      <c r="BF1252" s="210"/>
      <c r="BG1252" s="210"/>
      <c r="BH1252" s="217"/>
      <c r="BI1252" s="210"/>
      <c r="BJ1252" s="210"/>
      <c r="BK1252" s="210"/>
      <c r="BL1252" s="210"/>
      <c r="BM1252" s="208"/>
      <c r="BN1252" s="160"/>
      <c r="BO1252" s="161">
        <f t="shared" si="1092"/>
        <v>0</v>
      </c>
      <c r="BP1252" s="161"/>
    </row>
    <row r="1253" spans="1:68" ht="38.25">
      <c r="A1253" s="210"/>
      <c r="B1253" s="195" t="s">
        <v>8084</v>
      </c>
      <c r="C1253" s="196" t="s">
        <v>8085</v>
      </c>
      <c r="D1253" s="146" t="s">
        <v>4692</v>
      </c>
      <c r="E1253" s="196" t="s">
        <v>8085</v>
      </c>
      <c r="F1253" s="150">
        <v>0</v>
      </c>
      <c r="G1253" s="209">
        <v>0</v>
      </c>
      <c r="H1253" s="209"/>
      <c r="I1253" s="209">
        <v>0</v>
      </c>
      <c r="J1253" s="150">
        <v>0</v>
      </c>
      <c r="K1253" s="150">
        <v>0</v>
      </c>
      <c r="L1253" s="150">
        <f t="shared" si="1080"/>
        <v>0</v>
      </c>
      <c r="M1253" s="150">
        <v>0</v>
      </c>
      <c r="N1253" s="150"/>
      <c r="O1253" s="150">
        <v>0</v>
      </c>
      <c r="P1253" s="150">
        <v>0</v>
      </c>
      <c r="Q1253" s="150">
        <v>0</v>
      </c>
      <c r="R1253" s="150">
        <f t="shared" si="1086"/>
        <v>0</v>
      </c>
      <c r="S1253" s="150">
        <f t="shared" si="1079"/>
        <v>0</v>
      </c>
      <c r="T1253" s="150"/>
      <c r="U1253" s="150">
        <v>0</v>
      </c>
      <c r="V1253" s="199"/>
      <c r="W1253" s="150">
        <f t="shared" si="1087"/>
        <v>0</v>
      </c>
      <c r="X1253" s="150">
        <v>0</v>
      </c>
      <c r="Y1253" s="150"/>
      <c r="Z1253" s="150">
        <v>0</v>
      </c>
      <c r="AA1253" s="150">
        <f t="shared" si="1074"/>
        <v>0</v>
      </c>
      <c r="AB1253" s="150">
        <v>0</v>
      </c>
      <c r="AC1253" s="199"/>
      <c r="AD1253" s="150">
        <f t="shared" si="1088"/>
        <v>0</v>
      </c>
      <c r="AE1253" s="150">
        <v>0</v>
      </c>
      <c r="AF1253" s="169" t="s">
        <v>4680</v>
      </c>
      <c r="AG1253" s="201">
        <v>0</v>
      </c>
      <c r="AH1253" s="199"/>
      <c r="AI1253" s="150">
        <v>0</v>
      </c>
      <c r="AJ1253" s="169">
        <f t="shared" si="1075"/>
        <v>0</v>
      </c>
      <c r="AK1253" s="201">
        <v>0</v>
      </c>
      <c r="AL1253" s="199"/>
      <c r="AM1253" s="150">
        <f t="shared" si="1089"/>
        <v>0</v>
      </c>
      <c r="AN1253" s="153">
        <f t="shared" si="1076"/>
        <v>0</v>
      </c>
      <c r="AO1253" s="154">
        <f t="shared" si="1077"/>
        <v>0</v>
      </c>
      <c r="AP1253" s="150">
        <v>0</v>
      </c>
      <c r="AQ1253" s="201">
        <v>0</v>
      </c>
      <c r="AR1253" s="199"/>
      <c r="AS1253" s="150">
        <f t="shared" si="1090"/>
        <v>0</v>
      </c>
      <c r="AT1253" s="155"/>
      <c r="AU1253" s="156">
        <f t="shared" si="1071"/>
        <v>0</v>
      </c>
      <c r="AV1253" s="156">
        <f t="shared" si="1072"/>
        <v>0</v>
      </c>
      <c r="AW1253" s="157"/>
      <c r="AX1253" s="150">
        <v>0</v>
      </c>
      <c r="AY1253" s="150">
        <v>0</v>
      </c>
      <c r="AZ1253" s="150"/>
      <c r="BA1253" s="150">
        <f t="shared" si="1091"/>
        <v>0</v>
      </c>
      <c r="BB1253" s="210"/>
      <c r="BC1253" s="210"/>
      <c r="BD1253" s="210"/>
      <c r="BE1253" s="210"/>
      <c r="BF1253" s="210"/>
      <c r="BG1253" s="210"/>
      <c r="BH1253" s="217"/>
      <c r="BI1253" s="210"/>
      <c r="BJ1253" s="210"/>
      <c r="BK1253" s="210"/>
      <c r="BL1253" s="210"/>
      <c r="BM1253" s="208"/>
      <c r="BN1253" s="160"/>
      <c r="BO1253" s="161">
        <f t="shared" si="1092"/>
        <v>0</v>
      </c>
      <c r="BP1253" s="161"/>
    </row>
    <row r="1254" spans="1:68" ht="38.25">
      <c r="A1254" s="210"/>
      <c r="B1254" s="195" t="s">
        <v>8086</v>
      </c>
      <c r="C1254" s="196" t="s">
        <v>8087</v>
      </c>
      <c r="D1254" s="146" t="s">
        <v>4692</v>
      </c>
      <c r="E1254" s="196" t="s">
        <v>8087</v>
      </c>
      <c r="F1254" s="150">
        <v>0</v>
      </c>
      <c r="G1254" s="209">
        <v>0</v>
      </c>
      <c r="H1254" s="209"/>
      <c r="I1254" s="209">
        <v>0</v>
      </c>
      <c r="J1254" s="150">
        <v>0</v>
      </c>
      <c r="K1254" s="150">
        <v>0</v>
      </c>
      <c r="L1254" s="150">
        <f t="shared" si="1080"/>
        <v>0</v>
      </c>
      <c r="M1254" s="150">
        <v>0</v>
      </c>
      <c r="N1254" s="150"/>
      <c r="O1254" s="150">
        <v>0</v>
      </c>
      <c r="P1254" s="150">
        <v>0</v>
      </c>
      <c r="Q1254" s="150">
        <v>0</v>
      </c>
      <c r="R1254" s="150">
        <f t="shared" si="1086"/>
        <v>0</v>
      </c>
      <c r="S1254" s="150">
        <f t="shared" si="1079"/>
        <v>0</v>
      </c>
      <c r="T1254" s="150"/>
      <c r="U1254" s="150">
        <v>0</v>
      </c>
      <c r="V1254" s="199"/>
      <c r="W1254" s="150">
        <f t="shared" si="1087"/>
        <v>0</v>
      </c>
      <c r="X1254" s="150">
        <v>0</v>
      </c>
      <c r="Y1254" s="150"/>
      <c r="Z1254" s="150">
        <v>0</v>
      </c>
      <c r="AA1254" s="150">
        <f t="shared" si="1074"/>
        <v>0</v>
      </c>
      <c r="AB1254" s="150">
        <v>0</v>
      </c>
      <c r="AC1254" s="199"/>
      <c r="AD1254" s="150">
        <f t="shared" si="1088"/>
        <v>0</v>
      </c>
      <c r="AE1254" s="150">
        <v>0</v>
      </c>
      <c r="AF1254" s="169" t="s">
        <v>4680</v>
      </c>
      <c r="AG1254" s="201">
        <v>0</v>
      </c>
      <c r="AH1254" s="199"/>
      <c r="AI1254" s="150">
        <v>0</v>
      </c>
      <c r="AJ1254" s="169">
        <f t="shared" si="1075"/>
        <v>0</v>
      </c>
      <c r="AK1254" s="201">
        <v>0</v>
      </c>
      <c r="AL1254" s="199"/>
      <c r="AM1254" s="150">
        <f t="shared" si="1089"/>
        <v>0</v>
      </c>
      <c r="AN1254" s="153">
        <f t="shared" si="1076"/>
        <v>0</v>
      </c>
      <c r="AO1254" s="154">
        <f t="shared" si="1077"/>
        <v>0</v>
      </c>
      <c r="AP1254" s="150">
        <v>0</v>
      </c>
      <c r="AQ1254" s="201">
        <v>0</v>
      </c>
      <c r="AR1254" s="199"/>
      <c r="AS1254" s="150">
        <f t="shared" si="1090"/>
        <v>0</v>
      </c>
      <c r="AT1254" s="155"/>
      <c r="AU1254" s="156">
        <f t="shared" si="1071"/>
        <v>0</v>
      </c>
      <c r="AV1254" s="156">
        <f t="shared" si="1072"/>
        <v>0</v>
      </c>
      <c r="AW1254" s="157"/>
      <c r="AX1254" s="150">
        <v>0</v>
      </c>
      <c r="AY1254" s="150">
        <v>0</v>
      </c>
      <c r="AZ1254" s="150"/>
      <c r="BA1254" s="150">
        <f t="shared" si="1091"/>
        <v>0</v>
      </c>
      <c r="BB1254" s="210"/>
      <c r="BC1254" s="210"/>
      <c r="BD1254" s="210"/>
      <c r="BE1254" s="210"/>
      <c r="BF1254" s="210"/>
      <c r="BG1254" s="210"/>
      <c r="BH1254" s="217"/>
      <c r="BI1254" s="210"/>
      <c r="BJ1254" s="210"/>
      <c r="BK1254" s="210"/>
      <c r="BL1254" s="210"/>
      <c r="BM1254" s="208"/>
      <c r="BN1254" s="160"/>
      <c r="BO1254" s="161">
        <f t="shared" si="1092"/>
        <v>0</v>
      </c>
      <c r="BP1254" s="161"/>
    </row>
    <row r="1255" spans="1:68" ht="38.25">
      <c r="A1255" s="210"/>
      <c r="B1255" s="195" t="s">
        <v>8088</v>
      </c>
      <c r="C1255" s="196" t="s">
        <v>8089</v>
      </c>
      <c r="D1255" s="146" t="s">
        <v>4692</v>
      </c>
      <c r="E1255" s="196" t="s">
        <v>8089</v>
      </c>
      <c r="F1255" s="150">
        <v>0</v>
      </c>
      <c r="G1255" s="209">
        <v>0</v>
      </c>
      <c r="H1255" s="209"/>
      <c r="I1255" s="209">
        <v>0</v>
      </c>
      <c r="J1255" s="150">
        <v>0</v>
      </c>
      <c r="K1255" s="150">
        <v>0</v>
      </c>
      <c r="L1255" s="150">
        <f t="shared" si="1080"/>
        <v>0</v>
      </c>
      <c r="M1255" s="150">
        <v>0</v>
      </c>
      <c r="N1255" s="150"/>
      <c r="O1255" s="150">
        <v>0</v>
      </c>
      <c r="P1255" s="150">
        <v>0</v>
      </c>
      <c r="Q1255" s="150">
        <v>0</v>
      </c>
      <c r="R1255" s="150">
        <f t="shared" si="1086"/>
        <v>0</v>
      </c>
      <c r="S1255" s="150">
        <f t="shared" si="1079"/>
        <v>0</v>
      </c>
      <c r="T1255" s="150"/>
      <c r="U1255" s="150">
        <v>0</v>
      </c>
      <c r="V1255" s="199"/>
      <c r="W1255" s="150">
        <f t="shared" si="1087"/>
        <v>0</v>
      </c>
      <c r="X1255" s="150">
        <v>0</v>
      </c>
      <c r="Y1255" s="150"/>
      <c r="Z1255" s="150">
        <v>0</v>
      </c>
      <c r="AA1255" s="150">
        <f t="shared" si="1074"/>
        <v>0</v>
      </c>
      <c r="AB1255" s="150">
        <v>0</v>
      </c>
      <c r="AC1255" s="199"/>
      <c r="AD1255" s="150">
        <f t="shared" si="1088"/>
        <v>0</v>
      </c>
      <c r="AE1255" s="150">
        <v>0</v>
      </c>
      <c r="AF1255" s="169" t="s">
        <v>4680</v>
      </c>
      <c r="AG1255" s="201">
        <v>0</v>
      </c>
      <c r="AH1255" s="199"/>
      <c r="AI1255" s="150">
        <v>0</v>
      </c>
      <c r="AJ1255" s="169">
        <f t="shared" si="1075"/>
        <v>0</v>
      </c>
      <c r="AK1255" s="201">
        <v>0</v>
      </c>
      <c r="AL1255" s="199"/>
      <c r="AM1255" s="150">
        <f t="shared" si="1089"/>
        <v>0</v>
      </c>
      <c r="AN1255" s="153">
        <f t="shared" si="1076"/>
        <v>0</v>
      </c>
      <c r="AO1255" s="154">
        <f t="shared" si="1077"/>
        <v>0</v>
      </c>
      <c r="AP1255" s="150">
        <v>0</v>
      </c>
      <c r="AQ1255" s="201">
        <v>0</v>
      </c>
      <c r="AR1255" s="199"/>
      <c r="AS1255" s="150">
        <f t="shared" si="1090"/>
        <v>0</v>
      </c>
      <c r="AT1255" s="155"/>
      <c r="AU1255" s="156">
        <f t="shared" si="1071"/>
        <v>0</v>
      </c>
      <c r="AV1255" s="156">
        <f t="shared" si="1072"/>
        <v>0</v>
      </c>
      <c r="AW1255" s="157"/>
      <c r="AX1255" s="150">
        <v>0</v>
      </c>
      <c r="AY1255" s="150">
        <v>0</v>
      </c>
      <c r="AZ1255" s="150"/>
      <c r="BA1255" s="150">
        <f t="shared" si="1091"/>
        <v>0</v>
      </c>
      <c r="BB1255" s="210"/>
      <c r="BC1255" s="210"/>
      <c r="BD1255" s="210"/>
      <c r="BE1255" s="210"/>
      <c r="BF1255" s="210"/>
      <c r="BG1255" s="210"/>
      <c r="BH1255" s="217"/>
      <c r="BI1255" s="210"/>
      <c r="BJ1255" s="210"/>
      <c r="BK1255" s="210"/>
      <c r="BL1255" s="210"/>
      <c r="BM1255" s="208"/>
      <c r="BN1255" s="160"/>
      <c r="BO1255" s="161">
        <f t="shared" si="1092"/>
        <v>0</v>
      </c>
      <c r="BP1255" s="161"/>
    </row>
    <row r="1256" spans="1:68" ht="38.25">
      <c r="A1256" s="210"/>
      <c r="B1256" s="195" t="s">
        <v>8090</v>
      </c>
      <c r="C1256" s="196" t="s">
        <v>8091</v>
      </c>
      <c r="D1256" s="146" t="s">
        <v>4692</v>
      </c>
      <c r="E1256" s="196" t="s">
        <v>8091</v>
      </c>
      <c r="F1256" s="150">
        <v>0</v>
      </c>
      <c r="G1256" s="209">
        <v>0</v>
      </c>
      <c r="H1256" s="209"/>
      <c r="I1256" s="209">
        <v>0</v>
      </c>
      <c r="J1256" s="150">
        <v>0</v>
      </c>
      <c r="K1256" s="150">
        <v>0</v>
      </c>
      <c r="L1256" s="150">
        <f t="shared" si="1080"/>
        <v>0</v>
      </c>
      <c r="M1256" s="150">
        <v>0</v>
      </c>
      <c r="N1256" s="150"/>
      <c r="O1256" s="150">
        <v>0</v>
      </c>
      <c r="P1256" s="150">
        <v>0</v>
      </c>
      <c r="Q1256" s="150">
        <v>0</v>
      </c>
      <c r="R1256" s="150">
        <f t="shared" si="1086"/>
        <v>0</v>
      </c>
      <c r="S1256" s="150">
        <f t="shared" si="1079"/>
        <v>0</v>
      </c>
      <c r="T1256" s="150"/>
      <c r="U1256" s="150">
        <v>0</v>
      </c>
      <c r="V1256" s="199"/>
      <c r="W1256" s="150">
        <f t="shared" si="1087"/>
        <v>0</v>
      </c>
      <c r="X1256" s="150">
        <v>0</v>
      </c>
      <c r="Y1256" s="150"/>
      <c r="Z1256" s="150">
        <v>0</v>
      </c>
      <c r="AA1256" s="150">
        <f t="shared" si="1074"/>
        <v>0</v>
      </c>
      <c r="AB1256" s="150">
        <v>0</v>
      </c>
      <c r="AC1256" s="199"/>
      <c r="AD1256" s="150">
        <f t="shared" si="1088"/>
        <v>0</v>
      </c>
      <c r="AE1256" s="150">
        <v>0</v>
      </c>
      <c r="AF1256" s="169" t="s">
        <v>4680</v>
      </c>
      <c r="AG1256" s="201">
        <v>0</v>
      </c>
      <c r="AH1256" s="199"/>
      <c r="AI1256" s="150">
        <v>0</v>
      </c>
      <c r="AJ1256" s="169">
        <f t="shared" si="1075"/>
        <v>0</v>
      </c>
      <c r="AK1256" s="201">
        <v>0</v>
      </c>
      <c r="AL1256" s="199"/>
      <c r="AM1256" s="150">
        <f t="shared" si="1089"/>
        <v>0</v>
      </c>
      <c r="AN1256" s="153">
        <f t="shared" si="1076"/>
        <v>0</v>
      </c>
      <c r="AO1256" s="154">
        <f t="shared" si="1077"/>
        <v>0</v>
      </c>
      <c r="AP1256" s="150">
        <v>0</v>
      </c>
      <c r="AQ1256" s="201">
        <v>0</v>
      </c>
      <c r="AR1256" s="199"/>
      <c r="AS1256" s="150">
        <f t="shared" si="1090"/>
        <v>0</v>
      </c>
      <c r="AT1256" s="155"/>
      <c r="AU1256" s="156">
        <f t="shared" si="1071"/>
        <v>0</v>
      </c>
      <c r="AV1256" s="156">
        <f t="shared" si="1072"/>
        <v>0</v>
      </c>
      <c r="AW1256" s="157"/>
      <c r="AX1256" s="150">
        <v>0</v>
      </c>
      <c r="AY1256" s="150">
        <v>0</v>
      </c>
      <c r="AZ1256" s="150"/>
      <c r="BA1256" s="150">
        <f t="shared" si="1091"/>
        <v>0</v>
      </c>
      <c r="BB1256" s="210"/>
      <c r="BC1256" s="210"/>
      <c r="BD1256" s="210"/>
      <c r="BE1256" s="210"/>
      <c r="BF1256" s="210"/>
      <c r="BG1256" s="210"/>
      <c r="BH1256" s="217"/>
      <c r="BI1256" s="210"/>
      <c r="BJ1256" s="210"/>
      <c r="BK1256" s="210"/>
      <c r="BL1256" s="210"/>
      <c r="BM1256" s="208"/>
      <c r="BN1256" s="160"/>
      <c r="BO1256" s="161">
        <f t="shared" si="1092"/>
        <v>0</v>
      </c>
      <c r="BP1256" s="161"/>
    </row>
    <row r="1257" spans="1:68" ht="38.25">
      <c r="A1257" s="210"/>
      <c r="B1257" s="195" t="s">
        <v>8092</v>
      </c>
      <c r="C1257" s="196" t="s">
        <v>8093</v>
      </c>
      <c r="D1257" s="146" t="s">
        <v>4692</v>
      </c>
      <c r="E1257" s="196" t="s">
        <v>8093</v>
      </c>
      <c r="F1257" s="150">
        <v>0</v>
      </c>
      <c r="G1257" s="209">
        <v>7399019.3399999999</v>
      </c>
      <c r="H1257" s="209">
        <v>1287791.1415899999</v>
      </c>
      <c r="I1257" s="209">
        <v>8686810.481589999</v>
      </c>
      <c r="J1257" s="150">
        <v>0</v>
      </c>
      <c r="K1257" s="150">
        <v>0</v>
      </c>
      <c r="L1257" s="150">
        <f t="shared" si="1080"/>
        <v>0</v>
      </c>
      <c r="M1257" s="150">
        <v>0</v>
      </c>
      <c r="N1257" s="150"/>
      <c r="O1257" s="150">
        <v>0</v>
      </c>
      <c r="P1257" s="150">
        <v>0</v>
      </c>
      <c r="Q1257" s="150">
        <v>0</v>
      </c>
      <c r="R1257" s="150">
        <f t="shared" si="1086"/>
        <v>0</v>
      </c>
      <c r="S1257" s="150">
        <f t="shared" si="1079"/>
        <v>0</v>
      </c>
      <c r="T1257" s="150"/>
      <c r="U1257" s="150">
        <v>0</v>
      </c>
      <c r="V1257" s="199"/>
      <c r="W1257" s="150">
        <f t="shared" si="1087"/>
        <v>0</v>
      </c>
      <c r="X1257" s="150">
        <v>0</v>
      </c>
      <c r="Y1257" s="150"/>
      <c r="Z1257" s="150">
        <v>0</v>
      </c>
      <c r="AA1257" s="150">
        <f t="shared" si="1074"/>
        <v>0</v>
      </c>
      <c r="AB1257" s="150">
        <v>0</v>
      </c>
      <c r="AC1257" s="199"/>
      <c r="AD1257" s="150">
        <f t="shared" si="1088"/>
        <v>0</v>
      </c>
      <c r="AE1257" s="150">
        <v>0</v>
      </c>
      <c r="AF1257" s="169" t="s">
        <v>4680</v>
      </c>
      <c r="AG1257" s="201">
        <v>0</v>
      </c>
      <c r="AH1257" s="199"/>
      <c r="AI1257" s="150">
        <v>0</v>
      </c>
      <c r="AJ1257" s="169">
        <f t="shared" si="1075"/>
        <v>0</v>
      </c>
      <c r="AK1257" s="201">
        <v>0</v>
      </c>
      <c r="AL1257" s="199"/>
      <c r="AM1257" s="150">
        <f t="shared" si="1089"/>
        <v>0</v>
      </c>
      <c r="AN1257" s="153">
        <f t="shared" si="1076"/>
        <v>0</v>
      </c>
      <c r="AO1257" s="154">
        <f t="shared" si="1077"/>
        <v>0</v>
      </c>
      <c r="AP1257" s="150">
        <v>0</v>
      </c>
      <c r="AQ1257" s="201">
        <v>0</v>
      </c>
      <c r="AR1257" s="199"/>
      <c r="AS1257" s="150">
        <f t="shared" si="1090"/>
        <v>0</v>
      </c>
      <c r="AT1257" s="155"/>
      <c r="AU1257" s="156">
        <f t="shared" si="1071"/>
        <v>0</v>
      </c>
      <c r="AV1257" s="156">
        <f t="shared" si="1072"/>
        <v>0</v>
      </c>
      <c r="AW1257" s="157"/>
      <c r="AX1257" s="150">
        <v>0</v>
      </c>
      <c r="AY1257" s="150">
        <v>0</v>
      </c>
      <c r="AZ1257" s="150"/>
      <c r="BA1257" s="150">
        <f t="shared" si="1091"/>
        <v>0</v>
      </c>
      <c r="BB1257" s="210"/>
      <c r="BC1257" s="210"/>
      <c r="BD1257" s="210"/>
      <c r="BE1257" s="210"/>
      <c r="BF1257" s="210"/>
      <c r="BG1257" s="210"/>
      <c r="BH1257" s="217"/>
      <c r="BI1257" s="210"/>
      <c r="BJ1257" s="210"/>
      <c r="BK1257" s="210"/>
      <c r="BL1257" s="210"/>
      <c r="BM1257" s="208"/>
      <c r="BN1257" s="160"/>
      <c r="BO1257" s="161">
        <f t="shared" si="1092"/>
        <v>0</v>
      </c>
      <c r="BP1257" s="161"/>
    </row>
    <row r="1258" spans="1:68" ht="38.25">
      <c r="A1258" s="262" t="s">
        <v>565</v>
      </c>
      <c r="B1258" s="163"/>
      <c r="C1258" s="164" t="s">
        <v>8094</v>
      </c>
      <c r="D1258" s="146" t="s">
        <v>4692</v>
      </c>
      <c r="E1258" s="164" t="s">
        <v>8094</v>
      </c>
      <c r="F1258" s="165">
        <v>8745166.0199999996</v>
      </c>
      <c r="G1258" s="166">
        <v>1727528.75</v>
      </c>
      <c r="H1258" s="166">
        <v>-2.7000000001862645E-2</v>
      </c>
      <c r="I1258" s="166">
        <v>1727528.723</v>
      </c>
      <c r="J1258" s="165">
        <f>J1259+J1265+J1272+J1279+J1282+J1286</f>
        <v>596969.44999999995</v>
      </c>
      <c r="K1258" s="165">
        <f>K1259+K1265+K1272+K1279+K1282+K1286</f>
        <v>881257.34918000014</v>
      </c>
      <c r="L1258" s="165">
        <f t="shared" si="1080"/>
        <v>1478226.7991800001</v>
      </c>
      <c r="M1258" s="167">
        <v>2651894.41</v>
      </c>
      <c r="N1258" s="167">
        <v>1724835.9</v>
      </c>
      <c r="O1258" s="167">
        <v>4376730.3100000005</v>
      </c>
      <c r="P1258" s="232">
        <f t="shared" ref="P1258:R1258" si="1093">P1259+P1265+P1272+P1279+P1282+P1286</f>
        <v>4574154.7699999996</v>
      </c>
      <c r="Q1258" s="232">
        <f t="shared" si="1093"/>
        <v>0</v>
      </c>
      <c r="R1258" s="232">
        <f t="shared" si="1093"/>
        <v>4574154.7699999996</v>
      </c>
      <c r="S1258" s="150">
        <f t="shared" si="1079"/>
        <v>6098873.0266666664</v>
      </c>
      <c r="T1258" s="213"/>
      <c r="U1258" s="232">
        <f t="shared" ref="U1258:W1258" si="1094">U1259+U1265+U1272+U1279+U1282+U1286</f>
        <v>7467061.3899999997</v>
      </c>
      <c r="V1258" s="233">
        <f t="shared" si="1094"/>
        <v>66104.820180000272</v>
      </c>
      <c r="W1258" s="232">
        <f t="shared" si="1094"/>
        <v>7533166.2101799995</v>
      </c>
      <c r="X1258" s="232">
        <v>7467061.3899999997</v>
      </c>
      <c r="Y1258" s="232">
        <v>66104.820180000272</v>
      </c>
      <c r="Z1258" s="232">
        <v>7533166.2101799995</v>
      </c>
      <c r="AA1258" s="232">
        <f t="shared" si="1074"/>
        <v>0</v>
      </c>
      <c r="AB1258" s="232">
        <v>7529985.0599999996</v>
      </c>
      <c r="AC1258" s="233">
        <v>3181.1501800003462</v>
      </c>
      <c r="AD1258" s="232">
        <f t="shared" ref="AD1258" si="1095">AD1259+AD1265+AD1272+AD1279+AD1282+AD1286</f>
        <v>7533166.2101799995</v>
      </c>
      <c r="AE1258" s="232">
        <v>7533166.2101799995</v>
      </c>
      <c r="AF1258" s="169" t="s">
        <v>4680</v>
      </c>
      <c r="AG1258" s="234">
        <v>7529985.0599999996</v>
      </c>
      <c r="AH1258" s="233">
        <v>-835159.67981999961</v>
      </c>
      <c r="AI1258" s="232">
        <v>6694825.3801799994</v>
      </c>
      <c r="AJ1258" s="169">
        <f t="shared" si="1075"/>
        <v>0</v>
      </c>
      <c r="AK1258" s="234">
        <v>6691644.2299999995</v>
      </c>
      <c r="AL1258" s="233">
        <v>3181.1501800003462</v>
      </c>
      <c r="AM1258" s="232">
        <f t="shared" ref="AM1258" si="1096">AM1259+AM1265+AM1272+AM1279+AM1282+AM1286</f>
        <v>6694825.3801799994</v>
      </c>
      <c r="AN1258" s="153">
        <f t="shared" si="1076"/>
        <v>35041.869820000604</v>
      </c>
      <c r="AO1258" s="154">
        <f t="shared" si="1077"/>
        <v>35041.869820000604</v>
      </c>
      <c r="AP1258" s="232">
        <v>6694825.3801799994</v>
      </c>
      <c r="AQ1258" s="234">
        <v>6729867.25</v>
      </c>
      <c r="AR1258" s="233">
        <f t="shared" ref="AR1258:AS1258" si="1097">AR1259+AR1265+AR1272+AR1279+AR1282+AR1286</f>
        <v>0</v>
      </c>
      <c r="AS1258" s="232">
        <f t="shared" si="1097"/>
        <v>6729867.25</v>
      </c>
      <c r="AT1258" s="155"/>
      <c r="AU1258" s="156">
        <f t="shared" si="1071"/>
        <v>-838340.83000000007</v>
      </c>
      <c r="AV1258" s="156">
        <f t="shared" si="1072"/>
        <v>0</v>
      </c>
      <c r="AW1258" s="157"/>
      <c r="AX1258" s="150">
        <v>7533166.2101799995</v>
      </c>
      <c r="AY1258" s="232">
        <f t="shared" ref="AY1258:BA1258" si="1098">AY1259+AY1265+AY1272+AY1279+AY1282+AY1286</f>
        <v>3650161.87</v>
      </c>
      <c r="AZ1258" s="232">
        <f t="shared" si="1098"/>
        <v>4341362.1449999996</v>
      </c>
      <c r="BA1258" s="232">
        <f t="shared" si="1098"/>
        <v>7991524.0149999997</v>
      </c>
      <c r="BB1258" s="263">
        <v>5</v>
      </c>
      <c r="BC1258" s="262" t="s">
        <v>671</v>
      </c>
      <c r="BD1258" s="262" t="s">
        <v>630</v>
      </c>
      <c r="BE1258" s="162" t="s">
        <v>630</v>
      </c>
      <c r="BF1258" s="262" t="s">
        <v>630</v>
      </c>
      <c r="BG1258" s="164" t="s">
        <v>8094</v>
      </c>
      <c r="BH1258" s="235">
        <f>BH1259+BH1265+BH1272+BH1279+BH1282+BH1286</f>
        <v>6729867.25</v>
      </c>
      <c r="BI1258" s="263"/>
      <c r="BJ1258" s="262" t="s">
        <v>8095</v>
      </c>
      <c r="BK1258" s="262" t="s">
        <v>565</v>
      </c>
      <c r="BL1258" s="172" t="s">
        <v>8096</v>
      </c>
      <c r="BM1258" s="235">
        <f>BM1259+BM1265+BM1272+BM1279+BM1282+BM1286</f>
        <v>6729867.25</v>
      </c>
      <c r="BN1258" s="160"/>
      <c r="BO1258" s="161">
        <f t="shared" si="1092"/>
        <v>0</v>
      </c>
      <c r="BP1258" s="161"/>
    </row>
    <row r="1259" spans="1:68" ht="38.25">
      <c r="A1259" s="255" t="s">
        <v>464</v>
      </c>
      <c r="B1259" s="174"/>
      <c r="C1259" s="175" t="s">
        <v>71</v>
      </c>
      <c r="D1259" s="146" t="s">
        <v>4692</v>
      </c>
      <c r="E1259" s="175" t="s">
        <v>71</v>
      </c>
      <c r="F1259" s="176">
        <v>1727528.75</v>
      </c>
      <c r="G1259" s="177">
        <v>1727528.75</v>
      </c>
      <c r="H1259" s="177">
        <v>-2.7000000001862645E-2</v>
      </c>
      <c r="I1259" s="177">
        <v>1727528.723</v>
      </c>
      <c r="J1259" s="176">
        <f>J1260</f>
        <v>524873.48</v>
      </c>
      <c r="K1259" s="176">
        <f>K1260</f>
        <v>0</v>
      </c>
      <c r="L1259" s="176">
        <f t="shared" si="1080"/>
        <v>524873.48</v>
      </c>
      <c r="M1259" s="178">
        <v>829665.13</v>
      </c>
      <c r="N1259" s="178">
        <v>34192.614999999991</v>
      </c>
      <c r="O1259" s="178">
        <v>863857.745</v>
      </c>
      <c r="P1259" s="221">
        <f t="shared" ref="P1259:AS1259" si="1099">P1260</f>
        <v>829665.13</v>
      </c>
      <c r="Q1259" s="221">
        <f t="shared" si="1099"/>
        <v>0</v>
      </c>
      <c r="R1259" s="221">
        <f t="shared" si="1099"/>
        <v>829665.13</v>
      </c>
      <c r="S1259" s="150">
        <f t="shared" si="1079"/>
        <v>1106220.1733333333</v>
      </c>
      <c r="T1259" s="213"/>
      <c r="U1259" s="221">
        <f t="shared" ref="U1259:W1259" si="1100">U1260</f>
        <v>1050897.6200000001</v>
      </c>
      <c r="V1259" s="222">
        <f t="shared" si="1100"/>
        <v>0</v>
      </c>
      <c r="W1259" s="221">
        <f t="shared" si="1100"/>
        <v>1050897.6200000001</v>
      </c>
      <c r="X1259" s="221">
        <v>1050897.6200000001</v>
      </c>
      <c r="Y1259" s="221">
        <v>0</v>
      </c>
      <c r="Z1259" s="221">
        <v>1050897.6200000001</v>
      </c>
      <c r="AA1259" s="221">
        <f t="shared" si="1074"/>
        <v>0</v>
      </c>
      <c r="AB1259" s="221">
        <v>1050897.6200000001</v>
      </c>
      <c r="AC1259" s="222">
        <v>0</v>
      </c>
      <c r="AD1259" s="221">
        <f t="shared" si="1099"/>
        <v>1050897.6200000001</v>
      </c>
      <c r="AE1259" s="221">
        <v>1050897.6200000001</v>
      </c>
      <c r="AF1259" s="169" t="s">
        <v>4680</v>
      </c>
      <c r="AG1259" s="223">
        <v>1050897.6200000001</v>
      </c>
      <c r="AH1259" s="222">
        <v>-838340.83</v>
      </c>
      <c r="AI1259" s="221">
        <v>212556.79000000004</v>
      </c>
      <c r="AJ1259" s="169">
        <f t="shared" si="1075"/>
        <v>0</v>
      </c>
      <c r="AK1259" s="223">
        <v>212556.79</v>
      </c>
      <c r="AL1259" s="222">
        <v>0</v>
      </c>
      <c r="AM1259" s="221">
        <f t="shared" si="1099"/>
        <v>212556.79</v>
      </c>
      <c r="AN1259" s="153">
        <f t="shared" si="1076"/>
        <v>0</v>
      </c>
      <c r="AO1259" s="154">
        <f t="shared" si="1077"/>
        <v>0</v>
      </c>
      <c r="AP1259" s="221">
        <v>212556.79</v>
      </c>
      <c r="AQ1259" s="223">
        <v>212556.79</v>
      </c>
      <c r="AR1259" s="222">
        <f t="shared" si="1099"/>
        <v>0</v>
      </c>
      <c r="AS1259" s="221">
        <f t="shared" si="1099"/>
        <v>212556.79</v>
      </c>
      <c r="AT1259" s="155"/>
      <c r="AU1259" s="156">
        <f t="shared" si="1071"/>
        <v>-838340.83000000007</v>
      </c>
      <c r="AV1259" s="156">
        <f t="shared" si="1072"/>
        <v>0</v>
      </c>
      <c r="AW1259" s="157"/>
      <c r="AX1259" s="150">
        <v>1050897.6200000001</v>
      </c>
      <c r="AY1259" s="221">
        <f t="shared" ref="AY1259:BA1259" si="1101">AY1260</f>
        <v>829665.13</v>
      </c>
      <c r="AZ1259" s="221">
        <f t="shared" si="1101"/>
        <v>714428.24</v>
      </c>
      <c r="BA1259" s="221">
        <f t="shared" si="1101"/>
        <v>1544093.37</v>
      </c>
      <c r="BB1259" s="254">
        <v>5</v>
      </c>
      <c r="BC1259" s="255" t="s">
        <v>671</v>
      </c>
      <c r="BD1259" s="255" t="s">
        <v>632</v>
      </c>
      <c r="BE1259" s="173" t="s">
        <v>630</v>
      </c>
      <c r="BF1259" s="255" t="s">
        <v>630</v>
      </c>
      <c r="BG1259" s="175" t="s">
        <v>71</v>
      </c>
      <c r="BH1259" s="224">
        <f>BH1260</f>
        <v>212556.79</v>
      </c>
      <c r="BI1259" s="254"/>
      <c r="BJ1259" s="255" t="s">
        <v>8097</v>
      </c>
      <c r="BK1259" s="255" t="s">
        <v>464</v>
      </c>
      <c r="BL1259" s="182" t="s">
        <v>8098</v>
      </c>
      <c r="BM1259" s="224">
        <f>BM1260</f>
        <v>212556.79</v>
      </c>
      <c r="BN1259" s="160"/>
      <c r="BO1259" s="161">
        <f t="shared" si="1092"/>
        <v>0</v>
      </c>
      <c r="BP1259" s="161"/>
    </row>
    <row r="1260" spans="1:68" ht="38.25">
      <c r="A1260" s="256" t="s">
        <v>464</v>
      </c>
      <c r="B1260" s="184"/>
      <c r="C1260" s="185" t="s">
        <v>71</v>
      </c>
      <c r="D1260" s="146" t="s">
        <v>4692</v>
      </c>
      <c r="E1260" s="185" t="s">
        <v>71</v>
      </c>
      <c r="F1260" s="188">
        <v>1727528.75</v>
      </c>
      <c r="G1260" s="187">
        <v>0</v>
      </c>
      <c r="H1260" s="187"/>
      <c r="I1260" s="187">
        <v>0</v>
      </c>
      <c r="J1260" s="188">
        <f>SUM(J1261:J1264)</f>
        <v>524873.48</v>
      </c>
      <c r="K1260" s="188">
        <f>SUM(K1261:K1264)</f>
        <v>0</v>
      </c>
      <c r="L1260" s="188">
        <f t="shared" si="1080"/>
        <v>524873.48</v>
      </c>
      <c r="M1260" s="188">
        <v>829665.13</v>
      </c>
      <c r="N1260" s="188">
        <v>34192.614999999991</v>
      </c>
      <c r="O1260" s="188">
        <v>863857.745</v>
      </c>
      <c r="P1260" s="299">
        <f t="shared" ref="P1260:R1260" si="1102">SUM(P1261:P1264)</f>
        <v>829665.13</v>
      </c>
      <c r="Q1260" s="299">
        <f t="shared" si="1102"/>
        <v>0</v>
      </c>
      <c r="R1260" s="299">
        <f t="shared" si="1102"/>
        <v>829665.13</v>
      </c>
      <c r="S1260" s="150">
        <f t="shared" si="1079"/>
        <v>1106220.1733333333</v>
      </c>
      <c r="T1260" s="213"/>
      <c r="U1260" s="299">
        <f t="shared" ref="U1260:W1260" si="1103">SUM(U1261:U1264)</f>
        <v>1050897.6200000001</v>
      </c>
      <c r="V1260" s="226">
        <f t="shared" si="1103"/>
        <v>0</v>
      </c>
      <c r="W1260" s="299">
        <f t="shared" si="1103"/>
        <v>1050897.6200000001</v>
      </c>
      <c r="X1260" s="299">
        <v>1050897.6200000001</v>
      </c>
      <c r="Y1260" s="299">
        <v>0</v>
      </c>
      <c r="Z1260" s="299">
        <v>1050897.6200000001</v>
      </c>
      <c r="AA1260" s="299">
        <f t="shared" si="1074"/>
        <v>0</v>
      </c>
      <c r="AB1260" s="299">
        <v>1050897.6200000001</v>
      </c>
      <c r="AC1260" s="226">
        <v>0</v>
      </c>
      <c r="AD1260" s="299">
        <f t="shared" ref="AD1260" si="1104">SUM(AD1261:AD1264)</f>
        <v>1050897.6200000001</v>
      </c>
      <c r="AE1260" s="299">
        <v>1050897.6200000001</v>
      </c>
      <c r="AF1260" s="169" t="s">
        <v>4680</v>
      </c>
      <c r="AG1260" s="301">
        <v>1050897.6200000001</v>
      </c>
      <c r="AH1260" s="226">
        <v>-838340.83</v>
      </c>
      <c r="AI1260" s="299">
        <v>212556.79000000004</v>
      </c>
      <c r="AJ1260" s="169">
        <f t="shared" si="1075"/>
        <v>0</v>
      </c>
      <c r="AK1260" s="301">
        <v>212556.79</v>
      </c>
      <c r="AL1260" s="226">
        <v>0</v>
      </c>
      <c r="AM1260" s="299">
        <f t="shared" ref="AM1260" si="1105">SUM(AM1261:AM1264)</f>
        <v>212556.79</v>
      </c>
      <c r="AN1260" s="153">
        <f t="shared" si="1076"/>
        <v>0</v>
      </c>
      <c r="AO1260" s="154">
        <f t="shared" si="1077"/>
        <v>0</v>
      </c>
      <c r="AP1260" s="299">
        <v>212556.79</v>
      </c>
      <c r="AQ1260" s="301">
        <v>212556.79</v>
      </c>
      <c r="AR1260" s="226">
        <f t="shared" ref="AR1260:AS1260" si="1106">SUM(AR1261:AR1264)</f>
        <v>0</v>
      </c>
      <c r="AS1260" s="299">
        <f t="shared" si="1106"/>
        <v>212556.79</v>
      </c>
      <c r="AT1260" s="155"/>
      <c r="AU1260" s="156">
        <f t="shared" si="1071"/>
        <v>-838340.83000000007</v>
      </c>
      <c r="AV1260" s="156">
        <f t="shared" si="1072"/>
        <v>0</v>
      </c>
      <c r="AW1260" s="157"/>
      <c r="AX1260" s="150">
        <v>1050897.6200000001</v>
      </c>
      <c r="AY1260" s="299">
        <f t="shared" ref="AY1260:BA1260" si="1107">SUM(AY1261:AY1264)</f>
        <v>829665.13</v>
      </c>
      <c r="AZ1260" s="299">
        <f t="shared" si="1107"/>
        <v>714428.24</v>
      </c>
      <c r="BA1260" s="299">
        <f t="shared" si="1107"/>
        <v>1544093.37</v>
      </c>
      <c r="BB1260" s="192">
        <v>5</v>
      </c>
      <c r="BC1260" s="256" t="s">
        <v>671</v>
      </c>
      <c r="BD1260" s="256" t="s">
        <v>632</v>
      </c>
      <c r="BE1260" s="256" t="s">
        <v>632</v>
      </c>
      <c r="BF1260" s="256" t="s">
        <v>630</v>
      </c>
      <c r="BG1260" s="185" t="s">
        <v>71</v>
      </c>
      <c r="BH1260" s="302">
        <f>SUM(BH1261:BH1264)</f>
        <v>212556.79</v>
      </c>
      <c r="BI1260" s="192"/>
      <c r="BJ1260" s="256" t="s">
        <v>8097</v>
      </c>
      <c r="BK1260" s="256" t="s">
        <v>464</v>
      </c>
      <c r="BL1260" s="238" t="s">
        <v>8098</v>
      </c>
      <c r="BM1260" s="302">
        <f>SUM(BM1261:BM1264)</f>
        <v>212556.79</v>
      </c>
      <c r="BN1260" s="160"/>
      <c r="BO1260" s="161">
        <f t="shared" si="1092"/>
        <v>0</v>
      </c>
      <c r="BP1260" s="161"/>
    </row>
    <row r="1261" spans="1:68" ht="38.25">
      <c r="A1261" s="206" t="s">
        <v>464</v>
      </c>
      <c r="B1261" s="195" t="s">
        <v>8099</v>
      </c>
      <c r="C1261" s="196" t="s">
        <v>8100</v>
      </c>
      <c r="D1261" s="146" t="s">
        <v>4692</v>
      </c>
      <c r="E1261" s="196" t="s">
        <v>8101</v>
      </c>
      <c r="F1261" s="150">
        <v>0</v>
      </c>
      <c r="G1261" s="209">
        <v>0</v>
      </c>
      <c r="H1261" s="209"/>
      <c r="I1261" s="209">
        <v>0</v>
      </c>
      <c r="J1261" s="150">
        <v>93.37</v>
      </c>
      <c r="K1261" s="150">
        <v>0</v>
      </c>
      <c r="L1261" s="150">
        <f t="shared" si="1080"/>
        <v>93.37</v>
      </c>
      <c r="M1261" s="150">
        <v>93.37</v>
      </c>
      <c r="N1261" s="150"/>
      <c r="O1261" s="150">
        <v>93.37</v>
      </c>
      <c r="P1261" s="150">
        <v>93.37</v>
      </c>
      <c r="Q1261" s="150">
        <v>0</v>
      </c>
      <c r="R1261" s="150">
        <f>P1261+Q1261</f>
        <v>93.37</v>
      </c>
      <c r="S1261" s="150">
        <f t="shared" si="1079"/>
        <v>124.49333333333334</v>
      </c>
      <c r="T1261" s="150"/>
      <c r="U1261" s="150">
        <v>93.37</v>
      </c>
      <c r="V1261" s="199"/>
      <c r="W1261" s="150">
        <f>U1261+V1261</f>
        <v>93.37</v>
      </c>
      <c r="X1261" s="150">
        <v>93.37</v>
      </c>
      <c r="Y1261" s="150"/>
      <c r="Z1261" s="150">
        <v>93.37</v>
      </c>
      <c r="AA1261" s="150">
        <f t="shared" si="1074"/>
        <v>0</v>
      </c>
      <c r="AB1261" s="150">
        <v>93.37</v>
      </c>
      <c r="AC1261" s="199"/>
      <c r="AD1261" s="150">
        <f>AB1261+AC1261</f>
        <v>93.37</v>
      </c>
      <c r="AE1261" s="150">
        <v>93.37</v>
      </c>
      <c r="AF1261" s="169" t="s">
        <v>4680</v>
      </c>
      <c r="AG1261" s="201">
        <v>93.37</v>
      </c>
      <c r="AH1261" s="199"/>
      <c r="AI1261" s="150">
        <v>93.37</v>
      </c>
      <c r="AJ1261" s="169">
        <f t="shared" si="1075"/>
        <v>0</v>
      </c>
      <c r="AK1261" s="201">
        <v>93.37</v>
      </c>
      <c r="AL1261" s="199"/>
      <c r="AM1261" s="150">
        <f>AK1261+AL1261</f>
        <v>93.37</v>
      </c>
      <c r="AN1261" s="153">
        <f t="shared" si="1076"/>
        <v>0</v>
      </c>
      <c r="AO1261" s="154">
        <f t="shared" si="1077"/>
        <v>0</v>
      </c>
      <c r="AP1261" s="150">
        <v>93.37</v>
      </c>
      <c r="AQ1261" s="201">
        <v>93.37</v>
      </c>
      <c r="AR1261" s="199"/>
      <c r="AS1261" s="150">
        <f>AQ1261+AR1261</f>
        <v>93.37</v>
      </c>
      <c r="AT1261" s="155"/>
      <c r="AU1261" s="156">
        <f t="shared" si="1071"/>
        <v>0</v>
      </c>
      <c r="AV1261" s="156">
        <f t="shared" si="1072"/>
        <v>0</v>
      </c>
      <c r="AW1261" s="157"/>
      <c r="AX1261" s="150">
        <v>93.37</v>
      </c>
      <c r="AY1261" s="150">
        <v>93.37</v>
      </c>
      <c r="AZ1261" s="150"/>
      <c r="BA1261" s="150">
        <f t="shared" si="1091"/>
        <v>93.37</v>
      </c>
      <c r="BB1261" s="202">
        <v>5</v>
      </c>
      <c r="BC1261" s="202" t="s">
        <v>671</v>
      </c>
      <c r="BD1261" s="202" t="s">
        <v>632</v>
      </c>
      <c r="BE1261" s="202" t="s">
        <v>632</v>
      </c>
      <c r="BF1261" s="202" t="s">
        <v>632</v>
      </c>
      <c r="BG1261" s="203" t="s">
        <v>71</v>
      </c>
      <c r="BH1261" s="216">
        <f>SUM(AS1261:AS1264)</f>
        <v>212556.79</v>
      </c>
      <c r="BI1261" s="205"/>
      <c r="BJ1261" s="206" t="s">
        <v>8097</v>
      </c>
      <c r="BK1261" s="206" t="s">
        <v>464</v>
      </c>
      <c r="BL1261" s="207" t="s">
        <v>8098</v>
      </c>
      <c r="BM1261" s="208">
        <f>BH1261</f>
        <v>212556.79</v>
      </c>
      <c r="BN1261" s="160"/>
      <c r="BO1261" s="161"/>
      <c r="BP1261" s="161"/>
    </row>
    <row r="1262" spans="1:68" ht="38.25">
      <c r="A1262" s="210"/>
      <c r="B1262" s="195" t="s">
        <v>8102</v>
      </c>
      <c r="C1262" s="196" t="s">
        <v>8103</v>
      </c>
      <c r="D1262" s="146" t="s">
        <v>4692</v>
      </c>
      <c r="E1262" s="196" t="s">
        <v>8104</v>
      </c>
      <c r="F1262" s="150">
        <v>0</v>
      </c>
      <c r="G1262" s="209">
        <v>0</v>
      </c>
      <c r="H1262" s="209"/>
      <c r="I1262" s="209">
        <v>0</v>
      </c>
      <c r="J1262" s="150">
        <v>0</v>
      </c>
      <c r="K1262" s="150">
        <v>0</v>
      </c>
      <c r="L1262" s="150">
        <f t="shared" si="1080"/>
        <v>0</v>
      </c>
      <c r="M1262" s="150">
        <v>0</v>
      </c>
      <c r="N1262" s="150"/>
      <c r="O1262" s="150">
        <v>0</v>
      </c>
      <c r="P1262" s="150">
        <v>0</v>
      </c>
      <c r="Q1262" s="150">
        <v>0</v>
      </c>
      <c r="R1262" s="150">
        <f>P1262+Q1262</f>
        <v>0</v>
      </c>
      <c r="S1262" s="150">
        <f t="shared" si="1079"/>
        <v>0</v>
      </c>
      <c r="T1262" s="150"/>
      <c r="U1262" s="150">
        <v>0</v>
      </c>
      <c r="V1262" s="199"/>
      <c r="W1262" s="150">
        <f>U1262+V1262</f>
        <v>0</v>
      </c>
      <c r="X1262" s="150">
        <v>0</v>
      </c>
      <c r="Y1262" s="150"/>
      <c r="Z1262" s="150">
        <v>0</v>
      </c>
      <c r="AA1262" s="150">
        <f t="shared" si="1074"/>
        <v>0</v>
      </c>
      <c r="AB1262" s="150">
        <v>0</v>
      </c>
      <c r="AC1262" s="199"/>
      <c r="AD1262" s="150">
        <f>AB1262+AC1262</f>
        <v>0</v>
      </c>
      <c r="AE1262" s="150">
        <v>0</v>
      </c>
      <c r="AF1262" s="169" t="s">
        <v>4680</v>
      </c>
      <c r="AG1262" s="201">
        <v>0</v>
      </c>
      <c r="AH1262" s="199"/>
      <c r="AI1262" s="150">
        <v>0</v>
      </c>
      <c r="AJ1262" s="169">
        <f t="shared" si="1075"/>
        <v>0</v>
      </c>
      <c r="AK1262" s="201">
        <v>0</v>
      </c>
      <c r="AL1262" s="199"/>
      <c r="AM1262" s="150">
        <f>AK1262+AL1262</f>
        <v>0</v>
      </c>
      <c r="AN1262" s="153">
        <f t="shared" si="1076"/>
        <v>0</v>
      </c>
      <c r="AO1262" s="154">
        <f t="shared" si="1077"/>
        <v>0</v>
      </c>
      <c r="AP1262" s="150">
        <v>0</v>
      </c>
      <c r="AQ1262" s="201">
        <v>0</v>
      </c>
      <c r="AR1262" s="199"/>
      <c r="AS1262" s="150">
        <f>AQ1262+AR1262</f>
        <v>0</v>
      </c>
      <c r="AT1262" s="155"/>
      <c r="AU1262" s="156">
        <f t="shared" si="1071"/>
        <v>0</v>
      </c>
      <c r="AV1262" s="156">
        <f t="shared" si="1072"/>
        <v>0</v>
      </c>
      <c r="AW1262" s="157"/>
      <c r="AX1262" s="150">
        <v>0</v>
      </c>
      <c r="AY1262" s="150">
        <v>0</v>
      </c>
      <c r="AZ1262" s="150"/>
      <c r="BA1262" s="150">
        <f t="shared" si="1091"/>
        <v>0</v>
      </c>
      <c r="BB1262" s="210"/>
      <c r="BC1262" s="210"/>
      <c r="BD1262" s="210"/>
      <c r="BE1262" s="210"/>
      <c r="BF1262" s="210"/>
      <c r="BG1262" s="210"/>
      <c r="BH1262" s="217"/>
      <c r="BI1262" s="210"/>
      <c r="BJ1262" s="210"/>
      <c r="BK1262" s="210"/>
      <c r="BL1262" s="210"/>
      <c r="BM1262" s="208"/>
      <c r="BN1262" s="160"/>
      <c r="BO1262" s="161"/>
      <c r="BP1262" s="161"/>
    </row>
    <row r="1263" spans="1:68" ht="25.5">
      <c r="A1263" s="210"/>
      <c r="B1263" s="195" t="s">
        <v>8105</v>
      </c>
      <c r="C1263" s="196" t="s">
        <v>8106</v>
      </c>
      <c r="D1263" s="146" t="s">
        <v>4692</v>
      </c>
      <c r="E1263" s="196" t="s">
        <v>8107</v>
      </c>
      <c r="F1263" s="150">
        <v>0</v>
      </c>
      <c r="G1263" s="209">
        <v>1727528.75</v>
      </c>
      <c r="H1263" s="209">
        <v>-2.7000000001862645E-2</v>
      </c>
      <c r="I1263" s="209">
        <v>1727528.723</v>
      </c>
      <c r="J1263" s="150">
        <v>0</v>
      </c>
      <c r="K1263" s="150">
        <v>0</v>
      </c>
      <c r="L1263" s="150">
        <f t="shared" si="1080"/>
        <v>0</v>
      </c>
      <c r="M1263" s="150">
        <v>0</v>
      </c>
      <c r="N1263" s="150"/>
      <c r="O1263" s="150">
        <v>0</v>
      </c>
      <c r="P1263" s="150">
        <v>0</v>
      </c>
      <c r="Q1263" s="150">
        <v>0</v>
      </c>
      <c r="R1263" s="150">
        <f>P1263+Q1263</f>
        <v>0</v>
      </c>
      <c r="S1263" s="150">
        <f t="shared" si="1079"/>
        <v>0</v>
      </c>
      <c r="T1263" s="150"/>
      <c r="U1263" s="150">
        <v>0</v>
      </c>
      <c r="V1263" s="199"/>
      <c r="W1263" s="150">
        <f>U1263+V1263</f>
        <v>0</v>
      </c>
      <c r="X1263" s="150">
        <v>0</v>
      </c>
      <c r="Y1263" s="150"/>
      <c r="Z1263" s="150">
        <v>0</v>
      </c>
      <c r="AA1263" s="150">
        <f t="shared" si="1074"/>
        <v>0</v>
      </c>
      <c r="AB1263" s="150">
        <v>0</v>
      </c>
      <c r="AC1263" s="199"/>
      <c r="AD1263" s="150">
        <f>AB1263+AC1263</f>
        <v>0</v>
      </c>
      <c r="AE1263" s="150">
        <v>0</v>
      </c>
      <c r="AF1263" s="169" t="s">
        <v>4680</v>
      </c>
      <c r="AG1263" s="201">
        <v>0</v>
      </c>
      <c r="AH1263" s="199"/>
      <c r="AI1263" s="150">
        <v>0</v>
      </c>
      <c r="AJ1263" s="169">
        <f t="shared" si="1075"/>
        <v>0</v>
      </c>
      <c r="AK1263" s="201">
        <v>0</v>
      </c>
      <c r="AL1263" s="199"/>
      <c r="AM1263" s="150">
        <f>AK1263+AL1263</f>
        <v>0</v>
      </c>
      <c r="AN1263" s="153">
        <f t="shared" si="1076"/>
        <v>0</v>
      </c>
      <c r="AO1263" s="154">
        <f t="shared" si="1077"/>
        <v>0</v>
      </c>
      <c r="AP1263" s="150">
        <v>0</v>
      </c>
      <c r="AQ1263" s="201">
        <v>0</v>
      </c>
      <c r="AR1263" s="199"/>
      <c r="AS1263" s="150">
        <f>AQ1263+AR1263</f>
        <v>0</v>
      </c>
      <c r="AT1263" s="155"/>
      <c r="AU1263" s="156">
        <f t="shared" si="1071"/>
        <v>0</v>
      </c>
      <c r="AV1263" s="156">
        <f t="shared" si="1072"/>
        <v>0</v>
      </c>
      <c r="AW1263" s="157"/>
      <c r="AX1263" s="150">
        <v>0</v>
      </c>
      <c r="AY1263" s="150">
        <v>0</v>
      </c>
      <c r="AZ1263" s="150"/>
      <c r="BA1263" s="150">
        <f t="shared" si="1091"/>
        <v>0</v>
      </c>
      <c r="BB1263" s="210"/>
      <c r="BC1263" s="210"/>
      <c r="BD1263" s="210"/>
      <c r="BE1263" s="210"/>
      <c r="BF1263" s="210"/>
      <c r="BG1263" s="210"/>
      <c r="BH1263" s="217"/>
      <c r="BI1263" s="210"/>
      <c r="BJ1263" s="210"/>
      <c r="BK1263" s="210"/>
      <c r="BL1263" s="210"/>
      <c r="BM1263" s="208"/>
      <c r="BN1263" s="160"/>
      <c r="BO1263" s="161"/>
      <c r="BP1263" s="161"/>
    </row>
    <row r="1264" spans="1:68" ht="72">
      <c r="A1264" s="210"/>
      <c r="B1264" s="195" t="s">
        <v>8108</v>
      </c>
      <c r="C1264" s="196" t="s">
        <v>8109</v>
      </c>
      <c r="D1264" s="146" t="s">
        <v>4692</v>
      </c>
      <c r="E1264" s="196" t="s">
        <v>8110</v>
      </c>
      <c r="F1264" s="150">
        <v>1727528.75</v>
      </c>
      <c r="G1264" s="209">
        <v>1610616.94</v>
      </c>
      <c r="H1264" s="209">
        <v>1253938</v>
      </c>
      <c r="I1264" s="209">
        <v>2864554.94</v>
      </c>
      <c r="J1264" s="150">
        <v>524780.11</v>
      </c>
      <c r="K1264" s="150">
        <v>0</v>
      </c>
      <c r="L1264" s="150">
        <f t="shared" si="1080"/>
        <v>524780.11</v>
      </c>
      <c r="M1264" s="150">
        <v>829571.76</v>
      </c>
      <c r="N1264" s="150">
        <v>34192.614999999991</v>
      </c>
      <c r="O1264" s="150">
        <v>863764.375</v>
      </c>
      <c r="P1264" s="150">
        <v>829571.76</v>
      </c>
      <c r="Q1264" s="150">
        <v>0</v>
      </c>
      <c r="R1264" s="150">
        <f>P1264+Q1264</f>
        <v>829571.76</v>
      </c>
      <c r="S1264" s="150">
        <f t="shared" si="1079"/>
        <v>1106095.68</v>
      </c>
      <c r="T1264" s="150"/>
      <c r="U1264" s="150">
        <v>1050804.25</v>
      </c>
      <c r="V1264" s="199"/>
      <c r="W1264" s="150">
        <f>U1264+V1264</f>
        <v>1050804.25</v>
      </c>
      <c r="X1264" s="150">
        <v>1050804.25</v>
      </c>
      <c r="Y1264" s="150"/>
      <c r="Z1264" s="150">
        <v>1050804.25</v>
      </c>
      <c r="AA1264" s="150">
        <f t="shared" si="1074"/>
        <v>0</v>
      </c>
      <c r="AB1264" s="150">
        <v>1050804.25</v>
      </c>
      <c r="AC1264" s="199"/>
      <c r="AD1264" s="150">
        <f>AB1264+AC1264</f>
        <v>1050804.25</v>
      </c>
      <c r="AE1264" s="150">
        <v>1050804.25</v>
      </c>
      <c r="AF1264" s="169" t="s">
        <v>4680</v>
      </c>
      <c r="AG1264" s="201">
        <v>1050804.25</v>
      </c>
      <c r="AH1264" s="241">
        <v>-838340.83</v>
      </c>
      <c r="AI1264" s="150">
        <v>212463.42000000004</v>
      </c>
      <c r="AJ1264" s="169">
        <f t="shared" si="1075"/>
        <v>0</v>
      </c>
      <c r="AK1264" s="201">
        <v>212463.42</v>
      </c>
      <c r="AL1264" s="241"/>
      <c r="AM1264" s="150">
        <f>AK1264+AL1264</f>
        <v>212463.42</v>
      </c>
      <c r="AN1264" s="153">
        <f t="shared" si="1076"/>
        <v>0</v>
      </c>
      <c r="AO1264" s="154">
        <f t="shared" si="1077"/>
        <v>0</v>
      </c>
      <c r="AP1264" s="150">
        <v>212463.42</v>
      </c>
      <c r="AQ1264" s="201">
        <v>212463.42</v>
      </c>
      <c r="AR1264" s="241"/>
      <c r="AS1264" s="150">
        <f>AQ1264+AR1264</f>
        <v>212463.42</v>
      </c>
      <c r="AT1264" s="155" t="s">
        <v>8111</v>
      </c>
      <c r="AU1264" s="156">
        <f t="shared" si="1071"/>
        <v>-838340.83</v>
      </c>
      <c r="AV1264" s="156">
        <f t="shared" si="1072"/>
        <v>0</v>
      </c>
      <c r="AW1264" s="157" t="s">
        <v>8112</v>
      </c>
      <c r="AX1264" s="150">
        <v>1050804.25</v>
      </c>
      <c r="AY1264" s="150">
        <v>829571.76</v>
      </c>
      <c r="AZ1264" s="150">
        <f>1544000-AY1264</f>
        <v>714428.24</v>
      </c>
      <c r="BA1264" s="150">
        <f t="shared" si="1091"/>
        <v>1544000</v>
      </c>
      <c r="BB1264" s="210"/>
      <c r="BC1264" s="210"/>
      <c r="BD1264" s="210"/>
      <c r="BE1264" s="210"/>
      <c r="BF1264" s="210"/>
      <c r="BG1264" s="210"/>
      <c r="BH1264" s="217"/>
      <c r="BI1264" s="210"/>
      <c r="BJ1264" s="210"/>
      <c r="BK1264" s="210"/>
      <c r="BL1264" s="210"/>
      <c r="BM1264" s="208"/>
      <c r="BN1264" s="160"/>
      <c r="BO1264" s="161"/>
      <c r="BP1264" s="161"/>
    </row>
    <row r="1265" spans="1:68" ht="38.25">
      <c r="A1265" s="255" t="s">
        <v>465</v>
      </c>
      <c r="B1265" s="174"/>
      <c r="C1265" s="175" t="s">
        <v>8113</v>
      </c>
      <c r="D1265" s="146" t="s">
        <v>4692</v>
      </c>
      <c r="E1265" s="175" t="s">
        <v>8113</v>
      </c>
      <c r="F1265" s="176">
        <v>2955143.6</v>
      </c>
      <c r="G1265" s="177">
        <v>1610616.94</v>
      </c>
      <c r="H1265" s="177">
        <v>1253938</v>
      </c>
      <c r="I1265" s="177">
        <v>2864554.94</v>
      </c>
      <c r="J1265" s="176">
        <f>J1266</f>
        <v>0</v>
      </c>
      <c r="K1265" s="176">
        <f>K1266</f>
        <v>0</v>
      </c>
      <c r="L1265" s="176">
        <f t="shared" si="1080"/>
        <v>0</v>
      </c>
      <c r="M1265" s="178">
        <v>482726.05</v>
      </c>
      <c r="N1265" s="178">
        <v>994845.75</v>
      </c>
      <c r="O1265" s="178">
        <v>1477571.8</v>
      </c>
      <c r="P1265" s="221">
        <f t="shared" ref="P1265:AS1265" si="1108">P1266</f>
        <v>1117982.8600000001</v>
      </c>
      <c r="Q1265" s="221">
        <f t="shared" si="1108"/>
        <v>0</v>
      </c>
      <c r="R1265" s="221">
        <f t="shared" si="1108"/>
        <v>1117982.8600000001</v>
      </c>
      <c r="S1265" s="150">
        <f t="shared" si="1079"/>
        <v>1490643.8133333335</v>
      </c>
      <c r="T1265" s="213"/>
      <c r="U1265" s="221">
        <f t="shared" ref="U1265:W1265" si="1109">U1266</f>
        <v>2379487.36</v>
      </c>
      <c r="V1265" s="222">
        <f t="shared" si="1109"/>
        <v>218.69060000032187</v>
      </c>
      <c r="W1265" s="221">
        <f t="shared" si="1109"/>
        <v>2379706.0506000002</v>
      </c>
      <c r="X1265" s="221">
        <v>2379487.36</v>
      </c>
      <c r="Y1265" s="221">
        <v>218.69060000032187</v>
      </c>
      <c r="Z1265" s="221">
        <v>2379706.0506000002</v>
      </c>
      <c r="AA1265" s="221">
        <f t="shared" si="1074"/>
        <v>0</v>
      </c>
      <c r="AB1265" s="221">
        <v>2379487.36</v>
      </c>
      <c r="AC1265" s="222">
        <v>218.69060000032187</v>
      </c>
      <c r="AD1265" s="221">
        <f t="shared" si="1108"/>
        <v>2379706.0506000002</v>
      </c>
      <c r="AE1265" s="221">
        <v>2379706.0506000002</v>
      </c>
      <c r="AF1265" s="169" t="s">
        <v>4680</v>
      </c>
      <c r="AG1265" s="223">
        <v>2379487.36</v>
      </c>
      <c r="AH1265" s="222">
        <v>218.69060000032187</v>
      </c>
      <c r="AI1265" s="221">
        <v>2379706.0506000002</v>
      </c>
      <c r="AJ1265" s="169">
        <f t="shared" si="1075"/>
        <v>0</v>
      </c>
      <c r="AK1265" s="223">
        <v>2379487.36</v>
      </c>
      <c r="AL1265" s="222">
        <v>218.69060000032187</v>
      </c>
      <c r="AM1265" s="221">
        <f t="shared" si="1108"/>
        <v>2379706.0506000002</v>
      </c>
      <c r="AN1265" s="153">
        <f t="shared" si="1076"/>
        <v>35041.869399999734</v>
      </c>
      <c r="AO1265" s="154">
        <f t="shared" si="1077"/>
        <v>35041.869399999734</v>
      </c>
      <c r="AP1265" s="221">
        <v>2379706.0506000002</v>
      </c>
      <c r="AQ1265" s="223">
        <v>2414747.92</v>
      </c>
      <c r="AR1265" s="222">
        <f t="shared" si="1108"/>
        <v>0</v>
      </c>
      <c r="AS1265" s="221">
        <f t="shared" si="1108"/>
        <v>2414747.92</v>
      </c>
      <c r="AT1265" s="155"/>
      <c r="AU1265" s="156">
        <f t="shared" si="1071"/>
        <v>0</v>
      </c>
      <c r="AV1265" s="156">
        <f t="shared" si="1072"/>
        <v>0</v>
      </c>
      <c r="AW1265" s="157"/>
      <c r="AX1265" s="150">
        <v>2379706.0506000002</v>
      </c>
      <c r="AY1265" s="221">
        <f t="shared" ref="AY1265:BA1265" si="1110">AY1266</f>
        <v>536724.30000000005</v>
      </c>
      <c r="AZ1265" s="221">
        <f t="shared" si="1110"/>
        <v>1985047.7</v>
      </c>
      <c r="BA1265" s="221">
        <f t="shared" si="1110"/>
        <v>2521772</v>
      </c>
      <c r="BB1265" s="254">
        <v>5</v>
      </c>
      <c r="BC1265" s="255" t="s">
        <v>671</v>
      </c>
      <c r="BD1265" s="255" t="s">
        <v>647</v>
      </c>
      <c r="BE1265" s="173" t="s">
        <v>630</v>
      </c>
      <c r="BF1265" s="255" t="s">
        <v>630</v>
      </c>
      <c r="BG1265" s="175" t="s">
        <v>8113</v>
      </c>
      <c r="BH1265" s="224">
        <f>BH1266</f>
        <v>2414747.92</v>
      </c>
      <c r="BI1265" s="254"/>
      <c r="BJ1265" s="255" t="s">
        <v>8114</v>
      </c>
      <c r="BK1265" s="255" t="s">
        <v>465</v>
      </c>
      <c r="BL1265" s="182" t="s">
        <v>8115</v>
      </c>
      <c r="BM1265" s="224">
        <f>BM1266</f>
        <v>2414747.92</v>
      </c>
      <c r="BN1265" s="160"/>
      <c r="BO1265" s="161">
        <f t="shared" si="1092"/>
        <v>0</v>
      </c>
      <c r="BP1265" s="161"/>
    </row>
    <row r="1266" spans="1:68" ht="38.25">
      <c r="A1266" s="256" t="s">
        <v>465</v>
      </c>
      <c r="B1266" s="184"/>
      <c r="C1266" s="185" t="s">
        <v>8113</v>
      </c>
      <c r="D1266" s="146" t="s">
        <v>4692</v>
      </c>
      <c r="E1266" s="185" t="s">
        <v>8113</v>
      </c>
      <c r="F1266" s="188">
        <v>2955143.6</v>
      </c>
      <c r="G1266" s="187">
        <v>0</v>
      </c>
      <c r="H1266" s="187"/>
      <c r="I1266" s="187">
        <v>0</v>
      </c>
      <c r="J1266" s="188">
        <f>SUM(J1267:J1271)</f>
        <v>0</v>
      </c>
      <c r="K1266" s="188">
        <f>SUM(K1267:K1271)</f>
        <v>0</v>
      </c>
      <c r="L1266" s="188">
        <f t="shared" si="1080"/>
        <v>0</v>
      </c>
      <c r="M1266" s="188">
        <v>482726.05</v>
      </c>
      <c r="N1266" s="188">
        <v>994845.75</v>
      </c>
      <c r="O1266" s="188">
        <v>1477571.8</v>
      </c>
      <c r="P1266" s="299">
        <f t="shared" ref="P1266:R1266" si="1111">SUM(P1267:P1271)</f>
        <v>1117982.8600000001</v>
      </c>
      <c r="Q1266" s="299">
        <f t="shared" si="1111"/>
        <v>0</v>
      </c>
      <c r="R1266" s="299">
        <f t="shared" si="1111"/>
        <v>1117982.8600000001</v>
      </c>
      <c r="S1266" s="150">
        <f t="shared" si="1079"/>
        <v>1490643.8133333335</v>
      </c>
      <c r="T1266" s="213"/>
      <c r="U1266" s="299">
        <f t="shared" ref="U1266:W1266" si="1112">SUM(U1267:U1271)</f>
        <v>2379487.36</v>
      </c>
      <c r="V1266" s="226">
        <f t="shared" si="1112"/>
        <v>218.69060000032187</v>
      </c>
      <c r="W1266" s="299">
        <f t="shared" si="1112"/>
        <v>2379706.0506000002</v>
      </c>
      <c r="X1266" s="299">
        <v>2379487.36</v>
      </c>
      <c r="Y1266" s="299">
        <v>218.69060000032187</v>
      </c>
      <c r="Z1266" s="299">
        <v>2379706.0506000002</v>
      </c>
      <c r="AA1266" s="299">
        <f t="shared" si="1074"/>
        <v>0</v>
      </c>
      <c r="AB1266" s="299">
        <v>2379487.36</v>
      </c>
      <c r="AC1266" s="226">
        <v>218.69060000032187</v>
      </c>
      <c r="AD1266" s="299">
        <f t="shared" ref="AD1266" si="1113">SUM(AD1267:AD1271)</f>
        <v>2379706.0506000002</v>
      </c>
      <c r="AE1266" s="299">
        <v>2379706.0506000002</v>
      </c>
      <c r="AF1266" s="169" t="s">
        <v>4680</v>
      </c>
      <c r="AG1266" s="301">
        <v>2379487.36</v>
      </c>
      <c r="AH1266" s="226">
        <v>218.69060000032187</v>
      </c>
      <c r="AI1266" s="299">
        <v>2379706.0506000002</v>
      </c>
      <c r="AJ1266" s="169">
        <f t="shared" si="1075"/>
        <v>0</v>
      </c>
      <c r="AK1266" s="301">
        <v>2379487.36</v>
      </c>
      <c r="AL1266" s="226">
        <v>218.69060000032187</v>
      </c>
      <c r="AM1266" s="299">
        <f t="shared" ref="AM1266" si="1114">SUM(AM1267:AM1271)</f>
        <v>2379706.0506000002</v>
      </c>
      <c r="AN1266" s="153">
        <f t="shared" si="1076"/>
        <v>35041.869399999734</v>
      </c>
      <c r="AO1266" s="154">
        <f t="shared" si="1077"/>
        <v>35041.869399999734</v>
      </c>
      <c r="AP1266" s="299">
        <v>2379706.0506000002</v>
      </c>
      <c r="AQ1266" s="301">
        <v>2414747.92</v>
      </c>
      <c r="AR1266" s="226">
        <f t="shared" ref="AR1266:AS1266" si="1115">SUM(AR1267:AR1271)</f>
        <v>0</v>
      </c>
      <c r="AS1266" s="299">
        <f t="shared" si="1115"/>
        <v>2414747.92</v>
      </c>
      <c r="AT1266" s="155"/>
      <c r="AU1266" s="156">
        <f t="shared" si="1071"/>
        <v>0</v>
      </c>
      <c r="AV1266" s="156">
        <f t="shared" si="1072"/>
        <v>0</v>
      </c>
      <c r="AW1266" s="157"/>
      <c r="AX1266" s="150">
        <v>2379706.0506000002</v>
      </c>
      <c r="AY1266" s="299">
        <f t="shared" ref="AY1266:BA1266" si="1116">SUM(AY1267:AY1271)</f>
        <v>536724.30000000005</v>
      </c>
      <c r="AZ1266" s="299">
        <f t="shared" si="1116"/>
        <v>1985047.7</v>
      </c>
      <c r="BA1266" s="299">
        <f t="shared" si="1116"/>
        <v>2521772</v>
      </c>
      <c r="BB1266" s="192">
        <v>5</v>
      </c>
      <c r="BC1266" s="256" t="s">
        <v>671</v>
      </c>
      <c r="BD1266" s="256" t="s">
        <v>647</v>
      </c>
      <c r="BE1266" s="256" t="s">
        <v>632</v>
      </c>
      <c r="BF1266" s="256" t="s">
        <v>630</v>
      </c>
      <c r="BG1266" s="185" t="s">
        <v>8113</v>
      </c>
      <c r="BH1266" s="302">
        <f>SUM(BH1267:BH1271)</f>
        <v>2414747.92</v>
      </c>
      <c r="BI1266" s="192"/>
      <c r="BJ1266" s="256" t="s">
        <v>8114</v>
      </c>
      <c r="BK1266" s="256" t="s">
        <v>465</v>
      </c>
      <c r="BL1266" s="238" t="s">
        <v>8115</v>
      </c>
      <c r="BM1266" s="302">
        <f>SUM(BM1267:BM1271)</f>
        <v>2414747.92</v>
      </c>
      <c r="BN1266" s="160"/>
      <c r="BO1266" s="161">
        <f t="shared" si="1092"/>
        <v>0</v>
      </c>
      <c r="BP1266" s="161"/>
    </row>
    <row r="1267" spans="1:68" ht="38.25">
      <c r="A1267" s="206" t="s">
        <v>465</v>
      </c>
      <c r="B1267" s="195" t="s">
        <v>8116</v>
      </c>
      <c r="C1267" s="196" t="s">
        <v>8117</v>
      </c>
      <c r="D1267" s="146" t="s">
        <v>4692</v>
      </c>
      <c r="E1267" s="196" t="s">
        <v>8117</v>
      </c>
      <c r="F1267" s="150">
        <v>0</v>
      </c>
      <c r="G1267" s="209">
        <v>1610616.94</v>
      </c>
      <c r="H1267" s="209">
        <v>1253938</v>
      </c>
      <c r="I1267" s="209">
        <v>2864554.94</v>
      </c>
      <c r="J1267" s="150">
        <v>0</v>
      </c>
      <c r="K1267" s="150">
        <v>0</v>
      </c>
      <c r="L1267" s="150">
        <f t="shared" si="1080"/>
        <v>0</v>
      </c>
      <c r="M1267" s="150">
        <v>0</v>
      </c>
      <c r="N1267" s="150"/>
      <c r="O1267" s="150">
        <v>0</v>
      </c>
      <c r="P1267" s="150">
        <v>0</v>
      </c>
      <c r="Q1267" s="150">
        <v>0</v>
      </c>
      <c r="R1267" s="150">
        <f>P1267+Q1267</f>
        <v>0</v>
      </c>
      <c r="S1267" s="150">
        <f t="shared" si="1079"/>
        <v>0</v>
      </c>
      <c r="T1267" s="150"/>
      <c r="U1267" s="150">
        <v>0</v>
      </c>
      <c r="V1267" s="199"/>
      <c r="W1267" s="150">
        <f>U1267+V1267</f>
        <v>0</v>
      </c>
      <c r="X1267" s="150">
        <v>0</v>
      </c>
      <c r="Y1267" s="150"/>
      <c r="Z1267" s="150">
        <v>0</v>
      </c>
      <c r="AA1267" s="150">
        <f t="shared" si="1074"/>
        <v>0</v>
      </c>
      <c r="AB1267" s="150">
        <v>0</v>
      </c>
      <c r="AC1267" s="199"/>
      <c r="AD1267" s="150">
        <f>AB1267+AC1267</f>
        <v>0</v>
      </c>
      <c r="AE1267" s="150">
        <v>0</v>
      </c>
      <c r="AF1267" s="169" t="s">
        <v>4680</v>
      </c>
      <c r="AG1267" s="201">
        <v>0</v>
      </c>
      <c r="AH1267" s="199"/>
      <c r="AI1267" s="150">
        <v>0</v>
      </c>
      <c r="AJ1267" s="169">
        <f t="shared" si="1075"/>
        <v>0</v>
      </c>
      <c r="AK1267" s="201">
        <v>0</v>
      </c>
      <c r="AL1267" s="199"/>
      <c r="AM1267" s="150">
        <f>AK1267+AL1267</f>
        <v>0</v>
      </c>
      <c r="AN1267" s="153">
        <f t="shared" si="1076"/>
        <v>0</v>
      </c>
      <c r="AO1267" s="154">
        <f t="shared" si="1077"/>
        <v>0</v>
      </c>
      <c r="AP1267" s="150">
        <v>0</v>
      </c>
      <c r="AQ1267" s="201">
        <v>0</v>
      </c>
      <c r="AR1267" s="199"/>
      <c r="AS1267" s="150">
        <f>AQ1267+AR1267</f>
        <v>0</v>
      </c>
      <c r="AT1267" s="155"/>
      <c r="AU1267" s="156">
        <f t="shared" si="1071"/>
        <v>0</v>
      </c>
      <c r="AV1267" s="156">
        <f t="shared" si="1072"/>
        <v>0</v>
      </c>
      <c r="AW1267" s="157"/>
      <c r="AX1267" s="150">
        <v>0</v>
      </c>
      <c r="AY1267" s="150">
        <v>0</v>
      </c>
      <c r="AZ1267" s="150"/>
      <c r="BA1267" s="150">
        <f t="shared" si="1091"/>
        <v>0</v>
      </c>
      <c r="BB1267" s="202">
        <v>5</v>
      </c>
      <c r="BC1267" s="202" t="s">
        <v>671</v>
      </c>
      <c r="BD1267" s="202" t="s">
        <v>647</v>
      </c>
      <c r="BE1267" s="202" t="s">
        <v>632</v>
      </c>
      <c r="BF1267" s="202" t="s">
        <v>632</v>
      </c>
      <c r="BG1267" s="203" t="s">
        <v>8113</v>
      </c>
      <c r="BH1267" s="216">
        <f>SUM(AS1267:AS1271)</f>
        <v>2414747.92</v>
      </c>
      <c r="BI1267" s="205"/>
      <c r="BJ1267" s="206" t="s">
        <v>8114</v>
      </c>
      <c r="BK1267" s="206" t="s">
        <v>465</v>
      </c>
      <c r="BL1267" s="207" t="s">
        <v>8115</v>
      </c>
      <c r="BM1267" s="208">
        <f>BH1267</f>
        <v>2414747.92</v>
      </c>
      <c r="BN1267" s="160"/>
      <c r="BO1267" s="161"/>
      <c r="BP1267" s="161"/>
    </row>
    <row r="1268" spans="1:68" ht="25.5">
      <c r="A1268" s="210"/>
      <c r="B1268" s="195" t="s">
        <v>8118</v>
      </c>
      <c r="C1268" s="196" t="s">
        <v>8119</v>
      </c>
      <c r="D1268" s="146" t="s">
        <v>4692</v>
      </c>
      <c r="E1268" s="196" t="s">
        <v>8120</v>
      </c>
      <c r="F1268" s="150">
        <v>2955143.6</v>
      </c>
      <c r="G1268" s="209">
        <v>0</v>
      </c>
      <c r="H1268" s="209"/>
      <c r="I1268" s="209">
        <v>0</v>
      </c>
      <c r="J1268" s="150">
        <v>0</v>
      </c>
      <c r="K1268" s="150">
        <v>0</v>
      </c>
      <c r="L1268" s="150">
        <f t="shared" si="1080"/>
        <v>0</v>
      </c>
      <c r="M1268" s="150">
        <v>482726.05</v>
      </c>
      <c r="N1268" s="150">
        <v>994845.75</v>
      </c>
      <c r="O1268" s="150">
        <v>1477571.8</v>
      </c>
      <c r="P1268" s="150">
        <v>1117982.8600000001</v>
      </c>
      <c r="Q1268" s="237"/>
      <c r="R1268" s="150">
        <f>P1268+Q1268</f>
        <v>1117982.8600000001</v>
      </c>
      <c r="S1268" s="150">
        <f t="shared" si="1079"/>
        <v>1490643.8133333335</v>
      </c>
      <c r="T1268" s="150"/>
      <c r="U1268" s="150">
        <v>2379487.36</v>
      </c>
      <c r="V1268" s="199">
        <v>218.69060000032187</v>
      </c>
      <c r="W1268" s="150">
        <f>U1268+V1268</f>
        <v>2379706.0506000002</v>
      </c>
      <c r="X1268" s="150">
        <v>2379487.36</v>
      </c>
      <c r="Y1268" s="150">
        <v>218.69060000032187</v>
      </c>
      <c r="Z1268" s="150">
        <v>2379706.0506000002</v>
      </c>
      <c r="AA1268" s="150">
        <f t="shared" si="1074"/>
        <v>0</v>
      </c>
      <c r="AB1268" s="150">
        <v>2379487.36</v>
      </c>
      <c r="AC1268" s="199">
        <v>218.69060000032187</v>
      </c>
      <c r="AD1268" s="150">
        <f>AB1268+AC1268</f>
        <v>2379706.0506000002</v>
      </c>
      <c r="AE1268" s="150">
        <v>2379706.0506000002</v>
      </c>
      <c r="AF1268" s="169" t="s">
        <v>4680</v>
      </c>
      <c r="AG1268" s="201">
        <v>2379487.36</v>
      </c>
      <c r="AH1268" s="199">
        <v>218.69060000032187</v>
      </c>
      <c r="AI1268" s="150">
        <v>2379706.0506000002</v>
      </c>
      <c r="AJ1268" s="169">
        <f t="shared" si="1075"/>
        <v>0</v>
      </c>
      <c r="AK1268" s="201">
        <v>2379487.36</v>
      </c>
      <c r="AL1268" s="199">
        <v>218.69060000032187</v>
      </c>
      <c r="AM1268" s="150">
        <f>AK1268+AL1268</f>
        <v>2379706.0506000002</v>
      </c>
      <c r="AN1268" s="153">
        <f t="shared" si="1076"/>
        <v>35041.869399999734</v>
      </c>
      <c r="AO1268" s="154">
        <f t="shared" si="1077"/>
        <v>35041.869399999734</v>
      </c>
      <c r="AP1268" s="150">
        <v>2379706.0506000002</v>
      </c>
      <c r="AQ1268" s="201">
        <v>2414747.92</v>
      </c>
      <c r="AR1268" s="199"/>
      <c r="AS1268" s="150">
        <f>AQ1268+AR1268</f>
        <v>2414747.92</v>
      </c>
      <c r="AT1268" s="155" t="s">
        <v>8121</v>
      </c>
      <c r="AU1268" s="156">
        <f t="shared" si="1071"/>
        <v>0</v>
      </c>
      <c r="AV1268" s="156">
        <f t="shared" si="1072"/>
        <v>0</v>
      </c>
      <c r="AW1268" s="157" t="s">
        <v>8112</v>
      </c>
      <c r="AX1268" s="150">
        <v>2379706.0506000002</v>
      </c>
      <c r="AY1268" s="150">
        <v>536724.30000000005</v>
      </c>
      <c r="AZ1268" s="237">
        <f>2521772-AY1268</f>
        <v>1985047.7</v>
      </c>
      <c r="BA1268" s="150">
        <f t="shared" si="1091"/>
        <v>2521772</v>
      </c>
      <c r="BB1268" s="210"/>
      <c r="BC1268" s="210"/>
      <c r="BD1268" s="210"/>
      <c r="BE1268" s="210"/>
      <c r="BF1268" s="210"/>
      <c r="BG1268" s="210"/>
      <c r="BH1268" s="217"/>
      <c r="BI1268" s="210"/>
      <c r="BJ1268" s="210"/>
      <c r="BK1268" s="210"/>
      <c r="BL1268" s="210"/>
      <c r="BM1268" s="208"/>
      <c r="BN1268" s="160"/>
      <c r="BO1268" s="161"/>
      <c r="BP1268" s="161"/>
    </row>
    <row r="1269" spans="1:68" ht="25.5">
      <c r="A1269" s="210"/>
      <c r="B1269" s="195" t="s">
        <v>8122</v>
      </c>
      <c r="C1269" s="196" t="s">
        <v>8123</v>
      </c>
      <c r="D1269" s="146" t="s">
        <v>4692</v>
      </c>
      <c r="E1269" s="196" t="s">
        <v>8124</v>
      </c>
      <c r="F1269" s="150">
        <v>0</v>
      </c>
      <c r="G1269" s="209">
        <v>0</v>
      </c>
      <c r="H1269" s="209"/>
      <c r="I1269" s="209">
        <v>0</v>
      </c>
      <c r="J1269" s="150">
        <v>0</v>
      </c>
      <c r="K1269" s="150">
        <v>0</v>
      </c>
      <c r="L1269" s="150">
        <f t="shared" si="1080"/>
        <v>0</v>
      </c>
      <c r="M1269" s="150">
        <v>0</v>
      </c>
      <c r="N1269" s="150"/>
      <c r="O1269" s="150">
        <v>0</v>
      </c>
      <c r="P1269" s="150">
        <v>0</v>
      </c>
      <c r="Q1269" s="150">
        <v>0</v>
      </c>
      <c r="R1269" s="150">
        <f>P1269+Q1269</f>
        <v>0</v>
      </c>
      <c r="S1269" s="150">
        <f t="shared" si="1079"/>
        <v>0</v>
      </c>
      <c r="T1269" s="150"/>
      <c r="U1269" s="150">
        <v>0</v>
      </c>
      <c r="V1269" s="199"/>
      <c r="W1269" s="150">
        <f>U1269+V1269</f>
        <v>0</v>
      </c>
      <c r="X1269" s="150">
        <v>0</v>
      </c>
      <c r="Y1269" s="150"/>
      <c r="Z1269" s="150">
        <v>0</v>
      </c>
      <c r="AA1269" s="150">
        <f t="shared" si="1074"/>
        <v>0</v>
      </c>
      <c r="AB1269" s="150">
        <v>0</v>
      </c>
      <c r="AC1269" s="199"/>
      <c r="AD1269" s="150">
        <f>AB1269+AC1269</f>
        <v>0</v>
      </c>
      <c r="AE1269" s="150">
        <v>0</v>
      </c>
      <c r="AF1269" s="169" t="s">
        <v>4680</v>
      </c>
      <c r="AG1269" s="201">
        <v>0</v>
      </c>
      <c r="AH1269" s="199"/>
      <c r="AI1269" s="150">
        <v>0</v>
      </c>
      <c r="AJ1269" s="169">
        <f t="shared" si="1075"/>
        <v>0</v>
      </c>
      <c r="AK1269" s="201">
        <v>0</v>
      </c>
      <c r="AL1269" s="199"/>
      <c r="AM1269" s="150">
        <f>AK1269+AL1269</f>
        <v>0</v>
      </c>
      <c r="AN1269" s="153">
        <f t="shared" si="1076"/>
        <v>0</v>
      </c>
      <c r="AO1269" s="154">
        <f t="shared" si="1077"/>
        <v>0</v>
      </c>
      <c r="AP1269" s="150">
        <v>0</v>
      </c>
      <c r="AQ1269" s="201">
        <v>0</v>
      </c>
      <c r="AR1269" s="199"/>
      <c r="AS1269" s="150">
        <f>AQ1269+AR1269</f>
        <v>0</v>
      </c>
      <c r="AT1269" s="155"/>
      <c r="AU1269" s="156">
        <f t="shared" si="1071"/>
        <v>0</v>
      </c>
      <c r="AV1269" s="156">
        <f t="shared" si="1072"/>
        <v>0</v>
      </c>
      <c r="AW1269" s="157"/>
      <c r="AX1269" s="150">
        <v>0</v>
      </c>
      <c r="AY1269" s="150">
        <v>0</v>
      </c>
      <c r="AZ1269" s="150"/>
      <c r="BA1269" s="150">
        <f t="shared" si="1091"/>
        <v>0</v>
      </c>
      <c r="BB1269" s="210"/>
      <c r="BC1269" s="210"/>
      <c r="BD1269" s="210"/>
      <c r="BE1269" s="210"/>
      <c r="BF1269" s="210"/>
      <c r="BG1269" s="210"/>
      <c r="BH1269" s="217"/>
      <c r="BI1269" s="210"/>
      <c r="BJ1269" s="210"/>
      <c r="BK1269" s="210"/>
      <c r="BL1269" s="210"/>
      <c r="BM1269" s="208"/>
      <c r="BN1269" s="160"/>
      <c r="BO1269" s="161"/>
      <c r="BP1269" s="161"/>
    </row>
    <row r="1270" spans="1:68" ht="25.5">
      <c r="A1270" s="210"/>
      <c r="B1270" s="195" t="s">
        <v>8125</v>
      </c>
      <c r="C1270" s="196" t="s">
        <v>8126</v>
      </c>
      <c r="D1270" s="146" t="s">
        <v>4692</v>
      </c>
      <c r="E1270" s="196" t="s">
        <v>8126</v>
      </c>
      <c r="F1270" s="150">
        <v>0</v>
      </c>
      <c r="G1270" s="209">
        <v>0</v>
      </c>
      <c r="H1270" s="209"/>
      <c r="I1270" s="209">
        <v>0</v>
      </c>
      <c r="J1270" s="150">
        <v>0</v>
      </c>
      <c r="K1270" s="150">
        <v>0</v>
      </c>
      <c r="L1270" s="150">
        <f t="shared" si="1080"/>
        <v>0</v>
      </c>
      <c r="M1270" s="150">
        <v>0</v>
      </c>
      <c r="N1270" s="150"/>
      <c r="O1270" s="150">
        <v>0</v>
      </c>
      <c r="P1270" s="150">
        <v>0</v>
      </c>
      <c r="Q1270" s="150">
        <v>0</v>
      </c>
      <c r="R1270" s="150">
        <f>P1270+Q1270</f>
        <v>0</v>
      </c>
      <c r="S1270" s="150">
        <f t="shared" si="1079"/>
        <v>0</v>
      </c>
      <c r="T1270" s="150"/>
      <c r="U1270" s="150">
        <v>0</v>
      </c>
      <c r="V1270" s="199"/>
      <c r="W1270" s="150">
        <f>U1270+V1270</f>
        <v>0</v>
      </c>
      <c r="X1270" s="150">
        <v>0</v>
      </c>
      <c r="Y1270" s="150"/>
      <c r="Z1270" s="150">
        <v>0</v>
      </c>
      <c r="AA1270" s="150">
        <f t="shared" si="1074"/>
        <v>0</v>
      </c>
      <c r="AB1270" s="150">
        <v>0</v>
      </c>
      <c r="AC1270" s="199"/>
      <c r="AD1270" s="150">
        <f>AB1270+AC1270</f>
        <v>0</v>
      </c>
      <c r="AE1270" s="150">
        <v>0</v>
      </c>
      <c r="AF1270" s="169" t="s">
        <v>4680</v>
      </c>
      <c r="AG1270" s="201">
        <v>0</v>
      </c>
      <c r="AH1270" s="199"/>
      <c r="AI1270" s="150">
        <v>0</v>
      </c>
      <c r="AJ1270" s="169">
        <f t="shared" si="1075"/>
        <v>0</v>
      </c>
      <c r="AK1270" s="201">
        <v>0</v>
      </c>
      <c r="AL1270" s="199"/>
      <c r="AM1270" s="150">
        <f>AK1270+AL1270</f>
        <v>0</v>
      </c>
      <c r="AN1270" s="153">
        <f t="shared" si="1076"/>
        <v>0</v>
      </c>
      <c r="AO1270" s="154">
        <f t="shared" si="1077"/>
        <v>0</v>
      </c>
      <c r="AP1270" s="150">
        <v>0</v>
      </c>
      <c r="AQ1270" s="201">
        <v>0</v>
      </c>
      <c r="AR1270" s="199"/>
      <c r="AS1270" s="150">
        <f>AQ1270+AR1270</f>
        <v>0</v>
      </c>
      <c r="AT1270" s="155"/>
      <c r="AU1270" s="156">
        <f t="shared" si="1071"/>
        <v>0</v>
      </c>
      <c r="AV1270" s="156">
        <f t="shared" si="1072"/>
        <v>0</v>
      </c>
      <c r="AW1270" s="157"/>
      <c r="AX1270" s="150">
        <v>0</v>
      </c>
      <c r="AY1270" s="150">
        <v>0</v>
      </c>
      <c r="AZ1270" s="150"/>
      <c r="BA1270" s="150">
        <f t="shared" si="1091"/>
        <v>0</v>
      </c>
      <c r="BB1270" s="210"/>
      <c r="BC1270" s="210"/>
      <c r="BD1270" s="210"/>
      <c r="BE1270" s="210"/>
      <c r="BF1270" s="210"/>
      <c r="BG1270" s="210"/>
      <c r="BH1270" s="217"/>
      <c r="BI1270" s="210"/>
      <c r="BJ1270" s="210"/>
      <c r="BK1270" s="210"/>
      <c r="BL1270" s="210"/>
      <c r="BM1270" s="208"/>
      <c r="BN1270" s="160"/>
      <c r="BO1270" s="161"/>
      <c r="BP1270" s="161"/>
    </row>
    <row r="1271" spans="1:68" ht="25.5">
      <c r="A1271" s="210"/>
      <c r="B1271" s="195" t="s">
        <v>8127</v>
      </c>
      <c r="C1271" s="196" t="s">
        <v>8128</v>
      </c>
      <c r="D1271" s="146" t="s">
        <v>4692</v>
      </c>
      <c r="E1271" s="196" t="s">
        <v>8128</v>
      </c>
      <c r="F1271" s="150">
        <v>0</v>
      </c>
      <c r="G1271" s="209">
        <v>4060873.65</v>
      </c>
      <c r="H1271" s="209">
        <v>33853.168589999899</v>
      </c>
      <c r="I1271" s="209">
        <v>4094726.8185899998</v>
      </c>
      <c r="J1271" s="150">
        <v>0</v>
      </c>
      <c r="K1271" s="150">
        <v>0</v>
      </c>
      <c r="L1271" s="150">
        <f t="shared" si="1080"/>
        <v>0</v>
      </c>
      <c r="M1271" s="150">
        <v>0</v>
      </c>
      <c r="N1271" s="150"/>
      <c r="O1271" s="150">
        <v>0</v>
      </c>
      <c r="P1271" s="150">
        <v>0</v>
      </c>
      <c r="Q1271" s="150">
        <v>0</v>
      </c>
      <c r="R1271" s="150">
        <f>P1271+Q1271</f>
        <v>0</v>
      </c>
      <c r="S1271" s="150">
        <f t="shared" si="1079"/>
        <v>0</v>
      </c>
      <c r="T1271" s="150"/>
      <c r="U1271" s="150">
        <v>0</v>
      </c>
      <c r="V1271" s="199"/>
      <c r="W1271" s="150">
        <f>U1271+V1271</f>
        <v>0</v>
      </c>
      <c r="X1271" s="150">
        <v>0</v>
      </c>
      <c r="Y1271" s="150"/>
      <c r="Z1271" s="150">
        <v>0</v>
      </c>
      <c r="AA1271" s="150">
        <f t="shared" si="1074"/>
        <v>0</v>
      </c>
      <c r="AB1271" s="150">
        <v>0</v>
      </c>
      <c r="AC1271" s="199"/>
      <c r="AD1271" s="150">
        <f>AB1271+AC1271</f>
        <v>0</v>
      </c>
      <c r="AE1271" s="150">
        <v>0</v>
      </c>
      <c r="AF1271" s="169" t="s">
        <v>4680</v>
      </c>
      <c r="AG1271" s="201">
        <v>0</v>
      </c>
      <c r="AH1271" s="199"/>
      <c r="AI1271" s="150">
        <v>0</v>
      </c>
      <c r="AJ1271" s="169">
        <f t="shared" si="1075"/>
        <v>0</v>
      </c>
      <c r="AK1271" s="201">
        <v>0</v>
      </c>
      <c r="AL1271" s="199"/>
      <c r="AM1271" s="150">
        <f>AK1271+AL1271</f>
        <v>0</v>
      </c>
      <c r="AN1271" s="153">
        <f t="shared" si="1076"/>
        <v>0</v>
      </c>
      <c r="AO1271" s="154">
        <f t="shared" si="1077"/>
        <v>0</v>
      </c>
      <c r="AP1271" s="150">
        <v>0</v>
      </c>
      <c r="AQ1271" s="201">
        <v>0</v>
      </c>
      <c r="AR1271" s="199"/>
      <c r="AS1271" s="150">
        <f>AQ1271+AR1271</f>
        <v>0</v>
      </c>
      <c r="AT1271" s="155"/>
      <c r="AU1271" s="156">
        <f t="shared" si="1071"/>
        <v>0</v>
      </c>
      <c r="AV1271" s="156">
        <f t="shared" si="1072"/>
        <v>0</v>
      </c>
      <c r="AW1271" s="157"/>
      <c r="AX1271" s="150">
        <v>0</v>
      </c>
      <c r="AY1271" s="150">
        <v>0</v>
      </c>
      <c r="AZ1271" s="150"/>
      <c r="BA1271" s="150">
        <f t="shared" si="1091"/>
        <v>0</v>
      </c>
      <c r="BB1271" s="210"/>
      <c r="BC1271" s="210"/>
      <c r="BD1271" s="210"/>
      <c r="BE1271" s="210"/>
      <c r="BF1271" s="210"/>
      <c r="BG1271" s="210"/>
      <c r="BH1271" s="217"/>
      <c r="BI1271" s="210"/>
      <c r="BJ1271" s="210"/>
      <c r="BK1271" s="210"/>
      <c r="BL1271" s="210"/>
      <c r="BM1271" s="208"/>
      <c r="BN1271" s="160"/>
      <c r="BO1271" s="161">
        <f t="shared" si="1092"/>
        <v>0</v>
      </c>
      <c r="BP1271" s="161"/>
    </row>
    <row r="1272" spans="1:68" ht="38.25">
      <c r="A1272" s="255" t="s">
        <v>466</v>
      </c>
      <c r="B1272" s="174"/>
      <c r="C1272" s="175" t="s">
        <v>72</v>
      </c>
      <c r="D1272" s="146" t="s">
        <v>4692</v>
      </c>
      <c r="E1272" s="175" t="s">
        <v>72</v>
      </c>
      <c r="F1272" s="176">
        <v>4061788.67</v>
      </c>
      <c r="G1272" s="177">
        <v>4060873.65</v>
      </c>
      <c r="H1272" s="177">
        <v>33853.168589999899</v>
      </c>
      <c r="I1272" s="177">
        <v>4094726.8185899998</v>
      </c>
      <c r="J1272" s="176">
        <f>J1273</f>
        <v>72095.97</v>
      </c>
      <c r="K1272" s="176">
        <f>K1273</f>
        <v>876850.91918000008</v>
      </c>
      <c r="L1272" s="176">
        <f t="shared" si="1080"/>
        <v>948946.88918000006</v>
      </c>
      <c r="M1272" s="178">
        <v>1335096.8</v>
      </c>
      <c r="N1272" s="178">
        <v>695797.53499999992</v>
      </c>
      <c r="O1272" s="178">
        <v>2030894.335</v>
      </c>
      <c r="P1272" s="221">
        <f t="shared" ref="P1272:AS1272" si="1117">P1273</f>
        <v>2621505.35</v>
      </c>
      <c r="Q1272" s="221">
        <f t="shared" si="1117"/>
        <v>0</v>
      </c>
      <c r="R1272" s="221">
        <f t="shared" si="1117"/>
        <v>2621505.35</v>
      </c>
      <c r="S1272" s="150">
        <f t="shared" si="1079"/>
        <v>3495340.4666666668</v>
      </c>
      <c r="T1272" s="213"/>
      <c r="U1272" s="221">
        <f t="shared" ref="U1272:W1272" si="1118">U1273</f>
        <v>4031231.23</v>
      </c>
      <c r="V1272" s="222">
        <f t="shared" si="1118"/>
        <v>65886.12957999995</v>
      </c>
      <c r="W1272" s="221">
        <f t="shared" si="1118"/>
        <v>4097117.3595799999</v>
      </c>
      <c r="X1272" s="221">
        <v>4031231.23</v>
      </c>
      <c r="Y1272" s="221">
        <v>65886.12957999995</v>
      </c>
      <c r="Z1272" s="221">
        <v>4097117.3595799999</v>
      </c>
      <c r="AA1272" s="221">
        <f t="shared" si="1074"/>
        <v>0</v>
      </c>
      <c r="AB1272" s="221">
        <v>4094154.9</v>
      </c>
      <c r="AC1272" s="222">
        <v>2962.4595800000243</v>
      </c>
      <c r="AD1272" s="221">
        <f t="shared" si="1117"/>
        <v>4097117.3595799999</v>
      </c>
      <c r="AE1272" s="221">
        <v>4097117.3595799999</v>
      </c>
      <c r="AF1272" s="169" t="s">
        <v>4680</v>
      </c>
      <c r="AG1272" s="223">
        <v>4094154.9</v>
      </c>
      <c r="AH1272" s="222">
        <v>2962.4595800000243</v>
      </c>
      <c r="AI1272" s="221">
        <v>4097117.3595799999</v>
      </c>
      <c r="AJ1272" s="169">
        <f t="shared" si="1075"/>
        <v>0</v>
      </c>
      <c r="AK1272" s="223">
        <v>4094154.9</v>
      </c>
      <c r="AL1272" s="222">
        <v>2962.4595800000243</v>
      </c>
      <c r="AM1272" s="221">
        <f t="shared" si="1117"/>
        <v>4097117.3595799999</v>
      </c>
      <c r="AN1272" s="153">
        <f t="shared" si="1076"/>
        <v>4.1999993845820427E-4</v>
      </c>
      <c r="AO1272" s="154">
        <f t="shared" si="1077"/>
        <v>4.1999993845820427E-4</v>
      </c>
      <c r="AP1272" s="221">
        <v>4097117.3595799999</v>
      </c>
      <c r="AQ1272" s="223">
        <v>4097117.36</v>
      </c>
      <c r="AR1272" s="222">
        <f t="shared" si="1117"/>
        <v>0</v>
      </c>
      <c r="AS1272" s="221">
        <f t="shared" si="1117"/>
        <v>4097117.36</v>
      </c>
      <c r="AT1272" s="155"/>
      <c r="AU1272" s="156">
        <f t="shared" si="1071"/>
        <v>0</v>
      </c>
      <c r="AV1272" s="156">
        <f t="shared" si="1072"/>
        <v>0</v>
      </c>
      <c r="AW1272" s="157"/>
      <c r="AX1272" s="150">
        <v>4097117.3595799999</v>
      </c>
      <c r="AY1272" s="221">
        <f t="shared" ref="AY1272:BA1272" si="1119">AY1273</f>
        <v>2279366.0099999998</v>
      </c>
      <c r="AZ1272" s="221">
        <f t="shared" si="1119"/>
        <v>1639682.9900000002</v>
      </c>
      <c r="BA1272" s="221">
        <f t="shared" si="1119"/>
        <v>3919049</v>
      </c>
      <c r="BB1272" s="254">
        <v>5</v>
      </c>
      <c r="BC1272" s="255" t="s">
        <v>671</v>
      </c>
      <c r="BD1272" s="255" t="s">
        <v>671</v>
      </c>
      <c r="BE1272" s="173" t="s">
        <v>630</v>
      </c>
      <c r="BF1272" s="255" t="s">
        <v>630</v>
      </c>
      <c r="BG1272" s="175" t="s">
        <v>72</v>
      </c>
      <c r="BH1272" s="224">
        <f>BH1273</f>
        <v>4097117.36</v>
      </c>
      <c r="BI1272" s="254"/>
      <c r="BJ1272" s="255" t="s">
        <v>8129</v>
      </c>
      <c r="BK1272" s="255" t="s">
        <v>466</v>
      </c>
      <c r="BL1272" s="182" t="s">
        <v>8130</v>
      </c>
      <c r="BM1272" s="224">
        <f>BM1273</f>
        <v>4097117.36</v>
      </c>
      <c r="BN1272" s="160"/>
      <c r="BO1272" s="161">
        <f t="shared" si="1092"/>
        <v>0</v>
      </c>
      <c r="BP1272" s="161"/>
    </row>
    <row r="1273" spans="1:68" ht="38.25">
      <c r="A1273" s="256" t="s">
        <v>466</v>
      </c>
      <c r="B1273" s="184"/>
      <c r="C1273" s="185" t="s">
        <v>72</v>
      </c>
      <c r="D1273" s="146" t="s">
        <v>4692</v>
      </c>
      <c r="E1273" s="185" t="s">
        <v>72</v>
      </c>
      <c r="F1273" s="188">
        <v>4061788.67</v>
      </c>
      <c r="G1273" s="187">
        <v>4060873.65</v>
      </c>
      <c r="H1273" s="187">
        <v>33853.168589999899</v>
      </c>
      <c r="I1273" s="187">
        <v>4094726.8185899998</v>
      </c>
      <c r="J1273" s="188">
        <f>SUM(J1274:J1278)</f>
        <v>72095.97</v>
      </c>
      <c r="K1273" s="188">
        <f>SUM(K1274:K1278)</f>
        <v>876850.91918000008</v>
      </c>
      <c r="L1273" s="188">
        <f t="shared" si="1080"/>
        <v>948946.88918000006</v>
      </c>
      <c r="M1273" s="188">
        <v>1335096.8</v>
      </c>
      <c r="N1273" s="188">
        <v>695797.53499999992</v>
      </c>
      <c r="O1273" s="188">
        <v>2030894.335</v>
      </c>
      <c r="P1273" s="299">
        <f t="shared" ref="P1273:R1273" si="1120">SUM(P1274:P1278)</f>
        <v>2621505.35</v>
      </c>
      <c r="Q1273" s="299">
        <f t="shared" si="1120"/>
        <v>0</v>
      </c>
      <c r="R1273" s="299">
        <f t="shared" si="1120"/>
        <v>2621505.35</v>
      </c>
      <c r="S1273" s="150">
        <f t="shared" si="1079"/>
        <v>3495340.4666666668</v>
      </c>
      <c r="T1273" s="213"/>
      <c r="U1273" s="299">
        <f t="shared" ref="U1273:W1273" si="1121">SUM(U1274:U1278)</f>
        <v>4031231.23</v>
      </c>
      <c r="V1273" s="226">
        <f t="shared" si="1121"/>
        <v>65886.12957999995</v>
      </c>
      <c r="W1273" s="299">
        <f t="shared" si="1121"/>
        <v>4097117.3595799999</v>
      </c>
      <c r="X1273" s="299">
        <v>4031231.23</v>
      </c>
      <c r="Y1273" s="299">
        <v>65886.12957999995</v>
      </c>
      <c r="Z1273" s="299">
        <v>4097117.3595799999</v>
      </c>
      <c r="AA1273" s="299">
        <f t="shared" si="1074"/>
        <v>0</v>
      </c>
      <c r="AB1273" s="299">
        <v>4094154.9</v>
      </c>
      <c r="AC1273" s="226">
        <v>2962.4595800000243</v>
      </c>
      <c r="AD1273" s="299">
        <f t="shared" ref="AD1273" si="1122">SUM(AD1274:AD1278)</f>
        <v>4097117.3595799999</v>
      </c>
      <c r="AE1273" s="299">
        <v>4097117.3595799999</v>
      </c>
      <c r="AF1273" s="169" t="s">
        <v>4680</v>
      </c>
      <c r="AG1273" s="301">
        <v>4094154.9</v>
      </c>
      <c r="AH1273" s="226">
        <v>2962.4595800000243</v>
      </c>
      <c r="AI1273" s="299">
        <v>4097117.3595799999</v>
      </c>
      <c r="AJ1273" s="169">
        <f t="shared" si="1075"/>
        <v>0</v>
      </c>
      <c r="AK1273" s="301">
        <v>4094154.9</v>
      </c>
      <c r="AL1273" s="226">
        <v>2962.4595800000243</v>
      </c>
      <c r="AM1273" s="299">
        <f t="shared" ref="AM1273" si="1123">SUM(AM1274:AM1278)</f>
        <v>4097117.3595799999</v>
      </c>
      <c r="AN1273" s="153">
        <f t="shared" si="1076"/>
        <v>4.1999993845820427E-4</v>
      </c>
      <c r="AO1273" s="154">
        <f t="shared" si="1077"/>
        <v>4.1999993845820427E-4</v>
      </c>
      <c r="AP1273" s="299">
        <v>4097117.3595799999</v>
      </c>
      <c r="AQ1273" s="301">
        <v>4097117.36</v>
      </c>
      <c r="AR1273" s="226">
        <f t="shared" ref="AR1273:AS1273" si="1124">SUM(AR1274:AR1278)</f>
        <v>0</v>
      </c>
      <c r="AS1273" s="299">
        <f t="shared" si="1124"/>
        <v>4097117.36</v>
      </c>
      <c r="AT1273" s="155"/>
      <c r="AU1273" s="156">
        <f t="shared" si="1071"/>
        <v>0</v>
      </c>
      <c r="AV1273" s="156">
        <f t="shared" si="1072"/>
        <v>0</v>
      </c>
      <c r="AW1273" s="157"/>
      <c r="AX1273" s="150">
        <v>4097117.3595799999</v>
      </c>
      <c r="AY1273" s="299">
        <f t="shared" ref="AY1273:BA1273" si="1125">SUM(AY1274:AY1278)</f>
        <v>2279366.0099999998</v>
      </c>
      <c r="AZ1273" s="299">
        <f t="shared" si="1125"/>
        <v>1639682.9900000002</v>
      </c>
      <c r="BA1273" s="299">
        <f t="shared" si="1125"/>
        <v>3919049</v>
      </c>
      <c r="BB1273" s="192">
        <v>5</v>
      </c>
      <c r="BC1273" s="256" t="s">
        <v>671</v>
      </c>
      <c r="BD1273" s="256" t="s">
        <v>671</v>
      </c>
      <c r="BE1273" s="256" t="s">
        <v>632</v>
      </c>
      <c r="BF1273" s="256" t="s">
        <v>630</v>
      </c>
      <c r="BG1273" s="185" t="s">
        <v>72</v>
      </c>
      <c r="BH1273" s="302">
        <f>SUM(BH1274:BH1278)</f>
        <v>4097117.36</v>
      </c>
      <c r="BI1273" s="192"/>
      <c r="BJ1273" s="256" t="s">
        <v>8129</v>
      </c>
      <c r="BK1273" s="256" t="s">
        <v>466</v>
      </c>
      <c r="BL1273" s="238" t="s">
        <v>8130</v>
      </c>
      <c r="BM1273" s="302">
        <f>SUM(BM1274:BM1278)</f>
        <v>4097117.36</v>
      </c>
      <c r="BN1273" s="160"/>
      <c r="BO1273" s="161">
        <f t="shared" si="1092"/>
        <v>0</v>
      </c>
      <c r="BP1273" s="161"/>
    </row>
    <row r="1274" spans="1:68" ht="51">
      <c r="A1274" s="206" t="s">
        <v>466</v>
      </c>
      <c r="B1274" s="195" t="s">
        <v>8131</v>
      </c>
      <c r="C1274" s="196" t="s">
        <v>8132</v>
      </c>
      <c r="D1274" s="146" t="s">
        <v>4692</v>
      </c>
      <c r="E1274" s="196" t="s">
        <v>8132</v>
      </c>
      <c r="F1274" s="150">
        <v>4061788.67</v>
      </c>
      <c r="G1274" s="209">
        <v>0</v>
      </c>
      <c r="H1274" s="209"/>
      <c r="I1274" s="209">
        <v>0</v>
      </c>
      <c r="J1274" s="150">
        <v>72095.97</v>
      </c>
      <c r="K1274" s="150">
        <v>876850.91918000008</v>
      </c>
      <c r="L1274" s="150">
        <f t="shared" si="1080"/>
        <v>948946.88918000006</v>
      </c>
      <c r="M1274" s="150">
        <v>1335096.8</v>
      </c>
      <c r="N1274" s="150">
        <v>695797.53499999992</v>
      </c>
      <c r="O1274" s="150">
        <v>2030894.335</v>
      </c>
      <c r="P1274" s="150">
        <v>2621505.35</v>
      </c>
      <c r="Q1274" s="150"/>
      <c r="R1274" s="150">
        <f>P1274+Q1274</f>
        <v>2621505.35</v>
      </c>
      <c r="S1274" s="150">
        <f t="shared" si="1079"/>
        <v>3495340.4666666668</v>
      </c>
      <c r="T1274" s="150"/>
      <c r="U1274" s="150">
        <v>4031231.23</v>
      </c>
      <c r="V1274" s="199">
        <v>65886.12957999995</v>
      </c>
      <c r="W1274" s="150">
        <f>U1274+V1274</f>
        <v>4097117.3595799999</v>
      </c>
      <c r="X1274" s="150">
        <v>4031231.23</v>
      </c>
      <c r="Y1274" s="150">
        <v>65886.12957999995</v>
      </c>
      <c r="Z1274" s="150">
        <v>4097117.3595799999</v>
      </c>
      <c r="AA1274" s="150">
        <f t="shared" si="1074"/>
        <v>0</v>
      </c>
      <c r="AB1274" s="150">
        <v>4094154.9</v>
      </c>
      <c r="AC1274" s="199">
        <v>2962.4595800000243</v>
      </c>
      <c r="AD1274" s="150">
        <f>AB1274+AC1274</f>
        <v>4097117.3595799999</v>
      </c>
      <c r="AE1274" s="150">
        <v>4097117.3595799999</v>
      </c>
      <c r="AF1274" s="169" t="s">
        <v>4680</v>
      </c>
      <c r="AG1274" s="201">
        <v>4094154.9</v>
      </c>
      <c r="AH1274" s="199">
        <v>2962.4595800000243</v>
      </c>
      <c r="AI1274" s="150">
        <v>4097117.3595799999</v>
      </c>
      <c r="AJ1274" s="169">
        <f t="shared" si="1075"/>
        <v>0</v>
      </c>
      <c r="AK1274" s="201">
        <v>4094154.9</v>
      </c>
      <c r="AL1274" s="199">
        <v>2962.4595800000243</v>
      </c>
      <c r="AM1274" s="150">
        <f>AK1274+AL1274</f>
        <v>4097117.3595799999</v>
      </c>
      <c r="AN1274" s="153">
        <f t="shared" si="1076"/>
        <v>4.1999993845820427E-4</v>
      </c>
      <c r="AO1274" s="154">
        <f t="shared" si="1077"/>
        <v>4.1999993845820427E-4</v>
      </c>
      <c r="AP1274" s="150">
        <v>4097117.3595799999</v>
      </c>
      <c r="AQ1274" s="201">
        <v>4097117.36</v>
      </c>
      <c r="AR1274" s="199"/>
      <c r="AS1274" s="150">
        <f>AQ1274+AR1274</f>
        <v>4097117.36</v>
      </c>
      <c r="AT1274" s="155" t="s">
        <v>8112</v>
      </c>
      <c r="AU1274" s="156">
        <f t="shared" si="1071"/>
        <v>0</v>
      </c>
      <c r="AV1274" s="156">
        <f t="shared" si="1072"/>
        <v>0</v>
      </c>
      <c r="AW1274" s="157" t="s">
        <v>8112</v>
      </c>
      <c r="AX1274" s="150">
        <v>4097117.3595799999</v>
      </c>
      <c r="AY1274" s="150">
        <v>2279366.0099999998</v>
      </c>
      <c r="AZ1274" s="237">
        <f>3919049-AY1274</f>
        <v>1639682.9900000002</v>
      </c>
      <c r="BA1274" s="150">
        <f t="shared" si="1091"/>
        <v>3919049</v>
      </c>
      <c r="BB1274" s="202">
        <v>5</v>
      </c>
      <c r="BC1274" s="202" t="s">
        <v>671</v>
      </c>
      <c r="BD1274" s="202" t="s">
        <v>671</v>
      </c>
      <c r="BE1274" s="202" t="s">
        <v>632</v>
      </c>
      <c r="BF1274" s="202" t="s">
        <v>632</v>
      </c>
      <c r="BG1274" s="203" t="s">
        <v>72</v>
      </c>
      <c r="BH1274" s="216">
        <f>SUM(AS1274:AS1278)</f>
        <v>4097117.36</v>
      </c>
      <c r="BI1274" s="205"/>
      <c r="BJ1274" s="206" t="s">
        <v>8129</v>
      </c>
      <c r="BK1274" s="206" t="s">
        <v>466</v>
      </c>
      <c r="BL1274" s="207" t="s">
        <v>8130</v>
      </c>
      <c r="BM1274" s="208">
        <f>BH1274</f>
        <v>4097117.36</v>
      </c>
      <c r="BN1274" s="160"/>
      <c r="BO1274" s="161">
        <f t="shared" si="1092"/>
        <v>0</v>
      </c>
      <c r="BP1274" s="161"/>
    </row>
    <row r="1275" spans="1:68" ht="38.25">
      <c r="A1275" s="210"/>
      <c r="B1275" s="195" t="s">
        <v>8133</v>
      </c>
      <c r="C1275" s="196" t="s">
        <v>8134</v>
      </c>
      <c r="D1275" s="146" t="s">
        <v>4692</v>
      </c>
      <c r="E1275" s="196" t="s">
        <v>8134</v>
      </c>
      <c r="F1275" s="150">
        <v>0</v>
      </c>
      <c r="G1275" s="209">
        <v>0</v>
      </c>
      <c r="H1275" s="209"/>
      <c r="I1275" s="209">
        <v>0</v>
      </c>
      <c r="J1275" s="150">
        <v>0</v>
      </c>
      <c r="K1275" s="150">
        <v>0</v>
      </c>
      <c r="L1275" s="150">
        <f t="shared" si="1080"/>
        <v>0</v>
      </c>
      <c r="M1275" s="150">
        <v>0</v>
      </c>
      <c r="N1275" s="150"/>
      <c r="O1275" s="150">
        <v>0</v>
      </c>
      <c r="P1275" s="150">
        <v>0</v>
      </c>
      <c r="Q1275" s="150">
        <v>0</v>
      </c>
      <c r="R1275" s="150">
        <f>P1275+Q1275</f>
        <v>0</v>
      </c>
      <c r="S1275" s="150">
        <f t="shared" si="1079"/>
        <v>0</v>
      </c>
      <c r="T1275" s="150"/>
      <c r="U1275" s="150">
        <v>0</v>
      </c>
      <c r="V1275" s="199"/>
      <c r="W1275" s="150">
        <f>U1275+V1275</f>
        <v>0</v>
      </c>
      <c r="X1275" s="150">
        <v>0</v>
      </c>
      <c r="Y1275" s="150"/>
      <c r="Z1275" s="150">
        <v>0</v>
      </c>
      <c r="AA1275" s="150">
        <f t="shared" si="1074"/>
        <v>0</v>
      </c>
      <c r="AB1275" s="150">
        <v>0</v>
      </c>
      <c r="AC1275" s="199"/>
      <c r="AD1275" s="150">
        <f>AB1275+AC1275</f>
        <v>0</v>
      </c>
      <c r="AE1275" s="150">
        <v>0</v>
      </c>
      <c r="AF1275" s="169" t="s">
        <v>4680</v>
      </c>
      <c r="AG1275" s="201">
        <v>0</v>
      </c>
      <c r="AH1275" s="199"/>
      <c r="AI1275" s="150">
        <v>0</v>
      </c>
      <c r="AJ1275" s="169">
        <f t="shared" si="1075"/>
        <v>0</v>
      </c>
      <c r="AK1275" s="201">
        <v>0</v>
      </c>
      <c r="AL1275" s="199"/>
      <c r="AM1275" s="150">
        <f>AK1275+AL1275</f>
        <v>0</v>
      </c>
      <c r="AN1275" s="153">
        <f t="shared" si="1076"/>
        <v>0</v>
      </c>
      <c r="AO1275" s="154">
        <f t="shared" si="1077"/>
        <v>0</v>
      </c>
      <c r="AP1275" s="150">
        <v>0</v>
      </c>
      <c r="AQ1275" s="201">
        <v>0</v>
      </c>
      <c r="AR1275" s="199"/>
      <c r="AS1275" s="150">
        <f>AQ1275+AR1275</f>
        <v>0</v>
      </c>
      <c r="AT1275" s="155"/>
      <c r="AU1275" s="156">
        <f t="shared" si="1071"/>
        <v>0</v>
      </c>
      <c r="AV1275" s="156">
        <f t="shared" si="1072"/>
        <v>0</v>
      </c>
      <c r="AW1275" s="157"/>
      <c r="AX1275" s="150">
        <v>0</v>
      </c>
      <c r="AY1275" s="150">
        <v>0</v>
      </c>
      <c r="AZ1275" s="150"/>
      <c r="BA1275" s="150">
        <f t="shared" si="1091"/>
        <v>0</v>
      </c>
      <c r="BB1275" s="210"/>
      <c r="BC1275" s="210"/>
      <c r="BD1275" s="210"/>
      <c r="BE1275" s="210"/>
      <c r="BF1275" s="210"/>
      <c r="BG1275" s="210"/>
      <c r="BH1275" s="217"/>
      <c r="BI1275" s="210"/>
      <c r="BJ1275" s="210"/>
      <c r="BK1275" s="210"/>
      <c r="BL1275" s="210"/>
      <c r="BM1275" s="208"/>
      <c r="BN1275" s="160"/>
      <c r="BO1275" s="161">
        <f t="shared" si="1092"/>
        <v>0</v>
      </c>
      <c r="BP1275" s="161"/>
    </row>
    <row r="1276" spans="1:68" ht="51">
      <c r="A1276" s="210"/>
      <c r="B1276" s="195" t="s">
        <v>8135</v>
      </c>
      <c r="C1276" s="196" t="s">
        <v>8136</v>
      </c>
      <c r="D1276" s="146" t="s">
        <v>4692</v>
      </c>
      <c r="E1276" s="196" t="s">
        <v>8136</v>
      </c>
      <c r="F1276" s="150">
        <v>0</v>
      </c>
      <c r="G1276" s="209">
        <v>0</v>
      </c>
      <c r="H1276" s="209"/>
      <c r="I1276" s="209">
        <v>0</v>
      </c>
      <c r="J1276" s="150">
        <v>0</v>
      </c>
      <c r="K1276" s="150">
        <v>0</v>
      </c>
      <c r="L1276" s="150">
        <f t="shared" si="1080"/>
        <v>0</v>
      </c>
      <c r="M1276" s="150">
        <v>0</v>
      </c>
      <c r="N1276" s="150"/>
      <c r="O1276" s="150">
        <v>0</v>
      </c>
      <c r="P1276" s="150">
        <v>0</v>
      </c>
      <c r="Q1276" s="150">
        <v>0</v>
      </c>
      <c r="R1276" s="150">
        <f>P1276+Q1276</f>
        <v>0</v>
      </c>
      <c r="S1276" s="150">
        <f t="shared" si="1079"/>
        <v>0</v>
      </c>
      <c r="T1276" s="150"/>
      <c r="U1276" s="150">
        <v>0</v>
      </c>
      <c r="V1276" s="199"/>
      <c r="W1276" s="150">
        <f>U1276+V1276</f>
        <v>0</v>
      </c>
      <c r="X1276" s="150">
        <v>0</v>
      </c>
      <c r="Y1276" s="150"/>
      <c r="Z1276" s="150">
        <v>0</v>
      </c>
      <c r="AA1276" s="150">
        <f t="shared" si="1074"/>
        <v>0</v>
      </c>
      <c r="AB1276" s="150">
        <v>0</v>
      </c>
      <c r="AC1276" s="199"/>
      <c r="AD1276" s="150">
        <f>AB1276+AC1276</f>
        <v>0</v>
      </c>
      <c r="AE1276" s="150">
        <v>0</v>
      </c>
      <c r="AF1276" s="169" t="s">
        <v>4680</v>
      </c>
      <c r="AG1276" s="201">
        <v>0</v>
      </c>
      <c r="AH1276" s="199"/>
      <c r="AI1276" s="150">
        <v>0</v>
      </c>
      <c r="AJ1276" s="169">
        <f t="shared" si="1075"/>
        <v>0</v>
      </c>
      <c r="AK1276" s="201">
        <v>0</v>
      </c>
      <c r="AL1276" s="199"/>
      <c r="AM1276" s="150">
        <f>AK1276+AL1276</f>
        <v>0</v>
      </c>
      <c r="AN1276" s="153">
        <f t="shared" si="1076"/>
        <v>0</v>
      </c>
      <c r="AO1276" s="154">
        <f t="shared" si="1077"/>
        <v>0</v>
      </c>
      <c r="AP1276" s="150">
        <v>0</v>
      </c>
      <c r="AQ1276" s="201">
        <v>0</v>
      </c>
      <c r="AR1276" s="199"/>
      <c r="AS1276" s="150">
        <f>AQ1276+AR1276</f>
        <v>0</v>
      </c>
      <c r="AT1276" s="155"/>
      <c r="AU1276" s="156">
        <f t="shared" si="1071"/>
        <v>0</v>
      </c>
      <c r="AV1276" s="156">
        <f t="shared" si="1072"/>
        <v>0</v>
      </c>
      <c r="AW1276" s="157"/>
      <c r="AX1276" s="150">
        <v>0</v>
      </c>
      <c r="AY1276" s="150">
        <v>0</v>
      </c>
      <c r="AZ1276" s="150"/>
      <c r="BA1276" s="150">
        <f t="shared" si="1091"/>
        <v>0</v>
      </c>
      <c r="BB1276" s="210"/>
      <c r="BC1276" s="210"/>
      <c r="BD1276" s="210"/>
      <c r="BE1276" s="210"/>
      <c r="BF1276" s="210"/>
      <c r="BG1276" s="210"/>
      <c r="BH1276" s="217"/>
      <c r="BI1276" s="210"/>
      <c r="BJ1276" s="210"/>
      <c r="BK1276" s="210"/>
      <c r="BL1276" s="210"/>
      <c r="BM1276" s="208"/>
      <c r="BN1276" s="160"/>
      <c r="BO1276" s="161">
        <f t="shared" si="1092"/>
        <v>0</v>
      </c>
      <c r="BP1276" s="161"/>
    </row>
    <row r="1277" spans="1:68" ht="51">
      <c r="A1277" s="210"/>
      <c r="B1277" s="195" t="s">
        <v>8137</v>
      </c>
      <c r="C1277" s="196" t="s">
        <v>8138</v>
      </c>
      <c r="D1277" s="146" t="s">
        <v>4692</v>
      </c>
      <c r="E1277" s="196" t="s">
        <v>8138</v>
      </c>
      <c r="F1277" s="150">
        <v>0</v>
      </c>
      <c r="G1277" s="209">
        <v>0</v>
      </c>
      <c r="H1277" s="209"/>
      <c r="I1277" s="209">
        <v>0</v>
      </c>
      <c r="J1277" s="150">
        <v>0</v>
      </c>
      <c r="K1277" s="150">
        <v>0</v>
      </c>
      <c r="L1277" s="150">
        <f t="shared" si="1080"/>
        <v>0</v>
      </c>
      <c r="M1277" s="150">
        <v>0</v>
      </c>
      <c r="N1277" s="150"/>
      <c r="O1277" s="150">
        <v>0</v>
      </c>
      <c r="P1277" s="150">
        <v>0</v>
      </c>
      <c r="Q1277" s="150">
        <v>0</v>
      </c>
      <c r="R1277" s="150">
        <f>P1277+Q1277</f>
        <v>0</v>
      </c>
      <c r="S1277" s="150">
        <f t="shared" si="1079"/>
        <v>0</v>
      </c>
      <c r="T1277" s="150"/>
      <c r="U1277" s="150">
        <v>0</v>
      </c>
      <c r="V1277" s="199"/>
      <c r="W1277" s="150">
        <f>U1277+V1277</f>
        <v>0</v>
      </c>
      <c r="X1277" s="150">
        <v>0</v>
      </c>
      <c r="Y1277" s="150"/>
      <c r="Z1277" s="150">
        <v>0</v>
      </c>
      <c r="AA1277" s="150">
        <f t="shared" si="1074"/>
        <v>0</v>
      </c>
      <c r="AB1277" s="150">
        <v>0</v>
      </c>
      <c r="AC1277" s="199"/>
      <c r="AD1277" s="150">
        <f>AB1277+AC1277</f>
        <v>0</v>
      </c>
      <c r="AE1277" s="150">
        <v>0</v>
      </c>
      <c r="AF1277" s="169" t="s">
        <v>4680</v>
      </c>
      <c r="AG1277" s="201">
        <v>0</v>
      </c>
      <c r="AH1277" s="199"/>
      <c r="AI1277" s="150">
        <v>0</v>
      </c>
      <c r="AJ1277" s="169">
        <f t="shared" si="1075"/>
        <v>0</v>
      </c>
      <c r="AK1277" s="201">
        <v>0</v>
      </c>
      <c r="AL1277" s="199"/>
      <c r="AM1277" s="150">
        <f>AK1277+AL1277</f>
        <v>0</v>
      </c>
      <c r="AN1277" s="153">
        <f t="shared" si="1076"/>
        <v>0</v>
      </c>
      <c r="AO1277" s="154">
        <f t="shared" si="1077"/>
        <v>0</v>
      </c>
      <c r="AP1277" s="150">
        <v>0</v>
      </c>
      <c r="AQ1277" s="201">
        <v>0</v>
      </c>
      <c r="AR1277" s="199"/>
      <c r="AS1277" s="150">
        <f>AQ1277+AR1277</f>
        <v>0</v>
      </c>
      <c r="AT1277" s="155"/>
      <c r="AU1277" s="156">
        <f t="shared" si="1071"/>
        <v>0</v>
      </c>
      <c r="AV1277" s="156">
        <f t="shared" si="1072"/>
        <v>0</v>
      </c>
      <c r="AW1277" s="157"/>
      <c r="AX1277" s="150">
        <v>0</v>
      </c>
      <c r="AY1277" s="150">
        <v>0</v>
      </c>
      <c r="AZ1277" s="150"/>
      <c r="BA1277" s="150">
        <f t="shared" si="1091"/>
        <v>0</v>
      </c>
      <c r="BB1277" s="210"/>
      <c r="BC1277" s="210"/>
      <c r="BD1277" s="210"/>
      <c r="BE1277" s="210"/>
      <c r="BF1277" s="210"/>
      <c r="BG1277" s="210"/>
      <c r="BH1277" s="217"/>
      <c r="BI1277" s="210"/>
      <c r="BJ1277" s="210"/>
      <c r="BK1277" s="210"/>
      <c r="BL1277" s="210"/>
      <c r="BM1277" s="208"/>
      <c r="BN1277" s="160"/>
      <c r="BO1277" s="161">
        <f t="shared" si="1092"/>
        <v>0</v>
      </c>
      <c r="BP1277" s="161"/>
    </row>
    <row r="1278" spans="1:68" ht="51">
      <c r="A1278" s="210"/>
      <c r="B1278" s="195" t="s">
        <v>8139</v>
      </c>
      <c r="C1278" s="196" t="s">
        <v>8140</v>
      </c>
      <c r="D1278" s="146" t="s">
        <v>4692</v>
      </c>
      <c r="E1278" s="196" t="s">
        <v>8140</v>
      </c>
      <c r="F1278" s="150">
        <v>0</v>
      </c>
      <c r="G1278" s="209">
        <v>0</v>
      </c>
      <c r="H1278" s="209">
        <v>0</v>
      </c>
      <c r="I1278" s="209">
        <v>0</v>
      </c>
      <c r="J1278" s="150">
        <v>0</v>
      </c>
      <c r="K1278" s="150">
        <v>0</v>
      </c>
      <c r="L1278" s="150">
        <f t="shared" si="1080"/>
        <v>0</v>
      </c>
      <c r="M1278" s="150">
        <v>0</v>
      </c>
      <c r="N1278" s="150"/>
      <c r="O1278" s="150">
        <v>0</v>
      </c>
      <c r="P1278" s="150">
        <v>0</v>
      </c>
      <c r="Q1278" s="150">
        <v>0</v>
      </c>
      <c r="R1278" s="150">
        <f>P1278+Q1278</f>
        <v>0</v>
      </c>
      <c r="S1278" s="150">
        <f t="shared" si="1079"/>
        <v>0</v>
      </c>
      <c r="T1278" s="150"/>
      <c r="U1278" s="150">
        <v>0</v>
      </c>
      <c r="V1278" s="199"/>
      <c r="W1278" s="150">
        <f>U1278+V1278</f>
        <v>0</v>
      </c>
      <c r="X1278" s="150">
        <v>0</v>
      </c>
      <c r="Y1278" s="150"/>
      <c r="Z1278" s="150">
        <v>0</v>
      </c>
      <c r="AA1278" s="150">
        <f t="shared" si="1074"/>
        <v>0</v>
      </c>
      <c r="AB1278" s="150">
        <v>0</v>
      </c>
      <c r="AC1278" s="199"/>
      <c r="AD1278" s="150">
        <f>AB1278+AC1278</f>
        <v>0</v>
      </c>
      <c r="AE1278" s="150">
        <v>0</v>
      </c>
      <c r="AF1278" s="169" t="s">
        <v>4680</v>
      </c>
      <c r="AG1278" s="201">
        <v>0</v>
      </c>
      <c r="AH1278" s="199"/>
      <c r="AI1278" s="150">
        <v>0</v>
      </c>
      <c r="AJ1278" s="169">
        <f t="shared" si="1075"/>
        <v>0</v>
      </c>
      <c r="AK1278" s="201">
        <v>0</v>
      </c>
      <c r="AL1278" s="199"/>
      <c r="AM1278" s="150">
        <f>AK1278+AL1278</f>
        <v>0</v>
      </c>
      <c r="AN1278" s="153">
        <f t="shared" si="1076"/>
        <v>0</v>
      </c>
      <c r="AO1278" s="154">
        <f t="shared" si="1077"/>
        <v>0</v>
      </c>
      <c r="AP1278" s="150">
        <v>0</v>
      </c>
      <c r="AQ1278" s="201">
        <v>0</v>
      </c>
      <c r="AR1278" s="199"/>
      <c r="AS1278" s="150">
        <f>AQ1278+AR1278</f>
        <v>0</v>
      </c>
      <c r="AT1278" s="155"/>
      <c r="AU1278" s="156">
        <f t="shared" si="1071"/>
        <v>0</v>
      </c>
      <c r="AV1278" s="156">
        <f t="shared" si="1072"/>
        <v>0</v>
      </c>
      <c r="AW1278" s="157"/>
      <c r="AX1278" s="150">
        <v>0</v>
      </c>
      <c r="AY1278" s="150">
        <v>0</v>
      </c>
      <c r="AZ1278" s="150"/>
      <c r="BA1278" s="150">
        <f t="shared" si="1091"/>
        <v>0</v>
      </c>
      <c r="BB1278" s="210"/>
      <c r="BC1278" s="210"/>
      <c r="BD1278" s="210"/>
      <c r="BE1278" s="210"/>
      <c r="BF1278" s="210"/>
      <c r="BG1278" s="210"/>
      <c r="BH1278" s="217"/>
      <c r="BI1278" s="210"/>
      <c r="BJ1278" s="210"/>
      <c r="BK1278" s="210"/>
      <c r="BL1278" s="210"/>
      <c r="BM1278" s="208"/>
      <c r="BN1278" s="160"/>
      <c r="BO1278" s="161">
        <f t="shared" si="1092"/>
        <v>0</v>
      </c>
      <c r="BP1278" s="161"/>
    </row>
    <row r="1279" spans="1:68" ht="25.5">
      <c r="A1279" s="255" t="s">
        <v>467</v>
      </c>
      <c r="B1279" s="174"/>
      <c r="C1279" s="175" t="s">
        <v>73</v>
      </c>
      <c r="D1279" s="146" t="s">
        <v>4692</v>
      </c>
      <c r="E1279" s="175" t="s">
        <v>73</v>
      </c>
      <c r="F1279" s="176">
        <v>0</v>
      </c>
      <c r="G1279" s="177">
        <v>0</v>
      </c>
      <c r="H1279" s="177">
        <v>0</v>
      </c>
      <c r="I1279" s="177">
        <v>0</v>
      </c>
      <c r="J1279" s="176">
        <f>J1280</f>
        <v>0</v>
      </c>
      <c r="K1279" s="176">
        <f>K1280</f>
        <v>0</v>
      </c>
      <c r="L1279" s="176">
        <f t="shared" si="1080"/>
        <v>0</v>
      </c>
      <c r="M1279" s="178">
        <v>0</v>
      </c>
      <c r="N1279" s="178">
        <v>0</v>
      </c>
      <c r="O1279" s="178">
        <v>0</v>
      </c>
      <c r="P1279" s="221">
        <f t="shared" ref="P1279:AM1280" si="1126">P1280</f>
        <v>0</v>
      </c>
      <c r="Q1279" s="221">
        <f t="shared" si="1126"/>
        <v>0</v>
      </c>
      <c r="R1279" s="221">
        <f t="shared" si="1126"/>
        <v>0</v>
      </c>
      <c r="S1279" s="150">
        <f t="shared" si="1079"/>
        <v>0</v>
      </c>
      <c r="T1279" s="213"/>
      <c r="U1279" s="221">
        <f t="shared" ref="U1279:W1280" si="1127">U1280</f>
        <v>0</v>
      </c>
      <c r="V1279" s="222">
        <f t="shared" si="1127"/>
        <v>0</v>
      </c>
      <c r="W1279" s="221">
        <f t="shared" si="1127"/>
        <v>0</v>
      </c>
      <c r="X1279" s="221">
        <v>0</v>
      </c>
      <c r="Y1279" s="221">
        <v>0</v>
      </c>
      <c r="Z1279" s="221">
        <v>0</v>
      </c>
      <c r="AA1279" s="221">
        <f t="shared" si="1074"/>
        <v>0</v>
      </c>
      <c r="AB1279" s="221">
        <v>0</v>
      </c>
      <c r="AC1279" s="222">
        <v>0</v>
      </c>
      <c r="AD1279" s="221">
        <f t="shared" si="1126"/>
        <v>0</v>
      </c>
      <c r="AE1279" s="221">
        <v>0</v>
      </c>
      <c r="AF1279" s="169" t="s">
        <v>4680</v>
      </c>
      <c r="AG1279" s="223">
        <v>0</v>
      </c>
      <c r="AH1279" s="222">
        <v>0</v>
      </c>
      <c r="AI1279" s="221">
        <v>0</v>
      </c>
      <c r="AJ1279" s="169">
        <f t="shared" si="1075"/>
        <v>0</v>
      </c>
      <c r="AK1279" s="223">
        <v>0</v>
      </c>
      <c r="AL1279" s="222">
        <v>0</v>
      </c>
      <c r="AM1279" s="221">
        <f t="shared" si="1126"/>
        <v>0</v>
      </c>
      <c r="AN1279" s="153">
        <f t="shared" si="1076"/>
        <v>0</v>
      </c>
      <c r="AO1279" s="154">
        <f t="shared" si="1077"/>
        <v>0</v>
      </c>
      <c r="AP1279" s="221">
        <v>0</v>
      </c>
      <c r="AQ1279" s="223">
        <v>0</v>
      </c>
      <c r="AR1279" s="222">
        <f t="shared" ref="AR1279:AS1280" si="1128">AR1280</f>
        <v>0</v>
      </c>
      <c r="AS1279" s="221">
        <f t="shared" si="1128"/>
        <v>0</v>
      </c>
      <c r="AT1279" s="155"/>
      <c r="AU1279" s="156">
        <f t="shared" si="1071"/>
        <v>0</v>
      </c>
      <c r="AV1279" s="156">
        <f t="shared" si="1072"/>
        <v>0</v>
      </c>
      <c r="AW1279" s="157"/>
      <c r="AX1279" s="150">
        <v>0</v>
      </c>
      <c r="AY1279" s="221">
        <f t="shared" ref="AY1279:BA1280" si="1129">AY1280</f>
        <v>0</v>
      </c>
      <c r="AZ1279" s="221">
        <f t="shared" si="1129"/>
        <v>0</v>
      </c>
      <c r="BA1279" s="221">
        <f t="shared" si="1129"/>
        <v>0</v>
      </c>
      <c r="BB1279" s="254">
        <v>5</v>
      </c>
      <c r="BC1279" s="255" t="s">
        <v>671</v>
      </c>
      <c r="BD1279" s="255" t="s">
        <v>693</v>
      </c>
      <c r="BE1279" s="173" t="s">
        <v>630</v>
      </c>
      <c r="BF1279" s="255" t="s">
        <v>630</v>
      </c>
      <c r="BG1279" s="175" t="s">
        <v>73</v>
      </c>
      <c r="BH1279" s="224">
        <f>BH1280</f>
        <v>0</v>
      </c>
      <c r="BI1279" s="254"/>
      <c r="BJ1279" s="255" t="s">
        <v>8141</v>
      </c>
      <c r="BK1279" s="255" t="s">
        <v>467</v>
      </c>
      <c r="BL1279" s="182" t="s">
        <v>8142</v>
      </c>
      <c r="BM1279" s="224">
        <f>BM1280</f>
        <v>0</v>
      </c>
      <c r="BN1279" s="160"/>
      <c r="BO1279" s="161">
        <f t="shared" si="1092"/>
        <v>0</v>
      </c>
      <c r="BP1279" s="161"/>
    </row>
    <row r="1280" spans="1:68" ht="25.5">
      <c r="A1280" s="256" t="s">
        <v>467</v>
      </c>
      <c r="B1280" s="184"/>
      <c r="C1280" s="185" t="s">
        <v>73</v>
      </c>
      <c r="D1280" s="146" t="s">
        <v>4692</v>
      </c>
      <c r="E1280" s="185" t="s">
        <v>73</v>
      </c>
      <c r="F1280" s="188">
        <v>0</v>
      </c>
      <c r="G1280" s="187">
        <v>0</v>
      </c>
      <c r="H1280" s="187"/>
      <c r="I1280" s="187">
        <v>0</v>
      </c>
      <c r="J1280" s="188">
        <f>J1281</f>
        <v>0</v>
      </c>
      <c r="K1280" s="188">
        <f>K1281</f>
        <v>0</v>
      </c>
      <c r="L1280" s="188">
        <f t="shared" si="1080"/>
        <v>0</v>
      </c>
      <c r="M1280" s="188">
        <v>0</v>
      </c>
      <c r="N1280" s="188">
        <v>0</v>
      </c>
      <c r="O1280" s="188">
        <v>0</v>
      </c>
      <c r="P1280" s="299">
        <f t="shared" si="1126"/>
        <v>0</v>
      </c>
      <c r="Q1280" s="299">
        <f t="shared" si="1126"/>
        <v>0</v>
      </c>
      <c r="R1280" s="299">
        <f t="shared" si="1126"/>
        <v>0</v>
      </c>
      <c r="S1280" s="150">
        <f t="shared" si="1079"/>
        <v>0</v>
      </c>
      <c r="T1280" s="213"/>
      <c r="U1280" s="299">
        <f t="shared" si="1127"/>
        <v>0</v>
      </c>
      <c r="V1280" s="226">
        <f t="shared" si="1127"/>
        <v>0</v>
      </c>
      <c r="W1280" s="299">
        <f t="shared" si="1127"/>
        <v>0</v>
      </c>
      <c r="X1280" s="299">
        <v>0</v>
      </c>
      <c r="Y1280" s="299">
        <v>0</v>
      </c>
      <c r="Z1280" s="299">
        <v>0</v>
      </c>
      <c r="AA1280" s="299">
        <f t="shared" si="1074"/>
        <v>0</v>
      </c>
      <c r="AB1280" s="299">
        <v>0</v>
      </c>
      <c r="AC1280" s="226">
        <v>0</v>
      </c>
      <c r="AD1280" s="299">
        <f t="shared" si="1126"/>
        <v>0</v>
      </c>
      <c r="AE1280" s="299">
        <v>0</v>
      </c>
      <c r="AF1280" s="169" t="s">
        <v>4680</v>
      </c>
      <c r="AG1280" s="301">
        <v>0</v>
      </c>
      <c r="AH1280" s="226">
        <v>0</v>
      </c>
      <c r="AI1280" s="299">
        <v>0</v>
      </c>
      <c r="AJ1280" s="169">
        <f t="shared" si="1075"/>
        <v>0</v>
      </c>
      <c r="AK1280" s="301">
        <v>0</v>
      </c>
      <c r="AL1280" s="226">
        <v>0</v>
      </c>
      <c r="AM1280" s="299">
        <f t="shared" si="1126"/>
        <v>0</v>
      </c>
      <c r="AN1280" s="153">
        <f t="shared" si="1076"/>
        <v>0</v>
      </c>
      <c r="AO1280" s="154">
        <f t="shared" si="1077"/>
        <v>0</v>
      </c>
      <c r="AP1280" s="299">
        <v>0</v>
      </c>
      <c r="AQ1280" s="301">
        <v>0</v>
      </c>
      <c r="AR1280" s="226">
        <f t="shared" si="1128"/>
        <v>0</v>
      </c>
      <c r="AS1280" s="299">
        <f t="shared" si="1128"/>
        <v>0</v>
      </c>
      <c r="AT1280" s="155"/>
      <c r="AU1280" s="156">
        <f t="shared" si="1071"/>
        <v>0</v>
      </c>
      <c r="AV1280" s="156">
        <f t="shared" si="1072"/>
        <v>0</v>
      </c>
      <c r="AW1280" s="157"/>
      <c r="AX1280" s="150">
        <v>0</v>
      </c>
      <c r="AY1280" s="299">
        <f t="shared" si="1129"/>
        <v>0</v>
      </c>
      <c r="AZ1280" s="299">
        <f t="shared" si="1129"/>
        <v>0</v>
      </c>
      <c r="BA1280" s="299">
        <f t="shared" si="1129"/>
        <v>0</v>
      </c>
      <c r="BB1280" s="192">
        <v>5</v>
      </c>
      <c r="BC1280" s="256" t="s">
        <v>671</v>
      </c>
      <c r="BD1280" s="256" t="s">
        <v>693</v>
      </c>
      <c r="BE1280" s="256" t="s">
        <v>632</v>
      </c>
      <c r="BF1280" s="256" t="s">
        <v>630</v>
      </c>
      <c r="BG1280" s="185" t="s">
        <v>73</v>
      </c>
      <c r="BH1280" s="302">
        <f>BH1281</f>
        <v>0</v>
      </c>
      <c r="BI1280" s="192"/>
      <c r="BJ1280" s="256" t="s">
        <v>8141</v>
      </c>
      <c r="BK1280" s="256" t="s">
        <v>467</v>
      </c>
      <c r="BL1280" s="238" t="s">
        <v>8142</v>
      </c>
      <c r="BM1280" s="302">
        <f>BM1281</f>
        <v>0</v>
      </c>
      <c r="BN1280" s="160"/>
      <c r="BO1280" s="161">
        <f t="shared" si="1092"/>
        <v>0</v>
      </c>
      <c r="BP1280" s="161"/>
    </row>
    <row r="1281" spans="1:68" ht="38.25">
      <c r="A1281" s="206" t="s">
        <v>467</v>
      </c>
      <c r="B1281" s="195" t="s">
        <v>8143</v>
      </c>
      <c r="C1281" s="196" t="s">
        <v>8144</v>
      </c>
      <c r="D1281" s="146" t="s">
        <v>4692</v>
      </c>
      <c r="E1281" s="196" t="s">
        <v>8144</v>
      </c>
      <c r="F1281" s="150">
        <v>0</v>
      </c>
      <c r="G1281" s="209">
        <v>0</v>
      </c>
      <c r="H1281" s="209">
        <v>0</v>
      </c>
      <c r="I1281" s="209">
        <v>0</v>
      </c>
      <c r="J1281" s="150">
        <v>0</v>
      </c>
      <c r="K1281" s="150">
        <v>0</v>
      </c>
      <c r="L1281" s="150">
        <f t="shared" si="1080"/>
        <v>0</v>
      </c>
      <c r="M1281" s="150">
        <v>0</v>
      </c>
      <c r="N1281" s="150"/>
      <c r="O1281" s="150">
        <v>0</v>
      </c>
      <c r="P1281" s="150">
        <v>0</v>
      </c>
      <c r="Q1281" s="150">
        <v>0</v>
      </c>
      <c r="R1281" s="150">
        <f>P1281+Q1281</f>
        <v>0</v>
      </c>
      <c r="S1281" s="150">
        <f t="shared" si="1079"/>
        <v>0</v>
      </c>
      <c r="T1281" s="150"/>
      <c r="U1281" s="150">
        <v>0</v>
      </c>
      <c r="V1281" s="199"/>
      <c r="W1281" s="150">
        <f>U1281+V1281</f>
        <v>0</v>
      </c>
      <c r="X1281" s="150">
        <v>0</v>
      </c>
      <c r="Y1281" s="150"/>
      <c r="Z1281" s="150">
        <v>0</v>
      </c>
      <c r="AA1281" s="150">
        <f t="shared" si="1074"/>
        <v>0</v>
      </c>
      <c r="AB1281" s="150">
        <v>0</v>
      </c>
      <c r="AC1281" s="199"/>
      <c r="AD1281" s="150">
        <f>AB1281+AC1281</f>
        <v>0</v>
      </c>
      <c r="AE1281" s="150">
        <v>0</v>
      </c>
      <c r="AF1281" s="169" t="s">
        <v>4680</v>
      </c>
      <c r="AG1281" s="201">
        <v>0</v>
      </c>
      <c r="AH1281" s="199"/>
      <c r="AI1281" s="150">
        <v>0</v>
      </c>
      <c r="AJ1281" s="169">
        <f t="shared" si="1075"/>
        <v>0</v>
      </c>
      <c r="AK1281" s="201">
        <v>0</v>
      </c>
      <c r="AL1281" s="199"/>
      <c r="AM1281" s="150">
        <f>AK1281+AL1281</f>
        <v>0</v>
      </c>
      <c r="AN1281" s="153">
        <f t="shared" si="1076"/>
        <v>0</v>
      </c>
      <c r="AO1281" s="154">
        <f t="shared" si="1077"/>
        <v>0</v>
      </c>
      <c r="AP1281" s="150">
        <v>0</v>
      </c>
      <c r="AQ1281" s="201">
        <v>0</v>
      </c>
      <c r="AR1281" s="199"/>
      <c r="AS1281" s="150">
        <f>AQ1281+AR1281</f>
        <v>0</v>
      </c>
      <c r="AT1281" s="155"/>
      <c r="AU1281" s="156">
        <f t="shared" si="1071"/>
        <v>0</v>
      </c>
      <c r="AV1281" s="156">
        <f t="shared" si="1072"/>
        <v>0</v>
      </c>
      <c r="AW1281" s="157"/>
      <c r="AX1281" s="150">
        <v>0</v>
      </c>
      <c r="AY1281" s="150">
        <v>0</v>
      </c>
      <c r="AZ1281" s="150"/>
      <c r="BA1281" s="150">
        <f t="shared" si="1091"/>
        <v>0</v>
      </c>
      <c r="BB1281" s="202">
        <v>5</v>
      </c>
      <c r="BC1281" s="202" t="s">
        <v>671</v>
      </c>
      <c r="BD1281" s="202" t="s">
        <v>693</v>
      </c>
      <c r="BE1281" s="202" t="s">
        <v>632</v>
      </c>
      <c r="BF1281" s="202" t="s">
        <v>632</v>
      </c>
      <c r="BG1281" s="203" t="s">
        <v>73</v>
      </c>
      <c r="BH1281" s="216">
        <f>AS1281</f>
        <v>0</v>
      </c>
      <c r="BI1281" s="205"/>
      <c r="BJ1281" s="206" t="s">
        <v>8141</v>
      </c>
      <c r="BK1281" s="206" t="s">
        <v>467</v>
      </c>
      <c r="BL1281" s="207" t="s">
        <v>8145</v>
      </c>
      <c r="BM1281" s="208">
        <f>BH1281</f>
        <v>0</v>
      </c>
      <c r="BN1281" s="160"/>
      <c r="BO1281" s="161">
        <f t="shared" si="1092"/>
        <v>0</v>
      </c>
      <c r="BP1281" s="161"/>
    </row>
    <row r="1282" spans="1:68" ht="25.5">
      <c r="A1282" s="255" t="s">
        <v>468</v>
      </c>
      <c r="B1282" s="174"/>
      <c r="C1282" s="175" t="s">
        <v>8146</v>
      </c>
      <c r="D1282" s="146" t="s">
        <v>4692</v>
      </c>
      <c r="E1282" s="175" t="s">
        <v>8146</v>
      </c>
      <c r="F1282" s="176">
        <v>0</v>
      </c>
      <c r="G1282" s="177">
        <v>0</v>
      </c>
      <c r="H1282" s="177">
        <v>0</v>
      </c>
      <c r="I1282" s="177">
        <v>0</v>
      </c>
      <c r="J1282" s="176">
        <f>J1283</f>
        <v>0</v>
      </c>
      <c r="K1282" s="176">
        <f>K1283</f>
        <v>4406.43</v>
      </c>
      <c r="L1282" s="176">
        <f t="shared" si="1080"/>
        <v>4406.43</v>
      </c>
      <c r="M1282" s="178">
        <v>4406.43</v>
      </c>
      <c r="N1282" s="178">
        <v>0</v>
      </c>
      <c r="O1282" s="178">
        <v>4406.43</v>
      </c>
      <c r="P1282" s="221">
        <f t="shared" ref="P1282:AS1282" si="1130">P1283</f>
        <v>4906.43</v>
      </c>
      <c r="Q1282" s="221">
        <f t="shared" si="1130"/>
        <v>0</v>
      </c>
      <c r="R1282" s="221">
        <f t="shared" si="1130"/>
        <v>4906.43</v>
      </c>
      <c r="S1282" s="150">
        <f t="shared" si="1079"/>
        <v>6541.9066666666668</v>
      </c>
      <c r="T1282" s="213"/>
      <c r="U1282" s="221">
        <f t="shared" ref="U1282:W1282" si="1131">U1283</f>
        <v>5280.18</v>
      </c>
      <c r="V1282" s="222">
        <f t="shared" si="1131"/>
        <v>0</v>
      </c>
      <c r="W1282" s="221">
        <f t="shared" si="1131"/>
        <v>5280.18</v>
      </c>
      <c r="X1282" s="221">
        <v>5280.18</v>
      </c>
      <c r="Y1282" s="221">
        <v>0</v>
      </c>
      <c r="Z1282" s="221">
        <v>5280.18</v>
      </c>
      <c r="AA1282" s="221">
        <f t="shared" si="1074"/>
        <v>0</v>
      </c>
      <c r="AB1282" s="221">
        <v>5280.18</v>
      </c>
      <c r="AC1282" s="222">
        <v>0</v>
      </c>
      <c r="AD1282" s="221">
        <f t="shared" si="1130"/>
        <v>5280.18</v>
      </c>
      <c r="AE1282" s="221">
        <v>5280.18</v>
      </c>
      <c r="AF1282" s="169" t="s">
        <v>4680</v>
      </c>
      <c r="AG1282" s="223">
        <v>5280.18</v>
      </c>
      <c r="AH1282" s="222">
        <v>0</v>
      </c>
      <c r="AI1282" s="221">
        <v>5280.18</v>
      </c>
      <c r="AJ1282" s="169">
        <f t="shared" si="1075"/>
        <v>0</v>
      </c>
      <c r="AK1282" s="223">
        <v>5280.18</v>
      </c>
      <c r="AL1282" s="222">
        <v>0</v>
      </c>
      <c r="AM1282" s="221">
        <f t="shared" si="1130"/>
        <v>5280.18</v>
      </c>
      <c r="AN1282" s="153">
        <f t="shared" si="1076"/>
        <v>0</v>
      </c>
      <c r="AO1282" s="154">
        <f t="shared" si="1077"/>
        <v>0</v>
      </c>
      <c r="AP1282" s="221">
        <v>5280.18</v>
      </c>
      <c r="AQ1282" s="223">
        <v>5280.18</v>
      </c>
      <c r="AR1282" s="222">
        <f t="shared" si="1130"/>
        <v>0</v>
      </c>
      <c r="AS1282" s="221">
        <f t="shared" si="1130"/>
        <v>5280.18</v>
      </c>
      <c r="AT1282" s="155"/>
      <c r="AU1282" s="156">
        <f t="shared" ref="AU1282:AU1345" si="1132">AM1282-AD1282</f>
        <v>0</v>
      </c>
      <c r="AV1282" s="156">
        <f t="shared" ref="AV1282:AV1345" si="1133">AD1282-AX1282</f>
        <v>0</v>
      </c>
      <c r="AW1282" s="157"/>
      <c r="AX1282" s="150">
        <v>5280.18</v>
      </c>
      <c r="AY1282" s="221">
        <f t="shared" ref="AY1282:BA1282" si="1134">AY1283</f>
        <v>4406.43</v>
      </c>
      <c r="AZ1282" s="221">
        <f t="shared" si="1134"/>
        <v>2203.2150000000001</v>
      </c>
      <c r="BA1282" s="221">
        <f t="shared" si="1134"/>
        <v>6609.6450000000004</v>
      </c>
      <c r="BB1282" s="254">
        <v>5</v>
      </c>
      <c r="BC1282" s="255" t="s">
        <v>671</v>
      </c>
      <c r="BD1282" s="255" t="s">
        <v>714</v>
      </c>
      <c r="BE1282" s="173" t="s">
        <v>630</v>
      </c>
      <c r="BF1282" s="255" t="s">
        <v>630</v>
      </c>
      <c r="BG1282" s="175" t="s">
        <v>8146</v>
      </c>
      <c r="BH1282" s="224">
        <f>BH1283</f>
        <v>5280.18</v>
      </c>
      <c r="BI1282" s="254"/>
      <c r="BJ1282" s="255" t="s">
        <v>8147</v>
      </c>
      <c r="BK1282" s="255" t="s">
        <v>468</v>
      </c>
      <c r="BL1282" s="182" t="s">
        <v>8148</v>
      </c>
      <c r="BM1282" s="224">
        <f>BM1283</f>
        <v>5280.18</v>
      </c>
      <c r="BN1282" s="160"/>
      <c r="BO1282" s="161">
        <f t="shared" si="1092"/>
        <v>0</v>
      </c>
      <c r="BP1282" s="161"/>
    </row>
    <row r="1283" spans="1:68" ht="25.5">
      <c r="A1283" s="256" t="s">
        <v>468</v>
      </c>
      <c r="B1283" s="184"/>
      <c r="C1283" s="185" t="s">
        <v>8146</v>
      </c>
      <c r="D1283" s="146" t="s">
        <v>4692</v>
      </c>
      <c r="E1283" s="185" t="s">
        <v>8146</v>
      </c>
      <c r="F1283" s="188">
        <v>0</v>
      </c>
      <c r="G1283" s="187">
        <v>0</v>
      </c>
      <c r="H1283" s="187"/>
      <c r="I1283" s="187">
        <v>0</v>
      </c>
      <c r="J1283" s="188">
        <f>SUM(J1284:J1285)</f>
        <v>0</v>
      </c>
      <c r="K1283" s="188">
        <f>SUM(K1284:K1285)</f>
        <v>4406.43</v>
      </c>
      <c r="L1283" s="188">
        <f t="shared" si="1080"/>
        <v>4406.43</v>
      </c>
      <c r="M1283" s="188">
        <v>4406.43</v>
      </c>
      <c r="N1283" s="188">
        <v>0</v>
      </c>
      <c r="O1283" s="188">
        <v>4406.43</v>
      </c>
      <c r="P1283" s="299">
        <f t="shared" ref="P1283:R1283" si="1135">SUM(P1284:P1285)</f>
        <v>4906.43</v>
      </c>
      <c r="Q1283" s="299">
        <f t="shared" si="1135"/>
        <v>0</v>
      </c>
      <c r="R1283" s="299">
        <f t="shared" si="1135"/>
        <v>4906.43</v>
      </c>
      <c r="S1283" s="150">
        <f t="shared" si="1079"/>
        <v>6541.9066666666668</v>
      </c>
      <c r="T1283" s="213"/>
      <c r="U1283" s="299">
        <f t="shared" ref="U1283:W1283" si="1136">SUM(U1284:U1285)</f>
        <v>5280.18</v>
      </c>
      <c r="V1283" s="226">
        <f t="shared" si="1136"/>
        <v>0</v>
      </c>
      <c r="W1283" s="299">
        <f t="shared" si="1136"/>
        <v>5280.18</v>
      </c>
      <c r="X1283" s="299">
        <v>5280.18</v>
      </c>
      <c r="Y1283" s="299">
        <v>0</v>
      </c>
      <c r="Z1283" s="299">
        <v>5280.18</v>
      </c>
      <c r="AA1283" s="299">
        <f t="shared" ref="AA1283:AA1346" si="1137">AD1283-Z1283</f>
        <v>0</v>
      </c>
      <c r="AB1283" s="299">
        <v>5280.18</v>
      </c>
      <c r="AC1283" s="226">
        <v>0</v>
      </c>
      <c r="AD1283" s="299">
        <f t="shared" ref="AD1283" si="1138">SUM(AD1284:AD1285)</f>
        <v>5280.18</v>
      </c>
      <c r="AE1283" s="299">
        <v>5280.18</v>
      </c>
      <c r="AF1283" s="169" t="s">
        <v>4680</v>
      </c>
      <c r="AG1283" s="301">
        <v>5280.18</v>
      </c>
      <c r="AH1283" s="226">
        <v>0</v>
      </c>
      <c r="AI1283" s="299">
        <v>5280.18</v>
      </c>
      <c r="AJ1283" s="169">
        <f t="shared" ref="AJ1283:AJ1346" si="1139">AM1283-AI1283</f>
        <v>0</v>
      </c>
      <c r="AK1283" s="301">
        <v>5280.18</v>
      </c>
      <c r="AL1283" s="226">
        <v>0</v>
      </c>
      <c r="AM1283" s="299">
        <f t="shared" ref="AM1283" si="1140">SUM(AM1284:AM1285)</f>
        <v>5280.18</v>
      </c>
      <c r="AN1283" s="153">
        <f t="shared" ref="AN1283:AN1346" si="1141">AS1283-AM1283</f>
        <v>0</v>
      </c>
      <c r="AO1283" s="154">
        <f t="shared" ref="AO1283:AO1346" si="1142">AS1283-AP1283</f>
        <v>0</v>
      </c>
      <c r="AP1283" s="299">
        <v>5280.18</v>
      </c>
      <c r="AQ1283" s="301">
        <v>5280.18</v>
      </c>
      <c r="AR1283" s="226">
        <f t="shared" ref="AR1283:AS1283" si="1143">SUM(AR1284:AR1285)</f>
        <v>0</v>
      </c>
      <c r="AS1283" s="299">
        <f t="shared" si="1143"/>
        <v>5280.18</v>
      </c>
      <c r="AT1283" s="155"/>
      <c r="AU1283" s="156">
        <f t="shared" si="1132"/>
        <v>0</v>
      </c>
      <c r="AV1283" s="156">
        <f t="shared" si="1133"/>
        <v>0</v>
      </c>
      <c r="AW1283" s="157"/>
      <c r="AX1283" s="150">
        <v>5280.18</v>
      </c>
      <c r="AY1283" s="299">
        <f t="shared" ref="AY1283:BA1283" si="1144">SUM(AY1284:AY1285)</f>
        <v>4406.43</v>
      </c>
      <c r="AZ1283" s="299">
        <f t="shared" si="1144"/>
        <v>2203.2150000000001</v>
      </c>
      <c r="BA1283" s="299">
        <f t="shared" si="1144"/>
        <v>6609.6450000000004</v>
      </c>
      <c r="BB1283" s="192">
        <v>5</v>
      </c>
      <c r="BC1283" s="256" t="s">
        <v>671</v>
      </c>
      <c r="BD1283" s="256" t="s">
        <v>714</v>
      </c>
      <c r="BE1283" s="256" t="s">
        <v>632</v>
      </c>
      <c r="BF1283" s="256" t="s">
        <v>630</v>
      </c>
      <c r="BG1283" s="185" t="s">
        <v>8146</v>
      </c>
      <c r="BH1283" s="302">
        <f>SUM(BH1284:BH1285)</f>
        <v>5280.18</v>
      </c>
      <c r="BI1283" s="192"/>
      <c r="BJ1283" s="256" t="s">
        <v>8147</v>
      </c>
      <c r="BK1283" s="256" t="s">
        <v>468</v>
      </c>
      <c r="BL1283" s="238" t="s">
        <v>8148</v>
      </c>
      <c r="BM1283" s="302">
        <f>SUM(BM1284:BM1285)</f>
        <v>5280.18</v>
      </c>
      <c r="BN1283" s="160"/>
      <c r="BO1283" s="161">
        <f t="shared" si="1092"/>
        <v>0</v>
      </c>
      <c r="BP1283" s="161"/>
    </row>
    <row r="1284" spans="1:68" ht="25.5">
      <c r="A1284" s="206" t="s">
        <v>468</v>
      </c>
      <c r="B1284" s="195" t="s">
        <v>8149</v>
      </c>
      <c r="C1284" s="196" t="s">
        <v>8150</v>
      </c>
      <c r="D1284" s="146" t="s">
        <v>4692</v>
      </c>
      <c r="E1284" s="196" t="s">
        <v>8151</v>
      </c>
      <c r="F1284" s="150">
        <v>0</v>
      </c>
      <c r="G1284" s="209">
        <v>0</v>
      </c>
      <c r="H1284" s="209"/>
      <c r="I1284" s="209">
        <v>0</v>
      </c>
      <c r="J1284" s="150">
        <v>0</v>
      </c>
      <c r="K1284" s="150">
        <v>0</v>
      </c>
      <c r="L1284" s="150">
        <f t="shared" si="1080"/>
        <v>0</v>
      </c>
      <c r="M1284" s="150">
        <v>0</v>
      </c>
      <c r="N1284" s="150"/>
      <c r="O1284" s="150">
        <v>0</v>
      </c>
      <c r="P1284" s="150">
        <v>0</v>
      </c>
      <c r="Q1284" s="150">
        <v>0</v>
      </c>
      <c r="R1284" s="150">
        <f>P1284+Q1284</f>
        <v>0</v>
      </c>
      <c r="S1284" s="150">
        <f t="shared" ref="S1284:S1347" si="1145">R1284/9*12</f>
        <v>0</v>
      </c>
      <c r="T1284" s="150"/>
      <c r="U1284" s="150">
        <v>0</v>
      </c>
      <c r="V1284" s="199"/>
      <c r="W1284" s="150">
        <f>U1284+V1284</f>
        <v>0</v>
      </c>
      <c r="X1284" s="150">
        <v>0</v>
      </c>
      <c r="Y1284" s="150"/>
      <c r="Z1284" s="150">
        <v>0</v>
      </c>
      <c r="AA1284" s="150">
        <f t="shared" si="1137"/>
        <v>0</v>
      </c>
      <c r="AB1284" s="150">
        <v>0</v>
      </c>
      <c r="AC1284" s="199"/>
      <c r="AD1284" s="150">
        <f>AB1284+AC1284</f>
        <v>0</v>
      </c>
      <c r="AE1284" s="150">
        <v>0</v>
      </c>
      <c r="AF1284" s="169" t="s">
        <v>4680</v>
      </c>
      <c r="AG1284" s="201">
        <v>0</v>
      </c>
      <c r="AH1284" s="199"/>
      <c r="AI1284" s="150">
        <v>0</v>
      </c>
      <c r="AJ1284" s="169">
        <f t="shared" si="1139"/>
        <v>0</v>
      </c>
      <c r="AK1284" s="201">
        <v>0</v>
      </c>
      <c r="AL1284" s="199"/>
      <c r="AM1284" s="150">
        <f>AK1284+AL1284</f>
        <v>0</v>
      </c>
      <c r="AN1284" s="153">
        <f t="shared" si="1141"/>
        <v>0</v>
      </c>
      <c r="AO1284" s="154">
        <f t="shared" si="1142"/>
        <v>0</v>
      </c>
      <c r="AP1284" s="150">
        <v>0</v>
      </c>
      <c r="AQ1284" s="201">
        <v>0</v>
      </c>
      <c r="AR1284" s="199"/>
      <c r="AS1284" s="150">
        <f>AQ1284+AR1284</f>
        <v>0</v>
      </c>
      <c r="AT1284" s="155"/>
      <c r="AU1284" s="156">
        <f t="shared" si="1132"/>
        <v>0</v>
      </c>
      <c r="AV1284" s="156">
        <f t="shared" si="1133"/>
        <v>0</v>
      </c>
      <c r="AW1284" s="157"/>
      <c r="AX1284" s="150">
        <v>0</v>
      </c>
      <c r="AY1284" s="150">
        <v>0</v>
      </c>
      <c r="AZ1284" s="150"/>
      <c r="BA1284" s="150">
        <f t="shared" si="1091"/>
        <v>0</v>
      </c>
      <c r="BB1284" s="202">
        <v>5</v>
      </c>
      <c r="BC1284" s="202" t="s">
        <v>671</v>
      </c>
      <c r="BD1284" s="202" t="s">
        <v>714</v>
      </c>
      <c r="BE1284" s="202" t="s">
        <v>632</v>
      </c>
      <c r="BF1284" s="202" t="s">
        <v>632</v>
      </c>
      <c r="BG1284" s="203" t="s">
        <v>8146</v>
      </c>
      <c r="BH1284" s="216">
        <f>SUM(AS1284:AS1285)</f>
        <v>5280.18</v>
      </c>
      <c r="BI1284" s="205"/>
      <c r="BJ1284" s="206" t="s">
        <v>8147</v>
      </c>
      <c r="BK1284" s="206" t="s">
        <v>468</v>
      </c>
      <c r="BL1284" s="207" t="s">
        <v>8148</v>
      </c>
      <c r="BM1284" s="208">
        <f>BH1284</f>
        <v>5280.18</v>
      </c>
      <c r="BN1284" s="160"/>
      <c r="BO1284" s="161"/>
      <c r="BP1284" s="161"/>
    </row>
    <row r="1285" spans="1:68" ht="25.5">
      <c r="A1285" s="210"/>
      <c r="B1285" s="195" t="s">
        <v>8152</v>
      </c>
      <c r="C1285" s="196" t="s">
        <v>8153</v>
      </c>
      <c r="D1285" s="146" t="s">
        <v>4692</v>
      </c>
      <c r="E1285" s="196" t="s">
        <v>8154</v>
      </c>
      <c r="F1285" s="150">
        <v>0</v>
      </c>
      <c r="G1285" s="209">
        <v>0</v>
      </c>
      <c r="H1285" s="209">
        <v>0</v>
      </c>
      <c r="I1285" s="209">
        <v>0</v>
      </c>
      <c r="J1285" s="150">
        <v>0</v>
      </c>
      <c r="K1285" s="150">
        <v>4406.43</v>
      </c>
      <c r="L1285" s="150">
        <f t="shared" si="1080"/>
        <v>4406.43</v>
      </c>
      <c r="M1285" s="150">
        <v>4406.43</v>
      </c>
      <c r="N1285" s="150"/>
      <c r="O1285" s="150">
        <v>4406.43</v>
      </c>
      <c r="P1285" s="150">
        <v>4906.43</v>
      </c>
      <c r="Q1285" s="237"/>
      <c r="R1285" s="150">
        <f>P1285+Q1285</f>
        <v>4906.43</v>
      </c>
      <c r="S1285" s="150">
        <f t="shared" si="1145"/>
        <v>6541.9066666666668</v>
      </c>
      <c r="T1285" s="150"/>
      <c r="U1285" s="150">
        <v>5280.18</v>
      </c>
      <c r="V1285" s="199"/>
      <c r="W1285" s="150">
        <f>U1285+V1285</f>
        <v>5280.18</v>
      </c>
      <c r="X1285" s="150">
        <v>5280.18</v>
      </c>
      <c r="Y1285" s="150"/>
      <c r="Z1285" s="150">
        <v>5280.18</v>
      </c>
      <c r="AA1285" s="150">
        <f t="shared" si="1137"/>
        <v>0</v>
      </c>
      <c r="AB1285" s="150">
        <v>5280.18</v>
      </c>
      <c r="AC1285" s="199"/>
      <c r="AD1285" s="150">
        <f>AB1285+AC1285</f>
        <v>5280.18</v>
      </c>
      <c r="AE1285" s="150">
        <v>5280.18</v>
      </c>
      <c r="AF1285" s="169" t="s">
        <v>4680</v>
      </c>
      <c r="AG1285" s="201">
        <v>5280.18</v>
      </c>
      <c r="AH1285" s="199"/>
      <c r="AI1285" s="150">
        <v>5280.18</v>
      </c>
      <c r="AJ1285" s="169">
        <f t="shared" si="1139"/>
        <v>0</v>
      </c>
      <c r="AK1285" s="201">
        <v>5280.18</v>
      </c>
      <c r="AL1285" s="199"/>
      <c r="AM1285" s="150">
        <f>AK1285+AL1285</f>
        <v>5280.18</v>
      </c>
      <c r="AN1285" s="153">
        <f t="shared" si="1141"/>
        <v>0</v>
      </c>
      <c r="AO1285" s="154">
        <f t="shared" si="1142"/>
        <v>0</v>
      </c>
      <c r="AP1285" s="150">
        <v>5280.18</v>
      </c>
      <c r="AQ1285" s="201">
        <v>5280.18</v>
      </c>
      <c r="AR1285" s="199"/>
      <c r="AS1285" s="150">
        <f>AQ1285+AR1285</f>
        <v>5280.18</v>
      </c>
      <c r="AT1285" s="155"/>
      <c r="AU1285" s="156">
        <f t="shared" si="1132"/>
        <v>0</v>
      </c>
      <c r="AV1285" s="156">
        <f t="shared" si="1133"/>
        <v>0</v>
      </c>
      <c r="AW1285" s="157"/>
      <c r="AX1285" s="150">
        <v>5280.18</v>
      </c>
      <c r="AY1285" s="150">
        <v>4406.43</v>
      </c>
      <c r="AZ1285" s="150">
        <f>AY1285/8*4</f>
        <v>2203.2150000000001</v>
      </c>
      <c r="BA1285" s="150">
        <f t="shared" si="1091"/>
        <v>6609.6450000000004</v>
      </c>
      <c r="BB1285" s="210"/>
      <c r="BC1285" s="210"/>
      <c r="BD1285" s="210"/>
      <c r="BE1285" s="210"/>
      <c r="BF1285" s="210"/>
      <c r="BG1285" s="210"/>
      <c r="BH1285" s="217"/>
      <c r="BI1285" s="210"/>
      <c r="BJ1285" s="210"/>
      <c r="BK1285" s="210"/>
      <c r="BL1285" s="210"/>
      <c r="BM1285" s="208"/>
      <c r="BN1285" s="160"/>
      <c r="BO1285" s="161"/>
      <c r="BP1285" s="161"/>
    </row>
    <row r="1286" spans="1:68" ht="25.5">
      <c r="A1286" s="255" t="s">
        <v>469</v>
      </c>
      <c r="B1286" s="174"/>
      <c r="C1286" s="175" t="s">
        <v>74</v>
      </c>
      <c r="D1286" s="146" t="s">
        <v>4692</v>
      </c>
      <c r="E1286" s="175" t="s">
        <v>74</v>
      </c>
      <c r="F1286" s="176">
        <v>705</v>
      </c>
      <c r="G1286" s="177">
        <v>0</v>
      </c>
      <c r="H1286" s="177">
        <v>0</v>
      </c>
      <c r="I1286" s="177">
        <v>0</v>
      </c>
      <c r="J1286" s="176">
        <f>J1287</f>
        <v>0</v>
      </c>
      <c r="K1286" s="176">
        <f>K1287</f>
        <v>0</v>
      </c>
      <c r="L1286" s="176">
        <f t="shared" si="1080"/>
        <v>0</v>
      </c>
      <c r="M1286" s="178">
        <v>0</v>
      </c>
      <c r="N1286" s="178">
        <v>0</v>
      </c>
      <c r="O1286" s="178">
        <v>0</v>
      </c>
      <c r="P1286" s="221">
        <f t="shared" ref="P1286:AM1287" si="1146">P1287</f>
        <v>95</v>
      </c>
      <c r="Q1286" s="221">
        <f t="shared" si="1146"/>
        <v>0</v>
      </c>
      <c r="R1286" s="221">
        <f t="shared" si="1146"/>
        <v>95</v>
      </c>
      <c r="S1286" s="150">
        <f t="shared" si="1145"/>
        <v>126.66666666666666</v>
      </c>
      <c r="T1286" s="213"/>
      <c r="U1286" s="221">
        <f t="shared" ref="U1286:W1287" si="1147">U1287</f>
        <v>165</v>
      </c>
      <c r="V1286" s="222">
        <f t="shared" si="1147"/>
        <v>0</v>
      </c>
      <c r="W1286" s="221">
        <f t="shared" si="1147"/>
        <v>165</v>
      </c>
      <c r="X1286" s="221">
        <v>165</v>
      </c>
      <c r="Y1286" s="221">
        <v>0</v>
      </c>
      <c r="Z1286" s="221">
        <v>165</v>
      </c>
      <c r="AA1286" s="221">
        <f t="shared" si="1137"/>
        <v>0</v>
      </c>
      <c r="AB1286" s="221">
        <v>165</v>
      </c>
      <c r="AC1286" s="222">
        <v>0</v>
      </c>
      <c r="AD1286" s="221">
        <f t="shared" si="1146"/>
        <v>165</v>
      </c>
      <c r="AE1286" s="221">
        <v>165</v>
      </c>
      <c r="AF1286" s="169" t="s">
        <v>4680</v>
      </c>
      <c r="AG1286" s="223">
        <v>165</v>
      </c>
      <c r="AH1286" s="222">
        <v>0</v>
      </c>
      <c r="AI1286" s="221">
        <v>165</v>
      </c>
      <c r="AJ1286" s="169">
        <f t="shared" si="1139"/>
        <v>0</v>
      </c>
      <c r="AK1286" s="223">
        <v>165</v>
      </c>
      <c r="AL1286" s="222">
        <v>0</v>
      </c>
      <c r="AM1286" s="221">
        <f t="shared" si="1146"/>
        <v>165</v>
      </c>
      <c r="AN1286" s="153">
        <f t="shared" si="1141"/>
        <v>0</v>
      </c>
      <c r="AO1286" s="154">
        <f t="shared" si="1142"/>
        <v>0</v>
      </c>
      <c r="AP1286" s="221">
        <v>165</v>
      </c>
      <c r="AQ1286" s="223">
        <v>165</v>
      </c>
      <c r="AR1286" s="222">
        <f t="shared" ref="AR1286:AS1287" si="1148">AR1287</f>
        <v>0</v>
      </c>
      <c r="AS1286" s="221">
        <f t="shared" si="1148"/>
        <v>165</v>
      </c>
      <c r="AT1286" s="155"/>
      <c r="AU1286" s="156">
        <f t="shared" si="1132"/>
        <v>0</v>
      </c>
      <c r="AV1286" s="156">
        <f t="shared" si="1133"/>
        <v>0</v>
      </c>
      <c r="AW1286" s="157"/>
      <c r="AX1286" s="150">
        <v>165</v>
      </c>
      <c r="AY1286" s="221">
        <f t="shared" ref="AY1286:BA1287" si="1149">AY1287</f>
        <v>0</v>
      </c>
      <c r="AZ1286" s="221">
        <f t="shared" si="1149"/>
        <v>0</v>
      </c>
      <c r="BA1286" s="221">
        <f t="shared" si="1149"/>
        <v>0</v>
      </c>
      <c r="BB1286" s="254">
        <v>5</v>
      </c>
      <c r="BC1286" s="255" t="s">
        <v>671</v>
      </c>
      <c r="BD1286" s="255" t="s">
        <v>739</v>
      </c>
      <c r="BE1286" s="173" t="s">
        <v>630</v>
      </c>
      <c r="BF1286" s="255" t="s">
        <v>630</v>
      </c>
      <c r="BG1286" s="175" t="s">
        <v>74</v>
      </c>
      <c r="BH1286" s="224">
        <f>BH1287</f>
        <v>165</v>
      </c>
      <c r="BI1286" s="254"/>
      <c r="BJ1286" s="255" t="s">
        <v>8155</v>
      </c>
      <c r="BK1286" s="255" t="s">
        <v>469</v>
      </c>
      <c r="BL1286" s="182" t="s">
        <v>8156</v>
      </c>
      <c r="BM1286" s="224">
        <f>BM1287</f>
        <v>165</v>
      </c>
      <c r="BN1286" s="160"/>
      <c r="BO1286" s="161"/>
      <c r="BP1286" s="161"/>
    </row>
    <row r="1287" spans="1:68" ht="25.5">
      <c r="A1287" s="256" t="s">
        <v>469</v>
      </c>
      <c r="B1287" s="184"/>
      <c r="C1287" s="185" t="s">
        <v>74</v>
      </c>
      <c r="D1287" s="146" t="s">
        <v>4692</v>
      </c>
      <c r="E1287" s="185" t="s">
        <v>74</v>
      </c>
      <c r="F1287" s="188">
        <v>705</v>
      </c>
      <c r="G1287" s="187">
        <v>0</v>
      </c>
      <c r="H1287" s="187"/>
      <c r="I1287" s="187">
        <v>0</v>
      </c>
      <c r="J1287" s="188">
        <f>J1288</f>
        <v>0</v>
      </c>
      <c r="K1287" s="188">
        <f>K1288</f>
        <v>0</v>
      </c>
      <c r="L1287" s="188">
        <f t="shared" si="1080"/>
        <v>0</v>
      </c>
      <c r="M1287" s="188">
        <v>0</v>
      </c>
      <c r="N1287" s="188">
        <v>0</v>
      </c>
      <c r="O1287" s="188">
        <v>0</v>
      </c>
      <c r="P1287" s="299">
        <f t="shared" si="1146"/>
        <v>95</v>
      </c>
      <c r="Q1287" s="299">
        <f t="shared" si="1146"/>
        <v>0</v>
      </c>
      <c r="R1287" s="299">
        <f t="shared" si="1146"/>
        <v>95</v>
      </c>
      <c r="S1287" s="150">
        <f t="shared" si="1145"/>
        <v>126.66666666666666</v>
      </c>
      <c r="T1287" s="213"/>
      <c r="U1287" s="299">
        <f t="shared" si="1147"/>
        <v>165</v>
      </c>
      <c r="V1287" s="226">
        <f t="shared" si="1147"/>
        <v>0</v>
      </c>
      <c r="W1287" s="299">
        <f t="shared" si="1147"/>
        <v>165</v>
      </c>
      <c r="X1287" s="299">
        <v>165</v>
      </c>
      <c r="Y1287" s="299">
        <v>0</v>
      </c>
      <c r="Z1287" s="299">
        <v>165</v>
      </c>
      <c r="AA1287" s="299">
        <f t="shared" si="1137"/>
        <v>0</v>
      </c>
      <c r="AB1287" s="299">
        <v>165</v>
      </c>
      <c r="AC1287" s="226">
        <v>0</v>
      </c>
      <c r="AD1287" s="299">
        <f t="shared" si="1146"/>
        <v>165</v>
      </c>
      <c r="AE1287" s="299">
        <v>165</v>
      </c>
      <c r="AF1287" s="169" t="s">
        <v>4680</v>
      </c>
      <c r="AG1287" s="301">
        <v>165</v>
      </c>
      <c r="AH1287" s="226">
        <v>0</v>
      </c>
      <c r="AI1287" s="299">
        <v>165</v>
      </c>
      <c r="AJ1287" s="169">
        <f t="shared" si="1139"/>
        <v>0</v>
      </c>
      <c r="AK1287" s="301">
        <v>165</v>
      </c>
      <c r="AL1287" s="226">
        <v>0</v>
      </c>
      <c r="AM1287" s="299">
        <f t="shared" si="1146"/>
        <v>165</v>
      </c>
      <c r="AN1287" s="153">
        <f t="shared" si="1141"/>
        <v>0</v>
      </c>
      <c r="AO1287" s="154">
        <f t="shared" si="1142"/>
        <v>0</v>
      </c>
      <c r="AP1287" s="299">
        <v>165</v>
      </c>
      <c r="AQ1287" s="301">
        <v>165</v>
      </c>
      <c r="AR1287" s="226">
        <f t="shared" si="1148"/>
        <v>0</v>
      </c>
      <c r="AS1287" s="299">
        <f t="shared" si="1148"/>
        <v>165</v>
      </c>
      <c r="AT1287" s="155"/>
      <c r="AU1287" s="156">
        <f t="shared" si="1132"/>
        <v>0</v>
      </c>
      <c r="AV1287" s="156">
        <f t="shared" si="1133"/>
        <v>0</v>
      </c>
      <c r="AW1287" s="157"/>
      <c r="AX1287" s="150">
        <v>165</v>
      </c>
      <c r="AY1287" s="299">
        <f t="shared" si="1149"/>
        <v>0</v>
      </c>
      <c r="AZ1287" s="299">
        <f t="shared" si="1149"/>
        <v>0</v>
      </c>
      <c r="BA1287" s="299">
        <f t="shared" si="1149"/>
        <v>0</v>
      </c>
      <c r="BB1287" s="192">
        <v>5</v>
      </c>
      <c r="BC1287" s="256" t="s">
        <v>671</v>
      </c>
      <c r="BD1287" s="256" t="s">
        <v>739</v>
      </c>
      <c r="BE1287" s="256" t="s">
        <v>632</v>
      </c>
      <c r="BF1287" s="256" t="s">
        <v>630</v>
      </c>
      <c r="BG1287" s="185" t="s">
        <v>74</v>
      </c>
      <c r="BH1287" s="302">
        <f>BH1288</f>
        <v>165</v>
      </c>
      <c r="BI1287" s="192"/>
      <c r="BJ1287" s="256" t="s">
        <v>8155</v>
      </c>
      <c r="BK1287" s="256" t="s">
        <v>469</v>
      </c>
      <c r="BL1287" s="238" t="s">
        <v>8156</v>
      </c>
      <c r="BM1287" s="302">
        <f>BM1288</f>
        <v>165</v>
      </c>
      <c r="BN1287" s="160"/>
      <c r="BO1287" s="161">
        <f t="shared" si="1092"/>
        <v>0</v>
      </c>
      <c r="BP1287" s="161"/>
    </row>
    <row r="1288" spans="1:68" ht="25.5">
      <c r="A1288" s="206" t="s">
        <v>469</v>
      </c>
      <c r="B1288" s="195" t="s">
        <v>8157</v>
      </c>
      <c r="C1288" s="196" t="s">
        <v>8158</v>
      </c>
      <c r="D1288" s="146" t="s">
        <v>4692</v>
      </c>
      <c r="E1288" s="196" t="s">
        <v>8158</v>
      </c>
      <c r="F1288" s="150">
        <v>705</v>
      </c>
      <c r="G1288" s="209">
        <v>0</v>
      </c>
      <c r="H1288" s="209">
        <v>0</v>
      </c>
      <c r="I1288" s="209">
        <v>0</v>
      </c>
      <c r="J1288" s="150">
        <v>0</v>
      </c>
      <c r="K1288" s="150">
        <v>0</v>
      </c>
      <c r="L1288" s="150">
        <f t="shared" si="1080"/>
        <v>0</v>
      </c>
      <c r="M1288" s="150">
        <v>0</v>
      </c>
      <c r="N1288" s="150"/>
      <c r="O1288" s="150">
        <v>0</v>
      </c>
      <c r="P1288" s="150">
        <v>95</v>
      </c>
      <c r="Q1288" s="150">
        <v>0</v>
      </c>
      <c r="R1288" s="150">
        <f>P1288+Q1288</f>
        <v>95</v>
      </c>
      <c r="S1288" s="150">
        <f t="shared" si="1145"/>
        <v>126.66666666666666</v>
      </c>
      <c r="T1288" s="150"/>
      <c r="U1288" s="150">
        <v>165</v>
      </c>
      <c r="V1288" s="199"/>
      <c r="W1288" s="150">
        <f>U1288+V1288</f>
        <v>165</v>
      </c>
      <c r="X1288" s="150">
        <v>165</v>
      </c>
      <c r="Y1288" s="150"/>
      <c r="Z1288" s="150">
        <v>165</v>
      </c>
      <c r="AA1288" s="150">
        <f t="shared" si="1137"/>
        <v>0</v>
      </c>
      <c r="AB1288" s="150">
        <v>165</v>
      </c>
      <c r="AC1288" s="199"/>
      <c r="AD1288" s="150">
        <f>AB1288+AC1288</f>
        <v>165</v>
      </c>
      <c r="AE1288" s="150">
        <v>165</v>
      </c>
      <c r="AF1288" s="169" t="s">
        <v>4680</v>
      </c>
      <c r="AG1288" s="201">
        <v>165</v>
      </c>
      <c r="AH1288" s="199"/>
      <c r="AI1288" s="150">
        <v>165</v>
      </c>
      <c r="AJ1288" s="169">
        <f t="shared" si="1139"/>
        <v>0</v>
      </c>
      <c r="AK1288" s="201">
        <v>165</v>
      </c>
      <c r="AL1288" s="199"/>
      <c r="AM1288" s="150">
        <f>AK1288+AL1288</f>
        <v>165</v>
      </c>
      <c r="AN1288" s="153">
        <f t="shared" si="1141"/>
        <v>0</v>
      </c>
      <c r="AO1288" s="154">
        <f t="shared" si="1142"/>
        <v>0</v>
      </c>
      <c r="AP1288" s="150">
        <v>165</v>
      </c>
      <c r="AQ1288" s="201">
        <v>165</v>
      </c>
      <c r="AR1288" s="199"/>
      <c r="AS1288" s="150">
        <f>AQ1288+AR1288</f>
        <v>165</v>
      </c>
      <c r="AT1288" s="155"/>
      <c r="AU1288" s="156">
        <f t="shared" si="1132"/>
        <v>0</v>
      </c>
      <c r="AV1288" s="156">
        <f t="shared" si="1133"/>
        <v>0</v>
      </c>
      <c r="AW1288" s="157"/>
      <c r="AX1288" s="150">
        <v>165</v>
      </c>
      <c r="AY1288" s="150">
        <v>0</v>
      </c>
      <c r="AZ1288" s="150"/>
      <c r="BA1288" s="150">
        <f t="shared" si="1091"/>
        <v>0</v>
      </c>
      <c r="BB1288" s="202">
        <v>5</v>
      </c>
      <c r="BC1288" s="202" t="s">
        <v>671</v>
      </c>
      <c r="BD1288" s="202" t="s">
        <v>739</v>
      </c>
      <c r="BE1288" s="202" t="s">
        <v>632</v>
      </c>
      <c r="BF1288" s="202" t="s">
        <v>632</v>
      </c>
      <c r="BG1288" s="203" t="s">
        <v>74</v>
      </c>
      <c r="BH1288" s="216">
        <f>AS1288</f>
        <v>165</v>
      </c>
      <c r="BI1288" s="205"/>
      <c r="BJ1288" s="206" t="s">
        <v>8155</v>
      </c>
      <c r="BK1288" s="206" t="s">
        <v>469</v>
      </c>
      <c r="BL1288" s="207" t="s">
        <v>8156</v>
      </c>
      <c r="BM1288" s="208">
        <f>BH1288</f>
        <v>165</v>
      </c>
      <c r="BN1288" s="160"/>
      <c r="BO1288" s="161">
        <f t="shared" si="1092"/>
        <v>0</v>
      </c>
      <c r="BP1288" s="161"/>
    </row>
    <row r="1289" spans="1:68" ht="51">
      <c r="A1289" s="255" t="s">
        <v>470</v>
      </c>
      <c r="B1289" s="174"/>
      <c r="C1289" s="175" t="s">
        <v>75</v>
      </c>
      <c r="D1289" s="146" t="s">
        <v>4692</v>
      </c>
      <c r="E1289" s="175" t="s">
        <v>75</v>
      </c>
      <c r="F1289" s="176">
        <v>0</v>
      </c>
      <c r="G1289" s="177">
        <v>0</v>
      </c>
      <c r="H1289" s="177">
        <v>0</v>
      </c>
      <c r="I1289" s="177">
        <v>0</v>
      </c>
      <c r="J1289" s="176">
        <f>J1290</f>
        <v>0</v>
      </c>
      <c r="K1289" s="176">
        <f>K1290</f>
        <v>0</v>
      </c>
      <c r="L1289" s="176">
        <f t="shared" si="1080"/>
        <v>0</v>
      </c>
      <c r="M1289" s="178">
        <v>0</v>
      </c>
      <c r="N1289" s="178">
        <v>0</v>
      </c>
      <c r="O1289" s="178">
        <v>0</v>
      </c>
      <c r="P1289" s="221">
        <f t="shared" ref="P1289:AM1290" si="1150">P1290</f>
        <v>0</v>
      </c>
      <c r="Q1289" s="221">
        <f t="shared" si="1150"/>
        <v>0</v>
      </c>
      <c r="R1289" s="221">
        <f t="shared" si="1150"/>
        <v>0</v>
      </c>
      <c r="S1289" s="150">
        <f t="shared" si="1145"/>
        <v>0</v>
      </c>
      <c r="T1289" s="213"/>
      <c r="U1289" s="221">
        <f t="shared" ref="U1289:W1290" si="1151">U1290</f>
        <v>0</v>
      </c>
      <c r="V1289" s="222">
        <f t="shared" si="1151"/>
        <v>0</v>
      </c>
      <c r="W1289" s="221">
        <f t="shared" si="1151"/>
        <v>0</v>
      </c>
      <c r="X1289" s="221">
        <v>0</v>
      </c>
      <c r="Y1289" s="221">
        <v>0</v>
      </c>
      <c r="Z1289" s="221">
        <v>0</v>
      </c>
      <c r="AA1289" s="221">
        <f t="shared" si="1137"/>
        <v>0</v>
      </c>
      <c r="AB1289" s="221">
        <v>0</v>
      </c>
      <c r="AC1289" s="222">
        <v>0</v>
      </c>
      <c r="AD1289" s="221">
        <f t="shared" si="1150"/>
        <v>0</v>
      </c>
      <c r="AE1289" s="221">
        <v>0</v>
      </c>
      <c r="AF1289" s="169" t="s">
        <v>4680</v>
      </c>
      <c r="AG1289" s="223">
        <v>0</v>
      </c>
      <c r="AH1289" s="222">
        <v>0</v>
      </c>
      <c r="AI1289" s="221">
        <v>0</v>
      </c>
      <c r="AJ1289" s="169">
        <f t="shared" si="1139"/>
        <v>0</v>
      </c>
      <c r="AK1289" s="223">
        <v>0</v>
      </c>
      <c r="AL1289" s="222">
        <v>0</v>
      </c>
      <c r="AM1289" s="221">
        <f t="shared" si="1150"/>
        <v>0</v>
      </c>
      <c r="AN1289" s="153">
        <f t="shared" si="1141"/>
        <v>0</v>
      </c>
      <c r="AO1289" s="154">
        <f t="shared" si="1142"/>
        <v>0</v>
      </c>
      <c r="AP1289" s="221">
        <v>0</v>
      </c>
      <c r="AQ1289" s="223">
        <v>0</v>
      </c>
      <c r="AR1289" s="222">
        <f t="shared" ref="AR1289:AS1290" si="1152">AR1290</f>
        <v>0</v>
      </c>
      <c r="AS1289" s="221">
        <f t="shared" si="1152"/>
        <v>0</v>
      </c>
      <c r="AT1289" s="155"/>
      <c r="AU1289" s="156">
        <f t="shared" si="1132"/>
        <v>0</v>
      </c>
      <c r="AV1289" s="156">
        <f t="shared" si="1133"/>
        <v>0</v>
      </c>
      <c r="AW1289" s="157"/>
      <c r="AX1289" s="150">
        <v>0</v>
      </c>
      <c r="AY1289" s="221">
        <f t="shared" ref="AY1289:BA1290" si="1153">AY1290</f>
        <v>0</v>
      </c>
      <c r="AZ1289" s="221">
        <f t="shared" si="1153"/>
        <v>0</v>
      </c>
      <c r="BA1289" s="221">
        <f t="shared" si="1153"/>
        <v>0</v>
      </c>
      <c r="BB1289" s="254">
        <v>5</v>
      </c>
      <c r="BC1289" s="255" t="s">
        <v>671</v>
      </c>
      <c r="BD1289" s="255" t="s">
        <v>755</v>
      </c>
      <c r="BE1289" s="173" t="s">
        <v>630</v>
      </c>
      <c r="BF1289" s="255" t="s">
        <v>630</v>
      </c>
      <c r="BG1289" s="175" t="s">
        <v>75</v>
      </c>
      <c r="BH1289" s="224">
        <f>BH1290</f>
        <v>0</v>
      </c>
      <c r="BI1289" s="254"/>
      <c r="BJ1289" s="255" t="s">
        <v>8159</v>
      </c>
      <c r="BK1289" s="255" t="s">
        <v>470</v>
      </c>
      <c r="BL1289" s="182" t="s">
        <v>8160</v>
      </c>
      <c r="BM1289" s="224">
        <f>BM1290</f>
        <v>0</v>
      </c>
      <c r="BN1289" s="160"/>
      <c r="BO1289" s="161">
        <f t="shared" si="1092"/>
        <v>0</v>
      </c>
      <c r="BP1289" s="161"/>
    </row>
    <row r="1290" spans="1:68" ht="51">
      <c r="A1290" s="256" t="s">
        <v>470</v>
      </c>
      <c r="B1290" s="184"/>
      <c r="C1290" s="185" t="s">
        <v>75</v>
      </c>
      <c r="D1290" s="146" t="s">
        <v>4692</v>
      </c>
      <c r="E1290" s="185" t="s">
        <v>75</v>
      </c>
      <c r="F1290" s="188">
        <v>0</v>
      </c>
      <c r="G1290" s="187">
        <v>0</v>
      </c>
      <c r="H1290" s="187"/>
      <c r="I1290" s="187">
        <v>0</v>
      </c>
      <c r="J1290" s="188">
        <f>J1291</f>
        <v>0</v>
      </c>
      <c r="K1290" s="188">
        <f>K1291</f>
        <v>0</v>
      </c>
      <c r="L1290" s="188">
        <f t="shared" ref="L1290:L1353" si="1154">J1290+K1290</f>
        <v>0</v>
      </c>
      <c r="M1290" s="188">
        <v>0</v>
      </c>
      <c r="N1290" s="188">
        <v>0</v>
      </c>
      <c r="O1290" s="188">
        <v>0</v>
      </c>
      <c r="P1290" s="299">
        <f t="shared" si="1150"/>
        <v>0</v>
      </c>
      <c r="Q1290" s="299">
        <f t="shared" si="1150"/>
        <v>0</v>
      </c>
      <c r="R1290" s="299">
        <f t="shared" si="1150"/>
        <v>0</v>
      </c>
      <c r="S1290" s="150">
        <f t="shared" si="1145"/>
        <v>0</v>
      </c>
      <c r="T1290" s="213"/>
      <c r="U1290" s="299">
        <f t="shared" si="1151"/>
        <v>0</v>
      </c>
      <c r="V1290" s="226">
        <f t="shared" si="1151"/>
        <v>0</v>
      </c>
      <c r="W1290" s="299">
        <f t="shared" si="1151"/>
        <v>0</v>
      </c>
      <c r="X1290" s="299">
        <v>0</v>
      </c>
      <c r="Y1290" s="299">
        <v>0</v>
      </c>
      <c r="Z1290" s="299">
        <v>0</v>
      </c>
      <c r="AA1290" s="299">
        <f t="shared" si="1137"/>
        <v>0</v>
      </c>
      <c r="AB1290" s="299">
        <v>0</v>
      </c>
      <c r="AC1290" s="226">
        <v>0</v>
      </c>
      <c r="AD1290" s="299">
        <f t="shared" si="1150"/>
        <v>0</v>
      </c>
      <c r="AE1290" s="299">
        <v>0</v>
      </c>
      <c r="AF1290" s="169" t="s">
        <v>4680</v>
      </c>
      <c r="AG1290" s="301">
        <v>0</v>
      </c>
      <c r="AH1290" s="226">
        <v>0</v>
      </c>
      <c r="AI1290" s="299">
        <v>0</v>
      </c>
      <c r="AJ1290" s="169">
        <f t="shared" si="1139"/>
        <v>0</v>
      </c>
      <c r="AK1290" s="301">
        <v>0</v>
      </c>
      <c r="AL1290" s="226">
        <v>0</v>
      </c>
      <c r="AM1290" s="299">
        <f t="shared" si="1150"/>
        <v>0</v>
      </c>
      <c r="AN1290" s="153">
        <f t="shared" si="1141"/>
        <v>0</v>
      </c>
      <c r="AO1290" s="154">
        <f t="shared" si="1142"/>
        <v>0</v>
      </c>
      <c r="AP1290" s="299">
        <v>0</v>
      </c>
      <c r="AQ1290" s="301">
        <v>0</v>
      </c>
      <c r="AR1290" s="226">
        <f t="shared" si="1152"/>
        <v>0</v>
      </c>
      <c r="AS1290" s="299">
        <f t="shared" si="1152"/>
        <v>0</v>
      </c>
      <c r="AT1290" s="155"/>
      <c r="AU1290" s="156">
        <f t="shared" si="1132"/>
        <v>0</v>
      </c>
      <c r="AV1290" s="156">
        <f t="shared" si="1133"/>
        <v>0</v>
      </c>
      <c r="AW1290" s="157"/>
      <c r="AX1290" s="150">
        <v>0</v>
      </c>
      <c r="AY1290" s="299">
        <f t="shared" si="1153"/>
        <v>0</v>
      </c>
      <c r="AZ1290" s="299">
        <f t="shared" si="1153"/>
        <v>0</v>
      </c>
      <c r="BA1290" s="299">
        <f t="shared" si="1153"/>
        <v>0</v>
      </c>
      <c r="BB1290" s="192">
        <v>5</v>
      </c>
      <c r="BC1290" s="256" t="s">
        <v>671</v>
      </c>
      <c r="BD1290" s="256" t="s">
        <v>755</v>
      </c>
      <c r="BE1290" s="256" t="s">
        <v>632</v>
      </c>
      <c r="BF1290" s="256" t="s">
        <v>630</v>
      </c>
      <c r="BG1290" s="185" t="s">
        <v>75</v>
      </c>
      <c r="BH1290" s="302">
        <f>BH1291</f>
        <v>0</v>
      </c>
      <c r="BI1290" s="192"/>
      <c r="BJ1290" s="256" t="s">
        <v>8159</v>
      </c>
      <c r="BK1290" s="256" t="s">
        <v>470</v>
      </c>
      <c r="BL1290" s="238" t="s">
        <v>8160</v>
      </c>
      <c r="BM1290" s="302">
        <f>BM1291</f>
        <v>0</v>
      </c>
      <c r="BN1290" s="160"/>
      <c r="BO1290" s="161">
        <f t="shared" si="1092"/>
        <v>0</v>
      </c>
      <c r="BP1290" s="161"/>
    </row>
    <row r="1291" spans="1:68" ht="38.25">
      <c r="A1291" s="261" t="s">
        <v>470</v>
      </c>
      <c r="B1291" s="228" t="s">
        <v>8161</v>
      </c>
      <c r="C1291" s="229" t="s">
        <v>8162</v>
      </c>
      <c r="D1291" s="146" t="s">
        <v>4692</v>
      </c>
      <c r="E1291" s="196" t="s">
        <v>8162</v>
      </c>
      <c r="F1291" s="150">
        <v>0</v>
      </c>
      <c r="G1291" s="209">
        <v>4696317.6400000006</v>
      </c>
      <c r="H1291" s="209">
        <v>495122.96069000021</v>
      </c>
      <c r="I1291" s="209">
        <v>5191440.6006899998</v>
      </c>
      <c r="J1291" s="150">
        <v>0</v>
      </c>
      <c r="K1291" s="150">
        <v>0</v>
      </c>
      <c r="L1291" s="150">
        <f t="shared" si="1154"/>
        <v>0</v>
      </c>
      <c r="M1291" s="150">
        <v>0</v>
      </c>
      <c r="N1291" s="150"/>
      <c r="O1291" s="150">
        <v>0</v>
      </c>
      <c r="P1291" s="150">
        <v>0</v>
      </c>
      <c r="Q1291" s="150">
        <v>0</v>
      </c>
      <c r="R1291" s="150">
        <f>P1291+Q1291</f>
        <v>0</v>
      </c>
      <c r="S1291" s="150">
        <f t="shared" si="1145"/>
        <v>0</v>
      </c>
      <c r="T1291" s="150"/>
      <c r="U1291" s="150">
        <v>0</v>
      </c>
      <c r="V1291" s="199"/>
      <c r="W1291" s="150">
        <f>U1291+V1291</f>
        <v>0</v>
      </c>
      <c r="X1291" s="150">
        <v>0</v>
      </c>
      <c r="Y1291" s="150"/>
      <c r="Z1291" s="150">
        <v>0</v>
      </c>
      <c r="AA1291" s="150">
        <f t="shared" si="1137"/>
        <v>0</v>
      </c>
      <c r="AB1291" s="150">
        <v>0</v>
      </c>
      <c r="AC1291" s="199"/>
      <c r="AD1291" s="150">
        <f>AB1291+AC1291</f>
        <v>0</v>
      </c>
      <c r="AE1291" s="150">
        <v>0</v>
      </c>
      <c r="AF1291" s="169" t="s">
        <v>4680</v>
      </c>
      <c r="AG1291" s="201">
        <v>0</v>
      </c>
      <c r="AH1291" s="199"/>
      <c r="AI1291" s="150">
        <v>0</v>
      </c>
      <c r="AJ1291" s="169">
        <f t="shared" si="1139"/>
        <v>0</v>
      </c>
      <c r="AK1291" s="201">
        <v>0</v>
      </c>
      <c r="AL1291" s="199"/>
      <c r="AM1291" s="150">
        <f>AK1291+AL1291</f>
        <v>0</v>
      </c>
      <c r="AN1291" s="153">
        <f t="shared" si="1141"/>
        <v>0</v>
      </c>
      <c r="AO1291" s="154">
        <f t="shared" si="1142"/>
        <v>0</v>
      </c>
      <c r="AP1291" s="150">
        <v>0</v>
      </c>
      <c r="AQ1291" s="201">
        <v>0</v>
      </c>
      <c r="AR1291" s="199"/>
      <c r="AS1291" s="150">
        <f>AQ1291+AR1291</f>
        <v>0</v>
      </c>
      <c r="AT1291" s="155" t="s">
        <v>4796</v>
      </c>
      <c r="AU1291" s="156">
        <f t="shared" si="1132"/>
        <v>0</v>
      </c>
      <c r="AV1291" s="156">
        <f t="shared" si="1133"/>
        <v>0</v>
      </c>
      <c r="AW1291" s="157" t="s">
        <v>4796</v>
      </c>
      <c r="AX1291" s="150">
        <v>0</v>
      </c>
      <c r="AY1291" s="150">
        <v>0</v>
      </c>
      <c r="AZ1291" s="150"/>
      <c r="BA1291" s="150">
        <f t="shared" si="1091"/>
        <v>0</v>
      </c>
      <c r="BB1291" s="202">
        <v>5</v>
      </c>
      <c r="BC1291" s="202" t="s">
        <v>671</v>
      </c>
      <c r="BD1291" s="202" t="s">
        <v>755</v>
      </c>
      <c r="BE1291" s="202" t="s">
        <v>632</v>
      </c>
      <c r="BF1291" s="202" t="s">
        <v>632</v>
      </c>
      <c r="BG1291" s="203" t="s">
        <v>75</v>
      </c>
      <c r="BH1291" s="216">
        <f>AS1291</f>
        <v>0</v>
      </c>
      <c r="BI1291" s="205"/>
      <c r="BJ1291" s="206" t="s">
        <v>8159</v>
      </c>
      <c r="BK1291" s="206" t="s">
        <v>470</v>
      </c>
      <c r="BL1291" s="207" t="s">
        <v>8160</v>
      </c>
      <c r="BM1291" s="208">
        <f>BH1291</f>
        <v>0</v>
      </c>
      <c r="BN1291" s="160"/>
      <c r="BO1291" s="161">
        <f t="shared" si="1092"/>
        <v>0</v>
      </c>
      <c r="BP1291" s="161"/>
    </row>
    <row r="1292" spans="1:68" ht="25.5">
      <c r="A1292" s="263" t="s">
        <v>8163</v>
      </c>
      <c r="B1292" s="163"/>
      <c r="C1292" s="164" t="s">
        <v>8164</v>
      </c>
      <c r="D1292" s="146" t="s">
        <v>4692</v>
      </c>
      <c r="E1292" s="164" t="s">
        <v>8164</v>
      </c>
      <c r="F1292" s="165">
        <v>5076331.74</v>
      </c>
      <c r="G1292" s="166">
        <v>117958.58</v>
      </c>
      <c r="H1292" s="166">
        <v>22430.42</v>
      </c>
      <c r="I1292" s="166">
        <v>140389</v>
      </c>
      <c r="J1292" s="165">
        <f>J1293+J1299+J1321+J1341+J1344</f>
        <v>347921.36</v>
      </c>
      <c r="K1292" s="165">
        <f>K1293+K1299+K1321+K1341+K1344</f>
        <v>70098.936430000002</v>
      </c>
      <c r="L1292" s="165">
        <f t="shared" si="1154"/>
        <v>418020.29642999999</v>
      </c>
      <c r="M1292" s="167">
        <v>1368748.97</v>
      </c>
      <c r="N1292" s="167">
        <v>1093061.8700000001</v>
      </c>
      <c r="O1292" s="167">
        <v>2461810.84</v>
      </c>
      <c r="P1292" s="232">
        <f t="shared" ref="P1292:R1292" si="1155">P1293+P1299+P1321+P1341+P1344</f>
        <v>2653973.29</v>
      </c>
      <c r="Q1292" s="232">
        <f t="shared" si="1155"/>
        <v>1544726.6400000001</v>
      </c>
      <c r="R1292" s="232">
        <f t="shared" si="1155"/>
        <v>4198699.93</v>
      </c>
      <c r="S1292" s="150">
        <f t="shared" si="1145"/>
        <v>5598266.5733333323</v>
      </c>
      <c r="T1292" s="213"/>
      <c r="U1292" s="232">
        <f t="shared" ref="U1292:W1292" si="1156">U1293+U1299+U1321+U1341+U1344</f>
        <v>4743448.01</v>
      </c>
      <c r="V1292" s="233">
        <f t="shared" si="1156"/>
        <v>374386.16161999991</v>
      </c>
      <c r="W1292" s="232">
        <f t="shared" si="1156"/>
        <v>5117834.1716200002</v>
      </c>
      <c r="X1292" s="232">
        <v>4743448.01</v>
      </c>
      <c r="Y1292" s="232">
        <v>374386.16161999991</v>
      </c>
      <c r="Z1292" s="232">
        <v>5117834.1716200002</v>
      </c>
      <c r="AA1292" s="232">
        <f t="shared" si="1137"/>
        <v>-60858.911500000395</v>
      </c>
      <c r="AB1292" s="232">
        <v>5019207.93</v>
      </c>
      <c r="AC1292" s="233">
        <v>37767.330119999897</v>
      </c>
      <c r="AD1292" s="232">
        <f t="shared" ref="AD1292" si="1157">AD1293+AD1299+AD1321+AD1341+AD1344</f>
        <v>5056975.2601199998</v>
      </c>
      <c r="AE1292" s="232">
        <v>5057221.6634199992</v>
      </c>
      <c r="AF1292" s="169" t="s">
        <v>4680</v>
      </c>
      <c r="AG1292" s="234">
        <v>5044654.83</v>
      </c>
      <c r="AH1292" s="233">
        <v>12566.835419999901</v>
      </c>
      <c r="AI1292" s="232">
        <v>5057221.6654199995</v>
      </c>
      <c r="AJ1292" s="169">
        <f t="shared" si="1139"/>
        <v>0</v>
      </c>
      <c r="AK1292" s="234">
        <v>5044654.83</v>
      </c>
      <c r="AL1292" s="233">
        <v>12566.835419999901</v>
      </c>
      <c r="AM1292" s="232">
        <f t="shared" ref="AM1292" si="1158">AM1293+AM1299+AM1321+AM1341+AM1344</f>
        <v>5057221.6654199995</v>
      </c>
      <c r="AN1292" s="153">
        <f t="shared" si="1141"/>
        <v>4.5800004154443741E-3</v>
      </c>
      <c r="AO1292" s="154">
        <f t="shared" si="1142"/>
        <v>4.5800004154443741E-3</v>
      </c>
      <c r="AP1292" s="232">
        <v>5057221.6654199995</v>
      </c>
      <c r="AQ1292" s="234">
        <v>5057221.67</v>
      </c>
      <c r="AR1292" s="233">
        <f t="shared" ref="AR1292:AS1292" si="1159">AR1293+AR1299+AR1321+AR1341+AR1344</f>
        <v>0</v>
      </c>
      <c r="AS1292" s="232">
        <f t="shared" si="1159"/>
        <v>5057221.67</v>
      </c>
      <c r="AT1292" s="155"/>
      <c r="AU1292" s="156">
        <f t="shared" si="1132"/>
        <v>246.40529999975115</v>
      </c>
      <c r="AV1292" s="156">
        <f t="shared" si="1133"/>
        <v>-60858.911500000395</v>
      </c>
      <c r="AW1292" s="157"/>
      <c r="AX1292" s="150">
        <v>5117834.1716200002</v>
      </c>
      <c r="AY1292" s="232">
        <f t="shared" ref="AY1292:BA1292" si="1160">AY1293+AY1299+AY1321+AY1341+AY1344</f>
        <v>2220167.35</v>
      </c>
      <c r="AZ1292" s="232">
        <f t="shared" si="1160"/>
        <v>2476650.2347300001</v>
      </c>
      <c r="BA1292" s="232">
        <f t="shared" si="1160"/>
        <v>4696817.5847299993</v>
      </c>
      <c r="BB1292" s="263">
        <v>5</v>
      </c>
      <c r="BC1292" s="262" t="s">
        <v>693</v>
      </c>
      <c r="BD1292" s="262" t="s">
        <v>630</v>
      </c>
      <c r="BE1292" s="162" t="s">
        <v>630</v>
      </c>
      <c r="BF1292" s="262" t="s">
        <v>630</v>
      </c>
      <c r="BG1292" s="164" t="s">
        <v>8164</v>
      </c>
      <c r="BH1292" s="235">
        <f>BH1293+BH1299+BH1321+BH1341+BH1344</f>
        <v>5057221.67</v>
      </c>
      <c r="BI1292" s="263"/>
      <c r="BJ1292" s="262" t="s">
        <v>8165</v>
      </c>
      <c r="BK1292" s="263" t="s">
        <v>8163</v>
      </c>
      <c r="BL1292" s="164" t="s">
        <v>8166</v>
      </c>
      <c r="BM1292" s="235">
        <f>BM1293+BM1299+BM1321+BM1341+BM1344</f>
        <v>5057221.67</v>
      </c>
      <c r="BN1292" s="160"/>
      <c r="BO1292" s="161">
        <f t="shared" si="1092"/>
        <v>0</v>
      </c>
      <c r="BP1292" s="161"/>
    </row>
    <row r="1293" spans="1:68">
      <c r="A1293" s="254" t="s">
        <v>8167</v>
      </c>
      <c r="B1293" s="174"/>
      <c r="C1293" s="175" t="s">
        <v>8168</v>
      </c>
      <c r="D1293" s="146" t="s">
        <v>4692</v>
      </c>
      <c r="E1293" s="175" t="s">
        <v>8168</v>
      </c>
      <c r="F1293" s="176">
        <v>117958.58</v>
      </c>
      <c r="G1293" s="177">
        <v>0</v>
      </c>
      <c r="H1293" s="177">
        <v>0</v>
      </c>
      <c r="I1293" s="177">
        <v>0</v>
      </c>
      <c r="J1293" s="176">
        <f>J1294+J1296</f>
        <v>0</v>
      </c>
      <c r="K1293" s="176">
        <f>K1294+K1296</f>
        <v>35318.51</v>
      </c>
      <c r="L1293" s="176">
        <f t="shared" si="1154"/>
        <v>35318.51</v>
      </c>
      <c r="M1293" s="178">
        <v>2000.88</v>
      </c>
      <c r="N1293" s="178">
        <v>56978.409999999996</v>
      </c>
      <c r="O1293" s="178">
        <v>58979.289999999994</v>
      </c>
      <c r="P1293" s="221">
        <f t="shared" ref="P1293:R1293" si="1161">P1294+P1296</f>
        <v>4013.77</v>
      </c>
      <c r="Q1293" s="221">
        <f t="shared" si="1161"/>
        <v>95662.67</v>
      </c>
      <c r="R1293" s="221">
        <f t="shared" si="1161"/>
        <v>99676.44</v>
      </c>
      <c r="S1293" s="150">
        <f t="shared" si="1145"/>
        <v>132901.91999999998</v>
      </c>
      <c r="T1293" s="213"/>
      <c r="U1293" s="221">
        <f t="shared" ref="U1293:W1293" si="1162">U1294+U1296</f>
        <v>118131.61</v>
      </c>
      <c r="V1293" s="222">
        <f t="shared" si="1162"/>
        <v>33298.620000000003</v>
      </c>
      <c r="W1293" s="221">
        <f t="shared" si="1162"/>
        <v>151430.23000000001</v>
      </c>
      <c r="X1293" s="221">
        <v>118131.61</v>
      </c>
      <c r="Y1293" s="221">
        <v>33298.620000000003</v>
      </c>
      <c r="Z1293" s="221">
        <v>151430.23000000001</v>
      </c>
      <c r="AA1293" s="221">
        <f t="shared" si="1137"/>
        <v>-10692.133300000016</v>
      </c>
      <c r="AB1293" s="221">
        <v>129192.33</v>
      </c>
      <c r="AC1293" s="222">
        <v>11545.766699999993</v>
      </c>
      <c r="AD1293" s="221">
        <f t="shared" ref="AD1293" si="1163">AD1294+AD1296</f>
        <v>140738.09669999999</v>
      </c>
      <c r="AE1293" s="221">
        <v>140984.5</v>
      </c>
      <c r="AF1293" s="169" t="s">
        <v>4680</v>
      </c>
      <c r="AG1293" s="223">
        <v>140984.5</v>
      </c>
      <c r="AH1293" s="222">
        <v>0</v>
      </c>
      <c r="AI1293" s="221">
        <v>140984.5</v>
      </c>
      <c r="AJ1293" s="169">
        <f t="shared" si="1139"/>
        <v>0</v>
      </c>
      <c r="AK1293" s="223">
        <v>140984.5</v>
      </c>
      <c r="AL1293" s="222">
        <v>0</v>
      </c>
      <c r="AM1293" s="221">
        <f t="shared" ref="AM1293" si="1164">AM1294+AM1296</f>
        <v>140984.5</v>
      </c>
      <c r="AN1293" s="153">
        <f t="shared" si="1141"/>
        <v>0</v>
      </c>
      <c r="AO1293" s="154">
        <f t="shared" si="1142"/>
        <v>0</v>
      </c>
      <c r="AP1293" s="221">
        <v>140984.5</v>
      </c>
      <c r="AQ1293" s="223">
        <v>140984.5</v>
      </c>
      <c r="AR1293" s="222">
        <f t="shared" ref="AR1293:AS1293" si="1165">AR1294+AR1296</f>
        <v>0</v>
      </c>
      <c r="AS1293" s="221">
        <f t="shared" si="1165"/>
        <v>140984.5</v>
      </c>
      <c r="AT1293" s="155"/>
      <c r="AU1293" s="156">
        <f t="shared" si="1132"/>
        <v>246.4033000000054</v>
      </c>
      <c r="AV1293" s="156">
        <f t="shared" si="1133"/>
        <v>-10692.133300000016</v>
      </c>
      <c r="AW1293" s="157"/>
      <c r="AX1293" s="150">
        <v>151430.23000000001</v>
      </c>
      <c r="AY1293" s="221">
        <f t="shared" ref="AY1293:BA1293" si="1166">AY1294+AY1296</f>
        <v>4013.77</v>
      </c>
      <c r="AZ1293" s="221">
        <f t="shared" si="1166"/>
        <v>90091.209999999992</v>
      </c>
      <c r="BA1293" s="221">
        <f t="shared" si="1166"/>
        <v>94104.98</v>
      </c>
      <c r="BB1293" s="254">
        <v>5</v>
      </c>
      <c r="BC1293" s="255" t="s">
        <v>693</v>
      </c>
      <c r="BD1293" s="255" t="s">
        <v>632</v>
      </c>
      <c r="BE1293" s="173" t="s">
        <v>630</v>
      </c>
      <c r="BF1293" s="255" t="s">
        <v>630</v>
      </c>
      <c r="BG1293" s="175" t="s">
        <v>8168</v>
      </c>
      <c r="BH1293" s="224">
        <f>BH1294+BH1296</f>
        <v>140984.5</v>
      </c>
      <c r="BI1293" s="254"/>
      <c r="BJ1293" s="255" t="s">
        <v>8169</v>
      </c>
      <c r="BK1293" s="254" t="s">
        <v>8167</v>
      </c>
      <c r="BL1293" s="175" t="s">
        <v>8170</v>
      </c>
      <c r="BM1293" s="224">
        <f>BM1294+BM1296</f>
        <v>140984.5</v>
      </c>
      <c r="BN1293" s="160"/>
      <c r="BO1293" s="161">
        <f t="shared" si="1092"/>
        <v>0</v>
      </c>
      <c r="BP1293" s="161"/>
    </row>
    <row r="1294" spans="1:68">
      <c r="A1294" s="256" t="s">
        <v>8167</v>
      </c>
      <c r="B1294" s="184"/>
      <c r="C1294" s="185" t="s">
        <v>8171</v>
      </c>
      <c r="D1294" s="146" t="s">
        <v>4692</v>
      </c>
      <c r="E1294" s="185" t="s">
        <v>8171</v>
      </c>
      <c r="F1294" s="188">
        <v>0</v>
      </c>
      <c r="G1294" s="187">
        <v>0</v>
      </c>
      <c r="H1294" s="187"/>
      <c r="I1294" s="187">
        <v>0</v>
      </c>
      <c r="J1294" s="188">
        <f>J1295</f>
        <v>0</v>
      </c>
      <c r="K1294" s="188">
        <f>K1295</f>
        <v>0</v>
      </c>
      <c r="L1294" s="188">
        <f t="shared" si="1154"/>
        <v>0</v>
      </c>
      <c r="M1294" s="188">
        <v>0</v>
      </c>
      <c r="N1294" s="188">
        <v>0</v>
      </c>
      <c r="O1294" s="188">
        <v>0</v>
      </c>
      <c r="P1294" s="299">
        <f t="shared" ref="P1294:AS1294" si="1167">P1295</f>
        <v>0</v>
      </c>
      <c r="Q1294" s="299">
        <f t="shared" si="1167"/>
        <v>0</v>
      </c>
      <c r="R1294" s="299">
        <f t="shared" si="1167"/>
        <v>0</v>
      </c>
      <c r="S1294" s="150">
        <f t="shared" si="1145"/>
        <v>0</v>
      </c>
      <c r="T1294" s="213"/>
      <c r="U1294" s="299">
        <f t="shared" ref="U1294:W1294" si="1168">U1295</f>
        <v>0</v>
      </c>
      <c r="V1294" s="226">
        <f t="shared" si="1168"/>
        <v>0</v>
      </c>
      <c r="W1294" s="299">
        <f t="shared" si="1168"/>
        <v>0</v>
      </c>
      <c r="X1294" s="299">
        <v>0</v>
      </c>
      <c r="Y1294" s="299">
        <v>0</v>
      </c>
      <c r="Z1294" s="299">
        <v>0</v>
      </c>
      <c r="AA1294" s="299">
        <f t="shared" si="1137"/>
        <v>0</v>
      </c>
      <c r="AB1294" s="299">
        <v>0</v>
      </c>
      <c r="AC1294" s="226">
        <v>0</v>
      </c>
      <c r="AD1294" s="299">
        <f t="shared" si="1167"/>
        <v>0</v>
      </c>
      <c r="AE1294" s="299">
        <v>0</v>
      </c>
      <c r="AF1294" s="169" t="s">
        <v>4680</v>
      </c>
      <c r="AG1294" s="301">
        <v>0</v>
      </c>
      <c r="AH1294" s="226">
        <v>0</v>
      </c>
      <c r="AI1294" s="299">
        <v>0</v>
      </c>
      <c r="AJ1294" s="169">
        <f t="shared" si="1139"/>
        <v>0</v>
      </c>
      <c r="AK1294" s="301">
        <v>0</v>
      </c>
      <c r="AL1294" s="226">
        <v>0</v>
      </c>
      <c r="AM1294" s="299">
        <f t="shared" si="1167"/>
        <v>0</v>
      </c>
      <c r="AN1294" s="153">
        <f t="shared" si="1141"/>
        <v>0</v>
      </c>
      <c r="AO1294" s="154">
        <f t="shared" si="1142"/>
        <v>0</v>
      </c>
      <c r="AP1294" s="299">
        <v>0</v>
      </c>
      <c r="AQ1294" s="301">
        <v>0</v>
      </c>
      <c r="AR1294" s="226">
        <f t="shared" si="1167"/>
        <v>0</v>
      </c>
      <c r="AS1294" s="299">
        <f t="shared" si="1167"/>
        <v>0</v>
      </c>
      <c r="AT1294" s="155"/>
      <c r="AU1294" s="156">
        <f t="shared" si="1132"/>
        <v>0</v>
      </c>
      <c r="AV1294" s="156">
        <f t="shared" si="1133"/>
        <v>0</v>
      </c>
      <c r="AW1294" s="157"/>
      <c r="AX1294" s="150">
        <v>0</v>
      </c>
      <c r="AY1294" s="299">
        <f t="shared" ref="AY1294:BA1294" si="1169">AY1295</f>
        <v>0</v>
      </c>
      <c r="AZ1294" s="299">
        <f t="shared" si="1169"/>
        <v>0</v>
      </c>
      <c r="BA1294" s="299">
        <f t="shared" si="1169"/>
        <v>0</v>
      </c>
      <c r="BB1294" s="192">
        <v>5</v>
      </c>
      <c r="BC1294" s="256" t="s">
        <v>693</v>
      </c>
      <c r="BD1294" s="256" t="s">
        <v>632</v>
      </c>
      <c r="BE1294" s="256" t="s">
        <v>632</v>
      </c>
      <c r="BF1294" s="256" t="s">
        <v>630</v>
      </c>
      <c r="BG1294" s="185" t="s">
        <v>8171</v>
      </c>
      <c r="BH1294" s="302">
        <f>BH1295</f>
        <v>0</v>
      </c>
      <c r="BI1294" s="192"/>
      <c r="BJ1294" s="256" t="s">
        <v>8169</v>
      </c>
      <c r="BK1294" s="256" t="s">
        <v>8167</v>
      </c>
      <c r="BL1294" s="238" t="s">
        <v>8172</v>
      </c>
      <c r="BM1294" s="302">
        <f>BM1295</f>
        <v>0</v>
      </c>
      <c r="BN1294" s="160"/>
      <c r="BO1294" s="161">
        <f t="shared" si="1092"/>
        <v>0</v>
      </c>
      <c r="BP1294" s="161"/>
    </row>
    <row r="1295" spans="1:68">
      <c r="A1295" s="206" t="s">
        <v>8167</v>
      </c>
      <c r="B1295" s="195" t="s">
        <v>8173</v>
      </c>
      <c r="C1295" s="196" t="s">
        <v>8174</v>
      </c>
      <c r="D1295" s="146" t="s">
        <v>4692</v>
      </c>
      <c r="E1295" s="196" t="s">
        <v>8174</v>
      </c>
      <c r="F1295" s="150">
        <v>0</v>
      </c>
      <c r="G1295" s="209">
        <v>117958.58</v>
      </c>
      <c r="H1295" s="209">
        <v>22430.42</v>
      </c>
      <c r="I1295" s="209">
        <v>140389</v>
      </c>
      <c r="J1295" s="150">
        <v>0</v>
      </c>
      <c r="K1295" s="150">
        <v>0</v>
      </c>
      <c r="L1295" s="150">
        <f t="shared" si="1154"/>
        <v>0</v>
      </c>
      <c r="M1295" s="150">
        <v>0</v>
      </c>
      <c r="N1295" s="150"/>
      <c r="O1295" s="150">
        <v>0</v>
      </c>
      <c r="P1295" s="150">
        <v>0</v>
      </c>
      <c r="Q1295" s="150">
        <v>0</v>
      </c>
      <c r="R1295" s="150">
        <f>P1295+Q1295</f>
        <v>0</v>
      </c>
      <c r="S1295" s="150">
        <f t="shared" si="1145"/>
        <v>0</v>
      </c>
      <c r="T1295" s="150"/>
      <c r="U1295" s="150">
        <v>0</v>
      </c>
      <c r="V1295" s="199"/>
      <c r="W1295" s="150">
        <f>U1295+V1295</f>
        <v>0</v>
      </c>
      <c r="X1295" s="150">
        <v>0</v>
      </c>
      <c r="Y1295" s="150"/>
      <c r="Z1295" s="150">
        <v>0</v>
      </c>
      <c r="AA1295" s="150">
        <f t="shared" si="1137"/>
        <v>0</v>
      </c>
      <c r="AB1295" s="150">
        <v>0</v>
      </c>
      <c r="AC1295" s="199"/>
      <c r="AD1295" s="150">
        <f>AB1295+AC1295</f>
        <v>0</v>
      </c>
      <c r="AE1295" s="150">
        <v>0</v>
      </c>
      <c r="AF1295" s="169" t="s">
        <v>4680</v>
      </c>
      <c r="AG1295" s="201">
        <v>0</v>
      </c>
      <c r="AH1295" s="199"/>
      <c r="AI1295" s="150">
        <v>0</v>
      </c>
      <c r="AJ1295" s="169">
        <f t="shared" si="1139"/>
        <v>0</v>
      </c>
      <c r="AK1295" s="201">
        <v>0</v>
      </c>
      <c r="AL1295" s="199"/>
      <c r="AM1295" s="150">
        <f>AK1295+AL1295</f>
        <v>0</v>
      </c>
      <c r="AN1295" s="153">
        <f t="shared" si="1141"/>
        <v>0</v>
      </c>
      <c r="AO1295" s="154">
        <f t="shared" si="1142"/>
        <v>0</v>
      </c>
      <c r="AP1295" s="150">
        <v>0</v>
      </c>
      <c r="AQ1295" s="201">
        <v>0</v>
      </c>
      <c r="AR1295" s="199"/>
      <c r="AS1295" s="150">
        <f>AQ1295+AR1295</f>
        <v>0</v>
      </c>
      <c r="AT1295" s="155"/>
      <c r="AU1295" s="156">
        <f t="shared" si="1132"/>
        <v>0</v>
      </c>
      <c r="AV1295" s="156">
        <f t="shared" si="1133"/>
        <v>0</v>
      </c>
      <c r="AW1295" s="157"/>
      <c r="AX1295" s="150">
        <v>0</v>
      </c>
      <c r="AY1295" s="150">
        <v>0</v>
      </c>
      <c r="AZ1295" s="150"/>
      <c r="BA1295" s="150">
        <f t="shared" si="1091"/>
        <v>0</v>
      </c>
      <c r="BB1295" s="202">
        <v>5</v>
      </c>
      <c r="BC1295" s="202" t="s">
        <v>693</v>
      </c>
      <c r="BD1295" s="202" t="s">
        <v>632</v>
      </c>
      <c r="BE1295" s="202" t="s">
        <v>632</v>
      </c>
      <c r="BF1295" s="202" t="s">
        <v>632</v>
      </c>
      <c r="BG1295" s="203" t="s">
        <v>8175</v>
      </c>
      <c r="BH1295" s="216">
        <f>AS1295</f>
        <v>0</v>
      </c>
      <c r="BI1295" s="205"/>
      <c r="BJ1295" s="206" t="s">
        <v>8169</v>
      </c>
      <c r="BK1295" s="206" t="s">
        <v>8167</v>
      </c>
      <c r="BL1295" s="207" t="s">
        <v>8172</v>
      </c>
      <c r="BM1295" s="208">
        <f>BH1295</f>
        <v>0</v>
      </c>
      <c r="BN1295" s="160"/>
      <c r="BO1295" s="161">
        <f t="shared" si="1092"/>
        <v>0</v>
      </c>
      <c r="BP1295" s="161"/>
    </row>
    <row r="1296" spans="1:68" ht="25.5">
      <c r="A1296" s="256" t="s">
        <v>8167</v>
      </c>
      <c r="B1296" s="184"/>
      <c r="C1296" s="185" t="s">
        <v>8176</v>
      </c>
      <c r="D1296" s="146" t="s">
        <v>4692</v>
      </c>
      <c r="E1296" s="185" t="s">
        <v>8176</v>
      </c>
      <c r="F1296" s="188">
        <v>117958.58</v>
      </c>
      <c r="G1296" s="187">
        <v>117958.58</v>
      </c>
      <c r="H1296" s="187">
        <v>22430.42</v>
      </c>
      <c r="I1296" s="187">
        <v>140389</v>
      </c>
      <c r="J1296" s="188">
        <f>SUM(J1297:J1298)</f>
        <v>0</v>
      </c>
      <c r="K1296" s="188">
        <f>SUM(K1297:K1298)</f>
        <v>35318.51</v>
      </c>
      <c r="L1296" s="188">
        <f t="shared" si="1154"/>
        <v>35318.51</v>
      </c>
      <c r="M1296" s="188">
        <v>2000.88</v>
      </c>
      <c r="N1296" s="188">
        <v>56978.409999999996</v>
      </c>
      <c r="O1296" s="188">
        <v>58979.289999999994</v>
      </c>
      <c r="P1296" s="299">
        <f t="shared" ref="P1296:AD1296" si="1170">SUM(P1297:P1298)</f>
        <v>4013.77</v>
      </c>
      <c r="Q1296" s="299">
        <f t="shared" si="1170"/>
        <v>95662.67</v>
      </c>
      <c r="R1296" s="299">
        <f t="shared" si="1170"/>
        <v>99676.44</v>
      </c>
      <c r="S1296" s="150">
        <f t="shared" si="1145"/>
        <v>132901.91999999998</v>
      </c>
      <c r="T1296" s="213"/>
      <c r="U1296" s="299">
        <f t="shared" ref="U1296:W1296" si="1171">SUM(U1297:U1298)</f>
        <v>118131.61</v>
      </c>
      <c r="V1296" s="226">
        <f t="shared" si="1171"/>
        <v>33298.620000000003</v>
      </c>
      <c r="W1296" s="299">
        <f t="shared" si="1171"/>
        <v>151430.23000000001</v>
      </c>
      <c r="X1296" s="299">
        <v>118131.61</v>
      </c>
      <c r="Y1296" s="299">
        <v>33298.620000000003</v>
      </c>
      <c r="Z1296" s="299">
        <v>151430.23000000001</v>
      </c>
      <c r="AA1296" s="299">
        <f t="shared" si="1137"/>
        <v>-10692.133300000016</v>
      </c>
      <c r="AB1296" s="299">
        <v>129192.33</v>
      </c>
      <c r="AC1296" s="226">
        <v>11545.766699999993</v>
      </c>
      <c r="AD1296" s="299">
        <f t="shared" si="1170"/>
        <v>140738.09669999999</v>
      </c>
      <c r="AE1296" s="299">
        <v>140984.5</v>
      </c>
      <c r="AF1296" s="169" t="s">
        <v>4680</v>
      </c>
      <c r="AG1296" s="301">
        <v>140984.5</v>
      </c>
      <c r="AH1296" s="226">
        <v>0</v>
      </c>
      <c r="AI1296" s="299">
        <v>140984.5</v>
      </c>
      <c r="AJ1296" s="169">
        <f t="shared" si="1139"/>
        <v>0</v>
      </c>
      <c r="AK1296" s="301">
        <v>140984.5</v>
      </c>
      <c r="AL1296" s="226">
        <v>0</v>
      </c>
      <c r="AM1296" s="299">
        <f t="shared" ref="AM1296" si="1172">SUM(AM1297:AM1298)</f>
        <v>140984.5</v>
      </c>
      <c r="AN1296" s="153">
        <f t="shared" si="1141"/>
        <v>0</v>
      </c>
      <c r="AO1296" s="154">
        <f t="shared" si="1142"/>
        <v>0</v>
      </c>
      <c r="AP1296" s="299">
        <v>140984.5</v>
      </c>
      <c r="AQ1296" s="301">
        <v>140984.5</v>
      </c>
      <c r="AR1296" s="226">
        <f t="shared" ref="AR1296:AS1296" si="1173">SUM(AR1297:AR1298)</f>
        <v>0</v>
      </c>
      <c r="AS1296" s="299">
        <f t="shared" si="1173"/>
        <v>140984.5</v>
      </c>
      <c r="AT1296" s="155"/>
      <c r="AU1296" s="156">
        <f t="shared" si="1132"/>
        <v>246.4033000000054</v>
      </c>
      <c r="AV1296" s="156">
        <f t="shared" si="1133"/>
        <v>-10692.133300000016</v>
      </c>
      <c r="AW1296" s="157"/>
      <c r="AX1296" s="150">
        <v>151430.23000000001</v>
      </c>
      <c r="AY1296" s="299">
        <f t="shared" ref="AY1296:BA1296" si="1174">SUM(AY1297:AY1298)</f>
        <v>4013.77</v>
      </c>
      <c r="AZ1296" s="299">
        <f t="shared" si="1174"/>
        <v>90091.209999999992</v>
      </c>
      <c r="BA1296" s="299">
        <f t="shared" si="1174"/>
        <v>94104.98</v>
      </c>
      <c r="BB1296" s="192">
        <v>5</v>
      </c>
      <c r="BC1296" s="256" t="s">
        <v>693</v>
      </c>
      <c r="BD1296" s="256" t="s">
        <v>632</v>
      </c>
      <c r="BE1296" s="256" t="s">
        <v>647</v>
      </c>
      <c r="BF1296" s="256" t="s">
        <v>630</v>
      </c>
      <c r="BG1296" s="185" t="s">
        <v>8176</v>
      </c>
      <c r="BH1296" s="302">
        <f>SUM(BH1297:BH1298)</f>
        <v>140984.5</v>
      </c>
      <c r="BI1296" s="192"/>
      <c r="BJ1296" s="256" t="s">
        <v>8169</v>
      </c>
      <c r="BK1296" s="256" t="s">
        <v>8167</v>
      </c>
      <c r="BL1296" s="238" t="s">
        <v>8172</v>
      </c>
      <c r="BM1296" s="302">
        <f>SUM(BM1297:BM1298)</f>
        <v>140984.5</v>
      </c>
      <c r="BN1296" s="160"/>
      <c r="BO1296" s="161">
        <f t="shared" si="1092"/>
        <v>0</v>
      </c>
      <c r="BP1296" s="161"/>
    </row>
    <row r="1297" spans="1:68" s="330" customFormat="1" ht="24">
      <c r="A1297" s="321" t="s">
        <v>8167</v>
      </c>
      <c r="B1297" s="322" t="s">
        <v>8177</v>
      </c>
      <c r="C1297" s="196" t="s">
        <v>8178</v>
      </c>
      <c r="D1297" s="146" t="s">
        <v>4692</v>
      </c>
      <c r="E1297" s="323" t="s">
        <v>8178</v>
      </c>
      <c r="F1297" s="150">
        <v>117958.58</v>
      </c>
      <c r="G1297" s="220">
        <v>0</v>
      </c>
      <c r="H1297" s="220"/>
      <c r="I1297" s="220">
        <v>0</v>
      </c>
      <c r="J1297" s="150">
        <v>0</v>
      </c>
      <c r="K1297" s="150">
        <v>35318.51</v>
      </c>
      <c r="L1297" s="150">
        <f t="shared" si="1154"/>
        <v>35318.51</v>
      </c>
      <c r="M1297" s="150">
        <v>2000.88</v>
      </c>
      <c r="N1297" s="150">
        <v>56978.409999999996</v>
      </c>
      <c r="O1297" s="150">
        <v>58979.289999999994</v>
      </c>
      <c r="P1297" s="150">
        <v>4013.77</v>
      </c>
      <c r="Q1297" s="150">
        <f>99676.44-P1297</f>
        <v>95662.67</v>
      </c>
      <c r="R1297" s="150">
        <f>P1297+Q1297</f>
        <v>99676.44</v>
      </c>
      <c r="S1297" s="150">
        <f t="shared" si="1145"/>
        <v>132901.91999999998</v>
      </c>
      <c r="T1297" s="150"/>
      <c r="U1297" s="150">
        <v>118131.61</v>
      </c>
      <c r="V1297" s="199">
        <v>33298.620000000003</v>
      </c>
      <c r="W1297" s="150">
        <f>U1297+V1297</f>
        <v>151430.23000000001</v>
      </c>
      <c r="X1297" s="150">
        <v>118131.61</v>
      </c>
      <c r="Y1297" s="150">
        <v>33298.620000000003</v>
      </c>
      <c r="Z1297" s="150">
        <v>151430.23000000001</v>
      </c>
      <c r="AA1297" s="150">
        <f t="shared" si="1137"/>
        <v>-10692.133300000016</v>
      </c>
      <c r="AB1297" s="150">
        <v>129192.33</v>
      </c>
      <c r="AC1297" s="199">
        <v>11545.766699999993</v>
      </c>
      <c r="AD1297" s="150">
        <f>AB1297+AC1297</f>
        <v>140738.09669999999</v>
      </c>
      <c r="AE1297" s="150">
        <v>140984.5</v>
      </c>
      <c r="AF1297" s="169" t="s">
        <v>4680</v>
      </c>
      <c r="AG1297" s="201">
        <v>140984.5</v>
      </c>
      <c r="AH1297" s="199"/>
      <c r="AI1297" s="150">
        <v>140984.5</v>
      </c>
      <c r="AJ1297" s="169">
        <f t="shared" si="1139"/>
        <v>0</v>
      </c>
      <c r="AK1297" s="201">
        <v>140984.5</v>
      </c>
      <c r="AL1297" s="199"/>
      <c r="AM1297" s="150">
        <f>AK1297+AL1297</f>
        <v>140984.5</v>
      </c>
      <c r="AN1297" s="153">
        <f t="shared" si="1141"/>
        <v>0</v>
      </c>
      <c r="AO1297" s="154">
        <f t="shared" si="1142"/>
        <v>0</v>
      </c>
      <c r="AP1297" s="150">
        <v>140984.5</v>
      </c>
      <c r="AQ1297" s="201">
        <v>140984.5</v>
      </c>
      <c r="AR1297" s="199"/>
      <c r="AS1297" s="150">
        <f>AQ1297+AR1297</f>
        <v>140984.5</v>
      </c>
      <c r="AT1297" s="155" t="s">
        <v>8179</v>
      </c>
      <c r="AU1297" s="156">
        <f t="shared" si="1132"/>
        <v>246.4033000000054</v>
      </c>
      <c r="AV1297" s="156">
        <f t="shared" si="1133"/>
        <v>-10692.133300000016</v>
      </c>
      <c r="AW1297" s="157" t="s">
        <v>8179</v>
      </c>
      <c r="AX1297" s="150">
        <v>151430.23000000001</v>
      </c>
      <c r="AY1297" s="150">
        <v>4013.77</v>
      </c>
      <c r="AZ1297" s="150">
        <f>94104.98-AY1297</f>
        <v>90091.209999999992</v>
      </c>
      <c r="BA1297" s="150">
        <f t="shared" si="1091"/>
        <v>94104.98</v>
      </c>
      <c r="BB1297" s="324">
        <v>5</v>
      </c>
      <c r="BC1297" s="324" t="s">
        <v>693</v>
      </c>
      <c r="BD1297" s="324" t="s">
        <v>632</v>
      </c>
      <c r="BE1297" s="336" t="s">
        <v>647</v>
      </c>
      <c r="BF1297" s="336" t="s">
        <v>632</v>
      </c>
      <c r="BG1297" s="325" t="s">
        <v>8176</v>
      </c>
      <c r="BH1297" s="326">
        <f>SUM(AS1297:AS1298)</f>
        <v>140984.5</v>
      </c>
      <c r="BI1297" s="327"/>
      <c r="BJ1297" s="321" t="s">
        <v>8169</v>
      </c>
      <c r="BK1297" s="321" t="s">
        <v>8167</v>
      </c>
      <c r="BL1297" s="328" t="s">
        <v>8172</v>
      </c>
      <c r="BM1297" s="329">
        <f>BH1297</f>
        <v>140984.5</v>
      </c>
      <c r="BN1297" s="160"/>
      <c r="BO1297" s="161">
        <f t="shared" si="1092"/>
        <v>0</v>
      </c>
      <c r="BP1297" s="161"/>
    </row>
    <row r="1298" spans="1:68" ht="25.5">
      <c r="A1298" s="210"/>
      <c r="B1298" s="195" t="s">
        <v>8180</v>
      </c>
      <c r="C1298" s="196" t="s">
        <v>8181</v>
      </c>
      <c r="D1298" s="146" t="s">
        <v>4692</v>
      </c>
      <c r="E1298" s="196" t="s">
        <v>8181</v>
      </c>
      <c r="F1298" s="150">
        <v>0</v>
      </c>
      <c r="G1298" s="209">
        <v>2468863.14</v>
      </c>
      <c r="H1298" s="209">
        <v>404794.54069000023</v>
      </c>
      <c r="I1298" s="209">
        <v>2873657.6806900003</v>
      </c>
      <c r="J1298" s="150">
        <v>0</v>
      </c>
      <c r="K1298" s="150">
        <v>0</v>
      </c>
      <c r="L1298" s="150">
        <f t="shared" si="1154"/>
        <v>0</v>
      </c>
      <c r="M1298" s="150">
        <v>0</v>
      </c>
      <c r="N1298" s="150"/>
      <c r="O1298" s="150">
        <v>0</v>
      </c>
      <c r="P1298" s="150">
        <v>0</v>
      </c>
      <c r="Q1298" s="150">
        <v>0</v>
      </c>
      <c r="R1298" s="150">
        <f>P1298+Q1298</f>
        <v>0</v>
      </c>
      <c r="S1298" s="150">
        <f t="shared" si="1145"/>
        <v>0</v>
      </c>
      <c r="T1298" s="150"/>
      <c r="U1298" s="150">
        <v>0</v>
      </c>
      <c r="V1298" s="199"/>
      <c r="W1298" s="150">
        <f>U1298+V1298</f>
        <v>0</v>
      </c>
      <c r="X1298" s="150">
        <v>0</v>
      </c>
      <c r="Y1298" s="150"/>
      <c r="Z1298" s="150">
        <v>0</v>
      </c>
      <c r="AA1298" s="150">
        <f t="shared" si="1137"/>
        <v>0</v>
      </c>
      <c r="AB1298" s="150">
        <v>0</v>
      </c>
      <c r="AC1298" s="199"/>
      <c r="AD1298" s="150">
        <f>AB1298+AC1298</f>
        <v>0</v>
      </c>
      <c r="AE1298" s="150">
        <v>0</v>
      </c>
      <c r="AF1298" s="169" t="s">
        <v>4680</v>
      </c>
      <c r="AG1298" s="201">
        <v>0</v>
      </c>
      <c r="AH1298" s="199"/>
      <c r="AI1298" s="150">
        <v>0</v>
      </c>
      <c r="AJ1298" s="169">
        <f t="shared" si="1139"/>
        <v>0</v>
      </c>
      <c r="AK1298" s="201">
        <v>0</v>
      </c>
      <c r="AL1298" s="199"/>
      <c r="AM1298" s="150">
        <f>AK1298+AL1298</f>
        <v>0</v>
      </c>
      <c r="AN1298" s="153">
        <f t="shared" si="1141"/>
        <v>0</v>
      </c>
      <c r="AO1298" s="154">
        <f t="shared" si="1142"/>
        <v>0</v>
      </c>
      <c r="AP1298" s="150">
        <v>0</v>
      </c>
      <c r="AQ1298" s="201">
        <v>0</v>
      </c>
      <c r="AR1298" s="199"/>
      <c r="AS1298" s="150">
        <f>AQ1298+AR1298</f>
        <v>0</v>
      </c>
      <c r="AT1298" s="155"/>
      <c r="AU1298" s="156">
        <f t="shared" si="1132"/>
        <v>0</v>
      </c>
      <c r="AV1298" s="156">
        <f t="shared" si="1133"/>
        <v>0</v>
      </c>
      <c r="AW1298" s="157"/>
      <c r="AX1298" s="150">
        <v>0</v>
      </c>
      <c r="AY1298" s="150">
        <v>0</v>
      </c>
      <c r="AZ1298" s="150"/>
      <c r="BA1298" s="150">
        <f t="shared" si="1091"/>
        <v>0</v>
      </c>
      <c r="BB1298" s="210"/>
      <c r="BC1298" s="210"/>
      <c r="BD1298" s="210"/>
      <c r="BE1298" s="210"/>
      <c r="BF1298" s="210"/>
      <c r="BG1298" s="210"/>
      <c r="BH1298" s="217"/>
      <c r="BI1298" s="210"/>
      <c r="BJ1298" s="210"/>
      <c r="BK1298" s="210"/>
      <c r="BL1298" s="210"/>
      <c r="BM1298" s="208"/>
      <c r="BN1298" s="160"/>
      <c r="BO1298" s="161">
        <f t="shared" si="1092"/>
        <v>0</v>
      </c>
      <c r="BP1298" s="161"/>
    </row>
    <row r="1299" spans="1:68">
      <c r="A1299" s="255" t="s">
        <v>8182</v>
      </c>
      <c r="B1299" s="174"/>
      <c r="C1299" s="175" t="s">
        <v>8183</v>
      </c>
      <c r="D1299" s="146" t="s">
        <v>4692</v>
      </c>
      <c r="E1299" s="175" t="s">
        <v>8183</v>
      </c>
      <c r="F1299" s="176">
        <v>2780979.2399999998</v>
      </c>
      <c r="G1299" s="177">
        <v>1958962.22</v>
      </c>
      <c r="H1299" s="177">
        <v>346622.92667000019</v>
      </c>
      <c r="I1299" s="177">
        <v>2305585.1466700002</v>
      </c>
      <c r="J1299" s="176">
        <f>J1300+J1306</f>
        <v>254469.36</v>
      </c>
      <c r="K1299" s="176">
        <f>K1300+K1306</f>
        <v>34780.42643</v>
      </c>
      <c r="L1299" s="176">
        <f t="shared" si="1154"/>
        <v>289249.78642999998</v>
      </c>
      <c r="M1299" s="178">
        <v>801110.71</v>
      </c>
      <c r="N1299" s="178">
        <v>513023.88</v>
      </c>
      <c r="O1299" s="178">
        <v>1314134.5899999999</v>
      </c>
      <c r="P1299" s="221">
        <f t="shared" ref="P1299:R1299" si="1175">P1300+P1306</f>
        <v>1699282.1400000001</v>
      </c>
      <c r="Q1299" s="221">
        <f t="shared" si="1175"/>
        <v>664474.60000000009</v>
      </c>
      <c r="R1299" s="221">
        <f t="shared" si="1175"/>
        <v>2363756.7400000002</v>
      </c>
      <c r="S1299" s="150">
        <f t="shared" si="1145"/>
        <v>3151675.6533333333</v>
      </c>
      <c r="T1299" s="213"/>
      <c r="U1299" s="221">
        <f t="shared" ref="U1299:W1299" si="1176">U1300+U1306</f>
        <v>2640951.8800000004</v>
      </c>
      <c r="V1299" s="222">
        <f t="shared" si="1176"/>
        <v>141087.54161999989</v>
      </c>
      <c r="W1299" s="221">
        <f t="shared" si="1176"/>
        <v>2782039.4216200002</v>
      </c>
      <c r="X1299" s="221">
        <v>2640951.8800000004</v>
      </c>
      <c r="Y1299" s="221">
        <v>141087.54161999989</v>
      </c>
      <c r="Z1299" s="221">
        <v>2782039.4216200002</v>
      </c>
      <c r="AA1299" s="221">
        <f t="shared" si="1137"/>
        <v>-49121.238200000487</v>
      </c>
      <c r="AB1299" s="221">
        <v>2706696.62</v>
      </c>
      <c r="AC1299" s="222">
        <v>26221.563419999904</v>
      </c>
      <c r="AD1299" s="221">
        <f t="shared" ref="AD1299" si="1177">AD1300+AD1306</f>
        <v>2732918.1834199997</v>
      </c>
      <c r="AE1299" s="221">
        <v>2732918.1834199997</v>
      </c>
      <c r="AF1299" s="169" t="s">
        <v>4680</v>
      </c>
      <c r="AG1299" s="223">
        <v>2720351.35</v>
      </c>
      <c r="AH1299" s="222">
        <v>12566.835419999901</v>
      </c>
      <c r="AI1299" s="221">
        <v>2732918.18542</v>
      </c>
      <c r="AJ1299" s="169">
        <f t="shared" si="1139"/>
        <v>0</v>
      </c>
      <c r="AK1299" s="223">
        <v>2720351.35</v>
      </c>
      <c r="AL1299" s="222">
        <v>12566.835419999901</v>
      </c>
      <c r="AM1299" s="221">
        <f t="shared" ref="AM1299" si="1178">AM1300+AM1306</f>
        <v>2732918.18542</v>
      </c>
      <c r="AN1299" s="153">
        <f t="shared" si="1141"/>
        <v>4.5799999497830868E-3</v>
      </c>
      <c r="AO1299" s="154">
        <f t="shared" si="1142"/>
        <v>4.5799999497830868E-3</v>
      </c>
      <c r="AP1299" s="221">
        <v>2732918.18542</v>
      </c>
      <c r="AQ1299" s="223">
        <v>2732918.19</v>
      </c>
      <c r="AR1299" s="222">
        <f t="shared" ref="AR1299:AS1299" si="1179">AR1300+AR1306</f>
        <v>0</v>
      </c>
      <c r="AS1299" s="221">
        <f t="shared" si="1179"/>
        <v>2732918.19</v>
      </c>
      <c r="AT1299" s="155"/>
      <c r="AU1299" s="156">
        <f t="shared" si="1132"/>
        <v>2.0000003278255463E-3</v>
      </c>
      <c r="AV1299" s="156">
        <f t="shared" si="1133"/>
        <v>-49121.238200000487</v>
      </c>
      <c r="AW1299" s="157"/>
      <c r="AX1299" s="150">
        <v>2782039.4216200002</v>
      </c>
      <c r="AY1299" s="221">
        <f t="shared" ref="AY1299:BA1299" si="1180">AY1300+AY1306</f>
        <v>1265476.2</v>
      </c>
      <c r="AZ1299" s="221">
        <f t="shared" si="1180"/>
        <v>1411220.33473</v>
      </c>
      <c r="BA1299" s="221">
        <f t="shared" si="1180"/>
        <v>2676696.5347299995</v>
      </c>
      <c r="BB1299" s="254">
        <v>5</v>
      </c>
      <c r="BC1299" s="255" t="s">
        <v>693</v>
      </c>
      <c r="BD1299" s="255" t="s">
        <v>647</v>
      </c>
      <c r="BE1299" s="173" t="s">
        <v>630</v>
      </c>
      <c r="BF1299" s="255" t="s">
        <v>630</v>
      </c>
      <c r="BG1299" s="175" t="s">
        <v>8183</v>
      </c>
      <c r="BH1299" s="224">
        <f>BH1300+BH1306</f>
        <v>2732918.19</v>
      </c>
      <c r="BI1299" s="254"/>
      <c r="BJ1299" s="255" t="s">
        <v>8184</v>
      </c>
      <c r="BK1299" s="255" t="s">
        <v>8182</v>
      </c>
      <c r="BL1299" s="182" t="s">
        <v>8185</v>
      </c>
      <c r="BM1299" s="224">
        <f>BM1300+BM1306</f>
        <v>2732918.19</v>
      </c>
      <c r="BN1299" s="160"/>
      <c r="BO1299" s="161">
        <f t="shared" si="1092"/>
        <v>0</v>
      </c>
      <c r="BP1299" s="161"/>
    </row>
    <row r="1300" spans="1:68" ht="25.5">
      <c r="A1300" s="256" t="s">
        <v>8186</v>
      </c>
      <c r="B1300" s="184"/>
      <c r="C1300" s="185" t="s">
        <v>8187</v>
      </c>
      <c r="D1300" s="146" t="s">
        <v>4692</v>
      </c>
      <c r="E1300" s="185" t="s">
        <v>8187</v>
      </c>
      <c r="F1300" s="188">
        <v>2223238.19</v>
      </c>
      <c r="G1300" s="187">
        <v>1958962.22</v>
      </c>
      <c r="H1300" s="187">
        <v>346622.92667000019</v>
      </c>
      <c r="I1300" s="187">
        <v>2305585.1466700002</v>
      </c>
      <c r="J1300" s="188">
        <f>SUM(J1301:J1305)</f>
        <v>212391.9</v>
      </c>
      <c r="K1300" s="188">
        <f>SUM(K1301:K1305)</f>
        <v>0</v>
      </c>
      <c r="L1300" s="188">
        <f t="shared" si="1154"/>
        <v>212391.9</v>
      </c>
      <c r="M1300" s="188">
        <v>695815.48</v>
      </c>
      <c r="N1300" s="188">
        <v>415803.61499999999</v>
      </c>
      <c r="O1300" s="188">
        <v>1111619.095</v>
      </c>
      <c r="P1300" s="299">
        <f t="shared" ref="P1300:R1300" si="1181">SUM(P1301:P1305)</f>
        <v>1488541.55</v>
      </c>
      <c r="Q1300" s="299">
        <f t="shared" si="1181"/>
        <v>623705.42000000004</v>
      </c>
      <c r="R1300" s="299">
        <f t="shared" si="1181"/>
        <v>2112246.9700000002</v>
      </c>
      <c r="S1300" s="150">
        <f t="shared" si="1145"/>
        <v>2816329.2933333335</v>
      </c>
      <c r="T1300" s="213"/>
      <c r="U1300" s="299">
        <f t="shared" ref="U1300:W1300" si="1182">SUM(U1301:U1305)</f>
        <v>2334587.2000000002</v>
      </c>
      <c r="V1300" s="226">
        <f t="shared" si="1182"/>
        <v>71306.335419999901</v>
      </c>
      <c r="W1300" s="299">
        <f t="shared" si="1182"/>
        <v>2405893.5354200001</v>
      </c>
      <c r="X1300" s="299">
        <v>2334587.2000000002</v>
      </c>
      <c r="Y1300" s="299">
        <v>71306.335419999901</v>
      </c>
      <c r="Z1300" s="299">
        <v>2405893.5354200001</v>
      </c>
      <c r="AA1300" s="299">
        <f t="shared" si="1137"/>
        <v>7005.2399999997579</v>
      </c>
      <c r="AB1300" s="299">
        <v>2400331.94</v>
      </c>
      <c r="AC1300" s="226">
        <v>12566.835419999901</v>
      </c>
      <c r="AD1300" s="299">
        <f t="shared" ref="AD1300" si="1183">SUM(AD1301:AD1305)</f>
        <v>2412898.7754199998</v>
      </c>
      <c r="AE1300" s="299">
        <v>2412898.7754199998</v>
      </c>
      <c r="AF1300" s="169" t="s">
        <v>4680</v>
      </c>
      <c r="AG1300" s="301">
        <v>2400331.94</v>
      </c>
      <c r="AH1300" s="226">
        <v>12566.835419999901</v>
      </c>
      <c r="AI1300" s="299">
        <v>2412898.7754199998</v>
      </c>
      <c r="AJ1300" s="169">
        <f t="shared" si="1139"/>
        <v>0</v>
      </c>
      <c r="AK1300" s="301">
        <v>2400331.94</v>
      </c>
      <c r="AL1300" s="226">
        <v>12566.835419999901</v>
      </c>
      <c r="AM1300" s="299">
        <f t="shared" ref="AM1300" si="1184">SUM(AM1301:AM1305)</f>
        <v>2412898.7754199998</v>
      </c>
      <c r="AN1300" s="153">
        <f t="shared" si="1141"/>
        <v>4.5799999497830868E-3</v>
      </c>
      <c r="AO1300" s="154">
        <f t="shared" si="1142"/>
        <v>4.5799999497830868E-3</v>
      </c>
      <c r="AP1300" s="299">
        <v>2412898.7754199998</v>
      </c>
      <c r="AQ1300" s="301">
        <v>2412898.7799999998</v>
      </c>
      <c r="AR1300" s="226">
        <f t="shared" ref="AR1300:AS1300" si="1185">SUM(AR1301:AR1305)</f>
        <v>0</v>
      </c>
      <c r="AS1300" s="299">
        <f t="shared" si="1185"/>
        <v>2412898.7799999998</v>
      </c>
      <c r="AT1300" s="155"/>
      <c r="AU1300" s="156">
        <f t="shared" si="1132"/>
        <v>0</v>
      </c>
      <c r="AV1300" s="156">
        <f t="shared" si="1133"/>
        <v>7005.2399999997579</v>
      </c>
      <c r="AW1300" s="157"/>
      <c r="AX1300" s="150">
        <v>2405893.5354200001</v>
      </c>
      <c r="AY1300" s="299">
        <f t="shared" ref="AY1300:BA1300" si="1186">SUM(AY1301:AY1305)</f>
        <v>1087178.1399999999</v>
      </c>
      <c r="AZ1300" s="299">
        <f t="shared" si="1186"/>
        <v>1065000</v>
      </c>
      <c r="BA1300" s="299">
        <f t="shared" si="1186"/>
        <v>2152178.1399999997</v>
      </c>
      <c r="BB1300" s="192">
        <v>5</v>
      </c>
      <c r="BC1300" s="256" t="s">
        <v>693</v>
      </c>
      <c r="BD1300" s="256" t="s">
        <v>647</v>
      </c>
      <c r="BE1300" s="256" t="s">
        <v>632</v>
      </c>
      <c r="BF1300" s="256" t="s">
        <v>630</v>
      </c>
      <c r="BG1300" s="185" t="s">
        <v>8187</v>
      </c>
      <c r="BH1300" s="302">
        <f>SUM(BH1301:BH1305)</f>
        <v>2412898.7799999998</v>
      </c>
      <c r="BI1300" s="192"/>
      <c r="BJ1300" s="256" t="s">
        <v>8188</v>
      </c>
      <c r="BK1300" s="256" t="s">
        <v>8186</v>
      </c>
      <c r="BL1300" s="238" t="s">
        <v>8189</v>
      </c>
      <c r="BM1300" s="302">
        <f>SUM(BM1301:BM1305)</f>
        <v>2412898.7799999998</v>
      </c>
      <c r="BN1300" s="160"/>
      <c r="BO1300" s="161">
        <f t="shared" si="1092"/>
        <v>0</v>
      </c>
      <c r="BP1300" s="161"/>
    </row>
    <row r="1301" spans="1:68" ht="51">
      <c r="A1301" s="206" t="s">
        <v>8186</v>
      </c>
      <c r="B1301" s="195" t="s">
        <v>8190</v>
      </c>
      <c r="C1301" s="196" t="s">
        <v>8191</v>
      </c>
      <c r="D1301" s="146" t="s">
        <v>4692</v>
      </c>
      <c r="E1301" s="196" t="s">
        <v>8191</v>
      </c>
      <c r="F1301" s="150">
        <v>2223238.19</v>
      </c>
      <c r="G1301" s="209">
        <v>0</v>
      </c>
      <c r="H1301" s="209"/>
      <c r="I1301" s="209">
        <v>0</v>
      </c>
      <c r="J1301" s="150">
        <v>212391.9</v>
      </c>
      <c r="K1301" s="150">
        <v>0</v>
      </c>
      <c r="L1301" s="150">
        <f t="shared" si="1154"/>
        <v>212391.9</v>
      </c>
      <c r="M1301" s="150">
        <v>695815.48</v>
      </c>
      <c r="N1301" s="150">
        <v>415803.61499999999</v>
      </c>
      <c r="O1301" s="150">
        <v>1111619.095</v>
      </c>
      <c r="P1301" s="150">
        <v>1488541.55</v>
      </c>
      <c r="Q1301" s="237">
        <v>623705.42000000004</v>
      </c>
      <c r="R1301" s="150">
        <f>P1301+Q1301</f>
        <v>2112246.9700000002</v>
      </c>
      <c r="S1301" s="150">
        <f t="shared" si="1145"/>
        <v>2816329.2933333335</v>
      </c>
      <c r="T1301" s="150"/>
      <c r="U1301" s="150">
        <v>2334587.2000000002</v>
      </c>
      <c r="V1301" s="199">
        <v>71306.335419999901</v>
      </c>
      <c r="W1301" s="150">
        <f>U1301+V1301</f>
        <v>2405893.5354200001</v>
      </c>
      <c r="X1301" s="150">
        <v>2334587.2000000002</v>
      </c>
      <c r="Y1301" s="150">
        <v>71306.335419999901</v>
      </c>
      <c r="Z1301" s="150">
        <v>2405893.5354200001</v>
      </c>
      <c r="AA1301" s="150">
        <f t="shared" si="1137"/>
        <v>7005.2399999997579</v>
      </c>
      <c r="AB1301" s="150">
        <v>2400331.94</v>
      </c>
      <c r="AC1301" s="199">
        <v>12566.835419999901</v>
      </c>
      <c r="AD1301" s="150">
        <f>AB1301+AC1301</f>
        <v>2412898.7754199998</v>
      </c>
      <c r="AE1301" s="150">
        <v>2412898.7754199998</v>
      </c>
      <c r="AF1301" s="169" t="s">
        <v>4680</v>
      </c>
      <c r="AG1301" s="201">
        <v>2400331.94</v>
      </c>
      <c r="AH1301" s="199">
        <v>12566.835419999901</v>
      </c>
      <c r="AI1301" s="150">
        <v>2412898.7754199998</v>
      </c>
      <c r="AJ1301" s="169">
        <f t="shared" si="1139"/>
        <v>0</v>
      </c>
      <c r="AK1301" s="201">
        <v>2400331.94</v>
      </c>
      <c r="AL1301" s="199">
        <v>12566.835419999901</v>
      </c>
      <c r="AM1301" s="150">
        <f>AK1301+AL1301</f>
        <v>2412898.7754199998</v>
      </c>
      <c r="AN1301" s="153">
        <f t="shared" si="1141"/>
        <v>4.5799999497830868E-3</v>
      </c>
      <c r="AO1301" s="154">
        <f t="shared" si="1142"/>
        <v>4.5799999497830868E-3</v>
      </c>
      <c r="AP1301" s="150">
        <v>2412898.7754199998</v>
      </c>
      <c r="AQ1301" s="201">
        <v>2412898.7799999998</v>
      </c>
      <c r="AR1301" s="199"/>
      <c r="AS1301" s="150">
        <f>AQ1301+AR1301</f>
        <v>2412898.7799999998</v>
      </c>
      <c r="AT1301" s="155" t="s">
        <v>8192</v>
      </c>
      <c r="AU1301" s="156">
        <f t="shared" si="1132"/>
        <v>0</v>
      </c>
      <c r="AV1301" s="156">
        <f t="shared" si="1133"/>
        <v>7005.2399999997579</v>
      </c>
      <c r="AW1301" s="157" t="s">
        <v>8192</v>
      </c>
      <c r="AX1301" s="150">
        <v>2405893.5354200001</v>
      </c>
      <c r="AY1301" s="150">
        <v>1087178.1399999999</v>
      </c>
      <c r="AZ1301" s="237">
        <f>565000+500000</f>
        <v>1065000</v>
      </c>
      <c r="BA1301" s="150">
        <f t="shared" ref="BA1301:BA1332" si="1187">AY1301+AZ1301</f>
        <v>2152178.1399999997</v>
      </c>
      <c r="BB1301" s="202">
        <v>5</v>
      </c>
      <c r="BC1301" s="202" t="s">
        <v>693</v>
      </c>
      <c r="BD1301" s="202" t="s">
        <v>647</v>
      </c>
      <c r="BE1301" s="202" t="s">
        <v>632</v>
      </c>
      <c r="BF1301" s="202" t="s">
        <v>632</v>
      </c>
      <c r="BG1301" s="203" t="s">
        <v>8187</v>
      </c>
      <c r="BH1301" s="216">
        <f>SUM(AS1301:AS1305)</f>
        <v>2412898.7799999998</v>
      </c>
      <c r="BI1301" s="205"/>
      <c r="BJ1301" s="206" t="s">
        <v>8188</v>
      </c>
      <c r="BK1301" s="206" t="s">
        <v>8186</v>
      </c>
      <c r="BL1301" s="207" t="s">
        <v>8189</v>
      </c>
      <c r="BM1301" s="208">
        <f>BH1301</f>
        <v>2412898.7799999998</v>
      </c>
      <c r="BN1301" s="160"/>
      <c r="BO1301" s="161">
        <f t="shared" si="1092"/>
        <v>0</v>
      </c>
      <c r="BP1301" s="161"/>
    </row>
    <row r="1302" spans="1:68" ht="38.25">
      <c r="A1302" s="210"/>
      <c r="B1302" s="195" t="s">
        <v>8193</v>
      </c>
      <c r="C1302" s="196" t="s">
        <v>8194</v>
      </c>
      <c r="D1302" s="146" t="s">
        <v>4692</v>
      </c>
      <c r="E1302" s="196" t="s">
        <v>8194</v>
      </c>
      <c r="F1302" s="150">
        <v>0</v>
      </c>
      <c r="G1302" s="209">
        <v>0</v>
      </c>
      <c r="H1302" s="209"/>
      <c r="I1302" s="209">
        <v>0</v>
      </c>
      <c r="J1302" s="150">
        <v>0</v>
      </c>
      <c r="K1302" s="150">
        <v>0</v>
      </c>
      <c r="L1302" s="150">
        <f t="shared" si="1154"/>
        <v>0</v>
      </c>
      <c r="M1302" s="150">
        <v>0</v>
      </c>
      <c r="N1302" s="150"/>
      <c r="O1302" s="150">
        <v>0</v>
      </c>
      <c r="P1302" s="150">
        <v>0</v>
      </c>
      <c r="Q1302" s="150">
        <v>0</v>
      </c>
      <c r="R1302" s="150">
        <f>P1302+Q1302</f>
        <v>0</v>
      </c>
      <c r="S1302" s="150">
        <f t="shared" si="1145"/>
        <v>0</v>
      </c>
      <c r="T1302" s="150"/>
      <c r="U1302" s="150">
        <v>0</v>
      </c>
      <c r="V1302" s="199"/>
      <c r="W1302" s="150">
        <f>U1302+V1302</f>
        <v>0</v>
      </c>
      <c r="X1302" s="150">
        <v>0</v>
      </c>
      <c r="Y1302" s="150"/>
      <c r="Z1302" s="150">
        <v>0</v>
      </c>
      <c r="AA1302" s="150">
        <f t="shared" si="1137"/>
        <v>0</v>
      </c>
      <c r="AB1302" s="150">
        <v>0</v>
      </c>
      <c r="AC1302" s="199"/>
      <c r="AD1302" s="150">
        <f>AB1302+AC1302</f>
        <v>0</v>
      </c>
      <c r="AE1302" s="150">
        <v>0</v>
      </c>
      <c r="AF1302" s="169" t="s">
        <v>4680</v>
      </c>
      <c r="AG1302" s="201">
        <v>0</v>
      </c>
      <c r="AH1302" s="199"/>
      <c r="AI1302" s="150">
        <v>0</v>
      </c>
      <c r="AJ1302" s="169">
        <f t="shared" si="1139"/>
        <v>0</v>
      </c>
      <c r="AK1302" s="201">
        <v>0</v>
      </c>
      <c r="AL1302" s="199"/>
      <c r="AM1302" s="150">
        <f>AK1302+AL1302</f>
        <v>0</v>
      </c>
      <c r="AN1302" s="153">
        <f t="shared" si="1141"/>
        <v>0</v>
      </c>
      <c r="AO1302" s="154">
        <f t="shared" si="1142"/>
        <v>0</v>
      </c>
      <c r="AP1302" s="150">
        <v>0</v>
      </c>
      <c r="AQ1302" s="201">
        <v>0</v>
      </c>
      <c r="AR1302" s="199"/>
      <c r="AS1302" s="150">
        <f>AQ1302+AR1302</f>
        <v>0</v>
      </c>
      <c r="AT1302" s="155"/>
      <c r="AU1302" s="156">
        <f t="shared" si="1132"/>
        <v>0</v>
      </c>
      <c r="AV1302" s="156">
        <f t="shared" si="1133"/>
        <v>0</v>
      </c>
      <c r="AW1302" s="157"/>
      <c r="AX1302" s="150">
        <v>0</v>
      </c>
      <c r="AY1302" s="150">
        <v>0</v>
      </c>
      <c r="AZ1302" s="150"/>
      <c r="BA1302" s="150">
        <f t="shared" si="1187"/>
        <v>0</v>
      </c>
      <c r="BB1302" s="210"/>
      <c r="BC1302" s="210"/>
      <c r="BD1302" s="210"/>
      <c r="BE1302" s="210"/>
      <c r="BF1302" s="210"/>
      <c r="BG1302" s="210"/>
      <c r="BH1302" s="217"/>
      <c r="BI1302" s="210"/>
      <c r="BJ1302" s="210"/>
      <c r="BK1302" s="210"/>
      <c r="BL1302" s="210"/>
      <c r="BM1302" s="208"/>
      <c r="BN1302" s="160"/>
      <c r="BO1302" s="161">
        <f t="shared" si="1092"/>
        <v>0</v>
      </c>
      <c r="BP1302" s="161"/>
    </row>
    <row r="1303" spans="1:68" ht="51">
      <c r="A1303" s="210"/>
      <c r="B1303" s="195" t="s">
        <v>8195</v>
      </c>
      <c r="C1303" s="196" t="s">
        <v>8196</v>
      </c>
      <c r="D1303" s="146" t="s">
        <v>4692</v>
      </c>
      <c r="E1303" s="196" t="s">
        <v>8196</v>
      </c>
      <c r="F1303" s="150">
        <v>0</v>
      </c>
      <c r="G1303" s="209">
        <v>0</v>
      </c>
      <c r="H1303" s="209"/>
      <c r="I1303" s="209">
        <v>0</v>
      </c>
      <c r="J1303" s="150">
        <v>0</v>
      </c>
      <c r="K1303" s="150">
        <v>0</v>
      </c>
      <c r="L1303" s="150">
        <f t="shared" si="1154"/>
        <v>0</v>
      </c>
      <c r="M1303" s="150">
        <v>0</v>
      </c>
      <c r="N1303" s="150"/>
      <c r="O1303" s="150">
        <v>0</v>
      </c>
      <c r="P1303" s="150">
        <v>0</v>
      </c>
      <c r="Q1303" s="150">
        <v>0</v>
      </c>
      <c r="R1303" s="150">
        <f>P1303+Q1303</f>
        <v>0</v>
      </c>
      <c r="S1303" s="150">
        <f t="shared" si="1145"/>
        <v>0</v>
      </c>
      <c r="T1303" s="150"/>
      <c r="U1303" s="150">
        <v>0</v>
      </c>
      <c r="V1303" s="199"/>
      <c r="W1303" s="150">
        <f>U1303+V1303</f>
        <v>0</v>
      </c>
      <c r="X1303" s="150">
        <v>0</v>
      </c>
      <c r="Y1303" s="150"/>
      <c r="Z1303" s="150">
        <v>0</v>
      </c>
      <c r="AA1303" s="150">
        <f t="shared" si="1137"/>
        <v>0</v>
      </c>
      <c r="AB1303" s="150">
        <v>0</v>
      </c>
      <c r="AC1303" s="199"/>
      <c r="AD1303" s="150">
        <f>AB1303+AC1303</f>
        <v>0</v>
      </c>
      <c r="AE1303" s="150">
        <v>0</v>
      </c>
      <c r="AF1303" s="169" t="s">
        <v>4680</v>
      </c>
      <c r="AG1303" s="201">
        <v>0</v>
      </c>
      <c r="AH1303" s="199"/>
      <c r="AI1303" s="150">
        <v>0</v>
      </c>
      <c r="AJ1303" s="169">
        <f t="shared" si="1139"/>
        <v>0</v>
      </c>
      <c r="AK1303" s="201">
        <v>0</v>
      </c>
      <c r="AL1303" s="199"/>
      <c r="AM1303" s="150">
        <f>AK1303+AL1303</f>
        <v>0</v>
      </c>
      <c r="AN1303" s="153">
        <f t="shared" si="1141"/>
        <v>0</v>
      </c>
      <c r="AO1303" s="154">
        <f t="shared" si="1142"/>
        <v>0</v>
      </c>
      <c r="AP1303" s="150">
        <v>0</v>
      </c>
      <c r="AQ1303" s="201">
        <v>0</v>
      </c>
      <c r="AR1303" s="199"/>
      <c r="AS1303" s="150">
        <f>AQ1303+AR1303</f>
        <v>0</v>
      </c>
      <c r="AT1303" s="155"/>
      <c r="AU1303" s="156">
        <f t="shared" si="1132"/>
        <v>0</v>
      </c>
      <c r="AV1303" s="156">
        <f t="shared" si="1133"/>
        <v>0</v>
      </c>
      <c r="AW1303" s="157"/>
      <c r="AX1303" s="150">
        <v>0</v>
      </c>
      <c r="AY1303" s="150">
        <v>0</v>
      </c>
      <c r="AZ1303" s="150"/>
      <c r="BA1303" s="150">
        <f t="shared" si="1187"/>
        <v>0</v>
      </c>
      <c r="BB1303" s="210"/>
      <c r="BC1303" s="210"/>
      <c r="BD1303" s="210"/>
      <c r="BE1303" s="210"/>
      <c r="BF1303" s="210"/>
      <c r="BG1303" s="210"/>
      <c r="BH1303" s="217"/>
      <c r="BI1303" s="210"/>
      <c r="BJ1303" s="210"/>
      <c r="BK1303" s="210"/>
      <c r="BL1303" s="210"/>
      <c r="BM1303" s="208"/>
      <c r="BN1303" s="160"/>
      <c r="BO1303" s="161">
        <f t="shared" ref="BO1303:BO1362" si="1188">BM1303-AS1303</f>
        <v>0</v>
      </c>
      <c r="BP1303" s="161"/>
    </row>
    <row r="1304" spans="1:68" ht="38.25">
      <c r="A1304" s="210"/>
      <c r="B1304" s="195" t="s">
        <v>8197</v>
      </c>
      <c r="C1304" s="196" t="s">
        <v>8198</v>
      </c>
      <c r="D1304" s="146" t="s">
        <v>4692</v>
      </c>
      <c r="E1304" s="196" t="s">
        <v>8198</v>
      </c>
      <c r="F1304" s="150">
        <v>0</v>
      </c>
      <c r="G1304" s="209">
        <v>0</v>
      </c>
      <c r="H1304" s="209"/>
      <c r="I1304" s="209">
        <v>0</v>
      </c>
      <c r="J1304" s="150">
        <v>0</v>
      </c>
      <c r="K1304" s="150">
        <v>0</v>
      </c>
      <c r="L1304" s="150">
        <f t="shared" si="1154"/>
        <v>0</v>
      </c>
      <c r="M1304" s="150">
        <v>0</v>
      </c>
      <c r="N1304" s="150"/>
      <c r="O1304" s="150">
        <v>0</v>
      </c>
      <c r="P1304" s="150">
        <v>0</v>
      </c>
      <c r="Q1304" s="150">
        <v>0</v>
      </c>
      <c r="R1304" s="150">
        <f>P1304+Q1304</f>
        <v>0</v>
      </c>
      <c r="S1304" s="150">
        <f t="shared" si="1145"/>
        <v>0</v>
      </c>
      <c r="T1304" s="150"/>
      <c r="U1304" s="150">
        <v>0</v>
      </c>
      <c r="V1304" s="199"/>
      <c r="W1304" s="150">
        <f>U1304+V1304</f>
        <v>0</v>
      </c>
      <c r="X1304" s="150">
        <v>0</v>
      </c>
      <c r="Y1304" s="150"/>
      <c r="Z1304" s="150">
        <v>0</v>
      </c>
      <c r="AA1304" s="150">
        <f t="shared" si="1137"/>
        <v>0</v>
      </c>
      <c r="AB1304" s="150">
        <v>0</v>
      </c>
      <c r="AC1304" s="199"/>
      <c r="AD1304" s="150">
        <f>AB1304+AC1304</f>
        <v>0</v>
      </c>
      <c r="AE1304" s="150">
        <v>0</v>
      </c>
      <c r="AF1304" s="169" t="s">
        <v>4680</v>
      </c>
      <c r="AG1304" s="201">
        <v>0</v>
      </c>
      <c r="AH1304" s="199"/>
      <c r="AI1304" s="150">
        <v>0</v>
      </c>
      <c r="AJ1304" s="169">
        <f t="shared" si="1139"/>
        <v>0</v>
      </c>
      <c r="AK1304" s="201">
        <v>0</v>
      </c>
      <c r="AL1304" s="199"/>
      <c r="AM1304" s="150">
        <f>AK1304+AL1304</f>
        <v>0</v>
      </c>
      <c r="AN1304" s="153">
        <f t="shared" si="1141"/>
        <v>0</v>
      </c>
      <c r="AO1304" s="154">
        <f t="shared" si="1142"/>
        <v>0</v>
      </c>
      <c r="AP1304" s="150">
        <v>0</v>
      </c>
      <c r="AQ1304" s="201">
        <v>0</v>
      </c>
      <c r="AR1304" s="199"/>
      <c r="AS1304" s="150">
        <f>AQ1304+AR1304</f>
        <v>0</v>
      </c>
      <c r="AT1304" s="155"/>
      <c r="AU1304" s="156">
        <f t="shared" si="1132"/>
        <v>0</v>
      </c>
      <c r="AV1304" s="156">
        <f t="shared" si="1133"/>
        <v>0</v>
      </c>
      <c r="AW1304" s="157"/>
      <c r="AX1304" s="150">
        <v>0</v>
      </c>
      <c r="AY1304" s="150">
        <v>0</v>
      </c>
      <c r="AZ1304" s="150"/>
      <c r="BA1304" s="150">
        <f t="shared" si="1187"/>
        <v>0</v>
      </c>
      <c r="BB1304" s="210"/>
      <c r="BC1304" s="210"/>
      <c r="BD1304" s="210"/>
      <c r="BE1304" s="210"/>
      <c r="BF1304" s="210"/>
      <c r="BG1304" s="210"/>
      <c r="BH1304" s="217"/>
      <c r="BI1304" s="210"/>
      <c r="BJ1304" s="210"/>
      <c r="BK1304" s="210"/>
      <c r="BL1304" s="210"/>
      <c r="BM1304" s="208"/>
      <c r="BN1304" s="160"/>
      <c r="BO1304" s="161">
        <f t="shared" si="1188"/>
        <v>0</v>
      </c>
      <c r="BP1304" s="161"/>
    </row>
    <row r="1305" spans="1:68" ht="51">
      <c r="A1305" s="210"/>
      <c r="B1305" s="195" t="s">
        <v>8199</v>
      </c>
      <c r="C1305" s="196" t="s">
        <v>8200</v>
      </c>
      <c r="D1305" s="146" t="s">
        <v>4692</v>
      </c>
      <c r="E1305" s="196" t="s">
        <v>8200</v>
      </c>
      <c r="F1305" s="150">
        <v>0</v>
      </c>
      <c r="G1305" s="209">
        <v>509900.92000000004</v>
      </c>
      <c r="H1305" s="209">
        <v>58171.614020000015</v>
      </c>
      <c r="I1305" s="209">
        <v>568072.53402000002</v>
      </c>
      <c r="J1305" s="150">
        <v>0</v>
      </c>
      <c r="K1305" s="150">
        <v>0</v>
      </c>
      <c r="L1305" s="150">
        <f t="shared" si="1154"/>
        <v>0</v>
      </c>
      <c r="M1305" s="150">
        <v>0</v>
      </c>
      <c r="N1305" s="150"/>
      <c r="O1305" s="150">
        <v>0</v>
      </c>
      <c r="P1305" s="150">
        <v>0</v>
      </c>
      <c r="Q1305" s="150">
        <v>0</v>
      </c>
      <c r="R1305" s="150">
        <f>P1305+Q1305</f>
        <v>0</v>
      </c>
      <c r="S1305" s="150">
        <f t="shared" si="1145"/>
        <v>0</v>
      </c>
      <c r="T1305" s="150"/>
      <c r="U1305" s="150">
        <v>0</v>
      </c>
      <c r="V1305" s="199"/>
      <c r="W1305" s="150">
        <f>U1305+V1305</f>
        <v>0</v>
      </c>
      <c r="X1305" s="150">
        <v>0</v>
      </c>
      <c r="Y1305" s="150"/>
      <c r="Z1305" s="150">
        <v>0</v>
      </c>
      <c r="AA1305" s="150">
        <f t="shared" si="1137"/>
        <v>0</v>
      </c>
      <c r="AB1305" s="150">
        <v>0</v>
      </c>
      <c r="AC1305" s="199"/>
      <c r="AD1305" s="150">
        <f>AB1305+AC1305</f>
        <v>0</v>
      </c>
      <c r="AE1305" s="150">
        <v>0</v>
      </c>
      <c r="AF1305" s="169" t="s">
        <v>4680</v>
      </c>
      <c r="AG1305" s="201">
        <v>0</v>
      </c>
      <c r="AH1305" s="199"/>
      <c r="AI1305" s="150">
        <v>0</v>
      </c>
      <c r="AJ1305" s="169">
        <f t="shared" si="1139"/>
        <v>0</v>
      </c>
      <c r="AK1305" s="201">
        <v>0</v>
      </c>
      <c r="AL1305" s="199"/>
      <c r="AM1305" s="150">
        <f>AK1305+AL1305</f>
        <v>0</v>
      </c>
      <c r="AN1305" s="153">
        <f t="shared" si="1141"/>
        <v>0</v>
      </c>
      <c r="AO1305" s="154">
        <f t="shared" si="1142"/>
        <v>0</v>
      </c>
      <c r="AP1305" s="150">
        <v>0</v>
      </c>
      <c r="AQ1305" s="201">
        <v>0</v>
      </c>
      <c r="AR1305" s="199"/>
      <c r="AS1305" s="150">
        <f>AQ1305+AR1305</f>
        <v>0</v>
      </c>
      <c r="AT1305" s="155"/>
      <c r="AU1305" s="156">
        <f t="shared" si="1132"/>
        <v>0</v>
      </c>
      <c r="AV1305" s="156">
        <f t="shared" si="1133"/>
        <v>0</v>
      </c>
      <c r="AW1305" s="157"/>
      <c r="AX1305" s="150">
        <v>0</v>
      </c>
      <c r="AY1305" s="150">
        <v>0</v>
      </c>
      <c r="AZ1305" s="150"/>
      <c r="BA1305" s="150">
        <f t="shared" si="1187"/>
        <v>0</v>
      </c>
      <c r="BB1305" s="210"/>
      <c r="BC1305" s="210"/>
      <c r="BD1305" s="210"/>
      <c r="BE1305" s="210"/>
      <c r="BF1305" s="210"/>
      <c r="BG1305" s="210"/>
      <c r="BH1305" s="217"/>
      <c r="BI1305" s="210"/>
      <c r="BJ1305" s="210"/>
      <c r="BK1305" s="210"/>
      <c r="BL1305" s="210"/>
      <c r="BM1305" s="208"/>
      <c r="BN1305" s="160"/>
      <c r="BO1305" s="161">
        <f t="shared" si="1188"/>
        <v>0</v>
      </c>
      <c r="BP1305" s="161"/>
    </row>
    <row r="1306" spans="1:68" ht="25.5">
      <c r="A1306" s="256" t="s">
        <v>8201</v>
      </c>
      <c r="B1306" s="184"/>
      <c r="C1306" s="185" t="s">
        <v>8202</v>
      </c>
      <c r="D1306" s="146" t="s">
        <v>4692</v>
      </c>
      <c r="E1306" s="185" t="s">
        <v>8202</v>
      </c>
      <c r="F1306" s="188">
        <v>557741.04999999993</v>
      </c>
      <c r="G1306" s="187">
        <v>134408.35999999999</v>
      </c>
      <c r="H1306" s="187">
        <v>1626.6786000000138</v>
      </c>
      <c r="I1306" s="187">
        <v>136035.0386</v>
      </c>
      <c r="J1306" s="188">
        <f>SUM(J1307:J1320)</f>
        <v>42077.46</v>
      </c>
      <c r="K1306" s="188">
        <f>SUM(K1307:K1320)</f>
        <v>34780.42643</v>
      </c>
      <c r="L1306" s="188">
        <f t="shared" si="1154"/>
        <v>76857.886429999999</v>
      </c>
      <c r="M1306" s="188">
        <v>105295.22999999998</v>
      </c>
      <c r="N1306" s="188">
        <v>97220.265000000014</v>
      </c>
      <c r="O1306" s="188">
        <v>202515.495</v>
      </c>
      <c r="P1306" s="299">
        <f t="shared" ref="P1306:AD1306" si="1189">SUM(P1307:P1320)</f>
        <v>210740.59</v>
      </c>
      <c r="Q1306" s="299">
        <f t="shared" si="1189"/>
        <v>40769.18</v>
      </c>
      <c r="R1306" s="299">
        <f t="shared" si="1189"/>
        <v>251509.77</v>
      </c>
      <c r="S1306" s="150">
        <f t="shared" si="1145"/>
        <v>335346.36</v>
      </c>
      <c r="T1306" s="213"/>
      <c r="U1306" s="299">
        <f t="shared" ref="U1306:W1306" si="1190">SUM(U1307:U1320)</f>
        <v>306364.68000000005</v>
      </c>
      <c r="V1306" s="226">
        <f t="shared" si="1190"/>
        <v>69781.206199999986</v>
      </c>
      <c r="W1306" s="299">
        <f t="shared" si="1190"/>
        <v>376145.88620000001</v>
      </c>
      <c r="X1306" s="299">
        <v>306364.68000000005</v>
      </c>
      <c r="Y1306" s="299">
        <v>69781.206199999986</v>
      </c>
      <c r="Z1306" s="299">
        <v>376145.88620000001</v>
      </c>
      <c r="AA1306" s="299">
        <f t="shared" si="1137"/>
        <v>-56126.478199999954</v>
      </c>
      <c r="AB1306" s="299">
        <v>306364.68000000005</v>
      </c>
      <c r="AC1306" s="226">
        <v>13654.728000000003</v>
      </c>
      <c r="AD1306" s="299">
        <f t="shared" si="1189"/>
        <v>320019.40800000005</v>
      </c>
      <c r="AE1306" s="299">
        <v>320019.40800000005</v>
      </c>
      <c r="AF1306" s="169" t="s">
        <v>4680</v>
      </c>
      <c r="AG1306" s="301">
        <v>320019.41000000003</v>
      </c>
      <c r="AH1306" s="226">
        <v>0</v>
      </c>
      <c r="AI1306" s="299">
        <v>320019.41000000003</v>
      </c>
      <c r="AJ1306" s="169">
        <f t="shared" si="1139"/>
        <v>0</v>
      </c>
      <c r="AK1306" s="301">
        <v>320019.41000000003</v>
      </c>
      <c r="AL1306" s="226">
        <v>0</v>
      </c>
      <c r="AM1306" s="299">
        <f t="shared" ref="AM1306" si="1191">SUM(AM1307:AM1320)</f>
        <v>320019.41000000003</v>
      </c>
      <c r="AN1306" s="153">
        <f t="shared" si="1141"/>
        <v>0</v>
      </c>
      <c r="AO1306" s="154">
        <f t="shared" si="1142"/>
        <v>0</v>
      </c>
      <c r="AP1306" s="299">
        <v>320019.41000000003</v>
      </c>
      <c r="AQ1306" s="301">
        <v>320019.41000000003</v>
      </c>
      <c r="AR1306" s="226">
        <f t="shared" ref="AR1306:AS1306" si="1192">SUM(AR1307:AR1320)</f>
        <v>0</v>
      </c>
      <c r="AS1306" s="299">
        <f t="shared" si="1192"/>
        <v>320019.41000000003</v>
      </c>
      <c r="AT1306" s="155"/>
      <c r="AU1306" s="156">
        <f t="shared" si="1132"/>
        <v>1.9999999785795808E-3</v>
      </c>
      <c r="AV1306" s="156">
        <f t="shared" si="1133"/>
        <v>-56126.478199999954</v>
      </c>
      <c r="AW1306" s="157"/>
      <c r="AX1306" s="150">
        <v>376145.88620000001</v>
      </c>
      <c r="AY1306" s="299">
        <f t="shared" ref="AY1306:BA1306" si="1193">SUM(AY1307:AY1320)</f>
        <v>178298.06</v>
      </c>
      <c r="AZ1306" s="299">
        <f t="shared" si="1193"/>
        <v>346220.33473</v>
      </c>
      <c r="BA1306" s="299">
        <f t="shared" si="1193"/>
        <v>524518.39473000006</v>
      </c>
      <c r="BB1306" s="192">
        <v>5</v>
      </c>
      <c r="BC1306" s="256" t="s">
        <v>693</v>
      </c>
      <c r="BD1306" s="256" t="s">
        <v>647</v>
      </c>
      <c r="BE1306" s="256" t="s">
        <v>647</v>
      </c>
      <c r="BF1306" s="256" t="s">
        <v>630</v>
      </c>
      <c r="BG1306" s="185" t="s">
        <v>8202</v>
      </c>
      <c r="BH1306" s="302">
        <f>SUM(BH1307:BH1320)</f>
        <v>320019.41000000003</v>
      </c>
      <c r="BI1306" s="192"/>
      <c r="BJ1306" s="256" t="s">
        <v>8203</v>
      </c>
      <c r="BK1306" s="256" t="s">
        <v>8201</v>
      </c>
      <c r="BL1306" s="238" t="s">
        <v>8204</v>
      </c>
      <c r="BM1306" s="302">
        <f>SUM(BM1307:BM1320)</f>
        <v>320019.41000000003</v>
      </c>
      <c r="BN1306" s="160"/>
      <c r="BO1306" s="161">
        <f t="shared" si="1188"/>
        <v>0</v>
      </c>
      <c r="BP1306" s="161"/>
    </row>
    <row r="1307" spans="1:68" ht="38.25">
      <c r="A1307" s="206" t="s">
        <v>8201</v>
      </c>
      <c r="B1307" s="195" t="s">
        <v>8205</v>
      </c>
      <c r="C1307" s="196" t="s">
        <v>8206</v>
      </c>
      <c r="D1307" s="146" t="s">
        <v>4692</v>
      </c>
      <c r="E1307" s="196" t="s">
        <v>8206</v>
      </c>
      <c r="F1307" s="150">
        <v>134408.35999999999</v>
      </c>
      <c r="G1307" s="209">
        <v>0</v>
      </c>
      <c r="H1307" s="209"/>
      <c r="I1307" s="209">
        <v>0</v>
      </c>
      <c r="J1307" s="150">
        <v>33602.089999999997</v>
      </c>
      <c r="K1307" s="150">
        <v>4.0000000008149073E-3</v>
      </c>
      <c r="L1307" s="150">
        <f t="shared" si="1154"/>
        <v>33602.093999999997</v>
      </c>
      <c r="M1307" s="150">
        <v>67204.179999999993</v>
      </c>
      <c r="N1307" s="150"/>
      <c r="O1307" s="150">
        <v>67204.179999999993</v>
      </c>
      <c r="P1307" s="150">
        <v>126166.7</v>
      </c>
      <c r="Q1307" s="150"/>
      <c r="R1307" s="150">
        <f t="shared" ref="R1307:R1320" si="1194">P1307+Q1307</f>
        <v>126166.7</v>
      </c>
      <c r="S1307" s="150">
        <f t="shared" si="1145"/>
        <v>168222.26666666666</v>
      </c>
      <c r="T1307" s="150"/>
      <c r="U1307" s="150">
        <v>205229.79</v>
      </c>
      <c r="V1307" s="199">
        <v>13781.206199999986</v>
      </c>
      <c r="W1307" s="150">
        <f t="shared" ref="W1307:W1320" si="1195">U1307+V1307</f>
        <v>219010.99619999999</v>
      </c>
      <c r="X1307" s="150">
        <v>205229.79</v>
      </c>
      <c r="Y1307" s="150">
        <v>13781.206199999986</v>
      </c>
      <c r="Z1307" s="150">
        <v>219010.99619999999</v>
      </c>
      <c r="AA1307" s="150">
        <f t="shared" si="1137"/>
        <v>-13781.206199999986</v>
      </c>
      <c r="AB1307" s="150">
        <v>205229.79</v>
      </c>
      <c r="AC1307" s="199"/>
      <c r="AD1307" s="150">
        <f t="shared" ref="AD1307:AD1320" si="1196">AB1307+AC1307</f>
        <v>205229.79</v>
      </c>
      <c r="AE1307" s="150">
        <v>205229.79</v>
      </c>
      <c r="AF1307" s="169" t="s">
        <v>4680</v>
      </c>
      <c r="AG1307" s="201">
        <v>205229.79</v>
      </c>
      <c r="AH1307" s="199"/>
      <c r="AI1307" s="150">
        <v>205229.79</v>
      </c>
      <c r="AJ1307" s="169">
        <f t="shared" si="1139"/>
        <v>0</v>
      </c>
      <c r="AK1307" s="201">
        <v>205229.79</v>
      </c>
      <c r="AL1307" s="199"/>
      <c r="AM1307" s="150">
        <f t="shared" ref="AM1307:AM1320" si="1197">AK1307+AL1307</f>
        <v>205229.79</v>
      </c>
      <c r="AN1307" s="153">
        <f t="shared" si="1141"/>
        <v>0</v>
      </c>
      <c r="AO1307" s="154">
        <f t="shared" si="1142"/>
        <v>0</v>
      </c>
      <c r="AP1307" s="150">
        <v>205229.79</v>
      </c>
      <c r="AQ1307" s="201">
        <v>205229.79</v>
      </c>
      <c r="AR1307" s="199"/>
      <c r="AS1307" s="150">
        <f t="shared" ref="AS1307:AS1320" si="1198">AQ1307+AR1307</f>
        <v>205229.79</v>
      </c>
      <c r="AT1307" s="155"/>
      <c r="AU1307" s="156">
        <f t="shared" si="1132"/>
        <v>0</v>
      </c>
      <c r="AV1307" s="156">
        <f t="shared" si="1133"/>
        <v>-13781.206199999986</v>
      </c>
      <c r="AW1307" s="157"/>
      <c r="AX1307" s="150">
        <v>219010.99619999999</v>
      </c>
      <c r="AY1307" s="150">
        <v>93724.17</v>
      </c>
      <c r="AZ1307" s="150">
        <v>230949.32430000004</v>
      </c>
      <c r="BA1307" s="150">
        <f t="shared" si="1187"/>
        <v>324673.49430000002</v>
      </c>
      <c r="BB1307" s="202">
        <v>5</v>
      </c>
      <c r="BC1307" s="202" t="s">
        <v>693</v>
      </c>
      <c r="BD1307" s="202" t="s">
        <v>647</v>
      </c>
      <c r="BE1307" s="202" t="s">
        <v>647</v>
      </c>
      <c r="BF1307" s="202" t="s">
        <v>632</v>
      </c>
      <c r="BG1307" s="203" t="s">
        <v>8202</v>
      </c>
      <c r="BH1307" s="216">
        <f>SUM(AS1307:AS1320)</f>
        <v>320019.41000000003</v>
      </c>
      <c r="BI1307" s="205"/>
      <c r="BJ1307" s="206" t="s">
        <v>8203</v>
      </c>
      <c r="BK1307" s="206" t="s">
        <v>8201</v>
      </c>
      <c r="BL1307" s="207" t="s">
        <v>8204</v>
      </c>
      <c r="BM1307" s="208">
        <f>BH1307</f>
        <v>320019.41000000003</v>
      </c>
      <c r="BN1307" s="160"/>
      <c r="BO1307" s="161"/>
      <c r="BP1307" s="161"/>
    </row>
    <row r="1308" spans="1:68" ht="25.5">
      <c r="A1308" s="210"/>
      <c r="B1308" s="195" t="s">
        <v>8207</v>
      </c>
      <c r="C1308" s="196" t="s">
        <v>8208</v>
      </c>
      <c r="D1308" s="146" t="s">
        <v>4692</v>
      </c>
      <c r="E1308" s="196" t="s">
        <v>8208</v>
      </c>
      <c r="F1308" s="150">
        <v>0</v>
      </c>
      <c r="G1308" s="209">
        <v>0</v>
      </c>
      <c r="H1308" s="209"/>
      <c r="I1308" s="209">
        <v>0</v>
      </c>
      <c r="J1308" s="150">
        <v>0</v>
      </c>
      <c r="K1308" s="150">
        <v>0</v>
      </c>
      <c r="L1308" s="150">
        <f t="shared" si="1154"/>
        <v>0</v>
      </c>
      <c r="M1308" s="150">
        <v>0</v>
      </c>
      <c r="N1308" s="150"/>
      <c r="O1308" s="150">
        <v>0</v>
      </c>
      <c r="P1308" s="150">
        <v>0</v>
      </c>
      <c r="Q1308" s="150"/>
      <c r="R1308" s="150">
        <f t="shared" si="1194"/>
        <v>0</v>
      </c>
      <c r="S1308" s="150">
        <f t="shared" si="1145"/>
        <v>0</v>
      </c>
      <c r="T1308" s="150"/>
      <c r="U1308" s="150">
        <v>0</v>
      </c>
      <c r="V1308" s="199"/>
      <c r="W1308" s="150">
        <f t="shared" si="1195"/>
        <v>0</v>
      </c>
      <c r="X1308" s="150">
        <v>0</v>
      </c>
      <c r="Y1308" s="150"/>
      <c r="Z1308" s="150">
        <v>0</v>
      </c>
      <c r="AA1308" s="150">
        <f t="shared" si="1137"/>
        <v>0</v>
      </c>
      <c r="AB1308" s="150">
        <v>0</v>
      </c>
      <c r="AC1308" s="199"/>
      <c r="AD1308" s="150">
        <f t="shared" si="1196"/>
        <v>0</v>
      </c>
      <c r="AE1308" s="150">
        <v>0</v>
      </c>
      <c r="AF1308" s="169" t="s">
        <v>4680</v>
      </c>
      <c r="AG1308" s="201">
        <v>0</v>
      </c>
      <c r="AH1308" s="199"/>
      <c r="AI1308" s="150">
        <v>0</v>
      </c>
      <c r="AJ1308" s="169">
        <f t="shared" si="1139"/>
        <v>0</v>
      </c>
      <c r="AK1308" s="201">
        <v>0</v>
      </c>
      <c r="AL1308" s="199"/>
      <c r="AM1308" s="150">
        <f t="shared" si="1197"/>
        <v>0</v>
      </c>
      <c r="AN1308" s="153">
        <f t="shared" si="1141"/>
        <v>0</v>
      </c>
      <c r="AO1308" s="154">
        <f t="shared" si="1142"/>
        <v>0</v>
      </c>
      <c r="AP1308" s="150">
        <v>0</v>
      </c>
      <c r="AQ1308" s="201">
        <v>0</v>
      </c>
      <c r="AR1308" s="199"/>
      <c r="AS1308" s="150">
        <f t="shared" si="1198"/>
        <v>0</v>
      </c>
      <c r="AT1308" s="155"/>
      <c r="AU1308" s="156">
        <f t="shared" si="1132"/>
        <v>0</v>
      </c>
      <c r="AV1308" s="156">
        <f t="shared" si="1133"/>
        <v>0</v>
      </c>
      <c r="AW1308" s="157"/>
      <c r="AX1308" s="150">
        <v>0</v>
      </c>
      <c r="AY1308" s="150">
        <v>0</v>
      </c>
      <c r="AZ1308" s="150"/>
      <c r="BA1308" s="150">
        <f t="shared" si="1187"/>
        <v>0</v>
      </c>
      <c r="BB1308" s="210"/>
      <c r="BC1308" s="210"/>
      <c r="BD1308" s="210"/>
      <c r="BE1308" s="210"/>
      <c r="BF1308" s="210"/>
      <c r="BG1308" s="210"/>
      <c r="BH1308" s="217"/>
      <c r="BI1308" s="210"/>
      <c r="BJ1308" s="210"/>
      <c r="BK1308" s="210"/>
      <c r="BL1308" s="210"/>
      <c r="BM1308" s="208"/>
      <c r="BN1308" s="160"/>
      <c r="BO1308" s="161"/>
      <c r="BP1308" s="161"/>
    </row>
    <row r="1309" spans="1:68" ht="38.25">
      <c r="A1309" s="210"/>
      <c r="B1309" s="195" t="s">
        <v>8209</v>
      </c>
      <c r="C1309" s="196" t="s">
        <v>8210</v>
      </c>
      <c r="D1309" s="146" t="s">
        <v>4692</v>
      </c>
      <c r="E1309" s="196" t="s">
        <v>8210</v>
      </c>
      <c r="F1309" s="150">
        <v>0</v>
      </c>
      <c r="G1309" s="209">
        <v>0</v>
      </c>
      <c r="H1309" s="209"/>
      <c r="I1309" s="209">
        <v>0</v>
      </c>
      <c r="J1309" s="150">
        <v>0</v>
      </c>
      <c r="K1309" s="150">
        <v>0</v>
      </c>
      <c r="L1309" s="150">
        <f t="shared" si="1154"/>
        <v>0</v>
      </c>
      <c r="M1309" s="150">
        <v>0</v>
      </c>
      <c r="N1309" s="150"/>
      <c r="O1309" s="150">
        <v>0</v>
      </c>
      <c r="P1309" s="150">
        <v>0</v>
      </c>
      <c r="Q1309" s="150"/>
      <c r="R1309" s="150">
        <f t="shared" si="1194"/>
        <v>0</v>
      </c>
      <c r="S1309" s="150">
        <f t="shared" si="1145"/>
        <v>0</v>
      </c>
      <c r="T1309" s="150"/>
      <c r="U1309" s="150">
        <v>0</v>
      </c>
      <c r="V1309" s="199"/>
      <c r="W1309" s="150">
        <f t="shared" si="1195"/>
        <v>0</v>
      </c>
      <c r="X1309" s="150">
        <v>0</v>
      </c>
      <c r="Y1309" s="150"/>
      <c r="Z1309" s="150">
        <v>0</v>
      </c>
      <c r="AA1309" s="150">
        <f t="shared" si="1137"/>
        <v>0</v>
      </c>
      <c r="AB1309" s="150">
        <v>0</v>
      </c>
      <c r="AC1309" s="199"/>
      <c r="AD1309" s="150">
        <f t="shared" si="1196"/>
        <v>0</v>
      </c>
      <c r="AE1309" s="150">
        <v>0</v>
      </c>
      <c r="AF1309" s="169" t="s">
        <v>4680</v>
      </c>
      <c r="AG1309" s="201">
        <v>0</v>
      </c>
      <c r="AH1309" s="199"/>
      <c r="AI1309" s="150">
        <v>0</v>
      </c>
      <c r="AJ1309" s="169">
        <f t="shared" si="1139"/>
        <v>0</v>
      </c>
      <c r="AK1309" s="201">
        <v>0</v>
      </c>
      <c r="AL1309" s="199"/>
      <c r="AM1309" s="150">
        <f t="shared" si="1197"/>
        <v>0</v>
      </c>
      <c r="AN1309" s="153">
        <f t="shared" si="1141"/>
        <v>0</v>
      </c>
      <c r="AO1309" s="154">
        <f t="shared" si="1142"/>
        <v>0</v>
      </c>
      <c r="AP1309" s="150">
        <v>0</v>
      </c>
      <c r="AQ1309" s="201">
        <v>0</v>
      </c>
      <c r="AR1309" s="199"/>
      <c r="AS1309" s="150">
        <f t="shared" si="1198"/>
        <v>0</v>
      </c>
      <c r="AT1309" s="155"/>
      <c r="AU1309" s="156">
        <f t="shared" si="1132"/>
        <v>0</v>
      </c>
      <c r="AV1309" s="156">
        <f t="shared" si="1133"/>
        <v>0</v>
      </c>
      <c r="AW1309" s="157"/>
      <c r="AX1309" s="150">
        <v>0</v>
      </c>
      <c r="AY1309" s="150">
        <v>0</v>
      </c>
      <c r="AZ1309" s="150"/>
      <c r="BA1309" s="150">
        <f t="shared" si="1187"/>
        <v>0</v>
      </c>
      <c r="BB1309" s="210"/>
      <c r="BC1309" s="210"/>
      <c r="BD1309" s="210"/>
      <c r="BE1309" s="210"/>
      <c r="BF1309" s="210"/>
      <c r="BG1309" s="210"/>
      <c r="BH1309" s="217"/>
      <c r="BI1309" s="210"/>
      <c r="BJ1309" s="210"/>
      <c r="BK1309" s="210"/>
      <c r="BL1309" s="210"/>
      <c r="BM1309" s="208"/>
      <c r="BN1309" s="160"/>
      <c r="BO1309" s="161"/>
      <c r="BP1309" s="161"/>
    </row>
    <row r="1310" spans="1:68" ht="38.25">
      <c r="A1310" s="210"/>
      <c r="B1310" s="195" t="s">
        <v>8211</v>
      </c>
      <c r="C1310" s="196" t="s">
        <v>8212</v>
      </c>
      <c r="D1310" s="146" t="s">
        <v>4692</v>
      </c>
      <c r="E1310" s="196" t="s">
        <v>8212</v>
      </c>
      <c r="F1310" s="150">
        <v>0</v>
      </c>
      <c r="G1310" s="209">
        <v>0</v>
      </c>
      <c r="H1310" s="209"/>
      <c r="I1310" s="209">
        <v>0</v>
      </c>
      <c r="J1310" s="150">
        <v>0</v>
      </c>
      <c r="K1310" s="150">
        <v>0</v>
      </c>
      <c r="L1310" s="150">
        <f t="shared" si="1154"/>
        <v>0</v>
      </c>
      <c r="M1310" s="150">
        <v>0</v>
      </c>
      <c r="N1310" s="150"/>
      <c r="O1310" s="150">
        <v>0</v>
      </c>
      <c r="P1310" s="150">
        <v>0</v>
      </c>
      <c r="Q1310" s="150"/>
      <c r="R1310" s="150">
        <f t="shared" si="1194"/>
        <v>0</v>
      </c>
      <c r="S1310" s="150">
        <f t="shared" si="1145"/>
        <v>0</v>
      </c>
      <c r="T1310" s="150"/>
      <c r="U1310" s="150">
        <v>0</v>
      </c>
      <c r="V1310" s="199"/>
      <c r="W1310" s="150">
        <f t="shared" si="1195"/>
        <v>0</v>
      </c>
      <c r="X1310" s="150">
        <v>0</v>
      </c>
      <c r="Y1310" s="150"/>
      <c r="Z1310" s="150">
        <v>0</v>
      </c>
      <c r="AA1310" s="150">
        <f t="shared" si="1137"/>
        <v>0</v>
      </c>
      <c r="AB1310" s="150">
        <v>0</v>
      </c>
      <c r="AC1310" s="199"/>
      <c r="AD1310" s="150">
        <f t="shared" si="1196"/>
        <v>0</v>
      </c>
      <c r="AE1310" s="150">
        <v>0</v>
      </c>
      <c r="AF1310" s="169" t="s">
        <v>4680</v>
      </c>
      <c r="AG1310" s="201">
        <v>0</v>
      </c>
      <c r="AH1310" s="199"/>
      <c r="AI1310" s="150">
        <v>0</v>
      </c>
      <c r="AJ1310" s="169">
        <f t="shared" si="1139"/>
        <v>0</v>
      </c>
      <c r="AK1310" s="201">
        <v>0</v>
      </c>
      <c r="AL1310" s="199"/>
      <c r="AM1310" s="150">
        <f t="shared" si="1197"/>
        <v>0</v>
      </c>
      <c r="AN1310" s="153">
        <f t="shared" si="1141"/>
        <v>0</v>
      </c>
      <c r="AO1310" s="154">
        <f t="shared" si="1142"/>
        <v>0</v>
      </c>
      <c r="AP1310" s="150">
        <v>0</v>
      </c>
      <c r="AQ1310" s="201">
        <v>0</v>
      </c>
      <c r="AR1310" s="199"/>
      <c r="AS1310" s="150">
        <f t="shared" si="1198"/>
        <v>0</v>
      </c>
      <c r="AT1310" s="155"/>
      <c r="AU1310" s="156">
        <f t="shared" si="1132"/>
        <v>0</v>
      </c>
      <c r="AV1310" s="156">
        <f t="shared" si="1133"/>
        <v>0</v>
      </c>
      <c r="AW1310" s="157"/>
      <c r="AX1310" s="150">
        <v>0</v>
      </c>
      <c r="AY1310" s="150">
        <v>0</v>
      </c>
      <c r="AZ1310" s="150"/>
      <c r="BA1310" s="150">
        <f t="shared" si="1187"/>
        <v>0</v>
      </c>
      <c r="BB1310" s="210"/>
      <c r="BC1310" s="210"/>
      <c r="BD1310" s="210"/>
      <c r="BE1310" s="210"/>
      <c r="BF1310" s="210"/>
      <c r="BG1310" s="210"/>
      <c r="BH1310" s="217"/>
      <c r="BI1310" s="210"/>
      <c r="BJ1310" s="210"/>
      <c r="BK1310" s="210"/>
      <c r="BL1310" s="210"/>
      <c r="BM1310" s="208"/>
      <c r="BN1310" s="160"/>
      <c r="BO1310" s="161"/>
      <c r="BP1310" s="161"/>
    </row>
    <row r="1311" spans="1:68" ht="38.25">
      <c r="A1311" s="210"/>
      <c r="B1311" s="195" t="s">
        <v>8213</v>
      </c>
      <c r="C1311" s="196" t="s">
        <v>8214</v>
      </c>
      <c r="D1311" s="146" t="s">
        <v>4692</v>
      </c>
      <c r="E1311" s="196" t="s">
        <v>8214</v>
      </c>
      <c r="F1311" s="150">
        <v>0</v>
      </c>
      <c r="G1311" s="209">
        <v>0</v>
      </c>
      <c r="H1311" s="209"/>
      <c r="I1311" s="209">
        <v>0</v>
      </c>
      <c r="J1311" s="150">
        <v>0</v>
      </c>
      <c r="K1311" s="150">
        <v>0</v>
      </c>
      <c r="L1311" s="150">
        <f t="shared" si="1154"/>
        <v>0</v>
      </c>
      <c r="M1311" s="150">
        <v>0</v>
      </c>
      <c r="N1311" s="150"/>
      <c r="O1311" s="150">
        <v>0</v>
      </c>
      <c r="P1311" s="150">
        <v>0</v>
      </c>
      <c r="Q1311" s="150"/>
      <c r="R1311" s="150">
        <f t="shared" si="1194"/>
        <v>0</v>
      </c>
      <c r="S1311" s="150">
        <f t="shared" si="1145"/>
        <v>0</v>
      </c>
      <c r="T1311" s="150"/>
      <c r="U1311" s="150">
        <v>0</v>
      </c>
      <c r="V1311" s="199"/>
      <c r="W1311" s="150">
        <f t="shared" si="1195"/>
        <v>0</v>
      </c>
      <c r="X1311" s="150">
        <v>0</v>
      </c>
      <c r="Y1311" s="150"/>
      <c r="Z1311" s="150">
        <v>0</v>
      </c>
      <c r="AA1311" s="150">
        <f t="shared" si="1137"/>
        <v>0</v>
      </c>
      <c r="AB1311" s="150">
        <v>0</v>
      </c>
      <c r="AC1311" s="199"/>
      <c r="AD1311" s="150">
        <f t="shared" si="1196"/>
        <v>0</v>
      </c>
      <c r="AE1311" s="150">
        <v>0</v>
      </c>
      <c r="AF1311" s="169" t="s">
        <v>4680</v>
      </c>
      <c r="AG1311" s="201">
        <v>0</v>
      </c>
      <c r="AH1311" s="199"/>
      <c r="AI1311" s="150">
        <v>0</v>
      </c>
      <c r="AJ1311" s="169">
        <f t="shared" si="1139"/>
        <v>0</v>
      </c>
      <c r="AK1311" s="201">
        <v>0</v>
      </c>
      <c r="AL1311" s="199"/>
      <c r="AM1311" s="150">
        <f t="shared" si="1197"/>
        <v>0</v>
      </c>
      <c r="AN1311" s="153">
        <f t="shared" si="1141"/>
        <v>0</v>
      </c>
      <c r="AO1311" s="154">
        <f t="shared" si="1142"/>
        <v>0</v>
      </c>
      <c r="AP1311" s="150">
        <v>0</v>
      </c>
      <c r="AQ1311" s="201">
        <v>0</v>
      </c>
      <c r="AR1311" s="199"/>
      <c r="AS1311" s="150">
        <f t="shared" si="1198"/>
        <v>0</v>
      </c>
      <c r="AT1311" s="155"/>
      <c r="AU1311" s="156">
        <f t="shared" si="1132"/>
        <v>0</v>
      </c>
      <c r="AV1311" s="156">
        <f t="shared" si="1133"/>
        <v>0</v>
      </c>
      <c r="AW1311" s="157"/>
      <c r="AX1311" s="150">
        <v>0</v>
      </c>
      <c r="AY1311" s="150">
        <v>0</v>
      </c>
      <c r="AZ1311" s="150"/>
      <c r="BA1311" s="150">
        <f t="shared" si="1187"/>
        <v>0</v>
      </c>
      <c r="BB1311" s="210"/>
      <c r="BC1311" s="210"/>
      <c r="BD1311" s="210"/>
      <c r="BE1311" s="210"/>
      <c r="BF1311" s="210"/>
      <c r="BG1311" s="210"/>
      <c r="BH1311" s="217"/>
      <c r="BI1311" s="210"/>
      <c r="BJ1311" s="210"/>
      <c r="BK1311" s="210"/>
      <c r="BL1311" s="210"/>
      <c r="BM1311" s="208"/>
      <c r="BN1311" s="160"/>
      <c r="BO1311" s="161"/>
      <c r="BP1311" s="161"/>
    </row>
    <row r="1312" spans="1:68" ht="25.5">
      <c r="A1312" s="210"/>
      <c r="B1312" s="195" t="s">
        <v>8215</v>
      </c>
      <c r="C1312" s="196" t="s">
        <v>8216</v>
      </c>
      <c r="D1312" s="146" t="s">
        <v>4692</v>
      </c>
      <c r="E1312" s="196" t="s">
        <v>8216</v>
      </c>
      <c r="F1312" s="150">
        <v>0</v>
      </c>
      <c r="G1312" s="209">
        <v>104707.39</v>
      </c>
      <c r="H1312" s="209">
        <v>0.11040000000502914</v>
      </c>
      <c r="I1312" s="209">
        <v>104707.5004</v>
      </c>
      <c r="J1312" s="150">
        <v>0</v>
      </c>
      <c r="K1312" s="150">
        <v>0</v>
      </c>
      <c r="L1312" s="150">
        <f t="shared" si="1154"/>
        <v>0</v>
      </c>
      <c r="M1312" s="150">
        <v>0</v>
      </c>
      <c r="N1312" s="150"/>
      <c r="O1312" s="150">
        <v>0</v>
      </c>
      <c r="P1312" s="150">
        <v>0</v>
      </c>
      <c r="Q1312" s="150"/>
      <c r="R1312" s="150">
        <f t="shared" si="1194"/>
        <v>0</v>
      </c>
      <c r="S1312" s="150">
        <f t="shared" si="1145"/>
        <v>0</v>
      </c>
      <c r="T1312" s="150"/>
      <c r="U1312" s="150">
        <v>0</v>
      </c>
      <c r="V1312" s="199"/>
      <c r="W1312" s="150">
        <f t="shared" si="1195"/>
        <v>0</v>
      </c>
      <c r="X1312" s="150">
        <v>0</v>
      </c>
      <c r="Y1312" s="150"/>
      <c r="Z1312" s="150">
        <v>0</v>
      </c>
      <c r="AA1312" s="150">
        <f t="shared" si="1137"/>
        <v>0</v>
      </c>
      <c r="AB1312" s="150">
        <v>0</v>
      </c>
      <c r="AC1312" s="199"/>
      <c r="AD1312" s="150">
        <f t="shared" si="1196"/>
        <v>0</v>
      </c>
      <c r="AE1312" s="150">
        <v>0</v>
      </c>
      <c r="AF1312" s="169" t="s">
        <v>4680</v>
      </c>
      <c r="AG1312" s="201">
        <v>0</v>
      </c>
      <c r="AH1312" s="199"/>
      <c r="AI1312" s="150">
        <v>0</v>
      </c>
      <c r="AJ1312" s="169">
        <f t="shared" si="1139"/>
        <v>0</v>
      </c>
      <c r="AK1312" s="201">
        <v>0</v>
      </c>
      <c r="AL1312" s="199"/>
      <c r="AM1312" s="150">
        <f t="shared" si="1197"/>
        <v>0</v>
      </c>
      <c r="AN1312" s="153">
        <f t="shared" si="1141"/>
        <v>0</v>
      </c>
      <c r="AO1312" s="154">
        <f t="shared" si="1142"/>
        <v>0</v>
      </c>
      <c r="AP1312" s="150">
        <v>0</v>
      </c>
      <c r="AQ1312" s="201">
        <v>0</v>
      </c>
      <c r="AR1312" s="199"/>
      <c r="AS1312" s="150">
        <f t="shared" si="1198"/>
        <v>0</v>
      </c>
      <c r="AT1312" s="155"/>
      <c r="AU1312" s="156">
        <f t="shared" si="1132"/>
        <v>0</v>
      </c>
      <c r="AV1312" s="156">
        <f t="shared" si="1133"/>
        <v>0</v>
      </c>
      <c r="AW1312" s="157"/>
      <c r="AX1312" s="150">
        <v>0</v>
      </c>
      <c r="AY1312" s="150">
        <v>0</v>
      </c>
      <c r="AZ1312" s="150"/>
      <c r="BA1312" s="150">
        <f t="shared" si="1187"/>
        <v>0</v>
      </c>
      <c r="BB1312" s="210"/>
      <c r="BC1312" s="210"/>
      <c r="BD1312" s="210"/>
      <c r="BE1312" s="210"/>
      <c r="BF1312" s="210"/>
      <c r="BG1312" s="210"/>
      <c r="BH1312" s="217"/>
      <c r="BI1312" s="210"/>
      <c r="BJ1312" s="210"/>
      <c r="BK1312" s="210"/>
      <c r="BL1312" s="210"/>
      <c r="BM1312" s="208"/>
      <c r="BN1312" s="160"/>
      <c r="BO1312" s="161"/>
      <c r="BP1312" s="161"/>
    </row>
    <row r="1313" spans="1:68">
      <c r="A1313" s="210"/>
      <c r="B1313" s="195" t="s">
        <v>8217</v>
      </c>
      <c r="C1313" s="196" t="s">
        <v>8218</v>
      </c>
      <c r="D1313" s="146" t="s">
        <v>4692</v>
      </c>
      <c r="E1313" s="196" t="s">
        <v>8218</v>
      </c>
      <c r="F1313" s="150">
        <v>117712.74</v>
      </c>
      <c r="G1313" s="209">
        <v>158751.28</v>
      </c>
      <c r="H1313" s="209"/>
      <c r="I1313" s="209">
        <v>158751.28</v>
      </c>
      <c r="J1313" s="150">
        <v>0</v>
      </c>
      <c r="K1313" s="150">
        <v>186.32</v>
      </c>
      <c r="L1313" s="150">
        <f t="shared" si="1154"/>
        <v>186.32</v>
      </c>
      <c r="M1313" s="150">
        <v>2419.2600000000002</v>
      </c>
      <c r="N1313" s="150">
        <v>56437.11</v>
      </c>
      <c r="O1313" s="150">
        <v>58856.37</v>
      </c>
      <c r="P1313" s="150">
        <v>46203.79</v>
      </c>
      <c r="Q1313" s="150"/>
      <c r="R1313" s="150">
        <f t="shared" si="1194"/>
        <v>46203.79</v>
      </c>
      <c r="S1313" s="150">
        <f t="shared" si="1145"/>
        <v>61605.053333333337</v>
      </c>
      <c r="T1313" s="150"/>
      <c r="U1313" s="150">
        <v>58258.66</v>
      </c>
      <c r="V1313" s="199">
        <v>0</v>
      </c>
      <c r="W1313" s="150">
        <f t="shared" si="1195"/>
        <v>58258.66</v>
      </c>
      <c r="X1313" s="150">
        <v>58258.66</v>
      </c>
      <c r="Y1313" s="150">
        <v>0</v>
      </c>
      <c r="Z1313" s="150">
        <v>58258.66</v>
      </c>
      <c r="AA1313" s="150">
        <f t="shared" si="1137"/>
        <v>13654.728000000003</v>
      </c>
      <c r="AB1313" s="150">
        <v>58258.66</v>
      </c>
      <c r="AC1313" s="199">
        <v>13654.728000000003</v>
      </c>
      <c r="AD1313" s="150">
        <f t="shared" si="1196"/>
        <v>71913.388000000006</v>
      </c>
      <c r="AE1313" s="150">
        <v>71913.388000000006</v>
      </c>
      <c r="AF1313" s="169" t="s">
        <v>4680</v>
      </c>
      <c r="AG1313" s="201">
        <v>71913.39</v>
      </c>
      <c r="AH1313" s="199"/>
      <c r="AI1313" s="150">
        <v>71913.39</v>
      </c>
      <c r="AJ1313" s="169">
        <f t="shared" si="1139"/>
        <v>0</v>
      </c>
      <c r="AK1313" s="201">
        <v>71913.39</v>
      </c>
      <c r="AL1313" s="199"/>
      <c r="AM1313" s="150">
        <f t="shared" si="1197"/>
        <v>71913.39</v>
      </c>
      <c r="AN1313" s="153">
        <f t="shared" si="1141"/>
        <v>0</v>
      </c>
      <c r="AO1313" s="154">
        <f t="shared" si="1142"/>
        <v>0</v>
      </c>
      <c r="AP1313" s="150">
        <v>71913.39</v>
      </c>
      <c r="AQ1313" s="201">
        <v>71913.39</v>
      </c>
      <c r="AR1313" s="199"/>
      <c r="AS1313" s="150">
        <f t="shared" si="1198"/>
        <v>71913.39</v>
      </c>
      <c r="AT1313" s="155"/>
      <c r="AU1313" s="156">
        <f t="shared" si="1132"/>
        <v>1.999999993131496E-3</v>
      </c>
      <c r="AV1313" s="156">
        <f t="shared" si="1133"/>
        <v>13654.728000000003</v>
      </c>
      <c r="AW1313" s="157"/>
      <c r="AX1313" s="150">
        <v>58258.66</v>
      </c>
      <c r="AY1313" s="150">
        <v>46203.79</v>
      </c>
      <c r="AZ1313" s="150">
        <v>38955.259999999987</v>
      </c>
      <c r="BA1313" s="150">
        <f t="shared" si="1187"/>
        <v>85159.049999999988</v>
      </c>
      <c r="BB1313" s="210"/>
      <c r="BC1313" s="210"/>
      <c r="BD1313" s="210"/>
      <c r="BE1313" s="210"/>
      <c r="BF1313" s="210"/>
      <c r="BG1313" s="210"/>
      <c r="BH1313" s="217"/>
      <c r="BI1313" s="210"/>
      <c r="BJ1313" s="210"/>
      <c r="BK1313" s="210"/>
      <c r="BL1313" s="210"/>
      <c r="BM1313" s="208"/>
      <c r="BN1313" s="160"/>
      <c r="BO1313" s="161"/>
      <c r="BP1313" s="161"/>
    </row>
    <row r="1314" spans="1:68" ht="38.25">
      <c r="A1314" s="210"/>
      <c r="B1314" s="195" t="s">
        <v>8219</v>
      </c>
      <c r="C1314" s="196" t="s">
        <v>8220</v>
      </c>
      <c r="D1314" s="146" t="s">
        <v>4692</v>
      </c>
      <c r="E1314" s="196" t="s">
        <v>8220</v>
      </c>
      <c r="F1314" s="150">
        <v>158751.28</v>
      </c>
      <c r="G1314" s="209">
        <v>6100</v>
      </c>
      <c r="H1314" s="209"/>
      <c r="I1314" s="209">
        <v>6100</v>
      </c>
      <c r="J1314" s="150">
        <v>0</v>
      </c>
      <c r="K1314" s="150">
        <v>0</v>
      </c>
      <c r="L1314" s="150">
        <f t="shared" si="1154"/>
        <v>0</v>
      </c>
      <c r="M1314" s="150">
        <v>0</v>
      </c>
      <c r="N1314" s="150"/>
      <c r="O1314" s="150">
        <v>0</v>
      </c>
      <c r="P1314" s="150">
        <v>0</v>
      </c>
      <c r="Q1314" s="150"/>
      <c r="R1314" s="150">
        <f t="shared" si="1194"/>
        <v>0</v>
      </c>
      <c r="S1314" s="150">
        <f t="shared" si="1145"/>
        <v>0</v>
      </c>
      <c r="T1314" s="150"/>
      <c r="U1314" s="150">
        <v>0</v>
      </c>
      <c r="V1314" s="199"/>
      <c r="W1314" s="150">
        <f t="shared" si="1195"/>
        <v>0</v>
      </c>
      <c r="X1314" s="150">
        <v>0</v>
      </c>
      <c r="Y1314" s="150"/>
      <c r="Z1314" s="150">
        <v>0</v>
      </c>
      <c r="AA1314" s="150">
        <f t="shared" si="1137"/>
        <v>0</v>
      </c>
      <c r="AB1314" s="150">
        <v>0</v>
      </c>
      <c r="AC1314" s="199"/>
      <c r="AD1314" s="150">
        <f t="shared" si="1196"/>
        <v>0</v>
      </c>
      <c r="AE1314" s="150">
        <v>0</v>
      </c>
      <c r="AF1314" s="169" t="s">
        <v>4680</v>
      </c>
      <c r="AG1314" s="201">
        <v>0</v>
      </c>
      <c r="AH1314" s="199"/>
      <c r="AI1314" s="150">
        <v>0</v>
      </c>
      <c r="AJ1314" s="169">
        <f t="shared" si="1139"/>
        <v>0</v>
      </c>
      <c r="AK1314" s="201">
        <v>0</v>
      </c>
      <c r="AL1314" s="199"/>
      <c r="AM1314" s="150">
        <f t="shared" si="1197"/>
        <v>0</v>
      </c>
      <c r="AN1314" s="153">
        <f t="shared" si="1141"/>
        <v>0</v>
      </c>
      <c r="AO1314" s="154">
        <f t="shared" si="1142"/>
        <v>0</v>
      </c>
      <c r="AP1314" s="150">
        <v>0</v>
      </c>
      <c r="AQ1314" s="201">
        <v>0</v>
      </c>
      <c r="AR1314" s="199"/>
      <c r="AS1314" s="150">
        <f t="shared" si="1198"/>
        <v>0</v>
      </c>
      <c r="AT1314" s="155"/>
      <c r="AU1314" s="156">
        <f t="shared" si="1132"/>
        <v>0</v>
      </c>
      <c r="AV1314" s="156">
        <f t="shared" si="1133"/>
        <v>0</v>
      </c>
      <c r="AW1314" s="157"/>
      <c r="AX1314" s="150">
        <v>0</v>
      </c>
      <c r="AY1314" s="150">
        <v>0</v>
      </c>
      <c r="AZ1314" s="150"/>
      <c r="BA1314" s="150">
        <f t="shared" si="1187"/>
        <v>0</v>
      </c>
      <c r="BB1314" s="210"/>
      <c r="BC1314" s="210"/>
      <c r="BD1314" s="210"/>
      <c r="BE1314" s="210"/>
      <c r="BF1314" s="210"/>
      <c r="BG1314" s="210"/>
      <c r="BH1314" s="217"/>
      <c r="BI1314" s="210"/>
      <c r="BJ1314" s="210"/>
      <c r="BK1314" s="210"/>
      <c r="BL1314" s="210"/>
      <c r="BM1314" s="208"/>
      <c r="BN1314" s="160"/>
      <c r="BO1314" s="161"/>
      <c r="BP1314" s="161"/>
    </row>
    <row r="1315" spans="1:68" ht="25.5">
      <c r="A1315" s="210"/>
      <c r="B1315" s="195" t="s">
        <v>8221</v>
      </c>
      <c r="C1315" s="196" t="s">
        <v>8222</v>
      </c>
      <c r="D1315" s="146" t="s">
        <v>4692</v>
      </c>
      <c r="E1315" s="196" t="s">
        <v>8222</v>
      </c>
      <c r="F1315" s="150">
        <v>6100</v>
      </c>
      <c r="G1315" s="209">
        <v>105921.69</v>
      </c>
      <c r="H1315" s="209">
        <v>3146.3034199999965</v>
      </c>
      <c r="I1315" s="209">
        <v>109067.99342</v>
      </c>
      <c r="J1315" s="150">
        <v>6100</v>
      </c>
      <c r="K1315" s="150">
        <v>0</v>
      </c>
      <c r="L1315" s="150">
        <f t="shared" si="1154"/>
        <v>6100</v>
      </c>
      <c r="M1315" s="150">
        <v>6100</v>
      </c>
      <c r="N1315" s="150"/>
      <c r="O1315" s="150">
        <v>6100</v>
      </c>
      <c r="P1315" s="150">
        <v>6100</v>
      </c>
      <c r="Q1315" s="150"/>
      <c r="R1315" s="150">
        <f t="shared" si="1194"/>
        <v>6100</v>
      </c>
      <c r="S1315" s="150">
        <f t="shared" si="1145"/>
        <v>8133.3333333333339</v>
      </c>
      <c r="T1315" s="150"/>
      <c r="U1315" s="150">
        <v>6100</v>
      </c>
      <c r="V1315" s="199">
        <v>0</v>
      </c>
      <c r="W1315" s="150">
        <f t="shared" si="1195"/>
        <v>6100</v>
      </c>
      <c r="X1315" s="150">
        <v>6100</v>
      </c>
      <c r="Y1315" s="150">
        <v>0</v>
      </c>
      <c r="Z1315" s="150">
        <v>6100</v>
      </c>
      <c r="AA1315" s="150">
        <f t="shared" si="1137"/>
        <v>0</v>
      </c>
      <c r="AB1315" s="150">
        <v>6100</v>
      </c>
      <c r="AC1315" s="199"/>
      <c r="AD1315" s="150">
        <f t="shared" si="1196"/>
        <v>6100</v>
      </c>
      <c r="AE1315" s="150">
        <v>6100</v>
      </c>
      <c r="AF1315" s="169" t="s">
        <v>4680</v>
      </c>
      <c r="AG1315" s="201">
        <v>6100</v>
      </c>
      <c r="AH1315" s="199"/>
      <c r="AI1315" s="150">
        <v>6100</v>
      </c>
      <c r="AJ1315" s="169">
        <f t="shared" si="1139"/>
        <v>0</v>
      </c>
      <c r="AK1315" s="201">
        <v>6100</v>
      </c>
      <c r="AL1315" s="199"/>
      <c r="AM1315" s="150">
        <f t="shared" si="1197"/>
        <v>6100</v>
      </c>
      <c r="AN1315" s="153">
        <f t="shared" si="1141"/>
        <v>0</v>
      </c>
      <c r="AO1315" s="154">
        <f t="shared" si="1142"/>
        <v>0</v>
      </c>
      <c r="AP1315" s="150">
        <v>6100</v>
      </c>
      <c r="AQ1315" s="201">
        <v>6100</v>
      </c>
      <c r="AR1315" s="199"/>
      <c r="AS1315" s="150">
        <f t="shared" si="1198"/>
        <v>6100</v>
      </c>
      <c r="AT1315" s="155"/>
      <c r="AU1315" s="156">
        <f t="shared" si="1132"/>
        <v>0</v>
      </c>
      <c r="AV1315" s="156">
        <f t="shared" si="1133"/>
        <v>0</v>
      </c>
      <c r="AW1315" s="157"/>
      <c r="AX1315" s="150">
        <v>6100</v>
      </c>
      <c r="AY1315" s="150">
        <v>6100</v>
      </c>
      <c r="AZ1315" s="150">
        <v>3050</v>
      </c>
      <c r="BA1315" s="150">
        <f t="shared" si="1187"/>
        <v>9150</v>
      </c>
      <c r="BB1315" s="210"/>
      <c r="BC1315" s="210"/>
      <c r="BD1315" s="210"/>
      <c r="BE1315" s="210"/>
      <c r="BF1315" s="210"/>
      <c r="BG1315" s="210"/>
      <c r="BH1315" s="217"/>
      <c r="BI1315" s="210"/>
      <c r="BJ1315" s="210"/>
      <c r="BK1315" s="210"/>
      <c r="BL1315" s="210"/>
      <c r="BM1315" s="208"/>
      <c r="BN1315" s="160"/>
      <c r="BO1315" s="161"/>
      <c r="BP1315" s="161"/>
    </row>
    <row r="1316" spans="1:68" ht="25.5">
      <c r="A1316" s="210"/>
      <c r="B1316" s="195" t="s">
        <v>8223</v>
      </c>
      <c r="C1316" s="196" t="s">
        <v>8224</v>
      </c>
      <c r="D1316" s="146" t="s">
        <v>4692</v>
      </c>
      <c r="E1316" s="196" t="s">
        <v>8224</v>
      </c>
      <c r="F1316" s="150">
        <v>108805.32</v>
      </c>
      <c r="G1316" s="209">
        <v>0</v>
      </c>
      <c r="H1316" s="209"/>
      <c r="I1316" s="209">
        <v>0</v>
      </c>
      <c r="J1316" s="150">
        <v>2375.37</v>
      </c>
      <c r="K1316" s="150">
        <v>21004.372429999999</v>
      </c>
      <c r="L1316" s="150">
        <f t="shared" si="1154"/>
        <v>23379.742429999998</v>
      </c>
      <c r="M1316" s="150">
        <v>29571.79</v>
      </c>
      <c r="N1316" s="150">
        <v>24830.870000000003</v>
      </c>
      <c r="O1316" s="150">
        <v>54402.66</v>
      </c>
      <c r="P1316" s="150">
        <v>32211.32</v>
      </c>
      <c r="Q1316" s="150"/>
      <c r="R1316" s="150">
        <f t="shared" si="1194"/>
        <v>32211.32</v>
      </c>
      <c r="S1316" s="150">
        <f t="shared" si="1145"/>
        <v>42948.426666666666</v>
      </c>
      <c r="T1316" s="150"/>
      <c r="U1316" s="150">
        <v>36717.449999999997</v>
      </c>
      <c r="V1316" s="199"/>
      <c r="W1316" s="150">
        <f t="shared" si="1195"/>
        <v>36717.449999999997</v>
      </c>
      <c r="X1316" s="150">
        <v>36717.449999999997</v>
      </c>
      <c r="Y1316" s="150"/>
      <c r="Z1316" s="150">
        <v>36717.449999999997</v>
      </c>
      <c r="AA1316" s="150">
        <f t="shared" si="1137"/>
        <v>0</v>
      </c>
      <c r="AB1316" s="150">
        <v>36717.449999999997</v>
      </c>
      <c r="AC1316" s="199"/>
      <c r="AD1316" s="150">
        <f t="shared" si="1196"/>
        <v>36717.449999999997</v>
      </c>
      <c r="AE1316" s="150">
        <v>36717.449999999997</v>
      </c>
      <c r="AF1316" s="169" t="s">
        <v>4680</v>
      </c>
      <c r="AG1316" s="201">
        <v>36717.449999999997</v>
      </c>
      <c r="AH1316" s="199"/>
      <c r="AI1316" s="150">
        <v>36717.449999999997</v>
      </c>
      <c r="AJ1316" s="169">
        <f t="shared" si="1139"/>
        <v>0</v>
      </c>
      <c r="AK1316" s="201">
        <v>36717.449999999997</v>
      </c>
      <c r="AL1316" s="199"/>
      <c r="AM1316" s="150">
        <f t="shared" si="1197"/>
        <v>36717.449999999997</v>
      </c>
      <c r="AN1316" s="153">
        <f t="shared" si="1141"/>
        <v>0</v>
      </c>
      <c r="AO1316" s="154">
        <f t="shared" si="1142"/>
        <v>0</v>
      </c>
      <c r="AP1316" s="150">
        <v>36717.449999999997</v>
      </c>
      <c r="AQ1316" s="201">
        <v>36717.449999999997</v>
      </c>
      <c r="AR1316" s="199"/>
      <c r="AS1316" s="150">
        <f t="shared" si="1198"/>
        <v>36717.449999999997</v>
      </c>
      <c r="AT1316" s="155"/>
      <c r="AU1316" s="156">
        <f t="shared" si="1132"/>
        <v>0</v>
      </c>
      <c r="AV1316" s="156">
        <f t="shared" si="1133"/>
        <v>0</v>
      </c>
      <c r="AW1316" s="157"/>
      <c r="AX1316" s="150">
        <v>36717.449999999997</v>
      </c>
      <c r="AY1316" s="150">
        <v>32211.32</v>
      </c>
      <c r="AZ1316" s="150">
        <v>18906.840430000004</v>
      </c>
      <c r="BA1316" s="150">
        <f t="shared" si="1187"/>
        <v>51118.160430000004</v>
      </c>
      <c r="BB1316" s="210"/>
      <c r="BC1316" s="210"/>
      <c r="BD1316" s="210"/>
      <c r="BE1316" s="210"/>
      <c r="BF1316" s="210"/>
      <c r="BG1316" s="210"/>
      <c r="BH1316" s="217"/>
      <c r="BI1316" s="210"/>
      <c r="BJ1316" s="210"/>
      <c r="BK1316" s="210"/>
      <c r="BL1316" s="210"/>
      <c r="BM1316" s="208"/>
      <c r="BN1316" s="160"/>
      <c r="BO1316" s="161"/>
      <c r="BP1316" s="161"/>
    </row>
    <row r="1317" spans="1:68" ht="25.5">
      <c r="A1317" s="210"/>
      <c r="B1317" s="195" t="s">
        <v>8225</v>
      </c>
      <c r="C1317" s="196" t="s">
        <v>8226</v>
      </c>
      <c r="D1317" s="146" t="s">
        <v>4692</v>
      </c>
      <c r="E1317" s="196" t="s">
        <v>8226</v>
      </c>
      <c r="F1317" s="150">
        <v>0</v>
      </c>
      <c r="G1317" s="209">
        <v>12.2</v>
      </c>
      <c r="H1317" s="209">
        <v>53398.5216</v>
      </c>
      <c r="I1317" s="209">
        <v>53410.721599999997</v>
      </c>
      <c r="J1317" s="150">
        <v>0</v>
      </c>
      <c r="K1317" s="150">
        <v>0</v>
      </c>
      <c r="L1317" s="150">
        <f t="shared" si="1154"/>
        <v>0</v>
      </c>
      <c r="M1317" s="150">
        <v>0</v>
      </c>
      <c r="N1317" s="150"/>
      <c r="O1317" s="150">
        <v>0</v>
      </c>
      <c r="P1317" s="150">
        <v>0</v>
      </c>
      <c r="Q1317" s="150">
        <v>0</v>
      </c>
      <c r="R1317" s="150">
        <f t="shared" si="1194"/>
        <v>0</v>
      </c>
      <c r="S1317" s="150">
        <f t="shared" si="1145"/>
        <v>0</v>
      </c>
      <c r="T1317" s="150"/>
      <c r="U1317" s="150">
        <v>0</v>
      </c>
      <c r="V1317" s="199"/>
      <c r="W1317" s="150">
        <f t="shared" si="1195"/>
        <v>0</v>
      </c>
      <c r="X1317" s="150">
        <v>0</v>
      </c>
      <c r="Y1317" s="150"/>
      <c r="Z1317" s="150">
        <v>0</v>
      </c>
      <c r="AA1317" s="150">
        <f t="shared" si="1137"/>
        <v>0</v>
      </c>
      <c r="AB1317" s="150">
        <v>0</v>
      </c>
      <c r="AC1317" s="199"/>
      <c r="AD1317" s="150">
        <f t="shared" si="1196"/>
        <v>0</v>
      </c>
      <c r="AE1317" s="150">
        <v>0</v>
      </c>
      <c r="AF1317" s="169" t="s">
        <v>4680</v>
      </c>
      <c r="AG1317" s="201">
        <v>0</v>
      </c>
      <c r="AH1317" s="199"/>
      <c r="AI1317" s="150">
        <v>0</v>
      </c>
      <c r="AJ1317" s="169">
        <f t="shared" si="1139"/>
        <v>0</v>
      </c>
      <c r="AK1317" s="201">
        <v>0</v>
      </c>
      <c r="AL1317" s="199"/>
      <c r="AM1317" s="150">
        <f t="shared" si="1197"/>
        <v>0</v>
      </c>
      <c r="AN1317" s="153">
        <f t="shared" si="1141"/>
        <v>0</v>
      </c>
      <c r="AO1317" s="154">
        <f t="shared" si="1142"/>
        <v>0</v>
      </c>
      <c r="AP1317" s="150">
        <v>0</v>
      </c>
      <c r="AQ1317" s="201">
        <v>0</v>
      </c>
      <c r="AR1317" s="199"/>
      <c r="AS1317" s="150">
        <f t="shared" si="1198"/>
        <v>0</v>
      </c>
      <c r="AT1317" s="155"/>
      <c r="AU1317" s="156">
        <f t="shared" si="1132"/>
        <v>0</v>
      </c>
      <c r="AV1317" s="156">
        <f t="shared" si="1133"/>
        <v>0</v>
      </c>
      <c r="AW1317" s="157"/>
      <c r="AX1317" s="150">
        <v>0</v>
      </c>
      <c r="AY1317" s="150">
        <v>0</v>
      </c>
      <c r="AZ1317" s="150"/>
      <c r="BA1317" s="150">
        <f t="shared" si="1187"/>
        <v>0</v>
      </c>
      <c r="BB1317" s="210"/>
      <c r="BC1317" s="210"/>
      <c r="BD1317" s="210"/>
      <c r="BE1317" s="210"/>
      <c r="BF1317" s="210"/>
      <c r="BG1317" s="210"/>
      <c r="BH1317" s="217"/>
      <c r="BI1317" s="210"/>
      <c r="BJ1317" s="210"/>
      <c r="BK1317" s="210"/>
      <c r="BL1317" s="210"/>
      <c r="BM1317" s="208"/>
      <c r="BN1317" s="160"/>
      <c r="BO1317" s="161"/>
      <c r="BP1317" s="161"/>
    </row>
    <row r="1318" spans="1:68" ht="25.5">
      <c r="A1318" s="210"/>
      <c r="B1318" s="195" t="s">
        <v>8227</v>
      </c>
      <c r="C1318" s="196" t="s">
        <v>8228</v>
      </c>
      <c r="D1318" s="146" t="s">
        <v>4692</v>
      </c>
      <c r="E1318" s="196" t="s">
        <v>8228</v>
      </c>
      <c r="F1318" s="150">
        <v>31904.57</v>
      </c>
      <c r="G1318" s="209">
        <v>0</v>
      </c>
      <c r="H1318" s="209"/>
      <c r="I1318" s="209">
        <v>0</v>
      </c>
      <c r="J1318" s="150">
        <v>0</v>
      </c>
      <c r="K1318" s="150">
        <v>13589.73</v>
      </c>
      <c r="L1318" s="150">
        <f t="shared" si="1154"/>
        <v>13589.73</v>
      </c>
      <c r="M1318" s="150">
        <v>0</v>
      </c>
      <c r="N1318" s="150">
        <v>15952.285</v>
      </c>
      <c r="O1318" s="150">
        <v>15952.285</v>
      </c>
      <c r="P1318" s="150">
        <v>0</v>
      </c>
      <c r="Q1318" s="150">
        <v>40769.18</v>
      </c>
      <c r="R1318" s="150">
        <f t="shared" si="1194"/>
        <v>40769.18</v>
      </c>
      <c r="S1318" s="150">
        <f t="shared" si="1145"/>
        <v>54358.906666666669</v>
      </c>
      <c r="T1318" s="150"/>
      <c r="U1318" s="150">
        <v>0</v>
      </c>
      <c r="V1318" s="199">
        <v>56000</v>
      </c>
      <c r="W1318" s="150">
        <f t="shared" si="1195"/>
        <v>56000</v>
      </c>
      <c r="X1318" s="150">
        <v>0</v>
      </c>
      <c r="Y1318" s="150">
        <v>56000</v>
      </c>
      <c r="Z1318" s="150">
        <v>56000</v>
      </c>
      <c r="AA1318" s="150">
        <f t="shared" si="1137"/>
        <v>-56000</v>
      </c>
      <c r="AB1318" s="150">
        <v>0</v>
      </c>
      <c r="AC1318" s="199"/>
      <c r="AD1318" s="150">
        <f t="shared" si="1196"/>
        <v>0</v>
      </c>
      <c r="AE1318" s="150">
        <v>0</v>
      </c>
      <c r="AF1318" s="169" t="s">
        <v>4680</v>
      </c>
      <c r="AG1318" s="201">
        <v>0</v>
      </c>
      <c r="AH1318" s="199"/>
      <c r="AI1318" s="150">
        <v>0</v>
      </c>
      <c r="AJ1318" s="169">
        <f t="shared" si="1139"/>
        <v>0</v>
      </c>
      <c r="AK1318" s="201">
        <v>0</v>
      </c>
      <c r="AL1318" s="199"/>
      <c r="AM1318" s="150">
        <f t="shared" si="1197"/>
        <v>0</v>
      </c>
      <c r="AN1318" s="153">
        <f t="shared" si="1141"/>
        <v>0</v>
      </c>
      <c r="AO1318" s="154">
        <f t="shared" si="1142"/>
        <v>0</v>
      </c>
      <c r="AP1318" s="150">
        <v>0</v>
      </c>
      <c r="AQ1318" s="201">
        <v>0</v>
      </c>
      <c r="AR1318" s="199"/>
      <c r="AS1318" s="150">
        <f t="shared" si="1198"/>
        <v>0</v>
      </c>
      <c r="AT1318" s="155"/>
      <c r="AU1318" s="156">
        <f t="shared" si="1132"/>
        <v>0</v>
      </c>
      <c r="AV1318" s="156">
        <f t="shared" si="1133"/>
        <v>-56000</v>
      </c>
      <c r="AW1318" s="157"/>
      <c r="AX1318" s="150">
        <v>56000</v>
      </c>
      <c r="AY1318" s="150">
        <v>0</v>
      </c>
      <c r="AZ1318" s="150">
        <v>54358.91</v>
      </c>
      <c r="BA1318" s="150">
        <f t="shared" si="1187"/>
        <v>54358.91</v>
      </c>
      <c r="BB1318" s="210"/>
      <c r="BC1318" s="210"/>
      <c r="BD1318" s="210"/>
      <c r="BE1318" s="210"/>
      <c r="BF1318" s="210"/>
      <c r="BG1318" s="210"/>
      <c r="BH1318" s="217"/>
      <c r="BI1318" s="210"/>
      <c r="BJ1318" s="210"/>
      <c r="BK1318" s="210"/>
      <c r="BL1318" s="210"/>
      <c r="BM1318" s="208"/>
      <c r="BN1318" s="160"/>
      <c r="BO1318" s="161"/>
      <c r="BP1318" s="161"/>
    </row>
    <row r="1319" spans="1:68" ht="25.5">
      <c r="A1319" s="210"/>
      <c r="B1319" s="195" t="s">
        <v>8229</v>
      </c>
      <c r="C1319" s="196" t="s">
        <v>8230</v>
      </c>
      <c r="D1319" s="146" t="s">
        <v>4692</v>
      </c>
      <c r="E1319" s="196" t="s">
        <v>8230</v>
      </c>
      <c r="F1319" s="150">
        <v>0</v>
      </c>
      <c r="G1319" s="209">
        <v>0</v>
      </c>
      <c r="H1319" s="209"/>
      <c r="I1319" s="209">
        <v>0</v>
      </c>
      <c r="J1319" s="150">
        <v>0</v>
      </c>
      <c r="K1319" s="150">
        <v>0</v>
      </c>
      <c r="L1319" s="150">
        <f t="shared" si="1154"/>
        <v>0</v>
      </c>
      <c r="M1319" s="150">
        <v>0</v>
      </c>
      <c r="N1319" s="150"/>
      <c r="O1319" s="150">
        <v>0</v>
      </c>
      <c r="P1319" s="150">
        <v>0</v>
      </c>
      <c r="Q1319" s="150">
        <v>0</v>
      </c>
      <c r="R1319" s="150">
        <f t="shared" si="1194"/>
        <v>0</v>
      </c>
      <c r="S1319" s="150">
        <f t="shared" si="1145"/>
        <v>0</v>
      </c>
      <c r="T1319" s="150"/>
      <c r="U1319" s="150">
        <v>0</v>
      </c>
      <c r="V1319" s="199"/>
      <c r="W1319" s="150">
        <f t="shared" si="1195"/>
        <v>0</v>
      </c>
      <c r="X1319" s="150">
        <v>0</v>
      </c>
      <c r="Y1319" s="150"/>
      <c r="Z1319" s="150">
        <v>0</v>
      </c>
      <c r="AA1319" s="150">
        <f t="shared" si="1137"/>
        <v>0</v>
      </c>
      <c r="AB1319" s="150">
        <v>0</v>
      </c>
      <c r="AC1319" s="199"/>
      <c r="AD1319" s="150">
        <f t="shared" si="1196"/>
        <v>0</v>
      </c>
      <c r="AE1319" s="150">
        <v>0</v>
      </c>
      <c r="AF1319" s="169" t="s">
        <v>4680</v>
      </c>
      <c r="AG1319" s="201">
        <v>0</v>
      </c>
      <c r="AH1319" s="199"/>
      <c r="AI1319" s="150">
        <v>0</v>
      </c>
      <c r="AJ1319" s="169">
        <f t="shared" si="1139"/>
        <v>0</v>
      </c>
      <c r="AK1319" s="201">
        <v>0</v>
      </c>
      <c r="AL1319" s="199"/>
      <c r="AM1319" s="150">
        <f t="shared" si="1197"/>
        <v>0</v>
      </c>
      <c r="AN1319" s="153">
        <f t="shared" si="1141"/>
        <v>0</v>
      </c>
      <c r="AO1319" s="154">
        <f t="shared" si="1142"/>
        <v>0</v>
      </c>
      <c r="AP1319" s="150">
        <v>0</v>
      </c>
      <c r="AQ1319" s="201">
        <v>0</v>
      </c>
      <c r="AR1319" s="199"/>
      <c r="AS1319" s="150">
        <f t="shared" si="1198"/>
        <v>0</v>
      </c>
      <c r="AT1319" s="155"/>
      <c r="AU1319" s="156">
        <f t="shared" si="1132"/>
        <v>0</v>
      </c>
      <c r="AV1319" s="156">
        <f t="shared" si="1133"/>
        <v>0</v>
      </c>
      <c r="AW1319" s="157"/>
      <c r="AX1319" s="150">
        <v>0</v>
      </c>
      <c r="AY1319" s="150">
        <v>0</v>
      </c>
      <c r="AZ1319" s="150"/>
      <c r="BA1319" s="150">
        <f t="shared" si="1187"/>
        <v>0</v>
      </c>
      <c r="BB1319" s="210"/>
      <c r="BC1319" s="210"/>
      <c r="BD1319" s="210"/>
      <c r="BE1319" s="210"/>
      <c r="BF1319" s="210"/>
      <c r="BG1319" s="210"/>
      <c r="BH1319" s="217"/>
      <c r="BI1319" s="210"/>
      <c r="BJ1319" s="210"/>
      <c r="BK1319" s="210"/>
      <c r="BL1319" s="210"/>
      <c r="BM1319" s="208"/>
      <c r="BN1319" s="160"/>
      <c r="BO1319" s="161"/>
      <c r="BP1319" s="161"/>
    </row>
    <row r="1320" spans="1:68" ht="25.5">
      <c r="A1320" s="210"/>
      <c r="B1320" s="195" t="s">
        <v>8231</v>
      </c>
      <c r="C1320" s="196" t="s">
        <v>8232</v>
      </c>
      <c r="D1320" s="146" t="s">
        <v>4692</v>
      </c>
      <c r="E1320" s="196" t="s">
        <v>8232</v>
      </c>
      <c r="F1320" s="150">
        <v>58.78</v>
      </c>
      <c r="G1320" s="209">
        <v>2109495.92</v>
      </c>
      <c r="H1320" s="209">
        <v>67898</v>
      </c>
      <c r="I1320" s="209">
        <v>2177393.92</v>
      </c>
      <c r="J1320" s="150">
        <v>0</v>
      </c>
      <c r="K1320" s="150">
        <v>0</v>
      </c>
      <c r="L1320" s="150">
        <f t="shared" si="1154"/>
        <v>0</v>
      </c>
      <c r="M1320" s="150">
        <v>0</v>
      </c>
      <c r="N1320" s="150"/>
      <c r="O1320" s="150">
        <v>0</v>
      </c>
      <c r="P1320" s="150">
        <v>58.78</v>
      </c>
      <c r="Q1320" s="150">
        <v>0</v>
      </c>
      <c r="R1320" s="150">
        <f t="shared" si="1194"/>
        <v>58.78</v>
      </c>
      <c r="S1320" s="150">
        <f t="shared" si="1145"/>
        <v>78.373333333333335</v>
      </c>
      <c r="T1320" s="150"/>
      <c r="U1320" s="150">
        <v>58.78</v>
      </c>
      <c r="V1320" s="199"/>
      <c r="W1320" s="150">
        <f t="shared" si="1195"/>
        <v>58.78</v>
      </c>
      <c r="X1320" s="150">
        <v>58.78</v>
      </c>
      <c r="Y1320" s="150"/>
      <c r="Z1320" s="150">
        <v>58.78</v>
      </c>
      <c r="AA1320" s="150">
        <f t="shared" si="1137"/>
        <v>0</v>
      </c>
      <c r="AB1320" s="150">
        <v>58.78</v>
      </c>
      <c r="AC1320" s="199"/>
      <c r="AD1320" s="150">
        <f t="shared" si="1196"/>
        <v>58.78</v>
      </c>
      <c r="AE1320" s="150">
        <v>58.78</v>
      </c>
      <c r="AF1320" s="169" t="s">
        <v>4680</v>
      </c>
      <c r="AG1320" s="201">
        <v>58.78</v>
      </c>
      <c r="AH1320" s="199"/>
      <c r="AI1320" s="150">
        <v>58.78</v>
      </c>
      <c r="AJ1320" s="169">
        <f t="shared" si="1139"/>
        <v>0</v>
      </c>
      <c r="AK1320" s="201">
        <v>58.78</v>
      </c>
      <c r="AL1320" s="199"/>
      <c r="AM1320" s="150">
        <f t="shared" si="1197"/>
        <v>58.78</v>
      </c>
      <c r="AN1320" s="153">
        <f t="shared" si="1141"/>
        <v>0</v>
      </c>
      <c r="AO1320" s="154">
        <f t="shared" si="1142"/>
        <v>0</v>
      </c>
      <c r="AP1320" s="150">
        <v>58.78</v>
      </c>
      <c r="AQ1320" s="201">
        <v>58.78</v>
      </c>
      <c r="AR1320" s="199"/>
      <c r="AS1320" s="150">
        <f t="shared" si="1198"/>
        <v>58.78</v>
      </c>
      <c r="AT1320" s="155"/>
      <c r="AU1320" s="156">
        <f t="shared" si="1132"/>
        <v>0</v>
      </c>
      <c r="AV1320" s="156">
        <f t="shared" si="1133"/>
        <v>0</v>
      </c>
      <c r="AW1320" s="157"/>
      <c r="AX1320" s="150">
        <v>58.78</v>
      </c>
      <c r="AY1320" s="150">
        <v>58.78</v>
      </c>
      <c r="AZ1320" s="150">
        <v>0</v>
      </c>
      <c r="BA1320" s="150">
        <f t="shared" si="1187"/>
        <v>58.78</v>
      </c>
      <c r="BB1320" s="210"/>
      <c r="BC1320" s="210"/>
      <c r="BD1320" s="210"/>
      <c r="BE1320" s="210"/>
      <c r="BF1320" s="210"/>
      <c r="BG1320" s="210"/>
      <c r="BH1320" s="217"/>
      <c r="BI1320" s="210"/>
      <c r="BJ1320" s="210"/>
      <c r="BK1320" s="210"/>
      <c r="BL1320" s="210"/>
      <c r="BM1320" s="208"/>
      <c r="BN1320" s="160"/>
      <c r="BO1320" s="161"/>
      <c r="BP1320" s="161"/>
    </row>
    <row r="1321" spans="1:68">
      <c r="A1321" s="255" t="s">
        <v>8233</v>
      </c>
      <c r="B1321" s="174"/>
      <c r="C1321" s="175" t="s">
        <v>8234</v>
      </c>
      <c r="D1321" s="146" t="s">
        <v>4692</v>
      </c>
      <c r="E1321" s="175" t="s">
        <v>8234</v>
      </c>
      <c r="F1321" s="176">
        <v>2177393.92</v>
      </c>
      <c r="G1321" s="177">
        <v>2109495.92</v>
      </c>
      <c r="H1321" s="177">
        <v>67898</v>
      </c>
      <c r="I1321" s="177">
        <v>2177393.92</v>
      </c>
      <c r="J1321" s="176">
        <f>J1322+J1333</f>
        <v>93452</v>
      </c>
      <c r="K1321" s="176">
        <f>K1322+K1333</f>
        <v>0</v>
      </c>
      <c r="L1321" s="176">
        <f t="shared" si="1154"/>
        <v>93452</v>
      </c>
      <c r="M1321" s="178">
        <v>565637.38</v>
      </c>
      <c r="N1321" s="178">
        <v>523059.57999999996</v>
      </c>
      <c r="O1321" s="178">
        <v>1088696.96</v>
      </c>
      <c r="P1321" s="221">
        <f t="shared" ref="P1321:R1321" si="1199">P1322+P1333</f>
        <v>950677.38</v>
      </c>
      <c r="Q1321" s="221">
        <f t="shared" si="1199"/>
        <v>784589.37</v>
      </c>
      <c r="R1321" s="221">
        <f t="shared" si="1199"/>
        <v>1735266.75</v>
      </c>
      <c r="S1321" s="150">
        <f t="shared" si="1145"/>
        <v>2313689</v>
      </c>
      <c r="T1321" s="213"/>
      <c r="U1321" s="221">
        <f t="shared" ref="U1321:W1321" si="1200">U1322+U1333</f>
        <v>1984364.52</v>
      </c>
      <c r="V1321" s="222">
        <f t="shared" si="1200"/>
        <v>200000</v>
      </c>
      <c r="W1321" s="221">
        <f t="shared" si="1200"/>
        <v>2184364.52</v>
      </c>
      <c r="X1321" s="221">
        <v>1984364.52</v>
      </c>
      <c r="Y1321" s="221">
        <v>200000</v>
      </c>
      <c r="Z1321" s="221">
        <v>2184364.52</v>
      </c>
      <c r="AA1321" s="221">
        <f t="shared" si="1137"/>
        <v>-1045.5400000000373</v>
      </c>
      <c r="AB1321" s="221">
        <v>2183318.98</v>
      </c>
      <c r="AC1321" s="222">
        <v>0</v>
      </c>
      <c r="AD1321" s="221">
        <f t="shared" ref="AD1321" si="1201">AD1322+AD1333</f>
        <v>2183318.98</v>
      </c>
      <c r="AE1321" s="221">
        <v>2183318.98</v>
      </c>
      <c r="AF1321" s="169" t="s">
        <v>4680</v>
      </c>
      <c r="AG1321" s="223">
        <v>2183318.98</v>
      </c>
      <c r="AH1321" s="222">
        <v>0</v>
      </c>
      <c r="AI1321" s="221">
        <v>2183318.98</v>
      </c>
      <c r="AJ1321" s="169">
        <f t="shared" si="1139"/>
        <v>0</v>
      </c>
      <c r="AK1321" s="223">
        <v>2183318.98</v>
      </c>
      <c r="AL1321" s="222">
        <v>0</v>
      </c>
      <c r="AM1321" s="221">
        <f t="shared" ref="AM1321" si="1202">AM1322+AM1333</f>
        <v>2183318.98</v>
      </c>
      <c r="AN1321" s="153">
        <f t="shared" si="1141"/>
        <v>0</v>
      </c>
      <c r="AO1321" s="154">
        <f t="shared" si="1142"/>
        <v>0</v>
      </c>
      <c r="AP1321" s="221">
        <v>2183318.98</v>
      </c>
      <c r="AQ1321" s="223">
        <v>2183318.98</v>
      </c>
      <c r="AR1321" s="222">
        <f t="shared" ref="AR1321:AS1321" si="1203">AR1322+AR1333</f>
        <v>0</v>
      </c>
      <c r="AS1321" s="221">
        <f t="shared" si="1203"/>
        <v>2183318.98</v>
      </c>
      <c r="AT1321" s="155"/>
      <c r="AU1321" s="156">
        <f t="shared" si="1132"/>
        <v>0</v>
      </c>
      <c r="AV1321" s="156">
        <f t="shared" si="1133"/>
        <v>-1045.5400000000373</v>
      </c>
      <c r="AW1321" s="157"/>
      <c r="AX1321" s="150">
        <v>2184364.52</v>
      </c>
      <c r="AY1321" s="221">
        <f t="shared" ref="AY1321:BA1321" si="1204">AY1322+AY1333</f>
        <v>950677.38</v>
      </c>
      <c r="AZ1321" s="221">
        <f t="shared" si="1204"/>
        <v>975338.69000000006</v>
      </c>
      <c r="BA1321" s="221">
        <f t="shared" si="1204"/>
        <v>1926016.07</v>
      </c>
      <c r="BB1321" s="254">
        <v>5</v>
      </c>
      <c r="BC1321" s="255" t="s">
        <v>693</v>
      </c>
      <c r="BD1321" s="255" t="s">
        <v>671</v>
      </c>
      <c r="BE1321" s="173" t="s">
        <v>630</v>
      </c>
      <c r="BF1321" s="255" t="s">
        <v>630</v>
      </c>
      <c r="BG1321" s="175" t="s">
        <v>8234</v>
      </c>
      <c r="BH1321" s="224">
        <f>BH1322+BH1333</f>
        <v>2183318.98</v>
      </c>
      <c r="BI1321" s="254"/>
      <c r="BJ1321" s="255" t="s">
        <v>8235</v>
      </c>
      <c r="BK1321" s="255" t="s">
        <v>8233</v>
      </c>
      <c r="BL1321" s="182" t="s">
        <v>8236</v>
      </c>
      <c r="BM1321" s="337">
        <f>BM1322+BM1333</f>
        <v>2183318.98</v>
      </c>
      <c r="BN1321" s="160"/>
      <c r="BO1321" s="161"/>
      <c r="BP1321" s="161"/>
    </row>
    <row r="1322" spans="1:68" ht="25.5">
      <c r="A1322" s="256" t="s">
        <v>8237</v>
      </c>
      <c r="B1322" s="184"/>
      <c r="C1322" s="185" t="s">
        <v>8238</v>
      </c>
      <c r="D1322" s="146" t="s">
        <v>4692</v>
      </c>
      <c r="E1322" s="185" t="s">
        <v>8238</v>
      </c>
      <c r="F1322" s="188">
        <v>2177393.92</v>
      </c>
      <c r="G1322" s="187">
        <v>0</v>
      </c>
      <c r="H1322" s="187"/>
      <c r="I1322" s="187">
        <v>0</v>
      </c>
      <c r="J1322" s="188">
        <f>SUM(J1323:J1332)</f>
        <v>93452</v>
      </c>
      <c r="K1322" s="188">
        <f>SUM(K1323:K1332)</f>
        <v>0</v>
      </c>
      <c r="L1322" s="188">
        <f t="shared" si="1154"/>
        <v>93452</v>
      </c>
      <c r="M1322" s="188">
        <v>565637.38</v>
      </c>
      <c r="N1322" s="188">
        <v>523059.57999999996</v>
      </c>
      <c r="O1322" s="188">
        <v>1088696.96</v>
      </c>
      <c r="P1322" s="299">
        <f t="shared" ref="P1322:R1322" si="1205">SUM(P1323:P1332)</f>
        <v>950677.38</v>
      </c>
      <c r="Q1322" s="299">
        <f t="shared" si="1205"/>
        <v>784589.37</v>
      </c>
      <c r="R1322" s="299">
        <f t="shared" si="1205"/>
        <v>1735266.75</v>
      </c>
      <c r="S1322" s="150">
        <f t="shared" si="1145"/>
        <v>2313689</v>
      </c>
      <c r="T1322" s="213"/>
      <c r="U1322" s="299">
        <f t="shared" ref="U1322:W1322" si="1206">SUM(U1323:U1332)</f>
        <v>1984364.52</v>
      </c>
      <c r="V1322" s="226">
        <f t="shared" si="1206"/>
        <v>200000</v>
      </c>
      <c r="W1322" s="299">
        <f t="shared" si="1206"/>
        <v>2184364.52</v>
      </c>
      <c r="X1322" s="299">
        <v>1984364.52</v>
      </c>
      <c r="Y1322" s="299">
        <v>200000</v>
      </c>
      <c r="Z1322" s="299">
        <v>2184364.52</v>
      </c>
      <c r="AA1322" s="299">
        <f t="shared" si="1137"/>
        <v>-1045.5400000000373</v>
      </c>
      <c r="AB1322" s="299">
        <v>2183318.98</v>
      </c>
      <c r="AC1322" s="226">
        <v>0</v>
      </c>
      <c r="AD1322" s="299">
        <f t="shared" ref="AD1322" si="1207">SUM(AD1323:AD1332)</f>
        <v>2183318.98</v>
      </c>
      <c r="AE1322" s="299">
        <v>2183318.98</v>
      </c>
      <c r="AF1322" s="169" t="s">
        <v>4680</v>
      </c>
      <c r="AG1322" s="301">
        <v>2183318.98</v>
      </c>
      <c r="AH1322" s="226">
        <v>0</v>
      </c>
      <c r="AI1322" s="299">
        <v>2183318.98</v>
      </c>
      <c r="AJ1322" s="169">
        <f t="shared" si="1139"/>
        <v>0</v>
      </c>
      <c r="AK1322" s="301">
        <v>2183318.98</v>
      </c>
      <c r="AL1322" s="226">
        <v>0</v>
      </c>
      <c r="AM1322" s="299">
        <f t="shared" ref="AM1322" si="1208">SUM(AM1323:AM1332)</f>
        <v>2183318.98</v>
      </c>
      <c r="AN1322" s="153">
        <f t="shared" si="1141"/>
        <v>0</v>
      </c>
      <c r="AO1322" s="154">
        <f t="shared" si="1142"/>
        <v>0</v>
      </c>
      <c r="AP1322" s="299">
        <v>2183318.98</v>
      </c>
      <c r="AQ1322" s="301">
        <v>2183318.98</v>
      </c>
      <c r="AR1322" s="226">
        <f t="shared" ref="AR1322:AS1322" si="1209">SUM(AR1323:AR1332)</f>
        <v>0</v>
      </c>
      <c r="AS1322" s="299">
        <f t="shared" si="1209"/>
        <v>2183318.98</v>
      </c>
      <c r="AT1322" s="155"/>
      <c r="AU1322" s="156">
        <f t="shared" si="1132"/>
        <v>0</v>
      </c>
      <c r="AV1322" s="156">
        <f t="shared" si="1133"/>
        <v>-1045.5400000000373</v>
      </c>
      <c r="AW1322" s="157"/>
      <c r="AX1322" s="150">
        <v>2184364.52</v>
      </c>
      <c r="AY1322" s="299">
        <f t="shared" ref="AY1322:BA1322" si="1210">SUM(AY1323:AY1332)</f>
        <v>950677.38</v>
      </c>
      <c r="AZ1322" s="299">
        <f t="shared" si="1210"/>
        <v>975338.69000000006</v>
      </c>
      <c r="BA1322" s="299">
        <f t="shared" si="1210"/>
        <v>1926016.07</v>
      </c>
      <c r="BB1322" s="192">
        <v>5</v>
      </c>
      <c r="BC1322" s="256" t="s">
        <v>693</v>
      </c>
      <c r="BD1322" s="256" t="s">
        <v>671</v>
      </c>
      <c r="BE1322" s="256" t="s">
        <v>632</v>
      </c>
      <c r="BF1322" s="256" t="s">
        <v>630</v>
      </c>
      <c r="BG1322" s="185" t="s">
        <v>8238</v>
      </c>
      <c r="BH1322" s="302">
        <f>SUM(BH1323:BH1332)</f>
        <v>2183318.98</v>
      </c>
      <c r="BI1322" s="192"/>
      <c r="BJ1322" s="256" t="s">
        <v>8239</v>
      </c>
      <c r="BK1322" s="256" t="s">
        <v>8237</v>
      </c>
      <c r="BL1322" s="238" t="s">
        <v>8240</v>
      </c>
      <c r="BM1322" s="338">
        <f>BM1323</f>
        <v>2183318.98</v>
      </c>
      <c r="BN1322" s="160"/>
      <c r="BO1322" s="161">
        <f t="shared" si="1188"/>
        <v>0</v>
      </c>
      <c r="BP1322" s="161"/>
    </row>
    <row r="1323" spans="1:68" ht="38.25">
      <c r="A1323" s="206" t="s">
        <v>8237</v>
      </c>
      <c r="B1323" s="195" t="s">
        <v>8241</v>
      </c>
      <c r="C1323" s="196" t="s">
        <v>8242</v>
      </c>
      <c r="D1323" s="146" t="s">
        <v>4692</v>
      </c>
      <c r="E1323" s="203" t="s">
        <v>8238</v>
      </c>
      <c r="F1323" s="150">
        <v>0</v>
      </c>
      <c r="G1323" s="242">
        <v>0</v>
      </c>
      <c r="H1323" s="242"/>
      <c r="I1323" s="242">
        <v>0</v>
      </c>
      <c r="J1323" s="150">
        <v>0</v>
      </c>
      <c r="K1323" s="150">
        <v>0</v>
      </c>
      <c r="L1323" s="150">
        <f t="shared" si="1154"/>
        <v>0</v>
      </c>
      <c r="M1323" s="150">
        <v>0</v>
      </c>
      <c r="N1323" s="150"/>
      <c r="O1323" s="150">
        <v>0</v>
      </c>
      <c r="P1323" s="150">
        <v>0</v>
      </c>
      <c r="Q1323" s="150">
        <v>0</v>
      </c>
      <c r="R1323" s="150">
        <f t="shared" ref="R1323:R1332" si="1211">P1323+Q1323</f>
        <v>0</v>
      </c>
      <c r="S1323" s="150">
        <f t="shared" si="1145"/>
        <v>0</v>
      </c>
      <c r="T1323" s="150"/>
      <c r="U1323" s="150">
        <v>0</v>
      </c>
      <c r="V1323" s="199"/>
      <c r="W1323" s="150">
        <f t="shared" ref="W1323:W1332" si="1212">U1323+V1323</f>
        <v>0</v>
      </c>
      <c r="X1323" s="150">
        <v>0</v>
      </c>
      <c r="Y1323" s="150"/>
      <c r="Z1323" s="150">
        <v>0</v>
      </c>
      <c r="AA1323" s="150">
        <f t="shared" si="1137"/>
        <v>0</v>
      </c>
      <c r="AB1323" s="150">
        <v>0</v>
      </c>
      <c r="AC1323" s="199"/>
      <c r="AD1323" s="150">
        <f t="shared" ref="AD1323:AD1332" si="1213">AB1323+AC1323</f>
        <v>0</v>
      </c>
      <c r="AE1323" s="150">
        <v>0</v>
      </c>
      <c r="AF1323" s="169" t="s">
        <v>4680</v>
      </c>
      <c r="AG1323" s="201">
        <v>0</v>
      </c>
      <c r="AH1323" s="199"/>
      <c r="AI1323" s="150">
        <v>0</v>
      </c>
      <c r="AJ1323" s="169">
        <f t="shared" si="1139"/>
        <v>0</v>
      </c>
      <c r="AK1323" s="201">
        <v>0</v>
      </c>
      <c r="AL1323" s="199"/>
      <c r="AM1323" s="150">
        <f t="shared" ref="AM1323:AM1332" si="1214">AK1323+AL1323</f>
        <v>0</v>
      </c>
      <c r="AN1323" s="153">
        <f t="shared" si="1141"/>
        <v>0</v>
      </c>
      <c r="AO1323" s="154">
        <f t="shared" si="1142"/>
        <v>0</v>
      </c>
      <c r="AP1323" s="150">
        <v>0</v>
      </c>
      <c r="AQ1323" s="201">
        <v>0</v>
      </c>
      <c r="AR1323" s="199"/>
      <c r="AS1323" s="150">
        <f t="shared" ref="AS1323:AS1332" si="1215">AQ1323+AR1323</f>
        <v>0</v>
      </c>
      <c r="AT1323" s="155"/>
      <c r="AU1323" s="156">
        <f t="shared" si="1132"/>
        <v>0</v>
      </c>
      <c r="AV1323" s="156">
        <f t="shared" si="1133"/>
        <v>0</v>
      </c>
      <c r="AW1323" s="157"/>
      <c r="AX1323" s="150">
        <v>0</v>
      </c>
      <c r="AY1323" s="150">
        <v>0</v>
      </c>
      <c r="AZ1323" s="150"/>
      <c r="BA1323" s="150">
        <f t="shared" si="1187"/>
        <v>0</v>
      </c>
      <c r="BB1323" s="202">
        <v>5</v>
      </c>
      <c r="BC1323" s="202" t="s">
        <v>693</v>
      </c>
      <c r="BD1323" s="202" t="s">
        <v>671</v>
      </c>
      <c r="BE1323" s="202" t="s">
        <v>632</v>
      </c>
      <c r="BF1323" s="202" t="s">
        <v>632</v>
      </c>
      <c r="BG1323" s="203" t="s">
        <v>8243</v>
      </c>
      <c r="BH1323" s="216">
        <f>SUM(AS1323:AS1332)</f>
        <v>2183318.98</v>
      </c>
      <c r="BI1323" s="205"/>
      <c r="BJ1323" s="206" t="s">
        <v>8239</v>
      </c>
      <c r="BK1323" s="206" t="s">
        <v>8237</v>
      </c>
      <c r="BL1323" s="207" t="s">
        <v>8240</v>
      </c>
      <c r="BM1323" s="208">
        <f>BH1323</f>
        <v>2183318.98</v>
      </c>
      <c r="BN1323" s="160"/>
      <c r="BO1323" s="161"/>
      <c r="BP1323" s="161"/>
    </row>
    <row r="1324" spans="1:68" ht="38.25">
      <c r="A1324" s="210"/>
      <c r="B1324" s="195" t="s">
        <v>8244</v>
      </c>
      <c r="C1324" s="196" t="s">
        <v>8245</v>
      </c>
      <c r="D1324" s="146" t="s">
        <v>4692</v>
      </c>
      <c r="E1324" s="196" t="s">
        <v>8245</v>
      </c>
      <c r="F1324" s="150">
        <v>0</v>
      </c>
      <c r="G1324" s="209">
        <v>0</v>
      </c>
      <c r="H1324" s="209"/>
      <c r="I1324" s="209">
        <v>0</v>
      </c>
      <c r="J1324" s="150">
        <v>0</v>
      </c>
      <c r="K1324" s="150">
        <v>0</v>
      </c>
      <c r="L1324" s="150">
        <f t="shared" si="1154"/>
        <v>0</v>
      </c>
      <c r="M1324" s="150">
        <v>0</v>
      </c>
      <c r="N1324" s="150"/>
      <c r="O1324" s="150">
        <v>0</v>
      </c>
      <c r="P1324" s="150">
        <v>0</v>
      </c>
      <c r="Q1324" s="150">
        <v>0</v>
      </c>
      <c r="R1324" s="150">
        <f t="shared" si="1211"/>
        <v>0</v>
      </c>
      <c r="S1324" s="150">
        <f t="shared" si="1145"/>
        <v>0</v>
      </c>
      <c r="T1324" s="150"/>
      <c r="U1324" s="150">
        <v>0</v>
      </c>
      <c r="V1324" s="199"/>
      <c r="W1324" s="150">
        <f t="shared" si="1212"/>
        <v>0</v>
      </c>
      <c r="X1324" s="150">
        <v>0</v>
      </c>
      <c r="Y1324" s="150"/>
      <c r="Z1324" s="150">
        <v>0</v>
      </c>
      <c r="AA1324" s="150">
        <f t="shared" si="1137"/>
        <v>0</v>
      </c>
      <c r="AB1324" s="150">
        <v>0</v>
      </c>
      <c r="AC1324" s="199"/>
      <c r="AD1324" s="150">
        <f t="shared" si="1213"/>
        <v>0</v>
      </c>
      <c r="AE1324" s="150">
        <v>0</v>
      </c>
      <c r="AF1324" s="169" t="s">
        <v>4680</v>
      </c>
      <c r="AG1324" s="201">
        <v>0</v>
      </c>
      <c r="AH1324" s="199"/>
      <c r="AI1324" s="150">
        <v>0</v>
      </c>
      <c r="AJ1324" s="169">
        <f t="shared" si="1139"/>
        <v>0</v>
      </c>
      <c r="AK1324" s="201">
        <v>0</v>
      </c>
      <c r="AL1324" s="199"/>
      <c r="AM1324" s="150">
        <f t="shared" si="1214"/>
        <v>0</v>
      </c>
      <c r="AN1324" s="153">
        <f t="shared" si="1141"/>
        <v>0</v>
      </c>
      <c r="AO1324" s="154">
        <f t="shared" si="1142"/>
        <v>0</v>
      </c>
      <c r="AP1324" s="150">
        <v>0</v>
      </c>
      <c r="AQ1324" s="201">
        <v>0</v>
      </c>
      <c r="AR1324" s="199"/>
      <c r="AS1324" s="150">
        <f t="shared" si="1215"/>
        <v>0</v>
      </c>
      <c r="AT1324" s="155"/>
      <c r="AU1324" s="156">
        <f t="shared" si="1132"/>
        <v>0</v>
      </c>
      <c r="AV1324" s="156">
        <f t="shared" si="1133"/>
        <v>0</v>
      </c>
      <c r="AW1324" s="157"/>
      <c r="AX1324" s="150">
        <v>0</v>
      </c>
      <c r="AY1324" s="150">
        <v>0</v>
      </c>
      <c r="AZ1324" s="150"/>
      <c r="BA1324" s="150">
        <f t="shared" si="1187"/>
        <v>0</v>
      </c>
      <c r="BB1324" s="210"/>
      <c r="BC1324" s="210"/>
      <c r="BD1324" s="210"/>
      <c r="BE1324" s="210"/>
      <c r="BF1324" s="210"/>
      <c r="BG1324" s="210"/>
      <c r="BH1324" s="217"/>
      <c r="BI1324" s="210"/>
      <c r="BJ1324" s="210"/>
      <c r="BK1324" s="210"/>
      <c r="BL1324" s="210"/>
      <c r="BM1324" s="208"/>
      <c r="BN1324" s="160"/>
      <c r="BO1324" s="161"/>
      <c r="BP1324" s="161"/>
    </row>
    <row r="1325" spans="1:68" ht="38.25">
      <c r="A1325" s="210"/>
      <c r="B1325" s="195" t="s">
        <v>8246</v>
      </c>
      <c r="C1325" s="196" t="s">
        <v>8247</v>
      </c>
      <c r="D1325" s="146" t="s">
        <v>4692</v>
      </c>
      <c r="E1325" s="196" t="s">
        <v>8247</v>
      </c>
      <c r="F1325" s="150">
        <v>0</v>
      </c>
      <c r="G1325" s="209">
        <v>0</v>
      </c>
      <c r="H1325" s="209"/>
      <c r="I1325" s="209">
        <v>0</v>
      </c>
      <c r="J1325" s="150">
        <v>0</v>
      </c>
      <c r="K1325" s="150">
        <v>0</v>
      </c>
      <c r="L1325" s="150">
        <f t="shared" si="1154"/>
        <v>0</v>
      </c>
      <c r="M1325" s="150">
        <v>0</v>
      </c>
      <c r="N1325" s="150"/>
      <c r="O1325" s="150">
        <v>0</v>
      </c>
      <c r="P1325" s="150">
        <v>0</v>
      </c>
      <c r="Q1325" s="150">
        <v>0</v>
      </c>
      <c r="R1325" s="150">
        <f t="shared" si="1211"/>
        <v>0</v>
      </c>
      <c r="S1325" s="150">
        <f t="shared" si="1145"/>
        <v>0</v>
      </c>
      <c r="T1325" s="150"/>
      <c r="U1325" s="150">
        <v>0</v>
      </c>
      <c r="V1325" s="199"/>
      <c r="W1325" s="150">
        <f t="shared" si="1212"/>
        <v>0</v>
      </c>
      <c r="X1325" s="150">
        <v>0</v>
      </c>
      <c r="Y1325" s="150"/>
      <c r="Z1325" s="150">
        <v>0</v>
      </c>
      <c r="AA1325" s="150">
        <f t="shared" si="1137"/>
        <v>0</v>
      </c>
      <c r="AB1325" s="150">
        <v>0</v>
      </c>
      <c r="AC1325" s="199"/>
      <c r="AD1325" s="150">
        <f t="shared" si="1213"/>
        <v>0</v>
      </c>
      <c r="AE1325" s="150">
        <v>0</v>
      </c>
      <c r="AF1325" s="169" t="s">
        <v>4680</v>
      </c>
      <c r="AG1325" s="201">
        <v>0</v>
      </c>
      <c r="AH1325" s="199"/>
      <c r="AI1325" s="150">
        <v>0</v>
      </c>
      <c r="AJ1325" s="169">
        <f t="shared" si="1139"/>
        <v>0</v>
      </c>
      <c r="AK1325" s="201">
        <v>0</v>
      </c>
      <c r="AL1325" s="199"/>
      <c r="AM1325" s="150">
        <f t="shared" si="1214"/>
        <v>0</v>
      </c>
      <c r="AN1325" s="153">
        <f t="shared" si="1141"/>
        <v>0</v>
      </c>
      <c r="AO1325" s="154">
        <f t="shared" si="1142"/>
        <v>0</v>
      </c>
      <c r="AP1325" s="150">
        <v>0</v>
      </c>
      <c r="AQ1325" s="201">
        <v>0</v>
      </c>
      <c r="AR1325" s="199"/>
      <c r="AS1325" s="150">
        <f t="shared" si="1215"/>
        <v>0</v>
      </c>
      <c r="AT1325" s="155"/>
      <c r="AU1325" s="156">
        <f t="shared" si="1132"/>
        <v>0</v>
      </c>
      <c r="AV1325" s="156">
        <f t="shared" si="1133"/>
        <v>0</v>
      </c>
      <c r="AW1325" s="157"/>
      <c r="AX1325" s="150">
        <v>0</v>
      </c>
      <c r="AY1325" s="150">
        <v>0</v>
      </c>
      <c r="AZ1325" s="150"/>
      <c r="BA1325" s="150">
        <f t="shared" si="1187"/>
        <v>0</v>
      </c>
      <c r="BB1325" s="210"/>
      <c r="BC1325" s="210"/>
      <c r="BD1325" s="210"/>
      <c r="BE1325" s="210"/>
      <c r="BF1325" s="210"/>
      <c r="BG1325" s="210"/>
      <c r="BH1325" s="217"/>
      <c r="BI1325" s="210"/>
      <c r="BJ1325" s="210"/>
      <c r="BK1325" s="210"/>
      <c r="BL1325" s="210"/>
      <c r="BM1325" s="208"/>
      <c r="BN1325" s="160"/>
      <c r="BO1325" s="161"/>
      <c r="BP1325" s="161"/>
    </row>
    <row r="1326" spans="1:68" ht="38.25">
      <c r="A1326" s="210"/>
      <c r="B1326" s="195" t="s">
        <v>8248</v>
      </c>
      <c r="C1326" s="196" t="s">
        <v>8249</v>
      </c>
      <c r="D1326" s="146" t="s">
        <v>4692</v>
      </c>
      <c r="E1326" s="196" t="s">
        <v>8249</v>
      </c>
      <c r="F1326" s="150">
        <v>0</v>
      </c>
      <c r="G1326" s="209">
        <v>0</v>
      </c>
      <c r="H1326" s="209"/>
      <c r="I1326" s="209">
        <v>0</v>
      </c>
      <c r="J1326" s="150">
        <v>0</v>
      </c>
      <c r="K1326" s="150">
        <v>0</v>
      </c>
      <c r="L1326" s="150">
        <f t="shared" si="1154"/>
        <v>0</v>
      </c>
      <c r="M1326" s="150">
        <v>0</v>
      </c>
      <c r="N1326" s="150"/>
      <c r="O1326" s="150">
        <v>0</v>
      </c>
      <c r="P1326" s="150">
        <v>0</v>
      </c>
      <c r="Q1326" s="150">
        <v>0</v>
      </c>
      <c r="R1326" s="150">
        <f t="shared" si="1211"/>
        <v>0</v>
      </c>
      <c r="S1326" s="150">
        <f t="shared" si="1145"/>
        <v>0</v>
      </c>
      <c r="T1326" s="150"/>
      <c r="U1326" s="150">
        <v>0</v>
      </c>
      <c r="V1326" s="199"/>
      <c r="W1326" s="150">
        <f t="shared" si="1212"/>
        <v>0</v>
      </c>
      <c r="X1326" s="150">
        <v>0</v>
      </c>
      <c r="Y1326" s="150"/>
      <c r="Z1326" s="150">
        <v>0</v>
      </c>
      <c r="AA1326" s="150">
        <f t="shared" si="1137"/>
        <v>0</v>
      </c>
      <c r="AB1326" s="150">
        <v>0</v>
      </c>
      <c r="AC1326" s="199"/>
      <c r="AD1326" s="150">
        <f t="shared" si="1213"/>
        <v>0</v>
      </c>
      <c r="AE1326" s="150">
        <v>0</v>
      </c>
      <c r="AF1326" s="169" t="s">
        <v>4680</v>
      </c>
      <c r="AG1326" s="201">
        <v>0</v>
      </c>
      <c r="AH1326" s="199"/>
      <c r="AI1326" s="150">
        <v>0</v>
      </c>
      <c r="AJ1326" s="169">
        <f t="shared" si="1139"/>
        <v>0</v>
      </c>
      <c r="AK1326" s="201">
        <v>0</v>
      </c>
      <c r="AL1326" s="199"/>
      <c r="AM1326" s="150">
        <f t="shared" si="1214"/>
        <v>0</v>
      </c>
      <c r="AN1326" s="153">
        <f t="shared" si="1141"/>
        <v>0</v>
      </c>
      <c r="AO1326" s="154">
        <f t="shared" si="1142"/>
        <v>0</v>
      </c>
      <c r="AP1326" s="150">
        <v>0</v>
      </c>
      <c r="AQ1326" s="201">
        <v>0</v>
      </c>
      <c r="AR1326" s="199"/>
      <c r="AS1326" s="150">
        <f t="shared" si="1215"/>
        <v>0</v>
      </c>
      <c r="AT1326" s="155"/>
      <c r="AU1326" s="156">
        <f t="shared" si="1132"/>
        <v>0</v>
      </c>
      <c r="AV1326" s="156">
        <f t="shared" si="1133"/>
        <v>0</v>
      </c>
      <c r="AW1326" s="157"/>
      <c r="AX1326" s="150">
        <v>0</v>
      </c>
      <c r="AY1326" s="150">
        <v>0</v>
      </c>
      <c r="AZ1326" s="150"/>
      <c r="BA1326" s="150">
        <f t="shared" si="1187"/>
        <v>0</v>
      </c>
      <c r="BB1326" s="210"/>
      <c r="BC1326" s="210"/>
      <c r="BD1326" s="210"/>
      <c r="BE1326" s="210"/>
      <c r="BF1326" s="210"/>
      <c r="BG1326" s="210"/>
      <c r="BH1326" s="217"/>
      <c r="BI1326" s="210"/>
      <c r="BJ1326" s="210"/>
      <c r="BK1326" s="210"/>
      <c r="BL1326" s="210"/>
      <c r="BM1326" s="208"/>
      <c r="BN1326" s="160"/>
      <c r="BO1326" s="161"/>
      <c r="BP1326" s="161"/>
    </row>
    <row r="1327" spans="1:68" ht="38.25">
      <c r="A1327" s="210"/>
      <c r="B1327" s="195" t="s">
        <v>8250</v>
      </c>
      <c r="C1327" s="196" t="s">
        <v>8251</v>
      </c>
      <c r="D1327" s="146" t="s">
        <v>4692</v>
      </c>
      <c r="E1327" s="196" t="s">
        <v>8251</v>
      </c>
      <c r="F1327" s="150">
        <v>0</v>
      </c>
      <c r="G1327" s="209">
        <v>0</v>
      </c>
      <c r="H1327" s="209"/>
      <c r="I1327" s="209">
        <v>0</v>
      </c>
      <c r="J1327" s="150">
        <v>0</v>
      </c>
      <c r="K1327" s="150">
        <v>0</v>
      </c>
      <c r="L1327" s="150">
        <f t="shared" si="1154"/>
        <v>0</v>
      </c>
      <c r="M1327" s="150">
        <v>0</v>
      </c>
      <c r="N1327" s="150"/>
      <c r="O1327" s="150">
        <v>0</v>
      </c>
      <c r="P1327" s="150">
        <v>0</v>
      </c>
      <c r="Q1327" s="150">
        <v>0</v>
      </c>
      <c r="R1327" s="150">
        <f t="shared" si="1211"/>
        <v>0</v>
      </c>
      <c r="S1327" s="150">
        <f t="shared" si="1145"/>
        <v>0</v>
      </c>
      <c r="T1327" s="150"/>
      <c r="U1327" s="150">
        <v>0</v>
      </c>
      <c r="V1327" s="199"/>
      <c r="W1327" s="150">
        <f t="shared" si="1212"/>
        <v>0</v>
      </c>
      <c r="X1327" s="150">
        <v>0</v>
      </c>
      <c r="Y1327" s="150"/>
      <c r="Z1327" s="150">
        <v>0</v>
      </c>
      <c r="AA1327" s="150">
        <f t="shared" si="1137"/>
        <v>0</v>
      </c>
      <c r="AB1327" s="150">
        <v>0</v>
      </c>
      <c r="AC1327" s="199"/>
      <c r="AD1327" s="150">
        <f t="shared" si="1213"/>
        <v>0</v>
      </c>
      <c r="AE1327" s="150">
        <v>0</v>
      </c>
      <c r="AF1327" s="169" t="s">
        <v>4680</v>
      </c>
      <c r="AG1327" s="201">
        <v>0</v>
      </c>
      <c r="AH1327" s="199"/>
      <c r="AI1327" s="150">
        <v>0</v>
      </c>
      <c r="AJ1327" s="169">
        <f t="shared" si="1139"/>
        <v>0</v>
      </c>
      <c r="AK1327" s="201">
        <v>0</v>
      </c>
      <c r="AL1327" s="199"/>
      <c r="AM1327" s="150">
        <f t="shared" si="1214"/>
        <v>0</v>
      </c>
      <c r="AN1327" s="153">
        <f t="shared" si="1141"/>
        <v>0</v>
      </c>
      <c r="AO1327" s="154">
        <f t="shared" si="1142"/>
        <v>0</v>
      </c>
      <c r="AP1327" s="150">
        <v>0</v>
      </c>
      <c r="AQ1327" s="201">
        <v>0</v>
      </c>
      <c r="AR1327" s="199"/>
      <c r="AS1327" s="150">
        <f t="shared" si="1215"/>
        <v>0</v>
      </c>
      <c r="AT1327" s="155"/>
      <c r="AU1327" s="156">
        <f t="shared" si="1132"/>
        <v>0</v>
      </c>
      <c r="AV1327" s="156">
        <f t="shared" si="1133"/>
        <v>0</v>
      </c>
      <c r="AW1327" s="157"/>
      <c r="AX1327" s="150">
        <v>0</v>
      </c>
      <c r="AY1327" s="150">
        <v>0</v>
      </c>
      <c r="AZ1327" s="150"/>
      <c r="BA1327" s="150">
        <f t="shared" si="1187"/>
        <v>0</v>
      </c>
      <c r="BB1327" s="210"/>
      <c r="BC1327" s="210"/>
      <c r="BD1327" s="210"/>
      <c r="BE1327" s="210"/>
      <c r="BF1327" s="210"/>
      <c r="BG1327" s="210"/>
      <c r="BH1327" s="217"/>
      <c r="BI1327" s="210"/>
      <c r="BJ1327" s="210"/>
      <c r="BK1327" s="210"/>
      <c r="BL1327" s="210"/>
      <c r="BM1327" s="208"/>
      <c r="BN1327" s="160"/>
      <c r="BO1327" s="161"/>
      <c r="BP1327" s="161"/>
    </row>
    <row r="1328" spans="1:68" ht="25.5">
      <c r="A1328" s="210"/>
      <c r="B1328" s="195" t="s">
        <v>8252</v>
      </c>
      <c r="C1328" s="196" t="s">
        <v>8253</v>
      </c>
      <c r="D1328" s="146" t="s">
        <v>4692</v>
      </c>
      <c r="E1328" s="196" t="s">
        <v>8253</v>
      </c>
      <c r="F1328" s="150">
        <v>0</v>
      </c>
      <c r="G1328" s="209">
        <v>2109495.92</v>
      </c>
      <c r="H1328" s="209">
        <v>67898</v>
      </c>
      <c r="I1328" s="209">
        <v>2177393.92</v>
      </c>
      <c r="J1328" s="150">
        <v>0</v>
      </c>
      <c r="K1328" s="150">
        <v>0</v>
      </c>
      <c r="L1328" s="150">
        <f t="shared" si="1154"/>
        <v>0</v>
      </c>
      <c r="M1328" s="150">
        <v>0</v>
      </c>
      <c r="N1328" s="150"/>
      <c r="O1328" s="150">
        <v>0</v>
      </c>
      <c r="P1328" s="150">
        <v>0</v>
      </c>
      <c r="Q1328" s="150">
        <v>0</v>
      </c>
      <c r="R1328" s="150">
        <f t="shared" si="1211"/>
        <v>0</v>
      </c>
      <c r="S1328" s="150">
        <f t="shared" si="1145"/>
        <v>0</v>
      </c>
      <c r="T1328" s="150"/>
      <c r="U1328" s="150">
        <v>0</v>
      </c>
      <c r="V1328" s="199"/>
      <c r="W1328" s="150">
        <f t="shared" si="1212"/>
        <v>0</v>
      </c>
      <c r="X1328" s="150">
        <v>0</v>
      </c>
      <c r="Y1328" s="150"/>
      <c r="Z1328" s="150">
        <v>0</v>
      </c>
      <c r="AA1328" s="150">
        <f t="shared" si="1137"/>
        <v>0</v>
      </c>
      <c r="AB1328" s="150">
        <v>0</v>
      </c>
      <c r="AC1328" s="199"/>
      <c r="AD1328" s="150">
        <f t="shared" si="1213"/>
        <v>0</v>
      </c>
      <c r="AE1328" s="150">
        <v>0</v>
      </c>
      <c r="AF1328" s="169" t="s">
        <v>4680</v>
      </c>
      <c r="AG1328" s="201">
        <v>0</v>
      </c>
      <c r="AH1328" s="199"/>
      <c r="AI1328" s="150">
        <v>0</v>
      </c>
      <c r="AJ1328" s="169">
        <f t="shared" si="1139"/>
        <v>0</v>
      </c>
      <c r="AK1328" s="201">
        <v>0</v>
      </c>
      <c r="AL1328" s="199"/>
      <c r="AM1328" s="150">
        <f t="shared" si="1214"/>
        <v>0</v>
      </c>
      <c r="AN1328" s="153">
        <f t="shared" si="1141"/>
        <v>0</v>
      </c>
      <c r="AO1328" s="154">
        <f t="shared" si="1142"/>
        <v>0</v>
      </c>
      <c r="AP1328" s="150">
        <v>0</v>
      </c>
      <c r="AQ1328" s="201">
        <v>0</v>
      </c>
      <c r="AR1328" s="199"/>
      <c r="AS1328" s="150">
        <f t="shared" si="1215"/>
        <v>0</v>
      </c>
      <c r="AT1328" s="155"/>
      <c r="AU1328" s="156">
        <f t="shared" si="1132"/>
        <v>0</v>
      </c>
      <c r="AV1328" s="156">
        <f t="shared" si="1133"/>
        <v>0</v>
      </c>
      <c r="AW1328" s="157"/>
      <c r="AX1328" s="150">
        <v>0</v>
      </c>
      <c r="AY1328" s="150">
        <v>0</v>
      </c>
      <c r="AZ1328" s="150"/>
      <c r="BA1328" s="150">
        <f t="shared" si="1187"/>
        <v>0</v>
      </c>
      <c r="BB1328" s="210"/>
      <c r="BC1328" s="210"/>
      <c r="BD1328" s="210"/>
      <c r="BE1328" s="210"/>
      <c r="BF1328" s="210"/>
      <c r="BG1328" s="210"/>
      <c r="BH1328" s="217"/>
      <c r="BI1328" s="210"/>
      <c r="BJ1328" s="210"/>
      <c r="BK1328" s="210"/>
      <c r="BL1328" s="210"/>
      <c r="BM1328" s="208"/>
      <c r="BN1328" s="160"/>
      <c r="BO1328" s="161"/>
      <c r="BP1328" s="161"/>
    </row>
    <row r="1329" spans="1:68" ht="25.5">
      <c r="A1329" s="210"/>
      <c r="B1329" s="195" t="s">
        <v>8254</v>
      </c>
      <c r="C1329" s="196" t="s">
        <v>8255</v>
      </c>
      <c r="D1329" s="146" t="s">
        <v>4692</v>
      </c>
      <c r="E1329" s="196" t="s">
        <v>8255</v>
      </c>
      <c r="F1329" s="150">
        <v>2177393.92</v>
      </c>
      <c r="G1329" s="209">
        <v>0</v>
      </c>
      <c r="H1329" s="209"/>
      <c r="I1329" s="209">
        <v>0</v>
      </c>
      <c r="J1329" s="150">
        <v>93452</v>
      </c>
      <c r="K1329" s="150">
        <v>0</v>
      </c>
      <c r="L1329" s="150">
        <f t="shared" si="1154"/>
        <v>93452</v>
      </c>
      <c r="M1329" s="150">
        <v>565637.38</v>
      </c>
      <c r="N1329" s="150">
        <v>523059.57999999996</v>
      </c>
      <c r="O1329" s="150">
        <v>1088696.96</v>
      </c>
      <c r="P1329" s="150">
        <v>950677.38</v>
      </c>
      <c r="Q1329" s="150">
        <v>784589.37</v>
      </c>
      <c r="R1329" s="150">
        <f t="shared" si="1211"/>
        <v>1735266.75</v>
      </c>
      <c r="S1329" s="150">
        <f t="shared" si="1145"/>
        <v>2313689</v>
      </c>
      <c r="T1329" s="150"/>
      <c r="U1329" s="150">
        <v>1984364.52</v>
      </c>
      <c r="V1329" s="199">
        <f>106000+94000</f>
        <v>200000</v>
      </c>
      <c r="W1329" s="150">
        <f t="shared" si="1212"/>
        <v>2184364.52</v>
      </c>
      <c r="X1329" s="150">
        <v>1984364.52</v>
      </c>
      <c r="Y1329" s="150">
        <v>200000</v>
      </c>
      <c r="Z1329" s="150">
        <v>2184364.52</v>
      </c>
      <c r="AA1329" s="150">
        <f t="shared" si="1137"/>
        <v>-1045.5400000000373</v>
      </c>
      <c r="AB1329" s="150">
        <v>2183318.98</v>
      </c>
      <c r="AC1329" s="199">
        <v>0</v>
      </c>
      <c r="AD1329" s="150">
        <f t="shared" si="1213"/>
        <v>2183318.98</v>
      </c>
      <c r="AE1329" s="150">
        <v>2183318.98</v>
      </c>
      <c r="AF1329" s="169" t="s">
        <v>4680</v>
      </c>
      <c r="AG1329" s="201">
        <v>2183318.98</v>
      </c>
      <c r="AH1329" s="199">
        <v>0</v>
      </c>
      <c r="AI1329" s="150">
        <v>2183318.98</v>
      </c>
      <c r="AJ1329" s="169">
        <f t="shared" si="1139"/>
        <v>0</v>
      </c>
      <c r="AK1329" s="201">
        <v>2183318.98</v>
      </c>
      <c r="AL1329" s="199">
        <v>0</v>
      </c>
      <c r="AM1329" s="150">
        <f t="shared" si="1214"/>
        <v>2183318.98</v>
      </c>
      <c r="AN1329" s="153">
        <f t="shared" si="1141"/>
        <v>0</v>
      </c>
      <c r="AO1329" s="154">
        <f t="shared" si="1142"/>
        <v>0</v>
      </c>
      <c r="AP1329" s="150">
        <v>2183318.98</v>
      </c>
      <c r="AQ1329" s="201">
        <v>2183318.98</v>
      </c>
      <c r="AR1329" s="199"/>
      <c r="AS1329" s="150">
        <f t="shared" si="1215"/>
        <v>2183318.98</v>
      </c>
      <c r="AT1329" s="155"/>
      <c r="AU1329" s="156">
        <f t="shared" si="1132"/>
        <v>0</v>
      </c>
      <c r="AV1329" s="156">
        <f t="shared" si="1133"/>
        <v>-1045.5400000000373</v>
      </c>
      <c r="AW1329" s="157"/>
      <c r="AX1329" s="150">
        <v>2184364.52</v>
      </c>
      <c r="AY1329" s="150">
        <v>950677.38</v>
      </c>
      <c r="AZ1329" s="150">
        <v>975338.69000000006</v>
      </c>
      <c r="BA1329" s="150">
        <f t="shared" si="1187"/>
        <v>1926016.07</v>
      </c>
      <c r="BB1329" s="210"/>
      <c r="BC1329" s="210"/>
      <c r="BD1329" s="210"/>
      <c r="BE1329" s="210"/>
      <c r="BF1329" s="210"/>
      <c r="BG1329" s="210"/>
      <c r="BH1329" s="217"/>
      <c r="BI1329" s="210"/>
      <c r="BJ1329" s="210"/>
      <c r="BK1329" s="210"/>
      <c r="BL1329" s="210"/>
      <c r="BM1329" s="208"/>
      <c r="BN1329" s="160"/>
      <c r="BO1329" s="161"/>
      <c r="BP1329" s="161"/>
    </row>
    <row r="1330" spans="1:68" ht="25.5">
      <c r="A1330" s="210"/>
      <c r="B1330" s="195" t="s">
        <v>8256</v>
      </c>
      <c r="C1330" s="196" t="s">
        <v>8257</v>
      </c>
      <c r="D1330" s="146" t="s">
        <v>4692</v>
      </c>
      <c r="E1330" s="196" t="s">
        <v>8257</v>
      </c>
      <c r="F1330" s="150">
        <v>0</v>
      </c>
      <c r="G1330" s="209">
        <v>0</v>
      </c>
      <c r="H1330" s="209"/>
      <c r="I1330" s="209">
        <v>0</v>
      </c>
      <c r="J1330" s="150">
        <v>0</v>
      </c>
      <c r="K1330" s="150">
        <v>0</v>
      </c>
      <c r="L1330" s="150">
        <f t="shared" si="1154"/>
        <v>0</v>
      </c>
      <c r="M1330" s="150">
        <v>0</v>
      </c>
      <c r="N1330" s="150"/>
      <c r="O1330" s="150">
        <v>0</v>
      </c>
      <c r="P1330" s="150">
        <v>0</v>
      </c>
      <c r="Q1330" s="150">
        <v>0</v>
      </c>
      <c r="R1330" s="150">
        <f t="shared" si="1211"/>
        <v>0</v>
      </c>
      <c r="S1330" s="150">
        <f t="shared" si="1145"/>
        <v>0</v>
      </c>
      <c r="T1330" s="150"/>
      <c r="U1330" s="150">
        <v>0</v>
      </c>
      <c r="V1330" s="199"/>
      <c r="W1330" s="150">
        <f t="shared" si="1212"/>
        <v>0</v>
      </c>
      <c r="X1330" s="150">
        <v>0</v>
      </c>
      <c r="Y1330" s="150"/>
      <c r="Z1330" s="150">
        <v>0</v>
      </c>
      <c r="AA1330" s="150">
        <f t="shared" si="1137"/>
        <v>0</v>
      </c>
      <c r="AB1330" s="150">
        <v>0</v>
      </c>
      <c r="AC1330" s="199"/>
      <c r="AD1330" s="150">
        <f t="shared" si="1213"/>
        <v>0</v>
      </c>
      <c r="AE1330" s="150">
        <v>0</v>
      </c>
      <c r="AF1330" s="169" t="s">
        <v>4680</v>
      </c>
      <c r="AG1330" s="201">
        <v>0</v>
      </c>
      <c r="AH1330" s="199"/>
      <c r="AI1330" s="150">
        <v>0</v>
      </c>
      <c r="AJ1330" s="169">
        <f t="shared" si="1139"/>
        <v>0</v>
      </c>
      <c r="AK1330" s="201">
        <v>0</v>
      </c>
      <c r="AL1330" s="199"/>
      <c r="AM1330" s="150">
        <f t="shared" si="1214"/>
        <v>0</v>
      </c>
      <c r="AN1330" s="153">
        <f t="shared" si="1141"/>
        <v>0</v>
      </c>
      <c r="AO1330" s="154">
        <f t="shared" si="1142"/>
        <v>0</v>
      </c>
      <c r="AP1330" s="150">
        <v>0</v>
      </c>
      <c r="AQ1330" s="201">
        <v>0</v>
      </c>
      <c r="AR1330" s="199"/>
      <c r="AS1330" s="150">
        <f t="shared" si="1215"/>
        <v>0</v>
      </c>
      <c r="AT1330" s="155"/>
      <c r="AU1330" s="156">
        <f t="shared" si="1132"/>
        <v>0</v>
      </c>
      <c r="AV1330" s="156">
        <f t="shared" si="1133"/>
        <v>0</v>
      </c>
      <c r="AW1330" s="157"/>
      <c r="AX1330" s="150">
        <v>0</v>
      </c>
      <c r="AY1330" s="150">
        <v>0</v>
      </c>
      <c r="AZ1330" s="150"/>
      <c r="BA1330" s="150">
        <f t="shared" si="1187"/>
        <v>0</v>
      </c>
      <c r="BB1330" s="210"/>
      <c r="BC1330" s="210"/>
      <c r="BD1330" s="210"/>
      <c r="BE1330" s="210"/>
      <c r="BF1330" s="210"/>
      <c r="BG1330" s="210"/>
      <c r="BH1330" s="217"/>
      <c r="BI1330" s="210"/>
      <c r="BJ1330" s="210"/>
      <c r="BK1330" s="210"/>
      <c r="BL1330" s="210"/>
      <c r="BM1330" s="208"/>
      <c r="BN1330" s="160"/>
      <c r="BO1330" s="161"/>
      <c r="BP1330" s="161"/>
    </row>
    <row r="1331" spans="1:68" ht="25.5">
      <c r="A1331" s="210"/>
      <c r="B1331" s="195" t="s">
        <v>8258</v>
      </c>
      <c r="C1331" s="196" t="s">
        <v>8259</v>
      </c>
      <c r="D1331" s="146" t="s">
        <v>4692</v>
      </c>
      <c r="E1331" s="196" t="s">
        <v>8259</v>
      </c>
      <c r="F1331" s="150">
        <v>0</v>
      </c>
      <c r="G1331" s="209">
        <v>0</v>
      </c>
      <c r="H1331" s="209"/>
      <c r="I1331" s="209">
        <v>0</v>
      </c>
      <c r="J1331" s="150">
        <v>0</v>
      </c>
      <c r="K1331" s="150">
        <v>0</v>
      </c>
      <c r="L1331" s="150">
        <f t="shared" si="1154"/>
        <v>0</v>
      </c>
      <c r="M1331" s="150">
        <v>0</v>
      </c>
      <c r="N1331" s="150"/>
      <c r="O1331" s="150">
        <v>0</v>
      </c>
      <c r="P1331" s="150">
        <v>0</v>
      </c>
      <c r="Q1331" s="150">
        <v>0</v>
      </c>
      <c r="R1331" s="150">
        <f t="shared" si="1211"/>
        <v>0</v>
      </c>
      <c r="S1331" s="150">
        <f t="shared" si="1145"/>
        <v>0</v>
      </c>
      <c r="T1331" s="150"/>
      <c r="U1331" s="150">
        <v>0</v>
      </c>
      <c r="V1331" s="199"/>
      <c r="W1331" s="150">
        <f t="shared" si="1212"/>
        <v>0</v>
      </c>
      <c r="X1331" s="150">
        <v>0</v>
      </c>
      <c r="Y1331" s="150"/>
      <c r="Z1331" s="150">
        <v>0</v>
      </c>
      <c r="AA1331" s="150">
        <f t="shared" si="1137"/>
        <v>0</v>
      </c>
      <c r="AB1331" s="150">
        <v>0</v>
      </c>
      <c r="AC1331" s="199"/>
      <c r="AD1331" s="150">
        <f t="shared" si="1213"/>
        <v>0</v>
      </c>
      <c r="AE1331" s="150">
        <v>0</v>
      </c>
      <c r="AF1331" s="169" t="s">
        <v>4680</v>
      </c>
      <c r="AG1331" s="201">
        <v>0</v>
      </c>
      <c r="AH1331" s="199"/>
      <c r="AI1331" s="150">
        <v>0</v>
      </c>
      <c r="AJ1331" s="169">
        <f t="shared" si="1139"/>
        <v>0</v>
      </c>
      <c r="AK1331" s="201">
        <v>0</v>
      </c>
      <c r="AL1331" s="199"/>
      <c r="AM1331" s="150">
        <f t="shared" si="1214"/>
        <v>0</v>
      </c>
      <c r="AN1331" s="153">
        <f t="shared" si="1141"/>
        <v>0</v>
      </c>
      <c r="AO1331" s="154">
        <f t="shared" si="1142"/>
        <v>0</v>
      </c>
      <c r="AP1331" s="150">
        <v>0</v>
      </c>
      <c r="AQ1331" s="201">
        <v>0</v>
      </c>
      <c r="AR1331" s="199"/>
      <c r="AS1331" s="150">
        <f t="shared" si="1215"/>
        <v>0</v>
      </c>
      <c r="AT1331" s="155"/>
      <c r="AU1331" s="156">
        <f t="shared" si="1132"/>
        <v>0</v>
      </c>
      <c r="AV1331" s="156">
        <f t="shared" si="1133"/>
        <v>0</v>
      </c>
      <c r="AW1331" s="157"/>
      <c r="AX1331" s="150">
        <v>0</v>
      </c>
      <c r="AY1331" s="150">
        <v>0</v>
      </c>
      <c r="AZ1331" s="150"/>
      <c r="BA1331" s="150">
        <f t="shared" si="1187"/>
        <v>0</v>
      </c>
      <c r="BB1331" s="210"/>
      <c r="BC1331" s="210"/>
      <c r="BD1331" s="210"/>
      <c r="BE1331" s="210"/>
      <c r="BF1331" s="210"/>
      <c r="BG1331" s="210"/>
      <c r="BH1331" s="217"/>
      <c r="BI1331" s="210"/>
      <c r="BJ1331" s="210"/>
      <c r="BK1331" s="210"/>
      <c r="BL1331" s="210"/>
      <c r="BM1331" s="208"/>
      <c r="BN1331" s="160"/>
      <c r="BO1331" s="161"/>
      <c r="BP1331" s="161"/>
    </row>
    <row r="1332" spans="1:68" ht="25.5">
      <c r="A1332" s="210"/>
      <c r="B1332" s="195" t="s">
        <v>8260</v>
      </c>
      <c r="C1332" s="196" t="s">
        <v>8261</v>
      </c>
      <c r="D1332" s="146" t="s">
        <v>4692</v>
      </c>
      <c r="E1332" s="196" t="s">
        <v>8261</v>
      </c>
      <c r="F1332" s="150">
        <v>0</v>
      </c>
      <c r="G1332" s="209">
        <v>0</v>
      </c>
      <c r="H1332" s="209">
        <v>0</v>
      </c>
      <c r="I1332" s="209">
        <v>0</v>
      </c>
      <c r="J1332" s="150">
        <v>0</v>
      </c>
      <c r="K1332" s="150">
        <v>0</v>
      </c>
      <c r="L1332" s="150">
        <f t="shared" si="1154"/>
        <v>0</v>
      </c>
      <c r="M1332" s="150">
        <v>0</v>
      </c>
      <c r="N1332" s="150"/>
      <c r="O1332" s="150">
        <v>0</v>
      </c>
      <c r="P1332" s="150">
        <v>0</v>
      </c>
      <c r="Q1332" s="150">
        <v>0</v>
      </c>
      <c r="R1332" s="150">
        <f t="shared" si="1211"/>
        <v>0</v>
      </c>
      <c r="S1332" s="150">
        <f t="shared" si="1145"/>
        <v>0</v>
      </c>
      <c r="T1332" s="150"/>
      <c r="U1332" s="150">
        <v>0</v>
      </c>
      <c r="V1332" s="199"/>
      <c r="W1332" s="150">
        <f t="shared" si="1212"/>
        <v>0</v>
      </c>
      <c r="X1332" s="150">
        <v>0</v>
      </c>
      <c r="Y1332" s="150"/>
      <c r="Z1332" s="150">
        <v>0</v>
      </c>
      <c r="AA1332" s="150">
        <f t="shared" si="1137"/>
        <v>0</v>
      </c>
      <c r="AB1332" s="150">
        <v>0</v>
      </c>
      <c r="AC1332" s="199"/>
      <c r="AD1332" s="150">
        <f t="shared" si="1213"/>
        <v>0</v>
      </c>
      <c r="AE1332" s="150">
        <v>0</v>
      </c>
      <c r="AF1332" s="169" t="s">
        <v>4680</v>
      </c>
      <c r="AG1332" s="201">
        <v>0</v>
      </c>
      <c r="AH1332" s="199"/>
      <c r="AI1332" s="150">
        <v>0</v>
      </c>
      <c r="AJ1332" s="169">
        <f t="shared" si="1139"/>
        <v>0</v>
      </c>
      <c r="AK1332" s="201">
        <v>0</v>
      </c>
      <c r="AL1332" s="199"/>
      <c r="AM1332" s="150">
        <f t="shared" si="1214"/>
        <v>0</v>
      </c>
      <c r="AN1332" s="153">
        <f t="shared" si="1141"/>
        <v>0</v>
      </c>
      <c r="AO1332" s="154">
        <f t="shared" si="1142"/>
        <v>0</v>
      </c>
      <c r="AP1332" s="150">
        <v>0</v>
      </c>
      <c r="AQ1332" s="201">
        <v>0</v>
      </c>
      <c r="AR1332" s="199"/>
      <c r="AS1332" s="150">
        <f t="shared" si="1215"/>
        <v>0</v>
      </c>
      <c r="AT1332" s="155"/>
      <c r="AU1332" s="156">
        <f t="shared" si="1132"/>
        <v>0</v>
      </c>
      <c r="AV1332" s="156">
        <f t="shared" si="1133"/>
        <v>0</v>
      </c>
      <c r="AW1332" s="157"/>
      <c r="AX1332" s="150">
        <v>0</v>
      </c>
      <c r="AY1332" s="150">
        <v>0</v>
      </c>
      <c r="AZ1332" s="150"/>
      <c r="BA1332" s="150">
        <f t="shared" si="1187"/>
        <v>0</v>
      </c>
      <c r="BB1332" s="210"/>
      <c r="BC1332" s="210"/>
      <c r="BD1332" s="210"/>
      <c r="BE1332" s="210"/>
      <c r="BF1332" s="210"/>
      <c r="BG1332" s="210"/>
      <c r="BH1332" s="217"/>
      <c r="BI1332" s="210"/>
      <c r="BJ1332" s="210"/>
      <c r="BK1332" s="210"/>
      <c r="BL1332" s="210"/>
      <c r="BM1332" s="208"/>
      <c r="BN1332" s="160"/>
      <c r="BO1332" s="161"/>
      <c r="BP1332" s="161"/>
    </row>
    <row r="1333" spans="1:68" ht="25.5">
      <c r="A1333" s="256" t="s">
        <v>8262</v>
      </c>
      <c r="B1333" s="184"/>
      <c r="C1333" s="185" t="s">
        <v>8263</v>
      </c>
      <c r="D1333" s="146" t="s">
        <v>4692</v>
      </c>
      <c r="E1333" s="185" t="s">
        <v>8263</v>
      </c>
      <c r="F1333" s="188">
        <v>0</v>
      </c>
      <c r="G1333" s="187">
        <v>0</v>
      </c>
      <c r="H1333" s="187"/>
      <c r="I1333" s="187">
        <v>0</v>
      </c>
      <c r="J1333" s="188">
        <f>SUM(J1334:J1340)</f>
        <v>0</v>
      </c>
      <c r="K1333" s="188">
        <f>SUM(K1334:K1340)</f>
        <v>0</v>
      </c>
      <c r="L1333" s="188">
        <f t="shared" si="1154"/>
        <v>0</v>
      </c>
      <c r="M1333" s="188">
        <v>0</v>
      </c>
      <c r="N1333" s="188">
        <v>0</v>
      </c>
      <c r="O1333" s="188">
        <v>0</v>
      </c>
      <c r="P1333" s="299">
        <f t="shared" ref="P1333:AD1333" si="1216">SUM(P1334:P1340)</f>
        <v>0</v>
      </c>
      <c r="Q1333" s="299">
        <f t="shared" si="1216"/>
        <v>0</v>
      </c>
      <c r="R1333" s="299">
        <f t="shared" si="1216"/>
        <v>0</v>
      </c>
      <c r="S1333" s="150">
        <f t="shared" si="1145"/>
        <v>0</v>
      </c>
      <c r="T1333" s="213"/>
      <c r="U1333" s="299">
        <f t="shared" ref="U1333:W1333" si="1217">SUM(U1334:U1340)</f>
        <v>0</v>
      </c>
      <c r="V1333" s="226">
        <f t="shared" si="1217"/>
        <v>0</v>
      </c>
      <c r="W1333" s="299">
        <f t="shared" si="1217"/>
        <v>0</v>
      </c>
      <c r="X1333" s="299">
        <v>0</v>
      </c>
      <c r="Y1333" s="299">
        <v>0</v>
      </c>
      <c r="Z1333" s="299">
        <v>0</v>
      </c>
      <c r="AA1333" s="299">
        <f t="shared" si="1137"/>
        <v>0</v>
      </c>
      <c r="AB1333" s="299">
        <v>0</v>
      </c>
      <c r="AC1333" s="226">
        <v>0</v>
      </c>
      <c r="AD1333" s="299">
        <f t="shared" si="1216"/>
        <v>0</v>
      </c>
      <c r="AE1333" s="299">
        <v>0</v>
      </c>
      <c r="AF1333" s="169" t="s">
        <v>4680</v>
      </c>
      <c r="AG1333" s="301">
        <v>0</v>
      </c>
      <c r="AH1333" s="226">
        <v>0</v>
      </c>
      <c r="AI1333" s="299">
        <v>0</v>
      </c>
      <c r="AJ1333" s="169">
        <f t="shared" si="1139"/>
        <v>0</v>
      </c>
      <c r="AK1333" s="301">
        <v>0</v>
      </c>
      <c r="AL1333" s="226">
        <v>0</v>
      </c>
      <c r="AM1333" s="299">
        <f t="shared" ref="AM1333" si="1218">SUM(AM1334:AM1340)</f>
        <v>0</v>
      </c>
      <c r="AN1333" s="153">
        <f t="shared" si="1141"/>
        <v>0</v>
      </c>
      <c r="AO1333" s="154">
        <f t="shared" si="1142"/>
        <v>0</v>
      </c>
      <c r="AP1333" s="299">
        <v>0</v>
      </c>
      <c r="AQ1333" s="301">
        <v>0</v>
      </c>
      <c r="AR1333" s="226">
        <f t="shared" ref="AR1333:AS1333" si="1219">SUM(AR1334:AR1340)</f>
        <v>0</v>
      </c>
      <c r="AS1333" s="299">
        <f t="shared" si="1219"/>
        <v>0</v>
      </c>
      <c r="AT1333" s="155"/>
      <c r="AU1333" s="156">
        <f t="shared" si="1132"/>
        <v>0</v>
      </c>
      <c r="AV1333" s="156">
        <f t="shared" si="1133"/>
        <v>0</v>
      </c>
      <c r="AW1333" s="157"/>
      <c r="AX1333" s="150">
        <v>0</v>
      </c>
      <c r="AY1333" s="299">
        <f t="shared" ref="AY1333:BA1333" si="1220">SUM(AY1334:AY1340)</f>
        <v>0</v>
      </c>
      <c r="AZ1333" s="299">
        <f t="shared" si="1220"/>
        <v>0</v>
      </c>
      <c r="BA1333" s="299">
        <f t="shared" si="1220"/>
        <v>0</v>
      </c>
      <c r="BB1333" s="192">
        <v>5</v>
      </c>
      <c r="BC1333" s="256" t="s">
        <v>693</v>
      </c>
      <c r="BD1333" s="256" t="s">
        <v>671</v>
      </c>
      <c r="BE1333" s="256" t="s">
        <v>647</v>
      </c>
      <c r="BF1333" s="256" t="s">
        <v>630</v>
      </c>
      <c r="BG1333" s="185" t="s">
        <v>8263</v>
      </c>
      <c r="BH1333" s="302">
        <f>SUM(BH1334:BH1340)</f>
        <v>0</v>
      </c>
      <c r="BI1333" s="192"/>
      <c r="BJ1333" s="256" t="s">
        <v>8264</v>
      </c>
      <c r="BK1333" s="256" t="s">
        <v>8262</v>
      </c>
      <c r="BL1333" s="238" t="s">
        <v>8265</v>
      </c>
      <c r="BM1333" s="338">
        <f>BM1334</f>
        <v>0</v>
      </c>
      <c r="BN1333" s="160"/>
      <c r="BO1333" s="161"/>
      <c r="BP1333" s="161"/>
    </row>
    <row r="1334" spans="1:68" ht="25.5">
      <c r="A1334" s="206" t="s">
        <v>8262</v>
      </c>
      <c r="B1334" s="195" t="s">
        <v>8266</v>
      </c>
      <c r="C1334" s="196" t="s">
        <v>8267</v>
      </c>
      <c r="D1334" s="146" t="s">
        <v>4692</v>
      </c>
      <c r="E1334" s="196" t="s">
        <v>8267</v>
      </c>
      <c r="F1334" s="150">
        <v>0</v>
      </c>
      <c r="G1334" s="209">
        <v>0</v>
      </c>
      <c r="H1334" s="209"/>
      <c r="I1334" s="209">
        <v>0</v>
      </c>
      <c r="J1334" s="150">
        <v>0</v>
      </c>
      <c r="K1334" s="150">
        <v>0</v>
      </c>
      <c r="L1334" s="150">
        <f t="shared" si="1154"/>
        <v>0</v>
      </c>
      <c r="M1334" s="150">
        <v>0</v>
      </c>
      <c r="N1334" s="150"/>
      <c r="O1334" s="150">
        <v>0</v>
      </c>
      <c r="P1334" s="150">
        <v>0</v>
      </c>
      <c r="Q1334" s="150">
        <v>0</v>
      </c>
      <c r="R1334" s="150">
        <f t="shared" ref="R1334:R1340" si="1221">P1334+Q1334</f>
        <v>0</v>
      </c>
      <c r="S1334" s="150">
        <f t="shared" si="1145"/>
        <v>0</v>
      </c>
      <c r="T1334" s="150"/>
      <c r="U1334" s="150">
        <v>0</v>
      </c>
      <c r="V1334" s="199"/>
      <c r="W1334" s="150">
        <f t="shared" ref="W1334:W1340" si="1222">U1334+V1334</f>
        <v>0</v>
      </c>
      <c r="X1334" s="150">
        <v>0</v>
      </c>
      <c r="Y1334" s="150"/>
      <c r="Z1334" s="150">
        <v>0</v>
      </c>
      <c r="AA1334" s="150">
        <f t="shared" si="1137"/>
        <v>0</v>
      </c>
      <c r="AB1334" s="150">
        <v>0</v>
      </c>
      <c r="AC1334" s="199"/>
      <c r="AD1334" s="150">
        <f t="shared" ref="AD1334:AD1340" si="1223">AB1334+AC1334</f>
        <v>0</v>
      </c>
      <c r="AE1334" s="150">
        <v>0</v>
      </c>
      <c r="AF1334" s="169" t="s">
        <v>4680</v>
      </c>
      <c r="AG1334" s="201">
        <v>0</v>
      </c>
      <c r="AH1334" s="199"/>
      <c r="AI1334" s="150">
        <v>0</v>
      </c>
      <c r="AJ1334" s="169">
        <f t="shared" si="1139"/>
        <v>0</v>
      </c>
      <c r="AK1334" s="201">
        <v>0</v>
      </c>
      <c r="AL1334" s="199"/>
      <c r="AM1334" s="150">
        <f t="shared" ref="AM1334:AM1340" si="1224">AK1334+AL1334</f>
        <v>0</v>
      </c>
      <c r="AN1334" s="153">
        <f t="shared" si="1141"/>
        <v>0</v>
      </c>
      <c r="AO1334" s="154">
        <f t="shared" si="1142"/>
        <v>0</v>
      </c>
      <c r="AP1334" s="150">
        <v>0</v>
      </c>
      <c r="AQ1334" s="201">
        <v>0</v>
      </c>
      <c r="AR1334" s="199"/>
      <c r="AS1334" s="150">
        <f t="shared" ref="AS1334:AS1340" si="1225">AQ1334+AR1334</f>
        <v>0</v>
      </c>
      <c r="AT1334" s="155"/>
      <c r="AU1334" s="156">
        <f t="shared" si="1132"/>
        <v>0</v>
      </c>
      <c r="AV1334" s="156">
        <f t="shared" si="1133"/>
        <v>0</v>
      </c>
      <c r="AW1334" s="157"/>
      <c r="AX1334" s="150">
        <v>0</v>
      </c>
      <c r="AY1334" s="150">
        <v>0</v>
      </c>
      <c r="AZ1334" s="150"/>
      <c r="BA1334" s="150">
        <f t="shared" ref="BA1334:BA1347" si="1226">AY1334+AZ1334</f>
        <v>0</v>
      </c>
      <c r="BB1334" s="202">
        <v>5</v>
      </c>
      <c r="BC1334" s="202" t="s">
        <v>693</v>
      </c>
      <c r="BD1334" s="202" t="s">
        <v>671</v>
      </c>
      <c r="BE1334" s="202" t="s">
        <v>647</v>
      </c>
      <c r="BF1334" s="202" t="s">
        <v>632</v>
      </c>
      <c r="BG1334" s="287" t="s">
        <v>8263</v>
      </c>
      <c r="BH1334" s="283">
        <f>SUM(AS1334:AS1340)</f>
        <v>0</v>
      </c>
      <c r="BI1334" s="205"/>
      <c r="BJ1334" s="206" t="s">
        <v>8264</v>
      </c>
      <c r="BK1334" s="206" t="s">
        <v>8262</v>
      </c>
      <c r="BL1334" s="207" t="s">
        <v>8265</v>
      </c>
      <c r="BM1334" s="208">
        <f>BH1334</f>
        <v>0</v>
      </c>
      <c r="BN1334" s="160"/>
      <c r="BO1334" s="161">
        <f t="shared" si="1188"/>
        <v>0</v>
      </c>
      <c r="BP1334" s="161"/>
    </row>
    <row r="1335" spans="1:68">
      <c r="A1335" s="210"/>
      <c r="B1335" s="195" t="s">
        <v>8268</v>
      </c>
      <c r="C1335" s="196" t="s">
        <v>8269</v>
      </c>
      <c r="D1335" s="146" t="s">
        <v>4692</v>
      </c>
      <c r="E1335" s="196" t="s">
        <v>8269</v>
      </c>
      <c r="F1335" s="150">
        <v>0</v>
      </c>
      <c r="G1335" s="209">
        <v>0</v>
      </c>
      <c r="H1335" s="209"/>
      <c r="I1335" s="209">
        <v>0</v>
      </c>
      <c r="J1335" s="150">
        <v>0</v>
      </c>
      <c r="K1335" s="150">
        <v>0</v>
      </c>
      <c r="L1335" s="150">
        <f t="shared" si="1154"/>
        <v>0</v>
      </c>
      <c r="M1335" s="150">
        <v>0</v>
      </c>
      <c r="N1335" s="150"/>
      <c r="O1335" s="150">
        <v>0</v>
      </c>
      <c r="P1335" s="150">
        <v>0</v>
      </c>
      <c r="Q1335" s="150">
        <v>0</v>
      </c>
      <c r="R1335" s="150">
        <f t="shared" si="1221"/>
        <v>0</v>
      </c>
      <c r="S1335" s="150">
        <f t="shared" si="1145"/>
        <v>0</v>
      </c>
      <c r="T1335" s="150"/>
      <c r="U1335" s="150">
        <v>0</v>
      </c>
      <c r="V1335" s="199"/>
      <c r="W1335" s="150">
        <f t="shared" si="1222"/>
        <v>0</v>
      </c>
      <c r="X1335" s="150">
        <v>0</v>
      </c>
      <c r="Y1335" s="150"/>
      <c r="Z1335" s="150">
        <v>0</v>
      </c>
      <c r="AA1335" s="150">
        <f t="shared" si="1137"/>
        <v>0</v>
      </c>
      <c r="AB1335" s="150">
        <v>0</v>
      </c>
      <c r="AC1335" s="199"/>
      <c r="AD1335" s="150">
        <f t="shared" si="1223"/>
        <v>0</v>
      </c>
      <c r="AE1335" s="150">
        <v>0</v>
      </c>
      <c r="AF1335" s="169" t="s">
        <v>4680</v>
      </c>
      <c r="AG1335" s="201">
        <v>0</v>
      </c>
      <c r="AH1335" s="199"/>
      <c r="AI1335" s="150">
        <v>0</v>
      </c>
      <c r="AJ1335" s="169">
        <f t="shared" si="1139"/>
        <v>0</v>
      </c>
      <c r="AK1335" s="201">
        <v>0</v>
      </c>
      <c r="AL1335" s="199"/>
      <c r="AM1335" s="150">
        <f t="shared" si="1224"/>
        <v>0</v>
      </c>
      <c r="AN1335" s="153">
        <f t="shared" si="1141"/>
        <v>0</v>
      </c>
      <c r="AO1335" s="154">
        <f t="shared" si="1142"/>
        <v>0</v>
      </c>
      <c r="AP1335" s="150">
        <v>0</v>
      </c>
      <c r="AQ1335" s="201">
        <v>0</v>
      </c>
      <c r="AR1335" s="199"/>
      <c r="AS1335" s="150">
        <f t="shared" si="1225"/>
        <v>0</v>
      </c>
      <c r="AT1335" s="155"/>
      <c r="AU1335" s="156">
        <f t="shared" si="1132"/>
        <v>0</v>
      </c>
      <c r="AV1335" s="156">
        <f t="shared" si="1133"/>
        <v>0</v>
      </c>
      <c r="AW1335" s="157"/>
      <c r="AX1335" s="150">
        <v>0</v>
      </c>
      <c r="AY1335" s="150">
        <v>0</v>
      </c>
      <c r="AZ1335" s="150"/>
      <c r="BA1335" s="150">
        <f t="shared" si="1226"/>
        <v>0</v>
      </c>
      <c r="BB1335" s="210"/>
      <c r="BC1335" s="210"/>
      <c r="BD1335" s="210"/>
      <c r="BE1335" s="210"/>
      <c r="BF1335" s="210"/>
      <c r="BG1335" s="210"/>
      <c r="BH1335" s="217"/>
      <c r="BI1335" s="210"/>
      <c r="BJ1335" s="210"/>
      <c r="BK1335" s="210"/>
      <c r="BL1335" s="210"/>
      <c r="BM1335" s="208"/>
      <c r="BN1335" s="160"/>
      <c r="BO1335" s="161">
        <f t="shared" si="1188"/>
        <v>0</v>
      </c>
      <c r="BP1335" s="161"/>
    </row>
    <row r="1336" spans="1:68" ht="25.5">
      <c r="A1336" s="210"/>
      <c r="B1336" s="195" t="s">
        <v>8270</v>
      </c>
      <c r="C1336" s="196" t="s">
        <v>8271</v>
      </c>
      <c r="D1336" s="146" t="s">
        <v>4692</v>
      </c>
      <c r="E1336" s="196" t="s">
        <v>8271</v>
      </c>
      <c r="F1336" s="150">
        <v>0</v>
      </c>
      <c r="G1336" s="209">
        <v>0</v>
      </c>
      <c r="H1336" s="209"/>
      <c r="I1336" s="209">
        <v>0</v>
      </c>
      <c r="J1336" s="150">
        <v>0</v>
      </c>
      <c r="K1336" s="150">
        <v>0</v>
      </c>
      <c r="L1336" s="150">
        <f t="shared" si="1154"/>
        <v>0</v>
      </c>
      <c r="M1336" s="150">
        <v>0</v>
      </c>
      <c r="N1336" s="150"/>
      <c r="O1336" s="150">
        <v>0</v>
      </c>
      <c r="P1336" s="150">
        <v>0</v>
      </c>
      <c r="Q1336" s="150">
        <v>0</v>
      </c>
      <c r="R1336" s="150">
        <f t="shared" si="1221"/>
        <v>0</v>
      </c>
      <c r="S1336" s="150">
        <f t="shared" si="1145"/>
        <v>0</v>
      </c>
      <c r="T1336" s="150"/>
      <c r="U1336" s="150">
        <v>0</v>
      </c>
      <c r="V1336" s="199"/>
      <c r="W1336" s="150">
        <f t="shared" si="1222"/>
        <v>0</v>
      </c>
      <c r="X1336" s="150">
        <v>0</v>
      </c>
      <c r="Y1336" s="150"/>
      <c r="Z1336" s="150">
        <v>0</v>
      </c>
      <c r="AA1336" s="150">
        <f t="shared" si="1137"/>
        <v>0</v>
      </c>
      <c r="AB1336" s="150">
        <v>0</v>
      </c>
      <c r="AC1336" s="199"/>
      <c r="AD1336" s="150">
        <f t="shared" si="1223"/>
        <v>0</v>
      </c>
      <c r="AE1336" s="150">
        <v>0</v>
      </c>
      <c r="AF1336" s="169" t="s">
        <v>4680</v>
      </c>
      <c r="AG1336" s="201">
        <v>0</v>
      </c>
      <c r="AH1336" s="199"/>
      <c r="AI1336" s="150">
        <v>0</v>
      </c>
      <c r="AJ1336" s="169">
        <f t="shared" si="1139"/>
        <v>0</v>
      </c>
      <c r="AK1336" s="201">
        <v>0</v>
      </c>
      <c r="AL1336" s="199"/>
      <c r="AM1336" s="150">
        <f t="shared" si="1224"/>
        <v>0</v>
      </c>
      <c r="AN1336" s="153">
        <f t="shared" si="1141"/>
        <v>0</v>
      </c>
      <c r="AO1336" s="154">
        <f t="shared" si="1142"/>
        <v>0</v>
      </c>
      <c r="AP1336" s="150">
        <v>0</v>
      </c>
      <c r="AQ1336" s="201">
        <v>0</v>
      </c>
      <c r="AR1336" s="199"/>
      <c r="AS1336" s="150">
        <f t="shared" si="1225"/>
        <v>0</v>
      </c>
      <c r="AT1336" s="155"/>
      <c r="AU1336" s="156">
        <f t="shared" si="1132"/>
        <v>0</v>
      </c>
      <c r="AV1336" s="156">
        <f t="shared" si="1133"/>
        <v>0</v>
      </c>
      <c r="AW1336" s="157"/>
      <c r="AX1336" s="150">
        <v>0</v>
      </c>
      <c r="AY1336" s="150">
        <v>0</v>
      </c>
      <c r="AZ1336" s="150"/>
      <c r="BA1336" s="150">
        <f t="shared" si="1226"/>
        <v>0</v>
      </c>
      <c r="BB1336" s="210"/>
      <c r="BC1336" s="210"/>
      <c r="BD1336" s="210"/>
      <c r="BE1336" s="210"/>
      <c r="BF1336" s="210"/>
      <c r="BG1336" s="210"/>
      <c r="BH1336" s="217"/>
      <c r="BI1336" s="210"/>
      <c r="BJ1336" s="210"/>
      <c r="BK1336" s="210"/>
      <c r="BL1336" s="210"/>
      <c r="BM1336" s="208"/>
      <c r="BN1336" s="160"/>
      <c r="BO1336" s="161">
        <f t="shared" si="1188"/>
        <v>0</v>
      </c>
      <c r="BP1336" s="161"/>
    </row>
    <row r="1337" spans="1:68">
      <c r="A1337" s="210"/>
      <c r="B1337" s="195" t="s">
        <v>8272</v>
      </c>
      <c r="C1337" s="196" t="s">
        <v>8273</v>
      </c>
      <c r="D1337" s="146" t="s">
        <v>4692</v>
      </c>
      <c r="E1337" s="196" t="s">
        <v>8273</v>
      </c>
      <c r="F1337" s="150">
        <v>0</v>
      </c>
      <c r="G1337" s="209">
        <v>0</v>
      </c>
      <c r="H1337" s="209"/>
      <c r="I1337" s="209">
        <v>0</v>
      </c>
      <c r="J1337" s="150">
        <v>0</v>
      </c>
      <c r="K1337" s="150">
        <v>0</v>
      </c>
      <c r="L1337" s="150">
        <f t="shared" si="1154"/>
        <v>0</v>
      </c>
      <c r="M1337" s="150">
        <v>0</v>
      </c>
      <c r="N1337" s="150"/>
      <c r="O1337" s="150">
        <v>0</v>
      </c>
      <c r="P1337" s="150">
        <v>0</v>
      </c>
      <c r="Q1337" s="150">
        <v>0</v>
      </c>
      <c r="R1337" s="150">
        <f t="shared" si="1221"/>
        <v>0</v>
      </c>
      <c r="S1337" s="150">
        <f t="shared" si="1145"/>
        <v>0</v>
      </c>
      <c r="T1337" s="150"/>
      <c r="U1337" s="150">
        <v>0</v>
      </c>
      <c r="V1337" s="199"/>
      <c r="W1337" s="150">
        <f t="shared" si="1222"/>
        <v>0</v>
      </c>
      <c r="X1337" s="150">
        <v>0</v>
      </c>
      <c r="Y1337" s="150"/>
      <c r="Z1337" s="150">
        <v>0</v>
      </c>
      <c r="AA1337" s="150">
        <f t="shared" si="1137"/>
        <v>0</v>
      </c>
      <c r="AB1337" s="150">
        <v>0</v>
      </c>
      <c r="AC1337" s="199"/>
      <c r="AD1337" s="150">
        <f t="shared" si="1223"/>
        <v>0</v>
      </c>
      <c r="AE1337" s="150">
        <v>0</v>
      </c>
      <c r="AF1337" s="169" t="s">
        <v>4680</v>
      </c>
      <c r="AG1337" s="201">
        <v>0</v>
      </c>
      <c r="AH1337" s="199"/>
      <c r="AI1337" s="150">
        <v>0</v>
      </c>
      <c r="AJ1337" s="169">
        <f t="shared" si="1139"/>
        <v>0</v>
      </c>
      <c r="AK1337" s="201">
        <v>0</v>
      </c>
      <c r="AL1337" s="199"/>
      <c r="AM1337" s="150">
        <f t="shared" si="1224"/>
        <v>0</v>
      </c>
      <c r="AN1337" s="153">
        <f t="shared" si="1141"/>
        <v>0</v>
      </c>
      <c r="AO1337" s="154">
        <f t="shared" si="1142"/>
        <v>0</v>
      </c>
      <c r="AP1337" s="150">
        <v>0</v>
      </c>
      <c r="AQ1337" s="201">
        <v>0</v>
      </c>
      <c r="AR1337" s="199"/>
      <c r="AS1337" s="150">
        <f t="shared" si="1225"/>
        <v>0</v>
      </c>
      <c r="AT1337" s="155"/>
      <c r="AU1337" s="156">
        <f t="shared" si="1132"/>
        <v>0</v>
      </c>
      <c r="AV1337" s="156">
        <f t="shared" si="1133"/>
        <v>0</v>
      </c>
      <c r="AW1337" s="157"/>
      <c r="AX1337" s="150">
        <v>0</v>
      </c>
      <c r="AY1337" s="150">
        <v>0</v>
      </c>
      <c r="AZ1337" s="150"/>
      <c r="BA1337" s="150">
        <f t="shared" si="1226"/>
        <v>0</v>
      </c>
      <c r="BB1337" s="210"/>
      <c r="BC1337" s="210"/>
      <c r="BD1337" s="210"/>
      <c r="BE1337" s="210"/>
      <c r="BF1337" s="210"/>
      <c r="BG1337" s="210"/>
      <c r="BH1337" s="217"/>
      <c r="BI1337" s="210"/>
      <c r="BJ1337" s="210"/>
      <c r="BK1337" s="210"/>
      <c r="BL1337" s="210"/>
      <c r="BM1337" s="208"/>
      <c r="BN1337" s="160"/>
      <c r="BO1337" s="161">
        <f t="shared" si="1188"/>
        <v>0</v>
      </c>
      <c r="BP1337" s="161"/>
    </row>
    <row r="1338" spans="1:68" ht="25.5">
      <c r="A1338" s="210"/>
      <c r="B1338" s="195" t="s">
        <v>8274</v>
      </c>
      <c r="C1338" s="196" t="s">
        <v>8275</v>
      </c>
      <c r="D1338" s="146" t="s">
        <v>4692</v>
      </c>
      <c r="E1338" s="196" t="s">
        <v>8275</v>
      </c>
      <c r="F1338" s="150">
        <v>0</v>
      </c>
      <c r="G1338" s="209">
        <v>0</v>
      </c>
      <c r="H1338" s="209"/>
      <c r="I1338" s="209">
        <v>0</v>
      </c>
      <c r="J1338" s="150">
        <v>0</v>
      </c>
      <c r="K1338" s="150">
        <v>0</v>
      </c>
      <c r="L1338" s="150">
        <f t="shared" si="1154"/>
        <v>0</v>
      </c>
      <c r="M1338" s="150">
        <v>0</v>
      </c>
      <c r="N1338" s="150"/>
      <c r="O1338" s="150">
        <v>0</v>
      </c>
      <c r="P1338" s="150">
        <v>0</v>
      </c>
      <c r="Q1338" s="150">
        <v>0</v>
      </c>
      <c r="R1338" s="150">
        <f t="shared" si="1221"/>
        <v>0</v>
      </c>
      <c r="S1338" s="150">
        <f t="shared" si="1145"/>
        <v>0</v>
      </c>
      <c r="T1338" s="150"/>
      <c r="U1338" s="150">
        <v>0</v>
      </c>
      <c r="V1338" s="199"/>
      <c r="W1338" s="150">
        <f t="shared" si="1222"/>
        <v>0</v>
      </c>
      <c r="X1338" s="150">
        <v>0</v>
      </c>
      <c r="Y1338" s="150"/>
      <c r="Z1338" s="150">
        <v>0</v>
      </c>
      <c r="AA1338" s="150">
        <f t="shared" si="1137"/>
        <v>0</v>
      </c>
      <c r="AB1338" s="150">
        <v>0</v>
      </c>
      <c r="AC1338" s="199"/>
      <c r="AD1338" s="150">
        <f t="shared" si="1223"/>
        <v>0</v>
      </c>
      <c r="AE1338" s="150">
        <v>0</v>
      </c>
      <c r="AF1338" s="169" t="s">
        <v>4680</v>
      </c>
      <c r="AG1338" s="201">
        <v>0</v>
      </c>
      <c r="AH1338" s="199"/>
      <c r="AI1338" s="150">
        <v>0</v>
      </c>
      <c r="AJ1338" s="169">
        <f t="shared" si="1139"/>
        <v>0</v>
      </c>
      <c r="AK1338" s="201">
        <v>0</v>
      </c>
      <c r="AL1338" s="199"/>
      <c r="AM1338" s="150">
        <f t="shared" si="1224"/>
        <v>0</v>
      </c>
      <c r="AN1338" s="153">
        <f t="shared" si="1141"/>
        <v>0</v>
      </c>
      <c r="AO1338" s="154">
        <f t="shared" si="1142"/>
        <v>0</v>
      </c>
      <c r="AP1338" s="150">
        <v>0</v>
      </c>
      <c r="AQ1338" s="201">
        <v>0</v>
      </c>
      <c r="AR1338" s="199"/>
      <c r="AS1338" s="150">
        <f t="shared" si="1225"/>
        <v>0</v>
      </c>
      <c r="AT1338" s="155"/>
      <c r="AU1338" s="156">
        <f t="shared" si="1132"/>
        <v>0</v>
      </c>
      <c r="AV1338" s="156">
        <f t="shared" si="1133"/>
        <v>0</v>
      </c>
      <c r="AW1338" s="157"/>
      <c r="AX1338" s="150">
        <v>0</v>
      </c>
      <c r="AY1338" s="150">
        <v>0</v>
      </c>
      <c r="AZ1338" s="150"/>
      <c r="BA1338" s="150">
        <f t="shared" si="1226"/>
        <v>0</v>
      </c>
      <c r="BB1338" s="210"/>
      <c r="BC1338" s="210"/>
      <c r="BD1338" s="210"/>
      <c r="BE1338" s="210"/>
      <c r="BF1338" s="210"/>
      <c r="BG1338" s="210"/>
      <c r="BH1338" s="217"/>
      <c r="BI1338" s="210"/>
      <c r="BJ1338" s="210"/>
      <c r="BK1338" s="210"/>
      <c r="BL1338" s="210"/>
      <c r="BM1338" s="208"/>
      <c r="BN1338" s="160"/>
      <c r="BO1338" s="161">
        <f t="shared" si="1188"/>
        <v>0</v>
      </c>
      <c r="BP1338" s="161"/>
    </row>
    <row r="1339" spans="1:68">
      <c r="A1339" s="210"/>
      <c r="B1339" s="195" t="s">
        <v>8276</v>
      </c>
      <c r="C1339" s="196" t="s">
        <v>8277</v>
      </c>
      <c r="D1339" s="146" t="s">
        <v>4692</v>
      </c>
      <c r="E1339" s="196" t="s">
        <v>8277</v>
      </c>
      <c r="F1339" s="150">
        <v>0</v>
      </c>
      <c r="G1339" s="209">
        <v>0</v>
      </c>
      <c r="H1339" s="209"/>
      <c r="I1339" s="209">
        <v>0</v>
      </c>
      <c r="J1339" s="150">
        <v>0</v>
      </c>
      <c r="K1339" s="150">
        <v>0</v>
      </c>
      <c r="L1339" s="150">
        <f t="shared" si="1154"/>
        <v>0</v>
      </c>
      <c r="M1339" s="150">
        <v>0</v>
      </c>
      <c r="N1339" s="150"/>
      <c r="O1339" s="150">
        <v>0</v>
      </c>
      <c r="P1339" s="150">
        <v>0</v>
      </c>
      <c r="Q1339" s="150">
        <v>0</v>
      </c>
      <c r="R1339" s="150">
        <f t="shared" si="1221"/>
        <v>0</v>
      </c>
      <c r="S1339" s="150">
        <f t="shared" si="1145"/>
        <v>0</v>
      </c>
      <c r="T1339" s="150"/>
      <c r="U1339" s="150">
        <v>0</v>
      </c>
      <c r="V1339" s="199"/>
      <c r="W1339" s="150">
        <f t="shared" si="1222"/>
        <v>0</v>
      </c>
      <c r="X1339" s="150">
        <v>0</v>
      </c>
      <c r="Y1339" s="150"/>
      <c r="Z1339" s="150">
        <v>0</v>
      </c>
      <c r="AA1339" s="150">
        <f t="shared" si="1137"/>
        <v>0</v>
      </c>
      <c r="AB1339" s="150">
        <v>0</v>
      </c>
      <c r="AC1339" s="199"/>
      <c r="AD1339" s="150">
        <f t="shared" si="1223"/>
        <v>0</v>
      </c>
      <c r="AE1339" s="150">
        <v>0</v>
      </c>
      <c r="AF1339" s="169" t="s">
        <v>4680</v>
      </c>
      <c r="AG1339" s="201">
        <v>0</v>
      </c>
      <c r="AH1339" s="199"/>
      <c r="AI1339" s="150">
        <v>0</v>
      </c>
      <c r="AJ1339" s="169">
        <f t="shared" si="1139"/>
        <v>0</v>
      </c>
      <c r="AK1339" s="201">
        <v>0</v>
      </c>
      <c r="AL1339" s="199"/>
      <c r="AM1339" s="150">
        <f t="shared" si="1224"/>
        <v>0</v>
      </c>
      <c r="AN1339" s="153">
        <f t="shared" si="1141"/>
        <v>0</v>
      </c>
      <c r="AO1339" s="154">
        <f t="shared" si="1142"/>
        <v>0</v>
      </c>
      <c r="AP1339" s="150">
        <v>0</v>
      </c>
      <c r="AQ1339" s="201">
        <v>0</v>
      </c>
      <c r="AR1339" s="199"/>
      <c r="AS1339" s="150">
        <f t="shared" si="1225"/>
        <v>0</v>
      </c>
      <c r="AT1339" s="155"/>
      <c r="AU1339" s="156">
        <f t="shared" si="1132"/>
        <v>0</v>
      </c>
      <c r="AV1339" s="156">
        <f t="shared" si="1133"/>
        <v>0</v>
      </c>
      <c r="AW1339" s="157"/>
      <c r="AX1339" s="150">
        <v>0</v>
      </c>
      <c r="AY1339" s="150">
        <v>0</v>
      </c>
      <c r="AZ1339" s="150"/>
      <c r="BA1339" s="150">
        <f t="shared" si="1226"/>
        <v>0</v>
      </c>
      <c r="BB1339" s="210"/>
      <c r="BC1339" s="210"/>
      <c r="BD1339" s="210"/>
      <c r="BE1339" s="210"/>
      <c r="BF1339" s="210"/>
      <c r="BG1339" s="210"/>
      <c r="BH1339" s="217"/>
      <c r="BI1339" s="210"/>
      <c r="BJ1339" s="210"/>
      <c r="BK1339" s="210"/>
      <c r="BL1339" s="210"/>
      <c r="BM1339" s="208"/>
      <c r="BN1339" s="160"/>
      <c r="BO1339" s="161">
        <f t="shared" si="1188"/>
        <v>0</v>
      </c>
      <c r="BP1339" s="161"/>
    </row>
    <row r="1340" spans="1:68">
      <c r="A1340" s="210"/>
      <c r="B1340" s="195" t="s">
        <v>8278</v>
      </c>
      <c r="C1340" s="196" t="s">
        <v>8279</v>
      </c>
      <c r="D1340" s="146" t="s">
        <v>4692</v>
      </c>
      <c r="E1340" s="196" t="s">
        <v>8279</v>
      </c>
      <c r="F1340" s="150">
        <v>0</v>
      </c>
      <c r="G1340" s="209">
        <v>0</v>
      </c>
      <c r="H1340" s="209">
        <v>0</v>
      </c>
      <c r="I1340" s="209">
        <v>0</v>
      </c>
      <c r="J1340" s="150">
        <v>0</v>
      </c>
      <c r="K1340" s="150">
        <v>0</v>
      </c>
      <c r="L1340" s="150">
        <f t="shared" si="1154"/>
        <v>0</v>
      </c>
      <c r="M1340" s="150">
        <v>0</v>
      </c>
      <c r="N1340" s="150"/>
      <c r="O1340" s="150">
        <v>0</v>
      </c>
      <c r="P1340" s="150">
        <v>0</v>
      </c>
      <c r="Q1340" s="150">
        <v>0</v>
      </c>
      <c r="R1340" s="150">
        <f t="shared" si="1221"/>
        <v>0</v>
      </c>
      <c r="S1340" s="150">
        <f t="shared" si="1145"/>
        <v>0</v>
      </c>
      <c r="T1340" s="150"/>
      <c r="U1340" s="150">
        <v>0</v>
      </c>
      <c r="V1340" s="199"/>
      <c r="W1340" s="150">
        <f t="shared" si="1222"/>
        <v>0</v>
      </c>
      <c r="X1340" s="150">
        <v>0</v>
      </c>
      <c r="Y1340" s="150"/>
      <c r="Z1340" s="150">
        <v>0</v>
      </c>
      <c r="AA1340" s="150">
        <f t="shared" si="1137"/>
        <v>0</v>
      </c>
      <c r="AB1340" s="150">
        <v>0</v>
      </c>
      <c r="AC1340" s="199"/>
      <c r="AD1340" s="150">
        <f t="shared" si="1223"/>
        <v>0</v>
      </c>
      <c r="AE1340" s="150">
        <v>0</v>
      </c>
      <c r="AF1340" s="169" t="s">
        <v>4680</v>
      </c>
      <c r="AG1340" s="201">
        <v>0</v>
      </c>
      <c r="AH1340" s="199"/>
      <c r="AI1340" s="150">
        <v>0</v>
      </c>
      <c r="AJ1340" s="169">
        <f t="shared" si="1139"/>
        <v>0</v>
      </c>
      <c r="AK1340" s="201">
        <v>0</v>
      </c>
      <c r="AL1340" s="199"/>
      <c r="AM1340" s="150">
        <f t="shared" si="1224"/>
        <v>0</v>
      </c>
      <c r="AN1340" s="153">
        <f t="shared" si="1141"/>
        <v>0</v>
      </c>
      <c r="AO1340" s="154">
        <f t="shared" si="1142"/>
        <v>0</v>
      </c>
      <c r="AP1340" s="150">
        <v>0</v>
      </c>
      <c r="AQ1340" s="201">
        <v>0</v>
      </c>
      <c r="AR1340" s="199"/>
      <c r="AS1340" s="150">
        <f t="shared" si="1225"/>
        <v>0</v>
      </c>
      <c r="AT1340" s="155"/>
      <c r="AU1340" s="156">
        <f t="shared" si="1132"/>
        <v>0</v>
      </c>
      <c r="AV1340" s="156">
        <f t="shared" si="1133"/>
        <v>0</v>
      </c>
      <c r="AW1340" s="157"/>
      <c r="AX1340" s="150">
        <v>0</v>
      </c>
      <c r="AY1340" s="150">
        <v>0</v>
      </c>
      <c r="AZ1340" s="150"/>
      <c r="BA1340" s="150">
        <f t="shared" si="1226"/>
        <v>0</v>
      </c>
      <c r="BB1340" s="210"/>
      <c r="BC1340" s="210"/>
      <c r="BD1340" s="210"/>
      <c r="BE1340" s="210"/>
      <c r="BF1340" s="210"/>
      <c r="BG1340" s="210"/>
      <c r="BH1340" s="217"/>
      <c r="BI1340" s="210"/>
      <c r="BJ1340" s="210"/>
      <c r="BK1340" s="210"/>
      <c r="BL1340" s="210"/>
      <c r="BM1340" s="208"/>
      <c r="BN1340" s="160"/>
      <c r="BO1340" s="161">
        <f t="shared" si="1188"/>
        <v>0</v>
      </c>
      <c r="BP1340" s="161"/>
    </row>
    <row r="1341" spans="1:68" ht="25.5">
      <c r="A1341" s="255" t="s">
        <v>8280</v>
      </c>
      <c r="B1341" s="174"/>
      <c r="C1341" s="175" t="s">
        <v>8281</v>
      </c>
      <c r="D1341" s="146" t="s">
        <v>4692</v>
      </c>
      <c r="E1341" s="175" t="s">
        <v>8281</v>
      </c>
      <c r="F1341" s="176">
        <v>0</v>
      </c>
      <c r="G1341" s="177">
        <v>0</v>
      </c>
      <c r="H1341" s="177">
        <v>0</v>
      </c>
      <c r="I1341" s="177">
        <v>0</v>
      </c>
      <c r="J1341" s="176">
        <f>J1342</f>
        <v>0</v>
      </c>
      <c r="K1341" s="176">
        <f>K1342</f>
        <v>0</v>
      </c>
      <c r="L1341" s="176">
        <f t="shared" si="1154"/>
        <v>0</v>
      </c>
      <c r="M1341" s="178">
        <v>0</v>
      </c>
      <c r="N1341" s="178">
        <v>0</v>
      </c>
      <c r="O1341" s="178">
        <v>0</v>
      </c>
      <c r="P1341" s="221">
        <f t="shared" ref="P1341:AM1342" si="1227">P1342</f>
        <v>0</v>
      </c>
      <c r="Q1341" s="221">
        <f t="shared" si="1227"/>
        <v>0</v>
      </c>
      <c r="R1341" s="221">
        <f t="shared" si="1227"/>
        <v>0</v>
      </c>
      <c r="S1341" s="150">
        <f t="shared" si="1145"/>
        <v>0</v>
      </c>
      <c r="T1341" s="213"/>
      <c r="U1341" s="221">
        <f t="shared" ref="U1341:W1342" si="1228">U1342</f>
        <v>0</v>
      </c>
      <c r="V1341" s="222">
        <f t="shared" si="1228"/>
        <v>0</v>
      </c>
      <c r="W1341" s="221">
        <f t="shared" si="1228"/>
        <v>0</v>
      </c>
      <c r="X1341" s="221">
        <v>0</v>
      </c>
      <c r="Y1341" s="221">
        <v>0</v>
      </c>
      <c r="Z1341" s="221">
        <v>0</v>
      </c>
      <c r="AA1341" s="221">
        <f t="shared" si="1137"/>
        <v>0</v>
      </c>
      <c r="AB1341" s="221">
        <v>0</v>
      </c>
      <c r="AC1341" s="222">
        <v>0</v>
      </c>
      <c r="AD1341" s="221">
        <f t="shared" si="1227"/>
        <v>0</v>
      </c>
      <c r="AE1341" s="221">
        <v>0</v>
      </c>
      <c r="AF1341" s="169" t="s">
        <v>4680</v>
      </c>
      <c r="AG1341" s="223">
        <v>0</v>
      </c>
      <c r="AH1341" s="222">
        <v>0</v>
      </c>
      <c r="AI1341" s="221">
        <v>0</v>
      </c>
      <c r="AJ1341" s="169">
        <f t="shared" si="1139"/>
        <v>0</v>
      </c>
      <c r="AK1341" s="223">
        <v>0</v>
      </c>
      <c r="AL1341" s="222">
        <v>0</v>
      </c>
      <c r="AM1341" s="221">
        <f t="shared" si="1227"/>
        <v>0</v>
      </c>
      <c r="AN1341" s="153">
        <f t="shared" si="1141"/>
        <v>0</v>
      </c>
      <c r="AO1341" s="154">
        <f t="shared" si="1142"/>
        <v>0</v>
      </c>
      <c r="AP1341" s="221">
        <v>0</v>
      </c>
      <c r="AQ1341" s="223">
        <v>0</v>
      </c>
      <c r="AR1341" s="222">
        <f t="shared" ref="AR1341:AS1342" si="1229">AR1342</f>
        <v>0</v>
      </c>
      <c r="AS1341" s="221">
        <f t="shared" si="1229"/>
        <v>0</v>
      </c>
      <c r="AT1341" s="155"/>
      <c r="AU1341" s="156">
        <f t="shared" si="1132"/>
        <v>0</v>
      </c>
      <c r="AV1341" s="156">
        <f t="shared" si="1133"/>
        <v>0</v>
      </c>
      <c r="AW1341" s="157"/>
      <c r="AX1341" s="150">
        <v>0</v>
      </c>
      <c r="AY1341" s="221">
        <f t="shared" ref="AY1341:BA1342" si="1230">AY1342</f>
        <v>0</v>
      </c>
      <c r="AZ1341" s="221">
        <f t="shared" si="1230"/>
        <v>0</v>
      </c>
      <c r="BA1341" s="221">
        <f t="shared" si="1230"/>
        <v>0</v>
      </c>
      <c r="BB1341" s="254">
        <v>5</v>
      </c>
      <c r="BC1341" s="255" t="s">
        <v>693</v>
      </c>
      <c r="BD1341" s="255" t="s">
        <v>714</v>
      </c>
      <c r="BE1341" s="173" t="s">
        <v>630</v>
      </c>
      <c r="BF1341" s="255" t="s">
        <v>630</v>
      </c>
      <c r="BG1341" s="175" t="s">
        <v>8281</v>
      </c>
      <c r="BH1341" s="224">
        <f>BH1342</f>
        <v>0</v>
      </c>
      <c r="BI1341" s="254"/>
      <c r="BJ1341" s="255" t="s">
        <v>8282</v>
      </c>
      <c r="BK1341" s="255" t="s">
        <v>8280</v>
      </c>
      <c r="BL1341" s="182" t="s">
        <v>8283</v>
      </c>
      <c r="BM1341" s="337">
        <f>BM1342</f>
        <v>0</v>
      </c>
      <c r="BN1341" s="160"/>
      <c r="BO1341" s="161">
        <f t="shared" si="1188"/>
        <v>0</v>
      </c>
      <c r="BP1341" s="161"/>
    </row>
    <row r="1342" spans="1:68" ht="25.5">
      <c r="A1342" s="256" t="s">
        <v>8280</v>
      </c>
      <c r="B1342" s="184"/>
      <c r="C1342" s="185" t="s">
        <v>8281</v>
      </c>
      <c r="D1342" s="146" t="s">
        <v>4692</v>
      </c>
      <c r="E1342" s="185" t="s">
        <v>8281</v>
      </c>
      <c r="F1342" s="188">
        <v>0</v>
      </c>
      <c r="G1342" s="187">
        <v>0</v>
      </c>
      <c r="H1342" s="187"/>
      <c r="I1342" s="187">
        <v>0</v>
      </c>
      <c r="J1342" s="188">
        <f>J1343</f>
        <v>0</v>
      </c>
      <c r="K1342" s="188">
        <f>K1343</f>
        <v>0</v>
      </c>
      <c r="L1342" s="188">
        <f t="shared" si="1154"/>
        <v>0</v>
      </c>
      <c r="M1342" s="188">
        <v>0</v>
      </c>
      <c r="N1342" s="188">
        <v>0</v>
      </c>
      <c r="O1342" s="188">
        <v>0</v>
      </c>
      <c r="P1342" s="299">
        <f t="shared" si="1227"/>
        <v>0</v>
      </c>
      <c r="Q1342" s="299">
        <f t="shared" si="1227"/>
        <v>0</v>
      </c>
      <c r="R1342" s="299">
        <f t="shared" si="1227"/>
        <v>0</v>
      </c>
      <c r="S1342" s="150">
        <f t="shared" si="1145"/>
        <v>0</v>
      </c>
      <c r="T1342" s="213"/>
      <c r="U1342" s="299">
        <f t="shared" si="1228"/>
        <v>0</v>
      </c>
      <c r="V1342" s="226">
        <f t="shared" si="1228"/>
        <v>0</v>
      </c>
      <c r="W1342" s="299">
        <f t="shared" si="1228"/>
        <v>0</v>
      </c>
      <c r="X1342" s="299">
        <v>0</v>
      </c>
      <c r="Y1342" s="299">
        <v>0</v>
      </c>
      <c r="Z1342" s="299">
        <v>0</v>
      </c>
      <c r="AA1342" s="299">
        <f t="shared" si="1137"/>
        <v>0</v>
      </c>
      <c r="AB1342" s="299">
        <v>0</v>
      </c>
      <c r="AC1342" s="226">
        <v>0</v>
      </c>
      <c r="AD1342" s="299">
        <f t="shared" si="1227"/>
        <v>0</v>
      </c>
      <c r="AE1342" s="299">
        <v>0</v>
      </c>
      <c r="AF1342" s="169" t="s">
        <v>4680</v>
      </c>
      <c r="AG1342" s="301">
        <v>0</v>
      </c>
      <c r="AH1342" s="226">
        <v>0</v>
      </c>
      <c r="AI1342" s="299">
        <v>0</v>
      </c>
      <c r="AJ1342" s="169">
        <f t="shared" si="1139"/>
        <v>0</v>
      </c>
      <c r="AK1342" s="301">
        <v>0</v>
      </c>
      <c r="AL1342" s="226">
        <v>0</v>
      </c>
      <c r="AM1342" s="299">
        <f t="shared" si="1227"/>
        <v>0</v>
      </c>
      <c r="AN1342" s="153">
        <f t="shared" si="1141"/>
        <v>0</v>
      </c>
      <c r="AO1342" s="154">
        <f t="shared" si="1142"/>
        <v>0</v>
      </c>
      <c r="AP1342" s="299">
        <v>0</v>
      </c>
      <c r="AQ1342" s="301">
        <v>0</v>
      </c>
      <c r="AR1342" s="226">
        <f t="shared" si="1229"/>
        <v>0</v>
      </c>
      <c r="AS1342" s="299">
        <f t="shared" si="1229"/>
        <v>0</v>
      </c>
      <c r="AT1342" s="155"/>
      <c r="AU1342" s="156">
        <f t="shared" si="1132"/>
        <v>0</v>
      </c>
      <c r="AV1342" s="156">
        <f t="shared" si="1133"/>
        <v>0</v>
      </c>
      <c r="AW1342" s="157"/>
      <c r="AX1342" s="150">
        <v>0</v>
      </c>
      <c r="AY1342" s="299">
        <f t="shared" si="1230"/>
        <v>0</v>
      </c>
      <c r="AZ1342" s="299">
        <f t="shared" si="1230"/>
        <v>0</v>
      </c>
      <c r="BA1342" s="299">
        <f t="shared" si="1230"/>
        <v>0</v>
      </c>
      <c r="BB1342" s="192">
        <v>5</v>
      </c>
      <c r="BC1342" s="256" t="s">
        <v>693</v>
      </c>
      <c r="BD1342" s="256" t="s">
        <v>714</v>
      </c>
      <c r="BE1342" s="256" t="s">
        <v>632</v>
      </c>
      <c r="BF1342" s="256" t="s">
        <v>630</v>
      </c>
      <c r="BG1342" s="185" t="s">
        <v>8281</v>
      </c>
      <c r="BH1342" s="302">
        <f>BH1343</f>
        <v>0</v>
      </c>
      <c r="BI1342" s="192"/>
      <c r="BJ1342" s="256" t="s">
        <v>8282</v>
      </c>
      <c r="BK1342" s="256" t="s">
        <v>8280</v>
      </c>
      <c r="BL1342" s="238" t="s">
        <v>8283</v>
      </c>
      <c r="BM1342" s="338">
        <f>BM1343</f>
        <v>0</v>
      </c>
      <c r="BN1342" s="160"/>
      <c r="BO1342" s="161">
        <f t="shared" si="1188"/>
        <v>0</v>
      </c>
      <c r="BP1342" s="161"/>
    </row>
    <row r="1343" spans="1:68">
      <c r="A1343" s="206" t="s">
        <v>8280</v>
      </c>
      <c r="B1343" s="195" t="s">
        <v>8284</v>
      </c>
      <c r="C1343" s="196" t="s">
        <v>8281</v>
      </c>
      <c r="D1343" s="146" t="s">
        <v>4692</v>
      </c>
      <c r="E1343" s="196" t="s">
        <v>8281</v>
      </c>
      <c r="F1343" s="150">
        <v>0</v>
      </c>
      <c r="G1343" s="209">
        <v>0</v>
      </c>
      <c r="H1343" s="209">
        <v>0</v>
      </c>
      <c r="I1343" s="209">
        <v>0</v>
      </c>
      <c r="J1343" s="150">
        <v>0</v>
      </c>
      <c r="K1343" s="150">
        <v>0</v>
      </c>
      <c r="L1343" s="150">
        <f t="shared" si="1154"/>
        <v>0</v>
      </c>
      <c r="M1343" s="150">
        <v>0</v>
      </c>
      <c r="N1343" s="150"/>
      <c r="O1343" s="150">
        <v>0</v>
      </c>
      <c r="P1343" s="150">
        <v>0</v>
      </c>
      <c r="Q1343" s="150">
        <v>0</v>
      </c>
      <c r="R1343" s="150">
        <f>P1343+Q1343</f>
        <v>0</v>
      </c>
      <c r="S1343" s="150">
        <f t="shared" si="1145"/>
        <v>0</v>
      </c>
      <c r="T1343" s="150"/>
      <c r="U1343" s="150">
        <v>0</v>
      </c>
      <c r="V1343" s="199"/>
      <c r="W1343" s="150">
        <f>U1343+V1343</f>
        <v>0</v>
      </c>
      <c r="X1343" s="150">
        <v>0</v>
      </c>
      <c r="Y1343" s="150"/>
      <c r="Z1343" s="150">
        <v>0</v>
      </c>
      <c r="AA1343" s="150">
        <f t="shared" si="1137"/>
        <v>0</v>
      </c>
      <c r="AB1343" s="150">
        <v>0</v>
      </c>
      <c r="AC1343" s="199"/>
      <c r="AD1343" s="150">
        <f>AB1343+AC1343</f>
        <v>0</v>
      </c>
      <c r="AE1343" s="150">
        <v>0</v>
      </c>
      <c r="AF1343" s="169" t="s">
        <v>4680</v>
      </c>
      <c r="AG1343" s="201">
        <v>0</v>
      </c>
      <c r="AH1343" s="199"/>
      <c r="AI1343" s="150">
        <v>0</v>
      </c>
      <c r="AJ1343" s="169">
        <f t="shared" si="1139"/>
        <v>0</v>
      </c>
      <c r="AK1343" s="201">
        <v>0</v>
      </c>
      <c r="AL1343" s="199"/>
      <c r="AM1343" s="150">
        <f>AK1343+AL1343</f>
        <v>0</v>
      </c>
      <c r="AN1343" s="153">
        <f t="shared" si="1141"/>
        <v>0</v>
      </c>
      <c r="AO1343" s="154">
        <f t="shared" si="1142"/>
        <v>0</v>
      </c>
      <c r="AP1343" s="150">
        <v>0</v>
      </c>
      <c r="AQ1343" s="201">
        <v>0</v>
      </c>
      <c r="AR1343" s="199"/>
      <c r="AS1343" s="150">
        <f>AQ1343+AR1343</f>
        <v>0</v>
      </c>
      <c r="AT1343" s="155"/>
      <c r="AU1343" s="156">
        <f t="shared" si="1132"/>
        <v>0</v>
      </c>
      <c r="AV1343" s="156">
        <f t="shared" si="1133"/>
        <v>0</v>
      </c>
      <c r="AW1343" s="157"/>
      <c r="AX1343" s="150">
        <v>0</v>
      </c>
      <c r="AY1343" s="150">
        <v>0</v>
      </c>
      <c r="AZ1343" s="150"/>
      <c r="BA1343" s="150">
        <f t="shared" si="1226"/>
        <v>0</v>
      </c>
      <c r="BB1343" s="202">
        <v>5</v>
      </c>
      <c r="BC1343" s="202" t="s">
        <v>693</v>
      </c>
      <c r="BD1343" s="194" t="s">
        <v>714</v>
      </c>
      <c r="BE1343" s="202" t="s">
        <v>632</v>
      </c>
      <c r="BF1343" s="202" t="s">
        <v>632</v>
      </c>
      <c r="BG1343" s="287" t="s">
        <v>8281</v>
      </c>
      <c r="BH1343" s="283">
        <f>AS1343</f>
        <v>0</v>
      </c>
      <c r="BI1343" s="205"/>
      <c r="BJ1343" s="206" t="s">
        <v>8282</v>
      </c>
      <c r="BK1343" s="206" t="s">
        <v>8280</v>
      </c>
      <c r="BL1343" s="207" t="s">
        <v>8283</v>
      </c>
      <c r="BM1343" s="208">
        <f>BH1343</f>
        <v>0</v>
      </c>
      <c r="BN1343" s="160"/>
      <c r="BO1343" s="161">
        <f t="shared" si="1188"/>
        <v>0</v>
      </c>
      <c r="BP1343" s="161"/>
    </row>
    <row r="1344" spans="1:68" ht="38.25">
      <c r="A1344" s="255" t="s">
        <v>8285</v>
      </c>
      <c r="B1344" s="174"/>
      <c r="C1344" s="175" t="s">
        <v>8286</v>
      </c>
      <c r="D1344" s="146" t="s">
        <v>4692</v>
      </c>
      <c r="E1344" s="175" t="s">
        <v>8286</v>
      </c>
      <c r="F1344" s="178">
        <v>0</v>
      </c>
      <c r="G1344" s="177">
        <v>0</v>
      </c>
      <c r="H1344" s="177">
        <v>0</v>
      </c>
      <c r="I1344" s="177">
        <v>0</v>
      </c>
      <c r="J1344" s="178">
        <f>J1345</f>
        <v>0</v>
      </c>
      <c r="K1344" s="178">
        <f>K1345</f>
        <v>0</v>
      </c>
      <c r="L1344" s="178">
        <f t="shared" si="1154"/>
        <v>0</v>
      </c>
      <c r="M1344" s="178">
        <v>0</v>
      </c>
      <c r="N1344" s="178">
        <v>0</v>
      </c>
      <c r="O1344" s="178">
        <v>0</v>
      </c>
      <c r="P1344" s="319">
        <f t="shared" ref="P1344:AS1344" si="1231">P1345</f>
        <v>0</v>
      </c>
      <c r="Q1344" s="319">
        <f t="shared" si="1231"/>
        <v>0</v>
      </c>
      <c r="R1344" s="319">
        <f t="shared" si="1231"/>
        <v>0</v>
      </c>
      <c r="S1344" s="150">
        <f t="shared" si="1145"/>
        <v>0</v>
      </c>
      <c r="T1344" s="213"/>
      <c r="U1344" s="319">
        <f t="shared" ref="U1344:W1344" si="1232">U1345</f>
        <v>0</v>
      </c>
      <c r="V1344" s="222">
        <f t="shared" si="1232"/>
        <v>0</v>
      </c>
      <c r="W1344" s="319">
        <f t="shared" si="1232"/>
        <v>0</v>
      </c>
      <c r="X1344" s="319">
        <v>0</v>
      </c>
      <c r="Y1344" s="319">
        <v>0</v>
      </c>
      <c r="Z1344" s="319">
        <v>0</v>
      </c>
      <c r="AA1344" s="319">
        <f t="shared" si="1137"/>
        <v>0</v>
      </c>
      <c r="AB1344" s="319">
        <v>0</v>
      </c>
      <c r="AC1344" s="222">
        <v>0</v>
      </c>
      <c r="AD1344" s="319">
        <f t="shared" si="1231"/>
        <v>0</v>
      </c>
      <c r="AE1344" s="319">
        <v>0</v>
      </c>
      <c r="AF1344" s="169" t="s">
        <v>4680</v>
      </c>
      <c r="AG1344" s="320">
        <v>0</v>
      </c>
      <c r="AH1344" s="222">
        <v>0</v>
      </c>
      <c r="AI1344" s="319">
        <v>0</v>
      </c>
      <c r="AJ1344" s="169">
        <f t="shared" si="1139"/>
        <v>0</v>
      </c>
      <c r="AK1344" s="320">
        <v>0</v>
      </c>
      <c r="AL1344" s="222">
        <v>0</v>
      </c>
      <c r="AM1344" s="319">
        <f t="shared" si="1231"/>
        <v>0</v>
      </c>
      <c r="AN1344" s="153">
        <f t="shared" si="1141"/>
        <v>0</v>
      </c>
      <c r="AO1344" s="154">
        <f t="shared" si="1142"/>
        <v>0</v>
      </c>
      <c r="AP1344" s="319">
        <v>0</v>
      </c>
      <c r="AQ1344" s="320">
        <v>0</v>
      </c>
      <c r="AR1344" s="222">
        <f t="shared" si="1231"/>
        <v>0</v>
      </c>
      <c r="AS1344" s="319">
        <f t="shared" si="1231"/>
        <v>0</v>
      </c>
      <c r="AT1344" s="155"/>
      <c r="AU1344" s="156">
        <f t="shared" si="1132"/>
        <v>0</v>
      </c>
      <c r="AV1344" s="156">
        <f t="shared" si="1133"/>
        <v>0</v>
      </c>
      <c r="AW1344" s="157"/>
      <c r="AX1344" s="150">
        <v>0</v>
      </c>
      <c r="AY1344" s="319">
        <f t="shared" ref="AY1344:BA1344" si="1233">AY1345</f>
        <v>0</v>
      </c>
      <c r="AZ1344" s="319">
        <f t="shared" si="1233"/>
        <v>0</v>
      </c>
      <c r="BA1344" s="319">
        <f t="shared" si="1233"/>
        <v>0</v>
      </c>
      <c r="BB1344" s="254">
        <v>5</v>
      </c>
      <c r="BC1344" s="255" t="s">
        <v>693</v>
      </c>
      <c r="BD1344" s="255" t="s">
        <v>693</v>
      </c>
      <c r="BE1344" s="173" t="s">
        <v>630</v>
      </c>
      <c r="BF1344" s="255" t="s">
        <v>630</v>
      </c>
      <c r="BG1344" s="175" t="s">
        <v>8286</v>
      </c>
      <c r="BH1344" s="339">
        <f>BH1345</f>
        <v>0</v>
      </c>
      <c r="BI1344" s="255" t="s">
        <v>1519</v>
      </c>
      <c r="BJ1344" s="255" t="s">
        <v>8287</v>
      </c>
      <c r="BK1344" s="255" t="s">
        <v>8285</v>
      </c>
      <c r="BL1344" s="182" t="s">
        <v>8288</v>
      </c>
      <c r="BM1344" s="337">
        <f>BM1345</f>
        <v>0</v>
      </c>
      <c r="BN1344" s="160"/>
      <c r="BO1344" s="161">
        <f t="shared" si="1188"/>
        <v>0</v>
      </c>
      <c r="BP1344" s="161"/>
    </row>
    <row r="1345" spans="1:68" ht="38.25">
      <c r="A1345" s="256" t="s">
        <v>8285</v>
      </c>
      <c r="B1345" s="184"/>
      <c r="C1345" s="185" t="s">
        <v>8286</v>
      </c>
      <c r="D1345" s="146" t="s">
        <v>4692</v>
      </c>
      <c r="E1345" s="185" t="s">
        <v>8286</v>
      </c>
      <c r="F1345" s="188">
        <v>0</v>
      </c>
      <c r="G1345" s="187">
        <v>0</v>
      </c>
      <c r="H1345" s="187"/>
      <c r="I1345" s="187">
        <v>0</v>
      </c>
      <c r="J1345" s="188">
        <f>SUM(J1346:J1347)</f>
        <v>0</v>
      </c>
      <c r="K1345" s="188">
        <f>SUM(K1346:K1347)</f>
        <v>0</v>
      </c>
      <c r="L1345" s="188">
        <f t="shared" si="1154"/>
        <v>0</v>
      </c>
      <c r="M1345" s="188">
        <v>0</v>
      </c>
      <c r="N1345" s="188">
        <v>0</v>
      </c>
      <c r="O1345" s="188">
        <v>0</v>
      </c>
      <c r="P1345" s="299">
        <f t="shared" ref="P1345:R1345" si="1234">SUM(P1346:P1347)</f>
        <v>0</v>
      </c>
      <c r="Q1345" s="299">
        <f t="shared" si="1234"/>
        <v>0</v>
      </c>
      <c r="R1345" s="299">
        <f t="shared" si="1234"/>
        <v>0</v>
      </c>
      <c r="S1345" s="150">
        <f t="shared" si="1145"/>
        <v>0</v>
      </c>
      <c r="T1345" s="213"/>
      <c r="U1345" s="299">
        <f t="shared" ref="U1345:W1345" si="1235">SUM(U1346:U1347)</f>
        <v>0</v>
      </c>
      <c r="V1345" s="226">
        <f t="shared" si="1235"/>
        <v>0</v>
      </c>
      <c r="W1345" s="299">
        <f t="shared" si="1235"/>
        <v>0</v>
      </c>
      <c r="X1345" s="299">
        <v>0</v>
      </c>
      <c r="Y1345" s="299">
        <v>0</v>
      </c>
      <c r="Z1345" s="299">
        <v>0</v>
      </c>
      <c r="AA1345" s="299">
        <f t="shared" si="1137"/>
        <v>0</v>
      </c>
      <c r="AB1345" s="299">
        <v>0</v>
      </c>
      <c r="AC1345" s="226">
        <v>0</v>
      </c>
      <c r="AD1345" s="299">
        <f t="shared" ref="AD1345" si="1236">SUM(AD1346:AD1347)</f>
        <v>0</v>
      </c>
      <c r="AE1345" s="299">
        <v>0</v>
      </c>
      <c r="AF1345" s="169" t="s">
        <v>4680</v>
      </c>
      <c r="AG1345" s="301">
        <v>0</v>
      </c>
      <c r="AH1345" s="226">
        <v>0</v>
      </c>
      <c r="AI1345" s="299">
        <v>0</v>
      </c>
      <c r="AJ1345" s="169">
        <f t="shared" si="1139"/>
        <v>0</v>
      </c>
      <c r="AK1345" s="301">
        <v>0</v>
      </c>
      <c r="AL1345" s="226">
        <v>0</v>
      </c>
      <c r="AM1345" s="299">
        <f t="shared" ref="AM1345" si="1237">SUM(AM1346:AM1347)</f>
        <v>0</v>
      </c>
      <c r="AN1345" s="153">
        <f t="shared" si="1141"/>
        <v>0</v>
      </c>
      <c r="AO1345" s="154">
        <f t="shared" si="1142"/>
        <v>0</v>
      </c>
      <c r="AP1345" s="299">
        <v>0</v>
      </c>
      <c r="AQ1345" s="301">
        <v>0</v>
      </c>
      <c r="AR1345" s="226">
        <f t="shared" ref="AR1345:AS1345" si="1238">SUM(AR1346:AR1347)</f>
        <v>0</v>
      </c>
      <c r="AS1345" s="299">
        <f t="shared" si="1238"/>
        <v>0</v>
      </c>
      <c r="AT1345" s="155"/>
      <c r="AU1345" s="156">
        <f t="shared" si="1132"/>
        <v>0</v>
      </c>
      <c r="AV1345" s="156">
        <f t="shared" si="1133"/>
        <v>0</v>
      </c>
      <c r="AW1345" s="157"/>
      <c r="AX1345" s="150">
        <v>0</v>
      </c>
      <c r="AY1345" s="299">
        <f t="shared" ref="AY1345:BA1345" si="1239">SUM(AY1346:AY1347)</f>
        <v>0</v>
      </c>
      <c r="AZ1345" s="299">
        <f t="shared" si="1239"/>
        <v>0</v>
      </c>
      <c r="BA1345" s="299">
        <f t="shared" si="1239"/>
        <v>0</v>
      </c>
      <c r="BB1345" s="192">
        <v>5</v>
      </c>
      <c r="BC1345" s="256" t="s">
        <v>693</v>
      </c>
      <c r="BD1345" s="256" t="s">
        <v>693</v>
      </c>
      <c r="BE1345" s="256" t="s">
        <v>632</v>
      </c>
      <c r="BF1345" s="256" t="s">
        <v>630</v>
      </c>
      <c r="BG1345" s="185" t="s">
        <v>8286</v>
      </c>
      <c r="BH1345" s="302">
        <f>SUM(BH1346:BH1347)</f>
        <v>0</v>
      </c>
      <c r="BI1345" s="256" t="s">
        <v>1519</v>
      </c>
      <c r="BJ1345" s="256" t="s">
        <v>8287</v>
      </c>
      <c r="BK1345" s="256" t="s">
        <v>8285</v>
      </c>
      <c r="BL1345" s="238" t="s">
        <v>8289</v>
      </c>
      <c r="BM1345" s="338">
        <f>BM1346</f>
        <v>0</v>
      </c>
      <c r="BN1345" s="160"/>
      <c r="BO1345" s="161">
        <f t="shared" si="1188"/>
        <v>0</v>
      </c>
      <c r="BP1345" s="161"/>
    </row>
    <row r="1346" spans="1:68" ht="38.25">
      <c r="A1346" s="261" t="s">
        <v>8285</v>
      </c>
      <c r="B1346" s="228" t="s">
        <v>8290</v>
      </c>
      <c r="C1346" s="229" t="s">
        <v>8291</v>
      </c>
      <c r="D1346" s="146" t="s">
        <v>4692</v>
      </c>
      <c r="E1346" s="196" t="s">
        <v>8291</v>
      </c>
      <c r="F1346" s="150">
        <v>0</v>
      </c>
      <c r="G1346" s="209">
        <v>0</v>
      </c>
      <c r="H1346" s="209"/>
      <c r="I1346" s="209">
        <v>0</v>
      </c>
      <c r="J1346" s="150">
        <v>0</v>
      </c>
      <c r="K1346" s="150">
        <v>0</v>
      </c>
      <c r="L1346" s="150">
        <f t="shared" si="1154"/>
        <v>0</v>
      </c>
      <c r="M1346" s="150">
        <v>0</v>
      </c>
      <c r="N1346" s="150"/>
      <c r="O1346" s="150">
        <v>0</v>
      </c>
      <c r="P1346" s="150">
        <v>0</v>
      </c>
      <c r="Q1346" s="150">
        <v>0</v>
      </c>
      <c r="R1346" s="150">
        <f>P1346+Q1346</f>
        <v>0</v>
      </c>
      <c r="S1346" s="150">
        <f t="shared" si="1145"/>
        <v>0</v>
      </c>
      <c r="T1346" s="150"/>
      <c r="U1346" s="150">
        <v>0</v>
      </c>
      <c r="V1346" s="199"/>
      <c r="W1346" s="150">
        <f>U1346+V1346</f>
        <v>0</v>
      </c>
      <c r="X1346" s="150">
        <v>0</v>
      </c>
      <c r="Y1346" s="150"/>
      <c r="Z1346" s="150">
        <v>0</v>
      </c>
      <c r="AA1346" s="150">
        <f t="shared" si="1137"/>
        <v>0</v>
      </c>
      <c r="AB1346" s="150">
        <v>0</v>
      </c>
      <c r="AC1346" s="199"/>
      <c r="AD1346" s="150">
        <f>AB1346+AC1346</f>
        <v>0</v>
      </c>
      <c r="AE1346" s="150">
        <v>0</v>
      </c>
      <c r="AF1346" s="169" t="s">
        <v>4680</v>
      </c>
      <c r="AG1346" s="201">
        <v>0</v>
      </c>
      <c r="AH1346" s="199"/>
      <c r="AI1346" s="150">
        <v>0</v>
      </c>
      <c r="AJ1346" s="169">
        <f t="shared" si="1139"/>
        <v>0</v>
      </c>
      <c r="AK1346" s="201">
        <v>0</v>
      </c>
      <c r="AL1346" s="199"/>
      <c r="AM1346" s="150">
        <f>AK1346+AL1346</f>
        <v>0</v>
      </c>
      <c r="AN1346" s="153">
        <f t="shared" si="1141"/>
        <v>0</v>
      </c>
      <c r="AO1346" s="154">
        <f t="shared" si="1142"/>
        <v>0</v>
      </c>
      <c r="AP1346" s="150">
        <v>0</v>
      </c>
      <c r="AQ1346" s="201">
        <v>0</v>
      </c>
      <c r="AR1346" s="199"/>
      <c r="AS1346" s="150">
        <f>AQ1346+AR1346</f>
        <v>0</v>
      </c>
      <c r="AT1346" s="155" t="s">
        <v>4796</v>
      </c>
      <c r="AU1346" s="156">
        <f t="shared" ref="AU1346:AU1409" si="1240">AM1346-AD1346</f>
        <v>0</v>
      </c>
      <c r="AV1346" s="156">
        <f t="shared" ref="AV1346:AV1409" si="1241">AD1346-AX1346</f>
        <v>0</v>
      </c>
      <c r="AW1346" s="157" t="s">
        <v>4796</v>
      </c>
      <c r="AX1346" s="150">
        <v>0</v>
      </c>
      <c r="AY1346" s="150">
        <v>0</v>
      </c>
      <c r="AZ1346" s="150"/>
      <c r="BA1346" s="150">
        <f t="shared" si="1226"/>
        <v>0</v>
      </c>
      <c r="BB1346" s="202">
        <v>5</v>
      </c>
      <c r="BC1346" s="202" t="s">
        <v>693</v>
      </c>
      <c r="BD1346" s="202" t="s">
        <v>693</v>
      </c>
      <c r="BE1346" s="202" t="s">
        <v>632</v>
      </c>
      <c r="BF1346" s="202" t="s">
        <v>632</v>
      </c>
      <c r="BG1346" s="287" t="s">
        <v>8292</v>
      </c>
      <c r="BH1346" s="283">
        <f>SUM(AS1346:AS1347)</f>
        <v>0</v>
      </c>
      <c r="BI1346" s="206" t="s">
        <v>1519</v>
      </c>
      <c r="BJ1346" s="206" t="s">
        <v>8287</v>
      </c>
      <c r="BK1346" s="206" t="s">
        <v>8285</v>
      </c>
      <c r="BL1346" s="207" t="s">
        <v>8289</v>
      </c>
      <c r="BM1346" s="208">
        <f>BH1346</f>
        <v>0</v>
      </c>
      <c r="BN1346" s="160"/>
      <c r="BO1346" s="161">
        <f t="shared" si="1188"/>
        <v>0</v>
      </c>
      <c r="BP1346" s="161"/>
    </row>
    <row r="1347" spans="1:68" ht="38.25">
      <c r="A1347" s="308"/>
      <c r="B1347" s="228" t="s">
        <v>8293</v>
      </c>
      <c r="C1347" s="229" t="s">
        <v>8294</v>
      </c>
      <c r="D1347" s="146" t="s">
        <v>4692</v>
      </c>
      <c r="E1347" s="196" t="s">
        <v>8294</v>
      </c>
      <c r="F1347" s="150">
        <v>0</v>
      </c>
      <c r="G1347" s="209">
        <v>81143455.739999995</v>
      </c>
      <c r="H1347" s="209">
        <v>11612914.507719953</v>
      </c>
      <c r="I1347" s="209">
        <v>92756370.247719973</v>
      </c>
      <c r="J1347" s="150">
        <v>0</v>
      </c>
      <c r="K1347" s="150">
        <v>0</v>
      </c>
      <c r="L1347" s="150">
        <f t="shared" si="1154"/>
        <v>0</v>
      </c>
      <c r="M1347" s="150">
        <v>0</v>
      </c>
      <c r="N1347" s="150"/>
      <c r="O1347" s="150">
        <v>0</v>
      </c>
      <c r="P1347" s="150">
        <v>0</v>
      </c>
      <c r="Q1347" s="150">
        <v>0</v>
      </c>
      <c r="R1347" s="150">
        <f>P1347+Q1347</f>
        <v>0</v>
      </c>
      <c r="S1347" s="150">
        <f t="shared" si="1145"/>
        <v>0</v>
      </c>
      <c r="T1347" s="150"/>
      <c r="U1347" s="150">
        <v>0</v>
      </c>
      <c r="V1347" s="199"/>
      <c r="W1347" s="150">
        <f>U1347+V1347</f>
        <v>0</v>
      </c>
      <c r="X1347" s="150">
        <v>0</v>
      </c>
      <c r="Y1347" s="150"/>
      <c r="Z1347" s="150">
        <v>0</v>
      </c>
      <c r="AA1347" s="150">
        <f t="shared" ref="AA1347:AA1410" si="1242">AD1347-Z1347</f>
        <v>0</v>
      </c>
      <c r="AB1347" s="150">
        <v>0</v>
      </c>
      <c r="AC1347" s="199"/>
      <c r="AD1347" s="150">
        <f>AB1347+AC1347</f>
        <v>0</v>
      </c>
      <c r="AE1347" s="150">
        <v>0</v>
      </c>
      <c r="AF1347" s="169" t="s">
        <v>4680</v>
      </c>
      <c r="AG1347" s="201">
        <v>0</v>
      </c>
      <c r="AH1347" s="199"/>
      <c r="AI1347" s="150">
        <v>0</v>
      </c>
      <c r="AJ1347" s="169">
        <f t="shared" ref="AJ1347:AJ1410" si="1243">AM1347-AI1347</f>
        <v>0</v>
      </c>
      <c r="AK1347" s="201">
        <v>0</v>
      </c>
      <c r="AL1347" s="199"/>
      <c r="AM1347" s="150">
        <f>AK1347+AL1347</f>
        <v>0</v>
      </c>
      <c r="AN1347" s="153">
        <f t="shared" ref="AN1347:AN1410" si="1244">AS1347-AM1347</f>
        <v>0</v>
      </c>
      <c r="AO1347" s="154">
        <f t="shared" ref="AO1347:AO1410" si="1245">AS1347-AP1347</f>
        <v>0</v>
      </c>
      <c r="AP1347" s="150">
        <v>0</v>
      </c>
      <c r="AQ1347" s="201">
        <v>0</v>
      </c>
      <c r="AR1347" s="199"/>
      <c r="AS1347" s="150">
        <f>AQ1347+AR1347</f>
        <v>0</v>
      </c>
      <c r="AT1347" s="155" t="s">
        <v>4796</v>
      </c>
      <c r="AU1347" s="156">
        <f t="shared" si="1240"/>
        <v>0</v>
      </c>
      <c r="AV1347" s="156">
        <f t="shared" si="1241"/>
        <v>0</v>
      </c>
      <c r="AW1347" s="157" t="s">
        <v>4796</v>
      </c>
      <c r="AX1347" s="150">
        <v>0</v>
      </c>
      <c r="AY1347" s="150">
        <v>0</v>
      </c>
      <c r="AZ1347" s="150"/>
      <c r="BA1347" s="150">
        <f t="shared" si="1226"/>
        <v>0</v>
      </c>
      <c r="BB1347" s="210"/>
      <c r="BC1347" s="210"/>
      <c r="BD1347" s="210"/>
      <c r="BE1347" s="210"/>
      <c r="BF1347" s="210"/>
      <c r="BG1347" s="210"/>
      <c r="BH1347" s="217"/>
      <c r="BI1347" s="210"/>
      <c r="BJ1347" s="210"/>
      <c r="BK1347" s="210"/>
      <c r="BL1347" s="210"/>
      <c r="BM1347" s="208"/>
      <c r="BN1347" s="160"/>
      <c r="BO1347" s="161">
        <f t="shared" si="1188"/>
        <v>0</v>
      </c>
      <c r="BP1347" s="161"/>
    </row>
    <row r="1348" spans="1:68" ht="25.5">
      <c r="A1348" s="262" t="s">
        <v>566</v>
      </c>
      <c r="B1348" s="163"/>
      <c r="C1348" s="164" t="s">
        <v>8295</v>
      </c>
      <c r="D1348" s="146" t="s">
        <v>4692</v>
      </c>
      <c r="E1348" s="164" t="s">
        <v>8295</v>
      </c>
      <c r="F1348" s="167">
        <v>92796988.420000017</v>
      </c>
      <c r="G1348" s="166">
        <v>37316816.5</v>
      </c>
      <c r="H1348" s="166">
        <v>4347755.4430869045</v>
      </c>
      <c r="I1348" s="166">
        <v>41664571.943086922</v>
      </c>
      <c r="J1348" s="167">
        <f>J1349+J1448</f>
        <v>17744025.230000004</v>
      </c>
      <c r="K1348" s="167">
        <f>K1349+K1448</f>
        <v>5830891.1099999994</v>
      </c>
      <c r="L1348" s="167">
        <f t="shared" si="1154"/>
        <v>23574916.340000004</v>
      </c>
      <c r="M1348" s="167">
        <v>37841112.880000003</v>
      </c>
      <c r="N1348" s="167">
        <v>8993151.4883734733</v>
      </c>
      <c r="O1348" s="167">
        <v>46834264.368373476</v>
      </c>
      <c r="P1348" s="340">
        <f t="shared" ref="P1348:R1348" si="1246">P1349+P1448</f>
        <v>58535364.329999998</v>
      </c>
      <c r="Q1348" s="340">
        <f t="shared" si="1246"/>
        <v>11941772.41269155</v>
      </c>
      <c r="R1348" s="340">
        <f t="shared" si="1246"/>
        <v>70477136.742691547</v>
      </c>
      <c r="S1348" s="150">
        <f t="shared" ref="S1348:S1411" si="1247">R1348/9*12</f>
        <v>93969515.656922072</v>
      </c>
      <c r="T1348" s="341">
        <f>T1349+T1448</f>
        <v>98107478.959999993</v>
      </c>
      <c r="U1348" s="340">
        <f t="shared" ref="U1348" si="1248">U1349+U1448</f>
        <v>84075078.640000001</v>
      </c>
      <c r="V1348" s="233">
        <f>V1349+V1448</f>
        <v>14503830.637326688</v>
      </c>
      <c r="W1348" s="340">
        <f>W1349+W1448</f>
        <v>98578909.277326673</v>
      </c>
      <c r="X1348" s="340">
        <v>84075078.640000001</v>
      </c>
      <c r="Y1348" s="340">
        <v>14503830.637326688</v>
      </c>
      <c r="Z1348" s="340">
        <v>98578909.277326673</v>
      </c>
      <c r="AA1348" s="340">
        <f t="shared" si="1242"/>
        <v>-491430.31389725208</v>
      </c>
      <c r="AB1348" s="340">
        <v>84075078.640000001</v>
      </c>
      <c r="AC1348" s="233">
        <v>14012400.323429439</v>
      </c>
      <c r="AD1348" s="340">
        <f>AD1349+AD1448</f>
        <v>98087478.963429421</v>
      </c>
      <c r="AE1348" s="340">
        <v>98087478.963429421</v>
      </c>
      <c r="AF1348" s="169" t="s">
        <v>4680</v>
      </c>
      <c r="AG1348" s="342">
        <v>84075078.640000001</v>
      </c>
      <c r="AH1348" s="233">
        <v>14012400.323429439</v>
      </c>
      <c r="AI1348" s="340">
        <v>98087478.963429421</v>
      </c>
      <c r="AJ1348" s="169">
        <f t="shared" si="1243"/>
        <v>0</v>
      </c>
      <c r="AK1348" s="342">
        <v>84075078.640000001</v>
      </c>
      <c r="AL1348" s="233">
        <v>14012400.323429439</v>
      </c>
      <c r="AM1348" s="340">
        <f>AM1349+AM1448</f>
        <v>98087478.963429421</v>
      </c>
      <c r="AN1348" s="153">
        <f t="shared" si="1244"/>
        <v>19999.996570572257</v>
      </c>
      <c r="AO1348" s="154">
        <f t="shared" si="1245"/>
        <v>19999.996570572257</v>
      </c>
      <c r="AP1348" s="340">
        <v>98087478.963429421</v>
      </c>
      <c r="AQ1348" s="342">
        <v>98107478.959999993</v>
      </c>
      <c r="AR1348" s="233">
        <f>AR1349+AR1448</f>
        <v>0</v>
      </c>
      <c r="AS1348" s="340">
        <f>AS1349+AS1448</f>
        <v>98107478.959999993</v>
      </c>
      <c r="AT1348" s="155"/>
      <c r="AU1348" s="156">
        <f t="shared" si="1240"/>
        <v>0</v>
      </c>
      <c r="AV1348" s="156">
        <f t="shared" si="1241"/>
        <v>-491430.31389725208</v>
      </c>
      <c r="AW1348" s="157"/>
      <c r="AX1348" s="150">
        <v>98578909.277326673</v>
      </c>
      <c r="AY1348" s="340">
        <f t="shared" ref="AY1348:BA1348" si="1249">AY1349+AY1448</f>
        <v>44590203.700000003</v>
      </c>
      <c r="AZ1348" s="340">
        <f t="shared" si="1249"/>
        <v>50378880.63674695</v>
      </c>
      <c r="BA1348" s="340">
        <f t="shared" si="1249"/>
        <v>94969084.336746961</v>
      </c>
      <c r="BB1348" s="263">
        <v>5</v>
      </c>
      <c r="BC1348" s="262" t="s">
        <v>714</v>
      </c>
      <c r="BD1348" s="262" t="s">
        <v>630</v>
      </c>
      <c r="BE1348" s="162" t="s">
        <v>630</v>
      </c>
      <c r="BF1348" s="262" t="s">
        <v>630</v>
      </c>
      <c r="BG1348" s="164" t="s">
        <v>8295</v>
      </c>
      <c r="BH1348" s="343">
        <f>BH1349+BH1448</f>
        <v>98107478.960000008</v>
      </c>
      <c r="BI1348" s="263"/>
      <c r="BJ1348" s="262" t="s">
        <v>8296</v>
      </c>
      <c r="BK1348" s="262" t="s">
        <v>566</v>
      </c>
      <c r="BL1348" s="172" t="s">
        <v>8297</v>
      </c>
      <c r="BM1348" s="343">
        <f>BM1349+BM1448</f>
        <v>98107478.960000008</v>
      </c>
      <c r="BN1348" s="160"/>
      <c r="BO1348" s="161">
        <f t="shared" si="1188"/>
        <v>0</v>
      </c>
      <c r="BP1348" s="161"/>
    </row>
    <row r="1349" spans="1:68" ht="25.5">
      <c r="A1349" s="255" t="s">
        <v>567</v>
      </c>
      <c r="B1349" s="174"/>
      <c r="C1349" s="175" t="s">
        <v>77</v>
      </c>
      <c r="D1349" s="146" t="s">
        <v>4692</v>
      </c>
      <c r="E1349" s="175" t="s">
        <v>77</v>
      </c>
      <c r="F1349" s="178">
        <v>41664572.500000007</v>
      </c>
      <c r="G1349" s="177">
        <v>35584033.799999997</v>
      </c>
      <c r="H1349" s="177">
        <v>3931109.8483872339</v>
      </c>
      <c r="I1349" s="177">
        <v>39515143.648387253</v>
      </c>
      <c r="J1349" s="178">
        <f>J1350+J1399</f>
        <v>8556234.9900000002</v>
      </c>
      <c r="K1349" s="178">
        <f>K1350+K1399</f>
        <v>2245852.59</v>
      </c>
      <c r="L1349" s="178">
        <f t="shared" si="1154"/>
        <v>10802087.58</v>
      </c>
      <c r="M1349" s="178">
        <v>17911966.48</v>
      </c>
      <c r="N1349" s="178">
        <v>3377195.5615976835</v>
      </c>
      <c r="O1349" s="178">
        <v>21289162.041597683</v>
      </c>
      <c r="P1349" s="319">
        <f t="shared" ref="P1349:R1349" si="1250">P1350+P1399</f>
        <v>27863079.720000003</v>
      </c>
      <c r="Q1349" s="319">
        <f t="shared" si="1250"/>
        <v>4937706.1771394406</v>
      </c>
      <c r="R1349" s="319">
        <f t="shared" si="1250"/>
        <v>32800785.897139441</v>
      </c>
      <c r="S1349" s="150">
        <f t="shared" si="1247"/>
        <v>43734381.196185917</v>
      </c>
      <c r="T1349" s="341">
        <f>T1350+T1399</f>
        <v>45451911.409999989</v>
      </c>
      <c r="U1349" s="319">
        <f t="shared" ref="U1349:W1349" si="1251">U1350+U1399</f>
        <v>40108416.519999996</v>
      </c>
      <c r="V1349" s="222">
        <f t="shared" si="1251"/>
        <v>5337087.9979611998</v>
      </c>
      <c r="W1349" s="319">
        <f t="shared" si="1251"/>
        <v>45445504.517961197</v>
      </c>
      <c r="X1349" s="319">
        <v>40108416.519999996</v>
      </c>
      <c r="Y1349" s="319">
        <v>5337087.9979611998</v>
      </c>
      <c r="Z1349" s="319">
        <v>45445504.517961197</v>
      </c>
      <c r="AA1349" s="319">
        <f t="shared" si="1242"/>
        <v>-13593.104531772435</v>
      </c>
      <c r="AB1349" s="319">
        <v>40108416.519999996</v>
      </c>
      <c r="AC1349" s="222">
        <v>5323494.8934294386</v>
      </c>
      <c r="AD1349" s="319">
        <f t="shared" ref="AD1349" si="1252">AD1350+AD1399</f>
        <v>45431911.413429424</v>
      </c>
      <c r="AE1349" s="319">
        <v>45431911.413429424</v>
      </c>
      <c r="AF1349" s="169" t="s">
        <v>4680</v>
      </c>
      <c r="AG1349" s="320">
        <v>40108416.519999996</v>
      </c>
      <c r="AH1349" s="222">
        <v>5323494.8934294386</v>
      </c>
      <c r="AI1349" s="319">
        <v>45431911.413429424</v>
      </c>
      <c r="AJ1349" s="169">
        <f t="shared" si="1243"/>
        <v>0</v>
      </c>
      <c r="AK1349" s="320">
        <v>40108416.519999996</v>
      </c>
      <c r="AL1349" s="222">
        <v>5323494.8934294386</v>
      </c>
      <c r="AM1349" s="319">
        <f t="shared" ref="AM1349" si="1253">AM1350+AM1399</f>
        <v>45431911.413429424</v>
      </c>
      <c r="AN1349" s="153">
        <f t="shared" si="1244"/>
        <v>19999.996570564806</v>
      </c>
      <c r="AO1349" s="154">
        <f t="shared" si="1245"/>
        <v>19999.996570564806</v>
      </c>
      <c r="AP1349" s="319">
        <v>45431911.413429424</v>
      </c>
      <c r="AQ1349" s="320">
        <v>45451911.409999989</v>
      </c>
      <c r="AR1349" s="222">
        <f t="shared" ref="AR1349:AS1349" si="1254">AR1350+AR1399</f>
        <v>0</v>
      </c>
      <c r="AS1349" s="319">
        <f t="shared" si="1254"/>
        <v>45451911.409999989</v>
      </c>
      <c r="AT1349" s="155"/>
      <c r="AU1349" s="156">
        <f t="shared" si="1240"/>
        <v>0</v>
      </c>
      <c r="AV1349" s="156">
        <f t="shared" si="1241"/>
        <v>-13593.104531772435</v>
      </c>
      <c r="AW1349" s="157"/>
      <c r="AX1349" s="150">
        <v>45445504.517961197</v>
      </c>
      <c r="AY1349" s="319">
        <f t="shared" ref="AY1349:BA1349" si="1255">AY1350+AY1399</f>
        <v>21166013.719999999</v>
      </c>
      <c r="AZ1349" s="319">
        <f t="shared" si="1255"/>
        <v>21887554.72319537</v>
      </c>
      <c r="BA1349" s="319">
        <f t="shared" si="1255"/>
        <v>43053568.44319538</v>
      </c>
      <c r="BB1349" s="254">
        <v>5</v>
      </c>
      <c r="BC1349" s="255" t="s">
        <v>714</v>
      </c>
      <c r="BD1349" s="255" t="s">
        <v>632</v>
      </c>
      <c r="BE1349" s="173" t="s">
        <v>630</v>
      </c>
      <c r="BF1349" s="255" t="s">
        <v>630</v>
      </c>
      <c r="BG1349" s="175" t="s">
        <v>77</v>
      </c>
      <c r="BH1349" s="268">
        <f>BH1350+BH1399</f>
        <v>45451911.410000004</v>
      </c>
      <c r="BI1349" s="254"/>
      <c r="BJ1349" s="255" t="s">
        <v>8298</v>
      </c>
      <c r="BK1349" s="255" t="s">
        <v>567</v>
      </c>
      <c r="BL1349" s="182" t="s">
        <v>8299</v>
      </c>
      <c r="BM1349" s="268">
        <f>BM1350+BM1399</f>
        <v>45451911.410000004</v>
      </c>
      <c r="BN1349" s="160"/>
      <c r="BO1349" s="161">
        <f t="shared" si="1188"/>
        <v>0</v>
      </c>
      <c r="BP1349" s="161"/>
    </row>
    <row r="1350" spans="1:68" ht="25.5">
      <c r="A1350" s="256" t="s">
        <v>568</v>
      </c>
      <c r="B1350" s="184"/>
      <c r="C1350" s="185" t="s">
        <v>78</v>
      </c>
      <c r="D1350" s="146" t="s">
        <v>4692</v>
      </c>
      <c r="E1350" s="185" t="s">
        <v>78</v>
      </c>
      <c r="F1350" s="188">
        <v>39515143.800000004</v>
      </c>
      <c r="G1350" s="187">
        <v>20693656.66</v>
      </c>
      <c r="H1350" s="187">
        <v>-2651211.27</v>
      </c>
      <c r="I1350" s="187">
        <v>18042445.390000001</v>
      </c>
      <c r="J1350" s="188">
        <f>SUM(J1351:J1398)</f>
        <v>8141023.4100000011</v>
      </c>
      <c r="K1350" s="188">
        <f>SUM(K1351:K1398)</f>
        <v>2019746.29</v>
      </c>
      <c r="L1350" s="188">
        <f t="shared" si="1154"/>
        <v>10160769.700000001</v>
      </c>
      <c r="M1350" s="188">
        <v>17063129.300000001</v>
      </c>
      <c r="N1350" s="188">
        <v>3060863.8653041786</v>
      </c>
      <c r="O1350" s="188">
        <v>20123993.16530418</v>
      </c>
      <c r="P1350" s="299">
        <f t="shared" ref="P1350:R1350" si="1256">SUM(P1351:P1398)</f>
        <v>26573759.230000004</v>
      </c>
      <c r="Q1350" s="299">
        <f t="shared" si="1256"/>
        <v>4461304.2700615022</v>
      </c>
      <c r="R1350" s="299">
        <f t="shared" si="1256"/>
        <v>31035063.500061501</v>
      </c>
      <c r="S1350" s="150">
        <f t="shared" si="1247"/>
        <v>41380084.666748665</v>
      </c>
      <c r="T1350" s="341">
        <f t="shared" ref="T1350:AD1350" si="1257">SUM(T1351:T1398)</f>
        <v>42954500.379999988</v>
      </c>
      <c r="U1350" s="299">
        <f t="shared" si="1257"/>
        <v>38234044.019999996</v>
      </c>
      <c r="V1350" s="226">
        <f t="shared" si="1257"/>
        <v>4752215.4798574727</v>
      </c>
      <c r="W1350" s="299">
        <f t="shared" si="1257"/>
        <v>42986259.49985747</v>
      </c>
      <c r="X1350" s="299">
        <v>38234044.019999996</v>
      </c>
      <c r="Y1350" s="299">
        <v>4752215.4798574727</v>
      </c>
      <c r="Z1350" s="299">
        <v>42986259.49985747</v>
      </c>
      <c r="AA1350" s="299">
        <f t="shared" si="1242"/>
        <v>-51759.117384038866</v>
      </c>
      <c r="AB1350" s="299">
        <v>38234044.019999996</v>
      </c>
      <c r="AC1350" s="226">
        <v>4700456.362473445</v>
      </c>
      <c r="AD1350" s="299">
        <f t="shared" si="1257"/>
        <v>42934500.382473432</v>
      </c>
      <c r="AE1350" s="299">
        <v>42934500.382473432</v>
      </c>
      <c r="AF1350" s="169" t="s">
        <v>4680</v>
      </c>
      <c r="AG1350" s="301">
        <v>38234044.019999996</v>
      </c>
      <c r="AH1350" s="226">
        <v>4700456.362473445</v>
      </c>
      <c r="AI1350" s="299">
        <v>42934500.382473432</v>
      </c>
      <c r="AJ1350" s="169">
        <f t="shared" si="1243"/>
        <v>0</v>
      </c>
      <c r="AK1350" s="301">
        <v>38234044.019999996</v>
      </c>
      <c r="AL1350" s="226">
        <v>4700456.362473445</v>
      </c>
      <c r="AM1350" s="299">
        <f t="shared" ref="AM1350" si="1258">SUM(AM1351:AM1398)</f>
        <v>42934500.382473432</v>
      </c>
      <c r="AN1350" s="153">
        <f t="shared" si="1244"/>
        <v>19999.997526556253</v>
      </c>
      <c r="AO1350" s="154">
        <f t="shared" si="1245"/>
        <v>19999.997526556253</v>
      </c>
      <c r="AP1350" s="299">
        <v>42934500.382473432</v>
      </c>
      <c r="AQ1350" s="301">
        <v>42954500.379999988</v>
      </c>
      <c r="AR1350" s="226">
        <f t="shared" ref="AR1350:AS1350" si="1259">SUM(AR1351:AR1398)</f>
        <v>0</v>
      </c>
      <c r="AS1350" s="299">
        <f t="shared" si="1259"/>
        <v>42954500.379999988</v>
      </c>
      <c r="AT1350" s="155"/>
      <c r="AU1350" s="156">
        <f t="shared" si="1240"/>
        <v>0</v>
      </c>
      <c r="AV1350" s="156">
        <f t="shared" si="1241"/>
        <v>-51759.117384038866</v>
      </c>
      <c r="AW1350" s="157"/>
      <c r="AX1350" s="150">
        <v>42986259.49985747</v>
      </c>
      <c r="AY1350" s="299">
        <f t="shared" ref="AY1350:BA1350" si="1260">SUM(AY1351:AY1398)</f>
        <v>20167583.91</v>
      </c>
      <c r="AZ1350" s="299">
        <f t="shared" si="1260"/>
        <v>20489112.37060836</v>
      </c>
      <c r="BA1350" s="299">
        <f t="shared" si="1260"/>
        <v>40656696.280608371</v>
      </c>
      <c r="BB1350" s="192">
        <v>5</v>
      </c>
      <c r="BC1350" s="256" t="s">
        <v>714</v>
      </c>
      <c r="BD1350" s="256" t="s">
        <v>632</v>
      </c>
      <c r="BE1350" s="256" t="s">
        <v>632</v>
      </c>
      <c r="BF1350" s="256" t="s">
        <v>630</v>
      </c>
      <c r="BG1350" s="185" t="s">
        <v>78</v>
      </c>
      <c r="BH1350" s="344">
        <f>SUM(BH1351:BH1398)</f>
        <v>42954500.380000003</v>
      </c>
      <c r="BI1350" s="192"/>
      <c r="BJ1350" s="256" t="s">
        <v>8300</v>
      </c>
      <c r="BK1350" s="256" t="s">
        <v>568</v>
      </c>
      <c r="BL1350" s="238" t="s">
        <v>8301</v>
      </c>
      <c r="BM1350" s="344">
        <f>SUM(BM1351:BM1398)</f>
        <v>42954500.380000003</v>
      </c>
      <c r="BN1350" s="160"/>
      <c r="BO1350" s="161">
        <f t="shared" si="1188"/>
        <v>0</v>
      </c>
      <c r="BP1350" s="161"/>
    </row>
    <row r="1351" spans="1:68" ht="60">
      <c r="A1351" s="206" t="s">
        <v>569</v>
      </c>
      <c r="B1351" s="195" t="s">
        <v>8302</v>
      </c>
      <c r="C1351" s="196" t="s">
        <v>8303</v>
      </c>
      <c r="D1351" s="146" t="s">
        <v>4692</v>
      </c>
      <c r="E1351" s="196" t="s">
        <v>8303</v>
      </c>
      <c r="F1351" s="150">
        <v>18042445.390000001</v>
      </c>
      <c r="G1351" s="209">
        <v>1837140.88</v>
      </c>
      <c r="H1351" s="209">
        <v>4092704.0500777601</v>
      </c>
      <c r="I1351" s="209">
        <v>5929844.9300777595</v>
      </c>
      <c r="J1351" s="150">
        <v>5033907.4400000004</v>
      </c>
      <c r="K1351" s="150">
        <v>-208754.15000000002</v>
      </c>
      <c r="L1351" s="150">
        <f t="shared" si="1154"/>
        <v>4825153.29</v>
      </c>
      <c r="M1351" s="150">
        <v>10144271.560000001</v>
      </c>
      <c r="N1351" s="150">
        <v>-713728.20378900133</v>
      </c>
      <c r="O1351" s="150">
        <v>9430543.3562109992</v>
      </c>
      <c r="P1351" s="150">
        <v>15217943.300000001</v>
      </c>
      <c r="Q1351" s="150">
        <v>-628222.58000000007</v>
      </c>
      <c r="R1351" s="313">
        <f t="shared" ref="R1351:R1398" si="1261">P1351+Q1351</f>
        <v>14589720.720000001</v>
      </c>
      <c r="S1351" s="150">
        <f>AB1348-84505168.96</f>
        <v>-430090.31999999285</v>
      </c>
      <c r="T1351" s="150">
        <v>19151072.969999999</v>
      </c>
      <c r="U1351" s="309">
        <v>22081597.109999999</v>
      </c>
      <c r="V1351" s="199">
        <v>-2930524.14</v>
      </c>
      <c r="W1351" s="150">
        <f t="shared" ref="W1351:W1398" si="1262">U1351+V1351</f>
        <v>19151072.969999999</v>
      </c>
      <c r="X1351" s="150">
        <v>22081597.109999999</v>
      </c>
      <c r="Y1351" s="150">
        <v>-2930524.14</v>
      </c>
      <c r="Z1351" s="150">
        <v>19151072.969999999</v>
      </c>
      <c r="AA1351" s="150">
        <f t="shared" si="1242"/>
        <v>0</v>
      </c>
      <c r="AB1351" s="150">
        <v>22081597.109999999</v>
      </c>
      <c r="AC1351" s="199">
        <v>-2930524.14</v>
      </c>
      <c r="AD1351" s="150">
        <f t="shared" ref="AD1351:AD1398" si="1263">AB1351+AC1351</f>
        <v>19151072.969999999</v>
      </c>
      <c r="AE1351" s="150">
        <v>19151072.969999999</v>
      </c>
      <c r="AF1351" s="169" t="s">
        <v>4680</v>
      </c>
      <c r="AG1351" s="201">
        <v>22081597.109999999</v>
      </c>
      <c r="AH1351" s="199">
        <v>-2930524.14</v>
      </c>
      <c r="AI1351" s="150">
        <v>19151072.969999999</v>
      </c>
      <c r="AJ1351" s="169">
        <f t="shared" si="1243"/>
        <v>0</v>
      </c>
      <c r="AK1351" s="201">
        <v>22081597.109999999</v>
      </c>
      <c r="AL1351" s="199">
        <v>-2930524.14</v>
      </c>
      <c r="AM1351" s="150">
        <f t="shared" ref="AM1351:AM1398" si="1264">AK1351+AL1351</f>
        <v>19151072.969999999</v>
      </c>
      <c r="AN1351" s="153">
        <f t="shared" si="1244"/>
        <v>0</v>
      </c>
      <c r="AO1351" s="154">
        <f t="shared" si="1245"/>
        <v>0</v>
      </c>
      <c r="AP1351" s="309">
        <v>19151072.969999999</v>
      </c>
      <c r="AQ1351" s="201">
        <v>19151072.969999999</v>
      </c>
      <c r="AR1351" s="199"/>
      <c r="AS1351" s="150">
        <f t="shared" ref="AS1351:AS1398" si="1265">AQ1351+AR1351</f>
        <v>19151072.969999999</v>
      </c>
      <c r="AT1351" s="155" t="s">
        <v>8304</v>
      </c>
      <c r="AU1351" s="156">
        <f t="shared" si="1240"/>
        <v>0</v>
      </c>
      <c r="AV1351" s="156">
        <f t="shared" si="1241"/>
        <v>0</v>
      </c>
      <c r="AW1351" s="157"/>
      <c r="AX1351" s="150">
        <v>19151072.969999999</v>
      </c>
      <c r="AY1351" s="150">
        <v>11845672.67</v>
      </c>
      <c r="AZ1351" s="150">
        <f>BA1351-AY1351</f>
        <v>7015414.0424219985</v>
      </c>
      <c r="BA1351" s="150">
        <v>18861086.712421998</v>
      </c>
      <c r="BB1351" s="202">
        <v>5</v>
      </c>
      <c r="BC1351" s="202" t="s">
        <v>714</v>
      </c>
      <c r="BD1351" s="202" t="s">
        <v>632</v>
      </c>
      <c r="BE1351" s="202" t="s">
        <v>632</v>
      </c>
      <c r="BF1351" s="202" t="s">
        <v>632</v>
      </c>
      <c r="BG1351" s="231" t="s">
        <v>8305</v>
      </c>
      <c r="BH1351" s="216">
        <f>AS1351</f>
        <v>19151072.969999999</v>
      </c>
      <c r="BI1351" s="205"/>
      <c r="BJ1351" s="206" t="s">
        <v>8306</v>
      </c>
      <c r="BK1351" s="206" t="s">
        <v>569</v>
      </c>
      <c r="BL1351" s="207" t="s">
        <v>8307</v>
      </c>
      <c r="BM1351" s="208">
        <f>BH1351</f>
        <v>19151072.969999999</v>
      </c>
      <c r="BN1351" s="160"/>
      <c r="BO1351" s="161">
        <f t="shared" si="1188"/>
        <v>0</v>
      </c>
      <c r="BP1351" s="161"/>
    </row>
    <row r="1352" spans="1:68" ht="38.25">
      <c r="A1352" s="206" t="s">
        <v>569</v>
      </c>
      <c r="B1352" s="195" t="s">
        <v>8308</v>
      </c>
      <c r="C1352" s="196" t="s">
        <v>8309</v>
      </c>
      <c r="D1352" s="146" t="s">
        <v>4692</v>
      </c>
      <c r="E1352" s="196" t="s">
        <v>8310</v>
      </c>
      <c r="F1352" s="150">
        <v>5929845.1500000004</v>
      </c>
      <c r="G1352" s="209">
        <v>1164914.28</v>
      </c>
      <c r="H1352" s="209">
        <v>0</v>
      </c>
      <c r="I1352" s="209">
        <v>1164914.28</v>
      </c>
      <c r="J1352" s="150">
        <v>432089.21</v>
      </c>
      <c r="K1352" s="150">
        <v>1059229.8400000001</v>
      </c>
      <c r="L1352" s="150">
        <f t="shared" si="1154"/>
        <v>1491319.05</v>
      </c>
      <c r="M1352" s="150">
        <v>871863.37</v>
      </c>
      <c r="N1352" s="150">
        <v>2100413.1325954199</v>
      </c>
      <c r="O1352" s="150">
        <v>2972276.50259542</v>
      </c>
      <c r="P1352" s="150">
        <v>1306628.2</v>
      </c>
      <c r="Q1352" s="150">
        <v>2890852.2053241003</v>
      </c>
      <c r="R1352" s="313">
        <f t="shared" si="1261"/>
        <v>4197480.4053241005</v>
      </c>
      <c r="S1352" s="150">
        <f t="shared" si="1247"/>
        <v>5596640.5404321337</v>
      </c>
      <c r="T1352" s="150">
        <v>6518987.3399999999</v>
      </c>
      <c r="U1352" s="150">
        <v>1899675.61</v>
      </c>
      <c r="V1352" s="199">
        <v>4515294.0788770858</v>
      </c>
      <c r="W1352" s="150">
        <f t="shared" si="1262"/>
        <v>6414969.6888770862</v>
      </c>
      <c r="X1352" s="150">
        <v>1899675.61</v>
      </c>
      <c r="Y1352" s="150">
        <v>4515294.0788770858</v>
      </c>
      <c r="Z1352" s="150">
        <v>6414969.6888770862</v>
      </c>
      <c r="AA1352" s="150">
        <f t="shared" si="1242"/>
        <v>84017.651122914627</v>
      </c>
      <c r="AB1352" s="150">
        <v>1899675.61</v>
      </c>
      <c r="AC1352" s="199">
        <v>4599311.7300000004</v>
      </c>
      <c r="AD1352" s="150">
        <f t="shared" si="1263"/>
        <v>6498987.3400000008</v>
      </c>
      <c r="AE1352" s="150">
        <v>6498987.3400000008</v>
      </c>
      <c r="AF1352" s="169" t="s">
        <v>4680</v>
      </c>
      <c r="AG1352" s="201">
        <v>1899675.61</v>
      </c>
      <c r="AH1352" s="199">
        <v>4599311.7300000004</v>
      </c>
      <c r="AI1352" s="150">
        <v>6498987.3400000008</v>
      </c>
      <c r="AJ1352" s="169">
        <f t="shared" si="1243"/>
        <v>0</v>
      </c>
      <c r="AK1352" s="201">
        <v>1899675.61</v>
      </c>
      <c r="AL1352" s="199">
        <v>4599311.7300000004</v>
      </c>
      <c r="AM1352" s="150">
        <f t="shared" si="1264"/>
        <v>6498987.3400000008</v>
      </c>
      <c r="AN1352" s="153">
        <f t="shared" si="1244"/>
        <v>19999.999999999069</v>
      </c>
      <c r="AO1352" s="154">
        <f t="shared" si="1245"/>
        <v>19999.999999999069</v>
      </c>
      <c r="AP1352" s="150">
        <v>6498987.3400000008</v>
      </c>
      <c r="AQ1352" s="201">
        <v>6518987.3399999999</v>
      </c>
      <c r="AR1352" s="199"/>
      <c r="AS1352" s="150">
        <f t="shared" si="1265"/>
        <v>6518987.3399999999</v>
      </c>
      <c r="AT1352" s="155"/>
      <c r="AU1352" s="156">
        <f t="shared" si="1240"/>
        <v>0</v>
      </c>
      <c r="AV1352" s="156">
        <f t="shared" si="1241"/>
        <v>84017.651122914627</v>
      </c>
      <c r="AW1352" s="157"/>
      <c r="AX1352" s="150">
        <v>6414969.6888770862</v>
      </c>
      <c r="AY1352" s="150">
        <v>1018640.13</v>
      </c>
      <c r="AZ1352" s="150">
        <f t="shared" ref="AZ1352:AZ1398" si="1266">BA1352-AY1352</f>
        <v>4925912.8751908401</v>
      </c>
      <c r="BA1352" s="150">
        <v>5944553.00519084</v>
      </c>
      <c r="BB1352" s="202">
        <v>5</v>
      </c>
      <c r="BC1352" s="202" t="s">
        <v>714</v>
      </c>
      <c r="BD1352" s="202" t="s">
        <v>632</v>
      </c>
      <c r="BE1352" s="202" t="s">
        <v>632</v>
      </c>
      <c r="BF1352" s="202" t="s">
        <v>647</v>
      </c>
      <c r="BG1352" s="345" t="s">
        <v>8311</v>
      </c>
      <c r="BH1352" s="216">
        <f>AS1352</f>
        <v>6518987.3399999999</v>
      </c>
      <c r="BI1352" s="205"/>
      <c r="BJ1352" s="206" t="s">
        <v>8306</v>
      </c>
      <c r="BK1352" s="206" t="s">
        <v>569</v>
      </c>
      <c r="BL1352" s="207" t="s">
        <v>8307</v>
      </c>
      <c r="BM1352" s="208">
        <f>BH1352</f>
        <v>6518987.3399999999</v>
      </c>
      <c r="BN1352" s="160"/>
      <c r="BO1352" s="161">
        <f t="shared" si="1188"/>
        <v>0</v>
      </c>
      <c r="BP1352" s="161"/>
    </row>
    <row r="1353" spans="1:68" ht="51">
      <c r="A1353" s="206" t="s">
        <v>569</v>
      </c>
      <c r="B1353" s="195" t="s">
        <v>8312</v>
      </c>
      <c r="C1353" s="196" t="s">
        <v>8313</v>
      </c>
      <c r="D1353" s="146" t="s">
        <v>4692</v>
      </c>
      <c r="E1353" s="196" t="s">
        <v>8313</v>
      </c>
      <c r="F1353" s="150">
        <v>1164914.28</v>
      </c>
      <c r="G1353" s="209">
        <v>407600</v>
      </c>
      <c r="H1353" s="209">
        <v>707803.50589424558</v>
      </c>
      <c r="I1353" s="209">
        <v>1115403.5058942456</v>
      </c>
      <c r="J1353" s="150">
        <v>122210.08</v>
      </c>
      <c r="K1353" s="150">
        <v>130873.61</v>
      </c>
      <c r="L1353" s="150">
        <f t="shared" si="1154"/>
        <v>253083.69</v>
      </c>
      <c r="M1353" s="150">
        <v>467237.45</v>
      </c>
      <c r="N1353" s="150">
        <v>37171.527145038126</v>
      </c>
      <c r="O1353" s="150">
        <v>504408.97714503814</v>
      </c>
      <c r="P1353" s="150">
        <v>861782.21</v>
      </c>
      <c r="Q1353" s="150">
        <v>-1.2178517645224929E-3</v>
      </c>
      <c r="R1353" s="313">
        <f t="shared" si="1261"/>
        <v>861782.2087821482</v>
      </c>
      <c r="S1353" s="150">
        <f t="shared" si="1247"/>
        <v>1149042.9450428642</v>
      </c>
      <c r="T1353" s="150">
        <v>1357350.08</v>
      </c>
      <c r="U1353" s="150">
        <v>1234665.98</v>
      </c>
      <c r="V1353" s="346">
        <v>457398.38</v>
      </c>
      <c r="W1353" s="150">
        <f t="shared" si="1262"/>
        <v>1692064.3599999999</v>
      </c>
      <c r="X1353" s="150">
        <v>1234665.98</v>
      </c>
      <c r="Y1353" s="150">
        <v>457398.38</v>
      </c>
      <c r="Z1353" s="150">
        <v>1692064.3599999999</v>
      </c>
      <c r="AA1353" s="150">
        <f t="shared" si="1242"/>
        <v>-334714.2799999998</v>
      </c>
      <c r="AB1353" s="150">
        <v>1234665.98</v>
      </c>
      <c r="AC1353" s="346">
        <v>122684.1</v>
      </c>
      <c r="AD1353" s="150">
        <f t="shared" si="1263"/>
        <v>1357350.08</v>
      </c>
      <c r="AE1353" s="150">
        <v>1357350.08</v>
      </c>
      <c r="AF1353" s="169" t="s">
        <v>4680</v>
      </c>
      <c r="AG1353" s="201">
        <v>1234665.98</v>
      </c>
      <c r="AH1353" s="346">
        <v>122684.1</v>
      </c>
      <c r="AI1353" s="150">
        <v>1357350.08</v>
      </c>
      <c r="AJ1353" s="169">
        <f t="shared" si="1243"/>
        <v>0</v>
      </c>
      <c r="AK1353" s="201">
        <v>1234665.98</v>
      </c>
      <c r="AL1353" s="346">
        <v>122684.1</v>
      </c>
      <c r="AM1353" s="150">
        <f t="shared" si="1264"/>
        <v>1357350.08</v>
      </c>
      <c r="AN1353" s="153">
        <f t="shared" si="1244"/>
        <v>0</v>
      </c>
      <c r="AO1353" s="154">
        <f t="shared" si="1245"/>
        <v>0</v>
      </c>
      <c r="AP1353" s="309">
        <v>1357350.08</v>
      </c>
      <c r="AQ1353" s="201">
        <v>1357350.08</v>
      </c>
      <c r="AR1353" s="199"/>
      <c r="AS1353" s="150">
        <f t="shared" si="1265"/>
        <v>1357350.08</v>
      </c>
      <c r="AT1353" s="155"/>
      <c r="AU1353" s="156">
        <f t="shared" si="1240"/>
        <v>0</v>
      </c>
      <c r="AV1353" s="156">
        <f t="shared" si="1241"/>
        <v>-334714.2799999998</v>
      </c>
      <c r="AW1353" s="157"/>
      <c r="AX1353" s="150">
        <v>1692064.3599999999</v>
      </c>
      <c r="AY1353" s="150">
        <v>611970.11</v>
      </c>
      <c r="AZ1353" s="150">
        <f t="shared" si="1266"/>
        <v>396847.84429007629</v>
      </c>
      <c r="BA1353" s="150">
        <v>1008817.9542900763</v>
      </c>
      <c r="BB1353" s="202">
        <v>5</v>
      </c>
      <c r="BC1353" s="202" t="s">
        <v>714</v>
      </c>
      <c r="BD1353" s="202" t="s">
        <v>632</v>
      </c>
      <c r="BE1353" s="202" t="s">
        <v>632</v>
      </c>
      <c r="BF1353" s="202" t="s">
        <v>671</v>
      </c>
      <c r="BG1353" s="345" t="s">
        <v>8314</v>
      </c>
      <c r="BH1353" s="216">
        <f>AS1353</f>
        <v>1357350.08</v>
      </c>
      <c r="BI1353" s="205"/>
      <c r="BJ1353" s="206" t="s">
        <v>8306</v>
      </c>
      <c r="BK1353" s="206" t="s">
        <v>569</v>
      </c>
      <c r="BL1353" s="207" t="s">
        <v>8307</v>
      </c>
      <c r="BM1353" s="208">
        <f>BH1353</f>
        <v>1357350.08</v>
      </c>
      <c r="BN1353" s="160"/>
      <c r="BO1353" s="161">
        <f t="shared" si="1188"/>
        <v>0</v>
      </c>
      <c r="BP1353" s="161"/>
    </row>
    <row r="1354" spans="1:68" ht="38.25">
      <c r="A1354" s="206" t="s">
        <v>569</v>
      </c>
      <c r="B1354" s="195" t="s">
        <v>8315</v>
      </c>
      <c r="C1354" s="196" t="s">
        <v>8316</v>
      </c>
      <c r="D1354" s="146" t="s">
        <v>4692</v>
      </c>
      <c r="E1354" s="196" t="s">
        <v>8316</v>
      </c>
      <c r="F1354" s="150">
        <v>1115404</v>
      </c>
      <c r="G1354" s="209">
        <v>5877930</v>
      </c>
      <c r="H1354" s="209">
        <v>553047.50812757679</v>
      </c>
      <c r="I1354" s="209">
        <v>6430977.5081275767</v>
      </c>
      <c r="J1354" s="150">
        <v>0</v>
      </c>
      <c r="K1354" s="150">
        <v>286146.09999999998</v>
      </c>
      <c r="L1354" s="150">
        <f t="shared" ref="L1354:L1417" si="1267">J1354+K1354</f>
        <v>286146.09999999998</v>
      </c>
      <c r="M1354" s="150">
        <v>0</v>
      </c>
      <c r="N1354" s="150">
        <v>570304.08450381679</v>
      </c>
      <c r="O1354" s="150">
        <v>570304.08450381679</v>
      </c>
      <c r="P1354" s="150">
        <v>0</v>
      </c>
      <c r="Q1354" s="150">
        <v>837659.17182299541</v>
      </c>
      <c r="R1354" s="313">
        <f t="shared" si="1261"/>
        <v>837659.17182299541</v>
      </c>
      <c r="S1354" s="150">
        <f t="shared" si="1247"/>
        <v>1116878.895763994</v>
      </c>
      <c r="T1354" s="150">
        <v>1163871.78</v>
      </c>
      <c r="U1354" s="150">
        <v>0</v>
      </c>
      <c r="V1354" s="199">
        <v>1163871.7785280729</v>
      </c>
      <c r="W1354" s="150">
        <f t="shared" si="1262"/>
        <v>1163871.7785280729</v>
      </c>
      <c r="X1354" s="150">
        <v>0</v>
      </c>
      <c r="Y1354" s="150">
        <v>1163871.7785280729</v>
      </c>
      <c r="Z1354" s="150">
        <v>1163871.7785280729</v>
      </c>
      <c r="AA1354" s="150">
        <f t="shared" si="1242"/>
        <v>0</v>
      </c>
      <c r="AB1354" s="150">
        <v>0</v>
      </c>
      <c r="AC1354" s="199">
        <v>1163871.7785280729</v>
      </c>
      <c r="AD1354" s="150">
        <f t="shared" si="1263"/>
        <v>1163871.7785280729</v>
      </c>
      <c r="AE1354" s="150">
        <v>1163871.7785280729</v>
      </c>
      <c r="AF1354" s="169" t="s">
        <v>4680</v>
      </c>
      <c r="AG1354" s="201">
        <v>0</v>
      </c>
      <c r="AH1354" s="199">
        <v>1163871.7785280729</v>
      </c>
      <c r="AI1354" s="150">
        <v>1163871.7785280729</v>
      </c>
      <c r="AJ1354" s="169">
        <f t="shared" si="1243"/>
        <v>0</v>
      </c>
      <c r="AK1354" s="201">
        <v>0</v>
      </c>
      <c r="AL1354" s="199">
        <v>1163871.7785280729</v>
      </c>
      <c r="AM1354" s="150">
        <f t="shared" si="1264"/>
        <v>1163871.7785280729</v>
      </c>
      <c r="AN1354" s="153">
        <f t="shared" si="1244"/>
        <v>1.4719271566718817E-3</v>
      </c>
      <c r="AO1354" s="154">
        <f t="shared" si="1245"/>
        <v>1.4719271566718817E-3</v>
      </c>
      <c r="AP1354" s="150">
        <v>1163871.7785280729</v>
      </c>
      <c r="AQ1354" s="201">
        <v>1163871.78</v>
      </c>
      <c r="AR1354" s="199"/>
      <c r="AS1354" s="150">
        <f t="shared" si="1265"/>
        <v>1163871.78</v>
      </c>
      <c r="AT1354" s="155"/>
      <c r="AU1354" s="156">
        <f t="shared" si="1240"/>
        <v>0</v>
      </c>
      <c r="AV1354" s="156">
        <f t="shared" si="1241"/>
        <v>0</v>
      </c>
      <c r="AW1354" s="157"/>
      <c r="AX1354" s="150">
        <v>1163871.7785280729</v>
      </c>
      <c r="AY1354" s="150">
        <v>0</v>
      </c>
      <c r="AZ1354" s="150">
        <f t="shared" si="1266"/>
        <v>1140608.1690076336</v>
      </c>
      <c r="BA1354" s="150">
        <v>1140608.1690076336</v>
      </c>
      <c r="BB1354" s="202">
        <v>5</v>
      </c>
      <c r="BC1354" s="202" t="s">
        <v>714</v>
      </c>
      <c r="BD1354" s="202" t="s">
        <v>632</v>
      </c>
      <c r="BE1354" s="202" t="s">
        <v>632</v>
      </c>
      <c r="BF1354" s="202" t="s">
        <v>693</v>
      </c>
      <c r="BG1354" s="231" t="s">
        <v>8317</v>
      </c>
      <c r="BH1354" s="216">
        <f>AS1354</f>
        <v>1163871.78</v>
      </c>
      <c r="BI1354" s="205"/>
      <c r="BJ1354" s="206" t="s">
        <v>8306</v>
      </c>
      <c r="BK1354" s="206" t="s">
        <v>569</v>
      </c>
      <c r="BL1354" s="207" t="s">
        <v>8307</v>
      </c>
      <c r="BM1354" s="208">
        <f>BH1354</f>
        <v>1163871.78</v>
      </c>
      <c r="BN1354" s="160"/>
      <c r="BO1354" s="161">
        <f t="shared" si="1188"/>
        <v>0</v>
      </c>
      <c r="BP1354" s="161"/>
    </row>
    <row r="1355" spans="1:68" ht="38.25">
      <c r="A1355" s="206" t="s">
        <v>569</v>
      </c>
      <c r="B1355" s="195" t="s">
        <v>8318</v>
      </c>
      <c r="C1355" s="196" t="s">
        <v>8319</v>
      </c>
      <c r="D1355" s="146" t="s">
        <v>4692</v>
      </c>
      <c r="E1355" s="196" t="s">
        <v>8319</v>
      </c>
      <c r="F1355" s="150">
        <v>6430978</v>
      </c>
      <c r="G1355" s="209">
        <v>987975.93</v>
      </c>
      <c r="H1355" s="209">
        <v>0</v>
      </c>
      <c r="I1355" s="209">
        <v>987975.93</v>
      </c>
      <c r="J1355" s="150">
        <v>1342936.8</v>
      </c>
      <c r="K1355" s="150">
        <v>203233</v>
      </c>
      <c r="L1355" s="150">
        <f t="shared" si="1267"/>
        <v>1546169.8</v>
      </c>
      <c r="M1355" s="150">
        <v>2737502.18</v>
      </c>
      <c r="N1355" s="150">
        <v>274296.17167288577</v>
      </c>
      <c r="O1355" s="150">
        <v>3011798.3516728859</v>
      </c>
      <c r="P1355" s="150">
        <v>4200525.55</v>
      </c>
      <c r="Q1355" s="150">
        <v>431347.77316849411</v>
      </c>
      <c r="R1355" s="313">
        <f t="shared" si="1261"/>
        <v>4631873.3231684938</v>
      </c>
      <c r="S1355" s="150">
        <f t="shared" si="1247"/>
        <v>6175831.0975579917</v>
      </c>
      <c r="T1355" s="150">
        <v>6850904.8200000003</v>
      </c>
      <c r="U1355" s="150">
        <v>6099471.9900000002</v>
      </c>
      <c r="V1355" s="199">
        <v>699818.10243674647</v>
      </c>
      <c r="W1355" s="150">
        <f t="shared" si="1262"/>
        <v>6799290.0924367467</v>
      </c>
      <c r="X1355" s="150">
        <v>6099471.9900000002</v>
      </c>
      <c r="Y1355" s="150">
        <v>699818.10243674647</v>
      </c>
      <c r="Z1355" s="150">
        <v>6799290.0924367467</v>
      </c>
      <c r="AA1355" s="150">
        <f t="shared" si="1242"/>
        <v>51614.727563253604</v>
      </c>
      <c r="AB1355" s="150">
        <v>6099471.9900000002</v>
      </c>
      <c r="AC1355" s="199">
        <v>751432.83000000007</v>
      </c>
      <c r="AD1355" s="150">
        <f t="shared" si="1263"/>
        <v>6850904.8200000003</v>
      </c>
      <c r="AE1355" s="150">
        <v>6850904.8200000003</v>
      </c>
      <c r="AF1355" s="169" t="s">
        <v>4680</v>
      </c>
      <c r="AG1355" s="201">
        <v>6099471.9900000002</v>
      </c>
      <c r="AH1355" s="199">
        <v>751432.83000000007</v>
      </c>
      <c r="AI1355" s="150">
        <v>6850904.8200000003</v>
      </c>
      <c r="AJ1355" s="169">
        <f t="shared" si="1243"/>
        <v>0</v>
      </c>
      <c r="AK1355" s="201">
        <v>6099471.9900000002</v>
      </c>
      <c r="AL1355" s="199">
        <v>751432.83000000007</v>
      </c>
      <c r="AM1355" s="150">
        <f t="shared" si="1264"/>
        <v>6850904.8200000003</v>
      </c>
      <c r="AN1355" s="153">
        <f t="shared" si="1244"/>
        <v>0</v>
      </c>
      <c r="AO1355" s="154">
        <f t="shared" si="1245"/>
        <v>0</v>
      </c>
      <c r="AP1355" s="150">
        <v>6850904.8200000003</v>
      </c>
      <c r="AQ1355" s="201">
        <v>6850904.8200000003</v>
      </c>
      <c r="AR1355" s="199"/>
      <c r="AS1355" s="150">
        <f t="shared" si="1265"/>
        <v>6850904.8200000003</v>
      </c>
      <c r="AT1355" s="155"/>
      <c r="AU1355" s="156">
        <f t="shared" si="1240"/>
        <v>0</v>
      </c>
      <c r="AV1355" s="156">
        <f t="shared" si="1241"/>
        <v>51614.727563253604</v>
      </c>
      <c r="AW1355" s="157"/>
      <c r="AX1355" s="150">
        <v>6799290.0924367467</v>
      </c>
      <c r="AY1355" s="150">
        <v>3212230.67</v>
      </c>
      <c r="AZ1355" s="150">
        <f t="shared" si="1266"/>
        <v>2811366.033345772</v>
      </c>
      <c r="BA1355" s="150">
        <v>6023596.7033457719</v>
      </c>
      <c r="BB1355" s="202">
        <v>5</v>
      </c>
      <c r="BC1355" s="202" t="s">
        <v>714</v>
      </c>
      <c r="BD1355" s="202" t="s">
        <v>632</v>
      </c>
      <c r="BE1355" s="202" t="s">
        <v>632</v>
      </c>
      <c r="BF1355" s="202" t="s">
        <v>714</v>
      </c>
      <c r="BG1355" s="231" t="s">
        <v>8320</v>
      </c>
      <c r="BH1355" s="216">
        <f>SUM(AS1355:AS1359)</f>
        <v>8066338.79</v>
      </c>
      <c r="BI1355" s="205"/>
      <c r="BJ1355" s="206" t="s">
        <v>8306</v>
      </c>
      <c r="BK1355" s="206" t="s">
        <v>569</v>
      </c>
      <c r="BL1355" s="207" t="s">
        <v>8307</v>
      </c>
      <c r="BM1355" s="208">
        <f>BH1355</f>
        <v>8066338.79</v>
      </c>
      <c r="BN1355" s="160"/>
      <c r="BO1355" s="161"/>
      <c r="BP1355" s="161"/>
    </row>
    <row r="1356" spans="1:68" ht="38.25">
      <c r="A1356" s="210"/>
      <c r="B1356" s="195" t="s">
        <v>8321</v>
      </c>
      <c r="C1356" s="196" t="s">
        <v>8322</v>
      </c>
      <c r="D1356" s="146" t="s">
        <v>4692</v>
      </c>
      <c r="E1356" s="196" t="s">
        <v>8322</v>
      </c>
      <c r="F1356" s="150">
        <v>987975.93</v>
      </c>
      <c r="G1356" s="209">
        <v>0</v>
      </c>
      <c r="H1356" s="209">
        <v>0</v>
      </c>
      <c r="I1356" s="209">
        <v>0</v>
      </c>
      <c r="J1356" s="150">
        <v>244960.58</v>
      </c>
      <c r="K1356" s="150">
        <v>0</v>
      </c>
      <c r="L1356" s="150">
        <f t="shared" si="1267"/>
        <v>244960.58</v>
      </c>
      <c r="M1356" s="150">
        <v>490918.52</v>
      </c>
      <c r="N1356" s="150">
        <v>0</v>
      </c>
      <c r="O1356" s="150">
        <v>490918.52</v>
      </c>
      <c r="P1356" s="150">
        <v>737268.01</v>
      </c>
      <c r="Q1356" s="150">
        <v>0</v>
      </c>
      <c r="R1356" s="313">
        <f t="shared" si="1261"/>
        <v>737268.01</v>
      </c>
      <c r="S1356" s="150">
        <f t="shared" si="1247"/>
        <v>983024.01333333342</v>
      </c>
      <c r="T1356" s="150">
        <v>1071113.79</v>
      </c>
      <c r="U1356" s="150">
        <v>1071113.79</v>
      </c>
      <c r="V1356" s="199">
        <v>0</v>
      </c>
      <c r="W1356" s="150">
        <f t="shared" si="1262"/>
        <v>1071113.79</v>
      </c>
      <c r="X1356" s="150">
        <v>1071113.79</v>
      </c>
      <c r="Y1356" s="150">
        <v>0</v>
      </c>
      <c r="Z1356" s="150">
        <v>1071113.79</v>
      </c>
      <c r="AA1356" s="150">
        <f t="shared" si="1242"/>
        <v>0</v>
      </c>
      <c r="AB1356" s="150">
        <v>1071113.79</v>
      </c>
      <c r="AC1356" s="199">
        <v>0</v>
      </c>
      <c r="AD1356" s="150">
        <f t="shared" si="1263"/>
        <v>1071113.79</v>
      </c>
      <c r="AE1356" s="150">
        <v>1071113.79</v>
      </c>
      <c r="AF1356" s="169" t="s">
        <v>4680</v>
      </c>
      <c r="AG1356" s="201">
        <v>1071113.79</v>
      </c>
      <c r="AH1356" s="199">
        <v>0</v>
      </c>
      <c r="AI1356" s="150">
        <v>1071113.79</v>
      </c>
      <c r="AJ1356" s="169">
        <f t="shared" si="1243"/>
        <v>0</v>
      </c>
      <c r="AK1356" s="201">
        <v>1071113.79</v>
      </c>
      <c r="AL1356" s="199">
        <v>0</v>
      </c>
      <c r="AM1356" s="150">
        <f t="shared" si="1264"/>
        <v>1071113.79</v>
      </c>
      <c r="AN1356" s="153">
        <f t="shared" si="1244"/>
        <v>0</v>
      </c>
      <c r="AO1356" s="154">
        <f t="shared" si="1245"/>
        <v>0</v>
      </c>
      <c r="AP1356" s="150">
        <v>1071113.79</v>
      </c>
      <c r="AQ1356" s="201">
        <v>1071113.79</v>
      </c>
      <c r="AR1356" s="199">
        <v>0</v>
      </c>
      <c r="AS1356" s="150">
        <f t="shared" si="1265"/>
        <v>1071113.79</v>
      </c>
      <c r="AT1356" s="155"/>
      <c r="AU1356" s="156">
        <f t="shared" si="1240"/>
        <v>0</v>
      </c>
      <c r="AV1356" s="156">
        <f t="shared" si="1241"/>
        <v>0</v>
      </c>
      <c r="AW1356" s="157"/>
      <c r="AX1356" s="150">
        <v>1071113.79</v>
      </c>
      <c r="AY1356" s="150">
        <v>573644.68999999994</v>
      </c>
      <c r="AZ1356" s="150">
        <f t="shared" si="1266"/>
        <v>408192.35000000009</v>
      </c>
      <c r="BA1356" s="150">
        <v>981837.04</v>
      </c>
      <c r="BB1356" s="210"/>
      <c r="BC1356" s="210"/>
      <c r="BD1356" s="210"/>
      <c r="BE1356" s="210"/>
      <c r="BF1356" s="210"/>
      <c r="BG1356" s="210"/>
      <c r="BH1356" s="217"/>
      <c r="BI1356" s="210"/>
      <c r="BJ1356" s="210"/>
      <c r="BK1356" s="210"/>
      <c r="BL1356" s="210"/>
      <c r="BM1356" s="208"/>
      <c r="BN1356" s="160"/>
      <c r="BO1356" s="161"/>
      <c r="BP1356" s="161"/>
    </row>
    <row r="1357" spans="1:68" ht="38.25">
      <c r="A1357" s="210"/>
      <c r="B1357" s="195" t="s">
        <v>8323</v>
      </c>
      <c r="C1357" s="196" t="s">
        <v>8324</v>
      </c>
      <c r="D1357" s="146" t="s">
        <v>4692</v>
      </c>
      <c r="E1357" s="196" t="s">
        <v>8324</v>
      </c>
      <c r="F1357" s="150">
        <v>0</v>
      </c>
      <c r="G1357" s="209">
        <v>0</v>
      </c>
      <c r="H1357" s="209">
        <v>98415.2</v>
      </c>
      <c r="I1357" s="209">
        <v>98415.2</v>
      </c>
      <c r="J1357" s="150">
        <v>178.51</v>
      </c>
      <c r="K1357" s="150">
        <v>0</v>
      </c>
      <c r="L1357" s="150">
        <f t="shared" si="1267"/>
        <v>178.51</v>
      </c>
      <c r="M1357" s="150">
        <v>178.51</v>
      </c>
      <c r="N1357" s="150">
        <v>0</v>
      </c>
      <c r="O1357" s="150">
        <v>178.51</v>
      </c>
      <c r="P1357" s="150">
        <v>178.51</v>
      </c>
      <c r="Q1357" s="150">
        <v>0</v>
      </c>
      <c r="R1357" s="313">
        <f t="shared" si="1261"/>
        <v>178.51</v>
      </c>
      <c r="S1357" s="150">
        <f t="shared" si="1247"/>
        <v>238.01333333333332</v>
      </c>
      <c r="T1357" s="150">
        <v>178.51</v>
      </c>
      <c r="U1357" s="150">
        <v>178.51</v>
      </c>
      <c r="V1357" s="199">
        <v>0</v>
      </c>
      <c r="W1357" s="150">
        <f t="shared" si="1262"/>
        <v>178.51</v>
      </c>
      <c r="X1357" s="150">
        <v>178.51</v>
      </c>
      <c r="Y1357" s="150">
        <v>0</v>
      </c>
      <c r="Z1357" s="150">
        <v>178.51</v>
      </c>
      <c r="AA1357" s="150">
        <f t="shared" si="1242"/>
        <v>0</v>
      </c>
      <c r="AB1357" s="150">
        <v>178.51</v>
      </c>
      <c r="AC1357" s="199">
        <v>0</v>
      </c>
      <c r="AD1357" s="150">
        <f t="shared" si="1263"/>
        <v>178.51</v>
      </c>
      <c r="AE1357" s="150">
        <v>178.51</v>
      </c>
      <c r="AF1357" s="169" t="s">
        <v>4680</v>
      </c>
      <c r="AG1357" s="201">
        <v>178.51</v>
      </c>
      <c r="AH1357" s="199">
        <v>0</v>
      </c>
      <c r="AI1357" s="150">
        <v>178.51</v>
      </c>
      <c r="AJ1357" s="169">
        <f t="shared" si="1243"/>
        <v>0</v>
      </c>
      <c r="AK1357" s="201">
        <v>178.51</v>
      </c>
      <c r="AL1357" s="199">
        <v>0</v>
      </c>
      <c r="AM1357" s="150">
        <f t="shared" si="1264"/>
        <v>178.51</v>
      </c>
      <c r="AN1357" s="153">
        <f t="shared" si="1244"/>
        <v>0</v>
      </c>
      <c r="AO1357" s="154">
        <f t="shared" si="1245"/>
        <v>0</v>
      </c>
      <c r="AP1357" s="150">
        <v>178.51</v>
      </c>
      <c r="AQ1357" s="201">
        <v>178.51</v>
      </c>
      <c r="AR1357" s="199">
        <v>0</v>
      </c>
      <c r="AS1357" s="150">
        <f t="shared" si="1265"/>
        <v>178.51</v>
      </c>
      <c r="AT1357" s="155"/>
      <c r="AU1357" s="156">
        <f t="shared" si="1240"/>
        <v>0</v>
      </c>
      <c r="AV1357" s="156">
        <f t="shared" si="1241"/>
        <v>0</v>
      </c>
      <c r="AW1357" s="157"/>
      <c r="AX1357" s="150">
        <v>178.51</v>
      </c>
      <c r="AY1357" s="150">
        <v>178.51</v>
      </c>
      <c r="AZ1357" s="150">
        <f t="shared" si="1266"/>
        <v>178.51</v>
      </c>
      <c r="BA1357" s="150">
        <v>357.02</v>
      </c>
      <c r="BB1357" s="210"/>
      <c r="BC1357" s="210"/>
      <c r="BD1357" s="210"/>
      <c r="BE1357" s="210"/>
      <c r="BF1357" s="210"/>
      <c r="BG1357" s="210"/>
      <c r="BH1357" s="217"/>
      <c r="BI1357" s="210"/>
      <c r="BJ1357" s="210"/>
      <c r="BK1357" s="210"/>
      <c r="BL1357" s="210"/>
      <c r="BM1357" s="208"/>
      <c r="BN1357" s="160"/>
      <c r="BO1357" s="161"/>
      <c r="BP1357" s="161"/>
    </row>
    <row r="1358" spans="1:68" ht="25.5">
      <c r="A1358" s="210"/>
      <c r="B1358" s="195" t="s">
        <v>8325</v>
      </c>
      <c r="C1358" s="196" t="s">
        <v>8326</v>
      </c>
      <c r="D1358" s="146" t="s">
        <v>4692</v>
      </c>
      <c r="E1358" s="196" t="s">
        <v>8326</v>
      </c>
      <c r="F1358" s="150">
        <v>98415</v>
      </c>
      <c r="G1358" s="209">
        <v>2787.54</v>
      </c>
      <c r="H1358" s="209">
        <v>0</v>
      </c>
      <c r="I1358" s="209">
        <v>2787.54</v>
      </c>
      <c r="J1358" s="150">
        <v>0</v>
      </c>
      <c r="K1358" s="150">
        <v>24603.8</v>
      </c>
      <c r="L1358" s="150">
        <f t="shared" si="1267"/>
        <v>24603.8</v>
      </c>
      <c r="M1358" s="150">
        <v>0</v>
      </c>
      <c r="N1358" s="150">
        <v>49207.5</v>
      </c>
      <c r="O1358" s="150">
        <v>49207.5</v>
      </c>
      <c r="P1358" s="150">
        <v>0</v>
      </c>
      <c r="Q1358" s="150">
        <v>0</v>
      </c>
      <c r="R1358" s="313">
        <f t="shared" si="1261"/>
        <v>0</v>
      </c>
      <c r="S1358" s="150">
        <f t="shared" si="1247"/>
        <v>0</v>
      </c>
      <c r="T1358" s="150">
        <v>141254.91</v>
      </c>
      <c r="U1358" s="150">
        <v>0</v>
      </c>
      <c r="V1358" s="199">
        <v>141254.91</v>
      </c>
      <c r="W1358" s="150">
        <f t="shared" si="1262"/>
        <v>141254.91</v>
      </c>
      <c r="X1358" s="150">
        <v>0</v>
      </c>
      <c r="Y1358" s="150">
        <v>141254.91</v>
      </c>
      <c r="Z1358" s="150">
        <v>141254.91</v>
      </c>
      <c r="AA1358" s="150">
        <f t="shared" si="1242"/>
        <v>0</v>
      </c>
      <c r="AB1358" s="150">
        <v>0</v>
      </c>
      <c r="AC1358" s="199">
        <v>141254.91</v>
      </c>
      <c r="AD1358" s="150">
        <f t="shared" si="1263"/>
        <v>141254.91</v>
      </c>
      <c r="AE1358" s="150">
        <v>141254.91</v>
      </c>
      <c r="AF1358" s="169" t="s">
        <v>4680</v>
      </c>
      <c r="AG1358" s="201">
        <v>0</v>
      </c>
      <c r="AH1358" s="199">
        <v>141254.91</v>
      </c>
      <c r="AI1358" s="150">
        <v>141254.91</v>
      </c>
      <c r="AJ1358" s="169">
        <f t="shared" si="1243"/>
        <v>0</v>
      </c>
      <c r="AK1358" s="201">
        <v>0</v>
      </c>
      <c r="AL1358" s="199">
        <v>141254.91</v>
      </c>
      <c r="AM1358" s="150">
        <f t="shared" si="1264"/>
        <v>141254.91</v>
      </c>
      <c r="AN1358" s="153">
        <f t="shared" si="1244"/>
        <v>0</v>
      </c>
      <c r="AO1358" s="154">
        <f t="shared" si="1245"/>
        <v>0</v>
      </c>
      <c r="AP1358" s="150">
        <v>141254.91</v>
      </c>
      <c r="AQ1358" s="201">
        <v>141254.91</v>
      </c>
      <c r="AR1358" s="199"/>
      <c r="AS1358" s="150">
        <f t="shared" si="1265"/>
        <v>141254.91</v>
      </c>
      <c r="AT1358" s="155"/>
      <c r="AU1358" s="156">
        <f t="shared" si="1240"/>
        <v>0</v>
      </c>
      <c r="AV1358" s="156">
        <f t="shared" si="1241"/>
        <v>0</v>
      </c>
      <c r="AW1358" s="157"/>
      <c r="AX1358" s="150">
        <v>141254.91</v>
      </c>
      <c r="AY1358" s="150">
        <v>0</v>
      </c>
      <c r="AZ1358" s="150">
        <f t="shared" si="1266"/>
        <v>98415</v>
      </c>
      <c r="BA1358" s="150">
        <v>98415</v>
      </c>
      <c r="BB1358" s="210"/>
      <c r="BC1358" s="210"/>
      <c r="BD1358" s="210"/>
      <c r="BE1358" s="210"/>
      <c r="BF1358" s="210"/>
      <c r="BG1358" s="210"/>
      <c r="BH1358" s="217"/>
      <c r="BI1358" s="210"/>
      <c r="BJ1358" s="210"/>
      <c r="BK1358" s="210"/>
      <c r="BL1358" s="210"/>
      <c r="BM1358" s="208"/>
      <c r="BN1358" s="160"/>
      <c r="BO1358" s="161"/>
      <c r="BP1358" s="161"/>
    </row>
    <row r="1359" spans="1:68" ht="38.25">
      <c r="A1359" s="210"/>
      <c r="B1359" s="195" t="s">
        <v>8327</v>
      </c>
      <c r="C1359" s="196" t="s">
        <v>8328</v>
      </c>
      <c r="D1359" s="146" t="s">
        <v>4692</v>
      </c>
      <c r="E1359" s="196" t="s">
        <v>8328</v>
      </c>
      <c r="F1359" s="150">
        <v>2787.54</v>
      </c>
      <c r="G1359" s="209">
        <v>0</v>
      </c>
      <c r="H1359" s="209">
        <v>0</v>
      </c>
      <c r="I1359" s="209">
        <v>0</v>
      </c>
      <c r="J1359" s="150">
        <v>600.66999999999996</v>
      </c>
      <c r="K1359" s="150">
        <v>0</v>
      </c>
      <c r="L1359" s="150">
        <f t="shared" si="1267"/>
        <v>600.66999999999996</v>
      </c>
      <c r="M1359" s="150">
        <v>1194.74</v>
      </c>
      <c r="N1359" s="150">
        <v>0</v>
      </c>
      <c r="O1359" s="150">
        <v>1194.74</v>
      </c>
      <c r="P1359" s="150">
        <v>1936.16</v>
      </c>
      <c r="Q1359" s="150">
        <v>0</v>
      </c>
      <c r="R1359" s="313">
        <f t="shared" si="1261"/>
        <v>1936.16</v>
      </c>
      <c r="S1359" s="150">
        <f t="shared" si="1247"/>
        <v>2581.5466666666666</v>
      </c>
      <c r="T1359" s="150">
        <v>2886.76</v>
      </c>
      <c r="U1359" s="150">
        <v>2886.76</v>
      </c>
      <c r="V1359" s="199">
        <v>0</v>
      </c>
      <c r="W1359" s="150">
        <f t="shared" si="1262"/>
        <v>2886.76</v>
      </c>
      <c r="X1359" s="150">
        <v>2886.76</v>
      </c>
      <c r="Y1359" s="150">
        <v>0</v>
      </c>
      <c r="Z1359" s="150">
        <v>2886.76</v>
      </c>
      <c r="AA1359" s="150">
        <f t="shared" si="1242"/>
        <v>0</v>
      </c>
      <c r="AB1359" s="150">
        <v>2886.76</v>
      </c>
      <c r="AC1359" s="199">
        <v>0</v>
      </c>
      <c r="AD1359" s="150">
        <f t="shared" si="1263"/>
        <v>2886.76</v>
      </c>
      <c r="AE1359" s="150">
        <v>2886.76</v>
      </c>
      <c r="AF1359" s="169" t="s">
        <v>4680</v>
      </c>
      <c r="AG1359" s="201">
        <v>2886.76</v>
      </c>
      <c r="AH1359" s="199">
        <v>0</v>
      </c>
      <c r="AI1359" s="150">
        <v>2886.76</v>
      </c>
      <c r="AJ1359" s="169">
        <f t="shared" si="1243"/>
        <v>0</v>
      </c>
      <c r="AK1359" s="201">
        <v>2886.76</v>
      </c>
      <c r="AL1359" s="199">
        <v>0</v>
      </c>
      <c r="AM1359" s="150">
        <f t="shared" si="1264"/>
        <v>2886.76</v>
      </c>
      <c r="AN1359" s="153">
        <f t="shared" si="1244"/>
        <v>0</v>
      </c>
      <c r="AO1359" s="154">
        <f t="shared" si="1245"/>
        <v>0</v>
      </c>
      <c r="AP1359" s="150">
        <v>2886.76</v>
      </c>
      <c r="AQ1359" s="201">
        <v>2886.76</v>
      </c>
      <c r="AR1359" s="199">
        <v>0</v>
      </c>
      <c r="AS1359" s="150">
        <f t="shared" si="1265"/>
        <v>2886.76</v>
      </c>
      <c r="AT1359" s="155"/>
      <c r="AU1359" s="156">
        <f t="shared" si="1240"/>
        <v>0</v>
      </c>
      <c r="AV1359" s="156">
        <f t="shared" si="1241"/>
        <v>0</v>
      </c>
      <c r="AW1359" s="157"/>
      <c r="AX1359" s="150">
        <v>2886.76</v>
      </c>
      <c r="AY1359" s="150">
        <v>1445.31</v>
      </c>
      <c r="AZ1359" s="150">
        <f t="shared" si="1266"/>
        <v>944.17000000000007</v>
      </c>
      <c r="BA1359" s="150">
        <v>2389.48</v>
      </c>
      <c r="BB1359" s="210"/>
      <c r="BC1359" s="210"/>
      <c r="BD1359" s="210"/>
      <c r="BE1359" s="210"/>
      <c r="BF1359" s="210"/>
      <c r="BG1359" s="210"/>
      <c r="BH1359" s="217"/>
      <c r="BI1359" s="210"/>
      <c r="BJ1359" s="210"/>
      <c r="BK1359" s="210"/>
      <c r="BL1359" s="210"/>
      <c r="BM1359" s="208"/>
      <c r="BN1359" s="160"/>
      <c r="BO1359" s="161"/>
      <c r="BP1359" s="161"/>
    </row>
    <row r="1360" spans="1:68" ht="38.25">
      <c r="A1360" s="206" t="s">
        <v>569</v>
      </c>
      <c r="B1360" s="195" t="s">
        <v>8329</v>
      </c>
      <c r="C1360" s="196" t="s">
        <v>8330</v>
      </c>
      <c r="D1360" s="146" t="s">
        <v>4692</v>
      </c>
      <c r="E1360" s="196" t="s">
        <v>8330</v>
      </c>
      <c r="F1360" s="150">
        <v>0</v>
      </c>
      <c r="G1360" s="209">
        <v>521033.24</v>
      </c>
      <c r="H1360" s="209">
        <v>128353</v>
      </c>
      <c r="I1360" s="209">
        <v>649386.23999999999</v>
      </c>
      <c r="J1360" s="150">
        <v>0</v>
      </c>
      <c r="K1360" s="150">
        <v>0</v>
      </c>
      <c r="L1360" s="150">
        <f t="shared" si="1267"/>
        <v>0</v>
      </c>
      <c r="M1360" s="150">
        <v>0</v>
      </c>
      <c r="N1360" s="150">
        <v>0</v>
      </c>
      <c r="O1360" s="150">
        <v>0</v>
      </c>
      <c r="P1360" s="150">
        <v>0</v>
      </c>
      <c r="Q1360" s="150">
        <v>0</v>
      </c>
      <c r="R1360" s="313">
        <f t="shared" si="1261"/>
        <v>0</v>
      </c>
      <c r="S1360" s="150">
        <f t="shared" si="1247"/>
        <v>0</v>
      </c>
      <c r="T1360" s="150">
        <v>0</v>
      </c>
      <c r="U1360" s="150">
        <v>0</v>
      </c>
      <c r="V1360" s="199">
        <v>0</v>
      </c>
      <c r="W1360" s="150">
        <f t="shared" si="1262"/>
        <v>0</v>
      </c>
      <c r="X1360" s="150">
        <v>0</v>
      </c>
      <c r="Y1360" s="150">
        <v>0</v>
      </c>
      <c r="Z1360" s="150">
        <v>0</v>
      </c>
      <c r="AA1360" s="150">
        <f t="shared" si="1242"/>
        <v>0</v>
      </c>
      <c r="AB1360" s="150">
        <v>0</v>
      </c>
      <c r="AC1360" s="199">
        <v>0</v>
      </c>
      <c r="AD1360" s="150">
        <f t="shared" si="1263"/>
        <v>0</v>
      </c>
      <c r="AE1360" s="150">
        <v>0</v>
      </c>
      <c r="AF1360" s="169" t="s">
        <v>4680</v>
      </c>
      <c r="AG1360" s="201">
        <v>0</v>
      </c>
      <c r="AH1360" s="199">
        <v>0</v>
      </c>
      <c r="AI1360" s="150">
        <v>0</v>
      </c>
      <c r="AJ1360" s="169">
        <f t="shared" si="1243"/>
        <v>0</v>
      </c>
      <c r="AK1360" s="201">
        <v>0</v>
      </c>
      <c r="AL1360" s="199">
        <v>0</v>
      </c>
      <c r="AM1360" s="150">
        <f t="shared" si="1264"/>
        <v>0</v>
      </c>
      <c r="AN1360" s="153">
        <f t="shared" si="1244"/>
        <v>0</v>
      </c>
      <c r="AO1360" s="154">
        <f t="shared" si="1245"/>
        <v>0</v>
      </c>
      <c r="AP1360" s="150">
        <v>0</v>
      </c>
      <c r="AQ1360" s="201">
        <v>0</v>
      </c>
      <c r="AR1360" s="199">
        <v>0</v>
      </c>
      <c r="AS1360" s="150">
        <f t="shared" si="1265"/>
        <v>0</v>
      </c>
      <c r="AT1360" s="155"/>
      <c r="AU1360" s="156">
        <f t="shared" si="1240"/>
        <v>0</v>
      </c>
      <c r="AV1360" s="156">
        <f t="shared" si="1241"/>
        <v>0</v>
      </c>
      <c r="AW1360" s="157"/>
      <c r="AX1360" s="150">
        <v>0</v>
      </c>
      <c r="AY1360" s="150">
        <v>0</v>
      </c>
      <c r="AZ1360" s="150">
        <f t="shared" si="1266"/>
        <v>0</v>
      </c>
      <c r="BA1360" s="150">
        <v>0</v>
      </c>
      <c r="BB1360" s="202">
        <v>5</v>
      </c>
      <c r="BC1360" s="202" t="s">
        <v>714</v>
      </c>
      <c r="BD1360" s="202" t="s">
        <v>632</v>
      </c>
      <c r="BE1360" s="202" t="s">
        <v>632</v>
      </c>
      <c r="BF1360" s="202" t="s">
        <v>739</v>
      </c>
      <c r="BG1360" s="231" t="s">
        <v>8331</v>
      </c>
      <c r="BH1360" s="216">
        <f>AS1360</f>
        <v>0</v>
      </c>
      <c r="BI1360" s="205"/>
      <c r="BJ1360" s="206" t="s">
        <v>8306</v>
      </c>
      <c r="BK1360" s="206" t="s">
        <v>569</v>
      </c>
      <c r="BL1360" s="207" t="s">
        <v>8307</v>
      </c>
      <c r="BM1360" s="208">
        <f>BH1360</f>
        <v>0</v>
      </c>
      <c r="BN1360" s="160"/>
      <c r="BO1360" s="161">
        <f t="shared" si="1188"/>
        <v>0</v>
      </c>
      <c r="BP1360" s="161"/>
    </row>
    <row r="1361" spans="1:68" ht="51">
      <c r="A1361" s="206" t="s">
        <v>569</v>
      </c>
      <c r="B1361" s="195" t="s">
        <v>8332</v>
      </c>
      <c r="C1361" s="196" t="s">
        <v>8333</v>
      </c>
      <c r="D1361" s="146" t="s">
        <v>4692</v>
      </c>
      <c r="E1361" s="196" t="s">
        <v>8333</v>
      </c>
      <c r="F1361" s="150">
        <v>649386.23999999999</v>
      </c>
      <c r="G1361" s="314">
        <v>116728.58</v>
      </c>
      <c r="H1361" s="314">
        <v>27934.439999999988</v>
      </c>
      <c r="I1361" s="314">
        <v>144663.01999999999</v>
      </c>
      <c r="J1361" s="150">
        <v>0</v>
      </c>
      <c r="K1361" s="150">
        <v>162346.56</v>
      </c>
      <c r="L1361" s="150">
        <f t="shared" si="1267"/>
        <v>162346.56</v>
      </c>
      <c r="M1361" s="150">
        <v>264814.75</v>
      </c>
      <c r="N1361" s="150">
        <v>59878.369999999995</v>
      </c>
      <c r="O1361" s="150">
        <v>324693.12</v>
      </c>
      <c r="P1361" s="150">
        <v>635973.44999999995</v>
      </c>
      <c r="Q1361" s="150">
        <v>0</v>
      </c>
      <c r="R1361" s="313">
        <f t="shared" si="1261"/>
        <v>635973.44999999995</v>
      </c>
      <c r="S1361" s="150">
        <f t="shared" si="1247"/>
        <v>847964.59999999986</v>
      </c>
      <c r="T1361" s="150">
        <v>980996.05</v>
      </c>
      <c r="U1361" s="150">
        <v>980996.05</v>
      </c>
      <c r="V1361" s="199">
        <v>0</v>
      </c>
      <c r="W1361" s="150">
        <f t="shared" si="1262"/>
        <v>980996.05</v>
      </c>
      <c r="X1361" s="150">
        <v>980996.05</v>
      </c>
      <c r="Y1361" s="150">
        <v>0</v>
      </c>
      <c r="Z1361" s="150">
        <v>980996.05</v>
      </c>
      <c r="AA1361" s="150">
        <f t="shared" si="1242"/>
        <v>0</v>
      </c>
      <c r="AB1361" s="150">
        <v>980996.05</v>
      </c>
      <c r="AC1361" s="199">
        <v>0</v>
      </c>
      <c r="AD1361" s="150">
        <f t="shared" si="1263"/>
        <v>980996.05</v>
      </c>
      <c r="AE1361" s="150">
        <v>980996.05</v>
      </c>
      <c r="AF1361" s="169" t="s">
        <v>4680</v>
      </c>
      <c r="AG1361" s="201">
        <v>980996.05</v>
      </c>
      <c r="AH1361" s="199">
        <v>0</v>
      </c>
      <c r="AI1361" s="150">
        <v>980996.05</v>
      </c>
      <c r="AJ1361" s="169">
        <f t="shared" si="1243"/>
        <v>0</v>
      </c>
      <c r="AK1361" s="201">
        <v>980996.05</v>
      </c>
      <c r="AL1361" s="199">
        <v>0</v>
      </c>
      <c r="AM1361" s="150">
        <f t="shared" si="1264"/>
        <v>980996.05</v>
      </c>
      <c r="AN1361" s="153">
        <f t="shared" si="1244"/>
        <v>0</v>
      </c>
      <c r="AO1361" s="154">
        <f t="shared" si="1245"/>
        <v>0</v>
      </c>
      <c r="AP1361" s="150">
        <v>980996.05</v>
      </c>
      <c r="AQ1361" s="201">
        <v>980996.05</v>
      </c>
      <c r="AR1361" s="199">
        <v>0</v>
      </c>
      <c r="AS1361" s="150">
        <f t="shared" si="1265"/>
        <v>980996.05</v>
      </c>
      <c r="AT1361" s="155"/>
      <c r="AU1361" s="156">
        <f t="shared" si="1240"/>
        <v>0</v>
      </c>
      <c r="AV1361" s="156">
        <f t="shared" si="1241"/>
        <v>0</v>
      </c>
      <c r="AW1361" s="157"/>
      <c r="AX1361" s="150">
        <v>980996.05</v>
      </c>
      <c r="AY1361" s="150">
        <v>408593.65</v>
      </c>
      <c r="AZ1361" s="150">
        <f t="shared" si="1266"/>
        <v>240792.58999999997</v>
      </c>
      <c r="BA1361" s="150">
        <v>649386.23999999999</v>
      </c>
      <c r="BB1361" s="202">
        <v>5</v>
      </c>
      <c r="BC1361" s="202" t="s">
        <v>714</v>
      </c>
      <c r="BD1361" s="202" t="s">
        <v>632</v>
      </c>
      <c r="BE1361" s="202" t="s">
        <v>632</v>
      </c>
      <c r="BF1361" s="202" t="s">
        <v>755</v>
      </c>
      <c r="BG1361" s="231" t="s">
        <v>8334</v>
      </c>
      <c r="BH1361" s="216">
        <f>AS1361</f>
        <v>980996.05</v>
      </c>
      <c r="BI1361" s="205"/>
      <c r="BJ1361" s="206" t="s">
        <v>8306</v>
      </c>
      <c r="BK1361" s="206" t="s">
        <v>569</v>
      </c>
      <c r="BL1361" s="207" t="s">
        <v>8307</v>
      </c>
      <c r="BM1361" s="208">
        <f>BH1361</f>
        <v>980996.05</v>
      </c>
      <c r="BN1361" s="160"/>
      <c r="BO1361" s="161">
        <f t="shared" si="1188"/>
        <v>0</v>
      </c>
      <c r="BP1361" s="161"/>
    </row>
    <row r="1362" spans="1:68" ht="51">
      <c r="A1362" s="206" t="s">
        <v>569</v>
      </c>
      <c r="B1362" s="195" t="s">
        <v>8335</v>
      </c>
      <c r="C1362" s="196" t="s">
        <v>8336</v>
      </c>
      <c r="D1362" s="146" t="s">
        <v>4692</v>
      </c>
      <c r="E1362" s="196" t="s">
        <v>8336</v>
      </c>
      <c r="F1362" s="150">
        <v>144662.57999999999</v>
      </c>
      <c r="G1362" s="314">
        <v>0</v>
      </c>
      <c r="H1362" s="314">
        <v>0</v>
      </c>
      <c r="I1362" s="314">
        <v>0</v>
      </c>
      <c r="J1362" s="150">
        <v>0</v>
      </c>
      <c r="K1362" s="150">
        <v>36165.760000000002</v>
      </c>
      <c r="L1362" s="150">
        <f t="shared" si="1267"/>
        <v>36165.760000000002</v>
      </c>
      <c r="M1362" s="150">
        <v>60801.04</v>
      </c>
      <c r="N1362" s="150">
        <v>11530.249999999993</v>
      </c>
      <c r="O1362" s="150">
        <v>72331.289999999994</v>
      </c>
      <c r="P1362" s="150">
        <v>145619.54</v>
      </c>
      <c r="Q1362" s="150">
        <v>0</v>
      </c>
      <c r="R1362" s="313">
        <f t="shared" si="1261"/>
        <v>145619.54</v>
      </c>
      <c r="S1362" s="150">
        <f t="shared" si="1247"/>
        <v>194159.38666666669</v>
      </c>
      <c r="T1362" s="150">
        <v>225648.75</v>
      </c>
      <c r="U1362" s="150">
        <v>225648.75</v>
      </c>
      <c r="V1362" s="199">
        <v>0</v>
      </c>
      <c r="W1362" s="150">
        <f t="shared" si="1262"/>
        <v>225648.75</v>
      </c>
      <c r="X1362" s="150">
        <v>225648.75</v>
      </c>
      <c r="Y1362" s="150">
        <v>0</v>
      </c>
      <c r="Z1362" s="150">
        <v>225648.75</v>
      </c>
      <c r="AA1362" s="150">
        <f t="shared" si="1242"/>
        <v>0</v>
      </c>
      <c r="AB1362" s="150">
        <v>225648.75</v>
      </c>
      <c r="AC1362" s="199">
        <v>0</v>
      </c>
      <c r="AD1362" s="150">
        <f t="shared" si="1263"/>
        <v>225648.75</v>
      </c>
      <c r="AE1362" s="150">
        <v>225648.75</v>
      </c>
      <c r="AF1362" s="169" t="s">
        <v>4680</v>
      </c>
      <c r="AG1362" s="201">
        <v>225648.75</v>
      </c>
      <c r="AH1362" s="199">
        <v>0</v>
      </c>
      <c r="AI1362" s="150">
        <v>225648.75</v>
      </c>
      <c r="AJ1362" s="169">
        <f t="shared" si="1243"/>
        <v>0</v>
      </c>
      <c r="AK1362" s="201">
        <v>225648.75</v>
      </c>
      <c r="AL1362" s="199">
        <v>0</v>
      </c>
      <c r="AM1362" s="150">
        <f t="shared" si="1264"/>
        <v>225648.75</v>
      </c>
      <c r="AN1362" s="153">
        <f t="shared" si="1244"/>
        <v>0</v>
      </c>
      <c r="AO1362" s="154">
        <f t="shared" si="1245"/>
        <v>0</v>
      </c>
      <c r="AP1362" s="150">
        <v>225648.75</v>
      </c>
      <c r="AQ1362" s="201">
        <v>225648.75</v>
      </c>
      <c r="AR1362" s="199">
        <v>0</v>
      </c>
      <c r="AS1362" s="150">
        <f t="shared" si="1265"/>
        <v>225648.75</v>
      </c>
      <c r="AT1362" s="155"/>
      <c r="AU1362" s="156">
        <f t="shared" si="1240"/>
        <v>0</v>
      </c>
      <c r="AV1362" s="156">
        <f t="shared" si="1241"/>
        <v>0</v>
      </c>
      <c r="AW1362" s="157"/>
      <c r="AX1362" s="150">
        <v>225648.75</v>
      </c>
      <c r="AY1362" s="150">
        <v>93109.97</v>
      </c>
      <c r="AZ1362" s="150">
        <f t="shared" si="1266"/>
        <v>51552.609999999986</v>
      </c>
      <c r="BA1362" s="150">
        <v>144662.57999999999</v>
      </c>
      <c r="BB1362" s="202">
        <v>5</v>
      </c>
      <c r="BC1362" s="202" t="s">
        <v>714</v>
      </c>
      <c r="BD1362" s="202" t="s">
        <v>632</v>
      </c>
      <c r="BE1362" s="202" t="s">
        <v>632</v>
      </c>
      <c r="BF1362" s="202" t="s">
        <v>766</v>
      </c>
      <c r="BG1362" s="231" t="s">
        <v>8337</v>
      </c>
      <c r="BH1362" s="216">
        <f>AS1362</f>
        <v>225648.75</v>
      </c>
      <c r="BI1362" s="205"/>
      <c r="BJ1362" s="206" t="s">
        <v>8306</v>
      </c>
      <c r="BK1362" s="206" t="s">
        <v>569</v>
      </c>
      <c r="BL1362" s="207" t="s">
        <v>8307</v>
      </c>
      <c r="BM1362" s="208">
        <f>BH1362</f>
        <v>225648.75</v>
      </c>
      <c r="BN1362" s="160"/>
      <c r="BO1362" s="161">
        <f t="shared" si="1188"/>
        <v>0</v>
      </c>
      <c r="BP1362" s="161"/>
    </row>
    <row r="1363" spans="1:68" ht="38.25">
      <c r="A1363" s="206" t="s">
        <v>569</v>
      </c>
      <c r="B1363" s="195" t="s">
        <v>8338</v>
      </c>
      <c r="C1363" s="196" t="s">
        <v>8339</v>
      </c>
      <c r="D1363" s="146" t="s">
        <v>4692</v>
      </c>
      <c r="E1363" s="196" t="s">
        <v>8339</v>
      </c>
      <c r="F1363" s="150">
        <v>0</v>
      </c>
      <c r="G1363" s="209">
        <v>0</v>
      </c>
      <c r="H1363" s="209">
        <v>0</v>
      </c>
      <c r="I1363" s="209">
        <v>0</v>
      </c>
      <c r="J1363" s="150">
        <v>0</v>
      </c>
      <c r="K1363" s="150">
        <v>0</v>
      </c>
      <c r="L1363" s="150">
        <f t="shared" si="1267"/>
        <v>0</v>
      </c>
      <c r="M1363" s="150">
        <v>0</v>
      </c>
      <c r="N1363" s="150">
        <v>0</v>
      </c>
      <c r="O1363" s="150">
        <v>0</v>
      </c>
      <c r="P1363" s="150">
        <v>0</v>
      </c>
      <c r="Q1363" s="150">
        <v>0</v>
      </c>
      <c r="R1363" s="313">
        <f t="shared" si="1261"/>
        <v>0</v>
      </c>
      <c r="S1363" s="150">
        <f t="shared" si="1247"/>
        <v>0</v>
      </c>
      <c r="T1363" s="150">
        <v>0</v>
      </c>
      <c r="U1363" s="150">
        <v>0</v>
      </c>
      <c r="V1363" s="199">
        <v>0</v>
      </c>
      <c r="W1363" s="150">
        <f t="shared" si="1262"/>
        <v>0</v>
      </c>
      <c r="X1363" s="150">
        <v>0</v>
      </c>
      <c r="Y1363" s="150">
        <v>0</v>
      </c>
      <c r="Z1363" s="150">
        <v>0</v>
      </c>
      <c r="AA1363" s="150">
        <f t="shared" si="1242"/>
        <v>0</v>
      </c>
      <c r="AB1363" s="150">
        <v>0</v>
      </c>
      <c r="AC1363" s="199">
        <v>0</v>
      </c>
      <c r="AD1363" s="150">
        <f t="shared" si="1263"/>
        <v>0</v>
      </c>
      <c r="AE1363" s="150">
        <v>0</v>
      </c>
      <c r="AF1363" s="169" t="s">
        <v>4680</v>
      </c>
      <c r="AG1363" s="201">
        <v>0</v>
      </c>
      <c r="AH1363" s="199">
        <v>0</v>
      </c>
      <c r="AI1363" s="150">
        <v>0</v>
      </c>
      <c r="AJ1363" s="169">
        <f t="shared" si="1243"/>
        <v>0</v>
      </c>
      <c r="AK1363" s="201">
        <v>0</v>
      </c>
      <c r="AL1363" s="199">
        <v>0</v>
      </c>
      <c r="AM1363" s="150">
        <f t="shared" si="1264"/>
        <v>0</v>
      </c>
      <c r="AN1363" s="153">
        <f t="shared" si="1244"/>
        <v>0</v>
      </c>
      <c r="AO1363" s="154">
        <f t="shared" si="1245"/>
        <v>0</v>
      </c>
      <c r="AP1363" s="150">
        <v>0</v>
      </c>
      <c r="AQ1363" s="201">
        <v>0</v>
      </c>
      <c r="AR1363" s="199">
        <v>0</v>
      </c>
      <c r="AS1363" s="150">
        <f t="shared" si="1265"/>
        <v>0</v>
      </c>
      <c r="AT1363" s="155"/>
      <c r="AU1363" s="156">
        <f t="shared" si="1240"/>
        <v>0</v>
      </c>
      <c r="AV1363" s="156">
        <f t="shared" si="1241"/>
        <v>0</v>
      </c>
      <c r="AW1363" s="157"/>
      <c r="AX1363" s="150">
        <v>0</v>
      </c>
      <c r="AY1363" s="150">
        <v>0</v>
      </c>
      <c r="AZ1363" s="150">
        <f t="shared" si="1266"/>
        <v>0</v>
      </c>
      <c r="BA1363" s="150">
        <v>0</v>
      </c>
      <c r="BB1363" s="202">
        <v>5</v>
      </c>
      <c r="BC1363" s="202" t="s">
        <v>714</v>
      </c>
      <c r="BD1363" s="202" t="s">
        <v>632</v>
      </c>
      <c r="BE1363" s="202" t="s">
        <v>632</v>
      </c>
      <c r="BF1363" s="202" t="s">
        <v>779</v>
      </c>
      <c r="BG1363" s="231" t="s">
        <v>8340</v>
      </c>
      <c r="BH1363" s="216">
        <f>SUM(AS1363:AS1371)</f>
        <v>16784.599999999999</v>
      </c>
      <c r="BI1363" s="205"/>
      <c r="BJ1363" s="206" t="s">
        <v>8306</v>
      </c>
      <c r="BK1363" s="206" t="s">
        <v>569</v>
      </c>
      <c r="BL1363" s="207" t="s">
        <v>8307</v>
      </c>
      <c r="BM1363" s="208">
        <f>BH1363</f>
        <v>16784.599999999999</v>
      </c>
      <c r="BN1363" s="160"/>
      <c r="BO1363" s="161"/>
      <c r="BP1363" s="161"/>
    </row>
    <row r="1364" spans="1:68" ht="38.25">
      <c r="A1364" s="210"/>
      <c r="B1364" s="195" t="s">
        <v>8341</v>
      </c>
      <c r="C1364" s="196" t="s">
        <v>8342</v>
      </c>
      <c r="D1364" s="146" t="s">
        <v>4692</v>
      </c>
      <c r="E1364" s="196" t="s">
        <v>8342</v>
      </c>
      <c r="F1364" s="150">
        <v>0</v>
      </c>
      <c r="G1364" s="209">
        <v>0</v>
      </c>
      <c r="H1364" s="209">
        <v>0</v>
      </c>
      <c r="I1364" s="209">
        <v>0</v>
      </c>
      <c r="J1364" s="150">
        <v>0</v>
      </c>
      <c r="K1364" s="150">
        <v>0</v>
      </c>
      <c r="L1364" s="150">
        <f t="shared" si="1267"/>
        <v>0</v>
      </c>
      <c r="M1364" s="150">
        <v>0</v>
      </c>
      <c r="N1364" s="150">
        <v>0</v>
      </c>
      <c r="O1364" s="150">
        <v>0</v>
      </c>
      <c r="P1364" s="150">
        <v>0</v>
      </c>
      <c r="Q1364" s="150">
        <v>0</v>
      </c>
      <c r="R1364" s="313">
        <f t="shared" si="1261"/>
        <v>0</v>
      </c>
      <c r="S1364" s="150">
        <f t="shared" si="1247"/>
        <v>0</v>
      </c>
      <c r="T1364" s="150">
        <v>0</v>
      </c>
      <c r="U1364" s="150">
        <v>0</v>
      </c>
      <c r="V1364" s="199">
        <v>0</v>
      </c>
      <c r="W1364" s="150">
        <f t="shared" si="1262"/>
        <v>0</v>
      </c>
      <c r="X1364" s="150">
        <v>0</v>
      </c>
      <c r="Y1364" s="150">
        <v>0</v>
      </c>
      <c r="Z1364" s="150">
        <v>0</v>
      </c>
      <c r="AA1364" s="150">
        <f t="shared" si="1242"/>
        <v>0</v>
      </c>
      <c r="AB1364" s="150">
        <v>0</v>
      </c>
      <c r="AC1364" s="199">
        <v>0</v>
      </c>
      <c r="AD1364" s="150">
        <f t="shared" si="1263"/>
        <v>0</v>
      </c>
      <c r="AE1364" s="150">
        <v>0</v>
      </c>
      <c r="AF1364" s="169" t="s">
        <v>4680</v>
      </c>
      <c r="AG1364" s="201">
        <v>0</v>
      </c>
      <c r="AH1364" s="199">
        <v>0</v>
      </c>
      <c r="AI1364" s="150">
        <v>0</v>
      </c>
      <c r="AJ1364" s="169">
        <f t="shared" si="1243"/>
        <v>0</v>
      </c>
      <c r="AK1364" s="201">
        <v>0</v>
      </c>
      <c r="AL1364" s="199">
        <v>0</v>
      </c>
      <c r="AM1364" s="150">
        <f t="shared" si="1264"/>
        <v>0</v>
      </c>
      <c r="AN1364" s="153">
        <f t="shared" si="1244"/>
        <v>0</v>
      </c>
      <c r="AO1364" s="154">
        <f t="shared" si="1245"/>
        <v>0</v>
      </c>
      <c r="AP1364" s="150">
        <v>0</v>
      </c>
      <c r="AQ1364" s="201">
        <v>0</v>
      </c>
      <c r="AR1364" s="199">
        <v>0</v>
      </c>
      <c r="AS1364" s="150">
        <f t="shared" si="1265"/>
        <v>0</v>
      </c>
      <c r="AT1364" s="155"/>
      <c r="AU1364" s="156">
        <f t="shared" si="1240"/>
        <v>0</v>
      </c>
      <c r="AV1364" s="156">
        <f t="shared" si="1241"/>
        <v>0</v>
      </c>
      <c r="AW1364" s="157"/>
      <c r="AX1364" s="150">
        <v>0</v>
      </c>
      <c r="AY1364" s="150">
        <v>0</v>
      </c>
      <c r="AZ1364" s="150">
        <f t="shared" si="1266"/>
        <v>0</v>
      </c>
      <c r="BA1364" s="150">
        <v>0</v>
      </c>
      <c r="BB1364" s="210"/>
      <c r="BC1364" s="210"/>
      <c r="BD1364" s="210"/>
      <c r="BE1364" s="210"/>
      <c r="BF1364" s="210"/>
      <c r="BG1364" s="210"/>
      <c r="BH1364" s="217"/>
      <c r="BI1364" s="210"/>
      <c r="BJ1364" s="210"/>
      <c r="BK1364" s="210"/>
      <c r="BL1364" s="210"/>
      <c r="BM1364" s="208"/>
      <c r="BN1364" s="160"/>
      <c r="BO1364" s="161"/>
      <c r="BP1364" s="161"/>
    </row>
    <row r="1365" spans="1:68" ht="51">
      <c r="A1365" s="210"/>
      <c r="B1365" s="195" t="s">
        <v>8343</v>
      </c>
      <c r="C1365" s="196" t="s">
        <v>8344</v>
      </c>
      <c r="D1365" s="146" t="s">
        <v>4692</v>
      </c>
      <c r="E1365" s="196" t="s">
        <v>8344</v>
      </c>
      <c r="F1365" s="150">
        <v>0</v>
      </c>
      <c r="G1365" s="209">
        <v>0</v>
      </c>
      <c r="H1365" s="209">
        <v>0</v>
      </c>
      <c r="I1365" s="209">
        <v>0</v>
      </c>
      <c r="J1365" s="150">
        <v>0</v>
      </c>
      <c r="K1365" s="150">
        <v>0</v>
      </c>
      <c r="L1365" s="150">
        <f t="shared" si="1267"/>
        <v>0</v>
      </c>
      <c r="M1365" s="150">
        <v>0</v>
      </c>
      <c r="N1365" s="150">
        <v>0</v>
      </c>
      <c r="O1365" s="150">
        <v>0</v>
      </c>
      <c r="P1365" s="150">
        <v>0</v>
      </c>
      <c r="Q1365" s="150">
        <v>0</v>
      </c>
      <c r="R1365" s="313">
        <f t="shared" si="1261"/>
        <v>0</v>
      </c>
      <c r="S1365" s="150">
        <f t="shared" si="1247"/>
        <v>0</v>
      </c>
      <c r="T1365" s="150">
        <v>0</v>
      </c>
      <c r="U1365" s="150">
        <v>0</v>
      </c>
      <c r="V1365" s="199">
        <v>0</v>
      </c>
      <c r="W1365" s="150">
        <f t="shared" si="1262"/>
        <v>0</v>
      </c>
      <c r="X1365" s="150">
        <v>0</v>
      </c>
      <c r="Y1365" s="150">
        <v>0</v>
      </c>
      <c r="Z1365" s="150">
        <v>0</v>
      </c>
      <c r="AA1365" s="150">
        <f t="shared" si="1242"/>
        <v>0</v>
      </c>
      <c r="AB1365" s="150">
        <v>0</v>
      </c>
      <c r="AC1365" s="199">
        <v>0</v>
      </c>
      <c r="AD1365" s="150">
        <f t="shared" si="1263"/>
        <v>0</v>
      </c>
      <c r="AE1365" s="150">
        <v>0</v>
      </c>
      <c r="AF1365" s="169" t="s">
        <v>4680</v>
      </c>
      <c r="AG1365" s="201">
        <v>0</v>
      </c>
      <c r="AH1365" s="199">
        <v>0</v>
      </c>
      <c r="AI1365" s="150">
        <v>0</v>
      </c>
      <c r="AJ1365" s="169">
        <f t="shared" si="1243"/>
        <v>0</v>
      </c>
      <c r="AK1365" s="201">
        <v>0</v>
      </c>
      <c r="AL1365" s="199">
        <v>0</v>
      </c>
      <c r="AM1365" s="150">
        <f t="shared" si="1264"/>
        <v>0</v>
      </c>
      <c r="AN1365" s="153">
        <f t="shared" si="1244"/>
        <v>0</v>
      </c>
      <c r="AO1365" s="154">
        <f t="shared" si="1245"/>
        <v>0</v>
      </c>
      <c r="AP1365" s="150">
        <v>0</v>
      </c>
      <c r="AQ1365" s="201">
        <v>0</v>
      </c>
      <c r="AR1365" s="199">
        <v>0</v>
      </c>
      <c r="AS1365" s="150">
        <f t="shared" si="1265"/>
        <v>0</v>
      </c>
      <c r="AT1365" s="155"/>
      <c r="AU1365" s="156">
        <f t="shared" si="1240"/>
        <v>0</v>
      </c>
      <c r="AV1365" s="156">
        <f t="shared" si="1241"/>
        <v>0</v>
      </c>
      <c r="AW1365" s="157"/>
      <c r="AX1365" s="150">
        <v>0</v>
      </c>
      <c r="AY1365" s="150">
        <v>0</v>
      </c>
      <c r="AZ1365" s="150">
        <f t="shared" si="1266"/>
        <v>0</v>
      </c>
      <c r="BA1365" s="150">
        <v>0</v>
      </c>
      <c r="BB1365" s="210"/>
      <c r="BC1365" s="210"/>
      <c r="BD1365" s="210"/>
      <c r="BE1365" s="210"/>
      <c r="BF1365" s="210"/>
      <c r="BG1365" s="210"/>
      <c r="BH1365" s="217"/>
      <c r="BI1365" s="210"/>
      <c r="BJ1365" s="210"/>
      <c r="BK1365" s="210"/>
      <c r="BL1365" s="210"/>
      <c r="BM1365" s="208"/>
      <c r="BN1365" s="160"/>
      <c r="BO1365" s="161"/>
      <c r="BP1365" s="161"/>
    </row>
    <row r="1366" spans="1:68" ht="38.25">
      <c r="A1366" s="210"/>
      <c r="B1366" s="195" t="s">
        <v>8345</v>
      </c>
      <c r="C1366" s="196" t="s">
        <v>8346</v>
      </c>
      <c r="D1366" s="146" t="s">
        <v>4692</v>
      </c>
      <c r="E1366" s="196" t="s">
        <v>8346</v>
      </c>
      <c r="F1366" s="150">
        <v>0</v>
      </c>
      <c r="G1366" s="209">
        <v>0</v>
      </c>
      <c r="H1366" s="209">
        <v>0</v>
      </c>
      <c r="I1366" s="209">
        <v>0</v>
      </c>
      <c r="J1366" s="150">
        <v>0</v>
      </c>
      <c r="K1366" s="150">
        <v>0</v>
      </c>
      <c r="L1366" s="150">
        <f t="shared" si="1267"/>
        <v>0</v>
      </c>
      <c r="M1366" s="150">
        <v>0</v>
      </c>
      <c r="N1366" s="150">
        <v>0</v>
      </c>
      <c r="O1366" s="150">
        <v>0</v>
      </c>
      <c r="P1366" s="150">
        <v>0</v>
      </c>
      <c r="Q1366" s="150">
        <v>0</v>
      </c>
      <c r="R1366" s="313">
        <f t="shared" si="1261"/>
        <v>0</v>
      </c>
      <c r="S1366" s="150">
        <f t="shared" si="1247"/>
        <v>0</v>
      </c>
      <c r="T1366" s="150">
        <v>0</v>
      </c>
      <c r="U1366" s="150">
        <v>0</v>
      </c>
      <c r="V1366" s="199">
        <v>0</v>
      </c>
      <c r="W1366" s="150">
        <f t="shared" si="1262"/>
        <v>0</v>
      </c>
      <c r="X1366" s="150">
        <v>0</v>
      </c>
      <c r="Y1366" s="150">
        <v>0</v>
      </c>
      <c r="Z1366" s="150">
        <v>0</v>
      </c>
      <c r="AA1366" s="150">
        <f t="shared" si="1242"/>
        <v>0</v>
      </c>
      <c r="AB1366" s="150">
        <v>0</v>
      </c>
      <c r="AC1366" s="199">
        <v>0</v>
      </c>
      <c r="AD1366" s="150">
        <f t="shared" si="1263"/>
        <v>0</v>
      </c>
      <c r="AE1366" s="150">
        <v>0</v>
      </c>
      <c r="AF1366" s="169" t="s">
        <v>4680</v>
      </c>
      <c r="AG1366" s="201">
        <v>0</v>
      </c>
      <c r="AH1366" s="199">
        <v>0</v>
      </c>
      <c r="AI1366" s="150">
        <v>0</v>
      </c>
      <c r="AJ1366" s="169">
        <f t="shared" si="1243"/>
        <v>0</v>
      </c>
      <c r="AK1366" s="201">
        <v>0</v>
      </c>
      <c r="AL1366" s="199">
        <v>0</v>
      </c>
      <c r="AM1366" s="150">
        <f t="shared" si="1264"/>
        <v>0</v>
      </c>
      <c r="AN1366" s="153">
        <f t="shared" si="1244"/>
        <v>0</v>
      </c>
      <c r="AO1366" s="154">
        <f t="shared" si="1245"/>
        <v>0</v>
      </c>
      <c r="AP1366" s="150">
        <v>0</v>
      </c>
      <c r="AQ1366" s="201">
        <v>0</v>
      </c>
      <c r="AR1366" s="199">
        <v>0</v>
      </c>
      <c r="AS1366" s="150">
        <f t="shared" si="1265"/>
        <v>0</v>
      </c>
      <c r="AT1366" s="155"/>
      <c r="AU1366" s="156">
        <f t="shared" si="1240"/>
        <v>0</v>
      </c>
      <c r="AV1366" s="156">
        <f t="shared" si="1241"/>
        <v>0</v>
      </c>
      <c r="AW1366" s="157"/>
      <c r="AX1366" s="150">
        <v>0</v>
      </c>
      <c r="AY1366" s="150">
        <v>0</v>
      </c>
      <c r="AZ1366" s="150">
        <f t="shared" si="1266"/>
        <v>0</v>
      </c>
      <c r="BA1366" s="150">
        <v>0</v>
      </c>
      <c r="BB1366" s="210"/>
      <c r="BC1366" s="210"/>
      <c r="BD1366" s="210"/>
      <c r="BE1366" s="210"/>
      <c r="BF1366" s="210"/>
      <c r="BG1366" s="210"/>
      <c r="BH1366" s="217"/>
      <c r="BI1366" s="210"/>
      <c r="BJ1366" s="210"/>
      <c r="BK1366" s="210"/>
      <c r="BL1366" s="210"/>
      <c r="BM1366" s="208"/>
      <c r="BN1366" s="160"/>
      <c r="BO1366" s="161"/>
      <c r="BP1366" s="161"/>
    </row>
    <row r="1367" spans="1:68" ht="51">
      <c r="A1367" s="210"/>
      <c r="B1367" s="195" t="s">
        <v>8347</v>
      </c>
      <c r="C1367" s="196" t="s">
        <v>8348</v>
      </c>
      <c r="D1367" s="146" t="s">
        <v>4692</v>
      </c>
      <c r="E1367" s="196" t="s">
        <v>8348</v>
      </c>
      <c r="F1367" s="150">
        <v>0</v>
      </c>
      <c r="G1367" s="209">
        <v>0</v>
      </c>
      <c r="H1367" s="209">
        <v>0</v>
      </c>
      <c r="I1367" s="209">
        <v>0</v>
      </c>
      <c r="J1367" s="150">
        <v>0</v>
      </c>
      <c r="K1367" s="150">
        <v>0</v>
      </c>
      <c r="L1367" s="150">
        <f t="shared" si="1267"/>
        <v>0</v>
      </c>
      <c r="M1367" s="150">
        <v>0</v>
      </c>
      <c r="N1367" s="150">
        <v>0</v>
      </c>
      <c r="O1367" s="150">
        <v>0</v>
      </c>
      <c r="P1367" s="150">
        <v>0</v>
      </c>
      <c r="Q1367" s="150">
        <v>0</v>
      </c>
      <c r="R1367" s="313">
        <f t="shared" si="1261"/>
        <v>0</v>
      </c>
      <c r="S1367" s="150">
        <f t="shared" si="1247"/>
        <v>0</v>
      </c>
      <c r="T1367" s="150">
        <v>0</v>
      </c>
      <c r="U1367" s="150">
        <v>0</v>
      </c>
      <c r="V1367" s="199">
        <v>0</v>
      </c>
      <c r="W1367" s="150">
        <f t="shared" si="1262"/>
        <v>0</v>
      </c>
      <c r="X1367" s="150">
        <v>0</v>
      </c>
      <c r="Y1367" s="150">
        <v>0</v>
      </c>
      <c r="Z1367" s="150">
        <v>0</v>
      </c>
      <c r="AA1367" s="150">
        <f t="shared" si="1242"/>
        <v>0</v>
      </c>
      <c r="AB1367" s="150">
        <v>0</v>
      </c>
      <c r="AC1367" s="199">
        <v>0</v>
      </c>
      <c r="AD1367" s="150">
        <f t="shared" si="1263"/>
        <v>0</v>
      </c>
      <c r="AE1367" s="150">
        <v>0</v>
      </c>
      <c r="AF1367" s="169" t="s">
        <v>4680</v>
      </c>
      <c r="AG1367" s="201">
        <v>0</v>
      </c>
      <c r="AH1367" s="199">
        <v>0</v>
      </c>
      <c r="AI1367" s="150">
        <v>0</v>
      </c>
      <c r="AJ1367" s="169">
        <f t="shared" si="1243"/>
        <v>0</v>
      </c>
      <c r="AK1367" s="201">
        <v>0</v>
      </c>
      <c r="AL1367" s="199">
        <v>0</v>
      </c>
      <c r="AM1367" s="150">
        <f t="shared" si="1264"/>
        <v>0</v>
      </c>
      <c r="AN1367" s="153">
        <f t="shared" si="1244"/>
        <v>0</v>
      </c>
      <c r="AO1367" s="154">
        <f t="shared" si="1245"/>
        <v>0</v>
      </c>
      <c r="AP1367" s="150">
        <v>0</v>
      </c>
      <c r="AQ1367" s="201">
        <v>0</v>
      </c>
      <c r="AR1367" s="199">
        <v>0</v>
      </c>
      <c r="AS1367" s="150">
        <f t="shared" si="1265"/>
        <v>0</v>
      </c>
      <c r="AT1367" s="155"/>
      <c r="AU1367" s="156">
        <f t="shared" si="1240"/>
        <v>0</v>
      </c>
      <c r="AV1367" s="156">
        <f t="shared" si="1241"/>
        <v>0</v>
      </c>
      <c r="AW1367" s="157"/>
      <c r="AX1367" s="150">
        <v>0</v>
      </c>
      <c r="AY1367" s="150">
        <v>0</v>
      </c>
      <c r="AZ1367" s="150">
        <f t="shared" si="1266"/>
        <v>0</v>
      </c>
      <c r="BA1367" s="150">
        <v>0</v>
      </c>
      <c r="BB1367" s="210"/>
      <c r="BC1367" s="210"/>
      <c r="BD1367" s="210"/>
      <c r="BE1367" s="210"/>
      <c r="BF1367" s="210"/>
      <c r="BG1367" s="210"/>
      <c r="BH1367" s="217"/>
      <c r="BI1367" s="210"/>
      <c r="BJ1367" s="210"/>
      <c r="BK1367" s="210"/>
      <c r="BL1367" s="210"/>
      <c r="BM1367" s="208"/>
      <c r="BN1367" s="160"/>
      <c r="BO1367" s="161"/>
      <c r="BP1367" s="161"/>
    </row>
    <row r="1368" spans="1:68" ht="38.25">
      <c r="A1368" s="210"/>
      <c r="B1368" s="195" t="s">
        <v>8349</v>
      </c>
      <c r="C1368" s="196" t="s">
        <v>8350</v>
      </c>
      <c r="D1368" s="146" t="s">
        <v>4692</v>
      </c>
      <c r="E1368" s="196" t="s">
        <v>8350</v>
      </c>
      <c r="F1368" s="150">
        <v>0</v>
      </c>
      <c r="G1368" s="209">
        <v>0</v>
      </c>
      <c r="H1368" s="209">
        <v>0</v>
      </c>
      <c r="I1368" s="209">
        <v>0</v>
      </c>
      <c r="J1368" s="150">
        <v>0</v>
      </c>
      <c r="K1368" s="150">
        <v>0</v>
      </c>
      <c r="L1368" s="150">
        <f t="shared" si="1267"/>
        <v>0</v>
      </c>
      <c r="M1368" s="150">
        <v>0</v>
      </c>
      <c r="N1368" s="150">
        <v>0</v>
      </c>
      <c r="O1368" s="150">
        <v>0</v>
      </c>
      <c r="P1368" s="150">
        <v>0</v>
      </c>
      <c r="Q1368" s="150">
        <v>0</v>
      </c>
      <c r="R1368" s="313">
        <f t="shared" si="1261"/>
        <v>0</v>
      </c>
      <c r="S1368" s="150">
        <f t="shared" si="1247"/>
        <v>0</v>
      </c>
      <c r="T1368" s="150">
        <v>0</v>
      </c>
      <c r="U1368" s="150">
        <v>0</v>
      </c>
      <c r="V1368" s="199">
        <v>0</v>
      </c>
      <c r="W1368" s="150">
        <f t="shared" si="1262"/>
        <v>0</v>
      </c>
      <c r="X1368" s="150">
        <v>0</v>
      </c>
      <c r="Y1368" s="150">
        <v>0</v>
      </c>
      <c r="Z1368" s="150">
        <v>0</v>
      </c>
      <c r="AA1368" s="150">
        <f t="shared" si="1242"/>
        <v>0</v>
      </c>
      <c r="AB1368" s="150">
        <v>0</v>
      </c>
      <c r="AC1368" s="199">
        <v>0</v>
      </c>
      <c r="AD1368" s="150">
        <f t="shared" si="1263"/>
        <v>0</v>
      </c>
      <c r="AE1368" s="150">
        <v>0</v>
      </c>
      <c r="AF1368" s="169" t="s">
        <v>4680</v>
      </c>
      <c r="AG1368" s="201">
        <v>0</v>
      </c>
      <c r="AH1368" s="199">
        <v>0</v>
      </c>
      <c r="AI1368" s="150">
        <v>0</v>
      </c>
      <c r="AJ1368" s="169">
        <f t="shared" si="1243"/>
        <v>0</v>
      </c>
      <c r="AK1368" s="201">
        <v>0</v>
      </c>
      <c r="AL1368" s="199">
        <v>0</v>
      </c>
      <c r="AM1368" s="150">
        <f t="shared" si="1264"/>
        <v>0</v>
      </c>
      <c r="AN1368" s="153">
        <f t="shared" si="1244"/>
        <v>0</v>
      </c>
      <c r="AO1368" s="154">
        <f t="shared" si="1245"/>
        <v>0</v>
      </c>
      <c r="AP1368" s="150">
        <v>0</v>
      </c>
      <c r="AQ1368" s="201">
        <v>0</v>
      </c>
      <c r="AR1368" s="199">
        <v>0</v>
      </c>
      <c r="AS1368" s="150">
        <f t="shared" si="1265"/>
        <v>0</v>
      </c>
      <c r="AT1368" s="155"/>
      <c r="AU1368" s="156">
        <f t="shared" si="1240"/>
        <v>0</v>
      </c>
      <c r="AV1368" s="156">
        <f t="shared" si="1241"/>
        <v>0</v>
      </c>
      <c r="AW1368" s="157"/>
      <c r="AX1368" s="150">
        <v>0</v>
      </c>
      <c r="AY1368" s="150">
        <v>0</v>
      </c>
      <c r="AZ1368" s="150">
        <f t="shared" si="1266"/>
        <v>0</v>
      </c>
      <c r="BA1368" s="150">
        <v>0</v>
      </c>
      <c r="BB1368" s="210"/>
      <c r="BC1368" s="210"/>
      <c r="BD1368" s="210"/>
      <c r="BE1368" s="210"/>
      <c r="BF1368" s="210"/>
      <c r="BG1368" s="210"/>
      <c r="BH1368" s="217"/>
      <c r="BI1368" s="210"/>
      <c r="BJ1368" s="210"/>
      <c r="BK1368" s="210"/>
      <c r="BL1368" s="210"/>
      <c r="BM1368" s="208"/>
      <c r="BN1368" s="160"/>
      <c r="BO1368" s="161"/>
      <c r="BP1368" s="161"/>
    </row>
    <row r="1369" spans="1:68" ht="51">
      <c r="A1369" s="210"/>
      <c r="B1369" s="195" t="s">
        <v>8351</v>
      </c>
      <c r="C1369" s="196" t="s">
        <v>8352</v>
      </c>
      <c r="D1369" s="146" t="s">
        <v>4692</v>
      </c>
      <c r="E1369" s="196" t="s">
        <v>8352</v>
      </c>
      <c r="F1369" s="150">
        <v>0</v>
      </c>
      <c r="G1369" s="209">
        <v>278173.49</v>
      </c>
      <c r="H1369" s="209">
        <v>0</v>
      </c>
      <c r="I1369" s="209">
        <v>278173.49</v>
      </c>
      <c r="J1369" s="150">
        <v>0</v>
      </c>
      <c r="K1369" s="150">
        <v>0</v>
      </c>
      <c r="L1369" s="150">
        <f t="shared" si="1267"/>
        <v>0</v>
      </c>
      <c r="M1369" s="150">
        <v>0</v>
      </c>
      <c r="N1369" s="150">
        <v>0</v>
      </c>
      <c r="O1369" s="150">
        <v>0</v>
      </c>
      <c r="P1369" s="150">
        <v>0</v>
      </c>
      <c r="Q1369" s="150">
        <v>0</v>
      </c>
      <c r="R1369" s="313">
        <f t="shared" si="1261"/>
        <v>0</v>
      </c>
      <c r="S1369" s="150">
        <f t="shared" si="1247"/>
        <v>0</v>
      </c>
      <c r="T1369" s="150">
        <v>0</v>
      </c>
      <c r="U1369" s="150">
        <v>0</v>
      </c>
      <c r="V1369" s="199">
        <v>0</v>
      </c>
      <c r="W1369" s="150">
        <f t="shared" si="1262"/>
        <v>0</v>
      </c>
      <c r="X1369" s="150">
        <v>0</v>
      </c>
      <c r="Y1369" s="150">
        <v>0</v>
      </c>
      <c r="Z1369" s="150">
        <v>0</v>
      </c>
      <c r="AA1369" s="150">
        <f t="shared" si="1242"/>
        <v>0</v>
      </c>
      <c r="AB1369" s="150">
        <v>0</v>
      </c>
      <c r="AC1369" s="199">
        <v>0</v>
      </c>
      <c r="AD1369" s="150">
        <f t="shared" si="1263"/>
        <v>0</v>
      </c>
      <c r="AE1369" s="150">
        <v>0</v>
      </c>
      <c r="AF1369" s="169" t="s">
        <v>4680</v>
      </c>
      <c r="AG1369" s="201">
        <v>0</v>
      </c>
      <c r="AH1369" s="199">
        <v>0</v>
      </c>
      <c r="AI1369" s="150">
        <v>0</v>
      </c>
      <c r="AJ1369" s="169">
        <f t="shared" si="1243"/>
        <v>0</v>
      </c>
      <c r="AK1369" s="201">
        <v>0</v>
      </c>
      <c r="AL1369" s="199">
        <v>0</v>
      </c>
      <c r="AM1369" s="150">
        <f t="shared" si="1264"/>
        <v>0</v>
      </c>
      <c r="AN1369" s="153">
        <f t="shared" si="1244"/>
        <v>0</v>
      </c>
      <c r="AO1369" s="154">
        <f t="shared" si="1245"/>
        <v>0</v>
      </c>
      <c r="AP1369" s="150">
        <v>0</v>
      </c>
      <c r="AQ1369" s="201">
        <v>0</v>
      </c>
      <c r="AR1369" s="199">
        <v>0</v>
      </c>
      <c r="AS1369" s="150">
        <f t="shared" si="1265"/>
        <v>0</v>
      </c>
      <c r="AT1369" s="155"/>
      <c r="AU1369" s="156">
        <f t="shared" si="1240"/>
        <v>0</v>
      </c>
      <c r="AV1369" s="156">
        <f t="shared" si="1241"/>
        <v>0</v>
      </c>
      <c r="AW1369" s="157"/>
      <c r="AX1369" s="150">
        <v>0</v>
      </c>
      <c r="AY1369" s="150">
        <v>0</v>
      </c>
      <c r="AZ1369" s="150">
        <f t="shared" si="1266"/>
        <v>0</v>
      </c>
      <c r="BA1369" s="150">
        <v>0</v>
      </c>
      <c r="BB1369" s="210"/>
      <c r="BC1369" s="210"/>
      <c r="BD1369" s="210"/>
      <c r="BE1369" s="210"/>
      <c r="BF1369" s="210"/>
      <c r="BG1369" s="210"/>
      <c r="BH1369" s="217"/>
      <c r="BI1369" s="210"/>
      <c r="BJ1369" s="210"/>
      <c r="BK1369" s="210"/>
      <c r="BL1369" s="210"/>
      <c r="BM1369" s="208"/>
      <c r="BN1369" s="160"/>
      <c r="BO1369" s="161"/>
      <c r="BP1369" s="161"/>
    </row>
    <row r="1370" spans="1:68" ht="63.75">
      <c r="A1370" s="210"/>
      <c r="B1370" s="195" t="s">
        <v>8353</v>
      </c>
      <c r="C1370" s="196" t="s">
        <v>8354</v>
      </c>
      <c r="D1370" s="146" t="s">
        <v>4692</v>
      </c>
      <c r="E1370" s="196" t="s">
        <v>8354</v>
      </c>
      <c r="F1370" s="150">
        <v>278173.49</v>
      </c>
      <c r="G1370" s="209">
        <v>0</v>
      </c>
      <c r="H1370" s="209">
        <v>0</v>
      </c>
      <c r="I1370" s="209">
        <v>0</v>
      </c>
      <c r="J1370" s="150">
        <v>0</v>
      </c>
      <c r="K1370" s="150">
        <v>0</v>
      </c>
      <c r="L1370" s="150">
        <f t="shared" si="1267"/>
        <v>0</v>
      </c>
      <c r="M1370" s="150">
        <v>0</v>
      </c>
      <c r="N1370" s="150">
        <v>0</v>
      </c>
      <c r="O1370" s="150">
        <v>0</v>
      </c>
      <c r="P1370" s="150">
        <v>240582.48</v>
      </c>
      <c r="Q1370" s="150">
        <v>0</v>
      </c>
      <c r="R1370" s="313">
        <f t="shared" si="1261"/>
        <v>240582.48</v>
      </c>
      <c r="S1370" s="150">
        <f t="shared" si="1247"/>
        <v>320776.64</v>
      </c>
      <c r="T1370" s="150">
        <v>16784.599999999999</v>
      </c>
      <c r="U1370" s="309">
        <v>16784.599999999977</v>
      </c>
      <c r="V1370" s="199">
        <v>0</v>
      </c>
      <c r="W1370" s="150">
        <f t="shared" si="1262"/>
        <v>16784.599999999977</v>
      </c>
      <c r="X1370" s="150">
        <v>16784.599999999977</v>
      </c>
      <c r="Y1370" s="150">
        <v>0</v>
      </c>
      <c r="Z1370" s="150">
        <v>16784.599999999977</v>
      </c>
      <c r="AA1370" s="150">
        <f t="shared" si="1242"/>
        <v>0</v>
      </c>
      <c r="AB1370" s="150">
        <v>16784.599999999977</v>
      </c>
      <c r="AC1370" s="199">
        <v>0</v>
      </c>
      <c r="AD1370" s="150">
        <f t="shared" si="1263"/>
        <v>16784.599999999977</v>
      </c>
      <c r="AE1370" s="150">
        <v>16784.599999999977</v>
      </c>
      <c r="AF1370" s="169" t="s">
        <v>4680</v>
      </c>
      <c r="AG1370" s="201">
        <v>16784.599999999977</v>
      </c>
      <c r="AH1370" s="199">
        <v>0</v>
      </c>
      <c r="AI1370" s="150">
        <v>16784.599999999977</v>
      </c>
      <c r="AJ1370" s="169">
        <f t="shared" si="1243"/>
        <v>0</v>
      </c>
      <c r="AK1370" s="201">
        <v>16784.599999999977</v>
      </c>
      <c r="AL1370" s="199">
        <v>0</v>
      </c>
      <c r="AM1370" s="150">
        <f t="shared" si="1264"/>
        <v>16784.599999999977</v>
      </c>
      <c r="AN1370" s="153">
        <f t="shared" si="1244"/>
        <v>0</v>
      </c>
      <c r="AO1370" s="154">
        <f t="shared" si="1245"/>
        <v>0</v>
      </c>
      <c r="AP1370" s="309">
        <v>16784.599999999977</v>
      </c>
      <c r="AQ1370" s="201">
        <v>16784.599999999999</v>
      </c>
      <c r="AR1370" s="199"/>
      <c r="AS1370" s="150">
        <f t="shared" si="1265"/>
        <v>16784.599999999999</v>
      </c>
      <c r="AT1370" s="155"/>
      <c r="AU1370" s="156">
        <f t="shared" si="1240"/>
        <v>0</v>
      </c>
      <c r="AV1370" s="156">
        <f t="shared" si="1241"/>
        <v>0</v>
      </c>
      <c r="AW1370" s="157"/>
      <c r="AX1370" s="150">
        <v>16784.599999999977</v>
      </c>
      <c r="AY1370" s="150">
        <v>0</v>
      </c>
      <c r="AZ1370" s="150">
        <f t="shared" si="1266"/>
        <v>0</v>
      </c>
      <c r="BA1370" s="150">
        <v>0</v>
      </c>
      <c r="BB1370" s="210"/>
      <c r="BC1370" s="210"/>
      <c r="BD1370" s="210"/>
      <c r="BE1370" s="210"/>
      <c r="BF1370" s="210"/>
      <c r="BG1370" s="210"/>
      <c r="BH1370" s="217"/>
      <c r="BI1370" s="210"/>
      <c r="BJ1370" s="210"/>
      <c r="BK1370" s="210"/>
      <c r="BL1370" s="210"/>
      <c r="BM1370" s="208"/>
      <c r="BN1370" s="160"/>
      <c r="BO1370" s="161"/>
      <c r="BP1370" s="161"/>
    </row>
    <row r="1371" spans="1:68" ht="25.5">
      <c r="A1371" s="210"/>
      <c r="B1371" s="195" t="s">
        <v>8355</v>
      </c>
      <c r="C1371" s="196" t="s">
        <v>8356</v>
      </c>
      <c r="D1371" s="146" t="s">
        <v>4692</v>
      </c>
      <c r="E1371" s="196" t="s">
        <v>8356</v>
      </c>
      <c r="F1371" s="150">
        <v>0</v>
      </c>
      <c r="G1371" s="209">
        <v>2557763.33</v>
      </c>
      <c r="H1371" s="209">
        <v>-377577.52</v>
      </c>
      <c r="I1371" s="209">
        <v>2180185.81</v>
      </c>
      <c r="J1371" s="150">
        <v>0</v>
      </c>
      <c r="K1371" s="150">
        <v>0</v>
      </c>
      <c r="L1371" s="150">
        <f t="shared" si="1267"/>
        <v>0</v>
      </c>
      <c r="M1371" s="150">
        <v>0</v>
      </c>
      <c r="N1371" s="150">
        <v>0</v>
      </c>
      <c r="O1371" s="150">
        <v>0</v>
      </c>
      <c r="P1371" s="150">
        <v>0</v>
      </c>
      <c r="Q1371" s="150">
        <v>0</v>
      </c>
      <c r="R1371" s="313">
        <f t="shared" si="1261"/>
        <v>0</v>
      </c>
      <c r="S1371" s="150">
        <f t="shared" si="1247"/>
        <v>0</v>
      </c>
      <c r="T1371" s="150">
        <v>0</v>
      </c>
      <c r="U1371" s="150">
        <v>0</v>
      </c>
      <c r="V1371" s="199">
        <v>0</v>
      </c>
      <c r="W1371" s="150">
        <f t="shared" si="1262"/>
        <v>0</v>
      </c>
      <c r="X1371" s="150">
        <v>0</v>
      </c>
      <c r="Y1371" s="150">
        <v>0</v>
      </c>
      <c r="Z1371" s="150">
        <v>0</v>
      </c>
      <c r="AA1371" s="150">
        <f t="shared" si="1242"/>
        <v>0</v>
      </c>
      <c r="AB1371" s="150">
        <v>0</v>
      </c>
      <c r="AC1371" s="199">
        <v>0</v>
      </c>
      <c r="AD1371" s="150">
        <f t="shared" si="1263"/>
        <v>0</v>
      </c>
      <c r="AE1371" s="150">
        <v>0</v>
      </c>
      <c r="AF1371" s="169" t="s">
        <v>4680</v>
      </c>
      <c r="AG1371" s="201">
        <v>0</v>
      </c>
      <c r="AH1371" s="199">
        <v>0</v>
      </c>
      <c r="AI1371" s="150">
        <v>0</v>
      </c>
      <c r="AJ1371" s="169">
        <f t="shared" si="1243"/>
        <v>0</v>
      </c>
      <c r="AK1371" s="201">
        <v>0</v>
      </c>
      <c r="AL1371" s="199">
        <v>0</v>
      </c>
      <c r="AM1371" s="150">
        <f t="shared" si="1264"/>
        <v>0</v>
      </c>
      <c r="AN1371" s="153">
        <f t="shared" si="1244"/>
        <v>0</v>
      </c>
      <c r="AO1371" s="154">
        <f t="shared" si="1245"/>
        <v>0</v>
      </c>
      <c r="AP1371" s="150">
        <v>0</v>
      </c>
      <c r="AQ1371" s="201">
        <v>0</v>
      </c>
      <c r="AR1371" s="199">
        <v>0</v>
      </c>
      <c r="AS1371" s="150">
        <f t="shared" si="1265"/>
        <v>0</v>
      </c>
      <c r="AT1371" s="155"/>
      <c r="AU1371" s="156">
        <f t="shared" si="1240"/>
        <v>0</v>
      </c>
      <c r="AV1371" s="156">
        <f t="shared" si="1241"/>
        <v>0</v>
      </c>
      <c r="AW1371" s="157"/>
      <c r="AX1371" s="150">
        <v>0</v>
      </c>
      <c r="AY1371" s="150">
        <v>0</v>
      </c>
      <c r="AZ1371" s="150">
        <f t="shared" si="1266"/>
        <v>0</v>
      </c>
      <c r="BA1371" s="150">
        <v>0</v>
      </c>
      <c r="BB1371" s="210"/>
      <c r="BC1371" s="210"/>
      <c r="BD1371" s="210"/>
      <c r="BE1371" s="210"/>
      <c r="BF1371" s="210"/>
      <c r="BG1371" s="210"/>
      <c r="BH1371" s="217"/>
      <c r="BI1371" s="210"/>
      <c r="BJ1371" s="210"/>
      <c r="BK1371" s="210"/>
      <c r="BL1371" s="210"/>
      <c r="BM1371" s="208"/>
      <c r="BN1371" s="160"/>
      <c r="BO1371" s="161"/>
      <c r="BP1371" s="161"/>
    </row>
    <row r="1372" spans="1:68" ht="38.25">
      <c r="A1372" s="206" t="s">
        <v>570</v>
      </c>
      <c r="B1372" s="195" t="s">
        <v>8357</v>
      </c>
      <c r="C1372" s="196" t="s">
        <v>8358</v>
      </c>
      <c r="D1372" s="146" t="s">
        <v>4692</v>
      </c>
      <c r="E1372" s="196" t="s">
        <v>8358</v>
      </c>
      <c r="F1372" s="150">
        <v>2180185.81</v>
      </c>
      <c r="G1372" s="209">
        <v>71293.960000000006</v>
      </c>
      <c r="H1372" s="209">
        <v>812763.52902021771</v>
      </c>
      <c r="I1372" s="209">
        <v>884057.48902021768</v>
      </c>
      <c r="J1372" s="150">
        <v>702804.36</v>
      </c>
      <c r="K1372" s="150">
        <v>-52340.439999999995</v>
      </c>
      <c r="L1372" s="150">
        <f t="shared" si="1267"/>
        <v>650463.92000000004</v>
      </c>
      <c r="M1372" s="150">
        <v>1441901.26</v>
      </c>
      <c r="N1372" s="150">
        <v>-88404.524376666406</v>
      </c>
      <c r="O1372" s="150">
        <v>1353496.7356233336</v>
      </c>
      <c r="P1372" s="150">
        <v>2242963.5099999998</v>
      </c>
      <c r="Q1372" s="150">
        <v>-137306.33000000005</v>
      </c>
      <c r="R1372" s="313">
        <f t="shared" si="1261"/>
        <v>2105657.1799999997</v>
      </c>
      <c r="S1372" s="150">
        <f t="shared" si="1247"/>
        <v>2807542.9066666663</v>
      </c>
      <c r="T1372" s="150">
        <v>2746657.58</v>
      </c>
      <c r="U1372" s="309">
        <v>3237814.04</v>
      </c>
      <c r="V1372" s="199">
        <v>-491156.46</v>
      </c>
      <c r="W1372" s="150">
        <f t="shared" si="1262"/>
        <v>2746657.58</v>
      </c>
      <c r="X1372" s="150">
        <v>3237814.04</v>
      </c>
      <c r="Y1372" s="150">
        <v>-491156.46</v>
      </c>
      <c r="Z1372" s="150">
        <v>2746657.58</v>
      </c>
      <c r="AA1372" s="150">
        <f t="shared" si="1242"/>
        <v>0</v>
      </c>
      <c r="AB1372" s="150">
        <v>3237814.04</v>
      </c>
      <c r="AC1372" s="199">
        <v>-491156.46</v>
      </c>
      <c r="AD1372" s="150">
        <f t="shared" si="1263"/>
        <v>2746657.58</v>
      </c>
      <c r="AE1372" s="150">
        <v>2746657.58</v>
      </c>
      <c r="AF1372" s="169" t="s">
        <v>4680</v>
      </c>
      <c r="AG1372" s="201">
        <v>3237814.04</v>
      </c>
      <c r="AH1372" s="199">
        <v>-491156.46</v>
      </c>
      <c r="AI1372" s="150">
        <v>2746657.58</v>
      </c>
      <c r="AJ1372" s="169">
        <f t="shared" si="1243"/>
        <v>0</v>
      </c>
      <c r="AK1372" s="201">
        <v>3237814.04</v>
      </c>
      <c r="AL1372" s="199">
        <v>-491156.46</v>
      </c>
      <c r="AM1372" s="150">
        <f t="shared" si="1264"/>
        <v>2746657.58</v>
      </c>
      <c r="AN1372" s="153">
        <f t="shared" si="1244"/>
        <v>0</v>
      </c>
      <c r="AO1372" s="154">
        <f t="shared" si="1245"/>
        <v>0</v>
      </c>
      <c r="AP1372" s="309">
        <v>2746657.58</v>
      </c>
      <c r="AQ1372" s="201">
        <v>2746657.58</v>
      </c>
      <c r="AR1372" s="199"/>
      <c r="AS1372" s="150">
        <f t="shared" si="1265"/>
        <v>2746657.58</v>
      </c>
      <c r="AT1372" s="155"/>
      <c r="AU1372" s="156">
        <f t="shared" si="1240"/>
        <v>0</v>
      </c>
      <c r="AV1372" s="156">
        <f t="shared" si="1241"/>
        <v>0</v>
      </c>
      <c r="AW1372" s="157"/>
      <c r="AX1372" s="150">
        <v>2746657.58</v>
      </c>
      <c r="AY1372" s="150">
        <v>1701326.08</v>
      </c>
      <c r="AZ1372" s="150">
        <f t="shared" si="1266"/>
        <v>1414377.3412466673</v>
      </c>
      <c r="BA1372" s="150">
        <v>3115703.4212466674</v>
      </c>
      <c r="BB1372" s="202">
        <v>5</v>
      </c>
      <c r="BC1372" s="202" t="s">
        <v>714</v>
      </c>
      <c r="BD1372" s="202" t="s">
        <v>632</v>
      </c>
      <c r="BE1372" s="202" t="s">
        <v>632</v>
      </c>
      <c r="BF1372" s="202" t="s">
        <v>1225</v>
      </c>
      <c r="BG1372" s="231" t="s">
        <v>8359</v>
      </c>
      <c r="BH1372" s="216">
        <f>AS1372</f>
        <v>2746657.58</v>
      </c>
      <c r="BI1372" s="205"/>
      <c r="BJ1372" s="206" t="s">
        <v>8360</v>
      </c>
      <c r="BK1372" s="206" t="s">
        <v>570</v>
      </c>
      <c r="BL1372" s="207" t="s">
        <v>8361</v>
      </c>
      <c r="BM1372" s="208">
        <f>BH1372</f>
        <v>2746657.58</v>
      </c>
      <c r="BN1372" s="160"/>
      <c r="BO1372" s="161"/>
      <c r="BP1372" s="161"/>
    </row>
    <row r="1373" spans="1:68" ht="38.25">
      <c r="A1373" s="206" t="s">
        <v>570</v>
      </c>
      <c r="B1373" s="195" t="s">
        <v>8362</v>
      </c>
      <c r="C1373" s="196" t="s">
        <v>8363</v>
      </c>
      <c r="D1373" s="146" t="s">
        <v>4692</v>
      </c>
      <c r="E1373" s="196" t="s">
        <v>8363</v>
      </c>
      <c r="F1373" s="150">
        <v>884057.48</v>
      </c>
      <c r="G1373" s="209">
        <v>157653.76999999999</v>
      </c>
      <c r="H1373" s="209">
        <v>0</v>
      </c>
      <c r="I1373" s="209">
        <v>157653.76999999999</v>
      </c>
      <c r="J1373" s="150">
        <v>20620.189999999999</v>
      </c>
      <c r="K1373" s="150">
        <v>207096.19</v>
      </c>
      <c r="L1373" s="150">
        <f t="shared" si="1267"/>
        <v>227716.38</v>
      </c>
      <c r="M1373" s="150">
        <v>42915.38</v>
      </c>
      <c r="N1373" s="150">
        <v>440739.08048150328</v>
      </c>
      <c r="O1373" s="150">
        <v>483654.46048150328</v>
      </c>
      <c r="P1373" s="150">
        <v>67977.17</v>
      </c>
      <c r="Q1373" s="150">
        <v>755485.95660304883</v>
      </c>
      <c r="R1373" s="313">
        <f t="shared" si="1261"/>
        <v>823463.12660304888</v>
      </c>
      <c r="S1373" s="150">
        <f t="shared" si="1247"/>
        <v>1097950.8354707318</v>
      </c>
      <c r="T1373" s="150">
        <v>1053560.77</v>
      </c>
      <c r="U1373" s="150">
        <v>97918.93</v>
      </c>
      <c r="V1373" s="199">
        <v>943638.41218512878</v>
      </c>
      <c r="W1373" s="150">
        <f t="shared" si="1262"/>
        <v>1041557.3421851287</v>
      </c>
      <c r="X1373" s="150">
        <v>97918.93</v>
      </c>
      <c r="Y1373" s="150">
        <v>943638.41218512878</v>
      </c>
      <c r="Z1373" s="150">
        <v>1041557.3421851287</v>
      </c>
      <c r="AA1373" s="150">
        <f t="shared" si="1242"/>
        <v>12003.427814871306</v>
      </c>
      <c r="AB1373" s="150">
        <v>97918.93</v>
      </c>
      <c r="AC1373" s="199">
        <v>955641.84000000008</v>
      </c>
      <c r="AD1373" s="150">
        <f t="shared" si="1263"/>
        <v>1053560.77</v>
      </c>
      <c r="AE1373" s="150">
        <v>1053560.77</v>
      </c>
      <c r="AF1373" s="169" t="s">
        <v>4680</v>
      </c>
      <c r="AG1373" s="201">
        <v>97918.93</v>
      </c>
      <c r="AH1373" s="199">
        <v>955641.84000000008</v>
      </c>
      <c r="AI1373" s="150">
        <v>1053560.77</v>
      </c>
      <c r="AJ1373" s="169">
        <f t="shared" si="1243"/>
        <v>0</v>
      </c>
      <c r="AK1373" s="201">
        <v>97918.93</v>
      </c>
      <c r="AL1373" s="199">
        <v>955641.84000000008</v>
      </c>
      <c r="AM1373" s="150">
        <f t="shared" si="1264"/>
        <v>1053560.77</v>
      </c>
      <c r="AN1373" s="153">
        <f t="shared" si="1244"/>
        <v>0</v>
      </c>
      <c r="AO1373" s="154">
        <f t="shared" si="1245"/>
        <v>0</v>
      </c>
      <c r="AP1373" s="150">
        <v>1053560.77</v>
      </c>
      <c r="AQ1373" s="201">
        <v>1053560.77</v>
      </c>
      <c r="AR1373" s="199"/>
      <c r="AS1373" s="150">
        <f t="shared" si="1265"/>
        <v>1053560.77</v>
      </c>
      <c r="AT1373" s="155"/>
      <c r="AU1373" s="156">
        <f t="shared" si="1240"/>
        <v>0</v>
      </c>
      <c r="AV1373" s="156">
        <f t="shared" si="1241"/>
        <v>12003.427814871306</v>
      </c>
      <c r="AW1373" s="157"/>
      <c r="AX1373" s="150">
        <v>1041557.3421851287</v>
      </c>
      <c r="AY1373" s="150">
        <v>51578.11</v>
      </c>
      <c r="AZ1373" s="150">
        <f t="shared" si="1266"/>
        <v>915730.81096300657</v>
      </c>
      <c r="BA1373" s="150">
        <v>967308.92096300656</v>
      </c>
      <c r="BB1373" s="202">
        <v>5</v>
      </c>
      <c r="BC1373" s="202" t="s">
        <v>714</v>
      </c>
      <c r="BD1373" s="202" t="s">
        <v>632</v>
      </c>
      <c r="BE1373" s="202" t="s">
        <v>632</v>
      </c>
      <c r="BF1373" s="202" t="s">
        <v>1229</v>
      </c>
      <c r="BG1373" s="345" t="s">
        <v>8364</v>
      </c>
      <c r="BH1373" s="216">
        <f>AS1373</f>
        <v>1053560.77</v>
      </c>
      <c r="BI1373" s="205"/>
      <c r="BJ1373" s="206" t="s">
        <v>8360</v>
      </c>
      <c r="BK1373" s="206" t="s">
        <v>570</v>
      </c>
      <c r="BL1373" s="207" t="s">
        <v>8361</v>
      </c>
      <c r="BM1373" s="208">
        <f>BH1373</f>
        <v>1053560.77</v>
      </c>
      <c r="BN1373" s="160"/>
      <c r="BO1373" s="161">
        <f t="shared" ref="BO1373:BO1403" si="1268">BM1373-AS1373</f>
        <v>0</v>
      </c>
      <c r="BP1373" s="161"/>
    </row>
    <row r="1374" spans="1:68" ht="51">
      <c r="A1374" s="206" t="s">
        <v>570</v>
      </c>
      <c r="B1374" s="195" t="s">
        <v>8365</v>
      </c>
      <c r="C1374" s="196" t="s">
        <v>8366</v>
      </c>
      <c r="D1374" s="146" t="s">
        <v>4692</v>
      </c>
      <c r="E1374" s="196" t="s">
        <v>8366</v>
      </c>
      <c r="F1374" s="150">
        <v>157653.76999999999</v>
      </c>
      <c r="G1374" s="209">
        <v>33600</v>
      </c>
      <c r="H1374" s="209">
        <v>127178.88373250386</v>
      </c>
      <c r="I1374" s="209">
        <v>160778.88373250386</v>
      </c>
      <c r="J1374" s="150">
        <v>17638.23</v>
      </c>
      <c r="K1374" s="150">
        <v>21006.29</v>
      </c>
      <c r="L1374" s="150">
        <f t="shared" si="1267"/>
        <v>38644.520000000004</v>
      </c>
      <c r="M1374" s="150">
        <v>72073.19</v>
      </c>
      <c r="N1374" s="150">
        <v>10005.193854961835</v>
      </c>
      <c r="O1374" s="150">
        <v>82078.383854961838</v>
      </c>
      <c r="P1374" s="150">
        <v>136033.78</v>
      </c>
      <c r="Q1374" s="150">
        <v>3711.695578668674</v>
      </c>
      <c r="R1374" s="313">
        <f t="shared" si="1261"/>
        <v>139745.47557866867</v>
      </c>
      <c r="S1374" s="150">
        <f t="shared" si="1247"/>
        <v>186327.30077155822</v>
      </c>
      <c r="T1374" s="150">
        <v>215141.94</v>
      </c>
      <c r="U1374" s="150">
        <v>205937.85</v>
      </c>
      <c r="V1374" s="199">
        <v>0</v>
      </c>
      <c r="W1374" s="150">
        <f t="shared" si="1262"/>
        <v>205937.85</v>
      </c>
      <c r="X1374" s="150">
        <v>205937.85</v>
      </c>
      <c r="Y1374" s="150">
        <v>0</v>
      </c>
      <c r="Z1374" s="150">
        <v>205937.85</v>
      </c>
      <c r="AA1374" s="150">
        <f t="shared" si="1242"/>
        <v>9204.0899999999965</v>
      </c>
      <c r="AB1374" s="150">
        <v>205937.85</v>
      </c>
      <c r="AC1374" s="199">
        <v>9204.09</v>
      </c>
      <c r="AD1374" s="150">
        <f t="shared" si="1263"/>
        <v>215141.94</v>
      </c>
      <c r="AE1374" s="150">
        <v>215141.94</v>
      </c>
      <c r="AF1374" s="169" t="s">
        <v>4680</v>
      </c>
      <c r="AG1374" s="201">
        <v>205937.85</v>
      </c>
      <c r="AH1374" s="199">
        <v>9204.09</v>
      </c>
      <c r="AI1374" s="150">
        <v>215141.94</v>
      </c>
      <c r="AJ1374" s="169">
        <f t="shared" si="1243"/>
        <v>0</v>
      </c>
      <c r="AK1374" s="201">
        <v>205937.85</v>
      </c>
      <c r="AL1374" s="199">
        <v>9204.09</v>
      </c>
      <c r="AM1374" s="150">
        <f t="shared" si="1264"/>
        <v>215141.94</v>
      </c>
      <c r="AN1374" s="153">
        <f t="shared" si="1244"/>
        <v>0</v>
      </c>
      <c r="AO1374" s="154">
        <f t="shared" si="1245"/>
        <v>0</v>
      </c>
      <c r="AP1374" s="150">
        <v>215141.94</v>
      </c>
      <c r="AQ1374" s="201">
        <v>215141.94</v>
      </c>
      <c r="AR1374" s="199"/>
      <c r="AS1374" s="150">
        <f t="shared" si="1265"/>
        <v>215141.94</v>
      </c>
      <c r="AT1374" s="155"/>
      <c r="AU1374" s="156">
        <f t="shared" si="1240"/>
        <v>0</v>
      </c>
      <c r="AV1374" s="156">
        <f t="shared" si="1241"/>
        <v>9204.0899999999965</v>
      </c>
      <c r="AW1374" s="157"/>
      <c r="AX1374" s="150">
        <v>205937.85</v>
      </c>
      <c r="AY1374" s="150">
        <v>94999.039999999994</v>
      </c>
      <c r="AZ1374" s="150">
        <f t="shared" si="1266"/>
        <v>69157.727709923682</v>
      </c>
      <c r="BA1374" s="150">
        <v>164156.76770992368</v>
      </c>
      <c r="BB1374" s="202">
        <v>5</v>
      </c>
      <c r="BC1374" s="202" t="s">
        <v>714</v>
      </c>
      <c r="BD1374" s="202" t="s">
        <v>632</v>
      </c>
      <c r="BE1374" s="202" t="s">
        <v>632</v>
      </c>
      <c r="BF1374" s="202" t="s">
        <v>1243</v>
      </c>
      <c r="BG1374" s="345" t="s">
        <v>8367</v>
      </c>
      <c r="BH1374" s="216">
        <f>AS1374</f>
        <v>215141.94</v>
      </c>
      <c r="BI1374" s="205"/>
      <c r="BJ1374" s="206" t="s">
        <v>8360</v>
      </c>
      <c r="BK1374" s="206" t="s">
        <v>570</v>
      </c>
      <c r="BL1374" s="207" t="s">
        <v>8361</v>
      </c>
      <c r="BM1374" s="208">
        <f>BH1374</f>
        <v>215141.94</v>
      </c>
      <c r="BN1374" s="160"/>
      <c r="BO1374" s="161">
        <f t="shared" si="1268"/>
        <v>0</v>
      </c>
      <c r="BP1374" s="161"/>
    </row>
    <row r="1375" spans="1:68" ht="38.25">
      <c r="A1375" s="206" t="s">
        <v>570</v>
      </c>
      <c r="B1375" s="195" t="s">
        <v>8368</v>
      </c>
      <c r="C1375" s="196" t="s">
        <v>8369</v>
      </c>
      <c r="D1375" s="146" t="s">
        <v>4692</v>
      </c>
      <c r="E1375" s="196" t="s">
        <v>8369</v>
      </c>
      <c r="F1375" s="150">
        <v>160779</v>
      </c>
      <c r="G1375" s="209">
        <v>677677.63</v>
      </c>
      <c r="H1375" s="209">
        <v>146376.20153492998</v>
      </c>
      <c r="I1375" s="209">
        <v>824053.83153493004</v>
      </c>
      <c r="J1375" s="150">
        <v>0</v>
      </c>
      <c r="K1375" s="150">
        <v>43692.97</v>
      </c>
      <c r="L1375" s="150">
        <f t="shared" si="1267"/>
        <v>43692.97</v>
      </c>
      <c r="M1375" s="150">
        <v>0</v>
      </c>
      <c r="N1375" s="150">
        <v>92800.960496183194</v>
      </c>
      <c r="O1375" s="150">
        <v>92800.960496183194</v>
      </c>
      <c r="P1375" s="150">
        <v>0</v>
      </c>
      <c r="Q1375" s="150">
        <v>158001.5803139183</v>
      </c>
      <c r="R1375" s="313">
        <f t="shared" si="1261"/>
        <v>158001.5803139183</v>
      </c>
      <c r="S1375" s="150">
        <f t="shared" si="1247"/>
        <v>210668.77375189104</v>
      </c>
      <c r="T1375" s="150">
        <v>184475.35</v>
      </c>
      <c r="U1375" s="150">
        <v>0</v>
      </c>
      <c r="V1375" s="199">
        <v>184475.35394537178</v>
      </c>
      <c r="W1375" s="150">
        <f t="shared" si="1262"/>
        <v>184475.35394537178</v>
      </c>
      <c r="X1375" s="150">
        <v>0</v>
      </c>
      <c r="Y1375" s="150">
        <v>184475.35394537178</v>
      </c>
      <c r="Z1375" s="150">
        <v>184475.35394537178</v>
      </c>
      <c r="AA1375" s="150">
        <f t="shared" si="1242"/>
        <v>0</v>
      </c>
      <c r="AB1375" s="150">
        <v>0</v>
      </c>
      <c r="AC1375" s="199">
        <v>184475.35394537178</v>
      </c>
      <c r="AD1375" s="150">
        <f t="shared" si="1263"/>
        <v>184475.35394537178</v>
      </c>
      <c r="AE1375" s="150">
        <v>184475.35394537178</v>
      </c>
      <c r="AF1375" s="169" t="s">
        <v>4680</v>
      </c>
      <c r="AG1375" s="201">
        <v>0</v>
      </c>
      <c r="AH1375" s="199">
        <v>184475.35394537178</v>
      </c>
      <c r="AI1375" s="150">
        <v>184475.35394537178</v>
      </c>
      <c r="AJ1375" s="169">
        <f t="shared" si="1243"/>
        <v>0</v>
      </c>
      <c r="AK1375" s="201">
        <v>0</v>
      </c>
      <c r="AL1375" s="199">
        <v>184475.35394537178</v>
      </c>
      <c r="AM1375" s="150">
        <f t="shared" si="1264"/>
        <v>184475.35394537178</v>
      </c>
      <c r="AN1375" s="153">
        <f t="shared" si="1244"/>
        <v>-3.9453717763535678E-3</v>
      </c>
      <c r="AO1375" s="154">
        <f t="shared" si="1245"/>
        <v>-3.9453717763535678E-3</v>
      </c>
      <c r="AP1375" s="150">
        <v>184475.35394537178</v>
      </c>
      <c r="AQ1375" s="201">
        <v>184475.35</v>
      </c>
      <c r="AR1375" s="199"/>
      <c r="AS1375" s="150">
        <f t="shared" si="1265"/>
        <v>184475.35</v>
      </c>
      <c r="AT1375" s="155"/>
      <c r="AU1375" s="156">
        <f t="shared" si="1240"/>
        <v>0</v>
      </c>
      <c r="AV1375" s="156">
        <f t="shared" si="1241"/>
        <v>0</v>
      </c>
      <c r="AW1375" s="157"/>
      <c r="AX1375" s="150">
        <v>184475.35394537178</v>
      </c>
      <c r="AY1375" s="150">
        <v>0</v>
      </c>
      <c r="AZ1375" s="150">
        <f t="shared" si="1266"/>
        <v>185601.92099236639</v>
      </c>
      <c r="BA1375" s="150">
        <v>185601.92099236639</v>
      </c>
      <c r="BB1375" s="202">
        <v>5</v>
      </c>
      <c r="BC1375" s="202" t="s">
        <v>714</v>
      </c>
      <c r="BD1375" s="202" t="s">
        <v>632</v>
      </c>
      <c r="BE1375" s="202" t="s">
        <v>632</v>
      </c>
      <c r="BF1375" s="202" t="s">
        <v>1247</v>
      </c>
      <c r="BG1375" s="231" t="s">
        <v>8370</v>
      </c>
      <c r="BH1375" s="216">
        <f>AS1375</f>
        <v>184475.35</v>
      </c>
      <c r="BI1375" s="205"/>
      <c r="BJ1375" s="206" t="s">
        <v>8360</v>
      </c>
      <c r="BK1375" s="206" t="s">
        <v>570</v>
      </c>
      <c r="BL1375" s="207" t="s">
        <v>8361</v>
      </c>
      <c r="BM1375" s="208">
        <f>BH1375</f>
        <v>184475.35</v>
      </c>
      <c r="BN1375" s="160"/>
      <c r="BO1375" s="161">
        <f t="shared" si="1268"/>
        <v>0</v>
      </c>
      <c r="BP1375" s="161"/>
    </row>
    <row r="1376" spans="1:68" ht="38.25">
      <c r="A1376" s="206" t="s">
        <v>570</v>
      </c>
      <c r="B1376" s="195" t="s">
        <v>8371</v>
      </c>
      <c r="C1376" s="196" t="s">
        <v>8372</v>
      </c>
      <c r="D1376" s="146" t="s">
        <v>4692</v>
      </c>
      <c r="E1376" s="196" t="s">
        <v>8372</v>
      </c>
      <c r="F1376" s="150">
        <v>824053.63</v>
      </c>
      <c r="G1376" s="209">
        <v>126955.45</v>
      </c>
      <c r="H1376" s="209">
        <v>0</v>
      </c>
      <c r="I1376" s="209">
        <v>126955.45</v>
      </c>
      <c r="J1376" s="150">
        <v>176373.01</v>
      </c>
      <c r="K1376" s="150">
        <v>40116.18</v>
      </c>
      <c r="L1376" s="150">
        <f t="shared" si="1267"/>
        <v>216489.19</v>
      </c>
      <c r="M1376" s="150">
        <v>370657.01</v>
      </c>
      <c r="N1376" s="150">
        <v>0</v>
      </c>
      <c r="O1376" s="150">
        <v>370657.01</v>
      </c>
      <c r="P1376" s="150">
        <v>591098.02</v>
      </c>
      <c r="Q1376" s="150">
        <v>149774.79846812913</v>
      </c>
      <c r="R1376" s="313">
        <f t="shared" si="1261"/>
        <v>740872.81846812915</v>
      </c>
      <c r="S1376" s="150">
        <f t="shared" si="1247"/>
        <v>987830.42462417227</v>
      </c>
      <c r="T1376" s="150">
        <v>1030250.91</v>
      </c>
      <c r="U1376" s="150">
        <v>860230.51</v>
      </c>
      <c r="V1376" s="199">
        <v>43905.133885068288</v>
      </c>
      <c r="W1376" s="150">
        <f t="shared" si="1262"/>
        <v>904135.64388506825</v>
      </c>
      <c r="X1376" s="150">
        <v>860230.51</v>
      </c>
      <c r="Y1376" s="150">
        <v>43905.133885068288</v>
      </c>
      <c r="Z1376" s="150">
        <v>904135.64388506825</v>
      </c>
      <c r="AA1376" s="150">
        <f t="shared" si="1242"/>
        <v>126115.26611493179</v>
      </c>
      <c r="AB1376" s="150">
        <v>860230.51</v>
      </c>
      <c r="AC1376" s="199">
        <v>170020.4</v>
      </c>
      <c r="AD1376" s="150">
        <f t="shared" si="1263"/>
        <v>1030250.91</v>
      </c>
      <c r="AE1376" s="150">
        <v>1030250.91</v>
      </c>
      <c r="AF1376" s="169" t="s">
        <v>4680</v>
      </c>
      <c r="AG1376" s="201">
        <v>860230.51</v>
      </c>
      <c r="AH1376" s="199">
        <v>170020.4</v>
      </c>
      <c r="AI1376" s="150">
        <v>1030250.91</v>
      </c>
      <c r="AJ1376" s="169">
        <f t="shared" si="1243"/>
        <v>0</v>
      </c>
      <c r="AK1376" s="201">
        <v>860230.51</v>
      </c>
      <c r="AL1376" s="199">
        <v>170020.4</v>
      </c>
      <c r="AM1376" s="150">
        <f t="shared" si="1264"/>
        <v>1030250.91</v>
      </c>
      <c r="AN1376" s="153">
        <f t="shared" si="1244"/>
        <v>0</v>
      </c>
      <c r="AO1376" s="154">
        <f t="shared" si="1245"/>
        <v>0</v>
      </c>
      <c r="AP1376" s="150">
        <v>1030250.91</v>
      </c>
      <c r="AQ1376" s="201">
        <v>1030250.91</v>
      </c>
      <c r="AR1376" s="199"/>
      <c r="AS1376" s="150">
        <f t="shared" si="1265"/>
        <v>1030250.91</v>
      </c>
      <c r="AT1376" s="155"/>
      <c r="AU1376" s="156">
        <f t="shared" si="1240"/>
        <v>0</v>
      </c>
      <c r="AV1376" s="156">
        <f t="shared" si="1241"/>
        <v>126115.26611493179</v>
      </c>
      <c r="AW1376" s="157"/>
      <c r="AX1376" s="150">
        <v>904135.64388506825</v>
      </c>
      <c r="AY1376" s="150">
        <v>439918.2</v>
      </c>
      <c r="AZ1376" s="150">
        <f t="shared" si="1266"/>
        <v>301395.82</v>
      </c>
      <c r="BA1376" s="150">
        <v>741314.02</v>
      </c>
      <c r="BB1376" s="202">
        <v>5</v>
      </c>
      <c r="BC1376" s="202" t="s">
        <v>714</v>
      </c>
      <c r="BD1376" s="202" t="s">
        <v>632</v>
      </c>
      <c r="BE1376" s="202" t="s">
        <v>632</v>
      </c>
      <c r="BF1376" s="202" t="s">
        <v>1253</v>
      </c>
      <c r="BG1376" s="231" t="s">
        <v>8373</v>
      </c>
      <c r="BH1376" s="216">
        <f>SUM(AS1376:AS1383)</f>
        <v>1273122.3800000001</v>
      </c>
      <c r="BI1376" s="205"/>
      <c r="BJ1376" s="206" t="s">
        <v>8360</v>
      </c>
      <c r="BK1376" s="206" t="s">
        <v>570</v>
      </c>
      <c r="BL1376" s="207" t="s">
        <v>8361</v>
      </c>
      <c r="BM1376" s="208">
        <f>BH1376</f>
        <v>1273122.3800000001</v>
      </c>
      <c r="BN1376" s="160"/>
      <c r="BO1376" s="161"/>
      <c r="BP1376" s="161"/>
    </row>
    <row r="1377" spans="1:68" ht="38.25">
      <c r="A1377" s="210"/>
      <c r="B1377" s="195" t="s">
        <v>8374</v>
      </c>
      <c r="C1377" s="196" t="s">
        <v>8375</v>
      </c>
      <c r="D1377" s="146" t="s">
        <v>4692</v>
      </c>
      <c r="E1377" s="196" t="s">
        <v>8375</v>
      </c>
      <c r="F1377" s="150">
        <v>126955.45</v>
      </c>
      <c r="G1377" s="209">
        <v>44071.41</v>
      </c>
      <c r="H1377" s="209">
        <v>0</v>
      </c>
      <c r="I1377" s="209">
        <v>44071.41</v>
      </c>
      <c r="J1377" s="150">
        <v>35303.050000000003</v>
      </c>
      <c r="K1377" s="150">
        <v>0</v>
      </c>
      <c r="L1377" s="150">
        <f t="shared" si="1267"/>
        <v>35303.050000000003</v>
      </c>
      <c r="M1377" s="150">
        <v>72458.94</v>
      </c>
      <c r="N1377" s="150">
        <v>83989.322720037599</v>
      </c>
      <c r="O1377" s="150">
        <v>156448.2627200376</v>
      </c>
      <c r="P1377" s="150">
        <v>112773.61</v>
      </c>
      <c r="Q1377" s="150">
        <v>0</v>
      </c>
      <c r="R1377" s="313">
        <f t="shared" si="1261"/>
        <v>112773.61</v>
      </c>
      <c r="S1377" s="150">
        <f t="shared" si="1247"/>
        <v>150364.81333333332</v>
      </c>
      <c r="T1377" s="150">
        <v>163664.72</v>
      </c>
      <c r="U1377" s="150">
        <v>163664.72</v>
      </c>
      <c r="V1377" s="199">
        <v>0</v>
      </c>
      <c r="W1377" s="150">
        <f t="shared" si="1262"/>
        <v>163664.72</v>
      </c>
      <c r="X1377" s="150">
        <v>163664.72</v>
      </c>
      <c r="Y1377" s="150">
        <v>0</v>
      </c>
      <c r="Z1377" s="150">
        <v>163664.72</v>
      </c>
      <c r="AA1377" s="150">
        <f t="shared" si="1242"/>
        <v>0</v>
      </c>
      <c r="AB1377" s="150">
        <v>163664.72</v>
      </c>
      <c r="AC1377" s="199">
        <v>0</v>
      </c>
      <c r="AD1377" s="150">
        <f t="shared" si="1263"/>
        <v>163664.72</v>
      </c>
      <c r="AE1377" s="150">
        <v>163664.72</v>
      </c>
      <c r="AF1377" s="169" t="s">
        <v>4680</v>
      </c>
      <c r="AG1377" s="201">
        <v>163664.72</v>
      </c>
      <c r="AH1377" s="199">
        <v>0</v>
      </c>
      <c r="AI1377" s="150">
        <v>163664.72</v>
      </c>
      <c r="AJ1377" s="169">
        <f t="shared" si="1243"/>
        <v>0</v>
      </c>
      <c r="AK1377" s="201">
        <v>163664.72</v>
      </c>
      <c r="AL1377" s="199">
        <v>0</v>
      </c>
      <c r="AM1377" s="150">
        <f t="shared" si="1264"/>
        <v>163664.72</v>
      </c>
      <c r="AN1377" s="153">
        <f t="shared" si="1244"/>
        <v>0</v>
      </c>
      <c r="AO1377" s="154">
        <f t="shared" si="1245"/>
        <v>0</v>
      </c>
      <c r="AP1377" s="150">
        <v>163664.72</v>
      </c>
      <c r="AQ1377" s="201">
        <v>163664.72</v>
      </c>
      <c r="AR1377" s="199">
        <v>0</v>
      </c>
      <c r="AS1377" s="150">
        <f t="shared" si="1265"/>
        <v>163664.72</v>
      </c>
      <c r="AT1377" s="155"/>
      <c r="AU1377" s="156">
        <f t="shared" si="1240"/>
        <v>0</v>
      </c>
      <c r="AV1377" s="156">
        <f t="shared" si="1241"/>
        <v>0</v>
      </c>
      <c r="AW1377" s="157"/>
      <c r="AX1377" s="150">
        <v>163664.72</v>
      </c>
      <c r="AY1377" s="150">
        <v>85541.6</v>
      </c>
      <c r="AZ1377" s="150">
        <f t="shared" si="1266"/>
        <v>227354.9254400752</v>
      </c>
      <c r="BA1377" s="150">
        <v>312896.5254400752</v>
      </c>
      <c r="BB1377" s="210"/>
      <c r="BC1377" s="210"/>
      <c r="BD1377" s="210"/>
      <c r="BE1377" s="210"/>
      <c r="BF1377" s="210"/>
      <c r="BG1377" s="210"/>
      <c r="BH1377" s="217"/>
      <c r="BI1377" s="210"/>
      <c r="BJ1377" s="210"/>
      <c r="BK1377" s="210"/>
      <c r="BL1377" s="210"/>
      <c r="BM1377" s="208"/>
      <c r="BN1377" s="160"/>
      <c r="BO1377" s="161"/>
      <c r="BP1377" s="161"/>
    </row>
    <row r="1378" spans="1:68" ht="25.5">
      <c r="A1378" s="210"/>
      <c r="B1378" s="195" t="s">
        <v>8376</v>
      </c>
      <c r="C1378" s="196" t="s">
        <v>8377</v>
      </c>
      <c r="D1378" s="146" t="s">
        <v>4692</v>
      </c>
      <c r="E1378" s="196" t="s">
        <v>8377</v>
      </c>
      <c r="F1378" s="150">
        <v>44071.41</v>
      </c>
      <c r="G1378" s="209">
        <v>0</v>
      </c>
      <c r="H1378" s="209">
        <v>0</v>
      </c>
      <c r="I1378" s="209">
        <v>0</v>
      </c>
      <c r="J1378" s="150">
        <v>11401.28</v>
      </c>
      <c r="K1378" s="150">
        <v>0</v>
      </c>
      <c r="L1378" s="150">
        <f t="shared" si="1267"/>
        <v>11401.28</v>
      </c>
      <c r="M1378" s="150">
        <v>23848.85</v>
      </c>
      <c r="N1378" s="150">
        <v>0</v>
      </c>
      <c r="O1378" s="150">
        <v>23848.85</v>
      </c>
      <c r="P1378" s="150">
        <v>37845.879999999997</v>
      </c>
      <c r="Q1378" s="150">
        <v>0</v>
      </c>
      <c r="R1378" s="313">
        <f t="shared" si="1261"/>
        <v>37845.879999999997</v>
      </c>
      <c r="S1378" s="150">
        <f t="shared" si="1247"/>
        <v>50461.173333333325</v>
      </c>
      <c r="T1378" s="150">
        <v>54964.53</v>
      </c>
      <c r="U1378" s="150">
        <v>54964.53</v>
      </c>
      <c r="V1378" s="199">
        <v>0</v>
      </c>
      <c r="W1378" s="150">
        <f t="shared" si="1262"/>
        <v>54964.53</v>
      </c>
      <c r="X1378" s="150">
        <v>54964.53</v>
      </c>
      <c r="Y1378" s="150">
        <v>0</v>
      </c>
      <c r="Z1378" s="150">
        <v>54964.53</v>
      </c>
      <c r="AA1378" s="150">
        <f t="shared" si="1242"/>
        <v>0</v>
      </c>
      <c r="AB1378" s="150">
        <v>54964.53</v>
      </c>
      <c r="AC1378" s="199">
        <v>0</v>
      </c>
      <c r="AD1378" s="150">
        <f t="shared" si="1263"/>
        <v>54964.53</v>
      </c>
      <c r="AE1378" s="150">
        <v>54964.53</v>
      </c>
      <c r="AF1378" s="169" t="s">
        <v>4680</v>
      </c>
      <c r="AG1378" s="201">
        <v>54964.53</v>
      </c>
      <c r="AH1378" s="199">
        <v>0</v>
      </c>
      <c r="AI1378" s="150">
        <v>54964.53</v>
      </c>
      <c r="AJ1378" s="169">
        <f t="shared" si="1243"/>
        <v>0</v>
      </c>
      <c r="AK1378" s="201">
        <v>54964.53</v>
      </c>
      <c r="AL1378" s="199">
        <v>0</v>
      </c>
      <c r="AM1378" s="150">
        <f t="shared" si="1264"/>
        <v>54964.53</v>
      </c>
      <c r="AN1378" s="153">
        <f t="shared" si="1244"/>
        <v>0</v>
      </c>
      <c r="AO1378" s="154">
        <f t="shared" si="1245"/>
        <v>0</v>
      </c>
      <c r="AP1378" s="150">
        <v>54964.53</v>
      </c>
      <c r="AQ1378" s="201">
        <v>54964.53</v>
      </c>
      <c r="AR1378" s="199">
        <v>0</v>
      </c>
      <c r="AS1378" s="150">
        <f t="shared" si="1265"/>
        <v>54964.53</v>
      </c>
      <c r="AT1378" s="155"/>
      <c r="AU1378" s="156">
        <f t="shared" si="1240"/>
        <v>0</v>
      </c>
      <c r="AV1378" s="156">
        <f t="shared" si="1241"/>
        <v>0</v>
      </c>
      <c r="AW1378" s="157"/>
      <c r="AX1378" s="150">
        <v>54964.53</v>
      </c>
      <c r="AY1378" s="150">
        <v>28242.62</v>
      </c>
      <c r="AZ1378" s="150">
        <f t="shared" si="1266"/>
        <v>19455.079999999998</v>
      </c>
      <c r="BA1378" s="150">
        <v>47697.7</v>
      </c>
      <c r="BB1378" s="210"/>
      <c r="BC1378" s="210"/>
      <c r="BD1378" s="210"/>
      <c r="BE1378" s="210"/>
      <c r="BF1378" s="210"/>
      <c r="BG1378" s="210"/>
      <c r="BH1378" s="217"/>
      <c r="BI1378" s="210"/>
      <c r="BJ1378" s="210"/>
      <c r="BK1378" s="210"/>
      <c r="BL1378" s="210"/>
      <c r="BM1378" s="208"/>
      <c r="BN1378" s="160"/>
      <c r="BO1378" s="161"/>
      <c r="BP1378" s="161"/>
    </row>
    <row r="1379" spans="1:68" ht="38.25">
      <c r="A1379" s="210"/>
      <c r="B1379" s="195" t="s">
        <v>8378</v>
      </c>
      <c r="C1379" s="196" t="s">
        <v>8379</v>
      </c>
      <c r="D1379" s="146" t="s">
        <v>4692</v>
      </c>
      <c r="E1379" s="196" t="s">
        <v>8379</v>
      </c>
      <c r="F1379" s="150">
        <v>0</v>
      </c>
      <c r="G1379" s="209">
        <v>0</v>
      </c>
      <c r="H1379" s="209">
        <v>0</v>
      </c>
      <c r="I1379" s="209">
        <v>0</v>
      </c>
      <c r="J1379" s="150">
        <v>0</v>
      </c>
      <c r="K1379" s="150">
        <v>0</v>
      </c>
      <c r="L1379" s="150">
        <f t="shared" si="1267"/>
        <v>0</v>
      </c>
      <c r="M1379" s="150">
        <v>0</v>
      </c>
      <c r="N1379" s="150">
        <v>0</v>
      </c>
      <c r="O1379" s="150">
        <v>0</v>
      </c>
      <c r="P1379" s="150">
        <v>0</v>
      </c>
      <c r="Q1379" s="150">
        <v>0</v>
      </c>
      <c r="R1379" s="313">
        <f t="shared" si="1261"/>
        <v>0</v>
      </c>
      <c r="S1379" s="150">
        <f t="shared" si="1247"/>
        <v>0</v>
      </c>
      <c r="T1379" s="150">
        <v>0</v>
      </c>
      <c r="U1379" s="150">
        <v>0</v>
      </c>
      <c r="V1379" s="199">
        <v>0</v>
      </c>
      <c r="W1379" s="150">
        <f t="shared" si="1262"/>
        <v>0</v>
      </c>
      <c r="X1379" s="150">
        <v>0</v>
      </c>
      <c r="Y1379" s="150">
        <v>0</v>
      </c>
      <c r="Z1379" s="150">
        <v>0</v>
      </c>
      <c r="AA1379" s="150">
        <f t="shared" si="1242"/>
        <v>0</v>
      </c>
      <c r="AB1379" s="150">
        <v>0</v>
      </c>
      <c r="AC1379" s="199">
        <v>0</v>
      </c>
      <c r="AD1379" s="150">
        <f t="shared" si="1263"/>
        <v>0</v>
      </c>
      <c r="AE1379" s="150">
        <v>0</v>
      </c>
      <c r="AF1379" s="169" t="s">
        <v>4680</v>
      </c>
      <c r="AG1379" s="201">
        <v>0</v>
      </c>
      <c r="AH1379" s="199">
        <v>0</v>
      </c>
      <c r="AI1379" s="150">
        <v>0</v>
      </c>
      <c r="AJ1379" s="169">
        <f t="shared" si="1243"/>
        <v>0</v>
      </c>
      <c r="AK1379" s="201">
        <v>0</v>
      </c>
      <c r="AL1379" s="199">
        <v>0</v>
      </c>
      <c r="AM1379" s="150">
        <f t="shared" si="1264"/>
        <v>0</v>
      </c>
      <c r="AN1379" s="153">
        <f t="shared" si="1244"/>
        <v>0</v>
      </c>
      <c r="AO1379" s="154">
        <f t="shared" si="1245"/>
        <v>0</v>
      </c>
      <c r="AP1379" s="150">
        <v>0</v>
      </c>
      <c r="AQ1379" s="201">
        <v>0</v>
      </c>
      <c r="AR1379" s="199">
        <v>0</v>
      </c>
      <c r="AS1379" s="150">
        <f t="shared" si="1265"/>
        <v>0</v>
      </c>
      <c r="AT1379" s="155"/>
      <c r="AU1379" s="156">
        <f t="shared" si="1240"/>
        <v>0</v>
      </c>
      <c r="AV1379" s="156">
        <f t="shared" si="1241"/>
        <v>0</v>
      </c>
      <c r="AW1379" s="157"/>
      <c r="AX1379" s="150">
        <v>0</v>
      </c>
      <c r="AY1379" s="150">
        <v>0</v>
      </c>
      <c r="AZ1379" s="150">
        <f t="shared" si="1266"/>
        <v>0</v>
      </c>
      <c r="BA1379" s="150">
        <v>0</v>
      </c>
      <c r="BB1379" s="210"/>
      <c r="BC1379" s="210"/>
      <c r="BD1379" s="210"/>
      <c r="BE1379" s="210"/>
      <c r="BF1379" s="210"/>
      <c r="BG1379" s="210"/>
      <c r="BH1379" s="217"/>
      <c r="BI1379" s="210"/>
      <c r="BJ1379" s="210"/>
      <c r="BK1379" s="210"/>
      <c r="BL1379" s="210"/>
      <c r="BM1379" s="208"/>
      <c r="BN1379" s="160"/>
      <c r="BO1379" s="161"/>
      <c r="BP1379" s="161"/>
    </row>
    <row r="1380" spans="1:68" ht="38.25">
      <c r="A1380" s="210"/>
      <c r="B1380" s="195" t="s">
        <v>8380</v>
      </c>
      <c r="C1380" s="196" t="s">
        <v>8381</v>
      </c>
      <c r="D1380" s="146" t="s">
        <v>4692</v>
      </c>
      <c r="E1380" s="196" t="s">
        <v>8381</v>
      </c>
      <c r="F1380" s="150">
        <v>0</v>
      </c>
      <c r="G1380" s="209">
        <v>0</v>
      </c>
      <c r="H1380" s="209">
        <v>265322.32</v>
      </c>
      <c r="I1380" s="209">
        <v>265322.32</v>
      </c>
      <c r="J1380" s="150">
        <v>0</v>
      </c>
      <c r="K1380" s="150">
        <v>0</v>
      </c>
      <c r="L1380" s="150">
        <f t="shared" si="1267"/>
        <v>0</v>
      </c>
      <c r="M1380" s="150">
        <v>0</v>
      </c>
      <c r="N1380" s="150">
        <v>0</v>
      </c>
      <c r="O1380" s="150">
        <v>0</v>
      </c>
      <c r="P1380" s="150">
        <v>0</v>
      </c>
      <c r="Q1380" s="150">
        <v>0</v>
      </c>
      <c r="R1380" s="313">
        <f t="shared" si="1261"/>
        <v>0</v>
      </c>
      <c r="S1380" s="150">
        <f t="shared" si="1247"/>
        <v>0</v>
      </c>
      <c r="T1380" s="150">
        <v>0</v>
      </c>
      <c r="U1380" s="150">
        <v>0</v>
      </c>
      <c r="V1380" s="199">
        <v>0</v>
      </c>
      <c r="W1380" s="150">
        <f t="shared" si="1262"/>
        <v>0</v>
      </c>
      <c r="X1380" s="150">
        <v>0</v>
      </c>
      <c r="Y1380" s="150">
        <v>0</v>
      </c>
      <c r="Z1380" s="150">
        <v>0</v>
      </c>
      <c r="AA1380" s="150">
        <f t="shared" si="1242"/>
        <v>0</v>
      </c>
      <c r="AB1380" s="150">
        <v>0</v>
      </c>
      <c r="AC1380" s="199">
        <v>0</v>
      </c>
      <c r="AD1380" s="150">
        <f t="shared" si="1263"/>
        <v>0</v>
      </c>
      <c r="AE1380" s="150">
        <v>0</v>
      </c>
      <c r="AF1380" s="169" t="s">
        <v>4680</v>
      </c>
      <c r="AG1380" s="201">
        <v>0</v>
      </c>
      <c r="AH1380" s="199">
        <v>0</v>
      </c>
      <c r="AI1380" s="150">
        <v>0</v>
      </c>
      <c r="AJ1380" s="169">
        <f t="shared" si="1243"/>
        <v>0</v>
      </c>
      <c r="AK1380" s="201">
        <v>0</v>
      </c>
      <c r="AL1380" s="199">
        <v>0</v>
      </c>
      <c r="AM1380" s="150">
        <f t="shared" si="1264"/>
        <v>0</v>
      </c>
      <c r="AN1380" s="153">
        <f t="shared" si="1244"/>
        <v>0</v>
      </c>
      <c r="AO1380" s="154">
        <f t="shared" si="1245"/>
        <v>0</v>
      </c>
      <c r="AP1380" s="150">
        <v>0</v>
      </c>
      <c r="AQ1380" s="201">
        <v>0</v>
      </c>
      <c r="AR1380" s="199">
        <v>0</v>
      </c>
      <c r="AS1380" s="150">
        <f t="shared" si="1265"/>
        <v>0</v>
      </c>
      <c r="AT1380" s="155"/>
      <c r="AU1380" s="156">
        <f t="shared" si="1240"/>
        <v>0</v>
      </c>
      <c r="AV1380" s="156">
        <f t="shared" si="1241"/>
        <v>0</v>
      </c>
      <c r="AW1380" s="157"/>
      <c r="AX1380" s="150">
        <v>0</v>
      </c>
      <c r="AY1380" s="150">
        <v>0</v>
      </c>
      <c r="AZ1380" s="150">
        <f t="shared" si="1266"/>
        <v>0</v>
      </c>
      <c r="BA1380" s="150">
        <v>0</v>
      </c>
      <c r="BB1380" s="210"/>
      <c r="BC1380" s="210"/>
      <c r="BD1380" s="210"/>
      <c r="BE1380" s="210"/>
      <c r="BF1380" s="210"/>
      <c r="BG1380" s="210"/>
      <c r="BH1380" s="217"/>
      <c r="BI1380" s="210"/>
      <c r="BJ1380" s="210"/>
      <c r="BK1380" s="210"/>
      <c r="BL1380" s="210"/>
      <c r="BM1380" s="208"/>
      <c r="BN1380" s="160"/>
      <c r="BO1380" s="161"/>
      <c r="BP1380" s="161"/>
    </row>
    <row r="1381" spans="1:68" ht="25.5">
      <c r="A1381" s="210"/>
      <c r="B1381" s="195" t="s">
        <v>8382</v>
      </c>
      <c r="C1381" s="196" t="s">
        <v>8383</v>
      </c>
      <c r="D1381" s="146" t="s">
        <v>4692</v>
      </c>
      <c r="E1381" s="196" t="s">
        <v>8383</v>
      </c>
      <c r="F1381" s="150">
        <v>265322</v>
      </c>
      <c r="G1381" s="209">
        <v>0</v>
      </c>
      <c r="H1381" s="209">
        <v>0</v>
      </c>
      <c r="I1381" s="209">
        <v>0</v>
      </c>
      <c r="J1381" s="150">
        <v>0</v>
      </c>
      <c r="K1381" s="150">
        <v>66330.58</v>
      </c>
      <c r="L1381" s="150">
        <f t="shared" si="1267"/>
        <v>66330.58</v>
      </c>
      <c r="M1381" s="150">
        <v>0</v>
      </c>
      <c r="N1381" s="150">
        <v>132661</v>
      </c>
      <c r="O1381" s="150">
        <v>132661</v>
      </c>
      <c r="P1381" s="150">
        <v>0</v>
      </c>
      <c r="Q1381" s="150">
        <v>0</v>
      </c>
      <c r="R1381" s="313">
        <f t="shared" si="1261"/>
        <v>0</v>
      </c>
      <c r="S1381" s="150">
        <f t="shared" si="1247"/>
        <v>0</v>
      </c>
      <c r="T1381" s="150">
        <v>24239.93</v>
      </c>
      <c r="U1381" s="150">
        <v>0</v>
      </c>
      <c r="V1381" s="199">
        <v>24239.93</v>
      </c>
      <c r="W1381" s="150">
        <f t="shared" si="1262"/>
        <v>24239.93</v>
      </c>
      <c r="X1381" s="150">
        <v>0</v>
      </c>
      <c r="Y1381" s="150">
        <v>24239.93</v>
      </c>
      <c r="Z1381" s="150">
        <v>24239.93</v>
      </c>
      <c r="AA1381" s="150">
        <f t="shared" si="1242"/>
        <v>0</v>
      </c>
      <c r="AB1381" s="150">
        <v>0</v>
      </c>
      <c r="AC1381" s="199">
        <v>24239.93</v>
      </c>
      <c r="AD1381" s="150">
        <f t="shared" si="1263"/>
        <v>24239.93</v>
      </c>
      <c r="AE1381" s="150">
        <v>24239.93</v>
      </c>
      <c r="AF1381" s="169" t="s">
        <v>4680</v>
      </c>
      <c r="AG1381" s="201">
        <v>0</v>
      </c>
      <c r="AH1381" s="199">
        <v>24239.93</v>
      </c>
      <c r="AI1381" s="150">
        <v>24239.93</v>
      </c>
      <c r="AJ1381" s="169">
        <f t="shared" si="1243"/>
        <v>0</v>
      </c>
      <c r="AK1381" s="201">
        <v>0</v>
      </c>
      <c r="AL1381" s="199">
        <v>24239.93</v>
      </c>
      <c r="AM1381" s="150">
        <f t="shared" si="1264"/>
        <v>24239.93</v>
      </c>
      <c r="AN1381" s="153">
        <f t="shared" si="1244"/>
        <v>0</v>
      </c>
      <c r="AO1381" s="154">
        <f t="shared" si="1245"/>
        <v>0</v>
      </c>
      <c r="AP1381" s="150">
        <v>24239.93</v>
      </c>
      <c r="AQ1381" s="201">
        <v>24239.93</v>
      </c>
      <c r="AR1381" s="199"/>
      <c r="AS1381" s="150">
        <f t="shared" si="1265"/>
        <v>24239.93</v>
      </c>
      <c r="AT1381" s="155"/>
      <c r="AU1381" s="156">
        <f t="shared" si="1240"/>
        <v>0</v>
      </c>
      <c r="AV1381" s="156">
        <f t="shared" si="1241"/>
        <v>0</v>
      </c>
      <c r="AW1381" s="157"/>
      <c r="AX1381" s="150">
        <v>24239.93</v>
      </c>
      <c r="AY1381" s="150">
        <v>0</v>
      </c>
      <c r="AZ1381" s="150">
        <f t="shared" si="1266"/>
        <v>265322</v>
      </c>
      <c r="BA1381" s="150">
        <v>265322</v>
      </c>
      <c r="BB1381" s="210"/>
      <c r="BC1381" s="210"/>
      <c r="BD1381" s="210"/>
      <c r="BE1381" s="210"/>
      <c r="BF1381" s="210"/>
      <c r="BG1381" s="210"/>
      <c r="BH1381" s="217"/>
      <c r="BI1381" s="210"/>
      <c r="BJ1381" s="210"/>
      <c r="BK1381" s="210"/>
      <c r="BL1381" s="210"/>
      <c r="BM1381" s="208"/>
      <c r="BN1381" s="160"/>
      <c r="BO1381" s="161"/>
      <c r="BP1381" s="161"/>
    </row>
    <row r="1382" spans="1:68" ht="38.25">
      <c r="A1382" s="210"/>
      <c r="B1382" s="195" t="s">
        <v>8384</v>
      </c>
      <c r="C1382" s="196" t="s">
        <v>8385</v>
      </c>
      <c r="D1382" s="146" t="s">
        <v>4692</v>
      </c>
      <c r="E1382" s="196" t="s">
        <v>8385</v>
      </c>
      <c r="F1382" s="150">
        <v>0</v>
      </c>
      <c r="G1382" s="209">
        <v>2.65</v>
      </c>
      <c r="H1382" s="209">
        <v>0</v>
      </c>
      <c r="I1382" s="209">
        <v>2.65</v>
      </c>
      <c r="J1382" s="150">
        <v>0</v>
      </c>
      <c r="K1382" s="150">
        <v>0</v>
      </c>
      <c r="L1382" s="150">
        <f t="shared" si="1267"/>
        <v>0</v>
      </c>
      <c r="M1382" s="150">
        <v>0</v>
      </c>
      <c r="N1382" s="150">
        <v>0</v>
      </c>
      <c r="O1382" s="150">
        <v>0</v>
      </c>
      <c r="P1382" s="150">
        <v>0</v>
      </c>
      <c r="Q1382" s="150">
        <v>0</v>
      </c>
      <c r="R1382" s="313">
        <f t="shared" si="1261"/>
        <v>0</v>
      </c>
      <c r="S1382" s="150">
        <f t="shared" si="1247"/>
        <v>0</v>
      </c>
      <c r="T1382" s="150">
        <v>0</v>
      </c>
      <c r="U1382" s="150">
        <v>0</v>
      </c>
      <c r="V1382" s="199">
        <v>0</v>
      </c>
      <c r="W1382" s="150">
        <f t="shared" si="1262"/>
        <v>0</v>
      </c>
      <c r="X1382" s="150">
        <v>0</v>
      </c>
      <c r="Y1382" s="150">
        <v>0</v>
      </c>
      <c r="Z1382" s="150">
        <v>0</v>
      </c>
      <c r="AA1382" s="150">
        <f t="shared" si="1242"/>
        <v>0</v>
      </c>
      <c r="AB1382" s="150">
        <v>0</v>
      </c>
      <c r="AC1382" s="199">
        <v>0</v>
      </c>
      <c r="AD1382" s="150">
        <f t="shared" si="1263"/>
        <v>0</v>
      </c>
      <c r="AE1382" s="150">
        <v>0</v>
      </c>
      <c r="AF1382" s="169" t="s">
        <v>4680</v>
      </c>
      <c r="AG1382" s="201">
        <v>0</v>
      </c>
      <c r="AH1382" s="199">
        <v>0</v>
      </c>
      <c r="AI1382" s="150">
        <v>0</v>
      </c>
      <c r="AJ1382" s="169">
        <f t="shared" si="1243"/>
        <v>0</v>
      </c>
      <c r="AK1382" s="201">
        <v>0</v>
      </c>
      <c r="AL1382" s="199">
        <v>0</v>
      </c>
      <c r="AM1382" s="150">
        <f t="shared" si="1264"/>
        <v>0</v>
      </c>
      <c r="AN1382" s="153">
        <f t="shared" si="1244"/>
        <v>0</v>
      </c>
      <c r="AO1382" s="154">
        <f t="shared" si="1245"/>
        <v>0</v>
      </c>
      <c r="AP1382" s="150">
        <v>0</v>
      </c>
      <c r="AQ1382" s="201">
        <v>0</v>
      </c>
      <c r="AR1382" s="199">
        <v>0</v>
      </c>
      <c r="AS1382" s="150">
        <f t="shared" si="1265"/>
        <v>0</v>
      </c>
      <c r="AT1382" s="155"/>
      <c r="AU1382" s="156">
        <f t="shared" si="1240"/>
        <v>0</v>
      </c>
      <c r="AV1382" s="156">
        <f t="shared" si="1241"/>
        <v>0</v>
      </c>
      <c r="AW1382" s="157"/>
      <c r="AX1382" s="150">
        <v>0</v>
      </c>
      <c r="AY1382" s="150">
        <v>0</v>
      </c>
      <c r="AZ1382" s="150">
        <f t="shared" si="1266"/>
        <v>0</v>
      </c>
      <c r="BA1382" s="150">
        <v>0</v>
      </c>
      <c r="BB1382" s="210"/>
      <c r="BC1382" s="210"/>
      <c r="BD1382" s="210"/>
      <c r="BE1382" s="210"/>
      <c r="BF1382" s="210"/>
      <c r="BG1382" s="210"/>
      <c r="BH1382" s="217"/>
      <c r="BI1382" s="210"/>
      <c r="BJ1382" s="210"/>
      <c r="BK1382" s="210"/>
      <c r="BL1382" s="210"/>
      <c r="BM1382" s="208"/>
      <c r="BN1382" s="160"/>
      <c r="BO1382" s="161"/>
      <c r="BP1382" s="161"/>
    </row>
    <row r="1383" spans="1:68" ht="38.25">
      <c r="A1383" s="210"/>
      <c r="B1383" s="195" t="s">
        <v>8386</v>
      </c>
      <c r="C1383" s="196" t="s">
        <v>8387</v>
      </c>
      <c r="D1383" s="146" t="s">
        <v>4692</v>
      </c>
      <c r="E1383" s="196" t="s">
        <v>8387</v>
      </c>
      <c r="F1383" s="150">
        <v>2.65</v>
      </c>
      <c r="G1383" s="209">
        <v>0</v>
      </c>
      <c r="H1383" s="209">
        <v>0</v>
      </c>
      <c r="I1383" s="209">
        <v>0</v>
      </c>
      <c r="J1383" s="150">
        <v>0</v>
      </c>
      <c r="K1383" s="150">
        <v>0</v>
      </c>
      <c r="L1383" s="150">
        <f t="shared" si="1267"/>
        <v>0</v>
      </c>
      <c r="M1383" s="150">
        <v>0.55000000000000004</v>
      </c>
      <c r="N1383" s="150">
        <v>0</v>
      </c>
      <c r="O1383" s="150">
        <v>0.55000000000000004</v>
      </c>
      <c r="P1383" s="150">
        <v>0.55000000000000004</v>
      </c>
      <c r="Q1383" s="150">
        <v>0</v>
      </c>
      <c r="R1383" s="313">
        <f t="shared" si="1261"/>
        <v>0.55000000000000004</v>
      </c>
      <c r="S1383" s="150">
        <f t="shared" si="1247"/>
        <v>0.73333333333333339</v>
      </c>
      <c r="T1383" s="150">
        <v>2.29</v>
      </c>
      <c r="U1383" s="150">
        <v>2.29</v>
      </c>
      <c r="V1383" s="199">
        <v>0</v>
      </c>
      <c r="W1383" s="150">
        <f t="shared" si="1262"/>
        <v>2.29</v>
      </c>
      <c r="X1383" s="150">
        <v>2.29</v>
      </c>
      <c r="Y1383" s="150">
        <v>0</v>
      </c>
      <c r="Z1383" s="150">
        <v>2.29</v>
      </c>
      <c r="AA1383" s="150">
        <f t="shared" si="1242"/>
        <v>0</v>
      </c>
      <c r="AB1383" s="150">
        <v>2.29</v>
      </c>
      <c r="AC1383" s="199">
        <v>0</v>
      </c>
      <c r="AD1383" s="150">
        <f t="shared" si="1263"/>
        <v>2.29</v>
      </c>
      <c r="AE1383" s="150">
        <v>2.29</v>
      </c>
      <c r="AF1383" s="169" t="s">
        <v>4680</v>
      </c>
      <c r="AG1383" s="201">
        <v>2.29</v>
      </c>
      <c r="AH1383" s="199">
        <v>0</v>
      </c>
      <c r="AI1383" s="150">
        <v>2.29</v>
      </c>
      <c r="AJ1383" s="169">
        <f t="shared" si="1243"/>
        <v>0</v>
      </c>
      <c r="AK1383" s="201">
        <v>2.29</v>
      </c>
      <c r="AL1383" s="199">
        <v>0</v>
      </c>
      <c r="AM1383" s="150">
        <f t="shared" si="1264"/>
        <v>2.29</v>
      </c>
      <c r="AN1383" s="153">
        <f t="shared" si="1244"/>
        <v>0</v>
      </c>
      <c r="AO1383" s="154">
        <f t="shared" si="1245"/>
        <v>0</v>
      </c>
      <c r="AP1383" s="150">
        <v>2.29</v>
      </c>
      <c r="AQ1383" s="201">
        <v>2.29</v>
      </c>
      <c r="AR1383" s="199">
        <v>0</v>
      </c>
      <c r="AS1383" s="150">
        <f t="shared" si="1265"/>
        <v>2.29</v>
      </c>
      <c r="AT1383" s="155"/>
      <c r="AU1383" s="156">
        <f t="shared" si="1240"/>
        <v>0</v>
      </c>
      <c r="AV1383" s="156">
        <f t="shared" si="1241"/>
        <v>0</v>
      </c>
      <c r="AW1383" s="157"/>
      <c r="AX1383" s="150">
        <v>2.29</v>
      </c>
      <c r="AY1383" s="150">
        <v>0.55000000000000004</v>
      </c>
      <c r="AZ1383" s="150">
        <f t="shared" si="1266"/>
        <v>0.55000000000000004</v>
      </c>
      <c r="BA1383" s="150">
        <v>1.1000000000000001</v>
      </c>
      <c r="BB1383" s="210"/>
      <c r="BC1383" s="210"/>
      <c r="BD1383" s="210"/>
      <c r="BE1383" s="210"/>
      <c r="BF1383" s="210"/>
      <c r="BG1383" s="210"/>
      <c r="BH1383" s="217"/>
      <c r="BI1383" s="210"/>
      <c r="BJ1383" s="210"/>
      <c r="BK1383" s="210"/>
      <c r="BL1383" s="210"/>
      <c r="BM1383" s="208"/>
      <c r="BN1383" s="160"/>
      <c r="BO1383" s="161"/>
      <c r="BP1383" s="161"/>
    </row>
    <row r="1384" spans="1:68" ht="38.25">
      <c r="A1384" s="206" t="s">
        <v>570</v>
      </c>
      <c r="B1384" s="195" t="s">
        <v>8388</v>
      </c>
      <c r="C1384" s="196" t="s">
        <v>8389</v>
      </c>
      <c r="D1384" s="146" t="s">
        <v>4692</v>
      </c>
      <c r="E1384" s="196" t="s">
        <v>8389</v>
      </c>
      <c r="F1384" s="150">
        <v>0</v>
      </c>
      <c r="G1384" s="209">
        <v>0</v>
      </c>
      <c r="H1384" s="209">
        <v>0</v>
      </c>
      <c r="I1384" s="209">
        <v>0</v>
      </c>
      <c r="J1384" s="150">
        <v>0</v>
      </c>
      <c r="K1384" s="150">
        <v>0</v>
      </c>
      <c r="L1384" s="150">
        <f t="shared" si="1267"/>
        <v>0</v>
      </c>
      <c r="M1384" s="150">
        <v>0</v>
      </c>
      <c r="N1384" s="150">
        <v>0</v>
      </c>
      <c r="O1384" s="150">
        <v>0</v>
      </c>
      <c r="P1384" s="150">
        <v>0</v>
      </c>
      <c r="Q1384" s="150">
        <v>0</v>
      </c>
      <c r="R1384" s="313">
        <f t="shared" si="1261"/>
        <v>0</v>
      </c>
      <c r="S1384" s="150">
        <f t="shared" si="1247"/>
        <v>0</v>
      </c>
      <c r="T1384" s="150">
        <v>0</v>
      </c>
      <c r="U1384" s="150">
        <v>0</v>
      </c>
      <c r="V1384" s="199">
        <v>0</v>
      </c>
      <c r="W1384" s="150">
        <f t="shared" si="1262"/>
        <v>0</v>
      </c>
      <c r="X1384" s="150">
        <v>0</v>
      </c>
      <c r="Y1384" s="150">
        <v>0</v>
      </c>
      <c r="Z1384" s="150">
        <v>0</v>
      </c>
      <c r="AA1384" s="150">
        <f t="shared" si="1242"/>
        <v>0</v>
      </c>
      <c r="AB1384" s="150">
        <v>0</v>
      </c>
      <c r="AC1384" s="199">
        <v>0</v>
      </c>
      <c r="AD1384" s="150">
        <f t="shared" si="1263"/>
        <v>0</v>
      </c>
      <c r="AE1384" s="150">
        <v>0</v>
      </c>
      <c r="AF1384" s="169" t="s">
        <v>4680</v>
      </c>
      <c r="AG1384" s="201">
        <v>0</v>
      </c>
      <c r="AH1384" s="199">
        <v>0</v>
      </c>
      <c r="AI1384" s="150">
        <v>0</v>
      </c>
      <c r="AJ1384" s="169">
        <f t="shared" si="1243"/>
        <v>0</v>
      </c>
      <c r="AK1384" s="201">
        <v>0</v>
      </c>
      <c r="AL1384" s="199">
        <v>0</v>
      </c>
      <c r="AM1384" s="150">
        <f t="shared" si="1264"/>
        <v>0</v>
      </c>
      <c r="AN1384" s="153">
        <f t="shared" si="1244"/>
        <v>0</v>
      </c>
      <c r="AO1384" s="154">
        <f t="shared" si="1245"/>
        <v>0</v>
      </c>
      <c r="AP1384" s="150">
        <v>0</v>
      </c>
      <c r="AQ1384" s="201">
        <v>0</v>
      </c>
      <c r="AR1384" s="199">
        <v>0</v>
      </c>
      <c r="AS1384" s="150">
        <f t="shared" si="1265"/>
        <v>0</v>
      </c>
      <c r="AT1384" s="155"/>
      <c r="AU1384" s="156">
        <f t="shared" si="1240"/>
        <v>0</v>
      </c>
      <c r="AV1384" s="156">
        <f t="shared" si="1241"/>
        <v>0</v>
      </c>
      <c r="AW1384" s="157"/>
      <c r="AX1384" s="150">
        <v>0</v>
      </c>
      <c r="AY1384" s="150">
        <v>0</v>
      </c>
      <c r="AZ1384" s="150">
        <f t="shared" si="1266"/>
        <v>0</v>
      </c>
      <c r="BA1384" s="150">
        <v>0</v>
      </c>
      <c r="BB1384" s="202">
        <v>5</v>
      </c>
      <c r="BC1384" s="202" t="s">
        <v>714</v>
      </c>
      <c r="BD1384" s="202" t="s">
        <v>632</v>
      </c>
      <c r="BE1384" s="202" t="s">
        <v>632</v>
      </c>
      <c r="BF1384" s="202" t="s">
        <v>1257</v>
      </c>
      <c r="BG1384" s="231" t="s">
        <v>8390</v>
      </c>
      <c r="BH1384" s="216">
        <f>SUM(AS1384)</f>
        <v>0</v>
      </c>
      <c r="BI1384" s="205"/>
      <c r="BJ1384" s="206" t="s">
        <v>8360</v>
      </c>
      <c r="BK1384" s="206" t="s">
        <v>570</v>
      </c>
      <c r="BL1384" s="207" t="s">
        <v>8361</v>
      </c>
      <c r="BM1384" s="208">
        <f>BH1384</f>
        <v>0</v>
      </c>
      <c r="BN1384" s="160"/>
      <c r="BO1384" s="161"/>
      <c r="BP1384" s="161"/>
    </row>
    <row r="1385" spans="1:68" ht="51">
      <c r="A1385" s="206" t="s">
        <v>570</v>
      </c>
      <c r="B1385" s="195" t="s">
        <v>8391</v>
      </c>
      <c r="C1385" s="196" t="s">
        <v>8392</v>
      </c>
      <c r="D1385" s="146" t="s">
        <v>4692</v>
      </c>
      <c r="E1385" s="196" t="s">
        <v>8392</v>
      </c>
      <c r="F1385" s="150">
        <v>0</v>
      </c>
      <c r="G1385" s="209">
        <v>0</v>
      </c>
      <c r="H1385" s="209">
        <v>0</v>
      </c>
      <c r="I1385" s="209">
        <v>0</v>
      </c>
      <c r="J1385" s="150">
        <v>0</v>
      </c>
      <c r="K1385" s="150">
        <v>0</v>
      </c>
      <c r="L1385" s="150">
        <f t="shared" si="1267"/>
        <v>0</v>
      </c>
      <c r="M1385" s="150">
        <v>0</v>
      </c>
      <c r="N1385" s="150">
        <v>0</v>
      </c>
      <c r="O1385" s="150">
        <v>0</v>
      </c>
      <c r="P1385" s="150">
        <v>0</v>
      </c>
      <c r="Q1385" s="150">
        <v>0</v>
      </c>
      <c r="R1385" s="313">
        <f t="shared" si="1261"/>
        <v>0</v>
      </c>
      <c r="S1385" s="150">
        <f t="shared" si="1247"/>
        <v>0</v>
      </c>
      <c r="T1385" s="150">
        <v>0</v>
      </c>
      <c r="U1385" s="150">
        <v>0</v>
      </c>
      <c r="V1385" s="199">
        <v>0</v>
      </c>
      <c r="W1385" s="150">
        <f t="shared" si="1262"/>
        <v>0</v>
      </c>
      <c r="X1385" s="150">
        <v>0</v>
      </c>
      <c r="Y1385" s="150">
        <v>0</v>
      </c>
      <c r="Z1385" s="150">
        <v>0</v>
      </c>
      <c r="AA1385" s="150">
        <f t="shared" si="1242"/>
        <v>0</v>
      </c>
      <c r="AB1385" s="150">
        <v>0</v>
      </c>
      <c r="AC1385" s="199">
        <v>0</v>
      </c>
      <c r="AD1385" s="150">
        <f t="shared" si="1263"/>
        <v>0</v>
      </c>
      <c r="AE1385" s="150">
        <v>0</v>
      </c>
      <c r="AF1385" s="169" t="s">
        <v>4680</v>
      </c>
      <c r="AG1385" s="201">
        <v>0</v>
      </c>
      <c r="AH1385" s="199">
        <v>0</v>
      </c>
      <c r="AI1385" s="150">
        <v>0</v>
      </c>
      <c r="AJ1385" s="169">
        <f t="shared" si="1243"/>
        <v>0</v>
      </c>
      <c r="AK1385" s="201">
        <v>0</v>
      </c>
      <c r="AL1385" s="199">
        <v>0</v>
      </c>
      <c r="AM1385" s="150">
        <f t="shared" si="1264"/>
        <v>0</v>
      </c>
      <c r="AN1385" s="153">
        <f t="shared" si="1244"/>
        <v>0</v>
      </c>
      <c r="AO1385" s="154">
        <f t="shared" si="1245"/>
        <v>0</v>
      </c>
      <c r="AP1385" s="150">
        <v>0</v>
      </c>
      <c r="AQ1385" s="201">
        <v>0</v>
      </c>
      <c r="AR1385" s="199">
        <v>0</v>
      </c>
      <c r="AS1385" s="150">
        <f t="shared" si="1265"/>
        <v>0</v>
      </c>
      <c r="AT1385" s="155"/>
      <c r="AU1385" s="156">
        <f t="shared" si="1240"/>
        <v>0</v>
      </c>
      <c r="AV1385" s="156">
        <f t="shared" si="1241"/>
        <v>0</v>
      </c>
      <c r="AW1385" s="157"/>
      <c r="AX1385" s="150">
        <v>0</v>
      </c>
      <c r="AY1385" s="150">
        <v>0</v>
      </c>
      <c r="AZ1385" s="150">
        <f t="shared" si="1266"/>
        <v>0</v>
      </c>
      <c r="BA1385" s="150">
        <v>0</v>
      </c>
      <c r="BB1385" s="202">
        <v>5</v>
      </c>
      <c r="BC1385" s="202" t="s">
        <v>714</v>
      </c>
      <c r="BD1385" s="202" t="s">
        <v>632</v>
      </c>
      <c r="BE1385" s="202" t="s">
        <v>632</v>
      </c>
      <c r="BF1385" s="202" t="s">
        <v>1332</v>
      </c>
      <c r="BG1385" s="231" t="s">
        <v>8393</v>
      </c>
      <c r="BH1385" s="216">
        <f>SUM(AS1385)</f>
        <v>0</v>
      </c>
      <c r="BI1385" s="205"/>
      <c r="BJ1385" s="206" t="s">
        <v>8360</v>
      </c>
      <c r="BK1385" s="206" t="s">
        <v>570</v>
      </c>
      <c r="BL1385" s="207" t="s">
        <v>8361</v>
      </c>
      <c r="BM1385" s="208">
        <f>BH1385</f>
        <v>0</v>
      </c>
      <c r="BN1385" s="160"/>
      <c r="BO1385" s="161">
        <f t="shared" si="1268"/>
        <v>0</v>
      </c>
      <c r="BP1385" s="161"/>
    </row>
    <row r="1386" spans="1:68" ht="51">
      <c r="A1386" s="206" t="s">
        <v>570</v>
      </c>
      <c r="B1386" s="195" t="s">
        <v>8394</v>
      </c>
      <c r="C1386" s="196" t="s">
        <v>8395</v>
      </c>
      <c r="D1386" s="146" t="s">
        <v>4692</v>
      </c>
      <c r="E1386" s="196" t="s">
        <v>8395</v>
      </c>
      <c r="F1386" s="150">
        <v>0</v>
      </c>
      <c r="G1386" s="209">
        <v>0</v>
      </c>
      <c r="H1386" s="209">
        <v>0</v>
      </c>
      <c r="I1386" s="209">
        <v>0</v>
      </c>
      <c r="J1386" s="150">
        <v>0</v>
      </c>
      <c r="K1386" s="150">
        <v>0</v>
      </c>
      <c r="L1386" s="150">
        <f t="shared" si="1267"/>
        <v>0</v>
      </c>
      <c r="M1386" s="150">
        <v>0</v>
      </c>
      <c r="N1386" s="150">
        <v>0</v>
      </c>
      <c r="O1386" s="150">
        <v>0</v>
      </c>
      <c r="P1386" s="150">
        <v>0</v>
      </c>
      <c r="Q1386" s="150">
        <v>0</v>
      </c>
      <c r="R1386" s="313">
        <f t="shared" si="1261"/>
        <v>0</v>
      </c>
      <c r="S1386" s="150">
        <f t="shared" si="1247"/>
        <v>0</v>
      </c>
      <c r="T1386" s="150">
        <v>0</v>
      </c>
      <c r="U1386" s="150">
        <v>0</v>
      </c>
      <c r="V1386" s="199">
        <v>0</v>
      </c>
      <c r="W1386" s="150">
        <f t="shared" si="1262"/>
        <v>0</v>
      </c>
      <c r="X1386" s="150">
        <v>0</v>
      </c>
      <c r="Y1386" s="150">
        <v>0</v>
      </c>
      <c r="Z1386" s="150">
        <v>0</v>
      </c>
      <c r="AA1386" s="150">
        <f t="shared" si="1242"/>
        <v>0</v>
      </c>
      <c r="AB1386" s="150">
        <v>0</v>
      </c>
      <c r="AC1386" s="199">
        <v>0</v>
      </c>
      <c r="AD1386" s="150">
        <f t="shared" si="1263"/>
        <v>0</v>
      </c>
      <c r="AE1386" s="150">
        <v>0</v>
      </c>
      <c r="AF1386" s="169" t="s">
        <v>4680</v>
      </c>
      <c r="AG1386" s="201">
        <v>0</v>
      </c>
      <c r="AH1386" s="199">
        <v>0</v>
      </c>
      <c r="AI1386" s="150">
        <v>0</v>
      </c>
      <c r="AJ1386" s="169">
        <f t="shared" si="1243"/>
        <v>0</v>
      </c>
      <c r="AK1386" s="201">
        <v>0</v>
      </c>
      <c r="AL1386" s="199">
        <v>0</v>
      </c>
      <c r="AM1386" s="150">
        <f t="shared" si="1264"/>
        <v>0</v>
      </c>
      <c r="AN1386" s="153">
        <f t="shared" si="1244"/>
        <v>0</v>
      </c>
      <c r="AO1386" s="154">
        <f t="shared" si="1245"/>
        <v>0</v>
      </c>
      <c r="AP1386" s="150">
        <v>0</v>
      </c>
      <c r="AQ1386" s="201">
        <v>0</v>
      </c>
      <c r="AR1386" s="199">
        <v>0</v>
      </c>
      <c r="AS1386" s="150">
        <f t="shared" si="1265"/>
        <v>0</v>
      </c>
      <c r="AT1386" s="155"/>
      <c r="AU1386" s="156">
        <f t="shared" si="1240"/>
        <v>0</v>
      </c>
      <c r="AV1386" s="156">
        <f t="shared" si="1241"/>
        <v>0</v>
      </c>
      <c r="AW1386" s="157"/>
      <c r="AX1386" s="150">
        <v>0</v>
      </c>
      <c r="AY1386" s="150">
        <v>0</v>
      </c>
      <c r="AZ1386" s="150">
        <f t="shared" si="1266"/>
        <v>0</v>
      </c>
      <c r="BA1386" s="150">
        <v>0</v>
      </c>
      <c r="BB1386" s="202">
        <v>5</v>
      </c>
      <c r="BC1386" s="202" t="s">
        <v>714</v>
      </c>
      <c r="BD1386" s="202" t="s">
        <v>632</v>
      </c>
      <c r="BE1386" s="202" t="s">
        <v>632</v>
      </c>
      <c r="BF1386" s="202" t="s">
        <v>1838</v>
      </c>
      <c r="BG1386" s="231" t="s">
        <v>8396</v>
      </c>
      <c r="BH1386" s="216">
        <f>SUM(AS1386)</f>
        <v>0</v>
      </c>
      <c r="BI1386" s="205"/>
      <c r="BJ1386" s="206" t="s">
        <v>8360</v>
      </c>
      <c r="BK1386" s="206" t="s">
        <v>570</v>
      </c>
      <c r="BL1386" s="207" t="s">
        <v>8361</v>
      </c>
      <c r="BM1386" s="208">
        <f>BH1386</f>
        <v>0</v>
      </c>
      <c r="BN1386" s="160"/>
      <c r="BO1386" s="161">
        <f t="shared" si="1268"/>
        <v>0</v>
      </c>
      <c r="BP1386" s="161"/>
    </row>
    <row r="1387" spans="1:68" ht="38.25">
      <c r="A1387" s="206" t="s">
        <v>569</v>
      </c>
      <c r="B1387" s="195" t="s">
        <v>8397</v>
      </c>
      <c r="C1387" s="196" t="s">
        <v>8398</v>
      </c>
      <c r="D1387" s="146" t="s">
        <v>4692</v>
      </c>
      <c r="E1387" s="196" t="s">
        <v>8398</v>
      </c>
      <c r="F1387" s="150">
        <v>0</v>
      </c>
      <c r="G1387" s="209">
        <v>0</v>
      </c>
      <c r="H1387" s="209">
        <v>0</v>
      </c>
      <c r="I1387" s="209">
        <v>0</v>
      </c>
      <c r="J1387" s="150">
        <v>0</v>
      </c>
      <c r="K1387" s="150">
        <v>0</v>
      </c>
      <c r="L1387" s="150">
        <f t="shared" si="1267"/>
        <v>0</v>
      </c>
      <c r="M1387" s="150">
        <v>0</v>
      </c>
      <c r="N1387" s="150">
        <v>0</v>
      </c>
      <c r="O1387" s="150">
        <v>0</v>
      </c>
      <c r="P1387" s="150">
        <v>0</v>
      </c>
      <c r="Q1387" s="150">
        <v>0</v>
      </c>
      <c r="R1387" s="313">
        <f t="shared" si="1261"/>
        <v>0</v>
      </c>
      <c r="S1387" s="150">
        <f t="shared" si="1247"/>
        <v>0</v>
      </c>
      <c r="T1387" s="150">
        <v>0</v>
      </c>
      <c r="U1387" s="150">
        <v>0</v>
      </c>
      <c r="V1387" s="199">
        <v>0</v>
      </c>
      <c r="W1387" s="150">
        <f t="shared" si="1262"/>
        <v>0</v>
      </c>
      <c r="X1387" s="150">
        <v>0</v>
      </c>
      <c r="Y1387" s="150">
        <v>0</v>
      </c>
      <c r="Z1387" s="150">
        <v>0</v>
      </c>
      <c r="AA1387" s="150">
        <f t="shared" si="1242"/>
        <v>0</v>
      </c>
      <c r="AB1387" s="150">
        <v>0</v>
      </c>
      <c r="AC1387" s="199">
        <v>0</v>
      </c>
      <c r="AD1387" s="150">
        <f t="shared" si="1263"/>
        <v>0</v>
      </c>
      <c r="AE1387" s="150">
        <v>0</v>
      </c>
      <c r="AF1387" s="169" t="s">
        <v>4680</v>
      </c>
      <c r="AG1387" s="201">
        <v>0</v>
      </c>
      <c r="AH1387" s="199">
        <v>0</v>
      </c>
      <c r="AI1387" s="150">
        <v>0</v>
      </c>
      <c r="AJ1387" s="169">
        <f t="shared" si="1243"/>
        <v>0</v>
      </c>
      <c r="AK1387" s="201">
        <v>0</v>
      </c>
      <c r="AL1387" s="199">
        <v>0</v>
      </c>
      <c r="AM1387" s="150">
        <f t="shared" si="1264"/>
        <v>0</v>
      </c>
      <c r="AN1387" s="153">
        <f t="shared" si="1244"/>
        <v>0</v>
      </c>
      <c r="AO1387" s="154">
        <f t="shared" si="1245"/>
        <v>0</v>
      </c>
      <c r="AP1387" s="150">
        <v>0</v>
      </c>
      <c r="AQ1387" s="201">
        <v>0</v>
      </c>
      <c r="AR1387" s="199">
        <v>0</v>
      </c>
      <c r="AS1387" s="150">
        <f t="shared" si="1265"/>
        <v>0</v>
      </c>
      <c r="AT1387" s="155"/>
      <c r="AU1387" s="156">
        <f t="shared" si="1240"/>
        <v>0</v>
      </c>
      <c r="AV1387" s="156">
        <f t="shared" si="1241"/>
        <v>0</v>
      </c>
      <c r="AW1387" s="157"/>
      <c r="AX1387" s="150">
        <v>0</v>
      </c>
      <c r="AY1387" s="150">
        <v>0</v>
      </c>
      <c r="AZ1387" s="150">
        <f t="shared" si="1266"/>
        <v>0</v>
      </c>
      <c r="BA1387" s="150">
        <v>0</v>
      </c>
      <c r="BB1387" s="202">
        <v>5</v>
      </c>
      <c r="BC1387" s="202" t="s">
        <v>714</v>
      </c>
      <c r="BD1387" s="202" t="s">
        <v>632</v>
      </c>
      <c r="BE1387" s="202" t="s">
        <v>632</v>
      </c>
      <c r="BF1387" s="202" t="s">
        <v>1842</v>
      </c>
      <c r="BG1387" s="231" t="s">
        <v>8399</v>
      </c>
      <c r="BH1387" s="216">
        <f>SUM(AS1387:AS1397)</f>
        <v>492</v>
      </c>
      <c r="BI1387" s="205"/>
      <c r="BJ1387" s="206" t="s">
        <v>8306</v>
      </c>
      <c r="BK1387" s="206" t="s">
        <v>569</v>
      </c>
      <c r="BL1387" s="207" t="s">
        <v>8307</v>
      </c>
      <c r="BM1387" s="208">
        <f>BH1387</f>
        <v>492</v>
      </c>
      <c r="BN1387" s="160"/>
      <c r="BO1387" s="161"/>
      <c r="BP1387" s="161"/>
    </row>
    <row r="1388" spans="1:68" ht="38.25">
      <c r="A1388" s="210"/>
      <c r="B1388" s="195" t="s">
        <v>8400</v>
      </c>
      <c r="C1388" s="196" t="s">
        <v>8401</v>
      </c>
      <c r="D1388" s="146" t="s">
        <v>4692</v>
      </c>
      <c r="E1388" s="196" t="s">
        <v>8401</v>
      </c>
      <c r="F1388" s="150">
        <v>0</v>
      </c>
      <c r="G1388" s="209">
        <v>0</v>
      </c>
      <c r="H1388" s="209">
        <v>0</v>
      </c>
      <c r="I1388" s="209">
        <v>0</v>
      </c>
      <c r="J1388" s="150">
        <v>0</v>
      </c>
      <c r="K1388" s="150">
        <v>0</v>
      </c>
      <c r="L1388" s="150">
        <f t="shared" si="1267"/>
        <v>0</v>
      </c>
      <c r="M1388" s="150">
        <v>0</v>
      </c>
      <c r="N1388" s="150">
        <v>0</v>
      </c>
      <c r="O1388" s="150">
        <v>0</v>
      </c>
      <c r="P1388" s="150">
        <v>0</v>
      </c>
      <c r="Q1388" s="150">
        <v>0</v>
      </c>
      <c r="R1388" s="313">
        <f t="shared" si="1261"/>
        <v>0</v>
      </c>
      <c r="S1388" s="150">
        <f t="shared" si="1247"/>
        <v>0</v>
      </c>
      <c r="T1388" s="150">
        <v>0</v>
      </c>
      <c r="U1388" s="150">
        <v>0</v>
      </c>
      <c r="V1388" s="199">
        <v>0</v>
      </c>
      <c r="W1388" s="150">
        <f t="shared" si="1262"/>
        <v>0</v>
      </c>
      <c r="X1388" s="150">
        <v>0</v>
      </c>
      <c r="Y1388" s="150">
        <v>0</v>
      </c>
      <c r="Z1388" s="150">
        <v>0</v>
      </c>
      <c r="AA1388" s="150">
        <f t="shared" si="1242"/>
        <v>0</v>
      </c>
      <c r="AB1388" s="150">
        <v>0</v>
      </c>
      <c r="AC1388" s="199">
        <v>0</v>
      </c>
      <c r="AD1388" s="150">
        <f t="shared" si="1263"/>
        <v>0</v>
      </c>
      <c r="AE1388" s="150">
        <v>0</v>
      </c>
      <c r="AF1388" s="169" t="s">
        <v>4680</v>
      </c>
      <c r="AG1388" s="201">
        <v>0</v>
      </c>
      <c r="AH1388" s="199">
        <v>0</v>
      </c>
      <c r="AI1388" s="150">
        <v>0</v>
      </c>
      <c r="AJ1388" s="169">
        <f t="shared" si="1243"/>
        <v>0</v>
      </c>
      <c r="AK1388" s="201">
        <v>0</v>
      </c>
      <c r="AL1388" s="199">
        <v>0</v>
      </c>
      <c r="AM1388" s="150">
        <f t="shared" si="1264"/>
        <v>0</v>
      </c>
      <c r="AN1388" s="153">
        <f t="shared" si="1244"/>
        <v>0</v>
      </c>
      <c r="AO1388" s="154">
        <f t="shared" si="1245"/>
        <v>0</v>
      </c>
      <c r="AP1388" s="150">
        <v>0</v>
      </c>
      <c r="AQ1388" s="201">
        <v>0</v>
      </c>
      <c r="AR1388" s="199">
        <v>0</v>
      </c>
      <c r="AS1388" s="150">
        <f t="shared" si="1265"/>
        <v>0</v>
      </c>
      <c r="AT1388" s="155"/>
      <c r="AU1388" s="156">
        <f t="shared" si="1240"/>
        <v>0</v>
      </c>
      <c r="AV1388" s="156">
        <f t="shared" si="1241"/>
        <v>0</v>
      </c>
      <c r="AW1388" s="157"/>
      <c r="AX1388" s="150">
        <v>0</v>
      </c>
      <c r="AY1388" s="150">
        <v>0</v>
      </c>
      <c r="AZ1388" s="150">
        <f t="shared" si="1266"/>
        <v>0</v>
      </c>
      <c r="BA1388" s="150">
        <v>0</v>
      </c>
      <c r="BB1388" s="210"/>
      <c r="BC1388" s="210"/>
      <c r="BD1388" s="210"/>
      <c r="BE1388" s="210"/>
      <c r="BF1388" s="210"/>
      <c r="BG1388" s="210"/>
      <c r="BH1388" s="217"/>
      <c r="BI1388" s="210"/>
      <c r="BJ1388" s="210"/>
      <c r="BK1388" s="210"/>
      <c r="BL1388" s="210"/>
      <c r="BM1388" s="208"/>
      <c r="BN1388" s="160"/>
      <c r="BO1388" s="161"/>
      <c r="BP1388" s="161"/>
    </row>
    <row r="1389" spans="1:68" ht="51">
      <c r="A1389" s="210"/>
      <c r="B1389" s="195" t="s">
        <v>8402</v>
      </c>
      <c r="C1389" s="196" t="s">
        <v>8403</v>
      </c>
      <c r="D1389" s="146" t="s">
        <v>4692</v>
      </c>
      <c r="E1389" s="196" t="s">
        <v>8403</v>
      </c>
      <c r="F1389" s="150">
        <v>0</v>
      </c>
      <c r="G1389" s="209">
        <v>0</v>
      </c>
      <c r="H1389" s="209">
        <v>0</v>
      </c>
      <c r="I1389" s="209">
        <v>0</v>
      </c>
      <c r="J1389" s="150">
        <v>0</v>
      </c>
      <c r="K1389" s="150">
        <v>0</v>
      </c>
      <c r="L1389" s="150">
        <f t="shared" si="1267"/>
        <v>0</v>
      </c>
      <c r="M1389" s="150">
        <v>0</v>
      </c>
      <c r="N1389" s="150">
        <v>0</v>
      </c>
      <c r="O1389" s="150">
        <v>0</v>
      </c>
      <c r="P1389" s="150">
        <v>0</v>
      </c>
      <c r="Q1389" s="150">
        <v>0</v>
      </c>
      <c r="R1389" s="313">
        <f t="shared" si="1261"/>
        <v>0</v>
      </c>
      <c r="S1389" s="150">
        <f t="shared" si="1247"/>
        <v>0</v>
      </c>
      <c r="T1389" s="150">
        <v>0</v>
      </c>
      <c r="U1389" s="150">
        <v>0</v>
      </c>
      <c r="V1389" s="199">
        <v>0</v>
      </c>
      <c r="W1389" s="150">
        <f t="shared" si="1262"/>
        <v>0</v>
      </c>
      <c r="X1389" s="150">
        <v>0</v>
      </c>
      <c r="Y1389" s="150">
        <v>0</v>
      </c>
      <c r="Z1389" s="150">
        <v>0</v>
      </c>
      <c r="AA1389" s="150">
        <f t="shared" si="1242"/>
        <v>0</v>
      </c>
      <c r="AB1389" s="150">
        <v>0</v>
      </c>
      <c r="AC1389" s="199">
        <v>0</v>
      </c>
      <c r="AD1389" s="150">
        <f t="shared" si="1263"/>
        <v>0</v>
      </c>
      <c r="AE1389" s="150">
        <v>0</v>
      </c>
      <c r="AF1389" s="169" t="s">
        <v>4680</v>
      </c>
      <c r="AG1389" s="201">
        <v>0</v>
      </c>
      <c r="AH1389" s="199">
        <v>0</v>
      </c>
      <c r="AI1389" s="150">
        <v>0</v>
      </c>
      <c r="AJ1389" s="169">
        <f t="shared" si="1243"/>
        <v>0</v>
      </c>
      <c r="AK1389" s="201">
        <v>0</v>
      </c>
      <c r="AL1389" s="199">
        <v>0</v>
      </c>
      <c r="AM1389" s="150">
        <f t="shared" si="1264"/>
        <v>0</v>
      </c>
      <c r="AN1389" s="153">
        <f t="shared" si="1244"/>
        <v>0</v>
      </c>
      <c r="AO1389" s="154">
        <f t="shared" si="1245"/>
        <v>0</v>
      </c>
      <c r="AP1389" s="150">
        <v>0</v>
      </c>
      <c r="AQ1389" s="201">
        <v>0</v>
      </c>
      <c r="AR1389" s="199">
        <v>0</v>
      </c>
      <c r="AS1389" s="150">
        <f t="shared" si="1265"/>
        <v>0</v>
      </c>
      <c r="AT1389" s="155"/>
      <c r="AU1389" s="156">
        <f t="shared" si="1240"/>
        <v>0</v>
      </c>
      <c r="AV1389" s="156">
        <f t="shared" si="1241"/>
        <v>0</v>
      </c>
      <c r="AW1389" s="157"/>
      <c r="AX1389" s="150">
        <v>0</v>
      </c>
      <c r="AY1389" s="150">
        <v>0</v>
      </c>
      <c r="AZ1389" s="150">
        <f t="shared" si="1266"/>
        <v>0</v>
      </c>
      <c r="BA1389" s="150">
        <v>0</v>
      </c>
      <c r="BB1389" s="210"/>
      <c r="BC1389" s="210"/>
      <c r="BD1389" s="210"/>
      <c r="BE1389" s="210"/>
      <c r="BF1389" s="210"/>
      <c r="BG1389" s="210"/>
      <c r="BH1389" s="217"/>
      <c r="BI1389" s="210"/>
      <c r="BJ1389" s="210"/>
      <c r="BK1389" s="210"/>
      <c r="BL1389" s="210"/>
      <c r="BM1389" s="208"/>
      <c r="BN1389" s="160"/>
      <c r="BO1389" s="161"/>
      <c r="BP1389" s="161"/>
    </row>
    <row r="1390" spans="1:68" ht="38.25">
      <c r="A1390" s="210"/>
      <c r="B1390" s="195" t="s">
        <v>8404</v>
      </c>
      <c r="C1390" s="196" t="s">
        <v>8405</v>
      </c>
      <c r="D1390" s="146" t="s">
        <v>4692</v>
      </c>
      <c r="E1390" s="196" t="s">
        <v>8405</v>
      </c>
      <c r="F1390" s="150">
        <v>0</v>
      </c>
      <c r="G1390" s="209">
        <v>0</v>
      </c>
      <c r="H1390" s="209">
        <v>0</v>
      </c>
      <c r="I1390" s="209">
        <v>0</v>
      </c>
      <c r="J1390" s="150">
        <v>0</v>
      </c>
      <c r="K1390" s="150">
        <v>0</v>
      </c>
      <c r="L1390" s="150">
        <f t="shared" si="1267"/>
        <v>0</v>
      </c>
      <c r="M1390" s="150">
        <v>0</v>
      </c>
      <c r="N1390" s="150">
        <v>0</v>
      </c>
      <c r="O1390" s="150">
        <v>0</v>
      </c>
      <c r="P1390" s="150">
        <v>0</v>
      </c>
      <c r="Q1390" s="150">
        <v>0</v>
      </c>
      <c r="R1390" s="313">
        <f t="shared" si="1261"/>
        <v>0</v>
      </c>
      <c r="S1390" s="150">
        <f t="shared" si="1247"/>
        <v>0</v>
      </c>
      <c r="T1390" s="150">
        <v>0</v>
      </c>
      <c r="U1390" s="150">
        <v>0</v>
      </c>
      <c r="V1390" s="199">
        <v>0</v>
      </c>
      <c r="W1390" s="150">
        <f t="shared" si="1262"/>
        <v>0</v>
      </c>
      <c r="X1390" s="150">
        <v>0</v>
      </c>
      <c r="Y1390" s="150">
        <v>0</v>
      </c>
      <c r="Z1390" s="150">
        <v>0</v>
      </c>
      <c r="AA1390" s="150">
        <f t="shared" si="1242"/>
        <v>0</v>
      </c>
      <c r="AB1390" s="150">
        <v>0</v>
      </c>
      <c r="AC1390" s="199">
        <v>0</v>
      </c>
      <c r="AD1390" s="150">
        <f t="shared" si="1263"/>
        <v>0</v>
      </c>
      <c r="AE1390" s="150">
        <v>0</v>
      </c>
      <c r="AF1390" s="169" t="s">
        <v>4680</v>
      </c>
      <c r="AG1390" s="201">
        <v>0</v>
      </c>
      <c r="AH1390" s="199">
        <v>0</v>
      </c>
      <c r="AI1390" s="150">
        <v>0</v>
      </c>
      <c r="AJ1390" s="169">
        <f t="shared" si="1243"/>
        <v>0</v>
      </c>
      <c r="AK1390" s="201">
        <v>0</v>
      </c>
      <c r="AL1390" s="199">
        <v>0</v>
      </c>
      <c r="AM1390" s="150">
        <f t="shared" si="1264"/>
        <v>0</v>
      </c>
      <c r="AN1390" s="153">
        <f t="shared" si="1244"/>
        <v>0</v>
      </c>
      <c r="AO1390" s="154">
        <f t="shared" si="1245"/>
        <v>0</v>
      </c>
      <c r="AP1390" s="150">
        <v>0</v>
      </c>
      <c r="AQ1390" s="201">
        <v>0</v>
      </c>
      <c r="AR1390" s="199">
        <v>0</v>
      </c>
      <c r="AS1390" s="150">
        <f t="shared" si="1265"/>
        <v>0</v>
      </c>
      <c r="AT1390" s="155"/>
      <c r="AU1390" s="156">
        <f t="shared" si="1240"/>
        <v>0</v>
      </c>
      <c r="AV1390" s="156">
        <f t="shared" si="1241"/>
        <v>0</v>
      </c>
      <c r="AW1390" s="157"/>
      <c r="AX1390" s="150">
        <v>0</v>
      </c>
      <c r="AY1390" s="150">
        <v>0</v>
      </c>
      <c r="AZ1390" s="150">
        <f t="shared" si="1266"/>
        <v>0</v>
      </c>
      <c r="BA1390" s="150">
        <v>0</v>
      </c>
      <c r="BB1390" s="210"/>
      <c r="BC1390" s="210"/>
      <c r="BD1390" s="210"/>
      <c r="BE1390" s="210"/>
      <c r="BF1390" s="210"/>
      <c r="BG1390" s="210"/>
      <c r="BH1390" s="217"/>
      <c r="BI1390" s="210"/>
      <c r="BJ1390" s="210"/>
      <c r="BK1390" s="210"/>
      <c r="BL1390" s="210"/>
      <c r="BM1390" s="208"/>
      <c r="BN1390" s="160"/>
      <c r="BO1390" s="161"/>
      <c r="BP1390" s="161"/>
    </row>
    <row r="1391" spans="1:68" ht="38.25">
      <c r="A1391" s="210"/>
      <c r="B1391" s="195" t="s">
        <v>8406</v>
      </c>
      <c r="C1391" s="196" t="s">
        <v>8407</v>
      </c>
      <c r="D1391" s="146" t="s">
        <v>4692</v>
      </c>
      <c r="E1391" s="196" t="s">
        <v>8407</v>
      </c>
      <c r="F1391" s="150">
        <v>0</v>
      </c>
      <c r="G1391" s="209">
        <v>0</v>
      </c>
      <c r="H1391" s="209">
        <v>0</v>
      </c>
      <c r="I1391" s="209">
        <v>0</v>
      </c>
      <c r="J1391" s="150">
        <v>0</v>
      </c>
      <c r="K1391" s="150">
        <v>0</v>
      </c>
      <c r="L1391" s="150">
        <f t="shared" si="1267"/>
        <v>0</v>
      </c>
      <c r="M1391" s="150">
        <v>0</v>
      </c>
      <c r="N1391" s="150">
        <v>0</v>
      </c>
      <c r="O1391" s="150">
        <v>0</v>
      </c>
      <c r="P1391" s="150">
        <v>0</v>
      </c>
      <c r="Q1391" s="150">
        <v>0</v>
      </c>
      <c r="R1391" s="313">
        <f t="shared" si="1261"/>
        <v>0</v>
      </c>
      <c r="S1391" s="150">
        <f t="shared" si="1247"/>
        <v>0</v>
      </c>
      <c r="T1391" s="150">
        <v>0</v>
      </c>
      <c r="U1391" s="150">
        <v>0</v>
      </c>
      <c r="V1391" s="199">
        <v>0</v>
      </c>
      <c r="W1391" s="150">
        <f t="shared" si="1262"/>
        <v>0</v>
      </c>
      <c r="X1391" s="150">
        <v>0</v>
      </c>
      <c r="Y1391" s="150">
        <v>0</v>
      </c>
      <c r="Z1391" s="150">
        <v>0</v>
      </c>
      <c r="AA1391" s="150">
        <f t="shared" si="1242"/>
        <v>0</v>
      </c>
      <c r="AB1391" s="150">
        <v>0</v>
      </c>
      <c r="AC1391" s="199">
        <v>0</v>
      </c>
      <c r="AD1391" s="150">
        <f t="shared" si="1263"/>
        <v>0</v>
      </c>
      <c r="AE1391" s="150">
        <v>0</v>
      </c>
      <c r="AF1391" s="169" t="s">
        <v>4680</v>
      </c>
      <c r="AG1391" s="201">
        <v>0</v>
      </c>
      <c r="AH1391" s="199">
        <v>0</v>
      </c>
      <c r="AI1391" s="150">
        <v>0</v>
      </c>
      <c r="AJ1391" s="169">
        <f t="shared" si="1243"/>
        <v>0</v>
      </c>
      <c r="AK1391" s="201">
        <v>0</v>
      </c>
      <c r="AL1391" s="199">
        <v>0</v>
      </c>
      <c r="AM1391" s="150">
        <f t="shared" si="1264"/>
        <v>0</v>
      </c>
      <c r="AN1391" s="153">
        <f t="shared" si="1244"/>
        <v>0</v>
      </c>
      <c r="AO1391" s="154">
        <f t="shared" si="1245"/>
        <v>0</v>
      </c>
      <c r="AP1391" s="150">
        <v>0</v>
      </c>
      <c r="AQ1391" s="201">
        <v>0</v>
      </c>
      <c r="AR1391" s="199">
        <v>0</v>
      </c>
      <c r="AS1391" s="150">
        <f t="shared" si="1265"/>
        <v>0</v>
      </c>
      <c r="AT1391" s="155"/>
      <c r="AU1391" s="156">
        <f t="shared" si="1240"/>
        <v>0</v>
      </c>
      <c r="AV1391" s="156">
        <f t="shared" si="1241"/>
        <v>0</v>
      </c>
      <c r="AW1391" s="157"/>
      <c r="AX1391" s="150">
        <v>0</v>
      </c>
      <c r="AY1391" s="150">
        <v>0</v>
      </c>
      <c r="AZ1391" s="150">
        <f t="shared" si="1266"/>
        <v>0</v>
      </c>
      <c r="BA1391" s="150">
        <v>0</v>
      </c>
      <c r="BB1391" s="210"/>
      <c r="BC1391" s="210"/>
      <c r="BD1391" s="210"/>
      <c r="BE1391" s="210"/>
      <c r="BF1391" s="210"/>
      <c r="BG1391" s="210"/>
      <c r="BH1391" s="217"/>
      <c r="BI1391" s="210"/>
      <c r="BJ1391" s="210"/>
      <c r="BK1391" s="210"/>
      <c r="BL1391" s="210"/>
      <c r="BM1391" s="208"/>
      <c r="BN1391" s="160"/>
      <c r="BO1391" s="161"/>
      <c r="BP1391" s="161"/>
    </row>
    <row r="1392" spans="1:68" ht="51">
      <c r="A1392" s="210"/>
      <c r="B1392" s="195" t="s">
        <v>8408</v>
      </c>
      <c r="C1392" s="196" t="s">
        <v>8409</v>
      </c>
      <c r="D1392" s="146" t="s">
        <v>4692</v>
      </c>
      <c r="E1392" s="196" t="s">
        <v>8409</v>
      </c>
      <c r="F1392" s="150">
        <v>0</v>
      </c>
      <c r="G1392" s="209">
        <v>0</v>
      </c>
      <c r="H1392" s="209">
        <v>0</v>
      </c>
      <c r="I1392" s="209">
        <v>0</v>
      </c>
      <c r="J1392" s="150">
        <v>0</v>
      </c>
      <c r="K1392" s="150">
        <v>0</v>
      </c>
      <c r="L1392" s="150">
        <f t="shared" si="1267"/>
        <v>0</v>
      </c>
      <c r="M1392" s="150">
        <v>0</v>
      </c>
      <c r="N1392" s="150">
        <v>0</v>
      </c>
      <c r="O1392" s="150">
        <v>0</v>
      </c>
      <c r="P1392" s="150">
        <v>0</v>
      </c>
      <c r="Q1392" s="150">
        <v>0</v>
      </c>
      <c r="R1392" s="313">
        <f t="shared" si="1261"/>
        <v>0</v>
      </c>
      <c r="S1392" s="150">
        <f t="shared" si="1247"/>
        <v>0</v>
      </c>
      <c r="T1392" s="150">
        <v>0</v>
      </c>
      <c r="U1392" s="150">
        <v>0</v>
      </c>
      <c r="V1392" s="199">
        <v>0</v>
      </c>
      <c r="W1392" s="150">
        <f t="shared" si="1262"/>
        <v>0</v>
      </c>
      <c r="X1392" s="150">
        <v>0</v>
      </c>
      <c r="Y1392" s="150">
        <v>0</v>
      </c>
      <c r="Z1392" s="150">
        <v>0</v>
      </c>
      <c r="AA1392" s="150">
        <f t="shared" si="1242"/>
        <v>0</v>
      </c>
      <c r="AB1392" s="150">
        <v>0</v>
      </c>
      <c r="AC1392" s="199">
        <v>0</v>
      </c>
      <c r="AD1392" s="150">
        <f t="shared" si="1263"/>
        <v>0</v>
      </c>
      <c r="AE1392" s="150">
        <v>0</v>
      </c>
      <c r="AF1392" s="169" t="s">
        <v>4680</v>
      </c>
      <c r="AG1392" s="201">
        <v>0</v>
      </c>
      <c r="AH1392" s="199">
        <v>0</v>
      </c>
      <c r="AI1392" s="150">
        <v>0</v>
      </c>
      <c r="AJ1392" s="169">
        <f t="shared" si="1243"/>
        <v>0</v>
      </c>
      <c r="AK1392" s="201">
        <v>0</v>
      </c>
      <c r="AL1392" s="199">
        <v>0</v>
      </c>
      <c r="AM1392" s="150">
        <f t="shared" si="1264"/>
        <v>0</v>
      </c>
      <c r="AN1392" s="153">
        <f t="shared" si="1244"/>
        <v>0</v>
      </c>
      <c r="AO1392" s="154">
        <f t="shared" si="1245"/>
        <v>0</v>
      </c>
      <c r="AP1392" s="150">
        <v>0</v>
      </c>
      <c r="AQ1392" s="201">
        <v>0</v>
      </c>
      <c r="AR1392" s="199">
        <v>0</v>
      </c>
      <c r="AS1392" s="150">
        <f t="shared" si="1265"/>
        <v>0</v>
      </c>
      <c r="AT1392" s="155"/>
      <c r="AU1392" s="156">
        <f t="shared" si="1240"/>
        <v>0</v>
      </c>
      <c r="AV1392" s="156">
        <f t="shared" si="1241"/>
        <v>0</v>
      </c>
      <c r="AW1392" s="157"/>
      <c r="AX1392" s="150">
        <v>0</v>
      </c>
      <c r="AY1392" s="150">
        <v>0</v>
      </c>
      <c r="AZ1392" s="150">
        <f t="shared" si="1266"/>
        <v>0</v>
      </c>
      <c r="BA1392" s="150">
        <v>0</v>
      </c>
      <c r="BB1392" s="210"/>
      <c r="BC1392" s="210"/>
      <c r="BD1392" s="210"/>
      <c r="BE1392" s="210"/>
      <c r="BF1392" s="210"/>
      <c r="BG1392" s="210"/>
      <c r="BH1392" s="217"/>
      <c r="BI1392" s="210"/>
      <c r="BJ1392" s="210"/>
      <c r="BK1392" s="210"/>
      <c r="BL1392" s="210"/>
      <c r="BM1392" s="208"/>
      <c r="BN1392" s="160"/>
      <c r="BO1392" s="161"/>
      <c r="BP1392" s="161"/>
    </row>
    <row r="1393" spans="1:68" ht="51">
      <c r="A1393" s="210"/>
      <c r="B1393" s="195" t="s">
        <v>8410</v>
      </c>
      <c r="C1393" s="196" t="s">
        <v>8411</v>
      </c>
      <c r="D1393" s="146" t="s">
        <v>4692</v>
      </c>
      <c r="E1393" s="196" t="s">
        <v>8411</v>
      </c>
      <c r="F1393" s="150">
        <v>0</v>
      </c>
      <c r="G1393" s="209">
        <v>0</v>
      </c>
      <c r="H1393" s="209">
        <v>0</v>
      </c>
      <c r="I1393" s="209">
        <v>0</v>
      </c>
      <c r="J1393" s="150">
        <v>0</v>
      </c>
      <c r="K1393" s="150">
        <v>0</v>
      </c>
      <c r="L1393" s="150">
        <f t="shared" si="1267"/>
        <v>0</v>
      </c>
      <c r="M1393" s="150">
        <v>0</v>
      </c>
      <c r="N1393" s="150">
        <v>0</v>
      </c>
      <c r="O1393" s="150">
        <v>0</v>
      </c>
      <c r="P1393" s="150">
        <v>0</v>
      </c>
      <c r="Q1393" s="150">
        <v>0</v>
      </c>
      <c r="R1393" s="313">
        <f t="shared" si="1261"/>
        <v>0</v>
      </c>
      <c r="S1393" s="150">
        <f t="shared" si="1247"/>
        <v>0</v>
      </c>
      <c r="T1393" s="150">
        <v>0</v>
      </c>
      <c r="U1393" s="150">
        <v>0</v>
      </c>
      <c r="V1393" s="199">
        <v>0</v>
      </c>
      <c r="W1393" s="150">
        <f t="shared" si="1262"/>
        <v>0</v>
      </c>
      <c r="X1393" s="150">
        <v>0</v>
      </c>
      <c r="Y1393" s="150">
        <v>0</v>
      </c>
      <c r="Z1393" s="150">
        <v>0</v>
      </c>
      <c r="AA1393" s="150">
        <f t="shared" si="1242"/>
        <v>0</v>
      </c>
      <c r="AB1393" s="150">
        <v>0</v>
      </c>
      <c r="AC1393" s="199">
        <v>0</v>
      </c>
      <c r="AD1393" s="150">
        <f t="shared" si="1263"/>
        <v>0</v>
      </c>
      <c r="AE1393" s="150">
        <v>0</v>
      </c>
      <c r="AF1393" s="169" t="s">
        <v>4680</v>
      </c>
      <c r="AG1393" s="201">
        <v>0</v>
      </c>
      <c r="AH1393" s="199">
        <v>0</v>
      </c>
      <c r="AI1393" s="150">
        <v>0</v>
      </c>
      <c r="AJ1393" s="169">
        <f t="shared" si="1243"/>
        <v>0</v>
      </c>
      <c r="AK1393" s="201">
        <v>0</v>
      </c>
      <c r="AL1393" s="199">
        <v>0</v>
      </c>
      <c r="AM1393" s="150">
        <f t="shared" si="1264"/>
        <v>0</v>
      </c>
      <c r="AN1393" s="153">
        <f t="shared" si="1244"/>
        <v>0</v>
      </c>
      <c r="AO1393" s="154">
        <f t="shared" si="1245"/>
        <v>0</v>
      </c>
      <c r="AP1393" s="150">
        <v>0</v>
      </c>
      <c r="AQ1393" s="201">
        <v>0</v>
      </c>
      <c r="AR1393" s="199">
        <v>0</v>
      </c>
      <c r="AS1393" s="150">
        <f t="shared" si="1265"/>
        <v>0</v>
      </c>
      <c r="AT1393" s="155"/>
      <c r="AU1393" s="156">
        <f t="shared" si="1240"/>
        <v>0</v>
      </c>
      <c r="AV1393" s="156">
        <f t="shared" si="1241"/>
        <v>0</v>
      </c>
      <c r="AW1393" s="157"/>
      <c r="AX1393" s="150">
        <v>0</v>
      </c>
      <c r="AY1393" s="150">
        <v>0</v>
      </c>
      <c r="AZ1393" s="150">
        <f t="shared" si="1266"/>
        <v>0</v>
      </c>
      <c r="BA1393" s="150">
        <v>0</v>
      </c>
      <c r="BB1393" s="210"/>
      <c r="BC1393" s="210"/>
      <c r="BD1393" s="210"/>
      <c r="BE1393" s="210"/>
      <c r="BF1393" s="210"/>
      <c r="BG1393" s="210"/>
      <c r="BH1393" s="217"/>
      <c r="BI1393" s="210"/>
      <c r="BJ1393" s="210"/>
      <c r="BK1393" s="210"/>
      <c r="BL1393" s="210"/>
      <c r="BM1393" s="208"/>
      <c r="BN1393" s="160"/>
      <c r="BO1393" s="161"/>
      <c r="BP1393" s="161"/>
    </row>
    <row r="1394" spans="1:68" ht="51">
      <c r="A1394" s="210"/>
      <c r="B1394" s="195" t="s">
        <v>8412</v>
      </c>
      <c r="C1394" s="196" t="s">
        <v>8413</v>
      </c>
      <c r="D1394" s="146" t="s">
        <v>4692</v>
      </c>
      <c r="E1394" s="196" t="s">
        <v>8413</v>
      </c>
      <c r="F1394" s="150">
        <v>0</v>
      </c>
      <c r="G1394" s="209">
        <v>0</v>
      </c>
      <c r="H1394" s="209">
        <v>0</v>
      </c>
      <c r="I1394" s="209">
        <v>0</v>
      </c>
      <c r="J1394" s="150">
        <v>0</v>
      </c>
      <c r="K1394" s="150">
        <v>0</v>
      </c>
      <c r="L1394" s="150">
        <f t="shared" si="1267"/>
        <v>0</v>
      </c>
      <c r="M1394" s="150">
        <v>0</v>
      </c>
      <c r="N1394" s="150">
        <v>0</v>
      </c>
      <c r="O1394" s="150">
        <v>0</v>
      </c>
      <c r="P1394" s="150">
        <v>0</v>
      </c>
      <c r="Q1394" s="150">
        <v>0</v>
      </c>
      <c r="R1394" s="313">
        <f t="shared" si="1261"/>
        <v>0</v>
      </c>
      <c r="S1394" s="150">
        <f t="shared" si="1247"/>
        <v>0</v>
      </c>
      <c r="T1394" s="150">
        <v>0</v>
      </c>
      <c r="U1394" s="150">
        <v>0</v>
      </c>
      <c r="V1394" s="199">
        <v>0</v>
      </c>
      <c r="W1394" s="150">
        <f t="shared" si="1262"/>
        <v>0</v>
      </c>
      <c r="X1394" s="150">
        <v>0</v>
      </c>
      <c r="Y1394" s="150">
        <v>0</v>
      </c>
      <c r="Z1394" s="150">
        <v>0</v>
      </c>
      <c r="AA1394" s="150">
        <f t="shared" si="1242"/>
        <v>0</v>
      </c>
      <c r="AB1394" s="150">
        <v>0</v>
      </c>
      <c r="AC1394" s="199">
        <v>0</v>
      </c>
      <c r="AD1394" s="150">
        <f t="shared" si="1263"/>
        <v>0</v>
      </c>
      <c r="AE1394" s="150">
        <v>0</v>
      </c>
      <c r="AF1394" s="169" t="s">
        <v>4680</v>
      </c>
      <c r="AG1394" s="201">
        <v>0</v>
      </c>
      <c r="AH1394" s="199">
        <v>0</v>
      </c>
      <c r="AI1394" s="150">
        <v>0</v>
      </c>
      <c r="AJ1394" s="169">
        <f t="shared" si="1243"/>
        <v>0</v>
      </c>
      <c r="AK1394" s="201">
        <v>0</v>
      </c>
      <c r="AL1394" s="199">
        <v>0</v>
      </c>
      <c r="AM1394" s="150">
        <f t="shared" si="1264"/>
        <v>0</v>
      </c>
      <c r="AN1394" s="153">
        <f t="shared" si="1244"/>
        <v>0</v>
      </c>
      <c r="AO1394" s="154">
        <f t="shared" si="1245"/>
        <v>0</v>
      </c>
      <c r="AP1394" s="150">
        <v>0</v>
      </c>
      <c r="AQ1394" s="201">
        <v>0</v>
      </c>
      <c r="AR1394" s="199">
        <v>0</v>
      </c>
      <c r="AS1394" s="150">
        <f t="shared" si="1265"/>
        <v>0</v>
      </c>
      <c r="AT1394" s="155"/>
      <c r="AU1394" s="156">
        <f t="shared" si="1240"/>
        <v>0</v>
      </c>
      <c r="AV1394" s="156">
        <f t="shared" si="1241"/>
        <v>0</v>
      </c>
      <c r="AW1394" s="157"/>
      <c r="AX1394" s="150">
        <v>0</v>
      </c>
      <c r="AY1394" s="150">
        <v>0</v>
      </c>
      <c r="AZ1394" s="150">
        <f t="shared" si="1266"/>
        <v>0</v>
      </c>
      <c r="BA1394" s="150">
        <v>0</v>
      </c>
      <c r="BB1394" s="210"/>
      <c r="BC1394" s="210"/>
      <c r="BD1394" s="210"/>
      <c r="BE1394" s="210"/>
      <c r="BF1394" s="210"/>
      <c r="BG1394" s="210"/>
      <c r="BH1394" s="217"/>
      <c r="BI1394" s="210"/>
      <c r="BJ1394" s="210"/>
      <c r="BK1394" s="210"/>
      <c r="BL1394" s="210"/>
      <c r="BM1394" s="208"/>
      <c r="BN1394" s="160"/>
      <c r="BO1394" s="161"/>
      <c r="BP1394" s="161"/>
    </row>
    <row r="1395" spans="1:68" ht="51">
      <c r="A1395" s="210"/>
      <c r="B1395" s="195" t="s">
        <v>8414</v>
      </c>
      <c r="C1395" s="196" t="s">
        <v>8415</v>
      </c>
      <c r="D1395" s="146" t="s">
        <v>4692</v>
      </c>
      <c r="E1395" s="196" t="s">
        <v>8415</v>
      </c>
      <c r="F1395" s="150">
        <v>0</v>
      </c>
      <c r="G1395" s="209">
        <v>0</v>
      </c>
      <c r="H1395" s="209">
        <v>0</v>
      </c>
      <c r="I1395" s="209">
        <v>0</v>
      </c>
      <c r="J1395" s="150">
        <v>0</v>
      </c>
      <c r="K1395" s="150">
        <v>0</v>
      </c>
      <c r="L1395" s="150">
        <f t="shared" si="1267"/>
        <v>0</v>
      </c>
      <c r="M1395" s="150">
        <v>0</v>
      </c>
      <c r="N1395" s="150">
        <v>0</v>
      </c>
      <c r="O1395" s="150">
        <v>0</v>
      </c>
      <c r="P1395" s="150">
        <v>0</v>
      </c>
      <c r="Q1395" s="150">
        <v>0</v>
      </c>
      <c r="R1395" s="313">
        <f t="shared" si="1261"/>
        <v>0</v>
      </c>
      <c r="S1395" s="150">
        <f t="shared" si="1247"/>
        <v>0</v>
      </c>
      <c r="T1395" s="150">
        <v>0</v>
      </c>
      <c r="U1395" s="150">
        <v>0</v>
      </c>
      <c r="V1395" s="199">
        <v>0</v>
      </c>
      <c r="W1395" s="150">
        <f t="shared" si="1262"/>
        <v>0</v>
      </c>
      <c r="X1395" s="150">
        <v>0</v>
      </c>
      <c r="Y1395" s="150">
        <v>0</v>
      </c>
      <c r="Z1395" s="150">
        <v>0</v>
      </c>
      <c r="AA1395" s="150">
        <f t="shared" si="1242"/>
        <v>0</v>
      </c>
      <c r="AB1395" s="150">
        <v>0</v>
      </c>
      <c r="AC1395" s="199">
        <v>0</v>
      </c>
      <c r="AD1395" s="150">
        <f t="shared" si="1263"/>
        <v>0</v>
      </c>
      <c r="AE1395" s="150">
        <v>0</v>
      </c>
      <c r="AF1395" s="169" t="s">
        <v>4680</v>
      </c>
      <c r="AG1395" s="201">
        <v>0</v>
      </c>
      <c r="AH1395" s="199">
        <v>0</v>
      </c>
      <c r="AI1395" s="150">
        <v>0</v>
      </c>
      <c r="AJ1395" s="169">
        <f t="shared" si="1243"/>
        <v>0</v>
      </c>
      <c r="AK1395" s="201">
        <v>0</v>
      </c>
      <c r="AL1395" s="199">
        <v>0</v>
      </c>
      <c r="AM1395" s="150">
        <f t="shared" si="1264"/>
        <v>0</v>
      </c>
      <c r="AN1395" s="153">
        <f t="shared" si="1244"/>
        <v>0</v>
      </c>
      <c r="AO1395" s="154">
        <f t="shared" si="1245"/>
        <v>0</v>
      </c>
      <c r="AP1395" s="150">
        <v>0</v>
      </c>
      <c r="AQ1395" s="201">
        <v>0</v>
      </c>
      <c r="AR1395" s="199">
        <v>0</v>
      </c>
      <c r="AS1395" s="150">
        <f t="shared" si="1265"/>
        <v>0</v>
      </c>
      <c r="AT1395" s="155"/>
      <c r="AU1395" s="156">
        <f t="shared" si="1240"/>
        <v>0</v>
      </c>
      <c r="AV1395" s="156">
        <f t="shared" si="1241"/>
        <v>0</v>
      </c>
      <c r="AW1395" s="157"/>
      <c r="AX1395" s="150">
        <v>0</v>
      </c>
      <c r="AY1395" s="150">
        <v>0</v>
      </c>
      <c r="AZ1395" s="150">
        <f t="shared" si="1266"/>
        <v>0</v>
      </c>
      <c r="BA1395" s="150">
        <v>0</v>
      </c>
      <c r="BB1395" s="210"/>
      <c r="BC1395" s="210"/>
      <c r="BD1395" s="210"/>
      <c r="BE1395" s="210"/>
      <c r="BF1395" s="210"/>
      <c r="BG1395" s="210"/>
      <c r="BH1395" s="217"/>
      <c r="BI1395" s="210"/>
      <c r="BJ1395" s="210"/>
      <c r="BK1395" s="210"/>
      <c r="BL1395" s="210"/>
      <c r="BM1395" s="208"/>
      <c r="BN1395" s="160"/>
      <c r="BO1395" s="161"/>
      <c r="BP1395" s="161"/>
    </row>
    <row r="1396" spans="1:68" ht="38.25">
      <c r="A1396" s="210"/>
      <c r="B1396" s="195" t="s">
        <v>8416</v>
      </c>
      <c r="C1396" s="196" t="s">
        <v>8417</v>
      </c>
      <c r="D1396" s="146" t="s">
        <v>4692</v>
      </c>
      <c r="E1396" s="196" t="s">
        <v>8417</v>
      </c>
      <c r="F1396" s="150">
        <v>0</v>
      </c>
      <c r="G1396" s="209">
        <v>27075</v>
      </c>
      <c r="H1396" s="209">
        <v>0</v>
      </c>
      <c r="I1396" s="209">
        <v>27075</v>
      </c>
      <c r="J1396" s="150">
        <v>0</v>
      </c>
      <c r="K1396" s="150">
        <v>0</v>
      </c>
      <c r="L1396" s="150">
        <f t="shared" si="1267"/>
        <v>0</v>
      </c>
      <c r="M1396" s="150">
        <v>0</v>
      </c>
      <c r="N1396" s="150">
        <v>0</v>
      </c>
      <c r="O1396" s="150">
        <v>0</v>
      </c>
      <c r="P1396" s="150">
        <v>0</v>
      </c>
      <c r="Q1396" s="150">
        <v>0</v>
      </c>
      <c r="R1396" s="313">
        <f t="shared" si="1261"/>
        <v>0</v>
      </c>
      <c r="S1396" s="150">
        <f t="shared" si="1247"/>
        <v>0</v>
      </c>
      <c r="T1396" s="150">
        <v>0</v>
      </c>
      <c r="U1396" s="150">
        <v>0</v>
      </c>
      <c r="V1396" s="199">
        <v>0</v>
      </c>
      <c r="W1396" s="150">
        <f t="shared" si="1262"/>
        <v>0</v>
      </c>
      <c r="X1396" s="150">
        <v>0</v>
      </c>
      <c r="Y1396" s="150">
        <v>0</v>
      </c>
      <c r="Z1396" s="150">
        <v>0</v>
      </c>
      <c r="AA1396" s="150">
        <f t="shared" si="1242"/>
        <v>0</v>
      </c>
      <c r="AB1396" s="150">
        <v>0</v>
      </c>
      <c r="AC1396" s="199">
        <v>0</v>
      </c>
      <c r="AD1396" s="150">
        <f t="shared" si="1263"/>
        <v>0</v>
      </c>
      <c r="AE1396" s="150">
        <v>0</v>
      </c>
      <c r="AF1396" s="169" t="s">
        <v>4680</v>
      </c>
      <c r="AG1396" s="201">
        <v>0</v>
      </c>
      <c r="AH1396" s="199">
        <v>0</v>
      </c>
      <c r="AI1396" s="150">
        <v>0</v>
      </c>
      <c r="AJ1396" s="169">
        <f t="shared" si="1243"/>
        <v>0</v>
      </c>
      <c r="AK1396" s="201">
        <v>0</v>
      </c>
      <c r="AL1396" s="199">
        <v>0</v>
      </c>
      <c r="AM1396" s="150">
        <f t="shared" si="1264"/>
        <v>0</v>
      </c>
      <c r="AN1396" s="153">
        <f t="shared" si="1244"/>
        <v>0</v>
      </c>
      <c r="AO1396" s="154">
        <f t="shared" si="1245"/>
        <v>0</v>
      </c>
      <c r="AP1396" s="150">
        <v>0</v>
      </c>
      <c r="AQ1396" s="201">
        <v>0</v>
      </c>
      <c r="AR1396" s="199">
        <v>0</v>
      </c>
      <c r="AS1396" s="150">
        <f t="shared" si="1265"/>
        <v>0</v>
      </c>
      <c r="AT1396" s="155"/>
      <c r="AU1396" s="156">
        <f t="shared" si="1240"/>
        <v>0</v>
      </c>
      <c r="AV1396" s="156">
        <f t="shared" si="1241"/>
        <v>0</v>
      </c>
      <c r="AW1396" s="157"/>
      <c r="AX1396" s="150">
        <v>0</v>
      </c>
      <c r="AY1396" s="150">
        <v>0</v>
      </c>
      <c r="AZ1396" s="150">
        <f t="shared" si="1266"/>
        <v>0</v>
      </c>
      <c r="BA1396" s="150">
        <v>0</v>
      </c>
      <c r="BB1396" s="210"/>
      <c r="BC1396" s="210"/>
      <c r="BD1396" s="210"/>
      <c r="BE1396" s="210"/>
      <c r="BF1396" s="210"/>
      <c r="BG1396" s="210"/>
      <c r="BH1396" s="217"/>
      <c r="BI1396" s="210"/>
      <c r="BJ1396" s="210"/>
      <c r="BK1396" s="210"/>
      <c r="BL1396" s="210"/>
      <c r="BM1396" s="208"/>
      <c r="BN1396" s="160"/>
      <c r="BO1396" s="161"/>
      <c r="BP1396" s="161"/>
    </row>
    <row r="1397" spans="1:68" ht="63.75">
      <c r="A1397" s="210"/>
      <c r="B1397" s="195" t="s">
        <v>8418</v>
      </c>
      <c r="C1397" s="196" t="s">
        <v>8419</v>
      </c>
      <c r="D1397" s="146" t="s">
        <v>4692</v>
      </c>
      <c r="E1397" s="196" t="s">
        <v>8419</v>
      </c>
      <c r="F1397" s="150">
        <v>27075</v>
      </c>
      <c r="G1397" s="209">
        <v>0</v>
      </c>
      <c r="H1397" s="209">
        <v>0</v>
      </c>
      <c r="I1397" s="209">
        <v>0</v>
      </c>
      <c r="J1397" s="150">
        <v>0</v>
      </c>
      <c r="K1397" s="150">
        <v>0</v>
      </c>
      <c r="L1397" s="150">
        <f t="shared" si="1267"/>
        <v>0</v>
      </c>
      <c r="M1397" s="150">
        <v>492</v>
      </c>
      <c r="N1397" s="150">
        <v>0</v>
      </c>
      <c r="O1397" s="150">
        <v>492</v>
      </c>
      <c r="P1397" s="150">
        <v>36629.300000000003</v>
      </c>
      <c r="Q1397" s="150">
        <v>0</v>
      </c>
      <c r="R1397" s="313">
        <f t="shared" si="1261"/>
        <v>36629.300000000003</v>
      </c>
      <c r="S1397" s="150">
        <f t="shared" si="1247"/>
        <v>48839.066666666666</v>
      </c>
      <c r="T1397" s="150">
        <v>492</v>
      </c>
      <c r="U1397" s="309">
        <v>492</v>
      </c>
      <c r="V1397" s="199">
        <v>0</v>
      </c>
      <c r="W1397" s="150">
        <f t="shared" si="1262"/>
        <v>492</v>
      </c>
      <c r="X1397" s="150">
        <v>492</v>
      </c>
      <c r="Y1397" s="150">
        <v>0</v>
      </c>
      <c r="Z1397" s="150">
        <v>492</v>
      </c>
      <c r="AA1397" s="150">
        <f t="shared" si="1242"/>
        <v>0</v>
      </c>
      <c r="AB1397" s="150">
        <v>492</v>
      </c>
      <c r="AC1397" s="199">
        <v>0</v>
      </c>
      <c r="AD1397" s="150">
        <f t="shared" si="1263"/>
        <v>492</v>
      </c>
      <c r="AE1397" s="150">
        <v>492</v>
      </c>
      <c r="AF1397" s="169" t="s">
        <v>4680</v>
      </c>
      <c r="AG1397" s="201">
        <v>492</v>
      </c>
      <c r="AH1397" s="199">
        <v>0</v>
      </c>
      <c r="AI1397" s="150">
        <v>492</v>
      </c>
      <c r="AJ1397" s="169">
        <f t="shared" si="1243"/>
        <v>0</v>
      </c>
      <c r="AK1397" s="201">
        <v>492</v>
      </c>
      <c r="AL1397" s="199">
        <v>0</v>
      </c>
      <c r="AM1397" s="150">
        <f t="shared" si="1264"/>
        <v>492</v>
      </c>
      <c r="AN1397" s="153">
        <f t="shared" si="1244"/>
        <v>0</v>
      </c>
      <c r="AO1397" s="154">
        <f t="shared" si="1245"/>
        <v>0</v>
      </c>
      <c r="AP1397" s="309">
        <v>492</v>
      </c>
      <c r="AQ1397" s="201">
        <v>492</v>
      </c>
      <c r="AR1397" s="199"/>
      <c r="AS1397" s="150">
        <f t="shared" si="1265"/>
        <v>492</v>
      </c>
      <c r="AT1397" s="155"/>
      <c r="AU1397" s="156">
        <f t="shared" si="1240"/>
        <v>0</v>
      </c>
      <c r="AV1397" s="156">
        <f t="shared" si="1241"/>
        <v>0</v>
      </c>
      <c r="AW1397" s="157"/>
      <c r="AX1397" s="150">
        <v>492</v>
      </c>
      <c r="AY1397" s="150">
        <v>492</v>
      </c>
      <c r="AZ1397" s="150">
        <f t="shared" si="1266"/>
        <v>492</v>
      </c>
      <c r="BA1397" s="150">
        <v>984</v>
      </c>
      <c r="BB1397" s="210"/>
      <c r="BC1397" s="210"/>
      <c r="BD1397" s="210"/>
      <c r="BE1397" s="210"/>
      <c r="BF1397" s="210"/>
      <c r="BG1397" s="210"/>
      <c r="BH1397" s="217"/>
      <c r="BI1397" s="210"/>
      <c r="BJ1397" s="210"/>
      <c r="BK1397" s="210"/>
      <c r="BL1397" s="210"/>
      <c r="BM1397" s="208"/>
      <c r="BN1397" s="160"/>
      <c r="BO1397" s="161"/>
      <c r="BP1397" s="161"/>
    </row>
    <row r="1398" spans="1:68" ht="25.5">
      <c r="A1398" s="206" t="s">
        <v>571</v>
      </c>
      <c r="B1398" s="195" t="s">
        <v>8420</v>
      </c>
      <c r="C1398" s="196" t="s">
        <v>8421</v>
      </c>
      <c r="D1398" s="146" t="s">
        <v>4692</v>
      </c>
      <c r="E1398" s="196" t="s">
        <v>8421</v>
      </c>
      <c r="F1398" s="150">
        <v>0</v>
      </c>
      <c r="G1398" s="209">
        <v>1732782.7</v>
      </c>
      <c r="H1398" s="209">
        <v>416645.59469967021</v>
      </c>
      <c r="I1398" s="209">
        <v>2149428.2946996698</v>
      </c>
      <c r="J1398" s="150">
        <v>0</v>
      </c>
      <c r="K1398" s="150">
        <v>0</v>
      </c>
      <c r="L1398" s="150">
        <f t="shared" si="1267"/>
        <v>0</v>
      </c>
      <c r="M1398" s="150">
        <v>0</v>
      </c>
      <c r="N1398" s="150">
        <v>0</v>
      </c>
      <c r="O1398" s="150">
        <v>0</v>
      </c>
      <c r="P1398" s="150">
        <v>0</v>
      </c>
      <c r="Q1398" s="150">
        <v>0</v>
      </c>
      <c r="R1398" s="313">
        <f t="shared" si="1261"/>
        <v>0</v>
      </c>
      <c r="S1398" s="150">
        <f t="shared" si="1247"/>
        <v>0</v>
      </c>
      <c r="T1398" s="150">
        <v>0</v>
      </c>
      <c r="U1398" s="150">
        <v>0</v>
      </c>
      <c r="V1398" s="230"/>
      <c r="W1398" s="150">
        <f t="shared" si="1262"/>
        <v>0</v>
      </c>
      <c r="X1398" s="150">
        <v>0</v>
      </c>
      <c r="Y1398" s="150"/>
      <c r="Z1398" s="150">
        <v>0</v>
      </c>
      <c r="AA1398" s="150">
        <f t="shared" si="1242"/>
        <v>0</v>
      </c>
      <c r="AB1398" s="150">
        <v>0</v>
      </c>
      <c r="AC1398" s="230">
        <v>0</v>
      </c>
      <c r="AD1398" s="150">
        <f t="shared" si="1263"/>
        <v>0</v>
      </c>
      <c r="AE1398" s="150">
        <v>0</v>
      </c>
      <c r="AF1398" s="169" t="s">
        <v>4680</v>
      </c>
      <c r="AG1398" s="201">
        <v>0</v>
      </c>
      <c r="AH1398" s="230">
        <v>0</v>
      </c>
      <c r="AI1398" s="150">
        <v>0</v>
      </c>
      <c r="AJ1398" s="169">
        <f t="shared" si="1243"/>
        <v>0</v>
      </c>
      <c r="AK1398" s="201">
        <v>0</v>
      </c>
      <c r="AL1398" s="230">
        <v>0</v>
      </c>
      <c r="AM1398" s="150">
        <f t="shared" si="1264"/>
        <v>0</v>
      </c>
      <c r="AN1398" s="153">
        <f t="shared" si="1244"/>
        <v>0</v>
      </c>
      <c r="AO1398" s="154">
        <f t="shared" si="1245"/>
        <v>0</v>
      </c>
      <c r="AP1398" s="150">
        <v>0</v>
      </c>
      <c r="AQ1398" s="201">
        <v>0</v>
      </c>
      <c r="AR1398" s="199">
        <v>0</v>
      </c>
      <c r="AS1398" s="150">
        <f t="shared" si="1265"/>
        <v>0</v>
      </c>
      <c r="AT1398" s="155"/>
      <c r="AU1398" s="156">
        <f t="shared" si="1240"/>
        <v>0</v>
      </c>
      <c r="AV1398" s="156">
        <f t="shared" si="1241"/>
        <v>0</v>
      </c>
      <c r="AW1398" s="157"/>
      <c r="AX1398" s="150">
        <v>0</v>
      </c>
      <c r="AY1398" s="150">
        <v>0</v>
      </c>
      <c r="AZ1398" s="150">
        <f t="shared" si="1266"/>
        <v>0</v>
      </c>
      <c r="BA1398" s="150">
        <v>0</v>
      </c>
      <c r="BB1398" s="202">
        <v>5</v>
      </c>
      <c r="BC1398" s="202" t="s">
        <v>714</v>
      </c>
      <c r="BD1398" s="202" t="s">
        <v>632</v>
      </c>
      <c r="BE1398" s="202" t="s">
        <v>632</v>
      </c>
      <c r="BF1398" s="202" t="s">
        <v>1846</v>
      </c>
      <c r="BG1398" s="282" t="s">
        <v>8422</v>
      </c>
      <c r="BH1398" s="283">
        <f>AS1398</f>
        <v>0</v>
      </c>
      <c r="BI1398" s="205"/>
      <c r="BJ1398" s="206" t="s">
        <v>8423</v>
      </c>
      <c r="BK1398" s="206" t="s">
        <v>571</v>
      </c>
      <c r="BL1398" s="207" t="s">
        <v>8424</v>
      </c>
      <c r="BM1398" s="208">
        <f>BH1398</f>
        <v>0</v>
      </c>
      <c r="BN1398" s="160"/>
      <c r="BO1398" s="161"/>
      <c r="BP1398" s="161"/>
    </row>
    <row r="1399" spans="1:68" ht="25.5">
      <c r="A1399" s="256" t="s">
        <v>572</v>
      </c>
      <c r="B1399" s="184"/>
      <c r="C1399" s="185" t="s">
        <v>79</v>
      </c>
      <c r="D1399" s="146" t="s">
        <v>4692</v>
      </c>
      <c r="E1399" s="185" t="s">
        <v>79</v>
      </c>
      <c r="F1399" s="188">
        <v>2149428.7000000002</v>
      </c>
      <c r="G1399" s="187">
        <v>1000039.95</v>
      </c>
      <c r="H1399" s="187">
        <v>0</v>
      </c>
      <c r="I1399" s="187">
        <v>1000039.95</v>
      </c>
      <c r="J1399" s="188">
        <f>SUM(J1400:J1447)</f>
        <v>415211.57999999996</v>
      </c>
      <c r="K1399" s="188">
        <f>SUM(K1400:K1447)</f>
        <v>226106.30000000002</v>
      </c>
      <c r="L1399" s="188">
        <f t="shared" si="1267"/>
        <v>641317.88</v>
      </c>
      <c r="M1399" s="188">
        <v>848837.18000000017</v>
      </c>
      <c r="N1399" s="188">
        <v>316331.69629350503</v>
      </c>
      <c r="O1399" s="188">
        <v>1165168.8762935051</v>
      </c>
      <c r="P1399" s="299">
        <f t="shared" ref="P1399:AD1399" si="1269">SUM(P1400:P1447)</f>
        <v>1289320.4899999998</v>
      </c>
      <c r="Q1399" s="299">
        <f t="shared" si="1269"/>
        <v>476401.90707793861</v>
      </c>
      <c r="R1399" s="299">
        <f t="shared" si="1269"/>
        <v>1765722.397077939</v>
      </c>
      <c r="S1399" s="150">
        <f t="shared" si="1247"/>
        <v>2354296.5294372519</v>
      </c>
      <c r="T1399" s="347">
        <f>SUM(T1400:T1447)</f>
        <v>2497411.0300000003</v>
      </c>
      <c r="U1399" s="299">
        <f t="shared" ref="U1399:W1399" si="1270">SUM(U1400:U1447)</f>
        <v>1874372.5000000002</v>
      </c>
      <c r="V1399" s="226">
        <f t="shared" si="1270"/>
        <v>584872.51810372679</v>
      </c>
      <c r="W1399" s="299">
        <f t="shared" si="1270"/>
        <v>2459245.0181037267</v>
      </c>
      <c r="X1399" s="299">
        <v>1874372.5000000002</v>
      </c>
      <c r="Y1399" s="299">
        <v>584872.51810372679</v>
      </c>
      <c r="Z1399" s="299">
        <v>2459245.0181037267</v>
      </c>
      <c r="AA1399" s="299">
        <f t="shared" si="1242"/>
        <v>38166.012852267828</v>
      </c>
      <c r="AB1399" s="299">
        <v>1874372.5000000002</v>
      </c>
      <c r="AC1399" s="226">
        <v>623038.5309559938</v>
      </c>
      <c r="AD1399" s="299">
        <f t="shared" si="1269"/>
        <v>2497411.0309559945</v>
      </c>
      <c r="AE1399" s="299">
        <v>2497411.0309559945</v>
      </c>
      <c r="AF1399" s="169" t="s">
        <v>4680</v>
      </c>
      <c r="AG1399" s="301">
        <v>1874372.5000000002</v>
      </c>
      <c r="AH1399" s="226">
        <v>623038.5309559938</v>
      </c>
      <c r="AI1399" s="299">
        <v>2497411.0309559945</v>
      </c>
      <c r="AJ1399" s="169">
        <f t="shared" si="1243"/>
        <v>0</v>
      </c>
      <c r="AK1399" s="301">
        <v>1874372.5000000002</v>
      </c>
      <c r="AL1399" s="226">
        <v>623038.5309559938</v>
      </c>
      <c r="AM1399" s="299">
        <f t="shared" ref="AM1399" si="1271">SUM(AM1400:AM1447)</f>
        <v>2497411.0309559945</v>
      </c>
      <c r="AN1399" s="153">
        <f t="shared" si="1244"/>
        <v>-9.5599424093961716E-4</v>
      </c>
      <c r="AO1399" s="154">
        <f t="shared" si="1245"/>
        <v>-9.5599424093961716E-4</v>
      </c>
      <c r="AP1399" s="299">
        <v>2497411.0309559945</v>
      </c>
      <c r="AQ1399" s="301">
        <v>2497411.0300000003</v>
      </c>
      <c r="AR1399" s="226">
        <f t="shared" ref="AR1399:AS1399" si="1272">SUM(AR1400:AR1447)</f>
        <v>0</v>
      </c>
      <c r="AS1399" s="299">
        <f t="shared" si="1272"/>
        <v>2497411.0300000003</v>
      </c>
      <c r="AT1399" s="155"/>
      <c r="AU1399" s="156">
        <f t="shared" si="1240"/>
        <v>0</v>
      </c>
      <c r="AV1399" s="156">
        <f t="shared" si="1241"/>
        <v>38166.012852267828</v>
      </c>
      <c r="AW1399" s="157"/>
      <c r="AX1399" s="150">
        <v>2459245.0181037267</v>
      </c>
      <c r="AY1399" s="299">
        <f t="shared" ref="AY1399:BA1399" si="1273">SUM(AY1400:AY1447)</f>
        <v>998429.81</v>
      </c>
      <c r="AZ1399" s="299">
        <f t="shared" si="1273"/>
        <v>1398442.3525870098</v>
      </c>
      <c r="BA1399" s="299">
        <f t="shared" si="1273"/>
        <v>2396872.1625870094</v>
      </c>
      <c r="BB1399" s="192">
        <v>5</v>
      </c>
      <c r="BC1399" s="256" t="s">
        <v>714</v>
      </c>
      <c r="BD1399" s="256" t="s">
        <v>632</v>
      </c>
      <c r="BE1399" s="256" t="s">
        <v>647</v>
      </c>
      <c r="BF1399" s="256" t="s">
        <v>630</v>
      </c>
      <c r="BG1399" s="185" t="s">
        <v>79</v>
      </c>
      <c r="BH1399" s="302">
        <f>SUM(BH1400:BH1447)</f>
        <v>2497411.0300000003</v>
      </c>
      <c r="BI1399" s="192"/>
      <c r="BJ1399" s="256" t="s">
        <v>8425</v>
      </c>
      <c r="BK1399" s="256" t="s">
        <v>572</v>
      </c>
      <c r="BL1399" s="238" t="s">
        <v>8426</v>
      </c>
      <c r="BM1399" s="338">
        <f>BM1400+BM1401+BM1402+BM1403+BM1404+BM1410+BM1411+BM1412+BM1413+BM1419+BM1420+BM1421+BM1422+BM1423+BM1432+BM1433+BM1434+BM1435+BM1447</f>
        <v>2497411.0300000003</v>
      </c>
      <c r="BN1399" s="160"/>
      <c r="BO1399" s="161">
        <f t="shared" si="1268"/>
        <v>0</v>
      </c>
      <c r="BP1399" s="161"/>
    </row>
    <row r="1400" spans="1:68" ht="51">
      <c r="A1400" s="206" t="s">
        <v>573</v>
      </c>
      <c r="B1400" s="195" t="s">
        <v>8427</v>
      </c>
      <c r="C1400" s="196" t="s">
        <v>8428</v>
      </c>
      <c r="D1400" s="146" t="s">
        <v>4692</v>
      </c>
      <c r="E1400" s="196" t="s">
        <v>8428</v>
      </c>
      <c r="F1400" s="150">
        <v>1000039.95</v>
      </c>
      <c r="G1400" s="209">
        <v>145568.29</v>
      </c>
      <c r="H1400" s="209">
        <v>185953.26838258162</v>
      </c>
      <c r="I1400" s="209">
        <v>331521.55838258163</v>
      </c>
      <c r="J1400" s="150">
        <v>239419.99</v>
      </c>
      <c r="K1400" s="150">
        <v>100151.12000000001</v>
      </c>
      <c r="L1400" s="150">
        <f t="shared" si="1267"/>
        <v>339571.11</v>
      </c>
      <c r="M1400" s="150">
        <v>509057.05</v>
      </c>
      <c r="N1400" s="150">
        <v>53739.455911666679</v>
      </c>
      <c r="O1400" s="150">
        <v>562796.50591166667</v>
      </c>
      <c r="P1400" s="150">
        <v>787691.95</v>
      </c>
      <c r="Q1400" s="150">
        <v>63239.740000000005</v>
      </c>
      <c r="R1400" s="313">
        <f t="shared" ref="R1400:R1447" si="1274">P1400+Q1400</f>
        <v>850931.69</v>
      </c>
      <c r="S1400" s="150">
        <f t="shared" si="1247"/>
        <v>1134575.5866666667</v>
      </c>
      <c r="T1400" s="150">
        <v>1133985.97</v>
      </c>
      <c r="U1400" s="150">
        <v>1160729.19</v>
      </c>
      <c r="V1400" s="199">
        <v>-26743.22</v>
      </c>
      <c r="W1400" s="150">
        <f t="shared" ref="W1400:W1447" si="1275">U1400+V1400</f>
        <v>1133985.97</v>
      </c>
      <c r="X1400" s="150">
        <v>1160729.19</v>
      </c>
      <c r="Y1400" s="150">
        <v>-26743.22</v>
      </c>
      <c r="Z1400" s="150">
        <v>1133985.97</v>
      </c>
      <c r="AA1400" s="150">
        <f t="shared" si="1242"/>
        <v>0</v>
      </c>
      <c r="AB1400" s="150">
        <v>1160729.19</v>
      </c>
      <c r="AC1400" s="199">
        <v>-26743.22</v>
      </c>
      <c r="AD1400" s="150">
        <f t="shared" ref="AD1400:AD1447" si="1276">AB1400+AC1400</f>
        <v>1133985.97</v>
      </c>
      <c r="AE1400" s="150">
        <v>1133985.97</v>
      </c>
      <c r="AF1400" s="169" t="s">
        <v>4680</v>
      </c>
      <c r="AG1400" s="201">
        <v>1160729.19</v>
      </c>
      <c r="AH1400" s="199">
        <v>-26743.22</v>
      </c>
      <c r="AI1400" s="150">
        <v>1133985.97</v>
      </c>
      <c r="AJ1400" s="169">
        <f t="shared" si="1243"/>
        <v>0</v>
      </c>
      <c r="AK1400" s="201">
        <v>1160729.19</v>
      </c>
      <c r="AL1400" s="199">
        <v>-26743.22</v>
      </c>
      <c r="AM1400" s="150">
        <f t="shared" ref="AM1400:AM1447" si="1277">AK1400+AL1400</f>
        <v>1133985.97</v>
      </c>
      <c r="AN1400" s="153">
        <f t="shared" si="1244"/>
        <v>0</v>
      </c>
      <c r="AO1400" s="154">
        <f t="shared" si="1245"/>
        <v>0</v>
      </c>
      <c r="AP1400" s="150">
        <v>1133985.97</v>
      </c>
      <c r="AQ1400" s="201">
        <v>1133985.97</v>
      </c>
      <c r="AR1400" s="199"/>
      <c r="AS1400" s="150">
        <f t="shared" ref="AS1400:AS1447" si="1278">AQ1400+AR1400</f>
        <v>1133985.97</v>
      </c>
      <c r="AT1400" s="155"/>
      <c r="AU1400" s="156">
        <f t="shared" si="1240"/>
        <v>0</v>
      </c>
      <c r="AV1400" s="156">
        <f t="shared" si="1241"/>
        <v>0</v>
      </c>
      <c r="AW1400" s="157"/>
      <c r="AX1400" s="150">
        <v>1133985.97</v>
      </c>
      <c r="AY1400" s="150">
        <v>603108.54</v>
      </c>
      <c r="AZ1400" s="150">
        <f>BA1400-AY1400</f>
        <v>589018.88182333321</v>
      </c>
      <c r="BA1400" s="348">
        <v>1192127.4218233333</v>
      </c>
      <c r="BB1400" s="202">
        <v>5</v>
      </c>
      <c r="BC1400" s="202" t="s">
        <v>714</v>
      </c>
      <c r="BD1400" s="202" t="s">
        <v>632</v>
      </c>
      <c r="BE1400" s="202" t="s">
        <v>647</v>
      </c>
      <c r="BF1400" s="202" t="s">
        <v>632</v>
      </c>
      <c r="BG1400" s="231" t="s">
        <v>8429</v>
      </c>
      <c r="BH1400" s="216">
        <f>AS1400</f>
        <v>1133985.97</v>
      </c>
      <c r="BI1400" s="205"/>
      <c r="BJ1400" s="206" t="s">
        <v>8430</v>
      </c>
      <c r="BK1400" s="206" t="s">
        <v>573</v>
      </c>
      <c r="BL1400" s="207" t="s">
        <v>8431</v>
      </c>
      <c r="BM1400" s="208">
        <f>BH1400</f>
        <v>1133985.97</v>
      </c>
      <c r="BN1400" s="160"/>
      <c r="BO1400" s="161">
        <f t="shared" si="1268"/>
        <v>0</v>
      </c>
      <c r="BP1400" s="161"/>
    </row>
    <row r="1401" spans="1:68" ht="51">
      <c r="A1401" s="206" t="s">
        <v>573</v>
      </c>
      <c r="B1401" s="195" t="s">
        <v>8432</v>
      </c>
      <c r="C1401" s="196" t="s">
        <v>8433</v>
      </c>
      <c r="D1401" s="146" t="s">
        <v>4692</v>
      </c>
      <c r="E1401" s="196" t="s">
        <v>8433</v>
      </c>
      <c r="F1401" s="150">
        <v>331521.28999999998</v>
      </c>
      <c r="G1401" s="209">
        <v>10817.99</v>
      </c>
      <c r="H1401" s="209">
        <v>13542.544230171081</v>
      </c>
      <c r="I1401" s="209">
        <v>24360.534230171081</v>
      </c>
      <c r="J1401" s="150">
        <v>34009.660000000003</v>
      </c>
      <c r="K1401" s="150">
        <v>55290.880000000005</v>
      </c>
      <c r="L1401" s="150">
        <f t="shared" si="1267"/>
        <v>89300.540000000008</v>
      </c>
      <c r="M1401" s="150">
        <v>68954</v>
      </c>
      <c r="N1401" s="150">
        <v>115714.06672930124</v>
      </c>
      <c r="O1401" s="150">
        <v>184668.06672930124</v>
      </c>
      <c r="P1401" s="150">
        <v>106228.12</v>
      </c>
      <c r="Q1401" s="150">
        <v>168259.58886768299</v>
      </c>
      <c r="R1401" s="313">
        <f t="shared" si="1274"/>
        <v>274487.70886768296</v>
      </c>
      <c r="S1401" s="150">
        <f t="shared" si="1247"/>
        <v>365983.61182357732</v>
      </c>
      <c r="T1401" s="150">
        <v>439681.86</v>
      </c>
      <c r="U1401" s="150">
        <v>150267.35</v>
      </c>
      <c r="V1401" s="199">
        <v>285292.99309559935</v>
      </c>
      <c r="W1401" s="150">
        <f t="shared" si="1275"/>
        <v>435560.34309559932</v>
      </c>
      <c r="X1401" s="150">
        <v>150267.35</v>
      </c>
      <c r="Y1401" s="150">
        <v>285292.99309559935</v>
      </c>
      <c r="Z1401" s="150">
        <v>435560.34309559932</v>
      </c>
      <c r="AA1401" s="150">
        <f t="shared" si="1242"/>
        <v>4121.5169044006616</v>
      </c>
      <c r="AB1401" s="150">
        <v>150267.35</v>
      </c>
      <c r="AC1401" s="199">
        <v>289414.51</v>
      </c>
      <c r="AD1401" s="150">
        <f t="shared" si="1276"/>
        <v>439681.86</v>
      </c>
      <c r="AE1401" s="150">
        <v>439681.86</v>
      </c>
      <c r="AF1401" s="169" t="s">
        <v>4680</v>
      </c>
      <c r="AG1401" s="201">
        <v>150267.35</v>
      </c>
      <c r="AH1401" s="199">
        <v>289414.51</v>
      </c>
      <c r="AI1401" s="150">
        <v>439681.86</v>
      </c>
      <c r="AJ1401" s="169">
        <f t="shared" si="1243"/>
        <v>0</v>
      </c>
      <c r="AK1401" s="201">
        <v>150267.35</v>
      </c>
      <c r="AL1401" s="199">
        <v>289414.51</v>
      </c>
      <c r="AM1401" s="150">
        <f t="shared" si="1277"/>
        <v>439681.86</v>
      </c>
      <c r="AN1401" s="153">
        <f t="shared" si="1244"/>
        <v>0</v>
      </c>
      <c r="AO1401" s="154">
        <f t="shared" si="1245"/>
        <v>0</v>
      </c>
      <c r="AP1401" s="150">
        <v>439681.86</v>
      </c>
      <c r="AQ1401" s="201">
        <v>439681.86</v>
      </c>
      <c r="AR1401" s="199"/>
      <c r="AS1401" s="150">
        <f t="shared" si="1278"/>
        <v>439681.86</v>
      </c>
      <c r="AT1401" s="155"/>
      <c r="AU1401" s="156">
        <f t="shared" si="1240"/>
        <v>0</v>
      </c>
      <c r="AV1401" s="156">
        <f t="shared" si="1241"/>
        <v>4121.5169044006616</v>
      </c>
      <c r="AW1401" s="157"/>
      <c r="AX1401" s="150">
        <v>435560.34309559932</v>
      </c>
      <c r="AY1401" s="150">
        <v>81909.039999999994</v>
      </c>
      <c r="AZ1401" s="150">
        <f t="shared" ref="AZ1401:AZ1447" si="1279">BA1401-AY1401</f>
        <v>287427.0934586025</v>
      </c>
      <c r="BA1401" s="348">
        <v>369336.13345860248</v>
      </c>
      <c r="BB1401" s="202">
        <v>5</v>
      </c>
      <c r="BC1401" s="202" t="s">
        <v>714</v>
      </c>
      <c r="BD1401" s="202" t="s">
        <v>632</v>
      </c>
      <c r="BE1401" s="202" t="s">
        <v>647</v>
      </c>
      <c r="BF1401" s="202" t="s">
        <v>647</v>
      </c>
      <c r="BG1401" s="345" t="s">
        <v>8434</v>
      </c>
      <c r="BH1401" s="216">
        <f>AS1401</f>
        <v>439681.86</v>
      </c>
      <c r="BI1401" s="205"/>
      <c r="BJ1401" s="206" t="s">
        <v>8430</v>
      </c>
      <c r="BK1401" s="206" t="s">
        <v>573</v>
      </c>
      <c r="BL1401" s="207" t="s">
        <v>8431</v>
      </c>
      <c r="BM1401" s="208">
        <f>BH1401</f>
        <v>439681.86</v>
      </c>
      <c r="BN1401" s="160"/>
      <c r="BO1401" s="161">
        <f t="shared" si="1268"/>
        <v>0</v>
      </c>
      <c r="BP1401" s="161"/>
    </row>
    <row r="1402" spans="1:68" ht="51">
      <c r="A1402" s="206" t="s">
        <v>573</v>
      </c>
      <c r="B1402" s="195" t="s">
        <v>8435</v>
      </c>
      <c r="C1402" s="196" t="s">
        <v>8436</v>
      </c>
      <c r="D1402" s="146" t="s">
        <v>4692</v>
      </c>
      <c r="E1402" s="196" t="s">
        <v>8436</v>
      </c>
      <c r="F1402" s="150">
        <v>24360.99</v>
      </c>
      <c r="G1402" s="209">
        <v>28400</v>
      </c>
      <c r="H1402" s="209">
        <v>31892.081399688948</v>
      </c>
      <c r="I1402" s="209">
        <v>60292.081399688948</v>
      </c>
      <c r="J1402" s="150">
        <v>1183.83</v>
      </c>
      <c r="K1402" s="150">
        <v>13970.88</v>
      </c>
      <c r="L1402" s="150">
        <f t="shared" si="1267"/>
        <v>15154.71</v>
      </c>
      <c r="M1402" s="150">
        <v>4443.17</v>
      </c>
      <c r="N1402" s="150">
        <v>26895.849290076338</v>
      </c>
      <c r="O1402" s="150">
        <v>31339.019290076336</v>
      </c>
      <c r="P1402" s="150">
        <v>7513.28</v>
      </c>
      <c r="Q1402" s="150">
        <v>39068.545192889564</v>
      </c>
      <c r="R1402" s="313">
        <f t="shared" si="1274"/>
        <v>46581.825192889562</v>
      </c>
      <c r="S1402" s="150">
        <f t="shared" si="1247"/>
        <v>62109.100257186081</v>
      </c>
      <c r="T1402" s="150">
        <v>89968.45</v>
      </c>
      <c r="U1402" s="150">
        <v>11430.07</v>
      </c>
      <c r="V1402" s="199">
        <v>56800.629559939312</v>
      </c>
      <c r="W1402" s="150">
        <f t="shared" si="1275"/>
        <v>68230.699559939312</v>
      </c>
      <c r="X1402" s="150">
        <v>11430.07</v>
      </c>
      <c r="Y1402" s="150">
        <v>56800.629559939312</v>
      </c>
      <c r="Z1402" s="150">
        <v>68230.699559939312</v>
      </c>
      <c r="AA1402" s="150">
        <f t="shared" si="1242"/>
        <v>21737.750440060699</v>
      </c>
      <c r="AB1402" s="150">
        <v>11430.07</v>
      </c>
      <c r="AC1402" s="199">
        <v>78538.38</v>
      </c>
      <c r="AD1402" s="150">
        <f t="shared" si="1276"/>
        <v>89968.450000000012</v>
      </c>
      <c r="AE1402" s="150">
        <v>89968.450000000012</v>
      </c>
      <c r="AF1402" s="169" t="s">
        <v>4680</v>
      </c>
      <c r="AG1402" s="201">
        <v>11430.07</v>
      </c>
      <c r="AH1402" s="199">
        <v>78538.38</v>
      </c>
      <c r="AI1402" s="150">
        <v>89968.450000000012</v>
      </c>
      <c r="AJ1402" s="169">
        <f t="shared" si="1243"/>
        <v>0</v>
      </c>
      <c r="AK1402" s="201">
        <v>11430.07</v>
      </c>
      <c r="AL1402" s="199">
        <v>78538.38</v>
      </c>
      <c r="AM1402" s="150">
        <f t="shared" si="1277"/>
        <v>89968.450000000012</v>
      </c>
      <c r="AN1402" s="153">
        <f t="shared" si="1244"/>
        <v>0</v>
      </c>
      <c r="AO1402" s="154">
        <f t="shared" si="1245"/>
        <v>0</v>
      </c>
      <c r="AP1402" s="150">
        <v>89968.450000000012</v>
      </c>
      <c r="AQ1402" s="201">
        <v>89968.45</v>
      </c>
      <c r="AR1402" s="199"/>
      <c r="AS1402" s="150">
        <f t="shared" si="1278"/>
        <v>89968.45</v>
      </c>
      <c r="AT1402" s="155"/>
      <c r="AU1402" s="156">
        <f t="shared" si="1240"/>
        <v>0</v>
      </c>
      <c r="AV1402" s="156">
        <f t="shared" si="1241"/>
        <v>21737.750440060699</v>
      </c>
      <c r="AW1402" s="157"/>
      <c r="AX1402" s="150">
        <v>68230.699559939312</v>
      </c>
      <c r="AY1402" s="150">
        <v>5845.74</v>
      </c>
      <c r="AZ1402" s="150">
        <f t="shared" si="1279"/>
        <v>56832.298580152674</v>
      </c>
      <c r="BA1402" s="348">
        <v>62678.038580152672</v>
      </c>
      <c r="BB1402" s="202">
        <v>5</v>
      </c>
      <c r="BC1402" s="202" t="s">
        <v>714</v>
      </c>
      <c r="BD1402" s="202" t="s">
        <v>632</v>
      </c>
      <c r="BE1402" s="202" t="s">
        <v>647</v>
      </c>
      <c r="BF1402" s="202" t="s">
        <v>671</v>
      </c>
      <c r="BG1402" s="345" t="s">
        <v>8437</v>
      </c>
      <c r="BH1402" s="216">
        <f>AS1402</f>
        <v>89968.45</v>
      </c>
      <c r="BI1402" s="205"/>
      <c r="BJ1402" s="206" t="s">
        <v>8430</v>
      </c>
      <c r="BK1402" s="206" t="s">
        <v>573</v>
      </c>
      <c r="BL1402" s="207" t="s">
        <v>8431</v>
      </c>
      <c r="BM1402" s="208">
        <f>BH1402</f>
        <v>89968.45</v>
      </c>
      <c r="BN1402" s="160"/>
      <c r="BO1402" s="161">
        <f t="shared" si="1268"/>
        <v>0</v>
      </c>
      <c r="BP1402" s="161"/>
    </row>
    <row r="1403" spans="1:68" ht="51">
      <c r="A1403" s="206" t="s">
        <v>573</v>
      </c>
      <c r="B1403" s="195" t="s">
        <v>8438</v>
      </c>
      <c r="C1403" s="196" t="s">
        <v>8439</v>
      </c>
      <c r="D1403" s="146" t="s">
        <v>4692</v>
      </c>
      <c r="E1403" s="196" t="s">
        <v>8439</v>
      </c>
      <c r="F1403" s="150">
        <v>60292</v>
      </c>
      <c r="G1403" s="209">
        <v>0</v>
      </c>
      <c r="H1403" s="209">
        <v>0</v>
      </c>
      <c r="I1403" s="209">
        <v>0</v>
      </c>
      <c r="J1403" s="150">
        <v>0</v>
      </c>
      <c r="K1403" s="150">
        <v>17134.5</v>
      </c>
      <c r="L1403" s="150">
        <f t="shared" si="1267"/>
        <v>17134.5</v>
      </c>
      <c r="M1403" s="150">
        <v>0</v>
      </c>
      <c r="N1403" s="150">
        <v>35433.094007633583</v>
      </c>
      <c r="O1403" s="150">
        <v>35433.094007633583</v>
      </c>
      <c r="P1403" s="150">
        <v>0</v>
      </c>
      <c r="Q1403" s="150">
        <v>52667.193437972761</v>
      </c>
      <c r="R1403" s="313">
        <f t="shared" si="1274"/>
        <v>52667.193437972761</v>
      </c>
      <c r="S1403" s="150">
        <f t="shared" si="1247"/>
        <v>70222.924583963671</v>
      </c>
      <c r="T1403" s="150">
        <v>77144.240000000005</v>
      </c>
      <c r="U1403" s="150">
        <v>0</v>
      </c>
      <c r="V1403" s="199">
        <v>77144.23892261002</v>
      </c>
      <c r="W1403" s="150">
        <f t="shared" si="1275"/>
        <v>77144.23892261002</v>
      </c>
      <c r="X1403" s="150">
        <v>0</v>
      </c>
      <c r="Y1403" s="150">
        <v>77144.23892261002</v>
      </c>
      <c r="Z1403" s="150">
        <v>77144.23892261002</v>
      </c>
      <c r="AA1403" s="150">
        <f t="shared" si="1242"/>
        <v>0</v>
      </c>
      <c r="AB1403" s="150">
        <v>0</v>
      </c>
      <c r="AC1403" s="199">
        <v>77144.23892261002</v>
      </c>
      <c r="AD1403" s="150">
        <f t="shared" si="1276"/>
        <v>77144.23892261002</v>
      </c>
      <c r="AE1403" s="150">
        <v>77144.23892261002</v>
      </c>
      <c r="AF1403" s="169" t="s">
        <v>4680</v>
      </c>
      <c r="AG1403" s="201">
        <v>0</v>
      </c>
      <c r="AH1403" s="199">
        <v>77144.23892261002</v>
      </c>
      <c r="AI1403" s="150">
        <v>77144.23892261002</v>
      </c>
      <c r="AJ1403" s="169">
        <f t="shared" si="1243"/>
        <v>0</v>
      </c>
      <c r="AK1403" s="201">
        <v>0</v>
      </c>
      <c r="AL1403" s="199">
        <v>77144.23892261002</v>
      </c>
      <c r="AM1403" s="150">
        <f t="shared" si="1277"/>
        <v>77144.23892261002</v>
      </c>
      <c r="AN1403" s="153">
        <f t="shared" si="1244"/>
        <v>1.077389984857291E-3</v>
      </c>
      <c r="AO1403" s="154">
        <f t="shared" si="1245"/>
        <v>1.077389984857291E-3</v>
      </c>
      <c r="AP1403" s="150">
        <v>77144.23892261002</v>
      </c>
      <c r="AQ1403" s="201">
        <v>77144.240000000005</v>
      </c>
      <c r="AR1403" s="199"/>
      <c r="AS1403" s="150">
        <f t="shared" si="1278"/>
        <v>77144.240000000005</v>
      </c>
      <c r="AT1403" s="155"/>
      <c r="AU1403" s="156">
        <f t="shared" si="1240"/>
        <v>0</v>
      </c>
      <c r="AV1403" s="156">
        <f t="shared" si="1241"/>
        <v>0</v>
      </c>
      <c r="AW1403" s="157"/>
      <c r="AX1403" s="150">
        <v>77144.23892261002</v>
      </c>
      <c r="AY1403" s="150">
        <v>0</v>
      </c>
      <c r="AZ1403" s="150">
        <f t="shared" si="1279"/>
        <v>70866.188015267166</v>
      </c>
      <c r="BA1403" s="348">
        <v>70866.188015267166</v>
      </c>
      <c r="BB1403" s="202">
        <v>5</v>
      </c>
      <c r="BC1403" s="202" t="s">
        <v>714</v>
      </c>
      <c r="BD1403" s="202" t="s">
        <v>632</v>
      </c>
      <c r="BE1403" s="202" t="s">
        <v>647</v>
      </c>
      <c r="BF1403" s="202" t="s">
        <v>693</v>
      </c>
      <c r="BG1403" s="231" t="s">
        <v>8440</v>
      </c>
      <c r="BH1403" s="216">
        <f>AS1403</f>
        <v>77144.240000000005</v>
      </c>
      <c r="BI1403" s="205"/>
      <c r="BJ1403" s="206" t="s">
        <v>8430</v>
      </c>
      <c r="BK1403" s="206" t="s">
        <v>573</v>
      </c>
      <c r="BL1403" s="207" t="s">
        <v>8431</v>
      </c>
      <c r="BM1403" s="208">
        <f>BH1403</f>
        <v>77144.240000000005</v>
      </c>
      <c r="BN1403" s="160"/>
      <c r="BO1403" s="161">
        <f t="shared" si="1268"/>
        <v>0</v>
      </c>
      <c r="BP1403" s="161"/>
    </row>
    <row r="1404" spans="1:68" ht="38.25">
      <c r="A1404" s="206" t="s">
        <v>573</v>
      </c>
      <c r="B1404" s="195" t="s">
        <v>8441</v>
      </c>
      <c r="C1404" s="196" t="s">
        <v>8442</v>
      </c>
      <c r="D1404" s="146" t="s">
        <v>4692</v>
      </c>
      <c r="E1404" s="196" t="s">
        <v>8442</v>
      </c>
      <c r="F1404" s="150">
        <v>0</v>
      </c>
      <c r="G1404" s="209">
        <v>42528.63</v>
      </c>
      <c r="H1404" s="209">
        <v>0</v>
      </c>
      <c r="I1404" s="209">
        <v>42528.63</v>
      </c>
      <c r="J1404" s="150">
        <v>0</v>
      </c>
      <c r="K1404" s="150">
        <v>0</v>
      </c>
      <c r="L1404" s="150">
        <f t="shared" si="1267"/>
        <v>0</v>
      </c>
      <c r="M1404" s="150">
        <v>0</v>
      </c>
      <c r="N1404" s="150">
        <v>0</v>
      </c>
      <c r="O1404" s="150">
        <v>0</v>
      </c>
      <c r="P1404" s="150">
        <v>0</v>
      </c>
      <c r="Q1404" s="150">
        <v>0</v>
      </c>
      <c r="R1404" s="313">
        <f t="shared" si="1274"/>
        <v>0</v>
      </c>
      <c r="S1404" s="150">
        <f t="shared" si="1247"/>
        <v>0</v>
      </c>
      <c r="T1404" s="150">
        <v>0</v>
      </c>
      <c r="U1404" s="150">
        <v>0</v>
      </c>
      <c r="V1404" s="199">
        <v>0</v>
      </c>
      <c r="W1404" s="150">
        <f t="shared" si="1275"/>
        <v>0</v>
      </c>
      <c r="X1404" s="150">
        <v>0</v>
      </c>
      <c r="Y1404" s="150">
        <v>0</v>
      </c>
      <c r="Z1404" s="150">
        <v>0</v>
      </c>
      <c r="AA1404" s="150">
        <f t="shared" si="1242"/>
        <v>0</v>
      </c>
      <c r="AB1404" s="150">
        <v>0</v>
      </c>
      <c r="AC1404" s="199">
        <v>0</v>
      </c>
      <c r="AD1404" s="150">
        <f t="shared" si="1276"/>
        <v>0</v>
      </c>
      <c r="AE1404" s="150">
        <v>0</v>
      </c>
      <c r="AF1404" s="169" t="s">
        <v>4680</v>
      </c>
      <c r="AG1404" s="201">
        <v>0</v>
      </c>
      <c r="AH1404" s="199">
        <v>0</v>
      </c>
      <c r="AI1404" s="150">
        <v>0</v>
      </c>
      <c r="AJ1404" s="169">
        <f t="shared" si="1243"/>
        <v>0</v>
      </c>
      <c r="AK1404" s="201">
        <v>0</v>
      </c>
      <c r="AL1404" s="199">
        <v>0</v>
      </c>
      <c r="AM1404" s="150">
        <f t="shared" si="1277"/>
        <v>0</v>
      </c>
      <c r="AN1404" s="153">
        <f t="shared" si="1244"/>
        <v>0</v>
      </c>
      <c r="AO1404" s="154">
        <f t="shared" si="1245"/>
        <v>0</v>
      </c>
      <c r="AP1404" s="150">
        <v>0</v>
      </c>
      <c r="AQ1404" s="201">
        <v>0</v>
      </c>
      <c r="AR1404" s="199"/>
      <c r="AS1404" s="150">
        <f t="shared" si="1278"/>
        <v>0</v>
      </c>
      <c r="AT1404" s="155"/>
      <c r="AU1404" s="156">
        <f t="shared" si="1240"/>
        <v>0</v>
      </c>
      <c r="AV1404" s="156">
        <f t="shared" si="1241"/>
        <v>0</v>
      </c>
      <c r="AW1404" s="157"/>
      <c r="AX1404" s="150">
        <v>0</v>
      </c>
      <c r="AY1404" s="150">
        <v>0</v>
      </c>
      <c r="AZ1404" s="150">
        <f t="shared" si="1279"/>
        <v>0</v>
      </c>
      <c r="BA1404" s="348">
        <v>0</v>
      </c>
      <c r="BB1404" s="202">
        <v>5</v>
      </c>
      <c r="BC1404" s="202" t="s">
        <v>714</v>
      </c>
      <c r="BD1404" s="202" t="s">
        <v>632</v>
      </c>
      <c r="BE1404" s="202" t="s">
        <v>647</v>
      </c>
      <c r="BF1404" s="202" t="s">
        <v>714</v>
      </c>
      <c r="BG1404" s="231" t="s">
        <v>8443</v>
      </c>
      <c r="BH1404" s="216">
        <f>SUM(AS1404:AS1409)</f>
        <v>482613.14</v>
      </c>
      <c r="BI1404" s="205"/>
      <c r="BJ1404" s="206" t="s">
        <v>8430</v>
      </c>
      <c r="BK1404" s="206" t="s">
        <v>573</v>
      </c>
      <c r="BL1404" s="207" t="s">
        <v>8431</v>
      </c>
      <c r="BM1404" s="208">
        <f>BH1404</f>
        <v>482613.14</v>
      </c>
      <c r="BN1404" s="160"/>
      <c r="BO1404" s="161"/>
      <c r="BP1404" s="161"/>
    </row>
    <row r="1405" spans="1:68" ht="38.25">
      <c r="A1405" s="210"/>
      <c r="B1405" s="195" t="s">
        <v>8444</v>
      </c>
      <c r="C1405" s="196" t="s">
        <v>8445</v>
      </c>
      <c r="D1405" s="146" t="s">
        <v>4692</v>
      </c>
      <c r="E1405" s="196" t="s">
        <v>8445</v>
      </c>
      <c r="F1405" s="150">
        <v>42528.63</v>
      </c>
      <c r="G1405" s="209">
        <v>0</v>
      </c>
      <c r="H1405" s="209">
        <v>0</v>
      </c>
      <c r="I1405" s="209">
        <v>0</v>
      </c>
      <c r="J1405" s="150">
        <v>10233.450000000001</v>
      </c>
      <c r="K1405" s="150">
        <v>0</v>
      </c>
      <c r="L1405" s="150">
        <f t="shared" si="1267"/>
        <v>10233.450000000001</v>
      </c>
      <c r="M1405" s="150">
        <v>21894.02</v>
      </c>
      <c r="N1405" s="150">
        <v>0</v>
      </c>
      <c r="O1405" s="150">
        <v>21894.02</v>
      </c>
      <c r="P1405" s="150">
        <v>34124.58</v>
      </c>
      <c r="Q1405" s="150">
        <v>61918.967740043045</v>
      </c>
      <c r="R1405" s="313">
        <f t="shared" si="1274"/>
        <v>96043.547740043054</v>
      </c>
      <c r="S1405" s="150">
        <f t="shared" si="1247"/>
        <v>128058.06365339074</v>
      </c>
      <c r="T1405" s="150">
        <v>157601.69</v>
      </c>
      <c r="U1405" s="150">
        <v>50468.53</v>
      </c>
      <c r="V1405" s="199">
        <v>100859.95816075263</v>
      </c>
      <c r="W1405" s="150">
        <f t="shared" si="1275"/>
        <v>151328.48816075263</v>
      </c>
      <c r="X1405" s="150">
        <v>50468.53</v>
      </c>
      <c r="Y1405" s="150">
        <v>100859.95816075263</v>
      </c>
      <c r="Z1405" s="150">
        <v>151328.48816075263</v>
      </c>
      <c r="AA1405" s="150">
        <f t="shared" si="1242"/>
        <v>6273.2018392473692</v>
      </c>
      <c r="AB1405" s="150">
        <v>50468.53</v>
      </c>
      <c r="AC1405" s="199">
        <v>107133.16</v>
      </c>
      <c r="AD1405" s="150">
        <f t="shared" si="1276"/>
        <v>157601.69</v>
      </c>
      <c r="AE1405" s="150">
        <v>157601.69</v>
      </c>
      <c r="AF1405" s="169" t="s">
        <v>4680</v>
      </c>
      <c r="AG1405" s="201">
        <v>50468.53</v>
      </c>
      <c r="AH1405" s="199">
        <v>107133.16</v>
      </c>
      <c r="AI1405" s="150">
        <v>157601.69</v>
      </c>
      <c r="AJ1405" s="169">
        <f t="shared" si="1243"/>
        <v>0</v>
      </c>
      <c r="AK1405" s="201">
        <v>50468.53</v>
      </c>
      <c r="AL1405" s="199">
        <v>107133.16</v>
      </c>
      <c r="AM1405" s="150">
        <f t="shared" si="1277"/>
        <v>157601.69</v>
      </c>
      <c r="AN1405" s="153">
        <f t="shared" si="1244"/>
        <v>0</v>
      </c>
      <c r="AO1405" s="154">
        <f t="shared" si="1245"/>
        <v>0</v>
      </c>
      <c r="AP1405" s="150">
        <v>157601.69</v>
      </c>
      <c r="AQ1405" s="201">
        <v>157601.69</v>
      </c>
      <c r="AR1405" s="199"/>
      <c r="AS1405" s="150">
        <f t="shared" si="1278"/>
        <v>157601.69</v>
      </c>
      <c r="AT1405" s="155"/>
      <c r="AU1405" s="156">
        <f t="shared" si="1240"/>
        <v>0</v>
      </c>
      <c r="AV1405" s="156">
        <f t="shared" si="1241"/>
        <v>6273.2018392473692</v>
      </c>
      <c r="AW1405" s="157"/>
      <c r="AX1405" s="150">
        <v>151328.48816075263</v>
      </c>
      <c r="AY1405" s="150">
        <v>26022.51</v>
      </c>
      <c r="AZ1405" s="150">
        <f t="shared" si="1279"/>
        <v>17765.530000000002</v>
      </c>
      <c r="BA1405" s="348">
        <v>43788.04</v>
      </c>
      <c r="BB1405" s="210"/>
      <c r="BC1405" s="210"/>
      <c r="BD1405" s="210"/>
      <c r="BE1405" s="210"/>
      <c r="BF1405" s="210"/>
      <c r="BG1405" s="210"/>
      <c r="BH1405" s="217"/>
      <c r="BI1405" s="210"/>
      <c r="BJ1405" s="210"/>
      <c r="BK1405" s="210"/>
      <c r="BL1405" s="210"/>
      <c r="BM1405" s="208"/>
      <c r="BN1405" s="160"/>
      <c r="BO1405" s="161"/>
      <c r="BP1405" s="161"/>
    </row>
    <row r="1406" spans="1:68" ht="25.5">
      <c r="A1406" s="210"/>
      <c r="B1406" s="195" t="s">
        <v>8446</v>
      </c>
      <c r="C1406" s="196" t="s">
        <v>8447</v>
      </c>
      <c r="D1406" s="146" t="s">
        <v>4692</v>
      </c>
      <c r="E1406" s="196" t="s">
        <v>8447</v>
      </c>
      <c r="F1406" s="150">
        <v>0</v>
      </c>
      <c r="G1406" s="209">
        <v>1.1000000000000001</v>
      </c>
      <c r="H1406" s="209">
        <v>0</v>
      </c>
      <c r="I1406" s="209">
        <v>1.1000000000000001</v>
      </c>
      <c r="J1406" s="150">
        <v>0</v>
      </c>
      <c r="K1406" s="150">
        <v>0</v>
      </c>
      <c r="L1406" s="150">
        <f t="shared" si="1267"/>
        <v>0</v>
      </c>
      <c r="M1406" s="150">
        <v>0</v>
      </c>
      <c r="N1406" s="150">
        <v>0</v>
      </c>
      <c r="O1406" s="150">
        <v>0</v>
      </c>
      <c r="P1406" s="150">
        <v>0</v>
      </c>
      <c r="Q1406" s="150">
        <v>0</v>
      </c>
      <c r="R1406" s="313">
        <f t="shared" si="1274"/>
        <v>0</v>
      </c>
      <c r="S1406" s="150">
        <f t="shared" si="1247"/>
        <v>0</v>
      </c>
      <c r="T1406" s="150">
        <v>0</v>
      </c>
      <c r="U1406" s="150">
        <v>0</v>
      </c>
      <c r="V1406" s="199">
        <v>0</v>
      </c>
      <c r="W1406" s="150">
        <f t="shared" si="1275"/>
        <v>0</v>
      </c>
      <c r="X1406" s="150">
        <v>0</v>
      </c>
      <c r="Y1406" s="150">
        <v>0</v>
      </c>
      <c r="Z1406" s="150">
        <v>0</v>
      </c>
      <c r="AA1406" s="150">
        <f t="shared" si="1242"/>
        <v>0</v>
      </c>
      <c r="AB1406" s="150">
        <v>0</v>
      </c>
      <c r="AC1406" s="199">
        <v>0</v>
      </c>
      <c r="AD1406" s="150">
        <f t="shared" si="1276"/>
        <v>0</v>
      </c>
      <c r="AE1406" s="150">
        <v>0</v>
      </c>
      <c r="AF1406" s="169" t="s">
        <v>4680</v>
      </c>
      <c r="AG1406" s="201">
        <v>0</v>
      </c>
      <c r="AH1406" s="199">
        <v>0</v>
      </c>
      <c r="AI1406" s="150">
        <v>0</v>
      </c>
      <c r="AJ1406" s="169">
        <f t="shared" si="1243"/>
        <v>0</v>
      </c>
      <c r="AK1406" s="201">
        <v>0</v>
      </c>
      <c r="AL1406" s="199">
        <v>0</v>
      </c>
      <c r="AM1406" s="150">
        <f t="shared" si="1277"/>
        <v>0</v>
      </c>
      <c r="AN1406" s="153">
        <f t="shared" si="1244"/>
        <v>0</v>
      </c>
      <c r="AO1406" s="154">
        <f t="shared" si="1245"/>
        <v>0</v>
      </c>
      <c r="AP1406" s="150">
        <v>0</v>
      </c>
      <c r="AQ1406" s="201">
        <v>0</v>
      </c>
      <c r="AR1406" s="199"/>
      <c r="AS1406" s="150">
        <f t="shared" si="1278"/>
        <v>0</v>
      </c>
      <c r="AT1406" s="155"/>
      <c r="AU1406" s="156">
        <f t="shared" si="1240"/>
        <v>0</v>
      </c>
      <c r="AV1406" s="156">
        <f t="shared" si="1241"/>
        <v>0</v>
      </c>
      <c r="AW1406" s="157"/>
      <c r="AX1406" s="150">
        <v>0</v>
      </c>
      <c r="AY1406" s="150">
        <v>0</v>
      </c>
      <c r="AZ1406" s="150">
        <f t="shared" si="1279"/>
        <v>0</v>
      </c>
      <c r="BA1406" s="348">
        <v>0</v>
      </c>
      <c r="BB1406" s="210"/>
      <c r="BC1406" s="210"/>
      <c r="BD1406" s="210"/>
      <c r="BE1406" s="210"/>
      <c r="BF1406" s="210"/>
      <c r="BG1406" s="210"/>
      <c r="BH1406" s="217"/>
      <c r="BI1406" s="210"/>
      <c r="BJ1406" s="210"/>
      <c r="BK1406" s="210"/>
      <c r="BL1406" s="210"/>
      <c r="BM1406" s="208"/>
      <c r="BN1406" s="160"/>
      <c r="BO1406" s="161"/>
      <c r="BP1406" s="161"/>
    </row>
    <row r="1407" spans="1:68" ht="38.25">
      <c r="A1407" s="210"/>
      <c r="B1407" s="195" t="s">
        <v>8448</v>
      </c>
      <c r="C1407" s="196" t="s">
        <v>8449</v>
      </c>
      <c r="D1407" s="146" t="s">
        <v>4692</v>
      </c>
      <c r="E1407" s="196" t="s">
        <v>8449</v>
      </c>
      <c r="F1407" s="150">
        <v>1.1000000000000001</v>
      </c>
      <c r="G1407" s="209">
        <v>0</v>
      </c>
      <c r="H1407" s="209">
        <v>6059.4</v>
      </c>
      <c r="I1407" s="209">
        <v>6059.4</v>
      </c>
      <c r="J1407" s="150">
        <v>0</v>
      </c>
      <c r="K1407" s="150">
        <v>0</v>
      </c>
      <c r="L1407" s="150">
        <f t="shared" si="1267"/>
        <v>0</v>
      </c>
      <c r="M1407" s="150">
        <v>0</v>
      </c>
      <c r="N1407" s="150">
        <v>0</v>
      </c>
      <c r="O1407" s="150">
        <v>0</v>
      </c>
      <c r="P1407" s="150">
        <v>0.12</v>
      </c>
      <c r="Q1407" s="150">
        <v>0</v>
      </c>
      <c r="R1407" s="313">
        <f t="shared" si="1274"/>
        <v>0.12</v>
      </c>
      <c r="S1407" s="150">
        <f t="shared" si="1247"/>
        <v>0.15999999999999998</v>
      </c>
      <c r="T1407" s="150">
        <v>1.18</v>
      </c>
      <c r="U1407" s="150">
        <v>1.18</v>
      </c>
      <c r="V1407" s="199">
        <v>0</v>
      </c>
      <c r="W1407" s="150">
        <f t="shared" si="1275"/>
        <v>1.18</v>
      </c>
      <c r="X1407" s="150">
        <v>1.18</v>
      </c>
      <c r="Y1407" s="150">
        <v>0</v>
      </c>
      <c r="Z1407" s="150">
        <v>1.18</v>
      </c>
      <c r="AA1407" s="150">
        <f t="shared" si="1242"/>
        <v>0</v>
      </c>
      <c r="AB1407" s="150">
        <v>1.18</v>
      </c>
      <c r="AC1407" s="199">
        <v>0</v>
      </c>
      <c r="AD1407" s="150">
        <f t="shared" si="1276"/>
        <v>1.18</v>
      </c>
      <c r="AE1407" s="150">
        <v>1.18</v>
      </c>
      <c r="AF1407" s="169" t="s">
        <v>4680</v>
      </c>
      <c r="AG1407" s="201">
        <v>1.18</v>
      </c>
      <c r="AH1407" s="199">
        <v>0</v>
      </c>
      <c r="AI1407" s="150">
        <v>1.18</v>
      </c>
      <c r="AJ1407" s="169">
        <f t="shared" si="1243"/>
        <v>0</v>
      </c>
      <c r="AK1407" s="201">
        <v>1.18</v>
      </c>
      <c r="AL1407" s="199">
        <v>0</v>
      </c>
      <c r="AM1407" s="150">
        <f t="shared" si="1277"/>
        <v>1.18</v>
      </c>
      <c r="AN1407" s="153">
        <f t="shared" si="1244"/>
        <v>0</v>
      </c>
      <c r="AO1407" s="154">
        <f t="shared" si="1245"/>
        <v>0</v>
      </c>
      <c r="AP1407" s="150">
        <v>1.18</v>
      </c>
      <c r="AQ1407" s="201">
        <v>1.18</v>
      </c>
      <c r="AR1407" s="199"/>
      <c r="AS1407" s="150">
        <f t="shared" si="1278"/>
        <v>1.18</v>
      </c>
      <c r="AT1407" s="155"/>
      <c r="AU1407" s="156">
        <f t="shared" si="1240"/>
        <v>0</v>
      </c>
      <c r="AV1407" s="156">
        <f t="shared" si="1241"/>
        <v>0</v>
      </c>
      <c r="AW1407" s="157"/>
      <c r="AX1407" s="150">
        <v>1.18</v>
      </c>
      <c r="AY1407" s="150">
        <v>0</v>
      </c>
      <c r="AZ1407" s="150">
        <f t="shared" si="1279"/>
        <v>0</v>
      </c>
      <c r="BA1407" s="348">
        <v>0</v>
      </c>
      <c r="BB1407" s="210"/>
      <c r="BC1407" s="210"/>
      <c r="BD1407" s="210"/>
      <c r="BE1407" s="210"/>
      <c r="BF1407" s="210"/>
      <c r="BG1407" s="210"/>
      <c r="BH1407" s="217"/>
      <c r="BI1407" s="210"/>
      <c r="BJ1407" s="210"/>
      <c r="BK1407" s="210"/>
      <c r="BL1407" s="210"/>
      <c r="BM1407" s="208"/>
      <c r="BN1407" s="160"/>
      <c r="BO1407" s="161"/>
      <c r="BP1407" s="161"/>
    </row>
    <row r="1408" spans="1:68" ht="25.5">
      <c r="A1408" s="210"/>
      <c r="B1408" s="195" t="s">
        <v>8450</v>
      </c>
      <c r="C1408" s="196" t="s">
        <v>8451</v>
      </c>
      <c r="D1408" s="146" t="s">
        <v>4692</v>
      </c>
      <c r="E1408" s="196" t="s">
        <v>8451</v>
      </c>
      <c r="F1408" s="150">
        <v>6059</v>
      </c>
      <c r="G1408" s="209">
        <v>347780.73</v>
      </c>
      <c r="H1408" s="209">
        <v>60425.772904379453</v>
      </c>
      <c r="I1408" s="209">
        <v>408206.50290437945</v>
      </c>
      <c r="J1408" s="150">
        <v>0</v>
      </c>
      <c r="K1408" s="150">
        <v>1514.85</v>
      </c>
      <c r="L1408" s="150">
        <f t="shared" si="1267"/>
        <v>1514.85</v>
      </c>
      <c r="M1408" s="150">
        <v>0</v>
      </c>
      <c r="N1408" s="150">
        <v>3029.5</v>
      </c>
      <c r="O1408" s="150">
        <v>3029.5</v>
      </c>
      <c r="P1408" s="150">
        <v>0</v>
      </c>
      <c r="Q1408" s="150">
        <v>0</v>
      </c>
      <c r="R1408" s="313">
        <f t="shared" si="1274"/>
        <v>0</v>
      </c>
      <c r="S1408" s="150">
        <f t="shared" si="1247"/>
        <v>0</v>
      </c>
      <c r="T1408" s="150">
        <v>8852.94</v>
      </c>
      <c r="U1408" s="150">
        <v>0</v>
      </c>
      <c r="V1408" s="199">
        <v>8852.94</v>
      </c>
      <c r="W1408" s="150">
        <f t="shared" si="1275"/>
        <v>8852.94</v>
      </c>
      <c r="X1408" s="150">
        <v>0</v>
      </c>
      <c r="Y1408" s="150">
        <v>8852.94</v>
      </c>
      <c r="Z1408" s="150">
        <v>8852.94</v>
      </c>
      <c r="AA1408" s="150">
        <f t="shared" si="1242"/>
        <v>0</v>
      </c>
      <c r="AB1408" s="150">
        <v>0</v>
      </c>
      <c r="AC1408" s="199">
        <v>8852.94</v>
      </c>
      <c r="AD1408" s="150">
        <f t="shared" si="1276"/>
        <v>8852.94</v>
      </c>
      <c r="AE1408" s="150">
        <v>8852.94</v>
      </c>
      <c r="AF1408" s="169" t="s">
        <v>4680</v>
      </c>
      <c r="AG1408" s="201">
        <v>0</v>
      </c>
      <c r="AH1408" s="199">
        <v>8852.94</v>
      </c>
      <c r="AI1408" s="150">
        <v>8852.94</v>
      </c>
      <c r="AJ1408" s="169">
        <f t="shared" si="1243"/>
        <v>0</v>
      </c>
      <c r="AK1408" s="201">
        <v>0</v>
      </c>
      <c r="AL1408" s="199">
        <v>8852.94</v>
      </c>
      <c r="AM1408" s="150">
        <f t="shared" si="1277"/>
        <v>8852.94</v>
      </c>
      <c r="AN1408" s="153">
        <f t="shared" si="1244"/>
        <v>0</v>
      </c>
      <c r="AO1408" s="154">
        <f t="shared" si="1245"/>
        <v>0</v>
      </c>
      <c r="AP1408" s="150">
        <v>8852.94</v>
      </c>
      <c r="AQ1408" s="201">
        <v>8852.94</v>
      </c>
      <c r="AR1408" s="199"/>
      <c r="AS1408" s="150">
        <f t="shared" si="1278"/>
        <v>8852.94</v>
      </c>
      <c r="AT1408" s="155"/>
      <c r="AU1408" s="156">
        <f t="shared" si="1240"/>
        <v>0</v>
      </c>
      <c r="AV1408" s="156">
        <f t="shared" si="1241"/>
        <v>0</v>
      </c>
      <c r="AW1408" s="157"/>
      <c r="AX1408" s="150">
        <v>8852.94</v>
      </c>
      <c r="AY1408" s="150">
        <v>0</v>
      </c>
      <c r="AZ1408" s="150">
        <f t="shared" si="1279"/>
        <v>6059</v>
      </c>
      <c r="BA1408" s="348">
        <v>6059</v>
      </c>
      <c r="BB1408" s="210"/>
      <c r="BC1408" s="210"/>
      <c r="BD1408" s="210"/>
      <c r="BE1408" s="210"/>
      <c r="BF1408" s="210"/>
      <c r="BG1408" s="210"/>
      <c r="BH1408" s="217"/>
      <c r="BI1408" s="210"/>
      <c r="BJ1408" s="210"/>
      <c r="BK1408" s="210"/>
      <c r="BL1408" s="210"/>
      <c r="BM1408" s="208"/>
      <c r="BN1408" s="160"/>
      <c r="BO1408" s="161"/>
      <c r="BP1408" s="161"/>
    </row>
    <row r="1409" spans="1:68" ht="38.25">
      <c r="A1409" s="210"/>
      <c r="B1409" s="195" t="s">
        <v>8452</v>
      </c>
      <c r="C1409" s="196" t="s">
        <v>8453</v>
      </c>
      <c r="D1409" s="146" t="s">
        <v>4692</v>
      </c>
      <c r="E1409" s="196" t="s">
        <v>8453</v>
      </c>
      <c r="F1409" s="150">
        <v>408206.73</v>
      </c>
      <c r="G1409" s="209">
        <v>0</v>
      </c>
      <c r="H1409" s="209">
        <v>0</v>
      </c>
      <c r="I1409" s="209">
        <v>0</v>
      </c>
      <c r="J1409" s="150">
        <v>65501.04</v>
      </c>
      <c r="K1409" s="150">
        <v>20708.7</v>
      </c>
      <c r="L1409" s="150">
        <f t="shared" si="1267"/>
        <v>86209.74</v>
      </c>
      <c r="M1409" s="150">
        <v>139053.01</v>
      </c>
      <c r="N1409" s="150">
        <v>45706.801508232544</v>
      </c>
      <c r="O1409" s="150">
        <v>184759.81150823255</v>
      </c>
      <c r="P1409" s="150">
        <v>215576.77</v>
      </c>
      <c r="Q1409" s="150">
        <v>0</v>
      </c>
      <c r="R1409" s="313">
        <f t="shared" si="1274"/>
        <v>215576.77</v>
      </c>
      <c r="S1409" s="150">
        <f t="shared" si="1247"/>
        <v>287435.69333333336</v>
      </c>
      <c r="T1409" s="150">
        <v>316157.33</v>
      </c>
      <c r="U1409" s="150">
        <v>316157.33</v>
      </c>
      <c r="V1409" s="199">
        <v>0</v>
      </c>
      <c r="W1409" s="150">
        <f t="shared" si="1275"/>
        <v>316157.33</v>
      </c>
      <c r="X1409" s="150">
        <v>316157.33</v>
      </c>
      <c r="Y1409" s="150">
        <v>0</v>
      </c>
      <c r="Z1409" s="150">
        <v>316157.33</v>
      </c>
      <c r="AA1409" s="150">
        <f t="shared" si="1242"/>
        <v>0</v>
      </c>
      <c r="AB1409" s="150">
        <v>316157.33</v>
      </c>
      <c r="AC1409" s="199">
        <v>0</v>
      </c>
      <c r="AD1409" s="150">
        <f t="shared" si="1276"/>
        <v>316157.33</v>
      </c>
      <c r="AE1409" s="150">
        <v>316157.33</v>
      </c>
      <c r="AF1409" s="169" t="s">
        <v>4680</v>
      </c>
      <c r="AG1409" s="201">
        <v>316157.33</v>
      </c>
      <c r="AH1409" s="199">
        <v>0</v>
      </c>
      <c r="AI1409" s="150">
        <v>316157.33</v>
      </c>
      <c r="AJ1409" s="169">
        <f t="shared" si="1243"/>
        <v>0</v>
      </c>
      <c r="AK1409" s="201">
        <v>316157.33</v>
      </c>
      <c r="AL1409" s="199">
        <v>0</v>
      </c>
      <c r="AM1409" s="150">
        <f t="shared" si="1277"/>
        <v>316157.33</v>
      </c>
      <c r="AN1409" s="153">
        <f t="shared" si="1244"/>
        <v>0</v>
      </c>
      <c r="AO1409" s="154">
        <f t="shared" si="1245"/>
        <v>0</v>
      </c>
      <c r="AP1409" s="150">
        <v>316157.33</v>
      </c>
      <c r="AQ1409" s="201">
        <v>316157.33</v>
      </c>
      <c r="AR1409" s="199">
        <v>0</v>
      </c>
      <c r="AS1409" s="150">
        <f t="shared" si="1278"/>
        <v>316157.33</v>
      </c>
      <c r="AT1409" s="155"/>
      <c r="AU1409" s="156">
        <f t="shared" si="1240"/>
        <v>0</v>
      </c>
      <c r="AV1409" s="156">
        <f t="shared" si="1241"/>
        <v>0</v>
      </c>
      <c r="AW1409" s="157"/>
      <c r="AX1409" s="150">
        <v>316157.33</v>
      </c>
      <c r="AY1409" s="150">
        <v>165211.46</v>
      </c>
      <c r="AZ1409" s="150">
        <f t="shared" si="1279"/>
        <v>204308.16301646511</v>
      </c>
      <c r="BA1409" s="348">
        <v>369519.62301646511</v>
      </c>
      <c r="BB1409" s="210"/>
      <c r="BC1409" s="210"/>
      <c r="BD1409" s="210"/>
      <c r="BE1409" s="210"/>
      <c r="BF1409" s="210"/>
      <c r="BG1409" s="210"/>
      <c r="BH1409" s="217"/>
      <c r="BI1409" s="210"/>
      <c r="BJ1409" s="210"/>
      <c r="BK1409" s="210"/>
      <c r="BL1409" s="210"/>
      <c r="BM1409" s="208"/>
      <c r="BN1409" s="160"/>
      <c r="BO1409" s="161"/>
      <c r="BP1409" s="161"/>
    </row>
    <row r="1410" spans="1:68" ht="51">
      <c r="A1410" s="206" t="s">
        <v>573</v>
      </c>
      <c r="B1410" s="195" t="s">
        <v>8454</v>
      </c>
      <c r="C1410" s="196" t="s">
        <v>8455</v>
      </c>
      <c r="D1410" s="146" t="s">
        <v>4692</v>
      </c>
      <c r="E1410" s="196" t="s">
        <v>8455</v>
      </c>
      <c r="F1410" s="150">
        <v>0</v>
      </c>
      <c r="G1410" s="209">
        <v>0</v>
      </c>
      <c r="H1410" s="209">
        <v>0</v>
      </c>
      <c r="I1410" s="209">
        <v>0</v>
      </c>
      <c r="J1410" s="150">
        <v>0</v>
      </c>
      <c r="K1410" s="150">
        <v>0</v>
      </c>
      <c r="L1410" s="150">
        <f t="shared" si="1267"/>
        <v>0</v>
      </c>
      <c r="M1410" s="150">
        <v>0</v>
      </c>
      <c r="N1410" s="150">
        <v>0</v>
      </c>
      <c r="O1410" s="150">
        <v>0</v>
      </c>
      <c r="P1410" s="150">
        <v>0</v>
      </c>
      <c r="Q1410" s="150">
        <v>0</v>
      </c>
      <c r="R1410" s="313">
        <f t="shared" si="1274"/>
        <v>0</v>
      </c>
      <c r="S1410" s="150">
        <f t="shared" si="1247"/>
        <v>0</v>
      </c>
      <c r="T1410" s="150">
        <v>0</v>
      </c>
      <c r="U1410" s="150">
        <v>0</v>
      </c>
      <c r="V1410" s="199">
        <v>0</v>
      </c>
      <c r="W1410" s="150">
        <f t="shared" si="1275"/>
        <v>0</v>
      </c>
      <c r="X1410" s="150">
        <v>0</v>
      </c>
      <c r="Y1410" s="150">
        <v>0</v>
      </c>
      <c r="Z1410" s="150">
        <v>0</v>
      </c>
      <c r="AA1410" s="150">
        <f t="shared" si="1242"/>
        <v>0</v>
      </c>
      <c r="AB1410" s="150">
        <v>0</v>
      </c>
      <c r="AC1410" s="199">
        <v>0</v>
      </c>
      <c r="AD1410" s="150">
        <f t="shared" si="1276"/>
        <v>0</v>
      </c>
      <c r="AE1410" s="150">
        <v>0</v>
      </c>
      <c r="AF1410" s="169" t="s">
        <v>4680</v>
      </c>
      <c r="AG1410" s="201">
        <v>0</v>
      </c>
      <c r="AH1410" s="199">
        <v>0</v>
      </c>
      <c r="AI1410" s="150">
        <v>0</v>
      </c>
      <c r="AJ1410" s="169">
        <f t="shared" si="1243"/>
        <v>0</v>
      </c>
      <c r="AK1410" s="201">
        <v>0</v>
      </c>
      <c r="AL1410" s="199">
        <v>0</v>
      </c>
      <c r="AM1410" s="150">
        <f t="shared" si="1277"/>
        <v>0</v>
      </c>
      <c r="AN1410" s="153">
        <f t="shared" si="1244"/>
        <v>0</v>
      </c>
      <c r="AO1410" s="154">
        <f t="shared" si="1245"/>
        <v>0</v>
      </c>
      <c r="AP1410" s="150">
        <v>0</v>
      </c>
      <c r="AQ1410" s="201">
        <v>0</v>
      </c>
      <c r="AR1410" s="199">
        <v>0</v>
      </c>
      <c r="AS1410" s="150">
        <f t="shared" si="1278"/>
        <v>0</v>
      </c>
      <c r="AT1410" s="155"/>
      <c r="AU1410" s="156">
        <f t="shared" ref="AU1410:AU1473" si="1280">AM1410-AD1410</f>
        <v>0</v>
      </c>
      <c r="AV1410" s="156">
        <f t="shared" ref="AV1410:AV1473" si="1281">AD1410-AX1410</f>
        <v>0</v>
      </c>
      <c r="AW1410" s="157"/>
      <c r="AX1410" s="150">
        <v>0</v>
      </c>
      <c r="AY1410" s="150">
        <v>0</v>
      </c>
      <c r="AZ1410" s="150">
        <f t="shared" si="1279"/>
        <v>0</v>
      </c>
      <c r="BA1410" s="348">
        <v>0</v>
      </c>
      <c r="BB1410" s="202">
        <v>5</v>
      </c>
      <c r="BC1410" s="202" t="s">
        <v>714</v>
      </c>
      <c r="BD1410" s="202" t="s">
        <v>632</v>
      </c>
      <c r="BE1410" s="202" t="s">
        <v>647</v>
      </c>
      <c r="BF1410" s="202" t="s">
        <v>739</v>
      </c>
      <c r="BG1410" s="231" t="s">
        <v>8456</v>
      </c>
      <c r="BH1410" s="216">
        <f>AS1410</f>
        <v>0</v>
      </c>
      <c r="BI1410" s="205"/>
      <c r="BJ1410" s="206" t="s">
        <v>8430</v>
      </c>
      <c r="BK1410" s="206" t="s">
        <v>573</v>
      </c>
      <c r="BL1410" s="207" t="s">
        <v>8431</v>
      </c>
      <c r="BM1410" s="208">
        <f>BH1410</f>
        <v>0</v>
      </c>
      <c r="BN1410" s="160"/>
      <c r="BO1410" s="161"/>
      <c r="BP1410" s="161"/>
    </row>
    <row r="1411" spans="1:68" ht="51">
      <c r="A1411" s="206" t="s">
        <v>573</v>
      </c>
      <c r="B1411" s="195" t="s">
        <v>8457</v>
      </c>
      <c r="C1411" s="196" t="s">
        <v>8458</v>
      </c>
      <c r="D1411" s="146" t="s">
        <v>4692</v>
      </c>
      <c r="E1411" s="196" t="s">
        <v>8458</v>
      </c>
      <c r="F1411" s="150">
        <v>0</v>
      </c>
      <c r="G1411" s="209">
        <v>0</v>
      </c>
      <c r="H1411" s="209">
        <v>0</v>
      </c>
      <c r="I1411" s="209">
        <v>0</v>
      </c>
      <c r="J1411" s="150">
        <v>0</v>
      </c>
      <c r="K1411" s="150">
        <v>0</v>
      </c>
      <c r="L1411" s="150">
        <f t="shared" si="1267"/>
        <v>0</v>
      </c>
      <c r="M1411" s="150">
        <v>0</v>
      </c>
      <c r="N1411" s="150">
        <v>0</v>
      </c>
      <c r="O1411" s="150">
        <v>0</v>
      </c>
      <c r="P1411" s="150">
        <v>0</v>
      </c>
      <c r="Q1411" s="150">
        <v>0</v>
      </c>
      <c r="R1411" s="313">
        <f t="shared" si="1274"/>
        <v>0</v>
      </c>
      <c r="S1411" s="150">
        <f t="shared" si="1247"/>
        <v>0</v>
      </c>
      <c r="T1411" s="150">
        <v>0</v>
      </c>
      <c r="U1411" s="150">
        <v>0</v>
      </c>
      <c r="V1411" s="199">
        <v>0</v>
      </c>
      <c r="W1411" s="150">
        <f t="shared" si="1275"/>
        <v>0</v>
      </c>
      <c r="X1411" s="150">
        <v>0</v>
      </c>
      <c r="Y1411" s="150">
        <v>0</v>
      </c>
      <c r="Z1411" s="150">
        <v>0</v>
      </c>
      <c r="AA1411" s="150">
        <f t="shared" ref="AA1411:AA1474" si="1282">AD1411-Z1411</f>
        <v>0</v>
      </c>
      <c r="AB1411" s="150">
        <v>0</v>
      </c>
      <c r="AC1411" s="199">
        <v>0</v>
      </c>
      <c r="AD1411" s="150">
        <f t="shared" si="1276"/>
        <v>0</v>
      </c>
      <c r="AE1411" s="150">
        <v>0</v>
      </c>
      <c r="AF1411" s="169" t="s">
        <v>4680</v>
      </c>
      <c r="AG1411" s="201">
        <v>0</v>
      </c>
      <c r="AH1411" s="199">
        <v>0</v>
      </c>
      <c r="AI1411" s="150">
        <v>0</v>
      </c>
      <c r="AJ1411" s="169">
        <f t="shared" ref="AJ1411:AJ1474" si="1283">AM1411-AI1411</f>
        <v>0</v>
      </c>
      <c r="AK1411" s="201">
        <v>0</v>
      </c>
      <c r="AL1411" s="199">
        <v>0</v>
      </c>
      <c r="AM1411" s="150">
        <f t="shared" si="1277"/>
        <v>0</v>
      </c>
      <c r="AN1411" s="153">
        <f t="shared" ref="AN1411:AN1474" si="1284">AS1411-AM1411</f>
        <v>0</v>
      </c>
      <c r="AO1411" s="154">
        <f t="shared" ref="AO1411:AO1474" si="1285">AS1411-AP1411</f>
        <v>0</v>
      </c>
      <c r="AP1411" s="150">
        <v>0</v>
      </c>
      <c r="AQ1411" s="201">
        <v>0</v>
      </c>
      <c r="AR1411" s="199">
        <v>0</v>
      </c>
      <c r="AS1411" s="150">
        <f t="shared" si="1278"/>
        <v>0</v>
      </c>
      <c r="AT1411" s="155"/>
      <c r="AU1411" s="156">
        <f t="shared" si="1280"/>
        <v>0</v>
      </c>
      <c r="AV1411" s="156">
        <f t="shared" si="1281"/>
        <v>0</v>
      </c>
      <c r="AW1411" s="157"/>
      <c r="AX1411" s="150">
        <v>0</v>
      </c>
      <c r="AY1411" s="150">
        <v>0</v>
      </c>
      <c r="AZ1411" s="150">
        <f t="shared" si="1279"/>
        <v>0</v>
      </c>
      <c r="BA1411" s="348">
        <v>0</v>
      </c>
      <c r="BB1411" s="202">
        <v>5</v>
      </c>
      <c r="BC1411" s="202" t="s">
        <v>714</v>
      </c>
      <c r="BD1411" s="202" t="s">
        <v>632</v>
      </c>
      <c r="BE1411" s="202" t="s">
        <v>647</v>
      </c>
      <c r="BF1411" s="202" t="s">
        <v>755</v>
      </c>
      <c r="BG1411" s="231" t="s">
        <v>8459</v>
      </c>
      <c r="BH1411" s="216">
        <f>AS1411</f>
        <v>0</v>
      </c>
      <c r="BI1411" s="205"/>
      <c r="BJ1411" s="206" t="s">
        <v>8430</v>
      </c>
      <c r="BK1411" s="206" t="s">
        <v>573</v>
      </c>
      <c r="BL1411" s="207" t="s">
        <v>8431</v>
      </c>
      <c r="BM1411" s="208">
        <f>BH1411</f>
        <v>0</v>
      </c>
      <c r="BN1411" s="160"/>
      <c r="BO1411" s="161"/>
      <c r="BP1411" s="161"/>
    </row>
    <row r="1412" spans="1:68" ht="63.75">
      <c r="A1412" s="206" t="s">
        <v>573</v>
      </c>
      <c r="B1412" s="195" t="s">
        <v>8460</v>
      </c>
      <c r="C1412" s="196" t="s">
        <v>8461</v>
      </c>
      <c r="D1412" s="146" t="s">
        <v>4692</v>
      </c>
      <c r="E1412" s="196" t="s">
        <v>8461</v>
      </c>
      <c r="F1412" s="150">
        <v>0</v>
      </c>
      <c r="G1412" s="209">
        <v>0</v>
      </c>
      <c r="H1412" s="209">
        <v>0</v>
      </c>
      <c r="I1412" s="209">
        <v>0</v>
      </c>
      <c r="J1412" s="150">
        <v>0</v>
      </c>
      <c r="K1412" s="150">
        <v>0</v>
      </c>
      <c r="L1412" s="150">
        <f t="shared" si="1267"/>
        <v>0</v>
      </c>
      <c r="M1412" s="150">
        <v>0</v>
      </c>
      <c r="N1412" s="150">
        <v>0</v>
      </c>
      <c r="O1412" s="150">
        <v>0</v>
      </c>
      <c r="P1412" s="150">
        <v>0</v>
      </c>
      <c r="Q1412" s="150">
        <v>0</v>
      </c>
      <c r="R1412" s="313">
        <f t="shared" si="1274"/>
        <v>0</v>
      </c>
      <c r="S1412" s="150">
        <f t="shared" ref="S1412:S1475" si="1286">R1412/9*12</f>
        <v>0</v>
      </c>
      <c r="T1412" s="150">
        <v>0</v>
      </c>
      <c r="U1412" s="150">
        <v>0</v>
      </c>
      <c r="V1412" s="199">
        <v>0</v>
      </c>
      <c r="W1412" s="150">
        <f t="shared" si="1275"/>
        <v>0</v>
      </c>
      <c r="X1412" s="150">
        <v>0</v>
      </c>
      <c r="Y1412" s="150">
        <v>0</v>
      </c>
      <c r="Z1412" s="150">
        <v>0</v>
      </c>
      <c r="AA1412" s="150">
        <f t="shared" si="1282"/>
        <v>0</v>
      </c>
      <c r="AB1412" s="150">
        <v>0</v>
      </c>
      <c r="AC1412" s="199">
        <v>0</v>
      </c>
      <c r="AD1412" s="150">
        <f t="shared" si="1276"/>
        <v>0</v>
      </c>
      <c r="AE1412" s="150">
        <v>0</v>
      </c>
      <c r="AF1412" s="169" t="s">
        <v>4680</v>
      </c>
      <c r="AG1412" s="201">
        <v>0</v>
      </c>
      <c r="AH1412" s="199">
        <v>0</v>
      </c>
      <c r="AI1412" s="150">
        <v>0</v>
      </c>
      <c r="AJ1412" s="169">
        <f t="shared" si="1283"/>
        <v>0</v>
      </c>
      <c r="AK1412" s="201">
        <v>0</v>
      </c>
      <c r="AL1412" s="199">
        <v>0</v>
      </c>
      <c r="AM1412" s="150">
        <f t="shared" si="1277"/>
        <v>0</v>
      </c>
      <c r="AN1412" s="153">
        <f t="shared" si="1284"/>
        <v>0</v>
      </c>
      <c r="AO1412" s="154">
        <f t="shared" si="1285"/>
        <v>0</v>
      </c>
      <c r="AP1412" s="150">
        <v>0</v>
      </c>
      <c r="AQ1412" s="201">
        <v>0</v>
      </c>
      <c r="AR1412" s="199">
        <v>0</v>
      </c>
      <c r="AS1412" s="150">
        <f t="shared" si="1278"/>
        <v>0</v>
      </c>
      <c r="AT1412" s="155"/>
      <c r="AU1412" s="156">
        <f t="shared" si="1280"/>
        <v>0</v>
      </c>
      <c r="AV1412" s="156">
        <f t="shared" si="1281"/>
        <v>0</v>
      </c>
      <c r="AW1412" s="157"/>
      <c r="AX1412" s="150">
        <v>0</v>
      </c>
      <c r="AY1412" s="150">
        <v>0</v>
      </c>
      <c r="AZ1412" s="150">
        <f t="shared" si="1279"/>
        <v>0</v>
      </c>
      <c r="BA1412" s="348">
        <v>0</v>
      </c>
      <c r="BB1412" s="202">
        <v>5</v>
      </c>
      <c r="BC1412" s="202" t="s">
        <v>714</v>
      </c>
      <c r="BD1412" s="202" t="s">
        <v>632</v>
      </c>
      <c r="BE1412" s="202" t="s">
        <v>647</v>
      </c>
      <c r="BF1412" s="202" t="s">
        <v>766</v>
      </c>
      <c r="BG1412" s="231" t="s">
        <v>8462</v>
      </c>
      <c r="BH1412" s="216">
        <f>AS1412</f>
        <v>0</v>
      </c>
      <c r="BI1412" s="205"/>
      <c r="BJ1412" s="206" t="s">
        <v>8430</v>
      </c>
      <c r="BK1412" s="206" t="s">
        <v>573</v>
      </c>
      <c r="BL1412" s="207" t="s">
        <v>8431</v>
      </c>
      <c r="BM1412" s="208">
        <f>BH1412</f>
        <v>0</v>
      </c>
      <c r="BN1412" s="160"/>
      <c r="BO1412" s="161">
        <f t="shared" ref="BO1412:BO1474" si="1287">BM1412-AS1412</f>
        <v>0</v>
      </c>
      <c r="BP1412" s="161"/>
    </row>
    <row r="1413" spans="1:68" ht="51">
      <c r="A1413" s="206" t="s">
        <v>573</v>
      </c>
      <c r="B1413" s="195" t="s">
        <v>8463</v>
      </c>
      <c r="C1413" s="196" t="s">
        <v>8464</v>
      </c>
      <c r="D1413" s="146" t="s">
        <v>4692</v>
      </c>
      <c r="E1413" s="196" t="s">
        <v>8464</v>
      </c>
      <c r="F1413" s="150">
        <v>0</v>
      </c>
      <c r="G1413" s="209">
        <v>0</v>
      </c>
      <c r="H1413" s="209">
        <v>0</v>
      </c>
      <c r="I1413" s="209">
        <v>0</v>
      </c>
      <c r="J1413" s="150">
        <v>0</v>
      </c>
      <c r="K1413" s="150">
        <v>0</v>
      </c>
      <c r="L1413" s="150">
        <f t="shared" si="1267"/>
        <v>0</v>
      </c>
      <c r="M1413" s="150">
        <v>0</v>
      </c>
      <c r="N1413" s="150">
        <v>0</v>
      </c>
      <c r="O1413" s="150">
        <v>0</v>
      </c>
      <c r="P1413" s="150">
        <v>0</v>
      </c>
      <c r="Q1413" s="150">
        <v>0</v>
      </c>
      <c r="R1413" s="313">
        <f t="shared" si="1274"/>
        <v>0</v>
      </c>
      <c r="S1413" s="150">
        <f t="shared" si="1286"/>
        <v>0</v>
      </c>
      <c r="T1413" s="150">
        <v>0</v>
      </c>
      <c r="U1413" s="150">
        <v>0</v>
      </c>
      <c r="V1413" s="199">
        <v>0</v>
      </c>
      <c r="W1413" s="150">
        <f t="shared" si="1275"/>
        <v>0</v>
      </c>
      <c r="X1413" s="150">
        <v>0</v>
      </c>
      <c r="Y1413" s="150">
        <v>0</v>
      </c>
      <c r="Z1413" s="150">
        <v>0</v>
      </c>
      <c r="AA1413" s="150">
        <f t="shared" si="1282"/>
        <v>0</v>
      </c>
      <c r="AB1413" s="150">
        <v>0</v>
      </c>
      <c r="AC1413" s="199">
        <v>0</v>
      </c>
      <c r="AD1413" s="150">
        <f t="shared" si="1276"/>
        <v>0</v>
      </c>
      <c r="AE1413" s="150">
        <v>0</v>
      </c>
      <c r="AF1413" s="169" t="s">
        <v>4680</v>
      </c>
      <c r="AG1413" s="201">
        <v>0</v>
      </c>
      <c r="AH1413" s="199">
        <v>0</v>
      </c>
      <c r="AI1413" s="150">
        <v>0</v>
      </c>
      <c r="AJ1413" s="169">
        <f t="shared" si="1283"/>
        <v>0</v>
      </c>
      <c r="AK1413" s="201">
        <v>0</v>
      </c>
      <c r="AL1413" s="199">
        <v>0</v>
      </c>
      <c r="AM1413" s="150">
        <f t="shared" si="1277"/>
        <v>0</v>
      </c>
      <c r="AN1413" s="153">
        <f t="shared" si="1284"/>
        <v>0</v>
      </c>
      <c r="AO1413" s="154">
        <f t="shared" si="1285"/>
        <v>0</v>
      </c>
      <c r="AP1413" s="150">
        <v>0</v>
      </c>
      <c r="AQ1413" s="201">
        <v>0</v>
      </c>
      <c r="AR1413" s="199">
        <v>0</v>
      </c>
      <c r="AS1413" s="150">
        <f t="shared" si="1278"/>
        <v>0</v>
      </c>
      <c r="AT1413" s="155"/>
      <c r="AU1413" s="156">
        <f t="shared" si="1280"/>
        <v>0</v>
      </c>
      <c r="AV1413" s="156">
        <f t="shared" si="1281"/>
        <v>0</v>
      </c>
      <c r="AW1413" s="157"/>
      <c r="AX1413" s="150">
        <v>0</v>
      </c>
      <c r="AY1413" s="150">
        <v>0</v>
      </c>
      <c r="AZ1413" s="150">
        <f t="shared" si="1279"/>
        <v>0</v>
      </c>
      <c r="BA1413" s="348">
        <v>0</v>
      </c>
      <c r="BB1413" s="202">
        <v>5</v>
      </c>
      <c r="BC1413" s="202" t="s">
        <v>714</v>
      </c>
      <c r="BD1413" s="202" t="s">
        <v>632</v>
      </c>
      <c r="BE1413" s="202" t="s">
        <v>647</v>
      </c>
      <c r="BF1413" s="202" t="s">
        <v>779</v>
      </c>
      <c r="BG1413" s="231" t="s">
        <v>8465</v>
      </c>
      <c r="BH1413" s="204">
        <f>SUM(AS1413:AS1418)</f>
        <v>2186.42</v>
      </c>
      <c r="BI1413" s="205"/>
      <c r="BJ1413" s="206" t="s">
        <v>8430</v>
      </c>
      <c r="BK1413" s="206" t="s">
        <v>573</v>
      </c>
      <c r="BL1413" s="207" t="s">
        <v>8431</v>
      </c>
      <c r="BM1413" s="208">
        <f>BH1413</f>
        <v>2186.42</v>
      </c>
      <c r="BN1413" s="160"/>
      <c r="BO1413" s="161"/>
      <c r="BP1413" s="161"/>
    </row>
    <row r="1414" spans="1:68" ht="38.25">
      <c r="A1414" s="210"/>
      <c r="B1414" s="195" t="s">
        <v>8466</v>
      </c>
      <c r="C1414" s="196" t="s">
        <v>8467</v>
      </c>
      <c r="D1414" s="146" t="s">
        <v>4692</v>
      </c>
      <c r="E1414" s="196" t="s">
        <v>8467</v>
      </c>
      <c r="F1414" s="150">
        <v>0</v>
      </c>
      <c r="G1414" s="209">
        <v>0</v>
      </c>
      <c r="H1414" s="209">
        <v>0</v>
      </c>
      <c r="I1414" s="209">
        <v>0</v>
      </c>
      <c r="J1414" s="150">
        <v>0</v>
      </c>
      <c r="K1414" s="150">
        <v>0</v>
      </c>
      <c r="L1414" s="150">
        <f t="shared" si="1267"/>
        <v>0</v>
      </c>
      <c r="M1414" s="150">
        <v>0</v>
      </c>
      <c r="N1414" s="150">
        <v>0</v>
      </c>
      <c r="O1414" s="150">
        <v>0</v>
      </c>
      <c r="P1414" s="150">
        <v>0</v>
      </c>
      <c r="Q1414" s="150">
        <v>0</v>
      </c>
      <c r="R1414" s="313">
        <f t="shared" si="1274"/>
        <v>0</v>
      </c>
      <c r="S1414" s="150">
        <f t="shared" si="1286"/>
        <v>0</v>
      </c>
      <c r="T1414" s="150">
        <v>0</v>
      </c>
      <c r="U1414" s="150">
        <v>0</v>
      </c>
      <c r="V1414" s="199">
        <v>0</v>
      </c>
      <c r="W1414" s="150">
        <f t="shared" si="1275"/>
        <v>0</v>
      </c>
      <c r="X1414" s="150">
        <v>0</v>
      </c>
      <c r="Y1414" s="150">
        <v>0</v>
      </c>
      <c r="Z1414" s="150">
        <v>0</v>
      </c>
      <c r="AA1414" s="150">
        <f t="shared" si="1282"/>
        <v>0</v>
      </c>
      <c r="AB1414" s="150">
        <v>0</v>
      </c>
      <c r="AC1414" s="199">
        <v>0</v>
      </c>
      <c r="AD1414" s="150">
        <f t="shared" si="1276"/>
        <v>0</v>
      </c>
      <c r="AE1414" s="150">
        <v>0</v>
      </c>
      <c r="AF1414" s="169" t="s">
        <v>4680</v>
      </c>
      <c r="AG1414" s="201">
        <v>0</v>
      </c>
      <c r="AH1414" s="199">
        <v>0</v>
      </c>
      <c r="AI1414" s="150">
        <v>0</v>
      </c>
      <c r="AJ1414" s="169">
        <f t="shared" si="1283"/>
        <v>0</v>
      </c>
      <c r="AK1414" s="201">
        <v>0</v>
      </c>
      <c r="AL1414" s="199">
        <v>0</v>
      </c>
      <c r="AM1414" s="150">
        <f t="shared" si="1277"/>
        <v>0</v>
      </c>
      <c r="AN1414" s="153">
        <f t="shared" si="1284"/>
        <v>0</v>
      </c>
      <c r="AO1414" s="154">
        <f t="shared" si="1285"/>
        <v>0</v>
      </c>
      <c r="AP1414" s="150">
        <v>0</v>
      </c>
      <c r="AQ1414" s="201">
        <v>0</v>
      </c>
      <c r="AR1414" s="199">
        <v>0</v>
      </c>
      <c r="AS1414" s="150">
        <f t="shared" si="1278"/>
        <v>0</v>
      </c>
      <c r="AT1414" s="155"/>
      <c r="AU1414" s="156">
        <f t="shared" si="1280"/>
        <v>0</v>
      </c>
      <c r="AV1414" s="156">
        <f t="shared" si="1281"/>
        <v>0</v>
      </c>
      <c r="AW1414" s="157"/>
      <c r="AX1414" s="150">
        <v>0</v>
      </c>
      <c r="AY1414" s="150">
        <v>0</v>
      </c>
      <c r="AZ1414" s="150">
        <f t="shared" si="1279"/>
        <v>0</v>
      </c>
      <c r="BA1414" s="348">
        <v>0</v>
      </c>
      <c r="BB1414" s="210"/>
      <c r="BC1414" s="210"/>
      <c r="BD1414" s="210"/>
      <c r="BE1414" s="210"/>
      <c r="BF1414" s="210"/>
      <c r="BG1414" s="210"/>
      <c r="BH1414" s="217"/>
      <c r="BI1414" s="210"/>
      <c r="BJ1414" s="210"/>
      <c r="BK1414" s="210"/>
      <c r="BL1414" s="210"/>
      <c r="BM1414" s="208"/>
      <c r="BN1414" s="160"/>
      <c r="BO1414" s="161"/>
      <c r="BP1414" s="161"/>
    </row>
    <row r="1415" spans="1:68" ht="51">
      <c r="A1415" s="210"/>
      <c r="B1415" s="195" t="s">
        <v>8468</v>
      </c>
      <c r="C1415" s="196" t="s">
        <v>8469</v>
      </c>
      <c r="D1415" s="146" t="s">
        <v>4692</v>
      </c>
      <c r="E1415" s="196" t="s">
        <v>8469</v>
      </c>
      <c r="F1415" s="150">
        <v>0</v>
      </c>
      <c r="G1415" s="209">
        <v>0</v>
      </c>
      <c r="H1415" s="209">
        <v>0</v>
      </c>
      <c r="I1415" s="209">
        <v>0</v>
      </c>
      <c r="J1415" s="150">
        <v>0</v>
      </c>
      <c r="K1415" s="150">
        <v>0</v>
      </c>
      <c r="L1415" s="150">
        <f t="shared" si="1267"/>
        <v>0</v>
      </c>
      <c r="M1415" s="150">
        <v>0</v>
      </c>
      <c r="N1415" s="150">
        <v>0</v>
      </c>
      <c r="O1415" s="150">
        <v>0</v>
      </c>
      <c r="P1415" s="150">
        <v>0</v>
      </c>
      <c r="Q1415" s="150">
        <v>0</v>
      </c>
      <c r="R1415" s="313">
        <f t="shared" si="1274"/>
        <v>0</v>
      </c>
      <c r="S1415" s="150">
        <f t="shared" si="1286"/>
        <v>0</v>
      </c>
      <c r="T1415" s="150">
        <v>0</v>
      </c>
      <c r="U1415" s="150">
        <v>0</v>
      </c>
      <c r="V1415" s="199">
        <v>0</v>
      </c>
      <c r="W1415" s="150">
        <f t="shared" si="1275"/>
        <v>0</v>
      </c>
      <c r="X1415" s="150">
        <v>0</v>
      </c>
      <c r="Y1415" s="150">
        <v>0</v>
      </c>
      <c r="Z1415" s="150">
        <v>0</v>
      </c>
      <c r="AA1415" s="150">
        <f t="shared" si="1282"/>
        <v>0</v>
      </c>
      <c r="AB1415" s="150">
        <v>0</v>
      </c>
      <c r="AC1415" s="199">
        <v>0</v>
      </c>
      <c r="AD1415" s="150">
        <f t="shared" si="1276"/>
        <v>0</v>
      </c>
      <c r="AE1415" s="150">
        <v>0</v>
      </c>
      <c r="AF1415" s="169" t="s">
        <v>4680</v>
      </c>
      <c r="AG1415" s="201">
        <v>0</v>
      </c>
      <c r="AH1415" s="199">
        <v>0</v>
      </c>
      <c r="AI1415" s="150">
        <v>0</v>
      </c>
      <c r="AJ1415" s="169">
        <f t="shared" si="1283"/>
        <v>0</v>
      </c>
      <c r="AK1415" s="201">
        <v>0</v>
      </c>
      <c r="AL1415" s="199">
        <v>0</v>
      </c>
      <c r="AM1415" s="150">
        <f t="shared" si="1277"/>
        <v>0</v>
      </c>
      <c r="AN1415" s="153">
        <f t="shared" si="1284"/>
        <v>0</v>
      </c>
      <c r="AO1415" s="154">
        <f t="shared" si="1285"/>
        <v>0</v>
      </c>
      <c r="AP1415" s="150">
        <v>0</v>
      </c>
      <c r="AQ1415" s="201">
        <v>0</v>
      </c>
      <c r="AR1415" s="199">
        <v>0</v>
      </c>
      <c r="AS1415" s="150">
        <f t="shared" si="1278"/>
        <v>0</v>
      </c>
      <c r="AT1415" s="155"/>
      <c r="AU1415" s="156">
        <f t="shared" si="1280"/>
        <v>0</v>
      </c>
      <c r="AV1415" s="156">
        <f t="shared" si="1281"/>
        <v>0</v>
      </c>
      <c r="AW1415" s="157"/>
      <c r="AX1415" s="150">
        <v>0</v>
      </c>
      <c r="AY1415" s="150">
        <v>0</v>
      </c>
      <c r="AZ1415" s="150">
        <f t="shared" si="1279"/>
        <v>0</v>
      </c>
      <c r="BA1415" s="348">
        <v>0</v>
      </c>
      <c r="BB1415" s="210"/>
      <c r="BC1415" s="210"/>
      <c r="BD1415" s="210"/>
      <c r="BE1415" s="210"/>
      <c r="BF1415" s="210"/>
      <c r="BG1415" s="210"/>
      <c r="BH1415" s="217"/>
      <c r="BI1415" s="210"/>
      <c r="BJ1415" s="210"/>
      <c r="BK1415" s="210"/>
      <c r="BL1415" s="210"/>
      <c r="BM1415" s="208"/>
      <c r="BN1415" s="160"/>
      <c r="BO1415" s="161"/>
      <c r="BP1415" s="161"/>
    </row>
    <row r="1416" spans="1:68" ht="38.25">
      <c r="A1416" s="210"/>
      <c r="B1416" s="195" t="s">
        <v>8470</v>
      </c>
      <c r="C1416" s="196" t="s">
        <v>8471</v>
      </c>
      <c r="D1416" s="146" t="s">
        <v>4692</v>
      </c>
      <c r="E1416" s="196" t="s">
        <v>8471</v>
      </c>
      <c r="F1416" s="150">
        <v>0</v>
      </c>
      <c r="G1416" s="209">
        <v>0</v>
      </c>
      <c r="H1416" s="209">
        <v>0</v>
      </c>
      <c r="I1416" s="209">
        <v>0</v>
      </c>
      <c r="J1416" s="150">
        <v>0</v>
      </c>
      <c r="K1416" s="150">
        <v>0</v>
      </c>
      <c r="L1416" s="150">
        <f t="shared" si="1267"/>
        <v>0</v>
      </c>
      <c r="M1416" s="150">
        <v>2186.42</v>
      </c>
      <c r="N1416" s="150">
        <v>0</v>
      </c>
      <c r="O1416" s="150">
        <v>2186.42</v>
      </c>
      <c r="P1416" s="150">
        <v>2186.42</v>
      </c>
      <c r="Q1416" s="150">
        <v>0</v>
      </c>
      <c r="R1416" s="313">
        <f t="shared" si="1274"/>
        <v>2186.42</v>
      </c>
      <c r="S1416" s="150">
        <f t="shared" si="1286"/>
        <v>2915.2266666666669</v>
      </c>
      <c r="T1416" s="150">
        <v>2186.42</v>
      </c>
      <c r="U1416" s="150">
        <v>2186.42</v>
      </c>
      <c r="V1416" s="199">
        <v>0</v>
      </c>
      <c r="W1416" s="150">
        <f t="shared" si="1275"/>
        <v>2186.42</v>
      </c>
      <c r="X1416" s="150">
        <v>2186.42</v>
      </c>
      <c r="Y1416" s="150">
        <v>0</v>
      </c>
      <c r="Z1416" s="150">
        <v>2186.42</v>
      </c>
      <c r="AA1416" s="150">
        <f t="shared" si="1282"/>
        <v>0</v>
      </c>
      <c r="AB1416" s="150">
        <v>2186.42</v>
      </c>
      <c r="AC1416" s="199">
        <v>0</v>
      </c>
      <c r="AD1416" s="150">
        <f t="shared" si="1276"/>
        <v>2186.42</v>
      </c>
      <c r="AE1416" s="150">
        <v>2186.42</v>
      </c>
      <c r="AF1416" s="169" t="s">
        <v>4680</v>
      </c>
      <c r="AG1416" s="201">
        <v>2186.42</v>
      </c>
      <c r="AH1416" s="199">
        <v>0</v>
      </c>
      <c r="AI1416" s="150">
        <v>2186.42</v>
      </c>
      <c r="AJ1416" s="169">
        <f t="shared" si="1283"/>
        <v>0</v>
      </c>
      <c r="AK1416" s="201">
        <v>2186.42</v>
      </c>
      <c r="AL1416" s="199">
        <v>0</v>
      </c>
      <c r="AM1416" s="150">
        <f t="shared" si="1277"/>
        <v>2186.42</v>
      </c>
      <c r="AN1416" s="153">
        <f t="shared" si="1284"/>
        <v>0</v>
      </c>
      <c r="AO1416" s="154">
        <f t="shared" si="1285"/>
        <v>0</v>
      </c>
      <c r="AP1416" s="150">
        <v>2186.42</v>
      </c>
      <c r="AQ1416" s="201">
        <v>2186.42</v>
      </c>
      <c r="AR1416" s="199">
        <v>0</v>
      </c>
      <c r="AS1416" s="150">
        <f t="shared" si="1278"/>
        <v>2186.42</v>
      </c>
      <c r="AT1416" s="155"/>
      <c r="AU1416" s="156">
        <f t="shared" si="1280"/>
        <v>0</v>
      </c>
      <c r="AV1416" s="156">
        <f t="shared" si="1281"/>
        <v>0</v>
      </c>
      <c r="AW1416" s="157"/>
      <c r="AX1416" s="150">
        <v>2186.42</v>
      </c>
      <c r="AY1416" s="150">
        <v>2186.42</v>
      </c>
      <c r="AZ1416" s="150">
        <f t="shared" si="1279"/>
        <v>2186.42</v>
      </c>
      <c r="BA1416" s="348">
        <v>4372.84</v>
      </c>
      <c r="BB1416" s="210"/>
      <c r="BC1416" s="210"/>
      <c r="BD1416" s="210"/>
      <c r="BE1416" s="210"/>
      <c r="BF1416" s="210"/>
      <c r="BG1416" s="210"/>
      <c r="BH1416" s="217"/>
      <c r="BI1416" s="210"/>
      <c r="BJ1416" s="210"/>
      <c r="BK1416" s="210"/>
      <c r="BL1416" s="210"/>
      <c r="BM1416" s="208"/>
      <c r="BN1416" s="160"/>
      <c r="BO1416" s="161"/>
      <c r="BP1416" s="161"/>
    </row>
    <row r="1417" spans="1:68" ht="38.25">
      <c r="A1417" s="210"/>
      <c r="B1417" s="195" t="s">
        <v>8472</v>
      </c>
      <c r="C1417" s="196" t="s">
        <v>8473</v>
      </c>
      <c r="D1417" s="146" t="s">
        <v>4692</v>
      </c>
      <c r="E1417" s="196" t="s">
        <v>8473</v>
      </c>
      <c r="F1417" s="150">
        <v>0</v>
      </c>
      <c r="G1417" s="209">
        <v>0</v>
      </c>
      <c r="H1417" s="209">
        <v>0</v>
      </c>
      <c r="I1417" s="209">
        <v>0</v>
      </c>
      <c r="J1417" s="150">
        <v>0</v>
      </c>
      <c r="K1417" s="150">
        <v>0</v>
      </c>
      <c r="L1417" s="150">
        <f t="shared" si="1267"/>
        <v>0</v>
      </c>
      <c r="M1417" s="150">
        <v>0</v>
      </c>
      <c r="N1417" s="150">
        <v>0</v>
      </c>
      <c r="O1417" s="150">
        <v>0</v>
      </c>
      <c r="P1417" s="150">
        <v>0</v>
      </c>
      <c r="Q1417" s="150">
        <v>0</v>
      </c>
      <c r="R1417" s="313">
        <f t="shared" si="1274"/>
        <v>0</v>
      </c>
      <c r="S1417" s="150">
        <f t="shared" si="1286"/>
        <v>0</v>
      </c>
      <c r="T1417" s="150">
        <v>0</v>
      </c>
      <c r="U1417" s="150">
        <v>0</v>
      </c>
      <c r="V1417" s="199">
        <v>0</v>
      </c>
      <c r="W1417" s="150">
        <f t="shared" si="1275"/>
        <v>0</v>
      </c>
      <c r="X1417" s="150">
        <v>0</v>
      </c>
      <c r="Y1417" s="150">
        <v>0</v>
      </c>
      <c r="Z1417" s="150">
        <v>0</v>
      </c>
      <c r="AA1417" s="150">
        <f t="shared" si="1282"/>
        <v>0</v>
      </c>
      <c r="AB1417" s="150">
        <v>0</v>
      </c>
      <c r="AC1417" s="199">
        <v>0</v>
      </c>
      <c r="AD1417" s="150">
        <f t="shared" si="1276"/>
        <v>0</v>
      </c>
      <c r="AE1417" s="150">
        <v>0</v>
      </c>
      <c r="AF1417" s="169" t="s">
        <v>4680</v>
      </c>
      <c r="AG1417" s="201">
        <v>0</v>
      </c>
      <c r="AH1417" s="199">
        <v>0</v>
      </c>
      <c r="AI1417" s="150">
        <v>0</v>
      </c>
      <c r="AJ1417" s="169">
        <f t="shared" si="1283"/>
        <v>0</v>
      </c>
      <c r="AK1417" s="201">
        <v>0</v>
      </c>
      <c r="AL1417" s="199">
        <v>0</v>
      </c>
      <c r="AM1417" s="150">
        <f t="shared" si="1277"/>
        <v>0</v>
      </c>
      <c r="AN1417" s="153">
        <f t="shared" si="1284"/>
        <v>0</v>
      </c>
      <c r="AO1417" s="154">
        <f t="shared" si="1285"/>
        <v>0</v>
      </c>
      <c r="AP1417" s="150">
        <v>0</v>
      </c>
      <c r="AQ1417" s="201">
        <v>0</v>
      </c>
      <c r="AR1417" s="199">
        <v>0</v>
      </c>
      <c r="AS1417" s="150">
        <f t="shared" si="1278"/>
        <v>0</v>
      </c>
      <c r="AT1417" s="155"/>
      <c r="AU1417" s="156">
        <f t="shared" si="1280"/>
        <v>0</v>
      </c>
      <c r="AV1417" s="156">
        <f t="shared" si="1281"/>
        <v>0</v>
      </c>
      <c r="AW1417" s="157"/>
      <c r="AX1417" s="150">
        <v>0</v>
      </c>
      <c r="AY1417" s="150">
        <v>0</v>
      </c>
      <c r="AZ1417" s="150">
        <f t="shared" si="1279"/>
        <v>0</v>
      </c>
      <c r="BA1417" s="348">
        <v>0</v>
      </c>
      <c r="BB1417" s="210"/>
      <c r="BC1417" s="210"/>
      <c r="BD1417" s="210"/>
      <c r="BE1417" s="210"/>
      <c r="BF1417" s="210"/>
      <c r="BG1417" s="210"/>
      <c r="BH1417" s="217"/>
      <c r="BI1417" s="210"/>
      <c r="BJ1417" s="210"/>
      <c r="BK1417" s="210"/>
      <c r="BL1417" s="210"/>
      <c r="BM1417" s="208"/>
      <c r="BN1417" s="160"/>
      <c r="BO1417" s="161"/>
      <c r="BP1417" s="161"/>
    </row>
    <row r="1418" spans="1:68" ht="51">
      <c r="A1418" s="210"/>
      <c r="B1418" s="195" t="s">
        <v>8474</v>
      </c>
      <c r="C1418" s="196" t="s">
        <v>8475</v>
      </c>
      <c r="D1418" s="146" t="s">
        <v>4692</v>
      </c>
      <c r="E1418" s="196" t="s">
        <v>8475</v>
      </c>
      <c r="F1418" s="150">
        <v>0</v>
      </c>
      <c r="G1418" s="209">
        <v>115411.76</v>
      </c>
      <c r="H1418" s="209">
        <v>0</v>
      </c>
      <c r="I1418" s="209">
        <v>115411.76</v>
      </c>
      <c r="J1418" s="150">
        <v>0</v>
      </c>
      <c r="K1418" s="150">
        <v>0</v>
      </c>
      <c r="L1418" s="150">
        <f t="shared" ref="L1418:L1481" si="1288">J1418+K1418</f>
        <v>0</v>
      </c>
      <c r="M1418" s="150">
        <v>0</v>
      </c>
      <c r="N1418" s="150">
        <v>0</v>
      </c>
      <c r="O1418" s="150">
        <v>0</v>
      </c>
      <c r="P1418" s="150">
        <v>0</v>
      </c>
      <c r="Q1418" s="150">
        <v>0</v>
      </c>
      <c r="R1418" s="313">
        <f t="shared" si="1274"/>
        <v>0</v>
      </c>
      <c r="S1418" s="150">
        <f t="shared" si="1286"/>
        <v>0</v>
      </c>
      <c r="T1418" s="150">
        <v>0</v>
      </c>
      <c r="U1418" s="150">
        <v>0</v>
      </c>
      <c r="V1418" s="199">
        <v>0</v>
      </c>
      <c r="W1418" s="150">
        <f t="shared" si="1275"/>
        <v>0</v>
      </c>
      <c r="X1418" s="150">
        <v>0</v>
      </c>
      <c r="Y1418" s="150">
        <v>0</v>
      </c>
      <c r="Z1418" s="150">
        <v>0</v>
      </c>
      <c r="AA1418" s="150">
        <f t="shared" si="1282"/>
        <v>0</v>
      </c>
      <c r="AB1418" s="150">
        <v>0</v>
      </c>
      <c r="AC1418" s="199">
        <v>0</v>
      </c>
      <c r="AD1418" s="150">
        <f t="shared" si="1276"/>
        <v>0</v>
      </c>
      <c r="AE1418" s="150">
        <v>0</v>
      </c>
      <c r="AF1418" s="169" t="s">
        <v>4680</v>
      </c>
      <c r="AG1418" s="201">
        <v>0</v>
      </c>
      <c r="AH1418" s="199">
        <v>0</v>
      </c>
      <c r="AI1418" s="150">
        <v>0</v>
      </c>
      <c r="AJ1418" s="169">
        <f t="shared" si="1283"/>
        <v>0</v>
      </c>
      <c r="AK1418" s="201">
        <v>0</v>
      </c>
      <c r="AL1418" s="199">
        <v>0</v>
      </c>
      <c r="AM1418" s="150">
        <f t="shared" si="1277"/>
        <v>0</v>
      </c>
      <c r="AN1418" s="153">
        <f t="shared" si="1284"/>
        <v>0</v>
      </c>
      <c r="AO1418" s="154">
        <f t="shared" si="1285"/>
        <v>0</v>
      </c>
      <c r="AP1418" s="150">
        <v>0</v>
      </c>
      <c r="AQ1418" s="201">
        <v>0</v>
      </c>
      <c r="AR1418" s="199">
        <v>0</v>
      </c>
      <c r="AS1418" s="150">
        <f t="shared" si="1278"/>
        <v>0</v>
      </c>
      <c r="AT1418" s="155"/>
      <c r="AU1418" s="156">
        <f t="shared" si="1280"/>
        <v>0</v>
      </c>
      <c r="AV1418" s="156">
        <f t="shared" si="1281"/>
        <v>0</v>
      </c>
      <c r="AW1418" s="157"/>
      <c r="AX1418" s="150">
        <v>0</v>
      </c>
      <c r="AY1418" s="150">
        <v>0</v>
      </c>
      <c r="AZ1418" s="150">
        <f t="shared" si="1279"/>
        <v>0</v>
      </c>
      <c r="BA1418" s="348">
        <v>0</v>
      </c>
      <c r="BB1418" s="210"/>
      <c r="BC1418" s="210"/>
      <c r="BD1418" s="210"/>
      <c r="BE1418" s="210"/>
      <c r="BF1418" s="210"/>
      <c r="BG1418" s="210"/>
      <c r="BH1418" s="217"/>
      <c r="BI1418" s="210"/>
      <c r="BJ1418" s="210"/>
      <c r="BK1418" s="210"/>
      <c r="BL1418" s="210"/>
      <c r="BM1418" s="208"/>
      <c r="BN1418" s="160"/>
      <c r="BO1418" s="161"/>
      <c r="BP1418" s="161"/>
    </row>
    <row r="1419" spans="1:68" ht="38.25">
      <c r="A1419" s="206" t="s">
        <v>574</v>
      </c>
      <c r="B1419" s="195" t="s">
        <v>8476</v>
      </c>
      <c r="C1419" s="196" t="s">
        <v>8477</v>
      </c>
      <c r="D1419" s="146" t="s">
        <v>4692</v>
      </c>
      <c r="E1419" s="196" t="s">
        <v>8477</v>
      </c>
      <c r="F1419" s="150">
        <v>115411.76</v>
      </c>
      <c r="G1419" s="209">
        <v>3895.71</v>
      </c>
      <c r="H1419" s="209">
        <v>69775.747418351471</v>
      </c>
      <c r="I1419" s="209">
        <v>73671.457418351478</v>
      </c>
      <c r="J1419" s="150">
        <v>48347.28</v>
      </c>
      <c r="K1419" s="150">
        <v>3694</v>
      </c>
      <c r="L1419" s="150">
        <f t="shared" si="1288"/>
        <v>52041.279999999999</v>
      </c>
      <c r="M1419" s="150">
        <v>76549.88</v>
      </c>
      <c r="N1419" s="150">
        <v>8081.115665333331</v>
      </c>
      <c r="O1419" s="150">
        <v>84630.995665333336</v>
      </c>
      <c r="P1419" s="150">
        <v>100723.52</v>
      </c>
      <c r="Q1419" s="150">
        <v>7695.82</v>
      </c>
      <c r="R1419" s="313">
        <f t="shared" si="1274"/>
        <v>108419.34</v>
      </c>
      <c r="S1419" s="150">
        <f t="shared" si="1286"/>
        <v>144559.12</v>
      </c>
      <c r="T1419" s="150">
        <v>131858.14000000001</v>
      </c>
      <c r="U1419" s="150">
        <v>135295.07</v>
      </c>
      <c r="V1419" s="199">
        <v>-3436.93</v>
      </c>
      <c r="W1419" s="150">
        <f t="shared" si="1275"/>
        <v>131858.14000000001</v>
      </c>
      <c r="X1419" s="150">
        <v>135295.07</v>
      </c>
      <c r="Y1419" s="150">
        <v>-3436.93</v>
      </c>
      <c r="Z1419" s="150">
        <v>131858.14000000001</v>
      </c>
      <c r="AA1419" s="150">
        <f t="shared" si="1282"/>
        <v>0</v>
      </c>
      <c r="AB1419" s="150">
        <v>135295.07</v>
      </c>
      <c r="AC1419" s="199">
        <v>-3436.93</v>
      </c>
      <c r="AD1419" s="150">
        <f t="shared" si="1276"/>
        <v>131858.14000000001</v>
      </c>
      <c r="AE1419" s="150">
        <v>131858.14000000001</v>
      </c>
      <c r="AF1419" s="169" t="s">
        <v>4680</v>
      </c>
      <c r="AG1419" s="201">
        <v>135295.07</v>
      </c>
      <c r="AH1419" s="199">
        <v>-3436.93</v>
      </c>
      <c r="AI1419" s="150">
        <v>131858.14000000001</v>
      </c>
      <c r="AJ1419" s="169">
        <f t="shared" si="1283"/>
        <v>0</v>
      </c>
      <c r="AK1419" s="201">
        <v>135295.07</v>
      </c>
      <c r="AL1419" s="199">
        <v>-3436.93</v>
      </c>
      <c r="AM1419" s="150">
        <f t="shared" si="1277"/>
        <v>131858.14000000001</v>
      </c>
      <c r="AN1419" s="153">
        <f t="shared" si="1284"/>
        <v>0</v>
      </c>
      <c r="AO1419" s="154">
        <f t="shared" si="1285"/>
        <v>0</v>
      </c>
      <c r="AP1419" s="150">
        <v>131858.14000000001</v>
      </c>
      <c r="AQ1419" s="201">
        <v>131858.14000000001</v>
      </c>
      <c r="AR1419" s="199"/>
      <c r="AS1419" s="150">
        <f t="shared" si="1278"/>
        <v>131858.14000000001</v>
      </c>
      <c r="AT1419" s="155"/>
      <c r="AU1419" s="156">
        <f t="shared" si="1280"/>
        <v>0</v>
      </c>
      <c r="AV1419" s="156">
        <f t="shared" si="1281"/>
        <v>0</v>
      </c>
      <c r="AW1419" s="157"/>
      <c r="AX1419" s="150">
        <v>131858.14000000001</v>
      </c>
      <c r="AY1419" s="150">
        <v>84607.76</v>
      </c>
      <c r="AZ1419" s="150">
        <f t="shared" si="1279"/>
        <v>84654.231330666677</v>
      </c>
      <c r="BA1419" s="348">
        <v>169261.99133066667</v>
      </c>
      <c r="BB1419" s="202">
        <v>5</v>
      </c>
      <c r="BC1419" s="202" t="s">
        <v>714</v>
      </c>
      <c r="BD1419" s="202" t="s">
        <v>632</v>
      </c>
      <c r="BE1419" s="202" t="s">
        <v>647</v>
      </c>
      <c r="BF1419" s="202" t="s">
        <v>1225</v>
      </c>
      <c r="BG1419" s="231" t="s">
        <v>8478</v>
      </c>
      <c r="BH1419" s="216">
        <f>AS1419</f>
        <v>131858.14000000001</v>
      </c>
      <c r="BI1419" s="205"/>
      <c r="BJ1419" s="206" t="s">
        <v>8479</v>
      </c>
      <c r="BK1419" s="206" t="s">
        <v>574</v>
      </c>
      <c r="BL1419" s="207" t="s">
        <v>8480</v>
      </c>
      <c r="BM1419" s="208">
        <f>BH1419</f>
        <v>131858.14000000001</v>
      </c>
      <c r="BN1419" s="160"/>
      <c r="BO1419" s="161"/>
      <c r="BP1419" s="161"/>
    </row>
    <row r="1420" spans="1:68" ht="38.25">
      <c r="A1420" s="206" t="s">
        <v>574</v>
      </c>
      <c r="B1420" s="195" t="s">
        <v>8481</v>
      </c>
      <c r="C1420" s="196" t="s">
        <v>8482</v>
      </c>
      <c r="D1420" s="146" t="s">
        <v>4692</v>
      </c>
      <c r="E1420" s="196" t="s">
        <v>8483</v>
      </c>
      <c r="F1420" s="150">
        <v>73671.710000000006</v>
      </c>
      <c r="G1420" s="209">
        <v>712.6</v>
      </c>
      <c r="H1420" s="209">
        <v>10318.569828926906</v>
      </c>
      <c r="I1420" s="209">
        <v>11031.169828926906</v>
      </c>
      <c r="J1420" s="150">
        <v>1495.44</v>
      </c>
      <c r="K1420" s="150">
        <v>7434.61</v>
      </c>
      <c r="L1420" s="150">
        <f t="shared" si="1288"/>
        <v>8930.0499999999993</v>
      </c>
      <c r="M1420" s="150">
        <v>2367.7800000000002</v>
      </c>
      <c r="N1420" s="150">
        <v>15219.654926600118</v>
      </c>
      <c r="O1420" s="150">
        <v>17587.434926600119</v>
      </c>
      <c r="P1420" s="150">
        <v>3115.5</v>
      </c>
      <c r="Q1420" s="150">
        <v>49167.8731176539</v>
      </c>
      <c r="R1420" s="313">
        <f t="shared" si="1274"/>
        <v>52283.3731176539</v>
      </c>
      <c r="S1420" s="150">
        <f t="shared" si="1286"/>
        <v>69711.164156871877</v>
      </c>
      <c r="T1420" s="150">
        <v>57466.95</v>
      </c>
      <c r="U1420" s="150">
        <v>4184.8100000000004</v>
      </c>
      <c r="V1420" s="199">
        <v>52627.408664643393</v>
      </c>
      <c r="W1420" s="150">
        <f t="shared" si="1275"/>
        <v>56812.218664643391</v>
      </c>
      <c r="X1420" s="150">
        <v>4184.8100000000004</v>
      </c>
      <c r="Y1420" s="150">
        <v>52627.408664643393</v>
      </c>
      <c r="Z1420" s="150">
        <v>56812.218664643391</v>
      </c>
      <c r="AA1420" s="150">
        <f t="shared" si="1282"/>
        <v>654.731335356606</v>
      </c>
      <c r="AB1420" s="150">
        <v>4184.8100000000004</v>
      </c>
      <c r="AC1420" s="199">
        <v>53282.14</v>
      </c>
      <c r="AD1420" s="150">
        <f t="shared" si="1276"/>
        <v>57466.95</v>
      </c>
      <c r="AE1420" s="150">
        <v>57466.95</v>
      </c>
      <c r="AF1420" s="169" t="s">
        <v>4680</v>
      </c>
      <c r="AG1420" s="201">
        <v>4184.8100000000004</v>
      </c>
      <c r="AH1420" s="199">
        <v>53282.14</v>
      </c>
      <c r="AI1420" s="150">
        <v>57466.95</v>
      </c>
      <c r="AJ1420" s="169">
        <f t="shared" si="1283"/>
        <v>0</v>
      </c>
      <c r="AK1420" s="201">
        <v>4184.8100000000004</v>
      </c>
      <c r="AL1420" s="199">
        <v>53282.14</v>
      </c>
      <c r="AM1420" s="150">
        <f t="shared" si="1277"/>
        <v>57466.95</v>
      </c>
      <c r="AN1420" s="153">
        <f t="shared" si="1284"/>
        <v>0</v>
      </c>
      <c r="AO1420" s="154">
        <f t="shared" si="1285"/>
        <v>0</v>
      </c>
      <c r="AP1420" s="150">
        <v>57466.95</v>
      </c>
      <c r="AQ1420" s="201">
        <v>57466.95</v>
      </c>
      <c r="AR1420" s="199"/>
      <c r="AS1420" s="150">
        <f t="shared" si="1278"/>
        <v>57466.95</v>
      </c>
      <c r="AT1420" s="155"/>
      <c r="AU1420" s="156">
        <f t="shared" si="1280"/>
        <v>0</v>
      </c>
      <c r="AV1420" s="156">
        <f t="shared" si="1281"/>
        <v>654.731335356606</v>
      </c>
      <c r="AW1420" s="157"/>
      <c r="AX1420" s="150">
        <v>56812.218664643391</v>
      </c>
      <c r="AY1420" s="150">
        <v>2617.02</v>
      </c>
      <c r="AZ1420" s="150">
        <f t="shared" si="1279"/>
        <v>32557.849853200238</v>
      </c>
      <c r="BA1420" s="348">
        <v>35174.869853200238</v>
      </c>
      <c r="BB1420" s="202">
        <v>5</v>
      </c>
      <c r="BC1420" s="202" t="s">
        <v>714</v>
      </c>
      <c r="BD1420" s="202" t="s">
        <v>632</v>
      </c>
      <c r="BE1420" s="202" t="s">
        <v>647</v>
      </c>
      <c r="BF1420" s="202" t="s">
        <v>1229</v>
      </c>
      <c r="BG1420" s="345" t="s">
        <v>8484</v>
      </c>
      <c r="BH1420" s="216">
        <f>AS1420</f>
        <v>57466.95</v>
      </c>
      <c r="BI1420" s="205"/>
      <c r="BJ1420" s="206" t="s">
        <v>8479</v>
      </c>
      <c r="BK1420" s="206" t="s">
        <v>574</v>
      </c>
      <c r="BL1420" s="207" t="s">
        <v>8480</v>
      </c>
      <c r="BM1420" s="208">
        <f>BH1420</f>
        <v>57466.95</v>
      </c>
      <c r="BN1420" s="160"/>
      <c r="BO1420" s="161"/>
      <c r="BP1420" s="161"/>
    </row>
    <row r="1421" spans="1:68" ht="51">
      <c r="A1421" s="206" t="s">
        <v>574</v>
      </c>
      <c r="B1421" s="195" t="s">
        <v>8485</v>
      </c>
      <c r="C1421" s="196" t="s">
        <v>8486</v>
      </c>
      <c r="D1421" s="146" t="s">
        <v>4692</v>
      </c>
      <c r="E1421" s="196" t="s">
        <v>8486</v>
      </c>
      <c r="F1421" s="150">
        <v>11031.6</v>
      </c>
      <c r="G1421" s="209">
        <v>1600</v>
      </c>
      <c r="H1421" s="209">
        <v>11798.240311041989</v>
      </c>
      <c r="I1421" s="209">
        <v>13398.240311041989</v>
      </c>
      <c r="J1421" s="150">
        <v>148.6</v>
      </c>
      <c r="K1421" s="150">
        <v>1366.87</v>
      </c>
      <c r="L1421" s="150">
        <f t="shared" si="1288"/>
        <v>1515.4699999999998</v>
      </c>
      <c r="M1421" s="150">
        <v>744.1</v>
      </c>
      <c r="N1421" s="150">
        <v>2240.568503816794</v>
      </c>
      <c r="O1421" s="150">
        <v>2984.6685038167939</v>
      </c>
      <c r="P1421" s="150">
        <v>1154.1600000000001</v>
      </c>
      <c r="Q1421" s="150">
        <v>7718.5686081694403</v>
      </c>
      <c r="R1421" s="313">
        <f t="shared" si="1274"/>
        <v>8872.7286081694401</v>
      </c>
      <c r="S1421" s="150">
        <f t="shared" si="1286"/>
        <v>11830.304810892587</v>
      </c>
      <c r="T1421" s="150">
        <v>11735.02</v>
      </c>
      <c r="U1421" s="150">
        <v>1953.33</v>
      </c>
      <c r="V1421" s="199">
        <v>6946.3264643399107</v>
      </c>
      <c r="W1421" s="150">
        <f t="shared" si="1275"/>
        <v>8899.6564643399106</v>
      </c>
      <c r="X1421" s="150">
        <v>1953.33</v>
      </c>
      <c r="Y1421" s="150">
        <v>6946.3264643399107</v>
      </c>
      <c r="Z1421" s="150">
        <v>8899.6564643399106</v>
      </c>
      <c r="AA1421" s="150">
        <f t="shared" si="1282"/>
        <v>2835.3635356600898</v>
      </c>
      <c r="AB1421" s="150">
        <v>1953.33</v>
      </c>
      <c r="AC1421" s="199">
        <v>9781.69</v>
      </c>
      <c r="AD1421" s="150">
        <f t="shared" si="1276"/>
        <v>11735.02</v>
      </c>
      <c r="AE1421" s="150">
        <v>11735.02</v>
      </c>
      <c r="AF1421" s="169" t="s">
        <v>4680</v>
      </c>
      <c r="AG1421" s="201">
        <v>1953.33</v>
      </c>
      <c r="AH1421" s="199">
        <v>9781.69</v>
      </c>
      <c r="AI1421" s="150">
        <v>11735.02</v>
      </c>
      <c r="AJ1421" s="169">
        <f t="shared" si="1283"/>
        <v>0</v>
      </c>
      <c r="AK1421" s="201">
        <v>1953.33</v>
      </c>
      <c r="AL1421" s="199">
        <v>9781.69</v>
      </c>
      <c r="AM1421" s="150">
        <f t="shared" si="1277"/>
        <v>11735.02</v>
      </c>
      <c r="AN1421" s="153">
        <f t="shared" si="1284"/>
        <v>0</v>
      </c>
      <c r="AO1421" s="154">
        <f t="shared" si="1285"/>
        <v>0</v>
      </c>
      <c r="AP1421" s="150">
        <v>11735.02</v>
      </c>
      <c r="AQ1421" s="201">
        <v>11735.02</v>
      </c>
      <c r="AR1421" s="199"/>
      <c r="AS1421" s="150">
        <f t="shared" si="1278"/>
        <v>11735.02</v>
      </c>
      <c r="AT1421" s="155"/>
      <c r="AU1421" s="156">
        <f t="shared" si="1280"/>
        <v>0</v>
      </c>
      <c r="AV1421" s="156">
        <f t="shared" si="1281"/>
        <v>2835.3635356600898</v>
      </c>
      <c r="AW1421" s="157"/>
      <c r="AX1421" s="150">
        <v>8899.6564643399106</v>
      </c>
      <c r="AY1421" s="150">
        <v>864.1</v>
      </c>
      <c r="AZ1421" s="150">
        <f t="shared" si="1279"/>
        <v>5105.2370076335874</v>
      </c>
      <c r="BA1421" s="348">
        <v>5969.3370076335877</v>
      </c>
      <c r="BB1421" s="202">
        <v>5</v>
      </c>
      <c r="BC1421" s="202" t="s">
        <v>714</v>
      </c>
      <c r="BD1421" s="202" t="s">
        <v>632</v>
      </c>
      <c r="BE1421" s="202" t="s">
        <v>647</v>
      </c>
      <c r="BF1421" s="202" t="s">
        <v>1243</v>
      </c>
      <c r="BG1421" s="345" t="s">
        <v>8487</v>
      </c>
      <c r="BH1421" s="216">
        <f>AS1421</f>
        <v>11735.02</v>
      </c>
      <c r="BI1421" s="205"/>
      <c r="BJ1421" s="206" t="s">
        <v>8479</v>
      </c>
      <c r="BK1421" s="206" t="s">
        <v>574</v>
      </c>
      <c r="BL1421" s="207" t="s">
        <v>8480</v>
      </c>
      <c r="BM1421" s="208">
        <f>BH1421</f>
        <v>11735.02</v>
      </c>
      <c r="BN1421" s="160"/>
      <c r="BO1421" s="161">
        <f t="shared" si="1287"/>
        <v>0</v>
      </c>
      <c r="BP1421" s="161"/>
    </row>
    <row r="1422" spans="1:68" ht="38.25">
      <c r="A1422" s="206" t="s">
        <v>574</v>
      </c>
      <c r="B1422" s="195" t="s">
        <v>8488</v>
      </c>
      <c r="C1422" s="196" t="s">
        <v>8489</v>
      </c>
      <c r="D1422" s="146" t="s">
        <v>4692</v>
      </c>
      <c r="E1422" s="196" t="s">
        <v>8489</v>
      </c>
      <c r="F1422" s="150">
        <v>13398</v>
      </c>
      <c r="G1422" s="209">
        <v>0</v>
      </c>
      <c r="H1422" s="209">
        <v>0</v>
      </c>
      <c r="I1422" s="209">
        <v>0</v>
      </c>
      <c r="J1422" s="150">
        <v>0</v>
      </c>
      <c r="K1422" s="150">
        <v>1713.45</v>
      </c>
      <c r="L1422" s="150">
        <f t="shared" si="1288"/>
        <v>1713.45</v>
      </c>
      <c r="M1422" s="150">
        <v>0</v>
      </c>
      <c r="N1422" s="150">
        <v>3374.5803816793891</v>
      </c>
      <c r="O1422" s="150">
        <v>3374.5803816793891</v>
      </c>
      <c r="P1422" s="150">
        <v>0</v>
      </c>
      <c r="Q1422" s="150">
        <v>10031.846369137669</v>
      </c>
      <c r="R1422" s="313">
        <f t="shared" si="1274"/>
        <v>10031.846369137669</v>
      </c>
      <c r="S1422" s="150">
        <f t="shared" si="1286"/>
        <v>13375.795158850226</v>
      </c>
      <c r="T1422" s="150">
        <v>10062.290000000001</v>
      </c>
      <c r="U1422" s="150">
        <v>0</v>
      </c>
      <c r="V1422" s="199">
        <v>10062.292033383916</v>
      </c>
      <c r="W1422" s="150">
        <f t="shared" si="1275"/>
        <v>10062.292033383916</v>
      </c>
      <c r="X1422" s="150">
        <v>0</v>
      </c>
      <c r="Y1422" s="150">
        <v>10062.292033383916</v>
      </c>
      <c r="Z1422" s="150">
        <v>10062.292033383916</v>
      </c>
      <c r="AA1422" s="150">
        <f t="shared" si="1282"/>
        <v>0</v>
      </c>
      <c r="AB1422" s="150">
        <v>0</v>
      </c>
      <c r="AC1422" s="199">
        <v>10062.292033383916</v>
      </c>
      <c r="AD1422" s="150">
        <f t="shared" si="1276"/>
        <v>10062.292033383916</v>
      </c>
      <c r="AE1422" s="150">
        <v>10062.292033383916</v>
      </c>
      <c r="AF1422" s="169" t="s">
        <v>4680</v>
      </c>
      <c r="AG1422" s="201">
        <v>0</v>
      </c>
      <c r="AH1422" s="199">
        <v>10062.292033383916</v>
      </c>
      <c r="AI1422" s="150">
        <v>10062.292033383916</v>
      </c>
      <c r="AJ1422" s="169">
        <f t="shared" si="1283"/>
        <v>0</v>
      </c>
      <c r="AK1422" s="201">
        <v>0</v>
      </c>
      <c r="AL1422" s="199">
        <v>10062.292033383916</v>
      </c>
      <c r="AM1422" s="150">
        <f t="shared" si="1277"/>
        <v>10062.292033383916</v>
      </c>
      <c r="AN1422" s="153">
        <f t="shared" si="1284"/>
        <v>-2.0333839147497201E-3</v>
      </c>
      <c r="AO1422" s="154">
        <f t="shared" si="1285"/>
        <v>-2.0333839147497201E-3</v>
      </c>
      <c r="AP1422" s="150">
        <v>10062.292033383916</v>
      </c>
      <c r="AQ1422" s="201">
        <v>10062.290000000001</v>
      </c>
      <c r="AR1422" s="199"/>
      <c r="AS1422" s="150">
        <f t="shared" si="1278"/>
        <v>10062.290000000001</v>
      </c>
      <c r="AT1422" s="155"/>
      <c r="AU1422" s="156">
        <f t="shared" si="1280"/>
        <v>0</v>
      </c>
      <c r="AV1422" s="156">
        <f t="shared" si="1281"/>
        <v>0</v>
      </c>
      <c r="AW1422" s="157"/>
      <c r="AX1422" s="150">
        <v>10062.292033383916</v>
      </c>
      <c r="AY1422" s="150">
        <v>0</v>
      </c>
      <c r="AZ1422" s="150">
        <f t="shared" si="1279"/>
        <v>6749.1607633587782</v>
      </c>
      <c r="BA1422" s="348">
        <v>6749.1607633587782</v>
      </c>
      <c r="BB1422" s="202">
        <v>5</v>
      </c>
      <c r="BC1422" s="202" t="s">
        <v>714</v>
      </c>
      <c r="BD1422" s="202" t="s">
        <v>632</v>
      </c>
      <c r="BE1422" s="202" t="s">
        <v>647</v>
      </c>
      <c r="BF1422" s="202" t="s">
        <v>1247</v>
      </c>
      <c r="BG1422" s="231" t="s">
        <v>8490</v>
      </c>
      <c r="BH1422" s="216">
        <f>AS1422</f>
        <v>10062.290000000001</v>
      </c>
      <c r="BI1422" s="205"/>
      <c r="BJ1422" s="206" t="s">
        <v>8479</v>
      </c>
      <c r="BK1422" s="206" t="s">
        <v>574</v>
      </c>
      <c r="BL1422" s="207" t="s">
        <v>8480</v>
      </c>
      <c r="BM1422" s="208">
        <f>BH1422</f>
        <v>10062.290000000001</v>
      </c>
      <c r="BN1422" s="160"/>
      <c r="BO1422" s="161">
        <f t="shared" si="1287"/>
        <v>0</v>
      </c>
      <c r="BP1422" s="161"/>
    </row>
    <row r="1423" spans="1:68" ht="38.25">
      <c r="A1423" s="206" t="s">
        <v>574</v>
      </c>
      <c r="B1423" s="195" t="s">
        <v>8491</v>
      </c>
      <c r="C1423" s="196" t="s">
        <v>8492</v>
      </c>
      <c r="D1423" s="146" t="s">
        <v>4692</v>
      </c>
      <c r="E1423" s="196" t="s">
        <v>8492</v>
      </c>
      <c r="F1423" s="150">
        <v>0</v>
      </c>
      <c r="G1423" s="209">
        <v>5660.77</v>
      </c>
      <c r="H1423" s="209">
        <v>0</v>
      </c>
      <c r="I1423" s="209">
        <v>5660.77</v>
      </c>
      <c r="J1423" s="150">
        <v>0</v>
      </c>
      <c r="K1423" s="150">
        <v>0</v>
      </c>
      <c r="L1423" s="150">
        <f t="shared" si="1288"/>
        <v>0</v>
      </c>
      <c r="M1423" s="150">
        <v>0</v>
      </c>
      <c r="N1423" s="150">
        <v>0</v>
      </c>
      <c r="O1423" s="150">
        <v>0</v>
      </c>
      <c r="P1423" s="150">
        <v>0</v>
      </c>
      <c r="Q1423" s="150">
        <v>0</v>
      </c>
      <c r="R1423" s="313">
        <f t="shared" si="1274"/>
        <v>0</v>
      </c>
      <c r="S1423" s="150">
        <f t="shared" si="1286"/>
        <v>0</v>
      </c>
      <c r="T1423" s="150">
        <v>0</v>
      </c>
      <c r="U1423" s="150">
        <v>0</v>
      </c>
      <c r="V1423" s="199">
        <v>0</v>
      </c>
      <c r="W1423" s="150">
        <f t="shared" si="1275"/>
        <v>0</v>
      </c>
      <c r="X1423" s="150">
        <v>0</v>
      </c>
      <c r="Y1423" s="150">
        <v>0</v>
      </c>
      <c r="Z1423" s="150">
        <v>0</v>
      </c>
      <c r="AA1423" s="150">
        <f t="shared" si="1282"/>
        <v>0</v>
      </c>
      <c r="AB1423" s="150">
        <v>0</v>
      </c>
      <c r="AC1423" s="199">
        <v>0</v>
      </c>
      <c r="AD1423" s="150">
        <f t="shared" si="1276"/>
        <v>0</v>
      </c>
      <c r="AE1423" s="150">
        <v>0</v>
      </c>
      <c r="AF1423" s="169" t="s">
        <v>4680</v>
      </c>
      <c r="AG1423" s="201">
        <v>0</v>
      </c>
      <c r="AH1423" s="199">
        <v>0</v>
      </c>
      <c r="AI1423" s="150">
        <v>0</v>
      </c>
      <c r="AJ1423" s="169">
        <f t="shared" si="1283"/>
        <v>0</v>
      </c>
      <c r="AK1423" s="201">
        <v>0</v>
      </c>
      <c r="AL1423" s="199">
        <v>0</v>
      </c>
      <c r="AM1423" s="150">
        <f t="shared" si="1277"/>
        <v>0</v>
      </c>
      <c r="AN1423" s="153">
        <f t="shared" si="1284"/>
        <v>0</v>
      </c>
      <c r="AO1423" s="154">
        <f t="shared" si="1285"/>
        <v>0</v>
      </c>
      <c r="AP1423" s="150">
        <v>0</v>
      </c>
      <c r="AQ1423" s="201">
        <v>0</v>
      </c>
      <c r="AR1423" s="199">
        <v>0</v>
      </c>
      <c r="AS1423" s="150">
        <f t="shared" si="1278"/>
        <v>0</v>
      </c>
      <c r="AT1423" s="155"/>
      <c r="AU1423" s="156">
        <f t="shared" si="1280"/>
        <v>0</v>
      </c>
      <c r="AV1423" s="156">
        <f t="shared" si="1281"/>
        <v>0</v>
      </c>
      <c r="AW1423" s="157"/>
      <c r="AX1423" s="150">
        <v>0</v>
      </c>
      <c r="AY1423" s="150">
        <v>0</v>
      </c>
      <c r="AZ1423" s="150">
        <f t="shared" si="1279"/>
        <v>0</v>
      </c>
      <c r="BA1423" s="348">
        <v>0</v>
      </c>
      <c r="BB1423" s="202">
        <v>5</v>
      </c>
      <c r="BC1423" s="202" t="s">
        <v>714</v>
      </c>
      <c r="BD1423" s="202" t="s">
        <v>632</v>
      </c>
      <c r="BE1423" s="202" t="s">
        <v>647</v>
      </c>
      <c r="BF1423" s="202" t="s">
        <v>1253</v>
      </c>
      <c r="BG1423" s="231" t="s">
        <v>8493</v>
      </c>
      <c r="BH1423" s="216">
        <f>SUM(AS1423:AS1431)</f>
        <v>60708.55</v>
      </c>
      <c r="BI1423" s="205"/>
      <c r="BJ1423" s="206" t="s">
        <v>8479</v>
      </c>
      <c r="BK1423" s="206" t="s">
        <v>574</v>
      </c>
      <c r="BL1423" s="207" t="s">
        <v>8480</v>
      </c>
      <c r="BM1423" s="208">
        <f>BH1423</f>
        <v>60708.55</v>
      </c>
      <c r="BN1423" s="160"/>
      <c r="BO1423" s="161"/>
      <c r="BP1423" s="161"/>
    </row>
    <row r="1424" spans="1:68" ht="38.25">
      <c r="A1424" s="210"/>
      <c r="B1424" s="195" t="s">
        <v>8494</v>
      </c>
      <c r="C1424" s="196" t="s">
        <v>8495</v>
      </c>
      <c r="D1424" s="146" t="s">
        <v>4692</v>
      </c>
      <c r="E1424" s="196" t="s">
        <v>8495</v>
      </c>
      <c r="F1424" s="150">
        <v>5660.77</v>
      </c>
      <c r="G1424" s="209">
        <v>1409.69</v>
      </c>
      <c r="H1424" s="209">
        <v>0</v>
      </c>
      <c r="I1424" s="209">
        <v>1409.69</v>
      </c>
      <c r="J1424" s="150">
        <v>2370</v>
      </c>
      <c r="K1424" s="150">
        <v>2376.44</v>
      </c>
      <c r="L1424" s="150">
        <f t="shared" si="1288"/>
        <v>4746.4400000000005</v>
      </c>
      <c r="M1424" s="150">
        <v>3752.5</v>
      </c>
      <c r="N1424" s="150">
        <v>0</v>
      </c>
      <c r="O1424" s="150">
        <v>3752.5</v>
      </c>
      <c r="P1424" s="150">
        <v>4937.5</v>
      </c>
      <c r="Q1424" s="150">
        <v>16633.763744389151</v>
      </c>
      <c r="R1424" s="313">
        <f t="shared" si="1274"/>
        <v>21571.263744389151</v>
      </c>
      <c r="S1424" s="150">
        <f t="shared" si="1286"/>
        <v>28761.684992518865</v>
      </c>
      <c r="T1424" s="150">
        <v>24667.24</v>
      </c>
      <c r="U1424" s="150">
        <v>6645.67</v>
      </c>
      <c r="V1424" s="199">
        <v>15478.121202458271</v>
      </c>
      <c r="W1424" s="150">
        <f t="shared" si="1275"/>
        <v>22123.791202458269</v>
      </c>
      <c r="X1424" s="150">
        <v>6645.67</v>
      </c>
      <c r="Y1424" s="150">
        <v>15478.121202458271</v>
      </c>
      <c r="Z1424" s="150">
        <v>22123.791202458269</v>
      </c>
      <c r="AA1424" s="150">
        <f t="shared" si="1282"/>
        <v>2543.4487975417287</v>
      </c>
      <c r="AB1424" s="150">
        <v>6645.67</v>
      </c>
      <c r="AC1424" s="199">
        <v>18021.57</v>
      </c>
      <c r="AD1424" s="150">
        <f t="shared" si="1276"/>
        <v>24667.239999999998</v>
      </c>
      <c r="AE1424" s="150">
        <v>24667.239999999998</v>
      </c>
      <c r="AF1424" s="169" t="s">
        <v>4680</v>
      </c>
      <c r="AG1424" s="201">
        <v>6645.67</v>
      </c>
      <c r="AH1424" s="199">
        <v>18021.57</v>
      </c>
      <c r="AI1424" s="150">
        <v>24667.239999999998</v>
      </c>
      <c r="AJ1424" s="169">
        <f t="shared" si="1283"/>
        <v>0</v>
      </c>
      <c r="AK1424" s="201">
        <v>6645.67</v>
      </c>
      <c r="AL1424" s="199">
        <v>18021.57</v>
      </c>
      <c r="AM1424" s="150">
        <f t="shared" si="1277"/>
        <v>24667.239999999998</v>
      </c>
      <c r="AN1424" s="153">
        <f t="shared" si="1284"/>
        <v>0</v>
      </c>
      <c r="AO1424" s="154">
        <f t="shared" si="1285"/>
        <v>0</v>
      </c>
      <c r="AP1424" s="150">
        <v>24667.239999999998</v>
      </c>
      <c r="AQ1424" s="201">
        <v>24667.24</v>
      </c>
      <c r="AR1424" s="199"/>
      <c r="AS1424" s="150">
        <f t="shared" si="1278"/>
        <v>24667.24</v>
      </c>
      <c r="AT1424" s="155"/>
      <c r="AU1424" s="156">
        <f t="shared" si="1280"/>
        <v>0</v>
      </c>
      <c r="AV1424" s="156">
        <f t="shared" si="1281"/>
        <v>2543.4487975417287</v>
      </c>
      <c r="AW1424" s="157"/>
      <c r="AX1424" s="150">
        <v>22123.791202458269</v>
      </c>
      <c r="AY1424" s="150">
        <v>4147.5</v>
      </c>
      <c r="AZ1424" s="150">
        <f t="shared" si="1279"/>
        <v>3357.5</v>
      </c>
      <c r="BA1424" s="348">
        <v>7505</v>
      </c>
      <c r="BB1424" s="210"/>
      <c r="BC1424" s="210"/>
      <c r="BD1424" s="210"/>
      <c r="BE1424" s="210"/>
      <c r="BF1424" s="210"/>
      <c r="BG1424" s="210"/>
      <c r="BH1424" s="217"/>
      <c r="BI1424" s="210"/>
      <c r="BJ1424" s="210"/>
      <c r="BK1424" s="210"/>
      <c r="BL1424" s="210"/>
      <c r="BM1424" s="208"/>
      <c r="BN1424" s="160"/>
      <c r="BO1424" s="161"/>
      <c r="BP1424" s="161"/>
    </row>
    <row r="1425" spans="1:68" ht="25.5">
      <c r="A1425" s="210"/>
      <c r="B1425" s="195" t="s">
        <v>8496</v>
      </c>
      <c r="C1425" s="196" t="s">
        <v>8497</v>
      </c>
      <c r="D1425" s="146" t="s">
        <v>4692</v>
      </c>
      <c r="E1425" s="196" t="s">
        <v>8497</v>
      </c>
      <c r="F1425" s="150">
        <v>1409.69</v>
      </c>
      <c r="G1425" s="209">
        <v>0</v>
      </c>
      <c r="H1425" s="209">
        <v>0</v>
      </c>
      <c r="I1425" s="209">
        <v>0</v>
      </c>
      <c r="J1425" s="150">
        <v>604.32000000000005</v>
      </c>
      <c r="K1425" s="150">
        <v>0</v>
      </c>
      <c r="L1425" s="150">
        <f t="shared" si="1288"/>
        <v>604.32000000000005</v>
      </c>
      <c r="M1425" s="150">
        <v>875.68</v>
      </c>
      <c r="N1425" s="150">
        <v>0</v>
      </c>
      <c r="O1425" s="150">
        <v>875.68</v>
      </c>
      <c r="P1425" s="150">
        <v>1080.1199999999999</v>
      </c>
      <c r="Q1425" s="150">
        <v>0</v>
      </c>
      <c r="R1425" s="313">
        <f t="shared" si="1274"/>
        <v>1080.1199999999999</v>
      </c>
      <c r="S1425" s="150">
        <f t="shared" si="1286"/>
        <v>1440.1599999999999</v>
      </c>
      <c r="T1425" s="150">
        <v>1392.33</v>
      </c>
      <c r="U1425" s="150">
        <v>1392.33</v>
      </c>
      <c r="V1425" s="199">
        <v>0</v>
      </c>
      <c r="W1425" s="150">
        <f t="shared" si="1275"/>
        <v>1392.33</v>
      </c>
      <c r="X1425" s="150">
        <v>1392.33</v>
      </c>
      <c r="Y1425" s="150">
        <v>0</v>
      </c>
      <c r="Z1425" s="150">
        <v>1392.33</v>
      </c>
      <c r="AA1425" s="150">
        <f t="shared" si="1282"/>
        <v>0</v>
      </c>
      <c r="AB1425" s="150">
        <v>1392.33</v>
      </c>
      <c r="AC1425" s="199">
        <v>0</v>
      </c>
      <c r="AD1425" s="150">
        <f t="shared" si="1276"/>
        <v>1392.33</v>
      </c>
      <c r="AE1425" s="150">
        <v>1392.33</v>
      </c>
      <c r="AF1425" s="169" t="s">
        <v>4680</v>
      </c>
      <c r="AG1425" s="201">
        <v>1392.33</v>
      </c>
      <c r="AH1425" s="199">
        <v>0</v>
      </c>
      <c r="AI1425" s="150">
        <v>1392.33</v>
      </c>
      <c r="AJ1425" s="169">
        <f t="shared" si="1283"/>
        <v>0</v>
      </c>
      <c r="AK1425" s="201">
        <v>1392.33</v>
      </c>
      <c r="AL1425" s="199">
        <v>0</v>
      </c>
      <c r="AM1425" s="150">
        <f t="shared" si="1277"/>
        <v>1392.33</v>
      </c>
      <c r="AN1425" s="153">
        <f t="shared" si="1284"/>
        <v>0</v>
      </c>
      <c r="AO1425" s="154">
        <f t="shared" si="1285"/>
        <v>0</v>
      </c>
      <c r="AP1425" s="150">
        <v>1392.33</v>
      </c>
      <c r="AQ1425" s="201">
        <v>1392.33</v>
      </c>
      <c r="AR1425" s="199">
        <v>0</v>
      </c>
      <c r="AS1425" s="150">
        <f t="shared" si="1278"/>
        <v>1392.33</v>
      </c>
      <c r="AT1425" s="155"/>
      <c r="AU1425" s="156">
        <f t="shared" si="1280"/>
        <v>0</v>
      </c>
      <c r="AV1425" s="156">
        <f t="shared" si="1281"/>
        <v>0</v>
      </c>
      <c r="AW1425" s="157"/>
      <c r="AX1425" s="150">
        <v>1392.33</v>
      </c>
      <c r="AY1425" s="150">
        <v>944.49</v>
      </c>
      <c r="AZ1425" s="150">
        <f t="shared" si="1279"/>
        <v>806.86999999999989</v>
      </c>
      <c r="BA1425" s="348">
        <v>1751.36</v>
      </c>
      <c r="BB1425" s="210"/>
      <c r="BC1425" s="210"/>
      <c r="BD1425" s="210"/>
      <c r="BE1425" s="210"/>
      <c r="BF1425" s="210"/>
      <c r="BG1425" s="210"/>
      <c r="BH1425" s="217"/>
      <c r="BI1425" s="210"/>
      <c r="BJ1425" s="210"/>
      <c r="BK1425" s="210"/>
      <c r="BL1425" s="210"/>
      <c r="BM1425" s="208"/>
      <c r="BN1425" s="160"/>
      <c r="BO1425" s="161"/>
      <c r="BP1425" s="161"/>
    </row>
    <row r="1426" spans="1:68" ht="38.25">
      <c r="A1426" s="210"/>
      <c r="B1426" s="195" t="s">
        <v>8498</v>
      </c>
      <c r="C1426" s="196" t="s">
        <v>8499</v>
      </c>
      <c r="D1426" s="146" t="s">
        <v>4692</v>
      </c>
      <c r="E1426" s="196" t="s">
        <v>8499</v>
      </c>
      <c r="F1426" s="150">
        <v>0</v>
      </c>
      <c r="G1426" s="209">
        <v>0</v>
      </c>
      <c r="H1426" s="209">
        <v>0</v>
      </c>
      <c r="I1426" s="209">
        <v>0</v>
      </c>
      <c r="J1426" s="150">
        <v>0</v>
      </c>
      <c r="K1426" s="150">
        <v>0</v>
      </c>
      <c r="L1426" s="150">
        <f t="shared" si="1288"/>
        <v>0</v>
      </c>
      <c r="M1426" s="150">
        <v>0</v>
      </c>
      <c r="N1426" s="150">
        <v>0</v>
      </c>
      <c r="O1426" s="150">
        <v>0</v>
      </c>
      <c r="P1426" s="150">
        <v>0</v>
      </c>
      <c r="Q1426" s="150">
        <v>0</v>
      </c>
      <c r="R1426" s="313">
        <f t="shared" si="1274"/>
        <v>0</v>
      </c>
      <c r="S1426" s="150">
        <f t="shared" si="1286"/>
        <v>0</v>
      </c>
      <c r="T1426" s="150">
        <v>0</v>
      </c>
      <c r="U1426" s="150">
        <v>0</v>
      </c>
      <c r="V1426" s="199">
        <v>0</v>
      </c>
      <c r="W1426" s="150">
        <f t="shared" si="1275"/>
        <v>0</v>
      </c>
      <c r="X1426" s="150">
        <v>0</v>
      </c>
      <c r="Y1426" s="150">
        <v>0</v>
      </c>
      <c r="Z1426" s="150">
        <v>0</v>
      </c>
      <c r="AA1426" s="150">
        <f t="shared" si="1282"/>
        <v>0</v>
      </c>
      <c r="AB1426" s="150">
        <v>0</v>
      </c>
      <c r="AC1426" s="199">
        <v>0</v>
      </c>
      <c r="AD1426" s="150">
        <f t="shared" si="1276"/>
        <v>0</v>
      </c>
      <c r="AE1426" s="150">
        <v>0</v>
      </c>
      <c r="AF1426" s="169" t="s">
        <v>4680</v>
      </c>
      <c r="AG1426" s="201">
        <v>0</v>
      </c>
      <c r="AH1426" s="199">
        <v>0</v>
      </c>
      <c r="AI1426" s="150">
        <v>0</v>
      </c>
      <c r="AJ1426" s="169">
        <f t="shared" si="1283"/>
        <v>0</v>
      </c>
      <c r="AK1426" s="201">
        <v>0</v>
      </c>
      <c r="AL1426" s="199">
        <v>0</v>
      </c>
      <c r="AM1426" s="150">
        <f t="shared" si="1277"/>
        <v>0</v>
      </c>
      <c r="AN1426" s="153">
        <f t="shared" si="1284"/>
        <v>0</v>
      </c>
      <c r="AO1426" s="154">
        <f t="shared" si="1285"/>
        <v>0</v>
      </c>
      <c r="AP1426" s="150">
        <v>0</v>
      </c>
      <c r="AQ1426" s="201">
        <v>0</v>
      </c>
      <c r="AR1426" s="199">
        <v>0</v>
      </c>
      <c r="AS1426" s="150">
        <f t="shared" si="1278"/>
        <v>0</v>
      </c>
      <c r="AT1426" s="155"/>
      <c r="AU1426" s="156">
        <f t="shared" si="1280"/>
        <v>0</v>
      </c>
      <c r="AV1426" s="156">
        <f t="shared" si="1281"/>
        <v>0</v>
      </c>
      <c r="AW1426" s="157"/>
      <c r="AX1426" s="150">
        <v>0</v>
      </c>
      <c r="AY1426" s="150">
        <v>0</v>
      </c>
      <c r="AZ1426" s="150">
        <f t="shared" si="1279"/>
        <v>0</v>
      </c>
      <c r="BA1426" s="348">
        <v>0</v>
      </c>
      <c r="BB1426" s="210"/>
      <c r="BC1426" s="210"/>
      <c r="BD1426" s="210"/>
      <c r="BE1426" s="210"/>
      <c r="BF1426" s="210"/>
      <c r="BG1426" s="210"/>
      <c r="BH1426" s="217"/>
      <c r="BI1426" s="210"/>
      <c r="BJ1426" s="210"/>
      <c r="BK1426" s="210"/>
      <c r="BL1426" s="210"/>
      <c r="BM1426" s="208"/>
      <c r="BN1426" s="160"/>
      <c r="BO1426" s="161"/>
      <c r="BP1426" s="161"/>
    </row>
    <row r="1427" spans="1:68" ht="38.25">
      <c r="A1427" s="210"/>
      <c r="B1427" s="195" t="s">
        <v>8500</v>
      </c>
      <c r="C1427" s="196" t="s">
        <v>8501</v>
      </c>
      <c r="D1427" s="146" t="s">
        <v>4692</v>
      </c>
      <c r="E1427" s="196" t="s">
        <v>8501</v>
      </c>
      <c r="F1427" s="150">
        <v>0</v>
      </c>
      <c r="G1427" s="209">
        <v>28955.48</v>
      </c>
      <c r="H1427" s="209">
        <v>23879.97022452877</v>
      </c>
      <c r="I1427" s="209">
        <v>52835.450224528773</v>
      </c>
      <c r="J1427" s="150">
        <v>0</v>
      </c>
      <c r="K1427" s="150">
        <v>0</v>
      </c>
      <c r="L1427" s="150">
        <f t="shared" si="1288"/>
        <v>0</v>
      </c>
      <c r="M1427" s="150">
        <v>0</v>
      </c>
      <c r="N1427" s="150">
        <v>0</v>
      </c>
      <c r="O1427" s="150">
        <v>0</v>
      </c>
      <c r="P1427" s="150">
        <v>0</v>
      </c>
      <c r="Q1427" s="150">
        <v>0</v>
      </c>
      <c r="R1427" s="313">
        <f t="shared" si="1274"/>
        <v>0</v>
      </c>
      <c r="S1427" s="150">
        <f t="shared" si="1286"/>
        <v>0</v>
      </c>
      <c r="T1427" s="150">
        <v>0</v>
      </c>
      <c r="U1427" s="150">
        <v>0</v>
      </c>
      <c r="V1427" s="199">
        <v>0</v>
      </c>
      <c r="W1427" s="150">
        <f t="shared" si="1275"/>
        <v>0</v>
      </c>
      <c r="X1427" s="150">
        <v>0</v>
      </c>
      <c r="Y1427" s="150">
        <v>0</v>
      </c>
      <c r="Z1427" s="150">
        <v>0</v>
      </c>
      <c r="AA1427" s="150">
        <f t="shared" si="1282"/>
        <v>0</v>
      </c>
      <c r="AB1427" s="150">
        <v>0</v>
      </c>
      <c r="AC1427" s="199">
        <v>0</v>
      </c>
      <c r="AD1427" s="150">
        <f t="shared" si="1276"/>
        <v>0</v>
      </c>
      <c r="AE1427" s="150">
        <v>0</v>
      </c>
      <c r="AF1427" s="169" t="s">
        <v>4680</v>
      </c>
      <c r="AG1427" s="201">
        <v>0</v>
      </c>
      <c r="AH1427" s="199">
        <v>0</v>
      </c>
      <c r="AI1427" s="150">
        <v>0</v>
      </c>
      <c r="AJ1427" s="169">
        <f t="shared" si="1283"/>
        <v>0</v>
      </c>
      <c r="AK1427" s="201">
        <v>0</v>
      </c>
      <c r="AL1427" s="199">
        <v>0</v>
      </c>
      <c r="AM1427" s="150">
        <f t="shared" si="1277"/>
        <v>0</v>
      </c>
      <c r="AN1427" s="153">
        <f t="shared" si="1284"/>
        <v>0</v>
      </c>
      <c r="AO1427" s="154">
        <f t="shared" si="1285"/>
        <v>0</v>
      </c>
      <c r="AP1427" s="150">
        <v>0</v>
      </c>
      <c r="AQ1427" s="201">
        <v>0</v>
      </c>
      <c r="AR1427" s="199">
        <v>0</v>
      </c>
      <c r="AS1427" s="150">
        <f t="shared" si="1278"/>
        <v>0</v>
      </c>
      <c r="AT1427" s="155"/>
      <c r="AU1427" s="156">
        <f t="shared" si="1280"/>
        <v>0</v>
      </c>
      <c r="AV1427" s="156">
        <f t="shared" si="1281"/>
        <v>0</v>
      </c>
      <c r="AW1427" s="157"/>
      <c r="AX1427" s="150">
        <v>0</v>
      </c>
      <c r="AY1427" s="150">
        <v>0</v>
      </c>
      <c r="AZ1427" s="150">
        <f t="shared" si="1279"/>
        <v>0</v>
      </c>
      <c r="BA1427" s="348">
        <v>0</v>
      </c>
      <c r="BB1427" s="210"/>
      <c r="BC1427" s="210"/>
      <c r="BD1427" s="210"/>
      <c r="BE1427" s="210"/>
      <c r="BF1427" s="210"/>
      <c r="BG1427" s="210"/>
      <c r="BH1427" s="217"/>
      <c r="BI1427" s="210"/>
      <c r="BJ1427" s="210"/>
      <c r="BK1427" s="210"/>
      <c r="BL1427" s="210"/>
      <c r="BM1427" s="208"/>
      <c r="BN1427" s="160"/>
      <c r="BO1427" s="161"/>
      <c r="BP1427" s="161"/>
    </row>
    <row r="1428" spans="1:68" ht="38.25">
      <c r="A1428" s="210"/>
      <c r="B1428" s="195" t="s">
        <v>8502</v>
      </c>
      <c r="C1428" s="196" t="s">
        <v>8503</v>
      </c>
      <c r="D1428" s="146" t="s">
        <v>4692</v>
      </c>
      <c r="E1428" s="196" t="s">
        <v>8503</v>
      </c>
      <c r="F1428" s="150">
        <v>52835.48</v>
      </c>
      <c r="G1428" s="209">
        <v>0</v>
      </c>
      <c r="H1428" s="209">
        <v>3000</v>
      </c>
      <c r="I1428" s="209">
        <v>3000</v>
      </c>
      <c r="J1428" s="150">
        <v>11897.97</v>
      </c>
      <c r="K1428" s="150">
        <v>0</v>
      </c>
      <c r="L1428" s="150">
        <f t="shared" si="1288"/>
        <v>11897.97</v>
      </c>
      <c r="M1428" s="150">
        <v>18959.57</v>
      </c>
      <c r="N1428" s="150">
        <v>5397.0093691650036</v>
      </c>
      <c r="O1428" s="150">
        <v>24356.579369165003</v>
      </c>
      <c r="P1428" s="150">
        <v>24988.45</v>
      </c>
      <c r="Q1428" s="150">
        <v>0</v>
      </c>
      <c r="R1428" s="313">
        <f t="shared" si="1274"/>
        <v>24988.45</v>
      </c>
      <c r="S1428" s="150">
        <f t="shared" si="1286"/>
        <v>33317.933333333334</v>
      </c>
      <c r="T1428" s="150">
        <v>33661.22</v>
      </c>
      <c r="U1428" s="150">
        <v>33661.22</v>
      </c>
      <c r="V1428" s="199">
        <v>0</v>
      </c>
      <c r="W1428" s="150">
        <f t="shared" si="1275"/>
        <v>33661.22</v>
      </c>
      <c r="X1428" s="150">
        <v>33661.22</v>
      </c>
      <c r="Y1428" s="150">
        <v>0</v>
      </c>
      <c r="Z1428" s="150">
        <v>33661.22</v>
      </c>
      <c r="AA1428" s="150">
        <f t="shared" si="1282"/>
        <v>0</v>
      </c>
      <c r="AB1428" s="150">
        <v>33661.22</v>
      </c>
      <c r="AC1428" s="199">
        <v>0</v>
      </c>
      <c r="AD1428" s="150">
        <f t="shared" si="1276"/>
        <v>33661.22</v>
      </c>
      <c r="AE1428" s="150">
        <v>33661.22</v>
      </c>
      <c r="AF1428" s="169" t="s">
        <v>4680</v>
      </c>
      <c r="AG1428" s="201">
        <v>33661.22</v>
      </c>
      <c r="AH1428" s="199">
        <v>0</v>
      </c>
      <c r="AI1428" s="150">
        <v>33661.22</v>
      </c>
      <c r="AJ1428" s="169">
        <f t="shared" si="1283"/>
        <v>0</v>
      </c>
      <c r="AK1428" s="201">
        <v>33661.22</v>
      </c>
      <c r="AL1428" s="199">
        <v>0</v>
      </c>
      <c r="AM1428" s="150">
        <f t="shared" si="1277"/>
        <v>33661.22</v>
      </c>
      <c r="AN1428" s="153">
        <f t="shared" si="1284"/>
        <v>0</v>
      </c>
      <c r="AO1428" s="154">
        <f t="shared" si="1285"/>
        <v>0</v>
      </c>
      <c r="AP1428" s="150">
        <v>33661.22</v>
      </c>
      <c r="AQ1428" s="201">
        <v>33661.22</v>
      </c>
      <c r="AR1428" s="199">
        <v>0</v>
      </c>
      <c r="AS1428" s="150">
        <f t="shared" si="1278"/>
        <v>33661.22</v>
      </c>
      <c r="AT1428" s="155"/>
      <c r="AU1428" s="156">
        <f t="shared" si="1280"/>
        <v>0</v>
      </c>
      <c r="AV1428" s="156">
        <f t="shared" si="1281"/>
        <v>0</v>
      </c>
      <c r="AW1428" s="157"/>
      <c r="AX1428" s="150">
        <v>33661.22</v>
      </c>
      <c r="AY1428" s="150">
        <v>20965.23</v>
      </c>
      <c r="AZ1428" s="150">
        <f t="shared" si="1279"/>
        <v>27747.928738330007</v>
      </c>
      <c r="BA1428" s="348">
        <v>48713.158738330007</v>
      </c>
      <c r="BB1428" s="210"/>
      <c r="BC1428" s="210"/>
      <c r="BD1428" s="210"/>
      <c r="BE1428" s="210"/>
      <c r="BF1428" s="210"/>
      <c r="BG1428" s="210"/>
      <c r="BH1428" s="217"/>
      <c r="BI1428" s="210"/>
      <c r="BJ1428" s="210"/>
      <c r="BK1428" s="210"/>
      <c r="BL1428" s="210"/>
      <c r="BM1428" s="208"/>
      <c r="BN1428" s="160"/>
      <c r="BO1428" s="161"/>
      <c r="BP1428" s="161"/>
    </row>
    <row r="1429" spans="1:68" ht="25.5">
      <c r="A1429" s="210"/>
      <c r="B1429" s="195" t="s">
        <v>8504</v>
      </c>
      <c r="C1429" s="196" t="s">
        <v>8505</v>
      </c>
      <c r="D1429" s="146" t="s">
        <v>4692</v>
      </c>
      <c r="E1429" s="196" t="s">
        <v>8505</v>
      </c>
      <c r="F1429" s="150">
        <v>3000</v>
      </c>
      <c r="G1429" s="209">
        <v>0</v>
      </c>
      <c r="H1429" s="209">
        <v>0</v>
      </c>
      <c r="I1429" s="209">
        <v>0</v>
      </c>
      <c r="J1429" s="150">
        <v>0</v>
      </c>
      <c r="K1429" s="150">
        <v>750</v>
      </c>
      <c r="L1429" s="150">
        <f t="shared" si="1288"/>
        <v>750</v>
      </c>
      <c r="M1429" s="150">
        <v>0</v>
      </c>
      <c r="N1429" s="150">
        <v>1500</v>
      </c>
      <c r="O1429" s="150">
        <v>1500</v>
      </c>
      <c r="P1429" s="150">
        <v>0</v>
      </c>
      <c r="Q1429" s="150">
        <v>0</v>
      </c>
      <c r="R1429" s="313">
        <f t="shared" si="1274"/>
        <v>0</v>
      </c>
      <c r="S1429" s="150">
        <f t="shared" si="1286"/>
        <v>0</v>
      </c>
      <c r="T1429" s="150">
        <v>987.76</v>
      </c>
      <c r="U1429" s="150">
        <v>0</v>
      </c>
      <c r="V1429" s="199">
        <v>987.76</v>
      </c>
      <c r="W1429" s="150">
        <f t="shared" si="1275"/>
        <v>987.76</v>
      </c>
      <c r="X1429" s="150">
        <v>0</v>
      </c>
      <c r="Y1429" s="150">
        <v>987.76</v>
      </c>
      <c r="Z1429" s="150">
        <v>987.76</v>
      </c>
      <c r="AA1429" s="150">
        <f t="shared" si="1282"/>
        <v>0</v>
      </c>
      <c r="AB1429" s="150">
        <v>0</v>
      </c>
      <c r="AC1429" s="199">
        <v>987.76</v>
      </c>
      <c r="AD1429" s="150">
        <f t="shared" si="1276"/>
        <v>987.76</v>
      </c>
      <c r="AE1429" s="150">
        <v>987.76</v>
      </c>
      <c r="AF1429" s="169" t="s">
        <v>4680</v>
      </c>
      <c r="AG1429" s="201">
        <v>0</v>
      </c>
      <c r="AH1429" s="199">
        <v>987.76</v>
      </c>
      <c r="AI1429" s="150">
        <v>987.76</v>
      </c>
      <c r="AJ1429" s="169">
        <f t="shared" si="1283"/>
        <v>0</v>
      </c>
      <c r="AK1429" s="201">
        <v>0</v>
      </c>
      <c r="AL1429" s="199">
        <v>987.76</v>
      </c>
      <c r="AM1429" s="150">
        <f t="shared" si="1277"/>
        <v>987.76</v>
      </c>
      <c r="AN1429" s="153">
        <f t="shared" si="1284"/>
        <v>0</v>
      </c>
      <c r="AO1429" s="154">
        <f t="shared" si="1285"/>
        <v>0</v>
      </c>
      <c r="AP1429" s="150">
        <v>987.76</v>
      </c>
      <c r="AQ1429" s="201">
        <v>987.76</v>
      </c>
      <c r="AR1429" s="199"/>
      <c r="AS1429" s="150">
        <f t="shared" si="1278"/>
        <v>987.76</v>
      </c>
      <c r="AT1429" s="155"/>
      <c r="AU1429" s="156">
        <f t="shared" si="1280"/>
        <v>0</v>
      </c>
      <c r="AV1429" s="156">
        <f t="shared" si="1281"/>
        <v>0</v>
      </c>
      <c r="AW1429" s="157"/>
      <c r="AX1429" s="150">
        <v>987.76</v>
      </c>
      <c r="AY1429" s="150">
        <v>0</v>
      </c>
      <c r="AZ1429" s="150">
        <f t="shared" si="1279"/>
        <v>3000</v>
      </c>
      <c r="BA1429" s="348">
        <v>3000</v>
      </c>
      <c r="BB1429" s="210"/>
      <c r="BC1429" s="210"/>
      <c r="BD1429" s="210"/>
      <c r="BE1429" s="210"/>
      <c r="BF1429" s="210"/>
      <c r="BG1429" s="210"/>
      <c r="BH1429" s="217"/>
      <c r="BI1429" s="210"/>
      <c r="BJ1429" s="210"/>
      <c r="BK1429" s="210"/>
      <c r="BL1429" s="210"/>
      <c r="BM1429" s="208"/>
      <c r="BN1429" s="160"/>
      <c r="BO1429" s="161"/>
      <c r="BP1429" s="161"/>
    </row>
    <row r="1430" spans="1:68" ht="38.25">
      <c r="A1430" s="210"/>
      <c r="B1430" s="195" t="s">
        <v>8506</v>
      </c>
      <c r="C1430" s="196" t="s">
        <v>8507</v>
      </c>
      <c r="D1430" s="146" t="s">
        <v>4692</v>
      </c>
      <c r="E1430" s="196" t="s">
        <v>8507</v>
      </c>
      <c r="F1430" s="150">
        <v>0</v>
      </c>
      <c r="G1430" s="209">
        <v>0</v>
      </c>
      <c r="H1430" s="209">
        <v>0</v>
      </c>
      <c r="I1430" s="209">
        <v>0</v>
      </c>
      <c r="J1430" s="150">
        <v>0</v>
      </c>
      <c r="K1430" s="150">
        <v>0</v>
      </c>
      <c r="L1430" s="150">
        <f t="shared" si="1288"/>
        <v>0</v>
      </c>
      <c r="M1430" s="150">
        <v>0</v>
      </c>
      <c r="N1430" s="150">
        <v>0</v>
      </c>
      <c r="O1430" s="150">
        <v>0</v>
      </c>
      <c r="P1430" s="150">
        <v>0</v>
      </c>
      <c r="Q1430" s="150">
        <v>0</v>
      </c>
      <c r="R1430" s="313">
        <f t="shared" si="1274"/>
        <v>0</v>
      </c>
      <c r="S1430" s="150">
        <f t="shared" si="1286"/>
        <v>0</v>
      </c>
      <c r="T1430" s="150">
        <v>0</v>
      </c>
      <c r="U1430" s="150">
        <v>0</v>
      </c>
      <c r="V1430" s="199">
        <v>0</v>
      </c>
      <c r="W1430" s="150">
        <f t="shared" si="1275"/>
        <v>0</v>
      </c>
      <c r="X1430" s="150">
        <v>0</v>
      </c>
      <c r="Y1430" s="150">
        <v>0</v>
      </c>
      <c r="Z1430" s="150">
        <v>0</v>
      </c>
      <c r="AA1430" s="150">
        <f t="shared" si="1282"/>
        <v>0</v>
      </c>
      <c r="AB1430" s="150">
        <v>0</v>
      </c>
      <c r="AC1430" s="199">
        <v>0</v>
      </c>
      <c r="AD1430" s="150">
        <f t="shared" si="1276"/>
        <v>0</v>
      </c>
      <c r="AE1430" s="150">
        <v>0</v>
      </c>
      <c r="AF1430" s="169" t="s">
        <v>4680</v>
      </c>
      <c r="AG1430" s="201">
        <v>0</v>
      </c>
      <c r="AH1430" s="199">
        <v>0</v>
      </c>
      <c r="AI1430" s="150">
        <v>0</v>
      </c>
      <c r="AJ1430" s="169">
        <f t="shared" si="1283"/>
        <v>0</v>
      </c>
      <c r="AK1430" s="201">
        <v>0</v>
      </c>
      <c r="AL1430" s="199">
        <v>0</v>
      </c>
      <c r="AM1430" s="150">
        <f t="shared" si="1277"/>
        <v>0</v>
      </c>
      <c r="AN1430" s="153">
        <f t="shared" si="1284"/>
        <v>0</v>
      </c>
      <c r="AO1430" s="154">
        <f t="shared" si="1285"/>
        <v>0</v>
      </c>
      <c r="AP1430" s="150">
        <v>0</v>
      </c>
      <c r="AQ1430" s="201">
        <v>0</v>
      </c>
      <c r="AR1430" s="199">
        <v>0</v>
      </c>
      <c r="AS1430" s="150">
        <f t="shared" si="1278"/>
        <v>0</v>
      </c>
      <c r="AT1430" s="155"/>
      <c r="AU1430" s="156">
        <f t="shared" si="1280"/>
        <v>0</v>
      </c>
      <c r="AV1430" s="156">
        <f t="shared" si="1281"/>
        <v>0</v>
      </c>
      <c r="AW1430" s="157"/>
      <c r="AX1430" s="150">
        <v>0</v>
      </c>
      <c r="AY1430" s="150">
        <v>0</v>
      </c>
      <c r="AZ1430" s="150">
        <f t="shared" si="1279"/>
        <v>0</v>
      </c>
      <c r="BA1430" s="348">
        <v>0</v>
      </c>
      <c r="BB1430" s="210"/>
      <c r="BC1430" s="210"/>
      <c r="BD1430" s="210"/>
      <c r="BE1430" s="210"/>
      <c r="BF1430" s="210"/>
      <c r="BG1430" s="210"/>
      <c r="BH1430" s="217"/>
      <c r="BI1430" s="210"/>
      <c r="BJ1430" s="210"/>
      <c r="BK1430" s="210"/>
      <c r="BL1430" s="210"/>
      <c r="BM1430" s="208"/>
      <c r="BN1430" s="160"/>
      <c r="BO1430" s="161">
        <f t="shared" si="1287"/>
        <v>0</v>
      </c>
      <c r="BP1430" s="161"/>
    </row>
    <row r="1431" spans="1:68" ht="38.25">
      <c r="A1431" s="210"/>
      <c r="B1431" s="195" t="s">
        <v>8508</v>
      </c>
      <c r="C1431" s="196" t="s">
        <v>8509</v>
      </c>
      <c r="D1431" s="146" t="s">
        <v>4692</v>
      </c>
      <c r="E1431" s="196" t="s">
        <v>8509</v>
      </c>
      <c r="F1431" s="150">
        <v>0</v>
      </c>
      <c r="G1431" s="209">
        <v>0</v>
      </c>
      <c r="H1431" s="209">
        <v>0</v>
      </c>
      <c r="I1431" s="209">
        <v>0</v>
      </c>
      <c r="J1431" s="150">
        <v>0</v>
      </c>
      <c r="K1431" s="150">
        <v>0</v>
      </c>
      <c r="L1431" s="150">
        <f t="shared" si="1288"/>
        <v>0</v>
      </c>
      <c r="M1431" s="150">
        <v>0</v>
      </c>
      <c r="N1431" s="150">
        <v>0</v>
      </c>
      <c r="O1431" s="150">
        <v>0</v>
      </c>
      <c r="P1431" s="150">
        <v>0</v>
      </c>
      <c r="Q1431" s="150">
        <v>0</v>
      </c>
      <c r="R1431" s="313">
        <f t="shared" si="1274"/>
        <v>0</v>
      </c>
      <c r="S1431" s="150">
        <f t="shared" si="1286"/>
        <v>0</v>
      </c>
      <c r="T1431" s="150">
        <v>0</v>
      </c>
      <c r="U1431" s="150">
        <v>0</v>
      </c>
      <c r="V1431" s="199">
        <v>0</v>
      </c>
      <c r="W1431" s="150">
        <f t="shared" si="1275"/>
        <v>0</v>
      </c>
      <c r="X1431" s="150">
        <v>0</v>
      </c>
      <c r="Y1431" s="150">
        <v>0</v>
      </c>
      <c r="Z1431" s="150">
        <v>0</v>
      </c>
      <c r="AA1431" s="150">
        <f t="shared" si="1282"/>
        <v>0</v>
      </c>
      <c r="AB1431" s="150">
        <v>0</v>
      </c>
      <c r="AC1431" s="199">
        <v>0</v>
      </c>
      <c r="AD1431" s="150">
        <f t="shared" si="1276"/>
        <v>0</v>
      </c>
      <c r="AE1431" s="150">
        <v>0</v>
      </c>
      <c r="AF1431" s="169" t="s">
        <v>4680</v>
      </c>
      <c r="AG1431" s="201">
        <v>0</v>
      </c>
      <c r="AH1431" s="199">
        <v>0</v>
      </c>
      <c r="AI1431" s="150">
        <v>0</v>
      </c>
      <c r="AJ1431" s="169">
        <f t="shared" si="1283"/>
        <v>0</v>
      </c>
      <c r="AK1431" s="201">
        <v>0</v>
      </c>
      <c r="AL1431" s="199">
        <v>0</v>
      </c>
      <c r="AM1431" s="150">
        <f t="shared" si="1277"/>
        <v>0</v>
      </c>
      <c r="AN1431" s="153">
        <f t="shared" si="1284"/>
        <v>0</v>
      </c>
      <c r="AO1431" s="154">
        <f t="shared" si="1285"/>
        <v>0</v>
      </c>
      <c r="AP1431" s="150">
        <v>0</v>
      </c>
      <c r="AQ1431" s="201">
        <v>0</v>
      </c>
      <c r="AR1431" s="199">
        <v>0</v>
      </c>
      <c r="AS1431" s="150">
        <f t="shared" si="1278"/>
        <v>0</v>
      </c>
      <c r="AT1431" s="155"/>
      <c r="AU1431" s="156">
        <f t="shared" si="1280"/>
        <v>0</v>
      </c>
      <c r="AV1431" s="156">
        <f t="shared" si="1281"/>
        <v>0</v>
      </c>
      <c r="AW1431" s="157"/>
      <c r="AX1431" s="150">
        <v>0</v>
      </c>
      <c r="AY1431" s="150">
        <v>0</v>
      </c>
      <c r="AZ1431" s="150">
        <f t="shared" si="1279"/>
        <v>0</v>
      </c>
      <c r="BA1431" s="348">
        <v>0</v>
      </c>
      <c r="BB1431" s="210"/>
      <c r="BC1431" s="210"/>
      <c r="BD1431" s="210"/>
      <c r="BE1431" s="210"/>
      <c r="BF1431" s="210"/>
      <c r="BG1431" s="210"/>
      <c r="BH1431" s="217"/>
      <c r="BI1431" s="210"/>
      <c r="BJ1431" s="210"/>
      <c r="BK1431" s="210"/>
      <c r="BL1431" s="210"/>
      <c r="BM1431" s="208"/>
      <c r="BN1431" s="160"/>
      <c r="BO1431" s="161">
        <f t="shared" si="1287"/>
        <v>0</v>
      </c>
      <c r="BP1431" s="161"/>
    </row>
    <row r="1432" spans="1:68" ht="38.25">
      <c r="A1432" s="206" t="s">
        <v>574</v>
      </c>
      <c r="B1432" s="195" t="s">
        <v>8510</v>
      </c>
      <c r="C1432" s="196" t="s">
        <v>8511</v>
      </c>
      <c r="D1432" s="146" t="s">
        <v>4692</v>
      </c>
      <c r="E1432" s="196" t="s">
        <v>8511</v>
      </c>
      <c r="F1432" s="150">
        <v>0</v>
      </c>
      <c r="G1432" s="209">
        <v>0</v>
      </c>
      <c r="H1432" s="209">
        <v>0</v>
      </c>
      <c r="I1432" s="209">
        <v>0</v>
      </c>
      <c r="J1432" s="150">
        <v>0</v>
      </c>
      <c r="K1432" s="150">
        <v>0</v>
      </c>
      <c r="L1432" s="150">
        <f t="shared" si="1288"/>
        <v>0</v>
      </c>
      <c r="M1432" s="150">
        <v>0</v>
      </c>
      <c r="N1432" s="150">
        <v>0</v>
      </c>
      <c r="O1432" s="150">
        <v>0</v>
      </c>
      <c r="P1432" s="150">
        <v>0</v>
      </c>
      <c r="Q1432" s="150">
        <v>0</v>
      </c>
      <c r="R1432" s="313">
        <f t="shared" si="1274"/>
        <v>0</v>
      </c>
      <c r="S1432" s="150">
        <f t="shared" si="1286"/>
        <v>0</v>
      </c>
      <c r="T1432" s="150">
        <v>0</v>
      </c>
      <c r="U1432" s="150">
        <v>0</v>
      </c>
      <c r="V1432" s="199">
        <v>0</v>
      </c>
      <c r="W1432" s="150">
        <f t="shared" si="1275"/>
        <v>0</v>
      </c>
      <c r="X1432" s="150">
        <v>0</v>
      </c>
      <c r="Y1432" s="150">
        <v>0</v>
      </c>
      <c r="Z1432" s="150">
        <v>0</v>
      </c>
      <c r="AA1432" s="150">
        <f t="shared" si="1282"/>
        <v>0</v>
      </c>
      <c r="AB1432" s="150">
        <v>0</v>
      </c>
      <c r="AC1432" s="199">
        <v>0</v>
      </c>
      <c r="AD1432" s="150">
        <f t="shared" si="1276"/>
        <v>0</v>
      </c>
      <c r="AE1432" s="150">
        <v>0</v>
      </c>
      <c r="AF1432" s="169" t="s">
        <v>4680</v>
      </c>
      <c r="AG1432" s="201">
        <v>0</v>
      </c>
      <c r="AH1432" s="199">
        <v>0</v>
      </c>
      <c r="AI1432" s="150">
        <v>0</v>
      </c>
      <c r="AJ1432" s="169">
        <f t="shared" si="1283"/>
        <v>0</v>
      </c>
      <c r="AK1432" s="201">
        <v>0</v>
      </c>
      <c r="AL1432" s="199">
        <v>0</v>
      </c>
      <c r="AM1432" s="150">
        <f t="shared" si="1277"/>
        <v>0</v>
      </c>
      <c r="AN1432" s="153">
        <f t="shared" si="1284"/>
        <v>0</v>
      </c>
      <c r="AO1432" s="154">
        <f t="shared" si="1285"/>
        <v>0</v>
      </c>
      <c r="AP1432" s="150">
        <v>0</v>
      </c>
      <c r="AQ1432" s="201">
        <v>0</v>
      </c>
      <c r="AR1432" s="199">
        <v>0</v>
      </c>
      <c r="AS1432" s="150">
        <f t="shared" si="1278"/>
        <v>0</v>
      </c>
      <c r="AT1432" s="155"/>
      <c r="AU1432" s="156">
        <f t="shared" si="1280"/>
        <v>0</v>
      </c>
      <c r="AV1432" s="156">
        <f t="shared" si="1281"/>
        <v>0</v>
      </c>
      <c r="AW1432" s="157"/>
      <c r="AX1432" s="150">
        <v>0</v>
      </c>
      <c r="AY1432" s="150">
        <v>0</v>
      </c>
      <c r="AZ1432" s="150">
        <f t="shared" si="1279"/>
        <v>0</v>
      </c>
      <c r="BA1432" s="348">
        <v>0</v>
      </c>
      <c r="BB1432" s="202">
        <v>5</v>
      </c>
      <c r="BC1432" s="202" t="s">
        <v>714</v>
      </c>
      <c r="BD1432" s="202" t="s">
        <v>632</v>
      </c>
      <c r="BE1432" s="202" t="s">
        <v>647</v>
      </c>
      <c r="BF1432" s="202" t="s">
        <v>1257</v>
      </c>
      <c r="BG1432" s="231" t="s">
        <v>8512</v>
      </c>
      <c r="BH1432" s="216">
        <f>AS1432</f>
        <v>0</v>
      </c>
      <c r="BI1432" s="205"/>
      <c r="BJ1432" s="206" t="s">
        <v>8479</v>
      </c>
      <c r="BK1432" s="206" t="s">
        <v>574</v>
      </c>
      <c r="BL1432" s="207" t="s">
        <v>8480</v>
      </c>
      <c r="BM1432" s="208">
        <f>BH1432</f>
        <v>0</v>
      </c>
      <c r="BN1432" s="160"/>
      <c r="BO1432" s="161">
        <f t="shared" si="1287"/>
        <v>0</v>
      </c>
      <c r="BP1432" s="161"/>
    </row>
    <row r="1433" spans="1:68" ht="51">
      <c r="A1433" s="206" t="s">
        <v>574</v>
      </c>
      <c r="B1433" s="195" t="s">
        <v>8513</v>
      </c>
      <c r="C1433" s="196" t="s">
        <v>8514</v>
      </c>
      <c r="D1433" s="146" t="s">
        <v>4692</v>
      </c>
      <c r="E1433" s="196" t="s">
        <v>8514</v>
      </c>
      <c r="F1433" s="150">
        <v>0</v>
      </c>
      <c r="G1433" s="209">
        <v>0</v>
      </c>
      <c r="H1433" s="209">
        <v>0</v>
      </c>
      <c r="I1433" s="209">
        <v>0</v>
      </c>
      <c r="J1433" s="150">
        <v>0</v>
      </c>
      <c r="K1433" s="150">
        <v>0</v>
      </c>
      <c r="L1433" s="150">
        <f t="shared" si="1288"/>
        <v>0</v>
      </c>
      <c r="M1433" s="150">
        <v>0</v>
      </c>
      <c r="N1433" s="150">
        <v>0</v>
      </c>
      <c r="O1433" s="150">
        <v>0</v>
      </c>
      <c r="P1433" s="150">
        <v>0</v>
      </c>
      <c r="Q1433" s="150">
        <v>0</v>
      </c>
      <c r="R1433" s="313">
        <f t="shared" si="1274"/>
        <v>0</v>
      </c>
      <c r="S1433" s="150">
        <f t="shared" si="1286"/>
        <v>0</v>
      </c>
      <c r="T1433" s="150">
        <v>0</v>
      </c>
      <c r="U1433" s="150">
        <v>0</v>
      </c>
      <c r="V1433" s="199">
        <v>0</v>
      </c>
      <c r="W1433" s="150">
        <f t="shared" si="1275"/>
        <v>0</v>
      </c>
      <c r="X1433" s="150">
        <v>0</v>
      </c>
      <c r="Y1433" s="150">
        <v>0</v>
      </c>
      <c r="Z1433" s="150">
        <v>0</v>
      </c>
      <c r="AA1433" s="150">
        <f t="shared" si="1282"/>
        <v>0</v>
      </c>
      <c r="AB1433" s="150">
        <v>0</v>
      </c>
      <c r="AC1433" s="199">
        <v>0</v>
      </c>
      <c r="AD1433" s="150">
        <f t="shared" si="1276"/>
        <v>0</v>
      </c>
      <c r="AE1433" s="150">
        <v>0</v>
      </c>
      <c r="AF1433" s="169" t="s">
        <v>4680</v>
      </c>
      <c r="AG1433" s="201">
        <v>0</v>
      </c>
      <c r="AH1433" s="199">
        <v>0</v>
      </c>
      <c r="AI1433" s="150">
        <v>0</v>
      </c>
      <c r="AJ1433" s="169">
        <f t="shared" si="1283"/>
        <v>0</v>
      </c>
      <c r="AK1433" s="201">
        <v>0</v>
      </c>
      <c r="AL1433" s="199">
        <v>0</v>
      </c>
      <c r="AM1433" s="150">
        <f t="shared" si="1277"/>
        <v>0</v>
      </c>
      <c r="AN1433" s="153">
        <f t="shared" si="1284"/>
        <v>0</v>
      </c>
      <c r="AO1433" s="154">
        <f t="shared" si="1285"/>
        <v>0</v>
      </c>
      <c r="AP1433" s="150">
        <v>0</v>
      </c>
      <c r="AQ1433" s="201">
        <v>0</v>
      </c>
      <c r="AR1433" s="199">
        <v>0</v>
      </c>
      <c r="AS1433" s="150">
        <f t="shared" si="1278"/>
        <v>0</v>
      </c>
      <c r="AT1433" s="155"/>
      <c r="AU1433" s="156">
        <f t="shared" si="1280"/>
        <v>0</v>
      </c>
      <c r="AV1433" s="156">
        <f t="shared" si="1281"/>
        <v>0</v>
      </c>
      <c r="AW1433" s="157"/>
      <c r="AX1433" s="150">
        <v>0</v>
      </c>
      <c r="AY1433" s="150">
        <v>0</v>
      </c>
      <c r="AZ1433" s="150">
        <f t="shared" si="1279"/>
        <v>0</v>
      </c>
      <c r="BA1433" s="348">
        <v>0</v>
      </c>
      <c r="BB1433" s="202">
        <v>5</v>
      </c>
      <c r="BC1433" s="202" t="s">
        <v>714</v>
      </c>
      <c r="BD1433" s="202" t="s">
        <v>632</v>
      </c>
      <c r="BE1433" s="202" t="s">
        <v>647</v>
      </c>
      <c r="BF1433" s="202" t="s">
        <v>1332</v>
      </c>
      <c r="BG1433" s="231" t="s">
        <v>8515</v>
      </c>
      <c r="BH1433" s="216">
        <f>AS1433</f>
        <v>0</v>
      </c>
      <c r="BI1433" s="205"/>
      <c r="BJ1433" s="206" t="s">
        <v>8479</v>
      </c>
      <c r="BK1433" s="206" t="s">
        <v>574</v>
      </c>
      <c r="BL1433" s="207" t="s">
        <v>8480</v>
      </c>
      <c r="BM1433" s="208">
        <f>BH1433</f>
        <v>0</v>
      </c>
      <c r="BN1433" s="160"/>
      <c r="BO1433" s="161">
        <f t="shared" si="1287"/>
        <v>0</v>
      </c>
      <c r="BP1433" s="161"/>
    </row>
    <row r="1434" spans="1:68" ht="51">
      <c r="A1434" s="206" t="s">
        <v>574</v>
      </c>
      <c r="B1434" s="195" t="s">
        <v>8516</v>
      </c>
      <c r="C1434" s="196" t="s">
        <v>8517</v>
      </c>
      <c r="D1434" s="146" t="s">
        <v>4692</v>
      </c>
      <c r="E1434" s="196" t="s">
        <v>8517</v>
      </c>
      <c r="F1434" s="150">
        <v>0</v>
      </c>
      <c r="G1434" s="209">
        <v>0</v>
      </c>
      <c r="H1434" s="209">
        <v>0</v>
      </c>
      <c r="I1434" s="209">
        <v>0</v>
      </c>
      <c r="J1434" s="150">
        <v>0</v>
      </c>
      <c r="K1434" s="150">
        <v>0</v>
      </c>
      <c r="L1434" s="150">
        <f t="shared" si="1288"/>
        <v>0</v>
      </c>
      <c r="M1434" s="150">
        <v>0</v>
      </c>
      <c r="N1434" s="150">
        <v>0</v>
      </c>
      <c r="O1434" s="150">
        <v>0</v>
      </c>
      <c r="P1434" s="150">
        <v>0</v>
      </c>
      <c r="Q1434" s="150">
        <v>0</v>
      </c>
      <c r="R1434" s="313">
        <f t="shared" si="1274"/>
        <v>0</v>
      </c>
      <c r="S1434" s="150">
        <f t="shared" si="1286"/>
        <v>0</v>
      </c>
      <c r="T1434" s="150">
        <v>0</v>
      </c>
      <c r="U1434" s="150">
        <v>0</v>
      </c>
      <c r="V1434" s="199">
        <v>0</v>
      </c>
      <c r="W1434" s="150">
        <f t="shared" si="1275"/>
        <v>0</v>
      </c>
      <c r="X1434" s="150">
        <v>0</v>
      </c>
      <c r="Y1434" s="150">
        <v>0</v>
      </c>
      <c r="Z1434" s="150">
        <v>0</v>
      </c>
      <c r="AA1434" s="150">
        <f t="shared" si="1282"/>
        <v>0</v>
      </c>
      <c r="AB1434" s="150">
        <v>0</v>
      </c>
      <c r="AC1434" s="199">
        <v>0</v>
      </c>
      <c r="AD1434" s="150">
        <f t="shared" si="1276"/>
        <v>0</v>
      </c>
      <c r="AE1434" s="150">
        <v>0</v>
      </c>
      <c r="AF1434" s="169" t="s">
        <v>4680</v>
      </c>
      <c r="AG1434" s="201">
        <v>0</v>
      </c>
      <c r="AH1434" s="199">
        <v>0</v>
      </c>
      <c r="AI1434" s="150">
        <v>0</v>
      </c>
      <c r="AJ1434" s="169">
        <f t="shared" si="1283"/>
        <v>0</v>
      </c>
      <c r="AK1434" s="201">
        <v>0</v>
      </c>
      <c r="AL1434" s="199">
        <v>0</v>
      </c>
      <c r="AM1434" s="150">
        <f t="shared" si="1277"/>
        <v>0</v>
      </c>
      <c r="AN1434" s="153">
        <f t="shared" si="1284"/>
        <v>0</v>
      </c>
      <c r="AO1434" s="154">
        <f t="shared" si="1285"/>
        <v>0</v>
      </c>
      <c r="AP1434" s="150">
        <v>0</v>
      </c>
      <c r="AQ1434" s="201">
        <v>0</v>
      </c>
      <c r="AR1434" s="199">
        <v>0</v>
      </c>
      <c r="AS1434" s="150">
        <f t="shared" si="1278"/>
        <v>0</v>
      </c>
      <c r="AT1434" s="155"/>
      <c r="AU1434" s="156">
        <f t="shared" si="1280"/>
        <v>0</v>
      </c>
      <c r="AV1434" s="156">
        <f t="shared" si="1281"/>
        <v>0</v>
      </c>
      <c r="AW1434" s="157"/>
      <c r="AX1434" s="150">
        <v>0</v>
      </c>
      <c r="AY1434" s="150">
        <v>0</v>
      </c>
      <c r="AZ1434" s="150">
        <f t="shared" si="1279"/>
        <v>0</v>
      </c>
      <c r="BA1434" s="348">
        <v>0</v>
      </c>
      <c r="BB1434" s="202">
        <v>5</v>
      </c>
      <c r="BC1434" s="202" t="s">
        <v>714</v>
      </c>
      <c r="BD1434" s="202" t="s">
        <v>632</v>
      </c>
      <c r="BE1434" s="202" t="s">
        <v>647</v>
      </c>
      <c r="BF1434" s="202" t="s">
        <v>1838</v>
      </c>
      <c r="BG1434" s="231" t="s">
        <v>8518</v>
      </c>
      <c r="BH1434" s="216">
        <f>AS1434</f>
        <v>0</v>
      </c>
      <c r="BI1434" s="205"/>
      <c r="BJ1434" s="206" t="s">
        <v>8479</v>
      </c>
      <c r="BK1434" s="206" t="s">
        <v>574</v>
      </c>
      <c r="BL1434" s="207" t="s">
        <v>8480</v>
      </c>
      <c r="BM1434" s="208">
        <f>BH1434</f>
        <v>0</v>
      </c>
      <c r="BN1434" s="160"/>
      <c r="BO1434" s="161">
        <f t="shared" si="1287"/>
        <v>0</v>
      </c>
      <c r="BP1434" s="161"/>
    </row>
    <row r="1435" spans="1:68" ht="38.25">
      <c r="A1435" s="206" t="s">
        <v>574</v>
      </c>
      <c r="B1435" s="195" t="s">
        <v>8519</v>
      </c>
      <c r="C1435" s="196" t="s">
        <v>8520</v>
      </c>
      <c r="D1435" s="146" t="s">
        <v>4692</v>
      </c>
      <c r="E1435" s="196" t="s">
        <v>8520</v>
      </c>
      <c r="F1435" s="150">
        <v>0</v>
      </c>
      <c r="G1435" s="209">
        <v>0</v>
      </c>
      <c r="H1435" s="209">
        <v>0</v>
      </c>
      <c r="I1435" s="209">
        <v>0</v>
      </c>
      <c r="J1435" s="150">
        <v>0</v>
      </c>
      <c r="K1435" s="150">
        <v>0</v>
      </c>
      <c r="L1435" s="150">
        <f t="shared" si="1288"/>
        <v>0</v>
      </c>
      <c r="M1435" s="150">
        <v>0</v>
      </c>
      <c r="N1435" s="150">
        <v>0</v>
      </c>
      <c r="O1435" s="150">
        <v>0</v>
      </c>
      <c r="P1435" s="150">
        <v>0</v>
      </c>
      <c r="Q1435" s="150">
        <v>0</v>
      </c>
      <c r="R1435" s="313">
        <f t="shared" si="1274"/>
        <v>0</v>
      </c>
      <c r="S1435" s="150">
        <f t="shared" si="1286"/>
        <v>0</v>
      </c>
      <c r="T1435" s="150">
        <v>0</v>
      </c>
      <c r="U1435" s="150">
        <v>0</v>
      </c>
      <c r="V1435" s="199">
        <v>0</v>
      </c>
      <c r="W1435" s="150">
        <f t="shared" si="1275"/>
        <v>0</v>
      </c>
      <c r="X1435" s="150">
        <v>0</v>
      </c>
      <c r="Y1435" s="150">
        <v>0</v>
      </c>
      <c r="Z1435" s="150">
        <v>0</v>
      </c>
      <c r="AA1435" s="150">
        <f t="shared" si="1282"/>
        <v>0</v>
      </c>
      <c r="AB1435" s="150">
        <v>0</v>
      </c>
      <c r="AC1435" s="199">
        <v>0</v>
      </c>
      <c r="AD1435" s="150">
        <f t="shared" si="1276"/>
        <v>0</v>
      </c>
      <c r="AE1435" s="150">
        <v>0</v>
      </c>
      <c r="AF1435" s="169" t="s">
        <v>4680</v>
      </c>
      <c r="AG1435" s="201">
        <v>0</v>
      </c>
      <c r="AH1435" s="199">
        <v>0</v>
      </c>
      <c r="AI1435" s="150">
        <v>0</v>
      </c>
      <c r="AJ1435" s="169">
        <f t="shared" si="1283"/>
        <v>0</v>
      </c>
      <c r="AK1435" s="201">
        <v>0</v>
      </c>
      <c r="AL1435" s="199">
        <v>0</v>
      </c>
      <c r="AM1435" s="150">
        <f t="shared" si="1277"/>
        <v>0</v>
      </c>
      <c r="AN1435" s="153">
        <f t="shared" si="1284"/>
        <v>0</v>
      </c>
      <c r="AO1435" s="154">
        <f t="shared" si="1285"/>
        <v>0</v>
      </c>
      <c r="AP1435" s="150">
        <v>0</v>
      </c>
      <c r="AQ1435" s="201">
        <v>0</v>
      </c>
      <c r="AR1435" s="199">
        <v>0</v>
      </c>
      <c r="AS1435" s="150">
        <f t="shared" si="1278"/>
        <v>0</v>
      </c>
      <c r="AT1435" s="155"/>
      <c r="AU1435" s="156">
        <f t="shared" si="1280"/>
        <v>0</v>
      </c>
      <c r="AV1435" s="156">
        <f t="shared" si="1281"/>
        <v>0</v>
      </c>
      <c r="AW1435" s="157"/>
      <c r="AX1435" s="150">
        <v>0</v>
      </c>
      <c r="AY1435" s="150">
        <v>0</v>
      </c>
      <c r="AZ1435" s="150">
        <f t="shared" si="1279"/>
        <v>0</v>
      </c>
      <c r="BA1435" s="348">
        <v>0</v>
      </c>
      <c r="BB1435" s="202">
        <v>5</v>
      </c>
      <c r="BC1435" s="202" t="s">
        <v>714</v>
      </c>
      <c r="BD1435" s="202" t="s">
        <v>632</v>
      </c>
      <c r="BE1435" s="202" t="s">
        <v>647</v>
      </c>
      <c r="BF1435" s="202" t="s">
        <v>1842</v>
      </c>
      <c r="BG1435" s="231" t="s">
        <v>8521</v>
      </c>
      <c r="BH1435" s="216">
        <f>SUM(AS1435:AS1446)</f>
        <v>0</v>
      </c>
      <c r="BI1435" s="205"/>
      <c r="BJ1435" s="206" t="s">
        <v>8479</v>
      </c>
      <c r="BK1435" s="206" t="s">
        <v>574</v>
      </c>
      <c r="BL1435" s="207" t="s">
        <v>8480</v>
      </c>
      <c r="BM1435" s="208">
        <f>BH1435</f>
        <v>0</v>
      </c>
      <c r="BN1435" s="160"/>
      <c r="BO1435" s="161">
        <f t="shared" si="1287"/>
        <v>0</v>
      </c>
      <c r="BP1435" s="161"/>
    </row>
    <row r="1436" spans="1:68" ht="38.25">
      <c r="A1436" s="210"/>
      <c r="B1436" s="195" t="s">
        <v>8522</v>
      </c>
      <c r="C1436" s="196" t="s">
        <v>8523</v>
      </c>
      <c r="D1436" s="146" t="s">
        <v>4692</v>
      </c>
      <c r="E1436" s="196" t="s">
        <v>8523</v>
      </c>
      <c r="F1436" s="150">
        <v>0</v>
      </c>
      <c r="G1436" s="209">
        <v>0</v>
      </c>
      <c r="H1436" s="209">
        <v>0</v>
      </c>
      <c r="I1436" s="209">
        <v>0</v>
      </c>
      <c r="J1436" s="150">
        <v>0</v>
      </c>
      <c r="K1436" s="150">
        <v>0</v>
      </c>
      <c r="L1436" s="150">
        <f t="shared" si="1288"/>
        <v>0</v>
      </c>
      <c r="M1436" s="150">
        <v>0</v>
      </c>
      <c r="N1436" s="150">
        <v>0</v>
      </c>
      <c r="O1436" s="150">
        <v>0</v>
      </c>
      <c r="P1436" s="150">
        <v>0</v>
      </c>
      <c r="Q1436" s="150">
        <v>0</v>
      </c>
      <c r="R1436" s="313">
        <f t="shared" si="1274"/>
        <v>0</v>
      </c>
      <c r="S1436" s="150">
        <f t="shared" si="1286"/>
        <v>0</v>
      </c>
      <c r="T1436" s="150">
        <v>0</v>
      </c>
      <c r="U1436" s="150">
        <v>0</v>
      </c>
      <c r="V1436" s="199">
        <v>0</v>
      </c>
      <c r="W1436" s="150">
        <f t="shared" si="1275"/>
        <v>0</v>
      </c>
      <c r="X1436" s="150">
        <v>0</v>
      </c>
      <c r="Y1436" s="150">
        <v>0</v>
      </c>
      <c r="Z1436" s="150">
        <v>0</v>
      </c>
      <c r="AA1436" s="150">
        <f t="shared" si="1282"/>
        <v>0</v>
      </c>
      <c r="AB1436" s="150">
        <v>0</v>
      </c>
      <c r="AC1436" s="199">
        <v>0</v>
      </c>
      <c r="AD1436" s="150">
        <f t="shared" si="1276"/>
        <v>0</v>
      </c>
      <c r="AE1436" s="150">
        <v>0</v>
      </c>
      <c r="AF1436" s="169" t="s">
        <v>4680</v>
      </c>
      <c r="AG1436" s="201">
        <v>0</v>
      </c>
      <c r="AH1436" s="199">
        <v>0</v>
      </c>
      <c r="AI1436" s="150">
        <v>0</v>
      </c>
      <c r="AJ1436" s="169">
        <f t="shared" si="1283"/>
        <v>0</v>
      </c>
      <c r="AK1436" s="201">
        <v>0</v>
      </c>
      <c r="AL1436" s="199">
        <v>0</v>
      </c>
      <c r="AM1436" s="150">
        <f t="shared" si="1277"/>
        <v>0</v>
      </c>
      <c r="AN1436" s="153">
        <f t="shared" si="1284"/>
        <v>0</v>
      </c>
      <c r="AO1436" s="154">
        <f t="shared" si="1285"/>
        <v>0</v>
      </c>
      <c r="AP1436" s="150">
        <v>0</v>
      </c>
      <c r="AQ1436" s="201">
        <v>0</v>
      </c>
      <c r="AR1436" s="199">
        <v>0</v>
      </c>
      <c r="AS1436" s="150">
        <f t="shared" si="1278"/>
        <v>0</v>
      </c>
      <c r="AT1436" s="155"/>
      <c r="AU1436" s="156">
        <f t="shared" si="1280"/>
        <v>0</v>
      </c>
      <c r="AV1436" s="156">
        <f t="shared" si="1281"/>
        <v>0</v>
      </c>
      <c r="AW1436" s="157"/>
      <c r="AX1436" s="150">
        <v>0</v>
      </c>
      <c r="AY1436" s="150">
        <v>0</v>
      </c>
      <c r="AZ1436" s="150">
        <f t="shared" si="1279"/>
        <v>0</v>
      </c>
      <c r="BA1436" s="348">
        <v>0</v>
      </c>
      <c r="BB1436" s="210"/>
      <c r="BC1436" s="210"/>
      <c r="BD1436" s="210"/>
      <c r="BE1436" s="210"/>
      <c r="BF1436" s="210"/>
      <c r="BG1436" s="210"/>
      <c r="BH1436" s="217"/>
      <c r="BI1436" s="210"/>
      <c r="BJ1436" s="210"/>
      <c r="BK1436" s="210"/>
      <c r="BL1436" s="210"/>
      <c r="BM1436" s="208"/>
      <c r="BN1436" s="160"/>
      <c r="BO1436" s="161">
        <f t="shared" si="1287"/>
        <v>0</v>
      </c>
      <c r="BP1436" s="161"/>
    </row>
    <row r="1437" spans="1:68" ht="51">
      <c r="A1437" s="210"/>
      <c r="B1437" s="195" t="s">
        <v>8524</v>
      </c>
      <c r="C1437" s="196" t="s">
        <v>8525</v>
      </c>
      <c r="D1437" s="146" t="s">
        <v>4692</v>
      </c>
      <c r="E1437" s="196" t="s">
        <v>8525</v>
      </c>
      <c r="F1437" s="150">
        <v>0</v>
      </c>
      <c r="G1437" s="209">
        <v>0</v>
      </c>
      <c r="H1437" s="209">
        <v>0</v>
      </c>
      <c r="I1437" s="209">
        <v>0</v>
      </c>
      <c r="J1437" s="150">
        <v>0</v>
      </c>
      <c r="K1437" s="150">
        <v>0</v>
      </c>
      <c r="L1437" s="150">
        <f t="shared" si="1288"/>
        <v>0</v>
      </c>
      <c r="M1437" s="150">
        <v>0</v>
      </c>
      <c r="N1437" s="150">
        <v>0</v>
      </c>
      <c r="O1437" s="150">
        <v>0</v>
      </c>
      <c r="P1437" s="150">
        <v>0</v>
      </c>
      <c r="Q1437" s="150">
        <v>0</v>
      </c>
      <c r="R1437" s="313">
        <f t="shared" si="1274"/>
        <v>0</v>
      </c>
      <c r="S1437" s="150">
        <f t="shared" si="1286"/>
        <v>0</v>
      </c>
      <c r="T1437" s="150">
        <v>0</v>
      </c>
      <c r="U1437" s="150">
        <v>0</v>
      </c>
      <c r="V1437" s="199">
        <v>0</v>
      </c>
      <c r="W1437" s="150">
        <f t="shared" si="1275"/>
        <v>0</v>
      </c>
      <c r="X1437" s="150">
        <v>0</v>
      </c>
      <c r="Y1437" s="150">
        <v>0</v>
      </c>
      <c r="Z1437" s="150">
        <v>0</v>
      </c>
      <c r="AA1437" s="150">
        <f t="shared" si="1282"/>
        <v>0</v>
      </c>
      <c r="AB1437" s="150">
        <v>0</v>
      </c>
      <c r="AC1437" s="199">
        <v>0</v>
      </c>
      <c r="AD1437" s="150">
        <f t="shared" si="1276"/>
        <v>0</v>
      </c>
      <c r="AE1437" s="150">
        <v>0</v>
      </c>
      <c r="AF1437" s="169" t="s">
        <v>4680</v>
      </c>
      <c r="AG1437" s="201">
        <v>0</v>
      </c>
      <c r="AH1437" s="199">
        <v>0</v>
      </c>
      <c r="AI1437" s="150">
        <v>0</v>
      </c>
      <c r="AJ1437" s="169">
        <f t="shared" si="1283"/>
        <v>0</v>
      </c>
      <c r="AK1437" s="201">
        <v>0</v>
      </c>
      <c r="AL1437" s="199">
        <v>0</v>
      </c>
      <c r="AM1437" s="150">
        <f t="shared" si="1277"/>
        <v>0</v>
      </c>
      <c r="AN1437" s="153">
        <f t="shared" si="1284"/>
        <v>0</v>
      </c>
      <c r="AO1437" s="154">
        <f t="shared" si="1285"/>
        <v>0</v>
      </c>
      <c r="AP1437" s="150">
        <v>0</v>
      </c>
      <c r="AQ1437" s="201">
        <v>0</v>
      </c>
      <c r="AR1437" s="199">
        <v>0</v>
      </c>
      <c r="AS1437" s="150">
        <f t="shared" si="1278"/>
        <v>0</v>
      </c>
      <c r="AT1437" s="155"/>
      <c r="AU1437" s="156">
        <f t="shared" si="1280"/>
        <v>0</v>
      </c>
      <c r="AV1437" s="156">
        <f t="shared" si="1281"/>
        <v>0</v>
      </c>
      <c r="AW1437" s="157"/>
      <c r="AX1437" s="150">
        <v>0</v>
      </c>
      <c r="AY1437" s="150">
        <v>0</v>
      </c>
      <c r="AZ1437" s="150">
        <f t="shared" si="1279"/>
        <v>0</v>
      </c>
      <c r="BA1437" s="348">
        <v>0</v>
      </c>
      <c r="BB1437" s="210"/>
      <c r="BC1437" s="210"/>
      <c r="BD1437" s="210"/>
      <c r="BE1437" s="210"/>
      <c r="BF1437" s="210"/>
      <c r="BG1437" s="210"/>
      <c r="BH1437" s="217"/>
      <c r="BI1437" s="210"/>
      <c r="BJ1437" s="210"/>
      <c r="BK1437" s="210"/>
      <c r="BL1437" s="210"/>
      <c r="BM1437" s="208"/>
      <c r="BN1437" s="160"/>
      <c r="BO1437" s="161">
        <f t="shared" si="1287"/>
        <v>0</v>
      </c>
      <c r="BP1437" s="161"/>
    </row>
    <row r="1438" spans="1:68" ht="38.25">
      <c r="A1438" s="210"/>
      <c r="B1438" s="195" t="s">
        <v>8526</v>
      </c>
      <c r="C1438" s="196" t="s">
        <v>8527</v>
      </c>
      <c r="D1438" s="146" t="s">
        <v>4692</v>
      </c>
      <c r="E1438" s="196" t="s">
        <v>8527</v>
      </c>
      <c r="F1438" s="150">
        <v>0</v>
      </c>
      <c r="G1438" s="209">
        <v>0</v>
      </c>
      <c r="H1438" s="209">
        <v>0</v>
      </c>
      <c r="I1438" s="209">
        <v>0</v>
      </c>
      <c r="J1438" s="150">
        <v>0</v>
      </c>
      <c r="K1438" s="150">
        <v>0</v>
      </c>
      <c r="L1438" s="150">
        <f t="shared" si="1288"/>
        <v>0</v>
      </c>
      <c r="M1438" s="150">
        <v>0</v>
      </c>
      <c r="N1438" s="150">
        <v>0</v>
      </c>
      <c r="O1438" s="150">
        <v>0</v>
      </c>
      <c r="P1438" s="150">
        <v>0</v>
      </c>
      <c r="Q1438" s="150">
        <v>0</v>
      </c>
      <c r="R1438" s="313">
        <f t="shared" si="1274"/>
        <v>0</v>
      </c>
      <c r="S1438" s="150">
        <f t="shared" si="1286"/>
        <v>0</v>
      </c>
      <c r="T1438" s="150">
        <v>0</v>
      </c>
      <c r="U1438" s="150">
        <v>0</v>
      </c>
      <c r="V1438" s="199">
        <v>0</v>
      </c>
      <c r="W1438" s="150">
        <f t="shared" si="1275"/>
        <v>0</v>
      </c>
      <c r="X1438" s="150">
        <v>0</v>
      </c>
      <c r="Y1438" s="150">
        <v>0</v>
      </c>
      <c r="Z1438" s="150">
        <v>0</v>
      </c>
      <c r="AA1438" s="150">
        <f t="shared" si="1282"/>
        <v>0</v>
      </c>
      <c r="AB1438" s="150">
        <v>0</v>
      </c>
      <c r="AC1438" s="199">
        <v>0</v>
      </c>
      <c r="AD1438" s="150">
        <f t="shared" si="1276"/>
        <v>0</v>
      </c>
      <c r="AE1438" s="150">
        <v>0</v>
      </c>
      <c r="AF1438" s="169" t="s">
        <v>4680</v>
      </c>
      <c r="AG1438" s="201">
        <v>0</v>
      </c>
      <c r="AH1438" s="199">
        <v>0</v>
      </c>
      <c r="AI1438" s="150">
        <v>0</v>
      </c>
      <c r="AJ1438" s="169">
        <f t="shared" si="1283"/>
        <v>0</v>
      </c>
      <c r="AK1438" s="201">
        <v>0</v>
      </c>
      <c r="AL1438" s="199">
        <v>0</v>
      </c>
      <c r="AM1438" s="150">
        <f t="shared" si="1277"/>
        <v>0</v>
      </c>
      <c r="AN1438" s="153">
        <f t="shared" si="1284"/>
        <v>0</v>
      </c>
      <c r="AO1438" s="154">
        <f t="shared" si="1285"/>
        <v>0</v>
      </c>
      <c r="AP1438" s="150">
        <v>0</v>
      </c>
      <c r="AQ1438" s="201">
        <v>0</v>
      </c>
      <c r="AR1438" s="199">
        <v>0</v>
      </c>
      <c r="AS1438" s="150">
        <f t="shared" si="1278"/>
        <v>0</v>
      </c>
      <c r="AT1438" s="155"/>
      <c r="AU1438" s="156">
        <f t="shared" si="1280"/>
        <v>0</v>
      </c>
      <c r="AV1438" s="156">
        <f t="shared" si="1281"/>
        <v>0</v>
      </c>
      <c r="AW1438" s="157"/>
      <c r="AX1438" s="150">
        <v>0</v>
      </c>
      <c r="AY1438" s="150">
        <v>0</v>
      </c>
      <c r="AZ1438" s="150">
        <f t="shared" si="1279"/>
        <v>0</v>
      </c>
      <c r="BA1438" s="348">
        <v>0</v>
      </c>
      <c r="BB1438" s="210"/>
      <c r="BC1438" s="210"/>
      <c r="BD1438" s="210"/>
      <c r="BE1438" s="210"/>
      <c r="BF1438" s="210"/>
      <c r="BG1438" s="210"/>
      <c r="BH1438" s="217"/>
      <c r="BI1438" s="210"/>
      <c r="BJ1438" s="210"/>
      <c r="BK1438" s="210"/>
      <c r="BL1438" s="210"/>
      <c r="BM1438" s="208"/>
      <c r="BN1438" s="160"/>
      <c r="BO1438" s="161">
        <f t="shared" si="1287"/>
        <v>0</v>
      </c>
      <c r="BP1438" s="161"/>
    </row>
    <row r="1439" spans="1:68" ht="38.25">
      <c r="A1439" s="210"/>
      <c r="B1439" s="195" t="s">
        <v>8528</v>
      </c>
      <c r="C1439" s="196" t="s">
        <v>8529</v>
      </c>
      <c r="D1439" s="146" t="s">
        <v>4692</v>
      </c>
      <c r="E1439" s="196" t="s">
        <v>8529</v>
      </c>
      <c r="F1439" s="150">
        <v>0</v>
      </c>
      <c r="G1439" s="209">
        <v>0</v>
      </c>
      <c r="H1439" s="209">
        <v>0</v>
      </c>
      <c r="I1439" s="209">
        <v>0</v>
      </c>
      <c r="J1439" s="150">
        <v>0</v>
      </c>
      <c r="K1439" s="150">
        <v>0</v>
      </c>
      <c r="L1439" s="150">
        <f t="shared" si="1288"/>
        <v>0</v>
      </c>
      <c r="M1439" s="150">
        <v>0</v>
      </c>
      <c r="N1439" s="150">
        <v>0</v>
      </c>
      <c r="O1439" s="150">
        <v>0</v>
      </c>
      <c r="P1439" s="150">
        <v>0</v>
      </c>
      <c r="Q1439" s="150">
        <v>0</v>
      </c>
      <c r="R1439" s="313">
        <f t="shared" si="1274"/>
        <v>0</v>
      </c>
      <c r="S1439" s="150">
        <f t="shared" si="1286"/>
        <v>0</v>
      </c>
      <c r="T1439" s="150">
        <v>0</v>
      </c>
      <c r="U1439" s="150">
        <v>0</v>
      </c>
      <c r="V1439" s="199">
        <v>0</v>
      </c>
      <c r="W1439" s="150">
        <f t="shared" si="1275"/>
        <v>0</v>
      </c>
      <c r="X1439" s="150">
        <v>0</v>
      </c>
      <c r="Y1439" s="150">
        <v>0</v>
      </c>
      <c r="Z1439" s="150">
        <v>0</v>
      </c>
      <c r="AA1439" s="150">
        <f t="shared" si="1282"/>
        <v>0</v>
      </c>
      <c r="AB1439" s="150">
        <v>0</v>
      </c>
      <c r="AC1439" s="199">
        <v>0</v>
      </c>
      <c r="AD1439" s="150">
        <f t="shared" si="1276"/>
        <v>0</v>
      </c>
      <c r="AE1439" s="150">
        <v>0</v>
      </c>
      <c r="AF1439" s="169" t="s">
        <v>4680</v>
      </c>
      <c r="AG1439" s="201">
        <v>0</v>
      </c>
      <c r="AH1439" s="199">
        <v>0</v>
      </c>
      <c r="AI1439" s="150">
        <v>0</v>
      </c>
      <c r="AJ1439" s="169">
        <f t="shared" si="1283"/>
        <v>0</v>
      </c>
      <c r="AK1439" s="201">
        <v>0</v>
      </c>
      <c r="AL1439" s="199">
        <v>0</v>
      </c>
      <c r="AM1439" s="150">
        <f t="shared" si="1277"/>
        <v>0</v>
      </c>
      <c r="AN1439" s="153">
        <f t="shared" si="1284"/>
        <v>0</v>
      </c>
      <c r="AO1439" s="154">
        <f t="shared" si="1285"/>
        <v>0</v>
      </c>
      <c r="AP1439" s="150">
        <v>0</v>
      </c>
      <c r="AQ1439" s="201">
        <v>0</v>
      </c>
      <c r="AR1439" s="199">
        <v>0</v>
      </c>
      <c r="AS1439" s="150">
        <f t="shared" si="1278"/>
        <v>0</v>
      </c>
      <c r="AT1439" s="155"/>
      <c r="AU1439" s="156">
        <f t="shared" si="1280"/>
        <v>0</v>
      </c>
      <c r="AV1439" s="156">
        <f t="shared" si="1281"/>
        <v>0</v>
      </c>
      <c r="AW1439" s="157"/>
      <c r="AX1439" s="150">
        <v>0</v>
      </c>
      <c r="AY1439" s="150">
        <v>0</v>
      </c>
      <c r="AZ1439" s="150">
        <f t="shared" si="1279"/>
        <v>0</v>
      </c>
      <c r="BA1439" s="348">
        <v>0</v>
      </c>
      <c r="BB1439" s="210"/>
      <c r="BC1439" s="210"/>
      <c r="BD1439" s="210"/>
      <c r="BE1439" s="210"/>
      <c r="BF1439" s="210"/>
      <c r="BG1439" s="210"/>
      <c r="BH1439" s="217"/>
      <c r="BI1439" s="210"/>
      <c r="BJ1439" s="210"/>
      <c r="BK1439" s="210"/>
      <c r="BL1439" s="210"/>
      <c r="BM1439" s="208"/>
      <c r="BN1439" s="160"/>
      <c r="BO1439" s="161">
        <f t="shared" si="1287"/>
        <v>0</v>
      </c>
      <c r="BP1439" s="161"/>
    </row>
    <row r="1440" spans="1:68" ht="38.25">
      <c r="A1440" s="210"/>
      <c r="B1440" s="195" t="s">
        <v>8530</v>
      </c>
      <c r="C1440" s="196" t="s">
        <v>8531</v>
      </c>
      <c r="D1440" s="146" t="s">
        <v>4692</v>
      </c>
      <c r="E1440" s="196" t="s">
        <v>8531</v>
      </c>
      <c r="F1440" s="150">
        <v>0</v>
      </c>
      <c r="G1440" s="209">
        <v>0</v>
      </c>
      <c r="H1440" s="209">
        <v>0</v>
      </c>
      <c r="I1440" s="209">
        <v>0</v>
      </c>
      <c r="J1440" s="150">
        <v>0</v>
      </c>
      <c r="K1440" s="150">
        <v>0</v>
      </c>
      <c r="L1440" s="150">
        <f t="shared" si="1288"/>
        <v>0</v>
      </c>
      <c r="M1440" s="150">
        <v>0</v>
      </c>
      <c r="N1440" s="150">
        <v>0</v>
      </c>
      <c r="O1440" s="150">
        <v>0</v>
      </c>
      <c r="P1440" s="150">
        <v>0</v>
      </c>
      <c r="Q1440" s="150">
        <v>0</v>
      </c>
      <c r="R1440" s="313">
        <f t="shared" si="1274"/>
        <v>0</v>
      </c>
      <c r="S1440" s="150">
        <f t="shared" si="1286"/>
        <v>0</v>
      </c>
      <c r="T1440" s="150">
        <v>0</v>
      </c>
      <c r="U1440" s="150">
        <v>0</v>
      </c>
      <c r="V1440" s="199">
        <v>0</v>
      </c>
      <c r="W1440" s="150">
        <f t="shared" si="1275"/>
        <v>0</v>
      </c>
      <c r="X1440" s="150">
        <v>0</v>
      </c>
      <c r="Y1440" s="150">
        <v>0</v>
      </c>
      <c r="Z1440" s="150">
        <v>0</v>
      </c>
      <c r="AA1440" s="150">
        <f t="shared" si="1282"/>
        <v>0</v>
      </c>
      <c r="AB1440" s="150">
        <v>0</v>
      </c>
      <c r="AC1440" s="199">
        <v>0</v>
      </c>
      <c r="AD1440" s="150">
        <f t="shared" si="1276"/>
        <v>0</v>
      </c>
      <c r="AE1440" s="150">
        <v>0</v>
      </c>
      <c r="AF1440" s="169" t="s">
        <v>4680</v>
      </c>
      <c r="AG1440" s="201">
        <v>0</v>
      </c>
      <c r="AH1440" s="199">
        <v>0</v>
      </c>
      <c r="AI1440" s="150">
        <v>0</v>
      </c>
      <c r="AJ1440" s="169">
        <f t="shared" si="1283"/>
        <v>0</v>
      </c>
      <c r="AK1440" s="201">
        <v>0</v>
      </c>
      <c r="AL1440" s="199">
        <v>0</v>
      </c>
      <c r="AM1440" s="150">
        <f t="shared" si="1277"/>
        <v>0</v>
      </c>
      <c r="AN1440" s="153">
        <f t="shared" si="1284"/>
        <v>0</v>
      </c>
      <c r="AO1440" s="154">
        <f t="shared" si="1285"/>
        <v>0</v>
      </c>
      <c r="AP1440" s="150">
        <v>0</v>
      </c>
      <c r="AQ1440" s="201">
        <v>0</v>
      </c>
      <c r="AR1440" s="199">
        <v>0</v>
      </c>
      <c r="AS1440" s="150">
        <f t="shared" si="1278"/>
        <v>0</v>
      </c>
      <c r="AT1440" s="155"/>
      <c r="AU1440" s="156">
        <f t="shared" si="1280"/>
        <v>0</v>
      </c>
      <c r="AV1440" s="156">
        <f t="shared" si="1281"/>
        <v>0</v>
      </c>
      <c r="AW1440" s="157"/>
      <c r="AX1440" s="150">
        <v>0</v>
      </c>
      <c r="AY1440" s="150">
        <v>0</v>
      </c>
      <c r="AZ1440" s="150">
        <f t="shared" si="1279"/>
        <v>0</v>
      </c>
      <c r="BA1440" s="348">
        <v>0</v>
      </c>
      <c r="BB1440" s="210"/>
      <c r="BC1440" s="210"/>
      <c r="BD1440" s="210"/>
      <c r="BE1440" s="210"/>
      <c r="BF1440" s="210"/>
      <c r="BG1440" s="210"/>
      <c r="BH1440" s="217"/>
      <c r="BI1440" s="210"/>
      <c r="BJ1440" s="210"/>
      <c r="BK1440" s="210"/>
      <c r="BL1440" s="210"/>
      <c r="BM1440" s="208"/>
      <c r="BN1440" s="160"/>
      <c r="BO1440" s="161">
        <f t="shared" si="1287"/>
        <v>0</v>
      </c>
      <c r="BP1440" s="161"/>
    </row>
    <row r="1441" spans="1:68" ht="51">
      <c r="A1441" s="210"/>
      <c r="B1441" s="195" t="s">
        <v>8532</v>
      </c>
      <c r="C1441" s="196" t="s">
        <v>8533</v>
      </c>
      <c r="D1441" s="146" t="s">
        <v>4692</v>
      </c>
      <c r="E1441" s="196" t="s">
        <v>8533</v>
      </c>
      <c r="F1441" s="150">
        <v>0</v>
      </c>
      <c r="G1441" s="209">
        <v>0</v>
      </c>
      <c r="H1441" s="209">
        <v>0</v>
      </c>
      <c r="I1441" s="209">
        <v>0</v>
      </c>
      <c r="J1441" s="150">
        <v>0</v>
      </c>
      <c r="K1441" s="150">
        <v>0</v>
      </c>
      <c r="L1441" s="150">
        <f t="shared" si="1288"/>
        <v>0</v>
      </c>
      <c r="M1441" s="150">
        <v>0</v>
      </c>
      <c r="N1441" s="150">
        <v>0</v>
      </c>
      <c r="O1441" s="150">
        <v>0</v>
      </c>
      <c r="P1441" s="150">
        <v>0</v>
      </c>
      <c r="Q1441" s="150">
        <v>0</v>
      </c>
      <c r="R1441" s="313">
        <f t="shared" si="1274"/>
        <v>0</v>
      </c>
      <c r="S1441" s="150">
        <f t="shared" si="1286"/>
        <v>0</v>
      </c>
      <c r="T1441" s="150">
        <v>0</v>
      </c>
      <c r="U1441" s="150">
        <v>0</v>
      </c>
      <c r="V1441" s="199">
        <v>0</v>
      </c>
      <c r="W1441" s="150">
        <f t="shared" si="1275"/>
        <v>0</v>
      </c>
      <c r="X1441" s="150">
        <v>0</v>
      </c>
      <c r="Y1441" s="150">
        <v>0</v>
      </c>
      <c r="Z1441" s="150">
        <v>0</v>
      </c>
      <c r="AA1441" s="150">
        <f t="shared" si="1282"/>
        <v>0</v>
      </c>
      <c r="AB1441" s="150">
        <v>0</v>
      </c>
      <c r="AC1441" s="199">
        <v>0</v>
      </c>
      <c r="AD1441" s="150">
        <f t="shared" si="1276"/>
        <v>0</v>
      </c>
      <c r="AE1441" s="150">
        <v>0</v>
      </c>
      <c r="AF1441" s="169" t="s">
        <v>4680</v>
      </c>
      <c r="AG1441" s="201">
        <v>0</v>
      </c>
      <c r="AH1441" s="199">
        <v>0</v>
      </c>
      <c r="AI1441" s="150">
        <v>0</v>
      </c>
      <c r="AJ1441" s="169">
        <f t="shared" si="1283"/>
        <v>0</v>
      </c>
      <c r="AK1441" s="201">
        <v>0</v>
      </c>
      <c r="AL1441" s="199">
        <v>0</v>
      </c>
      <c r="AM1441" s="150">
        <f t="shared" si="1277"/>
        <v>0</v>
      </c>
      <c r="AN1441" s="153">
        <f t="shared" si="1284"/>
        <v>0</v>
      </c>
      <c r="AO1441" s="154">
        <f t="shared" si="1285"/>
        <v>0</v>
      </c>
      <c r="AP1441" s="150">
        <v>0</v>
      </c>
      <c r="AQ1441" s="201">
        <v>0</v>
      </c>
      <c r="AR1441" s="199">
        <v>0</v>
      </c>
      <c r="AS1441" s="150">
        <f t="shared" si="1278"/>
        <v>0</v>
      </c>
      <c r="AT1441" s="155"/>
      <c r="AU1441" s="156">
        <f t="shared" si="1280"/>
        <v>0</v>
      </c>
      <c r="AV1441" s="156">
        <f t="shared" si="1281"/>
        <v>0</v>
      </c>
      <c r="AW1441" s="157"/>
      <c r="AX1441" s="150">
        <v>0</v>
      </c>
      <c r="AY1441" s="150">
        <v>0</v>
      </c>
      <c r="AZ1441" s="150">
        <f t="shared" si="1279"/>
        <v>0</v>
      </c>
      <c r="BA1441" s="348">
        <v>0</v>
      </c>
      <c r="BB1441" s="210"/>
      <c r="BC1441" s="210"/>
      <c r="BD1441" s="210"/>
      <c r="BE1441" s="210"/>
      <c r="BF1441" s="210"/>
      <c r="BG1441" s="210"/>
      <c r="BH1441" s="217"/>
      <c r="BI1441" s="210"/>
      <c r="BJ1441" s="210"/>
      <c r="BK1441" s="210"/>
      <c r="BL1441" s="210"/>
      <c r="BM1441" s="208"/>
      <c r="BN1441" s="160"/>
      <c r="BO1441" s="161">
        <f t="shared" si="1287"/>
        <v>0</v>
      </c>
      <c r="BP1441" s="161"/>
    </row>
    <row r="1442" spans="1:68" ht="51">
      <c r="A1442" s="210"/>
      <c r="B1442" s="195" t="s">
        <v>8534</v>
      </c>
      <c r="C1442" s="196" t="s">
        <v>8535</v>
      </c>
      <c r="D1442" s="146" t="s">
        <v>4692</v>
      </c>
      <c r="E1442" s="196" t="s">
        <v>8535</v>
      </c>
      <c r="F1442" s="150">
        <v>0</v>
      </c>
      <c r="G1442" s="209">
        <v>0</v>
      </c>
      <c r="H1442" s="209">
        <v>0</v>
      </c>
      <c r="I1442" s="209">
        <v>0</v>
      </c>
      <c r="J1442" s="150">
        <v>0</v>
      </c>
      <c r="K1442" s="150">
        <v>0</v>
      </c>
      <c r="L1442" s="150">
        <f t="shared" si="1288"/>
        <v>0</v>
      </c>
      <c r="M1442" s="150">
        <v>0</v>
      </c>
      <c r="N1442" s="150">
        <v>0</v>
      </c>
      <c r="O1442" s="150">
        <v>0</v>
      </c>
      <c r="P1442" s="150">
        <v>0</v>
      </c>
      <c r="Q1442" s="150">
        <v>0</v>
      </c>
      <c r="R1442" s="313">
        <f t="shared" si="1274"/>
        <v>0</v>
      </c>
      <c r="S1442" s="150">
        <f t="shared" si="1286"/>
        <v>0</v>
      </c>
      <c r="T1442" s="150">
        <v>0</v>
      </c>
      <c r="U1442" s="150">
        <v>0</v>
      </c>
      <c r="V1442" s="199">
        <v>0</v>
      </c>
      <c r="W1442" s="150">
        <f t="shared" si="1275"/>
        <v>0</v>
      </c>
      <c r="X1442" s="150">
        <v>0</v>
      </c>
      <c r="Y1442" s="150">
        <v>0</v>
      </c>
      <c r="Z1442" s="150">
        <v>0</v>
      </c>
      <c r="AA1442" s="150">
        <f t="shared" si="1282"/>
        <v>0</v>
      </c>
      <c r="AB1442" s="150">
        <v>0</v>
      </c>
      <c r="AC1442" s="199">
        <v>0</v>
      </c>
      <c r="AD1442" s="150">
        <f t="shared" si="1276"/>
        <v>0</v>
      </c>
      <c r="AE1442" s="150">
        <v>0</v>
      </c>
      <c r="AF1442" s="169" t="s">
        <v>4680</v>
      </c>
      <c r="AG1442" s="201">
        <v>0</v>
      </c>
      <c r="AH1442" s="199">
        <v>0</v>
      </c>
      <c r="AI1442" s="150">
        <v>0</v>
      </c>
      <c r="AJ1442" s="169">
        <f t="shared" si="1283"/>
        <v>0</v>
      </c>
      <c r="AK1442" s="201">
        <v>0</v>
      </c>
      <c r="AL1442" s="199">
        <v>0</v>
      </c>
      <c r="AM1442" s="150">
        <f t="shared" si="1277"/>
        <v>0</v>
      </c>
      <c r="AN1442" s="153">
        <f t="shared" si="1284"/>
        <v>0</v>
      </c>
      <c r="AO1442" s="154">
        <f t="shared" si="1285"/>
        <v>0</v>
      </c>
      <c r="AP1442" s="150">
        <v>0</v>
      </c>
      <c r="AQ1442" s="201">
        <v>0</v>
      </c>
      <c r="AR1442" s="199">
        <v>0</v>
      </c>
      <c r="AS1442" s="150">
        <f t="shared" si="1278"/>
        <v>0</v>
      </c>
      <c r="AT1442" s="155"/>
      <c r="AU1442" s="156">
        <f t="shared" si="1280"/>
        <v>0</v>
      </c>
      <c r="AV1442" s="156">
        <f t="shared" si="1281"/>
        <v>0</v>
      </c>
      <c r="AW1442" s="157"/>
      <c r="AX1442" s="150">
        <v>0</v>
      </c>
      <c r="AY1442" s="150">
        <v>0</v>
      </c>
      <c r="AZ1442" s="150">
        <f t="shared" si="1279"/>
        <v>0</v>
      </c>
      <c r="BA1442" s="348">
        <v>0</v>
      </c>
      <c r="BB1442" s="210"/>
      <c r="BC1442" s="210"/>
      <c r="BD1442" s="210"/>
      <c r="BE1442" s="210"/>
      <c r="BF1442" s="210"/>
      <c r="BG1442" s="210"/>
      <c r="BH1442" s="217"/>
      <c r="BI1442" s="210"/>
      <c r="BJ1442" s="210"/>
      <c r="BK1442" s="210"/>
      <c r="BL1442" s="210"/>
      <c r="BM1442" s="208"/>
      <c r="BN1442" s="160"/>
      <c r="BO1442" s="161">
        <f t="shared" si="1287"/>
        <v>0</v>
      </c>
      <c r="BP1442" s="161"/>
    </row>
    <row r="1443" spans="1:68" ht="51">
      <c r="A1443" s="210"/>
      <c r="B1443" s="195" t="s">
        <v>8536</v>
      </c>
      <c r="C1443" s="196" t="s">
        <v>8537</v>
      </c>
      <c r="D1443" s="146" t="s">
        <v>4692</v>
      </c>
      <c r="E1443" s="196" t="s">
        <v>8537</v>
      </c>
      <c r="F1443" s="150">
        <v>0</v>
      </c>
      <c r="G1443" s="209">
        <v>0</v>
      </c>
      <c r="H1443" s="209">
        <v>0</v>
      </c>
      <c r="I1443" s="209">
        <v>0</v>
      </c>
      <c r="J1443" s="150">
        <v>0</v>
      </c>
      <c r="K1443" s="150">
        <v>0</v>
      </c>
      <c r="L1443" s="150">
        <f t="shared" si="1288"/>
        <v>0</v>
      </c>
      <c r="M1443" s="150">
        <v>0</v>
      </c>
      <c r="N1443" s="150">
        <v>0</v>
      </c>
      <c r="O1443" s="150">
        <v>0</v>
      </c>
      <c r="P1443" s="150">
        <v>0</v>
      </c>
      <c r="Q1443" s="150">
        <v>0</v>
      </c>
      <c r="R1443" s="313">
        <f t="shared" si="1274"/>
        <v>0</v>
      </c>
      <c r="S1443" s="150">
        <f t="shared" si="1286"/>
        <v>0</v>
      </c>
      <c r="T1443" s="150">
        <v>0</v>
      </c>
      <c r="U1443" s="150">
        <v>0</v>
      </c>
      <c r="V1443" s="199">
        <v>0</v>
      </c>
      <c r="W1443" s="150">
        <f t="shared" si="1275"/>
        <v>0</v>
      </c>
      <c r="X1443" s="150">
        <v>0</v>
      </c>
      <c r="Y1443" s="150">
        <v>0</v>
      </c>
      <c r="Z1443" s="150">
        <v>0</v>
      </c>
      <c r="AA1443" s="150">
        <f t="shared" si="1282"/>
        <v>0</v>
      </c>
      <c r="AB1443" s="150">
        <v>0</v>
      </c>
      <c r="AC1443" s="199">
        <v>0</v>
      </c>
      <c r="AD1443" s="150">
        <f t="shared" si="1276"/>
        <v>0</v>
      </c>
      <c r="AE1443" s="150">
        <v>0</v>
      </c>
      <c r="AF1443" s="169" t="s">
        <v>4680</v>
      </c>
      <c r="AG1443" s="201">
        <v>0</v>
      </c>
      <c r="AH1443" s="199">
        <v>0</v>
      </c>
      <c r="AI1443" s="150">
        <v>0</v>
      </c>
      <c r="AJ1443" s="169">
        <f t="shared" si="1283"/>
        <v>0</v>
      </c>
      <c r="AK1443" s="201">
        <v>0</v>
      </c>
      <c r="AL1443" s="199">
        <v>0</v>
      </c>
      <c r="AM1443" s="150">
        <f t="shared" si="1277"/>
        <v>0</v>
      </c>
      <c r="AN1443" s="153">
        <f t="shared" si="1284"/>
        <v>0</v>
      </c>
      <c r="AO1443" s="154">
        <f t="shared" si="1285"/>
        <v>0</v>
      </c>
      <c r="AP1443" s="150">
        <v>0</v>
      </c>
      <c r="AQ1443" s="201">
        <v>0</v>
      </c>
      <c r="AR1443" s="199">
        <v>0</v>
      </c>
      <c r="AS1443" s="150">
        <f t="shared" si="1278"/>
        <v>0</v>
      </c>
      <c r="AT1443" s="155"/>
      <c r="AU1443" s="156">
        <f t="shared" si="1280"/>
        <v>0</v>
      </c>
      <c r="AV1443" s="156">
        <f t="shared" si="1281"/>
        <v>0</v>
      </c>
      <c r="AW1443" s="157"/>
      <c r="AX1443" s="150">
        <v>0</v>
      </c>
      <c r="AY1443" s="150">
        <v>0</v>
      </c>
      <c r="AZ1443" s="150">
        <f t="shared" si="1279"/>
        <v>0</v>
      </c>
      <c r="BA1443" s="348">
        <v>0</v>
      </c>
      <c r="BB1443" s="210"/>
      <c r="BC1443" s="210"/>
      <c r="BD1443" s="210"/>
      <c r="BE1443" s="210"/>
      <c r="BF1443" s="210"/>
      <c r="BG1443" s="210"/>
      <c r="BH1443" s="217"/>
      <c r="BI1443" s="210"/>
      <c r="BJ1443" s="210"/>
      <c r="BK1443" s="210"/>
      <c r="BL1443" s="210"/>
      <c r="BM1443" s="208"/>
      <c r="BN1443" s="160"/>
      <c r="BO1443" s="161">
        <f t="shared" si="1287"/>
        <v>0</v>
      </c>
      <c r="BP1443" s="161"/>
    </row>
    <row r="1444" spans="1:68" ht="51">
      <c r="A1444" s="210"/>
      <c r="B1444" s="195" t="s">
        <v>8538</v>
      </c>
      <c r="C1444" s="196" t="s">
        <v>8539</v>
      </c>
      <c r="D1444" s="146" t="s">
        <v>4692</v>
      </c>
      <c r="E1444" s="196" t="s">
        <v>8539</v>
      </c>
      <c r="F1444" s="150">
        <v>0</v>
      </c>
      <c r="G1444" s="209">
        <v>0</v>
      </c>
      <c r="H1444" s="209">
        <v>0</v>
      </c>
      <c r="I1444" s="209">
        <v>0</v>
      </c>
      <c r="J1444" s="150">
        <v>0</v>
      </c>
      <c r="K1444" s="150">
        <v>0</v>
      </c>
      <c r="L1444" s="150">
        <f t="shared" si="1288"/>
        <v>0</v>
      </c>
      <c r="M1444" s="150">
        <v>0</v>
      </c>
      <c r="N1444" s="150">
        <v>0</v>
      </c>
      <c r="O1444" s="150">
        <v>0</v>
      </c>
      <c r="P1444" s="150">
        <v>0</v>
      </c>
      <c r="Q1444" s="150">
        <v>0</v>
      </c>
      <c r="R1444" s="313">
        <f t="shared" si="1274"/>
        <v>0</v>
      </c>
      <c r="S1444" s="150">
        <f t="shared" si="1286"/>
        <v>0</v>
      </c>
      <c r="T1444" s="150">
        <v>0</v>
      </c>
      <c r="U1444" s="150">
        <v>0</v>
      </c>
      <c r="V1444" s="199">
        <v>0</v>
      </c>
      <c r="W1444" s="150">
        <f t="shared" si="1275"/>
        <v>0</v>
      </c>
      <c r="X1444" s="150">
        <v>0</v>
      </c>
      <c r="Y1444" s="150">
        <v>0</v>
      </c>
      <c r="Z1444" s="150">
        <v>0</v>
      </c>
      <c r="AA1444" s="150">
        <f t="shared" si="1282"/>
        <v>0</v>
      </c>
      <c r="AB1444" s="150">
        <v>0</v>
      </c>
      <c r="AC1444" s="199">
        <v>0</v>
      </c>
      <c r="AD1444" s="150">
        <f t="shared" si="1276"/>
        <v>0</v>
      </c>
      <c r="AE1444" s="150">
        <v>0</v>
      </c>
      <c r="AF1444" s="169" t="s">
        <v>4680</v>
      </c>
      <c r="AG1444" s="201">
        <v>0</v>
      </c>
      <c r="AH1444" s="199">
        <v>0</v>
      </c>
      <c r="AI1444" s="150">
        <v>0</v>
      </c>
      <c r="AJ1444" s="169">
        <f t="shared" si="1283"/>
        <v>0</v>
      </c>
      <c r="AK1444" s="201">
        <v>0</v>
      </c>
      <c r="AL1444" s="199">
        <v>0</v>
      </c>
      <c r="AM1444" s="150">
        <f t="shared" si="1277"/>
        <v>0</v>
      </c>
      <c r="AN1444" s="153">
        <f t="shared" si="1284"/>
        <v>0</v>
      </c>
      <c r="AO1444" s="154">
        <f t="shared" si="1285"/>
        <v>0</v>
      </c>
      <c r="AP1444" s="150">
        <v>0</v>
      </c>
      <c r="AQ1444" s="201">
        <v>0</v>
      </c>
      <c r="AR1444" s="199">
        <v>0</v>
      </c>
      <c r="AS1444" s="150">
        <f t="shared" si="1278"/>
        <v>0</v>
      </c>
      <c r="AT1444" s="155"/>
      <c r="AU1444" s="156">
        <f t="shared" si="1280"/>
        <v>0</v>
      </c>
      <c r="AV1444" s="156">
        <f t="shared" si="1281"/>
        <v>0</v>
      </c>
      <c r="AW1444" s="157"/>
      <c r="AX1444" s="150">
        <v>0</v>
      </c>
      <c r="AY1444" s="150">
        <v>0</v>
      </c>
      <c r="AZ1444" s="150">
        <f t="shared" si="1279"/>
        <v>0</v>
      </c>
      <c r="BA1444" s="348">
        <v>0</v>
      </c>
      <c r="BB1444" s="210"/>
      <c r="BC1444" s="210"/>
      <c r="BD1444" s="210"/>
      <c r="BE1444" s="210"/>
      <c r="BF1444" s="210"/>
      <c r="BG1444" s="210"/>
      <c r="BH1444" s="217"/>
      <c r="BI1444" s="210"/>
      <c r="BJ1444" s="210"/>
      <c r="BK1444" s="210"/>
      <c r="BL1444" s="210"/>
      <c r="BM1444" s="208"/>
      <c r="BN1444" s="160"/>
      <c r="BO1444" s="161">
        <f t="shared" si="1287"/>
        <v>0</v>
      </c>
      <c r="BP1444" s="161"/>
    </row>
    <row r="1445" spans="1:68" ht="38.25">
      <c r="A1445" s="210"/>
      <c r="B1445" s="195" t="s">
        <v>8540</v>
      </c>
      <c r="C1445" s="196" t="s">
        <v>8541</v>
      </c>
      <c r="D1445" s="146" t="s">
        <v>4692</v>
      </c>
      <c r="E1445" s="196" t="s">
        <v>8541</v>
      </c>
      <c r="F1445" s="150">
        <v>0</v>
      </c>
      <c r="G1445" s="209">
        <v>0</v>
      </c>
      <c r="H1445" s="209">
        <v>0</v>
      </c>
      <c r="I1445" s="209">
        <v>0</v>
      </c>
      <c r="J1445" s="150">
        <v>0</v>
      </c>
      <c r="K1445" s="150">
        <v>0</v>
      </c>
      <c r="L1445" s="150">
        <f t="shared" si="1288"/>
        <v>0</v>
      </c>
      <c r="M1445" s="150">
        <v>0</v>
      </c>
      <c r="N1445" s="150">
        <v>0</v>
      </c>
      <c r="O1445" s="150">
        <v>0</v>
      </c>
      <c r="P1445" s="150">
        <v>0</v>
      </c>
      <c r="Q1445" s="150">
        <v>0</v>
      </c>
      <c r="R1445" s="313">
        <f t="shared" si="1274"/>
        <v>0</v>
      </c>
      <c r="S1445" s="150">
        <f t="shared" si="1286"/>
        <v>0</v>
      </c>
      <c r="T1445" s="150">
        <v>0</v>
      </c>
      <c r="U1445" s="150">
        <v>0</v>
      </c>
      <c r="V1445" s="199">
        <v>0</v>
      </c>
      <c r="W1445" s="150">
        <f t="shared" si="1275"/>
        <v>0</v>
      </c>
      <c r="X1445" s="150">
        <v>0</v>
      </c>
      <c r="Y1445" s="150">
        <v>0</v>
      </c>
      <c r="Z1445" s="150">
        <v>0</v>
      </c>
      <c r="AA1445" s="150">
        <f t="shared" si="1282"/>
        <v>0</v>
      </c>
      <c r="AB1445" s="150">
        <v>0</v>
      </c>
      <c r="AC1445" s="199">
        <v>0</v>
      </c>
      <c r="AD1445" s="150">
        <f t="shared" si="1276"/>
        <v>0</v>
      </c>
      <c r="AE1445" s="150">
        <v>0</v>
      </c>
      <c r="AF1445" s="169" t="s">
        <v>4680</v>
      </c>
      <c r="AG1445" s="201">
        <v>0</v>
      </c>
      <c r="AH1445" s="199">
        <v>0</v>
      </c>
      <c r="AI1445" s="150">
        <v>0</v>
      </c>
      <c r="AJ1445" s="169">
        <f t="shared" si="1283"/>
        <v>0</v>
      </c>
      <c r="AK1445" s="201">
        <v>0</v>
      </c>
      <c r="AL1445" s="199">
        <v>0</v>
      </c>
      <c r="AM1445" s="150">
        <f t="shared" si="1277"/>
        <v>0</v>
      </c>
      <c r="AN1445" s="153">
        <f t="shared" si="1284"/>
        <v>0</v>
      </c>
      <c r="AO1445" s="154">
        <f t="shared" si="1285"/>
        <v>0</v>
      </c>
      <c r="AP1445" s="150">
        <v>0</v>
      </c>
      <c r="AQ1445" s="201">
        <v>0</v>
      </c>
      <c r="AR1445" s="199">
        <v>0</v>
      </c>
      <c r="AS1445" s="150">
        <f t="shared" si="1278"/>
        <v>0</v>
      </c>
      <c r="AT1445" s="155"/>
      <c r="AU1445" s="156">
        <f t="shared" si="1280"/>
        <v>0</v>
      </c>
      <c r="AV1445" s="156">
        <f t="shared" si="1281"/>
        <v>0</v>
      </c>
      <c r="AW1445" s="157"/>
      <c r="AX1445" s="150">
        <v>0</v>
      </c>
      <c r="AY1445" s="150">
        <v>0</v>
      </c>
      <c r="AZ1445" s="150">
        <f t="shared" si="1279"/>
        <v>0</v>
      </c>
      <c r="BA1445" s="348">
        <v>0</v>
      </c>
      <c r="BB1445" s="210"/>
      <c r="BC1445" s="210"/>
      <c r="BD1445" s="210"/>
      <c r="BE1445" s="210"/>
      <c r="BF1445" s="210"/>
      <c r="BG1445" s="210"/>
      <c r="BH1445" s="217"/>
      <c r="BI1445" s="210"/>
      <c r="BJ1445" s="210"/>
      <c r="BK1445" s="210"/>
      <c r="BL1445" s="210"/>
      <c r="BM1445" s="208"/>
      <c r="BN1445" s="160"/>
      <c r="BO1445" s="161">
        <f t="shared" si="1287"/>
        <v>0</v>
      </c>
      <c r="BP1445" s="161"/>
    </row>
    <row r="1446" spans="1:68" ht="63.75">
      <c r="A1446" s="210"/>
      <c r="B1446" s="195" t="s">
        <v>8542</v>
      </c>
      <c r="C1446" s="196" t="s">
        <v>8543</v>
      </c>
      <c r="D1446" s="146" t="s">
        <v>4692</v>
      </c>
      <c r="E1446" s="196" t="s">
        <v>8543</v>
      </c>
      <c r="F1446" s="150">
        <v>0</v>
      </c>
      <c r="G1446" s="209">
        <v>0</v>
      </c>
      <c r="H1446" s="209">
        <v>0</v>
      </c>
      <c r="I1446" s="209">
        <v>0</v>
      </c>
      <c r="J1446" s="150">
        <v>0</v>
      </c>
      <c r="K1446" s="150">
        <v>0</v>
      </c>
      <c r="L1446" s="150">
        <f t="shared" si="1288"/>
        <v>0</v>
      </c>
      <c r="M1446" s="150">
        <v>0</v>
      </c>
      <c r="N1446" s="150">
        <v>0</v>
      </c>
      <c r="O1446" s="150">
        <v>0</v>
      </c>
      <c r="P1446" s="150">
        <v>0</v>
      </c>
      <c r="Q1446" s="150">
        <v>0</v>
      </c>
      <c r="R1446" s="313">
        <f t="shared" si="1274"/>
        <v>0</v>
      </c>
      <c r="S1446" s="150">
        <f t="shared" si="1286"/>
        <v>0</v>
      </c>
      <c r="T1446" s="150">
        <v>0</v>
      </c>
      <c r="U1446" s="150">
        <v>0</v>
      </c>
      <c r="V1446" s="199">
        <v>0</v>
      </c>
      <c r="W1446" s="150">
        <f t="shared" si="1275"/>
        <v>0</v>
      </c>
      <c r="X1446" s="150">
        <v>0</v>
      </c>
      <c r="Y1446" s="150">
        <v>0</v>
      </c>
      <c r="Z1446" s="150">
        <v>0</v>
      </c>
      <c r="AA1446" s="150">
        <f t="shared" si="1282"/>
        <v>0</v>
      </c>
      <c r="AB1446" s="150">
        <v>0</v>
      </c>
      <c r="AC1446" s="199">
        <v>0</v>
      </c>
      <c r="AD1446" s="150">
        <f t="shared" si="1276"/>
        <v>0</v>
      </c>
      <c r="AE1446" s="150">
        <v>0</v>
      </c>
      <c r="AF1446" s="169" t="s">
        <v>4680</v>
      </c>
      <c r="AG1446" s="201">
        <v>0</v>
      </c>
      <c r="AH1446" s="199">
        <v>0</v>
      </c>
      <c r="AI1446" s="150">
        <v>0</v>
      </c>
      <c r="AJ1446" s="169">
        <f t="shared" si="1283"/>
        <v>0</v>
      </c>
      <c r="AK1446" s="201">
        <v>0</v>
      </c>
      <c r="AL1446" s="199">
        <v>0</v>
      </c>
      <c r="AM1446" s="150">
        <f t="shared" si="1277"/>
        <v>0</v>
      </c>
      <c r="AN1446" s="153">
        <f t="shared" si="1284"/>
        <v>0</v>
      </c>
      <c r="AO1446" s="154">
        <f t="shared" si="1285"/>
        <v>0</v>
      </c>
      <c r="AP1446" s="150">
        <v>0</v>
      </c>
      <c r="AQ1446" s="201">
        <v>0</v>
      </c>
      <c r="AR1446" s="199">
        <v>0</v>
      </c>
      <c r="AS1446" s="150">
        <f t="shared" si="1278"/>
        <v>0</v>
      </c>
      <c r="AT1446" s="155"/>
      <c r="AU1446" s="156">
        <f t="shared" si="1280"/>
        <v>0</v>
      </c>
      <c r="AV1446" s="156">
        <f t="shared" si="1281"/>
        <v>0</v>
      </c>
      <c r="AW1446" s="157"/>
      <c r="AX1446" s="150">
        <v>0</v>
      </c>
      <c r="AY1446" s="150">
        <v>0</v>
      </c>
      <c r="AZ1446" s="150">
        <f t="shared" si="1279"/>
        <v>0</v>
      </c>
      <c r="BA1446" s="348">
        <v>0</v>
      </c>
      <c r="BB1446" s="210"/>
      <c r="BC1446" s="210"/>
      <c r="BD1446" s="210"/>
      <c r="BE1446" s="210"/>
      <c r="BF1446" s="210"/>
      <c r="BG1446" s="210"/>
      <c r="BH1446" s="217"/>
      <c r="BI1446" s="210"/>
      <c r="BJ1446" s="210"/>
      <c r="BK1446" s="210"/>
      <c r="BL1446" s="210"/>
      <c r="BM1446" s="208"/>
      <c r="BN1446" s="160"/>
      <c r="BO1446" s="161">
        <f t="shared" si="1287"/>
        <v>0</v>
      </c>
      <c r="BP1446" s="161"/>
    </row>
    <row r="1447" spans="1:68" ht="25.5">
      <c r="A1447" s="206" t="s">
        <v>575</v>
      </c>
      <c r="B1447" s="195" t="s">
        <v>8544</v>
      </c>
      <c r="C1447" s="196" t="s">
        <v>8545</v>
      </c>
      <c r="D1447" s="146" t="s">
        <v>4692</v>
      </c>
      <c r="E1447" s="196" t="s">
        <v>8545</v>
      </c>
      <c r="F1447" s="150">
        <v>0</v>
      </c>
      <c r="G1447" s="209">
        <v>43826639.239999995</v>
      </c>
      <c r="H1447" s="209">
        <v>7265159.0646330481</v>
      </c>
      <c r="I1447" s="209">
        <v>51091798.304633051</v>
      </c>
      <c r="J1447" s="150">
        <v>0</v>
      </c>
      <c r="K1447" s="150">
        <v>0</v>
      </c>
      <c r="L1447" s="150">
        <f t="shared" si="1288"/>
        <v>0</v>
      </c>
      <c r="M1447" s="150">
        <v>0</v>
      </c>
      <c r="N1447" s="150">
        <v>0</v>
      </c>
      <c r="O1447" s="150">
        <v>0</v>
      </c>
      <c r="P1447" s="150">
        <v>0</v>
      </c>
      <c r="Q1447" s="150">
        <v>0</v>
      </c>
      <c r="R1447" s="313">
        <f t="shared" si="1274"/>
        <v>0</v>
      </c>
      <c r="S1447" s="150">
        <f t="shared" si="1286"/>
        <v>0</v>
      </c>
      <c r="T1447" s="150">
        <v>0</v>
      </c>
      <c r="U1447" s="150">
        <v>0</v>
      </c>
      <c r="V1447" s="199">
        <v>0</v>
      </c>
      <c r="W1447" s="150">
        <f t="shared" si="1275"/>
        <v>0</v>
      </c>
      <c r="X1447" s="150">
        <v>0</v>
      </c>
      <c r="Y1447" s="150">
        <v>0</v>
      </c>
      <c r="Z1447" s="150">
        <v>0</v>
      </c>
      <c r="AA1447" s="150">
        <f t="shared" si="1282"/>
        <v>0</v>
      </c>
      <c r="AB1447" s="150">
        <v>0</v>
      </c>
      <c r="AC1447" s="199">
        <v>0</v>
      </c>
      <c r="AD1447" s="150">
        <f t="shared" si="1276"/>
        <v>0</v>
      </c>
      <c r="AE1447" s="150">
        <v>0</v>
      </c>
      <c r="AF1447" s="169" t="s">
        <v>4680</v>
      </c>
      <c r="AG1447" s="201">
        <v>0</v>
      </c>
      <c r="AH1447" s="199">
        <v>0</v>
      </c>
      <c r="AI1447" s="150">
        <v>0</v>
      </c>
      <c r="AJ1447" s="169">
        <f t="shared" si="1283"/>
        <v>0</v>
      </c>
      <c r="AK1447" s="201">
        <v>0</v>
      </c>
      <c r="AL1447" s="199">
        <v>0</v>
      </c>
      <c r="AM1447" s="150">
        <f t="shared" si="1277"/>
        <v>0</v>
      </c>
      <c r="AN1447" s="153">
        <f t="shared" si="1284"/>
        <v>0</v>
      </c>
      <c r="AO1447" s="154">
        <f t="shared" si="1285"/>
        <v>0</v>
      </c>
      <c r="AP1447" s="150">
        <v>0</v>
      </c>
      <c r="AQ1447" s="201">
        <v>0</v>
      </c>
      <c r="AR1447" s="199">
        <v>0</v>
      </c>
      <c r="AS1447" s="150">
        <f t="shared" si="1278"/>
        <v>0</v>
      </c>
      <c r="AT1447" s="155"/>
      <c r="AU1447" s="156">
        <f t="shared" si="1280"/>
        <v>0</v>
      </c>
      <c r="AV1447" s="156">
        <f t="shared" si="1281"/>
        <v>0</v>
      </c>
      <c r="AW1447" s="157"/>
      <c r="AX1447" s="150">
        <v>0</v>
      </c>
      <c r="AY1447" s="150">
        <v>0</v>
      </c>
      <c r="AZ1447" s="150">
        <f t="shared" si="1279"/>
        <v>0</v>
      </c>
      <c r="BA1447" s="348">
        <v>0</v>
      </c>
      <c r="BB1447" s="202">
        <v>5</v>
      </c>
      <c r="BC1447" s="202" t="s">
        <v>714</v>
      </c>
      <c r="BD1447" s="202" t="s">
        <v>632</v>
      </c>
      <c r="BE1447" s="202" t="s">
        <v>647</v>
      </c>
      <c r="BF1447" s="202" t="s">
        <v>1846</v>
      </c>
      <c r="BG1447" s="282" t="s">
        <v>80</v>
      </c>
      <c r="BH1447" s="283">
        <f>AS1447</f>
        <v>0</v>
      </c>
      <c r="BI1447" s="205"/>
      <c r="BJ1447" s="206" t="s">
        <v>8546</v>
      </c>
      <c r="BK1447" s="206" t="s">
        <v>575</v>
      </c>
      <c r="BL1447" s="207" t="s">
        <v>8547</v>
      </c>
      <c r="BM1447" s="208">
        <f>BH1447</f>
        <v>0</v>
      </c>
      <c r="BN1447" s="160"/>
      <c r="BO1447" s="161">
        <f t="shared" si="1287"/>
        <v>0</v>
      </c>
      <c r="BP1447" s="161"/>
    </row>
    <row r="1448" spans="1:68" ht="25.5">
      <c r="A1448" s="255" t="s">
        <v>576</v>
      </c>
      <c r="B1448" s="174"/>
      <c r="C1448" s="175" t="s">
        <v>81</v>
      </c>
      <c r="D1448" s="146" t="s">
        <v>4692</v>
      </c>
      <c r="E1448" s="175" t="s">
        <v>81</v>
      </c>
      <c r="F1448" s="176">
        <v>51132415.920000002</v>
      </c>
      <c r="G1448" s="177">
        <v>33804771.129999995</v>
      </c>
      <c r="H1448" s="177">
        <v>5219175.2122424236</v>
      </c>
      <c r="I1448" s="177">
        <v>39023946.342242427</v>
      </c>
      <c r="J1448" s="176">
        <f>J1449+J1473+J1503</f>
        <v>9187790.2400000021</v>
      </c>
      <c r="K1448" s="176">
        <f>K1449+K1473+K1503</f>
        <v>3585038.5199999996</v>
      </c>
      <c r="L1448" s="176">
        <f t="shared" si="1288"/>
        <v>12772828.760000002</v>
      </c>
      <c r="M1448" s="178">
        <v>19929146.400000002</v>
      </c>
      <c r="N1448" s="178">
        <v>5615955.9267757889</v>
      </c>
      <c r="O1448" s="178">
        <v>25545102.326775789</v>
      </c>
      <c r="P1448" s="221">
        <f t="shared" ref="P1448:R1448" si="1289">P1449+P1473+P1503</f>
        <v>30672284.609999996</v>
      </c>
      <c r="Q1448" s="221">
        <f t="shared" si="1289"/>
        <v>7004066.2355521098</v>
      </c>
      <c r="R1448" s="221">
        <f t="shared" si="1289"/>
        <v>37676350.845552102</v>
      </c>
      <c r="S1448" s="150">
        <f t="shared" si="1286"/>
        <v>50235134.460736133</v>
      </c>
      <c r="T1448" s="347">
        <f>T1449+T1473</f>
        <v>52655567.550000004</v>
      </c>
      <c r="U1448" s="221">
        <f t="shared" ref="U1448:W1448" si="1290">U1449+U1473+U1503</f>
        <v>43966662.120000005</v>
      </c>
      <c r="V1448" s="222">
        <f t="shared" si="1290"/>
        <v>9166742.6393654887</v>
      </c>
      <c r="W1448" s="221">
        <f t="shared" si="1290"/>
        <v>53133404.759365484</v>
      </c>
      <c r="X1448" s="221">
        <v>43966662.120000005</v>
      </c>
      <c r="Y1448" s="221">
        <v>9166742.6393654887</v>
      </c>
      <c r="Z1448" s="221">
        <v>53133404.759365484</v>
      </c>
      <c r="AA1448" s="221">
        <f t="shared" si="1282"/>
        <v>-477837.2093654871</v>
      </c>
      <c r="AB1448" s="221">
        <v>43966662.120000005</v>
      </c>
      <c r="AC1448" s="222">
        <v>8688905.4299999997</v>
      </c>
      <c r="AD1448" s="221">
        <f t="shared" ref="AD1448" si="1291">AD1449+AD1473+AD1503</f>
        <v>52655567.549999997</v>
      </c>
      <c r="AE1448" s="221">
        <v>52655567.549999997</v>
      </c>
      <c r="AF1448" s="169" t="s">
        <v>4680</v>
      </c>
      <c r="AG1448" s="223">
        <v>43966662.120000005</v>
      </c>
      <c r="AH1448" s="222">
        <v>8688905.4299999997</v>
      </c>
      <c r="AI1448" s="221">
        <v>52655567.549999997</v>
      </c>
      <c r="AJ1448" s="169">
        <f t="shared" si="1283"/>
        <v>0</v>
      </c>
      <c r="AK1448" s="223">
        <v>43966662.120000005</v>
      </c>
      <c r="AL1448" s="222">
        <v>8688905.4299999997</v>
      </c>
      <c r="AM1448" s="221">
        <f t="shared" ref="AM1448" si="1292">AM1449+AM1473+AM1503</f>
        <v>52655567.549999997</v>
      </c>
      <c r="AN1448" s="153">
        <f t="shared" si="1284"/>
        <v>0</v>
      </c>
      <c r="AO1448" s="154">
        <f t="shared" si="1285"/>
        <v>0</v>
      </c>
      <c r="AP1448" s="221">
        <v>52655567.549999997</v>
      </c>
      <c r="AQ1448" s="223">
        <v>52655567.550000004</v>
      </c>
      <c r="AR1448" s="222">
        <f t="shared" ref="AR1448:AS1448" si="1293">AR1449+AR1473+AR1503</f>
        <v>0</v>
      </c>
      <c r="AS1448" s="221">
        <f t="shared" si="1293"/>
        <v>52655567.550000004</v>
      </c>
      <c r="AT1448" s="155"/>
      <c r="AU1448" s="156">
        <f t="shared" si="1280"/>
        <v>0</v>
      </c>
      <c r="AV1448" s="156">
        <f t="shared" si="1281"/>
        <v>-477837.2093654871</v>
      </c>
      <c r="AW1448" s="157"/>
      <c r="AX1448" s="150">
        <v>53133404.759365484</v>
      </c>
      <c r="AY1448" s="221">
        <f t="shared" ref="AY1448:BA1448" si="1294">AY1449+AY1473+AY1503</f>
        <v>23424189.98</v>
      </c>
      <c r="AZ1448" s="221">
        <f t="shared" si="1294"/>
        <v>28491325.91355158</v>
      </c>
      <c r="BA1448" s="221">
        <f t="shared" si="1294"/>
        <v>51915515.893551588</v>
      </c>
      <c r="BB1448" s="254">
        <v>5</v>
      </c>
      <c r="BC1448" s="255" t="s">
        <v>714</v>
      </c>
      <c r="BD1448" s="255" t="s">
        <v>647</v>
      </c>
      <c r="BE1448" s="173" t="s">
        <v>630</v>
      </c>
      <c r="BF1448" s="255" t="s">
        <v>630</v>
      </c>
      <c r="BG1448" s="175" t="s">
        <v>81</v>
      </c>
      <c r="BH1448" s="224">
        <f>BH1449+BH1473+BH1503</f>
        <v>52655567.550000004</v>
      </c>
      <c r="BI1448" s="254"/>
      <c r="BJ1448" s="255" t="s">
        <v>8548</v>
      </c>
      <c r="BK1448" s="255" t="s">
        <v>576</v>
      </c>
      <c r="BL1448" s="182" t="s">
        <v>8549</v>
      </c>
      <c r="BM1448" s="337">
        <f>BM1449+BM1473+BM1503</f>
        <v>52655567.550000004</v>
      </c>
      <c r="BN1448" s="160"/>
      <c r="BO1448" s="161">
        <f t="shared" si="1287"/>
        <v>0</v>
      </c>
      <c r="BP1448" s="161"/>
    </row>
    <row r="1449" spans="1:68" ht="38.25">
      <c r="A1449" s="256" t="s">
        <v>577</v>
      </c>
      <c r="B1449" s="184"/>
      <c r="C1449" s="185" t="s">
        <v>82</v>
      </c>
      <c r="D1449" s="146" t="s">
        <v>4692</v>
      </c>
      <c r="E1449" s="185" t="s">
        <v>82</v>
      </c>
      <c r="F1449" s="188">
        <v>39064563.810000002</v>
      </c>
      <c r="G1449" s="187">
        <v>22196647.170000002</v>
      </c>
      <c r="H1449" s="187">
        <v>-1645786.52</v>
      </c>
      <c r="I1449" s="187">
        <v>20550860.650000002</v>
      </c>
      <c r="J1449" s="188">
        <f>SUM(J1450:J1472)</f>
        <v>7139479.0200000014</v>
      </c>
      <c r="K1449" s="188">
        <f>SUM(K1450:K1472)</f>
        <v>2721532.8599999994</v>
      </c>
      <c r="L1449" s="188">
        <f t="shared" si="1288"/>
        <v>9861011.8800000008</v>
      </c>
      <c r="M1449" s="188">
        <v>15532685.150000002</v>
      </c>
      <c r="N1449" s="188">
        <v>4169508.6399720833</v>
      </c>
      <c r="O1449" s="188">
        <v>19702193.789972086</v>
      </c>
      <c r="P1449" s="299">
        <f t="shared" ref="P1449:R1449" si="1295">SUM(P1450:P1472)</f>
        <v>23806328.749999996</v>
      </c>
      <c r="Q1449" s="299">
        <f t="shared" si="1295"/>
        <v>4717454.1230795793</v>
      </c>
      <c r="R1449" s="299">
        <f t="shared" si="1295"/>
        <v>28523782.873079576</v>
      </c>
      <c r="S1449" s="150">
        <f t="shared" si="1286"/>
        <v>38031710.497439437</v>
      </c>
      <c r="T1449" s="347">
        <f>SUM(T1450:T1472)</f>
        <v>41867392.420000002</v>
      </c>
      <c r="U1449" s="299">
        <f t="shared" ref="U1449:W1449" si="1296">SUM(U1450:U1472)</f>
        <v>34254982.650000006</v>
      </c>
      <c r="V1449" s="226">
        <f t="shared" si="1296"/>
        <v>8183135.6017645607</v>
      </c>
      <c r="W1449" s="299">
        <f t="shared" si="1296"/>
        <v>42438118.251764558</v>
      </c>
      <c r="X1449" s="299">
        <v>34254982.650000006</v>
      </c>
      <c r="Y1449" s="299">
        <v>8183135.6017645607</v>
      </c>
      <c r="Z1449" s="299">
        <v>42438118.251764558</v>
      </c>
      <c r="AA1449" s="299">
        <f t="shared" si="1282"/>
        <v>-570725.83176455647</v>
      </c>
      <c r="AB1449" s="299">
        <v>34254982.650000006</v>
      </c>
      <c r="AC1449" s="226">
        <v>7612409.7699999996</v>
      </c>
      <c r="AD1449" s="299">
        <f t="shared" ref="AD1449" si="1297">SUM(AD1450:AD1472)</f>
        <v>41867392.420000002</v>
      </c>
      <c r="AE1449" s="299">
        <v>41867392.420000002</v>
      </c>
      <c r="AF1449" s="169" t="s">
        <v>4680</v>
      </c>
      <c r="AG1449" s="301">
        <v>34254982.650000006</v>
      </c>
      <c r="AH1449" s="226">
        <v>7612409.7699999996</v>
      </c>
      <c r="AI1449" s="299">
        <v>41867392.420000002</v>
      </c>
      <c r="AJ1449" s="169">
        <f t="shared" si="1283"/>
        <v>0</v>
      </c>
      <c r="AK1449" s="301">
        <v>34254982.650000006</v>
      </c>
      <c r="AL1449" s="226">
        <v>7612409.7699999996</v>
      </c>
      <c r="AM1449" s="299">
        <f t="shared" ref="AM1449" si="1298">SUM(AM1450:AM1472)</f>
        <v>41867392.420000002</v>
      </c>
      <c r="AN1449" s="153">
        <f t="shared" si="1284"/>
        <v>0</v>
      </c>
      <c r="AO1449" s="154">
        <f t="shared" si="1285"/>
        <v>0</v>
      </c>
      <c r="AP1449" s="299">
        <v>41867392.420000002</v>
      </c>
      <c r="AQ1449" s="301">
        <v>41867392.420000002</v>
      </c>
      <c r="AR1449" s="226">
        <f t="shared" ref="AR1449:AS1449" si="1299">SUM(AR1450:AR1472)</f>
        <v>0</v>
      </c>
      <c r="AS1449" s="299">
        <f t="shared" si="1299"/>
        <v>41867392.420000002</v>
      </c>
      <c r="AT1449" s="155"/>
      <c r="AU1449" s="156">
        <f t="shared" si="1280"/>
        <v>0</v>
      </c>
      <c r="AV1449" s="156">
        <f t="shared" si="1281"/>
        <v>-570725.83176455647</v>
      </c>
      <c r="AW1449" s="157"/>
      <c r="AX1449" s="150">
        <v>42438118.251764558</v>
      </c>
      <c r="AY1449" s="299">
        <f t="shared" ref="AY1449:BA1449" si="1300">SUM(AY1450:AY1472)</f>
        <v>18253294.850000001</v>
      </c>
      <c r="AZ1449" s="299">
        <f t="shared" si="1300"/>
        <v>21208150.269944169</v>
      </c>
      <c r="BA1449" s="299">
        <f t="shared" si="1300"/>
        <v>39461445.11994417</v>
      </c>
      <c r="BB1449" s="192">
        <v>5</v>
      </c>
      <c r="BC1449" s="256" t="s">
        <v>714</v>
      </c>
      <c r="BD1449" s="256" t="s">
        <v>647</v>
      </c>
      <c r="BE1449" s="256" t="s">
        <v>632</v>
      </c>
      <c r="BF1449" s="256" t="s">
        <v>630</v>
      </c>
      <c r="BG1449" s="185" t="s">
        <v>82</v>
      </c>
      <c r="BH1449" s="302">
        <f>SUM(BH1450:BH1472)</f>
        <v>41867392.420000002</v>
      </c>
      <c r="BI1449" s="192"/>
      <c r="BJ1449" s="256" t="s">
        <v>8550</v>
      </c>
      <c r="BK1449" s="256" t="s">
        <v>577</v>
      </c>
      <c r="BL1449" s="238" t="s">
        <v>8551</v>
      </c>
      <c r="BM1449" s="338">
        <f>BM1450+BM1451+BM1458+BM1459+BM1460+BM1461+BM1469+BM1470+BM1471+BM1472</f>
        <v>41867392.420000002</v>
      </c>
      <c r="BN1449" s="160"/>
      <c r="BO1449" s="161">
        <f t="shared" si="1287"/>
        <v>0</v>
      </c>
      <c r="BP1449" s="161"/>
    </row>
    <row r="1450" spans="1:68" ht="51">
      <c r="A1450" s="206" t="s">
        <v>577</v>
      </c>
      <c r="B1450" s="195" t="s">
        <v>8552</v>
      </c>
      <c r="C1450" s="196" t="s">
        <v>8553</v>
      </c>
      <c r="D1450" s="146" t="s">
        <v>4692</v>
      </c>
      <c r="E1450" s="196" t="s">
        <v>8553</v>
      </c>
      <c r="F1450" s="150">
        <v>20550860.649999999</v>
      </c>
      <c r="G1450" s="209">
        <v>6283495.3300000001</v>
      </c>
      <c r="H1450" s="209">
        <v>959419.82921946433</v>
      </c>
      <c r="I1450" s="209">
        <v>7242915.1592194643</v>
      </c>
      <c r="J1450" s="150">
        <v>5204861.24</v>
      </c>
      <c r="K1450" s="150">
        <v>119760.87999999995</v>
      </c>
      <c r="L1450" s="150">
        <f t="shared" si="1288"/>
        <v>5324622.12</v>
      </c>
      <c r="M1450" s="150">
        <v>10526750.98</v>
      </c>
      <c r="N1450" s="150">
        <v>251196.5771589987</v>
      </c>
      <c r="O1450" s="150">
        <v>10777947.557158999</v>
      </c>
      <c r="P1450" s="150">
        <v>15836009.98</v>
      </c>
      <c r="Q1450" s="150">
        <v>340924.42000000016</v>
      </c>
      <c r="R1450" s="313">
        <f t="shared" ref="R1450:R1472" si="1301">P1450+Q1450</f>
        <v>16176934.4</v>
      </c>
      <c r="S1450" s="150">
        <f t="shared" si="1286"/>
        <v>21569245.866666667</v>
      </c>
      <c r="T1450" s="150">
        <v>21459395.949999999</v>
      </c>
      <c r="U1450" s="309">
        <v>23072383.18</v>
      </c>
      <c r="V1450" s="199">
        <v>-1612987.2299999997</v>
      </c>
      <c r="W1450" s="150">
        <f t="shared" ref="W1450:W1472" si="1302">U1450+V1450</f>
        <v>21459395.949999999</v>
      </c>
      <c r="X1450" s="150">
        <v>23072383.18</v>
      </c>
      <c r="Y1450" s="150">
        <v>-1612987.2299999997</v>
      </c>
      <c r="Z1450" s="150">
        <v>21459395.949999999</v>
      </c>
      <c r="AA1450" s="150">
        <f t="shared" si="1282"/>
        <v>0</v>
      </c>
      <c r="AB1450" s="150">
        <v>23072383.18</v>
      </c>
      <c r="AC1450" s="199">
        <v>-1612987.23</v>
      </c>
      <c r="AD1450" s="150">
        <f t="shared" ref="AD1450:AD1472" si="1303">AB1450+AC1450</f>
        <v>21459395.949999999</v>
      </c>
      <c r="AE1450" s="150">
        <v>21459395.949999999</v>
      </c>
      <c r="AF1450" s="169" t="s">
        <v>4680</v>
      </c>
      <c r="AG1450" s="201">
        <v>23072383.18</v>
      </c>
      <c r="AH1450" s="199">
        <v>-1612987.23</v>
      </c>
      <c r="AI1450" s="150">
        <v>21459395.949999999</v>
      </c>
      <c r="AJ1450" s="169">
        <f t="shared" si="1283"/>
        <v>0</v>
      </c>
      <c r="AK1450" s="201">
        <v>23072383.18</v>
      </c>
      <c r="AL1450" s="199">
        <v>-1612987.23</v>
      </c>
      <c r="AM1450" s="150">
        <f t="shared" ref="AM1450:AM1472" si="1304">AK1450+AL1450</f>
        <v>21459395.949999999</v>
      </c>
      <c r="AN1450" s="153">
        <f t="shared" si="1284"/>
        <v>0</v>
      </c>
      <c r="AO1450" s="154">
        <f t="shared" si="1285"/>
        <v>0</v>
      </c>
      <c r="AP1450" s="309">
        <v>21459395.949999999</v>
      </c>
      <c r="AQ1450" s="201">
        <v>21459395.949999999</v>
      </c>
      <c r="AR1450" s="199"/>
      <c r="AS1450" s="150">
        <f t="shared" ref="AS1450:AS1472" si="1305">AQ1450+AR1450</f>
        <v>21459395.949999999</v>
      </c>
      <c r="AT1450" s="155"/>
      <c r="AU1450" s="156">
        <f t="shared" si="1280"/>
        <v>0</v>
      </c>
      <c r="AV1450" s="156">
        <f t="shared" si="1281"/>
        <v>0</v>
      </c>
      <c r="AW1450" s="157"/>
      <c r="AX1450" s="150">
        <v>21459395.949999999</v>
      </c>
      <c r="AY1450" s="150">
        <v>12300374.390000001</v>
      </c>
      <c r="AZ1450" s="150">
        <f t="shared" ref="AZ1450:AZ1502" si="1306">BA1450-AY1450</f>
        <v>9312578.2643179968</v>
      </c>
      <c r="BA1450" s="348">
        <v>21612952.654317997</v>
      </c>
      <c r="BB1450" s="202">
        <v>5</v>
      </c>
      <c r="BC1450" s="202" t="s">
        <v>714</v>
      </c>
      <c r="BD1450" s="202" t="s">
        <v>647</v>
      </c>
      <c r="BE1450" s="202" t="s">
        <v>632</v>
      </c>
      <c r="BF1450" s="202" t="s">
        <v>632</v>
      </c>
      <c r="BG1450" s="231" t="s">
        <v>8554</v>
      </c>
      <c r="BH1450" s="216">
        <f>AS1450</f>
        <v>21459395.949999999</v>
      </c>
      <c r="BI1450" s="205"/>
      <c r="BJ1450" s="206" t="s">
        <v>8550</v>
      </c>
      <c r="BK1450" s="206" t="s">
        <v>577</v>
      </c>
      <c r="BL1450" s="207" t="s">
        <v>8551</v>
      </c>
      <c r="BM1450" s="208">
        <f>BH1450</f>
        <v>21459395.949999999</v>
      </c>
      <c r="BN1450" s="160"/>
      <c r="BO1450" s="161">
        <f t="shared" si="1287"/>
        <v>0</v>
      </c>
      <c r="BP1450" s="161"/>
    </row>
    <row r="1451" spans="1:68" ht="38.25">
      <c r="A1451" s="206" t="s">
        <v>577</v>
      </c>
      <c r="B1451" s="195" t="s">
        <v>8555</v>
      </c>
      <c r="C1451" s="196" t="s">
        <v>8556</v>
      </c>
      <c r="D1451" s="146" t="s">
        <v>4692</v>
      </c>
      <c r="E1451" s="196" t="s">
        <v>8556</v>
      </c>
      <c r="F1451" s="150">
        <v>7242915.3300000001</v>
      </c>
      <c r="G1451" s="209">
        <v>1061610.93</v>
      </c>
      <c r="H1451" s="209">
        <v>0</v>
      </c>
      <c r="I1451" s="209">
        <v>1061610.93</v>
      </c>
      <c r="J1451" s="150">
        <v>1325048.3200000001</v>
      </c>
      <c r="K1451" s="150">
        <v>408069.29</v>
      </c>
      <c r="L1451" s="150">
        <f t="shared" si="1288"/>
        <v>1733117.61</v>
      </c>
      <c r="M1451" s="150">
        <v>2884663.42</v>
      </c>
      <c r="N1451" s="150">
        <v>578909.72697860608</v>
      </c>
      <c r="O1451" s="150">
        <v>3463573.146978606</v>
      </c>
      <c r="P1451" s="150">
        <v>4419499.9800000004</v>
      </c>
      <c r="Q1451" s="150">
        <v>542674.60199774301</v>
      </c>
      <c r="R1451" s="313">
        <f t="shared" si="1301"/>
        <v>4962174.5819977438</v>
      </c>
      <c r="S1451" s="150">
        <f t="shared" si="1286"/>
        <v>6616232.7759969924</v>
      </c>
      <c r="T1451" s="150">
        <v>7792907.1299999999</v>
      </c>
      <c r="U1451" s="150">
        <v>6390838.1299999999</v>
      </c>
      <c r="V1451" s="199">
        <v>1416068.5508885009</v>
      </c>
      <c r="W1451" s="150">
        <f t="shared" si="1302"/>
        <v>7806906.680888501</v>
      </c>
      <c r="X1451" s="150">
        <v>6390838.1299999999</v>
      </c>
      <c r="Y1451" s="150">
        <v>1416068.5508885009</v>
      </c>
      <c r="Z1451" s="150">
        <v>7806906.680888501</v>
      </c>
      <c r="AA1451" s="150">
        <f t="shared" si="1282"/>
        <v>-13999.550888501108</v>
      </c>
      <c r="AB1451" s="150">
        <v>6390838.1299999999</v>
      </c>
      <c r="AC1451" s="199">
        <v>1402069</v>
      </c>
      <c r="AD1451" s="150">
        <f t="shared" si="1303"/>
        <v>7792907.1299999999</v>
      </c>
      <c r="AE1451" s="150">
        <v>7792907.1299999999</v>
      </c>
      <c r="AF1451" s="169" t="s">
        <v>4680</v>
      </c>
      <c r="AG1451" s="201">
        <v>6390838.1299999999</v>
      </c>
      <c r="AH1451" s="199">
        <v>1402069</v>
      </c>
      <c r="AI1451" s="150">
        <v>7792907.1299999999</v>
      </c>
      <c r="AJ1451" s="169">
        <f t="shared" si="1283"/>
        <v>0</v>
      </c>
      <c r="AK1451" s="201">
        <v>6390838.1299999999</v>
      </c>
      <c r="AL1451" s="199">
        <v>1402069</v>
      </c>
      <c r="AM1451" s="150">
        <f t="shared" si="1304"/>
        <v>7792907.1299999999</v>
      </c>
      <c r="AN1451" s="153">
        <f t="shared" si="1284"/>
        <v>0</v>
      </c>
      <c r="AO1451" s="154">
        <f t="shared" si="1285"/>
        <v>0</v>
      </c>
      <c r="AP1451" s="150">
        <v>7792907.1299999999</v>
      </c>
      <c r="AQ1451" s="201">
        <v>7792907.1299999999</v>
      </c>
      <c r="AR1451" s="199"/>
      <c r="AS1451" s="150">
        <f t="shared" si="1305"/>
        <v>7792907.1299999999</v>
      </c>
      <c r="AT1451" s="155"/>
      <c r="AU1451" s="156">
        <f t="shared" si="1280"/>
        <v>0</v>
      </c>
      <c r="AV1451" s="156">
        <f t="shared" si="1281"/>
        <v>-13999.550888501108</v>
      </c>
      <c r="AW1451" s="157"/>
      <c r="AX1451" s="150">
        <v>7806906.680888501</v>
      </c>
      <c r="AY1451" s="150">
        <v>3388876.25</v>
      </c>
      <c r="AZ1451" s="150">
        <f t="shared" si="1306"/>
        <v>3538270.043957212</v>
      </c>
      <c r="BA1451" s="348">
        <v>6927146.293957212</v>
      </c>
      <c r="BB1451" s="202">
        <v>5</v>
      </c>
      <c r="BC1451" s="202" t="s">
        <v>714</v>
      </c>
      <c r="BD1451" s="202" t="s">
        <v>647</v>
      </c>
      <c r="BE1451" s="202" t="s">
        <v>632</v>
      </c>
      <c r="BF1451" s="202" t="s">
        <v>714</v>
      </c>
      <c r="BG1451" s="231" t="s">
        <v>8557</v>
      </c>
      <c r="BH1451" s="216">
        <f>SUM(AS1451:AS1457)</f>
        <v>9231122.879999999</v>
      </c>
      <c r="BI1451" s="205"/>
      <c r="BJ1451" s="206" t="s">
        <v>8550</v>
      </c>
      <c r="BK1451" s="206" t="s">
        <v>577</v>
      </c>
      <c r="BL1451" s="207" t="s">
        <v>8551</v>
      </c>
      <c r="BM1451" s="208">
        <f>BH1451</f>
        <v>9231122.879999999</v>
      </c>
      <c r="BN1451" s="160"/>
      <c r="BO1451" s="161"/>
      <c r="BP1451" s="161"/>
    </row>
    <row r="1452" spans="1:68" ht="25.5">
      <c r="A1452" s="210"/>
      <c r="B1452" s="195" t="s">
        <v>8558</v>
      </c>
      <c r="C1452" s="196" t="s">
        <v>8559</v>
      </c>
      <c r="D1452" s="146" t="s">
        <v>4692</v>
      </c>
      <c r="E1452" s="196" t="s">
        <v>8559</v>
      </c>
      <c r="F1452" s="150">
        <v>1061610.93</v>
      </c>
      <c r="G1452" s="209">
        <v>376.66</v>
      </c>
      <c r="H1452" s="209">
        <v>0</v>
      </c>
      <c r="I1452" s="209">
        <v>376.66</v>
      </c>
      <c r="J1452" s="150">
        <v>251993.54</v>
      </c>
      <c r="K1452" s="150">
        <v>0</v>
      </c>
      <c r="L1452" s="150">
        <f t="shared" si="1288"/>
        <v>251993.54</v>
      </c>
      <c r="M1452" s="150">
        <v>509617.87</v>
      </c>
      <c r="N1452" s="150">
        <v>0</v>
      </c>
      <c r="O1452" s="150">
        <v>509617.87</v>
      </c>
      <c r="P1452" s="150">
        <v>766915.13</v>
      </c>
      <c r="Q1452" s="150">
        <v>0</v>
      </c>
      <c r="R1452" s="313">
        <f t="shared" si="1301"/>
        <v>766915.13</v>
      </c>
      <c r="S1452" s="150">
        <f t="shared" si="1286"/>
        <v>1022553.5066666667</v>
      </c>
      <c r="T1452" s="150">
        <v>1116914.05</v>
      </c>
      <c r="U1452" s="150">
        <v>1116914.05</v>
      </c>
      <c r="V1452" s="199">
        <v>0</v>
      </c>
      <c r="W1452" s="150">
        <f t="shared" si="1302"/>
        <v>1116914.05</v>
      </c>
      <c r="X1452" s="150">
        <v>1116914.05</v>
      </c>
      <c r="Y1452" s="150">
        <v>0</v>
      </c>
      <c r="Z1452" s="150">
        <v>1116914.05</v>
      </c>
      <c r="AA1452" s="150">
        <f t="shared" si="1282"/>
        <v>0</v>
      </c>
      <c r="AB1452" s="150">
        <v>1116914.05</v>
      </c>
      <c r="AC1452" s="199">
        <v>0</v>
      </c>
      <c r="AD1452" s="150">
        <f t="shared" si="1303"/>
        <v>1116914.05</v>
      </c>
      <c r="AE1452" s="150">
        <v>1116914.05</v>
      </c>
      <c r="AF1452" s="169" t="s">
        <v>4680</v>
      </c>
      <c r="AG1452" s="201">
        <v>1116914.05</v>
      </c>
      <c r="AH1452" s="199">
        <v>0</v>
      </c>
      <c r="AI1452" s="150">
        <v>1116914.05</v>
      </c>
      <c r="AJ1452" s="169">
        <f t="shared" si="1283"/>
        <v>0</v>
      </c>
      <c r="AK1452" s="201">
        <v>1116914.05</v>
      </c>
      <c r="AL1452" s="199">
        <v>0</v>
      </c>
      <c r="AM1452" s="150">
        <f t="shared" si="1304"/>
        <v>1116914.05</v>
      </c>
      <c r="AN1452" s="153">
        <f t="shared" si="1284"/>
        <v>0</v>
      </c>
      <c r="AO1452" s="154">
        <f t="shared" si="1285"/>
        <v>0</v>
      </c>
      <c r="AP1452" s="150">
        <v>1116914.05</v>
      </c>
      <c r="AQ1452" s="201">
        <v>1116914.05</v>
      </c>
      <c r="AR1452" s="199">
        <v>0</v>
      </c>
      <c r="AS1452" s="150">
        <f t="shared" si="1305"/>
        <v>1116914.05</v>
      </c>
      <c r="AT1452" s="155"/>
      <c r="AU1452" s="156">
        <f t="shared" si="1280"/>
        <v>0</v>
      </c>
      <c r="AV1452" s="156">
        <f t="shared" si="1281"/>
        <v>0</v>
      </c>
      <c r="AW1452" s="157"/>
      <c r="AX1452" s="150">
        <v>1116914.05</v>
      </c>
      <c r="AY1452" s="150">
        <v>595561.35</v>
      </c>
      <c r="AZ1452" s="150">
        <f t="shared" si="1306"/>
        <v>423674.39</v>
      </c>
      <c r="BA1452" s="348">
        <v>1019235.74</v>
      </c>
      <c r="BB1452" s="210"/>
      <c r="BC1452" s="210"/>
      <c r="BD1452" s="210"/>
      <c r="BE1452" s="210"/>
      <c r="BF1452" s="210"/>
      <c r="BG1452" s="210"/>
      <c r="BH1452" s="217"/>
      <c r="BI1452" s="210"/>
      <c r="BJ1452" s="210"/>
      <c r="BK1452" s="210"/>
      <c r="BL1452" s="210"/>
      <c r="BM1452" s="208"/>
      <c r="BN1452" s="160"/>
      <c r="BO1452" s="161"/>
      <c r="BP1452" s="161"/>
    </row>
    <row r="1453" spans="1:68" ht="38.25">
      <c r="A1453" s="210"/>
      <c r="B1453" s="195" t="s">
        <v>8560</v>
      </c>
      <c r="C1453" s="196" t="s">
        <v>8561</v>
      </c>
      <c r="D1453" s="146" t="s">
        <v>4692</v>
      </c>
      <c r="E1453" s="196" t="s">
        <v>8561</v>
      </c>
      <c r="F1453" s="150">
        <v>376.66</v>
      </c>
      <c r="G1453" s="209">
        <v>0</v>
      </c>
      <c r="H1453" s="209">
        <v>228579.52</v>
      </c>
      <c r="I1453" s="209">
        <v>228579.52</v>
      </c>
      <c r="J1453" s="150">
        <v>88.98</v>
      </c>
      <c r="K1453" s="150">
        <v>0</v>
      </c>
      <c r="L1453" s="150">
        <f t="shared" si="1288"/>
        <v>88.98</v>
      </c>
      <c r="M1453" s="150">
        <v>187.14</v>
      </c>
      <c r="N1453" s="150">
        <v>0</v>
      </c>
      <c r="O1453" s="150">
        <v>187.14</v>
      </c>
      <c r="P1453" s="150">
        <v>280.70999999999998</v>
      </c>
      <c r="Q1453" s="150">
        <v>0</v>
      </c>
      <c r="R1453" s="313">
        <f t="shared" si="1301"/>
        <v>280.70999999999998</v>
      </c>
      <c r="S1453" s="150">
        <f t="shared" si="1286"/>
        <v>374.28</v>
      </c>
      <c r="T1453" s="150">
        <v>402.36</v>
      </c>
      <c r="U1453" s="150">
        <v>402.36</v>
      </c>
      <c r="V1453" s="199">
        <v>0</v>
      </c>
      <c r="W1453" s="150">
        <f t="shared" si="1302"/>
        <v>402.36</v>
      </c>
      <c r="X1453" s="150">
        <v>402.36</v>
      </c>
      <c r="Y1453" s="150">
        <v>0</v>
      </c>
      <c r="Z1453" s="150">
        <v>402.36</v>
      </c>
      <c r="AA1453" s="150">
        <f t="shared" si="1282"/>
        <v>0</v>
      </c>
      <c r="AB1453" s="150">
        <v>402.36</v>
      </c>
      <c r="AC1453" s="199">
        <v>0</v>
      </c>
      <c r="AD1453" s="150">
        <f t="shared" si="1303"/>
        <v>402.36</v>
      </c>
      <c r="AE1453" s="150">
        <v>402.36</v>
      </c>
      <c r="AF1453" s="169" t="s">
        <v>4680</v>
      </c>
      <c r="AG1453" s="201">
        <v>402.36</v>
      </c>
      <c r="AH1453" s="199">
        <v>0</v>
      </c>
      <c r="AI1453" s="150">
        <v>402.36</v>
      </c>
      <c r="AJ1453" s="169">
        <f t="shared" si="1283"/>
        <v>0</v>
      </c>
      <c r="AK1453" s="201">
        <v>402.36</v>
      </c>
      <c r="AL1453" s="199">
        <v>0</v>
      </c>
      <c r="AM1453" s="150">
        <f t="shared" si="1304"/>
        <v>402.36</v>
      </c>
      <c r="AN1453" s="153">
        <f t="shared" si="1284"/>
        <v>0</v>
      </c>
      <c r="AO1453" s="154">
        <f t="shared" si="1285"/>
        <v>0</v>
      </c>
      <c r="AP1453" s="150">
        <v>402.36</v>
      </c>
      <c r="AQ1453" s="201">
        <v>402.36</v>
      </c>
      <c r="AR1453" s="199">
        <v>0</v>
      </c>
      <c r="AS1453" s="150">
        <f t="shared" si="1305"/>
        <v>402.36</v>
      </c>
      <c r="AT1453" s="155"/>
      <c r="AU1453" s="156">
        <f t="shared" si="1280"/>
        <v>0</v>
      </c>
      <c r="AV1453" s="156">
        <f t="shared" si="1281"/>
        <v>0</v>
      </c>
      <c r="AW1453" s="157"/>
      <c r="AX1453" s="150">
        <v>402.36</v>
      </c>
      <c r="AY1453" s="150">
        <v>218.33</v>
      </c>
      <c r="AZ1453" s="150">
        <f t="shared" si="1306"/>
        <v>155.94999999999996</v>
      </c>
      <c r="BA1453" s="348">
        <v>374.28</v>
      </c>
      <c r="BB1453" s="210"/>
      <c r="BC1453" s="210"/>
      <c r="BD1453" s="210"/>
      <c r="BE1453" s="210"/>
      <c r="BF1453" s="210"/>
      <c r="BG1453" s="210"/>
      <c r="BH1453" s="217"/>
      <c r="BI1453" s="210"/>
      <c r="BJ1453" s="210"/>
      <c r="BK1453" s="210"/>
      <c r="BL1453" s="210"/>
      <c r="BM1453" s="208"/>
      <c r="BN1453" s="160"/>
      <c r="BO1453" s="161"/>
      <c r="BP1453" s="161"/>
    </row>
    <row r="1454" spans="1:68" ht="38.25">
      <c r="A1454" s="210"/>
      <c r="B1454" s="195" t="s">
        <v>8562</v>
      </c>
      <c r="C1454" s="196" t="s">
        <v>8563</v>
      </c>
      <c r="D1454" s="146" t="s">
        <v>4692</v>
      </c>
      <c r="E1454" s="196" t="s">
        <v>8563</v>
      </c>
      <c r="F1454" s="150">
        <v>228580</v>
      </c>
      <c r="G1454" s="209">
        <v>0</v>
      </c>
      <c r="H1454" s="209">
        <v>0</v>
      </c>
      <c r="I1454" s="209">
        <v>0</v>
      </c>
      <c r="J1454" s="150">
        <v>0</v>
      </c>
      <c r="K1454" s="150">
        <v>57144.88</v>
      </c>
      <c r="L1454" s="150">
        <f t="shared" si="1288"/>
        <v>57144.88</v>
      </c>
      <c r="M1454" s="150">
        <v>0</v>
      </c>
      <c r="N1454" s="150">
        <v>114290</v>
      </c>
      <c r="O1454" s="150">
        <v>114290</v>
      </c>
      <c r="P1454" s="150">
        <v>0</v>
      </c>
      <c r="Q1454" s="150">
        <v>0</v>
      </c>
      <c r="R1454" s="313">
        <f t="shared" si="1301"/>
        <v>0</v>
      </c>
      <c r="S1454" s="150">
        <f t="shared" si="1286"/>
        <v>0</v>
      </c>
      <c r="T1454" s="150">
        <v>319294.53999999998</v>
      </c>
      <c r="U1454" s="150">
        <v>0</v>
      </c>
      <c r="V1454" s="199">
        <v>319294.53999999998</v>
      </c>
      <c r="W1454" s="150">
        <f t="shared" si="1302"/>
        <v>319294.53999999998</v>
      </c>
      <c r="X1454" s="150">
        <v>0</v>
      </c>
      <c r="Y1454" s="150">
        <v>319294.53999999998</v>
      </c>
      <c r="Z1454" s="150">
        <v>319294.53999999998</v>
      </c>
      <c r="AA1454" s="150">
        <f t="shared" si="1282"/>
        <v>0</v>
      </c>
      <c r="AB1454" s="150">
        <v>0</v>
      </c>
      <c r="AC1454" s="199">
        <v>319294.53999999998</v>
      </c>
      <c r="AD1454" s="150">
        <f t="shared" si="1303"/>
        <v>319294.53999999998</v>
      </c>
      <c r="AE1454" s="150">
        <v>319294.53999999998</v>
      </c>
      <c r="AF1454" s="169" t="s">
        <v>4680</v>
      </c>
      <c r="AG1454" s="201">
        <v>0</v>
      </c>
      <c r="AH1454" s="199">
        <v>319294.53999999998</v>
      </c>
      <c r="AI1454" s="150">
        <v>319294.53999999998</v>
      </c>
      <c r="AJ1454" s="169">
        <f t="shared" si="1283"/>
        <v>0</v>
      </c>
      <c r="AK1454" s="201">
        <v>0</v>
      </c>
      <c r="AL1454" s="199">
        <v>319294.53999999998</v>
      </c>
      <c r="AM1454" s="150">
        <f t="shared" si="1304"/>
        <v>319294.53999999998</v>
      </c>
      <c r="AN1454" s="153">
        <f t="shared" si="1284"/>
        <v>0</v>
      </c>
      <c r="AO1454" s="154">
        <f t="shared" si="1285"/>
        <v>0</v>
      </c>
      <c r="AP1454" s="150">
        <v>319294.53999999998</v>
      </c>
      <c r="AQ1454" s="201">
        <v>319294.53999999998</v>
      </c>
      <c r="AR1454" s="199"/>
      <c r="AS1454" s="150">
        <f t="shared" si="1305"/>
        <v>319294.53999999998</v>
      </c>
      <c r="AT1454" s="155"/>
      <c r="AU1454" s="156">
        <f t="shared" si="1280"/>
        <v>0</v>
      </c>
      <c r="AV1454" s="156">
        <f t="shared" si="1281"/>
        <v>0</v>
      </c>
      <c r="AW1454" s="157"/>
      <c r="AX1454" s="150">
        <v>319294.53999999998</v>
      </c>
      <c r="AY1454" s="150">
        <v>0</v>
      </c>
      <c r="AZ1454" s="150">
        <f t="shared" si="1306"/>
        <v>228580</v>
      </c>
      <c r="BA1454" s="348">
        <v>228580</v>
      </c>
      <c r="BB1454" s="210"/>
      <c r="BC1454" s="210"/>
      <c r="BD1454" s="210"/>
      <c r="BE1454" s="210"/>
      <c r="BF1454" s="210"/>
      <c r="BG1454" s="210"/>
      <c r="BH1454" s="217"/>
      <c r="BI1454" s="210"/>
      <c r="BJ1454" s="210"/>
      <c r="BK1454" s="210"/>
      <c r="BL1454" s="210"/>
      <c r="BM1454" s="208"/>
      <c r="BN1454" s="160"/>
      <c r="BO1454" s="161"/>
      <c r="BP1454" s="161"/>
    </row>
    <row r="1455" spans="1:68" ht="38.25">
      <c r="A1455" s="210"/>
      <c r="B1455" s="195" t="s">
        <v>8564</v>
      </c>
      <c r="C1455" s="196" t="s">
        <v>8565</v>
      </c>
      <c r="D1455" s="146" t="s">
        <v>4692</v>
      </c>
      <c r="E1455" s="196" t="s">
        <v>8565</v>
      </c>
      <c r="F1455" s="150">
        <v>0</v>
      </c>
      <c r="G1455" s="209">
        <v>813.16</v>
      </c>
      <c r="H1455" s="209">
        <v>0</v>
      </c>
      <c r="I1455" s="209">
        <v>813.16</v>
      </c>
      <c r="J1455" s="150">
        <v>0</v>
      </c>
      <c r="K1455" s="150">
        <v>0</v>
      </c>
      <c r="L1455" s="150">
        <f t="shared" si="1288"/>
        <v>0</v>
      </c>
      <c r="M1455" s="150">
        <v>0</v>
      </c>
      <c r="N1455" s="150">
        <v>0</v>
      </c>
      <c r="O1455" s="150">
        <v>0</v>
      </c>
      <c r="P1455" s="150">
        <v>0</v>
      </c>
      <c r="Q1455" s="150">
        <v>0</v>
      </c>
      <c r="R1455" s="313">
        <f t="shared" si="1301"/>
        <v>0</v>
      </c>
      <c r="S1455" s="150">
        <f t="shared" si="1286"/>
        <v>0</v>
      </c>
      <c r="T1455" s="150">
        <v>0</v>
      </c>
      <c r="U1455" s="150">
        <v>0</v>
      </c>
      <c r="V1455" s="199">
        <v>0</v>
      </c>
      <c r="W1455" s="150">
        <f t="shared" si="1302"/>
        <v>0</v>
      </c>
      <c r="X1455" s="150">
        <v>0</v>
      </c>
      <c r="Y1455" s="150">
        <v>0</v>
      </c>
      <c r="Z1455" s="150">
        <v>0</v>
      </c>
      <c r="AA1455" s="150">
        <f t="shared" si="1282"/>
        <v>0</v>
      </c>
      <c r="AB1455" s="150">
        <v>0</v>
      </c>
      <c r="AC1455" s="199">
        <v>0</v>
      </c>
      <c r="AD1455" s="150">
        <f t="shared" si="1303"/>
        <v>0</v>
      </c>
      <c r="AE1455" s="150">
        <v>0</v>
      </c>
      <c r="AF1455" s="169" t="s">
        <v>4680</v>
      </c>
      <c r="AG1455" s="201">
        <v>0</v>
      </c>
      <c r="AH1455" s="199">
        <v>0</v>
      </c>
      <c r="AI1455" s="150">
        <v>0</v>
      </c>
      <c r="AJ1455" s="169">
        <f t="shared" si="1283"/>
        <v>0</v>
      </c>
      <c r="AK1455" s="201">
        <v>0</v>
      </c>
      <c r="AL1455" s="199">
        <v>0</v>
      </c>
      <c r="AM1455" s="150">
        <f t="shared" si="1304"/>
        <v>0</v>
      </c>
      <c r="AN1455" s="153">
        <f t="shared" si="1284"/>
        <v>0</v>
      </c>
      <c r="AO1455" s="154">
        <f t="shared" si="1285"/>
        <v>0</v>
      </c>
      <c r="AP1455" s="150">
        <v>0</v>
      </c>
      <c r="AQ1455" s="201">
        <v>0</v>
      </c>
      <c r="AR1455" s="199">
        <v>0</v>
      </c>
      <c r="AS1455" s="150">
        <f t="shared" si="1305"/>
        <v>0</v>
      </c>
      <c r="AT1455" s="155"/>
      <c r="AU1455" s="156">
        <f t="shared" si="1280"/>
        <v>0</v>
      </c>
      <c r="AV1455" s="156">
        <f t="shared" si="1281"/>
        <v>0</v>
      </c>
      <c r="AW1455" s="157"/>
      <c r="AX1455" s="150">
        <v>0</v>
      </c>
      <c r="AY1455" s="150">
        <v>0</v>
      </c>
      <c r="AZ1455" s="150">
        <f t="shared" si="1306"/>
        <v>0</v>
      </c>
      <c r="BA1455" s="348">
        <v>0</v>
      </c>
      <c r="BB1455" s="210"/>
      <c r="BC1455" s="210"/>
      <c r="BD1455" s="210"/>
      <c r="BE1455" s="210"/>
      <c r="BF1455" s="210"/>
      <c r="BG1455" s="210"/>
      <c r="BH1455" s="217"/>
      <c r="BI1455" s="210"/>
      <c r="BJ1455" s="210"/>
      <c r="BK1455" s="210"/>
      <c r="BL1455" s="210"/>
      <c r="BM1455" s="208"/>
      <c r="BN1455" s="160"/>
      <c r="BO1455" s="161"/>
      <c r="BP1455" s="161"/>
    </row>
    <row r="1456" spans="1:68" ht="38.25">
      <c r="A1456" s="210"/>
      <c r="B1456" s="195" t="s">
        <v>8566</v>
      </c>
      <c r="C1456" s="196" t="s">
        <v>8567</v>
      </c>
      <c r="D1456" s="146" t="s">
        <v>4692</v>
      </c>
      <c r="E1456" s="196" t="s">
        <v>8567</v>
      </c>
      <c r="F1456" s="150">
        <v>813.16</v>
      </c>
      <c r="G1456" s="209">
        <v>0</v>
      </c>
      <c r="H1456" s="209">
        <v>0</v>
      </c>
      <c r="I1456" s="209">
        <v>0</v>
      </c>
      <c r="J1456" s="150">
        <v>291.61</v>
      </c>
      <c r="K1456" s="150">
        <v>0</v>
      </c>
      <c r="L1456" s="150">
        <f t="shared" si="1288"/>
        <v>291.61</v>
      </c>
      <c r="M1456" s="150">
        <v>598.65</v>
      </c>
      <c r="N1456" s="150">
        <v>0</v>
      </c>
      <c r="O1456" s="150">
        <v>598.65</v>
      </c>
      <c r="P1456" s="150">
        <v>1024.06</v>
      </c>
      <c r="Q1456" s="150">
        <v>0</v>
      </c>
      <c r="R1456" s="313">
        <f t="shared" si="1301"/>
        <v>1024.06</v>
      </c>
      <c r="S1456" s="150">
        <f t="shared" si="1286"/>
        <v>1365.4133333333332</v>
      </c>
      <c r="T1456" s="150">
        <v>1604.8</v>
      </c>
      <c r="U1456" s="150">
        <v>1604.8</v>
      </c>
      <c r="V1456" s="199">
        <v>0</v>
      </c>
      <c r="W1456" s="150">
        <f t="shared" si="1302"/>
        <v>1604.8</v>
      </c>
      <c r="X1456" s="150">
        <v>1604.8</v>
      </c>
      <c r="Y1456" s="150">
        <v>0</v>
      </c>
      <c r="Z1456" s="150">
        <v>1604.8</v>
      </c>
      <c r="AA1456" s="150">
        <f t="shared" si="1282"/>
        <v>0</v>
      </c>
      <c r="AB1456" s="150">
        <v>1604.8</v>
      </c>
      <c r="AC1456" s="199">
        <v>0</v>
      </c>
      <c r="AD1456" s="150">
        <f t="shared" si="1303"/>
        <v>1604.8</v>
      </c>
      <c r="AE1456" s="150">
        <v>1604.8</v>
      </c>
      <c r="AF1456" s="169" t="s">
        <v>4680</v>
      </c>
      <c r="AG1456" s="201">
        <v>1604.8</v>
      </c>
      <c r="AH1456" s="199">
        <v>0</v>
      </c>
      <c r="AI1456" s="150">
        <v>1604.8</v>
      </c>
      <c r="AJ1456" s="169">
        <f t="shared" si="1283"/>
        <v>0</v>
      </c>
      <c r="AK1456" s="201">
        <v>1604.8</v>
      </c>
      <c r="AL1456" s="199">
        <v>0</v>
      </c>
      <c r="AM1456" s="150">
        <f t="shared" si="1304"/>
        <v>1604.8</v>
      </c>
      <c r="AN1456" s="153">
        <f t="shared" si="1284"/>
        <v>0</v>
      </c>
      <c r="AO1456" s="154">
        <f t="shared" si="1285"/>
        <v>0</v>
      </c>
      <c r="AP1456" s="150">
        <v>1604.8</v>
      </c>
      <c r="AQ1456" s="201">
        <v>1604.8</v>
      </c>
      <c r="AR1456" s="199">
        <v>0</v>
      </c>
      <c r="AS1456" s="150">
        <f t="shared" si="1305"/>
        <v>1604.8</v>
      </c>
      <c r="AT1456" s="155"/>
      <c r="AU1456" s="156">
        <f t="shared" si="1280"/>
        <v>0</v>
      </c>
      <c r="AV1456" s="156">
        <f t="shared" si="1281"/>
        <v>0</v>
      </c>
      <c r="AW1456" s="157"/>
      <c r="AX1456" s="150">
        <v>1604.8</v>
      </c>
      <c r="AY1456" s="150">
        <v>759.75</v>
      </c>
      <c r="AZ1456" s="150">
        <f t="shared" si="1306"/>
        <v>437.54999999999995</v>
      </c>
      <c r="BA1456" s="348">
        <v>1197.3</v>
      </c>
      <c r="BB1456" s="210"/>
      <c r="BC1456" s="210"/>
      <c r="BD1456" s="210"/>
      <c r="BE1456" s="210"/>
      <c r="BF1456" s="210"/>
      <c r="BG1456" s="210"/>
      <c r="BH1456" s="217"/>
      <c r="BI1456" s="210"/>
      <c r="BJ1456" s="210"/>
      <c r="BK1456" s="210"/>
      <c r="BL1456" s="210"/>
      <c r="BM1456" s="208"/>
      <c r="BN1456" s="160"/>
      <c r="BO1456" s="161"/>
      <c r="BP1456" s="161"/>
    </row>
    <row r="1457" spans="1:68" ht="38.25">
      <c r="A1457" s="210"/>
      <c r="B1457" s="195" t="s">
        <v>8568</v>
      </c>
      <c r="C1457" s="196" t="s">
        <v>8569</v>
      </c>
      <c r="D1457" s="146" t="s">
        <v>4692</v>
      </c>
      <c r="E1457" s="196" t="s">
        <v>8569</v>
      </c>
      <c r="F1457" s="150">
        <v>0</v>
      </c>
      <c r="G1457" s="209">
        <v>0</v>
      </c>
      <c r="H1457" s="209">
        <v>0</v>
      </c>
      <c r="I1457" s="209">
        <v>0</v>
      </c>
      <c r="J1457" s="150">
        <v>0</v>
      </c>
      <c r="K1457" s="150">
        <v>0</v>
      </c>
      <c r="L1457" s="150">
        <f t="shared" si="1288"/>
        <v>0</v>
      </c>
      <c r="M1457" s="150">
        <v>0</v>
      </c>
      <c r="N1457" s="150">
        <v>0</v>
      </c>
      <c r="O1457" s="150">
        <v>0</v>
      </c>
      <c r="P1457" s="150">
        <v>0</v>
      </c>
      <c r="Q1457" s="150">
        <v>0</v>
      </c>
      <c r="R1457" s="313">
        <f t="shared" si="1301"/>
        <v>0</v>
      </c>
      <c r="S1457" s="150">
        <f t="shared" si="1286"/>
        <v>0</v>
      </c>
      <c r="T1457" s="150">
        <v>0</v>
      </c>
      <c r="U1457" s="150">
        <v>0</v>
      </c>
      <c r="V1457" s="199">
        <v>0</v>
      </c>
      <c r="W1457" s="150">
        <f t="shared" si="1302"/>
        <v>0</v>
      </c>
      <c r="X1457" s="150">
        <v>0</v>
      </c>
      <c r="Y1457" s="150">
        <v>0</v>
      </c>
      <c r="Z1457" s="150">
        <v>0</v>
      </c>
      <c r="AA1457" s="150">
        <f t="shared" si="1282"/>
        <v>0</v>
      </c>
      <c r="AB1457" s="150">
        <v>0</v>
      </c>
      <c r="AC1457" s="199">
        <v>0</v>
      </c>
      <c r="AD1457" s="150">
        <f t="shared" si="1303"/>
        <v>0</v>
      </c>
      <c r="AE1457" s="150">
        <v>0</v>
      </c>
      <c r="AF1457" s="169" t="s">
        <v>4680</v>
      </c>
      <c r="AG1457" s="201">
        <v>0</v>
      </c>
      <c r="AH1457" s="199">
        <v>0</v>
      </c>
      <c r="AI1457" s="150">
        <v>0</v>
      </c>
      <c r="AJ1457" s="169">
        <f t="shared" si="1283"/>
        <v>0</v>
      </c>
      <c r="AK1457" s="201">
        <v>0</v>
      </c>
      <c r="AL1457" s="199">
        <v>0</v>
      </c>
      <c r="AM1457" s="150">
        <f t="shared" si="1304"/>
        <v>0</v>
      </c>
      <c r="AN1457" s="153">
        <f t="shared" si="1284"/>
        <v>0</v>
      </c>
      <c r="AO1457" s="154">
        <f t="shared" si="1285"/>
        <v>0</v>
      </c>
      <c r="AP1457" s="150">
        <v>0</v>
      </c>
      <c r="AQ1457" s="201">
        <v>0</v>
      </c>
      <c r="AR1457" s="199">
        <v>0</v>
      </c>
      <c r="AS1457" s="150">
        <f t="shared" si="1305"/>
        <v>0</v>
      </c>
      <c r="AT1457" s="155"/>
      <c r="AU1457" s="156">
        <f t="shared" si="1280"/>
        <v>0</v>
      </c>
      <c r="AV1457" s="156">
        <f t="shared" si="1281"/>
        <v>0</v>
      </c>
      <c r="AW1457" s="157"/>
      <c r="AX1457" s="150">
        <v>0</v>
      </c>
      <c r="AY1457" s="150">
        <v>0</v>
      </c>
      <c r="AZ1457" s="150">
        <f t="shared" si="1306"/>
        <v>0</v>
      </c>
      <c r="BA1457" s="348">
        <v>0</v>
      </c>
      <c r="BB1457" s="210"/>
      <c r="BC1457" s="210"/>
      <c r="BD1457" s="210"/>
      <c r="BE1457" s="210"/>
      <c r="BF1457" s="210"/>
      <c r="BG1457" s="210"/>
      <c r="BH1457" s="217"/>
      <c r="BI1457" s="210"/>
      <c r="BJ1457" s="210"/>
      <c r="BK1457" s="210"/>
      <c r="BL1457" s="210"/>
      <c r="BM1457" s="208"/>
      <c r="BN1457" s="160"/>
      <c r="BO1457" s="161"/>
      <c r="BP1457" s="161"/>
    </row>
    <row r="1458" spans="1:68" ht="51">
      <c r="A1458" s="206" t="s">
        <v>577</v>
      </c>
      <c r="B1458" s="195" t="s">
        <v>8570</v>
      </c>
      <c r="C1458" s="196" t="s">
        <v>8571</v>
      </c>
      <c r="D1458" s="146" t="s">
        <v>4692</v>
      </c>
      <c r="E1458" s="196" t="s">
        <v>8571</v>
      </c>
      <c r="F1458" s="150">
        <v>0</v>
      </c>
      <c r="G1458" s="209">
        <v>108864.02</v>
      </c>
      <c r="H1458" s="209">
        <v>0</v>
      </c>
      <c r="I1458" s="209">
        <v>108864.02</v>
      </c>
      <c r="J1458" s="150">
        <v>0</v>
      </c>
      <c r="K1458" s="150">
        <v>0</v>
      </c>
      <c r="L1458" s="150">
        <f t="shared" si="1288"/>
        <v>0</v>
      </c>
      <c r="M1458" s="150">
        <v>0</v>
      </c>
      <c r="N1458" s="150">
        <v>0</v>
      </c>
      <c r="O1458" s="150">
        <v>0</v>
      </c>
      <c r="P1458" s="150">
        <v>0</v>
      </c>
      <c r="Q1458" s="150">
        <v>0</v>
      </c>
      <c r="R1458" s="313">
        <f t="shared" si="1301"/>
        <v>0</v>
      </c>
      <c r="S1458" s="150">
        <f t="shared" si="1286"/>
        <v>0</v>
      </c>
      <c r="T1458" s="150">
        <v>0</v>
      </c>
      <c r="U1458" s="150">
        <v>0</v>
      </c>
      <c r="V1458" s="199">
        <v>0</v>
      </c>
      <c r="W1458" s="150">
        <f t="shared" si="1302"/>
        <v>0</v>
      </c>
      <c r="X1458" s="150">
        <v>0</v>
      </c>
      <c r="Y1458" s="150">
        <v>0</v>
      </c>
      <c r="Z1458" s="150">
        <v>0</v>
      </c>
      <c r="AA1458" s="150">
        <f t="shared" si="1282"/>
        <v>0</v>
      </c>
      <c r="AB1458" s="150">
        <v>0</v>
      </c>
      <c r="AC1458" s="199">
        <v>0</v>
      </c>
      <c r="AD1458" s="150">
        <f t="shared" si="1303"/>
        <v>0</v>
      </c>
      <c r="AE1458" s="150">
        <v>0</v>
      </c>
      <c r="AF1458" s="169" t="s">
        <v>4680</v>
      </c>
      <c r="AG1458" s="201">
        <v>0</v>
      </c>
      <c r="AH1458" s="199">
        <v>0</v>
      </c>
      <c r="AI1458" s="150">
        <v>0</v>
      </c>
      <c r="AJ1458" s="169">
        <f t="shared" si="1283"/>
        <v>0</v>
      </c>
      <c r="AK1458" s="201">
        <v>0</v>
      </c>
      <c r="AL1458" s="199">
        <v>0</v>
      </c>
      <c r="AM1458" s="150">
        <f t="shared" si="1304"/>
        <v>0</v>
      </c>
      <c r="AN1458" s="153">
        <f t="shared" si="1284"/>
        <v>0</v>
      </c>
      <c r="AO1458" s="154">
        <f t="shared" si="1285"/>
        <v>0</v>
      </c>
      <c r="AP1458" s="150">
        <v>0</v>
      </c>
      <c r="AQ1458" s="201">
        <v>0</v>
      </c>
      <c r="AR1458" s="199">
        <v>0</v>
      </c>
      <c r="AS1458" s="150">
        <f t="shared" si="1305"/>
        <v>0</v>
      </c>
      <c r="AT1458" s="155"/>
      <c r="AU1458" s="156">
        <f t="shared" si="1280"/>
        <v>0</v>
      </c>
      <c r="AV1458" s="156">
        <f t="shared" si="1281"/>
        <v>0</v>
      </c>
      <c r="AW1458" s="157"/>
      <c r="AX1458" s="150">
        <v>0</v>
      </c>
      <c r="AY1458" s="150">
        <v>0</v>
      </c>
      <c r="AZ1458" s="150">
        <f t="shared" si="1306"/>
        <v>0</v>
      </c>
      <c r="BA1458" s="348">
        <v>0</v>
      </c>
      <c r="BB1458" s="202">
        <v>5</v>
      </c>
      <c r="BC1458" s="202" t="s">
        <v>714</v>
      </c>
      <c r="BD1458" s="202" t="s">
        <v>647</v>
      </c>
      <c r="BE1458" s="202" t="s">
        <v>632</v>
      </c>
      <c r="BF1458" s="202" t="s">
        <v>739</v>
      </c>
      <c r="BG1458" s="231" t="s">
        <v>8572</v>
      </c>
      <c r="BH1458" s="216">
        <f>AS1458</f>
        <v>0</v>
      </c>
      <c r="BI1458" s="205"/>
      <c r="BJ1458" s="206" t="s">
        <v>8550</v>
      </c>
      <c r="BK1458" s="206" t="s">
        <v>577</v>
      </c>
      <c r="BL1458" s="207" t="s">
        <v>8551</v>
      </c>
      <c r="BM1458" s="208">
        <f>BH1458</f>
        <v>0</v>
      </c>
      <c r="BN1458" s="160"/>
      <c r="BO1458" s="161">
        <f t="shared" si="1287"/>
        <v>0</v>
      </c>
      <c r="BP1458" s="161"/>
    </row>
    <row r="1459" spans="1:68" ht="51">
      <c r="A1459" s="206" t="s">
        <v>577</v>
      </c>
      <c r="B1459" s="195" t="s">
        <v>8573</v>
      </c>
      <c r="C1459" s="196" t="s">
        <v>8574</v>
      </c>
      <c r="D1459" s="146" t="s">
        <v>4692</v>
      </c>
      <c r="E1459" s="196" t="s">
        <v>8574</v>
      </c>
      <c r="F1459" s="150">
        <v>108864.02</v>
      </c>
      <c r="G1459" s="314">
        <v>24385.69</v>
      </c>
      <c r="H1459" s="314">
        <v>0</v>
      </c>
      <c r="I1459" s="314">
        <v>24385.69</v>
      </c>
      <c r="J1459" s="150">
        <v>0</v>
      </c>
      <c r="K1459" s="150">
        <v>27216.01</v>
      </c>
      <c r="L1459" s="150">
        <f t="shared" si="1288"/>
        <v>27216.01</v>
      </c>
      <c r="M1459" s="150">
        <v>42118.05</v>
      </c>
      <c r="N1459" s="150">
        <v>12313.96</v>
      </c>
      <c r="O1459" s="150">
        <v>54432.01</v>
      </c>
      <c r="P1459" s="150">
        <v>83527.149999999994</v>
      </c>
      <c r="Q1459" s="150">
        <v>0</v>
      </c>
      <c r="R1459" s="313">
        <f t="shared" si="1301"/>
        <v>83527.149999999994</v>
      </c>
      <c r="S1459" s="150">
        <f t="shared" si="1286"/>
        <v>111369.53333333333</v>
      </c>
      <c r="T1459" s="150">
        <v>124934.85</v>
      </c>
      <c r="U1459" s="150">
        <v>124934.85</v>
      </c>
      <c r="V1459" s="199">
        <v>0</v>
      </c>
      <c r="W1459" s="150">
        <f t="shared" si="1302"/>
        <v>124934.85</v>
      </c>
      <c r="X1459" s="150">
        <v>124934.85</v>
      </c>
      <c r="Y1459" s="150">
        <v>0</v>
      </c>
      <c r="Z1459" s="150">
        <v>124934.85</v>
      </c>
      <c r="AA1459" s="150">
        <f t="shared" si="1282"/>
        <v>0</v>
      </c>
      <c r="AB1459" s="150">
        <v>124934.85</v>
      </c>
      <c r="AC1459" s="199">
        <v>0</v>
      </c>
      <c r="AD1459" s="150">
        <f t="shared" si="1303"/>
        <v>124934.85</v>
      </c>
      <c r="AE1459" s="150">
        <v>124934.85</v>
      </c>
      <c r="AF1459" s="169" t="s">
        <v>4680</v>
      </c>
      <c r="AG1459" s="201">
        <v>124934.85</v>
      </c>
      <c r="AH1459" s="199">
        <v>0</v>
      </c>
      <c r="AI1459" s="150">
        <v>124934.85</v>
      </c>
      <c r="AJ1459" s="169">
        <f t="shared" si="1283"/>
        <v>0</v>
      </c>
      <c r="AK1459" s="201">
        <v>124934.85</v>
      </c>
      <c r="AL1459" s="199">
        <v>0</v>
      </c>
      <c r="AM1459" s="150">
        <f t="shared" si="1304"/>
        <v>124934.85</v>
      </c>
      <c r="AN1459" s="153">
        <f t="shared" si="1284"/>
        <v>0</v>
      </c>
      <c r="AO1459" s="154">
        <f t="shared" si="1285"/>
        <v>0</v>
      </c>
      <c r="AP1459" s="150">
        <v>124934.85</v>
      </c>
      <c r="AQ1459" s="201">
        <v>124934.85</v>
      </c>
      <c r="AR1459" s="199">
        <v>0</v>
      </c>
      <c r="AS1459" s="150">
        <f t="shared" si="1305"/>
        <v>124934.85</v>
      </c>
      <c r="AT1459" s="155"/>
      <c r="AU1459" s="156">
        <f t="shared" si="1280"/>
        <v>0</v>
      </c>
      <c r="AV1459" s="156">
        <f t="shared" si="1281"/>
        <v>0</v>
      </c>
      <c r="AW1459" s="157"/>
      <c r="AX1459" s="150">
        <v>124934.85</v>
      </c>
      <c r="AY1459" s="150">
        <v>56902.8</v>
      </c>
      <c r="AZ1459" s="150">
        <f t="shared" si="1306"/>
        <v>51961.22</v>
      </c>
      <c r="BA1459" s="348">
        <v>108864.02</v>
      </c>
      <c r="BB1459" s="202">
        <v>5</v>
      </c>
      <c r="BC1459" s="202" t="s">
        <v>714</v>
      </c>
      <c r="BD1459" s="202" t="s">
        <v>647</v>
      </c>
      <c r="BE1459" s="202" t="s">
        <v>632</v>
      </c>
      <c r="BF1459" s="202" t="s">
        <v>755</v>
      </c>
      <c r="BG1459" s="231" t="s">
        <v>8575</v>
      </c>
      <c r="BH1459" s="216">
        <f>AS1459</f>
        <v>124934.85</v>
      </c>
      <c r="BI1459" s="205"/>
      <c r="BJ1459" s="206" t="s">
        <v>8550</v>
      </c>
      <c r="BK1459" s="206" t="s">
        <v>577</v>
      </c>
      <c r="BL1459" s="207" t="s">
        <v>8551</v>
      </c>
      <c r="BM1459" s="208">
        <f>BH1459</f>
        <v>124934.85</v>
      </c>
      <c r="BN1459" s="160"/>
      <c r="BO1459" s="161">
        <f t="shared" si="1287"/>
        <v>0</v>
      </c>
      <c r="BP1459" s="161"/>
    </row>
    <row r="1460" spans="1:68" ht="63.75">
      <c r="A1460" s="206" t="s">
        <v>577</v>
      </c>
      <c r="B1460" s="195" t="s">
        <v>8576</v>
      </c>
      <c r="C1460" s="196" t="s">
        <v>8577</v>
      </c>
      <c r="D1460" s="146" t="s">
        <v>4692</v>
      </c>
      <c r="E1460" s="196" t="s">
        <v>8577</v>
      </c>
      <c r="F1460" s="150">
        <v>24385.69</v>
      </c>
      <c r="G1460" s="314">
        <v>0</v>
      </c>
      <c r="H1460" s="314">
        <v>0</v>
      </c>
      <c r="I1460" s="314">
        <v>0</v>
      </c>
      <c r="J1460" s="150">
        <v>0</v>
      </c>
      <c r="K1460" s="150">
        <v>6096.42</v>
      </c>
      <c r="L1460" s="150">
        <f t="shared" si="1288"/>
        <v>6096.42</v>
      </c>
      <c r="M1460" s="150">
        <v>9739.9500000000007</v>
      </c>
      <c r="N1460" s="150">
        <v>2452.8949999999986</v>
      </c>
      <c r="O1460" s="150">
        <v>12192.844999999999</v>
      </c>
      <c r="P1460" s="150">
        <v>19192.52</v>
      </c>
      <c r="Q1460" s="150">
        <v>0</v>
      </c>
      <c r="R1460" s="313">
        <f t="shared" si="1301"/>
        <v>19192.52</v>
      </c>
      <c r="S1460" s="150">
        <f t="shared" si="1286"/>
        <v>25590.026666666668</v>
      </c>
      <c r="T1460" s="150">
        <v>28807.09</v>
      </c>
      <c r="U1460" s="150">
        <v>28807.09</v>
      </c>
      <c r="V1460" s="199">
        <v>0</v>
      </c>
      <c r="W1460" s="150">
        <f t="shared" si="1302"/>
        <v>28807.09</v>
      </c>
      <c r="X1460" s="150">
        <v>28807.09</v>
      </c>
      <c r="Y1460" s="150">
        <v>0</v>
      </c>
      <c r="Z1460" s="150">
        <v>28807.09</v>
      </c>
      <c r="AA1460" s="150">
        <f t="shared" si="1282"/>
        <v>0</v>
      </c>
      <c r="AB1460" s="150">
        <v>28807.09</v>
      </c>
      <c r="AC1460" s="199">
        <v>0</v>
      </c>
      <c r="AD1460" s="150">
        <f t="shared" si="1303"/>
        <v>28807.09</v>
      </c>
      <c r="AE1460" s="150">
        <v>28807.09</v>
      </c>
      <c r="AF1460" s="169" t="s">
        <v>4680</v>
      </c>
      <c r="AG1460" s="201">
        <v>28807.09</v>
      </c>
      <c r="AH1460" s="199">
        <v>0</v>
      </c>
      <c r="AI1460" s="150">
        <v>28807.09</v>
      </c>
      <c r="AJ1460" s="169">
        <f t="shared" si="1283"/>
        <v>0</v>
      </c>
      <c r="AK1460" s="201">
        <v>28807.09</v>
      </c>
      <c r="AL1460" s="199">
        <v>0</v>
      </c>
      <c r="AM1460" s="150">
        <f t="shared" si="1304"/>
        <v>28807.09</v>
      </c>
      <c r="AN1460" s="153">
        <f t="shared" si="1284"/>
        <v>0</v>
      </c>
      <c r="AO1460" s="154">
        <f t="shared" si="1285"/>
        <v>0</v>
      </c>
      <c r="AP1460" s="150">
        <v>28807.09</v>
      </c>
      <c r="AQ1460" s="201">
        <v>28807.09</v>
      </c>
      <c r="AR1460" s="199">
        <v>0</v>
      </c>
      <c r="AS1460" s="150">
        <f t="shared" si="1305"/>
        <v>28807.09</v>
      </c>
      <c r="AT1460" s="155"/>
      <c r="AU1460" s="156">
        <f t="shared" si="1280"/>
        <v>0</v>
      </c>
      <c r="AV1460" s="156">
        <f t="shared" si="1281"/>
        <v>0</v>
      </c>
      <c r="AW1460" s="157"/>
      <c r="AX1460" s="150">
        <v>28807.09</v>
      </c>
      <c r="AY1460" s="150">
        <v>13162.57</v>
      </c>
      <c r="AZ1460" s="150">
        <f t="shared" si="1306"/>
        <v>11223.119999999999</v>
      </c>
      <c r="BA1460" s="348">
        <v>24385.69</v>
      </c>
      <c r="BB1460" s="202">
        <v>5</v>
      </c>
      <c r="BC1460" s="202" t="s">
        <v>714</v>
      </c>
      <c r="BD1460" s="202" t="s">
        <v>647</v>
      </c>
      <c r="BE1460" s="202" t="s">
        <v>632</v>
      </c>
      <c r="BF1460" s="202" t="s">
        <v>766</v>
      </c>
      <c r="BG1460" s="231" t="s">
        <v>8578</v>
      </c>
      <c r="BH1460" s="216">
        <f>AS1460</f>
        <v>28807.09</v>
      </c>
      <c r="BI1460" s="205"/>
      <c r="BJ1460" s="206" t="s">
        <v>8550</v>
      </c>
      <c r="BK1460" s="206" t="s">
        <v>577</v>
      </c>
      <c r="BL1460" s="207" t="s">
        <v>8551</v>
      </c>
      <c r="BM1460" s="208">
        <f>BH1460</f>
        <v>28807.09</v>
      </c>
      <c r="BN1460" s="160"/>
      <c r="BO1460" s="161">
        <f t="shared" si="1287"/>
        <v>0</v>
      </c>
      <c r="BP1460" s="161"/>
    </row>
    <row r="1461" spans="1:68" ht="51">
      <c r="A1461" s="206" t="s">
        <v>577</v>
      </c>
      <c r="B1461" s="195" t="s">
        <v>8579</v>
      </c>
      <c r="C1461" s="196" t="s">
        <v>8580</v>
      </c>
      <c r="D1461" s="146" t="s">
        <v>4692</v>
      </c>
      <c r="E1461" s="196" t="s">
        <v>8580</v>
      </c>
      <c r="F1461" s="150">
        <v>0</v>
      </c>
      <c r="G1461" s="209">
        <v>0</v>
      </c>
      <c r="H1461" s="209">
        <v>0</v>
      </c>
      <c r="I1461" s="209">
        <v>0</v>
      </c>
      <c r="J1461" s="150">
        <v>0</v>
      </c>
      <c r="K1461" s="150">
        <v>0</v>
      </c>
      <c r="L1461" s="150">
        <f t="shared" si="1288"/>
        <v>0</v>
      </c>
      <c r="M1461" s="150">
        <v>0</v>
      </c>
      <c r="N1461" s="150">
        <v>0</v>
      </c>
      <c r="O1461" s="150">
        <v>0</v>
      </c>
      <c r="P1461" s="150">
        <v>0</v>
      </c>
      <c r="Q1461" s="150">
        <v>0</v>
      </c>
      <c r="R1461" s="313">
        <f t="shared" si="1301"/>
        <v>0</v>
      </c>
      <c r="S1461" s="150">
        <f t="shared" si="1286"/>
        <v>0</v>
      </c>
      <c r="T1461" s="150">
        <v>0</v>
      </c>
      <c r="U1461" s="150">
        <v>0</v>
      </c>
      <c r="V1461" s="199">
        <v>0</v>
      </c>
      <c r="W1461" s="150">
        <f t="shared" si="1302"/>
        <v>0</v>
      </c>
      <c r="X1461" s="150">
        <v>0</v>
      </c>
      <c r="Y1461" s="150">
        <v>0</v>
      </c>
      <c r="Z1461" s="150">
        <v>0</v>
      </c>
      <c r="AA1461" s="150">
        <f t="shared" si="1282"/>
        <v>0</v>
      </c>
      <c r="AB1461" s="150">
        <v>0</v>
      </c>
      <c r="AC1461" s="199">
        <v>0</v>
      </c>
      <c r="AD1461" s="150">
        <f t="shared" si="1303"/>
        <v>0</v>
      </c>
      <c r="AE1461" s="150">
        <v>0</v>
      </c>
      <c r="AF1461" s="169" t="s">
        <v>4680</v>
      </c>
      <c r="AG1461" s="201">
        <v>0</v>
      </c>
      <c r="AH1461" s="199">
        <v>0</v>
      </c>
      <c r="AI1461" s="150">
        <v>0</v>
      </c>
      <c r="AJ1461" s="169">
        <f t="shared" si="1283"/>
        <v>0</v>
      </c>
      <c r="AK1461" s="201">
        <v>0</v>
      </c>
      <c r="AL1461" s="199">
        <v>0</v>
      </c>
      <c r="AM1461" s="150">
        <f t="shared" si="1304"/>
        <v>0</v>
      </c>
      <c r="AN1461" s="153">
        <f t="shared" si="1284"/>
        <v>0</v>
      </c>
      <c r="AO1461" s="154">
        <f t="shared" si="1285"/>
        <v>0</v>
      </c>
      <c r="AP1461" s="150">
        <v>0</v>
      </c>
      <c r="AQ1461" s="201">
        <v>0</v>
      </c>
      <c r="AR1461" s="199">
        <v>0</v>
      </c>
      <c r="AS1461" s="150">
        <f t="shared" si="1305"/>
        <v>0</v>
      </c>
      <c r="AT1461" s="155"/>
      <c r="AU1461" s="156">
        <f t="shared" si="1280"/>
        <v>0</v>
      </c>
      <c r="AV1461" s="156">
        <f t="shared" si="1281"/>
        <v>0</v>
      </c>
      <c r="AW1461" s="157"/>
      <c r="AX1461" s="150">
        <v>0</v>
      </c>
      <c r="AY1461" s="150">
        <v>0</v>
      </c>
      <c r="AZ1461" s="150">
        <f t="shared" si="1306"/>
        <v>0</v>
      </c>
      <c r="BA1461" s="348">
        <v>0</v>
      </c>
      <c r="BB1461" s="202">
        <v>5</v>
      </c>
      <c r="BC1461" s="202" t="s">
        <v>714</v>
      </c>
      <c r="BD1461" s="202" t="s">
        <v>647</v>
      </c>
      <c r="BE1461" s="202" t="s">
        <v>632</v>
      </c>
      <c r="BF1461" s="202" t="s">
        <v>779</v>
      </c>
      <c r="BG1461" s="231" t="s">
        <v>8581</v>
      </c>
      <c r="BH1461" s="216">
        <f>SUM(AS1461:AS1468)</f>
        <v>25334.29</v>
      </c>
      <c r="BI1461" s="205"/>
      <c r="BJ1461" s="206" t="s">
        <v>8550</v>
      </c>
      <c r="BK1461" s="206" t="s">
        <v>577</v>
      </c>
      <c r="BL1461" s="207" t="s">
        <v>8551</v>
      </c>
      <c r="BM1461" s="208">
        <f>BH1461</f>
        <v>25334.29</v>
      </c>
      <c r="BN1461" s="160"/>
      <c r="BO1461" s="161"/>
      <c r="BP1461" s="161"/>
    </row>
    <row r="1462" spans="1:68" ht="38.25">
      <c r="A1462" s="210"/>
      <c r="B1462" s="195" t="s">
        <v>8582</v>
      </c>
      <c r="C1462" s="196" t="s">
        <v>8583</v>
      </c>
      <c r="D1462" s="146" t="s">
        <v>4692</v>
      </c>
      <c r="E1462" s="196" t="s">
        <v>8583</v>
      </c>
      <c r="F1462" s="150">
        <v>0</v>
      </c>
      <c r="G1462" s="209">
        <v>0</v>
      </c>
      <c r="H1462" s="209">
        <v>0</v>
      </c>
      <c r="I1462" s="209">
        <v>0</v>
      </c>
      <c r="J1462" s="150">
        <v>0</v>
      </c>
      <c r="K1462" s="150">
        <v>0</v>
      </c>
      <c r="L1462" s="150">
        <f t="shared" si="1288"/>
        <v>0</v>
      </c>
      <c r="M1462" s="150">
        <v>0</v>
      </c>
      <c r="N1462" s="150">
        <v>0</v>
      </c>
      <c r="O1462" s="150">
        <v>0</v>
      </c>
      <c r="P1462" s="150">
        <v>0</v>
      </c>
      <c r="Q1462" s="150">
        <v>0</v>
      </c>
      <c r="R1462" s="313">
        <f t="shared" si="1301"/>
        <v>0</v>
      </c>
      <c r="S1462" s="150">
        <f t="shared" si="1286"/>
        <v>0</v>
      </c>
      <c r="T1462" s="150">
        <v>4109.8500000000004</v>
      </c>
      <c r="U1462" s="150">
        <v>4109.8500000000004</v>
      </c>
      <c r="V1462" s="199">
        <v>0</v>
      </c>
      <c r="W1462" s="150">
        <f t="shared" si="1302"/>
        <v>4109.8500000000004</v>
      </c>
      <c r="X1462" s="150">
        <v>4109.8500000000004</v>
      </c>
      <c r="Y1462" s="150">
        <v>0</v>
      </c>
      <c r="Z1462" s="150">
        <v>4109.8500000000004</v>
      </c>
      <c r="AA1462" s="150">
        <f t="shared" si="1282"/>
        <v>0</v>
      </c>
      <c r="AB1462" s="150">
        <v>4109.8500000000004</v>
      </c>
      <c r="AC1462" s="199">
        <v>0</v>
      </c>
      <c r="AD1462" s="150">
        <f t="shared" si="1303"/>
        <v>4109.8500000000004</v>
      </c>
      <c r="AE1462" s="150">
        <v>4109.8500000000004</v>
      </c>
      <c r="AF1462" s="169" t="s">
        <v>4680</v>
      </c>
      <c r="AG1462" s="201">
        <v>4109.8500000000004</v>
      </c>
      <c r="AH1462" s="199">
        <v>0</v>
      </c>
      <c r="AI1462" s="150">
        <v>4109.8500000000004</v>
      </c>
      <c r="AJ1462" s="169">
        <f t="shared" si="1283"/>
        <v>0</v>
      </c>
      <c r="AK1462" s="201">
        <v>4109.8500000000004</v>
      </c>
      <c r="AL1462" s="199">
        <v>0</v>
      </c>
      <c r="AM1462" s="150">
        <f t="shared" si="1304"/>
        <v>4109.8500000000004</v>
      </c>
      <c r="AN1462" s="153">
        <f t="shared" si="1284"/>
        <v>0</v>
      </c>
      <c r="AO1462" s="154">
        <f t="shared" si="1285"/>
        <v>0</v>
      </c>
      <c r="AP1462" s="150">
        <v>4109.8500000000004</v>
      </c>
      <c r="AQ1462" s="201">
        <v>4109.8500000000004</v>
      </c>
      <c r="AR1462" s="199">
        <v>0</v>
      </c>
      <c r="AS1462" s="150">
        <f t="shared" si="1305"/>
        <v>4109.8500000000004</v>
      </c>
      <c r="AT1462" s="155"/>
      <c r="AU1462" s="156">
        <f t="shared" si="1280"/>
        <v>0</v>
      </c>
      <c r="AV1462" s="156">
        <f t="shared" si="1281"/>
        <v>0</v>
      </c>
      <c r="AW1462" s="157"/>
      <c r="AX1462" s="150">
        <v>4109.8500000000004</v>
      </c>
      <c r="AY1462" s="150">
        <v>0</v>
      </c>
      <c r="AZ1462" s="150">
        <f t="shared" si="1306"/>
        <v>0</v>
      </c>
      <c r="BA1462" s="348">
        <v>0</v>
      </c>
      <c r="BB1462" s="210"/>
      <c r="BC1462" s="210"/>
      <c r="BD1462" s="210"/>
      <c r="BE1462" s="210"/>
      <c r="BF1462" s="210"/>
      <c r="BG1462" s="210"/>
      <c r="BH1462" s="217"/>
      <c r="BI1462" s="210"/>
      <c r="BJ1462" s="210"/>
      <c r="BK1462" s="210"/>
      <c r="BL1462" s="210"/>
      <c r="BM1462" s="208"/>
      <c r="BN1462" s="160"/>
      <c r="BO1462" s="161"/>
      <c r="BP1462" s="161"/>
    </row>
    <row r="1463" spans="1:68" ht="38.25">
      <c r="A1463" s="210"/>
      <c r="B1463" s="195" t="s">
        <v>8584</v>
      </c>
      <c r="C1463" s="196" t="s">
        <v>8585</v>
      </c>
      <c r="D1463" s="146" t="s">
        <v>4692</v>
      </c>
      <c r="E1463" s="196" t="s">
        <v>8585</v>
      </c>
      <c r="F1463" s="150">
        <v>0</v>
      </c>
      <c r="G1463" s="209">
        <v>0</v>
      </c>
      <c r="H1463" s="209">
        <v>0</v>
      </c>
      <c r="I1463" s="209">
        <v>0</v>
      </c>
      <c r="J1463" s="150">
        <v>0</v>
      </c>
      <c r="K1463" s="150">
        <v>0</v>
      </c>
      <c r="L1463" s="150">
        <f t="shared" si="1288"/>
        <v>0</v>
      </c>
      <c r="M1463" s="150">
        <v>-1094.7</v>
      </c>
      <c r="N1463" s="150">
        <v>0</v>
      </c>
      <c r="O1463" s="150">
        <v>-1094.7</v>
      </c>
      <c r="P1463" s="150">
        <v>-2880.05</v>
      </c>
      <c r="Q1463" s="150">
        <v>0</v>
      </c>
      <c r="R1463" s="313">
        <f t="shared" si="1301"/>
        <v>-2880.05</v>
      </c>
      <c r="S1463" s="150">
        <f t="shared" si="1286"/>
        <v>-3840.0666666666671</v>
      </c>
      <c r="T1463" s="150">
        <v>7344.44</v>
      </c>
      <c r="U1463" s="150">
        <v>7344.44</v>
      </c>
      <c r="V1463" s="199">
        <v>0</v>
      </c>
      <c r="W1463" s="150">
        <f t="shared" si="1302"/>
        <v>7344.44</v>
      </c>
      <c r="X1463" s="150">
        <v>7344.44</v>
      </c>
      <c r="Y1463" s="150">
        <v>0</v>
      </c>
      <c r="Z1463" s="150">
        <v>7344.44</v>
      </c>
      <c r="AA1463" s="150">
        <f t="shared" si="1282"/>
        <v>0</v>
      </c>
      <c r="AB1463" s="150">
        <v>7344.44</v>
      </c>
      <c r="AC1463" s="199">
        <v>0</v>
      </c>
      <c r="AD1463" s="150">
        <f t="shared" si="1303"/>
        <v>7344.44</v>
      </c>
      <c r="AE1463" s="150">
        <v>7344.44</v>
      </c>
      <c r="AF1463" s="169" t="s">
        <v>4680</v>
      </c>
      <c r="AG1463" s="201">
        <v>7344.44</v>
      </c>
      <c r="AH1463" s="199">
        <v>0</v>
      </c>
      <c r="AI1463" s="150">
        <v>7344.44</v>
      </c>
      <c r="AJ1463" s="169">
        <f t="shared" si="1283"/>
        <v>0</v>
      </c>
      <c r="AK1463" s="201">
        <v>7344.44</v>
      </c>
      <c r="AL1463" s="199">
        <v>0</v>
      </c>
      <c r="AM1463" s="150">
        <f t="shared" si="1304"/>
        <v>7344.44</v>
      </c>
      <c r="AN1463" s="153">
        <f t="shared" si="1284"/>
        <v>0</v>
      </c>
      <c r="AO1463" s="154">
        <f t="shared" si="1285"/>
        <v>0</v>
      </c>
      <c r="AP1463" s="150">
        <v>7344.44</v>
      </c>
      <c r="AQ1463" s="201">
        <v>7344.44</v>
      </c>
      <c r="AR1463" s="199">
        <v>0</v>
      </c>
      <c r="AS1463" s="150">
        <f t="shared" si="1305"/>
        <v>7344.44</v>
      </c>
      <c r="AT1463" s="155"/>
      <c r="AU1463" s="156">
        <f t="shared" si="1280"/>
        <v>0</v>
      </c>
      <c r="AV1463" s="156">
        <f t="shared" si="1281"/>
        <v>0</v>
      </c>
      <c r="AW1463" s="157"/>
      <c r="AX1463" s="150">
        <v>7344.44</v>
      </c>
      <c r="AY1463" s="150">
        <v>-2880.05</v>
      </c>
      <c r="AZ1463" s="150">
        <f t="shared" si="1306"/>
        <v>690.65000000000009</v>
      </c>
      <c r="BA1463" s="348">
        <v>-2189.4</v>
      </c>
      <c r="BB1463" s="210"/>
      <c r="BC1463" s="210"/>
      <c r="BD1463" s="210"/>
      <c r="BE1463" s="210"/>
      <c r="BF1463" s="210"/>
      <c r="BG1463" s="210"/>
      <c r="BH1463" s="217"/>
      <c r="BI1463" s="210"/>
      <c r="BJ1463" s="210"/>
      <c r="BK1463" s="210"/>
      <c r="BL1463" s="210"/>
      <c r="BM1463" s="208"/>
      <c r="BN1463" s="160"/>
      <c r="BO1463" s="161"/>
      <c r="BP1463" s="161"/>
    </row>
    <row r="1464" spans="1:68" ht="38.25">
      <c r="A1464" s="210"/>
      <c r="B1464" s="195" t="s">
        <v>8586</v>
      </c>
      <c r="C1464" s="196" t="s">
        <v>8587</v>
      </c>
      <c r="D1464" s="146" t="s">
        <v>4692</v>
      </c>
      <c r="E1464" s="196" t="s">
        <v>8587</v>
      </c>
      <c r="F1464" s="150">
        <v>0</v>
      </c>
      <c r="G1464" s="209">
        <v>0</v>
      </c>
      <c r="H1464" s="209">
        <v>0</v>
      </c>
      <c r="I1464" s="209">
        <v>0</v>
      </c>
      <c r="J1464" s="150">
        <v>0</v>
      </c>
      <c r="K1464" s="150">
        <v>0</v>
      </c>
      <c r="L1464" s="150">
        <f t="shared" si="1288"/>
        <v>0</v>
      </c>
      <c r="M1464" s="150">
        <v>0</v>
      </c>
      <c r="N1464" s="150">
        <v>0</v>
      </c>
      <c r="O1464" s="150">
        <v>0</v>
      </c>
      <c r="P1464" s="150">
        <v>0</v>
      </c>
      <c r="Q1464" s="150">
        <v>0</v>
      </c>
      <c r="R1464" s="313">
        <f t="shared" si="1301"/>
        <v>0</v>
      </c>
      <c r="S1464" s="150">
        <f t="shared" si="1286"/>
        <v>0</v>
      </c>
      <c r="T1464" s="150">
        <v>0</v>
      </c>
      <c r="U1464" s="150">
        <v>0</v>
      </c>
      <c r="V1464" s="199">
        <v>0</v>
      </c>
      <c r="W1464" s="150">
        <f t="shared" si="1302"/>
        <v>0</v>
      </c>
      <c r="X1464" s="150">
        <v>0</v>
      </c>
      <c r="Y1464" s="150">
        <v>0</v>
      </c>
      <c r="Z1464" s="150">
        <v>0</v>
      </c>
      <c r="AA1464" s="150">
        <f t="shared" si="1282"/>
        <v>0</v>
      </c>
      <c r="AB1464" s="150">
        <v>0</v>
      </c>
      <c r="AC1464" s="199">
        <v>0</v>
      </c>
      <c r="AD1464" s="150">
        <f t="shared" si="1303"/>
        <v>0</v>
      </c>
      <c r="AE1464" s="150">
        <v>0</v>
      </c>
      <c r="AF1464" s="169" t="s">
        <v>4680</v>
      </c>
      <c r="AG1464" s="201">
        <v>0</v>
      </c>
      <c r="AH1464" s="199">
        <v>0</v>
      </c>
      <c r="AI1464" s="150">
        <v>0</v>
      </c>
      <c r="AJ1464" s="169">
        <f t="shared" si="1283"/>
        <v>0</v>
      </c>
      <c r="AK1464" s="201">
        <v>0</v>
      </c>
      <c r="AL1464" s="199">
        <v>0</v>
      </c>
      <c r="AM1464" s="150">
        <f t="shared" si="1304"/>
        <v>0</v>
      </c>
      <c r="AN1464" s="153">
        <f t="shared" si="1284"/>
        <v>0</v>
      </c>
      <c r="AO1464" s="154">
        <f t="shared" si="1285"/>
        <v>0</v>
      </c>
      <c r="AP1464" s="150">
        <v>0</v>
      </c>
      <c r="AQ1464" s="201">
        <v>0</v>
      </c>
      <c r="AR1464" s="199">
        <v>0</v>
      </c>
      <c r="AS1464" s="150">
        <f t="shared" si="1305"/>
        <v>0</v>
      </c>
      <c r="AT1464" s="155"/>
      <c r="AU1464" s="156">
        <f t="shared" si="1280"/>
        <v>0</v>
      </c>
      <c r="AV1464" s="156">
        <f t="shared" si="1281"/>
        <v>0</v>
      </c>
      <c r="AW1464" s="157"/>
      <c r="AX1464" s="150">
        <v>0</v>
      </c>
      <c r="AY1464" s="150">
        <v>0</v>
      </c>
      <c r="AZ1464" s="150">
        <f t="shared" si="1306"/>
        <v>0</v>
      </c>
      <c r="BA1464" s="348">
        <v>0</v>
      </c>
      <c r="BB1464" s="210"/>
      <c r="BC1464" s="210"/>
      <c r="BD1464" s="210"/>
      <c r="BE1464" s="210"/>
      <c r="BF1464" s="210"/>
      <c r="BG1464" s="210"/>
      <c r="BH1464" s="217"/>
      <c r="BI1464" s="210"/>
      <c r="BJ1464" s="210"/>
      <c r="BK1464" s="210"/>
      <c r="BL1464" s="210"/>
      <c r="BM1464" s="208"/>
      <c r="BN1464" s="160"/>
      <c r="BO1464" s="161"/>
      <c r="BP1464" s="161"/>
    </row>
    <row r="1465" spans="1:68" ht="51">
      <c r="A1465" s="210"/>
      <c r="B1465" s="195" t="s">
        <v>8588</v>
      </c>
      <c r="C1465" s="196" t="s">
        <v>8589</v>
      </c>
      <c r="D1465" s="146" t="s">
        <v>4692</v>
      </c>
      <c r="E1465" s="196" t="s">
        <v>8589</v>
      </c>
      <c r="F1465" s="150">
        <v>0</v>
      </c>
      <c r="G1465" s="209">
        <v>0</v>
      </c>
      <c r="H1465" s="209">
        <v>0</v>
      </c>
      <c r="I1465" s="209">
        <v>0</v>
      </c>
      <c r="J1465" s="150">
        <v>0</v>
      </c>
      <c r="K1465" s="150">
        <v>0</v>
      </c>
      <c r="L1465" s="150">
        <f t="shared" si="1288"/>
        <v>0</v>
      </c>
      <c r="M1465" s="150">
        <v>0</v>
      </c>
      <c r="N1465" s="150">
        <v>0</v>
      </c>
      <c r="O1465" s="150">
        <v>0</v>
      </c>
      <c r="P1465" s="150">
        <v>0</v>
      </c>
      <c r="Q1465" s="150">
        <v>0</v>
      </c>
      <c r="R1465" s="313">
        <f t="shared" si="1301"/>
        <v>0</v>
      </c>
      <c r="S1465" s="150">
        <f t="shared" si="1286"/>
        <v>0</v>
      </c>
      <c r="T1465" s="150">
        <v>0</v>
      </c>
      <c r="U1465" s="150">
        <v>0</v>
      </c>
      <c r="V1465" s="199">
        <v>0</v>
      </c>
      <c r="W1465" s="150">
        <f t="shared" si="1302"/>
        <v>0</v>
      </c>
      <c r="X1465" s="150">
        <v>0</v>
      </c>
      <c r="Y1465" s="150">
        <v>0</v>
      </c>
      <c r="Z1465" s="150">
        <v>0</v>
      </c>
      <c r="AA1465" s="150">
        <f t="shared" si="1282"/>
        <v>0</v>
      </c>
      <c r="AB1465" s="150">
        <v>0</v>
      </c>
      <c r="AC1465" s="199">
        <v>0</v>
      </c>
      <c r="AD1465" s="150">
        <f t="shared" si="1303"/>
        <v>0</v>
      </c>
      <c r="AE1465" s="150">
        <v>0</v>
      </c>
      <c r="AF1465" s="169" t="s">
        <v>4680</v>
      </c>
      <c r="AG1465" s="201">
        <v>0</v>
      </c>
      <c r="AH1465" s="199">
        <v>0</v>
      </c>
      <c r="AI1465" s="150">
        <v>0</v>
      </c>
      <c r="AJ1465" s="169">
        <f t="shared" si="1283"/>
        <v>0</v>
      </c>
      <c r="AK1465" s="201">
        <v>0</v>
      </c>
      <c r="AL1465" s="199">
        <v>0</v>
      </c>
      <c r="AM1465" s="150">
        <f t="shared" si="1304"/>
        <v>0</v>
      </c>
      <c r="AN1465" s="153">
        <f t="shared" si="1284"/>
        <v>0</v>
      </c>
      <c r="AO1465" s="154">
        <f t="shared" si="1285"/>
        <v>0</v>
      </c>
      <c r="AP1465" s="150">
        <v>0</v>
      </c>
      <c r="AQ1465" s="201">
        <v>0</v>
      </c>
      <c r="AR1465" s="199">
        <v>0</v>
      </c>
      <c r="AS1465" s="150">
        <f t="shared" si="1305"/>
        <v>0</v>
      </c>
      <c r="AT1465" s="155"/>
      <c r="AU1465" s="156">
        <f t="shared" si="1280"/>
        <v>0</v>
      </c>
      <c r="AV1465" s="156">
        <f t="shared" si="1281"/>
        <v>0</v>
      </c>
      <c r="AW1465" s="157"/>
      <c r="AX1465" s="150">
        <v>0</v>
      </c>
      <c r="AY1465" s="150">
        <v>0</v>
      </c>
      <c r="AZ1465" s="150">
        <f t="shared" si="1306"/>
        <v>0</v>
      </c>
      <c r="BA1465" s="348">
        <v>0</v>
      </c>
      <c r="BB1465" s="210"/>
      <c r="BC1465" s="210"/>
      <c r="BD1465" s="210"/>
      <c r="BE1465" s="210"/>
      <c r="BF1465" s="210"/>
      <c r="BG1465" s="210"/>
      <c r="BH1465" s="217"/>
      <c r="BI1465" s="210"/>
      <c r="BJ1465" s="210"/>
      <c r="BK1465" s="210"/>
      <c r="BL1465" s="210"/>
      <c r="BM1465" s="208"/>
      <c r="BN1465" s="160"/>
      <c r="BO1465" s="161"/>
      <c r="BP1465" s="161"/>
    </row>
    <row r="1466" spans="1:68" ht="51">
      <c r="A1466" s="210"/>
      <c r="B1466" s="195" t="s">
        <v>8590</v>
      </c>
      <c r="C1466" s="196" t="s">
        <v>8591</v>
      </c>
      <c r="D1466" s="146" t="s">
        <v>4692</v>
      </c>
      <c r="E1466" s="196" t="s">
        <v>8591</v>
      </c>
      <c r="F1466" s="150">
        <v>0</v>
      </c>
      <c r="G1466" s="209">
        <v>106138.56</v>
      </c>
      <c r="H1466" s="209">
        <v>0</v>
      </c>
      <c r="I1466" s="209">
        <v>106138.56</v>
      </c>
      <c r="J1466" s="150">
        <v>0</v>
      </c>
      <c r="K1466" s="150">
        <v>0</v>
      </c>
      <c r="L1466" s="150">
        <f t="shared" si="1288"/>
        <v>0</v>
      </c>
      <c r="M1466" s="150">
        <v>0</v>
      </c>
      <c r="N1466" s="150">
        <v>0</v>
      </c>
      <c r="O1466" s="150">
        <v>0</v>
      </c>
      <c r="P1466" s="150">
        <v>0</v>
      </c>
      <c r="Q1466" s="150">
        <v>0</v>
      </c>
      <c r="R1466" s="313">
        <f t="shared" si="1301"/>
        <v>0</v>
      </c>
      <c r="S1466" s="150">
        <f t="shared" si="1286"/>
        <v>0</v>
      </c>
      <c r="T1466" s="150">
        <v>0</v>
      </c>
      <c r="U1466" s="150">
        <v>0</v>
      </c>
      <c r="V1466" s="199">
        <v>0</v>
      </c>
      <c r="W1466" s="150">
        <f t="shared" si="1302"/>
        <v>0</v>
      </c>
      <c r="X1466" s="150">
        <v>0</v>
      </c>
      <c r="Y1466" s="150">
        <v>0</v>
      </c>
      <c r="Z1466" s="150">
        <v>0</v>
      </c>
      <c r="AA1466" s="150">
        <f t="shared" si="1282"/>
        <v>0</v>
      </c>
      <c r="AB1466" s="150">
        <v>0</v>
      </c>
      <c r="AC1466" s="199">
        <v>0</v>
      </c>
      <c r="AD1466" s="150">
        <f t="shared" si="1303"/>
        <v>0</v>
      </c>
      <c r="AE1466" s="150">
        <v>0</v>
      </c>
      <c r="AF1466" s="169" t="s">
        <v>4680</v>
      </c>
      <c r="AG1466" s="201">
        <v>0</v>
      </c>
      <c r="AH1466" s="199">
        <v>0</v>
      </c>
      <c r="AI1466" s="150">
        <v>0</v>
      </c>
      <c r="AJ1466" s="169">
        <f t="shared" si="1283"/>
        <v>0</v>
      </c>
      <c r="AK1466" s="201">
        <v>0</v>
      </c>
      <c r="AL1466" s="199">
        <v>0</v>
      </c>
      <c r="AM1466" s="150">
        <f t="shared" si="1304"/>
        <v>0</v>
      </c>
      <c r="AN1466" s="153">
        <f t="shared" si="1284"/>
        <v>0</v>
      </c>
      <c r="AO1466" s="154">
        <f t="shared" si="1285"/>
        <v>0</v>
      </c>
      <c r="AP1466" s="150">
        <v>0</v>
      </c>
      <c r="AQ1466" s="201">
        <v>0</v>
      </c>
      <c r="AR1466" s="199">
        <v>0</v>
      </c>
      <c r="AS1466" s="150">
        <f t="shared" si="1305"/>
        <v>0</v>
      </c>
      <c r="AT1466" s="155"/>
      <c r="AU1466" s="156">
        <f t="shared" si="1280"/>
        <v>0</v>
      </c>
      <c r="AV1466" s="156">
        <f t="shared" si="1281"/>
        <v>0</v>
      </c>
      <c r="AW1466" s="157"/>
      <c r="AX1466" s="150">
        <v>0</v>
      </c>
      <c r="AY1466" s="150">
        <v>0</v>
      </c>
      <c r="AZ1466" s="150">
        <f t="shared" si="1306"/>
        <v>0</v>
      </c>
      <c r="BA1466" s="348">
        <v>0</v>
      </c>
      <c r="BB1466" s="210"/>
      <c r="BC1466" s="210"/>
      <c r="BD1466" s="210"/>
      <c r="BE1466" s="210"/>
      <c r="BF1466" s="210"/>
      <c r="BG1466" s="210"/>
      <c r="BH1466" s="217"/>
      <c r="BI1466" s="210"/>
      <c r="BJ1466" s="210"/>
      <c r="BK1466" s="210"/>
      <c r="BL1466" s="210"/>
      <c r="BM1466" s="208"/>
      <c r="BN1466" s="160"/>
      <c r="BO1466" s="161"/>
      <c r="BP1466" s="161"/>
    </row>
    <row r="1467" spans="1:68" ht="63.75">
      <c r="A1467" s="210"/>
      <c r="B1467" s="195" t="s">
        <v>8592</v>
      </c>
      <c r="C1467" s="196" t="s">
        <v>8593</v>
      </c>
      <c r="D1467" s="146" t="s">
        <v>4692</v>
      </c>
      <c r="E1467" s="196" t="s">
        <v>8593</v>
      </c>
      <c r="F1467" s="150">
        <v>106138.56</v>
      </c>
      <c r="G1467" s="209">
        <v>0</v>
      </c>
      <c r="H1467" s="209">
        <v>0</v>
      </c>
      <c r="I1467" s="209">
        <v>0</v>
      </c>
      <c r="J1467" s="150">
        <v>0</v>
      </c>
      <c r="K1467" s="150">
        <v>0</v>
      </c>
      <c r="L1467" s="150">
        <f t="shared" si="1288"/>
        <v>0</v>
      </c>
      <c r="M1467" s="150">
        <v>5440</v>
      </c>
      <c r="N1467" s="150">
        <v>0</v>
      </c>
      <c r="O1467" s="150">
        <v>5440</v>
      </c>
      <c r="P1467" s="150">
        <v>146177.12</v>
      </c>
      <c r="Q1467" s="150">
        <v>0</v>
      </c>
      <c r="R1467" s="313">
        <f t="shared" si="1301"/>
        <v>146177.12</v>
      </c>
      <c r="S1467" s="150">
        <f t="shared" si="1286"/>
        <v>194902.82666666666</v>
      </c>
      <c r="T1467" s="150">
        <v>13880</v>
      </c>
      <c r="U1467" s="309">
        <v>13880.000000000005</v>
      </c>
      <c r="V1467" s="199">
        <v>0</v>
      </c>
      <c r="W1467" s="150">
        <f t="shared" si="1302"/>
        <v>13880.000000000005</v>
      </c>
      <c r="X1467" s="150">
        <v>13880.000000000005</v>
      </c>
      <c r="Y1467" s="150">
        <v>0</v>
      </c>
      <c r="Z1467" s="150">
        <v>13880.000000000005</v>
      </c>
      <c r="AA1467" s="150">
        <f t="shared" si="1282"/>
        <v>0</v>
      </c>
      <c r="AB1467" s="150">
        <v>13880.000000000005</v>
      </c>
      <c r="AC1467" s="199">
        <v>0</v>
      </c>
      <c r="AD1467" s="150">
        <f t="shared" si="1303"/>
        <v>13880.000000000005</v>
      </c>
      <c r="AE1467" s="150">
        <v>13880.000000000005</v>
      </c>
      <c r="AF1467" s="169" t="s">
        <v>4680</v>
      </c>
      <c r="AG1467" s="201">
        <v>13880.000000000005</v>
      </c>
      <c r="AH1467" s="199">
        <v>0</v>
      </c>
      <c r="AI1467" s="150">
        <v>13880.000000000005</v>
      </c>
      <c r="AJ1467" s="169">
        <f t="shared" si="1283"/>
        <v>0</v>
      </c>
      <c r="AK1467" s="201">
        <v>13880.000000000005</v>
      </c>
      <c r="AL1467" s="199">
        <v>0</v>
      </c>
      <c r="AM1467" s="150">
        <f t="shared" si="1304"/>
        <v>13880.000000000005</v>
      </c>
      <c r="AN1467" s="153">
        <f t="shared" si="1284"/>
        <v>0</v>
      </c>
      <c r="AO1467" s="154">
        <f t="shared" si="1285"/>
        <v>0</v>
      </c>
      <c r="AP1467" s="309">
        <v>13880.000000000005</v>
      </c>
      <c r="AQ1467" s="201">
        <v>13880</v>
      </c>
      <c r="AR1467" s="199"/>
      <c r="AS1467" s="150">
        <f t="shared" si="1305"/>
        <v>13880</v>
      </c>
      <c r="AT1467" s="155"/>
      <c r="AU1467" s="156">
        <f t="shared" si="1280"/>
        <v>0</v>
      </c>
      <c r="AV1467" s="156">
        <f t="shared" si="1281"/>
        <v>0</v>
      </c>
      <c r="AW1467" s="157"/>
      <c r="AX1467" s="150">
        <v>13880.000000000005</v>
      </c>
      <c r="AY1467" s="150">
        <v>6880</v>
      </c>
      <c r="AZ1467" s="150">
        <f t="shared" si="1306"/>
        <v>4000</v>
      </c>
      <c r="BA1467" s="348">
        <v>10880</v>
      </c>
      <c r="BB1467" s="210"/>
      <c r="BC1467" s="210"/>
      <c r="BD1467" s="210"/>
      <c r="BE1467" s="210"/>
      <c r="BF1467" s="210"/>
      <c r="BG1467" s="210"/>
      <c r="BH1467" s="217"/>
      <c r="BI1467" s="210"/>
      <c r="BJ1467" s="210"/>
      <c r="BK1467" s="210"/>
      <c r="BL1467" s="210"/>
      <c r="BM1467" s="208"/>
      <c r="BN1467" s="160"/>
      <c r="BO1467" s="161"/>
      <c r="BP1467" s="161"/>
    </row>
    <row r="1468" spans="1:68" ht="51">
      <c r="A1468" s="210"/>
      <c r="B1468" s="195" t="s">
        <v>8594</v>
      </c>
      <c r="C1468" s="196" t="s">
        <v>8595</v>
      </c>
      <c r="D1468" s="146" t="s">
        <v>4692</v>
      </c>
      <c r="E1468" s="196" t="s">
        <v>8595</v>
      </c>
      <c r="F1468" s="150">
        <v>0</v>
      </c>
      <c r="G1468" s="209">
        <v>2476583.2400000002</v>
      </c>
      <c r="H1468" s="209">
        <v>-2476583</v>
      </c>
      <c r="I1468" s="209">
        <v>0.24000000022351742</v>
      </c>
      <c r="J1468" s="150">
        <v>0</v>
      </c>
      <c r="K1468" s="150">
        <v>0</v>
      </c>
      <c r="L1468" s="150">
        <f t="shared" si="1288"/>
        <v>0</v>
      </c>
      <c r="M1468" s="150">
        <v>0</v>
      </c>
      <c r="N1468" s="150">
        <v>0</v>
      </c>
      <c r="O1468" s="150">
        <v>0</v>
      </c>
      <c r="P1468" s="150">
        <v>0</v>
      </c>
      <c r="Q1468" s="150">
        <v>0</v>
      </c>
      <c r="R1468" s="313">
        <f t="shared" si="1301"/>
        <v>0</v>
      </c>
      <c r="S1468" s="150">
        <f t="shared" si="1286"/>
        <v>0</v>
      </c>
      <c r="T1468" s="150">
        <v>0</v>
      </c>
      <c r="U1468" s="150">
        <v>0</v>
      </c>
      <c r="V1468" s="199">
        <v>0</v>
      </c>
      <c r="W1468" s="150">
        <f t="shared" si="1302"/>
        <v>0</v>
      </c>
      <c r="X1468" s="150">
        <v>0</v>
      </c>
      <c r="Y1468" s="150">
        <v>0</v>
      </c>
      <c r="Z1468" s="150">
        <v>0</v>
      </c>
      <c r="AA1468" s="150">
        <f t="shared" si="1282"/>
        <v>0</v>
      </c>
      <c r="AB1468" s="150">
        <v>0</v>
      </c>
      <c r="AC1468" s="199">
        <v>0</v>
      </c>
      <c r="AD1468" s="150">
        <f t="shared" si="1303"/>
        <v>0</v>
      </c>
      <c r="AE1468" s="150">
        <v>0</v>
      </c>
      <c r="AF1468" s="169" t="s">
        <v>4680</v>
      </c>
      <c r="AG1468" s="201">
        <v>0</v>
      </c>
      <c r="AH1468" s="199">
        <v>0</v>
      </c>
      <c r="AI1468" s="150">
        <v>0</v>
      </c>
      <c r="AJ1468" s="169">
        <f t="shared" si="1283"/>
        <v>0</v>
      </c>
      <c r="AK1468" s="201">
        <v>0</v>
      </c>
      <c r="AL1468" s="199">
        <v>0</v>
      </c>
      <c r="AM1468" s="150">
        <f t="shared" si="1304"/>
        <v>0</v>
      </c>
      <c r="AN1468" s="153">
        <f t="shared" si="1284"/>
        <v>0</v>
      </c>
      <c r="AO1468" s="154">
        <f t="shared" si="1285"/>
        <v>0</v>
      </c>
      <c r="AP1468" s="150">
        <v>0</v>
      </c>
      <c r="AQ1468" s="201">
        <v>0</v>
      </c>
      <c r="AR1468" s="199">
        <v>0</v>
      </c>
      <c r="AS1468" s="150">
        <f t="shared" si="1305"/>
        <v>0</v>
      </c>
      <c r="AT1468" s="155"/>
      <c r="AU1468" s="156">
        <f t="shared" si="1280"/>
        <v>0</v>
      </c>
      <c r="AV1468" s="156">
        <f t="shared" si="1281"/>
        <v>0</v>
      </c>
      <c r="AW1468" s="157"/>
      <c r="AX1468" s="150">
        <v>0</v>
      </c>
      <c r="AY1468" s="150">
        <v>0</v>
      </c>
      <c r="AZ1468" s="150">
        <f t="shared" si="1306"/>
        <v>0</v>
      </c>
      <c r="BA1468" s="348">
        <v>0</v>
      </c>
      <c r="BB1468" s="210"/>
      <c r="BC1468" s="210"/>
      <c r="BD1468" s="210"/>
      <c r="BE1468" s="210"/>
      <c r="BF1468" s="210"/>
      <c r="BG1468" s="210"/>
      <c r="BH1468" s="217"/>
      <c r="BI1468" s="210"/>
      <c r="BJ1468" s="210"/>
      <c r="BK1468" s="210"/>
      <c r="BL1468" s="210"/>
      <c r="BM1468" s="208"/>
      <c r="BN1468" s="160"/>
      <c r="BO1468" s="161"/>
      <c r="BP1468" s="161"/>
    </row>
    <row r="1469" spans="1:68" ht="51">
      <c r="A1469" s="206" t="s">
        <v>577</v>
      </c>
      <c r="B1469" s="195" t="s">
        <v>8596</v>
      </c>
      <c r="C1469" s="196" t="s">
        <v>8597</v>
      </c>
      <c r="D1469" s="146" t="s">
        <v>4692</v>
      </c>
      <c r="E1469" s="196" t="s">
        <v>8597</v>
      </c>
      <c r="F1469" s="150">
        <v>40616.92</v>
      </c>
      <c r="G1469" s="209">
        <v>1545856.37</v>
      </c>
      <c r="H1469" s="209">
        <v>-1545856</v>
      </c>
      <c r="I1469" s="209">
        <v>0.37000000011175871</v>
      </c>
      <c r="J1469" s="150">
        <v>357195.33</v>
      </c>
      <c r="K1469" s="150">
        <v>-357195.33</v>
      </c>
      <c r="L1469" s="150">
        <f t="shared" si="1288"/>
        <v>0</v>
      </c>
      <c r="M1469" s="150">
        <v>1106012.04</v>
      </c>
      <c r="N1469" s="150">
        <v>-1106012.04</v>
      </c>
      <c r="O1469" s="150">
        <v>0</v>
      </c>
      <c r="P1469" s="150">
        <v>1867304.63</v>
      </c>
      <c r="Q1469" s="150">
        <v>-1867304.63</v>
      </c>
      <c r="R1469" s="313">
        <f t="shared" si="1301"/>
        <v>0</v>
      </c>
      <c r="S1469" s="150">
        <f t="shared" si="1286"/>
        <v>0</v>
      </c>
      <c r="T1469" s="150">
        <v>0</v>
      </c>
      <c r="U1469" s="150">
        <v>2597683.1</v>
      </c>
      <c r="V1469" s="199">
        <v>-2597683.1</v>
      </c>
      <c r="W1469" s="150">
        <f t="shared" si="1302"/>
        <v>0</v>
      </c>
      <c r="X1469" s="150">
        <v>2597683.1</v>
      </c>
      <c r="Y1469" s="150">
        <v>-2597683.1</v>
      </c>
      <c r="Z1469" s="150">
        <v>0</v>
      </c>
      <c r="AA1469" s="150">
        <f t="shared" si="1282"/>
        <v>0</v>
      </c>
      <c r="AB1469" s="150">
        <v>2597683.1</v>
      </c>
      <c r="AC1469" s="199">
        <v>-2597683.1</v>
      </c>
      <c r="AD1469" s="150">
        <f t="shared" si="1303"/>
        <v>0</v>
      </c>
      <c r="AE1469" s="150">
        <v>0</v>
      </c>
      <c r="AF1469" s="169" t="s">
        <v>4680</v>
      </c>
      <c r="AG1469" s="201">
        <v>2597683.1</v>
      </c>
      <c r="AH1469" s="199">
        <v>-2597683.1</v>
      </c>
      <c r="AI1469" s="150">
        <v>0</v>
      </c>
      <c r="AJ1469" s="169">
        <f t="shared" si="1283"/>
        <v>0</v>
      </c>
      <c r="AK1469" s="201">
        <v>2597683.1</v>
      </c>
      <c r="AL1469" s="199">
        <v>-2597683.1</v>
      </c>
      <c r="AM1469" s="150">
        <f t="shared" si="1304"/>
        <v>0</v>
      </c>
      <c r="AN1469" s="153">
        <f t="shared" si="1284"/>
        <v>0</v>
      </c>
      <c r="AO1469" s="154">
        <f t="shared" si="1285"/>
        <v>0</v>
      </c>
      <c r="AP1469" s="150">
        <v>0</v>
      </c>
      <c r="AQ1469" s="201">
        <v>0</v>
      </c>
      <c r="AR1469" s="199"/>
      <c r="AS1469" s="150">
        <f t="shared" si="1305"/>
        <v>0</v>
      </c>
      <c r="AT1469" s="155"/>
      <c r="AU1469" s="156">
        <f t="shared" si="1280"/>
        <v>0</v>
      </c>
      <c r="AV1469" s="156">
        <f t="shared" si="1281"/>
        <v>0</v>
      </c>
      <c r="AW1469" s="157"/>
      <c r="AX1469" s="150">
        <v>0</v>
      </c>
      <c r="AY1469" s="150">
        <v>1369017.2</v>
      </c>
      <c r="AZ1469" s="150">
        <f t="shared" si="1306"/>
        <v>-1369017.2</v>
      </c>
      <c r="BA1469" s="348">
        <v>0</v>
      </c>
      <c r="BB1469" s="202">
        <v>5</v>
      </c>
      <c r="BC1469" s="202" t="s">
        <v>714</v>
      </c>
      <c r="BD1469" s="202" t="s">
        <v>647</v>
      </c>
      <c r="BE1469" s="202" t="s">
        <v>632</v>
      </c>
      <c r="BF1469" s="202">
        <v>10</v>
      </c>
      <c r="BG1469" s="231" t="s">
        <v>8598</v>
      </c>
      <c r="BH1469" s="216">
        <f>AS1469</f>
        <v>0</v>
      </c>
      <c r="BI1469" s="205"/>
      <c r="BJ1469" s="206" t="s">
        <v>8550</v>
      </c>
      <c r="BK1469" s="206" t="s">
        <v>577</v>
      </c>
      <c r="BL1469" s="207" t="s">
        <v>8551</v>
      </c>
      <c r="BM1469" s="208">
        <f>BH1469</f>
        <v>0</v>
      </c>
      <c r="BN1469" s="160"/>
      <c r="BO1469" s="161"/>
      <c r="BP1469" s="161"/>
    </row>
    <row r="1470" spans="1:68" ht="51">
      <c r="A1470" s="206" t="s">
        <v>577</v>
      </c>
      <c r="B1470" s="195" t="s">
        <v>8599</v>
      </c>
      <c r="C1470" s="196" t="s">
        <v>8600</v>
      </c>
      <c r="D1470" s="146" t="s">
        <v>4692</v>
      </c>
      <c r="E1470" s="196" t="s">
        <v>8600</v>
      </c>
      <c r="F1470" s="150">
        <v>0.37</v>
      </c>
      <c r="G1470" s="209">
        <v>0</v>
      </c>
      <c r="H1470" s="209">
        <v>4180027.4775382653</v>
      </c>
      <c r="I1470" s="209">
        <v>4180027.4775382653</v>
      </c>
      <c r="J1470" s="150">
        <v>0</v>
      </c>
      <c r="K1470" s="150">
        <v>0</v>
      </c>
      <c r="L1470" s="150">
        <f t="shared" si="1288"/>
        <v>0</v>
      </c>
      <c r="M1470" s="150">
        <v>448651.75</v>
      </c>
      <c r="N1470" s="150">
        <v>-448651.75</v>
      </c>
      <c r="O1470" s="150">
        <v>0</v>
      </c>
      <c r="P1470" s="150">
        <v>669277.52</v>
      </c>
      <c r="Q1470" s="150">
        <v>-669277.52</v>
      </c>
      <c r="R1470" s="313">
        <f t="shared" si="1301"/>
        <v>0</v>
      </c>
      <c r="S1470" s="150">
        <f t="shared" si="1286"/>
        <v>0</v>
      </c>
      <c r="T1470" s="150">
        <v>0</v>
      </c>
      <c r="U1470" s="150">
        <v>896080.8</v>
      </c>
      <c r="V1470" s="199">
        <v>-896080.8</v>
      </c>
      <c r="W1470" s="150">
        <f t="shared" si="1302"/>
        <v>0</v>
      </c>
      <c r="X1470" s="150">
        <v>896080.8</v>
      </c>
      <c r="Y1470" s="150">
        <v>-896080.8</v>
      </c>
      <c r="Z1470" s="150">
        <v>0</v>
      </c>
      <c r="AA1470" s="150">
        <f t="shared" si="1282"/>
        <v>0</v>
      </c>
      <c r="AB1470" s="150">
        <v>896080.8</v>
      </c>
      <c r="AC1470" s="199">
        <v>-896080.8</v>
      </c>
      <c r="AD1470" s="150">
        <f t="shared" si="1303"/>
        <v>0</v>
      </c>
      <c r="AE1470" s="150">
        <v>0</v>
      </c>
      <c r="AF1470" s="169" t="s">
        <v>4680</v>
      </c>
      <c r="AG1470" s="201">
        <v>896080.8</v>
      </c>
      <c r="AH1470" s="199">
        <v>-896080.8</v>
      </c>
      <c r="AI1470" s="150">
        <v>0</v>
      </c>
      <c r="AJ1470" s="169">
        <f t="shared" si="1283"/>
        <v>0</v>
      </c>
      <c r="AK1470" s="201">
        <v>896080.8</v>
      </c>
      <c r="AL1470" s="199">
        <v>-896080.8</v>
      </c>
      <c r="AM1470" s="150">
        <f t="shared" si="1304"/>
        <v>0</v>
      </c>
      <c r="AN1470" s="153">
        <f t="shared" si="1284"/>
        <v>0</v>
      </c>
      <c r="AO1470" s="154">
        <f t="shared" si="1285"/>
        <v>0</v>
      </c>
      <c r="AP1470" s="150">
        <v>0</v>
      </c>
      <c r="AQ1470" s="201">
        <v>0</v>
      </c>
      <c r="AR1470" s="199"/>
      <c r="AS1470" s="150">
        <f t="shared" si="1305"/>
        <v>0</v>
      </c>
      <c r="AT1470" s="155"/>
      <c r="AU1470" s="156">
        <f t="shared" si="1280"/>
        <v>0</v>
      </c>
      <c r="AV1470" s="156">
        <f t="shared" si="1281"/>
        <v>0</v>
      </c>
      <c r="AW1470" s="157"/>
      <c r="AX1470" s="150">
        <v>0</v>
      </c>
      <c r="AY1470" s="150">
        <v>524422.26</v>
      </c>
      <c r="AZ1470" s="150">
        <f t="shared" si="1306"/>
        <v>-524422.26</v>
      </c>
      <c r="BA1470" s="348">
        <v>0</v>
      </c>
      <c r="BB1470" s="202">
        <v>5</v>
      </c>
      <c r="BC1470" s="202" t="s">
        <v>714</v>
      </c>
      <c r="BD1470" s="202" t="s">
        <v>647</v>
      </c>
      <c r="BE1470" s="202" t="s">
        <v>632</v>
      </c>
      <c r="BF1470" s="202">
        <v>11</v>
      </c>
      <c r="BG1470" s="231" t="s">
        <v>8601</v>
      </c>
      <c r="BH1470" s="216">
        <f>AS1470</f>
        <v>0</v>
      </c>
      <c r="BI1470" s="205"/>
      <c r="BJ1470" s="206" t="s">
        <v>8550</v>
      </c>
      <c r="BK1470" s="206" t="s">
        <v>577</v>
      </c>
      <c r="BL1470" s="207" t="s">
        <v>8551</v>
      </c>
      <c r="BM1470" s="208">
        <f>BH1470</f>
        <v>0</v>
      </c>
      <c r="BN1470" s="160"/>
      <c r="BO1470" s="161"/>
      <c r="BP1470" s="161"/>
    </row>
    <row r="1471" spans="1:68" ht="76.5">
      <c r="A1471" s="206"/>
      <c r="B1471" s="195" t="s">
        <v>8602</v>
      </c>
      <c r="C1471" s="196" t="s">
        <v>8603</v>
      </c>
      <c r="D1471" s="146" t="s">
        <v>4692</v>
      </c>
      <c r="E1471" s="196" t="s">
        <v>8603</v>
      </c>
      <c r="F1471" s="150">
        <v>4180028</v>
      </c>
      <c r="G1471" s="209">
        <v>0</v>
      </c>
      <c r="H1471" s="209">
        <v>5519373.9054846941</v>
      </c>
      <c r="I1471" s="209">
        <v>5519373.9054846941</v>
      </c>
      <c r="J1471" s="150">
        <v>0</v>
      </c>
      <c r="K1471" s="150">
        <v>1064607.3999999999</v>
      </c>
      <c r="L1471" s="150">
        <f t="shared" si="1288"/>
        <v>1064607.3999999999</v>
      </c>
      <c r="M1471" s="150">
        <v>0</v>
      </c>
      <c r="N1471" s="150">
        <v>1979805.038736264</v>
      </c>
      <c r="O1471" s="150">
        <v>1979805.038736264</v>
      </c>
      <c r="P1471" s="150">
        <v>0</v>
      </c>
      <c r="Q1471" s="150">
        <v>2286681.27</v>
      </c>
      <c r="R1471" s="313">
        <f t="shared" si="1301"/>
        <v>2286681.27</v>
      </c>
      <c r="S1471" s="150">
        <f t="shared" si="1286"/>
        <v>3048908.36</v>
      </c>
      <c r="T1471" s="150">
        <v>4610365.5</v>
      </c>
      <c r="U1471" s="150">
        <v>0</v>
      </c>
      <c r="V1471" s="199">
        <v>4586101.9628487993</v>
      </c>
      <c r="W1471" s="150">
        <f t="shared" si="1302"/>
        <v>4586101.9628487993</v>
      </c>
      <c r="X1471" s="150">
        <v>0</v>
      </c>
      <c r="Y1471" s="150">
        <v>4586101.9628487993</v>
      </c>
      <c r="Z1471" s="150">
        <v>4586101.9628487993</v>
      </c>
      <c r="AA1471" s="150">
        <f t="shared" si="1282"/>
        <v>24263.537151200697</v>
      </c>
      <c r="AB1471" s="150">
        <v>0</v>
      </c>
      <c r="AC1471" s="199">
        <v>4610365.5</v>
      </c>
      <c r="AD1471" s="150">
        <f t="shared" si="1303"/>
        <v>4610365.5</v>
      </c>
      <c r="AE1471" s="150">
        <v>4610365.5</v>
      </c>
      <c r="AF1471" s="169" t="s">
        <v>4680</v>
      </c>
      <c r="AG1471" s="201">
        <v>0</v>
      </c>
      <c r="AH1471" s="199">
        <v>4610365.5</v>
      </c>
      <c r="AI1471" s="150">
        <v>4610365.5</v>
      </c>
      <c r="AJ1471" s="169">
        <f t="shared" si="1283"/>
        <v>0</v>
      </c>
      <c r="AK1471" s="201">
        <v>0</v>
      </c>
      <c r="AL1471" s="199">
        <v>4610365.5</v>
      </c>
      <c r="AM1471" s="150">
        <f t="shared" si="1304"/>
        <v>4610365.5</v>
      </c>
      <c r="AN1471" s="153">
        <f t="shared" si="1284"/>
        <v>0</v>
      </c>
      <c r="AO1471" s="154">
        <f t="shared" si="1285"/>
        <v>0</v>
      </c>
      <c r="AP1471" s="309">
        <v>4610365.5</v>
      </c>
      <c r="AQ1471" s="201">
        <v>4610365.5</v>
      </c>
      <c r="AR1471" s="199"/>
      <c r="AS1471" s="150">
        <f t="shared" si="1305"/>
        <v>4610365.5</v>
      </c>
      <c r="AT1471" s="155"/>
      <c r="AU1471" s="156">
        <f t="shared" si="1280"/>
        <v>0</v>
      </c>
      <c r="AV1471" s="156">
        <f t="shared" si="1281"/>
        <v>24263.537151200697</v>
      </c>
      <c r="AW1471" s="157"/>
      <c r="AX1471" s="150">
        <v>4586101.9628487993</v>
      </c>
      <c r="AY1471" s="150">
        <v>0</v>
      </c>
      <c r="AZ1471" s="150">
        <f t="shared" si="1306"/>
        <v>3959610.077472528</v>
      </c>
      <c r="BA1471" s="348">
        <v>3959610.077472528</v>
      </c>
      <c r="BB1471" s="202">
        <v>5</v>
      </c>
      <c r="BC1471" s="202" t="s">
        <v>714</v>
      </c>
      <c r="BD1471" s="202" t="s">
        <v>647</v>
      </c>
      <c r="BE1471" s="202" t="s">
        <v>632</v>
      </c>
      <c r="BF1471" s="202">
        <v>12</v>
      </c>
      <c r="BG1471" s="196" t="s">
        <v>8603</v>
      </c>
      <c r="BH1471" s="216">
        <f>AS1471</f>
        <v>4610365.5</v>
      </c>
      <c r="BI1471" s="205"/>
      <c r="BJ1471" s="206"/>
      <c r="BK1471" s="206"/>
      <c r="BL1471" s="207" t="s">
        <v>8551</v>
      </c>
      <c r="BM1471" s="208">
        <f>BH1471</f>
        <v>4610365.5</v>
      </c>
      <c r="BN1471" s="160"/>
      <c r="BO1471" s="161">
        <f t="shared" si="1287"/>
        <v>0</v>
      </c>
      <c r="BP1471" s="161"/>
    </row>
    <row r="1472" spans="1:68" ht="63.75">
      <c r="A1472" s="206"/>
      <c r="B1472" s="195" t="s">
        <v>8604</v>
      </c>
      <c r="C1472" s="196" t="s">
        <v>8605</v>
      </c>
      <c r="D1472" s="146" t="s">
        <v>4692</v>
      </c>
      <c r="E1472" s="196" t="s">
        <v>8605</v>
      </c>
      <c r="F1472" s="150">
        <v>5519373.5199999996</v>
      </c>
      <c r="G1472" s="209">
        <v>10021868.109999999</v>
      </c>
      <c r="H1472" s="209">
        <v>2045983.8523906246</v>
      </c>
      <c r="I1472" s="209">
        <v>12067851.962390624</v>
      </c>
      <c r="J1472" s="150">
        <v>0</v>
      </c>
      <c r="K1472" s="150">
        <v>1395833.3099999998</v>
      </c>
      <c r="L1472" s="150">
        <f t="shared" si="1288"/>
        <v>1395833.3099999998</v>
      </c>
      <c r="M1472" s="150">
        <v>0</v>
      </c>
      <c r="N1472" s="150">
        <v>2785204.2320982148</v>
      </c>
      <c r="O1472" s="150">
        <v>2785204.2320982148</v>
      </c>
      <c r="P1472" s="150">
        <v>0</v>
      </c>
      <c r="Q1472" s="150">
        <v>4083755.9810818355</v>
      </c>
      <c r="R1472" s="313">
        <f t="shared" si="1301"/>
        <v>4083755.9810818355</v>
      </c>
      <c r="S1472" s="150">
        <f t="shared" si="1286"/>
        <v>5445007.9747757809</v>
      </c>
      <c r="T1472" s="150">
        <v>6387431.8600000003</v>
      </c>
      <c r="U1472" s="150">
        <v>0</v>
      </c>
      <c r="V1472" s="346">
        <f>6470517.02802726+497904.65</f>
        <v>6968421.6780272601</v>
      </c>
      <c r="W1472" s="150">
        <f t="shared" si="1302"/>
        <v>6968421.6780272601</v>
      </c>
      <c r="X1472" s="150">
        <v>0</v>
      </c>
      <c r="Y1472" s="150">
        <v>6968421.6780272601</v>
      </c>
      <c r="Z1472" s="150">
        <v>6968421.6780272601</v>
      </c>
      <c r="AA1472" s="150">
        <f t="shared" si="1282"/>
        <v>-580989.81802726071</v>
      </c>
      <c r="AB1472" s="150">
        <v>0</v>
      </c>
      <c r="AC1472" s="346">
        <v>6387431.8599999994</v>
      </c>
      <c r="AD1472" s="150">
        <f t="shared" si="1303"/>
        <v>6387431.8599999994</v>
      </c>
      <c r="AE1472" s="150">
        <v>6387431.8599999994</v>
      </c>
      <c r="AF1472" s="169" t="s">
        <v>4680</v>
      </c>
      <c r="AG1472" s="201">
        <v>0</v>
      </c>
      <c r="AH1472" s="346">
        <v>6387431.8599999994</v>
      </c>
      <c r="AI1472" s="150">
        <v>6387431.8599999994</v>
      </c>
      <c r="AJ1472" s="169">
        <f t="shared" si="1283"/>
        <v>0</v>
      </c>
      <c r="AK1472" s="201">
        <v>0</v>
      </c>
      <c r="AL1472" s="346">
        <v>6387431.8599999994</v>
      </c>
      <c r="AM1472" s="150">
        <f t="shared" si="1304"/>
        <v>6387431.8599999994</v>
      </c>
      <c r="AN1472" s="153">
        <f t="shared" si="1284"/>
        <v>0</v>
      </c>
      <c r="AO1472" s="154">
        <f t="shared" si="1285"/>
        <v>0</v>
      </c>
      <c r="AP1472" s="150">
        <v>6387431.8599999994</v>
      </c>
      <c r="AQ1472" s="201">
        <v>6387431.8600000003</v>
      </c>
      <c r="AR1472" s="199"/>
      <c r="AS1472" s="150">
        <f t="shared" si="1305"/>
        <v>6387431.8600000003</v>
      </c>
      <c r="AT1472" s="155"/>
      <c r="AU1472" s="156">
        <f t="shared" si="1280"/>
        <v>0</v>
      </c>
      <c r="AV1472" s="156">
        <f t="shared" si="1281"/>
        <v>-580989.81802726071</v>
      </c>
      <c r="AW1472" s="157"/>
      <c r="AX1472" s="150">
        <v>6968421.6780272601</v>
      </c>
      <c r="AY1472" s="150">
        <v>0</v>
      </c>
      <c r="AZ1472" s="150">
        <f t="shared" si="1306"/>
        <v>5570408.4641964296</v>
      </c>
      <c r="BA1472" s="348">
        <v>5570408.4641964296</v>
      </c>
      <c r="BB1472" s="202">
        <v>5</v>
      </c>
      <c r="BC1472" s="202" t="s">
        <v>714</v>
      </c>
      <c r="BD1472" s="202" t="s">
        <v>647</v>
      </c>
      <c r="BE1472" s="202" t="s">
        <v>632</v>
      </c>
      <c r="BF1472" s="202">
        <v>13</v>
      </c>
      <c r="BG1472" s="196" t="s">
        <v>8605</v>
      </c>
      <c r="BH1472" s="216">
        <f>AS1472</f>
        <v>6387431.8600000003</v>
      </c>
      <c r="BI1472" s="205"/>
      <c r="BJ1472" s="206"/>
      <c r="BK1472" s="206"/>
      <c r="BL1472" s="207" t="s">
        <v>8551</v>
      </c>
      <c r="BM1472" s="208">
        <f>BH1472</f>
        <v>6387431.8600000003</v>
      </c>
      <c r="BN1472" s="160"/>
      <c r="BO1472" s="161">
        <f t="shared" si="1287"/>
        <v>0</v>
      </c>
      <c r="BP1472" s="161"/>
    </row>
    <row r="1473" spans="1:68" ht="38.25">
      <c r="A1473" s="256" t="s">
        <v>578</v>
      </c>
      <c r="B1473" s="184"/>
      <c r="C1473" s="185" t="s">
        <v>83</v>
      </c>
      <c r="D1473" s="146" t="s">
        <v>4692</v>
      </c>
      <c r="E1473" s="185" t="s">
        <v>83</v>
      </c>
      <c r="F1473" s="188">
        <v>12067852.109999999</v>
      </c>
      <c r="G1473" s="187">
        <v>6399918.7300000004</v>
      </c>
      <c r="H1473" s="187">
        <v>-176167.95</v>
      </c>
      <c r="I1473" s="187">
        <v>6223750.7800000003</v>
      </c>
      <c r="J1473" s="188">
        <f>SUM(J1474:J1502)</f>
        <v>2048311.2200000004</v>
      </c>
      <c r="K1473" s="188">
        <f>SUM(K1474:K1502)</f>
        <v>863505.65999999992</v>
      </c>
      <c r="L1473" s="188">
        <f t="shared" si="1288"/>
        <v>2911816.8800000004</v>
      </c>
      <c r="M1473" s="188">
        <v>4396461.25</v>
      </c>
      <c r="N1473" s="188">
        <v>1446447.2868037061</v>
      </c>
      <c r="O1473" s="188">
        <v>5842908.5368037056</v>
      </c>
      <c r="P1473" s="299">
        <f t="shared" ref="P1473:AD1473" si="1307">SUM(P1474:P1502)</f>
        <v>6865955.8599999994</v>
      </c>
      <c r="Q1473" s="299">
        <f t="shared" si="1307"/>
        <v>2286612.1124725309</v>
      </c>
      <c r="R1473" s="299">
        <f t="shared" si="1307"/>
        <v>9152567.9724725299</v>
      </c>
      <c r="S1473" s="150">
        <f t="shared" si="1286"/>
        <v>12203423.963296706</v>
      </c>
      <c r="T1473" s="347">
        <f>SUM(T1474:T1502)</f>
        <v>10788175.130000001</v>
      </c>
      <c r="U1473" s="299">
        <f t="shared" ref="U1473:W1473" si="1308">SUM(U1474:U1502)</f>
        <v>9711679.4700000007</v>
      </c>
      <c r="V1473" s="226">
        <f t="shared" si="1308"/>
        <v>983607.03760092857</v>
      </c>
      <c r="W1473" s="299">
        <f t="shared" si="1308"/>
        <v>10695286.507600926</v>
      </c>
      <c r="X1473" s="299">
        <v>9711679.4700000007</v>
      </c>
      <c r="Y1473" s="299">
        <v>983607.03760092857</v>
      </c>
      <c r="Z1473" s="299">
        <v>10695286.507600926</v>
      </c>
      <c r="AA1473" s="299">
        <f t="shared" si="1282"/>
        <v>92888.622399073094</v>
      </c>
      <c r="AB1473" s="299">
        <v>9711679.4700000007</v>
      </c>
      <c r="AC1473" s="226">
        <v>1076495.6600000001</v>
      </c>
      <c r="AD1473" s="299">
        <f t="shared" si="1307"/>
        <v>10788175.129999999</v>
      </c>
      <c r="AE1473" s="299">
        <v>10788175.129999999</v>
      </c>
      <c r="AF1473" s="169" t="s">
        <v>4680</v>
      </c>
      <c r="AG1473" s="301">
        <v>9711679.4700000007</v>
      </c>
      <c r="AH1473" s="226">
        <v>1076495.6600000001</v>
      </c>
      <c r="AI1473" s="299">
        <v>10788175.129999999</v>
      </c>
      <c r="AJ1473" s="169">
        <f t="shared" si="1283"/>
        <v>0</v>
      </c>
      <c r="AK1473" s="301">
        <v>9711679.4700000007</v>
      </c>
      <c r="AL1473" s="226">
        <v>1076495.6600000001</v>
      </c>
      <c r="AM1473" s="299">
        <f t="shared" ref="AM1473" si="1309">SUM(AM1474:AM1502)</f>
        <v>10788175.129999999</v>
      </c>
      <c r="AN1473" s="153">
        <f t="shared" si="1284"/>
        <v>0</v>
      </c>
      <c r="AO1473" s="154">
        <f t="shared" si="1285"/>
        <v>0</v>
      </c>
      <c r="AP1473" s="299">
        <v>10788175.129999999</v>
      </c>
      <c r="AQ1473" s="301">
        <v>10788175.130000001</v>
      </c>
      <c r="AR1473" s="226">
        <f t="shared" ref="AR1473:AS1473" si="1310">SUM(AR1474:AR1502)</f>
        <v>0</v>
      </c>
      <c r="AS1473" s="299">
        <f t="shared" si="1310"/>
        <v>10788175.130000001</v>
      </c>
      <c r="AT1473" s="155"/>
      <c r="AU1473" s="156">
        <f t="shared" si="1280"/>
        <v>0</v>
      </c>
      <c r="AV1473" s="156">
        <f t="shared" si="1281"/>
        <v>92888.622399073094</v>
      </c>
      <c r="AW1473" s="157"/>
      <c r="AX1473" s="150">
        <v>10695286.507600926</v>
      </c>
      <c r="AY1473" s="299">
        <f t="shared" ref="AY1473:BA1473" si="1311">SUM(AY1474:AY1502)</f>
        <v>5170895.13</v>
      </c>
      <c r="AZ1473" s="299">
        <f t="shared" si="1311"/>
        <v>7283175.6436074125</v>
      </c>
      <c r="BA1473" s="299">
        <f t="shared" si="1311"/>
        <v>12454070.773607414</v>
      </c>
      <c r="BB1473" s="192">
        <v>5</v>
      </c>
      <c r="BC1473" s="256" t="s">
        <v>714</v>
      </c>
      <c r="BD1473" s="256" t="s">
        <v>647</v>
      </c>
      <c r="BE1473" s="256" t="s">
        <v>647</v>
      </c>
      <c r="BF1473" s="256" t="s">
        <v>630</v>
      </c>
      <c r="BG1473" s="185" t="s">
        <v>83</v>
      </c>
      <c r="BH1473" s="302">
        <f>SUM(BH1474:BH1502)</f>
        <v>10788175.130000001</v>
      </c>
      <c r="BI1473" s="192"/>
      <c r="BJ1473" s="256" t="s">
        <v>8606</v>
      </c>
      <c r="BK1473" s="256" t="s">
        <v>578</v>
      </c>
      <c r="BL1473" s="238" t="s">
        <v>8607</v>
      </c>
      <c r="BM1473" s="338">
        <f>SUM(BM1474:BM1502)</f>
        <v>10788175.130000001</v>
      </c>
      <c r="BN1473" s="160"/>
      <c r="BO1473" s="161">
        <f t="shared" si="1287"/>
        <v>0</v>
      </c>
      <c r="BP1473" s="161"/>
    </row>
    <row r="1474" spans="1:68" ht="38.25">
      <c r="A1474" s="206" t="s">
        <v>578</v>
      </c>
      <c r="B1474" s="195" t="s">
        <v>8608</v>
      </c>
      <c r="C1474" s="196" t="s">
        <v>8609</v>
      </c>
      <c r="D1474" s="146" t="s">
        <v>4692</v>
      </c>
      <c r="E1474" s="196" t="s">
        <v>8609</v>
      </c>
      <c r="F1474" s="150">
        <v>6223750.7300000004</v>
      </c>
      <c r="G1474" s="209">
        <v>1844588.11</v>
      </c>
      <c r="H1474" s="209">
        <v>365184.12645312498</v>
      </c>
      <c r="I1474" s="209">
        <v>2209772.2364531253</v>
      </c>
      <c r="J1474" s="150">
        <v>1481572.07</v>
      </c>
      <c r="K1474" s="150">
        <v>112980.48</v>
      </c>
      <c r="L1474" s="150">
        <f t="shared" si="1288"/>
        <v>1594552.55</v>
      </c>
      <c r="M1474" s="150">
        <v>2913377.55</v>
      </c>
      <c r="N1474" s="150">
        <v>223585.86678699963</v>
      </c>
      <c r="O1474" s="150">
        <v>3136963.4167869994</v>
      </c>
      <c r="P1474" s="150">
        <v>4460575.3499999996</v>
      </c>
      <c r="Q1474" s="150">
        <v>237659.50000000003</v>
      </c>
      <c r="R1474" s="313">
        <f t="shared" ref="R1474:R1502" si="1312">P1474+Q1474</f>
        <v>4698234.8499999996</v>
      </c>
      <c r="S1474" s="150">
        <f t="shared" si="1286"/>
        <v>6264313.1333333328</v>
      </c>
      <c r="T1474" s="150">
        <v>6215641.1500000004</v>
      </c>
      <c r="U1474" s="309">
        <v>6360189.8999999994</v>
      </c>
      <c r="V1474" s="199">
        <v>-144548.74791497001</v>
      </c>
      <c r="W1474" s="150">
        <f t="shared" ref="W1474:W1502" si="1313">U1474+V1474</f>
        <v>6215641.1520850295</v>
      </c>
      <c r="X1474" s="150">
        <v>6360189.8999999994</v>
      </c>
      <c r="Y1474" s="150">
        <v>-144548.74791497001</v>
      </c>
      <c r="Z1474" s="150">
        <v>6215641.1520850295</v>
      </c>
      <c r="AA1474" s="150">
        <f t="shared" si="1282"/>
        <v>-2.0850300788879395E-3</v>
      </c>
      <c r="AB1474" s="150">
        <v>6360189.8999999994</v>
      </c>
      <c r="AC1474" s="199">
        <v>-144548.75</v>
      </c>
      <c r="AD1474" s="150">
        <f t="shared" ref="AD1474:AD1502" si="1314">AB1474+AC1474</f>
        <v>6215641.1499999994</v>
      </c>
      <c r="AE1474" s="150">
        <v>6215641.1499999994</v>
      </c>
      <c r="AF1474" s="169" t="s">
        <v>4680</v>
      </c>
      <c r="AG1474" s="201">
        <v>6360189.8999999994</v>
      </c>
      <c r="AH1474" s="199">
        <v>-144548.75</v>
      </c>
      <c r="AI1474" s="150">
        <v>6215641.1499999994</v>
      </c>
      <c r="AJ1474" s="169">
        <f t="shared" si="1283"/>
        <v>0</v>
      </c>
      <c r="AK1474" s="201">
        <v>6360189.8999999994</v>
      </c>
      <c r="AL1474" s="199">
        <v>-144548.75</v>
      </c>
      <c r="AM1474" s="150">
        <f t="shared" ref="AM1474:AM1502" si="1315">AK1474+AL1474</f>
        <v>6215641.1499999994</v>
      </c>
      <c r="AN1474" s="153">
        <f t="shared" si="1284"/>
        <v>0</v>
      </c>
      <c r="AO1474" s="154">
        <f t="shared" si="1285"/>
        <v>0</v>
      </c>
      <c r="AP1474" s="309">
        <v>6215641.1499999994</v>
      </c>
      <c r="AQ1474" s="201">
        <v>6215641.1500000004</v>
      </c>
      <c r="AR1474" s="199"/>
      <c r="AS1474" s="150">
        <f t="shared" ref="AS1474:AS1502" si="1316">AQ1474+AR1474</f>
        <v>6215641.1500000004</v>
      </c>
      <c r="AT1474" s="155"/>
      <c r="AU1474" s="156">
        <f t="shared" ref="AU1474:AU1537" si="1317">AM1474-AD1474</f>
        <v>0</v>
      </c>
      <c r="AV1474" s="156">
        <f t="shared" ref="AV1474:AV1537" si="1318">AD1474-AX1474</f>
        <v>-2.0850300788879395E-3</v>
      </c>
      <c r="AW1474" s="157"/>
      <c r="AX1474" s="150">
        <v>6215641.1520850295</v>
      </c>
      <c r="AY1474" s="150">
        <v>3403863.57</v>
      </c>
      <c r="AZ1474" s="150">
        <f t="shared" si="1306"/>
        <v>3638316.9635739992</v>
      </c>
      <c r="BA1474" s="348">
        <v>7042180.5335739991</v>
      </c>
      <c r="BB1474" s="202">
        <v>5</v>
      </c>
      <c r="BC1474" s="202" t="s">
        <v>714</v>
      </c>
      <c r="BD1474" s="202" t="s">
        <v>647</v>
      </c>
      <c r="BE1474" s="202" t="s">
        <v>647</v>
      </c>
      <c r="BF1474" s="202" t="s">
        <v>632</v>
      </c>
      <c r="BG1474" s="231" t="s">
        <v>8610</v>
      </c>
      <c r="BH1474" s="216">
        <f>AS1474</f>
        <v>6215641.1500000004</v>
      </c>
      <c r="BI1474" s="205"/>
      <c r="BJ1474" s="206" t="s">
        <v>8606</v>
      </c>
      <c r="BK1474" s="206" t="s">
        <v>578</v>
      </c>
      <c r="BL1474" s="207" t="s">
        <v>8607</v>
      </c>
      <c r="BM1474" s="208">
        <f>BH1474</f>
        <v>6215641.1500000004</v>
      </c>
      <c r="BN1474" s="160"/>
      <c r="BO1474" s="161">
        <f t="shared" si="1287"/>
        <v>0</v>
      </c>
      <c r="BP1474" s="161"/>
    </row>
    <row r="1475" spans="1:68" ht="38.25">
      <c r="A1475" s="206" t="s">
        <v>578</v>
      </c>
      <c r="B1475" s="195" t="s">
        <v>8611</v>
      </c>
      <c r="C1475" s="196" t="s">
        <v>8612</v>
      </c>
      <c r="D1475" s="146" t="s">
        <v>4692</v>
      </c>
      <c r="E1475" s="196" t="s">
        <v>8612</v>
      </c>
      <c r="F1475" s="150">
        <v>2209772.11</v>
      </c>
      <c r="G1475" s="209">
        <v>311447.24</v>
      </c>
      <c r="H1475" s="209">
        <v>0</v>
      </c>
      <c r="I1475" s="209">
        <v>311447.24</v>
      </c>
      <c r="J1475" s="150">
        <v>375916.61</v>
      </c>
      <c r="K1475" s="150">
        <v>139505.03</v>
      </c>
      <c r="L1475" s="150">
        <f t="shared" si="1288"/>
        <v>515421.64</v>
      </c>
      <c r="M1475" s="150">
        <v>808144.8</v>
      </c>
      <c r="N1475" s="150">
        <v>206749.53976896289</v>
      </c>
      <c r="O1475" s="150">
        <v>1014894.3397689629</v>
      </c>
      <c r="P1475" s="150">
        <v>1260549.49</v>
      </c>
      <c r="Q1475" s="150">
        <v>353346.22178389499</v>
      </c>
      <c r="R1475" s="313">
        <f t="shared" si="1312"/>
        <v>1613895.711783895</v>
      </c>
      <c r="S1475" s="150">
        <f t="shared" si="1286"/>
        <v>2151860.9490451934</v>
      </c>
      <c r="T1475" s="150">
        <v>1797158.14</v>
      </c>
      <c r="U1475" s="150">
        <v>1797158.14</v>
      </c>
      <c r="V1475" s="199">
        <v>0</v>
      </c>
      <c r="W1475" s="150">
        <f t="shared" si="1313"/>
        <v>1797158.14</v>
      </c>
      <c r="X1475" s="150">
        <v>1797158.14</v>
      </c>
      <c r="Y1475" s="150">
        <v>0</v>
      </c>
      <c r="Z1475" s="150">
        <v>1797158.14</v>
      </c>
      <c r="AA1475" s="150">
        <f t="shared" ref="AA1475:AA1538" si="1319">AD1475-Z1475</f>
        <v>0</v>
      </c>
      <c r="AB1475" s="150">
        <v>1797158.14</v>
      </c>
      <c r="AC1475" s="199">
        <v>0</v>
      </c>
      <c r="AD1475" s="150">
        <f t="shared" si="1314"/>
        <v>1797158.14</v>
      </c>
      <c r="AE1475" s="150">
        <v>1797158.14</v>
      </c>
      <c r="AF1475" s="169" t="s">
        <v>4680</v>
      </c>
      <c r="AG1475" s="201">
        <v>1797158.14</v>
      </c>
      <c r="AH1475" s="199">
        <v>0</v>
      </c>
      <c r="AI1475" s="150">
        <v>1797158.14</v>
      </c>
      <c r="AJ1475" s="169">
        <f t="shared" ref="AJ1475:AJ1538" si="1320">AM1475-AI1475</f>
        <v>0</v>
      </c>
      <c r="AK1475" s="201">
        <v>1797158.14</v>
      </c>
      <c r="AL1475" s="199">
        <v>0</v>
      </c>
      <c r="AM1475" s="150">
        <f t="shared" si="1315"/>
        <v>1797158.14</v>
      </c>
      <c r="AN1475" s="153">
        <f t="shared" ref="AN1475:AN1538" si="1321">AS1475-AM1475</f>
        <v>0</v>
      </c>
      <c r="AO1475" s="154">
        <f t="shared" ref="AO1475:AO1538" si="1322">AS1475-AP1475</f>
        <v>0</v>
      </c>
      <c r="AP1475" s="150">
        <v>1797158.14</v>
      </c>
      <c r="AQ1475" s="201">
        <v>1797158.14</v>
      </c>
      <c r="AR1475" s="199">
        <v>0</v>
      </c>
      <c r="AS1475" s="150">
        <f t="shared" si="1316"/>
        <v>1797158.14</v>
      </c>
      <c r="AT1475" s="155"/>
      <c r="AU1475" s="156">
        <f t="shared" si="1317"/>
        <v>0</v>
      </c>
      <c r="AV1475" s="156">
        <f t="shared" si="1318"/>
        <v>0</v>
      </c>
      <c r="AW1475" s="157"/>
      <c r="AX1475" s="150">
        <v>1797158.14</v>
      </c>
      <c r="AY1475" s="150">
        <v>950233.89</v>
      </c>
      <c r="AZ1475" s="150">
        <f t="shared" si="1306"/>
        <v>1079554.7895379257</v>
      </c>
      <c r="BA1475" s="348">
        <v>2029788.6795379259</v>
      </c>
      <c r="BB1475" s="202">
        <v>5</v>
      </c>
      <c r="BC1475" s="202" t="s">
        <v>714</v>
      </c>
      <c r="BD1475" s="202" t="s">
        <v>647</v>
      </c>
      <c r="BE1475" s="202" t="s">
        <v>647</v>
      </c>
      <c r="BF1475" s="202" t="s">
        <v>714</v>
      </c>
      <c r="BG1475" s="231" t="s">
        <v>8613</v>
      </c>
      <c r="BH1475" s="216">
        <f>SUM(AS1475:AS1482)</f>
        <v>2435909.09</v>
      </c>
      <c r="BI1475" s="205"/>
      <c r="BJ1475" s="206" t="s">
        <v>8606</v>
      </c>
      <c r="BK1475" s="206" t="s">
        <v>578</v>
      </c>
      <c r="BL1475" s="207" t="s">
        <v>8607</v>
      </c>
      <c r="BM1475" s="208">
        <f>BH1475</f>
        <v>2435909.09</v>
      </c>
      <c r="BN1475" s="160"/>
      <c r="BO1475" s="161"/>
      <c r="BP1475" s="161"/>
    </row>
    <row r="1476" spans="1:68" ht="25.5">
      <c r="A1476" s="210"/>
      <c r="B1476" s="195" t="s">
        <v>8614</v>
      </c>
      <c r="C1476" s="196" t="s">
        <v>8615</v>
      </c>
      <c r="D1476" s="146" t="s">
        <v>4692</v>
      </c>
      <c r="E1476" s="196" t="s">
        <v>8615</v>
      </c>
      <c r="F1476" s="150">
        <v>311447.24</v>
      </c>
      <c r="G1476" s="209">
        <v>121016.77</v>
      </c>
      <c r="H1476" s="209">
        <v>0</v>
      </c>
      <c r="I1476" s="209">
        <v>121016.77</v>
      </c>
      <c r="J1476" s="150">
        <v>73063.86</v>
      </c>
      <c r="K1476" s="150">
        <v>0</v>
      </c>
      <c r="L1476" s="150">
        <f t="shared" si="1288"/>
        <v>73063.86</v>
      </c>
      <c r="M1476" s="150">
        <v>143834.18</v>
      </c>
      <c r="N1476" s="150">
        <v>0</v>
      </c>
      <c r="O1476" s="150">
        <v>143834.18</v>
      </c>
      <c r="P1476" s="150">
        <v>220340.74</v>
      </c>
      <c r="Q1476" s="150">
        <v>0</v>
      </c>
      <c r="R1476" s="313">
        <f t="shared" si="1312"/>
        <v>220340.74</v>
      </c>
      <c r="S1476" s="150">
        <f t="shared" ref="S1476:S1539" si="1323">R1476/9*12</f>
        <v>293787.65333333332</v>
      </c>
      <c r="T1476" s="150">
        <v>314854.88</v>
      </c>
      <c r="U1476" s="150">
        <v>314854.88</v>
      </c>
      <c r="V1476" s="199">
        <v>0</v>
      </c>
      <c r="W1476" s="150">
        <f t="shared" si="1313"/>
        <v>314854.88</v>
      </c>
      <c r="X1476" s="150">
        <v>314854.88</v>
      </c>
      <c r="Y1476" s="150">
        <v>0</v>
      </c>
      <c r="Z1476" s="150">
        <v>314854.88</v>
      </c>
      <c r="AA1476" s="150">
        <f t="shared" si="1319"/>
        <v>0</v>
      </c>
      <c r="AB1476" s="150">
        <v>314854.88</v>
      </c>
      <c r="AC1476" s="199">
        <v>0</v>
      </c>
      <c r="AD1476" s="150">
        <f t="shared" si="1314"/>
        <v>314854.88</v>
      </c>
      <c r="AE1476" s="150">
        <v>314854.88</v>
      </c>
      <c r="AF1476" s="169" t="s">
        <v>4680</v>
      </c>
      <c r="AG1476" s="201">
        <v>314854.88</v>
      </c>
      <c r="AH1476" s="199">
        <v>0</v>
      </c>
      <c r="AI1476" s="150">
        <v>314854.88</v>
      </c>
      <c r="AJ1476" s="169">
        <f t="shared" si="1320"/>
        <v>0</v>
      </c>
      <c r="AK1476" s="201">
        <v>314854.88</v>
      </c>
      <c r="AL1476" s="199">
        <v>0</v>
      </c>
      <c r="AM1476" s="150">
        <f t="shared" si="1315"/>
        <v>314854.88</v>
      </c>
      <c r="AN1476" s="153">
        <f t="shared" si="1321"/>
        <v>0</v>
      </c>
      <c r="AO1476" s="154">
        <f t="shared" si="1322"/>
        <v>0</v>
      </c>
      <c r="AP1476" s="150">
        <v>314854.88</v>
      </c>
      <c r="AQ1476" s="201">
        <v>314854.88</v>
      </c>
      <c r="AR1476" s="199">
        <v>0</v>
      </c>
      <c r="AS1476" s="150">
        <f t="shared" si="1316"/>
        <v>314854.88</v>
      </c>
      <c r="AT1476" s="155"/>
      <c r="AU1476" s="156">
        <f t="shared" si="1317"/>
        <v>0</v>
      </c>
      <c r="AV1476" s="156">
        <f t="shared" si="1318"/>
        <v>0</v>
      </c>
      <c r="AW1476" s="157"/>
      <c r="AX1476" s="150">
        <v>314854.88</v>
      </c>
      <c r="AY1476" s="150">
        <v>168084.17</v>
      </c>
      <c r="AZ1476" s="150">
        <f t="shared" si="1306"/>
        <v>119584.18999999997</v>
      </c>
      <c r="BA1476" s="348">
        <v>287668.36</v>
      </c>
      <c r="BB1476" s="210"/>
      <c r="BC1476" s="210"/>
      <c r="BD1476" s="210"/>
      <c r="BE1476" s="210"/>
      <c r="BF1476" s="210"/>
      <c r="BG1476" s="210"/>
      <c r="BH1476" s="217"/>
      <c r="BI1476" s="210"/>
      <c r="BJ1476" s="210"/>
      <c r="BK1476" s="210"/>
      <c r="BL1476" s="210"/>
      <c r="BM1476" s="208"/>
      <c r="BN1476" s="160"/>
      <c r="BO1476" s="161"/>
      <c r="BP1476" s="161"/>
    </row>
    <row r="1477" spans="1:68" ht="38.25">
      <c r="A1477" s="210"/>
      <c r="B1477" s="195" t="s">
        <v>8616</v>
      </c>
      <c r="C1477" s="196" t="s">
        <v>8617</v>
      </c>
      <c r="D1477" s="146" t="s">
        <v>4692</v>
      </c>
      <c r="E1477" s="196" t="s">
        <v>8617</v>
      </c>
      <c r="F1477" s="150">
        <v>121016.77</v>
      </c>
      <c r="G1477" s="209">
        <v>0</v>
      </c>
      <c r="H1477" s="209">
        <v>0</v>
      </c>
      <c r="I1477" s="209">
        <v>0</v>
      </c>
      <c r="J1477" s="150">
        <v>25127.040000000001</v>
      </c>
      <c r="K1477" s="150">
        <v>0</v>
      </c>
      <c r="L1477" s="150">
        <f t="shared" si="1288"/>
        <v>25127.040000000001</v>
      </c>
      <c r="M1477" s="150">
        <v>54041.62</v>
      </c>
      <c r="N1477" s="150">
        <v>0</v>
      </c>
      <c r="O1477" s="150">
        <v>54041.62</v>
      </c>
      <c r="P1477" s="150">
        <v>83369.77</v>
      </c>
      <c r="Q1477" s="150">
        <v>0</v>
      </c>
      <c r="R1477" s="313">
        <f t="shared" si="1312"/>
        <v>83369.77</v>
      </c>
      <c r="S1477" s="150">
        <f t="shared" si="1323"/>
        <v>111159.69333333333</v>
      </c>
      <c r="T1477" s="150">
        <v>116602.73</v>
      </c>
      <c r="U1477" s="150">
        <v>116602.73</v>
      </c>
      <c r="V1477" s="199">
        <v>0</v>
      </c>
      <c r="W1477" s="150">
        <f t="shared" si="1313"/>
        <v>116602.73</v>
      </c>
      <c r="X1477" s="150">
        <v>116602.73</v>
      </c>
      <c r="Y1477" s="150">
        <v>0</v>
      </c>
      <c r="Z1477" s="150">
        <v>116602.73</v>
      </c>
      <c r="AA1477" s="150">
        <f t="shared" si="1319"/>
        <v>0</v>
      </c>
      <c r="AB1477" s="150">
        <v>116602.73</v>
      </c>
      <c r="AC1477" s="199">
        <v>0</v>
      </c>
      <c r="AD1477" s="150">
        <f t="shared" si="1314"/>
        <v>116602.73</v>
      </c>
      <c r="AE1477" s="150">
        <v>116602.73</v>
      </c>
      <c r="AF1477" s="169" t="s">
        <v>4680</v>
      </c>
      <c r="AG1477" s="201">
        <v>116602.73</v>
      </c>
      <c r="AH1477" s="199">
        <v>0</v>
      </c>
      <c r="AI1477" s="150">
        <v>116602.73</v>
      </c>
      <c r="AJ1477" s="169">
        <f t="shared" si="1320"/>
        <v>0</v>
      </c>
      <c r="AK1477" s="201">
        <v>116602.73</v>
      </c>
      <c r="AL1477" s="199">
        <v>0</v>
      </c>
      <c r="AM1477" s="150">
        <f t="shared" si="1315"/>
        <v>116602.73</v>
      </c>
      <c r="AN1477" s="153">
        <f t="shared" si="1321"/>
        <v>0</v>
      </c>
      <c r="AO1477" s="154">
        <f t="shared" si="1322"/>
        <v>0</v>
      </c>
      <c r="AP1477" s="150">
        <v>116602.73</v>
      </c>
      <c r="AQ1477" s="201">
        <v>116602.73</v>
      </c>
      <c r="AR1477" s="199">
        <v>0</v>
      </c>
      <c r="AS1477" s="150">
        <f t="shared" si="1316"/>
        <v>116602.73</v>
      </c>
      <c r="AT1477" s="155"/>
      <c r="AU1477" s="156">
        <f t="shared" si="1317"/>
        <v>0</v>
      </c>
      <c r="AV1477" s="156">
        <f t="shared" si="1318"/>
        <v>0</v>
      </c>
      <c r="AW1477" s="157"/>
      <c r="AX1477" s="150">
        <v>116602.73</v>
      </c>
      <c r="AY1477" s="150">
        <v>63341.32</v>
      </c>
      <c r="AZ1477" s="150">
        <f t="shared" si="1306"/>
        <v>44741.920000000006</v>
      </c>
      <c r="BA1477" s="348">
        <v>108083.24</v>
      </c>
      <c r="BB1477" s="210"/>
      <c r="BC1477" s="210"/>
      <c r="BD1477" s="210"/>
      <c r="BE1477" s="210"/>
      <c r="BF1477" s="210"/>
      <c r="BG1477" s="210"/>
      <c r="BH1477" s="217"/>
      <c r="BI1477" s="210"/>
      <c r="BJ1477" s="210"/>
      <c r="BK1477" s="210"/>
      <c r="BL1477" s="210"/>
      <c r="BM1477" s="208"/>
      <c r="BN1477" s="160"/>
      <c r="BO1477" s="161"/>
      <c r="BP1477" s="161"/>
    </row>
    <row r="1478" spans="1:68" ht="38.25">
      <c r="A1478" s="210"/>
      <c r="B1478" s="195" t="s">
        <v>8618</v>
      </c>
      <c r="C1478" s="196" t="s">
        <v>8619</v>
      </c>
      <c r="D1478" s="146" t="s">
        <v>4692</v>
      </c>
      <c r="E1478" s="196" t="s">
        <v>8619</v>
      </c>
      <c r="F1478" s="150">
        <v>0</v>
      </c>
      <c r="G1478" s="209">
        <v>230.06</v>
      </c>
      <c r="H1478" s="209">
        <v>0</v>
      </c>
      <c r="I1478" s="209">
        <v>230.06</v>
      </c>
      <c r="J1478" s="150">
        <v>0</v>
      </c>
      <c r="K1478" s="150">
        <v>0</v>
      </c>
      <c r="L1478" s="150">
        <f t="shared" si="1288"/>
        <v>0</v>
      </c>
      <c r="M1478" s="150">
        <v>0</v>
      </c>
      <c r="N1478" s="150">
        <v>0</v>
      </c>
      <c r="O1478" s="150">
        <v>0</v>
      </c>
      <c r="P1478" s="150">
        <v>0</v>
      </c>
      <c r="Q1478" s="150">
        <v>0</v>
      </c>
      <c r="R1478" s="313">
        <f t="shared" si="1312"/>
        <v>0</v>
      </c>
      <c r="S1478" s="150">
        <f t="shared" si="1323"/>
        <v>0</v>
      </c>
      <c r="T1478" s="150">
        <v>0</v>
      </c>
      <c r="U1478" s="150">
        <v>0</v>
      </c>
      <c r="V1478" s="199">
        <v>0</v>
      </c>
      <c r="W1478" s="150">
        <f t="shared" si="1313"/>
        <v>0</v>
      </c>
      <c r="X1478" s="150">
        <v>0</v>
      </c>
      <c r="Y1478" s="150">
        <v>0</v>
      </c>
      <c r="Z1478" s="150">
        <v>0</v>
      </c>
      <c r="AA1478" s="150">
        <f t="shared" si="1319"/>
        <v>0</v>
      </c>
      <c r="AB1478" s="150">
        <v>0</v>
      </c>
      <c r="AC1478" s="199">
        <v>0</v>
      </c>
      <c r="AD1478" s="150">
        <f t="shared" si="1314"/>
        <v>0</v>
      </c>
      <c r="AE1478" s="150">
        <v>0</v>
      </c>
      <c r="AF1478" s="169" t="s">
        <v>4680</v>
      </c>
      <c r="AG1478" s="201">
        <v>0</v>
      </c>
      <c r="AH1478" s="199">
        <v>0</v>
      </c>
      <c r="AI1478" s="150">
        <v>0</v>
      </c>
      <c r="AJ1478" s="169">
        <f t="shared" si="1320"/>
        <v>0</v>
      </c>
      <c r="AK1478" s="201">
        <v>0</v>
      </c>
      <c r="AL1478" s="199">
        <v>0</v>
      </c>
      <c r="AM1478" s="150">
        <f t="shared" si="1315"/>
        <v>0</v>
      </c>
      <c r="AN1478" s="153">
        <f t="shared" si="1321"/>
        <v>0</v>
      </c>
      <c r="AO1478" s="154">
        <f t="shared" si="1322"/>
        <v>0</v>
      </c>
      <c r="AP1478" s="150">
        <v>0</v>
      </c>
      <c r="AQ1478" s="201">
        <v>0</v>
      </c>
      <c r="AR1478" s="199">
        <v>0</v>
      </c>
      <c r="AS1478" s="150">
        <f t="shared" si="1316"/>
        <v>0</v>
      </c>
      <c r="AT1478" s="155"/>
      <c r="AU1478" s="156">
        <f t="shared" si="1317"/>
        <v>0</v>
      </c>
      <c r="AV1478" s="156">
        <f t="shared" si="1318"/>
        <v>0</v>
      </c>
      <c r="AW1478" s="157"/>
      <c r="AX1478" s="150">
        <v>0</v>
      </c>
      <c r="AY1478" s="150">
        <v>0</v>
      </c>
      <c r="AZ1478" s="150">
        <f t="shared" si="1306"/>
        <v>0</v>
      </c>
      <c r="BA1478" s="348">
        <v>0</v>
      </c>
      <c r="BB1478" s="210"/>
      <c r="BC1478" s="210"/>
      <c r="BD1478" s="210"/>
      <c r="BE1478" s="210"/>
      <c r="BF1478" s="210"/>
      <c r="BG1478" s="210"/>
      <c r="BH1478" s="217"/>
      <c r="BI1478" s="210"/>
      <c r="BJ1478" s="210"/>
      <c r="BK1478" s="210"/>
      <c r="BL1478" s="210"/>
      <c r="BM1478" s="208"/>
      <c r="BN1478" s="160"/>
      <c r="BO1478" s="161"/>
      <c r="BP1478" s="161"/>
    </row>
    <row r="1479" spans="1:68" ht="38.25">
      <c r="A1479" s="210"/>
      <c r="B1479" s="195" t="s">
        <v>8620</v>
      </c>
      <c r="C1479" s="196" t="s">
        <v>8621</v>
      </c>
      <c r="D1479" s="146" t="s">
        <v>4692</v>
      </c>
      <c r="E1479" s="196" t="s">
        <v>8622</v>
      </c>
      <c r="F1479" s="150">
        <v>230.06</v>
      </c>
      <c r="G1479" s="209">
        <v>0</v>
      </c>
      <c r="H1479" s="209">
        <v>104035.93</v>
      </c>
      <c r="I1479" s="209">
        <v>104035.93</v>
      </c>
      <c r="J1479" s="150">
        <v>65.97</v>
      </c>
      <c r="K1479" s="150">
        <v>0</v>
      </c>
      <c r="L1479" s="150">
        <f t="shared" si="1288"/>
        <v>65.97</v>
      </c>
      <c r="M1479" s="150">
        <v>209.09</v>
      </c>
      <c r="N1479" s="150">
        <v>0</v>
      </c>
      <c r="O1479" s="150">
        <v>209.09</v>
      </c>
      <c r="P1479" s="150">
        <v>275.06</v>
      </c>
      <c r="Q1479" s="150">
        <v>0</v>
      </c>
      <c r="R1479" s="313">
        <f t="shared" si="1312"/>
        <v>275.06</v>
      </c>
      <c r="S1479" s="150">
        <f t="shared" si="1323"/>
        <v>366.74666666666667</v>
      </c>
      <c r="T1479" s="150">
        <v>319.70999999999998</v>
      </c>
      <c r="U1479" s="150">
        <v>319.70999999999998</v>
      </c>
      <c r="V1479" s="199">
        <v>0</v>
      </c>
      <c r="W1479" s="150">
        <f t="shared" si="1313"/>
        <v>319.70999999999998</v>
      </c>
      <c r="X1479" s="150">
        <v>319.70999999999998</v>
      </c>
      <c r="Y1479" s="150">
        <v>0</v>
      </c>
      <c r="Z1479" s="150">
        <v>319.70999999999998</v>
      </c>
      <c r="AA1479" s="150">
        <f t="shared" si="1319"/>
        <v>0</v>
      </c>
      <c r="AB1479" s="150">
        <v>319.70999999999998</v>
      </c>
      <c r="AC1479" s="199">
        <v>0</v>
      </c>
      <c r="AD1479" s="150">
        <f t="shared" si="1314"/>
        <v>319.70999999999998</v>
      </c>
      <c r="AE1479" s="150">
        <v>319.70999999999998</v>
      </c>
      <c r="AF1479" s="169" t="s">
        <v>4680</v>
      </c>
      <c r="AG1479" s="201">
        <v>319.70999999999998</v>
      </c>
      <c r="AH1479" s="199">
        <v>0</v>
      </c>
      <c r="AI1479" s="150">
        <v>319.70999999999998</v>
      </c>
      <c r="AJ1479" s="169">
        <f t="shared" si="1320"/>
        <v>0</v>
      </c>
      <c r="AK1479" s="201">
        <v>319.70999999999998</v>
      </c>
      <c r="AL1479" s="199">
        <v>0</v>
      </c>
      <c r="AM1479" s="150">
        <f t="shared" si="1315"/>
        <v>319.70999999999998</v>
      </c>
      <c r="AN1479" s="153">
        <f t="shared" si="1321"/>
        <v>0</v>
      </c>
      <c r="AO1479" s="154">
        <f t="shared" si="1322"/>
        <v>0</v>
      </c>
      <c r="AP1479" s="150">
        <v>319.70999999999998</v>
      </c>
      <c r="AQ1479" s="201">
        <v>319.70999999999998</v>
      </c>
      <c r="AR1479" s="199">
        <v>0</v>
      </c>
      <c r="AS1479" s="150">
        <f t="shared" si="1316"/>
        <v>319.70999999999998</v>
      </c>
      <c r="AT1479" s="155"/>
      <c r="AU1479" s="156">
        <f t="shared" si="1317"/>
        <v>0</v>
      </c>
      <c r="AV1479" s="156">
        <f t="shared" si="1318"/>
        <v>0</v>
      </c>
      <c r="AW1479" s="157"/>
      <c r="AX1479" s="150">
        <v>319.70999999999998</v>
      </c>
      <c r="AY1479" s="150">
        <v>231.08</v>
      </c>
      <c r="AZ1479" s="150">
        <f t="shared" si="1306"/>
        <v>187.1</v>
      </c>
      <c r="BA1479" s="348">
        <v>418.18</v>
      </c>
      <c r="BB1479" s="210"/>
      <c r="BC1479" s="210"/>
      <c r="BD1479" s="210"/>
      <c r="BE1479" s="210"/>
      <c r="BF1479" s="210"/>
      <c r="BG1479" s="210"/>
      <c r="BH1479" s="217"/>
      <c r="BI1479" s="210"/>
      <c r="BJ1479" s="210"/>
      <c r="BK1479" s="210"/>
      <c r="BL1479" s="210"/>
      <c r="BM1479" s="208"/>
      <c r="BN1479" s="160"/>
      <c r="BO1479" s="161"/>
      <c r="BP1479" s="161"/>
    </row>
    <row r="1480" spans="1:68" ht="38.25">
      <c r="A1480" s="210"/>
      <c r="B1480" s="195" t="s">
        <v>8623</v>
      </c>
      <c r="C1480" s="196" t="s">
        <v>8624</v>
      </c>
      <c r="D1480" s="146" t="s">
        <v>4692</v>
      </c>
      <c r="E1480" s="196" t="s">
        <v>8624</v>
      </c>
      <c r="F1480" s="150">
        <v>104036</v>
      </c>
      <c r="G1480" s="209">
        <v>0</v>
      </c>
      <c r="H1480" s="209">
        <v>0</v>
      </c>
      <c r="I1480" s="209">
        <v>0</v>
      </c>
      <c r="J1480" s="150">
        <v>0</v>
      </c>
      <c r="K1480" s="150">
        <v>26008.98</v>
      </c>
      <c r="L1480" s="150">
        <f t="shared" si="1288"/>
        <v>26008.98</v>
      </c>
      <c r="M1480" s="150">
        <v>0</v>
      </c>
      <c r="N1480" s="150">
        <v>52018</v>
      </c>
      <c r="O1480" s="150">
        <v>52018</v>
      </c>
      <c r="P1480" s="150">
        <v>0</v>
      </c>
      <c r="Q1480" s="150">
        <v>0</v>
      </c>
      <c r="R1480" s="313">
        <f t="shared" si="1312"/>
        <v>0</v>
      </c>
      <c r="S1480" s="150">
        <f t="shared" si="1323"/>
        <v>0</v>
      </c>
      <c r="T1480" s="150">
        <v>206951.51</v>
      </c>
      <c r="U1480" s="150">
        <v>0</v>
      </c>
      <c r="V1480" s="199">
        <v>88839.54</v>
      </c>
      <c r="W1480" s="150">
        <f t="shared" si="1313"/>
        <v>88839.54</v>
      </c>
      <c r="X1480" s="150">
        <v>0</v>
      </c>
      <c r="Y1480" s="150">
        <v>88839.54</v>
      </c>
      <c r="Z1480" s="150">
        <v>88839.54</v>
      </c>
      <c r="AA1480" s="150">
        <f t="shared" si="1319"/>
        <v>118111.97000000002</v>
      </c>
      <c r="AB1480" s="150">
        <v>0</v>
      </c>
      <c r="AC1480" s="199">
        <v>206951.51</v>
      </c>
      <c r="AD1480" s="150">
        <f t="shared" si="1314"/>
        <v>206951.51</v>
      </c>
      <c r="AE1480" s="150">
        <v>206951.51</v>
      </c>
      <c r="AF1480" s="169" t="s">
        <v>4680</v>
      </c>
      <c r="AG1480" s="201">
        <v>0</v>
      </c>
      <c r="AH1480" s="199">
        <v>206951.51</v>
      </c>
      <c r="AI1480" s="150">
        <v>206951.51</v>
      </c>
      <c r="AJ1480" s="169">
        <f t="shared" si="1320"/>
        <v>0</v>
      </c>
      <c r="AK1480" s="201">
        <v>0</v>
      </c>
      <c r="AL1480" s="199">
        <v>206951.51</v>
      </c>
      <c r="AM1480" s="150">
        <f t="shared" si="1315"/>
        <v>206951.51</v>
      </c>
      <c r="AN1480" s="153">
        <f t="shared" si="1321"/>
        <v>0</v>
      </c>
      <c r="AO1480" s="154">
        <f t="shared" si="1322"/>
        <v>0</v>
      </c>
      <c r="AP1480" s="150">
        <v>206951.51</v>
      </c>
      <c r="AQ1480" s="201">
        <v>206951.51</v>
      </c>
      <c r="AR1480" s="199"/>
      <c r="AS1480" s="150">
        <f t="shared" si="1316"/>
        <v>206951.51</v>
      </c>
      <c r="AT1480" s="155"/>
      <c r="AU1480" s="156">
        <f t="shared" si="1317"/>
        <v>0</v>
      </c>
      <c r="AV1480" s="156">
        <f t="shared" si="1318"/>
        <v>118111.97000000002</v>
      </c>
      <c r="AW1480" s="157"/>
      <c r="AX1480" s="150">
        <v>88839.54</v>
      </c>
      <c r="AY1480" s="150">
        <v>0</v>
      </c>
      <c r="AZ1480" s="150">
        <f t="shared" si="1306"/>
        <v>104036</v>
      </c>
      <c r="BA1480" s="348">
        <v>104036</v>
      </c>
      <c r="BB1480" s="210"/>
      <c r="BC1480" s="210"/>
      <c r="BD1480" s="210"/>
      <c r="BE1480" s="210"/>
      <c r="BF1480" s="210"/>
      <c r="BG1480" s="210"/>
      <c r="BH1480" s="217"/>
      <c r="BI1480" s="210"/>
      <c r="BJ1480" s="210"/>
      <c r="BK1480" s="210"/>
      <c r="BL1480" s="210"/>
      <c r="BM1480" s="208"/>
      <c r="BN1480" s="160"/>
      <c r="BO1480" s="161"/>
      <c r="BP1480" s="161"/>
    </row>
    <row r="1481" spans="1:68" ht="38.25">
      <c r="A1481" s="210"/>
      <c r="B1481" s="195" t="s">
        <v>8625</v>
      </c>
      <c r="C1481" s="196" t="s">
        <v>8626</v>
      </c>
      <c r="D1481" s="146" t="s">
        <v>4692</v>
      </c>
      <c r="E1481" s="196" t="s">
        <v>8626</v>
      </c>
      <c r="F1481" s="150">
        <v>0</v>
      </c>
      <c r="G1481" s="209">
        <v>14.47</v>
      </c>
      <c r="H1481" s="209">
        <v>0</v>
      </c>
      <c r="I1481" s="209">
        <v>14.47</v>
      </c>
      <c r="J1481" s="150">
        <v>0</v>
      </c>
      <c r="K1481" s="150">
        <v>0</v>
      </c>
      <c r="L1481" s="150">
        <f t="shared" si="1288"/>
        <v>0</v>
      </c>
      <c r="M1481" s="150">
        <v>0</v>
      </c>
      <c r="N1481" s="150">
        <v>0</v>
      </c>
      <c r="O1481" s="150">
        <v>0</v>
      </c>
      <c r="P1481" s="150">
        <v>0</v>
      </c>
      <c r="Q1481" s="150">
        <v>0</v>
      </c>
      <c r="R1481" s="313">
        <f t="shared" si="1312"/>
        <v>0</v>
      </c>
      <c r="S1481" s="150">
        <f t="shared" si="1323"/>
        <v>0</v>
      </c>
      <c r="T1481" s="150">
        <v>0</v>
      </c>
      <c r="U1481" s="150">
        <v>0</v>
      </c>
      <c r="V1481" s="199">
        <v>0</v>
      </c>
      <c r="W1481" s="150">
        <f t="shared" si="1313"/>
        <v>0</v>
      </c>
      <c r="X1481" s="150">
        <v>0</v>
      </c>
      <c r="Y1481" s="150">
        <v>0</v>
      </c>
      <c r="Z1481" s="150">
        <v>0</v>
      </c>
      <c r="AA1481" s="150">
        <f t="shared" si="1319"/>
        <v>0</v>
      </c>
      <c r="AB1481" s="150">
        <v>0</v>
      </c>
      <c r="AC1481" s="199">
        <v>0</v>
      </c>
      <c r="AD1481" s="150">
        <f t="shared" si="1314"/>
        <v>0</v>
      </c>
      <c r="AE1481" s="150">
        <v>0</v>
      </c>
      <c r="AF1481" s="169" t="s">
        <v>4680</v>
      </c>
      <c r="AG1481" s="201">
        <v>0</v>
      </c>
      <c r="AH1481" s="199">
        <v>0</v>
      </c>
      <c r="AI1481" s="150">
        <v>0</v>
      </c>
      <c r="AJ1481" s="169">
        <f t="shared" si="1320"/>
        <v>0</v>
      </c>
      <c r="AK1481" s="201">
        <v>0</v>
      </c>
      <c r="AL1481" s="199">
        <v>0</v>
      </c>
      <c r="AM1481" s="150">
        <f t="shared" si="1315"/>
        <v>0</v>
      </c>
      <c r="AN1481" s="153">
        <f t="shared" si="1321"/>
        <v>0</v>
      </c>
      <c r="AO1481" s="154">
        <f t="shared" si="1322"/>
        <v>0</v>
      </c>
      <c r="AP1481" s="150">
        <v>0</v>
      </c>
      <c r="AQ1481" s="201">
        <v>0</v>
      </c>
      <c r="AR1481" s="199">
        <v>0</v>
      </c>
      <c r="AS1481" s="150">
        <f t="shared" si="1316"/>
        <v>0</v>
      </c>
      <c r="AT1481" s="155"/>
      <c r="AU1481" s="156">
        <f t="shared" si="1317"/>
        <v>0</v>
      </c>
      <c r="AV1481" s="156">
        <f t="shared" si="1318"/>
        <v>0</v>
      </c>
      <c r="AW1481" s="157"/>
      <c r="AX1481" s="150">
        <v>0</v>
      </c>
      <c r="AY1481" s="150">
        <v>0</v>
      </c>
      <c r="AZ1481" s="150">
        <f t="shared" si="1306"/>
        <v>0</v>
      </c>
      <c r="BA1481" s="348">
        <v>0</v>
      </c>
      <c r="BB1481" s="210"/>
      <c r="BC1481" s="210"/>
      <c r="BD1481" s="210"/>
      <c r="BE1481" s="210"/>
      <c r="BF1481" s="210"/>
      <c r="BG1481" s="210"/>
      <c r="BH1481" s="217"/>
      <c r="BI1481" s="210"/>
      <c r="BJ1481" s="210"/>
      <c r="BK1481" s="210"/>
      <c r="BL1481" s="210"/>
      <c r="BM1481" s="208"/>
      <c r="BN1481" s="160"/>
      <c r="BO1481" s="161"/>
      <c r="BP1481" s="161"/>
    </row>
    <row r="1482" spans="1:68" ht="38.25">
      <c r="A1482" s="210"/>
      <c r="B1482" s="195" t="s">
        <v>8627</v>
      </c>
      <c r="C1482" s="196" t="s">
        <v>8628</v>
      </c>
      <c r="D1482" s="146" t="s">
        <v>4692</v>
      </c>
      <c r="E1482" s="196" t="s">
        <v>8628</v>
      </c>
      <c r="F1482" s="150">
        <v>14.47</v>
      </c>
      <c r="G1482" s="209">
        <v>0</v>
      </c>
      <c r="H1482" s="209">
        <v>0</v>
      </c>
      <c r="I1482" s="209">
        <v>0</v>
      </c>
      <c r="J1482" s="150">
        <v>0.86</v>
      </c>
      <c r="K1482" s="150">
        <v>0</v>
      </c>
      <c r="L1482" s="150">
        <f t="shared" ref="L1482:L1545" si="1324">J1482+K1482</f>
        <v>0.86</v>
      </c>
      <c r="M1482" s="150">
        <v>4.57</v>
      </c>
      <c r="N1482" s="150">
        <v>0</v>
      </c>
      <c r="O1482" s="150">
        <v>4.57</v>
      </c>
      <c r="P1482" s="150">
        <v>11.57</v>
      </c>
      <c r="Q1482" s="150">
        <v>0</v>
      </c>
      <c r="R1482" s="313">
        <f t="shared" si="1312"/>
        <v>11.57</v>
      </c>
      <c r="S1482" s="150">
        <f t="shared" si="1323"/>
        <v>15.426666666666666</v>
      </c>
      <c r="T1482" s="150">
        <v>22.12</v>
      </c>
      <c r="U1482" s="150">
        <v>22.12</v>
      </c>
      <c r="V1482" s="199">
        <v>0</v>
      </c>
      <c r="W1482" s="150">
        <f t="shared" si="1313"/>
        <v>22.12</v>
      </c>
      <c r="X1482" s="150">
        <v>22.12</v>
      </c>
      <c r="Y1482" s="150">
        <v>0</v>
      </c>
      <c r="Z1482" s="150">
        <v>22.12</v>
      </c>
      <c r="AA1482" s="150">
        <f t="shared" si="1319"/>
        <v>0</v>
      </c>
      <c r="AB1482" s="150">
        <v>22.12</v>
      </c>
      <c r="AC1482" s="199">
        <v>0</v>
      </c>
      <c r="AD1482" s="150">
        <f t="shared" si="1314"/>
        <v>22.12</v>
      </c>
      <c r="AE1482" s="150">
        <v>22.12</v>
      </c>
      <c r="AF1482" s="169" t="s">
        <v>4680</v>
      </c>
      <c r="AG1482" s="201">
        <v>22.12</v>
      </c>
      <c r="AH1482" s="199">
        <v>0</v>
      </c>
      <c r="AI1482" s="150">
        <v>22.12</v>
      </c>
      <c r="AJ1482" s="169">
        <f t="shared" si="1320"/>
        <v>0</v>
      </c>
      <c r="AK1482" s="201">
        <v>22.12</v>
      </c>
      <c r="AL1482" s="199">
        <v>0</v>
      </c>
      <c r="AM1482" s="150">
        <f t="shared" si="1315"/>
        <v>22.12</v>
      </c>
      <c r="AN1482" s="153">
        <f t="shared" si="1321"/>
        <v>0</v>
      </c>
      <c r="AO1482" s="154">
        <f t="shared" si="1322"/>
        <v>0</v>
      </c>
      <c r="AP1482" s="150">
        <v>22.12</v>
      </c>
      <c r="AQ1482" s="201">
        <v>22.12</v>
      </c>
      <c r="AR1482" s="199">
        <v>0</v>
      </c>
      <c r="AS1482" s="150">
        <f t="shared" si="1316"/>
        <v>22.12</v>
      </c>
      <c r="AT1482" s="155"/>
      <c r="AU1482" s="156">
        <f t="shared" si="1317"/>
        <v>0</v>
      </c>
      <c r="AV1482" s="156">
        <f t="shared" si="1318"/>
        <v>0</v>
      </c>
      <c r="AW1482" s="157"/>
      <c r="AX1482" s="150">
        <v>22.12</v>
      </c>
      <c r="AY1482" s="150">
        <v>6.77</v>
      </c>
      <c r="AZ1482" s="150">
        <f t="shared" si="1306"/>
        <v>2.370000000000001</v>
      </c>
      <c r="BA1482" s="348">
        <v>9.14</v>
      </c>
      <c r="BB1482" s="210"/>
      <c r="BC1482" s="210"/>
      <c r="BD1482" s="210"/>
      <c r="BE1482" s="210"/>
      <c r="BF1482" s="210"/>
      <c r="BG1482" s="210"/>
      <c r="BH1482" s="217"/>
      <c r="BI1482" s="210"/>
      <c r="BJ1482" s="210"/>
      <c r="BK1482" s="210"/>
      <c r="BL1482" s="210"/>
      <c r="BM1482" s="208"/>
      <c r="BN1482" s="160"/>
      <c r="BO1482" s="161"/>
      <c r="BP1482" s="161"/>
    </row>
    <row r="1483" spans="1:68" ht="51">
      <c r="A1483" s="206" t="s">
        <v>578</v>
      </c>
      <c r="B1483" s="195" t="s">
        <v>8629</v>
      </c>
      <c r="C1483" s="196" t="s">
        <v>8630</v>
      </c>
      <c r="D1483" s="146" t="s">
        <v>4692</v>
      </c>
      <c r="E1483" s="196" t="s">
        <v>8630</v>
      </c>
      <c r="F1483" s="150">
        <v>0</v>
      </c>
      <c r="G1483" s="209">
        <v>276.5</v>
      </c>
      <c r="H1483" s="209">
        <v>33843.03</v>
      </c>
      <c r="I1483" s="209">
        <v>34119.53</v>
      </c>
      <c r="J1483" s="150">
        <v>0</v>
      </c>
      <c r="K1483" s="150">
        <v>0</v>
      </c>
      <c r="L1483" s="150">
        <f t="shared" si="1324"/>
        <v>0</v>
      </c>
      <c r="M1483" s="150">
        <v>0</v>
      </c>
      <c r="N1483" s="150">
        <v>0</v>
      </c>
      <c r="O1483" s="150">
        <v>0</v>
      </c>
      <c r="P1483" s="150">
        <v>0</v>
      </c>
      <c r="Q1483" s="150">
        <v>0</v>
      </c>
      <c r="R1483" s="313">
        <f t="shared" si="1312"/>
        <v>0</v>
      </c>
      <c r="S1483" s="150">
        <f t="shared" si="1323"/>
        <v>0</v>
      </c>
      <c r="T1483" s="150">
        <v>0</v>
      </c>
      <c r="U1483" s="150">
        <v>0</v>
      </c>
      <c r="V1483" s="199">
        <v>0</v>
      </c>
      <c r="W1483" s="150">
        <f t="shared" si="1313"/>
        <v>0</v>
      </c>
      <c r="X1483" s="150">
        <v>0</v>
      </c>
      <c r="Y1483" s="150">
        <v>0</v>
      </c>
      <c r="Z1483" s="150">
        <v>0</v>
      </c>
      <c r="AA1483" s="150">
        <f t="shared" si="1319"/>
        <v>0</v>
      </c>
      <c r="AB1483" s="150">
        <v>0</v>
      </c>
      <c r="AC1483" s="199">
        <v>0</v>
      </c>
      <c r="AD1483" s="150">
        <f t="shared" si="1314"/>
        <v>0</v>
      </c>
      <c r="AE1483" s="150">
        <v>0</v>
      </c>
      <c r="AF1483" s="169" t="s">
        <v>4680</v>
      </c>
      <c r="AG1483" s="201">
        <v>0</v>
      </c>
      <c r="AH1483" s="199">
        <v>0</v>
      </c>
      <c r="AI1483" s="150">
        <v>0</v>
      </c>
      <c r="AJ1483" s="169">
        <f t="shared" si="1320"/>
        <v>0</v>
      </c>
      <c r="AK1483" s="201">
        <v>0</v>
      </c>
      <c r="AL1483" s="199">
        <v>0</v>
      </c>
      <c r="AM1483" s="150">
        <f t="shared" si="1315"/>
        <v>0</v>
      </c>
      <c r="AN1483" s="153">
        <f t="shared" si="1321"/>
        <v>0</v>
      </c>
      <c r="AO1483" s="154">
        <f t="shared" si="1322"/>
        <v>0</v>
      </c>
      <c r="AP1483" s="150">
        <v>0</v>
      </c>
      <c r="AQ1483" s="201">
        <v>0</v>
      </c>
      <c r="AR1483" s="199">
        <v>0</v>
      </c>
      <c r="AS1483" s="150">
        <f t="shared" si="1316"/>
        <v>0</v>
      </c>
      <c r="AT1483" s="155"/>
      <c r="AU1483" s="156">
        <f t="shared" si="1317"/>
        <v>0</v>
      </c>
      <c r="AV1483" s="156">
        <f t="shared" si="1318"/>
        <v>0</v>
      </c>
      <c r="AW1483" s="157"/>
      <c r="AX1483" s="150">
        <v>0</v>
      </c>
      <c r="AY1483" s="150">
        <v>0</v>
      </c>
      <c r="AZ1483" s="150">
        <f t="shared" si="1306"/>
        <v>0</v>
      </c>
      <c r="BA1483" s="348">
        <v>0</v>
      </c>
      <c r="BB1483" s="202">
        <v>5</v>
      </c>
      <c r="BC1483" s="202" t="s">
        <v>714</v>
      </c>
      <c r="BD1483" s="202" t="s">
        <v>647</v>
      </c>
      <c r="BE1483" s="202" t="s">
        <v>647</v>
      </c>
      <c r="BF1483" s="202" t="s">
        <v>739</v>
      </c>
      <c r="BG1483" s="231" t="s">
        <v>8631</v>
      </c>
      <c r="BH1483" s="216">
        <f>AS1483</f>
        <v>0</v>
      </c>
      <c r="BI1483" s="205"/>
      <c r="BJ1483" s="206" t="s">
        <v>8606</v>
      </c>
      <c r="BK1483" s="206" t="s">
        <v>578</v>
      </c>
      <c r="BL1483" s="207" t="s">
        <v>8607</v>
      </c>
      <c r="BM1483" s="208">
        <f>BH1483</f>
        <v>0</v>
      </c>
      <c r="BN1483" s="160"/>
      <c r="BO1483" s="161"/>
      <c r="BP1483" s="161"/>
    </row>
    <row r="1484" spans="1:68" ht="51">
      <c r="A1484" s="206" t="s">
        <v>578</v>
      </c>
      <c r="B1484" s="195" t="s">
        <v>8632</v>
      </c>
      <c r="C1484" s="196" t="s">
        <v>8633</v>
      </c>
      <c r="D1484" s="146" t="s">
        <v>4692</v>
      </c>
      <c r="E1484" s="196" t="s">
        <v>8633</v>
      </c>
      <c r="F1484" s="150">
        <v>34119.5</v>
      </c>
      <c r="G1484" s="314">
        <v>70.27</v>
      </c>
      <c r="H1484" s="314">
        <v>8533.68</v>
      </c>
      <c r="I1484" s="314">
        <v>8603.9500000000007</v>
      </c>
      <c r="J1484" s="150">
        <v>0</v>
      </c>
      <c r="K1484" s="150">
        <v>8529.8799999999992</v>
      </c>
      <c r="L1484" s="150">
        <f t="shared" si="1324"/>
        <v>8529.8799999999992</v>
      </c>
      <c r="M1484" s="150">
        <v>1529.8</v>
      </c>
      <c r="N1484" s="150">
        <v>15529.95</v>
      </c>
      <c r="O1484" s="150">
        <v>17059.75</v>
      </c>
      <c r="P1484" s="150">
        <v>11853.85</v>
      </c>
      <c r="Q1484" s="150">
        <v>0</v>
      </c>
      <c r="R1484" s="313">
        <f t="shared" si="1312"/>
        <v>11853.85</v>
      </c>
      <c r="S1484" s="150">
        <f t="shared" si="1323"/>
        <v>15805.133333333333</v>
      </c>
      <c r="T1484" s="150">
        <v>16986.400000000001</v>
      </c>
      <c r="U1484" s="150">
        <v>16986.400000000001</v>
      </c>
      <c r="V1484" s="199">
        <v>0</v>
      </c>
      <c r="W1484" s="150">
        <f t="shared" si="1313"/>
        <v>16986.400000000001</v>
      </c>
      <c r="X1484" s="150">
        <v>16986.400000000001</v>
      </c>
      <c r="Y1484" s="150">
        <v>0</v>
      </c>
      <c r="Z1484" s="150">
        <v>16986.400000000001</v>
      </c>
      <c r="AA1484" s="150">
        <f t="shared" si="1319"/>
        <v>0</v>
      </c>
      <c r="AB1484" s="150">
        <v>16986.400000000001</v>
      </c>
      <c r="AC1484" s="199">
        <v>0</v>
      </c>
      <c r="AD1484" s="150">
        <f t="shared" si="1314"/>
        <v>16986.400000000001</v>
      </c>
      <c r="AE1484" s="150">
        <v>16986.400000000001</v>
      </c>
      <c r="AF1484" s="169" t="s">
        <v>4680</v>
      </c>
      <c r="AG1484" s="201">
        <v>16986.400000000001</v>
      </c>
      <c r="AH1484" s="199">
        <v>0</v>
      </c>
      <c r="AI1484" s="150">
        <v>16986.400000000001</v>
      </c>
      <c r="AJ1484" s="169">
        <f t="shared" si="1320"/>
        <v>0</v>
      </c>
      <c r="AK1484" s="201">
        <v>16986.400000000001</v>
      </c>
      <c r="AL1484" s="199">
        <v>0</v>
      </c>
      <c r="AM1484" s="150">
        <f t="shared" si="1315"/>
        <v>16986.400000000001</v>
      </c>
      <c r="AN1484" s="153">
        <f t="shared" si="1321"/>
        <v>0</v>
      </c>
      <c r="AO1484" s="154">
        <f t="shared" si="1322"/>
        <v>0</v>
      </c>
      <c r="AP1484" s="150">
        <v>16986.400000000001</v>
      </c>
      <c r="AQ1484" s="201">
        <v>16986.400000000001</v>
      </c>
      <c r="AR1484" s="199">
        <v>0</v>
      </c>
      <c r="AS1484" s="150">
        <f t="shared" si="1316"/>
        <v>16986.400000000001</v>
      </c>
      <c r="AT1484" s="155"/>
      <c r="AU1484" s="156">
        <f t="shared" si="1317"/>
        <v>0</v>
      </c>
      <c r="AV1484" s="156">
        <f t="shared" si="1318"/>
        <v>0</v>
      </c>
      <c r="AW1484" s="157"/>
      <c r="AX1484" s="150">
        <v>16986.400000000001</v>
      </c>
      <c r="AY1484" s="150">
        <v>3924.65</v>
      </c>
      <c r="AZ1484" s="150">
        <f t="shared" si="1306"/>
        <v>30194.85</v>
      </c>
      <c r="BA1484" s="348">
        <v>34119.5</v>
      </c>
      <c r="BB1484" s="202">
        <v>5</v>
      </c>
      <c r="BC1484" s="202" t="s">
        <v>714</v>
      </c>
      <c r="BD1484" s="202" t="s">
        <v>647</v>
      </c>
      <c r="BE1484" s="202" t="s">
        <v>647</v>
      </c>
      <c r="BF1484" s="202" t="s">
        <v>755</v>
      </c>
      <c r="BG1484" s="231" t="s">
        <v>8634</v>
      </c>
      <c r="BH1484" s="216">
        <f>AS1484</f>
        <v>16986.400000000001</v>
      </c>
      <c r="BI1484" s="205"/>
      <c r="BJ1484" s="206" t="s">
        <v>8606</v>
      </c>
      <c r="BK1484" s="206" t="s">
        <v>578</v>
      </c>
      <c r="BL1484" s="207" t="s">
        <v>8607</v>
      </c>
      <c r="BM1484" s="208">
        <f>BH1484</f>
        <v>16986.400000000001</v>
      </c>
      <c r="BN1484" s="160"/>
      <c r="BO1484" s="161"/>
      <c r="BP1484" s="161"/>
    </row>
    <row r="1485" spans="1:68" ht="63.75">
      <c r="A1485" s="206" t="s">
        <v>578</v>
      </c>
      <c r="B1485" s="195" t="s">
        <v>8635</v>
      </c>
      <c r="C1485" s="196" t="s">
        <v>8636</v>
      </c>
      <c r="D1485" s="146" t="s">
        <v>4692</v>
      </c>
      <c r="E1485" s="196" t="s">
        <v>8636</v>
      </c>
      <c r="F1485" s="150">
        <v>8604.27</v>
      </c>
      <c r="G1485" s="314">
        <v>0</v>
      </c>
      <c r="H1485" s="314">
        <v>0</v>
      </c>
      <c r="I1485" s="314">
        <v>0</v>
      </c>
      <c r="J1485" s="150">
        <v>0</v>
      </c>
      <c r="K1485" s="150">
        <v>2150.9899999999998</v>
      </c>
      <c r="L1485" s="150">
        <f t="shared" si="1324"/>
        <v>2150.9899999999998</v>
      </c>
      <c r="M1485" s="150">
        <v>385.47</v>
      </c>
      <c r="N1485" s="150">
        <v>3916.665</v>
      </c>
      <c r="O1485" s="150">
        <v>4302.1350000000002</v>
      </c>
      <c r="P1485" s="150">
        <v>2982.17</v>
      </c>
      <c r="Q1485" s="150">
        <v>0</v>
      </c>
      <c r="R1485" s="313">
        <f t="shared" si="1312"/>
        <v>2982.17</v>
      </c>
      <c r="S1485" s="150">
        <f t="shared" si="1323"/>
        <v>3976.2266666666665</v>
      </c>
      <c r="T1485" s="150">
        <v>4275.58</v>
      </c>
      <c r="U1485" s="150">
        <v>4275.58</v>
      </c>
      <c r="V1485" s="199">
        <v>0</v>
      </c>
      <c r="W1485" s="150">
        <f t="shared" si="1313"/>
        <v>4275.58</v>
      </c>
      <c r="X1485" s="150">
        <v>4275.58</v>
      </c>
      <c r="Y1485" s="150">
        <v>0</v>
      </c>
      <c r="Z1485" s="150">
        <v>4275.58</v>
      </c>
      <c r="AA1485" s="150">
        <f t="shared" si="1319"/>
        <v>0</v>
      </c>
      <c r="AB1485" s="150">
        <v>4275.58</v>
      </c>
      <c r="AC1485" s="199">
        <v>0</v>
      </c>
      <c r="AD1485" s="150">
        <f t="shared" si="1314"/>
        <v>4275.58</v>
      </c>
      <c r="AE1485" s="150">
        <v>4275.58</v>
      </c>
      <c r="AF1485" s="169" t="s">
        <v>4680</v>
      </c>
      <c r="AG1485" s="201">
        <v>4275.58</v>
      </c>
      <c r="AH1485" s="199">
        <v>0</v>
      </c>
      <c r="AI1485" s="150">
        <v>4275.58</v>
      </c>
      <c r="AJ1485" s="169">
        <f t="shared" si="1320"/>
        <v>0</v>
      </c>
      <c r="AK1485" s="201">
        <v>4275.58</v>
      </c>
      <c r="AL1485" s="199">
        <v>0</v>
      </c>
      <c r="AM1485" s="150">
        <f t="shared" si="1315"/>
        <v>4275.58</v>
      </c>
      <c r="AN1485" s="153">
        <f t="shared" si="1321"/>
        <v>0</v>
      </c>
      <c r="AO1485" s="154">
        <f t="shared" si="1322"/>
        <v>0</v>
      </c>
      <c r="AP1485" s="150">
        <v>4275.58</v>
      </c>
      <c r="AQ1485" s="201">
        <v>4275.58</v>
      </c>
      <c r="AR1485" s="199">
        <v>0</v>
      </c>
      <c r="AS1485" s="150">
        <f t="shared" si="1316"/>
        <v>4275.58</v>
      </c>
      <c r="AT1485" s="155"/>
      <c r="AU1485" s="156">
        <f t="shared" si="1317"/>
        <v>0</v>
      </c>
      <c r="AV1485" s="156">
        <f t="shared" si="1318"/>
        <v>0</v>
      </c>
      <c r="AW1485" s="157"/>
      <c r="AX1485" s="150">
        <v>4275.58</v>
      </c>
      <c r="AY1485" s="150">
        <v>990.23</v>
      </c>
      <c r="AZ1485" s="150">
        <f t="shared" si="1306"/>
        <v>7614.0400000000009</v>
      </c>
      <c r="BA1485" s="348">
        <v>8604.27</v>
      </c>
      <c r="BB1485" s="202">
        <v>5</v>
      </c>
      <c r="BC1485" s="202" t="s">
        <v>714</v>
      </c>
      <c r="BD1485" s="202" t="s">
        <v>647</v>
      </c>
      <c r="BE1485" s="202" t="s">
        <v>647</v>
      </c>
      <c r="BF1485" s="202" t="s">
        <v>766</v>
      </c>
      <c r="BG1485" s="231" t="s">
        <v>8637</v>
      </c>
      <c r="BH1485" s="216">
        <f>AS1485</f>
        <v>4275.58</v>
      </c>
      <c r="BI1485" s="205"/>
      <c r="BJ1485" s="206" t="s">
        <v>8606</v>
      </c>
      <c r="BK1485" s="206" t="s">
        <v>578</v>
      </c>
      <c r="BL1485" s="207" t="s">
        <v>8607</v>
      </c>
      <c r="BM1485" s="208">
        <f>BH1485</f>
        <v>4275.58</v>
      </c>
      <c r="BN1485" s="160"/>
      <c r="BO1485" s="161"/>
      <c r="BP1485" s="161"/>
    </row>
    <row r="1486" spans="1:68" ht="51">
      <c r="A1486" s="206" t="s">
        <v>578</v>
      </c>
      <c r="B1486" s="195" t="s">
        <v>8638</v>
      </c>
      <c r="C1486" s="196" t="s">
        <v>8639</v>
      </c>
      <c r="D1486" s="146" t="s">
        <v>4692</v>
      </c>
      <c r="E1486" s="196" t="s">
        <v>8639</v>
      </c>
      <c r="F1486" s="150">
        <v>0</v>
      </c>
      <c r="G1486" s="209">
        <v>-1334.19</v>
      </c>
      <c r="H1486" s="209">
        <v>0</v>
      </c>
      <c r="I1486" s="209">
        <v>-1334.19</v>
      </c>
      <c r="J1486" s="150">
        <v>0</v>
      </c>
      <c r="K1486" s="150">
        <v>0</v>
      </c>
      <c r="L1486" s="150">
        <f t="shared" si="1324"/>
        <v>0</v>
      </c>
      <c r="M1486" s="150">
        <v>0</v>
      </c>
      <c r="N1486" s="150">
        <v>0</v>
      </c>
      <c r="O1486" s="150">
        <v>0</v>
      </c>
      <c r="P1486" s="150">
        <v>0</v>
      </c>
      <c r="Q1486" s="150">
        <v>0</v>
      </c>
      <c r="R1486" s="313">
        <f t="shared" si="1312"/>
        <v>0</v>
      </c>
      <c r="S1486" s="150">
        <f t="shared" si="1323"/>
        <v>0</v>
      </c>
      <c r="T1486" s="150">
        <v>0</v>
      </c>
      <c r="U1486" s="150">
        <v>0</v>
      </c>
      <c r="V1486" s="199">
        <v>0</v>
      </c>
      <c r="W1486" s="150">
        <f t="shared" si="1313"/>
        <v>0</v>
      </c>
      <c r="X1486" s="150">
        <v>0</v>
      </c>
      <c r="Y1486" s="150">
        <v>0</v>
      </c>
      <c r="Z1486" s="150">
        <v>0</v>
      </c>
      <c r="AA1486" s="150">
        <f t="shared" si="1319"/>
        <v>0</v>
      </c>
      <c r="AB1486" s="150">
        <v>0</v>
      </c>
      <c r="AC1486" s="199">
        <v>0</v>
      </c>
      <c r="AD1486" s="150">
        <f t="shared" si="1314"/>
        <v>0</v>
      </c>
      <c r="AE1486" s="150">
        <v>0</v>
      </c>
      <c r="AF1486" s="169" t="s">
        <v>4680</v>
      </c>
      <c r="AG1486" s="201">
        <v>0</v>
      </c>
      <c r="AH1486" s="199">
        <v>0</v>
      </c>
      <c r="AI1486" s="150">
        <v>0</v>
      </c>
      <c r="AJ1486" s="169">
        <f t="shared" si="1320"/>
        <v>0</v>
      </c>
      <c r="AK1486" s="201">
        <v>0</v>
      </c>
      <c r="AL1486" s="199">
        <v>0</v>
      </c>
      <c r="AM1486" s="150">
        <f t="shared" si="1315"/>
        <v>0</v>
      </c>
      <c r="AN1486" s="153">
        <f t="shared" si="1321"/>
        <v>0</v>
      </c>
      <c r="AO1486" s="154">
        <f t="shared" si="1322"/>
        <v>0</v>
      </c>
      <c r="AP1486" s="150">
        <v>0</v>
      </c>
      <c r="AQ1486" s="201">
        <v>0</v>
      </c>
      <c r="AR1486" s="199">
        <v>0</v>
      </c>
      <c r="AS1486" s="150">
        <f t="shared" si="1316"/>
        <v>0</v>
      </c>
      <c r="AT1486" s="155"/>
      <c r="AU1486" s="156">
        <f t="shared" si="1317"/>
        <v>0</v>
      </c>
      <c r="AV1486" s="156">
        <f t="shared" si="1318"/>
        <v>0</v>
      </c>
      <c r="AW1486" s="157"/>
      <c r="AX1486" s="150">
        <v>0</v>
      </c>
      <c r="AY1486" s="150">
        <v>0</v>
      </c>
      <c r="AZ1486" s="150">
        <f t="shared" si="1306"/>
        <v>0</v>
      </c>
      <c r="BA1486" s="348">
        <v>0</v>
      </c>
      <c r="BB1486" s="202">
        <v>5</v>
      </c>
      <c r="BC1486" s="202" t="s">
        <v>714</v>
      </c>
      <c r="BD1486" s="202" t="s">
        <v>647</v>
      </c>
      <c r="BE1486" s="202" t="s">
        <v>647</v>
      </c>
      <c r="BF1486" s="202" t="s">
        <v>779</v>
      </c>
      <c r="BG1486" s="231" t="s">
        <v>8640</v>
      </c>
      <c r="BH1486" s="216">
        <f>SUM(AS1486:AS1498)</f>
        <v>8657.94</v>
      </c>
      <c r="BI1486" s="205"/>
      <c r="BJ1486" s="206" t="s">
        <v>8606</v>
      </c>
      <c r="BK1486" s="206" t="s">
        <v>578</v>
      </c>
      <c r="BL1486" s="207" t="s">
        <v>8607</v>
      </c>
      <c r="BM1486" s="208">
        <f>BH1486</f>
        <v>8657.94</v>
      </c>
      <c r="BN1486" s="160"/>
      <c r="BO1486" s="161"/>
      <c r="BP1486" s="161"/>
    </row>
    <row r="1487" spans="1:68" ht="38.25">
      <c r="A1487" s="210"/>
      <c r="B1487" s="195" t="s">
        <v>8641</v>
      </c>
      <c r="C1487" s="196" t="s">
        <v>8642</v>
      </c>
      <c r="D1487" s="146" t="s">
        <v>4692</v>
      </c>
      <c r="E1487" s="196" t="s">
        <v>8642</v>
      </c>
      <c r="F1487" s="150">
        <v>-1334.19</v>
      </c>
      <c r="G1487" s="209">
        <v>0</v>
      </c>
      <c r="H1487" s="209">
        <v>0</v>
      </c>
      <c r="I1487" s="209">
        <v>0</v>
      </c>
      <c r="J1487" s="150">
        <v>0</v>
      </c>
      <c r="K1487" s="150">
        <v>0</v>
      </c>
      <c r="L1487" s="150">
        <f t="shared" si="1324"/>
        <v>0</v>
      </c>
      <c r="M1487" s="150">
        <v>0</v>
      </c>
      <c r="N1487" s="150">
        <v>0</v>
      </c>
      <c r="O1487" s="150">
        <v>0</v>
      </c>
      <c r="P1487" s="150">
        <v>-892.65</v>
      </c>
      <c r="Q1487" s="150">
        <v>0</v>
      </c>
      <c r="R1487" s="313">
        <f t="shared" si="1312"/>
        <v>-892.65</v>
      </c>
      <c r="S1487" s="150">
        <f t="shared" si="1323"/>
        <v>-1190.2</v>
      </c>
      <c r="T1487" s="150">
        <v>-1785.32</v>
      </c>
      <c r="U1487" s="150">
        <v>-1785.32</v>
      </c>
      <c r="V1487" s="199">
        <v>0</v>
      </c>
      <c r="W1487" s="150">
        <f t="shared" si="1313"/>
        <v>-1785.32</v>
      </c>
      <c r="X1487" s="150">
        <v>-1785.32</v>
      </c>
      <c r="Y1487" s="150">
        <v>0</v>
      </c>
      <c r="Z1487" s="150">
        <v>-1785.32</v>
      </c>
      <c r="AA1487" s="150">
        <f t="shared" si="1319"/>
        <v>0</v>
      </c>
      <c r="AB1487" s="150">
        <v>-1785.32</v>
      </c>
      <c r="AC1487" s="199">
        <v>0</v>
      </c>
      <c r="AD1487" s="150">
        <f t="shared" si="1314"/>
        <v>-1785.32</v>
      </c>
      <c r="AE1487" s="150">
        <v>-1785.32</v>
      </c>
      <c r="AF1487" s="169" t="s">
        <v>4680</v>
      </c>
      <c r="AG1487" s="201">
        <v>-1785.32</v>
      </c>
      <c r="AH1487" s="199">
        <v>0</v>
      </c>
      <c r="AI1487" s="150">
        <v>-1785.32</v>
      </c>
      <c r="AJ1487" s="169">
        <f t="shared" si="1320"/>
        <v>0</v>
      </c>
      <c r="AK1487" s="201">
        <v>-1785.32</v>
      </c>
      <c r="AL1487" s="199">
        <v>0</v>
      </c>
      <c r="AM1487" s="150">
        <f t="shared" si="1315"/>
        <v>-1785.32</v>
      </c>
      <c r="AN1487" s="153">
        <f t="shared" si="1321"/>
        <v>0</v>
      </c>
      <c r="AO1487" s="154">
        <f t="shared" si="1322"/>
        <v>0</v>
      </c>
      <c r="AP1487" s="150">
        <v>-1785.32</v>
      </c>
      <c r="AQ1487" s="201">
        <v>-1785.32</v>
      </c>
      <c r="AR1487" s="199">
        <v>0</v>
      </c>
      <c r="AS1487" s="150">
        <f t="shared" si="1316"/>
        <v>-1785.32</v>
      </c>
      <c r="AT1487" s="155"/>
      <c r="AU1487" s="156">
        <f t="shared" si="1317"/>
        <v>0</v>
      </c>
      <c r="AV1487" s="156">
        <f t="shared" si="1318"/>
        <v>0</v>
      </c>
      <c r="AW1487" s="157"/>
      <c r="AX1487" s="150">
        <v>-1785.32</v>
      </c>
      <c r="AY1487" s="150">
        <v>-892.65</v>
      </c>
      <c r="AZ1487" s="150">
        <f t="shared" si="1306"/>
        <v>892.65</v>
      </c>
      <c r="BA1487" s="348">
        <v>0</v>
      </c>
      <c r="BB1487" s="210"/>
      <c r="BC1487" s="210"/>
      <c r="BD1487" s="210"/>
      <c r="BE1487" s="210"/>
      <c r="BF1487" s="210"/>
      <c r="BG1487" s="210"/>
      <c r="BH1487" s="217"/>
      <c r="BI1487" s="210"/>
      <c r="BJ1487" s="210"/>
      <c r="BK1487" s="210"/>
      <c r="BL1487" s="210"/>
      <c r="BM1487" s="208"/>
      <c r="BN1487" s="160"/>
      <c r="BO1487" s="161"/>
      <c r="BP1487" s="161"/>
    </row>
    <row r="1488" spans="1:68" ht="38.25">
      <c r="A1488" s="210"/>
      <c r="B1488" s="195" t="s">
        <v>8643</v>
      </c>
      <c r="C1488" s="196" t="s">
        <v>8644</v>
      </c>
      <c r="D1488" s="146" t="s">
        <v>4692</v>
      </c>
      <c r="E1488" s="196" t="s">
        <v>8644</v>
      </c>
      <c r="F1488" s="150">
        <v>0</v>
      </c>
      <c r="G1488" s="209">
        <v>0</v>
      </c>
      <c r="H1488" s="209">
        <v>0</v>
      </c>
      <c r="I1488" s="209">
        <v>0</v>
      </c>
      <c r="J1488" s="150">
        <v>2769.87</v>
      </c>
      <c r="K1488" s="150">
        <v>0</v>
      </c>
      <c r="L1488" s="150">
        <f t="shared" si="1324"/>
        <v>2769.87</v>
      </c>
      <c r="M1488" s="150">
        <v>2769.87</v>
      </c>
      <c r="N1488" s="150">
        <v>0</v>
      </c>
      <c r="O1488" s="150">
        <v>2769.87</v>
      </c>
      <c r="P1488" s="150">
        <v>2769.87</v>
      </c>
      <c r="Q1488" s="150">
        <v>0</v>
      </c>
      <c r="R1488" s="313">
        <f t="shared" si="1312"/>
        <v>2769.87</v>
      </c>
      <c r="S1488" s="150">
        <f t="shared" si="1323"/>
        <v>3693.16</v>
      </c>
      <c r="T1488" s="150">
        <v>2769.87</v>
      </c>
      <c r="U1488" s="150">
        <v>2769.87</v>
      </c>
      <c r="V1488" s="199">
        <v>0</v>
      </c>
      <c r="W1488" s="150">
        <f t="shared" si="1313"/>
        <v>2769.87</v>
      </c>
      <c r="X1488" s="150">
        <v>2769.87</v>
      </c>
      <c r="Y1488" s="150">
        <v>0</v>
      </c>
      <c r="Z1488" s="150">
        <v>2769.87</v>
      </c>
      <c r="AA1488" s="150">
        <f t="shared" si="1319"/>
        <v>0</v>
      </c>
      <c r="AB1488" s="150">
        <v>2769.87</v>
      </c>
      <c r="AC1488" s="199">
        <v>0</v>
      </c>
      <c r="AD1488" s="150">
        <f t="shared" si="1314"/>
        <v>2769.87</v>
      </c>
      <c r="AE1488" s="150">
        <v>2769.87</v>
      </c>
      <c r="AF1488" s="169" t="s">
        <v>4680</v>
      </c>
      <c r="AG1488" s="201">
        <v>2769.87</v>
      </c>
      <c r="AH1488" s="199">
        <v>0</v>
      </c>
      <c r="AI1488" s="150">
        <v>2769.87</v>
      </c>
      <c r="AJ1488" s="169">
        <f t="shared" si="1320"/>
        <v>0</v>
      </c>
      <c r="AK1488" s="201">
        <v>2769.87</v>
      </c>
      <c r="AL1488" s="199">
        <v>0</v>
      </c>
      <c r="AM1488" s="150">
        <f t="shared" si="1315"/>
        <v>2769.87</v>
      </c>
      <c r="AN1488" s="153">
        <f t="shared" si="1321"/>
        <v>0</v>
      </c>
      <c r="AO1488" s="154">
        <f t="shared" si="1322"/>
        <v>0</v>
      </c>
      <c r="AP1488" s="150">
        <v>2769.87</v>
      </c>
      <c r="AQ1488" s="201">
        <v>2769.87</v>
      </c>
      <c r="AR1488" s="199">
        <v>0</v>
      </c>
      <c r="AS1488" s="150">
        <f t="shared" si="1316"/>
        <v>2769.87</v>
      </c>
      <c r="AT1488" s="155"/>
      <c r="AU1488" s="156">
        <f t="shared" si="1317"/>
        <v>0</v>
      </c>
      <c r="AV1488" s="156">
        <f t="shared" si="1318"/>
        <v>0</v>
      </c>
      <c r="AW1488" s="157"/>
      <c r="AX1488" s="150">
        <v>2769.87</v>
      </c>
      <c r="AY1488" s="150">
        <v>2769.87</v>
      </c>
      <c r="AZ1488" s="150">
        <f t="shared" si="1306"/>
        <v>2769.87</v>
      </c>
      <c r="BA1488" s="348">
        <v>5539.74</v>
      </c>
      <c r="BB1488" s="210"/>
      <c r="BC1488" s="210"/>
      <c r="BD1488" s="210"/>
      <c r="BE1488" s="210"/>
      <c r="BF1488" s="210"/>
      <c r="BG1488" s="210"/>
      <c r="BH1488" s="217"/>
      <c r="BI1488" s="210"/>
      <c r="BJ1488" s="210"/>
      <c r="BK1488" s="210"/>
      <c r="BL1488" s="210"/>
      <c r="BM1488" s="208"/>
      <c r="BN1488" s="160"/>
      <c r="BO1488" s="161"/>
      <c r="BP1488" s="161"/>
    </row>
    <row r="1489" spans="1:68" ht="38.25">
      <c r="A1489" s="210"/>
      <c r="B1489" s="195" t="s">
        <v>8645</v>
      </c>
      <c r="C1489" s="196" t="s">
        <v>8646</v>
      </c>
      <c r="D1489" s="146" t="s">
        <v>4692</v>
      </c>
      <c r="E1489" s="196" t="s">
        <v>8646</v>
      </c>
      <c r="F1489" s="150">
        <v>0</v>
      </c>
      <c r="G1489" s="209">
        <v>0</v>
      </c>
      <c r="H1489" s="209">
        <v>0</v>
      </c>
      <c r="I1489" s="209">
        <v>0</v>
      </c>
      <c r="J1489" s="150">
        <v>0</v>
      </c>
      <c r="K1489" s="150">
        <v>0</v>
      </c>
      <c r="L1489" s="150">
        <f t="shared" si="1324"/>
        <v>0</v>
      </c>
      <c r="M1489" s="150">
        <v>0</v>
      </c>
      <c r="N1489" s="150">
        <v>0</v>
      </c>
      <c r="O1489" s="150">
        <v>0</v>
      </c>
      <c r="P1489" s="150">
        <v>0</v>
      </c>
      <c r="Q1489" s="150">
        <v>0</v>
      </c>
      <c r="R1489" s="313">
        <f t="shared" si="1312"/>
        <v>0</v>
      </c>
      <c r="S1489" s="150">
        <f t="shared" si="1323"/>
        <v>0</v>
      </c>
      <c r="T1489" s="150">
        <v>0</v>
      </c>
      <c r="U1489" s="150">
        <v>0</v>
      </c>
      <c r="V1489" s="199">
        <v>0</v>
      </c>
      <c r="W1489" s="150">
        <f t="shared" si="1313"/>
        <v>0</v>
      </c>
      <c r="X1489" s="150">
        <v>0</v>
      </c>
      <c r="Y1489" s="150">
        <v>0</v>
      </c>
      <c r="Z1489" s="150">
        <v>0</v>
      </c>
      <c r="AA1489" s="150">
        <f t="shared" si="1319"/>
        <v>0</v>
      </c>
      <c r="AB1489" s="150">
        <v>0</v>
      </c>
      <c r="AC1489" s="199">
        <v>0</v>
      </c>
      <c r="AD1489" s="150">
        <f t="shared" si="1314"/>
        <v>0</v>
      </c>
      <c r="AE1489" s="150">
        <v>0</v>
      </c>
      <c r="AF1489" s="169" t="s">
        <v>4680</v>
      </c>
      <c r="AG1489" s="201">
        <v>0</v>
      </c>
      <c r="AH1489" s="199">
        <v>0</v>
      </c>
      <c r="AI1489" s="150">
        <v>0</v>
      </c>
      <c r="AJ1489" s="169">
        <f t="shared" si="1320"/>
        <v>0</v>
      </c>
      <c r="AK1489" s="201">
        <v>0</v>
      </c>
      <c r="AL1489" s="199">
        <v>0</v>
      </c>
      <c r="AM1489" s="150">
        <f t="shared" si="1315"/>
        <v>0</v>
      </c>
      <c r="AN1489" s="153">
        <f t="shared" si="1321"/>
        <v>0</v>
      </c>
      <c r="AO1489" s="154">
        <f t="shared" si="1322"/>
        <v>0</v>
      </c>
      <c r="AP1489" s="150">
        <v>0</v>
      </c>
      <c r="AQ1489" s="201">
        <v>0</v>
      </c>
      <c r="AR1489" s="199">
        <v>0</v>
      </c>
      <c r="AS1489" s="150">
        <f t="shared" si="1316"/>
        <v>0</v>
      </c>
      <c r="AT1489" s="155"/>
      <c r="AU1489" s="156">
        <f t="shared" si="1317"/>
        <v>0</v>
      </c>
      <c r="AV1489" s="156">
        <f t="shared" si="1318"/>
        <v>0</v>
      </c>
      <c r="AW1489" s="157"/>
      <c r="AX1489" s="150">
        <v>0</v>
      </c>
      <c r="AY1489" s="150">
        <v>0</v>
      </c>
      <c r="AZ1489" s="150">
        <f t="shared" si="1306"/>
        <v>0</v>
      </c>
      <c r="BA1489" s="348">
        <v>0</v>
      </c>
      <c r="BB1489" s="210"/>
      <c r="BC1489" s="210"/>
      <c r="BD1489" s="210"/>
      <c r="BE1489" s="210"/>
      <c r="BF1489" s="210"/>
      <c r="BG1489" s="210"/>
      <c r="BH1489" s="217"/>
      <c r="BI1489" s="210"/>
      <c r="BJ1489" s="210"/>
      <c r="BK1489" s="210"/>
      <c r="BL1489" s="210"/>
      <c r="BM1489" s="208"/>
      <c r="BN1489" s="160"/>
      <c r="BO1489" s="161"/>
      <c r="BP1489" s="161"/>
    </row>
    <row r="1490" spans="1:68" ht="38.25">
      <c r="A1490" s="210"/>
      <c r="B1490" s="195" t="s">
        <v>8647</v>
      </c>
      <c r="C1490" s="196" t="s">
        <v>8648</v>
      </c>
      <c r="D1490" s="146" t="s">
        <v>4692</v>
      </c>
      <c r="E1490" s="196" t="s">
        <v>8648</v>
      </c>
      <c r="F1490" s="150">
        <v>0</v>
      </c>
      <c r="G1490" s="209">
        <v>0</v>
      </c>
      <c r="H1490" s="209">
        <v>0</v>
      </c>
      <c r="I1490" s="209">
        <v>0</v>
      </c>
      <c r="J1490" s="150">
        <v>0</v>
      </c>
      <c r="K1490" s="150">
        <v>0</v>
      </c>
      <c r="L1490" s="150">
        <f t="shared" si="1324"/>
        <v>0</v>
      </c>
      <c r="M1490" s="150">
        <v>0</v>
      </c>
      <c r="N1490" s="150">
        <v>0</v>
      </c>
      <c r="O1490" s="150">
        <v>0</v>
      </c>
      <c r="P1490" s="150">
        <v>0</v>
      </c>
      <c r="Q1490" s="150">
        <v>0</v>
      </c>
      <c r="R1490" s="313">
        <f t="shared" si="1312"/>
        <v>0</v>
      </c>
      <c r="S1490" s="150">
        <f t="shared" si="1323"/>
        <v>0</v>
      </c>
      <c r="T1490" s="150">
        <v>153.38999999999999</v>
      </c>
      <c r="U1490" s="150">
        <v>153.38999999999999</v>
      </c>
      <c r="V1490" s="199">
        <v>0</v>
      </c>
      <c r="W1490" s="150">
        <f t="shared" si="1313"/>
        <v>153.38999999999999</v>
      </c>
      <c r="X1490" s="150">
        <v>153.38999999999999</v>
      </c>
      <c r="Y1490" s="150">
        <v>0</v>
      </c>
      <c r="Z1490" s="150">
        <v>153.38999999999999</v>
      </c>
      <c r="AA1490" s="150">
        <f t="shared" si="1319"/>
        <v>0</v>
      </c>
      <c r="AB1490" s="150">
        <v>153.38999999999999</v>
      </c>
      <c r="AC1490" s="199">
        <v>0</v>
      </c>
      <c r="AD1490" s="150">
        <f t="shared" si="1314"/>
        <v>153.38999999999999</v>
      </c>
      <c r="AE1490" s="150">
        <v>153.38999999999999</v>
      </c>
      <c r="AF1490" s="169" t="s">
        <v>4680</v>
      </c>
      <c r="AG1490" s="201">
        <v>153.38999999999999</v>
      </c>
      <c r="AH1490" s="199">
        <v>0</v>
      </c>
      <c r="AI1490" s="150">
        <v>153.38999999999999</v>
      </c>
      <c r="AJ1490" s="169">
        <f t="shared" si="1320"/>
        <v>0</v>
      </c>
      <c r="AK1490" s="201">
        <v>153.38999999999999</v>
      </c>
      <c r="AL1490" s="199">
        <v>0</v>
      </c>
      <c r="AM1490" s="150">
        <f t="shared" si="1315"/>
        <v>153.38999999999999</v>
      </c>
      <c r="AN1490" s="153">
        <f t="shared" si="1321"/>
        <v>0</v>
      </c>
      <c r="AO1490" s="154">
        <f t="shared" si="1322"/>
        <v>0</v>
      </c>
      <c r="AP1490" s="150">
        <v>153.38999999999999</v>
      </c>
      <c r="AQ1490" s="201">
        <v>153.38999999999999</v>
      </c>
      <c r="AR1490" s="199">
        <v>0</v>
      </c>
      <c r="AS1490" s="150">
        <f t="shared" si="1316"/>
        <v>153.38999999999999</v>
      </c>
      <c r="AT1490" s="155"/>
      <c r="AU1490" s="156">
        <f t="shared" si="1317"/>
        <v>0</v>
      </c>
      <c r="AV1490" s="156">
        <f t="shared" si="1318"/>
        <v>0</v>
      </c>
      <c r="AW1490" s="157"/>
      <c r="AX1490" s="150">
        <v>153.38999999999999</v>
      </c>
      <c r="AY1490" s="150">
        <v>0</v>
      </c>
      <c r="AZ1490" s="150">
        <f t="shared" si="1306"/>
        <v>0</v>
      </c>
      <c r="BA1490" s="348">
        <v>0</v>
      </c>
      <c r="BB1490" s="210"/>
      <c r="BC1490" s="210"/>
      <c r="BD1490" s="210"/>
      <c r="BE1490" s="210"/>
      <c r="BF1490" s="210"/>
      <c r="BG1490" s="210"/>
      <c r="BH1490" s="217"/>
      <c r="BI1490" s="210"/>
      <c r="BJ1490" s="210"/>
      <c r="BK1490" s="210"/>
      <c r="BL1490" s="210"/>
      <c r="BM1490" s="208"/>
      <c r="BN1490" s="160"/>
      <c r="BO1490" s="161"/>
      <c r="BP1490" s="161"/>
    </row>
    <row r="1491" spans="1:68" ht="38.25">
      <c r="A1491" s="210"/>
      <c r="B1491" s="195" t="s">
        <v>8649</v>
      </c>
      <c r="C1491" s="196" t="s">
        <v>8650</v>
      </c>
      <c r="D1491" s="146" t="s">
        <v>4692</v>
      </c>
      <c r="E1491" s="196" t="s">
        <v>8650</v>
      </c>
      <c r="F1491" s="150">
        <v>0</v>
      </c>
      <c r="G1491" s="209">
        <v>0</v>
      </c>
      <c r="H1491" s="209">
        <v>0</v>
      </c>
      <c r="I1491" s="209">
        <v>0</v>
      </c>
      <c r="J1491" s="150">
        <v>0</v>
      </c>
      <c r="K1491" s="150">
        <v>0</v>
      </c>
      <c r="L1491" s="150">
        <f t="shared" si="1324"/>
        <v>0</v>
      </c>
      <c r="M1491" s="150">
        <v>0</v>
      </c>
      <c r="N1491" s="150">
        <v>0</v>
      </c>
      <c r="O1491" s="150">
        <v>0</v>
      </c>
      <c r="P1491" s="150">
        <v>0</v>
      </c>
      <c r="Q1491" s="150">
        <v>0</v>
      </c>
      <c r="R1491" s="313">
        <f t="shared" si="1312"/>
        <v>0</v>
      </c>
      <c r="S1491" s="150">
        <f t="shared" si="1323"/>
        <v>0</v>
      </c>
      <c r="T1491" s="150">
        <v>0</v>
      </c>
      <c r="U1491" s="150">
        <v>0</v>
      </c>
      <c r="V1491" s="199">
        <v>0</v>
      </c>
      <c r="W1491" s="150">
        <f t="shared" si="1313"/>
        <v>0</v>
      </c>
      <c r="X1491" s="150">
        <v>0</v>
      </c>
      <c r="Y1491" s="150">
        <v>0</v>
      </c>
      <c r="Z1491" s="150">
        <v>0</v>
      </c>
      <c r="AA1491" s="150">
        <f t="shared" si="1319"/>
        <v>0</v>
      </c>
      <c r="AB1491" s="150">
        <v>0</v>
      </c>
      <c r="AC1491" s="199">
        <v>0</v>
      </c>
      <c r="AD1491" s="150">
        <f t="shared" si="1314"/>
        <v>0</v>
      </c>
      <c r="AE1491" s="150">
        <v>0</v>
      </c>
      <c r="AF1491" s="169" t="s">
        <v>4680</v>
      </c>
      <c r="AG1491" s="201">
        <v>0</v>
      </c>
      <c r="AH1491" s="199">
        <v>0</v>
      </c>
      <c r="AI1491" s="150">
        <v>0</v>
      </c>
      <c r="AJ1491" s="169">
        <f t="shared" si="1320"/>
        <v>0</v>
      </c>
      <c r="AK1491" s="201">
        <v>0</v>
      </c>
      <c r="AL1491" s="199">
        <v>0</v>
      </c>
      <c r="AM1491" s="150">
        <f t="shared" si="1315"/>
        <v>0</v>
      </c>
      <c r="AN1491" s="153">
        <f t="shared" si="1321"/>
        <v>0</v>
      </c>
      <c r="AO1491" s="154">
        <f t="shared" si="1322"/>
        <v>0</v>
      </c>
      <c r="AP1491" s="150">
        <v>0</v>
      </c>
      <c r="AQ1491" s="201">
        <v>0</v>
      </c>
      <c r="AR1491" s="199">
        <v>0</v>
      </c>
      <c r="AS1491" s="150">
        <f t="shared" si="1316"/>
        <v>0</v>
      </c>
      <c r="AT1491" s="155"/>
      <c r="AU1491" s="156">
        <f t="shared" si="1317"/>
        <v>0</v>
      </c>
      <c r="AV1491" s="156">
        <f t="shared" si="1318"/>
        <v>0</v>
      </c>
      <c r="AW1491" s="157"/>
      <c r="AX1491" s="150">
        <v>0</v>
      </c>
      <c r="AY1491" s="150">
        <v>0</v>
      </c>
      <c r="AZ1491" s="150">
        <f t="shared" si="1306"/>
        <v>0</v>
      </c>
      <c r="BA1491" s="348">
        <v>0</v>
      </c>
      <c r="BB1491" s="210"/>
      <c r="BC1491" s="210"/>
      <c r="BD1491" s="210"/>
      <c r="BE1491" s="210"/>
      <c r="BF1491" s="210"/>
      <c r="BG1491" s="210"/>
      <c r="BH1491" s="217"/>
      <c r="BI1491" s="210"/>
      <c r="BJ1491" s="210"/>
      <c r="BK1491" s="210"/>
      <c r="BL1491" s="210"/>
      <c r="BM1491" s="208"/>
      <c r="BN1491" s="160"/>
      <c r="BO1491" s="161"/>
      <c r="BP1491" s="161"/>
    </row>
    <row r="1492" spans="1:68" ht="38.25">
      <c r="A1492" s="210"/>
      <c r="B1492" s="195" t="s">
        <v>8651</v>
      </c>
      <c r="C1492" s="196" t="s">
        <v>8652</v>
      </c>
      <c r="D1492" s="146" t="s">
        <v>4692</v>
      </c>
      <c r="E1492" s="196" t="s">
        <v>8652</v>
      </c>
      <c r="F1492" s="150">
        <v>0</v>
      </c>
      <c r="G1492" s="209">
        <v>0</v>
      </c>
      <c r="H1492" s="209">
        <v>0</v>
      </c>
      <c r="I1492" s="209">
        <v>0</v>
      </c>
      <c r="J1492" s="150">
        <v>0</v>
      </c>
      <c r="K1492" s="150">
        <v>0</v>
      </c>
      <c r="L1492" s="150">
        <f t="shared" si="1324"/>
        <v>0</v>
      </c>
      <c r="M1492" s="150">
        <v>0</v>
      </c>
      <c r="N1492" s="150">
        <v>0</v>
      </c>
      <c r="O1492" s="150">
        <v>0</v>
      </c>
      <c r="P1492" s="150">
        <v>0</v>
      </c>
      <c r="Q1492" s="150">
        <v>0</v>
      </c>
      <c r="R1492" s="313">
        <f t="shared" si="1312"/>
        <v>0</v>
      </c>
      <c r="S1492" s="150">
        <f t="shared" si="1323"/>
        <v>0</v>
      </c>
      <c r="T1492" s="150">
        <v>0</v>
      </c>
      <c r="U1492" s="150">
        <v>0</v>
      </c>
      <c r="V1492" s="199">
        <v>0</v>
      </c>
      <c r="W1492" s="150">
        <f t="shared" si="1313"/>
        <v>0</v>
      </c>
      <c r="X1492" s="150">
        <v>0</v>
      </c>
      <c r="Y1492" s="150">
        <v>0</v>
      </c>
      <c r="Z1492" s="150">
        <v>0</v>
      </c>
      <c r="AA1492" s="150">
        <f t="shared" si="1319"/>
        <v>0</v>
      </c>
      <c r="AB1492" s="150">
        <v>0</v>
      </c>
      <c r="AC1492" s="199">
        <v>0</v>
      </c>
      <c r="AD1492" s="150">
        <f t="shared" si="1314"/>
        <v>0</v>
      </c>
      <c r="AE1492" s="150">
        <v>0</v>
      </c>
      <c r="AF1492" s="169" t="s">
        <v>4680</v>
      </c>
      <c r="AG1492" s="201">
        <v>0</v>
      </c>
      <c r="AH1492" s="199">
        <v>0</v>
      </c>
      <c r="AI1492" s="150">
        <v>0</v>
      </c>
      <c r="AJ1492" s="169">
        <f t="shared" si="1320"/>
        <v>0</v>
      </c>
      <c r="AK1492" s="201">
        <v>0</v>
      </c>
      <c r="AL1492" s="199">
        <v>0</v>
      </c>
      <c r="AM1492" s="150">
        <f t="shared" si="1315"/>
        <v>0</v>
      </c>
      <c r="AN1492" s="153">
        <f t="shared" si="1321"/>
        <v>0</v>
      </c>
      <c r="AO1492" s="154">
        <f t="shared" si="1322"/>
        <v>0</v>
      </c>
      <c r="AP1492" s="150">
        <v>0</v>
      </c>
      <c r="AQ1492" s="201">
        <v>0</v>
      </c>
      <c r="AR1492" s="199">
        <v>0</v>
      </c>
      <c r="AS1492" s="150">
        <f t="shared" si="1316"/>
        <v>0</v>
      </c>
      <c r="AT1492" s="155"/>
      <c r="AU1492" s="156">
        <f t="shared" si="1317"/>
        <v>0</v>
      </c>
      <c r="AV1492" s="156">
        <f t="shared" si="1318"/>
        <v>0</v>
      </c>
      <c r="AW1492" s="157"/>
      <c r="AX1492" s="150">
        <v>0</v>
      </c>
      <c r="AY1492" s="150">
        <v>0</v>
      </c>
      <c r="AZ1492" s="150">
        <f t="shared" si="1306"/>
        <v>0</v>
      </c>
      <c r="BA1492" s="348">
        <v>0</v>
      </c>
      <c r="BB1492" s="210"/>
      <c r="BC1492" s="210"/>
      <c r="BD1492" s="210"/>
      <c r="BE1492" s="210"/>
      <c r="BF1492" s="210"/>
      <c r="BG1492" s="210"/>
      <c r="BH1492" s="217"/>
      <c r="BI1492" s="210"/>
      <c r="BJ1492" s="210"/>
      <c r="BK1492" s="210"/>
      <c r="BL1492" s="210"/>
      <c r="BM1492" s="208"/>
      <c r="BN1492" s="160"/>
      <c r="BO1492" s="161"/>
      <c r="BP1492" s="161"/>
    </row>
    <row r="1493" spans="1:68" ht="51">
      <c r="A1493" s="210"/>
      <c r="B1493" s="195" t="s">
        <v>8653</v>
      </c>
      <c r="C1493" s="196" t="s">
        <v>8654</v>
      </c>
      <c r="D1493" s="146" t="s">
        <v>4692</v>
      </c>
      <c r="E1493" s="196" t="s">
        <v>8654</v>
      </c>
      <c r="F1493" s="150">
        <v>0</v>
      </c>
      <c r="G1493" s="209">
        <v>0</v>
      </c>
      <c r="H1493" s="209">
        <v>0</v>
      </c>
      <c r="I1493" s="209">
        <v>0</v>
      </c>
      <c r="J1493" s="150">
        <v>0</v>
      </c>
      <c r="K1493" s="150">
        <v>0</v>
      </c>
      <c r="L1493" s="150">
        <f t="shared" si="1324"/>
        <v>0</v>
      </c>
      <c r="M1493" s="150">
        <v>0</v>
      </c>
      <c r="N1493" s="150">
        <v>0</v>
      </c>
      <c r="O1493" s="150">
        <v>0</v>
      </c>
      <c r="P1493" s="150">
        <v>0</v>
      </c>
      <c r="Q1493" s="150">
        <v>0</v>
      </c>
      <c r="R1493" s="313">
        <f t="shared" si="1312"/>
        <v>0</v>
      </c>
      <c r="S1493" s="150">
        <f t="shared" si="1323"/>
        <v>0</v>
      </c>
      <c r="T1493" s="150">
        <v>0</v>
      </c>
      <c r="U1493" s="150">
        <v>0</v>
      </c>
      <c r="V1493" s="199">
        <v>0</v>
      </c>
      <c r="W1493" s="150">
        <f t="shared" si="1313"/>
        <v>0</v>
      </c>
      <c r="X1493" s="150">
        <v>0</v>
      </c>
      <c r="Y1493" s="150">
        <v>0</v>
      </c>
      <c r="Z1493" s="150">
        <v>0</v>
      </c>
      <c r="AA1493" s="150">
        <f t="shared" si="1319"/>
        <v>0</v>
      </c>
      <c r="AB1493" s="150">
        <v>0</v>
      </c>
      <c r="AC1493" s="199">
        <v>0</v>
      </c>
      <c r="AD1493" s="150">
        <f t="shared" si="1314"/>
        <v>0</v>
      </c>
      <c r="AE1493" s="150">
        <v>0</v>
      </c>
      <c r="AF1493" s="169" t="s">
        <v>4680</v>
      </c>
      <c r="AG1493" s="201">
        <v>0</v>
      </c>
      <c r="AH1493" s="199">
        <v>0</v>
      </c>
      <c r="AI1493" s="150">
        <v>0</v>
      </c>
      <c r="AJ1493" s="169">
        <f t="shared" si="1320"/>
        <v>0</v>
      </c>
      <c r="AK1493" s="201">
        <v>0</v>
      </c>
      <c r="AL1493" s="199">
        <v>0</v>
      </c>
      <c r="AM1493" s="150">
        <f t="shared" si="1315"/>
        <v>0</v>
      </c>
      <c r="AN1493" s="153">
        <f t="shared" si="1321"/>
        <v>0</v>
      </c>
      <c r="AO1493" s="154">
        <f t="shared" si="1322"/>
        <v>0</v>
      </c>
      <c r="AP1493" s="150">
        <v>0</v>
      </c>
      <c r="AQ1493" s="201">
        <v>0</v>
      </c>
      <c r="AR1493" s="199">
        <v>0</v>
      </c>
      <c r="AS1493" s="150">
        <f t="shared" si="1316"/>
        <v>0</v>
      </c>
      <c r="AT1493" s="155"/>
      <c r="AU1493" s="156">
        <f t="shared" si="1317"/>
        <v>0</v>
      </c>
      <c r="AV1493" s="156">
        <f t="shared" si="1318"/>
        <v>0</v>
      </c>
      <c r="AW1493" s="157"/>
      <c r="AX1493" s="150">
        <v>0</v>
      </c>
      <c r="AY1493" s="150">
        <v>0</v>
      </c>
      <c r="AZ1493" s="150">
        <f t="shared" si="1306"/>
        <v>0</v>
      </c>
      <c r="BA1493" s="348">
        <v>0</v>
      </c>
      <c r="BB1493" s="210"/>
      <c r="BC1493" s="210"/>
      <c r="BD1493" s="210"/>
      <c r="BE1493" s="210"/>
      <c r="BF1493" s="210"/>
      <c r="BG1493" s="210"/>
      <c r="BH1493" s="217"/>
      <c r="BI1493" s="210"/>
      <c r="BJ1493" s="210"/>
      <c r="BK1493" s="210"/>
      <c r="BL1493" s="210"/>
      <c r="BM1493" s="208"/>
      <c r="BN1493" s="160"/>
      <c r="BO1493" s="161"/>
      <c r="BP1493" s="161"/>
    </row>
    <row r="1494" spans="1:68" ht="51">
      <c r="A1494" s="210"/>
      <c r="B1494" s="195" t="s">
        <v>8655</v>
      </c>
      <c r="C1494" s="196" t="s">
        <v>8656</v>
      </c>
      <c r="D1494" s="146" t="s">
        <v>4692</v>
      </c>
      <c r="E1494" s="196" t="s">
        <v>8656</v>
      </c>
      <c r="F1494" s="150">
        <v>0</v>
      </c>
      <c r="G1494" s="209">
        <v>0</v>
      </c>
      <c r="H1494" s="209">
        <v>0</v>
      </c>
      <c r="I1494" s="209">
        <v>0</v>
      </c>
      <c r="J1494" s="150">
        <v>0</v>
      </c>
      <c r="K1494" s="150">
        <v>0</v>
      </c>
      <c r="L1494" s="150">
        <f t="shared" si="1324"/>
        <v>0</v>
      </c>
      <c r="M1494" s="150">
        <v>0</v>
      </c>
      <c r="N1494" s="150">
        <v>0</v>
      </c>
      <c r="O1494" s="150">
        <v>0</v>
      </c>
      <c r="P1494" s="150">
        <v>0</v>
      </c>
      <c r="Q1494" s="150">
        <v>0</v>
      </c>
      <c r="R1494" s="313">
        <f t="shared" si="1312"/>
        <v>0</v>
      </c>
      <c r="S1494" s="150">
        <f t="shared" si="1323"/>
        <v>0</v>
      </c>
      <c r="T1494" s="150">
        <v>0</v>
      </c>
      <c r="U1494" s="150">
        <v>0</v>
      </c>
      <c r="V1494" s="199">
        <v>0</v>
      </c>
      <c r="W1494" s="150">
        <f t="shared" si="1313"/>
        <v>0</v>
      </c>
      <c r="X1494" s="150">
        <v>0</v>
      </c>
      <c r="Y1494" s="150">
        <v>0</v>
      </c>
      <c r="Z1494" s="150">
        <v>0</v>
      </c>
      <c r="AA1494" s="150">
        <f t="shared" si="1319"/>
        <v>0</v>
      </c>
      <c r="AB1494" s="150">
        <v>0</v>
      </c>
      <c r="AC1494" s="199">
        <v>0</v>
      </c>
      <c r="AD1494" s="150">
        <f t="shared" si="1314"/>
        <v>0</v>
      </c>
      <c r="AE1494" s="150">
        <v>0</v>
      </c>
      <c r="AF1494" s="169" t="s">
        <v>4680</v>
      </c>
      <c r="AG1494" s="201">
        <v>0</v>
      </c>
      <c r="AH1494" s="199">
        <v>0</v>
      </c>
      <c r="AI1494" s="150">
        <v>0</v>
      </c>
      <c r="AJ1494" s="169">
        <f t="shared" si="1320"/>
        <v>0</v>
      </c>
      <c r="AK1494" s="201">
        <v>0</v>
      </c>
      <c r="AL1494" s="199">
        <v>0</v>
      </c>
      <c r="AM1494" s="150">
        <f t="shared" si="1315"/>
        <v>0</v>
      </c>
      <c r="AN1494" s="153">
        <f t="shared" si="1321"/>
        <v>0</v>
      </c>
      <c r="AO1494" s="154">
        <f t="shared" si="1322"/>
        <v>0</v>
      </c>
      <c r="AP1494" s="150">
        <v>0</v>
      </c>
      <c r="AQ1494" s="201">
        <v>0</v>
      </c>
      <c r="AR1494" s="199">
        <v>0</v>
      </c>
      <c r="AS1494" s="150">
        <f t="shared" si="1316"/>
        <v>0</v>
      </c>
      <c r="AT1494" s="155"/>
      <c r="AU1494" s="156">
        <f t="shared" si="1317"/>
        <v>0</v>
      </c>
      <c r="AV1494" s="156">
        <f t="shared" si="1318"/>
        <v>0</v>
      </c>
      <c r="AW1494" s="157"/>
      <c r="AX1494" s="150">
        <v>0</v>
      </c>
      <c r="AY1494" s="150">
        <v>0</v>
      </c>
      <c r="AZ1494" s="150">
        <f t="shared" si="1306"/>
        <v>0</v>
      </c>
      <c r="BA1494" s="348">
        <v>0</v>
      </c>
      <c r="BB1494" s="210"/>
      <c r="BC1494" s="210"/>
      <c r="BD1494" s="210"/>
      <c r="BE1494" s="210"/>
      <c r="BF1494" s="210"/>
      <c r="BG1494" s="210"/>
      <c r="BH1494" s="217"/>
      <c r="BI1494" s="210"/>
      <c r="BJ1494" s="210"/>
      <c r="BK1494" s="210"/>
      <c r="BL1494" s="210"/>
      <c r="BM1494" s="208"/>
      <c r="BN1494" s="160"/>
      <c r="BO1494" s="161"/>
      <c r="BP1494" s="161"/>
    </row>
    <row r="1495" spans="1:68" ht="51">
      <c r="A1495" s="210"/>
      <c r="B1495" s="195" t="s">
        <v>8657</v>
      </c>
      <c r="C1495" s="196" t="s">
        <v>8658</v>
      </c>
      <c r="D1495" s="146" t="s">
        <v>4692</v>
      </c>
      <c r="E1495" s="196" t="s">
        <v>8658</v>
      </c>
      <c r="F1495" s="150">
        <v>0</v>
      </c>
      <c r="G1495" s="209">
        <v>0</v>
      </c>
      <c r="H1495" s="209">
        <v>0</v>
      </c>
      <c r="I1495" s="209">
        <v>0</v>
      </c>
      <c r="J1495" s="150">
        <v>0</v>
      </c>
      <c r="K1495" s="150">
        <v>0</v>
      </c>
      <c r="L1495" s="150">
        <f t="shared" si="1324"/>
        <v>0</v>
      </c>
      <c r="M1495" s="150">
        <v>0</v>
      </c>
      <c r="N1495" s="150">
        <v>0</v>
      </c>
      <c r="O1495" s="150">
        <v>0</v>
      </c>
      <c r="P1495" s="150">
        <v>0</v>
      </c>
      <c r="Q1495" s="150">
        <v>0</v>
      </c>
      <c r="R1495" s="313">
        <f t="shared" si="1312"/>
        <v>0</v>
      </c>
      <c r="S1495" s="150">
        <f t="shared" si="1323"/>
        <v>0</v>
      </c>
      <c r="T1495" s="150">
        <v>0</v>
      </c>
      <c r="U1495" s="150">
        <v>0</v>
      </c>
      <c r="V1495" s="199">
        <v>0</v>
      </c>
      <c r="W1495" s="150">
        <f t="shared" si="1313"/>
        <v>0</v>
      </c>
      <c r="X1495" s="150">
        <v>0</v>
      </c>
      <c r="Y1495" s="150">
        <v>0</v>
      </c>
      <c r="Z1495" s="150">
        <v>0</v>
      </c>
      <c r="AA1495" s="150">
        <f t="shared" si="1319"/>
        <v>0</v>
      </c>
      <c r="AB1495" s="150">
        <v>0</v>
      </c>
      <c r="AC1495" s="199">
        <v>0</v>
      </c>
      <c r="AD1495" s="150">
        <f t="shared" si="1314"/>
        <v>0</v>
      </c>
      <c r="AE1495" s="150">
        <v>0</v>
      </c>
      <c r="AF1495" s="169" t="s">
        <v>4680</v>
      </c>
      <c r="AG1495" s="201">
        <v>0</v>
      </c>
      <c r="AH1495" s="199">
        <v>0</v>
      </c>
      <c r="AI1495" s="150">
        <v>0</v>
      </c>
      <c r="AJ1495" s="169">
        <f t="shared" si="1320"/>
        <v>0</v>
      </c>
      <c r="AK1495" s="201">
        <v>0</v>
      </c>
      <c r="AL1495" s="199">
        <v>0</v>
      </c>
      <c r="AM1495" s="150">
        <f t="shared" si="1315"/>
        <v>0</v>
      </c>
      <c r="AN1495" s="153">
        <f t="shared" si="1321"/>
        <v>0</v>
      </c>
      <c r="AO1495" s="154">
        <f t="shared" si="1322"/>
        <v>0</v>
      </c>
      <c r="AP1495" s="150">
        <v>0</v>
      </c>
      <c r="AQ1495" s="201">
        <v>0</v>
      </c>
      <c r="AR1495" s="199">
        <v>0</v>
      </c>
      <c r="AS1495" s="150">
        <f t="shared" si="1316"/>
        <v>0</v>
      </c>
      <c r="AT1495" s="155"/>
      <c r="AU1495" s="156">
        <f t="shared" si="1317"/>
        <v>0</v>
      </c>
      <c r="AV1495" s="156">
        <f t="shared" si="1318"/>
        <v>0</v>
      </c>
      <c r="AW1495" s="157"/>
      <c r="AX1495" s="150">
        <v>0</v>
      </c>
      <c r="AY1495" s="150">
        <v>0</v>
      </c>
      <c r="AZ1495" s="150">
        <f t="shared" si="1306"/>
        <v>0</v>
      </c>
      <c r="BA1495" s="348">
        <v>0</v>
      </c>
      <c r="BB1495" s="210"/>
      <c r="BC1495" s="210"/>
      <c r="BD1495" s="210"/>
      <c r="BE1495" s="210"/>
      <c r="BF1495" s="210"/>
      <c r="BG1495" s="210"/>
      <c r="BH1495" s="217"/>
      <c r="BI1495" s="210"/>
      <c r="BJ1495" s="210"/>
      <c r="BK1495" s="210"/>
      <c r="BL1495" s="210"/>
      <c r="BM1495" s="208"/>
      <c r="BN1495" s="160"/>
      <c r="BO1495" s="161"/>
      <c r="BP1495" s="161"/>
    </row>
    <row r="1496" spans="1:68" ht="38.25">
      <c r="A1496" s="210"/>
      <c r="B1496" s="195" t="s">
        <v>8659</v>
      </c>
      <c r="C1496" s="196" t="s">
        <v>8660</v>
      </c>
      <c r="D1496" s="146" t="s">
        <v>4692</v>
      </c>
      <c r="E1496" s="196" t="s">
        <v>8660</v>
      </c>
      <c r="F1496" s="150">
        <v>0</v>
      </c>
      <c r="G1496" s="209">
        <v>39573.839999999997</v>
      </c>
      <c r="H1496" s="209">
        <v>0</v>
      </c>
      <c r="I1496" s="209">
        <v>39573.839999999997</v>
      </c>
      <c r="J1496" s="150">
        <v>0</v>
      </c>
      <c r="K1496" s="150">
        <v>0</v>
      </c>
      <c r="L1496" s="150">
        <f t="shared" si="1324"/>
        <v>0</v>
      </c>
      <c r="M1496" s="150">
        <v>0</v>
      </c>
      <c r="N1496" s="150">
        <v>0</v>
      </c>
      <c r="O1496" s="150">
        <v>0</v>
      </c>
      <c r="P1496" s="150">
        <v>0</v>
      </c>
      <c r="Q1496" s="150">
        <v>0</v>
      </c>
      <c r="R1496" s="313">
        <f t="shared" si="1312"/>
        <v>0</v>
      </c>
      <c r="S1496" s="150">
        <f t="shared" si="1323"/>
        <v>0</v>
      </c>
      <c r="T1496" s="150">
        <v>0</v>
      </c>
      <c r="U1496" s="150">
        <v>0</v>
      </c>
      <c r="V1496" s="199">
        <v>0</v>
      </c>
      <c r="W1496" s="150">
        <f t="shared" si="1313"/>
        <v>0</v>
      </c>
      <c r="X1496" s="150">
        <v>0</v>
      </c>
      <c r="Y1496" s="150">
        <v>0</v>
      </c>
      <c r="Z1496" s="150">
        <v>0</v>
      </c>
      <c r="AA1496" s="150">
        <f t="shared" si="1319"/>
        <v>0</v>
      </c>
      <c r="AB1496" s="150">
        <v>0</v>
      </c>
      <c r="AC1496" s="199">
        <v>0</v>
      </c>
      <c r="AD1496" s="150">
        <f t="shared" si="1314"/>
        <v>0</v>
      </c>
      <c r="AE1496" s="150">
        <v>0</v>
      </c>
      <c r="AF1496" s="169" t="s">
        <v>4680</v>
      </c>
      <c r="AG1496" s="201">
        <v>0</v>
      </c>
      <c r="AH1496" s="199">
        <v>0</v>
      </c>
      <c r="AI1496" s="150">
        <v>0</v>
      </c>
      <c r="AJ1496" s="169">
        <f t="shared" si="1320"/>
        <v>0</v>
      </c>
      <c r="AK1496" s="201">
        <v>0</v>
      </c>
      <c r="AL1496" s="199">
        <v>0</v>
      </c>
      <c r="AM1496" s="150">
        <f t="shared" si="1315"/>
        <v>0</v>
      </c>
      <c r="AN1496" s="153">
        <f t="shared" si="1321"/>
        <v>0</v>
      </c>
      <c r="AO1496" s="154">
        <f t="shared" si="1322"/>
        <v>0</v>
      </c>
      <c r="AP1496" s="150">
        <v>0</v>
      </c>
      <c r="AQ1496" s="201">
        <v>0</v>
      </c>
      <c r="AR1496" s="199">
        <v>0</v>
      </c>
      <c r="AS1496" s="150">
        <f t="shared" si="1316"/>
        <v>0</v>
      </c>
      <c r="AT1496" s="155"/>
      <c r="AU1496" s="156">
        <f t="shared" si="1317"/>
        <v>0</v>
      </c>
      <c r="AV1496" s="156">
        <f t="shared" si="1318"/>
        <v>0</v>
      </c>
      <c r="AW1496" s="157"/>
      <c r="AX1496" s="150">
        <v>0</v>
      </c>
      <c r="AY1496" s="150">
        <v>0</v>
      </c>
      <c r="AZ1496" s="150">
        <f t="shared" si="1306"/>
        <v>0</v>
      </c>
      <c r="BA1496" s="348">
        <v>0</v>
      </c>
      <c r="BB1496" s="210"/>
      <c r="BC1496" s="210"/>
      <c r="BD1496" s="210"/>
      <c r="BE1496" s="210"/>
      <c r="BF1496" s="210"/>
      <c r="BG1496" s="210"/>
      <c r="BH1496" s="217"/>
      <c r="BI1496" s="210"/>
      <c r="BJ1496" s="210"/>
      <c r="BK1496" s="210"/>
      <c r="BL1496" s="210"/>
      <c r="BM1496" s="208"/>
      <c r="BN1496" s="160"/>
      <c r="BO1496" s="161"/>
      <c r="BP1496" s="161"/>
    </row>
    <row r="1497" spans="1:68" ht="63.75">
      <c r="A1497" s="210"/>
      <c r="B1497" s="195" t="s">
        <v>8661</v>
      </c>
      <c r="C1497" s="196" t="s">
        <v>8662</v>
      </c>
      <c r="D1497" s="146" t="s">
        <v>4692</v>
      </c>
      <c r="E1497" s="196" t="s">
        <v>8662</v>
      </c>
      <c r="F1497" s="150">
        <v>39573.839999999997</v>
      </c>
      <c r="G1497" s="209">
        <v>0</v>
      </c>
      <c r="H1497" s="209">
        <v>0</v>
      </c>
      <c r="I1497" s="209">
        <v>0</v>
      </c>
      <c r="J1497" s="150">
        <v>0</v>
      </c>
      <c r="K1497" s="150">
        <v>0</v>
      </c>
      <c r="L1497" s="150">
        <f t="shared" si="1324"/>
        <v>0</v>
      </c>
      <c r="M1497" s="150">
        <v>2960</v>
      </c>
      <c r="N1497" s="150">
        <v>0</v>
      </c>
      <c r="O1497" s="150">
        <v>2960</v>
      </c>
      <c r="P1497" s="150">
        <v>45117.4</v>
      </c>
      <c r="Q1497" s="150">
        <v>0</v>
      </c>
      <c r="R1497" s="313">
        <f t="shared" si="1312"/>
        <v>45117.4</v>
      </c>
      <c r="S1497" s="150">
        <f t="shared" si="1323"/>
        <v>60156.53333333334</v>
      </c>
      <c r="T1497" s="150">
        <v>7520</v>
      </c>
      <c r="U1497" s="309">
        <v>7519.9999999999982</v>
      </c>
      <c r="V1497" s="199">
        <v>0</v>
      </c>
      <c r="W1497" s="150">
        <f t="shared" si="1313"/>
        <v>7519.9999999999982</v>
      </c>
      <c r="X1497" s="150">
        <v>7519.9999999999982</v>
      </c>
      <c r="Y1497" s="150">
        <v>0</v>
      </c>
      <c r="Z1497" s="150">
        <v>7519.9999999999982</v>
      </c>
      <c r="AA1497" s="150">
        <f t="shared" si="1319"/>
        <v>0</v>
      </c>
      <c r="AB1497" s="150">
        <v>7519.9999999999982</v>
      </c>
      <c r="AC1497" s="199">
        <v>0</v>
      </c>
      <c r="AD1497" s="150">
        <f t="shared" si="1314"/>
        <v>7519.9999999999982</v>
      </c>
      <c r="AE1497" s="150">
        <v>7519.9999999999982</v>
      </c>
      <c r="AF1497" s="169" t="s">
        <v>4680</v>
      </c>
      <c r="AG1497" s="201">
        <v>7519.9999999999982</v>
      </c>
      <c r="AH1497" s="199">
        <v>0</v>
      </c>
      <c r="AI1497" s="150">
        <v>7519.9999999999982</v>
      </c>
      <c r="AJ1497" s="169">
        <f t="shared" si="1320"/>
        <v>0</v>
      </c>
      <c r="AK1497" s="201">
        <v>7519.9999999999982</v>
      </c>
      <c r="AL1497" s="199">
        <v>0</v>
      </c>
      <c r="AM1497" s="150">
        <f t="shared" si="1315"/>
        <v>7519.9999999999982</v>
      </c>
      <c r="AN1497" s="153">
        <f t="shared" si="1321"/>
        <v>0</v>
      </c>
      <c r="AO1497" s="154">
        <f t="shared" si="1322"/>
        <v>0</v>
      </c>
      <c r="AP1497" s="309">
        <v>7519.9999999999982</v>
      </c>
      <c r="AQ1497" s="201">
        <v>7520</v>
      </c>
      <c r="AR1497" s="199"/>
      <c r="AS1497" s="150">
        <f t="shared" si="1316"/>
        <v>7520</v>
      </c>
      <c r="AT1497" s="155"/>
      <c r="AU1497" s="156">
        <f t="shared" si="1317"/>
        <v>0</v>
      </c>
      <c r="AV1497" s="156">
        <f t="shared" si="1318"/>
        <v>0</v>
      </c>
      <c r="AW1497" s="157"/>
      <c r="AX1497" s="150">
        <v>7519.9999999999982</v>
      </c>
      <c r="AY1497" s="150">
        <v>3720</v>
      </c>
      <c r="AZ1497" s="150">
        <f t="shared" si="1306"/>
        <v>2200</v>
      </c>
      <c r="BA1497" s="348">
        <v>5920</v>
      </c>
      <c r="BB1497" s="210"/>
      <c r="BC1497" s="210"/>
      <c r="BD1497" s="210"/>
      <c r="BE1497" s="210"/>
      <c r="BF1497" s="210"/>
      <c r="BG1497" s="210"/>
      <c r="BH1497" s="217"/>
      <c r="BI1497" s="210"/>
      <c r="BJ1497" s="210"/>
      <c r="BK1497" s="210"/>
      <c r="BL1497" s="210"/>
      <c r="BM1497" s="208"/>
      <c r="BN1497" s="160"/>
      <c r="BO1497" s="161"/>
      <c r="BP1497" s="161"/>
    </row>
    <row r="1498" spans="1:68" ht="51">
      <c r="A1498" s="210"/>
      <c r="B1498" s="195" t="s">
        <v>8663</v>
      </c>
      <c r="C1498" s="196" t="s">
        <v>8664</v>
      </c>
      <c r="D1498" s="146" t="s">
        <v>4692</v>
      </c>
      <c r="E1498" s="196" t="s">
        <v>8664</v>
      </c>
      <c r="F1498" s="150">
        <v>0</v>
      </c>
      <c r="G1498" s="209">
        <v>829833.69</v>
      </c>
      <c r="H1498" s="209">
        <v>-829834</v>
      </c>
      <c r="I1498" s="209">
        <v>-0.31000000005587935</v>
      </c>
      <c r="J1498" s="150">
        <v>0</v>
      </c>
      <c r="K1498" s="150">
        <v>0</v>
      </c>
      <c r="L1498" s="150">
        <f t="shared" si="1324"/>
        <v>0</v>
      </c>
      <c r="M1498" s="150">
        <v>0</v>
      </c>
      <c r="N1498" s="150">
        <v>0</v>
      </c>
      <c r="O1498" s="150">
        <v>0</v>
      </c>
      <c r="P1498" s="150">
        <v>0</v>
      </c>
      <c r="Q1498" s="150">
        <v>0</v>
      </c>
      <c r="R1498" s="313">
        <f t="shared" si="1312"/>
        <v>0</v>
      </c>
      <c r="S1498" s="150">
        <f t="shared" si="1323"/>
        <v>0</v>
      </c>
      <c r="T1498" s="150">
        <v>0</v>
      </c>
      <c r="U1498" s="150">
        <v>0</v>
      </c>
      <c r="V1498" s="199">
        <v>0</v>
      </c>
      <c r="W1498" s="150">
        <f t="shared" si="1313"/>
        <v>0</v>
      </c>
      <c r="X1498" s="150">
        <v>0</v>
      </c>
      <c r="Y1498" s="150">
        <v>0</v>
      </c>
      <c r="Z1498" s="150">
        <v>0</v>
      </c>
      <c r="AA1498" s="150">
        <f t="shared" si="1319"/>
        <v>0</v>
      </c>
      <c r="AB1498" s="150">
        <v>0</v>
      </c>
      <c r="AC1498" s="199">
        <v>0</v>
      </c>
      <c r="AD1498" s="150">
        <f t="shared" si="1314"/>
        <v>0</v>
      </c>
      <c r="AE1498" s="150">
        <v>0</v>
      </c>
      <c r="AF1498" s="169" t="s">
        <v>4680</v>
      </c>
      <c r="AG1498" s="201">
        <v>0</v>
      </c>
      <c r="AH1498" s="199">
        <v>0</v>
      </c>
      <c r="AI1498" s="150">
        <v>0</v>
      </c>
      <c r="AJ1498" s="169">
        <f t="shared" si="1320"/>
        <v>0</v>
      </c>
      <c r="AK1498" s="201">
        <v>0</v>
      </c>
      <c r="AL1498" s="199">
        <v>0</v>
      </c>
      <c r="AM1498" s="150">
        <f t="shared" si="1315"/>
        <v>0</v>
      </c>
      <c r="AN1498" s="153">
        <f t="shared" si="1321"/>
        <v>0</v>
      </c>
      <c r="AO1498" s="154">
        <f t="shared" si="1322"/>
        <v>0</v>
      </c>
      <c r="AP1498" s="150">
        <v>0</v>
      </c>
      <c r="AQ1498" s="201">
        <v>0</v>
      </c>
      <c r="AR1498" s="199">
        <v>0</v>
      </c>
      <c r="AS1498" s="150">
        <f t="shared" si="1316"/>
        <v>0</v>
      </c>
      <c r="AT1498" s="155"/>
      <c r="AU1498" s="156">
        <f t="shared" si="1317"/>
        <v>0</v>
      </c>
      <c r="AV1498" s="156">
        <f t="shared" si="1318"/>
        <v>0</v>
      </c>
      <c r="AW1498" s="157"/>
      <c r="AX1498" s="150">
        <v>0</v>
      </c>
      <c r="AY1498" s="150">
        <v>0</v>
      </c>
      <c r="AZ1498" s="150">
        <f t="shared" si="1306"/>
        <v>0</v>
      </c>
      <c r="BA1498" s="348">
        <v>0</v>
      </c>
      <c r="BB1498" s="210"/>
      <c r="BC1498" s="210"/>
      <c r="BD1498" s="210"/>
      <c r="BE1498" s="210"/>
      <c r="BF1498" s="210"/>
      <c r="BG1498" s="210"/>
      <c r="BH1498" s="217"/>
      <c r="BI1498" s="210"/>
      <c r="BJ1498" s="210"/>
      <c r="BK1498" s="210"/>
      <c r="BL1498" s="210"/>
      <c r="BM1498" s="208"/>
      <c r="BN1498" s="160"/>
      <c r="BO1498" s="161">
        <f t="shared" ref="BO1498:BO1538" si="1325">BM1498-AS1498</f>
        <v>0</v>
      </c>
      <c r="BP1498" s="161"/>
    </row>
    <row r="1499" spans="1:68" ht="51">
      <c r="A1499" s="206" t="s">
        <v>578</v>
      </c>
      <c r="B1499" s="195" t="s">
        <v>8665</v>
      </c>
      <c r="C1499" s="196" t="s">
        <v>8666</v>
      </c>
      <c r="D1499" s="146" t="s">
        <v>4692</v>
      </c>
      <c r="E1499" s="196" t="s">
        <v>8666</v>
      </c>
      <c r="F1499" s="150">
        <v>-0.31</v>
      </c>
      <c r="G1499" s="209">
        <v>476232.62</v>
      </c>
      <c r="H1499" s="209">
        <v>-476233</v>
      </c>
      <c r="I1499" s="209">
        <v>-0.38000000000465661</v>
      </c>
      <c r="J1499" s="150">
        <v>89794.94</v>
      </c>
      <c r="K1499" s="150">
        <v>-89794.94</v>
      </c>
      <c r="L1499" s="150">
        <f t="shared" si="1324"/>
        <v>0</v>
      </c>
      <c r="M1499" s="150">
        <v>333753.96000000002</v>
      </c>
      <c r="N1499" s="150">
        <v>-333753.96000000002</v>
      </c>
      <c r="O1499" s="150">
        <v>0</v>
      </c>
      <c r="P1499" s="150">
        <v>573194.56000000006</v>
      </c>
      <c r="Q1499" s="150">
        <v>-573194.56000000006</v>
      </c>
      <c r="R1499" s="313">
        <f t="shared" si="1312"/>
        <v>0</v>
      </c>
      <c r="S1499" s="150">
        <f t="shared" si="1323"/>
        <v>0</v>
      </c>
      <c r="T1499" s="150">
        <v>0</v>
      </c>
      <c r="U1499" s="150">
        <v>821509.93</v>
      </c>
      <c r="V1499" s="199">
        <v>-821509.93</v>
      </c>
      <c r="W1499" s="150">
        <f t="shared" si="1313"/>
        <v>0</v>
      </c>
      <c r="X1499" s="150">
        <v>821509.93</v>
      </c>
      <c r="Y1499" s="150">
        <v>-821509.93</v>
      </c>
      <c r="Z1499" s="150">
        <v>0</v>
      </c>
      <c r="AA1499" s="150">
        <f t="shared" si="1319"/>
        <v>0</v>
      </c>
      <c r="AB1499" s="150">
        <v>821509.93</v>
      </c>
      <c r="AC1499" s="199">
        <v>-821509.93</v>
      </c>
      <c r="AD1499" s="150">
        <f t="shared" si="1314"/>
        <v>0</v>
      </c>
      <c r="AE1499" s="150">
        <v>0</v>
      </c>
      <c r="AF1499" s="169" t="s">
        <v>4680</v>
      </c>
      <c r="AG1499" s="201">
        <v>821509.93</v>
      </c>
      <c r="AH1499" s="199">
        <v>-821509.93</v>
      </c>
      <c r="AI1499" s="150">
        <v>0</v>
      </c>
      <c r="AJ1499" s="169">
        <f t="shared" si="1320"/>
        <v>0</v>
      </c>
      <c r="AK1499" s="201">
        <v>821509.93</v>
      </c>
      <c r="AL1499" s="199">
        <v>-821509.93</v>
      </c>
      <c r="AM1499" s="150">
        <f t="shared" si="1315"/>
        <v>0</v>
      </c>
      <c r="AN1499" s="153">
        <f t="shared" si="1321"/>
        <v>0</v>
      </c>
      <c r="AO1499" s="154">
        <f t="shared" si="1322"/>
        <v>0</v>
      </c>
      <c r="AP1499" s="150">
        <v>0</v>
      </c>
      <c r="AQ1499" s="201">
        <v>0</v>
      </c>
      <c r="AR1499" s="199"/>
      <c r="AS1499" s="150">
        <f t="shared" si="1316"/>
        <v>0</v>
      </c>
      <c r="AT1499" s="155"/>
      <c r="AU1499" s="156">
        <f t="shared" si="1317"/>
        <v>0</v>
      </c>
      <c r="AV1499" s="156">
        <f t="shared" si="1318"/>
        <v>0</v>
      </c>
      <c r="AW1499" s="157"/>
      <c r="AX1499" s="150">
        <v>0</v>
      </c>
      <c r="AY1499" s="150">
        <v>416307.92</v>
      </c>
      <c r="AZ1499" s="150">
        <f t="shared" si="1306"/>
        <v>-416307.92</v>
      </c>
      <c r="BA1499" s="348">
        <v>0</v>
      </c>
      <c r="BB1499" s="202">
        <v>5</v>
      </c>
      <c r="BC1499" s="202" t="s">
        <v>714</v>
      </c>
      <c r="BD1499" s="202" t="s">
        <v>647</v>
      </c>
      <c r="BE1499" s="202" t="s">
        <v>647</v>
      </c>
      <c r="BF1499" s="202">
        <v>10</v>
      </c>
      <c r="BG1499" s="231" t="s">
        <v>8667</v>
      </c>
      <c r="BH1499" s="216">
        <f>AS1499</f>
        <v>0</v>
      </c>
      <c r="BI1499" s="205"/>
      <c r="BJ1499" s="206" t="s">
        <v>8606</v>
      </c>
      <c r="BK1499" s="206" t="s">
        <v>578</v>
      </c>
      <c r="BL1499" s="207" t="s">
        <v>8607</v>
      </c>
      <c r="BM1499" s="208">
        <f>BH1499</f>
        <v>0</v>
      </c>
      <c r="BN1499" s="160"/>
      <c r="BO1499" s="161">
        <f t="shared" si="1325"/>
        <v>0</v>
      </c>
      <c r="BP1499" s="161"/>
    </row>
    <row r="1500" spans="1:68" ht="51">
      <c r="A1500" s="206" t="s">
        <v>578</v>
      </c>
      <c r="B1500" s="195" t="s">
        <v>8668</v>
      </c>
      <c r="C1500" s="196" t="s">
        <v>8669</v>
      </c>
      <c r="D1500" s="146" t="s">
        <v>4692</v>
      </c>
      <c r="E1500" s="196" t="s">
        <v>8669</v>
      </c>
      <c r="F1500" s="150">
        <v>-0.38</v>
      </c>
      <c r="G1500" s="209">
        <v>0</v>
      </c>
      <c r="H1500" s="209">
        <v>1304917.4703124999</v>
      </c>
      <c r="I1500" s="209">
        <v>1304917.4703124999</v>
      </c>
      <c r="J1500" s="150">
        <v>0</v>
      </c>
      <c r="K1500" s="150">
        <v>0</v>
      </c>
      <c r="L1500" s="150">
        <f t="shared" si="1324"/>
        <v>0</v>
      </c>
      <c r="M1500" s="150">
        <v>135450.34</v>
      </c>
      <c r="N1500" s="150">
        <v>-135450.34</v>
      </c>
      <c r="O1500" s="150">
        <v>0</v>
      </c>
      <c r="P1500" s="150">
        <v>205808.68</v>
      </c>
      <c r="Q1500" s="150">
        <v>-205808.68</v>
      </c>
      <c r="R1500" s="313">
        <f t="shared" si="1312"/>
        <v>0</v>
      </c>
      <c r="S1500" s="150">
        <f t="shared" si="1323"/>
        <v>0</v>
      </c>
      <c r="T1500" s="150">
        <v>0</v>
      </c>
      <c r="U1500" s="150">
        <v>271102.14</v>
      </c>
      <c r="V1500" s="199">
        <v>-271102.14</v>
      </c>
      <c r="W1500" s="150">
        <f t="shared" si="1313"/>
        <v>0</v>
      </c>
      <c r="X1500" s="150">
        <v>271102.14</v>
      </c>
      <c r="Y1500" s="150">
        <v>-271102.14</v>
      </c>
      <c r="Z1500" s="150">
        <v>0</v>
      </c>
      <c r="AA1500" s="150">
        <f t="shared" si="1319"/>
        <v>0</v>
      </c>
      <c r="AB1500" s="150">
        <v>271102.14</v>
      </c>
      <c r="AC1500" s="199">
        <v>-271102.14</v>
      </c>
      <c r="AD1500" s="150">
        <f t="shared" si="1314"/>
        <v>0</v>
      </c>
      <c r="AE1500" s="150">
        <v>0</v>
      </c>
      <c r="AF1500" s="169" t="s">
        <v>4680</v>
      </c>
      <c r="AG1500" s="201">
        <v>271102.14</v>
      </c>
      <c r="AH1500" s="199">
        <v>-271102.14</v>
      </c>
      <c r="AI1500" s="150">
        <v>0</v>
      </c>
      <c r="AJ1500" s="169">
        <f t="shared" si="1320"/>
        <v>0</v>
      </c>
      <c r="AK1500" s="201">
        <v>271102.14</v>
      </c>
      <c r="AL1500" s="199">
        <v>-271102.14</v>
      </c>
      <c r="AM1500" s="150">
        <f t="shared" si="1315"/>
        <v>0</v>
      </c>
      <c r="AN1500" s="153">
        <f t="shared" si="1321"/>
        <v>0</v>
      </c>
      <c r="AO1500" s="154">
        <f t="shared" si="1322"/>
        <v>0</v>
      </c>
      <c r="AP1500" s="150">
        <v>0</v>
      </c>
      <c r="AQ1500" s="201">
        <v>0</v>
      </c>
      <c r="AR1500" s="199"/>
      <c r="AS1500" s="150">
        <f t="shared" si="1316"/>
        <v>0</v>
      </c>
      <c r="AT1500" s="155"/>
      <c r="AU1500" s="156">
        <f t="shared" si="1317"/>
        <v>0</v>
      </c>
      <c r="AV1500" s="156">
        <f t="shared" si="1318"/>
        <v>0</v>
      </c>
      <c r="AW1500" s="157"/>
      <c r="AX1500" s="150">
        <v>0</v>
      </c>
      <c r="AY1500" s="150">
        <v>158314.31</v>
      </c>
      <c r="AZ1500" s="150">
        <f t="shared" si="1306"/>
        <v>-158314.31</v>
      </c>
      <c r="BA1500" s="348">
        <v>0</v>
      </c>
      <c r="BB1500" s="202">
        <v>5</v>
      </c>
      <c r="BC1500" s="202" t="s">
        <v>714</v>
      </c>
      <c r="BD1500" s="202" t="s">
        <v>647</v>
      </c>
      <c r="BE1500" s="202" t="s">
        <v>647</v>
      </c>
      <c r="BF1500" s="202">
        <v>11</v>
      </c>
      <c r="BG1500" s="231" t="s">
        <v>8670</v>
      </c>
      <c r="BH1500" s="216">
        <f>AS1500</f>
        <v>0</v>
      </c>
      <c r="BI1500" s="205"/>
      <c r="BJ1500" s="206" t="s">
        <v>8606</v>
      </c>
      <c r="BK1500" s="206" t="s">
        <v>578</v>
      </c>
      <c r="BL1500" s="207" t="s">
        <v>8607</v>
      </c>
      <c r="BM1500" s="208">
        <f>BH1500</f>
        <v>0</v>
      </c>
      <c r="BN1500" s="160"/>
      <c r="BO1500" s="161">
        <f t="shared" si="1325"/>
        <v>0</v>
      </c>
      <c r="BP1500" s="161"/>
    </row>
    <row r="1501" spans="1:68" ht="76.5">
      <c r="A1501" s="206"/>
      <c r="B1501" s="195" t="s">
        <v>8671</v>
      </c>
      <c r="C1501" s="196" t="s">
        <v>8672</v>
      </c>
      <c r="D1501" s="146" t="s">
        <v>4692</v>
      </c>
      <c r="E1501" s="196" t="s">
        <v>8673</v>
      </c>
      <c r="F1501" s="150">
        <v>1304918</v>
      </c>
      <c r="G1501" s="209">
        <v>0</v>
      </c>
      <c r="H1501" s="209">
        <v>1711704.5656249998</v>
      </c>
      <c r="I1501" s="209">
        <v>1711704.5656249998</v>
      </c>
      <c r="J1501" s="150">
        <v>0</v>
      </c>
      <c r="K1501" s="150">
        <v>258257.15</v>
      </c>
      <c r="L1501" s="150">
        <f t="shared" si="1324"/>
        <v>258257.15</v>
      </c>
      <c r="M1501" s="150">
        <v>0</v>
      </c>
      <c r="N1501" s="150">
        <v>573036.73791993735</v>
      </c>
      <c r="O1501" s="150">
        <v>573036.73791993735</v>
      </c>
      <c r="P1501" s="150">
        <v>0</v>
      </c>
      <c r="Q1501" s="150">
        <v>1011296.7305336451</v>
      </c>
      <c r="R1501" s="313">
        <f t="shared" si="1312"/>
        <v>1011296.7305336451</v>
      </c>
      <c r="S1501" s="150">
        <f t="shared" si="1323"/>
        <v>1348395.6407115269</v>
      </c>
      <c r="T1501" s="150">
        <v>888636.57</v>
      </c>
      <c r="U1501" s="150">
        <v>0</v>
      </c>
      <c r="V1501" s="199">
        <v>966058.67756651517</v>
      </c>
      <c r="W1501" s="150">
        <f t="shared" si="1313"/>
        <v>966058.67756651517</v>
      </c>
      <c r="X1501" s="150">
        <v>0</v>
      </c>
      <c r="Y1501" s="150">
        <v>966058.67756651517</v>
      </c>
      <c r="Z1501" s="150">
        <v>966058.67756651517</v>
      </c>
      <c r="AA1501" s="150">
        <f t="shared" si="1319"/>
        <v>-77422.1075665151</v>
      </c>
      <c r="AB1501" s="150">
        <v>0</v>
      </c>
      <c r="AC1501" s="199">
        <v>888636.57000000007</v>
      </c>
      <c r="AD1501" s="150">
        <f t="shared" si="1314"/>
        <v>888636.57000000007</v>
      </c>
      <c r="AE1501" s="150">
        <v>888636.57000000007</v>
      </c>
      <c r="AF1501" s="169" t="s">
        <v>4680</v>
      </c>
      <c r="AG1501" s="201">
        <v>0</v>
      </c>
      <c r="AH1501" s="199">
        <v>888636.57000000007</v>
      </c>
      <c r="AI1501" s="150">
        <v>888636.57000000007</v>
      </c>
      <c r="AJ1501" s="169">
        <f t="shared" si="1320"/>
        <v>0</v>
      </c>
      <c r="AK1501" s="201">
        <v>0</v>
      </c>
      <c r="AL1501" s="199">
        <v>888636.57000000007</v>
      </c>
      <c r="AM1501" s="150">
        <f t="shared" si="1315"/>
        <v>888636.57000000007</v>
      </c>
      <c r="AN1501" s="153">
        <f t="shared" si="1321"/>
        <v>0</v>
      </c>
      <c r="AO1501" s="154">
        <f t="shared" si="1322"/>
        <v>0</v>
      </c>
      <c r="AP1501" s="150">
        <v>888636.57000000007</v>
      </c>
      <c r="AQ1501" s="201">
        <v>888636.57</v>
      </c>
      <c r="AR1501" s="199"/>
      <c r="AS1501" s="150">
        <f t="shared" si="1316"/>
        <v>888636.57</v>
      </c>
      <c r="AT1501" s="155"/>
      <c r="AU1501" s="156">
        <f t="shared" si="1317"/>
        <v>0</v>
      </c>
      <c r="AV1501" s="156">
        <f t="shared" si="1318"/>
        <v>-77422.1075665151</v>
      </c>
      <c r="AW1501" s="157"/>
      <c r="AX1501" s="150">
        <v>966058.67756651517</v>
      </c>
      <c r="AY1501" s="150">
        <v>0</v>
      </c>
      <c r="AZ1501" s="150">
        <f t="shared" si="1306"/>
        <v>1146073.4758398747</v>
      </c>
      <c r="BA1501" s="348">
        <v>1146073.4758398747</v>
      </c>
      <c r="BB1501" s="202">
        <v>5</v>
      </c>
      <c r="BC1501" s="202" t="s">
        <v>714</v>
      </c>
      <c r="BD1501" s="202" t="s">
        <v>647</v>
      </c>
      <c r="BE1501" s="202" t="s">
        <v>647</v>
      </c>
      <c r="BF1501" s="202">
        <v>12</v>
      </c>
      <c r="BG1501" s="196" t="s">
        <v>8673</v>
      </c>
      <c r="BH1501" s="216">
        <f>AS1501</f>
        <v>888636.57</v>
      </c>
      <c r="BI1501" s="205"/>
      <c r="BJ1501" s="206"/>
      <c r="BK1501" s="206"/>
      <c r="BL1501" s="207"/>
      <c r="BM1501" s="208">
        <f>BH1501</f>
        <v>888636.57</v>
      </c>
      <c r="BN1501" s="160"/>
      <c r="BO1501" s="161">
        <f t="shared" si="1325"/>
        <v>0</v>
      </c>
      <c r="BP1501" s="161"/>
    </row>
    <row r="1502" spans="1:68" ht="63.75">
      <c r="A1502" s="206"/>
      <c r="B1502" s="195" t="s">
        <v>8674</v>
      </c>
      <c r="C1502" s="196" t="s">
        <v>8675</v>
      </c>
      <c r="D1502" s="146" t="s">
        <v>4692</v>
      </c>
      <c r="E1502" s="196" t="s">
        <v>8676</v>
      </c>
      <c r="F1502" s="150">
        <v>1711704</v>
      </c>
      <c r="G1502" s="209">
        <v>0</v>
      </c>
      <c r="H1502" s="209">
        <v>0</v>
      </c>
      <c r="I1502" s="209">
        <v>0</v>
      </c>
      <c r="J1502" s="150">
        <v>0</v>
      </c>
      <c r="K1502" s="150">
        <v>405868.09</v>
      </c>
      <c r="L1502" s="150">
        <f t="shared" si="1324"/>
        <v>405868.09</v>
      </c>
      <c r="M1502" s="150">
        <v>0</v>
      </c>
      <c r="N1502" s="150">
        <v>840814.82732780615</v>
      </c>
      <c r="O1502" s="150">
        <v>840814.82732780615</v>
      </c>
      <c r="P1502" s="150">
        <v>0</v>
      </c>
      <c r="Q1502" s="150">
        <v>1463312.9001549908</v>
      </c>
      <c r="R1502" s="313">
        <f t="shared" si="1312"/>
        <v>1463312.9001549908</v>
      </c>
      <c r="S1502" s="150">
        <f t="shared" si="1323"/>
        <v>1951083.8668733211</v>
      </c>
      <c r="T1502" s="150">
        <v>1218068.3999999999</v>
      </c>
      <c r="U1502" s="150">
        <v>0</v>
      </c>
      <c r="V1502" s="199">
        <v>1165869.6379493836</v>
      </c>
      <c r="W1502" s="150">
        <f t="shared" si="1313"/>
        <v>1165869.6379493836</v>
      </c>
      <c r="X1502" s="150">
        <v>0</v>
      </c>
      <c r="Y1502" s="150">
        <v>1165869.6379493836</v>
      </c>
      <c r="Z1502" s="150">
        <v>1165869.6379493836</v>
      </c>
      <c r="AA1502" s="150">
        <f t="shared" si="1319"/>
        <v>52198.762050616555</v>
      </c>
      <c r="AB1502" s="150">
        <v>0</v>
      </c>
      <c r="AC1502" s="199">
        <v>1218068.4000000001</v>
      </c>
      <c r="AD1502" s="150">
        <f t="shared" si="1314"/>
        <v>1218068.4000000001</v>
      </c>
      <c r="AE1502" s="150">
        <v>1218068.4000000001</v>
      </c>
      <c r="AF1502" s="169" t="s">
        <v>4680</v>
      </c>
      <c r="AG1502" s="201">
        <v>0</v>
      </c>
      <c r="AH1502" s="199">
        <v>1218068.4000000001</v>
      </c>
      <c r="AI1502" s="150">
        <v>1218068.4000000001</v>
      </c>
      <c r="AJ1502" s="169">
        <f t="shared" si="1320"/>
        <v>0</v>
      </c>
      <c r="AK1502" s="201">
        <v>0</v>
      </c>
      <c r="AL1502" s="199">
        <v>1218068.4000000001</v>
      </c>
      <c r="AM1502" s="150">
        <f t="shared" si="1315"/>
        <v>1218068.4000000001</v>
      </c>
      <c r="AN1502" s="153">
        <f t="shared" si="1321"/>
        <v>0</v>
      </c>
      <c r="AO1502" s="154">
        <f t="shared" si="1322"/>
        <v>0</v>
      </c>
      <c r="AP1502" s="150">
        <v>1218068.4000000001</v>
      </c>
      <c r="AQ1502" s="201">
        <v>1218068.3999999999</v>
      </c>
      <c r="AR1502" s="199"/>
      <c r="AS1502" s="150">
        <f t="shared" si="1316"/>
        <v>1218068.3999999999</v>
      </c>
      <c r="AT1502" s="155"/>
      <c r="AU1502" s="156">
        <f t="shared" si="1317"/>
        <v>0</v>
      </c>
      <c r="AV1502" s="156">
        <f t="shared" si="1318"/>
        <v>52198.762050616555</v>
      </c>
      <c r="AW1502" s="157"/>
      <c r="AX1502" s="150">
        <v>1165869.6379493836</v>
      </c>
      <c r="AY1502" s="150">
        <v>0</v>
      </c>
      <c r="AZ1502" s="150">
        <f t="shared" si="1306"/>
        <v>1681629.6546556123</v>
      </c>
      <c r="BA1502" s="348">
        <v>1681629.6546556123</v>
      </c>
      <c r="BB1502" s="202">
        <v>5</v>
      </c>
      <c r="BC1502" s="202" t="s">
        <v>714</v>
      </c>
      <c r="BD1502" s="202" t="s">
        <v>647</v>
      </c>
      <c r="BE1502" s="202" t="s">
        <v>647</v>
      </c>
      <c r="BF1502" s="202">
        <v>13</v>
      </c>
      <c r="BG1502" s="196" t="s">
        <v>8676</v>
      </c>
      <c r="BH1502" s="216">
        <f>AS1502</f>
        <v>1218068.3999999999</v>
      </c>
      <c r="BI1502" s="205"/>
      <c r="BJ1502" s="206"/>
      <c r="BK1502" s="206"/>
      <c r="BL1502" s="207"/>
      <c r="BM1502" s="208">
        <f>BH1502</f>
        <v>1218068.3999999999</v>
      </c>
      <c r="BN1502" s="160"/>
      <c r="BO1502" s="161">
        <f t="shared" si="1325"/>
        <v>0</v>
      </c>
      <c r="BP1502" s="161"/>
    </row>
    <row r="1503" spans="1:68" ht="38.25">
      <c r="A1503" s="256" t="s">
        <v>579</v>
      </c>
      <c r="B1503" s="184"/>
      <c r="C1503" s="185" t="s">
        <v>84</v>
      </c>
      <c r="D1503" s="146" t="s">
        <v>4692</v>
      </c>
      <c r="E1503" s="185" t="s">
        <v>84</v>
      </c>
      <c r="F1503" s="188">
        <v>0</v>
      </c>
      <c r="G1503" s="187">
        <v>0</v>
      </c>
      <c r="H1503" s="187"/>
      <c r="I1503" s="187">
        <v>0</v>
      </c>
      <c r="J1503" s="188">
        <f>SUM(J1504:J1531)</f>
        <v>0</v>
      </c>
      <c r="K1503" s="188">
        <f>SUM(K1504:K1531)</f>
        <v>0</v>
      </c>
      <c r="L1503" s="188">
        <f t="shared" si="1324"/>
        <v>0</v>
      </c>
      <c r="M1503" s="188">
        <v>0</v>
      </c>
      <c r="N1503" s="188">
        <v>0</v>
      </c>
      <c r="O1503" s="188">
        <v>0</v>
      </c>
      <c r="P1503" s="299">
        <f t="shared" ref="P1503:AD1503" si="1326">SUM(P1504:P1531)</f>
        <v>0</v>
      </c>
      <c r="Q1503" s="299">
        <f t="shared" si="1326"/>
        <v>0</v>
      </c>
      <c r="R1503" s="299">
        <f t="shared" si="1326"/>
        <v>0</v>
      </c>
      <c r="S1503" s="150">
        <f t="shared" si="1323"/>
        <v>0</v>
      </c>
      <c r="T1503" s="150"/>
      <c r="U1503" s="299">
        <f t="shared" ref="U1503:W1503" si="1327">SUM(U1504:U1531)</f>
        <v>0</v>
      </c>
      <c r="V1503" s="226">
        <f t="shared" si="1327"/>
        <v>0</v>
      </c>
      <c r="W1503" s="299">
        <f t="shared" si="1327"/>
        <v>0</v>
      </c>
      <c r="X1503" s="299">
        <v>0</v>
      </c>
      <c r="Y1503" s="299">
        <v>0</v>
      </c>
      <c r="Z1503" s="299">
        <v>0</v>
      </c>
      <c r="AA1503" s="299">
        <f t="shared" si="1319"/>
        <v>0</v>
      </c>
      <c r="AB1503" s="299">
        <v>0</v>
      </c>
      <c r="AC1503" s="226">
        <v>0</v>
      </c>
      <c r="AD1503" s="299">
        <f t="shared" si="1326"/>
        <v>0</v>
      </c>
      <c r="AE1503" s="299">
        <v>0</v>
      </c>
      <c r="AF1503" s="169" t="s">
        <v>4680</v>
      </c>
      <c r="AG1503" s="301">
        <v>0</v>
      </c>
      <c r="AH1503" s="226">
        <v>0</v>
      </c>
      <c r="AI1503" s="299">
        <v>0</v>
      </c>
      <c r="AJ1503" s="169">
        <f t="shared" si="1320"/>
        <v>0</v>
      </c>
      <c r="AK1503" s="301">
        <v>0</v>
      </c>
      <c r="AL1503" s="226">
        <v>0</v>
      </c>
      <c r="AM1503" s="299">
        <f t="shared" ref="AM1503" si="1328">SUM(AM1504:AM1531)</f>
        <v>0</v>
      </c>
      <c r="AN1503" s="153">
        <f t="shared" si="1321"/>
        <v>0</v>
      </c>
      <c r="AO1503" s="154">
        <f t="shared" si="1322"/>
        <v>0</v>
      </c>
      <c r="AP1503" s="299">
        <v>0</v>
      </c>
      <c r="AQ1503" s="301">
        <v>0</v>
      </c>
      <c r="AR1503" s="226">
        <f t="shared" ref="AR1503:AS1503" si="1329">SUM(AR1504:AR1531)</f>
        <v>0</v>
      </c>
      <c r="AS1503" s="299">
        <f t="shared" si="1329"/>
        <v>0</v>
      </c>
      <c r="AT1503" s="155"/>
      <c r="AU1503" s="156">
        <f t="shared" si="1317"/>
        <v>0</v>
      </c>
      <c r="AV1503" s="156">
        <f t="shared" si="1318"/>
        <v>0</v>
      </c>
      <c r="AW1503" s="157"/>
      <c r="AX1503" s="150">
        <v>0</v>
      </c>
      <c r="AY1503" s="299">
        <f t="shared" ref="AY1503:BA1503" si="1330">SUM(AY1504:AY1531)</f>
        <v>0</v>
      </c>
      <c r="AZ1503" s="299">
        <f t="shared" si="1330"/>
        <v>0</v>
      </c>
      <c r="BA1503" s="299">
        <f t="shared" si="1330"/>
        <v>0</v>
      </c>
      <c r="BB1503" s="192">
        <v>5</v>
      </c>
      <c r="BC1503" s="256" t="s">
        <v>714</v>
      </c>
      <c r="BD1503" s="256" t="s">
        <v>647</v>
      </c>
      <c r="BE1503" s="256" t="s">
        <v>671</v>
      </c>
      <c r="BF1503" s="256" t="s">
        <v>630</v>
      </c>
      <c r="BG1503" s="185" t="s">
        <v>84</v>
      </c>
      <c r="BH1503" s="302">
        <f>SUM(BH1504:BH1531)</f>
        <v>0</v>
      </c>
      <c r="BI1503" s="192"/>
      <c r="BJ1503" s="256" t="s">
        <v>8677</v>
      </c>
      <c r="BK1503" s="256" t="s">
        <v>579</v>
      </c>
      <c r="BL1503" s="238" t="s">
        <v>8678</v>
      </c>
      <c r="BM1503" s="338">
        <f>BM1504</f>
        <v>0</v>
      </c>
      <c r="BN1503" s="160"/>
      <c r="BO1503" s="161">
        <f t="shared" si="1325"/>
        <v>0</v>
      </c>
      <c r="BP1503" s="161"/>
    </row>
    <row r="1504" spans="1:68" ht="25.5">
      <c r="A1504" s="206" t="s">
        <v>579</v>
      </c>
      <c r="B1504" s="195" t="s">
        <v>8679</v>
      </c>
      <c r="C1504" s="196" t="s">
        <v>8680</v>
      </c>
      <c r="D1504" s="146" t="s">
        <v>4692</v>
      </c>
      <c r="E1504" s="196" t="s">
        <v>8680</v>
      </c>
      <c r="F1504" s="150">
        <v>0</v>
      </c>
      <c r="G1504" s="209">
        <v>0</v>
      </c>
      <c r="H1504" s="209"/>
      <c r="I1504" s="209">
        <v>0</v>
      </c>
      <c r="J1504" s="150">
        <v>0</v>
      </c>
      <c r="K1504" s="150">
        <v>0</v>
      </c>
      <c r="L1504" s="150">
        <f t="shared" si="1324"/>
        <v>0</v>
      </c>
      <c r="M1504" s="150">
        <v>0</v>
      </c>
      <c r="N1504" s="150">
        <v>0</v>
      </c>
      <c r="O1504" s="150">
        <v>0</v>
      </c>
      <c r="P1504" s="150">
        <v>0</v>
      </c>
      <c r="Q1504" s="150">
        <v>0</v>
      </c>
      <c r="R1504" s="313">
        <f t="shared" ref="R1504:R1531" si="1331">P1504+Q1504</f>
        <v>0</v>
      </c>
      <c r="S1504" s="150">
        <f t="shared" si="1323"/>
        <v>0</v>
      </c>
      <c r="T1504" s="150">
        <v>0</v>
      </c>
      <c r="U1504" s="150">
        <v>0</v>
      </c>
      <c r="V1504" s="199">
        <v>0</v>
      </c>
      <c r="W1504" s="150">
        <f t="shared" ref="W1504:W1531" si="1332">U1504+V1504</f>
        <v>0</v>
      </c>
      <c r="X1504" s="150">
        <v>0</v>
      </c>
      <c r="Y1504" s="150">
        <v>0</v>
      </c>
      <c r="Z1504" s="150">
        <v>0</v>
      </c>
      <c r="AA1504" s="150">
        <f t="shared" si="1319"/>
        <v>0</v>
      </c>
      <c r="AB1504" s="150">
        <v>0</v>
      </c>
      <c r="AC1504" s="199">
        <v>0</v>
      </c>
      <c r="AD1504" s="150">
        <f t="shared" ref="AD1504:AD1531" si="1333">AB1504+AC1504</f>
        <v>0</v>
      </c>
      <c r="AE1504" s="150">
        <v>0</v>
      </c>
      <c r="AF1504" s="169" t="s">
        <v>4680</v>
      </c>
      <c r="AG1504" s="201">
        <v>0</v>
      </c>
      <c r="AH1504" s="199">
        <v>0</v>
      </c>
      <c r="AI1504" s="150">
        <v>0</v>
      </c>
      <c r="AJ1504" s="169">
        <f t="shared" si="1320"/>
        <v>0</v>
      </c>
      <c r="AK1504" s="201">
        <v>0</v>
      </c>
      <c r="AL1504" s="199">
        <v>0</v>
      </c>
      <c r="AM1504" s="150">
        <f t="shared" ref="AM1504:AM1531" si="1334">AK1504+AL1504</f>
        <v>0</v>
      </c>
      <c r="AN1504" s="153">
        <f t="shared" si="1321"/>
        <v>0</v>
      </c>
      <c r="AO1504" s="154">
        <f t="shared" si="1322"/>
        <v>0</v>
      </c>
      <c r="AP1504" s="150">
        <v>0</v>
      </c>
      <c r="AQ1504" s="201">
        <v>0</v>
      </c>
      <c r="AR1504" s="199">
        <v>0</v>
      </c>
      <c r="AS1504" s="150">
        <f t="shared" ref="AS1504:AS1531" si="1335">AQ1504+AR1504</f>
        <v>0</v>
      </c>
      <c r="AT1504" s="155"/>
      <c r="AU1504" s="156">
        <f t="shared" si="1317"/>
        <v>0</v>
      </c>
      <c r="AV1504" s="156">
        <f t="shared" si="1318"/>
        <v>0</v>
      </c>
      <c r="AW1504" s="157"/>
      <c r="AX1504" s="150">
        <v>0</v>
      </c>
      <c r="AY1504" s="150">
        <v>0</v>
      </c>
      <c r="AZ1504" s="150"/>
      <c r="BA1504" s="150">
        <f t="shared" ref="BA1504:BA1531" si="1336">AY1504+AZ1504</f>
        <v>0</v>
      </c>
      <c r="BB1504" s="202">
        <v>5</v>
      </c>
      <c r="BC1504" s="202" t="s">
        <v>714</v>
      </c>
      <c r="BD1504" s="202" t="s">
        <v>647</v>
      </c>
      <c r="BE1504" s="202" t="s">
        <v>671</v>
      </c>
      <c r="BF1504" s="202" t="s">
        <v>632</v>
      </c>
      <c r="BG1504" s="231" t="s">
        <v>84</v>
      </c>
      <c r="BH1504" s="216">
        <f>SUM(AS1504:AS1531)</f>
        <v>0</v>
      </c>
      <c r="BI1504" s="205"/>
      <c r="BJ1504" s="206" t="s">
        <v>8677</v>
      </c>
      <c r="BK1504" s="206" t="s">
        <v>579</v>
      </c>
      <c r="BL1504" s="207" t="s">
        <v>8678</v>
      </c>
      <c r="BM1504" s="208">
        <f>BH1504</f>
        <v>0</v>
      </c>
      <c r="BN1504" s="160"/>
      <c r="BO1504" s="161">
        <f t="shared" si="1325"/>
        <v>0</v>
      </c>
      <c r="BP1504" s="161"/>
    </row>
    <row r="1505" spans="1:68" ht="63.75">
      <c r="A1505" s="210"/>
      <c r="B1505" s="195" t="s">
        <v>8681</v>
      </c>
      <c r="C1505" s="196" t="s">
        <v>8682</v>
      </c>
      <c r="D1505" s="146" t="s">
        <v>4692</v>
      </c>
      <c r="E1505" s="196" t="s">
        <v>8682</v>
      </c>
      <c r="F1505" s="150">
        <v>0</v>
      </c>
      <c r="G1505" s="209">
        <v>0</v>
      </c>
      <c r="H1505" s="209"/>
      <c r="I1505" s="209">
        <v>0</v>
      </c>
      <c r="J1505" s="150">
        <v>0</v>
      </c>
      <c r="K1505" s="150">
        <v>0</v>
      </c>
      <c r="L1505" s="150">
        <f t="shared" si="1324"/>
        <v>0</v>
      </c>
      <c r="M1505" s="150">
        <v>0</v>
      </c>
      <c r="N1505" s="150">
        <v>0</v>
      </c>
      <c r="O1505" s="150">
        <v>0</v>
      </c>
      <c r="P1505" s="150">
        <v>0</v>
      </c>
      <c r="Q1505" s="150">
        <v>0</v>
      </c>
      <c r="R1505" s="313">
        <f t="shared" si="1331"/>
        <v>0</v>
      </c>
      <c r="S1505" s="150">
        <f t="shared" si="1323"/>
        <v>0</v>
      </c>
      <c r="T1505" s="150">
        <v>0</v>
      </c>
      <c r="U1505" s="150">
        <v>0</v>
      </c>
      <c r="V1505" s="199">
        <v>0</v>
      </c>
      <c r="W1505" s="150">
        <f t="shared" si="1332"/>
        <v>0</v>
      </c>
      <c r="X1505" s="150">
        <v>0</v>
      </c>
      <c r="Y1505" s="150">
        <v>0</v>
      </c>
      <c r="Z1505" s="150">
        <v>0</v>
      </c>
      <c r="AA1505" s="150">
        <f t="shared" si="1319"/>
        <v>0</v>
      </c>
      <c r="AB1505" s="150">
        <v>0</v>
      </c>
      <c r="AC1505" s="199">
        <v>0</v>
      </c>
      <c r="AD1505" s="150">
        <f t="shared" si="1333"/>
        <v>0</v>
      </c>
      <c r="AE1505" s="150">
        <v>0</v>
      </c>
      <c r="AF1505" s="169" t="s">
        <v>4680</v>
      </c>
      <c r="AG1505" s="201">
        <v>0</v>
      </c>
      <c r="AH1505" s="199">
        <v>0</v>
      </c>
      <c r="AI1505" s="150">
        <v>0</v>
      </c>
      <c r="AJ1505" s="169">
        <f t="shared" si="1320"/>
        <v>0</v>
      </c>
      <c r="AK1505" s="201">
        <v>0</v>
      </c>
      <c r="AL1505" s="199">
        <v>0</v>
      </c>
      <c r="AM1505" s="150">
        <f t="shared" si="1334"/>
        <v>0</v>
      </c>
      <c r="AN1505" s="153">
        <f t="shared" si="1321"/>
        <v>0</v>
      </c>
      <c r="AO1505" s="154">
        <f t="shared" si="1322"/>
        <v>0</v>
      </c>
      <c r="AP1505" s="150">
        <v>0</v>
      </c>
      <c r="AQ1505" s="201">
        <v>0</v>
      </c>
      <c r="AR1505" s="199">
        <v>0</v>
      </c>
      <c r="AS1505" s="150">
        <f t="shared" si="1335"/>
        <v>0</v>
      </c>
      <c r="AT1505" s="155"/>
      <c r="AU1505" s="156">
        <f t="shared" si="1317"/>
        <v>0</v>
      </c>
      <c r="AV1505" s="156">
        <f t="shared" si="1318"/>
        <v>0</v>
      </c>
      <c r="AW1505" s="157"/>
      <c r="AX1505" s="150">
        <v>0</v>
      </c>
      <c r="AY1505" s="150">
        <v>0</v>
      </c>
      <c r="AZ1505" s="150"/>
      <c r="BA1505" s="150">
        <f t="shared" si="1336"/>
        <v>0</v>
      </c>
      <c r="BB1505" s="210"/>
      <c r="BC1505" s="210"/>
      <c r="BD1505" s="210"/>
      <c r="BE1505" s="210"/>
      <c r="BF1505" s="210"/>
      <c r="BG1505" s="210"/>
      <c r="BH1505" s="217"/>
      <c r="BI1505" s="210"/>
      <c r="BJ1505" s="210"/>
      <c r="BK1505" s="210"/>
      <c r="BL1505" s="210"/>
      <c r="BM1505" s="208"/>
      <c r="BN1505" s="160"/>
      <c r="BO1505" s="161">
        <f t="shared" si="1325"/>
        <v>0</v>
      </c>
      <c r="BP1505" s="161"/>
    </row>
    <row r="1506" spans="1:68" ht="63.75">
      <c r="A1506" s="210"/>
      <c r="B1506" s="195" t="s">
        <v>8683</v>
      </c>
      <c r="C1506" s="196" t="s">
        <v>8684</v>
      </c>
      <c r="D1506" s="146" t="s">
        <v>4692</v>
      </c>
      <c r="E1506" s="196" t="s">
        <v>8684</v>
      </c>
      <c r="F1506" s="150">
        <v>0</v>
      </c>
      <c r="G1506" s="209">
        <v>0</v>
      </c>
      <c r="H1506" s="209"/>
      <c r="I1506" s="209">
        <v>0</v>
      </c>
      <c r="J1506" s="150">
        <v>0</v>
      </c>
      <c r="K1506" s="150">
        <v>0</v>
      </c>
      <c r="L1506" s="150">
        <f t="shared" si="1324"/>
        <v>0</v>
      </c>
      <c r="M1506" s="150">
        <v>0</v>
      </c>
      <c r="N1506" s="150">
        <v>0</v>
      </c>
      <c r="O1506" s="150">
        <v>0</v>
      </c>
      <c r="P1506" s="150">
        <v>0</v>
      </c>
      <c r="Q1506" s="150">
        <v>0</v>
      </c>
      <c r="R1506" s="313">
        <f t="shared" si="1331"/>
        <v>0</v>
      </c>
      <c r="S1506" s="150">
        <f t="shared" si="1323"/>
        <v>0</v>
      </c>
      <c r="T1506" s="150">
        <v>0</v>
      </c>
      <c r="U1506" s="150">
        <v>0</v>
      </c>
      <c r="V1506" s="230"/>
      <c r="W1506" s="150">
        <f t="shared" si="1332"/>
        <v>0</v>
      </c>
      <c r="X1506" s="150">
        <v>0</v>
      </c>
      <c r="Y1506" s="150"/>
      <c r="Z1506" s="150">
        <v>0</v>
      </c>
      <c r="AA1506" s="150">
        <f t="shared" si="1319"/>
        <v>0</v>
      </c>
      <c r="AB1506" s="150">
        <v>0</v>
      </c>
      <c r="AC1506" s="230"/>
      <c r="AD1506" s="150">
        <f t="shared" si="1333"/>
        <v>0</v>
      </c>
      <c r="AE1506" s="150">
        <v>0</v>
      </c>
      <c r="AF1506" s="169" t="s">
        <v>4680</v>
      </c>
      <c r="AG1506" s="201">
        <v>0</v>
      </c>
      <c r="AH1506" s="230"/>
      <c r="AI1506" s="150">
        <v>0</v>
      </c>
      <c r="AJ1506" s="169">
        <f t="shared" si="1320"/>
        <v>0</v>
      </c>
      <c r="AK1506" s="201">
        <v>0</v>
      </c>
      <c r="AL1506" s="230"/>
      <c r="AM1506" s="150">
        <f t="shared" si="1334"/>
        <v>0</v>
      </c>
      <c r="AN1506" s="153">
        <f t="shared" si="1321"/>
        <v>0</v>
      </c>
      <c r="AO1506" s="154">
        <f t="shared" si="1322"/>
        <v>0</v>
      </c>
      <c r="AP1506" s="150">
        <v>0</v>
      </c>
      <c r="AQ1506" s="201">
        <v>0</v>
      </c>
      <c r="AR1506" s="199"/>
      <c r="AS1506" s="150">
        <f t="shared" si="1335"/>
        <v>0</v>
      </c>
      <c r="AT1506" s="155"/>
      <c r="AU1506" s="156">
        <f t="shared" si="1317"/>
        <v>0</v>
      </c>
      <c r="AV1506" s="156">
        <f t="shared" si="1318"/>
        <v>0</v>
      </c>
      <c r="AW1506" s="157"/>
      <c r="AX1506" s="150">
        <v>0</v>
      </c>
      <c r="AY1506" s="150">
        <v>0</v>
      </c>
      <c r="AZ1506" s="150"/>
      <c r="BA1506" s="150">
        <f t="shared" si="1336"/>
        <v>0</v>
      </c>
      <c r="BB1506" s="210"/>
      <c r="BC1506" s="210"/>
      <c r="BD1506" s="210"/>
      <c r="BE1506" s="210"/>
      <c r="BF1506" s="210"/>
      <c r="BG1506" s="210"/>
      <c r="BH1506" s="217"/>
      <c r="BI1506" s="210"/>
      <c r="BJ1506" s="210"/>
      <c r="BK1506" s="210"/>
      <c r="BL1506" s="210"/>
      <c r="BM1506" s="208"/>
      <c r="BN1506" s="160"/>
      <c r="BO1506" s="161">
        <f t="shared" si="1325"/>
        <v>0</v>
      </c>
      <c r="BP1506" s="161"/>
    </row>
    <row r="1507" spans="1:68" ht="63.75">
      <c r="A1507" s="210"/>
      <c r="B1507" s="195" t="s">
        <v>8685</v>
      </c>
      <c r="C1507" s="196" t="s">
        <v>8686</v>
      </c>
      <c r="D1507" s="146" t="s">
        <v>4692</v>
      </c>
      <c r="E1507" s="196" t="s">
        <v>8686</v>
      </c>
      <c r="F1507" s="150">
        <v>0</v>
      </c>
      <c r="G1507" s="209">
        <v>0</v>
      </c>
      <c r="H1507" s="209"/>
      <c r="I1507" s="209">
        <v>0</v>
      </c>
      <c r="J1507" s="150">
        <v>0</v>
      </c>
      <c r="K1507" s="150">
        <v>0</v>
      </c>
      <c r="L1507" s="150">
        <f t="shared" si="1324"/>
        <v>0</v>
      </c>
      <c r="M1507" s="150">
        <v>0</v>
      </c>
      <c r="N1507" s="150">
        <v>0</v>
      </c>
      <c r="O1507" s="150">
        <v>0</v>
      </c>
      <c r="P1507" s="150">
        <v>0</v>
      </c>
      <c r="Q1507" s="150">
        <v>0</v>
      </c>
      <c r="R1507" s="313">
        <f t="shared" si="1331"/>
        <v>0</v>
      </c>
      <c r="S1507" s="150">
        <f t="shared" si="1323"/>
        <v>0</v>
      </c>
      <c r="T1507" s="150">
        <v>0</v>
      </c>
      <c r="U1507" s="150">
        <v>0</v>
      </c>
      <c r="V1507" s="199">
        <v>0</v>
      </c>
      <c r="W1507" s="150">
        <f t="shared" si="1332"/>
        <v>0</v>
      </c>
      <c r="X1507" s="150">
        <v>0</v>
      </c>
      <c r="Y1507" s="150">
        <v>0</v>
      </c>
      <c r="Z1507" s="150">
        <v>0</v>
      </c>
      <c r="AA1507" s="150">
        <f t="shared" si="1319"/>
        <v>0</v>
      </c>
      <c r="AB1507" s="150">
        <v>0</v>
      </c>
      <c r="AC1507" s="199">
        <v>0</v>
      </c>
      <c r="AD1507" s="150">
        <f t="shared" si="1333"/>
        <v>0</v>
      </c>
      <c r="AE1507" s="150">
        <v>0</v>
      </c>
      <c r="AF1507" s="169" t="s">
        <v>4680</v>
      </c>
      <c r="AG1507" s="201">
        <v>0</v>
      </c>
      <c r="AH1507" s="199">
        <v>0</v>
      </c>
      <c r="AI1507" s="150">
        <v>0</v>
      </c>
      <c r="AJ1507" s="169">
        <f t="shared" si="1320"/>
        <v>0</v>
      </c>
      <c r="AK1507" s="201">
        <v>0</v>
      </c>
      <c r="AL1507" s="199">
        <v>0</v>
      </c>
      <c r="AM1507" s="150">
        <f t="shared" si="1334"/>
        <v>0</v>
      </c>
      <c r="AN1507" s="153">
        <f t="shared" si="1321"/>
        <v>0</v>
      </c>
      <c r="AO1507" s="154">
        <f t="shared" si="1322"/>
        <v>0</v>
      </c>
      <c r="AP1507" s="150">
        <v>0</v>
      </c>
      <c r="AQ1507" s="201">
        <v>0</v>
      </c>
      <c r="AR1507" s="199">
        <v>0</v>
      </c>
      <c r="AS1507" s="150">
        <f t="shared" si="1335"/>
        <v>0</v>
      </c>
      <c r="AT1507" s="155"/>
      <c r="AU1507" s="156">
        <f t="shared" si="1317"/>
        <v>0</v>
      </c>
      <c r="AV1507" s="156">
        <f t="shared" si="1318"/>
        <v>0</v>
      </c>
      <c r="AW1507" s="157"/>
      <c r="AX1507" s="150">
        <v>0</v>
      </c>
      <c r="AY1507" s="150">
        <v>0</v>
      </c>
      <c r="AZ1507" s="150"/>
      <c r="BA1507" s="150">
        <f t="shared" si="1336"/>
        <v>0</v>
      </c>
      <c r="BB1507" s="210"/>
      <c r="BC1507" s="210"/>
      <c r="BD1507" s="210"/>
      <c r="BE1507" s="210"/>
      <c r="BF1507" s="210"/>
      <c r="BG1507" s="210"/>
      <c r="BH1507" s="217"/>
      <c r="BI1507" s="210"/>
      <c r="BJ1507" s="210"/>
      <c r="BK1507" s="210"/>
      <c r="BL1507" s="210"/>
      <c r="BM1507" s="208"/>
      <c r="BN1507" s="160"/>
      <c r="BO1507" s="161">
        <f t="shared" si="1325"/>
        <v>0</v>
      </c>
      <c r="BP1507" s="161"/>
    </row>
    <row r="1508" spans="1:68" ht="25.5">
      <c r="A1508" s="210"/>
      <c r="B1508" s="195" t="s">
        <v>8687</v>
      </c>
      <c r="C1508" s="196" t="s">
        <v>8688</v>
      </c>
      <c r="D1508" s="146" t="s">
        <v>4692</v>
      </c>
      <c r="E1508" s="196" t="s">
        <v>8688</v>
      </c>
      <c r="F1508" s="150">
        <v>0</v>
      </c>
      <c r="G1508" s="209">
        <v>0</v>
      </c>
      <c r="H1508" s="209"/>
      <c r="I1508" s="209">
        <v>0</v>
      </c>
      <c r="J1508" s="150">
        <v>0</v>
      </c>
      <c r="K1508" s="150">
        <v>0</v>
      </c>
      <c r="L1508" s="150">
        <f t="shared" si="1324"/>
        <v>0</v>
      </c>
      <c r="M1508" s="150">
        <v>0</v>
      </c>
      <c r="N1508" s="150">
        <v>0</v>
      </c>
      <c r="O1508" s="150">
        <v>0</v>
      </c>
      <c r="P1508" s="150">
        <v>0</v>
      </c>
      <c r="Q1508" s="150">
        <v>0</v>
      </c>
      <c r="R1508" s="313">
        <f t="shared" si="1331"/>
        <v>0</v>
      </c>
      <c r="S1508" s="150">
        <f t="shared" si="1323"/>
        <v>0</v>
      </c>
      <c r="T1508" s="150">
        <v>0</v>
      </c>
      <c r="U1508" s="150">
        <v>0</v>
      </c>
      <c r="V1508" s="199">
        <v>0</v>
      </c>
      <c r="W1508" s="150">
        <f t="shared" si="1332"/>
        <v>0</v>
      </c>
      <c r="X1508" s="150">
        <v>0</v>
      </c>
      <c r="Y1508" s="150">
        <v>0</v>
      </c>
      <c r="Z1508" s="150">
        <v>0</v>
      </c>
      <c r="AA1508" s="150">
        <f t="shared" si="1319"/>
        <v>0</v>
      </c>
      <c r="AB1508" s="150">
        <v>0</v>
      </c>
      <c r="AC1508" s="199">
        <v>0</v>
      </c>
      <c r="AD1508" s="150">
        <f t="shared" si="1333"/>
        <v>0</v>
      </c>
      <c r="AE1508" s="150">
        <v>0</v>
      </c>
      <c r="AF1508" s="169" t="s">
        <v>4680</v>
      </c>
      <c r="AG1508" s="201">
        <v>0</v>
      </c>
      <c r="AH1508" s="199">
        <v>0</v>
      </c>
      <c r="AI1508" s="150">
        <v>0</v>
      </c>
      <c r="AJ1508" s="169">
        <f t="shared" si="1320"/>
        <v>0</v>
      </c>
      <c r="AK1508" s="201">
        <v>0</v>
      </c>
      <c r="AL1508" s="199">
        <v>0</v>
      </c>
      <c r="AM1508" s="150">
        <f t="shared" si="1334"/>
        <v>0</v>
      </c>
      <c r="AN1508" s="153">
        <f t="shared" si="1321"/>
        <v>0</v>
      </c>
      <c r="AO1508" s="154">
        <f t="shared" si="1322"/>
        <v>0</v>
      </c>
      <c r="AP1508" s="150">
        <v>0</v>
      </c>
      <c r="AQ1508" s="201">
        <v>0</v>
      </c>
      <c r="AR1508" s="199">
        <v>0</v>
      </c>
      <c r="AS1508" s="150">
        <f t="shared" si="1335"/>
        <v>0</v>
      </c>
      <c r="AT1508" s="155"/>
      <c r="AU1508" s="156">
        <f t="shared" si="1317"/>
        <v>0</v>
      </c>
      <c r="AV1508" s="156">
        <f t="shared" si="1318"/>
        <v>0</v>
      </c>
      <c r="AW1508" s="157"/>
      <c r="AX1508" s="150">
        <v>0</v>
      </c>
      <c r="AY1508" s="150">
        <v>0</v>
      </c>
      <c r="AZ1508" s="150"/>
      <c r="BA1508" s="150">
        <f t="shared" si="1336"/>
        <v>0</v>
      </c>
      <c r="BB1508" s="210"/>
      <c r="BC1508" s="210"/>
      <c r="BD1508" s="210"/>
      <c r="BE1508" s="210"/>
      <c r="BF1508" s="210"/>
      <c r="BG1508" s="210"/>
      <c r="BH1508" s="217"/>
      <c r="BI1508" s="210"/>
      <c r="BJ1508" s="210"/>
      <c r="BK1508" s="210"/>
      <c r="BL1508" s="210"/>
      <c r="BM1508" s="208"/>
      <c r="BN1508" s="160"/>
      <c r="BO1508" s="161">
        <f t="shared" si="1325"/>
        <v>0</v>
      </c>
      <c r="BP1508" s="161"/>
    </row>
    <row r="1509" spans="1:68" ht="25.5">
      <c r="A1509" s="210"/>
      <c r="B1509" s="195" t="s">
        <v>8689</v>
      </c>
      <c r="C1509" s="196" t="s">
        <v>8690</v>
      </c>
      <c r="D1509" s="146" t="s">
        <v>4692</v>
      </c>
      <c r="E1509" s="196" t="s">
        <v>8690</v>
      </c>
      <c r="F1509" s="150">
        <v>0</v>
      </c>
      <c r="G1509" s="209">
        <v>0</v>
      </c>
      <c r="H1509" s="209"/>
      <c r="I1509" s="209">
        <v>0</v>
      </c>
      <c r="J1509" s="150">
        <v>0</v>
      </c>
      <c r="K1509" s="150">
        <v>0</v>
      </c>
      <c r="L1509" s="150">
        <f t="shared" si="1324"/>
        <v>0</v>
      </c>
      <c r="M1509" s="150">
        <v>0</v>
      </c>
      <c r="N1509" s="150">
        <v>0</v>
      </c>
      <c r="O1509" s="150">
        <v>0</v>
      </c>
      <c r="P1509" s="150">
        <v>0</v>
      </c>
      <c r="Q1509" s="150">
        <v>0</v>
      </c>
      <c r="R1509" s="313">
        <f t="shared" si="1331"/>
        <v>0</v>
      </c>
      <c r="S1509" s="150">
        <f t="shared" si="1323"/>
        <v>0</v>
      </c>
      <c r="T1509" s="150">
        <v>0</v>
      </c>
      <c r="U1509" s="150">
        <v>0</v>
      </c>
      <c r="V1509" s="199">
        <v>0</v>
      </c>
      <c r="W1509" s="150">
        <f t="shared" si="1332"/>
        <v>0</v>
      </c>
      <c r="X1509" s="150">
        <v>0</v>
      </c>
      <c r="Y1509" s="150">
        <v>0</v>
      </c>
      <c r="Z1509" s="150">
        <v>0</v>
      </c>
      <c r="AA1509" s="150">
        <f t="shared" si="1319"/>
        <v>0</v>
      </c>
      <c r="AB1509" s="150">
        <v>0</v>
      </c>
      <c r="AC1509" s="199">
        <v>0</v>
      </c>
      <c r="AD1509" s="150">
        <f t="shared" si="1333"/>
        <v>0</v>
      </c>
      <c r="AE1509" s="150">
        <v>0</v>
      </c>
      <c r="AF1509" s="169" t="s">
        <v>4680</v>
      </c>
      <c r="AG1509" s="201">
        <v>0</v>
      </c>
      <c r="AH1509" s="199">
        <v>0</v>
      </c>
      <c r="AI1509" s="150">
        <v>0</v>
      </c>
      <c r="AJ1509" s="169">
        <f t="shared" si="1320"/>
        <v>0</v>
      </c>
      <c r="AK1509" s="201">
        <v>0</v>
      </c>
      <c r="AL1509" s="199">
        <v>0</v>
      </c>
      <c r="AM1509" s="150">
        <f t="shared" si="1334"/>
        <v>0</v>
      </c>
      <c r="AN1509" s="153">
        <f t="shared" si="1321"/>
        <v>0</v>
      </c>
      <c r="AO1509" s="154">
        <f t="shared" si="1322"/>
        <v>0</v>
      </c>
      <c r="AP1509" s="150">
        <v>0</v>
      </c>
      <c r="AQ1509" s="201">
        <v>0</v>
      </c>
      <c r="AR1509" s="199">
        <v>0</v>
      </c>
      <c r="AS1509" s="150">
        <f t="shared" si="1335"/>
        <v>0</v>
      </c>
      <c r="AT1509" s="155"/>
      <c r="AU1509" s="156">
        <f t="shared" si="1317"/>
        <v>0</v>
      </c>
      <c r="AV1509" s="156">
        <f t="shared" si="1318"/>
        <v>0</v>
      </c>
      <c r="AW1509" s="157"/>
      <c r="AX1509" s="150">
        <v>0</v>
      </c>
      <c r="AY1509" s="150">
        <v>0</v>
      </c>
      <c r="AZ1509" s="150"/>
      <c r="BA1509" s="150">
        <f t="shared" si="1336"/>
        <v>0</v>
      </c>
      <c r="BB1509" s="210"/>
      <c r="BC1509" s="210"/>
      <c r="BD1509" s="210"/>
      <c r="BE1509" s="210"/>
      <c r="BF1509" s="210"/>
      <c r="BG1509" s="210"/>
      <c r="BH1509" s="217"/>
      <c r="BI1509" s="210"/>
      <c r="BJ1509" s="210"/>
      <c r="BK1509" s="210"/>
      <c r="BL1509" s="210"/>
      <c r="BM1509" s="208"/>
      <c r="BN1509" s="160"/>
      <c r="BO1509" s="161">
        <f t="shared" si="1325"/>
        <v>0</v>
      </c>
      <c r="BP1509" s="161"/>
    </row>
    <row r="1510" spans="1:68" ht="25.5">
      <c r="A1510" s="210"/>
      <c r="B1510" s="195" t="s">
        <v>8691</v>
      </c>
      <c r="C1510" s="196" t="s">
        <v>8692</v>
      </c>
      <c r="D1510" s="146" t="s">
        <v>4692</v>
      </c>
      <c r="E1510" s="196" t="s">
        <v>8692</v>
      </c>
      <c r="F1510" s="150">
        <v>0</v>
      </c>
      <c r="G1510" s="209">
        <v>0</v>
      </c>
      <c r="H1510" s="209"/>
      <c r="I1510" s="209">
        <v>0</v>
      </c>
      <c r="J1510" s="150">
        <v>0</v>
      </c>
      <c r="K1510" s="150">
        <v>0</v>
      </c>
      <c r="L1510" s="150">
        <f t="shared" si="1324"/>
        <v>0</v>
      </c>
      <c r="M1510" s="150">
        <v>0</v>
      </c>
      <c r="N1510" s="150">
        <v>0</v>
      </c>
      <c r="O1510" s="150">
        <v>0</v>
      </c>
      <c r="P1510" s="150">
        <v>0</v>
      </c>
      <c r="Q1510" s="150">
        <v>0</v>
      </c>
      <c r="R1510" s="313">
        <f t="shared" si="1331"/>
        <v>0</v>
      </c>
      <c r="S1510" s="150">
        <f t="shared" si="1323"/>
        <v>0</v>
      </c>
      <c r="T1510" s="150">
        <v>0</v>
      </c>
      <c r="U1510" s="150">
        <v>0</v>
      </c>
      <c r="V1510" s="199">
        <v>0</v>
      </c>
      <c r="W1510" s="150">
        <f t="shared" si="1332"/>
        <v>0</v>
      </c>
      <c r="X1510" s="150">
        <v>0</v>
      </c>
      <c r="Y1510" s="150">
        <v>0</v>
      </c>
      <c r="Z1510" s="150">
        <v>0</v>
      </c>
      <c r="AA1510" s="150">
        <f t="shared" si="1319"/>
        <v>0</v>
      </c>
      <c r="AB1510" s="150">
        <v>0</v>
      </c>
      <c r="AC1510" s="199">
        <v>0</v>
      </c>
      <c r="AD1510" s="150">
        <f t="shared" si="1333"/>
        <v>0</v>
      </c>
      <c r="AE1510" s="150">
        <v>0</v>
      </c>
      <c r="AF1510" s="169" t="s">
        <v>4680</v>
      </c>
      <c r="AG1510" s="201">
        <v>0</v>
      </c>
      <c r="AH1510" s="199">
        <v>0</v>
      </c>
      <c r="AI1510" s="150">
        <v>0</v>
      </c>
      <c r="AJ1510" s="169">
        <f t="shared" si="1320"/>
        <v>0</v>
      </c>
      <c r="AK1510" s="201">
        <v>0</v>
      </c>
      <c r="AL1510" s="199">
        <v>0</v>
      </c>
      <c r="AM1510" s="150">
        <f t="shared" si="1334"/>
        <v>0</v>
      </c>
      <c r="AN1510" s="153">
        <f t="shared" si="1321"/>
        <v>0</v>
      </c>
      <c r="AO1510" s="154">
        <f t="shared" si="1322"/>
        <v>0</v>
      </c>
      <c r="AP1510" s="150">
        <v>0</v>
      </c>
      <c r="AQ1510" s="201">
        <v>0</v>
      </c>
      <c r="AR1510" s="199">
        <v>0</v>
      </c>
      <c r="AS1510" s="150">
        <f t="shared" si="1335"/>
        <v>0</v>
      </c>
      <c r="AT1510" s="155"/>
      <c r="AU1510" s="156">
        <f t="shared" si="1317"/>
        <v>0</v>
      </c>
      <c r="AV1510" s="156">
        <f t="shared" si="1318"/>
        <v>0</v>
      </c>
      <c r="AW1510" s="157"/>
      <c r="AX1510" s="150">
        <v>0</v>
      </c>
      <c r="AY1510" s="150">
        <v>0</v>
      </c>
      <c r="AZ1510" s="150"/>
      <c r="BA1510" s="150">
        <f t="shared" si="1336"/>
        <v>0</v>
      </c>
      <c r="BB1510" s="210"/>
      <c r="BC1510" s="210"/>
      <c r="BD1510" s="210"/>
      <c r="BE1510" s="210"/>
      <c r="BF1510" s="210"/>
      <c r="BG1510" s="210"/>
      <c r="BH1510" s="217"/>
      <c r="BI1510" s="210"/>
      <c r="BJ1510" s="210"/>
      <c r="BK1510" s="210"/>
      <c r="BL1510" s="210"/>
      <c r="BM1510" s="208"/>
      <c r="BN1510" s="160"/>
      <c r="BO1510" s="161">
        <f t="shared" si="1325"/>
        <v>0</v>
      </c>
      <c r="BP1510" s="161"/>
    </row>
    <row r="1511" spans="1:68" ht="25.5">
      <c r="A1511" s="210"/>
      <c r="B1511" s="195" t="s">
        <v>8693</v>
      </c>
      <c r="C1511" s="196" t="s">
        <v>8694</v>
      </c>
      <c r="D1511" s="146" t="s">
        <v>4692</v>
      </c>
      <c r="E1511" s="196" t="s">
        <v>8694</v>
      </c>
      <c r="F1511" s="150">
        <v>0</v>
      </c>
      <c r="G1511" s="209">
        <v>0</v>
      </c>
      <c r="H1511" s="209"/>
      <c r="I1511" s="209">
        <v>0</v>
      </c>
      <c r="J1511" s="150">
        <v>0</v>
      </c>
      <c r="K1511" s="150">
        <v>0</v>
      </c>
      <c r="L1511" s="150">
        <f t="shared" si="1324"/>
        <v>0</v>
      </c>
      <c r="M1511" s="150">
        <v>0</v>
      </c>
      <c r="N1511" s="150">
        <v>0</v>
      </c>
      <c r="O1511" s="150">
        <v>0</v>
      </c>
      <c r="P1511" s="150">
        <v>0</v>
      </c>
      <c r="Q1511" s="150">
        <v>0</v>
      </c>
      <c r="R1511" s="313">
        <f t="shared" si="1331"/>
        <v>0</v>
      </c>
      <c r="S1511" s="150">
        <f t="shared" si="1323"/>
        <v>0</v>
      </c>
      <c r="T1511" s="150">
        <v>0</v>
      </c>
      <c r="U1511" s="150">
        <v>0</v>
      </c>
      <c r="V1511" s="199">
        <v>0</v>
      </c>
      <c r="W1511" s="150">
        <f t="shared" si="1332"/>
        <v>0</v>
      </c>
      <c r="X1511" s="150">
        <v>0</v>
      </c>
      <c r="Y1511" s="150">
        <v>0</v>
      </c>
      <c r="Z1511" s="150">
        <v>0</v>
      </c>
      <c r="AA1511" s="150">
        <f t="shared" si="1319"/>
        <v>0</v>
      </c>
      <c r="AB1511" s="150">
        <v>0</v>
      </c>
      <c r="AC1511" s="199">
        <v>0</v>
      </c>
      <c r="AD1511" s="150">
        <f t="shared" si="1333"/>
        <v>0</v>
      </c>
      <c r="AE1511" s="150">
        <v>0</v>
      </c>
      <c r="AF1511" s="169" t="s">
        <v>4680</v>
      </c>
      <c r="AG1511" s="201">
        <v>0</v>
      </c>
      <c r="AH1511" s="199">
        <v>0</v>
      </c>
      <c r="AI1511" s="150">
        <v>0</v>
      </c>
      <c r="AJ1511" s="169">
        <f t="shared" si="1320"/>
        <v>0</v>
      </c>
      <c r="AK1511" s="201">
        <v>0</v>
      </c>
      <c r="AL1511" s="199">
        <v>0</v>
      </c>
      <c r="AM1511" s="150">
        <f t="shared" si="1334"/>
        <v>0</v>
      </c>
      <c r="AN1511" s="153">
        <f t="shared" si="1321"/>
        <v>0</v>
      </c>
      <c r="AO1511" s="154">
        <f t="shared" si="1322"/>
        <v>0</v>
      </c>
      <c r="AP1511" s="150">
        <v>0</v>
      </c>
      <c r="AQ1511" s="201">
        <v>0</v>
      </c>
      <c r="AR1511" s="199">
        <v>0</v>
      </c>
      <c r="AS1511" s="150">
        <f t="shared" si="1335"/>
        <v>0</v>
      </c>
      <c r="AT1511" s="155"/>
      <c r="AU1511" s="156">
        <f t="shared" si="1317"/>
        <v>0</v>
      </c>
      <c r="AV1511" s="156">
        <f t="shared" si="1318"/>
        <v>0</v>
      </c>
      <c r="AW1511" s="157"/>
      <c r="AX1511" s="150">
        <v>0</v>
      </c>
      <c r="AY1511" s="150">
        <v>0</v>
      </c>
      <c r="AZ1511" s="150"/>
      <c r="BA1511" s="150">
        <f t="shared" si="1336"/>
        <v>0</v>
      </c>
      <c r="BB1511" s="210"/>
      <c r="BC1511" s="210"/>
      <c r="BD1511" s="210"/>
      <c r="BE1511" s="210"/>
      <c r="BF1511" s="210"/>
      <c r="BG1511" s="210"/>
      <c r="BH1511" s="217"/>
      <c r="BI1511" s="210"/>
      <c r="BJ1511" s="210"/>
      <c r="BK1511" s="210"/>
      <c r="BL1511" s="210"/>
      <c r="BM1511" s="208"/>
      <c r="BN1511" s="160"/>
      <c r="BO1511" s="161">
        <f t="shared" si="1325"/>
        <v>0</v>
      </c>
      <c r="BP1511" s="161"/>
    </row>
    <row r="1512" spans="1:68" ht="25.5">
      <c r="A1512" s="210"/>
      <c r="B1512" s="195" t="s">
        <v>8695</v>
      </c>
      <c r="C1512" s="196" t="s">
        <v>8696</v>
      </c>
      <c r="D1512" s="146" t="s">
        <v>4692</v>
      </c>
      <c r="E1512" s="196" t="s">
        <v>8696</v>
      </c>
      <c r="F1512" s="150">
        <v>0</v>
      </c>
      <c r="G1512" s="209">
        <v>0</v>
      </c>
      <c r="H1512" s="209"/>
      <c r="I1512" s="209">
        <v>0</v>
      </c>
      <c r="J1512" s="150">
        <v>0</v>
      </c>
      <c r="K1512" s="150">
        <v>0</v>
      </c>
      <c r="L1512" s="150">
        <f t="shared" si="1324"/>
        <v>0</v>
      </c>
      <c r="M1512" s="150">
        <v>0</v>
      </c>
      <c r="N1512" s="150">
        <v>0</v>
      </c>
      <c r="O1512" s="150">
        <v>0</v>
      </c>
      <c r="P1512" s="150">
        <v>0</v>
      </c>
      <c r="Q1512" s="150">
        <v>0</v>
      </c>
      <c r="R1512" s="313">
        <f t="shared" si="1331"/>
        <v>0</v>
      </c>
      <c r="S1512" s="150">
        <f t="shared" si="1323"/>
        <v>0</v>
      </c>
      <c r="T1512" s="150">
        <v>0</v>
      </c>
      <c r="U1512" s="150">
        <v>0</v>
      </c>
      <c r="V1512" s="199">
        <v>0</v>
      </c>
      <c r="W1512" s="150">
        <f t="shared" si="1332"/>
        <v>0</v>
      </c>
      <c r="X1512" s="150">
        <v>0</v>
      </c>
      <c r="Y1512" s="150">
        <v>0</v>
      </c>
      <c r="Z1512" s="150">
        <v>0</v>
      </c>
      <c r="AA1512" s="150">
        <f t="shared" si="1319"/>
        <v>0</v>
      </c>
      <c r="AB1512" s="150">
        <v>0</v>
      </c>
      <c r="AC1512" s="199">
        <v>0</v>
      </c>
      <c r="AD1512" s="150">
        <f t="shared" si="1333"/>
        <v>0</v>
      </c>
      <c r="AE1512" s="150">
        <v>0</v>
      </c>
      <c r="AF1512" s="169" t="s">
        <v>4680</v>
      </c>
      <c r="AG1512" s="201">
        <v>0</v>
      </c>
      <c r="AH1512" s="199">
        <v>0</v>
      </c>
      <c r="AI1512" s="150">
        <v>0</v>
      </c>
      <c r="AJ1512" s="169">
        <f t="shared" si="1320"/>
        <v>0</v>
      </c>
      <c r="AK1512" s="201">
        <v>0</v>
      </c>
      <c r="AL1512" s="199">
        <v>0</v>
      </c>
      <c r="AM1512" s="150">
        <f t="shared" si="1334"/>
        <v>0</v>
      </c>
      <c r="AN1512" s="153">
        <f t="shared" si="1321"/>
        <v>0</v>
      </c>
      <c r="AO1512" s="154">
        <f t="shared" si="1322"/>
        <v>0</v>
      </c>
      <c r="AP1512" s="150">
        <v>0</v>
      </c>
      <c r="AQ1512" s="201">
        <v>0</v>
      </c>
      <c r="AR1512" s="199">
        <v>0</v>
      </c>
      <c r="AS1512" s="150">
        <f t="shared" si="1335"/>
        <v>0</v>
      </c>
      <c r="AT1512" s="155"/>
      <c r="AU1512" s="156">
        <f t="shared" si="1317"/>
        <v>0</v>
      </c>
      <c r="AV1512" s="156">
        <f t="shared" si="1318"/>
        <v>0</v>
      </c>
      <c r="AW1512" s="157"/>
      <c r="AX1512" s="150">
        <v>0</v>
      </c>
      <c r="AY1512" s="150">
        <v>0</v>
      </c>
      <c r="AZ1512" s="150"/>
      <c r="BA1512" s="150">
        <f t="shared" si="1336"/>
        <v>0</v>
      </c>
      <c r="BB1512" s="210"/>
      <c r="BC1512" s="210"/>
      <c r="BD1512" s="210"/>
      <c r="BE1512" s="210"/>
      <c r="BF1512" s="210"/>
      <c r="BG1512" s="210"/>
      <c r="BH1512" s="217"/>
      <c r="BI1512" s="210"/>
      <c r="BJ1512" s="210"/>
      <c r="BK1512" s="210"/>
      <c r="BL1512" s="210"/>
      <c r="BM1512" s="208"/>
      <c r="BN1512" s="160"/>
      <c r="BO1512" s="161">
        <f t="shared" si="1325"/>
        <v>0</v>
      </c>
      <c r="BP1512" s="161"/>
    </row>
    <row r="1513" spans="1:68" ht="25.5">
      <c r="A1513" s="210"/>
      <c r="B1513" s="195" t="s">
        <v>8697</v>
      </c>
      <c r="C1513" s="196" t="s">
        <v>8698</v>
      </c>
      <c r="D1513" s="146" t="s">
        <v>4692</v>
      </c>
      <c r="E1513" s="196" t="s">
        <v>8698</v>
      </c>
      <c r="F1513" s="150">
        <v>0</v>
      </c>
      <c r="G1513" s="209">
        <v>0</v>
      </c>
      <c r="H1513" s="209"/>
      <c r="I1513" s="209">
        <v>0</v>
      </c>
      <c r="J1513" s="150">
        <v>0</v>
      </c>
      <c r="K1513" s="150">
        <v>0</v>
      </c>
      <c r="L1513" s="150">
        <f t="shared" si="1324"/>
        <v>0</v>
      </c>
      <c r="M1513" s="150">
        <v>0</v>
      </c>
      <c r="N1513" s="150">
        <v>0</v>
      </c>
      <c r="O1513" s="150">
        <v>0</v>
      </c>
      <c r="P1513" s="150">
        <v>0</v>
      </c>
      <c r="Q1513" s="150">
        <v>0</v>
      </c>
      <c r="R1513" s="313">
        <f t="shared" si="1331"/>
        <v>0</v>
      </c>
      <c r="S1513" s="150">
        <f t="shared" si="1323"/>
        <v>0</v>
      </c>
      <c r="T1513" s="150">
        <v>0</v>
      </c>
      <c r="U1513" s="150">
        <v>0</v>
      </c>
      <c r="V1513" s="199">
        <v>0</v>
      </c>
      <c r="W1513" s="150">
        <f t="shared" si="1332"/>
        <v>0</v>
      </c>
      <c r="X1513" s="150">
        <v>0</v>
      </c>
      <c r="Y1513" s="150">
        <v>0</v>
      </c>
      <c r="Z1513" s="150">
        <v>0</v>
      </c>
      <c r="AA1513" s="150">
        <f t="shared" si="1319"/>
        <v>0</v>
      </c>
      <c r="AB1513" s="150">
        <v>0</v>
      </c>
      <c r="AC1513" s="199">
        <v>0</v>
      </c>
      <c r="AD1513" s="150">
        <f t="shared" si="1333"/>
        <v>0</v>
      </c>
      <c r="AE1513" s="150">
        <v>0</v>
      </c>
      <c r="AF1513" s="169" t="s">
        <v>4680</v>
      </c>
      <c r="AG1513" s="201">
        <v>0</v>
      </c>
      <c r="AH1513" s="199">
        <v>0</v>
      </c>
      <c r="AI1513" s="150">
        <v>0</v>
      </c>
      <c r="AJ1513" s="169">
        <f t="shared" si="1320"/>
        <v>0</v>
      </c>
      <c r="AK1513" s="201">
        <v>0</v>
      </c>
      <c r="AL1513" s="199">
        <v>0</v>
      </c>
      <c r="AM1513" s="150">
        <f t="shared" si="1334"/>
        <v>0</v>
      </c>
      <c r="AN1513" s="153">
        <f t="shared" si="1321"/>
        <v>0</v>
      </c>
      <c r="AO1513" s="154">
        <f t="shared" si="1322"/>
        <v>0</v>
      </c>
      <c r="AP1513" s="150">
        <v>0</v>
      </c>
      <c r="AQ1513" s="201">
        <v>0</v>
      </c>
      <c r="AR1513" s="199">
        <v>0</v>
      </c>
      <c r="AS1513" s="150">
        <f t="shared" si="1335"/>
        <v>0</v>
      </c>
      <c r="AT1513" s="155"/>
      <c r="AU1513" s="156">
        <f t="shared" si="1317"/>
        <v>0</v>
      </c>
      <c r="AV1513" s="156">
        <f t="shared" si="1318"/>
        <v>0</v>
      </c>
      <c r="AW1513" s="157"/>
      <c r="AX1513" s="150">
        <v>0</v>
      </c>
      <c r="AY1513" s="150">
        <v>0</v>
      </c>
      <c r="AZ1513" s="150"/>
      <c r="BA1513" s="150">
        <f t="shared" si="1336"/>
        <v>0</v>
      </c>
      <c r="BB1513" s="210"/>
      <c r="BC1513" s="210"/>
      <c r="BD1513" s="210"/>
      <c r="BE1513" s="210"/>
      <c r="BF1513" s="210"/>
      <c r="BG1513" s="210"/>
      <c r="BH1513" s="217"/>
      <c r="BI1513" s="210"/>
      <c r="BJ1513" s="210"/>
      <c r="BK1513" s="210"/>
      <c r="BL1513" s="210"/>
      <c r="BM1513" s="208"/>
      <c r="BN1513" s="160"/>
      <c r="BO1513" s="161">
        <f t="shared" si="1325"/>
        <v>0</v>
      </c>
      <c r="BP1513" s="161"/>
    </row>
    <row r="1514" spans="1:68" ht="38.25">
      <c r="A1514" s="210"/>
      <c r="B1514" s="195" t="s">
        <v>8699</v>
      </c>
      <c r="C1514" s="196" t="s">
        <v>8700</v>
      </c>
      <c r="D1514" s="146" t="s">
        <v>4692</v>
      </c>
      <c r="E1514" s="196" t="s">
        <v>8700</v>
      </c>
      <c r="F1514" s="150">
        <v>0</v>
      </c>
      <c r="G1514" s="209">
        <v>0</v>
      </c>
      <c r="H1514" s="209"/>
      <c r="I1514" s="209">
        <v>0</v>
      </c>
      <c r="J1514" s="150">
        <v>0</v>
      </c>
      <c r="K1514" s="150">
        <v>0</v>
      </c>
      <c r="L1514" s="150">
        <f t="shared" si="1324"/>
        <v>0</v>
      </c>
      <c r="M1514" s="150">
        <v>0</v>
      </c>
      <c r="N1514" s="150">
        <v>0</v>
      </c>
      <c r="O1514" s="150">
        <v>0</v>
      </c>
      <c r="P1514" s="150">
        <v>0</v>
      </c>
      <c r="Q1514" s="150">
        <v>0</v>
      </c>
      <c r="R1514" s="313">
        <f t="shared" si="1331"/>
        <v>0</v>
      </c>
      <c r="S1514" s="150">
        <f t="shared" si="1323"/>
        <v>0</v>
      </c>
      <c r="T1514" s="150">
        <v>0</v>
      </c>
      <c r="U1514" s="150">
        <v>0</v>
      </c>
      <c r="V1514" s="199">
        <v>0</v>
      </c>
      <c r="W1514" s="150">
        <f t="shared" si="1332"/>
        <v>0</v>
      </c>
      <c r="X1514" s="150">
        <v>0</v>
      </c>
      <c r="Y1514" s="150">
        <v>0</v>
      </c>
      <c r="Z1514" s="150">
        <v>0</v>
      </c>
      <c r="AA1514" s="150">
        <f t="shared" si="1319"/>
        <v>0</v>
      </c>
      <c r="AB1514" s="150">
        <v>0</v>
      </c>
      <c r="AC1514" s="199">
        <v>0</v>
      </c>
      <c r="AD1514" s="150">
        <f t="shared" si="1333"/>
        <v>0</v>
      </c>
      <c r="AE1514" s="150">
        <v>0</v>
      </c>
      <c r="AF1514" s="169" t="s">
        <v>4680</v>
      </c>
      <c r="AG1514" s="201">
        <v>0</v>
      </c>
      <c r="AH1514" s="199">
        <v>0</v>
      </c>
      <c r="AI1514" s="150">
        <v>0</v>
      </c>
      <c r="AJ1514" s="169">
        <f t="shared" si="1320"/>
        <v>0</v>
      </c>
      <c r="AK1514" s="201">
        <v>0</v>
      </c>
      <c r="AL1514" s="199">
        <v>0</v>
      </c>
      <c r="AM1514" s="150">
        <f t="shared" si="1334"/>
        <v>0</v>
      </c>
      <c r="AN1514" s="153">
        <f t="shared" si="1321"/>
        <v>0</v>
      </c>
      <c r="AO1514" s="154">
        <f t="shared" si="1322"/>
        <v>0</v>
      </c>
      <c r="AP1514" s="150">
        <v>0</v>
      </c>
      <c r="AQ1514" s="201">
        <v>0</v>
      </c>
      <c r="AR1514" s="199">
        <v>0</v>
      </c>
      <c r="AS1514" s="150">
        <f t="shared" si="1335"/>
        <v>0</v>
      </c>
      <c r="AT1514" s="155"/>
      <c r="AU1514" s="156">
        <f t="shared" si="1317"/>
        <v>0</v>
      </c>
      <c r="AV1514" s="156">
        <f t="shared" si="1318"/>
        <v>0</v>
      </c>
      <c r="AW1514" s="157"/>
      <c r="AX1514" s="150">
        <v>0</v>
      </c>
      <c r="AY1514" s="150">
        <v>0</v>
      </c>
      <c r="AZ1514" s="150"/>
      <c r="BA1514" s="150">
        <f t="shared" si="1336"/>
        <v>0</v>
      </c>
      <c r="BB1514" s="210"/>
      <c r="BC1514" s="210"/>
      <c r="BD1514" s="210"/>
      <c r="BE1514" s="210"/>
      <c r="BF1514" s="210"/>
      <c r="BG1514" s="210"/>
      <c r="BH1514" s="217"/>
      <c r="BI1514" s="210"/>
      <c r="BJ1514" s="210"/>
      <c r="BK1514" s="210"/>
      <c r="BL1514" s="210"/>
      <c r="BM1514" s="208"/>
      <c r="BN1514" s="160"/>
      <c r="BO1514" s="161">
        <f t="shared" si="1325"/>
        <v>0</v>
      </c>
      <c r="BP1514" s="161"/>
    </row>
    <row r="1515" spans="1:68" ht="38.25">
      <c r="A1515" s="210"/>
      <c r="B1515" s="195" t="s">
        <v>8701</v>
      </c>
      <c r="C1515" s="196" t="s">
        <v>8702</v>
      </c>
      <c r="D1515" s="146" t="s">
        <v>4692</v>
      </c>
      <c r="E1515" s="196" t="s">
        <v>8702</v>
      </c>
      <c r="F1515" s="150">
        <v>0</v>
      </c>
      <c r="G1515" s="209">
        <v>0</v>
      </c>
      <c r="H1515" s="209"/>
      <c r="I1515" s="209">
        <v>0</v>
      </c>
      <c r="J1515" s="150">
        <v>0</v>
      </c>
      <c r="K1515" s="150">
        <v>0</v>
      </c>
      <c r="L1515" s="150">
        <f t="shared" si="1324"/>
        <v>0</v>
      </c>
      <c r="M1515" s="150">
        <v>0</v>
      </c>
      <c r="N1515" s="150">
        <v>0</v>
      </c>
      <c r="O1515" s="150">
        <v>0</v>
      </c>
      <c r="P1515" s="150">
        <v>0</v>
      </c>
      <c r="Q1515" s="150">
        <v>0</v>
      </c>
      <c r="R1515" s="313">
        <f t="shared" si="1331"/>
        <v>0</v>
      </c>
      <c r="S1515" s="150">
        <f t="shared" si="1323"/>
        <v>0</v>
      </c>
      <c r="T1515" s="150">
        <v>0</v>
      </c>
      <c r="U1515" s="150">
        <v>0</v>
      </c>
      <c r="V1515" s="199">
        <v>0</v>
      </c>
      <c r="W1515" s="150">
        <f t="shared" si="1332"/>
        <v>0</v>
      </c>
      <c r="X1515" s="150">
        <v>0</v>
      </c>
      <c r="Y1515" s="150">
        <v>0</v>
      </c>
      <c r="Z1515" s="150">
        <v>0</v>
      </c>
      <c r="AA1515" s="150">
        <f t="shared" si="1319"/>
        <v>0</v>
      </c>
      <c r="AB1515" s="150">
        <v>0</v>
      </c>
      <c r="AC1515" s="199">
        <v>0</v>
      </c>
      <c r="AD1515" s="150">
        <f t="shared" si="1333"/>
        <v>0</v>
      </c>
      <c r="AE1515" s="150">
        <v>0</v>
      </c>
      <c r="AF1515" s="169" t="s">
        <v>4680</v>
      </c>
      <c r="AG1515" s="201">
        <v>0</v>
      </c>
      <c r="AH1515" s="199">
        <v>0</v>
      </c>
      <c r="AI1515" s="150">
        <v>0</v>
      </c>
      <c r="AJ1515" s="169">
        <f t="shared" si="1320"/>
        <v>0</v>
      </c>
      <c r="AK1515" s="201">
        <v>0</v>
      </c>
      <c r="AL1515" s="199">
        <v>0</v>
      </c>
      <c r="AM1515" s="150">
        <f t="shared" si="1334"/>
        <v>0</v>
      </c>
      <c r="AN1515" s="153">
        <f t="shared" si="1321"/>
        <v>0</v>
      </c>
      <c r="AO1515" s="154">
        <f t="shared" si="1322"/>
        <v>0</v>
      </c>
      <c r="AP1515" s="150">
        <v>0</v>
      </c>
      <c r="AQ1515" s="201">
        <v>0</v>
      </c>
      <c r="AR1515" s="199">
        <v>0</v>
      </c>
      <c r="AS1515" s="150">
        <f t="shared" si="1335"/>
        <v>0</v>
      </c>
      <c r="AT1515" s="155"/>
      <c r="AU1515" s="156">
        <f t="shared" si="1317"/>
        <v>0</v>
      </c>
      <c r="AV1515" s="156">
        <f t="shared" si="1318"/>
        <v>0</v>
      </c>
      <c r="AW1515" s="157"/>
      <c r="AX1515" s="150">
        <v>0</v>
      </c>
      <c r="AY1515" s="150">
        <v>0</v>
      </c>
      <c r="AZ1515" s="150"/>
      <c r="BA1515" s="150">
        <f t="shared" si="1336"/>
        <v>0</v>
      </c>
      <c r="BB1515" s="210"/>
      <c r="BC1515" s="210"/>
      <c r="BD1515" s="210"/>
      <c r="BE1515" s="210"/>
      <c r="BF1515" s="210"/>
      <c r="BG1515" s="210"/>
      <c r="BH1515" s="217"/>
      <c r="BI1515" s="210"/>
      <c r="BJ1515" s="210"/>
      <c r="BK1515" s="210"/>
      <c r="BL1515" s="210"/>
      <c r="BM1515" s="208"/>
      <c r="BN1515" s="160"/>
      <c r="BO1515" s="161">
        <f t="shared" si="1325"/>
        <v>0</v>
      </c>
      <c r="BP1515" s="161"/>
    </row>
    <row r="1516" spans="1:68" ht="38.25">
      <c r="A1516" s="210"/>
      <c r="B1516" s="195" t="s">
        <v>8703</v>
      </c>
      <c r="C1516" s="196" t="s">
        <v>8704</v>
      </c>
      <c r="D1516" s="146" t="s">
        <v>4692</v>
      </c>
      <c r="E1516" s="196" t="s">
        <v>8704</v>
      </c>
      <c r="F1516" s="150">
        <v>0</v>
      </c>
      <c r="G1516" s="209">
        <v>0</v>
      </c>
      <c r="H1516" s="209"/>
      <c r="I1516" s="209">
        <v>0</v>
      </c>
      <c r="J1516" s="150">
        <v>0</v>
      </c>
      <c r="K1516" s="150">
        <v>0</v>
      </c>
      <c r="L1516" s="150">
        <f t="shared" si="1324"/>
        <v>0</v>
      </c>
      <c r="M1516" s="150">
        <v>0</v>
      </c>
      <c r="N1516" s="150">
        <v>0</v>
      </c>
      <c r="O1516" s="150">
        <v>0</v>
      </c>
      <c r="P1516" s="150">
        <v>0</v>
      </c>
      <c r="Q1516" s="150">
        <v>0</v>
      </c>
      <c r="R1516" s="313">
        <f t="shared" si="1331"/>
        <v>0</v>
      </c>
      <c r="S1516" s="150">
        <f t="shared" si="1323"/>
        <v>0</v>
      </c>
      <c r="T1516" s="150">
        <v>0</v>
      </c>
      <c r="U1516" s="150">
        <v>0</v>
      </c>
      <c r="V1516" s="199">
        <v>0</v>
      </c>
      <c r="W1516" s="150">
        <f t="shared" si="1332"/>
        <v>0</v>
      </c>
      <c r="X1516" s="150">
        <v>0</v>
      </c>
      <c r="Y1516" s="150">
        <v>0</v>
      </c>
      <c r="Z1516" s="150">
        <v>0</v>
      </c>
      <c r="AA1516" s="150">
        <f t="shared" si="1319"/>
        <v>0</v>
      </c>
      <c r="AB1516" s="150">
        <v>0</v>
      </c>
      <c r="AC1516" s="199">
        <v>0</v>
      </c>
      <c r="AD1516" s="150">
        <f t="shared" si="1333"/>
        <v>0</v>
      </c>
      <c r="AE1516" s="150">
        <v>0</v>
      </c>
      <c r="AF1516" s="169" t="s">
        <v>4680</v>
      </c>
      <c r="AG1516" s="201">
        <v>0</v>
      </c>
      <c r="AH1516" s="199">
        <v>0</v>
      </c>
      <c r="AI1516" s="150">
        <v>0</v>
      </c>
      <c r="AJ1516" s="169">
        <f t="shared" si="1320"/>
        <v>0</v>
      </c>
      <c r="AK1516" s="201">
        <v>0</v>
      </c>
      <c r="AL1516" s="199">
        <v>0</v>
      </c>
      <c r="AM1516" s="150">
        <f t="shared" si="1334"/>
        <v>0</v>
      </c>
      <c r="AN1516" s="153">
        <f t="shared" si="1321"/>
        <v>0</v>
      </c>
      <c r="AO1516" s="154">
        <f t="shared" si="1322"/>
        <v>0</v>
      </c>
      <c r="AP1516" s="150">
        <v>0</v>
      </c>
      <c r="AQ1516" s="201">
        <v>0</v>
      </c>
      <c r="AR1516" s="199">
        <v>0</v>
      </c>
      <c r="AS1516" s="150">
        <f t="shared" si="1335"/>
        <v>0</v>
      </c>
      <c r="AT1516" s="155"/>
      <c r="AU1516" s="156">
        <f t="shared" si="1317"/>
        <v>0</v>
      </c>
      <c r="AV1516" s="156">
        <f t="shared" si="1318"/>
        <v>0</v>
      </c>
      <c r="AW1516" s="157"/>
      <c r="AX1516" s="150">
        <v>0</v>
      </c>
      <c r="AY1516" s="150">
        <v>0</v>
      </c>
      <c r="AZ1516" s="150"/>
      <c r="BA1516" s="150">
        <f t="shared" si="1336"/>
        <v>0</v>
      </c>
      <c r="BB1516" s="210"/>
      <c r="BC1516" s="210"/>
      <c r="BD1516" s="210"/>
      <c r="BE1516" s="210"/>
      <c r="BF1516" s="210"/>
      <c r="BG1516" s="210"/>
      <c r="BH1516" s="217"/>
      <c r="BI1516" s="210"/>
      <c r="BJ1516" s="210"/>
      <c r="BK1516" s="210"/>
      <c r="BL1516" s="210"/>
      <c r="BM1516" s="208"/>
      <c r="BN1516" s="160"/>
      <c r="BO1516" s="161">
        <f t="shared" si="1325"/>
        <v>0</v>
      </c>
      <c r="BP1516" s="161"/>
    </row>
    <row r="1517" spans="1:68" ht="51">
      <c r="A1517" s="210"/>
      <c r="B1517" s="195" t="s">
        <v>8705</v>
      </c>
      <c r="C1517" s="196" t="s">
        <v>8706</v>
      </c>
      <c r="D1517" s="146" t="s">
        <v>4692</v>
      </c>
      <c r="E1517" s="196" t="s">
        <v>8706</v>
      </c>
      <c r="F1517" s="150">
        <v>0</v>
      </c>
      <c r="G1517" s="209">
        <v>0</v>
      </c>
      <c r="H1517" s="209"/>
      <c r="I1517" s="209">
        <v>0</v>
      </c>
      <c r="J1517" s="150">
        <v>0</v>
      </c>
      <c r="K1517" s="150">
        <v>0</v>
      </c>
      <c r="L1517" s="150">
        <f t="shared" si="1324"/>
        <v>0</v>
      </c>
      <c r="M1517" s="150">
        <v>0</v>
      </c>
      <c r="N1517" s="150">
        <v>0</v>
      </c>
      <c r="O1517" s="150">
        <v>0</v>
      </c>
      <c r="P1517" s="150">
        <v>0</v>
      </c>
      <c r="Q1517" s="150">
        <v>0</v>
      </c>
      <c r="R1517" s="313">
        <f t="shared" si="1331"/>
        <v>0</v>
      </c>
      <c r="S1517" s="150">
        <f t="shared" si="1323"/>
        <v>0</v>
      </c>
      <c r="T1517" s="150">
        <v>0</v>
      </c>
      <c r="U1517" s="150">
        <v>0</v>
      </c>
      <c r="V1517" s="199">
        <v>0</v>
      </c>
      <c r="W1517" s="150">
        <f t="shared" si="1332"/>
        <v>0</v>
      </c>
      <c r="X1517" s="150">
        <v>0</v>
      </c>
      <c r="Y1517" s="150">
        <v>0</v>
      </c>
      <c r="Z1517" s="150">
        <v>0</v>
      </c>
      <c r="AA1517" s="150">
        <f t="shared" si="1319"/>
        <v>0</v>
      </c>
      <c r="AB1517" s="150">
        <v>0</v>
      </c>
      <c r="AC1517" s="199">
        <v>0</v>
      </c>
      <c r="AD1517" s="150">
        <f t="shared" si="1333"/>
        <v>0</v>
      </c>
      <c r="AE1517" s="150">
        <v>0</v>
      </c>
      <c r="AF1517" s="169" t="s">
        <v>4680</v>
      </c>
      <c r="AG1517" s="201">
        <v>0</v>
      </c>
      <c r="AH1517" s="199">
        <v>0</v>
      </c>
      <c r="AI1517" s="150">
        <v>0</v>
      </c>
      <c r="AJ1517" s="169">
        <f t="shared" si="1320"/>
        <v>0</v>
      </c>
      <c r="AK1517" s="201">
        <v>0</v>
      </c>
      <c r="AL1517" s="199">
        <v>0</v>
      </c>
      <c r="AM1517" s="150">
        <f t="shared" si="1334"/>
        <v>0</v>
      </c>
      <c r="AN1517" s="153">
        <f t="shared" si="1321"/>
        <v>0</v>
      </c>
      <c r="AO1517" s="154">
        <f t="shared" si="1322"/>
        <v>0</v>
      </c>
      <c r="AP1517" s="150">
        <v>0</v>
      </c>
      <c r="AQ1517" s="201">
        <v>0</v>
      </c>
      <c r="AR1517" s="199">
        <v>0</v>
      </c>
      <c r="AS1517" s="150">
        <f t="shared" si="1335"/>
        <v>0</v>
      </c>
      <c r="AT1517" s="155"/>
      <c r="AU1517" s="156">
        <f t="shared" si="1317"/>
        <v>0</v>
      </c>
      <c r="AV1517" s="156">
        <f t="shared" si="1318"/>
        <v>0</v>
      </c>
      <c r="AW1517" s="157"/>
      <c r="AX1517" s="150">
        <v>0</v>
      </c>
      <c r="AY1517" s="150">
        <v>0</v>
      </c>
      <c r="AZ1517" s="150"/>
      <c r="BA1517" s="150">
        <f t="shared" si="1336"/>
        <v>0</v>
      </c>
      <c r="BB1517" s="210"/>
      <c r="BC1517" s="210"/>
      <c r="BD1517" s="210"/>
      <c r="BE1517" s="210"/>
      <c r="BF1517" s="210"/>
      <c r="BG1517" s="210"/>
      <c r="BH1517" s="217"/>
      <c r="BI1517" s="210"/>
      <c r="BJ1517" s="210"/>
      <c r="BK1517" s="210"/>
      <c r="BL1517" s="210"/>
      <c r="BM1517" s="208"/>
      <c r="BN1517" s="160"/>
      <c r="BO1517" s="161">
        <f t="shared" si="1325"/>
        <v>0</v>
      </c>
      <c r="BP1517" s="161"/>
    </row>
    <row r="1518" spans="1:68" ht="51">
      <c r="A1518" s="210"/>
      <c r="B1518" s="195" t="s">
        <v>8707</v>
      </c>
      <c r="C1518" s="196" t="s">
        <v>8708</v>
      </c>
      <c r="D1518" s="146" t="s">
        <v>4692</v>
      </c>
      <c r="E1518" s="196" t="s">
        <v>8708</v>
      </c>
      <c r="F1518" s="150">
        <v>0</v>
      </c>
      <c r="G1518" s="209">
        <v>0</v>
      </c>
      <c r="H1518" s="209"/>
      <c r="I1518" s="209">
        <v>0</v>
      </c>
      <c r="J1518" s="150">
        <v>0</v>
      </c>
      <c r="K1518" s="150">
        <v>0</v>
      </c>
      <c r="L1518" s="150">
        <f t="shared" si="1324"/>
        <v>0</v>
      </c>
      <c r="M1518" s="150">
        <v>0</v>
      </c>
      <c r="N1518" s="150">
        <v>0</v>
      </c>
      <c r="O1518" s="150">
        <v>0</v>
      </c>
      <c r="P1518" s="150">
        <v>0</v>
      </c>
      <c r="Q1518" s="150">
        <v>0</v>
      </c>
      <c r="R1518" s="313">
        <f t="shared" si="1331"/>
        <v>0</v>
      </c>
      <c r="S1518" s="150">
        <f t="shared" si="1323"/>
        <v>0</v>
      </c>
      <c r="T1518" s="150">
        <v>0</v>
      </c>
      <c r="U1518" s="150">
        <v>0</v>
      </c>
      <c r="V1518" s="199">
        <v>0</v>
      </c>
      <c r="W1518" s="150">
        <f t="shared" si="1332"/>
        <v>0</v>
      </c>
      <c r="X1518" s="150">
        <v>0</v>
      </c>
      <c r="Y1518" s="150">
        <v>0</v>
      </c>
      <c r="Z1518" s="150">
        <v>0</v>
      </c>
      <c r="AA1518" s="150">
        <f t="shared" si="1319"/>
        <v>0</v>
      </c>
      <c r="AB1518" s="150">
        <v>0</v>
      </c>
      <c r="AC1518" s="199">
        <v>0</v>
      </c>
      <c r="AD1518" s="150">
        <f t="shared" si="1333"/>
        <v>0</v>
      </c>
      <c r="AE1518" s="150">
        <v>0</v>
      </c>
      <c r="AF1518" s="169" t="s">
        <v>4680</v>
      </c>
      <c r="AG1518" s="201">
        <v>0</v>
      </c>
      <c r="AH1518" s="199">
        <v>0</v>
      </c>
      <c r="AI1518" s="150">
        <v>0</v>
      </c>
      <c r="AJ1518" s="169">
        <f t="shared" si="1320"/>
        <v>0</v>
      </c>
      <c r="AK1518" s="201">
        <v>0</v>
      </c>
      <c r="AL1518" s="199">
        <v>0</v>
      </c>
      <c r="AM1518" s="150">
        <f t="shared" si="1334"/>
        <v>0</v>
      </c>
      <c r="AN1518" s="153">
        <f t="shared" si="1321"/>
        <v>0</v>
      </c>
      <c r="AO1518" s="154">
        <f t="shared" si="1322"/>
        <v>0</v>
      </c>
      <c r="AP1518" s="150">
        <v>0</v>
      </c>
      <c r="AQ1518" s="201">
        <v>0</v>
      </c>
      <c r="AR1518" s="199">
        <v>0</v>
      </c>
      <c r="AS1518" s="150">
        <f t="shared" si="1335"/>
        <v>0</v>
      </c>
      <c r="AT1518" s="155"/>
      <c r="AU1518" s="156">
        <f t="shared" si="1317"/>
        <v>0</v>
      </c>
      <c r="AV1518" s="156">
        <f t="shared" si="1318"/>
        <v>0</v>
      </c>
      <c r="AW1518" s="157"/>
      <c r="AX1518" s="150">
        <v>0</v>
      </c>
      <c r="AY1518" s="150">
        <v>0</v>
      </c>
      <c r="AZ1518" s="150"/>
      <c r="BA1518" s="150">
        <f t="shared" si="1336"/>
        <v>0</v>
      </c>
      <c r="BB1518" s="210"/>
      <c r="BC1518" s="210"/>
      <c r="BD1518" s="210"/>
      <c r="BE1518" s="210"/>
      <c r="BF1518" s="210"/>
      <c r="BG1518" s="210"/>
      <c r="BH1518" s="217"/>
      <c r="BI1518" s="210"/>
      <c r="BJ1518" s="210"/>
      <c r="BK1518" s="210"/>
      <c r="BL1518" s="210"/>
      <c r="BM1518" s="208"/>
      <c r="BN1518" s="160"/>
      <c r="BO1518" s="161">
        <f t="shared" si="1325"/>
        <v>0</v>
      </c>
      <c r="BP1518" s="161"/>
    </row>
    <row r="1519" spans="1:68" ht="38.25">
      <c r="A1519" s="210"/>
      <c r="B1519" s="195" t="s">
        <v>8709</v>
      </c>
      <c r="C1519" s="196" t="s">
        <v>8710</v>
      </c>
      <c r="D1519" s="146" t="s">
        <v>4692</v>
      </c>
      <c r="E1519" s="196" t="s">
        <v>8710</v>
      </c>
      <c r="F1519" s="150">
        <v>0</v>
      </c>
      <c r="G1519" s="209">
        <v>0</v>
      </c>
      <c r="H1519" s="209"/>
      <c r="I1519" s="209">
        <v>0</v>
      </c>
      <c r="J1519" s="150">
        <v>0</v>
      </c>
      <c r="K1519" s="150">
        <v>0</v>
      </c>
      <c r="L1519" s="150">
        <f t="shared" si="1324"/>
        <v>0</v>
      </c>
      <c r="M1519" s="150">
        <v>0</v>
      </c>
      <c r="N1519" s="150">
        <v>0</v>
      </c>
      <c r="O1519" s="150">
        <v>0</v>
      </c>
      <c r="P1519" s="150">
        <v>0</v>
      </c>
      <c r="Q1519" s="150">
        <v>0</v>
      </c>
      <c r="R1519" s="313">
        <f t="shared" si="1331"/>
        <v>0</v>
      </c>
      <c r="S1519" s="150">
        <f t="shared" si="1323"/>
        <v>0</v>
      </c>
      <c r="T1519" s="150">
        <v>0</v>
      </c>
      <c r="U1519" s="150">
        <v>0</v>
      </c>
      <c r="V1519" s="199">
        <v>0</v>
      </c>
      <c r="W1519" s="150">
        <f t="shared" si="1332"/>
        <v>0</v>
      </c>
      <c r="X1519" s="150">
        <v>0</v>
      </c>
      <c r="Y1519" s="150">
        <v>0</v>
      </c>
      <c r="Z1519" s="150">
        <v>0</v>
      </c>
      <c r="AA1519" s="150">
        <f t="shared" si="1319"/>
        <v>0</v>
      </c>
      <c r="AB1519" s="150">
        <v>0</v>
      </c>
      <c r="AC1519" s="199">
        <v>0</v>
      </c>
      <c r="AD1519" s="150">
        <f t="shared" si="1333"/>
        <v>0</v>
      </c>
      <c r="AE1519" s="150">
        <v>0</v>
      </c>
      <c r="AF1519" s="169" t="s">
        <v>4680</v>
      </c>
      <c r="AG1519" s="201">
        <v>0</v>
      </c>
      <c r="AH1519" s="199">
        <v>0</v>
      </c>
      <c r="AI1519" s="150">
        <v>0</v>
      </c>
      <c r="AJ1519" s="169">
        <f t="shared" si="1320"/>
        <v>0</v>
      </c>
      <c r="AK1519" s="201">
        <v>0</v>
      </c>
      <c r="AL1519" s="199">
        <v>0</v>
      </c>
      <c r="AM1519" s="150">
        <f t="shared" si="1334"/>
        <v>0</v>
      </c>
      <c r="AN1519" s="153">
        <f t="shared" si="1321"/>
        <v>0</v>
      </c>
      <c r="AO1519" s="154">
        <f t="shared" si="1322"/>
        <v>0</v>
      </c>
      <c r="AP1519" s="150">
        <v>0</v>
      </c>
      <c r="AQ1519" s="201">
        <v>0</v>
      </c>
      <c r="AR1519" s="199">
        <v>0</v>
      </c>
      <c r="AS1519" s="150">
        <f t="shared" si="1335"/>
        <v>0</v>
      </c>
      <c r="AT1519" s="155"/>
      <c r="AU1519" s="156">
        <f t="shared" si="1317"/>
        <v>0</v>
      </c>
      <c r="AV1519" s="156">
        <f t="shared" si="1318"/>
        <v>0</v>
      </c>
      <c r="AW1519" s="157"/>
      <c r="AX1519" s="150">
        <v>0</v>
      </c>
      <c r="AY1519" s="150">
        <v>0</v>
      </c>
      <c r="AZ1519" s="150"/>
      <c r="BA1519" s="150">
        <f t="shared" si="1336"/>
        <v>0</v>
      </c>
      <c r="BB1519" s="210"/>
      <c r="BC1519" s="210"/>
      <c r="BD1519" s="210"/>
      <c r="BE1519" s="210"/>
      <c r="BF1519" s="210"/>
      <c r="BG1519" s="210"/>
      <c r="BH1519" s="217"/>
      <c r="BI1519" s="210"/>
      <c r="BJ1519" s="210"/>
      <c r="BK1519" s="210"/>
      <c r="BL1519" s="210"/>
      <c r="BM1519" s="208"/>
      <c r="BN1519" s="160"/>
      <c r="BO1519" s="161">
        <f t="shared" si="1325"/>
        <v>0</v>
      </c>
      <c r="BP1519" s="161"/>
    </row>
    <row r="1520" spans="1:68" ht="25.5">
      <c r="A1520" s="210"/>
      <c r="B1520" s="195" t="s">
        <v>8711</v>
      </c>
      <c r="C1520" s="196" t="s">
        <v>8712</v>
      </c>
      <c r="D1520" s="146" t="s">
        <v>4692</v>
      </c>
      <c r="E1520" s="196" t="s">
        <v>8712</v>
      </c>
      <c r="F1520" s="150">
        <v>0</v>
      </c>
      <c r="G1520" s="209">
        <v>0</v>
      </c>
      <c r="H1520" s="209"/>
      <c r="I1520" s="209">
        <v>0</v>
      </c>
      <c r="J1520" s="150">
        <v>0</v>
      </c>
      <c r="K1520" s="150">
        <v>0</v>
      </c>
      <c r="L1520" s="150">
        <f t="shared" si="1324"/>
        <v>0</v>
      </c>
      <c r="M1520" s="150">
        <v>0</v>
      </c>
      <c r="N1520" s="150">
        <v>0</v>
      </c>
      <c r="O1520" s="150">
        <v>0</v>
      </c>
      <c r="P1520" s="150">
        <v>0</v>
      </c>
      <c r="Q1520" s="150">
        <v>0</v>
      </c>
      <c r="R1520" s="313">
        <f t="shared" si="1331"/>
        <v>0</v>
      </c>
      <c r="S1520" s="150">
        <f t="shared" si="1323"/>
        <v>0</v>
      </c>
      <c r="T1520" s="150">
        <v>0</v>
      </c>
      <c r="U1520" s="150">
        <v>0</v>
      </c>
      <c r="V1520" s="199">
        <v>0</v>
      </c>
      <c r="W1520" s="150">
        <f t="shared" si="1332"/>
        <v>0</v>
      </c>
      <c r="X1520" s="150">
        <v>0</v>
      </c>
      <c r="Y1520" s="150">
        <v>0</v>
      </c>
      <c r="Z1520" s="150">
        <v>0</v>
      </c>
      <c r="AA1520" s="150">
        <f t="shared" si="1319"/>
        <v>0</v>
      </c>
      <c r="AB1520" s="150">
        <v>0</v>
      </c>
      <c r="AC1520" s="199">
        <v>0</v>
      </c>
      <c r="AD1520" s="150">
        <f t="shared" si="1333"/>
        <v>0</v>
      </c>
      <c r="AE1520" s="150">
        <v>0</v>
      </c>
      <c r="AF1520" s="169" t="s">
        <v>4680</v>
      </c>
      <c r="AG1520" s="201">
        <v>0</v>
      </c>
      <c r="AH1520" s="199">
        <v>0</v>
      </c>
      <c r="AI1520" s="150">
        <v>0</v>
      </c>
      <c r="AJ1520" s="169">
        <f t="shared" si="1320"/>
        <v>0</v>
      </c>
      <c r="AK1520" s="201">
        <v>0</v>
      </c>
      <c r="AL1520" s="199">
        <v>0</v>
      </c>
      <c r="AM1520" s="150">
        <f t="shared" si="1334"/>
        <v>0</v>
      </c>
      <c r="AN1520" s="153">
        <f t="shared" si="1321"/>
        <v>0</v>
      </c>
      <c r="AO1520" s="154">
        <f t="shared" si="1322"/>
        <v>0</v>
      </c>
      <c r="AP1520" s="150">
        <v>0</v>
      </c>
      <c r="AQ1520" s="201">
        <v>0</v>
      </c>
      <c r="AR1520" s="199">
        <v>0</v>
      </c>
      <c r="AS1520" s="150">
        <f t="shared" si="1335"/>
        <v>0</v>
      </c>
      <c r="AT1520" s="155"/>
      <c r="AU1520" s="156">
        <f t="shared" si="1317"/>
        <v>0</v>
      </c>
      <c r="AV1520" s="156">
        <f t="shared" si="1318"/>
        <v>0</v>
      </c>
      <c r="AW1520" s="157"/>
      <c r="AX1520" s="150">
        <v>0</v>
      </c>
      <c r="AY1520" s="150">
        <v>0</v>
      </c>
      <c r="AZ1520" s="150"/>
      <c r="BA1520" s="150">
        <f t="shared" si="1336"/>
        <v>0</v>
      </c>
      <c r="BB1520" s="210"/>
      <c r="BC1520" s="210"/>
      <c r="BD1520" s="210"/>
      <c r="BE1520" s="210"/>
      <c r="BF1520" s="210"/>
      <c r="BG1520" s="210"/>
      <c r="BH1520" s="217"/>
      <c r="BI1520" s="210"/>
      <c r="BJ1520" s="210"/>
      <c r="BK1520" s="210"/>
      <c r="BL1520" s="210"/>
      <c r="BM1520" s="208"/>
      <c r="BN1520" s="160"/>
      <c r="BO1520" s="161">
        <f t="shared" si="1325"/>
        <v>0</v>
      </c>
      <c r="BP1520" s="161"/>
    </row>
    <row r="1521" spans="1:68" ht="38.25">
      <c r="A1521" s="210"/>
      <c r="B1521" s="195" t="s">
        <v>8713</v>
      </c>
      <c r="C1521" s="196" t="s">
        <v>8714</v>
      </c>
      <c r="D1521" s="146" t="s">
        <v>4692</v>
      </c>
      <c r="E1521" s="196" t="s">
        <v>8714</v>
      </c>
      <c r="F1521" s="150">
        <v>0</v>
      </c>
      <c r="G1521" s="209">
        <v>0</v>
      </c>
      <c r="H1521" s="209"/>
      <c r="I1521" s="209">
        <v>0</v>
      </c>
      <c r="J1521" s="150">
        <v>0</v>
      </c>
      <c r="K1521" s="150">
        <v>0</v>
      </c>
      <c r="L1521" s="150">
        <f t="shared" si="1324"/>
        <v>0</v>
      </c>
      <c r="M1521" s="150">
        <v>0</v>
      </c>
      <c r="N1521" s="150">
        <v>0</v>
      </c>
      <c r="O1521" s="150">
        <v>0</v>
      </c>
      <c r="P1521" s="150">
        <v>0</v>
      </c>
      <c r="Q1521" s="150">
        <v>0</v>
      </c>
      <c r="R1521" s="313">
        <f t="shared" si="1331"/>
        <v>0</v>
      </c>
      <c r="S1521" s="150">
        <f t="shared" si="1323"/>
        <v>0</v>
      </c>
      <c r="T1521" s="150">
        <v>0</v>
      </c>
      <c r="U1521" s="150">
        <v>0</v>
      </c>
      <c r="V1521" s="199">
        <v>0</v>
      </c>
      <c r="W1521" s="150">
        <f t="shared" si="1332"/>
        <v>0</v>
      </c>
      <c r="X1521" s="150">
        <v>0</v>
      </c>
      <c r="Y1521" s="150">
        <v>0</v>
      </c>
      <c r="Z1521" s="150">
        <v>0</v>
      </c>
      <c r="AA1521" s="150">
        <f t="shared" si="1319"/>
        <v>0</v>
      </c>
      <c r="AB1521" s="150">
        <v>0</v>
      </c>
      <c r="AC1521" s="199">
        <v>0</v>
      </c>
      <c r="AD1521" s="150">
        <f t="shared" si="1333"/>
        <v>0</v>
      </c>
      <c r="AE1521" s="150">
        <v>0</v>
      </c>
      <c r="AF1521" s="169" t="s">
        <v>4680</v>
      </c>
      <c r="AG1521" s="201">
        <v>0</v>
      </c>
      <c r="AH1521" s="199">
        <v>0</v>
      </c>
      <c r="AI1521" s="150">
        <v>0</v>
      </c>
      <c r="AJ1521" s="169">
        <f t="shared" si="1320"/>
        <v>0</v>
      </c>
      <c r="AK1521" s="201">
        <v>0</v>
      </c>
      <c r="AL1521" s="199">
        <v>0</v>
      </c>
      <c r="AM1521" s="150">
        <f t="shared" si="1334"/>
        <v>0</v>
      </c>
      <c r="AN1521" s="153">
        <f t="shared" si="1321"/>
        <v>0</v>
      </c>
      <c r="AO1521" s="154">
        <f t="shared" si="1322"/>
        <v>0</v>
      </c>
      <c r="AP1521" s="150">
        <v>0</v>
      </c>
      <c r="AQ1521" s="201">
        <v>0</v>
      </c>
      <c r="AR1521" s="199">
        <v>0</v>
      </c>
      <c r="AS1521" s="150">
        <f t="shared" si="1335"/>
        <v>0</v>
      </c>
      <c r="AT1521" s="155"/>
      <c r="AU1521" s="156">
        <f t="shared" si="1317"/>
        <v>0</v>
      </c>
      <c r="AV1521" s="156">
        <f t="shared" si="1318"/>
        <v>0</v>
      </c>
      <c r="AW1521" s="157"/>
      <c r="AX1521" s="150">
        <v>0</v>
      </c>
      <c r="AY1521" s="150">
        <v>0</v>
      </c>
      <c r="AZ1521" s="150"/>
      <c r="BA1521" s="150">
        <f t="shared" si="1336"/>
        <v>0</v>
      </c>
      <c r="BB1521" s="210"/>
      <c r="BC1521" s="210"/>
      <c r="BD1521" s="210"/>
      <c r="BE1521" s="210"/>
      <c r="BF1521" s="210"/>
      <c r="BG1521" s="210"/>
      <c r="BH1521" s="217"/>
      <c r="BI1521" s="210"/>
      <c r="BJ1521" s="210"/>
      <c r="BK1521" s="210"/>
      <c r="BL1521" s="210"/>
      <c r="BM1521" s="208"/>
      <c r="BN1521" s="160"/>
      <c r="BO1521" s="161">
        <f t="shared" si="1325"/>
        <v>0</v>
      </c>
      <c r="BP1521" s="161"/>
    </row>
    <row r="1522" spans="1:68" ht="38.25">
      <c r="A1522" s="210"/>
      <c r="B1522" s="195" t="s">
        <v>8715</v>
      </c>
      <c r="C1522" s="196" t="s">
        <v>8716</v>
      </c>
      <c r="D1522" s="146" t="s">
        <v>4692</v>
      </c>
      <c r="E1522" s="196" t="s">
        <v>8716</v>
      </c>
      <c r="F1522" s="150">
        <v>0</v>
      </c>
      <c r="G1522" s="209">
        <v>0</v>
      </c>
      <c r="H1522" s="209"/>
      <c r="I1522" s="209">
        <v>0</v>
      </c>
      <c r="J1522" s="150">
        <v>0</v>
      </c>
      <c r="K1522" s="150">
        <v>0</v>
      </c>
      <c r="L1522" s="150">
        <f t="shared" si="1324"/>
        <v>0</v>
      </c>
      <c r="M1522" s="150">
        <v>0</v>
      </c>
      <c r="N1522" s="150">
        <v>0</v>
      </c>
      <c r="O1522" s="150">
        <v>0</v>
      </c>
      <c r="P1522" s="150">
        <v>0</v>
      </c>
      <c r="Q1522" s="150">
        <v>0</v>
      </c>
      <c r="R1522" s="313">
        <f t="shared" si="1331"/>
        <v>0</v>
      </c>
      <c r="S1522" s="150">
        <f t="shared" si="1323"/>
        <v>0</v>
      </c>
      <c r="T1522" s="150">
        <v>0</v>
      </c>
      <c r="U1522" s="150">
        <v>0</v>
      </c>
      <c r="V1522" s="199">
        <v>0</v>
      </c>
      <c r="W1522" s="150">
        <f t="shared" si="1332"/>
        <v>0</v>
      </c>
      <c r="X1522" s="150">
        <v>0</v>
      </c>
      <c r="Y1522" s="150">
        <v>0</v>
      </c>
      <c r="Z1522" s="150">
        <v>0</v>
      </c>
      <c r="AA1522" s="150">
        <f t="shared" si="1319"/>
        <v>0</v>
      </c>
      <c r="AB1522" s="150">
        <v>0</v>
      </c>
      <c r="AC1522" s="199">
        <v>0</v>
      </c>
      <c r="AD1522" s="150">
        <f t="shared" si="1333"/>
        <v>0</v>
      </c>
      <c r="AE1522" s="150">
        <v>0</v>
      </c>
      <c r="AF1522" s="169" t="s">
        <v>4680</v>
      </c>
      <c r="AG1522" s="201">
        <v>0</v>
      </c>
      <c r="AH1522" s="199">
        <v>0</v>
      </c>
      <c r="AI1522" s="150">
        <v>0</v>
      </c>
      <c r="AJ1522" s="169">
        <f t="shared" si="1320"/>
        <v>0</v>
      </c>
      <c r="AK1522" s="201">
        <v>0</v>
      </c>
      <c r="AL1522" s="199">
        <v>0</v>
      </c>
      <c r="AM1522" s="150">
        <f t="shared" si="1334"/>
        <v>0</v>
      </c>
      <c r="AN1522" s="153">
        <f t="shared" si="1321"/>
        <v>0</v>
      </c>
      <c r="AO1522" s="154">
        <f t="shared" si="1322"/>
        <v>0</v>
      </c>
      <c r="AP1522" s="150">
        <v>0</v>
      </c>
      <c r="AQ1522" s="201">
        <v>0</v>
      </c>
      <c r="AR1522" s="199">
        <v>0</v>
      </c>
      <c r="AS1522" s="150">
        <f t="shared" si="1335"/>
        <v>0</v>
      </c>
      <c r="AT1522" s="155"/>
      <c r="AU1522" s="156">
        <f t="shared" si="1317"/>
        <v>0</v>
      </c>
      <c r="AV1522" s="156">
        <f t="shared" si="1318"/>
        <v>0</v>
      </c>
      <c r="AW1522" s="157"/>
      <c r="AX1522" s="150">
        <v>0</v>
      </c>
      <c r="AY1522" s="150">
        <v>0</v>
      </c>
      <c r="AZ1522" s="150"/>
      <c r="BA1522" s="150">
        <f t="shared" si="1336"/>
        <v>0</v>
      </c>
      <c r="BB1522" s="210"/>
      <c r="BC1522" s="210"/>
      <c r="BD1522" s="210"/>
      <c r="BE1522" s="210"/>
      <c r="BF1522" s="210"/>
      <c r="BG1522" s="210"/>
      <c r="BH1522" s="217"/>
      <c r="BI1522" s="210"/>
      <c r="BJ1522" s="210"/>
      <c r="BK1522" s="210"/>
      <c r="BL1522" s="210"/>
      <c r="BM1522" s="208"/>
      <c r="BN1522" s="160"/>
      <c r="BO1522" s="161">
        <f t="shared" si="1325"/>
        <v>0</v>
      </c>
      <c r="BP1522" s="161"/>
    </row>
    <row r="1523" spans="1:68" ht="38.25">
      <c r="A1523" s="210"/>
      <c r="B1523" s="195" t="s">
        <v>8717</v>
      </c>
      <c r="C1523" s="196" t="s">
        <v>8718</v>
      </c>
      <c r="D1523" s="146" t="s">
        <v>4692</v>
      </c>
      <c r="E1523" s="196" t="s">
        <v>8718</v>
      </c>
      <c r="F1523" s="150">
        <v>0</v>
      </c>
      <c r="G1523" s="209">
        <v>0</v>
      </c>
      <c r="H1523" s="209"/>
      <c r="I1523" s="209">
        <v>0</v>
      </c>
      <c r="J1523" s="150">
        <v>0</v>
      </c>
      <c r="K1523" s="150">
        <v>0</v>
      </c>
      <c r="L1523" s="150">
        <f t="shared" si="1324"/>
        <v>0</v>
      </c>
      <c r="M1523" s="150">
        <v>0</v>
      </c>
      <c r="N1523" s="150">
        <v>0</v>
      </c>
      <c r="O1523" s="150">
        <v>0</v>
      </c>
      <c r="P1523" s="150">
        <v>0</v>
      </c>
      <c r="Q1523" s="150">
        <v>0</v>
      </c>
      <c r="R1523" s="313">
        <f t="shared" si="1331"/>
        <v>0</v>
      </c>
      <c r="S1523" s="150">
        <f t="shared" si="1323"/>
        <v>0</v>
      </c>
      <c r="T1523" s="150">
        <v>0</v>
      </c>
      <c r="U1523" s="150">
        <v>0</v>
      </c>
      <c r="V1523" s="199">
        <v>0</v>
      </c>
      <c r="W1523" s="150">
        <f t="shared" si="1332"/>
        <v>0</v>
      </c>
      <c r="X1523" s="150">
        <v>0</v>
      </c>
      <c r="Y1523" s="150">
        <v>0</v>
      </c>
      <c r="Z1523" s="150">
        <v>0</v>
      </c>
      <c r="AA1523" s="150">
        <f t="shared" si="1319"/>
        <v>0</v>
      </c>
      <c r="AB1523" s="150">
        <v>0</v>
      </c>
      <c r="AC1523" s="199">
        <v>0</v>
      </c>
      <c r="AD1523" s="150">
        <f t="shared" si="1333"/>
        <v>0</v>
      </c>
      <c r="AE1523" s="150">
        <v>0</v>
      </c>
      <c r="AF1523" s="169" t="s">
        <v>4680</v>
      </c>
      <c r="AG1523" s="201">
        <v>0</v>
      </c>
      <c r="AH1523" s="199">
        <v>0</v>
      </c>
      <c r="AI1523" s="150">
        <v>0</v>
      </c>
      <c r="AJ1523" s="169">
        <f t="shared" si="1320"/>
        <v>0</v>
      </c>
      <c r="AK1523" s="201">
        <v>0</v>
      </c>
      <c r="AL1523" s="199">
        <v>0</v>
      </c>
      <c r="AM1523" s="150">
        <f t="shared" si="1334"/>
        <v>0</v>
      </c>
      <c r="AN1523" s="153">
        <f t="shared" si="1321"/>
        <v>0</v>
      </c>
      <c r="AO1523" s="154">
        <f t="shared" si="1322"/>
        <v>0</v>
      </c>
      <c r="AP1523" s="150">
        <v>0</v>
      </c>
      <c r="AQ1523" s="201">
        <v>0</v>
      </c>
      <c r="AR1523" s="199">
        <v>0</v>
      </c>
      <c r="AS1523" s="150">
        <f t="shared" si="1335"/>
        <v>0</v>
      </c>
      <c r="AT1523" s="155"/>
      <c r="AU1523" s="156">
        <f t="shared" si="1317"/>
        <v>0</v>
      </c>
      <c r="AV1523" s="156">
        <f t="shared" si="1318"/>
        <v>0</v>
      </c>
      <c r="AW1523" s="157"/>
      <c r="AX1523" s="150">
        <v>0</v>
      </c>
      <c r="AY1523" s="150">
        <v>0</v>
      </c>
      <c r="AZ1523" s="150"/>
      <c r="BA1523" s="150">
        <f t="shared" si="1336"/>
        <v>0</v>
      </c>
      <c r="BB1523" s="210"/>
      <c r="BC1523" s="210"/>
      <c r="BD1523" s="210"/>
      <c r="BE1523" s="210"/>
      <c r="BF1523" s="210"/>
      <c r="BG1523" s="210"/>
      <c r="BH1523" s="217"/>
      <c r="BI1523" s="210"/>
      <c r="BJ1523" s="210"/>
      <c r="BK1523" s="210"/>
      <c r="BL1523" s="210"/>
      <c r="BM1523" s="208"/>
      <c r="BN1523" s="160"/>
      <c r="BO1523" s="161">
        <f t="shared" si="1325"/>
        <v>0</v>
      </c>
      <c r="BP1523" s="161"/>
    </row>
    <row r="1524" spans="1:68" ht="38.25">
      <c r="A1524" s="210"/>
      <c r="B1524" s="195" t="s">
        <v>8719</v>
      </c>
      <c r="C1524" s="196" t="s">
        <v>8720</v>
      </c>
      <c r="D1524" s="146" t="s">
        <v>4692</v>
      </c>
      <c r="E1524" s="196" t="s">
        <v>8720</v>
      </c>
      <c r="F1524" s="150">
        <v>0</v>
      </c>
      <c r="G1524" s="209">
        <v>0</v>
      </c>
      <c r="H1524" s="209"/>
      <c r="I1524" s="209">
        <v>0</v>
      </c>
      <c r="J1524" s="150">
        <v>0</v>
      </c>
      <c r="K1524" s="150">
        <v>0</v>
      </c>
      <c r="L1524" s="150">
        <f t="shared" si="1324"/>
        <v>0</v>
      </c>
      <c r="M1524" s="150">
        <v>0</v>
      </c>
      <c r="N1524" s="150">
        <v>0</v>
      </c>
      <c r="O1524" s="150">
        <v>0</v>
      </c>
      <c r="P1524" s="150">
        <v>0</v>
      </c>
      <c r="Q1524" s="150">
        <v>0</v>
      </c>
      <c r="R1524" s="313">
        <f t="shared" si="1331"/>
        <v>0</v>
      </c>
      <c r="S1524" s="150">
        <f t="shared" si="1323"/>
        <v>0</v>
      </c>
      <c r="T1524" s="150">
        <v>0</v>
      </c>
      <c r="U1524" s="150">
        <v>0</v>
      </c>
      <c r="V1524" s="199">
        <v>0</v>
      </c>
      <c r="W1524" s="150">
        <f t="shared" si="1332"/>
        <v>0</v>
      </c>
      <c r="X1524" s="150">
        <v>0</v>
      </c>
      <c r="Y1524" s="150">
        <v>0</v>
      </c>
      <c r="Z1524" s="150">
        <v>0</v>
      </c>
      <c r="AA1524" s="150">
        <f t="shared" si="1319"/>
        <v>0</v>
      </c>
      <c r="AB1524" s="150">
        <v>0</v>
      </c>
      <c r="AC1524" s="199">
        <v>0</v>
      </c>
      <c r="AD1524" s="150">
        <f t="shared" si="1333"/>
        <v>0</v>
      </c>
      <c r="AE1524" s="150">
        <v>0</v>
      </c>
      <c r="AF1524" s="169" t="s">
        <v>4680</v>
      </c>
      <c r="AG1524" s="201">
        <v>0</v>
      </c>
      <c r="AH1524" s="199">
        <v>0</v>
      </c>
      <c r="AI1524" s="150">
        <v>0</v>
      </c>
      <c r="AJ1524" s="169">
        <f t="shared" si="1320"/>
        <v>0</v>
      </c>
      <c r="AK1524" s="201">
        <v>0</v>
      </c>
      <c r="AL1524" s="199">
        <v>0</v>
      </c>
      <c r="AM1524" s="150">
        <f t="shared" si="1334"/>
        <v>0</v>
      </c>
      <c r="AN1524" s="153">
        <f t="shared" si="1321"/>
        <v>0</v>
      </c>
      <c r="AO1524" s="154">
        <f t="shared" si="1322"/>
        <v>0</v>
      </c>
      <c r="AP1524" s="150">
        <v>0</v>
      </c>
      <c r="AQ1524" s="201">
        <v>0</v>
      </c>
      <c r="AR1524" s="199">
        <v>0</v>
      </c>
      <c r="AS1524" s="150">
        <f t="shared" si="1335"/>
        <v>0</v>
      </c>
      <c r="AT1524" s="155"/>
      <c r="AU1524" s="156">
        <f t="shared" si="1317"/>
        <v>0</v>
      </c>
      <c r="AV1524" s="156">
        <f t="shared" si="1318"/>
        <v>0</v>
      </c>
      <c r="AW1524" s="157"/>
      <c r="AX1524" s="150">
        <v>0</v>
      </c>
      <c r="AY1524" s="150">
        <v>0</v>
      </c>
      <c r="AZ1524" s="150"/>
      <c r="BA1524" s="150">
        <f t="shared" si="1336"/>
        <v>0</v>
      </c>
      <c r="BB1524" s="210"/>
      <c r="BC1524" s="210"/>
      <c r="BD1524" s="210"/>
      <c r="BE1524" s="210"/>
      <c r="BF1524" s="210"/>
      <c r="BG1524" s="210"/>
      <c r="BH1524" s="217"/>
      <c r="BI1524" s="210"/>
      <c r="BJ1524" s="210"/>
      <c r="BK1524" s="210"/>
      <c r="BL1524" s="210"/>
      <c r="BM1524" s="208"/>
      <c r="BN1524" s="160"/>
      <c r="BO1524" s="161">
        <f t="shared" si="1325"/>
        <v>0</v>
      </c>
      <c r="BP1524" s="161"/>
    </row>
    <row r="1525" spans="1:68" ht="38.25">
      <c r="A1525" s="210"/>
      <c r="B1525" s="195" t="s">
        <v>8721</v>
      </c>
      <c r="C1525" s="196" t="s">
        <v>8722</v>
      </c>
      <c r="D1525" s="146" t="s">
        <v>4692</v>
      </c>
      <c r="E1525" s="196" t="s">
        <v>8722</v>
      </c>
      <c r="F1525" s="150">
        <v>0</v>
      </c>
      <c r="G1525" s="209">
        <v>0</v>
      </c>
      <c r="H1525" s="209"/>
      <c r="I1525" s="209">
        <v>0</v>
      </c>
      <c r="J1525" s="150">
        <v>0</v>
      </c>
      <c r="K1525" s="150">
        <v>0</v>
      </c>
      <c r="L1525" s="150">
        <f t="shared" si="1324"/>
        <v>0</v>
      </c>
      <c r="M1525" s="150">
        <v>0</v>
      </c>
      <c r="N1525" s="150">
        <v>0</v>
      </c>
      <c r="O1525" s="150">
        <v>0</v>
      </c>
      <c r="P1525" s="150">
        <v>0</v>
      </c>
      <c r="Q1525" s="150">
        <v>0</v>
      </c>
      <c r="R1525" s="313">
        <f t="shared" si="1331"/>
        <v>0</v>
      </c>
      <c r="S1525" s="150">
        <f t="shared" si="1323"/>
        <v>0</v>
      </c>
      <c r="T1525" s="150">
        <v>0</v>
      </c>
      <c r="U1525" s="150">
        <v>0</v>
      </c>
      <c r="V1525" s="199">
        <v>0</v>
      </c>
      <c r="W1525" s="150">
        <f t="shared" si="1332"/>
        <v>0</v>
      </c>
      <c r="X1525" s="150">
        <v>0</v>
      </c>
      <c r="Y1525" s="150">
        <v>0</v>
      </c>
      <c r="Z1525" s="150">
        <v>0</v>
      </c>
      <c r="AA1525" s="150">
        <f t="shared" si="1319"/>
        <v>0</v>
      </c>
      <c r="AB1525" s="150">
        <v>0</v>
      </c>
      <c r="AC1525" s="199">
        <v>0</v>
      </c>
      <c r="AD1525" s="150">
        <f t="shared" si="1333"/>
        <v>0</v>
      </c>
      <c r="AE1525" s="150">
        <v>0</v>
      </c>
      <c r="AF1525" s="169" t="s">
        <v>4680</v>
      </c>
      <c r="AG1525" s="201">
        <v>0</v>
      </c>
      <c r="AH1525" s="199">
        <v>0</v>
      </c>
      <c r="AI1525" s="150">
        <v>0</v>
      </c>
      <c r="AJ1525" s="169">
        <f t="shared" si="1320"/>
        <v>0</v>
      </c>
      <c r="AK1525" s="201">
        <v>0</v>
      </c>
      <c r="AL1525" s="199">
        <v>0</v>
      </c>
      <c r="AM1525" s="150">
        <f t="shared" si="1334"/>
        <v>0</v>
      </c>
      <c r="AN1525" s="153">
        <f t="shared" si="1321"/>
        <v>0</v>
      </c>
      <c r="AO1525" s="154">
        <f t="shared" si="1322"/>
        <v>0</v>
      </c>
      <c r="AP1525" s="150">
        <v>0</v>
      </c>
      <c r="AQ1525" s="201">
        <v>0</v>
      </c>
      <c r="AR1525" s="199">
        <v>0</v>
      </c>
      <c r="AS1525" s="150">
        <f t="shared" si="1335"/>
        <v>0</v>
      </c>
      <c r="AT1525" s="155"/>
      <c r="AU1525" s="156">
        <f t="shared" si="1317"/>
        <v>0</v>
      </c>
      <c r="AV1525" s="156">
        <f t="shared" si="1318"/>
        <v>0</v>
      </c>
      <c r="AW1525" s="157"/>
      <c r="AX1525" s="150">
        <v>0</v>
      </c>
      <c r="AY1525" s="150">
        <v>0</v>
      </c>
      <c r="AZ1525" s="150"/>
      <c r="BA1525" s="150">
        <f t="shared" si="1336"/>
        <v>0</v>
      </c>
      <c r="BB1525" s="210"/>
      <c r="BC1525" s="210"/>
      <c r="BD1525" s="210"/>
      <c r="BE1525" s="210"/>
      <c r="BF1525" s="210"/>
      <c r="BG1525" s="210"/>
      <c r="BH1525" s="217"/>
      <c r="BI1525" s="210"/>
      <c r="BJ1525" s="210"/>
      <c r="BK1525" s="210"/>
      <c r="BL1525" s="210"/>
      <c r="BM1525" s="208"/>
      <c r="BN1525" s="160"/>
      <c r="BO1525" s="161">
        <f t="shared" si="1325"/>
        <v>0</v>
      </c>
      <c r="BP1525" s="161"/>
    </row>
    <row r="1526" spans="1:68" ht="38.25">
      <c r="A1526" s="210"/>
      <c r="B1526" s="195" t="s">
        <v>8723</v>
      </c>
      <c r="C1526" s="196" t="s">
        <v>8724</v>
      </c>
      <c r="D1526" s="146" t="s">
        <v>4692</v>
      </c>
      <c r="E1526" s="196" t="s">
        <v>8724</v>
      </c>
      <c r="F1526" s="150">
        <v>0</v>
      </c>
      <c r="G1526" s="209">
        <v>0</v>
      </c>
      <c r="H1526" s="209"/>
      <c r="I1526" s="209">
        <v>0</v>
      </c>
      <c r="J1526" s="150">
        <v>0</v>
      </c>
      <c r="K1526" s="150">
        <v>0</v>
      </c>
      <c r="L1526" s="150">
        <f t="shared" si="1324"/>
        <v>0</v>
      </c>
      <c r="M1526" s="150">
        <v>0</v>
      </c>
      <c r="N1526" s="150">
        <v>0</v>
      </c>
      <c r="O1526" s="150">
        <v>0</v>
      </c>
      <c r="P1526" s="150">
        <v>0</v>
      </c>
      <c r="Q1526" s="150">
        <v>0</v>
      </c>
      <c r="R1526" s="313">
        <f t="shared" si="1331"/>
        <v>0</v>
      </c>
      <c r="S1526" s="150">
        <f t="shared" si="1323"/>
        <v>0</v>
      </c>
      <c r="T1526" s="150">
        <v>0</v>
      </c>
      <c r="U1526" s="150">
        <v>0</v>
      </c>
      <c r="V1526" s="199">
        <v>0</v>
      </c>
      <c r="W1526" s="150">
        <f t="shared" si="1332"/>
        <v>0</v>
      </c>
      <c r="X1526" s="150">
        <v>0</v>
      </c>
      <c r="Y1526" s="150">
        <v>0</v>
      </c>
      <c r="Z1526" s="150">
        <v>0</v>
      </c>
      <c r="AA1526" s="150">
        <f t="shared" si="1319"/>
        <v>0</v>
      </c>
      <c r="AB1526" s="150">
        <v>0</v>
      </c>
      <c r="AC1526" s="199">
        <v>0</v>
      </c>
      <c r="AD1526" s="150">
        <f t="shared" si="1333"/>
        <v>0</v>
      </c>
      <c r="AE1526" s="150">
        <v>0</v>
      </c>
      <c r="AF1526" s="169" t="s">
        <v>4680</v>
      </c>
      <c r="AG1526" s="201">
        <v>0</v>
      </c>
      <c r="AH1526" s="199">
        <v>0</v>
      </c>
      <c r="AI1526" s="150">
        <v>0</v>
      </c>
      <c r="AJ1526" s="169">
        <f t="shared" si="1320"/>
        <v>0</v>
      </c>
      <c r="AK1526" s="201">
        <v>0</v>
      </c>
      <c r="AL1526" s="199">
        <v>0</v>
      </c>
      <c r="AM1526" s="150">
        <f t="shared" si="1334"/>
        <v>0</v>
      </c>
      <c r="AN1526" s="153">
        <f t="shared" si="1321"/>
        <v>0</v>
      </c>
      <c r="AO1526" s="154">
        <f t="shared" si="1322"/>
        <v>0</v>
      </c>
      <c r="AP1526" s="150">
        <v>0</v>
      </c>
      <c r="AQ1526" s="201">
        <v>0</v>
      </c>
      <c r="AR1526" s="199">
        <v>0</v>
      </c>
      <c r="AS1526" s="150">
        <f t="shared" si="1335"/>
        <v>0</v>
      </c>
      <c r="AT1526" s="155"/>
      <c r="AU1526" s="156">
        <f t="shared" si="1317"/>
        <v>0</v>
      </c>
      <c r="AV1526" s="156">
        <f t="shared" si="1318"/>
        <v>0</v>
      </c>
      <c r="AW1526" s="157"/>
      <c r="AX1526" s="150">
        <v>0</v>
      </c>
      <c r="AY1526" s="150">
        <v>0</v>
      </c>
      <c r="AZ1526" s="150"/>
      <c r="BA1526" s="150">
        <f t="shared" si="1336"/>
        <v>0</v>
      </c>
      <c r="BB1526" s="210"/>
      <c r="BC1526" s="210"/>
      <c r="BD1526" s="210"/>
      <c r="BE1526" s="210"/>
      <c r="BF1526" s="210"/>
      <c r="BG1526" s="210"/>
      <c r="BH1526" s="217"/>
      <c r="BI1526" s="210"/>
      <c r="BJ1526" s="210"/>
      <c r="BK1526" s="210"/>
      <c r="BL1526" s="210"/>
      <c r="BM1526" s="208"/>
      <c r="BN1526" s="160"/>
      <c r="BO1526" s="161">
        <f t="shared" si="1325"/>
        <v>0</v>
      </c>
      <c r="BP1526" s="161"/>
    </row>
    <row r="1527" spans="1:68" ht="38.25">
      <c r="A1527" s="210"/>
      <c r="B1527" s="195" t="s">
        <v>8725</v>
      </c>
      <c r="C1527" s="196" t="s">
        <v>8726</v>
      </c>
      <c r="D1527" s="146" t="s">
        <v>4692</v>
      </c>
      <c r="E1527" s="196" t="s">
        <v>8726</v>
      </c>
      <c r="F1527" s="150">
        <v>0</v>
      </c>
      <c r="G1527" s="209">
        <v>0</v>
      </c>
      <c r="H1527" s="209"/>
      <c r="I1527" s="209">
        <v>0</v>
      </c>
      <c r="J1527" s="150">
        <v>0</v>
      </c>
      <c r="K1527" s="150">
        <v>0</v>
      </c>
      <c r="L1527" s="150">
        <f t="shared" si="1324"/>
        <v>0</v>
      </c>
      <c r="M1527" s="150">
        <v>0</v>
      </c>
      <c r="N1527" s="150">
        <v>0</v>
      </c>
      <c r="O1527" s="150">
        <v>0</v>
      </c>
      <c r="P1527" s="150">
        <v>0</v>
      </c>
      <c r="Q1527" s="150">
        <v>0</v>
      </c>
      <c r="R1527" s="313">
        <f t="shared" si="1331"/>
        <v>0</v>
      </c>
      <c r="S1527" s="150">
        <f t="shared" si="1323"/>
        <v>0</v>
      </c>
      <c r="T1527" s="150">
        <v>0</v>
      </c>
      <c r="U1527" s="150">
        <v>0</v>
      </c>
      <c r="V1527" s="199">
        <v>0</v>
      </c>
      <c r="W1527" s="150">
        <f t="shared" si="1332"/>
        <v>0</v>
      </c>
      <c r="X1527" s="150">
        <v>0</v>
      </c>
      <c r="Y1527" s="150">
        <v>0</v>
      </c>
      <c r="Z1527" s="150">
        <v>0</v>
      </c>
      <c r="AA1527" s="150">
        <f t="shared" si="1319"/>
        <v>0</v>
      </c>
      <c r="AB1527" s="150">
        <v>0</v>
      </c>
      <c r="AC1527" s="199">
        <v>0</v>
      </c>
      <c r="AD1527" s="150">
        <f t="shared" si="1333"/>
        <v>0</v>
      </c>
      <c r="AE1527" s="150">
        <v>0</v>
      </c>
      <c r="AF1527" s="169" t="s">
        <v>4680</v>
      </c>
      <c r="AG1527" s="201">
        <v>0</v>
      </c>
      <c r="AH1527" s="199">
        <v>0</v>
      </c>
      <c r="AI1527" s="150">
        <v>0</v>
      </c>
      <c r="AJ1527" s="169">
        <f t="shared" si="1320"/>
        <v>0</v>
      </c>
      <c r="AK1527" s="201">
        <v>0</v>
      </c>
      <c r="AL1527" s="199">
        <v>0</v>
      </c>
      <c r="AM1527" s="150">
        <f t="shared" si="1334"/>
        <v>0</v>
      </c>
      <c r="AN1527" s="153">
        <f t="shared" si="1321"/>
        <v>0</v>
      </c>
      <c r="AO1527" s="154">
        <f t="shared" si="1322"/>
        <v>0</v>
      </c>
      <c r="AP1527" s="150">
        <v>0</v>
      </c>
      <c r="AQ1527" s="201">
        <v>0</v>
      </c>
      <c r="AR1527" s="199">
        <v>0</v>
      </c>
      <c r="AS1527" s="150">
        <f t="shared" si="1335"/>
        <v>0</v>
      </c>
      <c r="AT1527" s="155"/>
      <c r="AU1527" s="156">
        <f t="shared" si="1317"/>
        <v>0</v>
      </c>
      <c r="AV1527" s="156">
        <f t="shared" si="1318"/>
        <v>0</v>
      </c>
      <c r="AW1527" s="157"/>
      <c r="AX1527" s="150">
        <v>0</v>
      </c>
      <c r="AY1527" s="150">
        <v>0</v>
      </c>
      <c r="AZ1527" s="150"/>
      <c r="BA1527" s="150">
        <f t="shared" si="1336"/>
        <v>0</v>
      </c>
      <c r="BB1527" s="210"/>
      <c r="BC1527" s="210"/>
      <c r="BD1527" s="210"/>
      <c r="BE1527" s="210"/>
      <c r="BF1527" s="210"/>
      <c r="BG1527" s="210"/>
      <c r="BH1527" s="217"/>
      <c r="BI1527" s="210"/>
      <c r="BJ1527" s="210"/>
      <c r="BK1527" s="210"/>
      <c r="BL1527" s="210"/>
      <c r="BM1527" s="208"/>
      <c r="BN1527" s="160"/>
      <c r="BO1527" s="161">
        <f t="shared" si="1325"/>
        <v>0</v>
      </c>
      <c r="BP1527" s="161"/>
    </row>
    <row r="1528" spans="1:68" ht="51">
      <c r="A1528" s="210"/>
      <c r="B1528" s="195" t="s">
        <v>8727</v>
      </c>
      <c r="C1528" s="196" t="s">
        <v>8728</v>
      </c>
      <c r="D1528" s="146" t="s">
        <v>4692</v>
      </c>
      <c r="E1528" s="196" t="s">
        <v>8728</v>
      </c>
      <c r="F1528" s="150">
        <v>0</v>
      </c>
      <c r="G1528" s="209">
        <v>0</v>
      </c>
      <c r="H1528" s="209"/>
      <c r="I1528" s="209">
        <v>0</v>
      </c>
      <c r="J1528" s="150">
        <v>0</v>
      </c>
      <c r="K1528" s="150">
        <v>0</v>
      </c>
      <c r="L1528" s="150">
        <f t="shared" si="1324"/>
        <v>0</v>
      </c>
      <c r="M1528" s="150">
        <v>0</v>
      </c>
      <c r="N1528" s="150">
        <v>0</v>
      </c>
      <c r="O1528" s="150">
        <v>0</v>
      </c>
      <c r="P1528" s="150">
        <v>0</v>
      </c>
      <c r="Q1528" s="150">
        <v>0</v>
      </c>
      <c r="R1528" s="313">
        <f t="shared" si="1331"/>
        <v>0</v>
      </c>
      <c r="S1528" s="150">
        <f t="shared" si="1323"/>
        <v>0</v>
      </c>
      <c r="T1528" s="150">
        <v>0</v>
      </c>
      <c r="U1528" s="150">
        <v>0</v>
      </c>
      <c r="V1528" s="199">
        <v>0</v>
      </c>
      <c r="W1528" s="150">
        <f t="shared" si="1332"/>
        <v>0</v>
      </c>
      <c r="X1528" s="150">
        <v>0</v>
      </c>
      <c r="Y1528" s="150">
        <v>0</v>
      </c>
      <c r="Z1528" s="150">
        <v>0</v>
      </c>
      <c r="AA1528" s="150">
        <f t="shared" si="1319"/>
        <v>0</v>
      </c>
      <c r="AB1528" s="150">
        <v>0</v>
      </c>
      <c r="AC1528" s="199">
        <v>0</v>
      </c>
      <c r="AD1528" s="150">
        <f t="shared" si="1333"/>
        <v>0</v>
      </c>
      <c r="AE1528" s="150">
        <v>0</v>
      </c>
      <c r="AF1528" s="169" t="s">
        <v>4680</v>
      </c>
      <c r="AG1528" s="201">
        <v>0</v>
      </c>
      <c r="AH1528" s="199">
        <v>0</v>
      </c>
      <c r="AI1528" s="150">
        <v>0</v>
      </c>
      <c r="AJ1528" s="169">
        <f t="shared" si="1320"/>
        <v>0</v>
      </c>
      <c r="AK1528" s="201">
        <v>0</v>
      </c>
      <c r="AL1528" s="199">
        <v>0</v>
      </c>
      <c r="AM1528" s="150">
        <f t="shared" si="1334"/>
        <v>0</v>
      </c>
      <c r="AN1528" s="153">
        <f t="shared" si="1321"/>
        <v>0</v>
      </c>
      <c r="AO1528" s="154">
        <f t="shared" si="1322"/>
        <v>0</v>
      </c>
      <c r="AP1528" s="150">
        <v>0</v>
      </c>
      <c r="AQ1528" s="201">
        <v>0</v>
      </c>
      <c r="AR1528" s="199">
        <v>0</v>
      </c>
      <c r="AS1528" s="150">
        <f t="shared" si="1335"/>
        <v>0</v>
      </c>
      <c r="AT1528" s="155"/>
      <c r="AU1528" s="156">
        <f t="shared" si="1317"/>
        <v>0</v>
      </c>
      <c r="AV1528" s="156">
        <f t="shared" si="1318"/>
        <v>0</v>
      </c>
      <c r="AW1528" s="157"/>
      <c r="AX1528" s="150">
        <v>0</v>
      </c>
      <c r="AY1528" s="150">
        <v>0</v>
      </c>
      <c r="AZ1528" s="150"/>
      <c r="BA1528" s="150">
        <f t="shared" si="1336"/>
        <v>0</v>
      </c>
      <c r="BB1528" s="210"/>
      <c r="BC1528" s="210"/>
      <c r="BD1528" s="210"/>
      <c r="BE1528" s="210"/>
      <c r="BF1528" s="210"/>
      <c r="BG1528" s="210"/>
      <c r="BH1528" s="217"/>
      <c r="BI1528" s="210"/>
      <c r="BJ1528" s="210"/>
      <c r="BK1528" s="210"/>
      <c r="BL1528" s="210"/>
      <c r="BM1528" s="208"/>
      <c r="BN1528" s="160"/>
      <c r="BO1528" s="161">
        <f t="shared" si="1325"/>
        <v>0</v>
      </c>
      <c r="BP1528" s="161"/>
    </row>
    <row r="1529" spans="1:68" ht="38.25">
      <c r="A1529" s="210"/>
      <c r="B1529" s="195" t="s">
        <v>8729</v>
      </c>
      <c r="C1529" s="196" t="s">
        <v>8730</v>
      </c>
      <c r="D1529" s="146" t="s">
        <v>4692</v>
      </c>
      <c r="E1529" s="196" t="s">
        <v>8730</v>
      </c>
      <c r="F1529" s="150">
        <v>0</v>
      </c>
      <c r="G1529" s="209">
        <v>0</v>
      </c>
      <c r="H1529" s="209"/>
      <c r="I1529" s="209">
        <v>0</v>
      </c>
      <c r="J1529" s="150">
        <v>0</v>
      </c>
      <c r="K1529" s="150">
        <v>0</v>
      </c>
      <c r="L1529" s="150">
        <f t="shared" si="1324"/>
        <v>0</v>
      </c>
      <c r="M1529" s="150">
        <v>0</v>
      </c>
      <c r="N1529" s="150">
        <v>0</v>
      </c>
      <c r="O1529" s="150">
        <v>0</v>
      </c>
      <c r="P1529" s="150">
        <v>0</v>
      </c>
      <c r="Q1529" s="150">
        <v>0</v>
      </c>
      <c r="R1529" s="313">
        <f t="shared" si="1331"/>
        <v>0</v>
      </c>
      <c r="S1529" s="150">
        <f t="shared" si="1323"/>
        <v>0</v>
      </c>
      <c r="T1529" s="150">
        <v>0</v>
      </c>
      <c r="U1529" s="150">
        <v>0</v>
      </c>
      <c r="V1529" s="199">
        <v>0</v>
      </c>
      <c r="W1529" s="150">
        <f t="shared" si="1332"/>
        <v>0</v>
      </c>
      <c r="X1529" s="150">
        <v>0</v>
      </c>
      <c r="Y1529" s="150">
        <v>0</v>
      </c>
      <c r="Z1529" s="150">
        <v>0</v>
      </c>
      <c r="AA1529" s="150">
        <f t="shared" si="1319"/>
        <v>0</v>
      </c>
      <c r="AB1529" s="150">
        <v>0</v>
      </c>
      <c r="AC1529" s="199">
        <v>0</v>
      </c>
      <c r="AD1529" s="150">
        <f t="shared" si="1333"/>
        <v>0</v>
      </c>
      <c r="AE1529" s="150">
        <v>0</v>
      </c>
      <c r="AF1529" s="169" t="s">
        <v>4680</v>
      </c>
      <c r="AG1529" s="201">
        <v>0</v>
      </c>
      <c r="AH1529" s="199">
        <v>0</v>
      </c>
      <c r="AI1529" s="150">
        <v>0</v>
      </c>
      <c r="AJ1529" s="169">
        <f t="shared" si="1320"/>
        <v>0</v>
      </c>
      <c r="AK1529" s="201">
        <v>0</v>
      </c>
      <c r="AL1529" s="199">
        <v>0</v>
      </c>
      <c r="AM1529" s="150">
        <f t="shared" si="1334"/>
        <v>0</v>
      </c>
      <c r="AN1529" s="153">
        <f t="shared" si="1321"/>
        <v>0</v>
      </c>
      <c r="AO1529" s="154">
        <f t="shared" si="1322"/>
        <v>0</v>
      </c>
      <c r="AP1529" s="150">
        <v>0</v>
      </c>
      <c r="AQ1529" s="201">
        <v>0</v>
      </c>
      <c r="AR1529" s="199">
        <v>0</v>
      </c>
      <c r="AS1529" s="150">
        <f t="shared" si="1335"/>
        <v>0</v>
      </c>
      <c r="AT1529" s="155"/>
      <c r="AU1529" s="156">
        <f t="shared" si="1317"/>
        <v>0</v>
      </c>
      <c r="AV1529" s="156">
        <f t="shared" si="1318"/>
        <v>0</v>
      </c>
      <c r="AW1529" s="157"/>
      <c r="AX1529" s="150">
        <v>0</v>
      </c>
      <c r="AY1529" s="150">
        <v>0</v>
      </c>
      <c r="AZ1529" s="150"/>
      <c r="BA1529" s="150">
        <f t="shared" si="1336"/>
        <v>0</v>
      </c>
      <c r="BB1529" s="210"/>
      <c r="BC1529" s="210"/>
      <c r="BD1529" s="210"/>
      <c r="BE1529" s="210"/>
      <c r="BF1529" s="210"/>
      <c r="BG1529" s="210"/>
      <c r="BH1529" s="217"/>
      <c r="BI1529" s="210"/>
      <c r="BJ1529" s="210"/>
      <c r="BK1529" s="210"/>
      <c r="BL1529" s="210"/>
      <c r="BM1529" s="208"/>
      <c r="BN1529" s="160"/>
      <c r="BO1529" s="161">
        <f t="shared" si="1325"/>
        <v>0</v>
      </c>
      <c r="BP1529" s="161"/>
    </row>
    <row r="1530" spans="1:68" ht="63.75">
      <c r="A1530" s="210"/>
      <c r="B1530" s="195" t="s">
        <v>8731</v>
      </c>
      <c r="C1530" s="196" t="s">
        <v>8732</v>
      </c>
      <c r="D1530" s="146" t="s">
        <v>4692</v>
      </c>
      <c r="E1530" s="196" t="s">
        <v>8732</v>
      </c>
      <c r="F1530" s="150">
        <v>0</v>
      </c>
      <c r="G1530" s="209">
        <v>0</v>
      </c>
      <c r="H1530" s="209"/>
      <c r="I1530" s="209">
        <v>0</v>
      </c>
      <c r="J1530" s="150">
        <v>0</v>
      </c>
      <c r="K1530" s="150">
        <v>0</v>
      </c>
      <c r="L1530" s="150">
        <f t="shared" si="1324"/>
        <v>0</v>
      </c>
      <c r="M1530" s="150">
        <v>0</v>
      </c>
      <c r="N1530" s="150">
        <v>0</v>
      </c>
      <c r="O1530" s="150">
        <v>0</v>
      </c>
      <c r="P1530" s="150">
        <v>0</v>
      </c>
      <c r="Q1530" s="150">
        <v>0</v>
      </c>
      <c r="R1530" s="313">
        <f t="shared" si="1331"/>
        <v>0</v>
      </c>
      <c r="S1530" s="150">
        <f t="shared" si="1323"/>
        <v>0</v>
      </c>
      <c r="T1530" s="150">
        <v>0</v>
      </c>
      <c r="U1530" s="150">
        <v>0</v>
      </c>
      <c r="V1530" s="199">
        <v>0</v>
      </c>
      <c r="W1530" s="150">
        <f t="shared" si="1332"/>
        <v>0</v>
      </c>
      <c r="X1530" s="150">
        <v>0</v>
      </c>
      <c r="Y1530" s="150">
        <v>0</v>
      </c>
      <c r="Z1530" s="150">
        <v>0</v>
      </c>
      <c r="AA1530" s="150">
        <f t="shared" si="1319"/>
        <v>0</v>
      </c>
      <c r="AB1530" s="150">
        <v>0</v>
      </c>
      <c r="AC1530" s="199">
        <v>0</v>
      </c>
      <c r="AD1530" s="150">
        <f t="shared" si="1333"/>
        <v>0</v>
      </c>
      <c r="AE1530" s="150">
        <v>0</v>
      </c>
      <c r="AF1530" s="169" t="s">
        <v>4680</v>
      </c>
      <c r="AG1530" s="201">
        <v>0</v>
      </c>
      <c r="AH1530" s="199">
        <v>0</v>
      </c>
      <c r="AI1530" s="150">
        <v>0</v>
      </c>
      <c r="AJ1530" s="169">
        <f t="shared" si="1320"/>
        <v>0</v>
      </c>
      <c r="AK1530" s="201">
        <v>0</v>
      </c>
      <c r="AL1530" s="199">
        <v>0</v>
      </c>
      <c r="AM1530" s="150">
        <f t="shared" si="1334"/>
        <v>0</v>
      </c>
      <c r="AN1530" s="153">
        <f t="shared" si="1321"/>
        <v>0</v>
      </c>
      <c r="AO1530" s="154">
        <f t="shared" si="1322"/>
        <v>0</v>
      </c>
      <c r="AP1530" s="150">
        <v>0</v>
      </c>
      <c r="AQ1530" s="201">
        <v>0</v>
      </c>
      <c r="AR1530" s="199">
        <v>0</v>
      </c>
      <c r="AS1530" s="150">
        <f t="shared" si="1335"/>
        <v>0</v>
      </c>
      <c r="AT1530" s="155"/>
      <c r="AU1530" s="156">
        <f t="shared" si="1317"/>
        <v>0</v>
      </c>
      <c r="AV1530" s="156">
        <f t="shared" si="1318"/>
        <v>0</v>
      </c>
      <c r="AW1530" s="157"/>
      <c r="AX1530" s="150">
        <v>0</v>
      </c>
      <c r="AY1530" s="150">
        <v>0</v>
      </c>
      <c r="AZ1530" s="150"/>
      <c r="BA1530" s="150">
        <f t="shared" si="1336"/>
        <v>0</v>
      </c>
      <c r="BB1530" s="210"/>
      <c r="BC1530" s="210"/>
      <c r="BD1530" s="210"/>
      <c r="BE1530" s="210"/>
      <c r="BF1530" s="210"/>
      <c r="BG1530" s="210"/>
      <c r="BH1530" s="217"/>
      <c r="BI1530" s="210"/>
      <c r="BJ1530" s="210"/>
      <c r="BK1530" s="210"/>
      <c r="BL1530" s="210"/>
      <c r="BM1530" s="208"/>
      <c r="BN1530" s="160"/>
      <c r="BO1530" s="161">
        <f t="shared" si="1325"/>
        <v>0</v>
      </c>
      <c r="BP1530" s="161"/>
    </row>
    <row r="1531" spans="1:68" ht="51">
      <c r="A1531" s="210"/>
      <c r="B1531" s="195" t="s">
        <v>8733</v>
      </c>
      <c r="C1531" s="196" t="s">
        <v>8734</v>
      </c>
      <c r="D1531" s="146" t="s">
        <v>4692</v>
      </c>
      <c r="E1531" s="196" t="s">
        <v>8734</v>
      </c>
      <c r="F1531" s="150">
        <v>0</v>
      </c>
      <c r="G1531" s="209">
        <v>658327.8899999999</v>
      </c>
      <c r="H1531" s="209">
        <v>329790.41838706122</v>
      </c>
      <c r="I1531" s="209">
        <v>988118.30838706123</v>
      </c>
      <c r="J1531" s="150">
        <v>0</v>
      </c>
      <c r="K1531" s="150">
        <v>0</v>
      </c>
      <c r="L1531" s="150">
        <f t="shared" si="1324"/>
        <v>0</v>
      </c>
      <c r="M1531" s="150">
        <v>0</v>
      </c>
      <c r="N1531" s="150">
        <v>0</v>
      </c>
      <c r="O1531" s="150">
        <v>0</v>
      </c>
      <c r="P1531" s="150">
        <v>0</v>
      </c>
      <c r="Q1531" s="150">
        <v>0</v>
      </c>
      <c r="R1531" s="313">
        <f t="shared" si="1331"/>
        <v>0</v>
      </c>
      <c r="S1531" s="150">
        <f t="shared" si="1323"/>
        <v>0</v>
      </c>
      <c r="T1531" s="150">
        <v>0</v>
      </c>
      <c r="U1531" s="150">
        <v>0</v>
      </c>
      <c r="V1531" s="199">
        <v>0</v>
      </c>
      <c r="W1531" s="150">
        <f t="shared" si="1332"/>
        <v>0</v>
      </c>
      <c r="X1531" s="150">
        <v>0</v>
      </c>
      <c r="Y1531" s="150">
        <v>0</v>
      </c>
      <c r="Z1531" s="150">
        <v>0</v>
      </c>
      <c r="AA1531" s="150">
        <f t="shared" si="1319"/>
        <v>0</v>
      </c>
      <c r="AB1531" s="150">
        <v>0</v>
      </c>
      <c r="AC1531" s="199">
        <v>0</v>
      </c>
      <c r="AD1531" s="150">
        <f t="shared" si="1333"/>
        <v>0</v>
      </c>
      <c r="AE1531" s="150">
        <v>0</v>
      </c>
      <c r="AF1531" s="169" t="s">
        <v>4680</v>
      </c>
      <c r="AG1531" s="201">
        <v>0</v>
      </c>
      <c r="AH1531" s="199">
        <v>0</v>
      </c>
      <c r="AI1531" s="150">
        <v>0</v>
      </c>
      <c r="AJ1531" s="169">
        <f t="shared" si="1320"/>
        <v>0</v>
      </c>
      <c r="AK1531" s="201">
        <v>0</v>
      </c>
      <c r="AL1531" s="199">
        <v>0</v>
      </c>
      <c r="AM1531" s="150">
        <f t="shared" si="1334"/>
        <v>0</v>
      </c>
      <c r="AN1531" s="153">
        <f t="shared" si="1321"/>
        <v>0</v>
      </c>
      <c r="AO1531" s="154">
        <f t="shared" si="1322"/>
        <v>0</v>
      </c>
      <c r="AP1531" s="150">
        <v>0</v>
      </c>
      <c r="AQ1531" s="201">
        <v>0</v>
      </c>
      <c r="AR1531" s="199">
        <v>0</v>
      </c>
      <c r="AS1531" s="150">
        <f t="shared" si="1335"/>
        <v>0</v>
      </c>
      <c r="AT1531" s="155"/>
      <c r="AU1531" s="156">
        <f t="shared" si="1317"/>
        <v>0</v>
      </c>
      <c r="AV1531" s="156">
        <f t="shared" si="1318"/>
        <v>0</v>
      </c>
      <c r="AW1531" s="157"/>
      <c r="AX1531" s="150">
        <v>0</v>
      </c>
      <c r="AY1531" s="150">
        <v>0</v>
      </c>
      <c r="AZ1531" s="150"/>
      <c r="BA1531" s="150">
        <f t="shared" si="1336"/>
        <v>0</v>
      </c>
      <c r="BB1531" s="210"/>
      <c r="BC1531" s="210"/>
      <c r="BD1531" s="210"/>
      <c r="BE1531" s="210"/>
      <c r="BF1531" s="210"/>
      <c r="BG1531" s="210"/>
      <c r="BH1531" s="217"/>
      <c r="BI1531" s="210"/>
      <c r="BJ1531" s="210"/>
      <c r="BK1531" s="210"/>
      <c r="BL1531" s="210"/>
      <c r="BM1531" s="208"/>
      <c r="BN1531" s="160"/>
      <c r="BO1531" s="161">
        <f t="shared" si="1325"/>
        <v>0</v>
      </c>
      <c r="BP1531" s="161"/>
    </row>
    <row r="1532" spans="1:68" ht="25.5">
      <c r="A1532" s="262" t="s">
        <v>580</v>
      </c>
      <c r="B1532" s="163"/>
      <c r="C1532" s="164" t="s">
        <v>8735</v>
      </c>
      <c r="D1532" s="146" t="s">
        <v>4692</v>
      </c>
      <c r="E1532" s="164" t="s">
        <v>8735</v>
      </c>
      <c r="F1532" s="165">
        <v>988117.89</v>
      </c>
      <c r="G1532" s="166">
        <v>398584.52999999997</v>
      </c>
      <c r="H1532" s="166">
        <v>274651.730633375</v>
      </c>
      <c r="I1532" s="166">
        <v>673236.26063337503</v>
      </c>
      <c r="J1532" s="165">
        <f>J1533+J1592</f>
        <v>121572.04000000001</v>
      </c>
      <c r="K1532" s="165">
        <f>K1533+K1592</f>
        <v>67807.990000000005</v>
      </c>
      <c r="L1532" s="165">
        <f t="shared" si="1324"/>
        <v>189380.03000000003</v>
      </c>
      <c r="M1532" s="167">
        <v>266353.99</v>
      </c>
      <c r="N1532" s="167">
        <v>153627.29334345885</v>
      </c>
      <c r="O1532" s="167">
        <v>419981.28334345884</v>
      </c>
      <c r="P1532" s="232">
        <f t="shared" ref="P1532:R1532" si="1337">P1533+P1592</f>
        <v>425038.75999999995</v>
      </c>
      <c r="Q1532" s="232">
        <f t="shared" si="1337"/>
        <v>248007.90723353106</v>
      </c>
      <c r="R1532" s="232">
        <f t="shared" si="1337"/>
        <v>673046.66723353101</v>
      </c>
      <c r="S1532" s="150">
        <f t="shared" si="1323"/>
        <v>897395.55631137465</v>
      </c>
      <c r="T1532" s="347">
        <f>T1533+T1592</f>
        <v>941417.8899999999</v>
      </c>
      <c r="U1532" s="232">
        <f t="shared" ref="U1532:W1532" si="1338">U1533+U1592</f>
        <v>615841.78</v>
      </c>
      <c r="V1532" s="233">
        <f t="shared" si="1338"/>
        <v>326577.69297804148</v>
      </c>
      <c r="W1532" s="232">
        <f t="shared" si="1338"/>
        <v>942419.47297804127</v>
      </c>
      <c r="X1532" s="232">
        <v>615841.78</v>
      </c>
      <c r="Y1532" s="232">
        <v>326577.69297804148</v>
      </c>
      <c r="Z1532" s="232">
        <v>942419.47297804127</v>
      </c>
      <c r="AA1532" s="232">
        <f t="shared" si="1319"/>
        <v>168.05702195863705</v>
      </c>
      <c r="AB1532" s="232">
        <v>615841.78</v>
      </c>
      <c r="AC1532" s="233">
        <v>326745.75</v>
      </c>
      <c r="AD1532" s="232">
        <f t="shared" ref="AD1532" si="1339">AD1533+AD1592</f>
        <v>942587.52999999991</v>
      </c>
      <c r="AE1532" s="232">
        <v>942587.52999999991</v>
      </c>
      <c r="AF1532" s="169" t="s">
        <v>4680</v>
      </c>
      <c r="AG1532" s="234">
        <v>615841.78</v>
      </c>
      <c r="AH1532" s="233">
        <v>326745.75</v>
      </c>
      <c r="AI1532" s="232">
        <v>942587.52999999991</v>
      </c>
      <c r="AJ1532" s="169">
        <f t="shared" si="1320"/>
        <v>0</v>
      </c>
      <c r="AK1532" s="234">
        <v>615841.78</v>
      </c>
      <c r="AL1532" s="233">
        <v>326745.75</v>
      </c>
      <c r="AM1532" s="232">
        <f t="shared" ref="AM1532" si="1340">AM1533+AM1592</f>
        <v>942587.52999999991</v>
      </c>
      <c r="AN1532" s="153">
        <f t="shared" si="1321"/>
        <v>-1169.640000000014</v>
      </c>
      <c r="AO1532" s="154">
        <f t="shared" si="1322"/>
        <v>-1169.640000000014</v>
      </c>
      <c r="AP1532" s="232">
        <v>942587.52999999991</v>
      </c>
      <c r="AQ1532" s="234">
        <v>941417.8899999999</v>
      </c>
      <c r="AR1532" s="233">
        <f t="shared" ref="AR1532:AS1532" si="1341">AR1533+AR1592</f>
        <v>0</v>
      </c>
      <c r="AS1532" s="232">
        <f t="shared" si="1341"/>
        <v>941417.8899999999</v>
      </c>
      <c r="AT1532" s="155"/>
      <c r="AU1532" s="156">
        <f t="shared" si="1317"/>
        <v>0</v>
      </c>
      <c r="AV1532" s="156">
        <f t="shared" si="1318"/>
        <v>168.05702195863705</v>
      </c>
      <c r="AW1532" s="157"/>
      <c r="AX1532" s="150">
        <v>942419.47297804127</v>
      </c>
      <c r="AY1532" s="232">
        <f t="shared" ref="AY1532:BA1532" si="1342">AY1533+AY1592</f>
        <v>318375.14</v>
      </c>
      <c r="AZ1532" s="232">
        <f t="shared" si="1342"/>
        <v>544482.26668691775</v>
      </c>
      <c r="BA1532" s="232">
        <f t="shared" si="1342"/>
        <v>862857.40668691776</v>
      </c>
      <c r="BB1532" s="263">
        <v>5</v>
      </c>
      <c r="BC1532" s="262" t="s">
        <v>739</v>
      </c>
      <c r="BD1532" s="262" t="s">
        <v>630</v>
      </c>
      <c r="BE1532" s="162" t="s">
        <v>630</v>
      </c>
      <c r="BF1532" s="262" t="s">
        <v>630</v>
      </c>
      <c r="BG1532" s="164" t="s">
        <v>8735</v>
      </c>
      <c r="BH1532" s="235">
        <f>BH1533+BH1592</f>
        <v>941417.89</v>
      </c>
      <c r="BI1532" s="263"/>
      <c r="BJ1532" s="262" t="s">
        <v>8736</v>
      </c>
      <c r="BK1532" s="262" t="s">
        <v>580</v>
      </c>
      <c r="BL1532" s="172" t="s">
        <v>8737</v>
      </c>
      <c r="BM1532" s="349">
        <f>BM1533+BM1592</f>
        <v>941417.89</v>
      </c>
      <c r="BN1532" s="160"/>
      <c r="BO1532" s="161">
        <f t="shared" si="1325"/>
        <v>0</v>
      </c>
      <c r="BP1532" s="161"/>
    </row>
    <row r="1533" spans="1:68" ht="25.5">
      <c r="A1533" s="255" t="s">
        <v>581</v>
      </c>
      <c r="B1533" s="174"/>
      <c r="C1533" s="175" t="s">
        <v>86</v>
      </c>
      <c r="D1533" s="146" t="s">
        <v>4692</v>
      </c>
      <c r="E1533" s="175" t="s">
        <v>86</v>
      </c>
      <c r="F1533" s="176">
        <v>673236.53</v>
      </c>
      <c r="G1533" s="177">
        <v>188683.44999999998</v>
      </c>
      <c r="H1533" s="177">
        <v>153386.91628249999</v>
      </c>
      <c r="I1533" s="177">
        <v>342070.36628249998</v>
      </c>
      <c r="J1533" s="176">
        <f>J1534+J1562+J1590</f>
        <v>97223.85</v>
      </c>
      <c r="K1533" s="176">
        <f>K1534+K1562+K1590</f>
        <v>63452.3</v>
      </c>
      <c r="L1533" s="176">
        <f t="shared" si="1324"/>
        <v>160676.15000000002</v>
      </c>
      <c r="M1533" s="178">
        <v>216645.39</v>
      </c>
      <c r="N1533" s="178">
        <v>129575.75378953846</v>
      </c>
      <c r="O1533" s="178">
        <v>346221.14378953847</v>
      </c>
      <c r="P1533" s="221">
        <f t="shared" ref="P1533:R1533" si="1343">P1534+P1562+P1590</f>
        <v>350449.45999999996</v>
      </c>
      <c r="Q1533" s="221">
        <f t="shared" si="1343"/>
        <v>233447.67653469229</v>
      </c>
      <c r="R1533" s="221">
        <f t="shared" si="1343"/>
        <v>583897.13653469225</v>
      </c>
      <c r="S1533" s="150">
        <f t="shared" si="1323"/>
        <v>778529.51537958963</v>
      </c>
      <c r="T1533" s="347">
        <f>T1534+T1562</f>
        <v>824968.03999999992</v>
      </c>
      <c r="U1533" s="221">
        <f t="shared" ref="U1533:W1533" si="1344">U1534+U1562+U1590</f>
        <v>513615.11</v>
      </c>
      <c r="V1533" s="222">
        <f t="shared" si="1344"/>
        <v>314320.00204625644</v>
      </c>
      <c r="W1533" s="221">
        <f t="shared" si="1344"/>
        <v>827935.11204625631</v>
      </c>
      <c r="X1533" s="221">
        <v>513615.11</v>
      </c>
      <c r="Y1533" s="221">
        <v>314320.00204625644</v>
      </c>
      <c r="Z1533" s="221">
        <v>827935.11204625631</v>
      </c>
      <c r="AA1533" s="221">
        <f t="shared" si="1319"/>
        <v>-2967.0720462563913</v>
      </c>
      <c r="AB1533" s="221">
        <v>513615.11</v>
      </c>
      <c r="AC1533" s="222">
        <v>311352.93</v>
      </c>
      <c r="AD1533" s="221">
        <f t="shared" ref="AD1533" si="1345">AD1534+AD1562+AD1590</f>
        <v>824968.03999999992</v>
      </c>
      <c r="AE1533" s="221">
        <v>824968.03999999992</v>
      </c>
      <c r="AF1533" s="169" t="s">
        <v>4680</v>
      </c>
      <c r="AG1533" s="223">
        <v>513615.11</v>
      </c>
      <c r="AH1533" s="222">
        <v>311352.93</v>
      </c>
      <c r="AI1533" s="221">
        <v>824968.03999999992</v>
      </c>
      <c r="AJ1533" s="169">
        <f t="shared" si="1320"/>
        <v>0</v>
      </c>
      <c r="AK1533" s="223">
        <v>513615.11</v>
      </c>
      <c r="AL1533" s="222">
        <v>311352.93</v>
      </c>
      <c r="AM1533" s="221">
        <f t="shared" ref="AM1533" si="1346">AM1534+AM1562+AM1590</f>
        <v>824968.03999999992</v>
      </c>
      <c r="AN1533" s="153">
        <f t="shared" si="1321"/>
        <v>0</v>
      </c>
      <c r="AO1533" s="154">
        <f t="shared" si="1322"/>
        <v>0</v>
      </c>
      <c r="AP1533" s="221">
        <v>824968.03999999992</v>
      </c>
      <c r="AQ1533" s="223">
        <v>824968.03999999992</v>
      </c>
      <c r="AR1533" s="222">
        <f t="shared" ref="AR1533:AS1533" si="1347">AR1534+AR1562+AR1590</f>
        <v>0</v>
      </c>
      <c r="AS1533" s="221">
        <f t="shared" si="1347"/>
        <v>824968.03999999992</v>
      </c>
      <c r="AT1533" s="155"/>
      <c r="AU1533" s="156">
        <f t="shared" si="1317"/>
        <v>0</v>
      </c>
      <c r="AV1533" s="156">
        <f t="shared" si="1318"/>
        <v>-2967.0720462563913</v>
      </c>
      <c r="AW1533" s="157"/>
      <c r="AX1533" s="150">
        <v>827935.11204625631</v>
      </c>
      <c r="AY1533" s="221">
        <f t="shared" ref="AY1533:BA1533" si="1348">AY1534+AY1562+AY1590</f>
        <v>260345.07</v>
      </c>
      <c r="AZ1533" s="221">
        <f t="shared" si="1348"/>
        <v>454992.05757907691</v>
      </c>
      <c r="BA1533" s="221">
        <f t="shared" si="1348"/>
        <v>715337.12757907691</v>
      </c>
      <c r="BB1533" s="254">
        <v>5</v>
      </c>
      <c r="BC1533" s="255" t="s">
        <v>739</v>
      </c>
      <c r="BD1533" s="255" t="s">
        <v>632</v>
      </c>
      <c r="BE1533" s="173" t="s">
        <v>630</v>
      </c>
      <c r="BF1533" s="255" t="s">
        <v>630</v>
      </c>
      <c r="BG1533" s="175" t="s">
        <v>86</v>
      </c>
      <c r="BH1533" s="224">
        <f>BH1534+BH1562+BH1590</f>
        <v>824968.04</v>
      </c>
      <c r="BI1533" s="254"/>
      <c r="BJ1533" s="255" t="s">
        <v>8738</v>
      </c>
      <c r="BK1533" s="255" t="s">
        <v>581</v>
      </c>
      <c r="BL1533" s="182" t="s">
        <v>8739</v>
      </c>
      <c r="BM1533" s="337">
        <f>BM1534+BM1562+BM1590</f>
        <v>824968.04</v>
      </c>
      <c r="BN1533" s="160"/>
      <c r="BO1533" s="161">
        <f t="shared" si="1325"/>
        <v>0</v>
      </c>
      <c r="BP1533" s="161"/>
    </row>
    <row r="1534" spans="1:68" ht="38.25">
      <c r="A1534" s="256" t="s">
        <v>582</v>
      </c>
      <c r="B1534" s="184"/>
      <c r="C1534" s="185" t="s">
        <v>87</v>
      </c>
      <c r="D1534" s="146" t="s">
        <v>4692</v>
      </c>
      <c r="E1534" s="185" t="s">
        <v>87</v>
      </c>
      <c r="F1534" s="188">
        <v>342070.45</v>
      </c>
      <c r="G1534" s="187">
        <v>118010.73</v>
      </c>
      <c r="H1534" s="187">
        <v>0</v>
      </c>
      <c r="I1534" s="187">
        <v>118010.73</v>
      </c>
      <c r="J1534" s="188">
        <f>SUM(J1535:J1561)</f>
        <v>50235.180000000008</v>
      </c>
      <c r="K1534" s="188">
        <f>SUM(K1535:K1561)</f>
        <v>29985.91</v>
      </c>
      <c r="L1534" s="188">
        <f t="shared" si="1324"/>
        <v>80221.090000000011</v>
      </c>
      <c r="M1534" s="188">
        <v>110589.27000000002</v>
      </c>
      <c r="N1534" s="188">
        <v>57100.143628769234</v>
      </c>
      <c r="O1534" s="188">
        <v>167689.41362876925</v>
      </c>
      <c r="P1534" s="299">
        <f t="shared" ref="P1534:R1534" si="1349">SUM(P1535:P1561)</f>
        <v>175179.51999999999</v>
      </c>
      <c r="Q1534" s="299">
        <f t="shared" si="1349"/>
        <v>89801.253253153845</v>
      </c>
      <c r="R1534" s="299">
        <f t="shared" si="1349"/>
        <v>264980.77325315383</v>
      </c>
      <c r="S1534" s="150">
        <f t="shared" si="1323"/>
        <v>353307.69767087174</v>
      </c>
      <c r="T1534" s="347">
        <f>SUM(T1535:T1561)</f>
        <v>338360.00999999995</v>
      </c>
      <c r="U1534" s="299">
        <f t="shared" ref="U1534:W1534" si="1350">SUM(U1535:U1561)</f>
        <v>250321.57</v>
      </c>
      <c r="V1534" s="226">
        <f t="shared" si="1350"/>
        <v>148620.71100420514</v>
      </c>
      <c r="W1534" s="299">
        <f t="shared" si="1350"/>
        <v>398942.28100420511</v>
      </c>
      <c r="X1534" s="299">
        <v>250321.57</v>
      </c>
      <c r="Y1534" s="299">
        <v>148620.71100420514</v>
      </c>
      <c r="Z1534" s="299">
        <v>398942.28100420511</v>
      </c>
      <c r="AA1534" s="299">
        <f t="shared" si="1319"/>
        <v>-60582.271004205162</v>
      </c>
      <c r="AB1534" s="299">
        <v>250321.57</v>
      </c>
      <c r="AC1534" s="226">
        <v>88038.44</v>
      </c>
      <c r="AD1534" s="299">
        <f t="shared" ref="AD1534" si="1351">SUM(AD1535:AD1561)</f>
        <v>338360.00999999995</v>
      </c>
      <c r="AE1534" s="299">
        <v>338360.00999999995</v>
      </c>
      <c r="AF1534" s="169" t="s">
        <v>4680</v>
      </c>
      <c r="AG1534" s="301">
        <v>250321.57</v>
      </c>
      <c r="AH1534" s="226">
        <v>88038.44</v>
      </c>
      <c r="AI1534" s="299">
        <v>338360.00999999995</v>
      </c>
      <c r="AJ1534" s="169">
        <f t="shared" si="1320"/>
        <v>0</v>
      </c>
      <c r="AK1534" s="301">
        <v>250321.57</v>
      </c>
      <c r="AL1534" s="226">
        <v>88038.44</v>
      </c>
      <c r="AM1534" s="299">
        <f t="shared" ref="AM1534" si="1352">SUM(AM1535:AM1561)</f>
        <v>338360.00999999995</v>
      </c>
      <c r="AN1534" s="153">
        <f t="shared" si="1321"/>
        <v>0</v>
      </c>
      <c r="AO1534" s="154">
        <f t="shared" si="1322"/>
        <v>0</v>
      </c>
      <c r="AP1534" s="299">
        <v>338360.00999999995</v>
      </c>
      <c r="AQ1534" s="301">
        <v>338360.00999999995</v>
      </c>
      <c r="AR1534" s="226">
        <f t="shared" ref="AR1534:AS1534" si="1353">SUM(AR1535:AR1561)</f>
        <v>0</v>
      </c>
      <c r="AS1534" s="299">
        <f t="shared" si="1353"/>
        <v>338360.00999999995</v>
      </c>
      <c r="AT1534" s="155"/>
      <c r="AU1534" s="156">
        <f t="shared" si="1317"/>
        <v>0</v>
      </c>
      <c r="AV1534" s="156">
        <f t="shared" si="1318"/>
        <v>-60582.271004205162</v>
      </c>
      <c r="AW1534" s="157"/>
      <c r="AX1534" s="150">
        <v>398942.28100420511</v>
      </c>
      <c r="AY1534" s="299">
        <f t="shared" ref="AY1534:BA1534" si="1354">SUM(AY1535:AY1561)</f>
        <v>132122.19</v>
      </c>
      <c r="AZ1534" s="299">
        <f t="shared" si="1354"/>
        <v>226151.47725753847</v>
      </c>
      <c r="BA1534" s="299">
        <f t="shared" si="1354"/>
        <v>358273.66725753847</v>
      </c>
      <c r="BB1534" s="192">
        <v>5</v>
      </c>
      <c r="BC1534" s="256" t="s">
        <v>739</v>
      </c>
      <c r="BD1534" s="256" t="s">
        <v>632</v>
      </c>
      <c r="BE1534" s="183" t="s">
        <v>632</v>
      </c>
      <c r="BF1534" s="256" t="s">
        <v>630</v>
      </c>
      <c r="BG1534" s="185" t="s">
        <v>87</v>
      </c>
      <c r="BH1534" s="302">
        <f>SUM(BH1535:BH1561)</f>
        <v>338360.01</v>
      </c>
      <c r="BI1534" s="192"/>
      <c r="BJ1534" s="256" t="s">
        <v>8740</v>
      </c>
      <c r="BK1534" s="256" t="s">
        <v>582</v>
      </c>
      <c r="BL1534" s="238" t="s">
        <v>8741</v>
      </c>
      <c r="BM1534" s="338">
        <f>BM1535+BM1536+BM1537+BM1538+BM1539+BM1547+BM1548+BM1561</f>
        <v>338360.01</v>
      </c>
      <c r="BN1534" s="160"/>
      <c r="BO1534" s="161">
        <f t="shared" si="1325"/>
        <v>0</v>
      </c>
      <c r="BP1534" s="161"/>
    </row>
    <row r="1535" spans="1:68" ht="51">
      <c r="A1535" s="206" t="s">
        <v>582</v>
      </c>
      <c r="B1535" s="195" t="s">
        <v>8742</v>
      </c>
      <c r="C1535" s="196" t="s">
        <v>8743</v>
      </c>
      <c r="D1535" s="146" t="s">
        <v>4692</v>
      </c>
      <c r="E1535" s="196" t="s">
        <v>8743</v>
      </c>
      <c r="F1535" s="150">
        <v>118010.73</v>
      </c>
      <c r="G1535" s="209">
        <v>22132.82</v>
      </c>
      <c r="H1535" s="209">
        <v>63800.781250000007</v>
      </c>
      <c r="I1535" s="209">
        <v>85933.601250000007</v>
      </c>
      <c r="J1535" s="150">
        <v>32603.49</v>
      </c>
      <c r="K1535" s="150">
        <v>3411.84</v>
      </c>
      <c r="L1535" s="150">
        <f t="shared" si="1324"/>
        <v>36015.33</v>
      </c>
      <c r="M1535" s="150">
        <v>65520.36</v>
      </c>
      <c r="N1535" s="150">
        <v>6916.7660040000046</v>
      </c>
      <c r="O1535" s="150">
        <v>72437.126004000005</v>
      </c>
      <c r="P1535" s="150">
        <v>98602.64</v>
      </c>
      <c r="Q1535" s="150">
        <v>10409.15</v>
      </c>
      <c r="R1535" s="313">
        <f t="shared" ref="R1535:R1561" si="1355">P1535+Q1535</f>
        <v>109011.79</v>
      </c>
      <c r="S1535" s="150">
        <f t="shared" si="1323"/>
        <v>145349.05333333334</v>
      </c>
      <c r="T1535" s="150">
        <v>141017.56</v>
      </c>
      <c r="U1535" s="150">
        <v>141017.56</v>
      </c>
      <c r="V1535" s="199">
        <v>0</v>
      </c>
      <c r="W1535" s="150">
        <f t="shared" ref="W1535:W1561" si="1356">U1535+V1535</f>
        <v>141017.56</v>
      </c>
      <c r="X1535" s="150">
        <v>141017.56</v>
      </c>
      <c r="Y1535" s="150">
        <v>0</v>
      </c>
      <c r="Z1535" s="150">
        <v>141017.56</v>
      </c>
      <c r="AA1535" s="150">
        <f t="shared" si="1319"/>
        <v>0</v>
      </c>
      <c r="AB1535" s="150">
        <v>141017.56</v>
      </c>
      <c r="AC1535" s="199">
        <v>0</v>
      </c>
      <c r="AD1535" s="150">
        <f t="shared" ref="AD1535:AD1561" si="1357">AB1535+AC1535</f>
        <v>141017.56</v>
      </c>
      <c r="AE1535" s="150">
        <v>141017.56</v>
      </c>
      <c r="AF1535" s="169" t="s">
        <v>4680</v>
      </c>
      <c r="AG1535" s="201">
        <v>141017.56</v>
      </c>
      <c r="AH1535" s="199">
        <v>0</v>
      </c>
      <c r="AI1535" s="150">
        <v>141017.56</v>
      </c>
      <c r="AJ1535" s="169">
        <f t="shared" si="1320"/>
        <v>0</v>
      </c>
      <c r="AK1535" s="201">
        <v>141017.56</v>
      </c>
      <c r="AL1535" s="199">
        <v>0</v>
      </c>
      <c r="AM1535" s="150">
        <f t="shared" ref="AM1535:AM1561" si="1358">AK1535+AL1535</f>
        <v>141017.56</v>
      </c>
      <c r="AN1535" s="153">
        <f t="shared" si="1321"/>
        <v>0</v>
      </c>
      <c r="AO1535" s="154">
        <f t="shared" si="1322"/>
        <v>0</v>
      </c>
      <c r="AP1535" s="150">
        <v>141017.56</v>
      </c>
      <c r="AQ1535" s="201">
        <v>141017.56</v>
      </c>
      <c r="AR1535" s="199">
        <v>0</v>
      </c>
      <c r="AS1535" s="150">
        <f t="shared" ref="AS1535:AS1561" si="1359">AQ1535+AR1535</f>
        <v>141017.56</v>
      </c>
      <c r="AT1535" s="155"/>
      <c r="AU1535" s="156">
        <f t="shared" si="1317"/>
        <v>0</v>
      </c>
      <c r="AV1535" s="156">
        <f t="shared" si="1318"/>
        <v>0</v>
      </c>
      <c r="AW1535" s="157"/>
      <c r="AX1535" s="150">
        <v>141017.56</v>
      </c>
      <c r="AY1535" s="150">
        <v>76440.42</v>
      </c>
      <c r="AZ1535" s="150">
        <f t="shared" ref="AZ1535:AZ1589" si="1360">BA1535-AY1535</f>
        <v>91328.672008000009</v>
      </c>
      <c r="BA1535" s="348">
        <v>167769.09200800001</v>
      </c>
      <c r="BB1535" s="202">
        <v>5</v>
      </c>
      <c r="BC1535" s="202" t="s">
        <v>739</v>
      </c>
      <c r="BD1535" s="202" t="s">
        <v>632</v>
      </c>
      <c r="BE1535" s="202" t="s">
        <v>632</v>
      </c>
      <c r="BF1535" s="202" t="s">
        <v>632</v>
      </c>
      <c r="BG1535" s="207" t="s">
        <v>8744</v>
      </c>
      <c r="BH1535" s="216">
        <f>AS1535</f>
        <v>141017.56</v>
      </c>
      <c r="BI1535" s="205"/>
      <c r="BJ1535" s="206" t="s">
        <v>8740</v>
      </c>
      <c r="BK1535" s="206" t="s">
        <v>582</v>
      </c>
      <c r="BL1535" s="207" t="s">
        <v>8741</v>
      </c>
      <c r="BM1535" s="208">
        <f>BH1535</f>
        <v>141017.56</v>
      </c>
      <c r="BN1535" s="160"/>
      <c r="BO1535" s="161">
        <f t="shared" si="1325"/>
        <v>0</v>
      </c>
      <c r="BP1535" s="161"/>
    </row>
    <row r="1536" spans="1:68" ht="51">
      <c r="A1536" s="206" t="s">
        <v>582</v>
      </c>
      <c r="B1536" s="195" t="s">
        <v>8745</v>
      </c>
      <c r="C1536" s="196" t="s">
        <v>8746</v>
      </c>
      <c r="D1536" s="146" t="s">
        <v>4692</v>
      </c>
      <c r="E1536" s="196" t="s">
        <v>8746</v>
      </c>
      <c r="F1536" s="150">
        <v>85933.82</v>
      </c>
      <c r="G1536" s="209">
        <v>0</v>
      </c>
      <c r="H1536" s="209">
        <v>0</v>
      </c>
      <c r="I1536" s="209">
        <v>0</v>
      </c>
      <c r="J1536" s="150">
        <v>6576.87</v>
      </c>
      <c r="K1536" s="150">
        <v>9572.8799999999992</v>
      </c>
      <c r="L1536" s="150">
        <f t="shared" si="1324"/>
        <v>16149.75</v>
      </c>
      <c r="M1536" s="150">
        <v>20995.9</v>
      </c>
      <c r="N1536" s="150">
        <v>14533.554615384615</v>
      </c>
      <c r="O1536" s="150">
        <v>35529.454615384617</v>
      </c>
      <c r="P1536" s="150">
        <v>36300.839999999997</v>
      </c>
      <c r="Q1536" s="150">
        <v>25186.451923076922</v>
      </c>
      <c r="R1536" s="313">
        <f t="shared" si="1355"/>
        <v>61487.291923076918</v>
      </c>
      <c r="S1536" s="150">
        <f t="shared" si="1323"/>
        <v>81983.055897435901</v>
      </c>
      <c r="T1536" s="150">
        <v>74830.960000000006</v>
      </c>
      <c r="U1536" s="150">
        <v>52862.84</v>
      </c>
      <c r="V1536" s="199">
        <v>68119.055897435901</v>
      </c>
      <c r="W1536" s="150">
        <f t="shared" si="1356"/>
        <v>120981.8958974359</v>
      </c>
      <c r="X1536" s="150">
        <v>52862.84</v>
      </c>
      <c r="Y1536" s="150">
        <v>68119.055897435901</v>
      </c>
      <c r="Z1536" s="150">
        <v>120981.8958974359</v>
      </c>
      <c r="AA1536" s="150">
        <f t="shared" si="1319"/>
        <v>-46150.935897435906</v>
      </c>
      <c r="AB1536" s="150">
        <v>52862.84</v>
      </c>
      <c r="AC1536" s="199">
        <v>21968.12</v>
      </c>
      <c r="AD1536" s="150">
        <f t="shared" si="1357"/>
        <v>74830.959999999992</v>
      </c>
      <c r="AE1536" s="150">
        <v>74830.959999999992</v>
      </c>
      <c r="AF1536" s="169" t="s">
        <v>4680</v>
      </c>
      <c r="AG1536" s="201">
        <v>52862.84</v>
      </c>
      <c r="AH1536" s="199">
        <v>21968.12</v>
      </c>
      <c r="AI1536" s="150">
        <v>74830.959999999992</v>
      </c>
      <c r="AJ1536" s="169">
        <f t="shared" si="1320"/>
        <v>0</v>
      </c>
      <c r="AK1536" s="201">
        <v>52862.84</v>
      </c>
      <c r="AL1536" s="199">
        <v>21968.12</v>
      </c>
      <c r="AM1536" s="150">
        <f t="shared" si="1358"/>
        <v>74830.959999999992</v>
      </c>
      <c r="AN1536" s="153">
        <f t="shared" si="1321"/>
        <v>0</v>
      </c>
      <c r="AO1536" s="154">
        <f t="shared" si="1322"/>
        <v>0</v>
      </c>
      <c r="AP1536" s="150">
        <v>74830.959999999992</v>
      </c>
      <c r="AQ1536" s="201">
        <v>74830.960000000006</v>
      </c>
      <c r="AR1536" s="199"/>
      <c r="AS1536" s="150">
        <f t="shared" si="1359"/>
        <v>74830.960000000006</v>
      </c>
      <c r="AT1536" s="155"/>
      <c r="AU1536" s="156">
        <f t="shared" si="1317"/>
        <v>0</v>
      </c>
      <c r="AV1536" s="156">
        <f t="shared" si="1318"/>
        <v>-46150.935897435906</v>
      </c>
      <c r="AW1536" s="157"/>
      <c r="AX1536" s="150">
        <v>120981.8958974359</v>
      </c>
      <c r="AY1536" s="150">
        <v>26948.73</v>
      </c>
      <c r="AZ1536" s="150">
        <f t="shared" si="1360"/>
        <v>44110.179230769238</v>
      </c>
      <c r="BA1536" s="348">
        <v>71058.909230769234</v>
      </c>
      <c r="BB1536" s="202">
        <v>5</v>
      </c>
      <c r="BC1536" s="202" t="s">
        <v>739</v>
      </c>
      <c r="BD1536" s="202" t="s">
        <v>632</v>
      </c>
      <c r="BE1536" s="202" t="s">
        <v>632</v>
      </c>
      <c r="BF1536" s="202" t="s">
        <v>647</v>
      </c>
      <c r="BG1536" s="207" t="s">
        <v>8747</v>
      </c>
      <c r="BH1536" s="216">
        <f>AS1536</f>
        <v>74830.960000000006</v>
      </c>
      <c r="BI1536" s="205"/>
      <c r="BJ1536" s="206" t="s">
        <v>8740</v>
      </c>
      <c r="BK1536" s="206" t="s">
        <v>582</v>
      </c>
      <c r="BL1536" s="207" t="s">
        <v>8741</v>
      </c>
      <c r="BM1536" s="208">
        <f>BH1536</f>
        <v>74830.960000000006</v>
      </c>
      <c r="BN1536" s="160"/>
      <c r="BO1536" s="161">
        <f t="shared" si="1325"/>
        <v>0</v>
      </c>
      <c r="BP1536" s="161"/>
    </row>
    <row r="1537" spans="1:68" ht="51">
      <c r="A1537" s="206" t="s">
        <v>582</v>
      </c>
      <c r="B1537" s="195" t="s">
        <v>8748</v>
      </c>
      <c r="C1537" s="196" t="s">
        <v>8749</v>
      </c>
      <c r="D1537" s="146" t="s">
        <v>4692</v>
      </c>
      <c r="E1537" s="196" t="s">
        <v>8749</v>
      </c>
      <c r="F1537" s="150">
        <v>0</v>
      </c>
      <c r="G1537" s="209">
        <v>5500</v>
      </c>
      <c r="H1537" s="209">
        <v>58428.252500000002</v>
      </c>
      <c r="I1537" s="209">
        <v>63928.252500000002</v>
      </c>
      <c r="J1537" s="150">
        <v>0</v>
      </c>
      <c r="K1537" s="150">
        <v>0</v>
      </c>
      <c r="L1537" s="150">
        <f t="shared" si="1324"/>
        <v>0</v>
      </c>
      <c r="M1537" s="150">
        <v>0</v>
      </c>
      <c r="N1537" s="150">
        <v>0</v>
      </c>
      <c r="O1537" s="150">
        <v>0</v>
      </c>
      <c r="P1537" s="150">
        <v>0</v>
      </c>
      <c r="Q1537" s="150">
        <v>0</v>
      </c>
      <c r="R1537" s="313">
        <f t="shared" si="1355"/>
        <v>0</v>
      </c>
      <c r="S1537" s="150">
        <f t="shared" si="1323"/>
        <v>0</v>
      </c>
      <c r="T1537" s="150">
        <v>0</v>
      </c>
      <c r="U1537" s="150">
        <v>0</v>
      </c>
      <c r="V1537" s="199">
        <v>0</v>
      </c>
      <c r="W1537" s="150">
        <f t="shared" si="1356"/>
        <v>0</v>
      </c>
      <c r="X1537" s="150">
        <v>0</v>
      </c>
      <c r="Y1537" s="150">
        <v>0</v>
      </c>
      <c r="Z1537" s="150">
        <v>0</v>
      </c>
      <c r="AA1537" s="150">
        <f t="shared" si="1319"/>
        <v>0</v>
      </c>
      <c r="AB1537" s="150">
        <v>0</v>
      </c>
      <c r="AC1537" s="199">
        <v>0</v>
      </c>
      <c r="AD1537" s="150">
        <f t="shared" si="1357"/>
        <v>0</v>
      </c>
      <c r="AE1537" s="150">
        <v>0</v>
      </c>
      <c r="AF1537" s="169" t="s">
        <v>4680</v>
      </c>
      <c r="AG1537" s="201">
        <v>0</v>
      </c>
      <c r="AH1537" s="199">
        <v>0</v>
      </c>
      <c r="AI1537" s="150">
        <v>0</v>
      </c>
      <c r="AJ1537" s="169">
        <f t="shared" si="1320"/>
        <v>0</v>
      </c>
      <c r="AK1537" s="201">
        <v>0</v>
      </c>
      <c r="AL1537" s="199">
        <v>0</v>
      </c>
      <c r="AM1537" s="150">
        <f t="shared" si="1358"/>
        <v>0</v>
      </c>
      <c r="AN1537" s="153">
        <f t="shared" si="1321"/>
        <v>0</v>
      </c>
      <c r="AO1537" s="154">
        <f t="shared" si="1322"/>
        <v>0</v>
      </c>
      <c r="AP1537" s="150">
        <v>0</v>
      </c>
      <c r="AQ1537" s="201">
        <v>0</v>
      </c>
      <c r="AR1537" s="199">
        <v>0</v>
      </c>
      <c r="AS1537" s="150">
        <f t="shared" si="1359"/>
        <v>0</v>
      </c>
      <c r="AT1537" s="155"/>
      <c r="AU1537" s="156">
        <f t="shared" si="1317"/>
        <v>0</v>
      </c>
      <c r="AV1537" s="156">
        <f t="shared" si="1318"/>
        <v>0</v>
      </c>
      <c r="AW1537" s="157"/>
      <c r="AX1537" s="150">
        <v>0</v>
      </c>
      <c r="AY1537" s="150">
        <v>0</v>
      </c>
      <c r="AZ1537" s="150">
        <f t="shared" si="1360"/>
        <v>0</v>
      </c>
      <c r="BA1537" s="348">
        <v>0</v>
      </c>
      <c r="BB1537" s="205">
        <v>5</v>
      </c>
      <c r="BC1537" s="206" t="s">
        <v>739</v>
      </c>
      <c r="BD1537" s="206" t="s">
        <v>632</v>
      </c>
      <c r="BE1537" s="194" t="s">
        <v>632</v>
      </c>
      <c r="BF1537" s="206" t="s">
        <v>671</v>
      </c>
      <c r="BG1537" s="231" t="s">
        <v>8750</v>
      </c>
      <c r="BH1537" s="216">
        <f>AS1537</f>
        <v>0</v>
      </c>
      <c r="BI1537" s="205"/>
      <c r="BJ1537" s="206" t="s">
        <v>8740</v>
      </c>
      <c r="BK1537" s="206" t="s">
        <v>582</v>
      </c>
      <c r="BL1537" s="207" t="s">
        <v>8741</v>
      </c>
      <c r="BM1537" s="208">
        <f>BH1537</f>
        <v>0</v>
      </c>
      <c r="BN1537" s="160"/>
      <c r="BO1537" s="161">
        <f t="shared" si="1325"/>
        <v>0</v>
      </c>
      <c r="BP1537" s="161"/>
    </row>
    <row r="1538" spans="1:68" ht="51">
      <c r="A1538" s="206" t="s">
        <v>582</v>
      </c>
      <c r="B1538" s="195" t="s">
        <v>8751</v>
      </c>
      <c r="C1538" s="196" t="s">
        <v>8752</v>
      </c>
      <c r="D1538" s="146" t="s">
        <v>4692</v>
      </c>
      <c r="E1538" s="196" t="s">
        <v>8752</v>
      </c>
      <c r="F1538" s="150">
        <v>63928</v>
      </c>
      <c r="G1538" s="209">
        <v>37176.47</v>
      </c>
      <c r="H1538" s="209">
        <v>30927.972532500004</v>
      </c>
      <c r="I1538" s="209">
        <v>68104.442532500005</v>
      </c>
      <c r="J1538" s="150">
        <v>0</v>
      </c>
      <c r="K1538" s="150">
        <v>11623.32</v>
      </c>
      <c r="L1538" s="150">
        <f t="shared" si="1324"/>
        <v>11623.32</v>
      </c>
      <c r="M1538" s="150">
        <v>0</v>
      </c>
      <c r="N1538" s="150">
        <v>25571.300999999999</v>
      </c>
      <c r="O1538" s="150">
        <v>25571.300999999999</v>
      </c>
      <c r="P1538" s="150">
        <v>0</v>
      </c>
      <c r="Q1538" s="150">
        <v>38356.951499999996</v>
      </c>
      <c r="R1538" s="313">
        <f t="shared" si="1355"/>
        <v>38356.951499999996</v>
      </c>
      <c r="S1538" s="150">
        <f t="shared" si="1323"/>
        <v>51142.601999999999</v>
      </c>
      <c r="T1538" s="150">
        <v>48160.67</v>
      </c>
      <c r="U1538" s="150">
        <v>0</v>
      </c>
      <c r="V1538" s="199">
        <v>61142.601999999999</v>
      </c>
      <c r="W1538" s="150">
        <f t="shared" si="1356"/>
        <v>61142.601999999999</v>
      </c>
      <c r="X1538" s="150">
        <v>0</v>
      </c>
      <c r="Y1538" s="150">
        <v>61142.601999999999</v>
      </c>
      <c r="Z1538" s="150">
        <v>61142.601999999999</v>
      </c>
      <c r="AA1538" s="150">
        <f t="shared" si="1319"/>
        <v>-12981.932000000001</v>
      </c>
      <c r="AB1538" s="150">
        <v>0</v>
      </c>
      <c r="AC1538" s="199">
        <v>48160.67</v>
      </c>
      <c r="AD1538" s="150">
        <f t="shared" si="1357"/>
        <v>48160.67</v>
      </c>
      <c r="AE1538" s="150">
        <v>48160.67</v>
      </c>
      <c r="AF1538" s="169" t="s">
        <v>4680</v>
      </c>
      <c r="AG1538" s="201">
        <v>0</v>
      </c>
      <c r="AH1538" s="199">
        <v>48160.67</v>
      </c>
      <c r="AI1538" s="150">
        <v>48160.67</v>
      </c>
      <c r="AJ1538" s="169">
        <f t="shared" si="1320"/>
        <v>0</v>
      </c>
      <c r="AK1538" s="201">
        <v>0</v>
      </c>
      <c r="AL1538" s="199">
        <v>48160.67</v>
      </c>
      <c r="AM1538" s="150">
        <f t="shared" si="1358"/>
        <v>48160.67</v>
      </c>
      <c r="AN1538" s="153">
        <f t="shared" si="1321"/>
        <v>0</v>
      </c>
      <c r="AO1538" s="154">
        <f t="shared" si="1322"/>
        <v>0</v>
      </c>
      <c r="AP1538" s="150">
        <v>48160.67</v>
      </c>
      <c r="AQ1538" s="201">
        <v>48160.67</v>
      </c>
      <c r="AR1538" s="199"/>
      <c r="AS1538" s="150">
        <f t="shared" si="1359"/>
        <v>48160.67</v>
      </c>
      <c r="AT1538" s="155"/>
      <c r="AU1538" s="156">
        <f t="shared" ref="AU1538:AU1601" si="1361">AM1538-AD1538</f>
        <v>0</v>
      </c>
      <c r="AV1538" s="156">
        <f t="shared" ref="AV1538:AV1601" si="1362">AD1538-AX1538</f>
        <v>-12981.932000000001</v>
      </c>
      <c r="AW1538" s="157"/>
      <c r="AX1538" s="150">
        <v>61142.601999999999</v>
      </c>
      <c r="AY1538" s="150">
        <v>0</v>
      </c>
      <c r="AZ1538" s="150">
        <f t="shared" si="1360"/>
        <v>51142.601999999999</v>
      </c>
      <c r="BA1538" s="348">
        <v>51142.601999999999</v>
      </c>
      <c r="BB1538" s="205">
        <v>5</v>
      </c>
      <c r="BC1538" s="206" t="s">
        <v>739</v>
      </c>
      <c r="BD1538" s="206" t="s">
        <v>632</v>
      </c>
      <c r="BE1538" s="194" t="s">
        <v>632</v>
      </c>
      <c r="BF1538" s="206" t="s">
        <v>693</v>
      </c>
      <c r="BG1538" s="231" t="s">
        <v>8753</v>
      </c>
      <c r="BH1538" s="216">
        <f>AS1538</f>
        <v>48160.67</v>
      </c>
      <c r="BI1538" s="205"/>
      <c r="BJ1538" s="206" t="s">
        <v>8740</v>
      </c>
      <c r="BK1538" s="206" t="s">
        <v>582</v>
      </c>
      <c r="BL1538" s="207" t="s">
        <v>8741</v>
      </c>
      <c r="BM1538" s="208">
        <f>BH1538</f>
        <v>48160.67</v>
      </c>
      <c r="BN1538" s="160"/>
      <c r="BO1538" s="161">
        <f t="shared" si="1325"/>
        <v>0</v>
      </c>
      <c r="BP1538" s="161"/>
    </row>
    <row r="1539" spans="1:68" ht="38.25">
      <c r="A1539" s="206" t="s">
        <v>582</v>
      </c>
      <c r="B1539" s="195" t="s">
        <v>8754</v>
      </c>
      <c r="C1539" s="196" t="s">
        <v>8755</v>
      </c>
      <c r="D1539" s="146" t="s">
        <v>4692</v>
      </c>
      <c r="E1539" s="196" t="s">
        <v>8755</v>
      </c>
      <c r="F1539" s="150">
        <v>68104.47</v>
      </c>
      <c r="G1539" s="209">
        <v>5863.43</v>
      </c>
      <c r="H1539" s="209">
        <v>0</v>
      </c>
      <c r="I1539" s="209">
        <v>5863.43</v>
      </c>
      <c r="J1539" s="150">
        <v>9324.93</v>
      </c>
      <c r="K1539" s="150">
        <v>5320.39</v>
      </c>
      <c r="L1539" s="150">
        <f t="shared" si="1324"/>
        <v>14645.32</v>
      </c>
      <c r="M1539" s="150">
        <v>20660.689999999999</v>
      </c>
      <c r="N1539" s="150">
        <v>9963.5220093846146</v>
      </c>
      <c r="O1539" s="150">
        <v>30624.212009384613</v>
      </c>
      <c r="P1539" s="150">
        <v>35204.230000000003</v>
      </c>
      <c r="Q1539" s="150">
        <v>15848.699830076919</v>
      </c>
      <c r="R1539" s="313">
        <f t="shared" si="1355"/>
        <v>51052.929830076922</v>
      </c>
      <c r="S1539" s="150">
        <f t="shared" si="1323"/>
        <v>68070.573106769225</v>
      </c>
      <c r="T1539" s="150">
        <v>66621.17</v>
      </c>
      <c r="U1539" s="150">
        <v>49297.84</v>
      </c>
      <c r="V1539" s="199">
        <v>18772.733106769228</v>
      </c>
      <c r="W1539" s="150">
        <f t="shared" si="1356"/>
        <v>68070.573106769225</v>
      </c>
      <c r="X1539" s="150">
        <v>49297.84</v>
      </c>
      <c r="Y1539" s="150">
        <v>18772.733106769228</v>
      </c>
      <c r="Z1539" s="150">
        <v>68070.573106769225</v>
      </c>
      <c r="AA1539" s="150">
        <f t="shared" ref="AA1539:AA1602" si="1363">AD1539-Z1539</f>
        <v>-1449.4031067692267</v>
      </c>
      <c r="AB1539" s="150">
        <v>49297.84</v>
      </c>
      <c r="AC1539" s="199">
        <v>17323.330000000002</v>
      </c>
      <c r="AD1539" s="150">
        <f t="shared" si="1357"/>
        <v>66621.17</v>
      </c>
      <c r="AE1539" s="150">
        <v>66621.17</v>
      </c>
      <c r="AF1539" s="169" t="s">
        <v>4680</v>
      </c>
      <c r="AG1539" s="201">
        <v>49297.84</v>
      </c>
      <c r="AH1539" s="199">
        <v>17323.330000000002</v>
      </c>
      <c r="AI1539" s="150">
        <v>66621.17</v>
      </c>
      <c r="AJ1539" s="169">
        <f t="shared" ref="AJ1539:AJ1602" si="1364">AM1539-AI1539</f>
        <v>0</v>
      </c>
      <c r="AK1539" s="201">
        <v>49297.84</v>
      </c>
      <c r="AL1539" s="199">
        <v>17323.330000000002</v>
      </c>
      <c r="AM1539" s="150">
        <f t="shared" si="1358"/>
        <v>66621.17</v>
      </c>
      <c r="AN1539" s="153">
        <f t="shared" ref="AN1539:AN1602" si="1365">AS1539-AM1539</f>
        <v>0</v>
      </c>
      <c r="AO1539" s="154">
        <f t="shared" ref="AO1539:AO1602" si="1366">AS1539-AP1539</f>
        <v>0</v>
      </c>
      <c r="AP1539" s="150">
        <v>66621.17</v>
      </c>
      <c r="AQ1539" s="201">
        <v>66621.17</v>
      </c>
      <c r="AR1539" s="199"/>
      <c r="AS1539" s="150">
        <f t="shared" si="1359"/>
        <v>66621.17</v>
      </c>
      <c r="AT1539" s="155"/>
      <c r="AU1539" s="156">
        <f t="shared" si="1361"/>
        <v>0</v>
      </c>
      <c r="AV1539" s="156">
        <f t="shared" si="1362"/>
        <v>-1449.4031067692267</v>
      </c>
      <c r="AW1539" s="157"/>
      <c r="AX1539" s="150">
        <v>68070.573106769225</v>
      </c>
      <c r="AY1539" s="150">
        <v>24762.11</v>
      </c>
      <c r="AZ1539" s="150">
        <f t="shared" si="1360"/>
        <v>36486.314018769226</v>
      </c>
      <c r="BA1539" s="348">
        <v>61248.424018769227</v>
      </c>
      <c r="BB1539" s="202">
        <v>5</v>
      </c>
      <c r="BC1539" s="202" t="s">
        <v>739</v>
      </c>
      <c r="BD1539" s="202" t="s">
        <v>632</v>
      </c>
      <c r="BE1539" s="202" t="s">
        <v>632</v>
      </c>
      <c r="BF1539" s="202" t="s">
        <v>714</v>
      </c>
      <c r="BG1539" s="207" t="s">
        <v>8756</v>
      </c>
      <c r="BH1539" s="216">
        <f>SUM(AS1539:AS1546)</f>
        <v>74350.820000000007</v>
      </c>
      <c r="BI1539" s="205"/>
      <c r="BJ1539" s="206" t="s">
        <v>8740</v>
      </c>
      <c r="BK1539" s="206" t="s">
        <v>582</v>
      </c>
      <c r="BL1539" s="207" t="s">
        <v>8741</v>
      </c>
      <c r="BM1539" s="208">
        <f>BH1539</f>
        <v>74350.820000000007</v>
      </c>
      <c r="BN1539" s="160"/>
      <c r="BO1539" s="161"/>
      <c r="BP1539" s="161"/>
    </row>
    <row r="1540" spans="1:68" ht="38.25">
      <c r="A1540" s="210"/>
      <c r="B1540" s="195" t="s">
        <v>8757</v>
      </c>
      <c r="C1540" s="196" t="s">
        <v>8758</v>
      </c>
      <c r="D1540" s="146" t="s">
        <v>4692</v>
      </c>
      <c r="E1540" s="196" t="s">
        <v>8758</v>
      </c>
      <c r="F1540" s="150">
        <v>5863.43</v>
      </c>
      <c r="G1540" s="209">
        <v>0</v>
      </c>
      <c r="H1540" s="209">
        <v>0</v>
      </c>
      <c r="I1540" s="209">
        <v>0</v>
      </c>
      <c r="J1540" s="150">
        <v>1669.23</v>
      </c>
      <c r="K1540" s="150">
        <v>0</v>
      </c>
      <c r="L1540" s="150">
        <f t="shared" si="1324"/>
        <v>1669.23</v>
      </c>
      <c r="M1540" s="150">
        <v>3351.66</v>
      </c>
      <c r="N1540" s="150">
        <v>0</v>
      </c>
      <c r="O1540" s="150">
        <v>3351.66</v>
      </c>
      <c r="P1540" s="150">
        <v>5011.1499999999996</v>
      </c>
      <c r="Q1540" s="150">
        <v>0</v>
      </c>
      <c r="R1540" s="313">
        <f t="shared" si="1355"/>
        <v>5011.1499999999996</v>
      </c>
      <c r="S1540" s="150">
        <f t="shared" ref="S1540:S1603" si="1367">R1540/9*12</f>
        <v>6681.5333333333328</v>
      </c>
      <c r="T1540" s="150">
        <v>7082.67</v>
      </c>
      <c r="U1540" s="150">
        <v>7082.67</v>
      </c>
      <c r="V1540" s="199">
        <v>0</v>
      </c>
      <c r="W1540" s="150">
        <f t="shared" si="1356"/>
        <v>7082.67</v>
      </c>
      <c r="X1540" s="150">
        <v>7082.67</v>
      </c>
      <c r="Y1540" s="150">
        <v>0</v>
      </c>
      <c r="Z1540" s="150">
        <v>7082.67</v>
      </c>
      <c r="AA1540" s="150">
        <f t="shared" si="1363"/>
        <v>0</v>
      </c>
      <c r="AB1540" s="150">
        <v>7082.67</v>
      </c>
      <c r="AC1540" s="199">
        <v>0</v>
      </c>
      <c r="AD1540" s="150">
        <f t="shared" si="1357"/>
        <v>7082.67</v>
      </c>
      <c r="AE1540" s="150">
        <v>7082.67</v>
      </c>
      <c r="AF1540" s="169" t="s">
        <v>4680</v>
      </c>
      <c r="AG1540" s="201">
        <v>7082.67</v>
      </c>
      <c r="AH1540" s="199">
        <v>0</v>
      </c>
      <c r="AI1540" s="150">
        <v>7082.67</v>
      </c>
      <c r="AJ1540" s="169">
        <f t="shared" si="1364"/>
        <v>0</v>
      </c>
      <c r="AK1540" s="201">
        <v>7082.67</v>
      </c>
      <c r="AL1540" s="199">
        <v>0</v>
      </c>
      <c r="AM1540" s="150">
        <f t="shared" si="1358"/>
        <v>7082.67</v>
      </c>
      <c r="AN1540" s="153">
        <f t="shared" si="1365"/>
        <v>0</v>
      </c>
      <c r="AO1540" s="154">
        <f t="shared" si="1366"/>
        <v>0</v>
      </c>
      <c r="AP1540" s="150">
        <v>7082.67</v>
      </c>
      <c r="AQ1540" s="201">
        <v>7082.67</v>
      </c>
      <c r="AR1540" s="199">
        <v>0</v>
      </c>
      <c r="AS1540" s="150">
        <f t="shared" si="1359"/>
        <v>7082.67</v>
      </c>
      <c r="AT1540" s="155"/>
      <c r="AU1540" s="156">
        <f t="shared" si="1361"/>
        <v>0</v>
      </c>
      <c r="AV1540" s="156">
        <f t="shared" si="1362"/>
        <v>0</v>
      </c>
      <c r="AW1540" s="157"/>
      <c r="AX1540" s="150">
        <v>7082.67</v>
      </c>
      <c r="AY1540" s="150">
        <v>3910.27</v>
      </c>
      <c r="AZ1540" s="150">
        <f t="shared" si="1360"/>
        <v>2793.0499999999997</v>
      </c>
      <c r="BA1540" s="348">
        <v>6703.32</v>
      </c>
      <c r="BB1540" s="210"/>
      <c r="BC1540" s="210"/>
      <c r="BD1540" s="210"/>
      <c r="BE1540" s="210"/>
      <c r="BF1540" s="210"/>
      <c r="BG1540" s="210"/>
      <c r="BH1540" s="217"/>
      <c r="BI1540" s="210"/>
      <c r="BJ1540" s="210"/>
      <c r="BK1540" s="210"/>
      <c r="BL1540" s="210"/>
      <c r="BM1540" s="208"/>
      <c r="BN1540" s="160"/>
      <c r="BO1540" s="161"/>
      <c r="BP1540" s="161"/>
    </row>
    <row r="1541" spans="1:68" ht="38.25">
      <c r="A1541" s="210"/>
      <c r="B1541" s="195" t="s">
        <v>8759</v>
      </c>
      <c r="C1541" s="196" t="s">
        <v>8760</v>
      </c>
      <c r="D1541" s="146" t="s">
        <v>4692</v>
      </c>
      <c r="E1541" s="196" t="s">
        <v>8760</v>
      </c>
      <c r="F1541" s="150">
        <v>0</v>
      </c>
      <c r="G1541" s="209">
        <v>0</v>
      </c>
      <c r="H1541" s="209">
        <v>0</v>
      </c>
      <c r="I1541" s="209">
        <v>0</v>
      </c>
      <c r="J1541" s="150">
        <v>60.66</v>
      </c>
      <c r="K1541" s="150">
        <v>0</v>
      </c>
      <c r="L1541" s="150">
        <f t="shared" si="1324"/>
        <v>60.66</v>
      </c>
      <c r="M1541" s="150">
        <v>60.66</v>
      </c>
      <c r="N1541" s="150">
        <v>0</v>
      </c>
      <c r="O1541" s="150">
        <v>60.66</v>
      </c>
      <c r="P1541" s="150">
        <v>60.66</v>
      </c>
      <c r="Q1541" s="150">
        <v>0</v>
      </c>
      <c r="R1541" s="313">
        <f t="shared" si="1355"/>
        <v>60.66</v>
      </c>
      <c r="S1541" s="150">
        <f t="shared" si="1367"/>
        <v>80.88</v>
      </c>
      <c r="T1541" s="150">
        <v>60.66</v>
      </c>
      <c r="U1541" s="150">
        <v>60.66</v>
      </c>
      <c r="V1541" s="199">
        <v>0</v>
      </c>
      <c r="W1541" s="150">
        <f t="shared" si="1356"/>
        <v>60.66</v>
      </c>
      <c r="X1541" s="150">
        <v>60.66</v>
      </c>
      <c r="Y1541" s="150">
        <v>0</v>
      </c>
      <c r="Z1541" s="150">
        <v>60.66</v>
      </c>
      <c r="AA1541" s="150">
        <f t="shared" si="1363"/>
        <v>0</v>
      </c>
      <c r="AB1541" s="150">
        <v>60.66</v>
      </c>
      <c r="AC1541" s="199">
        <v>0</v>
      </c>
      <c r="AD1541" s="150">
        <f t="shared" si="1357"/>
        <v>60.66</v>
      </c>
      <c r="AE1541" s="150">
        <v>60.66</v>
      </c>
      <c r="AF1541" s="169" t="s">
        <v>4680</v>
      </c>
      <c r="AG1541" s="201">
        <v>60.66</v>
      </c>
      <c r="AH1541" s="199">
        <v>0</v>
      </c>
      <c r="AI1541" s="150">
        <v>60.66</v>
      </c>
      <c r="AJ1541" s="169">
        <f t="shared" si="1364"/>
        <v>0</v>
      </c>
      <c r="AK1541" s="201">
        <v>60.66</v>
      </c>
      <c r="AL1541" s="199">
        <v>0</v>
      </c>
      <c r="AM1541" s="150">
        <f t="shared" si="1358"/>
        <v>60.66</v>
      </c>
      <c r="AN1541" s="153">
        <f t="shared" si="1365"/>
        <v>0</v>
      </c>
      <c r="AO1541" s="154">
        <f t="shared" si="1366"/>
        <v>0</v>
      </c>
      <c r="AP1541" s="150">
        <v>60.66</v>
      </c>
      <c r="AQ1541" s="201">
        <v>60.66</v>
      </c>
      <c r="AR1541" s="199">
        <v>0</v>
      </c>
      <c r="AS1541" s="150">
        <f t="shared" si="1359"/>
        <v>60.66</v>
      </c>
      <c r="AT1541" s="155"/>
      <c r="AU1541" s="156">
        <f t="shared" si="1361"/>
        <v>0</v>
      </c>
      <c r="AV1541" s="156">
        <f t="shared" si="1362"/>
        <v>0</v>
      </c>
      <c r="AW1541" s="157"/>
      <c r="AX1541" s="150">
        <v>60.66</v>
      </c>
      <c r="AY1541" s="150">
        <v>60.66</v>
      </c>
      <c r="AZ1541" s="150">
        <f t="shared" si="1360"/>
        <v>60.66</v>
      </c>
      <c r="BA1541" s="348">
        <v>121.32</v>
      </c>
      <c r="BB1541" s="210"/>
      <c r="BC1541" s="210"/>
      <c r="BD1541" s="210"/>
      <c r="BE1541" s="210"/>
      <c r="BF1541" s="210"/>
      <c r="BG1541" s="210"/>
      <c r="BH1541" s="217"/>
      <c r="BI1541" s="210"/>
      <c r="BJ1541" s="210"/>
      <c r="BK1541" s="210"/>
      <c r="BL1541" s="210"/>
      <c r="BM1541" s="208"/>
      <c r="BN1541" s="160"/>
      <c r="BO1541" s="161"/>
      <c r="BP1541" s="161"/>
    </row>
    <row r="1542" spans="1:68" ht="38.25">
      <c r="A1542" s="210"/>
      <c r="B1542" s="195" t="s">
        <v>8761</v>
      </c>
      <c r="C1542" s="196" t="s">
        <v>8762</v>
      </c>
      <c r="D1542" s="146" t="s">
        <v>4692</v>
      </c>
      <c r="E1542" s="196" t="s">
        <v>8762</v>
      </c>
      <c r="F1542" s="150">
        <v>0</v>
      </c>
      <c r="G1542" s="209">
        <v>0</v>
      </c>
      <c r="H1542" s="209">
        <v>0</v>
      </c>
      <c r="I1542" s="209">
        <v>0</v>
      </c>
      <c r="J1542" s="150">
        <v>0</v>
      </c>
      <c r="K1542" s="150">
        <v>0</v>
      </c>
      <c r="L1542" s="150">
        <f t="shared" si="1324"/>
        <v>0</v>
      </c>
      <c r="M1542" s="150">
        <v>0</v>
      </c>
      <c r="N1542" s="150">
        <v>0</v>
      </c>
      <c r="O1542" s="150">
        <v>0</v>
      </c>
      <c r="P1542" s="150">
        <v>0</v>
      </c>
      <c r="Q1542" s="150">
        <v>0</v>
      </c>
      <c r="R1542" s="313">
        <f t="shared" si="1355"/>
        <v>0</v>
      </c>
      <c r="S1542" s="150">
        <f t="shared" si="1367"/>
        <v>0</v>
      </c>
      <c r="T1542" s="150">
        <v>0</v>
      </c>
      <c r="U1542" s="150">
        <v>0</v>
      </c>
      <c r="V1542" s="199">
        <v>0</v>
      </c>
      <c r="W1542" s="150">
        <f t="shared" si="1356"/>
        <v>0</v>
      </c>
      <c r="X1542" s="150">
        <v>0</v>
      </c>
      <c r="Y1542" s="150">
        <v>0</v>
      </c>
      <c r="Z1542" s="150">
        <v>0</v>
      </c>
      <c r="AA1542" s="150">
        <f t="shared" si="1363"/>
        <v>0</v>
      </c>
      <c r="AB1542" s="150">
        <v>0</v>
      </c>
      <c r="AC1542" s="199">
        <v>0</v>
      </c>
      <c r="AD1542" s="150">
        <f t="shared" si="1357"/>
        <v>0</v>
      </c>
      <c r="AE1542" s="150">
        <v>0</v>
      </c>
      <c r="AF1542" s="169" t="s">
        <v>4680</v>
      </c>
      <c r="AG1542" s="201">
        <v>0</v>
      </c>
      <c r="AH1542" s="199">
        <v>0</v>
      </c>
      <c r="AI1542" s="150">
        <v>0</v>
      </c>
      <c r="AJ1542" s="169">
        <f t="shared" si="1364"/>
        <v>0</v>
      </c>
      <c r="AK1542" s="201">
        <v>0</v>
      </c>
      <c r="AL1542" s="199">
        <v>0</v>
      </c>
      <c r="AM1542" s="150">
        <f t="shared" si="1358"/>
        <v>0</v>
      </c>
      <c r="AN1542" s="153">
        <f t="shared" si="1365"/>
        <v>0</v>
      </c>
      <c r="AO1542" s="154">
        <f t="shared" si="1366"/>
        <v>0</v>
      </c>
      <c r="AP1542" s="150">
        <v>0</v>
      </c>
      <c r="AQ1542" s="201">
        <v>0</v>
      </c>
      <c r="AR1542" s="199">
        <v>0</v>
      </c>
      <c r="AS1542" s="150">
        <f t="shared" si="1359"/>
        <v>0</v>
      </c>
      <c r="AT1542" s="155"/>
      <c r="AU1542" s="156">
        <f t="shared" si="1361"/>
        <v>0</v>
      </c>
      <c r="AV1542" s="156">
        <f t="shared" si="1362"/>
        <v>0</v>
      </c>
      <c r="AW1542" s="157"/>
      <c r="AX1542" s="150">
        <v>0</v>
      </c>
      <c r="AY1542" s="150">
        <v>0</v>
      </c>
      <c r="AZ1542" s="150">
        <f t="shared" si="1360"/>
        <v>0</v>
      </c>
      <c r="BA1542" s="348">
        <v>0</v>
      </c>
      <c r="BB1542" s="210"/>
      <c r="BC1542" s="210"/>
      <c r="BD1542" s="210"/>
      <c r="BE1542" s="210"/>
      <c r="BF1542" s="210"/>
      <c r="BG1542" s="210"/>
      <c r="BH1542" s="217"/>
      <c r="BI1542" s="210"/>
      <c r="BJ1542" s="210"/>
      <c r="BK1542" s="210"/>
      <c r="BL1542" s="210"/>
      <c r="BM1542" s="208"/>
      <c r="BN1542" s="160"/>
      <c r="BO1542" s="161"/>
      <c r="BP1542" s="161"/>
    </row>
    <row r="1543" spans="1:68" ht="38.25">
      <c r="A1543" s="210"/>
      <c r="B1543" s="195" t="s">
        <v>8763</v>
      </c>
      <c r="C1543" s="196" t="s">
        <v>8764</v>
      </c>
      <c r="D1543" s="146" t="s">
        <v>4692</v>
      </c>
      <c r="E1543" s="196" t="s">
        <v>8764</v>
      </c>
      <c r="F1543" s="150">
        <v>0</v>
      </c>
      <c r="G1543" s="209">
        <v>0</v>
      </c>
      <c r="H1543" s="209">
        <v>229.91</v>
      </c>
      <c r="I1543" s="209">
        <v>229.91</v>
      </c>
      <c r="J1543" s="150">
        <v>0</v>
      </c>
      <c r="K1543" s="150">
        <v>0</v>
      </c>
      <c r="L1543" s="150">
        <f t="shared" si="1324"/>
        <v>0</v>
      </c>
      <c r="M1543" s="150">
        <v>0</v>
      </c>
      <c r="N1543" s="150">
        <v>0</v>
      </c>
      <c r="O1543" s="150">
        <v>0</v>
      </c>
      <c r="P1543" s="150">
        <v>0</v>
      </c>
      <c r="Q1543" s="150">
        <v>0</v>
      </c>
      <c r="R1543" s="313">
        <f t="shared" si="1355"/>
        <v>0</v>
      </c>
      <c r="S1543" s="150">
        <f t="shared" si="1367"/>
        <v>0</v>
      </c>
      <c r="T1543" s="150">
        <v>0</v>
      </c>
      <c r="U1543" s="150">
        <v>0</v>
      </c>
      <c r="V1543" s="199">
        <v>0</v>
      </c>
      <c r="W1543" s="150">
        <f t="shared" si="1356"/>
        <v>0</v>
      </c>
      <c r="X1543" s="150">
        <v>0</v>
      </c>
      <c r="Y1543" s="150">
        <v>0</v>
      </c>
      <c r="Z1543" s="150">
        <v>0</v>
      </c>
      <c r="AA1543" s="150">
        <f t="shared" si="1363"/>
        <v>0</v>
      </c>
      <c r="AB1543" s="150">
        <v>0</v>
      </c>
      <c r="AC1543" s="199">
        <v>0</v>
      </c>
      <c r="AD1543" s="150">
        <f t="shared" si="1357"/>
        <v>0</v>
      </c>
      <c r="AE1543" s="150">
        <v>0</v>
      </c>
      <c r="AF1543" s="169" t="s">
        <v>4680</v>
      </c>
      <c r="AG1543" s="201">
        <v>0</v>
      </c>
      <c r="AH1543" s="199">
        <v>0</v>
      </c>
      <c r="AI1543" s="150">
        <v>0</v>
      </c>
      <c r="AJ1543" s="169">
        <f t="shared" si="1364"/>
        <v>0</v>
      </c>
      <c r="AK1543" s="201">
        <v>0</v>
      </c>
      <c r="AL1543" s="199">
        <v>0</v>
      </c>
      <c r="AM1543" s="150">
        <f t="shared" si="1358"/>
        <v>0</v>
      </c>
      <c r="AN1543" s="153">
        <f t="shared" si="1365"/>
        <v>0</v>
      </c>
      <c r="AO1543" s="154">
        <f t="shared" si="1366"/>
        <v>0</v>
      </c>
      <c r="AP1543" s="150">
        <v>0</v>
      </c>
      <c r="AQ1543" s="201">
        <v>0</v>
      </c>
      <c r="AR1543" s="199">
        <v>0</v>
      </c>
      <c r="AS1543" s="150">
        <f t="shared" si="1359"/>
        <v>0</v>
      </c>
      <c r="AT1543" s="155"/>
      <c r="AU1543" s="156">
        <f t="shared" si="1361"/>
        <v>0</v>
      </c>
      <c r="AV1543" s="156">
        <f t="shared" si="1362"/>
        <v>0</v>
      </c>
      <c r="AW1543" s="157"/>
      <c r="AX1543" s="150">
        <v>0</v>
      </c>
      <c r="AY1543" s="150">
        <v>0</v>
      </c>
      <c r="AZ1543" s="150">
        <f t="shared" si="1360"/>
        <v>0</v>
      </c>
      <c r="BA1543" s="348">
        <v>0</v>
      </c>
      <c r="BB1543" s="210"/>
      <c r="BC1543" s="210"/>
      <c r="BD1543" s="210"/>
      <c r="BE1543" s="210"/>
      <c r="BF1543" s="210"/>
      <c r="BG1543" s="210"/>
      <c r="BH1543" s="217"/>
      <c r="BI1543" s="210"/>
      <c r="BJ1543" s="210"/>
      <c r="BK1543" s="210"/>
      <c r="BL1543" s="210"/>
      <c r="BM1543" s="208"/>
      <c r="BN1543" s="160"/>
      <c r="BO1543" s="161"/>
      <c r="BP1543" s="161"/>
    </row>
    <row r="1544" spans="1:68" ht="38.25">
      <c r="A1544" s="210"/>
      <c r="B1544" s="195" t="s">
        <v>8765</v>
      </c>
      <c r="C1544" s="196" t="s">
        <v>8766</v>
      </c>
      <c r="D1544" s="146" t="s">
        <v>4692</v>
      </c>
      <c r="E1544" s="196" t="s">
        <v>8766</v>
      </c>
      <c r="F1544" s="150">
        <v>230</v>
      </c>
      <c r="G1544" s="209">
        <v>0</v>
      </c>
      <c r="H1544" s="209">
        <v>0</v>
      </c>
      <c r="I1544" s="209">
        <v>0</v>
      </c>
      <c r="J1544" s="150">
        <v>0</v>
      </c>
      <c r="K1544" s="150">
        <v>57.48</v>
      </c>
      <c r="L1544" s="150">
        <f t="shared" si="1324"/>
        <v>57.48</v>
      </c>
      <c r="M1544" s="150">
        <v>0</v>
      </c>
      <c r="N1544" s="150">
        <v>115</v>
      </c>
      <c r="O1544" s="150">
        <v>115</v>
      </c>
      <c r="P1544" s="150">
        <v>0</v>
      </c>
      <c r="Q1544" s="150">
        <v>0</v>
      </c>
      <c r="R1544" s="313">
        <f t="shared" si="1355"/>
        <v>0</v>
      </c>
      <c r="S1544" s="150">
        <f t="shared" si="1367"/>
        <v>0</v>
      </c>
      <c r="T1544" s="150">
        <v>586.32000000000005</v>
      </c>
      <c r="U1544" s="150">
        <v>0</v>
      </c>
      <c r="V1544" s="199">
        <v>586.32000000000005</v>
      </c>
      <c r="W1544" s="150">
        <f t="shared" si="1356"/>
        <v>586.32000000000005</v>
      </c>
      <c r="X1544" s="150">
        <v>0</v>
      </c>
      <c r="Y1544" s="150">
        <v>586.32000000000005</v>
      </c>
      <c r="Z1544" s="150">
        <v>586.32000000000005</v>
      </c>
      <c r="AA1544" s="150">
        <f t="shared" si="1363"/>
        <v>0</v>
      </c>
      <c r="AB1544" s="150">
        <v>0</v>
      </c>
      <c r="AC1544" s="199">
        <v>586.32000000000005</v>
      </c>
      <c r="AD1544" s="150">
        <f t="shared" si="1357"/>
        <v>586.32000000000005</v>
      </c>
      <c r="AE1544" s="150">
        <v>586.32000000000005</v>
      </c>
      <c r="AF1544" s="169" t="s">
        <v>4680</v>
      </c>
      <c r="AG1544" s="201">
        <v>0</v>
      </c>
      <c r="AH1544" s="199">
        <v>586.32000000000005</v>
      </c>
      <c r="AI1544" s="150">
        <v>586.32000000000005</v>
      </c>
      <c r="AJ1544" s="169">
        <f t="shared" si="1364"/>
        <v>0</v>
      </c>
      <c r="AK1544" s="201">
        <v>0</v>
      </c>
      <c r="AL1544" s="199">
        <v>586.32000000000005</v>
      </c>
      <c r="AM1544" s="150">
        <f t="shared" si="1358"/>
        <v>586.32000000000005</v>
      </c>
      <c r="AN1544" s="153">
        <f t="shared" si="1365"/>
        <v>0</v>
      </c>
      <c r="AO1544" s="154">
        <f t="shared" si="1366"/>
        <v>0</v>
      </c>
      <c r="AP1544" s="150">
        <v>586.32000000000005</v>
      </c>
      <c r="AQ1544" s="201">
        <v>586.32000000000005</v>
      </c>
      <c r="AR1544" s="199"/>
      <c r="AS1544" s="150">
        <f t="shared" si="1359"/>
        <v>586.32000000000005</v>
      </c>
      <c r="AT1544" s="155"/>
      <c r="AU1544" s="156">
        <f t="shared" si="1361"/>
        <v>0</v>
      </c>
      <c r="AV1544" s="156">
        <f t="shared" si="1362"/>
        <v>0</v>
      </c>
      <c r="AW1544" s="157"/>
      <c r="AX1544" s="150">
        <v>586.32000000000005</v>
      </c>
      <c r="AY1544" s="150">
        <v>0</v>
      </c>
      <c r="AZ1544" s="150">
        <f t="shared" si="1360"/>
        <v>230</v>
      </c>
      <c r="BA1544" s="348">
        <v>230</v>
      </c>
      <c r="BB1544" s="210"/>
      <c r="BC1544" s="210"/>
      <c r="BD1544" s="210"/>
      <c r="BE1544" s="210"/>
      <c r="BF1544" s="210"/>
      <c r="BG1544" s="210"/>
      <c r="BH1544" s="217"/>
      <c r="BI1544" s="210"/>
      <c r="BJ1544" s="210"/>
      <c r="BK1544" s="210"/>
      <c r="BL1544" s="210"/>
      <c r="BM1544" s="208"/>
      <c r="BN1544" s="160"/>
      <c r="BO1544" s="161"/>
      <c r="BP1544" s="161"/>
    </row>
    <row r="1545" spans="1:68" ht="51">
      <c r="A1545" s="210"/>
      <c r="B1545" s="195" t="s">
        <v>8767</v>
      </c>
      <c r="C1545" s="196" t="s">
        <v>8768</v>
      </c>
      <c r="D1545" s="146" t="s">
        <v>4692</v>
      </c>
      <c r="E1545" s="196" t="s">
        <v>8768</v>
      </c>
      <c r="F1545" s="150">
        <v>0</v>
      </c>
      <c r="G1545" s="209">
        <v>0</v>
      </c>
      <c r="H1545" s="209">
        <v>0</v>
      </c>
      <c r="I1545" s="209">
        <v>0</v>
      </c>
      <c r="J1545" s="150">
        <v>0</v>
      </c>
      <c r="K1545" s="150">
        <v>0</v>
      </c>
      <c r="L1545" s="150">
        <f t="shared" si="1324"/>
        <v>0</v>
      </c>
      <c r="M1545" s="150">
        <v>0</v>
      </c>
      <c r="N1545" s="150">
        <v>0</v>
      </c>
      <c r="O1545" s="150">
        <v>0</v>
      </c>
      <c r="P1545" s="150">
        <v>0</v>
      </c>
      <c r="Q1545" s="150">
        <v>0</v>
      </c>
      <c r="R1545" s="313">
        <f t="shared" si="1355"/>
        <v>0</v>
      </c>
      <c r="S1545" s="150">
        <f t="shared" si="1367"/>
        <v>0</v>
      </c>
      <c r="T1545" s="150">
        <v>0</v>
      </c>
      <c r="U1545" s="150">
        <v>0</v>
      </c>
      <c r="V1545" s="199">
        <v>0</v>
      </c>
      <c r="W1545" s="150">
        <f t="shared" si="1356"/>
        <v>0</v>
      </c>
      <c r="X1545" s="150">
        <v>0</v>
      </c>
      <c r="Y1545" s="150">
        <v>0</v>
      </c>
      <c r="Z1545" s="150">
        <v>0</v>
      </c>
      <c r="AA1545" s="150">
        <f t="shared" si="1363"/>
        <v>0</v>
      </c>
      <c r="AB1545" s="150">
        <v>0</v>
      </c>
      <c r="AC1545" s="199">
        <v>0</v>
      </c>
      <c r="AD1545" s="150">
        <f t="shared" si="1357"/>
        <v>0</v>
      </c>
      <c r="AE1545" s="150">
        <v>0</v>
      </c>
      <c r="AF1545" s="169" t="s">
        <v>4680</v>
      </c>
      <c r="AG1545" s="201">
        <v>0</v>
      </c>
      <c r="AH1545" s="199">
        <v>0</v>
      </c>
      <c r="AI1545" s="150">
        <v>0</v>
      </c>
      <c r="AJ1545" s="169">
        <f t="shared" si="1364"/>
        <v>0</v>
      </c>
      <c r="AK1545" s="201">
        <v>0</v>
      </c>
      <c r="AL1545" s="199">
        <v>0</v>
      </c>
      <c r="AM1545" s="150">
        <f t="shared" si="1358"/>
        <v>0</v>
      </c>
      <c r="AN1545" s="153">
        <f t="shared" si="1365"/>
        <v>0</v>
      </c>
      <c r="AO1545" s="154">
        <f t="shared" si="1366"/>
        <v>0</v>
      </c>
      <c r="AP1545" s="150">
        <v>0</v>
      </c>
      <c r="AQ1545" s="201">
        <v>0</v>
      </c>
      <c r="AR1545" s="199">
        <v>0</v>
      </c>
      <c r="AS1545" s="150">
        <f t="shared" si="1359"/>
        <v>0</v>
      </c>
      <c r="AT1545" s="155"/>
      <c r="AU1545" s="156">
        <f t="shared" si="1361"/>
        <v>0</v>
      </c>
      <c r="AV1545" s="156">
        <f t="shared" si="1362"/>
        <v>0</v>
      </c>
      <c r="AW1545" s="157"/>
      <c r="AX1545" s="150">
        <v>0</v>
      </c>
      <c r="AY1545" s="150">
        <v>0</v>
      </c>
      <c r="AZ1545" s="150">
        <f t="shared" si="1360"/>
        <v>0</v>
      </c>
      <c r="BA1545" s="348">
        <v>0</v>
      </c>
      <c r="BB1545" s="210"/>
      <c r="BC1545" s="210"/>
      <c r="BD1545" s="210"/>
      <c r="BE1545" s="210"/>
      <c r="BF1545" s="210"/>
      <c r="BG1545" s="210"/>
      <c r="BH1545" s="217"/>
      <c r="BI1545" s="210"/>
      <c r="BJ1545" s="210"/>
      <c r="BK1545" s="210"/>
      <c r="BL1545" s="210"/>
      <c r="BM1545" s="208"/>
      <c r="BN1545" s="160"/>
      <c r="BO1545" s="161"/>
      <c r="BP1545" s="161"/>
    </row>
    <row r="1546" spans="1:68" ht="51">
      <c r="A1546" s="210"/>
      <c r="B1546" s="195" t="s">
        <v>8769</v>
      </c>
      <c r="C1546" s="196" t="s">
        <v>8770</v>
      </c>
      <c r="D1546" s="146" t="s">
        <v>4692</v>
      </c>
      <c r="E1546" s="196" t="s">
        <v>8770</v>
      </c>
      <c r="F1546" s="150">
        <v>0</v>
      </c>
      <c r="G1546" s="209">
        <v>0</v>
      </c>
      <c r="H1546" s="209">
        <v>0</v>
      </c>
      <c r="I1546" s="209">
        <v>0</v>
      </c>
      <c r="J1546" s="150">
        <v>0</v>
      </c>
      <c r="K1546" s="150">
        <v>0</v>
      </c>
      <c r="L1546" s="150">
        <f t="shared" ref="L1546:L1609" si="1368">J1546+K1546</f>
        <v>0</v>
      </c>
      <c r="M1546" s="150">
        <v>0</v>
      </c>
      <c r="N1546" s="150">
        <v>0</v>
      </c>
      <c r="O1546" s="150">
        <v>0</v>
      </c>
      <c r="P1546" s="150">
        <v>0</v>
      </c>
      <c r="Q1546" s="150">
        <v>0</v>
      </c>
      <c r="R1546" s="313">
        <f t="shared" si="1355"/>
        <v>0</v>
      </c>
      <c r="S1546" s="150">
        <f t="shared" si="1367"/>
        <v>0</v>
      </c>
      <c r="T1546" s="150">
        <v>0</v>
      </c>
      <c r="U1546" s="150">
        <v>0</v>
      </c>
      <c r="V1546" s="199">
        <v>0</v>
      </c>
      <c r="W1546" s="150">
        <f t="shared" si="1356"/>
        <v>0</v>
      </c>
      <c r="X1546" s="150">
        <v>0</v>
      </c>
      <c r="Y1546" s="150">
        <v>0</v>
      </c>
      <c r="Z1546" s="150">
        <v>0</v>
      </c>
      <c r="AA1546" s="150">
        <f t="shared" si="1363"/>
        <v>0</v>
      </c>
      <c r="AB1546" s="150">
        <v>0</v>
      </c>
      <c r="AC1546" s="199">
        <v>0</v>
      </c>
      <c r="AD1546" s="150">
        <f t="shared" si="1357"/>
        <v>0</v>
      </c>
      <c r="AE1546" s="150">
        <v>0</v>
      </c>
      <c r="AF1546" s="169" t="s">
        <v>4680</v>
      </c>
      <c r="AG1546" s="201">
        <v>0</v>
      </c>
      <c r="AH1546" s="199">
        <v>0</v>
      </c>
      <c r="AI1546" s="150">
        <v>0</v>
      </c>
      <c r="AJ1546" s="169">
        <f t="shared" si="1364"/>
        <v>0</v>
      </c>
      <c r="AK1546" s="201">
        <v>0</v>
      </c>
      <c r="AL1546" s="199">
        <v>0</v>
      </c>
      <c r="AM1546" s="150">
        <f t="shared" si="1358"/>
        <v>0</v>
      </c>
      <c r="AN1546" s="153">
        <f t="shared" si="1365"/>
        <v>0</v>
      </c>
      <c r="AO1546" s="154">
        <f t="shared" si="1366"/>
        <v>0</v>
      </c>
      <c r="AP1546" s="150">
        <v>0</v>
      </c>
      <c r="AQ1546" s="201">
        <v>0</v>
      </c>
      <c r="AR1546" s="199">
        <v>0</v>
      </c>
      <c r="AS1546" s="150">
        <f t="shared" si="1359"/>
        <v>0</v>
      </c>
      <c r="AT1546" s="155"/>
      <c r="AU1546" s="156">
        <f t="shared" si="1361"/>
        <v>0</v>
      </c>
      <c r="AV1546" s="156">
        <f t="shared" si="1362"/>
        <v>0</v>
      </c>
      <c r="AW1546" s="157"/>
      <c r="AX1546" s="150">
        <v>0</v>
      </c>
      <c r="AY1546" s="150">
        <v>0</v>
      </c>
      <c r="AZ1546" s="150">
        <f t="shared" si="1360"/>
        <v>0</v>
      </c>
      <c r="BA1546" s="348">
        <v>0</v>
      </c>
      <c r="BB1546" s="210"/>
      <c r="BC1546" s="210"/>
      <c r="BD1546" s="210"/>
      <c r="BE1546" s="210"/>
      <c r="BF1546" s="210"/>
      <c r="BG1546" s="210"/>
      <c r="BH1546" s="217"/>
      <c r="BI1546" s="210"/>
      <c r="BJ1546" s="210"/>
      <c r="BK1546" s="210"/>
      <c r="BL1546" s="210"/>
      <c r="BM1546" s="208"/>
      <c r="BN1546" s="160"/>
      <c r="BO1546" s="161"/>
      <c r="BP1546" s="161"/>
    </row>
    <row r="1547" spans="1:68" ht="51">
      <c r="A1547" s="206" t="s">
        <v>582</v>
      </c>
      <c r="B1547" s="195" t="s">
        <v>8771</v>
      </c>
      <c r="C1547" s="196" t="s">
        <v>8772</v>
      </c>
      <c r="D1547" s="146" t="s">
        <v>4692</v>
      </c>
      <c r="E1547" s="196" t="s">
        <v>8772</v>
      </c>
      <c r="F1547" s="150">
        <v>0</v>
      </c>
      <c r="G1547" s="209">
        <v>0</v>
      </c>
      <c r="H1547" s="209">
        <v>0</v>
      </c>
      <c r="I1547" s="209">
        <v>0</v>
      </c>
      <c r="J1547" s="150">
        <v>0</v>
      </c>
      <c r="K1547" s="150">
        <v>0</v>
      </c>
      <c r="L1547" s="150">
        <f t="shared" si="1368"/>
        <v>0</v>
      </c>
      <c r="M1547" s="150">
        <v>0</v>
      </c>
      <c r="N1547" s="150">
        <v>0</v>
      </c>
      <c r="O1547" s="150">
        <v>0</v>
      </c>
      <c r="P1547" s="150">
        <v>0</v>
      </c>
      <c r="Q1547" s="150">
        <v>0</v>
      </c>
      <c r="R1547" s="313">
        <f t="shared" si="1355"/>
        <v>0</v>
      </c>
      <c r="S1547" s="150">
        <f t="shared" si="1367"/>
        <v>0</v>
      </c>
      <c r="T1547" s="150">
        <v>0</v>
      </c>
      <c r="U1547" s="150">
        <v>0</v>
      </c>
      <c r="V1547" s="199">
        <v>0</v>
      </c>
      <c r="W1547" s="150">
        <f t="shared" si="1356"/>
        <v>0</v>
      </c>
      <c r="X1547" s="150">
        <v>0</v>
      </c>
      <c r="Y1547" s="150">
        <v>0</v>
      </c>
      <c r="Z1547" s="150">
        <v>0</v>
      </c>
      <c r="AA1547" s="150">
        <f t="shared" si="1363"/>
        <v>0</v>
      </c>
      <c r="AB1547" s="150">
        <v>0</v>
      </c>
      <c r="AC1547" s="199">
        <v>0</v>
      </c>
      <c r="AD1547" s="150">
        <f t="shared" si="1357"/>
        <v>0</v>
      </c>
      <c r="AE1547" s="150">
        <v>0</v>
      </c>
      <c r="AF1547" s="169" t="s">
        <v>4680</v>
      </c>
      <c r="AG1547" s="201">
        <v>0</v>
      </c>
      <c r="AH1547" s="199">
        <v>0</v>
      </c>
      <c r="AI1547" s="150">
        <v>0</v>
      </c>
      <c r="AJ1547" s="169">
        <f t="shared" si="1364"/>
        <v>0</v>
      </c>
      <c r="AK1547" s="201">
        <v>0</v>
      </c>
      <c r="AL1547" s="199">
        <v>0</v>
      </c>
      <c r="AM1547" s="150">
        <f t="shared" si="1358"/>
        <v>0</v>
      </c>
      <c r="AN1547" s="153">
        <f t="shared" si="1365"/>
        <v>0</v>
      </c>
      <c r="AO1547" s="154">
        <f t="shared" si="1366"/>
        <v>0</v>
      </c>
      <c r="AP1547" s="150">
        <v>0</v>
      </c>
      <c r="AQ1547" s="201">
        <v>0</v>
      </c>
      <c r="AR1547" s="199">
        <v>0</v>
      </c>
      <c r="AS1547" s="150">
        <f t="shared" si="1359"/>
        <v>0</v>
      </c>
      <c r="AT1547" s="155"/>
      <c r="AU1547" s="156">
        <f t="shared" si="1361"/>
        <v>0</v>
      </c>
      <c r="AV1547" s="156">
        <f t="shared" si="1362"/>
        <v>0</v>
      </c>
      <c r="AW1547" s="157"/>
      <c r="AX1547" s="150">
        <v>0</v>
      </c>
      <c r="AY1547" s="150">
        <v>0</v>
      </c>
      <c r="AZ1547" s="150">
        <f t="shared" si="1360"/>
        <v>0</v>
      </c>
      <c r="BA1547" s="348">
        <v>0</v>
      </c>
      <c r="BB1547" s="202">
        <v>5</v>
      </c>
      <c r="BC1547" s="202" t="s">
        <v>739</v>
      </c>
      <c r="BD1547" s="202" t="s">
        <v>632</v>
      </c>
      <c r="BE1547" s="202" t="s">
        <v>632</v>
      </c>
      <c r="BF1547" s="202" t="s">
        <v>739</v>
      </c>
      <c r="BG1547" s="207" t="s">
        <v>8773</v>
      </c>
      <c r="BH1547" s="216">
        <f>AS1547</f>
        <v>0</v>
      </c>
      <c r="BI1547" s="205"/>
      <c r="BJ1547" s="206" t="s">
        <v>8740</v>
      </c>
      <c r="BK1547" s="206" t="s">
        <v>582</v>
      </c>
      <c r="BL1547" s="207" t="s">
        <v>8741</v>
      </c>
      <c r="BM1547" s="208">
        <f>BH1547</f>
        <v>0</v>
      </c>
      <c r="BN1547" s="160"/>
      <c r="BO1547" s="161"/>
      <c r="BP1547" s="161"/>
    </row>
    <row r="1548" spans="1:68" ht="51">
      <c r="A1548" s="206" t="s">
        <v>582</v>
      </c>
      <c r="B1548" s="195" t="s">
        <v>8774</v>
      </c>
      <c r="C1548" s="196" t="s">
        <v>8775</v>
      </c>
      <c r="D1548" s="146" t="s">
        <v>4692</v>
      </c>
      <c r="E1548" s="196" t="s">
        <v>8775</v>
      </c>
      <c r="F1548" s="150">
        <v>0</v>
      </c>
      <c r="G1548" s="209">
        <v>0</v>
      </c>
      <c r="H1548" s="209">
        <v>0</v>
      </c>
      <c r="I1548" s="209">
        <v>0</v>
      </c>
      <c r="J1548" s="150">
        <v>0</v>
      </c>
      <c r="K1548" s="150">
        <v>0</v>
      </c>
      <c r="L1548" s="150">
        <f t="shared" si="1368"/>
        <v>0</v>
      </c>
      <c r="M1548" s="150">
        <v>0</v>
      </c>
      <c r="N1548" s="150">
        <v>0</v>
      </c>
      <c r="O1548" s="150">
        <v>0</v>
      </c>
      <c r="P1548" s="150">
        <v>0</v>
      </c>
      <c r="Q1548" s="150">
        <v>0</v>
      </c>
      <c r="R1548" s="313">
        <f t="shared" si="1355"/>
        <v>0</v>
      </c>
      <c r="S1548" s="150">
        <f t="shared" si="1367"/>
        <v>0</v>
      </c>
      <c r="T1548" s="150">
        <v>0</v>
      </c>
      <c r="U1548" s="150">
        <v>0</v>
      </c>
      <c r="V1548" s="199">
        <v>0</v>
      </c>
      <c r="W1548" s="150">
        <f t="shared" si="1356"/>
        <v>0</v>
      </c>
      <c r="X1548" s="150">
        <v>0</v>
      </c>
      <c r="Y1548" s="150">
        <v>0</v>
      </c>
      <c r="Z1548" s="150">
        <v>0</v>
      </c>
      <c r="AA1548" s="150">
        <f t="shared" si="1363"/>
        <v>0</v>
      </c>
      <c r="AB1548" s="150">
        <v>0</v>
      </c>
      <c r="AC1548" s="199">
        <v>0</v>
      </c>
      <c r="AD1548" s="150">
        <f t="shared" si="1357"/>
        <v>0</v>
      </c>
      <c r="AE1548" s="150">
        <v>0</v>
      </c>
      <c r="AF1548" s="169" t="s">
        <v>4680</v>
      </c>
      <c r="AG1548" s="201">
        <v>0</v>
      </c>
      <c r="AH1548" s="199">
        <v>0</v>
      </c>
      <c r="AI1548" s="150">
        <v>0</v>
      </c>
      <c r="AJ1548" s="169">
        <f t="shared" si="1364"/>
        <v>0</v>
      </c>
      <c r="AK1548" s="201">
        <v>0</v>
      </c>
      <c r="AL1548" s="199">
        <v>0</v>
      </c>
      <c r="AM1548" s="150">
        <f t="shared" si="1358"/>
        <v>0</v>
      </c>
      <c r="AN1548" s="153">
        <f t="shared" si="1365"/>
        <v>0</v>
      </c>
      <c r="AO1548" s="154">
        <f t="shared" si="1366"/>
        <v>0</v>
      </c>
      <c r="AP1548" s="150">
        <v>0</v>
      </c>
      <c r="AQ1548" s="201">
        <v>0</v>
      </c>
      <c r="AR1548" s="199">
        <v>0</v>
      </c>
      <c r="AS1548" s="150">
        <f t="shared" si="1359"/>
        <v>0</v>
      </c>
      <c r="AT1548" s="155"/>
      <c r="AU1548" s="156">
        <f t="shared" si="1361"/>
        <v>0</v>
      </c>
      <c r="AV1548" s="156">
        <f t="shared" si="1362"/>
        <v>0</v>
      </c>
      <c r="AW1548" s="157"/>
      <c r="AX1548" s="150">
        <v>0</v>
      </c>
      <c r="AY1548" s="150">
        <v>0</v>
      </c>
      <c r="AZ1548" s="150">
        <f t="shared" si="1360"/>
        <v>0</v>
      </c>
      <c r="BA1548" s="348">
        <v>0</v>
      </c>
      <c r="BB1548" s="205">
        <v>5</v>
      </c>
      <c r="BC1548" s="206" t="s">
        <v>739</v>
      </c>
      <c r="BD1548" s="206" t="s">
        <v>632</v>
      </c>
      <c r="BE1548" s="194" t="s">
        <v>632</v>
      </c>
      <c r="BF1548" s="206" t="s">
        <v>755</v>
      </c>
      <c r="BG1548" s="231" t="s">
        <v>8776</v>
      </c>
      <c r="BH1548" s="216">
        <f>SUM(AS1548:AS1560)</f>
        <v>0</v>
      </c>
      <c r="BI1548" s="205"/>
      <c r="BJ1548" s="206" t="s">
        <v>8740</v>
      </c>
      <c r="BK1548" s="206" t="s">
        <v>582</v>
      </c>
      <c r="BL1548" s="207" t="s">
        <v>8741</v>
      </c>
      <c r="BM1548" s="208">
        <f>BH1548</f>
        <v>0</v>
      </c>
      <c r="BN1548" s="160"/>
      <c r="BO1548" s="161"/>
      <c r="BP1548" s="161"/>
    </row>
    <row r="1549" spans="1:68" ht="51">
      <c r="A1549" s="210"/>
      <c r="B1549" s="195" t="s">
        <v>8777</v>
      </c>
      <c r="C1549" s="196" t="s">
        <v>8778</v>
      </c>
      <c r="D1549" s="146" t="s">
        <v>4692</v>
      </c>
      <c r="E1549" s="196" t="s">
        <v>8778</v>
      </c>
      <c r="F1549" s="150">
        <v>0</v>
      </c>
      <c r="G1549" s="209">
        <v>0</v>
      </c>
      <c r="H1549" s="209">
        <v>0</v>
      </c>
      <c r="I1549" s="209">
        <v>0</v>
      </c>
      <c r="J1549" s="150">
        <v>0</v>
      </c>
      <c r="K1549" s="150">
        <v>0</v>
      </c>
      <c r="L1549" s="150">
        <f t="shared" si="1368"/>
        <v>0</v>
      </c>
      <c r="M1549" s="150">
        <v>0</v>
      </c>
      <c r="N1549" s="150">
        <v>0</v>
      </c>
      <c r="O1549" s="150">
        <v>0</v>
      </c>
      <c r="P1549" s="150">
        <v>0</v>
      </c>
      <c r="Q1549" s="150">
        <v>0</v>
      </c>
      <c r="R1549" s="313">
        <f t="shared" si="1355"/>
        <v>0</v>
      </c>
      <c r="S1549" s="150">
        <f t="shared" si="1367"/>
        <v>0</v>
      </c>
      <c r="T1549" s="150">
        <v>0</v>
      </c>
      <c r="U1549" s="150">
        <v>0</v>
      </c>
      <c r="V1549" s="199">
        <v>0</v>
      </c>
      <c r="W1549" s="150">
        <f t="shared" si="1356"/>
        <v>0</v>
      </c>
      <c r="X1549" s="150">
        <v>0</v>
      </c>
      <c r="Y1549" s="150">
        <v>0</v>
      </c>
      <c r="Z1549" s="150">
        <v>0</v>
      </c>
      <c r="AA1549" s="150">
        <f t="shared" si="1363"/>
        <v>0</v>
      </c>
      <c r="AB1549" s="150">
        <v>0</v>
      </c>
      <c r="AC1549" s="199">
        <v>0</v>
      </c>
      <c r="AD1549" s="150">
        <f t="shared" si="1357"/>
        <v>0</v>
      </c>
      <c r="AE1549" s="150">
        <v>0</v>
      </c>
      <c r="AF1549" s="169" t="s">
        <v>4680</v>
      </c>
      <c r="AG1549" s="201">
        <v>0</v>
      </c>
      <c r="AH1549" s="199">
        <v>0</v>
      </c>
      <c r="AI1549" s="150">
        <v>0</v>
      </c>
      <c r="AJ1549" s="169">
        <f t="shared" si="1364"/>
        <v>0</v>
      </c>
      <c r="AK1549" s="201">
        <v>0</v>
      </c>
      <c r="AL1549" s="199">
        <v>0</v>
      </c>
      <c r="AM1549" s="150">
        <f t="shared" si="1358"/>
        <v>0</v>
      </c>
      <c r="AN1549" s="153">
        <f t="shared" si="1365"/>
        <v>0</v>
      </c>
      <c r="AO1549" s="154">
        <f t="shared" si="1366"/>
        <v>0</v>
      </c>
      <c r="AP1549" s="150">
        <v>0</v>
      </c>
      <c r="AQ1549" s="201">
        <v>0</v>
      </c>
      <c r="AR1549" s="199">
        <v>0</v>
      </c>
      <c r="AS1549" s="150">
        <f t="shared" si="1359"/>
        <v>0</v>
      </c>
      <c r="AT1549" s="155"/>
      <c r="AU1549" s="156">
        <f t="shared" si="1361"/>
        <v>0</v>
      </c>
      <c r="AV1549" s="156">
        <f t="shared" si="1362"/>
        <v>0</v>
      </c>
      <c r="AW1549" s="157"/>
      <c r="AX1549" s="150">
        <v>0</v>
      </c>
      <c r="AY1549" s="150">
        <v>0</v>
      </c>
      <c r="AZ1549" s="150">
        <f t="shared" si="1360"/>
        <v>0</v>
      </c>
      <c r="BA1549" s="348">
        <v>0</v>
      </c>
      <c r="BB1549" s="210"/>
      <c r="BC1549" s="210"/>
      <c r="BD1549" s="210"/>
      <c r="BE1549" s="210"/>
      <c r="BF1549" s="210"/>
      <c r="BG1549" s="210"/>
      <c r="BH1549" s="217"/>
      <c r="BI1549" s="210"/>
      <c r="BJ1549" s="210"/>
      <c r="BK1549" s="210"/>
      <c r="BL1549" s="210"/>
      <c r="BM1549" s="208"/>
      <c r="BN1549" s="160"/>
      <c r="BO1549" s="161"/>
      <c r="BP1549" s="161"/>
    </row>
    <row r="1550" spans="1:68" ht="63.75">
      <c r="A1550" s="210"/>
      <c r="B1550" s="195" t="s">
        <v>8779</v>
      </c>
      <c r="C1550" s="196" t="s">
        <v>8780</v>
      </c>
      <c r="D1550" s="146" t="s">
        <v>4692</v>
      </c>
      <c r="E1550" s="196" t="s">
        <v>8780</v>
      </c>
      <c r="F1550" s="150">
        <v>0</v>
      </c>
      <c r="G1550" s="209">
        <v>0</v>
      </c>
      <c r="H1550" s="209">
        <v>0</v>
      </c>
      <c r="I1550" s="209">
        <v>0</v>
      </c>
      <c r="J1550" s="150">
        <v>0</v>
      </c>
      <c r="K1550" s="150">
        <v>0</v>
      </c>
      <c r="L1550" s="150">
        <f t="shared" si="1368"/>
        <v>0</v>
      </c>
      <c r="M1550" s="150">
        <v>0</v>
      </c>
      <c r="N1550" s="150">
        <v>0</v>
      </c>
      <c r="O1550" s="150">
        <v>0</v>
      </c>
      <c r="P1550" s="150">
        <v>0</v>
      </c>
      <c r="Q1550" s="150">
        <v>0</v>
      </c>
      <c r="R1550" s="313">
        <f t="shared" si="1355"/>
        <v>0</v>
      </c>
      <c r="S1550" s="150">
        <f t="shared" si="1367"/>
        <v>0</v>
      </c>
      <c r="T1550" s="150">
        <v>0</v>
      </c>
      <c r="U1550" s="150">
        <v>0</v>
      </c>
      <c r="V1550" s="199">
        <v>0</v>
      </c>
      <c r="W1550" s="150">
        <f t="shared" si="1356"/>
        <v>0</v>
      </c>
      <c r="X1550" s="150">
        <v>0</v>
      </c>
      <c r="Y1550" s="150">
        <v>0</v>
      </c>
      <c r="Z1550" s="150">
        <v>0</v>
      </c>
      <c r="AA1550" s="150">
        <f t="shared" si="1363"/>
        <v>0</v>
      </c>
      <c r="AB1550" s="150">
        <v>0</v>
      </c>
      <c r="AC1550" s="199">
        <v>0</v>
      </c>
      <c r="AD1550" s="150">
        <f t="shared" si="1357"/>
        <v>0</v>
      </c>
      <c r="AE1550" s="150">
        <v>0</v>
      </c>
      <c r="AF1550" s="169" t="s">
        <v>4680</v>
      </c>
      <c r="AG1550" s="201">
        <v>0</v>
      </c>
      <c r="AH1550" s="199">
        <v>0</v>
      </c>
      <c r="AI1550" s="150">
        <v>0</v>
      </c>
      <c r="AJ1550" s="169">
        <f t="shared" si="1364"/>
        <v>0</v>
      </c>
      <c r="AK1550" s="201">
        <v>0</v>
      </c>
      <c r="AL1550" s="199">
        <v>0</v>
      </c>
      <c r="AM1550" s="150">
        <f t="shared" si="1358"/>
        <v>0</v>
      </c>
      <c r="AN1550" s="153">
        <f t="shared" si="1365"/>
        <v>0</v>
      </c>
      <c r="AO1550" s="154">
        <f t="shared" si="1366"/>
        <v>0</v>
      </c>
      <c r="AP1550" s="150">
        <v>0</v>
      </c>
      <c r="AQ1550" s="201">
        <v>0</v>
      </c>
      <c r="AR1550" s="199">
        <v>0</v>
      </c>
      <c r="AS1550" s="150">
        <f t="shared" si="1359"/>
        <v>0</v>
      </c>
      <c r="AT1550" s="155"/>
      <c r="AU1550" s="156">
        <f t="shared" si="1361"/>
        <v>0</v>
      </c>
      <c r="AV1550" s="156">
        <f t="shared" si="1362"/>
        <v>0</v>
      </c>
      <c r="AW1550" s="157"/>
      <c r="AX1550" s="150">
        <v>0</v>
      </c>
      <c r="AY1550" s="150">
        <v>0</v>
      </c>
      <c r="AZ1550" s="150">
        <f t="shared" si="1360"/>
        <v>0</v>
      </c>
      <c r="BA1550" s="348">
        <v>0</v>
      </c>
      <c r="BB1550" s="210"/>
      <c r="BC1550" s="210"/>
      <c r="BD1550" s="210"/>
      <c r="BE1550" s="210"/>
      <c r="BF1550" s="210"/>
      <c r="BG1550" s="210"/>
      <c r="BH1550" s="217"/>
      <c r="BI1550" s="210"/>
      <c r="BJ1550" s="210"/>
      <c r="BK1550" s="210"/>
      <c r="BL1550" s="210"/>
      <c r="BM1550" s="208"/>
      <c r="BN1550" s="160"/>
      <c r="BO1550" s="161"/>
      <c r="BP1550" s="161"/>
    </row>
    <row r="1551" spans="1:68" ht="38.25">
      <c r="A1551" s="210"/>
      <c r="B1551" s="195" t="s">
        <v>8781</v>
      </c>
      <c r="C1551" s="196" t="s">
        <v>8782</v>
      </c>
      <c r="D1551" s="146" t="s">
        <v>4692</v>
      </c>
      <c r="E1551" s="196" t="s">
        <v>8782</v>
      </c>
      <c r="F1551" s="150">
        <v>0</v>
      </c>
      <c r="G1551" s="209">
        <v>0</v>
      </c>
      <c r="H1551" s="209">
        <v>0</v>
      </c>
      <c r="I1551" s="209">
        <v>0</v>
      </c>
      <c r="J1551" s="150">
        <v>0</v>
      </c>
      <c r="K1551" s="150">
        <v>0</v>
      </c>
      <c r="L1551" s="150">
        <f t="shared" si="1368"/>
        <v>0</v>
      </c>
      <c r="M1551" s="150">
        <v>0</v>
      </c>
      <c r="N1551" s="150">
        <v>0</v>
      </c>
      <c r="O1551" s="150">
        <v>0</v>
      </c>
      <c r="P1551" s="150">
        <v>0</v>
      </c>
      <c r="Q1551" s="150">
        <v>0</v>
      </c>
      <c r="R1551" s="313">
        <f t="shared" si="1355"/>
        <v>0</v>
      </c>
      <c r="S1551" s="150">
        <f t="shared" si="1367"/>
        <v>0</v>
      </c>
      <c r="T1551" s="150">
        <v>0</v>
      </c>
      <c r="U1551" s="150">
        <v>0</v>
      </c>
      <c r="V1551" s="199">
        <v>0</v>
      </c>
      <c r="W1551" s="150">
        <f t="shared" si="1356"/>
        <v>0</v>
      </c>
      <c r="X1551" s="150">
        <v>0</v>
      </c>
      <c r="Y1551" s="150">
        <v>0</v>
      </c>
      <c r="Z1551" s="150">
        <v>0</v>
      </c>
      <c r="AA1551" s="150">
        <f t="shared" si="1363"/>
        <v>0</v>
      </c>
      <c r="AB1551" s="150">
        <v>0</v>
      </c>
      <c r="AC1551" s="199">
        <v>0</v>
      </c>
      <c r="AD1551" s="150">
        <f t="shared" si="1357"/>
        <v>0</v>
      </c>
      <c r="AE1551" s="150">
        <v>0</v>
      </c>
      <c r="AF1551" s="169" t="s">
        <v>4680</v>
      </c>
      <c r="AG1551" s="201">
        <v>0</v>
      </c>
      <c r="AH1551" s="199">
        <v>0</v>
      </c>
      <c r="AI1551" s="150">
        <v>0</v>
      </c>
      <c r="AJ1551" s="169">
        <f t="shared" si="1364"/>
        <v>0</v>
      </c>
      <c r="AK1551" s="201">
        <v>0</v>
      </c>
      <c r="AL1551" s="199">
        <v>0</v>
      </c>
      <c r="AM1551" s="150">
        <f t="shared" si="1358"/>
        <v>0</v>
      </c>
      <c r="AN1551" s="153">
        <f t="shared" si="1365"/>
        <v>0</v>
      </c>
      <c r="AO1551" s="154">
        <f t="shared" si="1366"/>
        <v>0</v>
      </c>
      <c r="AP1551" s="150">
        <v>0</v>
      </c>
      <c r="AQ1551" s="201">
        <v>0</v>
      </c>
      <c r="AR1551" s="199">
        <v>0</v>
      </c>
      <c r="AS1551" s="150">
        <f t="shared" si="1359"/>
        <v>0</v>
      </c>
      <c r="AT1551" s="155"/>
      <c r="AU1551" s="156">
        <f t="shared" si="1361"/>
        <v>0</v>
      </c>
      <c r="AV1551" s="156">
        <f t="shared" si="1362"/>
        <v>0</v>
      </c>
      <c r="AW1551" s="157"/>
      <c r="AX1551" s="150">
        <v>0</v>
      </c>
      <c r="AY1551" s="150">
        <v>0</v>
      </c>
      <c r="AZ1551" s="150">
        <f t="shared" si="1360"/>
        <v>0</v>
      </c>
      <c r="BA1551" s="348">
        <v>0</v>
      </c>
      <c r="BB1551" s="210"/>
      <c r="BC1551" s="210"/>
      <c r="BD1551" s="210"/>
      <c r="BE1551" s="210"/>
      <c r="BF1551" s="210"/>
      <c r="BG1551" s="210"/>
      <c r="BH1551" s="217"/>
      <c r="BI1551" s="210"/>
      <c r="BJ1551" s="210"/>
      <c r="BK1551" s="210"/>
      <c r="BL1551" s="210"/>
      <c r="BM1551" s="208"/>
      <c r="BN1551" s="160"/>
      <c r="BO1551" s="161"/>
      <c r="BP1551" s="161"/>
    </row>
    <row r="1552" spans="1:68" ht="51">
      <c r="A1552" s="210"/>
      <c r="B1552" s="195" t="s">
        <v>8783</v>
      </c>
      <c r="C1552" s="196" t="s">
        <v>8784</v>
      </c>
      <c r="D1552" s="146" t="s">
        <v>4692</v>
      </c>
      <c r="E1552" s="196" t="s">
        <v>8784</v>
      </c>
      <c r="F1552" s="150">
        <v>0</v>
      </c>
      <c r="G1552" s="209">
        <v>0</v>
      </c>
      <c r="H1552" s="209">
        <v>0</v>
      </c>
      <c r="I1552" s="209">
        <v>0</v>
      </c>
      <c r="J1552" s="150">
        <v>0</v>
      </c>
      <c r="K1552" s="150">
        <v>0</v>
      </c>
      <c r="L1552" s="150">
        <f t="shared" si="1368"/>
        <v>0</v>
      </c>
      <c r="M1552" s="150">
        <v>0</v>
      </c>
      <c r="N1552" s="150">
        <v>0</v>
      </c>
      <c r="O1552" s="150">
        <v>0</v>
      </c>
      <c r="P1552" s="150">
        <v>0</v>
      </c>
      <c r="Q1552" s="150">
        <v>0</v>
      </c>
      <c r="R1552" s="313">
        <f t="shared" si="1355"/>
        <v>0</v>
      </c>
      <c r="S1552" s="150">
        <f t="shared" si="1367"/>
        <v>0</v>
      </c>
      <c r="T1552" s="150">
        <v>0</v>
      </c>
      <c r="U1552" s="150">
        <v>0</v>
      </c>
      <c r="V1552" s="199">
        <v>0</v>
      </c>
      <c r="W1552" s="150">
        <f t="shared" si="1356"/>
        <v>0</v>
      </c>
      <c r="X1552" s="150">
        <v>0</v>
      </c>
      <c r="Y1552" s="150">
        <v>0</v>
      </c>
      <c r="Z1552" s="150">
        <v>0</v>
      </c>
      <c r="AA1552" s="150">
        <f t="shared" si="1363"/>
        <v>0</v>
      </c>
      <c r="AB1552" s="150">
        <v>0</v>
      </c>
      <c r="AC1552" s="199">
        <v>0</v>
      </c>
      <c r="AD1552" s="150">
        <f t="shared" si="1357"/>
        <v>0</v>
      </c>
      <c r="AE1552" s="150">
        <v>0</v>
      </c>
      <c r="AF1552" s="169" t="s">
        <v>4680</v>
      </c>
      <c r="AG1552" s="201">
        <v>0</v>
      </c>
      <c r="AH1552" s="199">
        <v>0</v>
      </c>
      <c r="AI1552" s="150">
        <v>0</v>
      </c>
      <c r="AJ1552" s="169">
        <f t="shared" si="1364"/>
        <v>0</v>
      </c>
      <c r="AK1552" s="201">
        <v>0</v>
      </c>
      <c r="AL1552" s="199">
        <v>0</v>
      </c>
      <c r="AM1552" s="150">
        <f t="shared" si="1358"/>
        <v>0</v>
      </c>
      <c r="AN1552" s="153">
        <f t="shared" si="1365"/>
        <v>0</v>
      </c>
      <c r="AO1552" s="154">
        <f t="shared" si="1366"/>
        <v>0</v>
      </c>
      <c r="AP1552" s="150">
        <v>0</v>
      </c>
      <c r="AQ1552" s="201">
        <v>0</v>
      </c>
      <c r="AR1552" s="199">
        <v>0</v>
      </c>
      <c r="AS1552" s="150">
        <f t="shared" si="1359"/>
        <v>0</v>
      </c>
      <c r="AT1552" s="155"/>
      <c r="AU1552" s="156">
        <f t="shared" si="1361"/>
        <v>0</v>
      </c>
      <c r="AV1552" s="156">
        <f t="shared" si="1362"/>
        <v>0</v>
      </c>
      <c r="AW1552" s="157"/>
      <c r="AX1552" s="150">
        <v>0</v>
      </c>
      <c r="AY1552" s="150">
        <v>0</v>
      </c>
      <c r="AZ1552" s="150">
        <f t="shared" si="1360"/>
        <v>0</v>
      </c>
      <c r="BA1552" s="348">
        <v>0</v>
      </c>
      <c r="BB1552" s="210"/>
      <c r="BC1552" s="210"/>
      <c r="BD1552" s="210"/>
      <c r="BE1552" s="210"/>
      <c r="BF1552" s="210"/>
      <c r="BG1552" s="210"/>
      <c r="BH1552" s="217"/>
      <c r="BI1552" s="210"/>
      <c r="BJ1552" s="210"/>
      <c r="BK1552" s="210"/>
      <c r="BL1552" s="210"/>
      <c r="BM1552" s="208"/>
      <c r="BN1552" s="160"/>
      <c r="BO1552" s="161"/>
      <c r="BP1552" s="161"/>
    </row>
    <row r="1553" spans="1:68" ht="51">
      <c r="A1553" s="210"/>
      <c r="B1553" s="195" t="s">
        <v>8785</v>
      </c>
      <c r="C1553" s="196" t="s">
        <v>8786</v>
      </c>
      <c r="D1553" s="146" t="s">
        <v>4692</v>
      </c>
      <c r="E1553" s="196" t="s">
        <v>8786</v>
      </c>
      <c r="F1553" s="150">
        <v>0</v>
      </c>
      <c r="G1553" s="209">
        <v>0</v>
      </c>
      <c r="H1553" s="209">
        <v>0</v>
      </c>
      <c r="I1553" s="209">
        <v>0</v>
      </c>
      <c r="J1553" s="150">
        <v>0</v>
      </c>
      <c r="K1553" s="150">
        <v>0</v>
      </c>
      <c r="L1553" s="150">
        <f t="shared" si="1368"/>
        <v>0</v>
      </c>
      <c r="M1553" s="150">
        <v>0</v>
      </c>
      <c r="N1553" s="150">
        <v>0</v>
      </c>
      <c r="O1553" s="150">
        <v>0</v>
      </c>
      <c r="P1553" s="150">
        <v>0</v>
      </c>
      <c r="Q1553" s="150">
        <v>0</v>
      </c>
      <c r="R1553" s="313">
        <f t="shared" si="1355"/>
        <v>0</v>
      </c>
      <c r="S1553" s="150">
        <f t="shared" si="1367"/>
        <v>0</v>
      </c>
      <c r="T1553" s="150">
        <v>0</v>
      </c>
      <c r="U1553" s="150">
        <v>0</v>
      </c>
      <c r="V1553" s="199">
        <v>0</v>
      </c>
      <c r="W1553" s="150">
        <f t="shared" si="1356"/>
        <v>0</v>
      </c>
      <c r="X1553" s="150">
        <v>0</v>
      </c>
      <c r="Y1553" s="150">
        <v>0</v>
      </c>
      <c r="Z1553" s="150">
        <v>0</v>
      </c>
      <c r="AA1553" s="150">
        <f t="shared" si="1363"/>
        <v>0</v>
      </c>
      <c r="AB1553" s="150">
        <v>0</v>
      </c>
      <c r="AC1553" s="199">
        <v>0</v>
      </c>
      <c r="AD1553" s="150">
        <f t="shared" si="1357"/>
        <v>0</v>
      </c>
      <c r="AE1553" s="150">
        <v>0</v>
      </c>
      <c r="AF1553" s="169" t="s">
        <v>4680</v>
      </c>
      <c r="AG1553" s="201">
        <v>0</v>
      </c>
      <c r="AH1553" s="199">
        <v>0</v>
      </c>
      <c r="AI1553" s="150">
        <v>0</v>
      </c>
      <c r="AJ1553" s="169">
        <f t="shared" si="1364"/>
        <v>0</v>
      </c>
      <c r="AK1553" s="201">
        <v>0</v>
      </c>
      <c r="AL1553" s="199">
        <v>0</v>
      </c>
      <c r="AM1553" s="150">
        <f t="shared" si="1358"/>
        <v>0</v>
      </c>
      <c r="AN1553" s="153">
        <f t="shared" si="1365"/>
        <v>0</v>
      </c>
      <c r="AO1553" s="154">
        <f t="shared" si="1366"/>
        <v>0</v>
      </c>
      <c r="AP1553" s="150">
        <v>0</v>
      </c>
      <c r="AQ1553" s="201">
        <v>0</v>
      </c>
      <c r="AR1553" s="199">
        <v>0</v>
      </c>
      <c r="AS1553" s="150">
        <f t="shared" si="1359"/>
        <v>0</v>
      </c>
      <c r="AT1553" s="155"/>
      <c r="AU1553" s="156">
        <f t="shared" si="1361"/>
        <v>0</v>
      </c>
      <c r="AV1553" s="156">
        <f t="shared" si="1362"/>
        <v>0</v>
      </c>
      <c r="AW1553" s="157"/>
      <c r="AX1553" s="150">
        <v>0</v>
      </c>
      <c r="AY1553" s="150">
        <v>0</v>
      </c>
      <c r="AZ1553" s="150">
        <f t="shared" si="1360"/>
        <v>0</v>
      </c>
      <c r="BA1553" s="348">
        <v>0</v>
      </c>
      <c r="BB1553" s="210"/>
      <c r="BC1553" s="210"/>
      <c r="BD1553" s="210"/>
      <c r="BE1553" s="210"/>
      <c r="BF1553" s="210"/>
      <c r="BG1553" s="210"/>
      <c r="BH1553" s="217"/>
      <c r="BI1553" s="210"/>
      <c r="BJ1553" s="210"/>
      <c r="BK1553" s="210"/>
      <c r="BL1553" s="210"/>
      <c r="BM1553" s="208"/>
      <c r="BN1553" s="160"/>
      <c r="BO1553" s="161"/>
      <c r="BP1553" s="161"/>
    </row>
    <row r="1554" spans="1:68" ht="38.25">
      <c r="A1554" s="210"/>
      <c r="B1554" s="195" t="s">
        <v>8787</v>
      </c>
      <c r="C1554" s="196" t="s">
        <v>8788</v>
      </c>
      <c r="D1554" s="146" t="s">
        <v>4692</v>
      </c>
      <c r="E1554" s="196" t="s">
        <v>8788</v>
      </c>
      <c r="F1554" s="150">
        <v>0</v>
      </c>
      <c r="G1554" s="209">
        <v>0</v>
      </c>
      <c r="H1554" s="209">
        <v>0</v>
      </c>
      <c r="I1554" s="209">
        <v>0</v>
      </c>
      <c r="J1554" s="150">
        <v>0</v>
      </c>
      <c r="K1554" s="150">
        <v>0</v>
      </c>
      <c r="L1554" s="150">
        <f t="shared" si="1368"/>
        <v>0</v>
      </c>
      <c r="M1554" s="150">
        <v>0</v>
      </c>
      <c r="N1554" s="150">
        <v>0</v>
      </c>
      <c r="O1554" s="150">
        <v>0</v>
      </c>
      <c r="P1554" s="150">
        <v>0</v>
      </c>
      <c r="Q1554" s="150">
        <v>0</v>
      </c>
      <c r="R1554" s="313">
        <f t="shared" si="1355"/>
        <v>0</v>
      </c>
      <c r="S1554" s="150">
        <f t="shared" si="1367"/>
        <v>0</v>
      </c>
      <c r="T1554" s="150">
        <v>0</v>
      </c>
      <c r="U1554" s="150">
        <v>0</v>
      </c>
      <c r="V1554" s="199">
        <v>0</v>
      </c>
      <c r="W1554" s="150">
        <f t="shared" si="1356"/>
        <v>0</v>
      </c>
      <c r="X1554" s="150">
        <v>0</v>
      </c>
      <c r="Y1554" s="150">
        <v>0</v>
      </c>
      <c r="Z1554" s="150">
        <v>0</v>
      </c>
      <c r="AA1554" s="150">
        <f t="shared" si="1363"/>
        <v>0</v>
      </c>
      <c r="AB1554" s="150">
        <v>0</v>
      </c>
      <c r="AC1554" s="199">
        <v>0</v>
      </c>
      <c r="AD1554" s="150">
        <f t="shared" si="1357"/>
        <v>0</v>
      </c>
      <c r="AE1554" s="150">
        <v>0</v>
      </c>
      <c r="AF1554" s="169" t="s">
        <v>4680</v>
      </c>
      <c r="AG1554" s="201">
        <v>0</v>
      </c>
      <c r="AH1554" s="199">
        <v>0</v>
      </c>
      <c r="AI1554" s="150">
        <v>0</v>
      </c>
      <c r="AJ1554" s="169">
        <f t="shared" si="1364"/>
        <v>0</v>
      </c>
      <c r="AK1554" s="201">
        <v>0</v>
      </c>
      <c r="AL1554" s="199">
        <v>0</v>
      </c>
      <c r="AM1554" s="150">
        <f t="shared" si="1358"/>
        <v>0</v>
      </c>
      <c r="AN1554" s="153">
        <f t="shared" si="1365"/>
        <v>0</v>
      </c>
      <c r="AO1554" s="154">
        <f t="shared" si="1366"/>
        <v>0</v>
      </c>
      <c r="AP1554" s="150">
        <v>0</v>
      </c>
      <c r="AQ1554" s="201">
        <v>0</v>
      </c>
      <c r="AR1554" s="199">
        <v>0</v>
      </c>
      <c r="AS1554" s="150">
        <f t="shared" si="1359"/>
        <v>0</v>
      </c>
      <c r="AT1554" s="155"/>
      <c r="AU1554" s="156">
        <f t="shared" si="1361"/>
        <v>0</v>
      </c>
      <c r="AV1554" s="156">
        <f t="shared" si="1362"/>
        <v>0</v>
      </c>
      <c r="AW1554" s="157"/>
      <c r="AX1554" s="150">
        <v>0</v>
      </c>
      <c r="AY1554" s="150">
        <v>0</v>
      </c>
      <c r="AZ1554" s="150">
        <f t="shared" si="1360"/>
        <v>0</v>
      </c>
      <c r="BA1554" s="348">
        <v>0</v>
      </c>
      <c r="BB1554" s="210"/>
      <c r="BC1554" s="210"/>
      <c r="BD1554" s="210"/>
      <c r="BE1554" s="210"/>
      <c r="BF1554" s="210"/>
      <c r="BG1554" s="210"/>
      <c r="BH1554" s="217"/>
      <c r="BI1554" s="210"/>
      <c r="BJ1554" s="210"/>
      <c r="BK1554" s="210"/>
      <c r="BL1554" s="210"/>
      <c r="BM1554" s="208"/>
      <c r="BN1554" s="160"/>
      <c r="BO1554" s="161"/>
      <c r="BP1554" s="161"/>
    </row>
    <row r="1555" spans="1:68" ht="51">
      <c r="A1555" s="210"/>
      <c r="B1555" s="195" t="s">
        <v>8789</v>
      </c>
      <c r="C1555" s="196" t="s">
        <v>8790</v>
      </c>
      <c r="D1555" s="146" t="s">
        <v>4692</v>
      </c>
      <c r="E1555" s="196" t="s">
        <v>8790</v>
      </c>
      <c r="F1555" s="150">
        <v>0</v>
      </c>
      <c r="G1555" s="209">
        <v>0</v>
      </c>
      <c r="H1555" s="209">
        <v>0</v>
      </c>
      <c r="I1555" s="209">
        <v>0</v>
      </c>
      <c r="J1555" s="150">
        <v>0</v>
      </c>
      <c r="K1555" s="150">
        <v>0</v>
      </c>
      <c r="L1555" s="150">
        <f t="shared" si="1368"/>
        <v>0</v>
      </c>
      <c r="M1555" s="150">
        <v>0</v>
      </c>
      <c r="N1555" s="150">
        <v>0</v>
      </c>
      <c r="O1555" s="150">
        <v>0</v>
      </c>
      <c r="P1555" s="150">
        <v>0</v>
      </c>
      <c r="Q1555" s="150">
        <v>0</v>
      </c>
      <c r="R1555" s="313">
        <f t="shared" si="1355"/>
        <v>0</v>
      </c>
      <c r="S1555" s="150">
        <f t="shared" si="1367"/>
        <v>0</v>
      </c>
      <c r="T1555" s="150">
        <v>0</v>
      </c>
      <c r="U1555" s="150">
        <v>0</v>
      </c>
      <c r="V1555" s="199">
        <v>0</v>
      </c>
      <c r="W1555" s="150">
        <f t="shared" si="1356"/>
        <v>0</v>
      </c>
      <c r="X1555" s="150">
        <v>0</v>
      </c>
      <c r="Y1555" s="150">
        <v>0</v>
      </c>
      <c r="Z1555" s="150">
        <v>0</v>
      </c>
      <c r="AA1555" s="150">
        <f t="shared" si="1363"/>
        <v>0</v>
      </c>
      <c r="AB1555" s="150">
        <v>0</v>
      </c>
      <c r="AC1555" s="199">
        <v>0</v>
      </c>
      <c r="AD1555" s="150">
        <f t="shared" si="1357"/>
        <v>0</v>
      </c>
      <c r="AE1555" s="150">
        <v>0</v>
      </c>
      <c r="AF1555" s="169" t="s">
        <v>4680</v>
      </c>
      <c r="AG1555" s="201">
        <v>0</v>
      </c>
      <c r="AH1555" s="199">
        <v>0</v>
      </c>
      <c r="AI1555" s="150">
        <v>0</v>
      </c>
      <c r="AJ1555" s="169">
        <f t="shared" si="1364"/>
        <v>0</v>
      </c>
      <c r="AK1555" s="201">
        <v>0</v>
      </c>
      <c r="AL1555" s="199">
        <v>0</v>
      </c>
      <c r="AM1555" s="150">
        <f t="shared" si="1358"/>
        <v>0</v>
      </c>
      <c r="AN1555" s="153">
        <f t="shared" si="1365"/>
        <v>0</v>
      </c>
      <c r="AO1555" s="154">
        <f t="shared" si="1366"/>
        <v>0</v>
      </c>
      <c r="AP1555" s="150">
        <v>0</v>
      </c>
      <c r="AQ1555" s="201">
        <v>0</v>
      </c>
      <c r="AR1555" s="199">
        <v>0</v>
      </c>
      <c r="AS1555" s="150">
        <f t="shared" si="1359"/>
        <v>0</v>
      </c>
      <c r="AT1555" s="155"/>
      <c r="AU1555" s="156">
        <f t="shared" si="1361"/>
        <v>0</v>
      </c>
      <c r="AV1555" s="156">
        <f t="shared" si="1362"/>
        <v>0</v>
      </c>
      <c r="AW1555" s="157"/>
      <c r="AX1555" s="150">
        <v>0</v>
      </c>
      <c r="AY1555" s="150">
        <v>0</v>
      </c>
      <c r="AZ1555" s="150">
        <f t="shared" si="1360"/>
        <v>0</v>
      </c>
      <c r="BA1555" s="348">
        <v>0</v>
      </c>
      <c r="BB1555" s="210"/>
      <c r="BC1555" s="210"/>
      <c r="BD1555" s="210"/>
      <c r="BE1555" s="210"/>
      <c r="BF1555" s="210"/>
      <c r="BG1555" s="210"/>
      <c r="BH1555" s="217"/>
      <c r="BI1555" s="210"/>
      <c r="BJ1555" s="210"/>
      <c r="BK1555" s="210"/>
      <c r="BL1555" s="210"/>
      <c r="BM1555" s="208"/>
      <c r="BN1555" s="160"/>
      <c r="BO1555" s="161"/>
      <c r="BP1555" s="161"/>
    </row>
    <row r="1556" spans="1:68" ht="51">
      <c r="A1556" s="210"/>
      <c r="B1556" s="195" t="s">
        <v>8791</v>
      </c>
      <c r="C1556" s="196" t="s">
        <v>8792</v>
      </c>
      <c r="D1556" s="146" t="s">
        <v>4692</v>
      </c>
      <c r="E1556" s="196" t="s">
        <v>8792</v>
      </c>
      <c r="F1556" s="150">
        <v>0</v>
      </c>
      <c r="G1556" s="209">
        <v>0</v>
      </c>
      <c r="H1556" s="209">
        <v>0</v>
      </c>
      <c r="I1556" s="209">
        <v>0</v>
      </c>
      <c r="J1556" s="150">
        <v>0</v>
      </c>
      <c r="K1556" s="150">
        <v>0</v>
      </c>
      <c r="L1556" s="150">
        <f t="shared" si="1368"/>
        <v>0</v>
      </c>
      <c r="M1556" s="150">
        <v>0</v>
      </c>
      <c r="N1556" s="150">
        <v>0</v>
      </c>
      <c r="O1556" s="150">
        <v>0</v>
      </c>
      <c r="P1556" s="150">
        <v>0</v>
      </c>
      <c r="Q1556" s="150">
        <v>0</v>
      </c>
      <c r="R1556" s="313">
        <f t="shared" si="1355"/>
        <v>0</v>
      </c>
      <c r="S1556" s="150">
        <f t="shared" si="1367"/>
        <v>0</v>
      </c>
      <c r="T1556" s="150">
        <v>0</v>
      </c>
      <c r="U1556" s="150">
        <v>0</v>
      </c>
      <c r="V1556" s="199">
        <v>0</v>
      </c>
      <c r="W1556" s="150">
        <f t="shared" si="1356"/>
        <v>0</v>
      </c>
      <c r="X1556" s="150">
        <v>0</v>
      </c>
      <c r="Y1556" s="150">
        <v>0</v>
      </c>
      <c r="Z1556" s="150">
        <v>0</v>
      </c>
      <c r="AA1556" s="150">
        <f t="shared" si="1363"/>
        <v>0</v>
      </c>
      <c r="AB1556" s="150">
        <v>0</v>
      </c>
      <c r="AC1556" s="199">
        <v>0</v>
      </c>
      <c r="AD1556" s="150">
        <f t="shared" si="1357"/>
        <v>0</v>
      </c>
      <c r="AE1556" s="150">
        <v>0</v>
      </c>
      <c r="AF1556" s="169" t="s">
        <v>4680</v>
      </c>
      <c r="AG1556" s="201">
        <v>0</v>
      </c>
      <c r="AH1556" s="199">
        <v>0</v>
      </c>
      <c r="AI1556" s="150">
        <v>0</v>
      </c>
      <c r="AJ1556" s="169">
        <f t="shared" si="1364"/>
        <v>0</v>
      </c>
      <c r="AK1556" s="201">
        <v>0</v>
      </c>
      <c r="AL1556" s="199">
        <v>0</v>
      </c>
      <c r="AM1556" s="150">
        <f t="shared" si="1358"/>
        <v>0</v>
      </c>
      <c r="AN1556" s="153">
        <f t="shared" si="1365"/>
        <v>0</v>
      </c>
      <c r="AO1556" s="154">
        <f t="shared" si="1366"/>
        <v>0</v>
      </c>
      <c r="AP1556" s="150">
        <v>0</v>
      </c>
      <c r="AQ1556" s="201">
        <v>0</v>
      </c>
      <c r="AR1556" s="199">
        <v>0</v>
      </c>
      <c r="AS1556" s="150">
        <f t="shared" si="1359"/>
        <v>0</v>
      </c>
      <c r="AT1556" s="155"/>
      <c r="AU1556" s="156">
        <f t="shared" si="1361"/>
        <v>0</v>
      </c>
      <c r="AV1556" s="156">
        <f t="shared" si="1362"/>
        <v>0</v>
      </c>
      <c r="AW1556" s="157"/>
      <c r="AX1556" s="150">
        <v>0</v>
      </c>
      <c r="AY1556" s="150">
        <v>0</v>
      </c>
      <c r="AZ1556" s="150">
        <f t="shared" si="1360"/>
        <v>0</v>
      </c>
      <c r="BA1556" s="348">
        <v>0</v>
      </c>
      <c r="BB1556" s="210"/>
      <c r="BC1556" s="210"/>
      <c r="BD1556" s="210"/>
      <c r="BE1556" s="210"/>
      <c r="BF1556" s="210"/>
      <c r="BG1556" s="210"/>
      <c r="BH1556" s="217"/>
      <c r="BI1556" s="210"/>
      <c r="BJ1556" s="210"/>
      <c r="BK1556" s="210"/>
      <c r="BL1556" s="210"/>
      <c r="BM1556" s="208"/>
      <c r="BN1556" s="160"/>
      <c r="BO1556" s="161"/>
      <c r="BP1556" s="161"/>
    </row>
    <row r="1557" spans="1:68" ht="51">
      <c r="A1557" s="210"/>
      <c r="B1557" s="195" t="s">
        <v>8793</v>
      </c>
      <c r="C1557" s="196" t="s">
        <v>8794</v>
      </c>
      <c r="D1557" s="146" t="s">
        <v>4692</v>
      </c>
      <c r="E1557" s="196" t="s">
        <v>8794</v>
      </c>
      <c r="F1557" s="150">
        <v>0</v>
      </c>
      <c r="G1557" s="209">
        <v>0</v>
      </c>
      <c r="H1557" s="209">
        <v>0</v>
      </c>
      <c r="I1557" s="209">
        <v>0</v>
      </c>
      <c r="J1557" s="150">
        <v>0</v>
      </c>
      <c r="K1557" s="150">
        <v>0</v>
      </c>
      <c r="L1557" s="150">
        <f t="shared" si="1368"/>
        <v>0</v>
      </c>
      <c r="M1557" s="150">
        <v>0</v>
      </c>
      <c r="N1557" s="150">
        <v>0</v>
      </c>
      <c r="O1557" s="150">
        <v>0</v>
      </c>
      <c r="P1557" s="150">
        <v>0</v>
      </c>
      <c r="Q1557" s="150">
        <v>0</v>
      </c>
      <c r="R1557" s="313">
        <f t="shared" si="1355"/>
        <v>0</v>
      </c>
      <c r="S1557" s="150">
        <f t="shared" si="1367"/>
        <v>0</v>
      </c>
      <c r="T1557" s="150">
        <v>0</v>
      </c>
      <c r="U1557" s="150">
        <v>0</v>
      </c>
      <c r="V1557" s="199">
        <v>0</v>
      </c>
      <c r="W1557" s="150">
        <f t="shared" si="1356"/>
        <v>0</v>
      </c>
      <c r="X1557" s="150">
        <v>0</v>
      </c>
      <c r="Y1557" s="150">
        <v>0</v>
      </c>
      <c r="Z1557" s="150">
        <v>0</v>
      </c>
      <c r="AA1557" s="150">
        <f t="shared" si="1363"/>
        <v>0</v>
      </c>
      <c r="AB1557" s="150">
        <v>0</v>
      </c>
      <c r="AC1557" s="199">
        <v>0</v>
      </c>
      <c r="AD1557" s="150">
        <f t="shared" si="1357"/>
        <v>0</v>
      </c>
      <c r="AE1557" s="150">
        <v>0</v>
      </c>
      <c r="AF1557" s="169" t="s">
        <v>4680</v>
      </c>
      <c r="AG1557" s="201">
        <v>0</v>
      </c>
      <c r="AH1557" s="199">
        <v>0</v>
      </c>
      <c r="AI1557" s="150">
        <v>0</v>
      </c>
      <c r="AJ1557" s="169">
        <f t="shared" si="1364"/>
        <v>0</v>
      </c>
      <c r="AK1557" s="201">
        <v>0</v>
      </c>
      <c r="AL1557" s="199">
        <v>0</v>
      </c>
      <c r="AM1557" s="150">
        <f t="shared" si="1358"/>
        <v>0</v>
      </c>
      <c r="AN1557" s="153">
        <f t="shared" si="1365"/>
        <v>0</v>
      </c>
      <c r="AO1557" s="154">
        <f t="shared" si="1366"/>
        <v>0</v>
      </c>
      <c r="AP1557" s="150">
        <v>0</v>
      </c>
      <c r="AQ1557" s="201">
        <v>0</v>
      </c>
      <c r="AR1557" s="199">
        <v>0</v>
      </c>
      <c r="AS1557" s="150">
        <f t="shared" si="1359"/>
        <v>0</v>
      </c>
      <c r="AT1557" s="155"/>
      <c r="AU1557" s="156">
        <f t="shared" si="1361"/>
        <v>0</v>
      </c>
      <c r="AV1557" s="156">
        <f t="shared" si="1362"/>
        <v>0</v>
      </c>
      <c r="AW1557" s="157"/>
      <c r="AX1557" s="150">
        <v>0</v>
      </c>
      <c r="AY1557" s="150">
        <v>0</v>
      </c>
      <c r="AZ1557" s="150">
        <f t="shared" si="1360"/>
        <v>0</v>
      </c>
      <c r="BA1557" s="348">
        <v>0</v>
      </c>
      <c r="BB1557" s="210"/>
      <c r="BC1557" s="210"/>
      <c r="BD1557" s="210"/>
      <c r="BE1557" s="210"/>
      <c r="BF1557" s="210"/>
      <c r="BG1557" s="210"/>
      <c r="BH1557" s="217"/>
      <c r="BI1557" s="210"/>
      <c r="BJ1557" s="210"/>
      <c r="BK1557" s="210"/>
      <c r="BL1557" s="210"/>
      <c r="BM1557" s="208"/>
      <c r="BN1557" s="160"/>
      <c r="BO1557" s="161"/>
      <c r="BP1557" s="161"/>
    </row>
    <row r="1558" spans="1:68" ht="51">
      <c r="A1558" s="210"/>
      <c r="B1558" s="195" t="s">
        <v>8795</v>
      </c>
      <c r="C1558" s="196" t="s">
        <v>8796</v>
      </c>
      <c r="D1558" s="146" t="s">
        <v>4692</v>
      </c>
      <c r="E1558" s="196" t="s">
        <v>8796</v>
      </c>
      <c r="F1558" s="150">
        <v>0</v>
      </c>
      <c r="G1558" s="209">
        <v>0</v>
      </c>
      <c r="H1558" s="209">
        <v>0</v>
      </c>
      <c r="I1558" s="209">
        <v>0</v>
      </c>
      <c r="J1558" s="150">
        <v>0</v>
      </c>
      <c r="K1558" s="150">
        <v>0</v>
      </c>
      <c r="L1558" s="150">
        <f t="shared" si="1368"/>
        <v>0</v>
      </c>
      <c r="M1558" s="150">
        <v>0</v>
      </c>
      <c r="N1558" s="150">
        <v>0</v>
      </c>
      <c r="O1558" s="150">
        <v>0</v>
      </c>
      <c r="P1558" s="150">
        <v>0</v>
      </c>
      <c r="Q1558" s="150">
        <v>0</v>
      </c>
      <c r="R1558" s="313">
        <f t="shared" si="1355"/>
        <v>0</v>
      </c>
      <c r="S1558" s="150">
        <f t="shared" si="1367"/>
        <v>0</v>
      </c>
      <c r="T1558" s="150">
        <v>0</v>
      </c>
      <c r="U1558" s="150">
        <v>0</v>
      </c>
      <c r="V1558" s="199">
        <v>0</v>
      </c>
      <c r="W1558" s="150">
        <f t="shared" si="1356"/>
        <v>0</v>
      </c>
      <c r="X1558" s="150">
        <v>0</v>
      </c>
      <c r="Y1558" s="150">
        <v>0</v>
      </c>
      <c r="Z1558" s="150">
        <v>0</v>
      </c>
      <c r="AA1558" s="150">
        <f t="shared" si="1363"/>
        <v>0</v>
      </c>
      <c r="AB1558" s="150">
        <v>0</v>
      </c>
      <c r="AC1558" s="199">
        <v>0</v>
      </c>
      <c r="AD1558" s="150">
        <f t="shared" si="1357"/>
        <v>0</v>
      </c>
      <c r="AE1558" s="150">
        <v>0</v>
      </c>
      <c r="AF1558" s="169" t="s">
        <v>4680</v>
      </c>
      <c r="AG1558" s="201">
        <v>0</v>
      </c>
      <c r="AH1558" s="199">
        <v>0</v>
      </c>
      <c r="AI1558" s="150">
        <v>0</v>
      </c>
      <c r="AJ1558" s="169">
        <f t="shared" si="1364"/>
        <v>0</v>
      </c>
      <c r="AK1558" s="201">
        <v>0</v>
      </c>
      <c r="AL1558" s="199">
        <v>0</v>
      </c>
      <c r="AM1558" s="150">
        <f t="shared" si="1358"/>
        <v>0</v>
      </c>
      <c r="AN1558" s="153">
        <f t="shared" si="1365"/>
        <v>0</v>
      </c>
      <c r="AO1558" s="154">
        <f t="shared" si="1366"/>
        <v>0</v>
      </c>
      <c r="AP1558" s="150">
        <v>0</v>
      </c>
      <c r="AQ1558" s="201">
        <v>0</v>
      </c>
      <c r="AR1558" s="199">
        <v>0</v>
      </c>
      <c r="AS1558" s="150">
        <f t="shared" si="1359"/>
        <v>0</v>
      </c>
      <c r="AT1558" s="155"/>
      <c r="AU1558" s="156">
        <f t="shared" si="1361"/>
        <v>0</v>
      </c>
      <c r="AV1558" s="156">
        <f t="shared" si="1362"/>
        <v>0</v>
      </c>
      <c r="AW1558" s="157"/>
      <c r="AX1558" s="150">
        <v>0</v>
      </c>
      <c r="AY1558" s="150">
        <v>0</v>
      </c>
      <c r="AZ1558" s="150">
        <f t="shared" si="1360"/>
        <v>0</v>
      </c>
      <c r="BA1558" s="348">
        <v>0</v>
      </c>
      <c r="BB1558" s="210"/>
      <c r="BC1558" s="210"/>
      <c r="BD1558" s="210"/>
      <c r="BE1558" s="210"/>
      <c r="BF1558" s="210"/>
      <c r="BG1558" s="210"/>
      <c r="BH1558" s="217"/>
      <c r="BI1558" s="210"/>
      <c r="BJ1558" s="210"/>
      <c r="BK1558" s="210"/>
      <c r="BL1558" s="210"/>
      <c r="BM1558" s="208"/>
      <c r="BN1558" s="160"/>
      <c r="BO1558" s="161"/>
      <c r="BP1558" s="161"/>
    </row>
    <row r="1559" spans="1:68" ht="63.75">
      <c r="A1559" s="210"/>
      <c r="B1559" s="195" t="s">
        <v>8797</v>
      </c>
      <c r="C1559" s="196" t="s">
        <v>8798</v>
      </c>
      <c r="D1559" s="146" t="s">
        <v>4692</v>
      </c>
      <c r="E1559" s="196" t="s">
        <v>8798</v>
      </c>
      <c r="F1559" s="150">
        <v>0</v>
      </c>
      <c r="G1559" s="209">
        <v>0</v>
      </c>
      <c r="H1559" s="209">
        <v>0</v>
      </c>
      <c r="I1559" s="209">
        <v>0</v>
      </c>
      <c r="J1559" s="150">
        <v>0</v>
      </c>
      <c r="K1559" s="150">
        <v>0</v>
      </c>
      <c r="L1559" s="150">
        <f t="shared" si="1368"/>
        <v>0</v>
      </c>
      <c r="M1559" s="150">
        <v>0</v>
      </c>
      <c r="N1559" s="150">
        <v>0</v>
      </c>
      <c r="O1559" s="150">
        <v>0</v>
      </c>
      <c r="P1559" s="150">
        <v>0</v>
      </c>
      <c r="Q1559" s="150">
        <v>0</v>
      </c>
      <c r="R1559" s="313">
        <f t="shared" si="1355"/>
        <v>0</v>
      </c>
      <c r="S1559" s="150">
        <f t="shared" si="1367"/>
        <v>0</v>
      </c>
      <c r="T1559" s="150">
        <v>0</v>
      </c>
      <c r="U1559" s="150">
        <v>0</v>
      </c>
      <c r="V1559" s="199">
        <v>0</v>
      </c>
      <c r="W1559" s="150">
        <f t="shared" si="1356"/>
        <v>0</v>
      </c>
      <c r="X1559" s="150">
        <v>0</v>
      </c>
      <c r="Y1559" s="150">
        <v>0</v>
      </c>
      <c r="Z1559" s="150">
        <v>0</v>
      </c>
      <c r="AA1559" s="150">
        <f t="shared" si="1363"/>
        <v>0</v>
      </c>
      <c r="AB1559" s="150">
        <v>0</v>
      </c>
      <c r="AC1559" s="199">
        <v>0</v>
      </c>
      <c r="AD1559" s="150">
        <f t="shared" si="1357"/>
        <v>0</v>
      </c>
      <c r="AE1559" s="150">
        <v>0</v>
      </c>
      <c r="AF1559" s="169" t="s">
        <v>4680</v>
      </c>
      <c r="AG1559" s="201">
        <v>0</v>
      </c>
      <c r="AH1559" s="199">
        <v>0</v>
      </c>
      <c r="AI1559" s="150">
        <v>0</v>
      </c>
      <c r="AJ1559" s="169">
        <f t="shared" si="1364"/>
        <v>0</v>
      </c>
      <c r="AK1559" s="201">
        <v>0</v>
      </c>
      <c r="AL1559" s="199">
        <v>0</v>
      </c>
      <c r="AM1559" s="150">
        <f t="shared" si="1358"/>
        <v>0</v>
      </c>
      <c r="AN1559" s="153">
        <f t="shared" si="1365"/>
        <v>0</v>
      </c>
      <c r="AO1559" s="154">
        <f t="shared" si="1366"/>
        <v>0</v>
      </c>
      <c r="AP1559" s="150">
        <v>0</v>
      </c>
      <c r="AQ1559" s="201">
        <v>0</v>
      </c>
      <c r="AR1559" s="199">
        <v>0</v>
      </c>
      <c r="AS1559" s="150">
        <f t="shared" si="1359"/>
        <v>0</v>
      </c>
      <c r="AT1559" s="155"/>
      <c r="AU1559" s="156">
        <f t="shared" si="1361"/>
        <v>0</v>
      </c>
      <c r="AV1559" s="156">
        <f t="shared" si="1362"/>
        <v>0</v>
      </c>
      <c r="AW1559" s="157"/>
      <c r="AX1559" s="150">
        <v>0</v>
      </c>
      <c r="AY1559" s="150">
        <v>0</v>
      </c>
      <c r="AZ1559" s="150">
        <f t="shared" si="1360"/>
        <v>0</v>
      </c>
      <c r="BA1559" s="348">
        <v>0</v>
      </c>
      <c r="BB1559" s="210"/>
      <c r="BC1559" s="210"/>
      <c r="BD1559" s="210"/>
      <c r="BE1559" s="210"/>
      <c r="BF1559" s="210"/>
      <c r="BG1559" s="210"/>
      <c r="BH1559" s="217"/>
      <c r="BI1559" s="210"/>
      <c r="BJ1559" s="210"/>
      <c r="BK1559" s="210"/>
      <c r="BL1559" s="210"/>
      <c r="BM1559" s="208"/>
      <c r="BN1559" s="160"/>
      <c r="BO1559" s="161"/>
      <c r="BP1559" s="161"/>
    </row>
    <row r="1560" spans="1:68" ht="51">
      <c r="A1560" s="210"/>
      <c r="B1560" s="195" t="s">
        <v>8799</v>
      </c>
      <c r="C1560" s="196" t="s">
        <v>8800</v>
      </c>
      <c r="D1560" s="146" t="s">
        <v>4692</v>
      </c>
      <c r="E1560" s="196" t="s">
        <v>8800</v>
      </c>
      <c r="F1560" s="150">
        <v>0</v>
      </c>
      <c r="G1560" s="209">
        <v>0</v>
      </c>
      <c r="H1560" s="209">
        <v>0</v>
      </c>
      <c r="I1560" s="209">
        <v>0</v>
      </c>
      <c r="J1560" s="150">
        <v>0</v>
      </c>
      <c r="K1560" s="150">
        <v>0</v>
      </c>
      <c r="L1560" s="150">
        <f t="shared" si="1368"/>
        <v>0</v>
      </c>
      <c r="M1560" s="150">
        <v>0</v>
      </c>
      <c r="N1560" s="150">
        <v>0</v>
      </c>
      <c r="O1560" s="150">
        <v>0</v>
      </c>
      <c r="P1560" s="150">
        <v>0</v>
      </c>
      <c r="Q1560" s="150">
        <v>0</v>
      </c>
      <c r="R1560" s="313">
        <f t="shared" si="1355"/>
        <v>0</v>
      </c>
      <c r="S1560" s="150">
        <f t="shared" si="1367"/>
        <v>0</v>
      </c>
      <c r="T1560" s="150">
        <v>0</v>
      </c>
      <c r="U1560" s="150">
        <v>0</v>
      </c>
      <c r="V1560" s="199">
        <v>0</v>
      </c>
      <c r="W1560" s="150">
        <f t="shared" si="1356"/>
        <v>0</v>
      </c>
      <c r="X1560" s="150">
        <v>0</v>
      </c>
      <c r="Y1560" s="150">
        <v>0</v>
      </c>
      <c r="Z1560" s="150">
        <v>0</v>
      </c>
      <c r="AA1560" s="150">
        <f t="shared" si="1363"/>
        <v>0</v>
      </c>
      <c r="AB1560" s="150">
        <v>0</v>
      </c>
      <c r="AC1560" s="199">
        <v>0</v>
      </c>
      <c r="AD1560" s="150">
        <f t="shared" si="1357"/>
        <v>0</v>
      </c>
      <c r="AE1560" s="150">
        <v>0</v>
      </c>
      <c r="AF1560" s="169" t="s">
        <v>4680</v>
      </c>
      <c r="AG1560" s="201">
        <v>0</v>
      </c>
      <c r="AH1560" s="199">
        <v>0</v>
      </c>
      <c r="AI1560" s="150">
        <v>0</v>
      </c>
      <c r="AJ1560" s="169">
        <f t="shared" si="1364"/>
        <v>0</v>
      </c>
      <c r="AK1560" s="201">
        <v>0</v>
      </c>
      <c r="AL1560" s="199">
        <v>0</v>
      </c>
      <c r="AM1560" s="150">
        <f t="shared" si="1358"/>
        <v>0</v>
      </c>
      <c r="AN1560" s="153">
        <f t="shared" si="1365"/>
        <v>0</v>
      </c>
      <c r="AO1560" s="154">
        <f t="shared" si="1366"/>
        <v>0</v>
      </c>
      <c r="AP1560" s="150">
        <v>0</v>
      </c>
      <c r="AQ1560" s="201">
        <v>0</v>
      </c>
      <c r="AR1560" s="199">
        <v>0</v>
      </c>
      <c r="AS1560" s="150">
        <f t="shared" si="1359"/>
        <v>0</v>
      </c>
      <c r="AT1560" s="155"/>
      <c r="AU1560" s="156">
        <f t="shared" si="1361"/>
        <v>0</v>
      </c>
      <c r="AV1560" s="156">
        <f t="shared" si="1362"/>
        <v>0</v>
      </c>
      <c r="AW1560" s="157"/>
      <c r="AX1560" s="150">
        <v>0</v>
      </c>
      <c r="AY1560" s="150">
        <v>0</v>
      </c>
      <c r="AZ1560" s="150">
        <f t="shared" si="1360"/>
        <v>0</v>
      </c>
      <c r="BA1560" s="348">
        <v>0</v>
      </c>
      <c r="BB1560" s="210"/>
      <c r="BC1560" s="210"/>
      <c r="BD1560" s="210"/>
      <c r="BE1560" s="210"/>
      <c r="BF1560" s="210"/>
      <c r="BG1560" s="210"/>
      <c r="BH1560" s="217"/>
      <c r="BI1560" s="210"/>
      <c r="BJ1560" s="210"/>
      <c r="BK1560" s="210"/>
      <c r="BL1560" s="210"/>
      <c r="BM1560" s="208"/>
      <c r="BN1560" s="160"/>
      <c r="BO1560" s="161"/>
      <c r="BP1560" s="161"/>
    </row>
    <row r="1561" spans="1:68" ht="63.75">
      <c r="A1561" s="206" t="s">
        <v>582</v>
      </c>
      <c r="B1561" s="195" t="s">
        <v>8801</v>
      </c>
      <c r="C1561" s="196" t="s">
        <v>8802</v>
      </c>
      <c r="D1561" s="146" t="s">
        <v>4692</v>
      </c>
      <c r="E1561" s="196" t="s">
        <v>8802</v>
      </c>
      <c r="F1561" s="150">
        <v>0</v>
      </c>
      <c r="G1561" s="209">
        <v>209901.08</v>
      </c>
      <c r="H1561" s="209">
        <v>121264.81435087501</v>
      </c>
      <c r="I1561" s="209">
        <v>331165.89435087499</v>
      </c>
      <c r="J1561" s="150">
        <v>0</v>
      </c>
      <c r="K1561" s="150">
        <v>0</v>
      </c>
      <c r="L1561" s="150">
        <f t="shared" si="1368"/>
        <v>0</v>
      </c>
      <c r="M1561" s="150">
        <v>0</v>
      </c>
      <c r="N1561" s="150">
        <v>0</v>
      </c>
      <c r="O1561" s="150">
        <v>0</v>
      </c>
      <c r="P1561" s="150">
        <v>0</v>
      </c>
      <c r="Q1561" s="150">
        <v>0</v>
      </c>
      <c r="R1561" s="313">
        <f t="shared" si="1355"/>
        <v>0</v>
      </c>
      <c r="S1561" s="150">
        <f t="shared" si="1367"/>
        <v>0</v>
      </c>
      <c r="T1561" s="150">
        <v>0</v>
      </c>
      <c r="U1561" s="150">
        <v>0</v>
      </c>
      <c r="V1561" s="199">
        <v>0</v>
      </c>
      <c r="W1561" s="150">
        <f t="shared" si="1356"/>
        <v>0</v>
      </c>
      <c r="X1561" s="150">
        <v>0</v>
      </c>
      <c r="Y1561" s="150">
        <v>0</v>
      </c>
      <c r="Z1561" s="150">
        <v>0</v>
      </c>
      <c r="AA1561" s="150">
        <f t="shared" si="1363"/>
        <v>0</v>
      </c>
      <c r="AB1561" s="150">
        <v>0</v>
      </c>
      <c r="AC1561" s="199">
        <v>0</v>
      </c>
      <c r="AD1561" s="150">
        <f t="shared" si="1357"/>
        <v>0</v>
      </c>
      <c r="AE1561" s="150">
        <v>0</v>
      </c>
      <c r="AF1561" s="169" t="s">
        <v>4680</v>
      </c>
      <c r="AG1561" s="201">
        <v>0</v>
      </c>
      <c r="AH1561" s="199">
        <v>0</v>
      </c>
      <c r="AI1561" s="150">
        <v>0</v>
      </c>
      <c r="AJ1561" s="169">
        <f t="shared" si="1364"/>
        <v>0</v>
      </c>
      <c r="AK1561" s="201">
        <v>0</v>
      </c>
      <c r="AL1561" s="199">
        <v>0</v>
      </c>
      <c r="AM1561" s="150">
        <f t="shared" si="1358"/>
        <v>0</v>
      </c>
      <c r="AN1561" s="153">
        <f t="shared" si="1365"/>
        <v>0</v>
      </c>
      <c r="AO1561" s="154">
        <f t="shared" si="1366"/>
        <v>0</v>
      </c>
      <c r="AP1561" s="150">
        <v>0</v>
      </c>
      <c r="AQ1561" s="201">
        <v>0</v>
      </c>
      <c r="AR1561" s="199">
        <v>0</v>
      </c>
      <c r="AS1561" s="150">
        <f t="shared" si="1359"/>
        <v>0</v>
      </c>
      <c r="AT1561" s="155"/>
      <c r="AU1561" s="156">
        <f t="shared" si="1361"/>
        <v>0</v>
      </c>
      <c r="AV1561" s="156">
        <f t="shared" si="1362"/>
        <v>0</v>
      </c>
      <c r="AW1561" s="157"/>
      <c r="AX1561" s="150">
        <v>0</v>
      </c>
      <c r="AY1561" s="150">
        <v>0</v>
      </c>
      <c r="AZ1561" s="150">
        <f t="shared" si="1360"/>
        <v>0</v>
      </c>
      <c r="BA1561" s="348">
        <v>0</v>
      </c>
      <c r="BB1561" s="205">
        <v>5</v>
      </c>
      <c r="BC1561" s="206" t="s">
        <v>739</v>
      </c>
      <c r="BD1561" s="206" t="s">
        <v>632</v>
      </c>
      <c r="BE1561" s="194" t="s">
        <v>632</v>
      </c>
      <c r="BF1561" s="350" t="s">
        <v>766</v>
      </c>
      <c r="BG1561" s="196" t="s">
        <v>8802</v>
      </c>
      <c r="BH1561" s="217">
        <f>AS1561</f>
        <v>0</v>
      </c>
      <c r="BI1561" s="210"/>
      <c r="BJ1561" s="206" t="s">
        <v>8740</v>
      </c>
      <c r="BK1561" s="206" t="s">
        <v>582</v>
      </c>
      <c r="BL1561" s="196" t="s">
        <v>8803</v>
      </c>
      <c r="BM1561" s="208">
        <f>BH1561</f>
        <v>0</v>
      </c>
      <c r="BN1561" s="160"/>
      <c r="BO1561" s="161"/>
      <c r="BP1561" s="161"/>
    </row>
    <row r="1562" spans="1:68" ht="38.25">
      <c r="A1562" s="256" t="s">
        <v>583</v>
      </c>
      <c r="B1562" s="184"/>
      <c r="C1562" s="185" t="s">
        <v>88</v>
      </c>
      <c r="D1562" s="146" t="s">
        <v>4692</v>
      </c>
      <c r="E1562" s="185" t="s">
        <v>88</v>
      </c>
      <c r="F1562" s="188">
        <v>331166.08000000002</v>
      </c>
      <c r="G1562" s="187">
        <v>139215.88</v>
      </c>
      <c r="H1562" s="187">
        <v>0</v>
      </c>
      <c r="I1562" s="187">
        <v>139215.88</v>
      </c>
      <c r="J1562" s="188">
        <f>SUM(J1563:J1589)</f>
        <v>46988.670000000006</v>
      </c>
      <c r="K1562" s="188">
        <f>SUM(K1563:K1589)</f>
        <v>33466.39</v>
      </c>
      <c r="L1562" s="188">
        <f t="shared" si="1368"/>
        <v>80455.06</v>
      </c>
      <c r="M1562" s="188">
        <v>106056.12000000001</v>
      </c>
      <c r="N1562" s="188">
        <v>72475.610160769225</v>
      </c>
      <c r="O1562" s="188">
        <v>178531.73016076925</v>
      </c>
      <c r="P1562" s="299">
        <f t="shared" ref="P1562:AD1562" si="1369">SUM(P1563:P1589)</f>
        <v>175269.94</v>
      </c>
      <c r="Q1562" s="299">
        <f t="shared" si="1369"/>
        <v>143646.42328153845</v>
      </c>
      <c r="R1562" s="299">
        <f t="shared" si="1369"/>
        <v>318916.36328153848</v>
      </c>
      <c r="S1562" s="150">
        <f t="shared" si="1367"/>
        <v>425221.81770871795</v>
      </c>
      <c r="T1562" s="347">
        <f>SUM(T1563:T1589)</f>
        <v>486608.02999999997</v>
      </c>
      <c r="U1562" s="299">
        <f t="shared" ref="U1562:W1562" si="1370">SUM(U1563:U1589)</f>
        <v>263293.53999999998</v>
      </c>
      <c r="V1562" s="226">
        <f t="shared" si="1370"/>
        <v>165699.29104205128</v>
      </c>
      <c r="W1562" s="299">
        <f t="shared" si="1370"/>
        <v>428992.8310420512</v>
      </c>
      <c r="X1562" s="299">
        <v>263293.53999999998</v>
      </c>
      <c r="Y1562" s="299">
        <v>165699.29104205128</v>
      </c>
      <c r="Z1562" s="299">
        <v>428992.8310420512</v>
      </c>
      <c r="AA1562" s="299">
        <f t="shared" si="1363"/>
        <v>57615.198957948771</v>
      </c>
      <c r="AB1562" s="299">
        <v>263293.53999999998</v>
      </c>
      <c r="AC1562" s="226">
        <v>223314.49</v>
      </c>
      <c r="AD1562" s="299">
        <f t="shared" si="1369"/>
        <v>486608.02999999997</v>
      </c>
      <c r="AE1562" s="299">
        <v>486608.02999999997</v>
      </c>
      <c r="AF1562" s="169" t="s">
        <v>4680</v>
      </c>
      <c r="AG1562" s="301">
        <v>263293.53999999998</v>
      </c>
      <c r="AH1562" s="226">
        <v>223314.49</v>
      </c>
      <c r="AI1562" s="299">
        <v>486608.02999999997</v>
      </c>
      <c r="AJ1562" s="169">
        <f t="shared" si="1364"/>
        <v>0</v>
      </c>
      <c r="AK1562" s="301">
        <v>263293.53999999998</v>
      </c>
      <c r="AL1562" s="226">
        <v>223314.49</v>
      </c>
      <c r="AM1562" s="299">
        <f t="shared" ref="AM1562" si="1371">SUM(AM1563:AM1589)</f>
        <v>486608.02999999997</v>
      </c>
      <c r="AN1562" s="153">
        <f t="shared" si="1365"/>
        <v>0</v>
      </c>
      <c r="AO1562" s="154">
        <f t="shared" si="1366"/>
        <v>0</v>
      </c>
      <c r="AP1562" s="299">
        <v>486608.02999999997</v>
      </c>
      <c r="AQ1562" s="301">
        <v>486608.02999999997</v>
      </c>
      <c r="AR1562" s="226">
        <f t="shared" ref="AR1562:AS1562" si="1372">SUM(AR1563:AR1589)</f>
        <v>0</v>
      </c>
      <c r="AS1562" s="299">
        <f t="shared" si="1372"/>
        <v>486608.02999999997</v>
      </c>
      <c r="AT1562" s="155"/>
      <c r="AU1562" s="156">
        <f t="shared" si="1361"/>
        <v>0</v>
      </c>
      <c r="AV1562" s="156">
        <f t="shared" si="1362"/>
        <v>57615.198957948771</v>
      </c>
      <c r="AW1562" s="157"/>
      <c r="AX1562" s="150">
        <v>428992.8310420512</v>
      </c>
      <c r="AY1562" s="299">
        <f t="shared" ref="AY1562:BA1562" si="1373">SUM(AY1563:AY1589)</f>
        <v>128222.87999999999</v>
      </c>
      <c r="AZ1562" s="299">
        <f t="shared" si="1373"/>
        <v>228840.58032153844</v>
      </c>
      <c r="BA1562" s="299">
        <f t="shared" si="1373"/>
        <v>357063.46032153844</v>
      </c>
      <c r="BB1562" s="192">
        <v>5</v>
      </c>
      <c r="BC1562" s="256" t="s">
        <v>739</v>
      </c>
      <c r="BD1562" s="256" t="s">
        <v>632</v>
      </c>
      <c r="BE1562" s="183" t="s">
        <v>647</v>
      </c>
      <c r="BF1562" s="256" t="s">
        <v>630</v>
      </c>
      <c r="BG1562" s="185" t="s">
        <v>88</v>
      </c>
      <c r="BH1562" s="215">
        <f>BH1563+BH1564+BH1565+BH1566+BH1567+BH1575+BH1576+BH1589</f>
        <v>486608.02999999997</v>
      </c>
      <c r="BI1562" s="192"/>
      <c r="BJ1562" s="256" t="s">
        <v>8804</v>
      </c>
      <c r="BK1562" s="256" t="s">
        <v>583</v>
      </c>
      <c r="BL1562" s="238" t="s">
        <v>8805</v>
      </c>
      <c r="BM1562" s="338">
        <f>BM1563+BM1564+BM1565+BM1566+BM1567+BM1575+BM1576+BM1589</f>
        <v>486608.02999999997</v>
      </c>
      <c r="BN1562" s="160"/>
      <c r="BO1562" s="161">
        <f t="shared" ref="BO1562:BO1625" si="1374">BM1562-AS1562</f>
        <v>0</v>
      </c>
      <c r="BP1562" s="161"/>
    </row>
    <row r="1563" spans="1:68" ht="51">
      <c r="A1563" s="206" t="s">
        <v>583</v>
      </c>
      <c r="B1563" s="195" t="s">
        <v>8806</v>
      </c>
      <c r="C1563" s="196" t="s">
        <v>8807</v>
      </c>
      <c r="D1563" s="146" t="s">
        <v>4692</v>
      </c>
      <c r="E1563" s="196" t="s">
        <v>8807</v>
      </c>
      <c r="F1563" s="150">
        <v>139215.88</v>
      </c>
      <c r="G1563" s="209">
        <v>16491.830000000002</v>
      </c>
      <c r="H1563" s="209">
        <v>55568.77843749999</v>
      </c>
      <c r="I1563" s="209">
        <v>72060.608437499992</v>
      </c>
      <c r="J1563" s="150">
        <v>32603.49</v>
      </c>
      <c r="K1563" s="150">
        <v>3441.84</v>
      </c>
      <c r="L1563" s="150">
        <f t="shared" si="1368"/>
        <v>36045.33</v>
      </c>
      <c r="M1563" s="150">
        <v>72800.399999999994</v>
      </c>
      <c r="N1563" s="150">
        <v>7685.2955599999987</v>
      </c>
      <c r="O1563" s="150">
        <v>80485.695559999993</v>
      </c>
      <c r="P1563" s="150">
        <v>118308</v>
      </c>
      <c r="Q1563" s="150">
        <v>12489.38</v>
      </c>
      <c r="R1563" s="313">
        <f t="shared" ref="R1563:R1589" si="1375">P1563+Q1563</f>
        <v>130797.38</v>
      </c>
      <c r="S1563" s="150">
        <f t="shared" si="1367"/>
        <v>174396.50666666665</v>
      </c>
      <c r="T1563" s="150">
        <v>177011.81</v>
      </c>
      <c r="U1563" s="150">
        <v>177011.81</v>
      </c>
      <c r="V1563" s="199">
        <v>0</v>
      </c>
      <c r="W1563" s="150">
        <f t="shared" ref="W1563:W1589" si="1376">U1563+V1563</f>
        <v>177011.81</v>
      </c>
      <c r="X1563" s="150">
        <v>177011.81</v>
      </c>
      <c r="Y1563" s="150">
        <v>0</v>
      </c>
      <c r="Z1563" s="150">
        <v>177011.81</v>
      </c>
      <c r="AA1563" s="150">
        <f t="shared" si="1363"/>
        <v>0</v>
      </c>
      <c r="AB1563" s="150">
        <v>177011.81</v>
      </c>
      <c r="AC1563" s="199">
        <v>0</v>
      </c>
      <c r="AD1563" s="150">
        <f t="shared" ref="AD1563:AD1589" si="1377">AB1563+AC1563</f>
        <v>177011.81</v>
      </c>
      <c r="AE1563" s="150">
        <v>177011.81</v>
      </c>
      <c r="AF1563" s="169" t="s">
        <v>4680</v>
      </c>
      <c r="AG1563" s="201">
        <v>177011.81</v>
      </c>
      <c r="AH1563" s="199">
        <v>0</v>
      </c>
      <c r="AI1563" s="150">
        <v>177011.81</v>
      </c>
      <c r="AJ1563" s="169">
        <f t="shared" si="1364"/>
        <v>0</v>
      </c>
      <c r="AK1563" s="201">
        <v>177011.81</v>
      </c>
      <c r="AL1563" s="199">
        <v>0</v>
      </c>
      <c r="AM1563" s="150">
        <f t="shared" ref="AM1563:AM1589" si="1378">AK1563+AL1563</f>
        <v>177011.81</v>
      </c>
      <c r="AN1563" s="153">
        <f t="shared" si="1365"/>
        <v>0</v>
      </c>
      <c r="AO1563" s="154">
        <f t="shared" si="1366"/>
        <v>0</v>
      </c>
      <c r="AP1563" s="150">
        <v>177011.81</v>
      </c>
      <c r="AQ1563" s="201">
        <v>177011.81</v>
      </c>
      <c r="AR1563" s="199">
        <v>0</v>
      </c>
      <c r="AS1563" s="150">
        <f t="shared" ref="AS1563:AS1589" si="1379">AQ1563+AR1563</f>
        <v>177011.81</v>
      </c>
      <c r="AT1563" s="155"/>
      <c r="AU1563" s="156">
        <f t="shared" si="1361"/>
        <v>0</v>
      </c>
      <c r="AV1563" s="156">
        <f t="shared" si="1362"/>
        <v>0</v>
      </c>
      <c r="AW1563" s="157"/>
      <c r="AX1563" s="150">
        <v>177011.81</v>
      </c>
      <c r="AY1563" s="150">
        <v>87360.48</v>
      </c>
      <c r="AZ1563" s="150">
        <f t="shared" si="1360"/>
        <v>73610.91111999999</v>
      </c>
      <c r="BA1563" s="150">
        <v>160971.39111999999</v>
      </c>
      <c r="BB1563" s="202">
        <v>5</v>
      </c>
      <c r="BC1563" s="202" t="s">
        <v>739</v>
      </c>
      <c r="BD1563" s="202" t="s">
        <v>632</v>
      </c>
      <c r="BE1563" s="202" t="s">
        <v>647</v>
      </c>
      <c r="BF1563" s="202" t="s">
        <v>632</v>
      </c>
      <c r="BG1563" s="207" t="s">
        <v>8808</v>
      </c>
      <c r="BH1563" s="216">
        <f>AS1563</f>
        <v>177011.81</v>
      </c>
      <c r="BI1563" s="205"/>
      <c r="BJ1563" s="206" t="s">
        <v>8804</v>
      </c>
      <c r="BK1563" s="206" t="s">
        <v>583</v>
      </c>
      <c r="BL1563" s="207" t="s">
        <v>8805</v>
      </c>
      <c r="BM1563" s="208">
        <f>BH1563</f>
        <v>177011.81</v>
      </c>
      <c r="BN1563" s="160"/>
      <c r="BO1563" s="161">
        <f t="shared" si="1374"/>
        <v>0</v>
      </c>
      <c r="BP1563" s="161"/>
    </row>
    <row r="1564" spans="1:68" ht="51">
      <c r="A1564" s="206" t="s">
        <v>583</v>
      </c>
      <c r="B1564" s="195" t="s">
        <v>8809</v>
      </c>
      <c r="C1564" s="196" t="s">
        <v>8810</v>
      </c>
      <c r="D1564" s="146" t="s">
        <v>4692</v>
      </c>
      <c r="E1564" s="196" t="s">
        <v>8810</v>
      </c>
      <c r="F1564" s="150">
        <v>72060.83</v>
      </c>
      <c r="G1564" s="209">
        <v>2055.4899999999998</v>
      </c>
      <c r="H1564" s="209">
        <v>-2055</v>
      </c>
      <c r="I1564" s="209">
        <v>0.48999999999978172</v>
      </c>
      <c r="J1564" s="150">
        <v>3807.72</v>
      </c>
      <c r="K1564" s="150">
        <v>12342.03</v>
      </c>
      <c r="L1564" s="150">
        <f t="shared" si="1368"/>
        <v>16149.75</v>
      </c>
      <c r="M1564" s="150">
        <v>8461.58</v>
      </c>
      <c r="N1564" s="150">
        <v>27067.874615384615</v>
      </c>
      <c r="O1564" s="150">
        <v>35529.454615384617</v>
      </c>
      <c r="P1564" s="150">
        <v>15420.56</v>
      </c>
      <c r="Q1564" s="150">
        <v>55638.349230769221</v>
      </c>
      <c r="R1564" s="313">
        <f t="shared" si="1375"/>
        <v>71058.909230769219</v>
      </c>
      <c r="S1564" s="150">
        <f t="shared" si="1367"/>
        <v>94745.212307692287</v>
      </c>
      <c r="T1564" s="150">
        <v>124718.26</v>
      </c>
      <c r="U1564" s="150">
        <v>24267</v>
      </c>
      <c r="V1564" s="199">
        <v>70478.212307692287</v>
      </c>
      <c r="W1564" s="150">
        <f t="shared" si="1376"/>
        <v>94745.212307692287</v>
      </c>
      <c r="X1564" s="150">
        <v>24267</v>
      </c>
      <c r="Y1564" s="150">
        <v>70478.212307692287</v>
      </c>
      <c r="Z1564" s="150">
        <v>94745.212307692287</v>
      </c>
      <c r="AA1564" s="150">
        <f t="shared" si="1363"/>
        <v>29973.047692307708</v>
      </c>
      <c r="AB1564" s="150">
        <v>24267</v>
      </c>
      <c r="AC1564" s="199">
        <v>100451.26</v>
      </c>
      <c r="AD1564" s="150">
        <f t="shared" si="1377"/>
        <v>124718.26</v>
      </c>
      <c r="AE1564" s="150">
        <v>124718.26</v>
      </c>
      <c r="AF1564" s="169" t="s">
        <v>4680</v>
      </c>
      <c r="AG1564" s="201">
        <v>24267</v>
      </c>
      <c r="AH1564" s="199">
        <v>100451.26</v>
      </c>
      <c r="AI1564" s="150">
        <v>124718.26</v>
      </c>
      <c r="AJ1564" s="169">
        <f t="shared" si="1364"/>
        <v>0</v>
      </c>
      <c r="AK1564" s="201">
        <v>24267</v>
      </c>
      <c r="AL1564" s="199">
        <v>100451.26</v>
      </c>
      <c r="AM1564" s="150">
        <f t="shared" si="1378"/>
        <v>124718.26</v>
      </c>
      <c r="AN1564" s="153">
        <f t="shared" si="1365"/>
        <v>0</v>
      </c>
      <c r="AO1564" s="154">
        <f t="shared" si="1366"/>
        <v>0</v>
      </c>
      <c r="AP1564" s="150">
        <v>124718.26</v>
      </c>
      <c r="AQ1564" s="201">
        <v>124718.26</v>
      </c>
      <c r="AR1564" s="199"/>
      <c r="AS1564" s="150">
        <f t="shared" si="1379"/>
        <v>124718.26</v>
      </c>
      <c r="AT1564" s="155"/>
      <c r="AU1564" s="156">
        <f t="shared" si="1361"/>
        <v>0</v>
      </c>
      <c r="AV1564" s="156">
        <f t="shared" si="1362"/>
        <v>29973.047692307708</v>
      </c>
      <c r="AW1564" s="157"/>
      <c r="AX1564" s="150">
        <v>94745.212307692287</v>
      </c>
      <c r="AY1564" s="150">
        <v>11076.95</v>
      </c>
      <c r="AZ1564" s="150">
        <f t="shared" si="1360"/>
        <v>59981.959230769236</v>
      </c>
      <c r="BA1564" s="150">
        <v>71058.909230769234</v>
      </c>
      <c r="BB1564" s="202">
        <v>5</v>
      </c>
      <c r="BC1564" s="202" t="s">
        <v>739</v>
      </c>
      <c r="BD1564" s="202" t="s">
        <v>632</v>
      </c>
      <c r="BE1564" s="202" t="s">
        <v>647</v>
      </c>
      <c r="BF1564" s="202" t="s">
        <v>647</v>
      </c>
      <c r="BG1564" s="207" t="s">
        <v>8811</v>
      </c>
      <c r="BH1564" s="216">
        <f>AS1564</f>
        <v>124718.26</v>
      </c>
      <c r="BI1564" s="205"/>
      <c r="BJ1564" s="206" t="s">
        <v>8804</v>
      </c>
      <c r="BK1564" s="206" t="s">
        <v>583</v>
      </c>
      <c r="BL1564" s="207" t="s">
        <v>8805</v>
      </c>
      <c r="BM1564" s="208">
        <f>BH1564</f>
        <v>124718.26</v>
      </c>
      <c r="BN1564" s="160"/>
      <c r="BO1564" s="161">
        <f t="shared" si="1374"/>
        <v>0</v>
      </c>
      <c r="BP1564" s="161"/>
    </row>
    <row r="1565" spans="1:68" ht="51">
      <c r="A1565" s="206" t="s">
        <v>583</v>
      </c>
      <c r="B1565" s="195" t="s">
        <v>8812</v>
      </c>
      <c r="C1565" s="196" t="s">
        <v>8813</v>
      </c>
      <c r="D1565" s="146" t="s">
        <v>4692</v>
      </c>
      <c r="E1565" s="196" t="s">
        <v>8813</v>
      </c>
      <c r="F1565" s="150">
        <v>0.49</v>
      </c>
      <c r="G1565" s="209">
        <v>4800</v>
      </c>
      <c r="H1565" s="209">
        <v>43145.699375000004</v>
      </c>
      <c r="I1565" s="209">
        <v>47945.699375000004</v>
      </c>
      <c r="J1565" s="150">
        <v>0</v>
      </c>
      <c r="K1565" s="150">
        <v>0</v>
      </c>
      <c r="L1565" s="150">
        <f t="shared" si="1368"/>
        <v>0</v>
      </c>
      <c r="M1565" s="150">
        <v>934.2</v>
      </c>
      <c r="N1565" s="150">
        <v>-934.2</v>
      </c>
      <c r="O1565" s="150">
        <v>0</v>
      </c>
      <c r="P1565" s="150">
        <v>1992.6</v>
      </c>
      <c r="Q1565" s="150">
        <v>0</v>
      </c>
      <c r="R1565" s="313">
        <f t="shared" si="1375"/>
        <v>1992.6</v>
      </c>
      <c r="S1565" s="150">
        <f t="shared" si="1367"/>
        <v>2656.7999999999997</v>
      </c>
      <c r="T1565" s="150">
        <v>2532.6</v>
      </c>
      <c r="U1565" s="150">
        <v>2532.6</v>
      </c>
      <c r="V1565" s="199">
        <v>124.19999999999982</v>
      </c>
      <c r="W1565" s="150">
        <f t="shared" si="1376"/>
        <v>2656.7999999999997</v>
      </c>
      <c r="X1565" s="150">
        <v>2532.6</v>
      </c>
      <c r="Y1565" s="150">
        <v>124.19999999999982</v>
      </c>
      <c r="Z1565" s="150">
        <v>2656.7999999999997</v>
      </c>
      <c r="AA1565" s="150">
        <f t="shared" si="1363"/>
        <v>-124.19999999999982</v>
      </c>
      <c r="AB1565" s="150">
        <v>2532.6</v>
      </c>
      <c r="AC1565" s="199">
        <v>0</v>
      </c>
      <c r="AD1565" s="150">
        <f t="shared" si="1377"/>
        <v>2532.6</v>
      </c>
      <c r="AE1565" s="150">
        <v>2532.6</v>
      </c>
      <c r="AF1565" s="169" t="s">
        <v>4680</v>
      </c>
      <c r="AG1565" s="201">
        <v>2532.6</v>
      </c>
      <c r="AH1565" s="199">
        <v>0</v>
      </c>
      <c r="AI1565" s="150">
        <v>2532.6</v>
      </c>
      <c r="AJ1565" s="169">
        <f t="shared" si="1364"/>
        <v>0</v>
      </c>
      <c r="AK1565" s="201">
        <v>2532.6</v>
      </c>
      <c r="AL1565" s="199">
        <v>0</v>
      </c>
      <c r="AM1565" s="150">
        <f t="shared" si="1378"/>
        <v>2532.6</v>
      </c>
      <c r="AN1565" s="153">
        <f t="shared" si="1365"/>
        <v>0</v>
      </c>
      <c r="AO1565" s="154">
        <f t="shared" si="1366"/>
        <v>0</v>
      </c>
      <c r="AP1565" s="150">
        <v>2532.6</v>
      </c>
      <c r="AQ1565" s="201">
        <v>2532.6</v>
      </c>
      <c r="AR1565" s="199">
        <v>0</v>
      </c>
      <c r="AS1565" s="150">
        <f t="shared" si="1379"/>
        <v>2532.6</v>
      </c>
      <c r="AT1565" s="155"/>
      <c r="AU1565" s="156">
        <f t="shared" si="1361"/>
        <v>0</v>
      </c>
      <c r="AV1565" s="156">
        <f t="shared" si="1362"/>
        <v>-124.19999999999982</v>
      </c>
      <c r="AW1565" s="157"/>
      <c r="AX1565" s="150">
        <v>2656.7999999999997</v>
      </c>
      <c r="AY1565" s="150">
        <v>934.2</v>
      </c>
      <c r="AZ1565" s="150">
        <f t="shared" si="1360"/>
        <v>-934.2</v>
      </c>
      <c r="BA1565" s="150">
        <v>0</v>
      </c>
      <c r="BB1565" s="205">
        <v>5</v>
      </c>
      <c r="BC1565" s="206" t="s">
        <v>739</v>
      </c>
      <c r="BD1565" s="206" t="s">
        <v>632</v>
      </c>
      <c r="BE1565" s="194" t="s">
        <v>647</v>
      </c>
      <c r="BF1565" s="206" t="s">
        <v>671</v>
      </c>
      <c r="BG1565" s="231" t="s">
        <v>8814</v>
      </c>
      <c r="BH1565" s="216">
        <f>AS1565</f>
        <v>2532.6</v>
      </c>
      <c r="BI1565" s="205"/>
      <c r="BJ1565" s="206" t="s">
        <v>8804</v>
      </c>
      <c r="BK1565" s="206" t="s">
        <v>583</v>
      </c>
      <c r="BL1565" s="207" t="s">
        <v>8805</v>
      </c>
      <c r="BM1565" s="208">
        <f>BH1565</f>
        <v>2532.6</v>
      </c>
      <c r="BN1565" s="160"/>
      <c r="BO1565" s="161">
        <f t="shared" si="1374"/>
        <v>0</v>
      </c>
      <c r="BP1565" s="161"/>
    </row>
    <row r="1566" spans="1:68" ht="51">
      <c r="A1566" s="206" t="s">
        <v>583</v>
      </c>
      <c r="B1566" s="195" t="s">
        <v>8815</v>
      </c>
      <c r="C1566" s="196" t="s">
        <v>8816</v>
      </c>
      <c r="D1566" s="146" t="s">
        <v>4692</v>
      </c>
      <c r="E1566" s="196" t="s">
        <v>8816</v>
      </c>
      <c r="F1566" s="150">
        <v>47946</v>
      </c>
      <c r="G1566" s="209">
        <v>38689.96</v>
      </c>
      <c r="H1566" s="209">
        <v>24605.336538374999</v>
      </c>
      <c r="I1566" s="209">
        <v>63295.296538374998</v>
      </c>
      <c r="J1566" s="150">
        <v>0</v>
      </c>
      <c r="K1566" s="150">
        <v>11623.32</v>
      </c>
      <c r="L1566" s="150">
        <f t="shared" si="1368"/>
        <v>11623.32</v>
      </c>
      <c r="M1566" s="150">
        <v>0</v>
      </c>
      <c r="N1566" s="150">
        <v>25571.300999999999</v>
      </c>
      <c r="O1566" s="150">
        <v>25571.300999999999</v>
      </c>
      <c r="P1566" s="150">
        <v>140</v>
      </c>
      <c r="Q1566" s="150">
        <v>49010.002</v>
      </c>
      <c r="R1566" s="313">
        <f t="shared" si="1375"/>
        <v>49150.002</v>
      </c>
      <c r="S1566" s="150">
        <f t="shared" si="1367"/>
        <v>65533.335999999996</v>
      </c>
      <c r="T1566" s="150">
        <v>77735.179999999993</v>
      </c>
      <c r="U1566" s="150">
        <v>140</v>
      </c>
      <c r="V1566" s="199">
        <v>65393.336000000003</v>
      </c>
      <c r="W1566" s="150">
        <f t="shared" si="1376"/>
        <v>65533.336000000003</v>
      </c>
      <c r="X1566" s="150">
        <v>140</v>
      </c>
      <c r="Y1566" s="150">
        <v>65393.336000000003</v>
      </c>
      <c r="Z1566" s="150">
        <v>65533.336000000003</v>
      </c>
      <c r="AA1566" s="150">
        <f t="shared" si="1363"/>
        <v>12201.84399999999</v>
      </c>
      <c r="AB1566" s="150">
        <v>140</v>
      </c>
      <c r="AC1566" s="199">
        <v>77595.179999999993</v>
      </c>
      <c r="AD1566" s="150">
        <f t="shared" si="1377"/>
        <v>77735.179999999993</v>
      </c>
      <c r="AE1566" s="150">
        <v>77735.179999999993</v>
      </c>
      <c r="AF1566" s="169" t="s">
        <v>4680</v>
      </c>
      <c r="AG1566" s="201">
        <v>140</v>
      </c>
      <c r="AH1566" s="199">
        <v>77595.179999999993</v>
      </c>
      <c r="AI1566" s="150">
        <v>77735.179999999993</v>
      </c>
      <c r="AJ1566" s="169">
        <f t="shared" si="1364"/>
        <v>0</v>
      </c>
      <c r="AK1566" s="201">
        <v>140</v>
      </c>
      <c r="AL1566" s="199">
        <v>77595.179999999993</v>
      </c>
      <c r="AM1566" s="150">
        <f t="shared" si="1378"/>
        <v>77735.179999999993</v>
      </c>
      <c r="AN1566" s="153">
        <f t="shared" si="1365"/>
        <v>0</v>
      </c>
      <c r="AO1566" s="154">
        <f t="shared" si="1366"/>
        <v>0</v>
      </c>
      <c r="AP1566" s="150">
        <v>77735.179999999993</v>
      </c>
      <c r="AQ1566" s="201">
        <v>77735.179999999993</v>
      </c>
      <c r="AR1566" s="199"/>
      <c r="AS1566" s="150">
        <f t="shared" si="1379"/>
        <v>77735.179999999993</v>
      </c>
      <c r="AT1566" s="155"/>
      <c r="AU1566" s="156">
        <f t="shared" si="1361"/>
        <v>0</v>
      </c>
      <c r="AV1566" s="156">
        <f t="shared" si="1362"/>
        <v>12201.84399999999</v>
      </c>
      <c r="AW1566" s="157"/>
      <c r="AX1566" s="150">
        <v>65533.336000000003</v>
      </c>
      <c r="AY1566" s="150">
        <v>0</v>
      </c>
      <c r="AZ1566" s="150">
        <f t="shared" si="1360"/>
        <v>51142.601999999999</v>
      </c>
      <c r="BA1566" s="150">
        <v>51142.601999999999</v>
      </c>
      <c r="BB1566" s="205">
        <v>5</v>
      </c>
      <c r="BC1566" s="206" t="s">
        <v>739</v>
      </c>
      <c r="BD1566" s="206" t="s">
        <v>632</v>
      </c>
      <c r="BE1566" s="194" t="s">
        <v>647</v>
      </c>
      <c r="BF1566" s="206" t="s">
        <v>693</v>
      </c>
      <c r="BG1566" s="231" t="s">
        <v>8817</v>
      </c>
      <c r="BH1566" s="216">
        <f>AS1566</f>
        <v>77735.179999999993</v>
      </c>
      <c r="BI1566" s="205"/>
      <c r="BJ1566" s="206" t="s">
        <v>8804</v>
      </c>
      <c r="BK1566" s="206" t="s">
        <v>583</v>
      </c>
      <c r="BL1566" s="207" t="s">
        <v>8805</v>
      </c>
      <c r="BM1566" s="208">
        <f>BH1566</f>
        <v>77735.179999999993</v>
      </c>
      <c r="BN1566" s="160"/>
      <c r="BO1566" s="161">
        <f t="shared" si="1374"/>
        <v>0</v>
      </c>
      <c r="BP1566" s="161"/>
    </row>
    <row r="1567" spans="1:68" ht="38.25">
      <c r="A1567" s="206" t="s">
        <v>583</v>
      </c>
      <c r="B1567" s="195" t="s">
        <v>8818</v>
      </c>
      <c r="C1567" s="196" t="s">
        <v>8819</v>
      </c>
      <c r="D1567" s="146" t="s">
        <v>4692</v>
      </c>
      <c r="E1567" s="196" t="s">
        <v>8819</v>
      </c>
      <c r="F1567" s="150">
        <v>63294.96</v>
      </c>
      <c r="G1567" s="209">
        <v>6351.69</v>
      </c>
      <c r="H1567" s="209">
        <v>0</v>
      </c>
      <c r="I1567" s="209">
        <v>6351.69</v>
      </c>
      <c r="J1567" s="150">
        <v>8665.83</v>
      </c>
      <c r="K1567" s="150">
        <v>6059.2</v>
      </c>
      <c r="L1567" s="150">
        <f t="shared" si="1368"/>
        <v>14725.029999999999</v>
      </c>
      <c r="M1567" s="150">
        <v>19562.54</v>
      </c>
      <c r="N1567" s="150">
        <v>13085.338985384613</v>
      </c>
      <c r="O1567" s="150">
        <v>32647.878985384614</v>
      </c>
      <c r="P1567" s="150">
        <v>32334.959999999999</v>
      </c>
      <c r="Q1567" s="150">
        <v>26508.692050769227</v>
      </c>
      <c r="R1567" s="313">
        <f t="shared" si="1375"/>
        <v>58843.652050769226</v>
      </c>
      <c r="S1567" s="150">
        <f t="shared" si="1367"/>
        <v>78458.202734358973</v>
      </c>
      <c r="T1567" s="150">
        <v>94022.71</v>
      </c>
      <c r="U1567" s="150">
        <v>48754.66</v>
      </c>
      <c r="V1567" s="199">
        <v>29703.542734358969</v>
      </c>
      <c r="W1567" s="150">
        <f t="shared" si="1376"/>
        <v>78458.202734358973</v>
      </c>
      <c r="X1567" s="150">
        <v>48754.66</v>
      </c>
      <c r="Y1567" s="150">
        <v>29703.542734358969</v>
      </c>
      <c r="Z1567" s="150">
        <v>78458.202734358973</v>
      </c>
      <c r="AA1567" s="150">
        <f t="shared" si="1363"/>
        <v>15564.507265641034</v>
      </c>
      <c r="AB1567" s="150">
        <v>48754.66</v>
      </c>
      <c r="AC1567" s="199">
        <v>45268.05</v>
      </c>
      <c r="AD1567" s="150">
        <f t="shared" si="1377"/>
        <v>94022.71</v>
      </c>
      <c r="AE1567" s="150">
        <v>94022.71</v>
      </c>
      <c r="AF1567" s="169" t="s">
        <v>4680</v>
      </c>
      <c r="AG1567" s="201">
        <v>48754.66</v>
      </c>
      <c r="AH1567" s="199">
        <v>45268.05</v>
      </c>
      <c r="AI1567" s="150">
        <v>94022.71</v>
      </c>
      <c r="AJ1567" s="169">
        <f t="shared" si="1364"/>
        <v>0</v>
      </c>
      <c r="AK1567" s="201">
        <v>48754.66</v>
      </c>
      <c r="AL1567" s="199">
        <v>45268.05</v>
      </c>
      <c r="AM1567" s="150">
        <f t="shared" si="1378"/>
        <v>94022.71</v>
      </c>
      <c r="AN1567" s="153">
        <f t="shared" si="1365"/>
        <v>0</v>
      </c>
      <c r="AO1567" s="154">
        <f t="shared" si="1366"/>
        <v>0</v>
      </c>
      <c r="AP1567" s="150">
        <v>94022.71</v>
      </c>
      <c r="AQ1567" s="201">
        <v>94022.71</v>
      </c>
      <c r="AR1567" s="199"/>
      <c r="AS1567" s="150">
        <f t="shared" si="1379"/>
        <v>94022.71</v>
      </c>
      <c r="AT1567" s="155"/>
      <c r="AU1567" s="156">
        <f t="shared" si="1361"/>
        <v>0</v>
      </c>
      <c r="AV1567" s="156">
        <f t="shared" si="1362"/>
        <v>15564.507265641034</v>
      </c>
      <c r="AW1567" s="157"/>
      <c r="AX1567" s="150">
        <v>78458.202734358973</v>
      </c>
      <c r="AY1567" s="150">
        <v>23650.28</v>
      </c>
      <c r="AZ1567" s="150">
        <f t="shared" si="1360"/>
        <v>41645.477970769229</v>
      </c>
      <c r="BA1567" s="150">
        <v>65295.757970769228</v>
      </c>
      <c r="BB1567" s="202">
        <v>5</v>
      </c>
      <c r="BC1567" s="202" t="s">
        <v>739</v>
      </c>
      <c r="BD1567" s="202" t="s">
        <v>632</v>
      </c>
      <c r="BE1567" s="202" t="s">
        <v>647</v>
      </c>
      <c r="BF1567" s="202" t="s">
        <v>714</v>
      </c>
      <c r="BG1567" s="207" t="s">
        <v>8820</v>
      </c>
      <c r="BH1567" s="216">
        <f>SUM(AS1567:AS1574)</f>
        <v>104610.18000000001</v>
      </c>
      <c r="BI1567" s="205"/>
      <c r="BJ1567" s="206" t="s">
        <v>8804</v>
      </c>
      <c r="BK1567" s="206" t="s">
        <v>583</v>
      </c>
      <c r="BL1567" s="207" t="s">
        <v>8805</v>
      </c>
      <c r="BM1567" s="208">
        <f>BH1567</f>
        <v>104610.18000000001</v>
      </c>
      <c r="BN1567" s="160"/>
      <c r="BO1567" s="161"/>
      <c r="BP1567" s="161"/>
    </row>
    <row r="1568" spans="1:68" ht="38.25">
      <c r="A1568" s="210"/>
      <c r="B1568" s="195" t="s">
        <v>8821</v>
      </c>
      <c r="C1568" s="196" t="s">
        <v>8822</v>
      </c>
      <c r="D1568" s="146" t="s">
        <v>4692</v>
      </c>
      <c r="E1568" s="196" t="s">
        <v>8822</v>
      </c>
      <c r="F1568" s="150">
        <v>6351.69</v>
      </c>
      <c r="G1568" s="209">
        <v>1013.36</v>
      </c>
      <c r="H1568" s="209">
        <v>0</v>
      </c>
      <c r="I1568" s="209">
        <v>1013.36</v>
      </c>
      <c r="J1568" s="150">
        <v>1776.87</v>
      </c>
      <c r="K1568" s="150">
        <v>0</v>
      </c>
      <c r="L1568" s="150">
        <f t="shared" si="1368"/>
        <v>1776.87</v>
      </c>
      <c r="M1568" s="150">
        <v>3965.6</v>
      </c>
      <c r="N1568" s="150">
        <v>0</v>
      </c>
      <c r="O1568" s="150">
        <v>3965.6</v>
      </c>
      <c r="P1568" s="150">
        <v>6525.9</v>
      </c>
      <c r="Q1568" s="150">
        <v>0</v>
      </c>
      <c r="R1568" s="313">
        <f t="shared" si="1375"/>
        <v>6525.9</v>
      </c>
      <c r="S1568" s="150">
        <f t="shared" si="1367"/>
        <v>8701.1999999999989</v>
      </c>
      <c r="T1568" s="150">
        <v>9549.16</v>
      </c>
      <c r="U1568" s="150">
        <v>9549.16</v>
      </c>
      <c r="V1568" s="199">
        <v>0</v>
      </c>
      <c r="W1568" s="150">
        <f t="shared" si="1376"/>
        <v>9549.16</v>
      </c>
      <c r="X1568" s="150">
        <v>9549.16</v>
      </c>
      <c r="Y1568" s="150">
        <v>0</v>
      </c>
      <c r="Z1568" s="150">
        <v>9549.16</v>
      </c>
      <c r="AA1568" s="150">
        <f t="shared" si="1363"/>
        <v>0</v>
      </c>
      <c r="AB1568" s="150">
        <v>9549.16</v>
      </c>
      <c r="AC1568" s="199">
        <v>0</v>
      </c>
      <c r="AD1568" s="150">
        <f t="shared" si="1377"/>
        <v>9549.16</v>
      </c>
      <c r="AE1568" s="150">
        <v>9549.16</v>
      </c>
      <c r="AF1568" s="169" t="s">
        <v>4680</v>
      </c>
      <c r="AG1568" s="201">
        <v>9549.16</v>
      </c>
      <c r="AH1568" s="199">
        <v>0</v>
      </c>
      <c r="AI1568" s="150">
        <v>9549.16</v>
      </c>
      <c r="AJ1568" s="169">
        <f t="shared" si="1364"/>
        <v>0</v>
      </c>
      <c r="AK1568" s="201">
        <v>9549.16</v>
      </c>
      <c r="AL1568" s="199">
        <v>0</v>
      </c>
      <c r="AM1568" s="150">
        <f t="shared" si="1378"/>
        <v>9549.16</v>
      </c>
      <c r="AN1568" s="153">
        <f t="shared" si="1365"/>
        <v>0</v>
      </c>
      <c r="AO1568" s="154">
        <f t="shared" si="1366"/>
        <v>0</v>
      </c>
      <c r="AP1568" s="150">
        <v>9549.16</v>
      </c>
      <c r="AQ1568" s="201">
        <v>9549.16</v>
      </c>
      <c r="AR1568" s="199">
        <v>0</v>
      </c>
      <c r="AS1568" s="150">
        <f t="shared" si="1379"/>
        <v>9549.16</v>
      </c>
      <c r="AT1568" s="155"/>
      <c r="AU1568" s="156">
        <f t="shared" si="1361"/>
        <v>0</v>
      </c>
      <c r="AV1568" s="156">
        <f t="shared" si="1362"/>
        <v>0</v>
      </c>
      <c r="AW1568" s="157"/>
      <c r="AX1568" s="150">
        <v>9549.16</v>
      </c>
      <c r="AY1568" s="150">
        <v>4803.76</v>
      </c>
      <c r="AZ1568" s="150">
        <f t="shared" si="1360"/>
        <v>3127.4399999999996</v>
      </c>
      <c r="BA1568" s="150">
        <v>7931.2</v>
      </c>
      <c r="BB1568" s="210"/>
      <c r="BC1568" s="210"/>
      <c r="BD1568" s="210"/>
      <c r="BE1568" s="210"/>
      <c r="BF1568" s="210"/>
      <c r="BG1568" s="210"/>
      <c r="BH1568" s="217"/>
      <c r="BI1568" s="210"/>
      <c r="BJ1568" s="210"/>
      <c r="BK1568" s="210"/>
      <c r="BL1568" s="210"/>
      <c r="BM1568" s="208"/>
      <c r="BN1568" s="160"/>
      <c r="BO1568" s="161"/>
      <c r="BP1568" s="161"/>
    </row>
    <row r="1569" spans="1:68" ht="38.25">
      <c r="A1569" s="210"/>
      <c r="B1569" s="195" t="s">
        <v>8823</v>
      </c>
      <c r="C1569" s="196" t="s">
        <v>8824</v>
      </c>
      <c r="D1569" s="146" t="s">
        <v>4692</v>
      </c>
      <c r="E1569" s="196" t="s">
        <v>8824</v>
      </c>
      <c r="F1569" s="150">
        <v>1013.36</v>
      </c>
      <c r="G1569" s="209">
        <v>127.06</v>
      </c>
      <c r="H1569" s="209">
        <v>0</v>
      </c>
      <c r="I1569" s="209">
        <v>127.06</v>
      </c>
      <c r="J1569" s="150">
        <v>134.76</v>
      </c>
      <c r="K1569" s="150">
        <v>0</v>
      </c>
      <c r="L1569" s="150">
        <f t="shared" si="1368"/>
        <v>134.76</v>
      </c>
      <c r="M1569" s="150">
        <v>331.8</v>
      </c>
      <c r="N1569" s="150">
        <v>0</v>
      </c>
      <c r="O1569" s="150">
        <v>331.8</v>
      </c>
      <c r="P1569" s="150">
        <v>547.91999999999996</v>
      </c>
      <c r="Q1569" s="150">
        <v>0</v>
      </c>
      <c r="R1569" s="313">
        <f t="shared" si="1375"/>
        <v>547.91999999999996</v>
      </c>
      <c r="S1569" s="150">
        <f t="shared" si="1367"/>
        <v>730.56</v>
      </c>
      <c r="T1569" s="150">
        <v>1038.31</v>
      </c>
      <c r="U1569" s="150">
        <v>1038.31</v>
      </c>
      <c r="V1569" s="199">
        <v>0</v>
      </c>
      <c r="W1569" s="150">
        <f t="shared" si="1376"/>
        <v>1038.31</v>
      </c>
      <c r="X1569" s="150">
        <v>1038.31</v>
      </c>
      <c r="Y1569" s="150">
        <v>0</v>
      </c>
      <c r="Z1569" s="150">
        <v>1038.31</v>
      </c>
      <c r="AA1569" s="150">
        <f t="shared" si="1363"/>
        <v>0</v>
      </c>
      <c r="AB1569" s="150">
        <v>1038.31</v>
      </c>
      <c r="AC1569" s="199">
        <v>0</v>
      </c>
      <c r="AD1569" s="150">
        <f t="shared" si="1377"/>
        <v>1038.31</v>
      </c>
      <c r="AE1569" s="150">
        <v>1038.31</v>
      </c>
      <c r="AF1569" s="169" t="s">
        <v>4680</v>
      </c>
      <c r="AG1569" s="201">
        <v>1038.31</v>
      </c>
      <c r="AH1569" s="199">
        <v>0</v>
      </c>
      <c r="AI1569" s="150">
        <v>1038.31</v>
      </c>
      <c r="AJ1569" s="169">
        <f t="shared" si="1364"/>
        <v>0</v>
      </c>
      <c r="AK1569" s="201">
        <v>1038.31</v>
      </c>
      <c r="AL1569" s="199">
        <v>0</v>
      </c>
      <c r="AM1569" s="150">
        <f t="shared" si="1378"/>
        <v>1038.31</v>
      </c>
      <c r="AN1569" s="153">
        <f t="shared" si="1365"/>
        <v>0</v>
      </c>
      <c r="AO1569" s="154">
        <f t="shared" si="1366"/>
        <v>0</v>
      </c>
      <c r="AP1569" s="150">
        <v>1038.31</v>
      </c>
      <c r="AQ1569" s="201">
        <v>1038.31</v>
      </c>
      <c r="AR1569" s="199">
        <v>0</v>
      </c>
      <c r="AS1569" s="150">
        <f t="shared" si="1379"/>
        <v>1038.31</v>
      </c>
      <c r="AT1569" s="155"/>
      <c r="AU1569" s="156">
        <f t="shared" si="1361"/>
        <v>0</v>
      </c>
      <c r="AV1569" s="156">
        <f t="shared" si="1362"/>
        <v>0</v>
      </c>
      <c r="AW1569" s="157"/>
      <c r="AX1569" s="150">
        <v>1038.31</v>
      </c>
      <c r="AY1569" s="150">
        <v>397.21</v>
      </c>
      <c r="AZ1569" s="150">
        <f t="shared" si="1360"/>
        <v>266.39000000000004</v>
      </c>
      <c r="BA1569" s="150">
        <v>663.6</v>
      </c>
      <c r="BB1569" s="210"/>
      <c r="BC1569" s="210"/>
      <c r="BD1569" s="210"/>
      <c r="BE1569" s="210"/>
      <c r="BF1569" s="210"/>
      <c r="BG1569" s="210"/>
      <c r="BH1569" s="217"/>
      <c r="BI1569" s="210"/>
      <c r="BJ1569" s="210"/>
      <c r="BK1569" s="210"/>
      <c r="BL1569" s="210"/>
      <c r="BM1569" s="208"/>
      <c r="BN1569" s="160"/>
      <c r="BO1569" s="161"/>
      <c r="BP1569" s="161"/>
    </row>
    <row r="1570" spans="1:68" ht="38.25">
      <c r="A1570" s="210"/>
      <c r="B1570" s="195" t="s">
        <v>8825</v>
      </c>
      <c r="C1570" s="196" t="s">
        <v>8826</v>
      </c>
      <c r="D1570" s="146" t="s">
        <v>4692</v>
      </c>
      <c r="E1570" s="196" t="s">
        <v>8826</v>
      </c>
      <c r="F1570" s="150">
        <v>127.06</v>
      </c>
      <c r="G1570" s="209">
        <v>0</v>
      </c>
      <c r="H1570" s="209">
        <v>0</v>
      </c>
      <c r="I1570" s="209">
        <v>0</v>
      </c>
      <c r="J1570" s="150">
        <v>0</v>
      </c>
      <c r="K1570" s="150">
        <v>0</v>
      </c>
      <c r="L1570" s="150">
        <f t="shared" si="1368"/>
        <v>0</v>
      </c>
      <c r="M1570" s="150">
        <v>0</v>
      </c>
      <c r="N1570" s="150">
        <v>0</v>
      </c>
      <c r="O1570" s="150">
        <v>0</v>
      </c>
      <c r="P1570" s="150">
        <v>0</v>
      </c>
      <c r="Q1570" s="150">
        <v>0</v>
      </c>
      <c r="R1570" s="313">
        <f t="shared" si="1375"/>
        <v>0</v>
      </c>
      <c r="S1570" s="150">
        <f t="shared" si="1367"/>
        <v>0</v>
      </c>
      <c r="T1570" s="150">
        <v>0</v>
      </c>
      <c r="U1570" s="150">
        <v>0</v>
      </c>
      <c r="V1570" s="199">
        <v>0</v>
      </c>
      <c r="W1570" s="150">
        <f t="shared" si="1376"/>
        <v>0</v>
      </c>
      <c r="X1570" s="150">
        <v>0</v>
      </c>
      <c r="Y1570" s="150">
        <v>0</v>
      </c>
      <c r="Z1570" s="150">
        <v>0</v>
      </c>
      <c r="AA1570" s="150">
        <f t="shared" si="1363"/>
        <v>0</v>
      </c>
      <c r="AB1570" s="150">
        <v>0</v>
      </c>
      <c r="AC1570" s="199">
        <v>0</v>
      </c>
      <c r="AD1570" s="150">
        <f t="shared" si="1377"/>
        <v>0</v>
      </c>
      <c r="AE1570" s="150">
        <v>0</v>
      </c>
      <c r="AF1570" s="169" t="s">
        <v>4680</v>
      </c>
      <c r="AG1570" s="201">
        <v>0</v>
      </c>
      <c r="AH1570" s="199">
        <v>0</v>
      </c>
      <c r="AI1570" s="150">
        <v>0</v>
      </c>
      <c r="AJ1570" s="169">
        <f t="shared" si="1364"/>
        <v>0</v>
      </c>
      <c r="AK1570" s="201">
        <v>0</v>
      </c>
      <c r="AL1570" s="199">
        <v>0</v>
      </c>
      <c r="AM1570" s="150">
        <f t="shared" si="1378"/>
        <v>0</v>
      </c>
      <c r="AN1570" s="153">
        <f t="shared" si="1365"/>
        <v>0</v>
      </c>
      <c r="AO1570" s="154">
        <f t="shared" si="1366"/>
        <v>0</v>
      </c>
      <c r="AP1570" s="150">
        <v>0</v>
      </c>
      <c r="AQ1570" s="201">
        <v>0</v>
      </c>
      <c r="AR1570" s="199">
        <v>0</v>
      </c>
      <c r="AS1570" s="150">
        <f t="shared" si="1379"/>
        <v>0</v>
      </c>
      <c r="AT1570" s="155"/>
      <c r="AU1570" s="156">
        <f t="shared" si="1361"/>
        <v>0</v>
      </c>
      <c r="AV1570" s="156">
        <f t="shared" si="1362"/>
        <v>0</v>
      </c>
      <c r="AW1570" s="157"/>
      <c r="AX1570" s="150">
        <v>0</v>
      </c>
      <c r="AY1570" s="150">
        <v>0</v>
      </c>
      <c r="AZ1570" s="150">
        <f t="shared" si="1360"/>
        <v>0</v>
      </c>
      <c r="BA1570" s="150">
        <v>0</v>
      </c>
      <c r="BB1570" s="210"/>
      <c r="BC1570" s="210"/>
      <c r="BD1570" s="210"/>
      <c r="BE1570" s="210"/>
      <c r="BF1570" s="210"/>
      <c r="BG1570" s="210"/>
      <c r="BH1570" s="217"/>
      <c r="BI1570" s="210"/>
      <c r="BJ1570" s="210"/>
      <c r="BK1570" s="210"/>
      <c r="BL1570" s="210"/>
      <c r="BM1570" s="208"/>
      <c r="BN1570" s="160"/>
      <c r="BO1570" s="161"/>
      <c r="BP1570" s="161"/>
    </row>
    <row r="1571" spans="1:68" ht="51">
      <c r="A1571" s="210"/>
      <c r="B1571" s="195" t="s">
        <v>8827</v>
      </c>
      <c r="C1571" s="196" t="s">
        <v>8828</v>
      </c>
      <c r="D1571" s="146" t="s">
        <v>4692</v>
      </c>
      <c r="E1571" s="196" t="s">
        <v>8828</v>
      </c>
      <c r="F1571" s="150">
        <v>0</v>
      </c>
      <c r="G1571" s="209">
        <v>0</v>
      </c>
      <c r="H1571" s="209">
        <v>0</v>
      </c>
      <c r="I1571" s="209">
        <v>0</v>
      </c>
      <c r="J1571" s="150">
        <v>0</v>
      </c>
      <c r="K1571" s="150">
        <v>0</v>
      </c>
      <c r="L1571" s="150">
        <f t="shared" si="1368"/>
        <v>0</v>
      </c>
      <c r="M1571" s="150">
        <v>0</v>
      </c>
      <c r="N1571" s="150">
        <v>0</v>
      </c>
      <c r="O1571" s="150">
        <v>0</v>
      </c>
      <c r="P1571" s="150">
        <v>0</v>
      </c>
      <c r="Q1571" s="150">
        <v>0</v>
      </c>
      <c r="R1571" s="313">
        <f t="shared" si="1375"/>
        <v>0</v>
      </c>
      <c r="S1571" s="150">
        <f t="shared" si="1367"/>
        <v>0</v>
      </c>
      <c r="T1571" s="150">
        <v>0</v>
      </c>
      <c r="U1571" s="150">
        <v>0</v>
      </c>
      <c r="V1571" s="199">
        <v>0</v>
      </c>
      <c r="W1571" s="150">
        <f t="shared" si="1376"/>
        <v>0</v>
      </c>
      <c r="X1571" s="150">
        <v>0</v>
      </c>
      <c r="Y1571" s="150">
        <v>0</v>
      </c>
      <c r="Z1571" s="150">
        <v>0</v>
      </c>
      <c r="AA1571" s="150">
        <f t="shared" si="1363"/>
        <v>0</v>
      </c>
      <c r="AB1571" s="150">
        <v>0</v>
      </c>
      <c r="AC1571" s="199">
        <v>0</v>
      </c>
      <c r="AD1571" s="150">
        <f t="shared" si="1377"/>
        <v>0</v>
      </c>
      <c r="AE1571" s="150">
        <v>0</v>
      </c>
      <c r="AF1571" s="169" t="s">
        <v>4680</v>
      </c>
      <c r="AG1571" s="201">
        <v>0</v>
      </c>
      <c r="AH1571" s="199">
        <v>0</v>
      </c>
      <c r="AI1571" s="150">
        <v>0</v>
      </c>
      <c r="AJ1571" s="169">
        <f t="shared" si="1364"/>
        <v>0</v>
      </c>
      <c r="AK1571" s="201">
        <v>0</v>
      </c>
      <c r="AL1571" s="199">
        <v>0</v>
      </c>
      <c r="AM1571" s="150">
        <f t="shared" si="1378"/>
        <v>0</v>
      </c>
      <c r="AN1571" s="153">
        <f t="shared" si="1365"/>
        <v>0</v>
      </c>
      <c r="AO1571" s="154">
        <f t="shared" si="1366"/>
        <v>0</v>
      </c>
      <c r="AP1571" s="150">
        <v>0</v>
      </c>
      <c r="AQ1571" s="201">
        <v>0</v>
      </c>
      <c r="AR1571" s="199">
        <v>0</v>
      </c>
      <c r="AS1571" s="150">
        <f t="shared" si="1379"/>
        <v>0</v>
      </c>
      <c r="AT1571" s="155"/>
      <c r="AU1571" s="156">
        <f t="shared" si="1361"/>
        <v>0</v>
      </c>
      <c r="AV1571" s="156">
        <f t="shared" si="1362"/>
        <v>0</v>
      </c>
      <c r="AW1571" s="157"/>
      <c r="AX1571" s="150">
        <v>0</v>
      </c>
      <c r="AY1571" s="150">
        <v>0</v>
      </c>
      <c r="AZ1571" s="150">
        <f t="shared" si="1360"/>
        <v>0</v>
      </c>
      <c r="BA1571" s="150">
        <v>0</v>
      </c>
      <c r="BB1571" s="210"/>
      <c r="BC1571" s="210"/>
      <c r="BD1571" s="210"/>
      <c r="BE1571" s="210"/>
      <c r="BF1571" s="210"/>
      <c r="BG1571" s="210"/>
      <c r="BH1571" s="217"/>
      <c r="BI1571" s="210"/>
      <c r="BJ1571" s="210"/>
      <c r="BK1571" s="210"/>
      <c r="BL1571" s="210"/>
      <c r="BM1571" s="208"/>
      <c r="BN1571" s="160"/>
      <c r="BO1571" s="161"/>
      <c r="BP1571" s="161"/>
    </row>
    <row r="1572" spans="1:68" ht="38.25">
      <c r="A1572" s="210"/>
      <c r="B1572" s="195" t="s">
        <v>8829</v>
      </c>
      <c r="C1572" s="196" t="s">
        <v>8830</v>
      </c>
      <c r="D1572" s="146" t="s">
        <v>4692</v>
      </c>
      <c r="E1572" s="196" t="s">
        <v>8830</v>
      </c>
      <c r="F1572" s="150">
        <v>0</v>
      </c>
      <c r="G1572" s="209">
        <v>1155.81</v>
      </c>
      <c r="H1572" s="209">
        <v>0</v>
      </c>
      <c r="I1572" s="209">
        <v>1155.81</v>
      </c>
      <c r="J1572" s="150">
        <v>0</v>
      </c>
      <c r="K1572" s="150">
        <v>0</v>
      </c>
      <c r="L1572" s="150">
        <f t="shared" si="1368"/>
        <v>0</v>
      </c>
      <c r="M1572" s="150">
        <v>0</v>
      </c>
      <c r="N1572" s="150">
        <v>0</v>
      </c>
      <c r="O1572" s="150">
        <v>0</v>
      </c>
      <c r="P1572" s="150">
        <v>0</v>
      </c>
      <c r="Q1572" s="150">
        <v>0</v>
      </c>
      <c r="R1572" s="313">
        <f t="shared" si="1375"/>
        <v>0</v>
      </c>
      <c r="S1572" s="150">
        <f t="shared" si="1367"/>
        <v>0</v>
      </c>
      <c r="T1572" s="150">
        <v>0</v>
      </c>
      <c r="U1572" s="150">
        <v>0</v>
      </c>
      <c r="V1572" s="199">
        <v>0</v>
      </c>
      <c r="W1572" s="150">
        <f t="shared" si="1376"/>
        <v>0</v>
      </c>
      <c r="X1572" s="150">
        <v>0</v>
      </c>
      <c r="Y1572" s="150">
        <v>0</v>
      </c>
      <c r="Z1572" s="150">
        <v>0</v>
      </c>
      <c r="AA1572" s="150">
        <f t="shared" si="1363"/>
        <v>0</v>
      </c>
      <c r="AB1572" s="150">
        <v>0</v>
      </c>
      <c r="AC1572" s="199">
        <v>0</v>
      </c>
      <c r="AD1572" s="150">
        <f t="shared" si="1377"/>
        <v>0</v>
      </c>
      <c r="AE1572" s="150">
        <v>0</v>
      </c>
      <c r="AF1572" s="169" t="s">
        <v>4680</v>
      </c>
      <c r="AG1572" s="201">
        <v>0</v>
      </c>
      <c r="AH1572" s="199">
        <v>0</v>
      </c>
      <c r="AI1572" s="150">
        <v>0</v>
      </c>
      <c r="AJ1572" s="169">
        <f t="shared" si="1364"/>
        <v>0</v>
      </c>
      <c r="AK1572" s="201">
        <v>0</v>
      </c>
      <c r="AL1572" s="199">
        <v>0</v>
      </c>
      <c r="AM1572" s="150">
        <f t="shared" si="1378"/>
        <v>0</v>
      </c>
      <c r="AN1572" s="153">
        <f t="shared" si="1365"/>
        <v>0</v>
      </c>
      <c r="AO1572" s="154">
        <f t="shared" si="1366"/>
        <v>0</v>
      </c>
      <c r="AP1572" s="150">
        <v>0</v>
      </c>
      <c r="AQ1572" s="201">
        <v>0</v>
      </c>
      <c r="AR1572" s="199">
        <v>0</v>
      </c>
      <c r="AS1572" s="150">
        <f t="shared" si="1379"/>
        <v>0</v>
      </c>
      <c r="AT1572" s="155"/>
      <c r="AU1572" s="156">
        <f t="shared" si="1361"/>
        <v>0</v>
      </c>
      <c r="AV1572" s="156">
        <f t="shared" si="1362"/>
        <v>0</v>
      </c>
      <c r="AW1572" s="157"/>
      <c r="AX1572" s="150">
        <v>0</v>
      </c>
      <c r="AY1572" s="150">
        <v>0</v>
      </c>
      <c r="AZ1572" s="150">
        <f t="shared" si="1360"/>
        <v>0</v>
      </c>
      <c r="BA1572" s="150">
        <v>0</v>
      </c>
      <c r="BB1572" s="210"/>
      <c r="BC1572" s="210"/>
      <c r="BD1572" s="210"/>
      <c r="BE1572" s="210"/>
      <c r="BF1572" s="210"/>
      <c r="BG1572" s="210"/>
      <c r="BH1572" s="217"/>
      <c r="BI1572" s="210"/>
      <c r="BJ1572" s="210"/>
      <c r="BK1572" s="210"/>
      <c r="BL1572" s="210"/>
      <c r="BM1572" s="208"/>
      <c r="BN1572" s="160"/>
      <c r="BO1572" s="161">
        <f t="shared" si="1374"/>
        <v>0</v>
      </c>
      <c r="BP1572" s="161"/>
    </row>
    <row r="1573" spans="1:68" ht="51">
      <c r="A1573" s="210"/>
      <c r="B1573" s="195" t="s">
        <v>8831</v>
      </c>
      <c r="C1573" s="196" t="s">
        <v>8832</v>
      </c>
      <c r="D1573" s="146" t="s">
        <v>4692</v>
      </c>
      <c r="E1573" s="196" t="s">
        <v>8832</v>
      </c>
      <c r="F1573" s="150">
        <v>1155.81</v>
      </c>
      <c r="G1573" s="209">
        <v>0</v>
      </c>
      <c r="H1573" s="209">
        <v>0</v>
      </c>
      <c r="I1573" s="209">
        <v>0</v>
      </c>
      <c r="J1573" s="150">
        <v>0</v>
      </c>
      <c r="K1573" s="150">
        <v>0</v>
      </c>
      <c r="L1573" s="150">
        <f t="shared" si="1368"/>
        <v>0</v>
      </c>
      <c r="M1573" s="150">
        <v>0</v>
      </c>
      <c r="N1573" s="150">
        <v>0</v>
      </c>
      <c r="O1573" s="150">
        <v>0</v>
      </c>
      <c r="P1573" s="150">
        <v>0</v>
      </c>
      <c r="Q1573" s="150">
        <v>0</v>
      </c>
      <c r="R1573" s="313">
        <f t="shared" si="1375"/>
        <v>0</v>
      </c>
      <c r="S1573" s="150">
        <f t="shared" si="1367"/>
        <v>0</v>
      </c>
      <c r="T1573" s="150">
        <v>0</v>
      </c>
      <c r="U1573" s="150">
        <v>0</v>
      </c>
      <c r="V1573" s="199">
        <v>0</v>
      </c>
      <c r="W1573" s="150">
        <f t="shared" si="1376"/>
        <v>0</v>
      </c>
      <c r="X1573" s="150">
        <v>0</v>
      </c>
      <c r="Y1573" s="150">
        <v>0</v>
      </c>
      <c r="Z1573" s="150">
        <v>0</v>
      </c>
      <c r="AA1573" s="150">
        <f t="shared" si="1363"/>
        <v>0</v>
      </c>
      <c r="AB1573" s="150">
        <v>0</v>
      </c>
      <c r="AC1573" s="199">
        <v>0</v>
      </c>
      <c r="AD1573" s="150">
        <f t="shared" si="1377"/>
        <v>0</v>
      </c>
      <c r="AE1573" s="150">
        <v>0</v>
      </c>
      <c r="AF1573" s="169" t="s">
        <v>4680</v>
      </c>
      <c r="AG1573" s="201">
        <v>0</v>
      </c>
      <c r="AH1573" s="199">
        <v>0</v>
      </c>
      <c r="AI1573" s="150">
        <v>0</v>
      </c>
      <c r="AJ1573" s="169">
        <f t="shared" si="1364"/>
        <v>0</v>
      </c>
      <c r="AK1573" s="201">
        <v>0</v>
      </c>
      <c r="AL1573" s="199">
        <v>0</v>
      </c>
      <c r="AM1573" s="150">
        <f t="shared" si="1378"/>
        <v>0</v>
      </c>
      <c r="AN1573" s="153">
        <f t="shared" si="1365"/>
        <v>0</v>
      </c>
      <c r="AO1573" s="154">
        <f t="shared" si="1366"/>
        <v>0</v>
      </c>
      <c r="AP1573" s="150">
        <v>0</v>
      </c>
      <c r="AQ1573" s="201">
        <v>0</v>
      </c>
      <c r="AR1573" s="199">
        <v>0</v>
      </c>
      <c r="AS1573" s="150">
        <f t="shared" si="1379"/>
        <v>0</v>
      </c>
      <c r="AT1573" s="155"/>
      <c r="AU1573" s="156">
        <f t="shared" si="1361"/>
        <v>0</v>
      </c>
      <c r="AV1573" s="156">
        <f t="shared" si="1362"/>
        <v>0</v>
      </c>
      <c r="AW1573" s="157"/>
      <c r="AX1573" s="150">
        <v>0</v>
      </c>
      <c r="AY1573" s="150">
        <v>0</v>
      </c>
      <c r="AZ1573" s="150">
        <f t="shared" si="1360"/>
        <v>0</v>
      </c>
      <c r="BA1573" s="150">
        <v>0</v>
      </c>
      <c r="BB1573" s="210"/>
      <c r="BC1573" s="210"/>
      <c r="BD1573" s="210"/>
      <c r="BE1573" s="210"/>
      <c r="BF1573" s="210"/>
      <c r="BG1573" s="210"/>
      <c r="BH1573" s="217"/>
      <c r="BI1573" s="210"/>
      <c r="BJ1573" s="210"/>
      <c r="BK1573" s="210"/>
      <c r="BL1573" s="210"/>
      <c r="BM1573" s="208"/>
      <c r="BN1573" s="160"/>
      <c r="BO1573" s="161">
        <f t="shared" si="1374"/>
        <v>0</v>
      </c>
      <c r="BP1573" s="161"/>
    </row>
    <row r="1574" spans="1:68" ht="38.25">
      <c r="A1574" s="210"/>
      <c r="B1574" s="195" t="s">
        <v>8833</v>
      </c>
      <c r="C1574" s="196" t="s">
        <v>8834</v>
      </c>
      <c r="D1574" s="146" t="s">
        <v>4692</v>
      </c>
      <c r="E1574" s="196" t="s">
        <v>8834</v>
      </c>
      <c r="F1574" s="150">
        <v>0</v>
      </c>
      <c r="G1574" s="209">
        <v>0</v>
      </c>
      <c r="H1574" s="209">
        <v>0</v>
      </c>
      <c r="I1574" s="209">
        <v>0</v>
      </c>
      <c r="J1574" s="150">
        <v>0</v>
      </c>
      <c r="K1574" s="150">
        <v>0</v>
      </c>
      <c r="L1574" s="150">
        <f t="shared" si="1368"/>
        <v>0</v>
      </c>
      <c r="M1574" s="150">
        <v>0</v>
      </c>
      <c r="N1574" s="150">
        <v>0</v>
      </c>
      <c r="O1574" s="150">
        <v>0</v>
      </c>
      <c r="P1574" s="150">
        <v>0</v>
      </c>
      <c r="Q1574" s="150">
        <v>0</v>
      </c>
      <c r="R1574" s="313">
        <f t="shared" si="1375"/>
        <v>0</v>
      </c>
      <c r="S1574" s="150">
        <f t="shared" si="1367"/>
        <v>0</v>
      </c>
      <c r="T1574" s="150">
        <v>0</v>
      </c>
      <c r="U1574" s="150">
        <v>0</v>
      </c>
      <c r="V1574" s="199">
        <v>0</v>
      </c>
      <c r="W1574" s="150">
        <f t="shared" si="1376"/>
        <v>0</v>
      </c>
      <c r="X1574" s="150">
        <v>0</v>
      </c>
      <c r="Y1574" s="150">
        <v>0</v>
      </c>
      <c r="Z1574" s="150">
        <v>0</v>
      </c>
      <c r="AA1574" s="150">
        <f t="shared" si="1363"/>
        <v>0</v>
      </c>
      <c r="AB1574" s="150">
        <v>0</v>
      </c>
      <c r="AC1574" s="199">
        <v>0</v>
      </c>
      <c r="AD1574" s="150">
        <f t="shared" si="1377"/>
        <v>0</v>
      </c>
      <c r="AE1574" s="150">
        <v>0</v>
      </c>
      <c r="AF1574" s="169" t="s">
        <v>4680</v>
      </c>
      <c r="AG1574" s="201">
        <v>0</v>
      </c>
      <c r="AH1574" s="199">
        <v>0</v>
      </c>
      <c r="AI1574" s="150">
        <v>0</v>
      </c>
      <c r="AJ1574" s="169">
        <f t="shared" si="1364"/>
        <v>0</v>
      </c>
      <c r="AK1574" s="201">
        <v>0</v>
      </c>
      <c r="AL1574" s="199">
        <v>0</v>
      </c>
      <c r="AM1574" s="150">
        <f t="shared" si="1378"/>
        <v>0</v>
      </c>
      <c r="AN1574" s="153">
        <f t="shared" si="1365"/>
        <v>0</v>
      </c>
      <c r="AO1574" s="154">
        <f t="shared" si="1366"/>
        <v>0</v>
      </c>
      <c r="AP1574" s="150">
        <v>0</v>
      </c>
      <c r="AQ1574" s="201">
        <v>0</v>
      </c>
      <c r="AR1574" s="199">
        <v>0</v>
      </c>
      <c r="AS1574" s="150">
        <f t="shared" si="1379"/>
        <v>0</v>
      </c>
      <c r="AT1574" s="155"/>
      <c r="AU1574" s="156">
        <f t="shared" si="1361"/>
        <v>0</v>
      </c>
      <c r="AV1574" s="156">
        <f t="shared" si="1362"/>
        <v>0</v>
      </c>
      <c r="AW1574" s="157"/>
      <c r="AX1574" s="150">
        <v>0</v>
      </c>
      <c r="AY1574" s="150">
        <v>0</v>
      </c>
      <c r="AZ1574" s="150">
        <f t="shared" si="1360"/>
        <v>0</v>
      </c>
      <c r="BA1574" s="150">
        <v>0</v>
      </c>
      <c r="BB1574" s="210"/>
      <c r="BC1574" s="210"/>
      <c r="BD1574" s="210"/>
      <c r="BE1574" s="210"/>
      <c r="BF1574" s="210"/>
      <c r="BG1574" s="210"/>
      <c r="BH1574" s="217"/>
      <c r="BI1574" s="210"/>
      <c r="BJ1574" s="210"/>
      <c r="BK1574" s="210"/>
      <c r="BL1574" s="210"/>
      <c r="BM1574" s="208"/>
      <c r="BN1574" s="160"/>
      <c r="BO1574" s="161">
        <f t="shared" si="1374"/>
        <v>0</v>
      </c>
      <c r="BP1574" s="161"/>
    </row>
    <row r="1575" spans="1:68" ht="51">
      <c r="A1575" s="206" t="s">
        <v>583</v>
      </c>
      <c r="B1575" s="195" t="s">
        <v>8835</v>
      </c>
      <c r="C1575" s="196" t="s">
        <v>8836</v>
      </c>
      <c r="D1575" s="146" t="s">
        <v>4692</v>
      </c>
      <c r="E1575" s="196" t="s">
        <v>8836</v>
      </c>
      <c r="F1575" s="150">
        <v>0</v>
      </c>
      <c r="G1575" s="209">
        <v>0</v>
      </c>
      <c r="H1575" s="209">
        <v>0</v>
      </c>
      <c r="I1575" s="209">
        <v>0</v>
      </c>
      <c r="J1575" s="150">
        <v>0</v>
      </c>
      <c r="K1575" s="150">
        <v>0</v>
      </c>
      <c r="L1575" s="150">
        <f t="shared" si="1368"/>
        <v>0</v>
      </c>
      <c r="M1575" s="150">
        <v>0</v>
      </c>
      <c r="N1575" s="150">
        <v>0</v>
      </c>
      <c r="O1575" s="150">
        <v>0</v>
      </c>
      <c r="P1575" s="150">
        <v>0</v>
      </c>
      <c r="Q1575" s="150">
        <v>0</v>
      </c>
      <c r="R1575" s="313">
        <f t="shared" si="1375"/>
        <v>0</v>
      </c>
      <c r="S1575" s="150">
        <f t="shared" si="1367"/>
        <v>0</v>
      </c>
      <c r="T1575" s="150">
        <v>0</v>
      </c>
      <c r="U1575" s="150">
        <v>0</v>
      </c>
      <c r="V1575" s="199">
        <v>0</v>
      </c>
      <c r="W1575" s="150">
        <f t="shared" si="1376"/>
        <v>0</v>
      </c>
      <c r="X1575" s="150">
        <v>0</v>
      </c>
      <c r="Y1575" s="150">
        <v>0</v>
      </c>
      <c r="Z1575" s="150">
        <v>0</v>
      </c>
      <c r="AA1575" s="150">
        <f t="shared" si="1363"/>
        <v>0</v>
      </c>
      <c r="AB1575" s="150">
        <v>0</v>
      </c>
      <c r="AC1575" s="199">
        <v>0</v>
      </c>
      <c r="AD1575" s="150">
        <f t="shared" si="1377"/>
        <v>0</v>
      </c>
      <c r="AE1575" s="150">
        <v>0</v>
      </c>
      <c r="AF1575" s="169" t="s">
        <v>4680</v>
      </c>
      <c r="AG1575" s="201">
        <v>0</v>
      </c>
      <c r="AH1575" s="199">
        <v>0</v>
      </c>
      <c r="AI1575" s="150">
        <v>0</v>
      </c>
      <c r="AJ1575" s="169">
        <f t="shared" si="1364"/>
        <v>0</v>
      </c>
      <c r="AK1575" s="201">
        <v>0</v>
      </c>
      <c r="AL1575" s="199">
        <v>0</v>
      </c>
      <c r="AM1575" s="150">
        <f t="shared" si="1378"/>
        <v>0</v>
      </c>
      <c r="AN1575" s="153">
        <f t="shared" si="1365"/>
        <v>0</v>
      </c>
      <c r="AO1575" s="154">
        <f t="shared" si="1366"/>
        <v>0</v>
      </c>
      <c r="AP1575" s="150">
        <v>0</v>
      </c>
      <c r="AQ1575" s="201">
        <v>0</v>
      </c>
      <c r="AR1575" s="199">
        <v>0</v>
      </c>
      <c r="AS1575" s="150">
        <f t="shared" si="1379"/>
        <v>0</v>
      </c>
      <c r="AT1575" s="155"/>
      <c r="AU1575" s="156">
        <f t="shared" si="1361"/>
        <v>0</v>
      </c>
      <c r="AV1575" s="156">
        <f t="shared" si="1362"/>
        <v>0</v>
      </c>
      <c r="AW1575" s="157"/>
      <c r="AX1575" s="150">
        <v>0</v>
      </c>
      <c r="AY1575" s="150">
        <v>0</v>
      </c>
      <c r="AZ1575" s="150">
        <f t="shared" si="1360"/>
        <v>0</v>
      </c>
      <c r="BA1575" s="150">
        <v>0</v>
      </c>
      <c r="BB1575" s="202">
        <v>5</v>
      </c>
      <c r="BC1575" s="202" t="s">
        <v>739</v>
      </c>
      <c r="BD1575" s="202" t="s">
        <v>632</v>
      </c>
      <c r="BE1575" s="202" t="s">
        <v>647</v>
      </c>
      <c r="BF1575" s="202" t="s">
        <v>739</v>
      </c>
      <c r="BG1575" s="207" t="s">
        <v>8837</v>
      </c>
      <c r="BH1575" s="216">
        <f>AS1575</f>
        <v>0</v>
      </c>
      <c r="BI1575" s="205"/>
      <c r="BJ1575" s="206" t="s">
        <v>8804</v>
      </c>
      <c r="BK1575" s="206" t="s">
        <v>583</v>
      </c>
      <c r="BL1575" s="207" t="s">
        <v>8805</v>
      </c>
      <c r="BM1575" s="208">
        <f>BH1575</f>
        <v>0</v>
      </c>
      <c r="BN1575" s="160"/>
      <c r="BO1575" s="161">
        <f t="shared" si="1374"/>
        <v>0</v>
      </c>
      <c r="BP1575" s="161"/>
    </row>
    <row r="1576" spans="1:68" ht="51">
      <c r="A1576" s="206" t="s">
        <v>583</v>
      </c>
      <c r="B1576" s="195" t="s">
        <v>8838</v>
      </c>
      <c r="C1576" s="196" t="s">
        <v>8839</v>
      </c>
      <c r="D1576" s="146" t="s">
        <v>4692</v>
      </c>
      <c r="E1576" s="196" t="s">
        <v>8839</v>
      </c>
      <c r="F1576" s="150">
        <v>0</v>
      </c>
      <c r="G1576" s="209">
        <v>0</v>
      </c>
      <c r="H1576" s="209">
        <v>0</v>
      </c>
      <c r="I1576" s="209">
        <v>0</v>
      </c>
      <c r="J1576" s="150">
        <v>0</v>
      </c>
      <c r="K1576" s="150">
        <v>0</v>
      </c>
      <c r="L1576" s="150">
        <f t="shared" si="1368"/>
        <v>0</v>
      </c>
      <c r="M1576" s="150">
        <v>0</v>
      </c>
      <c r="N1576" s="150">
        <v>0</v>
      </c>
      <c r="O1576" s="150">
        <v>0</v>
      </c>
      <c r="P1576" s="150">
        <v>0</v>
      </c>
      <c r="Q1576" s="150">
        <v>0</v>
      </c>
      <c r="R1576" s="313">
        <f t="shared" si="1375"/>
        <v>0</v>
      </c>
      <c r="S1576" s="150">
        <f t="shared" si="1367"/>
        <v>0</v>
      </c>
      <c r="T1576" s="150">
        <v>0</v>
      </c>
      <c r="U1576" s="150">
        <v>0</v>
      </c>
      <c r="V1576" s="199">
        <v>0</v>
      </c>
      <c r="W1576" s="150">
        <f t="shared" si="1376"/>
        <v>0</v>
      </c>
      <c r="X1576" s="150">
        <v>0</v>
      </c>
      <c r="Y1576" s="150">
        <v>0</v>
      </c>
      <c r="Z1576" s="150">
        <v>0</v>
      </c>
      <c r="AA1576" s="150">
        <f t="shared" si="1363"/>
        <v>0</v>
      </c>
      <c r="AB1576" s="150">
        <v>0</v>
      </c>
      <c r="AC1576" s="199">
        <v>0</v>
      </c>
      <c r="AD1576" s="150">
        <f t="shared" si="1377"/>
        <v>0</v>
      </c>
      <c r="AE1576" s="150">
        <v>0</v>
      </c>
      <c r="AF1576" s="169" t="s">
        <v>4680</v>
      </c>
      <c r="AG1576" s="201">
        <v>0</v>
      </c>
      <c r="AH1576" s="199">
        <v>0</v>
      </c>
      <c r="AI1576" s="150">
        <v>0</v>
      </c>
      <c r="AJ1576" s="169">
        <f t="shared" si="1364"/>
        <v>0</v>
      </c>
      <c r="AK1576" s="201">
        <v>0</v>
      </c>
      <c r="AL1576" s="199">
        <v>0</v>
      </c>
      <c r="AM1576" s="150">
        <f t="shared" si="1378"/>
        <v>0</v>
      </c>
      <c r="AN1576" s="153">
        <f t="shared" si="1365"/>
        <v>0</v>
      </c>
      <c r="AO1576" s="154">
        <f t="shared" si="1366"/>
        <v>0</v>
      </c>
      <c r="AP1576" s="150">
        <v>0</v>
      </c>
      <c r="AQ1576" s="201">
        <v>0</v>
      </c>
      <c r="AR1576" s="199">
        <v>0</v>
      </c>
      <c r="AS1576" s="150">
        <f t="shared" si="1379"/>
        <v>0</v>
      </c>
      <c r="AT1576" s="155"/>
      <c r="AU1576" s="156">
        <f t="shared" si="1361"/>
        <v>0</v>
      </c>
      <c r="AV1576" s="156">
        <f t="shared" si="1362"/>
        <v>0</v>
      </c>
      <c r="AW1576" s="157"/>
      <c r="AX1576" s="150">
        <v>0</v>
      </c>
      <c r="AY1576" s="150">
        <v>0</v>
      </c>
      <c r="AZ1576" s="150">
        <f t="shared" si="1360"/>
        <v>0</v>
      </c>
      <c r="BA1576" s="150">
        <v>0</v>
      </c>
      <c r="BB1576" s="202">
        <v>5</v>
      </c>
      <c r="BC1576" s="202" t="s">
        <v>739</v>
      </c>
      <c r="BD1576" s="202" t="s">
        <v>632</v>
      </c>
      <c r="BE1576" s="202" t="s">
        <v>647</v>
      </c>
      <c r="BF1576" s="202" t="s">
        <v>755</v>
      </c>
      <c r="BG1576" s="207" t="s">
        <v>8840</v>
      </c>
      <c r="BH1576" s="216">
        <f>SUM(AS1576:AS1588)</f>
        <v>0</v>
      </c>
      <c r="BI1576" s="205"/>
      <c r="BJ1576" s="206" t="s">
        <v>8804</v>
      </c>
      <c r="BK1576" s="206" t="s">
        <v>583</v>
      </c>
      <c r="BL1576" s="207" t="s">
        <v>8805</v>
      </c>
      <c r="BM1576" s="208">
        <f>BH1576</f>
        <v>0</v>
      </c>
      <c r="BN1576" s="160"/>
      <c r="BO1576" s="161">
        <f t="shared" si="1374"/>
        <v>0</v>
      </c>
      <c r="BP1576" s="161"/>
    </row>
    <row r="1577" spans="1:68" ht="51">
      <c r="A1577" s="210"/>
      <c r="B1577" s="195" t="s">
        <v>8841</v>
      </c>
      <c r="C1577" s="196" t="s">
        <v>8842</v>
      </c>
      <c r="D1577" s="146" t="s">
        <v>4692</v>
      </c>
      <c r="E1577" s="196" t="s">
        <v>8842</v>
      </c>
      <c r="F1577" s="150">
        <v>0</v>
      </c>
      <c r="G1577" s="209">
        <v>0</v>
      </c>
      <c r="H1577" s="209">
        <v>0</v>
      </c>
      <c r="I1577" s="209">
        <v>0</v>
      </c>
      <c r="J1577" s="150">
        <v>0</v>
      </c>
      <c r="K1577" s="150">
        <v>0</v>
      </c>
      <c r="L1577" s="150">
        <f t="shared" si="1368"/>
        <v>0</v>
      </c>
      <c r="M1577" s="150">
        <v>0</v>
      </c>
      <c r="N1577" s="150">
        <v>0</v>
      </c>
      <c r="O1577" s="150">
        <v>0</v>
      </c>
      <c r="P1577" s="150">
        <v>0</v>
      </c>
      <c r="Q1577" s="150">
        <v>0</v>
      </c>
      <c r="R1577" s="313">
        <f t="shared" si="1375"/>
        <v>0</v>
      </c>
      <c r="S1577" s="150">
        <f t="shared" si="1367"/>
        <v>0</v>
      </c>
      <c r="T1577" s="150">
        <v>0</v>
      </c>
      <c r="U1577" s="150">
        <v>0</v>
      </c>
      <c r="V1577" s="199">
        <v>0</v>
      </c>
      <c r="W1577" s="150">
        <f t="shared" si="1376"/>
        <v>0</v>
      </c>
      <c r="X1577" s="150">
        <v>0</v>
      </c>
      <c r="Y1577" s="150">
        <v>0</v>
      </c>
      <c r="Z1577" s="150">
        <v>0</v>
      </c>
      <c r="AA1577" s="150">
        <f t="shared" si="1363"/>
        <v>0</v>
      </c>
      <c r="AB1577" s="150">
        <v>0</v>
      </c>
      <c r="AC1577" s="199">
        <v>0</v>
      </c>
      <c r="AD1577" s="150">
        <f t="shared" si="1377"/>
        <v>0</v>
      </c>
      <c r="AE1577" s="150">
        <v>0</v>
      </c>
      <c r="AF1577" s="169" t="s">
        <v>4680</v>
      </c>
      <c r="AG1577" s="201">
        <v>0</v>
      </c>
      <c r="AH1577" s="199">
        <v>0</v>
      </c>
      <c r="AI1577" s="150">
        <v>0</v>
      </c>
      <c r="AJ1577" s="169">
        <f t="shared" si="1364"/>
        <v>0</v>
      </c>
      <c r="AK1577" s="201">
        <v>0</v>
      </c>
      <c r="AL1577" s="199">
        <v>0</v>
      </c>
      <c r="AM1577" s="150">
        <f t="shared" si="1378"/>
        <v>0</v>
      </c>
      <c r="AN1577" s="153">
        <f t="shared" si="1365"/>
        <v>0</v>
      </c>
      <c r="AO1577" s="154">
        <f t="shared" si="1366"/>
        <v>0</v>
      </c>
      <c r="AP1577" s="150">
        <v>0</v>
      </c>
      <c r="AQ1577" s="201">
        <v>0</v>
      </c>
      <c r="AR1577" s="199">
        <v>0</v>
      </c>
      <c r="AS1577" s="150">
        <f t="shared" si="1379"/>
        <v>0</v>
      </c>
      <c r="AT1577" s="155"/>
      <c r="AU1577" s="156">
        <f t="shared" si="1361"/>
        <v>0</v>
      </c>
      <c r="AV1577" s="156">
        <f t="shared" si="1362"/>
        <v>0</v>
      </c>
      <c r="AW1577" s="157"/>
      <c r="AX1577" s="150">
        <v>0</v>
      </c>
      <c r="AY1577" s="150">
        <v>0</v>
      </c>
      <c r="AZ1577" s="150">
        <f t="shared" si="1360"/>
        <v>0</v>
      </c>
      <c r="BA1577" s="150">
        <v>0</v>
      </c>
      <c r="BB1577" s="210"/>
      <c r="BC1577" s="210"/>
      <c r="BD1577" s="210"/>
      <c r="BE1577" s="210"/>
      <c r="BF1577" s="210"/>
      <c r="BG1577" s="210"/>
      <c r="BH1577" s="217"/>
      <c r="BI1577" s="210"/>
      <c r="BJ1577" s="210"/>
      <c r="BK1577" s="210"/>
      <c r="BL1577" s="210"/>
      <c r="BM1577" s="208"/>
      <c r="BN1577" s="160"/>
      <c r="BO1577" s="161">
        <f t="shared" si="1374"/>
        <v>0</v>
      </c>
      <c r="BP1577" s="161"/>
    </row>
    <row r="1578" spans="1:68" ht="63.75">
      <c r="A1578" s="210"/>
      <c r="B1578" s="195" t="s">
        <v>8843</v>
      </c>
      <c r="C1578" s="196" t="s">
        <v>8844</v>
      </c>
      <c r="D1578" s="146" t="s">
        <v>4692</v>
      </c>
      <c r="E1578" s="196" t="s">
        <v>8844</v>
      </c>
      <c r="F1578" s="150">
        <v>0</v>
      </c>
      <c r="G1578" s="209">
        <v>0</v>
      </c>
      <c r="H1578" s="209">
        <v>0</v>
      </c>
      <c r="I1578" s="209">
        <v>0</v>
      </c>
      <c r="J1578" s="150">
        <v>0</v>
      </c>
      <c r="K1578" s="150">
        <v>0</v>
      </c>
      <c r="L1578" s="150">
        <f t="shared" si="1368"/>
        <v>0</v>
      </c>
      <c r="M1578" s="150">
        <v>0</v>
      </c>
      <c r="N1578" s="150">
        <v>0</v>
      </c>
      <c r="O1578" s="150">
        <v>0</v>
      </c>
      <c r="P1578" s="150">
        <v>0</v>
      </c>
      <c r="Q1578" s="150">
        <v>0</v>
      </c>
      <c r="R1578" s="313">
        <f t="shared" si="1375"/>
        <v>0</v>
      </c>
      <c r="S1578" s="150">
        <f t="shared" si="1367"/>
        <v>0</v>
      </c>
      <c r="T1578" s="150">
        <v>0</v>
      </c>
      <c r="U1578" s="150">
        <v>0</v>
      </c>
      <c r="V1578" s="199">
        <v>0</v>
      </c>
      <c r="W1578" s="150">
        <f t="shared" si="1376"/>
        <v>0</v>
      </c>
      <c r="X1578" s="150">
        <v>0</v>
      </c>
      <c r="Y1578" s="150">
        <v>0</v>
      </c>
      <c r="Z1578" s="150">
        <v>0</v>
      </c>
      <c r="AA1578" s="150">
        <f t="shared" si="1363"/>
        <v>0</v>
      </c>
      <c r="AB1578" s="150">
        <v>0</v>
      </c>
      <c r="AC1578" s="199">
        <v>0</v>
      </c>
      <c r="AD1578" s="150">
        <f t="shared" si="1377"/>
        <v>0</v>
      </c>
      <c r="AE1578" s="150">
        <v>0</v>
      </c>
      <c r="AF1578" s="169" t="s">
        <v>4680</v>
      </c>
      <c r="AG1578" s="201">
        <v>0</v>
      </c>
      <c r="AH1578" s="199">
        <v>0</v>
      </c>
      <c r="AI1578" s="150">
        <v>0</v>
      </c>
      <c r="AJ1578" s="169">
        <f t="shared" si="1364"/>
        <v>0</v>
      </c>
      <c r="AK1578" s="201">
        <v>0</v>
      </c>
      <c r="AL1578" s="199">
        <v>0</v>
      </c>
      <c r="AM1578" s="150">
        <f t="shared" si="1378"/>
        <v>0</v>
      </c>
      <c r="AN1578" s="153">
        <f t="shared" si="1365"/>
        <v>0</v>
      </c>
      <c r="AO1578" s="154">
        <f t="shared" si="1366"/>
        <v>0</v>
      </c>
      <c r="AP1578" s="150">
        <v>0</v>
      </c>
      <c r="AQ1578" s="201">
        <v>0</v>
      </c>
      <c r="AR1578" s="199">
        <v>0</v>
      </c>
      <c r="AS1578" s="150">
        <f t="shared" si="1379"/>
        <v>0</v>
      </c>
      <c r="AT1578" s="155"/>
      <c r="AU1578" s="156">
        <f t="shared" si="1361"/>
        <v>0</v>
      </c>
      <c r="AV1578" s="156">
        <f t="shared" si="1362"/>
        <v>0</v>
      </c>
      <c r="AW1578" s="157"/>
      <c r="AX1578" s="150">
        <v>0</v>
      </c>
      <c r="AY1578" s="150">
        <v>0</v>
      </c>
      <c r="AZ1578" s="150">
        <f t="shared" si="1360"/>
        <v>0</v>
      </c>
      <c r="BA1578" s="150">
        <v>0</v>
      </c>
      <c r="BB1578" s="210"/>
      <c r="BC1578" s="210"/>
      <c r="BD1578" s="210"/>
      <c r="BE1578" s="210"/>
      <c r="BF1578" s="210"/>
      <c r="BG1578" s="210"/>
      <c r="BH1578" s="217"/>
      <c r="BI1578" s="210"/>
      <c r="BJ1578" s="210"/>
      <c r="BK1578" s="210"/>
      <c r="BL1578" s="210"/>
      <c r="BM1578" s="208"/>
      <c r="BN1578" s="160"/>
      <c r="BO1578" s="161">
        <f t="shared" si="1374"/>
        <v>0</v>
      </c>
      <c r="BP1578" s="161"/>
    </row>
    <row r="1579" spans="1:68" ht="38.25">
      <c r="A1579" s="210"/>
      <c r="B1579" s="195" t="s">
        <v>8845</v>
      </c>
      <c r="C1579" s="196" t="s">
        <v>8846</v>
      </c>
      <c r="D1579" s="146" t="s">
        <v>4692</v>
      </c>
      <c r="E1579" s="196" t="s">
        <v>8846</v>
      </c>
      <c r="F1579" s="150">
        <v>0</v>
      </c>
      <c r="G1579" s="209">
        <v>0</v>
      </c>
      <c r="H1579" s="209">
        <v>0</v>
      </c>
      <c r="I1579" s="209">
        <v>0</v>
      </c>
      <c r="J1579" s="150">
        <v>0</v>
      </c>
      <c r="K1579" s="150">
        <v>0</v>
      </c>
      <c r="L1579" s="150">
        <f t="shared" si="1368"/>
        <v>0</v>
      </c>
      <c r="M1579" s="150">
        <v>0</v>
      </c>
      <c r="N1579" s="150">
        <v>0</v>
      </c>
      <c r="O1579" s="150">
        <v>0</v>
      </c>
      <c r="P1579" s="150">
        <v>0</v>
      </c>
      <c r="Q1579" s="150">
        <v>0</v>
      </c>
      <c r="R1579" s="313">
        <f t="shared" si="1375"/>
        <v>0</v>
      </c>
      <c r="S1579" s="150">
        <f t="shared" si="1367"/>
        <v>0</v>
      </c>
      <c r="T1579" s="150">
        <v>0</v>
      </c>
      <c r="U1579" s="150">
        <v>0</v>
      </c>
      <c r="V1579" s="199">
        <v>0</v>
      </c>
      <c r="W1579" s="150">
        <f t="shared" si="1376"/>
        <v>0</v>
      </c>
      <c r="X1579" s="150">
        <v>0</v>
      </c>
      <c r="Y1579" s="150">
        <v>0</v>
      </c>
      <c r="Z1579" s="150">
        <v>0</v>
      </c>
      <c r="AA1579" s="150">
        <f t="shared" si="1363"/>
        <v>0</v>
      </c>
      <c r="AB1579" s="150">
        <v>0</v>
      </c>
      <c r="AC1579" s="199">
        <v>0</v>
      </c>
      <c r="AD1579" s="150">
        <f t="shared" si="1377"/>
        <v>0</v>
      </c>
      <c r="AE1579" s="150">
        <v>0</v>
      </c>
      <c r="AF1579" s="169" t="s">
        <v>4680</v>
      </c>
      <c r="AG1579" s="201">
        <v>0</v>
      </c>
      <c r="AH1579" s="199">
        <v>0</v>
      </c>
      <c r="AI1579" s="150">
        <v>0</v>
      </c>
      <c r="AJ1579" s="169">
        <f t="shared" si="1364"/>
        <v>0</v>
      </c>
      <c r="AK1579" s="201">
        <v>0</v>
      </c>
      <c r="AL1579" s="199">
        <v>0</v>
      </c>
      <c r="AM1579" s="150">
        <f t="shared" si="1378"/>
        <v>0</v>
      </c>
      <c r="AN1579" s="153">
        <f t="shared" si="1365"/>
        <v>0</v>
      </c>
      <c r="AO1579" s="154">
        <f t="shared" si="1366"/>
        <v>0</v>
      </c>
      <c r="AP1579" s="150">
        <v>0</v>
      </c>
      <c r="AQ1579" s="201">
        <v>0</v>
      </c>
      <c r="AR1579" s="199">
        <v>0</v>
      </c>
      <c r="AS1579" s="150">
        <f t="shared" si="1379"/>
        <v>0</v>
      </c>
      <c r="AT1579" s="155"/>
      <c r="AU1579" s="156">
        <f t="shared" si="1361"/>
        <v>0</v>
      </c>
      <c r="AV1579" s="156">
        <f t="shared" si="1362"/>
        <v>0</v>
      </c>
      <c r="AW1579" s="157"/>
      <c r="AX1579" s="150">
        <v>0</v>
      </c>
      <c r="AY1579" s="150">
        <v>0</v>
      </c>
      <c r="AZ1579" s="150">
        <f t="shared" si="1360"/>
        <v>0</v>
      </c>
      <c r="BA1579" s="150">
        <v>0</v>
      </c>
      <c r="BB1579" s="210"/>
      <c r="BC1579" s="210"/>
      <c r="BD1579" s="210"/>
      <c r="BE1579" s="210"/>
      <c r="BF1579" s="210"/>
      <c r="BG1579" s="210"/>
      <c r="BH1579" s="217"/>
      <c r="BI1579" s="210"/>
      <c r="BJ1579" s="210"/>
      <c r="BK1579" s="210"/>
      <c r="BL1579" s="210"/>
      <c r="BM1579" s="208"/>
      <c r="BN1579" s="160"/>
      <c r="BO1579" s="161">
        <f t="shared" si="1374"/>
        <v>0</v>
      </c>
      <c r="BP1579" s="161"/>
    </row>
    <row r="1580" spans="1:68" ht="51">
      <c r="A1580" s="210"/>
      <c r="B1580" s="195" t="s">
        <v>8847</v>
      </c>
      <c r="C1580" s="196" t="s">
        <v>8848</v>
      </c>
      <c r="D1580" s="146" t="s">
        <v>4692</v>
      </c>
      <c r="E1580" s="196" t="s">
        <v>8848</v>
      </c>
      <c r="F1580" s="150">
        <v>0</v>
      </c>
      <c r="G1580" s="209">
        <v>0</v>
      </c>
      <c r="H1580" s="209">
        <v>0</v>
      </c>
      <c r="I1580" s="209">
        <v>0</v>
      </c>
      <c r="J1580" s="150">
        <v>0</v>
      </c>
      <c r="K1580" s="150">
        <v>0</v>
      </c>
      <c r="L1580" s="150">
        <f t="shared" si="1368"/>
        <v>0</v>
      </c>
      <c r="M1580" s="150">
        <v>0</v>
      </c>
      <c r="N1580" s="150">
        <v>0</v>
      </c>
      <c r="O1580" s="150">
        <v>0</v>
      </c>
      <c r="P1580" s="150">
        <v>0</v>
      </c>
      <c r="Q1580" s="150">
        <v>0</v>
      </c>
      <c r="R1580" s="313">
        <f t="shared" si="1375"/>
        <v>0</v>
      </c>
      <c r="S1580" s="150">
        <f t="shared" si="1367"/>
        <v>0</v>
      </c>
      <c r="T1580" s="150">
        <v>0</v>
      </c>
      <c r="U1580" s="150">
        <v>0</v>
      </c>
      <c r="V1580" s="199">
        <v>0</v>
      </c>
      <c r="W1580" s="150">
        <f t="shared" si="1376"/>
        <v>0</v>
      </c>
      <c r="X1580" s="150">
        <v>0</v>
      </c>
      <c r="Y1580" s="150">
        <v>0</v>
      </c>
      <c r="Z1580" s="150">
        <v>0</v>
      </c>
      <c r="AA1580" s="150">
        <f t="shared" si="1363"/>
        <v>0</v>
      </c>
      <c r="AB1580" s="150">
        <v>0</v>
      </c>
      <c r="AC1580" s="199">
        <v>0</v>
      </c>
      <c r="AD1580" s="150">
        <f t="shared" si="1377"/>
        <v>0</v>
      </c>
      <c r="AE1580" s="150">
        <v>0</v>
      </c>
      <c r="AF1580" s="169" t="s">
        <v>4680</v>
      </c>
      <c r="AG1580" s="201">
        <v>0</v>
      </c>
      <c r="AH1580" s="199">
        <v>0</v>
      </c>
      <c r="AI1580" s="150">
        <v>0</v>
      </c>
      <c r="AJ1580" s="169">
        <f t="shared" si="1364"/>
        <v>0</v>
      </c>
      <c r="AK1580" s="201">
        <v>0</v>
      </c>
      <c r="AL1580" s="199">
        <v>0</v>
      </c>
      <c r="AM1580" s="150">
        <f t="shared" si="1378"/>
        <v>0</v>
      </c>
      <c r="AN1580" s="153">
        <f t="shared" si="1365"/>
        <v>0</v>
      </c>
      <c r="AO1580" s="154">
        <f t="shared" si="1366"/>
        <v>0</v>
      </c>
      <c r="AP1580" s="150">
        <v>0</v>
      </c>
      <c r="AQ1580" s="201">
        <v>0</v>
      </c>
      <c r="AR1580" s="199">
        <v>0</v>
      </c>
      <c r="AS1580" s="150">
        <f t="shared" si="1379"/>
        <v>0</v>
      </c>
      <c r="AT1580" s="155"/>
      <c r="AU1580" s="156">
        <f t="shared" si="1361"/>
        <v>0</v>
      </c>
      <c r="AV1580" s="156">
        <f t="shared" si="1362"/>
        <v>0</v>
      </c>
      <c r="AW1580" s="157"/>
      <c r="AX1580" s="150">
        <v>0</v>
      </c>
      <c r="AY1580" s="150">
        <v>0</v>
      </c>
      <c r="AZ1580" s="150">
        <f t="shared" si="1360"/>
        <v>0</v>
      </c>
      <c r="BA1580" s="150">
        <v>0</v>
      </c>
      <c r="BB1580" s="210"/>
      <c r="BC1580" s="210"/>
      <c r="BD1580" s="210"/>
      <c r="BE1580" s="210"/>
      <c r="BF1580" s="210"/>
      <c r="BG1580" s="210"/>
      <c r="BH1580" s="217"/>
      <c r="BI1580" s="210"/>
      <c r="BJ1580" s="210"/>
      <c r="BK1580" s="210"/>
      <c r="BL1580" s="210"/>
      <c r="BM1580" s="208"/>
      <c r="BN1580" s="160"/>
      <c r="BO1580" s="161">
        <f t="shared" si="1374"/>
        <v>0</v>
      </c>
      <c r="BP1580" s="161"/>
    </row>
    <row r="1581" spans="1:68" ht="51">
      <c r="A1581" s="210"/>
      <c r="B1581" s="195" t="s">
        <v>8849</v>
      </c>
      <c r="C1581" s="196" t="s">
        <v>8850</v>
      </c>
      <c r="D1581" s="146" t="s">
        <v>4692</v>
      </c>
      <c r="E1581" s="196" t="s">
        <v>8850</v>
      </c>
      <c r="F1581" s="150">
        <v>0</v>
      </c>
      <c r="G1581" s="209">
        <v>0</v>
      </c>
      <c r="H1581" s="209">
        <v>0</v>
      </c>
      <c r="I1581" s="209">
        <v>0</v>
      </c>
      <c r="J1581" s="150">
        <v>0</v>
      </c>
      <c r="K1581" s="150">
        <v>0</v>
      </c>
      <c r="L1581" s="150">
        <f t="shared" si="1368"/>
        <v>0</v>
      </c>
      <c r="M1581" s="150">
        <v>0</v>
      </c>
      <c r="N1581" s="150">
        <v>0</v>
      </c>
      <c r="O1581" s="150">
        <v>0</v>
      </c>
      <c r="P1581" s="150">
        <v>0</v>
      </c>
      <c r="Q1581" s="150">
        <v>0</v>
      </c>
      <c r="R1581" s="313">
        <f t="shared" si="1375"/>
        <v>0</v>
      </c>
      <c r="S1581" s="150">
        <f t="shared" si="1367"/>
        <v>0</v>
      </c>
      <c r="T1581" s="150">
        <v>0</v>
      </c>
      <c r="U1581" s="150">
        <v>0</v>
      </c>
      <c r="V1581" s="199">
        <v>0</v>
      </c>
      <c r="W1581" s="150">
        <f t="shared" si="1376"/>
        <v>0</v>
      </c>
      <c r="X1581" s="150">
        <v>0</v>
      </c>
      <c r="Y1581" s="150">
        <v>0</v>
      </c>
      <c r="Z1581" s="150">
        <v>0</v>
      </c>
      <c r="AA1581" s="150">
        <f t="shared" si="1363"/>
        <v>0</v>
      </c>
      <c r="AB1581" s="150">
        <v>0</v>
      </c>
      <c r="AC1581" s="199">
        <v>0</v>
      </c>
      <c r="AD1581" s="150">
        <f t="shared" si="1377"/>
        <v>0</v>
      </c>
      <c r="AE1581" s="150">
        <v>0</v>
      </c>
      <c r="AF1581" s="169" t="s">
        <v>4680</v>
      </c>
      <c r="AG1581" s="201">
        <v>0</v>
      </c>
      <c r="AH1581" s="199">
        <v>0</v>
      </c>
      <c r="AI1581" s="150">
        <v>0</v>
      </c>
      <c r="AJ1581" s="169">
        <f t="shared" si="1364"/>
        <v>0</v>
      </c>
      <c r="AK1581" s="201">
        <v>0</v>
      </c>
      <c r="AL1581" s="199">
        <v>0</v>
      </c>
      <c r="AM1581" s="150">
        <f t="shared" si="1378"/>
        <v>0</v>
      </c>
      <c r="AN1581" s="153">
        <f t="shared" si="1365"/>
        <v>0</v>
      </c>
      <c r="AO1581" s="154">
        <f t="shared" si="1366"/>
        <v>0</v>
      </c>
      <c r="AP1581" s="150">
        <v>0</v>
      </c>
      <c r="AQ1581" s="201">
        <v>0</v>
      </c>
      <c r="AR1581" s="199">
        <v>0</v>
      </c>
      <c r="AS1581" s="150">
        <f t="shared" si="1379"/>
        <v>0</v>
      </c>
      <c r="AT1581" s="155"/>
      <c r="AU1581" s="156">
        <f t="shared" si="1361"/>
        <v>0</v>
      </c>
      <c r="AV1581" s="156">
        <f t="shared" si="1362"/>
        <v>0</v>
      </c>
      <c r="AW1581" s="157"/>
      <c r="AX1581" s="150">
        <v>0</v>
      </c>
      <c r="AY1581" s="150">
        <v>0</v>
      </c>
      <c r="AZ1581" s="150">
        <f t="shared" si="1360"/>
        <v>0</v>
      </c>
      <c r="BA1581" s="150">
        <v>0</v>
      </c>
      <c r="BB1581" s="210"/>
      <c r="BC1581" s="210"/>
      <c r="BD1581" s="210"/>
      <c r="BE1581" s="210"/>
      <c r="BF1581" s="210"/>
      <c r="BG1581" s="210"/>
      <c r="BH1581" s="217"/>
      <c r="BI1581" s="210"/>
      <c r="BJ1581" s="210"/>
      <c r="BK1581" s="210"/>
      <c r="BL1581" s="210"/>
      <c r="BM1581" s="208"/>
      <c r="BN1581" s="160"/>
      <c r="BO1581" s="161">
        <f t="shared" si="1374"/>
        <v>0</v>
      </c>
      <c r="BP1581" s="161"/>
    </row>
    <row r="1582" spans="1:68" ht="51">
      <c r="A1582" s="210"/>
      <c r="B1582" s="195" t="s">
        <v>8851</v>
      </c>
      <c r="C1582" s="196" t="s">
        <v>8852</v>
      </c>
      <c r="D1582" s="146" t="s">
        <v>4692</v>
      </c>
      <c r="E1582" s="196" t="s">
        <v>8852</v>
      </c>
      <c r="F1582" s="150">
        <v>0</v>
      </c>
      <c r="G1582" s="209">
        <v>0</v>
      </c>
      <c r="H1582" s="209">
        <v>0</v>
      </c>
      <c r="I1582" s="209">
        <v>0</v>
      </c>
      <c r="J1582" s="150">
        <v>0</v>
      </c>
      <c r="K1582" s="150">
        <v>0</v>
      </c>
      <c r="L1582" s="150">
        <f t="shared" si="1368"/>
        <v>0</v>
      </c>
      <c r="M1582" s="150">
        <v>0</v>
      </c>
      <c r="N1582" s="150">
        <v>0</v>
      </c>
      <c r="O1582" s="150">
        <v>0</v>
      </c>
      <c r="P1582" s="150">
        <v>0</v>
      </c>
      <c r="Q1582" s="150">
        <v>0</v>
      </c>
      <c r="R1582" s="313">
        <f t="shared" si="1375"/>
        <v>0</v>
      </c>
      <c r="S1582" s="150">
        <f t="shared" si="1367"/>
        <v>0</v>
      </c>
      <c r="T1582" s="150">
        <v>0</v>
      </c>
      <c r="U1582" s="150">
        <v>0</v>
      </c>
      <c r="V1582" s="199">
        <v>0</v>
      </c>
      <c r="W1582" s="150">
        <f t="shared" si="1376"/>
        <v>0</v>
      </c>
      <c r="X1582" s="150">
        <v>0</v>
      </c>
      <c r="Y1582" s="150">
        <v>0</v>
      </c>
      <c r="Z1582" s="150">
        <v>0</v>
      </c>
      <c r="AA1582" s="150">
        <f t="shared" si="1363"/>
        <v>0</v>
      </c>
      <c r="AB1582" s="150">
        <v>0</v>
      </c>
      <c r="AC1582" s="199">
        <v>0</v>
      </c>
      <c r="AD1582" s="150">
        <f t="shared" si="1377"/>
        <v>0</v>
      </c>
      <c r="AE1582" s="150">
        <v>0</v>
      </c>
      <c r="AF1582" s="169" t="s">
        <v>4680</v>
      </c>
      <c r="AG1582" s="201">
        <v>0</v>
      </c>
      <c r="AH1582" s="199">
        <v>0</v>
      </c>
      <c r="AI1582" s="150">
        <v>0</v>
      </c>
      <c r="AJ1582" s="169">
        <f t="shared" si="1364"/>
        <v>0</v>
      </c>
      <c r="AK1582" s="201">
        <v>0</v>
      </c>
      <c r="AL1582" s="199">
        <v>0</v>
      </c>
      <c r="AM1582" s="150">
        <f t="shared" si="1378"/>
        <v>0</v>
      </c>
      <c r="AN1582" s="153">
        <f t="shared" si="1365"/>
        <v>0</v>
      </c>
      <c r="AO1582" s="154">
        <f t="shared" si="1366"/>
        <v>0</v>
      </c>
      <c r="AP1582" s="150">
        <v>0</v>
      </c>
      <c r="AQ1582" s="201">
        <v>0</v>
      </c>
      <c r="AR1582" s="199">
        <v>0</v>
      </c>
      <c r="AS1582" s="150">
        <f t="shared" si="1379"/>
        <v>0</v>
      </c>
      <c r="AT1582" s="155"/>
      <c r="AU1582" s="156">
        <f t="shared" si="1361"/>
        <v>0</v>
      </c>
      <c r="AV1582" s="156">
        <f t="shared" si="1362"/>
        <v>0</v>
      </c>
      <c r="AW1582" s="157"/>
      <c r="AX1582" s="150">
        <v>0</v>
      </c>
      <c r="AY1582" s="150">
        <v>0</v>
      </c>
      <c r="AZ1582" s="150">
        <f t="shared" si="1360"/>
        <v>0</v>
      </c>
      <c r="BA1582" s="150">
        <v>0</v>
      </c>
      <c r="BB1582" s="210"/>
      <c r="BC1582" s="210"/>
      <c r="BD1582" s="210"/>
      <c r="BE1582" s="210"/>
      <c r="BF1582" s="210"/>
      <c r="BG1582" s="210"/>
      <c r="BH1582" s="217"/>
      <c r="BI1582" s="210"/>
      <c r="BJ1582" s="210"/>
      <c r="BK1582" s="210"/>
      <c r="BL1582" s="210"/>
      <c r="BM1582" s="208"/>
      <c r="BN1582" s="160"/>
      <c r="BO1582" s="161">
        <f t="shared" si="1374"/>
        <v>0</v>
      </c>
      <c r="BP1582" s="161"/>
    </row>
    <row r="1583" spans="1:68" ht="51">
      <c r="A1583" s="210"/>
      <c r="B1583" s="195" t="s">
        <v>8853</v>
      </c>
      <c r="C1583" s="196" t="s">
        <v>8854</v>
      </c>
      <c r="D1583" s="146" t="s">
        <v>4692</v>
      </c>
      <c r="E1583" s="196" t="s">
        <v>8854</v>
      </c>
      <c r="F1583" s="150">
        <v>0</v>
      </c>
      <c r="G1583" s="209">
        <v>0</v>
      </c>
      <c r="H1583" s="209">
        <v>0</v>
      </c>
      <c r="I1583" s="209">
        <v>0</v>
      </c>
      <c r="J1583" s="150">
        <v>0</v>
      </c>
      <c r="K1583" s="150">
        <v>0</v>
      </c>
      <c r="L1583" s="150">
        <f t="shared" si="1368"/>
        <v>0</v>
      </c>
      <c r="M1583" s="150">
        <v>0</v>
      </c>
      <c r="N1583" s="150">
        <v>0</v>
      </c>
      <c r="O1583" s="150">
        <v>0</v>
      </c>
      <c r="P1583" s="150">
        <v>0</v>
      </c>
      <c r="Q1583" s="150">
        <v>0</v>
      </c>
      <c r="R1583" s="313">
        <f t="shared" si="1375"/>
        <v>0</v>
      </c>
      <c r="S1583" s="150">
        <f t="shared" si="1367"/>
        <v>0</v>
      </c>
      <c r="T1583" s="150">
        <v>0</v>
      </c>
      <c r="U1583" s="150">
        <v>0</v>
      </c>
      <c r="V1583" s="199">
        <v>0</v>
      </c>
      <c r="W1583" s="150">
        <f t="shared" si="1376"/>
        <v>0</v>
      </c>
      <c r="X1583" s="150">
        <v>0</v>
      </c>
      <c r="Y1583" s="150">
        <v>0</v>
      </c>
      <c r="Z1583" s="150">
        <v>0</v>
      </c>
      <c r="AA1583" s="150">
        <f t="shared" si="1363"/>
        <v>0</v>
      </c>
      <c r="AB1583" s="150">
        <v>0</v>
      </c>
      <c r="AC1583" s="199">
        <v>0</v>
      </c>
      <c r="AD1583" s="150">
        <f t="shared" si="1377"/>
        <v>0</v>
      </c>
      <c r="AE1583" s="150">
        <v>0</v>
      </c>
      <c r="AF1583" s="169" t="s">
        <v>4680</v>
      </c>
      <c r="AG1583" s="201">
        <v>0</v>
      </c>
      <c r="AH1583" s="199">
        <v>0</v>
      </c>
      <c r="AI1583" s="150">
        <v>0</v>
      </c>
      <c r="AJ1583" s="169">
        <f t="shared" si="1364"/>
        <v>0</v>
      </c>
      <c r="AK1583" s="201">
        <v>0</v>
      </c>
      <c r="AL1583" s="199">
        <v>0</v>
      </c>
      <c r="AM1583" s="150">
        <f t="shared" si="1378"/>
        <v>0</v>
      </c>
      <c r="AN1583" s="153">
        <f t="shared" si="1365"/>
        <v>0</v>
      </c>
      <c r="AO1583" s="154">
        <f t="shared" si="1366"/>
        <v>0</v>
      </c>
      <c r="AP1583" s="150">
        <v>0</v>
      </c>
      <c r="AQ1583" s="201">
        <v>0</v>
      </c>
      <c r="AR1583" s="199">
        <v>0</v>
      </c>
      <c r="AS1583" s="150">
        <f t="shared" si="1379"/>
        <v>0</v>
      </c>
      <c r="AT1583" s="155"/>
      <c r="AU1583" s="156">
        <f t="shared" si="1361"/>
        <v>0</v>
      </c>
      <c r="AV1583" s="156">
        <f t="shared" si="1362"/>
        <v>0</v>
      </c>
      <c r="AW1583" s="157"/>
      <c r="AX1583" s="150">
        <v>0</v>
      </c>
      <c r="AY1583" s="150">
        <v>0</v>
      </c>
      <c r="AZ1583" s="150">
        <f t="shared" si="1360"/>
        <v>0</v>
      </c>
      <c r="BA1583" s="150">
        <v>0</v>
      </c>
      <c r="BB1583" s="210"/>
      <c r="BC1583" s="210"/>
      <c r="BD1583" s="210"/>
      <c r="BE1583" s="210"/>
      <c r="BF1583" s="210"/>
      <c r="BG1583" s="210"/>
      <c r="BH1583" s="217"/>
      <c r="BI1583" s="210"/>
      <c r="BJ1583" s="210"/>
      <c r="BK1583" s="210"/>
      <c r="BL1583" s="210"/>
      <c r="BM1583" s="208"/>
      <c r="BN1583" s="160"/>
      <c r="BO1583" s="161">
        <f t="shared" si="1374"/>
        <v>0</v>
      </c>
      <c r="BP1583" s="161"/>
    </row>
    <row r="1584" spans="1:68" ht="51">
      <c r="A1584" s="210"/>
      <c r="B1584" s="195" t="s">
        <v>8855</v>
      </c>
      <c r="C1584" s="196" t="s">
        <v>8856</v>
      </c>
      <c r="D1584" s="146" t="s">
        <v>4692</v>
      </c>
      <c r="E1584" s="196" t="s">
        <v>8856</v>
      </c>
      <c r="F1584" s="150">
        <v>0</v>
      </c>
      <c r="G1584" s="209">
        <v>0</v>
      </c>
      <c r="H1584" s="209">
        <v>0</v>
      </c>
      <c r="I1584" s="209">
        <v>0</v>
      </c>
      <c r="J1584" s="150">
        <v>0</v>
      </c>
      <c r="K1584" s="150">
        <v>0</v>
      </c>
      <c r="L1584" s="150">
        <f t="shared" si="1368"/>
        <v>0</v>
      </c>
      <c r="M1584" s="150">
        <v>0</v>
      </c>
      <c r="N1584" s="150">
        <v>0</v>
      </c>
      <c r="O1584" s="150">
        <v>0</v>
      </c>
      <c r="P1584" s="150">
        <v>0</v>
      </c>
      <c r="Q1584" s="150">
        <v>0</v>
      </c>
      <c r="R1584" s="313">
        <f t="shared" si="1375"/>
        <v>0</v>
      </c>
      <c r="S1584" s="150">
        <f t="shared" si="1367"/>
        <v>0</v>
      </c>
      <c r="T1584" s="150">
        <v>0</v>
      </c>
      <c r="U1584" s="150">
        <v>0</v>
      </c>
      <c r="V1584" s="199">
        <v>0</v>
      </c>
      <c r="W1584" s="150">
        <f t="shared" si="1376"/>
        <v>0</v>
      </c>
      <c r="X1584" s="150">
        <v>0</v>
      </c>
      <c r="Y1584" s="150">
        <v>0</v>
      </c>
      <c r="Z1584" s="150">
        <v>0</v>
      </c>
      <c r="AA1584" s="150">
        <f t="shared" si="1363"/>
        <v>0</v>
      </c>
      <c r="AB1584" s="150">
        <v>0</v>
      </c>
      <c r="AC1584" s="199">
        <v>0</v>
      </c>
      <c r="AD1584" s="150">
        <f t="shared" si="1377"/>
        <v>0</v>
      </c>
      <c r="AE1584" s="150">
        <v>0</v>
      </c>
      <c r="AF1584" s="169" t="s">
        <v>4680</v>
      </c>
      <c r="AG1584" s="201">
        <v>0</v>
      </c>
      <c r="AH1584" s="199">
        <v>0</v>
      </c>
      <c r="AI1584" s="150">
        <v>0</v>
      </c>
      <c r="AJ1584" s="169">
        <f t="shared" si="1364"/>
        <v>0</v>
      </c>
      <c r="AK1584" s="201">
        <v>0</v>
      </c>
      <c r="AL1584" s="199">
        <v>0</v>
      </c>
      <c r="AM1584" s="150">
        <f t="shared" si="1378"/>
        <v>0</v>
      </c>
      <c r="AN1584" s="153">
        <f t="shared" si="1365"/>
        <v>0</v>
      </c>
      <c r="AO1584" s="154">
        <f t="shared" si="1366"/>
        <v>0</v>
      </c>
      <c r="AP1584" s="150">
        <v>0</v>
      </c>
      <c r="AQ1584" s="201">
        <v>0</v>
      </c>
      <c r="AR1584" s="199">
        <v>0</v>
      </c>
      <c r="AS1584" s="150">
        <f t="shared" si="1379"/>
        <v>0</v>
      </c>
      <c r="AT1584" s="155"/>
      <c r="AU1584" s="156">
        <f t="shared" si="1361"/>
        <v>0</v>
      </c>
      <c r="AV1584" s="156">
        <f t="shared" si="1362"/>
        <v>0</v>
      </c>
      <c r="AW1584" s="157"/>
      <c r="AX1584" s="150">
        <v>0</v>
      </c>
      <c r="AY1584" s="150">
        <v>0</v>
      </c>
      <c r="AZ1584" s="150">
        <f t="shared" si="1360"/>
        <v>0</v>
      </c>
      <c r="BA1584" s="150">
        <v>0</v>
      </c>
      <c r="BB1584" s="210"/>
      <c r="BC1584" s="210"/>
      <c r="BD1584" s="210"/>
      <c r="BE1584" s="210"/>
      <c r="BF1584" s="210"/>
      <c r="BG1584" s="210"/>
      <c r="BH1584" s="217"/>
      <c r="BI1584" s="210"/>
      <c r="BJ1584" s="210"/>
      <c r="BK1584" s="210"/>
      <c r="BL1584" s="210"/>
      <c r="BM1584" s="208"/>
      <c r="BN1584" s="160"/>
      <c r="BO1584" s="161">
        <f t="shared" si="1374"/>
        <v>0</v>
      </c>
      <c r="BP1584" s="161"/>
    </row>
    <row r="1585" spans="1:68" ht="51">
      <c r="A1585" s="210"/>
      <c r="B1585" s="195" t="s">
        <v>8857</v>
      </c>
      <c r="C1585" s="196" t="s">
        <v>8858</v>
      </c>
      <c r="D1585" s="146" t="s">
        <v>4692</v>
      </c>
      <c r="E1585" s="196" t="s">
        <v>8858</v>
      </c>
      <c r="F1585" s="150">
        <v>0</v>
      </c>
      <c r="G1585" s="209">
        <v>0</v>
      </c>
      <c r="H1585" s="209">
        <v>0</v>
      </c>
      <c r="I1585" s="209">
        <v>0</v>
      </c>
      <c r="J1585" s="150">
        <v>0</v>
      </c>
      <c r="K1585" s="150">
        <v>0</v>
      </c>
      <c r="L1585" s="150">
        <f t="shared" si="1368"/>
        <v>0</v>
      </c>
      <c r="M1585" s="150">
        <v>0</v>
      </c>
      <c r="N1585" s="150">
        <v>0</v>
      </c>
      <c r="O1585" s="150">
        <v>0</v>
      </c>
      <c r="P1585" s="150">
        <v>0</v>
      </c>
      <c r="Q1585" s="150">
        <v>0</v>
      </c>
      <c r="R1585" s="313">
        <f t="shared" si="1375"/>
        <v>0</v>
      </c>
      <c r="S1585" s="150">
        <f t="shared" si="1367"/>
        <v>0</v>
      </c>
      <c r="T1585" s="150">
        <v>0</v>
      </c>
      <c r="U1585" s="150">
        <v>0</v>
      </c>
      <c r="V1585" s="199">
        <v>0</v>
      </c>
      <c r="W1585" s="150">
        <f t="shared" si="1376"/>
        <v>0</v>
      </c>
      <c r="X1585" s="150">
        <v>0</v>
      </c>
      <c r="Y1585" s="150">
        <v>0</v>
      </c>
      <c r="Z1585" s="150">
        <v>0</v>
      </c>
      <c r="AA1585" s="150">
        <f t="shared" si="1363"/>
        <v>0</v>
      </c>
      <c r="AB1585" s="150">
        <v>0</v>
      </c>
      <c r="AC1585" s="199">
        <v>0</v>
      </c>
      <c r="AD1585" s="150">
        <f t="shared" si="1377"/>
        <v>0</v>
      </c>
      <c r="AE1585" s="150">
        <v>0</v>
      </c>
      <c r="AF1585" s="169" t="s">
        <v>4680</v>
      </c>
      <c r="AG1585" s="201">
        <v>0</v>
      </c>
      <c r="AH1585" s="199">
        <v>0</v>
      </c>
      <c r="AI1585" s="150">
        <v>0</v>
      </c>
      <c r="AJ1585" s="169">
        <f t="shared" si="1364"/>
        <v>0</v>
      </c>
      <c r="AK1585" s="201">
        <v>0</v>
      </c>
      <c r="AL1585" s="199">
        <v>0</v>
      </c>
      <c r="AM1585" s="150">
        <f t="shared" si="1378"/>
        <v>0</v>
      </c>
      <c r="AN1585" s="153">
        <f t="shared" si="1365"/>
        <v>0</v>
      </c>
      <c r="AO1585" s="154">
        <f t="shared" si="1366"/>
        <v>0</v>
      </c>
      <c r="AP1585" s="150">
        <v>0</v>
      </c>
      <c r="AQ1585" s="201">
        <v>0</v>
      </c>
      <c r="AR1585" s="199">
        <v>0</v>
      </c>
      <c r="AS1585" s="150">
        <f t="shared" si="1379"/>
        <v>0</v>
      </c>
      <c r="AT1585" s="155"/>
      <c r="AU1585" s="156">
        <f t="shared" si="1361"/>
        <v>0</v>
      </c>
      <c r="AV1585" s="156">
        <f t="shared" si="1362"/>
        <v>0</v>
      </c>
      <c r="AW1585" s="157"/>
      <c r="AX1585" s="150">
        <v>0</v>
      </c>
      <c r="AY1585" s="150">
        <v>0</v>
      </c>
      <c r="AZ1585" s="150">
        <f t="shared" si="1360"/>
        <v>0</v>
      </c>
      <c r="BA1585" s="150">
        <v>0</v>
      </c>
      <c r="BB1585" s="210"/>
      <c r="BC1585" s="210"/>
      <c r="BD1585" s="210"/>
      <c r="BE1585" s="210"/>
      <c r="BF1585" s="210"/>
      <c r="BG1585" s="210"/>
      <c r="BH1585" s="217"/>
      <c r="BI1585" s="210"/>
      <c r="BJ1585" s="210"/>
      <c r="BK1585" s="210"/>
      <c r="BL1585" s="210"/>
      <c r="BM1585" s="208"/>
      <c r="BN1585" s="160"/>
      <c r="BO1585" s="161">
        <f t="shared" si="1374"/>
        <v>0</v>
      </c>
      <c r="BP1585" s="161"/>
    </row>
    <row r="1586" spans="1:68" ht="51">
      <c r="A1586" s="210"/>
      <c r="B1586" s="195" t="s">
        <v>8859</v>
      </c>
      <c r="C1586" s="196" t="s">
        <v>8860</v>
      </c>
      <c r="D1586" s="146" t="s">
        <v>4692</v>
      </c>
      <c r="E1586" s="196" t="s">
        <v>8860</v>
      </c>
      <c r="F1586" s="150">
        <v>0</v>
      </c>
      <c r="G1586" s="209">
        <v>0</v>
      </c>
      <c r="H1586" s="209">
        <v>0</v>
      </c>
      <c r="I1586" s="209">
        <v>0</v>
      </c>
      <c r="J1586" s="150">
        <v>0</v>
      </c>
      <c r="K1586" s="150">
        <v>0</v>
      </c>
      <c r="L1586" s="150">
        <f t="shared" si="1368"/>
        <v>0</v>
      </c>
      <c r="M1586" s="150">
        <v>0</v>
      </c>
      <c r="N1586" s="150">
        <v>0</v>
      </c>
      <c r="O1586" s="150">
        <v>0</v>
      </c>
      <c r="P1586" s="150">
        <v>0</v>
      </c>
      <c r="Q1586" s="150">
        <v>0</v>
      </c>
      <c r="R1586" s="313">
        <f t="shared" si="1375"/>
        <v>0</v>
      </c>
      <c r="S1586" s="150">
        <f t="shared" si="1367"/>
        <v>0</v>
      </c>
      <c r="T1586" s="150">
        <v>0</v>
      </c>
      <c r="U1586" s="150">
        <v>0</v>
      </c>
      <c r="V1586" s="199">
        <v>0</v>
      </c>
      <c r="W1586" s="150">
        <f t="shared" si="1376"/>
        <v>0</v>
      </c>
      <c r="X1586" s="150">
        <v>0</v>
      </c>
      <c r="Y1586" s="150">
        <v>0</v>
      </c>
      <c r="Z1586" s="150">
        <v>0</v>
      </c>
      <c r="AA1586" s="150">
        <f t="shared" si="1363"/>
        <v>0</v>
      </c>
      <c r="AB1586" s="150">
        <v>0</v>
      </c>
      <c r="AC1586" s="199">
        <v>0</v>
      </c>
      <c r="AD1586" s="150">
        <f t="shared" si="1377"/>
        <v>0</v>
      </c>
      <c r="AE1586" s="150">
        <v>0</v>
      </c>
      <c r="AF1586" s="169" t="s">
        <v>4680</v>
      </c>
      <c r="AG1586" s="201">
        <v>0</v>
      </c>
      <c r="AH1586" s="199">
        <v>0</v>
      </c>
      <c r="AI1586" s="150">
        <v>0</v>
      </c>
      <c r="AJ1586" s="169">
        <f t="shared" si="1364"/>
        <v>0</v>
      </c>
      <c r="AK1586" s="201">
        <v>0</v>
      </c>
      <c r="AL1586" s="199">
        <v>0</v>
      </c>
      <c r="AM1586" s="150">
        <f t="shared" si="1378"/>
        <v>0</v>
      </c>
      <c r="AN1586" s="153">
        <f t="shared" si="1365"/>
        <v>0</v>
      </c>
      <c r="AO1586" s="154">
        <f t="shared" si="1366"/>
        <v>0</v>
      </c>
      <c r="AP1586" s="150">
        <v>0</v>
      </c>
      <c r="AQ1586" s="201">
        <v>0</v>
      </c>
      <c r="AR1586" s="199">
        <v>0</v>
      </c>
      <c r="AS1586" s="150">
        <f t="shared" si="1379"/>
        <v>0</v>
      </c>
      <c r="AT1586" s="155"/>
      <c r="AU1586" s="156">
        <f t="shared" si="1361"/>
        <v>0</v>
      </c>
      <c r="AV1586" s="156">
        <f t="shared" si="1362"/>
        <v>0</v>
      </c>
      <c r="AW1586" s="157"/>
      <c r="AX1586" s="150">
        <v>0</v>
      </c>
      <c r="AY1586" s="150">
        <v>0</v>
      </c>
      <c r="AZ1586" s="150">
        <f t="shared" si="1360"/>
        <v>0</v>
      </c>
      <c r="BA1586" s="150">
        <v>0</v>
      </c>
      <c r="BB1586" s="210"/>
      <c r="BC1586" s="210"/>
      <c r="BD1586" s="210"/>
      <c r="BE1586" s="210"/>
      <c r="BF1586" s="210"/>
      <c r="BG1586" s="210"/>
      <c r="BH1586" s="217"/>
      <c r="BI1586" s="210"/>
      <c r="BJ1586" s="210"/>
      <c r="BK1586" s="210"/>
      <c r="BL1586" s="210"/>
      <c r="BM1586" s="208"/>
      <c r="BN1586" s="160"/>
      <c r="BO1586" s="161">
        <f t="shared" si="1374"/>
        <v>0</v>
      </c>
      <c r="BP1586" s="161"/>
    </row>
    <row r="1587" spans="1:68" ht="63.75">
      <c r="A1587" s="210"/>
      <c r="B1587" s="195" t="s">
        <v>8861</v>
      </c>
      <c r="C1587" s="196" t="s">
        <v>8862</v>
      </c>
      <c r="D1587" s="146" t="s">
        <v>4692</v>
      </c>
      <c r="E1587" s="196" t="s">
        <v>8862</v>
      </c>
      <c r="F1587" s="150">
        <v>0</v>
      </c>
      <c r="G1587" s="209">
        <v>0</v>
      </c>
      <c r="H1587" s="209">
        <v>0</v>
      </c>
      <c r="I1587" s="209">
        <v>0</v>
      </c>
      <c r="J1587" s="150">
        <v>0</v>
      </c>
      <c r="K1587" s="150">
        <v>0</v>
      </c>
      <c r="L1587" s="150">
        <f t="shared" si="1368"/>
        <v>0</v>
      </c>
      <c r="M1587" s="150">
        <v>0</v>
      </c>
      <c r="N1587" s="150">
        <v>0</v>
      </c>
      <c r="O1587" s="150">
        <v>0</v>
      </c>
      <c r="P1587" s="150">
        <v>0</v>
      </c>
      <c r="Q1587" s="150">
        <v>0</v>
      </c>
      <c r="R1587" s="313">
        <f t="shared" si="1375"/>
        <v>0</v>
      </c>
      <c r="S1587" s="150">
        <f t="shared" si="1367"/>
        <v>0</v>
      </c>
      <c r="T1587" s="150">
        <v>0</v>
      </c>
      <c r="U1587" s="150">
        <v>0</v>
      </c>
      <c r="V1587" s="199">
        <v>0</v>
      </c>
      <c r="W1587" s="150">
        <f t="shared" si="1376"/>
        <v>0</v>
      </c>
      <c r="X1587" s="150">
        <v>0</v>
      </c>
      <c r="Y1587" s="150">
        <v>0</v>
      </c>
      <c r="Z1587" s="150">
        <v>0</v>
      </c>
      <c r="AA1587" s="150">
        <f t="shared" si="1363"/>
        <v>0</v>
      </c>
      <c r="AB1587" s="150">
        <v>0</v>
      </c>
      <c r="AC1587" s="199">
        <v>0</v>
      </c>
      <c r="AD1587" s="150">
        <f t="shared" si="1377"/>
        <v>0</v>
      </c>
      <c r="AE1587" s="150">
        <v>0</v>
      </c>
      <c r="AF1587" s="169" t="s">
        <v>4680</v>
      </c>
      <c r="AG1587" s="201">
        <v>0</v>
      </c>
      <c r="AH1587" s="199">
        <v>0</v>
      </c>
      <c r="AI1587" s="150">
        <v>0</v>
      </c>
      <c r="AJ1587" s="169">
        <f t="shared" si="1364"/>
        <v>0</v>
      </c>
      <c r="AK1587" s="201">
        <v>0</v>
      </c>
      <c r="AL1587" s="199">
        <v>0</v>
      </c>
      <c r="AM1587" s="150">
        <f t="shared" si="1378"/>
        <v>0</v>
      </c>
      <c r="AN1587" s="153">
        <f t="shared" si="1365"/>
        <v>0</v>
      </c>
      <c r="AO1587" s="154">
        <f t="shared" si="1366"/>
        <v>0</v>
      </c>
      <c r="AP1587" s="150">
        <v>0</v>
      </c>
      <c r="AQ1587" s="201">
        <v>0</v>
      </c>
      <c r="AR1587" s="199">
        <v>0</v>
      </c>
      <c r="AS1587" s="150">
        <f t="shared" si="1379"/>
        <v>0</v>
      </c>
      <c r="AT1587" s="155"/>
      <c r="AU1587" s="156">
        <f t="shared" si="1361"/>
        <v>0</v>
      </c>
      <c r="AV1587" s="156">
        <f t="shared" si="1362"/>
        <v>0</v>
      </c>
      <c r="AW1587" s="157"/>
      <c r="AX1587" s="150">
        <v>0</v>
      </c>
      <c r="AY1587" s="150">
        <v>0</v>
      </c>
      <c r="AZ1587" s="150">
        <f t="shared" si="1360"/>
        <v>0</v>
      </c>
      <c r="BA1587" s="150">
        <v>0</v>
      </c>
      <c r="BB1587" s="210"/>
      <c r="BC1587" s="210"/>
      <c r="BD1587" s="210"/>
      <c r="BE1587" s="210"/>
      <c r="BF1587" s="210"/>
      <c r="BG1587" s="210"/>
      <c r="BH1587" s="217"/>
      <c r="BI1587" s="210"/>
      <c r="BJ1587" s="210"/>
      <c r="BK1587" s="210"/>
      <c r="BL1587" s="210"/>
      <c r="BM1587" s="208"/>
      <c r="BN1587" s="160"/>
      <c r="BO1587" s="161">
        <f t="shared" si="1374"/>
        <v>0</v>
      </c>
      <c r="BP1587" s="161"/>
    </row>
    <row r="1588" spans="1:68" ht="63.75">
      <c r="A1588" s="210"/>
      <c r="B1588" s="195" t="s">
        <v>8863</v>
      </c>
      <c r="C1588" s="196" t="s">
        <v>8864</v>
      </c>
      <c r="D1588" s="146" t="s">
        <v>4692</v>
      </c>
      <c r="E1588" s="196" t="s">
        <v>8864</v>
      </c>
      <c r="F1588" s="150">
        <v>0</v>
      </c>
      <c r="G1588" s="209">
        <v>0</v>
      </c>
      <c r="H1588" s="209">
        <v>0</v>
      </c>
      <c r="I1588" s="209">
        <v>0</v>
      </c>
      <c r="J1588" s="150">
        <v>0</v>
      </c>
      <c r="K1588" s="150">
        <v>0</v>
      </c>
      <c r="L1588" s="150">
        <f t="shared" si="1368"/>
        <v>0</v>
      </c>
      <c r="M1588" s="150">
        <v>0</v>
      </c>
      <c r="N1588" s="150">
        <v>0</v>
      </c>
      <c r="O1588" s="150">
        <v>0</v>
      </c>
      <c r="P1588" s="150">
        <v>0</v>
      </c>
      <c r="Q1588" s="150">
        <v>0</v>
      </c>
      <c r="R1588" s="313">
        <f t="shared" si="1375"/>
        <v>0</v>
      </c>
      <c r="S1588" s="150">
        <f t="shared" si="1367"/>
        <v>0</v>
      </c>
      <c r="T1588" s="150">
        <v>0</v>
      </c>
      <c r="U1588" s="150">
        <v>0</v>
      </c>
      <c r="V1588" s="199">
        <v>0</v>
      </c>
      <c r="W1588" s="150">
        <f t="shared" si="1376"/>
        <v>0</v>
      </c>
      <c r="X1588" s="150">
        <v>0</v>
      </c>
      <c r="Y1588" s="150">
        <v>0</v>
      </c>
      <c r="Z1588" s="150">
        <v>0</v>
      </c>
      <c r="AA1588" s="150">
        <f t="shared" si="1363"/>
        <v>0</v>
      </c>
      <c r="AB1588" s="150">
        <v>0</v>
      </c>
      <c r="AC1588" s="199">
        <v>0</v>
      </c>
      <c r="AD1588" s="150">
        <f t="shared" si="1377"/>
        <v>0</v>
      </c>
      <c r="AE1588" s="150">
        <v>0</v>
      </c>
      <c r="AF1588" s="169" t="s">
        <v>4680</v>
      </c>
      <c r="AG1588" s="201">
        <v>0</v>
      </c>
      <c r="AH1588" s="199">
        <v>0</v>
      </c>
      <c r="AI1588" s="150">
        <v>0</v>
      </c>
      <c r="AJ1588" s="169">
        <f t="shared" si="1364"/>
        <v>0</v>
      </c>
      <c r="AK1588" s="201">
        <v>0</v>
      </c>
      <c r="AL1588" s="199">
        <v>0</v>
      </c>
      <c r="AM1588" s="150">
        <f t="shared" si="1378"/>
        <v>0</v>
      </c>
      <c r="AN1588" s="153">
        <f t="shared" si="1365"/>
        <v>0</v>
      </c>
      <c r="AO1588" s="154">
        <f t="shared" si="1366"/>
        <v>0</v>
      </c>
      <c r="AP1588" s="150">
        <v>0</v>
      </c>
      <c r="AQ1588" s="201">
        <v>0</v>
      </c>
      <c r="AR1588" s="199">
        <v>0</v>
      </c>
      <c r="AS1588" s="150">
        <f t="shared" si="1379"/>
        <v>0</v>
      </c>
      <c r="AT1588" s="155"/>
      <c r="AU1588" s="156">
        <f t="shared" si="1361"/>
        <v>0</v>
      </c>
      <c r="AV1588" s="156">
        <f t="shared" si="1362"/>
        <v>0</v>
      </c>
      <c r="AW1588" s="157"/>
      <c r="AX1588" s="150">
        <v>0</v>
      </c>
      <c r="AY1588" s="150">
        <v>0</v>
      </c>
      <c r="AZ1588" s="150">
        <f t="shared" si="1360"/>
        <v>0</v>
      </c>
      <c r="BA1588" s="150">
        <v>0</v>
      </c>
      <c r="BB1588" s="210"/>
      <c r="BC1588" s="210"/>
      <c r="BD1588" s="210"/>
      <c r="BE1588" s="210"/>
      <c r="BF1588" s="210"/>
      <c r="BG1588" s="210"/>
      <c r="BH1588" s="217"/>
      <c r="BI1588" s="210"/>
      <c r="BJ1588" s="210"/>
      <c r="BK1588" s="210"/>
      <c r="BL1588" s="210"/>
      <c r="BM1588" s="208"/>
      <c r="BN1588" s="160"/>
      <c r="BO1588" s="161">
        <f t="shared" si="1374"/>
        <v>0</v>
      </c>
      <c r="BP1588" s="161"/>
    </row>
    <row r="1589" spans="1:68" ht="63.75">
      <c r="A1589" s="206" t="s">
        <v>583</v>
      </c>
      <c r="B1589" s="195" t="s">
        <v>8865</v>
      </c>
      <c r="C1589" s="196" t="s">
        <v>8866</v>
      </c>
      <c r="D1589" s="146" t="s">
        <v>4692</v>
      </c>
      <c r="E1589" s="196" t="s">
        <v>8866</v>
      </c>
      <c r="F1589" s="150">
        <v>0</v>
      </c>
      <c r="G1589" s="209">
        <v>0</v>
      </c>
      <c r="H1589" s="209">
        <v>0</v>
      </c>
      <c r="I1589" s="209">
        <v>0</v>
      </c>
      <c r="J1589" s="150">
        <v>0</v>
      </c>
      <c r="K1589" s="150">
        <v>0</v>
      </c>
      <c r="L1589" s="150">
        <f t="shared" si="1368"/>
        <v>0</v>
      </c>
      <c r="M1589" s="150">
        <v>0</v>
      </c>
      <c r="N1589" s="150">
        <v>0</v>
      </c>
      <c r="O1589" s="150">
        <v>0</v>
      </c>
      <c r="P1589" s="150">
        <v>0</v>
      </c>
      <c r="Q1589" s="150">
        <v>0</v>
      </c>
      <c r="R1589" s="313">
        <f t="shared" si="1375"/>
        <v>0</v>
      </c>
      <c r="S1589" s="150">
        <f t="shared" si="1367"/>
        <v>0</v>
      </c>
      <c r="T1589" s="150">
        <v>0</v>
      </c>
      <c r="U1589" s="150">
        <v>0</v>
      </c>
      <c r="V1589" s="199">
        <v>0</v>
      </c>
      <c r="W1589" s="150">
        <f t="shared" si="1376"/>
        <v>0</v>
      </c>
      <c r="X1589" s="150">
        <v>0</v>
      </c>
      <c r="Y1589" s="150">
        <v>0</v>
      </c>
      <c r="Z1589" s="150">
        <v>0</v>
      </c>
      <c r="AA1589" s="150">
        <f t="shared" si="1363"/>
        <v>0</v>
      </c>
      <c r="AB1589" s="150">
        <v>0</v>
      </c>
      <c r="AC1589" s="199">
        <v>0</v>
      </c>
      <c r="AD1589" s="150">
        <f t="shared" si="1377"/>
        <v>0</v>
      </c>
      <c r="AE1589" s="150">
        <v>0</v>
      </c>
      <c r="AF1589" s="169" t="s">
        <v>4680</v>
      </c>
      <c r="AG1589" s="201">
        <v>0</v>
      </c>
      <c r="AH1589" s="199">
        <v>0</v>
      </c>
      <c r="AI1589" s="150">
        <v>0</v>
      </c>
      <c r="AJ1589" s="169">
        <f t="shared" si="1364"/>
        <v>0</v>
      </c>
      <c r="AK1589" s="201">
        <v>0</v>
      </c>
      <c r="AL1589" s="199">
        <v>0</v>
      </c>
      <c r="AM1589" s="150">
        <f t="shared" si="1378"/>
        <v>0</v>
      </c>
      <c r="AN1589" s="153">
        <f t="shared" si="1365"/>
        <v>0</v>
      </c>
      <c r="AO1589" s="154">
        <f t="shared" si="1366"/>
        <v>0</v>
      </c>
      <c r="AP1589" s="150">
        <v>0</v>
      </c>
      <c r="AQ1589" s="201">
        <v>0</v>
      </c>
      <c r="AR1589" s="199">
        <v>0</v>
      </c>
      <c r="AS1589" s="150">
        <f t="shared" si="1379"/>
        <v>0</v>
      </c>
      <c r="AT1589" s="155"/>
      <c r="AU1589" s="156">
        <f t="shared" si="1361"/>
        <v>0</v>
      </c>
      <c r="AV1589" s="156">
        <f t="shared" si="1362"/>
        <v>0</v>
      </c>
      <c r="AW1589" s="157"/>
      <c r="AX1589" s="150">
        <v>0</v>
      </c>
      <c r="AY1589" s="150">
        <v>0</v>
      </c>
      <c r="AZ1589" s="150">
        <f t="shared" si="1360"/>
        <v>0</v>
      </c>
      <c r="BA1589" s="150">
        <v>0</v>
      </c>
      <c r="BB1589" s="205">
        <v>5</v>
      </c>
      <c r="BC1589" s="206" t="s">
        <v>739</v>
      </c>
      <c r="BD1589" s="206" t="s">
        <v>632</v>
      </c>
      <c r="BE1589" s="194" t="s">
        <v>647</v>
      </c>
      <c r="BF1589" s="206" t="s">
        <v>766</v>
      </c>
      <c r="BG1589" s="196" t="s">
        <v>8866</v>
      </c>
      <c r="BH1589" s="217">
        <f>AS1589</f>
        <v>0</v>
      </c>
      <c r="BI1589" s="210"/>
      <c r="BJ1589" s="206" t="s">
        <v>8804</v>
      </c>
      <c r="BK1589" s="206" t="s">
        <v>583</v>
      </c>
      <c r="BL1589" s="207" t="s">
        <v>8805</v>
      </c>
      <c r="BM1589" s="208">
        <f>BH1589</f>
        <v>0</v>
      </c>
      <c r="BN1589" s="160"/>
      <c r="BO1589" s="161">
        <f t="shared" si="1374"/>
        <v>0</v>
      </c>
      <c r="BP1589" s="161"/>
    </row>
    <row r="1590" spans="1:68" ht="38.25">
      <c r="A1590" s="256" t="s">
        <v>584</v>
      </c>
      <c r="B1590" s="184"/>
      <c r="C1590" s="185" t="s">
        <v>89</v>
      </c>
      <c r="D1590" s="146" t="s">
        <v>4692</v>
      </c>
      <c r="E1590" s="185" t="s">
        <v>89</v>
      </c>
      <c r="F1590" s="188">
        <v>0</v>
      </c>
      <c r="G1590" s="187">
        <v>0</v>
      </c>
      <c r="H1590" s="187"/>
      <c r="I1590" s="187">
        <v>0</v>
      </c>
      <c r="J1590" s="188">
        <f>J1591</f>
        <v>0</v>
      </c>
      <c r="K1590" s="188">
        <f>K1591</f>
        <v>0</v>
      </c>
      <c r="L1590" s="188">
        <f t="shared" si="1368"/>
        <v>0</v>
      </c>
      <c r="M1590" s="188">
        <v>0</v>
      </c>
      <c r="N1590" s="188">
        <v>0</v>
      </c>
      <c r="O1590" s="188">
        <v>0</v>
      </c>
      <c r="P1590" s="299">
        <f t="shared" ref="P1590:AS1590" si="1380">P1591</f>
        <v>0</v>
      </c>
      <c r="Q1590" s="299">
        <f t="shared" si="1380"/>
        <v>0</v>
      </c>
      <c r="R1590" s="299">
        <f t="shared" si="1380"/>
        <v>0</v>
      </c>
      <c r="S1590" s="150">
        <f t="shared" si="1367"/>
        <v>0</v>
      </c>
      <c r="T1590" s="150"/>
      <c r="U1590" s="299">
        <f t="shared" ref="U1590:W1590" si="1381">U1591</f>
        <v>0</v>
      </c>
      <c r="V1590" s="226">
        <f t="shared" si="1381"/>
        <v>0</v>
      </c>
      <c r="W1590" s="299">
        <f t="shared" si="1381"/>
        <v>0</v>
      </c>
      <c r="X1590" s="299">
        <v>0</v>
      </c>
      <c r="Y1590" s="299">
        <v>0</v>
      </c>
      <c r="Z1590" s="299">
        <v>0</v>
      </c>
      <c r="AA1590" s="299">
        <f t="shared" si="1363"/>
        <v>0</v>
      </c>
      <c r="AB1590" s="299">
        <v>0</v>
      </c>
      <c r="AC1590" s="226">
        <v>0</v>
      </c>
      <c r="AD1590" s="299">
        <f t="shared" si="1380"/>
        <v>0</v>
      </c>
      <c r="AE1590" s="299">
        <v>0</v>
      </c>
      <c r="AF1590" s="169" t="s">
        <v>4680</v>
      </c>
      <c r="AG1590" s="301">
        <v>0</v>
      </c>
      <c r="AH1590" s="226">
        <v>0</v>
      </c>
      <c r="AI1590" s="299">
        <v>0</v>
      </c>
      <c r="AJ1590" s="169">
        <f t="shared" si="1364"/>
        <v>0</v>
      </c>
      <c r="AK1590" s="301">
        <v>0</v>
      </c>
      <c r="AL1590" s="226">
        <v>0</v>
      </c>
      <c r="AM1590" s="299">
        <f t="shared" si="1380"/>
        <v>0</v>
      </c>
      <c r="AN1590" s="153">
        <f t="shared" si="1365"/>
        <v>0</v>
      </c>
      <c r="AO1590" s="154">
        <f t="shared" si="1366"/>
        <v>0</v>
      </c>
      <c r="AP1590" s="299">
        <v>0</v>
      </c>
      <c r="AQ1590" s="301">
        <v>0</v>
      </c>
      <c r="AR1590" s="226">
        <f t="shared" si="1380"/>
        <v>0</v>
      </c>
      <c r="AS1590" s="299">
        <f t="shared" si="1380"/>
        <v>0</v>
      </c>
      <c r="AT1590" s="155"/>
      <c r="AU1590" s="156">
        <f t="shared" si="1361"/>
        <v>0</v>
      </c>
      <c r="AV1590" s="156">
        <f t="shared" si="1362"/>
        <v>0</v>
      </c>
      <c r="AW1590" s="157"/>
      <c r="AX1590" s="150">
        <v>0</v>
      </c>
      <c r="AY1590" s="299">
        <f t="shared" ref="AY1590:BA1590" si="1382">AY1591</f>
        <v>0</v>
      </c>
      <c r="AZ1590" s="299">
        <f t="shared" si="1382"/>
        <v>0</v>
      </c>
      <c r="BA1590" s="299">
        <f t="shared" si="1382"/>
        <v>0</v>
      </c>
      <c r="BB1590" s="192">
        <v>5</v>
      </c>
      <c r="BC1590" s="256" t="s">
        <v>739</v>
      </c>
      <c r="BD1590" s="256" t="s">
        <v>632</v>
      </c>
      <c r="BE1590" s="183" t="s">
        <v>671</v>
      </c>
      <c r="BF1590" s="256" t="s">
        <v>630</v>
      </c>
      <c r="BG1590" s="185" t="s">
        <v>89</v>
      </c>
      <c r="BH1590" s="215">
        <f>BH1591</f>
        <v>0</v>
      </c>
      <c r="BI1590" s="192"/>
      <c r="BJ1590" s="256" t="s">
        <v>8867</v>
      </c>
      <c r="BK1590" s="256" t="s">
        <v>584</v>
      </c>
      <c r="BL1590" s="238" t="s">
        <v>8868</v>
      </c>
      <c r="BM1590" s="338">
        <f>BM1591</f>
        <v>0</v>
      </c>
      <c r="BN1590" s="160"/>
      <c r="BO1590" s="161">
        <f t="shared" si="1374"/>
        <v>0</v>
      </c>
      <c r="BP1590" s="161"/>
    </row>
    <row r="1591" spans="1:68" ht="25.5">
      <c r="A1591" s="206" t="s">
        <v>584</v>
      </c>
      <c r="B1591" s="195" t="s">
        <v>8869</v>
      </c>
      <c r="C1591" s="196" t="s">
        <v>8870</v>
      </c>
      <c r="D1591" s="146" t="s">
        <v>4692</v>
      </c>
      <c r="E1591" s="196" t="s">
        <v>8870</v>
      </c>
      <c r="F1591" s="150">
        <v>0</v>
      </c>
      <c r="G1591" s="209">
        <v>259743.35999999999</v>
      </c>
      <c r="H1591" s="209">
        <v>55138.687753686223</v>
      </c>
      <c r="I1591" s="209">
        <v>314882.0477536862</v>
      </c>
      <c r="J1591" s="150">
        <v>0</v>
      </c>
      <c r="K1591" s="150">
        <v>0</v>
      </c>
      <c r="L1591" s="150">
        <f t="shared" si="1368"/>
        <v>0</v>
      </c>
      <c r="M1591" s="150">
        <v>0</v>
      </c>
      <c r="N1591" s="150">
        <v>0</v>
      </c>
      <c r="O1591" s="150">
        <v>0</v>
      </c>
      <c r="P1591" s="150">
        <v>0</v>
      </c>
      <c r="Q1591" s="150">
        <v>0</v>
      </c>
      <c r="R1591" s="313">
        <f>P1591+Q1591</f>
        <v>0</v>
      </c>
      <c r="S1591" s="150">
        <f t="shared" si="1367"/>
        <v>0</v>
      </c>
      <c r="T1591" s="150">
        <v>0</v>
      </c>
      <c r="U1591" s="150">
        <v>0</v>
      </c>
      <c r="V1591" s="199">
        <v>0</v>
      </c>
      <c r="W1591" s="150">
        <f>U1591+V1591</f>
        <v>0</v>
      </c>
      <c r="X1591" s="150">
        <v>0</v>
      </c>
      <c r="Y1591" s="150">
        <v>0</v>
      </c>
      <c r="Z1591" s="150">
        <v>0</v>
      </c>
      <c r="AA1591" s="150">
        <f t="shared" si="1363"/>
        <v>0</v>
      </c>
      <c r="AB1591" s="150">
        <v>0</v>
      </c>
      <c r="AC1591" s="199">
        <v>0</v>
      </c>
      <c r="AD1591" s="150">
        <f>AB1591+AC1591</f>
        <v>0</v>
      </c>
      <c r="AE1591" s="150">
        <v>0</v>
      </c>
      <c r="AF1591" s="169" t="s">
        <v>4680</v>
      </c>
      <c r="AG1591" s="201">
        <v>0</v>
      </c>
      <c r="AH1591" s="199">
        <v>0</v>
      </c>
      <c r="AI1591" s="150">
        <v>0</v>
      </c>
      <c r="AJ1591" s="169">
        <f t="shared" si="1364"/>
        <v>0</v>
      </c>
      <c r="AK1591" s="201">
        <v>0</v>
      </c>
      <c r="AL1591" s="199">
        <v>0</v>
      </c>
      <c r="AM1591" s="150">
        <f>AK1591+AL1591</f>
        <v>0</v>
      </c>
      <c r="AN1591" s="153">
        <f t="shared" si="1365"/>
        <v>0</v>
      </c>
      <c r="AO1591" s="154">
        <f t="shared" si="1366"/>
        <v>0</v>
      </c>
      <c r="AP1591" s="150">
        <v>0</v>
      </c>
      <c r="AQ1591" s="201">
        <v>0</v>
      </c>
      <c r="AR1591" s="199">
        <v>0</v>
      </c>
      <c r="AS1591" s="150">
        <f>AQ1591+AR1591</f>
        <v>0</v>
      </c>
      <c r="AT1591" s="155"/>
      <c r="AU1591" s="156">
        <f t="shared" si="1361"/>
        <v>0</v>
      </c>
      <c r="AV1591" s="156">
        <f t="shared" si="1362"/>
        <v>0</v>
      </c>
      <c r="AW1591" s="157"/>
      <c r="AX1591" s="150">
        <v>0</v>
      </c>
      <c r="AY1591" s="150">
        <v>0</v>
      </c>
      <c r="AZ1591" s="150"/>
      <c r="BA1591" s="150">
        <f>AY1591+AZ1591</f>
        <v>0</v>
      </c>
      <c r="BB1591" s="202">
        <v>5</v>
      </c>
      <c r="BC1591" s="202" t="s">
        <v>739</v>
      </c>
      <c r="BD1591" s="202" t="s">
        <v>632</v>
      </c>
      <c r="BE1591" s="202" t="s">
        <v>671</v>
      </c>
      <c r="BF1591" s="202" t="s">
        <v>632</v>
      </c>
      <c r="BG1591" s="207" t="s">
        <v>89</v>
      </c>
      <c r="BH1591" s="216">
        <f>AS1591</f>
        <v>0</v>
      </c>
      <c r="BI1591" s="205"/>
      <c r="BJ1591" s="206" t="s">
        <v>8867</v>
      </c>
      <c r="BK1591" s="206" t="s">
        <v>584</v>
      </c>
      <c r="BL1591" s="207" t="s">
        <v>8868</v>
      </c>
      <c r="BM1591" s="208">
        <f>BH1591</f>
        <v>0</v>
      </c>
      <c r="BN1591" s="160"/>
      <c r="BO1591" s="161">
        <f t="shared" si="1374"/>
        <v>0</v>
      </c>
      <c r="BP1591" s="161"/>
    </row>
    <row r="1592" spans="1:68" ht="25.5">
      <c r="A1592" s="255" t="s">
        <v>585</v>
      </c>
      <c r="B1592" s="174"/>
      <c r="C1592" s="182" t="s">
        <v>90</v>
      </c>
      <c r="D1592" s="146" t="s">
        <v>4692</v>
      </c>
      <c r="E1592" s="182" t="s">
        <v>90</v>
      </c>
      <c r="F1592" s="176">
        <v>314881.36</v>
      </c>
      <c r="G1592" s="351">
        <v>156828.85999999999</v>
      </c>
      <c r="H1592" s="351">
        <v>43574.342374948981</v>
      </c>
      <c r="I1592" s="351">
        <v>200403.20237494897</v>
      </c>
      <c r="J1592" s="176">
        <f>J1593+J1610+J1636</f>
        <v>24348.190000000002</v>
      </c>
      <c r="K1592" s="176">
        <f>K1593+K1610+K1636</f>
        <v>4355.6899999999996</v>
      </c>
      <c r="L1592" s="176">
        <f t="shared" si="1368"/>
        <v>28703.88</v>
      </c>
      <c r="M1592" s="178">
        <v>49708.600000000006</v>
      </c>
      <c r="N1592" s="178">
        <v>24051.5395539204</v>
      </c>
      <c r="O1592" s="178">
        <v>73760.13955392041</v>
      </c>
      <c r="P1592" s="221">
        <f t="shared" ref="P1592:R1592" si="1383">P1593+P1610+P1636</f>
        <v>74589.299999999988</v>
      </c>
      <c r="Q1592" s="221">
        <f t="shared" si="1383"/>
        <v>14560.230698838763</v>
      </c>
      <c r="R1592" s="221">
        <f t="shared" si="1383"/>
        <v>89149.53069883876</v>
      </c>
      <c r="S1592" s="150">
        <f t="shared" si="1367"/>
        <v>118866.04093178501</v>
      </c>
      <c r="T1592" s="347">
        <f>T1593+T1610+T1636</f>
        <v>116449.85</v>
      </c>
      <c r="U1592" s="221">
        <f t="shared" ref="U1592:W1592" si="1384">U1593+U1610+U1636</f>
        <v>102226.67000000001</v>
      </c>
      <c r="V1592" s="222">
        <f t="shared" si="1384"/>
        <v>12257.690931785015</v>
      </c>
      <c r="W1592" s="221">
        <f t="shared" si="1384"/>
        <v>114484.36093178502</v>
      </c>
      <c r="X1592" s="221">
        <v>102226.67000000001</v>
      </c>
      <c r="Y1592" s="221">
        <v>12257.690931785015</v>
      </c>
      <c r="Z1592" s="221">
        <v>114484.36093178502</v>
      </c>
      <c r="AA1592" s="221">
        <f t="shared" si="1363"/>
        <v>3135.1290682149847</v>
      </c>
      <c r="AB1592" s="221">
        <v>102226.67000000001</v>
      </c>
      <c r="AC1592" s="222">
        <v>15392.82</v>
      </c>
      <c r="AD1592" s="221">
        <f t="shared" ref="AD1592" si="1385">AD1593+AD1610+AD1636</f>
        <v>117619.49</v>
      </c>
      <c r="AE1592" s="221">
        <v>117619.49</v>
      </c>
      <c r="AF1592" s="169" t="s">
        <v>4680</v>
      </c>
      <c r="AG1592" s="223">
        <v>102226.67000000001</v>
      </c>
      <c r="AH1592" s="222">
        <v>15392.82</v>
      </c>
      <c r="AI1592" s="221">
        <v>117619.49</v>
      </c>
      <c r="AJ1592" s="169">
        <f t="shared" si="1364"/>
        <v>0</v>
      </c>
      <c r="AK1592" s="223">
        <v>102226.67000000001</v>
      </c>
      <c r="AL1592" s="222">
        <v>15392.82</v>
      </c>
      <c r="AM1592" s="221">
        <f t="shared" ref="AM1592" si="1386">AM1593+AM1610+AM1636</f>
        <v>117619.49</v>
      </c>
      <c r="AN1592" s="153">
        <f t="shared" si="1365"/>
        <v>-1169.6399999999994</v>
      </c>
      <c r="AO1592" s="154">
        <f t="shared" si="1366"/>
        <v>-1169.6399999999994</v>
      </c>
      <c r="AP1592" s="221">
        <v>117619.49</v>
      </c>
      <c r="AQ1592" s="223">
        <v>116449.85</v>
      </c>
      <c r="AR1592" s="222">
        <f t="shared" ref="AR1592:AS1592" si="1387">AR1593+AR1610+AR1636</f>
        <v>0</v>
      </c>
      <c r="AS1592" s="221">
        <f t="shared" si="1387"/>
        <v>116449.85</v>
      </c>
      <c r="AT1592" s="155"/>
      <c r="AU1592" s="156">
        <f t="shared" si="1361"/>
        <v>0</v>
      </c>
      <c r="AV1592" s="156">
        <f t="shared" si="1362"/>
        <v>3135.1290682149847</v>
      </c>
      <c r="AW1592" s="157"/>
      <c r="AX1592" s="150">
        <v>114484.36093178502</v>
      </c>
      <c r="AY1592" s="221">
        <f t="shared" ref="AY1592:BA1592" si="1388">AY1593+AY1610+AY1636</f>
        <v>58030.07</v>
      </c>
      <c r="AZ1592" s="221">
        <f t="shared" si="1388"/>
        <v>89490.209107840798</v>
      </c>
      <c r="BA1592" s="221">
        <f t="shared" si="1388"/>
        <v>147520.27910784082</v>
      </c>
      <c r="BB1592" s="254">
        <v>5</v>
      </c>
      <c r="BC1592" s="255" t="s">
        <v>739</v>
      </c>
      <c r="BD1592" s="255" t="s">
        <v>647</v>
      </c>
      <c r="BE1592" s="173" t="s">
        <v>630</v>
      </c>
      <c r="BF1592" s="255" t="s">
        <v>630</v>
      </c>
      <c r="BG1592" s="182" t="s">
        <v>90</v>
      </c>
      <c r="BH1592" s="224">
        <f>BH1593+BH1610+BH1636</f>
        <v>116449.85</v>
      </c>
      <c r="BI1592" s="254"/>
      <c r="BJ1592" s="255" t="s">
        <v>8871</v>
      </c>
      <c r="BK1592" s="255" t="s">
        <v>585</v>
      </c>
      <c r="BL1592" s="182" t="s">
        <v>8872</v>
      </c>
      <c r="BM1592" s="337">
        <f>BM1593+BM1610+BM1636</f>
        <v>116449.85</v>
      </c>
      <c r="BN1592" s="160"/>
      <c r="BO1592" s="161">
        <f t="shared" si="1374"/>
        <v>0</v>
      </c>
      <c r="BP1592" s="161"/>
    </row>
    <row r="1593" spans="1:68" ht="38.25">
      <c r="A1593" s="256" t="s">
        <v>586</v>
      </c>
      <c r="B1593" s="184"/>
      <c r="C1593" s="185" t="s">
        <v>91</v>
      </c>
      <c r="D1593" s="146" t="s">
        <v>4692</v>
      </c>
      <c r="E1593" s="185" t="s">
        <v>91</v>
      </c>
      <c r="F1593" s="188">
        <v>200402.86</v>
      </c>
      <c r="G1593" s="187">
        <v>112929.68</v>
      </c>
      <c r="H1593" s="187">
        <v>-5729.38</v>
      </c>
      <c r="I1593" s="187">
        <v>107200.29999999999</v>
      </c>
      <c r="J1593" s="188">
        <f>SUM(J1594:J1609)</f>
        <v>8083.63</v>
      </c>
      <c r="K1593" s="188">
        <f>SUM(K1594:K1609)</f>
        <v>4355.6899999999996</v>
      </c>
      <c r="L1593" s="188">
        <f t="shared" si="1368"/>
        <v>12439.32</v>
      </c>
      <c r="M1593" s="188">
        <v>17021.920000000002</v>
      </c>
      <c r="N1593" s="188">
        <v>7608.3764890845778</v>
      </c>
      <c r="O1593" s="188">
        <v>24630.29648908458</v>
      </c>
      <c r="P1593" s="299">
        <f t="shared" ref="P1593:R1593" si="1389">SUM(P1594:P1609)</f>
        <v>25559.279999999999</v>
      </c>
      <c r="Q1593" s="299">
        <f t="shared" si="1389"/>
        <v>10587.730698838763</v>
      </c>
      <c r="R1593" s="299">
        <f t="shared" si="1389"/>
        <v>36147.010698838763</v>
      </c>
      <c r="S1593" s="150">
        <f t="shared" si="1367"/>
        <v>48196.014265118356</v>
      </c>
      <c r="T1593" s="347">
        <f>SUM(T1594:T1609)</f>
        <v>50761.759999999995</v>
      </c>
      <c r="U1593" s="299">
        <f t="shared" ref="U1593:W1593" si="1390">SUM(U1594:U1609)</f>
        <v>36853.31</v>
      </c>
      <c r="V1593" s="226">
        <f t="shared" si="1390"/>
        <v>11942.960931785015</v>
      </c>
      <c r="W1593" s="299">
        <f t="shared" si="1390"/>
        <v>48796.270931785017</v>
      </c>
      <c r="X1593" s="299">
        <v>36853.31</v>
      </c>
      <c r="Y1593" s="299">
        <v>11942.960931785015</v>
      </c>
      <c r="Z1593" s="299">
        <v>48796.270931785017</v>
      </c>
      <c r="AA1593" s="299">
        <f t="shared" si="1363"/>
        <v>3135.1290682149775</v>
      </c>
      <c r="AB1593" s="299">
        <v>36853.31</v>
      </c>
      <c r="AC1593" s="226">
        <v>15078.09</v>
      </c>
      <c r="AD1593" s="299">
        <f t="shared" ref="AD1593" si="1391">SUM(AD1594:AD1609)</f>
        <v>51931.399999999994</v>
      </c>
      <c r="AE1593" s="299">
        <v>51931.399999999994</v>
      </c>
      <c r="AF1593" s="169" t="s">
        <v>4680</v>
      </c>
      <c r="AG1593" s="301">
        <v>36853.31</v>
      </c>
      <c r="AH1593" s="226">
        <v>15078.09</v>
      </c>
      <c r="AI1593" s="299">
        <v>51931.399999999994</v>
      </c>
      <c r="AJ1593" s="169">
        <f t="shared" si="1364"/>
        <v>0</v>
      </c>
      <c r="AK1593" s="301">
        <v>36853.31</v>
      </c>
      <c r="AL1593" s="226">
        <v>15078.09</v>
      </c>
      <c r="AM1593" s="299">
        <f t="shared" ref="AM1593" si="1392">SUM(AM1594:AM1609)</f>
        <v>51931.399999999994</v>
      </c>
      <c r="AN1593" s="153">
        <f t="shared" si="1365"/>
        <v>-1169.6399999999994</v>
      </c>
      <c r="AO1593" s="154">
        <f t="shared" si="1366"/>
        <v>-1169.6399999999994</v>
      </c>
      <c r="AP1593" s="299">
        <v>51931.399999999994</v>
      </c>
      <c r="AQ1593" s="301">
        <v>50761.759999999995</v>
      </c>
      <c r="AR1593" s="226">
        <f t="shared" ref="AR1593:AS1593" si="1393">SUM(AR1594:AR1609)</f>
        <v>0</v>
      </c>
      <c r="AS1593" s="299">
        <f t="shared" si="1393"/>
        <v>50761.759999999995</v>
      </c>
      <c r="AT1593" s="155"/>
      <c r="AU1593" s="156">
        <f t="shared" si="1361"/>
        <v>0</v>
      </c>
      <c r="AV1593" s="156">
        <f t="shared" si="1362"/>
        <v>3135.1290682149775</v>
      </c>
      <c r="AW1593" s="157"/>
      <c r="AX1593" s="150">
        <v>48796.270931785017</v>
      </c>
      <c r="AY1593" s="299">
        <f t="shared" ref="AY1593:BA1593" si="1394">SUM(AY1594:AY1609)</f>
        <v>19895.61</v>
      </c>
      <c r="AZ1593" s="299">
        <f t="shared" si="1394"/>
        <v>29364.982978169155</v>
      </c>
      <c r="BA1593" s="299">
        <f t="shared" si="1394"/>
        <v>49260.592978169159</v>
      </c>
      <c r="BB1593" s="192">
        <v>5</v>
      </c>
      <c r="BC1593" s="256" t="s">
        <v>739</v>
      </c>
      <c r="BD1593" s="256" t="s">
        <v>647</v>
      </c>
      <c r="BE1593" s="256" t="s">
        <v>632</v>
      </c>
      <c r="BF1593" s="256" t="s">
        <v>630</v>
      </c>
      <c r="BG1593" s="185" t="s">
        <v>91</v>
      </c>
      <c r="BH1593" s="215">
        <f>BH1594+BH1595+BH1600+BH1601+BH1606+BH1607+BH1608+BH1609</f>
        <v>50761.759999999995</v>
      </c>
      <c r="BI1593" s="192"/>
      <c r="BJ1593" s="256" t="s">
        <v>8873</v>
      </c>
      <c r="BK1593" s="256" t="s">
        <v>586</v>
      </c>
      <c r="BL1593" s="238" t="s">
        <v>8874</v>
      </c>
      <c r="BM1593" s="338">
        <f>BM1594+BM1595+BM1600+BM1601+BM1606+BM1607+BM1608+BM1609</f>
        <v>50761.759999999995</v>
      </c>
      <c r="BN1593" s="160"/>
      <c r="BO1593" s="161">
        <f t="shared" si="1374"/>
        <v>0</v>
      </c>
      <c r="BP1593" s="161"/>
    </row>
    <row r="1594" spans="1:68" ht="51">
      <c r="A1594" s="206" t="s">
        <v>586</v>
      </c>
      <c r="B1594" s="195" t="s">
        <v>8875</v>
      </c>
      <c r="C1594" s="196" t="s">
        <v>8876</v>
      </c>
      <c r="D1594" s="146" t="s">
        <v>4692</v>
      </c>
      <c r="E1594" s="196" t="s">
        <v>8876</v>
      </c>
      <c r="F1594" s="150">
        <v>107200.68</v>
      </c>
      <c r="G1594" s="209">
        <v>29534.81</v>
      </c>
      <c r="H1594" s="209">
        <v>8233.9103596428558</v>
      </c>
      <c r="I1594" s="209">
        <v>37768.720359642859</v>
      </c>
      <c r="J1594" s="150">
        <v>6241.68</v>
      </c>
      <c r="K1594" s="150">
        <v>421.66999999999996</v>
      </c>
      <c r="L1594" s="150">
        <f t="shared" si="1368"/>
        <v>6663.35</v>
      </c>
      <c r="M1594" s="150">
        <v>12543.78</v>
      </c>
      <c r="N1594" s="150">
        <v>849.71794000000045</v>
      </c>
      <c r="O1594" s="150">
        <v>13393.497940000001</v>
      </c>
      <c r="P1594" s="150">
        <v>18815.669999999998</v>
      </c>
      <c r="Q1594" s="150">
        <v>1342.54</v>
      </c>
      <c r="R1594" s="313">
        <f t="shared" ref="R1594:R1609" si="1395">P1594+Q1594</f>
        <v>20158.21</v>
      </c>
      <c r="S1594" s="150">
        <f t="shared" si="1367"/>
        <v>26877.613333333331</v>
      </c>
      <c r="T1594" s="150">
        <v>26248.3</v>
      </c>
      <c r="U1594" s="150">
        <v>27178.19</v>
      </c>
      <c r="V1594" s="199">
        <v>0</v>
      </c>
      <c r="W1594" s="150">
        <f t="shared" ref="W1594:W1609" si="1396">U1594+V1594</f>
        <v>27178.19</v>
      </c>
      <c r="X1594" s="150">
        <v>27178.19</v>
      </c>
      <c r="Y1594" s="150">
        <v>0</v>
      </c>
      <c r="Z1594" s="150">
        <v>27178.19</v>
      </c>
      <c r="AA1594" s="150">
        <f t="shared" si="1363"/>
        <v>-929.88999999999942</v>
      </c>
      <c r="AB1594" s="150">
        <v>27178.19</v>
      </c>
      <c r="AC1594" s="199">
        <v>-929.89</v>
      </c>
      <c r="AD1594" s="150">
        <f t="shared" ref="AD1594:AD1609" si="1397">AB1594+AC1594</f>
        <v>26248.3</v>
      </c>
      <c r="AE1594" s="150">
        <v>26248.3</v>
      </c>
      <c r="AF1594" s="169" t="s">
        <v>4680</v>
      </c>
      <c r="AG1594" s="201">
        <v>27178.19</v>
      </c>
      <c r="AH1594" s="199">
        <v>-929.89</v>
      </c>
      <c r="AI1594" s="150">
        <v>26248.3</v>
      </c>
      <c r="AJ1594" s="169">
        <f t="shared" si="1364"/>
        <v>0</v>
      </c>
      <c r="AK1594" s="201">
        <v>27178.19</v>
      </c>
      <c r="AL1594" s="199">
        <v>-929.89</v>
      </c>
      <c r="AM1594" s="150">
        <f t="shared" ref="AM1594:AM1609" si="1398">AK1594+AL1594</f>
        <v>26248.3</v>
      </c>
      <c r="AN1594" s="153">
        <f t="shared" si="1365"/>
        <v>0</v>
      </c>
      <c r="AO1594" s="154">
        <f t="shared" si="1366"/>
        <v>0</v>
      </c>
      <c r="AP1594" s="150">
        <v>26248.3</v>
      </c>
      <c r="AQ1594" s="201">
        <v>26248.3</v>
      </c>
      <c r="AR1594" s="199"/>
      <c r="AS1594" s="150">
        <f t="shared" ref="AS1594:AS1609" si="1399">AQ1594+AR1594</f>
        <v>26248.3</v>
      </c>
      <c r="AT1594" s="155"/>
      <c r="AU1594" s="156">
        <f t="shared" si="1361"/>
        <v>0</v>
      </c>
      <c r="AV1594" s="156">
        <f t="shared" si="1362"/>
        <v>-929.88999999999942</v>
      </c>
      <c r="AW1594" s="157"/>
      <c r="AX1594" s="150">
        <v>27178.19</v>
      </c>
      <c r="AY1594" s="150">
        <v>14634.41</v>
      </c>
      <c r="AZ1594" s="150">
        <f>BA1594-AY1594</f>
        <v>12152.585880000002</v>
      </c>
      <c r="BA1594" s="150">
        <v>26786.995880000002</v>
      </c>
      <c r="BB1594" s="202">
        <v>5</v>
      </c>
      <c r="BC1594" s="202" t="s">
        <v>739</v>
      </c>
      <c r="BD1594" s="202" t="s">
        <v>647</v>
      </c>
      <c r="BE1594" s="202" t="s">
        <v>632</v>
      </c>
      <c r="BF1594" s="202" t="s">
        <v>632</v>
      </c>
      <c r="BG1594" s="231" t="s">
        <v>8877</v>
      </c>
      <c r="BH1594" s="216">
        <f>AS1594</f>
        <v>26248.3</v>
      </c>
      <c r="BI1594" s="205"/>
      <c r="BJ1594" s="206" t="s">
        <v>8873</v>
      </c>
      <c r="BK1594" s="206" t="s">
        <v>586</v>
      </c>
      <c r="BL1594" s="207" t="s">
        <v>8874</v>
      </c>
      <c r="BM1594" s="208">
        <f>BH1594</f>
        <v>26248.3</v>
      </c>
      <c r="BN1594" s="160"/>
      <c r="BO1594" s="161">
        <f t="shared" si="1374"/>
        <v>0</v>
      </c>
      <c r="BP1594" s="161"/>
    </row>
    <row r="1595" spans="1:68" ht="38.25">
      <c r="A1595" s="206" t="s">
        <v>586</v>
      </c>
      <c r="B1595" s="195" t="s">
        <v>8878</v>
      </c>
      <c r="C1595" s="196" t="s">
        <v>8879</v>
      </c>
      <c r="D1595" s="146" t="s">
        <v>4692</v>
      </c>
      <c r="E1595" s="196" t="s">
        <v>8879</v>
      </c>
      <c r="F1595" s="150">
        <v>37768.81</v>
      </c>
      <c r="G1595" s="209">
        <v>5438.87</v>
      </c>
      <c r="H1595" s="209">
        <v>0</v>
      </c>
      <c r="I1595" s="209">
        <v>5438.87</v>
      </c>
      <c r="J1595" s="150">
        <v>1495.48</v>
      </c>
      <c r="K1595" s="150">
        <v>679.27</v>
      </c>
      <c r="L1595" s="150">
        <f t="shared" si="1368"/>
        <v>2174.75</v>
      </c>
      <c r="M1595" s="150">
        <v>3154.72</v>
      </c>
      <c r="N1595" s="150">
        <v>1145.2987840728024</v>
      </c>
      <c r="O1595" s="150">
        <v>4300.0187840728022</v>
      </c>
      <c r="P1595" s="150">
        <v>4737.1499999999996</v>
      </c>
      <c r="Q1595" s="150">
        <v>1653.584916254948</v>
      </c>
      <c r="R1595" s="313">
        <f t="shared" si="1395"/>
        <v>6390.7349162549472</v>
      </c>
      <c r="S1595" s="150">
        <f t="shared" si="1367"/>
        <v>8520.9798883399289</v>
      </c>
      <c r="T1595" s="150">
        <v>8520.98</v>
      </c>
      <c r="U1595" s="150">
        <v>6829.92</v>
      </c>
      <c r="V1595" s="199">
        <v>1691.0598883399289</v>
      </c>
      <c r="W1595" s="150">
        <f t="shared" si="1396"/>
        <v>8520.9798883399289</v>
      </c>
      <c r="X1595" s="150">
        <v>6829.92</v>
      </c>
      <c r="Y1595" s="150">
        <v>1691.0598883399289</v>
      </c>
      <c r="Z1595" s="150">
        <v>8520.9798883399289</v>
      </c>
      <c r="AA1595" s="150">
        <f t="shared" si="1363"/>
        <v>1169.64011166007</v>
      </c>
      <c r="AB1595" s="150">
        <v>6829.92</v>
      </c>
      <c r="AC1595" s="199">
        <v>2860.7</v>
      </c>
      <c r="AD1595" s="150">
        <f t="shared" si="1397"/>
        <v>9690.619999999999</v>
      </c>
      <c r="AE1595" s="150">
        <v>9690.619999999999</v>
      </c>
      <c r="AF1595" s="169" t="s">
        <v>4680</v>
      </c>
      <c r="AG1595" s="201">
        <v>6829.92</v>
      </c>
      <c r="AH1595" s="199">
        <v>2860.7</v>
      </c>
      <c r="AI1595" s="150">
        <v>9690.619999999999</v>
      </c>
      <c r="AJ1595" s="169">
        <f t="shared" si="1364"/>
        <v>0</v>
      </c>
      <c r="AK1595" s="201">
        <v>6829.92</v>
      </c>
      <c r="AL1595" s="199">
        <v>2860.7</v>
      </c>
      <c r="AM1595" s="150">
        <f t="shared" si="1398"/>
        <v>9690.619999999999</v>
      </c>
      <c r="AN1595" s="153">
        <f t="shared" si="1365"/>
        <v>-1169.6399999999994</v>
      </c>
      <c r="AO1595" s="154">
        <f t="shared" si="1366"/>
        <v>-1169.6399999999994</v>
      </c>
      <c r="AP1595" s="309">
        <v>9690.619999999999</v>
      </c>
      <c r="AQ1595" s="201">
        <v>8520.98</v>
      </c>
      <c r="AR1595" s="199"/>
      <c r="AS1595" s="150">
        <f t="shared" si="1399"/>
        <v>8520.98</v>
      </c>
      <c r="AT1595" s="155"/>
      <c r="AU1595" s="156">
        <f t="shared" si="1361"/>
        <v>0</v>
      </c>
      <c r="AV1595" s="156">
        <f t="shared" si="1362"/>
        <v>1169.64011166007</v>
      </c>
      <c r="AW1595" s="157"/>
      <c r="AX1595" s="150">
        <v>8520.9798883399289</v>
      </c>
      <c r="AY1595" s="150">
        <v>3687.56</v>
      </c>
      <c r="AZ1595" s="150">
        <f t="shared" ref="AZ1595:AZ1609" si="1400">BA1595-AY1595</f>
        <v>4912.4775681456049</v>
      </c>
      <c r="BA1595" s="150">
        <v>8600.0375681456044</v>
      </c>
      <c r="BB1595" s="202">
        <v>5</v>
      </c>
      <c r="BC1595" s="202" t="s">
        <v>739</v>
      </c>
      <c r="BD1595" s="202" t="s">
        <v>647</v>
      </c>
      <c r="BE1595" s="202" t="s">
        <v>632</v>
      </c>
      <c r="BF1595" s="202" t="s">
        <v>714</v>
      </c>
      <c r="BG1595" s="231" t="s">
        <v>8880</v>
      </c>
      <c r="BH1595" s="216">
        <f>SUM(AS1595:AS1599)</f>
        <v>10044.9</v>
      </c>
      <c r="BI1595" s="205"/>
      <c r="BJ1595" s="206" t="s">
        <v>8873</v>
      </c>
      <c r="BK1595" s="206" t="s">
        <v>586</v>
      </c>
      <c r="BL1595" s="207" t="s">
        <v>8874</v>
      </c>
      <c r="BM1595" s="208">
        <f>BH1595</f>
        <v>10044.9</v>
      </c>
      <c r="BN1595" s="160"/>
      <c r="BO1595" s="161"/>
      <c r="BP1595" s="161"/>
    </row>
    <row r="1596" spans="1:68" ht="38.25">
      <c r="A1596" s="210"/>
      <c r="B1596" s="195" t="s">
        <v>8881</v>
      </c>
      <c r="C1596" s="196" t="s">
        <v>8882</v>
      </c>
      <c r="D1596" s="146" t="s">
        <v>4692</v>
      </c>
      <c r="E1596" s="196" t="s">
        <v>8882</v>
      </c>
      <c r="F1596" s="150">
        <v>5438.87</v>
      </c>
      <c r="G1596" s="209">
        <v>0</v>
      </c>
      <c r="H1596" s="209">
        <v>0</v>
      </c>
      <c r="I1596" s="209">
        <v>0</v>
      </c>
      <c r="J1596" s="150">
        <v>304.58999999999997</v>
      </c>
      <c r="K1596" s="150">
        <v>0</v>
      </c>
      <c r="L1596" s="150">
        <f t="shared" si="1368"/>
        <v>304.58999999999997</v>
      </c>
      <c r="M1596" s="150">
        <v>612.12</v>
      </c>
      <c r="N1596" s="150">
        <v>0</v>
      </c>
      <c r="O1596" s="150">
        <v>612.12</v>
      </c>
      <c r="P1596" s="150">
        <v>918.18</v>
      </c>
      <c r="Q1596" s="150">
        <v>0</v>
      </c>
      <c r="R1596" s="313">
        <f t="shared" si="1395"/>
        <v>918.18</v>
      </c>
      <c r="S1596" s="150">
        <f t="shared" si="1367"/>
        <v>1224.24</v>
      </c>
      <c r="T1596" s="150">
        <v>1326.27</v>
      </c>
      <c r="U1596" s="150">
        <v>1326.27</v>
      </c>
      <c r="V1596" s="199">
        <v>0</v>
      </c>
      <c r="W1596" s="150">
        <f t="shared" si="1396"/>
        <v>1326.27</v>
      </c>
      <c r="X1596" s="150">
        <v>1326.27</v>
      </c>
      <c r="Y1596" s="150">
        <v>0</v>
      </c>
      <c r="Z1596" s="150">
        <v>1326.27</v>
      </c>
      <c r="AA1596" s="150">
        <f t="shared" si="1363"/>
        <v>0</v>
      </c>
      <c r="AB1596" s="150">
        <v>1326.27</v>
      </c>
      <c r="AC1596" s="199">
        <v>0</v>
      </c>
      <c r="AD1596" s="150">
        <f t="shared" si="1397"/>
        <v>1326.27</v>
      </c>
      <c r="AE1596" s="150">
        <v>1326.27</v>
      </c>
      <c r="AF1596" s="169" t="s">
        <v>4680</v>
      </c>
      <c r="AG1596" s="201">
        <v>1326.27</v>
      </c>
      <c r="AH1596" s="199">
        <v>0</v>
      </c>
      <c r="AI1596" s="150">
        <v>1326.27</v>
      </c>
      <c r="AJ1596" s="169">
        <f t="shared" si="1364"/>
        <v>0</v>
      </c>
      <c r="AK1596" s="201">
        <v>1326.27</v>
      </c>
      <c r="AL1596" s="199">
        <v>0</v>
      </c>
      <c r="AM1596" s="150">
        <f t="shared" si="1398"/>
        <v>1326.27</v>
      </c>
      <c r="AN1596" s="153">
        <f t="shared" si="1365"/>
        <v>0</v>
      </c>
      <c r="AO1596" s="154">
        <f t="shared" si="1366"/>
        <v>0</v>
      </c>
      <c r="AP1596" s="150">
        <v>1326.27</v>
      </c>
      <c r="AQ1596" s="201">
        <v>1326.27</v>
      </c>
      <c r="AR1596" s="199">
        <v>0</v>
      </c>
      <c r="AS1596" s="150">
        <f t="shared" si="1399"/>
        <v>1326.27</v>
      </c>
      <c r="AT1596" s="155"/>
      <c r="AU1596" s="156">
        <f t="shared" si="1361"/>
        <v>0</v>
      </c>
      <c r="AV1596" s="156">
        <f t="shared" si="1362"/>
        <v>0</v>
      </c>
      <c r="AW1596" s="157"/>
      <c r="AX1596" s="150">
        <v>1326.27</v>
      </c>
      <c r="AY1596" s="150">
        <v>714.14</v>
      </c>
      <c r="AZ1596" s="150">
        <f t="shared" si="1400"/>
        <v>510.1</v>
      </c>
      <c r="BA1596" s="150">
        <v>1224.24</v>
      </c>
      <c r="BB1596" s="210"/>
      <c r="BC1596" s="210"/>
      <c r="BD1596" s="210"/>
      <c r="BE1596" s="210"/>
      <c r="BF1596" s="210"/>
      <c r="BG1596" s="210"/>
      <c r="BH1596" s="217"/>
      <c r="BI1596" s="210"/>
      <c r="BJ1596" s="210"/>
      <c r="BK1596" s="210"/>
      <c r="BL1596" s="210"/>
      <c r="BM1596" s="208"/>
      <c r="BN1596" s="160"/>
      <c r="BO1596" s="161"/>
      <c r="BP1596" s="161"/>
    </row>
    <row r="1597" spans="1:68" ht="38.25">
      <c r="A1597" s="210"/>
      <c r="B1597" s="195" t="s">
        <v>8883</v>
      </c>
      <c r="C1597" s="196" t="s">
        <v>8884</v>
      </c>
      <c r="D1597" s="146" t="s">
        <v>4692</v>
      </c>
      <c r="E1597" s="196" t="s">
        <v>8884</v>
      </c>
      <c r="F1597" s="150">
        <v>0</v>
      </c>
      <c r="G1597" s="209">
        <v>0</v>
      </c>
      <c r="H1597" s="209">
        <v>0</v>
      </c>
      <c r="I1597" s="209">
        <v>0</v>
      </c>
      <c r="J1597" s="150">
        <v>0</v>
      </c>
      <c r="K1597" s="150">
        <v>0</v>
      </c>
      <c r="L1597" s="150">
        <f t="shared" si="1368"/>
        <v>0</v>
      </c>
      <c r="M1597" s="150">
        <v>0</v>
      </c>
      <c r="N1597" s="150">
        <v>0</v>
      </c>
      <c r="O1597" s="150">
        <v>0</v>
      </c>
      <c r="P1597" s="150">
        <v>0</v>
      </c>
      <c r="Q1597" s="150">
        <v>0</v>
      </c>
      <c r="R1597" s="313">
        <f t="shared" si="1395"/>
        <v>0</v>
      </c>
      <c r="S1597" s="150">
        <f t="shared" si="1367"/>
        <v>0</v>
      </c>
      <c r="T1597" s="150">
        <v>0</v>
      </c>
      <c r="U1597" s="150">
        <v>0</v>
      </c>
      <c r="V1597" s="199">
        <v>0</v>
      </c>
      <c r="W1597" s="150">
        <f t="shared" si="1396"/>
        <v>0</v>
      </c>
      <c r="X1597" s="150">
        <v>0</v>
      </c>
      <c r="Y1597" s="150">
        <v>0</v>
      </c>
      <c r="Z1597" s="150">
        <v>0</v>
      </c>
      <c r="AA1597" s="150">
        <f t="shared" si="1363"/>
        <v>0</v>
      </c>
      <c r="AB1597" s="150">
        <v>0</v>
      </c>
      <c r="AC1597" s="199">
        <v>0</v>
      </c>
      <c r="AD1597" s="150">
        <f t="shared" si="1397"/>
        <v>0</v>
      </c>
      <c r="AE1597" s="150">
        <v>0</v>
      </c>
      <c r="AF1597" s="169" t="s">
        <v>4680</v>
      </c>
      <c r="AG1597" s="201">
        <v>0</v>
      </c>
      <c r="AH1597" s="199">
        <v>0</v>
      </c>
      <c r="AI1597" s="150">
        <v>0</v>
      </c>
      <c r="AJ1597" s="169">
        <f t="shared" si="1364"/>
        <v>0</v>
      </c>
      <c r="AK1597" s="201">
        <v>0</v>
      </c>
      <c r="AL1597" s="199">
        <v>0</v>
      </c>
      <c r="AM1597" s="150">
        <f t="shared" si="1398"/>
        <v>0</v>
      </c>
      <c r="AN1597" s="153">
        <f t="shared" si="1365"/>
        <v>0</v>
      </c>
      <c r="AO1597" s="154">
        <f t="shared" si="1366"/>
        <v>0</v>
      </c>
      <c r="AP1597" s="150">
        <v>0</v>
      </c>
      <c r="AQ1597" s="201">
        <v>0</v>
      </c>
      <c r="AR1597" s="199">
        <v>0</v>
      </c>
      <c r="AS1597" s="150">
        <f t="shared" si="1399"/>
        <v>0</v>
      </c>
      <c r="AT1597" s="155"/>
      <c r="AU1597" s="156">
        <f t="shared" si="1361"/>
        <v>0</v>
      </c>
      <c r="AV1597" s="156">
        <f t="shared" si="1362"/>
        <v>0</v>
      </c>
      <c r="AW1597" s="157"/>
      <c r="AX1597" s="150">
        <v>0</v>
      </c>
      <c r="AY1597" s="150">
        <v>0</v>
      </c>
      <c r="AZ1597" s="150">
        <f t="shared" si="1400"/>
        <v>0</v>
      </c>
      <c r="BA1597" s="150">
        <v>0</v>
      </c>
      <c r="BB1597" s="210"/>
      <c r="BC1597" s="210"/>
      <c r="BD1597" s="210"/>
      <c r="BE1597" s="210"/>
      <c r="BF1597" s="210"/>
      <c r="BG1597" s="210"/>
      <c r="BH1597" s="217"/>
      <c r="BI1597" s="210"/>
      <c r="BJ1597" s="210"/>
      <c r="BK1597" s="210"/>
      <c r="BL1597" s="210"/>
      <c r="BM1597" s="208"/>
      <c r="BN1597" s="160"/>
      <c r="BO1597" s="161"/>
      <c r="BP1597" s="161"/>
    </row>
    <row r="1598" spans="1:68" ht="38.25">
      <c r="A1598" s="210"/>
      <c r="B1598" s="195" t="s">
        <v>8885</v>
      </c>
      <c r="C1598" s="196" t="s">
        <v>8886</v>
      </c>
      <c r="D1598" s="146" t="s">
        <v>4692</v>
      </c>
      <c r="E1598" s="196" t="s">
        <v>8886</v>
      </c>
      <c r="F1598" s="150">
        <v>0</v>
      </c>
      <c r="G1598" s="209">
        <v>0</v>
      </c>
      <c r="H1598" s="209">
        <v>744.34</v>
      </c>
      <c r="I1598" s="209">
        <v>744.34</v>
      </c>
      <c r="J1598" s="150">
        <v>0</v>
      </c>
      <c r="K1598" s="150">
        <v>0</v>
      </c>
      <c r="L1598" s="150">
        <f t="shared" si="1368"/>
        <v>0</v>
      </c>
      <c r="M1598" s="150">
        <v>0</v>
      </c>
      <c r="N1598" s="150">
        <v>0</v>
      </c>
      <c r="O1598" s="150">
        <v>0</v>
      </c>
      <c r="P1598" s="150">
        <v>0</v>
      </c>
      <c r="Q1598" s="150">
        <v>0</v>
      </c>
      <c r="R1598" s="313">
        <f t="shared" si="1395"/>
        <v>0</v>
      </c>
      <c r="S1598" s="150">
        <f t="shared" si="1367"/>
        <v>0</v>
      </c>
      <c r="T1598" s="150">
        <v>0</v>
      </c>
      <c r="U1598" s="150">
        <v>0</v>
      </c>
      <c r="V1598" s="199">
        <v>0</v>
      </c>
      <c r="W1598" s="150">
        <f t="shared" si="1396"/>
        <v>0</v>
      </c>
      <c r="X1598" s="150">
        <v>0</v>
      </c>
      <c r="Y1598" s="150">
        <v>0</v>
      </c>
      <c r="Z1598" s="150">
        <v>0</v>
      </c>
      <c r="AA1598" s="150">
        <f t="shared" si="1363"/>
        <v>0</v>
      </c>
      <c r="AB1598" s="150">
        <v>0</v>
      </c>
      <c r="AC1598" s="199">
        <v>0</v>
      </c>
      <c r="AD1598" s="150">
        <f t="shared" si="1397"/>
        <v>0</v>
      </c>
      <c r="AE1598" s="150">
        <v>0</v>
      </c>
      <c r="AF1598" s="169" t="s">
        <v>4680</v>
      </c>
      <c r="AG1598" s="201">
        <v>0</v>
      </c>
      <c r="AH1598" s="199">
        <v>0</v>
      </c>
      <c r="AI1598" s="150">
        <v>0</v>
      </c>
      <c r="AJ1598" s="169">
        <f t="shared" si="1364"/>
        <v>0</v>
      </c>
      <c r="AK1598" s="201">
        <v>0</v>
      </c>
      <c r="AL1598" s="199">
        <v>0</v>
      </c>
      <c r="AM1598" s="150">
        <f t="shared" si="1398"/>
        <v>0</v>
      </c>
      <c r="AN1598" s="153">
        <f t="shared" si="1365"/>
        <v>0</v>
      </c>
      <c r="AO1598" s="154">
        <f t="shared" si="1366"/>
        <v>0</v>
      </c>
      <c r="AP1598" s="150">
        <v>0</v>
      </c>
      <c r="AQ1598" s="201">
        <v>0</v>
      </c>
      <c r="AR1598" s="199">
        <v>0</v>
      </c>
      <c r="AS1598" s="150">
        <f t="shared" si="1399"/>
        <v>0</v>
      </c>
      <c r="AT1598" s="155"/>
      <c r="AU1598" s="156">
        <f t="shared" si="1361"/>
        <v>0</v>
      </c>
      <c r="AV1598" s="156">
        <f t="shared" si="1362"/>
        <v>0</v>
      </c>
      <c r="AW1598" s="157"/>
      <c r="AX1598" s="150">
        <v>0</v>
      </c>
      <c r="AY1598" s="150">
        <v>0</v>
      </c>
      <c r="AZ1598" s="150">
        <f t="shared" si="1400"/>
        <v>0</v>
      </c>
      <c r="BA1598" s="150">
        <v>0</v>
      </c>
      <c r="BB1598" s="210"/>
      <c r="BC1598" s="210"/>
      <c r="BD1598" s="210"/>
      <c r="BE1598" s="210"/>
      <c r="BF1598" s="210"/>
      <c r="BG1598" s="210"/>
      <c r="BH1598" s="217"/>
      <c r="BI1598" s="210"/>
      <c r="BJ1598" s="210"/>
      <c r="BK1598" s="210"/>
      <c r="BL1598" s="210"/>
      <c r="BM1598" s="208"/>
      <c r="BN1598" s="160"/>
      <c r="BO1598" s="161"/>
      <c r="BP1598" s="161"/>
    </row>
    <row r="1599" spans="1:68" ht="38.25">
      <c r="A1599" s="210"/>
      <c r="B1599" s="195" t="s">
        <v>8887</v>
      </c>
      <c r="C1599" s="196" t="s">
        <v>8888</v>
      </c>
      <c r="D1599" s="146" t="s">
        <v>4692</v>
      </c>
      <c r="E1599" s="196" t="s">
        <v>8888</v>
      </c>
      <c r="F1599" s="150">
        <v>744</v>
      </c>
      <c r="G1599" s="209">
        <v>0</v>
      </c>
      <c r="H1599" s="209">
        <v>0</v>
      </c>
      <c r="I1599" s="209">
        <v>0</v>
      </c>
      <c r="J1599" s="150">
        <v>0</v>
      </c>
      <c r="K1599" s="150">
        <v>186.09</v>
      </c>
      <c r="L1599" s="150">
        <f t="shared" si="1368"/>
        <v>186.09</v>
      </c>
      <c r="M1599" s="150">
        <v>0</v>
      </c>
      <c r="N1599" s="150">
        <v>372</v>
      </c>
      <c r="O1599" s="150">
        <v>372</v>
      </c>
      <c r="P1599" s="150">
        <v>0</v>
      </c>
      <c r="Q1599" s="150">
        <v>0</v>
      </c>
      <c r="R1599" s="313">
        <f t="shared" si="1395"/>
        <v>0</v>
      </c>
      <c r="S1599" s="150">
        <f t="shared" si="1367"/>
        <v>0</v>
      </c>
      <c r="T1599" s="150">
        <v>197.65</v>
      </c>
      <c r="U1599" s="150">
        <v>0</v>
      </c>
      <c r="V1599" s="199">
        <v>197.65</v>
      </c>
      <c r="W1599" s="150">
        <f t="shared" si="1396"/>
        <v>197.65</v>
      </c>
      <c r="X1599" s="150">
        <v>0</v>
      </c>
      <c r="Y1599" s="150">
        <v>197.65</v>
      </c>
      <c r="Z1599" s="150">
        <v>197.65</v>
      </c>
      <c r="AA1599" s="150">
        <f t="shared" si="1363"/>
        <v>0</v>
      </c>
      <c r="AB1599" s="150">
        <v>0</v>
      </c>
      <c r="AC1599" s="199">
        <v>197.65</v>
      </c>
      <c r="AD1599" s="150">
        <f t="shared" si="1397"/>
        <v>197.65</v>
      </c>
      <c r="AE1599" s="150">
        <v>197.65</v>
      </c>
      <c r="AF1599" s="169" t="s">
        <v>4680</v>
      </c>
      <c r="AG1599" s="201">
        <v>0</v>
      </c>
      <c r="AH1599" s="199">
        <v>197.65</v>
      </c>
      <c r="AI1599" s="150">
        <v>197.65</v>
      </c>
      <c r="AJ1599" s="169">
        <f t="shared" si="1364"/>
        <v>0</v>
      </c>
      <c r="AK1599" s="201">
        <v>0</v>
      </c>
      <c r="AL1599" s="199">
        <v>197.65</v>
      </c>
      <c r="AM1599" s="150">
        <f t="shared" si="1398"/>
        <v>197.65</v>
      </c>
      <c r="AN1599" s="153">
        <f t="shared" si="1365"/>
        <v>0</v>
      </c>
      <c r="AO1599" s="154">
        <f t="shared" si="1366"/>
        <v>0</v>
      </c>
      <c r="AP1599" s="150">
        <v>197.65</v>
      </c>
      <c r="AQ1599" s="201">
        <v>197.65</v>
      </c>
      <c r="AR1599" s="199"/>
      <c r="AS1599" s="150">
        <f t="shared" si="1399"/>
        <v>197.65</v>
      </c>
      <c r="AT1599" s="155"/>
      <c r="AU1599" s="156">
        <f t="shared" si="1361"/>
        <v>0</v>
      </c>
      <c r="AV1599" s="156">
        <f t="shared" si="1362"/>
        <v>0</v>
      </c>
      <c r="AW1599" s="157"/>
      <c r="AX1599" s="150">
        <v>197.65</v>
      </c>
      <c r="AY1599" s="150">
        <v>0</v>
      </c>
      <c r="AZ1599" s="150">
        <f t="shared" si="1400"/>
        <v>744</v>
      </c>
      <c r="BA1599" s="150">
        <v>744</v>
      </c>
      <c r="BB1599" s="210"/>
      <c r="BC1599" s="210"/>
      <c r="BD1599" s="210"/>
      <c r="BE1599" s="210"/>
      <c r="BF1599" s="210"/>
      <c r="BG1599" s="210"/>
      <c r="BH1599" s="217"/>
      <c r="BI1599" s="210"/>
      <c r="BJ1599" s="210"/>
      <c r="BK1599" s="210"/>
      <c r="BL1599" s="210"/>
      <c r="BM1599" s="208"/>
      <c r="BN1599" s="160"/>
      <c r="BO1599" s="161"/>
      <c r="BP1599" s="161"/>
    </row>
    <row r="1600" spans="1:68" ht="51">
      <c r="A1600" s="206" t="s">
        <v>586</v>
      </c>
      <c r="B1600" s="195" t="s">
        <v>8889</v>
      </c>
      <c r="C1600" s="196" t="s">
        <v>8890</v>
      </c>
      <c r="D1600" s="146" t="s">
        <v>4692</v>
      </c>
      <c r="E1600" s="196" t="s">
        <v>8890</v>
      </c>
      <c r="F1600" s="150">
        <v>0</v>
      </c>
      <c r="G1600" s="209">
        <v>0</v>
      </c>
      <c r="H1600" s="209">
        <v>0</v>
      </c>
      <c r="I1600" s="209">
        <v>0</v>
      </c>
      <c r="J1600" s="150">
        <v>0</v>
      </c>
      <c r="K1600" s="150">
        <v>0</v>
      </c>
      <c r="L1600" s="150">
        <f t="shared" si="1368"/>
        <v>0</v>
      </c>
      <c r="M1600" s="150">
        <v>0</v>
      </c>
      <c r="N1600" s="150">
        <v>0</v>
      </c>
      <c r="O1600" s="150">
        <v>0</v>
      </c>
      <c r="P1600" s="150">
        <v>0</v>
      </c>
      <c r="Q1600" s="150">
        <v>0</v>
      </c>
      <c r="R1600" s="313">
        <f t="shared" si="1395"/>
        <v>0</v>
      </c>
      <c r="S1600" s="150">
        <f t="shared" si="1367"/>
        <v>0</v>
      </c>
      <c r="T1600" s="150">
        <v>0</v>
      </c>
      <c r="U1600" s="150">
        <v>0</v>
      </c>
      <c r="V1600" s="199">
        <v>0</v>
      </c>
      <c r="W1600" s="150">
        <f t="shared" si="1396"/>
        <v>0</v>
      </c>
      <c r="X1600" s="150">
        <v>0</v>
      </c>
      <c r="Y1600" s="150">
        <v>0</v>
      </c>
      <c r="Z1600" s="150">
        <v>0</v>
      </c>
      <c r="AA1600" s="150">
        <f t="shared" si="1363"/>
        <v>0</v>
      </c>
      <c r="AB1600" s="150">
        <v>0</v>
      </c>
      <c r="AC1600" s="199">
        <v>0</v>
      </c>
      <c r="AD1600" s="150">
        <f t="shared" si="1397"/>
        <v>0</v>
      </c>
      <c r="AE1600" s="150">
        <v>0</v>
      </c>
      <c r="AF1600" s="169" t="s">
        <v>4680</v>
      </c>
      <c r="AG1600" s="201">
        <v>0</v>
      </c>
      <c r="AH1600" s="199">
        <v>0</v>
      </c>
      <c r="AI1600" s="150">
        <v>0</v>
      </c>
      <c r="AJ1600" s="169">
        <f t="shared" si="1364"/>
        <v>0</v>
      </c>
      <c r="AK1600" s="201">
        <v>0</v>
      </c>
      <c r="AL1600" s="199">
        <v>0</v>
      </c>
      <c r="AM1600" s="150">
        <f t="shared" si="1398"/>
        <v>0</v>
      </c>
      <c r="AN1600" s="153">
        <f t="shared" si="1365"/>
        <v>0</v>
      </c>
      <c r="AO1600" s="154">
        <f t="shared" si="1366"/>
        <v>0</v>
      </c>
      <c r="AP1600" s="150">
        <v>0</v>
      </c>
      <c r="AQ1600" s="201">
        <v>0</v>
      </c>
      <c r="AR1600" s="199">
        <v>0</v>
      </c>
      <c r="AS1600" s="150">
        <f t="shared" si="1399"/>
        <v>0</v>
      </c>
      <c r="AT1600" s="155"/>
      <c r="AU1600" s="156">
        <f t="shared" si="1361"/>
        <v>0</v>
      </c>
      <c r="AV1600" s="156">
        <f t="shared" si="1362"/>
        <v>0</v>
      </c>
      <c r="AW1600" s="157"/>
      <c r="AX1600" s="150">
        <v>0</v>
      </c>
      <c r="AY1600" s="150">
        <v>0</v>
      </c>
      <c r="AZ1600" s="150">
        <f t="shared" si="1400"/>
        <v>0</v>
      </c>
      <c r="BA1600" s="150">
        <v>0</v>
      </c>
      <c r="BB1600" s="202">
        <v>5</v>
      </c>
      <c r="BC1600" s="202" t="s">
        <v>739</v>
      </c>
      <c r="BD1600" s="202" t="s">
        <v>647</v>
      </c>
      <c r="BE1600" s="202" t="s">
        <v>632</v>
      </c>
      <c r="BF1600" s="202" t="s">
        <v>739</v>
      </c>
      <c r="BG1600" s="231" t="s">
        <v>8891</v>
      </c>
      <c r="BH1600" s="216">
        <f>AS1600</f>
        <v>0</v>
      </c>
      <c r="BI1600" s="205"/>
      <c r="BJ1600" s="206" t="s">
        <v>8873</v>
      </c>
      <c r="BK1600" s="206" t="s">
        <v>586</v>
      </c>
      <c r="BL1600" s="207" t="s">
        <v>8874</v>
      </c>
      <c r="BM1600" s="208">
        <f>BH1600</f>
        <v>0</v>
      </c>
      <c r="BN1600" s="160"/>
      <c r="BO1600" s="161"/>
      <c r="BP1600" s="161"/>
    </row>
    <row r="1601" spans="1:68" ht="51">
      <c r="A1601" s="206" t="s">
        <v>586</v>
      </c>
      <c r="B1601" s="195" t="s">
        <v>8892</v>
      </c>
      <c r="C1601" s="196" t="s">
        <v>8893</v>
      </c>
      <c r="D1601" s="146" t="s">
        <v>4692</v>
      </c>
      <c r="E1601" s="196" t="s">
        <v>8893</v>
      </c>
      <c r="F1601" s="150">
        <v>0</v>
      </c>
      <c r="G1601" s="209">
        <v>0</v>
      </c>
      <c r="H1601" s="209">
        <v>0</v>
      </c>
      <c r="I1601" s="209">
        <v>0</v>
      </c>
      <c r="J1601" s="150">
        <v>0</v>
      </c>
      <c r="K1601" s="150">
        <v>0</v>
      </c>
      <c r="L1601" s="150">
        <f t="shared" si="1368"/>
        <v>0</v>
      </c>
      <c r="M1601" s="150">
        <v>0</v>
      </c>
      <c r="N1601" s="150">
        <v>0</v>
      </c>
      <c r="O1601" s="150">
        <v>0</v>
      </c>
      <c r="P1601" s="150">
        <v>0</v>
      </c>
      <c r="Q1601" s="150">
        <v>0</v>
      </c>
      <c r="R1601" s="313">
        <f t="shared" si="1395"/>
        <v>0</v>
      </c>
      <c r="S1601" s="150">
        <f t="shared" si="1367"/>
        <v>0</v>
      </c>
      <c r="T1601" s="150">
        <v>0</v>
      </c>
      <c r="U1601" s="150">
        <v>0</v>
      </c>
      <c r="V1601" s="199">
        <v>0</v>
      </c>
      <c r="W1601" s="150">
        <f t="shared" si="1396"/>
        <v>0</v>
      </c>
      <c r="X1601" s="150">
        <v>0</v>
      </c>
      <c r="Y1601" s="150">
        <v>0</v>
      </c>
      <c r="Z1601" s="150">
        <v>0</v>
      </c>
      <c r="AA1601" s="150">
        <f t="shared" si="1363"/>
        <v>0</v>
      </c>
      <c r="AB1601" s="150">
        <v>0</v>
      </c>
      <c r="AC1601" s="199">
        <v>0</v>
      </c>
      <c r="AD1601" s="150">
        <f t="shared" si="1397"/>
        <v>0</v>
      </c>
      <c r="AE1601" s="150">
        <v>0</v>
      </c>
      <c r="AF1601" s="169" t="s">
        <v>4680</v>
      </c>
      <c r="AG1601" s="201">
        <v>0</v>
      </c>
      <c r="AH1601" s="199">
        <v>0</v>
      </c>
      <c r="AI1601" s="150">
        <v>0</v>
      </c>
      <c r="AJ1601" s="169">
        <f t="shared" si="1364"/>
        <v>0</v>
      </c>
      <c r="AK1601" s="201">
        <v>0</v>
      </c>
      <c r="AL1601" s="199">
        <v>0</v>
      </c>
      <c r="AM1601" s="150">
        <f t="shared" si="1398"/>
        <v>0</v>
      </c>
      <c r="AN1601" s="153">
        <f t="shared" si="1365"/>
        <v>0</v>
      </c>
      <c r="AO1601" s="154">
        <f t="shared" si="1366"/>
        <v>0</v>
      </c>
      <c r="AP1601" s="150">
        <v>0</v>
      </c>
      <c r="AQ1601" s="201">
        <v>0</v>
      </c>
      <c r="AR1601" s="199">
        <v>0</v>
      </c>
      <c r="AS1601" s="150">
        <f t="shared" si="1399"/>
        <v>0</v>
      </c>
      <c r="AT1601" s="155"/>
      <c r="AU1601" s="156">
        <f t="shared" si="1361"/>
        <v>0</v>
      </c>
      <c r="AV1601" s="156">
        <f t="shared" si="1362"/>
        <v>0</v>
      </c>
      <c r="AW1601" s="157"/>
      <c r="AX1601" s="150">
        <v>0</v>
      </c>
      <c r="AY1601" s="150">
        <v>0</v>
      </c>
      <c r="AZ1601" s="150">
        <f t="shared" si="1400"/>
        <v>0</v>
      </c>
      <c r="BA1601" s="150">
        <v>0</v>
      </c>
      <c r="BB1601" s="202">
        <v>5</v>
      </c>
      <c r="BC1601" s="202" t="s">
        <v>739</v>
      </c>
      <c r="BD1601" s="202" t="s">
        <v>647</v>
      </c>
      <c r="BE1601" s="202" t="s">
        <v>632</v>
      </c>
      <c r="BF1601" s="202" t="s">
        <v>755</v>
      </c>
      <c r="BG1601" s="231" t="s">
        <v>8894</v>
      </c>
      <c r="BH1601" s="216">
        <f>SUM(AS1601:AS1605)</f>
        <v>0</v>
      </c>
      <c r="BI1601" s="205"/>
      <c r="BJ1601" s="206" t="s">
        <v>8873</v>
      </c>
      <c r="BK1601" s="206" t="s">
        <v>586</v>
      </c>
      <c r="BL1601" s="207" t="s">
        <v>8874</v>
      </c>
      <c r="BM1601" s="208">
        <f>BH1601</f>
        <v>0</v>
      </c>
      <c r="BN1601" s="160"/>
      <c r="BO1601" s="161">
        <f t="shared" si="1374"/>
        <v>0</v>
      </c>
      <c r="BP1601" s="161"/>
    </row>
    <row r="1602" spans="1:68" ht="51">
      <c r="A1602" s="210"/>
      <c r="B1602" s="195" t="s">
        <v>8895</v>
      </c>
      <c r="C1602" s="196" t="s">
        <v>8896</v>
      </c>
      <c r="D1602" s="146" t="s">
        <v>4692</v>
      </c>
      <c r="E1602" s="196" t="s">
        <v>8896</v>
      </c>
      <c r="F1602" s="150">
        <v>0</v>
      </c>
      <c r="G1602" s="209">
        <v>0</v>
      </c>
      <c r="H1602" s="209">
        <v>0</v>
      </c>
      <c r="I1602" s="209">
        <v>0</v>
      </c>
      <c r="J1602" s="150">
        <v>0</v>
      </c>
      <c r="K1602" s="150">
        <v>0</v>
      </c>
      <c r="L1602" s="150">
        <f t="shared" si="1368"/>
        <v>0</v>
      </c>
      <c r="M1602" s="150">
        <v>0</v>
      </c>
      <c r="N1602" s="150">
        <v>0</v>
      </c>
      <c r="O1602" s="150">
        <v>0</v>
      </c>
      <c r="P1602" s="150">
        <v>0</v>
      </c>
      <c r="Q1602" s="150">
        <v>0</v>
      </c>
      <c r="R1602" s="313">
        <f t="shared" si="1395"/>
        <v>0</v>
      </c>
      <c r="S1602" s="150">
        <f t="shared" si="1367"/>
        <v>0</v>
      </c>
      <c r="T1602" s="150">
        <v>0</v>
      </c>
      <c r="U1602" s="150">
        <v>0</v>
      </c>
      <c r="V1602" s="199">
        <v>0</v>
      </c>
      <c r="W1602" s="150">
        <f t="shared" si="1396"/>
        <v>0</v>
      </c>
      <c r="X1602" s="150">
        <v>0</v>
      </c>
      <c r="Y1602" s="150">
        <v>0</v>
      </c>
      <c r="Z1602" s="150">
        <v>0</v>
      </c>
      <c r="AA1602" s="150">
        <f t="shared" si="1363"/>
        <v>0</v>
      </c>
      <c r="AB1602" s="150">
        <v>0</v>
      </c>
      <c r="AC1602" s="199">
        <v>0</v>
      </c>
      <c r="AD1602" s="150">
        <f t="shared" si="1397"/>
        <v>0</v>
      </c>
      <c r="AE1602" s="150">
        <v>0</v>
      </c>
      <c r="AF1602" s="169" t="s">
        <v>4680</v>
      </c>
      <c r="AG1602" s="201">
        <v>0</v>
      </c>
      <c r="AH1602" s="199">
        <v>0</v>
      </c>
      <c r="AI1602" s="150">
        <v>0</v>
      </c>
      <c r="AJ1602" s="169">
        <f t="shared" si="1364"/>
        <v>0</v>
      </c>
      <c r="AK1602" s="201">
        <v>0</v>
      </c>
      <c r="AL1602" s="199">
        <v>0</v>
      </c>
      <c r="AM1602" s="150">
        <f t="shared" si="1398"/>
        <v>0</v>
      </c>
      <c r="AN1602" s="153">
        <f t="shared" si="1365"/>
        <v>0</v>
      </c>
      <c r="AO1602" s="154">
        <f t="shared" si="1366"/>
        <v>0</v>
      </c>
      <c r="AP1602" s="150">
        <v>0</v>
      </c>
      <c r="AQ1602" s="201">
        <v>0</v>
      </c>
      <c r="AR1602" s="199">
        <v>0</v>
      </c>
      <c r="AS1602" s="150">
        <f t="shared" si="1399"/>
        <v>0</v>
      </c>
      <c r="AT1602" s="155"/>
      <c r="AU1602" s="156">
        <f t="shared" ref="AU1602:AU1665" si="1401">AM1602-AD1602</f>
        <v>0</v>
      </c>
      <c r="AV1602" s="156">
        <f t="shared" ref="AV1602:AV1665" si="1402">AD1602-AX1602</f>
        <v>0</v>
      </c>
      <c r="AW1602" s="157"/>
      <c r="AX1602" s="150">
        <v>0</v>
      </c>
      <c r="AY1602" s="150">
        <v>0</v>
      </c>
      <c r="AZ1602" s="150">
        <f t="shared" si="1400"/>
        <v>0</v>
      </c>
      <c r="BA1602" s="150">
        <v>0</v>
      </c>
      <c r="BB1602" s="210"/>
      <c r="BC1602" s="210"/>
      <c r="BD1602" s="210"/>
      <c r="BE1602" s="210"/>
      <c r="BF1602" s="210"/>
      <c r="BG1602" s="210"/>
      <c r="BH1602" s="217"/>
      <c r="BI1602" s="210"/>
      <c r="BJ1602" s="210"/>
      <c r="BK1602" s="210"/>
      <c r="BL1602" s="210"/>
      <c r="BM1602" s="208"/>
      <c r="BN1602" s="160"/>
      <c r="BO1602" s="161">
        <f t="shared" si="1374"/>
        <v>0</v>
      </c>
      <c r="BP1602" s="161"/>
    </row>
    <row r="1603" spans="1:68" ht="63.75">
      <c r="A1603" s="210"/>
      <c r="B1603" s="195" t="s">
        <v>8897</v>
      </c>
      <c r="C1603" s="196" t="s">
        <v>8898</v>
      </c>
      <c r="D1603" s="146" t="s">
        <v>4692</v>
      </c>
      <c r="E1603" s="196" t="s">
        <v>8898</v>
      </c>
      <c r="F1603" s="150">
        <v>0</v>
      </c>
      <c r="G1603" s="209">
        <v>0</v>
      </c>
      <c r="H1603" s="209">
        <v>0</v>
      </c>
      <c r="I1603" s="209">
        <v>0</v>
      </c>
      <c r="J1603" s="150">
        <v>0</v>
      </c>
      <c r="K1603" s="150">
        <v>0</v>
      </c>
      <c r="L1603" s="150">
        <f t="shared" si="1368"/>
        <v>0</v>
      </c>
      <c r="M1603" s="150">
        <v>0</v>
      </c>
      <c r="N1603" s="150">
        <v>0</v>
      </c>
      <c r="O1603" s="150">
        <v>0</v>
      </c>
      <c r="P1603" s="150">
        <v>0</v>
      </c>
      <c r="Q1603" s="150">
        <v>0</v>
      </c>
      <c r="R1603" s="313">
        <f t="shared" si="1395"/>
        <v>0</v>
      </c>
      <c r="S1603" s="150">
        <f t="shared" si="1367"/>
        <v>0</v>
      </c>
      <c r="T1603" s="150">
        <v>0</v>
      </c>
      <c r="U1603" s="150">
        <v>0</v>
      </c>
      <c r="V1603" s="199">
        <v>0</v>
      </c>
      <c r="W1603" s="150">
        <f t="shared" si="1396"/>
        <v>0</v>
      </c>
      <c r="X1603" s="150">
        <v>0</v>
      </c>
      <c r="Y1603" s="150">
        <v>0</v>
      </c>
      <c r="Z1603" s="150">
        <v>0</v>
      </c>
      <c r="AA1603" s="150">
        <f t="shared" ref="AA1603:AA1666" si="1403">AD1603-Z1603</f>
        <v>0</v>
      </c>
      <c r="AB1603" s="150">
        <v>0</v>
      </c>
      <c r="AC1603" s="199">
        <v>0</v>
      </c>
      <c r="AD1603" s="150">
        <f t="shared" si="1397"/>
        <v>0</v>
      </c>
      <c r="AE1603" s="150">
        <v>0</v>
      </c>
      <c r="AF1603" s="169" t="s">
        <v>4680</v>
      </c>
      <c r="AG1603" s="201">
        <v>0</v>
      </c>
      <c r="AH1603" s="199">
        <v>0</v>
      </c>
      <c r="AI1603" s="150">
        <v>0</v>
      </c>
      <c r="AJ1603" s="169">
        <f t="shared" ref="AJ1603:AJ1666" si="1404">AM1603-AI1603</f>
        <v>0</v>
      </c>
      <c r="AK1603" s="201">
        <v>0</v>
      </c>
      <c r="AL1603" s="199">
        <v>0</v>
      </c>
      <c r="AM1603" s="150">
        <f t="shared" si="1398"/>
        <v>0</v>
      </c>
      <c r="AN1603" s="153">
        <f t="shared" ref="AN1603:AN1666" si="1405">AS1603-AM1603</f>
        <v>0</v>
      </c>
      <c r="AO1603" s="154">
        <f t="shared" ref="AO1603:AO1666" si="1406">AS1603-AP1603</f>
        <v>0</v>
      </c>
      <c r="AP1603" s="150">
        <v>0</v>
      </c>
      <c r="AQ1603" s="201">
        <v>0</v>
      </c>
      <c r="AR1603" s="199">
        <v>0</v>
      </c>
      <c r="AS1603" s="150">
        <f t="shared" si="1399"/>
        <v>0</v>
      </c>
      <c r="AT1603" s="155"/>
      <c r="AU1603" s="156">
        <f t="shared" si="1401"/>
        <v>0</v>
      </c>
      <c r="AV1603" s="156">
        <f t="shared" si="1402"/>
        <v>0</v>
      </c>
      <c r="AW1603" s="157"/>
      <c r="AX1603" s="150">
        <v>0</v>
      </c>
      <c r="AY1603" s="150">
        <v>0</v>
      </c>
      <c r="AZ1603" s="150">
        <f t="shared" si="1400"/>
        <v>0</v>
      </c>
      <c r="BA1603" s="150">
        <v>0</v>
      </c>
      <c r="BB1603" s="210"/>
      <c r="BC1603" s="210"/>
      <c r="BD1603" s="210"/>
      <c r="BE1603" s="210"/>
      <c r="BF1603" s="210"/>
      <c r="BG1603" s="210"/>
      <c r="BH1603" s="217"/>
      <c r="BI1603" s="210"/>
      <c r="BJ1603" s="210"/>
      <c r="BK1603" s="210"/>
      <c r="BL1603" s="210"/>
      <c r="BM1603" s="208"/>
      <c r="BN1603" s="160"/>
      <c r="BO1603" s="161">
        <f t="shared" si="1374"/>
        <v>0</v>
      </c>
      <c r="BP1603" s="161"/>
    </row>
    <row r="1604" spans="1:68" ht="38.25">
      <c r="A1604" s="210"/>
      <c r="B1604" s="195" t="s">
        <v>8899</v>
      </c>
      <c r="C1604" s="196" t="s">
        <v>8900</v>
      </c>
      <c r="D1604" s="146" t="s">
        <v>4692</v>
      </c>
      <c r="E1604" s="196" t="s">
        <v>8900</v>
      </c>
      <c r="F1604" s="150">
        <v>0</v>
      </c>
      <c r="G1604" s="209">
        <v>0</v>
      </c>
      <c r="H1604" s="209">
        <v>0</v>
      </c>
      <c r="I1604" s="209">
        <v>0</v>
      </c>
      <c r="J1604" s="150">
        <v>0</v>
      </c>
      <c r="K1604" s="150">
        <v>0</v>
      </c>
      <c r="L1604" s="150">
        <f t="shared" si="1368"/>
        <v>0</v>
      </c>
      <c r="M1604" s="150">
        <v>0</v>
      </c>
      <c r="N1604" s="150">
        <v>0</v>
      </c>
      <c r="O1604" s="150">
        <v>0</v>
      </c>
      <c r="P1604" s="150">
        <v>0</v>
      </c>
      <c r="Q1604" s="150">
        <v>0</v>
      </c>
      <c r="R1604" s="313">
        <f t="shared" si="1395"/>
        <v>0</v>
      </c>
      <c r="S1604" s="150">
        <f t="shared" ref="S1604:S1667" si="1407">R1604/9*12</f>
        <v>0</v>
      </c>
      <c r="T1604" s="150">
        <v>0</v>
      </c>
      <c r="U1604" s="150">
        <v>0</v>
      </c>
      <c r="V1604" s="199">
        <v>0</v>
      </c>
      <c r="W1604" s="150">
        <f t="shared" si="1396"/>
        <v>0</v>
      </c>
      <c r="X1604" s="150">
        <v>0</v>
      </c>
      <c r="Y1604" s="150">
        <v>0</v>
      </c>
      <c r="Z1604" s="150">
        <v>0</v>
      </c>
      <c r="AA1604" s="150">
        <f t="shared" si="1403"/>
        <v>0</v>
      </c>
      <c r="AB1604" s="150">
        <v>0</v>
      </c>
      <c r="AC1604" s="199">
        <v>0</v>
      </c>
      <c r="AD1604" s="150">
        <f t="shared" si="1397"/>
        <v>0</v>
      </c>
      <c r="AE1604" s="150">
        <v>0</v>
      </c>
      <c r="AF1604" s="169" t="s">
        <v>4680</v>
      </c>
      <c r="AG1604" s="201">
        <v>0</v>
      </c>
      <c r="AH1604" s="199">
        <v>0</v>
      </c>
      <c r="AI1604" s="150">
        <v>0</v>
      </c>
      <c r="AJ1604" s="169">
        <f t="shared" si="1404"/>
        <v>0</v>
      </c>
      <c r="AK1604" s="201">
        <v>0</v>
      </c>
      <c r="AL1604" s="199">
        <v>0</v>
      </c>
      <c r="AM1604" s="150">
        <f t="shared" si="1398"/>
        <v>0</v>
      </c>
      <c r="AN1604" s="153">
        <f t="shared" si="1405"/>
        <v>0</v>
      </c>
      <c r="AO1604" s="154">
        <f t="shared" si="1406"/>
        <v>0</v>
      </c>
      <c r="AP1604" s="150">
        <v>0</v>
      </c>
      <c r="AQ1604" s="201">
        <v>0</v>
      </c>
      <c r="AR1604" s="199">
        <v>0</v>
      </c>
      <c r="AS1604" s="150">
        <f t="shared" si="1399"/>
        <v>0</v>
      </c>
      <c r="AT1604" s="155"/>
      <c r="AU1604" s="156">
        <f t="shared" si="1401"/>
        <v>0</v>
      </c>
      <c r="AV1604" s="156">
        <f t="shared" si="1402"/>
        <v>0</v>
      </c>
      <c r="AW1604" s="157"/>
      <c r="AX1604" s="150">
        <v>0</v>
      </c>
      <c r="AY1604" s="150">
        <v>0</v>
      </c>
      <c r="AZ1604" s="150">
        <f t="shared" si="1400"/>
        <v>0</v>
      </c>
      <c r="BA1604" s="150">
        <v>0</v>
      </c>
      <c r="BB1604" s="210"/>
      <c r="BC1604" s="210"/>
      <c r="BD1604" s="210"/>
      <c r="BE1604" s="210"/>
      <c r="BF1604" s="210"/>
      <c r="BG1604" s="210"/>
      <c r="BH1604" s="217"/>
      <c r="BI1604" s="210"/>
      <c r="BJ1604" s="210"/>
      <c r="BK1604" s="210"/>
      <c r="BL1604" s="210"/>
      <c r="BM1604" s="208"/>
      <c r="BN1604" s="160"/>
      <c r="BO1604" s="161">
        <f t="shared" si="1374"/>
        <v>0</v>
      </c>
      <c r="BP1604" s="161"/>
    </row>
    <row r="1605" spans="1:68" ht="51">
      <c r="A1605" s="210"/>
      <c r="B1605" s="195" t="s">
        <v>8901</v>
      </c>
      <c r="C1605" s="196" t="s">
        <v>8902</v>
      </c>
      <c r="D1605" s="146" t="s">
        <v>4692</v>
      </c>
      <c r="E1605" s="196" t="s">
        <v>8902</v>
      </c>
      <c r="F1605" s="150">
        <v>0</v>
      </c>
      <c r="G1605" s="209">
        <v>288.33</v>
      </c>
      <c r="H1605" s="209">
        <v>-288.33</v>
      </c>
      <c r="I1605" s="209">
        <v>0</v>
      </c>
      <c r="J1605" s="150">
        <v>0</v>
      </c>
      <c r="K1605" s="150">
        <v>0</v>
      </c>
      <c r="L1605" s="150">
        <f t="shared" si="1368"/>
        <v>0</v>
      </c>
      <c r="M1605" s="150">
        <v>0</v>
      </c>
      <c r="N1605" s="150">
        <v>0</v>
      </c>
      <c r="O1605" s="150">
        <v>0</v>
      </c>
      <c r="P1605" s="150">
        <v>0</v>
      </c>
      <c r="Q1605" s="150">
        <v>0</v>
      </c>
      <c r="R1605" s="313">
        <f t="shared" si="1395"/>
        <v>0</v>
      </c>
      <c r="S1605" s="150">
        <f t="shared" si="1407"/>
        <v>0</v>
      </c>
      <c r="T1605" s="150">
        <v>0</v>
      </c>
      <c r="U1605" s="150">
        <v>0</v>
      </c>
      <c r="V1605" s="199">
        <v>0</v>
      </c>
      <c r="W1605" s="150">
        <f t="shared" si="1396"/>
        <v>0</v>
      </c>
      <c r="X1605" s="150">
        <v>0</v>
      </c>
      <c r="Y1605" s="150">
        <v>0</v>
      </c>
      <c r="Z1605" s="150">
        <v>0</v>
      </c>
      <c r="AA1605" s="150">
        <f t="shared" si="1403"/>
        <v>0</v>
      </c>
      <c r="AB1605" s="150">
        <v>0</v>
      </c>
      <c r="AC1605" s="199">
        <v>0</v>
      </c>
      <c r="AD1605" s="150">
        <f t="shared" si="1397"/>
        <v>0</v>
      </c>
      <c r="AE1605" s="150">
        <v>0</v>
      </c>
      <c r="AF1605" s="169" t="s">
        <v>4680</v>
      </c>
      <c r="AG1605" s="201">
        <v>0</v>
      </c>
      <c r="AH1605" s="199">
        <v>0</v>
      </c>
      <c r="AI1605" s="150">
        <v>0</v>
      </c>
      <c r="AJ1605" s="169">
        <f t="shared" si="1404"/>
        <v>0</v>
      </c>
      <c r="AK1605" s="201">
        <v>0</v>
      </c>
      <c r="AL1605" s="199">
        <v>0</v>
      </c>
      <c r="AM1605" s="150">
        <f t="shared" si="1398"/>
        <v>0</v>
      </c>
      <c r="AN1605" s="153">
        <f t="shared" si="1405"/>
        <v>0</v>
      </c>
      <c r="AO1605" s="154">
        <f t="shared" si="1406"/>
        <v>0</v>
      </c>
      <c r="AP1605" s="150">
        <v>0</v>
      </c>
      <c r="AQ1605" s="201">
        <v>0</v>
      </c>
      <c r="AR1605" s="199">
        <v>0</v>
      </c>
      <c r="AS1605" s="150">
        <f t="shared" si="1399"/>
        <v>0</v>
      </c>
      <c r="AT1605" s="155"/>
      <c r="AU1605" s="156">
        <f t="shared" si="1401"/>
        <v>0</v>
      </c>
      <c r="AV1605" s="156">
        <f t="shared" si="1402"/>
        <v>0</v>
      </c>
      <c r="AW1605" s="157"/>
      <c r="AX1605" s="150">
        <v>0</v>
      </c>
      <c r="AY1605" s="150">
        <v>0</v>
      </c>
      <c r="AZ1605" s="150">
        <f t="shared" si="1400"/>
        <v>0</v>
      </c>
      <c r="BA1605" s="150">
        <v>0</v>
      </c>
      <c r="BB1605" s="210"/>
      <c r="BC1605" s="210"/>
      <c r="BD1605" s="210"/>
      <c r="BE1605" s="210"/>
      <c r="BF1605" s="210"/>
      <c r="BG1605" s="210"/>
      <c r="BH1605" s="217"/>
      <c r="BI1605" s="210"/>
      <c r="BJ1605" s="210"/>
      <c r="BK1605" s="210"/>
      <c r="BL1605" s="210"/>
      <c r="BM1605" s="208"/>
      <c r="BN1605" s="160"/>
      <c r="BO1605" s="161">
        <f t="shared" si="1374"/>
        <v>0</v>
      </c>
      <c r="BP1605" s="161"/>
    </row>
    <row r="1606" spans="1:68" ht="51">
      <c r="A1606" s="206" t="s">
        <v>586</v>
      </c>
      <c r="B1606" s="195" t="s">
        <v>8903</v>
      </c>
      <c r="C1606" s="196" t="s">
        <v>8904</v>
      </c>
      <c r="D1606" s="146" t="s">
        <v>4692</v>
      </c>
      <c r="E1606" s="196" t="s">
        <v>8904</v>
      </c>
      <c r="F1606" s="150">
        <v>0.33</v>
      </c>
      <c r="G1606" s="209">
        <v>8637.17</v>
      </c>
      <c r="H1606" s="209">
        <v>-8637.17</v>
      </c>
      <c r="I1606" s="209">
        <v>0</v>
      </c>
      <c r="J1606" s="150">
        <v>41.88</v>
      </c>
      <c r="K1606" s="150">
        <v>-41.88</v>
      </c>
      <c r="L1606" s="150">
        <f t="shared" si="1368"/>
        <v>0</v>
      </c>
      <c r="M1606" s="150">
        <v>141.30000000000001</v>
      </c>
      <c r="N1606" s="150">
        <v>-141.30000000000001</v>
      </c>
      <c r="O1606" s="150">
        <v>0</v>
      </c>
      <c r="P1606" s="150">
        <v>233.28</v>
      </c>
      <c r="Q1606" s="150">
        <v>-233.28</v>
      </c>
      <c r="R1606" s="313">
        <f t="shared" si="1395"/>
        <v>0</v>
      </c>
      <c r="S1606" s="150">
        <f t="shared" si="1407"/>
        <v>0</v>
      </c>
      <c r="T1606" s="150">
        <v>0</v>
      </c>
      <c r="U1606" s="150">
        <v>401.1</v>
      </c>
      <c r="V1606" s="199">
        <v>-401.1</v>
      </c>
      <c r="W1606" s="150">
        <f t="shared" si="1396"/>
        <v>0</v>
      </c>
      <c r="X1606" s="150">
        <v>401.1</v>
      </c>
      <c r="Y1606" s="150">
        <v>-401.1</v>
      </c>
      <c r="Z1606" s="150">
        <v>0</v>
      </c>
      <c r="AA1606" s="150">
        <f t="shared" si="1403"/>
        <v>0</v>
      </c>
      <c r="AB1606" s="150">
        <v>401.1</v>
      </c>
      <c r="AC1606" s="199">
        <v>-401.1</v>
      </c>
      <c r="AD1606" s="150">
        <f t="shared" si="1397"/>
        <v>0</v>
      </c>
      <c r="AE1606" s="150">
        <v>0</v>
      </c>
      <c r="AF1606" s="169" t="s">
        <v>4680</v>
      </c>
      <c r="AG1606" s="201">
        <v>401.1</v>
      </c>
      <c r="AH1606" s="199">
        <v>-401.1</v>
      </c>
      <c r="AI1606" s="150">
        <v>0</v>
      </c>
      <c r="AJ1606" s="169">
        <f t="shared" si="1404"/>
        <v>0</v>
      </c>
      <c r="AK1606" s="201">
        <v>401.1</v>
      </c>
      <c r="AL1606" s="199">
        <v>-401.1</v>
      </c>
      <c r="AM1606" s="150">
        <f t="shared" si="1398"/>
        <v>0</v>
      </c>
      <c r="AN1606" s="153">
        <f t="shared" si="1405"/>
        <v>0</v>
      </c>
      <c r="AO1606" s="154">
        <f t="shared" si="1406"/>
        <v>0</v>
      </c>
      <c r="AP1606" s="150">
        <v>0</v>
      </c>
      <c r="AQ1606" s="201">
        <v>0</v>
      </c>
      <c r="AR1606" s="199"/>
      <c r="AS1606" s="150">
        <f t="shared" si="1399"/>
        <v>0</v>
      </c>
      <c r="AT1606" s="155"/>
      <c r="AU1606" s="156">
        <f t="shared" si="1401"/>
        <v>0</v>
      </c>
      <c r="AV1606" s="156">
        <f t="shared" si="1402"/>
        <v>0</v>
      </c>
      <c r="AW1606" s="157"/>
      <c r="AX1606" s="150">
        <v>0</v>
      </c>
      <c r="AY1606" s="150">
        <v>194.5</v>
      </c>
      <c r="AZ1606" s="150">
        <f t="shared" si="1400"/>
        <v>-194.5</v>
      </c>
      <c r="BA1606" s="150">
        <v>0</v>
      </c>
      <c r="BB1606" s="202">
        <v>5</v>
      </c>
      <c r="BC1606" s="202" t="s">
        <v>739</v>
      </c>
      <c r="BD1606" s="202" t="s">
        <v>647</v>
      </c>
      <c r="BE1606" s="202" t="s">
        <v>632</v>
      </c>
      <c r="BF1606" s="194" t="s">
        <v>766</v>
      </c>
      <c r="BG1606" s="231" t="s">
        <v>8905</v>
      </c>
      <c r="BH1606" s="216">
        <f>AS1606</f>
        <v>0</v>
      </c>
      <c r="BI1606" s="205"/>
      <c r="BJ1606" s="206" t="s">
        <v>8873</v>
      </c>
      <c r="BK1606" s="206" t="s">
        <v>586</v>
      </c>
      <c r="BL1606" s="207" t="s">
        <v>8874</v>
      </c>
      <c r="BM1606" s="208">
        <f>BH1606</f>
        <v>0</v>
      </c>
      <c r="BN1606" s="160"/>
      <c r="BO1606" s="161">
        <f t="shared" si="1374"/>
        <v>0</v>
      </c>
      <c r="BP1606" s="161"/>
    </row>
    <row r="1607" spans="1:68" ht="51">
      <c r="A1607" s="206" t="s">
        <v>586</v>
      </c>
      <c r="B1607" s="195" t="s">
        <v>8906</v>
      </c>
      <c r="C1607" s="196" t="s">
        <v>8907</v>
      </c>
      <c r="D1607" s="146" t="s">
        <v>4692</v>
      </c>
      <c r="E1607" s="196" t="s">
        <v>8907</v>
      </c>
      <c r="F1607" s="150">
        <v>0.17</v>
      </c>
      <c r="G1607" s="209">
        <v>0</v>
      </c>
      <c r="H1607" s="209">
        <v>21304.775025510204</v>
      </c>
      <c r="I1607" s="209">
        <v>21304.775025510204</v>
      </c>
      <c r="J1607" s="150">
        <v>0</v>
      </c>
      <c r="K1607" s="150">
        <v>0</v>
      </c>
      <c r="L1607" s="150">
        <f t="shared" si="1368"/>
        <v>0</v>
      </c>
      <c r="M1607" s="150">
        <v>570</v>
      </c>
      <c r="N1607" s="150">
        <v>-570</v>
      </c>
      <c r="O1607" s="150">
        <v>0</v>
      </c>
      <c r="P1607" s="150">
        <v>855</v>
      </c>
      <c r="Q1607" s="150">
        <v>-855</v>
      </c>
      <c r="R1607" s="313">
        <f t="shared" si="1395"/>
        <v>0</v>
      </c>
      <c r="S1607" s="150">
        <f t="shared" si="1407"/>
        <v>0</v>
      </c>
      <c r="T1607" s="150">
        <v>0</v>
      </c>
      <c r="U1607" s="150">
        <v>1117.83</v>
      </c>
      <c r="V1607" s="199">
        <v>-1117.83</v>
      </c>
      <c r="W1607" s="150">
        <f t="shared" si="1396"/>
        <v>0</v>
      </c>
      <c r="X1607" s="150">
        <v>1117.83</v>
      </c>
      <c r="Y1607" s="150">
        <v>-1117.83</v>
      </c>
      <c r="Z1607" s="150">
        <v>0</v>
      </c>
      <c r="AA1607" s="150">
        <f t="shared" si="1403"/>
        <v>0</v>
      </c>
      <c r="AB1607" s="150">
        <v>1117.83</v>
      </c>
      <c r="AC1607" s="199">
        <v>-1117.83</v>
      </c>
      <c r="AD1607" s="150">
        <f t="shared" si="1397"/>
        <v>0</v>
      </c>
      <c r="AE1607" s="150">
        <v>0</v>
      </c>
      <c r="AF1607" s="169" t="s">
        <v>4680</v>
      </c>
      <c r="AG1607" s="201">
        <v>1117.83</v>
      </c>
      <c r="AH1607" s="199">
        <v>-1117.83</v>
      </c>
      <c r="AI1607" s="150">
        <v>0</v>
      </c>
      <c r="AJ1607" s="169">
        <f t="shared" si="1404"/>
        <v>0</v>
      </c>
      <c r="AK1607" s="201">
        <v>1117.83</v>
      </c>
      <c r="AL1607" s="199">
        <v>-1117.83</v>
      </c>
      <c r="AM1607" s="150">
        <f t="shared" si="1398"/>
        <v>0</v>
      </c>
      <c r="AN1607" s="153">
        <f t="shared" si="1405"/>
        <v>0</v>
      </c>
      <c r="AO1607" s="154">
        <f t="shared" si="1406"/>
        <v>0</v>
      </c>
      <c r="AP1607" s="150">
        <v>0</v>
      </c>
      <c r="AQ1607" s="201">
        <v>0</v>
      </c>
      <c r="AR1607" s="199"/>
      <c r="AS1607" s="150">
        <f t="shared" si="1399"/>
        <v>0</v>
      </c>
      <c r="AT1607" s="155"/>
      <c r="AU1607" s="156">
        <f t="shared" si="1401"/>
        <v>0</v>
      </c>
      <c r="AV1607" s="156">
        <f t="shared" si="1402"/>
        <v>0</v>
      </c>
      <c r="AW1607" s="157"/>
      <c r="AX1607" s="150">
        <v>0</v>
      </c>
      <c r="AY1607" s="150">
        <v>665</v>
      </c>
      <c r="AZ1607" s="150">
        <f t="shared" si="1400"/>
        <v>-665</v>
      </c>
      <c r="BA1607" s="150">
        <v>0</v>
      </c>
      <c r="BB1607" s="202">
        <v>5</v>
      </c>
      <c r="BC1607" s="202" t="s">
        <v>739</v>
      </c>
      <c r="BD1607" s="202" t="s">
        <v>647</v>
      </c>
      <c r="BE1607" s="202" t="s">
        <v>632</v>
      </c>
      <c r="BF1607" s="194" t="s">
        <v>779</v>
      </c>
      <c r="BG1607" s="231" t="s">
        <v>8908</v>
      </c>
      <c r="BH1607" s="216">
        <f>AS1607</f>
        <v>0</v>
      </c>
      <c r="BI1607" s="205"/>
      <c r="BJ1607" s="206" t="s">
        <v>8873</v>
      </c>
      <c r="BK1607" s="206" t="s">
        <v>586</v>
      </c>
      <c r="BL1607" s="207" t="s">
        <v>8874</v>
      </c>
      <c r="BM1607" s="208">
        <f>BH1607</f>
        <v>0</v>
      </c>
      <c r="BN1607" s="160"/>
      <c r="BO1607" s="161">
        <f t="shared" si="1374"/>
        <v>0</v>
      </c>
      <c r="BP1607" s="161"/>
    </row>
    <row r="1608" spans="1:68" ht="76.5">
      <c r="A1608" s="206" t="s">
        <v>586</v>
      </c>
      <c r="B1608" s="195" t="s">
        <v>8909</v>
      </c>
      <c r="C1608" s="196" t="s">
        <v>8910</v>
      </c>
      <c r="D1608" s="146" t="s">
        <v>4692</v>
      </c>
      <c r="E1608" s="196" t="s">
        <v>8910</v>
      </c>
      <c r="F1608" s="150">
        <v>21304</v>
      </c>
      <c r="G1608" s="209">
        <v>0</v>
      </c>
      <c r="H1608" s="209">
        <v>27946.196989795921</v>
      </c>
      <c r="I1608" s="209">
        <v>27946.196989795921</v>
      </c>
      <c r="J1608" s="150">
        <v>0</v>
      </c>
      <c r="K1608" s="150">
        <v>1345.8999999999999</v>
      </c>
      <c r="L1608" s="150">
        <f t="shared" si="1368"/>
        <v>1345.8999999999999</v>
      </c>
      <c r="M1608" s="150">
        <v>0</v>
      </c>
      <c r="N1608" s="150">
        <v>2459.3851412872846</v>
      </c>
      <c r="O1608" s="150">
        <v>2459.3851412872846</v>
      </c>
      <c r="P1608" s="150">
        <v>0</v>
      </c>
      <c r="Q1608" s="150">
        <v>3586.1586189136351</v>
      </c>
      <c r="R1608" s="313">
        <f t="shared" si="1395"/>
        <v>3586.1586189136351</v>
      </c>
      <c r="S1608" s="150">
        <f t="shared" si="1407"/>
        <v>4781.5448252181795</v>
      </c>
      <c r="T1608" s="150">
        <v>7041.31</v>
      </c>
      <c r="U1608" s="150">
        <v>0</v>
      </c>
      <c r="V1608" s="199">
        <v>4781.5448252181804</v>
      </c>
      <c r="W1608" s="150">
        <f t="shared" si="1396"/>
        <v>4781.5448252181804</v>
      </c>
      <c r="X1608" s="150">
        <v>0</v>
      </c>
      <c r="Y1608" s="150">
        <v>4781.5448252181804</v>
      </c>
      <c r="Z1608" s="150">
        <v>4781.5448252181804</v>
      </c>
      <c r="AA1608" s="150">
        <f t="shared" si="1403"/>
        <v>2259.76517478182</v>
      </c>
      <c r="AB1608" s="150">
        <v>0</v>
      </c>
      <c r="AC1608" s="199">
        <v>7041.31</v>
      </c>
      <c r="AD1608" s="150">
        <f t="shared" si="1397"/>
        <v>7041.31</v>
      </c>
      <c r="AE1608" s="150">
        <v>7041.31</v>
      </c>
      <c r="AF1608" s="169" t="s">
        <v>4680</v>
      </c>
      <c r="AG1608" s="201">
        <v>0</v>
      </c>
      <c r="AH1608" s="199">
        <v>7041.31</v>
      </c>
      <c r="AI1608" s="150">
        <v>7041.31</v>
      </c>
      <c r="AJ1608" s="169">
        <f t="shared" si="1404"/>
        <v>0</v>
      </c>
      <c r="AK1608" s="201">
        <v>0</v>
      </c>
      <c r="AL1608" s="199">
        <v>7041.31</v>
      </c>
      <c r="AM1608" s="150">
        <f t="shared" si="1398"/>
        <v>7041.31</v>
      </c>
      <c r="AN1608" s="153">
        <f t="shared" si="1405"/>
        <v>0</v>
      </c>
      <c r="AO1608" s="154">
        <f t="shared" si="1406"/>
        <v>0</v>
      </c>
      <c r="AP1608" s="150">
        <v>7041.31</v>
      </c>
      <c r="AQ1608" s="201">
        <v>7041.31</v>
      </c>
      <c r="AR1608" s="199"/>
      <c r="AS1608" s="150">
        <f t="shared" si="1399"/>
        <v>7041.31</v>
      </c>
      <c r="AT1608" s="155"/>
      <c r="AU1608" s="156">
        <f t="shared" si="1401"/>
        <v>0</v>
      </c>
      <c r="AV1608" s="156">
        <f t="shared" si="1402"/>
        <v>2259.76517478182</v>
      </c>
      <c r="AW1608" s="157"/>
      <c r="AX1608" s="150">
        <v>4781.5448252181804</v>
      </c>
      <c r="AY1608" s="150">
        <v>0</v>
      </c>
      <c r="AZ1608" s="150">
        <f t="shared" si="1400"/>
        <v>4918.7702825745691</v>
      </c>
      <c r="BA1608" s="150">
        <v>4918.7702825745691</v>
      </c>
      <c r="BB1608" s="202">
        <v>5</v>
      </c>
      <c r="BC1608" s="202" t="s">
        <v>739</v>
      </c>
      <c r="BD1608" s="202" t="s">
        <v>647</v>
      </c>
      <c r="BE1608" s="202" t="s">
        <v>632</v>
      </c>
      <c r="BF1608" s="194" t="s">
        <v>1225</v>
      </c>
      <c r="BG1608" s="196" t="s">
        <v>8910</v>
      </c>
      <c r="BH1608" s="216">
        <f>AS1608</f>
        <v>7041.31</v>
      </c>
      <c r="BI1608" s="205"/>
      <c r="BJ1608" s="206" t="s">
        <v>8873</v>
      </c>
      <c r="BK1608" s="206" t="s">
        <v>586</v>
      </c>
      <c r="BL1608" s="207" t="s">
        <v>8874</v>
      </c>
      <c r="BM1608" s="208">
        <f>BH1608</f>
        <v>7041.31</v>
      </c>
      <c r="BN1608" s="160"/>
      <c r="BO1608" s="161">
        <f t="shared" si="1374"/>
        <v>0</v>
      </c>
      <c r="BP1608" s="161"/>
    </row>
    <row r="1609" spans="1:68" ht="63.75">
      <c r="A1609" s="206" t="s">
        <v>586</v>
      </c>
      <c r="B1609" s="195" t="s">
        <v>8911</v>
      </c>
      <c r="C1609" s="196" t="s">
        <v>8912</v>
      </c>
      <c r="D1609" s="146" t="s">
        <v>4692</v>
      </c>
      <c r="E1609" s="196" t="s">
        <v>8912</v>
      </c>
      <c r="F1609" s="150">
        <v>27946</v>
      </c>
      <c r="G1609" s="209">
        <v>0</v>
      </c>
      <c r="H1609" s="209">
        <v>0</v>
      </c>
      <c r="I1609" s="209">
        <v>0</v>
      </c>
      <c r="J1609" s="150">
        <v>0</v>
      </c>
      <c r="K1609" s="150">
        <v>1764.64</v>
      </c>
      <c r="L1609" s="150">
        <f t="shared" si="1368"/>
        <v>1764.64</v>
      </c>
      <c r="M1609" s="150">
        <v>0</v>
      </c>
      <c r="N1609" s="150">
        <v>3493.2746237244901</v>
      </c>
      <c r="O1609" s="150">
        <v>3493.2746237244901</v>
      </c>
      <c r="P1609" s="150">
        <v>0</v>
      </c>
      <c r="Q1609" s="150">
        <v>5093.7271636701798</v>
      </c>
      <c r="R1609" s="313">
        <f t="shared" si="1395"/>
        <v>5093.7271636701798</v>
      </c>
      <c r="S1609" s="150">
        <f t="shared" si="1407"/>
        <v>6791.6362182269058</v>
      </c>
      <c r="T1609" s="150">
        <v>7427.25</v>
      </c>
      <c r="U1609" s="150">
        <v>0</v>
      </c>
      <c r="V1609" s="199">
        <v>6791.6362182269067</v>
      </c>
      <c r="W1609" s="150">
        <f t="shared" si="1396"/>
        <v>6791.6362182269067</v>
      </c>
      <c r="X1609" s="150">
        <v>0</v>
      </c>
      <c r="Y1609" s="150">
        <v>6791.6362182269067</v>
      </c>
      <c r="Z1609" s="150">
        <v>6791.6362182269067</v>
      </c>
      <c r="AA1609" s="150">
        <f t="shared" si="1403"/>
        <v>635.61378177309325</v>
      </c>
      <c r="AB1609" s="150">
        <v>0</v>
      </c>
      <c r="AC1609" s="199">
        <v>7427.25</v>
      </c>
      <c r="AD1609" s="150">
        <f t="shared" si="1397"/>
        <v>7427.25</v>
      </c>
      <c r="AE1609" s="150">
        <v>7427.25</v>
      </c>
      <c r="AF1609" s="169" t="s">
        <v>4680</v>
      </c>
      <c r="AG1609" s="201">
        <v>0</v>
      </c>
      <c r="AH1609" s="199">
        <v>7427.25</v>
      </c>
      <c r="AI1609" s="150">
        <v>7427.25</v>
      </c>
      <c r="AJ1609" s="169">
        <f t="shared" si="1404"/>
        <v>0</v>
      </c>
      <c r="AK1609" s="201">
        <v>0</v>
      </c>
      <c r="AL1609" s="199">
        <v>7427.25</v>
      </c>
      <c r="AM1609" s="150">
        <f t="shared" si="1398"/>
        <v>7427.25</v>
      </c>
      <c r="AN1609" s="153">
        <f t="shared" si="1405"/>
        <v>0</v>
      </c>
      <c r="AO1609" s="154">
        <f t="shared" si="1406"/>
        <v>0</v>
      </c>
      <c r="AP1609" s="150">
        <v>7427.25</v>
      </c>
      <c r="AQ1609" s="201">
        <v>7427.25</v>
      </c>
      <c r="AR1609" s="199"/>
      <c r="AS1609" s="150">
        <f t="shared" si="1399"/>
        <v>7427.25</v>
      </c>
      <c r="AT1609" s="155"/>
      <c r="AU1609" s="156">
        <f t="shared" si="1401"/>
        <v>0</v>
      </c>
      <c r="AV1609" s="156">
        <f t="shared" si="1402"/>
        <v>635.61378177309325</v>
      </c>
      <c r="AW1609" s="157"/>
      <c r="AX1609" s="150">
        <v>6791.6362182269067</v>
      </c>
      <c r="AY1609" s="150">
        <v>0</v>
      </c>
      <c r="AZ1609" s="150">
        <f t="shared" si="1400"/>
        <v>6986.5492474489802</v>
      </c>
      <c r="BA1609" s="150">
        <v>6986.5492474489802</v>
      </c>
      <c r="BB1609" s="202">
        <v>5</v>
      </c>
      <c r="BC1609" s="202" t="s">
        <v>739</v>
      </c>
      <c r="BD1609" s="202" t="s">
        <v>647</v>
      </c>
      <c r="BE1609" s="202" t="s">
        <v>632</v>
      </c>
      <c r="BF1609" s="194">
        <v>11</v>
      </c>
      <c r="BG1609" s="196" t="s">
        <v>8912</v>
      </c>
      <c r="BH1609" s="216">
        <f>AS1609</f>
        <v>7427.25</v>
      </c>
      <c r="BI1609" s="205"/>
      <c r="BJ1609" s="206" t="s">
        <v>8873</v>
      </c>
      <c r="BK1609" s="206" t="s">
        <v>586</v>
      </c>
      <c r="BL1609" s="207" t="s">
        <v>8874</v>
      </c>
      <c r="BM1609" s="208">
        <f>BH1609</f>
        <v>7427.25</v>
      </c>
      <c r="BN1609" s="160"/>
      <c r="BO1609" s="161">
        <f t="shared" si="1374"/>
        <v>0</v>
      </c>
      <c r="BP1609" s="161"/>
    </row>
    <row r="1610" spans="1:68" ht="38.25">
      <c r="A1610" s="256" t="s">
        <v>587</v>
      </c>
      <c r="B1610" s="184"/>
      <c r="C1610" s="185" t="s">
        <v>92</v>
      </c>
      <c r="D1610" s="146" t="s">
        <v>4692</v>
      </c>
      <c r="E1610" s="185" t="s">
        <v>92</v>
      </c>
      <c r="F1610" s="188">
        <v>0</v>
      </c>
      <c r="G1610" s="187">
        <v>0</v>
      </c>
      <c r="H1610" s="187"/>
      <c r="I1610" s="187">
        <v>0</v>
      </c>
      <c r="J1610" s="188">
        <f>SUM(J1611:J1635)</f>
        <v>0</v>
      </c>
      <c r="K1610" s="188">
        <f>SUM(K1611:K1635)</f>
        <v>0</v>
      </c>
      <c r="L1610" s="188">
        <f t="shared" ref="L1610:L1673" si="1408">J1610+K1610</f>
        <v>0</v>
      </c>
      <c r="M1610" s="188">
        <v>0</v>
      </c>
      <c r="N1610" s="188">
        <v>0</v>
      </c>
      <c r="O1610" s="188">
        <v>0</v>
      </c>
      <c r="P1610" s="299">
        <f t="shared" ref="P1610:AD1610" si="1409">SUM(P1611:P1635)</f>
        <v>0</v>
      </c>
      <c r="Q1610" s="299">
        <f t="shared" si="1409"/>
        <v>0</v>
      </c>
      <c r="R1610" s="299">
        <f t="shared" si="1409"/>
        <v>0</v>
      </c>
      <c r="S1610" s="150">
        <f t="shared" si="1407"/>
        <v>0</v>
      </c>
      <c r="T1610" s="150">
        <v>0</v>
      </c>
      <c r="U1610" s="299">
        <f t="shared" ref="U1610:W1610" si="1410">SUM(U1611:U1635)</f>
        <v>0</v>
      </c>
      <c r="V1610" s="226">
        <f t="shared" si="1410"/>
        <v>0</v>
      </c>
      <c r="W1610" s="299">
        <f t="shared" si="1410"/>
        <v>0</v>
      </c>
      <c r="X1610" s="299">
        <v>0</v>
      </c>
      <c r="Y1610" s="299">
        <v>0</v>
      </c>
      <c r="Z1610" s="299">
        <v>0</v>
      </c>
      <c r="AA1610" s="299">
        <f t="shared" si="1403"/>
        <v>0</v>
      </c>
      <c r="AB1610" s="299">
        <v>0</v>
      </c>
      <c r="AC1610" s="226">
        <v>0</v>
      </c>
      <c r="AD1610" s="299">
        <f t="shared" si="1409"/>
        <v>0</v>
      </c>
      <c r="AE1610" s="299">
        <v>0</v>
      </c>
      <c r="AF1610" s="169" t="s">
        <v>4680</v>
      </c>
      <c r="AG1610" s="301">
        <v>0</v>
      </c>
      <c r="AH1610" s="226">
        <v>0</v>
      </c>
      <c r="AI1610" s="299">
        <v>0</v>
      </c>
      <c r="AJ1610" s="169">
        <f t="shared" si="1404"/>
        <v>0</v>
      </c>
      <c r="AK1610" s="301">
        <v>0</v>
      </c>
      <c r="AL1610" s="226">
        <v>0</v>
      </c>
      <c r="AM1610" s="299">
        <f t="shared" ref="AM1610" si="1411">SUM(AM1611:AM1635)</f>
        <v>0</v>
      </c>
      <c r="AN1610" s="153">
        <f t="shared" si="1405"/>
        <v>0</v>
      </c>
      <c r="AO1610" s="154">
        <f t="shared" si="1406"/>
        <v>0</v>
      </c>
      <c r="AP1610" s="299">
        <v>0</v>
      </c>
      <c r="AQ1610" s="301">
        <v>0</v>
      </c>
      <c r="AR1610" s="226">
        <f t="shared" ref="AR1610:AS1610" si="1412">SUM(AR1611:AR1635)</f>
        <v>0</v>
      </c>
      <c r="AS1610" s="299">
        <f t="shared" si="1412"/>
        <v>0</v>
      </c>
      <c r="AT1610" s="155"/>
      <c r="AU1610" s="156">
        <f t="shared" si="1401"/>
        <v>0</v>
      </c>
      <c r="AV1610" s="156">
        <f t="shared" si="1402"/>
        <v>0</v>
      </c>
      <c r="AW1610" s="157"/>
      <c r="AX1610" s="150">
        <v>0</v>
      </c>
      <c r="AY1610" s="299">
        <f t="shared" ref="AY1610:BA1610" si="1413">SUM(AY1611:AY1635)</f>
        <v>0</v>
      </c>
      <c r="AZ1610" s="299">
        <f t="shared" si="1413"/>
        <v>0</v>
      </c>
      <c r="BA1610" s="299">
        <f t="shared" si="1413"/>
        <v>0</v>
      </c>
      <c r="BB1610" s="192">
        <v>5</v>
      </c>
      <c r="BC1610" s="256" t="s">
        <v>739</v>
      </c>
      <c r="BD1610" s="256" t="s">
        <v>647</v>
      </c>
      <c r="BE1610" s="256" t="s">
        <v>647</v>
      </c>
      <c r="BF1610" s="256" t="s">
        <v>630</v>
      </c>
      <c r="BG1610" s="185" t="s">
        <v>92</v>
      </c>
      <c r="BH1610" s="215">
        <f>BH1611+BH1612+BH1620+BH1621+BH1632+BH1633+BH1634+BH1635</f>
        <v>0</v>
      </c>
      <c r="BI1610" s="192"/>
      <c r="BJ1610" s="256" t="s">
        <v>8913</v>
      </c>
      <c r="BK1610" s="256" t="s">
        <v>587</v>
      </c>
      <c r="BL1610" s="238" t="s">
        <v>8914</v>
      </c>
      <c r="BM1610" s="338">
        <f>BM1611+BM1612+BM1620+BM1621+BM1632+BM1633+BM1634+ BM1635</f>
        <v>0</v>
      </c>
      <c r="BN1610" s="160"/>
      <c r="BO1610" s="161">
        <f t="shared" si="1374"/>
        <v>0</v>
      </c>
      <c r="BP1610" s="161"/>
    </row>
    <row r="1611" spans="1:68" ht="38.25">
      <c r="A1611" s="206" t="s">
        <v>587</v>
      </c>
      <c r="B1611" s="195" t="s">
        <v>8915</v>
      </c>
      <c r="C1611" s="196" t="s">
        <v>8916</v>
      </c>
      <c r="D1611" s="146" t="s">
        <v>4692</v>
      </c>
      <c r="E1611" s="196" t="s">
        <v>8916</v>
      </c>
      <c r="F1611" s="150">
        <v>0</v>
      </c>
      <c r="G1611" s="209">
        <v>0</v>
      </c>
      <c r="H1611" s="209"/>
      <c r="I1611" s="209">
        <v>0</v>
      </c>
      <c r="J1611" s="150">
        <v>0</v>
      </c>
      <c r="K1611" s="150">
        <v>0</v>
      </c>
      <c r="L1611" s="150">
        <f t="shared" si="1408"/>
        <v>0</v>
      </c>
      <c r="M1611" s="150">
        <v>0</v>
      </c>
      <c r="N1611" s="150">
        <v>0</v>
      </c>
      <c r="O1611" s="150">
        <v>0</v>
      </c>
      <c r="P1611" s="150">
        <v>0</v>
      </c>
      <c r="Q1611" s="150">
        <v>0</v>
      </c>
      <c r="R1611" s="313">
        <f t="shared" ref="R1611:R1635" si="1414">P1611+Q1611</f>
        <v>0</v>
      </c>
      <c r="S1611" s="150">
        <f t="shared" si="1407"/>
        <v>0</v>
      </c>
      <c r="T1611" s="150">
        <v>0</v>
      </c>
      <c r="U1611" s="150">
        <v>0</v>
      </c>
      <c r="V1611" s="199">
        <v>0</v>
      </c>
      <c r="W1611" s="150">
        <f t="shared" ref="W1611:W1635" si="1415">U1611+V1611</f>
        <v>0</v>
      </c>
      <c r="X1611" s="150">
        <v>0</v>
      </c>
      <c r="Y1611" s="150">
        <v>0</v>
      </c>
      <c r="Z1611" s="150">
        <v>0</v>
      </c>
      <c r="AA1611" s="150">
        <f t="shared" si="1403"/>
        <v>0</v>
      </c>
      <c r="AB1611" s="150">
        <v>0</v>
      </c>
      <c r="AC1611" s="199">
        <v>0</v>
      </c>
      <c r="AD1611" s="150">
        <f t="shared" ref="AD1611:AD1659" si="1416">AB1611+AC1611</f>
        <v>0</v>
      </c>
      <c r="AE1611" s="150">
        <v>0</v>
      </c>
      <c r="AF1611" s="169" t="s">
        <v>4680</v>
      </c>
      <c r="AG1611" s="201">
        <v>0</v>
      </c>
      <c r="AH1611" s="199">
        <v>0</v>
      </c>
      <c r="AI1611" s="150">
        <v>0</v>
      </c>
      <c r="AJ1611" s="169">
        <f t="shared" si="1404"/>
        <v>0</v>
      </c>
      <c r="AK1611" s="201">
        <v>0</v>
      </c>
      <c r="AL1611" s="199">
        <v>0</v>
      </c>
      <c r="AM1611" s="150">
        <f t="shared" ref="AM1611:AM1635" si="1417">AK1611+AL1611</f>
        <v>0</v>
      </c>
      <c r="AN1611" s="153">
        <f t="shared" si="1405"/>
        <v>0</v>
      </c>
      <c r="AO1611" s="154">
        <f t="shared" si="1406"/>
        <v>0</v>
      </c>
      <c r="AP1611" s="150">
        <v>0</v>
      </c>
      <c r="AQ1611" s="201">
        <v>0</v>
      </c>
      <c r="AR1611" s="199">
        <v>0</v>
      </c>
      <c r="AS1611" s="150">
        <f t="shared" ref="AS1611:AS1635" si="1418">AQ1611+AR1611</f>
        <v>0</v>
      </c>
      <c r="AT1611" s="155"/>
      <c r="AU1611" s="156">
        <f t="shared" si="1401"/>
        <v>0</v>
      </c>
      <c r="AV1611" s="156">
        <f t="shared" si="1402"/>
        <v>0</v>
      </c>
      <c r="AW1611" s="157"/>
      <c r="AX1611" s="150">
        <v>0</v>
      </c>
      <c r="AY1611" s="150">
        <v>0</v>
      </c>
      <c r="AZ1611" s="150"/>
      <c r="BA1611" s="150">
        <f t="shared" ref="BA1611:BA1635" si="1419">AY1611+AZ1611</f>
        <v>0</v>
      </c>
      <c r="BB1611" s="202">
        <v>5</v>
      </c>
      <c r="BC1611" s="202" t="s">
        <v>739</v>
      </c>
      <c r="BD1611" s="202" t="s">
        <v>647</v>
      </c>
      <c r="BE1611" s="202" t="s">
        <v>647</v>
      </c>
      <c r="BF1611" s="202" t="s">
        <v>632</v>
      </c>
      <c r="BG1611" s="231" t="s">
        <v>8917</v>
      </c>
      <c r="BH1611" s="216">
        <f>AS1611</f>
        <v>0</v>
      </c>
      <c r="BI1611" s="205"/>
      <c r="BJ1611" s="206" t="s">
        <v>8913</v>
      </c>
      <c r="BK1611" s="206" t="s">
        <v>587</v>
      </c>
      <c r="BL1611" s="207" t="s">
        <v>8914</v>
      </c>
      <c r="BM1611" s="208">
        <f>BH1611</f>
        <v>0</v>
      </c>
      <c r="BN1611" s="160"/>
      <c r="BO1611" s="161">
        <f t="shared" si="1374"/>
        <v>0</v>
      </c>
      <c r="BP1611" s="161"/>
    </row>
    <row r="1612" spans="1:68" ht="38.25">
      <c r="A1612" s="206" t="s">
        <v>587</v>
      </c>
      <c r="B1612" s="195" t="s">
        <v>8918</v>
      </c>
      <c r="C1612" s="196" t="s">
        <v>8919</v>
      </c>
      <c r="D1612" s="146" t="s">
        <v>4692</v>
      </c>
      <c r="E1612" s="196" t="s">
        <v>8919</v>
      </c>
      <c r="F1612" s="150">
        <v>0</v>
      </c>
      <c r="G1612" s="209">
        <v>0</v>
      </c>
      <c r="H1612" s="209"/>
      <c r="I1612" s="209">
        <v>0</v>
      </c>
      <c r="J1612" s="150">
        <v>0</v>
      </c>
      <c r="K1612" s="150">
        <v>0</v>
      </c>
      <c r="L1612" s="150">
        <f t="shared" si="1408"/>
        <v>0</v>
      </c>
      <c r="M1612" s="150">
        <v>0</v>
      </c>
      <c r="N1612" s="150">
        <v>0</v>
      </c>
      <c r="O1612" s="150">
        <v>0</v>
      </c>
      <c r="P1612" s="150">
        <v>0</v>
      </c>
      <c r="Q1612" s="150">
        <v>0</v>
      </c>
      <c r="R1612" s="313">
        <f t="shared" si="1414"/>
        <v>0</v>
      </c>
      <c r="S1612" s="150">
        <f t="shared" si="1407"/>
        <v>0</v>
      </c>
      <c r="T1612" s="150">
        <v>0</v>
      </c>
      <c r="U1612" s="150">
        <v>0</v>
      </c>
      <c r="V1612" s="199">
        <v>0</v>
      </c>
      <c r="W1612" s="150">
        <f t="shared" si="1415"/>
        <v>0</v>
      </c>
      <c r="X1612" s="150">
        <v>0</v>
      </c>
      <c r="Y1612" s="150">
        <v>0</v>
      </c>
      <c r="Z1612" s="150">
        <v>0</v>
      </c>
      <c r="AA1612" s="150">
        <f t="shared" si="1403"/>
        <v>0</v>
      </c>
      <c r="AB1612" s="150">
        <v>0</v>
      </c>
      <c r="AC1612" s="199">
        <v>0</v>
      </c>
      <c r="AD1612" s="150">
        <f t="shared" si="1416"/>
        <v>0</v>
      </c>
      <c r="AE1612" s="150">
        <v>0</v>
      </c>
      <c r="AF1612" s="169" t="s">
        <v>4680</v>
      </c>
      <c r="AG1612" s="201">
        <v>0</v>
      </c>
      <c r="AH1612" s="199">
        <v>0</v>
      </c>
      <c r="AI1612" s="150">
        <v>0</v>
      </c>
      <c r="AJ1612" s="169">
        <f t="shared" si="1404"/>
        <v>0</v>
      </c>
      <c r="AK1612" s="201">
        <v>0</v>
      </c>
      <c r="AL1612" s="199">
        <v>0</v>
      </c>
      <c r="AM1612" s="150">
        <f t="shared" si="1417"/>
        <v>0</v>
      </c>
      <c r="AN1612" s="153">
        <f t="shared" si="1405"/>
        <v>0</v>
      </c>
      <c r="AO1612" s="154">
        <f t="shared" si="1406"/>
        <v>0</v>
      </c>
      <c r="AP1612" s="150">
        <v>0</v>
      </c>
      <c r="AQ1612" s="201">
        <v>0</v>
      </c>
      <c r="AR1612" s="199">
        <v>0</v>
      </c>
      <c r="AS1612" s="150">
        <f t="shared" si="1418"/>
        <v>0</v>
      </c>
      <c r="AT1612" s="155"/>
      <c r="AU1612" s="156">
        <f t="shared" si="1401"/>
        <v>0</v>
      </c>
      <c r="AV1612" s="156">
        <f t="shared" si="1402"/>
        <v>0</v>
      </c>
      <c r="AW1612" s="157"/>
      <c r="AX1612" s="150">
        <v>0</v>
      </c>
      <c r="AY1612" s="150">
        <v>0</v>
      </c>
      <c r="AZ1612" s="150"/>
      <c r="BA1612" s="150">
        <f t="shared" si="1419"/>
        <v>0</v>
      </c>
      <c r="BB1612" s="202">
        <v>5</v>
      </c>
      <c r="BC1612" s="202" t="s">
        <v>739</v>
      </c>
      <c r="BD1612" s="202" t="s">
        <v>647</v>
      </c>
      <c r="BE1612" s="202" t="s">
        <v>647</v>
      </c>
      <c r="BF1612" s="202" t="s">
        <v>714</v>
      </c>
      <c r="BG1612" s="231" t="s">
        <v>8920</v>
      </c>
      <c r="BH1612" s="216">
        <f>SUM(AS1612:AS1619)</f>
        <v>0</v>
      </c>
      <c r="BI1612" s="205"/>
      <c r="BJ1612" s="206" t="s">
        <v>8913</v>
      </c>
      <c r="BK1612" s="206" t="s">
        <v>587</v>
      </c>
      <c r="BL1612" s="207" t="s">
        <v>8914</v>
      </c>
      <c r="BM1612" s="208">
        <f>BH1612</f>
        <v>0</v>
      </c>
      <c r="BN1612" s="160"/>
      <c r="BO1612" s="161">
        <f t="shared" si="1374"/>
        <v>0</v>
      </c>
      <c r="BP1612" s="161"/>
    </row>
    <row r="1613" spans="1:68" ht="38.25">
      <c r="A1613" s="210"/>
      <c r="B1613" s="195" t="s">
        <v>8921</v>
      </c>
      <c r="C1613" s="196" t="s">
        <v>8922</v>
      </c>
      <c r="D1613" s="146" t="s">
        <v>4692</v>
      </c>
      <c r="E1613" s="196" t="s">
        <v>8922</v>
      </c>
      <c r="F1613" s="150">
        <v>0</v>
      </c>
      <c r="G1613" s="209">
        <v>0</v>
      </c>
      <c r="H1613" s="209"/>
      <c r="I1613" s="209">
        <v>0</v>
      </c>
      <c r="J1613" s="150">
        <v>0</v>
      </c>
      <c r="K1613" s="150">
        <v>0</v>
      </c>
      <c r="L1613" s="150">
        <f t="shared" si="1408"/>
        <v>0</v>
      </c>
      <c r="M1613" s="150">
        <v>0</v>
      </c>
      <c r="N1613" s="150">
        <v>0</v>
      </c>
      <c r="O1613" s="150">
        <v>0</v>
      </c>
      <c r="P1613" s="150">
        <v>0</v>
      </c>
      <c r="Q1613" s="150">
        <v>0</v>
      </c>
      <c r="R1613" s="313">
        <f t="shared" si="1414"/>
        <v>0</v>
      </c>
      <c r="S1613" s="150">
        <f t="shared" si="1407"/>
        <v>0</v>
      </c>
      <c r="T1613" s="150">
        <v>0</v>
      </c>
      <c r="U1613" s="150">
        <v>0</v>
      </c>
      <c r="V1613" s="199">
        <v>0</v>
      </c>
      <c r="W1613" s="150">
        <f t="shared" si="1415"/>
        <v>0</v>
      </c>
      <c r="X1613" s="150">
        <v>0</v>
      </c>
      <c r="Y1613" s="150">
        <v>0</v>
      </c>
      <c r="Z1613" s="150">
        <v>0</v>
      </c>
      <c r="AA1613" s="150">
        <f t="shared" si="1403"/>
        <v>0</v>
      </c>
      <c r="AB1613" s="150">
        <v>0</v>
      </c>
      <c r="AC1613" s="199">
        <v>0</v>
      </c>
      <c r="AD1613" s="150">
        <f t="shared" si="1416"/>
        <v>0</v>
      </c>
      <c r="AE1613" s="150">
        <v>0</v>
      </c>
      <c r="AF1613" s="169" t="s">
        <v>4680</v>
      </c>
      <c r="AG1613" s="201">
        <v>0</v>
      </c>
      <c r="AH1613" s="199">
        <v>0</v>
      </c>
      <c r="AI1613" s="150">
        <v>0</v>
      </c>
      <c r="AJ1613" s="169">
        <f t="shared" si="1404"/>
        <v>0</v>
      </c>
      <c r="AK1613" s="201">
        <v>0</v>
      </c>
      <c r="AL1613" s="199">
        <v>0</v>
      </c>
      <c r="AM1613" s="150">
        <f t="shared" si="1417"/>
        <v>0</v>
      </c>
      <c r="AN1613" s="153">
        <f t="shared" si="1405"/>
        <v>0</v>
      </c>
      <c r="AO1613" s="154">
        <f t="shared" si="1406"/>
        <v>0</v>
      </c>
      <c r="AP1613" s="150">
        <v>0</v>
      </c>
      <c r="AQ1613" s="201">
        <v>0</v>
      </c>
      <c r="AR1613" s="199">
        <v>0</v>
      </c>
      <c r="AS1613" s="150">
        <f t="shared" si="1418"/>
        <v>0</v>
      </c>
      <c r="AT1613" s="155"/>
      <c r="AU1613" s="156">
        <f t="shared" si="1401"/>
        <v>0</v>
      </c>
      <c r="AV1613" s="156">
        <f t="shared" si="1402"/>
        <v>0</v>
      </c>
      <c r="AW1613" s="157"/>
      <c r="AX1613" s="150">
        <v>0</v>
      </c>
      <c r="AY1613" s="150">
        <v>0</v>
      </c>
      <c r="AZ1613" s="150"/>
      <c r="BA1613" s="150">
        <f t="shared" si="1419"/>
        <v>0</v>
      </c>
      <c r="BB1613" s="210"/>
      <c r="BC1613" s="210"/>
      <c r="BD1613" s="210"/>
      <c r="BE1613" s="210"/>
      <c r="BF1613" s="210"/>
      <c r="BG1613" s="210"/>
      <c r="BH1613" s="217"/>
      <c r="BI1613" s="210"/>
      <c r="BJ1613" s="210"/>
      <c r="BK1613" s="210"/>
      <c r="BL1613" s="210"/>
      <c r="BM1613" s="208"/>
      <c r="BN1613" s="160"/>
      <c r="BO1613" s="161">
        <f t="shared" si="1374"/>
        <v>0</v>
      </c>
      <c r="BP1613" s="161"/>
    </row>
    <row r="1614" spans="1:68" ht="38.25">
      <c r="A1614" s="210"/>
      <c r="B1614" s="195" t="s">
        <v>8923</v>
      </c>
      <c r="C1614" s="196" t="s">
        <v>8924</v>
      </c>
      <c r="D1614" s="146" t="s">
        <v>4692</v>
      </c>
      <c r="E1614" s="196" t="s">
        <v>8924</v>
      </c>
      <c r="F1614" s="150">
        <v>0</v>
      </c>
      <c r="G1614" s="209">
        <v>0</v>
      </c>
      <c r="H1614" s="209"/>
      <c r="I1614" s="209">
        <v>0</v>
      </c>
      <c r="J1614" s="150">
        <v>0</v>
      </c>
      <c r="K1614" s="150">
        <v>0</v>
      </c>
      <c r="L1614" s="150">
        <f t="shared" si="1408"/>
        <v>0</v>
      </c>
      <c r="M1614" s="150">
        <v>0</v>
      </c>
      <c r="N1614" s="150">
        <v>0</v>
      </c>
      <c r="O1614" s="150">
        <v>0</v>
      </c>
      <c r="P1614" s="150">
        <v>0</v>
      </c>
      <c r="Q1614" s="150">
        <v>0</v>
      </c>
      <c r="R1614" s="313">
        <f t="shared" si="1414"/>
        <v>0</v>
      </c>
      <c r="S1614" s="150">
        <f t="shared" si="1407"/>
        <v>0</v>
      </c>
      <c r="T1614" s="150">
        <v>0</v>
      </c>
      <c r="U1614" s="150">
        <v>0</v>
      </c>
      <c r="V1614" s="199">
        <v>0</v>
      </c>
      <c r="W1614" s="150">
        <f t="shared" si="1415"/>
        <v>0</v>
      </c>
      <c r="X1614" s="150">
        <v>0</v>
      </c>
      <c r="Y1614" s="150">
        <v>0</v>
      </c>
      <c r="Z1614" s="150">
        <v>0</v>
      </c>
      <c r="AA1614" s="150">
        <f t="shared" si="1403"/>
        <v>0</v>
      </c>
      <c r="AB1614" s="150">
        <v>0</v>
      </c>
      <c r="AC1614" s="199">
        <v>0</v>
      </c>
      <c r="AD1614" s="150">
        <f t="shared" si="1416"/>
        <v>0</v>
      </c>
      <c r="AE1614" s="150">
        <v>0</v>
      </c>
      <c r="AF1614" s="169" t="s">
        <v>4680</v>
      </c>
      <c r="AG1614" s="201">
        <v>0</v>
      </c>
      <c r="AH1614" s="199">
        <v>0</v>
      </c>
      <c r="AI1614" s="150">
        <v>0</v>
      </c>
      <c r="AJ1614" s="169">
        <f t="shared" si="1404"/>
        <v>0</v>
      </c>
      <c r="AK1614" s="201">
        <v>0</v>
      </c>
      <c r="AL1614" s="199">
        <v>0</v>
      </c>
      <c r="AM1614" s="150">
        <f t="shared" si="1417"/>
        <v>0</v>
      </c>
      <c r="AN1614" s="153">
        <f t="shared" si="1405"/>
        <v>0</v>
      </c>
      <c r="AO1614" s="154">
        <f t="shared" si="1406"/>
        <v>0</v>
      </c>
      <c r="AP1614" s="150">
        <v>0</v>
      </c>
      <c r="AQ1614" s="201">
        <v>0</v>
      </c>
      <c r="AR1614" s="199">
        <v>0</v>
      </c>
      <c r="AS1614" s="150">
        <f t="shared" si="1418"/>
        <v>0</v>
      </c>
      <c r="AT1614" s="155"/>
      <c r="AU1614" s="156">
        <f t="shared" si="1401"/>
        <v>0</v>
      </c>
      <c r="AV1614" s="156">
        <f t="shared" si="1402"/>
        <v>0</v>
      </c>
      <c r="AW1614" s="157"/>
      <c r="AX1614" s="150">
        <v>0</v>
      </c>
      <c r="AY1614" s="150">
        <v>0</v>
      </c>
      <c r="AZ1614" s="150"/>
      <c r="BA1614" s="150">
        <f t="shared" si="1419"/>
        <v>0</v>
      </c>
      <c r="BB1614" s="210"/>
      <c r="BC1614" s="210"/>
      <c r="BD1614" s="210"/>
      <c r="BE1614" s="210"/>
      <c r="BF1614" s="210"/>
      <c r="BG1614" s="210"/>
      <c r="BH1614" s="217"/>
      <c r="BI1614" s="210"/>
      <c r="BJ1614" s="210"/>
      <c r="BK1614" s="210"/>
      <c r="BL1614" s="210"/>
      <c r="BM1614" s="208"/>
      <c r="BN1614" s="160"/>
      <c r="BO1614" s="161">
        <f t="shared" si="1374"/>
        <v>0</v>
      </c>
      <c r="BP1614" s="161"/>
    </row>
    <row r="1615" spans="1:68" ht="38.25">
      <c r="A1615" s="210"/>
      <c r="B1615" s="195" t="s">
        <v>8925</v>
      </c>
      <c r="C1615" s="196" t="s">
        <v>8926</v>
      </c>
      <c r="D1615" s="146" t="s">
        <v>4692</v>
      </c>
      <c r="E1615" s="196" t="s">
        <v>8926</v>
      </c>
      <c r="F1615" s="150">
        <v>0</v>
      </c>
      <c r="G1615" s="209">
        <v>0</v>
      </c>
      <c r="H1615" s="209"/>
      <c r="I1615" s="209">
        <v>0</v>
      </c>
      <c r="J1615" s="150">
        <v>0</v>
      </c>
      <c r="K1615" s="150">
        <v>0</v>
      </c>
      <c r="L1615" s="150">
        <f t="shared" si="1408"/>
        <v>0</v>
      </c>
      <c r="M1615" s="150">
        <v>0</v>
      </c>
      <c r="N1615" s="150">
        <v>0</v>
      </c>
      <c r="O1615" s="150">
        <v>0</v>
      </c>
      <c r="P1615" s="150">
        <v>0</v>
      </c>
      <c r="Q1615" s="150">
        <v>0</v>
      </c>
      <c r="R1615" s="313">
        <f t="shared" si="1414"/>
        <v>0</v>
      </c>
      <c r="S1615" s="150">
        <f t="shared" si="1407"/>
        <v>0</v>
      </c>
      <c r="T1615" s="150">
        <v>0</v>
      </c>
      <c r="U1615" s="150">
        <v>0</v>
      </c>
      <c r="V1615" s="199">
        <v>0</v>
      </c>
      <c r="W1615" s="150">
        <f t="shared" si="1415"/>
        <v>0</v>
      </c>
      <c r="X1615" s="150">
        <v>0</v>
      </c>
      <c r="Y1615" s="150">
        <v>0</v>
      </c>
      <c r="Z1615" s="150">
        <v>0</v>
      </c>
      <c r="AA1615" s="150">
        <f t="shared" si="1403"/>
        <v>0</v>
      </c>
      <c r="AB1615" s="150">
        <v>0</v>
      </c>
      <c r="AC1615" s="199">
        <v>0</v>
      </c>
      <c r="AD1615" s="150">
        <f t="shared" si="1416"/>
        <v>0</v>
      </c>
      <c r="AE1615" s="150">
        <v>0</v>
      </c>
      <c r="AF1615" s="169" t="s">
        <v>4680</v>
      </c>
      <c r="AG1615" s="201">
        <v>0</v>
      </c>
      <c r="AH1615" s="199">
        <v>0</v>
      </c>
      <c r="AI1615" s="150">
        <v>0</v>
      </c>
      <c r="AJ1615" s="169">
        <f t="shared" si="1404"/>
        <v>0</v>
      </c>
      <c r="AK1615" s="201">
        <v>0</v>
      </c>
      <c r="AL1615" s="199">
        <v>0</v>
      </c>
      <c r="AM1615" s="150">
        <f t="shared" si="1417"/>
        <v>0</v>
      </c>
      <c r="AN1615" s="153">
        <f t="shared" si="1405"/>
        <v>0</v>
      </c>
      <c r="AO1615" s="154">
        <f t="shared" si="1406"/>
        <v>0</v>
      </c>
      <c r="AP1615" s="150">
        <v>0</v>
      </c>
      <c r="AQ1615" s="201">
        <v>0</v>
      </c>
      <c r="AR1615" s="199">
        <v>0</v>
      </c>
      <c r="AS1615" s="150">
        <f t="shared" si="1418"/>
        <v>0</v>
      </c>
      <c r="AT1615" s="155"/>
      <c r="AU1615" s="156">
        <f t="shared" si="1401"/>
        <v>0</v>
      </c>
      <c r="AV1615" s="156">
        <f t="shared" si="1402"/>
        <v>0</v>
      </c>
      <c r="AW1615" s="157"/>
      <c r="AX1615" s="150">
        <v>0</v>
      </c>
      <c r="AY1615" s="150">
        <v>0</v>
      </c>
      <c r="AZ1615" s="150"/>
      <c r="BA1615" s="150">
        <f t="shared" si="1419"/>
        <v>0</v>
      </c>
      <c r="BB1615" s="210"/>
      <c r="BC1615" s="210"/>
      <c r="BD1615" s="210"/>
      <c r="BE1615" s="210"/>
      <c r="BF1615" s="210"/>
      <c r="BG1615" s="210"/>
      <c r="BH1615" s="217"/>
      <c r="BI1615" s="210"/>
      <c r="BJ1615" s="210"/>
      <c r="BK1615" s="210"/>
      <c r="BL1615" s="210"/>
      <c r="BM1615" s="208"/>
      <c r="BN1615" s="160"/>
      <c r="BO1615" s="161">
        <f t="shared" si="1374"/>
        <v>0</v>
      </c>
      <c r="BP1615" s="161"/>
    </row>
    <row r="1616" spans="1:68" ht="38.25">
      <c r="A1616" s="210"/>
      <c r="B1616" s="195" t="s">
        <v>8927</v>
      </c>
      <c r="C1616" s="196" t="s">
        <v>8928</v>
      </c>
      <c r="D1616" s="146" t="s">
        <v>4692</v>
      </c>
      <c r="E1616" s="196" t="s">
        <v>8928</v>
      </c>
      <c r="F1616" s="150">
        <v>0</v>
      </c>
      <c r="G1616" s="209">
        <v>0</v>
      </c>
      <c r="H1616" s="209"/>
      <c r="I1616" s="209">
        <v>0</v>
      </c>
      <c r="J1616" s="150">
        <v>0</v>
      </c>
      <c r="K1616" s="150">
        <v>0</v>
      </c>
      <c r="L1616" s="150">
        <f t="shared" si="1408"/>
        <v>0</v>
      </c>
      <c r="M1616" s="150">
        <v>0</v>
      </c>
      <c r="N1616" s="150">
        <v>0</v>
      </c>
      <c r="O1616" s="150">
        <v>0</v>
      </c>
      <c r="P1616" s="150">
        <v>0</v>
      </c>
      <c r="Q1616" s="150">
        <v>0</v>
      </c>
      <c r="R1616" s="313">
        <f t="shared" si="1414"/>
        <v>0</v>
      </c>
      <c r="S1616" s="150">
        <f t="shared" si="1407"/>
        <v>0</v>
      </c>
      <c r="T1616" s="150">
        <v>0</v>
      </c>
      <c r="U1616" s="150">
        <v>0</v>
      </c>
      <c r="V1616" s="199">
        <v>0</v>
      </c>
      <c r="W1616" s="150">
        <f t="shared" si="1415"/>
        <v>0</v>
      </c>
      <c r="X1616" s="150">
        <v>0</v>
      </c>
      <c r="Y1616" s="150">
        <v>0</v>
      </c>
      <c r="Z1616" s="150">
        <v>0</v>
      </c>
      <c r="AA1616" s="150">
        <f t="shared" si="1403"/>
        <v>0</v>
      </c>
      <c r="AB1616" s="150">
        <v>0</v>
      </c>
      <c r="AC1616" s="199">
        <v>0</v>
      </c>
      <c r="AD1616" s="150">
        <f t="shared" si="1416"/>
        <v>0</v>
      </c>
      <c r="AE1616" s="150">
        <v>0</v>
      </c>
      <c r="AF1616" s="169" t="s">
        <v>4680</v>
      </c>
      <c r="AG1616" s="201">
        <v>0</v>
      </c>
      <c r="AH1616" s="199">
        <v>0</v>
      </c>
      <c r="AI1616" s="150">
        <v>0</v>
      </c>
      <c r="AJ1616" s="169">
        <f t="shared" si="1404"/>
        <v>0</v>
      </c>
      <c r="AK1616" s="201">
        <v>0</v>
      </c>
      <c r="AL1616" s="199">
        <v>0</v>
      </c>
      <c r="AM1616" s="150">
        <f t="shared" si="1417"/>
        <v>0</v>
      </c>
      <c r="AN1616" s="153">
        <f t="shared" si="1405"/>
        <v>0</v>
      </c>
      <c r="AO1616" s="154">
        <f t="shared" si="1406"/>
        <v>0</v>
      </c>
      <c r="AP1616" s="150">
        <v>0</v>
      </c>
      <c r="AQ1616" s="201">
        <v>0</v>
      </c>
      <c r="AR1616" s="199">
        <v>0</v>
      </c>
      <c r="AS1616" s="150">
        <f t="shared" si="1418"/>
        <v>0</v>
      </c>
      <c r="AT1616" s="155"/>
      <c r="AU1616" s="156">
        <f t="shared" si="1401"/>
        <v>0</v>
      </c>
      <c r="AV1616" s="156">
        <f t="shared" si="1402"/>
        <v>0</v>
      </c>
      <c r="AW1616" s="157"/>
      <c r="AX1616" s="150">
        <v>0</v>
      </c>
      <c r="AY1616" s="150">
        <v>0</v>
      </c>
      <c r="AZ1616" s="150"/>
      <c r="BA1616" s="150">
        <f t="shared" si="1419"/>
        <v>0</v>
      </c>
      <c r="BB1616" s="210"/>
      <c r="BC1616" s="210"/>
      <c r="BD1616" s="210"/>
      <c r="BE1616" s="210"/>
      <c r="BF1616" s="210"/>
      <c r="BG1616" s="210"/>
      <c r="BH1616" s="217"/>
      <c r="BI1616" s="210"/>
      <c r="BJ1616" s="210"/>
      <c r="BK1616" s="210"/>
      <c r="BL1616" s="210"/>
      <c r="BM1616" s="208"/>
      <c r="BN1616" s="160"/>
      <c r="BO1616" s="161">
        <f t="shared" si="1374"/>
        <v>0</v>
      </c>
      <c r="BP1616" s="161"/>
    </row>
    <row r="1617" spans="1:68" ht="38.25">
      <c r="A1617" s="210"/>
      <c r="B1617" s="195" t="s">
        <v>8929</v>
      </c>
      <c r="C1617" s="196" t="s">
        <v>8930</v>
      </c>
      <c r="D1617" s="146" t="s">
        <v>4692</v>
      </c>
      <c r="E1617" s="196" t="s">
        <v>8930</v>
      </c>
      <c r="F1617" s="150">
        <v>0</v>
      </c>
      <c r="G1617" s="209">
        <v>0</v>
      </c>
      <c r="H1617" s="209"/>
      <c r="I1617" s="209">
        <v>0</v>
      </c>
      <c r="J1617" s="150">
        <v>0</v>
      </c>
      <c r="K1617" s="150">
        <v>0</v>
      </c>
      <c r="L1617" s="150">
        <f t="shared" si="1408"/>
        <v>0</v>
      </c>
      <c r="M1617" s="150">
        <v>0</v>
      </c>
      <c r="N1617" s="150">
        <v>0</v>
      </c>
      <c r="O1617" s="150">
        <v>0</v>
      </c>
      <c r="P1617" s="150">
        <v>0</v>
      </c>
      <c r="Q1617" s="150">
        <v>0</v>
      </c>
      <c r="R1617" s="313">
        <f t="shared" si="1414"/>
        <v>0</v>
      </c>
      <c r="S1617" s="150">
        <f t="shared" si="1407"/>
        <v>0</v>
      </c>
      <c r="T1617" s="150">
        <v>0</v>
      </c>
      <c r="U1617" s="150">
        <v>0</v>
      </c>
      <c r="V1617" s="199">
        <v>0</v>
      </c>
      <c r="W1617" s="150">
        <f t="shared" si="1415"/>
        <v>0</v>
      </c>
      <c r="X1617" s="150">
        <v>0</v>
      </c>
      <c r="Y1617" s="150">
        <v>0</v>
      </c>
      <c r="Z1617" s="150">
        <v>0</v>
      </c>
      <c r="AA1617" s="150">
        <f t="shared" si="1403"/>
        <v>0</v>
      </c>
      <c r="AB1617" s="150">
        <v>0</v>
      </c>
      <c r="AC1617" s="199">
        <v>0</v>
      </c>
      <c r="AD1617" s="150">
        <f t="shared" si="1416"/>
        <v>0</v>
      </c>
      <c r="AE1617" s="150">
        <v>0</v>
      </c>
      <c r="AF1617" s="169" t="s">
        <v>4680</v>
      </c>
      <c r="AG1617" s="201">
        <v>0</v>
      </c>
      <c r="AH1617" s="199">
        <v>0</v>
      </c>
      <c r="AI1617" s="150">
        <v>0</v>
      </c>
      <c r="AJ1617" s="169">
        <f t="shared" si="1404"/>
        <v>0</v>
      </c>
      <c r="AK1617" s="201">
        <v>0</v>
      </c>
      <c r="AL1617" s="199">
        <v>0</v>
      </c>
      <c r="AM1617" s="150">
        <f t="shared" si="1417"/>
        <v>0</v>
      </c>
      <c r="AN1617" s="153">
        <f t="shared" si="1405"/>
        <v>0</v>
      </c>
      <c r="AO1617" s="154">
        <f t="shared" si="1406"/>
        <v>0</v>
      </c>
      <c r="AP1617" s="150">
        <v>0</v>
      </c>
      <c r="AQ1617" s="201">
        <v>0</v>
      </c>
      <c r="AR1617" s="199">
        <v>0</v>
      </c>
      <c r="AS1617" s="150">
        <f t="shared" si="1418"/>
        <v>0</v>
      </c>
      <c r="AT1617" s="155"/>
      <c r="AU1617" s="156">
        <f t="shared" si="1401"/>
        <v>0</v>
      </c>
      <c r="AV1617" s="156">
        <f t="shared" si="1402"/>
        <v>0</v>
      </c>
      <c r="AW1617" s="157"/>
      <c r="AX1617" s="150">
        <v>0</v>
      </c>
      <c r="AY1617" s="150">
        <v>0</v>
      </c>
      <c r="AZ1617" s="150"/>
      <c r="BA1617" s="150">
        <f t="shared" si="1419"/>
        <v>0</v>
      </c>
      <c r="BB1617" s="210"/>
      <c r="BC1617" s="210"/>
      <c r="BD1617" s="210"/>
      <c r="BE1617" s="210"/>
      <c r="BF1617" s="210"/>
      <c r="BG1617" s="210"/>
      <c r="BH1617" s="217"/>
      <c r="BI1617" s="210"/>
      <c r="BJ1617" s="210"/>
      <c r="BK1617" s="210"/>
      <c r="BL1617" s="210"/>
      <c r="BM1617" s="208"/>
      <c r="BN1617" s="160"/>
      <c r="BO1617" s="161">
        <f t="shared" si="1374"/>
        <v>0</v>
      </c>
      <c r="BP1617" s="161"/>
    </row>
    <row r="1618" spans="1:68" ht="38.25">
      <c r="A1618" s="210"/>
      <c r="B1618" s="195" t="s">
        <v>8931</v>
      </c>
      <c r="C1618" s="196" t="s">
        <v>8932</v>
      </c>
      <c r="D1618" s="146" t="s">
        <v>4692</v>
      </c>
      <c r="E1618" s="196" t="s">
        <v>8932</v>
      </c>
      <c r="F1618" s="150">
        <v>0</v>
      </c>
      <c r="G1618" s="209">
        <v>0</v>
      </c>
      <c r="H1618" s="209"/>
      <c r="I1618" s="209">
        <v>0</v>
      </c>
      <c r="J1618" s="150">
        <v>0</v>
      </c>
      <c r="K1618" s="150">
        <v>0</v>
      </c>
      <c r="L1618" s="150">
        <f t="shared" si="1408"/>
        <v>0</v>
      </c>
      <c r="M1618" s="150">
        <v>0</v>
      </c>
      <c r="N1618" s="150">
        <v>0</v>
      </c>
      <c r="O1618" s="150">
        <v>0</v>
      </c>
      <c r="P1618" s="150">
        <v>0</v>
      </c>
      <c r="Q1618" s="150">
        <v>0</v>
      </c>
      <c r="R1618" s="313">
        <f t="shared" si="1414"/>
        <v>0</v>
      </c>
      <c r="S1618" s="150">
        <f t="shared" si="1407"/>
        <v>0</v>
      </c>
      <c r="T1618" s="150">
        <v>0</v>
      </c>
      <c r="U1618" s="150">
        <v>0</v>
      </c>
      <c r="V1618" s="199">
        <v>0</v>
      </c>
      <c r="W1618" s="150">
        <f t="shared" si="1415"/>
        <v>0</v>
      </c>
      <c r="X1618" s="150">
        <v>0</v>
      </c>
      <c r="Y1618" s="150">
        <v>0</v>
      </c>
      <c r="Z1618" s="150">
        <v>0</v>
      </c>
      <c r="AA1618" s="150">
        <f t="shared" si="1403"/>
        <v>0</v>
      </c>
      <c r="AB1618" s="150">
        <v>0</v>
      </c>
      <c r="AC1618" s="199">
        <v>0</v>
      </c>
      <c r="AD1618" s="150">
        <f t="shared" si="1416"/>
        <v>0</v>
      </c>
      <c r="AE1618" s="150">
        <v>0</v>
      </c>
      <c r="AF1618" s="169" t="s">
        <v>4680</v>
      </c>
      <c r="AG1618" s="201">
        <v>0</v>
      </c>
      <c r="AH1618" s="199">
        <v>0</v>
      </c>
      <c r="AI1618" s="150">
        <v>0</v>
      </c>
      <c r="AJ1618" s="169">
        <f t="shared" si="1404"/>
        <v>0</v>
      </c>
      <c r="AK1618" s="201">
        <v>0</v>
      </c>
      <c r="AL1618" s="199">
        <v>0</v>
      </c>
      <c r="AM1618" s="150">
        <f t="shared" si="1417"/>
        <v>0</v>
      </c>
      <c r="AN1618" s="153">
        <f t="shared" si="1405"/>
        <v>0</v>
      </c>
      <c r="AO1618" s="154">
        <f t="shared" si="1406"/>
        <v>0</v>
      </c>
      <c r="AP1618" s="150">
        <v>0</v>
      </c>
      <c r="AQ1618" s="201">
        <v>0</v>
      </c>
      <c r="AR1618" s="199">
        <v>0</v>
      </c>
      <c r="AS1618" s="150">
        <f t="shared" si="1418"/>
        <v>0</v>
      </c>
      <c r="AT1618" s="155"/>
      <c r="AU1618" s="156">
        <f t="shared" si="1401"/>
        <v>0</v>
      </c>
      <c r="AV1618" s="156">
        <f t="shared" si="1402"/>
        <v>0</v>
      </c>
      <c r="AW1618" s="157"/>
      <c r="AX1618" s="150">
        <v>0</v>
      </c>
      <c r="AY1618" s="150">
        <v>0</v>
      </c>
      <c r="AZ1618" s="150"/>
      <c r="BA1618" s="150">
        <f t="shared" si="1419"/>
        <v>0</v>
      </c>
      <c r="BB1618" s="210"/>
      <c r="BC1618" s="210"/>
      <c r="BD1618" s="210"/>
      <c r="BE1618" s="210"/>
      <c r="BF1618" s="210"/>
      <c r="BG1618" s="210"/>
      <c r="BH1618" s="217"/>
      <c r="BI1618" s="210"/>
      <c r="BJ1618" s="210"/>
      <c r="BK1618" s="210"/>
      <c r="BL1618" s="210"/>
      <c r="BM1618" s="208"/>
      <c r="BN1618" s="160"/>
      <c r="BO1618" s="161">
        <f t="shared" si="1374"/>
        <v>0</v>
      </c>
      <c r="BP1618" s="161"/>
    </row>
    <row r="1619" spans="1:68" ht="51">
      <c r="A1619" s="210"/>
      <c r="B1619" s="195" t="s">
        <v>8933</v>
      </c>
      <c r="C1619" s="196" t="s">
        <v>8934</v>
      </c>
      <c r="D1619" s="146" t="s">
        <v>4692</v>
      </c>
      <c r="E1619" s="196" t="s">
        <v>8934</v>
      </c>
      <c r="F1619" s="150">
        <v>0</v>
      </c>
      <c r="G1619" s="209">
        <v>0</v>
      </c>
      <c r="H1619" s="209"/>
      <c r="I1619" s="209">
        <v>0</v>
      </c>
      <c r="J1619" s="150">
        <v>0</v>
      </c>
      <c r="K1619" s="150">
        <v>0</v>
      </c>
      <c r="L1619" s="150">
        <f t="shared" si="1408"/>
        <v>0</v>
      </c>
      <c r="M1619" s="150">
        <v>0</v>
      </c>
      <c r="N1619" s="150">
        <v>0</v>
      </c>
      <c r="O1619" s="150">
        <v>0</v>
      </c>
      <c r="P1619" s="150">
        <v>0</v>
      </c>
      <c r="Q1619" s="150">
        <v>0</v>
      </c>
      <c r="R1619" s="313">
        <f t="shared" si="1414"/>
        <v>0</v>
      </c>
      <c r="S1619" s="150">
        <f t="shared" si="1407"/>
        <v>0</v>
      </c>
      <c r="T1619" s="150">
        <v>0</v>
      </c>
      <c r="U1619" s="150">
        <v>0</v>
      </c>
      <c r="V1619" s="199">
        <v>0</v>
      </c>
      <c r="W1619" s="150">
        <f t="shared" si="1415"/>
        <v>0</v>
      </c>
      <c r="X1619" s="150">
        <v>0</v>
      </c>
      <c r="Y1619" s="150">
        <v>0</v>
      </c>
      <c r="Z1619" s="150">
        <v>0</v>
      </c>
      <c r="AA1619" s="150">
        <f t="shared" si="1403"/>
        <v>0</v>
      </c>
      <c r="AB1619" s="150">
        <v>0</v>
      </c>
      <c r="AC1619" s="199">
        <v>0</v>
      </c>
      <c r="AD1619" s="150">
        <f t="shared" si="1416"/>
        <v>0</v>
      </c>
      <c r="AE1619" s="150">
        <v>0</v>
      </c>
      <c r="AF1619" s="169" t="s">
        <v>4680</v>
      </c>
      <c r="AG1619" s="201">
        <v>0</v>
      </c>
      <c r="AH1619" s="199">
        <v>0</v>
      </c>
      <c r="AI1619" s="150">
        <v>0</v>
      </c>
      <c r="AJ1619" s="169">
        <f t="shared" si="1404"/>
        <v>0</v>
      </c>
      <c r="AK1619" s="201">
        <v>0</v>
      </c>
      <c r="AL1619" s="199">
        <v>0</v>
      </c>
      <c r="AM1619" s="150">
        <f t="shared" si="1417"/>
        <v>0</v>
      </c>
      <c r="AN1619" s="153">
        <f t="shared" si="1405"/>
        <v>0</v>
      </c>
      <c r="AO1619" s="154">
        <f t="shared" si="1406"/>
        <v>0</v>
      </c>
      <c r="AP1619" s="150">
        <v>0</v>
      </c>
      <c r="AQ1619" s="201">
        <v>0</v>
      </c>
      <c r="AR1619" s="199">
        <v>0</v>
      </c>
      <c r="AS1619" s="150">
        <f t="shared" si="1418"/>
        <v>0</v>
      </c>
      <c r="AT1619" s="155"/>
      <c r="AU1619" s="156">
        <f t="shared" si="1401"/>
        <v>0</v>
      </c>
      <c r="AV1619" s="156">
        <f t="shared" si="1402"/>
        <v>0</v>
      </c>
      <c r="AW1619" s="157"/>
      <c r="AX1619" s="150">
        <v>0</v>
      </c>
      <c r="AY1619" s="150">
        <v>0</v>
      </c>
      <c r="AZ1619" s="150"/>
      <c r="BA1619" s="150">
        <f t="shared" si="1419"/>
        <v>0</v>
      </c>
      <c r="BB1619" s="210"/>
      <c r="BC1619" s="210"/>
      <c r="BD1619" s="210"/>
      <c r="BE1619" s="210"/>
      <c r="BF1619" s="210"/>
      <c r="BG1619" s="210"/>
      <c r="BH1619" s="217"/>
      <c r="BI1619" s="210"/>
      <c r="BJ1619" s="210"/>
      <c r="BK1619" s="210"/>
      <c r="BL1619" s="210"/>
      <c r="BM1619" s="208"/>
      <c r="BN1619" s="160"/>
      <c r="BO1619" s="161">
        <f t="shared" si="1374"/>
        <v>0</v>
      </c>
      <c r="BP1619" s="161"/>
    </row>
    <row r="1620" spans="1:68" ht="51">
      <c r="A1620" s="206" t="s">
        <v>587</v>
      </c>
      <c r="B1620" s="195" t="s">
        <v>8935</v>
      </c>
      <c r="C1620" s="196" t="s">
        <v>8936</v>
      </c>
      <c r="D1620" s="146" t="s">
        <v>4692</v>
      </c>
      <c r="E1620" s="196" t="s">
        <v>8936</v>
      </c>
      <c r="F1620" s="150">
        <v>0</v>
      </c>
      <c r="G1620" s="209">
        <v>0</v>
      </c>
      <c r="H1620" s="209"/>
      <c r="I1620" s="209">
        <v>0</v>
      </c>
      <c r="J1620" s="150">
        <v>0</v>
      </c>
      <c r="K1620" s="150">
        <v>0</v>
      </c>
      <c r="L1620" s="150">
        <f t="shared" si="1408"/>
        <v>0</v>
      </c>
      <c r="M1620" s="150">
        <v>0</v>
      </c>
      <c r="N1620" s="150">
        <v>0</v>
      </c>
      <c r="O1620" s="150">
        <v>0</v>
      </c>
      <c r="P1620" s="150">
        <v>0</v>
      </c>
      <c r="Q1620" s="150">
        <v>0</v>
      </c>
      <c r="R1620" s="313">
        <f t="shared" si="1414"/>
        <v>0</v>
      </c>
      <c r="S1620" s="150">
        <f t="shared" si="1407"/>
        <v>0</v>
      </c>
      <c r="T1620" s="150">
        <v>0</v>
      </c>
      <c r="U1620" s="150">
        <v>0</v>
      </c>
      <c r="V1620" s="199">
        <v>0</v>
      </c>
      <c r="W1620" s="150">
        <f t="shared" si="1415"/>
        <v>0</v>
      </c>
      <c r="X1620" s="150">
        <v>0</v>
      </c>
      <c r="Y1620" s="150">
        <v>0</v>
      </c>
      <c r="Z1620" s="150">
        <v>0</v>
      </c>
      <c r="AA1620" s="150">
        <f t="shared" si="1403"/>
        <v>0</v>
      </c>
      <c r="AB1620" s="150">
        <v>0</v>
      </c>
      <c r="AC1620" s="199">
        <v>0</v>
      </c>
      <c r="AD1620" s="150">
        <f t="shared" si="1416"/>
        <v>0</v>
      </c>
      <c r="AE1620" s="150">
        <v>0</v>
      </c>
      <c r="AF1620" s="169" t="s">
        <v>4680</v>
      </c>
      <c r="AG1620" s="201">
        <v>0</v>
      </c>
      <c r="AH1620" s="199">
        <v>0</v>
      </c>
      <c r="AI1620" s="150">
        <v>0</v>
      </c>
      <c r="AJ1620" s="169">
        <f t="shared" si="1404"/>
        <v>0</v>
      </c>
      <c r="AK1620" s="201">
        <v>0</v>
      </c>
      <c r="AL1620" s="199">
        <v>0</v>
      </c>
      <c r="AM1620" s="150">
        <f t="shared" si="1417"/>
        <v>0</v>
      </c>
      <c r="AN1620" s="153">
        <f t="shared" si="1405"/>
        <v>0</v>
      </c>
      <c r="AO1620" s="154">
        <f t="shared" si="1406"/>
        <v>0</v>
      </c>
      <c r="AP1620" s="150">
        <v>0</v>
      </c>
      <c r="AQ1620" s="201">
        <v>0</v>
      </c>
      <c r="AR1620" s="199">
        <v>0</v>
      </c>
      <c r="AS1620" s="150">
        <f t="shared" si="1418"/>
        <v>0</v>
      </c>
      <c r="AT1620" s="155"/>
      <c r="AU1620" s="156">
        <f t="shared" si="1401"/>
        <v>0</v>
      </c>
      <c r="AV1620" s="156">
        <f t="shared" si="1402"/>
        <v>0</v>
      </c>
      <c r="AW1620" s="157"/>
      <c r="AX1620" s="150">
        <v>0</v>
      </c>
      <c r="AY1620" s="150">
        <v>0</v>
      </c>
      <c r="AZ1620" s="150"/>
      <c r="BA1620" s="150">
        <f t="shared" si="1419"/>
        <v>0</v>
      </c>
      <c r="BB1620" s="202">
        <v>5</v>
      </c>
      <c r="BC1620" s="202" t="s">
        <v>739</v>
      </c>
      <c r="BD1620" s="202" t="s">
        <v>647</v>
      </c>
      <c r="BE1620" s="202" t="s">
        <v>647</v>
      </c>
      <c r="BF1620" s="202" t="s">
        <v>739</v>
      </c>
      <c r="BG1620" s="231" t="s">
        <v>8937</v>
      </c>
      <c r="BH1620" s="216">
        <f>AS1620</f>
        <v>0</v>
      </c>
      <c r="BI1620" s="205"/>
      <c r="BJ1620" s="206" t="s">
        <v>8913</v>
      </c>
      <c r="BK1620" s="206" t="s">
        <v>587</v>
      </c>
      <c r="BL1620" s="207" t="s">
        <v>8914</v>
      </c>
      <c r="BM1620" s="208">
        <f>BH1620</f>
        <v>0</v>
      </c>
      <c r="BN1620" s="160"/>
      <c r="BO1620" s="161">
        <f t="shared" si="1374"/>
        <v>0</v>
      </c>
      <c r="BP1620" s="161"/>
    </row>
    <row r="1621" spans="1:68" ht="51">
      <c r="A1621" s="206" t="s">
        <v>587</v>
      </c>
      <c r="B1621" s="195" t="s">
        <v>8938</v>
      </c>
      <c r="C1621" s="196" t="s">
        <v>8939</v>
      </c>
      <c r="D1621" s="146" t="s">
        <v>4692</v>
      </c>
      <c r="E1621" s="196" t="s">
        <v>8939</v>
      </c>
      <c r="F1621" s="150">
        <v>0</v>
      </c>
      <c r="G1621" s="209">
        <v>0</v>
      </c>
      <c r="H1621" s="209"/>
      <c r="I1621" s="209">
        <v>0</v>
      </c>
      <c r="J1621" s="150">
        <v>0</v>
      </c>
      <c r="K1621" s="150">
        <v>0</v>
      </c>
      <c r="L1621" s="150">
        <f t="shared" si="1408"/>
        <v>0</v>
      </c>
      <c r="M1621" s="150">
        <v>0</v>
      </c>
      <c r="N1621" s="150">
        <v>0</v>
      </c>
      <c r="O1621" s="150">
        <v>0</v>
      </c>
      <c r="P1621" s="150">
        <v>0</v>
      </c>
      <c r="Q1621" s="150">
        <v>0</v>
      </c>
      <c r="R1621" s="313">
        <f t="shared" si="1414"/>
        <v>0</v>
      </c>
      <c r="S1621" s="150">
        <f t="shared" si="1407"/>
        <v>0</v>
      </c>
      <c r="T1621" s="150">
        <v>0</v>
      </c>
      <c r="U1621" s="150">
        <v>0</v>
      </c>
      <c r="V1621" s="199">
        <v>0</v>
      </c>
      <c r="W1621" s="150">
        <f t="shared" si="1415"/>
        <v>0</v>
      </c>
      <c r="X1621" s="150">
        <v>0</v>
      </c>
      <c r="Y1621" s="150">
        <v>0</v>
      </c>
      <c r="Z1621" s="150">
        <v>0</v>
      </c>
      <c r="AA1621" s="150">
        <f t="shared" si="1403"/>
        <v>0</v>
      </c>
      <c r="AB1621" s="150">
        <v>0</v>
      </c>
      <c r="AC1621" s="199">
        <v>0</v>
      </c>
      <c r="AD1621" s="150">
        <f t="shared" si="1416"/>
        <v>0</v>
      </c>
      <c r="AE1621" s="150">
        <v>0</v>
      </c>
      <c r="AF1621" s="169" t="s">
        <v>4680</v>
      </c>
      <c r="AG1621" s="201">
        <v>0</v>
      </c>
      <c r="AH1621" s="199">
        <v>0</v>
      </c>
      <c r="AI1621" s="150">
        <v>0</v>
      </c>
      <c r="AJ1621" s="169">
        <f t="shared" si="1404"/>
        <v>0</v>
      </c>
      <c r="AK1621" s="201">
        <v>0</v>
      </c>
      <c r="AL1621" s="199">
        <v>0</v>
      </c>
      <c r="AM1621" s="150">
        <f t="shared" si="1417"/>
        <v>0</v>
      </c>
      <c r="AN1621" s="153">
        <f t="shared" si="1405"/>
        <v>0</v>
      </c>
      <c r="AO1621" s="154">
        <f t="shared" si="1406"/>
        <v>0</v>
      </c>
      <c r="AP1621" s="150">
        <v>0</v>
      </c>
      <c r="AQ1621" s="201">
        <v>0</v>
      </c>
      <c r="AR1621" s="199">
        <v>0</v>
      </c>
      <c r="AS1621" s="150">
        <f t="shared" si="1418"/>
        <v>0</v>
      </c>
      <c r="AT1621" s="155"/>
      <c r="AU1621" s="156">
        <f t="shared" si="1401"/>
        <v>0</v>
      </c>
      <c r="AV1621" s="156">
        <f t="shared" si="1402"/>
        <v>0</v>
      </c>
      <c r="AW1621" s="157"/>
      <c r="AX1621" s="150">
        <v>0</v>
      </c>
      <c r="AY1621" s="150">
        <v>0</v>
      </c>
      <c r="AZ1621" s="150"/>
      <c r="BA1621" s="150">
        <f t="shared" si="1419"/>
        <v>0</v>
      </c>
      <c r="BB1621" s="202">
        <v>5</v>
      </c>
      <c r="BC1621" s="202" t="s">
        <v>739</v>
      </c>
      <c r="BD1621" s="202" t="s">
        <v>647</v>
      </c>
      <c r="BE1621" s="202" t="s">
        <v>647</v>
      </c>
      <c r="BF1621" s="202" t="s">
        <v>755</v>
      </c>
      <c r="BG1621" s="231" t="s">
        <v>8940</v>
      </c>
      <c r="BH1621" s="216">
        <f>SUM(AS1621:AS1631)</f>
        <v>0</v>
      </c>
      <c r="BI1621" s="205"/>
      <c r="BJ1621" s="206" t="s">
        <v>8913</v>
      </c>
      <c r="BK1621" s="206" t="s">
        <v>587</v>
      </c>
      <c r="BL1621" s="207" t="s">
        <v>8914</v>
      </c>
      <c r="BM1621" s="208">
        <f>BH1621</f>
        <v>0</v>
      </c>
      <c r="BN1621" s="160"/>
      <c r="BO1621" s="161">
        <f t="shared" si="1374"/>
        <v>0</v>
      </c>
      <c r="BP1621" s="161"/>
    </row>
    <row r="1622" spans="1:68" ht="51">
      <c r="A1622" s="210"/>
      <c r="B1622" s="195" t="s">
        <v>8941</v>
      </c>
      <c r="C1622" s="196" t="s">
        <v>8942</v>
      </c>
      <c r="D1622" s="146" t="s">
        <v>4692</v>
      </c>
      <c r="E1622" s="196" t="s">
        <v>8942</v>
      </c>
      <c r="F1622" s="150">
        <v>0</v>
      </c>
      <c r="G1622" s="209">
        <v>0</v>
      </c>
      <c r="H1622" s="209"/>
      <c r="I1622" s="209">
        <v>0</v>
      </c>
      <c r="J1622" s="150">
        <v>0</v>
      </c>
      <c r="K1622" s="150">
        <v>0</v>
      </c>
      <c r="L1622" s="150">
        <f t="shared" si="1408"/>
        <v>0</v>
      </c>
      <c r="M1622" s="150">
        <v>0</v>
      </c>
      <c r="N1622" s="150">
        <v>0</v>
      </c>
      <c r="O1622" s="150">
        <v>0</v>
      </c>
      <c r="P1622" s="150">
        <v>0</v>
      </c>
      <c r="Q1622" s="150">
        <v>0</v>
      </c>
      <c r="R1622" s="313">
        <f t="shared" si="1414"/>
        <v>0</v>
      </c>
      <c r="S1622" s="150">
        <f t="shared" si="1407"/>
        <v>0</v>
      </c>
      <c r="T1622" s="150">
        <v>0</v>
      </c>
      <c r="U1622" s="150">
        <v>0</v>
      </c>
      <c r="V1622" s="199">
        <v>0</v>
      </c>
      <c r="W1622" s="150">
        <f t="shared" si="1415"/>
        <v>0</v>
      </c>
      <c r="X1622" s="150">
        <v>0</v>
      </c>
      <c r="Y1622" s="150">
        <v>0</v>
      </c>
      <c r="Z1622" s="150">
        <v>0</v>
      </c>
      <c r="AA1622" s="150">
        <f t="shared" si="1403"/>
        <v>0</v>
      </c>
      <c r="AB1622" s="150">
        <v>0</v>
      </c>
      <c r="AC1622" s="199">
        <v>0</v>
      </c>
      <c r="AD1622" s="150">
        <f t="shared" si="1416"/>
        <v>0</v>
      </c>
      <c r="AE1622" s="150">
        <v>0</v>
      </c>
      <c r="AF1622" s="169" t="s">
        <v>4680</v>
      </c>
      <c r="AG1622" s="201">
        <v>0</v>
      </c>
      <c r="AH1622" s="199">
        <v>0</v>
      </c>
      <c r="AI1622" s="150">
        <v>0</v>
      </c>
      <c r="AJ1622" s="169">
        <f t="shared" si="1404"/>
        <v>0</v>
      </c>
      <c r="AK1622" s="201">
        <v>0</v>
      </c>
      <c r="AL1622" s="199">
        <v>0</v>
      </c>
      <c r="AM1622" s="150">
        <f t="shared" si="1417"/>
        <v>0</v>
      </c>
      <c r="AN1622" s="153">
        <f t="shared" si="1405"/>
        <v>0</v>
      </c>
      <c r="AO1622" s="154">
        <f t="shared" si="1406"/>
        <v>0</v>
      </c>
      <c r="AP1622" s="150">
        <v>0</v>
      </c>
      <c r="AQ1622" s="201">
        <v>0</v>
      </c>
      <c r="AR1622" s="199">
        <v>0</v>
      </c>
      <c r="AS1622" s="150">
        <f t="shared" si="1418"/>
        <v>0</v>
      </c>
      <c r="AT1622" s="155"/>
      <c r="AU1622" s="156">
        <f t="shared" si="1401"/>
        <v>0</v>
      </c>
      <c r="AV1622" s="156">
        <f t="shared" si="1402"/>
        <v>0</v>
      </c>
      <c r="AW1622" s="157"/>
      <c r="AX1622" s="150">
        <v>0</v>
      </c>
      <c r="AY1622" s="150">
        <v>0</v>
      </c>
      <c r="AZ1622" s="150"/>
      <c r="BA1622" s="150">
        <f t="shared" si="1419"/>
        <v>0</v>
      </c>
      <c r="BB1622" s="210"/>
      <c r="BC1622" s="210"/>
      <c r="BD1622" s="210"/>
      <c r="BE1622" s="210"/>
      <c r="BF1622" s="210"/>
      <c r="BG1622" s="210"/>
      <c r="BH1622" s="217"/>
      <c r="BI1622" s="210"/>
      <c r="BJ1622" s="210"/>
      <c r="BK1622" s="210"/>
      <c r="BL1622" s="210"/>
      <c r="BM1622" s="208"/>
      <c r="BN1622" s="160"/>
      <c r="BO1622" s="161">
        <f t="shared" si="1374"/>
        <v>0</v>
      </c>
      <c r="BP1622" s="161"/>
    </row>
    <row r="1623" spans="1:68" ht="63.75">
      <c r="A1623" s="210"/>
      <c r="B1623" s="195" t="s">
        <v>8943</v>
      </c>
      <c r="C1623" s="196" t="s">
        <v>8944</v>
      </c>
      <c r="D1623" s="146" t="s">
        <v>4692</v>
      </c>
      <c r="E1623" s="196" t="s">
        <v>8944</v>
      </c>
      <c r="F1623" s="150">
        <v>0</v>
      </c>
      <c r="G1623" s="209">
        <v>0</v>
      </c>
      <c r="H1623" s="209"/>
      <c r="I1623" s="209">
        <v>0</v>
      </c>
      <c r="J1623" s="150">
        <v>0</v>
      </c>
      <c r="K1623" s="150">
        <v>0</v>
      </c>
      <c r="L1623" s="150">
        <f t="shared" si="1408"/>
        <v>0</v>
      </c>
      <c r="M1623" s="150">
        <v>0</v>
      </c>
      <c r="N1623" s="150">
        <v>0</v>
      </c>
      <c r="O1623" s="150">
        <v>0</v>
      </c>
      <c r="P1623" s="150">
        <v>0</v>
      </c>
      <c r="Q1623" s="150">
        <v>0</v>
      </c>
      <c r="R1623" s="313">
        <f t="shared" si="1414"/>
        <v>0</v>
      </c>
      <c r="S1623" s="150">
        <f t="shared" si="1407"/>
        <v>0</v>
      </c>
      <c r="T1623" s="150">
        <v>0</v>
      </c>
      <c r="U1623" s="150">
        <v>0</v>
      </c>
      <c r="V1623" s="199">
        <v>0</v>
      </c>
      <c r="W1623" s="150">
        <f t="shared" si="1415"/>
        <v>0</v>
      </c>
      <c r="X1623" s="150">
        <v>0</v>
      </c>
      <c r="Y1623" s="150">
        <v>0</v>
      </c>
      <c r="Z1623" s="150">
        <v>0</v>
      </c>
      <c r="AA1623" s="150">
        <f t="shared" si="1403"/>
        <v>0</v>
      </c>
      <c r="AB1623" s="150">
        <v>0</v>
      </c>
      <c r="AC1623" s="199">
        <v>0</v>
      </c>
      <c r="AD1623" s="150">
        <f t="shared" si="1416"/>
        <v>0</v>
      </c>
      <c r="AE1623" s="150">
        <v>0</v>
      </c>
      <c r="AF1623" s="169" t="s">
        <v>4680</v>
      </c>
      <c r="AG1623" s="201">
        <v>0</v>
      </c>
      <c r="AH1623" s="199">
        <v>0</v>
      </c>
      <c r="AI1623" s="150">
        <v>0</v>
      </c>
      <c r="AJ1623" s="169">
        <f t="shared" si="1404"/>
        <v>0</v>
      </c>
      <c r="AK1623" s="201">
        <v>0</v>
      </c>
      <c r="AL1623" s="199">
        <v>0</v>
      </c>
      <c r="AM1623" s="150">
        <f t="shared" si="1417"/>
        <v>0</v>
      </c>
      <c r="AN1623" s="153">
        <f t="shared" si="1405"/>
        <v>0</v>
      </c>
      <c r="AO1623" s="154">
        <f t="shared" si="1406"/>
        <v>0</v>
      </c>
      <c r="AP1623" s="150">
        <v>0</v>
      </c>
      <c r="AQ1623" s="201">
        <v>0</v>
      </c>
      <c r="AR1623" s="199">
        <v>0</v>
      </c>
      <c r="AS1623" s="150">
        <f t="shared" si="1418"/>
        <v>0</v>
      </c>
      <c r="AT1623" s="155"/>
      <c r="AU1623" s="156">
        <f t="shared" si="1401"/>
        <v>0</v>
      </c>
      <c r="AV1623" s="156">
        <f t="shared" si="1402"/>
        <v>0</v>
      </c>
      <c r="AW1623" s="157"/>
      <c r="AX1623" s="150">
        <v>0</v>
      </c>
      <c r="AY1623" s="150">
        <v>0</v>
      </c>
      <c r="AZ1623" s="150"/>
      <c r="BA1623" s="150">
        <f t="shared" si="1419"/>
        <v>0</v>
      </c>
      <c r="BB1623" s="210"/>
      <c r="BC1623" s="210"/>
      <c r="BD1623" s="210"/>
      <c r="BE1623" s="210"/>
      <c r="BF1623" s="210"/>
      <c r="BG1623" s="210"/>
      <c r="BH1623" s="217"/>
      <c r="BI1623" s="210"/>
      <c r="BJ1623" s="210"/>
      <c r="BK1623" s="210"/>
      <c r="BL1623" s="210"/>
      <c r="BM1623" s="208"/>
      <c r="BN1623" s="160"/>
      <c r="BO1623" s="161">
        <f t="shared" si="1374"/>
        <v>0</v>
      </c>
      <c r="BP1623" s="161"/>
    </row>
    <row r="1624" spans="1:68" ht="38.25">
      <c r="A1624" s="210"/>
      <c r="B1624" s="195" t="s">
        <v>8945</v>
      </c>
      <c r="C1624" s="196" t="s">
        <v>8946</v>
      </c>
      <c r="D1624" s="146" t="s">
        <v>4692</v>
      </c>
      <c r="E1624" s="196" t="s">
        <v>8946</v>
      </c>
      <c r="F1624" s="150">
        <v>0</v>
      </c>
      <c r="G1624" s="209">
        <v>0</v>
      </c>
      <c r="H1624" s="209"/>
      <c r="I1624" s="209">
        <v>0</v>
      </c>
      <c r="J1624" s="150">
        <v>0</v>
      </c>
      <c r="K1624" s="150">
        <v>0</v>
      </c>
      <c r="L1624" s="150">
        <f t="shared" si="1408"/>
        <v>0</v>
      </c>
      <c r="M1624" s="150">
        <v>0</v>
      </c>
      <c r="N1624" s="150">
        <v>0</v>
      </c>
      <c r="O1624" s="150">
        <v>0</v>
      </c>
      <c r="P1624" s="150">
        <v>0</v>
      </c>
      <c r="Q1624" s="150">
        <v>0</v>
      </c>
      <c r="R1624" s="313">
        <f t="shared" si="1414"/>
        <v>0</v>
      </c>
      <c r="S1624" s="150">
        <f t="shared" si="1407"/>
        <v>0</v>
      </c>
      <c r="T1624" s="150">
        <v>0</v>
      </c>
      <c r="U1624" s="150">
        <v>0</v>
      </c>
      <c r="V1624" s="199">
        <v>0</v>
      </c>
      <c r="W1624" s="150">
        <f t="shared" si="1415"/>
        <v>0</v>
      </c>
      <c r="X1624" s="150">
        <v>0</v>
      </c>
      <c r="Y1624" s="150">
        <v>0</v>
      </c>
      <c r="Z1624" s="150">
        <v>0</v>
      </c>
      <c r="AA1624" s="150">
        <f t="shared" si="1403"/>
        <v>0</v>
      </c>
      <c r="AB1624" s="150">
        <v>0</v>
      </c>
      <c r="AC1624" s="199">
        <v>0</v>
      </c>
      <c r="AD1624" s="150">
        <f t="shared" si="1416"/>
        <v>0</v>
      </c>
      <c r="AE1624" s="150">
        <v>0</v>
      </c>
      <c r="AF1624" s="169" t="s">
        <v>4680</v>
      </c>
      <c r="AG1624" s="201">
        <v>0</v>
      </c>
      <c r="AH1624" s="199">
        <v>0</v>
      </c>
      <c r="AI1624" s="150">
        <v>0</v>
      </c>
      <c r="AJ1624" s="169">
        <f t="shared" si="1404"/>
        <v>0</v>
      </c>
      <c r="AK1624" s="201">
        <v>0</v>
      </c>
      <c r="AL1624" s="199">
        <v>0</v>
      </c>
      <c r="AM1624" s="150">
        <f t="shared" si="1417"/>
        <v>0</v>
      </c>
      <c r="AN1624" s="153">
        <f t="shared" si="1405"/>
        <v>0</v>
      </c>
      <c r="AO1624" s="154">
        <f t="shared" si="1406"/>
        <v>0</v>
      </c>
      <c r="AP1624" s="150">
        <v>0</v>
      </c>
      <c r="AQ1624" s="201">
        <v>0</v>
      </c>
      <c r="AR1624" s="199">
        <v>0</v>
      </c>
      <c r="AS1624" s="150">
        <f t="shared" si="1418"/>
        <v>0</v>
      </c>
      <c r="AT1624" s="155"/>
      <c r="AU1624" s="156">
        <f t="shared" si="1401"/>
        <v>0</v>
      </c>
      <c r="AV1624" s="156">
        <f t="shared" si="1402"/>
        <v>0</v>
      </c>
      <c r="AW1624" s="157"/>
      <c r="AX1624" s="150">
        <v>0</v>
      </c>
      <c r="AY1624" s="150">
        <v>0</v>
      </c>
      <c r="AZ1624" s="150"/>
      <c r="BA1624" s="150">
        <f t="shared" si="1419"/>
        <v>0</v>
      </c>
      <c r="BB1624" s="210"/>
      <c r="BC1624" s="210"/>
      <c r="BD1624" s="210"/>
      <c r="BE1624" s="210"/>
      <c r="BF1624" s="210"/>
      <c r="BG1624" s="210"/>
      <c r="BH1624" s="217"/>
      <c r="BI1624" s="210"/>
      <c r="BJ1624" s="210"/>
      <c r="BK1624" s="210"/>
      <c r="BL1624" s="210"/>
      <c r="BM1624" s="208"/>
      <c r="BN1624" s="160"/>
      <c r="BO1624" s="161">
        <f t="shared" si="1374"/>
        <v>0</v>
      </c>
      <c r="BP1624" s="161"/>
    </row>
    <row r="1625" spans="1:68" ht="51">
      <c r="A1625" s="210"/>
      <c r="B1625" s="195" t="s">
        <v>8947</v>
      </c>
      <c r="C1625" s="196" t="s">
        <v>8948</v>
      </c>
      <c r="D1625" s="146" t="s">
        <v>4692</v>
      </c>
      <c r="E1625" s="196" t="s">
        <v>8948</v>
      </c>
      <c r="F1625" s="150">
        <v>0</v>
      </c>
      <c r="G1625" s="209">
        <v>0</v>
      </c>
      <c r="H1625" s="209"/>
      <c r="I1625" s="209">
        <v>0</v>
      </c>
      <c r="J1625" s="150">
        <v>0</v>
      </c>
      <c r="K1625" s="150">
        <v>0</v>
      </c>
      <c r="L1625" s="150">
        <f t="shared" si="1408"/>
        <v>0</v>
      </c>
      <c r="M1625" s="150">
        <v>0</v>
      </c>
      <c r="N1625" s="150">
        <v>0</v>
      </c>
      <c r="O1625" s="150">
        <v>0</v>
      </c>
      <c r="P1625" s="150">
        <v>0</v>
      </c>
      <c r="Q1625" s="150">
        <v>0</v>
      </c>
      <c r="R1625" s="313">
        <f t="shared" si="1414"/>
        <v>0</v>
      </c>
      <c r="S1625" s="150">
        <f t="shared" si="1407"/>
        <v>0</v>
      </c>
      <c r="T1625" s="150">
        <v>0</v>
      </c>
      <c r="U1625" s="150">
        <v>0</v>
      </c>
      <c r="V1625" s="199">
        <v>0</v>
      </c>
      <c r="W1625" s="150">
        <f t="shared" si="1415"/>
        <v>0</v>
      </c>
      <c r="X1625" s="150">
        <v>0</v>
      </c>
      <c r="Y1625" s="150">
        <v>0</v>
      </c>
      <c r="Z1625" s="150">
        <v>0</v>
      </c>
      <c r="AA1625" s="150">
        <f t="shared" si="1403"/>
        <v>0</v>
      </c>
      <c r="AB1625" s="150">
        <v>0</v>
      </c>
      <c r="AC1625" s="199">
        <v>0</v>
      </c>
      <c r="AD1625" s="150">
        <f t="shared" si="1416"/>
        <v>0</v>
      </c>
      <c r="AE1625" s="150">
        <v>0</v>
      </c>
      <c r="AF1625" s="169" t="s">
        <v>4680</v>
      </c>
      <c r="AG1625" s="201">
        <v>0</v>
      </c>
      <c r="AH1625" s="199">
        <v>0</v>
      </c>
      <c r="AI1625" s="150">
        <v>0</v>
      </c>
      <c r="AJ1625" s="169">
        <f t="shared" si="1404"/>
        <v>0</v>
      </c>
      <c r="AK1625" s="201">
        <v>0</v>
      </c>
      <c r="AL1625" s="199">
        <v>0</v>
      </c>
      <c r="AM1625" s="150">
        <f t="shared" si="1417"/>
        <v>0</v>
      </c>
      <c r="AN1625" s="153">
        <f t="shared" si="1405"/>
        <v>0</v>
      </c>
      <c r="AO1625" s="154">
        <f t="shared" si="1406"/>
        <v>0</v>
      </c>
      <c r="AP1625" s="150">
        <v>0</v>
      </c>
      <c r="AQ1625" s="201">
        <v>0</v>
      </c>
      <c r="AR1625" s="199">
        <v>0</v>
      </c>
      <c r="AS1625" s="150">
        <f t="shared" si="1418"/>
        <v>0</v>
      </c>
      <c r="AT1625" s="155"/>
      <c r="AU1625" s="156">
        <f t="shared" si="1401"/>
        <v>0</v>
      </c>
      <c r="AV1625" s="156">
        <f t="shared" si="1402"/>
        <v>0</v>
      </c>
      <c r="AW1625" s="157"/>
      <c r="AX1625" s="150">
        <v>0</v>
      </c>
      <c r="AY1625" s="150">
        <v>0</v>
      </c>
      <c r="AZ1625" s="150"/>
      <c r="BA1625" s="150">
        <f t="shared" si="1419"/>
        <v>0</v>
      </c>
      <c r="BB1625" s="210"/>
      <c r="BC1625" s="210"/>
      <c r="BD1625" s="210"/>
      <c r="BE1625" s="210"/>
      <c r="BF1625" s="210"/>
      <c r="BG1625" s="210"/>
      <c r="BH1625" s="217"/>
      <c r="BI1625" s="210"/>
      <c r="BJ1625" s="210"/>
      <c r="BK1625" s="210"/>
      <c r="BL1625" s="210"/>
      <c r="BM1625" s="208"/>
      <c r="BN1625" s="160"/>
      <c r="BO1625" s="161">
        <f t="shared" si="1374"/>
        <v>0</v>
      </c>
      <c r="BP1625" s="161"/>
    </row>
    <row r="1626" spans="1:68" ht="51">
      <c r="A1626" s="210"/>
      <c r="B1626" s="195" t="s">
        <v>8949</v>
      </c>
      <c r="C1626" s="196" t="s">
        <v>8950</v>
      </c>
      <c r="D1626" s="146" t="s">
        <v>4692</v>
      </c>
      <c r="E1626" s="196" t="s">
        <v>8950</v>
      </c>
      <c r="F1626" s="150">
        <v>0</v>
      </c>
      <c r="G1626" s="209">
        <v>0</v>
      </c>
      <c r="H1626" s="209"/>
      <c r="I1626" s="209">
        <v>0</v>
      </c>
      <c r="J1626" s="150">
        <v>0</v>
      </c>
      <c r="K1626" s="150">
        <v>0</v>
      </c>
      <c r="L1626" s="150">
        <f t="shared" si="1408"/>
        <v>0</v>
      </c>
      <c r="M1626" s="150">
        <v>0</v>
      </c>
      <c r="N1626" s="150">
        <v>0</v>
      </c>
      <c r="O1626" s="150">
        <v>0</v>
      </c>
      <c r="P1626" s="150">
        <v>0</v>
      </c>
      <c r="Q1626" s="150">
        <v>0</v>
      </c>
      <c r="R1626" s="313">
        <f t="shared" si="1414"/>
        <v>0</v>
      </c>
      <c r="S1626" s="150">
        <f t="shared" si="1407"/>
        <v>0</v>
      </c>
      <c r="T1626" s="150">
        <v>0</v>
      </c>
      <c r="U1626" s="150">
        <v>0</v>
      </c>
      <c r="V1626" s="199">
        <v>0</v>
      </c>
      <c r="W1626" s="150">
        <f t="shared" si="1415"/>
        <v>0</v>
      </c>
      <c r="X1626" s="150">
        <v>0</v>
      </c>
      <c r="Y1626" s="150">
        <v>0</v>
      </c>
      <c r="Z1626" s="150">
        <v>0</v>
      </c>
      <c r="AA1626" s="150">
        <f t="shared" si="1403"/>
        <v>0</v>
      </c>
      <c r="AB1626" s="150">
        <v>0</v>
      </c>
      <c r="AC1626" s="199">
        <v>0</v>
      </c>
      <c r="AD1626" s="150">
        <f t="shared" si="1416"/>
        <v>0</v>
      </c>
      <c r="AE1626" s="150">
        <v>0</v>
      </c>
      <c r="AF1626" s="169" t="s">
        <v>4680</v>
      </c>
      <c r="AG1626" s="201">
        <v>0</v>
      </c>
      <c r="AH1626" s="199">
        <v>0</v>
      </c>
      <c r="AI1626" s="150">
        <v>0</v>
      </c>
      <c r="AJ1626" s="169">
        <f t="shared" si="1404"/>
        <v>0</v>
      </c>
      <c r="AK1626" s="201">
        <v>0</v>
      </c>
      <c r="AL1626" s="199">
        <v>0</v>
      </c>
      <c r="AM1626" s="150">
        <f t="shared" si="1417"/>
        <v>0</v>
      </c>
      <c r="AN1626" s="153">
        <f t="shared" si="1405"/>
        <v>0</v>
      </c>
      <c r="AO1626" s="154">
        <f t="shared" si="1406"/>
        <v>0</v>
      </c>
      <c r="AP1626" s="150">
        <v>0</v>
      </c>
      <c r="AQ1626" s="201">
        <v>0</v>
      </c>
      <c r="AR1626" s="199">
        <v>0</v>
      </c>
      <c r="AS1626" s="150">
        <f t="shared" si="1418"/>
        <v>0</v>
      </c>
      <c r="AT1626" s="155"/>
      <c r="AU1626" s="156">
        <f t="shared" si="1401"/>
        <v>0</v>
      </c>
      <c r="AV1626" s="156">
        <f t="shared" si="1402"/>
        <v>0</v>
      </c>
      <c r="AW1626" s="157"/>
      <c r="AX1626" s="150">
        <v>0</v>
      </c>
      <c r="AY1626" s="150">
        <v>0</v>
      </c>
      <c r="AZ1626" s="150"/>
      <c r="BA1626" s="150">
        <f t="shared" si="1419"/>
        <v>0</v>
      </c>
      <c r="BB1626" s="210"/>
      <c r="BC1626" s="210"/>
      <c r="BD1626" s="210"/>
      <c r="BE1626" s="210"/>
      <c r="BF1626" s="210"/>
      <c r="BG1626" s="210"/>
      <c r="BH1626" s="217"/>
      <c r="BI1626" s="210"/>
      <c r="BJ1626" s="210"/>
      <c r="BK1626" s="210"/>
      <c r="BL1626" s="210"/>
      <c r="BM1626" s="208"/>
      <c r="BN1626" s="160"/>
      <c r="BO1626" s="161">
        <f t="shared" ref="BO1626:BO1666" si="1420">BM1626-AS1626</f>
        <v>0</v>
      </c>
      <c r="BP1626" s="161"/>
    </row>
    <row r="1627" spans="1:68" ht="51">
      <c r="A1627" s="210"/>
      <c r="B1627" s="195" t="s">
        <v>8951</v>
      </c>
      <c r="C1627" s="196" t="s">
        <v>8952</v>
      </c>
      <c r="D1627" s="146" t="s">
        <v>4692</v>
      </c>
      <c r="E1627" s="196" t="s">
        <v>8952</v>
      </c>
      <c r="F1627" s="150">
        <v>0</v>
      </c>
      <c r="G1627" s="209">
        <v>0</v>
      </c>
      <c r="H1627" s="209"/>
      <c r="I1627" s="209">
        <v>0</v>
      </c>
      <c r="J1627" s="150">
        <v>0</v>
      </c>
      <c r="K1627" s="150">
        <v>0</v>
      </c>
      <c r="L1627" s="150">
        <f t="shared" si="1408"/>
        <v>0</v>
      </c>
      <c r="M1627" s="150">
        <v>0</v>
      </c>
      <c r="N1627" s="150">
        <v>0</v>
      </c>
      <c r="O1627" s="150">
        <v>0</v>
      </c>
      <c r="P1627" s="150">
        <v>0</v>
      </c>
      <c r="Q1627" s="150">
        <v>0</v>
      </c>
      <c r="R1627" s="313">
        <f t="shared" si="1414"/>
        <v>0</v>
      </c>
      <c r="S1627" s="150">
        <f t="shared" si="1407"/>
        <v>0</v>
      </c>
      <c r="T1627" s="150">
        <v>0</v>
      </c>
      <c r="U1627" s="150">
        <v>0</v>
      </c>
      <c r="V1627" s="199">
        <v>0</v>
      </c>
      <c r="W1627" s="150">
        <f t="shared" si="1415"/>
        <v>0</v>
      </c>
      <c r="X1627" s="150">
        <v>0</v>
      </c>
      <c r="Y1627" s="150">
        <v>0</v>
      </c>
      <c r="Z1627" s="150">
        <v>0</v>
      </c>
      <c r="AA1627" s="150">
        <f t="shared" si="1403"/>
        <v>0</v>
      </c>
      <c r="AB1627" s="150">
        <v>0</v>
      </c>
      <c r="AC1627" s="199">
        <v>0</v>
      </c>
      <c r="AD1627" s="150">
        <f t="shared" si="1416"/>
        <v>0</v>
      </c>
      <c r="AE1627" s="150">
        <v>0</v>
      </c>
      <c r="AF1627" s="169" t="s">
        <v>4680</v>
      </c>
      <c r="AG1627" s="201">
        <v>0</v>
      </c>
      <c r="AH1627" s="199">
        <v>0</v>
      </c>
      <c r="AI1627" s="150">
        <v>0</v>
      </c>
      <c r="AJ1627" s="169">
        <f t="shared" si="1404"/>
        <v>0</v>
      </c>
      <c r="AK1627" s="201">
        <v>0</v>
      </c>
      <c r="AL1627" s="199">
        <v>0</v>
      </c>
      <c r="AM1627" s="150">
        <f t="shared" si="1417"/>
        <v>0</v>
      </c>
      <c r="AN1627" s="153">
        <f t="shared" si="1405"/>
        <v>0</v>
      </c>
      <c r="AO1627" s="154">
        <f t="shared" si="1406"/>
        <v>0</v>
      </c>
      <c r="AP1627" s="150">
        <v>0</v>
      </c>
      <c r="AQ1627" s="201">
        <v>0</v>
      </c>
      <c r="AR1627" s="199">
        <v>0</v>
      </c>
      <c r="AS1627" s="150">
        <f t="shared" si="1418"/>
        <v>0</v>
      </c>
      <c r="AT1627" s="155"/>
      <c r="AU1627" s="156">
        <f t="shared" si="1401"/>
        <v>0</v>
      </c>
      <c r="AV1627" s="156">
        <f t="shared" si="1402"/>
        <v>0</v>
      </c>
      <c r="AW1627" s="157"/>
      <c r="AX1627" s="150">
        <v>0</v>
      </c>
      <c r="AY1627" s="150">
        <v>0</v>
      </c>
      <c r="AZ1627" s="150"/>
      <c r="BA1627" s="150">
        <f t="shared" si="1419"/>
        <v>0</v>
      </c>
      <c r="BB1627" s="210"/>
      <c r="BC1627" s="210"/>
      <c r="BD1627" s="210"/>
      <c r="BE1627" s="210"/>
      <c r="BF1627" s="210"/>
      <c r="BG1627" s="210"/>
      <c r="BH1627" s="217"/>
      <c r="BI1627" s="210"/>
      <c r="BJ1627" s="210"/>
      <c r="BK1627" s="210"/>
      <c r="BL1627" s="210"/>
      <c r="BM1627" s="208"/>
      <c r="BN1627" s="160"/>
      <c r="BO1627" s="161">
        <f t="shared" si="1420"/>
        <v>0</v>
      </c>
      <c r="BP1627" s="161"/>
    </row>
    <row r="1628" spans="1:68" ht="51">
      <c r="A1628" s="210"/>
      <c r="B1628" s="195" t="s">
        <v>8953</v>
      </c>
      <c r="C1628" s="196" t="s">
        <v>8954</v>
      </c>
      <c r="D1628" s="146" t="s">
        <v>4692</v>
      </c>
      <c r="E1628" s="196" t="s">
        <v>8954</v>
      </c>
      <c r="F1628" s="150">
        <v>0</v>
      </c>
      <c r="G1628" s="209">
        <v>0</v>
      </c>
      <c r="H1628" s="209"/>
      <c r="I1628" s="209">
        <v>0</v>
      </c>
      <c r="J1628" s="150">
        <v>0</v>
      </c>
      <c r="K1628" s="150">
        <v>0</v>
      </c>
      <c r="L1628" s="150">
        <f t="shared" si="1408"/>
        <v>0</v>
      </c>
      <c r="M1628" s="150">
        <v>0</v>
      </c>
      <c r="N1628" s="150">
        <v>0</v>
      </c>
      <c r="O1628" s="150">
        <v>0</v>
      </c>
      <c r="P1628" s="150">
        <v>0</v>
      </c>
      <c r="Q1628" s="150">
        <v>0</v>
      </c>
      <c r="R1628" s="313">
        <f t="shared" si="1414"/>
        <v>0</v>
      </c>
      <c r="S1628" s="150">
        <f t="shared" si="1407"/>
        <v>0</v>
      </c>
      <c r="T1628" s="150">
        <v>0</v>
      </c>
      <c r="U1628" s="150">
        <v>0</v>
      </c>
      <c r="V1628" s="199">
        <v>0</v>
      </c>
      <c r="W1628" s="150">
        <f t="shared" si="1415"/>
        <v>0</v>
      </c>
      <c r="X1628" s="150">
        <v>0</v>
      </c>
      <c r="Y1628" s="150">
        <v>0</v>
      </c>
      <c r="Z1628" s="150">
        <v>0</v>
      </c>
      <c r="AA1628" s="150">
        <f t="shared" si="1403"/>
        <v>0</v>
      </c>
      <c r="AB1628" s="150">
        <v>0</v>
      </c>
      <c r="AC1628" s="199">
        <v>0</v>
      </c>
      <c r="AD1628" s="150">
        <f t="shared" si="1416"/>
        <v>0</v>
      </c>
      <c r="AE1628" s="150">
        <v>0</v>
      </c>
      <c r="AF1628" s="169" t="s">
        <v>4680</v>
      </c>
      <c r="AG1628" s="201">
        <v>0</v>
      </c>
      <c r="AH1628" s="199">
        <v>0</v>
      </c>
      <c r="AI1628" s="150">
        <v>0</v>
      </c>
      <c r="AJ1628" s="169">
        <f t="shared" si="1404"/>
        <v>0</v>
      </c>
      <c r="AK1628" s="201">
        <v>0</v>
      </c>
      <c r="AL1628" s="199">
        <v>0</v>
      </c>
      <c r="AM1628" s="150">
        <f t="shared" si="1417"/>
        <v>0</v>
      </c>
      <c r="AN1628" s="153">
        <f t="shared" si="1405"/>
        <v>0</v>
      </c>
      <c r="AO1628" s="154">
        <f t="shared" si="1406"/>
        <v>0</v>
      </c>
      <c r="AP1628" s="150">
        <v>0</v>
      </c>
      <c r="AQ1628" s="201">
        <v>0</v>
      </c>
      <c r="AR1628" s="199">
        <v>0</v>
      </c>
      <c r="AS1628" s="150">
        <f t="shared" si="1418"/>
        <v>0</v>
      </c>
      <c r="AT1628" s="155"/>
      <c r="AU1628" s="156">
        <f t="shared" si="1401"/>
        <v>0</v>
      </c>
      <c r="AV1628" s="156">
        <f t="shared" si="1402"/>
        <v>0</v>
      </c>
      <c r="AW1628" s="157"/>
      <c r="AX1628" s="150">
        <v>0</v>
      </c>
      <c r="AY1628" s="150">
        <v>0</v>
      </c>
      <c r="AZ1628" s="150"/>
      <c r="BA1628" s="150">
        <f t="shared" si="1419"/>
        <v>0</v>
      </c>
      <c r="BB1628" s="210"/>
      <c r="BC1628" s="210"/>
      <c r="BD1628" s="210"/>
      <c r="BE1628" s="210"/>
      <c r="BF1628" s="210"/>
      <c r="BG1628" s="210"/>
      <c r="BH1628" s="217"/>
      <c r="BI1628" s="210"/>
      <c r="BJ1628" s="210"/>
      <c r="BK1628" s="210"/>
      <c r="BL1628" s="210"/>
      <c r="BM1628" s="208"/>
      <c r="BN1628" s="160"/>
      <c r="BO1628" s="161">
        <f t="shared" si="1420"/>
        <v>0</v>
      </c>
      <c r="BP1628" s="161"/>
    </row>
    <row r="1629" spans="1:68" ht="63.75">
      <c r="A1629" s="210"/>
      <c r="B1629" s="195" t="s">
        <v>8955</v>
      </c>
      <c r="C1629" s="196" t="s">
        <v>8956</v>
      </c>
      <c r="D1629" s="146" t="s">
        <v>4692</v>
      </c>
      <c r="E1629" s="196" t="s">
        <v>8956</v>
      </c>
      <c r="F1629" s="150">
        <v>0</v>
      </c>
      <c r="G1629" s="209">
        <v>0</v>
      </c>
      <c r="H1629" s="209"/>
      <c r="I1629" s="209">
        <v>0</v>
      </c>
      <c r="J1629" s="150">
        <v>0</v>
      </c>
      <c r="K1629" s="150">
        <v>0</v>
      </c>
      <c r="L1629" s="150">
        <f t="shared" si="1408"/>
        <v>0</v>
      </c>
      <c r="M1629" s="150">
        <v>0</v>
      </c>
      <c r="N1629" s="150">
        <v>0</v>
      </c>
      <c r="O1629" s="150">
        <v>0</v>
      </c>
      <c r="P1629" s="150">
        <v>0</v>
      </c>
      <c r="Q1629" s="150">
        <v>0</v>
      </c>
      <c r="R1629" s="313">
        <f t="shared" si="1414"/>
        <v>0</v>
      </c>
      <c r="S1629" s="150">
        <f t="shared" si="1407"/>
        <v>0</v>
      </c>
      <c r="T1629" s="150">
        <v>0</v>
      </c>
      <c r="U1629" s="150">
        <v>0</v>
      </c>
      <c r="V1629" s="199">
        <v>0</v>
      </c>
      <c r="W1629" s="150">
        <f t="shared" si="1415"/>
        <v>0</v>
      </c>
      <c r="X1629" s="150">
        <v>0</v>
      </c>
      <c r="Y1629" s="150">
        <v>0</v>
      </c>
      <c r="Z1629" s="150">
        <v>0</v>
      </c>
      <c r="AA1629" s="150">
        <f t="shared" si="1403"/>
        <v>0</v>
      </c>
      <c r="AB1629" s="150">
        <v>0</v>
      </c>
      <c r="AC1629" s="199">
        <v>0</v>
      </c>
      <c r="AD1629" s="150">
        <f t="shared" si="1416"/>
        <v>0</v>
      </c>
      <c r="AE1629" s="150">
        <v>0</v>
      </c>
      <c r="AF1629" s="169" t="s">
        <v>4680</v>
      </c>
      <c r="AG1629" s="201">
        <v>0</v>
      </c>
      <c r="AH1629" s="199">
        <v>0</v>
      </c>
      <c r="AI1629" s="150">
        <v>0</v>
      </c>
      <c r="AJ1629" s="169">
        <f t="shared" si="1404"/>
        <v>0</v>
      </c>
      <c r="AK1629" s="201">
        <v>0</v>
      </c>
      <c r="AL1629" s="199">
        <v>0</v>
      </c>
      <c r="AM1629" s="150">
        <f t="shared" si="1417"/>
        <v>0</v>
      </c>
      <c r="AN1629" s="153">
        <f t="shared" si="1405"/>
        <v>0</v>
      </c>
      <c r="AO1629" s="154">
        <f t="shared" si="1406"/>
        <v>0</v>
      </c>
      <c r="AP1629" s="150">
        <v>0</v>
      </c>
      <c r="AQ1629" s="201">
        <v>0</v>
      </c>
      <c r="AR1629" s="199">
        <v>0</v>
      </c>
      <c r="AS1629" s="150">
        <f t="shared" si="1418"/>
        <v>0</v>
      </c>
      <c r="AT1629" s="155"/>
      <c r="AU1629" s="156">
        <f t="shared" si="1401"/>
        <v>0</v>
      </c>
      <c r="AV1629" s="156">
        <f t="shared" si="1402"/>
        <v>0</v>
      </c>
      <c r="AW1629" s="157"/>
      <c r="AX1629" s="150">
        <v>0</v>
      </c>
      <c r="AY1629" s="150">
        <v>0</v>
      </c>
      <c r="AZ1629" s="150"/>
      <c r="BA1629" s="150">
        <f t="shared" si="1419"/>
        <v>0</v>
      </c>
      <c r="BB1629" s="210"/>
      <c r="BC1629" s="210"/>
      <c r="BD1629" s="210"/>
      <c r="BE1629" s="210"/>
      <c r="BF1629" s="210"/>
      <c r="BG1629" s="210"/>
      <c r="BH1629" s="217"/>
      <c r="BI1629" s="210"/>
      <c r="BJ1629" s="210"/>
      <c r="BK1629" s="210"/>
      <c r="BL1629" s="210"/>
      <c r="BM1629" s="208"/>
      <c r="BN1629" s="160"/>
      <c r="BO1629" s="161">
        <f t="shared" si="1420"/>
        <v>0</v>
      </c>
      <c r="BP1629" s="161"/>
    </row>
    <row r="1630" spans="1:68" ht="51">
      <c r="A1630" s="210"/>
      <c r="B1630" s="195" t="s">
        <v>8957</v>
      </c>
      <c r="C1630" s="196" t="s">
        <v>8958</v>
      </c>
      <c r="D1630" s="146" t="s">
        <v>4692</v>
      </c>
      <c r="E1630" s="196" t="s">
        <v>8958</v>
      </c>
      <c r="F1630" s="150">
        <v>0</v>
      </c>
      <c r="G1630" s="209">
        <v>0</v>
      </c>
      <c r="H1630" s="209"/>
      <c r="I1630" s="209">
        <v>0</v>
      </c>
      <c r="J1630" s="150">
        <v>0</v>
      </c>
      <c r="K1630" s="150">
        <v>0</v>
      </c>
      <c r="L1630" s="150">
        <f t="shared" si="1408"/>
        <v>0</v>
      </c>
      <c r="M1630" s="150">
        <v>0</v>
      </c>
      <c r="N1630" s="150">
        <v>0</v>
      </c>
      <c r="O1630" s="150">
        <v>0</v>
      </c>
      <c r="P1630" s="150">
        <v>0</v>
      </c>
      <c r="Q1630" s="150">
        <v>0</v>
      </c>
      <c r="R1630" s="313">
        <f t="shared" si="1414"/>
        <v>0</v>
      </c>
      <c r="S1630" s="150">
        <f t="shared" si="1407"/>
        <v>0</v>
      </c>
      <c r="T1630" s="150">
        <v>0</v>
      </c>
      <c r="U1630" s="150">
        <v>0</v>
      </c>
      <c r="V1630" s="199">
        <v>0</v>
      </c>
      <c r="W1630" s="150">
        <f t="shared" si="1415"/>
        <v>0</v>
      </c>
      <c r="X1630" s="150">
        <v>0</v>
      </c>
      <c r="Y1630" s="150">
        <v>0</v>
      </c>
      <c r="Z1630" s="150">
        <v>0</v>
      </c>
      <c r="AA1630" s="150">
        <f t="shared" si="1403"/>
        <v>0</v>
      </c>
      <c r="AB1630" s="150">
        <v>0</v>
      </c>
      <c r="AC1630" s="199">
        <v>0</v>
      </c>
      <c r="AD1630" s="150">
        <f t="shared" si="1416"/>
        <v>0</v>
      </c>
      <c r="AE1630" s="150">
        <v>0</v>
      </c>
      <c r="AF1630" s="169" t="s">
        <v>4680</v>
      </c>
      <c r="AG1630" s="201">
        <v>0</v>
      </c>
      <c r="AH1630" s="199">
        <v>0</v>
      </c>
      <c r="AI1630" s="150">
        <v>0</v>
      </c>
      <c r="AJ1630" s="169">
        <f t="shared" si="1404"/>
        <v>0</v>
      </c>
      <c r="AK1630" s="201">
        <v>0</v>
      </c>
      <c r="AL1630" s="199">
        <v>0</v>
      </c>
      <c r="AM1630" s="150">
        <f t="shared" si="1417"/>
        <v>0</v>
      </c>
      <c r="AN1630" s="153">
        <f t="shared" si="1405"/>
        <v>0</v>
      </c>
      <c r="AO1630" s="154">
        <f t="shared" si="1406"/>
        <v>0</v>
      </c>
      <c r="AP1630" s="150">
        <v>0</v>
      </c>
      <c r="AQ1630" s="201">
        <v>0</v>
      </c>
      <c r="AR1630" s="199">
        <v>0</v>
      </c>
      <c r="AS1630" s="150">
        <f t="shared" si="1418"/>
        <v>0</v>
      </c>
      <c r="AT1630" s="155"/>
      <c r="AU1630" s="156">
        <f t="shared" si="1401"/>
        <v>0</v>
      </c>
      <c r="AV1630" s="156">
        <f t="shared" si="1402"/>
        <v>0</v>
      </c>
      <c r="AW1630" s="157"/>
      <c r="AX1630" s="150">
        <v>0</v>
      </c>
      <c r="AY1630" s="150">
        <v>0</v>
      </c>
      <c r="AZ1630" s="150"/>
      <c r="BA1630" s="150">
        <f t="shared" si="1419"/>
        <v>0</v>
      </c>
      <c r="BB1630" s="210"/>
      <c r="BC1630" s="210"/>
      <c r="BD1630" s="210"/>
      <c r="BE1630" s="210"/>
      <c r="BF1630" s="210"/>
      <c r="BG1630" s="210"/>
      <c r="BH1630" s="217"/>
      <c r="BI1630" s="210"/>
      <c r="BJ1630" s="210"/>
      <c r="BK1630" s="210"/>
      <c r="BL1630" s="210"/>
      <c r="BM1630" s="208"/>
      <c r="BN1630" s="160"/>
      <c r="BO1630" s="161">
        <f t="shared" si="1420"/>
        <v>0</v>
      </c>
      <c r="BP1630" s="161"/>
    </row>
    <row r="1631" spans="1:68" ht="63.75">
      <c r="A1631" s="210"/>
      <c r="B1631" s="195" t="s">
        <v>8959</v>
      </c>
      <c r="C1631" s="196" t="s">
        <v>8960</v>
      </c>
      <c r="D1631" s="146" t="s">
        <v>4692</v>
      </c>
      <c r="E1631" s="196" t="s">
        <v>8960</v>
      </c>
      <c r="F1631" s="150">
        <v>0</v>
      </c>
      <c r="G1631" s="209">
        <v>0</v>
      </c>
      <c r="H1631" s="209"/>
      <c r="I1631" s="209">
        <v>0</v>
      </c>
      <c r="J1631" s="150">
        <v>0</v>
      </c>
      <c r="K1631" s="150">
        <v>0</v>
      </c>
      <c r="L1631" s="150">
        <f t="shared" si="1408"/>
        <v>0</v>
      </c>
      <c r="M1631" s="150">
        <v>0</v>
      </c>
      <c r="N1631" s="150">
        <v>0</v>
      </c>
      <c r="O1631" s="150">
        <v>0</v>
      </c>
      <c r="P1631" s="150">
        <v>0</v>
      </c>
      <c r="Q1631" s="150">
        <v>0</v>
      </c>
      <c r="R1631" s="313">
        <f t="shared" si="1414"/>
        <v>0</v>
      </c>
      <c r="S1631" s="150">
        <f t="shared" si="1407"/>
        <v>0</v>
      </c>
      <c r="T1631" s="150">
        <v>0</v>
      </c>
      <c r="U1631" s="150">
        <v>0</v>
      </c>
      <c r="V1631" s="199">
        <v>0</v>
      </c>
      <c r="W1631" s="150">
        <f t="shared" si="1415"/>
        <v>0</v>
      </c>
      <c r="X1631" s="150">
        <v>0</v>
      </c>
      <c r="Y1631" s="150">
        <v>0</v>
      </c>
      <c r="Z1631" s="150">
        <v>0</v>
      </c>
      <c r="AA1631" s="150">
        <f t="shared" si="1403"/>
        <v>0</v>
      </c>
      <c r="AB1631" s="150">
        <v>0</v>
      </c>
      <c r="AC1631" s="199">
        <v>0</v>
      </c>
      <c r="AD1631" s="150">
        <f t="shared" si="1416"/>
        <v>0</v>
      </c>
      <c r="AE1631" s="150">
        <v>0</v>
      </c>
      <c r="AF1631" s="169" t="s">
        <v>4680</v>
      </c>
      <c r="AG1631" s="201">
        <v>0</v>
      </c>
      <c r="AH1631" s="199">
        <v>0</v>
      </c>
      <c r="AI1631" s="150">
        <v>0</v>
      </c>
      <c r="AJ1631" s="169">
        <f t="shared" si="1404"/>
        <v>0</v>
      </c>
      <c r="AK1631" s="201">
        <v>0</v>
      </c>
      <c r="AL1631" s="199">
        <v>0</v>
      </c>
      <c r="AM1631" s="150">
        <f t="shared" si="1417"/>
        <v>0</v>
      </c>
      <c r="AN1631" s="153">
        <f t="shared" si="1405"/>
        <v>0</v>
      </c>
      <c r="AO1631" s="154">
        <f t="shared" si="1406"/>
        <v>0</v>
      </c>
      <c r="AP1631" s="150">
        <v>0</v>
      </c>
      <c r="AQ1631" s="201">
        <v>0</v>
      </c>
      <c r="AR1631" s="199">
        <v>0</v>
      </c>
      <c r="AS1631" s="150">
        <f t="shared" si="1418"/>
        <v>0</v>
      </c>
      <c r="AT1631" s="155"/>
      <c r="AU1631" s="156">
        <f t="shared" si="1401"/>
        <v>0</v>
      </c>
      <c r="AV1631" s="156">
        <f t="shared" si="1402"/>
        <v>0</v>
      </c>
      <c r="AW1631" s="157"/>
      <c r="AX1631" s="150">
        <v>0</v>
      </c>
      <c r="AY1631" s="150">
        <v>0</v>
      </c>
      <c r="AZ1631" s="150"/>
      <c r="BA1631" s="150">
        <f t="shared" si="1419"/>
        <v>0</v>
      </c>
      <c r="BB1631" s="210"/>
      <c r="BC1631" s="210"/>
      <c r="BD1631" s="210"/>
      <c r="BE1631" s="210"/>
      <c r="BF1631" s="210"/>
      <c r="BG1631" s="210"/>
      <c r="BH1631" s="217"/>
      <c r="BI1631" s="210"/>
      <c r="BJ1631" s="210"/>
      <c r="BK1631" s="210"/>
      <c r="BL1631" s="210"/>
      <c r="BM1631" s="208"/>
      <c r="BN1631" s="160"/>
      <c r="BO1631" s="161">
        <f t="shared" si="1420"/>
        <v>0</v>
      </c>
      <c r="BP1631" s="161"/>
    </row>
    <row r="1632" spans="1:68" ht="51">
      <c r="A1632" s="206" t="s">
        <v>587</v>
      </c>
      <c r="B1632" s="195" t="s">
        <v>8961</v>
      </c>
      <c r="C1632" s="196" t="s">
        <v>8962</v>
      </c>
      <c r="D1632" s="146" t="s">
        <v>4692</v>
      </c>
      <c r="E1632" s="196" t="s">
        <v>8962</v>
      </c>
      <c r="F1632" s="150">
        <v>0</v>
      </c>
      <c r="G1632" s="209">
        <v>0</v>
      </c>
      <c r="H1632" s="209"/>
      <c r="I1632" s="209">
        <v>0</v>
      </c>
      <c r="J1632" s="150">
        <v>0</v>
      </c>
      <c r="K1632" s="150">
        <v>0</v>
      </c>
      <c r="L1632" s="150">
        <f t="shared" si="1408"/>
        <v>0</v>
      </c>
      <c r="M1632" s="150">
        <v>0</v>
      </c>
      <c r="N1632" s="150">
        <v>0</v>
      </c>
      <c r="O1632" s="150">
        <v>0</v>
      </c>
      <c r="P1632" s="150">
        <v>0</v>
      </c>
      <c r="Q1632" s="150">
        <v>0</v>
      </c>
      <c r="R1632" s="313">
        <f t="shared" si="1414"/>
        <v>0</v>
      </c>
      <c r="S1632" s="150">
        <f t="shared" si="1407"/>
        <v>0</v>
      </c>
      <c r="T1632" s="150">
        <v>0</v>
      </c>
      <c r="U1632" s="150">
        <v>0</v>
      </c>
      <c r="V1632" s="199">
        <v>0</v>
      </c>
      <c r="W1632" s="150">
        <f t="shared" si="1415"/>
        <v>0</v>
      </c>
      <c r="X1632" s="150">
        <v>0</v>
      </c>
      <c r="Y1632" s="150">
        <v>0</v>
      </c>
      <c r="Z1632" s="150">
        <v>0</v>
      </c>
      <c r="AA1632" s="150">
        <f t="shared" si="1403"/>
        <v>0</v>
      </c>
      <c r="AB1632" s="150">
        <v>0</v>
      </c>
      <c r="AC1632" s="199">
        <v>0</v>
      </c>
      <c r="AD1632" s="150">
        <f t="shared" si="1416"/>
        <v>0</v>
      </c>
      <c r="AE1632" s="150">
        <v>0</v>
      </c>
      <c r="AF1632" s="169" t="s">
        <v>4680</v>
      </c>
      <c r="AG1632" s="201">
        <v>0</v>
      </c>
      <c r="AH1632" s="199">
        <v>0</v>
      </c>
      <c r="AI1632" s="150">
        <v>0</v>
      </c>
      <c r="AJ1632" s="169">
        <f t="shared" si="1404"/>
        <v>0</v>
      </c>
      <c r="AK1632" s="201">
        <v>0</v>
      </c>
      <c r="AL1632" s="199">
        <v>0</v>
      </c>
      <c r="AM1632" s="150">
        <f t="shared" si="1417"/>
        <v>0</v>
      </c>
      <c r="AN1632" s="153">
        <f t="shared" si="1405"/>
        <v>0</v>
      </c>
      <c r="AO1632" s="154">
        <f t="shared" si="1406"/>
        <v>0</v>
      </c>
      <c r="AP1632" s="150">
        <v>0</v>
      </c>
      <c r="AQ1632" s="201">
        <v>0</v>
      </c>
      <c r="AR1632" s="199">
        <v>0</v>
      </c>
      <c r="AS1632" s="150">
        <f t="shared" si="1418"/>
        <v>0</v>
      </c>
      <c r="AT1632" s="155"/>
      <c r="AU1632" s="156">
        <f t="shared" si="1401"/>
        <v>0</v>
      </c>
      <c r="AV1632" s="156">
        <f t="shared" si="1402"/>
        <v>0</v>
      </c>
      <c r="AW1632" s="157"/>
      <c r="AX1632" s="150">
        <v>0</v>
      </c>
      <c r="AY1632" s="150">
        <v>0</v>
      </c>
      <c r="AZ1632" s="150"/>
      <c r="BA1632" s="150">
        <f t="shared" si="1419"/>
        <v>0</v>
      </c>
      <c r="BB1632" s="202">
        <v>5</v>
      </c>
      <c r="BC1632" s="202" t="s">
        <v>739</v>
      </c>
      <c r="BD1632" s="202" t="s">
        <v>647</v>
      </c>
      <c r="BE1632" s="202" t="s">
        <v>647</v>
      </c>
      <c r="BF1632" s="194" t="s">
        <v>766</v>
      </c>
      <c r="BG1632" s="231" t="s">
        <v>8963</v>
      </c>
      <c r="BH1632" s="216">
        <f>AS1632</f>
        <v>0</v>
      </c>
      <c r="BI1632" s="205"/>
      <c r="BJ1632" s="206" t="s">
        <v>8913</v>
      </c>
      <c r="BK1632" s="206" t="s">
        <v>587</v>
      </c>
      <c r="BL1632" s="207" t="s">
        <v>8914</v>
      </c>
      <c r="BM1632" s="208">
        <f>BH1632</f>
        <v>0</v>
      </c>
      <c r="BN1632" s="160"/>
      <c r="BO1632" s="161">
        <f t="shared" si="1420"/>
        <v>0</v>
      </c>
      <c r="BP1632" s="161"/>
    </row>
    <row r="1633" spans="1:68" ht="51">
      <c r="A1633" s="206" t="s">
        <v>587</v>
      </c>
      <c r="B1633" s="195" t="s">
        <v>8964</v>
      </c>
      <c r="C1633" s="196" t="s">
        <v>8965</v>
      </c>
      <c r="D1633" s="146" t="s">
        <v>4692</v>
      </c>
      <c r="E1633" s="196" t="s">
        <v>8965</v>
      </c>
      <c r="F1633" s="150">
        <v>0</v>
      </c>
      <c r="G1633" s="209">
        <v>0</v>
      </c>
      <c r="H1633" s="209"/>
      <c r="I1633" s="209">
        <v>0</v>
      </c>
      <c r="J1633" s="150">
        <v>0</v>
      </c>
      <c r="K1633" s="150">
        <v>0</v>
      </c>
      <c r="L1633" s="150">
        <f t="shared" si="1408"/>
        <v>0</v>
      </c>
      <c r="M1633" s="150">
        <v>0</v>
      </c>
      <c r="N1633" s="150">
        <v>0</v>
      </c>
      <c r="O1633" s="150">
        <v>0</v>
      </c>
      <c r="P1633" s="150">
        <v>0</v>
      </c>
      <c r="Q1633" s="150">
        <v>0</v>
      </c>
      <c r="R1633" s="313">
        <f t="shared" si="1414"/>
        <v>0</v>
      </c>
      <c r="S1633" s="150">
        <f t="shared" si="1407"/>
        <v>0</v>
      </c>
      <c r="T1633" s="150">
        <v>0</v>
      </c>
      <c r="U1633" s="150">
        <v>0</v>
      </c>
      <c r="V1633" s="199">
        <v>0</v>
      </c>
      <c r="W1633" s="150">
        <f t="shared" si="1415"/>
        <v>0</v>
      </c>
      <c r="X1633" s="150">
        <v>0</v>
      </c>
      <c r="Y1633" s="150">
        <v>0</v>
      </c>
      <c r="Z1633" s="150">
        <v>0</v>
      </c>
      <c r="AA1633" s="150">
        <f t="shared" si="1403"/>
        <v>0</v>
      </c>
      <c r="AB1633" s="150">
        <v>0</v>
      </c>
      <c r="AC1633" s="199">
        <v>0</v>
      </c>
      <c r="AD1633" s="150">
        <f t="shared" si="1416"/>
        <v>0</v>
      </c>
      <c r="AE1633" s="150">
        <v>0</v>
      </c>
      <c r="AF1633" s="169" t="s">
        <v>4680</v>
      </c>
      <c r="AG1633" s="201">
        <v>0</v>
      </c>
      <c r="AH1633" s="199">
        <v>0</v>
      </c>
      <c r="AI1633" s="150">
        <v>0</v>
      </c>
      <c r="AJ1633" s="169">
        <f t="shared" si="1404"/>
        <v>0</v>
      </c>
      <c r="AK1633" s="201">
        <v>0</v>
      </c>
      <c r="AL1633" s="199">
        <v>0</v>
      </c>
      <c r="AM1633" s="150">
        <f t="shared" si="1417"/>
        <v>0</v>
      </c>
      <c r="AN1633" s="153">
        <f t="shared" si="1405"/>
        <v>0</v>
      </c>
      <c r="AO1633" s="154">
        <f t="shared" si="1406"/>
        <v>0</v>
      </c>
      <c r="AP1633" s="150">
        <v>0</v>
      </c>
      <c r="AQ1633" s="201">
        <v>0</v>
      </c>
      <c r="AR1633" s="199">
        <v>0</v>
      </c>
      <c r="AS1633" s="150">
        <f t="shared" si="1418"/>
        <v>0</v>
      </c>
      <c r="AT1633" s="155"/>
      <c r="AU1633" s="156">
        <f t="shared" si="1401"/>
        <v>0</v>
      </c>
      <c r="AV1633" s="156">
        <f t="shared" si="1402"/>
        <v>0</v>
      </c>
      <c r="AW1633" s="157"/>
      <c r="AX1633" s="150">
        <v>0</v>
      </c>
      <c r="AY1633" s="150">
        <v>0</v>
      </c>
      <c r="AZ1633" s="150"/>
      <c r="BA1633" s="150">
        <f t="shared" si="1419"/>
        <v>0</v>
      </c>
      <c r="BB1633" s="202">
        <v>5</v>
      </c>
      <c r="BC1633" s="202" t="s">
        <v>739</v>
      </c>
      <c r="BD1633" s="202" t="s">
        <v>647</v>
      </c>
      <c r="BE1633" s="202" t="s">
        <v>647</v>
      </c>
      <c r="BF1633" s="194" t="s">
        <v>779</v>
      </c>
      <c r="BG1633" s="231" t="s">
        <v>8966</v>
      </c>
      <c r="BH1633" s="216">
        <f>AS1633</f>
        <v>0</v>
      </c>
      <c r="BI1633" s="205"/>
      <c r="BJ1633" s="206" t="s">
        <v>8913</v>
      </c>
      <c r="BK1633" s="206" t="s">
        <v>587</v>
      </c>
      <c r="BL1633" s="207" t="s">
        <v>8914</v>
      </c>
      <c r="BM1633" s="208">
        <f>BH1633</f>
        <v>0</v>
      </c>
      <c r="BN1633" s="160"/>
      <c r="BO1633" s="161">
        <f t="shared" si="1420"/>
        <v>0</v>
      </c>
      <c r="BP1633" s="161"/>
    </row>
    <row r="1634" spans="1:68" ht="76.5">
      <c r="A1634" s="206"/>
      <c r="B1634" s="195" t="s">
        <v>8967</v>
      </c>
      <c r="C1634" s="196" t="s">
        <v>8968</v>
      </c>
      <c r="D1634" s="146" t="s">
        <v>4692</v>
      </c>
      <c r="E1634" s="196" t="s">
        <v>8968</v>
      </c>
      <c r="F1634" s="150">
        <v>0</v>
      </c>
      <c r="G1634" s="209">
        <v>0</v>
      </c>
      <c r="H1634" s="209"/>
      <c r="I1634" s="209">
        <v>0</v>
      </c>
      <c r="J1634" s="150">
        <v>0</v>
      </c>
      <c r="K1634" s="150">
        <v>0</v>
      </c>
      <c r="L1634" s="150">
        <f t="shared" si="1408"/>
        <v>0</v>
      </c>
      <c r="M1634" s="150">
        <v>0</v>
      </c>
      <c r="N1634" s="150">
        <v>0</v>
      </c>
      <c r="O1634" s="150">
        <v>0</v>
      </c>
      <c r="P1634" s="150">
        <v>0</v>
      </c>
      <c r="Q1634" s="150">
        <v>0</v>
      </c>
      <c r="R1634" s="313">
        <f t="shared" si="1414"/>
        <v>0</v>
      </c>
      <c r="S1634" s="150">
        <f t="shared" si="1407"/>
        <v>0</v>
      </c>
      <c r="T1634" s="150">
        <v>0</v>
      </c>
      <c r="U1634" s="150">
        <v>0</v>
      </c>
      <c r="V1634" s="199">
        <v>0</v>
      </c>
      <c r="W1634" s="150">
        <f t="shared" si="1415"/>
        <v>0</v>
      </c>
      <c r="X1634" s="150">
        <v>0</v>
      </c>
      <c r="Y1634" s="150">
        <v>0</v>
      </c>
      <c r="Z1634" s="150">
        <v>0</v>
      </c>
      <c r="AA1634" s="150">
        <f t="shared" si="1403"/>
        <v>0</v>
      </c>
      <c r="AB1634" s="150">
        <v>0</v>
      </c>
      <c r="AC1634" s="199">
        <v>0</v>
      </c>
      <c r="AD1634" s="150">
        <f t="shared" si="1416"/>
        <v>0</v>
      </c>
      <c r="AE1634" s="150">
        <v>0</v>
      </c>
      <c r="AF1634" s="169" t="s">
        <v>4680</v>
      </c>
      <c r="AG1634" s="201">
        <v>0</v>
      </c>
      <c r="AH1634" s="199">
        <v>0</v>
      </c>
      <c r="AI1634" s="150">
        <v>0</v>
      </c>
      <c r="AJ1634" s="169">
        <f t="shared" si="1404"/>
        <v>0</v>
      </c>
      <c r="AK1634" s="201">
        <v>0</v>
      </c>
      <c r="AL1634" s="199">
        <v>0</v>
      </c>
      <c r="AM1634" s="150">
        <f t="shared" si="1417"/>
        <v>0</v>
      </c>
      <c r="AN1634" s="153">
        <f t="shared" si="1405"/>
        <v>0</v>
      </c>
      <c r="AO1634" s="154">
        <f t="shared" si="1406"/>
        <v>0</v>
      </c>
      <c r="AP1634" s="150">
        <v>0</v>
      </c>
      <c r="AQ1634" s="201">
        <v>0</v>
      </c>
      <c r="AR1634" s="199">
        <v>0</v>
      </c>
      <c r="AS1634" s="150">
        <f t="shared" si="1418"/>
        <v>0</v>
      </c>
      <c r="AT1634" s="155"/>
      <c r="AU1634" s="156">
        <f t="shared" si="1401"/>
        <v>0</v>
      </c>
      <c r="AV1634" s="156">
        <f t="shared" si="1402"/>
        <v>0</v>
      </c>
      <c r="AW1634" s="157"/>
      <c r="AX1634" s="150">
        <v>0</v>
      </c>
      <c r="AY1634" s="150">
        <v>0</v>
      </c>
      <c r="AZ1634" s="150"/>
      <c r="BA1634" s="150">
        <f t="shared" si="1419"/>
        <v>0</v>
      </c>
      <c r="BB1634" s="352" t="s">
        <v>8969</v>
      </c>
      <c r="BC1634" s="352" t="s">
        <v>739</v>
      </c>
      <c r="BD1634" s="352" t="s">
        <v>647</v>
      </c>
      <c r="BE1634" s="352" t="s">
        <v>647</v>
      </c>
      <c r="BF1634" s="353" t="s">
        <v>1225</v>
      </c>
      <c r="BG1634" s="196" t="s">
        <v>8968</v>
      </c>
      <c r="BH1634" s="216">
        <f>AS1634</f>
        <v>0</v>
      </c>
      <c r="BI1634" s="205"/>
      <c r="BJ1634" s="206"/>
      <c r="BK1634" s="206"/>
      <c r="BL1634" s="207" t="s">
        <v>8914</v>
      </c>
      <c r="BM1634" s="208">
        <f>BH1634</f>
        <v>0</v>
      </c>
      <c r="BN1634" s="160"/>
      <c r="BO1634" s="161">
        <f t="shared" si="1420"/>
        <v>0</v>
      </c>
      <c r="BP1634" s="161"/>
    </row>
    <row r="1635" spans="1:68" ht="63.75">
      <c r="A1635" s="206"/>
      <c r="B1635" s="195" t="s">
        <v>8970</v>
      </c>
      <c r="C1635" s="196" t="s">
        <v>8971</v>
      </c>
      <c r="D1635" s="146" t="s">
        <v>4692</v>
      </c>
      <c r="E1635" s="196" t="s">
        <v>8971</v>
      </c>
      <c r="F1635" s="150">
        <v>0</v>
      </c>
      <c r="G1635" s="209">
        <v>102914.5</v>
      </c>
      <c r="H1635" s="209">
        <v>11564.345378737244</v>
      </c>
      <c r="I1635" s="209">
        <v>114478.84537873724</v>
      </c>
      <c r="J1635" s="150">
        <v>0</v>
      </c>
      <c r="K1635" s="150">
        <v>0</v>
      </c>
      <c r="L1635" s="150">
        <f t="shared" si="1408"/>
        <v>0</v>
      </c>
      <c r="M1635" s="150">
        <v>0</v>
      </c>
      <c r="N1635" s="150">
        <v>0</v>
      </c>
      <c r="O1635" s="150">
        <v>0</v>
      </c>
      <c r="P1635" s="150">
        <v>0</v>
      </c>
      <c r="Q1635" s="150">
        <v>0</v>
      </c>
      <c r="R1635" s="313">
        <f t="shared" si="1414"/>
        <v>0</v>
      </c>
      <c r="S1635" s="150">
        <f t="shared" si="1407"/>
        <v>0</v>
      </c>
      <c r="T1635" s="150">
        <v>0</v>
      </c>
      <c r="U1635" s="150">
        <v>0</v>
      </c>
      <c r="V1635" s="199">
        <v>0</v>
      </c>
      <c r="W1635" s="150">
        <f t="shared" si="1415"/>
        <v>0</v>
      </c>
      <c r="X1635" s="150">
        <v>0</v>
      </c>
      <c r="Y1635" s="150">
        <v>0</v>
      </c>
      <c r="Z1635" s="150">
        <v>0</v>
      </c>
      <c r="AA1635" s="150">
        <f t="shared" si="1403"/>
        <v>0</v>
      </c>
      <c r="AB1635" s="150">
        <v>0</v>
      </c>
      <c r="AC1635" s="199">
        <v>0</v>
      </c>
      <c r="AD1635" s="150">
        <f t="shared" si="1416"/>
        <v>0</v>
      </c>
      <c r="AE1635" s="150">
        <v>0</v>
      </c>
      <c r="AF1635" s="169" t="s">
        <v>4680</v>
      </c>
      <c r="AG1635" s="201">
        <v>0</v>
      </c>
      <c r="AH1635" s="199">
        <v>0</v>
      </c>
      <c r="AI1635" s="150">
        <v>0</v>
      </c>
      <c r="AJ1635" s="169">
        <f t="shared" si="1404"/>
        <v>0</v>
      </c>
      <c r="AK1635" s="201">
        <v>0</v>
      </c>
      <c r="AL1635" s="199">
        <v>0</v>
      </c>
      <c r="AM1635" s="150">
        <f t="shared" si="1417"/>
        <v>0</v>
      </c>
      <c r="AN1635" s="153">
        <f t="shared" si="1405"/>
        <v>0</v>
      </c>
      <c r="AO1635" s="154">
        <f t="shared" si="1406"/>
        <v>0</v>
      </c>
      <c r="AP1635" s="150">
        <v>0</v>
      </c>
      <c r="AQ1635" s="201">
        <v>0</v>
      </c>
      <c r="AR1635" s="199">
        <v>0</v>
      </c>
      <c r="AS1635" s="150">
        <f t="shared" si="1418"/>
        <v>0</v>
      </c>
      <c r="AT1635" s="155"/>
      <c r="AU1635" s="156">
        <f t="shared" si="1401"/>
        <v>0</v>
      </c>
      <c r="AV1635" s="156">
        <f t="shared" si="1402"/>
        <v>0</v>
      </c>
      <c r="AW1635" s="157"/>
      <c r="AX1635" s="150">
        <v>0</v>
      </c>
      <c r="AY1635" s="150">
        <v>0</v>
      </c>
      <c r="AZ1635" s="150"/>
      <c r="BA1635" s="150">
        <f t="shared" si="1419"/>
        <v>0</v>
      </c>
      <c r="BB1635" s="352" t="s">
        <v>8969</v>
      </c>
      <c r="BC1635" s="352" t="s">
        <v>739</v>
      </c>
      <c r="BD1635" s="352" t="s">
        <v>647</v>
      </c>
      <c r="BE1635" s="352" t="s">
        <v>647</v>
      </c>
      <c r="BF1635" s="353" t="s">
        <v>1229</v>
      </c>
      <c r="BG1635" s="196" t="s">
        <v>8971</v>
      </c>
      <c r="BH1635" s="216">
        <f>AS1635</f>
        <v>0</v>
      </c>
      <c r="BI1635" s="205"/>
      <c r="BJ1635" s="206"/>
      <c r="BK1635" s="206"/>
      <c r="BL1635" s="207" t="s">
        <v>8914</v>
      </c>
      <c r="BM1635" s="208">
        <f>BH1635</f>
        <v>0</v>
      </c>
      <c r="BN1635" s="160"/>
      <c r="BO1635" s="161">
        <f t="shared" si="1420"/>
        <v>0</v>
      </c>
      <c r="BP1635" s="161"/>
    </row>
    <row r="1636" spans="1:68" ht="38.25">
      <c r="A1636" s="256" t="s">
        <v>588</v>
      </c>
      <c r="B1636" s="184"/>
      <c r="C1636" s="185" t="s">
        <v>93</v>
      </c>
      <c r="D1636" s="146" t="s">
        <v>4692</v>
      </c>
      <c r="E1636" s="185" t="s">
        <v>93</v>
      </c>
      <c r="F1636" s="188">
        <v>114478.5</v>
      </c>
      <c r="G1636" s="187">
        <v>77004.23</v>
      </c>
      <c r="H1636" s="187">
        <v>-2398.64</v>
      </c>
      <c r="I1636" s="187">
        <v>74605.59</v>
      </c>
      <c r="J1636" s="188">
        <f>SUM(J1637:J1659)</f>
        <v>16264.560000000001</v>
      </c>
      <c r="K1636" s="188">
        <f>SUM(K1637:K1659)</f>
        <v>0</v>
      </c>
      <c r="L1636" s="188">
        <f t="shared" si="1408"/>
        <v>16264.560000000001</v>
      </c>
      <c r="M1636" s="188">
        <v>32686.680000000004</v>
      </c>
      <c r="N1636" s="188">
        <v>16443.163064835822</v>
      </c>
      <c r="O1636" s="188">
        <v>49129.843064835826</v>
      </c>
      <c r="P1636" s="299">
        <f t="shared" ref="P1636:AD1636" si="1421">SUM(P1637:P1659)</f>
        <v>49030.02</v>
      </c>
      <c r="Q1636" s="299">
        <f t="shared" si="1421"/>
        <v>3972.5</v>
      </c>
      <c r="R1636" s="299">
        <f t="shared" si="1421"/>
        <v>53002.52</v>
      </c>
      <c r="S1636" s="150">
        <f t="shared" si="1407"/>
        <v>70670.026666666658</v>
      </c>
      <c r="T1636" s="347">
        <f>SUM(T1637:T1659)</f>
        <v>65688.090000000011</v>
      </c>
      <c r="U1636" s="299">
        <f t="shared" ref="U1636:W1636" si="1422">SUM(U1637:U1659)</f>
        <v>65373.360000000008</v>
      </c>
      <c r="V1636" s="226">
        <f t="shared" si="1422"/>
        <v>314.73</v>
      </c>
      <c r="W1636" s="299">
        <f t="shared" si="1422"/>
        <v>65688.090000000011</v>
      </c>
      <c r="X1636" s="299">
        <v>65373.360000000008</v>
      </c>
      <c r="Y1636" s="299">
        <v>314.73</v>
      </c>
      <c r="Z1636" s="299">
        <v>65688.090000000011</v>
      </c>
      <c r="AA1636" s="299">
        <f t="shared" si="1403"/>
        <v>0</v>
      </c>
      <c r="AB1636" s="299">
        <v>65373.360000000008</v>
      </c>
      <c r="AC1636" s="226">
        <v>314.73</v>
      </c>
      <c r="AD1636" s="299">
        <f t="shared" si="1421"/>
        <v>65688.090000000011</v>
      </c>
      <c r="AE1636" s="299">
        <v>65688.090000000011</v>
      </c>
      <c r="AF1636" s="169" t="s">
        <v>4680</v>
      </c>
      <c r="AG1636" s="301">
        <v>65373.360000000008</v>
      </c>
      <c r="AH1636" s="226">
        <v>314.73</v>
      </c>
      <c r="AI1636" s="299">
        <v>65688.090000000011</v>
      </c>
      <c r="AJ1636" s="169">
        <f t="shared" si="1404"/>
        <v>0</v>
      </c>
      <c r="AK1636" s="301">
        <v>65373.360000000008</v>
      </c>
      <c r="AL1636" s="226">
        <v>314.73</v>
      </c>
      <c r="AM1636" s="299">
        <f t="shared" ref="AM1636" si="1423">SUM(AM1637:AM1659)</f>
        <v>65688.090000000011</v>
      </c>
      <c r="AN1636" s="153">
        <f t="shared" si="1405"/>
        <v>0</v>
      </c>
      <c r="AO1636" s="154">
        <f t="shared" si="1406"/>
        <v>0</v>
      </c>
      <c r="AP1636" s="299">
        <v>65688.090000000011</v>
      </c>
      <c r="AQ1636" s="301">
        <v>65688.090000000011</v>
      </c>
      <c r="AR1636" s="226">
        <f t="shared" ref="AR1636:AS1636" si="1424">SUM(AR1637:AR1659)</f>
        <v>0</v>
      </c>
      <c r="AS1636" s="299">
        <f t="shared" si="1424"/>
        <v>65688.090000000011</v>
      </c>
      <c r="AT1636" s="155"/>
      <c r="AU1636" s="156">
        <f t="shared" si="1401"/>
        <v>0</v>
      </c>
      <c r="AV1636" s="156">
        <f t="shared" si="1402"/>
        <v>0</v>
      </c>
      <c r="AW1636" s="157"/>
      <c r="AX1636" s="150">
        <v>65688.090000000011</v>
      </c>
      <c r="AY1636" s="299">
        <f t="shared" ref="AY1636:BA1636" si="1425">SUM(AY1637:AY1659)</f>
        <v>38134.46</v>
      </c>
      <c r="AZ1636" s="299">
        <f t="shared" si="1425"/>
        <v>60125.226129671646</v>
      </c>
      <c r="BA1636" s="299">
        <f t="shared" si="1425"/>
        <v>98259.686129671652</v>
      </c>
      <c r="BB1636" s="192">
        <v>5</v>
      </c>
      <c r="BC1636" s="256" t="s">
        <v>739</v>
      </c>
      <c r="BD1636" s="256" t="s">
        <v>647</v>
      </c>
      <c r="BE1636" s="256" t="s">
        <v>671</v>
      </c>
      <c r="BF1636" s="256" t="s">
        <v>630</v>
      </c>
      <c r="BG1636" s="185" t="s">
        <v>93</v>
      </c>
      <c r="BH1636" s="215">
        <f>BH1637</f>
        <v>65688.090000000011</v>
      </c>
      <c r="BI1636" s="192"/>
      <c r="BJ1636" s="256" t="s">
        <v>8972</v>
      </c>
      <c r="BK1636" s="256" t="s">
        <v>588</v>
      </c>
      <c r="BL1636" s="238" t="s">
        <v>8973</v>
      </c>
      <c r="BM1636" s="338">
        <f>BM1637</f>
        <v>65688.090000000011</v>
      </c>
      <c r="BN1636" s="160"/>
      <c r="BO1636" s="161">
        <f t="shared" si="1420"/>
        <v>0</v>
      </c>
      <c r="BP1636" s="161"/>
    </row>
    <row r="1637" spans="1:68" ht="38.25">
      <c r="A1637" s="206" t="s">
        <v>588</v>
      </c>
      <c r="B1637" s="195" t="s">
        <v>8974</v>
      </c>
      <c r="C1637" s="196" t="s">
        <v>8975</v>
      </c>
      <c r="D1637" s="146" t="s">
        <v>4692</v>
      </c>
      <c r="E1637" s="196" t="s">
        <v>8975</v>
      </c>
      <c r="F1637" s="150">
        <v>74605.23</v>
      </c>
      <c r="G1637" s="209">
        <v>0</v>
      </c>
      <c r="H1637" s="209">
        <v>0</v>
      </c>
      <c r="I1637" s="209">
        <v>0</v>
      </c>
      <c r="J1637" s="150">
        <v>12483.36</v>
      </c>
      <c r="K1637" s="150">
        <v>0</v>
      </c>
      <c r="L1637" s="150">
        <f t="shared" si="1408"/>
        <v>12483.36</v>
      </c>
      <c r="M1637" s="150">
        <v>25087.56</v>
      </c>
      <c r="N1637" s="150">
        <v>1699.2147666666679</v>
      </c>
      <c r="O1637" s="150">
        <v>26786.774766666669</v>
      </c>
      <c r="P1637" s="150">
        <v>37631.339999999997</v>
      </c>
      <c r="Q1637" s="150">
        <v>3972.5</v>
      </c>
      <c r="R1637" s="313">
        <f t="shared" ref="R1637:R1659" si="1426">P1637+Q1637</f>
        <v>41603.839999999997</v>
      </c>
      <c r="S1637" s="150">
        <f t="shared" si="1407"/>
        <v>55471.786666666667</v>
      </c>
      <c r="T1637" s="150">
        <v>50175.12</v>
      </c>
      <c r="U1637" s="150">
        <v>50175.12</v>
      </c>
      <c r="V1637" s="199">
        <v>0</v>
      </c>
      <c r="W1637" s="150">
        <f t="shared" ref="W1637:W1659" si="1427">U1637+V1637</f>
        <v>50175.12</v>
      </c>
      <c r="X1637" s="150">
        <v>50175.12</v>
      </c>
      <c r="Y1637" s="150">
        <v>0</v>
      </c>
      <c r="Z1637" s="150">
        <v>50175.12</v>
      </c>
      <c r="AA1637" s="150">
        <f t="shared" si="1403"/>
        <v>0</v>
      </c>
      <c r="AB1637" s="150">
        <v>50175.12</v>
      </c>
      <c r="AC1637" s="199">
        <v>0</v>
      </c>
      <c r="AD1637" s="150">
        <f t="shared" si="1416"/>
        <v>50175.12</v>
      </c>
      <c r="AE1637" s="150">
        <v>50175.12</v>
      </c>
      <c r="AF1637" s="169" t="s">
        <v>4680</v>
      </c>
      <c r="AG1637" s="201">
        <v>50175.12</v>
      </c>
      <c r="AH1637" s="199">
        <v>0</v>
      </c>
      <c r="AI1637" s="150">
        <v>50175.12</v>
      </c>
      <c r="AJ1637" s="169">
        <f t="shared" si="1404"/>
        <v>0</v>
      </c>
      <c r="AK1637" s="201">
        <v>50175.12</v>
      </c>
      <c r="AL1637" s="199">
        <v>0</v>
      </c>
      <c r="AM1637" s="150">
        <f t="shared" ref="AM1637:AM1659" si="1428">AK1637+AL1637</f>
        <v>50175.12</v>
      </c>
      <c r="AN1637" s="153">
        <f t="shared" si="1405"/>
        <v>0</v>
      </c>
      <c r="AO1637" s="154">
        <f t="shared" si="1406"/>
        <v>0</v>
      </c>
      <c r="AP1637" s="150">
        <v>50175.12</v>
      </c>
      <c r="AQ1637" s="201">
        <v>50175.12</v>
      </c>
      <c r="AR1637" s="199">
        <v>0</v>
      </c>
      <c r="AS1637" s="150">
        <f t="shared" ref="AS1637:AS1659" si="1429">AQ1637+AR1637</f>
        <v>50175.12</v>
      </c>
      <c r="AT1637" s="155"/>
      <c r="AU1637" s="156">
        <f t="shared" si="1401"/>
        <v>0</v>
      </c>
      <c r="AV1637" s="156">
        <f t="shared" si="1402"/>
        <v>0</v>
      </c>
      <c r="AW1637" s="157"/>
      <c r="AX1637" s="150">
        <v>50175.12</v>
      </c>
      <c r="AY1637" s="150">
        <v>29268.82</v>
      </c>
      <c r="AZ1637" s="150">
        <f>BA1637-AY1637</f>
        <v>24304.729533333339</v>
      </c>
      <c r="BA1637" s="150">
        <v>53573.549533333338</v>
      </c>
      <c r="BB1637" s="202">
        <v>5</v>
      </c>
      <c r="BC1637" s="202" t="s">
        <v>739</v>
      </c>
      <c r="BD1637" s="202" t="s">
        <v>647</v>
      </c>
      <c r="BE1637" s="202" t="s">
        <v>671</v>
      </c>
      <c r="BF1637" s="202" t="s">
        <v>632</v>
      </c>
      <c r="BG1637" s="231" t="s">
        <v>93</v>
      </c>
      <c r="BH1637" s="216">
        <f>SUM(AS1637:AS1659)</f>
        <v>65688.090000000011</v>
      </c>
      <c r="BI1637" s="205"/>
      <c r="BJ1637" s="206" t="s">
        <v>8972</v>
      </c>
      <c r="BK1637" s="206" t="s">
        <v>588</v>
      </c>
      <c r="BL1637" s="207" t="s">
        <v>8973</v>
      </c>
      <c r="BM1637" s="208">
        <f>BH1637</f>
        <v>65688.090000000011</v>
      </c>
      <c r="BN1637" s="160"/>
      <c r="BO1637" s="161"/>
      <c r="BP1637" s="161"/>
    </row>
    <row r="1638" spans="1:68" ht="63.75">
      <c r="A1638" s="210"/>
      <c r="B1638" s="195" t="s">
        <v>8976</v>
      </c>
      <c r="C1638" s="196" t="s">
        <v>8977</v>
      </c>
      <c r="D1638" s="146" t="s">
        <v>4692</v>
      </c>
      <c r="E1638" s="196" t="s">
        <v>8977</v>
      </c>
      <c r="F1638" s="150">
        <v>0</v>
      </c>
      <c r="G1638" s="209">
        <v>0</v>
      </c>
      <c r="H1638" s="209">
        <v>5326.1937563775509</v>
      </c>
      <c r="I1638" s="209">
        <v>5326.1937563775509</v>
      </c>
      <c r="J1638" s="150">
        <v>0</v>
      </c>
      <c r="K1638" s="150">
        <v>0</v>
      </c>
      <c r="L1638" s="150">
        <f t="shared" si="1408"/>
        <v>0</v>
      </c>
      <c r="M1638" s="150">
        <v>0</v>
      </c>
      <c r="N1638" s="150">
        <v>4918.7702825745691</v>
      </c>
      <c r="O1638" s="150">
        <v>4918.7702825745691</v>
      </c>
      <c r="P1638" s="150">
        <v>0</v>
      </c>
      <c r="Q1638" s="150">
        <v>0</v>
      </c>
      <c r="R1638" s="313">
        <f t="shared" si="1426"/>
        <v>0</v>
      </c>
      <c r="S1638" s="150">
        <f t="shared" si="1407"/>
        <v>0</v>
      </c>
      <c r="T1638" s="150">
        <v>0</v>
      </c>
      <c r="U1638" s="150">
        <v>0</v>
      </c>
      <c r="V1638" s="199">
        <v>0</v>
      </c>
      <c r="W1638" s="150">
        <f t="shared" si="1427"/>
        <v>0</v>
      </c>
      <c r="X1638" s="150">
        <v>0</v>
      </c>
      <c r="Y1638" s="150">
        <v>0</v>
      </c>
      <c r="Z1638" s="150">
        <v>0</v>
      </c>
      <c r="AA1638" s="150">
        <f t="shared" si="1403"/>
        <v>0</v>
      </c>
      <c r="AB1638" s="150">
        <v>0</v>
      </c>
      <c r="AC1638" s="199">
        <v>0</v>
      </c>
      <c r="AD1638" s="150">
        <f t="shared" si="1416"/>
        <v>0</v>
      </c>
      <c r="AE1638" s="150">
        <v>0</v>
      </c>
      <c r="AF1638" s="169" t="s">
        <v>4680</v>
      </c>
      <c r="AG1638" s="201">
        <v>0</v>
      </c>
      <c r="AH1638" s="199">
        <v>0</v>
      </c>
      <c r="AI1638" s="150">
        <v>0</v>
      </c>
      <c r="AJ1638" s="169">
        <f t="shared" si="1404"/>
        <v>0</v>
      </c>
      <c r="AK1638" s="201">
        <v>0</v>
      </c>
      <c r="AL1638" s="199">
        <v>0</v>
      </c>
      <c r="AM1638" s="150">
        <f t="shared" si="1428"/>
        <v>0</v>
      </c>
      <c r="AN1638" s="153">
        <f t="shared" si="1405"/>
        <v>0</v>
      </c>
      <c r="AO1638" s="154">
        <f t="shared" si="1406"/>
        <v>0</v>
      </c>
      <c r="AP1638" s="150">
        <v>0</v>
      </c>
      <c r="AQ1638" s="201">
        <v>0</v>
      </c>
      <c r="AR1638" s="199">
        <v>0</v>
      </c>
      <c r="AS1638" s="150">
        <f t="shared" si="1429"/>
        <v>0</v>
      </c>
      <c r="AT1638" s="155"/>
      <c r="AU1638" s="156">
        <f t="shared" si="1401"/>
        <v>0</v>
      </c>
      <c r="AV1638" s="156">
        <f t="shared" si="1402"/>
        <v>0</v>
      </c>
      <c r="AW1638" s="157"/>
      <c r="AX1638" s="150">
        <v>0</v>
      </c>
      <c r="AY1638" s="150">
        <v>0</v>
      </c>
      <c r="AZ1638" s="150">
        <f t="shared" ref="AZ1638:AZ1659" si="1430">BA1638-AY1638</f>
        <v>9837.5405651491383</v>
      </c>
      <c r="BA1638" s="150">
        <v>9837.5405651491383</v>
      </c>
      <c r="BB1638" s="210"/>
      <c r="BC1638" s="210"/>
      <c r="BD1638" s="210"/>
      <c r="BE1638" s="210"/>
      <c r="BF1638" s="210"/>
      <c r="BG1638" s="210"/>
      <c r="BH1638" s="217"/>
      <c r="BI1638" s="210"/>
      <c r="BJ1638" s="210"/>
      <c r="BK1638" s="210"/>
      <c r="BL1638" s="210"/>
      <c r="BM1638" s="208"/>
      <c r="BN1638" s="160"/>
      <c r="BO1638" s="161"/>
      <c r="BP1638" s="161"/>
    </row>
    <row r="1639" spans="1:68" ht="63.75">
      <c r="A1639" s="210"/>
      <c r="B1639" s="195" t="s">
        <v>8978</v>
      </c>
      <c r="C1639" s="196" t="s">
        <v>8979</v>
      </c>
      <c r="D1639" s="146" t="s">
        <v>4692</v>
      </c>
      <c r="E1639" s="196" t="s">
        <v>8979</v>
      </c>
      <c r="F1639" s="150">
        <v>5326</v>
      </c>
      <c r="G1639" s="209">
        <v>911.17</v>
      </c>
      <c r="H1639" s="209">
        <v>6075.3792474489801</v>
      </c>
      <c r="I1639" s="209">
        <v>6986.5492474489802</v>
      </c>
      <c r="J1639" s="150">
        <v>0</v>
      </c>
      <c r="K1639" s="150">
        <v>0</v>
      </c>
      <c r="L1639" s="150">
        <f t="shared" si="1408"/>
        <v>0</v>
      </c>
      <c r="M1639" s="150">
        <v>0</v>
      </c>
      <c r="N1639" s="150">
        <v>0</v>
      </c>
      <c r="O1639" s="150">
        <v>0</v>
      </c>
      <c r="P1639" s="150">
        <v>0</v>
      </c>
      <c r="Q1639" s="150">
        <v>0</v>
      </c>
      <c r="R1639" s="313">
        <f t="shared" si="1426"/>
        <v>0</v>
      </c>
      <c r="S1639" s="150">
        <f t="shared" si="1407"/>
        <v>0</v>
      </c>
      <c r="T1639" s="150">
        <v>0</v>
      </c>
      <c r="U1639" s="150">
        <v>0</v>
      </c>
      <c r="V1639" s="199">
        <v>0</v>
      </c>
      <c r="W1639" s="150">
        <f t="shared" si="1427"/>
        <v>0</v>
      </c>
      <c r="X1639" s="150">
        <v>0</v>
      </c>
      <c r="Y1639" s="150">
        <v>0</v>
      </c>
      <c r="Z1639" s="150">
        <v>0</v>
      </c>
      <c r="AA1639" s="150">
        <f t="shared" si="1403"/>
        <v>0</v>
      </c>
      <c r="AB1639" s="150">
        <v>0</v>
      </c>
      <c r="AC1639" s="199">
        <v>0</v>
      </c>
      <c r="AD1639" s="150">
        <f t="shared" si="1416"/>
        <v>0</v>
      </c>
      <c r="AE1639" s="150">
        <v>0</v>
      </c>
      <c r="AF1639" s="169" t="s">
        <v>4680</v>
      </c>
      <c r="AG1639" s="201">
        <v>0</v>
      </c>
      <c r="AH1639" s="199">
        <v>0</v>
      </c>
      <c r="AI1639" s="150">
        <v>0</v>
      </c>
      <c r="AJ1639" s="169">
        <f t="shared" si="1404"/>
        <v>0</v>
      </c>
      <c r="AK1639" s="201">
        <v>0</v>
      </c>
      <c r="AL1639" s="199">
        <v>0</v>
      </c>
      <c r="AM1639" s="150">
        <f t="shared" si="1428"/>
        <v>0</v>
      </c>
      <c r="AN1639" s="153">
        <f t="shared" si="1405"/>
        <v>0</v>
      </c>
      <c r="AO1639" s="154">
        <f t="shared" si="1406"/>
        <v>0</v>
      </c>
      <c r="AP1639" s="150">
        <v>0</v>
      </c>
      <c r="AQ1639" s="201">
        <v>0</v>
      </c>
      <c r="AR1639" s="199">
        <v>0</v>
      </c>
      <c r="AS1639" s="150">
        <f t="shared" si="1429"/>
        <v>0</v>
      </c>
      <c r="AT1639" s="155"/>
      <c r="AU1639" s="156">
        <f t="shared" si="1401"/>
        <v>0</v>
      </c>
      <c r="AV1639" s="156">
        <f t="shared" si="1402"/>
        <v>0</v>
      </c>
      <c r="AW1639" s="157"/>
      <c r="AX1639" s="150">
        <v>0</v>
      </c>
      <c r="AY1639" s="150">
        <v>0</v>
      </c>
      <c r="AZ1639" s="150">
        <f t="shared" si="1430"/>
        <v>0</v>
      </c>
      <c r="BA1639" s="150">
        <v>0</v>
      </c>
      <c r="BB1639" s="210"/>
      <c r="BC1639" s="210"/>
      <c r="BD1639" s="210"/>
      <c r="BE1639" s="210"/>
      <c r="BF1639" s="210"/>
      <c r="BG1639" s="210"/>
      <c r="BH1639" s="217"/>
      <c r="BI1639" s="210"/>
      <c r="BJ1639" s="210"/>
      <c r="BK1639" s="210"/>
      <c r="BL1639" s="210"/>
      <c r="BM1639" s="208"/>
      <c r="BN1639" s="160"/>
      <c r="BO1639" s="161"/>
      <c r="BP1639" s="161"/>
    </row>
    <row r="1640" spans="1:68" ht="63.75">
      <c r="A1640" s="210"/>
      <c r="B1640" s="195" t="s">
        <v>8980</v>
      </c>
      <c r="C1640" s="196" t="s">
        <v>8981</v>
      </c>
      <c r="D1640" s="146" t="s">
        <v>4692</v>
      </c>
      <c r="E1640" s="196" t="s">
        <v>8981</v>
      </c>
      <c r="F1640" s="150">
        <v>6986.17</v>
      </c>
      <c r="G1640" s="209">
        <v>19931.490000000002</v>
      </c>
      <c r="H1640" s="209">
        <v>2142.6123749107142</v>
      </c>
      <c r="I1640" s="209">
        <v>22074.102374910715</v>
      </c>
      <c r="J1640" s="150">
        <v>0</v>
      </c>
      <c r="K1640" s="150">
        <v>0</v>
      </c>
      <c r="L1640" s="150">
        <f t="shared" si="1408"/>
        <v>0</v>
      </c>
      <c r="M1640" s="150">
        <v>0</v>
      </c>
      <c r="N1640" s="150">
        <v>6986.5492474489802</v>
      </c>
      <c r="O1640" s="150">
        <v>6986.5492474489802</v>
      </c>
      <c r="P1640" s="150">
        <v>0</v>
      </c>
      <c r="Q1640" s="150">
        <v>0</v>
      </c>
      <c r="R1640" s="313">
        <f t="shared" si="1426"/>
        <v>0</v>
      </c>
      <c r="S1640" s="150">
        <f t="shared" si="1407"/>
        <v>0</v>
      </c>
      <c r="T1640" s="150">
        <v>0</v>
      </c>
      <c r="U1640" s="150">
        <v>0</v>
      </c>
      <c r="V1640" s="199">
        <v>0</v>
      </c>
      <c r="W1640" s="150">
        <f t="shared" si="1427"/>
        <v>0</v>
      </c>
      <c r="X1640" s="150">
        <v>0</v>
      </c>
      <c r="Y1640" s="150">
        <v>0</v>
      </c>
      <c r="Z1640" s="150">
        <v>0</v>
      </c>
      <c r="AA1640" s="150">
        <f t="shared" si="1403"/>
        <v>0</v>
      </c>
      <c r="AB1640" s="150">
        <v>0</v>
      </c>
      <c r="AC1640" s="199">
        <v>0</v>
      </c>
      <c r="AD1640" s="150">
        <f t="shared" si="1416"/>
        <v>0</v>
      </c>
      <c r="AE1640" s="150">
        <v>0</v>
      </c>
      <c r="AF1640" s="169" t="s">
        <v>4680</v>
      </c>
      <c r="AG1640" s="201">
        <v>0</v>
      </c>
      <c r="AH1640" s="199">
        <v>0</v>
      </c>
      <c r="AI1640" s="150">
        <v>0</v>
      </c>
      <c r="AJ1640" s="169">
        <f t="shared" si="1404"/>
        <v>0</v>
      </c>
      <c r="AK1640" s="201">
        <v>0</v>
      </c>
      <c r="AL1640" s="199">
        <v>0</v>
      </c>
      <c r="AM1640" s="150">
        <f t="shared" si="1428"/>
        <v>0</v>
      </c>
      <c r="AN1640" s="153">
        <f t="shared" si="1405"/>
        <v>0</v>
      </c>
      <c r="AO1640" s="154">
        <f t="shared" si="1406"/>
        <v>0</v>
      </c>
      <c r="AP1640" s="150">
        <v>0</v>
      </c>
      <c r="AQ1640" s="201">
        <v>0</v>
      </c>
      <c r="AR1640" s="199">
        <v>0</v>
      </c>
      <c r="AS1640" s="150">
        <f t="shared" si="1429"/>
        <v>0</v>
      </c>
      <c r="AT1640" s="155"/>
      <c r="AU1640" s="156">
        <f t="shared" si="1401"/>
        <v>0</v>
      </c>
      <c r="AV1640" s="156">
        <f t="shared" si="1402"/>
        <v>0</v>
      </c>
      <c r="AW1640" s="157"/>
      <c r="AX1640" s="150">
        <v>0</v>
      </c>
      <c r="AY1640" s="150">
        <v>0</v>
      </c>
      <c r="AZ1640" s="150">
        <f t="shared" si="1430"/>
        <v>13973.09849489796</v>
      </c>
      <c r="BA1640" s="150">
        <v>13973.09849489796</v>
      </c>
      <c r="BB1640" s="210"/>
      <c r="BC1640" s="210"/>
      <c r="BD1640" s="210"/>
      <c r="BE1640" s="210"/>
      <c r="BF1640" s="210"/>
      <c r="BG1640" s="210"/>
      <c r="BH1640" s="217"/>
      <c r="BI1640" s="210"/>
      <c r="BJ1640" s="210"/>
      <c r="BK1640" s="210"/>
      <c r="BL1640" s="210"/>
      <c r="BM1640" s="208"/>
      <c r="BN1640" s="160"/>
      <c r="BO1640" s="161"/>
      <c r="BP1640" s="161"/>
    </row>
    <row r="1641" spans="1:68" ht="38.25">
      <c r="A1641" s="210"/>
      <c r="B1641" s="195" t="s">
        <v>8982</v>
      </c>
      <c r="C1641" s="196" t="s">
        <v>8983</v>
      </c>
      <c r="D1641" s="146" t="s">
        <v>4692</v>
      </c>
      <c r="E1641" s="196" t="s">
        <v>8983</v>
      </c>
      <c r="F1641" s="150">
        <v>22074.49</v>
      </c>
      <c r="G1641" s="209">
        <v>3707.5</v>
      </c>
      <c r="H1641" s="209">
        <v>0</v>
      </c>
      <c r="I1641" s="209">
        <v>3707.5</v>
      </c>
      <c r="J1641" s="150">
        <v>2971.02</v>
      </c>
      <c r="K1641" s="150">
        <v>0</v>
      </c>
      <c r="L1641" s="150">
        <f t="shared" si="1408"/>
        <v>2971.02</v>
      </c>
      <c r="M1641" s="150">
        <v>5970.84</v>
      </c>
      <c r="N1641" s="150">
        <v>2629.1287681456051</v>
      </c>
      <c r="O1641" s="150">
        <v>8599.9687681456053</v>
      </c>
      <c r="P1641" s="150">
        <v>8956.26</v>
      </c>
      <c r="Q1641" s="150">
        <v>0</v>
      </c>
      <c r="R1641" s="313">
        <f t="shared" si="1426"/>
        <v>8956.26</v>
      </c>
      <c r="S1641" s="150">
        <f t="shared" si="1407"/>
        <v>11941.68</v>
      </c>
      <c r="T1641" s="150">
        <v>11941.68</v>
      </c>
      <c r="U1641" s="150">
        <v>11941.68</v>
      </c>
      <c r="V1641" s="199">
        <v>0</v>
      </c>
      <c r="W1641" s="150">
        <f t="shared" si="1427"/>
        <v>11941.68</v>
      </c>
      <c r="X1641" s="150">
        <v>11941.68</v>
      </c>
      <c r="Y1641" s="150">
        <v>0</v>
      </c>
      <c r="Z1641" s="150">
        <v>11941.68</v>
      </c>
      <c r="AA1641" s="150">
        <f t="shared" si="1403"/>
        <v>0</v>
      </c>
      <c r="AB1641" s="150">
        <v>11941.68</v>
      </c>
      <c r="AC1641" s="199">
        <v>0</v>
      </c>
      <c r="AD1641" s="150">
        <f t="shared" si="1416"/>
        <v>11941.68</v>
      </c>
      <c r="AE1641" s="150">
        <v>11941.68</v>
      </c>
      <c r="AF1641" s="169" t="s">
        <v>4680</v>
      </c>
      <c r="AG1641" s="201">
        <v>11941.68</v>
      </c>
      <c r="AH1641" s="199">
        <v>0</v>
      </c>
      <c r="AI1641" s="150">
        <v>11941.68</v>
      </c>
      <c r="AJ1641" s="169">
        <f t="shared" si="1404"/>
        <v>0</v>
      </c>
      <c r="AK1641" s="201">
        <v>11941.68</v>
      </c>
      <c r="AL1641" s="199">
        <v>0</v>
      </c>
      <c r="AM1641" s="150">
        <f t="shared" si="1428"/>
        <v>11941.68</v>
      </c>
      <c r="AN1641" s="153">
        <f t="shared" si="1405"/>
        <v>0</v>
      </c>
      <c r="AO1641" s="154">
        <f t="shared" si="1406"/>
        <v>0</v>
      </c>
      <c r="AP1641" s="150">
        <v>11941.68</v>
      </c>
      <c r="AQ1641" s="201">
        <v>11941.68</v>
      </c>
      <c r="AR1641" s="199">
        <v>0</v>
      </c>
      <c r="AS1641" s="150">
        <f t="shared" si="1429"/>
        <v>11941.68</v>
      </c>
      <c r="AT1641" s="155"/>
      <c r="AU1641" s="156">
        <f t="shared" si="1401"/>
        <v>0</v>
      </c>
      <c r="AV1641" s="156">
        <f t="shared" si="1402"/>
        <v>0</v>
      </c>
      <c r="AW1641" s="157"/>
      <c r="AX1641" s="150">
        <v>11941.68</v>
      </c>
      <c r="AY1641" s="150">
        <v>6965.98</v>
      </c>
      <c r="AZ1641" s="150">
        <f t="shared" si="1430"/>
        <v>10233.957536291211</v>
      </c>
      <c r="BA1641" s="150">
        <v>17199.937536291211</v>
      </c>
      <c r="BB1641" s="210"/>
      <c r="BC1641" s="210"/>
      <c r="BD1641" s="210"/>
      <c r="BE1641" s="210"/>
      <c r="BF1641" s="210"/>
      <c r="BG1641" s="210"/>
      <c r="BH1641" s="217"/>
      <c r="BI1641" s="210"/>
      <c r="BJ1641" s="210"/>
      <c r="BK1641" s="210"/>
      <c r="BL1641" s="210"/>
      <c r="BM1641" s="208"/>
      <c r="BN1641" s="160"/>
      <c r="BO1641" s="161"/>
      <c r="BP1641" s="161"/>
    </row>
    <row r="1642" spans="1:68" ht="38.25">
      <c r="A1642" s="210"/>
      <c r="B1642" s="195" t="s">
        <v>8984</v>
      </c>
      <c r="C1642" s="196" t="s">
        <v>8985</v>
      </c>
      <c r="D1642" s="146" t="s">
        <v>4692</v>
      </c>
      <c r="E1642" s="196" t="s">
        <v>8985</v>
      </c>
      <c r="F1642" s="150">
        <v>3707.5</v>
      </c>
      <c r="G1642" s="209">
        <v>1360.11</v>
      </c>
      <c r="H1642" s="209">
        <v>0</v>
      </c>
      <c r="I1642" s="209">
        <v>1360.11</v>
      </c>
      <c r="J1642" s="150">
        <v>609.17999999999995</v>
      </c>
      <c r="K1642" s="150">
        <v>0</v>
      </c>
      <c r="L1642" s="150">
        <f t="shared" si="1408"/>
        <v>609.17999999999995</v>
      </c>
      <c r="M1642" s="150">
        <v>1224.24</v>
      </c>
      <c r="N1642" s="150">
        <v>0</v>
      </c>
      <c r="O1642" s="150">
        <v>1224.24</v>
      </c>
      <c r="P1642" s="150">
        <v>1836.36</v>
      </c>
      <c r="Q1642" s="150">
        <v>0</v>
      </c>
      <c r="R1642" s="313">
        <f t="shared" si="1426"/>
        <v>1836.36</v>
      </c>
      <c r="S1642" s="150">
        <f t="shared" si="1407"/>
        <v>2448.48</v>
      </c>
      <c r="T1642" s="150">
        <v>2448.48</v>
      </c>
      <c r="U1642" s="150">
        <v>2448.48</v>
      </c>
      <c r="V1642" s="199">
        <v>0</v>
      </c>
      <c r="W1642" s="150">
        <f t="shared" si="1427"/>
        <v>2448.48</v>
      </c>
      <c r="X1642" s="150">
        <v>2448.48</v>
      </c>
      <c r="Y1642" s="150">
        <v>0</v>
      </c>
      <c r="Z1642" s="150">
        <v>2448.48</v>
      </c>
      <c r="AA1642" s="150">
        <f t="shared" si="1403"/>
        <v>0</v>
      </c>
      <c r="AB1642" s="150">
        <v>2448.48</v>
      </c>
      <c r="AC1642" s="199">
        <v>0</v>
      </c>
      <c r="AD1642" s="150">
        <f t="shared" si="1416"/>
        <v>2448.48</v>
      </c>
      <c r="AE1642" s="150">
        <v>2448.48</v>
      </c>
      <c r="AF1642" s="169" t="s">
        <v>4680</v>
      </c>
      <c r="AG1642" s="201">
        <v>2448.48</v>
      </c>
      <c r="AH1642" s="199">
        <v>0</v>
      </c>
      <c r="AI1642" s="150">
        <v>2448.48</v>
      </c>
      <c r="AJ1642" s="169">
        <f t="shared" si="1404"/>
        <v>0</v>
      </c>
      <c r="AK1642" s="201">
        <v>2448.48</v>
      </c>
      <c r="AL1642" s="199">
        <v>0</v>
      </c>
      <c r="AM1642" s="150">
        <f t="shared" si="1428"/>
        <v>2448.48</v>
      </c>
      <c r="AN1642" s="153">
        <f t="shared" si="1405"/>
        <v>0</v>
      </c>
      <c r="AO1642" s="154">
        <f t="shared" si="1406"/>
        <v>0</v>
      </c>
      <c r="AP1642" s="150">
        <v>2448.48</v>
      </c>
      <c r="AQ1642" s="201">
        <v>2448.48</v>
      </c>
      <c r="AR1642" s="199">
        <v>0</v>
      </c>
      <c r="AS1642" s="150">
        <f t="shared" si="1429"/>
        <v>2448.48</v>
      </c>
      <c r="AT1642" s="155"/>
      <c r="AU1642" s="156">
        <f t="shared" si="1401"/>
        <v>0</v>
      </c>
      <c r="AV1642" s="156">
        <f t="shared" si="1402"/>
        <v>0</v>
      </c>
      <c r="AW1642" s="157"/>
      <c r="AX1642" s="150">
        <v>2448.48</v>
      </c>
      <c r="AY1642" s="150">
        <v>1428.28</v>
      </c>
      <c r="AZ1642" s="150">
        <f t="shared" si="1430"/>
        <v>1020.2</v>
      </c>
      <c r="BA1642" s="150">
        <v>2448.48</v>
      </c>
      <c r="BB1642" s="210"/>
      <c r="BC1642" s="210"/>
      <c r="BD1642" s="210"/>
      <c r="BE1642" s="210"/>
      <c r="BF1642" s="210"/>
      <c r="BG1642" s="210"/>
      <c r="BH1642" s="217"/>
      <c r="BI1642" s="210"/>
      <c r="BJ1642" s="210"/>
      <c r="BK1642" s="210"/>
      <c r="BL1642" s="210"/>
      <c r="BM1642" s="208"/>
      <c r="BN1642" s="160"/>
      <c r="BO1642" s="161"/>
      <c r="BP1642" s="161"/>
    </row>
    <row r="1643" spans="1:68" ht="25.5">
      <c r="A1643" s="210"/>
      <c r="B1643" s="195" t="s">
        <v>8986</v>
      </c>
      <c r="C1643" s="196" t="s">
        <v>8987</v>
      </c>
      <c r="D1643" s="146" t="s">
        <v>4692</v>
      </c>
      <c r="E1643" s="196" t="s">
        <v>8987</v>
      </c>
      <c r="F1643" s="150">
        <v>1360.11</v>
      </c>
      <c r="G1643" s="209">
        <v>0</v>
      </c>
      <c r="H1643" s="209">
        <v>0</v>
      </c>
      <c r="I1643" s="209">
        <v>0</v>
      </c>
      <c r="J1643" s="150">
        <v>201</v>
      </c>
      <c r="K1643" s="150">
        <v>0</v>
      </c>
      <c r="L1643" s="150">
        <f t="shared" si="1408"/>
        <v>201</v>
      </c>
      <c r="M1643" s="150">
        <v>404.04</v>
      </c>
      <c r="N1643" s="150">
        <v>0</v>
      </c>
      <c r="O1643" s="150">
        <v>404.04</v>
      </c>
      <c r="P1643" s="150">
        <v>606.05999999999995</v>
      </c>
      <c r="Q1643" s="150">
        <v>0</v>
      </c>
      <c r="R1643" s="313">
        <f t="shared" si="1426"/>
        <v>606.05999999999995</v>
      </c>
      <c r="S1643" s="150">
        <f t="shared" si="1407"/>
        <v>808.07999999999993</v>
      </c>
      <c r="T1643" s="150">
        <v>808.08</v>
      </c>
      <c r="U1643" s="150">
        <v>808.08</v>
      </c>
      <c r="V1643" s="199">
        <v>0</v>
      </c>
      <c r="W1643" s="150">
        <f t="shared" si="1427"/>
        <v>808.08</v>
      </c>
      <c r="X1643" s="150">
        <v>808.08</v>
      </c>
      <c r="Y1643" s="150">
        <v>0</v>
      </c>
      <c r="Z1643" s="150">
        <v>808.08</v>
      </c>
      <c r="AA1643" s="150">
        <f t="shared" si="1403"/>
        <v>0</v>
      </c>
      <c r="AB1643" s="150">
        <v>808.08</v>
      </c>
      <c r="AC1643" s="199">
        <v>0</v>
      </c>
      <c r="AD1643" s="150">
        <f t="shared" si="1416"/>
        <v>808.08</v>
      </c>
      <c r="AE1643" s="150">
        <v>808.08</v>
      </c>
      <c r="AF1643" s="169" t="s">
        <v>4680</v>
      </c>
      <c r="AG1643" s="201">
        <v>808.08</v>
      </c>
      <c r="AH1643" s="199">
        <v>0</v>
      </c>
      <c r="AI1643" s="150">
        <v>808.08</v>
      </c>
      <c r="AJ1643" s="169">
        <f t="shared" si="1404"/>
        <v>0</v>
      </c>
      <c r="AK1643" s="201">
        <v>808.08</v>
      </c>
      <c r="AL1643" s="199">
        <v>0</v>
      </c>
      <c r="AM1643" s="150">
        <f t="shared" si="1428"/>
        <v>808.08</v>
      </c>
      <c r="AN1643" s="153">
        <f t="shared" si="1405"/>
        <v>0</v>
      </c>
      <c r="AO1643" s="154">
        <f t="shared" si="1406"/>
        <v>0</v>
      </c>
      <c r="AP1643" s="150">
        <v>808.08</v>
      </c>
      <c r="AQ1643" s="201">
        <v>808.08</v>
      </c>
      <c r="AR1643" s="199">
        <v>0</v>
      </c>
      <c r="AS1643" s="150">
        <f t="shared" si="1429"/>
        <v>808.08</v>
      </c>
      <c r="AT1643" s="155"/>
      <c r="AU1643" s="156">
        <f t="shared" si="1401"/>
        <v>0</v>
      </c>
      <c r="AV1643" s="156">
        <f t="shared" si="1402"/>
        <v>0</v>
      </c>
      <c r="AW1643" s="157"/>
      <c r="AX1643" s="150">
        <v>808.08</v>
      </c>
      <c r="AY1643" s="150">
        <v>471.38</v>
      </c>
      <c r="AZ1643" s="150">
        <f t="shared" si="1430"/>
        <v>336.70000000000005</v>
      </c>
      <c r="BA1643" s="150">
        <v>808.08</v>
      </c>
      <c r="BB1643" s="210"/>
      <c r="BC1643" s="210"/>
      <c r="BD1643" s="210"/>
      <c r="BE1643" s="210"/>
      <c r="BF1643" s="210"/>
      <c r="BG1643" s="210"/>
      <c r="BH1643" s="217"/>
      <c r="BI1643" s="210"/>
      <c r="BJ1643" s="210"/>
      <c r="BK1643" s="210"/>
      <c r="BL1643" s="210"/>
      <c r="BM1643" s="208"/>
      <c r="BN1643" s="160"/>
      <c r="BO1643" s="161"/>
      <c r="BP1643" s="161"/>
    </row>
    <row r="1644" spans="1:68" ht="38.25">
      <c r="A1644" s="210"/>
      <c r="B1644" s="195" t="s">
        <v>8988</v>
      </c>
      <c r="C1644" s="196" t="s">
        <v>8989</v>
      </c>
      <c r="D1644" s="146" t="s">
        <v>4692</v>
      </c>
      <c r="E1644" s="196" t="s">
        <v>8989</v>
      </c>
      <c r="F1644" s="150">
        <v>0</v>
      </c>
      <c r="G1644" s="209">
        <v>0</v>
      </c>
      <c r="H1644" s="209">
        <v>0</v>
      </c>
      <c r="I1644" s="209">
        <v>0</v>
      </c>
      <c r="J1644" s="150">
        <v>0</v>
      </c>
      <c r="K1644" s="150">
        <v>0</v>
      </c>
      <c r="L1644" s="150">
        <f t="shared" si="1408"/>
        <v>0</v>
      </c>
      <c r="M1644" s="150">
        <v>0</v>
      </c>
      <c r="N1644" s="150">
        <v>0</v>
      </c>
      <c r="O1644" s="150">
        <v>0</v>
      </c>
      <c r="P1644" s="150">
        <v>0</v>
      </c>
      <c r="Q1644" s="150">
        <v>0</v>
      </c>
      <c r="R1644" s="313">
        <f t="shared" si="1426"/>
        <v>0</v>
      </c>
      <c r="S1644" s="150">
        <f t="shared" si="1407"/>
        <v>0</v>
      </c>
      <c r="T1644" s="150">
        <v>0</v>
      </c>
      <c r="U1644" s="150">
        <v>0</v>
      </c>
      <c r="V1644" s="199">
        <v>0</v>
      </c>
      <c r="W1644" s="150">
        <f t="shared" si="1427"/>
        <v>0</v>
      </c>
      <c r="X1644" s="150">
        <v>0</v>
      </c>
      <c r="Y1644" s="150">
        <v>0</v>
      </c>
      <c r="Z1644" s="150">
        <v>0</v>
      </c>
      <c r="AA1644" s="150">
        <f t="shared" si="1403"/>
        <v>0</v>
      </c>
      <c r="AB1644" s="150">
        <v>0</v>
      </c>
      <c r="AC1644" s="199">
        <v>0</v>
      </c>
      <c r="AD1644" s="150">
        <f t="shared" si="1416"/>
        <v>0</v>
      </c>
      <c r="AE1644" s="150">
        <v>0</v>
      </c>
      <c r="AF1644" s="169" t="s">
        <v>4680</v>
      </c>
      <c r="AG1644" s="201">
        <v>0</v>
      </c>
      <c r="AH1644" s="199">
        <v>0</v>
      </c>
      <c r="AI1644" s="150">
        <v>0</v>
      </c>
      <c r="AJ1644" s="169">
        <f t="shared" si="1404"/>
        <v>0</v>
      </c>
      <c r="AK1644" s="201">
        <v>0</v>
      </c>
      <c r="AL1644" s="199">
        <v>0</v>
      </c>
      <c r="AM1644" s="150">
        <f t="shared" si="1428"/>
        <v>0</v>
      </c>
      <c r="AN1644" s="153">
        <f t="shared" si="1405"/>
        <v>0</v>
      </c>
      <c r="AO1644" s="154">
        <f t="shared" si="1406"/>
        <v>0</v>
      </c>
      <c r="AP1644" s="150">
        <v>0</v>
      </c>
      <c r="AQ1644" s="201">
        <v>0</v>
      </c>
      <c r="AR1644" s="199">
        <v>0</v>
      </c>
      <c r="AS1644" s="150">
        <f t="shared" si="1429"/>
        <v>0</v>
      </c>
      <c r="AT1644" s="155"/>
      <c r="AU1644" s="156">
        <f t="shared" si="1401"/>
        <v>0</v>
      </c>
      <c r="AV1644" s="156">
        <f t="shared" si="1402"/>
        <v>0</v>
      </c>
      <c r="AW1644" s="157"/>
      <c r="AX1644" s="150">
        <v>0</v>
      </c>
      <c r="AY1644" s="150">
        <v>0</v>
      </c>
      <c r="AZ1644" s="150">
        <f t="shared" si="1430"/>
        <v>0</v>
      </c>
      <c r="BA1644" s="150">
        <v>0</v>
      </c>
      <c r="BB1644" s="210"/>
      <c r="BC1644" s="210"/>
      <c r="BD1644" s="210"/>
      <c r="BE1644" s="210"/>
      <c r="BF1644" s="210"/>
      <c r="BG1644" s="210"/>
      <c r="BH1644" s="217"/>
      <c r="BI1644" s="210"/>
      <c r="BJ1644" s="210"/>
      <c r="BK1644" s="210"/>
      <c r="BL1644" s="210"/>
      <c r="BM1644" s="208"/>
      <c r="BN1644" s="160"/>
      <c r="BO1644" s="161"/>
      <c r="BP1644" s="161"/>
    </row>
    <row r="1645" spans="1:68" ht="38.25">
      <c r="A1645" s="210"/>
      <c r="B1645" s="195" t="s">
        <v>8990</v>
      </c>
      <c r="C1645" s="196" t="s">
        <v>8991</v>
      </c>
      <c r="D1645" s="146" t="s">
        <v>4692</v>
      </c>
      <c r="E1645" s="196" t="s">
        <v>8991</v>
      </c>
      <c r="F1645" s="150">
        <v>0</v>
      </c>
      <c r="G1645" s="209">
        <v>0</v>
      </c>
      <c r="H1645" s="209">
        <v>418.8</v>
      </c>
      <c r="I1645" s="209">
        <v>418.8</v>
      </c>
      <c r="J1645" s="150">
        <v>0</v>
      </c>
      <c r="K1645" s="150">
        <v>0</v>
      </c>
      <c r="L1645" s="150">
        <f t="shared" si="1408"/>
        <v>0</v>
      </c>
      <c r="M1645" s="150">
        <v>0</v>
      </c>
      <c r="N1645" s="150">
        <v>0</v>
      </c>
      <c r="O1645" s="150">
        <v>0</v>
      </c>
      <c r="P1645" s="150">
        <v>0</v>
      </c>
      <c r="Q1645" s="150">
        <v>0</v>
      </c>
      <c r="R1645" s="313">
        <f t="shared" si="1426"/>
        <v>0</v>
      </c>
      <c r="S1645" s="150">
        <f t="shared" si="1407"/>
        <v>0</v>
      </c>
      <c r="T1645" s="150">
        <v>0</v>
      </c>
      <c r="U1645" s="150">
        <v>0</v>
      </c>
      <c r="V1645" s="199">
        <v>0</v>
      </c>
      <c r="W1645" s="150">
        <f t="shared" si="1427"/>
        <v>0</v>
      </c>
      <c r="X1645" s="150">
        <v>0</v>
      </c>
      <c r="Y1645" s="150">
        <v>0</v>
      </c>
      <c r="Z1645" s="150">
        <v>0</v>
      </c>
      <c r="AA1645" s="150">
        <f t="shared" si="1403"/>
        <v>0</v>
      </c>
      <c r="AB1645" s="150">
        <v>0</v>
      </c>
      <c r="AC1645" s="199">
        <v>0</v>
      </c>
      <c r="AD1645" s="150">
        <f t="shared" si="1416"/>
        <v>0</v>
      </c>
      <c r="AE1645" s="150">
        <v>0</v>
      </c>
      <c r="AF1645" s="169" t="s">
        <v>4680</v>
      </c>
      <c r="AG1645" s="201">
        <v>0</v>
      </c>
      <c r="AH1645" s="199">
        <v>0</v>
      </c>
      <c r="AI1645" s="150">
        <v>0</v>
      </c>
      <c r="AJ1645" s="169">
        <f t="shared" si="1404"/>
        <v>0</v>
      </c>
      <c r="AK1645" s="201">
        <v>0</v>
      </c>
      <c r="AL1645" s="199">
        <v>0</v>
      </c>
      <c r="AM1645" s="150">
        <f t="shared" si="1428"/>
        <v>0</v>
      </c>
      <c r="AN1645" s="153">
        <f t="shared" si="1405"/>
        <v>0</v>
      </c>
      <c r="AO1645" s="154">
        <f t="shared" si="1406"/>
        <v>0</v>
      </c>
      <c r="AP1645" s="150">
        <v>0</v>
      </c>
      <c r="AQ1645" s="201">
        <v>0</v>
      </c>
      <c r="AR1645" s="199">
        <v>0</v>
      </c>
      <c r="AS1645" s="150">
        <f t="shared" si="1429"/>
        <v>0</v>
      </c>
      <c r="AT1645" s="155"/>
      <c r="AU1645" s="156">
        <f t="shared" si="1401"/>
        <v>0</v>
      </c>
      <c r="AV1645" s="156">
        <f t="shared" si="1402"/>
        <v>0</v>
      </c>
      <c r="AW1645" s="157"/>
      <c r="AX1645" s="150">
        <v>0</v>
      </c>
      <c r="AY1645" s="150">
        <v>0</v>
      </c>
      <c r="AZ1645" s="150">
        <f t="shared" si="1430"/>
        <v>0</v>
      </c>
      <c r="BA1645" s="150">
        <v>0</v>
      </c>
      <c r="BB1645" s="210"/>
      <c r="BC1645" s="210"/>
      <c r="BD1645" s="210"/>
      <c r="BE1645" s="210"/>
      <c r="BF1645" s="210"/>
      <c r="BG1645" s="210"/>
      <c r="BH1645" s="217"/>
      <c r="BI1645" s="210"/>
      <c r="BJ1645" s="210"/>
      <c r="BK1645" s="210"/>
      <c r="BL1645" s="210"/>
      <c r="BM1645" s="208"/>
      <c r="BN1645" s="160"/>
      <c r="BO1645" s="161"/>
      <c r="BP1645" s="161"/>
    </row>
    <row r="1646" spans="1:68" ht="25.5">
      <c r="A1646" s="210"/>
      <c r="B1646" s="195" t="s">
        <v>8992</v>
      </c>
      <c r="C1646" s="196" t="s">
        <v>8993</v>
      </c>
      <c r="D1646" s="146" t="s">
        <v>4692</v>
      </c>
      <c r="E1646" s="196" t="s">
        <v>8993</v>
      </c>
      <c r="F1646" s="150">
        <v>419</v>
      </c>
      <c r="G1646" s="209">
        <v>0</v>
      </c>
      <c r="H1646" s="209">
        <v>0</v>
      </c>
      <c r="I1646" s="209">
        <v>0</v>
      </c>
      <c r="J1646" s="150">
        <v>0</v>
      </c>
      <c r="K1646" s="150">
        <v>0</v>
      </c>
      <c r="L1646" s="150">
        <f t="shared" si="1408"/>
        <v>0</v>
      </c>
      <c r="M1646" s="150">
        <v>0</v>
      </c>
      <c r="N1646" s="150">
        <v>209.5</v>
      </c>
      <c r="O1646" s="150">
        <v>209.5</v>
      </c>
      <c r="P1646" s="150">
        <v>0</v>
      </c>
      <c r="Q1646" s="150">
        <v>0</v>
      </c>
      <c r="R1646" s="313">
        <f t="shared" si="1426"/>
        <v>0</v>
      </c>
      <c r="S1646" s="150">
        <f t="shared" si="1407"/>
        <v>0</v>
      </c>
      <c r="T1646" s="150">
        <v>314.73</v>
      </c>
      <c r="U1646" s="150">
        <v>0</v>
      </c>
      <c r="V1646" s="199">
        <v>314.73</v>
      </c>
      <c r="W1646" s="150">
        <f t="shared" si="1427"/>
        <v>314.73</v>
      </c>
      <c r="X1646" s="150">
        <v>0</v>
      </c>
      <c r="Y1646" s="150">
        <v>314.73</v>
      </c>
      <c r="Z1646" s="150">
        <v>314.73</v>
      </c>
      <c r="AA1646" s="150">
        <f t="shared" si="1403"/>
        <v>0</v>
      </c>
      <c r="AB1646" s="150">
        <v>0</v>
      </c>
      <c r="AC1646" s="199">
        <v>314.73</v>
      </c>
      <c r="AD1646" s="150">
        <f t="shared" si="1416"/>
        <v>314.73</v>
      </c>
      <c r="AE1646" s="150">
        <v>314.73</v>
      </c>
      <c r="AF1646" s="169" t="s">
        <v>4680</v>
      </c>
      <c r="AG1646" s="201">
        <v>0</v>
      </c>
      <c r="AH1646" s="199">
        <v>314.73</v>
      </c>
      <c r="AI1646" s="150">
        <v>314.73</v>
      </c>
      <c r="AJ1646" s="169">
        <f t="shared" si="1404"/>
        <v>0</v>
      </c>
      <c r="AK1646" s="201">
        <v>0</v>
      </c>
      <c r="AL1646" s="199">
        <v>314.73</v>
      </c>
      <c r="AM1646" s="150">
        <f t="shared" si="1428"/>
        <v>314.73</v>
      </c>
      <c r="AN1646" s="153">
        <f t="shared" si="1405"/>
        <v>0</v>
      </c>
      <c r="AO1646" s="154">
        <f t="shared" si="1406"/>
        <v>0</v>
      </c>
      <c r="AP1646" s="150">
        <v>314.73</v>
      </c>
      <c r="AQ1646" s="201">
        <v>314.73</v>
      </c>
      <c r="AR1646" s="199"/>
      <c r="AS1646" s="150">
        <f t="shared" si="1429"/>
        <v>314.73</v>
      </c>
      <c r="AT1646" s="155"/>
      <c r="AU1646" s="156">
        <f t="shared" si="1401"/>
        <v>0</v>
      </c>
      <c r="AV1646" s="156">
        <f t="shared" si="1402"/>
        <v>0</v>
      </c>
      <c r="AW1646" s="157"/>
      <c r="AX1646" s="150">
        <v>314.73</v>
      </c>
      <c r="AY1646" s="150">
        <v>0</v>
      </c>
      <c r="AZ1646" s="150">
        <f t="shared" si="1430"/>
        <v>419</v>
      </c>
      <c r="BA1646" s="150">
        <v>419</v>
      </c>
      <c r="BB1646" s="210"/>
      <c r="BC1646" s="210"/>
      <c r="BD1646" s="210"/>
      <c r="BE1646" s="210"/>
      <c r="BF1646" s="210"/>
      <c r="BG1646" s="210"/>
      <c r="BH1646" s="217"/>
      <c r="BI1646" s="210"/>
      <c r="BJ1646" s="210"/>
      <c r="BK1646" s="210"/>
      <c r="BL1646" s="210"/>
      <c r="BM1646" s="208"/>
      <c r="BN1646" s="160"/>
      <c r="BO1646" s="161"/>
      <c r="BP1646" s="161"/>
    </row>
    <row r="1647" spans="1:68" ht="38.25">
      <c r="A1647" s="210"/>
      <c r="B1647" s="195" t="s">
        <v>8994</v>
      </c>
      <c r="C1647" s="196" t="s">
        <v>8995</v>
      </c>
      <c r="D1647" s="146" t="s">
        <v>4692</v>
      </c>
      <c r="E1647" s="196" t="s">
        <v>8995</v>
      </c>
      <c r="F1647" s="150">
        <v>0</v>
      </c>
      <c r="G1647" s="209">
        <v>0</v>
      </c>
      <c r="H1647" s="209">
        <v>0</v>
      </c>
      <c r="I1647" s="209">
        <v>0</v>
      </c>
      <c r="J1647" s="150">
        <v>0</v>
      </c>
      <c r="K1647" s="150">
        <v>0</v>
      </c>
      <c r="L1647" s="150">
        <f t="shared" si="1408"/>
        <v>0</v>
      </c>
      <c r="M1647" s="150">
        <v>0</v>
      </c>
      <c r="N1647" s="150">
        <v>0</v>
      </c>
      <c r="O1647" s="150">
        <v>0</v>
      </c>
      <c r="P1647" s="150">
        <v>0</v>
      </c>
      <c r="Q1647" s="150">
        <v>0</v>
      </c>
      <c r="R1647" s="313">
        <f t="shared" si="1426"/>
        <v>0</v>
      </c>
      <c r="S1647" s="150">
        <f t="shared" si="1407"/>
        <v>0</v>
      </c>
      <c r="T1647" s="150">
        <v>0</v>
      </c>
      <c r="U1647" s="150">
        <v>0</v>
      </c>
      <c r="V1647" s="199">
        <v>0</v>
      </c>
      <c r="W1647" s="150">
        <f t="shared" si="1427"/>
        <v>0</v>
      </c>
      <c r="X1647" s="150">
        <v>0</v>
      </c>
      <c r="Y1647" s="150">
        <v>0</v>
      </c>
      <c r="Z1647" s="150">
        <v>0</v>
      </c>
      <c r="AA1647" s="150">
        <f t="shared" si="1403"/>
        <v>0</v>
      </c>
      <c r="AB1647" s="150">
        <v>0</v>
      </c>
      <c r="AC1647" s="199">
        <v>0</v>
      </c>
      <c r="AD1647" s="150">
        <f t="shared" si="1416"/>
        <v>0</v>
      </c>
      <c r="AE1647" s="150">
        <v>0</v>
      </c>
      <c r="AF1647" s="169" t="s">
        <v>4680</v>
      </c>
      <c r="AG1647" s="201">
        <v>0</v>
      </c>
      <c r="AH1647" s="199">
        <v>0</v>
      </c>
      <c r="AI1647" s="150">
        <v>0</v>
      </c>
      <c r="AJ1647" s="169">
        <f t="shared" si="1404"/>
        <v>0</v>
      </c>
      <c r="AK1647" s="201">
        <v>0</v>
      </c>
      <c r="AL1647" s="199">
        <v>0</v>
      </c>
      <c r="AM1647" s="150">
        <f t="shared" si="1428"/>
        <v>0</v>
      </c>
      <c r="AN1647" s="153">
        <f t="shared" si="1405"/>
        <v>0</v>
      </c>
      <c r="AO1647" s="154">
        <f t="shared" si="1406"/>
        <v>0</v>
      </c>
      <c r="AP1647" s="150">
        <v>0</v>
      </c>
      <c r="AQ1647" s="201">
        <v>0</v>
      </c>
      <c r="AR1647" s="199">
        <v>0</v>
      </c>
      <c r="AS1647" s="150">
        <f t="shared" si="1429"/>
        <v>0</v>
      </c>
      <c r="AT1647" s="155"/>
      <c r="AU1647" s="156">
        <f t="shared" si="1401"/>
        <v>0</v>
      </c>
      <c r="AV1647" s="156">
        <f t="shared" si="1402"/>
        <v>0</v>
      </c>
      <c r="AW1647" s="157"/>
      <c r="AX1647" s="150">
        <v>0</v>
      </c>
      <c r="AY1647" s="150">
        <v>0</v>
      </c>
      <c r="AZ1647" s="150">
        <f t="shared" si="1430"/>
        <v>0</v>
      </c>
      <c r="BA1647" s="150">
        <v>0</v>
      </c>
      <c r="BB1647" s="210"/>
      <c r="BC1647" s="210"/>
      <c r="BD1647" s="210"/>
      <c r="BE1647" s="210"/>
      <c r="BF1647" s="210"/>
      <c r="BG1647" s="210"/>
      <c r="BH1647" s="217"/>
      <c r="BI1647" s="210"/>
      <c r="BJ1647" s="210"/>
      <c r="BK1647" s="210"/>
      <c r="BL1647" s="210"/>
      <c r="BM1647" s="208"/>
      <c r="BN1647" s="160"/>
      <c r="BO1647" s="161"/>
      <c r="BP1647" s="161"/>
    </row>
    <row r="1648" spans="1:68" ht="38.25">
      <c r="A1648" s="210"/>
      <c r="B1648" s="195" t="s">
        <v>8996</v>
      </c>
      <c r="C1648" s="196" t="s">
        <v>8997</v>
      </c>
      <c r="D1648" s="146" t="s">
        <v>4692</v>
      </c>
      <c r="E1648" s="196" t="s">
        <v>8997</v>
      </c>
      <c r="F1648" s="150">
        <v>0</v>
      </c>
      <c r="G1648" s="209">
        <v>0</v>
      </c>
      <c r="H1648" s="209">
        <v>0</v>
      </c>
      <c r="I1648" s="209">
        <v>0</v>
      </c>
      <c r="J1648" s="150">
        <v>0</v>
      </c>
      <c r="K1648" s="150">
        <v>0</v>
      </c>
      <c r="L1648" s="150">
        <f t="shared" si="1408"/>
        <v>0</v>
      </c>
      <c r="M1648" s="150">
        <v>0</v>
      </c>
      <c r="N1648" s="150">
        <v>0</v>
      </c>
      <c r="O1648" s="150">
        <v>0</v>
      </c>
      <c r="P1648" s="150">
        <v>0</v>
      </c>
      <c r="Q1648" s="150">
        <v>0</v>
      </c>
      <c r="R1648" s="313">
        <f t="shared" si="1426"/>
        <v>0</v>
      </c>
      <c r="S1648" s="150">
        <f t="shared" si="1407"/>
        <v>0</v>
      </c>
      <c r="T1648" s="150">
        <v>0</v>
      </c>
      <c r="U1648" s="150">
        <v>0</v>
      </c>
      <c r="V1648" s="199">
        <v>0</v>
      </c>
      <c r="W1648" s="150">
        <f t="shared" si="1427"/>
        <v>0</v>
      </c>
      <c r="X1648" s="150">
        <v>0</v>
      </c>
      <c r="Y1648" s="150">
        <v>0</v>
      </c>
      <c r="Z1648" s="150">
        <v>0</v>
      </c>
      <c r="AA1648" s="150">
        <f t="shared" si="1403"/>
        <v>0</v>
      </c>
      <c r="AB1648" s="150">
        <v>0</v>
      </c>
      <c r="AC1648" s="199">
        <v>0</v>
      </c>
      <c r="AD1648" s="150">
        <f t="shared" si="1416"/>
        <v>0</v>
      </c>
      <c r="AE1648" s="150">
        <v>0</v>
      </c>
      <c r="AF1648" s="169" t="s">
        <v>4680</v>
      </c>
      <c r="AG1648" s="201">
        <v>0</v>
      </c>
      <c r="AH1648" s="199">
        <v>0</v>
      </c>
      <c r="AI1648" s="150">
        <v>0</v>
      </c>
      <c r="AJ1648" s="169">
        <f t="shared" si="1404"/>
        <v>0</v>
      </c>
      <c r="AK1648" s="201">
        <v>0</v>
      </c>
      <c r="AL1648" s="199">
        <v>0</v>
      </c>
      <c r="AM1648" s="150">
        <f t="shared" si="1428"/>
        <v>0</v>
      </c>
      <c r="AN1648" s="153">
        <f t="shared" si="1405"/>
        <v>0</v>
      </c>
      <c r="AO1648" s="154">
        <f t="shared" si="1406"/>
        <v>0</v>
      </c>
      <c r="AP1648" s="150">
        <v>0</v>
      </c>
      <c r="AQ1648" s="201">
        <v>0</v>
      </c>
      <c r="AR1648" s="199">
        <v>0</v>
      </c>
      <c r="AS1648" s="150">
        <f t="shared" si="1429"/>
        <v>0</v>
      </c>
      <c r="AT1648" s="155"/>
      <c r="AU1648" s="156">
        <f t="shared" si="1401"/>
        <v>0</v>
      </c>
      <c r="AV1648" s="156">
        <f t="shared" si="1402"/>
        <v>0</v>
      </c>
      <c r="AW1648" s="157"/>
      <c r="AX1648" s="150">
        <v>0</v>
      </c>
      <c r="AY1648" s="150">
        <v>0</v>
      </c>
      <c r="AZ1648" s="150">
        <f t="shared" si="1430"/>
        <v>0</v>
      </c>
      <c r="BA1648" s="150">
        <v>0</v>
      </c>
      <c r="BB1648" s="210"/>
      <c r="BC1648" s="210"/>
      <c r="BD1648" s="210"/>
      <c r="BE1648" s="210"/>
      <c r="BF1648" s="210"/>
      <c r="BG1648" s="210"/>
      <c r="BH1648" s="217"/>
      <c r="BI1648" s="210"/>
      <c r="BJ1648" s="210"/>
      <c r="BK1648" s="210"/>
      <c r="BL1648" s="210"/>
      <c r="BM1648" s="208"/>
      <c r="BN1648" s="160"/>
      <c r="BO1648" s="161">
        <f t="shared" si="1420"/>
        <v>0</v>
      </c>
      <c r="BP1648" s="161"/>
    </row>
    <row r="1649" spans="1:68" ht="51">
      <c r="A1649" s="210"/>
      <c r="B1649" s="195" t="s">
        <v>8998</v>
      </c>
      <c r="C1649" s="196" t="s">
        <v>8999</v>
      </c>
      <c r="D1649" s="146" t="s">
        <v>4692</v>
      </c>
      <c r="E1649" s="196" t="s">
        <v>8999</v>
      </c>
      <c r="F1649" s="150">
        <v>0</v>
      </c>
      <c r="G1649" s="209">
        <v>0</v>
      </c>
      <c r="H1649" s="209">
        <v>0</v>
      </c>
      <c r="I1649" s="209">
        <v>0</v>
      </c>
      <c r="J1649" s="150">
        <v>0</v>
      </c>
      <c r="K1649" s="150">
        <v>0</v>
      </c>
      <c r="L1649" s="150">
        <f t="shared" si="1408"/>
        <v>0</v>
      </c>
      <c r="M1649" s="150">
        <v>0</v>
      </c>
      <c r="N1649" s="150">
        <v>0</v>
      </c>
      <c r="O1649" s="150">
        <v>0</v>
      </c>
      <c r="P1649" s="150">
        <v>0</v>
      </c>
      <c r="Q1649" s="150">
        <v>0</v>
      </c>
      <c r="R1649" s="313">
        <f t="shared" si="1426"/>
        <v>0</v>
      </c>
      <c r="S1649" s="150">
        <f t="shared" si="1407"/>
        <v>0</v>
      </c>
      <c r="T1649" s="150">
        <v>0</v>
      </c>
      <c r="U1649" s="150">
        <v>0</v>
      </c>
      <c r="V1649" s="199">
        <v>0</v>
      </c>
      <c r="W1649" s="150">
        <f t="shared" si="1427"/>
        <v>0</v>
      </c>
      <c r="X1649" s="150">
        <v>0</v>
      </c>
      <c r="Y1649" s="150">
        <v>0</v>
      </c>
      <c r="Z1649" s="150">
        <v>0</v>
      </c>
      <c r="AA1649" s="150">
        <f t="shared" si="1403"/>
        <v>0</v>
      </c>
      <c r="AB1649" s="150">
        <v>0</v>
      </c>
      <c r="AC1649" s="199">
        <v>0</v>
      </c>
      <c r="AD1649" s="150">
        <f t="shared" si="1416"/>
        <v>0</v>
      </c>
      <c r="AE1649" s="150">
        <v>0</v>
      </c>
      <c r="AF1649" s="169" t="s">
        <v>4680</v>
      </c>
      <c r="AG1649" s="201">
        <v>0</v>
      </c>
      <c r="AH1649" s="199">
        <v>0</v>
      </c>
      <c r="AI1649" s="150">
        <v>0</v>
      </c>
      <c r="AJ1649" s="169">
        <f t="shared" si="1404"/>
        <v>0</v>
      </c>
      <c r="AK1649" s="201">
        <v>0</v>
      </c>
      <c r="AL1649" s="199">
        <v>0</v>
      </c>
      <c r="AM1649" s="150">
        <f t="shared" si="1428"/>
        <v>0</v>
      </c>
      <c r="AN1649" s="153">
        <f t="shared" si="1405"/>
        <v>0</v>
      </c>
      <c r="AO1649" s="154">
        <f t="shared" si="1406"/>
        <v>0</v>
      </c>
      <c r="AP1649" s="150">
        <v>0</v>
      </c>
      <c r="AQ1649" s="201">
        <v>0</v>
      </c>
      <c r="AR1649" s="199">
        <v>0</v>
      </c>
      <c r="AS1649" s="150">
        <f t="shared" si="1429"/>
        <v>0</v>
      </c>
      <c r="AT1649" s="155"/>
      <c r="AU1649" s="156">
        <f t="shared" si="1401"/>
        <v>0</v>
      </c>
      <c r="AV1649" s="156">
        <f t="shared" si="1402"/>
        <v>0</v>
      </c>
      <c r="AW1649" s="157"/>
      <c r="AX1649" s="150">
        <v>0</v>
      </c>
      <c r="AY1649" s="150">
        <v>0</v>
      </c>
      <c r="AZ1649" s="150">
        <f t="shared" si="1430"/>
        <v>0</v>
      </c>
      <c r="BA1649" s="150">
        <v>0</v>
      </c>
      <c r="BB1649" s="210"/>
      <c r="BC1649" s="210"/>
      <c r="BD1649" s="210"/>
      <c r="BE1649" s="210"/>
      <c r="BF1649" s="210"/>
      <c r="BG1649" s="210"/>
      <c r="BH1649" s="217"/>
      <c r="BI1649" s="210"/>
      <c r="BJ1649" s="210"/>
      <c r="BK1649" s="210"/>
      <c r="BL1649" s="210"/>
      <c r="BM1649" s="208"/>
      <c r="BN1649" s="160"/>
      <c r="BO1649" s="161">
        <f t="shared" si="1420"/>
        <v>0</v>
      </c>
      <c r="BP1649" s="161"/>
    </row>
    <row r="1650" spans="1:68" ht="38.25">
      <c r="A1650" s="210"/>
      <c r="B1650" s="195" t="s">
        <v>9000</v>
      </c>
      <c r="C1650" s="196" t="s">
        <v>9001</v>
      </c>
      <c r="D1650" s="146" t="s">
        <v>4692</v>
      </c>
      <c r="E1650" s="196" t="s">
        <v>9001</v>
      </c>
      <c r="F1650" s="150">
        <v>0</v>
      </c>
      <c r="G1650" s="209">
        <v>0</v>
      </c>
      <c r="H1650" s="209">
        <v>0</v>
      </c>
      <c r="I1650" s="209">
        <v>0</v>
      </c>
      <c r="J1650" s="150">
        <v>0</v>
      </c>
      <c r="K1650" s="150">
        <v>0</v>
      </c>
      <c r="L1650" s="150">
        <f t="shared" si="1408"/>
        <v>0</v>
      </c>
      <c r="M1650" s="150">
        <v>0</v>
      </c>
      <c r="N1650" s="150">
        <v>0</v>
      </c>
      <c r="O1650" s="150">
        <v>0</v>
      </c>
      <c r="P1650" s="150">
        <v>0</v>
      </c>
      <c r="Q1650" s="150">
        <v>0</v>
      </c>
      <c r="R1650" s="313">
        <f t="shared" si="1426"/>
        <v>0</v>
      </c>
      <c r="S1650" s="150">
        <f t="shared" si="1407"/>
        <v>0</v>
      </c>
      <c r="T1650" s="150">
        <v>0</v>
      </c>
      <c r="U1650" s="150">
        <v>0</v>
      </c>
      <c r="V1650" s="199">
        <v>0</v>
      </c>
      <c r="W1650" s="150">
        <f t="shared" si="1427"/>
        <v>0</v>
      </c>
      <c r="X1650" s="150">
        <v>0</v>
      </c>
      <c r="Y1650" s="150">
        <v>0</v>
      </c>
      <c r="Z1650" s="150">
        <v>0</v>
      </c>
      <c r="AA1650" s="150">
        <f t="shared" si="1403"/>
        <v>0</v>
      </c>
      <c r="AB1650" s="150">
        <v>0</v>
      </c>
      <c r="AC1650" s="199">
        <v>0</v>
      </c>
      <c r="AD1650" s="150">
        <f t="shared" si="1416"/>
        <v>0</v>
      </c>
      <c r="AE1650" s="150">
        <v>0</v>
      </c>
      <c r="AF1650" s="169" t="s">
        <v>4680</v>
      </c>
      <c r="AG1650" s="201">
        <v>0</v>
      </c>
      <c r="AH1650" s="199">
        <v>0</v>
      </c>
      <c r="AI1650" s="150">
        <v>0</v>
      </c>
      <c r="AJ1650" s="169">
        <f t="shared" si="1404"/>
        <v>0</v>
      </c>
      <c r="AK1650" s="201">
        <v>0</v>
      </c>
      <c r="AL1650" s="199">
        <v>0</v>
      </c>
      <c r="AM1650" s="150">
        <f t="shared" si="1428"/>
        <v>0</v>
      </c>
      <c r="AN1650" s="153">
        <f t="shared" si="1405"/>
        <v>0</v>
      </c>
      <c r="AO1650" s="154">
        <f t="shared" si="1406"/>
        <v>0</v>
      </c>
      <c r="AP1650" s="150">
        <v>0</v>
      </c>
      <c r="AQ1650" s="201">
        <v>0</v>
      </c>
      <c r="AR1650" s="199">
        <v>0</v>
      </c>
      <c r="AS1650" s="150">
        <f t="shared" si="1429"/>
        <v>0</v>
      </c>
      <c r="AT1650" s="155"/>
      <c r="AU1650" s="156">
        <f t="shared" si="1401"/>
        <v>0</v>
      </c>
      <c r="AV1650" s="156">
        <f t="shared" si="1402"/>
        <v>0</v>
      </c>
      <c r="AW1650" s="157"/>
      <c r="AX1650" s="150">
        <v>0</v>
      </c>
      <c r="AY1650" s="150">
        <v>0</v>
      </c>
      <c r="AZ1650" s="150">
        <f t="shared" si="1430"/>
        <v>0</v>
      </c>
      <c r="BA1650" s="150">
        <v>0</v>
      </c>
      <c r="BB1650" s="210"/>
      <c r="BC1650" s="210"/>
      <c r="BD1650" s="210"/>
      <c r="BE1650" s="210"/>
      <c r="BF1650" s="210"/>
      <c r="BG1650" s="210"/>
      <c r="BH1650" s="217"/>
      <c r="BI1650" s="210"/>
      <c r="BJ1650" s="210"/>
      <c r="BK1650" s="210"/>
      <c r="BL1650" s="210"/>
      <c r="BM1650" s="208"/>
      <c r="BN1650" s="160"/>
      <c r="BO1650" s="161">
        <f t="shared" si="1420"/>
        <v>0</v>
      </c>
      <c r="BP1650" s="161"/>
    </row>
    <row r="1651" spans="1:68" ht="51">
      <c r="A1651" s="210"/>
      <c r="B1651" s="195" t="s">
        <v>9002</v>
      </c>
      <c r="C1651" s="196" t="s">
        <v>9003</v>
      </c>
      <c r="D1651" s="146" t="s">
        <v>4692</v>
      </c>
      <c r="E1651" s="196" t="s">
        <v>9003</v>
      </c>
      <c r="F1651" s="150">
        <v>0</v>
      </c>
      <c r="G1651" s="209">
        <v>0</v>
      </c>
      <c r="H1651" s="209">
        <v>0</v>
      </c>
      <c r="I1651" s="209">
        <v>0</v>
      </c>
      <c r="J1651" s="150">
        <v>0</v>
      </c>
      <c r="K1651" s="150">
        <v>0</v>
      </c>
      <c r="L1651" s="150">
        <f t="shared" si="1408"/>
        <v>0</v>
      </c>
      <c r="M1651" s="150">
        <v>0</v>
      </c>
      <c r="N1651" s="150">
        <v>0</v>
      </c>
      <c r="O1651" s="150">
        <v>0</v>
      </c>
      <c r="P1651" s="150">
        <v>0</v>
      </c>
      <c r="Q1651" s="150">
        <v>0</v>
      </c>
      <c r="R1651" s="313">
        <f t="shared" si="1426"/>
        <v>0</v>
      </c>
      <c r="S1651" s="150">
        <f t="shared" si="1407"/>
        <v>0</v>
      </c>
      <c r="T1651" s="150">
        <v>0</v>
      </c>
      <c r="U1651" s="150">
        <v>0</v>
      </c>
      <c r="V1651" s="199">
        <v>0</v>
      </c>
      <c r="W1651" s="150">
        <f t="shared" si="1427"/>
        <v>0</v>
      </c>
      <c r="X1651" s="150">
        <v>0</v>
      </c>
      <c r="Y1651" s="150">
        <v>0</v>
      </c>
      <c r="Z1651" s="150">
        <v>0</v>
      </c>
      <c r="AA1651" s="150">
        <f t="shared" si="1403"/>
        <v>0</v>
      </c>
      <c r="AB1651" s="150">
        <v>0</v>
      </c>
      <c r="AC1651" s="199">
        <v>0</v>
      </c>
      <c r="AD1651" s="150">
        <f t="shared" si="1416"/>
        <v>0</v>
      </c>
      <c r="AE1651" s="150">
        <v>0</v>
      </c>
      <c r="AF1651" s="169" t="s">
        <v>4680</v>
      </c>
      <c r="AG1651" s="201">
        <v>0</v>
      </c>
      <c r="AH1651" s="199">
        <v>0</v>
      </c>
      <c r="AI1651" s="150">
        <v>0</v>
      </c>
      <c r="AJ1651" s="169">
        <f t="shared" si="1404"/>
        <v>0</v>
      </c>
      <c r="AK1651" s="201">
        <v>0</v>
      </c>
      <c r="AL1651" s="199">
        <v>0</v>
      </c>
      <c r="AM1651" s="150">
        <f t="shared" si="1428"/>
        <v>0</v>
      </c>
      <c r="AN1651" s="153">
        <f t="shared" si="1405"/>
        <v>0</v>
      </c>
      <c r="AO1651" s="154">
        <f t="shared" si="1406"/>
        <v>0</v>
      </c>
      <c r="AP1651" s="150">
        <v>0</v>
      </c>
      <c r="AQ1651" s="201">
        <v>0</v>
      </c>
      <c r="AR1651" s="199">
        <v>0</v>
      </c>
      <c r="AS1651" s="150">
        <f t="shared" si="1429"/>
        <v>0</v>
      </c>
      <c r="AT1651" s="155"/>
      <c r="AU1651" s="156">
        <f t="shared" si="1401"/>
        <v>0</v>
      </c>
      <c r="AV1651" s="156">
        <f t="shared" si="1402"/>
        <v>0</v>
      </c>
      <c r="AW1651" s="157"/>
      <c r="AX1651" s="150">
        <v>0</v>
      </c>
      <c r="AY1651" s="150">
        <v>0</v>
      </c>
      <c r="AZ1651" s="150">
        <f t="shared" si="1430"/>
        <v>0</v>
      </c>
      <c r="BA1651" s="150">
        <v>0</v>
      </c>
      <c r="BB1651" s="210"/>
      <c r="BC1651" s="210"/>
      <c r="BD1651" s="210"/>
      <c r="BE1651" s="210"/>
      <c r="BF1651" s="210"/>
      <c r="BG1651" s="210"/>
      <c r="BH1651" s="217"/>
      <c r="BI1651" s="210"/>
      <c r="BJ1651" s="210"/>
      <c r="BK1651" s="210"/>
      <c r="BL1651" s="210"/>
      <c r="BM1651" s="208"/>
      <c r="BN1651" s="160"/>
      <c r="BO1651" s="161">
        <f t="shared" si="1420"/>
        <v>0</v>
      </c>
      <c r="BP1651" s="161"/>
    </row>
    <row r="1652" spans="1:68" ht="38.25">
      <c r="A1652" s="210"/>
      <c r="B1652" s="195" t="s">
        <v>9004</v>
      </c>
      <c r="C1652" s="196" t="s">
        <v>9005</v>
      </c>
      <c r="D1652" s="146" t="s">
        <v>4692</v>
      </c>
      <c r="E1652" s="196" t="s">
        <v>9005</v>
      </c>
      <c r="F1652" s="150">
        <v>0</v>
      </c>
      <c r="G1652" s="209">
        <v>0</v>
      </c>
      <c r="H1652" s="209">
        <v>0</v>
      </c>
      <c r="I1652" s="209">
        <v>0</v>
      </c>
      <c r="J1652" s="150">
        <v>0</v>
      </c>
      <c r="K1652" s="150">
        <v>0</v>
      </c>
      <c r="L1652" s="150">
        <f t="shared" si="1408"/>
        <v>0</v>
      </c>
      <c r="M1652" s="150">
        <v>0</v>
      </c>
      <c r="N1652" s="150">
        <v>0</v>
      </c>
      <c r="O1652" s="150">
        <v>0</v>
      </c>
      <c r="P1652" s="150">
        <v>0</v>
      </c>
      <c r="Q1652" s="150">
        <v>0</v>
      </c>
      <c r="R1652" s="313">
        <f t="shared" si="1426"/>
        <v>0</v>
      </c>
      <c r="S1652" s="150">
        <f t="shared" si="1407"/>
        <v>0</v>
      </c>
      <c r="T1652" s="150">
        <v>0</v>
      </c>
      <c r="U1652" s="150">
        <v>0</v>
      </c>
      <c r="V1652" s="199">
        <v>0</v>
      </c>
      <c r="W1652" s="150">
        <f t="shared" si="1427"/>
        <v>0</v>
      </c>
      <c r="X1652" s="150">
        <v>0</v>
      </c>
      <c r="Y1652" s="150">
        <v>0</v>
      </c>
      <c r="Z1652" s="150">
        <v>0</v>
      </c>
      <c r="AA1652" s="150">
        <f t="shared" si="1403"/>
        <v>0</v>
      </c>
      <c r="AB1652" s="150">
        <v>0</v>
      </c>
      <c r="AC1652" s="199">
        <v>0</v>
      </c>
      <c r="AD1652" s="150">
        <f t="shared" si="1416"/>
        <v>0</v>
      </c>
      <c r="AE1652" s="150">
        <v>0</v>
      </c>
      <c r="AF1652" s="169" t="s">
        <v>4680</v>
      </c>
      <c r="AG1652" s="201">
        <v>0</v>
      </c>
      <c r="AH1652" s="199">
        <v>0</v>
      </c>
      <c r="AI1652" s="150">
        <v>0</v>
      </c>
      <c r="AJ1652" s="169">
        <f t="shared" si="1404"/>
        <v>0</v>
      </c>
      <c r="AK1652" s="201">
        <v>0</v>
      </c>
      <c r="AL1652" s="199">
        <v>0</v>
      </c>
      <c r="AM1652" s="150">
        <f t="shared" si="1428"/>
        <v>0</v>
      </c>
      <c r="AN1652" s="153">
        <f t="shared" si="1405"/>
        <v>0</v>
      </c>
      <c r="AO1652" s="154">
        <f t="shared" si="1406"/>
        <v>0</v>
      </c>
      <c r="AP1652" s="150">
        <v>0</v>
      </c>
      <c r="AQ1652" s="201">
        <v>0</v>
      </c>
      <c r="AR1652" s="199">
        <v>0</v>
      </c>
      <c r="AS1652" s="150">
        <f t="shared" si="1429"/>
        <v>0</v>
      </c>
      <c r="AT1652" s="155"/>
      <c r="AU1652" s="156">
        <f t="shared" si="1401"/>
        <v>0</v>
      </c>
      <c r="AV1652" s="156">
        <f t="shared" si="1402"/>
        <v>0</v>
      </c>
      <c r="AW1652" s="157"/>
      <c r="AX1652" s="150">
        <v>0</v>
      </c>
      <c r="AY1652" s="150">
        <v>0</v>
      </c>
      <c r="AZ1652" s="150">
        <f t="shared" si="1430"/>
        <v>0</v>
      </c>
      <c r="BA1652" s="150">
        <v>0</v>
      </c>
      <c r="BB1652" s="210"/>
      <c r="BC1652" s="210"/>
      <c r="BD1652" s="210"/>
      <c r="BE1652" s="210"/>
      <c r="BF1652" s="210"/>
      <c r="BG1652" s="210"/>
      <c r="BH1652" s="217"/>
      <c r="BI1652" s="210"/>
      <c r="BJ1652" s="210"/>
      <c r="BK1652" s="210"/>
      <c r="BL1652" s="210"/>
      <c r="BM1652" s="208"/>
      <c r="BN1652" s="160"/>
      <c r="BO1652" s="161">
        <f t="shared" si="1420"/>
        <v>0</v>
      </c>
      <c r="BP1652" s="161"/>
    </row>
    <row r="1653" spans="1:68" ht="51">
      <c r="A1653" s="210"/>
      <c r="B1653" s="195" t="s">
        <v>9006</v>
      </c>
      <c r="C1653" s="196" t="s">
        <v>9007</v>
      </c>
      <c r="D1653" s="146" t="s">
        <v>4692</v>
      </c>
      <c r="E1653" s="196" t="s">
        <v>9007</v>
      </c>
      <c r="F1653" s="150">
        <v>0</v>
      </c>
      <c r="G1653" s="209">
        <v>0</v>
      </c>
      <c r="H1653" s="209">
        <v>0</v>
      </c>
      <c r="I1653" s="209">
        <v>0</v>
      </c>
      <c r="J1653" s="150">
        <v>0</v>
      </c>
      <c r="K1653" s="150">
        <v>0</v>
      </c>
      <c r="L1653" s="150">
        <f t="shared" si="1408"/>
        <v>0</v>
      </c>
      <c r="M1653" s="150">
        <v>0</v>
      </c>
      <c r="N1653" s="150">
        <v>0</v>
      </c>
      <c r="O1653" s="150">
        <v>0</v>
      </c>
      <c r="P1653" s="150">
        <v>0</v>
      </c>
      <c r="Q1653" s="150">
        <v>0</v>
      </c>
      <c r="R1653" s="313">
        <f t="shared" si="1426"/>
        <v>0</v>
      </c>
      <c r="S1653" s="150">
        <f t="shared" si="1407"/>
        <v>0</v>
      </c>
      <c r="T1653" s="150">
        <v>0</v>
      </c>
      <c r="U1653" s="150">
        <v>0</v>
      </c>
      <c r="V1653" s="199">
        <v>0</v>
      </c>
      <c r="W1653" s="150">
        <f t="shared" si="1427"/>
        <v>0</v>
      </c>
      <c r="X1653" s="150">
        <v>0</v>
      </c>
      <c r="Y1653" s="150">
        <v>0</v>
      </c>
      <c r="Z1653" s="150">
        <v>0</v>
      </c>
      <c r="AA1653" s="150">
        <f t="shared" si="1403"/>
        <v>0</v>
      </c>
      <c r="AB1653" s="150">
        <v>0</v>
      </c>
      <c r="AC1653" s="199">
        <v>0</v>
      </c>
      <c r="AD1653" s="150">
        <f t="shared" si="1416"/>
        <v>0</v>
      </c>
      <c r="AE1653" s="150">
        <v>0</v>
      </c>
      <c r="AF1653" s="169" t="s">
        <v>4680</v>
      </c>
      <c r="AG1653" s="201">
        <v>0</v>
      </c>
      <c r="AH1653" s="199">
        <v>0</v>
      </c>
      <c r="AI1653" s="150">
        <v>0</v>
      </c>
      <c r="AJ1653" s="169">
        <f t="shared" si="1404"/>
        <v>0</v>
      </c>
      <c r="AK1653" s="201">
        <v>0</v>
      </c>
      <c r="AL1653" s="199">
        <v>0</v>
      </c>
      <c r="AM1653" s="150">
        <f t="shared" si="1428"/>
        <v>0</v>
      </c>
      <c r="AN1653" s="153">
        <f t="shared" si="1405"/>
        <v>0</v>
      </c>
      <c r="AO1653" s="154">
        <f t="shared" si="1406"/>
        <v>0</v>
      </c>
      <c r="AP1653" s="150">
        <v>0</v>
      </c>
      <c r="AQ1653" s="201">
        <v>0</v>
      </c>
      <c r="AR1653" s="199">
        <v>0</v>
      </c>
      <c r="AS1653" s="150">
        <f t="shared" si="1429"/>
        <v>0</v>
      </c>
      <c r="AT1653" s="155"/>
      <c r="AU1653" s="156">
        <f t="shared" si="1401"/>
        <v>0</v>
      </c>
      <c r="AV1653" s="156">
        <f t="shared" si="1402"/>
        <v>0</v>
      </c>
      <c r="AW1653" s="157"/>
      <c r="AX1653" s="150">
        <v>0</v>
      </c>
      <c r="AY1653" s="150">
        <v>0</v>
      </c>
      <c r="AZ1653" s="150">
        <f t="shared" si="1430"/>
        <v>0</v>
      </c>
      <c r="BA1653" s="150">
        <v>0</v>
      </c>
      <c r="BB1653" s="210"/>
      <c r="BC1653" s="210"/>
      <c r="BD1653" s="210"/>
      <c r="BE1653" s="210"/>
      <c r="BF1653" s="210"/>
      <c r="BG1653" s="210"/>
      <c r="BH1653" s="217"/>
      <c r="BI1653" s="210"/>
      <c r="BJ1653" s="210"/>
      <c r="BK1653" s="210"/>
      <c r="BL1653" s="210"/>
      <c r="BM1653" s="208"/>
      <c r="BN1653" s="160"/>
      <c r="BO1653" s="161">
        <f t="shared" si="1420"/>
        <v>0</v>
      </c>
      <c r="BP1653" s="161"/>
    </row>
    <row r="1654" spans="1:68" ht="38.25">
      <c r="A1654" s="210"/>
      <c r="B1654" s="195" t="s">
        <v>9008</v>
      </c>
      <c r="C1654" s="196" t="s">
        <v>9009</v>
      </c>
      <c r="D1654" s="146" t="s">
        <v>4692</v>
      </c>
      <c r="E1654" s="196" t="s">
        <v>9009</v>
      </c>
      <c r="F1654" s="150">
        <v>0</v>
      </c>
      <c r="G1654" s="209">
        <v>0</v>
      </c>
      <c r="H1654" s="209">
        <v>0</v>
      </c>
      <c r="I1654" s="209">
        <v>0</v>
      </c>
      <c r="J1654" s="150">
        <v>0</v>
      </c>
      <c r="K1654" s="150">
        <v>0</v>
      </c>
      <c r="L1654" s="150">
        <f t="shared" si="1408"/>
        <v>0</v>
      </c>
      <c r="M1654" s="150">
        <v>0</v>
      </c>
      <c r="N1654" s="150">
        <v>0</v>
      </c>
      <c r="O1654" s="150">
        <v>0</v>
      </c>
      <c r="P1654" s="150">
        <v>0</v>
      </c>
      <c r="Q1654" s="150">
        <v>0</v>
      </c>
      <c r="R1654" s="313">
        <f t="shared" si="1426"/>
        <v>0</v>
      </c>
      <c r="S1654" s="150">
        <f t="shared" si="1407"/>
        <v>0</v>
      </c>
      <c r="T1654" s="150">
        <v>0</v>
      </c>
      <c r="U1654" s="150">
        <v>0</v>
      </c>
      <c r="V1654" s="199">
        <v>0</v>
      </c>
      <c r="W1654" s="150">
        <f t="shared" si="1427"/>
        <v>0</v>
      </c>
      <c r="X1654" s="150">
        <v>0</v>
      </c>
      <c r="Y1654" s="150">
        <v>0</v>
      </c>
      <c r="Z1654" s="150">
        <v>0</v>
      </c>
      <c r="AA1654" s="150">
        <f t="shared" si="1403"/>
        <v>0</v>
      </c>
      <c r="AB1654" s="150">
        <v>0</v>
      </c>
      <c r="AC1654" s="199">
        <v>0</v>
      </c>
      <c r="AD1654" s="150">
        <f t="shared" si="1416"/>
        <v>0</v>
      </c>
      <c r="AE1654" s="150">
        <v>0</v>
      </c>
      <c r="AF1654" s="169" t="s">
        <v>4680</v>
      </c>
      <c r="AG1654" s="201">
        <v>0</v>
      </c>
      <c r="AH1654" s="199">
        <v>0</v>
      </c>
      <c r="AI1654" s="150">
        <v>0</v>
      </c>
      <c r="AJ1654" s="169">
        <f t="shared" si="1404"/>
        <v>0</v>
      </c>
      <c r="AK1654" s="201">
        <v>0</v>
      </c>
      <c r="AL1654" s="199">
        <v>0</v>
      </c>
      <c r="AM1654" s="150">
        <f t="shared" si="1428"/>
        <v>0</v>
      </c>
      <c r="AN1654" s="153">
        <f t="shared" si="1405"/>
        <v>0</v>
      </c>
      <c r="AO1654" s="154">
        <f t="shared" si="1406"/>
        <v>0</v>
      </c>
      <c r="AP1654" s="150">
        <v>0</v>
      </c>
      <c r="AQ1654" s="201">
        <v>0</v>
      </c>
      <c r="AR1654" s="199">
        <v>0</v>
      </c>
      <c r="AS1654" s="150">
        <f t="shared" si="1429"/>
        <v>0</v>
      </c>
      <c r="AT1654" s="155"/>
      <c r="AU1654" s="156">
        <f t="shared" si="1401"/>
        <v>0</v>
      </c>
      <c r="AV1654" s="156">
        <f t="shared" si="1402"/>
        <v>0</v>
      </c>
      <c r="AW1654" s="157"/>
      <c r="AX1654" s="150">
        <v>0</v>
      </c>
      <c r="AY1654" s="150">
        <v>0</v>
      </c>
      <c r="AZ1654" s="150">
        <f t="shared" si="1430"/>
        <v>0</v>
      </c>
      <c r="BA1654" s="150">
        <v>0</v>
      </c>
      <c r="BB1654" s="210"/>
      <c r="BC1654" s="210"/>
      <c r="BD1654" s="210"/>
      <c r="BE1654" s="210"/>
      <c r="BF1654" s="210"/>
      <c r="BG1654" s="210"/>
      <c r="BH1654" s="217"/>
      <c r="BI1654" s="210"/>
      <c r="BJ1654" s="210"/>
      <c r="BK1654" s="210"/>
      <c r="BL1654" s="210"/>
      <c r="BM1654" s="208"/>
      <c r="BN1654" s="160"/>
      <c r="BO1654" s="161">
        <f t="shared" si="1420"/>
        <v>0</v>
      </c>
      <c r="BP1654" s="161"/>
    </row>
    <row r="1655" spans="1:68" ht="51">
      <c r="A1655" s="210"/>
      <c r="B1655" s="195" t="s">
        <v>9010</v>
      </c>
      <c r="C1655" s="196" t="s">
        <v>9011</v>
      </c>
      <c r="D1655" s="146" t="s">
        <v>4692</v>
      </c>
      <c r="E1655" s="196" t="s">
        <v>9011</v>
      </c>
      <c r="F1655" s="150">
        <v>0</v>
      </c>
      <c r="G1655" s="209">
        <v>0</v>
      </c>
      <c r="H1655" s="209">
        <v>0</v>
      </c>
      <c r="I1655" s="209">
        <v>0</v>
      </c>
      <c r="J1655" s="150">
        <v>0</v>
      </c>
      <c r="K1655" s="150">
        <v>0</v>
      </c>
      <c r="L1655" s="150">
        <f t="shared" si="1408"/>
        <v>0</v>
      </c>
      <c r="M1655" s="150">
        <v>0</v>
      </c>
      <c r="N1655" s="150">
        <v>0</v>
      </c>
      <c r="O1655" s="150">
        <v>0</v>
      </c>
      <c r="P1655" s="150">
        <v>0</v>
      </c>
      <c r="Q1655" s="150">
        <v>0</v>
      </c>
      <c r="R1655" s="313">
        <f t="shared" si="1426"/>
        <v>0</v>
      </c>
      <c r="S1655" s="150">
        <f t="shared" si="1407"/>
        <v>0</v>
      </c>
      <c r="T1655" s="150">
        <v>0</v>
      </c>
      <c r="U1655" s="150">
        <v>0</v>
      </c>
      <c r="V1655" s="199">
        <v>0</v>
      </c>
      <c r="W1655" s="150">
        <f t="shared" si="1427"/>
        <v>0</v>
      </c>
      <c r="X1655" s="150">
        <v>0</v>
      </c>
      <c r="Y1655" s="150">
        <v>0</v>
      </c>
      <c r="Z1655" s="150">
        <v>0</v>
      </c>
      <c r="AA1655" s="150">
        <f t="shared" si="1403"/>
        <v>0</v>
      </c>
      <c r="AB1655" s="150">
        <v>0</v>
      </c>
      <c r="AC1655" s="199">
        <v>0</v>
      </c>
      <c r="AD1655" s="150">
        <f t="shared" si="1416"/>
        <v>0</v>
      </c>
      <c r="AE1655" s="150">
        <v>0</v>
      </c>
      <c r="AF1655" s="169" t="s">
        <v>4680</v>
      </c>
      <c r="AG1655" s="201">
        <v>0</v>
      </c>
      <c r="AH1655" s="199">
        <v>0</v>
      </c>
      <c r="AI1655" s="150">
        <v>0</v>
      </c>
      <c r="AJ1655" s="169">
        <f t="shared" si="1404"/>
        <v>0</v>
      </c>
      <c r="AK1655" s="201">
        <v>0</v>
      </c>
      <c r="AL1655" s="199">
        <v>0</v>
      </c>
      <c r="AM1655" s="150">
        <f t="shared" si="1428"/>
        <v>0</v>
      </c>
      <c r="AN1655" s="153">
        <f t="shared" si="1405"/>
        <v>0</v>
      </c>
      <c r="AO1655" s="154">
        <f t="shared" si="1406"/>
        <v>0</v>
      </c>
      <c r="AP1655" s="150">
        <v>0</v>
      </c>
      <c r="AQ1655" s="201">
        <v>0</v>
      </c>
      <c r="AR1655" s="199">
        <v>0</v>
      </c>
      <c r="AS1655" s="150">
        <f t="shared" si="1429"/>
        <v>0</v>
      </c>
      <c r="AT1655" s="155"/>
      <c r="AU1655" s="156">
        <f t="shared" si="1401"/>
        <v>0</v>
      </c>
      <c r="AV1655" s="156">
        <f t="shared" si="1402"/>
        <v>0</v>
      </c>
      <c r="AW1655" s="157"/>
      <c r="AX1655" s="150">
        <v>0</v>
      </c>
      <c r="AY1655" s="150">
        <v>0</v>
      </c>
      <c r="AZ1655" s="150">
        <f t="shared" si="1430"/>
        <v>0</v>
      </c>
      <c r="BA1655" s="150">
        <v>0</v>
      </c>
      <c r="BB1655" s="210"/>
      <c r="BC1655" s="210"/>
      <c r="BD1655" s="210"/>
      <c r="BE1655" s="210"/>
      <c r="BF1655" s="210"/>
      <c r="BG1655" s="210"/>
      <c r="BH1655" s="217"/>
      <c r="BI1655" s="210"/>
      <c r="BJ1655" s="210"/>
      <c r="BK1655" s="210"/>
      <c r="BL1655" s="210"/>
      <c r="BM1655" s="208"/>
      <c r="BN1655" s="160"/>
      <c r="BO1655" s="161">
        <f t="shared" si="1420"/>
        <v>0</v>
      </c>
      <c r="BP1655" s="161"/>
    </row>
    <row r="1656" spans="1:68" ht="51">
      <c r="A1656" s="210"/>
      <c r="B1656" s="195" t="s">
        <v>9012</v>
      </c>
      <c r="C1656" s="196" t="s">
        <v>9013</v>
      </c>
      <c r="D1656" s="146" t="s">
        <v>4692</v>
      </c>
      <c r="E1656" s="196" t="s">
        <v>9013</v>
      </c>
      <c r="F1656" s="150">
        <v>0</v>
      </c>
      <c r="G1656" s="209">
        <v>0</v>
      </c>
      <c r="H1656" s="209">
        <v>0</v>
      </c>
      <c r="I1656" s="209">
        <v>0</v>
      </c>
      <c r="J1656" s="150">
        <v>0</v>
      </c>
      <c r="K1656" s="150">
        <v>0</v>
      </c>
      <c r="L1656" s="150">
        <f t="shared" si="1408"/>
        <v>0</v>
      </c>
      <c r="M1656" s="150">
        <v>0</v>
      </c>
      <c r="N1656" s="150">
        <v>0</v>
      </c>
      <c r="O1656" s="150">
        <v>0</v>
      </c>
      <c r="P1656" s="150">
        <v>0</v>
      </c>
      <c r="Q1656" s="150">
        <v>0</v>
      </c>
      <c r="R1656" s="313">
        <f t="shared" si="1426"/>
        <v>0</v>
      </c>
      <c r="S1656" s="150">
        <f t="shared" si="1407"/>
        <v>0</v>
      </c>
      <c r="T1656" s="150">
        <v>0</v>
      </c>
      <c r="U1656" s="150">
        <v>0</v>
      </c>
      <c r="V1656" s="199">
        <v>0</v>
      </c>
      <c r="W1656" s="150">
        <f t="shared" si="1427"/>
        <v>0</v>
      </c>
      <c r="X1656" s="150">
        <v>0</v>
      </c>
      <c r="Y1656" s="150">
        <v>0</v>
      </c>
      <c r="Z1656" s="150">
        <v>0</v>
      </c>
      <c r="AA1656" s="150">
        <f t="shared" si="1403"/>
        <v>0</v>
      </c>
      <c r="AB1656" s="150">
        <v>0</v>
      </c>
      <c r="AC1656" s="199">
        <v>0</v>
      </c>
      <c r="AD1656" s="150">
        <f t="shared" si="1416"/>
        <v>0</v>
      </c>
      <c r="AE1656" s="150">
        <v>0</v>
      </c>
      <c r="AF1656" s="169" t="s">
        <v>4680</v>
      </c>
      <c r="AG1656" s="201">
        <v>0</v>
      </c>
      <c r="AH1656" s="199">
        <v>0</v>
      </c>
      <c r="AI1656" s="150">
        <v>0</v>
      </c>
      <c r="AJ1656" s="169">
        <f t="shared" si="1404"/>
        <v>0</v>
      </c>
      <c r="AK1656" s="201">
        <v>0</v>
      </c>
      <c r="AL1656" s="199">
        <v>0</v>
      </c>
      <c r="AM1656" s="150">
        <f t="shared" si="1428"/>
        <v>0</v>
      </c>
      <c r="AN1656" s="153">
        <f t="shared" si="1405"/>
        <v>0</v>
      </c>
      <c r="AO1656" s="154">
        <f t="shared" si="1406"/>
        <v>0</v>
      </c>
      <c r="AP1656" s="150">
        <v>0</v>
      </c>
      <c r="AQ1656" s="201">
        <v>0</v>
      </c>
      <c r="AR1656" s="199">
        <v>0</v>
      </c>
      <c r="AS1656" s="150">
        <f t="shared" si="1429"/>
        <v>0</v>
      </c>
      <c r="AT1656" s="155"/>
      <c r="AU1656" s="156">
        <f t="shared" si="1401"/>
        <v>0</v>
      </c>
      <c r="AV1656" s="156">
        <f t="shared" si="1402"/>
        <v>0</v>
      </c>
      <c r="AW1656" s="157"/>
      <c r="AX1656" s="150">
        <v>0</v>
      </c>
      <c r="AY1656" s="150">
        <v>0</v>
      </c>
      <c r="AZ1656" s="150">
        <f t="shared" si="1430"/>
        <v>0</v>
      </c>
      <c r="BA1656" s="150">
        <v>0</v>
      </c>
      <c r="BB1656" s="210"/>
      <c r="BC1656" s="210"/>
      <c r="BD1656" s="210"/>
      <c r="BE1656" s="210"/>
      <c r="BF1656" s="210"/>
      <c r="BG1656" s="210"/>
      <c r="BH1656" s="217"/>
      <c r="BI1656" s="210"/>
      <c r="BJ1656" s="210"/>
      <c r="BK1656" s="210"/>
      <c r="BL1656" s="210"/>
      <c r="BM1656" s="208"/>
      <c r="BN1656" s="160"/>
      <c r="BO1656" s="161">
        <f t="shared" si="1420"/>
        <v>0</v>
      </c>
      <c r="BP1656" s="161"/>
    </row>
    <row r="1657" spans="1:68" ht="38.25">
      <c r="A1657" s="210"/>
      <c r="B1657" s="195" t="s">
        <v>9014</v>
      </c>
      <c r="C1657" s="196" t="s">
        <v>9015</v>
      </c>
      <c r="D1657" s="146" t="s">
        <v>4692</v>
      </c>
      <c r="E1657" s="196" t="s">
        <v>9015</v>
      </c>
      <c r="F1657" s="150">
        <v>0</v>
      </c>
      <c r="G1657" s="209">
        <v>0</v>
      </c>
      <c r="H1657" s="209">
        <v>0</v>
      </c>
      <c r="I1657" s="209">
        <v>0</v>
      </c>
      <c r="J1657" s="150">
        <v>0</v>
      </c>
      <c r="K1657" s="150">
        <v>0</v>
      </c>
      <c r="L1657" s="150">
        <f t="shared" si="1408"/>
        <v>0</v>
      </c>
      <c r="M1657" s="150">
        <v>0</v>
      </c>
      <c r="N1657" s="150">
        <v>0</v>
      </c>
      <c r="O1657" s="150">
        <v>0</v>
      </c>
      <c r="P1657" s="150">
        <v>0</v>
      </c>
      <c r="Q1657" s="150">
        <v>0</v>
      </c>
      <c r="R1657" s="313">
        <f t="shared" si="1426"/>
        <v>0</v>
      </c>
      <c r="S1657" s="150">
        <f t="shared" si="1407"/>
        <v>0</v>
      </c>
      <c r="T1657" s="150">
        <v>0</v>
      </c>
      <c r="U1657" s="150">
        <v>0</v>
      </c>
      <c r="V1657" s="199">
        <v>0</v>
      </c>
      <c r="W1657" s="150">
        <f t="shared" si="1427"/>
        <v>0</v>
      </c>
      <c r="X1657" s="150">
        <v>0</v>
      </c>
      <c r="Y1657" s="150">
        <v>0</v>
      </c>
      <c r="Z1657" s="150">
        <v>0</v>
      </c>
      <c r="AA1657" s="150">
        <f t="shared" si="1403"/>
        <v>0</v>
      </c>
      <c r="AB1657" s="150">
        <v>0</v>
      </c>
      <c r="AC1657" s="199">
        <v>0</v>
      </c>
      <c r="AD1657" s="150">
        <f t="shared" si="1416"/>
        <v>0</v>
      </c>
      <c r="AE1657" s="150">
        <v>0</v>
      </c>
      <c r="AF1657" s="169" t="s">
        <v>4680</v>
      </c>
      <c r="AG1657" s="201">
        <v>0</v>
      </c>
      <c r="AH1657" s="199">
        <v>0</v>
      </c>
      <c r="AI1657" s="150">
        <v>0</v>
      </c>
      <c r="AJ1657" s="169">
        <f t="shared" si="1404"/>
        <v>0</v>
      </c>
      <c r="AK1657" s="201">
        <v>0</v>
      </c>
      <c r="AL1657" s="199">
        <v>0</v>
      </c>
      <c r="AM1657" s="150">
        <f t="shared" si="1428"/>
        <v>0</v>
      </c>
      <c r="AN1657" s="153">
        <f t="shared" si="1405"/>
        <v>0</v>
      </c>
      <c r="AO1657" s="154">
        <f t="shared" si="1406"/>
        <v>0</v>
      </c>
      <c r="AP1657" s="150">
        <v>0</v>
      </c>
      <c r="AQ1657" s="201">
        <v>0</v>
      </c>
      <c r="AR1657" s="199">
        <v>0</v>
      </c>
      <c r="AS1657" s="150">
        <f t="shared" si="1429"/>
        <v>0</v>
      </c>
      <c r="AT1657" s="155"/>
      <c r="AU1657" s="156">
        <f t="shared" si="1401"/>
        <v>0</v>
      </c>
      <c r="AV1657" s="156">
        <f t="shared" si="1402"/>
        <v>0</v>
      </c>
      <c r="AW1657" s="157"/>
      <c r="AX1657" s="150">
        <v>0</v>
      </c>
      <c r="AY1657" s="150">
        <v>0</v>
      </c>
      <c r="AZ1657" s="150">
        <f t="shared" si="1430"/>
        <v>0</v>
      </c>
      <c r="BA1657" s="150">
        <v>0</v>
      </c>
      <c r="BB1657" s="210"/>
      <c r="BC1657" s="210"/>
      <c r="BD1657" s="210"/>
      <c r="BE1657" s="210"/>
      <c r="BF1657" s="210"/>
      <c r="BG1657" s="210"/>
      <c r="BH1657" s="217"/>
      <c r="BI1657" s="210"/>
      <c r="BJ1657" s="210"/>
      <c r="BK1657" s="210"/>
      <c r="BL1657" s="210"/>
      <c r="BM1657" s="208"/>
      <c r="BN1657" s="160"/>
      <c r="BO1657" s="161">
        <f t="shared" si="1420"/>
        <v>0</v>
      </c>
      <c r="BP1657" s="161"/>
    </row>
    <row r="1658" spans="1:68" ht="63.75">
      <c r="A1658" s="210"/>
      <c r="B1658" s="195" t="s">
        <v>9016</v>
      </c>
      <c r="C1658" s="196" t="s">
        <v>9017</v>
      </c>
      <c r="D1658" s="146" t="s">
        <v>4692</v>
      </c>
      <c r="E1658" s="196" t="s">
        <v>9017</v>
      </c>
      <c r="F1658" s="150">
        <v>0</v>
      </c>
      <c r="G1658" s="209">
        <v>0</v>
      </c>
      <c r="H1658" s="209">
        <v>0</v>
      </c>
      <c r="I1658" s="209">
        <v>0</v>
      </c>
      <c r="J1658" s="150">
        <v>0</v>
      </c>
      <c r="K1658" s="150">
        <v>0</v>
      </c>
      <c r="L1658" s="150">
        <f t="shared" si="1408"/>
        <v>0</v>
      </c>
      <c r="M1658" s="150">
        <v>0</v>
      </c>
      <c r="N1658" s="150">
        <v>0</v>
      </c>
      <c r="O1658" s="150">
        <v>0</v>
      </c>
      <c r="P1658" s="150">
        <v>0</v>
      </c>
      <c r="Q1658" s="150">
        <v>0</v>
      </c>
      <c r="R1658" s="313">
        <f t="shared" si="1426"/>
        <v>0</v>
      </c>
      <c r="S1658" s="150">
        <f t="shared" si="1407"/>
        <v>0</v>
      </c>
      <c r="T1658" s="150">
        <v>0</v>
      </c>
      <c r="U1658" s="150">
        <v>0</v>
      </c>
      <c r="V1658" s="199">
        <v>0</v>
      </c>
      <c r="W1658" s="150">
        <f t="shared" si="1427"/>
        <v>0</v>
      </c>
      <c r="X1658" s="150">
        <v>0</v>
      </c>
      <c r="Y1658" s="150">
        <v>0</v>
      </c>
      <c r="Z1658" s="150">
        <v>0</v>
      </c>
      <c r="AA1658" s="150">
        <f t="shared" si="1403"/>
        <v>0</v>
      </c>
      <c r="AB1658" s="150">
        <v>0</v>
      </c>
      <c r="AC1658" s="199">
        <v>0</v>
      </c>
      <c r="AD1658" s="150">
        <f t="shared" si="1416"/>
        <v>0</v>
      </c>
      <c r="AE1658" s="150">
        <v>0</v>
      </c>
      <c r="AF1658" s="169" t="s">
        <v>4680</v>
      </c>
      <c r="AG1658" s="201">
        <v>0</v>
      </c>
      <c r="AH1658" s="199">
        <v>0</v>
      </c>
      <c r="AI1658" s="150">
        <v>0</v>
      </c>
      <c r="AJ1658" s="169">
        <f t="shared" si="1404"/>
        <v>0</v>
      </c>
      <c r="AK1658" s="201">
        <v>0</v>
      </c>
      <c r="AL1658" s="199">
        <v>0</v>
      </c>
      <c r="AM1658" s="150">
        <f t="shared" si="1428"/>
        <v>0</v>
      </c>
      <c r="AN1658" s="153">
        <f t="shared" si="1405"/>
        <v>0</v>
      </c>
      <c r="AO1658" s="154">
        <f t="shared" si="1406"/>
        <v>0</v>
      </c>
      <c r="AP1658" s="150">
        <v>0</v>
      </c>
      <c r="AQ1658" s="201">
        <v>0</v>
      </c>
      <c r="AR1658" s="199">
        <v>0</v>
      </c>
      <c r="AS1658" s="150">
        <f t="shared" si="1429"/>
        <v>0</v>
      </c>
      <c r="AT1658" s="155"/>
      <c r="AU1658" s="156">
        <f t="shared" si="1401"/>
        <v>0</v>
      </c>
      <c r="AV1658" s="156">
        <f t="shared" si="1402"/>
        <v>0</v>
      </c>
      <c r="AW1658" s="157"/>
      <c r="AX1658" s="150">
        <v>0</v>
      </c>
      <c r="AY1658" s="150">
        <v>0</v>
      </c>
      <c r="AZ1658" s="150">
        <f t="shared" si="1430"/>
        <v>0</v>
      </c>
      <c r="BA1658" s="150">
        <v>0</v>
      </c>
      <c r="BB1658" s="210"/>
      <c r="BC1658" s="210"/>
      <c r="BD1658" s="210"/>
      <c r="BE1658" s="210"/>
      <c r="BF1658" s="210"/>
      <c r="BG1658" s="210"/>
      <c r="BH1658" s="217"/>
      <c r="BI1658" s="210"/>
      <c r="BJ1658" s="210"/>
      <c r="BK1658" s="210"/>
      <c r="BL1658" s="210"/>
      <c r="BM1658" s="208"/>
      <c r="BN1658" s="160"/>
      <c r="BO1658" s="161">
        <f t="shared" si="1420"/>
        <v>0</v>
      </c>
      <c r="BP1658" s="161"/>
    </row>
    <row r="1659" spans="1:68" ht="38.25">
      <c r="A1659" s="210"/>
      <c r="B1659" s="195" t="s">
        <v>9018</v>
      </c>
      <c r="C1659" s="196" t="s">
        <v>9019</v>
      </c>
      <c r="D1659" s="146" t="s">
        <v>4692</v>
      </c>
      <c r="E1659" s="196" t="s">
        <v>9019</v>
      </c>
      <c r="F1659" s="150">
        <v>0</v>
      </c>
      <c r="G1659" s="209">
        <v>2303910.14</v>
      </c>
      <c r="H1659" s="209">
        <v>695661.44841286994</v>
      </c>
      <c r="I1659" s="209">
        <v>2999571.5884128688</v>
      </c>
      <c r="J1659" s="150">
        <v>0</v>
      </c>
      <c r="K1659" s="150">
        <v>0</v>
      </c>
      <c r="L1659" s="150">
        <f t="shared" si="1408"/>
        <v>0</v>
      </c>
      <c r="M1659" s="150">
        <v>0</v>
      </c>
      <c r="N1659" s="150">
        <v>0</v>
      </c>
      <c r="O1659" s="150">
        <v>0</v>
      </c>
      <c r="P1659" s="150">
        <v>0</v>
      </c>
      <c r="Q1659" s="150">
        <v>0</v>
      </c>
      <c r="R1659" s="313">
        <f t="shared" si="1426"/>
        <v>0</v>
      </c>
      <c r="S1659" s="150">
        <f t="shared" si="1407"/>
        <v>0</v>
      </c>
      <c r="T1659" s="150">
        <v>0</v>
      </c>
      <c r="U1659" s="150">
        <v>0</v>
      </c>
      <c r="V1659" s="199">
        <v>0</v>
      </c>
      <c r="W1659" s="150">
        <f t="shared" si="1427"/>
        <v>0</v>
      </c>
      <c r="X1659" s="150">
        <v>0</v>
      </c>
      <c r="Y1659" s="150">
        <v>0</v>
      </c>
      <c r="Z1659" s="150">
        <v>0</v>
      </c>
      <c r="AA1659" s="150">
        <f t="shared" si="1403"/>
        <v>0</v>
      </c>
      <c r="AB1659" s="150">
        <v>0</v>
      </c>
      <c r="AC1659" s="199">
        <v>0</v>
      </c>
      <c r="AD1659" s="150">
        <f t="shared" si="1416"/>
        <v>0</v>
      </c>
      <c r="AE1659" s="150">
        <v>0</v>
      </c>
      <c r="AF1659" s="169" t="s">
        <v>4680</v>
      </c>
      <c r="AG1659" s="201">
        <v>0</v>
      </c>
      <c r="AH1659" s="199">
        <v>0</v>
      </c>
      <c r="AI1659" s="150">
        <v>0</v>
      </c>
      <c r="AJ1659" s="169">
        <f t="shared" si="1404"/>
        <v>0</v>
      </c>
      <c r="AK1659" s="201">
        <v>0</v>
      </c>
      <c r="AL1659" s="199">
        <v>0</v>
      </c>
      <c r="AM1659" s="150">
        <f t="shared" si="1428"/>
        <v>0</v>
      </c>
      <c r="AN1659" s="153">
        <f t="shared" si="1405"/>
        <v>0</v>
      </c>
      <c r="AO1659" s="154">
        <f t="shared" si="1406"/>
        <v>0</v>
      </c>
      <c r="AP1659" s="150">
        <v>0</v>
      </c>
      <c r="AQ1659" s="201">
        <v>0</v>
      </c>
      <c r="AR1659" s="199">
        <v>0</v>
      </c>
      <c r="AS1659" s="150">
        <f t="shared" si="1429"/>
        <v>0</v>
      </c>
      <c r="AT1659" s="155"/>
      <c r="AU1659" s="156">
        <f t="shared" si="1401"/>
        <v>0</v>
      </c>
      <c r="AV1659" s="156">
        <f t="shared" si="1402"/>
        <v>0</v>
      </c>
      <c r="AW1659" s="157"/>
      <c r="AX1659" s="150">
        <v>0</v>
      </c>
      <c r="AY1659" s="150">
        <v>0</v>
      </c>
      <c r="AZ1659" s="150">
        <f t="shared" si="1430"/>
        <v>0</v>
      </c>
      <c r="BA1659" s="150">
        <v>0</v>
      </c>
      <c r="BB1659" s="210"/>
      <c r="BC1659" s="210"/>
      <c r="BD1659" s="210"/>
      <c r="BE1659" s="210"/>
      <c r="BF1659" s="210"/>
      <c r="BG1659" s="210"/>
      <c r="BH1659" s="217"/>
      <c r="BI1659" s="210"/>
      <c r="BJ1659" s="210"/>
      <c r="BK1659" s="210"/>
      <c r="BL1659" s="210"/>
      <c r="BM1659" s="208"/>
      <c r="BN1659" s="160"/>
      <c r="BO1659" s="161">
        <f t="shared" si="1420"/>
        <v>0</v>
      </c>
      <c r="BP1659" s="161"/>
    </row>
    <row r="1660" spans="1:68" ht="25.5">
      <c r="A1660" s="262" t="s">
        <v>589</v>
      </c>
      <c r="B1660" s="163"/>
      <c r="C1660" s="164" t="s">
        <v>9020</v>
      </c>
      <c r="D1660" s="146" t="s">
        <v>4692</v>
      </c>
      <c r="E1660" s="164" t="s">
        <v>9020</v>
      </c>
      <c r="F1660" s="167">
        <v>2999571.1399999997</v>
      </c>
      <c r="G1660" s="166">
        <v>0</v>
      </c>
      <c r="H1660" s="166">
        <v>0</v>
      </c>
      <c r="I1660" s="166">
        <v>0</v>
      </c>
      <c r="J1660" s="167">
        <f>J1661+J1735</f>
        <v>539823.99000000011</v>
      </c>
      <c r="K1660" s="167">
        <f>K1661+K1735</f>
        <v>297929.99999999994</v>
      </c>
      <c r="L1660" s="167">
        <f t="shared" si="1408"/>
        <v>837753.99</v>
      </c>
      <c r="M1660" s="167">
        <v>1181614.5200000003</v>
      </c>
      <c r="N1660" s="167">
        <v>476804.40531476116</v>
      </c>
      <c r="O1660" s="167">
        <v>1658418.9253147615</v>
      </c>
      <c r="P1660" s="340">
        <f t="shared" ref="P1660:R1660" si="1431">P1661+P1735</f>
        <v>1793583.52</v>
      </c>
      <c r="Q1660" s="340">
        <f t="shared" si="1431"/>
        <v>670970.34751058475</v>
      </c>
      <c r="R1660" s="340">
        <f t="shared" si="1431"/>
        <v>2464553.8675105846</v>
      </c>
      <c r="S1660" s="150">
        <f t="shared" si="1407"/>
        <v>3286071.823347446</v>
      </c>
      <c r="T1660" s="347">
        <f>T1661+T1735</f>
        <v>3654313.38</v>
      </c>
      <c r="U1660" s="340">
        <f t="shared" ref="U1660:W1660" si="1432">U1661+U1735</f>
        <v>2611670.7199999997</v>
      </c>
      <c r="V1660" s="233">
        <f t="shared" si="1432"/>
        <v>770703.53668077954</v>
      </c>
      <c r="W1660" s="340">
        <f t="shared" si="1432"/>
        <v>3382374.2566807787</v>
      </c>
      <c r="X1660" s="340">
        <v>2611670.7199999997</v>
      </c>
      <c r="Y1660" s="340">
        <v>770703.53668077954</v>
      </c>
      <c r="Z1660" s="340">
        <v>3382374.2566807787</v>
      </c>
      <c r="AA1660" s="340">
        <f t="shared" si="1403"/>
        <v>277292.68998588761</v>
      </c>
      <c r="AB1660" s="340">
        <v>2611670.7199999997</v>
      </c>
      <c r="AC1660" s="233">
        <v>1047996.2266666666</v>
      </c>
      <c r="AD1660" s="340">
        <f t="shared" ref="AD1660" si="1433">AD1661+AD1735</f>
        <v>3659666.9466666663</v>
      </c>
      <c r="AE1660" s="340">
        <v>3659666.9466666663</v>
      </c>
      <c r="AF1660" s="169" t="s">
        <v>4680</v>
      </c>
      <c r="AG1660" s="342">
        <v>2611670.7199999997</v>
      </c>
      <c r="AH1660" s="233">
        <v>1047996.2266666666</v>
      </c>
      <c r="AI1660" s="340">
        <v>3659666.9466666663</v>
      </c>
      <c r="AJ1660" s="169">
        <f t="shared" si="1404"/>
        <v>0</v>
      </c>
      <c r="AK1660" s="342">
        <v>2611670.7199999997</v>
      </c>
      <c r="AL1660" s="233">
        <v>1047996.2266666666</v>
      </c>
      <c r="AM1660" s="340">
        <f t="shared" ref="AM1660" si="1434">AM1661+AM1735</f>
        <v>3659666.9466666663</v>
      </c>
      <c r="AN1660" s="153">
        <f t="shared" si="1405"/>
        <v>-5353.5666666664183</v>
      </c>
      <c r="AO1660" s="154">
        <f t="shared" si="1406"/>
        <v>-5353.5666666664183</v>
      </c>
      <c r="AP1660" s="340">
        <v>3659666.9466666663</v>
      </c>
      <c r="AQ1660" s="342">
        <v>3654313.38</v>
      </c>
      <c r="AR1660" s="233">
        <f t="shared" ref="AR1660:AS1660" si="1435">AR1661+AR1735</f>
        <v>0</v>
      </c>
      <c r="AS1660" s="340">
        <f t="shared" si="1435"/>
        <v>3654313.38</v>
      </c>
      <c r="AT1660" s="155"/>
      <c r="AU1660" s="156">
        <f t="shared" si="1401"/>
        <v>0</v>
      </c>
      <c r="AV1660" s="156">
        <f t="shared" si="1402"/>
        <v>277292.68998588761</v>
      </c>
      <c r="AW1660" s="157"/>
      <c r="AX1660" s="150">
        <v>3382374.2566807787</v>
      </c>
      <c r="AY1660" s="340">
        <f t="shared" ref="AY1660:BA1660" si="1436">AY1661+AY1735</f>
        <v>1385779.4700000002</v>
      </c>
      <c r="AZ1660" s="340">
        <f t="shared" si="1436"/>
        <v>1983878.4906295224</v>
      </c>
      <c r="BA1660" s="340">
        <f t="shared" si="1436"/>
        <v>3369657.9606295228</v>
      </c>
      <c r="BB1660" s="263">
        <v>5</v>
      </c>
      <c r="BC1660" s="262" t="s">
        <v>755</v>
      </c>
      <c r="BD1660" s="262" t="s">
        <v>630</v>
      </c>
      <c r="BE1660" s="162" t="s">
        <v>630</v>
      </c>
      <c r="BF1660" s="262" t="s">
        <v>630</v>
      </c>
      <c r="BG1660" s="164" t="s">
        <v>9020</v>
      </c>
      <c r="BH1660" s="235">
        <f>BH1661+BH1735</f>
        <v>3654313.3800000004</v>
      </c>
      <c r="BI1660" s="263"/>
      <c r="BJ1660" s="262" t="s">
        <v>9021</v>
      </c>
      <c r="BK1660" s="262" t="s">
        <v>589</v>
      </c>
      <c r="BL1660" s="172" t="s">
        <v>9022</v>
      </c>
      <c r="BM1660" s="349">
        <f>BM1661+BM1735</f>
        <v>3654313.3800000004</v>
      </c>
      <c r="BN1660" s="160"/>
      <c r="BO1660" s="161">
        <f t="shared" si="1420"/>
        <v>0</v>
      </c>
      <c r="BP1660" s="161"/>
    </row>
    <row r="1661" spans="1:68" ht="25.5">
      <c r="A1661" s="255" t="s">
        <v>590</v>
      </c>
      <c r="B1661" s="174"/>
      <c r="C1661" s="175" t="s">
        <v>95</v>
      </c>
      <c r="D1661" s="146" t="s">
        <v>4692</v>
      </c>
      <c r="E1661" s="175" t="s">
        <v>95</v>
      </c>
      <c r="F1661" s="176">
        <v>0</v>
      </c>
      <c r="G1661" s="177">
        <v>0</v>
      </c>
      <c r="H1661" s="177">
        <v>0</v>
      </c>
      <c r="I1661" s="177">
        <v>0</v>
      </c>
      <c r="J1661" s="176">
        <f>J1662+J1689+J1716</f>
        <v>14082.03</v>
      </c>
      <c r="K1661" s="176">
        <f>K1662+K1689+K1716</f>
        <v>7695.99</v>
      </c>
      <c r="L1661" s="176">
        <f t="shared" si="1408"/>
        <v>21778.02</v>
      </c>
      <c r="M1661" s="178">
        <v>14376.060000000001</v>
      </c>
      <c r="N1661" s="178">
        <v>0</v>
      </c>
      <c r="O1661" s="178">
        <v>14376.060000000001</v>
      </c>
      <c r="P1661" s="221">
        <f t="shared" ref="P1661:R1661" si="1437">P1662+P1689+P1716</f>
        <v>14873.170000000002</v>
      </c>
      <c r="Q1661" s="221">
        <f t="shared" si="1437"/>
        <v>0</v>
      </c>
      <c r="R1661" s="221">
        <f t="shared" si="1437"/>
        <v>14873.170000000002</v>
      </c>
      <c r="S1661" s="150">
        <f t="shared" si="1407"/>
        <v>19830.893333333337</v>
      </c>
      <c r="T1661" s="347">
        <f>T1662+T1689</f>
        <v>16943.850000000002</v>
      </c>
      <c r="U1661" s="221">
        <f t="shared" ref="U1661:W1661" si="1438">U1662+U1689+U1716</f>
        <v>16095.63</v>
      </c>
      <c r="V1661" s="222">
        <f t="shared" si="1438"/>
        <v>1833.0533333333337</v>
      </c>
      <c r="W1661" s="221">
        <f t="shared" si="1438"/>
        <v>17928.683333333338</v>
      </c>
      <c r="X1661" s="221">
        <v>16095.63</v>
      </c>
      <c r="Y1661" s="221">
        <v>1833.0533333333337</v>
      </c>
      <c r="Z1661" s="221">
        <v>17928.683333333338</v>
      </c>
      <c r="AA1661" s="221">
        <f t="shared" si="1403"/>
        <v>-984.83666666666977</v>
      </c>
      <c r="AB1661" s="221">
        <v>16095.63</v>
      </c>
      <c r="AC1661" s="222">
        <v>848.21666666666658</v>
      </c>
      <c r="AD1661" s="221">
        <f t="shared" ref="AD1661" si="1439">AD1662+AD1689+AD1716</f>
        <v>16943.846666666668</v>
      </c>
      <c r="AE1661" s="221">
        <v>16943.846666666668</v>
      </c>
      <c r="AF1661" s="169" t="s">
        <v>4680</v>
      </c>
      <c r="AG1661" s="223">
        <v>16095.63</v>
      </c>
      <c r="AH1661" s="222">
        <v>848.21666666666658</v>
      </c>
      <c r="AI1661" s="221">
        <v>16943.846666666668</v>
      </c>
      <c r="AJ1661" s="169">
        <f t="shared" si="1404"/>
        <v>0</v>
      </c>
      <c r="AK1661" s="223">
        <v>16095.63</v>
      </c>
      <c r="AL1661" s="222">
        <v>848.21666666666658</v>
      </c>
      <c r="AM1661" s="221">
        <f t="shared" ref="AM1661" si="1440">AM1662+AM1689+AM1716</f>
        <v>16943.846666666668</v>
      </c>
      <c r="AN1661" s="153">
        <f t="shared" si="1405"/>
        <v>3.3333333340124227E-3</v>
      </c>
      <c r="AO1661" s="154">
        <f t="shared" si="1406"/>
        <v>3.3333333340124227E-3</v>
      </c>
      <c r="AP1661" s="221">
        <v>16943.846666666668</v>
      </c>
      <c r="AQ1661" s="223">
        <v>16943.850000000002</v>
      </c>
      <c r="AR1661" s="222">
        <f t="shared" ref="AR1661:AS1661" si="1441">AR1662+AR1689+AR1716</f>
        <v>0</v>
      </c>
      <c r="AS1661" s="221">
        <f t="shared" si="1441"/>
        <v>16943.850000000002</v>
      </c>
      <c r="AT1661" s="155"/>
      <c r="AU1661" s="156">
        <f t="shared" si="1401"/>
        <v>0</v>
      </c>
      <c r="AV1661" s="156">
        <f t="shared" si="1402"/>
        <v>-984.83666666666977</v>
      </c>
      <c r="AW1661" s="157"/>
      <c r="AX1661" s="150">
        <v>17928.683333333338</v>
      </c>
      <c r="AY1661" s="221">
        <f t="shared" ref="AY1661:BA1661" si="1442">AY1662+AY1689+AY1716</f>
        <v>14376.060000000001</v>
      </c>
      <c r="AZ1661" s="221">
        <f t="shared" si="1442"/>
        <v>18669.14</v>
      </c>
      <c r="BA1661" s="221">
        <f t="shared" si="1442"/>
        <v>33045.199999999997</v>
      </c>
      <c r="BB1661" s="254">
        <v>5</v>
      </c>
      <c r="BC1661" s="255" t="s">
        <v>755</v>
      </c>
      <c r="BD1661" s="255" t="s">
        <v>632</v>
      </c>
      <c r="BE1661" s="173" t="s">
        <v>630</v>
      </c>
      <c r="BF1661" s="255" t="s">
        <v>630</v>
      </c>
      <c r="BG1661" s="175" t="s">
        <v>95</v>
      </c>
      <c r="BH1661" s="224">
        <f>BH1662+BH1689+BH1716</f>
        <v>16943.849999999999</v>
      </c>
      <c r="BI1661" s="254"/>
      <c r="BJ1661" s="255" t="s">
        <v>9023</v>
      </c>
      <c r="BK1661" s="255" t="s">
        <v>590</v>
      </c>
      <c r="BL1661" s="182" t="s">
        <v>9024</v>
      </c>
      <c r="BM1661" s="337">
        <f>BM1662+BM1689+BM1716</f>
        <v>16943.849999999999</v>
      </c>
      <c r="BN1661" s="160"/>
      <c r="BO1661" s="161">
        <f t="shared" si="1420"/>
        <v>0</v>
      </c>
      <c r="BP1661" s="161"/>
    </row>
    <row r="1662" spans="1:68" ht="38.25">
      <c r="A1662" s="256" t="s">
        <v>591</v>
      </c>
      <c r="B1662" s="184"/>
      <c r="C1662" s="185" t="s">
        <v>96</v>
      </c>
      <c r="D1662" s="146" t="s">
        <v>4692</v>
      </c>
      <c r="E1662" s="185" t="s">
        <v>96</v>
      </c>
      <c r="F1662" s="188">
        <v>0</v>
      </c>
      <c r="G1662" s="187">
        <v>0</v>
      </c>
      <c r="H1662" s="187"/>
      <c r="I1662" s="187">
        <v>0</v>
      </c>
      <c r="J1662" s="188">
        <f>SUM(J1663:J1688)</f>
        <v>14082.03</v>
      </c>
      <c r="K1662" s="188">
        <f>SUM(K1663:K1688)</f>
        <v>7695.99</v>
      </c>
      <c r="L1662" s="188">
        <f t="shared" si="1408"/>
        <v>21778.02</v>
      </c>
      <c r="M1662" s="188">
        <v>14376.060000000001</v>
      </c>
      <c r="N1662" s="188">
        <v>0</v>
      </c>
      <c r="O1662" s="188">
        <v>14376.060000000001</v>
      </c>
      <c r="P1662" s="299">
        <f t="shared" ref="P1662:R1662" si="1443">SUM(P1663:P1688)</f>
        <v>14873.170000000002</v>
      </c>
      <c r="Q1662" s="299">
        <f t="shared" si="1443"/>
        <v>0</v>
      </c>
      <c r="R1662" s="299">
        <f t="shared" si="1443"/>
        <v>14873.170000000002</v>
      </c>
      <c r="S1662" s="150">
        <f t="shared" si="1407"/>
        <v>19830.893333333337</v>
      </c>
      <c r="T1662" s="347">
        <f>SUM(T1663:T1688)</f>
        <v>16943.850000000002</v>
      </c>
      <c r="U1662" s="299">
        <f t="shared" ref="U1662:W1662" si="1444">SUM(U1663:U1688)</f>
        <v>16095.63</v>
      </c>
      <c r="V1662" s="226">
        <f t="shared" si="1444"/>
        <v>1833.0533333333337</v>
      </c>
      <c r="W1662" s="299">
        <f t="shared" si="1444"/>
        <v>17928.683333333338</v>
      </c>
      <c r="X1662" s="299">
        <v>16095.63</v>
      </c>
      <c r="Y1662" s="299">
        <v>1833.0533333333337</v>
      </c>
      <c r="Z1662" s="299">
        <v>17928.683333333338</v>
      </c>
      <c r="AA1662" s="299">
        <f t="shared" si="1403"/>
        <v>-984.83666666666977</v>
      </c>
      <c r="AB1662" s="299">
        <v>16095.63</v>
      </c>
      <c r="AC1662" s="226">
        <v>848.21666666666658</v>
      </c>
      <c r="AD1662" s="299">
        <f t="shared" ref="AD1662" si="1445">SUM(AD1663:AD1688)</f>
        <v>16943.846666666668</v>
      </c>
      <c r="AE1662" s="299">
        <v>16943.846666666668</v>
      </c>
      <c r="AF1662" s="169" t="s">
        <v>4680</v>
      </c>
      <c r="AG1662" s="301">
        <v>16095.63</v>
      </c>
      <c r="AH1662" s="226">
        <v>848.21666666666658</v>
      </c>
      <c r="AI1662" s="299">
        <v>16943.846666666668</v>
      </c>
      <c r="AJ1662" s="169">
        <f t="shared" si="1404"/>
        <v>0</v>
      </c>
      <c r="AK1662" s="301">
        <v>16095.63</v>
      </c>
      <c r="AL1662" s="226">
        <v>848.21666666666658</v>
      </c>
      <c r="AM1662" s="299">
        <f t="shared" ref="AM1662" si="1446">SUM(AM1663:AM1688)</f>
        <v>16943.846666666668</v>
      </c>
      <c r="AN1662" s="153">
        <f t="shared" si="1405"/>
        <v>3.3333333340124227E-3</v>
      </c>
      <c r="AO1662" s="154">
        <f t="shared" si="1406"/>
        <v>3.3333333340124227E-3</v>
      </c>
      <c r="AP1662" s="299">
        <v>16943.846666666668</v>
      </c>
      <c r="AQ1662" s="301">
        <v>16943.850000000002</v>
      </c>
      <c r="AR1662" s="226">
        <f t="shared" ref="AR1662:AS1662" si="1447">SUM(AR1663:AR1688)</f>
        <v>0</v>
      </c>
      <c r="AS1662" s="299">
        <f t="shared" si="1447"/>
        <v>16943.850000000002</v>
      </c>
      <c r="AT1662" s="155"/>
      <c r="AU1662" s="156">
        <f t="shared" si="1401"/>
        <v>0</v>
      </c>
      <c r="AV1662" s="156">
        <f t="shared" si="1402"/>
        <v>-984.83666666666977</v>
      </c>
      <c r="AW1662" s="157"/>
      <c r="AX1662" s="150">
        <v>17928.683333333338</v>
      </c>
      <c r="AY1662" s="299">
        <f t="shared" ref="AY1662:BA1662" si="1448">SUM(AY1663:AY1688)</f>
        <v>14376.060000000001</v>
      </c>
      <c r="AZ1662" s="299">
        <f t="shared" si="1448"/>
        <v>18669.14</v>
      </c>
      <c r="BA1662" s="299">
        <f t="shared" si="1448"/>
        <v>33045.199999999997</v>
      </c>
      <c r="BB1662" s="192">
        <v>5</v>
      </c>
      <c r="BC1662" s="256" t="s">
        <v>755</v>
      </c>
      <c r="BD1662" s="256" t="s">
        <v>632</v>
      </c>
      <c r="BE1662" s="256" t="s">
        <v>632</v>
      </c>
      <c r="BF1662" s="256" t="s">
        <v>630</v>
      </c>
      <c r="BG1662" s="185" t="s">
        <v>96</v>
      </c>
      <c r="BH1662" s="215">
        <f>BH1663+BH1664+BH1665+BH1666+BH1667+BH1675+BH1676+BH1688</f>
        <v>16943.849999999999</v>
      </c>
      <c r="BI1662" s="192"/>
      <c r="BJ1662" s="256" t="s">
        <v>9025</v>
      </c>
      <c r="BK1662" s="256" t="s">
        <v>591</v>
      </c>
      <c r="BL1662" s="238" t="s">
        <v>9026</v>
      </c>
      <c r="BM1662" s="338">
        <f>BM1663+BM1664+BM1665+BM1666+BM1667+BM1675+BM1676+BM1688</f>
        <v>16943.849999999999</v>
      </c>
      <c r="BN1662" s="160"/>
      <c r="BO1662" s="161">
        <f t="shared" si="1420"/>
        <v>0</v>
      </c>
      <c r="BP1662" s="161"/>
    </row>
    <row r="1663" spans="1:68" ht="38.25">
      <c r="A1663" s="206" t="s">
        <v>591</v>
      </c>
      <c r="B1663" s="195" t="s">
        <v>9027</v>
      </c>
      <c r="C1663" s="196" t="s">
        <v>9028</v>
      </c>
      <c r="D1663" s="146" t="s">
        <v>4692</v>
      </c>
      <c r="E1663" s="196" t="s">
        <v>9028</v>
      </c>
      <c r="F1663" s="150">
        <v>0</v>
      </c>
      <c r="G1663" s="209">
        <v>0</v>
      </c>
      <c r="H1663" s="209"/>
      <c r="I1663" s="209">
        <v>0</v>
      </c>
      <c r="J1663" s="150">
        <v>7245.23</v>
      </c>
      <c r="K1663" s="150">
        <v>764.85</v>
      </c>
      <c r="L1663" s="150">
        <f t="shared" si="1408"/>
        <v>8010.08</v>
      </c>
      <c r="M1663" s="150">
        <v>7401.37</v>
      </c>
      <c r="N1663" s="150">
        <v>0</v>
      </c>
      <c r="O1663" s="150">
        <v>7401.37</v>
      </c>
      <c r="P1663" s="150">
        <v>7636.82</v>
      </c>
      <c r="Q1663" s="150">
        <v>0</v>
      </c>
      <c r="R1663" s="313">
        <f t="shared" ref="R1663:R1688" si="1449">P1663+Q1663</f>
        <v>7636.82</v>
      </c>
      <c r="S1663" s="150">
        <f t="shared" si="1407"/>
        <v>10182.426666666666</v>
      </c>
      <c r="T1663" s="150">
        <v>8264.51</v>
      </c>
      <c r="U1663" s="150">
        <v>8264.51</v>
      </c>
      <c r="V1663" s="199">
        <v>0</v>
      </c>
      <c r="W1663" s="150">
        <f t="shared" ref="W1663:W1688" si="1450">U1663+V1663</f>
        <v>8264.51</v>
      </c>
      <c r="X1663" s="150">
        <v>8264.51</v>
      </c>
      <c r="Y1663" s="150">
        <v>0</v>
      </c>
      <c r="Z1663" s="150">
        <v>8264.51</v>
      </c>
      <c r="AA1663" s="150">
        <f t="shared" si="1403"/>
        <v>0</v>
      </c>
      <c r="AB1663" s="150">
        <v>8264.51</v>
      </c>
      <c r="AC1663" s="199">
        <v>0</v>
      </c>
      <c r="AD1663" s="150">
        <f t="shared" ref="AD1663:AD1688" si="1451">AB1663+AC1663</f>
        <v>8264.51</v>
      </c>
      <c r="AE1663" s="150">
        <v>8264.51</v>
      </c>
      <c r="AF1663" s="169" t="s">
        <v>4680</v>
      </c>
      <c r="AG1663" s="201">
        <v>8264.51</v>
      </c>
      <c r="AH1663" s="199">
        <v>0</v>
      </c>
      <c r="AI1663" s="150">
        <v>8264.51</v>
      </c>
      <c r="AJ1663" s="169">
        <f t="shared" si="1404"/>
        <v>0</v>
      </c>
      <c r="AK1663" s="201">
        <v>8264.51</v>
      </c>
      <c r="AL1663" s="199">
        <v>0</v>
      </c>
      <c r="AM1663" s="150">
        <f t="shared" ref="AM1663:AM1688" si="1452">AK1663+AL1663</f>
        <v>8264.51</v>
      </c>
      <c r="AN1663" s="153">
        <f t="shared" si="1405"/>
        <v>0</v>
      </c>
      <c r="AO1663" s="154">
        <f t="shared" si="1406"/>
        <v>0</v>
      </c>
      <c r="AP1663" s="150">
        <v>8264.51</v>
      </c>
      <c r="AQ1663" s="201">
        <v>8264.51</v>
      </c>
      <c r="AR1663" s="199">
        <v>0</v>
      </c>
      <c r="AS1663" s="150">
        <f t="shared" ref="AS1663:AS1688" si="1453">AQ1663+AR1663</f>
        <v>8264.51</v>
      </c>
      <c r="AT1663" s="155"/>
      <c r="AU1663" s="156">
        <f t="shared" si="1401"/>
        <v>0</v>
      </c>
      <c r="AV1663" s="156">
        <f t="shared" si="1402"/>
        <v>0</v>
      </c>
      <c r="AW1663" s="157"/>
      <c r="AX1663" s="150">
        <v>8264.51</v>
      </c>
      <c r="AY1663" s="150">
        <v>7401.37</v>
      </c>
      <c r="AZ1663" s="150">
        <f>BA1663-AY1663</f>
        <v>11694.45</v>
      </c>
      <c r="BA1663" s="150">
        <v>19095.82</v>
      </c>
      <c r="BB1663" s="202">
        <v>5</v>
      </c>
      <c r="BC1663" s="202" t="s">
        <v>755</v>
      </c>
      <c r="BD1663" s="202" t="s">
        <v>632</v>
      </c>
      <c r="BE1663" s="202" t="s">
        <v>632</v>
      </c>
      <c r="BF1663" s="202" t="s">
        <v>632</v>
      </c>
      <c r="BG1663" s="231" t="s">
        <v>9029</v>
      </c>
      <c r="BH1663" s="216">
        <f>AS1663</f>
        <v>8264.51</v>
      </c>
      <c r="BI1663" s="205"/>
      <c r="BJ1663" s="206" t="s">
        <v>9025</v>
      </c>
      <c r="BK1663" s="206" t="s">
        <v>591</v>
      </c>
      <c r="BL1663" s="207" t="s">
        <v>9026</v>
      </c>
      <c r="BM1663" s="208">
        <f>BH1663</f>
        <v>8264.51</v>
      </c>
      <c r="BN1663" s="160"/>
      <c r="BO1663" s="161">
        <f t="shared" si="1420"/>
        <v>0</v>
      </c>
      <c r="BP1663" s="161"/>
    </row>
    <row r="1664" spans="1:68" ht="38.25">
      <c r="A1664" s="206" t="s">
        <v>591</v>
      </c>
      <c r="B1664" s="195" t="s">
        <v>9030</v>
      </c>
      <c r="C1664" s="196" t="s">
        <v>9031</v>
      </c>
      <c r="D1664" s="146" t="s">
        <v>4692</v>
      </c>
      <c r="E1664" s="196" t="s">
        <v>9031</v>
      </c>
      <c r="F1664" s="150">
        <v>0</v>
      </c>
      <c r="G1664" s="209">
        <v>0</v>
      </c>
      <c r="H1664" s="209"/>
      <c r="I1664" s="209">
        <v>0</v>
      </c>
      <c r="J1664" s="150">
        <v>3698.23</v>
      </c>
      <c r="K1664" s="150">
        <v>1685.02</v>
      </c>
      <c r="L1664" s="150">
        <f t="shared" si="1408"/>
        <v>5383.25</v>
      </c>
      <c r="M1664" s="150">
        <v>3770.58</v>
      </c>
      <c r="N1664" s="150">
        <v>0</v>
      </c>
      <c r="O1664" s="150">
        <v>3770.58</v>
      </c>
      <c r="P1664" s="150">
        <v>3921.44</v>
      </c>
      <c r="Q1664" s="150">
        <v>0</v>
      </c>
      <c r="R1664" s="313">
        <f t="shared" si="1449"/>
        <v>3921.44</v>
      </c>
      <c r="S1664" s="150">
        <f t="shared" si="1407"/>
        <v>5228.586666666667</v>
      </c>
      <c r="T1664" s="150">
        <v>4243.75</v>
      </c>
      <c r="U1664" s="150">
        <v>4243.75</v>
      </c>
      <c r="V1664" s="199">
        <v>984.83666666666704</v>
      </c>
      <c r="W1664" s="150">
        <f t="shared" si="1450"/>
        <v>5228.586666666667</v>
      </c>
      <c r="X1664" s="150">
        <v>4243.75</v>
      </c>
      <c r="Y1664" s="150">
        <v>984.83666666666704</v>
      </c>
      <c r="Z1664" s="150">
        <v>5228.586666666667</v>
      </c>
      <c r="AA1664" s="150">
        <f t="shared" si="1403"/>
        <v>-984.83666666666704</v>
      </c>
      <c r="AB1664" s="150">
        <v>4243.75</v>
      </c>
      <c r="AC1664" s="199"/>
      <c r="AD1664" s="150">
        <f t="shared" si="1451"/>
        <v>4243.75</v>
      </c>
      <c r="AE1664" s="150">
        <v>4243.75</v>
      </c>
      <c r="AF1664" s="169" t="s">
        <v>4680</v>
      </c>
      <c r="AG1664" s="201">
        <v>4243.75</v>
      </c>
      <c r="AH1664" s="199"/>
      <c r="AI1664" s="150">
        <v>4243.75</v>
      </c>
      <c r="AJ1664" s="169">
        <f t="shared" si="1404"/>
        <v>0</v>
      </c>
      <c r="AK1664" s="201">
        <v>4243.75</v>
      </c>
      <c r="AL1664" s="199"/>
      <c r="AM1664" s="150">
        <f t="shared" si="1452"/>
        <v>4243.75</v>
      </c>
      <c r="AN1664" s="153">
        <f t="shared" si="1405"/>
        <v>0</v>
      </c>
      <c r="AO1664" s="154">
        <f t="shared" si="1406"/>
        <v>0</v>
      </c>
      <c r="AP1664" s="309">
        <v>4243.75</v>
      </c>
      <c r="AQ1664" s="201">
        <v>4243.75</v>
      </c>
      <c r="AR1664" s="199"/>
      <c r="AS1664" s="150">
        <f t="shared" si="1453"/>
        <v>4243.75</v>
      </c>
      <c r="AT1664" s="155"/>
      <c r="AU1664" s="156">
        <f t="shared" si="1401"/>
        <v>0</v>
      </c>
      <c r="AV1664" s="156">
        <f t="shared" si="1402"/>
        <v>-984.83666666666704</v>
      </c>
      <c r="AW1664" s="157"/>
      <c r="AX1664" s="150">
        <v>5228.586666666667</v>
      </c>
      <c r="AY1664" s="150">
        <v>3770.58</v>
      </c>
      <c r="AZ1664" s="150">
        <f t="shared" ref="AZ1664:AZ1688" si="1454">BA1664-AY1664</f>
        <v>3770.58</v>
      </c>
      <c r="BA1664" s="150">
        <v>7541.16</v>
      </c>
      <c r="BB1664" s="202">
        <v>5</v>
      </c>
      <c r="BC1664" s="202" t="s">
        <v>755</v>
      </c>
      <c r="BD1664" s="202" t="s">
        <v>632</v>
      </c>
      <c r="BE1664" s="202" t="s">
        <v>632</v>
      </c>
      <c r="BF1664" s="202" t="s">
        <v>647</v>
      </c>
      <c r="BG1664" s="231" t="s">
        <v>9032</v>
      </c>
      <c r="BH1664" s="216">
        <f>AS1664</f>
        <v>4243.75</v>
      </c>
      <c r="BI1664" s="205"/>
      <c r="BJ1664" s="206" t="s">
        <v>9025</v>
      </c>
      <c r="BK1664" s="206" t="s">
        <v>591</v>
      </c>
      <c r="BL1664" s="207" t="s">
        <v>9026</v>
      </c>
      <c r="BM1664" s="208">
        <f>BH1664</f>
        <v>4243.75</v>
      </c>
      <c r="BN1664" s="160"/>
      <c r="BO1664" s="161">
        <f t="shared" si="1420"/>
        <v>0</v>
      </c>
      <c r="BP1664" s="161"/>
    </row>
    <row r="1665" spans="1:68" ht="51">
      <c r="A1665" s="206" t="s">
        <v>591</v>
      </c>
      <c r="B1665" s="195" t="s">
        <v>9033</v>
      </c>
      <c r="C1665" s="196" t="s">
        <v>9034</v>
      </c>
      <c r="D1665" s="146" t="s">
        <v>4692</v>
      </c>
      <c r="E1665" s="196" t="s">
        <v>9034</v>
      </c>
      <c r="F1665" s="150">
        <v>0</v>
      </c>
      <c r="G1665" s="209">
        <v>0</v>
      </c>
      <c r="H1665" s="209"/>
      <c r="I1665" s="209">
        <v>0</v>
      </c>
      <c r="J1665" s="150">
        <v>0</v>
      </c>
      <c r="K1665" s="150">
        <v>0</v>
      </c>
      <c r="L1665" s="150">
        <f t="shared" si="1408"/>
        <v>0</v>
      </c>
      <c r="M1665" s="150">
        <v>0</v>
      </c>
      <c r="N1665" s="150">
        <v>0</v>
      </c>
      <c r="O1665" s="150">
        <v>0</v>
      </c>
      <c r="P1665" s="150">
        <v>0</v>
      </c>
      <c r="Q1665" s="150">
        <v>0</v>
      </c>
      <c r="R1665" s="313">
        <f t="shared" si="1449"/>
        <v>0</v>
      </c>
      <c r="S1665" s="150">
        <f t="shared" si="1407"/>
        <v>0</v>
      </c>
      <c r="T1665" s="150">
        <v>0</v>
      </c>
      <c r="U1665" s="150">
        <v>0</v>
      </c>
      <c r="V1665" s="199">
        <v>0</v>
      </c>
      <c r="W1665" s="150">
        <f t="shared" si="1450"/>
        <v>0</v>
      </c>
      <c r="X1665" s="150">
        <v>0</v>
      </c>
      <c r="Y1665" s="150">
        <v>0</v>
      </c>
      <c r="Z1665" s="150">
        <v>0</v>
      </c>
      <c r="AA1665" s="150">
        <f t="shared" si="1403"/>
        <v>0</v>
      </c>
      <c r="AB1665" s="150">
        <v>0</v>
      </c>
      <c r="AC1665" s="199">
        <v>0</v>
      </c>
      <c r="AD1665" s="150">
        <f t="shared" si="1451"/>
        <v>0</v>
      </c>
      <c r="AE1665" s="150">
        <v>0</v>
      </c>
      <c r="AF1665" s="169" t="s">
        <v>4680</v>
      </c>
      <c r="AG1665" s="201">
        <v>0</v>
      </c>
      <c r="AH1665" s="199">
        <v>0</v>
      </c>
      <c r="AI1665" s="150">
        <v>0</v>
      </c>
      <c r="AJ1665" s="169">
        <f t="shared" si="1404"/>
        <v>0</v>
      </c>
      <c r="AK1665" s="201">
        <v>0</v>
      </c>
      <c r="AL1665" s="199">
        <v>0</v>
      </c>
      <c r="AM1665" s="150">
        <f t="shared" si="1452"/>
        <v>0</v>
      </c>
      <c r="AN1665" s="153">
        <f t="shared" si="1405"/>
        <v>0</v>
      </c>
      <c r="AO1665" s="154">
        <f t="shared" si="1406"/>
        <v>0</v>
      </c>
      <c r="AP1665" s="150">
        <v>0</v>
      </c>
      <c r="AQ1665" s="201">
        <v>0</v>
      </c>
      <c r="AR1665" s="199">
        <v>0</v>
      </c>
      <c r="AS1665" s="150">
        <f t="shared" si="1453"/>
        <v>0</v>
      </c>
      <c r="AT1665" s="155"/>
      <c r="AU1665" s="156">
        <f t="shared" si="1401"/>
        <v>0</v>
      </c>
      <c r="AV1665" s="156">
        <f t="shared" si="1402"/>
        <v>0</v>
      </c>
      <c r="AW1665" s="157"/>
      <c r="AX1665" s="150">
        <v>0</v>
      </c>
      <c r="AY1665" s="150">
        <v>0</v>
      </c>
      <c r="AZ1665" s="150">
        <f t="shared" si="1454"/>
        <v>0</v>
      </c>
      <c r="BA1665" s="150">
        <v>0</v>
      </c>
      <c r="BB1665" s="202">
        <v>5</v>
      </c>
      <c r="BC1665" s="202" t="s">
        <v>755</v>
      </c>
      <c r="BD1665" s="202" t="s">
        <v>632</v>
      </c>
      <c r="BE1665" s="202" t="s">
        <v>632</v>
      </c>
      <c r="BF1665" s="202" t="s">
        <v>671</v>
      </c>
      <c r="BG1665" s="231" t="s">
        <v>9035</v>
      </c>
      <c r="BH1665" s="216">
        <f>AS1665</f>
        <v>0</v>
      </c>
      <c r="BI1665" s="205"/>
      <c r="BJ1665" s="206" t="s">
        <v>9025</v>
      </c>
      <c r="BK1665" s="206" t="s">
        <v>591</v>
      </c>
      <c r="BL1665" s="207" t="s">
        <v>9026</v>
      </c>
      <c r="BM1665" s="208">
        <f>BH1665</f>
        <v>0</v>
      </c>
      <c r="BN1665" s="160"/>
      <c r="BO1665" s="161">
        <f t="shared" si="1420"/>
        <v>0</v>
      </c>
      <c r="BP1665" s="161"/>
    </row>
    <row r="1666" spans="1:68" ht="38.25">
      <c r="A1666" s="206" t="s">
        <v>591</v>
      </c>
      <c r="B1666" s="195" t="s">
        <v>9036</v>
      </c>
      <c r="C1666" s="196" t="s">
        <v>9037</v>
      </c>
      <c r="D1666" s="146" t="s">
        <v>4692</v>
      </c>
      <c r="E1666" s="196" t="s">
        <v>9037</v>
      </c>
      <c r="F1666" s="150">
        <v>0</v>
      </c>
      <c r="G1666" s="209">
        <v>0</v>
      </c>
      <c r="H1666" s="209"/>
      <c r="I1666" s="209">
        <v>0</v>
      </c>
      <c r="J1666" s="150">
        <v>0</v>
      </c>
      <c r="K1666" s="150">
        <v>3874.44</v>
      </c>
      <c r="L1666" s="150">
        <f t="shared" si="1408"/>
        <v>3874.44</v>
      </c>
      <c r="M1666" s="150">
        <v>0</v>
      </c>
      <c r="N1666" s="150">
        <v>0</v>
      </c>
      <c r="O1666" s="150">
        <v>0</v>
      </c>
      <c r="P1666" s="150">
        <v>0</v>
      </c>
      <c r="Q1666" s="150">
        <v>0</v>
      </c>
      <c r="R1666" s="313">
        <f t="shared" si="1449"/>
        <v>0</v>
      </c>
      <c r="S1666" s="150">
        <f t="shared" si="1407"/>
        <v>0</v>
      </c>
      <c r="T1666" s="150">
        <v>0</v>
      </c>
      <c r="U1666" s="150">
        <v>0</v>
      </c>
      <c r="V1666" s="199">
        <v>0</v>
      </c>
      <c r="W1666" s="150">
        <f t="shared" si="1450"/>
        <v>0</v>
      </c>
      <c r="X1666" s="150">
        <v>0</v>
      </c>
      <c r="Y1666" s="150">
        <v>0</v>
      </c>
      <c r="Z1666" s="150">
        <v>0</v>
      </c>
      <c r="AA1666" s="150">
        <f t="shared" si="1403"/>
        <v>0</v>
      </c>
      <c r="AB1666" s="150">
        <v>0</v>
      </c>
      <c r="AC1666" s="199">
        <v>0</v>
      </c>
      <c r="AD1666" s="150">
        <f t="shared" si="1451"/>
        <v>0</v>
      </c>
      <c r="AE1666" s="150">
        <v>0</v>
      </c>
      <c r="AF1666" s="169" t="s">
        <v>4680</v>
      </c>
      <c r="AG1666" s="201">
        <v>0</v>
      </c>
      <c r="AH1666" s="199">
        <v>0</v>
      </c>
      <c r="AI1666" s="150">
        <v>0</v>
      </c>
      <c r="AJ1666" s="169">
        <f t="shared" si="1404"/>
        <v>0</v>
      </c>
      <c r="AK1666" s="201">
        <v>0</v>
      </c>
      <c r="AL1666" s="199">
        <v>0</v>
      </c>
      <c r="AM1666" s="150">
        <f t="shared" si="1452"/>
        <v>0</v>
      </c>
      <c r="AN1666" s="153">
        <f t="shared" si="1405"/>
        <v>0</v>
      </c>
      <c r="AO1666" s="154">
        <f t="shared" si="1406"/>
        <v>0</v>
      </c>
      <c r="AP1666" s="150">
        <v>0</v>
      </c>
      <c r="AQ1666" s="201">
        <v>0</v>
      </c>
      <c r="AR1666" s="199">
        <v>0</v>
      </c>
      <c r="AS1666" s="150">
        <f t="shared" si="1453"/>
        <v>0</v>
      </c>
      <c r="AT1666" s="155"/>
      <c r="AU1666" s="156">
        <f t="shared" ref="AU1666:AU1729" si="1455">AM1666-AD1666</f>
        <v>0</v>
      </c>
      <c r="AV1666" s="156">
        <f t="shared" ref="AV1666:AV1729" si="1456">AD1666-AX1666</f>
        <v>0</v>
      </c>
      <c r="AW1666" s="157"/>
      <c r="AX1666" s="150">
        <v>0</v>
      </c>
      <c r="AY1666" s="150">
        <v>0</v>
      </c>
      <c r="AZ1666" s="150">
        <f t="shared" si="1454"/>
        <v>0</v>
      </c>
      <c r="BA1666" s="150">
        <v>0</v>
      </c>
      <c r="BB1666" s="202">
        <v>5</v>
      </c>
      <c r="BC1666" s="202" t="s">
        <v>755</v>
      </c>
      <c r="BD1666" s="202" t="s">
        <v>632</v>
      </c>
      <c r="BE1666" s="202" t="s">
        <v>632</v>
      </c>
      <c r="BF1666" s="202" t="s">
        <v>693</v>
      </c>
      <c r="BG1666" s="231" t="s">
        <v>9038</v>
      </c>
      <c r="BH1666" s="216">
        <f>AS1666</f>
        <v>0</v>
      </c>
      <c r="BI1666" s="205"/>
      <c r="BJ1666" s="206" t="s">
        <v>9025</v>
      </c>
      <c r="BK1666" s="206" t="s">
        <v>591</v>
      </c>
      <c r="BL1666" s="207" t="s">
        <v>9026</v>
      </c>
      <c r="BM1666" s="208">
        <f>BH1666</f>
        <v>0</v>
      </c>
      <c r="BN1666" s="160"/>
      <c r="BO1666" s="161">
        <f t="shared" si="1420"/>
        <v>0</v>
      </c>
      <c r="BP1666" s="161"/>
    </row>
    <row r="1667" spans="1:68" ht="38.25">
      <c r="A1667" s="206" t="s">
        <v>591</v>
      </c>
      <c r="B1667" s="195" t="s">
        <v>9039</v>
      </c>
      <c r="C1667" s="196" t="s">
        <v>9040</v>
      </c>
      <c r="D1667" s="146" t="s">
        <v>4692</v>
      </c>
      <c r="E1667" s="196" t="s">
        <v>9040</v>
      </c>
      <c r="F1667" s="150">
        <v>0</v>
      </c>
      <c r="G1667" s="209">
        <v>0</v>
      </c>
      <c r="H1667" s="209"/>
      <c r="I1667" s="209">
        <v>0</v>
      </c>
      <c r="J1667" s="150">
        <v>2604.54</v>
      </c>
      <c r="K1667" s="150">
        <v>1371.68</v>
      </c>
      <c r="L1667" s="150">
        <f t="shared" si="1408"/>
        <v>3976.2200000000003</v>
      </c>
      <c r="M1667" s="150">
        <v>2658.92</v>
      </c>
      <c r="N1667" s="150">
        <v>0</v>
      </c>
      <c r="O1667" s="150">
        <v>2658.92</v>
      </c>
      <c r="P1667" s="150">
        <v>2750.87</v>
      </c>
      <c r="Q1667" s="150">
        <v>0</v>
      </c>
      <c r="R1667" s="313">
        <f t="shared" si="1449"/>
        <v>2750.87</v>
      </c>
      <c r="S1667" s="150">
        <f t="shared" si="1407"/>
        <v>3667.8266666666668</v>
      </c>
      <c r="T1667" s="150">
        <v>3667.83</v>
      </c>
      <c r="U1667" s="150">
        <v>2976.97</v>
      </c>
      <c r="V1667" s="199">
        <v>690.85666666666657</v>
      </c>
      <c r="W1667" s="150">
        <f t="shared" si="1450"/>
        <v>3667.8266666666664</v>
      </c>
      <c r="X1667" s="150">
        <v>2976.97</v>
      </c>
      <c r="Y1667" s="150">
        <v>690.85666666666657</v>
      </c>
      <c r="Z1667" s="150">
        <v>3667.8266666666664</v>
      </c>
      <c r="AA1667" s="150">
        <f t="shared" ref="AA1667:AA1730" si="1457">AD1667-Z1667</f>
        <v>0</v>
      </c>
      <c r="AB1667" s="150">
        <v>2976.97</v>
      </c>
      <c r="AC1667" s="199">
        <v>690.85666666666657</v>
      </c>
      <c r="AD1667" s="150">
        <f t="shared" si="1451"/>
        <v>3667.8266666666664</v>
      </c>
      <c r="AE1667" s="150">
        <v>3667.8266666666664</v>
      </c>
      <c r="AF1667" s="169" t="s">
        <v>4680</v>
      </c>
      <c r="AG1667" s="201">
        <v>2976.97</v>
      </c>
      <c r="AH1667" s="199">
        <v>690.85666666666657</v>
      </c>
      <c r="AI1667" s="150">
        <v>3667.8266666666664</v>
      </c>
      <c r="AJ1667" s="169">
        <f t="shared" ref="AJ1667:AJ1730" si="1458">AM1667-AI1667</f>
        <v>0</v>
      </c>
      <c r="AK1667" s="201">
        <v>2976.97</v>
      </c>
      <c r="AL1667" s="199">
        <v>690.85666666666657</v>
      </c>
      <c r="AM1667" s="150">
        <f t="shared" si="1452"/>
        <v>3667.8266666666664</v>
      </c>
      <c r="AN1667" s="153">
        <f t="shared" ref="AN1667:AN1730" si="1459">AS1667-AM1667</f>
        <v>3.3333333335576754E-3</v>
      </c>
      <c r="AO1667" s="154">
        <f t="shared" ref="AO1667:AO1730" si="1460">AS1667-AP1667</f>
        <v>3.3333333335576754E-3</v>
      </c>
      <c r="AP1667" s="150">
        <v>3667.8266666666664</v>
      </c>
      <c r="AQ1667" s="201">
        <v>3667.83</v>
      </c>
      <c r="AR1667" s="199"/>
      <c r="AS1667" s="150">
        <f t="shared" si="1453"/>
        <v>3667.83</v>
      </c>
      <c r="AT1667" s="155"/>
      <c r="AU1667" s="156">
        <f t="shared" si="1455"/>
        <v>0</v>
      </c>
      <c r="AV1667" s="156">
        <f t="shared" si="1456"/>
        <v>0</v>
      </c>
      <c r="AW1667" s="157"/>
      <c r="AX1667" s="150">
        <v>3667.8266666666664</v>
      </c>
      <c r="AY1667" s="150">
        <v>2658.92</v>
      </c>
      <c r="AZ1667" s="150">
        <f t="shared" si="1454"/>
        <v>2658.92</v>
      </c>
      <c r="BA1667" s="150">
        <v>5317.84</v>
      </c>
      <c r="BB1667" s="202">
        <v>5</v>
      </c>
      <c r="BC1667" s="202" t="s">
        <v>755</v>
      </c>
      <c r="BD1667" s="202" t="s">
        <v>632</v>
      </c>
      <c r="BE1667" s="202" t="s">
        <v>632</v>
      </c>
      <c r="BF1667" s="202" t="s">
        <v>714</v>
      </c>
      <c r="BG1667" s="231" t="s">
        <v>9041</v>
      </c>
      <c r="BH1667" s="216">
        <f>SUM(AS1667:AS1674)</f>
        <v>4435.5899999999992</v>
      </c>
      <c r="BI1667" s="205"/>
      <c r="BJ1667" s="206" t="s">
        <v>9025</v>
      </c>
      <c r="BK1667" s="206" t="s">
        <v>591</v>
      </c>
      <c r="BL1667" s="207" t="s">
        <v>9026</v>
      </c>
      <c r="BM1667" s="208">
        <f>BH1667</f>
        <v>4435.5899999999992</v>
      </c>
      <c r="BN1667" s="160"/>
      <c r="BO1667" s="161"/>
      <c r="BP1667" s="161"/>
    </row>
    <row r="1668" spans="1:68" ht="38.25">
      <c r="A1668" s="210"/>
      <c r="B1668" s="195" t="s">
        <v>9042</v>
      </c>
      <c r="C1668" s="196" t="s">
        <v>9043</v>
      </c>
      <c r="D1668" s="146" t="s">
        <v>4692</v>
      </c>
      <c r="E1668" s="196" t="s">
        <v>9043</v>
      </c>
      <c r="F1668" s="150">
        <v>0</v>
      </c>
      <c r="G1668" s="209">
        <v>0</v>
      </c>
      <c r="H1668" s="209"/>
      <c r="I1668" s="209">
        <v>0</v>
      </c>
      <c r="J1668" s="150">
        <v>534.03</v>
      </c>
      <c r="K1668" s="150">
        <v>0</v>
      </c>
      <c r="L1668" s="150">
        <f t="shared" si="1408"/>
        <v>534.03</v>
      </c>
      <c r="M1668" s="150">
        <v>545.19000000000005</v>
      </c>
      <c r="N1668" s="150">
        <v>0</v>
      </c>
      <c r="O1668" s="150">
        <v>545.19000000000005</v>
      </c>
      <c r="P1668" s="150">
        <v>564.04</v>
      </c>
      <c r="Q1668" s="150">
        <v>0</v>
      </c>
      <c r="R1668" s="313">
        <f t="shared" si="1449"/>
        <v>564.04</v>
      </c>
      <c r="S1668" s="150">
        <f t="shared" ref="S1668:S1731" si="1461">R1668/9*12</f>
        <v>752.05333333333328</v>
      </c>
      <c r="T1668" s="150">
        <v>610.4</v>
      </c>
      <c r="U1668" s="150">
        <v>610.4</v>
      </c>
      <c r="V1668" s="199">
        <v>0</v>
      </c>
      <c r="W1668" s="150">
        <f t="shared" si="1450"/>
        <v>610.4</v>
      </c>
      <c r="X1668" s="150">
        <v>610.4</v>
      </c>
      <c r="Y1668" s="150">
        <v>0</v>
      </c>
      <c r="Z1668" s="150">
        <v>610.4</v>
      </c>
      <c r="AA1668" s="150">
        <f t="shared" si="1457"/>
        <v>0</v>
      </c>
      <c r="AB1668" s="150">
        <v>610.4</v>
      </c>
      <c r="AC1668" s="199">
        <v>0</v>
      </c>
      <c r="AD1668" s="150">
        <f t="shared" si="1451"/>
        <v>610.4</v>
      </c>
      <c r="AE1668" s="150">
        <v>610.4</v>
      </c>
      <c r="AF1668" s="169" t="s">
        <v>4680</v>
      </c>
      <c r="AG1668" s="201">
        <v>610.4</v>
      </c>
      <c r="AH1668" s="199">
        <v>0</v>
      </c>
      <c r="AI1668" s="150">
        <v>610.4</v>
      </c>
      <c r="AJ1668" s="169">
        <f t="shared" si="1458"/>
        <v>0</v>
      </c>
      <c r="AK1668" s="201">
        <v>610.4</v>
      </c>
      <c r="AL1668" s="199">
        <v>0</v>
      </c>
      <c r="AM1668" s="150">
        <f t="shared" si="1452"/>
        <v>610.4</v>
      </c>
      <c r="AN1668" s="153">
        <f t="shared" si="1459"/>
        <v>0</v>
      </c>
      <c r="AO1668" s="154">
        <f t="shared" si="1460"/>
        <v>0</v>
      </c>
      <c r="AP1668" s="150">
        <v>610.4</v>
      </c>
      <c r="AQ1668" s="201">
        <v>610.4</v>
      </c>
      <c r="AR1668" s="199"/>
      <c r="AS1668" s="150">
        <f t="shared" si="1453"/>
        <v>610.4</v>
      </c>
      <c r="AT1668" s="155"/>
      <c r="AU1668" s="156">
        <f t="shared" si="1455"/>
        <v>0</v>
      </c>
      <c r="AV1668" s="156">
        <f t="shared" si="1456"/>
        <v>0</v>
      </c>
      <c r="AW1668" s="157"/>
      <c r="AX1668" s="150">
        <v>610.4</v>
      </c>
      <c r="AY1668" s="150">
        <v>545.19000000000005</v>
      </c>
      <c r="AZ1668" s="150">
        <f t="shared" si="1454"/>
        <v>545.19000000000005</v>
      </c>
      <c r="BA1668" s="150">
        <v>1090.3800000000001</v>
      </c>
      <c r="BB1668" s="210"/>
      <c r="BC1668" s="210"/>
      <c r="BD1668" s="210"/>
      <c r="BE1668" s="210"/>
      <c r="BF1668" s="210"/>
      <c r="BG1668" s="210"/>
      <c r="BH1668" s="217"/>
      <c r="BI1668" s="210"/>
      <c r="BJ1668" s="210"/>
      <c r="BK1668" s="210"/>
      <c r="BL1668" s="210"/>
      <c r="BM1668" s="208"/>
      <c r="BN1668" s="160"/>
      <c r="BO1668" s="161"/>
      <c r="BP1668" s="161"/>
    </row>
    <row r="1669" spans="1:68" ht="38.25">
      <c r="A1669" s="210"/>
      <c r="B1669" s="195" t="s">
        <v>9044</v>
      </c>
      <c r="C1669" s="196" t="s">
        <v>9045</v>
      </c>
      <c r="D1669" s="146" t="s">
        <v>4692</v>
      </c>
      <c r="E1669" s="196" t="s">
        <v>9045</v>
      </c>
      <c r="F1669" s="150">
        <v>0</v>
      </c>
      <c r="G1669" s="209">
        <v>0</v>
      </c>
      <c r="H1669" s="209"/>
      <c r="I1669" s="209">
        <v>0</v>
      </c>
      <c r="J1669" s="150">
        <v>0</v>
      </c>
      <c r="K1669" s="150">
        <v>0</v>
      </c>
      <c r="L1669" s="150">
        <f t="shared" si="1408"/>
        <v>0</v>
      </c>
      <c r="M1669" s="150">
        <v>0</v>
      </c>
      <c r="N1669" s="150">
        <v>0</v>
      </c>
      <c r="O1669" s="150">
        <v>0</v>
      </c>
      <c r="P1669" s="150">
        <v>0</v>
      </c>
      <c r="Q1669" s="150">
        <v>0</v>
      </c>
      <c r="R1669" s="313">
        <f t="shared" si="1449"/>
        <v>0</v>
      </c>
      <c r="S1669" s="150">
        <f t="shared" si="1461"/>
        <v>0</v>
      </c>
      <c r="T1669" s="150">
        <v>0</v>
      </c>
      <c r="U1669" s="150">
        <v>0</v>
      </c>
      <c r="V1669" s="199">
        <v>0</v>
      </c>
      <c r="W1669" s="150">
        <f t="shared" si="1450"/>
        <v>0</v>
      </c>
      <c r="X1669" s="150">
        <v>0</v>
      </c>
      <c r="Y1669" s="150">
        <v>0</v>
      </c>
      <c r="Z1669" s="150">
        <v>0</v>
      </c>
      <c r="AA1669" s="150">
        <f t="shared" si="1457"/>
        <v>0</v>
      </c>
      <c r="AB1669" s="150">
        <v>0</v>
      </c>
      <c r="AC1669" s="199">
        <v>0</v>
      </c>
      <c r="AD1669" s="150">
        <f t="shared" si="1451"/>
        <v>0</v>
      </c>
      <c r="AE1669" s="150">
        <v>0</v>
      </c>
      <c r="AF1669" s="169" t="s">
        <v>4680</v>
      </c>
      <c r="AG1669" s="201">
        <v>0</v>
      </c>
      <c r="AH1669" s="199">
        <v>0</v>
      </c>
      <c r="AI1669" s="150">
        <v>0</v>
      </c>
      <c r="AJ1669" s="169">
        <f t="shared" si="1458"/>
        <v>0</v>
      </c>
      <c r="AK1669" s="201">
        <v>0</v>
      </c>
      <c r="AL1669" s="199">
        <v>0</v>
      </c>
      <c r="AM1669" s="150">
        <f t="shared" si="1452"/>
        <v>0</v>
      </c>
      <c r="AN1669" s="153">
        <f t="shared" si="1459"/>
        <v>0</v>
      </c>
      <c r="AO1669" s="154">
        <f t="shared" si="1460"/>
        <v>0</v>
      </c>
      <c r="AP1669" s="150">
        <v>0</v>
      </c>
      <c r="AQ1669" s="201">
        <v>0</v>
      </c>
      <c r="AR1669" s="199"/>
      <c r="AS1669" s="150">
        <f t="shared" si="1453"/>
        <v>0</v>
      </c>
      <c r="AT1669" s="155"/>
      <c r="AU1669" s="156">
        <f t="shared" si="1455"/>
        <v>0</v>
      </c>
      <c r="AV1669" s="156">
        <f t="shared" si="1456"/>
        <v>0</v>
      </c>
      <c r="AW1669" s="157"/>
      <c r="AX1669" s="150">
        <v>0</v>
      </c>
      <c r="AY1669" s="150">
        <v>0</v>
      </c>
      <c r="AZ1669" s="150">
        <f t="shared" si="1454"/>
        <v>0</v>
      </c>
      <c r="BA1669" s="150">
        <v>0</v>
      </c>
      <c r="BB1669" s="210"/>
      <c r="BC1669" s="210"/>
      <c r="BD1669" s="210"/>
      <c r="BE1669" s="210"/>
      <c r="BF1669" s="210"/>
      <c r="BG1669" s="210"/>
      <c r="BH1669" s="217"/>
      <c r="BI1669" s="210"/>
      <c r="BJ1669" s="210"/>
      <c r="BK1669" s="210"/>
      <c r="BL1669" s="210"/>
      <c r="BM1669" s="208"/>
      <c r="BN1669" s="160"/>
      <c r="BO1669" s="161"/>
      <c r="BP1669" s="161"/>
    </row>
    <row r="1670" spans="1:68" ht="38.25">
      <c r="A1670" s="210"/>
      <c r="B1670" s="195" t="s">
        <v>9046</v>
      </c>
      <c r="C1670" s="196" t="s">
        <v>9047</v>
      </c>
      <c r="D1670" s="146" t="s">
        <v>4692</v>
      </c>
      <c r="E1670" s="196" t="s">
        <v>9047</v>
      </c>
      <c r="F1670" s="150">
        <v>0</v>
      </c>
      <c r="G1670" s="209">
        <v>0</v>
      </c>
      <c r="H1670" s="209"/>
      <c r="I1670" s="209">
        <v>0</v>
      </c>
      <c r="J1670" s="150">
        <v>0</v>
      </c>
      <c r="K1670" s="150">
        <v>0</v>
      </c>
      <c r="L1670" s="150">
        <f t="shared" si="1408"/>
        <v>0</v>
      </c>
      <c r="M1670" s="150">
        <v>0</v>
      </c>
      <c r="N1670" s="150">
        <v>0</v>
      </c>
      <c r="O1670" s="150">
        <v>0</v>
      </c>
      <c r="P1670" s="150">
        <v>0</v>
      </c>
      <c r="Q1670" s="150">
        <v>0</v>
      </c>
      <c r="R1670" s="313">
        <f t="shared" si="1449"/>
        <v>0</v>
      </c>
      <c r="S1670" s="150">
        <f t="shared" si="1461"/>
        <v>0</v>
      </c>
      <c r="T1670" s="150">
        <v>157.36000000000001</v>
      </c>
      <c r="U1670" s="150">
        <v>0</v>
      </c>
      <c r="V1670" s="199">
        <v>157.36000000000001</v>
      </c>
      <c r="W1670" s="150">
        <f t="shared" si="1450"/>
        <v>157.36000000000001</v>
      </c>
      <c r="X1670" s="150">
        <v>0</v>
      </c>
      <c r="Y1670" s="150">
        <v>157.36000000000001</v>
      </c>
      <c r="Z1670" s="150">
        <v>157.36000000000001</v>
      </c>
      <c r="AA1670" s="150">
        <f t="shared" si="1457"/>
        <v>0</v>
      </c>
      <c r="AB1670" s="150">
        <v>0</v>
      </c>
      <c r="AC1670" s="199">
        <v>157.36000000000001</v>
      </c>
      <c r="AD1670" s="150">
        <f t="shared" si="1451"/>
        <v>157.36000000000001</v>
      </c>
      <c r="AE1670" s="150">
        <v>157.36000000000001</v>
      </c>
      <c r="AF1670" s="169" t="s">
        <v>4680</v>
      </c>
      <c r="AG1670" s="201">
        <v>0</v>
      </c>
      <c r="AH1670" s="199">
        <v>157.36000000000001</v>
      </c>
      <c r="AI1670" s="150">
        <v>157.36000000000001</v>
      </c>
      <c r="AJ1670" s="169">
        <f t="shared" si="1458"/>
        <v>0</v>
      </c>
      <c r="AK1670" s="201">
        <v>0</v>
      </c>
      <c r="AL1670" s="199">
        <v>157.36000000000001</v>
      </c>
      <c r="AM1670" s="150">
        <f t="shared" si="1452"/>
        <v>157.36000000000001</v>
      </c>
      <c r="AN1670" s="153">
        <f t="shared" si="1459"/>
        <v>0</v>
      </c>
      <c r="AO1670" s="154">
        <f t="shared" si="1460"/>
        <v>0</v>
      </c>
      <c r="AP1670" s="150">
        <v>157.36000000000001</v>
      </c>
      <c r="AQ1670" s="201">
        <v>157.36000000000001</v>
      </c>
      <c r="AR1670" s="199"/>
      <c r="AS1670" s="150">
        <f t="shared" si="1453"/>
        <v>157.36000000000001</v>
      </c>
      <c r="AT1670" s="155"/>
      <c r="AU1670" s="156">
        <f t="shared" si="1455"/>
        <v>0</v>
      </c>
      <c r="AV1670" s="156">
        <f t="shared" si="1456"/>
        <v>0</v>
      </c>
      <c r="AW1670" s="157"/>
      <c r="AX1670" s="150">
        <v>157.36000000000001</v>
      </c>
      <c r="AY1670" s="150">
        <v>0</v>
      </c>
      <c r="AZ1670" s="150">
        <f t="shared" si="1454"/>
        <v>0</v>
      </c>
      <c r="BA1670" s="150">
        <v>0</v>
      </c>
      <c r="BB1670" s="210"/>
      <c r="BC1670" s="210"/>
      <c r="BD1670" s="210"/>
      <c r="BE1670" s="210"/>
      <c r="BF1670" s="210"/>
      <c r="BG1670" s="210"/>
      <c r="BH1670" s="217"/>
      <c r="BI1670" s="210"/>
      <c r="BJ1670" s="210"/>
      <c r="BK1670" s="210"/>
      <c r="BL1670" s="210"/>
      <c r="BM1670" s="208"/>
      <c r="BN1670" s="160"/>
      <c r="BO1670" s="161"/>
      <c r="BP1670" s="161"/>
    </row>
    <row r="1671" spans="1:68" ht="38.25">
      <c r="A1671" s="210"/>
      <c r="B1671" s="195" t="s">
        <v>9048</v>
      </c>
      <c r="C1671" s="196" t="s">
        <v>9049</v>
      </c>
      <c r="D1671" s="146" t="s">
        <v>4692</v>
      </c>
      <c r="E1671" s="196" t="s">
        <v>9049</v>
      </c>
      <c r="F1671" s="150">
        <v>0</v>
      </c>
      <c r="G1671" s="209">
        <v>0</v>
      </c>
      <c r="H1671" s="209"/>
      <c r="I1671" s="209">
        <v>0</v>
      </c>
      <c r="J1671" s="150">
        <v>0</v>
      </c>
      <c r="K1671" s="150">
        <v>0</v>
      </c>
      <c r="L1671" s="150">
        <f t="shared" si="1408"/>
        <v>0</v>
      </c>
      <c r="M1671" s="150">
        <v>0</v>
      </c>
      <c r="N1671" s="150">
        <v>0</v>
      </c>
      <c r="O1671" s="150">
        <v>0</v>
      </c>
      <c r="P1671" s="150">
        <v>0</v>
      </c>
      <c r="Q1671" s="150">
        <v>0</v>
      </c>
      <c r="R1671" s="313">
        <f t="shared" si="1449"/>
        <v>0</v>
      </c>
      <c r="S1671" s="150">
        <f t="shared" si="1461"/>
        <v>0</v>
      </c>
      <c r="T1671" s="150">
        <v>0</v>
      </c>
      <c r="U1671" s="150">
        <v>0</v>
      </c>
      <c r="V1671" s="199">
        <v>0</v>
      </c>
      <c r="W1671" s="150">
        <f t="shared" si="1450"/>
        <v>0</v>
      </c>
      <c r="X1671" s="150">
        <v>0</v>
      </c>
      <c r="Y1671" s="150">
        <v>0</v>
      </c>
      <c r="Z1671" s="150">
        <v>0</v>
      </c>
      <c r="AA1671" s="150">
        <f t="shared" si="1457"/>
        <v>0</v>
      </c>
      <c r="AB1671" s="150">
        <v>0</v>
      </c>
      <c r="AC1671" s="199">
        <v>0</v>
      </c>
      <c r="AD1671" s="150">
        <f t="shared" si="1451"/>
        <v>0</v>
      </c>
      <c r="AE1671" s="150">
        <v>0</v>
      </c>
      <c r="AF1671" s="169" t="s">
        <v>4680</v>
      </c>
      <c r="AG1671" s="201">
        <v>0</v>
      </c>
      <c r="AH1671" s="199">
        <v>0</v>
      </c>
      <c r="AI1671" s="150">
        <v>0</v>
      </c>
      <c r="AJ1671" s="169">
        <f t="shared" si="1458"/>
        <v>0</v>
      </c>
      <c r="AK1671" s="201">
        <v>0</v>
      </c>
      <c r="AL1671" s="199">
        <v>0</v>
      </c>
      <c r="AM1671" s="150">
        <f t="shared" si="1452"/>
        <v>0</v>
      </c>
      <c r="AN1671" s="153">
        <f t="shared" si="1459"/>
        <v>0</v>
      </c>
      <c r="AO1671" s="154">
        <f t="shared" si="1460"/>
        <v>0</v>
      </c>
      <c r="AP1671" s="150">
        <v>0</v>
      </c>
      <c r="AQ1671" s="201">
        <v>0</v>
      </c>
      <c r="AR1671" s="199">
        <v>0</v>
      </c>
      <c r="AS1671" s="150">
        <f t="shared" si="1453"/>
        <v>0</v>
      </c>
      <c r="AT1671" s="155"/>
      <c r="AU1671" s="156">
        <f t="shared" si="1455"/>
        <v>0</v>
      </c>
      <c r="AV1671" s="156">
        <f t="shared" si="1456"/>
        <v>0</v>
      </c>
      <c r="AW1671" s="157"/>
      <c r="AX1671" s="150">
        <v>0</v>
      </c>
      <c r="AY1671" s="150">
        <v>0</v>
      </c>
      <c r="AZ1671" s="150">
        <f t="shared" si="1454"/>
        <v>0</v>
      </c>
      <c r="BA1671" s="150">
        <v>0</v>
      </c>
      <c r="BB1671" s="210"/>
      <c r="BC1671" s="210"/>
      <c r="BD1671" s="210"/>
      <c r="BE1671" s="210"/>
      <c r="BF1671" s="210"/>
      <c r="BG1671" s="210"/>
      <c r="BH1671" s="217"/>
      <c r="BI1671" s="210"/>
      <c r="BJ1671" s="210"/>
      <c r="BK1671" s="210"/>
      <c r="BL1671" s="210"/>
      <c r="BM1671" s="208"/>
      <c r="BN1671" s="160"/>
      <c r="BO1671" s="161">
        <f t="shared" ref="BO1671:BO1734" si="1462">BM1671-AS1671</f>
        <v>0</v>
      </c>
      <c r="BP1671" s="161"/>
    </row>
    <row r="1672" spans="1:68" ht="38.25">
      <c r="A1672" s="210"/>
      <c r="B1672" s="195" t="s">
        <v>9050</v>
      </c>
      <c r="C1672" s="196" t="s">
        <v>9051</v>
      </c>
      <c r="D1672" s="146" t="s">
        <v>4692</v>
      </c>
      <c r="E1672" s="196" t="s">
        <v>9051</v>
      </c>
      <c r="F1672" s="150">
        <v>0</v>
      </c>
      <c r="G1672" s="209">
        <v>0</v>
      </c>
      <c r="H1672" s="209"/>
      <c r="I1672" s="209">
        <v>0</v>
      </c>
      <c r="J1672" s="150">
        <v>0</v>
      </c>
      <c r="K1672" s="150">
        <v>0</v>
      </c>
      <c r="L1672" s="150">
        <f t="shared" si="1408"/>
        <v>0</v>
      </c>
      <c r="M1672" s="150">
        <v>0</v>
      </c>
      <c r="N1672" s="150">
        <v>0</v>
      </c>
      <c r="O1672" s="150">
        <v>0</v>
      </c>
      <c r="P1672" s="150">
        <v>0</v>
      </c>
      <c r="Q1672" s="150">
        <v>0</v>
      </c>
      <c r="R1672" s="313">
        <f t="shared" si="1449"/>
        <v>0</v>
      </c>
      <c r="S1672" s="150">
        <f t="shared" si="1461"/>
        <v>0</v>
      </c>
      <c r="T1672" s="150">
        <v>0</v>
      </c>
      <c r="U1672" s="150">
        <v>0</v>
      </c>
      <c r="V1672" s="199">
        <v>0</v>
      </c>
      <c r="W1672" s="150">
        <f t="shared" si="1450"/>
        <v>0</v>
      </c>
      <c r="X1672" s="150">
        <v>0</v>
      </c>
      <c r="Y1672" s="150">
        <v>0</v>
      </c>
      <c r="Z1672" s="150">
        <v>0</v>
      </c>
      <c r="AA1672" s="150">
        <f t="shared" si="1457"/>
        <v>0</v>
      </c>
      <c r="AB1672" s="150">
        <v>0</v>
      </c>
      <c r="AC1672" s="199">
        <v>0</v>
      </c>
      <c r="AD1672" s="150">
        <f t="shared" si="1451"/>
        <v>0</v>
      </c>
      <c r="AE1672" s="150">
        <v>0</v>
      </c>
      <c r="AF1672" s="169" t="s">
        <v>4680</v>
      </c>
      <c r="AG1672" s="201">
        <v>0</v>
      </c>
      <c r="AH1672" s="199">
        <v>0</v>
      </c>
      <c r="AI1672" s="150">
        <v>0</v>
      </c>
      <c r="AJ1672" s="169">
        <f t="shared" si="1458"/>
        <v>0</v>
      </c>
      <c r="AK1672" s="201">
        <v>0</v>
      </c>
      <c r="AL1672" s="199">
        <v>0</v>
      </c>
      <c r="AM1672" s="150">
        <f t="shared" si="1452"/>
        <v>0</v>
      </c>
      <c r="AN1672" s="153">
        <f t="shared" si="1459"/>
        <v>0</v>
      </c>
      <c r="AO1672" s="154">
        <f t="shared" si="1460"/>
        <v>0</v>
      </c>
      <c r="AP1672" s="150">
        <v>0</v>
      </c>
      <c r="AQ1672" s="201">
        <v>0</v>
      </c>
      <c r="AR1672" s="199">
        <v>0</v>
      </c>
      <c r="AS1672" s="150">
        <f t="shared" si="1453"/>
        <v>0</v>
      </c>
      <c r="AT1672" s="155"/>
      <c r="AU1672" s="156">
        <f t="shared" si="1455"/>
        <v>0</v>
      </c>
      <c r="AV1672" s="156">
        <f t="shared" si="1456"/>
        <v>0</v>
      </c>
      <c r="AW1672" s="157"/>
      <c r="AX1672" s="150">
        <v>0</v>
      </c>
      <c r="AY1672" s="150">
        <v>0</v>
      </c>
      <c r="AZ1672" s="150">
        <f t="shared" si="1454"/>
        <v>0</v>
      </c>
      <c r="BA1672" s="150">
        <v>0</v>
      </c>
      <c r="BB1672" s="210"/>
      <c r="BC1672" s="210"/>
      <c r="BD1672" s="210"/>
      <c r="BE1672" s="210"/>
      <c r="BF1672" s="210"/>
      <c r="BG1672" s="210"/>
      <c r="BH1672" s="217"/>
      <c r="BI1672" s="210"/>
      <c r="BJ1672" s="210"/>
      <c r="BK1672" s="210"/>
      <c r="BL1672" s="210"/>
      <c r="BM1672" s="208"/>
      <c r="BN1672" s="160"/>
      <c r="BO1672" s="161">
        <f t="shared" si="1462"/>
        <v>0</v>
      </c>
      <c r="BP1672" s="161"/>
    </row>
    <row r="1673" spans="1:68" ht="38.25">
      <c r="A1673" s="210"/>
      <c r="B1673" s="195" t="s">
        <v>9052</v>
      </c>
      <c r="C1673" s="196" t="s">
        <v>9053</v>
      </c>
      <c r="D1673" s="146" t="s">
        <v>4692</v>
      </c>
      <c r="E1673" s="196" t="s">
        <v>9053</v>
      </c>
      <c r="F1673" s="150">
        <v>0</v>
      </c>
      <c r="G1673" s="209">
        <v>0</v>
      </c>
      <c r="H1673" s="209"/>
      <c r="I1673" s="209">
        <v>0</v>
      </c>
      <c r="J1673" s="150">
        <v>0</v>
      </c>
      <c r="K1673" s="150">
        <v>0</v>
      </c>
      <c r="L1673" s="150">
        <f t="shared" si="1408"/>
        <v>0</v>
      </c>
      <c r="M1673" s="150">
        <v>0</v>
      </c>
      <c r="N1673" s="150">
        <v>0</v>
      </c>
      <c r="O1673" s="150">
        <v>0</v>
      </c>
      <c r="P1673" s="150">
        <v>0</v>
      </c>
      <c r="Q1673" s="150">
        <v>0</v>
      </c>
      <c r="R1673" s="313">
        <f t="shared" si="1449"/>
        <v>0</v>
      </c>
      <c r="S1673" s="150">
        <f t="shared" si="1461"/>
        <v>0</v>
      </c>
      <c r="T1673" s="150">
        <v>0</v>
      </c>
      <c r="U1673" s="150">
        <v>0</v>
      </c>
      <c r="V1673" s="199">
        <v>0</v>
      </c>
      <c r="W1673" s="150">
        <f t="shared" si="1450"/>
        <v>0</v>
      </c>
      <c r="X1673" s="150">
        <v>0</v>
      </c>
      <c r="Y1673" s="150">
        <v>0</v>
      </c>
      <c r="Z1673" s="150">
        <v>0</v>
      </c>
      <c r="AA1673" s="150">
        <f t="shared" si="1457"/>
        <v>0</v>
      </c>
      <c r="AB1673" s="150">
        <v>0</v>
      </c>
      <c r="AC1673" s="199">
        <v>0</v>
      </c>
      <c r="AD1673" s="150">
        <f t="shared" si="1451"/>
        <v>0</v>
      </c>
      <c r="AE1673" s="150">
        <v>0</v>
      </c>
      <c r="AF1673" s="169" t="s">
        <v>4680</v>
      </c>
      <c r="AG1673" s="201">
        <v>0</v>
      </c>
      <c r="AH1673" s="199">
        <v>0</v>
      </c>
      <c r="AI1673" s="150">
        <v>0</v>
      </c>
      <c r="AJ1673" s="169">
        <f t="shared" si="1458"/>
        <v>0</v>
      </c>
      <c r="AK1673" s="201">
        <v>0</v>
      </c>
      <c r="AL1673" s="199">
        <v>0</v>
      </c>
      <c r="AM1673" s="150">
        <f t="shared" si="1452"/>
        <v>0</v>
      </c>
      <c r="AN1673" s="153">
        <f t="shared" si="1459"/>
        <v>0</v>
      </c>
      <c r="AO1673" s="154">
        <f t="shared" si="1460"/>
        <v>0</v>
      </c>
      <c r="AP1673" s="150">
        <v>0</v>
      </c>
      <c r="AQ1673" s="201">
        <v>0</v>
      </c>
      <c r="AR1673" s="199">
        <v>0</v>
      </c>
      <c r="AS1673" s="150">
        <f t="shared" si="1453"/>
        <v>0</v>
      </c>
      <c r="AT1673" s="155"/>
      <c r="AU1673" s="156">
        <f t="shared" si="1455"/>
        <v>0</v>
      </c>
      <c r="AV1673" s="156">
        <f t="shared" si="1456"/>
        <v>0</v>
      </c>
      <c r="AW1673" s="157"/>
      <c r="AX1673" s="150">
        <v>0</v>
      </c>
      <c r="AY1673" s="150">
        <v>0</v>
      </c>
      <c r="AZ1673" s="150">
        <f t="shared" si="1454"/>
        <v>0</v>
      </c>
      <c r="BA1673" s="150">
        <v>0</v>
      </c>
      <c r="BB1673" s="210"/>
      <c r="BC1673" s="210"/>
      <c r="BD1673" s="210"/>
      <c r="BE1673" s="210"/>
      <c r="BF1673" s="210"/>
      <c r="BG1673" s="210"/>
      <c r="BH1673" s="217"/>
      <c r="BI1673" s="210"/>
      <c r="BJ1673" s="210"/>
      <c r="BK1673" s="210"/>
      <c r="BL1673" s="210"/>
      <c r="BM1673" s="208"/>
      <c r="BN1673" s="160"/>
      <c r="BO1673" s="161">
        <f t="shared" si="1462"/>
        <v>0</v>
      </c>
      <c r="BP1673" s="161"/>
    </row>
    <row r="1674" spans="1:68" ht="38.25">
      <c r="A1674" s="210"/>
      <c r="B1674" s="195" t="s">
        <v>9054</v>
      </c>
      <c r="C1674" s="196" t="s">
        <v>9055</v>
      </c>
      <c r="D1674" s="146" t="s">
        <v>4692</v>
      </c>
      <c r="E1674" s="196" t="s">
        <v>9055</v>
      </c>
      <c r="F1674" s="150">
        <v>0</v>
      </c>
      <c r="G1674" s="209">
        <v>0</v>
      </c>
      <c r="H1674" s="209"/>
      <c r="I1674" s="209">
        <v>0</v>
      </c>
      <c r="J1674" s="150">
        <v>0</v>
      </c>
      <c r="K1674" s="150">
        <v>0</v>
      </c>
      <c r="L1674" s="150">
        <f t="shared" ref="L1674:L1737" si="1463">J1674+K1674</f>
        <v>0</v>
      </c>
      <c r="M1674" s="150">
        <v>0</v>
      </c>
      <c r="N1674" s="150">
        <v>0</v>
      </c>
      <c r="O1674" s="150">
        <v>0</v>
      </c>
      <c r="P1674" s="150">
        <v>0</v>
      </c>
      <c r="Q1674" s="150">
        <v>0</v>
      </c>
      <c r="R1674" s="313">
        <f t="shared" si="1449"/>
        <v>0</v>
      </c>
      <c r="S1674" s="150">
        <f t="shared" si="1461"/>
        <v>0</v>
      </c>
      <c r="T1674" s="150">
        <v>0</v>
      </c>
      <c r="U1674" s="150">
        <v>0</v>
      </c>
      <c r="V1674" s="199">
        <v>0</v>
      </c>
      <c r="W1674" s="150">
        <f t="shared" si="1450"/>
        <v>0</v>
      </c>
      <c r="X1674" s="150">
        <v>0</v>
      </c>
      <c r="Y1674" s="150">
        <v>0</v>
      </c>
      <c r="Z1674" s="150">
        <v>0</v>
      </c>
      <c r="AA1674" s="150">
        <f t="shared" si="1457"/>
        <v>0</v>
      </c>
      <c r="AB1674" s="150">
        <v>0</v>
      </c>
      <c r="AC1674" s="199">
        <v>0</v>
      </c>
      <c r="AD1674" s="150">
        <f t="shared" si="1451"/>
        <v>0</v>
      </c>
      <c r="AE1674" s="150">
        <v>0</v>
      </c>
      <c r="AF1674" s="169" t="s">
        <v>4680</v>
      </c>
      <c r="AG1674" s="201">
        <v>0</v>
      </c>
      <c r="AH1674" s="199">
        <v>0</v>
      </c>
      <c r="AI1674" s="150">
        <v>0</v>
      </c>
      <c r="AJ1674" s="169">
        <f t="shared" si="1458"/>
        <v>0</v>
      </c>
      <c r="AK1674" s="201">
        <v>0</v>
      </c>
      <c r="AL1674" s="199">
        <v>0</v>
      </c>
      <c r="AM1674" s="150">
        <f t="shared" si="1452"/>
        <v>0</v>
      </c>
      <c r="AN1674" s="153">
        <f t="shared" si="1459"/>
        <v>0</v>
      </c>
      <c r="AO1674" s="154">
        <f t="shared" si="1460"/>
        <v>0</v>
      </c>
      <c r="AP1674" s="150">
        <v>0</v>
      </c>
      <c r="AQ1674" s="201">
        <v>0</v>
      </c>
      <c r="AR1674" s="199">
        <v>0</v>
      </c>
      <c r="AS1674" s="150">
        <f t="shared" si="1453"/>
        <v>0</v>
      </c>
      <c r="AT1674" s="155"/>
      <c r="AU1674" s="156">
        <f t="shared" si="1455"/>
        <v>0</v>
      </c>
      <c r="AV1674" s="156">
        <f t="shared" si="1456"/>
        <v>0</v>
      </c>
      <c r="AW1674" s="157"/>
      <c r="AX1674" s="150">
        <v>0</v>
      </c>
      <c r="AY1674" s="150">
        <v>0</v>
      </c>
      <c r="AZ1674" s="150">
        <f t="shared" si="1454"/>
        <v>0</v>
      </c>
      <c r="BA1674" s="150">
        <v>0</v>
      </c>
      <c r="BB1674" s="210"/>
      <c r="BC1674" s="210"/>
      <c r="BD1674" s="210"/>
      <c r="BE1674" s="210"/>
      <c r="BF1674" s="210"/>
      <c r="BG1674" s="210"/>
      <c r="BH1674" s="217"/>
      <c r="BI1674" s="210"/>
      <c r="BJ1674" s="210"/>
      <c r="BK1674" s="210"/>
      <c r="BL1674" s="210"/>
      <c r="BM1674" s="208"/>
      <c r="BN1674" s="160"/>
      <c r="BO1674" s="161">
        <f t="shared" si="1462"/>
        <v>0</v>
      </c>
      <c r="BP1674" s="161"/>
    </row>
    <row r="1675" spans="1:68" ht="38.25">
      <c r="A1675" s="206" t="s">
        <v>591</v>
      </c>
      <c r="B1675" s="195" t="s">
        <v>9056</v>
      </c>
      <c r="C1675" s="196" t="s">
        <v>9057</v>
      </c>
      <c r="D1675" s="146" t="s">
        <v>4692</v>
      </c>
      <c r="E1675" s="196" t="s">
        <v>9057</v>
      </c>
      <c r="F1675" s="150">
        <v>0</v>
      </c>
      <c r="G1675" s="209">
        <v>0</v>
      </c>
      <c r="H1675" s="209"/>
      <c r="I1675" s="209">
        <v>0</v>
      </c>
      <c r="J1675" s="150">
        <v>0</v>
      </c>
      <c r="K1675" s="150">
        <v>0</v>
      </c>
      <c r="L1675" s="150">
        <f t="shared" si="1463"/>
        <v>0</v>
      </c>
      <c r="M1675" s="150">
        <v>0</v>
      </c>
      <c r="N1675" s="150">
        <v>0</v>
      </c>
      <c r="O1675" s="150">
        <v>0</v>
      </c>
      <c r="P1675" s="150">
        <v>0</v>
      </c>
      <c r="Q1675" s="150">
        <v>0</v>
      </c>
      <c r="R1675" s="313">
        <f t="shared" si="1449"/>
        <v>0</v>
      </c>
      <c r="S1675" s="150">
        <f t="shared" si="1461"/>
        <v>0</v>
      </c>
      <c r="T1675" s="150">
        <v>0</v>
      </c>
      <c r="U1675" s="150">
        <v>0</v>
      </c>
      <c r="V1675" s="199">
        <v>0</v>
      </c>
      <c r="W1675" s="150">
        <f t="shared" si="1450"/>
        <v>0</v>
      </c>
      <c r="X1675" s="150">
        <v>0</v>
      </c>
      <c r="Y1675" s="150">
        <v>0</v>
      </c>
      <c r="Z1675" s="150">
        <v>0</v>
      </c>
      <c r="AA1675" s="150">
        <f t="shared" si="1457"/>
        <v>0</v>
      </c>
      <c r="AB1675" s="150">
        <v>0</v>
      </c>
      <c r="AC1675" s="199">
        <v>0</v>
      </c>
      <c r="AD1675" s="150">
        <f t="shared" si="1451"/>
        <v>0</v>
      </c>
      <c r="AE1675" s="150">
        <v>0</v>
      </c>
      <c r="AF1675" s="169" t="s">
        <v>4680</v>
      </c>
      <c r="AG1675" s="201">
        <v>0</v>
      </c>
      <c r="AH1675" s="199">
        <v>0</v>
      </c>
      <c r="AI1675" s="150">
        <v>0</v>
      </c>
      <c r="AJ1675" s="169">
        <f t="shared" si="1458"/>
        <v>0</v>
      </c>
      <c r="AK1675" s="201">
        <v>0</v>
      </c>
      <c r="AL1675" s="199">
        <v>0</v>
      </c>
      <c r="AM1675" s="150">
        <f t="shared" si="1452"/>
        <v>0</v>
      </c>
      <c r="AN1675" s="153">
        <f t="shared" si="1459"/>
        <v>0</v>
      </c>
      <c r="AO1675" s="154">
        <f t="shared" si="1460"/>
        <v>0</v>
      </c>
      <c r="AP1675" s="150">
        <v>0</v>
      </c>
      <c r="AQ1675" s="201">
        <v>0</v>
      </c>
      <c r="AR1675" s="199">
        <v>0</v>
      </c>
      <c r="AS1675" s="150">
        <f t="shared" si="1453"/>
        <v>0</v>
      </c>
      <c r="AT1675" s="155"/>
      <c r="AU1675" s="156">
        <f t="shared" si="1455"/>
        <v>0</v>
      </c>
      <c r="AV1675" s="156">
        <f t="shared" si="1456"/>
        <v>0</v>
      </c>
      <c r="AW1675" s="157"/>
      <c r="AX1675" s="150">
        <v>0</v>
      </c>
      <c r="AY1675" s="150">
        <v>0</v>
      </c>
      <c r="AZ1675" s="150">
        <f t="shared" si="1454"/>
        <v>0</v>
      </c>
      <c r="BA1675" s="150">
        <v>0</v>
      </c>
      <c r="BB1675" s="202">
        <v>5</v>
      </c>
      <c r="BC1675" s="202" t="s">
        <v>755</v>
      </c>
      <c r="BD1675" s="202" t="s">
        <v>632</v>
      </c>
      <c r="BE1675" s="202" t="s">
        <v>632</v>
      </c>
      <c r="BF1675" s="202" t="s">
        <v>739</v>
      </c>
      <c r="BG1675" s="231" t="s">
        <v>9058</v>
      </c>
      <c r="BH1675" s="216">
        <f>AS1675</f>
        <v>0</v>
      </c>
      <c r="BI1675" s="205"/>
      <c r="BJ1675" s="206" t="s">
        <v>9025</v>
      </c>
      <c r="BK1675" s="206" t="s">
        <v>591</v>
      </c>
      <c r="BL1675" s="207" t="s">
        <v>9026</v>
      </c>
      <c r="BM1675" s="208">
        <f>BH1675</f>
        <v>0</v>
      </c>
      <c r="BN1675" s="160"/>
      <c r="BO1675" s="161">
        <f t="shared" si="1462"/>
        <v>0</v>
      </c>
      <c r="BP1675" s="161"/>
    </row>
    <row r="1676" spans="1:68" ht="51">
      <c r="A1676" s="206" t="s">
        <v>591</v>
      </c>
      <c r="B1676" s="195" t="s">
        <v>9059</v>
      </c>
      <c r="C1676" s="196" t="s">
        <v>9060</v>
      </c>
      <c r="D1676" s="146" t="s">
        <v>4692</v>
      </c>
      <c r="E1676" s="196" t="s">
        <v>9060</v>
      </c>
      <c r="F1676" s="150">
        <v>0</v>
      </c>
      <c r="G1676" s="209">
        <v>0</v>
      </c>
      <c r="H1676" s="209"/>
      <c r="I1676" s="209">
        <v>0</v>
      </c>
      <c r="J1676" s="150">
        <v>0</v>
      </c>
      <c r="K1676" s="150">
        <v>0</v>
      </c>
      <c r="L1676" s="150">
        <f t="shared" si="1463"/>
        <v>0</v>
      </c>
      <c r="M1676" s="150">
        <v>0</v>
      </c>
      <c r="N1676" s="150">
        <v>0</v>
      </c>
      <c r="O1676" s="150">
        <v>0</v>
      </c>
      <c r="P1676" s="150">
        <v>0</v>
      </c>
      <c r="Q1676" s="150">
        <v>0</v>
      </c>
      <c r="R1676" s="313">
        <f t="shared" si="1449"/>
        <v>0</v>
      </c>
      <c r="S1676" s="150">
        <f t="shared" si="1461"/>
        <v>0</v>
      </c>
      <c r="T1676" s="150">
        <v>0</v>
      </c>
      <c r="U1676" s="150">
        <v>0</v>
      </c>
      <c r="V1676" s="199">
        <v>0</v>
      </c>
      <c r="W1676" s="150">
        <f t="shared" si="1450"/>
        <v>0</v>
      </c>
      <c r="X1676" s="150">
        <v>0</v>
      </c>
      <c r="Y1676" s="150">
        <v>0</v>
      </c>
      <c r="Z1676" s="150">
        <v>0</v>
      </c>
      <c r="AA1676" s="150">
        <f t="shared" si="1457"/>
        <v>0</v>
      </c>
      <c r="AB1676" s="150">
        <v>0</v>
      </c>
      <c r="AC1676" s="199">
        <v>0</v>
      </c>
      <c r="AD1676" s="150">
        <f t="shared" si="1451"/>
        <v>0</v>
      </c>
      <c r="AE1676" s="150">
        <v>0</v>
      </c>
      <c r="AF1676" s="169" t="s">
        <v>4680</v>
      </c>
      <c r="AG1676" s="201">
        <v>0</v>
      </c>
      <c r="AH1676" s="199">
        <v>0</v>
      </c>
      <c r="AI1676" s="150">
        <v>0</v>
      </c>
      <c r="AJ1676" s="169">
        <f t="shared" si="1458"/>
        <v>0</v>
      </c>
      <c r="AK1676" s="201">
        <v>0</v>
      </c>
      <c r="AL1676" s="199">
        <v>0</v>
      </c>
      <c r="AM1676" s="150">
        <f t="shared" si="1452"/>
        <v>0</v>
      </c>
      <c r="AN1676" s="153">
        <f t="shared" si="1459"/>
        <v>0</v>
      </c>
      <c r="AO1676" s="154">
        <f t="shared" si="1460"/>
        <v>0</v>
      </c>
      <c r="AP1676" s="150">
        <v>0</v>
      </c>
      <c r="AQ1676" s="201">
        <v>0</v>
      </c>
      <c r="AR1676" s="199">
        <v>0</v>
      </c>
      <c r="AS1676" s="150">
        <f t="shared" si="1453"/>
        <v>0</v>
      </c>
      <c r="AT1676" s="155"/>
      <c r="AU1676" s="156">
        <f t="shared" si="1455"/>
        <v>0</v>
      </c>
      <c r="AV1676" s="156">
        <f t="shared" si="1456"/>
        <v>0</v>
      </c>
      <c r="AW1676" s="157"/>
      <c r="AX1676" s="150">
        <v>0</v>
      </c>
      <c r="AY1676" s="150">
        <v>0</v>
      </c>
      <c r="AZ1676" s="150">
        <f t="shared" si="1454"/>
        <v>0</v>
      </c>
      <c r="BA1676" s="150">
        <v>0</v>
      </c>
      <c r="BB1676" s="202">
        <v>5</v>
      </c>
      <c r="BC1676" s="202" t="s">
        <v>755</v>
      </c>
      <c r="BD1676" s="202" t="s">
        <v>632</v>
      </c>
      <c r="BE1676" s="202" t="s">
        <v>632</v>
      </c>
      <c r="BF1676" s="202" t="s">
        <v>755</v>
      </c>
      <c r="BG1676" s="231" t="s">
        <v>9061</v>
      </c>
      <c r="BH1676" s="216">
        <f>SUM(AS1676:AS1687)</f>
        <v>0</v>
      </c>
      <c r="BI1676" s="205"/>
      <c r="BJ1676" s="206" t="s">
        <v>9025</v>
      </c>
      <c r="BK1676" s="206" t="s">
        <v>591</v>
      </c>
      <c r="BL1676" s="207" t="s">
        <v>9026</v>
      </c>
      <c r="BM1676" s="208">
        <f>BH1676</f>
        <v>0</v>
      </c>
      <c r="BN1676" s="160"/>
      <c r="BO1676" s="161">
        <f t="shared" si="1462"/>
        <v>0</v>
      </c>
      <c r="BP1676" s="161"/>
    </row>
    <row r="1677" spans="1:68" ht="38.25">
      <c r="A1677" s="210"/>
      <c r="B1677" s="195" t="s">
        <v>9062</v>
      </c>
      <c r="C1677" s="196" t="s">
        <v>9063</v>
      </c>
      <c r="D1677" s="146" t="s">
        <v>4692</v>
      </c>
      <c r="E1677" s="196" t="s">
        <v>9063</v>
      </c>
      <c r="F1677" s="150">
        <v>0</v>
      </c>
      <c r="G1677" s="209">
        <v>0</v>
      </c>
      <c r="H1677" s="209"/>
      <c r="I1677" s="209">
        <v>0</v>
      </c>
      <c r="J1677" s="150">
        <v>0</v>
      </c>
      <c r="K1677" s="150">
        <v>0</v>
      </c>
      <c r="L1677" s="150">
        <f t="shared" si="1463"/>
        <v>0</v>
      </c>
      <c r="M1677" s="150">
        <v>0</v>
      </c>
      <c r="N1677" s="150">
        <v>0</v>
      </c>
      <c r="O1677" s="150">
        <v>0</v>
      </c>
      <c r="P1677" s="150">
        <v>0</v>
      </c>
      <c r="Q1677" s="150">
        <v>0</v>
      </c>
      <c r="R1677" s="313">
        <f t="shared" si="1449"/>
        <v>0</v>
      </c>
      <c r="S1677" s="150">
        <f t="shared" si="1461"/>
        <v>0</v>
      </c>
      <c r="T1677" s="150">
        <v>0</v>
      </c>
      <c r="U1677" s="150">
        <v>0</v>
      </c>
      <c r="V1677" s="199">
        <v>0</v>
      </c>
      <c r="W1677" s="150">
        <f t="shared" si="1450"/>
        <v>0</v>
      </c>
      <c r="X1677" s="150">
        <v>0</v>
      </c>
      <c r="Y1677" s="150">
        <v>0</v>
      </c>
      <c r="Z1677" s="150">
        <v>0</v>
      </c>
      <c r="AA1677" s="150">
        <f t="shared" si="1457"/>
        <v>0</v>
      </c>
      <c r="AB1677" s="150">
        <v>0</v>
      </c>
      <c r="AC1677" s="199">
        <v>0</v>
      </c>
      <c r="AD1677" s="150">
        <f t="shared" si="1451"/>
        <v>0</v>
      </c>
      <c r="AE1677" s="150">
        <v>0</v>
      </c>
      <c r="AF1677" s="169" t="s">
        <v>4680</v>
      </c>
      <c r="AG1677" s="201">
        <v>0</v>
      </c>
      <c r="AH1677" s="199">
        <v>0</v>
      </c>
      <c r="AI1677" s="150">
        <v>0</v>
      </c>
      <c r="AJ1677" s="169">
        <f t="shared" si="1458"/>
        <v>0</v>
      </c>
      <c r="AK1677" s="201">
        <v>0</v>
      </c>
      <c r="AL1677" s="199">
        <v>0</v>
      </c>
      <c r="AM1677" s="150">
        <f t="shared" si="1452"/>
        <v>0</v>
      </c>
      <c r="AN1677" s="153">
        <f t="shared" si="1459"/>
        <v>0</v>
      </c>
      <c r="AO1677" s="154">
        <f t="shared" si="1460"/>
        <v>0</v>
      </c>
      <c r="AP1677" s="150">
        <v>0</v>
      </c>
      <c r="AQ1677" s="201">
        <v>0</v>
      </c>
      <c r="AR1677" s="199">
        <v>0</v>
      </c>
      <c r="AS1677" s="150">
        <f t="shared" si="1453"/>
        <v>0</v>
      </c>
      <c r="AT1677" s="155"/>
      <c r="AU1677" s="156">
        <f t="shared" si="1455"/>
        <v>0</v>
      </c>
      <c r="AV1677" s="156">
        <f t="shared" si="1456"/>
        <v>0</v>
      </c>
      <c r="AW1677" s="157"/>
      <c r="AX1677" s="150">
        <v>0</v>
      </c>
      <c r="AY1677" s="150">
        <v>0</v>
      </c>
      <c r="AZ1677" s="150">
        <f t="shared" si="1454"/>
        <v>0</v>
      </c>
      <c r="BA1677" s="150">
        <v>0</v>
      </c>
      <c r="BB1677" s="210"/>
      <c r="BC1677" s="210"/>
      <c r="BD1677" s="210"/>
      <c r="BE1677" s="210"/>
      <c r="BF1677" s="210"/>
      <c r="BG1677" s="210"/>
      <c r="BH1677" s="217"/>
      <c r="BI1677" s="210"/>
      <c r="BJ1677" s="210"/>
      <c r="BK1677" s="210"/>
      <c r="BL1677" s="210"/>
      <c r="BM1677" s="208"/>
      <c r="BN1677" s="160"/>
      <c r="BO1677" s="161">
        <f t="shared" si="1462"/>
        <v>0</v>
      </c>
      <c r="BP1677" s="161"/>
    </row>
    <row r="1678" spans="1:68" ht="51">
      <c r="A1678" s="210"/>
      <c r="B1678" s="195" t="s">
        <v>9064</v>
      </c>
      <c r="C1678" s="196" t="s">
        <v>9065</v>
      </c>
      <c r="D1678" s="146" t="s">
        <v>4692</v>
      </c>
      <c r="E1678" s="196" t="s">
        <v>9065</v>
      </c>
      <c r="F1678" s="150">
        <v>0</v>
      </c>
      <c r="G1678" s="209">
        <v>0</v>
      </c>
      <c r="H1678" s="209"/>
      <c r="I1678" s="209">
        <v>0</v>
      </c>
      <c r="J1678" s="150">
        <v>0</v>
      </c>
      <c r="K1678" s="150">
        <v>0</v>
      </c>
      <c r="L1678" s="150">
        <f t="shared" si="1463"/>
        <v>0</v>
      </c>
      <c r="M1678" s="150">
        <v>0</v>
      </c>
      <c r="N1678" s="150">
        <v>0</v>
      </c>
      <c r="O1678" s="150">
        <v>0</v>
      </c>
      <c r="P1678" s="150">
        <v>0</v>
      </c>
      <c r="Q1678" s="150">
        <v>0</v>
      </c>
      <c r="R1678" s="313">
        <f t="shared" si="1449"/>
        <v>0</v>
      </c>
      <c r="S1678" s="150">
        <f t="shared" si="1461"/>
        <v>0</v>
      </c>
      <c r="T1678" s="150">
        <v>0</v>
      </c>
      <c r="U1678" s="150">
        <v>0</v>
      </c>
      <c r="V1678" s="199">
        <v>0</v>
      </c>
      <c r="W1678" s="150">
        <f t="shared" si="1450"/>
        <v>0</v>
      </c>
      <c r="X1678" s="150">
        <v>0</v>
      </c>
      <c r="Y1678" s="150">
        <v>0</v>
      </c>
      <c r="Z1678" s="150">
        <v>0</v>
      </c>
      <c r="AA1678" s="150">
        <f t="shared" si="1457"/>
        <v>0</v>
      </c>
      <c r="AB1678" s="150">
        <v>0</v>
      </c>
      <c r="AC1678" s="199">
        <v>0</v>
      </c>
      <c r="AD1678" s="150">
        <f t="shared" si="1451"/>
        <v>0</v>
      </c>
      <c r="AE1678" s="150">
        <v>0</v>
      </c>
      <c r="AF1678" s="169" t="s">
        <v>4680</v>
      </c>
      <c r="AG1678" s="201">
        <v>0</v>
      </c>
      <c r="AH1678" s="199">
        <v>0</v>
      </c>
      <c r="AI1678" s="150">
        <v>0</v>
      </c>
      <c r="AJ1678" s="169">
        <f t="shared" si="1458"/>
        <v>0</v>
      </c>
      <c r="AK1678" s="201">
        <v>0</v>
      </c>
      <c r="AL1678" s="199">
        <v>0</v>
      </c>
      <c r="AM1678" s="150">
        <f t="shared" si="1452"/>
        <v>0</v>
      </c>
      <c r="AN1678" s="153">
        <f t="shared" si="1459"/>
        <v>0</v>
      </c>
      <c r="AO1678" s="154">
        <f t="shared" si="1460"/>
        <v>0</v>
      </c>
      <c r="AP1678" s="150">
        <v>0</v>
      </c>
      <c r="AQ1678" s="201">
        <v>0</v>
      </c>
      <c r="AR1678" s="199">
        <v>0</v>
      </c>
      <c r="AS1678" s="150">
        <f t="shared" si="1453"/>
        <v>0</v>
      </c>
      <c r="AT1678" s="155"/>
      <c r="AU1678" s="156">
        <f t="shared" si="1455"/>
        <v>0</v>
      </c>
      <c r="AV1678" s="156">
        <f t="shared" si="1456"/>
        <v>0</v>
      </c>
      <c r="AW1678" s="157"/>
      <c r="AX1678" s="150">
        <v>0</v>
      </c>
      <c r="AY1678" s="150">
        <v>0</v>
      </c>
      <c r="AZ1678" s="150">
        <f t="shared" si="1454"/>
        <v>0</v>
      </c>
      <c r="BA1678" s="150">
        <v>0</v>
      </c>
      <c r="BB1678" s="210"/>
      <c r="BC1678" s="210"/>
      <c r="BD1678" s="210"/>
      <c r="BE1678" s="210"/>
      <c r="BF1678" s="210"/>
      <c r="BG1678" s="210"/>
      <c r="BH1678" s="217"/>
      <c r="BI1678" s="210"/>
      <c r="BJ1678" s="210"/>
      <c r="BK1678" s="210"/>
      <c r="BL1678" s="210"/>
      <c r="BM1678" s="208"/>
      <c r="BN1678" s="160"/>
      <c r="BO1678" s="161">
        <f t="shared" si="1462"/>
        <v>0</v>
      </c>
      <c r="BP1678" s="161"/>
    </row>
    <row r="1679" spans="1:68" ht="38.25">
      <c r="A1679" s="210"/>
      <c r="B1679" s="195" t="s">
        <v>9066</v>
      </c>
      <c r="C1679" s="196" t="s">
        <v>9067</v>
      </c>
      <c r="D1679" s="146" t="s">
        <v>4692</v>
      </c>
      <c r="E1679" s="196" t="s">
        <v>9067</v>
      </c>
      <c r="F1679" s="150">
        <v>0</v>
      </c>
      <c r="G1679" s="209">
        <v>0</v>
      </c>
      <c r="H1679" s="209"/>
      <c r="I1679" s="209">
        <v>0</v>
      </c>
      <c r="J1679" s="150">
        <v>0</v>
      </c>
      <c r="K1679" s="150">
        <v>0</v>
      </c>
      <c r="L1679" s="150">
        <f t="shared" si="1463"/>
        <v>0</v>
      </c>
      <c r="M1679" s="150">
        <v>0</v>
      </c>
      <c r="N1679" s="150">
        <v>0</v>
      </c>
      <c r="O1679" s="150">
        <v>0</v>
      </c>
      <c r="P1679" s="150">
        <v>0</v>
      </c>
      <c r="Q1679" s="150">
        <v>0</v>
      </c>
      <c r="R1679" s="313">
        <f t="shared" si="1449"/>
        <v>0</v>
      </c>
      <c r="S1679" s="150">
        <f t="shared" si="1461"/>
        <v>0</v>
      </c>
      <c r="T1679" s="150">
        <v>0</v>
      </c>
      <c r="U1679" s="150">
        <v>0</v>
      </c>
      <c r="V1679" s="199">
        <v>0</v>
      </c>
      <c r="W1679" s="150">
        <f t="shared" si="1450"/>
        <v>0</v>
      </c>
      <c r="X1679" s="150">
        <v>0</v>
      </c>
      <c r="Y1679" s="150">
        <v>0</v>
      </c>
      <c r="Z1679" s="150">
        <v>0</v>
      </c>
      <c r="AA1679" s="150">
        <f t="shared" si="1457"/>
        <v>0</v>
      </c>
      <c r="AB1679" s="150">
        <v>0</v>
      </c>
      <c r="AC1679" s="199">
        <v>0</v>
      </c>
      <c r="AD1679" s="150">
        <f t="shared" si="1451"/>
        <v>0</v>
      </c>
      <c r="AE1679" s="150">
        <v>0</v>
      </c>
      <c r="AF1679" s="169" t="s">
        <v>4680</v>
      </c>
      <c r="AG1679" s="201">
        <v>0</v>
      </c>
      <c r="AH1679" s="199">
        <v>0</v>
      </c>
      <c r="AI1679" s="150">
        <v>0</v>
      </c>
      <c r="AJ1679" s="169">
        <f t="shared" si="1458"/>
        <v>0</v>
      </c>
      <c r="AK1679" s="201">
        <v>0</v>
      </c>
      <c r="AL1679" s="199">
        <v>0</v>
      </c>
      <c r="AM1679" s="150">
        <f t="shared" si="1452"/>
        <v>0</v>
      </c>
      <c r="AN1679" s="153">
        <f t="shared" si="1459"/>
        <v>0</v>
      </c>
      <c r="AO1679" s="154">
        <f t="shared" si="1460"/>
        <v>0</v>
      </c>
      <c r="AP1679" s="150">
        <v>0</v>
      </c>
      <c r="AQ1679" s="201">
        <v>0</v>
      </c>
      <c r="AR1679" s="199">
        <v>0</v>
      </c>
      <c r="AS1679" s="150">
        <f t="shared" si="1453"/>
        <v>0</v>
      </c>
      <c r="AT1679" s="155"/>
      <c r="AU1679" s="156">
        <f t="shared" si="1455"/>
        <v>0</v>
      </c>
      <c r="AV1679" s="156">
        <f t="shared" si="1456"/>
        <v>0</v>
      </c>
      <c r="AW1679" s="157"/>
      <c r="AX1679" s="150">
        <v>0</v>
      </c>
      <c r="AY1679" s="150">
        <v>0</v>
      </c>
      <c r="AZ1679" s="150">
        <f t="shared" si="1454"/>
        <v>0</v>
      </c>
      <c r="BA1679" s="150">
        <v>0</v>
      </c>
      <c r="BB1679" s="210"/>
      <c r="BC1679" s="210"/>
      <c r="BD1679" s="210"/>
      <c r="BE1679" s="210"/>
      <c r="BF1679" s="210"/>
      <c r="BG1679" s="210"/>
      <c r="BH1679" s="217"/>
      <c r="BI1679" s="210"/>
      <c r="BJ1679" s="210"/>
      <c r="BK1679" s="210"/>
      <c r="BL1679" s="210"/>
      <c r="BM1679" s="208"/>
      <c r="BN1679" s="160"/>
      <c r="BO1679" s="161">
        <f t="shared" si="1462"/>
        <v>0</v>
      </c>
      <c r="BP1679" s="161"/>
    </row>
    <row r="1680" spans="1:68" ht="51">
      <c r="A1680" s="210"/>
      <c r="B1680" s="195" t="s">
        <v>9068</v>
      </c>
      <c r="C1680" s="196" t="s">
        <v>9069</v>
      </c>
      <c r="D1680" s="146" t="s">
        <v>4692</v>
      </c>
      <c r="E1680" s="196" t="s">
        <v>9069</v>
      </c>
      <c r="F1680" s="150">
        <v>0</v>
      </c>
      <c r="G1680" s="209">
        <v>0</v>
      </c>
      <c r="H1680" s="209"/>
      <c r="I1680" s="209">
        <v>0</v>
      </c>
      <c r="J1680" s="150">
        <v>0</v>
      </c>
      <c r="K1680" s="150">
        <v>0</v>
      </c>
      <c r="L1680" s="150">
        <f t="shared" si="1463"/>
        <v>0</v>
      </c>
      <c r="M1680" s="150">
        <v>0</v>
      </c>
      <c r="N1680" s="150">
        <v>0</v>
      </c>
      <c r="O1680" s="150">
        <v>0</v>
      </c>
      <c r="P1680" s="150">
        <v>0</v>
      </c>
      <c r="Q1680" s="150">
        <v>0</v>
      </c>
      <c r="R1680" s="313">
        <f t="shared" si="1449"/>
        <v>0</v>
      </c>
      <c r="S1680" s="150">
        <f t="shared" si="1461"/>
        <v>0</v>
      </c>
      <c r="T1680" s="150">
        <v>0</v>
      </c>
      <c r="U1680" s="150">
        <v>0</v>
      </c>
      <c r="V1680" s="199">
        <v>0</v>
      </c>
      <c r="W1680" s="150">
        <f t="shared" si="1450"/>
        <v>0</v>
      </c>
      <c r="X1680" s="150">
        <v>0</v>
      </c>
      <c r="Y1680" s="150">
        <v>0</v>
      </c>
      <c r="Z1680" s="150">
        <v>0</v>
      </c>
      <c r="AA1680" s="150">
        <f t="shared" si="1457"/>
        <v>0</v>
      </c>
      <c r="AB1680" s="150">
        <v>0</v>
      </c>
      <c r="AC1680" s="199">
        <v>0</v>
      </c>
      <c r="AD1680" s="150">
        <f t="shared" si="1451"/>
        <v>0</v>
      </c>
      <c r="AE1680" s="150">
        <v>0</v>
      </c>
      <c r="AF1680" s="169" t="s">
        <v>4680</v>
      </c>
      <c r="AG1680" s="201">
        <v>0</v>
      </c>
      <c r="AH1680" s="199">
        <v>0</v>
      </c>
      <c r="AI1680" s="150">
        <v>0</v>
      </c>
      <c r="AJ1680" s="169">
        <f t="shared" si="1458"/>
        <v>0</v>
      </c>
      <c r="AK1680" s="201">
        <v>0</v>
      </c>
      <c r="AL1680" s="199">
        <v>0</v>
      </c>
      <c r="AM1680" s="150">
        <f t="shared" si="1452"/>
        <v>0</v>
      </c>
      <c r="AN1680" s="153">
        <f t="shared" si="1459"/>
        <v>0</v>
      </c>
      <c r="AO1680" s="154">
        <f t="shared" si="1460"/>
        <v>0</v>
      </c>
      <c r="AP1680" s="150">
        <v>0</v>
      </c>
      <c r="AQ1680" s="201">
        <v>0</v>
      </c>
      <c r="AR1680" s="199">
        <v>0</v>
      </c>
      <c r="AS1680" s="150">
        <f t="shared" si="1453"/>
        <v>0</v>
      </c>
      <c r="AT1680" s="155"/>
      <c r="AU1680" s="156">
        <f t="shared" si="1455"/>
        <v>0</v>
      </c>
      <c r="AV1680" s="156">
        <f t="shared" si="1456"/>
        <v>0</v>
      </c>
      <c r="AW1680" s="157"/>
      <c r="AX1680" s="150">
        <v>0</v>
      </c>
      <c r="AY1680" s="150">
        <v>0</v>
      </c>
      <c r="AZ1680" s="150">
        <f t="shared" si="1454"/>
        <v>0</v>
      </c>
      <c r="BA1680" s="150">
        <v>0</v>
      </c>
      <c r="BB1680" s="210"/>
      <c r="BC1680" s="210"/>
      <c r="BD1680" s="210"/>
      <c r="BE1680" s="210"/>
      <c r="BF1680" s="210"/>
      <c r="BG1680" s="210"/>
      <c r="BH1680" s="217"/>
      <c r="BI1680" s="210"/>
      <c r="BJ1680" s="210"/>
      <c r="BK1680" s="210"/>
      <c r="BL1680" s="210"/>
      <c r="BM1680" s="208"/>
      <c r="BN1680" s="160"/>
      <c r="BO1680" s="161">
        <f t="shared" si="1462"/>
        <v>0</v>
      </c>
      <c r="BP1680" s="161"/>
    </row>
    <row r="1681" spans="1:68" ht="51">
      <c r="A1681" s="210"/>
      <c r="B1681" s="195" t="s">
        <v>9070</v>
      </c>
      <c r="C1681" s="196" t="s">
        <v>9071</v>
      </c>
      <c r="D1681" s="146" t="s">
        <v>4692</v>
      </c>
      <c r="E1681" s="196" t="s">
        <v>9071</v>
      </c>
      <c r="F1681" s="150">
        <v>0</v>
      </c>
      <c r="G1681" s="209">
        <v>0</v>
      </c>
      <c r="H1681" s="209"/>
      <c r="I1681" s="209">
        <v>0</v>
      </c>
      <c r="J1681" s="150">
        <v>0</v>
      </c>
      <c r="K1681" s="150">
        <v>0</v>
      </c>
      <c r="L1681" s="150">
        <f t="shared" si="1463"/>
        <v>0</v>
      </c>
      <c r="M1681" s="150">
        <v>0</v>
      </c>
      <c r="N1681" s="150">
        <v>0</v>
      </c>
      <c r="O1681" s="150">
        <v>0</v>
      </c>
      <c r="P1681" s="150">
        <v>0</v>
      </c>
      <c r="Q1681" s="150">
        <v>0</v>
      </c>
      <c r="R1681" s="313">
        <f t="shared" si="1449"/>
        <v>0</v>
      </c>
      <c r="S1681" s="150">
        <f t="shared" si="1461"/>
        <v>0</v>
      </c>
      <c r="T1681" s="150">
        <v>0</v>
      </c>
      <c r="U1681" s="150">
        <v>0</v>
      </c>
      <c r="V1681" s="199">
        <v>0</v>
      </c>
      <c r="W1681" s="150">
        <f t="shared" si="1450"/>
        <v>0</v>
      </c>
      <c r="X1681" s="150">
        <v>0</v>
      </c>
      <c r="Y1681" s="150">
        <v>0</v>
      </c>
      <c r="Z1681" s="150">
        <v>0</v>
      </c>
      <c r="AA1681" s="150">
        <f t="shared" si="1457"/>
        <v>0</v>
      </c>
      <c r="AB1681" s="150">
        <v>0</v>
      </c>
      <c r="AC1681" s="199">
        <v>0</v>
      </c>
      <c r="AD1681" s="150">
        <f t="shared" si="1451"/>
        <v>0</v>
      </c>
      <c r="AE1681" s="150">
        <v>0</v>
      </c>
      <c r="AF1681" s="169" t="s">
        <v>4680</v>
      </c>
      <c r="AG1681" s="201">
        <v>0</v>
      </c>
      <c r="AH1681" s="199">
        <v>0</v>
      </c>
      <c r="AI1681" s="150">
        <v>0</v>
      </c>
      <c r="AJ1681" s="169">
        <f t="shared" si="1458"/>
        <v>0</v>
      </c>
      <c r="AK1681" s="201">
        <v>0</v>
      </c>
      <c r="AL1681" s="199">
        <v>0</v>
      </c>
      <c r="AM1681" s="150">
        <f t="shared" si="1452"/>
        <v>0</v>
      </c>
      <c r="AN1681" s="153">
        <f t="shared" si="1459"/>
        <v>0</v>
      </c>
      <c r="AO1681" s="154">
        <f t="shared" si="1460"/>
        <v>0</v>
      </c>
      <c r="AP1681" s="150">
        <v>0</v>
      </c>
      <c r="AQ1681" s="201">
        <v>0</v>
      </c>
      <c r="AR1681" s="199">
        <v>0</v>
      </c>
      <c r="AS1681" s="150">
        <f t="shared" si="1453"/>
        <v>0</v>
      </c>
      <c r="AT1681" s="155"/>
      <c r="AU1681" s="156">
        <f t="shared" si="1455"/>
        <v>0</v>
      </c>
      <c r="AV1681" s="156">
        <f t="shared" si="1456"/>
        <v>0</v>
      </c>
      <c r="AW1681" s="157"/>
      <c r="AX1681" s="150">
        <v>0</v>
      </c>
      <c r="AY1681" s="150">
        <v>0</v>
      </c>
      <c r="AZ1681" s="150">
        <f t="shared" si="1454"/>
        <v>0</v>
      </c>
      <c r="BA1681" s="150">
        <v>0</v>
      </c>
      <c r="BB1681" s="210"/>
      <c r="BC1681" s="210"/>
      <c r="BD1681" s="210"/>
      <c r="BE1681" s="210"/>
      <c r="BF1681" s="210"/>
      <c r="BG1681" s="210"/>
      <c r="BH1681" s="217"/>
      <c r="BI1681" s="210"/>
      <c r="BJ1681" s="210"/>
      <c r="BK1681" s="210"/>
      <c r="BL1681" s="210"/>
      <c r="BM1681" s="208"/>
      <c r="BN1681" s="160"/>
      <c r="BO1681" s="161">
        <f t="shared" si="1462"/>
        <v>0</v>
      </c>
      <c r="BP1681" s="161"/>
    </row>
    <row r="1682" spans="1:68" ht="38.25">
      <c r="A1682" s="210"/>
      <c r="B1682" s="195" t="s">
        <v>9072</v>
      </c>
      <c r="C1682" s="196" t="s">
        <v>9073</v>
      </c>
      <c r="D1682" s="146" t="s">
        <v>4692</v>
      </c>
      <c r="E1682" s="196" t="s">
        <v>9073</v>
      </c>
      <c r="F1682" s="150">
        <v>0</v>
      </c>
      <c r="G1682" s="209">
        <v>0</v>
      </c>
      <c r="H1682" s="209"/>
      <c r="I1682" s="209">
        <v>0</v>
      </c>
      <c r="J1682" s="150">
        <v>0</v>
      </c>
      <c r="K1682" s="150">
        <v>0</v>
      </c>
      <c r="L1682" s="150">
        <f t="shared" si="1463"/>
        <v>0</v>
      </c>
      <c r="M1682" s="150">
        <v>0</v>
      </c>
      <c r="N1682" s="150">
        <v>0</v>
      </c>
      <c r="O1682" s="150">
        <v>0</v>
      </c>
      <c r="P1682" s="150">
        <v>0</v>
      </c>
      <c r="Q1682" s="150">
        <v>0</v>
      </c>
      <c r="R1682" s="313">
        <f t="shared" si="1449"/>
        <v>0</v>
      </c>
      <c r="S1682" s="150">
        <f t="shared" si="1461"/>
        <v>0</v>
      </c>
      <c r="T1682" s="150">
        <v>0</v>
      </c>
      <c r="U1682" s="150">
        <v>0</v>
      </c>
      <c r="V1682" s="199">
        <v>0</v>
      </c>
      <c r="W1682" s="150">
        <f t="shared" si="1450"/>
        <v>0</v>
      </c>
      <c r="X1682" s="150">
        <v>0</v>
      </c>
      <c r="Y1682" s="150">
        <v>0</v>
      </c>
      <c r="Z1682" s="150">
        <v>0</v>
      </c>
      <c r="AA1682" s="150">
        <f t="shared" si="1457"/>
        <v>0</v>
      </c>
      <c r="AB1682" s="150">
        <v>0</v>
      </c>
      <c r="AC1682" s="199">
        <v>0</v>
      </c>
      <c r="AD1682" s="150">
        <f t="shared" si="1451"/>
        <v>0</v>
      </c>
      <c r="AE1682" s="150">
        <v>0</v>
      </c>
      <c r="AF1682" s="169" t="s">
        <v>4680</v>
      </c>
      <c r="AG1682" s="201">
        <v>0</v>
      </c>
      <c r="AH1682" s="199">
        <v>0</v>
      </c>
      <c r="AI1682" s="150">
        <v>0</v>
      </c>
      <c r="AJ1682" s="169">
        <f t="shared" si="1458"/>
        <v>0</v>
      </c>
      <c r="AK1682" s="201">
        <v>0</v>
      </c>
      <c r="AL1682" s="199">
        <v>0</v>
      </c>
      <c r="AM1682" s="150">
        <f t="shared" si="1452"/>
        <v>0</v>
      </c>
      <c r="AN1682" s="153">
        <f t="shared" si="1459"/>
        <v>0</v>
      </c>
      <c r="AO1682" s="154">
        <f t="shared" si="1460"/>
        <v>0</v>
      </c>
      <c r="AP1682" s="150">
        <v>0</v>
      </c>
      <c r="AQ1682" s="201">
        <v>0</v>
      </c>
      <c r="AR1682" s="199">
        <v>0</v>
      </c>
      <c r="AS1682" s="150">
        <f t="shared" si="1453"/>
        <v>0</v>
      </c>
      <c r="AT1682" s="155"/>
      <c r="AU1682" s="156">
        <f t="shared" si="1455"/>
        <v>0</v>
      </c>
      <c r="AV1682" s="156">
        <f t="shared" si="1456"/>
        <v>0</v>
      </c>
      <c r="AW1682" s="157"/>
      <c r="AX1682" s="150">
        <v>0</v>
      </c>
      <c r="AY1682" s="150">
        <v>0</v>
      </c>
      <c r="AZ1682" s="150">
        <f t="shared" si="1454"/>
        <v>0</v>
      </c>
      <c r="BA1682" s="150">
        <v>0</v>
      </c>
      <c r="BB1682" s="210"/>
      <c r="BC1682" s="210"/>
      <c r="BD1682" s="210"/>
      <c r="BE1682" s="210"/>
      <c r="BF1682" s="210"/>
      <c r="BG1682" s="210"/>
      <c r="BH1682" s="217"/>
      <c r="BI1682" s="210"/>
      <c r="BJ1682" s="210"/>
      <c r="BK1682" s="210"/>
      <c r="BL1682" s="210"/>
      <c r="BM1682" s="208"/>
      <c r="BN1682" s="160"/>
      <c r="BO1682" s="161">
        <f t="shared" si="1462"/>
        <v>0</v>
      </c>
      <c r="BP1682" s="161"/>
    </row>
    <row r="1683" spans="1:68" ht="63.75">
      <c r="A1683" s="210"/>
      <c r="B1683" s="195" t="s">
        <v>9074</v>
      </c>
      <c r="C1683" s="196" t="s">
        <v>9075</v>
      </c>
      <c r="D1683" s="146" t="s">
        <v>4692</v>
      </c>
      <c r="E1683" s="196" t="s">
        <v>9075</v>
      </c>
      <c r="F1683" s="150">
        <v>0</v>
      </c>
      <c r="G1683" s="209">
        <v>0</v>
      </c>
      <c r="H1683" s="209"/>
      <c r="I1683" s="209">
        <v>0</v>
      </c>
      <c r="J1683" s="150">
        <v>0</v>
      </c>
      <c r="K1683" s="150">
        <v>0</v>
      </c>
      <c r="L1683" s="150">
        <f t="shared" si="1463"/>
        <v>0</v>
      </c>
      <c r="M1683" s="150">
        <v>0</v>
      </c>
      <c r="N1683" s="150">
        <v>0</v>
      </c>
      <c r="O1683" s="150">
        <v>0</v>
      </c>
      <c r="P1683" s="150">
        <v>0</v>
      </c>
      <c r="Q1683" s="150">
        <v>0</v>
      </c>
      <c r="R1683" s="313">
        <f t="shared" si="1449"/>
        <v>0</v>
      </c>
      <c r="S1683" s="150">
        <f t="shared" si="1461"/>
        <v>0</v>
      </c>
      <c r="T1683" s="150">
        <v>0</v>
      </c>
      <c r="U1683" s="150">
        <v>0</v>
      </c>
      <c r="V1683" s="199">
        <v>0</v>
      </c>
      <c r="W1683" s="150">
        <f t="shared" si="1450"/>
        <v>0</v>
      </c>
      <c r="X1683" s="150">
        <v>0</v>
      </c>
      <c r="Y1683" s="150">
        <v>0</v>
      </c>
      <c r="Z1683" s="150">
        <v>0</v>
      </c>
      <c r="AA1683" s="150">
        <f t="shared" si="1457"/>
        <v>0</v>
      </c>
      <c r="AB1683" s="150">
        <v>0</v>
      </c>
      <c r="AC1683" s="199">
        <v>0</v>
      </c>
      <c r="AD1683" s="150">
        <f t="shared" si="1451"/>
        <v>0</v>
      </c>
      <c r="AE1683" s="150">
        <v>0</v>
      </c>
      <c r="AF1683" s="169" t="s">
        <v>4680</v>
      </c>
      <c r="AG1683" s="201">
        <v>0</v>
      </c>
      <c r="AH1683" s="199">
        <v>0</v>
      </c>
      <c r="AI1683" s="150">
        <v>0</v>
      </c>
      <c r="AJ1683" s="169">
        <f t="shared" si="1458"/>
        <v>0</v>
      </c>
      <c r="AK1683" s="201">
        <v>0</v>
      </c>
      <c r="AL1683" s="199">
        <v>0</v>
      </c>
      <c r="AM1683" s="150">
        <f t="shared" si="1452"/>
        <v>0</v>
      </c>
      <c r="AN1683" s="153">
        <f t="shared" si="1459"/>
        <v>0</v>
      </c>
      <c r="AO1683" s="154">
        <f t="shared" si="1460"/>
        <v>0</v>
      </c>
      <c r="AP1683" s="150">
        <v>0</v>
      </c>
      <c r="AQ1683" s="201">
        <v>0</v>
      </c>
      <c r="AR1683" s="199">
        <v>0</v>
      </c>
      <c r="AS1683" s="150">
        <f t="shared" si="1453"/>
        <v>0</v>
      </c>
      <c r="AT1683" s="155"/>
      <c r="AU1683" s="156">
        <f t="shared" si="1455"/>
        <v>0</v>
      </c>
      <c r="AV1683" s="156">
        <f t="shared" si="1456"/>
        <v>0</v>
      </c>
      <c r="AW1683" s="157"/>
      <c r="AX1683" s="150">
        <v>0</v>
      </c>
      <c r="AY1683" s="150">
        <v>0</v>
      </c>
      <c r="AZ1683" s="150">
        <f t="shared" si="1454"/>
        <v>0</v>
      </c>
      <c r="BA1683" s="150">
        <v>0</v>
      </c>
      <c r="BB1683" s="210"/>
      <c r="BC1683" s="210"/>
      <c r="BD1683" s="210"/>
      <c r="BE1683" s="210"/>
      <c r="BF1683" s="210"/>
      <c r="BG1683" s="210"/>
      <c r="BH1683" s="217"/>
      <c r="BI1683" s="210"/>
      <c r="BJ1683" s="210"/>
      <c r="BK1683" s="210"/>
      <c r="BL1683" s="210"/>
      <c r="BM1683" s="208"/>
      <c r="BN1683" s="160"/>
      <c r="BO1683" s="161">
        <f t="shared" si="1462"/>
        <v>0</v>
      </c>
      <c r="BP1683" s="161"/>
    </row>
    <row r="1684" spans="1:68" ht="51">
      <c r="A1684" s="210"/>
      <c r="B1684" s="195" t="s">
        <v>9076</v>
      </c>
      <c r="C1684" s="196" t="s">
        <v>9077</v>
      </c>
      <c r="D1684" s="146" t="s">
        <v>4692</v>
      </c>
      <c r="E1684" s="196" t="s">
        <v>9077</v>
      </c>
      <c r="F1684" s="150">
        <v>0</v>
      </c>
      <c r="G1684" s="209">
        <v>0</v>
      </c>
      <c r="H1684" s="209"/>
      <c r="I1684" s="209">
        <v>0</v>
      </c>
      <c r="J1684" s="150">
        <v>0</v>
      </c>
      <c r="K1684" s="150">
        <v>0</v>
      </c>
      <c r="L1684" s="150">
        <f t="shared" si="1463"/>
        <v>0</v>
      </c>
      <c r="M1684" s="150">
        <v>0</v>
      </c>
      <c r="N1684" s="150">
        <v>0</v>
      </c>
      <c r="O1684" s="150">
        <v>0</v>
      </c>
      <c r="P1684" s="150">
        <v>0</v>
      </c>
      <c r="Q1684" s="150">
        <v>0</v>
      </c>
      <c r="R1684" s="313">
        <f t="shared" si="1449"/>
        <v>0</v>
      </c>
      <c r="S1684" s="150">
        <f t="shared" si="1461"/>
        <v>0</v>
      </c>
      <c r="T1684" s="150">
        <v>0</v>
      </c>
      <c r="U1684" s="150">
        <v>0</v>
      </c>
      <c r="V1684" s="199">
        <v>0</v>
      </c>
      <c r="W1684" s="150">
        <f t="shared" si="1450"/>
        <v>0</v>
      </c>
      <c r="X1684" s="150">
        <v>0</v>
      </c>
      <c r="Y1684" s="150">
        <v>0</v>
      </c>
      <c r="Z1684" s="150">
        <v>0</v>
      </c>
      <c r="AA1684" s="150">
        <f t="shared" si="1457"/>
        <v>0</v>
      </c>
      <c r="AB1684" s="150">
        <v>0</v>
      </c>
      <c r="AC1684" s="199">
        <v>0</v>
      </c>
      <c r="AD1684" s="150">
        <f t="shared" si="1451"/>
        <v>0</v>
      </c>
      <c r="AE1684" s="150">
        <v>0</v>
      </c>
      <c r="AF1684" s="169" t="s">
        <v>4680</v>
      </c>
      <c r="AG1684" s="201">
        <v>0</v>
      </c>
      <c r="AH1684" s="199">
        <v>0</v>
      </c>
      <c r="AI1684" s="150">
        <v>0</v>
      </c>
      <c r="AJ1684" s="169">
        <f t="shared" si="1458"/>
        <v>0</v>
      </c>
      <c r="AK1684" s="201">
        <v>0</v>
      </c>
      <c r="AL1684" s="199">
        <v>0</v>
      </c>
      <c r="AM1684" s="150">
        <f t="shared" si="1452"/>
        <v>0</v>
      </c>
      <c r="AN1684" s="153">
        <f t="shared" si="1459"/>
        <v>0</v>
      </c>
      <c r="AO1684" s="154">
        <f t="shared" si="1460"/>
        <v>0</v>
      </c>
      <c r="AP1684" s="150">
        <v>0</v>
      </c>
      <c r="AQ1684" s="201">
        <v>0</v>
      </c>
      <c r="AR1684" s="199">
        <v>0</v>
      </c>
      <c r="AS1684" s="150">
        <f t="shared" si="1453"/>
        <v>0</v>
      </c>
      <c r="AT1684" s="155"/>
      <c r="AU1684" s="156">
        <f t="shared" si="1455"/>
        <v>0</v>
      </c>
      <c r="AV1684" s="156">
        <f t="shared" si="1456"/>
        <v>0</v>
      </c>
      <c r="AW1684" s="157"/>
      <c r="AX1684" s="150">
        <v>0</v>
      </c>
      <c r="AY1684" s="150">
        <v>0</v>
      </c>
      <c r="AZ1684" s="150">
        <f t="shared" si="1454"/>
        <v>0</v>
      </c>
      <c r="BA1684" s="150">
        <v>0</v>
      </c>
      <c r="BB1684" s="210"/>
      <c r="BC1684" s="210"/>
      <c r="BD1684" s="210"/>
      <c r="BE1684" s="210"/>
      <c r="BF1684" s="210"/>
      <c r="BG1684" s="210"/>
      <c r="BH1684" s="217"/>
      <c r="BI1684" s="210"/>
      <c r="BJ1684" s="210"/>
      <c r="BK1684" s="210"/>
      <c r="BL1684" s="210"/>
      <c r="BM1684" s="208"/>
      <c r="BN1684" s="160"/>
      <c r="BO1684" s="161">
        <f t="shared" si="1462"/>
        <v>0</v>
      </c>
      <c r="BP1684" s="161"/>
    </row>
    <row r="1685" spans="1:68" ht="51">
      <c r="A1685" s="210"/>
      <c r="B1685" s="195" t="s">
        <v>9078</v>
      </c>
      <c r="C1685" s="196" t="s">
        <v>9079</v>
      </c>
      <c r="D1685" s="146" t="s">
        <v>4692</v>
      </c>
      <c r="E1685" s="196" t="s">
        <v>9079</v>
      </c>
      <c r="F1685" s="150">
        <v>0</v>
      </c>
      <c r="G1685" s="209">
        <v>0</v>
      </c>
      <c r="H1685" s="209"/>
      <c r="I1685" s="209">
        <v>0</v>
      </c>
      <c r="J1685" s="150">
        <v>0</v>
      </c>
      <c r="K1685" s="150">
        <v>0</v>
      </c>
      <c r="L1685" s="150">
        <f t="shared" si="1463"/>
        <v>0</v>
      </c>
      <c r="M1685" s="150">
        <v>0</v>
      </c>
      <c r="N1685" s="150">
        <v>0</v>
      </c>
      <c r="O1685" s="150">
        <v>0</v>
      </c>
      <c r="P1685" s="150">
        <v>0</v>
      </c>
      <c r="Q1685" s="150">
        <v>0</v>
      </c>
      <c r="R1685" s="313">
        <f t="shared" si="1449"/>
        <v>0</v>
      </c>
      <c r="S1685" s="150">
        <f t="shared" si="1461"/>
        <v>0</v>
      </c>
      <c r="T1685" s="150">
        <v>0</v>
      </c>
      <c r="U1685" s="150">
        <v>0</v>
      </c>
      <c r="V1685" s="199">
        <v>0</v>
      </c>
      <c r="W1685" s="150">
        <f t="shared" si="1450"/>
        <v>0</v>
      </c>
      <c r="X1685" s="150">
        <v>0</v>
      </c>
      <c r="Y1685" s="150">
        <v>0</v>
      </c>
      <c r="Z1685" s="150">
        <v>0</v>
      </c>
      <c r="AA1685" s="150">
        <f t="shared" si="1457"/>
        <v>0</v>
      </c>
      <c r="AB1685" s="150">
        <v>0</v>
      </c>
      <c r="AC1685" s="199">
        <v>0</v>
      </c>
      <c r="AD1685" s="150">
        <f t="shared" si="1451"/>
        <v>0</v>
      </c>
      <c r="AE1685" s="150">
        <v>0</v>
      </c>
      <c r="AF1685" s="169" t="s">
        <v>4680</v>
      </c>
      <c r="AG1685" s="201">
        <v>0</v>
      </c>
      <c r="AH1685" s="199">
        <v>0</v>
      </c>
      <c r="AI1685" s="150">
        <v>0</v>
      </c>
      <c r="AJ1685" s="169">
        <f t="shared" si="1458"/>
        <v>0</v>
      </c>
      <c r="AK1685" s="201">
        <v>0</v>
      </c>
      <c r="AL1685" s="199">
        <v>0</v>
      </c>
      <c r="AM1685" s="150">
        <f t="shared" si="1452"/>
        <v>0</v>
      </c>
      <c r="AN1685" s="153">
        <f t="shared" si="1459"/>
        <v>0</v>
      </c>
      <c r="AO1685" s="154">
        <f t="shared" si="1460"/>
        <v>0</v>
      </c>
      <c r="AP1685" s="150">
        <v>0</v>
      </c>
      <c r="AQ1685" s="201">
        <v>0</v>
      </c>
      <c r="AR1685" s="199">
        <v>0</v>
      </c>
      <c r="AS1685" s="150">
        <f t="shared" si="1453"/>
        <v>0</v>
      </c>
      <c r="AT1685" s="155"/>
      <c r="AU1685" s="156">
        <f t="shared" si="1455"/>
        <v>0</v>
      </c>
      <c r="AV1685" s="156">
        <f t="shared" si="1456"/>
        <v>0</v>
      </c>
      <c r="AW1685" s="157"/>
      <c r="AX1685" s="150">
        <v>0</v>
      </c>
      <c r="AY1685" s="150">
        <v>0</v>
      </c>
      <c r="AZ1685" s="150">
        <f t="shared" si="1454"/>
        <v>0</v>
      </c>
      <c r="BA1685" s="150">
        <v>0</v>
      </c>
      <c r="BB1685" s="210"/>
      <c r="BC1685" s="210"/>
      <c r="BD1685" s="210"/>
      <c r="BE1685" s="210"/>
      <c r="BF1685" s="210"/>
      <c r="BG1685" s="210"/>
      <c r="BH1685" s="217"/>
      <c r="BI1685" s="210"/>
      <c r="BJ1685" s="210"/>
      <c r="BK1685" s="210"/>
      <c r="BL1685" s="210"/>
      <c r="BM1685" s="208"/>
      <c r="BN1685" s="160"/>
      <c r="BO1685" s="161">
        <f t="shared" si="1462"/>
        <v>0</v>
      </c>
      <c r="BP1685" s="161"/>
    </row>
    <row r="1686" spans="1:68" ht="51">
      <c r="A1686" s="210"/>
      <c r="B1686" s="195" t="s">
        <v>9080</v>
      </c>
      <c r="C1686" s="196" t="s">
        <v>9081</v>
      </c>
      <c r="D1686" s="146" t="s">
        <v>4692</v>
      </c>
      <c r="E1686" s="196" t="s">
        <v>9081</v>
      </c>
      <c r="F1686" s="150">
        <v>0</v>
      </c>
      <c r="G1686" s="209">
        <v>0</v>
      </c>
      <c r="H1686" s="209"/>
      <c r="I1686" s="209">
        <v>0</v>
      </c>
      <c r="J1686" s="150">
        <v>0</v>
      </c>
      <c r="K1686" s="150">
        <v>0</v>
      </c>
      <c r="L1686" s="150">
        <f t="shared" si="1463"/>
        <v>0</v>
      </c>
      <c r="M1686" s="150">
        <v>0</v>
      </c>
      <c r="N1686" s="150">
        <v>0</v>
      </c>
      <c r="O1686" s="150">
        <v>0</v>
      </c>
      <c r="P1686" s="150">
        <v>0</v>
      </c>
      <c r="Q1686" s="150">
        <v>0</v>
      </c>
      <c r="R1686" s="313">
        <f t="shared" si="1449"/>
        <v>0</v>
      </c>
      <c r="S1686" s="150">
        <f t="shared" si="1461"/>
        <v>0</v>
      </c>
      <c r="T1686" s="150">
        <v>0</v>
      </c>
      <c r="U1686" s="150">
        <v>0</v>
      </c>
      <c r="V1686" s="199">
        <v>0</v>
      </c>
      <c r="W1686" s="150">
        <f t="shared" si="1450"/>
        <v>0</v>
      </c>
      <c r="X1686" s="150">
        <v>0</v>
      </c>
      <c r="Y1686" s="150">
        <v>0</v>
      </c>
      <c r="Z1686" s="150">
        <v>0</v>
      </c>
      <c r="AA1686" s="150">
        <f t="shared" si="1457"/>
        <v>0</v>
      </c>
      <c r="AB1686" s="150">
        <v>0</v>
      </c>
      <c r="AC1686" s="199">
        <v>0</v>
      </c>
      <c r="AD1686" s="150">
        <f t="shared" si="1451"/>
        <v>0</v>
      </c>
      <c r="AE1686" s="150">
        <v>0</v>
      </c>
      <c r="AF1686" s="169" t="s">
        <v>4680</v>
      </c>
      <c r="AG1686" s="201">
        <v>0</v>
      </c>
      <c r="AH1686" s="199">
        <v>0</v>
      </c>
      <c r="AI1686" s="150">
        <v>0</v>
      </c>
      <c r="AJ1686" s="169">
        <f t="shared" si="1458"/>
        <v>0</v>
      </c>
      <c r="AK1686" s="201">
        <v>0</v>
      </c>
      <c r="AL1686" s="199">
        <v>0</v>
      </c>
      <c r="AM1686" s="150">
        <f t="shared" si="1452"/>
        <v>0</v>
      </c>
      <c r="AN1686" s="153">
        <f t="shared" si="1459"/>
        <v>0</v>
      </c>
      <c r="AO1686" s="154">
        <f t="shared" si="1460"/>
        <v>0</v>
      </c>
      <c r="AP1686" s="150">
        <v>0</v>
      </c>
      <c r="AQ1686" s="201">
        <v>0</v>
      </c>
      <c r="AR1686" s="199">
        <v>0</v>
      </c>
      <c r="AS1686" s="150">
        <f t="shared" si="1453"/>
        <v>0</v>
      </c>
      <c r="AT1686" s="155"/>
      <c r="AU1686" s="156">
        <f t="shared" si="1455"/>
        <v>0</v>
      </c>
      <c r="AV1686" s="156">
        <f t="shared" si="1456"/>
        <v>0</v>
      </c>
      <c r="AW1686" s="157"/>
      <c r="AX1686" s="150">
        <v>0</v>
      </c>
      <c r="AY1686" s="150">
        <v>0</v>
      </c>
      <c r="AZ1686" s="150">
        <f t="shared" si="1454"/>
        <v>0</v>
      </c>
      <c r="BA1686" s="150">
        <v>0</v>
      </c>
      <c r="BB1686" s="210"/>
      <c r="BC1686" s="210"/>
      <c r="BD1686" s="210"/>
      <c r="BE1686" s="210"/>
      <c r="BF1686" s="210"/>
      <c r="BG1686" s="210"/>
      <c r="BH1686" s="217"/>
      <c r="BI1686" s="210"/>
      <c r="BJ1686" s="210"/>
      <c r="BK1686" s="210"/>
      <c r="BL1686" s="210"/>
      <c r="BM1686" s="208"/>
      <c r="BN1686" s="160"/>
      <c r="BO1686" s="161">
        <f t="shared" si="1462"/>
        <v>0</v>
      </c>
      <c r="BP1686" s="161"/>
    </row>
    <row r="1687" spans="1:68" ht="38.25">
      <c r="A1687" s="210"/>
      <c r="B1687" s="195" t="s">
        <v>9082</v>
      </c>
      <c r="C1687" s="196" t="s">
        <v>9083</v>
      </c>
      <c r="D1687" s="146" t="s">
        <v>4692</v>
      </c>
      <c r="E1687" s="196" t="s">
        <v>9083</v>
      </c>
      <c r="F1687" s="150">
        <v>0</v>
      </c>
      <c r="G1687" s="209">
        <v>0</v>
      </c>
      <c r="H1687" s="209"/>
      <c r="I1687" s="209">
        <v>0</v>
      </c>
      <c r="J1687" s="150">
        <v>0</v>
      </c>
      <c r="K1687" s="150">
        <v>0</v>
      </c>
      <c r="L1687" s="150">
        <f t="shared" si="1463"/>
        <v>0</v>
      </c>
      <c r="M1687" s="150">
        <v>0</v>
      </c>
      <c r="N1687" s="150">
        <v>0</v>
      </c>
      <c r="O1687" s="150">
        <v>0</v>
      </c>
      <c r="P1687" s="150">
        <v>0</v>
      </c>
      <c r="Q1687" s="150">
        <v>0</v>
      </c>
      <c r="R1687" s="313">
        <f t="shared" si="1449"/>
        <v>0</v>
      </c>
      <c r="S1687" s="150">
        <f t="shared" si="1461"/>
        <v>0</v>
      </c>
      <c r="T1687" s="150">
        <v>0</v>
      </c>
      <c r="U1687" s="150">
        <v>0</v>
      </c>
      <c r="V1687" s="199">
        <v>0</v>
      </c>
      <c r="W1687" s="150">
        <f t="shared" si="1450"/>
        <v>0</v>
      </c>
      <c r="X1687" s="150">
        <v>0</v>
      </c>
      <c r="Y1687" s="150">
        <v>0</v>
      </c>
      <c r="Z1687" s="150">
        <v>0</v>
      </c>
      <c r="AA1687" s="150">
        <f t="shared" si="1457"/>
        <v>0</v>
      </c>
      <c r="AB1687" s="150">
        <v>0</v>
      </c>
      <c r="AC1687" s="199">
        <v>0</v>
      </c>
      <c r="AD1687" s="150">
        <f t="shared" si="1451"/>
        <v>0</v>
      </c>
      <c r="AE1687" s="150">
        <v>0</v>
      </c>
      <c r="AF1687" s="169" t="s">
        <v>4680</v>
      </c>
      <c r="AG1687" s="201">
        <v>0</v>
      </c>
      <c r="AH1687" s="199">
        <v>0</v>
      </c>
      <c r="AI1687" s="150">
        <v>0</v>
      </c>
      <c r="AJ1687" s="169">
        <f t="shared" si="1458"/>
        <v>0</v>
      </c>
      <c r="AK1687" s="201">
        <v>0</v>
      </c>
      <c r="AL1687" s="199">
        <v>0</v>
      </c>
      <c r="AM1687" s="150">
        <f t="shared" si="1452"/>
        <v>0</v>
      </c>
      <c r="AN1687" s="153">
        <f t="shared" si="1459"/>
        <v>0</v>
      </c>
      <c r="AO1687" s="154">
        <f t="shared" si="1460"/>
        <v>0</v>
      </c>
      <c r="AP1687" s="150">
        <v>0</v>
      </c>
      <c r="AQ1687" s="201">
        <v>0</v>
      </c>
      <c r="AR1687" s="199">
        <v>0</v>
      </c>
      <c r="AS1687" s="150">
        <f t="shared" si="1453"/>
        <v>0</v>
      </c>
      <c r="AT1687" s="155"/>
      <c r="AU1687" s="156">
        <f t="shared" si="1455"/>
        <v>0</v>
      </c>
      <c r="AV1687" s="156">
        <f t="shared" si="1456"/>
        <v>0</v>
      </c>
      <c r="AW1687" s="157"/>
      <c r="AX1687" s="150">
        <v>0</v>
      </c>
      <c r="AY1687" s="150">
        <v>0</v>
      </c>
      <c r="AZ1687" s="150">
        <f t="shared" si="1454"/>
        <v>0</v>
      </c>
      <c r="BA1687" s="150">
        <v>0</v>
      </c>
      <c r="BB1687" s="210"/>
      <c r="BC1687" s="210"/>
      <c r="BD1687" s="210"/>
      <c r="BE1687" s="210"/>
      <c r="BF1687" s="210"/>
      <c r="BG1687" s="210"/>
      <c r="BH1687" s="217"/>
      <c r="BI1687" s="210"/>
      <c r="BJ1687" s="210"/>
      <c r="BK1687" s="210"/>
      <c r="BL1687" s="210"/>
      <c r="BM1687" s="208"/>
      <c r="BN1687" s="160"/>
      <c r="BO1687" s="161">
        <f t="shared" si="1462"/>
        <v>0</v>
      </c>
      <c r="BP1687" s="161"/>
    </row>
    <row r="1688" spans="1:68" ht="63.75">
      <c r="A1688" s="206" t="s">
        <v>591</v>
      </c>
      <c r="B1688" s="195" t="s">
        <v>9084</v>
      </c>
      <c r="C1688" s="196" t="s">
        <v>9085</v>
      </c>
      <c r="D1688" s="146" t="s">
        <v>4692</v>
      </c>
      <c r="E1688" s="196" t="s">
        <v>9085</v>
      </c>
      <c r="F1688" s="150">
        <v>0</v>
      </c>
      <c r="G1688" s="209">
        <v>0</v>
      </c>
      <c r="H1688" s="209">
        <v>0</v>
      </c>
      <c r="I1688" s="209">
        <v>0</v>
      </c>
      <c r="J1688" s="150">
        <v>0</v>
      </c>
      <c r="K1688" s="150">
        <v>0</v>
      </c>
      <c r="L1688" s="150">
        <f t="shared" si="1463"/>
        <v>0</v>
      </c>
      <c r="M1688" s="150">
        <v>0</v>
      </c>
      <c r="N1688" s="150">
        <v>0</v>
      </c>
      <c r="O1688" s="150">
        <v>0</v>
      </c>
      <c r="P1688" s="150">
        <v>0</v>
      </c>
      <c r="Q1688" s="150">
        <v>0</v>
      </c>
      <c r="R1688" s="313">
        <f t="shared" si="1449"/>
        <v>0</v>
      </c>
      <c r="S1688" s="150">
        <f t="shared" si="1461"/>
        <v>0</v>
      </c>
      <c r="T1688" s="150">
        <v>0</v>
      </c>
      <c r="U1688" s="150">
        <v>0</v>
      </c>
      <c r="V1688" s="199">
        <v>0</v>
      </c>
      <c r="W1688" s="150">
        <f t="shared" si="1450"/>
        <v>0</v>
      </c>
      <c r="X1688" s="150">
        <v>0</v>
      </c>
      <c r="Y1688" s="150">
        <v>0</v>
      </c>
      <c r="Z1688" s="150">
        <v>0</v>
      </c>
      <c r="AA1688" s="150">
        <f t="shared" si="1457"/>
        <v>0</v>
      </c>
      <c r="AB1688" s="150">
        <v>0</v>
      </c>
      <c r="AC1688" s="199">
        <v>0</v>
      </c>
      <c r="AD1688" s="150">
        <f t="shared" si="1451"/>
        <v>0</v>
      </c>
      <c r="AE1688" s="150">
        <v>0</v>
      </c>
      <c r="AF1688" s="169" t="s">
        <v>4680</v>
      </c>
      <c r="AG1688" s="201">
        <v>0</v>
      </c>
      <c r="AH1688" s="199">
        <v>0</v>
      </c>
      <c r="AI1688" s="150">
        <v>0</v>
      </c>
      <c r="AJ1688" s="169">
        <f t="shared" si="1458"/>
        <v>0</v>
      </c>
      <c r="AK1688" s="201">
        <v>0</v>
      </c>
      <c r="AL1688" s="199">
        <v>0</v>
      </c>
      <c r="AM1688" s="150">
        <f t="shared" si="1452"/>
        <v>0</v>
      </c>
      <c r="AN1688" s="153">
        <f t="shared" si="1459"/>
        <v>0</v>
      </c>
      <c r="AO1688" s="154">
        <f t="shared" si="1460"/>
        <v>0</v>
      </c>
      <c r="AP1688" s="150">
        <v>0</v>
      </c>
      <c r="AQ1688" s="201">
        <v>0</v>
      </c>
      <c r="AR1688" s="199">
        <v>0</v>
      </c>
      <c r="AS1688" s="150">
        <f t="shared" si="1453"/>
        <v>0</v>
      </c>
      <c r="AT1688" s="155"/>
      <c r="AU1688" s="156">
        <f t="shared" si="1455"/>
        <v>0</v>
      </c>
      <c r="AV1688" s="156">
        <f t="shared" si="1456"/>
        <v>0</v>
      </c>
      <c r="AW1688" s="157"/>
      <c r="AX1688" s="150">
        <v>0</v>
      </c>
      <c r="AY1688" s="150">
        <v>0</v>
      </c>
      <c r="AZ1688" s="150">
        <f t="shared" si="1454"/>
        <v>0</v>
      </c>
      <c r="BA1688" s="150">
        <v>0</v>
      </c>
      <c r="BB1688" s="205">
        <v>5</v>
      </c>
      <c r="BC1688" s="206" t="s">
        <v>755</v>
      </c>
      <c r="BD1688" s="206" t="s">
        <v>632</v>
      </c>
      <c r="BE1688" s="194" t="s">
        <v>632</v>
      </c>
      <c r="BF1688" s="350" t="s">
        <v>766</v>
      </c>
      <c r="BG1688" s="196" t="s">
        <v>8802</v>
      </c>
      <c r="BH1688" s="217">
        <f>AS1688</f>
        <v>0</v>
      </c>
      <c r="BI1688" s="210"/>
      <c r="BJ1688" s="206" t="s">
        <v>9025</v>
      </c>
      <c r="BK1688" s="206" t="s">
        <v>591</v>
      </c>
      <c r="BL1688" s="207" t="s">
        <v>9026</v>
      </c>
      <c r="BM1688" s="208">
        <f>BH1688</f>
        <v>0</v>
      </c>
      <c r="BN1688" s="160"/>
      <c r="BO1688" s="161">
        <f t="shared" si="1462"/>
        <v>0</v>
      </c>
      <c r="BP1688" s="161"/>
    </row>
    <row r="1689" spans="1:68" ht="38.25">
      <c r="A1689" s="256" t="s">
        <v>592</v>
      </c>
      <c r="B1689" s="184"/>
      <c r="C1689" s="185" t="s">
        <v>97</v>
      </c>
      <c r="D1689" s="146" t="s">
        <v>4692</v>
      </c>
      <c r="E1689" s="185" t="s">
        <v>97</v>
      </c>
      <c r="F1689" s="188">
        <v>0</v>
      </c>
      <c r="G1689" s="187">
        <v>0</v>
      </c>
      <c r="H1689" s="187"/>
      <c r="I1689" s="187">
        <v>0</v>
      </c>
      <c r="J1689" s="188">
        <f>SUM(J1690:J1715)</f>
        <v>0</v>
      </c>
      <c r="K1689" s="188">
        <f>SUM(K1690:K1715)</f>
        <v>0</v>
      </c>
      <c r="L1689" s="188">
        <f t="shared" si="1463"/>
        <v>0</v>
      </c>
      <c r="M1689" s="188">
        <v>0</v>
      </c>
      <c r="N1689" s="188">
        <v>0</v>
      </c>
      <c r="O1689" s="188">
        <v>0</v>
      </c>
      <c r="P1689" s="299">
        <f t="shared" ref="P1689:AD1689" si="1464">SUM(P1690:P1715)</f>
        <v>0</v>
      </c>
      <c r="Q1689" s="299">
        <f t="shared" si="1464"/>
        <v>0</v>
      </c>
      <c r="R1689" s="299">
        <f t="shared" si="1464"/>
        <v>0</v>
      </c>
      <c r="S1689" s="150">
        <f t="shared" si="1461"/>
        <v>0</v>
      </c>
      <c r="T1689" s="150">
        <v>0</v>
      </c>
      <c r="U1689" s="299">
        <f t="shared" ref="U1689:W1689" si="1465">SUM(U1690:U1715)</f>
        <v>0</v>
      </c>
      <c r="V1689" s="226">
        <f t="shared" si="1465"/>
        <v>0</v>
      </c>
      <c r="W1689" s="299">
        <f t="shared" si="1465"/>
        <v>0</v>
      </c>
      <c r="X1689" s="299">
        <v>0</v>
      </c>
      <c r="Y1689" s="299">
        <v>0</v>
      </c>
      <c r="Z1689" s="299">
        <v>0</v>
      </c>
      <c r="AA1689" s="299">
        <f t="shared" si="1457"/>
        <v>0</v>
      </c>
      <c r="AB1689" s="299">
        <v>0</v>
      </c>
      <c r="AC1689" s="226">
        <v>0</v>
      </c>
      <c r="AD1689" s="299">
        <f t="shared" si="1464"/>
        <v>0</v>
      </c>
      <c r="AE1689" s="299">
        <v>0</v>
      </c>
      <c r="AF1689" s="169" t="s">
        <v>4680</v>
      </c>
      <c r="AG1689" s="301">
        <v>0</v>
      </c>
      <c r="AH1689" s="226">
        <v>0</v>
      </c>
      <c r="AI1689" s="299">
        <v>0</v>
      </c>
      <c r="AJ1689" s="169">
        <f t="shared" si="1458"/>
        <v>0</v>
      </c>
      <c r="AK1689" s="301">
        <v>0</v>
      </c>
      <c r="AL1689" s="226">
        <v>0</v>
      </c>
      <c r="AM1689" s="299">
        <f t="shared" ref="AM1689" si="1466">SUM(AM1690:AM1715)</f>
        <v>0</v>
      </c>
      <c r="AN1689" s="153">
        <f t="shared" si="1459"/>
        <v>0</v>
      </c>
      <c r="AO1689" s="154">
        <f t="shared" si="1460"/>
        <v>0</v>
      </c>
      <c r="AP1689" s="299">
        <v>0</v>
      </c>
      <c r="AQ1689" s="301">
        <v>0</v>
      </c>
      <c r="AR1689" s="226">
        <f t="shared" ref="AR1689:AS1689" si="1467">SUM(AR1690:AR1715)</f>
        <v>0</v>
      </c>
      <c r="AS1689" s="299">
        <f t="shared" si="1467"/>
        <v>0</v>
      </c>
      <c r="AT1689" s="155"/>
      <c r="AU1689" s="156">
        <f t="shared" si="1455"/>
        <v>0</v>
      </c>
      <c r="AV1689" s="156">
        <f t="shared" si="1456"/>
        <v>0</v>
      </c>
      <c r="AW1689" s="157"/>
      <c r="AX1689" s="150">
        <v>0</v>
      </c>
      <c r="AY1689" s="299">
        <f t="shared" ref="AY1689:BA1689" si="1468">SUM(AY1690:AY1715)</f>
        <v>0</v>
      </c>
      <c r="AZ1689" s="299">
        <f t="shared" si="1468"/>
        <v>0</v>
      </c>
      <c r="BA1689" s="299">
        <f t="shared" si="1468"/>
        <v>0</v>
      </c>
      <c r="BB1689" s="192">
        <v>5</v>
      </c>
      <c r="BC1689" s="256" t="s">
        <v>755</v>
      </c>
      <c r="BD1689" s="256" t="s">
        <v>632</v>
      </c>
      <c r="BE1689" s="256" t="s">
        <v>647</v>
      </c>
      <c r="BF1689" s="256" t="s">
        <v>630</v>
      </c>
      <c r="BG1689" s="185" t="s">
        <v>97</v>
      </c>
      <c r="BH1689" s="215">
        <f>BH1690+BH1691+BH1692+BH1693+BH1694+BH1702+BH1703+BH1715</f>
        <v>0</v>
      </c>
      <c r="BI1689" s="192"/>
      <c r="BJ1689" s="256" t="s">
        <v>9086</v>
      </c>
      <c r="BK1689" s="256" t="s">
        <v>592</v>
      </c>
      <c r="BL1689" s="238" t="s">
        <v>9087</v>
      </c>
      <c r="BM1689" s="338">
        <f>BM1690+BM1691+BM1692+BM1693+BM1694+BM1702+BM1703+BM1715</f>
        <v>0</v>
      </c>
      <c r="BN1689" s="160"/>
      <c r="BO1689" s="161">
        <f t="shared" si="1462"/>
        <v>0</v>
      </c>
      <c r="BP1689" s="161"/>
    </row>
    <row r="1690" spans="1:68" ht="38.25">
      <c r="A1690" s="206" t="s">
        <v>592</v>
      </c>
      <c r="B1690" s="195" t="s">
        <v>9088</v>
      </c>
      <c r="C1690" s="196" t="s">
        <v>9089</v>
      </c>
      <c r="D1690" s="146" t="s">
        <v>4692</v>
      </c>
      <c r="E1690" s="196" t="s">
        <v>9089</v>
      </c>
      <c r="F1690" s="150">
        <v>0</v>
      </c>
      <c r="G1690" s="209">
        <v>0</v>
      </c>
      <c r="H1690" s="209"/>
      <c r="I1690" s="209">
        <v>0</v>
      </c>
      <c r="J1690" s="150">
        <v>0</v>
      </c>
      <c r="K1690" s="150">
        <v>0</v>
      </c>
      <c r="L1690" s="150">
        <f t="shared" si="1463"/>
        <v>0</v>
      </c>
      <c r="M1690" s="150">
        <v>0</v>
      </c>
      <c r="N1690" s="150">
        <v>0</v>
      </c>
      <c r="O1690" s="150">
        <v>0</v>
      </c>
      <c r="P1690" s="150">
        <v>0</v>
      </c>
      <c r="Q1690" s="150">
        <v>0</v>
      </c>
      <c r="R1690" s="313">
        <f t="shared" ref="R1690:R1715" si="1469">P1690+Q1690</f>
        <v>0</v>
      </c>
      <c r="S1690" s="150">
        <f t="shared" si="1461"/>
        <v>0</v>
      </c>
      <c r="T1690" s="150">
        <v>0</v>
      </c>
      <c r="U1690" s="150">
        <v>0</v>
      </c>
      <c r="V1690" s="199">
        <v>0</v>
      </c>
      <c r="W1690" s="150">
        <f t="shared" ref="W1690:W1715" si="1470">U1690+V1690</f>
        <v>0</v>
      </c>
      <c r="X1690" s="150">
        <v>0</v>
      </c>
      <c r="Y1690" s="150">
        <v>0</v>
      </c>
      <c r="Z1690" s="150">
        <v>0</v>
      </c>
      <c r="AA1690" s="150">
        <f t="shared" si="1457"/>
        <v>0</v>
      </c>
      <c r="AB1690" s="150">
        <v>0</v>
      </c>
      <c r="AC1690" s="199">
        <v>0</v>
      </c>
      <c r="AD1690" s="150">
        <f t="shared" ref="AD1690:AD1715" si="1471">AB1690+AC1690</f>
        <v>0</v>
      </c>
      <c r="AE1690" s="150">
        <v>0</v>
      </c>
      <c r="AF1690" s="169" t="s">
        <v>4680</v>
      </c>
      <c r="AG1690" s="201">
        <v>0</v>
      </c>
      <c r="AH1690" s="199">
        <v>0</v>
      </c>
      <c r="AI1690" s="150">
        <v>0</v>
      </c>
      <c r="AJ1690" s="169">
        <f t="shared" si="1458"/>
        <v>0</v>
      </c>
      <c r="AK1690" s="201">
        <v>0</v>
      </c>
      <c r="AL1690" s="199">
        <v>0</v>
      </c>
      <c r="AM1690" s="150">
        <f t="shared" ref="AM1690:AM1715" si="1472">AK1690+AL1690</f>
        <v>0</v>
      </c>
      <c r="AN1690" s="153">
        <f t="shared" si="1459"/>
        <v>0</v>
      </c>
      <c r="AO1690" s="154">
        <f t="shared" si="1460"/>
        <v>0</v>
      </c>
      <c r="AP1690" s="150">
        <v>0</v>
      </c>
      <c r="AQ1690" s="201">
        <v>0</v>
      </c>
      <c r="AR1690" s="199">
        <v>0</v>
      </c>
      <c r="AS1690" s="150">
        <f t="shared" ref="AS1690:AS1715" si="1473">AQ1690+AR1690</f>
        <v>0</v>
      </c>
      <c r="AT1690" s="155"/>
      <c r="AU1690" s="156">
        <f t="shared" si="1455"/>
        <v>0</v>
      </c>
      <c r="AV1690" s="156">
        <f t="shared" si="1456"/>
        <v>0</v>
      </c>
      <c r="AW1690" s="157"/>
      <c r="AX1690" s="150">
        <v>0</v>
      </c>
      <c r="AY1690" s="150">
        <v>0</v>
      </c>
      <c r="AZ1690" s="150"/>
      <c r="BA1690" s="150">
        <f t="shared" ref="BA1690:BA1734" si="1474">AY1690+AZ1690</f>
        <v>0</v>
      </c>
      <c r="BB1690" s="202">
        <v>5</v>
      </c>
      <c r="BC1690" s="202" t="s">
        <v>755</v>
      </c>
      <c r="BD1690" s="202" t="s">
        <v>632</v>
      </c>
      <c r="BE1690" s="202" t="s">
        <v>647</v>
      </c>
      <c r="BF1690" s="202" t="s">
        <v>632</v>
      </c>
      <c r="BG1690" s="231" t="s">
        <v>9090</v>
      </c>
      <c r="BH1690" s="216">
        <f>AS1690</f>
        <v>0</v>
      </c>
      <c r="BI1690" s="205"/>
      <c r="BJ1690" s="206" t="s">
        <v>9086</v>
      </c>
      <c r="BK1690" s="206" t="s">
        <v>592</v>
      </c>
      <c r="BL1690" s="207" t="s">
        <v>9087</v>
      </c>
      <c r="BM1690" s="208">
        <f>BH1690</f>
        <v>0</v>
      </c>
      <c r="BN1690" s="160"/>
      <c r="BO1690" s="161">
        <f t="shared" si="1462"/>
        <v>0</v>
      </c>
      <c r="BP1690" s="161"/>
    </row>
    <row r="1691" spans="1:68" ht="38.25">
      <c r="A1691" s="206" t="s">
        <v>592</v>
      </c>
      <c r="B1691" s="195" t="s">
        <v>9091</v>
      </c>
      <c r="C1691" s="196" t="s">
        <v>9092</v>
      </c>
      <c r="D1691" s="146" t="s">
        <v>4692</v>
      </c>
      <c r="E1691" s="196" t="s">
        <v>9092</v>
      </c>
      <c r="F1691" s="150">
        <v>0</v>
      </c>
      <c r="G1691" s="209">
        <v>0</v>
      </c>
      <c r="H1691" s="209"/>
      <c r="I1691" s="209">
        <v>0</v>
      </c>
      <c r="J1691" s="150">
        <v>0</v>
      </c>
      <c r="K1691" s="150">
        <v>0</v>
      </c>
      <c r="L1691" s="150">
        <f t="shared" si="1463"/>
        <v>0</v>
      </c>
      <c r="M1691" s="150">
        <v>0</v>
      </c>
      <c r="N1691" s="150">
        <v>0</v>
      </c>
      <c r="O1691" s="150">
        <v>0</v>
      </c>
      <c r="P1691" s="150">
        <v>0</v>
      </c>
      <c r="Q1691" s="150">
        <v>0</v>
      </c>
      <c r="R1691" s="313">
        <f t="shared" si="1469"/>
        <v>0</v>
      </c>
      <c r="S1691" s="150">
        <f t="shared" si="1461"/>
        <v>0</v>
      </c>
      <c r="T1691" s="150">
        <v>0</v>
      </c>
      <c r="U1691" s="150">
        <v>0</v>
      </c>
      <c r="V1691" s="199">
        <v>0</v>
      </c>
      <c r="W1691" s="150">
        <f t="shared" si="1470"/>
        <v>0</v>
      </c>
      <c r="X1691" s="150">
        <v>0</v>
      </c>
      <c r="Y1691" s="150">
        <v>0</v>
      </c>
      <c r="Z1691" s="150">
        <v>0</v>
      </c>
      <c r="AA1691" s="150">
        <f t="shared" si="1457"/>
        <v>0</v>
      </c>
      <c r="AB1691" s="150">
        <v>0</v>
      </c>
      <c r="AC1691" s="199">
        <v>0</v>
      </c>
      <c r="AD1691" s="150">
        <f t="shared" si="1471"/>
        <v>0</v>
      </c>
      <c r="AE1691" s="150">
        <v>0</v>
      </c>
      <c r="AF1691" s="169" t="s">
        <v>4680</v>
      </c>
      <c r="AG1691" s="201">
        <v>0</v>
      </c>
      <c r="AH1691" s="199">
        <v>0</v>
      </c>
      <c r="AI1691" s="150">
        <v>0</v>
      </c>
      <c r="AJ1691" s="169">
        <f t="shared" si="1458"/>
        <v>0</v>
      </c>
      <c r="AK1691" s="201">
        <v>0</v>
      </c>
      <c r="AL1691" s="199">
        <v>0</v>
      </c>
      <c r="AM1691" s="150">
        <f t="shared" si="1472"/>
        <v>0</v>
      </c>
      <c r="AN1691" s="153">
        <f t="shared" si="1459"/>
        <v>0</v>
      </c>
      <c r="AO1691" s="154">
        <f t="shared" si="1460"/>
        <v>0</v>
      </c>
      <c r="AP1691" s="150">
        <v>0</v>
      </c>
      <c r="AQ1691" s="201">
        <v>0</v>
      </c>
      <c r="AR1691" s="199">
        <v>0</v>
      </c>
      <c r="AS1691" s="150">
        <f t="shared" si="1473"/>
        <v>0</v>
      </c>
      <c r="AT1691" s="155"/>
      <c r="AU1691" s="156">
        <f t="shared" si="1455"/>
        <v>0</v>
      </c>
      <c r="AV1691" s="156">
        <f t="shared" si="1456"/>
        <v>0</v>
      </c>
      <c r="AW1691" s="157"/>
      <c r="AX1691" s="150">
        <v>0</v>
      </c>
      <c r="AY1691" s="150">
        <v>0</v>
      </c>
      <c r="AZ1691" s="150"/>
      <c r="BA1691" s="150">
        <f t="shared" si="1474"/>
        <v>0</v>
      </c>
      <c r="BB1691" s="202">
        <v>5</v>
      </c>
      <c r="BC1691" s="202" t="s">
        <v>755</v>
      </c>
      <c r="BD1691" s="202" t="s">
        <v>632</v>
      </c>
      <c r="BE1691" s="202" t="s">
        <v>647</v>
      </c>
      <c r="BF1691" s="202" t="s">
        <v>647</v>
      </c>
      <c r="BG1691" s="231" t="s">
        <v>9093</v>
      </c>
      <c r="BH1691" s="216">
        <f>AS1691</f>
        <v>0</v>
      </c>
      <c r="BI1691" s="205"/>
      <c r="BJ1691" s="206" t="s">
        <v>9086</v>
      </c>
      <c r="BK1691" s="206" t="s">
        <v>592</v>
      </c>
      <c r="BL1691" s="207" t="s">
        <v>9087</v>
      </c>
      <c r="BM1691" s="208">
        <f>BH1691</f>
        <v>0</v>
      </c>
      <c r="BN1691" s="160"/>
      <c r="BO1691" s="161">
        <f t="shared" si="1462"/>
        <v>0</v>
      </c>
      <c r="BP1691" s="161"/>
    </row>
    <row r="1692" spans="1:68" ht="51">
      <c r="A1692" s="206" t="s">
        <v>592</v>
      </c>
      <c r="B1692" s="195" t="s">
        <v>9094</v>
      </c>
      <c r="C1692" s="196" t="s">
        <v>9095</v>
      </c>
      <c r="D1692" s="146" t="s">
        <v>4692</v>
      </c>
      <c r="E1692" s="196" t="s">
        <v>9095</v>
      </c>
      <c r="F1692" s="150">
        <v>0</v>
      </c>
      <c r="G1692" s="209">
        <v>0</v>
      </c>
      <c r="H1692" s="209"/>
      <c r="I1692" s="209">
        <v>0</v>
      </c>
      <c r="J1692" s="150">
        <v>0</v>
      </c>
      <c r="K1692" s="150">
        <v>0</v>
      </c>
      <c r="L1692" s="150">
        <f t="shared" si="1463"/>
        <v>0</v>
      </c>
      <c r="M1692" s="150">
        <v>0</v>
      </c>
      <c r="N1692" s="150">
        <v>0</v>
      </c>
      <c r="O1692" s="150">
        <v>0</v>
      </c>
      <c r="P1692" s="150">
        <v>0</v>
      </c>
      <c r="Q1692" s="150">
        <v>0</v>
      </c>
      <c r="R1692" s="313">
        <f t="shared" si="1469"/>
        <v>0</v>
      </c>
      <c r="S1692" s="150">
        <f t="shared" si="1461"/>
        <v>0</v>
      </c>
      <c r="T1692" s="150">
        <v>0</v>
      </c>
      <c r="U1692" s="150">
        <v>0</v>
      </c>
      <c r="V1692" s="199">
        <v>0</v>
      </c>
      <c r="W1692" s="150">
        <f t="shared" si="1470"/>
        <v>0</v>
      </c>
      <c r="X1692" s="150">
        <v>0</v>
      </c>
      <c r="Y1692" s="150">
        <v>0</v>
      </c>
      <c r="Z1692" s="150">
        <v>0</v>
      </c>
      <c r="AA1692" s="150">
        <f t="shared" si="1457"/>
        <v>0</v>
      </c>
      <c r="AB1692" s="150">
        <v>0</v>
      </c>
      <c r="AC1692" s="199">
        <v>0</v>
      </c>
      <c r="AD1692" s="150">
        <f t="shared" si="1471"/>
        <v>0</v>
      </c>
      <c r="AE1692" s="150">
        <v>0</v>
      </c>
      <c r="AF1692" s="169" t="s">
        <v>4680</v>
      </c>
      <c r="AG1692" s="201">
        <v>0</v>
      </c>
      <c r="AH1692" s="199">
        <v>0</v>
      </c>
      <c r="AI1692" s="150">
        <v>0</v>
      </c>
      <c r="AJ1692" s="169">
        <f t="shared" si="1458"/>
        <v>0</v>
      </c>
      <c r="AK1692" s="201">
        <v>0</v>
      </c>
      <c r="AL1692" s="199">
        <v>0</v>
      </c>
      <c r="AM1692" s="150">
        <f t="shared" si="1472"/>
        <v>0</v>
      </c>
      <c r="AN1692" s="153">
        <f t="shared" si="1459"/>
        <v>0</v>
      </c>
      <c r="AO1692" s="154">
        <f t="shared" si="1460"/>
        <v>0</v>
      </c>
      <c r="AP1692" s="150">
        <v>0</v>
      </c>
      <c r="AQ1692" s="201">
        <v>0</v>
      </c>
      <c r="AR1692" s="199">
        <v>0</v>
      </c>
      <c r="AS1692" s="150">
        <f t="shared" si="1473"/>
        <v>0</v>
      </c>
      <c r="AT1692" s="155"/>
      <c r="AU1692" s="156">
        <f t="shared" si="1455"/>
        <v>0</v>
      </c>
      <c r="AV1692" s="156">
        <f t="shared" si="1456"/>
        <v>0</v>
      </c>
      <c r="AW1692" s="157"/>
      <c r="AX1692" s="150">
        <v>0</v>
      </c>
      <c r="AY1692" s="150">
        <v>0</v>
      </c>
      <c r="AZ1692" s="150"/>
      <c r="BA1692" s="150">
        <f t="shared" si="1474"/>
        <v>0</v>
      </c>
      <c r="BB1692" s="202">
        <v>5</v>
      </c>
      <c r="BC1692" s="202" t="s">
        <v>755</v>
      </c>
      <c r="BD1692" s="202" t="s">
        <v>632</v>
      </c>
      <c r="BE1692" s="202" t="s">
        <v>647</v>
      </c>
      <c r="BF1692" s="202" t="s">
        <v>671</v>
      </c>
      <c r="BG1692" s="231" t="s">
        <v>9096</v>
      </c>
      <c r="BH1692" s="216">
        <f>AS1692</f>
        <v>0</v>
      </c>
      <c r="BI1692" s="205"/>
      <c r="BJ1692" s="206" t="s">
        <v>9086</v>
      </c>
      <c r="BK1692" s="206" t="s">
        <v>592</v>
      </c>
      <c r="BL1692" s="207" t="s">
        <v>9087</v>
      </c>
      <c r="BM1692" s="208">
        <f>BH1692</f>
        <v>0</v>
      </c>
      <c r="BN1692" s="160"/>
      <c r="BO1692" s="161">
        <f t="shared" si="1462"/>
        <v>0</v>
      </c>
      <c r="BP1692" s="161"/>
    </row>
    <row r="1693" spans="1:68" ht="38.25">
      <c r="A1693" s="206" t="s">
        <v>592</v>
      </c>
      <c r="B1693" s="195" t="s">
        <v>9097</v>
      </c>
      <c r="C1693" s="196" t="s">
        <v>9098</v>
      </c>
      <c r="D1693" s="146" t="s">
        <v>4692</v>
      </c>
      <c r="E1693" s="196" t="s">
        <v>9098</v>
      </c>
      <c r="F1693" s="150">
        <v>0</v>
      </c>
      <c r="G1693" s="209">
        <v>0</v>
      </c>
      <c r="H1693" s="209"/>
      <c r="I1693" s="209">
        <v>0</v>
      </c>
      <c r="J1693" s="150">
        <v>0</v>
      </c>
      <c r="K1693" s="150">
        <v>0</v>
      </c>
      <c r="L1693" s="150">
        <f t="shared" si="1463"/>
        <v>0</v>
      </c>
      <c r="M1693" s="150">
        <v>0</v>
      </c>
      <c r="N1693" s="150">
        <v>0</v>
      </c>
      <c r="O1693" s="150">
        <v>0</v>
      </c>
      <c r="P1693" s="150">
        <v>0</v>
      </c>
      <c r="Q1693" s="150">
        <v>0</v>
      </c>
      <c r="R1693" s="313">
        <f t="shared" si="1469"/>
        <v>0</v>
      </c>
      <c r="S1693" s="150">
        <f t="shared" si="1461"/>
        <v>0</v>
      </c>
      <c r="T1693" s="150">
        <v>0</v>
      </c>
      <c r="U1693" s="150">
        <v>0</v>
      </c>
      <c r="V1693" s="199">
        <v>0</v>
      </c>
      <c r="W1693" s="150">
        <f t="shared" si="1470"/>
        <v>0</v>
      </c>
      <c r="X1693" s="150">
        <v>0</v>
      </c>
      <c r="Y1693" s="150">
        <v>0</v>
      </c>
      <c r="Z1693" s="150">
        <v>0</v>
      </c>
      <c r="AA1693" s="150">
        <f t="shared" si="1457"/>
        <v>0</v>
      </c>
      <c r="AB1693" s="150">
        <v>0</v>
      </c>
      <c r="AC1693" s="199">
        <v>0</v>
      </c>
      <c r="AD1693" s="150">
        <f t="shared" si="1471"/>
        <v>0</v>
      </c>
      <c r="AE1693" s="150">
        <v>0</v>
      </c>
      <c r="AF1693" s="169" t="s">
        <v>4680</v>
      </c>
      <c r="AG1693" s="201">
        <v>0</v>
      </c>
      <c r="AH1693" s="199">
        <v>0</v>
      </c>
      <c r="AI1693" s="150">
        <v>0</v>
      </c>
      <c r="AJ1693" s="169">
        <f t="shared" si="1458"/>
        <v>0</v>
      </c>
      <c r="AK1693" s="201">
        <v>0</v>
      </c>
      <c r="AL1693" s="199">
        <v>0</v>
      </c>
      <c r="AM1693" s="150">
        <f t="shared" si="1472"/>
        <v>0</v>
      </c>
      <c r="AN1693" s="153">
        <f t="shared" si="1459"/>
        <v>0</v>
      </c>
      <c r="AO1693" s="154">
        <f t="shared" si="1460"/>
        <v>0</v>
      </c>
      <c r="AP1693" s="150">
        <v>0</v>
      </c>
      <c r="AQ1693" s="201">
        <v>0</v>
      </c>
      <c r="AR1693" s="199">
        <v>0</v>
      </c>
      <c r="AS1693" s="150">
        <f t="shared" si="1473"/>
        <v>0</v>
      </c>
      <c r="AT1693" s="155"/>
      <c r="AU1693" s="156">
        <f t="shared" si="1455"/>
        <v>0</v>
      </c>
      <c r="AV1693" s="156">
        <f t="shared" si="1456"/>
        <v>0</v>
      </c>
      <c r="AW1693" s="157"/>
      <c r="AX1693" s="150">
        <v>0</v>
      </c>
      <c r="AY1693" s="150">
        <v>0</v>
      </c>
      <c r="AZ1693" s="150"/>
      <c r="BA1693" s="150">
        <f t="shared" si="1474"/>
        <v>0</v>
      </c>
      <c r="BB1693" s="202">
        <v>5</v>
      </c>
      <c r="BC1693" s="202" t="s">
        <v>755</v>
      </c>
      <c r="BD1693" s="202" t="s">
        <v>632</v>
      </c>
      <c r="BE1693" s="202" t="s">
        <v>647</v>
      </c>
      <c r="BF1693" s="202" t="s">
        <v>693</v>
      </c>
      <c r="BG1693" s="231" t="s">
        <v>9099</v>
      </c>
      <c r="BH1693" s="216">
        <f>AS1693</f>
        <v>0</v>
      </c>
      <c r="BI1693" s="205"/>
      <c r="BJ1693" s="206" t="s">
        <v>9086</v>
      </c>
      <c r="BK1693" s="206" t="s">
        <v>592</v>
      </c>
      <c r="BL1693" s="207" t="s">
        <v>9087</v>
      </c>
      <c r="BM1693" s="208">
        <f>BH1693</f>
        <v>0</v>
      </c>
      <c r="BN1693" s="160"/>
      <c r="BO1693" s="161">
        <f t="shared" si="1462"/>
        <v>0</v>
      </c>
      <c r="BP1693" s="161"/>
    </row>
    <row r="1694" spans="1:68" ht="38.25">
      <c r="A1694" s="206" t="s">
        <v>592</v>
      </c>
      <c r="B1694" s="195" t="s">
        <v>9100</v>
      </c>
      <c r="C1694" s="196" t="s">
        <v>9101</v>
      </c>
      <c r="D1694" s="146" t="s">
        <v>4692</v>
      </c>
      <c r="E1694" s="196" t="s">
        <v>9101</v>
      </c>
      <c r="F1694" s="150">
        <v>0</v>
      </c>
      <c r="G1694" s="209">
        <v>0</v>
      </c>
      <c r="H1694" s="209"/>
      <c r="I1694" s="209">
        <v>0</v>
      </c>
      <c r="J1694" s="150">
        <v>0</v>
      </c>
      <c r="K1694" s="150">
        <v>0</v>
      </c>
      <c r="L1694" s="150">
        <f t="shared" si="1463"/>
        <v>0</v>
      </c>
      <c r="M1694" s="150">
        <v>0</v>
      </c>
      <c r="N1694" s="150">
        <v>0</v>
      </c>
      <c r="O1694" s="150">
        <v>0</v>
      </c>
      <c r="P1694" s="150">
        <v>0</v>
      </c>
      <c r="Q1694" s="150">
        <v>0</v>
      </c>
      <c r="R1694" s="313">
        <f t="shared" si="1469"/>
        <v>0</v>
      </c>
      <c r="S1694" s="150">
        <f t="shared" si="1461"/>
        <v>0</v>
      </c>
      <c r="T1694" s="150">
        <v>0</v>
      </c>
      <c r="U1694" s="150">
        <v>0</v>
      </c>
      <c r="V1694" s="199">
        <v>0</v>
      </c>
      <c r="W1694" s="150">
        <f t="shared" si="1470"/>
        <v>0</v>
      </c>
      <c r="X1694" s="150">
        <v>0</v>
      </c>
      <c r="Y1694" s="150">
        <v>0</v>
      </c>
      <c r="Z1694" s="150">
        <v>0</v>
      </c>
      <c r="AA1694" s="150">
        <f t="shared" si="1457"/>
        <v>0</v>
      </c>
      <c r="AB1694" s="150">
        <v>0</v>
      </c>
      <c r="AC1694" s="199">
        <v>0</v>
      </c>
      <c r="AD1694" s="150">
        <f t="shared" si="1471"/>
        <v>0</v>
      </c>
      <c r="AE1694" s="150">
        <v>0</v>
      </c>
      <c r="AF1694" s="169" t="s">
        <v>4680</v>
      </c>
      <c r="AG1694" s="201">
        <v>0</v>
      </c>
      <c r="AH1694" s="199">
        <v>0</v>
      </c>
      <c r="AI1694" s="150">
        <v>0</v>
      </c>
      <c r="AJ1694" s="169">
        <f t="shared" si="1458"/>
        <v>0</v>
      </c>
      <c r="AK1694" s="201">
        <v>0</v>
      </c>
      <c r="AL1694" s="199">
        <v>0</v>
      </c>
      <c r="AM1694" s="150">
        <f t="shared" si="1472"/>
        <v>0</v>
      </c>
      <c r="AN1694" s="153">
        <f t="shared" si="1459"/>
        <v>0</v>
      </c>
      <c r="AO1694" s="154">
        <f t="shared" si="1460"/>
        <v>0</v>
      </c>
      <c r="AP1694" s="150">
        <v>0</v>
      </c>
      <c r="AQ1694" s="201">
        <v>0</v>
      </c>
      <c r="AR1694" s="199">
        <v>0</v>
      </c>
      <c r="AS1694" s="150">
        <f t="shared" si="1473"/>
        <v>0</v>
      </c>
      <c r="AT1694" s="155"/>
      <c r="AU1694" s="156">
        <f t="shared" si="1455"/>
        <v>0</v>
      </c>
      <c r="AV1694" s="156">
        <f t="shared" si="1456"/>
        <v>0</v>
      </c>
      <c r="AW1694" s="157"/>
      <c r="AX1694" s="150">
        <v>0</v>
      </c>
      <c r="AY1694" s="150">
        <v>0</v>
      </c>
      <c r="AZ1694" s="150"/>
      <c r="BA1694" s="150">
        <f t="shared" si="1474"/>
        <v>0</v>
      </c>
      <c r="BB1694" s="202">
        <v>5</v>
      </c>
      <c r="BC1694" s="202" t="s">
        <v>755</v>
      </c>
      <c r="BD1694" s="202" t="s">
        <v>632</v>
      </c>
      <c r="BE1694" s="202" t="s">
        <v>647</v>
      </c>
      <c r="BF1694" s="202" t="s">
        <v>714</v>
      </c>
      <c r="BG1694" s="231" t="s">
        <v>9102</v>
      </c>
      <c r="BH1694" s="216">
        <f>SUM(AS1694:AS1701)</f>
        <v>0</v>
      </c>
      <c r="BI1694" s="205"/>
      <c r="BJ1694" s="206" t="s">
        <v>9086</v>
      </c>
      <c r="BK1694" s="206" t="s">
        <v>592</v>
      </c>
      <c r="BL1694" s="207" t="s">
        <v>9087</v>
      </c>
      <c r="BM1694" s="208">
        <f>BH1694</f>
        <v>0</v>
      </c>
      <c r="BN1694" s="160"/>
      <c r="BO1694" s="161">
        <f t="shared" si="1462"/>
        <v>0</v>
      </c>
      <c r="BP1694" s="161"/>
    </row>
    <row r="1695" spans="1:68" ht="38.25">
      <c r="A1695" s="210"/>
      <c r="B1695" s="195" t="s">
        <v>9103</v>
      </c>
      <c r="C1695" s="196" t="s">
        <v>9104</v>
      </c>
      <c r="D1695" s="146" t="s">
        <v>4692</v>
      </c>
      <c r="E1695" s="196" t="s">
        <v>9104</v>
      </c>
      <c r="F1695" s="150">
        <v>0</v>
      </c>
      <c r="G1695" s="209">
        <v>0</v>
      </c>
      <c r="H1695" s="209"/>
      <c r="I1695" s="209">
        <v>0</v>
      </c>
      <c r="J1695" s="150">
        <v>0</v>
      </c>
      <c r="K1695" s="150">
        <v>0</v>
      </c>
      <c r="L1695" s="150">
        <f t="shared" si="1463"/>
        <v>0</v>
      </c>
      <c r="M1695" s="150">
        <v>0</v>
      </c>
      <c r="N1695" s="150">
        <v>0</v>
      </c>
      <c r="O1695" s="150">
        <v>0</v>
      </c>
      <c r="P1695" s="150">
        <v>0</v>
      </c>
      <c r="Q1695" s="150">
        <v>0</v>
      </c>
      <c r="R1695" s="313">
        <f t="shared" si="1469"/>
        <v>0</v>
      </c>
      <c r="S1695" s="150">
        <f t="shared" si="1461"/>
        <v>0</v>
      </c>
      <c r="T1695" s="150">
        <v>0</v>
      </c>
      <c r="U1695" s="150">
        <v>0</v>
      </c>
      <c r="V1695" s="199">
        <v>0</v>
      </c>
      <c r="W1695" s="150">
        <f t="shared" si="1470"/>
        <v>0</v>
      </c>
      <c r="X1695" s="150">
        <v>0</v>
      </c>
      <c r="Y1695" s="150">
        <v>0</v>
      </c>
      <c r="Z1695" s="150">
        <v>0</v>
      </c>
      <c r="AA1695" s="150">
        <f t="shared" si="1457"/>
        <v>0</v>
      </c>
      <c r="AB1695" s="150">
        <v>0</v>
      </c>
      <c r="AC1695" s="199">
        <v>0</v>
      </c>
      <c r="AD1695" s="150">
        <f t="shared" si="1471"/>
        <v>0</v>
      </c>
      <c r="AE1695" s="150">
        <v>0</v>
      </c>
      <c r="AF1695" s="169" t="s">
        <v>4680</v>
      </c>
      <c r="AG1695" s="201">
        <v>0</v>
      </c>
      <c r="AH1695" s="199">
        <v>0</v>
      </c>
      <c r="AI1695" s="150">
        <v>0</v>
      </c>
      <c r="AJ1695" s="169">
        <f t="shared" si="1458"/>
        <v>0</v>
      </c>
      <c r="AK1695" s="201">
        <v>0</v>
      </c>
      <c r="AL1695" s="199">
        <v>0</v>
      </c>
      <c r="AM1695" s="150">
        <f t="shared" si="1472"/>
        <v>0</v>
      </c>
      <c r="AN1695" s="153">
        <f t="shared" si="1459"/>
        <v>0</v>
      </c>
      <c r="AO1695" s="154">
        <f t="shared" si="1460"/>
        <v>0</v>
      </c>
      <c r="AP1695" s="150">
        <v>0</v>
      </c>
      <c r="AQ1695" s="201">
        <v>0</v>
      </c>
      <c r="AR1695" s="199">
        <v>0</v>
      </c>
      <c r="AS1695" s="150">
        <f t="shared" si="1473"/>
        <v>0</v>
      </c>
      <c r="AT1695" s="155"/>
      <c r="AU1695" s="156">
        <f t="shared" si="1455"/>
        <v>0</v>
      </c>
      <c r="AV1695" s="156">
        <f t="shared" si="1456"/>
        <v>0</v>
      </c>
      <c r="AW1695" s="157"/>
      <c r="AX1695" s="150">
        <v>0</v>
      </c>
      <c r="AY1695" s="150">
        <v>0</v>
      </c>
      <c r="AZ1695" s="150"/>
      <c r="BA1695" s="150">
        <f t="shared" si="1474"/>
        <v>0</v>
      </c>
      <c r="BB1695" s="210"/>
      <c r="BC1695" s="210"/>
      <c r="BD1695" s="210"/>
      <c r="BE1695" s="210"/>
      <c r="BF1695" s="210"/>
      <c r="BG1695" s="210"/>
      <c r="BH1695" s="217"/>
      <c r="BI1695" s="210"/>
      <c r="BJ1695" s="210"/>
      <c r="BK1695" s="210"/>
      <c r="BL1695" s="210"/>
      <c r="BM1695" s="208"/>
      <c r="BN1695" s="160"/>
      <c r="BO1695" s="161">
        <f t="shared" si="1462"/>
        <v>0</v>
      </c>
      <c r="BP1695" s="161"/>
    </row>
    <row r="1696" spans="1:68" ht="38.25">
      <c r="A1696" s="210"/>
      <c r="B1696" s="195" t="s">
        <v>9105</v>
      </c>
      <c r="C1696" s="196" t="s">
        <v>9106</v>
      </c>
      <c r="D1696" s="146" t="s">
        <v>4692</v>
      </c>
      <c r="E1696" s="196" t="s">
        <v>9106</v>
      </c>
      <c r="F1696" s="150">
        <v>0</v>
      </c>
      <c r="G1696" s="209">
        <v>0</v>
      </c>
      <c r="H1696" s="209"/>
      <c r="I1696" s="209">
        <v>0</v>
      </c>
      <c r="J1696" s="150">
        <v>0</v>
      </c>
      <c r="K1696" s="150">
        <v>0</v>
      </c>
      <c r="L1696" s="150">
        <f t="shared" si="1463"/>
        <v>0</v>
      </c>
      <c r="M1696" s="150">
        <v>0</v>
      </c>
      <c r="N1696" s="150">
        <v>0</v>
      </c>
      <c r="O1696" s="150">
        <v>0</v>
      </c>
      <c r="P1696" s="150">
        <v>0</v>
      </c>
      <c r="Q1696" s="150">
        <v>0</v>
      </c>
      <c r="R1696" s="313">
        <f t="shared" si="1469"/>
        <v>0</v>
      </c>
      <c r="S1696" s="150">
        <f t="shared" si="1461"/>
        <v>0</v>
      </c>
      <c r="T1696" s="150">
        <v>0</v>
      </c>
      <c r="U1696" s="150">
        <v>0</v>
      </c>
      <c r="V1696" s="199">
        <v>0</v>
      </c>
      <c r="W1696" s="150">
        <f t="shared" si="1470"/>
        <v>0</v>
      </c>
      <c r="X1696" s="150">
        <v>0</v>
      </c>
      <c r="Y1696" s="150">
        <v>0</v>
      </c>
      <c r="Z1696" s="150">
        <v>0</v>
      </c>
      <c r="AA1696" s="150">
        <f t="shared" si="1457"/>
        <v>0</v>
      </c>
      <c r="AB1696" s="150">
        <v>0</v>
      </c>
      <c r="AC1696" s="199">
        <v>0</v>
      </c>
      <c r="AD1696" s="150">
        <f t="shared" si="1471"/>
        <v>0</v>
      </c>
      <c r="AE1696" s="150">
        <v>0</v>
      </c>
      <c r="AF1696" s="169" t="s">
        <v>4680</v>
      </c>
      <c r="AG1696" s="201">
        <v>0</v>
      </c>
      <c r="AH1696" s="199">
        <v>0</v>
      </c>
      <c r="AI1696" s="150">
        <v>0</v>
      </c>
      <c r="AJ1696" s="169">
        <f t="shared" si="1458"/>
        <v>0</v>
      </c>
      <c r="AK1696" s="201">
        <v>0</v>
      </c>
      <c r="AL1696" s="199">
        <v>0</v>
      </c>
      <c r="AM1696" s="150">
        <f t="shared" si="1472"/>
        <v>0</v>
      </c>
      <c r="AN1696" s="153">
        <f t="shared" si="1459"/>
        <v>0</v>
      </c>
      <c r="AO1696" s="154">
        <f t="shared" si="1460"/>
        <v>0</v>
      </c>
      <c r="AP1696" s="150">
        <v>0</v>
      </c>
      <c r="AQ1696" s="201">
        <v>0</v>
      </c>
      <c r="AR1696" s="199">
        <v>0</v>
      </c>
      <c r="AS1696" s="150">
        <f t="shared" si="1473"/>
        <v>0</v>
      </c>
      <c r="AT1696" s="155"/>
      <c r="AU1696" s="156">
        <f t="shared" si="1455"/>
        <v>0</v>
      </c>
      <c r="AV1696" s="156">
        <f t="shared" si="1456"/>
        <v>0</v>
      </c>
      <c r="AW1696" s="157"/>
      <c r="AX1696" s="150">
        <v>0</v>
      </c>
      <c r="AY1696" s="150">
        <v>0</v>
      </c>
      <c r="AZ1696" s="150"/>
      <c r="BA1696" s="150">
        <f t="shared" si="1474"/>
        <v>0</v>
      </c>
      <c r="BB1696" s="210"/>
      <c r="BC1696" s="210"/>
      <c r="BD1696" s="210"/>
      <c r="BE1696" s="210"/>
      <c r="BF1696" s="210"/>
      <c r="BG1696" s="210"/>
      <c r="BH1696" s="217"/>
      <c r="BI1696" s="210"/>
      <c r="BJ1696" s="210"/>
      <c r="BK1696" s="210"/>
      <c r="BL1696" s="210"/>
      <c r="BM1696" s="208"/>
      <c r="BN1696" s="160"/>
      <c r="BO1696" s="161">
        <f t="shared" si="1462"/>
        <v>0</v>
      </c>
      <c r="BP1696" s="161"/>
    </row>
    <row r="1697" spans="1:68" ht="51">
      <c r="A1697" s="210"/>
      <c r="B1697" s="195" t="s">
        <v>9107</v>
      </c>
      <c r="C1697" s="196" t="s">
        <v>9108</v>
      </c>
      <c r="D1697" s="146" t="s">
        <v>4692</v>
      </c>
      <c r="E1697" s="196" t="s">
        <v>9108</v>
      </c>
      <c r="F1697" s="150">
        <v>0</v>
      </c>
      <c r="G1697" s="209">
        <v>0</v>
      </c>
      <c r="H1697" s="209"/>
      <c r="I1697" s="209">
        <v>0</v>
      </c>
      <c r="J1697" s="150">
        <v>0</v>
      </c>
      <c r="K1697" s="150">
        <v>0</v>
      </c>
      <c r="L1697" s="150">
        <f t="shared" si="1463"/>
        <v>0</v>
      </c>
      <c r="M1697" s="150">
        <v>0</v>
      </c>
      <c r="N1697" s="150">
        <v>0</v>
      </c>
      <c r="O1697" s="150">
        <v>0</v>
      </c>
      <c r="P1697" s="150">
        <v>0</v>
      </c>
      <c r="Q1697" s="150">
        <v>0</v>
      </c>
      <c r="R1697" s="313">
        <f t="shared" si="1469"/>
        <v>0</v>
      </c>
      <c r="S1697" s="150">
        <f t="shared" si="1461"/>
        <v>0</v>
      </c>
      <c r="T1697" s="150">
        <v>0</v>
      </c>
      <c r="U1697" s="150">
        <v>0</v>
      </c>
      <c r="V1697" s="199">
        <v>0</v>
      </c>
      <c r="W1697" s="150">
        <f t="shared" si="1470"/>
        <v>0</v>
      </c>
      <c r="X1697" s="150">
        <v>0</v>
      </c>
      <c r="Y1697" s="150">
        <v>0</v>
      </c>
      <c r="Z1697" s="150">
        <v>0</v>
      </c>
      <c r="AA1697" s="150">
        <f t="shared" si="1457"/>
        <v>0</v>
      </c>
      <c r="AB1697" s="150">
        <v>0</v>
      </c>
      <c r="AC1697" s="199">
        <v>0</v>
      </c>
      <c r="AD1697" s="150">
        <f t="shared" si="1471"/>
        <v>0</v>
      </c>
      <c r="AE1697" s="150">
        <v>0</v>
      </c>
      <c r="AF1697" s="169" t="s">
        <v>4680</v>
      </c>
      <c r="AG1697" s="201">
        <v>0</v>
      </c>
      <c r="AH1697" s="199">
        <v>0</v>
      </c>
      <c r="AI1697" s="150">
        <v>0</v>
      </c>
      <c r="AJ1697" s="169">
        <f t="shared" si="1458"/>
        <v>0</v>
      </c>
      <c r="AK1697" s="201">
        <v>0</v>
      </c>
      <c r="AL1697" s="199">
        <v>0</v>
      </c>
      <c r="AM1697" s="150">
        <f t="shared" si="1472"/>
        <v>0</v>
      </c>
      <c r="AN1697" s="153">
        <f t="shared" si="1459"/>
        <v>0</v>
      </c>
      <c r="AO1697" s="154">
        <f t="shared" si="1460"/>
        <v>0</v>
      </c>
      <c r="AP1697" s="150">
        <v>0</v>
      </c>
      <c r="AQ1697" s="201">
        <v>0</v>
      </c>
      <c r="AR1697" s="199">
        <v>0</v>
      </c>
      <c r="AS1697" s="150">
        <f t="shared" si="1473"/>
        <v>0</v>
      </c>
      <c r="AT1697" s="155"/>
      <c r="AU1697" s="156">
        <f t="shared" si="1455"/>
        <v>0</v>
      </c>
      <c r="AV1697" s="156">
        <f t="shared" si="1456"/>
        <v>0</v>
      </c>
      <c r="AW1697" s="157"/>
      <c r="AX1697" s="150">
        <v>0</v>
      </c>
      <c r="AY1697" s="150">
        <v>0</v>
      </c>
      <c r="AZ1697" s="150"/>
      <c r="BA1697" s="150">
        <f t="shared" si="1474"/>
        <v>0</v>
      </c>
      <c r="BB1697" s="210"/>
      <c r="BC1697" s="210"/>
      <c r="BD1697" s="210"/>
      <c r="BE1697" s="210"/>
      <c r="BF1697" s="210"/>
      <c r="BG1697" s="210"/>
      <c r="BH1697" s="217"/>
      <c r="BI1697" s="210"/>
      <c r="BJ1697" s="210"/>
      <c r="BK1697" s="210"/>
      <c r="BL1697" s="210"/>
      <c r="BM1697" s="208"/>
      <c r="BN1697" s="160"/>
      <c r="BO1697" s="161">
        <f t="shared" si="1462"/>
        <v>0</v>
      </c>
      <c r="BP1697" s="161"/>
    </row>
    <row r="1698" spans="1:68" ht="38.25">
      <c r="A1698" s="210"/>
      <c r="B1698" s="195" t="s">
        <v>9109</v>
      </c>
      <c r="C1698" s="196" t="s">
        <v>9110</v>
      </c>
      <c r="D1698" s="146" t="s">
        <v>4692</v>
      </c>
      <c r="E1698" s="196" t="s">
        <v>9110</v>
      </c>
      <c r="F1698" s="150">
        <v>0</v>
      </c>
      <c r="G1698" s="209">
        <v>0</v>
      </c>
      <c r="H1698" s="209"/>
      <c r="I1698" s="209">
        <v>0</v>
      </c>
      <c r="J1698" s="150">
        <v>0</v>
      </c>
      <c r="K1698" s="150">
        <v>0</v>
      </c>
      <c r="L1698" s="150">
        <f t="shared" si="1463"/>
        <v>0</v>
      </c>
      <c r="M1698" s="150">
        <v>0</v>
      </c>
      <c r="N1698" s="150">
        <v>0</v>
      </c>
      <c r="O1698" s="150">
        <v>0</v>
      </c>
      <c r="P1698" s="150">
        <v>0</v>
      </c>
      <c r="Q1698" s="150">
        <v>0</v>
      </c>
      <c r="R1698" s="313">
        <f t="shared" si="1469"/>
        <v>0</v>
      </c>
      <c r="S1698" s="150">
        <f t="shared" si="1461"/>
        <v>0</v>
      </c>
      <c r="T1698" s="150">
        <v>0</v>
      </c>
      <c r="U1698" s="150">
        <v>0</v>
      </c>
      <c r="V1698" s="199">
        <v>0</v>
      </c>
      <c r="W1698" s="150">
        <f t="shared" si="1470"/>
        <v>0</v>
      </c>
      <c r="X1698" s="150">
        <v>0</v>
      </c>
      <c r="Y1698" s="150">
        <v>0</v>
      </c>
      <c r="Z1698" s="150">
        <v>0</v>
      </c>
      <c r="AA1698" s="150">
        <f t="shared" si="1457"/>
        <v>0</v>
      </c>
      <c r="AB1698" s="150">
        <v>0</v>
      </c>
      <c r="AC1698" s="199">
        <v>0</v>
      </c>
      <c r="AD1698" s="150">
        <f t="shared" si="1471"/>
        <v>0</v>
      </c>
      <c r="AE1698" s="150">
        <v>0</v>
      </c>
      <c r="AF1698" s="169" t="s">
        <v>4680</v>
      </c>
      <c r="AG1698" s="201">
        <v>0</v>
      </c>
      <c r="AH1698" s="199">
        <v>0</v>
      </c>
      <c r="AI1698" s="150">
        <v>0</v>
      </c>
      <c r="AJ1698" s="169">
        <f t="shared" si="1458"/>
        <v>0</v>
      </c>
      <c r="AK1698" s="201">
        <v>0</v>
      </c>
      <c r="AL1698" s="199">
        <v>0</v>
      </c>
      <c r="AM1698" s="150">
        <f t="shared" si="1472"/>
        <v>0</v>
      </c>
      <c r="AN1698" s="153">
        <f t="shared" si="1459"/>
        <v>0</v>
      </c>
      <c r="AO1698" s="154">
        <f t="shared" si="1460"/>
        <v>0</v>
      </c>
      <c r="AP1698" s="150">
        <v>0</v>
      </c>
      <c r="AQ1698" s="201">
        <v>0</v>
      </c>
      <c r="AR1698" s="199">
        <v>0</v>
      </c>
      <c r="AS1698" s="150">
        <f t="shared" si="1473"/>
        <v>0</v>
      </c>
      <c r="AT1698" s="155"/>
      <c r="AU1698" s="156">
        <f t="shared" si="1455"/>
        <v>0</v>
      </c>
      <c r="AV1698" s="156">
        <f t="shared" si="1456"/>
        <v>0</v>
      </c>
      <c r="AW1698" s="157"/>
      <c r="AX1698" s="150">
        <v>0</v>
      </c>
      <c r="AY1698" s="150">
        <v>0</v>
      </c>
      <c r="AZ1698" s="150"/>
      <c r="BA1698" s="150">
        <f t="shared" si="1474"/>
        <v>0</v>
      </c>
      <c r="BB1698" s="210"/>
      <c r="BC1698" s="210"/>
      <c r="BD1698" s="210"/>
      <c r="BE1698" s="210"/>
      <c r="BF1698" s="210"/>
      <c r="BG1698" s="210"/>
      <c r="BH1698" s="217"/>
      <c r="BI1698" s="210"/>
      <c r="BJ1698" s="210"/>
      <c r="BK1698" s="210"/>
      <c r="BL1698" s="210"/>
      <c r="BM1698" s="208"/>
      <c r="BN1698" s="160"/>
      <c r="BO1698" s="161">
        <f t="shared" si="1462"/>
        <v>0</v>
      </c>
      <c r="BP1698" s="161"/>
    </row>
    <row r="1699" spans="1:68" ht="38.25">
      <c r="A1699" s="210"/>
      <c r="B1699" s="195" t="s">
        <v>9111</v>
      </c>
      <c r="C1699" s="196" t="s">
        <v>9112</v>
      </c>
      <c r="D1699" s="146" t="s">
        <v>4692</v>
      </c>
      <c r="E1699" s="196" t="s">
        <v>9112</v>
      </c>
      <c r="F1699" s="150">
        <v>0</v>
      </c>
      <c r="G1699" s="209">
        <v>0</v>
      </c>
      <c r="H1699" s="209"/>
      <c r="I1699" s="209">
        <v>0</v>
      </c>
      <c r="J1699" s="150">
        <v>0</v>
      </c>
      <c r="K1699" s="150">
        <v>0</v>
      </c>
      <c r="L1699" s="150">
        <f t="shared" si="1463"/>
        <v>0</v>
      </c>
      <c r="M1699" s="150">
        <v>0</v>
      </c>
      <c r="N1699" s="150">
        <v>0</v>
      </c>
      <c r="O1699" s="150">
        <v>0</v>
      </c>
      <c r="P1699" s="150">
        <v>0</v>
      </c>
      <c r="Q1699" s="150">
        <v>0</v>
      </c>
      <c r="R1699" s="313">
        <f t="shared" si="1469"/>
        <v>0</v>
      </c>
      <c r="S1699" s="150">
        <f t="shared" si="1461"/>
        <v>0</v>
      </c>
      <c r="T1699" s="150">
        <v>0</v>
      </c>
      <c r="U1699" s="150">
        <v>0</v>
      </c>
      <c r="V1699" s="199">
        <v>0</v>
      </c>
      <c r="W1699" s="150">
        <f t="shared" si="1470"/>
        <v>0</v>
      </c>
      <c r="X1699" s="150">
        <v>0</v>
      </c>
      <c r="Y1699" s="150">
        <v>0</v>
      </c>
      <c r="Z1699" s="150">
        <v>0</v>
      </c>
      <c r="AA1699" s="150">
        <f t="shared" si="1457"/>
        <v>0</v>
      </c>
      <c r="AB1699" s="150">
        <v>0</v>
      </c>
      <c r="AC1699" s="199">
        <v>0</v>
      </c>
      <c r="AD1699" s="150">
        <f t="shared" si="1471"/>
        <v>0</v>
      </c>
      <c r="AE1699" s="150">
        <v>0</v>
      </c>
      <c r="AF1699" s="169" t="s">
        <v>4680</v>
      </c>
      <c r="AG1699" s="201">
        <v>0</v>
      </c>
      <c r="AH1699" s="199">
        <v>0</v>
      </c>
      <c r="AI1699" s="150">
        <v>0</v>
      </c>
      <c r="AJ1699" s="169">
        <f t="shared" si="1458"/>
        <v>0</v>
      </c>
      <c r="AK1699" s="201">
        <v>0</v>
      </c>
      <c r="AL1699" s="199">
        <v>0</v>
      </c>
      <c r="AM1699" s="150">
        <f t="shared" si="1472"/>
        <v>0</v>
      </c>
      <c r="AN1699" s="153">
        <f t="shared" si="1459"/>
        <v>0</v>
      </c>
      <c r="AO1699" s="154">
        <f t="shared" si="1460"/>
        <v>0</v>
      </c>
      <c r="AP1699" s="150">
        <v>0</v>
      </c>
      <c r="AQ1699" s="201">
        <v>0</v>
      </c>
      <c r="AR1699" s="199">
        <v>0</v>
      </c>
      <c r="AS1699" s="150">
        <f t="shared" si="1473"/>
        <v>0</v>
      </c>
      <c r="AT1699" s="155"/>
      <c r="AU1699" s="156">
        <f t="shared" si="1455"/>
        <v>0</v>
      </c>
      <c r="AV1699" s="156">
        <f t="shared" si="1456"/>
        <v>0</v>
      </c>
      <c r="AW1699" s="157"/>
      <c r="AX1699" s="150">
        <v>0</v>
      </c>
      <c r="AY1699" s="150">
        <v>0</v>
      </c>
      <c r="AZ1699" s="150"/>
      <c r="BA1699" s="150">
        <f t="shared" si="1474"/>
        <v>0</v>
      </c>
      <c r="BB1699" s="210"/>
      <c r="BC1699" s="210"/>
      <c r="BD1699" s="210"/>
      <c r="BE1699" s="210"/>
      <c r="BF1699" s="210"/>
      <c r="BG1699" s="210"/>
      <c r="BH1699" s="217"/>
      <c r="BI1699" s="210"/>
      <c r="BJ1699" s="210"/>
      <c r="BK1699" s="210"/>
      <c r="BL1699" s="210"/>
      <c r="BM1699" s="208"/>
      <c r="BN1699" s="160"/>
      <c r="BO1699" s="161">
        <f t="shared" si="1462"/>
        <v>0</v>
      </c>
      <c r="BP1699" s="161"/>
    </row>
    <row r="1700" spans="1:68" ht="38.25">
      <c r="A1700" s="210"/>
      <c r="B1700" s="195" t="s">
        <v>9113</v>
      </c>
      <c r="C1700" s="196" t="s">
        <v>9114</v>
      </c>
      <c r="D1700" s="146" t="s">
        <v>4692</v>
      </c>
      <c r="E1700" s="196" t="s">
        <v>9114</v>
      </c>
      <c r="F1700" s="150">
        <v>0</v>
      </c>
      <c r="G1700" s="209">
        <v>0</v>
      </c>
      <c r="H1700" s="209"/>
      <c r="I1700" s="209">
        <v>0</v>
      </c>
      <c r="J1700" s="150">
        <v>0</v>
      </c>
      <c r="K1700" s="150">
        <v>0</v>
      </c>
      <c r="L1700" s="150">
        <f t="shared" si="1463"/>
        <v>0</v>
      </c>
      <c r="M1700" s="150">
        <v>0</v>
      </c>
      <c r="N1700" s="150">
        <v>0</v>
      </c>
      <c r="O1700" s="150">
        <v>0</v>
      </c>
      <c r="P1700" s="150">
        <v>0</v>
      </c>
      <c r="Q1700" s="150">
        <v>0</v>
      </c>
      <c r="R1700" s="313">
        <f t="shared" si="1469"/>
        <v>0</v>
      </c>
      <c r="S1700" s="150">
        <f t="shared" si="1461"/>
        <v>0</v>
      </c>
      <c r="T1700" s="150">
        <v>0</v>
      </c>
      <c r="U1700" s="150">
        <v>0</v>
      </c>
      <c r="V1700" s="199">
        <v>0</v>
      </c>
      <c r="W1700" s="150">
        <f t="shared" si="1470"/>
        <v>0</v>
      </c>
      <c r="X1700" s="150">
        <v>0</v>
      </c>
      <c r="Y1700" s="150">
        <v>0</v>
      </c>
      <c r="Z1700" s="150">
        <v>0</v>
      </c>
      <c r="AA1700" s="150">
        <f t="shared" si="1457"/>
        <v>0</v>
      </c>
      <c r="AB1700" s="150">
        <v>0</v>
      </c>
      <c r="AC1700" s="199">
        <v>0</v>
      </c>
      <c r="AD1700" s="150">
        <f t="shared" si="1471"/>
        <v>0</v>
      </c>
      <c r="AE1700" s="150">
        <v>0</v>
      </c>
      <c r="AF1700" s="169" t="s">
        <v>4680</v>
      </c>
      <c r="AG1700" s="201">
        <v>0</v>
      </c>
      <c r="AH1700" s="199">
        <v>0</v>
      </c>
      <c r="AI1700" s="150">
        <v>0</v>
      </c>
      <c r="AJ1700" s="169">
        <f t="shared" si="1458"/>
        <v>0</v>
      </c>
      <c r="AK1700" s="201">
        <v>0</v>
      </c>
      <c r="AL1700" s="199">
        <v>0</v>
      </c>
      <c r="AM1700" s="150">
        <f t="shared" si="1472"/>
        <v>0</v>
      </c>
      <c r="AN1700" s="153">
        <f t="shared" si="1459"/>
        <v>0</v>
      </c>
      <c r="AO1700" s="154">
        <f t="shared" si="1460"/>
        <v>0</v>
      </c>
      <c r="AP1700" s="150">
        <v>0</v>
      </c>
      <c r="AQ1700" s="201">
        <v>0</v>
      </c>
      <c r="AR1700" s="199">
        <v>0</v>
      </c>
      <c r="AS1700" s="150">
        <f t="shared" si="1473"/>
        <v>0</v>
      </c>
      <c r="AT1700" s="155"/>
      <c r="AU1700" s="156">
        <f t="shared" si="1455"/>
        <v>0</v>
      </c>
      <c r="AV1700" s="156">
        <f t="shared" si="1456"/>
        <v>0</v>
      </c>
      <c r="AW1700" s="157"/>
      <c r="AX1700" s="150">
        <v>0</v>
      </c>
      <c r="AY1700" s="150">
        <v>0</v>
      </c>
      <c r="AZ1700" s="150"/>
      <c r="BA1700" s="150">
        <f t="shared" si="1474"/>
        <v>0</v>
      </c>
      <c r="BB1700" s="210"/>
      <c r="BC1700" s="210"/>
      <c r="BD1700" s="210"/>
      <c r="BE1700" s="210"/>
      <c r="BF1700" s="210"/>
      <c r="BG1700" s="210"/>
      <c r="BH1700" s="217"/>
      <c r="BI1700" s="210"/>
      <c r="BJ1700" s="210"/>
      <c r="BK1700" s="210"/>
      <c r="BL1700" s="210"/>
      <c r="BM1700" s="208"/>
      <c r="BN1700" s="160"/>
      <c r="BO1700" s="161">
        <f t="shared" si="1462"/>
        <v>0</v>
      </c>
      <c r="BP1700" s="161"/>
    </row>
    <row r="1701" spans="1:68" ht="38.25">
      <c r="A1701" s="210"/>
      <c r="B1701" s="195" t="s">
        <v>9115</v>
      </c>
      <c r="C1701" s="196" t="s">
        <v>9116</v>
      </c>
      <c r="D1701" s="146" t="s">
        <v>4692</v>
      </c>
      <c r="E1701" s="196" t="s">
        <v>9116</v>
      </c>
      <c r="F1701" s="150">
        <v>0</v>
      </c>
      <c r="G1701" s="209">
        <v>0</v>
      </c>
      <c r="H1701" s="209"/>
      <c r="I1701" s="209">
        <v>0</v>
      </c>
      <c r="J1701" s="150">
        <v>0</v>
      </c>
      <c r="K1701" s="150">
        <v>0</v>
      </c>
      <c r="L1701" s="150">
        <f t="shared" si="1463"/>
        <v>0</v>
      </c>
      <c r="M1701" s="150">
        <v>0</v>
      </c>
      <c r="N1701" s="150">
        <v>0</v>
      </c>
      <c r="O1701" s="150">
        <v>0</v>
      </c>
      <c r="P1701" s="150">
        <v>0</v>
      </c>
      <c r="Q1701" s="150">
        <v>0</v>
      </c>
      <c r="R1701" s="313">
        <f t="shared" si="1469"/>
        <v>0</v>
      </c>
      <c r="S1701" s="150">
        <f t="shared" si="1461"/>
        <v>0</v>
      </c>
      <c r="T1701" s="150">
        <v>0</v>
      </c>
      <c r="U1701" s="150">
        <v>0</v>
      </c>
      <c r="V1701" s="199">
        <v>0</v>
      </c>
      <c r="W1701" s="150">
        <f t="shared" si="1470"/>
        <v>0</v>
      </c>
      <c r="X1701" s="150">
        <v>0</v>
      </c>
      <c r="Y1701" s="150">
        <v>0</v>
      </c>
      <c r="Z1701" s="150">
        <v>0</v>
      </c>
      <c r="AA1701" s="150">
        <f t="shared" si="1457"/>
        <v>0</v>
      </c>
      <c r="AB1701" s="150">
        <v>0</v>
      </c>
      <c r="AC1701" s="199">
        <v>0</v>
      </c>
      <c r="AD1701" s="150">
        <f t="shared" si="1471"/>
        <v>0</v>
      </c>
      <c r="AE1701" s="150">
        <v>0</v>
      </c>
      <c r="AF1701" s="169" t="s">
        <v>4680</v>
      </c>
      <c r="AG1701" s="201">
        <v>0</v>
      </c>
      <c r="AH1701" s="199">
        <v>0</v>
      </c>
      <c r="AI1701" s="150">
        <v>0</v>
      </c>
      <c r="AJ1701" s="169">
        <f t="shared" si="1458"/>
        <v>0</v>
      </c>
      <c r="AK1701" s="201">
        <v>0</v>
      </c>
      <c r="AL1701" s="199">
        <v>0</v>
      </c>
      <c r="AM1701" s="150">
        <f t="shared" si="1472"/>
        <v>0</v>
      </c>
      <c r="AN1701" s="153">
        <f t="shared" si="1459"/>
        <v>0</v>
      </c>
      <c r="AO1701" s="154">
        <f t="shared" si="1460"/>
        <v>0</v>
      </c>
      <c r="AP1701" s="150">
        <v>0</v>
      </c>
      <c r="AQ1701" s="201">
        <v>0</v>
      </c>
      <c r="AR1701" s="199">
        <v>0</v>
      </c>
      <c r="AS1701" s="150">
        <f t="shared" si="1473"/>
        <v>0</v>
      </c>
      <c r="AT1701" s="155"/>
      <c r="AU1701" s="156">
        <f t="shared" si="1455"/>
        <v>0</v>
      </c>
      <c r="AV1701" s="156">
        <f t="shared" si="1456"/>
        <v>0</v>
      </c>
      <c r="AW1701" s="157"/>
      <c r="AX1701" s="150">
        <v>0</v>
      </c>
      <c r="AY1701" s="150">
        <v>0</v>
      </c>
      <c r="AZ1701" s="150"/>
      <c r="BA1701" s="150">
        <f t="shared" si="1474"/>
        <v>0</v>
      </c>
      <c r="BB1701" s="210"/>
      <c r="BC1701" s="210"/>
      <c r="BD1701" s="210"/>
      <c r="BE1701" s="210"/>
      <c r="BF1701" s="210"/>
      <c r="BG1701" s="210"/>
      <c r="BH1701" s="217"/>
      <c r="BI1701" s="210"/>
      <c r="BJ1701" s="210"/>
      <c r="BK1701" s="210"/>
      <c r="BL1701" s="210"/>
      <c r="BM1701" s="208"/>
      <c r="BN1701" s="160"/>
      <c r="BO1701" s="161">
        <f t="shared" si="1462"/>
        <v>0</v>
      </c>
      <c r="BP1701" s="161"/>
    </row>
    <row r="1702" spans="1:68" ht="38.25">
      <c r="A1702" s="206" t="s">
        <v>592</v>
      </c>
      <c r="B1702" s="195" t="s">
        <v>9117</v>
      </c>
      <c r="C1702" s="196" t="s">
        <v>9118</v>
      </c>
      <c r="D1702" s="146" t="s">
        <v>4692</v>
      </c>
      <c r="E1702" s="196" t="s">
        <v>9118</v>
      </c>
      <c r="F1702" s="150">
        <v>0</v>
      </c>
      <c r="G1702" s="209">
        <v>0</v>
      </c>
      <c r="H1702" s="209"/>
      <c r="I1702" s="209">
        <v>0</v>
      </c>
      <c r="J1702" s="150">
        <v>0</v>
      </c>
      <c r="K1702" s="150">
        <v>0</v>
      </c>
      <c r="L1702" s="150">
        <f t="shared" si="1463"/>
        <v>0</v>
      </c>
      <c r="M1702" s="150">
        <v>0</v>
      </c>
      <c r="N1702" s="150">
        <v>0</v>
      </c>
      <c r="O1702" s="150">
        <v>0</v>
      </c>
      <c r="P1702" s="150">
        <v>0</v>
      </c>
      <c r="Q1702" s="150">
        <v>0</v>
      </c>
      <c r="R1702" s="313">
        <f t="shared" si="1469"/>
        <v>0</v>
      </c>
      <c r="S1702" s="150">
        <f t="shared" si="1461"/>
        <v>0</v>
      </c>
      <c r="T1702" s="150">
        <v>0</v>
      </c>
      <c r="U1702" s="150">
        <v>0</v>
      </c>
      <c r="V1702" s="199">
        <v>0</v>
      </c>
      <c r="W1702" s="150">
        <f t="shared" si="1470"/>
        <v>0</v>
      </c>
      <c r="X1702" s="150">
        <v>0</v>
      </c>
      <c r="Y1702" s="150">
        <v>0</v>
      </c>
      <c r="Z1702" s="150">
        <v>0</v>
      </c>
      <c r="AA1702" s="150">
        <f t="shared" si="1457"/>
        <v>0</v>
      </c>
      <c r="AB1702" s="150">
        <v>0</v>
      </c>
      <c r="AC1702" s="199">
        <v>0</v>
      </c>
      <c r="AD1702" s="150">
        <f t="shared" si="1471"/>
        <v>0</v>
      </c>
      <c r="AE1702" s="150">
        <v>0</v>
      </c>
      <c r="AF1702" s="169" t="s">
        <v>4680</v>
      </c>
      <c r="AG1702" s="201">
        <v>0</v>
      </c>
      <c r="AH1702" s="199">
        <v>0</v>
      </c>
      <c r="AI1702" s="150">
        <v>0</v>
      </c>
      <c r="AJ1702" s="169">
        <f t="shared" si="1458"/>
        <v>0</v>
      </c>
      <c r="AK1702" s="201">
        <v>0</v>
      </c>
      <c r="AL1702" s="199">
        <v>0</v>
      </c>
      <c r="AM1702" s="150">
        <f t="shared" si="1472"/>
        <v>0</v>
      </c>
      <c r="AN1702" s="153">
        <f t="shared" si="1459"/>
        <v>0</v>
      </c>
      <c r="AO1702" s="154">
        <f t="shared" si="1460"/>
        <v>0</v>
      </c>
      <c r="AP1702" s="150">
        <v>0</v>
      </c>
      <c r="AQ1702" s="201">
        <v>0</v>
      </c>
      <c r="AR1702" s="199">
        <v>0</v>
      </c>
      <c r="AS1702" s="150">
        <f t="shared" si="1473"/>
        <v>0</v>
      </c>
      <c r="AT1702" s="155"/>
      <c r="AU1702" s="156">
        <f t="shared" si="1455"/>
        <v>0</v>
      </c>
      <c r="AV1702" s="156">
        <f t="shared" si="1456"/>
        <v>0</v>
      </c>
      <c r="AW1702" s="157"/>
      <c r="AX1702" s="150">
        <v>0</v>
      </c>
      <c r="AY1702" s="150">
        <v>0</v>
      </c>
      <c r="AZ1702" s="150"/>
      <c r="BA1702" s="150">
        <f t="shared" si="1474"/>
        <v>0</v>
      </c>
      <c r="BB1702" s="202">
        <v>5</v>
      </c>
      <c r="BC1702" s="202" t="s">
        <v>755</v>
      </c>
      <c r="BD1702" s="202" t="s">
        <v>632</v>
      </c>
      <c r="BE1702" s="202" t="s">
        <v>647</v>
      </c>
      <c r="BF1702" s="202" t="s">
        <v>739</v>
      </c>
      <c r="BG1702" s="231" t="s">
        <v>9119</v>
      </c>
      <c r="BH1702" s="216">
        <f>AS1702</f>
        <v>0</v>
      </c>
      <c r="BI1702" s="205"/>
      <c r="BJ1702" s="206" t="s">
        <v>9086</v>
      </c>
      <c r="BK1702" s="206" t="s">
        <v>592</v>
      </c>
      <c r="BL1702" s="207" t="s">
        <v>9087</v>
      </c>
      <c r="BM1702" s="208">
        <f>BH1702</f>
        <v>0</v>
      </c>
      <c r="BN1702" s="160"/>
      <c r="BO1702" s="161">
        <f t="shared" si="1462"/>
        <v>0</v>
      </c>
      <c r="BP1702" s="161"/>
    </row>
    <row r="1703" spans="1:68" ht="51">
      <c r="A1703" s="206" t="s">
        <v>592</v>
      </c>
      <c r="B1703" s="195" t="s">
        <v>9120</v>
      </c>
      <c r="C1703" s="196" t="s">
        <v>9121</v>
      </c>
      <c r="D1703" s="146" t="s">
        <v>4692</v>
      </c>
      <c r="E1703" s="196" t="s">
        <v>9121</v>
      </c>
      <c r="F1703" s="150">
        <v>0</v>
      </c>
      <c r="G1703" s="209">
        <v>0</v>
      </c>
      <c r="H1703" s="209"/>
      <c r="I1703" s="209">
        <v>0</v>
      </c>
      <c r="J1703" s="150">
        <v>0</v>
      </c>
      <c r="K1703" s="150">
        <v>0</v>
      </c>
      <c r="L1703" s="150">
        <f t="shared" si="1463"/>
        <v>0</v>
      </c>
      <c r="M1703" s="150">
        <v>0</v>
      </c>
      <c r="N1703" s="150">
        <v>0</v>
      </c>
      <c r="O1703" s="150">
        <v>0</v>
      </c>
      <c r="P1703" s="150">
        <v>0</v>
      </c>
      <c r="Q1703" s="150">
        <v>0</v>
      </c>
      <c r="R1703" s="313">
        <f t="shared" si="1469"/>
        <v>0</v>
      </c>
      <c r="S1703" s="150">
        <f t="shared" si="1461"/>
        <v>0</v>
      </c>
      <c r="T1703" s="150">
        <v>0</v>
      </c>
      <c r="U1703" s="150">
        <v>0</v>
      </c>
      <c r="V1703" s="199">
        <v>0</v>
      </c>
      <c r="W1703" s="150">
        <f t="shared" si="1470"/>
        <v>0</v>
      </c>
      <c r="X1703" s="150">
        <v>0</v>
      </c>
      <c r="Y1703" s="150">
        <v>0</v>
      </c>
      <c r="Z1703" s="150">
        <v>0</v>
      </c>
      <c r="AA1703" s="150">
        <f t="shared" si="1457"/>
        <v>0</v>
      </c>
      <c r="AB1703" s="150">
        <v>0</v>
      </c>
      <c r="AC1703" s="199">
        <v>0</v>
      </c>
      <c r="AD1703" s="150">
        <f t="shared" si="1471"/>
        <v>0</v>
      </c>
      <c r="AE1703" s="150">
        <v>0</v>
      </c>
      <c r="AF1703" s="169" t="s">
        <v>4680</v>
      </c>
      <c r="AG1703" s="201">
        <v>0</v>
      </c>
      <c r="AH1703" s="199">
        <v>0</v>
      </c>
      <c r="AI1703" s="150">
        <v>0</v>
      </c>
      <c r="AJ1703" s="169">
        <f t="shared" si="1458"/>
        <v>0</v>
      </c>
      <c r="AK1703" s="201">
        <v>0</v>
      </c>
      <c r="AL1703" s="199">
        <v>0</v>
      </c>
      <c r="AM1703" s="150">
        <f t="shared" si="1472"/>
        <v>0</v>
      </c>
      <c r="AN1703" s="153">
        <f t="shared" si="1459"/>
        <v>0</v>
      </c>
      <c r="AO1703" s="154">
        <f t="shared" si="1460"/>
        <v>0</v>
      </c>
      <c r="AP1703" s="150">
        <v>0</v>
      </c>
      <c r="AQ1703" s="201">
        <v>0</v>
      </c>
      <c r="AR1703" s="199">
        <v>0</v>
      </c>
      <c r="AS1703" s="150">
        <f t="shared" si="1473"/>
        <v>0</v>
      </c>
      <c r="AT1703" s="155"/>
      <c r="AU1703" s="156">
        <f t="shared" si="1455"/>
        <v>0</v>
      </c>
      <c r="AV1703" s="156">
        <f t="shared" si="1456"/>
        <v>0</v>
      </c>
      <c r="AW1703" s="157"/>
      <c r="AX1703" s="150">
        <v>0</v>
      </c>
      <c r="AY1703" s="150">
        <v>0</v>
      </c>
      <c r="AZ1703" s="150"/>
      <c r="BA1703" s="150">
        <f t="shared" si="1474"/>
        <v>0</v>
      </c>
      <c r="BB1703" s="202">
        <v>5</v>
      </c>
      <c r="BC1703" s="202" t="s">
        <v>755</v>
      </c>
      <c r="BD1703" s="202" t="s">
        <v>632</v>
      </c>
      <c r="BE1703" s="202" t="s">
        <v>647</v>
      </c>
      <c r="BF1703" s="202" t="s">
        <v>755</v>
      </c>
      <c r="BG1703" s="231" t="s">
        <v>9122</v>
      </c>
      <c r="BH1703" s="216">
        <f>SUM(AS1703:AS1714)</f>
        <v>0</v>
      </c>
      <c r="BI1703" s="205"/>
      <c r="BJ1703" s="206" t="s">
        <v>9086</v>
      </c>
      <c r="BK1703" s="206" t="s">
        <v>592</v>
      </c>
      <c r="BL1703" s="207" t="s">
        <v>9087</v>
      </c>
      <c r="BM1703" s="208">
        <f>BH1703</f>
        <v>0</v>
      </c>
      <c r="BN1703" s="160"/>
      <c r="BO1703" s="161">
        <f t="shared" si="1462"/>
        <v>0</v>
      </c>
      <c r="BP1703" s="161"/>
    </row>
    <row r="1704" spans="1:68" ht="38.25">
      <c r="A1704" s="210"/>
      <c r="B1704" s="195" t="s">
        <v>9123</v>
      </c>
      <c r="C1704" s="196" t="s">
        <v>9124</v>
      </c>
      <c r="D1704" s="146" t="s">
        <v>4692</v>
      </c>
      <c r="E1704" s="196" t="s">
        <v>9124</v>
      </c>
      <c r="F1704" s="150">
        <v>0</v>
      </c>
      <c r="G1704" s="209">
        <v>0</v>
      </c>
      <c r="H1704" s="209"/>
      <c r="I1704" s="209">
        <v>0</v>
      </c>
      <c r="J1704" s="150">
        <v>0</v>
      </c>
      <c r="K1704" s="150">
        <v>0</v>
      </c>
      <c r="L1704" s="150">
        <f t="shared" si="1463"/>
        <v>0</v>
      </c>
      <c r="M1704" s="150">
        <v>0</v>
      </c>
      <c r="N1704" s="150">
        <v>0</v>
      </c>
      <c r="O1704" s="150">
        <v>0</v>
      </c>
      <c r="P1704" s="150">
        <v>0</v>
      </c>
      <c r="Q1704" s="150">
        <v>0</v>
      </c>
      <c r="R1704" s="313">
        <f t="shared" si="1469"/>
        <v>0</v>
      </c>
      <c r="S1704" s="150">
        <f t="shared" si="1461"/>
        <v>0</v>
      </c>
      <c r="T1704" s="150">
        <v>0</v>
      </c>
      <c r="U1704" s="150">
        <v>0</v>
      </c>
      <c r="V1704" s="199">
        <v>0</v>
      </c>
      <c r="W1704" s="150">
        <f t="shared" si="1470"/>
        <v>0</v>
      </c>
      <c r="X1704" s="150">
        <v>0</v>
      </c>
      <c r="Y1704" s="150">
        <v>0</v>
      </c>
      <c r="Z1704" s="150">
        <v>0</v>
      </c>
      <c r="AA1704" s="150">
        <f t="shared" si="1457"/>
        <v>0</v>
      </c>
      <c r="AB1704" s="150">
        <v>0</v>
      </c>
      <c r="AC1704" s="199">
        <v>0</v>
      </c>
      <c r="AD1704" s="150">
        <f t="shared" si="1471"/>
        <v>0</v>
      </c>
      <c r="AE1704" s="150">
        <v>0</v>
      </c>
      <c r="AF1704" s="169" t="s">
        <v>4680</v>
      </c>
      <c r="AG1704" s="201">
        <v>0</v>
      </c>
      <c r="AH1704" s="199">
        <v>0</v>
      </c>
      <c r="AI1704" s="150">
        <v>0</v>
      </c>
      <c r="AJ1704" s="169">
        <f t="shared" si="1458"/>
        <v>0</v>
      </c>
      <c r="AK1704" s="201">
        <v>0</v>
      </c>
      <c r="AL1704" s="199">
        <v>0</v>
      </c>
      <c r="AM1704" s="150">
        <f t="shared" si="1472"/>
        <v>0</v>
      </c>
      <c r="AN1704" s="153">
        <f t="shared" si="1459"/>
        <v>0</v>
      </c>
      <c r="AO1704" s="154">
        <f t="shared" si="1460"/>
        <v>0</v>
      </c>
      <c r="AP1704" s="150">
        <v>0</v>
      </c>
      <c r="AQ1704" s="201">
        <v>0</v>
      </c>
      <c r="AR1704" s="199">
        <v>0</v>
      </c>
      <c r="AS1704" s="150">
        <f t="shared" si="1473"/>
        <v>0</v>
      </c>
      <c r="AT1704" s="155"/>
      <c r="AU1704" s="156">
        <f t="shared" si="1455"/>
        <v>0</v>
      </c>
      <c r="AV1704" s="156">
        <f t="shared" si="1456"/>
        <v>0</v>
      </c>
      <c r="AW1704" s="157"/>
      <c r="AX1704" s="150">
        <v>0</v>
      </c>
      <c r="AY1704" s="150">
        <v>0</v>
      </c>
      <c r="AZ1704" s="150"/>
      <c r="BA1704" s="150">
        <f t="shared" si="1474"/>
        <v>0</v>
      </c>
      <c r="BB1704" s="210"/>
      <c r="BC1704" s="210"/>
      <c r="BD1704" s="210"/>
      <c r="BE1704" s="210"/>
      <c r="BF1704" s="210"/>
      <c r="BG1704" s="210"/>
      <c r="BH1704" s="217"/>
      <c r="BI1704" s="210"/>
      <c r="BJ1704" s="210"/>
      <c r="BK1704" s="210"/>
      <c r="BL1704" s="210"/>
      <c r="BM1704" s="208"/>
      <c r="BN1704" s="160"/>
      <c r="BO1704" s="161">
        <f t="shared" si="1462"/>
        <v>0</v>
      </c>
      <c r="BP1704" s="161"/>
    </row>
    <row r="1705" spans="1:68" ht="51">
      <c r="A1705" s="210"/>
      <c r="B1705" s="195" t="s">
        <v>9125</v>
      </c>
      <c r="C1705" s="196" t="s">
        <v>9126</v>
      </c>
      <c r="D1705" s="146" t="s">
        <v>4692</v>
      </c>
      <c r="E1705" s="196" t="s">
        <v>9126</v>
      </c>
      <c r="F1705" s="150">
        <v>0</v>
      </c>
      <c r="G1705" s="209">
        <v>0</v>
      </c>
      <c r="H1705" s="209"/>
      <c r="I1705" s="209">
        <v>0</v>
      </c>
      <c r="J1705" s="150">
        <v>0</v>
      </c>
      <c r="K1705" s="150">
        <v>0</v>
      </c>
      <c r="L1705" s="150">
        <f t="shared" si="1463"/>
        <v>0</v>
      </c>
      <c r="M1705" s="150">
        <v>0</v>
      </c>
      <c r="N1705" s="150">
        <v>0</v>
      </c>
      <c r="O1705" s="150">
        <v>0</v>
      </c>
      <c r="P1705" s="150">
        <v>0</v>
      </c>
      <c r="Q1705" s="150">
        <v>0</v>
      </c>
      <c r="R1705" s="313">
        <f t="shared" si="1469"/>
        <v>0</v>
      </c>
      <c r="S1705" s="150">
        <f t="shared" si="1461"/>
        <v>0</v>
      </c>
      <c r="T1705" s="150">
        <v>0</v>
      </c>
      <c r="U1705" s="150">
        <v>0</v>
      </c>
      <c r="V1705" s="199">
        <v>0</v>
      </c>
      <c r="W1705" s="150">
        <f t="shared" si="1470"/>
        <v>0</v>
      </c>
      <c r="X1705" s="150">
        <v>0</v>
      </c>
      <c r="Y1705" s="150">
        <v>0</v>
      </c>
      <c r="Z1705" s="150">
        <v>0</v>
      </c>
      <c r="AA1705" s="150">
        <f t="shared" si="1457"/>
        <v>0</v>
      </c>
      <c r="AB1705" s="150">
        <v>0</v>
      </c>
      <c r="AC1705" s="199">
        <v>0</v>
      </c>
      <c r="AD1705" s="150">
        <f t="shared" si="1471"/>
        <v>0</v>
      </c>
      <c r="AE1705" s="150">
        <v>0</v>
      </c>
      <c r="AF1705" s="169" t="s">
        <v>4680</v>
      </c>
      <c r="AG1705" s="201">
        <v>0</v>
      </c>
      <c r="AH1705" s="199">
        <v>0</v>
      </c>
      <c r="AI1705" s="150">
        <v>0</v>
      </c>
      <c r="AJ1705" s="169">
        <f t="shared" si="1458"/>
        <v>0</v>
      </c>
      <c r="AK1705" s="201">
        <v>0</v>
      </c>
      <c r="AL1705" s="199">
        <v>0</v>
      </c>
      <c r="AM1705" s="150">
        <f t="shared" si="1472"/>
        <v>0</v>
      </c>
      <c r="AN1705" s="153">
        <f t="shared" si="1459"/>
        <v>0</v>
      </c>
      <c r="AO1705" s="154">
        <f t="shared" si="1460"/>
        <v>0</v>
      </c>
      <c r="AP1705" s="150">
        <v>0</v>
      </c>
      <c r="AQ1705" s="201">
        <v>0</v>
      </c>
      <c r="AR1705" s="199">
        <v>0</v>
      </c>
      <c r="AS1705" s="150">
        <f t="shared" si="1473"/>
        <v>0</v>
      </c>
      <c r="AT1705" s="155"/>
      <c r="AU1705" s="156">
        <f t="shared" si="1455"/>
        <v>0</v>
      </c>
      <c r="AV1705" s="156">
        <f t="shared" si="1456"/>
        <v>0</v>
      </c>
      <c r="AW1705" s="157"/>
      <c r="AX1705" s="150">
        <v>0</v>
      </c>
      <c r="AY1705" s="150">
        <v>0</v>
      </c>
      <c r="AZ1705" s="150"/>
      <c r="BA1705" s="150">
        <f t="shared" si="1474"/>
        <v>0</v>
      </c>
      <c r="BB1705" s="210"/>
      <c r="BC1705" s="210"/>
      <c r="BD1705" s="210"/>
      <c r="BE1705" s="210"/>
      <c r="BF1705" s="210"/>
      <c r="BG1705" s="210"/>
      <c r="BH1705" s="217"/>
      <c r="BI1705" s="210"/>
      <c r="BJ1705" s="210"/>
      <c r="BK1705" s="210"/>
      <c r="BL1705" s="210"/>
      <c r="BM1705" s="208"/>
      <c r="BN1705" s="160"/>
      <c r="BO1705" s="161">
        <f t="shared" si="1462"/>
        <v>0</v>
      </c>
      <c r="BP1705" s="161"/>
    </row>
    <row r="1706" spans="1:68" ht="38.25">
      <c r="A1706" s="210"/>
      <c r="B1706" s="195" t="s">
        <v>9127</v>
      </c>
      <c r="C1706" s="196" t="s">
        <v>9128</v>
      </c>
      <c r="D1706" s="146" t="s">
        <v>4692</v>
      </c>
      <c r="E1706" s="196" t="s">
        <v>9128</v>
      </c>
      <c r="F1706" s="150">
        <v>0</v>
      </c>
      <c r="G1706" s="209">
        <v>0</v>
      </c>
      <c r="H1706" s="209"/>
      <c r="I1706" s="209">
        <v>0</v>
      </c>
      <c r="J1706" s="150">
        <v>0</v>
      </c>
      <c r="K1706" s="150">
        <v>0</v>
      </c>
      <c r="L1706" s="150">
        <f t="shared" si="1463"/>
        <v>0</v>
      </c>
      <c r="M1706" s="150">
        <v>0</v>
      </c>
      <c r="N1706" s="150">
        <v>0</v>
      </c>
      <c r="O1706" s="150">
        <v>0</v>
      </c>
      <c r="P1706" s="150">
        <v>0</v>
      </c>
      <c r="Q1706" s="150">
        <v>0</v>
      </c>
      <c r="R1706" s="313">
        <f t="shared" si="1469"/>
        <v>0</v>
      </c>
      <c r="S1706" s="150">
        <f t="shared" si="1461"/>
        <v>0</v>
      </c>
      <c r="T1706" s="150">
        <v>0</v>
      </c>
      <c r="U1706" s="150">
        <v>0</v>
      </c>
      <c r="V1706" s="199">
        <v>0</v>
      </c>
      <c r="W1706" s="150">
        <f t="shared" si="1470"/>
        <v>0</v>
      </c>
      <c r="X1706" s="150">
        <v>0</v>
      </c>
      <c r="Y1706" s="150">
        <v>0</v>
      </c>
      <c r="Z1706" s="150">
        <v>0</v>
      </c>
      <c r="AA1706" s="150">
        <f t="shared" si="1457"/>
        <v>0</v>
      </c>
      <c r="AB1706" s="150">
        <v>0</v>
      </c>
      <c r="AC1706" s="199">
        <v>0</v>
      </c>
      <c r="AD1706" s="150">
        <f t="shared" si="1471"/>
        <v>0</v>
      </c>
      <c r="AE1706" s="150">
        <v>0</v>
      </c>
      <c r="AF1706" s="169" t="s">
        <v>4680</v>
      </c>
      <c r="AG1706" s="201">
        <v>0</v>
      </c>
      <c r="AH1706" s="199">
        <v>0</v>
      </c>
      <c r="AI1706" s="150">
        <v>0</v>
      </c>
      <c r="AJ1706" s="169">
        <f t="shared" si="1458"/>
        <v>0</v>
      </c>
      <c r="AK1706" s="201">
        <v>0</v>
      </c>
      <c r="AL1706" s="199">
        <v>0</v>
      </c>
      <c r="AM1706" s="150">
        <f t="shared" si="1472"/>
        <v>0</v>
      </c>
      <c r="AN1706" s="153">
        <f t="shared" si="1459"/>
        <v>0</v>
      </c>
      <c r="AO1706" s="154">
        <f t="shared" si="1460"/>
        <v>0</v>
      </c>
      <c r="AP1706" s="150">
        <v>0</v>
      </c>
      <c r="AQ1706" s="201">
        <v>0</v>
      </c>
      <c r="AR1706" s="199">
        <v>0</v>
      </c>
      <c r="AS1706" s="150">
        <f t="shared" si="1473"/>
        <v>0</v>
      </c>
      <c r="AT1706" s="155"/>
      <c r="AU1706" s="156">
        <f t="shared" si="1455"/>
        <v>0</v>
      </c>
      <c r="AV1706" s="156">
        <f t="shared" si="1456"/>
        <v>0</v>
      </c>
      <c r="AW1706" s="157"/>
      <c r="AX1706" s="150">
        <v>0</v>
      </c>
      <c r="AY1706" s="150">
        <v>0</v>
      </c>
      <c r="AZ1706" s="150"/>
      <c r="BA1706" s="150">
        <f t="shared" si="1474"/>
        <v>0</v>
      </c>
      <c r="BB1706" s="210"/>
      <c r="BC1706" s="210"/>
      <c r="BD1706" s="210"/>
      <c r="BE1706" s="210"/>
      <c r="BF1706" s="210"/>
      <c r="BG1706" s="210"/>
      <c r="BH1706" s="217"/>
      <c r="BI1706" s="210"/>
      <c r="BJ1706" s="210"/>
      <c r="BK1706" s="210"/>
      <c r="BL1706" s="210"/>
      <c r="BM1706" s="208"/>
      <c r="BN1706" s="160"/>
      <c r="BO1706" s="161">
        <f t="shared" si="1462"/>
        <v>0</v>
      </c>
      <c r="BP1706" s="161"/>
    </row>
    <row r="1707" spans="1:68" ht="51">
      <c r="A1707" s="210"/>
      <c r="B1707" s="195" t="s">
        <v>9129</v>
      </c>
      <c r="C1707" s="196" t="s">
        <v>9130</v>
      </c>
      <c r="D1707" s="146" t="s">
        <v>4692</v>
      </c>
      <c r="E1707" s="196" t="s">
        <v>9130</v>
      </c>
      <c r="F1707" s="150">
        <v>0</v>
      </c>
      <c r="G1707" s="209">
        <v>0</v>
      </c>
      <c r="H1707" s="209"/>
      <c r="I1707" s="209">
        <v>0</v>
      </c>
      <c r="J1707" s="150">
        <v>0</v>
      </c>
      <c r="K1707" s="150">
        <v>0</v>
      </c>
      <c r="L1707" s="150">
        <f t="shared" si="1463"/>
        <v>0</v>
      </c>
      <c r="M1707" s="150">
        <v>0</v>
      </c>
      <c r="N1707" s="150">
        <v>0</v>
      </c>
      <c r="O1707" s="150">
        <v>0</v>
      </c>
      <c r="P1707" s="150">
        <v>0</v>
      </c>
      <c r="Q1707" s="150">
        <v>0</v>
      </c>
      <c r="R1707" s="313">
        <f t="shared" si="1469"/>
        <v>0</v>
      </c>
      <c r="S1707" s="150">
        <f t="shared" si="1461"/>
        <v>0</v>
      </c>
      <c r="T1707" s="150">
        <v>0</v>
      </c>
      <c r="U1707" s="150">
        <v>0</v>
      </c>
      <c r="V1707" s="199">
        <v>0</v>
      </c>
      <c r="W1707" s="150">
        <f t="shared" si="1470"/>
        <v>0</v>
      </c>
      <c r="X1707" s="150">
        <v>0</v>
      </c>
      <c r="Y1707" s="150">
        <v>0</v>
      </c>
      <c r="Z1707" s="150">
        <v>0</v>
      </c>
      <c r="AA1707" s="150">
        <f t="shared" si="1457"/>
        <v>0</v>
      </c>
      <c r="AB1707" s="150">
        <v>0</v>
      </c>
      <c r="AC1707" s="199">
        <v>0</v>
      </c>
      <c r="AD1707" s="150">
        <f t="shared" si="1471"/>
        <v>0</v>
      </c>
      <c r="AE1707" s="150">
        <v>0</v>
      </c>
      <c r="AF1707" s="169" t="s">
        <v>4680</v>
      </c>
      <c r="AG1707" s="201">
        <v>0</v>
      </c>
      <c r="AH1707" s="199">
        <v>0</v>
      </c>
      <c r="AI1707" s="150">
        <v>0</v>
      </c>
      <c r="AJ1707" s="169">
        <f t="shared" si="1458"/>
        <v>0</v>
      </c>
      <c r="AK1707" s="201">
        <v>0</v>
      </c>
      <c r="AL1707" s="199">
        <v>0</v>
      </c>
      <c r="AM1707" s="150">
        <f t="shared" si="1472"/>
        <v>0</v>
      </c>
      <c r="AN1707" s="153">
        <f t="shared" si="1459"/>
        <v>0</v>
      </c>
      <c r="AO1707" s="154">
        <f t="shared" si="1460"/>
        <v>0</v>
      </c>
      <c r="AP1707" s="150">
        <v>0</v>
      </c>
      <c r="AQ1707" s="201">
        <v>0</v>
      </c>
      <c r="AR1707" s="199">
        <v>0</v>
      </c>
      <c r="AS1707" s="150">
        <f t="shared" si="1473"/>
        <v>0</v>
      </c>
      <c r="AT1707" s="155"/>
      <c r="AU1707" s="156">
        <f t="shared" si="1455"/>
        <v>0</v>
      </c>
      <c r="AV1707" s="156">
        <f t="shared" si="1456"/>
        <v>0</v>
      </c>
      <c r="AW1707" s="157"/>
      <c r="AX1707" s="150">
        <v>0</v>
      </c>
      <c r="AY1707" s="150">
        <v>0</v>
      </c>
      <c r="AZ1707" s="150"/>
      <c r="BA1707" s="150">
        <f t="shared" si="1474"/>
        <v>0</v>
      </c>
      <c r="BB1707" s="210"/>
      <c r="BC1707" s="210"/>
      <c r="BD1707" s="210"/>
      <c r="BE1707" s="210"/>
      <c r="BF1707" s="210"/>
      <c r="BG1707" s="210"/>
      <c r="BH1707" s="217"/>
      <c r="BI1707" s="210"/>
      <c r="BJ1707" s="210"/>
      <c r="BK1707" s="210"/>
      <c r="BL1707" s="210"/>
      <c r="BM1707" s="208"/>
      <c r="BN1707" s="160"/>
      <c r="BO1707" s="161">
        <f t="shared" si="1462"/>
        <v>0</v>
      </c>
      <c r="BP1707" s="161"/>
    </row>
    <row r="1708" spans="1:68" ht="38.25">
      <c r="A1708" s="210"/>
      <c r="B1708" s="195" t="s">
        <v>9131</v>
      </c>
      <c r="C1708" s="196" t="s">
        <v>9132</v>
      </c>
      <c r="D1708" s="146" t="s">
        <v>4692</v>
      </c>
      <c r="E1708" s="196" t="s">
        <v>9132</v>
      </c>
      <c r="F1708" s="150">
        <v>0</v>
      </c>
      <c r="G1708" s="209">
        <v>0</v>
      </c>
      <c r="H1708" s="209"/>
      <c r="I1708" s="209">
        <v>0</v>
      </c>
      <c r="J1708" s="150">
        <v>0</v>
      </c>
      <c r="K1708" s="150">
        <v>0</v>
      </c>
      <c r="L1708" s="150">
        <f t="shared" si="1463"/>
        <v>0</v>
      </c>
      <c r="M1708" s="150">
        <v>0</v>
      </c>
      <c r="N1708" s="150">
        <v>0</v>
      </c>
      <c r="O1708" s="150">
        <v>0</v>
      </c>
      <c r="P1708" s="150">
        <v>0</v>
      </c>
      <c r="Q1708" s="150">
        <v>0</v>
      </c>
      <c r="R1708" s="313">
        <f t="shared" si="1469"/>
        <v>0</v>
      </c>
      <c r="S1708" s="150">
        <f t="shared" si="1461"/>
        <v>0</v>
      </c>
      <c r="T1708" s="150">
        <v>0</v>
      </c>
      <c r="U1708" s="150">
        <v>0</v>
      </c>
      <c r="V1708" s="199">
        <v>0</v>
      </c>
      <c r="W1708" s="150">
        <f t="shared" si="1470"/>
        <v>0</v>
      </c>
      <c r="X1708" s="150">
        <v>0</v>
      </c>
      <c r="Y1708" s="150">
        <v>0</v>
      </c>
      <c r="Z1708" s="150">
        <v>0</v>
      </c>
      <c r="AA1708" s="150">
        <f t="shared" si="1457"/>
        <v>0</v>
      </c>
      <c r="AB1708" s="150">
        <v>0</v>
      </c>
      <c r="AC1708" s="199">
        <v>0</v>
      </c>
      <c r="AD1708" s="150">
        <f t="shared" si="1471"/>
        <v>0</v>
      </c>
      <c r="AE1708" s="150">
        <v>0</v>
      </c>
      <c r="AF1708" s="169" t="s">
        <v>4680</v>
      </c>
      <c r="AG1708" s="201">
        <v>0</v>
      </c>
      <c r="AH1708" s="199">
        <v>0</v>
      </c>
      <c r="AI1708" s="150">
        <v>0</v>
      </c>
      <c r="AJ1708" s="169">
        <f t="shared" si="1458"/>
        <v>0</v>
      </c>
      <c r="AK1708" s="201">
        <v>0</v>
      </c>
      <c r="AL1708" s="199">
        <v>0</v>
      </c>
      <c r="AM1708" s="150">
        <f t="shared" si="1472"/>
        <v>0</v>
      </c>
      <c r="AN1708" s="153">
        <f t="shared" si="1459"/>
        <v>0</v>
      </c>
      <c r="AO1708" s="154">
        <f t="shared" si="1460"/>
        <v>0</v>
      </c>
      <c r="AP1708" s="150">
        <v>0</v>
      </c>
      <c r="AQ1708" s="201">
        <v>0</v>
      </c>
      <c r="AR1708" s="199">
        <v>0</v>
      </c>
      <c r="AS1708" s="150">
        <f t="shared" si="1473"/>
        <v>0</v>
      </c>
      <c r="AT1708" s="155"/>
      <c r="AU1708" s="156">
        <f t="shared" si="1455"/>
        <v>0</v>
      </c>
      <c r="AV1708" s="156">
        <f t="shared" si="1456"/>
        <v>0</v>
      </c>
      <c r="AW1708" s="157"/>
      <c r="AX1708" s="150">
        <v>0</v>
      </c>
      <c r="AY1708" s="150">
        <v>0</v>
      </c>
      <c r="AZ1708" s="150"/>
      <c r="BA1708" s="150">
        <f t="shared" si="1474"/>
        <v>0</v>
      </c>
      <c r="BB1708" s="210"/>
      <c r="BC1708" s="210"/>
      <c r="BD1708" s="210"/>
      <c r="BE1708" s="210"/>
      <c r="BF1708" s="210"/>
      <c r="BG1708" s="210"/>
      <c r="BH1708" s="217"/>
      <c r="BI1708" s="210"/>
      <c r="BJ1708" s="210"/>
      <c r="BK1708" s="210"/>
      <c r="BL1708" s="210"/>
      <c r="BM1708" s="208"/>
      <c r="BN1708" s="160"/>
      <c r="BO1708" s="161">
        <f t="shared" si="1462"/>
        <v>0</v>
      </c>
      <c r="BP1708" s="161"/>
    </row>
    <row r="1709" spans="1:68" ht="51">
      <c r="A1709" s="210"/>
      <c r="B1709" s="195" t="s">
        <v>9133</v>
      </c>
      <c r="C1709" s="196" t="s">
        <v>9134</v>
      </c>
      <c r="D1709" s="146" t="s">
        <v>4692</v>
      </c>
      <c r="E1709" s="196" t="s">
        <v>9134</v>
      </c>
      <c r="F1709" s="150">
        <v>0</v>
      </c>
      <c r="G1709" s="209">
        <v>0</v>
      </c>
      <c r="H1709" s="209"/>
      <c r="I1709" s="209">
        <v>0</v>
      </c>
      <c r="J1709" s="150">
        <v>0</v>
      </c>
      <c r="K1709" s="150">
        <v>0</v>
      </c>
      <c r="L1709" s="150">
        <f t="shared" si="1463"/>
        <v>0</v>
      </c>
      <c r="M1709" s="150">
        <v>0</v>
      </c>
      <c r="N1709" s="150">
        <v>0</v>
      </c>
      <c r="O1709" s="150">
        <v>0</v>
      </c>
      <c r="P1709" s="150">
        <v>0</v>
      </c>
      <c r="Q1709" s="150">
        <v>0</v>
      </c>
      <c r="R1709" s="313">
        <f t="shared" si="1469"/>
        <v>0</v>
      </c>
      <c r="S1709" s="150">
        <f t="shared" si="1461"/>
        <v>0</v>
      </c>
      <c r="T1709" s="150">
        <v>0</v>
      </c>
      <c r="U1709" s="150">
        <v>0</v>
      </c>
      <c r="V1709" s="199">
        <v>0</v>
      </c>
      <c r="W1709" s="150">
        <f t="shared" si="1470"/>
        <v>0</v>
      </c>
      <c r="X1709" s="150">
        <v>0</v>
      </c>
      <c r="Y1709" s="150">
        <v>0</v>
      </c>
      <c r="Z1709" s="150">
        <v>0</v>
      </c>
      <c r="AA1709" s="150">
        <f t="shared" si="1457"/>
        <v>0</v>
      </c>
      <c r="AB1709" s="150">
        <v>0</v>
      </c>
      <c r="AC1709" s="199">
        <v>0</v>
      </c>
      <c r="AD1709" s="150">
        <f t="shared" si="1471"/>
        <v>0</v>
      </c>
      <c r="AE1709" s="150">
        <v>0</v>
      </c>
      <c r="AF1709" s="169" t="s">
        <v>4680</v>
      </c>
      <c r="AG1709" s="201">
        <v>0</v>
      </c>
      <c r="AH1709" s="199">
        <v>0</v>
      </c>
      <c r="AI1709" s="150">
        <v>0</v>
      </c>
      <c r="AJ1709" s="169">
        <f t="shared" si="1458"/>
        <v>0</v>
      </c>
      <c r="AK1709" s="201">
        <v>0</v>
      </c>
      <c r="AL1709" s="199">
        <v>0</v>
      </c>
      <c r="AM1709" s="150">
        <f t="shared" si="1472"/>
        <v>0</v>
      </c>
      <c r="AN1709" s="153">
        <f t="shared" si="1459"/>
        <v>0</v>
      </c>
      <c r="AO1709" s="154">
        <f t="shared" si="1460"/>
        <v>0</v>
      </c>
      <c r="AP1709" s="150">
        <v>0</v>
      </c>
      <c r="AQ1709" s="201">
        <v>0</v>
      </c>
      <c r="AR1709" s="199">
        <v>0</v>
      </c>
      <c r="AS1709" s="150">
        <f t="shared" si="1473"/>
        <v>0</v>
      </c>
      <c r="AT1709" s="155"/>
      <c r="AU1709" s="156">
        <f t="shared" si="1455"/>
        <v>0</v>
      </c>
      <c r="AV1709" s="156">
        <f t="shared" si="1456"/>
        <v>0</v>
      </c>
      <c r="AW1709" s="157"/>
      <c r="AX1709" s="150">
        <v>0</v>
      </c>
      <c r="AY1709" s="150">
        <v>0</v>
      </c>
      <c r="AZ1709" s="150"/>
      <c r="BA1709" s="150">
        <f t="shared" si="1474"/>
        <v>0</v>
      </c>
      <c r="BB1709" s="210"/>
      <c r="BC1709" s="210"/>
      <c r="BD1709" s="210"/>
      <c r="BE1709" s="210"/>
      <c r="BF1709" s="210"/>
      <c r="BG1709" s="210"/>
      <c r="BH1709" s="217"/>
      <c r="BI1709" s="210"/>
      <c r="BJ1709" s="210"/>
      <c r="BK1709" s="210"/>
      <c r="BL1709" s="210"/>
      <c r="BM1709" s="208"/>
      <c r="BN1709" s="160"/>
      <c r="BO1709" s="161">
        <f t="shared" si="1462"/>
        <v>0</v>
      </c>
      <c r="BP1709" s="161"/>
    </row>
    <row r="1710" spans="1:68" ht="51">
      <c r="A1710" s="210"/>
      <c r="B1710" s="195" t="s">
        <v>9135</v>
      </c>
      <c r="C1710" s="196" t="s">
        <v>9136</v>
      </c>
      <c r="D1710" s="146" t="s">
        <v>4692</v>
      </c>
      <c r="E1710" s="196" t="s">
        <v>9136</v>
      </c>
      <c r="F1710" s="150">
        <v>0</v>
      </c>
      <c r="G1710" s="209">
        <v>0</v>
      </c>
      <c r="H1710" s="209"/>
      <c r="I1710" s="209">
        <v>0</v>
      </c>
      <c r="J1710" s="150">
        <v>0</v>
      </c>
      <c r="K1710" s="150">
        <v>0</v>
      </c>
      <c r="L1710" s="150">
        <f t="shared" si="1463"/>
        <v>0</v>
      </c>
      <c r="M1710" s="150">
        <v>0</v>
      </c>
      <c r="N1710" s="150">
        <v>0</v>
      </c>
      <c r="O1710" s="150">
        <v>0</v>
      </c>
      <c r="P1710" s="150">
        <v>0</v>
      </c>
      <c r="Q1710" s="150">
        <v>0</v>
      </c>
      <c r="R1710" s="313">
        <f t="shared" si="1469"/>
        <v>0</v>
      </c>
      <c r="S1710" s="150">
        <f t="shared" si="1461"/>
        <v>0</v>
      </c>
      <c r="T1710" s="150">
        <v>0</v>
      </c>
      <c r="U1710" s="150">
        <v>0</v>
      </c>
      <c r="V1710" s="199">
        <v>0</v>
      </c>
      <c r="W1710" s="150">
        <f t="shared" si="1470"/>
        <v>0</v>
      </c>
      <c r="X1710" s="150">
        <v>0</v>
      </c>
      <c r="Y1710" s="150">
        <v>0</v>
      </c>
      <c r="Z1710" s="150">
        <v>0</v>
      </c>
      <c r="AA1710" s="150">
        <f t="shared" si="1457"/>
        <v>0</v>
      </c>
      <c r="AB1710" s="150">
        <v>0</v>
      </c>
      <c r="AC1710" s="199">
        <v>0</v>
      </c>
      <c r="AD1710" s="150">
        <f t="shared" si="1471"/>
        <v>0</v>
      </c>
      <c r="AE1710" s="150">
        <v>0</v>
      </c>
      <c r="AF1710" s="169" t="s">
        <v>4680</v>
      </c>
      <c r="AG1710" s="201">
        <v>0</v>
      </c>
      <c r="AH1710" s="199">
        <v>0</v>
      </c>
      <c r="AI1710" s="150">
        <v>0</v>
      </c>
      <c r="AJ1710" s="169">
        <f t="shared" si="1458"/>
        <v>0</v>
      </c>
      <c r="AK1710" s="201">
        <v>0</v>
      </c>
      <c r="AL1710" s="199">
        <v>0</v>
      </c>
      <c r="AM1710" s="150">
        <f t="shared" si="1472"/>
        <v>0</v>
      </c>
      <c r="AN1710" s="153">
        <f t="shared" si="1459"/>
        <v>0</v>
      </c>
      <c r="AO1710" s="154">
        <f t="shared" si="1460"/>
        <v>0</v>
      </c>
      <c r="AP1710" s="150">
        <v>0</v>
      </c>
      <c r="AQ1710" s="201">
        <v>0</v>
      </c>
      <c r="AR1710" s="199">
        <v>0</v>
      </c>
      <c r="AS1710" s="150">
        <f t="shared" si="1473"/>
        <v>0</v>
      </c>
      <c r="AT1710" s="155"/>
      <c r="AU1710" s="156">
        <f t="shared" si="1455"/>
        <v>0</v>
      </c>
      <c r="AV1710" s="156">
        <f t="shared" si="1456"/>
        <v>0</v>
      </c>
      <c r="AW1710" s="157"/>
      <c r="AX1710" s="150">
        <v>0</v>
      </c>
      <c r="AY1710" s="150">
        <v>0</v>
      </c>
      <c r="AZ1710" s="150"/>
      <c r="BA1710" s="150">
        <f t="shared" si="1474"/>
        <v>0</v>
      </c>
      <c r="BB1710" s="210"/>
      <c r="BC1710" s="210"/>
      <c r="BD1710" s="210"/>
      <c r="BE1710" s="210"/>
      <c r="BF1710" s="210"/>
      <c r="BG1710" s="210"/>
      <c r="BH1710" s="217"/>
      <c r="BI1710" s="210"/>
      <c r="BJ1710" s="210"/>
      <c r="BK1710" s="210"/>
      <c r="BL1710" s="210"/>
      <c r="BM1710" s="208"/>
      <c r="BN1710" s="160"/>
      <c r="BO1710" s="161">
        <f t="shared" si="1462"/>
        <v>0</v>
      </c>
      <c r="BP1710" s="161"/>
    </row>
    <row r="1711" spans="1:68" ht="51">
      <c r="A1711" s="210"/>
      <c r="B1711" s="195" t="s">
        <v>9137</v>
      </c>
      <c r="C1711" s="196" t="s">
        <v>9138</v>
      </c>
      <c r="D1711" s="146" t="s">
        <v>4692</v>
      </c>
      <c r="E1711" s="196" t="s">
        <v>9138</v>
      </c>
      <c r="F1711" s="150">
        <v>0</v>
      </c>
      <c r="G1711" s="209">
        <v>0</v>
      </c>
      <c r="H1711" s="209"/>
      <c r="I1711" s="209">
        <v>0</v>
      </c>
      <c r="J1711" s="150">
        <v>0</v>
      </c>
      <c r="K1711" s="150">
        <v>0</v>
      </c>
      <c r="L1711" s="150">
        <f t="shared" si="1463"/>
        <v>0</v>
      </c>
      <c r="M1711" s="150">
        <v>0</v>
      </c>
      <c r="N1711" s="150">
        <v>0</v>
      </c>
      <c r="O1711" s="150">
        <v>0</v>
      </c>
      <c r="P1711" s="150">
        <v>0</v>
      </c>
      <c r="Q1711" s="150">
        <v>0</v>
      </c>
      <c r="R1711" s="313">
        <f t="shared" si="1469"/>
        <v>0</v>
      </c>
      <c r="S1711" s="150">
        <f t="shared" si="1461"/>
        <v>0</v>
      </c>
      <c r="T1711" s="150">
        <v>0</v>
      </c>
      <c r="U1711" s="150">
        <v>0</v>
      </c>
      <c r="V1711" s="199">
        <v>0</v>
      </c>
      <c r="W1711" s="150">
        <f t="shared" si="1470"/>
        <v>0</v>
      </c>
      <c r="X1711" s="150">
        <v>0</v>
      </c>
      <c r="Y1711" s="150">
        <v>0</v>
      </c>
      <c r="Z1711" s="150">
        <v>0</v>
      </c>
      <c r="AA1711" s="150">
        <f t="shared" si="1457"/>
        <v>0</v>
      </c>
      <c r="AB1711" s="150">
        <v>0</v>
      </c>
      <c r="AC1711" s="199">
        <v>0</v>
      </c>
      <c r="AD1711" s="150">
        <f t="shared" si="1471"/>
        <v>0</v>
      </c>
      <c r="AE1711" s="150">
        <v>0</v>
      </c>
      <c r="AF1711" s="169" t="s">
        <v>4680</v>
      </c>
      <c r="AG1711" s="201">
        <v>0</v>
      </c>
      <c r="AH1711" s="199">
        <v>0</v>
      </c>
      <c r="AI1711" s="150">
        <v>0</v>
      </c>
      <c r="AJ1711" s="169">
        <f t="shared" si="1458"/>
        <v>0</v>
      </c>
      <c r="AK1711" s="201">
        <v>0</v>
      </c>
      <c r="AL1711" s="199">
        <v>0</v>
      </c>
      <c r="AM1711" s="150">
        <f t="shared" si="1472"/>
        <v>0</v>
      </c>
      <c r="AN1711" s="153">
        <f t="shared" si="1459"/>
        <v>0</v>
      </c>
      <c r="AO1711" s="154">
        <f t="shared" si="1460"/>
        <v>0</v>
      </c>
      <c r="AP1711" s="150">
        <v>0</v>
      </c>
      <c r="AQ1711" s="201">
        <v>0</v>
      </c>
      <c r="AR1711" s="199">
        <v>0</v>
      </c>
      <c r="AS1711" s="150">
        <f t="shared" si="1473"/>
        <v>0</v>
      </c>
      <c r="AT1711" s="155"/>
      <c r="AU1711" s="156">
        <f t="shared" si="1455"/>
        <v>0</v>
      </c>
      <c r="AV1711" s="156">
        <f t="shared" si="1456"/>
        <v>0</v>
      </c>
      <c r="AW1711" s="157"/>
      <c r="AX1711" s="150">
        <v>0</v>
      </c>
      <c r="AY1711" s="150">
        <v>0</v>
      </c>
      <c r="AZ1711" s="150"/>
      <c r="BA1711" s="150">
        <f t="shared" si="1474"/>
        <v>0</v>
      </c>
      <c r="BB1711" s="210"/>
      <c r="BC1711" s="210"/>
      <c r="BD1711" s="210"/>
      <c r="BE1711" s="210"/>
      <c r="BF1711" s="210"/>
      <c r="BG1711" s="210"/>
      <c r="BH1711" s="217"/>
      <c r="BI1711" s="210"/>
      <c r="BJ1711" s="210"/>
      <c r="BK1711" s="210"/>
      <c r="BL1711" s="210"/>
      <c r="BM1711" s="208"/>
      <c r="BN1711" s="160"/>
      <c r="BO1711" s="161">
        <f t="shared" si="1462"/>
        <v>0</v>
      </c>
      <c r="BP1711" s="161"/>
    </row>
    <row r="1712" spans="1:68" ht="51">
      <c r="A1712" s="210"/>
      <c r="B1712" s="195" t="s">
        <v>9139</v>
      </c>
      <c r="C1712" s="196" t="s">
        <v>9140</v>
      </c>
      <c r="D1712" s="146" t="s">
        <v>4692</v>
      </c>
      <c r="E1712" s="196" t="s">
        <v>9140</v>
      </c>
      <c r="F1712" s="150">
        <v>0</v>
      </c>
      <c r="G1712" s="209">
        <v>0</v>
      </c>
      <c r="H1712" s="209"/>
      <c r="I1712" s="209">
        <v>0</v>
      </c>
      <c r="J1712" s="150">
        <v>0</v>
      </c>
      <c r="K1712" s="150">
        <v>0</v>
      </c>
      <c r="L1712" s="150">
        <f t="shared" si="1463"/>
        <v>0</v>
      </c>
      <c r="M1712" s="150">
        <v>0</v>
      </c>
      <c r="N1712" s="150">
        <v>0</v>
      </c>
      <c r="O1712" s="150">
        <v>0</v>
      </c>
      <c r="P1712" s="150">
        <v>0</v>
      </c>
      <c r="Q1712" s="150">
        <v>0</v>
      </c>
      <c r="R1712" s="313">
        <f t="shared" si="1469"/>
        <v>0</v>
      </c>
      <c r="S1712" s="150">
        <f t="shared" si="1461"/>
        <v>0</v>
      </c>
      <c r="T1712" s="150">
        <v>0</v>
      </c>
      <c r="U1712" s="150">
        <v>0</v>
      </c>
      <c r="V1712" s="199">
        <v>0</v>
      </c>
      <c r="W1712" s="150">
        <f t="shared" si="1470"/>
        <v>0</v>
      </c>
      <c r="X1712" s="150">
        <v>0</v>
      </c>
      <c r="Y1712" s="150">
        <v>0</v>
      </c>
      <c r="Z1712" s="150">
        <v>0</v>
      </c>
      <c r="AA1712" s="150">
        <f t="shared" si="1457"/>
        <v>0</v>
      </c>
      <c r="AB1712" s="150">
        <v>0</v>
      </c>
      <c r="AC1712" s="199">
        <v>0</v>
      </c>
      <c r="AD1712" s="150">
        <f t="shared" si="1471"/>
        <v>0</v>
      </c>
      <c r="AE1712" s="150">
        <v>0</v>
      </c>
      <c r="AF1712" s="169" t="s">
        <v>4680</v>
      </c>
      <c r="AG1712" s="201">
        <v>0</v>
      </c>
      <c r="AH1712" s="199">
        <v>0</v>
      </c>
      <c r="AI1712" s="150">
        <v>0</v>
      </c>
      <c r="AJ1712" s="169">
        <f t="shared" si="1458"/>
        <v>0</v>
      </c>
      <c r="AK1712" s="201">
        <v>0</v>
      </c>
      <c r="AL1712" s="199">
        <v>0</v>
      </c>
      <c r="AM1712" s="150">
        <f t="shared" si="1472"/>
        <v>0</v>
      </c>
      <c r="AN1712" s="153">
        <f t="shared" si="1459"/>
        <v>0</v>
      </c>
      <c r="AO1712" s="154">
        <f t="shared" si="1460"/>
        <v>0</v>
      </c>
      <c r="AP1712" s="150">
        <v>0</v>
      </c>
      <c r="AQ1712" s="201">
        <v>0</v>
      </c>
      <c r="AR1712" s="199">
        <v>0</v>
      </c>
      <c r="AS1712" s="150">
        <f t="shared" si="1473"/>
        <v>0</v>
      </c>
      <c r="AT1712" s="155"/>
      <c r="AU1712" s="156">
        <f t="shared" si="1455"/>
        <v>0</v>
      </c>
      <c r="AV1712" s="156">
        <f t="shared" si="1456"/>
        <v>0</v>
      </c>
      <c r="AW1712" s="157"/>
      <c r="AX1712" s="150">
        <v>0</v>
      </c>
      <c r="AY1712" s="150">
        <v>0</v>
      </c>
      <c r="AZ1712" s="150"/>
      <c r="BA1712" s="150">
        <f t="shared" si="1474"/>
        <v>0</v>
      </c>
      <c r="BB1712" s="210"/>
      <c r="BC1712" s="210"/>
      <c r="BD1712" s="210"/>
      <c r="BE1712" s="210"/>
      <c r="BF1712" s="210"/>
      <c r="BG1712" s="210"/>
      <c r="BH1712" s="217"/>
      <c r="BI1712" s="210"/>
      <c r="BJ1712" s="210"/>
      <c r="BK1712" s="210"/>
      <c r="BL1712" s="210"/>
      <c r="BM1712" s="208"/>
      <c r="BN1712" s="160"/>
      <c r="BO1712" s="161">
        <f t="shared" si="1462"/>
        <v>0</v>
      </c>
      <c r="BP1712" s="161"/>
    </row>
    <row r="1713" spans="1:68" ht="38.25">
      <c r="A1713" s="210"/>
      <c r="B1713" s="195" t="s">
        <v>9141</v>
      </c>
      <c r="C1713" s="196" t="s">
        <v>9142</v>
      </c>
      <c r="D1713" s="146" t="s">
        <v>4692</v>
      </c>
      <c r="E1713" s="196" t="s">
        <v>9142</v>
      </c>
      <c r="F1713" s="150">
        <v>0</v>
      </c>
      <c r="G1713" s="209">
        <v>0</v>
      </c>
      <c r="H1713" s="209"/>
      <c r="I1713" s="209">
        <v>0</v>
      </c>
      <c r="J1713" s="150">
        <v>0</v>
      </c>
      <c r="K1713" s="150">
        <v>0</v>
      </c>
      <c r="L1713" s="150">
        <f t="shared" si="1463"/>
        <v>0</v>
      </c>
      <c r="M1713" s="150">
        <v>0</v>
      </c>
      <c r="N1713" s="150">
        <v>0</v>
      </c>
      <c r="O1713" s="150">
        <v>0</v>
      </c>
      <c r="P1713" s="150">
        <v>0</v>
      </c>
      <c r="Q1713" s="150">
        <v>0</v>
      </c>
      <c r="R1713" s="313">
        <f t="shared" si="1469"/>
        <v>0</v>
      </c>
      <c r="S1713" s="150">
        <f t="shared" si="1461"/>
        <v>0</v>
      </c>
      <c r="T1713" s="150">
        <v>0</v>
      </c>
      <c r="U1713" s="150">
        <v>0</v>
      </c>
      <c r="V1713" s="199">
        <v>0</v>
      </c>
      <c r="W1713" s="150">
        <f t="shared" si="1470"/>
        <v>0</v>
      </c>
      <c r="X1713" s="150">
        <v>0</v>
      </c>
      <c r="Y1713" s="150">
        <v>0</v>
      </c>
      <c r="Z1713" s="150">
        <v>0</v>
      </c>
      <c r="AA1713" s="150">
        <f t="shared" si="1457"/>
        <v>0</v>
      </c>
      <c r="AB1713" s="150">
        <v>0</v>
      </c>
      <c r="AC1713" s="199">
        <v>0</v>
      </c>
      <c r="AD1713" s="150">
        <f t="shared" si="1471"/>
        <v>0</v>
      </c>
      <c r="AE1713" s="150">
        <v>0</v>
      </c>
      <c r="AF1713" s="169" t="s">
        <v>4680</v>
      </c>
      <c r="AG1713" s="201">
        <v>0</v>
      </c>
      <c r="AH1713" s="199">
        <v>0</v>
      </c>
      <c r="AI1713" s="150">
        <v>0</v>
      </c>
      <c r="AJ1713" s="169">
        <f t="shared" si="1458"/>
        <v>0</v>
      </c>
      <c r="AK1713" s="201">
        <v>0</v>
      </c>
      <c r="AL1713" s="199">
        <v>0</v>
      </c>
      <c r="AM1713" s="150">
        <f t="shared" si="1472"/>
        <v>0</v>
      </c>
      <c r="AN1713" s="153">
        <f t="shared" si="1459"/>
        <v>0</v>
      </c>
      <c r="AO1713" s="154">
        <f t="shared" si="1460"/>
        <v>0</v>
      </c>
      <c r="AP1713" s="150">
        <v>0</v>
      </c>
      <c r="AQ1713" s="201">
        <v>0</v>
      </c>
      <c r="AR1713" s="199">
        <v>0</v>
      </c>
      <c r="AS1713" s="150">
        <f t="shared" si="1473"/>
        <v>0</v>
      </c>
      <c r="AT1713" s="155"/>
      <c r="AU1713" s="156">
        <f t="shared" si="1455"/>
        <v>0</v>
      </c>
      <c r="AV1713" s="156">
        <f t="shared" si="1456"/>
        <v>0</v>
      </c>
      <c r="AW1713" s="157"/>
      <c r="AX1713" s="150">
        <v>0</v>
      </c>
      <c r="AY1713" s="150">
        <v>0</v>
      </c>
      <c r="AZ1713" s="150"/>
      <c r="BA1713" s="150">
        <f t="shared" si="1474"/>
        <v>0</v>
      </c>
      <c r="BB1713" s="210"/>
      <c r="BC1713" s="210"/>
      <c r="BD1713" s="210"/>
      <c r="BE1713" s="210"/>
      <c r="BF1713" s="210"/>
      <c r="BG1713" s="210"/>
      <c r="BH1713" s="217"/>
      <c r="BI1713" s="210"/>
      <c r="BJ1713" s="210"/>
      <c r="BK1713" s="210"/>
      <c r="BL1713" s="210"/>
      <c r="BM1713" s="208"/>
      <c r="BN1713" s="160"/>
      <c r="BO1713" s="161">
        <f t="shared" si="1462"/>
        <v>0</v>
      </c>
      <c r="BP1713" s="161"/>
    </row>
    <row r="1714" spans="1:68" ht="51">
      <c r="A1714" s="210"/>
      <c r="B1714" s="195" t="s">
        <v>9143</v>
      </c>
      <c r="C1714" s="196" t="s">
        <v>9144</v>
      </c>
      <c r="D1714" s="146" t="s">
        <v>4692</v>
      </c>
      <c r="E1714" s="196" t="s">
        <v>9144</v>
      </c>
      <c r="F1714" s="150">
        <v>0</v>
      </c>
      <c r="G1714" s="209">
        <v>0</v>
      </c>
      <c r="H1714" s="209"/>
      <c r="I1714" s="209">
        <v>0</v>
      </c>
      <c r="J1714" s="150">
        <v>0</v>
      </c>
      <c r="K1714" s="150">
        <v>0</v>
      </c>
      <c r="L1714" s="150">
        <f t="shared" si="1463"/>
        <v>0</v>
      </c>
      <c r="M1714" s="150">
        <v>0</v>
      </c>
      <c r="N1714" s="150">
        <v>0</v>
      </c>
      <c r="O1714" s="150">
        <v>0</v>
      </c>
      <c r="P1714" s="150">
        <v>0</v>
      </c>
      <c r="Q1714" s="150">
        <v>0</v>
      </c>
      <c r="R1714" s="313">
        <f t="shared" si="1469"/>
        <v>0</v>
      </c>
      <c r="S1714" s="150">
        <f t="shared" si="1461"/>
        <v>0</v>
      </c>
      <c r="T1714" s="150">
        <v>0</v>
      </c>
      <c r="U1714" s="150">
        <v>0</v>
      </c>
      <c r="V1714" s="199">
        <v>0</v>
      </c>
      <c r="W1714" s="150">
        <f t="shared" si="1470"/>
        <v>0</v>
      </c>
      <c r="X1714" s="150">
        <v>0</v>
      </c>
      <c r="Y1714" s="150">
        <v>0</v>
      </c>
      <c r="Z1714" s="150">
        <v>0</v>
      </c>
      <c r="AA1714" s="150">
        <f t="shared" si="1457"/>
        <v>0</v>
      </c>
      <c r="AB1714" s="150">
        <v>0</v>
      </c>
      <c r="AC1714" s="199">
        <v>0</v>
      </c>
      <c r="AD1714" s="150">
        <f t="shared" si="1471"/>
        <v>0</v>
      </c>
      <c r="AE1714" s="150">
        <v>0</v>
      </c>
      <c r="AF1714" s="169" t="s">
        <v>4680</v>
      </c>
      <c r="AG1714" s="201">
        <v>0</v>
      </c>
      <c r="AH1714" s="199">
        <v>0</v>
      </c>
      <c r="AI1714" s="150">
        <v>0</v>
      </c>
      <c r="AJ1714" s="169">
        <f t="shared" si="1458"/>
        <v>0</v>
      </c>
      <c r="AK1714" s="201">
        <v>0</v>
      </c>
      <c r="AL1714" s="199">
        <v>0</v>
      </c>
      <c r="AM1714" s="150">
        <f t="shared" si="1472"/>
        <v>0</v>
      </c>
      <c r="AN1714" s="153">
        <f t="shared" si="1459"/>
        <v>0</v>
      </c>
      <c r="AO1714" s="154">
        <f t="shared" si="1460"/>
        <v>0</v>
      </c>
      <c r="AP1714" s="150">
        <v>0</v>
      </c>
      <c r="AQ1714" s="201">
        <v>0</v>
      </c>
      <c r="AR1714" s="199">
        <v>0</v>
      </c>
      <c r="AS1714" s="150">
        <f t="shared" si="1473"/>
        <v>0</v>
      </c>
      <c r="AT1714" s="155"/>
      <c r="AU1714" s="156">
        <f t="shared" si="1455"/>
        <v>0</v>
      </c>
      <c r="AV1714" s="156">
        <f t="shared" si="1456"/>
        <v>0</v>
      </c>
      <c r="AW1714" s="157"/>
      <c r="AX1714" s="150">
        <v>0</v>
      </c>
      <c r="AY1714" s="150">
        <v>0</v>
      </c>
      <c r="AZ1714" s="150"/>
      <c r="BA1714" s="150">
        <f t="shared" si="1474"/>
        <v>0</v>
      </c>
      <c r="BB1714" s="210"/>
      <c r="BC1714" s="210"/>
      <c r="BD1714" s="210"/>
      <c r="BE1714" s="210"/>
      <c r="BF1714" s="210"/>
      <c r="BG1714" s="210"/>
      <c r="BH1714" s="217"/>
      <c r="BI1714" s="210"/>
      <c r="BJ1714" s="210"/>
      <c r="BK1714" s="210"/>
      <c r="BL1714" s="210"/>
      <c r="BM1714" s="208"/>
      <c r="BN1714" s="160"/>
      <c r="BO1714" s="161">
        <f t="shared" si="1462"/>
        <v>0</v>
      </c>
      <c r="BP1714" s="161"/>
    </row>
    <row r="1715" spans="1:68" ht="51">
      <c r="A1715" s="210"/>
      <c r="B1715" s="195" t="s">
        <v>9145</v>
      </c>
      <c r="C1715" s="196" t="s">
        <v>9146</v>
      </c>
      <c r="D1715" s="146" t="s">
        <v>4692</v>
      </c>
      <c r="E1715" s="196" t="s">
        <v>9146</v>
      </c>
      <c r="F1715" s="150">
        <v>0</v>
      </c>
      <c r="G1715" s="209">
        <v>0</v>
      </c>
      <c r="H1715" s="209">
        <v>0</v>
      </c>
      <c r="I1715" s="209">
        <v>0</v>
      </c>
      <c r="J1715" s="150">
        <v>0</v>
      </c>
      <c r="K1715" s="150">
        <v>0</v>
      </c>
      <c r="L1715" s="150">
        <f t="shared" si="1463"/>
        <v>0</v>
      </c>
      <c r="M1715" s="150">
        <v>0</v>
      </c>
      <c r="N1715" s="150">
        <v>0</v>
      </c>
      <c r="O1715" s="150">
        <v>0</v>
      </c>
      <c r="P1715" s="150">
        <v>0</v>
      </c>
      <c r="Q1715" s="150">
        <v>0</v>
      </c>
      <c r="R1715" s="313">
        <f t="shared" si="1469"/>
        <v>0</v>
      </c>
      <c r="S1715" s="150">
        <f t="shared" si="1461"/>
        <v>0</v>
      </c>
      <c r="T1715" s="150">
        <v>0</v>
      </c>
      <c r="U1715" s="150">
        <v>0</v>
      </c>
      <c r="V1715" s="199">
        <v>0</v>
      </c>
      <c r="W1715" s="150">
        <f t="shared" si="1470"/>
        <v>0</v>
      </c>
      <c r="X1715" s="150">
        <v>0</v>
      </c>
      <c r="Y1715" s="150">
        <v>0</v>
      </c>
      <c r="Z1715" s="150">
        <v>0</v>
      </c>
      <c r="AA1715" s="150">
        <f t="shared" si="1457"/>
        <v>0</v>
      </c>
      <c r="AB1715" s="150">
        <v>0</v>
      </c>
      <c r="AC1715" s="199">
        <v>0</v>
      </c>
      <c r="AD1715" s="150">
        <f t="shared" si="1471"/>
        <v>0</v>
      </c>
      <c r="AE1715" s="150">
        <v>0</v>
      </c>
      <c r="AF1715" s="169" t="s">
        <v>4680</v>
      </c>
      <c r="AG1715" s="201">
        <v>0</v>
      </c>
      <c r="AH1715" s="199">
        <v>0</v>
      </c>
      <c r="AI1715" s="150">
        <v>0</v>
      </c>
      <c r="AJ1715" s="169">
        <f t="shared" si="1458"/>
        <v>0</v>
      </c>
      <c r="AK1715" s="201">
        <v>0</v>
      </c>
      <c r="AL1715" s="199">
        <v>0</v>
      </c>
      <c r="AM1715" s="150">
        <f t="shared" si="1472"/>
        <v>0</v>
      </c>
      <c r="AN1715" s="153">
        <f t="shared" si="1459"/>
        <v>0</v>
      </c>
      <c r="AO1715" s="154">
        <f t="shared" si="1460"/>
        <v>0</v>
      </c>
      <c r="AP1715" s="150">
        <v>0</v>
      </c>
      <c r="AQ1715" s="201">
        <v>0</v>
      </c>
      <c r="AR1715" s="199">
        <v>0</v>
      </c>
      <c r="AS1715" s="150">
        <f t="shared" si="1473"/>
        <v>0</v>
      </c>
      <c r="AT1715" s="155"/>
      <c r="AU1715" s="156">
        <f t="shared" si="1455"/>
        <v>0</v>
      </c>
      <c r="AV1715" s="156">
        <f t="shared" si="1456"/>
        <v>0</v>
      </c>
      <c r="AW1715" s="157"/>
      <c r="AX1715" s="150">
        <v>0</v>
      </c>
      <c r="AY1715" s="150">
        <v>0</v>
      </c>
      <c r="AZ1715" s="150"/>
      <c r="BA1715" s="150">
        <f t="shared" si="1474"/>
        <v>0</v>
      </c>
      <c r="BB1715" s="202">
        <v>5</v>
      </c>
      <c r="BC1715" s="202" t="s">
        <v>755</v>
      </c>
      <c r="BD1715" s="202" t="s">
        <v>632</v>
      </c>
      <c r="BE1715" s="202" t="s">
        <v>647</v>
      </c>
      <c r="BF1715" s="352" t="s">
        <v>766</v>
      </c>
      <c r="BG1715" s="196" t="s">
        <v>9146</v>
      </c>
      <c r="BH1715" s="217">
        <f>AS1715</f>
        <v>0</v>
      </c>
      <c r="BI1715" s="210"/>
      <c r="BJ1715" s="210"/>
      <c r="BK1715" s="210"/>
      <c r="BL1715" s="210"/>
      <c r="BM1715" s="208">
        <f>BH1715</f>
        <v>0</v>
      </c>
      <c r="BN1715" s="160"/>
      <c r="BO1715" s="161">
        <f t="shared" si="1462"/>
        <v>0</v>
      </c>
      <c r="BP1715" s="161"/>
    </row>
    <row r="1716" spans="1:68" ht="25.5">
      <c r="A1716" s="256" t="s">
        <v>593</v>
      </c>
      <c r="B1716" s="184"/>
      <c r="C1716" s="185" t="s">
        <v>98</v>
      </c>
      <c r="D1716" s="146" t="s">
        <v>4692</v>
      </c>
      <c r="E1716" s="185" t="s">
        <v>98</v>
      </c>
      <c r="F1716" s="188">
        <v>0</v>
      </c>
      <c r="G1716" s="187">
        <v>0</v>
      </c>
      <c r="H1716" s="187"/>
      <c r="I1716" s="187">
        <v>0</v>
      </c>
      <c r="J1716" s="188">
        <f>SUM(J1717:J1734)</f>
        <v>0</v>
      </c>
      <c r="K1716" s="188">
        <f>SUM(K1717:K1734)</f>
        <v>0</v>
      </c>
      <c r="L1716" s="188">
        <f t="shared" si="1463"/>
        <v>0</v>
      </c>
      <c r="M1716" s="188">
        <v>0</v>
      </c>
      <c r="N1716" s="188">
        <v>0</v>
      </c>
      <c r="O1716" s="188">
        <v>0</v>
      </c>
      <c r="P1716" s="299">
        <f t="shared" ref="P1716:AD1716" si="1475">SUM(P1717:P1734)</f>
        <v>0</v>
      </c>
      <c r="Q1716" s="299">
        <f t="shared" si="1475"/>
        <v>0</v>
      </c>
      <c r="R1716" s="299">
        <f t="shared" si="1475"/>
        <v>0</v>
      </c>
      <c r="S1716" s="150">
        <f t="shared" si="1461"/>
        <v>0</v>
      </c>
      <c r="T1716" s="150">
        <v>0</v>
      </c>
      <c r="U1716" s="299">
        <f t="shared" ref="U1716:W1716" si="1476">SUM(U1717:U1734)</f>
        <v>0</v>
      </c>
      <c r="V1716" s="226">
        <f t="shared" si="1476"/>
        <v>0</v>
      </c>
      <c r="W1716" s="299">
        <f t="shared" si="1476"/>
        <v>0</v>
      </c>
      <c r="X1716" s="299">
        <v>0</v>
      </c>
      <c r="Y1716" s="299">
        <v>0</v>
      </c>
      <c r="Z1716" s="299">
        <v>0</v>
      </c>
      <c r="AA1716" s="299">
        <f t="shared" si="1457"/>
        <v>0</v>
      </c>
      <c r="AB1716" s="299">
        <v>0</v>
      </c>
      <c r="AC1716" s="226">
        <v>0</v>
      </c>
      <c r="AD1716" s="299">
        <f t="shared" si="1475"/>
        <v>0</v>
      </c>
      <c r="AE1716" s="299">
        <v>0</v>
      </c>
      <c r="AF1716" s="169" t="s">
        <v>4680</v>
      </c>
      <c r="AG1716" s="301">
        <v>0</v>
      </c>
      <c r="AH1716" s="226">
        <v>0</v>
      </c>
      <c r="AI1716" s="299">
        <v>0</v>
      </c>
      <c r="AJ1716" s="169">
        <f t="shared" si="1458"/>
        <v>0</v>
      </c>
      <c r="AK1716" s="301">
        <v>0</v>
      </c>
      <c r="AL1716" s="226">
        <v>0</v>
      </c>
      <c r="AM1716" s="299">
        <f t="shared" ref="AM1716" si="1477">SUM(AM1717:AM1734)</f>
        <v>0</v>
      </c>
      <c r="AN1716" s="153">
        <f t="shared" si="1459"/>
        <v>0</v>
      </c>
      <c r="AO1716" s="154">
        <f t="shared" si="1460"/>
        <v>0</v>
      </c>
      <c r="AP1716" s="299">
        <v>0</v>
      </c>
      <c r="AQ1716" s="301">
        <v>0</v>
      </c>
      <c r="AR1716" s="226">
        <f t="shared" ref="AR1716:AS1716" si="1478">SUM(AR1717:AR1734)</f>
        <v>0</v>
      </c>
      <c r="AS1716" s="299">
        <f t="shared" si="1478"/>
        <v>0</v>
      </c>
      <c r="AT1716" s="155"/>
      <c r="AU1716" s="156">
        <f t="shared" si="1455"/>
        <v>0</v>
      </c>
      <c r="AV1716" s="156">
        <f t="shared" si="1456"/>
        <v>0</v>
      </c>
      <c r="AW1716" s="157"/>
      <c r="AX1716" s="150">
        <v>0</v>
      </c>
      <c r="AY1716" s="299">
        <f t="shared" ref="AY1716:BA1716" si="1479">SUM(AY1717:AY1734)</f>
        <v>0</v>
      </c>
      <c r="AZ1716" s="299">
        <f t="shared" si="1479"/>
        <v>0</v>
      </c>
      <c r="BA1716" s="299">
        <f t="shared" si="1479"/>
        <v>0</v>
      </c>
      <c r="BB1716" s="192">
        <v>5</v>
      </c>
      <c r="BC1716" s="256" t="s">
        <v>755</v>
      </c>
      <c r="BD1716" s="256" t="s">
        <v>632</v>
      </c>
      <c r="BE1716" s="256" t="s">
        <v>671</v>
      </c>
      <c r="BF1716" s="256" t="s">
        <v>630</v>
      </c>
      <c r="BG1716" s="185" t="s">
        <v>98</v>
      </c>
      <c r="BH1716" s="215">
        <f>BH1717</f>
        <v>0</v>
      </c>
      <c r="BI1716" s="192"/>
      <c r="BJ1716" s="256" t="s">
        <v>9147</v>
      </c>
      <c r="BK1716" s="256" t="s">
        <v>593</v>
      </c>
      <c r="BL1716" s="238" t="s">
        <v>9148</v>
      </c>
      <c r="BM1716" s="338">
        <f>BM1717</f>
        <v>0</v>
      </c>
      <c r="BN1716" s="160"/>
      <c r="BO1716" s="161">
        <f t="shared" si="1462"/>
        <v>0</v>
      </c>
      <c r="BP1716" s="161"/>
    </row>
    <row r="1717" spans="1:68" ht="25.5">
      <c r="A1717" s="206" t="s">
        <v>593</v>
      </c>
      <c r="B1717" s="195" t="s">
        <v>9149</v>
      </c>
      <c r="C1717" s="196" t="s">
        <v>9150</v>
      </c>
      <c r="D1717" s="146" t="s">
        <v>4692</v>
      </c>
      <c r="E1717" s="196" t="s">
        <v>9150</v>
      </c>
      <c r="F1717" s="150">
        <v>0</v>
      </c>
      <c r="G1717" s="209">
        <v>0</v>
      </c>
      <c r="H1717" s="209"/>
      <c r="I1717" s="209">
        <v>0</v>
      </c>
      <c r="J1717" s="150">
        <v>0</v>
      </c>
      <c r="K1717" s="150">
        <v>0</v>
      </c>
      <c r="L1717" s="150">
        <f t="shared" si="1463"/>
        <v>0</v>
      </c>
      <c r="M1717" s="150">
        <v>0</v>
      </c>
      <c r="N1717" s="150">
        <v>0</v>
      </c>
      <c r="O1717" s="150">
        <v>0</v>
      </c>
      <c r="P1717" s="150">
        <v>0</v>
      </c>
      <c r="Q1717" s="150">
        <v>0</v>
      </c>
      <c r="R1717" s="313">
        <f t="shared" ref="R1717:R1734" si="1480">P1717+Q1717</f>
        <v>0</v>
      </c>
      <c r="S1717" s="150">
        <f t="shared" si="1461"/>
        <v>0</v>
      </c>
      <c r="T1717" s="150">
        <v>0</v>
      </c>
      <c r="U1717" s="150">
        <v>0</v>
      </c>
      <c r="V1717" s="199">
        <v>0</v>
      </c>
      <c r="W1717" s="150">
        <f t="shared" ref="W1717:W1734" si="1481">U1717+V1717</f>
        <v>0</v>
      </c>
      <c r="X1717" s="150">
        <v>0</v>
      </c>
      <c r="Y1717" s="150">
        <v>0</v>
      </c>
      <c r="Z1717" s="150">
        <v>0</v>
      </c>
      <c r="AA1717" s="150">
        <f t="shared" si="1457"/>
        <v>0</v>
      </c>
      <c r="AB1717" s="150">
        <v>0</v>
      </c>
      <c r="AC1717" s="199">
        <v>0</v>
      </c>
      <c r="AD1717" s="150">
        <f t="shared" ref="AD1717:AD1734" si="1482">AB1717+AC1717</f>
        <v>0</v>
      </c>
      <c r="AE1717" s="150">
        <v>0</v>
      </c>
      <c r="AF1717" s="169" t="s">
        <v>4680</v>
      </c>
      <c r="AG1717" s="201">
        <v>0</v>
      </c>
      <c r="AH1717" s="199">
        <v>0</v>
      </c>
      <c r="AI1717" s="150">
        <v>0</v>
      </c>
      <c r="AJ1717" s="169">
        <f t="shared" si="1458"/>
        <v>0</v>
      </c>
      <c r="AK1717" s="201">
        <v>0</v>
      </c>
      <c r="AL1717" s="199">
        <v>0</v>
      </c>
      <c r="AM1717" s="150">
        <f t="shared" ref="AM1717:AM1734" si="1483">AK1717+AL1717</f>
        <v>0</v>
      </c>
      <c r="AN1717" s="153">
        <f t="shared" si="1459"/>
        <v>0</v>
      </c>
      <c r="AO1717" s="154">
        <f t="shared" si="1460"/>
        <v>0</v>
      </c>
      <c r="AP1717" s="150">
        <v>0</v>
      </c>
      <c r="AQ1717" s="201">
        <v>0</v>
      </c>
      <c r="AR1717" s="199">
        <v>0</v>
      </c>
      <c r="AS1717" s="150">
        <f t="shared" ref="AS1717:AS1734" si="1484">AQ1717+AR1717</f>
        <v>0</v>
      </c>
      <c r="AT1717" s="155"/>
      <c r="AU1717" s="156">
        <f t="shared" si="1455"/>
        <v>0</v>
      </c>
      <c r="AV1717" s="156">
        <f t="shared" si="1456"/>
        <v>0</v>
      </c>
      <c r="AW1717" s="157"/>
      <c r="AX1717" s="150">
        <v>0</v>
      </c>
      <c r="AY1717" s="150">
        <v>0</v>
      </c>
      <c r="AZ1717" s="150"/>
      <c r="BA1717" s="150">
        <f t="shared" si="1474"/>
        <v>0</v>
      </c>
      <c r="BB1717" s="202">
        <v>5</v>
      </c>
      <c r="BC1717" s="202" t="s">
        <v>755</v>
      </c>
      <c r="BD1717" s="202" t="s">
        <v>632</v>
      </c>
      <c r="BE1717" s="202" t="s">
        <v>671</v>
      </c>
      <c r="BF1717" s="202" t="s">
        <v>632</v>
      </c>
      <c r="BG1717" s="231" t="s">
        <v>98</v>
      </c>
      <c r="BH1717" s="216">
        <f>SUM(AS1717:AS1734)</f>
        <v>0</v>
      </c>
      <c r="BI1717" s="205"/>
      <c r="BJ1717" s="206" t="s">
        <v>9147</v>
      </c>
      <c r="BK1717" s="206" t="s">
        <v>593</v>
      </c>
      <c r="BL1717" s="207" t="s">
        <v>9148</v>
      </c>
      <c r="BM1717" s="208">
        <f>BH1717</f>
        <v>0</v>
      </c>
      <c r="BN1717" s="160"/>
      <c r="BO1717" s="161">
        <f t="shared" si="1462"/>
        <v>0</v>
      </c>
      <c r="BP1717" s="161"/>
    </row>
    <row r="1718" spans="1:68" ht="63.75">
      <c r="A1718" s="210"/>
      <c r="B1718" s="195" t="s">
        <v>9151</v>
      </c>
      <c r="C1718" s="196" t="s">
        <v>9152</v>
      </c>
      <c r="D1718" s="146" t="s">
        <v>4692</v>
      </c>
      <c r="E1718" s="196" t="s">
        <v>9152</v>
      </c>
      <c r="F1718" s="150">
        <v>0</v>
      </c>
      <c r="G1718" s="209">
        <v>0</v>
      </c>
      <c r="H1718" s="209"/>
      <c r="I1718" s="209">
        <v>0</v>
      </c>
      <c r="J1718" s="150">
        <v>0</v>
      </c>
      <c r="K1718" s="150">
        <v>0</v>
      </c>
      <c r="L1718" s="150">
        <f t="shared" si="1463"/>
        <v>0</v>
      </c>
      <c r="M1718" s="150">
        <v>0</v>
      </c>
      <c r="N1718" s="150">
        <v>0</v>
      </c>
      <c r="O1718" s="150">
        <v>0</v>
      </c>
      <c r="P1718" s="150">
        <v>0</v>
      </c>
      <c r="Q1718" s="150">
        <v>0</v>
      </c>
      <c r="R1718" s="313">
        <f t="shared" si="1480"/>
        <v>0</v>
      </c>
      <c r="S1718" s="150">
        <f t="shared" si="1461"/>
        <v>0</v>
      </c>
      <c r="T1718" s="150">
        <v>0</v>
      </c>
      <c r="U1718" s="150">
        <v>0</v>
      </c>
      <c r="V1718" s="199">
        <v>0</v>
      </c>
      <c r="W1718" s="150">
        <f t="shared" si="1481"/>
        <v>0</v>
      </c>
      <c r="X1718" s="150">
        <v>0</v>
      </c>
      <c r="Y1718" s="150">
        <v>0</v>
      </c>
      <c r="Z1718" s="150">
        <v>0</v>
      </c>
      <c r="AA1718" s="150">
        <f t="shared" si="1457"/>
        <v>0</v>
      </c>
      <c r="AB1718" s="150">
        <v>0</v>
      </c>
      <c r="AC1718" s="199">
        <v>0</v>
      </c>
      <c r="AD1718" s="150">
        <f t="shared" si="1482"/>
        <v>0</v>
      </c>
      <c r="AE1718" s="150">
        <v>0</v>
      </c>
      <c r="AF1718" s="169" t="s">
        <v>4680</v>
      </c>
      <c r="AG1718" s="201">
        <v>0</v>
      </c>
      <c r="AH1718" s="199">
        <v>0</v>
      </c>
      <c r="AI1718" s="150">
        <v>0</v>
      </c>
      <c r="AJ1718" s="169">
        <f t="shared" si="1458"/>
        <v>0</v>
      </c>
      <c r="AK1718" s="201">
        <v>0</v>
      </c>
      <c r="AL1718" s="199">
        <v>0</v>
      </c>
      <c r="AM1718" s="150">
        <f t="shared" si="1483"/>
        <v>0</v>
      </c>
      <c r="AN1718" s="153">
        <f t="shared" si="1459"/>
        <v>0</v>
      </c>
      <c r="AO1718" s="154">
        <f t="shared" si="1460"/>
        <v>0</v>
      </c>
      <c r="AP1718" s="150">
        <v>0</v>
      </c>
      <c r="AQ1718" s="201">
        <v>0</v>
      </c>
      <c r="AR1718" s="199">
        <v>0</v>
      </c>
      <c r="AS1718" s="150">
        <f t="shared" si="1484"/>
        <v>0</v>
      </c>
      <c r="AT1718" s="155"/>
      <c r="AU1718" s="156">
        <f t="shared" si="1455"/>
        <v>0</v>
      </c>
      <c r="AV1718" s="156">
        <f t="shared" si="1456"/>
        <v>0</v>
      </c>
      <c r="AW1718" s="157"/>
      <c r="AX1718" s="150">
        <v>0</v>
      </c>
      <c r="AY1718" s="150">
        <v>0</v>
      </c>
      <c r="AZ1718" s="150"/>
      <c r="BA1718" s="150">
        <f t="shared" si="1474"/>
        <v>0</v>
      </c>
      <c r="BB1718" s="210"/>
      <c r="BC1718" s="210"/>
      <c r="BD1718" s="210"/>
      <c r="BE1718" s="210"/>
      <c r="BF1718" s="210"/>
      <c r="BG1718" s="210"/>
      <c r="BH1718" s="217"/>
      <c r="BI1718" s="210"/>
      <c r="BJ1718" s="210"/>
      <c r="BK1718" s="210"/>
      <c r="BL1718" s="210"/>
      <c r="BM1718" s="208"/>
      <c r="BN1718" s="160"/>
      <c r="BO1718" s="161">
        <f t="shared" si="1462"/>
        <v>0</v>
      </c>
      <c r="BP1718" s="161"/>
    </row>
    <row r="1719" spans="1:68" ht="63.75">
      <c r="A1719" s="210"/>
      <c r="B1719" s="195" t="s">
        <v>9153</v>
      </c>
      <c r="C1719" s="196" t="s">
        <v>9154</v>
      </c>
      <c r="D1719" s="146" t="s">
        <v>4692</v>
      </c>
      <c r="E1719" s="196" t="s">
        <v>9154</v>
      </c>
      <c r="F1719" s="150">
        <v>0</v>
      </c>
      <c r="G1719" s="209">
        <v>0</v>
      </c>
      <c r="H1719" s="209"/>
      <c r="I1719" s="209">
        <v>0</v>
      </c>
      <c r="J1719" s="150">
        <v>0</v>
      </c>
      <c r="K1719" s="150">
        <v>0</v>
      </c>
      <c r="L1719" s="150">
        <f t="shared" si="1463"/>
        <v>0</v>
      </c>
      <c r="M1719" s="150">
        <v>0</v>
      </c>
      <c r="N1719" s="150">
        <v>0</v>
      </c>
      <c r="O1719" s="150">
        <v>0</v>
      </c>
      <c r="P1719" s="150">
        <v>0</v>
      </c>
      <c r="Q1719" s="150">
        <v>0</v>
      </c>
      <c r="R1719" s="313">
        <f t="shared" si="1480"/>
        <v>0</v>
      </c>
      <c r="S1719" s="150">
        <f t="shared" si="1461"/>
        <v>0</v>
      </c>
      <c r="T1719" s="150">
        <v>0</v>
      </c>
      <c r="U1719" s="150">
        <v>0</v>
      </c>
      <c r="V1719" s="199">
        <v>0</v>
      </c>
      <c r="W1719" s="150">
        <f t="shared" si="1481"/>
        <v>0</v>
      </c>
      <c r="X1719" s="150">
        <v>0</v>
      </c>
      <c r="Y1719" s="150">
        <v>0</v>
      </c>
      <c r="Z1719" s="150">
        <v>0</v>
      </c>
      <c r="AA1719" s="150">
        <f t="shared" si="1457"/>
        <v>0</v>
      </c>
      <c r="AB1719" s="150">
        <v>0</v>
      </c>
      <c r="AC1719" s="199">
        <v>0</v>
      </c>
      <c r="AD1719" s="150">
        <f t="shared" si="1482"/>
        <v>0</v>
      </c>
      <c r="AE1719" s="150">
        <v>0</v>
      </c>
      <c r="AF1719" s="169" t="s">
        <v>4680</v>
      </c>
      <c r="AG1719" s="201">
        <v>0</v>
      </c>
      <c r="AH1719" s="199">
        <v>0</v>
      </c>
      <c r="AI1719" s="150">
        <v>0</v>
      </c>
      <c r="AJ1719" s="169">
        <f t="shared" si="1458"/>
        <v>0</v>
      </c>
      <c r="AK1719" s="201">
        <v>0</v>
      </c>
      <c r="AL1719" s="199">
        <v>0</v>
      </c>
      <c r="AM1719" s="150">
        <f t="shared" si="1483"/>
        <v>0</v>
      </c>
      <c r="AN1719" s="153">
        <f t="shared" si="1459"/>
        <v>0</v>
      </c>
      <c r="AO1719" s="154">
        <f t="shared" si="1460"/>
        <v>0</v>
      </c>
      <c r="AP1719" s="150">
        <v>0</v>
      </c>
      <c r="AQ1719" s="201">
        <v>0</v>
      </c>
      <c r="AR1719" s="199">
        <v>0</v>
      </c>
      <c r="AS1719" s="150">
        <f t="shared" si="1484"/>
        <v>0</v>
      </c>
      <c r="AT1719" s="155"/>
      <c r="AU1719" s="156">
        <f t="shared" si="1455"/>
        <v>0</v>
      </c>
      <c r="AV1719" s="156">
        <f t="shared" si="1456"/>
        <v>0</v>
      </c>
      <c r="AW1719" s="157"/>
      <c r="AX1719" s="150">
        <v>0</v>
      </c>
      <c r="AY1719" s="150">
        <v>0</v>
      </c>
      <c r="AZ1719" s="150"/>
      <c r="BA1719" s="150">
        <f t="shared" si="1474"/>
        <v>0</v>
      </c>
      <c r="BB1719" s="210"/>
      <c r="BC1719" s="210"/>
      <c r="BD1719" s="210"/>
      <c r="BE1719" s="210"/>
      <c r="BF1719" s="210"/>
      <c r="BG1719" s="210"/>
      <c r="BH1719" s="217"/>
      <c r="BI1719" s="210"/>
      <c r="BJ1719" s="210"/>
      <c r="BK1719" s="210"/>
      <c r="BL1719" s="210"/>
      <c r="BM1719" s="208"/>
      <c r="BN1719" s="160"/>
      <c r="BO1719" s="161">
        <f t="shared" si="1462"/>
        <v>0</v>
      </c>
      <c r="BP1719" s="161"/>
    </row>
    <row r="1720" spans="1:68" ht="63.75">
      <c r="A1720" s="210"/>
      <c r="B1720" s="195" t="s">
        <v>9155</v>
      </c>
      <c r="C1720" s="196" t="s">
        <v>9156</v>
      </c>
      <c r="D1720" s="146" t="s">
        <v>4692</v>
      </c>
      <c r="E1720" s="196" t="s">
        <v>9156</v>
      </c>
      <c r="F1720" s="150">
        <v>0</v>
      </c>
      <c r="G1720" s="209">
        <v>0</v>
      </c>
      <c r="H1720" s="209"/>
      <c r="I1720" s="209">
        <v>0</v>
      </c>
      <c r="J1720" s="150">
        <v>0</v>
      </c>
      <c r="K1720" s="150">
        <v>0</v>
      </c>
      <c r="L1720" s="150">
        <f t="shared" si="1463"/>
        <v>0</v>
      </c>
      <c r="M1720" s="150">
        <v>0</v>
      </c>
      <c r="N1720" s="150">
        <v>0</v>
      </c>
      <c r="O1720" s="150">
        <v>0</v>
      </c>
      <c r="P1720" s="150">
        <v>0</v>
      </c>
      <c r="Q1720" s="150">
        <v>0</v>
      </c>
      <c r="R1720" s="313">
        <f t="shared" si="1480"/>
        <v>0</v>
      </c>
      <c r="S1720" s="150">
        <f t="shared" si="1461"/>
        <v>0</v>
      </c>
      <c r="T1720" s="150">
        <v>0</v>
      </c>
      <c r="U1720" s="150">
        <v>0</v>
      </c>
      <c r="V1720" s="199">
        <v>0</v>
      </c>
      <c r="W1720" s="150">
        <f t="shared" si="1481"/>
        <v>0</v>
      </c>
      <c r="X1720" s="150">
        <v>0</v>
      </c>
      <c r="Y1720" s="150">
        <v>0</v>
      </c>
      <c r="Z1720" s="150">
        <v>0</v>
      </c>
      <c r="AA1720" s="150">
        <f t="shared" si="1457"/>
        <v>0</v>
      </c>
      <c r="AB1720" s="150">
        <v>0</v>
      </c>
      <c r="AC1720" s="199">
        <v>0</v>
      </c>
      <c r="AD1720" s="150">
        <f t="shared" si="1482"/>
        <v>0</v>
      </c>
      <c r="AE1720" s="150">
        <v>0</v>
      </c>
      <c r="AF1720" s="169" t="s">
        <v>4680</v>
      </c>
      <c r="AG1720" s="201">
        <v>0</v>
      </c>
      <c r="AH1720" s="199">
        <v>0</v>
      </c>
      <c r="AI1720" s="150">
        <v>0</v>
      </c>
      <c r="AJ1720" s="169">
        <f t="shared" si="1458"/>
        <v>0</v>
      </c>
      <c r="AK1720" s="201">
        <v>0</v>
      </c>
      <c r="AL1720" s="199">
        <v>0</v>
      </c>
      <c r="AM1720" s="150">
        <f t="shared" si="1483"/>
        <v>0</v>
      </c>
      <c r="AN1720" s="153">
        <f t="shared" si="1459"/>
        <v>0</v>
      </c>
      <c r="AO1720" s="154">
        <f t="shared" si="1460"/>
        <v>0</v>
      </c>
      <c r="AP1720" s="150">
        <v>0</v>
      </c>
      <c r="AQ1720" s="201">
        <v>0</v>
      </c>
      <c r="AR1720" s="199">
        <v>0</v>
      </c>
      <c r="AS1720" s="150">
        <f t="shared" si="1484"/>
        <v>0</v>
      </c>
      <c r="AT1720" s="155"/>
      <c r="AU1720" s="156">
        <f t="shared" si="1455"/>
        <v>0</v>
      </c>
      <c r="AV1720" s="156">
        <f t="shared" si="1456"/>
        <v>0</v>
      </c>
      <c r="AW1720" s="157"/>
      <c r="AX1720" s="150">
        <v>0</v>
      </c>
      <c r="AY1720" s="150">
        <v>0</v>
      </c>
      <c r="AZ1720" s="150"/>
      <c r="BA1720" s="150">
        <f t="shared" si="1474"/>
        <v>0</v>
      </c>
      <c r="BB1720" s="210"/>
      <c r="BC1720" s="210"/>
      <c r="BD1720" s="210"/>
      <c r="BE1720" s="210"/>
      <c r="BF1720" s="210"/>
      <c r="BG1720" s="210"/>
      <c r="BH1720" s="217"/>
      <c r="BI1720" s="210"/>
      <c r="BJ1720" s="210"/>
      <c r="BK1720" s="210"/>
      <c r="BL1720" s="210"/>
      <c r="BM1720" s="208"/>
      <c r="BN1720" s="160"/>
      <c r="BO1720" s="161">
        <f t="shared" si="1462"/>
        <v>0</v>
      </c>
      <c r="BP1720" s="161"/>
    </row>
    <row r="1721" spans="1:68" ht="25.5">
      <c r="A1721" s="210"/>
      <c r="B1721" s="195" t="s">
        <v>9157</v>
      </c>
      <c r="C1721" s="196" t="s">
        <v>9158</v>
      </c>
      <c r="D1721" s="146" t="s">
        <v>4692</v>
      </c>
      <c r="E1721" s="196" t="s">
        <v>9158</v>
      </c>
      <c r="F1721" s="150">
        <v>0</v>
      </c>
      <c r="G1721" s="209">
        <v>0</v>
      </c>
      <c r="H1721" s="209"/>
      <c r="I1721" s="209">
        <v>0</v>
      </c>
      <c r="J1721" s="150">
        <v>0</v>
      </c>
      <c r="K1721" s="150">
        <v>0</v>
      </c>
      <c r="L1721" s="150">
        <f t="shared" si="1463"/>
        <v>0</v>
      </c>
      <c r="M1721" s="150">
        <v>0</v>
      </c>
      <c r="N1721" s="150">
        <v>0</v>
      </c>
      <c r="O1721" s="150">
        <v>0</v>
      </c>
      <c r="P1721" s="150">
        <v>0</v>
      </c>
      <c r="Q1721" s="150">
        <v>0</v>
      </c>
      <c r="R1721" s="313">
        <f t="shared" si="1480"/>
        <v>0</v>
      </c>
      <c r="S1721" s="150">
        <f t="shared" si="1461"/>
        <v>0</v>
      </c>
      <c r="T1721" s="150">
        <v>0</v>
      </c>
      <c r="U1721" s="150">
        <v>0</v>
      </c>
      <c r="V1721" s="199">
        <v>0</v>
      </c>
      <c r="W1721" s="150">
        <f t="shared" si="1481"/>
        <v>0</v>
      </c>
      <c r="X1721" s="150">
        <v>0</v>
      </c>
      <c r="Y1721" s="150">
        <v>0</v>
      </c>
      <c r="Z1721" s="150">
        <v>0</v>
      </c>
      <c r="AA1721" s="150">
        <f t="shared" si="1457"/>
        <v>0</v>
      </c>
      <c r="AB1721" s="150">
        <v>0</v>
      </c>
      <c r="AC1721" s="199">
        <v>0</v>
      </c>
      <c r="AD1721" s="150">
        <f t="shared" si="1482"/>
        <v>0</v>
      </c>
      <c r="AE1721" s="150">
        <v>0</v>
      </c>
      <c r="AF1721" s="169" t="s">
        <v>4680</v>
      </c>
      <c r="AG1721" s="201">
        <v>0</v>
      </c>
      <c r="AH1721" s="199">
        <v>0</v>
      </c>
      <c r="AI1721" s="150">
        <v>0</v>
      </c>
      <c r="AJ1721" s="169">
        <f t="shared" si="1458"/>
        <v>0</v>
      </c>
      <c r="AK1721" s="201">
        <v>0</v>
      </c>
      <c r="AL1721" s="199">
        <v>0</v>
      </c>
      <c r="AM1721" s="150">
        <f t="shared" si="1483"/>
        <v>0</v>
      </c>
      <c r="AN1721" s="153">
        <f t="shared" si="1459"/>
        <v>0</v>
      </c>
      <c r="AO1721" s="154">
        <f t="shared" si="1460"/>
        <v>0</v>
      </c>
      <c r="AP1721" s="150">
        <v>0</v>
      </c>
      <c r="AQ1721" s="201">
        <v>0</v>
      </c>
      <c r="AR1721" s="199">
        <v>0</v>
      </c>
      <c r="AS1721" s="150">
        <f t="shared" si="1484"/>
        <v>0</v>
      </c>
      <c r="AT1721" s="155"/>
      <c r="AU1721" s="156">
        <f t="shared" si="1455"/>
        <v>0</v>
      </c>
      <c r="AV1721" s="156">
        <f t="shared" si="1456"/>
        <v>0</v>
      </c>
      <c r="AW1721" s="157"/>
      <c r="AX1721" s="150">
        <v>0</v>
      </c>
      <c r="AY1721" s="150">
        <v>0</v>
      </c>
      <c r="AZ1721" s="150"/>
      <c r="BA1721" s="150">
        <f t="shared" si="1474"/>
        <v>0</v>
      </c>
      <c r="BB1721" s="210"/>
      <c r="BC1721" s="210"/>
      <c r="BD1721" s="210"/>
      <c r="BE1721" s="210"/>
      <c r="BF1721" s="210"/>
      <c r="BG1721" s="210"/>
      <c r="BH1721" s="217"/>
      <c r="BI1721" s="210"/>
      <c r="BJ1721" s="210"/>
      <c r="BK1721" s="210"/>
      <c r="BL1721" s="210"/>
      <c r="BM1721" s="208"/>
      <c r="BN1721" s="160"/>
      <c r="BO1721" s="161">
        <f t="shared" si="1462"/>
        <v>0</v>
      </c>
      <c r="BP1721" s="161"/>
    </row>
    <row r="1722" spans="1:68" ht="25.5">
      <c r="A1722" s="210"/>
      <c r="B1722" s="195" t="s">
        <v>9159</v>
      </c>
      <c r="C1722" s="196" t="s">
        <v>9160</v>
      </c>
      <c r="D1722" s="146" t="s">
        <v>4692</v>
      </c>
      <c r="E1722" s="196" t="s">
        <v>9160</v>
      </c>
      <c r="F1722" s="150">
        <v>0</v>
      </c>
      <c r="G1722" s="209">
        <v>0</v>
      </c>
      <c r="H1722" s="209"/>
      <c r="I1722" s="209">
        <v>0</v>
      </c>
      <c r="J1722" s="150">
        <v>0</v>
      </c>
      <c r="K1722" s="150">
        <v>0</v>
      </c>
      <c r="L1722" s="150">
        <f t="shared" si="1463"/>
        <v>0</v>
      </c>
      <c r="M1722" s="150">
        <v>0</v>
      </c>
      <c r="N1722" s="150">
        <v>0</v>
      </c>
      <c r="O1722" s="150">
        <v>0</v>
      </c>
      <c r="P1722" s="150">
        <v>0</v>
      </c>
      <c r="Q1722" s="150">
        <v>0</v>
      </c>
      <c r="R1722" s="313">
        <f t="shared" si="1480"/>
        <v>0</v>
      </c>
      <c r="S1722" s="150">
        <f t="shared" si="1461"/>
        <v>0</v>
      </c>
      <c r="T1722" s="150">
        <v>0</v>
      </c>
      <c r="U1722" s="150">
        <v>0</v>
      </c>
      <c r="V1722" s="199">
        <v>0</v>
      </c>
      <c r="W1722" s="150">
        <f t="shared" si="1481"/>
        <v>0</v>
      </c>
      <c r="X1722" s="150">
        <v>0</v>
      </c>
      <c r="Y1722" s="150">
        <v>0</v>
      </c>
      <c r="Z1722" s="150">
        <v>0</v>
      </c>
      <c r="AA1722" s="150">
        <f t="shared" si="1457"/>
        <v>0</v>
      </c>
      <c r="AB1722" s="150">
        <v>0</v>
      </c>
      <c r="AC1722" s="199">
        <v>0</v>
      </c>
      <c r="AD1722" s="150">
        <f t="shared" si="1482"/>
        <v>0</v>
      </c>
      <c r="AE1722" s="150">
        <v>0</v>
      </c>
      <c r="AF1722" s="169" t="s">
        <v>4680</v>
      </c>
      <c r="AG1722" s="201">
        <v>0</v>
      </c>
      <c r="AH1722" s="199">
        <v>0</v>
      </c>
      <c r="AI1722" s="150">
        <v>0</v>
      </c>
      <c r="AJ1722" s="169">
        <f t="shared" si="1458"/>
        <v>0</v>
      </c>
      <c r="AK1722" s="201">
        <v>0</v>
      </c>
      <c r="AL1722" s="199">
        <v>0</v>
      </c>
      <c r="AM1722" s="150">
        <f t="shared" si="1483"/>
        <v>0</v>
      </c>
      <c r="AN1722" s="153">
        <f t="shared" si="1459"/>
        <v>0</v>
      </c>
      <c r="AO1722" s="154">
        <f t="shared" si="1460"/>
        <v>0</v>
      </c>
      <c r="AP1722" s="150">
        <v>0</v>
      </c>
      <c r="AQ1722" s="201">
        <v>0</v>
      </c>
      <c r="AR1722" s="199">
        <v>0</v>
      </c>
      <c r="AS1722" s="150">
        <f t="shared" si="1484"/>
        <v>0</v>
      </c>
      <c r="AT1722" s="155"/>
      <c r="AU1722" s="156">
        <f t="shared" si="1455"/>
        <v>0</v>
      </c>
      <c r="AV1722" s="156">
        <f t="shared" si="1456"/>
        <v>0</v>
      </c>
      <c r="AW1722" s="157"/>
      <c r="AX1722" s="150">
        <v>0</v>
      </c>
      <c r="AY1722" s="150">
        <v>0</v>
      </c>
      <c r="AZ1722" s="150"/>
      <c r="BA1722" s="150">
        <f t="shared" si="1474"/>
        <v>0</v>
      </c>
      <c r="BB1722" s="210"/>
      <c r="BC1722" s="210"/>
      <c r="BD1722" s="210"/>
      <c r="BE1722" s="210"/>
      <c r="BF1722" s="210"/>
      <c r="BG1722" s="210"/>
      <c r="BH1722" s="217"/>
      <c r="BI1722" s="210"/>
      <c r="BJ1722" s="210"/>
      <c r="BK1722" s="210"/>
      <c r="BL1722" s="210"/>
      <c r="BM1722" s="208"/>
      <c r="BN1722" s="160"/>
      <c r="BO1722" s="161">
        <f t="shared" si="1462"/>
        <v>0</v>
      </c>
      <c r="BP1722" s="161"/>
    </row>
    <row r="1723" spans="1:68" ht="25.5">
      <c r="A1723" s="210"/>
      <c r="B1723" s="195" t="s">
        <v>9161</v>
      </c>
      <c r="C1723" s="196" t="s">
        <v>9162</v>
      </c>
      <c r="D1723" s="146" t="s">
        <v>4692</v>
      </c>
      <c r="E1723" s="196" t="s">
        <v>9162</v>
      </c>
      <c r="F1723" s="150">
        <v>0</v>
      </c>
      <c r="G1723" s="209">
        <v>0</v>
      </c>
      <c r="H1723" s="209"/>
      <c r="I1723" s="209">
        <v>0</v>
      </c>
      <c r="J1723" s="150">
        <v>0</v>
      </c>
      <c r="K1723" s="150">
        <v>0</v>
      </c>
      <c r="L1723" s="150">
        <f t="shared" si="1463"/>
        <v>0</v>
      </c>
      <c r="M1723" s="150">
        <v>0</v>
      </c>
      <c r="N1723" s="150">
        <v>0</v>
      </c>
      <c r="O1723" s="150">
        <v>0</v>
      </c>
      <c r="P1723" s="150">
        <v>0</v>
      </c>
      <c r="Q1723" s="150">
        <v>0</v>
      </c>
      <c r="R1723" s="313">
        <f t="shared" si="1480"/>
        <v>0</v>
      </c>
      <c r="S1723" s="150">
        <f t="shared" si="1461"/>
        <v>0</v>
      </c>
      <c r="T1723" s="150">
        <v>0</v>
      </c>
      <c r="U1723" s="150">
        <v>0</v>
      </c>
      <c r="V1723" s="199">
        <v>0</v>
      </c>
      <c r="W1723" s="150">
        <f t="shared" si="1481"/>
        <v>0</v>
      </c>
      <c r="X1723" s="150">
        <v>0</v>
      </c>
      <c r="Y1723" s="150">
        <v>0</v>
      </c>
      <c r="Z1723" s="150">
        <v>0</v>
      </c>
      <c r="AA1723" s="150">
        <f t="shared" si="1457"/>
        <v>0</v>
      </c>
      <c r="AB1723" s="150">
        <v>0</v>
      </c>
      <c r="AC1723" s="199">
        <v>0</v>
      </c>
      <c r="AD1723" s="150">
        <f t="shared" si="1482"/>
        <v>0</v>
      </c>
      <c r="AE1723" s="150">
        <v>0</v>
      </c>
      <c r="AF1723" s="169" t="s">
        <v>4680</v>
      </c>
      <c r="AG1723" s="201">
        <v>0</v>
      </c>
      <c r="AH1723" s="199">
        <v>0</v>
      </c>
      <c r="AI1723" s="150">
        <v>0</v>
      </c>
      <c r="AJ1723" s="169">
        <f t="shared" si="1458"/>
        <v>0</v>
      </c>
      <c r="AK1723" s="201">
        <v>0</v>
      </c>
      <c r="AL1723" s="199">
        <v>0</v>
      </c>
      <c r="AM1723" s="150">
        <f t="shared" si="1483"/>
        <v>0</v>
      </c>
      <c r="AN1723" s="153">
        <f t="shared" si="1459"/>
        <v>0</v>
      </c>
      <c r="AO1723" s="154">
        <f t="shared" si="1460"/>
        <v>0</v>
      </c>
      <c r="AP1723" s="150">
        <v>0</v>
      </c>
      <c r="AQ1723" s="201">
        <v>0</v>
      </c>
      <c r="AR1723" s="199">
        <v>0</v>
      </c>
      <c r="AS1723" s="150">
        <f t="shared" si="1484"/>
        <v>0</v>
      </c>
      <c r="AT1723" s="155"/>
      <c r="AU1723" s="156">
        <f t="shared" si="1455"/>
        <v>0</v>
      </c>
      <c r="AV1723" s="156">
        <f t="shared" si="1456"/>
        <v>0</v>
      </c>
      <c r="AW1723" s="157"/>
      <c r="AX1723" s="150">
        <v>0</v>
      </c>
      <c r="AY1723" s="150">
        <v>0</v>
      </c>
      <c r="AZ1723" s="150"/>
      <c r="BA1723" s="150">
        <f t="shared" si="1474"/>
        <v>0</v>
      </c>
      <c r="BB1723" s="210"/>
      <c r="BC1723" s="210"/>
      <c r="BD1723" s="210"/>
      <c r="BE1723" s="210"/>
      <c r="BF1723" s="210"/>
      <c r="BG1723" s="210"/>
      <c r="BH1723" s="217"/>
      <c r="BI1723" s="210"/>
      <c r="BJ1723" s="210"/>
      <c r="BK1723" s="210"/>
      <c r="BL1723" s="210"/>
      <c r="BM1723" s="208"/>
      <c r="BN1723" s="160"/>
      <c r="BO1723" s="161">
        <f t="shared" si="1462"/>
        <v>0</v>
      </c>
      <c r="BP1723" s="161"/>
    </row>
    <row r="1724" spans="1:68" ht="25.5">
      <c r="A1724" s="210"/>
      <c r="B1724" s="195" t="s">
        <v>9163</v>
      </c>
      <c r="C1724" s="196" t="s">
        <v>9164</v>
      </c>
      <c r="D1724" s="146" t="s">
        <v>4692</v>
      </c>
      <c r="E1724" s="196" t="s">
        <v>9164</v>
      </c>
      <c r="F1724" s="150">
        <v>0</v>
      </c>
      <c r="G1724" s="209">
        <v>0</v>
      </c>
      <c r="H1724" s="209"/>
      <c r="I1724" s="209">
        <v>0</v>
      </c>
      <c r="J1724" s="150">
        <v>0</v>
      </c>
      <c r="K1724" s="150">
        <v>0</v>
      </c>
      <c r="L1724" s="150">
        <f t="shared" si="1463"/>
        <v>0</v>
      </c>
      <c r="M1724" s="150">
        <v>0</v>
      </c>
      <c r="N1724" s="150">
        <v>0</v>
      </c>
      <c r="O1724" s="150">
        <v>0</v>
      </c>
      <c r="P1724" s="150">
        <v>0</v>
      </c>
      <c r="Q1724" s="150">
        <v>0</v>
      </c>
      <c r="R1724" s="313">
        <f t="shared" si="1480"/>
        <v>0</v>
      </c>
      <c r="S1724" s="150">
        <f t="shared" si="1461"/>
        <v>0</v>
      </c>
      <c r="T1724" s="150">
        <v>0</v>
      </c>
      <c r="U1724" s="150">
        <v>0</v>
      </c>
      <c r="V1724" s="199">
        <v>0</v>
      </c>
      <c r="W1724" s="150">
        <f t="shared" si="1481"/>
        <v>0</v>
      </c>
      <c r="X1724" s="150">
        <v>0</v>
      </c>
      <c r="Y1724" s="150">
        <v>0</v>
      </c>
      <c r="Z1724" s="150">
        <v>0</v>
      </c>
      <c r="AA1724" s="150">
        <f t="shared" si="1457"/>
        <v>0</v>
      </c>
      <c r="AB1724" s="150">
        <v>0</v>
      </c>
      <c r="AC1724" s="199">
        <v>0</v>
      </c>
      <c r="AD1724" s="150">
        <f t="shared" si="1482"/>
        <v>0</v>
      </c>
      <c r="AE1724" s="150">
        <v>0</v>
      </c>
      <c r="AF1724" s="169" t="s">
        <v>4680</v>
      </c>
      <c r="AG1724" s="201">
        <v>0</v>
      </c>
      <c r="AH1724" s="199">
        <v>0</v>
      </c>
      <c r="AI1724" s="150">
        <v>0</v>
      </c>
      <c r="AJ1724" s="169">
        <f t="shared" si="1458"/>
        <v>0</v>
      </c>
      <c r="AK1724" s="201">
        <v>0</v>
      </c>
      <c r="AL1724" s="199">
        <v>0</v>
      </c>
      <c r="AM1724" s="150">
        <f t="shared" si="1483"/>
        <v>0</v>
      </c>
      <c r="AN1724" s="153">
        <f t="shared" si="1459"/>
        <v>0</v>
      </c>
      <c r="AO1724" s="154">
        <f t="shared" si="1460"/>
        <v>0</v>
      </c>
      <c r="AP1724" s="150">
        <v>0</v>
      </c>
      <c r="AQ1724" s="201">
        <v>0</v>
      </c>
      <c r="AR1724" s="199">
        <v>0</v>
      </c>
      <c r="AS1724" s="150">
        <f t="shared" si="1484"/>
        <v>0</v>
      </c>
      <c r="AT1724" s="155"/>
      <c r="AU1724" s="156">
        <f t="shared" si="1455"/>
        <v>0</v>
      </c>
      <c r="AV1724" s="156">
        <f t="shared" si="1456"/>
        <v>0</v>
      </c>
      <c r="AW1724" s="157"/>
      <c r="AX1724" s="150">
        <v>0</v>
      </c>
      <c r="AY1724" s="150">
        <v>0</v>
      </c>
      <c r="AZ1724" s="150"/>
      <c r="BA1724" s="150">
        <f t="shared" si="1474"/>
        <v>0</v>
      </c>
      <c r="BB1724" s="210"/>
      <c r="BC1724" s="210"/>
      <c r="BD1724" s="210"/>
      <c r="BE1724" s="210"/>
      <c r="BF1724" s="210"/>
      <c r="BG1724" s="210"/>
      <c r="BH1724" s="217"/>
      <c r="BI1724" s="210"/>
      <c r="BJ1724" s="210"/>
      <c r="BK1724" s="210"/>
      <c r="BL1724" s="210"/>
      <c r="BM1724" s="208"/>
      <c r="BN1724" s="160"/>
      <c r="BO1724" s="161">
        <f t="shared" si="1462"/>
        <v>0</v>
      </c>
      <c r="BP1724" s="161"/>
    </row>
    <row r="1725" spans="1:68" ht="25.5">
      <c r="A1725" s="210"/>
      <c r="B1725" s="195" t="s">
        <v>9165</v>
      </c>
      <c r="C1725" s="196" t="s">
        <v>9166</v>
      </c>
      <c r="D1725" s="146" t="s">
        <v>4692</v>
      </c>
      <c r="E1725" s="196" t="s">
        <v>9166</v>
      </c>
      <c r="F1725" s="150">
        <v>0</v>
      </c>
      <c r="G1725" s="209">
        <v>0</v>
      </c>
      <c r="H1725" s="209"/>
      <c r="I1725" s="209">
        <v>0</v>
      </c>
      <c r="J1725" s="150">
        <v>0</v>
      </c>
      <c r="K1725" s="150">
        <v>0</v>
      </c>
      <c r="L1725" s="150">
        <f t="shared" si="1463"/>
        <v>0</v>
      </c>
      <c r="M1725" s="150">
        <v>0</v>
      </c>
      <c r="N1725" s="150">
        <v>0</v>
      </c>
      <c r="O1725" s="150">
        <v>0</v>
      </c>
      <c r="P1725" s="150">
        <v>0</v>
      </c>
      <c r="Q1725" s="150">
        <v>0</v>
      </c>
      <c r="R1725" s="313">
        <f t="shared" si="1480"/>
        <v>0</v>
      </c>
      <c r="S1725" s="150">
        <f t="shared" si="1461"/>
        <v>0</v>
      </c>
      <c r="T1725" s="150">
        <v>0</v>
      </c>
      <c r="U1725" s="150">
        <v>0</v>
      </c>
      <c r="V1725" s="199">
        <v>0</v>
      </c>
      <c r="W1725" s="150">
        <f t="shared" si="1481"/>
        <v>0</v>
      </c>
      <c r="X1725" s="150">
        <v>0</v>
      </c>
      <c r="Y1725" s="150">
        <v>0</v>
      </c>
      <c r="Z1725" s="150">
        <v>0</v>
      </c>
      <c r="AA1725" s="150">
        <f t="shared" si="1457"/>
        <v>0</v>
      </c>
      <c r="AB1725" s="150">
        <v>0</v>
      </c>
      <c r="AC1725" s="199">
        <v>0</v>
      </c>
      <c r="AD1725" s="150">
        <f t="shared" si="1482"/>
        <v>0</v>
      </c>
      <c r="AE1725" s="150">
        <v>0</v>
      </c>
      <c r="AF1725" s="169" t="s">
        <v>4680</v>
      </c>
      <c r="AG1725" s="201">
        <v>0</v>
      </c>
      <c r="AH1725" s="199">
        <v>0</v>
      </c>
      <c r="AI1725" s="150">
        <v>0</v>
      </c>
      <c r="AJ1725" s="169">
        <f t="shared" si="1458"/>
        <v>0</v>
      </c>
      <c r="AK1725" s="201">
        <v>0</v>
      </c>
      <c r="AL1725" s="199">
        <v>0</v>
      </c>
      <c r="AM1725" s="150">
        <f t="shared" si="1483"/>
        <v>0</v>
      </c>
      <c r="AN1725" s="153">
        <f t="shared" si="1459"/>
        <v>0</v>
      </c>
      <c r="AO1725" s="154">
        <f t="shared" si="1460"/>
        <v>0</v>
      </c>
      <c r="AP1725" s="150">
        <v>0</v>
      </c>
      <c r="AQ1725" s="201">
        <v>0</v>
      </c>
      <c r="AR1725" s="199">
        <v>0</v>
      </c>
      <c r="AS1725" s="150">
        <f t="shared" si="1484"/>
        <v>0</v>
      </c>
      <c r="AT1725" s="155"/>
      <c r="AU1725" s="156">
        <f t="shared" si="1455"/>
        <v>0</v>
      </c>
      <c r="AV1725" s="156">
        <f t="shared" si="1456"/>
        <v>0</v>
      </c>
      <c r="AW1725" s="157"/>
      <c r="AX1725" s="150">
        <v>0</v>
      </c>
      <c r="AY1725" s="150">
        <v>0</v>
      </c>
      <c r="AZ1725" s="150"/>
      <c r="BA1725" s="150">
        <f t="shared" si="1474"/>
        <v>0</v>
      </c>
      <c r="BB1725" s="210"/>
      <c r="BC1725" s="210"/>
      <c r="BD1725" s="210"/>
      <c r="BE1725" s="210"/>
      <c r="BF1725" s="210"/>
      <c r="BG1725" s="210"/>
      <c r="BH1725" s="217"/>
      <c r="BI1725" s="210"/>
      <c r="BJ1725" s="210"/>
      <c r="BK1725" s="210"/>
      <c r="BL1725" s="210"/>
      <c r="BM1725" s="208"/>
      <c r="BN1725" s="160"/>
      <c r="BO1725" s="161">
        <f t="shared" si="1462"/>
        <v>0</v>
      </c>
      <c r="BP1725" s="161"/>
    </row>
    <row r="1726" spans="1:68" ht="25.5">
      <c r="A1726" s="210"/>
      <c r="B1726" s="195" t="s">
        <v>9167</v>
      </c>
      <c r="C1726" s="196" t="s">
        <v>9168</v>
      </c>
      <c r="D1726" s="146" t="s">
        <v>4692</v>
      </c>
      <c r="E1726" s="196" t="s">
        <v>9168</v>
      </c>
      <c r="F1726" s="150">
        <v>0</v>
      </c>
      <c r="G1726" s="209">
        <v>0</v>
      </c>
      <c r="H1726" s="209"/>
      <c r="I1726" s="209">
        <v>0</v>
      </c>
      <c r="J1726" s="150">
        <v>0</v>
      </c>
      <c r="K1726" s="150">
        <v>0</v>
      </c>
      <c r="L1726" s="150">
        <f t="shared" si="1463"/>
        <v>0</v>
      </c>
      <c r="M1726" s="150">
        <v>0</v>
      </c>
      <c r="N1726" s="150">
        <v>0</v>
      </c>
      <c r="O1726" s="150">
        <v>0</v>
      </c>
      <c r="P1726" s="150">
        <v>0</v>
      </c>
      <c r="Q1726" s="150">
        <v>0</v>
      </c>
      <c r="R1726" s="313">
        <f t="shared" si="1480"/>
        <v>0</v>
      </c>
      <c r="S1726" s="150">
        <f t="shared" si="1461"/>
        <v>0</v>
      </c>
      <c r="T1726" s="150">
        <v>0</v>
      </c>
      <c r="U1726" s="150">
        <v>0</v>
      </c>
      <c r="V1726" s="199">
        <v>0</v>
      </c>
      <c r="W1726" s="150">
        <f t="shared" si="1481"/>
        <v>0</v>
      </c>
      <c r="X1726" s="150">
        <v>0</v>
      </c>
      <c r="Y1726" s="150">
        <v>0</v>
      </c>
      <c r="Z1726" s="150">
        <v>0</v>
      </c>
      <c r="AA1726" s="150">
        <f t="shared" si="1457"/>
        <v>0</v>
      </c>
      <c r="AB1726" s="150">
        <v>0</v>
      </c>
      <c r="AC1726" s="199">
        <v>0</v>
      </c>
      <c r="AD1726" s="150">
        <f t="shared" si="1482"/>
        <v>0</v>
      </c>
      <c r="AE1726" s="150">
        <v>0</v>
      </c>
      <c r="AF1726" s="169" t="s">
        <v>4680</v>
      </c>
      <c r="AG1726" s="201">
        <v>0</v>
      </c>
      <c r="AH1726" s="199">
        <v>0</v>
      </c>
      <c r="AI1726" s="150">
        <v>0</v>
      </c>
      <c r="AJ1726" s="169">
        <f t="shared" si="1458"/>
        <v>0</v>
      </c>
      <c r="AK1726" s="201">
        <v>0</v>
      </c>
      <c r="AL1726" s="199">
        <v>0</v>
      </c>
      <c r="AM1726" s="150">
        <f t="shared" si="1483"/>
        <v>0</v>
      </c>
      <c r="AN1726" s="153">
        <f t="shared" si="1459"/>
        <v>0</v>
      </c>
      <c r="AO1726" s="154">
        <f t="shared" si="1460"/>
        <v>0</v>
      </c>
      <c r="AP1726" s="150">
        <v>0</v>
      </c>
      <c r="AQ1726" s="201">
        <v>0</v>
      </c>
      <c r="AR1726" s="199">
        <v>0</v>
      </c>
      <c r="AS1726" s="150">
        <f t="shared" si="1484"/>
        <v>0</v>
      </c>
      <c r="AT1726" s="155"/>
      <c r="AU1726" s="156">
        <f t="shared" si="1455"/>
        <v>0</v>
      </c>
      <c r="AV1726" s="156">
        <f t="shared" si="1456"/>
        <v>0</v>
      </c>
      <c r="AW1726" s="157"/>
      <c r="AX1726" s="150">
        <v>0</v>
      </c>
      <c r="AY1726" s="150">
        <v>0</v>
      </c>
      <c r="AZ1726" s="150"/>
      <c r="BA1726" s="150">
        <f t="shared" si="1474"/>
        <v>0</v>
      </c>
      <c r="BB1726" s="210"/>
      <c r="BC1726" s="210"/>
      <c r="BD1726" s="210"/>
      <c r="BE1726" s="210"/>
      <c r="BF1726" s="210"/>
      <c r="BG1726" s="210"/>
      <c r="BH1726" s="217"/>
      <c r="BI1726" s="210"/>
      <c r="BJ1726" s="210"/>
      <c r="BK1726" s="210"/>
      <c r="BL1726" s="210"/>
      <c r="BM1726" s="208"/>
      <c r="BN1726" s="160"/>
      <c r="BO1726" s="161">
        <f t="shared" si="1462"/>
        <v>0</v>
      </c>
      <c r="BP1726" s="161"/>
    </row>
    <row r="1727" spans="1:68" ht="25.5">
      <c r="A1727" s="210"/>
      <c r="B1727" s="195" t="s">
        <v>9169</v>
      </c>
      <c r="C1727" s="196" t="s">
        <v>9170</v>
      </c>
      <c r="D1727" s="146" t="s">
        <v>4692</v>
      </c>
      <c r="E1727" s="196" t="s">
        <v>9170</v>
      </c>
      <c r="F1727" s="150">
        <v>0</v>
      </c>
      <c r="G1727" s="209">
        <v>0</v>
      </c>
      <c r="H1727" s="209"/>
      <c r="I1727" s="209">
        <v>0</v>
      </c>
      <c r="J1727" s="150">
        <v>0</v>
      </c>
      <c r="K1727" s="150">
        <v>0</v>
      </c>
      <c r="L1727" s="150">
        <f t="shared" si="1463"/>
        <v>0</v>
      </c>
      <c r="M1727" s="150">
        <v>0</v>
      </c>
      <c r="N1727" s="150">
        <v>0</v>
      </c>
      <c r="O1727" s="150">
        <v>0</v>
      </c>
      <c r="P1727" s="150">
        <v>0</v>
      </c>
      <c r="Q1727" s="150">
        <v>0</v>
      </c>
      <c r="R1727" s="313">
        <f t="shared" si="1480"/>
        <v>0</v>
      </c>
      <c r="S1727" s="150">
        <f t="shared" si="1461"/>
        <v>0</v>
      </c>
      <c r="T1727" s="150">
        <v>0</v>
      </c>
      <c r="U1727" s="150">
        <v>0</v>
      </c>
      <c r="V1727" s="199">
        <v>0</v>
      </c>
      <c r="W1727" s="150">
        <f t="shared" si="1481"/>
        <v>0</v>
      </c>
      <c r="X1727" s="150">
        <v>0</v>
      </c>
      <c r="Y1727" s="150">
        <v>0</v>
      </c>
      <c r="Z1727" s="150">
        <v>0</v>
      </c>
      <c r="AA1727" s="150">
        <f t="shared" si="1457"/>
        <v>0</v>
      </c>
      <c r="AB1727" s="150">
        <v>0</v>
      </c>
      <c r="AC1727" s="199">
        <v>0</v>
      </c>
      <c r="AD1727" s="150">
        <f t="shared" si="1482"/>
        <v>0</v>
      </c>
      <c r="AE1727" s="150">
        <v>0</v>
      </c>
      <c r="AF1727" s="169" t="s">
        <v>4680</v>
      </c>
      <c r="AG1727" s="201">
        <v>0</v>
      </c>
      <c r="AH1727" s="199">
        <v>0</v>
      </c>
      <c r="AI1727" s="150">
        <v>0</v>
      </c>
      <c r="AJ1727" s="169">
        <f t="shared" si="1458"/>
        <v>0</v>
      </c>
      <c r="AK1727" s="201">
        <v>0</v>
      </c>
      <c r="AL1727" s="199">
        <v>0</v>
      </c>
      <c r="AM1727" s="150">
        <f t="shared" si="1483"/>
        <v>0</v>
      </c>
      <c r="AN1727" s="153">
        <f t="shared" si="1459"/>
        <v>0</v>
      </c>
      <c r="AO1727" s="154">
        <f t="shared" si="1460"/>
        <v>0</v>
      </c>
      <c r="AP1727" s="150">
        <v>0</v>
      </c>
      <c r="AQ1727" s="201">
        <v>0</v>
      </c>
      <c r="AR1727" s="199">
        <v>0</v>
      </c>
      <c r="AS1727" s="150">
        <f t="shared" si="1484"/>
        <v>0</v>
      </c>
      <c r="AT1727" s="155"/>
      <c r="AU1727" s="156">
        <f t="shared" si="1455"/>
        <v>0</v>
      </c>
      <c r="AV1727" s="156">
        <f t="shared" si="1456"/>
        <v>0</v>
      </c>
      <c r="AW1727" s="157"/>
      <c r="AX1727" s="150">
        <v>0</v>
      </c>
      <c r="AY1727" s="150">
        <v>0</v>
      </c>
      <c r="AZ1727" s="150"/>
      <c r="BA1727" s="150">
        <f t="shared" si="1474"/>
        <v>0</v>
      </c>
      <c r="BB1727" s="210"/>
      <c r="BC1727" s="210"/>
      <c r="BD1727" s="210"/>
      <c r="BE1727" s="210"/>
      <c r="BF1727" s="210"/>
      <c r="BG1727" s="210"/>
      <c r="BH1727" s="217"/>
      <c r="BI1727" s="210"/>
      <c r="BJ1727" s="210"/>
      <c r="BK1727" s="210"/>
      <c r="BL1727" s="210"/>
      <c r="BM1727" s="208"/>
      <c r="BN1727" s="160"/>
      <c r="BO1727" s="161">
        <f t="shared" si="1462"/>
        <v>0</v>
      </c>
      <c r="BP1727" s="161"/>
    </row>
    <row r="1728" spans="1:68" ht="38.25">
      <c r="A1728" s="210"/>
      <c r="B1728" s="195" t="s">
        <v>9171</v>
      </c>
      <c r="C1728" s="196" t="s">
        <v>9172</v>
      </c>
      <c r="D1728" s="146" t="s">
        <v>4692</v>
      </c>
      <c r="E1728" s="196" t="s">
        <v>9172</v>
      </c>
      <c r="F1728" s="150">
        <v>0</v>
      </c>
      <c r="G1728" s="209">
        <v>0</v>
      </c>
      <c r="H1728" s="209"/>
      <c r="I1728" s="209">
        <v>0</v>
      </c>
      <c r="J1728" s="150">
        <v>0</v>
      </c>
      <c r="K1728" s="150">
        <v>0</v>
      </c>
      <c r="L1728" s="150">
        <f t="shared" si="1463"/>
        <v>0</v>
      </c>
      <c r="M1728" s="150">
        <v>0</v>
      </c>
      <c r="N1728" s="150">
        <v>0</v>
      </c>
      <c r="O1728" s="150">
        <v>0</v>
      </c>
      <c r="P1728" s="150">
        <v>0</v>
      </c>
      <c r="Q1728" s="150">
        <v>0</v>
      </c>
      <c r="R1728" s="313">
        <f t="shared" si="1480"/>
        <v>0</v>
      </c>
      <c r="S1728" s="150">
        <f t="shared" si="1461"/>
        <v>0</v>
      </c>
      <c r="T1728" s="150">
        <v>0</v>
      </c>
      <c r="U1728" s="150">
        <v>0</v>
      </c>
      <c r="V1728" s="199">
        <v>0</v>
      </c>
      <c r="W1728" s="150">
        <f t="shared" si="1481"/>
        <v>0</v>
      </c>
      <c r="X1728" s="150">
        <v>0</v>
      </c>
      <c r="Y1728" s="150">
        <v>0</v>
      </c>
      <c r="Z1728" s="150">
        <v>0</v>
      </c>
      <c r="AA1728" s="150">
        <f t="shared" si="1457"/>
        <v>0</v>
      </c>
      <c r="AB1728" s="150">
        <v>0</v>
      </c>
      <c r="AC1728" s="199">
        <v>0</v>
      </c>
      <c r="AD1728" s="150">
        <f t="shared" si="1482"/>
        <v>0</v>
      </c>
      <c r="AE1728" s="150">
        <v>0</v>
      </c>
      <c r="AF1728" s="169" t="s">
        <v>4680</v>
      </c>
      <c r="AG1728" s="201">
        <v>0</v>
      </c>
      <c r="AH1728" s="199">
        <v>0</v>
      </c>
      <c r="AI1728" s="150">
        <v>0</v>
      </c>
      <c r="AJ1728" s="169">
        <f t="shared" si="1458"/>
        <v>0</v>
      </c>
      <c r="AK1728" s="201">
        <v>0</v>
      </c>
      <c r="AL1728" s="199">
        <v>0</v>
      </c>
      <c r="AM1728" s="150">
        <f t="shared" si="1483"/>
        <v>0</v>
      </c>
      <c r="AN1728" s="153">
        <f t="shared" si="1459"/>
        <v>0</v>
      </c>
      <c r="AO1728" s="154">
        <f t="shared" si="1460"/>
        <v>0</v>
      </c>
      <c r="AP1728" s="150">
        <v>0</v>
      </c>
      <c r="AQ1728" s="201">
        <v>0</v>
      </c>
      <c r="AR1728" s="199">
        <v>0</v>
      </c>
      <c r="AS1728" s="150">
        <f t="shared" si="1484"/>
        <v>0</v>
      </c>
      <c r="AT1728" s="155"/>
      <c r="AU1728" s="156">
        <f t="shared" si="1455"/>
        <v>0</v>
      </c>
      <c r="AV1728" s="156">
        <f t="shared" si="1456"/>
        <v>0</v>
      </c>
      <c r="AW1728" s="157"/>
      <c r="AX1728" s="150">
        <v>0</v>
      </c>
      <c r="AY1728" s="150">
        <v>0</v>
      </c>
      <c r="AZ1728" s="150"/>
      <c r="BA1728" s="150">
        <f t="shared" si="1474"/>
        <v>0</v>
      </c>
      <c r="BB1728" s="210"/>
      <c r="BC1728" s="210"/>
      <c r="BD1728" s="210"/>
      <c r="BE1728" s="210"/>
      <c r="BF1728" s="210"/>
      <c r="BG1728" s="210"/>
      <c r="BH1728" s="217"/>
      <c r="BI1728" s="210"/>
      <c r="BJ1728" s="210"/>
      <c r="BK1728" s="210"/>
      <c r="BL1728" s="210"/>
      <c r="BM1728" s="208"/>
      <c r="BN1728" s="160"/>
      <c r="BO1728" s="161">
        <f t="shared" si="1462"/>
        <v>0</v>
      </c>
      <c r="BP1728" s="161"/>
    </row>
    <row r="1729" spans="1:68" ht="38.25">
      <c r="A1729" s="210"/>
      <c r="B1729" s="195" t="s">
        <v>9173</v>
      </c>
      <c r="C1729" s="196" t="s">
        <v>9174</v>
      </c>
      <c r="D1729" s="146" t="s">
        <v>4692</v>
      </c>
      <c r="E1729" s="196" t="s">
        <v>9174</v>
      </c>
      <c r="F1729" s="150">
        <v>0</v>
      </c>
      <c r="G1729" s="209">
        <v>0</v>
      </c>
      <c r="H1729" s="209"/>
      <c r="I1729" s="209">
        <v>0</v>
      </c>
      <c r="J1729" s="150">
        <v>0</v>
      </c>
      <c r="K1729" s="150">
        <v>0</v>
      </c>
      <c r="L1729" s="150">
        <f t="shared" si="1463"/>
        <v>0</v>
      </c>
      <c r="M1729" s="150">
        <v>0</v>
      </c>
      <c r="N1729" s="150">
        <v>0</v>
      </c>
      <c r="O1729" s="150">
        <v>0</v>
      </c>
      <c r="P1729" s="150">
        <v>0</v>
      </c>
      <c r="Q1729" s="150">
        <v>0</v>
      </c>
      <c r="R1729" s="313">
        <f t="shared" si="1480"/>
        <v>0</v>
      </c>
      <c r="S1729" s="150">
        <f t="shared" si="1461"/>
        <v>0</v>
      </c>
      <c r="T1729" s="150">
        <v>0</v>
      </c>
      <c r="U1729" s="150">
        <v>0</v>
      </c>
      <c r="V1729" s="199">
        <v>0</v>
      </c>
      <c r="W1729" s="150">
        <f t="shared" si="1481"/>
        <v>0</v>
      </c>
      <c r="X1729" s="150">
        <v>0</v>
      </c>
      <c r="Y1729" s="150">
        <v>0</v>
      </c>
      <c r="Z1729" s="150">
        <v>0</v>
      </c>
      <c r="AA1729" s="150">
        <f t="shared" si="1457"/>
        <v>0</v>
      </c>
      <c r="AB1729" s="150">
        <v>0</v>
      </c>
      <c r="AC1729" s="199">
        <v>0</v>
      </c>
      <c r="AD1729" s="150">
        <f t="shared" si="1482"/>
        <v>0</v>
      </c>
      <c r="AE1729" s="150">
        <v>0</v>
      </c>
      <c r="AF1729" s="169" t="s">
        <v>4680</v>
      </c>
      <c r="AG1729" s="201">
        <v>0</v>
      </c>
      <c r="AH1729" s="199">
        <v>0</v>
      </c>
      <c r="AI1729" s="150">
        <v>0</v>
      </c>
      <c r="AJ1729" s="169">
        <f t="shared" si="1458"/>
        <v>0</v>
      </c>
      <c r="AK1729" s="201">
        <v>0</v>
      </c>
      <c r="AL1729" s="199">
        <v>0</v>
      </c>
      <c r="AM1729" s="150">
        <f t="shared" si="1483"/>
        <v>0</v>
      </c>
      <c r="AN1729" s="153">
        <f t="shared" si="1459"/>
        <v>0</v>
      </c>
      <c r="AO1729" s="154">
        <f t="shared" si="1460"/>
        <v>0</v>
      </c>
      <c r="AP1729" s="150">
        <v>0</v>
      </c>
      <c r="AQ1729" s="201">
        <v>0</v>
      </c>
      <c r="AR1729" s="199">
        <v>0</v>
      </c>
      <c r="AS1729" s="150">
        <f t="shared" si="1484"/>
        <v>0</v>
      </c>
      <c r="AT1729" s="155"/>
      <c r="AU1729" s="156">
        <f t="shared" si="1455"/>
        <v>0</v>
      </c>
      <c r="AV1729" s="156">
        <f t="shared" si="1456"/>
        <v>0</v>
      </c>
      <c r="AW1729" s="157"/>
      <c r="AX1729" s="150">
        <v>0</v>
      </c>
      <c r="AY1729" s="150">
        <v>0</v>
      </c>
      <c r="AZ1729" s="150"/>
      <c r="BA1729" s="150">
        <f t="shared" si="1474"/>
        <v>0</v>
      </c>
      <c r="BB1729" s="210"/>
      <c r="BC1729" s="210"/>
      <c r="BD1729" s="210"/>
      <c r="BE1729" s="210"/>
      <c r="BF1729" s="210"/>
      <c r="BG1729" s="210"/>
      <c r="BH1729" s="217"/>
      <c r="BI1729" s="210"/>
      <c r="BJ1729" s="210"/>
      <c r="BK1729" s="210"/>
      <c r="BL1729" s="210"/>
      <c r="BM1729" s="208"/>
      <c r="BN1729" s="160"/>
      <c r="BO1729" s="161">
        <f t="shared" si="1462"/>
        <v>0</v>
      </c>
      <c r="BP1729" s="161"/>
    </row>
    <row r="1730" spans="1:68" ht="38.25">
      <c r="A1730" s="210"/>
      <c r="B1730" s="195" t="s">
        <v>9175</v>
      </c>
      <c r="C1730" s="196" t="s">
        <v>9176</v>
      </c>
      <c r="D1730" s="146" t="s">
        <v>4692</v>
      </c>
      <c r="E1730" s="196" t="s">
        <v>9176</v>
      </c>
      <c r="F1730" s="150">
        <v>0</v>
      </c>
      <c r="G1730" s="209">
        <v>0</v>
      </c>
      <c r="H1730" s="209"/>
      <c r="I1730" s="209">
        <v>0</v>
      </c>
      <c r="J1730" s="150">
        <v>0</v>
      </c>
      <c r="K1730" s="150">
        <v>0</v>
      </c>
      <c r="L1730" s="150">
        <f t="shared" si="1463"/>
        <v>0</v>
      </c>
      <c r="M1730" s="150">
        <v>0</v>
      </c>
      <c r="N1730" s="150">
        <v>0</v>
      </c>
      <c r="O1730" s="150">
        <v>0</v>
      </c>
      <c r="P1730" s="150">
        <v>0</v>
      </c>
      <c r="Q1730" s="150">
        <v>0</v>
      </c>
      <c r="R1730" s="313">
        <f t="shared" si="1480"/>
        <v>0</v>
      </c>
      <c r="S1730" s="150">
        <f t="shared" si="1461"/>
        <v>0</v>
      </c>
      <c r="T1730" s="150">
        <v>0</v>
      </c>
      <c r="U1730" s="150">
        <v>0</v>
      </c>
      <c r="V1730" s="199">
        <v>0</v>
      </c>
      <c r="W1730" s="150">
        <f t="shared" si="1481"/>
        <v>0</v>
      </c>
      <c r="X1730" s="150">
        <v>0</v>
      </c>
      <c r="Y1730" s="150">
        <v>0</v>
      </c>
      <c r="Z1730" s="150">
        <v>0</v>
      </c>
      <c r="AA1730" s="150">
        <f t="shared" si="1457"/>
        <v>0</v>
      </c>
      <c r="AB1730" s="150">
        <v>0</v>
      </c>
      <c r="AC1730" s="199">
        <v>0</v>
      </c>
      <c r="AD1730" s="150">
        <f t="shared" si="1482"/>
        <v>0</v>
      </c>
      <c r="AE1730" s="150">
        <v>0</v>
      </c>
      <c r="AF1730" s="169" t="s">
        <v>4680</v>
      </c>
      <c r="AG1730" s="201">
        <v>0</v>
      </c>
      <c r="AH1730" s="199">
        <v>0</v>
      </c>
      <c r="AI1730" s="150">
        <v>0</v>
      </c>
      <c r="AJ1730" s="169">
        <f t="shared" si="1458"/>
        <v>0</v>
      </c>
      <c r="AK1730" s="201">
        <v>0</v>
      </c>
      <c r="AL1730" s="199">
        <v>0</v>
      </c>
      <c r="AM1730" s="150">
        <f t="shared" si="1483"/>
        <v>0</v>
      </c>
      <c r="AN1730" s="153">
        <f t="shared" si="1459"/>
        <v>0</v>
      </c>
      <c r="AO1730" s="154">
        <f t="shared" si="1460"/>
        <v>0</v>
      </c>
      <c r="AP1730" s="150">
        <v>0</v>
      </c>
      <c r="AQ1730" s="201">
        <v>0</v>
      </c>
      <c r="AR1730" s="199">
        <v>0</v>
      </c>
      <c r="AS1730" s="150">
        <f t="shared" si="1484"/>
        <v>0</v>
      </c>
      <c r="AT1730" s="155"/>
      <c r="AU1730" s="156">
        <f t="shared" ref="AU1730:AU1793" si="1485">AM1730-AD1730</f>
        <v>0</v>
      </c>
      <c r="AV1730" s="156">
        <f t="shared" ref="AV1730:AV1793" si="1486">AD1730-AX1730</f>
        <v>0</v>
      </c>
      <c r="AW1730" s="157"/>
      <c r="AX1730" s="150">
        <v>0</v>
      </c>
      <c r="AY1730" s="150">
        <v>0</v>
      </c>
      <c r="AZ1730" s="150"/>
      <c r="BA1730" s="150">
        <f t="shared" si="1474"/>
        <v>0</v>
      </c>
      <c r="BB1730" s="210"/>
      <c r="BC1730" s="210"/>
      <c r="BD1730" s="210"/>
      <c r="BE1730" s="210"/>
      <c r="BF1730" s="210"/>
      <c r="BG1730" s="210"/>
      <c r="BH1730" s="217"/>
      <c r="BI1730" s="210"/>
      <c r="BJ1730" s="210"/>
      <c r="BK1730" s="210"/>
      <c r="BL1730" s="210"/>
      <c r="BM1730" s="208"/>
      <c r="BN1730" s="160"/>
      <c r="BO1730" s="161">
        <f t="shared" si="1462"/>
        <v>0</v>
      </c>
      <c r="BP1730" s="161"/>
    </row>
    <row r="1731" spans="1:68" ht="51">
      <c r="A1731" s="210"/>
      <c r="B1731" s="195" t="s">
        <v>9177</v>
      </c>
      <c r="C1731" s="196" t="s">
        <v>9178</v>
      </c>
      <c r="D1731" s="146" t="s">
        <v>4692</v>
      </c>
      <c r="E1731" s="196" t="s">
        <v>9178</v>
      </c>
      <c r="F1731" s="150">
        <v>0</v>
      </c>
      <c r="G1731" s="209">
        <v>0</v>
      </c>
      <c r="H1731" s="209"/>
      <c r="I1731" s="209">
        <v>0</v>
      </c>
      <c r="J1731" s="150">
        <v>0</v>
      </c>
      <c r="K1731" s="150">
        <v>0</v>
      </c>
      <c r="L1731" s="150">
        <f t="shared" si="1463"/>
        <v>0</v>
      </c>
      <c r="M1731" s="150">
        <v>0</v>
      </c>
      <c r="N1731" s="150">
        <v>0</v>
      </c>
      <c r="O1731" s="150">
        <v>0</v>
      </c>
      <c r="P1731" s="150">
        <v>0</v>
      </c>
      <c r="Q1731" s="150">
        <v>0</v>
      </c>
      <c r="R1731" s="313">
        <f t="shared" si="1480"/>
        <v>0</v>
      </c>
      <c r="S1731" s="150">
        <f t="shared" si="1461"/>
        <v>0</v>
      </c>
      <c r="T1731" s="150">
        <v>0</v>
      </c>
      <c r="U1731" s="150">
        <v>0</v>
      </c>
      <c r="V1731" s="199">
        <v>0</v>
      </c>
      <c r="W1731" s="150">
        <f t="shared" si="1481"/>
        <v>0</v>
      </c>
      <c r="X1731" s="150">
        <v>0</v>
      </c>
      <c r="Y1731" s="150">
        <v>0</v>
      </c>
      <c r="Z1731" s="150">
        <v>0</v>
      </c>
      <c r="AA1731" s="150">
        <f t="shared" ref="AA1731:AA1794" si="1487">AD1731-Z1731</f>
        <v>0</v>
      </c>
      <c r="AB1731" s="150">
        <v>0</v>
      </c>
      <c r="AC1731" s="199">
        <v>0</v>
      </c>
      <c r="AD1731" s="150">
        <f t="shared" si="1482"/>
        <v>0</v>
      </c>
      <c r="AE1731" s="150">
        <v>0</v>
      </c>
      <c r="AF1731" s="169" t="s">
        <v>4680</v>
      </c>
      <c r="AG1731" s="201">
        <v>0</v>
      </c>
      <c r="AH1731" s="199">
        <v>0</v>
      </c>
      <c r="AI1731" s="150">
        <v>0</v>
      </c>
      <c r="AJ1731" s="169">
        <f t="shared" ref="AJ1731:AJ1794" si="1488">AM1731-AI1731</f>
        <v>0</v>
      </c>
      <c r="AK1731" s="201">
        <v>0</v>
      </c>
      <c r="AL1731" s="199">
        <v>0</v>
      </c>
      <c r="AM1731" s="150">
        <f t="shared" si="1483"/>
        <v>0</v>
      </c>
      <c r="AN1731" s="153">
        <f t="shared" ref="AN1731:AN1794" si="1489">AS1731-AM1731</f>
        <v>0</v>
      </c>
      <c r="AO1731" s="154">
        <f t="shared" ref="AO1731:AO1794" si="1490">AS1731-AP1731</f>
        <v>0</v>
      </c>
      <c r="AP1731" s="150">
        <v>0</v>
      </c>
      <c r="AQ1731" s="201">
        <v>0</v>
      </c>
      <c r="AR1731" s="199">
        <v>0</v>
      </c>
      <c r="AS1731" s="150">
        <f t="shared" si="1484"/>
        <v>0</v>
      </c>
      <c r="AT1731" s="155"/>
      <c r="AU1731" s="156">
        <f t="shared" si="1485"/>
        <v>0</v>
      </c>
      <c r="AV1731" s="156">
        <f t="shared" si="1486"/>
        <v>0</v>
      </c>
      <c r="AW1731" s="157"/>
      <c r="AX1731" s="150">
        <v>0</v>
      </c>
      <c r="AY1731" s="150">
        <v>0</v>
      </c>
      <c r="AZ1731" s="150"/>
      <c r="BA1731" s="150">
        <f t="shared" si="1474"/>
        <v>0</v>
      </c>
      <c r="BB1731" s="210"/>
      <c r="BC1731" s="210"/>
      <c r="BD1731" s="210"/>
      <c r="BE1731" s="210"/>
      <c r="BF1731" s="210"/>
      <c r="BG1731" s="210"/>
      <c r="BH1731" s="217"/>
      <c r="BI1731" s="210"/>
      <c r="BJ1731" s="210"/>
      <c r="BK1731" s="210"/>
      <c r="BL1731" s="210"/>
      <c r="BM1731" s="208"/>
      <c r="BN1731" s="160"/>
      <c r="BO1731" s="161">
        <f t="shared" si="1462"/>
        <v>0</v>
      </c>
      <c r="BP1731" s="161"/>
    </row>
    <row r="1732" spans="1:68" ht="25.5">
      <c r="A1732" s="210"/>
      <c r="B1732" s="195" t="s">
        <v>9179</v>
      </c>
      <c r="C1732" s="196" t="s">
        <v>9180</v>
      </c>
      <c r="D1732" s="146" t="s">
        <v>4692</v>
      </c>
      <c r="E1732" s="196" t="s">
        <v>9180</v>
      </c>
      <c r="F1732" s="150">
        <v>0</v>
      </c>
      <c r="G1732" s="209">
        <v>0</v>
      </c>
      <c r="H1732" s="209"/>
      <c r="I1732" s="209">
        <v>0</v>
      </c>
      <c r="J1732" s="150">
        <v>0</v>
      </c>
      <c r="K1732" s="150">
        <v>0</v>
      </c>
      <c r="L1732" s="150">
        <f t="shared" si="1463"/>
        <v>0</v>
      </c>
      <c r="M1732" s="150">
        <v>0</v>
      </c>
      <c r="N1732" s="150">
        <v>0</v>
      </c>
      <c r="O1732" s="150">
        <v>0</v>
      </c>
      <c r="P1732" s="150">
        <v>0</v>
      </c>
      <c r="Q1732" s="150">
        <v>0</v>
      </c>
      <c r="R1732" s="313">
        <f t="shared" si="1480"/>
        <v>0</v>
      </c>
      <c r="S1732" s="150">
        <f t="shared" ref="S1732:S1795" si="1491">R1732/9*12</f>
        <v>0</v>
      </c>
      <c r="T1732" s="150">
        <v>0</v>
      </c>
      <c r="U1732" s="150">
        <v>0</v>
      </c>
      <c r="V1732" s="199">
        <v>0</v>
      </c>
      <c r="W1732" s="150">
        <f t="shared" si="1481"/>
        <v>0</v>
      </c>
      <c r="X1732" s="150">
        <v>0</v>
      </c>
      <c r="Y1732" s="150">
        <v>0</v>
      </c>
      <c r="Z1732" s="150">
        <v>0</v>
      </c>
      <c r="AA1732" s="150">
        <f t="shared" si="1487"/>
        <v>0</v>
      </c>
      <c r="AB1732" s="150">
        <v>0</v>
      </c>
      <c r="AC1732" s="199">
        <v>0</v>
      </c>
      <c r="AD1732" s="150">
        <f t="shared" si="1482"/>
        <v>0</v>
      </c>
      <c r="AE1732" s="150">
        <v>0</v>
      </c>
      <c r="AF1732" s="169" t="s">
        <v>4680</v>
      </c>
      <c r="AG1732" s="201">
        <v>0</v>
      </c>
      <c r="AH1732" s="199">
        <v>0</v>
      </c>
      <c r="AI1732" s="150">
        <v>0</v>
      </c>
      <c r="AJ1732" s="169">
        <f t="shared" si="1488"/>
        <v>0</v>
      </c>
      <c r="AK1732" s="201">
        <v>0</v>
      </c>
      <c r="AL1732" s="199">
        <v>0</v>
      </c>
      <c r="AM1732" s="150">
        <f t="shared" si="1483"/>
        <v>0</v>
      </c>
      <c r="AN1732" s="153">
        <f t="shared" si="1489"/>
        <v>0</v>
      </c>
      <c r="AO1732" s="154">
        <f t="shared" si="1490"/>
        <v>0</v>
      </c>
      <c r="AP1732" s="150">
        <v>0</v>
      </c>
      <c r="AQ1732" s="201">
        <v>0</v>
      </c>
      <c r="AR1732" s="199">
        <v>0</v>
      </c>
      <c r="AS1732" s="150">
        <f t="shared" si="1484"/>
        <v>0</v>
      </c>
      <c r="AT1732" s="155"/>
      <c r="AU1732" s="156">
        <f t="shared" si="1485"/>
        <v>0</v>
      </c>
      <c r="AV1732" s="156">
        <f t="shared" si="1486"/>
        <v>0</v>
      </c>
      <c r="AW1732" s="157"/>
      <c r="AX1732" s="150">
        <v>0</v>
      </c>
      <c r="AY1732" s="150">
        <v>0</v>
      </c>
      <c r="AZ1732" s="150"/>
      <c r="BA1732" s="150">
        <f t="shared" si="1474"/>
        <v>0</v>
      </c>
      <c r="BB1732" s="210"/>
      <c r="BC1732" s="210"/>
      <c r="BD1732" s="210"/>
      <c r="BE1732" s="210"/>
      <c r="BF1732" s="210"/>
      <c r="BG1732" s="210"/>
      <c r="BH1732" s="217"/>
      <c r="BI1732" s="210"/>
      <c r="BJ1732" s="210"/>
      <c r="BK1732" s="210"/>
      <c r="BL1732" s="210"/>
      <c r="BM1732" s="208"/>
      <c r="BN1732" s="160"/>
      <c r="BO1732" s="161">
        <f t="shared" si="1462"/>
        <v>0</v>
      </c>
      <c r="BP1732" s="161"/>
    </row>
    <row r="1733" spans="1:68" ht="38.25">
      <c r="A1733" s="210"/>
      <c r="B1733" s="195" t="s">
        <v>9181</v>
      </c>
      <c r="C1733" s="196" t="s">
        <v>9182</v>
      </c>
      <c r="D1733" s="146" t="s">
        <v>4692</v>
      </c>
      <c r="E1733" s="196" t="s">
        <v>9182</v>
      </c>
      <c r="F1733" s="150">
        <v>0</v>
      </c>
      <c r="G1733" s="209">
        <v>0</v>
      </c>
      <c r="H1733" s="209"/>
      <c r="I1733" s="209">
        <v>0</v>
      </c>
      <c r="J1733" s="150">
        <v>0</v>
      </c>
      <c r="K1733" s="150">
        <v>0</v>
      </c>
      <c r="L1733" s="150">
        <f t="shared" si="1463"/>
        <v>0</v>
      </c>
      <c r="M1733" s="150">
        <v>0</v>
      </c>
      <c r="N1733" s="150">
        <v>0</v>
      </c>
      <c r="O1733" s="150">
        <v>0</v>
      </c>
      <c r="P1733" s="150">
        <v>0</v>
      </c>
      <c r="Q1733" s="150">
        <v>0</v>
      </c>
      <c r="R1733" s="313">
        <f t="shared" si="1480"/>
        <v>0</v>
      </c>
      <c r="S1733" s="150">
        <f t="shared" si="1491"/>
        <v>0</v>
      </c>
      <c r="T1733" s="150">
        <v>0</v>
      </c>
      <c r="U1733" s="150">
        <v>0</v>
      </c>
      <c r="V1733" s="199">
        <v>0</v>
      </c>
      <c r="W1733" s="150">
        <f t="shared" si="1481"/>
        <v>0</v>
      </c>
      <c r="X1733" s="150">
        <v>0</v>
      </c>
      <c r="Y1733" s="150">
        <v>0</v>
      </c>
      <c r="Z1733" s="150">
        <v>0</v>
      </c>
      <c r="AA1733" s="150">
        <f t="shared" si="1487"/>
        <v>0</v>
      </c>
      <c r="AB1733" s="150">
        <v>0</v>
      </c>
      <c r="AC1733" s="199">
        <v>0</v>
      </c>
      <c r="AD1733" s="150">
        <f t="shared" si="1482"/>
        <v>0</v>
      </c>
      <c r="AE1733" s="150">
        <v>0</v>
      </c>
      <c r="AF1733" s="169" t="s">
        <v>4680</v>
      </c>
      <c r="AG1733" s="201">
        <v>0</v>
      </c>
      <c r="AH1733" s="199">
        <v>0</v>
      </c>
      <c r="AI1733" s="150">
        <v>0</v>
      </c>
      <c r="AJ1733" s="169">
        <f t="shared" si="1488"/>
        <v>0</v>
      </c>
      <c r="AK1733" s="201">
        <v>0</v>
      </c>
      <c r="AL1733" s="199">
        <v>0</v>
      </c>
      <c r="AM1733" s="150">
        <f t="shared" si="1483"/>
        <v>0</v>
      </c>
      <c r="AN1733" s="153">
        <f t="shared" si="1489"/>
        <v>0</v>
      </c>
      <c r="AO1733" s="154">
        <f t="shared" si="1490"/>
        <v>0</v>
      </c>
      <c r="AP1733" s="150">
        <v>0</v>
      </c>
      <c r="AQ1733" s="201">
        <v>0</v>
      </c>
      <c r="AR1733" s="199">
        <v>0</v>
      </c>
      <c r="AS1733" s="150">
        <f t="shared" si="1484"/>
        <v>0</v>
      </c>
      <c r="AT1733" s="155"/>
      <c r="AU1733" s="156">
        <f t="shared" si="1485"/>
        <v>0</v>
      </c>
      <c r="AV1733" s="156">
        <f t="shared" si="1486"/>
        <v>0</v>
      </c>
      <c r="AW1733" s="157"/>
      <c r="AX1733" s="150">
        <v>0</v>
      </c>
      <c r="AY1733" s="150">
        <v>0</v>
      </c>
      <c r="AZ1733" s="150"/>
      <c r="BA1733" s="150">
        <f t="shared" si="1474"/>
        <v>0</v>
      </c>
      <c r="BB1733" s="210"/>
      <c r="BC1733" s="210"/>
      <c r="BD1733" s="210"/>
      <c r="BE1733" s="210"/>
      <c r="BF1733" s="210"/>
      <c r="BG1733" s="210"/>
      <c r="BH1733" s="217"/>
      <c r="BI1733" s="210"/>
      <c r="BJ1733" s="210"/>
      <c r="BK1733" s="210"/>
      <c r="BL1733" s="210"/>
      <c r="BM1733" s="208"/>
      <c r="BN1733" s="160"/>
      <c r="BO1733" s="161">
        <f t="shared" si="1462"/>
        <v>0</v>
      </c>
      <c r="BP1733" s="161"/>
    </row>
    <row r="1734" spans="1:68" ht="38.25">
      <c r="A1734" s="210"/>
      <c r="B1734" s="195" t="s">
        <v>9183</v>
      </c>
      <c r="C1734" s="196" t="s">
        <v>9184</v>
      </c>
      <c r="D1734" s="146" t="s">
        <v>4692</v>
      </c>
      <c r="E1734" s="196" t="s">
        <v>9184</v>
      </c>
      <c r="F1734" s="150">
        <v>0</v>
      </c>
      <c r="G1734" s="209">
        <v>2303910.14</v>
      </c>
      <c r="H1734" s="209">
        <v>695661.44841286994</v>
      </c>
      <c r="I1734" s="209">
        <v>2999571.5884128688</v>
      </c>
      <c r="J1734" s="150">
        <v>0</v>
      </c>
      <c r="K1734" s="150">
        <v>0</v>
      </c>
      <c r="L1734" s="150">
        <f t="shared" si="1463"/>
        <v>0</v>
      </c>
      <c r="M1734" s="150">
        <v>0</v>
      </c>
      <c r="N1734" s="150">
        <v>0</v>
      </c>
      <c r="O1734" s="150">
        <v>0</v>
      </c>
      <c r="P1734" s="150">
        <v>0</v>
      </c>
      <c r="Q1734" s="150">
        <v>0</v>
      </c>
      <c r="R1734" s="313">
        <f t="shared" si="1480"/>
        <v>0</v>
      </c>
      <c r="S1734" s="150">
        <f t="shared" si="1491"/>
        <v>0</v>
      </c>
      <c r="T1734" s="150">
        <v>0</v>
      </c>
      <c r="U1734" s="150">
        <v>0</v>
      </c>
      <c r="V1734" s="199">
        <v>0</v>
      </c>
      <c r="W1734" s="150">
        <f t="shared" si="1481"/>
        <v>0</v>
      </c>
      <c r="X1734" s="150">
        <v>0</v>
      </c>
      <c r="Y1734" s="150">
        <v>0</v>
      </c>
      <c r="Z1734" s="150">
        <v>0</v>
      </c>
      <c r="AA1734" s="150">
        <f t="shared" si="1487"/>
        <v>0</v>
      </c>
      <c r="AB1734" s="150">
        <v>0</v>
      </c>
      <c r="AC1734" s="199">
        <v>0</v>
      </c>
      <c r="AD1734" s="150">
        <f t="shared" si="1482"/>
        <v>0</v>
      </c>
      <c r="AE1734" s="150">
        <v>0</v>
      </c>
      <c r="AF1734" s="169" t="s">
        <v>4680</v>
      </c>
      <c r="AG1734" s="201">
        <v>0</v>
      </c>
      <c r="AH1734" s="199">
        <v>0</v>
      </c>
      <c r="AI1734" s="150">
        <v>0</v>
      </c>
      <c r="AJ1734" s="169">
        <f t="shared" si="1488"/>
        <v>0</v>
      </c>
      <c r="AK1734" s="201">
        <v>0</v>
      </c>
      <c r="AL1734" s="199">
        <v>0</v>
      </c>
      <c r="AM1734" s="150">
        <f t="shared" si="1483"/>
        <v>0</v>
      </c>
      <c r="AN1734" s="153">
        <f t="shared" si="1489"/>
        <v>0</v>
      </c>
      <c r="AO1734" s="154">
        <f t="shared" si="1490"/>
        <v>0</v>
      </c>
      <c r="AP1734" s="150">
        <v>0</v>
      </c>
      <c r="AQ1734" s="201">
        <v>0</v>
      </c>
      <c r="AR1734" s="199">
        <v>0</v>
      </c>
      <c r="AS1734" s="150">
        <f t="shared" si="1484"/>
        <v>0</v>
      </c>
      <c r="AT1734" s="155"/>
      <c r="AU1734" s="156">
        <f t="shared" si="1485"/>
        <v>0</v>
      </c>
      <c r="AV1734" s="156">
        <f t="shared" si="1486"/>
        <v>0</v>
      </c>
      <c r="AW1734" s="157"/>
      <c r="AX1734" s="150">
        <v>0</v>
      </c>
      <c r="AY1734" s="150">
        <v>0</v>
      </c>
      <c r="AZ1734" s="150"/>
      <c r="BA1734" s="150">
        <f t="shared" si="1474"/>
        <v>0</v>
      </c>
      <c r="BB1734" s="210"/>
      <c r="BC1734" s="210"/>
      <c r="BD1734" s="210"/>
      <c r="BE1734" s="210"/>
      <c r="BF1734" s="210"/>
      <c r="BG1734" s="210"/>
      <c r="BH1734" s="217"/>
      <c r="BI1734" s="210"/>
      <c r="BJ1734" s="210"/>
      <c r="BK1734" s="210"/>
      <c r="BL1734" s="210"/>
      <c r="BM1734" s="208"/>
      <c r="BN1734" s="160"/>
      <c r="BO1734" s="161">
        <f t="shared" si="1462"/>
        <v>0</v>
      </c>
      <c r="BP1734" s="161"/>
    </row>
    <row r="1735" spans="1:68" ht="25.5">
      <c r="A1735" s="255" t="s">
        <v>594</v>
      </c>
      <c r="B1735" s="174"/>
      <c r="C1735" s="175" t="s">
        <v>99</v>
      </c>
      <c r="D1735" s="146" t="s">
        <v>4692</v>
      </c>
      <c r="E1735" s="175" t="s">
        <v>99</v>
      </c>
      <c r="F1735" s="178">
        <v>2999571.1399999997</v>
      </c>
      <c r="G1735" s="177">
        <v>2303910.14</v>
      </c>
      <c r="H1735" s="177">
        <v>695661.44841286994</v>
      </c>
      <c r="I1735" s="177">
        <v>2999571.5884128688</v>
      </c>
      <c r="J1735" s="178">
        <f>J1736+J1765+J1793</f>
        <v>525741.96000000008</v>
      </c>
      <c r="K1735" s="178">
        <f>K1736+K1765+K1793</f>
        <v>290234.00999999995</v>
      </c>
      <c r="L1735" s="178">
        <f t="shared" si="1463"/>
        <v>815975.97</v>
      </c>
      <c r="M1735" s="178">
        <v>1167238.4600000002</v>
      </c>
      <c r="N1735" s="178">
        <v>476804.40531476116</v>
      </c>
      <c r="O1735" s="178">
        <v>1644042.8653147614</v>
      </c>
      <c r="P1735" s="319">
        <f t="shared" ref="P1735:R1735" si="1492">P1736+P1765+P1793</f>
        <v>1778710.35</v>
      </c>
      <c r="Q1735" s="319">
        <f t="shared" si="1492"/>
        <v>670970.34751058475</v>
      </c>
      <c r="R1735" s="319">
        <f t="shared" si="1492"/>
        <v>2449680.6975105847</v>
      </c>
      <c r="S1735" s="150">
        <f t="shared" si="1491"/>
        <v>3266240.930014113</v>
      </c>
      <c r="T1735" s="347">
        <f>T1736+T1793</f>
        <v>3637369.53</v>
      </c>
      <c r="U1735" s="319">
        <f t="shared" ref="U1735:W1735" si="1493">U1736+U1765+U1793</f>
        <v>2595575.09</v>
      </c>
      <c r="V1735" s="222">
        <f t="shared" si="1493"/>
        <v>768870.48334744619</v>
      </c>
      <c r="W1735" s="319">
        <f t="shared" si="1493"/>
        <v>3364445.5733474456</v>
      </c>
      <c r="X1735" s="319">
        <v>2595575.09</v>
      </c>
      <c r="Y1735" s="319">
        <v>768870.48334744619</v>
      </c>
      <c r="Z1735" s="319">
        <v>3364445.5733474456</v>
      </c>
      <c r="AA1735" s="319">
        <f t="shared" si="1487"/>
        <v>278277.52665255405</v>
      </c>
      <c r="AB1735" s="319">
        <v>2595575.09</v>
      </c>
      <c r="AC1735" s="222">
        <v>1047148.0099999999</v>
      </c>
      <c r="AD1735" s="319">
        <f t="shared" ref="AD1735" si="1494">AD1736+AD1765+AD1793</f>
        <v>3642723.0999999996</v>
      </c>
      <c r="AE1735" s="319">
        <v>3642723.0999999996</v>
      </c>
      <c r="AF1735" s="169" t="s">
        <v>4680</v>
      </c>
      <c r="AG1735" s="320">
        <v>2595575.09</v>
      </c>
      <c r="AH1735" s="222">
        <v>1047148.0099999999</v>
      </c>
      <c r="AI1735" s="319">
        <v>3642723.0999999996</v>
      </c>
      <c r="AJ1735" s="169">
        <f t="shared" si="1488"/>
        <v>0</v>
      </c>
      <c r="AK1735" s="320">
        <v>2595575.09</v>
      </c>
      <c r="AL1735" s="222">
        <v>1047148.0099999999</v>
      </c>
      <c r="AM1735" s="319">
        <f t="shared" ref="AM1735" si="1495">AM1736+AM1765+AM1793</f>
        <v>3642723.0999999996</v>
      </c>
      <c r="AN1735" s="153">
        <f t="shared" si="1489"/>
        <v>-5353.5699999998324</v>
      </c>
      <c r="AO1735" s="154">
        <f t="shared" si="1490"/>
        <v>-5353.5699999998324</v>
      </c>
      <c r="AP1735" s="319">
        <v>3642723.0999999996</v>
      </c>
      <c r="AQ1735" s="320">
        <v>3637369.53</v>
      </c>
      <c r="AR1735" s="222">
        <f t="shared" ref="AR1735:AS1735" si="1496">AR1736+AR1765+AR1793</f>
        <v>0</v>
      </c>
      <c r="AS1735" s="319">
        <f t="shared" si="1496"/>
        <v>3637369.53</v>
      </c>
      <c r="AT1735" s="155"/>
      <c r="AU1735" s="156">
        <f t="shared" si="1485"/>
        <v>0</v>
      </c>
      <c r="AV1735" s="156">
        <f t="shared" si="1486"/>
        <v>278277.52665255405</v>
      </c>
      <c r="AW1735" s="157"/>
      <c r="AX1735" s="150">
        <v>3364445.5733474456</v>
      </c>
      <c r="AY1735" s="319">
        <f t="shared" ref="AY1735:BA1735" si="1497">AY1736+AY1765+AY1793</f>
        <v>1371403.4100000001</v>
      </c>
      <c r="AZ1735" s="319">
        <f t="shared" si="1497"/>
        <v>1965209.3506295225</v>
      </c>
      <c r="BA1735" s="319">
        <f t="shared" si="1497"/>
        <v>3336612.7606295226</v>
      </c>
      <c r="BB1735" s="254">
        <v>5</v>
      </c>
      <c r="BC1735" s="255" t="s">
        <v>755</v>
      </c>
      <c r="BD1735" s="255" t="s">
        <v>647</v>
      </c>
      <c r="BE1735" s="173" t="s">
        <v>630</v>
      </c>
      <c r="BF1735" s="255" t="s">
        <v>630</v>
      </c>
      <c r="BG1735" s="175" t="s">
        <v>99</v>
      </c>
      <c r="BH1735" s="224">
        <f>BH1736+BH1765+BH1793</f>
        <v>3637369.5300000003</v>
      </c>
      <c r="BI1735" s="254"/>
      <c r="BJ1735" s="255" t="s">
        <v>9185</v>
      </c>
      <c r="BK1735" s="255" t="s">
        <v>594</v>
      </c>
      <c r="BL1735" s="182" t="s">
        <v>9186</v>
      </c>
      <c r="BM1735" s="337">
        <f>BM1736+BM1765+BM1793</f>
        <v>3637369.5300000003</v>
      </c>
      <c r="BN1735" s="160"/>
      <c r="BO1735" s="161">
        <f t="shared" ref="BO1735:BO1793" si="1498">BM1735-AS1735</f>
        <v>0</v>
      </c>
      <c r="BP1735" s="161"/>
    </row>
    <row r="1736" spans="1:68" ht="38.25">
      <c r="A1736" s="256" t="s">
        <v>595</v>
      </c>
      <c r="B1736" s="184"/>
      <c r="C1736" s="185" t="s">
        <v>100</v>
      </c>
      <c r="D1736" s="146" t="s">
        <v>4692</v>
      </c>
      <c r="E1736" s="185" t="s">
        <v>100</v>
      </c>
      <c r="F1736" s="188">
        <v>2999571.1399999997</v>
      </c>
      <c r="G1736" s="187">
        <v>1540769.3</v>
      </c>
      <c r="H1736" s="187">
        <v>-47251.91</v>
      </c>
      <c r="I1736" s="187">
        <v>1493517.3900000001</v>
      </c>
      <c r="J1736" s="188">
        <f>SUM(J1737:J1764)</f>
        <v>516155.66000000009</v>
      </c>
      <c r="K1736" s="188">
        <f>SUM(K1737:K1764)</f>
        <v>281755.57999999996</v>
      </c>
      <c r="L1736" s="188">
        <f t="shared" si="1463"/>
        <v>797911.24</v>
      </c>
      <c r="M1736" s="188">
        <v>1140408.1600000001</v>
      </c>
      <c r="N1736" s="188">
        <v>461144.87331692531</v>
      </c>
      <c r="O1736" s="188">
        <v>1601553.0333169254</v>
      </c>
      <c r="P1736" s="299">
        <f t="shared" ref="P1736:R1736" si="1499">SUM(P1737:P1764)</f>
        <v>1735442.34</v>
      </c>
      <c r="Q1736" s="299">
        <f t="shared" si="1499"/>
        <v>647947.50539290719</v>
      </c>
      <c r="R1736" s="299">
        <f t="shared" si="1499"/>
        <v>2383389.845392907</v>
      </c>
      <c r="S1736" s="150">
        <f t="shared" si="1491"/>
        <v>3177853.1271905424</v>
      </c>
      <c r="T1736" s="347">
        <f>SUM(T1737:T1764)</f>
        <v>3552553.4299999997</v>
      </c>
      <c r="U1736" s="299">
        <f t="shared" ref="U1736:W1736" si="1500">SUM(U1737:U1764)</f>
        <v>2535284.9899999998</v>
      </c>
      <c r="V1736" s="226">
        <f t="shared" si="1500"/>
        <v>742576.23052387615</v>
      </c>
      <c r="W1736" s="299">
        <f t="shared" si="1500"/>
        <v>3277861.2205238757</v>
      </c>
      <c r="X1736" s="299">
        <v>2535284.9899999998</v>
      </c>
      <c r="Y1736" s="299">
        <v>742576.23052387615</v>
      </c>
      <c r="Z1736" s="299">
        <v>3277861.2205238757</v>
      </c>
      <c r="AA1736" s="299">
        <f t="shared" si="1487"/>
        <v>274692.20947612403</v>
      </c>
      <c r="AB1736" s="299">
        <v>2535284.9899999998</v>
      </c>
      <c r="AC1736" s="226">
        <v>1017268.44</v>
      </c>
      <c r="AD1736" s="299">
        <f t="shared" ref="AD1736" si="1501">SUM(AD1737:AD1764)</f>
        <v>3552553.4299999997</v>
      </c>
      <c r="AE1736" s="299">
        <v>3552553.4299999997</v>
      </c>
      <c r="AF1736" s="169" t="s">
        <v>4680</v>
      </c>
      <c r="AG1736" s="301">
        <v>2535284.9899999998</v>
      </c>
      <c r="AH1736" s="226">
        <v>1017268.44</v>
      </c>
      <c r="AI1736" s="299">
        <v>3552553.4299999997</v>
      </c>
      <c r="AJ1736" s="169">
        <f t="shared" si="1488"/>
        <v>0</v>
      </c>
      <c r="AK1736" s="301">
        <v>2535284.9899999998</v>
      </c>
      <c r="AL1736" s="226">
        <v>1017268.44</v>
      </c>
      <c r="AM1736" s="299">
        <f t="shared" ref="AM1736" si="1502">SUM(AM1737:AM1764)</f>
        <v>3552553.4299999997</v>
      </c>
      <c r="AN1736" s="153">
        <f t="shared" si="1489"/>
        <v>0</v>
      </c>
      <c r="AO1736" s="154">
        <f t="shared" si="1490"/>
        <v>0</v>
      </c>
      <c r="AP1736" s="299">
        <v>3552553.4299999997</v>
      </c>
      <c r="AQ1736" s="301">
        <v>3552553.4299999997</v>
      </c>
      <c r="AR1736" s="226">
        <f t="shared" ref="AR1736:AS1736" si="1503">SUM(AR1737:AR1764)</f>
        <v>0</v>
      </c>
      <c r="AS1736" s="299">
        <f t="shared" si="1503"/>
        <v>3552553.4299999997</v>
      </c>
      <c r="AT1736" s="155"/>
      <c r="AU1736" s="156">
        <f t="shared" si="1485"/>
        <v>0</v>
      </c>
      <c r="AV1736" s="156">
        <f t="shared" si="1486"/>
        <v>274692.20947612403</v>
      </c>
      <c r="AW1736" s="157"/>
      <c r="AX1736" s="150">
        <v>3277861.2205238757</v>
      </c>
      <c r="AY1736" s="299">
        <f t="shared" ref="AY1736:BA1736" si="1504">SUM(AY1737:AY1764)</f>
        <v>1339080.6300000001</v>
      </c>
      <c r="AZ1736" s="299">
        <f t="shared" si="1504"/>
        <v>1912552.4666338509</v>
      </c>
      <c r="BA1736" s="299">
        <f t="shared" si="1504"/>
        <v>3251633.0966338511</v>
      </c>
      <c r="BB1736" s="192">
        <v>5</v>
      </c>
      <c r="BC1736" s="256" t="s">
        <v>755</v>
      </c>
      <c r="BD1736" s="256" t="s">
        <v>647</v>
      </c>
      <c r="BE1736" s="256" t="s">
        <v>632</v>
      </c>
      <c r="BF1736" s="256" t="s">
        <v>630</v>
      </c>
      <c r="BG1736" s="185" t="s">
        <v>100</v>
      </c>
      <c r="BH1736" s="215">
        <f>BH1737+BH1739+BH1747+BH1748+BH1749+BH1750+BH1761+BH1762+BH1763+BH1764</f>
        <v>3552553.43</v>
      </c>
      <c r="BI1736" s="192"/>
      <c r="BJ1736" s="256" t="s">
        <v>9187</v>
      </c>
      <c r="BK1736" s="256" t="s">
        <v>595</v>
      </c>
      <c r="BL1736" s="238" t="s">
        <v>9188</v>
      </c>
      <c r="BM1736" s="338">
        <f>BM1737+BM1739+BM1747+BM1748+BM1749+BM1750+BM1761+BM1762+BM1763+BM1764</f>
        <v>3552553.43</v>
      </c>
      <c r="BN1736" s="160"/>
      <c r="BO1736" s="161">
        <f t="shared" si="1498"/>
        <v>0</v>
      </c>
      <c r="BP1736" s="161"/>
    </row>
    <row r="1737" spans="1:68" ht="51">
      <c r="A1737" s="206" t="s">
        <v>595</v>
      </c>
      <c r="B1737" s="195" t="s">
        <v>9189</v>
      </c>
      <c r="C1737" s="196" t="s">
        <v>9190</v>
      </c>
      <c r="D1737" s="146" t="s">
        <v>4692</v>
      </c>
      <c r="E1737" s="196" t="s">
        <v>9190</v>
      </c>
      <c r="F1737" s="150">
        <v>1493517.3</v>
      </c>
      <c r="G1737" s="209">
        <v>0</v>
      </c>
      <c r="H1737" s="209">
        <v>0</v>
      </c>
      <c r="I1737" s="209">
        <v>0</v>
      </c>
      <c r="J1737" s="150">
        <v>384149.49</v>
      </c>
      <c r="K1737" s="150">
        <v>22298.05</v>
      </c>
      <c r="L1737" s="150">
        <f t="shared" si="1463"/>
        <v>406447.54</v>
      </c>
      <c r="M1737" s="150">
        <v>781537.56</v>
      </c>
      <c r="N1737" s="150">
        <v>45621.129624666646</v>
      </c>
      <c r="O1737" s="150">
        <v>827158.6896246667</v>
      </c>
      <c r="P1737" s="150">
        <v>1177102.78</v>
      </c>
      <c r="Q1737" s="150">
        <v>68736.06</v>
      </c>
      <c r="R1737" s="313">
        <f t="shared" ref="R1737:R1764" si="1505">P1737+Q1737</f>
        <v>1245838.8400000001</v>
      </c>
      <c r="S1737" s="150">
        <f t="shared" si="1491"/>
        <v>1661118.4533333336</v>
      </c>
      <c r="T1737" s="150">
        <v>1668080.09</v>
      </c>
      <c r="U1737" s="150">
        <v>1741009.16</v>
      </c>
      <c r="V1737" s="199">
        <v>0</v>
      </c>
      <c r="W1737" s="150">
        <f t="shared" ref="W1737:W1764" si="1506">U1737+V1737</f>
        <v>1741009.16</v>
      </c>
      <c r="X1737" s="150">
        <v>1741009.16</v>
      </c>
      <c r="Y1737" s="150">
        <v>0</v>
      </c>
      <c r="Z1737" s="150">
        <v>1741009.16</v>
      </c>
      <c r="AA1737" s="150">
        <f t="shared" si="1487"/>
        <v>-72929.070000000065</v>
      </c>
      <c r="AB1737" s="150">
        <v>1741009.16</v>
      </c>
      <c r="AC1737" s="199">
        <v>-72929.070000000007</v>
      </c>
      <c r="AD1737" s="150">
        <f t="shared" ref="AD1737:AD1764" si="1507">AB1737+AC1737</f>
        <v>1668080.0899999999</v>
      </c>
      <c r="AE1737" s="150">
        <v>1668080.0899999999</v>
      </c>
      <c r="AF1737" s="169" t="s">
        <v>4680</v>
      </c>
      <c r="AG1737" s="201">
        <v>1741009.16</v>
      </c>
      <c r="AH1737" s="199">
        <v>-72929.070000000007</v>
      </c>
      <c r="AI1737" s="150">
        <v>1668080.0899999999</v>
      </c>
      <c r="AJ1737" s="169">
        <f t="shared" si="1488"/>
        <v>0</v>
      </c>
      <c r="AK1737" s="201">
        <v>1741009.16</v>
      </c>
      <c r="AL1737" s="199">
        <v>-72929.070000000007</v>
      </c>
      <c r="AM1737" s="150">
        <f t="shared" ref="AM1737:AM1764" si="1508">AK1737+AL1737</f>
        <v>1668080.0899999999</v>
      </c>
      <c r="AN1737" s="153">
        <f t="shared" si="1489"/>
        <v>0</v>
      </c>
      <c r="AO1737" s="154">
        <f t="shared" si="1490"/>
        <v>0</v>
      </c>
      <c r="AP1737" s="150">
        <v>1668080.0899999999</v>
      </c>
      <c r="AQ1737" s="201">
        <v>1668080.09</v>
      </c>
      <c r="AR1737" s="199"/>
      <c r="AS1737" s="150">
        <f t="shared" ref="AS1737:AS1764" si="1509">AQ1737+AR1737</f>
        <v>1668080.09</v>
      </c>
      <c r="AT1737" s="155"/>
      <c r="AU1737" s="156">
        <f t="shared" si="1485"/>
        <v>0</v>
      </c>
      <c r="AV1737" s="156">
        <f t="shared" si="1486"/>
        <v>-72929.070000000065</v>
      </c>
      <c r="AW1737" s="157"/>
      <c r="AX1737" s="150">
        <v>1741009.16</v>
      </c>
      <c r="AY1737" s="150">
        <v>912831.35</v>
      </c>
      <c r="AZ1737" s="150">
        <f>BA1737-AY1737</f>
        <v>790013.05924933346</v>
      </c>
      <c r="BA1737" s="150">
        <v>1702844.4092493334</v>
      </c>
      <c r="BB1737" s="202">
        <v>5</v>
      </c>
      <c r="BC1737" s="202" t="s">
        <v>755</v>
      </c>
      <c r="BD1737" s="202" t="s">
        <v>647</v>
      </c>
      <c r="BE1737" s="202" t="s">
        <v>632</v>
      </c>
      <c r="BF1737" s="202" t="s">
        <v>632</v>
      </c>
      <c r="BG1737" s="231" t="s">
        <v>9191</v>
      </c>
      <c r="BH1737" s="216">
        <f>SUM(AS1737:AS1738)</f>
        <v>1668080.09</v>
      </c>
      <c r="BI1737" s="205"/>
      <c r="BJ1737" s="206" t="s">
        <v>9187</v>
      </c>
      <c r="BK1737" s="206" t="s">
        <v>595</v>
      </c>
      <c r="BL1737" s="207" t="s">
        <v>9188</v>
      </c>
      <c r="BM1737" s="208">
        <f>BH1737</f>
        <v>1668080.09</v>
      </c>
      <c r="BN1737" s="160"/>
      <c r="BO1737" s="161">
        <f t="shared" si="1498"/>
        <v>0</v>
      </c>
      <c r="BP1737" s="161"/>
    </row>
    <row r="1738" spans="1:68" ht="51">
      <c r="A1738" s="210"/>
      <c r="B1738" s="195" t="s">
        <v>9192</v>
      </c>
      <c r="C1738" s="196" t="s">
        <v>9193</v>
      </c>
      <c r="D1738" s="146" t="s">
        <v>4692</v>
      </c>
      <c r="E1738" s="196" t="s">
        <v>9194</v>
      </c>
      <c r="F1738" s="150">
        <v>0</v>
      </c>
      <c r="G1738" s="209">
        <v>432872.79</v>
      </c>
      <c r="H1738" s="209">
        <v>130763.4111488393</v>
      </c>
      <c r="I1738" s="209">
        <v>563636.20114883932</v>
      </c>
      <c r="J1738" s="150">
        <v>0</v>
      </c>
      <c r="K1738" s="150">
        <v>0</v>
      </c>
      <c r="L1738" s="150">
        <f t="shared" ref="L1738:L1801" si="1510">J1738+K1738</f>
        <v>0</v>
      </c>
      <c r="M1738" s="150">
        <v>0</v>
      </c>
      <c r="N1738" s="150">
        <v>0</v>
      </c>
      <c r="O1738" s="150">
        <v>0</v>
      </c>
      <c r="P1738" s="150">
        <v>0</v>
      </c>
      <c r="Q1738" s="150">
        <v>0</v>
      </c>
      <c r="R1738" s="313">
        <f t="shared" si="1505"/>
        <v>0</v>
      </c>
      <c r="S1738" s="150">
        <f t="shared" si="1491"/>
        <v>0</v>
      </c>
      <c r="T1738" s="150">
        <v>0</v>
      </c>
      <c r="U1738" s="150">
        <v>0</v>
      </c>
      <c r="V1738" s="199">
        <v>0</v>
      </c>
      <c r="W1738" s="150">
        <f t="shared" si="1506"/>
        <v>0</v>
      </c>
      <c r="X1738" s="150">
        <v>0</v>
      </c>
      <c r="Y1738" s="150">
        <v>0</v>
      </c>
      <c r="Z1738" s="150">
        <v>0</v>
      </c>
      <c r="AA1738" s="150">
        <f t="shared" si="1487"/>
        <v>0</v>
      </c>
      <c r="AB1738" s="150">
        <v>0</v>
      </c>
      <c r="AC1738" s="199">
        <v>0</v>
      </c>
      <c r="AD1738" s="150">
        <f t="shared" si="1507"/>
        <v>0</v>
      </c>
      <c r="AE1738" s="150">
        <v>0</v>
      </c>
      <c r="AF1738" s="169" t="s">
        <v>4680</v>
      </c>
      <c r="AG1738" s="201">
        <v>0</v>
      </c>
      <c r="AH1738" s="199">
        <v>0</v>
      </c>
      <c r="AI1738" s="150">
        <v>0</v>
      </c>
      <c r="AJ1738" s="169">
        <f t="shared" si="1488"/>
        <v>0</v>
      </c>
      <c r="AK1738" s="201">
        <v>0</v>
      </c>
      <c r="AL1738" s="199">
        <v>0</v>
      </c>
      <c r="AM1738" s="150">
        <f t="shared" si="1508"/>
        <v>0</v>
      </c>
      <c r="AN1738" s="153">
        <f t="shared" si="1489"/>
        <v>0</v>
      </c>
      <c r="AO1738" s="154">
        <f t="shared" si="1490"/>
        <v>0</v>
      </c>
      <c r="AP1738" s="150">
        <v>0</v>
      </c>
      <c r="AQ1738" s="201">
        <v>0</v>
      </c>
      <c r="AR1738" s="199">
        <v>0</v>
      </c>
      <c r="AS1738" s="150">
        <f t="shared" si="1509"/>
        <v>0</v>
      </c>
      <c r="AT1738" s="155"/>
      <c r="AU1738" s="156">
        <f t="shared" si="1485"/>
        <v>0</v>
      </c>
      <c r="AV1738" s="156">
        <f t="shared" si="1486"/>
        <v>0</v>
      </c>
      <c r="AW1738" s="157"/>
      <c r="AX1738" s="150">
        <v>0</v>
      </c>
      <c r="AY1738" s="150">
        <v>0</v>
      </c>
      <c r="AZ1738" s="150">
        <f t="shared" ref="AZ1738:AZ1764" si="1511">BA1738-AY1738</f>
        <v>0</v>
      </c>
      <c r="BA1738" s="150">
        <v>0</v>
      </c>
      <c r="BB1738" s="210"/>
      <c r="BC1738" s="210"/>
      <c r="BD1738" s="210"/>
      <c r="BE1738" s="210"/>
      <c r="BF1738" s="210"/>
      <c r="BG1738" s="210"/>
      <c r="BH1738" s="217"/>
      <c r="BI1738" s="210"/>
      <c r="BJ1738" s="210"/>
      <c r="BK1738" s="210"/>
      <c r="BL1738" s="210"/>
      <c r="BM1738" s="208"/>
      <c r="BN1738" s="160"/>
      <c r="BO1738" s="161">
        <f t="shared" si="1498"/>
        <v>0</v>
      </c>
      <c r="BP1738" s="161"/>
    </row>
    <row r="1739" spans="1:68" ht="38.25">
      <c r="A1739" s="206" t="s">
        <v>595</v>
      </c>
      <c r="B1739" s="195" t="s">
        <v>9195</v>
      </c>
      <c r="C1739" s="196" t="s">
        <v>9196</v>
      </c>
      <c r="D1739" s="146" t="s">
        <v>4692</v>
      </c>
      <c r="E1739" s="196" t="s">
        <v>9196</v>
      </c>
      <c r="F1739" s="150">
        <v>563635.79</v>
      </c>
      <c r="G1739" s="209">
        <v>74245.440000000002</v>
      </c>
      <c r="H1739" s="209">
        <v>0</v>
      </c>
      <c r="I1739" s="209">
        <v>74245.440000000002</v>
      </c>
      <c r="J1739" s="150">
        <v>95775.45</v>
      </c>
      <c r="K1739" s="150">
        <v>45959.85</v>
      </c>
      <c r="L1739" s="150">
        <f t="shared" si="1510"/>
        <v>141735.29999999999</v>
      </c>
      <c r="M1739" s="150">
        <v>215811.31</v>
      </c>
      <c r="N1739" s="150">
        <v>71978.381081387342</v>
      </c>
      <c r="O1739" s="150">
        <v>287789.69108138734</v>
      </c>
      <c r="P1739" s="150">
        <v>326592.36</v>
      </c>
      <c r="Q1739" s="150">
        <v>101695.35169912109</v>
      </c>
      <c r="R1739" s="313">
        <f t="shared" si="1505"/>
        <v>428287.71169912105</v>
      </c>
      <c r="S1739" s="150">
        <f t="shared" si="1491"/>
        <v>571050.28226549469</v>
      </c>
      <c r="T1739" s="150">
        <v>669078.85</v>
      </c>
      <c r="U1739" s="150">
        <v>475865.26</v>
      </c>
      <c r="V1739" s="199">
        <v>95185.022265494685</v>
      </c>
      <c r="W1739" s="150">
        <f t="shared" si="1506"/>
        <v>571050.28226549469</v>
      </c>
      <c r="X1739" s="150">
        <v>475865.26</v>
      </c>
      <c r="Y1739" s="150">
        <v>95185.022265494685</v>
      </c>
      <c r="Z1739" s="150">
        <v>571050.28226549469</v>
      </c>
      <c r="AA1739" s="150">
        <f t="shared" si="1487"/>
        <v>98028.567734505283</v>
      </c>
      <c r="AB1739" s="150">
        <v>475865.26</v>
      </c>
      <c r="AC1739" s="199">
        <v>193213.59</v>
      </c>
      <c r="AD1739" s="150">
        <f t="shared" si="1507"/>
        <v>669078.85</v>
      </c>
      <c r="AE1739" s="150">
        <v>669078.85</v>
      </c>
      <c r="AF1739" s="169" t="s">
        <v>4680</v>
      </c>
      <c r="AG1739" s="201">
        <v>475865.26</v>
      </c>
      <c r="AH1739" s="199">
        <v>193213.59</v>
      </c>
      <c r="AI1739" s="150">
        <v>669078.85</v>
      </c>
      <c r="AJ1739" s="169">
        <f t="shared" si="1488"/>
        <v>0</v>
      </c>
      <c r="AK1739" s="201">
        <v>475865.26</v>
      </c>
      <c r="AL1739" s="199">
        <v>193213.59</v>
      </c>
      <c r="AM1739" s="150">
        <f t="shared" si="1508"/>
        <v>669078.85</v>
      </c>
      <c r="AN1739" s="153">
        <f t="shared" si="1489"/>
        <v>0</v>
      </c>
      <c r="AO1739" s="154">
        <f t="shared" si="1490"/>
        <v>0</v>
      </c>
      <c r="AP1739" s="150">
        <v>669078.85</v>
      </c>
      <c r="AQ1739" s="201">
        <v>669078.85</v>
      </c>
      <c r="AR1739" s="199"/>
      <c r="AS1739" s="150">
        <f t="shared" si="1509"/>
        <v>669078.85</v>
      </c>
      <c r="AT1739" s="155"/>
      <c r="AU1739" s="156">
        <f t="shared" si="1485"/>
        <v>0</v>
      </c>
      <c r="AV1739" s="156">
        <f t="shared" si="1486"/>
        <v>98028.567734505283</v>
      </c>
      <c r="AW1739" s="157"/>
      <c r="AX1739" s="150">
        <v>571050.28226549469</v>
      </c>
      <c r="AY1739" s="150">
        <v>252770.22</v>
      </c>
      <c r="AZ1739" s="150">
        <f t="shared" si="1511"/>
        <v>322809.16216277471</v>
      </c>
      <c r="BA1739" s="150">
        <v>575579.38216277468</v>
      </c>
      <c r="BB1739" s="202">
        <v>5</v>
      </c>
      <c r="BC1739" s="202" t="s">
        <v>755</v>
      </c>
      <c r="BD1739" s="202" t="s">
        <v>647</v>
      </c>
      <c r="BE1739" s="202" t="s">
        <v>632</v>
      </c>
      <c r="BF1739" s="202" t="s">
        <v>714</v>
      </c>
      <c r="BG1739" s="231" t="s">
        <v>9197</v>
      </c>
      <c r="BH1739" s="216">
        <f>SUM(AS1739:AS1746)</f>
        <v>765999.6</v>
      </c>
      <c r="BI1739" s="205"/>
      <c r="BJ1739" s="206" t="s">
        <v>9187</v>
      </c>
      <c r="BK1739" s="206" t="s">
        <v>595</v>
      </c>
      <c r="BL1739" s="207" t="s">
        <v>9188</v>
      </c>
      <c r="BM1739" s="208">
        <f>BH1739</f>
        <v>765999.6</v>
      </c>
      <c r="BN1739" s="160"/>
      <c r="BO1739" s="161"/>
      <c r="BP1739" s="161"/>
    </row>
    <row r="1740" spans="1:68" ht="38.25">
      <c r="A1740" s="210"/>
      <c r="B1740" s="195" t="s">
        <v>9198</v>
      </c>
      <c r="C1740" s="196" t="s">
        <v>9199</v>
      </c>
      <c r="D1740" s="146" t="s">
        <v>4692</v>
      </c>
      <c r="E1740" s="196" t="s">
        <v>9199</v>
      </c>
      <c r="F1740" s="150">
        <v>74245.440000000002</v>
      </c>
      <c r="G1740" s="209">
        <v>28.98</v>
      </c>
      <c r="H1740" s="209">
        <v>0</v>
      </c>
      <c r="I1740" s="209">
        <v>28.98</v>
      </c>
      <c r="J1740" s="150">
        <v>18513.84</v>
      </c>
      <c r="K1740" s="150">
        <v>0</v>
      </c>
      <c r="L1740" s="150">
        <f t="shared" si="1510"/>
        <v>18513.84</v>
      </c>
      <c r="M1740" s="150">
        <v>37726.82</v>
      </c>
      <c r="N1740" s="150">
        <v>0</v>
      </c>
      <c r="O1740" s="150">
        <v>37726.82</v>
      </c>
      <c r="P1740" s="150">
        <v>57052.28</v>
      </c>
      <c r="Q1740" s="150">
        <v>0</v>
      </c>
      <c r="R1740" s="313">
        <f t="shared" si="1505"/>
        <v>57052.28</v>
      </c>
      <c r="S1740" s="150">
        <f t="shared" si="1491"/>
        <v>76069.706666666665</v>
      </c>
      <c r="T1740" s="150">
        <v>84461.35</v>
      </c>
      <c r="U1740" s="150">
        <v>84461.35</v>
      </c>
      <c r="V1740" s="199">
        <v>0</v>
      </c>
      <c r="W1740" s="150">
        <f t="shared" si="1506"/>
        <v>84461.35</v>
      </c>
      <c r="X1740" s="150">
        <v>84461.35</v>
      </c>
      <c r="Y1740" s="150">
        <v>0</v>
      </c>
      <c r="Z1740" s="150">
        <v>84461.35</v>
      </c>
      <c r="AA1740" s="150">
        <f t="shared" si="1487"/>
        <v>0</v>
      </c>
      <c r="AB1740" s="150">
        <v>84461.35</v>
      </c>
      <c r="AC1740" s="199">
        <v>0</v>
      </c>
      <c r="AD1740" s="150">
        <f t="shared" si="1507"/>
        <v>84461.35</v>
      </c>
      <c r="AE1740" s="150">
        <v>84461.35</v>
      </c>
      <c r="AF1740" s="169" t="s">
        <v>4680</v>
      </c>
      <c r="AG1740" s="201">
        <v>84461.35</v>
      </c>
      <c r="AH1740" s="199">
        <v>0</v>
      </c>
      <c r="AI1740" s="150">
        <v>84461.35</v>
      </c>
      <c r="AJ1740" s="169">
        <f t="shared" si="1488"/>
        <v>0</v>
      </c>
      <c r="AK1740" s="201">
        <v>84461.35</v>
      </c>
      <c r="AL1740" s="199">
        <v>0</v>
      </c>
      <c r="AM1740" s="150">
        <f t="shared" si="1508"/>
        <v>84461.35</v>
      </c>
      <c r="AN1740" s="153">
        <f t="shared" si="1489"/>
        <v>0</v>
      </c>
      <c r="AO1740" s="154">
        <f t="shared" si="1490"/>
        <v>0</v>
      </c>
      <c r="AP1740" s="150">
        <v>84461.35</v>
      </c>
      <c r="AQ1740" s="201">
        <v>84461.35</v>
      </c>
      <c r="AR1740" s="199">
        <v>0</v>
      </c>
      <c r="AS1740" s="150">
        <f t="shared" si="1509"/>
        <v>84461.35</v>
      </c>
      <c r="AT1740" s="155"/>
      <c r="AU1740" s="156">
        <f t="shared" si="1485"/>
        <v>0</v>
      </c>
      <c r="AV1740" s="156">
        <f t="shared" si="1486"/>
        <v>0</v>
      </c>
      <c r="AW1740" s="157"/>
      <c r="AX1740" s="150">
        <v>84461.35</v>
      </c>
      <c r="AY1740" s="150">
        <v>44133.87</v>
      </c>
      <c r="AZ1740" s="150">
        <f t="shared" si="1511"/>
        <v>31319.769999999997</v>
      </c>
      <c r="BA1740" s="150">
        <v>75453.64</v>
      </c>
      <c r="BB1740" s="210"/>
      <c r="BC1740" s="210"/>
      <c r="BD1740" s="210"/>
      <c r="BE1740" s="210"/>
      <c r="BF1740" s="210"/>
      <c r="BG1740" s="210"/>
      <c r="BH1740" s="217"/>
      <c r="BI1740" s="210"/>
      <c r="BJ1740" s="210"/>
      <c r="BK1740" s="210"/>
      <c r="BL1740" s="210"/>
      <c r="BM1740" s="208"/>
      <c r="BN1740" s="160"/>
      <c r="BO1740" s="161"/>
      <c r="BP1740" s="161"/>
    </row>
    <row r="1741" spans="1:68" ht="38.25">
      <c r="A1741" s="210"/>
      <c r="B1741" s="195" t="s">
        <v>9200</v>
      </c>
      <c r="C1741" s="196" t="s">
        <v>9201</v>
      </c>
      <c r="D1741" s="146" t="s">
        <v>4692</v>
      </c>
      <c r="E1741" s="196" t="s">
        <v>9201</v>
      </c>
      <c r="F1741" s="150">
        <v>28.98</v>
      </c>
      <c r="G1741" s="209">
        <v>108.36</v>
      </c>
      <c r="H1741" s="209">
        <v>0</v>
      </c>
      <c r="I1741" s="209">
        <v>108.36</v>
      </c>
      <c r="J1741" s="150">
        <v>0</v>
      </c>
      <c r="K1741" s="150">
        <v>0</v>
      </c>
      <c r="L1741" s="150">
        <f t="shared" si="1510"/>
        <v>0</v>
      </c>
      <c r="M1741" s="150">
        <v>0</v>
      </c>
      <c r="N1741" s="150">
        <v>0</v>
      </c>
      <c r="O1741" s="150">
        <v>0</v>
      </c>
      <c r="P1741" s="150">
        <v>0</v>
      </c>
      <c r="Q1741" s="150">
        <v>0</v>
      </c>
      <c r="R1741" s="313">
        <f t="shared" si="1505"/>
        <v>0</v>
      </c>
      <c r="S1741" s="150">
        <f t="shared" si="1491"/>
        <v>0</v>
      </c>
      <c r="T1741" s="150">
        <v>0</v>
      </c>
      <c r="U1741" s="150">
        <v>0</v>
      </c>
      <c r="V1741" s="199">
        <v>0</v>
      </c>
      <c r="W1741" s="150">
        <f t="shared" si="1506"/>
        <v>0</v>
      </c>
      <c r="X1741" s="150">
        <v>0</v>
      </c>
      <c r="Y1741" s="150">
        <v>0</v>
      </c>
      <c r="Z1741" s="150">
        <v>0</v>
      </c>
      <c r="AA1741" s="150">
        <f t="shared" si="1487"/>
        <v>0</v>
      </c>
      <c r="AB1741" s="150">
        <v>0</v>
      </c>
      <c r="AC1741" s="199">
        <v>0</v>
      </c>
      <c r="AD1741" s="150">
        <f t="shared" si="1507"/>
        <v>0</v>
      </c>
      <c r="AE1741" s="150">
        <v>0</v>
      </c>
      <c r="AF1741" s="169" t="s">
        <v>4680</v>
      </c>
      <c r="AG1741" s="201">
        <v>0</v>
      </c>
      <c r="AH1741" s="199">
        <v>0</v>
      </c>
      <c r="AI1741" s="150">
        <v>0</v>
      </c>
      <c r="AJ1741" s="169">
        <f t="shared" si="1488"/>
        <v>0</v>
      </c>
      <c r="AK1741" s="201">
        <v>0</v>
      </c>
      <c r="AL1741" s="199">
        <v>0</v>
      </c>
      <c r="AM1741" s="150">
        <f t="shared" si="1508"/>
        <v>0</v>
      </c>
      <c r="AN1741" s="153">
        <f t="shared" si="1489"/>
        <v>0</v>
      </c>
      <c r="AO1741" s="154">
        <f t="shared" si="1490"/>
        <v>0</v>
      </c>
      <c r="AP1741" s="150">
        <v>0</v>
      </c>
      <c r="AQ1741" s="201">
        <v>0</v>
      </c>
      <c r="AR1741" s="199">
        <v>0</v>
      </c>
      <c r="AS1741" s="150">
        <f t="shared" si="1509"/>
        <v>0</v>
      </c>
      <c r="AT1741" s="155"/>
      <c r="AU1741" s="156">
        <f t="shared" si="1485"/>
        <v>0</v>
      </c>
      <c r="AV1741" s="156">
        <f t="shared" si="1486"/>
        <v>0</v>
      </c>
      <c r="AW1741" s="157"/>
      <c r="AX1741" s="150">
        <v>0</v>
      </c>
      <c r="AY1741" s="150">
        <v>0</v>
      </c>
      <c r="AZ1741" s="150">
        <f t="shared" si="1511"/>
        <v>0</v>
      </c>
      <c r="BA1741" s="150">
        <v>0</v>
      </c>
      <c r="BB1741" s="210"/>
      <c r="BC1741" s="210"/>
      <c r="BD1741" s="210"/>
      <c r="BE1741" s="210"/>
      <c r="BF1741" s="210"/>
      <c r="BG1741" s="210"/>
      <c r="BH1741" s="217"/>
      <c r="BI1741" s="210"/>
      <c r="BJ1741" s="210"/>
      <c r="BK1741" s="210"/>
      <c r="BL1741" s="210"/>
      <c r="BM1741" s="208"/>
      <c r="BN1741" s="160"/>
      <c r="BO1741" s="161"/>
      <c r="BP1741" s="161"/>
    </row>
    <row r="1742" spans="1:68" ht="38.25">
      <c r="A1742" s="210"/>
      <c r="B1742" s="195" t="s">
        <v>9202</v>
      </c>
      <c r="C1742" s="196" t="s">
        <v>9203</v>
      </c>
      <c r="D1742" s="146" t="s">
        <v>4692</v>
      </c>
      <c r="E1742" s="196" t="s">
        <v>9203</v>
      </c>
      <c r="F1742" s="150">
        <v>108.36</v>
      </c>
      <c r="G1742" s="209">
        <v>0</v>
      </c>
      <c r="H1742" s="209">
        <v>0</v>
      </c>
      <c r="I1742" s="209">
        <v>0</v>
      </c>
      <c r="J1742" s="150">
        <v>49.5</v>
      </c>
      <c r="K1742" s="150">
        <v>0</v>
      </c>
      <c r="L1742" s="150">
        <f t="shared" si="1510"/>
        <v>49.5</v>
      </c>
      <c r="M1742" s="150">
        <v>99.48</v>
      </c>
      <c r="N1742" s="150">
        <v>0</v>
      </c>
      <c r="O1742" s="150">
        <v>99.48</v>
      </c>
      <c r="P1742" s="150">
        <v>149.22</v>
      </c>
      <c r="Q1742" s="150">
        <v>0</v>
      </c>
      <c r="R1742" s="313">
        <f t="shared" si="1505"/>
        <v>149.22</v>
      </c>
      <c r="S1742" s="150">
        <f t="shared" si="1491"/>
        <v>198.95999999999998</v>
      </c>
      <c r="T1742" s="150">
        <v>215.54</v>
      </c>
      <c r="U1742" s="150">
        <v>215.54</v>
      </c>
      <c r="V1742" s="199">
        <v>0</v>
      </c>
      <c r="W1742" s="150">
        <f t="shared" si="1506"/>
        <v>215.54</v>
      </c>
      <c r="X1742" s="150">
        <v>215.54</v>
      </c>
      <c r="Y1742" s="150">
        <v>0</v>
      </c>
      <c r="Z1742" s="150">
        <v>215.54</v>
      </c>
      <c r="AA1742" s="150">
        <f t="shared" si="1487"/>
        <v>0</v>
      </c>
      <c r="AB1742" s="150">
        <v>215.54</v>
      </c>
      <c r="AC1742" s="199">
        <v>0</v>
      </c>
      <c r="AD1742" s="150">
        <f t="shared" si="1507"/>
        <v>215.54</v>
      </c>
      <c r="AE1742" s="150">
        <v>215.54</v>
      </c>
      <c r="AF1742" s="169" t="s">
        <v>4680</v>
      </c>
      <c r="AG1742" s="201">
        <v>215.54</v>
      </c>
      <c r="AH1742" s="199">
        <v>0</v>
      </c>
      <c r="AI1742" s="150">
        <v>215.54</v>
      </c>
      <c r="AJ1742" s="169">
        <f t="shared" si="1488"/>
        <v>0</v>
      </c>
      <c r="AK1742" s="201">
        <v>215.54</v>
      </c>
      <c r="AL1742" s="199">
        <v>0</v>
      </c>
      <c r="AM1742" s="150">
        <f t="shared" si="1508"/>
        <v>215.54</v>
      </c>
      <c r="AN1742" s="153">
        <f t="shared" si="1489"/>
        <v>0</v>
      </c>
      <c r="AO1742" s="154">
        <f t="shared" si="1490"/>
        <v>0</v>
      </c>
      <c r="AP1742" s="150">
        <v>215.54</v>
      </c>
      <c r="AQ1742" s="201">
        <v>215.54</v>
      </c>
      <c r="AR1742" s="199">
        <v>0</v>
      </c>
      <c r="AS1742" s="150">
        <f t="shared" si="1509"/>
        <v>215.54</v>
      </c>
      <c r="AT1742" s="155"/>
      <c r="AU1742" s="156">
        <f t="shared" si="1485"/>
        <v>0</v>
      </c>
      <c r="AV1742" s="156">
        <f t="shared" si="1486"/>
        <v>0</v>
      </c>
      <c r="AW1742" s="157"/>
      <c r="AX1742" s="150">
        <v>215.54</v>
      </c>
      <c r="AY1742" s="150">
        <v>116.06</v>
      </c>
      <c r="AZ1742" s="150">
        <f t="shared" si="1511"/>
        <v>82.9</v>
      </c>
      <c r="BA1742" s="150">
        <v>198.96</v>
      </c>
      <c r="BB1742" s="210"/>
      <c r="BC1742" s="210"/>
      <c r="BD1742" s="210"/>
      <c r="BE1742" s="210"/>
      <c r="BF1742" s="210"/>
      <c r="BG1742" s="210"/>
      <c r="BH1742" s="217"/>
      <c r="BI1742" s="210"/>
      <c r="BJ1742" s="210"/>
      <c r="BK1742" s="210"/>
      <c r="BL1742" s="210"/>
      <c r="BM1742" s="208"/>
      <c r="BN1742" s="160"/>
      <c r="BO1742" s="161"/>
      <c r="BP1742" s="161"/>
    </row>
    <row r="1743" spans="1:68" ht="38.25">
      <c r="A1743" s="210"/>
      <c r="B1743" s="195" t="s">
        <v>9204</v>
      </c>
      <c r="C1743" s="196" t="s">
        <v>9205</v>
      </c>
      <c r="D1743" s="146" t="s">
        <v>4692</v>
      </c>
      <c r="E1743" s="196" t="s">
        <v>9205</v>
      </c>
      <c r="F1743" s="150">
        <v>0</v>
      </c>
      <c r="G1743" s="209">
        <v>35.700000000000003</v>
      </c>
      <c r="H1743" s="209">
        <v>15471.85</v>
      </c>
      <c r="I1743" s="209">
        <v>15507.550000000001</v>
      </c>
      <c r="J1743" s="150">
        <v>0</v>
      </c>
      <c r="K1743" s="150">
        <v>0</v>
      </c>
      <c r="L1743" s="150">
        <f t="shared" si="1510"/>
        <v>0</v>
      </c>
      <c r="M1743" s="150">
        <v>0</v>
      </c>
      <c r="N1743" s="150">
        <v>0</v>
      </c>
      <c r="O1743" s="150">
        <v>0</v>
      </c>
      <c r="P1743" s="150">
        <v>0</v>
      </c>
      <c r="Q1743" s="150">
        <v>0</v>
      </c>
      <c r="R1743" s="313">
        <f t="shared" si="1505"/>
        <v>0</v>
      </c>
      <c r="S1743" s="150">
        <f t="shared" si="1491"/>
        <v>0</v>
      </c>
      <c r="T1743" s="150">
        <v>0</v>
      </c>
      <c r="U1743" s="150">
        <v>0</v>
      </c>
      <c r="V1743" s="199">
        <v>0</v>
      </c>
      <c r="W1743" s="150">
        <f t="shared" si="1506"/>
        <v>0</v>
      </c>
      <c r="X1743" s="150">
        <v>0</v>
      </c>
      <c r="Y1743" s="150">
        <v>0</v>
      </c>
      <c r="Z1743" s="150">
        <v>0</v>
      </c>
      <c r="AA1743" s="150">
        <f t="shared" si="1487"/>
        <v>0</v>
      </c>
      <c r="AB1743" s="150">
        <v>0</v>
      </c>
      <c r="AC1743" s="199">
        <v>0</v>
      </c>
      <c r="AD1743" s="150">
        <f t="shared" si="1507"/>
        <v>0</v>
      </c>
      <c r="AE1743" s="150">
        <v>0</v>
      </c>
      <c r="AF1743" s="169" t="s">
        <v>4680</v>
      </c>
      <c r="AG1743" s="201">
        <v>0</v>
      </c>
      <c r="AH1743" s="199">
        <v>0</v>
      </c>
      <c r="AI1743" s="150">
        <v>0</v>
      </c>
      <c r="AJ1743" s="169">
        <f t="shared" si="1488"/>
        <v>0</v>
      </c>
      <c r="AK1743" s="201">
        <v>0</v>
      </c>
      <c r="AL1743" s="199">
        <v>0</v>
      </c>
      <c r="AM1743" s="150">
        <f t="shared" si="1508"/>
        <v>0</v>
      </c>
      <c r="AN1743" s="153">
        <f t="shared" si="1489"/>
        <v>0</v>
      </c>
      <c r="AO1743" s="154">
        <f t="shared" si="1490"/>
        <v>0</v>
      </c>
      <c r="AP1743" s="150">
        <v>0</v>
      </c>
      <c r="AQ1743" s="201">
        <v>0</v>
      </c>
      <c r="AR1743" s="199">
        <v>0</v>
      </c>
      <c r="AS1743" s="150">
        <f t="shared" si="1509"/>
        <v>0</v>
      </c>
      <c r="AT1743" s="155"/>
      <c r="AU1743" s="156">
        <f t="shared" si="1485"/>
        <v>0</v>
      </c>
      <c r="AV1743" s="156">
        <f t="shared" si="1486"/>
        <v>0</v>
      </c>
      <c r="AW1743" s="157"/>
      <c r="AX1743" s="150">
        <v>0</v>
      </c>
      <c r="AY1743" s="150">
        <v>0</v>
      </c>
      <c r="AZ1743" s="150">
        <f t="shared" si="1511"/>
        <v>0</v>
      </c>
      <c r="BA1743" s="150">
        <v>0</v>
      </c>
      <c r="BB1743" s="210"/>
      <c r="BC1743" s="210"/>
      <c r="BD1743" s="210"/>
      <c r="BE1743" s="210"/>
      <c r="BF1743" s="210"/>
      <c r="BG1743" s="210"/>
      <c r="BH1743" s="217"/>
      <c r="BI1743" s="210"/>
      <c r="BJ1743" s="210"/>
      <c r="BK1743" s="210"/>
      <c r="BL1743" s="210"/>
      <c r="BM1743" s="208"/>
      <c r="BN1743" s="160"/>
      <c r="BO1743" s="161"/>
      <c r="BP1743" s="161"/>
    </row>
    <row r="1744" spans="1:68" ht="38.25">
      <c r="A1744" s="210"/>
      <c r="B1744" s="195" t="s">
        <v>9206</v>
      </c>
      <c r="C1744" s="196" t="s">
        <v>9207</v>
      </c>
      <c r="D1744" s="146" t="s">
        <v>4692</v>
      </c>
      <c r="E1744" s="196" t="s">
        <v>9207</v>
      </c>
      <c r="F1744" s="150">
        <v>15507.7</v>
      </c>
      <c r="G1744" s="209">
        <v>0</v>
      </c>
      <c r="H1744" s="209">
        <v>0</v>
      </c>
      <c r="I1744" s="209">
        <v>0</v>
      </c>
      <c r="J1744" s="150">
        <v>0</v>
      </c>
      <c r="K1744" s="150">
        <v>3876.89</v>
      </c>
      <c r="L1744" s="150">
        <f t="shared" si="1510"/>
        <v>3876.89</v>
      </c>
      <c r="M1744" s="150">
        <v>0</v>
      </c>
      <c r="N1744" s="150">
        <v>7753.85</v>
      </c>
      <c r="O1744" s="150">
        <v>7753.85</v>
      </c>
      <c r="P1744" s="150">
        <v>0</v>
      </c>
      <c r="Q1744" s="150">
        <v>0</v>
      </c>
      <c r="R1744" s="313">
        <f t="shared" si="1505"/>
        <v>0</v>
      </c>
      <c r="S1744" s="150">
        <f t="shared" si="1491"/>
        <v>0</v>
      </c>
      <c r="T1744" s="150">
        <v>12233.07</v>
      </c>
      <c r="U1744" s="150">
        <v>0</v>
      </c>
      <c r="V1744" s="199">
        <v>12233.07</v>
      </c>
      <c r="W1744" s="150">
        <f t="shared" si="1506"/>
        <v>12233.07</v>
      </c>
      <c r="X1744" s="150">
        <v>0</v>
      </c>
      <c r="Y1744" s="150">
        <v>12233.07</v>
      </c>
      <c r="Z1744" s="150">
        <v>12233.07</v>
      </c>
      <c r="AA1744" s="150">
        <f t="shared" si="1487"/>
        <v>0</v>
      </c>
      <c r="AB1744" s="150">
        <v>0</v>
      </c>
      <c r="AC1744" s="199">
        <v>12233.07</v>
      </c>
      <c r="AD1744" s="150">
        <f t="shared" si="1507"/>
        <v>12233.07</v>
      </c>
      <c r="AE1744" s="150">
        <v>12233.07</v>
      </c>
      <c r="AF1744" s="169" t="s">
        <v>4680</v>
      </c>
      <c r="AG1744" s="201">
        <v>0</v>
      </c>
      <c r="AH1744" s="199">
        <v>12233.07</v>
      </c>
      <c r="AI1744" s="150">
        <v>12233.07</v>
      </c>
      <c r="AJ1744" s="169">
        <f t="shared" si="1488"/>
        <v>0</v>
      </c>
      <c r="AK1744" s="201">
        <v>0</v>
      </c>
      <c r="AL1744" s="199">
        <v>12233.07</v>
      </c>
      <c r="AM1744" s="150">
        <f t="shared" si="1508"/>
        <v>12233.07</v>
      </c>
      <c r="AN1744" s="153">
        <f t="shared" si="1489"/>
        <v>0</v>
      </c>
      <c r="AO1744" s="154">
        <f t="shared" si="1490"/>
        <v>0</v>
      </c>
      <c r="AP1744" s="150">
        <v>12233.07</v>
      </c>
      <c r="AQ1744" s="201">
        <v>12233.07</v>
      </c>
      <c r="AR1744" s="199"/>
      <c r="AS1744" s="150">
        <f t="shared" si="1509"/>
        <v>12233.07</v>
      </c>
      <c r="AT1744" s="155"/>
      <c r="AU1744" s="156">
        <f t="shared" si="1485"/>
        <v>0</v>
      </c>
      <c r="AV1744" s="156">
        <f t="shared" si="1486"/>
        <v>0</v>
      </c>
      <c r="AW1744" s="157"/>
      <c r="AX1744" s="150">
        <v>12233.07</v>
      </c>
      <c r="AY1744" s="150">
        <v>0</v>
      </c>
      <c r="AZ1744" s="150">
        <f t="shared" si="1511"/>
        <v>15507.7</v>
      </c>
      <c r="BA1744" s="150">
        <v>15507.7</v>
      </c>
      <c r="BB1744" s="210"/>
      <c r="BC1744" s="210"/>
      <c r="BD1744" s="210"/>
      <c r="BE1744" s="210"/>
      <c r="BF1744" s="210"/>
      <c r="BG1744" s="210"/>
      <c r="BH1744" s="217"/>
      <c r="BI1744" s="210"/>
      <c r="BJ1744" s="210"/>
      <c r="BK1744" s="210"/>
      <c r="BL1744" s="210"/>
      <c r="BM1744" s="208"/>
      <c r="BN1744" s="160"/>
      <c r="BO1744" s="161"/>
      <c r="BP1744" s="161"/>
    </row>
    <row r="1745" spans="1:68" ht="38.25">
      <c r="A1745" s="210"/>
      <c r="B1745" s="195" t="s">
        <v>9208</v>
      </c>
      <c r="C1745" s="196" t="s">
        <v>9209</v>
      </c>
      <c r="D1745" s="146" t="s">
        <v>4692</v>
      </c>
      <c r="E1745" s="196" t="s">
        <v>9209</v>
      </c>
      <c r="F1745" s="150">
        <v>0</v>
      </c>
      <c r="G1745" s="209">
        <v>15.3</v>
      </c>
      <c r="H1745" s="209">
        <v>0</v>
      </c>
      <c r="I1745" s="209">
        <v>15.3</v>
      </c>
      <c r="J1745" s="150">
        <v>0</v>
      </c>
      <c r="K1745" s="150">
        <v>0</v>
      </c>
      <c r="L1745" s="150">
        <f t="shared" si="1510"/>
        <v>0</v>
      </c>
      <c r="M1745" s="150">
        <v>0</v>
      </c>
      <c r="N1745" s="150">
        <v>0</v>
      </c>
      <c r="O1745" s="150">
        <v>0</v>
      </c>
      <c r="P1745" s="150">
        <v>0</v>
      </c>
      <c r="Q1745" s="150">
        <v>0</v>
      </c>
      <c r="R1745" s="313">
        <f t="shared" si="1505"/>
        <v>0</v>
      </c>
      <c r="S1745" s="150">
        <f t="shared" si="1491"/>
        <v>0</v>
      </c>
      <c r="T1745" s="150">
        <v>0</v>
      </c>
      <c r="U1745" s="150">
        <v>0</v>
      </c>
      <c r="V1745" s="199">
        <v>0</v>
      </c>
      <c r="W1745" s="150">
        <f t="shared" si="1506"/>
        <v>0</v>
      </c>
      <c r="X1745" s="150">
        <v>0</v>
      </c>
      <c r="Y1745" s="150">
        <v>0</v>
      </c>
      <c r="Z1745" s="150">
        <v>0</v>
      </c>
      <c r="AA1745" s="150">
        <f t="shared" si="1487"/>
        <v>0</v>
      </c>
      <c r="AB1745" s="150">
        <v>0</v>
      </c>
      <c r="AC1745" s="199">
        <v>0</v>
      </c>
      <c r="AD1745" s="150">
        <f t="shared" si="1507"/>
        <v>0</v>
      </c>
      <c r="AE1745" s="150">
        <v>0</v>
      </c>
      <c r="AF1745" s="169" t="s">
        <v>4680</v>
      </c>
      <c r="AG1745" s="201">
        <v>0</v>
      </c>
      <c r="AH1745" s="199">
        <v>0</v>
      </c>
      <c r="AI1745" s="150">
        <v>0</v>
      </c>
      <c r="AJ1745" s="169">
        <f t="shared" si="1488"/>
        <v>0</v>
      </c>
      <c r="AK1745" s="201">
        <v>0</v>
      </c>
      <c r="AL1745" s="199">
        <v>0</v>
      </c>
      <c r="AM1745" s="150">
        <f t="shared" si="1508"/>
        <v>0</v>
      </c>
      <c r="AN1745" s="153">
        <f t="shared" si="1489"/>
        <v>0</v>
      </c>
      <c r="AO1745" s="154">
        <f t="shared" si="1490"/>
        <v>0</v>
      </c>
      <c r="AP1745" s="150">
        <v>0</v>
      </c>
      <c r="AQ1745" s="201">
        <v>0</v>
      </c>
      <c r="AR1745" s="199">
        <v>0</v>
      </c>
      <c r="AS1745" s="150">
        <f t="shared" si="1509"/>
        <v>0</v>
      </c>
      <c r="AT1745" s="155"/>
      <c r="AU1745" s="156">
        <f t="shared" si="1485"/>
        <v>0</v>
      </c>
      <c r="AV1745" s="156">
        <f t="shared" si="1486"/>
        <v>0</v>
      </c>
      <c r="AW1745" s="157"/>
      <c r="AX1745" s="150">
        <v>0</v>
      </c>
      <c r="AY1745" s="150">
        <v>0</v>
      </c>
      <c r="AZ1745" s="150">
        <f t="shared" si="1511"/>
        <v>0</v>
      </c>
      <c r="BA1745" s="150">
        <v>0</v>
      </c>
      <c r="BB1745" s="210"/>
      <c r="BC1745" s="210"/>
      <c r="BD1745" s="210"/>
      <c r="BE1745" s="210"/>
      <c r="BF1745" s="210"/>
      <c r="BG1745" s="210"/>
      <c r="BH1745" s="217"/>
      <c r="BI1745" s="210"/>
      <c r="BJ1745" s="210"/>
      <c r="BK1745" s="210"/>
      <c r="BL1745" s="210"/>
      <c r="BM1745" s="208"/>
      <c r="BN1745" s="160"/>
      <c r="BO1745" s="161"/>
      <c r="BP1745" s="161"/>
    </row>
    <row r="1746" spans="1:68" ht="38.25">
      <c r="A1746" s="210"/>
      <c r="B1746" s="195" t="s">
        <v>9210</v>
      </c>
      <c r="C1746" s="196" t="s">
        <v>9211</v>
      </c>
      <c r="D1746" s="146" t="s">
        <v>4692</v>
      </c>
      <c r="E1746" s="196" t="s">
        <v>9211</v>
      </c>
      <c r="F1746" s="150">
        <v>15.3</v>
      </c>
      <c r="G1746" s="209">
        <v>0</v>
      </c>
      <c r="H1746" s="209">
        <v>0</v>
      </c>
      <c r="I1746" s="209">
        <v>0</v>
      </c>
      <c r="J1746" s="150">
        <v>1.58</v>
      </c>
      <c r="K1746" s="150">
        <v>0</v>
      </c>
      <c r="L1746" s="150">
        <f t="shared" si="1510"/>
        <v>1.58</v>
      </c>
      <c r="M1746" s="150">
        <v>4</v>
      </c>
      <c r="N1746" s="150">
        <v>0</v>
      </c>
      <c r="O1746" s="150">
        <v>4</v>
      </c>
      <c r="P1746" s="150">
        <v>5.6</v>
      </c>
      <c r="Q1746" s="150">
        <v>0</v>
      </c>
      <c r="R1746" s="313">
        <f t="shared" si="1505"/>
        <v>5.6</v>
      </c>
      <c r="S1746" s="150">
        <f t="shared" si="1491"/>
        <v>7.4666666666666668</v>
      </c>
      <c r="T1746" s="150">
        <v>10.79</v>
      </c>
      <c r="U1746" s="150">
        <v>10.79</v>
      </c>
      <c r="V1746" s="199">
        <v>0</v>
      </c>
      <c r="W1746" s="150">
        <f t="shared" si="1506"/>
        <v>10.79</v>
      </c>
      <c r="X1746" s="150">
        <v>10.79</v>
      </c>
      <c r="Y1746" s="150">
        <v>0</v>
      </c>
      <c r="Z1746" s="150">
        <v>10.79</v>
      </c>
      <c r="AA1746" s="150">
        <f t="shared" si="1487"/>
        <v>0</v>
      </c>
      <c r="AB1746" s="150">
        <v>10.79</v>
      </c>
      <c r="AC1746" s="199">
        <v>0</v>
      </c>
      <c r="AD1746" s="150">
        <f t="shared" si="1507"/>
        <v>10.79</v>
      </c>
      <c r="AE1746" s="150">
        <v>10.79</v>
      </c>
      <c r="AF1746" s="169" t="s">
        <v>4680</v>
      </c>
      <c r="AG1746" s="201">
        <v>10.79</v>
      </c>
      <c r="AH1746" s="199">
        <v>0</v>
      </c>
      <c r="AI1746" s="150">
        <v>10.79</v>
      </c>
      <c r="AJ1746" s="169">
        <f t="shared" si="1488"/>
        <v>0</v>
      </c>
      <c r="AK1746" s="201">
        <v>10.79</v>
      </c>
      <c r="AL1746" s="199">
        <v>0</v>
      </c>
      <c r="AM1746" s="150">
        <f t="shared" si="1508"/>
        <v>10.79</v>
      </c>
      <c r="AN1746" s="153">
        <f t="shared" si="1489"/>
        <v>0</v>
      </c>
      <c r="AO1746" s="154">
        <f t="shared" si="1490"/>
        <v>0</v>
      </c>
      <c r="AP1746" s="150">
        <v>10.79</v>
      </c>
      <c r="AQ1746" s="201">
        <v>10.79</v>
      </c>
      <c r="AR1746" s="199">
        <v>0</v>
      </c>
      <c r="AS1746" s="150">
        <f t="shared" si="1509"/>
        <v>10.79</v>
      </c>
      <c r="AT1746" s="155"/>
      <c r="AU1746" s="156">
        <f t="shared" si="1485"/>
        <v>0</v>
      </c>
      <c r="AV1746" s="156">
        <f t="shared" si="1486"/>
        <v>0</v>
      </c>
      <c r="AW1746" s="157"/>
      <c r="AX1746" s="150">
        <v>10.79</v>
      </c>
      <c r="AY1746" s="150">
        <v>4</v>
      </c>
      <c r="AZ1746" s="150">
        <f t="shared" si="1511"/>
        <v>4</v>
      </c>
      <c r="BA1746" s="150">
        <v>8</v>
      </c>
      <c r="BB1746" s="210"/>
      <c r="BC1746" s="210"/>
      <c r="BD1746" s="210"/>
      <c r="BE1746" s="210"/>
      <c r="BF1746" s="210"/>
      <c r="BG1746" s="210"/>
      <c r="BH1746" s="217"/>
      <c r="BI1746" s="210"/>
      <c r="BJ1746" s="210"/>
      <c r="BK1746" s="210"/>
      <c r="BL1746" s="210"/>
      <c r="BM1746" s="208"/>
      <c r="BN1746" s="160"/>
      <c r="BO1746" s="161"/>
      <c r="BP1746" s="161"/>
    </row>
    <row r="1747" spans="1:68" ht="51">
      <c r="A1747" s="206" t="s">
        <v>595</v>
      </c>
      <c r="B1747" s="195" t="s">
        <v>9212</v>
      </c>
      <c r="C1747" s="196" t="s">
        <v>9213</v>
      </c>
      <c r="D1747" s="146" t="s">
        <v>4692</v>
      </c>
      <c r="E1747" s="196" t="s">
        <v>9213</v>
      </c>
      <c r="F1747" s="150">
        <v>0</v>
      </c>
      <c r="G1747" s="209">
        <v>0</v>
      </c>
      <c r="H1747" s="209">
        <v>0</v>
      </c>
      <c r="I1747" s="209">
        <v>0</v>
      </c>
      <c r="J1747" s="150">
        <v>0</v>
      </c>
      <c r="K1747" s="150">
        <v>0</v>
      </c>
      <c r="L1747" s="150">
        <f t="shared" si="1510"/>
        <v>0</v>
      </c>
      <c r="M1747" s="150">
        <v>0</v>
      </c>
      <c r="N1747" s="150">
        <v>0</v>
      </c>
      <c r="O1747" s="150">
        <v>0</v>
      </c>
      <c r="P1747" s="150">
        <v>0</v>
      </c>
      <c r="Q1747" s="150">
        <v>0</v>
      </c>
      <c r="R1747" s="313">
        <f t="shared" si="1505"/>
        <v>0</v>
      </c>
      <c r="S1747" s="150">
        <f t="shared" si="1491"/>
        <v>0</v>
      </c>
      <c r="T1747" s="150">
        <v>0</v>
      </c>
      <c r="U1747" s="150">
        <v>0</v>
      </c>
      <c r="V1747" s="199">
        <v>0</v>
      </c>
      <c r="W1747" s="150">
        <f t="shared" si="1506"/>
        <v>0</v>
      </c>
      <c r="X1747" s="150">
        <v>0</v>
      </c>
      <c r="Y1747" s="150">
        <v>0</v>
      </c>
      <c r="Z1747" s="150">
        <v>0</v>
      </c>
      <c r="AA1747" s="150">
        <f t="shared" si="1487"/>
        <v>0</v>
      </c>
      <c r="AB1747" s="150">
        <v>0</v>
      </c>
      <c r="AC1747" s="199">
        <v>0</v>
      </c>
      <c r="AD1747" s="150">
        <f t="shared" si="1507"/>
        <v>0</v>
      </c>
      <c r="AE1747" s="150">
        <v>0</v>
      </c>
      <c r="AF1747" s="169" t="s">
        <v>4680</v>
      </c>
      <c r="AG1747" s="201">
        <v>0</v>
      </c>
      <c r="AH1747" s="199">
        <v>0</v>
      </c>
      <c r="AI1747" s="150">
        <v>0</v>
      </c>
      <c r="AJ1747" s="169">
        <f t="shared" si="1488"/>
        <v>0</v>
      </c>
      <c r="AK1747" s="201">
        <v>0</v>
      </c>
      <c r="AL1747" s="199">
        <v>0</v>
      </c>
      <c r="AM1747" s="150">
        <f t="shared" si="1508"/>
        <v>0</v>
      </c>
      <c r="AN1747" s="153">
        <f t="shared" si="1489"/>
        <v>0</v>
      </c>
      <c r="AO1747" s="154">
        <f t="shared" si="1490"/>
        <v>0</v>
      </c>
      <c r="AP1747" s="150">
        <v>0</v>
      </c>
      <c r="AQ1747" s="201">
        <v>0</v>
      </c>
      <c r="AR1747" s="199">
        <v>0</v>
      </c>
      <c r="AS1747" s="150">
        <f t="shared" si="1509"/>
        <v>0</v>
      </c>
      <c r="AT1747" s="155"/>
      <c r="AU1747" s="156">
        <f t="shared" si="1485"/>
        <v>0</v>
      </c>
      <c r="AV1747" s="156">
        <f t="shared" si="1486"/>
        <v>0</v>
      </c>
      <c r="AW1747" s="157"/>
      <c r="AX1747" s="150">
        <v>0</v>
      </c>
      <c r="AY1747" s="150">
        <v>0</v>
      </c>
      <c r="AZ1747" s="150">
        <f t="shared" si="1511"/>
        <v>0</v>
      </c>
      <c r="BA1747" s="150">
        <v>0</v>
      </c>
      <c r="BB1747" s="202">
        <v>5</v>
      </c>
      <c r="BC1747" s="202" t="s">
        <v>755</v>
      </c>
      <c r="BD1747" s="202" t="s">
        <v>647</v>
      </c>
      <c r="BE1747" s="202" t="s">
        <v>632</v>
      </c>
      <c r="BF1747" s="202" t="s">
        <v>739</v>
      </c>
      <c r="BG1747" s="231" t="s">
        <v>9214</v>
      </c>
      <c r="BH1747" s="216">
        <f>AS1747</f>
        <v>0</v>
      </c>
      <c r="BI1747" s="205"/>
      <c r="BJ1747" s="206" t="s">
        <v>9187</v>
      </c>
      <c r="BK1747" s="206" t="s">
        <v>595</v>
      </c>
      <c r="BL1747" s="207" t="s">
        <v>9188</v>
      </c>
      <c r="BM1747" s="208">
        <f>BH1747</f>
        <v>0</v>
      </c>
      <c r="BN1747" s="160"/>
      <c r="BO1747" s="161">
        <f t="shared" si="1498"/>
        <v>0</v>
      </c>
      <c r="BP1747" s="161"/>
    </row>
    <row r="1748" spans="1:68" ht="51">
      <c r="A1748" s="206" t="s">
        <v>595</v>
      </c>
      <c r="B1748" s="195" t="s">
        <v>9215</v>
      </c>
      <c r="C1748" s="196" t="s">
        <v>9216</v>
      </c>
      <c r="D1748" s="146" t="s">
        <v>4692</v>
      </c>
      <c r="E1748" s="196" t="s">
        <v>9216</v>
      </c>
      <c r="F1748" s="150">
        <v>0</v>
      </c>
      <c r="G1748" s="209">
        <v>0</v>
      </c>
      <c r="H1748" s="209">
        <v>0</v>
      </c>
      <c r="I1748" s="209">
        <v>0</v>
      </c>
      <c r="J1748" s="150">
        <v>0</v>
      </c>
      <c r="K1748" s="150">
        <v>0</v>
      </c>
      <c r="L1748" s="150">
        <f t="shared" si="1510"/>
        <v>0</v>
      </c>
      <c r="M1748" s="150">
        <v>0</v>
      </c>
      <c r="N1748" s="150">
        <v>0</v>
      </c>
      <c r="O1748" s="150">
        <v>0</v>
      </c>
      <c r="P1748" s="150">
        <v>0</v>
      </c>
      <c r="Q1748" s="150">
        <v>0</v>
      </c>
      <c r="R1748" s="313">
        <f t="shared" si="1505"/>
        <v>0</v>
      </c>
      <c r="S1748" s="150">
        <f t="shared" si="1491"/>
        <v>0</v>
      </c>
      <c r="T1748" s="150">
        <v>0</v>
      </c>
      <c r="U1748" s="150">
        <v>0</v>
      </c>
      <c r="V1748" s="199">
        <v>0</v>
      </c>
      <c r="W1748" s="150">
        <f t="shared" si="1506"/>
        <v>0</v>
      </c>
      <c r="X1748" s="150">
        <v>0</v>
      </c>
      <c r="Y1748" s="150">
        <v>0</v>
      </c>
      <c r="Z1748" s="150">
        <v>0</v>
      </c>
      <c r="AA1748" s="150">
        <f t="shared" si="1487"/>
        <v>0</v>
      </c>
      <c r="AB1748" s="150">
        <v>0</v>
      </c>
      <c r="AC1748" s="199">
        <v>0</v>
      </c>
      <c r="AD1748" s="150">
        <f t="shared" si="1507"/>
        <v>0</v>
      </c>
      <c r="AE1748" s="150">
        <v>0</v>
      </c>
      <c r="AF1748" s="169" t="s">
        <v>4680</v>
      </c>
      <c r="AG1748" s="201">
        <v>0</v>
      </c>
      <c r="AH1748" s="199">
        <v>0</v>
      </c>
      <c r="AI1748" s="150">
        <v>0</v>
      </c>
      <c r="AJ1748" s="169">
        <f t="shared" si="1488"/>
        <v>0</v>
      </c>
      <c r="AK1748" s="201">
        <v>0</v>
      </c>
      <c r="AL1748" s="199">
        <v>0</v>
      </c>
      <c r="AM1748" s="150">
        <f t="shared" si="1508"/>
        <v>0</v>
      </c>
      <c r="AN1748" s="153">
        <f t="shared" si="1489"/>
        <v>0</v>
      </c>
      <c r="AO1748" s="154">
        <f t="shared" si="1490"/>
        <v>0</v>
      </c>
      <c r="AP1748" s="150">
        <v>0</v>
      </c>
      <c r="AQ1748" s="201">
        <v>0</v>
      </c>
      <c r="AR1748" s="199">
        <v>0</v>
      </c>
      <c r="AS1748" s="150">
        <f t="shared" si="1509"/>
        <v>0</v>
      </c>
      <c r="AT1748" s="155"/>
      <c r="AU1748" s="156">
        <f t="shared" si="1485"/>
        <v>0</v>
      </c>
      <c r="AV1748" s="156">
        <f t="shared" si="1486"/>
        <v>0</v>
      </c>
      <c r="AW1748" s="157"/>
      <c r="AX1748" s="150">
        <v>0</v>
      </c>
      <c r="AY1748" s="150">
        <v>0</v>
      </c>
      <c r="AZ1748" s="150">
        <f t="shared" si="1511"/>
        <v>0</v>
      </c>
      <c r="BA1748" s="150">
        <v>0</v>
      </c>
      <c r="BB1748" s="202">
        <v>5</v>
      </c>
      <c r="BC1748" s="202" t="s">
        <v>755</v>
      </c>
      <c r="BD1748" s="202" t="s">
        <v>647</v>
      </c>
      <c r="BE1748" s="194" t="s">
        <v>632</v>
      </c>
      <c r="BF1748" s="202" t="s">
        <v>755</v>
      </c>
      <c r="BG1748" s="231" t="s">
        <v>9217</v>
      </c>
      <c r="BH1748" s="216">
        <f>AS1748</f>
        <v>0</v>
      </c>
      <c r="BI1748" s="205"/>
      <c r="BJ1748" s="206" t="s">
        <v>9187</v>
      </c>
      <c r="BK1748" s="206" t="s">
        <v>595</v>
      </c>
      <c r="BL1748" s="207" t="s">
        <v>9188</v>
      </c>
      <c r="BM1748" s="208">
        <f>BH1748</f>
        <v>0</v>
      </c>
      <c r="BN1748" s="160"/>
      <c r="BO1748" s="161">
        <f t="shared" si="1498"/>
        <v>0</v>
      </c>
      <c r="BP1748" s="161"/>
    </row>
    <row r="1749" spans="1:68" ht="63.75">
      <c r="A1749" s="206" t="s">
        <v>595</v>
      </c>
      <c r="B1749" s="195" t="s">
        <v>9218</v>
      </c>
      <c r="C1749" s="196" t="s">
        <v>9219</v>
      </c>
      <c r="D1749" s="146" t="s">
        <v>4692</v>
      </c>
      <c r="E1749" s="196" t="s">
        <v>9219</v>
      </c>
      <c r="F1749" s="150">
        <v>0</v>
      </c>
      <c r="G1749" s="209">
        <v>0</v>
      </c>
      <c r="H1749" s="209">
        <v>0</v>
      </c>
      <c r="I1749" s="209">
        <v>0</v>
      </c>
      <c r="J1749" s="150">
        <v>0</v>
      </c>
      <c r="K1749" s="150">
        <v>0</v>
      </c>
      <c r="L1749" s="150">
        <f t="shared" si="1510"/>
        <v>0</v>
      </c>
      <c r="M1749" s="150">
        <v>0</v>
      </c>
      <c r="N1749" s="150">
        <v>0</v>
      </c>
      <c r="O1749" s="150">
        <v>0</v>
      </c>
      <c r="P1749" s="150">
        <v>0</v>
      </c>
      <c r="Q1749" s="150">
        <v>0</v>
      </c>
      <c r="R1749" s="313">
        <f t="shared" si="1505"/>
        <v>0</v>
      </c>
      <c r="S1749" s="150">
        <f t="shared" si="1491"/>
        <v>0</v>
      </c>
      <c r="T1749" s="150">
        <v>0</v>
      </c>
      <c r="U1749" s="150">
        <v>0</v>
      </c>
      <c r="V1749" s="199">
        <v>0</v>
      </c>
      <c r="W1749" s="150">
        <f t="shared" si="1506"/>
        <v>0</v>
      </c>
      <c r="X1749" s="150">
        <v>0</v>
      </c>
      <c r="Y1749" s="150">
        <v>0</v>
      </c>
      <c r="Z1749" s="150">
        <v>0</v>
      </c>
      <c r="AA1749" s="150">
        <f t="shared" si="1487"/>
        <v>0</v>
      </c>
      <c r="AB1749" s="150">
        <v>0</v>
      </c>
      <c r="AC1749" s="199">
        <v>0</v>
      </c>
      <c r="AD1749" s="150">
        <f t="shared" si="1507"/>
        <v>0</v>
      </c>
      <c r="AE1749" s="150">
        <v>0</v>
      </c>
      <c r="AF1749" s="169" t="s">
        <v>4680</v>
      </c>
      <c r="AG1749" s="201">
        <v>0</v>
      </c>
      <c r="AH1749" s="199">
        <v>0</v>
      </c>
      <c r="AI1749" s="150">
        <v>0</v>
      </c>
      <c r="AJ1749" s="169">
        <f t="shared" si="1488"/>
        <v>0</v>
      </c>
      <c r="AK1749" s="201">
        <v>0</v>
      </c>
      <c r="AL1749" s="199">
        <v>0</v>
      </c>
      <c r="AM1749" s="150">
        <f t="shared" si="1508"/>
        <v>0</v>
      </c>
      <c r="AN1749" s="153">
        <f t="shared" si="1489"/>
        <v>0</v>
      </c>
      <c r="AO1749" s="154">
        <f t="shared" si="1490"/>
        <v>0</v>
      </c>
      <c r="AP1749" s="150">
        <v>0</v>
      </c>
      <c r="AQ1749" s="201">
        <v>0</v>
      </c>
      <c r="AR1749" s="199">
        <v>0</v>
      </c>
      <c r="AS1749" s="150">
        <f t="shared" si="1509"/>
        <v>0</v>
      </c>
      <c r="AT1749" s="155"/>
      <c r="AU1749" s="156">
        <f t="shared" si="1485"/>
        <v>0</v>
      </c>
      <c r="AV1749" s="156">
        <f t="shared" si="1486"/>
        <v>0</v>
      </c>
      <c r="AW1749" s="157"/>
      <c r="AX1749" s="150">
        <v>0</v>
      </c>
      <c r="AY1749" s="150">
        <v>0</v>
      </c>
      <c r="AZ1749" s="150">
        <f t="shared" si="1511"/>
        <v>0</v>
      </c>
      <c r="BA1749" s="150">
        <v>0</v>
      </c>
      <c r="BB1749" s="202">
        <v>5</v>
      </c>
      <c r="BC1749" s="202" t="s">
        <v>755</v>
      </c>
      <c r="BD1749" s="202" t="s">
        <v>647</v>
      </c>
      <c r="BE1749" s="194" t="s">
        <v>632</v>
      </c>
      <c r="BF1749" s="202" t="s">
        <v>766</v>
      </c>
      <c r="BG1749" s="231" t="s">
        <v>9220</v>
      </c>
      <c r="BH1749" s="216">
        <f>AS1749</f>
        <v>0</v>
      </c>
      <c r="BI1749" s="205"/>
      <c r="BJ1749" s="206" t="s">
        <v>9187</v>
      </c>
      <c r="BK1749" s="206" t="s">
        <v>595</v>
      </c>
      <c r="BL1749" s="207" t="s">
        <v>9188</v>
      </c>
      <c r="BM1749" s="208">
        <f>BH1749</f>
        <v>0</v>
      </c>
      <c r="BN1749" s="160"/>
      <c r="BO1749" s="161">
        <f t="shared" si="1498"/>
        <v>0</v>
      </c>
      <c r="BP1749" s="161"/>
    </row>
    <row r="1750" spans="1:68" ht="51">
      <c r="A1750" s="206" t="s">
        <v>595</v>
      </c>
      <c r="B1750" s="195" t="s">
        <v>9221</v>
      </c>
      <c r="C1750" s="196" t="s">
        <v>9222</v>
      </c>
      <c r="D1750" s="146" t="s">
        <v>4692</v>
      </c>
      <c r="E1750" s="196" t="s">
        <v>9222</v>
      </c>
      <c r="F1750" s="150">
        <v>0</v>
      </c>
      <c r="G1750" s="209">
        <v>0</v>
      </c>
      <c r="H1750" s="209">
        <v>0</v>
      </c>
      <c r="I1750" s="209">
        <v>0</v>
      </c>
      <c r="J1750" s="150">
        <v>0</v>
      </c>
      <c r="K1750" s="150">
        <v>0</v>
      </c>
      <c r="L1750" s="150">
        <f t="shared" si="1510"/>
        <v>0</v>
      </c>
      <c r="M1750" s="150">
        <v>0</v>
      </c>
      <c r="N1750" s="150">
        <v>0</v>
      </c>
      <c r="O1750" s="150">
        <v>0</v>
      </c>
      <c r="P1750" s="150">
        <v>0</v>
      </c>
      <c r="Q1750" s="150">
        <v>0</v>
      </c>
      <c r="R1750" s="313">
        <f t="shared" si="1505"/>
        <v>0</v>
      </c>
      <c r="S1750" s="150">
        <f t="shared" si="1491"/>
        <v>0</v>
      </c>
      <c r="T1750" s="150">
        <v>0</v>
      </c>
      <c r="U1750" s="150">
        <v>0</v>
      </c>
      <c r="V1750" s="199">
        <v>0</v>
      </c>
      <c r="W1750" s="150">
        <f t="shared" si="1506"/>
        <v>0</v>
      </c>
      <c r="X1750" s="150">
        <v>0</v>
      </c>
      <c r="Y1750" s="150">
        <v>0</v>
      </c>
      <c r="Z1750" s="150">
        <v>0</v>
      </c>
      <c r="AA1750" s="150">
        <f t="shared" si="1487"/>
        <v>0</v>
      </c>
      <c r="AB1750" s="150">
        <v>0</v>
      </c>
      <c r="AC1750" s="199">
        <v>0</v>
      </c>
      <c r="AD1750" s="150">
        <f t="shared" si="1507"/>
        <v>0</v>
      </c>
      <c r="AE1750" s="150">
        <v>0</v>
      </c>
      <c r="AF1750" s="169" t="s">
        <v>4680</v>
      </c>
      <c r="AG1750" s="201">
        <v>0</v>
      </c>
      <c r="AH1750" s="199">
        <v>0</v>
      </c>
      <c r="AI1750" s="150">
        <v>0</v>
      </c>
      <c r="AJ1750" s="169">
        <f t="shared" si="1488"/>
        <v>0</v>
      </c>
      <c r="AK1750" s="201">
        <v>0</v>
      </c>
      <c r="AL1750" s="199">
        <v>0</v>
      </c>
      <c r="AM1750" s="150">
        <f t="shared" si="1508"/>
        <v>0</v>
      </c>
      <c r="AN1750" s="153">
        <f t="shared" si="1489"/>
        <v>0</v>
      </c>
      <c r="AO1750" s="154">
        <f t="shared" si="1490"/>
        <v>0</v>
      </c>
      <c r="AP1750" s="150">
        <v>0</v>
      </c>
      <c r="AQ1750" s="201">
        <v>0</v>
      </c>
      <c r="AR1750" s="199">
        <v>0</v>
      </c>
      <c r="AS1750" s="150">
        <f t="shared" si="1509"/>
        <v>0</v>
      </c>
      <c r="AT1750" s="155"/>
      <c r="AU1750" s="156">
        <f t="shared" si="1485"/>
        <v>0</v>
      </c>
      <c r="AV1750" s="156">
        <f t="shared" si="1486"/>
        <v>0</v>
      </c>
      <c r="AW1750" s="157"/>
      <c r="AX1750" s="150">
        <v>0</v>
      </c>
      <c r="AY1750" s="150">
        <v>0</v>
      </c>
      <c r="AZ1750" s="150">
        <f t="shared" si="1511"/>
        <v>0</v>
      </c>
      <c r="BA1750" s="150">
        <v>0</v>
      </c>
      <c r="BB1750" s="202">
        <v>5</v>
      </c>
      <c r="BC1750" s="202" t="s">
        <v>755</v>
      </c>
      <c r="BD1750" s="202" t="s">
        <v>647</v>
      </c>
      <c r="BE1750" s="202" t="s">
        <v>632</v>
      </c>
      <c r="BF1750" s="202" t="s">
        <v>779</v>
      </c>
      <c r="BG1750" s="231" t="s">
        <v>9223</v>
      </c>
      <c r="BH1750" s="216">
        <f>SUM(AS1750:AS1760)</f>
        <v>892.44999999999993</v>
      </c>
      <c r="BI1750" s="205"/>
      <c r="BJ1750" s="206" t="s">
        <v>9187</v>
      </c>
      <c r="BK1750" s="206" t="s">
        <v>595</v>
      </c>
      <c r="BL1750" s="207" t="s">
        <v>9188</v>
      </c>
      <c r="BM1750" s="208">
        <f>BH1750</f>
        <v>892.44999999999993</v>
      </c>
      <c r="BN1750" s="160"/>
      <c r="BO1750" s="161"/>
      <c r="BP1750" s="161"/>
    </row>
    <row r="1751" spans="1:68" ht="38.25">
      <c r="A1751" s="210"/>
      <c r="B1751" s="195" t="s">
        <v>9224</v>
      </c>
      <c r="C1751" s="196" t="s">
        <v>9225</v>
      </c>
      <c r="D1751" s="146" t="s">
        <v>4692</v>
      </c>
      <c r="E1751" s="196" t="s">
        <v>9225</v>
      </c>
      <c r="F1751" s="150">
        <v>0</v>
      </c>
      <c r="G1751" s="209">
        <v>0</v>
      </c>
      <c r="H1751" s="209">
        <v>0</v>
      </c>
      <c r="I1751" s="209">
        <v>0</v>
      </c>
      <c r="J1751" s="150">
        <v>0</v>
      </c>
      <c r="K1751" s="150">
        <v>0</v>
      </c>
      <c r="L1751" s="150">
        <f t="shared" si="1510"/>
        <v>0</v>
      </c>
      <c r="M1751" s="150">
        <v>0</v>
      </c>
      <c r="N1751" s="150">
        <v>0</v>
      </c>
      <c r="O1751" s="150">
        <v>0</v>
      </c>
      <c r="P1751" s="150">
        <v>0</v>
      </c>
      <c r="Q1751" s="150">
        <v>0</v>
      </c>
      <c r="R1751" s="313">
        <f t="shared" si="1505"/>
        <v>0</v>
      </c>
      <c r="S1751" s="150">
        <f t="shared" si="1491"/>
        <v>0</v>
      </c>
      <c r="T1751" s="150">
        <v>0</v>
      </c>
      <c r="U1751" s="150">
        <v>0</v>
      </c>
      <c r="V1751" s="199">
        <v>0</v>
      </c>
      <c r="W1751" s="150">
        <f t="shared" si="1506"/>
        <v>0</v>
      </c>
      <c r="X1751" s="150">
        <v>0</v>
      </c>
      <c r="Y1751" s="150">
        <v>0</v>
      </c>
      <c r="Z1751" s="150">
        <v>0</v>
      </c>
      <c r="AA1751" s="150">
        <f t="shared" si="1487"/>
        <v>0</v>
      </c>
      <c r="AB1751" s="150">
        <v>0</v>
      </c>
      <c r="AC1751" s="199">
        <v>0</v>
      </c>
      <c r="AD1751" s="150">
        <f t="shared" si="1507"/>
        <v>0</v>
      </c>
      <c r="AE1751" s="150">
        <v>0</v>
      </c>
      <c r="AF1751" s="169" t="s">
        <v>4680</v>
      </c>
      <c r="AG1751" s="201">
        <v>0</v>
      </c>
      <c r="AH1751" s="199">
        <v>0</v>
      </c>
      <c r="AI1751" s="150">
        <v>0</v>
      </c>
      <c r="AJ1751" s="169">
        <f t="shared" si="1488"/>
        <v>0</v>
      </c>
      <c r="AK1751" s="201">
        <v>0</v>
      </c>
      <c r="AL1751" s="199">
        <v>0</v>
      </c>
      <c r="AM1751" s="150">
        <f t="shared" si="1508"/>
        <v>0</v>
      </c>
      <c r="AN1751" s="153">
        <f t="shared" si="1489"/>
        <v>0</v>
      </c>
      <c r="AO1751" s="154">
        <f t="shared" si="1490"/>
        <v>0</v>
      </c>
      <c r="AP1751" s="150">
        <v>0</v>
      </c>
      <c r="AQ1751" s="201">
        <v>0</v>
      </c>
      <c r="AR1751" s="199">
        <v>0</v>
      </c>
      <c r="AS1751" s="150">
        <f t="shared" si="1509"/>
        <v>0</v>
      </c>
      <c r="AT1751" s="155"/>
      <c r="AU1751" s="156">
        <f t="shared" si="1485"/>
        <v>0</v>
      </c>
      <c r="AV1751" s="156">
        <f t="shared" si="1486"/>
        <v>0</v>
      </c>
      <c r="AW1751" s="157"/>
      <c r="AX1751" s="150">
        <v>0</v>
      </c>
      <c r="AY1751" s="150">
        <v>0</v>
      </c>
      <c r="AZ1751" s="150">
        <f t="shared" si="1511"/>
        <v>0</v>
      </c>
      <c r="BA1751" s="150">
        <v>0</v>
      </c>
      <c r="BB1751" s="210"/>
      <c r="BC1751" s="210"/>
      <c r="BD1751" s="210"/>
      <c r="BE1751" s="210"/>
      <c r="BF1751" s="210"/>
      <c r="BG1751" s="210"/>
      <c r="BH1751" s="217"/>
      <c r="BI1751" s="210"/>
      <c r="BJ1751" s="210"/>
      <c r="BK1751" s="210"/>
      <c r="BL1751" s="210"/>
      <c r="BM1751" s="208"/>
      <c r="BN1751" s="160"/>
      <c r="BO1751" s="161"/>
      <c r="BP1751" s="161"/>
    </row>
    <row r="1752" spans="1:68" ht="51">
      <c r="A1752" s="210"/>
      <c r="B1752" s="195" t="s">
        <v>9226</v>
      </c>
      <c r="C1752" s="196" t="s">
        <v>9227</v>
      </c>
      <c r="D1752" s="146" t="s">
        <v>4692</v>
      </c>
      <c r="E1752" s="196" t="s">
        <v>9227</v>
      </c>
      <c r="F1752" s="150">
        <v>0</v>
      </c>
      <c r="G1752" s="209">
        <v>0</v>
      </c>
      <c r="H1752" s="209">
        <v>0</v>
      </c>
      <c r="I1752" s="209">
        <v>0</v>
      </c>
      <c r="J1752" s="150">
        <v>0</v>
      </c>
      <c r="K1752" s="150">
        <v>0</v>
      </c>
      <c r="L1752" s="150">
        <f t="shared" si="1510"/>
        <v>0</v>
      </c>
      <c r="M1752" s="150">
        <v>0</v>
      </c>
      <c r="N1752" s="150">
        <v>0</v>
      </c>
      <c r="O1752" s="150">
        <v>0</v>
      </c>
      <c r="P1752" s="150">
        <v>0</v>
      </c>
      <c r="Q1752" s="150">
        <v>0</v>
      </c>
      <c r="R1752" s="313">
        <f t="shared" si="1505"/>
        <v>0</v>
      </c>
      <c r="S1752" s="150">
        <f t="shared" si="1491"/>
        <v>0</v>
      </c>
      <c r="T1752" s="150">
        <v>0</v>
      </c>
      <c r="U1752" s="150">
        <v>0</v>
      </c>
      <c r="V1752" s="199">
        <v>0</v>
      </c>
      <c r="W1752" s="150">
        <f t="shared" si="1506"/>
        <v>0</v>
      </c>
      <c r="X1752" s="150">
        <v>0</v>
      </c>
      <c r="Y1752" s="150">
        <v>0</v>
      </c>
      <c r="Z1752" s="150">
        <v>0</v>
      </c>
      <c r="AA1752" s="150">
        <f t="shared" si="1487"/>
        <v>0</v>
      </c>
      <c r="AB1752" s="150">
        <v>0</v>
      </c>
      <c r="AC1752" s="199">
        <v>0</v>
      </c>
      <c r="AD1752" s="150">
        <f t="shared" si="1507"/>
        <v>0</v>
      </c>
      <c r="AE1752" s="150">
        <v>0</v>
      </c>
      <c r="AF1752" s="169" t="s">
        <v>4680</v>
      </c>
      <c r="AG1752" s="201">
        <v>0</v>
      </c>
      <c r="AH1752" s="199">
        <v>0</v>
      </c>
      <c r="AI1752" s="150">
        <v>0</v>
      </c>
      <c r="AJ1752" s="169">
        <f t="shared" si="1488"/>
        <v>0</v>
      </c>
      <c r="AK1752" s="201">
        <v>0</v>
      </c>
      <c r="AL1752" s="199">
        <v>0</v>
      </c>
      <c r="AM1752" s="150">
        <f t="shared" si="1508"/>
        <v>0</v>
      </c>
      <c r="AN1752" s="153">
        <f t="shared" si="1489"/>
        <v>0</v>
      </c>
      <c r="AO1752" s="154">
        <f t="shared" si="1490"/>
        <v>0</v>
      </c>
      <c r="AP1752" s="150">
        <v>0</v>
      </c>
      <c r="AQ1752" s="201">
        <v>0</v>
      </c>
      <c r="AR1752" s="199">
        <v>0</v>
      </c>
      <c r="AS1752" s="150">
        <f t="shared" si="1509"/>
        <v>0</v>
      </c>
      <c r="AT1752" s="155"/>
      <c r="AU1752" s="156">
        <f t="shared" si="1485"/>
        <v>0</v>
      </c>
      <c r="AV1752" s="156">
        <f t="shared" si="1486"/>
        <v>0</v>
      </c>
      <c r="AW1752" s="157"/>
      <c r="AX1752" s="150">
        <v>0</v>
      </c>
      <c r="AY1752" s="150">
        <v>0</v>
      </c>
      <c r="AZ1752" s="150">
        <f t="shared" si="1511"/>
        <v>0</v>
      </c>
      <c r="BA1752" s="150">
        <v>0</v>
      </c>
      <c r="BB1752" s="210"/>
      <c r="BC1752" s="210"/>
      <c r="BD1752" s="210"/>
      <c r="BE1752" s="210"/>
      <c r="BF1752" s="210"/>
      <c r="BG1752" s="210"/>
      <c r="BH1752" s="217"/>
      <c r="BI1752" s="210"/>
      <c r="BJ1752" s="210"/>
      <c r="BK1752" s="210"/>
      <c r="BL1752" s="210"/>
      <c r="BM1752" s="208"/>
      <c r="BN1752" s="160"/>
      <c r="BO1752" s="161"/>
      <c r="BP1752" s="161"/>
    </row>
    <row r="1753" spans="1:68" ht="38.25">
      <c r="A1753" s="210"/>
      <c r="B1753" s="195" t="s">
        <v>9228</v>
      </c>
      <c r="C1753" s="196" t="s">
        <v>9229</v>
      </c>
      <c r="D1753" s="146" t="s">
        <v>4692</v>
      </c>
      <c r="E1753" s="196" t="s">
        <v>9229</v>
      </c>
      <c r="F1753" s="150">
        <v>0</v>
      </c>
      <c r="G1753" s="209">
        <v>1476.05</v>
      </c>
      <c r="H1753" s="209">
        <v>0</v>
      </c>
      <c r="I1753" s="209">
        <v>1476.05</v>
      </c>
      <c r="J1753" s="150">
        <v>0</v>
      </c>
      <c r="K1753" s="150">
        <v>0</v>
      </c>
      <c r="L1753" s="150">
        <f t="shared" si="1510"/>
        <v>0</v>
      </c>
      <c r="M1753" s="150">
        <v>0</v>
      </c>
      <c r="N1753" s="150">
        <v>0</v>
      </c>
      <c r="O1753" s="150">
        <v>0</v>
      </c>
      <c r="P1753" s="150">
        <v>0</v>
      </c>
      <c r="Q1753" s="150">
        <v>0</v>
      </c>
      <c r="R1753" s="313">
        <f t="shared" si="1505"/>
        <v>0</v>
      </c>
      <c r="S1753" s="150">
        <f t="shared" si="1491"/>
        <v>0</v>
      </c>
      <c r="T1753" s="150">
        <v>0.03</v>
      </c>
      <c r="U1753" s="150">
        <v>0.03</v>
      </c>
      <c r="V1753" s="199">
        <v>0</v>
      </c>
      <c r="W1753" s="150">
        <f t="shared" si="1506"/>
        <v>0.03</v>
      </c>
      <c r="X1753" s="150">
        <v>0.03</v>
      </c>
      <c r="Y1753" s="150">
        <v>0</v>
      </c>
      <c r="Z1753" s="150">
        <v>0.03</v>
      </c>
      <c r="AA1753" s="150">
        <f t="shared" si="1487"/>
        <v>0</v>
      </c>
      <c r="AB1753" s="150">
        <v>0.03</v>
      </c>
      <c r="AC1753" s="199">
        <v>0</v>
      </c>
      <c r="AD1753" s="150">
        <f t="shared" si="1507"/>
        <v>0.03</v>
      </c>
      <c r="AE1753" s="150">
        <v>0.03</v>
      </c>
      <c r="AF1753" s="169" t="s">
        <v>4680</v>
      </c>
      <c r="AG1753" s="201">
        <v>0.03</v>
      </c>
      <c r="AH1753" s="199">
        <v>0</v>
      </c>
      <c r="AI1753" s="150">
        <v>0.03</v>
      </c>
      <c r="AJ1753" s="169">
        <f t="shared" si="1488"/>
        <v>0</v>
      </c>
      <c r="AK1753" s="201">
        <v>0.03</v>
      </c>
      <c r="AL1753" s="199">
        <v>0</v>
      </c>
      <c r="AM1753" s="150">
        <f t="shared" si="1508"/>
        <v>0.03</v>
      </c>
      <c r="AN1753" s="153">
        <f t="shared" si="1489"/>
        <v>0</v>
      </c>
      <c r="AO1753" s="154">
        <f t="shared" si="1490"/>
        <v>0</v>
      </c>
      <c r="AP1753" s="150">
        <v>0.03</v>
      </c>
      <c r="AQ1753" s="201">
        <v>0.03</v>
      </c>
      <c r="AR1753" s="199">
        <v>0</v>
      </c>
      <c r="AS1753" s="150">
        <f t="shared" si="1509"/>
        <v>0.03</v>
      </c>
      <c r="AT1753" s="155"/>
      <c r="AU1753" s="156">
        <f t="shared" si="1485"/>
        <v>0</v>
      </c>
      <c r="AV1753" s="156">
        <f t="shared" si="1486"/>
        <v>0</v>
      </c>
      <c r="AW1753" s="157"/>
      <c r="AX1753" s="150">
        <v>0.03</v>
      </c>
      <c r="AY1753" s="150">
        <v>0</v>
      </c>
      <c r="AZ1753" s="150">
        <f t="shared" si="1511"/>
        <v>0</v>
      </c>
      <c r="BA1753" s="150">
        <v>0</v>
      </c>
      <c r="BB1753" s="210"/>
      <c r="BC1753" s="210"/>
      <c r="BD1753" s="210"/>
      <c r="BE1753" s="210"/>
      <c r="BF1753" s="210"/>
      <c r="BG1753" s="210"/>
      <c r="BH1753" s="217"/>
      <c r="BI1753" s="210"/>
      <c r="BJ1753" s="210"/>
      <c r="BK1753" s="210"/>
      <c r="BL1753" s="210"/>
      <c r="BM1753" s="208"/>
      <c r="BN1753" s="160"/>
      <c r="BO1753" s="161"/>
      <c r="BP1753" s="161"/>
    </row>
    <row r="1754" spans="1:68" ht="51">
      <c r="A1754" s="210"/>
      <c r="B1754" s="195" t="s">
        <v>9230</v>
      </c>
      <c r="C1754" s="196" t="s">
        <v>9231</v>
      </c>
      <c r="D1754" s="146" t="s">
        <v>4692</v>
      </c>
      <c r="E1754" s="196" t="s">
        <v>9231</v>
      </c>
      <c r="F1754" s="150">
        <v>1476.05</v>
      </c>
      <c r="G1754" s="209">
        <v>0</v>
      </c>
      <c r="H1754" s="209">
        <v>0</v>
      </c>
      <c r="I1754" s="209">
        <v>0</v>
      </c>
      <c r="J1754" s="150">
        <v>261.83999999999997</v>
      </c>
      <c r="K1754" s="150">
        <v>0</v>
      </c>
      <c r="L1754" s="150">
        <f t="shared" si="1510"/>
        <v>261.83999999999997</v>
      </c>
      <c r="M1754" s="150">
        <v>523.67999999999995</v>
      </c>
      <c r="N1754" s="150">
        <v>0</v>
      </c>
      <c r="O1754" s="150">
        <v>523.67999999999995</v>
      </c>
      <c r="P1754" s="150">
        <v>554.66999999999996</v>
      </c>
      <c r="Q1754" s="150">
        <v>0</v>
      </c>
      <c r="R1754" s="313">
        <f t="shared" si="1505"/>
        <v>554.66999999999996</v>
      </c>
      <c r="S1754" s="150">
        <f t="shared" si="1491"/>
        <v>739.56</v>
      </c>
      <c r="T1754" s="150">
        <v>892.42</v>
      </c>
      <c r="U1754" s="150">
        <v>892.42</v>
      </c>
      <c r="V1754" s="199">
        <v>0</v>
      </c>
      <c r="W1754" s="150">
        <f t="shared" si="1506"/>
        <v>892.42</v>
      </c>
      <c r="X1754" s="150">
        <v>892.42</v>
      </c>
      <c r="Y1754" s="150">
        <v>0</v>
      </c>
      <c r="Z1754" s="150">
        <v>892.42</v>
      </c>
      <c r="AA1754" s="150">
        <f t="shared" si="1487"/>
        <v>0</v>
      </c>
      <c r="AB1754" s="150">
        <v>892.42</v>
      </c>
      <c r="AC1754" s="199">
        <v>0</v>
      </c>
      <c r="AD1754" s="150">
        <f t="shared" si="1507"/>
        <v>892.42</v>
      </c>
      <c r="AE1754" s="150">
        <v>892.42</v>
      </c>
      <c r="AF1754" s="169" t="s">
        <v>4680</v>
      </c>
      <c r="AG1754" s="201">
        <v>892.42</v>
      </c>
      <c r="AH1754" s="199">
        <v>0</v>
      </c>
      <c r="AI1754" s="150">
        <v>892.42</v>
      </c>
      <c r="AJ1754" s="169">
        <f t="shared" si="1488"/>
        <v>0</v>
      </c>
      <c r="AK1754" s="201">
        <v>892.42</v>
      </c>
      <c r="AL1754" s="199">
        <v>0</v>
      </c>
      <c r="AM1754" s="150">
        <f t="shared" si="1508"/>
        <v>892.42</v>
      </c>
      <c r="AN1754" s="153">
        <f t="shared" si="1489"/>
        <v>0</v>
      </c>
      <c r="AO1754" s="154">
        <f t="shared" si="1490"/>
        <v>0</v>
      </c>
      <c r="AP1754" s="150">
        <v>892.42</v>
      </c>
      <c r="AQ1754" s="201">
        <v>892.42</v>
      </c>
      <c r="AR1754" s="199">
        <v>0</v>
      </c>
      <c r="AS1754" s="150">
        <f t="shared" si="1509"/>
        <v>892.42</v>
      </c>
      <c r="AT1754" s="155"/>
      <c r="AU1754" s="156">
        <f t="shared" si="1485"/>
        <v>0</v>
      </c>
      <c r="AV1754" s="156">
        <f t="shared" si="1486"/>
        <v>0</v>
      </c>
      <c r="AW1754" s="157"/>
      <c r="AX1754" s="150">
        <v>892.42</v>
      </c>
      <c r="AY1754" s="150">
        <v>523.67999999999995</v>
      </c>
      <c r="AZ1754" s="150">
        <f t="shared" si="1511"/>
        <v>523.67999999999995</v>
      </c>
      <c r="BA1754" s="150">
        <v>1047.3599999999999</v>
      </c>
      <c r="BB1754" s="210"/>
      <c r="BC1754" s="210"/>
      <c r="BD1754" s="210"/>
      <c r="BE1754" s="210"/>
      <c r="BF1754" s="210"/>
      <c r="BG1754" s="210"/>
      <c r="BH1754" s="217"/>
      <c r="BI1754" s="210"/>
      <c r="BJ1754" s="210"/>
      <c r="BK1754" s="210"/>
      <c r="BL1754" s="210"/>
      <c r="BM1754" s="208"/>
      <c r="BN1754" s="160"/>
      <c r="BO1754" s="161"/>
      <c r="BP1754" s="161"/>
    </row>
    <row r="1755" spans="1:68" ht="38.25">
      <c r="A1755" s="210"/>
      <c r="B1755" s="195" t="s">
        <v>9232</v>
      </c>
      <c r="C1755" s="196" t="s">
        <v>9233</v>
      </c>
      <c r="D1755" s="146" t="s">
        <v>4692</v>
      </c>
      <c r="E1755" s="196" t="s">
        <v>9233</v>
      </c>
      <c r="F1755" s="150">
        <v>0</v>
      </c>
      <c r="G1755" s="209">
        <v>0</v>
      </c>
      <c r="H1755" s="209">
        <v>0</v>
      </c>
      <c r="I1755" s="209">
        <v>0</v>
      </c>
      <c r="J1755" s="150">
        <v>0</v>
      </c>
      <c r="K1755" s="150">
        <v>0</v>
      </c>
      <c r="L1755" s="150">
        <f t="shared" si="1510"/>
        <v>0</v>
      </c>
      <c r="M1755" s="150">
        <v>0</v>
      </c>
      <c r="N1755" s="150">
        <v>0</v>
      </c>
      <c r="O1755" s="150">
        <v>0</v>
      </c>
      <c r="P1755" s="150">
        <v>0</v>
      </c>
      <c r="Q1755" s="150">
        <v>0</v>
      </c>
      <c r="R1755" s="313">
        <f t="shared" si="1505"/>
        <v>0</v>
      </c>
      <c r="S1755" s="150">
        <f t="shared" si="1491"/>
        <v>0</v>
      </c>
      <c r="T1755" s="150">
        <v>0</v>
      </c>
      <c r="U1755" s="150">
        <v>0</v>
      </c>
      <c r="V1755" s="199">
        <v>0</v>
      </c>
      <c r="W1755" s="150">
        <f t="shared" si="1506"/>
        <v>0</v>
      </c>
      <c r="X1755" s="150">
        <v>0</v>
      </c>
      <c r="Y1755" s="150">
        <v>0</v>
      </c>
      <c r="Z1755" s="150">
        <v>0</v>
      </c>
      <c r="AA1755" s="150">
        <f t="shared" si="1487"/>
        <v>0</v>
      </c>
      <c r="AB1755" s="150">
        <v>0</v>
      </c>
      <c r="AC1755" s="199">
        <v>0</v>
      </c>
      <c r="AD1755" s="150">
        <f t="shared" si="1507"/>
        <v>0</v>
      </c>
      <c r="AE1755" s="150">
        <v>0</v>
      </c>
      <c r="AF1755" s="169" t="s">
        <v>4680</v>
      </c>
      <c r="AG1755" s="201">
        <v>0</v>
      </c>
      <c r="AH1755" s="199">
        <v>0</v>
      </c>
      <c r="AI1755" s="150">
        <v>0</v>
      </c>
      <c r="AJ1755" s="169">
        <f t="shared" si="1488"/>
        <v>0</v>
      </c>
      <c r="AK1755" s="201">
        <v>0</v>
      </c>
      <c r="AL1755" s="199">
        <v>0</v>
      </c>
      <c r="AM1755" s="150">
        <f t="shared" si="1508"/>
        <v>0</v>
      </c>
      <c r="AN1755" s="153">
        <f t="shared" si="1489"/>
        <v>0</v>
      </c>
      <c r="AO1755" s="154">
        <f t="shared" si="1490"/>
        <v>0</v>
      </c>
      <c r="AP1755" s="150">
        <v>0</v>
      </c>
      <c r="AQ1755" s="201">
        <v>0</v>
      </c>
      <c r="AR1755" s="199">
        <v>0</v>
      </c>
      <c r="AS1755" s="150">
        <f t="shared" si="1509"/>
        <v>0</v>
      </c>
      <c r="AT1755" s="155"/>
      <c r="AU1755" s="156">
        <f t="shared" si="1485"/>
        <v>0</v>
      </c>
      <c r="AV1755" s="156">
        <f t="shared" si="1486"/>
        <v>0</v>
      </c>
      <c r="AW1755" s="157"/>
      <c r="AX1755" s="150">
        <v>0</v>
      </c>
      <c r="AY1755" s="150">
        <v>0</v>
      </c>
      <c r="AZ1755" s="150">
        <f t="shared" si="1511"/>
        <v>0</v>
      </c>
      <c r="BA1755" s="150">
        <v>0</v>
      </c>
      <c r="BB1755" s="210"/>
      <c r="BC1755" s="210"/>
      <c r="BD1755" s="210"/>
      <c r="BE1755" s="210"/>
      <c r="BF1755" s="210"/>
      <c r="BG1755" s="210"/>
      <c r="BH1755" s="217"/>
      <c r="BI1755" s="210"/>
      <c r="BJ1755" s="210"/>
      <c r="BK1755" s="210"/>
      <c r="BL1755" s="210"/>
      <c r="BM1755" s="208"/>
      <c r="BN1755" s="160"/>
      <c r="BO1755" s="161"/>
      <c r="BP1755" s="161"/>
    </row>
    <row r="1756" spans="1:68" ht="51">
      <c r="A1756" s="210"/>
      <c r="B1756" s="195" t="s">
        <v>9234</v>
      </c>
      <c r="C1756" s="196" t="s">
        <v>9235</v>
      </c>
      <c r="D1756" s="146" t="s">
        <v>4692</v>
      </c>
      <c r="E1756" s="196" t="s">
        <v>9235</v>
      </c>
      <c r="F1756" s="150">
        <v>0</v>
      </c>
      <c r="G1756" s="209">
        <v>0</v>
      </c>
      <c r="H1756" s="209">
        <v>0</v>
      </c>
      <c r="I1756" s="209">
        <v>0</v>
      </c>
      <c r="J1756" s="150">
        <v>0</v>
      </c>
      <c r="K1756" s="150">
        <v>0</v>
      </c>
      <c r="L1756" s="150">
        <f t="shared" si="1510"/>
        <v>0</v>
      </c>
      <c r="M1756" s="150">
        <v>0</v>
      </c>
      <c r="N1756" s="150">
        <v>0</v>
      </c>
      <c r="O1756" s="150">
        <v>0</v>
      </c>
      <c r="P1756" s="150">
        <v>0</v>
      </c>
      <c r="Q1756" s="150">
        <v>0</v>
      </c>
      <c r="R1756" s="313">
        <f t="shared" si="1505"/>
        <v>0</v>
      </c>
      <c r="S1756" s="150">
        <f t="shared" si="1491"/>
        <v>0</v>
      </c>
      <c r="T1756" s="150">
        <v>0</v>
      </c>
      <c r="U1756" s="150">
        <v>0</v>
      </c>
      <c r="V1756" s="199">
        <v>0</v>
      </c>
      <c r="W1756" s="150">
        <f t="shared" si="1506"/>
        <v>0</v>
      </c>
      <c r="X1756" s="150">
        <v>0</v>
      </c>
      <c r="Y1756" s="150">
        <v>0</v>
      </c>
      <c r="Z1756" s="150">
        <v>0</v>
      </c>
      <c r="AA1756" s="150">
        <f t="shared" si="1487"/>
        <v>0</v>
      </c>
      <c r="AB1756" s="150">
        <v>0</v>
      </c>
      <c r="AC1756" s="199">
        <v>0</v>
      </c>
      <c r="AD1756" s="150">
        <f t="shared" si="1507"/>
        <v>0</v>
      </c>
      <c r="AE1756" s="150">
        <v>0</v>
      </c>
      <c r="AF1756" s="169" t="s">
        <v>4680</v>
      </c>
      <c r="AG1756" s="201">
        <v>0</v>
      </c>
      <c r="AH1756" s="199">
        <v>0</v>
      </c>
      <c r="AI1756" s="150">
        <v>0</v>
      </c>
      <c r="AJ1756" s="169">
        <f t="shared" si="1488"/>
        <v>0</v>
      </c>
      <c r="AK1756" s="201">
        <v>0</v>
      </c>
      <c r="AL1756" s="199">
        <v>0</v>
      </c>
      <c r="AM1756" s="150">
        <f t="shared" si="1508"/>
        <v>0</v>
      </c>
      <c r="AN1756" s="153">
        <f t="shared" si="1489"/>
        <v>0</v>
      </c>
      <c r="AO1756" s="154">
        <f t="shared" si="1490"/>
        <v>0</v>
      </c>
      <c r="AP1756" s="150">
        <v>0</v>
      </c>
      <c r="AQ1756" s="201">
        <v>0</v>
      </c>
      <c r="AR1756" s="199">
        <v>0</v>
      </c>
      <c r="AS1756" s="150">
        <f t="shared" si="1509"/>
        <v>0</v>
      </c>
      <c r="AT1756" s="155"/>
      <c r="AU1756" s="156">
        <f t="shared" si="1485"/>
        <v>0</v>
      </c>
      <c r="AV1756" s="156">
        <f t="shared" si="1486"/>
        <v>0</v>
      </c>
      <c r="AW1756" s="157"/>
      <c r="AX1756" s="150">
        <v>0</v>
      </c>
      <c r="AY1756" s="150">
        <v>0</v>
      </c>
      <c r="AZ1756" s="150">
        <f t="shared" si="1511"/>
        <v>0</v>
      </c>
      <c r="BA1756" s="150">
        <v>0</v>
      </c>
      <c r="BB1756" s="210"/>
      <c r="BC1756" s="210"/>
      <c r="BD1756" s="210"/>
      <c r="BE1756" s="210"/>
      <c r="BF1756" s="210"/>
      <c r="BG1756" s="210"/>
      <c r="BH1756" s="217"/>
      <c r="BI1756" s="210"/>
      <c r="BJ1756" s="210"/>
      <c r="BK1756" s="210"/>
      <c r="BL1756" s="210"/>
      <c r="BM1756" s="208"/>
      <c r="BN1756" s="160"/>
      <c r="BO1756" s="161"/>
      <c r="BP1756" s="161"/>
    </row>
    <row r="1757" spans="1:68" ht="51">
      <c r="A1757" s="210"/>
      <c r="B1757" s="195" t="s">
        <v>9236</v>
      </c>
      <c r="C1757" s="196" t="s">
        <v>9237</v>
      </c>
      <c r="D1757" s="146" t="s">
        <v>4692</v>
      </c>
      <c r="E1757" s="196" t="s">
        <v>9237</v>
      </c>
      <c r="F1757" s="150">
        <v>0</v>
      </c>
      <c r="G1757" s="209">
        <v>0</v>
      </c>
      <c r="H1757" s="209">
        <v>0</v>
      </c>
      <c r="I1757" s="209">
        <v>0</v>
      </c>
      <c r="J1757" s="150">
        <v>0</v>
      </c>
      <c r="K1757" s="150">
        <v>0</v>
      </c>
      <c r="L1757" s="150">
        <f t="shared" si="1510"/>
        <v>0</v>
      </c>
      <c r="M1757" s="150">
        <v>0</v>
      </c>
      <c r="N1757" s="150">
        <v>0</v>
      </c>
      <c r="O1757" s="150">
        <v>0</v>
      </c>
      <c r="P1757" s="150">
        <v>0</v>
      </c>
      <c r="Q1757" s="150">
        <v>0</v>
      </c>
      <c r="R1757" s="313">
        <f t="shared" si="1505"/>
        <v>0</v>
      </c>
      <c r="S1757" s="150">
        <f t="shared" si="1491"/>
        <v>0</v>
      </c>
      <c r="T1757" s="150">
        <v>0</v>
      </c>
      <c r="U1757" s="150">
        <v>0</v>
      </c>
      <c r="V1757" s="199">
        <v>0</v>
      </c>
      <c r="W1757" s="150">
        <f t="shared" si="1506"/>
        <v>0</v>
      </c>
      <c r="X1757" s="150">
        <v>0</v>
      </c>
      <c r="Y1757" s="150">
        <v>0</v>
      </c>
      <c r="Z1757" s="150">
        <v>0</v>
      </c>
      <c r="AA1757" s="150">
        <f t="shared" si="1487"/>
        <v>0</v>
      </c>
      <c r="AB1757" s="150">
        <v>0</v>
      </c>
      <c r="AC1757" s="199">
        <v>0</v>
      </c>
      <c r="AD1757" s="150">
        <f t="shared" si="1507"/>
        <v>0</v>
      </c>
      <c r="AE1757" s="150">
        <v>0</v>
      </c>
      <c r="AF1757" s="169" t="s">
        <v>4680</v>
      </c>
      <c r="AG1757" s="201">
        <v>0</v>
      </c>
      <c r="AH1757" s="199">
        <v>0</v>
      </c>
      <c r="AI1757" s="150">
        <v>0</v>
      </c>
      <c r="AJ1757" s="169">
        <f t="shared" si="1488"/>
        <v>0</v>
      </c>
      <c r="AK1757" s="201">
        <v>0</v>
      </c>
      <c r="AL1757" s="199">
        <v>0</v>
      </c>
      <c r="AM1757" s="150">
        <f t="shared" si="1508"/>
        <v>0</v>
      </c>
      <c r="AN1757" s="153">
        <f t="shared" si="1489"/>
        <v>0</v>
      </c>
      <c r="AO1757" s="154">
        <f t="shared" si="1490"/>
        <v>0</v>
      </c>
      <c r="AP1757" s="150">
        <v>0</v>
      </c>
      <c r="AQ1757" s="201">
        <v>0</v>
      </c>
      <c r="AR1757" s="199">
        <v>0</v>
      </c>
      <c r="AS1757" s="150">
        <f t="shared" si="1509"/>
        <v>0</v>
      </c>
      <c r="AT1757" s="155"/>
      <c r="AU1757" s="156">
        <f t="shared" si="1485"/>
        <v>0</v>
      </c>
      <c r="AV1757" s="156">
        <f t="shared" si="1486"/>
        <v>0</v>
      </c>
      <c r="AW1757" s="157"/>
      <c r="AX1757" s="150">
        <v>0</v>
      </c>
      <c r="AY1757" s="150">
        <v>0</v>
      </c>
      <c r="AZ1757" s="150">
        <f t="shared" si="1511"/>
        <v>0</v>
      </c>
      <c r="BA1757" s="150">
        <v>0</v>
      </c>
      <c r="BB1757" s="210"/>
      <c r="BC1757" s="210"/>
      <c r="BD1757" s="210"/>
      <c r="BE1757" s="210"/>
      <c r="BF1757" s="210"/>
      <c r="BG1757" s="210"/>
      <c r="BH1757" s="217"/>
      <c r="BI1757" s="210"/>
      <c r="BJ1757" s="210"/>
      <c r="BK1757" s="210"/>
      <c r="BL1757" s="210"/>
      <c r="BM1757" s="208"/>
      <c r="BN1757" s="160"/>
      <c r="BO1757" s="161"/>
      <c r="BP1757" s="161"/>
    </row>
    <row r="1758" spans="1:68" ht="51">
      <c r="A1758" s="210"/>
      <c r="B1758" s="195" t="s">
        <v>9238</v>
      </c>
      <c r="C1758" s="196" t="s">
        <v>9239</v>
      </c>
      <c r="D1758" s="146" t="s">
        <v>4692</v>
      </c>
      <c r="E1758" s="196" t="s">
        <v>9239</v>
      </c>
      <c r="F1758" s="150">
        <v>0</v>
      </c>
      <c r="G1758" s="209">
        <v>0</v>
      </c>
      <c r="H1758" s="209">
        <v>0</v>
      </c>
      <c r="I1758" s="209">
        <v>0</v>
      </c>
      <c r="J1758" s="150">
        <v>0</v>
      </c>
      <c r="K1758" s="150">
        <v>0</v>
      </c>
      <c r="L1758" s="150">
        <f t="shared" si="1510"/>
        <v>0</v>
      </c>
      <c r="M1758" s="150">
        <v>0</v>
      </c>
      <c r="N1758" s="150">
        <v>0</v>
      </c>
      <c r="O1758" s="150">
        <v>0</v>
      </c>
      <c r="P1758" s="150">
        <v>0</v>
      </c>
      <c r="Q1758" s="150">
        <v>0</v>
      </c>
      <c r="R1758" s="313">
        <f t="shared" si="1505"/>
        <v>0</v>
      </c>
      <c r="S1758" s="150">
        <f t="shared" si="1491"/>
        <v>0</v>
      </c>
      <c r="T1758" s="150">
        <v>0</v>
      </c>
      <c r="U1758" s="150">
        <v>0</v>
      </c>
      <c r="V1758" s="199">
        <v>0</v>
      </c>
      <c r="W1758" s="150">
        <f t="shared" si="1506"/>
        <v>0</v>
      </c>
      <c r="X1758" s="150">
        <v>0</v>
      </c>
      <c r="Y1758" s="150">
        <v>0</v>
      </c>
      <c r="Z1758" s="150">
        <v>0</v>
      </c>
      <c r="AA1758" s="150">
        <f t="shared" si="1487"/>
        <v>0</v>
      </c>
      <c r="AB1758" s="150">
        <v>0</v>
      </c>
      <c r="AC1758" s="199">
        <v>0</v>
      </c>
      <c r="AD1758" s="150">
        <f t="shared" si="1507"/>
        <v>0</v>
      </c>
      <c r="AE1758" s="150">
        <v>0</v>
      </c>
      <c r="AF1758" s="169" t="s">
        <v>4680</v>
      </c>
      <c r="AG1758" s="201">
        <v>0</v>
      </c>
      <c r="AH1758" s="199">
        <v>0</v>
      </c>
      <c r="AI1758" s="150">
        <v>0</v>
      </c>
      <c r="AJ1758" s="169">
        <f t="shared" si="1488"/>
        <v>0</v>
      </c>
      <c r="AK1758" s="201">
        <v>0</v>
      </c>
      <c r="AL1758" s="199">
        <v>0</v>
      </c>
      <c r="AM1758" s="150">
        <f t="shared" si="1508"/>
        <v>0</v>
      </c>
      <c r="AN1758" s="153">
        <f t="shared" si="1489"/>
        <v>0</v>
      </c>
      <c r="AO1758" s="154">
        <f t="shared" si="1490"/>
        <v>0</v>
      </c>
      <c r="AP1758" s="150">
        <v>0</v>
      </c>
      <c r="AQ1758" s="201">
        <v>0</v>
      </c>
      <c r="AR1758" s="199">
        <v>0</v>
      </c>
      <c r="AS1758" s="150">
        <f t="shared" si="1509"/>
        <v>0</v>
      </c>
      <c r="AT1758" s="155"/>
      <c r="AU1758" s="156">
        <f t="shared" si="1485"/>
        <v>0</v>
      </c>
      <c r="AV1758" s="156">
        <f t="shared" si="1486"/>
        <v>0</v>
      </c>
      <c r="AW1758" s="157"/>
      <c r="AX1758" s="150">
        <v>0</v>
      </c>
      <c r="AY1758" s="150">
        <v>0</v>
      </c>
      <c r="AZ1758" s="150">
        <f t="shared" si="1511"/>
        <v>0</v>
      </c>
      <c r="BA1758" s="150">
        <v>0</v>
      </c>
      <c r="BB1758" s="210"/>
      <c r="BC1758" s="210"/>
      <c r="BD1758" s="210"/>
      <c r="BE1758" s="210"/>
      <c r="BF1758" s="210"/>
      <c r="BG1758" s="210"/>
      <c r="BH1758" s="217"/>
      <c r="BI1758" s="210"/>
      <c r="BJ1758" s="210"/>
      <c r="BK1758" s="210"/>
      <c r="BL1758" s="210"/>
      <c r="BM1758" s="208"/>
      <c r="BN1758" s="160"/>
      <c r="BO1758" s="161">
        <f t="shared" si="1498"/>
        <v>0</v>
      </c>
      <c r="BP1758" s="161"/>
    </row>
    <row r="1759" spans="1:68" ht="51">
      <c r="A1759" s="210"/>
      <c r="B1759" s="195" t="s">
        <v>9240</v>
      </c>
      <c r="C1759" s="196" t="s">
        <v>9241</v>
      </c>
      <c r="D1759" s="146" t="s">
        <v>4692</v>
      </c>
      <c r="E1759" s="196" t="s">
        <v>9241</v>
      </c>
      <c r="F1759" s="150">
        <v>0</v>
      </c>
      <c r="G1759" s="209">
        <v>1457.05</v>
      </c>
      <c r="H1759" s="209">
        <v>0</v>
      </c>
      <c r="I1759" s="209">
        <v>1457.05</v>
      </c>
      <c r="J1759" s="150">
        <v>0</v>
      </c>
      <c r="K1759" s="150">
        <v>0</v>
      </c>
      <c r="L1759" s="150">
        <f t="shared" si="1510"/>
        <v>0</v>
      </c>
      <c r="M1759" s="150">
        <v>0</v>
      </c>
      <c r="N1759" s="150">
        <v>0</v>
      </c>
      <c r="O1759" s="150">
        <v>0</v>
      </c>
      <c r="P1759" s="150">
        <v>0</v>
      </c>
      <c r="Q1759" s="150">
        <v>0</v>
      </c>
      <c r="R1759" s="313">
        <f t="shared" si="1505"/>
        <v>0</v>
      </c>
      <c r="S1759" s="150">
        <f t="shared" si="1491"/>
        <v>0</v>
      </c>
      <c r="T1759" s="150">
        <v>0</v>
      </c>
      <c r="U1759" s="150">
        <v>0</v>
      </c>
      <c r="V1759" s="199">
        <v>0</v>
      </c>
      <c r="W1759" s="150">
        <f t="shared" si="1506"/>
        <v>0</v>
      </c>
      <c r="X1759" s="150">
        <v>0</v>
      </c>
      <c r="Y1759" s="150">
        <v>0</v>
      </c>
      <c r="Z1759" s="150">
        <v>0</v>
      </c>
      <c r="AA1759" s="150">
        <f t="shared" si="1487"/>
        <v>0</v>
      </c>
      <c r="AB1759" s="150">
        <v>0</v>
      </c>
      <c r="AC1759" s="199">
        <v>0</v>
      </c>
      <c r="AD1759" s="150">
        <f t="shared" si="1507"/>
        <v>0</v>
      </c>
      <c r="AE1759" s="150">
        <v>0</v>
      </c>
      <c r="AF1759" s="169" t="s">
        <v>4680</v>
      </c>
      <c r="AG1759" s="201">
        <v>0</v>
      </c>
      <c r="AH1759" s="199">
        <v>0</v>
      </c>
      <c r="AI1759" s="150">
        <v>0</v>
      </c>
      <c r="AJ1759" s="169">
        <f t="shared" si="1488"/>
        <v>0</v>
      </c>
      <c r="AK1759" s="201">
        <v>0</v>
      </c>
      <c r="AL1759" s="199">
        <v>0</v>
      </c>
      <c r="AM1759" s="150">
        <f t="shared" si="1508"/>
        <v>0</v>
      </c>
      <c r="AN1759" s="153">
        <f t="shared" si="1489"/>
        <v>0</v>
      </c>
      <c r="AO1759" s="154">
        <f t="shared" si="1490"/>
        <v>0</v>
      </c>
      <c r="AP1759" s="150">
        <v>0</v>
      </c>
      <c r="AQ1759" s="201">
        <v>0</v>
      </c>
      <c r="AR1759" s="199">
        <v>0</v>
      </c>
      <c r="AS1759" s="150">
        <f t="shared" si="1509"/>
        <v>0</v>
      </c>
      <c r="AT1759" s="155"/>
      <c r="AU1759" s="156">
        <f t="shared" si="1485"/>
        <v>0</v>
      </c>
      <c r="AV1759" s="156">
        <f t="shared" si="1486"/>
        <v>0</v>
      </c>
      <c r="AW1759" s="157"/>
      <c r="AX1759" s="150">
        <v>0</v>
      </c>
      <c r="AY1759" s="150">
        <v>0</v>
      </c>
      <c r="AZ1759" s="150">
        <f t="shared" si="1511"/>
        <v>0</v>
      </c>
      <c r="BA1759" s="150">
        <v>0</v>
      </c>
      <c r="BB1759" s="210"/>
      <c r="BC1759" s="210"/>
      <c r="BD1759" s="210"/>
      <c r="BE1759" s="210"/>
      <c r="BF1759" s="210"/>
      <c r="BG1759" s="210"/>
      <c r="BH1759" s="217"/>
      <c r="BI1759" s="210"/>
      <c r="BJ1759" s="210"/>
      <c r="BK1759" s="210"/>
      <c r="BL1759" s="210"/>
      <c r="BM1759" s="208"/>
      <c r="BN1759" s="160"/>
      <c r="BO1759" s="161">
        <f t="shared" si="1498"/>
        <v>0</v>
      </c>
      <c r="BP1759" s="161"/>
    </row>
    <row r="1760" spans="1:68" ht="63.75">
      <c r="A1760" s="210"/>
      <c r="B1760" s="195" t="s">
        <v>9242</v>
      </c>
      <c r="C1760" s="196" t="s">
        <v>9243</v>
      </c>
      <c r="D1760" s="146" t="s">
        <v>4692</v>
      </c>
      <c r="E1760" s="196" t="s">
        <v>9243</v>
      </c>
      <c r="F1760" s="150">
        <v>1457.05</v>
      </c>
      <c r="G1760" s="209">
        <v>135491.1</v>
      </c>
      <c r="H1760" s="209">
        <v>-135491.1</v>
      </c>
      <c r="I1760" s="209">
        <v>0</v>
      </c>
      <c r="J1760" s="150">
        <v>0</v>
      </c>
      <c r="K1760" s="150">
        <v>0</v>
      </c>
      <c r="L1760" s="150">
        <f t="shared" si="1510"/>
        <v>0</v>
      </c>
      <c r="M1760" s="150">
        <v>0</v>
      </c>
      <c r="N1760" s="150">
        <v>0</v>
      </c>
      <c r="O1760" s="150">
        <v>0</v>
      </c>
      <c r="P1760" s="150">
        <v>510.09</v>
      </c>
      <c r="Q1760" s="150">
        <v>0</v>
      </c>
      <c r="R1760" s="313">
        <f t="shared" si="1505"/>
        <v>510.09</v>
      </c>
      <c r="S1760" s="150">
        <f t="shared" si="1491"/>
        <v>680.11999999999989</v>
      </c>
      <c r="T1760" s="150">
        <v>0</v>
      </c>
      <c r="U1760" s="309"/>
      <c r="V1760" s="199">
        <v>0</v>
      </c>
      <c r="W1760" s="150">
        <f t="shared" si="1506"/>
        <v>0</v>
      </c>
      <c r="X1760" s="150"/>
      <c r="Y1760" s="150">
        <v>0</v>
      </c>
      <c r="Z1760" s="150">
        <v>0</v>
      </c>
      <c r="AA1760" s="150">
        <f t="shared" si="1487"/>
        <v>0</v>
      </c>
      <c r="AB1760" s="150">
        <v>0</v>
      </c>
      <c r="AC1760" s="199">
        <v>0</v>
      </c>
      <c r="AD1760" s="150">
        <f t="shared" si="1507"/>
        <v>0</v>
      </c>
      <c r="AE1760" s="150">
        <v>0</v>
      </c>
      <c r="AF1760" s="169" t="s">
        <v>4680</v>
      </c>
      <c r="AG1760" s="201">
        <v>0</v>
      </c>
      <c r="AH1760" s="199">
        <v>0</v>
      </c>
      <c r="AI1760" s="150">
        <v>0</v>
      </c>
      <c r="AJ1760" s="169">
        <f t="shared" si="1488"/>
        <v>0</v>
      </c>
      <c r="AK1760" s="201">
        <v>0</v>
      </c>
      <c r="AL1760" s="199">
        <v>0</v>
      </c>
      <c r="AM1760" s="150">
        <f t="shared" si="1508"/>
        <v>0</v>
      </c>
      <c r="AN1760" s="153">
        <f t="shared" si="1489"/>
        <v>0</v>
      </c>
      <c r="AO1760" s="154">
        <f t="shared" si="1490"/>
        <v>0</v>
      </c>
      <c r="AP1760" s="309">
        <v>0</v>
      </c>
      <c r="AQ1760" s="201">
        <v>0</v>
      </c>
      <c r="AR1760" s="199"/>
      <c r="AS1760" s="150">
        <f t="shared" si="1509"/>
        <v>0</v>
      </c>
      <c r="AT1760" s="155"/>
      <c r="AU1760" s="156">
        <f t="shared" si="1485"/>
        <v>0</v>
      </c>
      <c r="AV1760" s="156">
        <f t="shared" si="1486"/>
        <v>0</v>
      </c>
      <c r="AW1760" s="157"/>
      <c r="AX1760" s="150">
        <v>0</v>
      </c>
      <c r="AY1760" s="150">
        <v>0</v>
      </c>
      <c r="AZ1760" s="150">
        <f t="shared" si="1511"/>
        <v>0</v>
      </c>
      <c r="BA1760" s="150">
        <v>0</v>
      </c>
      <c r="BB1760" s="210"/>
      <c r="BC1760" s="210"/>
      <c r="BD1760" s="210"/>
      <c r="BE1760" s="210"/>
      <c r="BF1760" s="210"/>
      <c r="BG1760" s="210"/>
      <c r="BH1760" s="217"/>
      <c r="BI1760" s="210"/>
      <c r="BJ1760" s="210"/>
      <c r="BK1760" s="210"/>
      <c r="BL1760" s="210"/>
      <c r="BM1760" s="208"/>
      <c r="BN1760" s="160"/>
      <c r="BO1760" s="161">
        <f t="shared" si="1498"/>
        <v>0</v>
      </c>
      <c r="BP1760" s="161"/>
    </row>
    <row r="1761" spans="1:68" ht="51">
      <c r="A1761" s="206" t="s">
        <v>595</v>
      </c>
      <c r="B1761" s="195" t="s">
        <v>9244</v>
      </c>
      <c r="C1761" s="196" t="s">
        <v>9245</v>
      </c>
      <c r="D1761" s="146" t="s">
        <v>4692</v>
      </c>
      <c r="E1761" s="196" t="s">
        <v>9245</v>
      </c>
      <c r="F1761" s="150">
        <v>0.1</v>
      </c>
      <c r="G1761" s="209">
        <v>117410.07</v>
      </c>
      <c r="H1761" s="209">
        <v>-117410.07</v>
      </c>
      <c r="I1761" s="209">
        <v>0</v>
      </c>
      <c r="J1761" s="150">
        <v>17403.96</v>
      </c>
      <c r="K1761" s="150">
        <v>-17403.96</v>
      </c>
      <c r="L1761" s="150">
        <f t="shared" si="1510"/>
        <v>0</v>
      </c>
      <c r="M1761" s="150">
        <v>62794.49</v>
      </c>
      <c r="N1761" s="150">
        <v>-62794.49</v>
      </c>
      <c r="O1761" s="150">
        <v>0</v>
      </c>
      <c r="P1761" s="150">
        <v>110971.66</v>
      </c>
      <c r="Q1761" s="150">
        <v>-110971.66</v>
      </c>
      <c r="R1761" s="313">
        <f t="shared" si="1505"/>
        <v>0</v>
      </c>
      <c r="S1761" s="150">
        <f t="shared" si="1491"/>
        <v>0</v>
      </c>
      <c r="T1761" s="150">
        <v>0</v>
      </c>
      <c r="U1761" s="150">
        <v>148337.4</v>
      </c>
      <c r="V1761" s="199">
        <v>-148337.4</v>
      </c>
      <c r="W1761" s="150">
        <f t="shared" si="1506"/>
        <v>0</v>
      </c>
      <c r="X1761" s="150">
        <v>148337.4</v>
      </c>
      <c r="Y1761" s="150">
        <v>-148337.4</v>
      </c>
      <c r="Z1761" s="150">
        <v>0</v>
      </c>
      <c r="AA1761" s="150">
        <f t="shared" si="1487"/>
        <v>0</v>
      </c>
      <c r="AB1761" s="150">
        <v>148337.4</v>
      </c>
      <c r="AC1761" s="199">
        <v>-148337.4</v>
      </c>
      <c r="AD1761" s="150">
        <f t="shared" si="1507"/>
        <v>0</v>
      </c>
      <c r="AE1761" s="150">
        <v>0</v>
      </c>
      <c r="AF1761" s="169" t="s">
        <v>4680</v>
      </c>
      <c r="AG1761" s="201">
        <v>148337.4</v>
      </c>
      <c r="AH1761" s="199">
        <v>-148337.4</v>
      </c>
      <c r="AI1761" s="150">
        <v>0</v>
      </c>
      <c r="AJ1761" s="169">
        <f t="shared" si="1488"/>
        <v>0</v>
      </c>
      <c r="AK1761" s="201">
        <v>148337.4</v>
      </c>
      <c r="AL1761" s="199">
        <v>-148337.4</v>
      </c>
      <c r="AM1761" s="150">
        <f t="shared" si="1508"/>
        <v>0</v>
      </c>
      <c r="AN1761" s="153">
        <f t="shared" si="1489"/>
        <v>0</v>
      </c>
      <c r="AO1761" s="154">
        <f t="shared" si="1490"/>
        <v>0</v>
      </c>
      <c r="AP1761" s="150">
        <v>0</v>
      </c>
      <c r="AQ1761" s="201">
        <v>0</v>
      </c>
      <c r="AR1761" s="199"/>
      <c r="AS1761" s="150">
        <f t="shared" si="1509"/>
        <v>0</v>
      </c>
      <c r="AT1761" s="155"/>
      <c r="AU1761" s="156">
        <f t="shared" si="1485"/>
        <v>0</v>
      </c>
      <c r="AV1761" s="156">
        <f t="shared" si="1486"/>
        <v>0</v>
      </c>
      <c r="AW1761" s="157"/>
      <c r="AX1761" s="150">
        <v>0</v>
      </c>
      <c r="AY1761" s="150">
        <v>79760.63</v>
      </c>
      <c r="AZ1761" s="150">
        <f t="shared" si="1511"/>
        <v>-79760.63</v>
      </c>
      <c r="BA1761" s="150">
        <v>0</v>
      </c>
      <c r="BB1761" s="202">
        <v>5</v>
      </c>
      <c r="BC1761" s="202" t="s">
        <v>755</v>
      </c>
      <c r="BD1761" s="202" t="s">
        <v>647</v>
      </c>
      <c r="BE1761" s="202" t="s">
        <v>632</v>
      </c>
      <c r="BF1761" s="202">
        <v>10</v>
      </c>
      <c r="BG1761" s="231" t="s">
        <v>9246</v>
      </c>
      <c r="BH1761" s="216">
        <f>AS1761</f>
        <v>0</v>
      </c>
      <c r="BI1761" s="205"/>
      <c r="BJ1761" s="206" t="s">
        <v>9187</v>
      </c>
      <c r="BK1761" s="206" t="s">
        <v>595</v>
      </c>
      <c r="BL1761" s="207" t="s">
        <v>9188</v>
      </c>
      <c r="BM1761" s="208">
        <f>BH1761</f>
        <v>0</v>
      </c>
      <c r="BN1761" s="160"/>
      <c r="BO1761" s="161">
        <f t="shared" si="1498"/>
        <v>0</v>
      </c>
      <c r="BP1761" s="161"/>
    </row>
    <row r="1762" spans="1:68" ht="51">
      <c r="A1762" s="206" t="s">
        <v>595</v>
      </c>
      <c r="B1762" s="195" t="s">
        <v>9247</v>
      </c>
      <c r="C1762" s="196" t="s">
        <v>9248</v>
      </c>
      <c r="D1762" s="146" t="s">
        <v>4692</v>
      </c>
      <c r="E1762" s="196" t="s">
        <v>9248</v>
      </c>
      <c r="F1762" s="150">
        <v>7.0000000000000007E-2</v>
      </c>
      <c r="G1762" s="209">
        <v>0</v>
      </c>
      <c r="H1762" s="209">
        <v>367507.36919005099</v>
      </c>
      <c r="I1762" s="209">
        <v>367507.36919005099</v>
      </c>
      <c r="J1762" s="150">
        <v>0</v>
      </c>
      <c r="K1762" s="150">
        <v>0</v>
      </c>
      <c r="L1762" s="150">
        <f t="shared" si="1510"/>
        <v>0</v>
      </c>
      <c r="M1762" s="150">
        <v>41910.82</v>
      </c>
      <c r="N1762" s="150">
        <v>-41910.82</v>
      </c>
      <c r="O1762" s="150">
        <v>0</v>
      </c>
      <c r="P1762" s="150">
        <v>62503.68</v>
      </c>
      <c r="Q1762" s="150">
        <v>-62503.68</v>
      </c>
      <c r="R1762" s="313">
        <f t="shared" si="1505"/>
        <v>0</v>
      </c>
      <c r="S1762" s="150">
        <f t="shared" si="1491"/>
        <v>0</v>
      </c>
      <c r="T1762" s="150">
        <v>0</v>
      </c>
      <c r="U1762" s="150">
        <v>84493.04</v>
      </c>
      <c r="V1762" s="199">
        <v>-84493.04</v>
      </c>
      <c r="W1762" s="150">
        <f t="shared" si="1506"/>
        <v>0</v>
      </c>
      <c r="X1762" s="150">
        <v>84493.04</v>
      </c>
      <c r="Y1762" s="150">
        <v>-84493.04</v>
      </c>
      <c r="Z1762" s="150">
        <v>0</v>
      </c>
      <c r="AA1762" s="150">
        <f t="shared" si="1487"/>
        <v>0</v>
      </c>
      <c r="AB1762" s="150">
        <v>84493.04</v>
      </c>
      <c r="AC1762" s="199">
        <v>-84493.04</v>
      </c>
      <c r="AD1762" s="150">
        <f t="shared" si="1507"/>
        <v>0</v>
      </c>
      <c r="AE1762" s="150">
        <v>0</v>
      </c>
      <c r="AF1762" s="169" t="s">
        <v>4680</v>
      </c>
      <c r="AG1762" s="201">
        <v>84493.04</v>
      </c>
      <c r="AH1762" s="199">
        <v>-84493.04</v>
      </c>
      <c r="AI1762" s="150">
        <v>0</v>
      </c>
      <c r="AJ1762" s="169">
        <f t="shared" si="1488"/>
        <v>0</v>
      </c>
      <c r="AK1762" s="201">
        <v>84493.04</v>
      </c>
      <c r="AL1762" s="199">
        <v>-84493.04</v>
      </c>
      <c r="AM1762" s="150">
        <f t="shared" si="1508"/>
        <v>0</v>
      </c>
      <c r="AN1762" s="153">
        <f t="shared" si="1489"/>
        <v>0</v>
      </c>
      <c r="AO1762" s="154">
        <f t="shared" si="1490"/>
        <v>0</v>
      </c>
      <c r="AP1762" s="150">
        <v>0</v>
      </c>
      <c r="AQ1762" s="201">
        <v>0</v>
      </c>
      <c r="AR1762" s="199"/>
      <c r="AS1762" s="150">
        <f t="shared" si="1509"/>
        <v>0</v>
      </c>
      <c r="AT1762" s="155"/>
      <c r="AU1762" s="156">
        <f t="shared" si="1485"/>
        <v>0</v>
      </c>
      <c r="AV1762" s="156">
        <f t="shared" si="1486"/>
        <v>0</v>
      </c>
      <c r="AW1762" s="157"/>
      <c r="AX1762" s="150">
        <v>0</v>
      </c>
      <c r="AY1762" s="150">
        <v>48940.82</v>
      </c>
      <c r="AZ1762" s="150">
        <f t="shared" si="1511"/>
        <v>-48940.82</v>
      </c>
      <c r="BA1762" s="150">
        <v>0</v>
      </c>
      <c r="BB1762" s="202">
        <v>5</v>
      </c>
      <c r="BC1762" s="202" t="s">
        <v>755</v>
      </c>
      <c r="BD1762" s="202" t="s">
        <v>647</v>
      </c>
      <c r="BE1762" s="202" t="s">
        <v>632</v>
      </c>
      <c r="BF1762" s="202">
        <v>11</v>
      </c>
      <c r="BG1762" s="231" t="s">
        <v>9249</v>
      </c>
      <c r="BH1762" s="216">
        <f>AS1762</f>
        <v>0</v>
      </c>
      <c r="BI1762" s="205"/>
      <c r="BJ1762" s="206" t="s">
        <v>9187</v>
      </c>
      <c r="BK1762" s="206" t="s">
        <v>595</v>
      </c>
      <c r="BL1762" s="207" t="s">
        <v>9188</v>
      </c>
      <c r="BM1762" s="208">
        <f>BH1762</f>
        <v>0</v>
      </c>
      <c r="BN1762" s="160"/>
      <c r="BO1762" s="161">
        <f t="shared" si="1498"/>
        <v>0</v>
      </c>
      <c r="BP1762" s="161"/>
    </row>
    <row r="1763" spans="1:68" ht="76.5">
      <c r="A1763" s="206"/>
      <c r="B1763" s="195" t="s">
        <v>9250</v>
      </c>
      <c r="C1763" s="196" t="s">
        <v>9251</v>
      </c>
      <c r="D1763" s="146" t="s">
        <v>4692</v>
      </c>
      <c r="E1763" s="196" t="s">
        <v>9251</v>
      </c>
      <c r="F1763" s="150">
        <v>367507</v>
      </c>
      <c r="G1763" s="209">
        <v>0</v>
      </c>
      <c r="H1763" s="209">
        <v>482071.89807397965</v>
      </c>
      <c r="I1763" s="209">
        <v>482071.89807397965</v>
      </c>
      <c r="J1763" s="150">
        <v>0</v>
      </c>
      <c r="K1763" s="150">
        <v>98205.75</v>
      </c>
      <c r="L1763" s="150">
        <f t="shared" si="1510"/>
        <v>98205.75</v>
      </c>
      <c r="M1763" s="150">
        <v>0</v>
      </c>
      <c r="N1763" s="150">
        <v>181994.50045525905</v>
      </c>
      <c r="O1763" s="150">
        <v>181994.50045525905</v>
      </c>
      <c r="P1763" s="150">
        <v>0</v>
      </c>
      <c r="Q1763" s="150">
        <v>268961.89641852264</v>
      </c>
      <c r="R1763" s="313">
        <f t="shared" si="1505"/>
        <v>268961.89641852264</v>
      </c>
      <c r="S1763" s="150">
        <f t="shared" si="1491"/>
        <v>358615.86189136351</v>
      </c>
      <c r="T1763" s="150">
        <v>471410.86</v>
      </c>
      <c r="U1763" s="150">
        <v>0</v>
      </c>
      <c r="V1763" s="199">
        <v>358615.86189136351</v>
      </c>
      <c r="W1763" s="150">
        <f t="shared" si="1506"/>
        <v>358615.86189136351</v>
      </c>
      <c r="X1763" s="150">
        <v>0</v>
      </c>
      <c r="Y1763" s="150">
        <v>358615.86189136351</v>
      </c>
      <c r="Z1763" s="150">
        <v>358615.86189136351</v>
      </c>
      <c r="AA1763" s="150">
        <f t="shared" si="1487"/>
        <v>112794.99810863647</v>
      </c>
      <c r="AB1763" s="150">
        <v>0</v>
      </c>
      <c r="AC1763" s="199">
        <v>471410.86</v>
      </c>
      <c r="AD1763" s="150">
        <f t="shared" si="1507"/>
        <v>471410.86</v>
      </c>
      <c r="AE1763" s="150">
        <v>471410.86</v>
      </c>
      <c r="AF1763" s="169" t="s">
        <v>4680</v>
      </c>
      <c r="AG1763" s="201">
        <v>0</v>
      </c>
      <c r="AH1763" s="199">
        <v>471410.86</v>
      </c>
      <c r="AI1763" s="150">
        <v>471410.86</v>
      </c>
      <c r="AJ1763" s="169">
        <f t="shared" si="1488"/>
        <v>0</v>
      </c>
      <c r="AK1763" s="201">
        <v>0</v>
      </c>
      <c r="AL1763" s="199">
        <v>471410.86</v>
      </c>
      <c r="AM1763" s="150">
        <f t="shared" si="1508"/>
        <v>471410.86</v>
      </c>
      <c r="AN1763" s="153">
        <f t="shared" si="1489"/>
        <v>0</v>
      </c>
      <c r="AO1763" s="154">
        <f t="shared" si="1490"/>
        <v>0</v>
      </c>
      <c r="AP1763" s="150">
        <v>471410.86</v>
      </c>
      <c r="AQ1763" s="201">
        <v>471410.86</v>
      </c>
      <c r="AR1763" s="199"/>
      <c r="AS1763" s="150">
        <f t="shared" si="1509"/>
        <v>471410.86</v>
      </c>
      <c r="AT1763" s="155"/>
      <c r="AU1763" s="156">
        <f t="shared" si="1485"/>
        <v>0</v>
      </c>
      <c r="AV1763" s="156">
        <f t="shared" si="1486"/>
        <v>112794.99810863647</v>
      </c>
      <c r="AW1763" s="157"/>
      <c r="AX1763" s="150">
        <v>358615.86189136351</v>
      </c>
      <c r="AY1763" s="150">
        <v>0</v>
      </c>
      <c r="AZ1763" s="150">
        <f t="shared" si="1511"/>
        <v>363989.00091051811</v>
      </c>
      <c r="BA1763" s="150">
        <v>363989.00091051811</v>
      </c>
      <c r="BB1763" s="352">
        <v>5</v>
      </c>
      <c r="BC1763" s="352" t="s">
        <v>755</v>
      </c>
      <c r="BD1763" s="352" t="s">
        <v>647</v>
      </c>
      <c r="BE1763" s="352" t="s">
        <v>632</v>
      </c>
      <c r="BF1763" s="352" t="s">
        <v>1243</v>
      </c>
      <c r="BG1763" s="196" t="s">
        <v>9251</v>
      </c>
      <c r="BH1763" s="216">
        <f>AS1763</f>
        <v>471410.86</v>
      </c>
      <c r="BI1763" s="205"/>
      <c r="BJ1763" s="206"/>
      <c r="BK1763" s="206"/>
      <c r="BL1763" s="207" t="s">
        <v>9188</v>
      </c>
      <c r="BM1763" s="208">
        <f>BH1763</f>
        <v>471410.86</v>
      </c>
      <c r="BN1763" s="160"/>
      <c r="BO1763" s="161">
        <f t="shared" si="1498"/>
        <v>0</v>
      </c>
      <c r="BP1763" s="161"/>
    </row>
    <row r="1764" spans="1:68" ht="63.75">
      <c r="A1764" s="206"/>
      <c r="B1764" s="195" t="s">
        <v>9252</v>
      </c>
      <c r="C1764" s="196" t="s">
        <v>9253</v>
      </c>
      <c r="D1764" s="146" t="s">
        <v>4692</v>
      </c>
      <c r="E1764" s="196" t="s">
        <v>9253</v>
      </c>
      <c r="F1764" s="150">
        <v>482072</v>
      </c>
      <c r="G1764" s="209">
        <v>0</v>
      </c>
      <c r="H1764" s="209">
        <v>0</v>
      </c>
      <c r="I1764" s="209">
        <v>0</v>
      </c>
      <c r="J1764" s="150">
        <v>0</v>
      </c>
      <c r="K1764" s="150">
        <v>128819</v>
      </c>
      <c r="L1764" s="150">
        <f t="shared" si="1510"/>
        <v>128819</v>
      </c>
      <c r="M1764" s="150">
        <v>0</v>
      </c>
      <c r="N1764" s="150">
        <v>258502.32215561226</v>
      </c>
      <c r="O1764" s="150">
        <v>258502.32215561226</v>
      </c>
      <c r="P1764" s="150">
        <v>0</v>
      </c>
      <c r="Q1764" s="150">
        <v>382029.53727526352</v>
      </c>
      <c r="R1764" s="313">
        <f t="shared" si="1505"/>
        <v>382029.53727526352</v>
      </c>
      <c r="S1764" s="150">
        <f t="shared" si="1491"/>
        <v>509372.71636701806</v>
      </c>
      <c r="T1764" s="150">
        <v>646170.43000000005</v>
      </c>
      <c r="U1764" s="150">
        <v>0</v>
      </c>
      <c r="V1764" s="199">
        <v>509372.716367018</v>
      </c>
      <c r="W1764" s="150">
        <f t="shared" si="1506"/>
        <v>509372.716367018</v>
      </c>
      <c r="X1764" s="150">
        <v>0</v>
      </c>
      <c r="Y1764" s="150">
        <v>509372.716367018</v>
      </c>
      <c r="Z1764" s="150">
        <v>509372.716367018</v>
      </c>
      <c r="AA1764" s="150">
        <f t="shared" si="1487"/>
        <v>136797.71363298193</v>
      </c>
      <c r="AB1764" s="150">
        <v>0</v>
      </c>
      <c r="AC1764" s="199">
        <v>646170.42999999993</v>
      </c>
      <c r="AD1764" s="150">
        <f t="shared" si="1507"/>
        <v>646170.42999999993</v>
      </c>
      <c r="AE1764" s="150">
        <v>646170.42999999993</v>
      </c>
      <c r="AF1764" s="169" t="s">
        <v>4680</v>
      </c>
      <c r="AG1764" s="201">
        <v>0</v>
      </c>
      <c r="AH1764" s="199">
        <v>646170.42999999993</v>
      </c>
      <c r="AI1764" s="150">
        <v>646170.42999999993</v>
      </c>
      <c r="AJ1764" s="169">
        <f t="shared" si="1488"/>
        <v>0</v>
      </c>
      <c r="AK1764" s="201">
        <v>0</v>
      </c>
      <c r="AL1764" s="199">
        <v>646170.42999999993</v>
      </c>
      <c r="AM1764" s="150">
        <f t="shared" si="1508"/>
        <v>646170.42999999993</v>
      </c>
      <c r="AN1764" s="153">
        <f t="shared" si="1489"/>
        <v>0</v>
      </c>
      <c r="AO1764" s="154">
        <f t="shared" si="1490"/>
        <v>0</v>
      </c>
      <c r="AP1764" s="150">
        <v>646170.42999999993</v>
      </c>
      <c r="AQ1764" s="201">
        <v>646170.43000000005</v>
      </c>
      <c r="AR1764" s="199"/>
      <c r="AS1764" s="150">
        <f t="shared" si="1509"/>
        <v>646170.43000000005</v>
      </c>
      <c r="AT1764" s="155"/>
      <c r="AU1764" s="156">
        <f t="shared" si="1485"/>
        <v>0</v>
      </c>
      <c r="AV1764" s="156">
        <f t="shared" si="1486"/>
        <v>136797.71363298193</v>
      </c>
      <c r="AW1764" s="157"/>
      <c r="AX1764" s="150">
        <v>509372.716367018</v>
      </c>
      <c r="AY1764" s="150">
        <v>0</v>
      </c>
      <c r="AZ1764" s="150">
        <f t="shared" si="1511"/>
        <v>517004.64431122452</v>
      </c>
      <c r="BA1764" s="150">
        <v>517004.64431122452</v>
      </c>
      <c r="BB1764" s="352">
        <v>5</v>
      </c>
      <c r="BC1764" s="352" t="s">
        <v>755</v>
      </c>
      <c r="BD1764" s="352" t="s">
        <v>647</v>
      </c>
      <c r="BE1764" s="352" t="s">
        <v>632</v>
      </c>
      <c r="BF1764" s="352" t="s">
        <v>1243</v>
      </c>
      <c r="BG1764" s="196" t="s">
        <v>9253</v>
      </c>
      <c r="BH1764" s="216">
        <f>AS1764</f>
        <v>646170.43000000005</v>
      </c>
      <c r="BI1764" s="205"/>
      <c r="BJ1764" s="206"/>
      <c r="BK1764" s="206"/>
      <c r="BL1764" s="207" t="s">
        <v>9188</v>
      </c>
      <c r="BM1764" s="208">
        <f>BH1764</f>
        <v>646170.43000000005</v>
      </c>
      <c r="BN1764" s="160"/>
      <c r="BO1764" s="161">
        <f t="shared" si="1498"/>
        <v>0</v>
      </c>
      <c r="BP1764" s="161"/>
    </row>
    <row r="1765" spans="1:68" ht="38.25">
      <c r="A1765" s="256" t="s">
        <v>596</v>
      </c>
      <c r="B1765" s="184"/>
      <c r="C1765" s="185" t="s">
        <v>101</v>
      </c>
      <c r="D1765" s="146" t="s">
        <v>4692</v>
      </c>
      <c r="E1765" s="185" t="s">
        <v>101</v>
      </c>
      <c r="F1765" s="188">
        <v>0</v>
      </c>
      <c r="G1765" s="187">
        <v>0</v>
      </c>
      <c r="H1765" s="187"/>
      <c r="I1765" s="187">
        <v>0</v>
      </c>
      <c r="J1765" s="188">
        <f>SUM(J1766:J1792)</f>
        <v>0</v>
      </c>
      <c r="K1765" s="188">
        <f>SUM(K1766:K1792)</f>
        <v>0</v>
      </c>
      <c r="L1765" s="188">
        <f t="shared" si="1510"/>
        <v>0</v>
      </c>
      <c r="M1765" s="188">
        <v>0</v>
      </c>
      <c r="N1765" s="188">
        <v>0</v>
      </c>
      <c r="O1765" s="188">
        <v>0</v>
      </c>
      <c r="P1765" s="299">
        <f t="shared" ref="P1765:AD1765" si="1512">SUM(P1766:P1792)</f>
        <v>0</v>
      </c>
      <c r="Q1765" s="299">
        <f t="shared" si="1512"/>
        <v>0</v>
      </c>
      <c r="R1765" s="299">
        <f t="shared" si="1512"/>
        <v>0</v>
      </c>
      <c r="S1765" s="150">
        <f t="shared" si="1491"/>
        <v>0</v>
      </c>
      <c r="T1765" s="150">
        <v>0</v>
      </c>
      <c r="U1765" s="299">
        <f t="shared" ref="U1765:W1765" si="1513">SUM(U1766:U1792)</f>
        <v>0</v>
      </c>
      <c r="V1765" s="226">
        <f t="shared" si="1513"/>
        <v>0</v>
      </c>
      <c r="W1765" s="299">
        <f t="shared" si="1513"/>
        <v>0</v>
      </c>
      <c r="X1765" s="299">
        <v>0</v>
      </c>
      <c r="Y1765" s="299">
        <v>0</v>
      </c>
      <c r="Z1765" s="299">
        <v>0</v>
      </c>
      <c r="AA1765" s="299">
        <f t="shared" si="1487"/>
        <v>0</v>
      </c>
      <c r="AB1765" s="299">
        <v>0</v>
      </c>
      <c r="AC1765" s="226">
        <v>0</v>
      </c>
      <c r="AD1765" s="299">
        <f t="shared" si="1512"/>
        <v>0</v>
      </c>
      <c r="AE1765" s="299">
        <v>0</v>
      </c>
      <c r="AF1765" s="169" t="s">
        <v>4680</v>
      </c>
      <c r="AG1765" s="301">
        <v>0</v>
      </c>
      <c r="AH1765" s="226">
        <v>0</v>
      </c>
      <c r="AI1765" s="299">
        <v>0</v>
      </c>
      <c r="AJ1765" s="169">
        <f t="shared" si="1488"/>
        <v>0</v>
      </c>
      <c r="AK1765" s="301">
        <v>0</v>
      </c>
      <c r="AL1765" s="226">
        <v>0</v>
      </c>
      <c r="AM1765" s="299">
        <f t="shared" ref="AM1765" si="1514">SUM(AM1766:AM1792)</f>
        <v>0</v>
      </c>
      <c r="AN1765" s="153">
        <f t="shared" si="1489"/>
        <v>0</v>
      </c>
      <c r="AO1765" s="154">
        <f t="shared" si="1490"/>
        <v>0</v>
      </c>
      <c r="AP1765" s="299">
        <v>0</v>
      </c>
      <c r="AQ1765" s="301">
        <v>0</v>
      </c>
      <c r="AR1765" s="226">
        <f t="shared" ref="AR1765:AS1765" si="1515">SUM(AR1766:AR1792)</f>
        <v>0</v>
      </c>
      <c r="AS1765" s="299">
        <f t="shared" si="1515"/>
        <v>0</v>
      </c>
      <c r="AT1765" s="155"/>
      <c r="AU1765" s="156">
        <f t="shared" si="1485"/>
        <v>0</v>
      </c>
      <c r="AV1765" s="156">
        <f t="shared" si="1486"/>
        <v>0</v>
      </c>
      <c r="AW1765" s="157"/>
      <c r="AX1765" s="150">
        <v>0</v>
      </c>
      <c r="AY1765" s="299">
        <f t="shared" ref="AY1765:BA1765" si="1516">SUM(AY1766:AY1792)</f>
        <v>0</v>
      </c>
      <c r="AZ1765" s="299">
        <f t="shared" si="1516"/>
        <v>0</v>
      </c>
      <c r="BA1765" s="299">
        <f t="shared" si="1516"/>
        <v>0</v>
      </c>
      <c r="BB1765" s="192">
        <v>5</v>
      </c>
      <c r="BC1765" s="256" t="s">
        <v>755</v>
      </c>
      <c r="BD1765" s="256" t="s">
        <v>647</v>
      </c>
      <c r="BE1765" s="256" t="s">
        <v>647</v>
      </c>
      <c r="BF1765" s="256" t="s">
        <v>630</v>
      </c>
      <c r="BG1765" s="185" t="s">
        <v>101</v>
      </c>
      <c r="BH1765" s="215">
        <f>BH1766+BH1767+BH1775+BH1776+BH1777+BH1778+BH1789+BH1790+BH1791+BH1792</f>
        <v>0</v>
      </c>
      <c r="BI1765" s="192"/>
      <c r="BJ1765" s="256" t="s">
        <v>9254</v>
      </c>
      <c r="BK1765" s="256" t="s">
        <v>596</v>
      </c>
      <c r="BL1765" s="238" t="s">
        <v>9255</v>
      </c>
      <c r="BM1765" s="338">
        <f>BM1766+BM1767+BM1775+BM1776+BM1777+BM1778+BM1789+BM1790+BM1791+BM1792</f>
        <v>0</v>
      </c>
      <c r="BN1765" s="160"/>
      <c r="BO1765" s="161">
        <f t="shared" si="1498"/>
        <v>0</v>
      </c>
      <c r="BP1765" s="161"/>
    </row>
    <row r="1766" spans="1:68" ht="38.25">
      <c r="A1766" s="206" t="s">
        <v>596</v>
      </c>
      <c r="B1766" s="195" t="s">
        <v>9256</v>
      </c>
      <c r="C1766" s="196" t="s">
        <v>9257</v>
      </c>
      <c r="D1766" s="146" t="s">
        <v>4692</v>
      </c>
      <c r="E1766" s="196" t="s">
        <v>9257</v>
      </c>
      <c r="F1766" s="150">
        <v>0</v>
      </c>
      <c r="G1766" s="209">
        <v>0</v>
      </c>
      <c r="H1766" s="209"/>
      <c r="I1766" s="209">
        <v>0</v>
      </c>
      <c r="J1766" s="150">
        <v>0</v>
      </c>
      <c r="K1766" s="150">
        <v>0</v>
      </c>
      <c r="L1766" s="150">
        <f t="shared" si="1510"/>
        <v>0</v>
      </c>
      <c r="M1766" s="150">
        <v>0</v>
      </c>
      <c r="N1766" s="150">
        <v>0</v>
      </c>
      <c r="O1766" s="150">
        <v>0</v>
      </c>
      <c r="P1766" s="150">
        <v>0</v>
      </c>
      <c r="Q1766" s="150">
        <v>0</v>
      </c>
      <c r="R1766" s="313">
        <f t="shared" ref="R1766:R1792" si="1517">P1766+Q1766</f>
        <v>0</v>
      </c>
      <c r="S1766" s="150">
        <f t="shared" si="1491"/>
        <v>0</v>
      </c>
      <c r="T1766" s="150">
        <v>0</v>
      </c>
      <c r="U1766" s="150">
        <v>0</v>
      </c>
      <c r="V1766" s="199">
        <v>0</v>
      </c>
      <c r="W1766" s="150">
        <f t="shared" ref="W1766:W1792" si="1518">U1766+V1766</f>
        <v>0</v>
      </c>
      <c r="X1766" s="150">
        <v>0</v>
      </c>
      <c r="Y1766" s="150">
        <v>0</v>
      </c>
      <c r="Z1766" s="150">
        <v>0</v>
      </c>
      <c r="AA1766" s="150">
        <f t="shared" si="1487"/>
        <v>0</v>
      </c>
      <c r="AB1766" s="150">
        <v>0</v>
      </c>
      <c r="AC1766" s="199">
        <v>0</v>
      </c>
      <c r="AD1766" s="150">
        <f t="shared" ref="AD1766:AD1792" si="1519">AB1766+AC1766</f>
        <v>0</v>
      </c>
      <c r="AE1766" s="150">
        <v>0</v>
      </c>
      <c r="AF1766" s="169" t="s">
        <v>4680</v>
      </c>
      <c r="AG1766" s="201">
        <v>0</v>
      </c>
      <c r="AH1766" s="199">
        <v>0</v>
      </c>
      <c r="AI1766" s="150">
        <v>0</v>
      </c>
      <c r="AJ1766" s="169">
        <f t="shared" si="1488"/>
        <v>0</v>
      </c>
      <c r="AK1766" s="201">
        <v>0</v>
      </c>
      <c r="AL1766" s="199">
        <v>0</v>
      </c>
      <c r="AM1766" s="150">
        <f t="shared" ref="AM1766:AM1792" si="1520">AK1766+AL1766</f>
        <v>0</v>
      </c>
      <c r="AN1766" s="153">
        <f t="shared" si="1489"/>
        <v>0</v>
      </c>
      <c r="AO1766" s="154">
        <f t="shared" si="1490"/>
        <v>0</v>
      </c>
      <c r="AP1766" s="150">
        <v>0</v>
      </c>
      <c r="AQ1766" s="201">
        <v>0</v>
      </c>
      <c r="AR1766" s="199">
        <v>0</v>
      </c>
      <c r="AS1766" s="150">
        <f t="shared" ref="AS1766:AS1792" si="1521">AQ1766+AR1766</f>
        <v>0</v>
      </c>
      <c r="AT1766" s="155"/>
      <c r="AU1766" s="156">
        <f t="shared" si="1485"/>
        <v>0</v>
      </c>
      <c r="AV1766" s="156">
        <f t="shared" si="1486"/>
        <v>0</v>
      </c>
      <c r="AW1766" s="157"/>
      <c r="AX1766" s="150">
        <v>0</v>
      </c>
      <c r="AY1766" s="150">
        <v>0</v>
      </c>
      <c r="AZ1766" s="150"/>
      <c r="BA1766" s="150">
        <f t="shared" ref="BA1766:BA1792" si="1522">AY1766+AZ1766</f>
        <v>0</v>
      </c>
      <c r="BB1766" s="202">
        <v>5</v>
      </c>
      <c r="BC1766" s="202" t="s">
        <v>755</v>
      </c>
      <c r="BD1766" s="202" t="s">
        <v>647</v>
      </c>
      <c r="BE1766" s="202" t="s">
        <v>647</v>
      </c>
      <c r="BF1766" s="202" t="s">
        <v>632</v>
      </c>
      <c r="BG1766" s="231" t="s">
        <v>9258</v>
      </c>
      <c r="BH1766" s="216">
        <f>AS1766</f>
        <v>0</v>
      </c>
      <c r="BI1766" s="205"/>
      <c r="BJ1766" s="206" t="s">
        <v>9254</v>
      </c>
      <c r="BK1766" s="206" t="s">
        <v>596</v>
      </c>
      <c r="BL1766" s="207" t="s">
        <v>9255</v>
      </c>
      <c r="BM1766" s="208">
        <f>BH1766</f>
        <v>0</v>
      </c>
      <c r="BN1766" s="160"/>
      <c r="BO1766" s="161">
        <f t="shared" si="1498"/>
        <v>0</v>
      </c>
      <c r="BP1766" s="161"/>
    </row>
    <row r="1767" spans="1:68" ht="38.25">
      <c r="A1767" s="206" t="s">
        <v>596</v>
      </c>
      <c r="B1767" s="195" t="s">
        <v>9259</v>
      </c>
      <c r="C1767" s="196" t="s">
        <v>9260</v>
      </c>
      <c r="D1767" s="146" t="s">
        <v>4692</v>
      </c>
      <c r="E1767" s="196" t="s">
        <v>9260</v>
      </c>
      <c r="F1767" s="150">
        <v>0</v>
      </c>
      <c r="G1767" s="209">
        <v>0</v>
      </c>
      <c r="H1767" s="209"/>
      <c r="I1767" s="209">
        <v>0</v>
      </c>
      <c r="J1767" s="150">
        <v>0</v>
      </c>
      <c r="K1767" s="150">
        <v>0</v>
      </c>
      <c r="L1767" s="150">
        <f t="shared" si="1510"/>
        <v>0</v>
      </c>
      <c r="M1767" s="150">
        <v>0</v>
      </c>
      <c r="N1767" s="150">
        <v>0</v>
      </c>
      <c r="O1767" s="150">
        <v>0</v>
      </c>
      <c r="P1767" s="150">
        <v>0</v>
      </c>
      <c r="Q1767" s="150">
        <v>0</v>
      </c>
      <c r="R1767" s="313">
        <f t="shared" si="1517"/>
        <v>0</v>
      </c>
      <c r="S1767" s="150">
        <f t="shared" si="1491"/>
        <v>0</v>
      </c>
      <c r="T1767" s="150">
        <v>0</v>
      </c>
      <c r="U1767" s="150">
        <v>0</v>
      </c>
      <c r="V1767" s="199">
        <v>0</v>
      </c>
      <c r="W1767" s="150">
        <f t="shared" si="1518"/>
        <v>0</v>
      </c>
      <c r="X1767" s="150">
        <v>0</v>
      </c>
      <c r="Y1767" s="150">
        <v>0</v>
      </c>
      <c r="Z1767" s="150">
        <v>0</v>
      </c>
      <c r="AA1767" s="150">
        <f t="shared" si="1487"/>
        <v>0</v>
      </c>
      <c r="AB1767" s="150">
        <v>0</v>
      </c>
      <c r="AC1767" s="199">
        <v>0</v>
      </c>
      <c r="AD1767" s="150">
        <f t="shared" si="1519"/>
        <v>0</v>
      </c>
      <c r="AE1767" s="150">
        <v>0</v>
      </c>
      <c r="AF1767" s="169" t="s">
        <v>4680</v>
      </c>
      <c r="AG1767" s="201">
        <v>0</v>
      </c>
      <c r="AH1767" s="199">
        <v>0</v>
      </c>
      <c r="AI1767" s="150">
        <v>0</v>
      </c>
      <c r="AJ1767" s="169">
        <f t="shared" si="1488"/>
        <v>0</v>
      </c>
      <c r="AK1767" s="201">
        <v>0</v>
      </c>
      <c r="AL1767" s="199">
        <v>0</v>
      </c>
      <c r="AM1767" s="150">
        <f t="shared" si="1520"/>
        <v>0</v>
      </c>
      <c r="AN1767" s="153">
        <f t="shared" si="1489"/>
        <v>0</v>
      </c>
      <c r="AO1767" s="154">
        <f t="shared" si="1490"/>
        <v>0</v>
      </c>
      <c r="AP1767" s="150">
        <v>0</v>
      </c>
      <c r="AQ1767" s="201">
        <v>0</v>
      </c>
      <c r="AR1767" s="199">
        <v>0</v>
      </c>
      <c r="AS1767" s="150">
        <f t="shared" si="1521"/>
        <v>0</v>
      </c>
      <c r="AT1767" s="155"/>
      <c r="AU1767" s="156">
        <f t="shared" si="1485"/>
        <v>0</v>
      </c>
      <c r="AV1767" s="156">
        <f t="shared" si="1486"/>
        <v>0</v>
      </c>
      <c r="AW1767" s="157"/>
      <c r="AX1767" s="150">
        <v>0</v>
      </c>
      <c r="AY1767" s="150">
        <v>0</v>
      </c>
      <c r="AZ1767" s="150"/>
      <c r="BA1767" s="150">
        <f t="shared" si="1522"/>
        <v>0</v>
      </c>
      <c r="BB1767" s="202">
        <v>5</v>
      </c>
      <c r="BC1767" s="202" t="s">
        <v>755</v>
      </c>
      <c r="BD1767" s="202" t="s">
        <v>647</v>
      </c>
      <c r="BE1767" s="202" t="s">
        <v>647</v>
      </c>
      <c r="BF1767" s="202" t="s">
        <v>714</v>
      </c>
      <c r="BG1767" s="231" t="s">
        <v>9261</v>
      </c>
      <c r="BH1767" s="216">
        <f>SUM(AS1767:AS1774)</f>
        <v>0</v>
      </c>
      <c r="BI1767" s="205"/>
      <c r="BJ1767" s="206" t="s">
        <v>9254</v>
      </c>
      <c r="BK1767" s="206" t="s">
        <v>596</v>
      </c>
      <c r="BL1767" s="207" t="s">
        <v>9255</v>
      </c>
      <c r="BM1767" s="208">
        <f>BH1767</f>
        <v>0</v>
      </c>
      <c r="BN1767" s="160"/>
      <c r="BO1767" s="161">
        <f t="shared" si="1498"/>
        <v>0</v>
      </c>
      <c r="BP1767" s="161"/>
    </row>
    <row r="1768" spans="1:68" ht="38.25">
      <c r="A1768" s="210"/>
      <c r="B1768" s="195" t="s">
        <v>9262</v>
      </c>
      <c r="C1768" s="196" t="s">
        <v>9263</v>
      </c>
      <c r="D1768" s="146" t="s">
        <v>4692</v>
      </c>
      <c r="E1768" s="196" t="s">
        <v>9263</v>
      </c>
      <c r="F1768" s="150">
        <v>0</v>
      </c>
      <c r="G1768" s="209">
        <v>0</v>
      </c>
      <c r="H1768" s="209"/>
      <c r="I1768" s="209">
        <v>0</v>
      </c>
      <c r="J1768" s="150">
        <v>0</v>
      </c>
      <c r="K1768" s="150">
        <v>0</v>
      </c>
      <c r="L1768" s="150">
        <f t="shared" si="1510"/>
        <v>0</v>
      </c>
      <c r="M1768" s="150">
        <v>0</v>
      </c>
      <c r="N1768" s="150">
        <v>0</v>
      </c>
      <c r="O1768" s="150">
        <v>0</v>
      </c>
      <c r="P1768" s="150">
        <v>0</v>
      </c>
      <c r="Q1768" s="150">
        <v>0</v>
      </c>
      <c r="R1768" s="313">
        <f t="shared" si="1517"/>
        <v>0</v>
      </c>
      <c r="S1768" s="150">
        <f t="shared" si="1491"/>
        <v>0</v>
      </c>
      <c r="T1768" s="150">
        <v>0</v>
      </c>
      <c r="U1768" s="150">
        <v>0</v>
      </c>
      <c r="V1768" s="199">
        <v>0</v>
      </c>
      <c r="W1768" s="150">
        <f t="shared" si="1518"/>
        <v>0</v>
      </c>
      <c r="X1768" s="150">
        <v>0</v>
      </c>
      <c r="Y1768" s="150">
        <v>0</v>
      </c>
      <c r="Z1768" s="150">
        <v>0</v>
      </c>
      <c r="AA1768" s="150">
        <f t="shared" si="1487"/>
        <v>0</v>
      </c>
      <c r="AB1768" s="150">
        <v>0</v>
      </c>
      <c r="AC1768" s="199">
        <v>0</v>
      </c>
      <c r="AD1768" s="150">
        <f t="shared" si="1519"/>
        <v>0</v>
      </c>
      <c r="AE1768" s="150">
        <v>0</v>
      </c>
      <c r="AF1768" s="169" t="s">
        <v>4680</v>
      </c>
      <c r="AG1768" s="201">
        <v>0</v>
      </c>
      <c r="AH1768" s="199">
        <v>0</v>
      </c>
      <c r="AI1768" s="150">
        <v>0</v>
      </c>
      <c r="AJ1768" s="169">
        <f t="shared" si="1488"/>
        <v>0</v>
      </c>
      <c r="AK1768" s="201">
        <v>0</v>
      </c>
      <c r="AL1768" s="199">
        <v>0</v>
      </c>
      <c r="AM1768" s="150">
        <f t="shared" si="1520"/>
        <v>0</v>
      </c>
      <c r="AN1768" s="153">
        <f t="shared" si="1489"/>
        <v>0</v>
      </c>
      <c r="AO1768" s="154">
        <f t="shared" si="1490"/>
        <v>0</v>
      </c>
      <c r="AP1768" s="150">
        <v>0</v>
      </c>
      <c r="AQ1768" s="201">
        <v>0</v>
      </c>
      <c r="AR1768" s="199">
        <v>0</v>
      </c>
      <c r="AS1768" s="150">
        <f t="shared" si="1521"/>
        <v>0</v>
      </c>
      <c r="AT1768" s="155"/>
      <c r="AU1768" s="156">
        <f t="shared" si="1485"/>
        <v>0</v>
      </c>
      <c r="AV1768" s="156">
        <f t="shared" si="1486"/>
        <v>0</v>
      </c>
      <c r="AW1768" s="157"/>
      <c r="AX1768" s="150">
        <v>0</v>
      </c>
      <c r="AY1768" s="150">
        <v>0</v>
      </c>
      <c r="AZ1768" s="150"/>
      <c r="BA1768" s="150">
        <f t="shared" si="1522"/>
        <v>0</v>
      </c>
      <c r="BB1768" s="210"/>
      <c r="BC1768" s="210"/>
      <c r="BD1768" s="210"/>
      <c r="BE1768" s="210"/>
      <c r="BF1768" s="210"/>
      <c r="BG1768" s="210"/>
      <c r="BH1768" s="217"/>
      <c r="BI1768" s="210"/>
      <c r="BJ1768" s="210"/>
      <c r="BK1768" s="210"/>
      <c r="BL1768" s="210"/>
      <c r="BM1768" s="208"/>
      <c r="BN1768" s="160"/>
      <c r="BO1768" s="161">
        <f t="shared" si="1498"/>
        <v>0</v>
      </c>
      <c r="BP1768" s="161"/>
    </row>
    <row r="1769" spans="1:68" ht="38.25">
      <c r="A1769" s="210"/>
      <c r="B1769" s="195" t="s">
        <v>9264</v>
      </c>
      <c r="C1769" s="196" t="s">
        <v>9265</v>
      </c>
      <c r="D1769" s="146" t="s">
        <v>4692</v>
      </c>
      <c r="E1769" s="196" t="s">
        <v>9265</v>
      </c>
      <c r="F1769" s="150">
        <v>0</v>
      </c>
      <c r="G1769" s="209">
        <v>0</v>
      </c>
      <c r="H1769" s="209"/>
      <c r="I1769" s="209">
        <v>0</v>
      </c>
      <c r="J1769" s="150">
        <v>0</v>
      </c>
      <c r="K1769" s="150">
        <v>0</v>
      </c>
      <c r="L1769" s="150">
        <f t="shared" si="1510"/>
        <v>0</v>
      </c>
      <c r="M1769" s="150">
        <v>0</v>
      </c>
      <c r="N1769" s="150">
        <v>0</v>
      </c>
      <c r="O1769" s="150">
        <v>0</v>
      </c>
      <c r="P1769" s="150">
        <v>0</v>
      </c>
      <c r="Q1769" s="150">
        <v>0</v>
      </c>
      <c r="R1769" s="313">
        <f t="shared" si="1517"/>
        <v>0</v>
      </c>
      <c r="S1769" s="150">
        <f t="shared" si="1491"/>
        <v>0</v>
      </c>
      <c r="T1769" s="150">
        <v>0</v>
      </c>
      <c r="U1769" s="150">
        <v>0</v>
      </c>
      <c r="V1769" s="199">
        <v>0</v>
      </c>
      <c r="W1769" s="150">
        <f t="shared" si="1518"/>
        <v>0</v>
      </c>
      <c r="X1769" s="150">
        <v>0</v>
      </c>
      <c r="Y1769" s="150">
        <v>0</v>
      </c>
      <c r="Z1769" s="150">
        <v>0</v>
      </c>
      <c r="AA1769" s="150">
        <f t="shared" si="1487"/>
        <v>0</v>
      </c>
      <c r="AB1769" s="150">
        <v>0</v>
      </c>
      <c r="AC1769" s="199">
        <v>0</v>
      </c>
      <c r="AD1769" s="150">
        <f t="shared" si="1519"/>
        <v>0</v>
      </c>
      <c r="AE1769" s="150">
        <v>0</v>
      </c>
      <c r="AF1769" s="169" t="s">
        <v>4680</v>
      </c>
      <c r="AG1769" s="201">
        <v>0</v>
      </c>
      <c r="AH1769" s="199">
        <v>0</v>
      </c>
      <c r="AI1769" s="150">
        <v>0</v>
      </c>
      <c r="AJ1769" s="169">
        <f t="shared" si="1488"/>
        <v>0</v>
      </c>
      <c r="AK1769" s="201">
        <v>0</v>
      </c>
      <c r="AL1769" s="199">
        <v>0</v>
      </c>
      <c r="AM1769" s="150">
        <f t="shared" si="1520"/>
        <v>0</v>
      </c>
      <c r="AN1769" s="153">
        <f t="shared" si="1489"/>
        <v>0</v>
      </c>
      <c r="AO1769" s="154">
        <f t="shared" si="1490"/>
        <v>0</v>
      </c>
      <c r="AP1769" s="150">
        <v>0</v>
      </c>
      <c r="AQ1769" s="201">
        <v>0</v>
      </c>
      <c r="AR1769" s="199">
        <v>0</v>
      </c>
      <c r="AS1769" s="150">
        <f t="shared" si="1521"/>
        <v>0</v>
      </c>
      <c r="AT1769" s="155"/>
      <c r="AU1769" s="156">
        <f t="shared" si="1485"/>
        <v>0</v>
      </c>
      <c r="AV1769" s="156">
        <f t="shared" si="1486"/>
        <v>0</v>
      </c>
      <c r="AW1769" s="157"/>
      <c r="AX1769" s="150">
        <v>0</v>
      </c>
      <c r="AY1769" s="150">
        <v>0</v>
      </c>
      <c r="AZ1769" s="150"/>
      <c r="BA1769" s="150">
        <f t="shared" si="1522"/>
        <v>0</v>
      </c>
      <c r="BB1769" s="210"/>
      <c r="BC1769" s="210"/>
      <c r="BD1769" s="210"/>
      <c r="BE1769" s="210"/>
      <c r="BF1769" s="210"/>
      <c r="BG1769" s="210"/>
      <c r="BH1769" s="217"/>
      <c r="BI1769" s="210"/>
      <c r="BJ1769" s="210"/>
      <c r="BK1769" s="210"/>
      <c r="BL1769" s="210"/>
      <c r="BM1769" s="208"/>
      <c r="BN1769" s="160"/>
      <c r="BO1769" s="161">
        <f t="shared" si="1498"/>
        <v>0</v>
      </c>
      <c r="BP1769" s="161"/>
    </row>
    <row r="1770" spans="1:68" ht="38.25">
      <c r="A1770" s="210"/>
      <c r="B1770" s="195" t="s">
        <v>9266</v>
      </c>
      <c r="C1770" s="196" t="s">
        <v>9267</v>
      </c>
      <c r="D1770" s="146" t="s">
        <v>4692</v>
      </c>
      <c r="E1770" s="196" t="s">
        <v>9267</v>
      </c>
      <c r="F1770" s="150">
        <v>0</v>
      </c>
      <c r="G1770" s="209">
        <v>0</v>
      </c>
      <c r="H1770" s="209"/>
      <c r="I1770" s="209">
        <v>0</v>
      </c>
      <c r="J1770" s="150">
        <v>0</v>
      </c>
      <c r="K1770" s="150">
        <v>0</v>
      </c>
      <c r="L1770" s="150">
        <f t="shared" si="1510"/>
        <v>0</v>
      </c>
      <c r="M1770" s="150">
        <v>0</v>
      </c>
      <c r="N1770" s="150">
        <v>0</v>
      </c>
      <c r="O1770" s="150">
        <v>0</v>
      </c>
      <c r="P1770" s="150">
        <v>0</v>
      </c>
      <c r="Q1770" s="150">
        <v>0</v>
      </c>
      <c r="R1770" s="313">
        <f t="shared" si="1517"/>
        <v>0</v>
      </c>
      <c r="S1770" s="150">
        <f t="shared" si="1491"/>
        <v>0</v>
      </c>
      <c r="T1770" s="150">
        <v>0</v>
      </c>
      <c r="U1770" s="150">
        <v>0</v>
      </c>
      <c r="V1770" s="199">
        <v>0</v>
      </c>
      <c r="W1770" s="150">
        <f t="shared" si="1518"/>
        <v>0</v>
      </c>
      <c r="X1770" s="150">
        <v>0</v>
      </c>
      <c r="Y1770" s="150">
        <v>0</v>
      </c>
      <c r="Z1770" s="150">
        <v>0</v>
      </c>
      <c r="AA1770" s="150">
        <f t="shared" si="1487"/>
        <v>0</v>
      </c>
      <c r="AB1770" s="150">
        <v>0</v>
      </c>
      <c r="AC1770" s="199">
        <v>0</v>
      </c>
      <c r="AD1770" s="150">
        <f t="shared" si="1519"/>
        <v>0</v>
      </c>
      <c r="AE1770" s="150">
        <v>0</v>
      </c>
      <c r="AF1770" s="169" t="s">
        <v>4680</v>
      </c>
      <c r="AG1770" s="201">
        <v>0</v>
      </c>
      <c r="AH1770" s="199">
        <v>0</v>
      </c>
      <c r="AI1770" s="150">
        <v>0</v>
      </c>
      <c r="AJ1770" s="169">
        <f t="shared" si="1488"/>
        <v>0</v>
      </c>
      <c r="AK1770" s="201">
        <v>0</v>
      </c>
      <c r="AL1770" s="199">
        <v>0</v>
      </c>
      <c r="AM1770" s="150">
        <f t="shared" si="1520"/>
        <v>0</v>
      </c>
      <c r="AN1770" s="153">
        <f t="shared" si="1489"/>
        <v>0</v>
      </c>
      <c r="AO1770" s="154">
        <f t="shared" si="1490"/>
        <v>0</v>
      </c>
      <c r="AP1770" s="150">
        <v>0</v>
      </c>
      <c r="AQ1770" s="201">
        <v>0</v>
      </c>
      <c r="AR1770" s="199">
        <v>0</v>
      </c>
      <c r="AS1770" s="150">
        <f t="shared" si="1521"/>
        <v>0</v>
      </c>
      <c r="AT1770" s="155"/>
      <c r="AU1770" s="156">
        <f t="shared" si="1485"/>
        <v>0</v>
      </c>
      <c r="AV1770" s="156">
        <f t="shared" si="1486"/>
        <v>0</v>
      </c>
      <c r="AW1770" s="157"/>
      <c r="AX1770" s="150">
        <v>0</v>
      </c>
      <c r="AY1770" s="150">
        <v>0</v>
      </c>
      <c r="AZ1770" s="150"/>
      <c r="BA1770" s="150">
        <f t="shared" si="1522"/>
        <v>0</v>
      </c>
      <c r="BB1770" s="210"/>
      <c r="BC1770" s="210"/>
      <c r="BD1770" s="210"/>
      <c r="BE1770" s="210"/>
      <c r="BF1770" s="210"/>
      <c r="BG1770" s="210"/>
      <c r="BH1770" s="217"/>
      <c r="BI1770" s="210"/>
      <c r="BJ1770" s="210"/>
      <c r="BK1770" s="210"/>
      <c r="BL1770" s="210"/>
      <c r="BM1770" s="208"/>
      <c r="BN1770" s="160"/>
      <c r="BO1770" s="161">
        <f t="shared" si="1498"/>
        <v>0</v>
      </c>
      <c r="BP1770" s="161"/>
    </row>
    <row r="1771" spans="1:68" ht="51">
      <c r="A1771" s="210"/>
      <c r="B1771" s="195" t="s">
        <v>9268</v>
      </c>
      <c r="C1771" s="196" t="s">
        <v>9269</v>
      </c>
      <c r="D1771" s="146" t="s">
        <v>4692</v>
      </c>
      <c r="E1771" s="196" t="s">
        <v>9269</v>
      </c>
      <c r="F1771" s="150">
        <v>0</v>
      </c>
      <c r="G1771" s="209">
        <v>0</v>
      </c>
      <c r="H1771" s="209"/>
      <c r="I1771" s="209">
        <v>0</v>
      </c>
      <c r="J1771" s="150">
        <v>0</v>
      </c>
      <c r="K1771" s="150">
        <v>0</v>
      </c>
      <c r="L1771" s="150">
        <f t="shared" si="1510"/>
        <v>0</v>
      </c>
      <c r="M1771" s="150">
        <v>0</v>
      </c>
      <c r="N1771" s="150">
        <v>0</v>
      </c>
      <c r="O1771" s="150">
        <v>0</v>
      </c>
      <c r="P1771" s="150">
        <v>0</v>
      </c>
      <c r="Q1771" s="150">
        <v>0</v>
      </c>
      <c r="R1771" s="313">
        <f t="shared" si="1517"/>
        <v>0</v>
      </c>
      <c r="S1771" s="150">
        <f t="shared" si="1491"/>
        <v>0</v>
      </c>
      <c r="T1771" s="150">
        <v>0</v>
      </c>
      <c r="U1771" s="150">
        <v>0</v>
      </c>
      <c r="V1771" s="199">
        <v>0</v>
      </c>
      <c r="W1771" s="150">
        <f t="shared" si="1518"/>
        <v>0</v>
      </c>
      <c r="X1771" s="150">
        <v>0</v>
      </c>
      <c r="Y1771" s="150">
        <v>0</v>
      </c>
      <c r="Z1771" s="150">
        <v>0</v>
      </c>
      <c r="AA1771" s="150">
        <f t="shared" si="1487"/>
        <v>0</v>
      </c>
      <c r="AB1771" s="150">
        <v>0</v>
      </c>
      <c r="AC1771" s="199">
        <v>0</v>
      </c>
      <c r="AD1771" s="150">
        <f t="shared" si="1519"/>
        <v>0</v>
      </c>
      <c r="AE1771" s="150">
        <v>0</v>
      </c>
      <c r="AF1771" s="169" t="s">
        <v>4680</v>
      </c>
      <c r="AG1771" s="201">
        <v>0</v>
      </c>
      <c r="AH1771" s="199">
        <v>0</v>
      </c>
      <c r="AI1771" s="150">
        <v>0</v>
      </c>
      <c r="AJ1771" s="169">
        <f t="shared" si="1488"/>
        <v>0</v>
      </c>
      <c r="AK1771" s="201">
        <v>0</v>
      </c>
      <c r="AL1771" s="199">
        <v>0</v>
      </c>
      <c r="AM1771" s="150">
        <f t="shared" si="1520"/>
        <v>0</v>
      </c>
      <c r="AN1771" s="153">
        <f t="shared" si="1489"/>
        <v>0</v>
      </c>
      <c r="AO1771" s="154">
        <f t="shared" si="1490"/>
        <v>0</v>
      </c>
      <c r="AP1771" s="150">
        <v>0</v>
      </c>
      <c r="AQ1771" s="201">
        <v>0</v>
      </c>
      <c r="AR1771" s="199">
        <v>0</v>
      </c>
      <c r="AS1771" s="150">
        <f t="shared" si="1521"/>
        <v>0</v>
      </c>
      <c r="AT1771" s="155"/>
      <c r="AU1771" s="156">
        <f t="shared" si="1485"/>
        <v>0</v>
      </c>
      <c r="AV1771" s="156">
        <f t="shared" si="1486"/>
        <v>0</v>
      </c>
      <c r="AW1771" s="157"/>
      <c r="AX1771" s="150">
        <v>0</v>
      </c>
      <c r="AY1771" s="150">
        <v>0</v>
      </c>
      <c r="AZ1771" s="150"/>
      <c r="BA1771" s="150">
        <f t="shared" si="1522"/>
        <v>0</v>
      </c>
      <c r="BB1771" s="210"/>
      <c r="BC1771" s="210"/>
      <c r="BD1771" s="210"/>
      <c r="BE1771" s="210"/>
      <c r="BF1771" s="210"/>
      <c r="BG1771" s="210"/>
      <c r="BH1771" s="217"/>
      <c r="BI1771" s="210"/>
      <c r="BJ1771" s="210"/>
      <c r="BK1771" s="210"/>
      <c r="BL1771" s="210"/>
      <c r="BM1771" s="208"/>
      <c r="BN1771" s="160"/>
      <c r="BO1771" s="161">
        <f t="shared" si="1498"/>
        <v>0</v>
      </c>
      <c r="BP1771" s="161"/>
    </row>
    <row r="1772" spans="1:68" ht="38.25">
      <c r="A1772" s="210"/>
      <c r="B1772" s="195" t="s">
        <v>9270</v>
      </c>
      <c r="C1772" s="196" t="s">
        <v>9271</v>
      </c>
      <c r="D1772" s="146" t="s">
        <v>4692</v>
      </c>
      <c r="E1772" s="196" t="s">
        <v>9271</v>
      </c>
      <c r="F1772" s="150">
        <v>0</v>
      </c>
      <c r="G1772" s="209">
        <v>0</v>
      </c>
      <c r="H1772" s="209"/>
      <c r="I1772" s="209">
        <v>0</v>
      </c>
      <c r="J1772" s="150">
        <v>0</v>
      </c>
      <c r="K1772" s="150">
        <v>0</v>
      </c>
      <c r="L1772" s="150">
        <f t="shared" si="1510"/>
        <v>0</v>
      </c>
      <c r="M1772" s="150">
        <v>0</v>
      </c>
      <c r="N1772" s="150">
        <v>0</v>
      </c>
      <c r="O1772" s="150">
        <v>0</v>
      </c>
      <c r="P1772" s="150">
        <v>0</v>
      </c>
      <c r="Q1772" s="150">
        <v>0</v>
      </c>
      <c r="R1772" s="313">
        <f t="shared" si="1517"/>
        <v>0</v>
      </c>
      <c r="S1772" s="150">
        <f t="shared" si="1491"/>
        <v>0</v>
      </c>
      <c r="T1772" s="150">
        <v>0</v>
      </c>
      <c r="U1772" s="150">
        <v>0</v>
      </c>
      <c r="V1772" s="199">
        <v>0</v>
      </c>
      <c r="W1772" s="150">
        <f t="shared" si="1518"/>
        <v>0</v>
      </c>
      <c r="X1772" s="150">
        <v>0</v>
      </c>
      <c r="Y1772" s="150">
        <v>0</v>
      </c>
      <c r="Z1772" s="150">
        <v>0</v>
      </c>
      <c r="AA1772" s="150">
        <f t="shared" si="1487"/>
        <v>0</v>
      </c>
      <c r="AB1772" s="150">
        <v>0</v>
      </c>
      <c r="AC1772" s="199">
        <v>0</v>
      </c>
      <c r="AD1772" s="150">
        <f t="shared" si="1519"/>
        <v>0</v>
      </c>
      <c r="AE1772" s="150">
        <v>0</v>
      </c>
      <c r="AF1772" s="169" t="s">
        <v>4680</v>
      </c>
      <c r="AG1772" s="201">
        <v>0</v>
      </c>
      <c r="AH1772" s="199">
        <v>0</v>
      </c>
      <c r="AI1772" s="150">
        <v>0</v>
      </c>
      <c r="AJ1772" s="169">
        <f t="shared" si="1488"/>
        <v>0</v>
      </c>
      <c r="AK1772" s="201">
        <v>0</v>
      </c>
      <c r="AL1772" s="199">
        <v>0</v>
      </c>
      <c r="AM1772" s="150">
        <f t="shared" si="1520"/>
        <v>0</v>
      </c>
      <c r="AN1772" s="153">
        <f t="shared" si="1489"/>
        <v>0</v>
      </c>
      <c r="AO1772" s="154">
        <f t="shared" si="1490"/>
        <v>0</v>
      </c>
      <c r="AP1772" s="150">
        <v>0</v>
      </c>
      <c r="AQ1772" s="201">
        <v>0</v>
      </c>
      <c r="AR1772" s="199">
        <v>0</v>
      </c>
      <c r="AS1772" s="150">
        <f t="shared" si="1521"/>
        <v>0</v>
      </c>
      <c r="AT1772" s="155"/>
      <c r="AU1772" s="156">
        <f t="shared" si="1485"/>
        <v>0</v>
      </c>
      <c r="AV1772" s="156">
        <f t="shared" si="1486"/>
        <v>0</v>
      </c>
      <c r="AW1772" s="157"/>
      <c r="AX1772" s="150">
        <v>0</v>
      </c>
      <c r="AY1772" s="150">
        <v>0</v>
      </c>
      <c r="AZ1772" s="150"/>
      <c r="BA1772" s="150">
        <f t="shared" si="1522"/>
        <v>0</v>
      </c>
      <c r="BB1772" s="210"/>
      <c r="BC1772" s="210"/>
      <c r="BD1772" s="210"/>
      <c r="BE1772" s="210"/>
      <c r="BF1772" s="210"/>
      <c r="BG1772" s="210"/>
      <c r="BH1772" s="217"/>
      <c r="BI1772" s="210"/>
      <c r="BJ1772" s="210"/>
      <c r="BK1772" s="210"/>
      <c r="BL1772" s="210"/>
      <c r="BM1772" s="208"/>
      <c r="BN1772" s="160"/>
      <c r="BO1772" s="161">
        <f t="shared" si="1498"/>
        <v>0</v>
      </c>
      <c r="BP1772" s="161"/>
    </row>
    <row r="1773" spans="1:68" ht="38.25">
      <c r="A1773" s="210"/>
      <c r="B1773" s="195" t="s">
        <v>9272</v>
      </c>
      <c r="C1773" s="196" t="s">
        <v>9273</v>
      </c>
      <c r="D1773" s="146" t="s">
        <v>4692</v>
      </c>
      <c r="E1773" s="196" t="s">
        <v>9273</v>
      </c>
      <c r="F1773" s="150">
        <v>0</v>
      </c>
      <c r="G1773" s="209">
        <v>0</v>
      </c>
      <c r="H1773" s="209"/>
      <c r="I1773" s="209">
        <v>0</v>
      </c>
      <c r="J1773" s="150">
        <v>0</v>
      </c>
      <c r="K1773" s="150">
        <v>0</v>
      </c>
      <c r="L1773" s="150">
        <f t="shared" si="1510"/>
        <v>0</v>
      </c>
      <c r="M1773" s="150">
        <v>0</v>
      </c>
      <c r="N1773" s="150">
        <v>0</v>
      </c>
      <c r="O1773" s="150">
        <v>0</v>
      </c>
      <c r="P1773" s="150">
        <v>0</v>
      </c>
      <c r="Q1773" s="150">
        <v>0</v>
      </c>
      <c r="R1773" s="313">
        <f t="shared" si="1517"/>
        <v>0</v>
      </c>
      <c r="S1773" s="150">
        <f t="shared" si="1491"/>
        <v>0</v>
      </c>
      <c r="T1773" s="150">
        <v>0</v>
      </c>
      <c r="U1773" s="150">
        <v>0</v>
      </c>
      <c r="V1773" s="199">
        <v>0</v>
      </c>
      <c r="W1773" s="150">
        <f t="shared" si="1518"/>
        <v>0</v>
      </c>
      <c r="X1773" s="150">
        <v>0</v>
      </c>
      <c r="Y1773" s="150">
        <v>0</v>
      </c>
      <c r="Z1773" s="150">
        <v>0</v>
      </c>
      <c r="AA1773" s="150">
        <f t="shared" si="1487"/>
        <v>0</v>
      </c>
      <c r="AB1773" s="150">
        <v>0</v>
      </c>
      <c r="AC1773" s="199">
        <v>0</v>
      </c>
      <c r="AD1773" s="150">
        <f t="shared" si="1519"/>
        <v>0</v>
      </c>
      <c r="AE1773" s="150">
        <v>0</v>
      </c>
      <c r="AF1773" s="169" t="s">
        <v>4680</v>
      </c>
      <c r="AG1773" s="201">
        <v>0</v>
      </c>
      <c r="AH1773" s="199">
        <v>0</v>
      </c>
      <c r="AI1773" s="150">
        <v>0</v>
      </c>
      <c r="AJ1773" s="169">
        <f t="shared" si="1488"/>
        <v>0</v>
      </c>
      <c r="AK1773" s="201">
        <v>0</v>
      </c>
      <c r="AL1773" s="199">
        <v>0</v>
      </c>
      <c r="AM1773" s="150">
        <f t="shared" si="1520"/>
        <v>0</v>
      </c>
      <c r="AN1773" s="153">
        <f t="shared" si="1489"/>
        <v>0</v>
      </c>
      <c r="AO1773" s="154">
        <f t="shared" si="1490"/>
        <v>0</v>
      </c>
      <c r="AP1773" s="150">
        <v>0</v>
      </c>
      <c r="AQ1773" s="201">
        <v>0</v>
      </c>
      <c r="AR1773" s="199">
        <v>0</v>
      </c>
      <c r="AS1773" s="150">
        <f t="shared" si="1521"/>
        <v>0</v>
      </c>
      <c r="AT1773" s="155"/>
      <c r="AU1773" s="156">
        <f t="shared" si="1485"/>
        <v>0</v>
      </c>
      <c r="AV1773" s="156">
        <f t="shared" si="1486"/>
        <v>0</v>
      </c>
      <c r="AW1773" s="157"/>
      <c r="AX1773" s="150">
        <v>0</v>
      </c>
      <c r="AY1773" s="150">
        <v>0</v>
      </c>
      <c r="AZ1773" s="150"/>
      <c r="BA1773" s="150">
        <f t="shared" si="1522"/>
        <v>0</v>
      </c>
      <c r="BB1773" s="210"/>
      <c r="BC1773" s="210"/>
      <c r="BD1773" s="210"/>
      <c r="BE1773" s="210"/>
      <c r="BF1773" s="210"/>
      <c r="BG1773" s="210"/>
      <c r="BH1773" s="217"/>
      <c r="BI1773" s="210"/>
      <c r="BJ1773" s="210"/>
      <c r="BK1773" s="210"/>
      <c r="BL1773" s="210"/>
      <c r="BM1773" s="208"/>
      <c r="BN1773" s="160"/>
      <c r="BO1773" s="161">
        <f t="shared" si="1498"/>
        <v>0</v>
      </c>
      <c r="BP1773" s="161"/>
    </row>
    <row r="1774" spans="1:68" ht="38.25">
      <c r="A1774" s="210"/>
      <c r="B1774" s="195" t="s">
        <v>9274</v>
      </c>
      <c r="C1774" s="196" t="s">
        <v>9275</v>
      </c>
      <c r="D1774" s="146" t="s">
        <v>4692</v>
      </c>
      <c r="E1774" s="196" t="s">
        <v>9275</v>
      </c>
      <c r="F1774" s="150">
        <v>0</v>
      </c>
      <c r="G1774" s="209">
        <v>0</v>
      </c>
      <c r="H1774" s="209"/>
      <c r="I1774" s="209">
        <v>0</v>
      </c>
      <c r="J1774" s="150">
        <v>0</v>
      </c>
      <c r="K1774" s="150">
        <v>0</v>
      </c>
      <c r="L1774" s="150">
        <f t="shared" si="1510"/>
        <v>0</v>
      </c>
      <c r="M1774" s="150">
        <v>0</v>
      </c>
      <c r="N1774" s="150">
        <v>0</v>
      </c>
      <c r="O1774" s="150">
        <v>0</v>
      </c>
      <c r="P1774" s="150">
        <v>0</v>
      </c>
      <c r="Q1774" s="150">
        <v>0</v>
      </c>
      <c r="R1774" s="313">
        <f t="shared" si="1517"/>
        <v>0</v>
      </c>
      <c r="S1774" s="150">
        <f t="shared" si="1491"/>
        <v>0</v>
      </c>
      <c r="T1774" s="150">
        <v>0</v>
      </c>
      <c r="U1774" s="150">
        <v>0</v>
      </c>
      <c r="V1774" s="199">
        <v>0</v>
      </c>
      <c r="W1774" s="150">
        <f t="shared" si="1518"/>
        <v>0</v>
      </c>
      <c r="X1774" s="150">
        <v>0</v>
      </c>
      <c r="Y1774" s="150">
        <v>0</v>
      </c>
      <c r="Z1774" s="150">
        <v>0</v>
      </c>
      <c r="AA1774" s="150">
        <f t="shared" si="1487"/>
        <v>0</v>
      </c>
      <c r="AB1774" s="150">
        <v>0</v>
      </c>
      <c r="AC1774" s="199">
        <v>0</v>
      </c>
      <c r="AD1774" s="150">
        <f t="shared" si="1519"/>
        <v>0</v>
      </c>
      <c r="AE1774" s="150">
        <v>0</v>
      </c>
      <c r="AF1774" s="169" t="s">
        <v>4680</v>
      </c>
      <c r="AG1774" s="201">
        <v>0</v>
      </c>
      <c r="AH1774" s="199">
        <v>0</v>
      </c>
      <c r="AI1774" s="150">
        <v>0</v>
      </c>
      <c r="AJ1774" s="169">
        <f t="shared" si="1488"/>
        <v>0</v>
      </c>
      <c r="AK1774" s="201">
        <v>0</v>
      </c>
      <c r="AL1774" s="199">
        <v>0</v>
      </c>
      <c r="AM1774" s="150">
        <f t="shared" si="1520"/>
        <v>0</v>
      </c>
      <c r="AN1774" s="153">
        <f t="shared" si="1489"/>
        <v>0</v>
      </c>
      <c r="AO1774" s="154">
        <f t="shared" si="1490"/>
        <v>0</v>
      </c>
      <c r="AP1774" s="150">
        <v>0</v>
      </c>
      <c r="AQ1774" s="201">
        <v>0</v>
      </c>
      <c r="AR1774" s="199">
        <v>0</v>
      </c>
      <c r="AS1774" s="150">
        <f t="shared" si="1521"/>
        <v>0</v>
      </c>
      <c r="AT1774" s="155"/>
      <c r="AU1774" s="156">
        <f t="shared" si="1485"/>
        <v>0</v>
      </c>
      <c r="AV1774" s="156">
        <f t="shared" si="1486"/>
        <v>0</v>
      </c>
      <c r="AW1774" s="157"/>
      <c r="AX1774" s="150">
        <v>0</v>
      </c>
      <c r="AY1774" s="150">
        <v>0</v>
      </c>
      <c r="AZ1774" s="150"/>
      <c r="BA1774" s="150">
        <f t="shared" si="1522"/>
        <v>0</v>
      </c>
      <c r="BB1774" s="210"/>
      <c r="BC1774" s="210"/>
      <c r="BD1774" s="210"/>
      <c r="BE1774" s="210"/>
      <c r="BF1774" s="210"/>
      <c r="BG1774" s="210"/>
      <c r="BH1774" s="217"/>
      <c r="BI1774" s="210"/>
      <c r="BJ1774" s="210"/>
      <c r="BK1774" s="210"/>
      <c r="BL1774" s="210"/>
      <c r="BM1774" s="208"/>
      <c r="BN1774" s="160"/>
      <c r="BO1774" s="161">
        <f t="shared" si="1498"/>
        <v>0</v>
      </c>
      <c r="BP1774" s="161"/>
    </row>
    <row r="1775" spans="1:68" ht="51">
      <c r="A1775" s="206" t="s">
        <v>596</v>
      </c>
      <c r="B1775" s="195" t="s">
        <v>9276</v>
      </c>
      <c r="C1775" s="196" t="s">
        <v>9277</v>
      </c>
      <c r="D1775" s="146" t="s">
        <v>4692</v>
      </c>
      <c r="E1775" s="196" t="s">
        <v>9277</v>
      </c>
      <c r="F1775" s="150">
        <v>0</v>
      </c>
      <c r="G1775" s="209">
        <v>0</v>
      </c>
      <c r="H1775" s="209"/>
      <c r="I1775" s="209">
        <v>0</v>
      </c>
      <c r="J1775" s="150">
        <v>0</v>
      </c>
      <c r="K1775" s="150">
        <v>0</v>
      </c>
      <c r="L1775" s="150">
        <f t="shared" si="1510"/>
        <v>0</v>
      </c>
      <c r="M1775" s="150">
        <v>0</v>
      </c>
      <c r="N1775" s="150">
        <v>0</v>
      </c>
      <c r="O1775" s="150">
        <v>0</v>
      </c>
      <c r="P1775" s="150">
        <v>0</v>
      </c>
      <c r="Q1775" s="150">
        <v>0</v>
      </c>
      <c r="R1775" s="313">
        <f t="shared" si="1517"/>
        <v>0</v>
      </c>
      <c r="S1775" s="150">
        <f t="shared" si="1491"/>
        <v>0</v>
      </c>
      <c r="T1775" s="150">
        <v>0</v>
      </c>
      <c r="U1775" s="150">
        <v>0</v>
      </c>
      <c r="V1775" s="199">
        <v>0</v>
      </c>
      <c r="W1775" s="150">
        <f t="shared" si="1518"/>
        <v>0</v>
      </c>
      <c r="X1775" s="150">
        <v>0</v>
      </c>
      <c r="Y1775" s="150">
        <v>0</v>
      </c>
      <c r="Z1775" s="150">
        <v>0</v>
      </c>
      <c r="AA1775" s="150">
        <f t="shared" si="1487"/>
        <v>0</v>
      </c>
      <c r="AB1775" s="150">
        <v>0</v>
      </c>
      <c r="AC1775" s="199">
        <v>0</v>
      </c>
      <c r="AD1775" s="150">
        <f t="shared" si="1519"/>
        <v>0</v>
      </c>
      <c r="AE1775" s="150">
        <v>0</v>
      </c>
      <c r="AF1775" s="169" t="s">
        <v>4680</v>
      </c>
      <c r="AG1775" s="201">
        <v>0</v>
      </c>
      <c r="AH1775" s="199">
        <v>0</v>
      </c>
      <c r="AI1775" s="150">
        <v>0</v>
      </c>
      <c r="AJ1775" s="169">
        <f t="shared" si="1488"/>
        <v>0</v>
      </c>
      <c r="AK1775" s="201">
        <v>0</v>
      </c>
      <c r="AL1775" s="199">
        <v>0</v>
      </c>
      <c r="AM1775" s="150">
        <f t="shared" si="1520"/>
        <v>0</v>
      </c>
      <c r="AN1775" s="153">
        <f t="shared" si="1489"/>
        <v>0</v>
      </c>
      <c r="AO1775" s="154">
        <f t="shared" si="1490"/>
        <v>0</v>
      </c>
      <c r="AP1775" s="150">
        <v>0</v>
      </c>
      <c r="AQ1775" s="201">
        <v>0</v>
      </c>
      <c r="AR1775" s="199">
        <v>0</v>
      </c>
      <c r="AS1775" s="150">
        <f t="shared" si="1521"/>
        <v>0</v>
      </c>
      <c r="AT1775" s="155"/>
      <c r="AU1775" s="156">
        <f t="shared" si="1485"/>
        <v>0</v>
      </c>
      <c r="AV1775" s="156">
        <f t="shared" si="1486"/>
        <v>0</v>
      </c>
      <c r="AW1775" s="157"/>
      <c r="AX1775" s="150">
        <v>0</v>
      </c>
      <c r="AY1775" s="150">
        <v>0</v>
      </c>
      <c r="AZ1775" s="150"/>
      <c r="BA1775" s="150">
        <f t="shared" si="1522"/>
        <v>0</v>
      </c>
      <c r="BB1775" s="202">
        <v>5</v>
      </c>
      <c r="BC1775" s="202" t="s">
        <v>755</v>
      </c>
      <c r="BD1775" s="202" t="s">
        <v>647</v>
      </c>
      <c r="BE1775" s="202" t="s">
        <v>647</v>
      </c>
      <c r="BF1775" s="202" t="s">
        <v>739</v>
      </c>
      <c r="BG1775" s="231" t="s">
        <v>9278</v>
      </c>
      <c r="BH1775" s="216">
        <f>AS1775</f>
        <v>0</v>
      </c>
      <c r="BI1775" s="205"/>
      <c r="BJ1775" s="206" t="s">
        <v>9254</v>
      </c>
      <c r="BK1775" s="206" t="s">
        <v>596</v>
      </c>
      <c r="BL1775" s="207" t="s">
        <v>9255</v>
      </c>
      <c r="BM1775" s="208">
        <f>BH1775</f>
        <v>0</v>
      </c>
      <c r="BN1775" s="160"/>
      <c r="BO1775" s="161">
        <f t="shared" si="1498"/>
        <v>0</v>
      </c>
      <c r="BP1775" s="161"/>
    </row>
    <row r="1776" spans="1:68" ht="51">
      <c r="A1776" s="206" t="s">
        <v>596</v>
      </c>
      <c r="B1776" s="195" t="s">
        <v>9279</v>
      </c>
      <c r="C1776" s="196" t="s">
        <v>9280</v>
      </c>
      <c r="D1776" s="146" t="s">
        <v>4692</v>
      </c>
      <c r="E1776" s="196" t="s">
        <v>9280</v>
      </c>
      <c r="F1776" s="150">
        <v>0</v>
      </c>
      <c r="G1776" s="209">
        <v>0</v>
      </c>
      <c r="H1776" s="209"/>
      <c r="I1776" s="209">
        <v>0</v>
      </c>
      <c r="J1776" s="150">
        <v>0</v>
      </c>
      <c r="K1776" s="150">
        <v>0</v>
      </c>
      <c r="L1776" s="150">
        <f t="shared" si="1510"/>
        <v>0</v>
      </c>
      <c r="M1776" s="150">
        <v>0</v>
      </c>
      <c r="N1776" s="150">
        <v>0</v>
      </c>
      <c r="O1776" s="150">
        <v>0</v>
      </c>
      <c r="P1776" s="150">
        <v>0</v>
      </c>
      <c r="Q1776" s="150">
        <v>0</v>
      </c>
      <c r="R1776" s="313">
        <f t="shared" si="1517"/>
        <v>0</v>
      </c>
      <c r="S1776" s="150">
        <f t="shared" si="1491"/>
        <v>0</v>
      </c>
      <c r="T1776" s="150">
        <v>0</v>
      </c>
      <c r="U1776" s="150">
        <v>0</v>
      </c>
      <c r="V1776" s="199">
        <v>0</v>
      </c>
      <c r="W1776" s="150">
        <f t="shared" si="1518"/>
        <v>0</v>
      </c>
      <c r="X1776" s="150">
        <v>0</v>
      </c>
      <c r="Y1776" s="150">
        <v>0</v>
      </c>
      <c r="Z1776" s="150">
        <v>0</v>
      </c>
      <c r="AA1776" s="150">
        <f t="shared" si="1487"/>
        <v>0</v>
      </c>
      <c r="AB1776" s="150">
        <v>0</v>
      </c>
      <c r="AC1776" s="199">
        <v>0</v>
      </c>
      <c r="AD1776" s="150">
        <f t="shared" si="1519"/>
        <v>0</v>
      </c>
      <c r="AE1776" s="150">
        <v>0</v>
      </c>
      <c r="AF1776" s="169" t="s">
        <v>4680</v>
      </c>
      <c r="AG1776" s="201">
        <v>0</v>
      </c>
      <c r="AH1776" s="199">
        <v>0</v>
      </c>
      <c r="AI1776" s="150">
        <v>0</v>
      </c>
      <c r="AJ1776" s="169">
        <f t="shared" si="1488"/>
        <v>0</v>
      </c>
      <c r="AK1776" s="201">
        <v>0</v>
      </c>
      <c r="AL1776" s="199">
        <v>0</v>
      </c>
      <c r="AM1776" s="150">
        <f t="shared" si="1520"/>
        <v>0</v>
      </c>
      <c r="AN1776" s="153">
        <f t="shared" si="1489"/>
        <v>0</v>
      </c>
      <c r="AO1776" s="154">
        <f t="shared" si="1490"/>
        <v>0</v>
      </c>
      <c r="AP1776" s="150">
        <v>0</v>
      </c>
      <c r="AQ1776" s="201">
        <v>0</v>
      </c>
      <c r="AR1776" s="199">
        <v>0</v>
      </c>
      <c r="AS1776" s="150">
        <f t="shared" si="1521"/>
        <v>0</v>
      </c>
      <c r="AT1776" s="155"/>
      <c r="AU1776" s="156">
        <f t="shared" si="1485"/>
        <v>0</v>
      </c>
      <c r="AV1776" s="156">
        <f t="shared" si="1486"/>
        <v>0</v>
      </c>
      <c r="AW1776" s="157"/>
      <c r="AX1776" s="150">
        <v>0</v>
      </c>
      <c r="AY1776" s="150">
        <v>0</v>
      </c>
      <c r="AZ1776" s="150"/>
      <c r="BA1776" s="150">
        <f t="shared" si="1522"/>
        <v>0</v>
      </c>
      <c r="BB1776" s="202">
        <v>5</v>
      </c>
      <c r="BC1776" s="202" t="s">
        <v>755</v>
      </c>
      <c r="BD1776" s="202" t="s">
        <v>647</v>
      </c>
      <c r="BE1776" s="202" t="s">
        <v>647</v>
      </c>
      <c r="BF1776" s="202" t="s">
        <v>755</v>
      </c>
      <c r="BG1776" s="231" t="s">
        <v>9281</v>
      </c>
      <c r="BH1776" s="216">
        <f>AS1776</f>
        <v>0</v>
      </c>
      <c r="BI1776" s="205"/>
      <c r="BJ1776" s="206" t="s">
        <v>9254</v>
      </c>
      <c r="BK1776" s="206" t="s">
        <v>596</v>
      </c>
      <c r="BL1776" s="207" t="s">
        <v>9255</v>
      </c>
      <c r="BM1776" s="208">
        <f>BH1776</f>
        <v>0</v>
      </c>
      <c r="BN1776" s="160"/>
      <c r="BO1776" s="161">
        <f t="shared" si="1498"/>
        <v>0</v>
      </c>
      <c r="BP1776" s="161"/>
    </row>
    <row r="1777" spans="1:68" ht="63.75">
      <c r="A1777" s="206" t="s">
        <v>596</v>
      </c>
      <c r="B1777" s="195" t="s">
        <v>9282</v>
      </c>
      <c r="C1777" s="196" t="s">
        <v>9283</v>
      </c>
      <c r="D1777" s="146" t="s">
        <v>4692</v>
      </c>
      <c r="E1777" s="196" t="s">
        <v>9283</v>
      </c>
      <c r="F1777" s="150">
        <v>0</v>
      </c>
      <c r="G1777" s="209">
        <v>0</v>
      </c>
      <c r="H1777" s="209"/>
      <c r="I1777" s="209">
        <v>0</v>
      </c>
      <c r="J1777" s="150">
        <v>0</v>
      </c>
      <c r="K1777" s="150">
        <v>0</v>
      </c>
      <c r="L1777" s="150">
        <f t="shared" si="1510"/>
        <v>0</v>
      </c>
      <c r="M1777" s="150">
        <v>0</v>
      </c>
      <c r="N1777" s="150">
        <v>0</v>
      </c>
      <c r="O1777" s="150">
        <v>0</v>
      </c>
      <c r="P1777" s="150">
        <v>0</v>
      </c>
      <c r="Q1777" s="150">
        <v>0</v>
      </c>
      <c r="R1777" s="313">
        <f t="shared" si="1517"/>
        <v>0</v>
      </c>
      <c r="S1777" s="150">
        <f t="shared" si="1491"/>
        <v>0</v>
      </c>
      <c r="T1777" s="150">
        <v>0</v>
      </c>
      <c r="U1777" s="150">
        <v>0</v>
      </c>
      <c r="V1777" s="199">
        <v>0</v>
      </c>
      <c r="W1777" s="150">
        <f t="shared" si="1518"/>
        <v>0</v>
      </c>
      <c r="X1777" s="150">
        <v>0</v>
      </c>
      <c r="Y1777" s="150">
        <v>0</v>
      </c>
      <c r="Z1777" s="150">
        <v>0</v>
      </c>
      <c r="AA1777" s="150">
        <f t="shared" si="1487"/>
        <v>0</v>
      </c>
      <c r="AB1777" s="150">
        <v>0</v>
      </c>
      <c r="AC1777" s="199">
        <v>0</v>
      </c>
      <c r="AD1777" s="150">
        <f t="shared" si="1519"/>
        <v>0</v>
      </c>
      <c r="AE1777" s="150">
        <v>0</v>
      </c>
      <c r="AF1777" s="169" t="s">
        <v>4680</v>
      </c>
      <c r="AG1777" s="201">
        <v>0</v>
      </c>
      <c r="AH1777" s="199">
        <v>0</v>
      </c>
      <c r="AI1777" s="150">
        <v>0</v>
      </c>
      <c r="AJ1777" s="169">
        <f t="shared" si="1488"/>
        <v>0</v>
      </c>
      <c r="AK1777" s="201">
        <v>0</v>
      </c>
      <c r="AL1777" s="199">
        <v>0</v>
      </c>
      <c r="AM1777" s="150">
        <f t="shared" si="1520"/>
        <v>0</v>
      </c>
      <c r="AN1777" s="153">
        <f t="shared" si="1489"/>
        <v>0</v>
      </c>
      <c r="AO1777" s="154">
        <f t="shared" si="1490"/>
        <v>0</v>
      </c>
      <c r="AP1777" s="150">
        <v>0</v>
      </c>
      <c r="AQ1777" s="201">
        <v>0</v>
      </c>
      <c r="AR1777" s="199">
        <v>0</v>
      </c>
      <c r="AS1777" s="150">
        <f t="shared" si="1521"/>
        <v>0</v>
      </c>
      <c r="AT1777" s="155"/>
      <c r="AU1777" s="156">
        <f t="shared" si="1485"/>
        <v>0</v>
      </c>
      <c r="AV1777" s="156">
        <f t="shared" si="1486"/>
        <v>0</v>
      </c>
      <c r="AW1777" s="157"/>
      <c r="AX1777" s="150">
        <v>0</v>
      </c>
      <c r="AY1777" s="150">
        <v>0</v>
      </c>
      <c r="AZ1777" s="150"/>
      <c r="BA1777" s="150">
        <f t="shared" si="1522"/>
        <v>0</v>
      </c>
      <c r="BB1777" s="202">
        <v>5</v>
      </c>
      <c r="BC1777" s="202" t="s">
        <v>755</v>
      </c>
      <c r="BD1777" s="202" t="s">
        <v>647</v>
      </c>
      <c r="BE1777" s="202" t="s">
        <v>647</v>
      </c>
      <c r="BF1777" s="202" t="s">
        <v>766</v>
      </c>
      <c r="BG1777" s="231" t="s">
        <v>9284</v>
      </c>
      <c r="BH1777" s="216">
        <f>AS1777</f>
        <v>0</v>
      </c>
      <c r="BI1777" s="205"/>
      <c r="BJ1777" s="206" t="s">
        <v>9254</v>
      </c>
      <c r="BK1777" s="206" t="s">
        <v>596</v>
      </c>
      <c r="BL1777" s="207" t="s">
        <v>9255</v>
      </c>
      <c r="BM1777" s="208">
        <f>BH1777</f>
        <v>0</v>
      </c>
      <c r="BN1777" s="160"/>
      <c r="BO1777" s="161">
        <f t="shared" si="1498"/>
        <v>0</v>
      </c>
      <c r="BP1777" s="161"/>
    </row>
    <row r="1778" spans="1:68" ht="51">
      <c r="A1778" s="206" t="s">
        <v>596</v>
      </c>
      <c r="B1778" s="195" t="s">
        <v>9285</v>
      </c>
      <c r="C1778" s="196" t="s">
        <v>9286</v>
      </c>
      <c r="D1778" s="146" t="s">
        <v>4692</v>
      </c>
      <c r="E1778" s="196" t="s">
        <v>9286</v>
      </c>
      <c r="F1778" s="150">
        <v>0</v>
      </c>
      <c r="G1778" s="209">
        <v>0</v>
      </c>
      <c r="H1778" s="209"/>
      <c r="I1778" s="209">
        <v>0</v>
      </c>
      <c r="J1778" s="150">
        <v>0</v>
      </c>
      <c r="K1778" s="150">
        <v>0</v>
      </c>
      <c r="L1778" s="150">
        <f t="shared" si="1510"/>
        <v>0</v>
      </c>
      <c r="M1778" s="150">
        <v>0</v>
      </c>
      <c r="N1778" s="150">
        <v>0</v>
      </c>
      <c r="O1778" s="150">
        <v>0</v>
      </c>
      <c r="P1778" s="150">
        <v>0</v>
      </c>
      <c r="Q1778" s="150">
        <v>0</v>
      </c>
      <c r="R1778" s="313">
        <f t="shared" si="1517"/>
        <v>0</v>
      </c>
      <c r="S1778" s="150">
        <f t="shared" si="1491"/>
        <v>0</v>
      </c>
      <c r="T1778" s="150">
        <v>0</v>
      </c>
      <c r="U1778" s="150">
        <v>0</v>
      </c>
      <c r="V1778" s="199">
        <v>0</v>
      </c>
      <c r="W1778" s="150">
        <f t="shared" si="1518"/>
        <v>0</v>
      </c>
      <c r="X1778" s="150">
        <v>0</v>
      </c>
      <c r="Y1778" s="150">
        <v>0</v>
      </c>
      <c r="Z1778" s="150">
        <v>0</v>
      </c>
      <c r="AA1778" s="150">
        <f t="shared" si="1487"/>
        <v>0</v>
      </c>
      <c r="AB1778" s="150">
        <v>0</v>
      </c>
      <c r="AC1778" s="199">
        <v>0</v>
      </c>
      <c r="AD1778" s="150">
        <f t="shared" si="1519"/>
        <v>0</v>
      </c>
      <c r="AE1778" s="150">
        <v>0</v>
      </c>
      <c r="AF1778" s="169" t="s">
        <v>4680</v>
      </c>
      <c r="AG1778" s="201">
        <v>0</v>
      </c>
      <c r="AH1778" s="199">
        <v>0</v>
      </c>
      <c r="AI1778" s="150">
        <v>0</v>
      </c>
      <c r="AJ1778" s="169">
        <f t="shared" si="1488"/>
        <v>0</v>
      </c>
      <c r="AK1778" s="201">
        <v>0</v>
      </c>
      <c r="AL1778" s="199">
        <v>0</v>
      </c>
      <c r="AM1778" s="150">
        <f t="shared" si="1520"/>
        <v>0</v>
      </c>
      <c r="AN1778" s="153">
        <f t="shared" si="1489"/>
        <v>0</v>
      </c>
      <c r="AO1778" s="154">
        <f t="shared" si="1490"/>
        <v>0</v>
      </c>
      <c r="AP1778" s="150">
        <v>0</v>
      </c>
      <c r="AQ1778" s="201">
        <v>0</v>
      </c>
      <c r="AR1778" s="199">
        <v>0</v>
      </c>
      <c r="AS1778" s="150">
        <f t="shared" si="1521"/>
        <v>0</v>
      </c>
      <c r="AT1778" s="155"/>
      <c r="AU1778" s="156">
        <f t="shared" si="1485"/>
        <v>0</v>
      </c>
      <c r="AV1778" s="156">
        <f t="shared" si="1486"/>
        <v>0</v>
      </c>
      <c r="AW1778" s="157"/>
      <c r="AX1778" s="150">
        <v>0</v>
      </c>
      <c r="AY1778" s="150">
        <v>0</v>
      </c>
      <c r="AZ1778" s="150"/>
      <c r="BA1778" s="150">
        <f t="shared" si="1522"/>
        <v>0</v>
      </c>
      <c r="BB1778" s="202">
        <v>5</v>
      </c>
      <c r="BC1778" s="202" t="s">
        <v>755</v>
      </c>
      <c r="BD1778" s="202" t="s">
        <v>647</v>
      </c>
      <c r="BE1778" s="202" t="s">
        <v>647</v>
      </c>
      <c r="BF1778" s="202" t="s">
        <v>779</v>
      </c>
      <c r="BG1778" s="231" t="s">
        <v>9287</v>
      </c>
      <c r="BH1778" s="216">
        <f>SUM(AS1778:AS1788)</f>
        <v>0</v>
      </c>
      <c r="BI1778" s="205"/>
      <c r="BJ1778" s="206" t="s">
        <v>9254</v>
      </c>
      <c r="BK1778" s="206" t="s">
        <v>596</v>
      </c>
      <c r="BL1778" s="207" t="s">
        <v>9255</v>
      </c>
      <c r="BM1778" s="208">
        <f>BH1778</f>
        <v>0</v>
      </c>
      <c r="BN1778" s="160"/>
      <c r="BO1778" s="161">
        <f t="shared" si="1498"/>
        <v>0</v>
      </c>
      <c r="BP1778" s="161"/>
    </row>
    <row r="1779" spans="1:68" ht="38.25">
      <c r="A1779" s="210"/>
      <c r="B1779" s="195" t="s">
        <v>9288</v>
      </c>
      <c r="C1779" s="196" t="s">
        <v>9289</v>
      </c>
      <c r="D1779" s="146" t="s">
        <v>4692</v>
      </c>
      <c r="E1779" s="196" t="s">
        <v>9289</v>
      </c>
      <c r="F1779" s="150">
        <v>0</v>
      </c>
      <c r="G1779" s="209">
        <v>0</v>
      </c>
      <c r="H1779" s="209"/>
      <c r="I1779" s="209">
        <v>0</v>
      </c>
      <c r="J1779" s="150">
        <v>0</v>
      </c>
      <c r="K1779" s="150">
        <v>0</v>
      </c>
      <c r="L1779" s="150">
        <f t="shared" si="1510"/>
        <v>0</v>
      </c>
      <c r="M1779" s="150">
        <v>0</v>
      </c>
      <c r="N1779" s="150">
        <v>0</v>
      </c>
      <c r="O1779" s="150">
        <v>0</v>
      </c>
      <c r="P1779" s="150">
        <v>0</v>
      </c>
      <c r="Q1779" s="150">
        <v>0</v>
      </c>
      <c r="R1779" s="313">
        <f t="shared" si="1517"/>
        <v>0</v>
      </c>
      <c r="S1779" s="150">
        <f t="shared" si="1491"/>
        <v>0</v>
      </c>
      <c r="T1779" s="150">
        <v>0</v>
      </c>
      <c r="U1779" s="150">
        <v>0</v>
      </c>
      <c r="V1779" s="199">
        <v>0</v>
      </c>
      <c r="W1779" s="150">
        <f t="shared" si="1518"/>
        <v>0</v>
      </c>
      <c r="X1779" s="150">
        <v>0</v>
      </c>
      <c r="Y1779" s="150">
        <v>0</v>
      </c>
      <c r="Z1779" s="150">
        <v>0</v>
      </c>
      <c r="AA1779" s="150">
        <f t="shared" si="1487"/>
        <v>0</v>
      </c>
      <c r="AB1779" s="150">
        <v>0</v>
      </c>
      <c r="AC1779" s="199">
        <v>0</v>
      </c>
      <c r="AD1779" s="150">
        <f t="shared" si="1519"/>
        <v>0</v>
      </c>
      <c r="AE1779" s="150">
        <v>0</v>
      </c>
      <c r="AF1779" s="169" t="s">
        <v>4680</v>
      </c>
      <c r="AG1779" s="201">
        <v>0</v>
      </c>
      <c r="AH1779" s="199">
        <v>0</v>
      </c>
      <c r="AI1779" s="150">
        <v>0</v>
      </c>
      <c r="AJ1779" s="169">
        <f t="shared" si="1488"/>
        <v>0</v>
      </c>
      <c r="AK1779" s="201">
        <v>0</v>
      </c>
      <c r="AL1779" s="199">
        <v>0</v>
      </c>
      <c r="AM1779" s="150">
        <f t="shared" si="1520"/>
        <v>0</v>
      </c>
      <c r="AN1779" s="153">
        <f t="shared" si="1489"/>
        <v>0</v>
      </c>
      <c r="AO1779" s="154">
        <f t="shared" si="1490"/>
        <v>0</v>
      </c>
      <c r="AP1779" s="150">
        <v>0</v>
      </c>
      <c r="AQ1779" s="201">
        <v>0</v>
      </c>
      <c r="AR1779" s="199">
        <v>0</v>
      </c>
      <c r="AS1779" s="150">
        <f t="shared" si="1521"/>
        <v>0</v>
      </c>
      <c r="AT1779" s="155"/>
      <c r="AU1779" s="156">
        <f t="shared" si="1485"/>
        <v>0</v>
      </c>
      <c r="AV1779" s="156">
        <f t="shared" si="1486"/>
        <v>0</v>
      </c>
      <c r="AW1779" s="157"/>
      <c r="AX1779" s="150">
        <v>0</v>
      </c>
      <c r="AY1779" s="150">
        <v>0</v>
      </c>
      <c r="AZ1779" s="150"/>
      <c r="BA1779" s="150">
        <f t="shared" si="1522"/>
        <v>0</v>
      </c>
      <c r="BB1779" s="210"/>
      <c r="BC1779" s="210"/>
      <c r="BD1779" s="210"/>
      <c r="BE1779" s="210"/>
      <c r="BF1779" s="210"/>
      <c r="BG1779" s="210"/>
      <c r="BH1779" s="217"/>
      <c r="BI1779" s="210"/>
      <c r="BJ1779" s="210"/>
      <c r="BK1779" s="210"/>
      <c r="BL1779" s="210"/>
      <c r="BM1779" s="208"/>
      <c r="BN1779" s="160"/>
      <c r="BO1779" s="161">
        <f t="shared" si="1498"/>
        <v>0</v>
      </c>
      <c r="BP1779" s="161"/>
    </row>
    <row r="1780" spans="1:68" ht="51">
      <c r="A1780" s="210"/>
      <c r="B1780" s="195" t="s">
        <v>9290</v>
      </c>
      <c r="C1780" s="196" t="s">
        <v>9291</v>
      </c>
      <c r="D1780" s="146" t="s">
        <v>4692</v>
      </c>
      <c r="E1780" s="196" t="s">
        <v>9291</v>
      </c>
      <c r="F1780" s="150">
        <v>0</v>
      </c>
      <c r="G1780" s="209">
        <v>0</v>
      </c>
      <c r="H1780" s="209"/>
      <c r="I1780" s="209">
        <v>0</v>
      </c>
      <c r="J1780" s="150">
        <v>0</v>
      </c>
      <c r="K1780" s="150">
        <v>0</v>
      </c>
      <c r="L1780" s="150">
        <f t="shared" si="1510"/>
        <v>0</v>
      </c>
      <c r="M1780" s="150">
        <v>0</v>
      </c>
      <c r="N1780" s="150">
        <v>0</v>
      </c>
      <c r="O1780" s="150">
        <v>0</v>
      </c>
      <c r="P1780" s="150">
        <v>0</v>
      </c>
      <c r="Q1780" s="150">
        <v>0</v>
      </c>
      <c r="R1780" s="313">
        <f t="shared" si="1517"/>
        <v>0</v>
      </c>
      <c r="S1780" s="150">
        <f t="shared" si="1491"/>
        <v>0</v>
      </c>
      <c r="T1780" s="150">
        <v>0</v>
      </c>
      <c r="U1780" s="150">
        <v>0</v>
      </c>
      <c r="V1780" s="199">
        <v>0</v>
      </c>
      <c r="W1780" s="150">
        <f t="shared" si="1518"/>
        <v>0</v>
      </c>
      <c r="X1780" s="150">
        <v>0</v>
      </c>
      <c r="Y1780" s="150">
        <v>0</v>
      </c>
      <c r="Z1780" s="150">
        <v>0</v>
      </c>
      <c r="AA1780" s="150">
        <f t="shared" si="1487"/>
        <v>0</v>
      </c>
      <c r="AB1780" s="150">
        <v>0</v>
      </c>
      <c r="AC1780" s="199">
        <v>0</v>
      </c>
      <c r="AD1780" s="150">
        <f t="shared" si="1519"/>
        <v>0</v>
      </c>
      <c r="AE1780" s="150">
        <v>0</v>
      </c>
      <c r="AF1780" s="169" t="s">
        <v>4680</v>
      </c>
      <c r="AG1780" s="201">
        <v>0</v>
      </c>
      <c r="AH1780" s="199">
        <v>0</v>
      </c>
      <c r="AI1780" s="150">
        <v>0</v>
      </c>
      <c r="AJ1780" s="169">
        <f t="shared" si="1488"/>
        <v>0</v>
      </c>
      <c r="AK1780" s="201">
        <v>0</v>
      </c>
      <c r="AL1780" s="199">
        <v>0</v>
      </c>
      <c r="AM1780" s="150">
        <f t="shared" si="1520"/>
        <v>0</v>
      </c>
      <c r="AN1780" s="153">
        <f t="shared" si="1489"/>
        <v>0</v>
      </c>
      <c r="AO1780" s="154">
        <f t="shared" si="1490"/>
        <v>0</v>
      </c>
      <c r="AP1780" s="150">
        <v>0</v>
      </c>
      <c r="AQ1780" s="201">
        <v>0</v>
      </c>
      <c r="AR1780" s="199">
        <v>0</v>
      </c>
      <c r="AS1780" s="150">
        <f t="shared" si="1521"/>
        <v>0</v>
      </c>
      <c r="AT1780" s="155"/>
      <c r="AU1780" s="156">
        <f t="shared" si="1485"/>
        <v>0</v>
      </c>
      <c r="AV1780" s="156">
        <f t="shared" si="1486"/>
        <v>0</v>
      </c>
      <c r="AW1780" s="157"/>
      <c r="AX1780" s="150">
        <v>0</v>
      </c>
      <c r="AY1780" s="150">
        <v>0</v>
      </c>
      <c r="AZ1780" s="150"/>
      <c r="BA1780" s="150">
        <f t="shared" si="1522"/>
        <v>0</v>
      </c>
      <c r="BB1780" s="210"/>
      <c r="BC1780" s="210"/>
      <c r="BD1780" s="210"/>
      <c r="BE1780" s="210"/>
      <c r="BF1780" s="210"/>
      <c r="BG1780" s="210"/>
      <c r="BH1780" s="217"/>
      <c r="BI1780" s="210"/>
      <c r="BJ1780" s="210"/>
      <c r="BK1780" s="210"/>
      <c r="BL1780" s="210"/>
      <c r="BM1780" s="208"/>
      <c r="BN1780" s="160"/>
      <c r="BO1780" s="161">
        <f t="shared" si="1498"/>
        <v>0</v>
      </c>
      <c r="BP1780" s="161"/>
    </row>
    <row r="1781" spans="1:68" ht="38.25">
      <c r="A1781" s="210"/>
      <c r="B1781" s="195" t="s">
        <v>9292</v>
      </c>
      <c r="C1781" s="196" t="s">
        <v>9293</v>
      </c>
      <c r="D1781" s="146" t="s">
        <v>4692</v>
      </c>
      <c r="E1781" s="196" t="s">
        <v>9293</v>
      </c>
      <c r="F1781" s="150">
        <v>0</v>
      </c>
      <c r="G1781" s="209">
        <v>0</v>
      </c>
      <c r="H1781" s="209"/>
      <c r="I1781" s="209">
        <v>0</v>
      </c>
      <c r="J1781" s="150">
        <v>0</v>
      </c>
      <c r="K1781" s="150">
        <v>0</v>
      </c>
      <c r="L1781" s="150">
        <f t="shared" si="1510"/>
        <v>0</v>
      </c>
      <c r="M1781" s="150">
        <v>0</v>
      </c>
      <c r="N1781" s="150">
        <v>0</v>
      </c>
      <c r="O1781" s="150">
        <v>0</v>
      </c>
      <c r="P1781" s="150">
        <v>0</v>
      </c>
      <c r="Q1781" s="150">
        <v>0</v>
      </c>
      <c r="R1781" s="313">
        <f t="shared" si="1517"/>
        <v>0</v>
      </c>
      <c r="S1781" s="150">
        <f t="shared" si="1491"/>
        <v>0</v>
      </c>
      <c r="T1781" s="150">
        <v>0</v>
      </c>
      <c r="U1781" s="150">
        <v>0</v>
      </c>
      <c r="V1781" s="199">
        <v>0</v>
      </c>
      <c r="W1781" s="150">
        <f t="shared" si="1518"/>
        <v>0</v>
      </c>
      <c r="X1781" s="150">
        <v>0</v>
      </c>
      <c r="Y1781" s="150">
        <v>0</v>
      </c>
      <c r="Z1781" s="150">
        <v>0</v>
      </c>
      <c r="AA1781" s="150">
        <f t="shared" si="1487"/>
        <v>0</v>
      </c>
      <c r="AB1781" s="150">
        <v>0</v>
      </c>
      <c r="AC1781" s="199">
        <v>0</v>
      </c>
      <c r="AD1781" s="150">
        <f t="shared" si="1519"/>
        <v>0</v>
      </c>
      <c r="AE1781" s="150">
        <v>0</v>
      </c>
      <c r="AF1781" s="169" t="s">
        <v>4680</v>
      </c>
      <c r="AG1781" s="201">
        <v>0</v>
      </c>
      <c r="AH1781" s="199">
        <v>0</v>
      </c>
      <c r="AI1781" s="150">
        <v>0</v>
      </c>
      <c r="AJ1781" s="169">
        <f t="shared" si="1488"/>
        <v>0</v>
      </c>
      <c r="AK1781" s="201">
        <v>0</v>
      </c>
      <c r="AL1781" s="199">
        <v>0</v>
      </c>
      <c r="AM1781" s="150">
        <f t="shared" si="1520"/>
        <v>0</v>
      </c>
      <c r="AN1781" s="153">
        <f t="shared" si="1489"/>
        <v>0</v>
      </c>
      <c r="AO1781" s="154">
        <f t="shared" si="1490"/>
        <v>0</v>
      </c>
      <c r="AP1781" s="150">
        <v>0</v>
      </c>
      <c r="AQ1781" s="201">
        <v>0</v>
      </c>
      <c r="AR1781" s="199">
        <v>0</v>
      </c>
      <c r="AS1781" s="150">
        <f t="shared" si="1521"/>
        <v>0</v>
      </c>
      <c r="AT1781" s="155"/>
      <c r="AU1781" s="156">
        <f t="shared" si="1485"/>
        <v>0</v>
      </c>
      <c r="AV1781" s="156">
        <f t="shared" si="1486"/>
        <v>0</v>
      </c>
      <c r="AW1781" s="157"/>
      <c r="AX1781" s="150">
        <v>0</v>
      </c>
      <c r="AY1781" s="150">
        <v>0</v>
      </c>
      <c r="AZ1781" s="150"/>
      <c r="BA1781" s="150">
        <f t="shared" si="1522"/>
        <v>0</v>
      </c>
      <c r="BB1781" s="210"/>
      <c r="BC1781" s="210"/>
      <c r="BD1781" s="210"/>
      <c r="BE1781" s="210"/>
      <c r="BF1781" s="210"/>
      <c r="BG1781" s="210"/>
      <c r="BH1781" s="217"/>
      <c r="BI1781" s="210"/>
      <c r="BJ1781" s="210"/>
      <c r="BK1781" s="210"/>
      <c r="BL1781" s="210"/>
      <c r="BM1781" s="208"/>
      <c r="BN1781" s="160"/>
      <c r="BO1781" s="161">
        <f t="shared" si="1498"/>
        <v>0</v>
      </c>
      <c r="BP1781" s="161"/>
    </row>
    <row r="1782" spans="1:68" ht="51">
      <c r="A1782" s="210"/>
      <c r="B1782" s="195" t="s">
        <v>9294</v>
      </c>
      <c r="C1782" s="196" t="s">
        <v>9295</v>
      </c>
      <c r="D1782" s="146" t="s">
        <v>4692</v>
      </c>
      <c r="E1782" s="196" t="s">
        <v>9295</v>
      </c>
      <c r="F1782" s="150">
        <v>0</v>
      </c>
      <c r="G1782" s="209">
        <v>0</v>
      </c>
      <c r="H1782" s="209"/>
      <c r="I1782" s="209">
        <v>0</v>
      </c>
      <c r="J1782" s="150">
        <v>0</v>
      </c>
      <c r="K1782" s="150">
        <v>0</v>
      </c>
      <c r="L1782" s="150">
        <f t="shared" si="1510"/>
        <v>0</v>
      </c>
      <c r="M1782" s="150">
        <v>0</v>
      </c>
      <c r="N1782" s="150">
        <v>0</v>
      </c>
      <c r="O1782" s="150">
        <v>0</v>
      </c>
      <c r="P1782" s="150">
        <v>0</v>
      </c>
      <c r="Q1782" s="150">
        <v>0</v>
      </c>
      <c r="R1782" s="313">
        <f t="shared" si="1517"/>
        <v>0</v>
      </c>
      <c r="S1782" s="150">
        <f t="shared" si="1491"/>
        <v>0</v>
      </c>
      <c r="T1782" s="150">
        <v>0</v>
      </c>
      <c r="U1782" s="150">
        <v>0</v>
      </c>
      <c r="V1782" s="199">
        <v>0</v>
      </c>
      <c r="W1782" s="150">
        <f t="shared" si="1518"/>
        <v>0</v>
      </c>
      <c r="X1782" s="150">
        <v>0</v>
      </c>
      <c r="Y1782" s="150">
        <v>0</v>
      </c>
      <c r="Z1782" s="150">
        <v>0</v>
      </c>
      <c r="AA1782" s="150">
        <f t="shared" si="1487"/>
        <v>0</v>
      </c>
      <c r="AB1782" s="150">
        <v>0</v>
      </c>
      <c r="AC1782" s="199">
        <v>0</v>
      </c>
      <c r="AD1782" s="150">
        <f t="shared" si="1519"/>
        <v>0</v>
      </c>
      <c r="AE1782" s="150">
        <v>0</v>
      </c>
      <c r="AF1782" s="169" t="s">
        <v>4680</v>
      </c>
      <c r="AG1782" s="201">
        <v>0</v>
      </c>
      <c r="AH1782" s="199">
        <v>0</v>
      </c>
      <c r="AI1782" s="150">
        <v>0</v>
      </c>
      <c r="AJ1782" s="169">
        <f t="shared" si="1488"/>
        <v>0</v>
      </c>
      <c r="AK1782" s="201">
        <v>0</v>
      </c>
      <c r="AL1782" s="199">
        <v>0</v>
      </c>
      <c r="AM1782" s="150">
        <f t="shared" si="1520"/>
        <v>0</v>
      </c>
      <c r="AN1782" s="153">
        <f t="shared" si="1489"/>
        <v>0</v>
      </c>
      <c r="AO1782" s="154">
        <f t="shared" si="1490"/>
        <v>0</v>
      </c>
      <c r="AP1782" s="150">
        <v>0</v>
      </c>
      <c r="AQ1782" s="201">
        <v>0</v>
      </c>
      <c r="AR1782" s="199">
        <v>0</v>
      </c>
      <c r="AS1782" s="150">
        <f t="shared" si="1521"/>
        <v>0</v>
      </c>
      <c r="AT1782" s="155"/>
      <c r="AU1782" s="156">
        <f t="shared" si="1485"/>
        <v>0</v>
      </c>
      <c r="AV1782" s="156">
        <f t="shared" si="1486"/>
        <v>0</v>
      </c>
      <c r="AW1782" s="157"/>
      <c r="AX1782" s="150">
        <v>0</v>
      </c>
      <c r="AY1782" s="150">
        <v>0</v>
      </c>
      <c r="AZ1782" s="150"/>
      <c r="BA1782" s="150">
        <f t="shared" si="1522"/>
        <v>0</v>
      </c>
      <c r="BB1782" s="210"/>
      <c r="BC1782" s="210"/>
      <c r="BD1782" s="210"/>
      <c r="BE1782" s="210"/>
      <c r="BF1782" s="210"/>
      <c r="BG1782" s="210"/>
      <c r="BH1782" s="217"/>
      <c r="BI1782" s="210"/>
      <c r="BJ1782" s="210"/>
      <c r="BK1782" s="210"/>
      <c r="BL1782" s="210"/>
      <c r="BM1782" s="208"/>
      <c r="BN1782" s="160"/>
      <c r="BO1782" s="161">
        <f t="shared" si="1498"/>
        <v>0</v>
      </c>
      <c r="BP1782" s="161"/>
    </row>
    <row r="1783" spans="1:68" ht="38.25">
      <c r="A1783" s="210"/>
      <c r="B1783" s="195" t="s">
        <v>9296</v>
      </c>
      <c r="C1783" s="196" t="s">
        <v>9297</v>
      </c>
      <c r="D1783" s="146" t="s">
        <v>4692</v>
      </c>
      <c r="E1783" s="196" t="s">
        <v>9297</v>
      </c>
      <c r="F1783" s="150">
        <v>0</v>
      </c>
      <c r="G1783" s="209">
        <v>0</v>
      </c>
      <c r="H1783" s="209"/>
      <c r="I1783" s="209">
        <v>0</v>
      </c>
      <c r="J1783" s="150">
        <v>0</v>
      </c>
      <c r="K1783" s="150">
        <v>0</v>
      </c>
      <c r="L1783" s="150">
        <f t="shared" si="1510"/>
        <v>0</v>
      </c>
      <c r="M1783" s="150">
        <v>0</v>
      </c>
      <c r="N1783" s="150">
        <v>0</v>
      </c>
      <c r="O1783" s="150">
        <v>0</v>
      </c>
      <c r="P1783" s="150">
        <v>0</v>
      </c>
      <c r="Q1783" s="150">
        <v>0</v>
      </c>
      <c r="R1783" s="313">
        <f t="shared" si="1517"/>
        <v>0</v>
      </c>
      <c r="S1783" s="150">
        <f t="shared" si="1491"/>
        <v>0</v>
      </c>
      <c r="T1783" s="150">
        <v>0</v>
      </c>
      <c r="U1783" s="150">
        <v>0</v>
      </c>
      <c r="V1783" s="199">
        <v>0</v>
      </c>
      <c r="W1783" s="150">
        <f t="shared" si="1518"/>
        <v>0</v>
      </c>
      <c r="X1783" s="150">
        <v>0</v>
      </c>
      <c r="Y1783" s="150">
        <v>0</v>
      </c>
      <c r="Z1783" s="150">
        <v>0</v>
      </c>
      <c r="AA1783" s="150">
        <f t="shared" si="1487"/>
        <v>0</v>
      </c>
      <c r="AB1783" s="150">
        <v>0</v>
      </c>
      <c r="AC1783" s="199">
        <v>0</v>
      </c>
      <c r="AD1783" s="150">
        <f t="shared" si="1519"/>
        <v>0</v>
      </c>
      <c r="AE1783" s="150">
        <v>0</v>
      </c>
      <c r="AF1783" s="169" t="s">
        <v>4680</v>
      </c>
      <c r="AG1783" s="201">
        <v>0</v>
      </c>
      <c r="AH1783" s="199">
        <v>0</v>
      </c>
      <c r="AI1783" s="150">
        <v>0</v>
      </c>
      <c r="AJ1783" s="169">
        <f t="shared" si="1488"/>
        <v>0</v>
      </c>
      <c r="AK1783" s="201">
        <v>0</v>
      </c>
      <c r="AL1783" s="199">
        <v>0</v>
      </c>
      <c r="AM1783" s="150">
        <f t="shared" si="1520"/>
        <v>0</v>
      </c>
      <c r="AN1783" s="153">
        <f t="shared" si="1489"/>
        <v>0</v>
      </c>
      <c r="AO1783" s="154">
        <f t="shared" si="1490"/>
        <v>0</v>
      </c>
      <c r="AP1783" s="150">
        <v>0</v>
      </c>
      <c r="AQ1783" s="201">
        <v>0</v>
      </c>
      <c r="AR1783" s="199">
        <v>0</v>
      </c>
      <c r="AS1783" s="150">
        <f t="shared" si="1521"/>
        <v>0</v>
      </c>
      <c r="AT1783" s="155"/>
      <c r="AU1783" s="156">
        <f t="shared" si="1485"/>
        <v>0</v>
      </c>
      <c r="AV1783" s="156">
        <f t="shared" si="1486"/>
        <v>0</v>
      </c>
      <c r="AW1783" s="157"/>
      <c r="AX1783" s="150">
        <v>0</v>
      </c>
      <c r="AY1783" s="150">
        <v>0</v>
      </c>
      <c r="AZ1783" s="150"/>
      <c r="BA1783" s="150">
        <f t="shared" si="1522"/>
        <v>0</v>
      </c>
      <c r="BB1783" s="210"/>
      <c r="BC1783" s="210"/>
      <c r="BD1783" s="210"/>
      <c r="BE1783" s="210"/>
      <c r="BF1783" s="210"/>
      <c r="BG1783" s="210"/>
      <c r="BH1783" s="217"/>
      <c r="BI1783" s="210"/>
      <c r="BJ1783" s="210"/>
      <c r="BK1783" s="210"/>
      <c r="BL1783" s="210"/>
      <c r="BM1783" s="208"/>
      <c r="BN1783" s="160"/>
      <c r="BO1783" s="161">
        <f t="shared" si="1498"/>
        <v>0</v>
      </c>
      <c r="BP1783" s="161"/>
    </row>
    <row r="1784" spans="1:68" ht="51">
      <c r="A1784" s="210"/>
      <c r="B1784" s="195" t="s">
        <v>9298</v>
      </c>
      <c r="C1784" s="196" t="s">
        <v>9299</v>
      </c>
      <c r="D1784" s="146" t="s">
        <v>4692</v>
      </c>
      <c r="E1784" s="196" t="s">
        <v>9299</v>
      </c>
      <c r="F1784" s="150">
        <v>0</v>
      </c>
      <c r="G1784" s="209">
        <v>0</v>
      </c>
      <c r="H1784" s="209"/>
      <c r="I1784" s="209">
        <v>0</v>
      </c>
      <c r="J1784" s="150">
        <v>0</v>
      </c>
      <c r="K1784" s="150">
        <v>0</v>
      </c>
      <c r="L1784" s="150">
        <f t="shared" si="1510"/>
        <v>0</v>
      </c>
      <c r="M1784" s="150">
        <v>0</v>
      </c>
      <c r="N1784" s="150">
        <v>0</v>
      </c>
      <c r="O1784" s="150">
        <v>0</v>
      </c>
      <c r="P1784" s="150">
        <v>0</v>
      </c>
      <c r="Q1784" s="150">
        <v>0</v>
      </c>
      <c r="R1784" s="313">
        <f t="shared" si="1517"/>
        <v>0</v>
      </c>
      <c r="S1784" s="150">
        <f t="shared" si="1491"/>
        <v>0</v>
      </c>
      <c r="T1784" s="150">
        <v>0</v>
      </c>
      <c r="U1784" s="150">
        <v>0</v>
      </c>
      <c r="V1784" s="199">
        <v>0</v>
      </c>
      <c r="W1784" s="150">
        <f t="shared" si="1518"/>
        <v>0</v>
      </c>
      <c r="X1784" s="150">
        <v>0</v>
      </c>
      <c r="Y1784" s="150">
        <v>0</v>
      </c>
      <c r="Z1784" s="150">
        <v>0</v>
      </c>
      <c r="AA1784" s="150">
        <f t="shared" si="1487"/>
        <v>0</v>
      </c>
      <c r="AB1784" s="150">
        <v>0</v>
      </c>
      <c r="AC1784" s="199">
        <v>0</v>
      </c>
      <c r="AD1784" s="150">
        <f t="shared" si="1519"/>
        <v>0</v>
      </c>
      <c r="AE1784" s="150">
        <v>0</v>
      </c>
      <c r="AF1784" s="169" t="s">
        <v>4680</v>
      </c>
      <c r="AG1784" s="201">
        <v>0</v>
      </c>
      <c r="AH1784" s="199">
        <v>0</v>
      </c>
      <c r="AI1784" s="150">
        <v>0</v>
      </c>
      <c r="AJ1784" s="169">
        <f t="shared" si="1488"/>
        <v>0</v>
      </c>
      <c r="AK1784" s="201">
        <v>0</v>
      </c>
      <c r="AL1784" s="199">
        <v>0</v>
      </c>
      <c r="AM1784" s="150">
        <f t="shared" si="1520"/>
        <v>0</v>
      </c>
      <c r="AN1784" s="153">
        <f t="shared" si="1489"/>
        <v>0</v>
      </c>
      <c r="AO1784" s="154">
        <f t="shared" si="1490"/>
        <v>0</v>
      </c>
      <c r="AP1784" s="150">
        <v>0</v>
      </c>
      <c r="AQ1784" s="201">
        <v>0</v>
      </c>
      <c r="AR1784" s="199">
        <v>0</v>
      </c>
      <c r="AS1784" s="150">
        <f t="shared" si="1521"/>
        <v>0</v>
      </c>
      <c r="AT1784" s="155"/>
      <c r="AU1784" s="156">
        <f t="shared" si="1485"/>
        <v>0</v>
      </c>
      <c r="AV1784" s="156">
        <f t="shared" si="1486"/>
        <v>0</v>
      </c>
      <c r="AW1784" s="157"/>
      <c r="AX1784" s="150">
        <v>0</v>
      </c>
      <c r="AY1784" s="150">
        <v>0</v>
      </c>
      <c r="AZ1784" s="150"/>
      <c r="BA1784" s="150">
        <f t="shared" si="1522"/>
        <v>0</v>
      </c>
      <c r="BB1784" s="210"/>
      <c r="BC1784" s="210"/>
      <c r="BD1784" s="210"/>
      <c r="BE1784" s="210"/>
      <c r="BF1784" s="210"/>
      <c r="BG1784" s="210"/>
      <c r="BH1784" s="217"/>
      <c r="BI1784" s="210"/>
      <c r="BJ1784" s="210"/>
      <c r="BK1784" s="210"/>
      <c r="BL1784" s="210"/>
      <c r="BM1784" s="208"/>
      <c r="BN1784" s="160"/>
      <c r="BO1784" s="161">
        <f t="shared" si="1498"/>
        <v>0</v>
      </c>
      <c r="BP1784" s="161"/>
    </row>
    <row r="1785" spans="1:68" ht="51">
      <c r="A1785" s="210"/>
      <c r="B1785" s="195" t="s">
        <v>9300</v>
      </c>
      <c r="C1785" s="196" t="s">
        <v>9301</v>
      </c>
      <c r="D1785" s="146" t="s">
        <v>4692</v>
      </c>
      <c r="E1785" s="196" t="s">
        <v>9301</v>
      </c>
      <c r="F1785" s="150">
        <v>0</v>
      </c>
      <c r="G1785" s="209">
        <v>0</v>
      </c>
      <c r="H1785" s="209"/>
      <c r="I1785" s="209">
        <v>0</v>
      </c>
      <c r="J1785" s="150">
        <v>0</v>
      </c>
      <c r="K1785" s="150">
        <v>0</v>
      </c>
      <c r="L1785" s="150">
        <f t="shared" si="1510"/>
        <v>0</v>
      </c>
      <c r="M1785" s="150">
        <v>0</v>
      </c>
      <c r="N1785" s="150">
        <v>0</v>
      </c>
      <c r="O1785" s="150">
        <v>0</v>
      </c>
      <c r="P1785" s="150">
        <v>0</v>
      </c>
      <c r="Q1785" s="150">
        <v>0</v>
      </c>
      <c r="R1785" s="313">
        <f t="shared" si="1517"/>
        <v>0</v>
      </c>
      <c r="S1785" s="150">
        <f t="shared" si="1491"/>
        <v>0</v>
      </c>
      <c r="T1785" s="150">
        <v>0</v>
      </c>
      <c r="U1785" s="150">
        <v>0</v>
      </c>
      <c r="V1785" s="199">
        <v>0</v>
      </c>
      <c r="W1785" s="150">
        <f t="shared" si="1518"/>
        <v>0</v>
      </c>
      <c r="X1785" s="150">
        <v>0</v>
      </c>
      <c r="Y1785" s="150">
        <v>0</v>
      </c>
      <c r="Z1785" s="150">
        <v>0</v>
      </c>
      <c r="AA1785" s="150">
        <f t="shared" si="1487"/>
        <v>0</v>
      </c>
      <c r="AB1785" s="150">
        <v>0</v>
      </c>
      <c r="AC1785" s="199">
        <v>0</v>
      </c>
      <c r="AD1785" s="150">
        <f t="shared" si="1519"/>
        <v>0</v>
      </c>
      <c r="AE1785" s="150">
        <v>0</v>
      </c>
      <c r="AF1785" s="169" t="s">
        <v>4680</v>
      </c>
      <c r="AG1785" s="201">
        <v>0</v>
      </c>
      <c r="AH1785" s="199">
        <v>0</v>
      </c>
      <c r="AI1785" s="150">
        <v>0</v>
      </c>
      <c r="AJ1785" s="169">
        <f t="shared" si="1488"/>
        <v>0</v>
      </c>
      <c r="AK1785" s="201">
        <v>0</v>
      </c>
      <c r="AL1785" s="199">
        <v>0</v>
      </c>
      <c r="AM1785" s="150">
        <f t="shared" si="1520"/>
        <v>0</v>
      </c>
      <c r="AN1785" s="153">
        <f t="shared" si="1489"/>
        <v>0</v>
      </c>
      <c r="AO1785" s="154">
        <f t="shared" si="1490"/>
        <v>0</v>
      </c>
      <c r="AP1785" s="150">
        <v>0</v>
      </c>
      <c r="AQ1785" s="201">
        <v>0</v>
      </c>
      <c r="AR1785" s="199">
        <v>0</v>
      </c>
      <c r="AS1785" s="150">
        <f t="shared" si="1521"/>
        <v>0</v>
      </c>
      <c r="AT1785" s="155"/>
      <c r="AU1785" s="156">
        <f t="shared" si="1485"/>
        <v>0</v>
      </c>
      <c r="AV1785" s="156">
        <f t="shared" si="1486"/>
        <v>0</v>
      </c>
      <c r="AW1785" s="157"/>
      <c r="AX1785" s="150">
        <v>0</v>
      </c>
      <c r="AY1785" s="150">
        <v>0</v>
      </c>
      <c r="AZ1785" s="150"/>
      <c r="BA1785" s="150">
        <f t="shared" si="1522"/>
        <v>0</v>
      </c>
      <c r="BB1785" s="210"/>
      <c r="BC1785" s="210"/>
      <c r="BD1785" s="210"/>
      <c r="BE1785" s="210"/>
      <c r="BF1785" s="210"/>
      <c r="BG1785" s="210"/>
      <c r="BH1785" s="217"/>
      <c r="BI1785" s="210"/>
      <c r="BJ1785" s="210"/>
      <c r="BK1785" s="210"/>
      <c r="BL1785" s="210"/>
      <c r="BM1785" s="208"/>
      <c r="BN1785" s="160"/>
      <c r="BO1785" s="161">
        <f t="shared" si="1498"/>
        <v>0</v>
      </c>
      <c r="BP1785" s="161"/>
    </row>
    <row r="1786" spans="1:68" ht="38.25">
      <c r="A1786" s="210"/>
      <c r="B1786" s="195" t="s">
        <v>9302</v>
      </c>
      <c r="C1786" s="196" t="s">
        <v>9303</v>
      </c>
      <c r="D1786" s="146" t="s">
        <v>4692</v>
      </c>
      <c r="E1786" s="196" t="s">
        <v>9303</v>
      </c>
      <c r="F1786" s="150">
        <v>0</v>
      </c>
      <c r="G1786" s="209">
        <v>0</v>
      </c>
      <c r="H1786" s="209"/>
      <c r="I1786" s="209">
        <v>0</v>
      </c>
      <c r="J1786" s="150">
        <v>0</v>
      </c>
      <c r="K1786" s="150">
        <v>0</v>
      </c>
      <c r="L1786" s="150">
        <f t="shared" si="1510"/>
        <v>0</v>
      </c>
      <c r="M1786" s="150">
        <v>0</v>
      </c>
      <c r="N1786" s="150">
        <v>0</v>
      </c>
      <c r="O1786" s="150">
        <v>0</v>
      </c>
      <c r="P1786" s="150">
        <v>0</v>
      </c>
      <c r="Q1786" s="150">
        <v>0</v>
      </c>
      <c r="R1786" s="313">
        <f t="shared" si="1517"/>
        <v>0</v>
      </c>
      <c r="S1786" s="150">
        <f t="shared" si="1491"/>
        <v>0</v>
      </c>
      <c r="T1786" s="150">
        <v>0</v>
      </c>
      <c r="U1786" s="150">
        <v>0</v>
      </c>
      <c r="V1786" s="199">
        <v>0</v>
      </c>
      <c r="W1786" s="150">
        <f t="shared" si="1518"/>
        <v>0</v>
      </c>
      <c r="X1786" s="150">
        <v>0</v>
      </c>
      <c r="Y1786" s="150">
        <v>0</v>
      </c>
      <c r="Z1786" s="150">
        <v>0</v>
      </c>
      <c r="AA1786" s="150">
        <f t="shared" si="1487"/>
        <v>0</v>
      </c>
      <c r="AB1786" s="150">
        <v>0</v>
      </c>
      <c r="AC1786" s="199">
        <v>0</v>
      </c>
      <c r="AD1786" s="150">
        <f t="shared" si="1519"/>
        <v>0</v>
      </c>
      <c r="AE1786" s="150">
        <v>0</v>
      </c>
      <c r="AF1786" s="169" t="s">
        <v>4680</v>
      </c>
      <c r="AG1786" s="201">
        <v>0</v>
      </c>
      <c r="AH1786" s="199">
        <v>0</v>
      </c>
      <c r="AI1786" s="150">
        <v>0</v>
      </c>
      <c r="AJ1786" s="169">
        <f t="shared" si="1488"/>
        <v>0</v>
      </c>
      <c r="AK1786" s="201">
        <v>0</v>
      </c>
      <c r="AL1786" s="199">
        <v>0</v>
      </c>
      <c r="AM1786" s="150">
        <f t="shared" si="1520"/>
        <v>0</v>
      </c>
      <c r="AN1786" s="153">
        <f t="shared" si="1489"/>
        <v>0</v>
      </c>
      <c r="AO1786" s="154">
        <f t="shared" si="1490"/>
        <v>0</v>
      </c>
      <c r="AP1786" s="150">
        <v>0</v>
      </c>
      <c r="AQ1786" s="201">
        <v>0</v>
      </c>
      <c r="AR1786" s="199">
        <v>0</v>
      </c>
      <c r="AS1786" s="150">
        <f t="shared" si="1521"/>
        <v>0</v>
      </c>
      <c r="AT1786" s="155"/>
      <c r="AU1786" s="156">
        <f t="shared" si="1485"/>
        <v>0</v>
      </c>
      <c r="AV1786" s="156">
        <f t="shared" si="1486"/>
        <v>0</v>
      </c>
      <c r="AW1786" s="157"/>
      <c r="AX1786" s="150">
        <v>0</v>
      </c>
      <c r="AY1786" s="150">
        <v>0</v>
      </c>
      <c r="AZ1786" s="150"/>
      <c r="BA1786" s="150">
        <f t="shared" si="1522"/>
        <v>0</v>
      </c>
      <c r="BB1786" s="210"/>
      <c r="BC1786" s="210"/>
      <c r="BD1786" s="210"/>
      <c r="BE1786" s="210"/>
      <c r="BF1786" s="210"/>
      <c r="BG1786" s="210"/>
      <c r="BH1786" s="217"/>
      <c r="BI1786" s="210"/>
      <c r="BJ1786" s="210"/>
      <c r="BK1786" s="210"/>
      <c r="BL1786" s="210"/>
      <c r="BM1786" s="208"/>
      <c r="BN1786" s="160"/>
      <c r="BO1786" s="161">
        <f t="shared" si="1498"/>
        <v>0</v>
      </c>
      <c r="BP1786" s="161"/>
    </row>
    <row r="1787" spans="1:68" ht="38.25">
      <c r="A1787" s="210"/>
      <c r="B1787" s="195" t="s">
        <v>9304</v>
      </c>
      <c r="C1787" s="196" t="s">
        <v>9305</v>
      </c>
      <c r="D1787" s="146" t="s">
        <v>4692</v>
      </c>
      <c r="E1787" s="196" t="s">
        <v>9305</v>
      </c>
      <c r="F1787" s="150">
        <v>0</v>
      </c>
      <c r="G1787" s="209">
        <v>0</v>
      </c>
      <c r="H1787" s="209"/>
      <c r="I1787" s="209">
        <v>0</v>
      </c>
      <c r="J1787" s="150">
        <v>0</v>
      </c>
      <c r="K1787" s="150">
        <v>0</v>
      </c>
      <c r="L1787" s="150">
        <f t="shared" si="1510"/>
        <v>0</v>
      </c>
      <c r="M1787" s="150">
        <v>0</v>
      </c>
      <c r="N1787" s="150">
        <v>0</v>
      </c>
      <c r="O1787" s="150">
        <v>0</v>
      </c>
      <c r="P1787" s="150">
        <v>0</v>
      </c>
      <c r="Q1787" s="150">
        <v>0</v>
      </c>
      <c r="R1787" s="313">
        <f t="shared" si="1517"/>
        <v>0</v>
      </c>
      <c r="S1787" s="150">
        <f t="shared" si="1491"/>
        <v>0</v>
      </c>
      <c r="T1787" s="150">
        <v>0</v>
      </c>
      <c r="U1787" s="150">
        <v>0</v>
      </c>
      <c r="V1787" s="199">
        <v>0</v>
      </c>
      <c r="W1787" s="150">
        <f t="shared" si="1518"/>
        <v>0</v>
      </c>
      <c r="X1787" s="150">
        <v>0</v>
      </c>
      <c r="Y1787" s="150">
        <v>0</v>
      </c>
      <c r="Z1787" s="150">
        <v>0</v>
      </c>
      <c r="AA1787" s="150">
        <f t="shared" si="1487"/>
        <v>0</v>
      </c>
      <c r="AB1787" s="150">
        <v>0</v>
      </c>
      <c r="AC1787" s="199">
        <v>0</v>
      </c>
      <c r="AD1787" s="150">
        <f t="shared" si="1519"/>
        <v>0</v>
      </c>
      <c r="AE1787" s="150">
        <v>0</v>
      </c>
      <c r="AF1787" s="169" t="s">
        <v>4680</v>
      </c>
      <c r="AG1787" s="201">
        <v>0</v>
      </c>
      <c r="AH1787" s="199">
        <v>0</v>
      </c>
      <c r="AI1787" s="150">
        <v>0</v>
      </c>
      <c r="AJ1787" s="169">
        <f t="shared" si="1488"/>
        <v>0</v>
      </c>
      <c r="AK1787" s="201">
        <v>0</v>
      </c>
      <c r="AL1787" s="199">
        <v>0</v>
      </c>
      <c r="AM1787" s="150">
        <f t="shared" si="1520"/>
        <v>0</v>
      </c>
      <c r="AN1787" s="153">
        <f t="shared" si="1489"/>
        <v>0</v>
      </c>
      <c r="AO1787" s="154">
        <f t="shared" si="1490"/>
        <v>0</v>
      </c>
      <c r="AP1787" s="150">
        <v>0</v>
      </c>
      <c r="AQ1787" s="201">
        <v>0</v>
      </c>
      <c r="AR1787" s="199">
        <v>0</v>
      </c>
      <c r="AS1787" s="150">
        <f t="shared" si="1521"/>
        <v>0</v>
      </c>
      <c r="AT1787" s="155"/>
      <c r="AU1787" s="156">
        <f t="shared" si="1485"/>
        <v>0</v>
      </c>
      <c r="AV1787" s="156">
        <f t="shared" si="1486"/>
        <v>0</v>
      </c>
      <c r="AW1787" s="157"/>
      <c r="AX1787" s="150">
        <v>0</v>
      </c>
      <c r="AY1787" s="150">
        <v>0</v>
      </c>
      <c r="AZ1787" s="150"/>
      <c r="BA1787" s="150">
        <f t="shared" si="1522"/>
        <v>0</v>
      </c>
      <c r="BB1787" s="210"/>
      <c r="BC1787" s="210"/>
      <c r="BD1787" s="210"/>
      <c r="BE1787" s="210"/>
      <c r="BF1787" s="210"/>
      <c r="BG1787" s="210"/>
      <c r="BH1787" s="217"/>
      <c r="BI1787" s="210"/>
      <c r="BJ1787" s="210"/>
      <c r="BK1787" s="210"/>
      <c r="BL1787" s="210"/>
      <c r="BM1787" s="208"/>
      <c r="BN1787" s="160"/>
      <c r="BO1787" s="161">
        <f t="shared" si="1498"/>
        <v>0</v>
      </c>
      <c r="BP1787" s="161"/>
    </row>
    <row r="1788" spans="1:68" ht="63.75">
      <c r="A1788" s="210"/>
      <c r="B1788" s="195" t="s">
        <v>9306</v>
      </c>
      <c r="C1788" s="196" t="s">
        <v>9307</v>
      </c>
      <c r="D1788" s="146" t="s">
        <v>4692</v>
      </c>
      <c r="E1788" s="196" t="s">
        <v>9307</v>
      </c>
      <c r="F1788" s="150">
        <v>0</v>
      </c>
      <c r="G1788" s="209">
        <v>0</v>
      </c>
      <c r="H1788" s="209"/>
      <c r="I1788" s="209">
        <v>0</v>
      </c>
      <c r="J1788" s="150">
        <v>0</v>
      </c>
      <c r="K1788" s="150">
        <v>0</v>
      </c>
      <c r="L1788" s="150">
        <f t="shared" si="1510"/>
        <v>0</v>
      </c>
      <c r="M1788" s="150">
        <v>0</v>
      </c>
      <c r="N1788" s="150">
        <v>0</v>
      </c>
      <c r="O1788" s="150">
        <v>0</v>
      </c>
      <c r="P1788" s="150">
        <v>0</v>
      </c>
      <c r="Q1788" s="150">
        <v>0</v>
      </c>
      <c r="R1788" s="313">
        <f t="shared" si="1517"/>
        <v>0</v>
      </c>
      <c r="S1788" s="150">
        <f t="shared" si="1491"/>
        <v>0</v>
      </c>
      <c r="T1788" s="150">
        <v>0</v>
      </c>
      <c r="U1788" s="150">
        <v>0</v>
      </c>
      <c r="V1788" s="199">
        <v>0</v>
      </c>
      <c r="W1788" s="150">
        <f t="shared" si="1518"/>
        <v>0</v>
      </c>
      <c r="X1788" s="150">
        <v>0</v>
      </c>
      <c r="Y1788" s="150">
        <v>0</v>
      </c>
      <c r="Z1788" s="150">
        <v>0</v>
      </c>
      <c r="AA1788" s="150">
        <f t="shared" si="1487"/>
        <v>0</v>
      </c>
      <c r="AB1788" s="150">
        <v>0</v>
      </c>
      <c r="AC1788" s="199">
        <v>0</v>
      </c>
      <c r="AD1788" s="150">
        <f t="shared" si="1519"/>
        <v>0</v>
      </c>
      <c r="AE1788" s="150">
        <v>0</v>
      </c>
      <c r="AF1788" s="169" t="s">
        <v>4680</v>
      </c>
      <c r="AG1788" s="201">
        <v>0</v>
      </c>
      <c r="AH1788" s="199">
        <v>0</v>
      </c>
      <c r="AI1788" s="150">
        <v>0</v>
      </c>
      <c r="AJ1788" s="169">
        <f t="shared" si="1488"/>
        <v>0</v>
      </c>
      <c r="AK1788" s="201">
        <v>0</v>
      </c>
      <c r="AL1788" s="199">
        <v>0</v>
      </c>
      <c r="AM1788" s="150">
        <f t="shared" si="1520"/>
        <v>0</v>
      </c>
      <c r="AN1788" s="153">
        <f t="shared" si="1489"/>
        <v>0</v>
      </c>
      <c r="AO1788" s="154">
        <f t="shared" si="1490"/>
        <v>0</v>
      </c>
      <c r="AP1788" s="150">
        <v>0</v>
      </c>
      <c r="AQ1788" s="201">
        <v>0</v>
      </c>
      <c r="AR1788" s="199">
        <v>0</v>
      </c>
      <c r="AS1788" s="150">
        <f t="shared" si="1521"/>
        <v>0</v>
      </c>
      <c r="AT1788" s="155"/>
      <c r="AU1788" s="156">
        <f t="shared" si="1485"/>
        <v>0</v>
      </c>
      <c r="AV1788" s="156">
        <f t="shared" si="1486"/>
        <v>0</v>
      </c>
      <c r="AW1788" s="157"/>
      <c r="AX1788" s="150">
        <v>0</v>
      </c>
      <c r="AY1788" s="150">
        <v>0</v>
      </c>
      <c r="AZ1788" s="150"/>
      <c r="BA1788" s="150">
        <f t="shared" si="1522"/>
        <v>0</v>
      </c>
      <c r="BB1788" s="210"/>
      <c r="BC1788" s="210"/>
      <c r="BD1788" s="210"/>
      <c r="BE1788" s="210"/>
      <c r="BF1788" s="210"/>
      <c r="BG1788" s="210"/>
      <c r="BH1788" s="217"/>
      <c r="BI1788" s="210"/>
      <c r="BJ1788" s="210"/>
      <c r="BK1788" s="210"/>
      <c r="BL1788" s="210"/>
      <c r="BM1788" s="208"/>
      <c r="BN1788" s="160"/>
      <c r="BO1788" s="161">
        <f t="shared" si="1498"/>
        <v>0</v>
      </c>
      <c r="BP1788" s="161"/>
    </row>
    <row r="1789" spans="1:68" ht="51">
      <c r="A1789" s="206" t="s">
        <v>596</v>
      </c>
      <c r="B1789" s="195" t="s">
        <v>9308</v>
      </c>
      <c r="C1789" s="196" t="s">
        <v>9309</v>
      </c>
      <c r="D1789" s="146" t="s">
        <v>4692</v>
      </c>
      <c r="E1789" s="196" t="s">
        <v>9309</v>
      </c>
      <c r="F1789" s="150">
        <v>0</v>
      </c>
      <c r="G1789" s="209">
        <v>0</v>
      </c>
      <c r="H1789" s="209"/>
      <c r="I1789" s="209">
        <v>0</v>
      </c>
      <c r="J1789" s="150">
        <v>0</v>
      </c>
      <c r="K1789" s="150">
        <v>0</v>
      </c>
      <c r="L1789" s="150">
        <f t="shared" si="1510"/>
        <v>0</v>
      </c>
      <c r="M1789" s="150">
        <v>0</v>
      </c>
      <c r="N1789" s="150">
        <v>0</v>
      </c>
      <c r="O1789" s="150">
        <v>0</v>
      </c>
      <c r="P1789" s="150">
        <v>0</v>
      </c>
      <c r="Q1789" s="150">
        <v>0</v>
      </c>
      <c r="R1789" s="313">
        <f t="shared" si="1517"/>
        <v>0</v>
      </c>
      <c r="S1789" s="150">
        <f t="shared" si="1491"/>
        <v>0</v>
      </c>
      <c r="T1789" s="150">
        <v>0</v>
      </c>
      <c r="U1789" s="150">
        <v>0</v>
      </c>
      <c r="V1789" s="199">
        <v>0</v>
      </c>
      <c r="W1789" s="150">
        <f t="shared" si="1518"/>
        <v>0</v>
      </c>
      <c r="X1789" s="150">
        <v>0</v>
      </c>
      <c r="Y1789" s="150">
        <v>0</v>
      </c>
      <c r="Z1789" s="150">
        <v>0</v>
      </c>
      <c r="AA1789" s="150">
        <f t="shared" si="1487"/>
        <v>0</v>
      </c>
      <c r="AB1789" s="150">
        <v>0</v>
      </c>
      <c r="AC1789" s="199">
        <v>0</v>
      </c>
      <c r="AD1789" s="150">
        <f t="shared" si="1519"/>
        <v>0</v>
      </c>
      <c r="AE1789" s="150">
        <v>0</v>
      </c>
      <c r="AF1789" s="169" t="s">
        <v>4680</v>
      </c>
      <c r="AG1789" s="201">
        <v>0</v>
      </c>
      <c r="AH1789" s="199">
        <v>0</v>
      </c>
      <c r="AI1789" s="150">
        <v>0</v>
      </c>
      <c r="AJ1789" s="169">
        <f t="shared" si="1488"/>
        <v>0</v>
      </c>
      <c r="AK1789" s="201">
        <v>0</v>
      </c>
      <c r="AL1789" s="199">
        <v>0</v>
      </c>
      <c r="AM1789" s="150">
        <f t="shared" si="1520"/>
        <v>0</v>
      </c>
      <c r="AN1789" s="153">
        <f t="shared" si="1489"/>
        <v>0</v>
      </c>
      <c r="AO1789" s="154">
        <f t="shared" si="1490"/>
        <v>0</v>
      </c>
      <c r="AP1789" s="150">
        <v>0</v>
      </c>
      <c r="AQ1789" s="201">
        <v>0</v>
      </c>
      <c r="AR1789" s="199">
        <v>0</v>
      </c>
      <c r="AS1789" s="150">
        <f t="shared" si="1521"/>
        <v>0</v>
      </c>
      <c r="AT1789" s="155"/>
      <c r="AU1789" s="156">
        <f t="shared" si="1485"/>
        <v>0</v>
      </c>
      <c r="AV1789" s="156">
        <f t="shared" si="1486"/>
        <v>0</v>
      </c>
      <c r="AW1789" s="157"/>
      <c r="AX1789" s="150">
        <v>0</v>
      </c>
      <c r="AY1789" s="150">
        <v>0</v>
      </c>
      <c r="AZ1789" s="150"/>
      <c r="BA1789" s="150">
        <f t="shared" si="1522"/>
        <v>0</v>
      </c>
      <c r="BB1789" s="202">
        <v>5</v>
      </c>
      <c r="BC1789" s="202" t="s">
        <v>755</v>
      </c>
      <c r="BD1789" s="202" t="s">
        <v>647</v>
      </c>
      <c r="BE1789" s="202" t="s">
        <v>647</v>
      </c>
      <c r="BF1789" s="202">
        <v>10</v>
      </c>
      <c r="BG1789" s="231" t="s">
        <v>9310</v>
      </c>
      <c r="BH1789" s="216">
        <f>AS1789</f>
        <v>0</v>
      </c>
      <c r="BI1789" s="205"/>
      <c r="BJ1789" s="206" t="s">
        <v>9254</v>
      </c>
      <c r="BK1789" s="206" t="s">
        <v>596</v>
      </c>
      <c r="BL1789" s="207" t="s">
        <v>9255</v>
      </c>
      <c r="BM1789" s="208">
        <f>BH1789</f>
        <v>0</v>
      </c>
      <c r="BN1789" s="160"/>
      <c r="BO1789" s="161">
        <f t="shared" si="1498"/>
        <v>0</v>
      </c>
      <c r="BP1789" s="161"/>
    </row>
    <row r="1790" spans="1:68" ht="51">
      <c r="A1790" s="206" t="s">
        <v>596</v>
      </c>
      <c r="B1790" s="195" t="s">
        <v>9311</v>
      </c>
      <c r="C1790" s="196" t="s">
        <v>9312</v>
      </c>
      <c r="D1790" s="146" t="s">
        <v>4692</v>
      </c>
      <c r="E1790" s="196" t="s">
        <v>9312</v>
      </c>
      <c r="F1790" s="150">
        <v>0</v>
      </c>
      <c r="G1790" s="209">
        <v>0</v>
      </c>
      <c r="H1790" s="209"/>
      <c r="I1790" s="209">
        <v>0</v>
      </c>
      <c r="J1790" s="150">
        <v>0</v>
      </c>
      <c r="K1790" s="150">
        <v>0</v>
      </c>
      <c r="L1790" s="150">
        <f t="shared" si="1510"/>
        <v>0</v>
      </c>
      <c r="M1790" s="150">
        <v>0</v>
      </c>
      <c r="N1790" s="150">
        <v>0</v>
      </c>
      <c r="O1790" s="150">
        <v>0</v>
      </c>
      <c r="P1790" s="150">
        <v>0</v>
      </c>
      <c r="Q1790" s="150">
        <v>0</v>
      </c>
      <c r="R1790" s="313">
        <f t="shared" si="1517"/>
        <v>0</v>
      </c>
      <c r="S1790" s="150">
        <f t="shared" si="1491"/>
        <v>0</v>
      </c>
      <c r="T1790" s="150">
        <v>0</v>
      </c>
      <c r="U1790" s="150">
        <v>0</v>
      </c>
      <c r="V1790" s="199">
        <v>0</v>
      </c>
      <c r="W1790" s="150">
        <f t="shared" si="1518"/>
        <v>0</v>
      </c>
      <c r="X1790" s="150">
        <v>0</v>
      </c>
      <c r="Y1790" s="150">
        <v>0</v>
      </c>
      <c r="Z1790" s="150">
        <v>0</v>
      </c>
      <c r="AA1790" s="150">
        <f t="shared" si="1487"/>
        <v>0</v>
      </c>
      <c r="AB1790" s="150">
        <v>0</v>
      </c>
      <c r="AC1790" s="199">
        <v>0</v>
      </c>
      <c r="AD1790" s="150">
        <f t="shared" si="1519"/>
        <v>0</v>
      </c>
      <c r="AE1790" s="150">
        <v>0</v>
      </c>
      <c r="AF1790" s="169" t="s">
        <v>4680</v>
      </c>
      <c r="AG1790" s="201">
        <v>0</v>
      </c>
      <c r="AH1790" s="199">
        <v>0</v>
      </c>
      <c r="AI1790" s="150">
        <v>0</v>
      </c>
      <c r="AJ1790" s="169">
        <f t="shared" si="1488"/>
        <v>0</v>
      </c>
      <c r="AK1790" s="201">
        <v>0</v>
      </c>
      <c r="AL1790" s="199">
        <v>0</v>
      </c>
      <c r="AM1790" s="150">
        <f t="shared" si="1520"/>
        <v>0</v>
      </c>
      <c r="AN1790" s="153">
        <f t="shared" si="1489"/>
        <v>0</v>
      </c>
      <c r="AO1790" s="154">
        <f t="shared" si="1490"/>
        <v>0</v>
      </c>
      <c r="AP1790" s="150">
        <v>0</v>
      </c>
      <c r="AQ1790" s="201">
        <v>0</v>
      </c>
      <c r="AR1790" s="199">
        <v>0</v>
      </c>
      <c r="AS1790" s="150">
        <f t="shared" si="1521"/>
        <v>0</v>
      </c>
      <c r="AT1790" s="155"/>
      <c r="AU1790" s="156">
        <f t="shared" si="1485"/>
        <v>0</v>
      </c>
      <c r="AV1790" s="156">
        <f t="shared" si="1486"/>
        <v>0</v>
      </c>
      <c r="AW1790" s="157"/>
      <c r="AX1790" s="150">
        <v>0</v>
      </c>
      <c r="AY1790" s="150">
        <v>0</v>
      </c>
      <c r="AZ1790" s="150"/>
      <c r="BA1790" s="150">
        <f t="shared" si="1522"/>
        <v>0</v>
      </c>
      <c r="BB1790" s="202">
        <v>5</v>
      </c>
      <c r="BC1790" s="202" t="s">
        <v>755</v>
      </c>
      <c r="BD1790" s="202" t="s">
        <v>647</v>
      </c>
      <c r="BE1790" s="202" t="s">
        <v>647</v>
      </c>
      <c r="BF1790" s="202">
        <v>11</v>
      </c>
      <c r="BG1790" s="231" t="s">
        <v>9313</v>
      </c>
      <c r="BH1790" s="216">
        <f>AS1790</f>
        <v>0</v>
      </c>
      <c r="BI1790" s="205"/>
      <c r="BJ1790" s="206" t="s">
        <v>9254</v>
      </c>
      <c r="BK1790" s="206" t="s">
        <v>596</v>
      </c>
      <c r="BL1790" s="207" t="s">
        <v>9255</v>
      </c>
      <c r="BM1790" s="208">
        <f>BH1790</f>
        <v>0</v>
      </c>
      <c r="BN1790" s="160"/>
      <c r="BO1790" s="161">
        <f t="shared" si="1498"/>
        <v>0</v>
      </c>
      <c r="BP1790" s="161"/>
    </row>
    <row r="1791" spans="1:68" ht="76.5">
      <c r="A1791" s="206"/>
      <c r="B1791" s="195" t="s">
        <v>9314</v>
      </c>
      <c r="C1791" s="196" t="s">
        <v>9315</v>
      </c>
      <c r="D1791" s="146" t="s">
        <v>4692</v>
      </c>
      <c r="E1791" s="196" t="s">
        <v>9315</v>
      </c>
      <c r="F1791" s="150">
        <v>0</v>
      </c>
      <c r="G1791" s="209">
        <v>0</v>
      </c>
      <c r="H1791" s="209"/>
      <c r="I1791" s="209">
        <v>0</v>
      </c>
      <c r="J1791" s="150">
        <v>0</v>
      </c>
      <c r="K1791" s="150">
        <v>0</v>
      </c>
      <c r="L1791" s="150">
        <f t="shared" si="1510"/>
        <v>0</v>
      </c>
      <c r="M1791" s="150">
        <v>0</v>
      </c>
      <c r="N1791" s="150">
        <v>0</v>
      </c>
      <c r="O1791" s="150">
        <v>0</v>
      </c>
      <c r="P1791" s="150">
        <v>0</v>
      </c>
      <c r="Q1791" s="150">
        <v>0</v>
      </c>
      <c r="R1791" s="313">
        <f t="shared" si="1517"/>
        <v>0</v>
      </c>
      <c r="S1791" s="150">
        <f t="shared" si="1491"/>
        <v>0</v>
      </c>
      <c r="T1791" s="150">
        <v>0</v>
      </c>
      <c r="U1791" s="150">
        <v>0</v>
      </c>
      <c r="V1791" s="199">
        <v>0</v>
      </c>
      <c r="W1791" s="150">
        <f t="shared" si="1518"/>
        <v>0</v>
      </c>
      <c r="X1791" s="150">
        <v>0</v>
      </c>
      <c r="Y1791" s="150">
        <v>0</v>
      </c>
      <c r="Z1791" s="150">
        <v>0</v>
      </c>
      <c r="AA1791" s="150">
        <f t="shared" si="1487"/>
        <v>0</v>
      </c>
      <c r="AB1791" s="150">
        <v>0</v>
      </c>
      <c r="AC1791" s="199">
        <v>0</v>
      </c>
      <c r="AD1791" s="150">
        <f t="shared" si="1519"/>
        <v>0</v>
      </c>
      <c r="AE1791" s="150">
        <v>0</v>
      </c>
      <c r="AF1791" s="169" t="s">
        <v>4680</v>
      </c>
      <c r="AG1791" s="201">
        <v>0</v>
      </c>
      <c r="AH1791" s="199">
        <v>0</v>
      </c>
      <c r="AI1791" s="150">
        <v>0</v>
      </c>
      <c r="AJ1791" s="169">
        <f t="shared" si="1488"/>
        <v>0</v>
      </c>
      <c r="AK1791" s="201">
        <v>0</v>
      </c>
      <c r="AL1791" s="199">
        <v>0</v>
      </c>
      <c r="AM1791" s="150">
        <f t="shared" si="1520"/>
        <v>0</v>
      </c>
      <c r="AN1791" s="153">
        <f t="shared" si="1489"/>
        <v>0</v>
      </c>
      <c r="AO1791" s="154">
        <f t="shared" si="1490"/>
        <v>0</v>
      </c>
      <c r="AP1791" s="150">
        <v>0</v>
      </c>
      <c r="AQ1791" s="201">
        <v>0</v>
      </c>
      <c r="AR1791" s="199">
        <v>0</v>
      </c>
      <c r="AS1791" s="150">
        <f t="shared" si="1521"/>
        <v>0</v>
      </c>
      <c r="AT1791" s="155"/>
      <c r="AU1791" s="156">
        <f t="shared" si="1485"/>
        <v>0</v>
      </c>
      <c r="AV1791" s="156">
        <f t="shared" si="1486"/>
        <v>0</v>
      </c>
      <c r="AW1791" s="157"/>
      <c r="AX1791" s="150">
        <v>0</v>
      </c>
      <c r="AY1791" s="150">
        <v>0</v>
      </c>
      <c r="AZ1791" s="150"/>
      <c r="BA1791" s="150">
        <f t="shared" si="1522"/>
        <v>0</v>
      </c>
      <c r="BB1791" s="202">
        <v>5</v>
      </c>
      <c r="BC1791" s="202" t="s">
        <v>755</v>
      </c>
      <c r="BD1791" s="202" t="s">
        <v>647</v>
      </c>
      <c r="BE1791" s="202" t="s">
        <v>647</v>
      </c>
      <c r="BF1791" s="202">
        <v>12</v>
      </c>
      <c r="BG1791" s="196" t="s">
        <v>9315</v>
      </c>
      <c r="BH1791" s="216">
        <f>AS1791</f>
        <v>0</v>
      </c>
      <c r="BI1791" s="205"/>
      <c r="BJ1791" s="206"/>
      <c r="BK1791" s="206"/>
      <c r="BL1791" s="207" t="s">
        <v>9255</v>
      </c>
      <c r="BM1791" s="208">
        <f>BH1791</f>
        <v>0</v>
      </c>
      <c r="BN1791" s="160"/>
      <c r="BO1791" s="161">
        <f t="shared" si="1498"/>
        <v>0</v>
      </c>
      <c r="BP1791" s="161"/>
    </row>
    <row r="1792" spans="1:68" ht="51">
      <c r="A1792" s="206"/>
      <c r="B1792" s="195" t="s">
        <v>9316</v>
      </c>
      <c r="C1792" s="196" t="s">
        <v>9317</v>
      </c>
      <c r="D1792" s="146" t="s">
        <v>4692</v>
      </c>
      <c r="E1792" s="196" t="s">
        <v>9317</v>
      </c>
      <c r="F1792" s="150">
        <v>0</v>
      </c>
      <c r="G1792" s="209">
        <v>0</v>
      </c>
      <c r="H1792" s="209">
        <v>0</v>
      </c>
      <c r="I1792" s="209">
        <v>0</v>
      </c>
      <c r="J1792" s="150">
        <v>0</v>
      </c>
      <c r="K1792" s="150">
        <v>0</v>
      </c>
      <c r="L1792" s="150">
        <f t="shared" si="1510"/>
        <v>0</v>
      </c>
      <c r="M1792" s="150">
        <v>0</v>
      </c>
      <c r="N1792" s="150">
        <v>0</v>
      </c>
      <c r="O1792" s="150">
        <v>0</v>
      </c>
      <c r="P1792" s="150">
        <v>0</v>
      </c>
      <c r="Q1792" s="150">
        <v>0</v>
      </c>
      <c r="R1792" s="313">
        <f t="shared" si="1517"/>
        <v>0</v>
      </c>
      <c r="S1792" s="150">
        <f t="shared" si="1491"/>
        <v>0</v>
      </c>
      <c r="T1792" s="150">
        <v>0</v>
      </c>
      <c r="U1792" s="150">
        <v>0</v>
      </c>
      <c r="V1792" s="199">
        <v>0</v>
      </c>
      <c r="W1792" s="150">
        <f t="shared" si="1518"/>
        <v>0</v>
      </c>
      <c r="X1792" s="150">
        <v>0</v>
      </c>
      <c r="Y1792" s="150">
        <v>0</v>
      </c>
      <c r="Z1792" s="150">
        <v>0</v>
      </c>
      <c r="AA1792" s="150">
        <f t="shared" si="1487"/>
        <v>0</v>
      </c>
      <c r="AB1792" s="150">
        <v>0</v>
      </c>
      <c r="AC1792" s="199">
        <v>0</v>
      </c>
      <c r="AD1792" s="150">
        <f t="shared" si="1519"/>
        <v>0</v>
      </c>
      <c r="AE1792" s="150">
        <v>0</v>
      </c>
      <c r="AF1792" s="169" t="s">
        <v>4680</v>
      </c>
      <c r="AG1792" s="201">
        <v>0</v>
      </c>
      <c r="AH1792" s="199">
        <v>0</v>
      </c>
      <c r="AI1792" s="150">
        <v>0</v>
      </c>
      <c r="AJ1792" s="169">
        <f t="shared" si="1488"/>
        <v>0</v>
      </c>
      <c r="AK1792" s="201">
        <v>0</v>
      </c>
      <c r="AL1792" s="199">
        <v>0</v>
      </c>
      <c r="AM1792" s="150">
        <f t="shared" si="1520"/>
        <v>0</v>
      </c>
      <c r="AN1792" s="153">
        <f t="shared" si="1489"/>
        <v>0</v>
      </c>
      <c r="AO1792" s="154">
        <f t="shared" si="1490"/>
        <v>0</v>
      </c>
      <c r="AP1792" s="150">
        <v>0</v>
      </c>
      <c r="AQ1792" s="201">
        <v>0</v>
      </c>
      <c r="AR1792" s="199">
        <v>0</v>
      </c>
      <c r="AS1792" s="150">
        <f t="shared" si="1521"/>
        <v>0</v>
      </c>
      <c r="AT1792" s="155"/>
      <c r="AU1792" s="156">
        <f t="shared" si="1485"/>
        <v>0</v>
      </c>
      <c r="AV1792" s="156">
        <f t="shared" si="1486"/>
        <v>0</v>
      </c>
      <c r="AW1792" s="157"/>
      <c r="AX1792" s="150">
        <v>0</v>
      </c>
      <c r="AY1792" s="150">
        <v>0</v>
      </c>
      <c r="AZ1792" s="150"/>
      <c r="BA1792" s="150">
        <f t="shared" si="1522"/>
        <v>0</v>
      </c>
      <c r="BB1792" s="202">
        <v>5</v>
      </c>
      <c r="BC1792" s="202" t="s">
        <v>755</v>
      </c>
      <c r="BD1792" s="202" t="s">
        <v>647</v>
      </c>
      <c r="BE1792" s="202" t="s">
        <v>647</v>
      </c>
      <c r="BF1792" s="202">
        <v>13</v>
      </c>
      <c r="BG1792" s="196" t="s">
        <v>9317</v>
      </c>
      <c r="BH1792" s="216">
        <f>AS1792</f>
        <v>0</v>
      </c>
      <c r="BI1792" s="205"/>
      <c r="BJ1792" s="206"/>
      <c r="BK1792" s="206"/>
      <c r="BL1792" s="207" t="s">
        <v>9255</v>
      </c>
      <c r="BM1792" s="208">
        <f>BH1792</f>
        <v>0</v>
      </c>
      <c r="BN1792" s="160"/>
      <c r="BO1792" s="161">
        <f t="shared" si="1498"/>
        <v>0</v>
      </c>
      <c r="BP1792" s="161"/>
    </row>
    <row r="1793" spans="1:68" ht="25.5">
      <c r="A1793" s="256" t="s">
        <v>597</v>
      </c>
      <c r="B1793" s="184"/>
      <c r="C1793" s="185" t="s">
        <v>102</v>
      </c>
      <c r="D1793" s="146" t="s">
        <v>4692</v>
      </c>
      <c r="E1793" s="185" t="s">
        <v>102</v>
      </c>
      <c r="F1793" s="188">
        <v>0</v>
      </c>
      <c r="G1793" s="187">
        <v>0</v>
      </c>
      <c r="H1793" s="187"/>
      <c r="I1793" s="187">
        <v>0</v>
      </c>
      <c r="J1793" s="188">
        <f>SUM(J1794:J1820)</f>
        <v>9586.2999999999993</v>
      </c>
      <c r="K1793" s="188">
        <f>SUM(K1794:K1820)</f>
        <v>8478.43</v>
      </c>
      <c r="L1793" s="188">
        <f t="shared" si="1510"/>
        <v>18064.73</v>
      </c>
      <c r="M1793" s="188">
        <v>26830.300000000003</v>
      </c>
      <c r="N1793" s="188">
        <v>15659.53199783582</v>
      </c>
      <c r="O1793" s="188">
        <v>42489.831997835819</v>
      </c>
      <c r="P1793" s="299">
        <f t="shared" ref="P1793:AD1793" si="1523">SUM(P1794:P1820)</f>
        <v>43268.01</v>
      </c>
      <c r="Q1793" s="299">
        <f t="shared" si="1523"/>
        <v>23022.842117677563</v>
      </c>
      <c r="R1793" s="299">
        <f t="shared" si="1523"/>
        <v>66290.852117677568</v>
      </c>
      <c r="S1793" s="150">
        <f t="shared" si="1491"/>
        <v>88387.802823570091</v>
      </c>
      <c r="T1793" s="347">
        <f>SUM(T1794:T1820)</f>
        <v>84816.099999999991</v>
      </c>
      <c r="U1793" s="299">
        <f t="shared" ref="U1793:W1793" si="1524">SUM(U1794:U1820)</f>
        <v>60290.1</v>
      </c>
      <c r="V1793" s="226">
        <f t="shared" si="1524"/>
        <v>26294.252823570092</v>
      </c>
      <c r="W1793" s="299">
        <f t="shared" si="1524"/>
        <v>86584.35282357008</v>
      </c>
      <c r="X1793" s="299">
        <v>60290.1</v>
      </c>
      <c r="Y1793" s="299">
        <v>26294.252823570092</v>
      </c>
      <c r="Z1793" s="299">
        <v>86584.35282357008</v>
      </c>
      <c r="AA1793" s="299">
        <f t="shared" si="1487"/>
        <v>3585.3171764299041</v>
      </c>
      <c r="AB1793" s="299">
        <v>60290.1</v>
      </c>
      <c r="AC1793" s="226">
        <v>29879.570000000003</v>
      </c>
      <c r="AD1793" s="299">
        <f t="shared" si="1523"/>
        <v>90169.669999999984</v>
      </c>
      <c r="AE1793" s="299">
        <v>90169.669999999984</v>
      </c>
      <c r="AF1793" s="169" t="s">
        <v>4680</v>
      </c>
      <c r="AG1793" s="301">
        <v>60290.1</v>
      </c>
      <c r="AH1793" s="226">
        <v>29879.570000000003</v>
      </c>
      <c r="AI1793" s="299">
        <v>90169.669999999984</v>
      </c>
      <c r="AJ1793" s="169">
        <f t="shared" si="1488"/>
        <v>0</v>
      </c>
      <c r="AK1793" s="301">
        <v>60290.1</v>
      </c>
      <c r="AL1793" s="226">
        <v>29879.570000000003</v>
      </c>
      <c r="AM1793" s="299">
        <f t="shared" ref="AM1793" si="1525">SUM(AM1794:AM1820)</f>
        <v>90169.669999999984</v>
      </c>
      <c r="AN1793" s="153">
        <f t="shared" si="1489"/>
        <v>-5353.5699999999924</v>
      </c>
      <c r="AO1793" s="154">
        <f t="shared" si="1490"/>
        <v>-5353.5699999999924</v>
      </c>
      <c r="AP1793" s="299">
        <v>90169.669999999984</v>
      </c>
      <c r="AQ1793" s="301">
        <v>84816.099999999991</v>
      </c>
      <c r="AR1793" s="226">
        <f t="shared" ref="AR1793:AS1793" si="1526">SUM(AR1794:AR1820)</f>
        <v>0</v>
      </c>
      <c r="AS1793" s="299">
        <f t="shared" si="1526"/>
        <v>84816.099999999991</v>
      </c>
      <c r="AT1793" s="155"/>
      <c r="AU1793" s="156">
        <f t="shared" si="1485"/>
        <v>0</v>
      </c>
      <c r="AV1793" s="156">
        <f t="shared" si="1486"/>
        <v>3585.3171764299041</v>
      </c>
      <c r="AW1793" s="157"/>
      <c r="AX1793" s="150">
        <v>86584.35282357008</v>
      </c>
      <c r="AY1793" s="299">
        <f t="shared" ref="AY1793:BA1793" si="1527">SUM(AY1794:AY1820)</f>
        <v>32322.780000000002</v>
      </c>
      <c r="AZ1793" s="299">
        <f t="shared" si="1527"/>
        <v>52656.883995671633</v>
      </c>
      <c r="BA1793" s="299">
        <f t="shared" si="1527"/>
        <v>84979.663995671639</v>
      </c>
      <c r="BB1793" s="192">
        <v>5</v>
      </c>
      <c r="BC1793" s="256" t="s">
        <v>755</v>
      </c>
      <c r="BD1793" s="256" t="s">
        <v>647</v>
      </c>
      <c r="BE1793" s="256" t="s">
        <v>671</v>
      </c>
      <c r="BF1793" s="256" t="s">
        <v>630</v>
      </c>
      <c r="BG1793" s="185" t="s">
        <v>102</v>
      </c>
      <c r="BH1793" s="215">
        <f>BH1794</f>
        <v>84816.099999999991</v>
      </c>
      <c r="BI1793" s="192"/>
      <c r="BJ1793" s="256" t="s">
        <v>9318</v>
      </c>
      <c r="BK1793" s="256" t="s">
        <v>597</v>
      </c>
      <c r="BL1793" s="238" t="s">
        <v>9319</v>
      </c>
      <c r="BM1793" s="338">
        <f>BM1794</f>
        <v>84816.099999999991</v>
      </c>
      <c r="BN1793" s="160"/>
      <c r="BO1793" s="161">
        <f t="shared" si="1498"/>
        <v>0</v>
      </c>
      <c r="BP1793" s="161"/>
    </row>
    <row r="1794" spans="1:68" ht="25.5">
      <c r="A1794" s="206" t="s">
        <v>597</v>
      </c>
      <c r="B1794" s="195" t="s">
        <v>9320</v>
      </c>
      <c r="C1794" s="196" t="s">
        <v>9321</v>
      </c>
      <c r="D1794" s="146" t="s">
        <v>4692</v>
      </c>
      <c r="E1794" s="196" t="s">
        <v>9321</v>
      </c>
      <c r="F1794" s="150">
        <v>0</v>
      </c>
      <c r="G1794" s="209">
        <v>0</v>
      </c>
      <c r="H1794" s="209"/>
      <c r="I1794" s="209">
        <v>0</v>
      </c>
      <c r="J1794" s="150">
        <v>7357.67</v>
      </c>
      <c r="K1794" s="150">
        <v>776.72</v>
      </c>
      <c r="L1794" s="150">
        <f t="shared" si="1510"/>
        <v>8134.39</v>
      </c>
      <c r="M1794" s="150">
        <v>19491.37</v>
      </c>
      <c r="N1794" s="150">
        <v>2057.6389596666668</v>
      </c>
      <c r="O1794" s="150">
        <v>21549.008959666666</v>
      </c>
      <c r="P1794" s="150">
        <v>31589.46</v>
      </c>
      <c r="Q1794" s="150">
        <v>3334.79</v>
      </c>
      <c r="R1794" s="313">
        <f t="shared" ref="R1794:R1820" si="1528">P1794+Q1794</f>
        <v>34924.25</v>
      </c>
      <c r="S1794" s="150">
        <f t="shared" si="1491"/>
        <v>46565.666666666664</v>
      </c>
      <c r="T1794" s="150">
        <v>44316.23</v>
      </c>
      <c r="U1794" s="150">
        <v>44316.23</v>
      </c>
      <c r="V1794" s="199">
        <v>0</v>
      </c>
      <c r="W1794" s="150">
        <f t="shared" ref="W1794:W1820" si="1529">U1794+V1794</f>
        <v>44316.23</v>
      </c>
      <c r="X1794" s="150">
        <v>44316.23</v>
      </c>
      <c r="Y1794" s="150">
        <v>0</v>
      </c>
      <c r="Z1794" s="150">
        <v>44316.23</v>
      </c>
      <c r="AA1794" s="150">
        <f t="shared" si="1487"/>
        <v>0</v>
      </c>
      <c r="AB1794" s="150">
        <v>44316.23</v>
      </c>
      <c r="AC1794" s="199">
        <v>0</v>
      </c>
      <c r="AD1794" s="150">
        <f t="shared" ref="AD1794:AD1820" si="1530">AB1794+AC1794</f>
        <v>44316.23</v>
      </c>
      <c r="AE1794" s="150">
        <v>44316.23</v>
      </c>
      <c r="AF1794" s="169" t="s">
        <v>4680</v>
      </c>
      <c r="AG1794" s="201">
        <v>44316.23</v>
      </c>
      <c r="AH1794" s="199">
        <v>0</v>
      </c>
      <c r="AI1794" s="150">
        <v>44316.23</v>
      </c>
      <c r="AJ1794" s="169">
        <f t="shared" si="1488"/>
        <v>0</v>
      </c>
      <c r="AK1794" s="201">
        <v>44316.23</v>
      </c>
      <c r="AL1794" s="199">
        <v>0</v>
      </c>
      <c r="AM1794" s="150">
        <f t="shared" ref="AM1794:AM1820" si="1531">AK1794+AL1794</f>
        <v>44316.23</v>
      </c>
      <c r="AN1794" s="153">
        <f t="shared" si="1489"/>
        <v>0</v>
      </c>
      <c r="AO1794" s="154">
        <f t="shared" si="1490"/>
        <v>0</v>
      </c>
      <c r="AP1794" s="150">
        <v>44316.23</v>
      </c>
      <c r="AQ1794" s="201">
        <v>44316.23</v>
      </c>
      <c r="AR1794" s="199">
        <v>0</v>
      </c>
      <c r="AS1794" s="150">
        <f t="shared" ref="AS1794:AS1820" si="1532">AQ1794+AR1794</f>
        <v>44316.23</v>
      </c>
      <c r="AT1794" s="155"/>
      <c r="AU1794" s="156">
        <f t="shared" ref="AU1794:AU1857" si="1533">AM1794-AD1794</f>
        <v>0</v>
      </c>
      <c r="AV1794" s="156">
        <f t="shared" ref="AV1794:AV1857" si="1534">AD1794-AX1794</f>
        <v>0</v>
      </c>
      <c r="AW1794" s="157"/>
      <c r="AX1794" s="150">
        <v>44316.23</v>
      </c>
      <c r="AY1794" s="150">
        <v>23524.07</v>
      </c>
      <c r="AZ1794" s="150">
        <f>BA1794-AY1794</f>
        <v>19573.947919333332</v>
      </c>
      <c r="BA1794" s="150">
        <v>43098.017919333332</v>
      </c>
      <c r="BB1794" s="202">
        <v>5</v>
      </c>
      <c r="BC1794" s="202" t="s">
        <v>755</v>
      </c>
      <c r="BD1794" s="202" t="s">
        <v>647</v>
      </c>
      <c r="BE1794" s="202" t="s">
        <v>671</v>
      </c>
      <c r="BF1794" s="202" t="s">
        <v>632</v>
      </c>
      <c r="BG1794" s="231" t="s">
        <v>102</v>
      </c>
      <c r="BH1794" s="216">
        <f>SUM(AS1794:AS1820)</f>
        <v>84816.099999999991</v>
      </c>
      <c r="BI1794" s="205"/>
      <c r="BJ1794" s="206" t="s">
        <v>9318</v>
      </c>
      <c r="BK1794" s="206" t="s">
        <v>597</v>
      </c>
      <c r="BL1794" s="207" t="s">
        <v>9319</v>
      </c>
      <c r="BM1794" s="208">
        <f>BH1794</f>
        <v>84816.099999999991</v>
      </c>
      <c r="BN1794" s="160"/>
      <c r="BO1794" s="161"/>
      <c r="BP1794" s="161"/>
    </row>
    <row r="1795" spans="1:68" ht="63.75">
      <c r="A1795" s="210"/>
      <c r="B1795" s="195" t="s">
        <v>9322</v>
      </c>
      <c r="C1795" s="196" t="s">
        <v>9323</v>
      </c>
      <c r="D1795" s="146" t="s">
        <v>4692</v>
      </c>
      <c r="E1795" s="196" t="s">
        <v>9323</v>
      </c>
      <c r="F1795" s="150">
        <v>0</v>
      </c>
      <c r="G1795" s="209">
        <v>0</v>
      </c>
      <c r="H1795" s="209"/>
      <c r="I1795" s="209">
        <v>0</v>
      </c>
      <c r="J1795" s="150">
        <v>0</v>
      </c>
      <c r="K1795" s="150">
        <v>3529.29</v>
      </c>
      <c r="L1795" s="150">
        <f t="shared" si="1510"/>
        <v>3529.29</v>
      </c>
      <c r="M1795" s="150">
        <v>0</v>
      </c>
      <c r="N1795" s="150">
        <v>6986.5492474489802</v>
      </c>
      <c r="O1795" s="150">
        <v>6986.5492474489802</v>
      </c>
      <c r="P1795" s="150">
        <v>0</v>
      </c>
      <c r="Q1795" s="150">
        <v>10187.4543273404</v>
      </c>
      <c r="R1795" s="313">
        <f t="shared" si="1528"/>
        <v>10187.4543273404</v>
      </c>
      <c r="S1795" s="150">
        <f t="shared" si="1491"/>
        <v>13583.272436453866</v>
      </c>
      <c r="T1795" s="150">
        <v>10837.03</v>
      </c>
      <c r="U1795" s="150">
        <v>0</v>
      </c>
      <c r="V1795" s="199">
        <v>13583.272436453866</v>
      </c>
      <c r="W1795" s="150">
        <f t="shared" si="1529"/>
        <v>13583.272436453866</v>
      </c>
      <c r="X1795" s="150">
        <v>0</v>
      </c>
      <c r="Y1795" s="150">
        <v>13583.272436453866</v>
      </c>
      <c r="Z1795" s="150">
        <v>13583.272436453866</v>
      </c>
      <c r="AA1795" s="150">
        <f t="shared" ref="AA1795:AA1858" si="1535">AD1795-Z1795</f>
        <v>-2746.2424364538656</v>
      </c>
      <c r="AB1795" s="150">
        <v>0</v>
      </c>
      <c r="AC1795" s="199">
        <v>10837.03</v>
      </c>
      <c r="AD1795" s="150">
        <f t="shared" si="1530"/>
        <v>10837.03</v>
      </c>
      <c r="AE1795" s="150">
        <v>10837.03</v>
      </c>
      <c r="AF1795" s="169" t="s">
        <v>4680</v>
      </c>
      <c r="AG1795" s="201">
        <v>0</v>
      </c>
      <c r="AH1795" s="199">
        <v>10837.03</v>
      </c>
      <c r="AI1795" s="150">
        <v>10837.03</v>
      </c>
      <c r="AJ1795" s="169">
        <f t="shared" ref="AJ1795:AJ1858" si="1536">AM1795-AI1795</f>
        <v>0</v>
      </c>
      <c r="AK1795" s="201">
        <v>0</v>
      </c>
      <c r="AL1795" s="199">
        <v>10837.03</v>
      </c>
      <c r="AM1795" s="150">
        <f t="shared" si="1531"/>
        <v>10837.03</v>
      </c>
      <c r="AN1795" s="153">
        <f t="shared" ref="AN1795:AN1858" si="1537">AS1795-AM1795</f>
        <v>0</v>
      </c>
      <c r="AO1795" s="154">
        <f t="shared" ref="AO1795:AO1858" si="1538">AS1795-AP1795</f>
        <v>0</v>
      </c>
      <c r="AP1795" s="150">
        <v>10837.03</v>
      </c>
      <c r="AQ1795" s="201">
        <v>10837.03</v>
      </c>
      <c r="AR1795" s="199"/>
      <c r="AS1795" s="150">
        <f t="shared" si="1532"/>
        <v>10837.03</v>
      </c>
      <c r="AT1795" s="155"/>
      <c r="AU1795" s="156">
        <f t="shared" si="1533"/>
        <v>0</v>
      </c>
      <c r="AV1795" s="156">
        <f t="shared" si="1534"/>
        <v>-2746.2424364538656</v>
      </c>
      <c r="AW1795" s="157"/>
      <c r="AX1795" s="150">
        <v>13583.272436453866</v>
      </c>
      <c r="AY1795" s="150">
        <v>0</v>
      </c>
      <c r="AZ1795" s="150">
        <f t="shared" ref="AZ1795:AZ1820" si="1539">BA1795-AY1795</f>
        <v>13973.09849489796</v>
      </c>
      <c r="BA1795" s="150">
        <v>13973.09849489796</v>
      </c>
      <c r="BB1795" s="210"/>
      <c r="BC1795" s="210"/>
      <c r="BD1795" s="210"/>
      <c r="BE1795" s="210"/>
      <c r="BF1795" s="210"/>
      <c r="BG1795" s="210"/>
      <c r="BH1795" s="217"/>
      <c r="BI1795" s="210"/>
      <c r="BJ1795" s="210"/>
      <c r="BK1795" s="210"/>
      <c r="BL1795" s="210"/>
      <c r="BM1795" s="208"/>
      <c r="BN1795" s="160"/>
      <c r="BO1795" s="161"/>
      <c r="BP1795" s="161"/>
    </row>
    <row r="1796" spans="1:68" ht="76.5">
      <c r="A1796" s="210"/>
      <c r="B1796" s="195" t="s">
        <v>9324</v>
      </c>
      <c r="C1796" s="196" t="s">
        <v>9325</v>
      </c>
      <c r="D1796" s="146" t="s">
        <v>4692</v>
      </c>
      <c r="E1796" s="196" t="s">
        <v>9325</v>
      </c>
      <c r="F1796" s="150">
        <v>0</v>
      </c>
      <c r="G1796" s="209">
        <v>0</v>
      </c>
      <c r="H1796" s="209"/>
      <c r="I1796" s="209">
        <v>0</v>
      </c>
      <c r="J1796" s="150">
        <v>0</v>
      </c>
      <c r="K1796" s="150">
        <v>0</v>
      </c>
      <c r="L1796" s="150">
        <f t="shared" si="1510"/>
        <v>0</v>
      </c>
      <c r="M1796" s="150">
        <v>0</v>
      </c>
      <c r="N1796" s="150">
        <v>0</v>
      </c>
      <c r="O1796" s="150">
        <v>0</v>
      </c>
      <c r="P1796" s="150">
        <v>0</v>
      </c>
      <c r="Q1796" s="150">
        <v>0</v>
      </c>
      <c r="R1796" s="313">
        <f t="shared" si="1528"/>
        <v>0</v>
      </c>
      <c r="S1796" s="150">
        <f t="shared" ref="S1796:S1859" si="1540">R1796/9*12</f>
        <v>0</v>
      </c>
      <c r="T1796" s="150">
        <v>0</v>
      </c>
      <c r="U1796" s="150">
        <v>0</v>
      </c>
      <c r="V1796" s="199">
        <v>0</v>
      </c>
      <c r="W1796" s="150">
        <f t="shared" si="1529"/>
        <v>0</v>
      </c>
      <c r="X1796" s="150">
        <v>0</v>
      </c>
      <c r="Y1796" s="150">
        <v>0</v>
      </c>
      <c r="Z1796" s="150">
        <v>0</v>
      </c>
      <c r="AA1796" s="150">
        <f t="shared" si="1535"/>
        <v>0</v>
      </c>
      <c r="AB1796" s="150">
        <v>0</v>
      </c>
      <c r="AC1796" s="199">
        <v>0</v>
      </c>
      <c r="AD1796" s="150">
        <f t="shared" si="1530"/>
        <v>0</v>
      </c>
      <c r="AE1796" s="150">
        <v>0</v>
      </c>
      <c r="AF1796" s="169" t="s">
        <v>4680</v>
      </c>
      <c r="AG1796" s="201">
        <v>0</v>
      </c>
      <c r="AH1796" s="199">
        <v>0</v>
      </c>
      <c r="AI1796" s="150">
        <v>0</v>
      </c>
      <c r="AJ1796" s="169">
        <f t="shared" si="1536"/>
        <v>0</v>
      </c>
      <c r="AK1796" s="201">
        <v>0</v>
      </c>
      <c r="AL1796" s="199">
        <v>0</v>
      </c>
      <c r="AM1796" s="150">
        <f t="shared" si="1531"/>
        <v>0</v>
      </c>
      <c r="AN1796" s="153">
        <f t="shared" si="1537"/>
        <v>0</v>
      </c>
      <c r="AO1796" s="154">
        <f t="shared" si="1538"/>
        <v>0</v>
      </c>
      <c r="AP1796" s="150">
        <v>0</v>
      </c>
      <c r="AQ1796" s="201">
        <v>0</v>
      </c>
      <c r="AR1796" s="199">
        <v>0</v>
      </c>
      <c r="AS1796" s="150">
        <f t="shared" si="1532"/>
        <v>0</v>
      </c>
      <c r="AT1796" s="155"/>
      <c r="AU1796" s="156">
        <f t="shared" si="1533"/>
        <v>0</v>
      </c>
      <c r="AV1796" s="156">
        <f t="shared" si="1534"/>
        <v>0</v>
      </c>
      <c r="AW1796" s="157"/>
      <c r="AX1796" s="150">
        <v>0</v>
      </c>
      <c r="AY1796" s="150">
        <v>0</v>
      </c>
      <c r="AZ1796" s="150">
        <f t="shared" si="1539"/>
        <v>0</v>
      </c>
      <c r="BA1796" s="150">
        <v>0</v>
      </c>
      <c r="BB1796" s="210"/>
      <c r="BC1796" s="210"/>
      <c r="BD1796" s="210"/>
      <c r="BE1796" s="210"/>
      <c r="BF1796" s="210"/>
      <c r="BG1796" s="210"/>
      <c r="BH1796" s="217"/>
      <c r="BI1796" s="210"/>
      <c r="BJ1796" s="210"/>
      <c r="BK1796" s="210"/>
      <c r="BL1796" s="210"/>
      <c r="BM1796" s="208"/>
      <c r="BN1796" s="160"/>
      <c r="BO1796" s="161"/>
      <c r="BP1796" s="161"/>
    </row>
    <row r="1797" spans="1:68" ht="63.75">
      <c r="A1797" s="210"/>
      <c r="B1797" s="195" t="s">
        <v>9326</v>
      </c>
      <c r="C1797" s="196" t="s">
        <v>9327</v>
      </c>
      <c r="D1797" s="146" t="s">
        <v>4692</v>
      </c>
      <c r="E1797" s="196" t="s">
        <v>9327</v>
      </c>
      <c r="F1797" s="150">
        <v>0</v>
      </c>
      <c r="G1797" s="209">
        <v>0</v>
      </c>
      <c r="H1797" s="209"/>
      <c r="I1797" s="209">
        <v>0</v>
      </c>
      <c r="J1797" s="150">
        <v>0</v>
      </c>
      <c r="K1797" s="150">
        <v>2691.8</v>
      </c>
      <c r="L1797" s="150">
        <f t="shared" si="1510"/>
        <v>2691.8</v>
      </c>
      <c r="M1797" s="150">
        <v>918.33</v>
      </c>
      <c r="N1797" s="150">
        <v>4000.4402825745692</v>
      </c>
      <c r="O1797" s="150">
        <v>4918.7702825745691</v>
      </c>
      <c r="P1797" s="150">
        <v>1456.66</v>
      </c>
      <c r="Q1797" s="150">
        <v>5715.6572378272704</v>
      </c>
      <c r="R1797" s="313">
        <f t="shared" si="1528"/>
        <v>7172.3172378272702</v>
      </c>
      <c r="S1797" s="150">
        <f t="shared" si="1540"/>
        <v>9563.0896504363591</v>
      </c>
      <c r="T1797" s="150">
        <v>14854.49</v>
      </c>
      <c r="U1797" s="150">
        <v>1820.82</v>
      </c>
      <c r="V1797" s="199">
        <v>7742.2696504363612</v>
      </c>
      <c r="W1797" s="150">
        <f t="shared" si="1529"/>
        <v>9563.0896504363609</v>
      </c>
      <c r="X1797" s="150">
        <v>1820.82</v>
      </c>
      <c r="Y1797" s="150">
        <v>7742.2696504363612</v>
      </c>
      <c r="Z1797" s="150">
        <v>9563.0896504363609</v>
      </c>
      <c r="AA1797" s="150">
        <f t="shared" si="1535"/>
        <v>5291.4003495636389</v>
      </c>
      <c r="AB1797" s="150">
        <v>1820.82</v>
      </c>
      <c r="AC1797" s="199">
        <v>13033.67</v>
      </c>
      <c r="AD1797" s="150">
        <f t="shared" si="1530"/>
        <v>14854.49</v>
      </c>
      <c r="AE1797" s="150">
        <v>14854.49</v>
      </c>
      <c r="AF1797" s="169" t="s">
        <v>4680</v>
      </c>
      <c r="AG1797" s="201">
        <v>1820.82</v>
      </c>
      <c r="AH1797" s="199">
        <v>13033.67</v>
      </c>
      <c r="AI1797" s="150">
        <v>14854.49</v>
      </c>
      <c r="AJ1797" s="169">
        <f t="shared" si="1536"/>
        <v>0</v>
      </c>
      <c r="AK1797" s="201">
        <v>1820.82</v>
      </c>
      <c r="AL1797" s="199">
        <v>13033.67</v>
      </c>
      <c r="AM1797" s="150">
        <f t="shared" si="1531"/>
        <v>14854.49</v>
      </c>
      <c r="AN1797" s="153">
        <f t="shared" si="1537"/>
        <v>0</v>
      </c>
      <c r="AO1797" s="154">
        <f t="shared" si="1538"/>
        <v>0</v>
      </c>
      <c r="AP1797" s="150">
        <v>14854.49</v>
      </c>
      <c r="AQ1797" s="201">
        <v>14854.49</v>
      </c>
      <c r="AR1797" s="199"/>
      <c r="AS1797" s="150">
        <f t="shared" si="1532"/>
        <v>14854.49</v>
      </c>
      <c r="AT1797" s="155"/>
      <c r="AU1797" s="156">
        <f t="shared" si="1533"/>
        <v>0</v>
      </c>
      <c r="AV1797" s="156">
        <f t="shared" si="1534"/>
        <v>5291.4003495636389</v>
      </c>
      <c r="AW1797" s="157"/>
      <c r="AX1797" s="150">
        <v>9563.0896504363609</v>
      </c>
      <c r="AY1797" s="150">
        <v>1108.33</v>
      </c>
      <c r="AZ1797" s="150">
        <f t="shared" si="1539"/>
        <v>8729.2105651491383</v>
      </c>
      <c r="BA1797" s="150">
        <v>9837.5405651491383</v>
      </c>
      <c r="BB1797" s="210"/>
      <c r="BC1797" s="210"/>
      <c r="BD1797" s="210"/>
      <c r="BE1797" s="210"/>
      <c r="BF1797" s="210"/>
      <c r="BG1797" s="210"/>
      <c r="BH1797" s="217"/>
      <c r="BI1797" s="210"/>
      <c r="BJ1797" s="210"/>
      <c r="BK1797" s="210"/>
      <c r="BL1797" s="210"/>
      <c r="BM1797" s="208"/>
      <c r="BN1797" s="160"/>
      <c r="BO1797" s="161"/>
      <c r="BP1797" s="161"/>
    </row>
    <row r="1798" spans="1:68" ht="38.25">
      <c r="A1798" s="210"/>
      <c r="B1798" s="195" t="s">
        <v>9328</v>
      </c>
      <c r="C1798" s="196" t="s">
        <v>9329</v>
      </c>
      <c r="D1798" s="146" t="s">
        <v>4692</v>
      </c>
      <c r="E1798" s="196" t="s">
        <v>9329</v>
      </c>
      <c r="F1798" s="150">
        <v>0</v>
      </c>
      <c r="G1798" s="209">
        <v>0</v>
      </c>
      <c r="H1798" s="209"/>
      <c r="I1798" s="209">
        <v>0</v>
      </c>
      <c r="J1798" s="150">
        <v>1751.12</v>
      </c>
      <c r="K1798" s="150">
        <v>1480.62</v>
      </c>
      <c r="L1798" s="150">
        <f t="shared" si="1510"/>
        <v>3231.74</v>
      </c>
      <c r="M1798" s="150">
        <v>5122.88</v>
      </c>
      <c r="N1798" s="150">
        <v>0</v>
      </c>
      <c r="O1798" s="150">
        <v>5122.88</v>
      </c>
      <c r="P1798" s="150">
        <v>8130.34</v>
      </c>
      <c r="Q1798" s="150">
        <v>3784.9405525098955</v>
      </c>
      <c r="R1798" s="313">
        <f t="shared" si="1528"/>
        <v>11915.280552509896</v>
      </c>
      <c r="S1798" s="150">
        <f t="shared" si="1540"/>
        <v>15887.040736679861</v>
      </c>
      <c r="T1798" s="150">
        <v>11573.63</v>
      </c>
      <c r="U1798" s="150">
        <v>11245.98</v>
      </c>
      <c r="V1798" s="199">
        <v>4641.0607366798613</v>
      </c>
      <c r="W1798" s="150">
        <f t="shared" si="1529"/>
        <v>15887.040736679861</v>
      </c>
      <c r="X1798" s="150">
        <v>11245.98</v>
      </c>
      <c r="Y1798" s="150">
        <v>4641.0607366798613</v>
      </c>
      <c r="Z1798" s="150">
        <v>15887.040736679861</v>
      </c>
      <c r="AA1798" s="150">
        <f t="shared" si="1535"/>
        <v>1040.1592633201399</v>
      </c>
      <c r="AB1798" s="150">
        <v>11245.98</v>
      </c>
      <c r="AC1798" s="199">
        <v>5681.22</v>
      </c>
      <c r="AD1798" s="150">
        <f t="shared" si="1530"/>
        <v>16927.2</v>
      </c>
      <c r="AE1798" s="150">
        <v>16927.2</v>
      </c>
      <c r="AF1798" s="169" t="s">
        <v>4680</v>
      </c>
      <c r="AG1798" s="201">
        <v>11245.98</v>
      </c>
      <c r="AH1798" s="199">
        <v>5681.22</v>
      </c>
      <c r="AI1798" s="150">
        <v>16927.2</v>
      </c>
      <c r="AJ1798" s="169">
        <f t="shared" si="1536"/>
        <v>0</v>
      </c>
      <c r="AK1798" s="201">
        <v>11245.98</v>
      </c>
      <c r="AL1798" s="199">
        <v>5681.22</v>
      </c>
      <c r="AM1798" s="150">
        <f t="shared" si="1531"/>
        <v>16927.2</v>
      </c>
      <c r="AN1798" s="153">
        <f t="shared" si="1537"/>
        <v>-5353.5700000000015</v>
      </c>
      <c r="AO1798" s="154">
        <f t="shared" si="1538"/>
        <v>-5353.5700000000015</v>
      </c>
      <c r="AP1798" s="309">
        <v>16927.2</v>
      </c>
      <c r="AQ1798" s="201">
        <v>11573.63</v>
      </c>
      <c r="AR1798" s="199"/>
      <c r="AS1798" s="150">
        <f t="shared" si="1532"/>
        <v>11573.63</v>
      </c>
      <c r="AT1798" s="155"/>
      <c r="AU1798" s="156">
        <f t="shared" si="1533"/>
        <v>0</v>
      </c>
      <c r="AV1798" s="156">
        <f t="shared" si="1534"/>
        <v>1040.1592633201399</v>
      </c>
      <c r="AW1798" s="157"/>
      <c r="AX1798" s="150">
        <v>15887.040736679861</v>
      </c>
      <c r="AY1798" s="150">
        <v>6127.88</v>
      </c>
      <c r="AZ1798" s="150">
        <f t="shared" si="1539"/>
        <v>4117.88</v>
      </c>
      <c r="BA1798" s="150">
        <v>10245.76</v>
      </c>
      <c r="BB1798" s="210"/>
      <c r="BC1798" s="210"/>
      <c r="BD1798" s="210"/>
      <c r="BE1798" s="210"/>
      <c r="BF1798" s="210"/>
      <c r="BG1798" s="210"/>
      <c r="BH1798" s="217"/>
      <c r="BI1798" s="210"/>
      <c r="BJ1798" s="210"/>
      <c r="BK1798" s="210"/>
      <c r="BL1798" s="210"/>
      <c r="BM1798" s="208"/>
      <c r="BN1798" s="160"/>
      <c r="BO1798" s="161"/>
      <c r="BP1798" s="161"/>
    </row>
    <row r="1799" spans="1:68" ht="38.25">
      <c r="A1799" s="210"/>
      <c r="B1799" s="195" t="s">
        <v>9330</v>
      </c>
      <c r="C1799" s="196" t="s">
        <v>9331</v>
      </c>
      <c r="D1799" s="146" t="s">
        <v>4692</v>
      </c>
      <c r="E1799" s="196" t="s">
        <v>9331</v>
      </c>
      <c r="F1799" s="150">
        <v>0</v>
      </c>
      <c r="G1799" s="209">
        <v>0</v>
      </c>
      <c r="H1799" s="209"/>
      <c r="I1799" s="209">
        <v>0</v>
      </c>
      <c r="J1799" s="150">
        <v>359.05</v>
      </c>
      <c r="K1799" s="150">
        <v>0</v>
      </c>
      <c r="L1799" s="150">
        <f t="shared" si="1510"/>
        <v>359.05</v>
      </c>
      <c r="M1799" s="150">
        <v>951.2</v>
      </c>
      <c r="N1799" s="150">
        <v>2614.903508145605</v>
      </c>
      <c r="O1799" s="150">
        <v>3566.1035081456048</v>
      </c>
      <c r="P1799" s="150">
        <v>1541.6</v>
      </c>
      <c r="Q1799" s="150">
        <v>0</v>
      </c>
      <c r="R1799" s="313">
        <f t="shared" si="1528"/>
        <v>1541.6</v>
      </c>
      <c r="S1799" s="150">
        <f t="shared" si="1540"/>
        <v>2055.4666666666667</v>
      </c>
      <c r="T1799" s="150">
        <v>2162.6799999999998</v>
      </c>
      <c r="U1799" s="150">
        <v>2162.6799999999998</v>
      </c>
      <c r="V1799" s="199">
        <v>0</v>
      </c>
      <c r="W1799" s="150">
        <f t="shared" si="1529"/>
        <v>2162.6799999999998</v>
      </c>
      <c r="X1799" s="150">
        <v>2162.6799999999998</v>
      </c>
      <c r="Y1799" s="150">
        <v>0</v>
      </c>
      <c r="Z1799" s="150">
        <v>2162.6799999999998</v>
      </c>
      <c r="AA1799" s="150">
        <f t="shared" si="1535"/>
        <v>0</v>
      </c>
      <c r="AB1799" s="150">
        <v>2162.6799999999998</v>
      </c>
      <c r="AC1799" s="199">
        <v>0</v>
      </c>
      <c r="AD1799" s="150">
        <f t="shared" si="1530"/>
        <v>2162.6799999999998</v>
      </c>
      <c r="AE1799" s="150">
        <v>2162.6799999999998</v>
      </c>
      <c r="AF1799" s="169" t="s">
        <v>4680</v>
      </c>
      <c r="AG1799" s="201">
        <v>2162.6799999999998</v>
      </c>
      <c r="AH1799" s="199">
        <v>0</v>
      </c>
      <c r="AI1799" s="150">
        <v>2162.6799999999998</v>
      </c>
      <c r="AJ1799" s="169">
        <f t="shared" si="1536"/>
        <v>0</v>
      </c>
      <c r="AK1799" s="201">
        <v>2162.6799999999998</v>
      </c>
      <c r="AL1799" s="199">
        <v>0</v>
      </c>
      <c r="AM1799" s="150">
        <f t="shared" si="1531"/>
        <v>2162.6799999999998</v>
      </c>
      <c r="AN1799" s="153">
        <f t="shared" si="1537"/>
        <v>0</v>
      </c>
      <c r="AO1799" s="154">
        <f t="shared" si="1538"/>
        <v>0</v>
      </c>
      <c r="AP1799" s="150">
        <v>2162.6799999999998</v>
      </c>
      <c r="AQ1799" s="201">
        <v>2162.6799999999998</v>
      </c>
      <c r="AR1799" s="199">
        <v>0</v>
      </c>
      <c r="AS1799" s="150">
        <f t="shared" si="1532"/>
        <v>2162.6799999999998</v>
      </c>
      <c r="AT1799" s="155"/>
      <c r="AU1799" s="156">
        <f t="shared" si="1533"/>
        <v>0</v>
      </c>
      <c r="AV1799" s="156">
        <f t="shared" si="1534"/>
        <v>0</v>
      </c>
      <c r="AW1799" s="157"/>
      <c r="AX1799" s="150">
        <v>2162.6799999999998</v>
      </c>
      <c r="AY1799" s="150">
        <v>1148</v>
      </c>
      <c r="AZ1799" s="150">
        <f t="shared" si="1539"/>
        <v>5984.2070162912096</v>
      </c>
      <c r="BA1799" s="150">
        <v>7132.2070162912096</v>
      </c>
      <c r="BB1799" s="210"/>
      <c r="BC1799" s="210"/>
      <c r="BD1799" s="210"/>
      <c r="BE1799" s="210"/>
      <c r="BF1799" s="210"/>
      <c r="BG1799" s="210"/>
      <c r="BH1799" s="217"/>
      <c r="BI1799" s="210"/>
      <c r="BJ1799" s="210"/>
      <c r="BK1799" s="210"/>
      <c r="BL1799" s="210"/>
      <c r="BM1799" s="208"/>
      <c r="BN1799" s="160"/>
      <c r="BO1799" s="161"/>
      <c r="BP1799" s="161"/>
    </row>
    <row r="1800" spans="1:68" ht="38.25">
      <c r="A1800" s="210"/>
      <c r="B1800" s="195" t="s">
        <v>9332</v>
      </c>
      <c r="C1800" s="196" t="s">
        <v>9333</v>
      </c>
      <c r="D1800" s="146" t="s">
        <v>4692</v>
      </c>
      <c r="E1800" s="196" t="s">
        <v>9333</v>
      </c>
      <c r="F1800" s="150">
        <v>0</v>
      </c>
      <c r="G1800" s="209">
        <v>0</v>
      </c>
      <c r="H1800" s="209"/>
      <c r="I1800" s="209">
        <v>0</v>
      </c>
      <c r="J1800" s="150">
        <v>118.46</v>
      </c>
      <c r="K1800" s="150">
        <v>0</v>
      </c>
      <c r="L1800" s="150">
        <f t="shared" si="1510"/>
        <v>118.46</v>
      </c>
      <c r="M1800" s="150">
        <v>346.52</v>
      </c>
      <c r="N1800" s="150">
        <v>0</v>
      </c>
      <c r="O1800" s="150">
        <v>346.52</v>
      </c>
      <c r="P1800" s="150">
        <v>549.95000000000005</v>
      </c>
      <c r="Q1800" s="150">
        <v>0</v>
      </c>
      <c r="R1800" s="313">
        <f t="shared" si="1528"/>
        <v>549.95000000000005</v>
      </c>
      <c r="S1800" s="150">
        <f t="shared" si="1540"/>
        <v>733.26666666666677</v>
      </c>
      <c r="T1800" s="150">
        <v>744.39</v>
      </c>
      <c r="U1800" s="150">
        <v>744.39</v>
      </c>
      <c r="V1800" s="199">
        <v>0</v>
      </c>
      <c r="W1800" s="150">
        <f t="shared" si="1529"/>
        <v>744.39</v>
      </c>
      <c r="X1800" s="150">
        <v>744.39</v>
      </c>
      <c r="Y1800" s="150">
        <v>0</v>
      </c>
      <c r="Z1800" s="150">
        <v>744.39</v>
      </c>
      <c r="AA1800" s="150">
        <f t="shared" si="1535"/>
        <v>0</v>
      </c>
      <c r="AB1800" s="150">
        <v>744.39</v>
      </c>
      <c r="AC1800" s="199">
        <v>0</v>
      </c>
      <c r="AD1800" s="150">
        <f t="shared" si="1530"/>
        <v>744.39</v>
      </c>
      <c r="AE1800" s="150">
        <v>744.39</v>
      </c>
      <c r="AF1800" s="169" t="s">
        <v>4680</v>
      </c>
      <c r="AG1800" s="201">
        <v>744.39</v>
      </c>
      <c r="AH1800" s="199">
        <v>0</v>
      </c>
      <c r="AI1800" s="150">
        <v>744.39</v>
      </c>
      <c r="AJ1800" s="169">
        <f t="shared" si="1536"/>
        <v>0</v>
      </c>
      <c r="AK1800" s="201">
        <v>744.39</v>
      </c>
      <c r="AL1800" s="199">
        <v>0</v>
      </c>
      <c r="AM1800" s="150">
        <f t="shared" si="1531"/>
        <v>744.39</v>
      </c>
      <c r="AN1800" s="153">
        <f t="shared" si="1537"/>
        <v>0</v>
      </c>
      <c r="AO1800" s="154">
        <f t="shared" si="1538"/>
        <v>0</v>
      </c>
      <c r="AP1800" s="150">
        <v>744.39</v>
      </c>
      <c r="AQ1800" s="201">
        <v>744.39</v>
      </c>
      <c r="AR1800" s="199">
        <v>0</v>
      </c>
      <c r="AS1800" s="150">
        <f t="shared" si="1532"/>
        <v>744.39</v>
      </c>
      <c r="AT1800" s="155"/>
      <c r="AU1800" s="156">
        <f t="shared" si="1533"/>
        <v>0</v>
      </c>
      <c r="AV1800" s="156">
        <f t="shared" si="1534"/>
        <v>0</v>
      </c>
      <c r="AW1800" s="157"/>
      <c r="AX1800" s="150">
        <v>744.39</v>
      </c>
      <c r="AY1800" s="150">
        <v>414.5</v>
      </c>
      <c r="AZ1800" s="150">
        <f t="shared" si="1539"/>
        <v>278.53999999999996</v>
      </c>
      <c r="BA1800" s="150">
        <v>693.04</v>
      </c>
      <c r="BB1800" s="210"/>
      <c r="BC1800" s="210"/>
      <c r="BD1800" s="210"/>
      <c r="BE1800" s="210"/>
      <c r="BF1800" s="210"/>
      <c r="BG1800" s="210"/>
      <c r="BH1800" s="217"/>
      <c r="BI1800" s="210"/>
      <c r="BJ1800" s="210"/>
      <c r="BK1800" s="210"/>
      <c r="BL1800" s="210"/>
      <c r="BM1800" s="208"/>
      <c r="BN1800" s="160"/>
      <c r="BO1800" s="161"/>
      <c r="BP1800" s="161"/>
    </row>
    <row r="1801" spans="1:68" ht="38.25">
      <c r="A1801" s="210"/>
      <c r="B1801" s="195" t="s">
        <v>9334</v>
      </c>
      <c r="C1801" s="196" t="s">
        <v>9335</v>
      </c>
      <c r="D1801" s="146" t="s">
        <v>4692</v>
      </c>
      <c r="E1801" s="196" t="s">
        <v>9335</v>
      </c>
      <c r="F1801" s="150">
        <v>0</v>
      </c>
      <c r="G1801" s="209">
        <v>0</v>
      </c>
      <c r="H1801" s="209"/>
      <c r="I1801" s="209">
        <v>0</v>
      </c>
      <c r="J1801" s="150">
        <v>0</v>
      </c>
      <c r="K1801" s="150">
        <v>0</v>
      </c>
      <c r="L1801" s="150">
        <f t="shared" si="1510"/>
        <v>0</v>
      </c>
      <c r="M1801" s="150">
        <v>0</v>
      </c>
      <c r="N1801" s="150">
        <v>0</v>
      </c>
      <c r="O1801" s="150">
        <v>0</v>
      </c>
      <c r="P1801" s="150">
        <v>0</v>
      </c>
      <c r="Q1801" s="150">
        <v>0</v>
      </c>
      <c r="R1801" s="313">
        <f t="shared" si="1528"/>
        <v>0</v>
      </c>
      <c r="S1801" s="150">
        <f t="shared" si="1540"/>
        <v>0</v>
      </c>
      <c r="T1801" s="150">
        <v>0</v>
      </c>
      <c r="U1801" s="150">
        <v>0</v>
      </c>
      <c r="V1801" s="199">
        <v>0</v>
      </c>
      <c r="W1801" s="150">
        <f t="shared" si="1529"/>
        <v>0</v>
      </c>
      <c r="X1801" s="150">
        <v>0</v>
      </c>
      <c r="Y1801" s="150">
        <v>0</v>
      </c>
      <c r="Z1801" s="150">
        <v>0</v>
      </c>
      <c r="AA1801" s="150">
        <f t="shared" si="1535"/>
        <v>0</v>
      </c>
      <c r="AB1801" s="150">
        <v>0</v>
      </c>
      <c r="AC1801" s="199">
        <v>0</v>
      </c>
      <c r="AD1801" s="150">
        <f t="shared" si="1530"/>
        <v>0</v>
      </c>
      <c r="AE1801" s="150">
        <v>0</v>
      </c>
      <c r="AF1801" s="169" t="s">
        <v>4680</v>
      </c>
      <c r="AG1801" s="201">
        <v>0</v>
      </c>
      <c r="AH1801" s="199">
        <v>0</v>
      </c>
      <c r="AI1801" s="150">
        <v>0</v>
      </c>
      <c r="AJ1801" s="169">
        <f t="shared" si="1536"/>
        <v>0</v>
      </c>
      <c r="AK1801" s="201">
        <v>0</v>
      </c>
      <c r="AL1801" s="199">
        <v>0</v>
      </c>
      <c r="AM1801" s="150">
        <f t="shared" si="1531"/>
        <v>0</v>
      </c>
      <c r="AN1801" s="153">
        <f t="shared" si="1537"/>
        <v>0</v>
      </c>
      <c r="AO1801" s="154">
        <f t="shared" si="1538"/>
        <v>0</v>
      </c>
      <c r="AP1801" s="150">
        <v>0</v>
      </c>
      <c r="AQ1801" s="201">
        <v>0</v>
      </c>
      <c r="AR1801" s="199">
        <v>0</v>
      </c>
      <c r="AS1801" s="150">
        <f t="shared" si="1532"/>
        <v>0</v>
      </c>
      <c r="AT1801" s="155"/>
      <c r="AU1801" s="156">
        <f t="shared" si="1533"/>
        <v>0</v>
      </c>
      <c r="AV1801" s="156">
        <f t="shared" si="1534"/>
        <v>0</v>
      </c>
      <c r="AW1801" s="157"/>
      <c r="AX1801" s="150">
        <v>0</v>
      </c>
      <c r="AY1801" s="150">
        <v>0</v>
      </c>
      <c r="AZ1801" s="150">
        <f t="shared" si="1539"/>
        <v>0</v>
      </c>
      <c r="BA1801" s="150">
        <v>0</v>
      </c>
      <c r="BB1801" s="210"/>
      <c r="BC1801" s="210"/>
      <c r="BD1801" s="210"/>
      <c r="BE1801" s="210"/>
      <c r="BF1801" s="210"/>
      <c r="BG1801" s="210"/>
      <c r="BH1801" s="217"/>
      <c r="BI1801" s="210"/>
      <c r="BJ1801" s="210"/>
      <c r="BK1801" s="210"/>
      <c r="BL1801" s="210"/>
      <c r="BM1801" s="208"/>
      <c r="BN1801" s="160"/>
      <c r="BO1801" s="161"/>
      <c r="BP1801" s="161"/>
    </row>
    <row r="1802" spans="1:68" ht="38.25">
      <c r="A1802" s="210"/>
      <c r="B1802" s="195" t="s">
        <v>9336</v>
      </c>
      <c r="C1802" s="196" t="s">
        <v>9337</v>
      </c>
      <c r="D1802" s="146" t="s">
        <v>4692</v>
      </c>
      <c r="E1802" s="196" t="s">
        <v>9337</v>
      </c>
      <c r="F1802" s="150">
        <v>0</v>
      </c>
      <c r="G1802" s="209">
        <v>0</v>
      </c>
      <c r="H1802" s="209"/>
      <c r="I1802" s="209">
        <v>0</v>
      </c>
      <c r="J1802" s="150">
        <v>0</v>
      </c>
      <c r="K1802" s="150">
        <v>0</v>
      </c>
      <c r="L1802" s="150">
        <f t="shared" ref="L1802:L1865" si="1541">J1802+K1802</f>
        <v>0</v>
      </c>
      <c r="M1802" s="150">
        <v>0</v>
      </c>
      <c r="N1802" s="150">
        <v>0</v>
      </c>
      <c r="O1802" s="150">
        <v>0</v>
      </c>
      <c r="P1802" s="150">
        <v>0</v>
      </c>
      <c r="Q1802" s="150">
        <v>0</v>
      </c>
      <c r="R1802" s="313">
        <f t="shared" si="1528"/>
        <v>0</v>
      </c>
      <c r="S1802" s="150">
        <f t="shared" si="1540"/>
        <v>0</v>
      </c>
      <c r="T1802" s="150">
        <v>0</v>
      </c>
      <c r="U1802" s="150">
        <v>0</v>
      </c>
      <c r="V1802" s="199">
        <v>0</v>
      </c>
      <c r="W1802" s="150">
        <f t="shared" si="1529"/>
        <v>0</v>
      </c>
      <c r="X1802" s="150">
        <v>0</v>
      </c>
      <c r="Y1802" s="150">
        <v>0</v>
      </c>
      <c r="Z1802" s="150">
        <v>0</v>
      </c>
      <c r="AA1802" s="150">
        <f t="shared" si="1535"/>
        <v>0</v>
      </c>
      <c r="AB1802" s="150">
        <v>0</v>
      </c>
      <c r="AC1802" s="199">
        <v>0</v>
      </c>
      <c r="AD1802" s="150">
        <f t="shared" si="1530"/>
        <v>0</v>
      </c>
      <c r="AE1802" s="150">
        <v>0</v>
      </c>
      <c r="AF1802" s="169" t="s">
        <v>4680</v>
      </c>
      <c r="AG1802" s="201">
        <v>0</v>
      </c>
      <c r="AH1802" s="199">
        <v>0</v>
      </c>
      <c r="AI1802" s="150">
        <v>0</v>
      </c>
      <c r="AJ1802" s="169">
        <f t="shared" si="1536"/>
        <v>0</v>
      </c>
      <c r="AK1802" s="201">
        <v>0</v>
      </c>
      <c r="AL1802" s="199">
        <v>0</v>
      </c>
      <c r="AM1802" s="150">
        <f t="shared" si="1531"/>
        <v>0</v>
      </c>
      <c r="AN1802" s="153">
        <f t="shared" si="1537"/>
        <v>0</v>
      </c>
      <c r="AO1802" s="154">
        <f t="shared" si="1538"/>
        <v>0</v>
      </c>
      <c r="AP1802" s="150">
        <v>0</v>
      </c>
      <c r="AQ1802" s="201">
        <v>0</v>
      </c>
      <c r="AR1802" s="199">
        <v>0</v>
      </c>
      <c r="AS1802" s="150">
        <f t="shared" si="1532"/>
        <v>0</v>
      </c>
      <c r="AT1802" s="155"/>
      <c r="AU1802" s="156">
        <f t="shared" si="1533"/>
        <v>0</v>
      </c>
      <c r="AV1802" s="156">
        <f t="shared" si="1534"/>
        <v>0</v>
      </c>
      <c r="AW1802" s="157"/>
      <c r="AX1802" s="150">
        <v>0</v>
      </c>
      <c r="AY1802" s="150">
        <v>0</v>
      </c>
      <c r="AZ1802" s="150">
        <f t="shared" si="1539"/>
        <v>0</v>
      </c>
      <c r="BA1802" s="150">
        <v>0</v>
      </c>
      <c r="BB1802" s="210"/>
      <c r="BC1802" s="210"/>
      <c r="BD1802" s="210"/>
      <c r="BE1802" s="210"/>
      <c r="BF1802" s="210"/>
      <c r="BG1802" s="210"/>
      <c r="BH1802" s="217"/>
      <c r="BI1802" s="210"/>
      <c r="BJ1802" s="210"/>
      <c r="BK1802" s="210"/>
      <c r="BL1802" s="210"/>
      <c r="BM1802" s="208"/>
      <c r="BN1802" s="160"/>
      <c r="BO1802" s="161"/>
      <c r="BP1802" s="161"/>
    </row>
    <row r="1803" spans="1:68" ht="38.25">
      <c r="A1803" s="210"/>
      <c r="B1803" s="195" t="s">
        <v>9338</v>
      </c>
      <c r="C1803" s="196" t="s">
        <v>9339</v>
      </c>
      <c r="D1803" s="146" t="s">
        <v>4692</v>
      </c>
      <c r="E1803" s="196" t="s">
        <v>9339</v>
      </c>
      <c r="F1803" s="150">
        <v>0</v>
      </c>
      <c r="G1803" s="209">
        <v>0</v>
      </c>
      <c r="H1803" s="209"/>
      <c r="I1803" s="209">
        <v>0</v>
      </c>
      <c r="J1803" s="150">
        <v>0</v>
      </c>
      <c r="K1803" s="150">
        <v>0</v>
      </c>
      <c r="L1803" s="150">
        <f t="shared" si="1541"/>
        <v>0</v>
      </c>
      <c r="M1803" s="150">
        <v>0</v>
      </c>
      <c r="N1803" s="150">
        <v>0</v>
      </c>
      <c r="O1803" s="150">
        <v>0</v>
      </c>
      <c r="P1803" s="150">
        <v>0</v>
      </c>
      <c r="Q1803" s="150">
        <v>0</v>
      </c>
      <c r="R1803" s="313">
        <f t="shared" si="1528"/>
        <v>0</v>
      </c>
      <c r="S1803" s="150">
        <f t="shared" si="1540"/>
        <v>0</v>
      </c>
      <c r="T1803" s="150">
        <v>327.64999999999998</v>
      </c>
      <c r="U1803" s="150">
        <v>0</v>
      </c>
      <c r="V1803" s="199">
        <v>327.64999999999998</v>
      </c>
      <c r="W1803" s="150">
        <f t="shared" si="1529"/>
        <v>327.64999999999998</v>
      </c>
      <c r="X1803" s="150">
        <v>0</v>
      </c>
      <c r="Y1803" s="150">
        <v>327.64999999999998</v>
      </c>
      <c r="Z1803" s="150">
        <v>327.64999999999998</v>
      </c>
      <c r="AA1803" s="150">
        <f t="shared" si="1535"/>
        <v>0</v>
      </c>
      <c r="AB1803" s="150">
        <v>0</v>
      </c>
      <c r="AC1803" s="199">
        <v>327.64999999999998</v>
      </c>
      <c r="AD1803" s="150">
        <f t="shared" si="1530"/>
        <v>327.64999999999998</v>
      </c>
      <c r="AE1803" s="150">
        <v>327.64999999999998</v>
      </c>
      <c r="AF1803" s="169" t="s">
        <v>4680</v>
      </c>
      <c r="AG1803" s="201">
        <v>0</v>
      </c>
      <c r="AH1803" s="199">
        <v>327.64999999999998</v>
      </c>
      <c r="AI1803" s="150">
        <v>327.64999999999998</v>
      </c>
      <c r="AJ1803" s="169">
        <f t="shared" si="1536"/>
        <v>0</v>
      </c>
      <c r="AK1803" s="201">
        <v>0</v>
      </c>
      <c r="AL1803" s="199">
        <v>327.64999999999998</v>
      </c>
      <c r="AM1803" s="150">
        <f t="shared" si="1531"/>
        <v>327.64999999999998</v>
      </c>
      <c r="AN1803" s="153">
        <f t="shared" si="1537"/>
        <v>0</v>
      </c>
      <c r="AO1803" s="154">
        <f t="shared" si="1538"/>
        <v>0</v>
      </c>
      <c r="AP1803" s="309">
        <v>327.64999999999998</v>
      </c>
      <c r="AQ1803" s="201">
        <v>327.64999999999998</v>
      </c>
      <c r="AR1803" s="199"/>
      <c r="AS1803" s="150">
        <f t="shared" si="1532"/>
        <v>327.64999999999998</v>
      </c>
      <c r="AT1803" s="155"/>
      <c r="AU1803" s="156">
        <f t="shared" si="1533"/>
        <v>0</v>
      </c>
      <c r="AV1803" s="156">
        <f t="shared" si="1534"/>
        <v>0</v>
      </c>
      <c r="AW1803" s="157"/>
      <c r="AX1803" s="150">
        <v>327.64999999999998</v>
      </c>
      <c r="AY1803" s="150">
        <v>0</v>
      </c>
      <c r="AZ1803" s="150">
        <f t="shared" si="1539"/>
        <v>0</v>
      </c>
      <c r="BA1803" s="150">
        <v>0</v>
      </c>
      <c r="BB1803" s="210"/>
      <c r="BC1803" s="210"/>
      <c r="BD1803" s="210"/>
      <c r="BE1803" s="210"/>
      <c r="BF1803" s="210"/>
      <c r="BG1803" s="210"/>
      <c r="BH1803" s="217"/>
      <c r="BI1803" s="210"/>
      <c r="BJ1803" s="210"/>
      <c r="BK1803" s="210"/>
      <c r="BL1803" s="210"/>
      <c r="BM1803" s="208"/>
      <c r="BN1803" s="160"/>
      <c r="BO1803" s="161"/>
      <c r="BP1803" s="161"/>
    </row>
    <row r="1804" spans="1:68" ht="38.25">
      <c r="A1804" s="210"/>
      <c r="B1804" s="195" t="s">
        <v>9340</v>
      </c>
      <c r="C1804" s="196" t="s">
        <v>9341</v>
      </c>
      <c r="D1804" s="146" t="s">
        <v>4692</v>
      </c>
      <c r="E1804" s="196" t="s">
        <v>9341</v>
      </c>
      <c r="F1804" s="150">
        <v>0</v>
      </c>
      <c r="G1804" s="209">
        <v>0</v>
      </c>
      <c r="H1804" s="209"/>
      <c r="I1804" s="209">
        <v>0</v>
      </c>
      <c r="J1804" s="150">
        <v>0</v>
      </c>
      <c r="K1804" s="150">
        <v>0</v>
      </c>
      <c r="L1804" s="150">
        <f t="shared" si="1541"/>
        <v>0</v>
      </c>
      <c r="M1804" s="150">
        <v>0</v>
      </c>
      <c r="N1804" s="150">
        <v>0</v>
      </c>
      <c r="O1804" s="150">
        <v>0</v>
      </c>
      <c r="P1804" s="150">
        <v>0</v>
      </c>
      <c r="Q1804" s="150">
        <v>0</v>
      </c>
      <c r="R1804" s="313">
        <f t="shared" si="1528"/>
        <v>0</v>
      </c>
      <c r="S1804" s="150">
        <f t="shared" si="1540"/>
        <v>0</v>
      </c>
      <c r="T1804" s="150">
        <v>0</v>
      </c>
      <c r="U1804" s="150">
        <v>0</v>
      </c>
      <c r="V1804" s="199">
        <v>0</v>
      </c>
      <c r="W1804" s="150">
        <f t="shared" si="1529"/>
        <v>0</v>
      </c>
      <c r="X1804" s="150">
        <v>0</v>
      </c>
      <c r="Y1804" s="150">
        <v>0</v>
      </c>
      <c r="Z1804" s="150">
        <v>0</v>
      </c>
      <c r="AA1804" s="150">
        <f t="shared" si="1535"/>
        <v>0</v>
      </c>
      <c r="AB1804" s="150">
        <v>0</v>
      </c>
      <c r="AC1804" s="199">
        <v>0</v>
      </c>
      <c r="AD1804" s="150">
        <f t="shared" si="1530"/>
        <v>0</v>
      </c>
      <c r="AE1804" s="150">
        <v>0</v>
      </c>
      <c r="AF1804" s="169" t="s">
        <v>4680</v>
      </c>
      <c r="AG1804" s="201">
        <v>0</v>
      </c>
      <c r="AH1804" s="199">
        <v>0</v>
      </c>
      <c r="AI1804" s="150">
        <v>0</v>
      </c>
      <c r="AJ1804" s="169">
        <f t="shared" si="1536"/>
        <v>0</v>
      </c>
      <c r="AK1804" s="201">
        <v>0</v>
      </c>
      <c r="AL1804" s="199">
        <v>0</v>
      </c>
      <c r="AM1804" s="150">
        <f t="shared" si="1531"/>
        <v>0</v>
      </c>
      <c r="AN1804" s="153">
        <f t="shared" si="1537"/>
        <v>0</v>
      </c>
      <c r="AO1804" s="154">
        <f t="shared" si="1538"/>
        <v>0</v>
      </c>
      <c r="AP1804" s="150">
        <v>0</v>
      </c>
      <c r="AQ1804" s="201">
        <v>0</v>
      </c>
      <c r="AR1804" s="199">
        <v>0</v>
      </c>
      <c r="AS1804" s="150">
        <f t="shared" si="1532"/>
        <v>0</v>
      </c>
      <c r="AT1804" s="155"/>
      <c r="AU1804" s="156">
        <f t="shared" si="1533"/>
        <v>0</v>
      </c>
      <c r="AV1804" s="156">
        <f t="shared" si="1534"/>
        <v>0</v>
      </c>
      <c r="AW1804" s="157"/>
      <c r="AX1804" s="150">
        <v>0</v>
      </c>
      <c r="AY1804" s="150">
        <v>0</v>
      </c>
      <c r="AZ1804" s="150">
        <f t="shared" si="1539"/>
        <v>0</v>
      </c>
      <c r="BA1804" s="150">
        <v>0</v>
      </c>
      <c r="BB1804" s="210"/>
      <c r="BC1804" s="210"/>
      <c r="BD1804" s="210"/>
      <c r="BE1804" s="210"/>
      <c r="BF1804" s="210"/>
      <c r="BG1804" s="210"/>
      <c r="BH1804" s="217"/>
      <c r="BI1804" s="210"/>
      <c r="BJ1804" s="210"/>
      <c r="BK1804" s="210"/>
      <c r="BL1804" s="210"/>
      <c r="BM1804" s="208"/>
      <c r="BN1804" s="160"/>
      <c r="BO1804" s="161"/>
      <c r="BP1804" s="161"/>
    </row>
    <row r="1805" spans="1:68" ht="38.25">
      <c r="A1805" s="210"/>
      <c r="B1805" s="195" t="s">
        <v>9342</v>
      </c>
      <c r="C1805" s="196" t="s">
        <v>9343</v>
      </c>
      <c r="D1805" s="146" t="s">
        <v>4692</v>
      </c>
      <c r="E1805" s="196" t="s">
        <v>9343</v>
      </c>
      <c r="F1805" s="150">
        <v>0</v>
      </c>
      <c r="G1805" s="209">
        <v>0</v>
      </c>
      <c r="H1805" s="209"/>
      <c r="I1805" s="209">
        <v>0</v>
      </c>
      <c r="J1805" s="150">
        <v>0</v>
      </c>
      <c r="K1805" s="150">
        <v>0</v>
      </c>
      <c r="L1805" s="150">
        <f t="shared" si="1541"/>
        <v>0</v>
      </c>
      <c r="M1805" s="150">
        <v>0</v>
      </c>
      <c r="N1805" s="150">
        <v>0</v>
      </c>
      <c r="O1805" s="150">
        <v>0</v>
      </c>
      <c r="P1805" s="150">
        <v>0</v>
      </c>
      <c r="Q1805" s="150">
        <v>0</v>
      </c>
      <c r="R1805" s="313">
        <f t="shared" si="1528"/>
        <v>0</v>
      </c>
      <c r="S1805" s="150">
        <f t="shared" si="1540"/>
        <v>0</v>
      </c>
      <c r="T1805" s="150">
        <v>0</v>
      </c>
      <c r="U1805" s="150">
        <v>0</v>
      </c>
      <c r="V1805" s="199">
        <v>0</v>
      </c>
      <c r="W1805" s="150">
        <f t="shared" si="1529"/>
        <v>0</v>
      </c>
      <c r="X1805" s="150">
        <v>0</v>
      </c>
      <c r="Y1805" s="150">
        <v>0</v>
      </c>
      <c r="Z1805" s="150">
        <v>0</v>
      </c>
      <c r="AA1805" s="150">
        <f t="shared" si="1535"/>
        <v>0</v>
      </c>
      <c r="AB1805" s="150">
        <v>0</v>
      </c>
      <c r="AC1805" s="199">
        <v>0</v>
      </c>
      <c r="AD1805" s="150">
        <f t="shared" si="1530"/>
        <v>0</v>
      </c>
      <c r="AE1805" s="150">
        <v>0</v>
      </c>
      <c r="AF1805" s="169" t="s">
        <v>4680</v>
      </c>
      <c r="AG1805" s="201">
        <v>0</v>
      </c>
      <c r="AH1805" s="199">
        <v>0</v>
      </c>
      <c r="AI1805" s="150">
        <v>0</v>
      </c>
      <c r="AJ1805" s="169">
        <f t="shared" si="1536"/>
        <v>0</v>
      </c>
      <c r="AK1805" s="201">
        <v>0</v>
      </c>
      <c r="AL1805" s="199">
        <v>0</v>
      </c>
      <c r="AM1805" s="150">
        <f t="shared" si="1531"/>
        <v>0</v>
      </c>
      <c r="AN1805" s="153">
        <f t="shared" si="1537"/>
        <v>0</v>
      </c>
      <c r="AO1805" s="154">
        <f t="shared" si="1538"/>
        <v>0</v>
      </c>
      <c r="AP1805" s="150">
        <v>0</v>
      </c>
      <c r="AQ1805" s="201">
        <v>0</v>
      </c>
      <c r="AR1805" s="199">
        <v>0</v>
      </c>
      <c r="AS1805" s="150">
        <f t="shared" si="1532"/>
        <v>0</v>
      </c>
      <c r="AT1805" s="155"/>
      <c r="AU1805" s="156">
        <f t="shared" si="1533"/>
        <v>0</v>
      </c>
      <c r="AV1805" s="156">
        <f t="shared" si="1534"/>
        <v>0</v>
      </c>
      <c r="AW1805" s="157"/>
      <c r="AX1805" s="150">
        <v>0</v>
      </c>
      <c r="AY1805" s="150">
        <v>0</v>
      </c>
      <c r="AZ1805" s="150">
        <f t="shared" si="1539"/>
        <v>0</v>
      </c>
      <c r="BA1805" s="150">
        <v>0</v>
      </c>
      <c r="BB1805" s="210"/>
      <c r="BC1805" s="210"/>
      <c r="BD1805" s="210"/>
      <c r="BE1805" s="210"/>
      <c r="BF1805" s="210"/>
      <c r="BG1805" s="210"/>
      <c r="BH1805" s="217"/>
      <c r="BI1805" s="210"/>
      <c r="BJ1805" s="210"/>
      <c r="BK1805" s="210"/>
      <c r="BL1805" s="210"/>
      <c r="BM1805" s="208"/>
      <c r="BN1805" s="160"/>
      <c r="BO1805" s="161">
        <f t="shared" ref="BO1805:BO1855" si="1542">BM1805-AS1805</f>
        <v>0</v>
      </c>
      <c r="BP1805" s="161"/>
    </row>
    <row r="1806" spans="1:68" ht="51">
      <c r="A1806" s="210"/>
      <c r="B1806" s="195" t="s">
        <v>9344</v>
      </c>
      <c r="C1806" s="196" t="s">
        <v>9345</v>
      </c>
      <c r="D1806" s="146" t="s">
        <v>4692</v>
      </c>
      <c r="E1806" s="196" t="s">
        <v>9345</v>
      </c>
      <c r="F1806" s="150">
        <v>0</v>
      </c>
      <c r="G1806" s="209">
        <v>0</v>
      </c>
      <c r="H1806" s="209"/>
      <c r="I1806" s="209">
        <v>0</v>
      </c>
      <c r="J1806" s="150">
        <v>0</v>
      </c>
      <c r="K1806" s="150">
        <v>0</v>
      </c>
      <c r="L1806" s="150">
        <f t="shared" si="1541"/>
        <v>0</v>
      </c>
      <c r="M1806" s="150">
        <v>0</v>
      </c>
      <c r="N1806" s="150">
        <v>0</v>
      </c>
      <c r="O1806" s="150">
        <v>0</v>
      </c>
      <c r="P1806" s="150">
        <v>0</v>
      </c>
      <c r="Q1806" s="150">
        <v>0</v>
      </c>
      <c r="R1806" s="313">
        <f t="shared" si="1528"/>
        <v>0</v>
      </c>
      <c r="S1806" s="150">
        <f t="shared" si="1540"/>
        <v>0</v>
      </c>
      <c r="T1806" s="150">
        <v>0</v>
      </c>
      <c r="U1806" s="150">
        <v>0</v>
      </c>
      <c r="V1806" s="199">
        <v>0</v>
      </c>
      <c r="W1806" s="150">
        <f t="shared" si="1529"/>
        <v>0</v>
      </c>
      <c r="X1806" s="150">
        <v>0</v>
      </c>
      <c r="Y1806" s="150">
        <v>0</v>
      </c>
      <c r="Z1806" s="150">
        <v>0</v>
      </c>
      <c r="AA1806" s="150">
        <f t="shared" si="1535"/>
        <v>0</v>
      </c>
      <c r="AB1806" s="150">
        <v>0</v>
      </c>
      <c r="AC1806" s="199">
        <v>0</v>
      </c>
      <c r="AD1806" s="150">
        <f t="shared" si="1530"/>
        <v>0</v>
      </c>
      <c r="AE1806" s="150">
        <v>0</v>
      </c>
      <c r="AF1806" s="169" t="s">
        <v>4680</v>
      </c>
      <c r="AG1806" s="201">
        <v>0</v>
      </c>
      <c r="AH1806" s="199">
        <v>0</v>
      </c>
      <c r="AI1806" s="150">
        <v>0</v>
      </c>
      <c r="AJ1806" s="169">
        <f t="shared" si="1536"/>
        <v>0</v>
      </c>
      <c r="AK1806" s="201">
        <v>0</v>
      </c>
      <c r="AL1806" s="199">
        <v>0</v>
      </c>
      <c r="AM1806" s="150">
        <f t="shared" si="1531"/>
        <v>0</v>
      </c>
      <c r="AN1806" s="153">
        <f t="shared" si="1537"/>
        <v>0</v>
      </c>
      <c r="AO1806" s="154">
        <f t="shared" si="1538"/>
        <v>0</v>
      </c>
      <c r="AP1806" s="150">
        <v>0</v>
      </c>
      <c r="AQ1806" s="201">
        <v>0</v>
      </c>
      <c r="AR1806" s="199">
        <v>0</v>
      </c>
      <c r="AS1806" s="150">
        <f t="shared" si="1532"/>
        <v>0</v>
      </c>
      <c r="AT1806" s="155"/>
      <c r="AU1806" s="156">
        <f t="shared" si="1533"/>
        <v>0</v>
      </c>
      <c r="AV1806" s="156">
        <f t="shared" si="1534"/>
        <v>0</v>
      </c>
      <c r="AW1806" s="157"/>
      <c r="AX1806" s="150">
        <v>0</v>
      </c>
      <c r="AY1806" s="150">
        <v>0</v>
      </c>
      <c r="AZ1806" s="150">
        <f t="shared" si="1539"/>
        <v>0</v>
      </c>
      <c r="BA1806" s="150">
        <v>0</v>
      </c>
      <c r="BB1806" s="210"/>
      <c r="BC1806" s="210"/>
      <c r="BD1806" s="210"/>
      <c r="BE1806" s="210"/>
      <c r="BF1806" s="210"/>
      <c r="BG1806" s="210"/>
      <c r="BH1806" s="217"/>
      <c r="BI1806" s="210"/>
      <c r="BJ1806" s="210"/>
      <c r="BK1806" s="210"/>
      <c r="BL1806" s="210"/>
      <c r="BM1806" s="208"/>
      <c r="BN1806" s="160"/>
      <c r="BO1806" s="161">
        <f t="shared" si="1542"/>
        <v>0</v>
      </c>
      <c r="BP1806" s="161"/>
    </row>
    <row r="1807" spans="1:68" ht="38.25">
      <c r="A1807" s="210"/>
      <c r="B1807" s="195" t="s">
        <v>9346</v>
      </c>
      <c r="C1807" s="196" t="s">
        <v>9347</v>
      </c>
      <c r="D1807" s="146" t="s">
        <v>4692</v>
      </c>
      <c r="E1807" s="196" t="s">
        <v>9347</v>
      </c>
      <c r="F1807" s="150">
        <v>0</v>
      </c>
      <c r="G1807" s="209">
        <v>0</v>
      </c>
      <c r="H1807" s="209"/>
      <c r="I1807" s="209">
        <v>0</v>
      </c>
      <c r="J1807" s="150">
        <v>0</v>
      </c>
      <c r="K1807" s="150">
        <v>0</v>
      </c>
      <c r="L1807" s="150">
        <f t="shared" si="1541"/>
        <v>0</v>
      </c>
      <c r="M1807" s="150">
        <v>0</v>
      </c>
      <c r="N1807" s="150">
        <v>0</v>
      </c>
      <c r="O1807" s="150">
        <v>0</v>
      </c>
      <c r="P1807" s="150">
        <v>0</v>
      </c>
      <c r="Q1807" s="150">
        <v>0</v>
      </c>
      <c r="R1807" s="313">
        <f t="shared" si="1528"/>
        <v>0</v>
      </c>
      <c r="S1807" s="150">
        <f t="shared" si="1540"/>
        <v>0</v>
      </c>
      <c r="T1807" s="150">
        <v>0</v>
      </c>
      <c r="U1807" s="150">
        <v>0</v>
      </c>
      <c r="V1807" s="199">
        <v>0</v>
      </c>
      <c r="W1807" s="150">
        <f t="shared" si="1529"/>
        <v>0</v>
      </c>
      <c r="X1807" s="150">
        <v>0</v>
      </c>
      <c r="Y1807" s="150">
        <v>0</v>
      </c>
      <c r="Z1807" s="150">
        <v>0</v>
      </c>
      <c r="AA1807" s="150">
        <f t="shared" si="1535"/>
        <v>0</v>
      </c>
      <c r="AB1807" s="150">
        <v>0</v>
      </c>
      <c r="AC1807" s="199">
        <v>0</v>
      </c>
      <c r="AD1807" s="150">
        <f t="shared" si="1530"/>
        <v>0</v>
      </c>
      <c r="AE1807" s="150">
        <v>0</v>
      </c>
      <c r="AF1807" s="169" t="s">
        <v>4680</v>
      </c>
      <c r="AG1807" s="201">
        <v>0</v>
      </c>
      <c r="AH1807" s="199">
        <v>0</v>
      </c>
      <c r="AI1807" s="150">
        <v>0</v>
      </c>
      <c r="AJ1807" s="169">
        <f t="shared" si="1536"/>
        <v>0</v>
      </c>
      <c r="AK1807" s="201">
        <v>0</v>
      </c>
      <c r="AL1807" s="199">
        <v>0</v>
      </c>
      <c r="AM1807" s="150">
        <f t="shared" si="1531"/>
        <v>0</v>
      </c>
      <c r="AN1807" s="153">
        <f t="shared" si="1537"/>
        <v>0</v>
      </c>
      <c r="AO1807" s="154">
        <f t="shared" si="1538"/>
        <v>0</v>
      </c>
      <c r="AP1807" s="150">
        <v>0</v>
      </c>
      <c r="AQ1807" s="201">
        <v>0</v>
      </c>
      <c r="AR1807" s="199">
        <v>0</v>
      </c>
      <c r="AS1807" s="150">
        <f t="shared" si="1532"/>
        <v>0</v>
      </c>
      <c r="AT1807" s="155"/>
      <c r="AU1807" s="156">
        <f t="shared" si="1533"/>
        <v>0</v>
      </c>
      <c r="AV1807" s="156">
        <f t="shared" si="1534"/>
        <v>0</v>
      </c>
      <c r="AW1807" s="157"/>
      <c r="AX1807" s="150">
        <v>0</v>
      </c>
      <c r="AY1807" s="150">
        <v>0</v>
      </c>
      <c r="AZ1807" s="150">
        <f t="shared" si="1539"/>
        <v>0</v>
      </c>
      <c r="BA1807" s="150">
        <v>0</v>
      </c>
      <c r="BB1807" s="210"/>
      <c r="BC1807" s="210"/>
      <c r="BD1807" s="210"/>
      <c r="BE1807" s="210"/>
      <c r="BF1807" s="210"/>
      <c r="BG1807" s="210"/>
      <c r="BH1807" s="217"/>
      <c r="BI1807" s="210"/>
      <c r="BJ1807" s="210"/>
      <c r="BK1807" s="210"/>
      <c r="BL1807" s="210"/>
      <c r="BM1807" s="208"/>
      <c r="BN1807" s="160"/>
      <c r="BO1807" s="161">
        <f t="shared" si="1542"/>
        <v>0</v>
      </c>
      <c r="BP1807" s="161"/>
    </row>
    <row r="1808" spans="1:68" ht="51">
      <c r="A1808" s="210"/>
      <c r="B1808" s="195" t="s">
        <v>9348</v>
      </c>
      <c r="C1808" s="196" t="s">
        <v>9349</v>
      </c>
      <c r="D1808" s="146" t="s">
        <v>4692</v>
      </c>
      <c r="E1808" s="196" t="s">
        <v>9349</v>
      </c>
      <c r="F1808" s="150">
        <v>0</v>
      </c>
      <c r="G1808" s="209">
        <v>0</v>
      </c>
      <c r="H1808" s="209"/>
      <c r="I1808" s="209">
        <v>0</v>
      </c>
      <c r="J1808" s="150">
        <v>0</v>
      </c>
      <c r="K1808" s="150">
        <v>0</v>
      </c>
      <c r="L1808" s="150">
        <f t="shared" si="1541"/>
        <v>0</v>
      </c>
      <c r="M1808" s="150">
        <v>0</v>
      </c>
      <c r="N1808" s="150">
        <v>0</v>
      </c>
      <c r="O1808" s="150">
        <v>0</v>
      </c>
      <c r="P1808" s="150">
        <v>0</v>
      </c>
      <c r="Q1808" s="150">
        <v>0</v>
      </c>
      <c r="R1808" s="313">
        <f t="shared" si="1528"/>
        <v>0</v>
      </c>
      <c r="S1808" s="150">
        <f t="shared" si="1540"/>
        <v>0</v>
      </c>
      <c r="T1808" s="150">
        <v>0</v>
      </c>
      <c r="U1808" s="150">
        <v>0</v>
      </c>
      <c r="V1808" s="199">
        <v>0</v>
      </c>
      <c r="W1808" s="150">
        <f t="shared" si="1529"/>
        <v>0</v>
      </c>
      <c r="X1808" s="150">
        <v>0</v>
      </c>
      <c r="Y1808" s="150">
        <v>0</v>
      </c>
      <c r="Z1808" s="150">
        <v>0</v>
      </c>
      <c r="AA1808" s="150">
        <f t="shared" si="1535"/>
        <v>0</v>
      </c>
      <c r="AB1808" s="150">
        <v>0</v>
      </c>
      <c r="AC1808" s="199">
        <v>0</v>
      </c>
      <c r="AD1808" s="150">
        <f t="shared" si="1530"/>
        <v>0</v>
      </c>
      <c r="AE1808" s="150">
        <v>0</v>
      </c>
      <c r="AF1808" s="169" t="s">
        <v>4680</v>
      </c>
      <c r="AG1808" s="201">
        <v>0</v>
      </c>
      <c r="AH1808" s="199">
        <v>0</v>
      </c>
      <c r="AI1808" s="150">
        <v>0</v>
      </c>
      <c r="AJ1808" s="169">
        <f t="shared" si="1536"/>
        <v>0</v>
      </c>
      <c r="AK1808" s="201">
        <v>0</v>
      </c>
      <c r="AL1808" s="199">
        <v>0</v>
      </c>
      <c r="AM1808" s="150">
        <f t="shared" si="1531"/>
        <v>0</v>
      </c>
      <c r="AN1808" s="153">
        <f t="shared" si="1537"/>
        <v>0</v>
      </c>
      <c r="AO1808" s="154">
        <f t="shared" si="1538"/>
        <v>0</v>
      </c>
      <c r="AP1808" s="150">
        <v>0</v>
      </c>
      <c r="AQ1808" s="201">
        <v>0</v>
      </c>
      <c r="AR1808" s="199">
        <v>0</v>
      </c>
      <c r="AS1808" s="150">
        <f t="shared" si="1532"/>
        <v>0</v>
      </c>
      <c r="AT1808" s="155"/>
      <c r="AU1808" s="156">
        <f t="shared" si="1533"/>
        <v>0</v>
      </c>
      <c r="AV1808" s="156">
        <f t="shared" si="1534"/>
        <v>0</v>
      </c>
      <c r="AW1808" s="157"/>
      <c r="AX1808" s="150">
        <v>0</v>
      </c>
      <c r="AY1808" s="150">
        <v>0</v>
      </c>
      <c r="AZ1808" s="150">
        <f t="shared" si="1539"/>
        <v>0</v>
      </c>
      <c r="BA1808" s="150">
        <v>0</v>
      </c>
      <c r="BB1808" s="210"/>
      <c r="BC1808" s="210"/>
      <c r="BD1808" s="210"/>
      <c r="BE1808" s="210"/>
      <c r="BF1808" s="210"/>
      <c r="BG1808" s="210"/>
      <c r="BH1808" s="217"/>
      <c r="BI1808" s="210"/>
      <c r="BJ1808" s="210"/>
      <c r="BK1808" s="210"/>
      <c r="BL1808" s="210"/>
      <c r="BM1808" s="208"/>
      <c r="BN1808" s="160"/>
      <c r="BO1808" s="161">
        <f t="shared" si="1542"/>
        <v>0</v>
      </c>
      <c r="BP1808" s="161"/>
    </row>
    <row r="1809" spans="1:68" ht="38.25">
      <c r="A1809" s="210"/>
      <c r="B1809" s="195" t="s">
        <v>9350</v>
      </c>
      <c r="C1809" s="196" t="s">
        <v>9351</v>
      </c>
      <c r="D1809" s="146" t="s">
        <v>4692</v>
      </c>
      <c r="E1809" s="196" t="s">
        <v>9351</v>
      </c>
      <c r="F1809" s="150">
        <v>0</v>
      </c>
      <c r="G1809" s="209">
        <v>0</v>
      </c>
      <c r="H1809" s="209"/>
      <c r="I1809" s="209">
        <v>0</v>
      </c>
      <c r="J1809" s="150">
        <v>0</v>
      </c>
      <c r="K1809" s="150">
        <v>0</v>
      </c>
      <c r="L1809" s="150">
        <f t="shared" si="1541"/>
        <v>0</v>
      </c>
      <c r="M1809" s="150">
        <v>0</v>
      </c>
      <c r="N1809" s="150">
        <v>0</v>
      </c>
      <c r="O1809" s="150">
        <v>0</v>
      </c>
      <c r="P1809" s="150">
        <v>0</v>
      </c>
      <c r="Q1809" s="150">
        <v>0</v>
      </c>
      <c r="R1809" s="313">
        <f t="shared" si="1528"/>
        <v>0</v>
      </c>
      <c r="S1809" s="150">
        <f t="shared" si="1540"/>
        <v>0</v>
      </c>
      <c r="T1809" s="150">
        <v>0</v>
      </c>
      <c r="U1809" s="150">
        <v>0</v>
      </c>
      <c r="V1809" s="199">
        <v>0</v>
      </c>
      <c r="W1809" s="150">
        <f t="shared" si="1529"/>
        <v>0</v>
      </c>
      <c r="X1809" s="150">
        <v>0</v>
      </c>
      <c r="Y1809" s="150">
        <v>0</v>
      </c>
      <c r="Z1809" s="150">
        <v>0</v>
      </c>
      <c r="AA1809" s="150">
        <f t="shared" si="1535"/>
        <v>0</v>
      </c>
      <c r="AB1809" s="150">
        <v>0</v>
      </c>
      <c r="AC1809" s="199">
        <v>0</v>
      </c>
      <c r="AD1809" s="150">
        <f t="shared" si="1530"/>
        <v>0</v>
      </c>
      <c r="AE1809" s="150">
        <v>0</v>
      </c>
      <c r="AF1809" s="169" t="s">
        <v>4680</v>
      </c>
      <c r="AG1809" s="201">
        <v>0</v>
      </c>
      <c r="AH1809" s="199">
        <v>0</v>
      </c>
      <c r="AI1809" s="150">
        <v>0</v>
      </c>
      <c r="AJ1809" s="169">
        <f t="shared" si="1536"/>
        <v>0</v>
      </c>
      <c r="AK1809" s="201">
        <v>0</v>
      </c>
      <c r="AL1809" s="199">
        <v>0</v>
      </c>
      <c r="AM1809" s="150">
        <f t="shared" si="1531"/>
        <v>0</v>
      </c>
      <c r="AN1809" s="153">
        <f t="shared" si="1537"/>
        <v>0</v>
      </c>
      <c r="AO1809" s="154">
        <f t="shared" si="1538"/>
        <v>0</v>
      </c>
      <c r="AP1809" s="150">
        <v>0</v>
      </c>
      <c r="AQ1809" s="201">
        <v>0</v>
      </c>
      <c r="AR1809" s="199">
        <v>0</v>
      </c>
      <c r="AS1809" s="150">
        <f t="shared" si="1532"/>
        <v>0</v>
      </c>
      <c r="AT1809" s="155"/>
      <c r="AU1809" s="156">
        <f t="shared" si="1533"/>
        <v>0</v>
      </c>
      <c r="AV1809" s="156">
        <f t="shared" si="1534"/>
        <v>0</v>
      </c>
      <c r="AW1809" s="157"/>
      <c r="AX1809" s="150">
        <v>0</v>
      </c>
      <c r="AY1809" s="150">
        <v>0</v>
      </c>
      <c r="AZ1809" s="150">
        <f t="shared" si="1539"/>
        <v>0</v>
      </c>
      <c r="BA1809" s="150">
        <v>0</v>
      </c>
      <c r="BB1809" s="210"/>
      <c r="BC1809" s="210"/>
      <c r="BD1809" s="210"/>
      <c r="BE1809" s="210"/>
      <c r="BF1809" s="210"/>
      <c r="BG1809" s="210"/>
      <c r="BH1809" s="217"/>
      <c r="BI1809" s="210"/>
      <c r="BJ1809" s="210"/>
      <c r="BK1809" s="210"/>
      <c r="BL1809" s="210"/>
      <c r="BM1809" s="208"/>
      <c r="BN1809" s="160"/>
      <c r="BO1809" s="161">
        <f t="shared" si="1542"/>
        <v>0</v>
      </c>
      <c r="BP1809" s="161"/>
    </row>
    <row r="1810" spans="1:68" ht="51">
      <c r="A1810" s="210"/>
      <c r="B1810" s="195" t="s">
        <v>9352</v>
      </c>
      <c r="C1810" s="196" t="s">
        <v>9353</v>
      </c>
      <c r="D1810" s="146" t="s">
        <v>4692</v>
      </c>
      <c r="E1810" s="196" t="s">
        <v>9353</v>
      </c>
      <c r="F1810" s="150">
        <v>0</v>
      </c>
      <c r="G1810" s="209">
        <v>0</v>
      </c>
      <c r="H1810" s="209"/>
      <c r="I1810" s="209">
        <v>0</v>
      </c>
      <c r="J1810" s="150">
        <v>0</v>
      </c>
      <c r="K1810" s="150">
        <v>0</v>
      </c>
      <c r="L1810" s="150">
        <f t="shared" si="1541"/>
        <v>0</v>
      </c>
      <c r="M1810" s="150">
        <v>0</v>
      </c>
      <c r="N1810" s="150">
        <v>0</v>
      </c>
      <c r="O1810" s="150">
        <v>0</v>
      </c>
      <c r="P1810" s="150">
        <v>0</v>
      </c>
      <c r="Q1810" s="150">
        <v>0</v>
      </c>
      <c r="R1810" s="313">
        <f t="shared" si="1528"/>
        <v>0</v>
      </c>
      <c r="S1810" s="150">
        <f t="shared" si="1540"/>
        <v>0</v>
      </c>
      <c r="T1810" s="150">
        <v>0</v>
      </c>
      <c r="U1810" s="150">
        <v>0</v>
      </c>
      <c r="V1810" s="199">
        <v>0</v>
      </c>
      <c r="W1810" s="150">
        <f t="shared" si="1529"/>
        <v>0</v>
      </c>
      <c r="X1810" s="150">
        <v>0</v>
      </c>
      <c r="Y1810" s="150">
        <v>0</v>
      </c>
      <c r="Z1810" s="150">
        <v>0</v>
      </c>
      <c r="AA1810" s="150">
        <f t="shared" si="1535"/>
        <v>0</v>
      </c>
      <c r="AB1810" s="150">
        <v>0</v>
      </c>
      <c r="AC1810" s="199">
        <v>0</v>
      </c>
      <c r="AD1810" s="150">
        <f t="shared" si="1530"/>
        <v>0</v>
      </c>
      <c r="AE1810" s="150">
        <v>0</v>
      </c>
      <c r="AF1810" s="169" t="s">
        <v>4680</v>
      </c>
      <c r="AG1810" s="201">
        <v>0</v>
      </c>
      <c r="AH1810" s="199">
        <v>0</v>
      </c>
      <c r="AI1810" s="150">
        <v>0</v>
      </c>
      <c r="AJ1810" s="169">
        <f t="shared" si="1536"/>
        <v>0</v>
      </c>
      <c r="AK1810" s="201">
        <v>0</v>
      </c>
      <c r="AL1810" s="199">
        <v>0</v>
      </c>
      <c r="AM1810" s="150">
        <f t="shared" si="1531"/>
        <v>0</v>
      </c>
      <c r="AN1810" s="153">
        <f t="shared" si="1537"/>
        <v>0</v>
      </c>
      <c r="AO1810" s="154">
        <f t="shared" si="1538"/>
        <v>0</v>
      </c>
      <c r="AP1810" s="150">
        <v>0</v>
      </c>
      <c r="AQ1810" s="201">
        <v>0</v>
      </c>
      <c r="AR1810" s="199">
        <v>0</v>
      </c>
      <c r="AS1810" s="150">
        <f t="shared" si="1532"/>
        <v>0</v>
      </c>
      <c r="AT1810" s="155"/>
      <c r="AU1810" s="156">
        <f t="shared" si="1533"/>
        <v>0</v>
      </c>
      <c r="AV1810" s="156">
        <f t="shared" si="1534"/>
        <v>0</v>
      </c>
      <c r="AW1810" s="157"/>
      <c r="AX1810" s="150">
        <v>0</v>
      </c>
      <c r="AY1810" s="150">
        <v>0</v>
      </c>
      <c r="AZ1810" s="150">
        <f t="shared" si="1539"/>
        <v>0</v>
      </c>
      <c r="BA1810" s="150">
        <v>0</v>
      </c>
      <c r="BB1810" s="210"/>
      <c r="BC1810" s="210"/>
      <c r="BD1810" s="210"/>
      <c r="BE1810" s="210"/>
      <c r="BF1810" s="210"/>
      <c r="BG1810" s="210"/>
      <c r="BH1810" s="217"/>
      <c r="BI1810" s="210"/>
      <c r="BJ1810" s="210"/>
      <c r="BK1810" s="210"/>
      <c r="BL1810" s="210"/>
      <c r="BM1810" s="208"/>
      <c r="BN1810" s="160"/>
      <c r="BO1810" s="161">
        <f t="shared" si="1542"/>
        <v>0</v>
      </c>
      <c r="BP1810" s="161"/>
    </row>
    <row r="1811" spans="1:68" ht="38.25">
      <c r="A1811" s="210"/>
      <c r="B1811" s="195" t="s">
        <v>9354</v>
      </c>
      <c r="C1811" s="196" t="s">
        <v>9355</v>
      </c>
      <c r="D1811" s="146" t="s">
        <v>4692</v>
      </c>
      <c r="E1811" s="196" t="s">
        <v>9355</v>
      </c>
      <c r="F1811" s="150">
        <v>0</v>
      </c>
      <c r="G1811" s="209">
        <v>0</v>
      </c>
      <c r="H1811" s="209"/>
      <c r="I1811" s="209">
        <v>0</v>
      </c>
      <c r="J1811" s="150">
        <v>0</v>
      </c>
      <c r="K1811" s="150">
        <v>0</v>
      </c>
      <c r="L1811" s="150">
        <f t="shared" si="1541"/>
        <v>0</v>
      </c>
      <c r="M1811" s="150">
        <v>0</v>
      </c>
      <c r="N1811" s="150">
        <v>0</v>
      </c>
      <c r="O1811" s="150">
        <v>0</v>
      </c>
      <c r="P1811" s="150">
        <v>0</v>
      </c>
      <c r="Q1811" s="150">
        <v>0</v>
      </c>
      <c r="R1811" s="313">
        <f t="shared" si="1528"/>
        <v>0</v>
      </c>
      <c r="S1811" s="150">
        <f t="shared" si="1540"/>
        <v>0</v>
      </c>
      <c r="T1811" s="150">
        <v>0</v>
      </c>
      <c r="U1811" s="150">
        <v>0</v>
      </c>
      <c r="V1811" s="199">
        <v>0</v>
      </c>
      <c r="W1811" s="150">
        <f t="shared" si="1529"/>
        <v>0</v>
      </c>
      <c r="X1811" s="150">
        <v>0</v>
      </c>
      <c r="Y1811" s="150">
        <v>0</v>
      </c>
      <c r="Z1811" s="150">
        <v>0</v>
      </c>
      <c r="AA1811" s="150">
        <f t="shared" si="1535"/>
        <v>0</v>
      </c>
      <c r="AB1811" s="150">
        <v>0</v>
      </c>
      <c r="AC1811" s="199">
        <v>0</v>
      </c>
      <c r="AD1811" s="150">
        <f t="shared" si="1530"/>
        <v>0</v>
      </c>
      <c r="AE1811" s="150">
        <v>0</v>
      </c>
      <c r="AF1811" s="169" t="s">
        <v>4680</v>
      </c>
      <c r="AG1811" s="201">
        <v>0</v>
      </c>
      <c r="AH1811" s="199">
        <v>0</v>
      </c>
      <c r="AI1811" s="150">
        <v>0</v>
      </c>
      <c r="AJ1811" s="169">
        <f t="shared" si="1536"/>
        <v>0</v>
      </c>
      <c r="AK1811" s="201">
        <v>0</v>
      </c>
      <c r="AL1811" s="199">
        <v>0</v>
      </c>
      <c r="AM1811" s="150">
        <f t="shared" si="1531"/>
        <v>0</v>
      </c>
      <c r="AN1811" s="153">
        <f t="shared" si="1537"/>
        <v>0</v>
      </c>
      <c r="AO1811" s="154">
        <f t="shared" si="1538"/>
        <v>0</v>
      </c>
      <c r="AP1811" s="150">
        <v>0</v>
      </c>
      <c r="AQ1811" s="201">
        <v>0</v>
      </c>
      <c r="AR1811" s="199">
        <v>0</v>
      </c>
      <c r="AS1811" s="150">
        <f t="shared" si="1532"/>
        <v>0</v>
      </c>
      <c r="AT1811" s="155"/>
      <c r="AU1811" s="156">
        <f t="shared" si="1533"/>
        <v>0</v>
      </c>
      <c r="AV1811" s="156">
        <f t="shared" si="1534"/>
        <v>0</v>
      </c>
      <c r="AW1811" s="157"/>
      <c r="AX1811" s="150">
        <v>0</v>
      </c>
      <c r="AY1811" s="150">
        <v>0</v>
      </c>
      <c r="AZ1811" s="150">
        <f t="shared" si="1539"/>
        <v>0</v>
      </c>
      <c r="BA1811" s="150">
        <v>0</v>
      </c>
      <c r="BB1811" s="210"/>
      <c r="BC1811" s="210"/>
      <c r="BD1811" s="210"/>
      <c r="BE1811" s="210"/>
      <c r="BF1811" s="210"/>
      <c r="BG1811" s="210"/>
      <c r="BH1811" s="217"/>
      <c r="BI1811" s="210"/>
      <c r="BJ1811" s="210"/>
      <c r="BK1811" s="210"/>
      <c r="BL1811" s="210"/>
      <c r="BM1811" s="208"/>
      <c r="BN1811" s="160"/>
      <c r="BO1811" s="161">
        <f t="shared" si="1542"/>
        <v>0</v>
      </c>
      <c r="BP1811" s="161"/>
    </row>
    <row r="1812" spans="1:68" ht="51">
      <c r="A1812" s="210"/>
      <c r="B1812" s="195" t="s">
        <v>9356</v>
      </c>
      <c r="C1812" s="196" t="s">
        <v>9357</v>
      </c>
      <c r="D1812" s="146" t="s">
        <v>4692</v>
      </c>
      <c r="E1812" s="196" t="s">
        <v>9357</v>
      </c>
      <c r="F1812" s="150">
        <v>0</v>
      </c>
      <c r="G1812" s="209">
        <v>0</v>
      </c>
      <c r="H1812" s="209"/>
      <c r="I1812" s="209">
        <v>0</v>
      </c>
      <c r="J1812" s="150">
        <v>0</v>
      </c>
      <c r="K1812" s="150">
        <v>0</v>
      </c>
      <c r="L1812" s="150">
        <f t="shared" si="1541"/>
        <v>0</v>
      </c>
      <c r="M1812" s="150">
        <v>0</v>
      </c>
      <c r="N1812" s="150">
        <v>0</v>
      </c>
      <c r="O1812" s="150">
        <v>0</v>
      </c>
      <c r="P1812" s="150">
        <v>0</v>
      </c>
      <c r="Q1812" s="150">
        <v>0</v>
      </c>
      <c r="R1812" s="313">
        <f t="shared" si="1528"/>
        <v>0</v>
      </c>
      <c r="S1812" s="150">
        <f t="shared" si="1540"/>
        <v>0</v>
      </c>
      <c r="T1812" s="150">
        <v>0</v>
      </c>
      <c r="U1812" s="150">
        <v>0</v>
      </c>
      <c r="V1812" s="199">
        <v>0</v>
      </c>
      <c r="W1812" s="150">
        <f t="shared" si="1529"/>
        <v>0</v>
      </c>
      <c r="X1812" s="150">
        <v>0</v>
      </c>
      <c r="Y1812" s="150">
        <v>0</v>
      </c>
      <c r="Z1812" s="150">
        <v>0</v>
      </c>
      <c r="AA1812" s="150">
        <f t="shared" si="1535"/>
        <v>0</v>
      </c>
      <c r="AB1812" s="150">
        <v>0</v>
      </c>
      <c r="AC1812" s="199">
        <v>0</v>
      </c>
      <c r="AD1812" s="150">
        <f t="shared" si="1530"/>
        <v>0</v>
      </c>
      <c r="AE1812" s="150">
        <v>0</v>
      </c>
      <c r="AF1812" s="169" t="s">
        <v>4680</v>
      </c>
      <c r="AG1812" s="201">
        <v>0</v>
      </c>
      <c r="AH1812" s="199">
        <v>0</v>
      </c>
      <c r="AI1812" s="150">
        <v>0</v>
      </c>
      <c r="AJ1812" s="169">
        <f t="shared" si="1536"/>
        <v>0</v>
      </c>
      <c r="AK1812" s="201">
        <v>0</v>
      </c>
      <c r="AL1812" s="199">
        <v>0</v>
      </c>
      <c r="AM1812" s="150">
        <f t="shared" si="1531"/>
        <v>0</v>
      </c>
      <c r="AN1812" s="153">
        <f t="shared" si="1537"/>
        <v>0</v>
      </c>
      <c r="AO1812" s="154">
        <f t="shared" si="1538"/>
        <v>0</v>
      </c>
      <c r="AP1812" s="150">
        <v>0</v>
      </c>
      <c r="AQ1812" s="201">
        <v>0</v>
      </c>
      <c r="AR1812" s="199">
        <v>0</v>
      </c>
      <c r="AS1812" s="150">
        <f t="shared" si="1532"/>
        <v>0</v>
      </c>
      <c r="AT1812" s="155"/>
      <c r="AU1812" s="156">
        <f t="shared" si="1533"/>
        <v>0</v>
      </c>
      <c r="AV1812" s="156">
        <f t="shared" si="1534"/>
        <v>0</v>
      </c>
      <c r="AW1812" s="157"/>
      <c r="AX1812" s="150">
        <v>0</v>
      </c>
      <c r="AY1812" s="150">
        <v>0</v>
      </c>
      <c r="AZ1812" s="150">
        <f t="shared" si="1539"/>
        <v>0</v>
      </c>
      <c r="BA1812" s="150">
        <v>0</v>
      </c>
      <c r="BB1812" s="210"/>
      <c r="BC1812" s="210"/>
      <c r="BD1812" s="210"/>
      <c r="BE1812" s="210"/>
      <c r="BF1812" s="210"/>
      <c r="BG1812" s="210"/>
      <c r="BH1812" s="217"/>
      <c r="BI1812" s="210"/>
      <c r="BJ1812" s="210"/>
      <c r="BK1812" s="210"/>
      <c r="BL1812" s="210"/>
      <c r="BM1812" s="208"/>
      <c r="BN1812" s="160"/>
      <c r="BO1812" s="161">
        <f t="shared" si="1542"/>
        <v>0</v>
      </c>
      <c r="BP1812" s="161"/>
    </row>
    <row r="1813" spans="1:68" ht="38.25">
      <c r="A1813" s="210"/>
      <c r="B1813" s="195" t="s">
        <v>9358</v>
      </c>
      <c r="C1813" s="196" t="s">
        <v>9359</v>
      </c>
      <c r="D1813" s="146" t="s">
        <v>4692</v>
      </c>
      <c r="E1813" s="196" t="s">
        <v>9359</v>
      </c>
      <c r="F1813" s="150">
        <v>0</v>
      </c>
      <c r="G1813" s="209">
        <v>0</v>
      </c>
      <c r="H1813" s="209"/>
      <c r="I1813" s="209">
        <v>0</v>
      </c>
      <c r="J1813" s="150">
        <v>0</v>
      </c>
      <c r="K1813" s="150">
        <v>0</v>
      </c>
      <c r="L1813" s="150">
        <f t="shared" si="1541"/>
        <v>0</v>
      </c>
      <c r="M1813" s="150">
        <v>0</v>
      </c>
      <c r="N1813" s="150">
        <v>0</v>
      </c>
      <c r="O1813" s="150">
        <v>0</v>
      </c>
      <c r="P1813" s="150">
        <v>0</v>
      </c>
      <c r="Q1813" s="150">
        <v>0</v>
      </c>
      <c r="R1813" s="313">
        <f t="shared" si="1528"/>
        <v>0</v>
      </c>
      <c r="S1813" s="150">
        <f t="shared" si="1540"/>
        <v>0</v>
      </c>
      <c r="T1813" s="150">
        <v>0</v>
      </c>
      <c r="U1813" s="150">
        <v>0</v>
      </c>
      <c r="V1813" s="199">
        <v>0</v>
      </c>
      <c r="W1813" s="150">
        <f t="shared" si="1529"/>
        <v>0</v>
      </c>
      <c r="X1813" s="150">
        <v>0</v>
      </c>
      <c r="Y1813" s="150">
        <v>0</v>
      </c>
      <c r="Z1813" s="150">
        <v>0</v>
      </c>
      <c r="AA1813" s="150">
        <f t="shared" si="1535"/>
        <v>0</v>
      </c>
      <c r="AB1813" s="150">
        <v>0</v>
      </c>
      <c r="AC1813" s="199">
        <v>0</v>
      </c>
      <c r="AD1813" s="150">
        <f t="shared" si="1530"/>
        <v>0</v>
      </c>
      <c r="AE1813" s="150">
        <v>0</v>
      </c>
      <c r="AF1813" s="169" t="s">
        <v>4680</v>
      </c>
      <c r="AG1813" s="201">
        <v>0</v>
      </c>
      <c r="AH1813" s="199">
        <v>0</v>
      </c>
      <c r="AI1813" s="150">
        <v>0</v>
      </c>
      <c r="AJ1813" s="169">
        <f t="shared" si="1536"/>
        <v>0</v>
      </c>
      <c r="AK1813" s="201">
        <v>0</v>
      </c>
      <c r="AL1813" s="199">
        <v>0</v>
      </c>
      <c r="AM1813" s="150">
        <f t="shared" si="1531"/>
        <v>0</v>
      </c>
      <c r="AN1813" s="153">
        <f t="shared" si="1537"/>
        <v>0</v>
      </c>
      <c r="AO1813" s="154">
        <f t="shared" si="1538"/>
        <v>0</v>
      </c>
      <c r="AP1813" s="150">
        <v>0</v>
      </c>
      <c r="AQ1813" s="201">
        <v>0</v>
      </c>
      <c r="AR1813" s="199">
        <v>0</v>
      </c>
      <c r="AS1813" s="150">
        <f t="shared" si="1532"/>
        <v>0</v>
      </c>
      <c r="AT1813" s="155"/>
      <c r="AU1813" s="156">
        <f t="shared" si="1533"/>
        <v>0</v>
      </c>
      <c r="AV1813" s="156">
        <f t="shared" si="1534"/>
        <v>0</v>
      </c>
      <c r="AW1813" s="157"/>
      <c r="AX1813" s="150">
        <v>0</v>
      </c>
      <c r="AY1813" s="150">
        <v>0</v>
      </c>
      <c r="AZ1813" s="150">
        <f t="shared" si="1539"/>
        <v>0</v>
      </c>
      <c r="BA1813" s="150">
        <v>0</v>
      </c>
      <c r="BB1813" s="210"/>
      <c r="BC1813" s="210"/>
      <c r="BD1813" s="210"/>
      <c r="BE1813" s="210"/>
      <c r="BF1813" s="210"/>
      <c r="BG1813" s="210"/>
      <c r="BH1813" s="217"/>
      <c r="BI1813" s="210"/>
      <c r="BJ1813" s="210"/>
      <c r="BK1813" s="210"/>
      <c r="BL1813" s="210"/>
      <c r="BM1813" s="208"/>
      <c r="BN1813" s="160"/>
      <c r="BO1813" s="161">
        <f t="shared" si="1542"/>
        <v>0</v>
      </c>
      <c r="BP1813" s="161"/>
    </row>
    <row r="1814" spans="1:68" ht="38.25">
      <c r="A1814" s="210"/>
      <c r="B1814" s="195" t="s">
        <v>9360</v>
      </c>
      <c r="C1814" s="196" t="s">
        <v>9361</v>
      </c>
      <c r="D1814" s="146" t="s">
        <v>4692</v>
      </c>
      <c r="E1814" s="196" t="s">
        <v>9361</v>
      </c>
      <c r="F1814" s="150">
        <v>0</v>
      </c>
      <c r="G1814" s="209">
        <v>0</v>
      </c>
      <c r="H1814" s="209"/>
      <c r="I1814" s="209">
        <v>0</v>
      </c>
      <c r="J1814" s="150">
        <v>0</v>
      </c>
      <c r="K1814" s="150">
        <v>0</v>
      </c>
      <c r="L1814" s="150">
        <f t="shared" si="1541"/>
        <v>0</v>
      </c>
      <c r="M1814" s="150">
        <v>0</v>
      </c>
      <c r="N1814" s="150">
        <v>0</v>
      </c>
      <c r="O1814" s="150">
        <v>0</v>
      </c>
      <c r="P1814" s="150">
        <v>0</v>
      </c>
      <c r="Q1814" s="150">
        <v>0</v>
      </c>
      <c r="R1814" s="313">
        <f t="shared" si="1528"/>
        <v>0</v>
      </c>
      <c r="S1814" s="150">
        <f t="shared" si="1540"/>
        <v>0</v>
      </c>
      <c r="T1814" s="150">
        <v>0</v>
      </c>
      <c r="U1814" s="150">
        <v>0</v>
      </c>
      <c r="V1814" s="199">
        <v>0</v>
      </c>
      <c r="W1814" s="150">
        <f t="shared" si="1529"/>
        <v>0</v>
      </c>
      <c r="X1814" s="150">
        <v>0</v>
      </c>
      <c r="Y1814" s="150">
        <v>0</v>
      </c>
      <c r="Z1814" s="150">
        <v>0</v>
      </c>
      <c r="AA1814" s="150">
        <f t="shared" si="1535"/>
        <v>0</v>
      </c>
      <c r="AB1814" s="150">
        <v>0</v>
      </c>
      <c r="AC1814" s="199">
        <v>0</v>
      </c>
      <c r="AD1814" s="150">
        <f t="shared" si="1530"/>
        <v>0</v>
      </c>
      <c r="AE1814" s="150">
        <v>0</v>
      </c>
      <c r="AF1814" s="169" t="s">
        <v>4680</v>
      </c>
      <c r="AG1814" s="201">
        <v>0</v>
      </c>
      <c r="AH1814" s="199">
        <v>0</v>
      </c>
      <c r="AI1814" s="150">
        <v>0</v>
      </c>
      <c r="AJ1814" s="169">
        <f t="shared" si="1536"/>
        <v>0</v>
      </c>
      <c r="AK1814" s="201">
        <v>0</v>
      </c>
      <c r="AL1814" s="199">
        <v>0</v>
      </c>
      <c r="AM1814" s="150">
        <f t="shared" si="1531"/>
        <v>0</v>
      </c>
      <c r="AN1814" s="153">
        <f t="shared" si="1537"/>
        <v>0</v>
      </c>
      <c r="AO1814" s="154">
        <f t="shared" si="1538"/>
        <v>0</v>
      </c>
      <c r="AP1814" s="150">
        <v>0</v>
      </c>
      <c r="AQ1814" s="201">
        <v>0</v>
      </c>
      <c r="AR1814" s="199">
        <v>0</v>
      </c>
      <c r="AS1814" s="150">
        <f t="shared" si="1532"/>
        <v>0</v>
      </c>
      <c r="AT1814" s="155"/>
      <c r="AU1814" s="156">
        <f t="shared" si="1533"/>
        <v>0</v>
      </c>
      <c r="AV1814" s="156">
        <f t="shared" si="1534"/>
        <v>0</v>
      </c>
      <c r="AW1814" s="157"/>
      <c r="AX1814" s="150">
        <v>0</v>
      </c>
      <c r="AY1814" s="150">
        <v>0</v>
      </c>
      <c r="AZ1814" s="150">
        <f t="shared" si="1539"/>
        <v>0</v>
      </c>
      <c r="BA1814" s="150">
        <v>0</v>
      </c>
      <c r="BB1814" s="210"/>
      <c r="BC1814" s="210"/>
      <c r="BD1814" s="210"/>
      <c r="BE1814" s="210"/>
      <c r="BF1814" s="210"/>
      <c r="BG1814" s="210"/>
      <c r="BH1814" s="217"/>
      <c r="BI1814" s="210"/>
      <c r="BJ1814" s="210"/>
      <c r="BK1814" s="210"/>
      <c r="BL1814" s="210"/>
      <c r="BM1814" s="208"/>
      <c r="BN1814" s="160"/>
      <c r="BO1814" s="161">
        <f t="shared" si="1542"/>
        <v>0</v>
      </c>
      <c r="BP1814" s="161"/>
    </row>
    <row r="1815" spans="1:68" ht="38.25">
      <c r="A1815" s="210"/>
      <c r="B1815" s="195" t="s">
        <v>9362</v>
      </c>
      <c r="C1815" s="196" t="s">
        <v>9363</v>
      </c>
      <c r="D1815" s="146" t="s">
        <v>4692</v>
      </c>
      <c r="E1815" s="196" t="s">
        <v>9363</v>
      </c>
      <c r="F1815" s="150">
        <v>0</v>
      </c>
      <c r="G1815" s="209">
        <v>0</v>
      </c>
      <c r="H1815" s="209"/>
      <c r="I1815" s="209">
        <v>0</v>
      </c>
      <c r="J1815" s="150">
        <v>0</v>
      </c>
      <c r="K1815" s="150">
        <v>0</v>
      </c>
      <c r="L1815" s="150">
        <f t="shared" si="1541"/>
        <v>0</v>
      </c>
      <c r="M1815" s="150">
        <v>0</v>
      </c>
      <c r="N1815" s="150">
        <v>0</v>
      </c>
      <c r="O1815" s="150">
        <v>0</v>
      </c>
      <c r="P1815" s="150">
        <v>0</v>
      </c>
      <c r="Q1815" s="150">
        <v>0</v>
      </c>
      <c r="R1815" s="313">
        <f t="shared" si="1528"/>
        <v>0</v>
      </c>
      <c r="S1815" s="150">
        <f t="shared" si="1540"/>
        <v>0</v>
      </c>
      <c r="T1815" s="150">
        <v>0</v>
      </c>
      <c r="U1815" s="150">
        <v>0</v>
      </c>
      <c r="V1815" s="199">
        <v>0</v>
      </c>
      <c r="W1815" s="150">
        <f t="shared" si="1529"/>
        <v>0</v>
      </c>
      <c r="X1815" s="150">
        <v>0</v>
      </c>
      <c r="Y1815" s="150">
        <v>0</v>
      </c>
      <c r="Z1815" s="150">
        <v>0</v>
      </c>
      <c r="AA1815" s="150">
        <f t="shared" si="1535"/>
        <v>0</v>
      </c>
      <c r="AB1815" s="150">
        <v>0</v>
      </c>
      <c r="AC1815" s="199">
        <v>0</v>
      </c>
      <c r="AD1815" s="150">
        <f t="shared" si="1530"/>
        <v>0</v>
      </c>
      <c r="AE1815" s="150">
        <v>0</v>
      </c>
      <c r="AF1815" s="169" t="s">
        <v>4680</v>
      </c>
      <c r="AG1815" s="201">
        <v>0</v>
      </c>
      <c r="AH1815" s="199">
        <v>0</v>
      </c>
      <c r="AI1815" s="150">
        <v>0</v>
      </c>
      <c r="AJ1815" s="169">
        <f t="shared" si="1536"/>
        <v>0</v>
      </c>
      <c r="AK1815" s="201">
        <v>0</v>
      </c>
      <c r="AL1815" s="199">
        <v>0</v>
      </c>
      <c r="AM1815" s="150">
        <f t="shared" si="1531"/>
        <v>0</v>
      </c>
      <c r="AN1815" s="153">
        <f t="shared" si="1537"/>
        <v>0</v>
      </c>
      <c r="AO1815" s="154">
        <f t="shared" si="1538"/>
        <v>0</v>
      </c>
      <c r="AP1815" s="150">
        <v>0</v>
      </c>
      <c r="AQ1815" s="201">
        <v>0</v>
      </c>
      <c r="AR1815" s="199">
        <v>0</v>
      </c>
      <c r="AS1815" s="150">
        <f t="shared" si="1532"/>
        <v>0</v>
      </c>
      <c r="AT1815" s="155"/>
      <c r="AU1815" s="156">
        <f t="shared" si="1533"/>
        <v>0</v>
      </c>
      <c r="AV1815" s="156">
        <f t="shared" si="1534"/>
        <v>0</v>
      </c>
      <c r="AW1815" s="157"/>
      <c r="AX1815" s="150">
        <v>0</v>
      </c>
      <c r="AY1815" s="150">
        <v>0</v>
      </c>
      <c r="AZ1815" s="150">
        <f t="shared" si="1539"/>
        <v>0</v>
      </c>
      <c r="BA1815" s="150">
        <v>0</v>
      </c>
      <c r="BB1815" s="210"/>
      <c r="BC1815" s="210"/>
      <c r="BD1815" s="210"/>
      <c r="BE1815" s="210"/>
      <c r="BF1815" s="210"/>
      <c r="BG1815" s="210"/>
      <c r="BH1815" s="217"/>
      <c r="BI1815" s="210"/>
      <c r="BJ1815" s="210"/>
      <c r="BK1815" s="210"/>
      <c r="BL1815" s="210"/>
      <c r="BM1815" s="208"/>
      <c r="BN1815" s="160"/>
      <c r="BO1815" s="161">
        <f t="shared" si="1542"/>
        <v>0</v>
      </c>
      <c r="BP1815" s="161"/>
    </row>
    <row r="1816" spans="1:68" ht="38.25">
      <c r="A1816" s="210"/>
      <c r="B1816" s="195" t="s">
        <v>9364</v>
      </c>
      <c r="C1816" s="196" t="s">
        <v>9365</v>
      </c>
      <c r="D1816" s="146" t="s">
        <v>4692</v>
      </c>
      <c r="E1816" s="196" t="s">
        <v>9365</v>
      </c>
      <c r="F1816" s="150">
        <v>0</v>
      </c>
      <c r="G1816" s="209">
        <v>0</v>
      </c>
      <c r="H1816" s="209"/>
      <c r="I1816" s="209">
        <v>0</v>
      </c>
      <c r="J1816" s="150">
        <v>0</v>
      </c>
      <c r="K1816" s="150">
        <v>0</v>
      </c>
      <c r="L1816" s="150">
        <f t="shared" si="1541"/>
        <v>0</v>
      </c>
      <c r="M1816" s="150">
        <v>0</v>
      </c>
      <c r="N1816" s="150">
        <v>0</v>
      </c>
      <c r="O1816" s="150">
        <v>0</v>
      </c>
      <c r="P1816" s="150">
        <v>0</v>
      </c>
      <c r="Q1816" s="150">
        <v>0</v>
      </c>
      <c r="R1816" s="313">
        <f t="shared" si="1528"/>
        <v>0</v>
      </c>
      <c r="S1816" s="150">
        <f t="shared" si="1540"/>
        <v>0</v>
      </c>
      <c r="T1816" s="150">
        <v>0</v>
      </c>
      <c r="U1816" s="150">
        <v>0</v>
      </c>
      <c r="V1816" s="199">
        <v>0</v>
      </c>
      <c r="W1816" s="150">
        <f t="shared" si="1529"/>
        <v>0</v>
      </c>
      <c r="X1816" s="150">
        <v>0</v>
      </c>
      <c r="Y1816" s="150">
        <v>0</v>
      </c>
      <c r="Z1816" s="150">
        <v>0</v>
      </c>
      <c r="AA1816" s="150">
        <f t="shared" si="1535"/>
        <v>0</v>
      </c>
      <c r="AB1816" s="150">
        <v>0</v>
      </c>
      <c r="AC1816" s="199">
        <v>0</v>
      </c>
      <c r="AD1816" s="150">
        <f t="shared" si="1530"/>
        <v>0</v>
      </c>
      <c r="AE1816" s="150">
        <v>0</v>
      </c>
      <c r="AF1816" s="169" t="s">
        <v>4680</v>
      </c>
      <c r="AG1816" s="201">
        <v>0</v>
      </c>
      <c r="AH1816" s="199">
        <v>0</v>
      </c>
      <c r="AI1816" s="150">
        <v>0</v>
      </c>
      <c r="AJ1816" s="169">
        <f t="shared" si="1536"/>
        <v>0</v>
      </c>
      <c r="AK1816" s="201">
        <v>0</v>
      </c>
      <c r="AL1816" s="199">
        <v>0</v>
      </c>
      <c r="AM1816" s="150">
        <f t="shared" si="1531"/>
        <v>0</v>
      </c>
      <c r="AN1816" s="153">
        <f t="shared" si="1537"/>
        <v>0</v>
      </c>
      <c r="AO1816" s="154">
        <f t="shared" si="1538"/>
        <v>0</v>
      </c>
      <c r="AP1816" s="150">
        <v>0</v>
      </c>
      <c r="AQ1816" s="201">
        <v>0</v>
      </c>
      <c r="AR1816" s="199">
        <v>0</v>
      </c>
      <c r="AS1816" s="150">
        <f t="shared" si="1532"/>
        <v>0</v>
      </c>
      <c r="AT1816" s="155"/>
      <c r="AU1816" s="156">
        <f t="shared" si="1533"/>
        <v>0</v>
      </c>
      <c r="AV1816" s="156">
        <f t="shared" si="1534"/>
        <v>0</v>
      </c>
      <c r="AW1816" s="157"/>
      <c r="AX1816" s="150">
        <v>0</v>
      </c>
      <c r="AY1816" s="150">
        <v>0</v>
      </c>
      <c r="AZ1816" s="150">
        <f t="shared" si="1539"/>
        <v>0</v>
      </c>
      <c r="BA1816" s="150">
        <v>0</v>
      </c>
      <c r="BB1816" s="210"/>
      <c r="BC1816" s="210"/>
      <c r="BD1816" s="210"/>
      <c r="BE1816" s="210"/>
      <c r="BF1816" s="210"/>
      <c r="BG1816" s="210"/>
      <c r="BH1816" s="217"/>
      <c r="BI1816" s="210"/>
      <c r="BJ1816" s="210"/>
      <c r="BK1816" s="210"/>
      <c r="BL1816" s="210"/>
      <c r="BM1816" s="208"/>
      <c r="BN1816" s="160"/>
      <c r="BO1816" s="161">
        <f t="shared" si="1542"/>
        <v>0</v>
      </c>
      <c r="BP1816" s="161"/>
    </row>
    <row r="1817" spans="1:68" ht="38.25">
      <c r="A1817" s="210"/>
      <c r="B1817" s="195" t="s">
        <v>9366</v>
      </c>
      <c r="C1817" s="196" t="s">
        <v>9367</v>
      </c>
      <c r="D1817" s="146" t="s">
        <v>4692</v>
      </c>
      <c r="E1817" s="196" t="s">
        <v>9367</v>
      </c>
      <c r="F1817" s="150">
        <v>0</v>
      </c>
      <c r="G1817" s="209">
        <v>0</v>
      </c>
      <c r="H1817" s="209"/>
      <c r="I1817" s="209">
        <v>0</v>
      </c>
      <c r="J1817" s="150">
        <v>0</v>
      </c>
      <c r="K1817" s="150">
        <v>0</v>
      </c>
      <c r="L1817" s="150">
        <f t="shared" si="1541"/>
        <v>0</v>
      </c>
      <c r="M1817" s="150">
        <v>0</v>
      </c>
      <c r="N1817" s="150">
        <v>0</v>
      </c>
      <c r="O1817" s="150">
        <v>0</v>
      </c>
      <c r="P1817" s="150">
        <v>0</v>
      </c>
      <c r="Q1817" s="150">
        <v>0</v>
      </c>
      <c r="R1817" s="313">
        <f t="shared" si="1528"/>
        <v>0</v>
      </c>
      <c r="S1817" s="150">
        <f t="shared" si="1540"/>
        <v>0</v>
      </c>
      <c r="T1817" s="150">
        <v>0</v>
      </c>
      <c r="U1817" s="150">
        <v>0</v>
      </c>
      <c r="V1817" s="199">
        <v>0</v>
      </c>
      <c r="W1817" s="150">
        <f t="shared" si="1529"/>
        <v>0</v>
      </c>
      <c r="X1817" s="150">
        <v>0</v>
      </c>
      <c r="Y1817" s="150">
        <v>0</v>
      </c>
      <c r="Z1817" s="150">
        <v>0</v>
      </c>
      <c r="AA1817" s="150">
        <f t="shared" si="1535"/>
        <v>0</v>
      </c>
      <c r="AB1817" s="150">
        <v>0</v>
      </c>
      <c r="AC1817" s="199">
        <v>0</v>
      </c>
      <c r="AD1817" s="150">
        <f t="shared" si="1530"/>
        <v>0</v>
      </c>
      <c r="AE1817" s="150">
        <v>0</v>
      </c>
      <c r="AF1817" s="169" t="s">
        <v>4680</v>
      </c>
      <c r="AG1817" s="201">
        <v>0</v>
      </c>
      <c r="AH1817" s="199">
        <v>0</v>
      </c>
      <c r="AI1817" s="150">
        <v>0</v>
      </c>
      <c r="AJ1817" s="169">
        <f t="shared" si="1536"/>
        <v>0</v>
      </c>
      <c r="AK1817" s="201">
        <v>0</v>
      </c>
      <c r="AL1817" s="199">
        <v>0</v>
      </c>
      <c r="AM1817" s="150">
        <f t="shared" si="1531"/>
        <v>0</v>
      </c>
      <c r="AN1817" s="153">
        <f t="shared" si="1537"/>
        <v>0</v>
      </c>
      <c r="AO1817" s="154">
        <f t="shared" si="1538"/>
        <v>0</v>
      </c>
      <c r="AP1817" s="150">
        <v>0</v>
      </c>
      <c r="AQ1817" s="201">
        <v>0</v>
      </c>
      <c r="AR1817" s="199">
        <v>0</v>
      </c>
      <c r="AS1817" s="150">
        <f t="shared" si="1532"/>
        <v>0</v>
      </c>
      <c r="AT1817" s="155"/>
      <c r="AU1817" s="156">
        <f t="shared" si="1533"/>
        <v>0</v>
      </c>
      <c r="AV1817" s="156">
        <f t="shared" si="1534"/>
        <v>0</v>
      </c>
      <c r="AW1817" s="157"/>
      <c r="AX1817" s="150">
        <v>0</v>
      </c>
      <c r="AY1817" s="150">
        <v>0</v>
      </c>
      <c r="AZ1817" s="150">
        <f t="shared" si="1539"/>
        <v>0</v>
      </c>
      <c r="BA1817" s="150">
        <v>0</v>
      </c>
      <c r="BB1817" s="210"/>
      <c r="BC1817" s="210"/>
      <c r="BD1817" s="210"/>
      <c r="BE1817" s="210"/>
      <c r="BF1817" s="210"/>
      <c r="BG1817" s="210"/>
      <c r="BH1817" s="217"/>
      <c r="BI1817" s="210"/>
      <c r="BJ1817" s="210"/>
      <c r="BK1817" s="210"/>
      <c r="BL1817" s="210"/>
      <c r="BM1817" s="208"/>
      <c r="BN1817" s="160"/>
      <c r="BO1817" s="161">
        <f t="shared" si="1542"/>
        <v>0</v>
      </c>
      <c r="BP1817" s="161"/>
    </row>
    <row r="1818" spans="1:68" ht="63.75">
      <c r="A1818" s="210"/>
      <c r="B1818" s="195" t="s">
        <v>9368</v>
      </c>
      <c r="C1818" s="196" t="s">
        <v>9369</v>
      </c>
      <c r="D1818" s="146" t="s">
        <v>4692</v>
      </c>
      <c r="E1818" s="196" t="s">
        <v>9369</v>
      </c>
      <c r="F1818" s="150">
        <v>0</v>
      </c>
      <c r="G1818" s="209">
        <v>0</v>
      </c>
      <c r="H1818" s="209"/>
      <c r="I1818" s="209">
        <v>0</v>
      </c>
      <c r="J1818" s="150">
        <v>0</v>
      </c>
      <c r="K1818" s="150">
        <v>0</v>
      </c>
      <c r="L1818" s="150">
        <f t="shared" si="1541"/>
        <v>0</v>
      </c>
      <c r="M1818" s="150">
        <v>0</v>
      </c>
      <c r="N1818" s="150">
        <v>0</v>
      </c>
      <c r="O1818" s="150">
        <v>0</v>
      </c>
      <c r="P1818" s="150">
        <v>0</v>
      </c>
      <c r="Q1818" s="150">
        <v>0</v>
      </c>
      <c r="R1818" s="313">
        <f t="shared" si="1528"/>
        <v>0</v>
      </c>
      <c r="S1818" s="150">
        <f t="shared" si="1540"/>
        <v>0</v>
      </c>
      <c r="T1818" s="150">
        <v>0</v>
      </c>
      <c r="U1818" s="150">
        <v>0</v>
      </c>
      <c r="V1818" s="199">
        <v>0</v>
      </c>
      <c r="W1818" s="150">
        <f t="shared" si="1529"/>
        <v>0</v>
      </c>
      <c r="X1818" s="150">
        <v>0</v>
      </c>
      <c r="Y1818" s="150">
        <v>0</v>
      </c>
      <c r="Z1818" s="150">
        <v>0</v>
      </c>
      <c r="AA1818" s="150">
        <f t="shared" si="1535"/>
        <v>0</v>
      </c>
      <c r="AB1818" s="150">
        <v>0</v>
      </c>
      <c r="AC1818" s="199">
        <v>0</v>
      </c>
      <c r="AD1818" s="150">
        <f t="shared" si="1530"/>
        <v>0</v>
      </c>
      <c r="AE1818" s="150">
        <v>0</v>
      </c>
      <c r="AF1818" s="169" t="s">
        <v>4680</v>
      </c>
      <c r="AG1818" s="201">
        <v>0</v>
      </c>
      <c r="AH1818" s="199">
        <v>0</v>
      </c>
      <c r="AI1818" s="150">
        <v>0</v>
      </c>
      <c r="AJ1818" s="169">
        <f t="shared" si="1536"/>
        <v>0</v>
      </c>
      <c r="AK1818" s="201">
        <v>0</v>
      </c>
      <c r="AL1818" s="199">
        <v>0</v>
      </c>
      <c r="AM1818" s="150">
        <f t="shared" si="1531"/>
        <v>0</v>
      </c>
      <c r="AN1818" s="153">
        <f t="shared" si="1537"/>
        <v>0</v>
      </c>
      <c r="AO1818" s="154">
        <f t="shared" si="1538"/>
        <v>0</v>
      </c>
      <c r="AP1818" s="150">
        <v>0</v>
      </c>
      <c r="AQ1818" s="201">
        <v>0</v>
      </c>
      <c r="AR1818" s="199">
        <v>0</v>
      </c>
      <c r="AS1818" s="150">
        <f t="shared" si="1532"/>
        <v>0</v>
      </c>
      <c r="AT1818" s="155"/>
      <c r="AU1818" s="156">
        <f t="shared" si="1533"/>
        <v>0</v>
      </c>
      <c r="AV1818" s="156">
        <f t="shared" si="1534"/>
        <v>0</v>
      </c>
      <c r="AW1818" s="157"/>
      <c r="AX1818" s="150">
        <v>0</v>
      </c>
      <c r="AY1818" s="150">
        <v>0</v>
      </c>
      <c r="AZ1818" s="150">
        <f t="shared" si="1539"/>
        <v>0</v>
      </c>
      <c r="BA1818" s="150">
        <v>0</v>
      </c>
      <c r="BB1818" s="210"/>
      <c r="BC1818" s="210"/>
      <c r="BD1818" s="210"/>
      <c r="BE1818" s="210"/>
      <c r="BF1818" s="210"/>
      <c r="BG1818" s="210"/>
      <c r="BH1818" s="217"/>
      <c r="BI1818" s="210"/>
      <c r="BJ1818" s="210"/>
      <c r="BK1818" s="210"/>
      <c r="BL1818" s="210"/>
      <c r="BM1818" s="208"/>
      <c r="BN1818" s="160"/>
      <c r="BO1818" s="161">
        <f t="shared" si="1542"/>
        <v>0</v>
      </c>
      <c r="BP1818" s="161"/>
    </row>
    <row r="1819" spans="1:68" ht="38.25">
      <c r="A1819" s="210"/>
      <c r="B1819" s="195" t="s">
        <v>9370</v>
      </c>
      <c r="C1819" s="196" t="s">
        <v>9371</v>
      </c>
      <c r="D1819" s="146" t="s">
        <v>4692</v>
      </c>
      <c r="E1819" s="196" t="s">
        <v>9371</v>
      </c>
      <c r="F1819" s="150">
        <v>0</v>
      </c>
      <c r="G1819" s="209">
        <v>0</v>
      </c>
      <c r="H1819" s="209"/>
      <c r="I1819" s="209">
        <v>0</v>
      </c>
      <c r="J1819" s="150">
        <v>0</v>
      </c>
      <c r="K1819" s="150">
        <v>0</v>
      </c>
      <c r="L1819" s="150">
        <f t="shared" si="1541"/>
        <v>0</v>
      </c>
      <c r="M1819" s="150">
        <v>0</v>
      </c>
      <c r="N1819" s="150">
        <v>0</v>
      </c>
      <c r="O1819" s="150">
        <v>0</v>
      </c>
      <c r="P1819" s="150">
        <v>0</v>
      </c>
      <c r="Q1819" s="150">
        <v>0</v>
      </c>
      <c r="R1819" s="313">
        <f t="shared" si="1528"/>
        <v>0</v>
      </c>
      <c r="S1819" s="150">
        <f t="shared" si="1540"/>
        <v>0</v>
      </c>
      <c r="T1819" s="150">
        <v>0</v>
      </c>
      <c r="U1819" s="150">
        <v>0</v>
      </c>
      <c r="V1819" s="199">
        <v>0</v>
      </c>
      <c r="W1819" s="150">
        <f t="shared" si="1529"/>
        <v>0</v>
      </c>
      <c r="X1819" s="150">
        <v>0</v>
      </c>
      <c r="Y1819" s="150">
        <v>0</v>
      </c>
      <c r="Z1819" s="150">
        <v>0</v>
      </c>
      <c r="AA1819" s="150">
        <f t="shared" si="1535"/>
        <v>0</v>
      </c>
      <c r="AB1819" s="150">
        <v>0</v>
      </c>
      <c r="AC1819" s="199">
        <v>0</v>
      </c>
      <c r="AD1819" s="150">
        <f t="shared" si="1530"/>
        <v>0</v>
      </c>
      <c r="AE1819" s="150">
        <v>0</v>
      </c>
      <c r="AF1819" s="169" t="s">
        <v>4680</v>
      </c>
      <c r="AG1819" s="201">
        <v>0</v>
      </c>
      <c r="AH1819" s="199">
        <v>0</v>
      </c>
      <c r="AI1819" s="150">
        <v>0</v>
      </c>
      <c r="AJ1819" s="169">
        <f t="shared" si="1536"/>
        <v>0</v>
      </c>
      <c r="AK1819" s="201">
        <v>0</v>
      </c>
      <c r="AL1819" s="199">
        <v>0</v>
      </c>
      <c r="AM1819" s="150">
        <f t="shared" si="1531"/>
        <v>0</v>
      </c>
      <c r="AN1819" s="153">
        <f t="shared" si="1537"/>
        <v>0</v>
      </c>
      <c r="AO1819" s="154">
        <f t="shared" si="1538"/>
        <v>0</v>
      </c>
      <c r="AP1819" s="150">
        <v>0</v>
      </c>
      <c r="AQ1819" s="201">
        <v>0</v>
      </c>
      <c r="AR1819" s="199">
        <v>0</v>
      </c>
      <c r="AS1819" s="150">
        <f t="shared" si="1532"/>
        <v>0</v>
      </c>
      <c r="AT1819" s="155"/>
      <c r="AU1819" s="156">
        <f t="shared" si="1533"/>
        <v>0</v>
      </c>
      <c r="AV1819" s="156">
        <f t="shared" si="1534"/>
        <v>0</v>
      </c>
      <c r="AW1819" s="157"/>
      <c r="AX1819" s="150">
        <v>0</v>
      </c>
      <c r="AY1819" s="150">
        <v>0</v>
      </c>
      <c r="AZ1819" s="150">
        <f t="shared" si="1539"/>
        <v>0</v>
      </c>
      <c r="BA1819" s="150">
        <v>0</v>
      </c>
      <c r="BB1819" s="210"/>
      <c r="BC1819" s="210"/>
      <c r="BD1819" s="210"/>
      <c r="BE1819" s="210"/>
      <c r="BF1819" s="210"/>
      <c r="BG1819" s="210"/>
      <c r="BH1819" s="217"/>
      <c r="BI1819" s="210"/>
      <c r="BJ1819" s="210"/>
      <c r="BK1819" s="210"/>
      <c r="BL1819" s="210"/>
      <c r="BM1819" s="208"/>
      <c r="BN1819" s="160"/>
      <c r="BO1819" s="161">
        <f t="shared" si="1542"/>
        <v>0</v>
      </c>
      <c r="BP1819" s="161"/>
    </row>
    <row r="1820" spans="1:68" ht="63.75">
      <c r="A1820" s="210"/>
      <c r="B1820" s="195" t="s">
        <v>9372</v>
      </c>
      <c r="C1820" s="196" t="s">
        <v>9373</v>
      </c>
      <c r="D1820" s="146" t="s">
        <v>4692</v>
      </c>
      <c r="E1820" s="196" t="s">
        <v>9373</v>
      </c>
      <c r="F1820" s="150">
        <v>0</v>
      </c>
      <c r="G1820" s="209">
        <v>2987398.0700000003</v>
      </c>
      <c r="H1820" s="209">
        <v>547708.57312729582</v>
      </c>
      <c r="I1820" s="209">
        <v>3535106.6431272957</v>
      </c>
      <c r="J1820" s="150">
        <v>0</v>
      </c>
      <c r="K1820" s="150">
        <v>0</v>
      </c>
      <c r="L1820" s="150">
        <f t="shared" si="1541"/>
        <v>0</v>
      </c>
      <c r="M1820" s="150">
        <v>0</v>
      </c>
      <c r="N1820" s="150">
        <v>0</v>
      </c>
      <c r="O1820" s="150">
        <v>0</v>
      </c>
      <c r="P1820" s="150">
        <v>0</v>
      </c>
      <c r="Q1820" s="150">
        <v>0</v>
      </c>
      <c r="R1820" s="313">
        <f t="shared" si="1528"/>
        <v>0</v>
      </c>
      <c r="S1820" s="150">
        <f t="shared" si="1540"/>
        <v>0</v>
      </c>
      <c r="T1820" s="150">
        <v>0</v>
      </c>
      <c r="U1820" s="150">
        <v>0</v>
      </c>
      <c r="V1820" s="199">
        <v>0</v>
      </c>
      <c r="W1820" s="150">
        <f t="shared" si="1529"/>
        <v>0</v>
      </c>
      <c r="X1820" s="150">
        <v>0</v>
      </c>
      <c r="Y1820" s="150">
        <v>0</v>
      </c>
      <c r="Z1820" s="150">
        <v>0</v>
      </c>
      <c r="AA1820" s="150">
        <f t="shared" si="1535"/>
        <v>0</v>
      </c>
      <c r="AB1820" s="150">
        <v>0</v>
      </c>
      <c r="AC1820" s="199">
        <v>0</v>
      </c>
      <c r="AD1820" s="150">
        <f t="shared" si="1530"/>
        <v>0</v>
      </c>
      <c r="AE1820" s="150">
        <v>0</v>
      </c>
      <c r="AF1820" s="169" t="s">
        <v>4680</v>
      </c>
      <c r="AG1820" s="201">
        <v>0</v>
      </c>
      <c r="AH1820" s="199">
        <v>0</v>
      </c>
      <c r="AI1820" s="150">
        <v>0</v>
      </c>
      <c r="AJ1820" s="169">
        <f t="shared" si="1536"/>
        <v>0</v>
      </c>
      <c r="AK1820" s="201">
        <v>0</v>
      </c>
      <c r="AL1820" s="199">
        <v>0</v>
      </c>
      <c r="AM1820" s="150">
        <f t="shared" si="1531"/>
        <v>0</v>
      </c>
      <c r="AN1820" s="153">
        <f t="shared" si="1537"/>
        <v>0</v>
      </c>
      <c r="AO1820" s="154">
        <f t="shared" si="1538"/>
        <v>0</v>
      </c>
      <c r="AP1820" s="150">
        <v>0</v>
      </c>
      <c r="AQ1820" s="201">
        <v>0</v>
      </c>
      <c r="AR1820" s="199">
        <v>0</v>
      </c>
      <c r="AS1820" s="150">
        <f t="shared" si="1532"/>
        <v>0</v>
      </c>
      <c r="AT1820" s="155"/>
      <c r="AU1820" s="156">
        <f t="shared" si="1533"/>
        <v>0</v>
      </c>
      <c r="AV1820" s="156">
        <f t="shared" si="1534"/>
        <v>0</v>
      </c>
      <c r="AW1820" s="157"/>
      <c r="AX1820" s="150">
        <v>0</v>
      </c>
      <c r="AY1820" s="150">
        <v>0</v>
      </c>
      <c r="AZ1820" s="150">
        <f t="shared" si="1539"/>
        <v>0</v>
      </c>
      <c r="BA1820" s="150">
        <v>0</v>
      </c>
      <c r="BB1820" s="210"/>
      <c r="BC1820" s="210"/>
      <c r="BD1820" s="210"/>
      <c r="BE1820" s="210"/>
      <c r="BF1820" s="210"/>
      <c r="BG1820" s="210"/>
      <c r="BH1820" s="217"/>
      <c r="BI1820" s="210"/>
      <c r="BJ1820" s="210"/>
      <c r="BK1820" s="210"/>
      <c r="BL1820" s="210"/>
      <c r="BM1820" s="208"/>
      <c r="BN1820" s="160"/>
      <c r="BO1820" s="161">
        <f t="shared" si="1542"/>
        <v>0</v>
      </c>
      <c r="BP1820" s="161"/>
    </row>
    <row r="1821" spans="1:68" ht="25.5">
      <c r="A1821" s="262" t="s">
        <v>598</v>
      </c>
      <c r="B1821" s="163"/>
      <c r="C1821" s="164" t="s">
        <v>9374</v>
      </c>
      <c r="D1821" s="146" t="s">
        <v>4692</v>
      </c>
      <c r="E1821" s="164" t="s">
        <v>9374</v>
      </c>
      <c r="F1821" s="165">
        <v>3535107.0700000003</v>
      </c>
      <c r="G1821" s="166">
        <v>568418.89000000013</v>
      </c>
      <c r="H1821" s="166">
        <v>203920.38806937498</v>
      </c>
      <c r="I1821" s="166">
        <v>772339.27806937497</v>
      </c>
      <c r="J1821" s="165">
        <f>J1822+J1880</f>
        <v>782132.53</v>
      </c>
      <c r="K1821" s="165">
        <f>K1822+K1880</f>
        <v>302993.44</v>
      </c>
      <c r="L1821" s="165">
        <f t="shared" si="1541"/>
        <v>1085125.97</v>
      </c>
      <c r="M1821" s="167">
        <v>1683019.8900000001</v>
      </c>
      <c r="N1821" s="167">
        <v>590940.02448831755</v>
      </c>
      <c r="O1821" s="167">
        <v>2273959.9144883174</v>
      </c>
      <c r="P1821" s="232">
        <f t="shared" ref="P1821:R1821" si="1543">P1822+P1880</f>
        <v>2523324.0699999998</v>
      </c>
      <c r="Q1821" s="232">
        <f t="shared" si="1543"/>
        <v>853943.17556306801</v>
      </c>
      <c r="R1821" s="232">
        <f t="shared" si="1543"/>
        <v>3377267.2455630675</v>
      </c>
      <c r="S1821" s="150">
        <f t="shared" si="1540"/>
        <v>4503022.99408409</v>
      </c>
      <c r="T1821" s="347">
        <f>+T1822+T1880</f>
        <v>4627491.6399999997</v>
      </c>
      <c r="U1821" s="232">
        <f t="shared" ref="U1821:W1821" si="1544">U1822+U1880</f>
        <v>3593332.6200000006</v>
      </c>
      <c r="V1821" s="233">
        <f t="shared" si="1544"/>
        <v>1037280.8734578679</v>
      </c>
      <c r="W1821" s="232">
        <f t="shared" si="1544"/>
        <v>4630613.4934578687</v>
      </c>
      <c r="X1821" s="232">
        <v>3593332.6200000006</v>
      </c>
      <c r="Y1821" s="232">
        <v>1037280.8734578679</v>
      </c>
      <c r="Z1821" s="232">
        <v>4630613.4934578687</v>
      </c>
      <c r="AA1821" s="232">
        <f t="shared" si="1535"/>
        <v>-3121.8534578680992</v>
      </c>
      <c r="AB1821" s="232">
        <v>3593332.6200000006</v>
      </c>
      <c r="AC1821" s="233">
        <v>1034159.02</v>
      </c>
      <c r="AD1821" s="232">
        <f t="shared" ref="AD1821" si="1545">AD1822+AD1880</f>
        <v>4627491.6400000006</v>
      </c>
      <c r="AE1821" s="232">
        <v>4627491.6400000006</v>
      </c>
      <c r="AF1821" s="169" t="s">
        <v>4680</v>
      </c>
      <c r="AG1821" s="234">
        <v>3593332.6200000006</v>
      </c>
      <c r="AH1821" s="233">
        <v>1034159.02</v>
      </c>
      <c r="AI1821" s="232">
        <v>4627491.6400000006</v>
      </c>
      <c r="AJ1821" s="169">
        <f t="shared" si="1536"/>
        <v>0</v>
      </c>
      <c r="AK1821" s="234">
        <v>3593332.6200000006</v>
      </c>
      <c r="AL1821" s="233">
        <v>1034159.02</v>
      </c>
      <c r="AM1821" s="232">
        <f t="shared" ref="AM1821" si="1546">AM1822+AM1880</f>
        <v>4627491.6400000006</v>
      </c>
      <c r="AN1821" s="153">
        <f t="shared" si="1537"/>
        <v>0</v>
      </c>
      <c r="AO1821" s="154">
        <f t="shared" si="1538"/>
        <v>0</v>
      </c>
      <c r="AP1821" s="232">
        <v>4627491.6400000006</v>
      </c>
      <c r="AQ1821" s="234">
        <v>4627491.6399999997</v>
      </c>
      <c r="AR1821" s="233">
        <f t="shared" ref="AR1821:AS1821" si="1547">AR1822+AR1880</f>
        <v>0</v>
      </c>
      <c r="AS1821" s="232">
        <f t="shared" si="1547"/>
        <v>4627491.6399999997</v>
      </c>
      <c r="AT1821" s="155"/>
      <c r="AU1821" s="156">
        <f t="shared" si="1533"/>
        <v>0</v>
      </c>
      <c r="AV1821" s="156">
        <f t="shared" si="1534"/>
        <v>-3121.8534578680992</v>
      </c>
      <c r="AW1821" s="157"/>
      <c r="AX1821" s="150">
        <v>4630613.4934578687</v>
      </c>
      <c r="AY1821" s="232">
        <f t="shared" ref="AY1821:BA1821" si="1548">AY1822+AY1880</f>
        <v>1954980.3399999999</v>
      </c>
      <c r="AZ1821" s="232">
        <f t="shared" si="1548"/>
        <v>2677284.1389766354</v>
      </c>
      <c r="BA1821" s="232">
        <f t="shared" si="1548"/>
        <v>4632264.4789766353</v>
      </c>
      <c r="BB1821" s="263">
        <v>5</v>
      </c>
      <c r="BC1821" s="262" t="s">
        <v>766</v>
      </c>
      <c r="BD1821" s="262" t="s">
        <v>630</v>
      </c>
      <c r="BE1821" s="162" t="s">
        <v>630</v>
      </c>
      <c r="BF1821" s="262" t="s">
        <v>630</v>
      </c>
      <c r="BG1821" s="164" t="s">
        <v>9374</v>
      </c>
      <c r="BH1821" s="235">
        <f>BH1822+BH1880</f>
        <v>4627491.6399999997</v>
      </c>
      <c r="BI1821" s="263"/>
      <c r="BJ1821" s="262" t="s">
        <v>9375</v>
      </c>
      <c r="BK1821" s="262" t="s">
        <v>598</v>
      </c>
      <c r="BL1821" s="172" t="s">
        <v>9376</v>
      </c>
      <c r="BM1821" s="349">
        <f>BM1822+BM1880</f>
        <v>4627491.6399999997</v>
      </c>
      <c r="BN1821" s="160"/>
      <c r="BO1821" s="161">
        <f t="shared" si="1542"/>
        <v>0</v>
      </c>
      <c r="BP1821" s="161"/>
    </row>
    <row r="1822" spans="1:68" ht="25.5">
      <c r="A1822" s="255" t="s">
        <v>599</v>
      </c>
      <c r="B1822" s="174"/>
      <c r="C1822" s="175" t="s">
        <v>104</v>
      </c>
      <c r="D1822" s="146" t="s">
        <v>4692</v>
      </c>
      <c r="E1822" s="175" t="s">
        <v>104</v>
      </c>
      <c r="F1822" s="176">
        <v>772339.89000000013</v>
      </c>
      <c r="G1822" s="177">
        <v>508121.96000000008</v>
      </c>
      <c r="H1822" s="177">
        <v>161151.33666974999</v>
      </c>
      <c r="I1822" s="177">
        <v>669273.29666975001</v>
      </c>
      <c r="J1822" s="176">
        <f>J1823+J1851+J1878</f>
        <v>149311.66999999998</v>
      </c>
      <c r="K1822" s="176">
        <f>K1823+K1851+K1878</f>
        <v>72657.679999999993</v>
      </c>
      <c r="L1822" s="176">
        <f t="shared" si="1541"/>
        <v>221969.34999999998</v>
      </c>
      <c r="M1822" s="178">
        <v>340493.19000000006</v>
      </c>
      <c r="N1822" s="178">
        <v>168633.31508197432</v>
      </c>
      <c r="O1822" s="178">
        <v>509126.50508197438</v>
      </c>
      <c r="P1822" s="221">
        <f t="shared" ref="P1822:R1822" si="1549">P1823+P1851+P1878</f>
        <v>547105.59</v>
      </c>
      <c r="Q1822" s="221">
        <f t="shared" si="1549"/>
        <v>199828.49341712813</v>
      </c>
      <c r="R1822" s="221">
        <f t="shared" si="1549"/>
        <v>746934.08341712807</v>
      </c>
      <c r="S1822" s="150">
        <f t="shared" si="1540"/>
        <v>995912.11122283735</v>
      </c>
      <c r="T1822" s="347">
        <f>T1823+T1851</f>
        <v>1055304.1599999999</v>
      </c>
      <c r="U1822" s="221">
        <f t="shared" ref="U1822:W1822" si="1550">U1823+U1851+U1878</f>
        <v>790564.18</v>
      </c>
      <c r="V1822" s="222">
        <f t="shared" si="1550"/>
        <v>239641.91059661499</v>
      </c>
      <c r="W1822" s="221">
        <f t="shared" si="1550"/>
        <v>1030206.090596615</v>
      </c>
      <c r="X1822" s="221">
        <v>790564.18</v>
      </c>
      <c r="Y1822" s="221">
        <v>239641.91059661499</v>
      </c>
      <c r="Z1822" s="221">
        <v>1030206.090596615</v>
      </c>
      <c r="AA1822" s="221">
        <f t="shared" si="1535"/>
        <v>25098.069403384929</v>
      </c>
      <c r="AB1822" s="221">
        <v>790564.18</v>
      </c>
      <c r="AC1822" s="222">
        <v>264739.98</v>
      </c>
      <c r="AD1822" s="221">
        <f t="shared" ref="AD1822" si="1551">AD1823+AD1851+AD1878</f>
        <v>1055304.1599999999</v>
      </c>
      <c r="AE1822" s="221">
        <v>1055304.1599999999</v>
      </c>
      <c r="AF1822" s="169" t="s">
        <v>4680</v>
      </c>
      <c r="AG1822" s="223">
        <v>790564.18</v>
      </c>
      <c r="AH1822" s="222">
        <v>264739.98</v>
      </c>
      <c r="AI1822" s="221">
        <v>1055304.1599999999</v>
      </c>
      <c r="AJ1822" s="169">
        <f t="shared" si="1536"/>
        <v>0</v>
      </c>
      <c r="AK1822" s="223">
        <v>790564.18</v>
      </c>
      <c r="AL1822" s="222">
        <v>264739.98</v>
      </c>
      <c r="AM1822" s="221">
        <f t="shared" ref="AM1822" si="1552">AM1823+AM1851+AM1878</f>
        <v>1055304.1599999999</v>
      </c>
      <c r="AN1822" s="153">
        <f t="shared" si="1537"/>
        <v>0</v>
      </c>
      <c r="AO1822" s="154">
        <f t="shared" si="1538"/>
        <v>0</v>
      </c>
      <c r="AP1822" s="221">
        <v>1055304.1599999999</v>
      </c>
      <c r="AQ1822" s="223">
        <v>1055304.1599999999</v>
      </c>
      <c r="AR1822" s="222">
        <f t="shared" ref="AR1822:AS1822" si="1553">AR1823+AR1851+AR1878</f>
        <v>0</v>
      </c>
      <c r="AS1822" s="221">
        <f t="shared" si="1553"/>
        <v>1055304.1599999999</v>
      </c>
      <c r="AT1822" s="155"/>
      <c r="AU1822" s="156">
        <f t="shared" si="1533"/>
        <v>0</v>
      </c>
      <c r="AV1822" s="156">
        <f t="shared" si="1534"/>
        <v>25098.069403384929</v>
      </c>
      <c r="AW1822" s="157"/>
      <c r="AX1822" s="150">
        <v>1030206.090596615</v>
      </c>
      <c r="AY1822" s="221">
        <f t="shared" ref="AY1822:BA1822" si="1554">AY1823+AY1851+AY1878</f>
        <v>403917.17</v>
      </c>
      <c r="AZ1822" s="221">
        <f t="shared" si="1554"/>
        <v>698680.49016394874</v>
      </c>
      <c r="BA1822" s="221">
        <f t="shared" si="1554"/>
        <v>1102597.6601639488</v>
      </c>
      <c r="BB1822" s="254">
        <v>5</v>
      </c>
      <c r="BC1822" s="255" t="s">
        <v>766</v>
      </c>
      <c r="BD1822" s="255" t="s">
        <v>632</v>
      </c>
      <c r="BE1822" s="173" t="s">
        <v>630</v>
      </c>
      <c r="BF1822" s="255" t="s">
        <v>630</v>
      </c>
      <c r="BG1822" s="175" t="s">
        <v>104</v>
      </c>
      <c r="BH1822" s="224">
        <f>BH1823+BH1851+BH1878</f>
        <v>1055304.1599999999</v>
      </c>
      <c r="BI1822" s="254"/>
      <c r="BJ1822" s="255" t="s">
        <v>9377</v>
      </c>
      <c r="BK1822" s="255" t="s">
        <v>599</v>
      </c>
      <c r="BL1822" s="182" t="s">
        <v>9378</v>
      </c>
      <c r="BM1822" s="337">
        <f>BM1823+BM1851+BM1878</f>
        <v>1055304.1599999999</v>
      </c>
      <c r="BN1822" s="160"/>
      <c r="BO1822" s="161">
        <f t="shared" si="1542"/>
        <v>0</v>
      </c>
      <c r="BP1822" s="161"/>
    </row>
    <row r="1823" spans="1:68" ht="38.25">
      <c r="A1823" s="256" t="s">
        <v>600</v>
      </c>
      <c r="B1823" s="184"/>
      <c r="C1823" s="185" t="s">
        <v>105</v>
      </c>
      <c r="D1823" s="146" t="s">
        <v>4692</v>
      </c>
      <c r="E1823" s="185" t="s">
        <v>105</v>
      </c>
      <c r="F1823" s="188">
        <v>669272.96000000008</v>
      </c>
      <c r="G1823" s="187">
        <v>287778.96000000002</v>
      </c>
      <c r="H1823" s="187">
        <v>0</v>
      </c>
      <c r="I1823" s="187">
        <v>287778.96000000002</v>
      </c>
      <c r="J1823" s="188">
        <f>SUM(J1824:J1850)</f>
        <v>134116.78</v>
      </c>
      <c r="K1823" s="188">
        <f>SUM(K1824:K1850)</f>
        <v>60808.299999999996</v>
      </c>
      <c r="L1823" s="188">
        <f t="shared" si="1541"/>
        <v>194925.08</v>
      </c>
      <c r="M1823" s="188">
        <v>309122.85000000003</v>
      </c>
      <c r="N1823" s="188">
        <v>143672.14496305125</v>
      </c>
      <c r="O1823" s="188">
        <v>452794.99496305129</v>
      </c>
      <c r="P1823" s="299">
        <f t="shared" ref="P1823:R1823" si="1555">SUM(P1824:P1850)</f>
        <v>498464.12</v>
      </c>
      <c r="Q1823" s="299">
        <f t="shared" si="1555"/>
        <v>162991.86662074353</v>
      </c>
      <c r="R1823" s="299">
        <f t="shared" si="1555"/>
        <v>661455.98662074341</v>
      </c>
      <c r="S1823" s="150">
        <f t="shared" si="1540"/>
        <v>881941.31549432455</v>
      </c>
      <c r="T1823" s="347">
        <f>SUM(T1824:T1850)</f>
        <v>940729.73</v>
      </c>
      <c r="U1823" s="299">
        <f t="shared" ref="U1823:W1823" si="1556">SUM(U1824:U1850)</f>
        <v>720304.28</v>
      </c>
      <c r="V1823" s="226">
        <f t="shared" si="1556"/>
        <v>181570.73486810215</v>
      </c>
      <c r="W1823" s="299">
        <f t="shared" si="1556"/>
        <v>901875.01486810215</v>
      </c>
      <c r="X1823" s="299">
        <v>720304.28</v>
      </c>
      <c r="Y1823" s="299">
        <v>181570.73486810215</v>
      </c>
      <c r="Z1823" s="299">
        <v>901875.01486810215</v>
      </c>
      <c r="AA1823" s="299">
        <f t="shared" si="1535"/>
        <v>38854.715131897829</v>
      </c>
      <c r="AB1823" s="299">
        <v>720304.28</v>
      </c>
      <c r="AC1823" s="226">
        <v>220425.45</v>
      </c>
      <c r="AD1823" s="299">
        <f t="shared" ref="AD1823" si="1557">SUM(AD1824:AD1850)</f>
        <v>940729.73</v>
      </c>
      <c r="AE1823" s="299">
        <v>940729.73</v>
      </c>
      <c r="AF1823" s="169" t="s">
        <v>4680</v>
      </c>
      <c r="AG1823" s="301">
        <v>720304.28</v>
      </c>
      <c r="AH1823" s="226">
        <v>220425.45</v>
      </c>
      <c r="AI1823" s="299">
        <v>940729.73</v>
      </c>
      <c r="AJ1823" s="169">
        <f t="shared" si="1536"/>
        <v>0</v>
      </c>
      <c r="AK1823" s="301">
        <v>720304.28</v>
      </c>
      <c r="AL1823" s="226">
        <v>220425.45</v>
      </c>
      <c r="AM1823" s="299">
        <f t="shared" ref="AM1823" si="1558">SUM(AM1824:AM1850)</f>
        <v>940729.73</v>
      </c>
      <c r="AN1823" s="153">
        <f t="shared" si="1537"/>
        <v>0</v>
      </c>
      <c r="AO1823" s="154">
        <f t="shared" si="1538"/>
        <v>0</v>
      </c>
      <c r="AP1823" s="299">
        <v>940729.73</v>
      </c>
      <c r="AQ1823" s="301">
        <v>940729.73</v>
      </c>
      <c r="AR1823" s="226">
        <f t="shared" ref="AR1823:AS1823" si="1559">SUM(AR1824:AR1850)</f>
        <v>0</v>
      </c>
      <c r="AS1823" s="299">
        <f t="shared" si="1559"/>
        <v>940729.73</v>
      </c>
      <c r="AT1823" s="155"/>
      <c r="AU1823" s="156">
        <f t="shared" si="1533"/>
        <v>0</v>
      </c>
      <c r="AV1823" s="156">
        <f t="shared" si="1534"/>
        <v>38854.715131897829</v>
      </c>
      <c r="AW1823" s="157"/>
      <c r="AX1823" s="150">
        <v>901875.01486810215</v>
      </c>
      <c r="AY1823" s="299">
        <f t="shared" ref="AY1823:BA1823" si="1560">SUM(AY1824:AY1850)</f>
        <v>367318.44</v>
      </c>
      <c r="AZ1823" s="299">
        <f t="shared" si="1560"/>
        <v>572616.19992610253</v>
      </c>
      <c r="BA1823" s="299">
        <f t="shared" si="1560"/>
        <v>939934.63992610259</v>
      </c>
      <c r="BB1823" s="192">
        <v>5</v>
      </c>
      <c r="BC1823" s="256" t="s">
        <v>766</v>
      </c>
      <c r="BD1823" s="256" t="s">
        <v>632</v>
      </c>
      <c r="BE1823" s="256" t="s">
        <v>632</v>
      </c>
      <c r="BF1823" s="256" t="s">
        <v>630</v>
      </c>
      <c r="BG1823" s="185" t="s">
        <v>105</v>
      </c>
      <c r="BH1823" s="215">
        <f>BH1824+BH1826+BH1827+BH1828+BH1829+BH1837+BH1838+BH1850</f>
        <v>940729.73</v>
      </c>
      <c r="BI1823" s="192"/>
      <c r="BJ1823" s="256" t="s">
        <v>9379</v>
      </c>
      <c r="BK1823" s="256" t="s">
        <v>600</v>
      </c>
      <c r="BL1823" s="238" t="s">
        <v>9380</v>
      </c>
      <c r="BM1823" s="338">
        <f>BM1824+BM1826+BM1827+BM1828+BM1829+BM1837+BM1838+BM1850</f>
        <v>940729.73</v>
      </c>
      <c r="BN1823" s="160"/>
      <c r="BO1823" s="161">
        <f t="shared" si="1542"/>
        <v>0</v>
      </c>
      <c r="BP1823" s="161"/>
    </row>
    <row r="1824" spans="1:68" ht="51">
      <c r="A1824" s="206" t="s">
        <v>600</v>
      </c>
      <c r="B1824" s="195" t="s">
        <v>9381</v>
      </c>
      <c r="C1824" s="196" t="s">
        <v>9382</v>
      </c>
      <c r="D1824" s="146" t="s">
        <v>4692</v>
      </c>
      <c r="E1824" s="196" t="s">
        <v>9382</v>
      </c>
      <c r="F1824" s="150">
        <v>287778.96000000002</v>
      </c>
      <c r="G1824" s="209">
        <v>0</v>
      </c>
      <c r="H1824" s="209">
        <v>0</v>
      </c>
      <c r="I1824" s="209">
        <v>0</v>
      </c>
      <c r="J1824" s="150">
        <v>74278.259999999995</v>
      </c>
      <c r="K1824" s="150">
        <v>7841.31</v>
      </c>
      <c r="L1824" s="150">
        <f t="shared" si="1541"/>
        <v>82119.569999999992</v>
      </c>
      <c r="M1824" s="150">
        <v>165719.53</v>
      </c>
      <c r="N1824" s="150">
        <v>17494.458383666642</v>
      </c>
      <c r="O1824" s="150">
        <v>183213.98838366664</v>
      </c>
      <c r="P1824" s="150">
        <v>264641.96999999997</v>
      </c>
      <c r="Q1824" s="150">
        <v>3568.3929696666687</v>
      </c>
      <c r="R1824" s="313">
        <f t="shared" ref="R1824:R1850" si="1561">P1824+Q1824</f>
        <v>268210.36296966666</v>
      </c>
      <c r="S1824" s="150">
        <f t="shared" si="1540"/>
        <v>357613.81729288888</v>
      </c>
      <c r="T1824" s="150">
        <v>379925.53</v>
      </c>
      <c r="U1824" s="150">
        <v>379925.53</v>
      </c>
      <c r="V1824" s="199">
        <v>0</v>
      </c>
      <c r="W1824" s="150">
        <f t="shared" ref="W1824:W1850" si="1562">U1824+V1824</f>
        <v>379925.53</v>
      </c>
      <c r="X1824" s="150">
        <v>379925.53</v>
      </c>
      <c r="Y1824" s="150">
        <v>0</v>
      </c>
      <c r="Z1824" s="150">
        <v>379925.53</v>
      </c>
      <c r="AA1824" s="150">
        <f t="shared" si="1535"/>
        <v>0</v>
      </c>
      <c r="AB1824" s="150">
        <v>379925.53</v>
      </c>
      <c r="AC1824" s="199">
        <v>0</v>
      </c>
      <c r="AD1824" s="150">
        <f t="shared" ref="AD1824:AD1850" si="1563">AB1824+AC1824</f>
        <v>379925.53</v>
      </c>
      <c r="AE1824" s="150">
        <v>379925.53</v>
      </c>
      <c r="AF1824" s="169" t="s">
        <v>4680</v>
      </c>
      <c r="AG1824" s="201">
        <v>379925.53</v>
      </c>
      <c r="AH1824" s="199">
        <v>0</v>
      </c>
      <c r="AI1824" s="150">
        <v>379925.53</v>
      </c>
      <c r="AJ1824" s="169">
        <f t="shared" si="1536"/>
        <v>0</v>
      </c>
      <c r="AK1824" s="201">
        <v>379925.53</v>
      </c>
      <c r="AL1824" s="199">
        <v>0</v>
      </c>
      <c r="AM1824" s="150">
        <f t="shared" ref="AM1824:AM1850" si="1564">AK1824+AL1824</f>
        <v>379925.53</v>
      </c>
      <c r="AN1824" s="153">
        <f t="shared" si="1537"/>
        <v>0</v>
      </c>
      <c r="AO1824" s="154">
        <f t="shared" si="1538"/>
        <v>0</v>
      </c>
      <c r="AP1824" s="150">
        <v>379925.53</v>
      </c>
      <c r="AQ1824" s="201">
        <v>379925.53</v>
      </c>
      <c r="AR1824" s="199">
        <v>0</v>
      </c>
      <c r="AS1824" s="150">
        <f t="shared" ref="AS1824:AS1850" si="1565">AQ1824+AR1824</f>
        <v>379925.53</v>
      </c>
      <c r="AT1824" s="155"/>
      <c r="AU1824" s="156">
        <f t="shared" si="1533"/>
        <v>0</v>
      </c>
      <c r="AV1824" s="156">
        <f t="shared" si="1534"/>
        <v>0</v>
      </c>
      <c r="AW1824" s="157"/>
      <c r="AX1824" s="150">
        <v>379925.53</v>
      </c>
      <c r="AY1824" s="150">
        <v>196089.69</v>
      </c>
      <c r="AZ1824" s="150">
        <f>BA1824-AY1824</f>
        <v>204682.9367673333</v>
      </c>
      <c r="BA1824" s="150">
        <v>400772.62676733331</v>
      </c>
      <c r="BB1824" s="202">
        <v>5</v>
      </c>
      <c r="BC1824" s="202" t="s">
        <v>766</v>
      </c>
      <c r="BD1824" s="202" t="s">
        <v>632</v>
      </c>
      <c r="BE1824" s="202" t="s">
        <v>632</v>
      </c>
      <c r="BF1824" s="202" t="s">
        <v>632</v>
      </c>
      <c r="BG1824" s="231" t="s">
        <v>9383</v>
      </c>
      <c r="BH1824" s="216">
        <f>SUM(AS1824:AS1825)</f>
        <v>379925.53</v>
      </c>
      <c r="BI1824" s="205"/>
      <c r="BJ1824" s="206" t="s">
        <v>9379</v>
      </c>
      <c r="BK1824" s="206" t="s">
        <v>600</v>
      </c>
      <c r="BL1824" s="207" t="s">
        <v>9380</v>
      </c>
      <c r="BM1824" s="208">
        <f>BH1824</f>
        <v>379925.53</v>
      </c>
      <c r="BN1824" s="160"/>
      <c r="BO1824" s="161">
        <f t="shared" si="1542"/>
        <v>0</v>
      </c>
      <c r="BP1824" s="161"/>
    </row>
    <row r="1825" spans="1:68" ht="51">
      <c r="A1825" s="210"/>
      <c r="B1825" s="195" t="s">
        <v>9384</v>
      </c>
      <c r="C1825" s="196" t="s">
        <v>9385</v>
      </c>
      <c r="D1825" s="146" t="s">
        <v>4692</v>
      </c>
      <c r="E1825" s="196" t="s">
        <v>9386</v>
      </c>
      <c r="F1825" s="150">
        <v>0</v>
      </c>
      <c r="G1825" s="209">
        <v>96493.2</v>
      </c>
      <c r="H1825" s="209">
        <v>47628.016874999987</v>
      </c>
      <c r="I1825" s="209">
        <v>144121.21687499998</v>
      </c>
      <c r="J1825" s="150">
        <v>0</v>
      </c>
      <c r="K1825" s="150">
        <v>0</v>
      </c>
      <c r="L1825" s="150">
        <f t="shared" si="1541"/>
        <v>0</v>
      </c>
      <c r="M1825" s="150">
        <v>0</v>
      </c>
      <c r="N1825" s="150">
        <v>0</v>
      </c>
      <c r="O1825" s="150">
        <v>0</v>
      </c>
      <c r="P1825" s="150">
        <v>0</v>
      </c>
      <c r="Q1825" s="150">
        <v>0</v>
      </c>
      <c r="R1825" s="313">
        <f t="shared" si="1561"/>
        <v>0</v>
      </c>
      <c r="S1825" s="150">
        <f t="shared" si="1540"/>
        <v>0</v>
      </c>
      <c r="T1825" s="150">
        <v>0</v>
      </c>
      <c r="U1825" s="150">
        <v>0</v>
      </c>
      <c r="V1825" s="199">
        <v>0</v>
      </c>
      <c r="W1825" s="150">
        <f t="shared" si="1562"/>
        <v>0</v>
      </c>
      <c r="X1825" s="150">
        <v>0</v>
      </c>
      <c r="Y1825" s="150">
        <v>0</v>
      </c>
      <c r="Z1825" s="150">
        <v>0</v>
      </c>
      <c r="AA1825" s="150">
        <f t="shared" si="1535"/>
        <v>0</v>
      </c>
      <c r="AB1825" s="150">
        <v>0</v>
      </c>
      <c r="AC1825" s="199">
        <v>0</v>
      </c>
      <c r="AD1825" s="150">
        <f t="shared" si="1563"/>
        <v>0</v>
      </c>
      <c r="AE1825" s="150">
        <v>0</v>
      </c>
      <c r="AF1825" s="169" t="s">
        <v>4680</v>
      </c>
      <c r="AG1825" s="201">
        <v>0</v>
      </c>
      <c r="AH1825" s="199">
        <v>0</v>
      </c>
      <c r="AI1825" s="150">
        <v>0</v>
      </c>
      <c r="AJ1825" s="169">
        <f t="shared" si="1536"/>
        <v>0</v>
      </c>
      <c r="AK1825" s="201">
        <v>0</v>
      </c>
      <c r="AL1825" s="199">
        <v>0</v>
      </c>
      <c r="AM1825" s="150">
        <f t="shared" si="1564"/>
        <v>0</v>
      </c>
      <c r="AN1825" s="153">
        <f t="shared" si="1537"/>
        <v>0</v>
      </c>
      <c r="AO1825" s="154">
        <f t="shared" si="1538"/>
        <v>0</v>
      </c>
      <c r="AP1825" s="150">
        <v>0</v>
      </c>
      <c r="AQ1825" s="201">
        <v>0</v>
      </c>
      <c r="AR1825" s="199">
        <v>0</v>
      </c>
      <c r="AS1825" s="150">
        <f t="shared" si="1565"/>
        <v>0</v>
      </c>
      <c r="AT1825" s="155"/>
      <c r="AU1825" s="156">
        <f t="shared" si="1533"/>
        <v>0</v>
      </c>
      <c r="AV1825" s="156">
        <f t="shared" si="1534"/>
        <v>0</v>
      </c>
      <c r="AW1825" s="157"/>
      <c r="AX1825" s="150">
        <v>0</v>
      </c>
      <c r="AY1825" s="150">
        <v>0</v>
      </c>
      <c r="AZ1825" s="150">
        <f t="shared" ref="AZ1825:AZ1877" si="1566">BA1825-AY1825</f>
        <v>0</v>
      </c>
      <c r="BA1825" s="150">
        <v>0</v>
      </c>
      <c r="BB1825" s="210"/>
      <c r="BC1825" s="210"/>
      <c r="BD1825" s="210"/>
      <c r="BE1825" s="210"/>
      <c r="BF1825" s="210"/>
      <c r="BG1825" s="210"/>
      <c r="BH1825" s="217"/>
      <c r="BI1825" s="210"/>
      <c r="BJ1825" s="210"/>
      <c r="BK1825" s="210"/>
      <c r="BL1825" s="210"/>
      <c r="BM1825" s="208"/>
      <c r="BN1825" s="160"/>
      <c r="BO1825" s="161">
        <f t="shared" si="1542"/>
        <v>0</v>
      </c>
      <c r="BP1825" s="161"/>
    </row>
    <row r="1826" spans="1:68" ht="51">
      <c r="A1826" s="206" t="s">
        <v>600</v>
      </c>
      <c r="B1826" s="195" t="s">
        <v>9387</v>
      </c>
      <c r="C1826" s="196" t="s">
        <v>9388</v>
      </c>
      <c r="D1826" s="146" t="s">
        <v>4692</v>
      </c>
      <c r="E1826" s="196" t="s">
        <v>9388</v>
      </c>
      <c r="F1826" s="150">
        <v>144121.20000000001</v>
      </c>
      <c r="G1826" s="209">
        <v>0</v>
      </c>
      <c r="H1826" s="209">
        <v>0</v>
      </c>
      <c r="I1826" s="209">
        <v>0</v>
      </c>
      <c r="J1826" s="150">
        <v>31604.42</v>
      </c>
      <c r="K1826" s="150">
        <v>11461.59</v>
      </c>
      <c r="L1826" s="150">
        <f t="shared" si="1541"/>
        <v>43066.009999999995</v>
      </c>
      <c r="M1826" s="150">
        <v>78302.570000000007</v>
      </c>
      <c r="N1826" s="150">
        <v>24515.212307692302</v>
      </c>
      <c r="O1826" s="150">
        <v>102817.78230769231</v>
      </c>
      <c r="P1826" s="150">
        <v>128725.21</v>
      </c>
      <c r="Q1826" s="150">
        <v>13392.608461538432</v>
      </c>
      <c r="R1826" s="313">
        <f t="shared" si="1561"/>
        <v>142117.81846153844</v>
      </c>
      <c r="S1826" s="150">
        <f t="shared" si="1540"/>
        <v>189490.42461538457</v>
      </c>
      <c r="T1826" s="150">
        <v>220249.12</v>
      </c>
      <c r="U1826" s="150">
        <v>188438.41</v>
      </c>
      <c r="V1826" s="199">
        <v>11052.014615384571</v>
      </c>
      <c r="W1826" s="150">
        <f t="shared" si="1562"/>
        <v>199490.42461538457</v>
      </c>
      <c r="X1826" s="150">
        <v>188438.41</v>
      </c>
      <c r="Y1826" s="150">
        <v>11052.014615384571</v>
      </c>
      <c r="Z1826" s="150">
        <v>199490.42461538457</v>
      </c>
      <c r="AA1826" s="150">
        <f t="shared" si="1535"/>
        <v>20758.695384615421</v>
      </c>
      <c r="AB1826" s="150">
        <v>188438.41</v>
      </c>
      <c r="AC1826" s="199">
        <v>31810.71</v>
      </c>
      <c r="AD1826" s="150">
        <f t="shared" si="1563"/>
        <v>220249.12</v>
      </c>
      <c r="AE1826" s="150">
        <v>220249.12</v>
      </c>
      <c r="AF1826" s="169" t="s">
        <v>4680</v>
      </c>
      <c r="AG1826" s="201">
        <v>188438.41</v>
      </c>
      <c r="AH1826" s="199">
        <v>31810.71</v>
      </c>
      <c r="AI1826" s="150">
        <v>220249.12</v>
      </c>
      <c r="AJ1826" s="169">
        <f t="shared" si="1536"/>
        <v>0</v>
      </c>
      <c r="AK1826" s="201">
        <v>188438.41</v>
      </c>
      <c r="AL1826" s="199">
        <v>31810.71</v>
      </c>
      <c r="AM1826" s="150">
        <f t="shared" si="1564"/>
        <v>220249.12</v>
      </c>
      <c r="AN1826" s="153">
        <f t="shared" si="1537"/>
        <v>0</v>
      </c>
      <c r="AO1826" s="154">
        <f t="shared" si="1538"/>
        <v>0</v>
      </c>
      <c r="AP1826" s="150">
        <v>220249.12</v>
      </c>
      <c r="AQ1826" s="201">
        <v>220249.12</v>
      </c>
      <c r="AR1826" s="199"/>
      <c r="AS1826" s="150">
        <f t="shared" si="1565"/>
        <v>220249.12</v>
      </c>
      <c r="AT1826" s="155"/>
      <c r="AU1826" s="156">
        <f t="shared" si="1533"/>
        <v>0</v>
      </c>
      <c r="AV1826" s="156">
        <f t="shared" si="1534"/>
        <v>20758.695384615421</v>
      </c>
      <c r="AW1826" s="157"/>
      <c r="AX1826" s="150">
        <v>199490.42461538457</v>
      </c>
      <c r="AY1826" s="150">
        <v>93868.62</v>
      </c>
      <c r="AZ1826" s="150">
        <f t="shared" si="1566"/>
        <v>111766.94461538462</v>
      </c>
      <c r="BA1826" s="150">
        <v>205635.56461538462</v>
      </c>
      <c r="BB1826" s="202">
        <v>5</v>
      </c>
      <c r="BC1826" s="202" t="s">
        <v>766</v>
      </c>
      <c r="BD1826" s="202" t="s">
        <v>632</v>
      </c>
      <c r="BE1826" s="202" t="s">
        <v>632</v>
      </c>
      <c r="BF1826" s="202" t="s">
        <v>647</v>
      </c>
      <c r="BG1826" s="231" t="s">
        <v>9389</v>
      </c>
      <c r="BH1826" s="216">
        <f>AS1826</f>
        <v>220249.12</v>
      </c>
      <c r="BI1826" s="205"/>
      <c r="BJ1826" s="206" t="s">
        <v>9379</v>
      </c>
      <c r="BK1826" s="206" t="s">
        <v>600</v>
      </c>
      <c r="BL1826" s="207" t="s">
        <v>9380</v>
      </c>
      <c r="BM1826" s="208">
        <f>BH1826</f>
        <v>220249.12</v>
      </c>
      <c r="BN1826" s="160"/>
      <c r="BO1826" s="161">
        <f t="shared" si="1542"/>
        <v>0</v>
      </c>
      <c r="BP1826" s="161"/>
    </row>
    <row r="1827" spans="1:68" ht="51">
      <c r="A1827" s="206" t="s">
        <v>600</v>
      </c>
      <c r="B1827" s="195" t="s">
        <v>9390</v>
      </c>
      <c r="C1827" s="196" t="s">
        <v>9391</v>
      </c>
      <c r="D1827" s="146" t="s">
        <v>4692</v>
      </c>
      <c r="E1827" s="196" t="s">
        <v>9391</v>
      </c>
      <c r="F1827" s="150">
        <v>0</v>
      </c>
      <c r="G1827" s="209">
        <v>14700</v>
      </c>
      <c r="H1827" s="209">
        <v>81192.378750000003</v>
      </c>
      <c r="I1827" s="209">
        <v>95892.378750000003</v>
      </c>
      <c r="J1827" s="150">
        <v>0</v>
      </c>
      <c r="K1827" s="150">
        <v>0</v>
      </c>
      <c r="L1827" s="150">
        <f t="shared" si="1541"/>
        <v>0</v>
      </c>
      <c r="M1827" s="150">
        <v>0</v>
      </c>
      <c r="N1827" s="150">
        <v>0</v>
      </c>
      <c r="O1827" s="150">
        <v>0</v>
      </c>
      <c r="P1827" s="150">
        <v>0</v>
      </c>
      <c r="Q1827" s="150">
        <v>0</v>
      </c>
      <c r="R1827" s="313">
        <f t="shared" si="1561"/>
        <v>0</v>
      </c>
      <c r="S1827" s="150">
        <f t="shared" si="1540"/>
        <v>0</v>
      </c>
      <c r="T1827" s="150">
        <v>0</v>
      </c>
      <c r="U1827" s="150">
        <v>0</v>
      </c>
      <c r="V1827" s="199">
        <v>0</v>
      </c>
      <c r="W1827" s="150">
        <f t="shared" si="1562"/>
        <v>0</v>
      </c>
      <c r="X1827" s="150">
        <v>0</v>
      </c>
      <c r="Y1827" s="150">
        <v>0</v>
      </c>
      <c r="Z1827" s="150">
        <v>0</v>
      </c>
      <c r="AA1827" s="150">
        <f t="shared" si="1535"/>
        <v>0</v>
      </c>
      <c r="AB1827" s="150">
        <v>0</v>
      </c>
      <c r="AC1827" s="199">
        <v>0</v>
      </c>
      <c r="AD1827" s="150">
        <f t="shared" si="1563"/>
        <v>0</v>
      </c>
      <c r="AE1827" s="150">
        <v>0</v>
      </c>
      <c r="AF1827" s="169" t="s">
        <v>4680</v>
      </c>
      <c r="AG1827" s="201">
        <v>0</v>
      </c>
      <c r="AH1827" s="199">
        <v>0</v>
      </c>
      <c r="AI1827" s="150">
        <v>0</v>
      </c>
      <c r="AJ1827" s="169">
        <f t="shared" si="1536"/>
        <v>0</v>
      </c>
      <c r="AK1827" s="201">
        <v>0</v>
      </c>
      <c r="AL1827" s="199">
        <v>0</v>
      </c>
      <c r="AM1827" s="150">
        <f t="shared" si="1564"/>
        <v>0</v>
      </c>
      <c r="AN1827" s="153">
        <f t="shared" si="1537"/>
        <v>0</v>
      </c>
      <c r="AO1827" s="154">
        <f t="shared" si="1538"/>
        <v>0</v>
      </c>
      <c r="AP1827" s="150">
        <v>0</v>
      </c>
      <c r="AQ1827" s="201">
        <v>0</v>
      </c>
      <c r="AR1827" s="199">
        <v>0</v>
      </c>
      <c r="AS1827" s="150">
        <f t="shared" si="1565"/>
        <v>0</v>
      </c>
      <c r="AT1827" s="155"/>
      <c r="AU1827" s="156">
        <f t="shared" si="1533"/>
        <v>0</v>
      </c>
      <c r="AV1827" s="156">
        <f t="shared" si="1534"/>
        <v>0</v>
      </c>
      <c r="AW1827" s="157"/>
      <c r="AX1827" s="150">
        <v>0</v>
      </c>
      <c r="AY1827" s="150">
        <v>0</v>
      </c>
      <c r="AZ1827" s="150">
        <f t="shared" si="1566"/>
        <v>0</v>
      </c>
      <c r="BA1827" s="150">
        <v>0</v>
      </c>
      <c r="BB1827" s="202">
        <v>5</v>
      </c>
      <c r="BC1827" s="202" t="s">
        <v>766</v>
      </c>
      <c r="BD1827" s="202" t="s">
        <v>632</v>
      </c>
      <c r="BE1827" s="202" t="s">
        <v>632</v>
      </c>
      <c r="BF1827" s="202" t="s">
        <v>671</v>
      </c>
      <c r="BG1827" s="231" t="s">
        <v>9392</v>
      </c>
      <c r="BH1827" s="216">
        <f>AS1827</f>
        <v>0</v>
      </c>
      <c r="BI1827" s="205"/>
      <c r="BJ1827" s="206" t="s">
        <v>9379</v>
      </c>
      <c r="BK1827" s="206" t="s">
        <v>600</v>
      </c>
      <c r="BL1827" s="207" t="s">
        <v>9380</v>
      </c>
      <c r="BM1827" s="208">
        <f>BH1827</f>
        <v>0</v>
      </c>
      <c r="BN1827" s="160"/>
      <c r="BO1827" s="161">
        <f t="shared" si="1542"/>
        <v>0</v>
      </c>
      <c r="BP1827" s="161"/>
    </row>
    <row r="1828" spans="1:68" ht="51">
      <c r="A1828" s="206" t="s">
        <v>600</v>
      </c>
      <c r="B1828" s="195" t="s">
        <v>9393</v>
      </c>
      <c r="C1828" s="196" t="s">
        <v>9394</v>
      </c>
      <c r="D1828" s="146" t="s">
        <v>4692</v>
      </c>
      <c r="E1828" s="196" t="s">
        <v>9394</v>
      </c>
      <c r="F1828" s="150">
        <v>95892</v>
      </c>
      <c r="G1828" s="209">
        <v>94955.53</v>
      </c>
      <c r="H1828" s="209">
        <v>32030.941044749998</v>
      </c>
      <c r="I1828" s="209">
        <v>126986.47104475</v>
      </c>
      <c r="J1828" s="150">
        <v>0</v>
      </c>
      <c r="K1828" s="150">
        <v>30995.52</v>
      </c>
      <c r="L1828" s="150">
        <f t="shared" si="1541"/>
        <v>30995.52</v>
      </c>
      <c r="M1828" s="150">
        <v>0</v>
      </c>
      <c r="N1828" s="150">
        <v>76713.906000000003</v>
      </c>
      <c r="O1828" s="150">
        <v>76713.906000000003</v>
      </c>
      <c r="P1828" s="150">
        <v>0</v>
      </c>
      <c r="Q1828" s="150">
        <v>115070.85399999999</v>
      </c>
      <c r="R1828" s="313">
        <f t="shared" si="1561"/>
        <v>115070.85399999999</v>
      </c>
      <c r="S1828" s="150">
        <f t="shared" si="1540"/>
        <v>153427.80533333332</v>
      </c>
      <c r="T1828" s="150">
        <v>144482.01</v>
      </c>
      <c r="U1828" s="150">
        <v>0</v>
      </c>
      <c r="V1828" s="199">
        <v>138427.805333333</v>
      </c>
      <c r="W1828" s="150">
        <f t="shared" si="1562"/>
        <v>138427.805333333</v>
      </c>
      <c r="X1828" s="150">
        <v>0</v>
      </c>
      <c r="Y1828" s="150">
        <v>138427.805333333</v>
      </c>
      <c r="Z1828" s="150">
        <v>138427.805333333</v>
      </c>
      <c r="AA1828" s="150">
        <f t="shared" si="1535"/>
        <v>6054.2046666670067</v>
      </c>
      <c r="AB1828" s="150">
        <v>0</v>
      </c>
      <c r="AC1828" s="199">
        <v>144482.01</v>
      </c>
      <c r="AD1828" s="150">
        <f t="shared" si="1563"/>
        <v>144482.01</v>
      </c>
      <c r="AE1828" s="150">
        <v>144482.01</v>
      </c>
      <c r="AF1828" s="169" t="s">
        <v>4680</v>
      </c>
      <c r="AG1828" s="201">
        <v>0</v>
      </c>
      <c r="AH1828" s="199">
        <v>144482.01</v>
      </c>
      <c r="AI1828" s="150">
        <v>144482.01</v>
      </c>
      <c r="AJ1828" s="169">
        <f t="shared" si="1536"/>
        <v>0</v>
      </c>
      <c r="AK1828" s="201">
        <v>0</v>
      </c>
      <c r="AL1828" s="199">
        <v>144482.01</v>
      </c>
      <c r="AM1828" s="150">
        <f t="shared" si="1564"/>
        <v>144482.01</v>
      </c>
      <c r="AN1828" s="153">
        <f t="shared" si="1537"/>
        <v>0</v>
      </c>
      <c r="AO1828" s="154">
        <f t="shared" si="1538"/>
        <v>0</v>
      </c>
      <c r="AP1828" s="150">
        <v>144482.01</v>
      </c>
      <c r="AQ1828" s="201">
        <v>144482.01</v>
      </c>
      <c r="AR1828" s="199"/>
      <c r="AS1828" s="150">
        <f t="shared" si="1565"/>
        <v>144482.01</v>
      </c>
      <c r="AT1828" s="155"/>
      <c r="AU1828" s="156">
        <f t="shared" si="1533"/>
        <v>0</v>
      </c>
      <c r="AV1828" s="156">
        <f t="shared" si="1534"/>
        <v>6054.2046666670067</v>
      </c>
      <c r="AW1828" s="157"/>
      <c r="AX1828" s="150">
        <v>138427.805333333</v>
      </c>
      <c r="AY1828" s="150">
        <v>0</v>
      </c>
      <c r="AZ1828" s="150">
        <f t="shared" si="1566"/>
        <v>153427.81200000001</v>
      </c>
      <c r="BA1828" s="150">
        <v>153427.81200000001</v>
      </c>
      <c r="BB1828" s="202">
        <v>5</v>
      </c>
      <c r="BC1828" s="202" t="s">
        <v>766</v>
      </c>
      <c r="BD1828" s="202" t="s">
        <v>632</v>
      </c>
      <c r="BE1828" s="202" t="s">
        <v>632</v>
      </c>
      <c r="BF1828" s="202" t="s">
        <v>693</v>
      </c>
      <c r="BG1828" s="231" t="s">
        <v>9395</v>
      </c>
      <c r="BH1828" s="216">
        <f>AS1828</f>
        <v>144482.01</v>
      </c>
      <c r="BI1828" s="205"/>
      <c r="BJ1828" s="206" t="s">
        <v>9379</v>
      </c>
      <c r="BK1828" s="206" t="s">
        <v>600</v>
      </c>
      <c r="BL1828" s="207" t="s">
        <v>9380</v>
      </c>
      <c r="BM1828" s="208">
        <f>BH1828</f>
        <v>144482.01</v>
      </c>
      <c r="BN1828" s="160"/>
      <c r="BO1828" s="161">
        <f t="shared" si="1542"/>
        <v>0</v>
      </c>
      <c r="BP1828" s="161"/>
    </row>
    <row r="1829" spans="1:68" ht="38.25">
      <c r="A1829" s="206" t="s">
        <v>600</v>
      </c>
      <c r="B1829" s="195" t="s">
        <v>9396</v>
      </c>
      <c r="C1829" s="196" t="s">
        <v>9397</v>
      </c>
      <c r="D1829" s="146" t="s">
        <v>4692</v>
      </c>
      <c r="E1829" s="196" t="s">
        <v>9397</v>
      </c>
      <c r="F1829" s="150">
        <v>126986.53</v>
      </c>
      <c r="G1829" s="209">
        <v>10528.99</v>
      </c>
      <c r="H1829" s="209">
        <v>0</v>
      </c>
      <c r="I1829" s="209">
        <v>10528.99</v>
      </c>
      <c r="J1829" s="150">
        <v>25200.12</v>
      </c>
      <c r="K1829" s="150">
        <v>10434.879999999999</v>
      </c>
      <c r="L1829" s="150">
        <f t="shared" si="1541"/>
        <v>35635</v>
      </c>
      <c r="M1829" s="150">
        <v>58077.18</v>
      </c>
      <c r="N1829" s="150">
        <v>24798.568271692311</v>
      </c>
      <c r="O1829" s="150">
        <v>82875.748271692311</v>
      </c>
      <c r="P1829" s="150">
        <v>93710.37</v>
      </c>
      <c r="Q1829" s="150">
        <v>30960.011189538447</v>
      </c>
      <c r="R1829" s="313">
        <f t="shared" si="1561"/>
        <v>124670.38118953844</v>
      </c>
      <c r="S1829" s="150">
        <f t="shared" si="1540"/>
        <v>166227.17491938459</v>
      </c>
      <c r="T1829" s="150">
        <v>178268.99</v>
      </c>
      <c r="U1829" s="150">
        <v>135395.17000000001</v>
      </c>
      <c r="V1829" s="199">
        <v>30832.004919384577</v>
      </c>
      <c r="W1829" s="150">
        <f t="shared" si="1562"/>
        <v>166227.17491938459</v>
      </c>
      <c r="X1829" s="150">
        <v>135395.17000000001</v>
      </c>
      <c r="Y1829" s="150">
        <v>30832.004919384577</v>
      </c>
      <c r="Z1829" s="150">
        <v>166227.17491938459</v>
      </c>
      <c r="AA1829" s="150">
        <f t="shared" si="1535"/>
        <v>12041.81508061543</v>
      </c>
      <c r="AB1829" s="150">
        <v>135395.17000000001</v>
      </c>
      <c r="AC1829" s="199">
        <v>42873.82</v>
      </c>
      <c r="AD1829" s="150">
        <f t="shared" si="1563"/>
        <v>178268.99000000002</v>
      </c>
      <c r="AE1829" s="150">
        <v>178268.99000000002</v>
      </c>
      <c r="AF1829" s="169" t="s">
        <v>4680</v>
      </c>
      <c r="AG1829" s="201">
        <v>135395.17000000001</v>
      </c>
      <c r="AH1829" s="199">
        <v>42873.82</v>
      </c>
      <c r="AI1829" s="150">
        <v>178268.99000000002</v>
      </c>
      <c r="AJ1829" s="169">
        <f t="shared" si="1536"/>
        <v>0</v>
      </c>
      <c r="AK1829" s="201">
        <v>135395.17000000001</v>
      </c>
      <c r="AL1829" s="199">
        <v>42873.82</v>
      </c>
      <c r="AM1829" s="150">
        <f t="shared" si="1564"/>
        <v>178268.99000000002</v>
      </c>
      <c r="AN1829" s="153">
        <f t="shared" si="1537"/>
        <v>0</v>
      </c>
      <c r="AO1829" s="154">
        <f t="shared" si="1538"/>
        <v>0</v>
      </c>
      <c r="AP1829" s="150">
        <v>178268.99000000002</v>
      </c>
      <c r="AQ1829" s="201">
        <v>178268.99</v>
      </c>
      <c r="AR1829" s="199"/>
      <c r="AS1829" s="150">
        <f t="shared" si="1565"/>
        <v>178268.99</v>
      </c>
      <c r="AT1829" s="155"/>
      <c r="AU1829" s="156">
        <f t="shared" si="1533"/>
        <v>0</v>
      </c>
      <c r="AV1829" s="156">
        <f t="shared" si="1534"/>
        <v>12041.81508061543</v>
      </c>
      <c r="AW1829" s="157"/>
      <c r="AX1829" s="150">
        <v>166227.17491938459</v>
      </c>
      <c r="AY1829" s="150">
        <v>69009.98</v>
      </c>
      <c r="AZ1829" s="150">
        <f t="shared" si="1566"/>
        <v>96741.516543384627</v>
      </c>
      <c r="BA1829" s="150">
        <v>165751.49654338462</v>
      </c>
      <c r="BB1829" s="202">
        <v>5</v>
      </c>
      <c r="BC1829" s="202" t="s">
        <v>766</v>
      </c>
      <c r="BD1829" s="202" t="s">
        <v>632</v>
      </c>
      <c r="BE1829" s="202" t="s">
        <v>632</v>
      </c>
      <c r="BF1829" s="202" t="s">
        <v>714</v>
      </c>
      <c r="BG1829" s="231" t="s">
        <v>9398</v>
      </c>
      <c r="BH1829" s="216">
        <f>SUM(AS1829:AS1836)</f>
        <v>196073.06999999998</v>
      </c>
      <c r="BI1829" s="205"/>
      <c r="BJ1829" s="206" t="s">
        <v>9379</v>
      </c>
      <c r="BK1829" s="206" t="s">
        <v>600</v>
      </c>
      <c r="BL1829" s="207" t="s">
        <v>9380</v>
      </c>
      <c r="BM1829" s="208">
        <f>BH1829</f>
        <v>196073.06999999998</v>
      </c>
      <c r="BN1829" s="160"/>
      <c r="BO1829" s="161"/>
      <c r="BP1829" s="161"/>
    </row>
    <row r="1830" spans="1:68" ht="38.25">
      <c r="A1830" s="210"/>
      <c r="B1830" s="195" t="s">
        <v>9399</v>
      </c>
      <c r="C1830" s="196" t="s">
        <v>9400</v>
      </c>
      <c r="D1830" s="146" t="s">
        <v>4692</v>
      </c>
      <c r="E1830" s="196" t="s">
        <v>9400</v>
      </c>
      <c r="F1830" s="150">
        <v>10528.99</v>
      </c>
      <c r="G1830" s="209">
        <v>0</v>
      </c>
      <c r="H1830" s="209">
        <v>0</v>
      </c>
      <c r="I1830" s="209">
        <v>0</v>
      </c>
      <c r="J1830" s="150">
        <v>3033.98</v>
      </c>
      <c r="K1830" s="150">
        <v>0</v>
      </c>
      <c r="L1830" s="150">
        <f t="shared" si="1541"/>
        <v>3033.98</v>
      </c>
      <c r="M1830" s="150">
        <v>7023.57</v>
      </c>
      <c r="N1830" s="150">
        <v>0</v>
      </c>
      <c r="O1830" s="150">
        <v>7023.57</v>
      </c>
      <c r="P1830" s="150">
        <v>11385.62</v>
      </c>
      <c r="Q1830" s="150">
        <v>0</v>
      </c>
      <c r="R1830" s="313">
        <f t="shared" si="1561"/>
        <v>11385.62</v>
      </c>
      <c r="S1830" s="150">
        <f t="shared" si="1540"/>
        <v>15180.826666666668</v>
      </c>
      <c r="T1830" s="150">
        <v>16543.84</v>
      </c>
      <c r="U1830" s="150">
        <v>16543.84</v>
      </c>
      <c r="V1830" s="199">
        <v>0</v>
      </c>
      <c r="W1830" s="150">
        <f t="shared" si="1562"/>
        <v>16543.84</v>
      </c>
      <c r="X1830" s="150">
        <v>16543.84</v>
      </c>
      <c r="Y1830" s="150">
        <v>0</v>
      </c>
      <c r="Z1830" s="150">
        <v>16543.84</v>
      </c>
      <c r="AA1830" s="150">
        <f t="shared" si="1535"/>
        <v>0</v>
      </c>
      <c r="AB1830" s="150">
        <v>16543.84</v>
      </c>
      <c r="AC1830" s="199">
        <v>0</v>
      </c>
      <c r="AD1830" s="150">
        <f t="shared" si="1563"/>
        <v>16543.84</v>
      </c>
      <c r="AE1830" s="150">
        <v>16543.84</v>
      </c>
      <c r="AF1830" s="169" t="s">
        <v>4680</v>
      </c>
      <c r="AG1830" s="201">
        <v>16543.84</v>
      </c>
      <c r="AH1830" s="199">
        <v>0</v>
      </c>
      <c r="AI1830" s="150">
        <v>16543.84</v>
      </c>
      <c r="AJ1830" s="169">
        <f t="shared" si="1536"/>
        <v>0</v>
      </c>
      <c r="AK1830" s="201">
        <v>16543.84</v>
      </c>
      <c r="AL1830" s="199">
        <v>0</v>
      </c>
      <c r="AM1830" s="150">
        <f t="shared" si="1564"/>
        <v>16543.84</v>
      </c>
      <c r="AN1830" s="153">
        <f t="shared" si="1537"/>
        <v>0</v>
      </c>
      <c r="AO1830" s="154">
        <f t="shared" si="1538"/>
        <v>0</v>
      </c>
      <c r="AP1830" s="150">
        <v>16543.84</v>
      </c>
      <c r="AQ1830" s="201">
        <v>16543.84</v>
      </c>
      <c r="AR1830" s="199">
        <v>0</v>
      </c>
      <c r="AS1830" s="150">
        <f t="shared" si="1565"/>
        <v>16543.84</v>
      </c>
      <c r="AT1830" s="155"/>
      <c r="AU1830" s="156">
        <f t="shared" si="1533"/>
        <v>0</v>
      </c>
      <c r="AV1830" s="156">
        <f t="shared" si="1534"/>
        <v>0</v>
      </c>
      <c r="AW1830" s="157"/>
      <c r="AX1830" s="150">
        <v>16543.84</v>
      </c>
      <c r="AY1830" s="150">
        <v>8350.15</v>
      </c>
      <c r="AZ1830" s="150">
        <f t="shared" si="1566"/>
        <v>5696.99</v>
      </c>
      <c r="BA1830" s="150">
        <v>14047.14</v>
      </c>
      <c r="BB1830" s="210"/>
      <c r="BC1830" s="210"/>
      <c r="BD1830" s="210"/>
      <c r="BE1830" s="210"/>
      <c r="BF1830" s="210"/>
      <c r="BG1830" s="210"/>
      <c r="BH1830" s="217"/>
      <c r="BI1830" s="210"/>
      <c r="BJ1830" s="210"/>
      <c r="BK1830" s="210"/>
      <c r="BL1830" s="210"/>
      <c r="BM1830" s="208"/>
      <c r="BN1830" s="160"/>
      <c r="BO1830" s="161"/>
      <c r="BP1830" s="161"/>
    </row>
    <row r="1831" spans="1:68" ht="38.25">
      <c r="A1831" s="210"/>
      <c r="B1831" s="195" t="s">
        <v>9401</v>
      </c>
      <c r="C1831" s="196" t="s">
        <v>9402</v>
      </c>
      <c r="D1831" s="146" t="s">
        <v>4692</v>
      </c>
      <c r="E1831" s="196" t="s">
        <v>9402</v>
      </c>
      <c r="F1831" s="150">
        <v>0</v>
      </c>
      <c r="G1831" s="209">
        <v>0</v>
      </c>
      <c r="H1831" s="209">
        <v>300</v>
      </c>
      <c r="I1831" s="209">
        <v>300</v>
      </c>
      <c r="J1831" s="150">
        <v>0</v>
      </c>
      <c r="K1831" s="150">
        <v>0</v>
      </c>
      <c r="L1831" s="150">
        <f t="shared" si="1541"/>
        <v>0</v>
      </c>
      <c r="M1831" s="150">
        <v>0</v>
      </c>
      <c r="N1831" s="150">
        <v>0</v>
      </c>
      <c r="O1831" s="150">
        <v>0</v>
      </c>
      <c r="P1831" s="150">
        <v>0</v>
      </c>
      <c r="Q1831" s="150">
        <v>0</v>
      </c>
      <c r="R1831" s="313">
        <f t="shared" si="1561"/>
        <v>0</v>
      </c>
      <c r="S1831" s="150">
        <f t="shared" si="1540"/>
        <v>0</v>
      </c>
      <c r="T1831" s="150">
        <v>0</v>
      </c>
      <c r="U1831" s="150">
        <v>0</v>
      </c>
      <c r="V1831" s="199">
        <v>0</v>
      </c>
      <c r="W1831" s="150">
        <f t="shared" si="1562"/>
        <v>0</v>
      </c>
      <c r="X1831" s="150">
        <v>0</v>
      </c>
      <c r="Y1831" s="150">
        <v>0</v>
      </c>
      <c r="Z1831" s="150">
        <v>0</v>
      </c>
      <c r="AA1831" s="150">
        <f t="shared" si="1535"/>
        <v>0</v>
      </c>
      <c r="AB1831" s="150">
        <v>0</v>
      </c>
      <c r="AC1831" s="199">
        <v>0</v>
      </c>
      <c r="AD1831" s="150">
        <f t="shared" si="1563"/>
        <v>0</v>
      </c>
      <c r="AE1831" s="150">
        <v>0</v>
      </c>
      <c r="AF1831" s="169" t="s">
        <v>4680</v>
      </c>
      <c r="AG1831" s="201">
        <v>0</v>
      </c>
      <c r="AH1831" s="199">
        <v>0</v>
      </c>
      <c r="AI1831" s="150">
        <v>0</v>
      </c>
      <c r="AJ1831" s="169">
        <f t="shared" si="1536"/>
        <v>0</v>
      </c>
      <c r="AK1831" s="201">
        <v>0</v>
      </c>
      <c r="AL1831" s="199">
        <v>0</v>
      </c>
      <c r="AM1831" s="150">
        <f t="shared" si="1564"/>
        <v>0</v>
      </c>
      <c r="AN1831" s="153">
        <f t="shared" si="1537"/>
        <v>0</v>
      </c>
      <c r="AO1831" s="154">
        <f t="shared" si="1538"/>
        <v>0</v>
      </c>
      <c r="AP1831" s="150">
        <v>0</v>
      </c>
      <c r="AQ1831" s="201">
        <v>0</v>
      </c>
      <c r="AR1831" s="199">
        <v>0</v>
      </c>
      <c r="AS1831" s="150">
        <f t="shared" si="1565"/>
        <v>0</v>
      </c>
      <c r="AT1831" s="155"/>
      <c r="AU1831" s="156">
        <f t="shared" si="1533"/>
        <v>0</v>
      </c>
      <c r="AV1831" s="156">
        <f t="shared" si="1534"/>
        <v>0</v>
      </c>
      <c r="AW1831" s="157"/>
      <c r="AX1831" s="150">
        <v>0</v>
      </c>
      <c r="AY1831" s="150">
        <v>0</v>
      </c>
      <c r="AZ1831" s="150">
        <f t="shared" si="1566"/>
        <v>0</v>
      </c>
      <c r="BA1831" s="150">
        <v>0</v>
      </c>
      <c r="BB1831" s="210"/>
      <c r="BC1831" s="210"/>
      <c r="BD1831" s="210"/>
      <c r="BE1831" s="210"/>
      <c r="BF1831" s="210"/>
      <c r="BG1831" s="210"/>
      <c r="BH1831" s="217"/>
      <c r="BI1831" s="210"/>
      <c r="BJ1831" s="210"/>
      <c r="BK1831" s="210"/>
      <c r="BL1831" s="210"/>
      <c r="BM1831" s="208"/>
      <c r="BN1831" s="160"/>
      <c r="BO1831" s="161"/>
      <c r="BP1831" s="161"/>
    </row>
    <row r="1832" spans="1:68" ht="38.25">
      <c r="A1832" s="210"/>
      <c r="B1832" s="195" t="s">
        <v>9403</v>
      </c>
      <c r="C1832" s="196" t="s">
        <v>9404</v>
      </c>
      <c r="D1832" s="146" t="s">
        <v>4692</v>
      </c>
      <c r="E1832" s="196" t="s">
        <v>9404</v>
      </c>
      <c r="F1832" s="150">
        <v>300</v>
      </c>
      <c r="G1832" s="209">
        <v>0</v>
      </c>
      <c r="H1832" s="209">
        <v>0</v>
      </c>
      <c r="I1832" s="209">
        <v>0</v>
      </c>
      <c r="J1832" s="150">
        <v>0</v>
      </c>
      <c r="K1832" s="150">
        <v>75</v>
      </c>
      <c r="L1832" s="150">
        <f t="shared" si="1541"/>
        <v>75</v>
      </c>
      <c r="M1832" s="150">
        <v>0</v>
      </c>
      <c r="N1832" s="150">
        <v>150</v>
      </c>
      <c r="O1832" s="150">
        <v>150</v>
      </c>
      <c r="P1832" s="150">
        <v>0</v>
      </c>
      <c r="Q1832" s="150">
        <v>0</v>
      </c>
      <c r="R1832" s="313">
        <f t="shared" si="1561"/>
        <v>0</v>
      </c>
      <c r="S1832" s="150">
        <f t="shared" si="1540"/>
        <v>0</v>
      </c>
      <c r="T1832" s="150">
        <v>1258.9100000000001</v>
      </c>
      <c r="U1832" s="150">
        <v>0</v>
      </c>
      <c r="V1832" s="199">
        <v>1258.9100000000001</v>
      </c>
      <c r="W1832" s="150">
        <f t="shared" si="1562"/>
        <v>1258.9100000000001</v>
      </c>
      <c r="X1832" s="150">
        <v>0</v>
      </c>
      <c r="Y1832" s="150">
        <v>1258.9100000000001</v>
      </c>
      <c r="Z1832" s="150">
        <v>1258.9100000000001</v>
      </c>
      <c r="AA1832" s="150">
        <f t="shared" si="1535"/>
        <v>0</v>
      </c>
      <c r="AB1832" s="150">
        <v>0</v>
      </c>
      <c r="AC1832" s="199">
        <v>1258.9100000000001</v>
      </c>
      <c r="AD1832" s="150">
        <f t="shared" si="1563"/>
        <v>1258.9100000000001</v>
      </c>
      <c r="AE1832" s="150">
        <v>1258.9100000000001</v>
      </c>
      <c r="AF1832" s="169" t="s">
        <v>4680</v>
      </c>
      <c r="AG1832" s="201">
        <v>0</v>
      </c>
      <c r="AH1832" s="199">
        <v>1258.9100000000001</v>
      </c>
      <c r="AI1832" s="150">
        <v>1258.9100000000001</v>
      </c>
      <c r="AJ1832" s="169">
        <f t="shared" si="1536"/>
        <v>0</v>
      </c>
      <c r="AK1832" s="201">
        <v>0</v>
      </c>
      <c r="AL1832" s="199">
        <v>1258.9100000000001</v>
      </c>
      <c r="AM1832" s="150">
        <f t="shared" si="1564"/>
        <v>1258.9100000000001</v>
      </c>
      <c r="AN1832" s="153">
        <f t="shared" si="1537"/>
        <v>0</v>
      </c>
      <c r="AO1832" s="154">
        <f t="shared" si="1538"/>
        <v>0</v>
      </c>
      <c r="AP1832" s="150">
        <v>1258.9100000000001</v>
      </c>
      <c r="AQ1832" s="201">
        <v>1258.9100000000001</v>
      </c>
      <c r="AR1832" s="199"/>
      <c r="AS1832" s="150">
        <f t="shared" si="1565"/>
        <v>1258.9100000000001</v>
      </c>
      <c r="AT1832" s="155"/>
      <c r="AU1832" s="156">
        <f t="shared" si="1533"/>
        <v>0</v>
      </c>
      <c r="AV1832" s="156">
        <f t="shared" si="1534"/>
        <v>0</v>
      </c>
      <c r="AW1832" s="157"/>
      <c r="AX1832" s="150">
        <v>1258.9100000000001</v>
      </c>
      <c r="AY1832" s="150">
        <v>0</v>
      </c>
      <c r="AZ1832" s="150">
        <f t="shared" si="1566"/>
        <v>300</v>
      </c>
      <c r="BA1832" s="150">
        <v>300</v>
      </c>
      <c r="BB1832" s="210"/>
      <c r="BC1832" s="210"/>
      <c r="BD1832" s="210"/>
      <c r="BE1832" s="210"/>
      <c r="BF1832" s="210"/>
      <c r="BG1832" s="210"/>
      <c r="BH1832" s="217"/>
      <c r="BI1832" s="210"/>
      <c r="BJ1832" s="210"/>
      <c r="BK1832" s="210"/>
      <c r="BL1832" s="210"/>
      <c r="BM1832" s="208"/>
      <c r="BN1832" s="160"/>
      <c r="BO1832" s="161"/>
      <c r="BP1832" s="161"/>
    </row>
    <row r="1833" spans="1:68" ht="38.25">
      <c r="A1833" s="210"/>
      <c r="B1833" s="195" t="s">
        <v>9405</v>
      </c>
      <c r="C1833" s="196" t="s">
        <v>9406</v>
      </c>
      <c r="D1833" s="146" t="s">
        <v>4692</v>
      </c>
      <c r="E1833" s="196" t="s">
        <v>9406</v>
      </c>
      <c r="F1833" s="150">
        <v>0</v>
      </c>
      <c r="G1833" s="209">
        <v>0</v>
      </c>
      <c r="H1833" s="209">
        <v>0</v>
      </c>
      <c r="I1833" s="209">
        <v>0</v>
      </c>
      <c r="J1833" s="150">
        <v>0</v>
      </c>
      <c r="K1833" s="150">
        <v>0</v>
      </c>
      <c r="L1833" s="150">
        <f t="shared" si="1541"/>
        <v>0</v>
      </c>
      <c r="M1833" s="150">
        <v>0</v>
      </c>
      <c r="N1833" s="150">
        <v>0</v>
      </c>
      <c r="O1833" s="150">
        <v>0</v>
      </c>
      <c r="P1833" s="150">
        <v>0</v>
      </c>
      <c r="Q1833" s="150">
        <v>0</v>
      </c>
      <c r="R1833" s="313">
        <f t="shared" si="1561"/>
        <v>0</v>
      </c>
      <c r="S1833" s="150">
        <f t="shared" si="1540"/>
        <v>0</v>
      </c>
      <c r="T1833" s="150">
        <v>0</v>
      </c>
      <c r="U1833" s="150">
        <v>0</v>
      </c>
      <c r="V1833" s="199">
        <v>0</v>
      </c>
      <c r="W1833" s="150">
        <f t="shared" si="1562"/>
        <v>0</v>
      </c>
      <c r="X1833" s="150">
        <v>0</v>
      </c>
      <c r="Y1833" s="150">
        <v>0</v>
      </c>
      <c r="Z1833" s="150">
        <v>0</v>
      </c>
      <c r="AA1833" s="150">
        <f t="shared" si="1535"/>
        <v>0</v>
      </c>
      <c r="AB1833" s="150">
        <v>0</v>
      </c>
      <c r="AC1833" s="199">
        <v>0</v>
      </c>
      <c r="AD1833" s="150">
        <f t="shared" si="1563"/>
        <v>0</v>
      </c>
      <c r="AE1833" s="150">
        <v>0</v>
      </c>
      <c r="AF1833" s="169" t="s">
        <v>4680</v>
      </c>
      <c r="AG1833" s="201">
        <v>0</v>
      </c>
      <c r="AH1833" s="199">
        <v>0</v>
      </c>
      <c r="AI1833" s="150">
        <v>0</v>
      </c>
      <c r="AJ1833" s="169">
        <f t="shared" si="1536"/>
        <v>0</v>
      </c>
      <c r="AK1833" s="201">
        <v>0</v>
      </c>
      <c r="AL1833" s="199">
        <v>0</v>
      </c>
      <c r="AM1833" s="150">
        <f t="shared" si="1564"/>
        <v>0</v>
      </c>
      <c r="AN1833" s="153">
        <f t="shared" si="1537"/>
        <v>0</v>
      </c>
      <c r="AO1833" s="154">
        <f t="shared" si="1538"/>
        <v>0</v>
      </c>
      <c r="AP1833" s="150">
        <v>0</v>
      </c>
      <c r="AQ1833" s="201">
        <v>0</v>
      </c>
      <c r="AR1833" s="199">
        <v>0</v>
      </c>
      <c r="AS1833" s="150">
        <f t="shared" si="1565"/>
        <v>0</v>
      </c>
      <c r="AT1833" s="155"/>
      <c r="AU1833" s="156">
        <f t="shared" si="1533"/>
        <v>0</v>
      </c>
      <c r="AV1833" s="156">
        <f t="shared" si="1534"/>
        <v>0</v>
      </c>
      <c r="AW1833" s="157"/>
      <c r="AX1833" s="150">
        <v>0</v>
      </c>
      <c r="AY1833" s="150">
        <v>0</v>
      </c>
      <c r="AZ1833" s="150">
        <f t="shared" si="1566"/>
        <v>0</v>
      </c>
      <c r="BA1833" s="150">
        <v>0</v>
      </c>
      <c r="BB1833" s="210"/>
      <c r="BC1833" s="210"/>
      <c r="BD1833" s="210"/>
      <c r="BE1833" s="210"/>
      <c r="BF1833" s="210"/>
      <c r="BG1833" s="210"/>
      <c r="BH1833" s="217"/>
      <c r="BI1833" s="210"/>
      <c r="BJ1833" s="210"/>
      <c r="BK1833" s="210"/>
      <c r="BL1833" s="210"/>
      <c r="BM1833" s="208"/>
      <c r="BN1833" s="160"/>
      <c r="BO1833" s="161"/>
      <c r="BP1833" s="161"/>
    </row>
    <row r="1834" spans="1:68" ht="51">
      <c r="A1834" s="210"/>
      <c r="B1834" s="195" t="s">
        <v>9407</v>
      </c>
      <c r="C1834" s="196" t="s">
        <v>9408</v>
      </c>
      <c r="D1834" s="146" t="s">
        <v>4692</v>
      </c>
      <c r="E1834" s="196" t="s">
        <v>9408</v>
      </c>
      <c r="F1834" s="150">
        <v>0</v>
      </c>
      <c r="G1834" s="209">
        <v>0</v>
      </c>
      <c r="H1834" s="209">
        <v>0</v>
      </c>
      <c r="I1834" s="209">
        <v>0</v>
      </c>
      <c r="J1834" s="150">
        <v>0</v>
      </c>
      <c r="K1834" s="150">
        <v>0</v>
      </c>
      <c r="L1834" s="150">
        <f t="shared" si="1541"/>
        <v>0</v>
      </c>
      <c r="M1834" s="150">
        <v>0</v>
      </c>
      <c r="N1834" s="150">
        <v>0</v>
      </c>
      <c r="O1834" s="150">
        <v>0</v>
      </c>
      <c r="P1834" s="150">
        <v>0</v>
      </c>
      <c r="Q1834" s="150">
        <v>0</v>
      </c>
      <c r="R1834" s="313">
        <f t="shared" si="1561"/>
        <v>0</v>
      </c>
      <c r="S1834" s="150">
        <f t="shared" si="1540"/>
        <v>0</v>
      </c>
      <c r="T1834" s="150">
        <v>0</v>
      </c>
      <c r="U1834" s="150">
        <v>0</v>
      </c>
      <c r="V1834" s="199">
        <v>0</v>
      </c>
      <c r="W1834" s="150">
        <f t="shared" si="1562"/>
        <v>0</v>
      </c>
      <c r="X1834" s="150">
        <v>0</v>
      </c>
      <c r="Y1834" s="150">
        <v>0</v>
      </c>
      <c r="Z1834" s="150">
        <v>0</v>
      </c>
      <c r="AA1834" s="150">
        <f t="shared" si="1535"/>
        <v>0</v>
      </c>
      <c r="AB1834" s="150">
        <v>0</v>
      </c>
      <c r="AC1834" s="199">
        <v>0</v>
      </c>
      <c r="AD1834" s="150">
        <f t="shared" si="1563"/>
        <v>0</v>
      </c>
      <c r="AE1834" s="150">
        <v>0</v>
      </c>
      <c r="AF1834" s="169" t="s">
        <v>4680</v>
      </c>
      <c r="AG1834" s="201">
        <v>0</v>
      </c>
      <c r="AH1834" s="199">
        <v>0</v>
      </c>
      <c r="AI1834" s="150">
        <v>0</v>
      </c>
      <c r="AJ1834" s="169">
        <f t="shared" si="1536"/>
        <v>0</v>
      </c>
      <c r="AK1834" s="201">
        <v>0</v>
      </c>
      <c r="AL1834" s="199">
        <v>0</v>
      </c>
      <c r="AM1834" s="150">
        <f t="shared" si="1564"/>
        <v>0</v>
      </c>
      <c r="AN1834" s="153">
        <f t="shared" si="1537"/>
        <v>0</v>
      </c>
      <c r="AO1834" s="154">
        <f t="shared" si="1538"/>
        <v>0</v>
      </c>
      <c r="AP1834" s="150">
        <v>0</v>
      </c>
      <c r="AQ1834" s="201">
        <v>0</v>
      </c>
      <c r="AR1834" s="199">
        <v>0</v>
      </c>
      <c r="AS1834" s="150">
        <f t="shared" si="1565"/>
        <v>0</v>
      </c>
      <c r="AT1834" s="155"/>
      <c r="AU1834" s="156">
        <f t="shared" si="1533"/>
        <v>0</v>
      </c>
      <c r="AV1834" s="156">
        <f t="shared" si="1534"/>
        <v>0</v>
      </c>
      <c r="AW1834" s="157"/>
      <c r="AX1834" s="150">
        <v>0</v>
      </c>
      <c r="AY1834" s="150">
        <v>0</v>
      </c>
      <c r="AZ1834" s="150">
        <f t="shared" si="1566"/>
        <v>0</v>
      </c>
      <c r="BA1834" s="150">
        <v>0</v>
      </c>
      <c r="BB1834" s="210"/>
      <c r="BC1834" s="210"/>
      <c r="BD1834" s="210"/>
      <c r="BE1834" s="210"/>
      <c r="BF1834" s="210"/>
      <c r="BG1834" s="210"/>
      <c r="BH1834" s="217"/>
      <c r="BI1834" s="210"/>
      <c r="BJ1834" s="210"/>
      <c r="BK1834" s="210"/>
      <c r="BL1834" s="210"/>
      <c r="BM1834" s="208"/>
      <c r="BN1834" s="160"/>
      <c r="BO1834" s="161"/>
      <c r="BP1834" s="161"/>
    </row>
    <row r="1835" spans="1:68" ht="38.25">
      <c r="A1835" s="210"/>
      <c r="B1835" s="195" t="s">
        <v>9409</v>
      </c>
      <c r="C1835" s="196" t="s">
        <v>9410</v>
      </c>
      <c r="D1835" s="146" t="s">
        <v>4692</v>
      </c>
      <c r="E1835" s="196" t="s">
        <v>9410</v>
      </c>
      <c r="F1835" s="150">
        <v>0</v>
      </c>
      <c r="G1835" s="209">
        <v>0</v>
      </c>
      <c r="H1835" s="209">
        <v>0</v>
      </c>
      <c r="I1835" s="209">
        <v>0</v>
      </c>
      <c r="J1835" s="150">
        <v>0</v>
      </c>
      <c r="K1835" s="150">
        <v>0</v>
      </c>
      <c r="L1835" s="150">
        <f t="shared" si="1541"/>
        <v>0</v>
      </c>
      <c r="M1835" s="150">
        <v>0</v>
      </c>
      <c r="N1835" s="150">
        <v>0</v>
      </c>
      <c r="O1835" s="150">
        <v>0</v>
      </c>
      <c r="P1835" s="150">
        <v>0</v>
      </c>
      <c r="Q1835" s="150">
        <v>0</v>
      </c>
      <c r="R1835" s="313">
        <f t="shared" si="1561"/>
        <v>0</v>
      </c>
      <c r="S1835" s="150">
        <f t="shared" si="1540"/>
        <v>0</v>
      </c>
      <c r="T1835" s="150">
        <v>0</v>
      </c>
      <c r="U1835" s="150">
        <v>0</v>
      </c>
      <c r="V1835" s="199">
        <v>0</v>
      </c>
      <c r="W1835" s="150">
        <f t="shared" si="1562"/>
        <v>0</v>
      </c>
      <c r="X1835" s="150">
        <v>0</v>
      </c>
      <c r="Y1835" s="150">
        <v>0</v>
      </c>
      <c r="Z1835" s="150">
        <v>0</v>
      </c>
      <c r="AA1835" s="150">
        <f t="shared" si="1535"/>
        <v>0</v>
      </c>
      <c r="AB1835" s="150">
        <v>0</v>
      </c>
      <c r="AC1835" s="199">
        <v>0</v>
      </c>
      <c r="AD1835" s="150">
        <f t="shared" si="1563"/>
        <v>0</v>
      </c>
      <c r="AE1835" s="150">
        <v>0</v>
      </c>
      <c r="AF1835" s="169" t="s">
        <v>4680</v>
      </c>
      <c r="AG1835" s="201">
        <v>0</v>
      </c>
      <c r="AH1835" s="199">
        <v>0</v>
      </c>
      <c r="AI1835" s="150">
        <v>0</v>
      </c>
      <c r="AJ1835" s="169">
        <f t="shared" si="1536"/>
        <v>0</v>
      </c>
      <c r="AK1835" s="201">
        <v>0</v>
      </c>
      <c r="AL1835" s="199">
        <v>0</v>
      </c>
      <c r="AM1835" s="150">
        <f t="shared" si="1564"/>
        <v>0</v>
      </c>
      <c r="AN1835" s="153">
        <f t="shared" si="1537"/>
        <v>0</v>
      </c>
      <c r="AO1835" s="154">
        <f t="shared" si="1538"/>
        <v>0</v>
      </c>
      <c r="AP1835" s="150">
        <v>0</v>
      </c>
      <c r="AQ1835" s="201">
        <v>0</v>
      </c>
      <c r="AR1835" s="199">
        <v>0</v>
      </c>
      <c r="AS1835" s="150">
        <f t="shared" si="1565"/>
        <v>0</v>
      </c>
      <c r="AT1835" s="155"/>
      <c r="AU1835" s="156">
        <f t="shared" si="1533"/>
        <v>0</v>
      </c>
      <c r="AV1835" s="156">
        <f t="shared" si="1534"/>
        <v>0</v>
      </c>
      <c r="AW1835" s="157"/>
      <c r="AX1835" s="150">
        <v>0</v>
      </c>
      <c r="AY1835" s="150">
        <v>0</v>
      </c>
      <c r="AZ1835" s="150">
        <f t="shared" si="1566"/>
        <v>0</v>
      </c>
      <c r="BA1835" s="150">
        <v>0</v>
      </c>
      <c r="BB1835" s="210"/>
      <c r="BC1835" s="210"/>
      <c r="BD1835" s="210"/>
      <c r="BE1835" s="210"/>
      <c r="BF1835" s="210"/>
      <c r="BG1835" s="210"/>
      <c r="BH1835" s="217"/>
      <c r="BI1835" s="210"/>
      <c r="BJ1835" s="210"/>
      <c r="BK1835" s="210"/>
      <c r="BL1835" s="210"/>
      <c r="BM1835" s="208"/>
      <c r="BN1835" s="160"/>
      <c r="BO1835" s="161"/>
      <c r="BP1835" s="161"/>
    </row>
    <row r="1836" spans="1:68" ht="51">
      <c r="A1836" s="210"/>
      <c r="B1836" s="195" t="s">
        <v>9411</v>
      </c>
      <c r="C1836" s="196" t="s">
        <v>9412</v>
      </c>
      <c r="D1836" s="146" t="s">
        <v>4692</v>
      </c>
      <c r="E1836" s="196" t="s">
        <v>9412</v>
      </c>
      <c r="F1836" s="150">
        <v>0</v>
      </c>
      <c r="G1836" s="209">
        <v>0</v>
      </c>
      <c r="H1836" s="209">
        <v>0</v>
      </c>
      <c r="I1836" s="209">
        <v>0</v>
      </c>
      <c r="J1836" s="150">
        <v>0</v>
      </c>
      <c r="K1836" s="150">
        <v>0</v>
      </c>
      <c r="L1836" s="150">
        <f t="shared" si="1541"/>
        <v>0</v>
      </c>
      <c r="M1836" s="150">
        <v>0</v>
      </c>
      <c r="N1836" s="150">
        <v>0</v>
      </c>
      <c r="O1836" s="150">
        <v>0</v>
      </c>
      <c r="P1836" s="150">
        <v>0.95</v>
      </c>
      <c r="Q1836" s="150">
        <v>0</v>
      </c>
      <c r="R1836" s="313">
        <f t="shared" si="1561"/>
        <v>0.95</v>
      </c>
      <c r="S1836" s="150">
        <f t="shared" si="1540"/>
        <v>1.2666666666666666</v>
      </c>
      <c r="T1836" s="150">
        <v>1.33</v>
      </c>
      <c r="U1836" s="150">
        <v>1.33</v>
      </c>
      <c r="V1836" s="199">
        <v>0</v>
      </c>
      <c r="W1836" s="150">
        <f t="shared" si="1562"/>
        <v>1.33</v>
      </c>
      <c r="X1836" s="150">
        <v>1.33</v>
      </c>
      <c r="Y1836" s="150">
        <v>0</v>
      </c>
      <c r="Z1836" s="150">
        <v>1.33</v>
      </c>
      <c r="AA1836" s="150">
        <f t="shared" si="1535"/>
        <v>0</v>
      </c>
      <c r="AB1836" s="150">
        <v>1.33</v>
      </c>
      <c r="AC1836" s="199">
        <v>0</v>
      </c>
      <c r="AD1836" s="150">
        <f t="shared" si="1563"/>
        <v>1.33</v>
      </c>
      <c r="AE1836" s="150">
        <v>1.33</v>
      </c>
      <c r="AF1836" s="169" t="s">
        <v>4680</v>
      </c>
      <c r="AG1836" s="201">
        <v>1.33</v>
      </c>
      <c r="AH1836" s="199">
        <v>0</v>
      </c>
      <c r="AI1836" s="150">
        <v>1.33</v>
      </c>
      <c r="AJ1836" s="169">
        <f t="shared" si="1536"/>
        <v>0</v>
      </c>
      <c r="AK1836" s="201">
        <v>1.33</v>
      </c>
      <c r="AL1836" s="199">
        <v>0</v>
      </c>
      <c r="AM1836" s="150">
        <f t="shared" si="1564"/>
        <v>1.33</v>
      </c>
      <c r="AN1836" s="153">
        <f t="shared" si="1537"/>
        <v>0</v>
      </c>
      <c r="AO1836" s="154">
        <f t="shared" si="1538"/>
        <v>0</v>
      </c>
      <c r="AP1836" s="150">
        <v>1.33</v>
      </c>
      <c r="AQ1836" s="201">
        <v>1.33</v>
      </c>
      <c r="AR1836" s="199">
        <v>0</v>
      </c>
      <c r="AS1836" s="150">
        <f t="shared" si="1565"/>
        <v>1.33</v>
      </c>
      <c r="AT1836" s="155"/>
      <c r="AU1836" s="156">
        <f t="shared" si="1533"/>
        <v>0</v>
      </c>
      <c r="AV1836" s="156">
        <f t="shared" si="1534"/>
        <v>0</v>
      </c>
      <c r="AW1836" s="157"/>
      <c r="AX1836" s="150">
        <v>1.33</v>
      </c>
      <c r="AY1836" s="150">
        <v>0</v>
      </c>
      <c r="AZ1836" s="150">
        <f t="shared" si="1566"/>
        <v>0</v>
      </c>
      <c r="BA1836" s="150">
        <v>0</v>
      </c>
      <c r="BB1836" s="210"/>
      <c r="BC1836" s="210"/>
      <c r="BD1836" s="210"/>
      <c r="BE1836" s="210"/>
      <c r="BF1836" s="210"/>
      <c r="BG1836" s="210"/>
      <c r="BH1836" s="217"/>
      <c r="BI1836" s="210"/>
      <c r="BJ1836" s="210"/>
      <c r="BK1836" s="210"/>
      <c r="BL1836" s="210"/>
      <c r="BM1836" s="208"/>
      <c r="BN1836" s="160"/>
      <c r="BO1836" s="161"/>
      <c r="BP1836" s="161"/>
    </row>
    <row r="1837" spans="1:68" ht="51">
      <c r="A1837" s="206" t="s">
        <v>600</v>
      </c>
      <c r="B1837" s="195" t="s">
        <v>9413</v>
      </c>
      <c r="C1837" s="196" t="s">
        <v>9414</v>
      </c>
      <c r="D1837" s="146" t="s">
        <v>4692</v>
      </c>
      <c r="E1837" s="196" t="s">
        <v>9414</v>
      </c>
      <c r="F1837" s="150">
        <v>0</v>
      </c>
      <c r="G1837" s="209">
        <v>3665.28</v>
      </c>
      <c r="H1837" s="209">
        <v>0</v>
      </c>
      <c r="I1837" s="209">
        <v>3665.28</v>
      </c>
      <c r="J1837" s="150">
        <v>0</v>
      </c>
      <c r="K1837" s="150">
        <v>0</v>
      </c>
      <c r="L1837" s="150">
        <f t="shared" si="1541"/>
        <v>0</v>
      </c>
      <c r="M1837" s="150">
        <v>0</v>
      </c>
      <c r="N1837" s="150">
        <v>0</v>
      </c>
      <c r="O1837" s="150">
        <v>0</v>
      </c>
      <c r="P1837" s="150">
        <v>0</v>
      </c>
      <c r="Q1837" s="150">
        <v>0</v>
      </c>
      <c r="R1837" s="313">
        <f t="shared" si="1561"/>
        <v>0</v>
      </c>
      <c r="S1837" s="150">
        <f t="shared" si="1540"/>
        <v>0</v>
      </c>
      <c r="T1837" s="150">
        <v>0</v>
      </c>
      <c r="U1837" s="150">
        <v>0</v>
      </c>
      <c r="V1837" s="199">
        <v>0</v>
      </c>
      <c r="W1837" s="150">
        <f t="shared" si="1562"/>
        <v>0</v>
      </c>
      <c r="X1837" s="150">
        <v>0</v>
      </c>
      <c r="Y1837" s="150">
        <v>0</v>
      </c>
      <c r="Z1837" s="150">
        <v>0</v>
      </c>
      <c r="AA1837" s="150">
        <f t="shared" si="1535"/>
        <v>0</v>
      </c>
      <c r="AB1837" s="150">
        <v>0</v>
      </c>
      <c r="AC1837" s="199">
        <v>0</v>
      </c>
      <c r="AD1837" s="150">
        <f t="shared" si="1563"/>
        <v>0</v>
      </c>
      <c r="AE1837" s="150">
        <v>0</v>
      </c>
      <c r="AF1837" s="169" t="s">
        <v>4680</v>
      </c>
      <c r="AG1837" s="201">
        <v>0</v>
      </c>
      <c r="AH1837" s="199">
        <v>0</v>
      </c>
      <c r="AI1837" s="150">
        <v>0</v>
      </c>
      <c r="AJ1837" s="169">
        <f t="shared" si="1536"/>
        <v>0</v>
      </c>
      <c r="AK1837" s="201">
        <v>0</v>
      </c>
      <c r="AL1837" s="199">
        <v>0</v>
      </c>
      <c r="AM1837" s="150">
        <f t="shared" si="1564"/>
        <v>0</v>
      </c>
      <c r="AN1837" s="153">
        <f t="shared" si="1537"/>
        <v>0</v>
      </c>
      <c r="AO1837" s="154">
        <f t="shared" si="1538"/>
        <v>0</v>
      </c>
      <c r="AP1837" s="150">
        <v>0</v>
      </c>
      <c r="AQ1837" s="201">
        <v>0</v>
      </c>
      <c r="AR1837" s="199">
        <v>0</v>
      </c>
      <c r="AS1837" s="150">
        <f t="shared" si="1565"/>
        <v>0</v>
      </c>
      <c r="AT1837" s="155"/>
      <c r="AU1837" s="156">
        <f t="shared" si="1533"/>
        <v>0</v>
      </c>
      <c r="AV1837" s="156">
        <f t="shared" si="1534"/>
        <v>0</v>
      </c>
      <c r="AW1837" s="157"/>
      <c r="AX1837" s="150">
        <v>0</v>
      </c>
      <c r="AY1837" s="150">
        <v>0</v>
      </c>
      <c r="AZ1837" s="150">
        <f t="shared" si="1566"/>
        <v>0</v>
      </c>
      <c r="BA1837" s="150">
        <v>0</v>
      </c>
      <c r="BB1837" s="202">
        <v>5</v>
      </c>
      <c r="BC1837" s="202" t="s">
        <v>766</v>
      </c>
      <c r="BD1837" s="202" t="s">
        <v>632</v>
      </c>
      <c r="BE1837" s="202" t="s">
        <v>632</v>
      </c>
      <c r="BF1837" s="194" t="s">
        <v>739</v>
      </c>
      <c r="BG1837" s="231" t="s">
        <v>9415</v>
      </c>
      <c r="BH1837" s="216">
        <f>AS1837</f>
        <v>0</v>
      </c>
      <c r="BI1837" s="205"/>
      <c r="BJ1837" s="206" t="s">
        <v>9379</v>
      </c>
      <c r="BK1837" s="206" t="s">
        <v>600</v>
      </c>
      <c r="BL1837" s="207" t="s">
        <v>9380</v>
      </c>
      <c r="BM1837" s="208">
        <f>BH1837</f>
        <v>0</v>
      </c>
      <c r="BN1837" s="160"/>
      <c r="BO1837" s="161">
        <f t="shared" si="1542"/>
        <v>0</v>
      </c>
      <c r="BP1837" s="161"/>
    </row>
    <row r="1838" spans="1:68" ht="51">
      <c r="A1838" s="206" t="s">
        <v>600</v>
      </c>
      <c r="B1838" s="195" t="s">
        <v>9416</v>
      </c>
      <c r="C1838" s="196" t="s">
        <v>9417</v>
      </c>
      <c r="D1838" s="146" t="s">
        <v>4692</v>
      </c>
      <c r="E1838" s="196" t="s">
        <v>9417</v>
      </c>
      <c r="F1838" s="150">
        <v>3665.28</v>
      </c>
      <c r="G1838" s="209">
        <v>0</v>
      </c>
      <c r="H1838" s="209">
        <v>0</v>
      </c>
      <c r="I1838" s="209">
        <v>0</v>
      </c>
      <c r="J1838" s="150">
        <v>0</v>
      </c>
      <c r="K1838" s="150">
        <v>0</v>
      </c>
      <c r="L1838" s="150">
        <f t="shared" si="1541"/>
        <v>0</v>
      </c>
      <c r="M1838" s="150">
        <v>0</v>
      </c>
      <c r="N1838" s="150">
        <v>0</v>
      </c>
      <c r="O1838" s="150">
        <v>0</v>
      </c>
      <c r="P1838" s="150">
        <v>0</v>
      </c>
      <c r="Q1838" s="150">
        <v>0</v>
      </c>
      <c r="R1838" s="313">
        <f t="shared" si="1561"/>
        <v>0</v>
      </c>
      <c r="S1838" s="150">
        <f t="shared" si="1540"/>
        <v>0</v>
      </c>
      <c r="T1838" s="150">
        <v>0</v>
      </c>
      <c r="U1838" s="150">
        <v>0</v>
      </c>
      <c r="V1838" s="199">
        <v>0</v>
      </c>
      <c r="W1838" s="150">
        <f t="shared" si="1562"/>
        <v>0</v>
      </c>
      <c r="X1838" s="150">
        <v>0</v>
      </c>
      <c r="Y1838" s="150">
        <v>0</v>
      </c>
      <c r="Z1838" s="150">
        <v>0</v>
      </c>
      <c r="AA1838" s="150">
        <f t="shared" si="1535"/>
        <v>0</v>
      </c>
      <c r="AB1838" s="150">
        <v>0</v>
      </c>
      <c r="AC1838" s="199">
        <v>0</v>
      </c>
      <c r="AD1838" s="150">
        <f t="shared" si="1563"/>
        <v>0</v>
      </c>
      <c r="AE1838" s="150">
        <v>0</v>
      </c>
      <c r="AF1838" s="169" t="s">
        <v>4680</v>
      </c>
      <c r="AG1838" s="201">
        <v>0</v>
      </c>
      <c r="AH1838" s="199">
        <v>0</v>
      </c>
      <c r="AI1838" s="150">
        <v>0</v>
      </c>
      <c r="AJ1838" s="169">
        <f t="shared" si="1536"/>
        <v>0</v>
      </c>
      <c r="AK1838" s="201">
        <v>0</v>
      </c>
      <c r="AL1838" s="199">
        <v>0</v>
      </c>
      <c r="AM1838" s="150">
        <f t="shared" si="1564"/>
        <v>0</v>
      </c>
      <c r="AN1838" s="153">
        <f t="shared" si="1537"/>
        <v>0</v>
      </c>
      <c r="AO1838" s="154">
        <f t="shared" si="1538"/>
        <v>0</v>
      </c>
      <c r="AP1838" s="150">
        <v>0</v>
      </c>
      <c r="AQ1838" s="201">
        <v>0</v>
      </c>
      <c r="AR1838" s="199">
        <v>0</v>
      </c>
      <c r="AS1838" s="150">
        <f t="shared" si="1565"/>
        <v>0</v>
      </c>
      <c r="AT1838" s="155"/>
      <c r="AU1838" s="156">
        <f t="shared" si="1533"/>
        <v>0</v>
      </c>
      <c r="AV1838" s="156">
        <f t="shared" si="1534"/>
        <v>0</v>
      </c>
      <c r="AW1838" s="157"/>
      <c r="AX1838" s="150">
        <v>0</v>
      </c>
      <c r="AY1838" s="150">
        <v>0</v>
      </c>
      <c r="AZ1838" s="150">
        <f t="shared" si="1566"/>
        <v>0</v>
      </c>
      <c r="BA1838" s="150">
        <v>0</v>
      </c>
      <c r="BB1838" s="202">
        <v>5</v>
      </c>
      <c r="BC1838" s="202" t="s">
        <v>766</v>
      </c>
      <c r="BD1838" s="202" t="s">
        <v>632</v>
      </c>
      <c r="BE1838" s="202" t="s">
        <v>632</v>
      </c>
      <c r="BF1838" s="194" t="s">
        <v>755</v>
      </c>
      <c r="BG1838" s="231" t="s">
        <v>9418</v>
      </c>
      <c r="BH1838" s="216">
        <f>SUM(AS1838:AS1849)</f>
        <v>0</v>
      </c>
      <c r="BI1838" s="205"/>
      <c r="BJ1838" s="206" t="s">
        <v>9379</v>
      </c>
      <c r="BK1838" s="206" t="s">
        <v>600</v>
      </c>
      <c r="BL1838" s="207" t="s">
        <v>9380</v>
      </c>
      <c r="BM1838" s="208">
        <f>BH1838</f>
        <v>0</v>
      </c>
      <c r="BN1838" s="160"/>
      <c r="BO1838" s="161">
        <f t="shared" si="1542"/>
        <v>0</v>
      </c>
      <c r="BP1838" s="161"/>
    </row>
    <row r="1839" spans="1:68" ht="51">
      <c r="A1839" s="210"/>
      <c r="B1839" s="195" t="s">
        <v>9419</v>
      </c>
      <c r="C1839" s="196" t="s">
        <v>9420</v>
      </c>
      <c r="D1839" s="146" t="s">
        <v>4692</v>
      </c>
      <c r="E1839" s="196" t="s">
        <v>9420</v>
      </c>
      <c r="F1839" s="150">
        <v>0</v>
      </c>
      <c r="G1839" s="209">
        <v>0</v>
      </c>
      <c r="H1839" s="209">
        <v>0</v>
      </c>
      <c r="I1839" s="209">
        <v>0</v>
      </c>
      <c r="J1839" s="150">
        <v>0</v>
      </c>
      <c r="K1839" s="150">
        <v>0</v>
      </c>
      <c r="L1839" s="150">
        <f t="shared" si="1541"/>
        <v>0</v>
      </c>
      <c r="M1839" s="150">
        <v>0</v>
      </c>
      <c r="N1839" s="150">
        <v>0</v>
      </c>
      <c r="O1839" s="150">
        <v>0</v>
      </c>
      <c r="P1839" s="150">
        <v>0</v>
      </c>
      <c r="Q1839" s="150">
        <v>0</v>
      </c>
      <c r="R1839" s="313">
        <f t="shared" si="1561"/>
        <v>0</v>
      </c>
      <c r="S1839" s="150">
        <f t="shared" si="1540"/>
        <v>0</v>
      </c>
      <c r="T1839" s="150">
        <v>0</v>
      </c>
      <c r="U1839" s="150">
        <v>0</v>
      </c>
      <c r="V1839" s="199">
        <v>0</v>
      </c>
      <c r="W1839" s="150">
        <f t="shared" si="1562"/>
        <v>0</v>
      </c>
      <c r="X1839" s="150">
        <v>0</v>
      </c>
      <c r="Y1839" s="150">
        <v>0</v>
      </c>
      <c r="Z1839" s="150">
        <v>0</v>
      </c>
      <c r="AA1839" s="150">
        <f t="shared" si="1535"/>
        <v>0</v>
      </c>
      <c r="AB1839" s="150">
        <v>0</v>
      </c>
      <c r="AC1839" s="199">
        <v>0</v>
      </c>
      <c r="AD1839" s="150">
        <f t="shared" si="1563"/>
        <v>0</v>
      </c>
      <c r="AE1839" s="150">
        <v>0</v>
      </c>
      <c r="AF1839" s="169" t="s">
        <v>4680</v>
      </c>
      <c r="AG1839" s="201">
        <v>0</v>
      </c>
      <c r="AH1839" s="199">
        <v>0</v>
      </c>
      <c r="AI1839" s="150">
        <v>0</v>
      </c>
      <c r="AJ1839" s="169">
        <f t="shared" si="1536"/>
        <v>0</v>
      </c>
      <c r="AK1839" s="201">
        <v>0</v>
      </c>
      <c r="AL1839" s="199">
        <v>0</v>
      </c>
      <c r="AM1839" s="150">
        <f t="shared" si="1564"/>
        <v>0</v>
      </c>
      <c r="AN1839" s="153">
        <f t="shared" si="1537"/>
        <v>0</v>
      </c>
      <c r="AO1839" s="154">
        <f t="shared" si="1538"/>
        <v>0</v>
      </c>
      <c r="AP1839" s="150">
        <v>0</v>
      </c>
      <c r="AQ1839" s="201">
        <v>0</v>
      </c>
      <c r="AR1839" s="199">
        <v>0</v>
      </c>
      <c r="AS1839" s="150">
        <f t="shared" si="1565"/>
        <v>0</v>
      </c>
      <c r="AT1839" s="155"/>
      <c r="AU1839" s="156">
        <f t="shared" si="1533"/>
        <v>0</v>
      </c>
      <c r="AV1839" s="156">
        <f t="shared" si="1534"/>
        <v>0</v>
      </c>
      <c r="AW1839" s="157"/>
      <c r="AX1839" s="150">
        <v>0</v>
      </c>
      <c r="AY1839" s="150">
        <v>0</v>
      </c>
      <c r="AZ1839" s="150">
        <f t="shared" si="1566"/>
        <v>0</v>
      </c>
      <c r="BA1839" s="150">
        <v>0</v>
      </c>
      <c r="BB1839" s="210"/>
      <c r="BC1839" s="210"/>
      <c r="BD1839" s="210"/>
      <c r="BE1839" s="210"/>
      <c r="BF1839" s="210"/>
      <c r="BG1839" s="210"/>
      <c r="BH1839" s="217"/>
      <c r="BI1839" s="210"/>
      <c r="BJ1839" s="210"/>
      <c r="BK1839" s="210"/>
      <c r="BL1839" s="210"/>
      <c r="BM1839" s="208"/>
      <c r="BN1839" s="160"/>
      <c r="BO1839" s="161">
        <f t="shared" si="1542"/>
        <v>0</v>
      </c>
      <c r="BP1839" s="161"/>
    </row>
    <row r="1840" spans="1:68" ht="38.25">
      <c r="A1840" s="210"/>
      <c r="B1840" s="195" t="s">
        <v>9421</v>
      </c>
      <c r="C1840" s="196" t="s">
        <v>9422</v>
      </c>
      <c r="D1840" s="146" t="s">
        <v>4692</v>
      </c>
      <c r="E1840" s="196" t="s">
        <v>9422</v>
      </c>
      <c r="F1840" s="150">
        <v>0</v>
      </c>
      <c r="G1840" s="209">
        <v>0</v>
      </c>
      <c r="H1840" s="209">
        <v>0</v>
      </c>
      <c r="I1840" s="209">
        <v>0</v>
      </c>
      <c r="J1840" s="150">
        <v>0</v>
      </c>
      <c r="K1840" s="150">
        <v>0</v>
      </c>
      <c r="L1840" s="150">
        <f t="shared" si="1541"/>
        <v>0</v>
      </c>
      <c r="M1840" s="150">
        <v>0</v>
      </c>
      <c r="N1840" s="150">
        <v>0</v>
      </c>
      <c r="O1840" s="150">
        <v>0</v>
      </c>
      <c r="P1840" s="150">
        <v>0</v>
      </c>
      <c r="Q1840" s="150">
        <v>0</v>
      </c>
      <c r="R1840" s="313">
        <f t="shared" si="1561"/>
        <v>0</v>
      </c>
      <c r="S1840" s="150">
        <f t="shared" si="1540"/>
        <v>0</v>
      </c>
      <c r="T1840" s="150">
        <v>0</v>
      </c>
      <c r="U1840" s="150">
        <v>0</v>
      </c>
      <c r="V1840" s="199">
        <v>0</v>
      </c>
      <c r="W1840" s="150">
        <f t="shared" si="1562"/>
        <v>0</v>
      </c>
      <c r="X1840" s="150">
        <v>0</v>
      </c>
      <c r="Y1840" s="150">
        <v>0</v>
      </c>
      <c r="Z1840" s="150">
        <v>0</v>
      </c>
      <c r="AA1840" s="150">
        <f t="shared" si="1535"/>
        <v>0</v>
      </c>
      <c r="AB1840" s="150">
        <v>0</v>
      </c>
      <c r="AC1840" s="199">
        <v>0</v>
      </c>
      <c r="AD1840" s="150">
        <f t="shared" si="1563"/>
        <v>0</v>
      </c>
      <c r="AE1840" s="150">
        <v>0</v>
      </c>
      <c r="AF1840" s="169" t="s">
        <v>4680</v>
      </c>
      <c r="AG1840" s="201">
        <v>0</v>
      </c>
      <c r="AH1840" s="199">
        <v>0</v>
      </c>
      <c r="AI1840" s="150">
        <v>0</v>
      </c>
      <c r="AJ1840" s="169">
        <f t="shared" si="1536"/>
        <v>0</v>
      </c>
      <c r="AK1840" s="201">
        <v>0</v>
      </c>
      <c r="AL1840" s="199">
        <v>0</v>
      </c>
      <c r="AM1840" s="150">
        <f t="shared" si="1564"/>
        <v>0</v>
      </c>
      <c r="AN1840" s="153">
        <f t="shared" si="1537"/>
        <v>0</v>
      </c>
      <c r="AO1840" s="154">
        <f t="shared" si="1538"/>
        <v>0</v>
      </c>
      <c r="AP1840" s="150">
        <v>0</v>
      </c>
      <c r="AQ1840" s="201">
        <v>0</v>
      </c>
      <c r="AR1840" s="199">
        <v>0</v>
      </c>
      <c r="AS1840" s="150">
        <f t="shared" si="1565"/>
        <v>0</v>
      </c>
      <c r="AT1840" s="155"/>
      <c r="AU1840" s="156">
        <f t="shared" si="1533"/>
        <v>0</v>
      </c>
      <c r="AV1840" s="156">
        <f t="shared" si="1534"/>
        <v>0</v>
      </c>
      <c r="AW1840" s="157"/>
      <c r="AX1840" s="150">
        <v>0</v>
      </c>
      <c r="AY1840" s="150">
        <v>0</v>
      </c>
      <c r="AZ1840" s="150">
        <f t="shared" si="1566"/>
        <v>0</v>
      </c>
      <c r="BA1840" s="150">
        <v>0</v>
      </c>
      <c r="BB1840" s="210"/>
      <c r="BC1840" s="210"/>
      <c r="BD1840" s="210"/>
      <c r="BE1840" s="210"/>
      <c r="BF1840" s="210"/>
      <c r="BG1840" s="210"/>
      <c r="BH1840" s="217"/>
      <c r="BI1840" s="210"/>
      <c r="BJ1840" s="210"/>
      <c r="BK1840" s="210"/>
      <c r="BL1840" s="210"/>
      <c r="BM1840" s="208"/>
      <c r="BN1840" s="160"/>
      <c r="BO1840" s="161">
        <f t="shared" si="1542"/>
        <v>0</v>
      </c>
      <c r="BP1840" s="161"/>
    </row>
    <row r="1841" spans="1:68" ht="38.25">
      <c r="A1841" s="210"/>
      <c r="B1841" s="195" t="s">
        <v>9423</v>
      </c>
      <c r="C1841" s="196" t="s">
        <v>9424</v>
      </c>
      <c r="D1841" s="146" t="s">
        <v>4692</v>
      </c>
      <c r="E1841" s="196" t="s">
        <v>9424</v>
      </c>
      <c r="F1841" s="150">
        <v>0</v>
      </c>
      <c r="G1841" s="209">
        <v>0</v>
      </c>
      <c r="H1841" s="209">
        <v>0</v>
      </c>
      <c r="I1841" s="209">
        <v>0</v>
      </c>
      <c r="J1841" s="150">
        <v>0</v>
      </c>
      <c r="K1841" s="150">
        <v>0</v>
      </c>
      <c r="L1841" s="150">
        <f t="shared" si="1541"/>
        <v>0</v>
      </c>
      <c r="M1841" s="150">
        <v>0</v>
      </c>
      <c r="N1841" s="150">
        <v>0</v>
      </c>
      <c r="O1841" s="150">
        <v>0</v>
      </c>
      <c r="P1841" s="150">
        <v>0</v>
      </c>
      <c r="Q1841" s="150">
        <v>0</v>
      </c>
      <c r="R1841" s="313">
        <f t="shared" si="1561"/>
        <v>0</v>
      </c>
      <c r="S1841" s="150">
        <f t="shared" si="1540"/>
        <v>0</v>
      </c>
      <c r="T1841" s="150">
        <v>0</v>
      </c>
      <c r="U1841" s="150">
        <v>0</v>
      </c>
      <c r="V1841" s="199">
        <v>0</v>
      </c>
      <c r="W1841" s="150">
        <f t="shared" si="1562"/>
        <v>0</v>
      </c>
      <c r="X1841" s="150">
        <v>0</v>
      </c>
      <c r="Y1841" s="150">
        <v>0</v>
      </c>
      <c r="Z1841" s="150">
        <v>0</v>
      </c>
      <c r="AA1841" s="150">
        <f t="shared" si="1535"/>
        <v>0</v>
      </c>
      <c r="AB1841" s="150">
        <v>0</v>
      </c>
      <c r="AC1841" s="199">
        <v>0</v>
      </c>
      <c r="AD1841" s="150">
        <f t="shared" si="1563"/>
        <v>0</v>
      </c>
      <c r="AE1841" s="150">
        <v>0</v>
      </c>
      <c r="AF1841" s="169" t="s">
        <v>4680</v>
      </c>
      <c r="AG1841" s="201">
        <v>0</v>
      </c>
      <c r="AH1841" s="199">
        <v>0</v>
      </c>
      <c r="AI1841" s="150">
        <v>0</v>
      </c>
      <c r="AJ1841" s="169">
        <f t="shared" si="1536"/>
        <v>0</v>
      </c>
      <c r="AK1841" s="201">
        <v>0</v>
      </c>
      <c r="AL1841" s="199">
        <v>0</v>
      </c>
      <c r="AM1841" s="150">
        <f t="shared" si="1564"/>
        <v>0</v>
      </c>
      <c r="AN1841" s="153">
        <f t="shared" si="1537"/>
        <v>0</v>
      </c>
      <c r="AO1841" s="154">
        <f t="shared" si="1538"/>
        <v>0</v>
      </c>
      <c r="AP1841" s="150">
        <v>0</v>
      </c>
      <c r="AQ1841" s="201">
        <v>0</v>
      </c>
      <c r="AR1841" s="199">
        <v>0</v>
      </c>
      <c r="AS1841" s="150">
        <f t="shared" si="1565"/>
        <v>0</v>
      </c>
      <c r="AT1841" s="155"/>
      <c r="AU1841" s="156">
        <f t="shared" si="1533"/>
        <v>0</v>
      </c>
      <c r="AV1841" s="156">
        <f t="shared" si="1534"/>
        <v>0</v>
      </c>
      <c r="AW1841" s="157"/>
      <c r="AX1841" s="150">
        <v>0</v>
      </c>
      <c r="AY1841" s="150">
        <v>0</v>
      </c>
      <c r="AZ1841" s="150">
        <f t="shared" si="1566"/>
        <v>0</v>
      </c>
      <c r="BA1841" s="150">
        <v>0</v>
      </c>
      <c r="BB1841" s="210"/>
      <c r="BC1841" s="210"/>
      <c r="BD1841" s="210"/>
      <c r="BE1841" s="210"/>
      <c r="BF1841" s="210"/>
      <c r="BG1841" s="210"/>
      <c r="BH1841" s="217"/>
      <c r="BI1841" s="210"/>
      <c r="BJ1841" s="210"/>
      <c r="BK1841" s="210"/>
      <c r="BL1841" s="210"/>
      <c r="BM1841" s="208"/>
      <c r="BN1841" s="160"/>
      <c r="BO1841" s="161">
        <f t="shared" si="1542"/>
        <v>0</v>
      </c>
      <c r="BP1841" s="161"/>
    </row>
    <row r="1842" spans="1:68" ht="51">
      <c r="A1842" s="210"/>
      <c r="B1842" s="195" t="s">
        <v>9425</v>
      </c>
      <c r="C1842" s="196" t="s">
        <v>9426</v>
      </c>
      <c r="D1842" s="146" t="s">
        <v>4692</v>
      </c>
      <c r="E1842" s="196" t="s">
        <v>9426</v>
      </c>
      <c r="F1842" s="150">
        <v>0</v>
      </c>
      <c r="G1842" s="209">
        <v>0</v>
      </c>
      <c r="H1842" s="209">
        <v>0</v>
      </c>
      <c r="I1842" s="209">
        <v>0</v>
      </c>
      <c r="J1842" s="150">
        <v>0</v>
      </c>
      <c r="K1842" s="150">
        <v>0</v>
      </c>
      <c r="L1842" s="150">
        <f t="shared" si="1541"/>
        <v>0</v>
      </c>
      <c r="M1842" s="150">
        <v>0</v>
      </c>
      <c r="N1842" s="150">
        <v>0</v>
      </c>
      <c r="O1842" s="150">
        <v>0</v>
      </c>
      <c r="P1842" s="150">
        <v>0</v>
      </c>
      <c r="Q1842" s="150">
        <v>0</v>
      </c>
      <c r="R1842" s="313">
        <f t="shared" si="1561"/>
        <v>0</v>
      </c>
      <c r="S1842" s="150">
        <f t="shared" si="1540"/>
        <v>0</v>
      </c>
      <c r="T1842" s="150">
        <v>0</v>
      </c>
      <c r="U1842" s="150">
        <v>0</v>
      </c>
      <c r="V1842" s="199">
        <v>0</v>
      </c>
      <c r="W1842" s="150">
        <f t="shared" si="1562"/>
        <v>0</v>
      </c>
      <c r="X1842" s="150">
        <v>0</v>
      </c>
      <c r="Y1842" s="150">
        <v>0</v>
      </c>
      <c r="Z1842" s="150">
        <v>0</v>
      </c>
      <c r="AA1842" s="150">
        <f t="shared" si="1535"/>
        <v>0</v>
      </c>
      <c r="AB1842" s="150">
        <v>0</v>
      </c>
      <c r="AC1842" s="199">
        <v>0</v>
      </c>
      <c r="AD1842" s="150">
        <f t="shared" si="1563"/>
        <v>0</v>
      </c>
      <c r="AE1842" s="150">
        <v>0</v>
      </c>
      <c r="AF1842" s="169" t="s">
        <v>4680</v>
      </c>
      <c r="AG1842" s="201">
        <v>0</v>
      </c>
      <c r="AH1842" s="199">
        <v>0</v>
      </c>
      <c r="AI1842" s="150">
        <v>0</v>
      </c>
      <c r="AJ1842" s="169">
        <f t="shared" si="1536"/>
        <v>0</v>
      </c>
      <c r="AK1842" s="201">
        <v>0</v>
      </c>
      <c r="AL1842" s="199">
        <v>0</v>
      </c>
      <c r="AM1842" s="150">
        <f t="shared" si="1564"/>
        <v>0</v>
      </c>
      <c r="AN1842" s="153">
        <f t="shared" si="1537"/>
        <v>0</v>
      </c>
      <c r="AO1842" s="154">
        <f t="shared" si="1538"/>
        <v>0</v>
      </c>
      <c r="AP1842" s="150">
        <v>0</v>
      </c>
      <c r="AQ1842" s="201">
        <v>0</v>
      </c>
      <c r="AR1842" s="199">
        <v>0</v>
      </c>
      <c r="AS1842" s="150">
        <f t="shared" si="1565"/>
        <v>0</v>
      </c>
      <c r="AT1842" s="155"/>
      <c r="AU1842" s="156">
        <f t="shared" si="1533"/>
        <v>0</v>
      </c>
      <c r="AV1842" s="156">
        <f t="shared" si="1534"/>
        <v>0</v>
      </c>
      <c r="AW1842" s="157"/>
      <c r="AX1842" s="150">
        <v>0</v>
      </c>
      <c r="AY1842" s="150">
        <v>0</v>
      </c>
      <c r="AZ1842" s="150">
        <f t="shared" si="1566"/>
        <v>0</v>
      </c>
      <c r="BA1842" s="150">
        <v>0</v>
      </c>
      <c r="BB1842" s="210"/>
      <c r="BC1842" s="210"/>
      <c r="BD1842" s="210"/>
      <c r="BE1842" s="210"/>
      <c r="BF1842" s="210"/>
      <c r="BG1842" s="210"/>
      <c r="BH1842" s="217"/>
      <c r="BI1842" s="210"/>
      <c r="BJ1842" s="210"/>
      <c r="BK1842" s="210"/>
      <c r="BL1842" s="210"/>
      <c r="BM1842" s="208"/>
      <c r="BN1842" s="160"/>
      <c r="BO1842" s="161">
        <f t="shared" si="1542"/>
        <v>0</v>
      </c>
      <c r="BP1842" s="161"/>
    </row>
    <row r="1843" spans="1:68" ht="38.25">
      <c r="A1843" s="210"/>
      <c r="B1843" s="195" t="s">
        <v>9427</v>
      </c>
      <c r="C1843" s="196" t="s">
        <v>9428</v>
      </c>
      <c r="D1843" s="146" t="s">
        <v>4692</v>
      </c>
      <c r="E1843" s="196" t="s">
        <v>9428</v>
      </c>
      <c r="F1843" s="150">
        <v>0</v>
      </c>
      <c r="G1843" s="209">
        <v>0</v>
      </c>
      <c r="H1843" s="209">
        <v>0</v>
      </c>
      <c r="I1843" s="209">
        <v>0</v>
      </c>
      <c r="J1843" s="150">
        <v>0</v>
      </c>
      <c r="K1843" s="150">
        <v>0</v>
      </c>
      <c r="L1843" s="150">
        <f t="shared" si="1541"/>
        <v>0</v>
      </c>
      <c r="M1843" s="150">
        <v>0</v>
      </c>
      <c r="N1843" s="150">
        <v>0</v>
      </c>
      <c r="O1843" s="150">
        <v>0</v>
      </c>
      <c r="P1843" s="150">
        <v>0</v>
      </c>
      <c r="Q1843" s="150">
        <v>0</v>
      </c>
      <c r="R1843" s="313">
        <f t="shared" si="1561"/>
        <v>0</v>
      </c>
      <c r="S1843" s="150">
        <f t="shared" si="1540"/>
        <v>0</v>
      </c>
      <c r="T1843" s="150">
        <v>0</v>
      </c>
      <c r="U1843" s="150">
        <v>0</v>
      </c>
      <c r="V1843" s="199">
        <v>0</v>
      </c>
      <c r="W1843" s="150">
        <f t="shared" si="1562"/>
        <v>0</v>
      </c>
      <c r="X1843" s="150">
        <v>0</v>
      </c>
      <c r="Y1843" s="150">
        <v>0</v>
      </c>
      <c r="Z1843" s="150">
        <v>0</v>
      </c>
      <c r="AA1843" s="150">
        <f t="shared" si="1535"/>
        <v>0</v>
      </c>
      <c r="AB1843" s="150">
        <v>0</v>
      </c>
      <c r="AC1843" s="199">
        <v>0</v>
      </c>
      <c r="AD1843" s="150">
        <f t="shared" si="1563"/>
        <v>0</v>
      </c>
      <c r="AE1843" s="150">
        <v>0</v>
      </c>
      <c r="AF1843" s="169" t="s">
        <v>4680</v>
      </c>
      <c r="AG1843" s="201">
        <v>0</v>
      </c>
      <c r="AH1843" s="199">
        <v>0</v>
      </c>
      <c r="AI1843" s="150">
        <v>0</v>
      </c>
      <c r="AJ1843" s="169">
        <f t="shared" si="1536"/>
        <v>0</v>
      </c>
      <c r="AK1843" s="201">
        <v>0</v>
      </c>
      <c r="AL1843" s="199">
        <v>0</v>
      </c>
      <c r="AM1843" s="150">
        <f t="shared" si="1564"/>
        <v>0</v>
      </c>
      <c r="AN1843" s="153">
        <f t="shared" si="1537"/>
        <v>0</v>
      </c>
      <c r="AO1843" s="154">
        <f t="shared" si="1538"/>
        <v>0</v>
      </c>
      <c r="AP1843" s="150">
        <v>0</v>
      </c>
      <c r="AQ1843" s="201">
        <v>0</v>
      </c>
      <c r="AR1843" s="199">
        <v>0</v>
      </c>
      <c r="AS1843" s="150">
        <f t="shared" si="1565"/>
        <v>0</v>
      </c>
      <c r="AT1843" s="155"/>
      <c r="AU1843" s="156">
        <f t="shared" si="1533"/>
        <v>0</v>
      </c>
      <c r="AV1843" s="156">
        <f t="shared" si="1534"/>
        <v>0</v>
      </c>
      <c r="AW1843" s="157"/>
      <c r="AX1843" s="150">
        <v>0</v>
      </c>
      <c r="AY1843" s="150">
        <v>0</v>
      </c>
      <c r="AZ1843" s="150">
        <f t="shared" si="1566"/>
        <v>0</v>
      </c>
      <c r="BA1843" s="150">
        <v>0</v>
      </c>
      <c r="BB1843" s="210"/>
      <c r="BC1843" s="210"/>
      <c r="BD1843" s="210"/>
      <c r="BE1843" s="210"/>
      <c r="BF1843" s="210"/>
      <c r="BG1843" s="210"/>
      <c r="BH1843" s="217"/>
      <c r="BI1843" s="210"/>
      <c r="BJ1843" s="210"/>
      <c r="BK1843" s="210"/>
      <c r="BL1843" s="210"/>
      <c r="BM1843" s="208"/>
      <c r="BN1843" s="160"/>
      <c r="BO1843" s="161">
        <f t="shared" si="1542"/>
        <v>0</v>
      </c>
      <c r="BP1843" s="161"/>
    </row>
    <row r="1844" spans="1:68" ht="51">
      <c r="A1844" s="210"/>
      <c r="B1844" s="195" t="s">
        <v>9429</v>
      </c>
      <c r="C1844" s="196" t="s">
        <v>9430</v>
      </c>
      <c r="D1844" s="146" t="s">
        <v>4692</v>
      </c>
      <c r="E1844" s="196" t="s">
        <v>9430</v>
      </c>
      <c r="F1844" s="150">
        <v>0</v>
      </c>
      <c r="G1844" s="209">
        <v>0</v>
      </c>
      <c r="H1844" s="209">
        <v>0</v>
      </c>
      <c r="I1844" s="209">
        <v>0</v>
      </c>
      <c r="J1844" s="150">
        <v>0</v>
      </c>
      <c r="K1844" s="150">
        <v>0</v>
      </c>
      <c r="L1844" s="150">
        <f t="shared" si="1541"/>
        <v>0</v>
      </c>
      <c r="M1844" s="150">
        <v>0</v>
      </c>
      <c r="N1844" s="150">
        <v>0</v>
      </c>
      <c r="O1844" s="150">
        <v>0</v>
      </c>
      <c r="P1844" s="150">
        <v>0</v>
      </c>
      <c r="Q1844" s="150">
        <v>0</v>
      </c>
      <c r="R1844" s="313">
        <f t="shared" si="1561"/>
        <v>0</v>
      </c>
      <c r="S1844" s="150">
        <f t="shared" si="1540"/>
        <v>0</v>
      </c>
      <c r="T1844" s="150">
        <v>0</v>
      </c>
      <c r="U1844" s="150">
        <v>0</v>
      </c>
      <c r="V1844" s="199">
        <v>0</v>
      </c>
      <c r="W1844" s="150">
        <f t="shared" si="1562"/>
        <v>0</v>
      </c>
      <c r="X1844" s="150">
        <v>0</v>
      </c>
      <c r="Y1844" s="150">
        <v>0</v>
      </c>
      <c r="Z1844" s="150">
        <v>0</v>
      </c>
      <c r="AA1844" s="150">
        <f t="shared" si="1535"/>
        <v>0</v>
      </c>
      <c r="AB1844" s="150">
        <v>0</v>
      </c>
      <c r="AC1844" s="199">
        <v>0</v>
      </c>
      <c r="AD1844" s="150">
        <f t="shared" si="1563"/>
        <v>0</v>
      </c>
      <c r="AE1844" s="150">
        <v>0</v>
      </c>
      <c r="AF1844" s="169" t="s">
        <v>4680</v>
      </c>
      <c r="AG1844" s="201">
        <v>0</v>
      </c>
      <c r="AH1844" s="199">
        <v>0</v>
      </c>
      <c r="AI1844" s="150">
        <v>0</v>
      </c>
      <c r="AJ1844" s="169">
        <f t="shared" si="1536"/>
        <v>0</v>
      </c>
      <c r="AK1844" s="201">
        <v>0</v>
      </c>
      <c r="AL1844" s="199">
        <v>0</v>
      </c>
      <c r="AM1844" s="150">
        <f t="shared" si="1564"/>
        <v>0</v>
      </c>
      <c r="AN1844" s="153">
        <f t="shared" si="1537"/>
        <v>0</v>
      </c>
      <c r="AO1844" s="154">
        <f t="shared" si="1538"/>
        <v>0</v>
      </c>
      <c r="AP1844" s="150">
        <v>0</v>
      </c>
      <c r="AQ1844" s="201">
        <v>0</v>
      </c>
      <c r="AR1844" s="199">
        <v>0</v>
      </c>
      <c r="AS1844" s="150">
        <f t="shared" si="1565"/>
        <v>0</v>
      </c>
      <c r="AT1844" s="155"/>
      <c r="AU1844" s="156">
        <f t="shared" si="1533"/>
        <v>0</v>
      </c>
      <c r="AV1844" s="156">
        <f t="shared" si="1534"/>
        <v>0</v>
      </c>
      <c r="AW1844" s="157"/>
      <c r="AX1844" s="150">
        <v>0</v>
      </c>
      <c r="AY1844" s="150">
        <v>0</v>
      </c>
      <c r="AZ1844" s="150">
        <f t="shared" si="1566"/>
        <v>0</v>
      </c>
      <c r="BA1844" s="150">
        <v>0</v>
      </c>
      <c r="BB1844" s="210"/>
      <c r="BC1844" s="210"/>
      <c r="BD1844" s="210"/>
      <c r="BE1844" s="210"/>
      <c r="BF1844" s="210"/>
      <c r="BG1844" s="210"/>
      <c r="BH1844" s="217"/>
      <c r="BI1844" s="210"/>
      <c r="BJ1844" s="210"/>
      <c r="BK1844" s="210"/>
      <c r="BL1844" s="210"/>
      <c r="BM1844" s="208"/>
      <c r="BN1844" s="160"/>
      <c r="BO1844" s="161">
        <f t="shared" si="1542"/>
        <v>0</v>
      </c>
      <c r="BP1844" s="161"/>
    </row>
    <row r="1845" spans="1:68" ht="51">
      <c r="A1845" s="210"/>
      <c r="B1845" s="195" t="s">
        <v>9431</v>
      </c>
      <c r="C1845" s="196" t="s">
        <v>9432</v>
      </c>
      <c r="D1845" s="146" t="s">
        <v>4692</v>
      </c>
      <c r="E1845" s="196" t="s">
        <v>9432</v>
      </c>
      <c r="F1845" s="150">
        <v>0</v>
      </c>
      <c r="G1845" s="209">
        <v>0</v>
      </c>
      <c r="H1845" s="209">
        <v>0</v>
      </c>
      <c r="I1845" s="209">
        <v>0</v>
      </c>
      <c r="J1845" s="150">
        <v>0</v>
      </c>
      <c r="K1845" s="150">
        <v>0</v>
      </c>
      <c r="L1845" s="150">
        <f t="shared" si="1541"/>
        <v>0</v>
      </c>
      <c r="M1845" s="150">
        <v>0</v>
      </c>
      <c r="N1845" s="150">
        <v>0</v>
      </c>
      <c r="O1845" s="150">
        <v>0</v>
      </c>
      <c r="P1845" s="150">
        <v>0</v>
      </c>
      <c r="Q1845" s="150">
        <v>0</v>
      </c>
      <c r="R1845" s="313">
        <f t="shared" si="1561"/>
        <v>0</v>
      </c>
      <c r="S1845" s="150">
        <f t="shared" si="1540"/>
        <v>0</v>
      </c>
      <c r="T1845" s="150">
        <v>0</v>
      </c>
      <c r="U1845" s="150">
        <v>0</v>
      </c>
      <c r="V1845" s="199">
        <v>0</v>
      </c>
      <c r="W1845" s="150">
        <f t="shared" si="1562"/>
        <v>0</v>
      </c>
      <c r="X1845" s="150">
        <v>0</v>
      </c>
      <c r="Y1845" s="150">
        <v>0</v>
      </c>
      <c r="Z1845" s="150">
        <v>0</v>
      </c>
      <c r="AA1845" s="150">
        <f t="shared" si="1535"/>
        <v>0</v>
      </c>
      <c r="AB1845" s="150">
        <v>0</v>
      </c>
      <c r="AC1845" s="199">
        <v>0</v>
      </c>
      <c r="AD1845" s="150">
        <f t="shared" si="1563"/>
        <v>0</v>
      </c>
      <c r="AE1845" s="150">
        <v>0</v>
      </c>
      <c r="AF1845" s="169" t="s">
        <v>4680</v>
      </c>
      <c r="AG1845" s="201">
        <v>0</v>
      </c>
      <c r="AH1845" s="199">
        <v>0</v>
      </c>
      <c r="AI1845" s="150">
        <v>0</v>
      </c>
      <c r="AJ1845" s="169">
        <f t="shared" si="1536"/>
        <v>0</v>
      </c>
      <c r="AK1845" s="201">
        <v>0</v>
      </c>
      <c r="AL1845" s="199">
        <v>0</v>
      </c>
      <c r="AM1845" s="150">
        <f t="shared" si="1564"/>
        <v>0</v>
      </c>
      <c r="AN1845" s="153">
        <f t="shared" si="1537"/>
        <v>0</v>
      </c>
      <c r="AO1845" s="154">
        <f t="shared" si="1538"/>
        <v>0</v>
      </c>
      <c r="AP1845" s="150">
        <v>0</v>
      </c>
      <c r="AQ1845" s="201">
        <v>0</v>
      </c>
      <c r="AR1845" s="199">
        <v>0</v>
      </c>
      <c r="AS1845" s="150">
        <f t="shared" si="1565"/>
        <v>0</v>
      </c>
      <c r="AT1845" s="155"/>
      <c r="AU1845" s="156">
        <f t="shared" si="1533"/>
        <v>0</v>
      </c>
      <c r="AV1845" s="156">
        <f t="shared" si="1534"/>
        <v>0</v>
      </c>
      <c r="AW1845" s="157"/>
      <c r="AX1845" s="150">
        <v>0</v>
      </c>
      <c r="AY1845" s="150">
        <v>0</v>
      </c>
      <c r="AZ1845" s="150">
        <f t="shared" si="1566"/>
        <v>0</v>
      </c>
      <c r="BA1845" s="150">
        <v>0</v>
      </c>
      <c r="BB1845" s="210"/>
      <c r="BC1845" s="210"/>
      <c r="BD1845" s="210"/>
      <c r="BE1845" s="210"/>
      <c r="BF1845" s="210"/>
      <c r="BG1845" s="210"/>
      <c r="BH1845" s="217"/>
      <c r="BI1845" s="210"/>
      <c r="BJ1845" s="210"/>
      <c r="BK1845" s="210"/>
      <c r="BL1845" s="210"/>
      <c r="BM1845" s="208"/>
      <c r="BN1845" s="160"/>
      <c r="BO1845" s="161">
        <f t="shared" si="1542"/>
        <v>0</v>
      </c>
      <c r="BP1845" s="161"/>
    </row>
    <row r="1846" spans="1:68" ht="51">
      <c r="A1846" s="210"/>
      <c r="B1846" s="195" t="s">
        <v>9433</v>
      </c>
      <c r="C1846" s="196" t="s">
        <v>9434</v>
      </c>
      <c r="D1846" s="146" t="s">
        <v>4692</v>
      </c>
      <c r="E1846" s="196" t="s">
        <v>9434</v>
      </c>
      <c r="F1846" s="150">
        <v>0</v>
      </c>
      <c r="G1846" s="209">
        <v>0</v>
      </c>
      <c r="H1846" s="209">
        <v>0</v>
      </c>
      <c r="I1846" s="209">
        <v>0</v>
      </c>
      <c r="J1846" s="150">
        <v>0</v>
      </c>
      <c r="K1846" s="150">
        <v>0</v>
      </c>
      <c r="L1846" s="150">
        <f t="shared" si="1541"/>
        <v>0</v>
      </c>
      <c r="M1846" s="150">
        <v>0</v>
      </c>
      <c r="N1846" s="150">
        <v>0</v>
      </c>
      <c r="O1846" s="150">
        <v>0</v>
      </c>
      <c r="P1846" s="150">
        <v>0</v>
      </c>
      <c r="Q1846" s="150">
        <v>0</v>
      </c>
      <c r="R1846" s="313">
        <f t="shared" si="1561"/>
        <v>0</v>
      </c>
      <c r="S1846" s="150">
        <f t="shared" si="1540"/>
        <v>0</v>
      </c>
      <c r="T1846" s="150">
        <v>0</v>
      </c>
      <c r="U1846" s="150">
        <v>0</v>
      </c>
      <c r="V1846" s="199">
        <v>0</v>
      </c>
      <c r="W1846" s="150">
        <f t="shared" si="1562"/>
        <v>0</v>
      </c>
      <c r="X1846" s="150">
        <v>0</v>
      </c>
      <c r="Y1846" s="150">
        <v>0</v>
      </c>
      <c r="Z1846" s="150">
        <v>0</v>
      </c>
      <c r="AA1846" s="150">
        <f t="shared" si="1535"/>
        <v>0</v>
      </c>
      <c r="AB1846" s="150">
        <v>0</v>
      </c>
      <c r="AC1846" s="199">
        <v>0</v>
      </c>
      <c r="AD1846" s="150">
        <f t="shared" si="1563"/>
        <v>0</v>
      </c>
      <c r="AE1846" s="150">
        <v>0</v>
      </c>
      <c r="AF1846" s="169" t="s">
        <v>4680</v>
      </c>
      <c r="AG1846" s="201">
        <v>0</v>
      </c>
      <c r="AH1846" s="199">
        <v>0</v>
      </c>
      <c r="AI1846" s="150">
        <v>0</v>
      </c>
      <c r="AJ1846" s="169">
        <f t="shared" si="1536"/>
        <v>0</v>
      </c>
      <c r="AK1846" s="201">
        <v>0</v>
      </c>
      <c r="AL1846" s="199">
        <v>0</v>
      </c>
      <c r="AM1846" s="150">
        <f t="shared" si="1564"/>
        <v>0</v>
      </c>
      <c r="AN1846" s="153">
        <f t="shared" si="1537"/>
        <v>0</v>
      </c>
      <c r="AO1846" s="154">
        <f t="shared" si="1538"/>
        <v>0</v>
      </c>
      <c r="AP1846" s="150">
        <v>0</v>
      </c>
      <c r="AQ1846" s="201">
        <v>0</v>
      </c>
      <c r="AR1846" s="199">
        <v>0</v>
      </c>
      <c r="AS1846" s="150">
        <f t="shared" si="1565"/>
        <v>0</v>
      </c>
      <c r="AT1846" s="155"/>
      <c r="AU1846" s="156">
        <f t="shared" si="1533"/>
        <v>0</v>
      </c>
      <c r="AV1846" s="156">
        <f t="shared" si="1534"/>
        <v>0</v>
      </c>
      <c r="AW1846" s="157"/>
      <c r="AX1846" s="150">
        <v>0</v>
      </c>
      <c r="AY1846" s="150">
        <v>0</v>
      </c>
      <c r="AZ1846" s="150">
        <f t="shared" si="1566"/>
        <v>0</v>
      </c>
      <c r="BA1846" s="150">
        <v>0</v>
      </c>
      <c r="BB1846" s="210"/>
      <c r="BC1846" s="210"/>
      <c r="BD1846" s="210"/>
      <c r="BE1846" s="210"/>
      <c r="BF1846" s="210"/>
      <c r="BG1846" s="210"/>
      <c r="BH1846" s="217"/>
      <c r="BI1846" s="210"/>
      <c r="BJ1846" s="210"/>
      <c r="BK1846" s="210"/>
      <c r="BL1846" s="210"/>
      <c r="BM1846" s="208"/>
      <c r="BN1846" s="160"/>
      <c r="BO1846" s="161">
        <f t="shared" si="1542"/>
        <v>0</v>
      </c>
      <c r="BP1846" s="161"/>
    </row>
    <row r="1847" spans="1:68" ht="51">
      <c r="A1847" s="210"/>
      <c r="B1847" s="195" t="s">
        <v>9435</v>
      </c>
      <c r="C1847" s="196" t="s">
        <v>9436</v>
      </c>
      <c r="D1847" s="146" t="s">
        <v>4692</v>
      </c>
      <c r="E1847" s="196" t="s">
        <v>9436</v>
      </c>
      <c r="F1847" s="150">
        <v>0</v>
      </c>
      <c r="G1847" s="209">
        <v>0</v>
      </c>
      <c r="H1847" s="209">
        <v>0</v>
      </c>
      <c r="I1847" s="209">
        <v>0</v>
      </c>
      <c r="J1847" s="150">
        <v>0</v>
      </c>
      <c r="K1847" s="150">
        <v>0</v>
      </c>
      <c r="L1847" s="150">
        <f t="shared" si="1541"/>
        <v>0</v>
      </c>
      <c r="M1847" s="150">
        <v>0</v>
      </c>
      <c r="N1847" s="150">
        <v>0</v>
      </c>
      <c r="O1847" s="150">
        <v>0</v>
      </c>
      <c r="P1847" s="150">
        <v>0</v>
      </c>
      <c r="Q1847" s="150">
        <v>0</v>
      </c>
      <c r="R1847" s="313">
        <f t="shared" si="1561"/>
        <v>0</v>
      </c>
      <c r="S1847" s="150">
        <f t="shared" si="1540"/>
        <v>0</v>
      </c>
      <c r="T1847" s="150">
        <v>0</v>
      </c>
      <c r="U1847" s="150">
        <v>0</v>
      </c>
      <c r="V1847" s="199">
        <v>0</v>
      </c>
      <c r="W1847" s="150">
        <f t="shared" si="1562"/>
        <v>0</v>
      </c>
      <c r="X1847" s="150">
        <v>0</v>
      </c>
      <c r="Y1847" s="150">
        <v>0</v>
      </c>
      <c r="Z1847" s="150">
        <v>0</v>
      </c>
      <c r="AA1847" s="150">
        <f t="shared" si="1535"/>
        <v>0</v>
      </c>
      <c r="AB1847" s="150">
        <v>0</v>
      </c>
      <c r="AC1847" s="199">
        <v>0</v>
      </c>
      <c r="AD1847" s="150">
        <f t="shared" si="1563"/>
        <v>0</v>
      </c>
      <c r="AE1847" s="150">
        <v>0</v>
      </c>
      <c r="AF1847" s="169" t="s">
        <v>4680</v>
      </c>
      <c r="AG1847" s="201">
        <v>0</v>
      </c>
      <c r="AH1847" s="199">
        <v>0</v>
      </c>
      <c r="AI1847" s="150">
        <v>0</v>
      </c>
      <c r="AJ1847" s="169">
        <f t="shared" si="1536"/>
        <v>0</v>
      </c>
      <c r="AK1847" s="201">
        <v>0</v>
      </c>
      <c r="AL1847" s="199">
        <v>0</v>
      </c>
      <c r="AM1847" s="150">
        <f t="shared" si="1564"/>
        <v>0</v>
      </c>
      <c r="AN1847" s="153">
        <f t="shared" si="1537"/>
        <v>0</v>
      </c>
      <c r="AO1847" s="154">
        <f t="shared" si="1538"/>
        <v>0</v>
      </c>
      <c r="AP1847" s="150">
        <v>0</v>
      </c>
      <c r="AQ1847" s="201">
        <v>0</v>
      </c>
      <c r="AR1847" s="199">
        <v>0</v>
      </c>
      <c r="AS1847" s="150">
        <f t="shared" si="1565"/>
        <v>0</v>
      </c>
      <c r="AT1847" s="155"/>
      <c r="AU1847" s="156">
        <f t="shared" si="1533"/>
        <v>0</v>
      </c>
      <c r="AV1847" s="156">
        <f t="shared" si="1534"/>
        <v>0</v>
      </c>
      <c r="AW1847" s="157"/>
      <c r="AX1847" s="150">
        <v>0</v>
      </c>
      <c r="AY1847" s="150">
        <v>0</v>
      </c>
      <c r="AZ1847" s="150">
        <f t="shared" si="1566"/>
        <v>0</v>
      </c>
      <c r="BA1847" s="150">
        <v>0</v>
      </c>
      <c r="BB1847" s="210"/>
      <c r="BC1847" s="210"/>
      <c r="BD1847" s="210"/>
      <c r="BE1847" s="210"/>
      <c r="BF1847" s="210"/>
      <c r="BG1847" s="210"/>
      <c r="BH1847" s="217"/>
      <c r="BI1847" s="210"/>
      <c r="BJ1847" s="210"/>
      <c r="BK1847" s="210"/>
      <c r="BL1847" s="210"/>
      <c r="BM1847" s="208"/>
      <c r="BN1847" s="160"/>
      <c r="BO1847" s="161">
        <f t="shared" si="1542"/>
        <v>0</v>
      </c>
      <c r="BP1847" s="161"/>
    </row>
    <row r="1848" spans="1:68" ht="51">
      <c r="A1848" s="210"/>
      <c r="B1848" s="195" t="s">
        <v>9437</v>
      </c>
      <c r="C1848" s="196" t="s">
        <v>9438</v>
      </c>
      <c r="D1848" s="146" t="s">
        <v>4692</v>
      </c>
      <c r="E1848" s="196" t="s">
        <v>9438</v>
      </c>
      <c r="F1848" s="150">
        <v>0</v>
      </c>
      <c r="G1848" s="209">
        <v>0</v>
      </c>
      <c r="H1848" s="209">
        <v>0</v>
      </c>
      <c r="I1848" s="209">
        <v>0</v>
      </c>
      <c r="J1848" s="150">
        <v>0</v>
      </c>
      <c r="K1848" s="150">
        <v>0</v>
      </c>
      <c r="L1848" s="150">
        <f t="shared" si="1541"/>
        <v>0</v>
      </c>
      <c r="M1848" s="150">
        <v>0</v>
      </c>
      <c r="N1848" s="150">
        <v>0</v>
      </c>
      <c r="O1848" s="150">
        <v>0</v>
      </c>
      <c r="P1848" s="150">
        <v>0</v>
      </c>
      <c r="Q1848" s="150">
        <v>0</v>
      </c>
      <c r="R1848" s="313">
        <f t="shared" si="1561"/>
        <v>0</v>
      </c>
      <c r="S1848" s="150">
        <f t="shared" si="1540"/>
        <v>0</v>
      </c>
      <c r="T1848" s="150">
        <v>0</v>
      </c>
      <c r="U1848" s="150">
        <v>0</v>
      </c>
      <c r="V1848" s="199">
        <v>0</v>
      </c>
      <c r="W1848" s="150">
        <f t="shared" si="1562"/>
        <v>0</v>
      </c>
      <c r="X1848" s="150">
        <v>0</v>
      </c>
      <c r="Y1848" s="150">
        <v>0</v>
      </c>
      <c r="Z1848" s="150">
        <v>0</v>
      </c>
      <c r="AA1848" s="150">
        <f t="shared" si="1535"/>
        <v>0</v>
      </c>
      <c r="AB1848" s="150">
        <v>0</v>
      </c>
      <c r="AC1848" s="199">
        <v>0</v>
      </c>
      <c r="AD1848" s="150">
        <f t="shared" si="1563"/>
        <v>0</v>
      </c>
      <c r="AE1848" s="150">
        <v>0</v>
      </c>
      <c r="AF1848" s="169" t="s">
        <v>4680</v>
      </c>
      <c r="AG1848" s="201">
        <v>0</v>
      </c>
      <c r="AH1848" s="199">
        <v>0</v>
      </c>
      <c r="AI1848" s="150">
        <v>0</v>
      </c>
      <c r="AJ1848" s="169">
        <f t="shared" si="1536"/>
        <v>0</v>
      </c>
      <c r="AK1848" s="201">
        <v>0</v>
      </c>
      <c r="AL1848" s="199">
        <v>0</v>
      </c>
      <c r="AM1848" s="150">
        <f t="shared" si="1564"/>
        <v>0</v>
      </c>
      <c r="AN1848" s="153">
        <f t="shared" si="1537"/>
        <v>0</v>
      </c>
      <c r="AO1848" s="154">
        <f t="shared" si="1538"/>
        <v>0</v>
      </c>
      <c r="AP1848" s="150">
        <v>0</v>
      </c>
      <c r="AQ1848" s="201">
        <v>0</v>
      </c>
      <c r="AR1848" s="199">
        <v>0</v>
      </c>
      <c r="AS1848" s="150">
        <f t="shared" si="1565"/>
        <v>0</v>
      </c>
      <c r="AT1848" s="155"/>
      <c r="AU1848" s="156">
        <f t="shared" si="1533"/>
        <v>0</v>
      </c>
      <c r="AV1848" s="156">
        <f t="shared" si="1534"/>
        <v>0</v>
      </c>
      <c r="AW1848" s="157"/>
      <c r="AX1848" s="150">
        <v>0</v>
      </c>
      <c r="AY1848" s="150">
        <v>0</v>
      </c>
      <c r="AZ1848" s="150">
        <f t="shared" si="1566"/>
        <v>0</v>
      </c>
      <c r="BA1848" s="150">
        <v>0</v>
      </c>
      <c r="BB1848" s="210"/>
      <c r="BC1848" s="210"/>
      <c r="BD1848" s="210"/>
      <c r="BE1848" s="210"/>
      <c r="BF1848" s="210"/>
      <c r="BG1848" s="210"/>
      <c r="BH1848" s="217"/>
      <c r="BI1848" s="210"/>
      <c r="BJ1848" s="210"/>
      <c r="BK1848" s="210"/>
      <c r="BL1848" s="210"/>
      <c r="BM1848" s="208"/>
      <c r="BN1848" s="160"/>
      <c r="BO1848" s="161">
        <f t="shared" si="1542"/>
        <v>0</v>
      </c>
      <c r="BP1848" s="161"/>
    </row>
    <row r="1849" spans="1:68" ht="63.75">
      <c r="A1849" s="210"/>
      <c r="B1849" s="195" t="s">
        <v>9439</v>
      </c>
      <c r="C1849" s="196" t="s">
        <v>9440</v>
      </c>
      <c r="D1849" s="146" t="s">
        <v>4692</v>
      </c>
      <c r="E1849" s="196" t="s">
        <v>9440</v>
      </c>
      <c r="F1849" s="150">
        <v>0</v>
      </c>
      <c r="G1849" s="209">
        <v>0</v>
      </c>
      <c r="H1849" s="209">
        <v>0</v>
      </c>
      <c r="I1849" s="209">
        <v>0</v>
      </c>
      <c r="J1849" s="150">
        <v>0</v>
      </c>
      <c r="K1849" s="150">
        <v>0</v>
      </c>
      <c r="L1849" s="150">
        <f t="shared" si="1541"/>
        <v>0</v>
      </c>
      <c r="M1849" s="150">
        <v>0</v>
      </c>
      <c r="N1849" s="150">
        <v>0</v>
      </c>
      <c r="O1849" s="150">
        <v>0</v>
      </c>
      <c r="P1849" s="150">
        <v>0</v>
      </c>
      <c r="Q1849" s="150">
        <v>0</v>
      </c>
      <c r="R1849" s="313">
        <f t="shared" si="1561"/>
        <v>0</v>
      </c>
      <c r="S1849" s="150">
        <f t="shared" si="1540"/>
        <v>0</v>
      </c>
      <c r="T1849" s="150">
        <v>0</v>
      </c>
      <c r="U1849" s="150">
        <v>0</v>
      </c>
      <c r="V1849" s="199">
        <v>0</v>
      </c>
      <c r="W1849" s="150">
        <f t="shared" si="1562"/>
        <v>0</v>
      </c>
      <c r="X1849" s="150">
        <v>0</v>
      </c>
      <c r="Y1849" s="150">
        <v>0</v>
      </c>
      <c r="Z1849" s="150">
        <v>0</v>
      </c>
      <c r="AA1849" s="150">
        <f t="shared" si="1535"/>
        <v>0</v>
      </c>
      <c r="AB1849" s="150">
        <v>0</v>
      </c>
      <c r="AC1849" s="199">
        <v>0</v>
      </c>
      <c r="AD1849" s="150">
        <f t="shared" si="1563"/>
        <v>0</v>
      </c>
      <c r="AE1849" s="150">
        <v>0</v>
      </c>
      <c r="AF1849" s="169" t="s">
        <v>4680</v>
      </c>
      <c r="AG1849" s="201">
        <v>0</v>
      </c>
      <c r="AH1849" s="199">
        <v>0</v>
      </c>
      <c r="AI1849" s="150">
        <v>0</v>
      </c>
      <c r="AJ1849" s="169">
        <f t="shared" si="1536"/>
        <v>0</v>
      </c>
      <c r="AK1849" s="201">
        <v>0</v>
      </c>
      <c r="AL1849" s="199">
        <v>0</v>
      </c>
      <c r="AM1849" s="150">
        <f t="shared" si="1564"/>
        <v>0</v>
      </c>
      <c r="AN1849" s="153">
        <f t="shared" si="1537"/>
        <v>0</v>
      </c>
      <c r="AO1849" s="154">
        <f t="shared" si="1538"/>
        <v>0</v>
      </c>
      <c r="AP1849" s="150">
        <v>0</v>
      </c>
      <c r="AQ1849" s="201">
        <v>0</v>
      </c>
      <c r="AR1849" s="199">
        <v>0</v>
      </c>
      <c r="AS1849" s="150">
        <f t="shared" si="1565"/>
        <v>0</v>
      </c>
      <c r="AT1849" s="155"/>
      <c r="AU1849" s="156">
        <f t="shared" si="1533"/>
        <v>0</v>
      </c>
      <c r="AV1849" s="156">
        <f t="shared" si="1534"/>
        <v>0</v>
      </c>
      <c r="AW1849" s="157"/>
      <c r="AX1849" s="150">
        <v>0</v>
      </c>
      <c r="AY1849" s="150">
        <v>0</v>
      </c>
      <c r="AZ1849" s="150">
        <f t="shared" si="1566"/>
        <v>0</v>
      </c>
      <c r="BA1849" s="150">
        <v>0</v>
      </c>
      <c r="BB1849" s="210"/>
      <c r="BC1849" s="210"/>
      <c r="BD1849" s="210"/>
      <c r="BE1849" s="210"/>
      <c r="BF1849" s="210"/>
      <c r="BG1849" s="210"/>
      <c r="BH1849" s="217"/>
      <c r="BI1849" s="210"/>
      <c r="BJ1849" s="210"/>
      <c r="BK1849" s="210"/>
      <c r="BL1849" s="210"/>
      <c r="BM1849" s="208"/>
      <c r="BN1849" s="160"/>
      <c r="BO1849" s="161">
        <f t="shared" si="1542"/>
        <v>0</v>
      </c>
      <c r="BP1849" s="161"/>
    </row>
    <row r="1850" spans="1:68" ht="63.75">
      <c r="A1850" s="210"/>
      <c r="B1850" s="195" t="s">
        <v>9441</v>
      </c>
      <c r="C1850" s="196" t="s">
        <v>9442</v>
      </c>
      <c r="D1850" s="146" t="s">
        <v>4692</v>
      </c>
      <c r="E1850" s="196" t="s">
        <v>9442</v>
      </c>
      <c r="F1850" s="150">
        <v>0</v>
      </c>
      <c r="G1850" s="209">
        <v>60296.930000000008</v>
      </c>
      <c r="H1850" s="209">
        <v>42769.051399625001</v>
      </c>
      <c r="I1850" s="209">
        <v>103065.981399625</v>
      </c>
      <c r="J1850" s="150">
        <v>0</v>
      </c>
      <c r="K1850" s="150">
        <v>0</v>
      </c>
      <c r="L1850" s="150">
        <f t="shared" si="1541"/>
        <v>0</v>
      </c>
      <c r="M1850" s="150">
        <v>0</v>
      </c>
      <c r="N1850" s="150">
        <v>0</v>
      </c>
      <c r="O1850" s="150">
        <v>0</v>
      </c>
      <c r="P1850" s="150">
        <v>0</v>
      </c>
      <c r="Q1850" s="150">
        <v>0</v>
      </c>
      <c r="R1850" s="313">
        <f t="shared" si="1561"/>
        <v>0</v>
      </c>
      <c r="S1850" s="150">
        <f t="shared" si="1540"/>
        <v>0</v>
      </c>
      <c r="T1850" s="150">
        <v>0</v>
      </c>
      <c r="U1850" s="150">
        <v>0</v>
      </c>
      <c r="V1850" s="199">
        <v>0</v>
      </c>
      <c r="W1850" s="150">
        <f t="shared" si="1562"/>
        <v>0</v>
      </c>
      <c r="X1850" s="150">
        <v>0</v>
      </c>
      <c r="Y1850" s="150">
        <v>0</v>
      </c>
      <c r="Z1850" s="150">
        <v>0</v>
      </c>
      <c r="AA1850" s="150">
        <f t="shared" si="1535"/>
        <v>0</v>
      </c>
      <c r="AB1850" s="150">
        <v>0</v>
      </c>
      <c r="AC1850" s="199">
        <v>0</v>
      </c>
      <c r="AD1850" s="150">
        <f t="shared" si="1563"/>
        <v>0</v>
      </c>
      <c r="AE1850" s="150">
        <v>0</v>
      </c>
      <c r="AF1850" s="169" t="s">
        <v>4680</v>
      </c>
      <c r="AG1850" s="201">
        <v>0</v>
      </c>
      <c r="AH1850" s="199">
        <v>0</v>
      </c>
      <c r="AI1850" s="150">
        <v>0</v>
      </c>
      <c r="AJ1850" s="169">
        <f t="shared" si="1536"/>
        <v>0</v>
      </c>
      <c r="AK1850" s="201">
        <v>0</v>
      </c>
      <c r="AL1850" s="199">
        <v>0</v>
      </c>
      <c r="AM1850" s="150">
        <f t="shared" si="1564"/>
        <v>0</v>
      </c>
      <c r="AN1850" s="153">
        <f t="shared" si="1537"/>
        <v>0</v>
      </c>
      <c r="AO1850" s="154">
        <f t="shared" si="1538"/>
        <v>0</v>
      </c>
      <c r="AP1850" s="150">
        <v>0</v>
      </c>
      <c r="AQ1850" s="201">
        <v>0</v>
      </c>
      <c r="AR1850" s="199">
        <v>0</v>
      </c>
      <c r="AS1850" s="150">
        <f t="shared" si="1565"/>
        <v>0</v>
      </c>
      <c r="AT1850" s="155"/>
      <c r="AU1850" s="156">
        <f t="shared" si="1533"/>
        <v>0</v>
      </c>
      <c r="AV1850" s="156">
        <f t="shared" si="1534"/>
        <v>0</v>
      </c>
      <c r="AW1850" s="157"/>
      <c r="AX1850" s="150">
        <v>0</v>
      </c>
      <c r="AY1850" s="150">
        <v>0</v>
      </c>
      <c r="AZ1850" s="150">
        <f t="shared" si="1566"/>
        <v>0</v>
      </c>
      <c r="BA1850" s="150">
        <v>0</v>
      </c>
      <c r="BB1850" s="354">
        <v>5</v>
      </c>
      <c r="BC1850" s="354" t="s">
        <v>766</v>
      </c>
      <c r="BD1850" s="354" t="s">
        <v>632</v>
      </c>
      <c r="BE1850" s="354" t="s">
        <v>632</v>
      </c>
      <c r="BF1850" s="354" t="s">
        <v>766</v>
      </c>
      <c r="BG1850" s="196" t="s">
        <v>9442</v>
      </c>
      <c r="BH1850" s="217">
        <f>AS1850</f>
        <v>0</v>
      </c>
      <c r="BI1850" s="210"/>
      <c r="BJ1850" s="210"/>
      <c r="BK1850" s="210"/>
      <c r="BL1850" s="207" t="s">
        <v>9380</v>
      </c>
      <c r="BM1850" s="208">
        <f>BH1850</f>
        <v>0</v>
      </c>
      <c r="BN1850" s="160"/>
      <c r="BO1850" s="161">
        <f t="shared" si="1542"/>
        <v>0</v>
      </c>
      <c r="BP1850" s="161"/>
    </row>
    <row r="1851" spans="1:68" ht="38.25">
      <c r="A1851" s="256" t="s">
        <v>601</v>
      </c>
      <c r="B1851" s="184"/>
      <c r="C1851" s="185" t="s">
        <v>106</v>
      </c>
      <c r="D1851" s="146" t="s">
        <v>4692</v>
      </c>
      <c r="E1851" s="185" t="s">
        <v>106</v>
      </c>
      <c r="F1851" s="188">
        <v>103066.93000000002</v>
      </c>
      <c r="G1851" s="187">
        <v>40626.660000000003</v>
      </c>
      <c r="H1851" s="187">
        <v>0</v>
      </c>
      <c r="I1851" s="187">
        <v>40626.660000000003</v>
      </c>
      <c r="J1851" s="188">
        <f>SUM(J1852:J1877)</f>
        <v>15194.89</v>
      </c>
      <c r="K1851" s="188">
        <f>SUM(K1852:K1877)</f>
        <v>11849.380000000001</v>
      </c>
      <c r="L1851" s="188">
        <f t="shared" si="1541"/>
        <v>27044.27</v>
      </c>
      <c r="M1851" s="188">
        <v>31370.34</v>
      </c>
      <c r="N1851" s="188">
        <v>24961.170118923081</v>
      </c>
      <c r="O1851" s="188">
        <v>56331.510118923077</v>
      </c>
      <c r="P1851" s="355">
        <f t="shared" ref="P1851:AD1851" si="1567">SUM(P1852:P1877)</f>
        <v>48641.469999999994</v>
      </c>
      <c r="Q1851" s="355">
        <f t="shared" si="1567"/>
        <v>36836.626796384611</v>
      </c>
      <c r="R1851" s="355">
        <f t="shared" si="1567"/>
        <v>85478.096796384605</v>
      </c>
      <c r="S1851" s="150">
        <f t="shared" si="1540"/>
        <v>113970.79572851281</v>
      </c>
      <c r="T1851" s="347">
        <f>SUM(T1852:T1877)</f>
        <v>114574.43000000001</v>
      </c>
      <c r="U1851" s="355">
        <f t="shared" ref="U1851:W1851" si="1568">SUM(U1852:U1877)</f>
        <v>70259.900000000009</v>
      </c>
      <c r="V1851" s="356">
        <f t="shared" si="1568"/>
        <v>58071.175728512841</v>
      </c>
      <c r="W1851" s="355">
        <f t="shared" si="1568"/>
        <v>128331.07572851285</v>
      </c>
      <c r="X1851" s="355">
        <v>70259.900000000009</v>
      </c>
      <c r="Y1851" s="355">
        <v>58071.175728512841</v>
      </c>
      <c r="Z1851" s="355">
        <v>128331.07572851285</v>
      </c>
      <c r="AA1851" s="355">
        <f t="shared" si="1535"/>
        <v>-13756.645728512842</v>
      </c>
      <c r="AB1851" s="355">
        <v>70259.900000000009</v>
      </c>
      <c r="AC1851" s="356">
        <v>44314.53</v>
      </c>
      <c r="AD1851" s="355">
        <f t="shared" si="1567"/>
        <v>114574.43000000001</v>
      </c>
      <c r="AE1851" s="355">
        <v>114574.43000000001</v>
      </c>
      <c r="AF1851" s="169" t="s">
        <v>4680</v>
      </c>
      <c r="AG1851" s="357">
        <v>70259.900000000009</v>
      </c>
      <c r="AH1851" s="356">
        <v>44314.53</v>
      </c>
      <c r="AI1851" s="355">
        <v>114574.43000000001</v>
      </c>
      <c r="AJ1851" s="169">
        <f t="shared" si="1536"/>
        <v>0</v>
      </c>
      <c r="AK1851" s="357">
        <v>70259.900000000009</v>
      </c>
      <c r="AL1851" s="356">
        <v>44314.53</v>
      </c>
      <c r="AM1851" s="355">
        <f t="shared" ref="AM1851" si="1569">SUM(AM1852:AM1877)</f>
        <v>114574.43000000001</v>
      </c>
      <c r="AN1851" s="153">
        <f t="shared" si="1537"/>
        <v>0</v>
      </c>
      <c r="AO1851" s="154">
        <f t="shared" si="1538"/>
        <v>0</v>
      </c>
      <c r="AP1851" s="355">
        <v>114574.43000000001</v>
      </c>
      <c r="AQ1851" s="357">
        <v>114574.43000000001</v>
      </c>
      <c r="AR1851" s="356">
        <f t="shared" ref="AR1851:AS1851" si="1570">SUM(AR1852:AR1877)</f>
        <v>0</v>
      </c>
      <c r="AS1851" s="355">
        <f t="shared" si="1570"/>
        <v>114574.43000000001</v>
      </c>
      <c r="AT1851" s="155"/>
      <c r="AU1851" s="156">
        <f t="shared" si="1533"/>
        <v>0</v>
      </c>
      <c r="AV1851" s="156">
        <f t="shared" si="1534"/>
        <v>-13756.645728512842</v>
      </c>
      <c r="AW1851" s="157"/>
      <c r="AX1851" s="150">
        <v>128331.07572851285</v>
      </c>
      <c r="AY1851" s="355">
        <f t="shared" ref="AY1851:BA1851" si="1571">SUM(AY1852:AY1877)</f>
        <v>36598.730000000003</v>
      </c>
      <c r="AZ1851" s="355">
        <f t="shared" si="1571"/>
        <v>126064.29023784616</v>
      </c>
      <c r="BA1851" s="355">
        <f t="shared" si="1571"/>
        <v>162663.02023784613</v>
      </c>
      <c r="BB1851" s="192">
        <v>5</v>
      </c>
      <c r="BC1851" s="256" t="s">
        <v>766</v>
      </c>
      <c r="BD1851" s="256" t="s">
        <v>632</v>
      </c>
      <c r="BE1851" s="256" t="s">
        <v>647</v>
      </c>
      <c r="BF1851" s="256" t="s">
        <v>630</v>
      </c>
      <c r="BG1851" s="185" t="s">
        <v>106</v>
      </c>
      <c r="BH1851" s="215">
        <f>BH1852+BH1853+BH1854+BH1855+BH1856+BH1864+BH1865</f>
        <v>114574.43</v>
      </c>
      <c r="BI1851" s="192"/>
      <c r="BJ1851" s="256" t="s">
        <v>9443</v>
      </c>
      <c r="BK1851" s="256" t="s">
        <v>601</v>
      </c>
      <c r="BL1851" s="238" t="s">
        <v>9444</v>
      </c>
      <c r="BM1851" s="338">
        <f>BM1852+BM1853+BM1854+BM1855+BM1856+BM1864+BM1865</f>
        <v>114574.43</v>
      </c>
      <c r="BN1851" s="160"/>
      <c r="BO1851" s="161">
        <f t="shared" si="1542"/>
        <v>0</v>
      </c>
      <c r="BP1851" s="161"/>
    </row>
    <row r="1852" spans="1:68" ht="51">
      <c r="A1852" s="206" t="s">
        <v>601</v>
      </c>
      <c r="B1852" s="195" t="s">
        <v>9445</v>
      </c>
      <c r="C1852" s="196" t="s">
        <v>9446</v>
      </c>
      <c r="D1852" s="146" t="s">
        <v>4692</v>
      </c>
      <c r="E1852" s="231" t="s">
        <v>9447</v>
      </c>
      <c r="F1852" s="150">
        <v>40626.660000000003</v>
      </c>
      <c r="G1852" s="251">
        <v>4812.54</v>
      </c>
      <c r="H1852" s="251">
        <v>19207.662812499999</v>
      </c>
      <c r="I1852" s="251">
        <v>24020.2028125</v>
      </c>
      <c r="J1852" s="150">
        <v>10867.83</v>
      </c>
      <c r="K1852" s="150">
        <v>1147.28</v>
      </c>
      <c r="L1852" s="150">
        <f t="shared" si="1541"/>
        <v>12015.11</v>
      </c>
      <c r="M1852" s="150">
        <v>21840.12</v>
      </c>
      <c r="N1852" s="150">
        <v>2305.588668000004</v>
      </c>
      <c r="O1852" s="150">
        <v>24145.708668000003</v>
      </c>
      <c r="P1852" s="150">
        <v>33802.269999999997</v>
      </c>
      <c r="Q1852" s="150">
        <v>3568.39</v>
      </c>
      <c r="R1852" s="313">
        <f t="shared" ref="R1852:R1877" si="1572">P1852+Q1852</f>
        <v>37370.659999999996</v>
      </c>
      <c r="S1852" s="150">
        <f t="shared" si="1540"/>
        <v>49827.546666666662</v>
      </c>
      <c r="T1852" s="150">
        <v>48825.51</v>
      </c>
      <c r="U1852" s="150">
        <v>48825.51</v>
      </c>
      <c r="V1852" s="199">
        <v>0</v>
      </c>
      <c r="W1852" s="150">
        <f t="shared" ref="W1852:W1877" si="1573">U1852+V1852</f>
        <v>48825.51</v>
      </c>
      <c r="X1852" s="150">
        <v>48825.51</v>
      </c>
      <c r="Y1852" s="150">
        <v>0</v>
      </c>
      <c r="Z1852" s="150">
        <v>48825.51</v>
      </c>
      <c r="AA1852" s="150">
        <f t="shared" si="1535"/>
        <v>0</v>
      </c>
      <c r="AB1852" s="150">
        <v>48825.51</v>
      </c>
      <c r="AC1852" s="199">
        <v>0</v>
      </c>
      <c r="AD1852" s="150">
        <f t="shared" ref="AD1852:AD1877" si="1574">AB1852+AC1852</f>
        <v>48825.51</v>
      </c>
      <c r="AE1852" s="150">
        <v>48825.51</v>
      </c>
      <c r="AF1852" s="169" t="s">
        <v>4680</v>
      </c>
      <c r="AG1852" s="201">
        <v>48825.51</v>
      </c>
      <c r="AH1852" s="199">
        <v>0</v>
      </c>
      <c r="AI1852" s="150">
        <v>48825.51</v>
      </c>
      <c r="AJ1852" s="169">
        <f t="shared" si="1536"/>
        <v>0</v>
      </c>
      <c r="AK1852" s="201">
        <v>48825.51</v>
      </c>
      <c r="AL1852" s="199">
        <v>0</v>
      </c>
      <c r="AM1852" s="150">
        <f t="shared" ref="AM1852:AM1877" si="1575">AK1852+AL1852</f>
        <v>48825.51</v>
      </c>
      <c r="AN1852" s="153">
        <f t="shared" si="1537"/>
        <v>0</v>
      </c>
      <c r="AO1852" s="154">
        <f t="shared" si="1538"/>
        <v>0</v>
      </c>
      <c r="AP1852" s="150">
        <v>48825.51</v>
      </c>
      <c r="AQ1852" s="201">
        <v>48825.51</v>
      </c>
      <c r="AR1852" s="199">
        <v>0</v>
      </c>
      <c r="AS1852" s="150">
        <f t="shared" ref="AS1852:AS1877" si="1576">AQ1852+AR1852</f>
        <v>48825.51</v>
      </c>
      <c r="AT1852" s="155"/>
      <c r="AU1852" s="156">
        <f t="shared" si="1533"/>
        <v>0</v>
      </c>
      <c r="AV1852" s="156">
        <f t="shared" si="1534"/>
        <v>0</v>
      </c>
      <c r="AW1852" s="157"/>
      <c r="AX1852" s="150">
        <v>48825.51</v>
      </c>
      <c r="AY1852" s="150">
        <v>25480.14</v>
      </c>
      <c r="AZ1852" s="150">
        <f t="shared" si="1566"/>
        <v>72811.277336000014</v>
      </c>
      <c r="BA1852" s="150">
        <v>98291.417336000013</v>
      </c>
      <c r="BB1852" s="202">
        <v>5</v>
      </c>
      <c r="BC1852" s="202" t="s">
        <v>766</v>
      </c>
      <c r="BD1852" s="202" t="s">
        <v>632</v>
      </c>
      <c r="BE1852" s="202" t="s">
        <v>647</v>
      </c>
      <c r="BF1852" s="202" t="s">
        <v>632</v>
      </c>
      <c r="BG1852" s="231" t="s">
        <v>9447</v>
      </c>
      <c r="BH1852" s="216">
        <f>AS1852</f>
        <v>48825.51</v>
      </c>
      <c r="BI1852" s="205"/>
      <c r="BJ1852" s="206" t="s">
        <v>9443</v>
      </c>
      <c r="BK1852" s="206" t="s">
        <v>601</v>
      </c>
      <c r="BL1852" s="207" t="s">
        <v>9444</v>
      </c>
      <c r="BM1852" s="208">
        <f>BH1852</f>
        <v>48825.51</v>
      </c>
      <c r="BN1852" s="160"/>
      <c r="BO1852" s="161">
        <f t="shared" si="1542"/>
        <v>0</v>
      </c>
      <c r="BP1852" s="161"/>
    </row>
    <row r="1853" spans="1:68" ht="51">
      <c r="A1853" s="206" t="s">
        <v>601</v>
      </c>
      <c r="B1853" s="195" t="s">
        <v>9448</v>
      </c>
      <c r="C1853" s="196" t="s">
        <v>9449</v>
      </c>
      <c r="D1853" s="146" t="s">
        <v>4692</v>
      </c>
      <c r="E1853" s="196" t="s">
        <v>9449</v>
      </c>
      <c r="F1853" s="150">
        <v>24020.54</v>
      </c>
      <c r="G1853" s="209">
        <v>0</v>
      </c>
      <c r="H1853" s="209">
        <v>0</v>
      </c>
      <c r="I1853" s="209">
        <v>0</v>
      </c>
      <c r="J1853" s="150">
        <v>846.16</v>
      </c>
      <c r="K1853" s="150">
        <v>4537.09</v>
      </c>
      <c r="L1853" s="150">
        <f t="shared" si="1541"/>
        <v>5383.25</v>
      </c>
      <c r="M1853" s="150">
        <v>2538.48</v>
      </c>
      <c r="N1853" s="150">
        <v>9304.6715384615381</v>
      </c>
      <c r="O1853" s="150">
        <v>11843.151538461538</v>
      </c>
      <c r="P1853" s="150">
        <v>3998.07</v>
      </c>
      <c r="Q1853" s="150">
        <v>13766.657307692305</v>
      </c>
      <c r="R1853" s="313">
        <f t="shared" si="1572"/>
        <v>17764.727307692305</v>
      </c>
      <c r="S1853" s="150">
        <f t="shared" si="1540"/>
        <v>23686.303076923072</v>
      </c>
      <c r="T1853" s="150">
        <v>24943.65</v>
      </c>
      <c r="U1853" s="150">
        <v>5774.99</v>
      </c>
      <c r="V1853" s="199">
        <v>22911.313076923099</v>
      </c>
      <c r="W1853" s="150">
        <f t="shared" si="1573"/>
        <v>28686.303076923097</v>
      </c>
      <c r="X1853" s="150">
        <v>5774.99</v>
      </c>
      <c r="Y1853" s="150">
        <v>22911.313076923099</v>
      </c>
      <c r="Z1853" s="150">
        <v>28686.303076923097</v>
      </c>
      <c r="AA1853" s="150">
        <f t="shared" si="1535"/>
        <v>-3742.6530769230958</v>
      </c>
      <c r="AB1853" s="150">
        <v>5774.99</v>
      </c>
      <c r="AC1853" s="199">
        <v>19168.66</v>
      </c>
      <c r="AD1853" s="150">
        <f t="shared" si="1574"/>
        <v>24943.65</v>
      </c>
      <c r="AE1853" s="150">
        <v>24943.65</v>
      </c>
      <c r="AF1853" s="169" t="s">
        <v>4680</v>
      </c>
      <c r="AG1853" s="201">
        <v>5774.99</v>
      </c>
      <c r="AH1853" s="199">
        <v>19168.66</v>
      </c>
      <c r="AI1853" s="150">
        <v>24943.65</v>
      </c>
      <c r="AJ1853" s="169">
        <f t="shared" si="1536"/>
        <v>0</v>
      </c>
      <c r="AK1853" s="201">
        <v>5774.99</v>
      </c>
      <c r="AL1853" s="199">
        <v>19168.66</v>
      </c>
      <c r="AM1853" s="150">
        <f t="shared" si="1575"/>
        <v>24943.65</v>
      </c>
      <c r="AN1853" s="153">
        <f t="shared" si="1537"/>
        <v>0</v>
      </c>
      <c r="AO1853" s="154">
        <f t="shared" si="1538"/>
        <v>0</v>
      </c>
      <c r="AP1853" s="150">
        <v>24943.65</v>
      </c>
      <c r="AQ1853" s="201">
        <v>24943.65</v>
      </c>
      <c r="AR1853" s="199"/>
      <c r="AS1853" s="150">
        <f t="shared" si="1576"/>
        <v>24943.65</v>
      </c>
      <c r="AT1853" s="155"/>
      <c r="AU1853" s="156">
        <f t="shared" si="1533"/>
        <v>0</v>
      </c>
      <c r="AV1853" s="156">
        <f t="shared" si="1534"/>
        <v>-3742.6530769230958</v>
      </c>
      <c r="AW1853" s="157"/>
      <c r="AX1853" s="150">
        <v>28686.303076923097</v>
      </c>
      <c r="AY1853" s="150">
        <v>2961.56</v>
      </c>
      <c r="AZ1853" s="150">
        <f t="shared" si="1566"/>
        <v>20724.743076923074</v>
      </c>
      <c r="BA1853" s="150">
        <v>23686.303076923075</v>
      </c>
      <c r="BB1853" s="202">
        <v>5</v>
      </c>
      <c r="BC1853" s="202" t="s">
        <v>766</v>
      </c>
      <c r="BD1853" s="202" t="s">
        <v>632</v>
      </c>
      <c r="BE1853" s="202" t="s">
        <v>647</v>
      </c>
      <c r="BF1853" s="202" t="s">
        <v>647</v>
      </c>
      <c r="BG1853" s="231" t="s">
        <v>9450</v>
      </c>
      <c r="BH1853" s="216">
        <f>AS1853</f>
        <v>24943.65</v>
      </c>
      <c r="BI1853" s="205"/>
      <c r="BJ1853" s="206" t="s">
        <v>9443</v>
      </c>
      <c r="BK1853" s="206" t="s">
        <v>601</v>
      </c>
      <c r="BL1853" s="207" t="s">
        <v>9444</v>
      </c>
      <c r="BM1853" s="208">
        <f>BH1853</f>
        <v>24943.65</v>
      </c>
      <c r="BN1853" s="160"/>
      <c r="BO1853" s="161">
        <f t="shared" si="1542"/>
        <v>0</v>
      </c>
      <c r="BP1853" s="161"/>
    </row>
    <row r="1854" spans="1:68" ht="51">
      <c r="A1854" s="206" t="s">
        <v>601</v>
      </c>
      <c r="B1854" s="195" t="s">
        <v>9451</v>
      </c>
      <c r="C1854" s="196" t="s">
        <v>9452</v>
      </c>
      <c r="D1854" s="146" t="s">
        <v>4692</v>
      </c>
      <c r="E1854" s="196" t="s">
        <v>9452</v>
      </c>
      <c r="F1854" s="150">
        <v>0</v>
      </c>
      <c r="G1854" s="209">
        <v>1600</v>
      </c>
      <c r="H1854" s="209">
        <v>14382.063125000001</v>
      </c>
      <c r="I1854" s="209">
        <v>15982.063125000001</v>
      </c>
      <c r="J1854" s="150">
        <v>0</v>
      </c>
      <c r="K1854" s="150">
        <v>0</v>
      </c>
      <c r="L1854" s="150">
        <f t="shared" si="1541"/>
        <v>0</v>
      </c>
      <c r="M1854" s="150">
        <v>0</v>
      </c>
      <c r="N1854" s="150">
        <v>0</v>
      </c>
      <c r="O1854" s="150">
        <v>0</v>
      </c>
      <c r="P1854" s="150">
        <v>0</v>
      </c>
      <c r="Q1854" s="150">
        <v>0</v>
      </c>
      <c r="R1854" s="313">
        <f t="shared" si="1572"/>
        <v>0</v>
      </c>
      <c r="S1854" s="150">
        <f t="shared" si="1540"/>
        <v>0</v>
      </c>
      <c r="T1854" s="150">
        <v>0</v>
      </c>
      <c r="U1854" s="150">
        <v>0</v>
      </c>
      <c r="V1854" s="199">
        <v>0</v>
      </c>
      <c r="W1854" s="150">
        <f t="shared" si="1573"/>
        <v>0</v>
      </c>
      <c r="X1854" s="150">
        <v>0</v>
      </c>
      <c r="Y1854" s="150">
        <v>0</v>
      </c>
      <c r="Z1854" s="150">
        <v>0</v>
      </c>
      <c r="AA1854" s="150">
        <f t="shared" si="1535"/>
        <v>0</v>
      </c>
      <c r="AB1854" s="150">
        <v>0</v>
      </c>
      <c r="AC1854" s="199">
        <v>0</v>
      </c>
      <c r="AD1854" s="150">
        <f t="shared" si="1574"/>
        <v>0</v>
      </c>
      <c r="AE1854" s="150">
        <v>0</v>
      </c>
      <c r="AF1854" s="169" t="s">
        <v>4680</v>
      </c>
      <c r="AG1854" s="201">
        <v>0</v>
      </c>
      <c r="AH1854" s="199">
        <v>0</v>
      </c>
      <c r="AI1854" s="150">
        <v>0</v>
      </c>
      <c r="AJ1854" s="169">
        <f t="shared" si="1536"/>
        <v>0</v>
      </c>
      <c r="AK1854" s="201">
        <v>0</v>
      </c>
      <c r="AL1854" s="199">
        <v>0</v>
      </c>
      <c r="AM1854" s="150">
        <f t="shared" si="1575"/>
        <v>0</v>
      </c>
      <c r="AN1854" s="153">
        <f t="shared" si="1537"/>
        <v>0</v>
      </c>
      <c r="AO1854" s="154">
        <f t="shared" si="1538"/>
        <v>0</v>
      </c>
      <c r="AP1854" s="150">
        <v>0</v>
      </c>
      <c r="AQ1854" s="201">
        <v>0</v>
      </c>
      <c r="AR1854" s="199">
        <v>0</v>
      </c>
      <c r="AS1854" s="150">
        <f t="shared" si="1576"/>
        <v>0</v>
      </c>
      <c r="AT1854" s="155"/>
      <c r="AU1854" s="156">
        <f t="shared" si="1533"/>
        <v>0</v>
      </c>
      <c r="AV1854" s="156">
        <f t="shared" si="1534"/>
        <v>0</v>
      </c>
      <c r="AW1854" s="157"/>
      <c r="AX1854" s="150">
        <v>0</v>
      </c>
      <c r="AY1854" s="150">
        <v>0</v>
      </c>
      <c r="AZ1854" s="150">
        <f t="shared" si="1566"/>
        <v>0</v>
      </c>
      <c r="BA1854" s="150">
        <v>0</v>
      </c>
      <c r="BB1854" s="202">
        <v>5</v>
      </c>
      <c r="BC1854" s="202" t="s">
        <v>766</v>
      </c>
      <c r="BD1854" s="202" t="s">
        <v>632</v>
      </c>
      <c r="BE1854" s="202" t="s">
        <v>647</v>
      </c>
      <c r="BF1854" s="202" t="s">
        <v>671</v>
      </c>
      <c r="BG1854" s="231" t="s">
        <v>9453</v>
      </c>
      <c r="BH1854" s="216">
        <f>AS1854</f>
        <v>0</v>
      </c>
      <c r="BI1854" s="205"/>
      <c r="BJ1854" s="206" t="s">
        <v>9443</v>
      </c>
      <c r="BK1854" s="206" t="s">
        <v>601</v>
      </c>
      <c r="BL1854" s="207" t="s">
        <v>9444</v>
      </c>
      <c r="BM1854" s="208">
        <f>BH1854</f>
        <v>0</v>
      </c>
      <c r="BN1854" s="160"/>
      <c r="BO1854" s="161">
        <f t="shared" si="1542"/>
        <v>0</v>
      </c>
      <c r="BP1854" s="161"/>
    </row>
    <row r="1855" spans="1:68" ht="51">
      <c r="A1855" s="206" t="s">
        <v>601</v>
      </c>
      <c r="B1855" s="195" t="s">
        <v>9454</v>
      </c>
      <c r="C1855" s="196" t="s">
        <v>9455</v>
      </c>
      <c r="D1855" s="146" t="s">
        <v>4692</v>
      </c>
      <c r="E1855" s="196" t="s">
        <v>9455</v>
      </c>
      <c r="F1855" s="150">
        <v>15982</v>
      </c>
      <c r="G1855" s="209">
        <v>11195.29</v>
      </c>
      <c r="H1855" s="209">
        <v>8547.535462124999</v>
      </c>
      <c r="I1855" s="209">
        <v>19742.825462125002</v>
      </c>
      <c r="J1855" s="150">
        <v>0</v>
      </c>
      <c r="K1855" s="150">
        <v>3874.44</v>
      </c>
      <c r="L1855" s="150">
        <f t="shared" si="1541"/>
        <v>3874.44</v>
      </c>
      <c r="M1855" s="150">
        <v>0</v>
      </c>
      <c r="N1855" s="150">
        <v>8523.7669999999998</v>
      </c>
      <c r="O1855" s="150">
        <v>8523.7669999999998</v>
      </c>
      <c r="P1855" s="150">
        <v>0</v>
      </c>
      <c r="Q1855" s="150">
        <v>12785.6505</v>
      </c>
      <c r="R1855" s="313">
        <f t="shared" si="1572"/>
        <v>12785.6505</v>
      </c>
      <c r="S1855" s="150">
        <f t="shared" si="1540"/>
        <v>17047.534</v>
      </c>
      <c r="T1855" s="150">
        <v>16053.56</v>
      </c>
      <c r="U1855" s="150">
        <v>0</v>
      </c>
      <c r="V1855" s="199">
        <v>27047.534</v>
      </c>
      <c r="W1855" s="150">
        <f t="shared" si="1573"/>
        <v>27047.534</v>
      </c>
      <c r="X1855" s="150">
        <v>0</v>
      </c>
      <c r="Y1855" s="150">
        <v>27047.534</v>
      </c>
      <c r="Z1855" s="150">
        <v>27047.534</v>
      </c>
      <c r="AA1855" s="150">
        <f t="shared" si="1535"/>
        <v>-10993.974</v>
      </c>
      <c r="AB1855" s="150">
        <v>0</v>
      </c>
      <c r="AC1855" s="199">
        <v>16053.56</v>
      </c>
      <c r="AD1855" s="150">
        <f t="shared" si="1574"/>
        <v>16053.56</v>
      </c>
      <c r="AE1855" s="150">
        <v>16053.56</v>
      </c>
      <c r="AF1855" s="169" t="s">
        <v>4680</v>
      </c>
      <c r="AG1855" s="201">
        <v>0</v>
      </c>
      <c r="AH1855" s="199">
        <v>16053.56</v>
      </c>
      <c r="AI1855" s="150">
        <v>16053.56</v>
      </c>
      <c r="AJ1855" s="169">
        <f t="shared" si="1536"/>
        <v>0</v>
      </c>
      <c r="AK1855" s="201">
        <v>0</v>
      </c>
      <c r="AL1855" s="199">
        <v>16053.56</v>
      </c>
      <c r="AM1855" s="150">
        <f t="shared" si="1575"/>
        <v>16053.56</v>
      </c>
      <c r="AN1855" s="153">
        <f t="shared" si="1537"/>
        <v>0</v>
      </c>
      <c r="AO1855" s="154">
        <f t="shared" si="1538"/>
        <v>0</v>
      </c>
      <c r="AP1855" s="150">
        <v>16053.56</v>
      </c>
      <c r="AQ1855" s="201">
        <v>16053.56</v>
      </c>
      <c r="AR1855" s="199"/>
      <c r="AS1855" s="150">
        <f t="shared" si="1576"/>
        <v>16053.56</v>
      </c>
      <c r="AT1855" s="155"/>
      <c r="AU1855" s="156">
        <f t="shared" si="1533"/>
        <v>0</v>
      </c>
      <c r="AV1855" s="156">
        <f t="shared" si="1534"/>
        <v>-10993.974</v>
      </c>
      <c r="AW1855" s="157"/>
      <c r="AX1855" s="150">
        <v>27047.534</v>
      </c>
      <c r="AY1855" s="150">
        <v>0</v>
      </c>
      <c r="AZ1855" s="150">
        <f t="shared" si="1566"/>
        <v>17047.534</v>
      </c>
      <c r="BA1855" s="150">
        <v>17047.534</v>
      </c>
      <c r="BB1855" s="202">
        <v>5</v>
      </c>
      <c r="BC1855" s="202" t="s">
        <v>766</v>
      </c>
      <c r="BD1855" s="202" t="s">
        <v>632</v>
      </c>
      <c r="BE1855" s="202" t="s">
        <v>647</v>
      </c>
      <c r="BF1855" s="202" t="s">
        <v>693</v>
      </c>
      <c r="BG1855" s="231" t="s">
        <v>9456</v>
      </c>
      <c r="BH1855" s="216">
        <f>AS1855</f>
        <v>16053.56</v>
      </c>
      <c r="BI1855" s="205"/>
      <c r="BJ1855" s="206" t="s">
        <v>9443</v>
      </c>
      <c r="BK1855" s="206" t="s">
        <v>601</v>
      </c>
      <c r="BL1855" s="207" t="s">
        <v>9444</v>
      </c>
      <c r="BM1855" s="208">
        <f>BH1855</f>
        <v>16053.56</v>
      </c>
      <c r="BN1855" s="160"/>
      <c r="BO1855" s="161">
        <f t="shared" si="1542"/>
        <v>0</v>
      </c>
      <c r="BP1855" s="161"/>
    </row>
    <row r="1856" spans="1:68" ht="38.25">
      <c r="A1856" s="206" t="s">
        <v>601</v>
      </c>
      <c r="B1856" s="195" t="s">
        <v>9457</v>
      </c>
      <c r="C1856" s="196" t="s">
        <v>9458</v>
      </c>
      <c r="D1856" s="146" t="s">
        <v>4692</v>
      </c>
      <c r="E1856" s="196" t="s">
        <v>9458</v>
      </c>
      <c r="F1856" s="150">
        <v>19743.29</v>
      </c>
      <c r="G1856" s="209">
        <v>2062.44</v>
      </c>
      <c r="H1856" s="209">
        <v>0</v>
      </c>
      <c r="I1856" s="209">
        <v>2062.44</v>
      </c>
      <c r="J1856" s="150">
        <v>2888.61</v>
      </c>
      <c r="K1856" s="150">
        <v>2132.62</v>
      </c>
      <c r="L1856" s="150">
        <f t="shared" si="1541"/>
        <v>5021.2299999999996</v>
      </c>
      <c r="M1856" s="150">
        <v>5802.06</v>
      </c>
      <c r="N1856" s="150">
        <v>4511.1429124615379</v>
      </c>
      <c r="O1856" s="150">
        <v>10313.202912461538</v>
      </c>
      <c r="P1856" s="150">
        <v>8996.48</v>
      </c>
      <c r="Q1856" s="150">
        <v>6715.928988692307</v>
      </c>
      <c r="R1856" s="313">
        <f t="shared" si="1572"/>
        <v>15712.408988692307</v>
      </c>
      <c r="S1856" s="150">
        <f t="shared" si="1540"/>
        <v>20949.878651589741</v>
      </c>
      <c r="T1856" s="150">
        <v>21929.86</v>
      </c>
      <c r="U1856" s="150">
        <v>12994.91</v>
      </c>
      <c r="V1856" s="199">
        <v>7954.9686515897411</v>
      </c>
      <c r="W1856" s="150">
        <f t="shared" si="1573"/>
        <v>20949.878651589741</v>
      </c>
      <c r="X1856" s="150">
        <v>12994.91</v>
      </c>
      <c r="Y1856" s="150">
        <v>7954.9686515897411</v>
      </c>
      <c r="Z1856" s="150">
        <v>20949.878651589741</v>
      </c>
      <c r="AA1856" s="150">
        <f t="shared" si="1535"/>
        <v>979.98134841025967</v>
      </c>
      <c r="AB1856" s="150">
        <v>12994.91</v>
      </c>
      <c r="AC1856" s="199">
        <v>8934.9500000000007</v>
      </c>
      <c r="AD1856" s="150">
        <f t="shared" si="1574"/>
        <v>21929.86</v>
      </c>
      <c r="AE1856" s="150">
        <v>21929.86</v>
      </c>
      <c r="AF1856" s="169" t="s">
        <v>4680</v>
      </c>
      <c r="AG1856" s="201">
        <v>12994.91</v>
      </c>
      <c r="AH1856" s="199">
        <v>8934.9500000000007</v>
      </c>
      <c r="AI1856" s="150">
        <v>21929.86</v>
      </c>
      <c r="AJ1856" s="169">
        <f t="shared" si="1536"/>
        <v>0</v>
      </c>
      <c r="AK1856" s="201">
        <v>12994.91</v>
      </c>
      <c r="AL1856" s="199">
        <v>8934.9500000000007</v>
      </c>
      <c r="AM1856" s="150">
        <f t="shared" si="1575"/>
        <v>21929.86</v>
      </c>
      <c r="AN1856" s="153">
        <f t="shared" si="1537"/>
        <v>0</v>
      </c>
      <c r="AO1856" s="154">
        <f t="shared" si="1538"/>
        <v>0</v>
      </c>
      <c r="AP1856" s="150">
        <v>21929.86</v>
      </c>
      <c r="AQ1856" s="201">
        <v>21929.86</v>
      </c>
      <c r="AR1856" s="199"/>
      <c r="AS1856" s="150">
        <f t="shared" si="1576"/>
        <v>21929.86</v>
      </c>
      <c r="AT1856" s="155"/>
      <c r="AU1856" s="156">
        <f t="shared" si="1533"/>
        <v>0</v>
      </c>
      <c r="AV1856" s="156">
        <f t="shared" si="1534"/>
        <v>979.98134841025967</v>
      </c>
      <c r="AW1856" s="157"/>
      <c r="AX1856" s="150">
        <v>20949.878651589741</v>
      </c>
      <c r="AY1856" s="150">
        <v>6769.07</v>
      </c>
      <c r="AZ1856" s="150">
        <f t="shared" si="1566"/>
        <v>13857.335824923077</v>
      </c>
      <c r="BA1856" s="150">
        <v>20626.405824923077</v>
      </c>
      <c r="BB1856" s="202">
        <v>5</v>
      </c>
      <c r="BC1856" s="202" t="s">
        <v>766</v>
      </c>
      <c r="BD1856" s="202" t="s">
        <v>632</v>
      </c>
      <c r="BE1856" s="202" t="s">
        <v>647</v>
      </c>
      <c r="BF1856" s="202" t="s">
        <v>714</v>
      </c>
      <c r="BG1856" s="231" t="s">
        <v>9459</v>
      </c>
      <c r="BH1856" s="216">
        <f>SUM(AS1856:AS1863)</f>
        <v>24751.71</v>
      </c>
      <c r="BI1856" s="205"/>
      <c r="BJ1856" s="206" t="s">
        <v>9443</v>
      </c>
      <c r="BK1856" s="206" t="s">
        <v>601</v>
      </c>
      <c r="BL1856" s="207" t="s">
        <v>9444</v>
      </c>
      <c r="BM1856" s="208">
        <f>BH1856</f>
        <v>24751.71</v>
      </c>
      <c r="BN1856" s="160"/>
      <c r="BO1856" s="161"/>
      <c r="BP1856" s="161"/>
    </row>
    <row r="1857" spans="1:68" ht="38.25">
      <c r="A1857" s="210"/>
      <c r="B1857" s="195" t="s">
        <v>9460</v>
      </c>
      <c r="C1857" s="196" t="s">
        <v>9461</v>
      </c>
      <c r="D1857" s="146" t="s">
        <v>4692</v>
      </c>
      <c r="E1857" s="196" t="s">
        <v>9461</v>
      </c>
      <c r="F1857" s="150">
        <v>2062.44</v>
      </c>
      <c r="G1857" s="209">
        <v>0</v>
      </c>
      <c r="H1857" s="209">
        <v>0</v>
      </c>
      <c r="I1857" s="209">
        <v>0</v>
      </c>
      <c r="J1857" s="150">
        <v>592.29</v>
      </c>
      <c r="K1857" s="150">
        <v>0</v>
      </c>
      <c r="L1857" s="150">
        <f t="shared" si="1541"/>
        <v>592.29</v>
      </c>
      <c r="M1857" s="150">
        <v>1189.68</v>
      </c>
      <c r="N1857" s="150">
        <v>0</v>
      </c>
      <c r="O1857" s="150">
        <v>1189.68</v>
      </c>
      <c r="P1857" s="150">
        <v>1844.65</v>
      </c>
      <c r="Q1857" s="150">
        <v>0</v>
      </c>
      <c r="R1857" s="313">
        <f t="shared" si="1572"/>
        <v>1844.65</v>
      </c>
      <c r="S1857" s="150">
        <f t="shared" si="1540"/>
        <v>2459.5333333333333</v>
      </c>
      <c r="T1857" s="150">
        <v>2664.49</v>
      </c>
      <c r="U1857" s="150">
        <v>2664.49</v>
      </c>
      <c r="V1857" s="199">
        <v>0</v>
      </c>
      <c r="W1857" s="150">
        <f t="shared" si="1573"/>
        <v>2664.49</v>
      </c>
      <c r="X1857" s="150">
        <v>2664.49</v>
      </c>
      <c r="Y1857" s="150">
        <v>0</v>
      </c>
      <c r="Z1857" s="150">
        <v>2664.49</v>
      </c>
      <c r="AA1857" s="150">
        <f t="shared" si="1535"/>
        <v>0</v>
      </c>
      <c r="AB1857" s="150">
        <v>2664.49</v>
      </c>
      <c r="AC1857" s="199">
        <v>0</v>
      </c>
      <c r="AD1857" s="150">
        <f t="shared" si="1574"/>
        <v>2664.49</v>
      </c>
      <c r="AE1857" s="150">
        <v>2664.49</v>
      </c>
      <c r="AF1857" s="169" t="s">
        <v>4680</v>
      </c>
      <c r="AG1857" s="201">
        <v>2664.49</v>
      </c>
      <c r="AH1857" s="199">
        <v>0</v>
      </c>
      <c r="AI1857" s="150">
        <v>2664.49</v>
      </c>
      <c r="AJ1857" s="169">
        <f t="shared" si="1536"/>
        <v>0</v>
      </c>
      <c r="AK1857" s="201">
        <v>2664.49</v>
      </c>
      <c r="AL1857" s="199">
        <v>0</v>
      </c>
      <c r="AM1857" s="150">
        <f t="shared" si="1575"/>
        <v>2664.49</v>
      </c>
      <c r="AN1857" s="153">
        <f t="shared" si="1537"/>
        <v>0</v>
      </c>
      <c r="AO1857" s="154">
        <f t="shared" si="1538"/>
        <v>0</v>
      </c>
      <c r="AP1857" s="150">
        <v>2664.49</v>
      </c>
      <c r="AQ1857" s="201">
        <v>2664.49</v>
      </c>
      <c r="AR1857" s="199">
        <v>0</v>
      </c>
      <c r="AS1857" s="150">
        <f t="shared" si="1576"/>
        <v>2664.49</v>
      </c>
      <c r="AT1857" s="155"/>
      <c r="AU1857" s="156">
        <f t="shared" si="1533"/>
        <v>0</v>
      </c>
      <c r="AV1857" s="156">
        <f t="shared" si="1534"/>
        <v>0</v>
      </c>
      <c r="AW1857" s="157"/>
      <c r="AX1857" s="150">
        <v>2664.49</v>
      </c>
      <c r="AY1857" s="150">
        <v>1387.96</v>
      </c>
      <c r="AZ1857" s="150">
        <f t="shared" si="1566"/>
        <v>991.40000000000009</v>
      </c>
      <c r="BA1857" s="150">
        <v>2379.36</v>
      </c>
      <c r="BB1857" s="210"/>
      <c r="BC1857" s="210"/>
      <c r="BD1857" s="210"/>
      <c r="BE1857" s="210"/>
      <c r="BF1857" s="210"/>
      <c r="BG1857" s="210"/>
      <c r="BH1857" s="217"/>
      <c r="BI1857" s="210"/>
      <c r="BJ1857" s="210"/>
      <c r="BK1857" s="210"/>
      <c r="BL1857" s="210"/>
      <c r="BM1857" s="208"/>
      <c r="BN1857" s="160"/>
      <c r="BO1857" s="161"/>
      <c r="BP1857" s="161"/>
    </row>
    <row r="1858" spans="1:68" ht="38.25">
      <c r="A1858" s="210"/>
      <c r="B1858" s="195" t="s">
        <v>9462</v>
      </c>
      <c r="C1858" s="196" t="s">
        <v>9463</v>
      </c>
      <c r="D1858" s="146" t="s">
        <v>4692</v>
      </c>
      <c r="E1858" s="196" t="s">
        <v>9463</v>
      </c>
      <c r="F1858" s="150">
        <v>0</v>
      </c>
      <c r="G1858" s="209">
        <v>0</v>
      </c>
      <c r="H1858" s="209">
        <v>0</v>
      </c>
      <c r="I1858" s="209">
        <v>0</v>
      </c>
      <c r="J1858" s="150">
        <v>0</v>
      </c>
      <c r="K1858" s="150">
        <v>0</v>
      </c>
      <c r="L1858" s="150">
        <f t="shared" si="1541"/>
        <v>0</v>
      </c>
      <c r="M1858" s="150">
        <v>0</v>
      </c>
      <c r="N1858" s="150">
        <v>0</v>
      </c>
      <c r="O1858" s="150">
        <v>0</v>
      </c>
      <c r="P1858" s="150">
        <v>0</v>
      </c>
      <c r="Q1858" s="150">
        <v>0</v>
      </c>
      <c r="R1858" s="313">
        <f t="shared" si="1572"/>
        <v>0</v>
      </c>
      <c r="S1858" s="150">
        <f t="shared" si="1540"/>
        <v>0</v>
      </c>
      <c r="T1858" s="150">
        <v>0</v>
      </c>
      <c r="U1858" s="150">
        <v>0</v>
      </c>
      <c r="V1858" s="199">
        <v>0</v>
      </c>
      <c r="W1858" s="150">
        <f t="shared" si="1573"/>
        <v>0</v>
      </c>
      <c r="X1858" s="150">
        <v>0</v>
      </c>
      <c r="Y1858" s="150">
        <v>0</v>
      </c>
      <c r="Z1858" s="150">
        <v>0</v>
      </c>
      <c r="AA1858" s="150">
        <f t="shared" si="1535"/>
        <v>0</v>
      </c>
      <c r="AB1858" s="150">
        <v>0</v>
      </c>
      <c r="AC1858" s="199">
        <v>0</v>
      </c>
      <c r="AD1858" s="150">
        <f t="shared" si="1574"/>
        <v>0</v>
      </c>
      <c r="AE1858" s="150">
        <v>0</v>
      </c>
      <c r="AF1858" s="169" t="s">
        <v>4680</v>
      </c>
      <c r="AG1858" s="201">
        <v>0</v>
      </c>
      <c r="AH1858" s="199">
        <v>0</v>
      </c>
      <c r="AI1858" s="150">
        <v>0</v>
      </c>
      <c r="AJ1858" s="169">
        <f t="shared" si="1536"/>
        <v>0</v>
      </c>
      <c r="AK1858" s="201">
        <v>0</v>
      </c>
      <c r="AL1858" s="199">
        <v>0</v>
      </c>
      <c r="AM1858" s="150">
        <f t="shared" si="1575"/>
        <v>0</v>
      </c>
      <c r="AN1858" s="153">
        <f t="shared" si="1537"/>
        <v>0</v>
      </c>
      <c r="AO1858" s="154">
        <f t="shared" si="1538"/>
        <v>0</v>
      </c>
      <c r="AP1858" s="150">
        <v>0</v>
      </c>
      <c r="AQ1858" s="201">
        <v>0</v>
      </c>
      <c r="AR1858" s="199">
        <v>0</v>
      </c>
      <c r="AS1858" s="150">
        <f t="shared" si="1576"/>
        <v>0</v>
      </c>
      <c r="AT1858" s="155"/>
      <c r="AU1858" s="156">
        <f t="shared" ref="AU1858:AU1921" si="1577">AM1858-AD1858</f>
        <v>0</v>
      </c>
      <c r="AV1858" s="156">
        <f t="shared" ref="AV1858:AV1921" si="1578">AD1858-AX1858</f>
        <v>0</v>
      </c>
      <c r="AW1858" s="157"/>
      <c r="AX1858" s="150">
        <v>0</v>
      </c>
      <c r="AY1858" s="150">
        <v>0</v>
      </c>
      <c r="AZ1858" s="150">
        <f t="shared" si="1566"/>
        <v>0</v>
      </c>
      <c r="BA1858" s="150">
        <v>0</v>
      </c>
      <c r="BB1858" s="210"/>
      <c r="BC1858" s="210"/>
      <c r="BD1858" s="210"/>
      <c r="BE1858" s="210"/>
      <c r="BF1858" s="210"/>
      <c r="BG1858" s="210"/>
      <c r="BH1858" s="217"/>
      <c r="BI1858" s="210"/>
      <c r="BJ1858" s="210"/>
      <c r="BK1858" s="210"/>
      <c r="BL1858" s="210"/>
      <c r="BM1858" s="208"/>
      <c r="BN1858" s="160"/>
      <c r="BO1858" s="161"/>
      <c r="BP1858" s="161"/>
    </row>
    <row r="1859" spans="1:68" ht="38.25">
      <c r="A1859" s="210"/>
      <c r="B1859" s="195" t="s">
        <v>9464</v>
      </c>
      <c r="C1859" s="196" t="s">
        <v>9465</v>
      </c>
      <c r="D1859" s="146" t="s">
        <v>4692</v>
      </c>
      <c r="E1859" s="196" t="s">
        <v>9465</v>
      </c>
      <c r="F1859" s="150">
        <v>0</v>
      </c>
      <c r="G1859" s="209">
        <v>0</v>
      </c>
      <c r="H1859" s="209">
        <v>0</v>
      </c>
      <c r="I1859" s="209">
        <v>0</v>
      </c>
      <c r="J1859" s="150">
        <v>0</v>
      </c>
      <c r="K1859" s="150">
        <v>0</v>
      </c>
      <c r="L1859" s="150">
        <f t="shared" si="1541"/>
        <v>0</v>
      </c>
      <c r="M1859" s="150">
        <v>0</v>
      </c>
      <c r="N1859" s="150">
        <v>0</v>
      </c>
      <c r="O1859" s="150">
        <v>0</v>
      </c>
      <c r="P1859" s="150">
        <v>0</v>
      </c>
      <c r="Q1859" s="150">
        <v>0</v>
      </c>
      <c r="R1859" s="313">
        <f t="shared" si="1572"/>
        <v>0</v>
      </c>
      <c r="S1859" s="150">
        <f t="shared" si="1540"/>
        <v>0</v>
      </c>
      <c r="T1859" s="150">
        <v>0</v>
      </c>
      <c r="U1859" s="150">
        <v>0</v>
      </c>
      <c r="V1859" s="199">
        <v>0</v>
      </c>
      <c r="W1859" s="150">
        <f t="shared" si="1573"/>
        <v>0</v>
      </c>
      <c r="X1859" s="150">
        <v>0</v>
      </c>
      <c r="Y1859" s="150">
        <v>0</v>
      </c>
      <c r="Z1859" s="150">
        <v>0</v>
      </c>
      <c r="AA1859" s="150">
        <f t="shared" ref="AA1859:AA1922" si="1579">AD1859-Z1859</f>
        <v>0</v>
      </c>
      <c r="AB1859" s="150">
        <v>0</v>
      </c>
      <c r="AC1859" s="199">
        <v>0</v>
      </c>
      <c r="AD1859" s="150">
        <f t="shared" si="1574"/>
        <v>0</v>
      </c>
      <c r="AE1859" s="150">
        <v>0</v>
      </c>
      <c r="AF1859" s="169" t="s">
        <v>4680</v>
      </c>
      <c r="AG1859" s="201">
        <v>0</v>
      </c>
      <c r="AH1859" s="199">
        <v>0</v>
      </c>
      <c r="AI1859" s="150">
        <v>0</v>
      </c>
      <c r="AJ1859" s="169">
        <f t="shared" ref="AJ1859:AJ1922" si="1580">AM1859-AI1859</f>
        <v>0</v>
      </c>
      <c r="AK1859" s="201">
        <v>0</v>
      </c>
      <c r="AL1859" s="199">
        <v>0</v>
      </c>
      <c r="AM1859" s="150">
        <f t="shared" si="1575"/>
        <v>0</v>
      </c>
      <c r="AN1859" s="153">
        <f t="shared" ref="AN1859:AN1922" si="1581">AS1859-AM1859</f>
        <v>0</v>
      </c>
      <c r="AO1859" s="154">
        <f t="shared" ref="AO1859:AO1922" si="1582">AS1859-AP1859</f>
        <v>0</v>
      </c>
      <c r="AP1859" s="150">
        <v>0</v>
      </c>
      <c r="AQ1859" s="201">
        <v>0</v>
      </c>
      <c r="AR1859" s="199">
        <v>0</v>
      </c>
      <c r="AS1859" s="150">
        <f t="shared" si="1576"/>
        <v>0</v>
      </c>
      <c r="AT1859" s="155"/>
      <c r="AU1859" s="156">
        <f t="shared" si="1577"/>
        <v>0</v>
      </c>
      <c r="AV1859" s="156">
        <f t="shared" si="1578"/>
        <v>0</v>
      </c>
      <c r="AW1859" s="157"/>
      <c r="AX1859" s="150">
        <v>0</v>
      </c>
      <c r="AY1859" s="150">
        <v>0</v>
      </c>
      <c r="AZ1859" s="150">
        <f t="shared" si="1566"/>
        <v>0</v>
      </c>
      <c r="BA1859" s="150">
        <v>0</v>
      </c>
      <c r="BB1859" s="210"/>
      <c r="BC1859" s="210"/>
      <c r="BD1859" s="210"/>
      <c r="BE1859" s="210"/>
      <c r="BF1859" s="210"/>
      <c r="BG1859" s="210"/>
      <c r="BH1859" s="217"/>
      <c r="BI1859" s="210"/>
      <c r="BJ1859" s="210"/>
      <c r="BK1859" s="210"/>
      <c r="BL1859" s="210"/>
      <c r="BM1859" s="208"/>
      <c r="BN1859" s="160"/>
      <c r="BO1859" s="161"/>
      <c r="BP1859" s="161"/>
    </row>
    <row r="1860" spans="1:68" ht="38.25">
      <c r="A1860" s="210"/>
      <c r="B1860" s="195" t="s">
        <v>9466</v>
      </c>
      <c r="C1860" s="196" t="s">
        <v>9467</v>
      </c>
      <c r="D1860" s="146" t="s">
        <v>4692</v>
      </c>
      <c r="E1860" s="196" t="s">
        <v>9467</v>
      </c>
      <c r="F1860" s="150">
        <v>0</v>
      </c>
      <c r="G1860" s="209">
        <v>0</v>
      </c>
      <c r="H1860" s="209">
        <v>631.79</v>
      </c>
      <c r="I1860" s="209">
        <v>631.79</v>
      </c>
      <c r="J1860" s="150">
        <v>0</v>
      </c>
      <c r="K1860" s="150">
        <v>0</v>
      </c>
      <c r="L1860" s="150">
        <f t="shared" si="1541"/>
        <v>0</v>
      </c>
      <c r="M1860" s="150">
        <v>0</v>
      </c>
      <c r="N1860" s="150">
        <v>0</v>
      </c>
      <c r="O1860" s="150">
        <v>0</v>
      </c>
      <c r="P1860" s="150">
        <v>0</v>
      </c>
      <c r="Q1860" s="150">
        <v>0</v>
      </c>
      <c r="R1860" s="313">
        <f t="shared" si="1572"/>
        <v>0</v>
      </c>
      <c r="S1860" s="150">
        <f t="shared" ref="S1860:S1923" si="1583">R1860/9*12</f>
        <v>0</v>
      </c>
      <c r="T1860" s="150">
        <v>0</v>
      </c>
      <c r="U1860" s="150">
        <v>0</v>
      </c>
      <c r="V1860" s="199">
        <v>0</v>
      </c>
      <c r="W1860" s="150">
        <f t="shared" si="1573"/>
        <v>0</v>
      </c>
      <c r="X1860" s="150">
        <v>0</v>
      </c>
      <c r="Y1860" s="150">
        <v>0</v>
      </c>
      <c r="Z1860" s="150">
        <v>0</v>
      </c>
      <c r="AA1860" s="150">
        <f t="shared" si="1579"/>
        <v>0</v>
      </c>
      <c r="AB1860" s="150">
        <v>0</v>
      </c>
      <c r="AC1860" s="199">
        <v>0</v>
      </c>
      <c r="AD1860" s="150">
        <f t="shared" si="1574"/>
        <v>0</v>
      </c>
      <c r="AE1860" s="150">
        <v>0</v>
      </c>
      <c r="AF1860" s="169" t="s">
        <v>4680</v>
      </c>
      <c r="AG1860" s="201">
        <v>0</v>
      </c>
      <c r="AH1860" s="199">
        <v>0</v>
      </c>
      <c r="AI1860" s="150">
        <v>0</v>
      </c>
      <c r="AJ1860" s="169">
        <f t="shared" si="1580"/>
        <v>0</v>
      </c>
      <c r="AK1860" s="201">
        <v>0</v>
      </c>
      <c r="AL1860" s="199">
        <v>0</v>
      </c>
      <c r="AM1860" s="150">
        <f t="shared" si="1575"/>
        <v>0</v>
      </c>
      <c r="AN1860" s="153">
        <f t="shared" si="1581"/>
        <v>0</v>
      </c>
      <c r="AO1860" s="154">
        <f t="shared" si="1582"/>
        <v>0</v>
      </c>
      <c r="AP1860" s="150">
        <v>0</v>
      </c>
      <c r="AQ1860" s="201">
        <v>0</v>
      </c>
      <c r="AR1860" s="199">
        <v>0</v>
      </c>
      <c r="AS1860" s="150">
        <f t="shared" si="1576"/>
        <v>0</v>
      </c>
      <c r="AT1860" s="155"/>
      <c r="AU1860" s="156">
        <f t="shared" si="1577"/>
        <v>0</v>
      </c>
      <c r="AV1860" s="156">
        <f t="shared" si="1578"/>
        <v>0</v>
      </c>
      <c r="AW1860" s="157"/>
      <c r="AX1860" s="150">
        <v>0</v>
      </c>
      <c r="AY1860" s="150">
        <v>0</v>
      </c>
      <c r="AZ1860" s="150">
        <f t="shared" si="1566"/>
        <v>0</v>
      </c>
      <c r="BA1860" s="150">
        <v>0</v>
      </c>
      <c r="BB1860" s="210"/>
      <c r="BC1860" s="210"/>
      <c r="BD1860" s="210"/>
      <c r="BE1860" s="210"/>
      <c r="BF1860" s="210"/>
      <c r="BG1860" s="210"/>
      <c r="BH1860" s="217"/>
      <c r="BI1860" s="210"/>
      <c r="BJ1860" s="210"/>
      <c r="BK1860" s="210"/>
      <c r="BL1860" s="210"/>
      <c r="BM1860" s="208"/>
      <c r="BN1860" s="160"/>
      <c r="BO1860" s="161"/>
      <c r="BP1860" s="161"/>
    </row>
    <row r="1861" spans="1:68" ht="38.25">
      <c r="A1861" s="210"/>
      <c r="B1861" s="195" t="s">
        <v>9468</v>
      </c>
      <c r="C1861" s="196" t="s">
        <v>9469</v>
      </c>
      <c r="D1861" s="146" t="s">
        <v>4692</v>
      </c>
      <c r="E1861" s="196" t="s">
        <v>9469</v>
      </c>
      <c r="F1861" s="150">
        <v>632</v>
      </c>
      <c r="G1861" s="209">
        <v>0</v>
      </c>
      <c r="H1861" s="209">
        <v>0</v>
      </c>
      <c r="I1861" s="209">
        <v>0</v>
      </c>
      <c r="J1861" s="150">
        <v>0</v>
      </c>
      <c r="K1861" s="150">
        <v>157.94999999999999</v>
      </c>
      <c r="L1861" s="150">
        <f t="shared" si="1541"/>
        <v>157.94999999999999</v>
      </c>
      <c r="M1861" s="150">
        <v>0</v>
      </c>
      <c r="N1861" s="150">
        <v>316</v>
      </c>
      <c r="O1861" s="150">
        <v>316</v>
      </c>
      <c r="P1861" s="150">
        <v>0</v>
      </c>
      <c r="Q1861" s="150">
        <v>0</v>
      </c>
      <c r="R1861" s="313">
        <f t="shared" si="1572"/>
        <v>0</v>
      </c>
      <c r="S1861" s="150">
        <f t="shared" si="1583"/>
        <v>0</v>
      </c>
      <c r="T1861" s="150">
        <v>157.36000000000001</v>
      </c>
      <c r="U1861" s="150">
        <v>0</v>
      </c>
      <c r="V1861" s="199">
        <v>157.36000000000001</v>
      </c>
      <c r="W1861" s="150">
        <f t="shared" si="1573"/>
        <v>157.36000000000001</v>
      </c>
      <c r="X1861" s="150">
        <v>0</v>
      </c>
      <c r="Y1861" s="150">
        <v>157.36000000000001</v>
      </c>
      <c r="Z1861" s="150">
        <v>157.36000000000001</v>
      </c>
      <c r="AA1861" s="150">
        <f t="shared" si="1579"/>
        <v>0</v>
      </c>
      <c r="AB1861" s="150">
        <v>0</v>
      </c>
      <c r="AC1861" s="199">
        <v>157.36000000000001</v>
      </c>
      <c r="AD1861" s="150">
        <f t="shared" si="1574"/>
        <v>157.36000000000001</v>
      </c>
      <c r="AE1861" s="150">
        <v>157.36000000000001</v>
      </c>
      <c r="AF1861" s="169" t="s">
        <v>4680</v>
      </c>
      <c r="AG1861" s="201">
        <v>0</v>
      </c>
      <c r="AH1861" s="199">
        <v>157.36000000000001</v>
      </c>
      <c r="AI1861" s="150">
        <v>157.36000000000001</v>
      </c>
      <c r="AJ1861" s="169">
        <f t="shared" si="1580"/>
        <v>0</v>
      </c>
      <c r="AK1861" s="201">
        <v>0</v>
      </c>
      <c r="AL1861" s="199">
        <v>157.36000000000001</v>
      </c>
      <c r="AM1861" s="150">
        <f t="shared" si="1575"/>
        <v>157.36000000000001</v>
      </c>
      <c r="AN1861" s="153">
        <f t="shared" si="1581"/>
        <v>0</v>
      </c>
      <c r="AO1861" s="154">
        <f t="shared" si="1582"/>
        <v>0</v>
      </c>
      <c r="AP1861" s="150">
        <v>157.36000000000001</v>
      </c>
      <c r="AQ1861" s="201">
        <v>157.36000000000001</v>
      </c>
      <c r="AR1861" s="199"/>
      <c r="AS1861" s="150">
        <f t="shared" si="1576"/>
        <v>157.36000000000001</v>
      </c>
      <c r="AT1861" s="155"/>
      <c r="AU1861" s="156">
        <f t="shared" si="1577"/>
        <v>0</v>
      </c>
      <c r="AV1861" s="156">
        <f t="shared" si="1578"/>
        <v>0</v>
      </c>
      <c r="AW1861" s="157"/>
      <c r="AX1861" s="150">
        <v>157.36000000000001</v>
      </c>
      <c r="AY1861" s="150">
        <v>0</v>
      </c>
      <c r="AZ1861" s="150">
        <f t="shared" si="1566"/>
        <v>632</v>
      </c>
      <c r="BA1861" s="150">
        <v>632</v>
      </c>
      <c r="BB1861" s="210"/>
      <c r="BC1861" s="210"/>
      <c r="BD1861" s="210"/>
      <c r="BE1861" s="210"/>
      <c r="BF1861" s="210"/>
      <c r="BG1861" s="210"/>
      <c r="BH1861" s="217"/>
      <c r="BI1861" s="210"/>
      <c r="BJ1861" s="210"/>
      <c r="BK1861" s="210"/>
      <c r="BL1861" s="210"/>
      <c r="BM1861" s="208"/>
      <c r="BN1861" s="160"/>
      <c r="BO1861" s="161"/>
      <c r="BP1861" s="161"/>
    </row>
    <row r="1862" spans="1:68" ht="51">
      <c r="A1862" s="210"/>
      <c r="B1862" s="195" t="s">
        <v>9470</v>
      </c>
      <c r="C1862" s="196" t="s">
        <v>9471</v>
      </c>
      <c r="D1862" s="146" t="s">
        <v>4692</v>
      </c>
      <c r="E1862" s="196" t="s">
        <v>9471</v>
      </c>
      <c r="F1862" s="150">
        <v>0</v>
      </c>
      <c r="G1862" s="209">
        <v>0</v>
      </c>
      <c r="H1862" s="209">
        <v>0</v>
      </c>
      <c r="I1862" s="209">
        <v>0</v>
      </c>
      <c r="J1862" s="150">
        <v>0</v>
      </c>
      <c r="K1862" s="150">
        <v>0</v>
      </c>
      <c r="L1862" s="150">
        <f t="shared" si="1541"/>
        <v>0</v>
      </c>
      <c r="M1862" s="150">
        <v>0</v>
      </c>
      <c r="N1862" s="150">
        <v>0</v>
      </c>
      <c r="O1862" s="150">
        <v>0</v>
      </c>
      <c r="P1862" s="150">
        <v>0</v>
      </c>
      <c r="Q1862" s="150">
        <v>0</v>
      </c>
      <c r="R1862" s="313">
        <f t="shared" si="1572"/>
        <v>0</v>
      </c>
      <c r="S1862" s="150">
        <f t="shared" si="1583"/>
        <v>0</v>
      </c>
      <c r="T1862" s="150">
        <v>0</v>
      </c>
      <c r="U1862" s="150">
        <v>0</v>
      </c>
      <c r="V1862" s="199">
        <v>0</v>
      </c>
      <c r="W1862" s="150">
        <f t="shared" si="1573"/>
        <v>0</v>
      </c>
      <c r="X1862" s="150">
        <v>0</v>
      </c>
      <c r="Y1862" s="150">
        <v>0</v>
      </c>
      <c r="Z1862" s="150">
        <v>0</v>
      </c>
      <c r="AA1862" s="150">
        <f t="shared" si="1579"/>
        <v>0</v>
      </c>
      <c r="AB1862" s="150">
        <v>0</v>
      </c>
      <c r="AC1862" s="199">
        <v>0</v>
      </c>
      <c r="AD1862" s="150">
        <f t="shared" si="1574"/>
        <v>0</v>
      </c>
      <c r="AE1862" s="150">
        <v>0</v>
      </c>
      <c r="AF1862" s="169" t="s">
        <v>4680</v>
      </c>
      <c r="AG1862" s="201">
        <v>0</v>
      </c>
      <c r="AH1862" s="199">
        <v>0</v>
      </c>
      <c r="AI1862" s="150">
        <v>0</v>
      </c>
      <c r="AJ1862" s="169">
        <f t="shared" si="1580"/>
        <v>0</v>
      </c>
      <c r="AK1862" s="201">
        <v>0</v>
      </c>
      <c r="AL1862" s="199">
        <v>0</v>
      </c>
      <c r="AM1862" s="150">
        <f t="shared" si="1575"/>
        <v>0</v>
      </c>
      <c r="AN1862" s="153">
        <f t="shared" si="1581"/>
        <v>0</v>
      </c>
      <c r="AO1862" s="154">
        <f t="shared" si="1582"/>
        <v>0</v>
      </c>
      <c r="AP1862" s="150">
        <v>0</v>
      </c>
      <c r="AQ1862" s="201">
        <v>0</v>
      </c>
      <c r="AR1862" s="199">
        <v>0</v>
      </c>
      <c r="AS1862" s="150">
        <f t="shared" si="1576"/>
        <v>0</v>
      </c>
      <c r="AT1862" s="155"/>
      <c r="AU1862" s="156">
        <f t="shared" si="1577"/>
        <v>0</v>
      </c>
      <c r="AV1862" s="156">
        <f t="shared" si="1578"/>
        <v>0</v>
      </c>
      <c r="AW1862" s="157"/>
      <c r="AX1862" s="150">
        <v>0</v>
      </c>
      <c r="AY1862" s="150">
        <v>0</v>
      </c>
      <c r="AZ1862" s="150">
        <f t="shared" si="1566"/>
        <v>0</v>
      </c>
      <c r="BA1862" s="150">
        <v>0</v>
      </c>
      <c r="BB1862" s="210"/>
      <c r="BC1862" s="210"/>
      <c r="BD1862" s="210"/>
      <c r="BE1862" s="210"/>
      <c r="BF1862" s="210"/>
      <c r="BG1862" s="210"/>
      <c r="BH1862" s="217"/>
      <c r="BI1862" s="210"/>
      <c r="BJ1862" s="210"/>
      <c r="BK1862" s="210"/>
      <c r="BL1862" s="210"/>
      <c r="BM1862" s="208"/>
      <c r="BN1862" s="160"/>
      <c r="BO1862" s="161"/>
      <c r="BP1862" s="161"/>
    </row>
    <row r="1863" spans="1:68" ht="51">
      <c r="A1863" s="210"/>
      <c r="B1863" s="195" t="s">
        <v>9472</v>
      </c>
      <c r="C1863" s="196" t="s">
        <v>9473</v>
      </c>
      <c r="D1863" s="146" t="s">
        <v>4692</v>
      </c>
      <c r="E1863" s="196" t="s">
        <v>9473</v>
      </c>
      <c r="F1863" s="150">
        <v>0</v>
      </c>
      <c r="G1863" s="209">
        <v>0</v>
      </c>
      <c r="H1863" s="209">
        <v>0</v>
      </c>
      <c r="I1863" s="209">
        <v>0</v>
      </c>
      <c r="J1863" s="150">
        <v>0</v>
      </c>
      <c r="K1863" s="150">
        <v>0</v>
      </c>
      <c r="L1863" s="150">
        <f t="shared" si="1541"/>
        <v>0</v>
      </c>
      <c r="M1863" s="150">
        <v>0</v>
      </c>
      <c r="N1863" s="150">
        <v>0</v>
      </c>
      <c r="O1863" s="150">
        <v>0</v>
      </c>
      <c r="P1863" s="150">
        <v>0</v>
      </c>
      <c r="Q1863" s="150">
        <v>0</v>
      </c>
      <c r="R1863" s="313">
        <f t="shared" si="1572"/>
        <v>0</v>
      </c>
      <c r="S1863" s="150">
        <f t="shared" si="1583"/>
        <v>0</v>
      </c>
      <c r="T1863" s="150">
        <v>0</v>
      </c>
      <c r="U1863" s="150">
        <v>0</v>
      </c>
      <c r="V1863" s="199">
        <v>0</v>
      </c>
      <c r="W1863" s="150">
        <f t="shared" si="1573"/>
        <v>0</v>
      </c>
      <c r="X1863" s="150">
        <v>0</v>
      </c>
      <c r="Y1863" s="150">
        <v>0</v>
      </c>
      <c r="Z1863" s="150">
        <v>0</v>
      </c>
      <c r="AA1863" s="150">
        <f t="shared" si="1579"/>
        <v>0</v>
      </c>
      <c r="AB1863" s="150">
        <v>0</v>
      </c>
      <c r="AC1863" s="199">
        <v>0</v>
      </c>
      <c r="AD1863" s="150">
        <f t="shared" si="1574"/>
        <v>0</v>
      </c>
      <c r="AE1863" s="150">
        <v>0</v>
      </c>
      <c r="AF1863" s="169" t="s">
        <v>4680</v>
      </c>
      <c r="AG1863" s="201">
        <v>0</v>
      </c>
      <c r="AH1863" s="199">
        <v>0</v>
      </c>
      <c r="AI1863" s="150">
        <v>0</v>
      </c>
      <c r="AJ1863" s="169">
        <f t="shared" si="1580"/>
        <v>0</v>
      </c>
      <c r="AK1863" s="201">
        <v>0</v>
      </c>
      <c r="AL1863" s="199">
        <v>0</v>
      </c>
      <c r="AM1863" s="150">
        <f t="shared" si="1575"/>
        <v>0</v>
      </c>
      <c r="AN1863" s="153">
        <f t="shared" si="1581"/>
        <v>0</v>
      </c>
      <c r="AO1863" s="154">
        <f t="shared" si="1582"/>
        <v>0</v>
      </c>
      <c r="AP1863" s="150">
        <v>0</v>
      </c>
      <c r="AQ1863" s="201">
        <v>0</v>
      </c>
      <c r="AR1863" s="199">
        <v>0</v>
      </c>
      <c r="AS1863" s="150">
        <f t="shared" si="1576"/>
        <v>0</v>
      </c>
      <c r="AT1863" s="155"/>
      <c r="AU1863" s="156">
        <f t="shared" si="1577"/>
        <v>0</v>
      </c>
      <c r="AV1863" s="156">
        <f t="shared" si="1578"/>
        <v>0</v>
      </c>
      <c r="AW1863" s="157"/>
      <c r="AX1863" s="150">
        <v>0</v>
      </c>
      <c r="AY1863" s="150">
        <v>0</v>
      </c>
      <c r="AZ1863" s="150">
        <f t="shared" si="1566"/>
        <v>0</v>
      </c>
      <c r="BA1863" s="150">
        <v>0</v>
      </c>
      <c r="BB1863" s="210"/>
      <c r="BC1863" s="210"/>
      <c r="BD1863" s="210"/>
      <c r="BE1863" s="210"/>
      <c r="BF1863" s="210"/>
      <c r="BG1863" s="210"/>
      <c r="BH1863" s="217"/>
      <c r="BI1863" s="210"/>
      <c r="BJ1863" s="210"/>
      <c r="BK1863" s="210"/>
      <c r="BL1863" s="210"/>
      <c r="BM1863" s="208"/>
      <c r="BN1863" s="160"/>
      <c r="BO1863" s="161"/>
      <c r="BP1863" s="161"/>
    </row>
    <row r="1864" spans="1:68" ht="51">
      <c r="A1864" s="206" t="s">
        <v>601</v>
      </c>
      <c r="B1864" s="195" t="s">
        <v>9474</v>
      </c>
      <c r="C1864" s="196" t="s">
        <v>9475</v>
      </c>
      <c r="D1864" s="146" t="s">
        <v>4692</v>
      </c>
      <c r="E1864" s="196" t="s">
        <v>9475</v>
      </c>
      <c r="F1864" s="150">
        <v>0</v>
      </c>
      <c r="G1864" s="209">
        <v>0</v>
      </c>
      <c r="H1864" s="209">
        <v>0</v>
      </c>
      <c r="I1864" s="209">
        <v>0</v>
      </c>
      <c r="J1864" s="150">
        <v>0</v>
      </c>
      <c r="K1864" s="150">
        <v>0</v>
      </c>
      <c r="L1864" s="150">
        <f t="shared" si="1541"/>
        <v>0</v>
      </c>
      <c r="M1864" s="150">
        <v>0</v>
      </c>
      <c r="N1864" s="150">
        <v>0</v>
      </c>
      <c r="O1864" s="150">
        <v>0</v>
      </c>
      <c r="P1864" s="150">
        <v>0</v>
      </c>
      <c r="Q1864" s="150">
        <v>0</v>
      </c>
      <c r="R1864" s="313">
        <f t="shared" si="1572"/>
        <v>0</v>
      </c>
      <c r="S1864" s="150">
        <f t="shared" si="1583"/>
        <v>0</v>
      </c>
      <c r="T1864" s="150">
        <v>0</v>
      </c>
      <c r="U1864" s="150">
        <v>0</v>
      </c>
      <c r="V1864" s="199">
        <v>0</v>
      </c>
      <c r="W1864" s="150">
        <f t="shared" si="1573"/>
        <v>0</v>
      </c>
      <c r="X1864" s="150">
        <v>0</v>
      </c>
      <c r="Y1864" s="150">
        <v>0</v>
      </c>
      <c r="Z1864" s="150">
        <v>0</v>
      </c>
      <c r="AA1864" s="150">
        <f t="shared" si="1579"/>
        <v>0</v>
      </c>
      <c r="AB1864" s="150">
        <v>0</v>
      </c>
      <c r="AC1864" s="199">
        <v>0</v>
      </c>
      <c r="AD1864" s="150">
        <f t="shared" si="1574"/>
        <v>0</v>
      </c>
      <c r="AE1864" s="150">
        <v>0</v>
      </c>
      <c r="AF1864" s="169" t="s">
        <v>4680</v>
      </c>
      <c r="AG1864" s="201">
        <v>0</v>
      </c>
      <c r="AH1864" s="199">
        <v>0</v>
      </c>
      <c r="AI1864" s="150">
        <v>0</v>
      </c>
      <c r="AJ1864" s="169">
        <f t="shared" si="1580"/>
        <v>0</v>
      </c>
      <c r="AK1864" s="201">
        <v>0</v>
      </c>
      <c r="AL1864" s="199">
        <v>0</v>
      </c>
      <c r="AM1864" s="150">
        <f t="shared" si="1575"/>
        <v>0</v>
      </c>
      <c r="AN1864" s="153">
        <f t="shared" si="1581"/>
        <v>0</v>
      </c>
      <c r="AO1864" s="154">
        <f t="shared" si="1582"/>
        <v>0</v>
      </c>
      <c r="AP1864" s="150">
        <v>0</v>
      </c>
      <c r="AQ1864" s="201">
        <v>0</v>
      </c>
      <c r="AR1864" s="199">
        <v>0</v>
      </c>
      <c r="AS1864" s="150">
        <f t="shared" si="1576"/>
        <v>0</v>
      </c>
      <c r="AT1864" s="155"/>
      <c r="AU1864" s="156">
        <f t="shared" si="1577"/>
        <v>0</v>
      </c>
      <c r="AV1864" s="156">
        <f t="shared" si="1578"/>
        <v>0</v>
      </c>
      <c r="AW1864" s="157"/>
      <c r="AX1864" s="150">
        <v>0</v>
      </c>
      <c r="AY1864" s="150">
        <v>0</v>
      </c>
      <c r="AZ1864" s="150">
        <f t="shared" si="1566"/>
        <v>0</v>
      </c>
      <c r="BA1864" s="150">
        <v>0</v>
      </c>
      <c r="BB1864" s="202">
        <v>5</v>
      </c>
      <c r="BC1864" s="202" t="s">
        <v>766</v>
      </c>
      <c r="BD1864" s="202" t="s">
        <v>632</v>
      </c>
      <c r="BE1864" s="202" t="s">
        <v>647</v>
      </c>
      <c r="BF1864" s="202" t="s">
        <v>739</v>
      </c>
      <c r="BG1864" s="231" t="s">
        <v>9476</v>
      </c>
      <c r="BH1864" s="216">
        <f>AS1864</f>
        <v>0</v>
      </c>
      <c r="BI1864" s="205"/>
      <c r="BJ1864" s="206" t="s">
        <v>9443</v>
      </c>
      <c r="BK1864" s="206" t="s">
        <v>601</v>
      </c>
      <c r="BL1864" s="207" t="s">
        <v>9444</v>
      </c>
      <c r="BM1864" s="208">
        <f>BH1864</f>
        <v>0</v>
      </c>
      <c r="BN1864" s="160"/>
      <c r="BO1864" s="161">
        <f t="shared" ref="BO1864:BO1927" si="1584">BM1864-AS1864</f>
        <v>0</v>
      </c>
      <c r="BP1864" s="161"/>
    </row>
    <row r="1865" spans="1:68" ht="51">
      <c r="A1865" s="206" t="s">
        <v>601</v>
      </c>
      <c r="B1865" s="195" t="s">
        <v>9477</v>
      </c>
      <c r="C1865" s="196" t="s">
        <v>9478</v>
      </c>
      <c r="D1865" s="146" t="s">
        <v>4692</v>
      </c>
      <c r="E1865" s="196" t="s">
        <v>9478</v>
      </c>
      <c r="F1865" s="150">
        <v>0</v>
      </c>
      <c r="G1865" s="209">
        <v>0</v>
      </c>
      <c r="H1865" s="209">
        <v>0</v>
      </c>
      <c r="I1865" s="209">
        <v>0</v>
      </c>
      <c r="J1865" s="150">
        <v>0</v>
      </c>
      <c r="K1865" s="150">
        <v>0</v>
      </c>
      <c r="L1865" s="150">
        <f t="shared" si="1541"/>
        <v>0</v>
      </c>
      <c r="M1865" s="150">
        <v>0</v>
      </c>
      <c r="N1865" s="150">
        <v>0</v>
      </c>
      <c r="O1865" s="150">
        <v>0</v>
      </c>
      <c r="P1865" s="150">
        <v>0</v>
      </c>
      <c r="Q1865" s="150">
        <v>0</v>
      </c>
      <c r="R1865" s="313">
        <f t="shared" si="1572"/>
        <v>0</v>
      </c>
      <c r="S1865" s="150">
        <f t="shared" si="1583"/>
        <v>0</v>
      </c>
      <c r="T1865" s="150">
        <v>0</v>
      </c>
      <c r="U1865" s="150">
        <v>0</v>
      </c>
      <c r="V1865" s="199">
        <v>0</v>
      </c>
      <c r="W1865" s="150">
        <f t="shared" si="1573"/>
        <v>0</v>
      </c>
      <c r="X1865" s="150">
        <v>0</v>
      </c>
      <c r="Y1865" s="150">
        <v>0</v>
      </c>
      <c r="Z1865" s="150">
        <v>0</v>
      </c>
      <c r="AA1865" s="150">
        <f t="shared" si="1579"/>
        <v>0</v>
      </c>
      <c r="AB1865" s="150">
        <v>0</v>
      </c>
      <c r="AC1865" s="199">
        <v>0</v>
      </c>
      <c r="AD1865" s="150">
        <f t="shared" si="1574"/>
        <v>0</v>
      </c>
      <c r="AE1865" s="150">
        <v>0</v>
      </c>
      <c r="AF1865" s="169" t="s">
        <v>4680</v>
      </c>
      <c r="AG1865" s="201">
        <v>0</v>
      </c>
      <c r="AH1865" s="199">
        <v>0</v>
      </c>
      <c r="AI1865" s="150">
        <v>0</v>
      </c>
      <c r="AJ1865" s="169">
        <f t="shared" si="1580"/>
        <v>0</v>
      </c>
      <c r="AK1865" s="201">
        <v>0</v>
      </c>
      <c r="AL1865" s="199">
        <v>0</v>
      </c>
      <c r="AM1865" s="150">
        <f t="shared" si="1575"/>
        <v>0</v>
      </c>
      <c r="AN1865" s="153">
        <f t="shared" si="1581"/>
        <v>0</v>
      </c>
      <c r="AO1865" s="154">
        <f t="shared" si="1582"/>
        <v>0</v>
      </c>
      <c r="AP1865" s="150">
        <v>0</v>
      </c>
      <c r="AQ1865" s="201">
        <v>0</v>
      </c>
      <c r="AR1865" s="199">
        <v>0</v>
      </c>
      <c r="AS1865" s="150">
        <f t="shared" si="1576"/>
        <v>0</v>
      </c>
      <c r="AT1865" s="155"/>
      <c r="AU1865" s="156">
        <f t="shared" si="1577"/>
        <v>0</v>
      </c>
      <c r="AV1865" s="156">
        <f t="shared" si="1578"/>
        <v>0</v>
      </c>
      <c r="AW1865" s="157"/>
      <c r="AX1865" s="150">
        <v>0</v>
      </c>
      <c r="AY1865" s="150">
        <v>0</v>
      </c>
      <c r="AZ1865" s="150">
        <f t="shared" si="1566"/>
        <v>0</v>
      </c>
      <c r="BA1865" s="150">
        <v>0</v>
      </c>
      <c r="BB1865" s="202">
        <v>5</v>
      </c>
      <c r="BC1865" s="202" t="s">
        <v>766</v>
      </c>
      <c r="BD1865" s="202" t="s">
        <v>632</v>
      </c>
      <c r="BE1865" s="202" t="s">
        <v>647</v>
      </c>
      <c r="BF1865" s="202" t="s">
        <v>755</v>
      </c>
      <c r="BG1865" s="231" t="s">
        <v>9479</v>
      </c>
      <c r="BH1865" s="216">
        <f>SUM(AS1865:AS1876)</f>
        <v>0</v>
      </c>
      <c r="BI1865" s="205"/>
      <c r="BJ1865" s="206" t="s">
        <v>9443</v>
      </c>
      <c r="BK1865" s="206" t="s">
        <v>601</v>
      </c>
      <c r="BL1865" s="207" t="s">
        <v>9444</v>
      </c>
      <c r="BM1865" s="208">
        <f>BH1865</f>
        <v>0</v>
      </c>
      <c r="BN1865" s="160"/>
      <c r="BO1865" s="161">
        <f t="shared" si="1584"/>
        <v>0</v>
      </c>
      <c r="BP1865" s="161"/>
    </row>
    <row r="1866" spans="1:68" ht="51">
      <c r="A1866" s="210"/>
      <c r="B1866" s="195" t="s">
        <v>9480</v>
      </c>
      <c r="C1866" s="196" t="s">
        <v>9481</v>
      </c>
      <c r="D1866" s="146" t="s">
        <v>4692</v>
      </c>
      <c r="E1866" s="196" t="s">
        <v>9481</v>
      </c>
      <c r="F1866" s="150">
        <v>0</v>
      </c>
      <c r="G1866" s="209">
        <v>0</v>
      </c>
      <c r="H1866" s="209">
        <v>0</v>
      </c>
      <c r="I1866" s="209">
        <v>0</v>
      </c>
      <c r="J1866" s="150">
        <v>0</v>
      </c>
      <c r="K1866" s="150">
        <v>0</v>
      </c>
      <c r="L1866" s="150">
        <f t="shared" ref="L1866:L1929" si="1585">J1866+K1866</f>
        <v>0</v>
      </c>
      <c r="M1866" s="150">
        <v>0</v>
      </c>
      <c r="N1866" s="150">
        <v>0</v>
      </c>
      <c r="O1866" s="150">
        <v>0</v>
      </c>
      <c r="P1866" s="150">
        <v>0</v>
      </c>
      <c r="Q1866" s="150">
        <v>0</v>
      </c>
      <c r="R1866" s="313">
        <f t="shared" si="1572"/>
        <v>0</v>
      </c>
      <c r="S1866" s="150">
        <f t="shared" si="1583"/>
        <v>0</v>
      </c>
      <c r="T1866" s="150">
        <v>0</v>
      </c>
      <c r="U1866" s="150">
        <v>0</v>
      </c>
      <c r="V1866" s="199">
        <v>0</v>
      </c>
      <c r="W1866" s="150">
        <f t="shared" si="1573"/>
        <v>0</v>
      </c>
      <c r="X1866" s="150">
        <v>0</v>
      </c>
      <c r="Y1866" s="150">
        <v>0</v>
      </c>
      <c r="Z1866" s="150">
        <v>0</v>
      </c>
      <c r="AA1866" s="150">
        <f t="shared" si="1579"/>
        <v>0</v>
      </c>
      <c r="AB1866" s="150">
        <v>0</v>
      </c>
      <c r="AC1866" s="199">
        <v>0</v>
      </c>
      <c r="AD1866" s="150">
        <f t="shared" si="1574"/>
        <v>0</v>
      </c>
      <c r="AE1866" s="150">
        <v>0</v>
      </c>
      <c r="AF1866" s="169" t="s">
        <v>4680</v>
      </c>
      <c r="AG1866" s="201">
        <v>0</v>
      </c>
      <c r="AH1866" s="199">
        <v>0</v>
      </c>
      <c r="AI1866" s="150">
        <v>0</v>
      </c>
      <c r="AJ1866" s="169">
        <f t="shared" si="1580"/>
        <v>0</v>
      </c>
      <c r="AK1866" s="201">
        <v>0</v>
      </c>
      <c r="AL1866" s="199">
        <v>0</v>
      </c>
      <c r="AM1866" s="150">
        <f t="shared" si="1575"/>
        <v>0</v>
      </c>
      <c r="AN1866" s="153">
        <f t="shared" si="1581"/>
        <v>0</v>
      </c>
      <c r="AO1866" s="154">
        <f t="shared" si="1582"/>
        <v>0</v>
      </c>
      <c r="AP1866" s="150">
        <v>0</v>
      </c>
      <c r="AQ1866" s="201">
        <v>0</v>
      </c>
      <c r="AR1866" s="199">
        <v>0</v>
      </c>
      <c r="AS1866" s="150">
        <f t="shared" si="1576"/>
        <v>0</v>
      </c>
      <c r="AT1866" s="155"/>
      <c r="AU1866" s="156">
        <f t="shared" si="1577"/>
        <v>0</v>
      </c>
      <c r="AV1866" s="156">
        <f t="shared" si="1578"/>
        <v>0</v>
      </c>
      <c r="AW1866" s="157"/>
      <c r="AX1866" s="150">
        <v>0</v>
      </c>
      <c r="AY1866" s="150">
        <v>0</v>
      </c>
      <c r="AZ1866" s="150">
        <f t="shared" si="1566"/>
        <v>0</v>
      </c>
      <c r="BA1866" s="150">
        <v>0</v>
      </c>
      <c r="BB1866" s="210"/>
      <c r="BC1866" s="210"/>
      <c r="BD1866" s="210"/>
      <c r="BE1866" s="210"/>
      <c r="BF1866" s="210"/>
      <c r="BG1866" s="210"/>
      <c r="BH1866" s="217"/>
      <c r="BI1866" s="210"/>
      <c r="BJ1866" s="210"/>
      <c r="BK1866" s="210"/>
      <c r="BL1866" s="210"/>
      <c r="BM1866" s="208"/>
      <c r="BN1866" s="160"/>
      <c r="BO1866" s="161">
        <f t="shared" si="1584"/>
        <v>0</v>
      </c>
      <c r="BP1866" s="161"/>
    </row>
    <row r="1867" spans="1:68" ht="38.25">
      <c r="A1867" s="210"/>
      <c r="B1867" s="195" t="s">
        <v>9482</v>
      </c>
      <c r="C1867" s="196" t="s">
        <v>9483</v>
      </c>
      <c r="D1867" s="146" t="s">
        <v>4692</v>
      </c>
      <c r="E1867" s="196" t="s">
        <v>9483</v>
      </c>
      <c r="F1867" s="150">
        <v>0</v>
      </c>
      <c r="G1867" s="209">
        <v>0</v>
      </c>
      <c r="H1867" s="209">
        <v>0</v>
      </c>
      <c r="I1867" s="209">
        <v>0</v>
      </c>
      <c r="J1867" s="150">
        <v>0</v>
      </c>
      <c r="K1867" s="150">
        <v>0</v>
      </c>
      <c r="L1867" s="150">
        <f t="shared" si="1585"/>
        <v>0</v>
      </c>
      <c r="M1867" s="150">
        <v>0</v>
      </c>
      <c r="N1867" s="150">
        <v>0</v>
      </c>
      <c r="O1867" s="150">
        <v>0</v>
      </c>
      <c r="P1867" s="150">
        <v>0</v>
      </c>
      <c r="Q1867" s="150">
        <v>0</v>
      </c>
      <c r="R1867" s="313">
        <f t="shared" si="1572"/>
        <v>0</v>
      </c>
      <c r="S1867" s="150">
        <f t="shared" si="1583"/>
        <v>0</v>
      </c>
      <c r="T1867" s="150">
        <v>0</v>
      </c>
      <c r="U1867" s="150">
        <v>0</v>
      </c>
      <c r="V1867" s="199">
        <v>0</v>
      </c>
      <c r="W1867" s="150">
        <f t="shared" si="1573"/>
        <v>0</v>
      </c>
      <c r="X1867" s="150">
        <v>0</v>
      </c>
      <c r="Y1867" s="150">
        <v>0</v>
      </c>
      <c r="Z1867" s="150">
        <v>0</v>
      </c>
      <c r="AA1867" s="150">
        <f t="shared" si="1579"/>
        <v>0</v>
      </c>
      <c r="AB1867" s="150">
        <v>0</v>
      </c>
      <c r="AC1867" s="199">
        <v>0</v>
      </c>
      <c r="AD1867" s="150">
        <f t="shared" si="1574"/>
        <v>0</v>
      </c>
      <c r="AE1867" s="150">
        <v>0</v>
      </c>
      <c r="AF1867" s="169" t="s">
        <v>4680</v>
      </c>
      <c r="AG1867" s="201">
        <v>0</v>
      </c>
      <c r="AH1867" s="199">
        <v>0</v>
      </c>
      <c r="AI1867" s="150">
        <v>0</v>
      </c>
      <c r="AJ1867" s="169">
        <f t="shared" si="1580"/>
        <v>0</v>
      </c>
      <c r="AK1867" s="201">
        <v>0</v>
      </c>
      <c r="AL1867" s="199">
        <v>0</v>
      </c>
      <c r="AM1867" s="150">
        <f t="shared" si="1575"/>
        <v>0</v>
      </c>
      <c r="AN1867" s="153">
        <f t="shared" si="1581"/>
        <v>0</v>
      </c>
      <c r="AO1867" s="154">
        <f t="shared" si="1582"/>
        <v>0</v>
      </c>
      <c r="AP1867" s="150">
        <v>0</v>
      </c>
      <c r="AQ1867" s="201">
        <v>0</v>
      </c>
      <c r="AR1867" s="199">
        <v>0</v>
      </c>
      <c r="AS1867" s="150">
        <f t="shared" si="1576"/>
        <v>0</v>
      </c>
      <c r="AT1867" s="155"/>
      <c r="AU1867" s="156">
        <f t="shared" si="1577"/>
        <v>0</v>
      </c>
      <c r="AV1867" s="156">
        <f t="shared" si="1578"/>
        <v>0</v>
      </c>
      <c r="AW1867" s="157"/>
      <c r="AX1867" s="150">
        <v>0</v>
      </c>
      <c r="AY1867" s="150">
        <v>0</v>
      </c>
      <c r="AZ1867" s="150">
        <f t="shared" si="1566"/>
        <v>0</v>
      </c>
      <c r="BA1867" s="150">
        <v>0</v>
      </c>
      <c r="BB1867" s="210"/>
      <c r="BC1867" s="210"/>
      <c r="BD1867" s="210"/>
      <c r="BE1867" s="210"/>
      <c r="BF1867" s="210"/>
      <c r="BG1867" s="210"/>
      <c r="BH1867" s="217"/>
      <c r="BI1867" s="210"/>
      <c r="BJ1867" s="210"/>
      <c r="BK1867" s="210"/>
      <c r="BL1867" s="210"/>
      <c r="BM1867" s="208"/>
      <c r="BN1867" s="160"/>
      <c r="BO1867" s="161">
        <f t="shared" si="1584"/>
        <v>0</v>
      </c>
      <c r="BP1867" s="161"/>
    </row>
    <row r="1868" spans="1:68" ht="38.25">
      <c r="A1868" s="210"/>
      <c r="B1868" s="195" t="s">
        <v>9484</v>
      </c>
      <c r="C1868" s="196" t="s">
        <v>9485</v>
      </c>
      <c r="D1868" s="146" t="s">
        <v>4692</v>
      </c>
      <c r="E1868" s="196" t="s">
        <v>9485</v>
      </c>
      <c r="F1868" s="150">
        <v>0</v>
      </c>
      <c r="G1868" s="209">
        <v>0</v>
      </c>
      <c r="H1868" s="209">
        <v>0</v>
      </c>
      <c r="I1868" s="209">
        <v>0</v>
      </c>
      <c r="J1868" s="150">
        <v>0</v>
      </c>
      <c r="K1868" s="150">
        <v>0</v>
      </c>
      <c r="L1868" s="150">
        <f t="shared" si="1585"/>
        <v>0</v>
      </c>
      <c r="M1868" s="150">
        <v>0</v>
      </c>
      <c r="N1868" s="150">
        <v>0</v>
      </c>
      <c r="O1868" s="150">
        <v>0</v>
      </c>
      <c r="P1868" s="150">
        <v>0</v>
      </c>
      <c r="Q1868" s="150">
        <v>0</v>
      </c>
      <c r="R1868" s="313">
        <f t="shared" si="1572"/>
        <v>0</v>
      </c>
      <c r="S1868" s="150">
        <f t="shared" si="1583"/>
        <v>0</v>
      </c>
      <c r="T1868" s="150">
        <v>0</v>
      </c>
      <c r="U1868" s="150">
        <v>0</v>
      </c>
      <c r="V1868" s="199">
        <v>0</v>
      </c>
      <c r="W1868" s="150">
        <f t="shared" si="1573"/>
        <v>0</v>
      </c>
      <c r="X1868" s="150">
        <v>0</v>
      </c>
      <c r="Y1868" s="150">
        <v>0</v>
      </c>
      <c r="Z1868" s="150">
        <v>0</v>
      </c>
      <c r="AA1868" s="150">
        <f t="shared" si="1579"/>
        <v>0</v>
      </c>
      <c r="AB1868" s="150">
        <v>0</v>
      </c>
      <c r="AC1868" s="199">
        <v>0</v>
      </c>
      <c r="AD1868" s="150">
        <f t="shared" si="1574"/>
        <v>0</v>
      </c>
      <c r="AE1868" s="150">
        <v>0</v>
      </c>
      <c r="AF1868" s="169" t="s">
        <v>4680</v>
      </c>
      <c r="AG1868" s="201">
        <v>0</v>
      </c>
      <c r="AH1868" s="199">
        <v>0</v>
      </c>
      <c r="AI1868" s="150">
        <v>0</v>
      </c>
      <c r="AJ1868" s="169">
        <f t="shared" si="1580"/>
        <v>0</v>
      </c>
      <c r="AK1868" s="201">
        <v>0</v>
      </c>
      <c r="AL1868" s="199">
        <v>0</v>
      </c>
      <c r="AM1868" s="150">
        <f t="shared" si="1575"/>
        <v>0</v>
      </c>
      <c r="AN1868" s="153">
        <f t="shared" si="1581"/>
        <v>0</v>
      </c>
      <c r="AO1868" s="154">
        <f t="shared" si="1582"/>
        <v>0</v>
      </c>
      <c r="AP1868" s="150">
        <v>0</v>
      </c>
      <c r="AQ1868" s="201">
        <v>0</v>
      </c>
      <c r="AR1868" s="199">
        <v>0</v>
      </c>
      <c r="AS1868" s="150">
        <f t="shared" si="1576"/>
        <v>0</v>
      </c>
      <c r="AT1868" s="155"/>
      <c r="AU1868" s="156">
        <f t="shared" si="1577"/>
        <v>0</v>
      </c>
      <c r="AV1868" s="156">
        <f t="shared" si="1578"/>
        <v>0</v>
      </c>
      <c r="AW1868" s="157"/>
      <c r="AX1868" s="150">
        <v>0</v>
      </c>
      <c r="AY1868" s="150">
        <v>0</v>
      </c>
      <c r="AZ1868" s="150">
        <f t="shared" si="1566"/>
        <v>0</v>
      </c>
      <c r="BA1868" s="150">
        <v>0</v>
      </c>
      <c r="BB1868" s="210"/>
      <c r="BC1868" s="210"/>
      <c r="BD1868" s="210"/>
      <c r="BE1868" s="210"/>
      <c r="BF1868" s="210"/>
      <c r="BG1868" s="210"/>
      <c r="BH1868" s="217"/>
      <c r="BI1868" s="210"/>
      <c r="BJ1868" s="210"/>
      <c r="BK1868" s="210"/>
      <c r="BL1868" s="210"/>
      <c r="BM1868" s="208"/>
      <c r="BN1868" s="160"/>
      <c r="BO1868" s="161">
        <f t="shared" si="1584"/>
        <v>0</v>
      </c>
      <c r="BP1868" s="161"/>
    </row>
    <row r="1869" spans="1:68" ht="38.25">
      <c r="A1869" s="210"/>
      <c r="B1869" s="195" t="s">
        <v>9486</v>
      </c>
      <c r="C1869" s="196" t="s">
        <v>9487</v>
      </c>
      <c r="D1869" s="146" t="s">
        <v>4692</v>
      </c>
      <c r="E1869" s="196" t="s">
        <v>9487</v>
      </c>
      <c r="F1869" s="150">
        <v>0</v>
      </c>
      <c r="G1869" s="209">
        <v>0</v>
      </c>
      <c r="H1869" s="209">
        <v>0</v>
      </c>
      <c r="I1869" s="209">
        <v>0</v>
      </c>
      <c r="J1869" s="150">
        <v>0</v>
      </c>
      <c r="K1869" s="150">
        <v>0</v>
      </c>
      <c r="L1869" s="150">
        <f t="shared" si="1585"/>
        <v>0</v>
      </c>
      <c r="M1869" s="150">
        <v>0</v>
      </c>
      <c r="N1869" s="150">
        <v>0</v>
      </c>
      <c r="O1869" s="150">
        <v>0</v>
      </c>
      <c r="P1869" s="150">
        <v>0</v>
      </c>
      <c r="Q1869" s="150">
        <v>0</v>
      </c>
      <c r="R1869" s="313">
        <f t="shared" si="1572"/>
        <v>0</v>
      </c>
      <c r="S1869" s="150">
        <f t="shared" si="1583"/>
        <v>0</v>
      </c>
      <c r="T1869" s="150">
        <v>0</v>
      </c>
      <c r="U1869" s="150">
        <v>0</v>
      </c>
      <c r="V1869" s="199">
        <v>0</v>
      </c>
      <c r="W1869" s="150">
        <f t="shared" si="1573"/>
        <v>0</v>
      </c>
      <c r="X1869" s="150">
        <v>0</v>
      </c>
      <c r="Y1869" s="150">
        <v>0</v>
      </c>
      <c r="Z1869" s="150">
        <v>0</v>
      </c>
      <c r="AA1869" s="150">
        <f t="shared" si="1579"/>
        <v>0</v>
      </c>
      <c r="AB1869" s="150">
        <v>0</v>
      </c>
      <c r="AC1869" s="199">
        <v>0</v>
      </c>
      <c r="AD1869" s="150">
        <f t="shared" si="1574"/>
        <v>0</v>
      </c>
      <c r="AE1869" s="150">
        <v>0</v>
      </c>
      <c r="AF1869" s="169" t="s">
        <v>4680</v>
      </c>
      <c r="AG1869" s="201">
        <v>0</v>
      </c>
      <c r="AH1869" s="199">
        <v>0</v>
      </c>
      <c r="AI1869" s="150">
        <v>0</v>
      </c>
      <c r="AJ1869" s="169">
        <f t="shared" si="1580"/>
        <v>0</v>
      </c>
      <c r="AK1869" s="201">
        <v>0</v>
      </c>
      <c r="AL1869" s="199">
        <v>0</v>
      </c>
      <c r="AM1869" s="150">
        <f t="shared" si="1575"/>
        <v>0</v>
      </c>
      <c r="AN1869" s="153">
        <f t="shared" si="1581"/>
        <v>0</v>
      </c>
      <c r="AO1869" s="154">
        <f t="shared" si="1582"/>
        <v>0</v>
      </c>
      <c r="AP1869" s="150">
        <v>0</v>
      </c>
      <c r="AQ1869" s="201">
        <v>0</v>
      </c>
      <c r="AR1869" s="199">
        <v>0</v>
      </c>
      <c r="AS1869" s="150">
        <f t="shared" si="1576"/>
        <v>0</v>
      </c>
      <c r="AT1869" s="155"/>
      <c r="AU1869" s="156">
        <f t="shared" si="1577"/>
        <v>0</v>
      </c>
      <c r="AV1869" s="156">
        <f t="shared" si="1578"/>
        <v>0</v>
      </c>
      <c r="AW1869" s="157"/>
      <c r="AX1869" s="150">
        <v>0</v>
      </c>
      <c r="AY1869" s="150">
        <v>0</v>
      </c>
      <c r="AZ1869" s="150">
        <f t="shared" si="1566"/>
        <v>0</v>
      </c>
      <c r="BA1869" s="150">
        <v>0</v>
      </c>
      <c r="BB1869" s="210"/>
      <c r="BC1869" s="210"/>
      <c r="BD1869" s="210"/>
      <c r="BE1869" s="210"/>
      <c r="BF1869" s="210"/>
      <c r="BG1869" s="210"/>
      <c r="BH1869" s="217"/>
      <c r="BI1869" s="210"/>
      <c r="BJ1869" s="210"/>
      <c r="BK1869" s="210"/>
      <c r="BL1869" s="210"/>
      <c r="BM1869" s="208"/>
      <c r="BN1869" s="160"/>
      <c r="BO1869" s="161">
        <f t="shared" si="1584"/>
        <v>0</v>
      </c>
      <c r="BP1869" s="161"/>
    </row>
    <row r="1870" spans="1:68" ht="51">
      <c r="A1870" s="210"/>
      <c r="B1870" s="195" t="s">
        <v>9488</v>
      </c>
      <c r="C1870" s="196" t="s">
        <v>9489</v>
      </c>
      <c r="D1870" s="146" t="s">
        <v>4692</v>
      </c>
      <c r="E1870" s="196" t="s">
        <v>9489</v>
      </c>
      <c r="F1870" s="150">
        <v>0</v>
      </c>
      <c r="G1870" s="209">
        <v>0</v>
      </c>
      <c r="H1870" s="209">
        <v>0</v>
      </c>
      <c r="I1870" s="209">
        <v>0</v>
      </c>
      <c r="J1870" s="150">
        <v>0</v>
      </c>
      <c r="K1870" s="150">
        <v>0</v>
      </c>
      <c r="L1870" s="150">
        <f t="shared" si="1585"/>
        <v>0</v>
      </c>
      <c r="M1870" s="150">
        <v>0</v>
      </c>
      <c r="N1870" s="150">
        <v>0</v>
      </c>
      <c r="O1870" s="150">
        <v>0</v>
      </c>
      <c r="P1870" s="150">
        <v>0</v>
      </c>
      <c r="Q1870" s="150">
        <v>0</v>
      </c>
      <c r="R1870" s="313">
        <f t="shared" si="1572"/>
        <v>0</v>
      </c>
      <c r="S1870" s="150">
        <f t="shared" si="1583"/>
        <v>0</v>
      </c>
      <c r="T1870" s="150">
        <v>0</v>
      </c>
      <c r="U1870" s="150">
        <v>0</v>
      </c>
      <c r="V1870" s="199">
        <v>0</v>
      </c>
      <c r="W1870" s="150">
        <f t="shared" si="1573"/>
        <v>0</v>
      </c>
      <c r="X1870" s="150">
        <v>0</v>
      </c>
      <c r="Y1870" s="150">
        <v>0</v>
      </c>
      <c r="Z1870" s="150">
        <v>0</v>
      </c>
      <c r="AA1870" s="150">
        <f t="shared" si="1579"/>
        <v>0</v>
      </c>
      <c r="AB1870" s="150">
        <v>0</v>
      </c>
      <c r="AC1870" s="199">
        <v>0</v>
      </c>
      <c r="AD1870" s="150">
        <f t="shared" si="1574"/>
        <v>0</v>
      </c>
      <c r="AE1870" s="150">
        <v>0</v>
      </c>
      <c r="AF1870" s="169" t="s">
        <v>4680</v>
      </c>
      <c r="AG1870" s="201">
        <v>0</v>
      </c>
      <c r="AH1870" s="199">
        <v>0</v>
      </c>
      <c r="AI1870" s="150">
        <v>0</v>
      </c>
      <c r="AJ1870" s="169">
        <f t="shared" si="1580"/>
        <v>0</v>
      </c>
      <c r="AK1870" s="201">
        <v>0</v>
      </c>
      <c r="AL1870" s="199">
        <v>0</v>
      </c>
      <c r="AM1870" s="150">
        <f t="shared" si="1575"/>
        <v>0</v>
      </c>
      <c r="AN1870" s="153">
        <f t="shared" si="1581"/>
        <v>0</v>
      </c>
      <c r="AO1870" s="154">
        <f t="shared" si="1582"/>
        <v>0</v>
      </c>
      <c r="AP1870" s="150">
        <v>0</v>
      </c>
      <c r="AQ1870" s="201">
        <v>0</v>
      </c>
      <c r="AR1870" s="199">
        <v>0</v>
      </c>
      <c r="AS1870" s="150">
        <f t="shared" si="1576"/>
        <v>0</v>
      </c>
      <c r="AT1870" s="155"/>
      <c r="AU1870" s="156">
        <f t="shared" si="1577"/>
        <v>0</v>
      </c>
      <c r="AV1870" s="156">
        <f t="shared" si="1578"/>
        <v>0</v>
      </c>
      <c r="AW1870" s="157"/>
      <c r="AX1870" s="150">
        <v>0</v>
      </c>
      <c r="AY1870" s="150">
        <v>0</v>
      </c>
      <c r="AZ1870" s="150">
        <f t="shared" si="1566"/>
        <v>0</v>
      </c>
      <c r="BA1870" s="150">
        <v>0</v>
      </c>
      <c r="BB1870" s="210"/>
      <c r="BC1870" s="210"/>
      <c r="BD1870" s="210"/>
      <c r="BE1870" s="210"/>
      <c r="BF1870" s="210"/>
      <c r="BG1870" s="210"/>
      <c r="BH1870" s="217"/>
      <c r="BI1870" s="210"/>
      <c r="BJ1870" s="210"/>
      <c r="BK1870" s="210"/>
      <c r="BL1870" s="210"/>
      <c r="BM1870" s="208"/>
      <c r="BN1870" s="160"/>
      <c r="BO1870" s="161">
        <f t="shared" si="1584"/>
        <v>0</v>
      </c>
      <c r="BP1870" s="161"/>
    </row>
    <row r="1871" spans="1:68" ht="51">
      <c r="A1871" s="210"/>
      <c r="B1871" s="195" t="s">
        <v>9490</v>
      </c>
      <c r="C1871" s="196" t="s">
        <v>9491</v>
      </c>
      <c r="D1871" s="146" t="s">
        <v>4692</v>
      </c>
      <c r="E1871" s="196" t="s">
        <v>9491</v>
      </c>
      <c r="F1871" s="150">
        <v>0</v>
      </c>
      <c r="G1871" s="209">
        <v>0</v>
      </c>
      <c r="H1871" s="209">
        <v>0</v>
      </c>
      <c r="I1871" s="209">
        <v>0</v>
      </c>
      <c r="J1871" s="150">
        <v>0</v>
      </c>
      <c r="K1871" s="150">
        <v>0</v>
      </c>
      <c r="L1871" s="150">
        <f t="shared" si="1585"/>
        <v>0</v>
      </c>
      <c r="M1871" s="150">
        <v>0</v>
      </c>
      <c r="N1871" s="150">
        <v>0</v>
      </c>
      <c r="O1871" s="150">
        <v>0</v>
      </c>
      <c r="P1871" s="150">
        <v>0</v>
      </c>
      <c r="Q1871" s="150">
        <v>0</v>
      </c>
      <c r="R1871" s="313">
        <f t="shared" si="1572"/>
        <v>0</v>
      </c>
      <c r="S1871" s="150">
        <f t="shared" si="1583"/>
        <v>0</v>
      </c>
      <c r="T1871" s="150">
        <v>0</v>
      </c>
      <c r="U1871" s="150">
        <v>0</v>
      </c>
      <c r="V1871" s="199">
        <v>0</v>
      </c>
      <c r="W1871" s="150">
        <f t="shared" si="1573"/>
        <v>0</v>
      </c>
      <c r="X1871" s="150">
        <v>0</v>
      </c>
      <c r="Y1871" s="150">
        <v>0</v>
      </c>
      <c r="Z1871" s="150">
        <v>0</v>
      </c>
      <c r="AA1871" s="150">
        <f t="shared" si="1579"/>
        <v>0</v>
      </c>
      <c r="AB1871" s="150">
        <v>0</v>
      </c>
      <c r="AC1871" s="199">
        <v>0</v>
      </c>
      <c r="AD1871" s="150">
        <f t="shared" si="1574"/>
        <v>0</v>
      </c>
      <c r="AE1871" s="150">
        <v>0</v>
      </c>
      <c r="AF1871" s="169" t="s">
        <v>4680</v>
      </c>
      <c r="AG1871" s="201">
        <v>0</v>
      </c>
      <c r="AH1871" s="199">
        <v>0</v>
      </c>
      <c r="AI1871" s="150">
        <v>0</v>
      </c>
      <c r="AJ1871" s="169">
        <f t="shared" si="1580"/>
        <v>0</v>
      </c>
      <c r="AK1871" s="201">
        <v>0</v>
      </c>
      <c r="AL1871" s="199">
        <v>0</v>
      </c>
      <c r="AM1871" s="150">
        <f t="shared" si="1575"/>
        <v>0</v>
      </c>
      <c r="AN1871" s="153">
        <f t="shared" si="1581"/>
        <v>0</v>
      </c>
      <c r="AO1871" s="154">
        <f t="shared" si="1582"/>
        <v>0</v>
      </c>
      <c r="AP1871" s="150">
        <v>0</v>
      </c>
      <c r="AQ1871" s="201">
        <v>0</v>
      </c>
      <c r="AR1871" s="199">
        <v>0</v>
      </c>
      <c r="AS1871" s="150">
        <f t="shared" si="1576"/>
        <v>0</v>
      </c>
      <c r="AT1871" s="155"/>
      <c r="AU1871" s="156">
        <f t="shared" si="1577"/>
        <v>0</v>
      </c>
      <c r="AV1871" s="156">
        <f t="shared" si="1578"/>
        <v>0</v>
      </c>
      <c r="AW1871" s="157"/>
      <c r="AX1871" s="150">
        <v>0</v>
      </c>
      <c r="AY1871" s="150">
        <v>0</v>
      </c>
      <c r="AZ1871" s="150">
        <f t="shared" si="1566"/>
        <v>0</v>
      </c>
      <c r="BA1871" s="150">
        <v>0</v>
      </c>
      <c r="BB1871" s="210"/>
      <c r="BC1871" s="210"/>
      <c r="BD1871" s="210"/>
      <c r="BE1871" s="210"/>
      <c r="BF1871" s="210"/>
      <c r="BG1871" s="210"/>
      <c r="BH1871" s="217"/>
      <c r="BI1871" s="210"/>
      <c r="BJ1871" s="210"/>
      <c r="BK1871" s="210"/>
      <c r="BL1871" s="210"/>
      <c r="BM1871" s="208"/>
      <c r="BN1871" s="160"/>
      <c r="BO1871" s="161">
        <f t="shared" si="1584"/>
        <v>0</v>
      </c>
      <c r="BP1871" s="161"/>
    </row>
    <row r="1872" spans="1:68" ht="51">
      <c r="A1872" s="210"/>
      <c r="B1872" s="195" t="s">
        <v>9492</v>
      </c>
      <c r="C1872" s="196" t="s">
        <v>9493</v>
      </c>
      <c r="D1872" s="146" t="s">
        <v>4692</v>
      </c>
      <c r="E1872" s="196" t="s">
        <v>9493</v>
      </c>
      <c r="F1872" s="150">
        <v>0</v>
      </c>
      <c r="G1872" s="209">
        <v>0</v>
      </c>
      <c r="H1872" s="209">
        <v>0</v>
      </c>
      <c r="I1872" s="209">
        <v>0</v>
      </c>
      <c r="J1872" s="150">
        <v>0</v>
      </c>
      <c r="K1872" s="150">
        <v>0</v>
      </c>
      <c r="L1872" s="150">
        <f t="shared" si="1585"/>
        <v>0</v>
      </c>
      <c r="M1872" s="150">
        <v>0</v>
      </c>
      <c r="N1872" s="150">
        <v>0</v>
      </c>
      <c r="O1872" s="150">
        <v>0</v>
      </c>
      <c r="P1872" s="150">
        <v>0</v>
      </c>
      <c r="Q1872" s="150">
        <v>0</v>
      </c>
      <c r="R1872" s="313">
        <f t="shared" si="1572"/>
        <v>0</v>
      </c>
      <c r="S1872" s="150">
        <f t="shared" si="1583"/>
        <v>0</v>
      </c>
      <c r="T1872" s="150">
        <v>0</v>
      </c>
      <c r="U1872" s="150">
        <v>0</v>
      </c>
      <c r="V1872" s="199">
        <v>0</v>
      </c>
      <c r="W1872" s="150">
        <f t="shared" si="1573"/>
        <v>0</v>
      </c>
      <c r="X1872" s="150">
        <v>0</v>
      </c>
      <c r="Y1872" s="150">
        <v>0</v>
      </c>
      <c r="Z1872" s="150">
        <v>0</v>
      </c>
      <c r="AA1872" s="150">
        <f t="shared" si="1579"/>
        <v>0</v>
      </c>
      <c r="AB1872" s="150">
        <v>0</v>
      </c>
      <c r="AC1872" s="199">
        <v>0</v>
      </c>
      <c r="AD1872" s="150">
        <f t="shared" si="1574"/>
        <v>0</v>
      </c>
      <c r="AE1872" s="150">
        <v>0</v>
      </c>
      <c r="AF1872" s="169" t="s">
        <v>4680</v>
      </c>
      <c r="AG1872" s="201">
        <v>0</v>
      </c>
      <c r="AH1872" s="199">
        <v>0</v>
      </c>
      <c r="AI1872" s="150">
        <v>0</v>
      </c>
      <c r="AJ1872" s="169">
        <f t="shared" si="1580"/>
        <v>0</v>
      </c>
      <c r="AK1872" s="201">
        <v>0</v>
      </c>
      <c r="AL1872" s="199">
        <v>0</v>
      </c>
      <c r="AM1872" s="150">
        <f t="shared" si="1575"/>
        <v>0</v>
      </c>
      <c r="AN1872" s="153">
        <f t="shared" si="1581"/>
        <v>0</v>
      </c>
      <c r="AO1872" s="154">
        <f t="shared" si="1582"/>
        <v>0</v>
      </c>
      <c r="AP1872" s="150">
        <v>0</v>
      </c>
      <c r="AQ1872" s="201">
        <v>0</v>
      </c>
      <c r="AR1872" s="199">
        <v>0</v>
      </c>
      <c r="AS1872" s="150">
        <f t="shared" si="1576"/>
        <v>0</v>
      </c>
      <c r="AT1872" s="155"/>
      <c r="AU1872" s="156">
        <f t="shared" si="1577"/>
        <v>0</v>
      </c>
      <c r="AV1872" s="156">
        <f t="shared" si="1578"/>
        <v>0</v>
      </c>
      <c r="AW1872" s="157"/>
      <c r="AX1872" s="150">
        <v>0</v>
      </c>
      <c r="AY1872" s="150">
        <v>0</v>
      </c>
      <c r="AZ1872" s="150">
        <f t="shared" si="1566"/>
        <v>0</v>
      </c>
      <c r="BA1872" s="150">
        <v>0</v>
      </c>
      <c r="BB1872" s="210"/>
      <c r="BC1872" s="210"/>
      <c r="BD1872" s="210"/>
      <c r="BE1872" s="210"/>
      <c r="BF1872" s="210"/>
      <c r="BG1872" s="210"/>
      <c r="BH1872" s="217"/>
      <c r="BI1872" s="210"/>
      <c r="BJ1872" s="210"/>
      <c r="BK1872" s="210"/>
      <c r="BL1872" s="210"/>
      <c r="BM1872" s="208"/>
      <c r="BN1872" s="160"/>
      <c r="BO1872" s="161">
        <f t="shared" si="1584"/>
        <v>0</v>
      </c>
      <c r="BP1872" s="161"/>
    </row>
    <row r="1873" spans="1:68" ht="51">
      <c r="A1873" s="210"/>
      <c r="B1873" s="195" t="s">
        <v>9494</v>
      </c>
      <c r="C1873" s="196" t="s">
        <v>9495</v>
      </c>
      <c r="D1873" s="146" t="s">
        <v>4692</v>
      </c>
      <c r="E1873" s="196" t="s">
        <v>9495</v>
      </c>
      <c r="F1873" s="150">
        <v>0</v>
      </c>
      <c r="G1873" s="209">
        <v>0</v>
      </c>
      <c r="H1873" s="209">
        <v>0</v>
      </c>
      <c r="I1873" s="209">
        <v>0</v>
      </c>
      <c r="J1873" s="150">
        <v>0</v>
      </c>
      <c r="K1873" s="150">
        <v>0</v>
      </c>
      <c r="L1873" s="150">
        <f t="shared" si="1585"/>
        <v>0</v>
      </c>
      <c r="M1873" s="150">
        <v>0</v>
      </c>
      <c r="N1873" s="150">
        <v>0</v>
      </c>
      <c r="O1873" s="150">
        <v>0</v>
      </c>
      <c r="P1873" s="150">
        <v>0</v>
      </c>
      <c r="Q1873" s="150">
        <v>0</v>
      </c>
      <c r="R1873" s="313">
        <f t="shared" si="1572"/>
        <v>0</v>
      </c>
      <c r="S1873" s="150">
        <f t="shared" si="1583"/>
        <v>0</v>
      </c>
      <c r="T1873" s="150">
        <v>0</v>
      </c>
      <c r="U1873" s="150">
        <v>0</v>
      </c>
      <c r="V1873" s="199">
        <v>0</v>
      </c>
      <c r="W1873" s="150">
        <f t="shared" si="1573"/>
        <v>0</v>
      </c>
      <c r="X1873" s="150">
        <v>0</v>
      </c>
      <c r="Y1873" s="150">
        <v>0</v>
      </c>
      <c r="Z1873" s="150">
        <v>0</v>
      </c>
      <c r="AA1873" s="150">
        <f t="shared" si="1579"/>
        <v>0</v>
      </c>
      <c r="AB1873" s="150">
        <v>0</v>
      </c>
      <c r="AC1873" s="199">
        <v>0</v>
      </c>
      <c r="AD1873" s="150">
        <f t="shared" si="1574"/>
        <v>0</v>
      </c>
      <c r="AE1873" s="150">
        <v>0</v>
      </c>
      <c r="AF1873" s="169" t="s">
        <v>4680</v>
      </c>
      <c r="AG1873" s="201">
        <v>0</v>
      </c>
      <c r="AH1873" s="199">
        <v>0</v>
      </c>
      <c r="AI1873" s="150">
        <v>0</v>
      </c>
      <c r="AJ1873" s="169">
        <f t="shared" si="1580"/>
        <v>0</v>
      </c>
      <c r="AK1873" s="201">
        <v>0</v>
      </c>
      <c r="AL1873" s="199">
        <v>0</v>
      </c>
      <c r="AM1873" s="150">
        <f t="shared" si="1575"/>
        <v>0</v>
      </c>
      <c r="AN1873" s="153">
        <f t="shared" si="1581"/>
        <v>0</v>
      </c>
      <c r="AO1873" s="154">
        <f t="shared" si="1582"/>
        <v>0</v>
      </c>
      <c r="AP1873" s="150">
        <v>0</v>
      </c>
      <c r="AQ1873" s="201">
        <v>0</v>
      </c>
      <c r="AR1873" s="199">
        <v>0</v>
      </c>
      <c r="AS1873" s="150">
        <f t="shared" si="1576"/>
        <v>0</v>
      </c>
      <c r="AT1873" s="155"/>
      <c r="AU1873" s="156">
        <f t="shared" si="1577"/>
        <v>0</v>
      </c>
      <c r="AV1873" s="156">
        <f t="shared" si="1578"/>
        <v>0</v>
      </c>
      <c r="AW1873" s="157"/>
      <c r="AX1873" s="150">
        <v>0</v>
      </c>
      <c r="AY1873" s="150">
        <v>0</v>
      </c>
      <c r="AZ1873" s="150">
        <f t="shared" si="1566"/>
        <v>0</v>
      </c>
      <c r="BA1873" s="150">
        <v>0</v>
      </c>
      <c r="BB1873" s="210"/>
      <c r="BC1873" s="210"/>
      <c r="BD1873" s="210"/>
      <c r="BE1873" s="210"/>
      <c r="BF1873" s="210"/>
      <c r="BG1873" s="210"/>
      <c r="BH1873" s="217"/>
      <c r="BI1873" s="210"/>
      <c r="BJ1873" s="210"/>
      <c r="BK1873" s="210"/>
      <c r="BL1873" s="210"/>
      <c r="BM1873" s="208"/>
      <c r="BN1873" s="160"/>
      <c r="BO1873" s="161">
        <f t="shared" si="1584"/>
        <v>0</v>
      </c>
      <c r="BP1873" s="161"/>
    </row>
    <row r="1874" spans="1:68" ht="51">
      <c r="A1874" s="210"/>
      <c r="B1874" s="195" t="s">
        <v>9496</v>
      </c>
      <c r="C1874" s="196" t="s">
        <v>9497</v>
      </c>
      <c r="D1874" s="146" t="s">
        <v>4692</v>
      </c>
      <c r="E1874" s="196" t="s">
        <v>9497</v>
      </c>
      <c r="F1874" s="150">
        <v>0</v>
      </c>
      <c r="G1874" s="209">
        <v>0</v>
      </c>
      <c r="H1874" s="209">
        <v>0</v>
      </c>
      <c r="I1874" s="209">
        <v>0</v>
      </c>
      <c r="J1874" s="150">
        <v>0</v>
      </c>
      <c r="K1874" s="150">
        <v>0</v>
      </c>
      <c r="L1874" s="150">
        <f t="shared" si="1585"/>
        <v>0</v>
      </c>
      <c r="M1874" s="150">
        <v>0</v>
      </c>
      <c r="N1874" s="150">
        <v>0</v>
      </c>
      <c r="O1874" s="150">
        <v>0</v>
      </c>
      <c r="P1874" s="150">
        <v>0</v>
      </c>
      <c r="Q1874" s="150">
        <v>0</v>
      </c>
      <c r="R1874" s="313">
        <f t="shared" si="1572"/>
        <v>0</v>
      </c>
      <c r="S1874" s="150">
        <f t="shared" si="1583"/>
        <v>0</v>
      </c>
      <c r="T1874" s="150">
        <v>0</v>
      </c>
      <c r="U1874" s="150">
        <v>0</v>
      </c>
      <c r="V1874" s="199">
        <v>0</v>
      </c>
      <c r="W1874" s="150">
        <f t="shared" si="1573"/>
        <v>0</v>
      </c>
      <c r="X1874" s="150">
        <v>0</v>
      </c>
      <c r="Y1874" s="150">
        <v>0</v>
      </c>
      <c r="Z1874" s="150">
        <v>0</v>
      </c>
      <c r="AA1874" s="150">
        <f t="shared" si="1579"/>
        <v>0</v>
      </c>
      <c r="AB1874" s="150">
        <v>0</v>
      </c>
      <c r="AC1874" s="199">
        <v>0</v>
      </c>
      <c r="AD1874" s="150">
        <f t="shared" si="1574"/>
        <v>0</v>
      </c>
      <c r="AE1874" s="150">
        <v>0</v>
      </c>
      <c r="AF1874" s="169" t="s">
        <v>4680</v>
      </c>
      <c r="AG1874" s="201">
        <v>0</v>
      </c>
      <c r="AH1874" s="199">
        <v>0</v>
      </c>
      <c r="AI1874" s="150">
        <v>0</v>
      </c>
      <c r="AJ1874" s="169">
        <f t="shared" si="1580"/>
        <v>0</v>
      </c>
      <c r="AK1874" s="201">
        <v>0</v>
      </c>
      <c r="AL1874" s="199">
        <v>0</v>
      </c>
      <c r="AM1874" s="150">
        <f t="shared" si="1575"/>
        <v>0</v>
      </c>
      <c r="AN1874" s="153">
        <f t="shared" si="1581"/>
        <v>0</v>
      </c>
      <c r="AO1874" s="154">
        <f t="shared" si="1582"/>
        <v>0</v>
      </c>
      <c r="AP1874" s="150">
        <v>0</v>
      </c>
      <c r="AQ1874" s="201">
        <v>0</v>
      </c>
      <c r="AR1874" s="199">
        <v>0</v>
      </c>
      <c r="AS1874" s="150">
        <f t="shared" si="1576"/>
        <v>0</v>
      </c>
      <c r="AT1874" s="155"/>
      <c r="AU1874" s="156">
        <f t="shared" si="1577"/>
        <v>0</v>
      </c>
      <c r="AV1874" s="156">
        <f t="shared" si="1578"/>
        <v>0</v>
      </c>
      <c r="AW1874" s="157"/>
      <c r="AX1874" s="150">
        <v>0</v>
      </c>
      <c r="AY1874" s="150">
        <v>0</v>
      </c>
      <c r="AZ1874" s="150">
        <f t="shared" si="1566"/>
        <v>0</v>
      </c>
      <c r="BA1874" s="150">
        <v>0</v>
      </c>
      <c r="BB1874" s="210"/>
      <c r="BC1874" s="210"/>
      <c r="BD1874" s="210"/>
      <c r="BE1874" s="210"/>
      <c r="BF1874" s="210"/>
      <c r="BG1874" s="210"/>
      <c r="BH1874" s="217"/>
      <c r="BI1874" s="210"/>
      <c r="BJ1874" s="210"/>
      <c r="BK1874" s="210"/>
      <c r="BL1874" s="210"/>
      <c r="BM1874" s="208"/>
      <c r="BN1874" s="160"/>
      <c r="BO1874" s="161">
        <f t="shared" si="1584"/>
        <v>0</v>
      </c>
      <c r="BP1874" s="161"/>
    </row>
    <row r="1875" spans="1:68" ht="51">
      <c r="A1875" s="210"/>
      <c r="B1875" s="195" t="s">
        <v>9498</v>
      </c>
      <c r="C1875" s="196" t="s">
        <v>9499</v>
      </c>
      <c r="D1875" s="146" t="s">
        <v>4692</v>
      </c>
      <c r="E1875" s="196" t="s">
        <v>9499</v>
      </c>
      <c r="F1875" s="150">
        <v>0</v>
      </c>
      <c r="G1875" s="209">
        <v>0</v>
      </c>
      <c r="H1875" s="209">
        <v>0</v>
      </c>
      <c r="I1875" s="209">
        <v>0</v>
      </c>
      <c r="J1875" s="150">
        <v>0</v>
      </c>
      <c r="K1875" s="150">
        <v>0</v>
      </c>
      <c r="L1875" s="150">
        <f t="shared" si="1585"/>
        <v>0</v>
      </c>
      <c r="M1875" s="150">
        <v>0</v>
      </c>
      <c r="N1875" s="150">
        <v>0</v>
      </c>
      <c r="O1875" s="150">
        <v>0</v>
      </c>
      <c r="P1875" s="150">
        <v>0</v>
      </c>
      <c r="Q1875" s="150">
        <v>0</v>
      </c>
      <c r="R1875" s="313">
        <f t="shared" si="1572"/>
        <v>0</v>
      </c>
      <c r="S1875" s="150">
        <f t="shared" si="1583"/>
        <v>0</v>
      </c>
      <c r="T1875" s="150">
        <v>0</v>
      </c>
      <c r="U1875" s="150">
        <v>0</v>
      </c>
      <c r="V1875" s="199">
        <v>0</v>
      </c>
      <c r="W1875" s="150">
        <f t="shared" si="1573"/>
        <v>0</v>
      </c>
      <c r="X1875" s="150">
        <v>0</v>
      </c>
      <c r="Y1875" s="150">
        <v>0</v>
      </c>
      <c r="Z1875" s="150">
        <v>0</v>
      </c>
      <c r="AA1875" s="150">
        <f t="shared" si="1579"/>
        <v>0</v>
      </c>
      <c r="AB1875" s="150">
        <v>0</v>
      </c>
      <c r="AC1875" s="199">
        <v>0</v>
      </c>
      <c r="AD1875" s="150">
        <f t="shared" si="1574"/>
        <v>0</v>
      </c>
      <c r="AE1875" s="150">
        <v>0</v>
      </c>
      <c r="AF1875" s="169" t="s">
        <v>4680</v>
      </c>
      <c r="AG1875" s="201">
        <v>0</v>
      </c>
      <c r="AH1875" s="199">
        <v>0</v>
      </c>
      <c r="AI1875" s="150">
        <v>0</v>
      </c>
      <c r="AJ1875" s="169">
        <f t="shared" si="1580"/>
        <v>0</v>
      </c>
      <c r="AK1875" s="201">
        <v>0</v>
      </c>
      <c r="AL1875" s="199">
        <v>0</v>
      </c>
      <c r="AM1875" s="150">
        <f t="shared" si="1575"/>
        <v>0</v>
      </c>
      <c r="AN1875" s="153">
        <f t="shared" si="1581"/>
        <v>0</v>
      </c>
      <c r="AO1875" s="154">
        <f t="shared" si="1582"/>
        <v>0</v>
      </c>
      <c r="AP1875" s="150">
        <v>0</v>
      </c>
      <c r="AQ1875" s="201">
        <v>0</v>
      </c>
      <c r="AR1875" s="199">
        <v>0</v>
      </c>
      <c r="AS1875" s="150">
        <f t="shared" si="1576"/>
        <v>0</v>
      </c>
      <c r="AT1875" s="155"/>
      <c r="AU1875" s="156">
        <f t="shared" si="1577"/>
        <v>0</v>
      </c>
      <c r="AV1875" s="156">
        <f t="shared" si="1578"/>
        <v>0</v>
      </c>
      <c r="AW1875" s="157"/>
      <c r="AX1875" s="150">
        <v>0</v>
      </c>
      <c r="AY1875" s="150">
        <v>0</v>
      </c>
      <c r="AZ1875" s="150">
        <f t="shared" si="1566"/>
        <v>0</v>
      </c>
      <c r="BA1875" s="150">
        <v>0</v>
      </c>
      <c r="BB1875" s="210"/>
      <c r="BC1875" s="210"/>
      <c r="BD1875" s="210"/>
      <c r="BE1875" s="210"/>
      <c r="BF1875" s="210"/>
      <c r="BG1875" s="210"/>
      <c r="BH1875" s="217"/>
      <c r="BI1875" s="210"/>
      <c r="BJ1875" s="210"/>
      <c r="BK1875" s="210"/>
      <c r="BL1875" s="210"/>
      <c r="BM1875" s="208"/>
      <c r="BN1875" s="160"/>
      <c r="BO1875" s="161">
        <f t="shared" si="1584"/>
        <v>0</v>
      </c>
      <c r="BP1875" s="161"/>
    </row>
    <row r="1876" spans="1:68" ht="38.25">
      <c r="A1876" s="210"/>
      <c r="B1876" s="195" t="s">
        <v>9500</v>
      </c>
      <c r="C1876" s="196" t="s">
        <v>9501</v>
      </c>
      <c r="D1876" s="146" t="s">
        <v>4692</v>
      </c>
      <c r="E1876" s="196" t="s">
        <v>9501</v>
      </c>
      <c r="F1876" s="150">
        <v>0</v>
      </c>
      <c r="G1876" s="209">
        <v>0</v>
      </c>
      <c r="H1876" s="209">
        <v>0</v>
      </c>
      <c r="I1876" s="209">
        <v>0</v>
      </c>
      <c r="J1876" s="150">
        <v>0</v>
      </c>
      <c r="K1876" s="150">
        <v>0</v>
      </c>
      <c r="L1876" s="150">
        <f t="shared" si="1585"/>
        <v>0</v>
      </c>
      <c r="M1876" s="150">
        <v>0</v>
      </c>
      <c r="N1876" s="150">
        <v>0</v>
      </c>
      <c r="O1876" s="150">
        <v>0</v>
      </c>
      <c r="P1876" s="150">
        <v>0</v>
      </c>
      <c r="Q1876" s="150">
        <v>0</v>
      </c>
      <c r="R1876" s="313">
        <f t="shared" si="1572"/>
        <v>0</v>
      </c>
      <c r="S1876" s="150">
        <f t="shared" si="1583"/>
        <v>0</v>
      </c>
      <c r="T1876" s="150">
        <v>0</v>
      </c>
      <c r="U1876" s="150">
        <v>0</v>
      </c>
      <c r="V1876" s="199">
        <v>0</v>
      </c>
      <c r="W1876" s="150">
        <f t="shared" si="1573"/>
        <v>0</v>
      </c>
      <c r="X1876" s="150">
        <v>0</v>
      </c>
      <c r="Y1876" s="150">
        <v>0</v>
      </c>
      <c r="Z1876" s="150">
        <v>0</v>
      </c>
      <c r="AA1876" s="150">
        <f t="shared" si="1579"/>
        <v>0</v>
      </c>
      <c r="AB1876" s="150">
        <v>0</v>
      </c>
      <c r="AC1876" s="199">
        <v>0</v>
      </c>
      <c r="AD1876" s="150">
        <f t="shared" si="1574"/>
        <v>0</v>
      </c>
      <c r="AE1876" s="150">
        <v>0</v>
      </c>
      <c r="AF1876" s="169" t="s">
        <v>4680</v>
      </c>
      <c r="AG1876" s="201">
        <v>0</v>
      </c>
      <c r="AH1876" s="199">
        <v>0</v>
      </c>
      <c r="AI1876" s="150">
        <v>0</v>
      </c>
      <c r="AJ1876" s="169">
        <f t="shared" si="1580"/>
        <v>0</v>
      </c>
      <c r="AK1876" s="201">
        <v>0</v>
      </c>
      <c r="AL1876" s="199">
        <v>0</v>
      </c>
      <c r="AM1876" s="150">
        <f t="shared" si="1575"/>
        <v>0</v>
      </c>
      <c r="AN1876" s="153">
        <f t="shared" si="1581"/>
        <v>0</v>
      </c>
      <c r="AO1876" s="154">
        <f t="shared" si="1582"/>
        <v>0</v>
      </c>
      <c r="AP1876" s="150">
        <v>0</v>
      </c>
      <c r="AQ1876" s="201">
        <v>0</v>
      </c>
      <c r="AR1876" s="199">
        <v>0</v>
      </c>
      <c r="AS1876" s="150">
        <f t="shared" si="1576"/>
        <v>0</v>
      </c>
      <c r="AT1876" s="155"/>
      <c r="AU1876" s="156">
        <f t="shared" si="1577"/>
        <v>0</v>
      </c>
      <c r="AV1876" s="156">
        <f t="shared" si="1578"/>
        <v>0</v>
      </c>
      <c r="AW1876" s="157"/>
      <c r="AX1876" s="150">
        <v>0</v>
      </c>
      <c r="AY1876" s="150">
        <v>0</v>
      </c>
      <c r="AZ1876" s="150">
        <f t="shared" si="1566"/>
        <v>0</v>
      </c>
      <c r="BA1876" s="150">
        <v>0</v>
      </c>
      <c r="BB1876" s="210"/>
      <c r="BC1876" s="210"/>
      <c r="BD1876" s="210"/>
      <c r="BE1876" s="210"/>
      <c r="BF1876" s="210"/>
      <c r="BG1876" s="210"/>
      <c r="BH1876" s="217"/>
      <c r="BI1876" s="210"/>
      <c r="BJ1876" s="210"/>
      <c r="BK1876" s="210"/>
      <c r="BL1876" s="210"/>
      <c r="BM1876" s="208"/>
      <c r="BN1876" s="160"/>
      <c r="BO1876" s="161">
        <f t="shared" si="1584"/>
        <v>0</v>
      </c>
      <c r="BP1876" s="161"/>
    </row>
    <row r="1877" spans="1:68" ht="63.75">
      <c r="A1877" s="210"/>
      <c r="B1877" s="195" t="s">
        <v>9502</v>
      </c>
      <c r="C1877" s="196" t="s">
        <v>9503</v>
      </c>
      <c r="D1877" s="146" t="s">
        <v>4692</v>
      </c>
      <c r="E1877" s="196" t="s">
        <v>9503</v>
      </c>
      <c r="F1877" s="150">
        <v>0</v>
      </c>
      <c r="G1877" s="209">
        <v>0</v>
      </c>
      <c r="H1877" s="209">
        <v>0</v>
      </c>
      <c r="I1877" s="209">
        <v>0</v>
      </c>
      <c r="J1877" s="150">
        <v>0</v>
      </c>
      <c r="K1877" s="150">
        <v>0</v>
      </c>
      <c r="L1877" s="150">
        <f t="shared" si="1585"/>
        <v>0</v>
      </c>
      <c r="M1877" s="150">
        <v>0</v>
      </c>
      <c r="N1877" s="150">
        <v>0</v>
      </c>
      <c r="O1877" s="150">
        <v>0</v>
      </c>
      <c r="P1877" s="150">
        <v>0</v>
      </c>
      <c r="Q1877" s="150">
        <v>0</v>
      </c>
      <c r="R1877" s="313">
        <f t="shared" si="1572"/>
        <v>0</v>
      </c>
      <c r="S1877" s="150">
        <f t="shared" si="1583"/>
        <v>0</v>
      </c>
      <c r="T1877" s="150">
        <v>0</v>
      </c>
      <c r="U1877" s="150">
        <v>0</v>
      </c>
      <c r="V1877" s="199">
        <v>0</v>
      </c>
      <c r="W1877" s="150">
        <f t="shared" si="1573"/>
        <v>0</v>
      </c>
      <c r="X1877" s="150">
        <v>0</v>
      </c>
      <c r="Y1877" s="150">
        <v>0</v>
      </c>
      <c r="Z1877" s="150">
        <v>0</v>
      </c>
      <c r="AA1877" s="150">
        <f t="shared" si="1579"/>
        <v>0</v>
      </c>
      <c r="AB1877" s="150">
        <v>0</v>
      </c>
      <c r="AC1877" s="199">
        <v>0</v>
      </c>
      <c r="AD1877" s="150">
        <f t="shared" si="1574"/>
        <v>0</v>
      </c>
      <c r="AE1877" s="150">
        <v>0</v>
      </c>
      <c r="AF1877" s="169" t="s">
        <v>4680</v>
      </c>
      <c r="AG1877" s="201">
        <v>0</v>
      </c>
      <c r="AH1877" s="199">
        <v>0</v>
      </c>
      <c r="AI1877" s="150">
        <v>0</v>
      </c>
      <c r="AJ1877" s="169">
        <f t="shared" si="1580"/>
        <v>0</v>
      </c>
      <c r="AK1877" s="201">
        <v>0</v>
      </c>
      <c r="AL1877" s="199">
        <v>0</v>
      </c>
      <c r="AM1877" s="150">
        <f t="shared" si="1575"/>
        <v>0</v>
      </c>
      <c r="AN1877" s="153">
        <f t="shared" si="1581"/>
        <v>0</v>
      </c>
      <c r="AO1877" s="154">
        <f t="shared" si="1582"/>
        <v>0</v>
      </c>
      <c r="AP1877" s="150">
        <v>0</v>
      </c>
      <c r="AQ1877" s="201">
        <v>0</v>
      </c>
      <c r="AR1877" s="199">
        <v>0</v>
      </c>
      <c r="AS1877" s="150">
        <f t="shared" si="1576"/>
        <v>0</v>
      </c>
      <c r="AT1877" s="155"/>
      <c r="AU1877" s="156">
        <f t="shared" si="1577"/>
        <v>0</v>
      </c>
      <c r="AV1877" s="156">
        <f t="shared" si="1578"/>
        <v>0</v>
      </c>
      <c r="AW1877" s="157"/>
      <c r="AX1877" s="150">
        <v>0</v>
      </c>
      <c r="AY1877" s="150">
        <v>0</v>
      </c>
      <c r="AZ1877" s="150">
        <f t="shared" si="1566"/>
        <v>0</v>
      </c>
      <c r="BA1877" s="150">
        <v>0</v>
      </c>
      <c r="BB1877" s="202">
        <v>5</v>
      </c>
      <c r="BC1877" s="202" t="s">
        <v>766</v>
      </c>
      <c r="BD1877" s="202" t="s">
        <v>632</v>
      </c>
      <c r="BE1877" s="202" t="s">
        <v>647</v>
      </c>
      <c r="BF1877" s="352" t="s">
        <v>766</v>
      </c>
      <c r="BG1877" s="210"/>
      <c r="BH1877" s="217">
        <f>AS1877</f>
        <v>0</v>
      </c>
      <c r="BI1877" s="210"/>
      <c r="BJ1877" s="210"/>
      <c r="BK1877" s="210"/>
      <c r="BL1877" s="210"/>
      <c r="BM1877" s="208">
        <f>BH1877</f>
        <v>0</v>
      </c>
      <c r="BN1877" s="160"/>
      <c r="BO1877" s="161">
        <f t="shared" si="1584"/>
        <v>0</v>
      </c>
      <c r="BP1877" s="161"/>
    </row>
    <row r="1878" spans="1:68" ht="38.25">
      <c r="A1878" s="256" t="s">
        <v>602</v>
      </c>
      <c r="B1878" s="184"/>
      <c r="C1878" s="185" t="s">
        <v>107</v>
      </c>
      <c r="D1878" s="146" t="s">
        <v>4692</v>
      </c>
      <c r="E1878" s="185" t="s">
        <v>107</v>
      </c>
      <c r="F1878" s="188">
        <v>0</v>
      </c>
      <c r="G1878" s="187">
        <v>0</v>
      </c>
      <c r="H1878" s="187"/>
      <c r="I1878" s="187">
        <v>0</v>
      </c>
      <c r="J1878" s="188">
        <f>J1879</f>
        <v>0</v>
      </c>
      <c r="K1878" s="188">
        <f>K1879</f>
        <v>0</v>
      </c>
      <c r="L1878" s="188">
        <f t="shared" si="1585"/>
        <v>0</v>
      </c>
      <c r="M1878" s="188">
        <v>0</v>
      </c>
      <c r="N1878" s="188">
        <v>0</v>
      </c>
      <c r="O1878" s="188">
        <v>0</v>
      </c>
      <c r="P1878" s="299">
        <f t="shared" ref="P1878:AS1878" si="1586">P1879</f>
        <v>0</v>
      </c>
      <c r="Q1878" s="299">
        <f t="shared" si="1586"/>
        <v>0</v>
      </c>
      <c r="R1878" s="299">
        <f t="shared" si="1586"/>
        <v>0</v>
      </c>
      <c r="S1878" s="150">
        <f t="shared" si="1583"/>
        <v>0</v>
      </c>
      <c r="T1878" s="150">
        <v>0</v>
      </c>
      <c r="U1878" s="299">
        <f t="shared" ref="U1878:W1878" si="1587">U1879</f>
        <v>0</v>
      </c>
      <c r="V1878" s="226">
        <f t="shared" si="1587"/>
        <v>0</v>
      </c>
      <c r="W1878" s="299">
        <f t="shared" si="1587"/>
        <v>0</v>
      </c>
      <c r="X1878" s="299">
        <v>0</v>
      </c>
      <c r="Y1878" s="299">
        <v>0</v>
      </c>
      <c r="Z1878" s="299">
        <v>0</v>
      </c>
      <c r="AA1878" s="299">
        <f t="shared" si="1579"/>
        <v>0</v>
      </c>
      <c r="AB1878" s="299">
        <v>0</v>
      </c>
      <c r="AC1878" s="226">
        <v>0</v>
      </c>
      <c r="AD1878" s="299">
        <f t="shared" si="1586"/>
        <v>0</v>
      </c>
      <c r="AE1878" s="299">
        <v>0</v>
      </c>
      <c r="AF1878" s="169" t="s">
        <v>4680</v>
      </c>
      <c r="AG1878" s="301">
        <v>0</v>
      </c>
      <c r="AH1878" s="226">
        <v>0</v>
      </c>
      <c r="AI1878" s="299">
        <v>0</v>
      </c>
      <c r="AJ1878" s="169">
        <f t="shared" si="1580"/>
        <v>0</v>
      </c>
      <c r="AK1878" s="301">
        <v>0</v>
      </c>
      <c r="AL1878" s="226">
        <v>0</v>
      </c>
      <c r="AM1878" s="299">
        <f t="shared" si="1586"/>
        <v>0</v>
      </c>
      <c r="AN1878" s="153">
        <f t="shared" si="1581"/>
        <v>0</v>
      </c>
      <c r="AO1878" s="154">
        <f t="shared" si="1582"/>
        <v>0</v>
      </c>
      <c r="AP1878" s="299">
        <v>0</v>
      </c>
      <c r="AQ1878" s="301">
        <v>0</v>
      </c>
      <c r="AR1878" s="226">
        <f t="shared" si="1586"/>
        <v>0</v>
      </c>
      <c r="AS1878" s="299">
        <f t="shared" si="1586"/>
        <v>0</v>
      </c>
      <c r="AT1878" s="155"/>
      <c r="AU1878" s="156">
        <f t="shared" si="1577"/>
        <v>0</v>
      </c>
      <c r="AV1878" s="156">
        <f t="shared" si="1578"/>
        <v>0</v>
      </c>
      <c r="AW1878" s="157"/>
      <c r="AX1878" s="150">
        <v>0</v>
      </c>
      <c r="AY1878" s="299">
        <f t="shared" ref="AY1878:BA1878" si="1588">AY1879</f>
        <v>0</v>
      </c>
      <c r="AZ1878" s="299">
        <f t="shared" si="1588"/>
        <v>0</v>
      </c>
      <c r="BA1878" s="299">
        <f t="shared" si="1588"/>
        <v>0</v>
      </c>
      <c r="BB1878" s="192">
        <v>5</v>
      </c>
      <c r="BC1878" s="256" t="s">
        <v>766</v>
      </c>
      <c r="BD1878" s="256" t="s">
        <v>632</v>
      </c>
      <c r="BE1878" s="256" t="s">
        <v>671</v>
      </c>
      <c r="BF1878" s="256" t="s">
        <v>630</v>
      </c>
      <c r="BG1878" s="185" t="s">
        <v>107</v>
      </c>
      <c r="BH1878" s="215">
        <f>BH1879</f>
        <v>0</v>
      </c>
      <c r="BI1878" s="192"/>
      <c r="BJ1878" s="256" t="s">
        <v>9504</v>
      </c>
      <c r="BK1878" s="256" t="s">
        <v>602</v>
      </c>
      <c r="BL1878" s="238" t="s">
        <v>9505</v>
      </c>
      <c r="BM1878" s="338">
        <f>BM1879</f>
        <v>0</v>
      </c>
      <c r="BN1878" s="160"/>
      <c r="BO1878" s="161">
        <f t="shared" si="1584"/>
        <v>0</v>
      </c>
      <c r="BP1878" s="161"/>
    </row>
    <row r="1879" spans="1:68" ht="38.25">
      <c r="A1879" s="206" t="s">
        <v>602</v>
      </c>
      <c r="B1879" s="195" t="s">
        <v>9506</v>
      </c>
      <c r="C1879" s="196" t="s">
        <v>9507</v>
      </c>
      <c r="D1879" s="146" t="s">
        <v>4692</v>
      </c>
      <c r="E1879" s="196" t="s">
        <v>9507</v>
      </c>
      <c r="F1879" s="150">
        <v>0</v>
      </c>
      <c r="G1879" s="209">
        <v>2418979.1800000002</v>
      </c>
      <c r="H1879" s="209">
        <v>343788.18505792087</v>
      </c>
      <c r="I1879" s="209">
        <v>2762767.3650579206</v>
      </c>
      <c r="J1879" s="150">
        <v>0</v>
      </c>
      <c r="K1879" s="150">
        <v>0</v>
      </c>
      <c r="L1879" s="150">
        <f t="shared" si="1585"/>
        <v>0</v>
      </c>
      <c r="M1879" s="150">
        <v>0</v>
      </c>
      <c r="N1879" s="150">
        <v>0</v>
      </c>
      <c r="O1879" s="150">
        <v>0</v>
      </c>
      <c r="P1879" s="150">
        <v>0</v>
      </c>
      <c r="Q1879" s="150">
        <v>0</v>
      </c>
      <c r="R1879" s="313">
        <f>P1879+Q1879</f>
        <v>0</v>
      </c>
      <c r="S1879" s="150">
        <f t="shared" si="1583"/>
        <v>0</v>
      </c>
      <c r="T1879" s="150">
        <v>0</v>
      </c>
      <c r="U1879" s="150">
        <v>0</v>
      </c>
      <c r="V1879" s="199">
        <v>0</v>
      </c>
      <c r="W1879" s="150">
        <f>U1879+V1879</f>
        <v>0</v>
      </c>
      <c r="X1879" s="150">
        <v>0</v>
      </c>
      <c r="Y1879" s="150">
        <v>0</v>
      </c>
      <c r="Z1879" s="150">
        <v>0</v>
      </c>
      <c r="AA1879" s="150">
        <f t="shared" si="1579"/>
        <v>0</v>
      </c>
      <c r="AB1879" s="150">
        <v>0</v>
      </c>
      <c r="AC1879" s="199">
        <v>0</v>
      </c>
      <c r="AD1879" s="150">
        <f>AB1879+AC1879</f>
        <v>0</v>
      </c>
      <c r="AE1879" s="150">
        <v>0</v>
      </c>
      <c r="AF1879" s="169" t="s">
        <v>4680</v>
      </c>
      <c r="AG1879" s="201">
        <v>0</v>
      </c>
      <c r="AH1879" s="199">
        <v>0</v>
      </c>
      <c r="AI1879" s="150">
        <v>0</v>
      </c>
      <c r="AJ1879" s="169">
        <f t="shared" si="1580"/>
        <v>0</v>
      </c>
      <c r="AK1879" s="201">
        <v>0</v>
      </c>
      <c r="AL1879" s="199">
        <v>0</v>
      </c>
      <c r="AM1879" s="150">
        <f>AK1879+AL1879</f>
        <v>0</v>
      </c>
      <c r="AN1879" s="153">
        <f t="shared" si="1581"/>
        <v>0</v>
      </c>
      <c r="AO1879" s="154">
        <f t="shared" si="1582"/>
        <v>0</v>
      </c>
      <c r="AP1879" s="150">
        <v>0</v>
      </c>
      <c r="AQ1879" s="201">
        <v>0</v>
      </c>
      <c r="AR1879" s="199">
        <v>0</v>
      </c>
      <c r="AS1879" s="150">
        <f>AQ1879+AR1879</f>
        <v>0</v>
      </c>
      <c r="AT1879" s="155"/>
      <c r="AU1879" s="156">
        <f t="shared" si="1577"/>
        <v>0</v>
      </c>
      <c r="AV1879" s="156">
        <f t="shared" si="1578"/>
        <v>0</v>
      </c>
      <c r="AW1879" s="157"/>
      <c r="AX1879" s="150">
        <v>0</v>
      </c>
      <c r="AY1879" s="150">
        <v>0</v>
      </c>
      <c r="AZ1879" s="150"/>
      <c r="BA1879" s="150">
        <f>AY1879+AZ1879</f>
        <v>0</v>
      </c>
      <c r="BB1879" s="202">
        <v>5</v>
      </c>
      <c r="BC1879" s="202" t="s">
        <v>766</v>
      </c>
      <c r="BD1879" s="202" t="s">
        <v>632</v>
      </c>
      <c r="BE1879" s="202" t="s">
        <v>671</v>
      </c>
      <c r="BF1879" s="202" t="s">
        <v>632</v>
      </c>
      <c r="BG1879" s="231" t="s">
        <v>107</v>
      </c>
      <c r="BH1879" s="216">
        <f>AS1879</f>
        <v>0</v>
      </c>
      <c r="BI1879" s="205"/>
      <c r="BJ1879" s="206" t="s">
        <v>9504</v>
      </c>
      <c r="BK1879" s="206" t="s">
        <v>602</v>
      </c>
      <c r="BL1879" s="207" t="s">
        <v>9505</v>
      </c>
      <c r="BM1879" s="208">
        <f>BH1879</f>
        <v>0</v>
      </c>
      <c r="BN1879" s="160"/>
      <c r="BO1879" s="161">
        <f t="shared" si="1584"/>
        <v>0</v>
      </c>
      <c r="BP1879" s="161"/>
    </row>
    <row r="1880" spans="1:68" ht="38.25">
      <c r="A1880" s="255" t="s">
        <v>603</v>
      </c>
      <c r="B1880" s="174"/>
      <c r="C1880" s="175" t="s">
        <v>108</v>
      </c>
      <c r="D1880" s="146" t="s">
        <v>4692</v>
      </c>
      <c r="E1880" s="175" t="s">
        <v>108</v>
      </c>
      <c r="F1880" s="176">
        <v>2762767.18</v>
      </c>
      <c r="G1880" s="177">
        <v>2412714.12</v>
      </c>
      <c r="H1880" s="177">
        <v>343788.18505792087</v>
      </c>
      <c r="I1880" s="177">
        <v>2756502.3050579205</v>
      </c>
      <c r="J1880" s="176">
        <f>J1881+J1913+J1942</f>
        <v>632820.86</v>
      </c>
      <c r="K1880" s="176">
        <f>K1881+K1913+K1942</f>
        <v>230335.76</v>
      </c>
      <c r="L1880" s="176">
        <f t="shared" si="1585"/>
        <v>863156.62</v>
      </c>
      <c r="M1880" s="178">
        <v>1342526.7000000002</v>
      </c>
      <c r="N1880" s="178">
        <v>422306.70940634317</v>
      </c>
      <c r="O1880" s="178">
        <v>1764833.4094063435</v>
      </c>
      <c r="P1880" s="221">
        <f t="shared" ref="P1880:R1880" si="1589">P1881+P1913+P1942</f>
        <v>1976218.4799999997</v>
      </c>
      <c r="Q1880" s="221">
        <f t="shared" si="1589"/>
        <v>654114.68214593991</v>
      </c>
      <c r="R1880" s="221">
        <f t="shared" si="1589"/>
        <v>2630333.1621459397</v>
      </c>
      <c r="S1880" s="150">
        <f t="shared" si="1583"/>
        <v>3507110.8828612529</v>
      </c>
      <c r="T1880" s="347">
        <f>T1881+T1913+T1942</f>
        <v>3572187.48</v>
      </c>
      <c r="U1880" s="221">
        <f t="shared" ref="U1880:W1880" si="1590">U1881+U1913+U1942</f>
        <v>2802768.4400000004</v>
      </c>
      <c r="V1880" s="222">
        <f t="shared" si="1590"/>
        <v>797638.96286125295</v>
      </c>
      <c r="W1880" s="221">
        <f t="shared" si="1590"/>
        <v>3600407.4028612534</v>
      </c>
      <c r="X1880" s="221">
        <v>2802768.4400000004</v>
      </c>
      <c r="Y1880" s="221">
        <v>797638.96286125295</v>
      </c>
      <c r="Z1880" s="221">
        <v>3600407.4028612534</v>
      </c>
      <c r="AA1880" s="221">
        <f t="shared" si="1579"/>
        <v>-28219.922861252911</v>
      </c>
      <c r="AB1880" s="221">
        <v>2802768.4400000004</v>
      </c>
      <c r="AC1880" s="222">
        <v>769419.04</v>
      </c>
      <c r="AD1880" s="221">
        <f t="shared" ref="AD1880" si="1591">AD1881+AD1913+AD1942</f>
        <v>3572187.4800000004</v>
      </c>
      <c r="AE1880" s="221">
        <v>3572187.4800000004</v>
      </c>
      <c r="AF1880" s="169" t="s">
        <v>4680</v>
      </c>
      <c r="AG1880" s="223">
        <v>2802768.4400000004</v>
      </c>
      <c r="AH1880" s="222">
        <v>769419.04</v>
      </c>
      <c r="AI1880" s="221">
        <v>3572187.4800000004</v>
      </c>
      <c r="AJ1880" s="169">
        <f t="shared" si="1580"/>
        <v>0</v>
      </c>
      <c r="AK1880" s="223">
        <v>2802768.4400000004</v>
      </c>
      <c r="AL1880" s="222">
        <v>769419.04</v>
      </c>
      <c r="AM1880" s="221">
        <f t="shared" ref="AM1880" si="1592">AM1881+AM1913+AM1942</f>
        <v>3572187.4800000004</v>
      </c>
      <c r="AN1880" s="153">
        <f t="shared" si="1581"/>
        <v>0</v>
      </c>
      <c r="AO1880" s="154">
        <f t="shared" si="1582"/>
        <v>0</v>
      </c>
      <c r="AP1880" s="221">
        <v>3572187.4800000004</v>
      </c>
      <c r="AQ1880" s="223">
        <v>3572187.48</v>
      </c>
      <c r="AR1880" s="222">
        <f t="shared" ref="AR1880:AS1880" si="1593">AR1881+AR1913+AR1942</f>
        <v>0</v>
      </c>
      <c r="AS1880" s="221">
        <f t="shared" si="1593"/>
        <v>3572187.48</v>
      </c>
      <c r="AT1880" s="155"/>
      <c r="AU1880" s="156">
        <f t="shared" si="1577"/>
        <v>0</v>
      </c>
      <c r="AV1880" s="156">
        <f t="shared" si="1578"/>
        <v>-28219.922861252911</v>
      </c>
      <c r="AW1880" s="157"/>
      <c r="AX1880" s="150">
        <v>3600407.4028612534</v>
      </c>
      <c r="AY1880" s="221">
        <f t="shared" ref="AY1880:BA1880" si="1594">AY1881+AY1913+AY1942</f>
        <v>1551063.17</v>
      </c>
      <c r="AZ1880" s="221">
        <f t="shared" si="1594"/>
        <v>1978603.6488126866</v>
      </c>
      <c r="BA1880" s="221">
        <f t="shared" si="1594"/>
        <v>3529666.8188126865</v>
      </c>
      <c r="BB1880" s="254">
        <v>5</v>
      </c>
      <c r="BC1880" s="255" t="s">
        <v>766</v>
      </c>
      <c r="BD1880" s="255" t="s">
        <v>647</v>
      </c>
      <c r="BE1880" s="173" t="s">
        <v>630</v>
      </c>
      <c r="BF1880" s="255" t="s">
        <v>630</v>
      </c>
      <c r="BG1880" s="175" t="s">
        <v>108</v>
      </c>
      <c r="BH1880" s="224">
        <f>BH1881+BH1913+BH1942</f>
        <v>3572187.48</v>
      </c>
      <c r="BI1880" s="254"/>
      <c r="BJ1880" s="255" t="s">
        <v>9508</v>
      </c>
      <c r="BK1880" s="255" t="s">
        <v>603</v>
      </c>
      <c r="BL1880" s="182" t="s">
        <v>9509</v>
      </c>
      <c r="BM1880" s="337">
        <f>BM1881+BM1913+BM1942</f>
        <v>3572187.48</v>
      </c>
      <c r="BN1880" s="160"/>
      <c r="BO1880" s="161">
        <f t="shared" si="1584"/>
        <v>0</v>
      </c>
      <c r="BP1880" s="161"/>
    </row>
    <row r="1881" spans="1:68" ht="51">
      <c r="A1881" s="256" t="s">
        <v>604</v>
      </c>
      <c r="B1881" s="184"/>
      <c r="C1881" s="185" t="s">
        <v>109</v>
      </c>
      <c r="D1881" s="146" t="s">
        <v>4692</v>
      </c>
      <c r="E1881" s="185" t="s">
        <v>109</v>
      </c>
      <c r="F1881" s="188">
        <v>2756502.12</v>
      </c>
      <c r="G1881" s="187">
        <v>1637339.89</v>
      </c>
      <c r="H1881" s="187">
        <v>-126962.13</v>
      </c>
      <c r="I1881" s="187">
        <v>1510377.7599999998</v>
      </c>
      <c r="J1881" s="188">
        <f>SUM(J1882:J1912)</f>
        <v>630263.86</v>
      </c>
      <c r="K1881" s="188">
        <f>SUM(K1882:K1912)</f>
        <v>222600.28</v>
      </c>
      <c r="L1881" s="188">
        <f t="shared" si="1585"/>
        <v>852864.14</v>
      </c>
      <c r="M1881" s="188">
        <v>1305483.1100000001</v>
      </c>
      <c r="N1881" s="188">
        <v>386083.81978592032</v>
      </c>
      <c r="O1881" s="188">
        <v>1691566.9297859203</v>
      </c>
      <c r="P1881" s="299">
        <f t="shared" ref="P1881:R1881" si="1595">SUM(P1882:P1912)</f>
        <v>1920379.8299999998</v>
      </c>
      <c r="Q1881" s="299">
        <f t="shared" si="1595"/>
        <v>602891.25719174603</v>
      </c>
      <c r="R1881" s="299">
        <f t="shared" si="1595"/>
        <v>2523271.0871917456</v>
      </c>
      <c r="S1881" s="150">
        <f t="shared" si="1583"/>
        <v>3364361.449588994</v>
      </c>
      <c r="T1881" s="347">
        <f>SUM(T1882:T1912)</f>
        <v>3439559.81</v>
      </c>
      <c r="U1881" s="299">
        <f t="shared" ref="U1881:W1881" si="1596">SUM(U1882:U1912)</f>
        <v>2742609.2900000005</v>
      </c>
      <c r="V1881" s="226">
        <f t="shared" si="1596"/>
        <v>724705.50958899455</v>
      </c>
      <c r="W1881" s="299">
        <f t="shared" si="1596"/>
        <v>3467314.7995889951</v>
      </c>
      <c r="X1881" s="299">
        <v>2742609.2900000005</v>
      </c>
      <c r="Y1881" s="299">
        <v>724705.50958899455</v>
      </c>
      <c r="Z1881" s="299">
        <v>3467314.7995889951</v>
      </c>
      <c r="AA1881" s="299">
        <f t="shared" si="1579"/>
        <v>-27754.989588994533</v>
      </c>
      <c r="AB1881" s="299">
        <v>2742609.2900000005</v>
      </c>
      <c r="AC1881" s="226">
        <v>696950.52</v>
      </c>
      <c r="AD1881" s="299">
        <f t="shared" ref="AD1881" si="1597">SUM(AD1882:AD1912)</f>
        <v>3439559.8100000005</v>
      </c>
      <c r="AE1881" s="299">
        <v>3439559.8100000005</v>
      </c>
      <c r="AF1881" s="169" t="s">
        <v>4680</v>
      </c>
      <c r="AG1881" s="301">
        <v>2742609.2900000005</v>
      </c>
      <c r="AH1881" s="226">
        <v>696950.52</v>
      </c>
      <c r="AI1881" s="299">
        <v>3439559.8100000005</v>
      </c>
      <c r="AJ1881" s="169">
        <f t="shared" si="1580"/>
        <v>0</v>
      </c>
      <c r="AK1881" s="301">
        <v>2742609.2900000005</v>
      </c>
      <c r="AL1881" s="226">
        <v>696950.52</v>
      </c>
      <c r="AM1881" s="299">
        <f t="shared" ref="AM1881" si="1598">SUM(AM1882:AM1912)</f>
        <v>3439559.8100000005</v>
      </c>
      <c r="AN1881" s="153">
        <f t="shared" si="1581"/>
        <v>0</v>
      </c>
      <c r="AO1881" s="154">
        <f t="shared" si="1582"/>
        <v>0</v>
      </c>
      <c r="AP1881" s="299">
        <v>3439559.8100000005</v>
      </c>
      <c r="AQ1881" s="301">
        <v>3439559.81</v>
      </c>
      <c r="AR1881" s="226">
        <f t="shared" ref="AR1881:AS1881" si="1599">SUM(AR1882:AR1912)</f>
        <v>0</v>
      </c>
      <c r="AS1881" s="299">
        <f t="shared" si="1599"/>
        <v>3439559.81</v>
      </c>
      <c r="AT1881" s="155"/>
      <c r="AU1881" s="156">
        <f t="shared" si="1577"/>
        <v>0</v>
      </c>
      <c r="AV1881" s="156">
        <f t="shared" si="1578"/>
        <v>-27754.989588994533</v>
      </c>
      <c r="AW1881" s="157"/>
      <c r="AX1881" s="150">
        <v>3467314.7995889951</v>
      </c>
      <c r="AY1881" s="299">
        <f t="shared" ref="AY1881:BA1881" si="1600">SUM(AY1882:AY1912)</f>
        <v>1506316.4</v>
      </c>
      <c r="AZ1881" s="299">
        <f t="shared" si="1600"/>
        <v>1876817.4595718407</v>
      </c>
      <c r="BA1881" s="299">
        <f t="shared" si="1600"/>
        <v>3383133.8595718406</v>
      </c>
      <c r="BB1881" s="192">
        <v>5</v>
      </c>
      <c r="BC1881" s="256" t="s">
        <v>766</v>
      </c>
      <c r="BD1881" s="256" t="s">
        <v>647</v>
      </c>
      <c r="BE1881" s="256" t="s">
        <v>632</v>
      </c>
      <c r="BF1881" s="256" t="s">
        <v>630</v>
      </c>
      <c r="BG1881" s="185" t="s">
        <v>109</v>
      </c>
      <c r="BH1881" s="215">
        <f>BH1882+BH1884+BH1892+BH1893+BH1894+BH1895+BH1909+BH1910+BH1911+BH1912</f>
        <v>3439559.81</v>
      </c>
      <c r="BI1881" s="192"/>
      <c r="BJ1881" s="256" t="s">
        <v>9510</v>
      </c>
      <c r="BK1881" s="256" t="s">
        <v>604</v>
      </c>
      <c r="BL1881" s="238" t="s">
        <v>9511</v>
      </c>
      <c r="BM1881" s="338">
        <f>BM1882+BM1884+BM1892+BM1893+BM1894+BM1895+BM1909+BM1910+BM1911+BM1912</f>
        <v>3439559.81</v>
      </c>
      <c r="BN1881" s="160"/>
      <c r="BO1881" s="161">
        <f t="shared" si="1584"/>
        <v>0</v>
      </c>
      <c r="BP1881" s="161"/>
    </row>
    <row r="1882" spans="1:68" ht="51">
      <c r="A1882" s="206" t="s">
        <v>604</v>
      </c>
      <c r="B1882" s="195" t="s">
        <v>9512</v>
      </c>
      <c r="C1882" s="196" t="s">
        <v>9513</v>
      </c>
      <c r="D1882" s="146" t="s">
        <v>4692</v>
      </c>
      <c r="E1882" s="196" t="s">
        <v>9513</v>
      </c>
      <c r="F1882" s="150">
        <v>1510377.89</v>
      </c>
      <c r="G1882" s="209">
        <v>0</v>
      </c>
      <c r="H1882" s="209">
        <v>0</v>
      </c>
      <c r="I1882" s="209">
        <v>0</v>
      </c>
      <c r="J1882" s="150">
        <v>373514.47</v>
      </c>
      <c r="K1882" s="150">
        <v>8208.380000000001</v>
      </c>
      <c r="L1882" s="150">
        <f t="shared" si="1585"/>
        <v>381722.85</v>
      </c>
      <c r="M1882" s="150">
        <v>771508.02</v>
      </c>
      <c r="N1882" s="150">
        <v>18209.858449999942</v>
      </c>
      <c r="O1882" s="150">
        <v>789717.87844999996</v>
      </c>
      <c r="P1882" s="150">
        <v>1181269.04</v>
      </c>
      <c r="Q1882" s="150">
        <v>28777.130000000005</v>
      </c>
      <c r="R1882" s="313">
        <f t="shared" ref="R1882:R1912" si="1601">P1882+Q1882</f>
        <v>1210046.17</v>
      </c>
      <c r="S1882" s="150">
        <f t="shared" si="1583"/>
        <v>1613394.8933333333</v>
      </c>
      <c r="T1882" s="150">
        <v>1692684.4</v>
      </c>
      <c r="U1882" s="150">
        <v>1747212.86</v>
      </c>
      <c r="V1882" s="199">
        <v>0</v>
      </c>
      <c r="W1882" s="150">
        <f t="shared" ref="W1882:W1912" si="1602">U1882+V1882</f>
        <v>1747212.86</v>
      </c>
      <c r="X1882" s="150">
        <v>1747212.86</v>
      </c>
      <c r="Y1882" s="150">
        <v>0</v>
      </c>
      <c r="Z1882" s="150">
        <v>1747212.86</v>
      </c>
      <c r="AA1882" s="150">
        <f t="shared" si="1579"/>
        <v>-54528.459999999963</v>
      </c>
      <c r="AB1882" s="150">
        <v>1747212.86</v>
      </c>
      <c r="AC1882" s="199">
        <v>-54528.46</v>
      </c>
      <c r="AD1882" s="150">
        <f t="shared" ref="AD1882:AD1912" si="1603">AB1882+AC1882</f>
        <v>1692684.4000000001</v>
      </c>
      <c r="AE1882" s="150">
        <v>1692684.4000000001</v>
      </c>
      <c r="AF1882" s="169" t="s">
        <v>4680</v>
      </c>
      <c r="AG1882" s="201">
        <v>1747212.86</v>
      </c>
      <c r="AH1882" s="199">
        <v>-54528.46</v>
      </c>
      <c r="AI1882" s="150">
        <v>1692684.4000000001</v>
      </c>
      <c r="AJ1882" s="169">
        <f t="shared" si="1580"/>
        <v>0</v>
      </c>
      <c r="AK1882" s="201">
        <v>1747212.86</v>
      </c>
      <c r="AL1882" s="199">
        <v>-54528.46</v>
      </c>
      <c r="AM1882" s="150">
        <f t="shared" ref="AM1882:AM1912" si="1604">AK1882+AL1882</f>
        <v>1692684.4000000001</v>
      </c>
      <c r="AN1882" s="153">
        <f t="shared" si="1581"/>
        <v>0</v>
      </c>
      <c r="AO1882" s="154">
        <f t="shared" si="1582"/>
        <v>0</v>
      </c>
      <c r="AP1882" s="150">
        <v>1692684.4000000001</v>
      </c>
      <c r="AQ1882" s="201">
        <v>1692684.4</v>
      </c>
      <c r="AR1882" s="199"/>
      <c r="AS1882" s="150">
        <f t="shared" ref="AS1882:AS1912" si="1605">AQ1882+AR1882</f>
        <v>1692684.4</v>
      </c>
      <c r="AT1882" s="155"/>
      <c r="AU1882" s="156">
        <f t="shared" si="1577"/>
        <v>0</v>
      </c>
      <c r="AV1882" s="156">
        <f t="shared" si="1578"/>
        <v>-54528.459999999963</v>
      </c>
      <c r="AW1882" s="157"/>
      <c r="AX1882" s="150">
        <v>1747212.86</v>
      </c>
      <c r="AY1882" s="150">
        <v>904650.56</v>
      </c>
      <c r="AZ1882" s="150">
        <f>BA1882-AY1882</f>
        <v>674785.19689999986</v>
      </c>
      <c r="BA1882" s="150">
        <v>1579435.7568999999</v>
      </c>
      <c r="BB1882" s="202">
        <v>5</v>
      </c>
      <c r="BC1882" s="202" t="s">
        <v>766</v>
      </c>
      <c r="BD1882" s="202" t="s">
        <v>647</v>
      </c>
      <c r="BE1882" s="202" t="s">
        <v>632</v>
      </c>
      <c r="BF1882" s="202" t="s">
        <v>632</v>
      </c>
      <c r="BG1882" s="231" t="s">
        <v>9514</v>
      </c>
      <c r="BH1882" s="216">
        <f>SUM(AS1882:AS1883)</f>
        <v>1692684.4</v>
      </c>
      <c r="BI1882" s="205"/>
      <c r="BJ1882" s="206" t="s">
        <v>9510</v>
      </c>
      <c r="BK1882" s="206" t="s">
        <v>604</v>
      </c>
      <c r="BL1882" s="207" t="s">
        <v>9511</v>
      </c>
      <c r="BM1882" s="208">
        <f>BH1882</f>
        <v>1692684.4</v>
      </c>
      <c r="BN1882" s="160"/>
      <c r="BO1882" s="161">
        <f t="shared" si="1584"/>
        <v>0</v>
      </c>
      <c r="BP1882" s="161"/>
    </row>
    <row r="1883" spans="1:68" ht="51">
      <c r="A1883" s="210"/>
      <c r="B1883" s="195" t="s">
        <v>9515</v>
      </c>
      <c r="C1883" s="196" t="s">
        <v>9516</v>
      </c>
      <c r="D1883" s="146" t="s">
        <v>4692</v>
      </c>
      <c r="E1883" s="196" t="s">
        <v>9517</v>
      </c>
      <c r="F1883" s="150">
        <v>0</v>
      </c>
      <c r="G1883" s="209">
        <v>457015.54</v>
      </c>
      <c r="H1883" s="209">
        <v>64379.029809196429</v>
      </c>
      <c r="I1883" s="209">
        <v>521394.5698091964</v>
      </c>
      <c r="J1883" s="150">
        <v>0</v>
      </c>
      <c r="K1883" s="150">
        <v>0</v>
      </c>
      <c r="L1883" s="150">
        <f t="shared" si="1585"/>
        <v>0</v>
      </c>
      <c r="M1883" s="150">
        <v>0</v>
      </c>
      <c r="N1883" s="150">
        <v>0</v>
      </c>
      <c r="O1883" s="150">
        <v>0</v>
      </c>
      <c r="P1883" s="150">
        <v>0</v>
      </c>
      <c r="Q1883" s="150">
        <v>0</v>
      </c>
      <c r="R1883" s="313">
        <f t="shared" si="1601"/>
        <v>0</v>
      </c>
      <c r="S1883" s="150">
        <f t="shared" si="1583"/>
        <v>0</v>
      </c>
      <c r="T1883" s="150">
        <v>0</v>
      </c>
      <c r="U1883" s="150">
        <v>0</v>
      </c>
      <c r="V1883" s="199">
        <v>0</v>
      </c>
      <c r="W1883" s="150">
        <f t="shared" si="1602"/>
        <v>0</v>
      </c>
      <c r="X1883" s="150">
        <v>0</v>
      </c>
      <c r="Y1883" s="150">
        <v>0</v>
      </c>
      <c r="Z1883" s="150">
        <v>0</v>
      </c>
      <c r="AA1883" s="150">
        <f t="shared" si="1579"/>
        <v>0</v>
      </c>
      <c r="AB1883" s="150">
        <v>0</v>
      </c>
      <c r="AC1883" s="199">
        <v>0</v>
      </c>
      <c r="AD1883" s="150">
        <f t="shared" si="1603"/>
        <v>0</v>
      </c>
      <c r="AE1883" s="150">
        <v>0</v>
      </c>
      <c r="AF1883" s="169" t="s">
        <v>4680</v>
      </c>
      <c r="AG1883" s="201">
        <v>0</v>
      </c>
      <c r="AH1883" s="199">
        <v>0</v>
      </c>
      <c r="AI1883" s="150">
        <v>0</v>
      </c>
      <c r="AJ1883" s="169">
        <f t="shared" si="1580"/>
        <v>0</v>
      </c>
      <c r="AK1883" s="201">
        <v>0</v>
      </c>
      <c r="AL1883" s="199">
        <v>0</v>
      </c>
      <c r="AM1883" s="150">
        <f t="shared" si="1604"/>
        <v>0</v>
      </c>
      <c r="AN1883" s="153">
        <f t="shared" si="1581"/>
        <v>0</v>
      </c>
      <c r="AO1883" s="154">
        <f t="shared" si="1582"/>
        <v>0</v>
      </c>
      <c r="AP1883" s="150">
        <v>0</v>
      </c>
      <c r="AQ1883" s="201">
        <v>0</v>
      </c>
      <c r="AR1883" s="199">
        <v>0</v>
      </c>
      <c r="AS1883" s="150">
        <f t="shared" si="1605"/>
        <v>0</v>
      </c>
      <c r="AT1883" s="155"/>
      <c r="AU1883" s="156">
        <f t="shared" si="1577"/>
        <v>0</v>
      </c>
      <c r="AV1883" s="156">
        <f t="shared" si="1578"/>
        <v>0</v>
      </c>
      <c r="AW1883" s="157"/>
      <c r="AX1883" s="150">
        <v>0</v>
      </c>
      <c r="AY1883" s="150">
        <v>0</v>
      </c>
      <c r="AZ1883" s="150">
        <f t="shared" ref="AZ1883:AZ1912" si="1606">BA1883-AY1883</f>
        <v>0</v>
      </c>
      <c r="BA1883" s="150">
        <v>0</v>
      </c>
      <c r="BB1883" s="210"/>
      <c r="BC1883" s="210"/>
      <c r="BD1883" s="210"/>
      <c r="BE1883" s="210"/>
      <c r="BF1883" s="210"/>
      <c r="BG1883" s="210"/>
      <c r="BH1883" s="217"/>
      <c r="BI1883" s="210"/>
      <c r="BJ1883" s="210"/>
      <c r="BK1883" s="210"/>
      <c r="BL1883" s="210"/>
      <c r="BM1883" s="208"/>
      <c r="BN1883" s="160"/>
      <c r="BO1883" s="161">
        <f t="shared" si="1584"/>
        <v>0</v>
      </c>
      <c r="BP1883" s="161"/>
    </row>
    <row r="1884" spans="1:68" ht="38.25">
      <c r="A1884" s="206" t="s">
        <v>604</v>
      </c>
      <c r="B1884" s="195" t="s">
        <v>9518</v>
      </c>
      <c r="C1884" s="196" t="s">
        <v>9519</v>
      </c>
      <c r="D1884" s="146" t="s">
        <v>4692</v>
      </c>
      <c r="E1884" s="196" t="s">
        <v>9519</v>
      </c>
      <c r="F1884" s="150">
        <v>521394.54</v>
      </c>
      <c r="G1884" s="209">
        <v>78281.11</v>
      </c>
      <c r="H1884" s="209">
        <v>0</v>
      </c>
      <c r="I1884" s="209">
        <v>78281.11</v>
      </c>
      <c r="J1884" s="150">
        <v>97898.66</v>
      </c>
      <c r="K1884" s="150">
        <v>35358.5</v>
      </c>
      <c r="L1884" s="150">
        <f t="shared" si="1585"/>
        <v>133257.16</v>
      </c>
      <c r="M1884" s="150">
        <v>215037.78</v>
      </c>
      <c r="N1884" s="150">
        <v>58869.807785096142</v>
      </c>
      <c r="O1884" s="150">
        <v>273907.58778509614</v>
      </c>
      <c r="P1884" s="150">
        <v>332689.67</v>
      </c>
      <c r="Q1884" s="150">
        <v>93690.52771537604</v>
      </c>
      <c r="R1884" s="313">
        <f t="shared" si="1601"/>
        <v>426380.19771537604</v>
      </c>
      <c r="S1884" s="150">
        <f t="shared" si="1583"/>
        <v>568506.93028716801</v>
      </c>
      <c r="T1884" s="150">
        <v>621924.94999999995</v>
      </c>
      <c r="U1884" s="150">
        <v>489837.78</v>
      </c>
      <c r="V1884" s="199">
        <v>78669.150287167984</v>
      </c>
      <c r="W1884" s="150">
        <f t="shared" si="1602"/>
        <v>568506.93028716801</v>
      </c>
      <c r="X1884" s="150">
        <v>489837.78</v>
      </c>
      <c r="Y1884" s="150">
        <v>78669.150287167984</v>
      </c>
      <c r="Z1884" s="150">
        <v>568506.93028716801</v>
      </c>
      <c r="AA1884" s="150">
        <f t="shared" si="1579"/>
        <v>53418.019712831941</v>
      </c>
      <c r="AB1884" s="150">
        <v>489837.78</v>
      </c>
      <c r="AC1884" s="199">
        <v>132087.16999999998</v>
      </c>
      <c r="AD1884" s="150">
        <f t="shared" si="1603"/>
        <v>621924.94999999995</v>
      </c>
      <c r="AE1884" s="150">
        <v>621924.94999999995</v>
      </c>
      <c r="AF1884" s="169" t="s">
        <v>4680</v>
      </c>
      <c r="AG1884" s="201">
        <v>489837.78</v>
      </c>
      <c r="AH1884" s="199">
        <v>132087.16999999998</v>
      </c>
      <c r="AI1884" s="150">
        <v>621924.94999999995</v>
      </c>
      <c r="AJ1884" s="169">
        <f t="shared" si="1580"/>
        <v>0</v>
      </c>
      <c r="AK1884" s="201">
        <v>489837.78</v>
      </c>
      <c r="AL1884" s="199">
        <v>132087.16999999998</v>
      </c>
      <c r="AM1884" s="150">
        <f t="shared" si="1604"/>
        <v>621924.94999999995</v>
      </c>
      <c r="AN1884" s="153">
        <f t="shared" si="1581"/>
        <v>0</v>
      </c>
      <c r="AO1884" s="154">
        <f t="shared" si="1582"/>
        <v>0</v>
      </c>
      <c r="AP1884" s="150">
        <v>621924.94999999995</v>
      </c>
      <c r="AQ1884" s="201">
        <v>621924.94999999995</v>
      </c>
      <c r="AR1884" s="199"/>
      <c r="AS1884" s="150">
        <f t="shared" si="1605"/>
        <v>621924.94999999995</v>
      </c>
      <c r="AT1884" s="155"/>
      <c r="AU1884" s="156">
        <f t="shared" si="1577"/>
        <v>0</v>
      </c>
      <c r="AV1884" s="156">
        <f t="shared" si="1578"/>
        <v>53418.019712831941</v>
      </c>
      <c r="AW1884" s="157"/>
      <c r="AX1884" s="150">
        <v>568506.93028716801</v>
      </c>
      <c r="AY1884" s="150">
        <v>253742.93</v>
      </c>
      <c r="AZ1884" s="150">
        <f t="shared" si="1606"/>
        <v>294072.24557019229</v>
      </c>
      <c r="BA1884" s="150">
        <v>547815.17557019228</v>
      </c>
      <c r="BB1884" s="202">
        <v>5</v>
      </c>
      <c r="BC1884" s="202" t="s">
        <v>766</v>
      </c>
      <c r="BD1884" s="202" t="s">
        <v>647</v>
      </c>
      <c r="BE1884" s="202" t="s">
        <v>632</v>
      </c>
      <c r="BF1884" s="202" t="s">
        <v>714</v>
      </c>
      <c r="BG1884" s="231" t="s">
        <v>9520</v>
      </c>
      <c r="BH1884" s="216">
        <f>SUM(AS1884:AS1891)</f>
        <v>717072.04</v>
      </c>
      <c r="BI1884" s="205"/>
      <c r="BJ1884" s="206" t="s">
        <v>9510</v>
      </c>
      <c r="BK1884" s="206" t="s">
        <v>604</v>
      </c>
      <c r="BL1884" s="207" t="s">
        <v>9511</v>
      </c>
      <c r="BM1884" s="208">
        <f>BH1884</f>
        <v>717072.04</v>
      </c>
      <c r="BN1884" s="160"/>
      <c r="BO1884" s="161"/>
      <c r="BP1884" s="161"/>
    </row>
    <row r="1885" spans="1:68" ht="38.25">
      <c r="A1885" s="210"/>
      <c r="B1885" s="195" t="s">
        <v>9521</v>
      </c>
      <c r="C1885" s="196" t="s">
        <v>9522</v>
      </c>
      <c r="D1885" s="146" t="s">
        <v>4692</v>
      </c>
      <c r="E1885" s="196" t="s">
        <v>9522</v>
      </c>
      <c r="F1885" s="150">
        <v>78281.11</v>
      </c>
      <c r="G1885" s="209">
        <v>739.64</v>
      </c>
      <c r="H1885" s="209">
        <v>0</v>
      </c>
      <c r="I1885" s="209">
        <v>739.64</v>
      </c>
      <c r="J1885" s="150">
        <v>18114.03</v>
      </c>
      <c r="K1885" s="150">
        <v>0</v>
      </c>
      <c r="L1885" s="150">
        <f t="shared" si="1585"/>
        <v>18114.03</v>
      </c>
      <c r="M1885" s="150">
        <v>37511.58</v>
      </c>
      <c r="N1885" s="150">
        <v>0</v>
      </c>
      <c r="O1885" s="150">
        <v>37511.58</v>
      </c>
      <c r="P1885" s="150">
        <v>57259.29</v>
      </c>
      <c r="Q1885" s="150">
        <v>0</v>
      </c>
      <c r="R1885" s="313">
        <f t="shared" si="1601"/>
        <v>57259.29</v>
      </c>
      <c r="S1885" s="150">
        <f t="shared" si="1583"/>
        <v>76345.72</v>
      </c>
      <c r="T1885" s="150">
        <v>84495.37</v>
      </c>
      <c r="U1885" s="150">
        <v>84495.37</v>
      </c>
      <c r="V1885" s="199">
        <v>0</v>
      </c>
      <c r="W1885" s="150">
        <f t="shared" si="1602"/>
        <v>84495.37</v>
      </c>
      <c r="X1885" s="150">
        <v>84495.37</v>
      </c>
      <c r="Y1885" s="150">
        <v>0</v>
      </c>
      <c r="Z1885" s="150">
        <v>84495.37</v>
      </c>
      <c r="AA1885" s="150">
        <f t="shared" si="1579"/>
        <v>0</v>
      </c>
      <c r="AB1885" s="150">
        <v>84495.37</v>
      </c>
      <c r="AC1885" s="199">
        <v>0</v>
      </c>
      <c r="AD1885" s="150">
        <f t="shared" si="1603"/>
        <v>84495.37</v>
      </c>
      <c r="AE1885" s="150">
        <v>84495.37</v>
      </c>
      <c r="AF1885" s="169" t="s">
        <v>4680</v>
      </c>
      <c r="AG1885" s="201">
        <v>84495.37</v>
      </c>
      <c r="AH1885" s="199">
        <v>0</v>
      </c>
      <c r="AI1885" s="150">
        <v>84495.37</v>
      </c>
      <c r="AJ1885" s="169">
        <f t="shared" si="1580"/>
        <v>0</v>
      </c>
      <c r="AK1885" s="201">
        <v>84495.37</v>
      </c>
      <c r="AL1885" s="199">
        <v>0</v>
      </c>
      <c r="AM1885" s="150">
        <f t="shared" si="1604"/>
        <v>84495.37</v>
      </c>
      <c r="AN1885" s="153">
        <f t="shared" si="1581"/>
        <v>0</v>
      </c>
      <c r="AO1885" s="154">
        <f t="shared" si="1582"/>
        <v>0</v>
      </c>
      <c r="AP1885" s="150">
        <v>84495.37</v>
      </c>
      <c r="AQ1885" s="201">
        <v>84495.37</v>
      </c>
      <c r="AR1885" s="199">
        <v>0</v>
      </c>
      <c r="AS1885" s="150">
        <f t="shared" si="1605"/>
        <v>84495.37</v>
      </c>
      <c r="AT1885" s="155"/>
      <c r="AU1885" s="156">
        <f t="shared" si="1577"/>
        <v>0</v>
      </c>
      <c r="AV1885" s="156">
        <f t="shared" si="1578"/>
        <v>0</v>
      </c>
      <c r="AW1885" s="157"/>
      <c r="AX1885" s="150">
        <v>84495.37</v>
      </c>
      <c r="AY1885" s="150">
        <v>43999.67</v>
      </c>
      <c r="AZ1885" s="150">
        <f t="shared" si="1606"/>
        <v>31023.490000000005</v>
      </c>
      <c r="BA1885" s="150">
        <v>75023.16</v>
      </c>
      <c r="BB1885" s="210"/>
      <c r="BC1885" s="210"/>
      <c r="BD1885" s="210"/>
      <c r="BE1885" s="210"/>
      <c r="BF1885" s="210"/>
      <c r="BG1885" s="210"/>
      <c r="BH1885" s="217"/>
      <c r="BI1885" s="210"/>
      <c r="BJ1885" s="210"/>
      <c r="BK1885" s="210"/>
      <c r="BL1885" s="210"/>
      <c r="BM1885" s="208"/>
      <c r="BN1885" s="160"/>
      <c r="BO1885" s="161"/>
      <c r="BP1885" s="161"/>
    </row>
    <row r="1886" spans="1:68" ht="38.25">
      <c r="A1886" s="210"/>
      <c r="B1886" s="195" t="s">
        <v>9523</v>
      </c>
      <c r="C1886" s="196" t="s">
        <v>9524</v>
      </c>
      <c r="D1886" s="146" t="s">
        <v>4692</v>
      </c>
      <c r="E1886" s="196" t="s">
        <v>9524</v>
      </c>
      <c r="F1886" s="150">
        <v>739.64</v>
      </c>
      <c r="G1886" s="209">
        <v>0</v>
      </c>
      <c r="H1886" s="209">
        <v>0</v>
      </c>
      <c r="I1886" s="209">
        <v>0</v>
      </c>
      <c r="J1886" s="150">
        <v>164.42</v>
      </c>
      <c r="K1886" s="150">
        <v>0</v>
      </c>
      <c r="L1886" s="150">
        <f t="shared" si="1585"/>
        <v>164.42</v>
      </c>
      <c r="M1886" s="150">
        <v>344.96</v>
      </c>
      <c r="N1886" s="150">
        <v>0</v>
      </c>
      <c r="O1886" s="150">
        <v>344.96</v>
      </c>
      <c r="P1886" s="150">
        <v>520.66</v>
      </c>
      <c r="Q1886" s="150">
        <v>0</v>
      </c>
      <c r="R1886" s="313">
        <f t="shared" si="1601"/>
        <v>520.66</v>
      </c>
      <c r="S1886" s="150">
        <f t="shared" si="1583"/>
        <v>694.21333333333337</v>
      </c>
      <c r="T1886" s="150">
        <v>734.72</v>
      </c>
      <c r="U1886" s="150">
        <v>734.72</v>
      </c>
      <c r="V1886" s="199">
        <v>0</v>
      </c>
      <c r="W1886" s="150">
        <f t="shared" si="1602"/>
        <v>734.72</v>
      </c>
      <c r="X1886" s="150">
        <v>734.72</v>
      </c>
      <c r="Y1886" s="150">
        <v>0</v>
      </c>
      <c r="Z1886" s="150">
        <v>734.72</v>
      </c>
      <c r="AA1886" s="150">
        <f t="shared" si="1579"/>
        <v>0</v>
      </c>
      <c r="AB1886" s="150">
        <v>734.72</v>
      </c>
      <c r="AC1886" s="199">
        <v>0</v>
      </c>
      <c r="AD1886" s="150">
        <f t="shared" si="1603"/>
        <v>734.72</v>
      </c>
      <c r="AE1886" s="150">
        <v>734.72</v>
      </c>
      <c r="AF1886" s="169" t="s">
        <v>4680</v>
      </c>
      <c r="AG1886" s="201">
        <v>734.72</v>
      </c>
      <c r="AH1886" s="199">
        <v>0</v>
      </c>
      <c r="AI1886" s="150">
        <v>734.72</v>
      </c>
      <c r="AJ1886" s="169">
        <f t="shared" si="1580"/>
        <v>0</v>
      </c>
      <c r="AK1886" s="201">
        <v>734.72</v>
      </c>
      <c r="AL1886" s="199">
        <v>0</v>
      </c>
      <c r="AM1886" s="150">
        <f t="shared" si="1604"/>
        <v>734.72</v>
      </c>
      <c r="AN1886" s="153">
        <f t="shared" si="1581"/>
        <v>0</v>
      </c>
      <c r="AO1886" s="154">
        <f t="shared" si="1582"/>
        <v>0</v>
      </c>
      <c r="AP1886" s="150">
        <v>734.72</v>
      </c>
      <c r="AQ1886" s="201">
        <v>734.72</v>
      </c>
      <c r="AR1886" s="199">
        <v>0</v>
      </c>
      <c r="AS1886" s="150">
        <f t="shared" si="1605"/>
        <v>734.72</v>
      </c>
      <c r="AT1886" s="155"/>
      <c r="AU1886" s="156">
        <f t="shared" si="1577"/>
        <v>0</v>
      </c>
      <c r="AV1886" s="156">
        <f t="shared" si="1578"/>
        <v>0</v>
      </c>
      <c r="AW1886" s="157"/>
      <c r="AX1886" s="150">
        <v>734.72</v>
      </c>
      <c r="AY1886" s="150">
        <v>403.26</v>
      </c>
      <c r="AZ1886" s="150">
        <f t="shared" si="1606"/>
        <v>286.65999999999997</v>
      </c>
      <c r="BA1886" s="150">
        <v>689.92</v>
      </c>
      <c r="BB1886" s="210"/>
      <c r="BC1886" s="210"/>
      <c r="BD1886" s="210"/>
      <c r="BE1886" s="210"/>
      <c r="BF1886" s="210"/>
      <c r="BG1886" s="210"/>
      <c r="BH1886" s="217"/>
      <c r="BI1886" s="210"/>
      <c r="BJ1886" s="210"/>
      <c r="BK1886" s="210"/>
      <c r="BL1886" s="210"/>
      <c r="BM1886" s="208"/>
      <c r="BN1886" s="160"/>
      <c r="BO1886" s="161"/>
      <c r="BP1886" s="161"/>
    </row>
    <row r="1887" spans="1:68" ht="38.25">
      <c r="A1887" s="210"/>
      <c r="B1887" s="195" t="s">
        <v>9525</v>
      </c>
      <c r="C1887" s="196" t="s">
        <v>9526</v>
      </c>
      <c r="D1887" s="146" t="s">
        <v>4692</v>
      </c>
      <c r="E1887" s="196" t="s">
        <v>9526</v>
      </c>
      <c r="F1887" s="150">
        <v>0</v>
      </c>
      <c r="G1887" s="209">
        <v>0</v>
      </c>
      <c r="H1887" s="209">
        <v>8909.16</v>
      </c>
      <c r="I1887" s="209">
        <v>8909.16</v>
      </c>
      <c r="J1887" s="150">
        <v>0</v>
      </c>
      <c r="K1887" s="150">
        <v>0</v>
      </c>
      <c r="L1887" s="150">
        <f t="shared" si="1585"/>
        <v>0</v>
      </c>
      <c r="M1887" s="150">
        <v>0</v>
      </c>
      <c r="N1887" s="150">
        <v>0</v>
      </c>
      <c r="O1887" s="150">
        <v>0</v>
      </c>
      <c r="P1887" s="150">
        <v>0</v>
      </c>
      <c r="Q1887" s="150">
        <v>0</v>
      </c>
      <c r="R1887" s="313">
        <f t="shared" si="1601"/>
        <v>0</v>
      </c>
      <c r="S1887" s="150">
        <f t="shared" si="1583"/>
        <v>0</v>
      </c>
      <c r="T1887" s="150">
        <v>0</v>
      </c>
      <c r="U1887" s="150">
        <v>0</v>
      </c>
      <c r="V1887" s="199">
        <v>0</v>
      </c>
      <c r="W1887" s="150">
        <f t="shared" si="1602"/>
        <v>0</v>
      </c>
      <c r="X1887" s="150">
        <v>0</v>
      </c>
      <c r="Y1887" s="150">
        <v>0</v>
      </c>
      <c r="Z1887" s="150">
        <v>0</v>
      </c>
      <c r="AA1887" s="150">
        <f t="shared" si="1579"/>
        <v>0</v>
      </c>
      <c r="AB1887" s="150">
        <v>0</v>
      </c>
      <c r="AC1887" s="199">
        <v>0</v>
      </c>
      <c r="AD1887" s="150">
        <f t="shared" si="1603"/>
        <v>0</v>
      </c>
      <c r="AE1887" s="150">
        <v>0</v>
      </c>
      <c r="AF1887" s="169" t="s">
        <v>4680</v>
      </c>
      <c r="AG1887" s="201">
        <v>0</v>
      </c>
      <c r="AH1887" s="199">
        <v>0</v>
      </c>
      <c r="AI1887" s="150">
        <v>0</v>
      </c>
      <c r="AJ1887" s="169">
        <f t="shared" si="1580"/>
        <v>0</v>
      </c>
      <c r="AK1887" s="201">
        <v>0</v>
      </c>
      <c r="AL1887" s="199">
        <v>0</v>
      </c>
      <c r="AM1887" s="150">
        <f t="shared" si="1604"/>
        <v>0</v>
      </c>
      <c r="AN1887" s="153">
        <f t="shared" si="1581"/>
        <v>0</v>
      </c>
      <c r="AO1887" s="154">
        <f t="shared" si="1582"/>
        <v>0</v>
      </c>
      <c r="AP1887" s="150">
        <v>0</v>
      </c>
      <c r="AQ1887" s="201">
        <v>0</v>
      </c>
      <c r="AR1887" s="199">
        <v>0</v>
      </c>
      <c r="AS1887" s="150">
        <f t="shared" si="1605"/>
        <v>0</v>
      </c>
      <c r="AT1887" s="155"/>
      <c r="AU1887" s="156">
        <f t="shared" si="1577"/>
        <v>0</v>
      </c>
      <c r="AV1887" s="156">
        <f t="shared" si="1578"/>
        <v>0</v>
      </c>
      <c r="AW1887" s="157"/>
      <c r="AX1887" s="150">
        <v>0</v>
      </c>
      <c r="AY1887" s="150">
        <v>0</v>
      </c>
      <c r="AZ1887" s="150">
        <f t="shared" si="1606"/>
        <v>0</v>
      </c>
      <c r="BA1887" s="150">
        <v>0</v>
      </c>
      <c r="BB1887" s="210"/>
      <c r="BC1887" s="210"/>
      <c r="BD1887" s="210"/>
      <c r="BE1887" s="210"/>
      <c r="BF1887" s="210"/>
      <c r="BG1887" s="210"/>
      <c r="BH1887" s="217"/>
      <c r="BI1887" s="210"/>
      <c r="BJ1887" s="210"/>
      <c r="BK1887" s="210"/>
      <c r="BL1887" s="210"/>
      <c r="BM1887" s="208"/>
      <c r="BN1887" s="160"/>
      <c r="BO1887" s="161"/>
      <c r="BP1887" s="161"/>
    </row>
    <row r="1888" spans="1:68" ht="38.25">
      <c r="A1888" s="210"/>
      <c r="B1888" s="195" t="s">
        <v>9527</v>
      </c>
      <c r="C1888" s="196" t="s">
        <v>9528</v>
      </c>
      <c r="D1888" s="146" t="s">
        <v>4692</v>
      </c>
      <c r="E1888" s="196" t="s">
        <v>9528</v>
      </c>
      <c r="F1888" s="150">
        <v>8909</v>
      </c>
      <c r="G1888" s="209">
        <v>0</v>
      </c>
      <c r="H1888" s="209">
        <v>0</v>
      </c>
      <c r="I1888" s="209">
        <v>0</v>
      </c>
      <c r="J1888" s="150">
        <v>0</v>
      </c>
      <c r="K1888" s="150">
        <v>2227.29</v>
      </c>
      <c r="L1888" s="150">
        <f t="shared" si="1585"/>
        <v>2227.29</v>
      </c>
      <c r="M1888" s="150">
        <v>0</v>
      </c>
      <c r="N1888" s="150">
        <v>4454.5</v>
      </c>
      <c r="O1888" s="150">
        <v>4454.5</v>
      </c>
      <c r="P1888" s="150">
        <v>0</v>
      </c>
      <c r="Q1888" s="150">
        <v>0</v>
      </c>
      <c r="R1888" s="313">
        <f t="shared" si="1601"/>
        <v>0</v>
      </c>
      <c r="S1888" s="150">
        <f t="shared" si="1583"/>
        <v>0</v>
      </c>
      <c r="T1888" s="150">
        <v>9875.27</v>
      </c>
      <c r="U1888" s="150">
        <v>0</v>
      </c>
      <c r="V1888" s="199">
        <v>9875.27</v>
      </c>
      <c r="W1888" s="150">
        <f t="shared" si="1602"/>
        <v>9875.27</v>
      </c>
      <c r="X1888" s="150">
        <v>0</v>
      </c>
      <c r="Y1888" s="150">
        <v>9875.27</v>
      </c>
      <c r="Z1888" s="150">
        <v>9875.27</v>
      </c>
      <c r="AA1888" s="150">
        <f t="shared" si="1579"/>
        <v>0</v>
      </c>
      <c r="AB1888" s="150">
        <v>0</v>
      </c>
      <c r="AC1888" s="199">
        <v>9875.27</v>
      </c>
      <c r="AD1888" s="150">
        <f t="shared" si="1603"/>
        <v>9875.27</v>
      </c>
      <c r="AE1888" s="150">
        <v>9875.27</v>
      </c>
      <c r="AF1888" s="169" t="s">
        <v>4680</v>
      </c>
      <c r="AG1888" s="201">
        <v>0</v>
      </c>
      <c r="AH1888" s="199">
        <v>9875.27</v>
      </c>
      <c r="AI1888" s="150">
        <v>9875.27</v>
      </c>
      <c r="AJ1888" s="169">
        <f t="shared" si="1580"/>
        <v>0</v>
      </c>
      <c r="AK1888" s="201">
        <v>0</v>
      </c>
      <c r="AL1888" s="199">
        <v>9875.27</v>
      </c>
      <c r="AM1888" s="150">
        <f t="shared" si="1604"/>
        <v>9875.27</v>
      </c>
      <c r="AN1888" s="153">
        <f t="shared" si="1581"/>
        <v>0</v>
      </c>
      <c r="AO1888" s="154">
        <f t="shared" si="1582"/>
        <v>0</v>
      </c>
      <c r="AP1888" s="150">
        <v>9875.27</v>
      </c>
      <c r="AQ1888" s="201">
        <v>9875.27</v>
      </c>
      <c r="AR1888" s="199"/>
      <c r="AS1888" s="150">
        <f t="shared" si="1605"/>
        <v>9875.27</v>
      </c>
      <c r="AT1888" s="155"/>
      <c r="AU1888" s="156">
        <f t="shared" si="1577"/>
        <v>0</v>
      </c>
      <c r="AV1888" s="156">
        <f t="shared" si="1578"/>
        <v>0</v>
      </c>
      <c r="AW1888" s="157"/>
      <c r="AX1888" s="150">
        <v>9875.27</v>
      </c>
      <c r="AY1888" s="150">
        <v>0</v>
      </c>
      <c r="AZ1888" s="150">
        <f t="shared" si="1606"/>
        <v>8909</v>
      </c>
      <c r="BA1888" s="150">
        <v>8909</v>
      </c>
      <c r="BB1888" s="210"/>
      <c r="BC1888" s="210"/>
      <c r="BD1888" s="210"/>
      <c r="BE1888" s="210"/>
      <c r="BF1888" s="210"/>
      <c r="BG1888" s="210"/>
      <c r="BH1888" s="217"/>
      <c r="BI1888" s="210"/>
      <c r="BJ1888" s="210"/>
      <c r="BK1888" s="210"/>
      <c r="BL1888" s="210"/>
      <c r="BM1888" s="208"/>
      <c r="BN1888" s="160"/>
      <c r="BO1888" s="161"/>
      <c r="BP1888" s="161"/>
    </row>
    <row r="1889" spans="1:68" ht="51">
      <c r="A1889" s="210"/>
      <c r="B1889" s="195" t="s">
        <v>9529</v>
      </c>
      <c r="C1889" s="196" t="s">
        <v>9530</v>
      </c>
      <c r="D1889" s="146" t="s">
        <v>4692</v>
      </c>
      <c r="E1889" s="196" t="s">
        <v>9530</v>
      </c>
      <c r="F1889" s="150">
        <v>0</v>
      </c>
      <c r="G1889" s="209">
        <v>0</v>
      </c>
      <c r="H1889" s="209">
        <v>0</v>
      </c>
      <c r="I1889" s="209">
        <v>0</v>
      </c>
      <c r="J1889" s="150">
        <v>0.55000000000000004</v>
      </c>
      <c r="K1889" s="150">
        <v>0</v>
      </c>
      <c r="L1889" s="150">
        <f t="shared" si="1585"/>
        <v>0.55000000000000004</v>
      </c>
      <c r="M1889" s="150">
        <v>0.55000000000000004</v>
      </c>
      <c r="N1889" s="150">
        <v>0</v>
      </c>
      <c r="O1889" s="150">
        <v>0.55000000000000004</v>
      </c>
      <c r="P1889" s="150">
        <v>0.55000000000000004</v>
      </c>
      <c r="Q1889" s="150">
        <v>0</v>
      </c>
      <c r="R1889" s="313">
        <f t="shared" si="1601"/>
        <v>0.55000000000000004</v>
      </c>
      <c r="S1889" s="150">
        <f t="shared" si="1583"/>
        <v>0.73333333333333339</v>
      </c>
      <c r="T1889" s="150">
        <v>0.55000000000000004</v>
      </c>
      <c r="U1889" s="150">
        <v>0.55000000000000004</v>
      </c>
      <c r="V1889" s="199">
        <v>0</v>
      </c>
      <c r="W1889" s="150">
        <f t="shared" si="1602"/>
        <v>0.55000000000000004</v>
      </c>
      <c r="X1889" s="150">
        <v>0.55000000000000004</v>
      </c>
      <c r="Y1889" s="150">
        <v>0</v>
      </c>
      <c r="Z1889" s="150">
        <v>0.55000000000000004</v>
      </c>
      <c r="AA1889" s="150">
        <f t="shared" si="1579"/>
        <v>0</v>
      </c>
      <c r="AB1889" s="150">
        <v>0.55000000000000004</v>
      </c>
      <c r="AC1889" s="199">
        <v>0</v>
      </c>
      <c r="AD1889" s="150">
        <f t="shared" si="1603"/>
        <v>0.55000000000000004</v>
      </c>
      <c r="AE1889" s="150">
        <v>0.55000000000000004</v>
      </c>
      <c r="AF1889" s="169" t="s">
        <v>4680</v>
      </c>
      <c r="AG1889" s="201">
        <v>0.55000000000000004</v>
      </c>
      <c r="AH1889" s="199">
        <v>0</v>
      </c>
      <c r="AI1889" s="150">
        <v>0.55000000000000004</v>
      </c>
      <c r="AJ1889" s="169">
        <f t="shared" si="1580"/>
        <v>0</v>
      </c>
      <c r="AK1889" s="201">
        <v>0.55000000000000004</v>
      </c>
      <c r="AL1889" s="199">
        <v>0</v>
      </c>
      <c r="AM1889" s="150">
        <f t="shared" si="1604"/>
        <v>0.55000000000000004</v>
      </c>
      <c r="AN1889" s="153">
        <f t="shared" si="1581"/>
        <v>0</v>
      </c>
      <c r="AO1889" s="154">
        <f t="shared" si="1582"/>
        <v>0</v>
      </c>
      <c r="AP1889" s="150">
        <v>0.55000000000000004</v>
      </c>
      <c r="AQ1889" s="201">
        <v>0.55000000000000004</v>
      </c>
      <c r="AR1889" s="199">
        <v>0</v>
      </c>
      <c r="AS1889" s="150">
        <f t="shared" si="1605"/>
        <v>0.55000000000000004</v>
      </c>
      <c r="AT1889" s="155"/>
      <c r="AU1889" s="156">
        <f t="shared" si="1577"/>
        <v>0</v>
      </c>
      <c r="AV1889" s="156">
        <f t="shared" si="1578"/>
        <v>0</v>
      </c>
      <c r="AW1889" s="157"/>
      <c r="AX1889" s="150">
        <v>0.55000000000000004</v>
      </c>
      <c r="AY1889" s="150">
        <v>0.55000000000000004</v>
      </c>
      <c r="AZ1889" s="150">
        <f t="shared" si="1606"/>
        <v>0.55000000000000004</v>
      </c>
      <c r="BA1889" s="150">
        <v>1.1000000000000001</v>
      </c>
      <c r="BB1889" s="210"/>
      <c r="BC1889" s="210"/>
      <c r="BD1889" s="210"/>
      <c r="BE1889" s="210"/>
      <c r="BF1889" s="210"/>
      <c r="BG1889" s="210"/>
      <c r="BH1889" s="217"/>
      <c r="BI1889" s="210"/>
      <c r="BJ1889" s="210"/>
      <c r="BK1889" s="210"/>
      <c r="BL1889" s="210"/>
      <c r="BM1889" s="208"/>
      <c r="BN1889" s="160"/>
      <c r="BO1889" s="161"/>
      <c r="BP1889" s="161"/>
    </row>
    <row r="1890" spans="1:68" ht="38.25">
      <c r="A1890" s="210"/>
      <c r="B1890" s="195" t="s">
        <v>9531</v>
      </c>
      <c r="C1890" s="196" t="s">
        <v>9532</v>
      </c>
      <c r="D1890" s="146" t="s">
        <v>4692</v>
      </c>
      <c r="E1890" s="196" t="s">
        <v>9532</v>
      </c>
      <c r="F1890" s="150">
        <v>0</v>
      </c>
      <c r="G1890" s="209">
        <v>4.58</v>
      </c>
      <c r="H1890" s="209">
        <v>0</v>
      </c>
      <c r="I1890" s="209">
        <v>4.58</v>
      </c>
      <c r="J1890" s="150">
        <v>0</v>
      </c>
      <c r="K1890" s="150">
        <v>0</v>
      </c>
      <c r="L1890" s="150">
        <f t="shared" si="1585"/>
        <v>0</v>
      </c>
      <c r="M1890" s="150">
        <v>0</v>
      </c>
      <c r="N1890" s="150">
        <v>0</v>
      </c>
      <c r="O1890" s="150">
        <v>0</v>
      </c>
      <c r="P1890" s="150">
        <v>0</v>
      </c>
      <c r="Q1890" s="150">
        <v>0</v>
      </c>
      <c r="R1890" s="313">
        <f t="shared" si="1601"/>
        <v>0</v>
      </c>
      <c r="S1890" s="150">
        <f t="shared" si="1583"/>
        <v>0</v>
      </c>
      <c r="T1890" s="150">
        <v>0</v>
      </c>
      <c r="U1890" s="150">
        <v>0</v>
      </c>
      <c r="V1890" s="199">
        <v>0</v>
      </c>
      <c r="W1890" s="150">
        <f t="shared" si="1602"/>
        <v>0</v>
      </c>
      <c r="X1890" s="150">
        <v>0</v>
      </c>
      <c r="Y1890" s="150">
        <v>0</v>
      </c>
      <c r="Z1890" s="150">
        <v>0</v>
      </c>
      <c r="AA1890" s="150">
        <f t="shared" si="1579"/>
        <v>0</v>
      </c>
      <c r="AB1890" s="150">
        <v>0</v>
      </c>
      <c r="AC1890" s="199">
        <v>0</v>
      </c>
      <c r="AD1890" s="150">
        <f t="shared" si="1603"/>
        <v>0</v>
      </c>
      <c r="AE1890" s="150">
        <v>0</v>
      </c>
      <c r="AF1890" s="169" t="s">
        <v>4680</v>
      </c>
      <c r="AG1890" s="201">
        <v>0</v>
      </c>
      <c r="AH1890" s="199">
        <v>0</v>
      </c>
      <c r="AI1890" s="150">
        <v>0</v>
      </c>
      <c r="AJ1890" s="169">
        <f t="shared" si="1580"/>
        <v>0</v>
      </c>
      <c r="AK1890" s="201">
        <v>0</v>
      </c>
      <c r="AL1890" s="199">
        <v>0</v>
      </c>
      <c r="AM1890" s="150">
        <f t="shared" si="1604"/>
        <v>0</v>
      </c>
      <c r="AN1890" s="153">
        <f t="shared" si="1581"/>
        <v>0</v>
      </c>
      <c r="AO1890" s="154">
        <f t="shared" si="1582"/>
        <v>0</v>
      </c>
      <c r="AP1890" s="150">
        <v>0</v>
      </c>
      <c r="AQ1890" s="201">
        <v>0</v>
      </c>
      <c r="AR1890" s="199">
        <v>0</v>
      </c>
      <c r="AS1890" s="150">
        <f t="shared" si="1605"/>
        <v>0</v>
      </c>
      <c r="AT1890" s="155"/>
      <c r="AU1890" s="156">
        <f t="shared" si="1577"/>
        <v>0</v>
      </c>
      <c r="AV1890" s="156">
        <f t="shared" si="1578"/>
        <v>0</v>
      </c>
      <c r="AW1890" s="157"/>
      <c r="AX1890" s="150">
        <v>0</v>
      </c>
      <c r="AY1890" s="150">
        <v>0</v>
      </c>
      <c r="AZ1890" s="150">
        <f t="shared" si="1606"/>
        <v>0</v>
      </c>
      <c r="BA1890" s="150">
        <v>0</v>
      </c>
      <c r="BB1890" s="210"/>
      <c r="BC1890" s="210"/>
      <c r="BD1890" s="210"/>
      <c r="BE1890" s="210"/>
      <c r="BF1890" s="210"/>
      <c r="BG1890" s="210"/>
      <c r="BH1890" s="217"/>
      <c r="BI1890" s="210"/>
      <c r="BJ1890" s="210"/>
      <c r="BK1890" s="210"/>
      <c r="BL1890" s="210"/>
      <c r="BM1890" s="208"/>
      <c r="BN1890" s="160"/>
      <c r="BO1890" s="161"/>
      <c r="BP1890" s="161"/>
    </row>
    <row r="1891" spans="1:68" ht="51">
      <c r="A1891" s="210"/>
      <c r="B1891" s="195" t="s">
        <v>9533</v>
      </c>
      <c r="C1891" s="196" t="s">
        <v>9534</v>
      </c>
      <c r="D1891" s="146" t="s">
        <v>4692</v>
      </c>
      <c r="E1891" s="196" t="s">
        <v>9534</v>
      </c>
      <c r="F1891" s="150">
        <v>4.58</v>
      </c>
      <c r="G1891" s="209">
        <v>0</v>
      </c>
      <c r="H1891" s="209">
        <v>0</v>
      </c>
      <c r="I1891" s="209">
        <v>0</v>
      </c>
      <c r="J1891" s="150">
        <v>2.13</v>
      </c>
      <c r="K1891" s="150">
        <v>0</v>
      </c>
      <c r="L1891" s="150">
        <f t="shared" si="1585"/>
        <v>2.13</v>
      </c>
      <c r="M1891" s="150">
        <v>11.29</v>
      </c>
      <c r="N1891" s="150">
        <v>0</v>
      </c>
      <c r="O1891" s="150">
        <v>11.29</v>
      </c>
      <c r="P1891" s="150">
        <v>21.94</v>
      </c>
      <c r="Q1891" s="150">
        <v>0</v>
      </c>
      <c r="R1891" s="313">
        <f t="shared" si="1601"/>
        <v>21.94</v>
      </c>
      <c r="S1891" s="150">
        <f t="shared" si="1583"/>
        <v>29.253333333333334</v>
      </c>
      <c r="T1891" s="150">
        <v>41.18</v>
      </c>
      <c r="U1891" s="150">
        <v>41.18</v>
      </c>
      <c r="V1891" s="199">
        <v>0</v>
      </c>
      <c r="W1891" s="150">
        <f t="shared" si="1602"/>
        <v>41.18</v>
      </c>
      <c r="X1891" s="150">
        <v>41.18</v>
      </c>
      <c r="Y1891" s="150">
        <v>0</v>
      </c>
      <c r="Z1891" s="150">
        <v>41.18</v>
      </c>
      <c r="AA1891" s="150">
        <f t="shared" si="1579"/>
        <v>0</v>
      </c>
      <c r="AB1891" s="150">
        <v>41.18</v>
      </c>
      <c r="AC1891" s="199">
        <v>0</v>
      </c>
      <c r="AD1891" s="150">
        <f t="shared" si="1603"/>
        <v>41.18</v>
      </c>
      <c r="AE1891" s="150">
        <v>41.18</v>
      </c>
      <c r="AF1891" s="169" t="s">
        <v>4680</v>
      </c>
      <c r="AG1891" s="201">
        <v>41.18</v>
      </c>
      <c r="AH1891" s="199">
        <v>0</v>
      </c>
      <c r="AI1891" s="150">
        <v>41.18</v>
      </c>
      <c r="AJ1891" s="169">
        <f t="shared" si="1580"/>
        <v>0</v>
      </c>
      <c r="AK1891" s="201">
        <v>41.18</v>
      </c>
      <c r="AL1891" s="199">
        <v>0</v>
      </c>
      <c r="AM1891" s="150">
        <f t="shared" si="1604"/>
        <v>41.18</v>
      </c>
      <c r="AN1891" s="153">
        <f t="shared" si="1581"/>
        <v>0</v>
      </c>
      <c r="AO1891" s="154">
        <f t="shared" si="1582"/>
        <v>0</v>
      </c>
      <c r="AP1891" s="150">
        <v>41.18</v>
      </c>
      <c r="AQ1891" s="201">
        <v>41.18</v>
      </c>
      <c r="AR1891" s="199">
        <v>0</v>
      </c>
      <c r="AS1891" s="150">
        <f t="shared" si="1605"/>
        <v>41.18</v>
      </c>
      <c r="AT1891" s="155"/>
      <c r="AU1891" s="156">
        <f t="shared" si="1577"/>
        <v>0</v>
      </c>
      <c r="AV1891" s="156">
        <f t="shared" si="1578"/>
        <v>0</v>
      </c>
      <c r="AW1891" s="157"/>
      <c r="AX1891" s="150">
        <v>41.18</v>
      </c>
      <c r="AY1891" s="150">
        <v>14.25</v>
      </c>
      <c r="AZ1891" s="150">
        <f t="shared" si="1606"/>
        <v>8.3299999999999983</v>
      </c>
      <c r="BA1891" s="150">
        <v>22.58</v>
      </c>
      <c r="BB1891" s="210"/>
      <c r="BC1891" s="210"/>
      <c r="BD1891" s="210"/>
      <c r="BE1891" s="210"/>
      <c r="BF1891" s="210"/>
      <c r="BG1891" s="210"/>
      <c r="BH1891" s="217"/>
      <c r="BI1891" s="210"/>
      <c r="BJ1891" s="210"/>
      <c r="BK1891" s="210"/>
      <c r="BL1891" s="210"/>
      <c r="BM1891" s="208"/>
      <c r="BN1891" s="160"/>
      <c r="BO1891" s="161"/>
      <c r="BP1891" s="161"/>
    </row>
    <row r="1892" spans="1:68" ht="51">
      <c r="A1892" s="206" t="s">
        <v>604</v>
      </c>
      <c r="B1892" s="195" t="s">
        <v>9535</v>
      </c>
      <c r="C1892" s="196" t="s">
        <v>9536</v>
      </c>
      <c r="D1892" s="146" t="s">
        <v>4692</v>
      </c>
      <c r="E1892" s="196" t="s">
        <v>9536</v>
      </c>
      <c r="F1892" s="150">
        <v>0</v>
      </c>
      <c r="G1892" s="209">
        <v>0</v>
      </c>
      <c r="H1892" s="209">
        <v>0</v>
      </c>
      <c r="I1892" s="209">
        <v>0</v>
      </c>
      <c r="J1892" s="150">
        <v>0</v>
      </c>
      <c r="K1892" s="150">
        <v>0</v>
      </c>
      <c r="L1892" s="150">
        <f t="shared" si="1585"/>
        <v>0</v>
      </c>
      <c r="M1892" s="150">
        <v>0</v>
      </c>
      <c r="N1892" s="150">
        <v>0</v>
      </c>
      <c r="O1892" s="150">
        <v>0</v>
      </c>
      <c r="P1892" s="150">
        <v>0</v>
      </c>
      <c r="Q1892" s="150">
        <v>0</v>
      </c>
      <c r="R1892" s="313">
        <f t="shared" si="1601"/>
        <v>0</v>
      </c>
      <c r="S1892" s="150">
        <f t="shared" si="1583"/>
        <v>0</v>
      </c>
      <c r="T1892" s="150">
        <v>0</v>
      </c>
      <c r="U1892" s="150">
        <v>0</v>
      </c>
      <c r="V1892" s="199">
        <v>0</v>
      </c>
      <c r="W1892" s="150">
        <f t="shared" si="1602"/>
        <v>0</v>
      </c>
      <c r="X1892" s="150">
        <v>0</v>
      </c>
      <c r="Y1892" s="150">
        <v>0</v>
      </c>
      <c r="Z1892" s="150">
        <v>0</v>
      </c>
      <c r="AA1892" s="150">
        <f t="shared" si="1579"/>
        <v>0</v>
      </c>
      <c r="AB1892" s="150">
        <v>0</v>
      </c>
      <c r="AC1892" s="199">
        <v>0</v>
      </c>
      <c r="AD1892" s="150">
        <f t="shared" si="1603"/>
        <v>0</v>
      </c>
      <c r="AE1892" s="150">
        <v>0</v>
      </c>
      <c r="AF1892" s="169" t="s">
        <v>4680</v>
      </c>
      <c r="AG1892" s="201">
        <v>0</v>
      </c>
      <c r="AH1892" s="199">
        <v>0</v>
      </c>
      <c r="AI1892" s="150">
        <v>0</v>
      </c>
      <c r="AJ1892" s="169">
        <f t="shared" si="1580"/>
        <v>0</v>
      </c>
      <c r="AK1892" s="201">
        <v>0</v>
      </c>
      <c r="AL1892" s="199">
        <v>0</v>
      </c>
      <c r="AM1892" s="150">
        <f t="shared" si="1604"/>
        <v>0</v>
      </c>
      <c r="AN1892" s="153">
        <f t="shared" si="1581"/>
        <v>0</v>
      </c>
      <c r="AO1892" s="154">
        <f t="shared" si="1582"/>
        <v>0</v>
      </c>
      <c r="AP1892" s="150">
        <v>0</v>
      </c>
      <c r="AQ1892" s="201">
        <v>0</v>
      </c>
      <c r="AR1892" s="199">
        <v>0</v>
      </c>
      <c r="AS1892" s="150">
        <f t="shared" si="1605"/>
        <v>0</v>
      </c>
      <c r="AT1892" s="155"/>
      <c r="AU1892" s="156">
        <f t="shared" si="1577"/>
        <v>0</v>
      </c>
      <c r="AV1892" s="156">
        <f t="shared" si="1578"/>
        <v>0</v>
      </c>
      <c r="AW1892" s="157"/>
      <c r="AX1892" s="150">
        <v>0</v>
      </c>
      <c r="AY1892" s="150">
        <v>0</v>
      </c>
      <c r="AZ1892" s="150">
        <f t="shared" si="1606"/>
        <v>0</v>
      </c>
      <c r="BA1892" s="150">
        <v>0</v>
      </c>
      <c r="BB1892" s="202">
        <v>5</v>
      </c>
      <c r="BC1892" s="202" t="s">
        <v>766</v>
      </c>
      <c r="BD1892" s="202" t="s">
        <v>647</v>
      </c>
      <c r="BE1892" s="202" t="s">
        <v>632</v>
      </c>
      <c r="BF1892" s="202" t="s">
        <v>739</v>
      </c>
      <c r="BG1892" s="231" t="s">
        <v>9537</v>
      </c>
      <c r="BH1892" s="216">
        <f>AS1892</f>
        <v>0</v>
      </c>
      <c r="BI1892" s="205"/>
      <c r="BJ1892" s="206" t="s">
        <v>9510</v>
      </c>
      <c r="BK1892" s="206" t="s">
        <v>604</v>
      </c>
      <c r="BL1892" s="207" t="s">
        <v>9511</v>
      </c>
      <c r="BM1892" s="208">
        <f>BH1892</f>
        <v>0</v>
      </c>
      <c r="BN1892" s="160"/>
      <c r="BO1892" s="161"/>
      <c r="BP1892" s="161"/>
    </row>
    <row r="1893" spans="1:68" ht="51">
      <c r="A1893" s="206" t="s">
        <v>604</v>
      </c>
      <c r="B1893" s="195" t="s">
        <v>9538</v>
      </c>
      <c r="C1893" s="196" t="s">
        <v>9539</v>
      </c>
      <c r="D1893" s="146" t="s">
        <v>4692</v>
      </c>
      <c r="E1893" s="196" t="s">
        <v>9539</v>
      </c>
      <c r="F1893" s="150">
        <v>0</v>
      </c>
      <c r="G1893" s="209">
        <v>0</v>
      </c>
      <c r="H1893" s="209">
        <v>0</v>
      </c>
      <c r="I1893" s="209">
        <v>0</v>
      </c>
      <c r="J1893" s="150">
        <v>0</v>
      </c>
      <c r="K1893" s="150">
        <v>0</v>
      </c>
      <c r="L1893" s="150">
        <f t="shared" si="1585"/>
        <v>0</v>
      </c>
      <c r="M1893" s="150">
        <v>0</v>
      </c>
      <c r="N1893" s="150">
        <v>0</v>
      </c>
      <c r="O1893" s="150">
        <v>0</v>
      </c>
      <c r="P1893" s="150">
        <v>0</v>
      </c>
      <c r="Q1893" s="150">
        <v>0</v>
      </c>
      <c r="R1893" s="313">
        <f t="shared" si="1601"/>
        <v>0</v>
      </c>
      <c r="S1893" s="150">
        <f t="shared" si="1583"/>
        <v>0</v>
      </c>
      <c r="T1893" s="150">
        <v>0</v>
      </c>
      <c r="U1893" s="150">
        <v>0</v>
      </c>
      <c r="V1893" s="199">
        <v>0</v>
      </c>
      <c r="W1893" s="150">
        <f t="shared" si="1602"/>
        <v>0</v>
      </c>
      <c r="X1893" s="150">
        <v>0</v>
      </c>
      <c r="Y1893" s="150">
        <v>0</v>
      </c>
      <c r="Z1893" s="150">
        <v>0</v>
      </c>
      <c r="AA1893" s="150">
        <f t="shared" si="1579"/>
        <v>0</v>
      </c>
      <c r="AB1893" s="150">
        <v>0</v>
      </c>
      <c r="AC1893" s="199">
        <v>0</v>
      </c>
      <c r="AD1893" s="150">
        <f t="shared" si="1603"/>
        <v>0</v>
      </c>
      <c r="AE1893" s="150">
        <v>0</v>
      </c>
      <c r="AF1893" s="169" t="s">
        <v>4680</v>
      </c>
      <c r="AG1893" s="201">
        <v>0</v>
      </c>
      <c r="AH1893" s="199">
        <v>0</v>
      </c>
      <c r="AI1893" s="150">
        <v>0</v>
      </c>
      <c r="AJ1893" s="169">
        <f t="shared" si="1580"/>
        <v>0</v>
      </c>
      <c r="AK1893" s="201">
        <v>0</v>
      </c>
      <c r="AL1893" s="199">
        <v>0</v>
      </c>
      <c r="AM1893" s="150">
        <f t="shared" si="1604"/>
        <v>0</v>
      </c>
      <c r="AN1893" s="153">
        <f t="shared" si="1581"/>
        <v>0</v>
      </c>
      <c r="AO1893" s="154">
        <f t="shared" si="1582"/>
        <v>0</v>
      </c>
      <c r="AP1893" s="150">
        <v>0</v>
      </c>
      <c r="AQ1893" s="201">
        <v>0</v>
      </c>
      <c r="AR1893" s="199">
        <v>0</v>
      </c>
      <c r="AS1893" s="150">
        <f t="shared" si="1605"/>
        <v>0</v>
      </c>
      <c r="AT1893" s="155"/>
      <c r="AU1893" s="156">
        <f t="shared" si="1577"/>
        <v>0</v>
      </c>
      <c r="AV1893" s="156">
        <f t="shared" si="1578"/>
        <v>0</v>
      </c>
      <c r="AW1893" s="157"/>
      <c r="AX1893" s="150">
        <v>0</v>
      </c>
      <c r="AY1893" s="150">
        <v>0</v>
      </c>
      <c r="AZ1893" s="150">
        <f t="shared" si="1606"/>
        <v>0</v>
      </c>
      <c r="BA1893" s="150">
        <v>0</v>
      </c>
      <c r="BB1893" s="202">
        <v>5</v>
      </c>
      <c r="BC1893" s="202" t="s">
        <v>766</v>
      </c>
      <c r="BD1893" s="202" t="s">
        <v>647</v>
      </c>
      <c r="BE1893" s="202" t="s">
        <v>632</v>
      </c>
      <c r="BF1893" s="202" t="s">
        <v>755</v>
      </c>
      <c r="BG1893" s="231" t="s">
        <v>9540</v>
      </c>
      <c r="BH1893" s="216">
        <f>AS1893</f>
        <v>0</v>
      </c>
      <c r="BI1893" s="205"/>
      <c r="BJ1893" s="206" t="s">
        <v>9510</v>
      </c>
      <c r="BK1893" s="206" t="s">
        <v>604</v>
      </c>
      <c r="BL1893" s="207" t="s">
        <v>9511</v>
      </c>
      <c r="BM1893" s="208">
        <f>BH1893</f>
        <v>0</v>
      </c>
      <c r="BN1893" s="160"/>
      <c r="BO1893" s="161">
        <f t="shared" si="1584"/>
        <v>0</v>
      </c>
      <c r="BP1893" s="161"/>
    </row>
    <row r="1894" spans="1:68" ht="63.75">
      <c r="A1894" s="206" t="s">
        <v>604</v>
      </c>
      <c r="B1894" s="195" t="s">
        <v>9541</v>
      </c>
      <c r="C1894" s="196" t="s">
        <v>9542</v>
      </c>
      <c r="D1894" s="146" t="s">
        <v>4692</v>
      </c>
      <c r="E1894" s="196" t="s">
        <v>9542</v>
      </c>
      <c r="F1894" s="150">
        <v>0</v>
      </c>
      <c r="G1894" s="209">
        <v>0</v>
      </c>
      <c r="H1894" s="209">
        <v>0</v>
      </c>
      <c r="I1894" s="209">
        <v>0</v>
      </c>
      <c r="J1894" s="150">
        <v>0</v>
      </c>
      <c r="K1894" s="150">
        <v>0</v>
      </c>
      <c r="L1894" s="150">
        <f t="shared" si="1585"/>
        <v>0</v>
      </c>
      <c r="M1894" s="150">
        <v>0</v>
      </c>
      <c r="N1894" s="150">
        <v>0</v>
      </c>
      <c r="O1894" s="150">
        <v>0</v>
      </c>
      <c r="P1894" s="150">
        <v>0</v>
      </c>
      <c r="Q1894" s="150">
        <v>0</v>
      </c>
      <c r="R1894" s="313">
        <f t="shared" si="1601"/>
        <v>0</v>
      </c>
      <c r="S1894" s="150">
        <f t="shared" si="1583"/>
        <v>0</v>
      </c>
      <c r="T1894" s="150">
        <v>0</v>
      </c>
      <c r="U1894" s="150">
        <v>0</v>
      </c>
      <c r="V1894" s="199">
        <v>0</v>
      </c>
      <c r="W1894" s="150">
        <f t="shared" si="1602"/>
        <v>0</v>
      </c>
      <c r="X1894" s="150">
        <v>0</v>
      </c>
      <c r="Y1894" s="150">
        <v>0</v>
      </c>
      <c r="Z1894" s="150">
        <v>0</v>
      </c>
      <c r="AA1894" s="150">
        <f t="shared" si="1579"/>
        <v>0</v>
      </c>
      <c r="AB1894" s="150">
        <v>0</v>
      </c>
      <c r="AC1894" s="199">
        <v>0</v>
      </c>
      <c r="AD1894" s="150">
        <f t="shared" si="1603"/>
        <v>0</v>
      </c>
      <c r="AE1894" s="150">
        <v>0</v>
      </c>
      <c r="AF1894" s="169" t="s">
        <v>4680</v>
      </c>
      <c r="AG1894" s="201">
        <v>0</v>
      </c>
      <c r="AH1894" s="199">
        <v>0</v>
      </c>
      <c r="AI1894" s="150">
        <v>0</v>
      </c>
      <c r="AJ1894" s="169">
        <f t="shared" si="1580"/>
        <v>0</v>
      </c>
      <c r="AK1894" s="201">
        <v>0</v>
      </c>
      <c r="AL1894" s="199">
        <v>0</v>
      </c>
      <c r="AM1894" s="150">
        <f t="shared" si="1604"/>
        <v>0</v>
      </c>
      <c r="AN1894" s="153">
        <f t="shared" si="1581"/>
        <v>0</v>
      </c>
      <c r="AO1894" s="154">
        <f t="shared" si="1582"/>
        <v>0</v>
      </c>
      <c r="AP1894" s="150">
        <v>0</v>
      </c>
      <c r="AQ1894" s="201">
        <v>0</v>
      </c>
      <c r="AR1894" s="199">
        <v>0</v>
      </c>
      <c r="AS1894" s="150">
        <f t="shared" si="1605"/>
        <v>0</v>
      </c>
      <c r="AT1894" s="155"/>
      <c r="AU1894" s="156">
        <f t="shared" si="1577"/>
        <v>0</v>
      </c>
      <c r="AV1894" s="156">
        <f t="shared" si="1578"/>
        <v>0</v>
      </c>
      <c r="AW1894" s="157"/>
      <c r="AX1894" s="150">
        <v>0</v>
      </c>
      <c r="AY1894" s="150">
        <v>0</v>
      </c>
      <c r="AZ1894" s="150">
        <f t="shared" si="1606"/>
        <v>0</v>
      </c>
      <c r="BA1894" s="150">
        <v>0</v>
      </c>
      <c r="BB1894" s="202">
        <v>5</v>
      </c>
      <c r="BC1894" s="202" t="s">
        <v>766</v>
      </c>
      <c r="BD1894" s="202" t="s">
        <v>647</v>
      </c>
      <c r="BE1894" s="202" t="s">
        <v>632</v>
      </c>
      <c r="BF1894" s="202" t="s">
        <v>766</v>
      </c>
      <c r="BG1894" s="231" t="s">
        <v>9543</v>
      </c>
      <c r="BH1894" s="216">
        <f>AS1894</f>
        <v>0</v>
      </c>
      <c r="BI1894" s="205"/>
      <c r="BJ1894" s="206" t="s">
        <v>9510</v>
      </c>
      <c r="BK1894" s="206" t="s">
        <v>604</v>
      </c>
      <c r="BL1894" s="207" t="s">
        <v>9511</v>
      </c>
      <c r="BM1894" s="208">
        <f>BH1894</f>
        <v>0</v>
      </c>
      <c r="BN1894" s="160"/>
      <c r="BO1894" s="161">
        <f t="shared" si="1584"/>
        <v>0</v>
      </c>
      <c r="BP1894" s="161"/>
    </row>
    <row r="1895" spans="1:68" ht="51">
      <c r="A1895" s="206" t="s">
        <v>604</v>
      </c>
      <c r="B1895" s="195" t="s">
        <v>9544</v>
      </c>
      <c r="C1895" s="196" t="s">
        <v>9545</v>
      </c>
      <c r="D1895" s="146" t="s">
        <v>4692</v>
      </c>
      <c r="E1895" s="196" t="s">
        <v>9545</v>
      </c>
      <c r="F1895" s="150">
        <v>0</v>
      </c>
      <c r="G1895" s="209">
        <v>0</v>
      </c>
      <c r="H1895" s="209">
        <v>0</v>
      </c>
      <c r="I1895" s="209">
        <v>0</v>
      </c>
      <c r="J1895" s="150">
        <v>0</v>
      </c>
      <c r="K1895" s="150">
        <v>0</v>
      </c>
      <c r="L1895" s="150">
        <f t="shared" si="1585"/>
        <v>0</v>
      </c>
      <c r="M1895" s="150">
        <v>0</v>
      </c>
      <c r="N1895" s="150">
        <v>0</v>
      </c>
      <c r="O1895" s="150">
        <v>0</v>
      </c>
      <c r="P1895" s="150">
        <v>0</v>
      </c>
      <c r="Q1895" s="150">
        <v>0</v>
      </c>
      <c r="R1895" s="313">
        <f t="shared" si="1601"/>
        <v>0</v>
      </c>
      <c r="S1895" s="150">
        <f t="shared" si="1583"/>
        <v>0</v>
      </c>
      <c r="T1895" s="150">
        <v>0</v>
      </c>
      <c r="U1895" s="150">
        <v>0</v>
      </c>
      <c r="V1895" s="199">
        <v>0</v>
      </c>
      <c r="W1895" s="150">
        <f t="shared" si="1602"/>
        <v>0</v>
      </c>
      <c r="X1895" s="150">
        <v>0</v>
      </c>
      <c r="Y1895" s="150">
        <v>0</v>
      </c>
      <c r="Z1895" s="150">
        <v>0</v>
      </c>
      <c r="AA1895" s="150">
        <f t="shared" si="1579"/>
        <v>0</v>
      </c>
      <c r="AB1895" s="150">
        <v>0</v>
      </c>
      <c r="AC1895" s="199">
        <v>0</v>
      </c>
      <c r="AD1895" s="150">
        <f t="shared" si="1603"/>
        <v>0</v>
      </c>
      <c r="AE1895" s="150">
        <v>0</v>
      </c>
      <c r="AF1895" s="169" t="s">
        <v>4680</v>
      </c>
      <c r="AG1895" s="201">
        <v>0</v>
      </c>
      <c r="AH1895" s="199">
        <v>0</v>
      </c>
      <c r="AI1895" s="150">
        <v>0</v>
      </c>
      <c r="AJ1895" s="169">
        <f t="shared" si="1580"/>
        <v>0</v>
      </c>
      <c r="AK1895" s="201">
        <v>0</v>
      </c>
      <c r="AL1895" s="199">
        <v>0</v>
      </c>
      <c r="AM1895" s="150">
        <f t="shared" si="1604"/>
        <v>0</v>
      </c>
      <c r="AN1895" s="153">
        <f t="shared" si="1581"/>
        <v>0</v>
      </c>
      <c r="AO1895" s="154">
        <f t="shared" si="1582"/>
        <v>0</v>
      </c>
      <c r="AP1895" s="150">
        <v>0</v>
      </c>
      <c r="AQ1895" s="201">
        <v>0</v>
      </c>
      <c r="AR1895" s="199">
        <v>0</v>
      </c>
      <c r="AS1895" s="150">
        <f t="shared" si="1605"/>
        <v>0</v>
      </c>
      <c r="AT1895" s="155"/>
      <c r="AU1895" s="156">
        <f t="shared" si="1577"/>
        <v>0</v>
      </c>
      <c r="AV1895" s="156">
        <f t="shared" si="1578"/>
        <v>0</v>
      </c>
      <c r="AW1895" s="157"/>
      <c r="AX1895" s="150">
        <v>0</v>
      </c>
      <c r="AY1895" s="150">
        <v>0</v>
      </c>
      <c r="AZ1895" s="150">
        <f t="shared" si="1606"/>
        <v>0</v>
      </c>
      <c r="BA1895" s="150">
        <v>0</v>
      </c>
      <c r="BB1895" s="202">
        <v>5</v>
      </c>
      <c r="BC1895" s="202" t="s">
        <v>766</v>
      </c>
      <c r="BD1895" s="202" t="s">
        <v>647</v>
      </c>
      <c r="BE1895" s="202" t="s">
        <v>632</v>
      </c>
      <c r="BF1895" s="202" t="s">
        <v>779</v>
      </c>
      <c r="BG1895" s="231" t="s">
        <v>9546</v>
      </c>
      <c r="BH1895" s="216">
        <f>SUM(AS1895:AS1908)</f>
        <v>176886.16</v>
      </c>
      <c r="BI1895" s="205"/>
      <c r="BJ1895" s="206" t="s">
        <v>9510</v>
      </c>
      <c r="BK1895" s="206" t="s">
        <v>604</v>
      </c>
      <c r="BL1895" s="207" t="s">
        <v>9511</v>
      </c>
      <c r="BM1895" s="208">
        <f>BH1895</f>
        <v>176886.16</v>
      </c>
      <c r="BN1895" s="160"/>
      <c r="BO1895" s="161"/>
      <c r="BP1895" s="161"/>
    </row>
    <row r="1896" spans="1:68" ht="51">
      <c r="A1896" s="210"/>
      <c r="B1896" s="195" t="s">
        <v>9547</v>
      </c>
      <c r="C1896" s="196" t="s">
        <v>9548</v>
      </c>
      <c r="D1896" s="146" t="s">
        <v>4692</v>
      </c>
      <c r="E1896" s="196" t="s">
        <v>9548</v>
      </c>
      <c r="F1896" s="150">
        <v>0</v>
      </c>
      <c r="G1896" s="209">
        <v>0</v>
      </c>
      <c r="H1896" s="209">
        <v>0</v>
      </c>
      <c r="I1896" s="209">
        <v>0</v>
      </c>
      <c r="J1896" s="150">
        <v>0</v>
      </c>
      <c r="K1896" s="150">
        <v>0</v>
      </c>
      <c r="L1896" s="150">
        <f t="shared" si="1585"/>
        <v>0</v>
      </c>
      <c r="M1896" s="150">
        <v>0</v>
      </c>
      <c r="N1896" s="150">
        <v>0</v>
      </c>
      <c r="O1896" s="150">
        <v>0</v>
      </c>
      <c r="P1896" s="150">
        <v>0</v>
      </c>
      <c r="Q1896" s="150">
        <v>0</v>
      </c>
      <c r="R1896" s="313">
        <f t="shared" si="1601"/>
        <v>0</v>
      </c>
      <c r="S1896" s="150">
        <f t="shared" si="1583"/>
        <v>0</v>
      </c>
      <c r="T1896" s="150">
        <v>0</v>
      </c>
      <c r="U1896" s="150">
        <v>0</v>
      </c>
      <c r="V1896" s="199">
        <v>0</v>
      </c>
      <c r="W1896" s="150">
        <f t="shared" si="1602"/>
        <v>0</v>
      </c>
      <c r="X1896" s="150">
        <v>0</v>
      </c>
      <c r="Y1896" s="150">
        <v>0</v>
      </c>
      <c r="Z1896" s="150">
        <v>0</v>
      </c>
      <c r="AA1896" s="150">
        <f t="shared" si="1579"/>
        <v>0</v>
      </c>
      <c r="AB1896" s="150">
        <v>0</v>
      </c>
      <c r="AC1896" s="199">
        <v>0</v>
      </c>
      <c r="AD1896" s="150">
        <f t="shared" si="1603"/>
        <v>0</v>
      </c>
      <c r="AE1896" s="150">
        <v>0</v>
      </c>
      <c r="AF1896" s="169" t="s">
        <v>4680</v>
      </c>
      <c r="AG1896" s="201">
        <v>0</v>
      </c>
      <c r="AH1896" s="199">
        <v>0</v>
      </c>
      <c r="AI1896" s="150">
        <v>0</v>
      </c>
      <c r="AJ1896" s="169">
        <f t="shared" si="1580"/>
        <v>0</v>
      </c>
      <c r="AK1896" s="201">
        <v>0</v>
      </c>
      <c r="AL1896" s="199">
        <v>0</v>
      </c>
      <c r="AM1896" s="150">
        <f t="shared" si="1604"/>
        <v>0</v>
      </c>
      <c r="AN1896" s="153">
        <f t="shared" si="1581"/>
        <v>0</v>
      </c>
      <c r="AO1896" s="154">
        <f t="shared" si="1582"/>
        <v>0</v>
      </c>
      <c r="AP1896" s="150">
        <v>0</v>
      </c>
      <c r="AQ1896" s="201">
        <v>0</v>
      </c>
      <c r="AR1896" s="199">
        <v>0</v>
      </c>
      <c r="AS1896" s="150">
        <f t="shared" si="1605"/>
        <v>0</v>
      </c>
      <c r="AT1896" s="155"/>
      <c r="AU1896" s="156">
        <f t="shared" si="1577"/>
        <v>0</v>
      </c>
      <c r="AV1896" s="156">
        <f t="shared" si="1578"/>
        <v>0</v>
      </c>
      <c r="AW1896" s="157"/>
      <c r="AX1896" s="150">
        <v>0</v>
      </c>
      <c r="AY1896" s="150">
        <v>0</v>
      </c>
      <c r="AZ1896" s="150">
        <f t="shared" si="1606"/>
        <v>0</v>
      </c>
      <c r="BA1896" s="150">
        <v>0</v>
      </c>
      <c r="BB1896" s="210"/>
      <c r="BC1896" s="210"/>
      <c r="BD1896" s="210"/>
      <c r="BE1896" s="210"/>
      <c r="BF1896" s="210"/>
      <c r="BG1896" s="210"/>
      <c r="BH1896" s="217"/>
      <c r="BI1896" s="210"/>
      <c r="BJ1896" s="210"/>
      <c r="BK1896" s="210"/>
      <c r="BL1896" s="210"/>
      <c r="BM1896" s="208"/>
      <c r="BN1896" s="160"/>
      <c r="BO1896" s="161"/>
      <c r="BP1896" s="161"/>
    </row>
    <row r="1897" spans="1:68" ht="63.75">
      <c r="A1897" s="210"/>
      <c r="B1897" s="195" t="s">
        <v>9549</v>
      </c>
      <c r="C1897" s="196" t="s">
        <v>9550</v>
      </c>
      <c r="D1897" s="146" t="s">
        <v>4692</v>
      </c>
      <c r="E1897" s="196" t="s">
        <v>9550</v>
      </c>
      <c r="F1897" s="150">
        <v>0</v>
      </c>
      <c r="G1897" s="209">
        <v>0</v>
      </c>
      <c r="H1897" s="209">
        <v>0</v>
      </c>
      <c r="I1897" s="209">
        <v>0</v>
      </c>
      <c r="J1897" s="150">
        <v>0</v>
      </c>
      <c r="K1897" s="150">
        <v>0</v>
      </c>
      <c r="L1897" s="150">
        <f t="shared" si="1585"/>
        <v>0</v>
      </c>
      <c r="M1897" s="150">
        <v>0</v>
      </c>
      <c r="N1897" s="150">
        <v>0</v>
      </c>
      <c r="O1897" s="150">
        <v>0</v>
      </c>
      <c r="P1897" s="150">
        <v>0</v>
      </c>
      <c r="Q1897" s="150">
        <v>0</v>
      </c>
      <c r="R1897" s="313">
        <f t="shared" si="1601"/>
        <v>0</v>
      </c>
      <c r="S1897" s="150">
        <f t="shared" si="1583"/>
        <v>0</v>
      </c>
      <c r="T1897" s="150">
        <v>0</v>
      </c>
      <c r="U1897" s="150">
        <v>0</v>
      </c>
      <c r="V1897" s="199">
        <v>0</v>
      </c>
      <c r="W1897" s="150">
        <f t="shared" si="1602"/>
        <v>0</v>
      </c>
      <c r="X1897" s="150">
        <v>0</v>
      </c>
      <c r="Y1897" s="150">
        <v>0</v>
      </c>
      <c r="Z1897" s="150">
        <v>0</v>
      </c>
      <c r="AA1897" s="150">
        <f t="shared" si="1579"/>
        <v>0</v>
      </c>
      <c r="AB1897" s="150">
        <v>0</v>
      </c>
      <c r="AC1897" s="199">
        <v>0</v>
      </c>
      <c r="AD1897" s="150">
        <f t="shared" si="1603"/>
        <v>0</v>
      </c>
      <c r="AE1897" s="150">
        <v>0</v>
      </c>
      <c r="AF1897" s="169" t="s">
        <v>4680</v>
      </c>
      <c r="AG1897" s="201">
        <v>0</v>
      </c>
      <c r="AH1897" s="199">
        <v>0</v>
      </c>
      <c r="AI1897" s="150">
        <v>0</v>
      </c>
      <c r="AJ1897" s="169">
        <f t="shared" si="1580"/>
        <v>0</v>
      </c>
      <c r="AK1897" s="201">
        <v>0</v>
      </c>
      <c r="AL1897" s="199">
        <v>0</v>
      </c>
      <c r="AM1897" s="150">
        <f t="shared" si="1604"/>
        <v>0</v>
      </c>
      <c r="AN1897" s="153">
        <f t="shared" si="1581"/>
        <v>0</v>
      </c>
      <c r="AO1897" s="154">
        <f t="shared" si="1582"/>
        <v>0</v>
      </c>
      <c r="AP1897" s="150">
        <v>0</v>
      </c>
      <c r="AQ1897" s="201">
        <v>0</v>
      </c>
      <c r="AR1897" s="199">
        <v>0</v>
      </c>
      <c r="AS1897" s="150">
        <f t="shared" si="1605"/>
        <v>0</v>
      </c>
      <c r="AT1897" s="155"/>
      <c r="AU1897" s="156">
        <f t="shared" si="1577"/>
        <v>0</v>
      </c>
      <c r="AV1897" s="156">
        <f t="shared" si="1578"/>
        <v>0</v>
      </c>
      <c r="AW1897" s="157"/>
      <c r="AX1897" s="150">
        <v>0</v>
      </c>
      <c r="AY1897" s="150">
        <v>0</v>
      </c>
      <c r="AZ1897" s="150">
        <f t="shared" si="1606"/>
        <v>0</v>
      </c>
      <c r="BA1897" s="150">
        <v>0</v>
      </c>
      <c r="BB1897" s="210"/>
      <c r="BC1897" s="210"/>
      <c r="BD1897" s="210"/>
      <c r="BE1897" s="210"/>
      <c r="BF1897" s="210"/>
      <c r="BG1897" s="210"/>
      <c r="BH1897" s="217"/>
      <c r="BI1897" s="210"/>
      <c r="BJ1897" s="210"/>
      <c r="BK1897" s="210"/>
      <c r="BL1897" s="210"/>
      <c r="BM1897" s="208"/>
      <c r="BN1897" s="160"/>
      <c r="BO1897" s="161"/>
      <c r="BP1897" s="161"/>
    </row>
    <row r="1898" spans="1:68" ht="38.25">
      <c r="A1898" s="210"/>
      <c r="B1898" s="195" t="s">
        <v>9551</v>
      </c>
      <c r="C1898" s="196" t="s">
        <v>9552</v>
      </c>
      <c r="D1898" s="146" t="s">
        <v>4692</v>
      </c>
      <c r="E1898" s="196" t="s">
        <v>9552</v>
      </c>
      <c r="F1898" s="150">
        <v>0</v>
      </c>
      <c r="G1898" s="209">
        <v>278.87</v>
      </c>
      <c r="H1898" s="209">
        <v>0</v>
      </c>
      <c r="I1898" s="209">
        <v>278.87</v>
      </c>
      <c r="J1898" s="150">
        <v>108891.77</v>
      </c>
      <c r="K1898" s="150">
        <v>0</v>
      </c>
      <c r="L1898" s="150">
        <f t="shared" si="1585"/>
        <v>108891.77</v>
      </c>
      <c r="M1898" s="150">
        <v>168777.48</v>
      </c>
      <c r="N1898" s="150">
        <v>0</v>
      </c>
      <c r="O1898" s="150">
        <v>168777.48</v>
      </c>
      <c r="P1898" s="150">
        <v>168777.48</v>
      </c>
      <c r="Q1898" s="150">
        <v>0</v>
      </c>
      <c r="R1898" s="313">
        <f t="shared" si="1601"/>
        <v>168777.48</v>
      </c>
      <c r="S1898" s="150">
        <f t="shared" si="1583"/>
        <v>225036.64</v>
      </c>
      <c r="T1898" s="150">
        <v>176292.68</v>
      </c>
      <c r="U1898" s="150">
        <v>176292.68</v>
      </c>
      <c r="V1898" s="199">
        <v>0</v>
      </c>
      <c r="W1898" s="150">
        <f t="shared" si="1602"/>
        <v>176292.68</v>
      </c>
      <c r="X1898" s="150">
        <v>176292.68</v>
      </c>
      <c r="Y1898" s="150">
        <v>0</v>
      </c>
      <c r="Z1898" s="150">
        <v>176292.68</v>
      </c>
      <c r="AA1898" s="150">
        <f t="shared" si="1579"/>
        <v>0</v>
      </c>
      <c r="AB1898" s="150">
        <v>176292.68</v>
      </c>
      <c r="AC1898" s="199">
        <v>0</v>
      </c>
      <c r="AD1898" s="150">
        <f t="shared" si="1603"/>
        <v>176292.68</v>
      </c>
      <c r="AE1898" s="150">
        <v>176292.68</v>
      </c>
      <c r="AF1898" s="169" t="s">
        <v>4680</v>
      </c>
      <c r="AG1898" s="201">
        <v>176292.68</v>
      </c>
      <c r="AH1898" s="199">
        <v>0</v>
      </c>
      <c r="AI1898" s="150">
        <v>176292.68</v>
      </c>
      <c r="AJ1898" s="169">
        <f t="shared" si="1580"/>
        <v>0</v>
      </c>
      <c r="AK1898" s="201">
        <v>176292.68</v>
      </c>
      <c r="AL1898" s="199">
        <v>0</v>
      </c>
      <c r="AM1898" s="150">
        <f t="shared" si="1604"/>
        <v>176292.68</v>
      </c>
      <c r="AN1898" s="153">
        <f t="shared" si="1581"/>
        <v>0</v>
      </c>
      <c r="AO1898" s="154">
        <f t="shared" si="1582"/>
        <v>0</v>
      </c>
      <c r="AP1898" s="150">
        <v>176292.68</v>
      </c>
      <c r="AQ1898" s="201">
        <v>176292.68</v>
      </c>
      <c r="AR1898" s="199">
        <v>0</v>
      </c>
      <c r="AS1898" s="150">
        <f t="shared" si="1605"/>
        <v>176292.68</v>
      </c>
      <c r="AT1898" s="155"/>
      <c r="AU1898" s="156">
        <f t="shared" si="1577"/>
        <v>0</v>
      </c>
      <c r="AV1898" s="156">
        <f t="shared" si="1578"/>
        <v>0</v>
      </c>
      <c r="AW1898" s="157"/>
      <c r="AX1898" s="150">
        <v>176292.68</v>
      </c>
      <c r="AY1898" s="150">
        <v>168777.48</v>
      </c>
      <c r="AZ1898" s="150">
        <f t="shared" si="1606"/>
        <v>168777.48</v>
      </c>
      <c r="BA1898" s="150">
        <v>337554.96</v>
      </c>
      <c r="BB1898" s="210"/>
      <c r="BC1898" s="210"/>
      <c r="BD1898" s="210"/>
      <c r="BE1898" s="210"/>
      <c r="BF1898" s="210"/>
      <c r="BG1898" s="210"/>
      <c r="BH1898" s="217"/>
      <c r="BI1898" s="210"/>
      <c r="BJ1898" s="210"/>
      <c r="BK1898" s="210"/>
      <c r="BL1898" s="210"/>
      <c r="BM1898" s="208"/>
      <c r="BN1898" s="160"/>
      <c r="BO1898" s="161"/>
      <c r="BP1898" s="161"/>
    </row>
    <row r="1899" spans="1:68" ht="51">
      <c r="A1899" s="210"/>
      <c r="B1899" s="195" t="s">
        <v>9553</v>
      </c>
      <c r="C1899" s="196" t="s">
        <v>9554</v>
      </c>
      <c r="D1899" s="146" t="s">
        <v>4692</v>
      </c>
      <c r="E1899" s="196" t="s">
        <v>9554</v>
      </c>
      <c r="F1899" s="150">
        <v>278.87</v>
      </c>
      <c r="G1899" s="209">
        <v>0</v>
      </c>
      <c r="H1899" s="209">
        <v>0</v>
      </c>
      <c r="I1899" s="209">
        <v>0</v>
      </c>
      <c r="J1899" s="150">
        <v>77.459999999999994</v>
      </c>
      <c r="K1899" s="150">
        <v>0</v>
      </c>
      <c r="L1899" s="150">
        <f t="shared" si="1585"/>
        <v>77.459999999999994</v>
      </c>
      <c r="M1899" s="150">
        <v>154.91999999999999</v>
      </c>
      <c r="N1899" s="150">
        <v>0</v>
      </c>
      <c r="O1899" s="150">
        <v>154.91999999999999</v>
      </c>
      <c r="P1899" s="150">
        <v>154.91999999999999</v>
      </c>
      <c r="Q1899" s="150">
        <v>0</v>
      </c>
      <c r="R1899" s="313">
        <f t="shared" si="1601"/>
        <v>154.91999999999999</v>
      </c>
      <c r="S1899" s="150">
        <f t="shared" si="1583"/>
        <v>206.55999999999997</v>
      </c>
      <c r="T1899" s="150">
        <v>154.91999999999999</v>
      </c>
      <c r="U1899" s="150">
        <v>154.91999999999999</v>
      </c>
      <c r="V1899" s="199">
        <v>0</v>
      </c>
      <c r="W1899" s="150">
        <f t="shared" si="1602"/>
        <v>154.91999999999999</v>
      </c>
      <c r="X1899" s="150">
        <v>154.91999999999999</v>
      </c>
      <c r="Y1899" s="150">
        <v>0</v>
      </c>
      <c r="Z1899" s="150">
        <v>154.91999999999999</v>
      </c>
      <c r="AA1899" s="150">
        <f t="shared" si="1579"/>
        <v>0</v>
      </c>
      <c r="AB1899" s="150">
        <v>154.91999999999999</v>
      </c>
      <c r="AC1899" s="199">
        <v>0</v>
      </c>
      <c r="AD1899" s="150">
        <f t="shared" si="1603"/>
        <v>154.91999999999999</v>
      </c>
      <c r="AE1899" s="150">
        <v>154.91999999999999</v>
      </c>
      <c r="AF1899" s="169" t="s">
        <v>4680</v>
      </c>
      <c r="AG1899" s="201">
        <v>154.91999999999999</v>
      </c>
      <c r="AH1899" s="199">
        <v>0</v>
      </c>
      <c r="AI1899" s="150">
        <v>154.91999999999999</v>
      </c>
      <c r="AJ1899" s="169">
        <f t="shared" si="1580"/>
        <v>0</v>
      </c>
      <c r="AK1899" s="201">
        <v>154.91999999999999</v>
      </c>
      <c r="AL1899" s="199">
        <v>0</v>
      </c>
      <c r="AM1899" s="150">
        <f t="shared" si="1604"/>
        <v>154.91999999999999</v>
      </c>
      <c r="AN1899" s="153">
        <f t="shared" si="1581"/>
        <v>0</v>
      </c>
      <c r="AO1899" s="154">
        <f t="shared" si="1582"/>
        <v>0</v>
      </c>
      <c r="AP1899" s="150">
        <v>154.91999999999999</v>
      </c>
      <c r="AQ1899" s="201">
        <v>154.91999999999999</v>
      </c>
      <c r="AR1899" s="199">
        <v>0</v>
      </c>
      <c r="AS1899" s="150">
        <f t="shared" si="1605"/>
        <v>154.91999999999999</v>
      </c>
      <c r="AT1899" s="155"/>
      <c r="AU1899" s="156">
        <f t="shared" si="1577"/>
        <v>0</v>
      </c>
      <c r="AV1899" s="156">
        <f t="shared" si="1578"/>
        <v>0</v>
      </c>
      <c r="AW1899" s="157"/>
      <c r="AX1899" s="150">
        <v>154.91999999999999</v>
      </c>
      <c r="AY1899" s="150">
        <v>154.91999999999999</v>
      </c>
      <c r="AZ1899" s="150">
        <f t="shared" si="1606"/>
        <v>154.91999999999999</v>
      </c>
      <c r="BA1899" s="150">
        <v>309.83999999999997</v>
      </c>
      <c r="BB1899" s="210"/>
      <c r="BC1899" s="210"/>
      <c r="BD1899" s="210"/>
      <c r="BE1899" s="210"/>
      <c r="BF1899" s="210"/>
      <c r="BG1899" s="210"/>
      <c r="BH1899" s="217"/>
      <c r="BI1899" s="210"/>
      <c r="BJ1899" s="210"/>
      <c r="BK1899" s="210"/>
      <c r="BL1899" s="210"/>
      <c r="BM1899" s="208"/>
      <c r="BN1899" s="160"/>
      <c r="BO1899" s="161"/>
      <c r="BP1899" s="161"/>
    </row>
    <row r="1900" spans="1:68" ht="51">
      <c r="A1900" s="210"/>
      <c r="B1900" s="195" t="s">
        <v>9555</v>
      </c>
      <c r="C1900" s="196" t="s">
        <v>9556</v>
      </c>
      <c r="D1900" s="146" t="s">
        <v>4692</v>
      </c>
      <c r="E1900" s="196" t="s">
        <v>9556</v>
      </c>
      <c r="F1900" s="150">
        <v>0</v>
      </c>
      <c r="G1900" s="209">
        <v>0</v>
      </c>
      <c r="H1900" s="209">
        <v>0</v>
      </c>
      <c r="I1900" s="209">
        <v>0</v>
      </c>
      <c r="J1900" s="150">
        <v>0</v>
      </c>
      <c r="K1900" s="150">
        <v>0</v>
      </c>
      <c r="L1900" s="150">
        <f t="shared" si="1585"/>
        <v>0</v>
      </c>
      <c r="M1900" s="150">
        <v>0</v>
      </c>
      <c r="N1900" s="150">
        <v>0</v>
      </c>
      <c r="O1900" s="150">
        <v>0</v>
      </c>
      <c r="P1900" s="150">
        <v>0</v>
      </c>
      <c r="Q1900" s="150">
        <v>0</v>
      </c>
      <c r="R1900" s="313">
        <f t="shared" si="1601"/>
        <v>0</v>
      </c>
      <c r="S1900" s="150">
        <f t="shared" si="1583"/>
        <v>0</v>
      </c>
      <c r="T1900" s="150">
        <v>0</v>
      </c>
      <c r="U1900" s="150">
        <v>0</v>
      </c>
      <c r="V1900" s="199">
        <v>0</v>
      </c>
      <c r="W1900" s="150">
        <f t="shared" si="1602"/>
        <v>0</v>
      </c>
      <c r="X1900" s="150">
        <v>0</v>
      </c>
      <c r="Y1900" s="150">
        <v>0</v>
      </c>
      <c r="Z1900" s="150">
        <v>0</v>
      </c>
      <c r="AA1900" s="150">
        <f t="shared" si="1579"/>
        <v>0</v>
      </c>
      <c r="AB1900" s="150">
        <v>0</v>
      </c>
      <c r="AC1900" s="199">
        <v>0</v>
      </c>
      <c r="AD1900" s="150">
        <f t="shared" si="1603"/>
        <v>0</v>
      </c>
      <c r="AE1900" s="150">
        <v>0</v>
      </c>
      <c r="AF1900" s="169" t="s">
        <v>4680</v>
      </c>
      <c r="AG1900" s="201">
        <v>0</v>
      </c>
      <c r="AH1900" s="199">
        <v>0</v>
      </c>
      <c r="AI1900" s="150">
        <v>0</v>
      </c>
      <c r="AJ1900" s="169">
        <f t="shared" si="1580"/>
        <v>0</v>
      </c>
      <c r="AK1900" s="201">
        <v>0</v>
      </c>
      <c r="AL1900" s="199">
        <v>0</v>
      </c>
      <c r="AM1900" s="150">
        <f t="shared" si="1604"/>
        <v>0</v>
      </c>
      <c r="AN1900" s="153">
        <f t="shared" si="1581"/>
        <v>0</v>
      </c>
      <c r="AO1900" s="154">
        <f t="shared" si="1582"/>
        <v>0</v>
      </c>
      <c r="AP1900" s="150">
        <v>0</v>
      </c>
      <c r="AQ1900" s="201">
        <v>0</v>
      </c>
      <c r="AR1900" s="199">
        <v>0</v>
      </c>
      <c r="AS1900" s="150">
        <f t="shared" si="1605"/>
        <v>0</v>
      </c>
      <c r="AT1900" s="155"/>
      <c r="AU1900" s="156">
        <f t="shared" si="1577"/>
        <v>0</v>
      </c>
      <c r="AV1900" s="156">
        <f t="shared" si="1578"/>
        <v>0</v>
      </c>
      <c r="AW1900" s="157"/>
      <c r="AX1900" s="150">
        <v>0</v>
      </c>
      <c r="AY1900" s="150">
        <v>0</v>
      </c>
      <c r="AZ1900" s="150">
        <f t="shared" si="1606"/>
        <v>0</v>
      </c>
      <c r="BA1900" s="150">
        <v>0</v>
      </c>
      <c r="BB1900" s="210"/>
      <c r="BC1900" s="210"/>
      <c r="BD1900" s="210"/>
      <c r="BE1900" s="210"/>
      <c r="BF1900" s="210"/>
      <c r="BG1900" s="210"/>
      <c r="BH1900" s="217"/>
      <c r="BI1900" s="210"/>
      <c r="BJ1900" s="210"/>
      <c r="BK1900" s="210"/>
      <c r="BL1900" s="210"/>
      <c r="BM1900" s="208"/>
      <c r="BN1900" s="160"/>
      <c r="BO1900" s="161"/>
      <c r="BP1900" s="161"/>
    </row>
    <row r="1901" spans="1:68" ht="38.25">
      <c r="A1901" s="210"/>
      <c r="B1901" s="195" t="s">
        <v>9557</v>
      </c>
      <c r="C1901" s="196" t="s">
        <v>9558</v>
      </c>
      <c r="D1901" s="146" t="s">
        <v>4692</v>
      </c>
      <c r="E1901" s="196" t="s">
        <v>9558</v>
      </c>
      <c r="F1901" s="150">
        <v>0</v>
      </c>
      <c r="G1901" s="209">
        <v>0</v>
      </c>
      <c r="H1901" s="209">
        <v>0</v>
      </c>
      <c r="I1901" s="209">
        <v>0</v>
      </c>
      <c r="J1901" s="150">
        <v>0</v>
      </c>
      <c r="K1901" s="150">
        <v>0</v>
      </c>
      <c r="L1901" s="150">
        <f t="shared" si="1585"/>
        <v>0</v>
      </c>
      <c r="M1901" s="150">
        <v>0</v>
      </c>
      <c r="N1901" s="150">
        <v>0</v>
      </c>
      <c r="O1901" s="150">
        <v>0</v>
      </c>
      <c r="P1901" s="150">
        <v>0</v>
      </c>
      <c r="Q1901" s="150">
        <v>0</v>
      </c>
      <c r="R1901" s="313">
        <f t="shared" si="1601"/>
        <v>0</v>
      </c>
      <c r="S1901" s="150">
        <f t="shared" si="1583"/>
        <v>0</v>
      </c>
      <c r="T1901" s="150">
        <v>0</v>
      </c>
      <c r="U1901" s="150">
        <v>0</v>
      </c>
      <c r="V1901" s="199">
        <v>0</v>
      </c>
      <c r="W1901" s="150">
        <f t="shared" si="1602"/>
        <v>0</v>
      </c>
      <c r="X1901" s="150">
        <v>0</v>
      </c>
      <c r="Y1901" s="150">
        <v>0</v>
      </c>
      <c r="Z1901" s="150">
        <v>0</v>
      </c>
      <c r="AA1901" s="150">
        <f t="shared" si="1579"/>
        <v>0</v>
      </c>
      <c r="AB1901" s="150">
        <v>0</v>
      </c>
      <c r="AC1901" s="199">
        <v>0</v>
      </c>
      <c r="AD1901" s="150">
        <f t="shared" si="1603"/>
        <v>0</v>
      </c>
      <c r="AE1901" s="150">
        <v>0</v>
      </c>
      <c r="AF1901" s="169" t="s">
        <v>4680</v>
      </c>
      <c r="AG1901" s="201">
        <v>0</v>
      </c>
      <c r="AH1901" s="199">
        <v>0</v>
      </c>
      <c r="AI1901" s="150">
        <v>0</v>
      </c>
      <c r="AJ1901" s="169">
        <f t="shared" si="1580"/>
        <v>0</v>
      </c>
      <c r="AK1901" s="201">
        <v>0</v>
      </c>
      <c r="AL1901" s="199">
        <v>0</v>
      </c>
      <c r="AM1901" s="150">
        <f t="shared" si="1604"/>
        <v>0</v>
      </c>
      <c r="AN1901" s="153">
        <f t="shared" si="1581"/>
        <v>0</v>
      </c>
      <c r="AO1901" s="154">
        <f t="shared" si="1582"/>
        <v>0</v>
      </c>
      <c r="AP1901" s="150">
        <v>0</v>
      </c>
      <c r="AQ1901" s="201">
        <v>0</v>
      </c>
      <c r="AR1901" s="199">
        <v>0</v>
      </c>
      <c r="AS1901" s="150">
        <f t="shared" si="1605"/>
        <v>0</v>
      </c>
      <c r="AT1901" s="155"/>
      <c r="AU1901" s="156">
        <f t="shared" si="1577"/>
        <v>0</v>
      </c>
      <c r="AV1901" s="156">
        <f t="shared" si="1578"/>
        <v>0</v>
      </c>
      <c r="AW1901" s="157"/>
      <c r="AX1901" s="150">
        <v>0</v>
      </c>
      <c r="AY1901" s="150">
        <v>0</v>
      </c>
      <c r="AZ1901" s="150">
        <f t="shared" si="1606"/>
        <v>0</v>
      </c>
      <c r="BA1901" s="150">
        <v>0</v>
      </c>
      <c r="BB1901" s="210"/>
      <c r="BC1901" s="210"/>
      <c r="BD1901" s="210"/>
      <c r="BE1901" s="210"/>
      <c r="BF1901" s="210"/>
      <c r="BG1901" s="210"/>
      <c r="BH1901" s="217"/>
      <c r="BI1901" s="210"/>
      <c r="BJ1901" s="210"/>
      <c r="BK1901" s="210"/>
      <c r="BL1901" s="210"/>
      <c r="BM1901" s="208"/>
      <c r="BN1901" s="160"/>
      <c r="BO1901" s="161"/>
      <c r="BP1901" s="161"/>
    </row>
    <row r="1902" spans="1:68" ht="51">
      <c r="A1902" s="210"/>
      <c r="B1902" s="195" t="s">
        <v>9559</v>
      </c>
      <c r="C1902" s="196" t="s">
        <v>9560</v>
      </c>
      <c r="D1902" s="146" t="s">
        <v>4692</v>
      </c>
      <c r="E1902" s="196" t="s">
        <v>9560</v>
      </c>
      <c r="F1902" s="150">
        <v>0</v>
      </c>
      <c r="G1902" s="209">
        <v>0</v>
      </c>
      <c r="H1902" s="209">
        <v>0</v>
      </c>
      <c r="I1902" s="209">
        <v>0</v>
      </c>
      <c r="J1902" s="150">
        <v>0</v>
      </c>
      <c r="K1902" s="150">
        <v>0</v>
      </c>
      <c r="L1902" s="150">
        <f t="shared" si="1585"/>
        <v>0</v>
      </c>
      <c r="M1902" s="150">
        <v>0</v>
      </c>
      <c r="N1902" s="150">
        <v>0</v>
      </c>
      <c r="O1902" s="150">
        <v>0</v>
      </c>
      <c r="P1902" s="150">
        <v>438.56</v>
      </c>
      <c r="Q1902" s="150">
        <v>0</v>
      </c>
      <c r="R1902" s="313">
        <f t="shared" si="1601"/>
        <v>438.56</v>
      </c>
      <c r="S1902" s="150">
        <f t="shared" si="1583"/>
        <v>584.74666666666667</v>
      </c>
      <c r="T1902" s="150">
        <v>438.56</v>
      </c>
      <c r="U1902" s="150">
        <v>438.56</v>
      </c>
      <c r="V1902" s="199">
        <v>0</v>
      </c>
      <c r="W1902" s="150">
        <f t="shared" si="1602"/>
        <v>438.56</v>
      </c>
      <c r="X1902" s="150">
        <v>438.56</v>
      </c>
      <c r="Y1902" s="150">
        <v>0</v>
      </c>
      <c r="Z1902" s="150">
        <v>438.56</v>
      </c>
      <c r="AA1902" s="150">
        <f t="shared" si="1579"/>
        <v>0</v>
      </c>
      <c r="AB1902" s="150">
        <v>438.56</v>
      </c>
      <c r="AC1902" s="199">
        <v>0</v>
      </c>
      <c r="AD1902" s="150">
        <f t="shared" si="1603"/>
        <v>438.56</v>
      </c>
      <c r="AE1902" s="150">
        <v>438.56</v>
      </c>
      <c r="AF1902" s="169" t="s">
        <v>4680</v>
      </c>
      <c r="AG1902" s="201">
        <v>438.56</v>
      </c>
      <c r="AH1902" s="199">
        <v>0</v>
      </c>
      <c r="AI1902" s="150">
        <v>438.56</v>
      </c>
      <c r="AJ1902" s="169">
        <f t="shared" si="1580"/>
        <v>0</v>
      </c>
      <c r="AK1902" s="201">
        <v>438.56</v>
      </c>
      <c r="AL1902" s="199">
        <v>0</v>
      </c>
      <c r="AM1902" s="150">
        <f t="shared" si="1604"/>
        <v>438.56</v>
      </c>
      <c r="AN1902" s="153">
        <f t="shared" si="1581"/>
        <v>0</v>
      </c>
      <c r="AO1902" s="154">
        <f t="shared" si="1582"/>
        <v>0</v>
      </c>
      <c r="AP1902" s="150">
        <v>438.56</v>
      </c>
      <c r="AQ1902" s="201">
        <v>438.56</v>
      </c>
      <c r="AR1902" s="199">
        <v>0</v>
      </c>
      <c r="AS1902" s="150">
        <f t="shared" si="1605"/>
        <v>438.56</v>
      </c>
      <c r="AT1902" s="155"/>
      <c r="AU1902" s="156">
        <f t="shared" si="1577"/>
        <v>0</v>
      </c>
      <c r="AV1902" s="156">
        <f t="shared" si="1578"/>
        <v>0</v>
      </c>
      <c r="AW1902" s="157"/>
      <c r="AX1902" s="150">
        <v>438.56</v>
      </c>
      <c r="AY1902" s="150">
        <v>0</v>
      </c>
      <c r="AZ1902" s="150">
        <f t="shared" si="1606"/>
        <v>0</v>
      </c>
      <c r="BA1902" s="150">
        <v>0</v>
      </c>
      <c r="BB1902" s="210"/>
      <c r="BC1902" s="210"/>
      <c r="BD1902" s="210"/>
      <c r="BE1902" s="210"/>
      <c r="BF1902" s="210"/>
      <c r="BG1902" s="210"/>
      <c r="BH1902" s="217"/>
      <c r="BI1902" s="210"/>
      <c r="BJ1902" s="210"/>
      <c r="BK1902" s="210"/>
      <c r="BL1902" s="210"/>
      <c r="BM1902" s="208"/>
      <c r="BN1902" s="160"/>
      <c r="BO1902" s="161"/>
      <c r="BP1902" s="161"/>
    </row>
    <row r="1903" spans="1:68" ht="51">
      <c r="A1903" s="210"/>
      <c r="B1903" s="195" t="s">
        <v>9561</v>
      </c>
      <c r="C1903" s="196" t="s">
        <v>9562</v>
      </c>
      <c r="D1903" s="146" t="s">
        <v>4692</v>
      </c>
      <c r="E1903" s="196" t="s">
        <v>9562</v>
      </c>
      <c r="F1903" s="150">
        <v>0</v>
      </c>
      <c r="G1903" s="209">
        <v>0</v>
      </c>
      <c r="H1903" s="209">
        <v>0</v>
      </c>
      <c r="I1903" s="209">
        <v>0</v>
      </c>
      <c r="J1903" s="150">
        <v>0</v>
      </c>
      <c r="K1903" s="150">
        <v>0</v>
      </c>
      <c r="L1903" s="150">
        <f t="shared" si="1585"/>
        <v>0</v>
      </c>
      <c r="M1903" s="150">
        <v>0</v>
      </c>
      <c r="N1903" s="150">
        <v>0</v>
      </c>
      <c r="O1903" s="150">
        <v>0</v>
      </c>
      <c r="P1903" s="150">
        <v>0</v>
      </c>
      <c r="Q1903" s="150">
        <v>0</v>
      </c>
      <c r="R1903" s="313">
        <f t="shared" si="1601"/>
        <v>0</v>
      </c>
      <c r="S1903" s="150">
        <f t="shared" si="1583"/>
        <v>0</v>
      </c>
      <c r="T1903" s="150">
        <v>0</v>
      </c>
      <c r="U1903" s="150">
        <v>0</v>
      </c>
      <c r="V1903" s="199">
        <v>0</v>
      </c>
      <c r="W1903" s="150">
        <f t="shared" si="1602"/>
        <v>0</v>
      </c>
      <c r="X1903" s="150">
        <v>0</v>
      </c>
      <c r="Y1903" s="150">
        <v>0</v>
      </c>
      <c r="Z1903" s="150">
        <v>0</v>
      </c>
      <c r="AA1903" s="150">
        <f t="shared" si="1579"/>
        <v>0</v>
      </c>
      <c r="AB1903" s="150">
        <v>0</v>
      </c>
      <c r="AC1903" s="199">
        <v>0</v>
      </c>
      <c r="AD1903" s="150">
        <f t="shared" si="1603"/>
        <v>0</v>
      </c>
      <c r="AE1903" s="150">
        <v>0</v>
      </c>
      <c r="AF1903" s="169" t="s">
        <v>4680</v>
      </c>
      <c r="AG1903" s="201">
        <v>0</v>
      </c>
      <c r="AH1903" s="199">
        <v>0</v>
      </c>
      <c r="AI1903" s="150">
        <v>0</v>
      </c>
      <c r="AJ1903" s="169">
        <f t="shared" si="1580"/>
        <v>0</v>
      </c>
      <c r="AK1903" s="201">
        <v>0</v>
      </c>
      <c r="AL1903" s="199">
        <v>0</v>
      </c>
      <c r="AM1903" s="150">
        <f t="shared" si="1604"/>
        <v>0</v>
      </c>
      <c r="AN1903" s="153">
        <f t="shared" si="1581"/>
        <v>0</v>
      </c>
      <c r="AO1903" s="154">
        <f t="shared" si="1582"/>
        <v>0</v>
      </c>
      <c r="AP1903" s="150">
        <v>0</v>
      </c>
      <c r="AQ1903" s="201">
        <v>0</v>
      </c>
      <c r="AR1903" s="199">
        <v>0</v>
      </c>
      <c r="AS1903" s="150">
        <f t="shared" si="1605"/>
        <v>0</v>
      </c>
      <c r="AT1903" s="155"/>
      <c r="AU1903" s="156">
        <f t="shared" si="1577"/>
        <v>0</v>
      </c>
      <c r="AV1903" s="156">
        <f t="shared" si="1578"/>
        <v>0</v>
      </c>
      <c r="AW1903" s="157"/>
      <c r="AX1903" s="150">
        <v>0</v>
      </c>
      <c r="AY1903" s="150">
        <v>0</v>
      </c>
      <c r="AZ1903" s="150">
        <f t="shared" si="1606"/>
        <v>0</v>
      </c>
      <c r="BA1903" s="150">
        <v>0</v>
      </c>
      <c r="BB1903" s="210"/>
      <c r="BC1903" s="210"/>
      <c r="BD1903" s="210"/>
      <c r="BE1903" s="210"/>
      <c r="BF1903" s="210"/>
      <c r="BG1903" s="210"/>
      <c r="BH1903" s="217"/>
      <c r="BI1903" s="210"/>
      <c r="BJ1903" s="210"/>
      <c r="BK1903" s="210"/>
      <c r="BL1903" s="210"/>
      <c r="BM1903" s="208"/>
      <c r="BN1903" s="160"/>
      <c r="BO1903" s="161"/>
      <c r="BP1903" s="161"/>
    </row>
    <row r="1904" spans="1:68" ht="51">
      <c r="A1904" s="210"/>
      <c r="B1904" s="195" t="s">
        <v>9563</v>
      </c>
      <c r="C1904" s="196" t="s">
        <v>9564</v>
      </c>
      <c r="D1904" s="146" t="s">
        <v>4692</v>
      </c>
      <c r="E1904" s="196" t="s">
        <v>9564</v>
      </c>
      <c r="F1904" s="150">
        <v>0</v>
      </c>
      <c r="G1904" s="209">
        <v>0</v>
      </c>
      <c r="H1904" s="209">
        <v>0</v>
      </c>
      <c r="I1904" s="209">
        <v>0</v>
      </c>
      <c r="J1904" s="150">
        <v>0</v>
      </c>
      <c r="K1904" s="150">
        <v>0</v>
      </c>
      <c r="L1904" s="150">
        <f t="shared" si="1585"/>
        <v>0</v>
      </c>
      <c r="M1904" s="150">
        <v>0</v>
      </c>
      <c r="N1904" s="150">
        <v>0</v>
      </c>
      <c r="O1904" s="150">
        <v>0</v>
      </c>
      <c r="P1904" s="150">
        <v>0</v>
      </c>
      <c r="Q1904" s="150">
        <v>0</v>
      </c>
      <c r="R1904" s="313">
        <f t="shared" si="1601"/>
        <v>0</v>
      </c>
      <c r="S1904" s="150">
        <f t="shared" si="1583"/>
        <v>0</v>
      </c>
      <c r="T1904" s="150">
        <v>0</v>
      </c>
      <c r="U1904" s="150">
        <v>0</v>
      </c>
      <c r="V1904" s="199">
        <v>0</v>
      </c>
      <c r="W1904" s="150">
        <f t="shared" si="1602"/>
        <v>0</v>
      </c>
      <c r="X1904" s="150">
        <v>0</v>
      </c>
      <c r="Y1904" s="150">
        <v>0</v>
      </c>
      <c r="Z1904" s="150">
        <v>0</v>
      </c>
      <c r="AA1904" s="150">
        <f t="shared" si="1579"/>
        <v>0</v>
      </c>
      <c r="AB1904" s="150">
        <v>0</v>
      </c>
      <c r="AC1904" s="199">
        <v>0</v>
      </c>
      <c r="AD1904" s="150">
        <f t="shared" si="1603"/>
        <v>0</v>
      </c>
      <c r="AE1904" s="150">
        <v>0</v>
      </c>
      <c r="AF1904" s="169" t="s">
        <v>4680</v>
      </c>
      <c r="AG1904" s="201">
        <v>0</v>
      </c>
      <c r="AH1904" s="199">
        <v>0</v>
      </c>
      <c r="AI1904" s="150">
        <v>0</v>
      </c>
      <c r="AJ1904" s="169">
        <f t="shared" si="1580"/>
        <v>0</v>
      </c>
      <c r="AK1904" s="201">
        <v>0</v>
      </c>
      <c r="AL1904" s="199">
        <v>0</v>
      </c>
      <c r="AM1904" s="150">
        <f t="shared" si="1604"/>
        <v>0</v>
      </c>
      <c r="AN1904" s="153">
        <f t="shared" si="1581"/>
        <v>0</v>
      </c>
      <c r="AO1904" s="154">
        <f t="shared" si="1582"/>
        <v>0</v>
      </c>
      <c r="AP1904" s="150">
        <v>0</v>
      </c>
      <c r="AQ1904" s="201">
        <v>0</v>
      </c>
      <c r="AR1904" s="199">
        <v>0</v>
      </c>
      <c r="AS1904" s="150">
        <f t="shared" si="1605"/>
        <v>0</v>
      </c>
      <c r="AT1904" s="155"/>
      <c r="AU1904" s="156">
        <f t="shared" si="1577"/>
        <v>0</v>
      </c>
      <c r="AV1904" s="156">
        <f t="shared" si="1578"/>
        <v>0</v>
      </c>
      <c r="AW1904" s="157"/>
      <c r="AX1904" s="150">
        <v>0</v>
      </c>
      <c r="AY1904" s="150">
        <v>0</v>
      </c>
      <c r="AZ1904" s="150">
        <f t="shared" si="1606"/>
        <v>0</v>
      </c>
      <c r="BA1904" s="150">
        <v>0</v>
      </c>
      <c r="BB1904" s="210"/>
      <c r="BC1904" s="210"/>
      <c r="BD1904" s="210"/>
      <c r="BE1904" s="210"/>
      <c r="BF1904" s="210"/>
      <c r="BG1904" s="210"/>
      <c r="BH1904" s="217"/>
      <c r="BI1904" s="210"/>
      <c r="BJ1904" s="210"/>
      <c r="BK1904" s="210"/>
      <c r="BL1904" s="210"/>
      <c r="BM1904" s="208"/>
      <c r="BN1904" s="160"/>
      <c r="BO1904" s="161"/>
      <c r="BP1904" s="161"/>
    </row>
    <row r="1905" spans="1:68" ht="51">
      <c r="A1905" s="210"/>
      <c r="B1905" s="195" t="s">
        <v>9565</v>
      </c>
      <c r="C1905" s="196" t="s">
        <v>9566</v>
      </c>
      <c r="D1905" s="146" t="s">
        <v>4692</v>
      </c>
      <c r="E1905" s="196" t="s">
        <v>9566</v>
      </c>
      <c r="F1905" s="150">
        <v>0</v>
      </c>
      <c r="G1905" s="209">
        <v>0</v>
      </c>
      <c r="H1905" s="209">
        <v>0</v>
      </c>
      <c r="I1905" s="209">
        <v>0</v>
      </c>
      <c r="J1905" s="150">
        <v>0</v>
      </c>
      <c r="K1905" s="150">
        <v>0</v>
      </c>
      <c r="L1905" s="150">
        <f t="shared" si="1585"/>
        <v>0</v>
      </c>
      <c r="M1905" s="150">
        <v>0</v>
      </c>
      <c r="N1905" s="150">
        <v>0</v>
      </c>
      <c r="O1905" s="150">
        <v>0</v>
      </c>
      <c r="P1905" s="150">
        <v>0</v>
      </c>
      <c r="Q1905" s="150">
        <v>0</v>
      </c>
      <c r="R1905" s="313">
        <f t="shared" si="1601"/>
        <v>0</v>
      </c>
      <c r="S1905" s="150">
        <f t="shared" si="1583"/>
        <v>0</v>
      </c>
      <c r="T1905" s="150">
        <v>0</v>
      </c>
      <c r="U1905" s="150">
        <v>0</v>
      </c>
      <c r="V1905" s="199">
        <v>0</v>
      </c>
      <c r="W1905" s="150">
        <f t="shared" si="1602"/>
        <v>0</v>
      </c>
      <c r="X1905" s="150">
        <v>0</v>
      </c>
      <c r="Y1905" s="150">
        <v>0</v>
      </c>
      <c r="Z1905" s="150">
        <v>0</v>
      </c>
      <c r="AA1905" s="150">
        <f t="shared" si="1579"/>
        <v>0</v>
      </c>
      <c r="AB1905" s="150">
        <v>0</v>
      </c>
      <c r="AC1905" s="199">
        <v>0</v>
      </c>
      <c r="AD1905" s="150">
        <f t="shared" si="1603"/>
        <v>0</v>
      </c>
      <c r="AE1905" s="150">
        <v>0</v>
      </c>
      <c r="AF1905" s="169" t="s">
        <v>4680</v>
      </c>
      <c r="AG1905" s="201">
        <v>0</v>
      </c>
      <c r="AH1905" s="199">
        <v>0</v>
      </c>
      <c r="AI1905" s="150">
        <v>0</v>
      </c>
      <c r="AJ1905" s="169">
        <f t="shared" si="1580"/>
        <v>0</v>
      </c>
      <c r="AK1905" s="201">
        <v>0</v>
      </c>
      <c r="AL1905" s="199">
        <v>0</v>
      </c>
      <c r="AM1905" s="150">
        <f t="shared" si="1604"/>
        <v>0</v>
      </c>
      <c r="AN1905" s="153">
        <f t="shared" si="1581"/>
        <v>0</v>
      </c>
      <c r="AO1905" s="154">
        <f t="shared" si="1582"/>
        <v>0</v>
      </c>
      <c r="AP1905" s="150">
        <v>0</v>
      </c>
      <c r="AQ1905" s="201">
        <v>0</v>
      </c>
      <c r="AR1905" s="199">
        <v>0</v>
      </c>
      <c r="AS1905" s="150">
        <f t="shared" si="1605"/>
        <v>0</v>
      </c>
      <c r="AT1905" s="155"/>
      <c r="AU1905" s="156">
        <f t="shared" si="1577"/>
        <v>0</v>
      </c>
      <c r="AV1905" s="156">
        <f t="shared" si="1578"/>
        <v>0</v>
      </c>
      <c r="AW1905" s="157"/>
      <c r="AX1905" s="150">
        <v>0</v>
      </c>
      <c r="AY1905" s="150">
        <v>0</v>
      </c>
      <c r="AZ1905" s="150">
        <f t="shared" si="1606"/>
        <v>0</v>
      </c>
      <c r="BA1905" s="150">
        <v>0</v>
      </c>
      <c r="BB1905" s="210"/>
      <c r="BC1905" s="210"/>
      <c r="BD1905" s="210"/>
      <c r="BE1905" s="210"/>
      <c r="BF1905" s="210"/>
      <c r="BG1905" s="210"/>
      <c r="BH1905" s="217"/>
      <c r="BI1905" s="210"/>
      <c r="BJ1905" s="210"/>
      <c r="BK1905" s="210"/>
      <c r="BL1905" s="210"/>
      <c r="BM1905" s="208"/>
      <c r="BN1905" s="160"/>
      <c r="BO1905" s="161"/>
      <c r="BP1905" s="161"/>
    </row>
    <row r="1906" spans="1:68" ht="51">
      <c r="A1906" s="210"/>
      <c r="B1906" s="195" t="s">
        <v>9567</v>
      </c>
      <c r="C1906" s="196" t="s">
        <v>9568</v>
      </c>
      <c r="D1906" s="146" t="s">
        <v>4692</v>
      </c>
      <c r="E1906" s="196" t="s">
        <v>9568</v>
      </c>
      <c r="F1906" s="150">
        <v>0</v>
      </c>
      <c r="G1906" s="209">
        <v>0</v>
      </c>
      <c r="H1906" s="209">
        <v>0</v>
      </c>
      <c r="I1906" s="209">
        <v>0</v>
      </c>
      <c r="J1906" s="150">
        <v>0</v>
      </c>
      <c r="K1906" s="150">
        <v>0</v>
      </c>
      <c r="L1906" s="150">
        <f t="shared" si="1585"/>
        <v>0</v>
      </c>
      <c r="M1906" s="150">
        <v>0</v>
      </c>
      <c r="N1906" s="150">
        <v>0</v>
      </c>
      <c r="O1906" s="150">
        <v>0</v>
      </c>
      <c r="P1906" s="150">
        <v>0</v>
      </c>
      <c r="Q1906" s="150">
        <v>0</v>
      </c>
      <c r="R1906" s="313">
        <f t="shared" si="1601"/>
        <v>0</v>
      </c>
      <c r="S1906" s="150">
        <f t="shared" si="1583"/>
        <v>0</v>
      </c>
      <c r="T1906" s="150">
        <v>0</v>
      </c>
      <c r="U1906" s="150">
        <v>0</v>
      </c>
      <c r="V1906" s="199">
        <v>0</v>
      </c>
      <c r="W1906" s="150">
        <f t="shared" si="1602"/>
        <v>0</v>
      </c>
      <c r="X1906" s="150">
        <v>0</v>
      </c>
      <c r="Y1906" s="150">
        <v>0</v>
      </c>
      <c r="Z1906" s="150">
        <v>0</v>
      </c>
      <c r="AA1906" s="150">
        <f t="shared" si="1579"/>
        <v>0</v>
      </c>
      <c r="AB1906" s="150">
        <v>0</v>
      </c>
      <c r="AC1906" s="199">
        <v>0</v>
      </c>
      <c r="AD1906" s="150">
        <f t="shared" si="1603"/>
        <v>0</v>
      </c>
      <c r="AE1906" s="150">
        <v>0</v>
      </c>
      <c r="AF1906" s="169" t="s">
        <v>4680</v>
      </c>
      <c r="AG1906" s="201">
        <v>0</v>
      </c>
      <c r="AH1906" s="199">
        <v>0</v>
      </c>
      <c r="AI1906" s="150">
        <v>0</v>
      </c>
      <c r="AJ1906" s="169">
        <f t="shared" si="1580"/>
        <v>0</v>
      </c>
      <c r="AK1906" s="201">
        <v>0</v>
      </c>
      <c r="AL1906" s="199">
        <v>0</v>
      </c>
      <c r="AM1906" s="150">
        <f t="shared" si="1604"/>
        <v>0</v>
      </c>
      <c r="AN1906" s="153">
        <f t="shared" si="1581"/>
        <v>0</v>
      </c>
      <c r="AO1906" s="154">
        <f t="shared" si="1582"/>
        <v>0</v>
      </c>
      <c r="AP1906" s="150">
        <v>0</v>
      </c>
      <c r="AQ1906" s="201">
        <v>0</v>
      </c>
      <c r="AR1906" s="199">
        <v>0</v>
      </c>
      <c r="AS1906" s="150">
        <f t="shared" si="1605"/>
        <v>0</v>
      </c>
      <c r="AT1906" s="155"/>
      <c r="AU1906" s="156">
        <f t="shared" si="1577"/>
        <v>0</v>
      </c>
      <c r="AV1906" s="156">
        <f t="shared" si="1578"/>
        <v>0</v>
      </c>
      <c r="AW1906" s="157"/>
      <c r="AX1906" s="150">
        <v>0</v>
      </c>
      <c r="AY1906" s="150">
        <v>0</v>
      </c>
      <c r="AZ1906" s="150">
        <f t="shared" si="1606"/>
        <v>0</v>
      </c>
      <c r="BA1906" s="150">
        <v>0</v>
      </c>
      <c r="BB1906" s="210"/>
      <c r="BC1906" s="210"/>
      <c r="BD1906" s="210"/>
      <c r="BE1906" s="210"/>
      <c r="BF1906" s="210"/>
      <c r="BG1906" s="210"/>
      <c r="BH1906" s="217"/>
      <c r="BI1906" s="210"/>
      <c r="BJ1906" s="210"/>
      <c r="BK1906" s="210"/>
      <c r="BL1906" s="210"/>
      <c r="BM1906" s="208"/>
      <c r="BN1906" s="160"/>
      <c r="BO1906" s="161"/>
      <c r="BP1906" s="161"/>
    </row>
    <row r="1907" spans="1:68" ht="51">
      <c r="A1907" s="210"/>
      <c r="B1907" s="195" t="s">
        <v>9569</v>
      </c>
      <c r="C1907" s="196" t="s">
        <v>9570</v>
      </c>
      <c r="D1907" s="146" t="s">
        <v>4692</v>
      </c>
      <c r="E1907" s="196" t="s">
        <v>9570</v>
      </c>
      <c r="F1907" s="150">
        <v>0</v>
      </c>
      <c r="G1907" s="209">
        <v>0</v>
      </c>
      <c r="H1907" s="209">
        <v>0</v>
      </c>
      <c r="I1907" s="209">
        <v>0</v>
      </c>
      <c r="J1907" s="150">
        <v>0</v>
      </c>
      <c r="K1907" s="150">
        <v>0</v>
      </c>
      <c r="L1907" s="150">
        <f t="shared" si="1585"/>
        <v>0</v>
      </c>
      <c r="M1907" s="150">
        <v>0</v>
      </c>
      <c r="N1907" s="150">
        <v>0</v>
      </c>
      <c r="O1907" s="150">
        <v>0</v>
      </c>
      <c r="P1907" s="150">
        <v>0</v>
      </c>
      <c r="Q1907" s="150">
        <v>0</v>
      </c>
      <c r="R1907" s="313">
        <f t="shared" si="1601"/>
        <v>0</v>
      </c>
      <c r="S1907" s="150">
        <f t="shared" si="1583"/>
        <v>0</v>
      </c>
      <c r="T1907" s="150">
        <v>0</v>
      </c>
      <c r="U1907" s="150">
        <v>0</v>
      </c>
      <c r="V1907" s="199">
        <v>0</v>
      </c>
      <c r="W1907" s="150">
        <f t="shared" si="1602"/>
        <v>0</v>
      </c>
      <c r="X1907" s="150">
        <v>0</v>
      </c>
      <c r="Y1907" s="150">
        <v>0</v>
      </c>
      <c r="Z1907" s="150">
        <v>0</v>
      </c>
      <c r="AA1907" s="150">
        <f t="shared" si="1579"/>
        <v>0</v>
      </c>
      <c r="AB1907" s="150">
        <v>0</v>
      </c>
      <c r="AC1907" s="199">
        <v>0</v>
      </c>
      <c r="AD1907" s="150">
        <f t="shared" si="1603"/>
        <v>0</v>
      </c>
      <c r="AE1907" s="150">
        <v>0</v>
      </c>
      <c r="AF1907" s="169" t="s">
        <v>4680</v>
      </c>
      <c r="AG1907" s="201">
        <v>0</v>
      </c>
      <c r="AH1907" s="199">
        <v>0</v>
      </c>
      <c r="AI1907" s="150">
        <v>0</v>
      </c>
      <c r="AJ1907" s="169">
        <f t="shared" si="1580"/>
        <v>0</v>
      </c>
      <c r="AK1907" s="201">
        <v>0</v>
      </c>
      <c r="AL1907" s="199">
        <v>0</v>
      </c>
      <c r="AM1907" s="150">
        <f t="shared" si="1604"/>
        <v>0</v>
      </c>
      <c r="AN1907" s="153">
        <f t="shared" si="1581"/>
        <v>0</v>
      </c>
      <c r="AO1907" s="154">
        <f t="shared" si="1582"/>
        <v>0</v>
      </c>
      <c r="AP1907" s="150">
        <v>0</v>
      </c>
      <c r="AQ1907" s="201">
        <v>0</v>
      </c>
      <c r="AR1907" s="199">
        <v>0</v>
      </c>
      <c r="AS1907" s="150">
        <f t="shared" si="1605"/>
        <v>0</v>
      </c>
      <c r="AT1907" s="155"/>
      <c r="AU1907" s="156">
        <f t="shared" si="1577"/>
        <v>0</v>
      </c>
      <c r="AV1907" s="156">
        <f t="shared" si="1578"/>
        <v>0</v>
      </c>
      <c r="AW1907" s="157"/>
      <c r="AX1907" s="150">
        <v>0</v>
      </c>
      <c r="AY1907" s="150">
        <v>0</v>
      </c>
      <c r="AZ1907" s="150">
        <f t="shared" si="1606"/>
        <v>0</v>
      </c>
      <c r="BA1907" s="150">
        <v>0</v>
      </c>
      <c r="BB1907" s="210"/>
      <c r="BC1907" s="210"/>
      <c r="BD1907" s="210"/>
      <c r="BE1907" s="210"/>
      <c r="BF1907" s="210"/>
      <c r="BG1907" s="210"/>
      <c r="BH1907" s="217"/>
      <c r="BI1907" s="210"/>
      <c r="BJ1907" s="210"/>
      <c r="BK1907" s="210"/>
      <c r="BL1907" s="210"/>
      <c r="BM1907" s="208"/>
      <c r="BN1907" s="160"/>
      <c r="BO1907" s="161"/>
      <c r="BP1907" s="161"/>
    </row>
    <row r="1908" spans="1:68" ht="51">
      <c r="A1908" s="210"/>
      <c r="B1908" s="195" t="s">
        <v>9571</v>
      </c>
      <c r="C1908" s="196" t="s">
        <v>9572</v>
      </c>
      <c r="D1908" s="146" t="s">
        <v>4692</v>
      </c>
      <c r="E1908" s="196" t="s">
        <v>9572</v>
      </c>
      <c r="F1908" s="150">
        <v>0</v>
      </c>
      <c r="G1908" s="209">
        <v>118600.69</v>
      </c>
      <c r="H1908" s="209">
        <v>-118601</v>
      </c>
      <c r="I1908" s="209">
        <v>-0.30999999999767169</v>
      </c>
      <c r="J1908" s="150">
        <v>0</v>
      </c>
      <c r="K1908" s="150">
        <v>0</v>
      </c>
      <c r="L1908" s="150">
        <f t="shared" si="1585"/>
        <v>0</v>
      </c>
      <c r="M1908" s="150">
        <v>0</v>
      </c>
      <c r="N1908" s="150">
        <v>0</v>
      </c>
      <c r="O1908" s="150">
        <v>0</v>
      </c>
      <c r="P1908" s="150">
        <v>0</v>
      </c>
      <c r="Q1908" s="150">
        <v>0</v>
      </c>
      <c r="R1908" s="313">
        <f t="shared" si="1601"/>
        <v>0</v>
      </c>
      <c r="S1908" s="150">
        <f t="shared" si="1583"/>
        <v>0</v>
      </c>
      <c r="T1908" s="150">
        <v>0</v>
      </c>
      <c r="U1908" s="150">
        <v>0</v>
      </c>
      <c r="V1908" s="199">
        <v>0</v>
      </c>
      <c r="W1908" s="150">
        <f t="shared" si="1602"/>
        <v>0</v>
      </c>
      <c r="X1908" s="150">
        <v>0</v>
      </c>
      <c r="Y1908" s="150">
        <v>0</v>
      </c>
      <c r="Z1908" s="150">
        <v>0</v>
      </c>
      <c r="AA1908" s="150">
        <f t="shared" si="1579"/>
        <v>0</v>
      </c>
      <c r="AB1908" s="150">
        <v>0</v>
      </c>
      <c r="AC1908" s="199">
        <v>0</v>
      </c>
      <c r="AD1908" s="150">
        <f t="shared" si="1603"/>
        <v>0</v>
      </c>
      <c r="AE1908" s="150">
        <v>0</v>
      </c>
      <c r="AF1908" s="169" t="s">
        <v>4680</v>
      </c>
      <c r="AG1908" s="201">
        <v>0</v>
      </c>
      <c r="AH1908" s="199">
        <v>0</v>
      </c>
      <c r="AI1908" s="150">
        <v>0</v>
      </c>
      <c r="AJ1908" s="169">
        <f t="shared" si="1580"/>
        <v>0</v>
      </c>
      <c r="AK1908" s="201">
        <v>0</v>
      </c>
      <c r="AL1908" s="199">
        <v>0</v>
      </c>
      <c r="AM1908" s="150">
        <f t="shared" si="1604"/>
        <v>0</v>
      </c>
      <c r="AN1908" s="153">
        <f t="shared" si="1581"/>
        <v>0</v>
      </c>
      <c r="AO1908" s="154">
        <f t="shared" si="1582"/>
        <v>0</v>
      </c>
      <c r="AP1908" s="150">
        <v>0</v>
      </c>
      <c r="AQ1908" s="201">
        <v>0</v>
      </c>
      <c r="AR1908" s="199">
        <v>0</v>
      </c>
      <c r="AS1908" s="150">
        <f t="shared" si="1605"/>
        <v>0</v>
      </c>
      <c r="AT1908" s="155"/>
      <c r="AU1908" s="156">
        <f t="shared" si="1577"/>
        <v>0</v>
      </c>
      <c r="AV1908" s="156">
        <f t="shared" si="1578"/>
        <v>0</v>
      </c>
      <c r="AW1908" s="157"/>
      <c r="AX1908" s="150">
        <v>0</v>
      </c>
      <c r="AY1908" s="150">
        <v>0</v>
      </c>
      <c r="AZ1908" s="150">
        <f t="shared" si="1606"/>
        <v>0</v>
      </c>
      <c r="BA1908" s="150">
        <v>0</v>
      </c>
      <c r="BB1908" s="210"/>
      <c r="BC1908" s="210"/>
      <c r="BD1908" s="210"/>
      <c r="BE1908" s="210"/>
      <c r="BF1908" s="210"/>
      <c r="BG1908" s="210"/>
      <c r="BH1908" s="217"/>
      <c r="BI1908" s="210"/>
      <c r="BJ1908" s="210"/>
      <c r="BK1908" s="210"/>
      <c r="BL1908" s="210"/>
      <c r="BM1908" s="208"/>
      <c r="BN1908" s="160"/>
      <c r="BO1908" s="161"/>
      <c r="BP1908" s="161"/>
    </row>
    <row r="1909" spans="1:68" ht="51">
      <c r="A1909" s="206" t="s">
        <v>604</v>
      </c>
      <c r="B1909" s="195" t="s">
        <v>9573</v>
      </c>
      <c r="C1909" s="196" t="s">
        <v>9574</v>
      </c>
      <c r="D1909" s="146" t="s">
        <v>4692</v>
      </c>
      <c r="E1909" s="196" t="s">
        <v>9574</v>
      </c>
      <c r="F1909" s="150">
        <v>-0.31</v>
      </c>
      <c r="G1909" s="209">
        <v>120453.8</v>
      </c>
      <c r="H1909" s="209">
        <v>-120454</v>
      </c>
      <c r="I1909" s="209">
        <v>-0.19999999999708962</v>
      </c>
      <c r="J1909" s="150">
        <v>31600.37</v>
      </c>
      <c r="K1909" s="150">
        <v>-31600.37</v>
      </c>
      <c r="L1909" s="150">
        <f t="shared" si="1585"/>
        <v>0</v>
      </c>
      <c r="M1909" s="150">
        <v>74516.570000000007</v>
      </c>
      <c r="N1909" s="150">
        <v>-74516.570000000007</v>
      </c>
      <c r="O1909" s="150">
        <v>0</v>
      </c>
      <c r="P1909" s="150">
        <v>121962.78</v>
      </c>
      <c r="Q1909" s="150">
        <v>-121962.78</v>
      </c>
      <c r="R1909" s="313">
        <f t="shared" si="1601"/>
        <v>0</v>
      </c>
      <c r="S1909" s="150">
        <f t="shared" si="1583"/>
        <v>0</v>
      </c>
      <c r="T1909" s="150">
        <v>0</v>
      </c>
      <c r="U1909" s="150">
        <v>165611.57999999999</v>
      </c>
      <c r="V1909" s="199">
        <v>-165611.57999999999</v>
      </c>
      <c r="W1909" s="150">
        <f t="shared" si="1602"/>
        <v>0</v>
      </c>
      <c r="X1909" s="150">
        <v>165611.57999999999</v>
      </c>
      <c r="Y1909" s="150">
        <v>-165611.57999999999</v>
      </c>
      <c r="Z1909" s="150">
        <v>0</v>
      </c>
      <c r="AA1909" s="150">
        <f t="shared" si="1579"/>
        <v>0</v>
      </c>
      <c r="AB1909" s="150">
        <v>165611.57999999999</v>
      </c>
      <c r="AC1909" s="199">
        <v>-165611.57999999999</v>
      </c>
      <c r="AD1909" s="150">
        <f t="shared" si="1603"/>
        <v>0</v>
      </c>
      <c r="AE1909" s="150">
        <v>0</v>
      </c>
      <c r="AF1909" s="169" t="s">
        <v>4680</v>
      </c>
      <c r="AG1909" s="201">
        <v>165611.57999999999</v>
      </c>
      <c r="AH1909" s="199">
        <v>-165611.57999999999</v>
      </c>
      <c r="AI1909" s="150">
        <v>0</v>
      </c>
      <c r="AJ1909" s="169">
        <f t="shared" si="1580"/>
        <v>0</v>
      </c>
      <c r="AK1909" s="201">
        <v>165611.57999999999</v>
      </c>
      <c r="AL1909" s="199">
        <v>-165611.57999999999</v>
      </c>
      <c r="AM1909" s="150">
        <f t="shared" si="1604"/>
        <v>0</v>
      </c>
      <c r="AN1909" s="153">
        <f t="shared" si="1581"/>
        <v>0</v>
      </c>
      <c r="AO1909" s="154">
        <f t="shared" si="1582"/>
        <v>0</v>
      </c>
      <c r="AP1909" s="150">
        <v>0</v>
      </c>
      <c r="AQ1909" s="201">
        <v>0</v>
      </c>
      <c r="AR1909" s="199"/>
      <c r="AS1909" s="150">
        <f t="shared" si="1605"/>
        <v>0</v>
      </c>
      <c r="AT1909" s="155"/>
      <c r="AU1909" s="156">
        <f t="shared" si="1577"/>
        <v>0</v>
      </c>
      <c r="AV1909" s="156">
        <f t="shared" si="1578"/>
        <v>0</v>
      </c>
      <c r="AW1909" s="157"/>
      <c r="AX1909" s="150">
        <v>0</v>
      </c>
      <c r="AY1909" s="150">
        <v>90461.16</v>
      </c>
      <c r="AZ1909" s="150">
        <f t="shared" si="1606"/>
        <v>-90461.16</v>
      </c>
      <c r="BA1909" s="150">
        <v>0</v>
      </c>
      <c r="BB1909" s="202">
        <v>5</v>
      </c>
      <c r="BC1909" s="202" t="s">
        <v>766</v>
      </c>
      <c r="BD1909" s="202" t="s">
        <v>647</v>
      </c>
      <c r="BE1909" s="202" t="s">
        <v>632</v>
      </c>
      <c r="BF1909" s="202">
        <v>10</v>
      </c>
      <c r="BG1909" s="231" t="s">
        <v>9575</v>
      </c>
      <c r="BH1909" s="216">
        <f>AS1909</f>
        <v>0</v>
      </c>
      <c r="BI1909" s="205"/>
      <c r="BJ1909" s="206" t="s">
        <v>9510</v>
      </c>
      <c r="BK1909" s="206" t="s">
        <v>604</v>
      </c>
      <c r="BL1909" s="207" t="s">
        <v>9511</v>
      </c>
      <c r="BM1909" s="208">
        <f>BH1909</f>
        <v>0</v>
      </c>
      <c r="BN1909" s="160"/>
      <c r="BO1909" s="161"/>
      <c r="BP1909" s="161"/>
    </row>
    <row r="1910" spans="1:68" ht="51">
      <c r="A1910" s="206" t="s">
        <v>604</v>
      </c>
      <c r="B1910" s="195" t="s">
        <v>9576</v>
      </c>
      <c r="C1910" s="196" t="s">
        <v>9577</v>
      </c>
      <c r="D1910" s="146" t="s">
        <v>4692</v>
      </c>
      <c r="E1910" s="196" t="s">
        <v>9577</v>
      </c>
      <c r="F1910" s="150">
        <v>-0.2</v>
      </c>
      <c r="G1910" s="209">
        <v>0</v>
      </c>
      <c r="H1910" s="209">
        <v>182391.4241645408</v>
      </c>
      <c r="I1910" s="209">
        <v>182391.4241645408</v>
      </c>
      <c r="J1910" s="150">
        <v>0</v>
      </c>
      <c r="K1910" s="150">
        <v>0</v>
      </c>
      <c r="L1910" s="150">
        <f t="shared" si="1585"/>
        <v>0</v>
      </c>
      <c r="M1910" s="150">
        <v>37619.96</v>
      </c>
      <c r="N1910" s="150">
        <v>-37619.96</v>
      </c>
      <c r="O1910" s="150">
        <v>0</v>
      </c>
      <c r="P1910" s="150">
        <v>57284.94</v>
      </c>
      <c r="Q1910" s="150">
        <v>-57284.94</v>
      </c>
      <c r="R1910" s="313">
        <f t="shared" si="1601"/>
        <v>0</v>
      </c>
      <c r="S1910" s="150">
        <f t="shared" si="1583"/>
        <v>0</v>
      </c>
      <c r="T1910" s="150">
        <v>0</v>
      </c>
      <c r="U1910" s="150">
        <v>77789.09</v>
      </c>
      <c r="V1910" s="199">
        <v>-77789.09</v>
      </c>
      <c r="W1910" s="150">
        <f t="shared" si="1602"/>
        <v>0</v>
      </c>
      <c r="X1910" s="150">
        <v>77789.09</v>
      </c>
      <c r="Y1910" s="150">
        <v>-77789.09</v>
      </c>
      <c r="Z1910" s="150">
        <v>0</v>
      </c>
      <c r="AA1910" s="150">
        <f t="shared" si="1579"/>
        <v>0</v>
      </c>
      <c r="AB1910" s="150">
        <v>77789.09</v>
      </c>
      <c r="AC1910" s="199">
        <v>-77789.09</v>
      </c>
      <c r="AD1910" s="150">
        <f t="shared" si="1603"/>
        <v>0</v>
      </c>
      <c r="AE1910" s="150">
        <v>0</v>
      </c>
      <c r="AF1910" s="169" t="s">
        <v>4680</v>
      </c>
      <c r="AG1910" s="201">
        <v>77789.09</v>
      </c>
      <c r="AH1910" s="199">
        <v>-77789.09</v>
      </c>
      <c r="AI1910" s="150">
        <v>0</v>
      </c>
      <c r="AJ1910" s="169">
        <f t="shared" si="1580"/>
        <v>0</v>
      </c>
      <c r="AK1910" s="201">
        <v>77789.09</v>
      </c>
      <c r="AL1910" s="199">
        <v>-77789.09</v>
      </c>
      <c r="AM1910" s="150">
        <f t="shared" si="1604"/>
        <v>0</v>
      </c>
      <c r="AN1910" s="153">
        <f t="shared" si="1581"/>
        <v>0</v>
      </c>
      <c r="AO1910" s="154">
        <f t="shared" si="1582"/>
        <v>0</v>
      </c>
      <c r="AP1910" s="150">
        <v>0</v>
      </c>
      <c r="AQ1910" s="201">
        <v>0</v>
      </c>
      <c r="AR1910" s="199"/>
      <c r="AS1910" s="150">
        <f t="shared" si="1605"/>
        <v>0</v>
      </c>
      <c r="AT1910" s="155"/>
      <c r="AU1910" s="156">
        <f t="shared" si="1577"/>
        <v>0</v>
      </c>
      <c r="AV1910" s="156">
        <f t="shared" si="1578"/>
        <v>0</v>
      </c>
      <c r="AW1910" s="157"/>
      <c r="AX1910" s="150">
        <v>0</v>
      </c>
      <c r="AY1910" s="150">
        <v>44111.62</v>
      </c>
      <c r="AZ1910" s="150">
        <f t="shared" si="1606"/>
        <v>-44111.62</v>
      </c>
      <c r="BA1910" s="150">
        <v>0</v>
      </c>
      <c r="BB1910" s="202">
        <v>5</v>
      </c>
      <c r="BC1910" s="202" t="s">
        <v>766</v>
      </c>
      <c r="BD1910" s="202" t="s">
        <v>647</v>
      </c>
      <c r="BE1910" s="202" t="s">
        <v>632</v>
      </c>
      <c r="BF1910" s="202">
        <v>11</v>
      </c>
      <c r="BG1910" s="231" t="s">
        <v>9578</v>
      </c>
      <c r="BH1910" s="216">
        <f>AS1910</f>
        <v>0</v>
      </c>
      <c r="BI1910" s="205"/>
      <c r="BJ1910" s="206" t="s">
        <v>9510</v>
      </c>
      <c r="BK1910" s="206" t="s">
        <v>604</v>
      </c>
      <c r="BL1910" s="207" t="s">
        <v>9511</v>
      </c>
      <c r="BM1910" s="208">
        <f>BH1910</f>
        <v>0</v>
      </c>
      <c r="BN1910" s="160"/>
      <c r="BO1910" s="161">
        <f t="shared" si="1584"/>
        <v>0</v>
      </c>
      <c r="BP1910" s="161"/>
    </row>
    <row r="1911" spans="1:68" ht="76.5">
      <c r="A1911" s="206"/>
      <c r="B1911" s="195" t="s">
        <v>9579</v>
      </c>
      <c r="C1911" s="196" t="s">
        <v>9580</v>
      </c>
      <c r="D1911" s="146" t="s">
        <v>4692</v>
      </c>
      <c r="E1911" s="196" t="s">
        <v>9580</v>
      </c>
      <c r="F1911" s="150">
        <v>182391</v>
      </c>
      <c r="G1911" s="209">
        <v>0</v>
      </c>
      <c r="H1911" s="209">
        <v>454125.7010841837</v>
      </c>
      <c r="I1911" s="209">
        <v>454125.7010841837</v>
      </c>
      <c r="J1911" s="150">
        <v>0</v>
      </c>
      <c r="K1911" s="150">
        <v>90175.34</v>
      </c>
      <c r="L1911" s="150">
        <f t="shared" si="1585"/>
        <v>90175.34</v>
      </c>
      <c r="M1911" s="150">
        <v>0</v>
      </c>
      <c r="N1911" s="150">
        <v>172156.95989010992</v>
      </c>
      <c r="O1911" s="150">
        <v>172156.95989010992</v>
      </c>
      <c r="P1911" s="150">
        <v>0</v>
      </c>
      <c r="Q1911" s="150">
        <v>272548.05503743625</v>
      </c>
      <c r="R1911" s="313">
        <f t="shared" si="1601"/>
        <v>272548.05503743625</v>
      </c>
      <c r="S1911" s="150">
        <f t="shared" si="1583"/>
        <v>363397.40671658167</v>
      </c>
      <c r="T1911" s="150">
        <v>295873.73</v>
      </c>
      <c r="U1911" s="150">
        <v>0</v>
      </c>
      <c r="V1911" s="199">
        <v>363397.40671658167</v>
      </c>
      <c r="W1911" s="150">
        <f t="shared" si="1602"/>
        <v>363397.40671658167</v>
      </c>
      <c r="X1911" s="150">
        <v>0</v>
      </c>
      <c r="Y1911" s="150">
        <v>363397.40671658167</v>
      </c>
      <c r="Z1911" s="150">
        <v>363397.40671658167</v>
      </c>
      <c r="AA1911" s="150">
        <f t="shared" si="1579"/>
        <v>-67523.676716581685</v>
      </c>
      <c r="AB1911" s="150">
        <v>0</v>
      </c>
      <c r="AC1911" s="199">
        <v>295873.73</v>
      </c>
      <c r="AD1911" s="150">
        <f t="shared" si="1603"/>
        <v>295873.73</v>
      </c>
      <c r="AE1911" s="150">
        <v>295873.73</v>
      </c>
      <c r="AF1911" s="169" t="s">
        <v>4680</v>
      </c>
      <c r="AG1911" s="201">
        <v>0</v>
      </c>
      <c r="AH1911" s="199">
        <v>295873.73</v>
      </c>
      <c r="AI1911" s="150">
        <v>295873.73</v>
      </c>
      <c r="AJ1911" s="169">
        <f t="shared" si="1580"/>
        <v>0</v>
      </c>
      <c r="AK1911" s="201">
        <v>0</v>
      </c>
      <c r="AL1911" s="199">
        <v>295873.73</v>
      </c>
      <c r="AM1911" s="150">
        <f t="shared" si="1604"/>
        <v>295873.73</v>
      </c>
      <c r="AN1911" s="153">
        <f t="shared" si="1581"/>
        <v>0</v>
      </c>
      <c r="AO1911" s="154">
        <f t="shared" si="1582"/>
        <v>0</v>
      </c>
      <c r="AP1911" s="150">
        <v>295873.73</v>
      </c>
      <c r="AQ1911" s="201">
        <v>295873.73</v>
      </c>
      <c r="AR1911" s="199"/>
      <c r="AS1911" s="150">
        <f t="shared" si="1605"/>
        <v>295873.73</v>
      </c>
      <c r="AT1911" s="155"/>
      <c r="AU1911" s="156">
        <f t="shared" si="1577"/>
        <v>0</v>
      </c>
      <c r="AV1911" s="156">
        <f t="shared" si="1578"/>
        <v>-67523.676716581685</v>
      </c>
      <c r="AW1911" s="157"/>
      <c r="AX1911" s="150">
        <v>363397.40671658167</v>
      </c>
      <c r="AY1911" s="150">
        <v>0</v>
      </c>
      <c r="AZ1911" s="150">
        <f t="shared" si="1606"/>
        <v>344313.91978021985</v>
      </c>
      <c r="BA1911" s="150">
        <v>344313.91978021985</v>
      </c>
      <c r="BB1911" s="202">
        <v>5</v>
      </c>
      <c r="BC1911" s="202" t="s">
        <v>766</v>
      </c>
      <c r="BD1911" s="202" t="s">
        <v>647</v>
      </c>
      <c r="BE1911" s="202" t="s">
        <v>632</v>
      </c>
      <c r="BF1911" s="202">
        <v>12</v>
      </c>
      <c r="BG1911" s="196" t="s">
        <v>9580</v>
      </c>
      <c r="BH1911" s="216">
        <f>AS1911</f>
        <v>295873.73</v>
      </c>
      <c r="BI1911" s="205"/>
      <c r="BJ1911" s="206"/>
      <c r="BK1911" s="206"/>
      <c r="BL1911" s="207" t="s">
        <v>9511</v>
      </c>
      <c r="BM1911" s="208">
        <f>BH1911</f>
        <v>295873.73</v>
      </c>
      <c r="BN1911" s="160"/>
      <c r="BO1911" s="161">
        <f t="shared" si="1584"/>
        <v>0</v>
      </c>
      <c r="BP1911" s="161"/>
    </row>
    <row r="1912" spans="1:68" ht="51">
      <c r="A1912" s="206"/>
      <c r="B1912" s="195" t="s">
        <v>9581</v>
      </c>
      <c r="C1912" s="196" t="s">
        <v>9582</v>
      </c>
      <c r="D1912" s="146" t="s">
        <v>4692</v>
      </c>
      <c r="E1912" s="196" t="s">
        <v>9582</v>
      </c>
      <c r="F1912" s="150">
        <v>454126</v>
      </c>
      <c r="G1912" s="209">
        <v>0</v>
      </c>
      <c r="H1912" s="209">
        <v>0</v>
      </c>
      <c r="I1912" s="209">
        <v>0</v>
      </c>
      <c r="J1912" s="150">
        <v>0</v>
      </c>
      <c r="K1912" s="150">
        <v>118231.14</v>
      </c>
      <c r="L1912" s="150">
        <f t="shared" si="1585"/>
        <v>118231.14</v>
      </c>
      <c r="M1912" s="150">
        <v>0</v>
      </c>
      <c r="N1912" s="150">
        <v>244529.22366071428</v>
      </c>
      <c r="O1912" s="150">
        <v>244529.22366071428</v>
      </c>
      <c r="P1912" s="150">
        <v>0</v>
      </c>
      <c r="Q1912" s="150">
        <v>387123.26443893369</v>
      </c>
      <c r="R1912" s="313">
        <f t="shared" si="1601"/>
        <v>387123.26443893369</v>
      </c>
      <c r="S1912" s="150">
        <f t="shared" si="1583"/>
        <v>516164.35258524492</v>
      </c>
      <c r="T1912" s="150">
        <v>557043.48</v>
      </c>
      <c r="U1912" s="150">
        <v>0</v>
      </c>
      <c r="V1912" s="199">
        <v>516164.35258524492</v>
      </c>
      <c r="W1912" s="150">
        <f t="shared" si="1602"/>
        <v>516164.35258524492</v>
      </c>
      <c r="X1912" s="150">
        <v>0</v>
      </c>
      <c r="Y1912" s="150">
        <v>516164.35258524492</v>
      </c>
      <c r="Z1912" s="150">
        <v>516164.35258524492</v>
      </c>
      <c r="AA1912" s="150">
        <f t="shared" si="1579"/>
        <v>40879.127414755058</v>
      </c>
      <c r="AB1912" s="150">
        <v>0</v>
      </c>
      <c r="AC1912" s="199">
        <v>557043.48</v>
      </c>
      <c r="AD1912" s="150">
        <f t="shared" si="1603"/>
        <v>557043.48</v>
      </c>
      <c r="AE1912" s="150">
        <v>557043.48</v>
      </c>
      <c r="AF1912" s="169" t="s">
        <v>4680</v>
      </c>
      <c r="AG1912" s="201">
        <v>0</v>
      </c>
      <c r="AH1912" s="199">
        <v>557043.48</v>
      </c>
      <c r="AI1912" s="150">
        <v>557043.48</v>
      </c>
      <c r="AJ1912" s="169">
        <f t="shared" si="1580"/>
        <v>0</v>
      </c>
      <c r="AK1912" s="201">
        <v>0</v>
      </c>
      <c r="AL1912" s="199">
        <v>557043.48</v>
      </c>
      <c r="AM1912" s="150">
        <f t="shared" si="1604"/>
        <v>557043.48</v>
      </c>
      <c r="AN1912" s="153">
        <f t="shared" si="1581"/>
        <v>0</v>
      </c>
      <c r="AO1912" s="154">
        <f t="shared" si="1582"/>
        <v>0</v>
      </c>
      <c r="AP1912" s="150">
        <v>557043.48</v>
      </c>
      <c r="AQ1912" s="201">
        <v>557043.48</v>
      </c>
      <c r="AR1912" s="199"/>
      <c r="AS1912" s="150">
        <f t="shared" si="1605"/>
        <v>557043.48</v>
      </c>
      <c r="AT1912" s="155"/>
      <c r="AU1912" s="156">
        <f t="shared" si="1577"/>
        <v>0</v>
      </c>
      <c r="AV1912" s="156">
        <f t="shared" si="1578"/>
        <v>40879.127414755058</v>
      </c>
      <c r="AW1912" s="157"/>
      <c r="AX1912" s="150">
        <v>516164.35258524492</v>
      </c>
      <c r="AY1912" s="150">
        <v>0</v>
      </c>
      <c r="AZ1912" s="150">
        <f t="shared" si="1606"/>
        <v>489058.44732142857</v>
      </c>
      <c r="BA1912" s="150">
        <v>489058.44732142857</v>
      </c>
      <c r="BB1912" s="202">
        <v>5</v>
      </c>
      <c r="BC1912" s="202" t="s">
        <v>766</v>
      </c>
      <c r="BD1912" s="202" t="s">
        <v>647</v>
      </c>
      <c r="BE1912" s="202" t="s">
        <v>632</v>
      </c>
      <c r="BF1912" s="202">
        <v>13</v>
      </c>
      <c r="BG1912" s="196" t="s">
        <v>9582</v>
      </c>
      <c r="BH1912" s="216">
        <f>AS1912</f>
        <v>557043.48</v>
      </c>
      <c r="BI1912" s="205"/>
      <c r="BJ1912" s="206"/>
      <c r="BK1912" s="206"/>
      <c r="BL1912" s="207" t="s">
        <v>9511</v>
      </c>
      <c r="BM1912" s="208">
        <f>BH1912</f>
        <v>557043.48</v>
      </c>
      <c r="BN1912" s="160"/>
      <c r="BO1912" s="161">
        <f t="shared" si="1584"/>
        <v>0</v>
      </c>
      <c r="BP1912" s="161"/>
    </row>
    <row r="1913" spans="1:68" ht="51">
      <c r="A1913" s="256" t="s">
        <v>605</v>
      </c>
      <c r="B1913" s="184"/>
      <c r="C1913" s="185" t="s">
        <v>110</v>
      </c>
      <c r="D1913" s="146" t="s">
        <v>4692</v>
      </c>
      <c r="E1913" s="185" t="s">
        <v>110</v>
      </c>
      <c r="F1913" s="188">
        <v>0</v>
      </c>
      <c r="G1913" s="187">
        <v>0</v>
      </c>
      <c r="H1913" s="187"/>
      <c r="I1913" s="187">
        <v>0</v>
      </c>
      <c r="J1913" s="188">
        <f>SUM(J1914:J1941)</f>
        <v>0</v>
      </c>
      <c r="K1913" s="188">
        <f>SUM(K1914:K1941)</f>
        <v>0</v>
      </c>
      <c r="L1913" s="188">
        <f t="shared" si="1585"/>
        <v>0</v>
      </c>
      <c r="M1913" s="188">
        <v>0</v>
      </c>
      <c r="N1913" s="188">
        <v>0</v>
      </c>
      <c r="O1913" s="188">
        <v>0</v>
      </c>
      <c r="P1913" s="299">
        <f t="shared" ref="P1913:AD1913" si="1607">SUM(P1914:P1941)</f>
        <v>0</v>
      </c>
      <c r="Q1913" s="299">
        <f t="shared" si="1607"/>
        <v>0</v>
      </c>
      <c r="R1913" s="299">
        <f t="shared" si="1607"/>
        <v>0</v>
      </c>
      <c r="S1913" s="150">
        <f t="shared" si="1583"/>
        <v>0</v>
      </c>
      <c r="T1913" s="150">
        <v>0</v>
      </c>
      <c r="U1913" s="299">
        <f t="shared" ref="U1913:W1913" si="1608">SUM(U1914:U1941)</f>
        <v>0</v>
      </c>
      <c r="V1913" s="226">
        <f t="shared" si="1608"/>
        <v>0</v>
      </c>
      <c r="W1913" s="299">
        <f t="shared" si="1608"/>
        <v>0</v>
      </c>
      <c r="X1913" s="299">
        <v>0</v>
      </c>
      <c r="Y1913" s="299">
        <v>0</v>
      </c>
      <c r="Z1913" s="299">
        <v>0</v>
      </c>
      <c r="AA1913" s="299">
        <f t="shared" si="1579"/>
        <v>0</v>
      </c>
      <c r="AB1913" s="299">
        <v>0</v>
      </c>
      <c r="AC1913" s="226">
        <v>0</v>
      </c>
      <c r="AD1913" s="299">
        <f t="shared" si="1607"/>
        <v>0</v>
      </c>
      <c r="AE1913" s="299">
        <v>0</v>
      </c>
      <c r="AF1913" s="169" t="s">
        <v>4680</v>
      </c>
      <c r="AG1913" s="301">
        <v>0</v>
      </c>
      <c r="AH1913" s="226">
        <v>0</v>
      </c>
      <c r="AI1913" s="299">
        <v>0</v>
      </c>
      <c r="AJ1913" s="169">
        <f t="shared" si="1580"/>
        <v>0</v>
      </c>
      <c r="AK1913" s="301">
        <v>0</v>
      </c>
      <c r="AL1913" s="226">
        <v>0</v>
      </c>
      <c r="AM1913" s="299">
        <f t="shared" ref="AM1913" si="1609">SUM(AM1914:AM1941)</f>
        <v>0</v>
      </c>
      <c r="AN1913" s="153">
        <f t="shared" si="1581"/>
        <v>0</v>
      </c>
      <c r="AO1913" s="154">
        <f t="shared" si="1582"/>
        <v>0</v>
      </c>
      <c r="AP1913" s="299">
        <v>0</v>
      </c>
      <c r="AQ1913" s="301">
        <v>0</v>
      </c>
      <c r="AR1913" s="226">
        <f t="shared" ref="AR1913:AS1913" si="1610">SUM(AR1914:AR1941)</f>
        <v>0</v>
      </c>
      <c r="AS1913" s="299">
        <f t="shared" si="1610"/>
        <v>0</v>
      </c>
      <c r="AT1913" s="155"/>
      <c r="AU1913" s="156">
        <f t="shared" si="1577"/>
        <v>0</v>
      </c>
      <c r="AV1913" s="156">
        <f t="shared" si="1578"/>
        <v>0</v>
      </c>
      <c r="AW1913" s="157"/>
      <c r="AX1913" s="150">
        <v>0</v>
      </c>
      <c r="AY1913" s="299">
        <f t="shared" ref="AY1913:BA1913" si="1611">SUM(AY1914:AY1941)</f>
        <v>0</v>
      </c>
      <c r="AZ1913" s="299">
        <f t="shared" si="1611"/>
        <v>0</v>
      </c>
      <c r="BA1913" s="299">
        <f t="shared" si="1611"/>
        <v>0</v>
      </c>
      <c r="BB1913" s="192">
        <v>5</v>
      </c>
      <c r="BC1913" s="256" t="s">
        <v>766</v>
      </c>
      <c r="BD1913" s="256" t="s">
        <v>647</v>
      </c>
      <c r="BE1913" s="256" t="s">
        <v>647</v>
      </c>
      <c r="BF1913" s="256" t="s">
        <v>630</v>
      </c>
      <c r="BG1913" s="185" t="s">
        <v>110</v>
      </c>
      <c r="BH1913" s="215">
        <f>BH1914+BH1915+BH1923+BH1924+BH1925+BH1926+BH1938+BH1939+BH1940+BH1941</f>
        <v>0</v>
      </c>
      <c r="BI1913" s="192"/>
      <c r="BJ1913" s="256" t="s">
        <v>9583</v>
      </c>
      <c r="BK1913" s="256" t="s">
        <v>605</v>
      </c>
      <c r="BL1913" s="238" t="s">
        <v>9584</v>
      </c>
      <c r="BM1913" s="338">
        <f>BM1914+BM1915+BM1923+BM1924+BM1925+BM1926+BM1938+BM1939+BM1940+BM1941</f>
        <v>0</v>
      </c>
      <c r="BN1913" s="160"/>
      <c r="BO1913" s="161">
        <f t="shared" si="1584"/>
        <v>0</v>
      </c>
      <c r="BP1913" s="161"/>
    </row>
    <row r="1914" spans="1:68" ht="38.25">
      <c r="A1914" s="206" t="s">
        <v>605</v>
      </c>
      <c r="B1914" s="195" t="s">
        <v>9585</v>
      </c>
      <c r="C1914" s="196" t="s">
        <v>9586</v>
      </c>
      <c r="D1914" s="146" t="s">
        <v>4692</v>
      </c>
      <c r="E1914" s="196" t="s">
        <v>9586</v>
      </c>
      <c r="F1914" s="150">
        <v>0</v>
      </c>
      <c r="G1914" s="209">
        <v>0</v>
      </c>
      <c r="H1914" s="209"/>
      <c r="I1914" s="209">
        <v>0</v>
      </c>
      <c r="J1914" s="150">
        <v>0</v>
      </c>
      <c r="K1914" s="150">
        <v>0</v>
      </c>
      <c r="L1914" s="150">
        <f t="shared" si="1585"/>
        <v>0</v>
      </c>
      <c r="M1914" s="150">
        <v>0</v>
      </c>
      <c r="N1914" s="150">
        <v>0</v>
      </c>
      <c r="O1914" s="150">
        <v>0</v>
      </c>
      <c r="P1914" s="150">
        <v>0</v>
      </c>
      <c r="Q1914" s="150">
        <v>0</v>
      </c>
      <c r="R1914" s="313">
        <f t="shared" ref="R1914:R1941" si="1612">P1914+Q1914</f>
        <v>0</v>
      </c>
      <c r="S1914" s="150">
        <f t="shared" si="1583"/>
        <v>0</v>
      </c>
      <c r="T1914" s="150">
        <v>0</v>
      </c>
      <c r="U1914" s="150">
        <v>0</v>
      </c>
      <c r="V1914" s="199">
        <v>0</v>
      </c>
      <c r="W1914" s="150">
        <f t="shared" ref="W1914:W1941" si="1613">U1914</f>
        <v>0</v>
      </c>
      <c r="X1914" s="150">
        <v>0</v>
      </c>
      <c r="Y1914" s="150">
        <v>0</v>
      </c>
      <c r="Z1914" s="150">
        <v>0</v>
      </c>
      <c r="AA1914" s="150">
        <f t="shared" si="1579"/>
        <v>0</v>
      </c>
      <c r="AB1914" s="150">
        <v>0</v>
      </c>
      <c r="AC1914" s="199">
        <v>0</v>
      </c>
      <c r="AD1914" s="150">
        <f t="shared" ref="AD1914:AD1941" si="1614">AB1914</f>
        <v>0</v>
      </c>
      <c r="AE1914" s="150">
        <v>0</v>
      </c>
      <c r="AF1914" s="169" t="s">
        <v>4680</v>
      </c>
      <c r="AG1914" s="201">
        <v>0</v>
      </c>
      <c r="AH1914" s="199">
        <v>0</v>
      </c>
      <c r="AI1914" s="150">
        <v>0</v>
      </c>
      <c r="AJ1914" s="169">
        <f t="shared" si="1580"/>
        <v>0</v>
      </c>
      <c r="AK1914" s="201">
        <v>0</v>
      </c>
      <c r="AL1914" s="199">
        <v>0</v>
      </c>
      <c r="AM1914" s="150">
        <f t="shared" ref="AM1914:AM1941" si="1615">AK1914</f>
        <v>0</v>
      </c>
      <c r="AN1914" s="153">
        <f t="shared" si="1581"/>
        <v>0</v>
      </c>
      <c r="AO1914" s="154">
        <f t="shared" si="1582"/>
        <v>0</v>
      </c>
      <c r="AP1914" s="150">
        <v>0</v>
      </c>
      <c r="AQ1914" s="201">
        <v>0</v>
      </c>
      <c r="AR1914" s="199">
        <v>0</v>
      </c>
      <c r="AS1914" s="150">
        <f t="shared" ref="AS1914:AS1941" si="1616">AQ1914</f>
        <v>0</v>
      </c>
      <c r="AT1914" s="155"/>
      <c r="AU1914" s="156">
        <f t="shared" si="1577"/>
        <v>0</v>
      </c>
      <c r="AV1914" s="156">
        <f t="shared" si="1578"/>
        <v>0</v>
      </c>
      <c r="AW1914" s="157"/>
      <c r="AX1914" s="150">
        <v>0</v>
      </c>
      <c r="AY1914" s="150">
        <v>0</v>
      </c>
      <c r="AZ1914" s="150"/>
      <c r="BA1914" s="150">
        <f t="shared" ref="BA1914:BA1941" si="1617">AY1914+AZ1914</f>
        <v>0</v>
      </c>
      <c r="BB1914" s="202">
        <v>5</v>
      </c>
      <c r="BC1914" s="202" t="s">
        <v>766</v>
      </c>
      <c r="BD1914" s="202" t="s">
        <v>647</v>
      </c>
      <c r="BE1914" s="202" t="s">
        <v>647</v>
      </c>
      <c r="BF1914" s="202" t="s">
        <v>632</v>
      </c>
      <c r="BG1914" s="231" t="s">
        <v>9587</v>
      </c>
      <c r="BH1914" s="216">
        <f>AS1914</f>
        <v>0</v>
      </c>
      <c r="BI1914" s="205"/>
      <c r="BJ1914" s="206" t="s">
        <v>9583</v>
      </c>
      <c r="BK1914" s="206" t="s">
        <v>605</v>
      </c>
      <c r="BL1914" s="207" t="s">
        <v>9584</v>
      </c>
      <c r="BM1914" s="208">
        <f>BH1914</f>
        <v>0</v>
      </c>
      <c r="BN1914" s="160"/>
      <c r="BO1914" s="161">
        <f t="shared" si="1584"/>
        <v>0</v>
      </c>
      <c r="BP1914" s="161"/>
    </row>
    <row r="1915" spans="1:68" ht="38.25">
      <c r="A1915" s="206" t="s">
        <v>605</v>
      </c>
      <c r="B1915" s="195" t="s">
        <v>9588</v>
      </c>
      <c r="C1915" s="196" t="s">
        <v>9589</v>
      </c>
      <c r="D1915" s="146" t="s">
        <v>4692</v>
      </c>
      <c r="E1915" s="196" t="s">
        <v>9589</v>
      </c>
      <c r="F1915" s="150">
        <v>0</v>
      </c>
      <c r="G1915" s="209">
        <v>0</v>
      </c>
      <c r="H1915" s="209"/>
      <c r="I1915" s="209">
        <v>0</v>
      </c>
      <c r="J1915" s="150">
        <v>0</v>
      </c>
      <c r="K1915" s="150">
        <v>0</v>
      </c>
      <c r="L1915" s="150">
        <f t="shared" si="1585"/>
        <v>0</v>
      </c>
      <c r="M1915" s="150">
        <v>0</v>
      </c>
      <c r="N1915" s="150">
        <v>0</v>
      </c>
      <c r="O1915" s="150">
        <v>0</v>
      </c>
      <c r="P1915" s="150">
        <v>0</v>
      </c>
      <c r="Q1915" s="150">
        <v>0</v>
      </c>
      <c r="R1915" s="313">
        <f t="shared" si="1612"/>
        <v>0</v>
      </c>
      <c r="S1915" s="150">
        <f t="shared" si="1583"/>
        <v>0</v>
      </c>
      <c r="T1915" s="150">
        <v>0</v>
      </c>
      <c r="U1915" s="150">
        <v>0</v>
      </c>
      <c r="V1915" s="199">
        <v>0</v>
      </c>
      <c r="W1915" s="150">
        <f t="shared" si="1613"/>
        <v>0</v>
      </c>
      <c r="X1915" s="150">
        <v>0</v>
      </c>
      <c r="Y1915" s="150">
        <v>0</v>
      </c>
      <c r="Z1915" s="150">
        <v>0</v>
      </c>
      <c r="AA1915" s="150">
        <f t="shared" si="1579"/>
        <v>0</v>
      </c>
      <c r="AB1915" s="150">
        <v>0</v>
      </c>
      <c r="AC1915" s="199">
        <v>0</v>
      </c>
      <c r="AD1915" s="150">
        <f t="shared" si="1614"/>
        <v>0</v>
      </c>
      <c r="AE1915" s="150">
        <v>0</v>
      </c>
      <c r="AF1915" s="169" t="s">
        <v>4680</v>
      </c>
      <c r="AG1915" s="201">
        <v>0</v>
      </c>
      <c r="AH1915" s="199">
        <v>0</v>
      </c>
      <c r="AI1915" s="150">
        <v>0</v>
      </c>
      <c r="AJ1915" s="169">
        <f t="shared" si="1580"/>
        <v>0</v>
      </c>
      <c r="AK1915" s="201">
        <v>0</v>
      </c>
      <c r="AL1915" s="199">
        <v>0</v>
      </c>
      <c r="AM1915" s="150">
        <f t="shared" si="1615"/>
        <v>0</v>
      </c>
      <c r="AN1915" s="153">
        <f t="shared" si="1581"/>
        <v>0</v>
      </c>
      <c r="AO1915" s="154">
        <f t="shared" si="1582"/>
        <v>0</v>
      </c>
      <c r="AP1915" s="150">
        <v>0</v>
      </c>
      <c r="AQ1915" s="201">
        <v>0</v>
      </c>
      <c r="AR1915" s="199">
        <v>0</v>
      </c>
      <c r="AS1915" s="150">
        <f t="shared" si="1616"/>
        <v>0</v>
      </c>
      <c r="AT1915" s="155"/>
      <c r="AU1915" s="156">
        <f t="shared" si="1577"/>
        <v>0</v>
      </c>
      <c r="AV1915" s="156">
        <f t="shared" si="1578"/>
        <v>0</v>
      </c>
      <c r="AW1915" s="157"/>
      <c r="AX1915" s="150">
        <v>0</v>
      </c>
      <c r="AY1915" s="150">
        <v>0</v>
      </c>
      <c r="AZ1915" s="150"/>
      <c r="BA1915" s="150">
        <f t="shared" si="1617"/>
        <v>0</v>
      </c>
      <c r="BB1915" s="202">
        <v>5</v>
      </c>
      <c r="BC1915" s="202" t="s">
        <v>766</v>
      </c>
      <c r="BD1915" s="202" t="s">
        <v>647</v>
      </c>
      <c r="BE1915" s="202" t="s">
        <v>647</v>
      </c>
      <c r="BF1915" s="202" t="s">
        <v>714</v>
      </c>
      <c r="BG1915" s="231" t="s">
        <v>9590</v>
      </c>
      <c r="BH1915" s="216">
        <f>SUM(AS1915:AS1922)</f>
        <v>0</v>
      </c>
      <c r="BI1915" s="205"/>
      <c r="BJ1915" s="206" t="s">
        <v>9583</v>
      </c>
      <c r="BK1915" s="206" t="s">
        <v>605</v>
      </c>
      <c r="BL1915" s="207" t="s">
        <v>9584</v>
      </c>
      <c r="BM1915" s="208">
        <f>BH1915</f>
        <v>0</v>
      </c>
      <c r="BN1915" s="160"/>
      <c r="BO1915" s="161">
        <f t="shared" si="1584"/>
        <v>0</v>
      </c>
      <c r="BP1915" s="161"/>
    </row>
    <row r="1916" spans="1:68" ht="38.25">
      <c r="A1916" s="210"/>
      <c r="B1916" s="195" t="s">
        <v>9591</v>
      </c>
      <c r="C1916" s="196" t="s">
        <v>9592</v>
      </c>
      <c r="D1916" s="146" t="s">
        <v>4692</v>
      </c>
      <c r="E1916" s="196" t="s">
        <v>9592</v>
      </c>
      <c r="F1916" s="150">
        <v>0</v>
      </c>
      <c r="G1916" s="209">
        <v>0</v>
      </c>
      <c r="H1916" s="209"/>
      <c r="I1916" s="209">
        <v>0</v>
      </c>
      <c r="J1916" s="150">
        <v>0</v>
      </c>
      <c r="K1916" s="150">
        <v>0</v>
      </c>
      <c r="L1916" s="150">
        <f t="shared" si="1585"/>
        <v>0</v>
      </c>
      <c r="M1916" s="150">
        <v>0</v>
      </c>
      <c r="N1916" s="150">
        <v>0</v>
      </c>
      <c r="O1916" s="150">
        <v>0</v>
      </c>
      <c r="P1916" s="150">
        <v>0</v>
      </c>
      <c r="Q1916" s="150">
        <v>0</v>
      </c>
      <c r="R1916" s="313">
        <f t="shared" si="1612"/>
        <v>0</v>
      </c>
      <c r="S1916" s="150">
        <f t="shared" si="1583"/>
        <v>0</v>
      </c>
      <c r="T1916" s="150">
        <v>0</v>
      </c>
      <c r="U1916" s="150">
        <v>0</v>
      </c>
      <c r="V1916" s="199">
        <v>0</v>
      </c>
      <c r="W1916" s="150">
        <f t="shared" si="1613"/>
        <v>0</v>
      </c>
      <c r="X1916" s="150">
        <v>0</v>
      </c>
      <c r="Y1916" s="150">
        <v>0</v>
      </c>
      <c r="Z1916" s="150">
        <v>0</v>
      </c>
      <c r="AA1916" s="150">
        <f t="shared" si="1579"/>
        <v>0</v>
      </c>
      <c r="AB1916" s="150">
        <v>0</v>
      </c>
      <c r="AC1916" s="199">
        <v>0</v>
      </c>
      <c r="AD1916" s="150">
        <f t="shared" si="1614"/>
        <v>0</v>
      </c>
      <c r="AE1916" s="150">
        <v>0</v>
      </c>
      <c r="AF1916" s="169" t="s">
        <v>4680</v>
      </c>
      <c r="AG1916" s="201">
        <v>0</v>
      </c>
      <c r="AH1916" s="199">
        <v>0</v>
      </c>
      <c r="AI1916" s="150">
        <v>0</v>
      </c>
      <c r="AJ1916" s="169">
        <f t="shared" si="1580"/>
        <v>0</v>
      </c>
      <c r="AK1916" s="201">
        <v>0</v>
      </c>
      <c r="AL1916" s="199">
        <v>0</v>
      </c>
      <c r="AM1916" s="150">
        <f t="shared" si="1615"/>
        <v>0</v>
      </c>
      <c r="AN1916" s="153">
        <f t="shared" si="1581"/>
        <v>0</v>
      </c>
      <c r="AO1916" s="154">
        <f t="shared" si="1582"/>
        <v>0</v>
      </c>
      <c r="AP1916" s="150">
        <v>0</v>
      </c>
      <c r="AQ1916" s="201">
        <v>0</v>
      </c>
      <c r="AR1916" s="199">
        <v>0</v>
      </c>
      <c r="AS1916" s="150">
        <f t="shared" si="1616"/>
        <v>0</v>
      </c>
      <c r="AT1916" s="155"/>
      <c r="AU1916" s="156">
        <f t="shared" si="1577"/>
        <v>0</v>
      </c>
      <c r="AV1916" s="156">
        <f t="shared" si="1578"/>
        <v>0</v>
      </c>
      <c r="AW1916" s="157"/>
      <c r="AX1916" s="150">
        <v>0</v>
      </c>
      <c r="AY1916" s="150">
        <v>0</v>
      </c>
      <c r="AZ1916" s="150"/>
      <c r="BA1916" s="150">
        <f t="shared" si="1617"/>
        <v>0</v>
      </c>
      <c r="BB1916" s="210"/>
      <c r="BC1916" s="210"/>
      <c r="BD1916" s="210"/>
      <c r="BE1916" s="210"/>
      <c r="BF1916" s="210"/>
      <c r="BG1916" s="210"/>
      <c r="BH1916" s="217"/>
      <c r="BI1916" s="210"/>
      <c r="BJ1916" s="210"/>
      <c r="BK1916" s="210"/>
      <c r="BL1916" s="210"/>
      <c r="BM1916" s="208"/>
      <c r="BN1916" s="160"/>
      <c r="BO1916" s="161">
        <f t="shared" si="1584"/>
        <v>0</v>
      </c>
      <c r="BP1916" s="161"/>
    </row>
    <row r="1917" spans="1:68" ht="38.25">
      <c r="A1917" s="210"/>
      <c r="B1917" s="195" t="s">
        <v>9593</v>
      </c>
      <c r="C1917" s="196" t="s">
        <v>9594</v>
      </c>
      <c r="D1917" s="146" t="s">
        <v>4692</v>
      </c>
      <c r="E1917" s="196" t="s">
        <v>9594</v>
      </c>
      <c r="F1917" s="150">
        <v>0</v>
      </c>
      <c r="G1917" s="209">
        <v>0</v>
      </c>
      <c r="H1917" s="209"/>
      <c r="I1917" s="209">
        <v>0</v>
      </c>
      <c r="J1917" s="150">
        <v>0</v>
      </c>
      <c r="K1917" s="150">
        <v>0</v>
      </c>
      <c r="L1917" s="150">
        <f t="shared" si="1585"/>
        <v>0</v>
      </c>
      <c r="M1917" s="150">
        <v>0</v>
      </c>
      <c r="N1917" s="150">
        <v>0</v>
      </c>
      <c r="O1917" s="150">
        <v>0</v>
      </c>
      <c r="P1917" s="150">
        <v>0</v>
      </c>
      <c r="Q1917" s="150">
        <v>0</v>
      </c>
      <c r="R1917" s="313">
        <f t="shared" si="1612"/>
        <v>0</v>
      </c>
      <c r="S1917" s="150">
        <f t="shared" si="1583"/>
        <v>0</v>
      </c>
      <c r="T1917" s="150">
        <v>0</v>
      </c>
      <c r="U1917" s="150">
        <v>0</v>
      </c>
      <c r="V1917" s="199">
        <v>0</v>
      </c>
      <c r="W1917" s="150">
        <f t="shared" si="1613"/>
        <v>0</v>
      </c>
      <c r="X1917" s="150">
        <v>0</v>
      </c>
      <c r="Y1917" s="150">
        <v>0</v>
      </c>
      <c r="Z1917" s="150">
        <v>0</v>
      </c>
      <c r="AA1917" s="150">
        <f t="shared" si="1579"/>
        <v>0</v>
      </c>
      <c r="AB1917" s="150">
        <v>0</v>
      </c>
      <c r="AC1917" s="199">
        <v>0</v>
      </c>
      <c r="AD1917" s="150">
        <f t="shared" si="1614"/>
        <v>0</v>
      </c>
      <c r="AE1917" s="150">
        <v>0</v>
      </c>
      <c r="AF1917" s="169" t="s">
        <v>4680</v>
      </c>
      <c r="AG1917" s="201">
        <v>0</v>
      </c>
      <c r="AH1917" s="199">
        <v>0</v>
      </c>
      <c r="AI1917" s="150">
        <v>0</v>
      </c>
      <c r="AJ1917" s="169">
        <f t="shared" si="1580"/>
        <v>0</v>
      </c>
      <c r="AK1917" s="201">
        <v>0</v>
      </c>
      <c r="AL1917" s="199">
        <v>0</v>
      </c>
      <c r="AM1917" s="150">
        <f t="shared" si="1615"/>
        <v>0</v>
      </c>
      <c r="AN1917" s="153">
        <f t="shared" si="1581"/>
        <v>0</v>
      </c>
      <c r="AO1917" s="154">
        <f t="shared" si="1582"/>
        <v>0</v>
      </c>
      <c r="AP1917" s="150">
        <v>0</v>
      </c>
      <c r="AQ1917" s="201">
        <v>0</v>
      </c>
      <c r="AR1917" s="199">
        <v>0</v>
      </c>
      <c r="AS1917" s="150">
        <f t="shared" si="1616"/>
        <v>0</v>
      </c>
      <c r="AT1917" s="155"/>
      <c r="AU1917" s="156">
        <f t="shared" si="1577"/>
        <v>0</v>
      </c>
      <c r="AV1917" s="156">
        <f t="shared" si="1578"/>
        <v>0</v>
      </c>
      <c r="AW1917" s="157"/>
      <c r="AX1917" s="150">
        <v>0</v>
      </c>
      <c r="AY1917" s="150">
        <v>0</v>
      </c>
      <c r="AZ1917" s="150"/>
      <c r="BA1917" s="150">
        <f t="shared" si="1617"/>
        <v>0</v>
      </c>
      <c r="BB1917" s="210"/>
      <c r="BC1917" s="210"/>
      <c r="BD1917" s="210"/>
      <c r="BE1917" s="210"/>
      <c r="BF1917" s="210"/>
      <c r="BG1917" s="210"/>
      <c r="BH1917" s="217"/>
      <c r="BI1917" s="210"/>
      <c r="BJ1917" s="210"/>
      <c r="BK1917" s="210"/>
      <c r="BL1917" s="210"/>
      <c r="BM1917" s="208"/>
      <c r="BN1917" s="160"/>
      <c r="BO1917" s="161">
        <f t="shared" si="1584"/>
        <v>0</v>
      </c>
      <c r="BP1917" s="161"/>
    </row>
    <row r="1918" spans="1:68" ht="38.25">
      <c r="A1918" s="210"/>
      <c r="B1918" s="195" t="s">
        <v>9595</v>
      </c>
      <c r="C1918" s="196" t="s">
        <v>9596</v>
      </c>
      <c r="D1918" s="146" t="s">
        <v>4692</v>
      </c>
      <c r="E1918" s="196" t="s">
        <v>9596</v>
      </c>
      <c r="F1918" s="150">
        <v>0</v>
      </c>
      <c r="G1918" s="209">
        <v>0</v>
      </c>
      <c r="H1918" s="209"/>
      <c r="I1918" s="209">
        <v>0</v>
      </c>
      <c r="J1918" s="150">
        <v>0</v>
      </c>
      <c r="K1918" s="150">
        <v>0</v>
      </c>
      <c r="L1918" s="150">
        <f t="shared" si="1585"/>
        <v>0</v>
      </c>
      <c r="M1918" s="150">
        <v>0</v>
      </c>
      <c r="N1918" s="150">
        <v>0</v>
      </c>
      <c r="O1918" s="150">
        <v>0</v>
      </c>
      <c r="P1918" s="150">
        <v>0</v>
      </c>
      <c r="Q1918" s="150">
        <v>0</v>
      </c>
      <c r="R1918" s="313">
        <f t="shared" si="1612"/>
        <v>0</v>
      </c>
      <c r="S1918" s="150">
        <f t="shared" si="1583"/>
        <v>0</v>
      </c>
      <c r="T1918" s="150">
        <v>0</v>
      </c>
      <c r="U1918" s="150">
        <v>0</v>
      </c>
      <c r="V1918" s="199">
        <v>0</v>
      </c>
      <c r="W1918" s="150">
        <f t="shared" si="1613"/>
        <v>0</v>
      </c>
      <c r="X1918" s="150">
        <v>0</v>
      </c>
      <c r="Y1918" s="150">
        <v>0</v>
      </c>
      <c r="Z1918" s="150">
        <v>0</v>
      </c>
      <c r="AA1918" s="150">
        <f t="shared" si="1579"/>
        <v>0</v>
      </c>
      <c r="AB1918" s="150">
        <v>0</v>
      </c>
      <c r="AC1918" s="199">
        <v>0</v>
      </c>
      <c r="AD1918" s="150">
        <f t="shared" si="1614"/>
        <v>0</v>
      </c>
      <c r="AE1918" s="150">
        <v>0</v>
      </c>
      <c r="AF1918" s="169" t="s">
        <v>4680</v>
      </c>
      <c r="AG1918" s="201">
        <v>0</v>
      </c>
      <c r="AH1918" s="199">
        <v>0</v>
      </c>
      <c r="AI1918" s="150">
        <v>0</v>
      </c>
      <c r="AJ1918" s="169">
        <f t="shared" si="1580"/>
        <v>0</v>
      </c>
      <c r="AK1918" s="201">
        <v>0</v>
      </c>
      <c r="AL1918" s="199">
        <v>0</v>
      </c>
      <c r="AM1918" s="150">
        <f t="shared" si="1615"/>
        <v>0</v>
      </c>
      <c r="AN1918" s="153">
        <f t="shared" si="1581"/>
        <v>0</v>
      </c>
      <c r="AO1918" s="154">
        <f t="shared" si="1582"/>
        <v>0</v>
      </c>
      <c r="AP1918" s="150">
        <v>0</v>
      </c>
      <c r="AQ1918" s="201">
        <v>0</v>
      </c>
      <c r="AR1918" s="199">
        <v>0</v>
      </c>
      <c r="AS1918" s="150">
        <f t="shared" si="1616"/>
        <v>0</v>
      </c>
      <c r="AT1918" s="155"/>
      <c r="AU1918" s="156">
        <f t="shared" si="1577"/>
        <v>0</v>
      </c>
      <c r="AV1918" s="156">
        <f t="shared" si="1578"/>
        <v>0</v>
      </c>
      <c r="AW1918" s="157"/>
      <c r="AX1918" s="150">
        <v>0</v>
      </c>
      <c r="AY1918" s="150">
        <v>0</v>
      </c>
      <c r="AZ1918" s="150"/>
      <c r="BA1918" s="150">
        <f t="shared" si="1617"/>
        <v>0</v>
      </c>
      <c r="BB1918" s="210"/>
      <c r="BC1918" s="210"/>
      <c r="BD1918" s="210"/>
      <c r="BE1918" s="210"/>
      <c r="BF1918" s="210"/>
      <c r="BG1918" s="210"/>
      <c r="BH1918" s="217"/>
      <c r="BI1918" s="210"/>
      <c r="BJ1918" s="210"/>
      <c r="BK1918" s="210"/>
      <c r="BL1918" s="210"/>
      <c r="BM1918" s="208"/>
      <c r="BN1918" s="160"/>
      <c r="BO1918" s="161">
        <f t="shared" si="1584"/>
        <v>0</v>
      </c>
      <c r="BP1918" s="161"/>
    </row>
    <row r="1919" spans="1:68" ht="38.25">
      <c r="A1919" s="210"/>
      <c r="B1919" s="195" t="s">
        <v>9597</v>
      </c>
      <c r="C1919" s="196" t="s">
        <v>9598</v>
      </c>
      <c r="D1919" s="146" t="s">
        <v>4692</v>
      </c>
      <c r="E1919" s="196" t="s">
        <v>9598</v>
      </c>
      <c r="F1919" s="150">
        <v>0</v>
      </c>
      <c r="G1919" s="209">
        <v>0</v>
      </c>
      <c r="H1919" s="209"/>
      <c r="I1919" s="209">
        <v>0</v>
      </c>
      <c r="J1919" s="150">
        <v>0</v>
      </c>
      <c r="K1919" s="150">
        <v>0</v>
      </c>
      <c r="L1919" s="150">
        <f t="shared" si="1585"/>
        <v>0</v>
      </c>
      <c r="M1919" s="150">
        <v>0</v>
      </c>
      <c r="N1919" s="150">
        <v>0</v>
      </c>
      <c r="O1919" s="150">
        <v>0</v>
      </c>
      <c r="P1919" s="150">
        <v>0</v>
      </c>
      <c r="Q1919" s="150">
        <v>0</v>
      </c>
      <c r="R1919" s="313">
        <f t="shared" si="1612"/>
        <v>0</v>
      </c>
      <c r="S1919" s="150">
        <f t="shared" si="1583"/>
        <v>0</v>
      </c>
      <c r="T1919" s="150">
        <v>0</v>
      </c>
      <c r="U1919" s="150">
        <v>0</v>
      </c>
      <c r="V1919" s="199">
        <v>0</v>
      </c>
      <c r="W1919" s="150">
        <f t="shared" si="1613"/>
        <v>0</v>
      </c>
      <c r="X1919" s="150">
        <v>0</v>
      </c>
      <c r="Y1919" s="150">
        <v>0</v>
      </c>
      <c r="Z1919" s="150">
        <v>0</v>
      </c>
      <c r="AA1919" s="150">
        <f t="shared" si="1579"/>
        <v>0</v>
      </c>
      <c r="AB1919" s="150">
        <v>0</v>
      </c>
      <c r="AC1919" s="199">
        <v>0</v>
      </c>
      <c r="AD1919" s="150">
        <f t="shared" si="1614"/>
        <v>0</v>
      </c>
      <c r="AE1919" s="150">
        <v>0</v>
      </c>
      <c r="AF1919" s="169" t="s">
        <v>4680</v>
      </c>
      <c r="AG1919" s="201">
        <v>0</v>
      </c>
      <c r="AH1919" s="199">
        <v>0</v>
      </c>
      <c r="AI1919" s="150">
        <v>0</v>
      </c>
      <c r="AJ1919" s="169">
        <f t="shared" si="1580"/>
        <v>0</v>
      </c>
      <c r="AK1919" s="201">
        <v>0</v>
      </c>
      <c r="AL1919" s="199">
        <v>0</v>
      </c>
      <c r="AM1919" s="150">
        <f t="shared" si="1615"/>
        <v>0</v>
      </c>
      <c r="AN1919" s="153">
        <f t="shared" si="1581"/>
        <v>0</v>
      </c>
      <c r="AO1919" s="154">
        <f t="shared" si="1582"/>
        <v>0</v>
      </c>
      <c r="AP1919" s="150">
        <v>0</v>
      </c>
      <c r="AQ1919" s="201">
        <v>0</v>
      </c>
      <c r="AR1919" s="199">
        <v>0</v>
      </c>
      <c r="AS1919" s="150">
        <f t="shared" si="1616"/>
        <v>0</v>
      </c>
      <c r="AT1919" s="155"/>
      <c r="AU1919" s="156">
        <f t="shared" si="1577"/>
        <v>0</v>
      </c>
      <c r="AV1919" s="156">
        <f t="shared" si="1578"/>
        <v>0</v>
      </c>
      <c r="AW1919" s="157"/>
      <c r="AX1919" s="150">
        <v>0</v>
      </c>
      <c r="AY1919" s="150">
        <v>0</v>
      </c>
      <c r="AZ1919" s="150"/>
      <c r="BA1919" s="150">
        <f t="shared" si="1617"/>
        <v>0</v>
      </c>
      <c r="BB1919" s="210"/>
      <c r="BC1919" s="210"/>
      <c r="BD1919" s="210"/>
      <c r="BE1919" s="210"/>
      <c r="BF1919" s="210"/>
      <c r="BG1919" s="210"/>
      <c r="BH1919" s="217"/>
      <c r="BI1919" s="210"/>
      <c r="BJ1919" s="210"/>
      <c r="BK1919" s="210"/>
      <c r="BL1919" s="210"/>
      <c r="BM1919" s="208"/>
      <c r="BN1919" s="160"/>
      <c r="BO1919" s="161">
        <f t="shared" si="1584"/>
        <v>0</v>
      </c>
      <c r="BP1919" s="161"/>
    </row>
    <row r="1920" spans="1:68" ht="38.25">
      <c r="A1920" s="210"/>
      <c r="B1920" s="195" t="s">
        <v>9599</v>
      </c>
      <c r="C1920" s="196" t="s">
        <v>9600</v>
      </c>
      <c r="D1920" s="146" t="s">
        <v>4692</v>
      </c>
      <c r="E1920" s="196" t="s">
        <v>9600</v>
      </c>
      <c r="F1920" s="150">
        <v>0</v>
      </c>
      <c r="G1920" s="209">
        <v>0</v>
      </c>
      <c r="H1920" s="209"/>
      <c r="I1920" s="209">
        <v>0</v>
      </c>
      <c r="J1920" s="150">
        <v>0</v>
      </c>
      <c r="K1920" s="150">
        <v>0</v>
      </c>
      <c r="L1920" s="150">
        <f t="shared" si="1585"/>
        <v>0</v>
      </c>
      <c r="M1920" s="150">
        <v>0</v>
      </c>
      <c r="N1920" s="150">
        <v>0</v>
      </c>
      <c r="O1920" s="150">
        <v>0</v>
      </c>
      <c r="P1920" s="150">
        <v>0</v>
      </c>
      <c r="Q1920" s="150">
        <v>0</v>
      </c>
      <c r="R1920" s="313">
        <f t="shared" si="1612"/>
        <v>0</v>
      </c>
      <c r="S1920" s="150">
        <f t="shared" si="1583"/>
        <v>0</v>
      </c>
      <c r="T1920" s="150">
        <v>0</v>
      </c>
      <c r="U1920" s="150">
        <v>0</v>
      </c>
      <c r="V1920" s="199">
        <v>0</v>
      </c>
      <c r="W1920" s="150">
        <f t="shared" si="1613"/>
        <v>0</v>
      </c>
      <c r="X1920" s="150">
        <v>0</v>
      </c>
      <c r="Y1920" s="150">
        <v>0</v>
      </c>
      <c r="Z1920" s="150">
        <v>0</v>
      </c>
      <c r="AA1920" s="150">
        <f t="shared" si="1579"/>
        <v>0</v>
      </c>
      <c r="AB1920" s="150">
        <v>0</v>
      </c>
      <c r="AC1920" s="199">
        <v>0</v>
      </c>
      <c r="AD1920" s="150">
        <f t="shared" si="1614"/>
        <v>0</v>
      </c>
      <c r="AE1920" s="150">
        <v>0</v>
      </c>
      <c r="AF1920" s="169" t="s">
        <v>4680</v>
      </c>
      <c r="AG1920" s="201">
        <v>0</v>
      </c>
      <c r="AH1920" s="199">
        <v>0</v>
      </c>
      <c r="AI1920" s="150">
        <v>0</v>
      </c>
      <c r="AJ1920" s="169">
        <f t="shared" si="1580"/>
        <v>0</v>
      </c>
      <c r="AK1920" s="201">
        <v>0</v>
      </c>
      <c r="AL1920" s="199">
        <v>0</v>
      </c>
      <c r="AM1920" s="150">
        <f t="shared" si="1615"/>
        <v>0</v>
      </c>
      <c r="AN1920" s="153">
        <f t="shared" si="1581"/>
        <v>0</v>
      </c>
      <c r="AO1920" s="154">
        <f t="shared" si="1582"/>
        <v>0</v>
      </c>
      <c r="AP1920" s="150">
        <v>0</v>
      </c>
      <c r="AQ1920" s="201">
        <v>0</v>
      </c>
      <c r="AR1920" s="199">
        <v>0</v>
      </c>
      <c r="AS1920" s="150">
        <f t="shared" si="1616"/>
        <v>0</v>
      </c>
      <c r="AT1920" s="155"/>
      <c r="AU1920" s="156">
        <f t="shared" si="1577"/>
        <v>0</v>
      </c>
      <c r="AV1920" s="156">
        <f t="shared" si="1578"/>
        <v>0</v>
      </c>
      <c r="AW1920" s="157"/>
      <c r="AX1920" s="150">
        <v>0</v>
      </c>
      <c r="AY1920" s="150">
        <v>0</v>
      </c>
      <c r="AZ1920" s="150"/>
      <c r="BA1920" s="150">
        <f t="shared" si="1617"/>
        <v>0</v>
      </c>
      <c r="BB1920" s="210"/>
      <c r="BC1920" s="210"/>
      <c r="BD1920" s="210"/>
      <c r="BE1920" s="210"/>
      <c r="BF1920" s="210"/>
      <c r="BG1920" s="210"/>
      <c r="BH1920" s="217"/>
      <c r="BI1920" s="210"/>
      <c r="BJ1920" s="210"/>
      <c r="BK1920" s="210"/>
      <c r="BL1920" s="210"/>
      <c r="BM1920" s="208"/>
      <c r="BN1920" s="160"/>
      <c r="BO1920" s="161">
        <f t="shared" si="1584"/>
        <v>0</v>
      </c>
      <c r="BP1920" s="161"/>
    </row>
    <row r="1921" spans="1:68" ht="51">
      <c r="A1921" s="210"/>
      <c r="B1921" s="195" t="s">
        <v>9601</v>
      </c>
      <c r="C1921" s="196" t="s">
        <v>9602</v>
      </c>
      <c r="D1921" s="146" t="s">
        <v>4692</v>
      </c>
      <c r="E1921" s="196" t="s">
        <v>9602</v>
      </c>
      <c r="F1921" s="150">
        <v>0</v>
      </c>
      <c r="G1921" s="209">
        <v>0</v>
      </c>
      <c r="H1921" s="209"/>
      <c r="I1921" s="209">
        <v>0</v>
      </c>
      <c r="J1921" s="150">
        <v>0</v>
      </c>
      <c r="K1921" s="150">
        <v>0</v>
      </c>
      <c r="L1921" s="150">
        <f t="shared" si="1585"/>
        <v>0</v>
      </c>
      <c r="M1921" s="150">
        <v>0</v>
      </c>
      <c r="N1921" s="150">
        <v>0</v>
      </c>
      <c r="O1921" s="150">
        <v>0</v>
      </c>
      <c r="P1921" s="150">
        <v>0</v>
      </c>
      <c r="Q1921" s="150">
        <v>0</v>
      </c>
      <c r="R1921" s="313">
        <f t="shared" si="1612"/>
        <v>0</v>
      </c>
      <c r="S1921" s="150">
        <f t="shared" si="1583"/>
        <v>0</v>
      </c>
      <c r="T1921" s="150">
        <v>0</v>
      </c>
      <c r="U1921" s="150">
        <v>0</v>
      </c>
      <c r="V1921" s="199">
        <v>0</v>
      </c>
      <c r="W1921" s="150">
        <f t="shared" si="1613"/>
        <v>0</v>
      </c>
      <c r="X1921" s="150">
        <v>0</v>
      </c>
      <c r="Y1921" s="150">
        <v>0</v>
      </c>
      <c r="Z1921" s="150">
        <v>0</v>
      </c>
      <c r="AA1921" s="150">
        <f t="shared" si="1579"/>
        <v>0</v>
      </c>
      <c r="AB1921" s="150">
        <v>0</v>
      </c>
      <c r="AC1921" s="199">
        <v>0</v>
      </c>
      <c r="AD1921" s="150">
        <f t="shared" si="1614"/>
        <v>0</v>
      </c>
      <c r="AE1921" s="150">
        <v>0</v>
      </c>
      <c r="AF1921" s="169" t="s">
        <v>4680</v>
      </c>
      <c r="AG1921" s="201">
        <v>0</v>
      </c>
      <c r="AH1921" s="199">
        <v>0</v>
      </c>
      <c r="AI1921" s="150">
        <v>0</v>
      </c>
      <c r="AJ1921" s="169">
        <f t="shared" si="1580"/>
        <v>0</v>
      </c>
      <c r="AK1921" s="201">
        <v>0</v>
      </c>
      <c r="AL1921" s="199">
        <v>0</v>
      </c>
      <c r="AM1921" s="150">
        <f t="shared" si="1615"/>
        <v>0</v>
      </c>
      <c r="AN1921" s="153">
        <f t="shared" si="1581"/>
        <v>0</v>
      </c>
      <c r="AO1921" s="154">
        <f t="shared" si="1582"/>
        <v>0</v>
      </c>
      <c r="AP1921" s="150">
        <v>0</v>
      </c>
      <c r="AQ1921" s="201">
        <v>0</v>
      </c>
      <c r="AR1921" s="199">
        <v>0</v>
      </c>
      <c r="AS1921" s="150">
        <f t="shared" si="1616"/>
        <v>0</v>
      </c>
      <c r="AT1921" s="155"/>
      <c r="AU1921" s="156">
        <f t="shared" si="1577"/>
        <v>0</v>
      </c>
      <c r="AV1921" s="156">
        <f t="shared" si="1578"/>
        <v>0</v>
      </c>
      <c r="AW1921" s="157"/>
      <c r="AX1921" s="150">
        <v>0</v>
      </c>
      <c r="AY1921" s="150">
        <v>0</v>
      </c>
      <c r="AZ1921" s="150"/>
      <c r="BA1921" s="150">
        <f t="shared" si="1617"/>
        <v>0</v>
      </c>
      <c r="BB1921" s="210"/>
      <c r="BC1921" s="210"/>
      <c r="BD1921" s="210"/>
      <c r="BE1921" s="210"/>
      <c r="BF1921" s="210"/>
      <c r="BG1921" s="210"/>
      <c r="BH1921" s="217"/>
      <c r="BI1921" s="210"/>
      <c r="BJ1921" s="210"/>
      <c r="BK1921" s="210"/>
      <c r="BL1921" s="210"/>
      <c r="BM1921" s="208"/>
      <c r="BN1921" s="160"/>
      <c r="BO1921" s="161">
        <f t="shared" si="1584"/>
        <v>0</v>
      </c>
      <c r="BP1921" s="161"/>
    </row>
    <row r="1922" spans="1:68" ht="51">
      <c r="A1922" s="210"/>
      <c r="B1922" s="195" t="s">
        <v>9603</v>
      </c>
      <c r="C1922" s="196" t="s">
        <v>9604</v>
      </c>
      <c r="D1922" s="146" t="s">
        <v>4692</v>
      </c>
      <c r="E1922" s="196" t="s">
        <v>9604</v>
      </c>
      <c r="F1922" s="150">
        <v>0</v>
      </c>
      <c r="G1922" s="209">
        <v>0</v>
      </c>
      <c r="H1922" s="209"/>
      <c r="I1922" s="209">
        <v>0</v>
      </c>
      <c r="J1922" s="150">
        <v>0</v>
      </c>
      <c r="K1922" s="150">
        <v>0</v>
      </c>
      <c r="L1922" s="150">
        <f t="shared" si="1585"/>
        <v>0</v>
      </c>
      <c r="M1922" s="150">
        <v>0</v>
      </c>
      <c r="N1922" s="150">
        <v>0</v>
      </c>
      <c r="O1922" s="150">
        <v>0</v>
      </c>
      <c r="P1922" s="150">
        <v>0</v>
      </c>
      <c r="Q1922" s="150">
        <v>0</v>
      </c>
      <c r="R1922" s="313">
        <f t="shared" si="1612"/>
        <v>0</v>
      </c>
      <c r="S1922" s="150">
        <f t="shared" si="1583"/>
        <v>0</v>
      </c>
      <c r="T1922" s="150">
        <v>0</v>
      </c>
      <c r="U1922" s="150">
        <v>0</v>
      </c>
      <c r="V1922" s="199">
        <v>0</v>
      </c>
      <c r="W1922" s="150">
        <f t="shared" si="1613"/>
        <v>0</v>
      </c>
      <c r="X1922" s="150">
        <v>0</v>
      </c>
      <c r="Y1922" s="150">
        <v>0</v>
      </c>
      <c r="Z1922" s="150">
        <v>0</v>
      </c>
      <c r="AA1922" s="150">
        <f t="shared" si="1579"/>
        <v>0</v>
      </c>
      <c r="AB1922" s="150">
        <v>0</v>
      </c>
      <c r="AC1922" s="199">
        <v>0</v>
      </c>
      <c r="AD1922" s="150">
        <f t="shared" si="1614"/>
        <v>0</v>
      </c>
      <c r="AE1922" s="150">
        <v>0</v>
      </c>
      <c r="AF1922" s="169" t="s">
        <v>4680</v>
      </c>
      <c r="AG1922" s="201">
        <v>0</v>
      </c>
      <c r="AH1922" s="199">
        <v>0</v>
      </c>
      <c r="AI1922" s="150">
        <v>0</v>
      </c>
      <c r="AJ1922" s="169">
        <f t="shared" si="1580"/>
        <v>0</v>
      </c>
      <c r="AK1922" s="201">
        <v>0</v>
      </c>
      <c r="AL1922" s="199">
        <v>0</v>
      </c>
      <c r="AM1922" s="150">
        <f t="shared" si="1615"/>
        <v>0</v>
      </c>
      <c r="AN1922" s="153">
        <f t="shared" si="1581"/>
        <v>0</v>
      </c>
      <c r="AO1922" s="154">
        <f t="shared" si="1582"/>
        <v>0</v>
      </c>
      <c r="AP1922" s="150">
        <v>0</v>
      </c>
      <c r="AQ1922" s="201">
        <v>0</v>
      </c>
      <c r="AR1922" s="199">
        <v>0</v>
      </c>
      <c r="AS1922" s="150">
        <f t="shared" si="1616"/>
        <v>0</v>
      </c>
      <c r="AT1922" s="155"/>
      <c r="AU1922" s="156">
        <f t="shared" ref="AU1922:AU1985" si="1618">AM1922-AD1922</f>
        <v>0</v>
      </c>
      <c r="AV1922" s="156">
        <f t="shared" ref="AV1922:AV1985" si="1619">AD1922-AX1922</f>
        <v>0</v>
      </c>
      <c r="AW1922" s="157"/>
      <c r="AX1922" s="150">
        <v>0</v>
      </c>
      <c r="AY1922" s="150">
        <v>0</v>
      </c>
      <c r="AZ1922" s="150"/>
      <c r="BA1922" s="150">
        <f t="shared" si="1617"/>
        <v>0</v>
      </c>
      <c r="BB1922" s="210"/>
      <c r="BC1922" s="210"/>
      <c r="BD1922" s="210"/>
      <c r="BE1922" s="210"/>
      <c r="BF1922" s="210"/>
      <c r="BG1922" s="210"/>
      <c r="BH1922" s="217"/>
      <c r="BI1922" s="210"/>
      <c r="BJ1922" s="210"/>
      <c r="BK1922" s="210"/>
      <c r="BL1922" s="210"/>
      <c r="BM1922" s="208"/>
      <c r="BN1922" s="160"/>
      <c r="BO1922" s="161">
        <f t="shared" si="1584"/>
        <v>0</v>
      </c>
      <c r="BP1922" s="161"/>
    </row>
    <row r="1923" spans="1:68" ht="51">
      <c r="A1923" s="206" t="s">
        <v>605</v>
      </c>
      <c r="B1923" s="195" t="s">
        <v>9605</v>
      </c>
      <c r="C1923" s="196" t="s">
        <v>9606</v>
      </c>
      <c r="D1923" s="146" t="s">
        <v>4692</v>
      </c>
      <c r="E1923" s="196" t="s">
        <v>9606</v>
      </c>
      <c r="F1923" s="150">
        <v>0</v>
      </c>
      <c r="G1923" s="209">
        <v>0</v>
      </c>
      <c r="H1923" s="209"/>
      <c r="I1923" s="209">
        <v>0</v>
      </c>
      <c r="J1923" s="150">
        <v>0</v>
      </c>
      <c r="K1923" s="150">
        <v>0</v>
      </c>
      <c r="L1923" s="150">
        <f t="shared" si="1585"/>
        <v>0</v>
      </c>
      <c r="M1923" s="150">
        <v>0</v>
      </c>
      <c r="N1923" s="150">
        <v>0</v>
      </c>
      <c r="O1923" s="150">
        <v>0</v>
      </c>
      <c r="P1923" s="150">
        <v>0</v>
      </c>
      <c r="Q1923" s="150">
        <v>0</v>
      </c>
      <c r="R1923" s="313">
        <f t="shared" si="1612"/>
        <v>0</v>
      </c>
      <c r="S1923" s="150">
        <f t="shared" si="1583"/>
        <v>0</v>
      </c>
      <c r="T1923" s="150">
        <v>0</v>
      </c>
      <c r="U1923" s="150">
        <v>0</v>
      </c>
      <c r="V1923" s="199">
        <v>0</v>
      </c>
      <c r="W1923" s="150">
        <f t="shared" si="1613"/>
        <v>0</v>
      </c>
      <c r="X1923" s="150">
        <v>0</v>
      </c>
      <c r="Y1923" s="150">
        <v>0</v>
      </c>
      <c r="Z1923" s="150">
        <v>0</v>
      </c>
      <c r="AA1923" s="150">
        <f t="shared" ref="AA1923:AA1986" si="1620">AD1923-Z1923</f>
        <v>0</v>
      </c>
      <c r="AB1923" s="150">
        <v>0</v>
      </c>
      <c r="AC1923" s="199">
        <v>0</v>
      </c>
      <c r="AD1923" s="150">
        <f t="shared" si="1614"/>
        <v>0</v>
      </c>
      <c r="AE1923" s="150">
        <v>0</v>
      </c>
      <c r="AF1923" s="169" t="s">
        <v>4680</v>
      </c>
      <c r="AG1923" s="201">
        <v>0</v>
      </c>
      <c r="AH1923" s="199">
        <v>0</v>
      </c>
      <c r="AI1923" s="150">
        <v>0</v>
      </c>
      <c r="AJ1923" s="169">
        <f t="shared" ref="AJ1923:AJ1986" si="1621">AM1923-AI1923</f>
        <v>0</v>
      </c>
      <c r="AK1923" s="201">
        <v>0</v>
      </c>
      <c r="AL1923" s="199">
        <v>0</v>
      </c>
      <c r="AM1923" s="150">
        <f t="shared" si="1615"/>
        <v>0</v>
      </c>
      <c r="AN1923" s="153">
        <f t="shared" ref="AN1923:AN1986" si="1622">AS1923-AM1923</f>
        <v>0</v>
      </c>
      <c r="AO1923" s="154">
        <f t="shared" ref="AO1923:AO1986" si="1623">AS1923-AP1923</f>
        <v>0</v>
      </c>
      <c r="AP1923" s="150">
        <v>0</v>
      </c>
      <c r="AQ1923" s="201">
        <v>0</v>
      </c>
      <c r="AR1923" s="199">
        <v>0</v>
      </c>
      <c r="AS1923" s="150">
        <f t="shared" si="1616"/>
        <v>0</v>
      </c>
      <c r="AT1923" s="155"/>
      <c r="AU1923" s="156">
        <f t="shared" si="1618"/>
        <v>0</v>
      </c>
      <c r="AV1923" s="156">
        <f t="shared" si="1619"/>
        <v>0</v>
      </c>
      <c r="AW1923" s="157"/>
      <c r="AX1923" s="150">
        <v>0</v>
      </c>
      <c r="AY1923" s="150">
        <v>0</v>
      </c>
      <c r="AZ1923" s="150"/>
      <c r="BA1923" s="150">
        <f t="shared" si="1617"/>
        <v>0</v>
      </c>
      <c r="BB1923" s="202">
        <v>5</v>
      </c>
      <c r="BC1923" s="202" t="s">
        <v>766</v>
      </c>
      <c r="BD1923" s="202" t="s">
        <v>647</v>
      </c>
      <c r="BE1923" s="202" t="s">
        <v>647</v>
      </c>
      <c r="BF1923" s="202" t="s">
        <v>739</v>
      </c>
      <c r="BG1923" s="231" t="s">
        <v>9607</v>
      </c>
      <c r="BH1923" s="216">
        <f>AS1923</f>
        <v>0</v>
      </c>
      <c r="BI1923" s="205"/>
      <c r="BJ1923" s="206" t="s">
        <v>9583</v>
      </c>
      <c r="BK1923" s="206" t="s">
        <v>605</v>
      </c>
      <c r="BL1923" s="207" t="s">
        <v>9584</v>
      </c>
      <c r="BM1923" s="208">
        <f>BH1923</f>
        <v>0</v>
      </c>
      <c r="BN1923" s="160"/>
      <c r="BO1923" s="161">
        <f t="shared" si="1584"/>
        <v>0</v>
      </c>
      <c r="BP1923" s="161"/>
    </row>
    <row r="1924" spans="1:68" ht="51">
      <c r="A1924" s="206" t="s">
        <v>605</v>
      </c>
      <c r="B1924" s="195" t="s">
        <v>9608</v>
      </c>
      <c r="C1924" s="196" t="s">
        <v>9609</v>
      </c>
      <c r="D1924" s="146" t="s">
        <v>4692</v>
      </c>
      <c r="E1924" s="196" t="s">
        <v>9609</v>
      </c>
      <c r="F1924" s="150">
        <v>0</v>
      </c>
      <c r="G1924" s="209">
        <v>0</v>
      </c>
      <c r="H1924" s="209"/>
      <c r="I1924" s="209">
        <v>0</v>
      </c>
      <c r="J1924" s="150">
        <v>0</v>
      </c>
      <c r="K1924" s="150">
        <v>0</v>
      </c>
      <c r="L1924" s="150">
        <f t="shared" si="1585"/>
        <v>0</v>
      </c>
      <c r="M1924" s="150">
        <v>0</v>
      </c>
      <c r="N1924" s="150">
        <v>0</v>
      </c>
      <c r="O1924" s="150">
        <v>0</v>
      </c>
      <c r="P1924" s="150">
        <v>0</v>
      </c>
      <c r="Q1924" s="150">
        <v>0</v>
      </c>
      <c r="R1924" s="313">
        <f t="shared" si="1612"/>
        <v>0</v>
      </c>
      <c r="S1924" s="150">
        <f t="shared" ref="S1924:S1987" si="1624">R1924/9*12</f>
        <v>0</v>
      </c>
      <c r="T1924" s="150">
        <v>0</v>
      </c>
      <c r="U1924" s="150">
        <v>0</v>
      </c>
      <c r="V1924" s="199">
        <v>0</v>
      </c>
      <c r="W1924" s="150">
        <f t="shared" si="1613"/>
        <v>0</v>
      </c>
      <c r="X1924" s="150">
        <v>0</v>
      </c>
      <c r="Y1924" s="150">
        <v>0</v>
      </c>
      <c r="Z1924" s="150">
        <v>0</v>
      </c>
      <c r="AA1924" s="150">
        <f t="shared" si="1620"/>
        <v>0</v>
      </c>
      <c r="AB1924" s="150">
        <v>0</v>
      </c>
      <c r="AC1924" s="199">
        <v>0</v>
      </c>
      <c r="AD1924" s="150">
        <f t="shared" si="1614"/>
        <v>0</v>
      </c>
      <c r="AE1924" s="150">
        <v>0</v>
      </c>
      <c r="AF1924" s="169" t="s">
        <v>4680</v>
      </c>
      <c r="AG1924" s="201">
        <v>0</v>
      </c>
      <c r="AH1924" s="199">
        <v>0</v>
      </c>
      <c r="AI1924" s="150">
        <v>0</v>
      </c>
      <c r="AJ1924" s="169">
        <f t="shared" si="1621"/>
        <v>0</v>
      </c>
      <c r="AK1924" s="201">
        <v>0</v>
      </c>
      <c r="AL1924" s="199">
        <v>0</v>
      </c>
      <c r="AM1924" s="150">
        <f t="shared" si="1615"/>
        <v>0</v>
      </c>
      <c r="AN1924" s="153">
        <f t="shared" si="1622"/>
        <v>0</v>
      </c>
      <c r="AO1924" s="154">
        <f t="shared" si="1623"/>
        <v>0</v>
      </c>
      <c r="AP1924" s="150">
        <v>0</v>
      </c>
      <c r="AQ1924" s="201">
        <v>0</v>
      </c>
      <c r="AR1924" s="199">
        <v>0</v>
      </c>
      <c r="AS1924" s="150">
        <f t="shared" si="1616"/>
        <v>0</v>
      </c>
      <c r="AT1924" s="155"/>
      <c r="AU1924" s="156">
        <f t="shared" si="1618"/>
        <v>0</v>
      </c>
      <c r="AV1924" s="156">
        <f t="shared" si="1619"/>
        <v>0</v>
      </c>
      <c r="AW1924" s="157"/>
      <c r="AX1924" s="150">
        <v>0</v>
      </c>
      <c r="AY1924" s="150">
        <v>0</v>
      </c>
      <c r="AZ1924" s="150"/>
      <c r="BA1924" s="150">
        <f t="shared" si="1617"/>
        <v>0</v>
      </c>
      <c r="BB1924" s="202">
        <v>5</v>
      </c>
      <c r="BC1924" s="202" t="s">
        <v>766</v>
      </c>
      <c r="BD1924" s="202" t="s">
        <v>647</v>
      </c>
      <c r="BE1924" s="202" t="s">
        <v>647</v>
      </c>
      <c r="BF1924" s="202" t="s">
        <v>755</v>
      </c>
      <c r="BG1924" s="231" t="s">
        <v>9610</v>
      </c>
      <c r="BH1924" s="216">
        <f>AS1924</f>
        <v>0</v>
      </c>
      <c r="BI1924" s="205"/>
      <c r="BJ1924" s="206" t="s">
        <v>9583</v>
      </c>
      <c r="BK1924" s="206" t="s">
        <v>605</v>
      </c>
      <c r="BL1924" s="207" t="s">
        <v>9584</v>
      </c>
      <c r="BM1924" s="208">
        <f>BH1924</f>
        <v>0</v>
      </c>
      <c r="BN1924" s="160"/>
      <c r="BO1924" s="161">
        <f t="shared" si="1584"/>
        <v>0</v>
      </c>
      <c r="BP1924" s="161"/>
    </row>
    <row r="1925" spans="1:68" ht="63.75">
      <c r="A1925" s="206" t="s">
        <v>605</v>
      </c>
      <c r="B1925" s="195" t="s">
        <v>9611</v>
      </c>
      <c r="C1925" s="196" t="s">
        <v>9612</v>
      </c>
      <c r="D1925" s="146" t="s">
        <v>4692</v>
      </c>
      <c r="E1925" s="196" t="s">
        <v>9612</v>
      </c>
      <c r="F1925" s="150">
        <v>0</v>
      </c>
      <c r="G1925" s="209">
        <v>0</v>
      </c>
      <c r="H1925" s="209"/>
      <c r="I1925" s="209">
        <v>0</v>
      </c>
      <c r="J1925" s="150">
        <v>0</v>
      </c>
      <c r="K1925" s="150">
        <v>0</v>
      </c>
      <c r="L1925" s="150">
        <f t="shared" si="1585"/>
        <v>0</v>
      </c>
      <c r="M1925" s="150">
        <v>0</v>
      </c>
      <c r="N1925" s="150">
        <v>0</v>
      </c>
      <c r="O1925" s="150">
        <v>0</v>
      </c>
      <c r="P1925" s="150">
        <v>0</v>
      </c>
      <c r="Q1925" s="150">
        <v>0</v>
      </c>
      <c r="R1925" s="313">
        <f t="shared" si="1612"/>
        <v>0</v>
      </c>
      <c r="S1925" s="150">
        <f t="shared" si="1624"/>
        <v>0</v>
      </c>
      <c r="T1925" s="150">
        <v>0</v>
      </c>
      <c r="U1925" s="150">
        <v>0</v>
      </c>
      <c r="V1925" s="199">
        <v>0</v>
      </c>
      <c r="W1925" s="150">
        <f t="shared" si="1613"/>
        <v>0</v>
      </c>
      <c r="X1925" s="150">
        <v>0</v>
      </c>
      <c r="Y1925" s="150">
        <v>0</v>
      </c>
      <c r="Z1925" s="150">
        <v>0</v>
      </c>
      <c r="AA1925" s="150">
        <f t="shared" si="1620"/>
        <v>0</v>
      </c>
      <c r="AB1925" s="150">
        <v>0</v>
      </c>
      <c r="AC1925" s="199">
        <v>0</v>
      </c>
      <c r="AD1925" s="150">
        <f t="shared" si="1614"/>
        <v>0</v>
      </c>
      <c r="AE1925" s="150">
        <v>0</v>
      </c>
      <c r="AF1925" s="169" t="s">
        <v>4680</v>
      </c>
      <c r="AG1925" s="201">
        <v>0</v>
      </c>
      <c r="AH1925" s="199">
        <v>0</v>
      </c>
      <c r="AI1925" s="150">
        <v>0</v>
      </c>
      <c r="AJ1925" s="169">
        <f t="shared" si="1621"/>
        <v>0</v>
      </c>
      <c r="AK1925" s="201">
        <v>0</v>
      </c>
      <c r="AL1925" s="199">
        <v>0</v>
      </c>
      <c r="AM1925" s="150">
        <f t="shared" si="1615"/>
        <v>0</v>
      </c>
      <c r="AN1925" s="153">
        <f t="shared" si="1622"/>
        <v>0</v>
      </c>
      <c r="AO1925" s="154">
        <f t="shared" si="1623"/>
        <v>0</v>
      </c>
      <c r="AP1925" s="150">
        <v>0</v>
      </c>
      <c r="AQ1925" s="201">
        <v>0</v>
      </c>
      <c r="AR1925" s="199">
        <v>0</v>
      </c>
      <c r="AS1925" s="150">
        <f t="shared" si="1616"/>
        <v>0</v>
      </c>
      <c r="AT1925" s="155"/>
      <c r="AU1925" s="156">
        <f t="shared" si="1618"/>
        <v>0</v>
      </c>
      <c r="AV1925" s="156">
        <f t="shared" si="1619"/>
        <v>0</v>
      </c>
      <c r="AW1925" s="157"/>
      <c r="AX1925" s="150">
        <v>0</v>
      </c>
      <c r="AY1925" s="150">
        <v>0</v>
      </c>
      <c r="AZ1925" s="150"/>
      <c r="BA1925" s="150">
        <f t="shared" si="1617"/>
        <v>0</v>
      </c>
      <c r="BB1925" s="202">
        <v>5</v>
      </c>
      <c r="BC1925" s="202" t="s">
        <v>766</v>
      </c>
      <c r="BD1925" s="202" t="s">
        <v>647</v>
      </c>
      <c r="BE1925" s="202" t="s">
        <v>647</v>
      </c>
      <c r="BF1925" s="202" t="s">
        <v>766</v>
      </c>
      <c r="BG1925" s="231" t="s">
        <v>9613</v>
      </c>
      <c r="BH1925" s="216">
        <f>AS1925</f>
        <v>0</v>
      </c>
      <c r="BI1925" s="205"/>
      <c r="BJ1925" s="206" t="s">
        <v>9583</v>
      </c>
      <c r="BK1925" s="206" t="s">
        <v>605</v>
      </c>
      <c r="BL1925" s="207" t="s">
        <v>9584</v>
      </c>
      <c r="BM1925" s="208">
        <f>BH1925</f>
        <v>0</v>
      </c>
      <c r="BN1925" s="160"/>
      <c r="BO1925" s="161">
        <f t="shared" si="1584"/>
        <v>0</v>
      </c>
      <c r="BP1925" s="161"/>
    </row>
    <row r="1926" spans="1:68" ht="51">
      <c r="A1926" s="206" t="s">
        <v>605</v>
      </c>
      <c r="B1926" s="195" t="s">
        <v>9614</v>
      </c>
      <c r="C1926" s="196" t="s">
        <v>9615</v>
      </c>
      <c r="D1926" s="146" t="s">
        <v>4692</v>
      </c>
      <c r="E1926" s="196" t="s">
        <v>9615</v>
      </c>
      <c r="F1926" s="150">
        <v>0</v>
      </c>
      <c r="G1926" s="209">
        <v>0</v>
      </c>
      <c r="H1926" s="209"/>
      <c r="I1926" s="209">
        <v>0</v>
      </c>
      <c r="J1926" s="150">
        <v>0</v>
      </c>
      <c r="K1926" s="150">
        <v>0</v>
      </c>
      <c r="L1926" s="150">
        <f t="shared" si="1585"/>
        <v>0</v>
      </c>
      <c r="M1926" s="150">
        <v>0</v>
      </c>
      <c r="N1926" s="150">
        <v>0</v>
      </c>
      <c r="O1926" s="150">
        <v>0</v>
      </c>
      <c r="P1926" s="150">
        <v>0</v>
      </c>
      <c r="Q1926" s="150">
        <v>0</v>
      </c>
      <c r="R1926" s="313">
        <f t="shared" si="1612"/>
        <v>0</v>
      </c>
      <c r="S1926" s="150">
        <f t="shared" si="1624"/>
        <v>0</v>
      </c>
      <c r="T1926" s="150">
        <v>0</v>
      </c>
      <c r="U1926" s="150">
        <v>0</v>
      </c>
      <c r="V1926" s="199">
        <v>0</v>
      </c>
      <c r="W1926" s="150">
        <f t="shared" si="1613"/>
        <v>0</v>
      </c>
      <c r="X1926" s="150">
        <v>0</v>
      </c>
      <c r="Y1926" s="150">
        <v>0</v>
      </c>
      <c r="Z1926" s="150">
        <v>0</v>
      </c>
      <c r="AA1926" s="150">
        <f t="shared" si="1620"/>
        <v>0</v>
      </c>
      <c r="AB1926" s="150">
        <v>0</v>
      </c>
      <c r="AC1926" s="199">
        <v>0</v>
      </c>
      <c r="AD1926" s="150">
        <f t="shared" si="1614"/>
        <v>0</v>
      </c>
      <c r="AE1926" s="150">
        <v>0</v>
      </c>
      <c r="AF1926" s="169" t="s">
        <v>4680</v>
      </c>
      <c r="AG1926" s="201">
        <v>0</v>
      </c>
      <c r="AH1926" s="199">
        <v>0</v>
      </c>
      <c r="AI1926" s="150">
        <v>0</v>
      </c>
      <c r="AJ1926" s="169">
        <f t="shared" si="1621"/>
        <v>0</v>
      </c>
      <c r="AK1926" s="201">
        <v>0</v>
      </c>
      <c r="AL1926" s="199">
        <v>0</v>
      </c>
      <c r="AM1926" s="150">
        <f t="shared" si="1615"/>
        <v>0</v>
      </c>
      <c r="AN1926" s="153">
        <f t="shared" si="1622"/>
        <v>0</v>
      </c>
      <c r="AO1926" s="154">
        <f t="shared" si="1623"/>
        <v>0</v>
      </c>
      <c r="AP1926" s="150">
        <v>0</v>
      </c>
      <c r="AQ1926" s="201">
        <v>0</v>
      </c>
      <c r="AR1926" s="199">
        <v>0</v>
      </c>
      <c r="AS1926" s="150">
        <f t="shared" si="1616"/>
        <v>0</v>
      </c>
      <c r="AT1926" s="155"/>
      <c r="AU1926" s="156">
        <f t="shared" si="1618"/>
        <v>0</v>
      </c>
      <c r="AV1926" s="156">
        <f t="shared" si="1619"/>
        <v>0</v>
      </c>
      <c r="AW1926" s="157"/>
      <c r="AX1926" s="150">
        <v>0</v>
      </c>
      <c r="AY1926" s="150">
        <v>0</v>
      </c>
      <c r="AZ1926" s="150"/>
      <c r="BA1926" s="150">
        <f t="shared" si="1617"/>
        <v>0</v>
      </c>
      <c r="BB1926" s="202">
        <v>5</v>
      </c>
      <c r="BC1926" s="202" t="s">
        <v>766</v>
      </c>
      <c r="BD1926" s="202" t="s">
        <v>647</v>
      </c>
      <c r="BE1926" s="202" t="s">
        <v>647</v>
      </c>
      <c r="BF1926" s="202" t="s">
        <v>779</v>
      </c>
      <c r="BG1926" s="231" t="s">
        <v>9616</v>
      </c>
      <c r="BH1926" s="216">
        <f>SUM(AS1926:AS1937)</f>
        <v>0</v>
      </c>
      <c r="BI1926" s="205"/>
      <c r="BJ1926" s="206" t="s">
        <v>9583</v>
      </c>
      <c r="BK1926" s="206" t="s">
        <v>605</v>
      </c>
      <c r="BL1926" s="207" t="s">
        <v>9584</v>
      </c>
      <c r="BM1926" s="208">
        <f>BH1926</f>
        <v>0</v>
      </c>
      <c r="BN1926" s="160"/>
      <c r="BO1926" s="161">
        <f t="shared" si="1584"/>
        <v>0</v>
      </c>
      <c r="BP1926" s="161"/>
    </row>
    <row r="1927" spans="1:68" ht="51">
      <c r="A1927" s="210"/>
      <c r="B1927" s="195" t="s">
        <v>9617</v>
      </c>
      <c r="C1927" s="196" t="s">
        <v>9618</v>
      </c>
      <c r="D1927" s="146" t="s">
        <v>4692</v>
      </c>
      <c r="E1927" s="196" t="s">
        <v>9618</v>
      </c>
      <c r="F1927" s="150">
        <v>0</v>
      </c>
      <c r="G1927" s="209">
        <v>0</v>
      </c>
      <c r="H1927" s="209"/>
      <c r="I1927" s="209">
        <v>0</v>
      </c>
      <c r="J1927" s="150">
        <v>0</v>
      </c>
      <c r="K1927" s="150">
        <v>0</v>
      </c>
      <c r="L1927" s="150">
        <f t="shared" si="1585"/>
        <v>0</v>
      </c>
      <c r="M1927" s="150">
        <v>0</v>
      </c>
      <c r="N1927" s="150">
        <v>0</v>
      </c>
      <c r="O1927" s="150">
        <v>0</v>
      </c>
      <c r="P1927" s="150">
        <v>0</v>
      </c>
      <c r="Q1927" s="150">
        <v>0</v>
      </c>
      <c r="R1927" s="313">
        <f t="shared" si="1612"/>
        <v>0</v>
      </c>
      <c r="S1927" s="150">
        <f t="shared" si="1624"/>
        <v>0</v>
      </c>
      <c r="T1927" s="150">
        <v>0</v>
      </c>
      <c r="U1927" s="150">
        <v>0</v>
      </c>
      <c r="V1927" s="199">
        <v>0</v>
      </c>
      <c r="W1927" s="150">
        <f t="shared" si="1613"/>
        <v>0</v>
      </c>
      <c r="X1927" s="150">
        <v>0</v>
      </c>
      <c r="Y1927" s="150">
        <v>0</v>
      </c>
      <c r="Z1927" s="150">
        <v>0</v>
      </c>
      <c r="AA1927" s="150">
        <f t="shared" si="1620"/>
        <v>0</v>
      </c>
      <c r="AB1927" s="150">
        <v>0</v>
      </c>
      <c r="AC1927" s="199">
        <v>0</v>
      </c>
      <c r="AD1927" s="150">
        <f t="shared" si="1614"/>
        <v>0</v>
      </c>
      <c r="AE1927" s="150">
        <v>0</v>
      </c>
      <c r="AF1927" s="169" t="s">
        <v>4680</v>
      </c>
      <c r="AG1927" s="201">
        <v>0</v>
      </c>
      <c r="AH1927" s="199">
        <v>0</v>
      </c>
      <c r="AI1927" s="150">
        <v>0</v>
      </c>
      <c r="AJ1927" s="169">
        <f t="shared" si="1621"/>
        <v>0</v>
      </c>
      <c r="AK1927" s="201">
        <v>0</v>
      </c>
      <c r="AL1927" s="199">
        <v>0</v>
      </c>
      <c r="AM1927" s="150">
        <f t="shared" si="1615"/>
        <v>0</v>
      </c>
      <c r="AN1927" s="153">
        <f t="shared" si="1622"/>
        <v>0</v>
      </c>
      <c r="AO1927" s="154">
        <f t="shared" si="1623"/>
        <v>0</v>
      </c>
      <c r="AP1927" s="150">
        <v>0</v>
      </c>
      <c r="AQ1927" s="201">
        <v>0</v>
      </c>
      <c r="AR1927" s="199">
        <v>0</v>
      </c>
      <c r="AS1927" s="150">
        <f t="shared" si="1616"/>
        <v>0</v>
      </c>
      <c r="AT1927" s="155"/>
      <c r="AU1927" s="156">
        <f t="shared" si="1618"/>
        <v>0</v>
      </c>
      <c r="AV1927" s="156">
        <f t="shared" si="1619"/>
        <v>0</v>
      </c>
      <c r="AW1927" s="157"/>
      <c r="AX1927" s="150">
        <v>0</v>
      </c>
      <c r="AY1927" s="150">
        <v>0</v>
      </c>
      <c r="AZ1927" s="150"/>
      <c r="BA1927" s="150">
        <f t="shared" si="1617"/>
        <v>0</v>
      </c>
      <c r="BB1927" s="210"/>
      <c r="BC1927" s="210"/>
      <c r="BD1927" s="210"/>
      <c r="BE1927" s="210"/>
      <c r="BF1927" s="210"/>
      <c r="BG1927" s="210"/>
      <c r="BH1927" s="217"/>
      <c r="BI1927" s="210"/>
      <c r="BJ1927" s="210"/>
      <c r="BK1927" s="210"/>
      <c r="BL1927" s="210"/>
      <c r="BM1927" s="208"/>
      <c r="BN1927" s="160"/>
      <c r="BO1927" s="161">
        <f t="shared" si="1584"/>
        <v>0</v>
      </c>
      <c r="BP1927" s="161"/>
    </row>
    <row r="1928" spans="1:68" ht="63.75">
      <c r="A1928" s="210"/>
      <c r="B1928" s="195" t="s">
        <v>9619</v>
      </c>
      <c r="C1928" s="196" t="s">
        <v>9620</v>
      </c>
      <c r="D1928" s="146" t="s">
        <v>4692</v>
      </c>
      <c r="E1928" s="196" t="s">
        <v>9620</v>
      </c>
      <c r="F1928" s="150">
        <v>0</v>
      </c>
      <c r="G1928" s="209">
        <v>0</v>
      </c>
      <c r="H1928" s="209"/>
      <c r="I1928" s="209">
        <v>0</v>
      </c>
      <c r="J1928" s="150">
        <v>0</v>
      </c>
      <c r="K1928" s="150">
        <v>0</v>
      </c>
      <c r="L1928" s="150">
        <f t="shared" si="1585"/>
        <v>0</v>
      </c>
      <c r="M1928" s="150">
        <v>0</v>
      </c>
      <c r="N1928" s="150">
        <v>0</v>
      </c>
      <c r="O1928" s="150">
        <v>0</v>
      </c>
      <c r="P1928" s="150">
        <v>0</v>
      </c>
      <c r="Q1928" s="150">
        <v>0</v>
      </c>
      <c r="R1928" s="313">
        <f t="shared" si="1612"/>
        <v>0</v>
      </c>
      <c r="S1928" s="150">
        <f t="shared" si="1624"/>
        <v>0</v>
      </c>
      <c r="T1928" s="150">
        <v>0</v>
      </c>
      <c r="U1928" s="150">
        <v>0</v>
      </c>
      <c r="V1928" s="199">
        <v>0</v>
      </c>
      <c r="W1928" s="150">
        <f t="shared" si="1613"/>
        <v>0</v>
      </c>
      <c r="X1928" s="150">
        <v>0</v>
      </c>
      <c r="Y1928" s="150">
        <v>0</v>
      </c>
      <c r="Z1928" s="150">
        <v>0</v>
      </c>
      <c r="AA1928" s="150">
        <f t="shared" si="1620"/>
        <v>0</v>
      </c>
      <c r="AB1928" s="150">
        <v>0</v>
      </c>
      <c r="AC1928" s="199">
        <v>0</v>
      </c>
      <c r="AD1928" s="150">
        <f t="shared" si="1614"/>
        <v>0</v>
      </c>
      <c r="AE1928" s="150">
        <v>0</v>
      </c>
      <c r="AF1928" s="169" t="s">
        <v>4680</v>
      </c>
      <c r="AG1928" s="201">
        <v>0</v>
      </c>
      <c r="AH1928" s="199">
        <v>0</v>
      </c>
      <c r="AI1928" s="150">
        <v>0</v>
      </c>
      <c r="AJ1928" s="169">
        <f t="shared" si="1621"/>
        <v>0</v>
      </c>
      <c r="AK1928" s="201">
        <v>0</v>
      </c>
      <c r="AL1928" s="199">
        <v>0</v>
      </c>
      <c r="AM1928" s="150">
        <f t="shared" si="1615"/>
        <v>0</v>
      </c>
      <c r="AN1928" s="153">
        <f t="shared" si="1622"/>
        <v>0</v>
      </c>
      <c r="AO1928" s="154">
        <f t="shared" si="1623"/>
        <v>0</v>
      </c>
      <c r="AP1928" s="150">
        <v>0</v>
      </c>
      <c r="AQ1928" s="201">
        <v>0</v>
      </c>
      <c r="AR1928" s="199">
        <v>0</v>
      </c>
      <c r="AS1928" s="150">
        <f t="shared" si="1616"/>
        <v>0</v>
      </c>
      <c r="AT1928" s="155"/>
      <c r="AU1928" s="156">
        <f t="shared" si="1618"/>
        <v>0</v>
      </c>
      <c r="AV1928" s="156">
        <f t="shared" si="1619"/>
        <v>0</v>
      </c>
      <c r="AW1928" s="157"/>
      <c r="AX1928" s="150">
        <v>0</v>
      </c>
      <c r="AY1928" s="150">
        <v>0</v>
      </c>
      <c r="AZ1928" s="150"/>
      <c r="BA1928" s="150">
        <f t="shared" si="1617"/>
        <v>0</v>
      </c>
      <c r="BB1928" s="210"/>
      <c r="BC1928" s="210"/>
      <c r="BD1928" s="210"/>
      <c r="BE1928" s="210"/>
      <c r="BF1928" s="210"/>
      <c r="BG1928" s="210"/>
      <c r="BH1928" s="217"/>
      <c r="BI1928" s="210"/>
      <c r="BJ1928" s="210"/>
      <c r="BK1928" s="210"/>
      <c r="BL1928" s="210"/>
      <c r="BM1928" s="208"/>
      <c r="BN1928" s="160"/>
      <c r="BO1928" s="161">
        <f t="shared" ref="BO1928:BO1942" si="1625">BM1928-AS1928</f>
        <v>0</v>
      </c>
      <c r="BP1928" s="161"/>
    </row>
    <row r="1929" spans="1:68" ht="38.25">
      <c r="A1929" s="210"/>
      <c r="B1929" s="195" t="s">
        <v>9621</v>
      </c>
      <c r="C1929" s="196" t="s">
        <v>9622</v>
      </c>
      <c r="D1929" s="146" t="s">
        <v>4692</v>
      </c>
      <c r="E1929" s="196" t="s">
        <v>9622</v>
      </c>
      <c r="F1929" s="150">
        <v>0</v>
      </c>
      <c r="G1929" s="209">
        <v>0</v>
      </c>
      <c r="H1929" s="209"/>
      <c r="I1929" s="209">
        <v>0</v>
      </c>
      <c r="J1929" s="150">
        <v>0</v>
      </c>
      <c r="K1929" s="150">
        <v>0</v>
      </c>
      <c r="L1929" s="150">
        <f t="shared" si="1585"/>
        <v>0</v>
      </c>
      <c r="M1929" s="150">
        <v>0</v>
      </c>
      <c r="N1929" s="150">
        <v>0</v>
      </c>
      <c r="O1929" s="150">
        <v>0</v>
      </c>
      <c r="P1929" s="150">
        <v>0</v>
      </c>
      <c r="Q1929" s="150">
        <v>0</v>
      </c>
      <c r="R1929" s="313">
        <f t="shared" si="1612"/>
        <v>0</v>
      </c>
      <c r="S1929" s="150">
        <f t="shared" si="1624"/>
        <v>0</v>
      </c>
      <c r="T1929" s="150">
        <v>0</v>
      </c>
      <c r="U1929" s="150">
        <v>0</v>
      </c>
      <c r="V1929" s="199">
        <v>0</v>
      </c>
      <c r="W1929" s="150">
        <f t="shared" si="1613"/>
        <v>0</v>
      </c>
      <c r="X1929" s="150">
        <v>0</v>
      </c>
      <c r="Y1929" s="150">
        <v>0</v>
      </c>
      <c r="Z1929" s="150">
        <v>0</v>
      </c>
      <c r="AA1929" s="150">
        <f t="shared" si="1620"/>
        <v>0</v>
      </c>
      <c r="AB1929" s="150">
        <v>0</v>
      </c>
      <c r="AC1929" s="199">
        <v>0</v>
      </c>
      <c r="AD1929" s="150">
        <f t="shared" si="1614"/>
        <v>0</v>
      </c>
      <c r="AE1929" s="150">
        <v>0</v>
      </c>
      <c r="AF1929" s="169" t="s">
        <v>4680</v>
      </c>
      <c r="AG1929" s="201">
        <v>0</v>
      </c>
      <c r="AH1929" s="199">
        <v>0</v>
      </c>
      <c r="AI1929" s="150">
        <v>0</v>
      </c>
      <c r="AJ1929" s="169">
        <f t="shared" si="1621"/>
        <v>0</v>
      </c>
      <c r="AK1929" s="201">
        <v>0</v>
      </c>
      <c r="AL1929" s="199">
        <v>0</v>
      </c>
      <c r="AM1929" s="150">
        <f t="shared" si="1615"/>
        <v>0</v>
      </c>
      <c r="AN1929" s="153">
        <f t="shared" si="1622"/>
        <v>0</v>
      </c>
      <c r="AO1929" s="154">
        <f t="shared" si="1623"/>
        <v>0</v>
      </c>
      <c r="AP1929" s="150">
        <v>0</v>
      </c>
      <c r="AQ1929" s="201">
        <v>0</v>
      </c>
      <c r="AR1929" s="199">
        <v>0</v>
      </c>
      <c r="AS1929" s="150">
        <f t="shared" si="1616"/>
        <v>0</v>
      </c>
      <c r="AT1929" s="155"/>
      <c r="AU1929" s="156">
        <f t="shared" si="1618"/>
        <v>0</v>
      </c>
      <c r="AV1929" s="156">
        <f t="shared" si="1619"/>
        <v>0</v>
      </c>
      <c r="AW1929" s="157"/>
      <c r="AX1929" s="150">
        <v>0</v>
      </c>
      <c r="AY1929" s="150">
        <v>0</v>
      </c>
      <c r="AZ1929" s="150"/>
      <c r="BA1929" s="150">
        <f t="shared" si="1617"/>
        <v>0</v>
      </c>
      <c r="BB1929" s="210"/>
      <c r="BC1929" s="210"/>
      <c r="BD1929" s="210"/>
      <c r="BE1929" s="210"/>
      <c r="BF1929" s="210"/>
      <c r="BG1929" s="210"/>
      <c r="BH1929" s="217"/>
      <c r="BI1929" s="210"/>
      <c r="BJ1929" s="210"/>
      <c r="BK1929" s="210"/>
      <c r="BL1929" s="210"/>
      <c r="BM1929" s="208"/>
      <c r="BN1929" s="160"/>
      <c r="BO1929" s="161">
        <f t="shared" si="1625"/>
        <v>0</v>
      </c>
      <c r="BP1929" s="161"/>
    </row>
    <row r="1930" spans="1:68" ht="51">
      <c r="A1930" s="210"/>
      <c r="B1930" s="195" t="s">
        <v>9623</v>
      </c>
      <c r="C1930" s="196" t="s">
        <v>9624</v>
      </c>
      <c r="D1930" s="146" t="s">
        <v>4692</v>
      </c>
      <c r="E1930" s="196" t="s">
        <v>9624</v>
      </c>
      <c r="F1930" s="150">
        <v>0</v>
      </c>
      <c r="G1930" s="209">
        <v>0</v>
      </c>
      <c r="H1930" s="209"/>
      <c r="I1930" s="209">
        <v>0</v>
      </c>
      <c r="J1930" s="150">
        <v>0</v>
      </c>
      <c r="K1930" s="150">
        <v>0</v>
      </c>
      <c r="L1930" s="150">
        <f t="shared" ref="L1930:L1993" si="1626">J1930+K1930</f>
        <v>0</v>
      </c>
      <c r="M1930" s="150">
        <v>0</v>
      </c>
      <c r="N1930" s="150">
        <v>0</v>
      </c>
      <c r="O1930" s="150">
        <v>0</v>
      </c>
      <c r="P1930" s="150">
        <v>0</v>
      </c>
      <c r="Q1930" s="150">
        <v>0</v>
      </c>
      <c r="R1930" s="313">
        <f t="shared" si="1612"/>
        <v>0</v>
      </c>
      <c r="S1930" s="150">
        <f t="shared" si="1624"/>
        <v>0</v>
      </c>
      <c r="T1930" s="150">
        <v>0</v>
      </c>
      <c r="U1930" s="150">
        <v>0</v>
      </c>
      <c r="V1930" s="199">
        <v>0</v>
      </c>
      <c r="W1930" s="150">
        <f t="shared" si="1613"/>
        <v>0</v>
      </c>
      <c r="X1930" s="150">
        <v>0</v>
      </c>
      <c r="Y1930" s="150">
        <v>0</v>
      </c>
      <c r="Z1930" s="150">
        <v>0</v>
      </c>
      <c r="AA1930" s="150">
        <f t="shared" si="1620"/>
        <v>0</v>
      </c>
      <c r="AB1930" s="150">
        <v>0</v>
      </c>
      <c r="AC1930" s="199">
        <v>0</v>
      </c>
      <c r="AD1930" s="150">
        <f t="shared" si="1614"/>
        <v>0</v>
      </c>
      <c r="AE1930" s="150">
        <v>0</v>
      </c>
      <c r="AF1930" s="169" t="s">
        <v>4680</v>
      </c>
      <c r="AG1930" s="201">
        <v>0</v>
      </c>
      <c r="AH1930" s="199">
        <v>0</v>
      </c>
      <c r="AI1930" s="150">
        <v>0</v>
      </c>
      <c r="AJ1930" s="169">
        <f t="shared" si="1621"/>
        <v>0</v>
      </c>
      <c r="AK1930" s="201">
        <v>0</v>
      </c>
      <c r="AL1930" s="199">
        <v>0</v>
      </c>
      <c r="AM1930" s="150">
        <f t="shared" si="1615"/>
        <v>0</v>
      </c>
      <c r="AN1930" s="153">
        <f t="shared" si="1622"/>
        <v>0</v>
      </c>
      <c r="AO1930" s="154">
        <f t="shared" si="1623"/>
        <v>0</v>
      </c>
      <c r="AP1930" s="150">
        <v>0</v>
      </c>
      <c r="AQ1930" s="201">
        <v>0</v>
      </c>
      <c r="AR1930" s="199">
        <v>0</v>
      </c>
      <c r="AS1930" s="150">
        <f t="shared" si="1616"/>
        <v>0</v>
      </c>
      <c r="AT1930" s="155"/>
      <c r="AU1930" s="156">
        <f t="shared" si="1618"/>
        <v>0</v>
      </c>
      <c r="AV1930" s="156">
        <f t="shared" si="1619"/>
        <v>0</v>
      </c>
      <c r="AW1930" s="157"/>
      <c r="AX1930" s="150">
        <v>0</v>
      </c>
      <c r="AY1930" s="150">
        <v>0</v>
      </c>
      <c r="AZ1930" s="150"/>
      <c r="BA1930" s="150">
        <f t="shared" si="1617"/>
        <v>0</v>
      </c>
      <c r="BB1930" s="210"/>
      <c r="BC1930" s="210"/>
      <c r="BD1930" s="210"/>
      <c r="BE1930" s="210"/>
      <c r="BF1930" s="210"/>
      <c r="BG1930" s="210"/>
      <c r="BH1930" s="217"/>
      <c r="BI1930" s="210"/>
      <c r="BJ1930" s="210"/>
      <c r="BK1930" s="210"/>
      <c r="BL1930" s="210"/>
      <c r="BM1930" s="208"/>
      <c r="BN1930" s="160"/>
      <c r="BO1930" s="161">
        <f t="shared" si="1625"/>
        <v>0</v>
      </c>
      <c r="BP1930" s="161"/>
    </row>
    <row r="1931" spans="1:68" ht="51">
      <c r="A1931" s="210"/>
      <c r="B1931" s="195" t="s">
        <v>9625</v>
      </c>
      <c r="C1931" s="196" t="s">
        <v>9626</v>
      </c>
      <c r="D1931" s="146" t="s">
        <v>4692</v>
      </c>
      <c r="E1931" s="196" t="s">
        <v>9626</v>
      </c>
      <c r="F1931" s="150">
        <v>0</v>
      </c>
      <c r="G1931" s="209">
        <v>0</v>
      </c>
      <c r="H1931" s="209"/>
      <c r="I1931" s="209">
        <v>0</v>
      </c>
      <c r="J1931" s="150">
        <v>0</v>
      </c>
      <c r="K1931" s="150">
        <v>0</v>
      </c>
      <c r="L1931" s="150">
        <f t="shared" si="1626"/>
        <v>0</v>
      </c>
      <c r="M1931" s="150">
        <v>0</v>
      </c>
      <c r="N1931" s="150">
        <v>0</v>
      </c>
      <c r="O1931" s="150">
        <v>0</v>
      </c>
      <c r="P1931" s="150">
        <v>0</v>
      </c>
      <c r="Q1931" s="150">
        <v>0</v>
      </c>
      <c r="R1931" s="313">
        <f t="shared" si="1612"/>
        <v>0</v>
      </c>
      <c r="S1931" s="150">
        <f t="shared" si="1624"/>
        <v>0</v>
      </c>
      <c r="T1931" s="150">
        <v>0</v>
      </c>
      <c r="U1931" s="150">
        <v>0</v>
      </c>
      <c r="V1931" s="199">
        <v>0</v>
      </c>
      <c r="W1931" s="150">
        <f t="shared" si="1613"/>
        <v>0</v>
      </c>
      <c r="X1931" s="150">
        <v>0</v>
      </c>
      <c r="Y1931" s="150">
        <v>0</v>
      </c>
      <c r="Z1931" s="150">
        <v>0</v>
      </c>
      <c r="AA1931" s="150">
        <f t="shared" si="1620"/>
        <v>0</v>
      </c>
      <c r="AB1931" s="150">
        <v>0</v>
      </c>
      <c r="AC1931" s="199">
        <v>0</v>
      </c>
      <c r="AD1931" s="150">
        <f t="shared" si="1614"/>
        <v>0</v>
      </c>
      <c r="AE1931" s="150">
        <v>0</v>
      </c>
      <c r="AF1931" s="169" t="s">
        <v>4680</v>
      </c>
      <c r="AG1931" s="201">
        <v>0</v>
      </c>
      <c r="AH1931" s="199">
        <v>0</v>
      </c>
      <c r="AI1931" s="150">
        <v>0</v>
      </c>
      <c r="AJ1931" s="169">
        <f t="shared" si="1621"/>
        <v>0</v>
      </c>
      <c r="AK1931" s="201">
        <v>0</v>
      </c>
      <c r="AL1931" s="199">
        <v>0</v>
      </c>
      <c r="AM1931" s="150">
        <f t="shared" si="1615"/>
        <v>0</v>
      </c>
      <c r="AN1931" s="153">
        <f t="shared" si="1622"/>
        <v>0</v>
      </c>
      <c r="AO1931" s="154">
        <f t="shared" si="1623"/>
        <v>0</v>
      </c>
      <c r="AP1931" s="150">
        <v>0</v>
      </c>
      <c r="AQ1931" s="201">
        <v>0</v>
      </c>
      <c r="AR1931" s="199">
        <v>0</v>
      </c>
      <c r="AS1931" s="150">
        <f t="shared" si="1616"/>
        <v>0</v>
      </c>
      <c r="AT1931" s="155"/>
      <c r="AU1931" s="156">
        <f t="shared" si="1618"/>
        <v>0</v>
      </c>
      <c r="AV1931" s="156">
        <f t="shared" si="1619"/>
        <v>0</v>
      </c>
      <c r="AW1931" s="157"/>
      <c r="AX1931" s="150">
        <v>0</v>
      </c>
      <c r="AY1931" s="150">
        <v>0</v>
      </c>
      <c r="AZ1931" s="150"/>
      <c r="BA1931" s="150">
        <f t="shared" si="1617"/>
        <v>0</v>
      </c>
      <c r="BB1931" s="210"/>
      <c r="BC1931" s="210"/>
      <c r="BD1931" s="210"/>
      <c r="BE1931" s="210"/>
      <c r="BF1931" s="210"/>
      <c r="BG1931" s="210"/>
      <c r="BH1931" s="217"/>
      <c r="BI1931" s="210"/>
      <c r="BJ1931" s="210"/>
      <c r="BK1931" s="210"/>
      <c r="BL1931" s="210"/>
      <c r="BM1931" s="208"/>
      <c r="BN1931" s="160"/>
      <c r="BO1931" s="161">
        <f t="shared" si="1625"/>
        <v>0</v>
      </c>
      <c r="BP1931" s="161"/>
    </row>
    <row r="1932" spans="1:68" ht="51">
      <c r="A1932" s="210"/>
      <c r="B1932" s="195" t="s">
        <v>9627</v>
      </c>
      <c r="C1932" s="196" t="s">
        <v>9628</v>
      </c>
      <c r="D1932" s="146" t="s">
        <v>4692</v>
      </c>
      <c r="E1932" s="196" t="s">
        <v>9628</v>
      </c>
      <c r="F1932" s="150">
        <v>0</v>
      </c>
      <c r="G1932" s="209">
        <v>0</v>
      </c>
      <c r="H1932" s="209"/>
      <c r="I1932" s="209">
        <v>0</v>
      </c>
      <c r="J1932" s="150">
        <v>0</v>
      </c>
      <c r="K1932" s="150">
        <v>0</v>
      </c>
      <c r="L1932" s="150">
        <f t="shared" si="1626"/>
        <v>0</v>
      </c>
      <c r="M1932" s="150">
        <v>0</v>
      </c>
      <c r="N1932" s="150">
        <v>0</v>
      </c>
      <c r="O1932" s="150">
        <v>0</v>
      </c>
      <c r="P1932" s="150">
        <v>0</v>
      </c>
      <c r="Q1932" s="150">
        <v>0</v>
      </c>
      <c r="R1932" s="313">
        <f t="shared" si="1612"/>
        <v>0</v>
      </c>
      <c r="S1932" s="150">
        <f t="shared" si="1624"/>
        <v>0</v>
      </c>
      <c r="T1932" s="150">
        <v>0</v>
      </c>
      <c r="U1932" s="150">
        <v>0</v>
      </c>
      <c r="V1932" s="199">
        <v>0</v>
      </c>
      <c r="W1932" s="150">
        <f t="shared" si="1613"/>
        <v>0</v>
      </c>
      <c r="X1932" s="150">
        <v>0</v>
      </c>
      <c r="Y1932" s="150">
        <v>0</v>
      </c>
      <c r="Z1932" s="150">
        <v>0</v>
      </c>
      <c r="AA1932" s="150">
        <f t="shared" si="1620"/>
        <v>0</v>
      </c>
      <c r="AB1932" s="150">
        <v>0</v>
      </c>
      <c r="AC1932" s="199">
        <v>0</v>
      </c>
      <c r="AD1932" s="150">
        <f t="shared" si="1614"/>
        <v>0</v>
      </c>
      <c r="AE1932" s="150">
        <v>0</v>
      </c>
      <c r="AF1932" s="169" t="s">
        <v>4680</v>
      </c>
      <c r="AG1932" s="201">
        <v>0</v>
      </c>
      <c r="AH1932" s="199">
        <v>0</v>
      </c>
      <c r="AI1932" s="150">
        <v>0</v>
      </c>
      <c r="AJ1932" s="169">
        <f t="shared" si="1621"/>
        <v>0</v>
      </c>
      <c r="AK1932" s="201">
        <v>0</v>
      </c>
      <c r="AL1932" s="199">
        <v>0</v>
      </c>
      <c r="AM1932" s="150">
        <f t="shared" si="1615"/>
        <v>0</v>
      </c>
      <c r="AN1932" s="153">
        <f t="shared" si="1622"/>
        <v>0</v>
      </c>
      <c r="AO1932" s="154">
        <f t="shared" si="1623"/>
        <v>0</v>
      </c>
      <c r="AP1932" s="150">
        <v>0</v>
      </c>
      <c r="AQ1932" s="201">
        <v>0</v>
      </c>
      <c r="AR1932" s="199">
        <v>0</v>
      </c>
      <c r="AS1932" s="150">
        <f t="shared" si="1616"/>
        <v>0</v>
      </c>
      <c r="AT1932" s="155"/>
      <c r="AU1932" s="156">
        <f t="shared" si="1618"/>
        <v>0</v>
      </c>
      <c r="AV1932" s="156">
        <f t="shared" si="1619"/>
        <v>0</v>
      </c>
      <c r="AW1932" s="157"/>
      <c r="AX1932" s="150">
        <v>0</v>
      </c>
      <c r="AY1932" s="150">
        <v>0</v>
      </c>
      <c r="AZ1932" s="150"/>
      <c r="BA1932" s="150">
        <f t="shared" si="1617"/>
        <v>0</v>
      </c>
      <c r="BB1932" s="210"/>
      <c r="BC1932" s="210"/>
      <c r="BD1932" s="210"/>
      <c r="BE1932" s="210"/>
      <c r="BF1932" s="210"/>
      <c r="BG1932" s="210"/>
      <c r="BH1932" s="217"/>
      <c r="BI1932" s="210"/>
      <c r="BJ1932" s="210"/>
      <c r="BK1932" s="210"/>
      <c r="BL1932" s="210"/>
      <c r="BM1932" s="208"/>
      <c r="BN1932" s="160"/>
      <c r="BO1932" s="161">
        <f t="shared" si="1625"/>
        <v>0</v>
      </c>
      <c r="BP1932" s="161"/>
    </row>
    <row r="1933" spans="1:68" ht="51">
      <c r="A1933" s="210"/>
      <c r="B1933" s="195" t="s">
        <v>9629</v>
      </c>
      <c r="C1933" s="196" t="s">
        <v>9630</v>
      </c>
      <c r="D1933" s="146" t="s">
        <v>4692</v>
      </c>
      <c r="E1933" s="196" t="s">
        <v>9630</v>
      </c>
      <c r="F1933" s="150">
        <v>0</v>
      </c>
      <c r="G1933" s="209">
        <v>0</v>
      </c>
      <c r="H1933" s="209"/>
      <c r="I1933" s="209">
        <v>0</v>
      </c>
      <c r="J1933" s="150">
        <v>0</v>
      </c>
      <c r="K1933" s="150">
        <v>0</v>
      </c>
      <c r="L1933" s="150">
        <f t="shared" si="1626"/>
        <v>0</v>
      </c>
      <c r="M1933" s="150">
        <v>0</v>
      </c>
      <c r="N1933" s="150">
        <v>0</v>
      </c>
      <c r="O1933" s="150">
        <v>0</v>
      </c>
      <c r="P1933" s="150">
        <v>0</v>
      </c>
      <c r="Q1933" s="150">
        <v>0</v>
      </c>
      <c r="R1933" s="313">
        <f t="shared" si="1612"/>
        <v>0</v>
      </c>
      <c r="S1933" s="150">
        <f t="shared" si="1624"/>
        <v>0</v>
      </c>
      <c r="T1933" s="150">
        <v>0</v>
      </c>
      <c r="U1933" s="150">
        <v>0</v>
      </c>
      <c r="V1933" s="199">
        <v>0</v>
      </c>
      <c r="W1933" s="150">
        <f t="shared" si="1613"/>
        <v>0</v>
      </c>
      <c r="X1933" s="150">
        <v>0</v>
      </c>
      <c r="Y1933" s="150">
        <v>0</v>
      </c>
      <c r="Z1933" s="150">
        <v>0</v>
      </c>
      <c r="AA1933" s="150">
        <f t="shared" si="1620"/>
        <v>0</v>
      </c>
      <c r="AB1933" s="150">
        <v>0</v>
      </c>
      <c r="AC1933" s="199">
        <v>0</v>
      </c>
      <c r="AD1933" s="150">
        <f t="shared" si="1614"/>
        <v>0</v>
      </c>
      <c r="AE1933" s="150">
        <v>0</v>
      </c>
      <c r="AF1933" s="169" t="s">
        <v>4680</v>
      </c>
      <c r="AG1933" s="201">
        <v>0</v>
      </c>
      <c r="AH1933" s="199">
        <v>0</v>
      </c>
      <c r="AI1933" s="150">
        <v>0</v>
      </c>
      <c r="AJ1933" s="169">
        <f t="shared" si="1621"/>
        <v>0</v>
      </c>
      <c r="AK1933" s="201">
        <v>0</v>
      </c>
      <c r="AL1933" s="199">
        <v>0</v>
      </c>
      <c r="AM1933" s="150">
        <f t="shared" si="1615"/>
        <v>0</v>
      </c>
      <c r="AN1933" s="153">
        <f t="shared" si="1622"/>
        <v>0</v>
      </c>
      <c r="AO1933" s="154">
        <f t="shared" si="1623"/>
        <v>0</v>
      </c>
      <c r="AP1933" s="150">
        <v>0</v>
      </c>
      <c r="AQ1933" s="201">
        <v>0</v>
      </c>
      <c r="AR1933" s="199">
        <v>0</v>
      </c>
      <c r="AS1933" s="150">
        <f t="shared" si="1616"/>
        <v>0</v>
      </c>
      <c r="AT1933" s="155"/>
      <c r="AU1933" s="156">
        <f t="shared" si="1618"/>
        <v>0</v>
      </c>
      <c r="AV1933" s="156">
        <f t="shared" si="1619"/>
        <v>0</v>
      </c>
      <c r="AW1933" s="157"/>
      <c r="AX1933" s="150">
        <v>0</v>
      </c>
      <c r="AY1933" s="150">
        <v>0</v>
      </c>
      <c r="AZ1933" s="150"/>
      <c r="BA1933" s="150">
        <f t="shared" si="1617"/>
        <v>0</v>
      </c>
      <c r="BB1933" s="210"/>
      <c r="BC1933" s="210"/>
      <c r="BD1933" s="210"/>
      <c r="BE1933" s="210"/>
      <c r="BF1933" s="210"/>
      <c r="BG1933" s="210"/>
      <c r="BH1933" s="217"/>
      <c r="BI1933" s="210"/>
      <c r="BJ1933" s="210"/>
      <c r="BK1933" s="210"/>
      <c r="BL1933" s="210"/>
      <c r="BM1933" s="208"/>
      <c r="BN1933" s="160"/>
      <c r="BO1933" s="161">
        <f t="shared" si="1625"/>
        <v>0</v>
      </c>
      <c r="BP1933" s="161"/>
    </row>
    <row r="1934" spans="1:68" ht="51">
      <c r="A1934" s="210"/>
      <c r="B1934" s="195" t="s">
        <v>9631</v>
      </c>
      <c r="C1934" s="196" t="s">
        <v>9632</v>
      </c>
      <c r="D1934" s="146" t="s">
        <v>4692</v>
      </c>
      <c r="E1934" s="196" t="s">
        <v>9632</v>
      </c>
      <c r="F1934" s="150">
        <v>0</v>
      </c>
      <c r="G1934" s="209">
        <v>0</v>
      </c>
      <c r="H1934" s="209"/>
      <c r="I1934" s="209">
        <v>0</v>
      </c>
      <c r="J1934" s="150">
        <v>0</v>
      </c>
      <c r="K1934" s="150">
        <v>0</v>
      </c>
      <c r="L1934" s="150">
        <f t="shared" si="1626"/>
        <v>0</v>
      </c>
      <c r="M1934" s="150">
        <v>0</v>
      </c>
      <c r="N1934" s="150">
        <v>0</v>
      </c>
      <c r="O1934" s="150">
        <v>0</v>
      </c>
      <c r="P1934" s="150">
        <v>0</v>
      </c>
      <c r="Q1934" s="150">
        <v>0</v>
      </c>
      <c r="R1934" s="313">
        <f t="shared" si="1612"/>
        <v>0</v>
      </c>
      <c r="S1934" s="150">
        <f t="shared" si="1624"/>
        <v>0</v>
      </c>
      <c r="T1934" s="150">
        <v>0</v>
      </c>
      <c r="U1934" s="150">
        <v>0</v>
      </c>
      <c r="V1934" s="199">
        <v>0</v>
      </c>
      <c r="W1934" s="150">
        <f t="shared" si="1613"/>
        <v>0</v>
      </c>
      <c r="X1934" s="150">
        <v>0</v>
      </c>
      <c r="Y1934" s="150">
        <v>0</v>
      </c>
      <c r="Z1934" s="150">
        <v>0</v>
      </c>
      <c r="AA1934" s="150">
        <f t="shared" si="1620"/>
        <v>0</v>
      </c>
      <c r="AB1934" s="150">
        <v>0</v>
      </c>
      <c r="AC1934" s="199">
        <v>0</v>
      </c>
      <c r="AD1934" s="150">
        <f t="shared" si="1614"/>
        <v>0</v>
      </c>
      <c r="AE1934" s="150">
        <v>0</v>
      </c>
      <c r="AF1934" s="169" t="s">
        <v>4680</v>
      </c>
      <c r="AG1934" s="201">
        <v>0</v>
      </c>
      <c r="AH1934" s="199">
        <v>0</v>
      </c>
      <c r="AI1934" s="150">
        <v>0</v>
      </c>
      <c r="AJ1934" s="169">
        <f t="shared" si="1621"/>
        <v>0</v>
      </c>
      <c r="AK1934" s="201">
        <v>0</v>
      </c>
      <c r="AL1934" s="199">
        <v>0</v>
      </c>
      <c r="AM1934" s="150">
        <f t="shared" si="1615"/>
        <v>0</v>
      </c>
      <c r="AN1934" s="153">
        <f t="shared" si="1622"/>
        <v>0</v>
      </c>
      <c r="AO1934" s="154">
        <f t="shared" si="1623"/>
        <v>0</v>
      </c>
      <c r="AP1934" s="150">
        <v>0</v>
      </c>
      <c r="AQ1934" s="201">
        <v>0</v>
      </c>
      <c r="AR1934" s="199">
        <v>0</v>
      </c>
      <c r="AS1934" s="150">
        <f t="shared" si="1616"/>
        <v>0</v>
      </c>
      <c r="AT1934" s="155"/>
      <c r="AU1934" s="156">
        <f t="shared" si="1618"/>
        <v>0</v>
      </c>
      <c r="AV1934" s="156">
        <f t="shared" si="1619"/>
        <v>0</v>
      </c>
      <c r="AW1934" s="157"/>
      <c r="AX1934" s="150">
        <v>0</v>
      </c>
      <c r="AY1934" s="150">
        <v>0</v>
      </c>
      <c r="AZ1934" s="150"/>
      <c r="BA1934" s="150">
        <f t="shared" si="1617"/>
        <v>0</v>
      </c>
      <c r="BB1934" s="210"/>
      <c r="BC1934" s="210"/>
      <c r="BD1934" s="210"/>
      <c r="BE1934" s="210"/>
      <c r="BF1934" s="210"/>
      <c r="BG1934" s="210"/>
      <c r="BH1934" s="217"/>
      <c r="BI1934" s="210"/>
      <c r="BJ1934" s="210"/>
      <c r="BK1934" s="210"/>
      <c r="BL1934" s="210"/>
      <c r="BM1934" s="208"/>
      <c r="BN1934" s="160"/>
      <c r="BO1934" s="161">
        <f t="shared" si="1625"/>
        <v>0</v>
      </c>
      <c r="BP1934" s="161"/>
    </row>
    <row r="1935" spans="1:68" ht="51">
      <c r="A1935" s="210"/>
      <c r="B1935" s="195" t="s">
        <v>9633</v>
      </c>
      <c r="C1935" s="196" t="s">
        <v>9634</v>
      </c>
      <c r="D1935" s="146" t="s">
        <v>4692</v>
      </c>
      <c r="E1935" s="196" t="s">
        <v>9634</v>
      </c>
      <c r="F1935" s="150">
        <v>0</v>
      </c>
      <c r="G1935" s="209">
        <v>0</v>
      </c>
      <c r="H1935" s="209"/>
      <c r="I1935" s="209">
        <v>0</v>
      </c>
      <c r="J1935" s="150">
        <v>0</v>
      </c>
      <c r="K1935" s="150">
        <v>0</v>
      </c>
      <c r="L1935" s="150">
        <f t="shared" si="1626"/>
        <v>0</v>
      </c>
      <c r="M1935" s="150">
        <v>0</v>
      </c>
      <c r="N1935" s="150">
        <v>0</v>
      </c>
      <c r="O1935" s="150">
        <v>0</v>
      </c>
      <c r="P1935" s="150">
        <v>0</v>
      </c>
      <c r="Q1935" s="150">
        <v>0</v>
      </c>
      <c r="R1935" s="313">
        <f t="shared" si="1612"/>
        <v>0</v>
      </c>
      <c r="S1935" s="150">
        <f t="shared" si="1624"/>
        <v>0</v>
      </c>
      <c r="T1935" s="150">
        <v>0</v>
      </c>
      <c r="U1935" s="150">
        <v>0</v>
      </c>
      <c r="V1935" s="199">
        <v>0</v>
      </c>
      <c r="W1935" s="150">
        <f t="shared" si="1613"/>
        <v>0</v>
      </c>
      <c r="X1935" s="150">
        <v>0</v>
      </c>
      <c r="Y1935" s="150">
        <v>0</v>
      </c>
      <c r="Z1935" s="150">
        <v>0</v>
      </c>
      <c r="AA1935" s="150">
        <f t="shared" si="1620"/>
        <v>0</v>
      </c>
      <c r="AB1935" s="150">
        <v>0</v>
      </c>
      <c r="AC1935" s="199">
        <v>0</v>
      </c>
      <c r="AD1935" s="150">
        <f t="shared" si="1614"/>
        <v>0</v>
      </c>
      <c r="AE1935" s="150">
        <v>0</v>
      </c>
      <c r="AF1935" s="169" t="s">
        <v>4680</v>
      </c>
      <c r="AG1935" s="201">
        <v>0</v>
      </c>
      <c r="AH1935" s="199">
        <v>0</v>
      </c>
      <c r="AI1935" s="150">
        <v>0</v>
      </c>
      <c r="AJ1935" s="169">
        <f t="shared" si="1621"/>
        <v>0</v>
      </c>
      <c r="AK1935" s="201">
        <v>0</v>
      </c>
      <c r="AL1935" s="199">
        <v>0</v>
      </c>
      <c r="AM1935" s="150">
        <f t="shared" si="1615"/>
        <v>0</v>
      </c>
      <c r="AN1935" s="153">
        <f t="shared" si="1622"/>
        <v>0</v>
      </c>
      <c r="AO1935" s="154">
        <f t="shared" si="1623"/>
        <v>0</v>
      </c>
      <c r="AP1935" s="150">
        <v>0</v>
      </c>
      <c r="AQ1935" s="201">
        <v>0</v>
      </c>
      <c r="AR1935" s="199">
        <v>0</v>
      </c>
      <c r="AS1935" s="150">
        <f t="shared" si="1616"/>
        <v>0</v>
      </c>
      <c r="AT1935" s="155"/>
      <c r="AU1935" s="156">
        <f t="shared" si="1618"/>
        <v>0</v>
      </c>
      <c r="AV1935" s="156">
        <f t="shared" si="1619"/>
        <v>0</v>
      </c>
      <c r="AW1935" s="157"/>
      <c r="AX1935" s="150">
        <v>0</v>
      </c>
      <c r="AY1935" s="150">
        <v>0</v>
      </c>
      <c r="AZ1935" s="150"/>
      <c r="BA1935" s="150">
        <f t="shared" si="1617"/>
        <v>0</v>
      </c>
      <c r="BB1935" s="210"/>
      <c r="BC1935" s="210"/>
      <c r="BD1935" s="210"/>
      <c r="BE1935" s="210"/>
      <c r="BF1935" s="210"/>
      <c r="BG1935" s="210"/>
      <c r="BH1935" s="217"/>
      <c r="BI1935" s="210"/>
      <c r="BJ1935" s="210"/>
      <c r="BK1935" s="210"/>
      <c r="BL1935" s="210"/>
      <c r="BM1935" s="208"/>
      <c r="BN1935" s="160"/>
      <c r="BO1935" s="161">
        <f t="shared" si="1625"/>
        <v>0</v>
      </c>
      <c r="BP1935" s="161"/>
    </row>
    <row r="1936" spans="1:68" ht="51">
      <c r="A1936" s="210"/>
      <c r="B1936" s="195" t="s">
        <v>9635</v>
      </c>
      <c r="C1936" s="196" t="s">
        <v>9636</v>
      </c>
      <c r="D1936" s="146" t="s">
        <v>4692</v>
      </c>
      <c r="E1936" s="196" t="s">
        <v>9636</v>
      </c>
      <c r="F1936" s="150">
        <v>0</v>
      </c>
      <c r="G1936" s="209">
        <v>0</v>
      </c>
      <c r="H1936" s="209"/>
      <c r="I1936" s="209">
        <v>0</v>
      </c>
      <c r="J1936" s="150">
        <v>0</v>
      </c>
      <c r="K1936" s="150">
        <v>0</v>
      </c>
      <c r="L1936" s="150">
        <f t="shared" si="1626"/>
        <v>0</v>
      </c>
      <c r="M1936" s="150">
        <v>0</v>
      </c>
      <c r="N1936" s="150">
        <v>0</v>
      </c>
      <c r="O1936" s="150">
        <v>0</v>
      </c>
      <c r="P1936" s="150">
        <v>0</v>
      </c>
      <c r="Q1936" s="150">
        <v>0</v>
      </c>
      <c r="R1936" s="313">
        <f t="shared" si="1612"/>
        <v>0</v>
      </c>
      <c r="S1936" s="150">
        <f t="shared" si="1624"/>
        <v>0</v>
      </c>
      <c r="T1936" s="150">
        <v>0</v>
      </c>
      <c r="U1936" s="150">
        <v>0</v>
      </c>
      <c r="V1936" s="199">
        <v>0</v>
      </c>
      <c r="W1936" s="150">
        <f t="shared" si="1613"/>
        <v>0</v>
      </c>
      <c r="X1936" s="150">
        <v>0</v>
      </c>
      <c r="Y1936" s="150">
        <v>0</v>
      </c>
      <c r="Z1936" s="150">
        <v>0</v>
      </c>
      <c r="AA1936" s="150">
        <f t="shared" si="1620"/>
        <v>0</v>
      </c>
      <c r="AB1936" s="150">
        <v>0</v>
      </c>
      <c r="AC1936" s="199">
        <v>0</v>
      </c>
      <c r="AD1936" s="150">
        <f t="shared" si="1614"/>
        <v>0</v>
      </c>
      <c r="AE1936" s="150">
        <v>0</v>
      </c>
      <c r="AF1936" s="169" t="s">
        <v>4680</v>
      </c>
      <c r="AG1936" s="201">
        <v>0</v>
      </c>
      <c r="AH1936" s="199">
        <v>0</v>
      </c>
      <c r="AI1936" s="150">
        <v>0</v>
      </c>
      <c r="AJ1936" s="169">
        <f t="shared" si="1621"/>
        <v>0</v>
      </c>
      <c r="AK1936" s="201">
        <v>0</v>
      </c>
      <c r="AL1936" s="199">
        <v>0</v>
      </c>
      <c r="AM1936" s="150">
        <f t="shared" si="1615"/>
        <v>0</v>
      </c>
      <c r="AN1936" s="153">
        <f t="shared" si="1622"/>
        <v>0</v>
      </c>
      <c r="AO1936" s="154">
        <f t="shared" si="1623"/>
        <v>0</v>
      </c>
      <c r="AP1936" s="150">
        <v>0</v>
      </c>
      <c r="AQ1936" s="201">
        <v>0</v>
      </c>
      <c r="AR1936" s="199">
        <v>0</v>
      </c>
      <c r="AS1936" s="150">
        <f t="shared" si="1616"/>
        <v>0</v>
      </c>
      <c r="AT1936" s="155"/>
      <c r="AU1936" s="156">
        <f t="shared" si="1618"/>
        <v>0</v>
      </c>
      <c r="AV1936" s="156">
        <f t="shared" si="1619"/>
        <v>0</v>
      </c>
      <c r="AW1936" s="157"/>
      <c r="AX1936" s="150">
        <v>0</v>
      </c>
      <c r="AY1936" s="150">
        <v>0</v>
      </c>
      <c r="AZ1936" s="150"/>
      <c r="BA1936" s="150">
        <f t="shared" si="1617"/>
        <v>0</v>
      </c>
      <c r="BB1936" s="210"/>
      <c r="BC1936" s="210"/>
      <c r="BD1936" s="210"/>
      <c r="BE1936" s="210"/>
      <c r="BF1936" s="210"/>
      <c r="BG1936" s="210"/>
      <c r="BH1936" s="217"/>
      <c r="BI1936" s="210"/>
      <c r="BJ1936" s="210"/>
      <c r="BK1936" s="210"/>
      <c r="BL1936" s="210"/>
      <c r="BM1936" s="208"/>
      <c r="BN1936" s="160"/>
      <c r="BO1936" s="161">
        <f t="shared" si="1625"/>
        <v>0</v>
      </c>
      <c r="BP1936" s="161"/>
    </row>
    <row r="1937" spans="1:68" ht="63.75">
      <c r="A1937" s="210"/>
      <c r="B1937" s="195" t="s">
        <v>9637</v>
      </c>
      <c r="C1937" s="196" t="s">
        <v>9638</v>
      </c>
      <c r="D1937" s="146" t="s">
        <v>4692</v>
      </c>
      <c r="E1937" s="196" t="s">
        <v>9638</v>
      </c>
      <c r="F1937" s="150">
        <v>0</v>
      </c>
      <c r="G1937" s="209">
        <v>0</v>
      </c>
      <c r="H1937" s="209"/>
      <c r="I1937" s="209">
        <v>0</v>
      </c>
      <c r="J1937" s="150">
        <v>0</v>
      </c>
      <c r="K1937" s="150">
        <v>0</v>
      </c>
      <c r="L1937" s="150">
        <f t="shared" si="1626"/>
        <v>0</v>
      </c>
      <c r="M1937" s="150">
        <v>0</v>
      </c>
      <c r="N1937" s="150">
        <v>0</v>
      </c>
      <c r="O1937" s="150">
        <v>0</v>
      </c>
      <c r="P1937" s="150">
        <v>0</v>
      </c>
      <c r="Q1937" s="150">
        <v>0</v>
      </c>
      <c r="R1937" s="313">
        <f t="shared" si="1612"/>
        <v>0</v>
      </c>
      <c r="S1937" s="150">
        <f t="shared" si="1624"/>
        <v>0</v>
      </c>
      <c r="T1937" s="150">
        <v>0</v>
      </c>
      <c r="U1937" s="150">
        <v>0</v>
      </c>
      <c r="V1937" s="199">
        <v>0</v>
      </c>
      <c r="W1937" s="150">
        <f t="shared" si="1613"/>
        <v>0</v>
      </c>
      <c r="X1937" s="150">
        <v>0</v>
      </c>
      <c r="Y1937" s="150">
        <v>0</v>
      </c>
      <c r="Z1937" s="150">
        <v>0</v>
      </c>
      <c r="AA1937" s="150">
        <f t="shared" si="1620"/>
        <v>0</v>
      </c>
      <c r="AB1937" s="150">
        <v>0</v>
      </c>
      <c r="AC1937" s="199">
        <v>0</v>
      </c>
      <c r="AD1937" s="150">
        <f t="shared" si="1614"/>
        <v>0</v>
      </c>
      <c r="AE1937" s="150">
        <v>0</v>
      </c>
      <c r="AF1937" s="169" t="s">
        <v>4680</v>
      </c>
      <c r="AG1937" s="201">
        <v>0</v>
      </c>
      <c r="AH1937" s="199">
        <v>0</v>
      </c>
      <c r="AI1937" s="150">
        <v>0</v>
      </c>
      <c r="AJ1937" s="169">
        <f t="shared" si="1621"/>
        <v>0</v>
      </c>
      <c r="AK1937" s="201">
        <v>0</v>
      </c>
      <c r="AL1937" s="199">
        <v>0</v>
      </c>
      <c r="AM1937" s="150">
        <f t="shared" si="1615"/>
        <v>0</v>
      </c>
      <c r="AN1937" s="153">
        <f t="shared" si="1622"/>
        <v>0</v>
      </c>
      <c r="AO1937" s="154">
        <f t="shared" si="1623"/>
        <v>0</v>
      </c>
      <c r="AP1937" s="150">
        <v>0</v>
      </c>
      <c r="AQ1937" s="201">
        <v>0</v>
      </c>
      <c r="AR1937" s="199">
        <v>0</v>
      </c>
      <c r="AS1937" s="150">
        <f t="shared" si="1616"/>
        <v>0</v>
      </c>
      <c r="AT1937" s="155"/>
      <c r="AU1937" s="156">
        <f t="shared" si="1618"/>
        <v>0</v>
      </c>
      <c r="AV1937" s="156">
        <f t="shared" si="1619"/>
        <v>0</v>
      </c>
      <c r="AW1937" s="157"/>
      <c r="AX1937" s="150">
        <v>0</v>
      </c>
      <c r="AY1937" s="150">
        <v>0</v>
      </c>
      <c r="AZ1937" s="150"/>
      <c r="BA1937" s="150">
        <f t="shared" si="1617"/>
        <v>0</v>
      </c>
      <c r="BB1937" s="210"/>
      <c r="BC1937" s="210"/>
      <c r="BD1937" s="210"/>
      <c r="BE1937" s="210"/>
      <c r="BF1937" s="210"/>
      <c r="BG1937" s="210"/>
      <c r="BH1937" s="217"/>
      <c r="BI1937" s="210"/>
      <c r="BJ1937" s="210"/>
      <c r="BK1937" s="210"/>
      <c r="BL1937" s="210"/>
      <c r="BM1937" s="208"/>
      <c r="BN1937" s="160"/>
      <c r="BO1937" s="161">
        <f t="shared" si="1625"/>
        <v>0</v>
      </c>
      <c r="BP1937" s="161"/>
    </row>
    <row r="1938" spans="1:68" ht="51">
      <c r="A1938" s="206" t="s">
        <v>605</v>
      </c>
      <c r="B1938" s="195" t="s">
        <v>9639</v>
      </c>
      <c r="C1938" s="196" t="s">
        <v>9640</v>
      </c>
      <c r="D1938" s="146" t="s">
        <v>4692</v>
      </c>
      <c r="E1938" s="196" t="s">
        <v>9640</v>
      </c>
      <c r="F1938" s="150">
        <v>0</v>
      </c>
      <c r="G1938" s="209">
        <v>0</v>
      </c>
      <c r="H1938" s="209"/>
      <c r="I1938" s="209">
        <v>0</v>
      </c>
      <c r="J1938" s="150">
        <v>0</v>
      </c>
      <c r="K1938" s="150">
        <v>0</v>
      </c>
      <c r="L1938" s="150">
        <f t="shared" si="1626"/>
        <v>0</v>
      </c>
      <c r="M1938" s="150">
        <v>0</v>
      </c>
      <c r="N1938" s="150">
        <v>0</v>
      </c>
      <c r="O1938" s="150">
        <v>0</v>
      </c>
      <c r="P1938" s="150">
        <v>0</v>
      </c>
      <c r="Q1938" s="150">
        <v>0</v>
      </c>
      <c r="R1938" s="313">
        <f t="shared" si="1612"/>
        <v>0</v>
      </c>
      <c r="S1938" s="150">
        <f t="shared" si="1624"/>
        <v>0</v>
      </c>
      <c r="T1938" s="150">
        <v>0</v>
      </c>
      <c r="U1938" s="150">
        <v>0</v>
      </c>
      <c r="V1938" s="199">
        <v>0</v>
      </c>
      <c r="W1938" s="150">
        <f t="shared" si="1613"/>
        <v>0</v>
      </c>
      <c r="X1938" s="150">
        <v>0</v>
      </c>
      <c r="Y1938" s="150">
        <v>0</v>
      </c>
      <c r="Z1938" s="150">
        <v>0</v>
      </c>
      <c r="AA1938" s="150">
        <f t="shared" si="1620"/>
        <v>0</v>
      </c>
      <c r="AB1938" s="150">
        <v>0</v>
      </c>
      <c r="AC1938" s="199">
        <v>0</v>
      </c>
      <c r="AD1938" s="150">
        <f t="shared" si="1614"/>
        <v>0</v>
      </c>
      <c r="AE1938" s="150">
        <v>0</v>
      </c>
      <c r="AF1938" s="169" t="s">
        <v>4680</v>
      </c>
      <c r="AG1938" s="201">
        <v>0</v>
      </c>
      <c r="AH1938" s="199">
        <v>0</v>
      </c>
      <c r="AI1938" s="150">
        <v>0</v>
      </c>
      <c r="AJ1938" s="169">
        <f t="shared" si="1621"/>
        <v>0</v>
      </c>
      <c r="AK1938" s="201">
        <v>0</v>
      </c>
      <c r="AL1938" s="199">
        <v>0</v>
      </c>
      <c r="AM1938" s="150">
        <f t="shared" si="1615"/>
        <v>0</v>
      </c>
      <c r="AN1938" s="153">
        <f t="shared" si="1622"/>
        <v>0</v>
      </c>
      <c r="AO1938" s="154">
        <f t="shared" si="1623"/>
        <v>0</v>
      </c>
      <c r="AP1938" s="150">
        <v>0</v>
      </c>
      <c r="AQ1938" s="201">
        <v>0</v>
      </c>
      <c r="AR1938" s="199">
        <v>0</v>
      </c>
      <c r="AS1938" s="150">
        <f t="shared" si="1616"/>
        <v>0</v>
      </c>
      <c r="AT1938" s="155"/>
      <c r="AU1938" s="156">
        <f t="shared" si="1618"/>
        <v>0</v>
      </c>
      <c r="AV1938" s="156">
        <f t="shared" si="1619"/>
        <v>0</v>
      </c>
      <c r="AW1938" s="157"/>
      <c r="AX1938" s="150">
        <v>0</v>
      </c>
      <c r="AY1938" s="150">
        <v>0</v>
      </c>
      <c r="AZ1938" s="150"/>
      <c r="BA1938" s="150">
        <f t="shared" si="1617"/>
        <v>0</v>
      </c>
      <c r="BB1938" s="202">
        <v>5</v>
      </c>
      <c r="BC1938" s="202" t="s">
        <v>766</v>
      </c>
      <c r="BD1938" s="202" t="s">
        <v>647</v>
      </c>
      <c r="BE1938" s="202" t="s">
        <v>647</v>
      </c>
      <c r="BF1938" s="202">
        <v>10</v>
      </c>
      <c r="BG1938" s="231" t="s">
        <v>9641</v>
      </c>
      <c r="BH1938" s="216">
        <f>AS1938</f>
        <v>0</v>
      </c>
      <c r="BI1938" s="205"/>
      <c r="BJ1938" s="206" t="s">
        <v>9583</v>
      </c>
      <c r="BK1938" s="206" t="s">
        <v>605</v>
      </c>
      <c r="BL1938" s="207" t="s">
        <v>9584</v>
      </c>
      <c r="BM1938" s="208">
        <f>BH1938</f>
        <v>0</v>
      </c>
      <c r="BN1938" s="160"/>
      <c r="BO1938" s="161">
        <f t="shared" si="1625"/>
        <v>0</v>
      </c>
      <c r="BP1938" s="161"/>
    </row>
    <row r="1939" spans="1:68" ht="51">
      <c r="A1939" s="206" t="s">
        <v>605</v>
      </c>
      <c r="B1939" s="195" t="s">
        <v>9642</v>
      </c>
      <c r="C1939" s="196" t="s">
        <v>9643</v>
      </c>
      <c r="D1939" s="146" t="s">
        <v>4692</v>
      </c>
      <c r="E1939" s="196" t="s">
        <v>9643</v>
      </c>
      <c r="F1939" s="150">
        <v>0</v>
      </c>
      <c r="G1939" s="209">
        <v>0</v>
      </c>
      <c r="H1939" s="209"/>
      <c r="I1939" s="209">
        <v>0</v>
      </c>
      <c r="J1939" s="150">
        <v>0</v>
      </c>
      <c r="K1939" s="150">
        <v>0</v>
      </c>
      <c r="L1939" s="150">
        <f t="shared" si="1626"/>
        <v>0</v>
      </c>
      <c r="M1939" s="150">
        <v>0</v>
      </c>
      <c r="N1939" s="150">
        <v>0</v>
      </c>
      <c r="O1939" s="150">
        <v>0</v>
      </c>
      <c r="P1939" s="150">
        <v>0</v>
      </c>
      <c r="Q1939" s="150">
        <v>0</v>
      </c>
      <c r="R1939" s="313">
        <f t="shared" si="1612"/>
        <v>0</v>
      </c>
      <c r="S1939" s="150">
        <f t="shared" si="1624"/>
        <v>0</v>
      </c>
      <c r="T1939" s="150">
        <v>0</v>
      </c>
      <c r="U1939" s="150">
        <v>0</v>
      </c>
      <c r="V1939" s="199">
        <v>0</v>
      </c>
      <c r="W1939" s="150">
        <f t="shared" si="1613"/>
        <v>0</v>
      </c>
      <c r="X1939" s="150">
        <v>0</v>
      </c>
      <c r="Y1939" s="150">
        <v>0</v>
      </c>
      <c r="Z1939" s="150">
        <v>0</v>
      </c>
      <c r="AA1939" s="150">
        <f t="shared" si="1620"/>
        <v>0</v>
      </c>
      <c r="AB1939" s="150">
        <v>0</v>
      </c>
      <c r="AC1939" s="199">
        <v>0</v>
      </c>
      <c r="AD1939" s="150">
        <f t="shared" si="1614"/>
        <v>0</v>
      </c>
      <c r="AE1939" s="150">
        <v>0</v>
      </c>
      <c r="AF1939" s="169" t="s">
        <v>4680</v>
      </c>
      <c r="AG1939" s="201">
        <v>0</v>
      </c>
      <c r="AH1939" s="199">
        <v>0</v>
      </c>
      <c r="AI1939" s="150">
        <v>0</v>
      </c>
      <c r="AJ1939" s="169">
        <f t="shared" si="1621"/>
        <v>0</v>
      </c>
      <c r="AK1939" s="201">
        <v>0</v>
      </c>
      <c r="AL1939" s="199">
        <v>0</v>
      </c>
      <c r="AM1939" s="150">
        <f t="shared" si="1615"/>
        <v>0</v>
      </c>
      <c r="AN1939" s="153">
        <f t="shared" si="1622"/>
        <v>0</v>
      </c>
      <c r="AO1939" s="154">
        <f t="shared" si="1623"/>
        <v>0</v>
      </c>
      <c r="AP1939" s="150">
        <v>0</v>
      </c>
      <c r="AQ1939" s="201">
        <v>0</v>
      </c>
      <c r="AR1939" s="199">
        <v>0</v>
      </c>
      <c r="AS1939" s="150">
        <f t="shared" si="1616"/>
        <v>0</v>
      </c>
      <c r="AT1939" s="155"/>
      <c r="AU1939" s="156">
        <f t="shared" si="1618"/>
        <v>0</v>
      </c>
      <c r="AV1939" s="156">
        <f t="shared" si="1619"/>
        <v>0</v>
      </c>
      <c r="AW1939" s="157"/>
      <c r="AX1939" s="150">
        <v>0</v>
      </c>
      <c r="AY1939" s="150">
        <v>0</v>
      </c>
      <c r="AZ1939" s="150"/>
      <c r="BA1939" s="150">
        <f t="shared" si="1617"/>
        <v>0</v>
      </c>
      <c r="BB1939" s="202">
        <v>5</v>
      </c>
      <c r="BC1939" s="202" t="s">
        <v>766</v>
      </c>
      <c r="BD1939" s="202" t="s">
        <v>647</v>
      </c>
      <c r="BE1939" s="202" t="s">
        <v>647</v>
      </c>
      <c r="BF1939" s="202">
        <v>11</v>
      </c>
      <c r="BG1939" s="231" t="s">
        <v>9644</v>
      </c>
      <c r="BH1939" s="216">
        <f>AS1939</f>
        <v>0</v>
      </c>
      <c r="BI1939" s="205"/>
      <c r="BJ1939" s="206" t="s">
        <v>9583</v>
      </c>
      <c r="BK1939" s="206" t="s">
        <v>605</v>
      </c>
      <c r="BL1939" s="207" t="s">
        <v>9584</v>
      </c>
      <c r="BM1939" s="208">
        <f>BH1939</f>
        <v>0</v>
      </c>
      <c r="BN1939" s="160"/>
      <c r="BO1939" s="161">
        <f t="shared" si="1625"/>
        <v>0</v>
      </c>
      <c r="BP1939" s="161"/>
    </row>
    <row r="1940" spans="1:68" ht="76.5">
      <c r="A1940" s="206"/>
      <c r="B1940" s="195" t="s">
        <v>9645</v>
      </c>
      <c r="C1940" s="196" t="s">
        <v>9646</v>
      </c>
      <c r="D1940" s="146" t="s">
        <v>4692</v>
      </c>
      <c r="E1940" s="196" t="s">
        <v>9646</v>
      </c>
      <c r="F1940" s="150">
        <v>0</v>
      </c>
      <c r="G1940" s="209">
        <v>0</v>
      </c>
      <c r="H1940" s="209"/>
      <c r="I1940" s="209">
        <v>0</v>
      </c>
      <c r="J1940" s="150">
        <v>0</v>
      </c>
      <c r="K1940" s="150">
        <v>0</v>
      </c>
      <c r="L1940" s="150">
        <f t="shared" si="1626"/>
        <v>0</v>
      </c>
      <c r="M1940" s="150">
        <v>0</v>
      </c>
      <c r="N1940" s="150">
        <v>0</v>
      </c>
      <c r="O1940" s="150">
        <v>0</v>
      </c>
      <c r="P1940" s="150">
        <v>0</v>
      </c>
      <c r="Q1940" s="150">
        <v>0</v>
      </c>
      <c r="R1940" s="313">
        <f t="shared" si="1612"/>
        <v>0</v>
      </c>
      <c r="S1940" s="150">
        <f t="shared" si="1624"/>
        <v>0</v>
      </c>
      <c r="T1940" s="150">
        <v>0</v>
      </c>
      <c r="U1940" s="150">
        <v>0</v>
      </c>
      <c r="V1940" s="199">
        <v>0</v>
      </c>
      <c r="W1940" s="150">
        <f t="shared" si="1613"/>
        <v>0</v>
      </c>
      <c r="X1940" s="150">
        <v>0</v>
      </c>
      <c r="Y1940" s="150">
        <v>0</v>
      </c>
      <c r="Z1940" s="150">
        <v>0</v>
      </c>
      <c r="AA1940" s="150">
        <f t="shared" si="1620"/>
        <v>0</v>
      </c>
      <c r="AB1940" s="150">
        <v>0</v>
      </c>
      <c r="AC1940" s="199">
        <v>0</v>
      </c>
      <c r="AD1940" s="150">
        <f t="shared" si="1614"/>
        <v>0</v>
      </c>
      <c r="AE1940" s="150">
        <v>0</v>
      </c>
      <c r="AF1940" s="169" t="s">
        <v>4680</v>
      </c>
      <c r="AG1940" s="201">
        <v>0</v>
      </c>
      <c r="AH1940" s="199">
        <v>0</v>
      </c>
      <c r="AI1940" s="150">
        <v>0</v>
      </c>
      <c r="AJ1940" s="169">
        <f t="shared" si="1621"/>
        <v>0</v>
      </c>
      <c r="AK1940" s="201">
        <v>0</v>
      </c>
      <c r="AL1940" s="199">
        <v>0</v>
      </c>
      <c r="AM1940" s="150">
        <f t="shared" si="1615"/>
        <v>0</v>
      </c>
      <c r="AN1940" s="153">
        <f t="shared" si="1622"/>
        <v>0</v>
      </c>
      <c r="AO1940" s="154">
        <f t="shared" si="1623"/>
        <v>0</v>
      </c>
      <c r="AP1940" s="150">
        <v>0</v>
      </c>
      <c r="AQ1940" s="201">
        <v>0</v>
      </c>
      <c r="AR1940" s="199">
        <v>0</v>
      </c>
      <c r="AS1940" s="150">
        <f t="shared" si="1616"/>
        <v>0</v>
      </c>
      <c r="AT1940" s="155"/>
      <c r="AU1940" s="156">
        <f t="shared" si="1618"/>
        <v>0</v>
      </c>
      <c r="AV1940" s="156">
        <f t="shared" si="1619"/>
        <v>0</v>
      </c>
      <c r="AW1940" s="157"/>
      <c r="AX1940" s="150">
        <v>0</v>
      </c>
      <c r="AY1940" s="150">
        <v>0</v>
      </c>
      <c r="AZ1940" s="150"/>
      <c r="BA1940" s="150">
        <f t="shared" si="1617"/>
        <v>0</v>
      </c>
      <c r="BB1940" s="202">
        <v>5</v>
      </c>
      <c r="BC1940" s="202" t="s">
        <v>766</v>
      </c>
      <c r="BD1940" s="202" t="s">
        <v>647</v>
      </c>
      <c r="BE1940" s="202" t="s">
        <v>647</v>
      </c>
      <c r="BF1940" s="202">
        <v>12</v>
      </c>
      <c r="BG1940" s="196" t="s">
        <v>9646</v>
      </c>
      <c r="BH1940" s="216">
        <f>AS1940</f>
        <v>0</v>
      </c>
      <c r="BI1940" s="205"/>
      <c r="BJ1940" s="206"/>
      <c r="BK1940" s="206"/>
      <c r="BL1940" s="207" t="s">
        <v>9584</v>
      </c>
      <c r="BM1940" s="208">
        <f>BH1940</f>
        <v>0</v>
      </c>
      <c r="BN1940" s="160"/>
      <c r="BO1940" s="161">
        <f t="shared" si="1625"/>
        <v>0</v>
      </c>
      <c r="BP1940" s="161"/>
    </row>
    <row r="1941" spans="1:68" ht="51">
      <c r="A1941" s="206"/>
      <c r="B1941" s="195" t="s">
        <v>9647</v>
      </c>
      <c r="C1941" s="196" t="s">
        <v>9648</v>
      </c>
      <c r="D1941" s="146" t="s">
        <v>4692</v>
      </c>
      <c r="E1941" s="196" t="s">
        <v>9648</v>
      </c>
      <c r="F1941" s="150">
        <v>0</v>
      </c>
      <c r="G1941" s="209">
        <v>6265.06</v>
      </c>
      <c r="H1941" s="209">
        <v>0</v>
      </c>
      <c r="I1941" s="209">
        <v>6265.06</v>
      </c>
      <c r="J1941" s="150">
        <v>0</v>
      </c>
      <c r="K1941" s="150">
        <v>0</v>
      </c>
      <c r="L1941" s="150">
        <f t="shared" si="1626"/>
        <v>0</v>
      </c>
      <c r="M1941" s="150">
        <v>0</v>
      </c>
      <c r="N1941" s="150">
        <v>0</v>
      </c>
      <c r="O1941" s="150">
        <v>0</v>
      </c>
      <c r="P1941" s="150">
        <v>0</v>
      </c>
      <c r="Q1941" s="150">
        <v>0</v>
      </c>
      <c r="R1941" s="313">
        <f t="shared" si="1612"/>
        <v>0</v>
      </c>
      <c r="S1941" s="150">
        <f t="shared" si="1624"/>
        <v>0</v>
      </c>
      <c r="T1941" s="150">
        <v>0</v>
      </c>
      <c r="U1941" s="150">
        <v>0</v>
      </c>
      <c r="V1941" s="199">
        <v>0</v>
      </c>
      <c r="W1941" s="150">
        <f t="shared" si="1613"/>
        <v>0</v>
      </c>
      <c r="X1941" s="150">
        <v>0</v>
      </c>
      <c r="Y1941" s="150">
        <v>0</v>
      </c>
      <c r="Z1941" s="150">
        <v>0</v>
      </c>
      <c r="AA1941" s="150">
        <f t="shared" si="1620"/>
        <v>0</v>
      </c>
      <c r="AB1941" s="150">
        <v>0</v>
      </c>
      <c r="AC1941" s="199">
        <v>0</v>
      </c>
      <c r="AD1941" s="150">
        <f t="shared" si="1614"/>
        <v>0</v>
      </c>
      <c r="AE1941" s="150">
        <v>0</v>
      </c>
      <c r="AF1941" s="169" t="s">
        <v>4680</v>
      </c>
      <c r="AG1941" s="201">
        <v>0</v>
      </c>
      <c r="AH1941" s="199">
        <v>0</v>
      </c>
      <c r="AI1941" s="150">
        <v>0</v>
      </c>
      <c r="AJ1941" s="169">
        <f t="shared" si="1621"/>
        <v>0</v>
      </c>
      <c r="AK1941" s="201">
        <v>0</v>
      </c>
      <c r="AL1941" s="199">
        <v>0</v>
      </c>
      <c r="AM1941" s="150">
        <f t="shared" si="1615"/>
        <v>0</v>
      </c>
      <c r="AN1941" s="153">
        <f t="shared" si="1622"/>
        <v>0</v>
      </c>
      <c r="AO1941" s="154">
        <f t="shared" si="1623"/>
        <v>0</v>
      </c>
      <c r="AP1941" s="150">
        <v>0</v>
      </c>
      <c r="AQ1941" s="201">
        <v>0</v>
      </c>
      <c r="AR1941" s="199">
        <v>0</v>
      </c>
      <c r="AS1941" s="150">
        <f t="shared" si="1616"/>
        <v>0</v>
      </c>
      <c r="AT1941" s="155"/>
      <c r="AU1941" s="156">
        <f t="shared" si="1618"/>
        <v>0</v>
      </c>
      <c r="AV1941" s="156">
        <f t="shared" si="1619"/>
        <v>0</v>
      </c>
      <c r="AW1941" s="157"/>
      <c r="AX1941" s="150">
        <v>0</v>
      </c>
      <c r="AY1941" s="150">
        <v>0</v>
      </c>
      <c r="AZ1941" s="150"/>
      <c r="BA1941" s="150">
        <f t="shared" si="1617"/>
        <v>0</v>
      </c>
      <c r="BB1941" s="202">
        <v>5</v>
      </c>
      <c r="BC1941" s="202" t="s">
        <v>766</v>
      </c>
      <c r="BD1941" s="202" t="s">
        <v>647</v>
      </c>
      <c r="BE1941" s="202" t="s">
        <v>647</v>
      </c>
      <c r="BF1941" s="202">
        <v>13</v>
      </c>
      <c r="BG1941" s="196" t="s">
        <v>9648</v>
      </c>
      <c r="BH1941" s="216">
        <f>AS1941</f>
        <v>0</v>
      </c>
      <c r="BI1941" s="205"/>
      <c r="BJ1941" s="206"/>
      <c r="BK1941" s="206"/>
      <c r="BL1941" s="207" t="s">
        <v>9584</v>
      </c>
      <c r="BM1941" s="208">
        <f>BH1941</f>
        <v>0</v>
      </c>
      <c r="BN1941" s="160"/>
      <c r="BO1941" s="161">
        <f t="shared" si="1625"/>
        <v>0</v>
      </c>
      <c r="BP1941" s="161"/>
    </row>
    <row r="1942" spans="1:68" ht="38.25">
      <c r="A1942" s="256" t="s">
        <v>606</v>
      </c>
      <c r="B1942" s="184"/>
      <c r="C1942" s="185" t="s">
        <v>111</v>
      </c>
      <c r="D1942" s="146" t="s">
        <v>4692</v>
      </c>
      <c r="E1942" s="185" t="s">
        <v>111</v>
      </c>
      <c r="F1942" s="188">
        <v>6265.06</v>
      </c>
      <c r="G1942" s="187">
        <v>0</v>
      </c>
      <c r="H1942" s="187"/>
      <c r="I1942" s="187">
        <v>0</v>
      </c>
      <c r="J1942" s="188">
        <f>SUM(J1943:J1971)</f>
        <v>2557</v>
      </c>
      <c r="K1942" s="188">
        <f>SUM(K1943:K1971)</f>
        <v>7735.4800000000005</v>
      </c>
      <c r="L1942" s="188">
        <f t="shared" si="1626"/>
        <v>10292.48</v>
      </c>
      <c r="M1942" s="188">
        <v>37043.590000000004</v>
      </c>
      <c r="N1942" s="188">
        <v>36222.88962042288</v>
      </c>
      <c r="O1942" s="188">
        <v>73266.479620422877</v>
      </c>
      <c r="P1942" s="299">
        <f t="shared" ref="P1942:AD1942" si="1627">SUM(P1943:P1971)</f>
        <v>55838.649999999994</v>
      </c>
      <c r="Q1942" s="299">
        <f t="shared" si="1627"/>
        <v>51223.424954193819</v>
      </c>
      <c r="R1942" s="299">
        <f t="shared" si="1627"/>
        <v>107062.07495419381</v>
      </c>
      <c r="S1942" s="150">
        <f t="shared" si="1624"/>
        <v>142749.43327225841</v>
      </c>
      <c r="T1942" s="347">
        <f>SUM(T1943:T1971)</f>
        <v>132627.66999999998</v>
      </c>
      <c r="U1942" s="299">
        <f t="shared" ref="U1942:W1942" si="1628">SUM(U1943:U1971)</f>
        <v>60159.149999999987</v>
      </c>
      <c r="V1942" s="226">
        <f t="shared" si="1628"/>
        <v>72933.453272258426</v>
      </c>
      <c r="W1942" s="299">
        <f t="shared" si="1628"/>
        <v>133092.60327225842</v>
      </c>
      <c r="X1942" s="299">
        <v>60159.149999999987</v>
      </c>
      <c r="Y1942" s="299">
        <v>72933.453272258426</v>
      </c>
      <c r="Z1942" s="299">
        <v>133092.60327225842</v>
      </c>
      <c r="AA1942" s="299">
        <f t="shared" si="1620"/>
        <v>-464.93327225843677</v>
      </c>
      <c r="AB1942" s="299">
        <v>60159.149999999987</v>
      </c>
      <c r="AC1942" s="226">
        <v>72468.52</v>
      </c>
      <c r="AD1942" s="299">
        <f t="shared" si="1627"/>
        <v>132627.66999999998</v>
      </c>
      <c r="AE1942" s="299">
        <v>132627.66999999998</v>
      </c>
      <c r="AF1942" s="169" t="s">
        <v>4680</v>
      </c>
      <c r="AG1942" s="301">
        <v>60159.149999999987</v>
      </c>
      <c r="AH1942" s="226">
        <v>72468.52</v>
      </c>
      <c r="AI1942" s="299">
        <v>132627.66999999998</v>
      </c>
      <c r="AJ1942" s="169">
        <f t="shared" si="1621"/>
        <v>0</v>
      </c>
      <c r="AK1942" s="301">
        <v>60159.149999999987</v>
      </c>
      <c r="AL1942" s="226">
        <v>72468.52</v>
      </c>
      <c r="AM1942" s="299">
        <f t="shared" ref="AM1942" si="1629">SUM(AM1943:AM1971)</f>
        <v>132627.66999999998</v>
      </c>
      <c r="AN1942" s="153">
        <f t="shared" si="1622"/>
        <v>0</v>
      </c>
      <c r="AO1942" s="154">
        <f t="shared" si="1623"/>
        <v>0</v>
      </c>
      <c r="AP1942" s="299">
        <v>132627.66999999998</v>
      </c>
      <c r="AQ1942" s="301">
        <v>132627.66999999998</v>
      </c>
      <c r="AR1942" s="226">
        <f t="shared" ref="AR1942:AS1942" si="1630">SUM(AR1943:AR1971)</f>
        <v>0</v>
      </c>
      <c r="AS1942" s="299">
        <f t="shared" si="1630"/>
        <v>132627.66999999998</v>
      </c>
      <c r="AT1942" s="155"/>
      <c r="AU1942" s="156">
        <f t="shared" si="1618"/>
        <v>0</v>
      </c>
      <c r="AV1942" s="156">
        <f t="shared" si="1619"/>
        <v>-464.93327225843677</v>
      </c>
      <c r="AW1942" s="157"/>
      <c r="AX1942" s="150">
        <v>133092.60327225842</v>
      </c>
      <c r="AY1942" s="299">
        <f t="shared" ref="AY1942:BA1942" si="1631">SUM(AY1943:AY1971)</f>
        <v>44746.770000000004</v>
      </c>
      <c r="AZ1942" s="299">
        <f t="shared" si="1631"/>
        <v>101786.18924084575</v>
      </c>
      <c r="BA1942" s="299">
        <f t="shared" si="1631"/>
        <v>146532.95924084575</v>
      </c>
      <c r="BB1942" s="192">
        <v>5</v>
      </c>
      <c r="BC1942" s="256" t="s">
        <v>766</v>
      </c>
      <c r="BD1942" s="256" t="s">
        <v>647</v>
      </c>
      <c r="BE1942" s="256" t="s">
        <v>671</v>
      </c>
      <c r="BF1942" s="256" t="s">
        <v>630</v>
      </c>
      <c r="BG1942" s="185" t="s">
        <v>111</v>
      </c>
      <c r="BH1942" s="215">
        <f>BH1943</f>
        <v>132627.66999999998</v>
      </c>
      <c r="BI1942" s="192"/>
      <c r="BJ1942" s="256" t="s">
        <v>9649</v>
      </c>
      <c r="BK1942" s="256" t="s">
        <v>606</v>
      </c>
      <c r="BL1942" s="238" t="s">
        <v>9650</v>
      </c>
      <c r="BM1942" s="338">
        <f>BM1943</f>
        <v>132627.66999999998</v>
      </c>
      <c r="BN1942" s="160"/>
      <c r="BO1942" s="161">
        <f t="shared" si="1625"/>
        <v>0</v>
      </c>
      <c r="BP1942" s="161"/>
    </row>
    <row r="1943" spans="1:68" ht="38.25">
      <c r="A1943" s="206" t="s">
        <v>606</v>
      </c>
      <c r="B1943" s="195" t="s">
        <v>9651</v>
      </c>
      <c r="C1943" s="196" t="s">
        <v>9652</v>
      </c>
      <c r="D1943" s="146" t="s">
        <v>4692</v>
      </c>
      <c r="E1943" s="196" t="s">
        <v>9652</v>
      </c>
      <c r="F1943" s="150">
        <v>0</v>
      </c>
      <c r="G1943" s="209">
        <v>0</v>
      </c>
      <c r="H1943" s="209"/>
      <c r="I1943" s="209">
        <v>0</v>
      </c>
      <c r="J1943" s="150">
        <v>2003.24</v>
      </c>
      <c r="K1943" s="150">
        <v>65.25</v>
      </c>
      <c r="L1943" s="150">
        <f t="shared" si="1626"/>
        <v>2068.4899999999998</v>
      </c>
      <c r="M1943" s="150">
        <v>27529.35</v>
      </c>
      <c r="N1943" s="150">
        <v>1479.6017149999934</v>
      </c>
      <c r="O1943" s="150">
        <v>29008.951714999992</v>
      </c>
      <c r="P1943" s="150">
        <v>40366.129999999997</v>
      </c>
      <c r="Q1943" s="150">
        <v>2126.83</v>
      </c>
      <c r="R1943" s="313">
        <f t="shared" ref="R1943:R1971" si="1632">P1943+Q1943</f>
        <v>42492.959999999999</v>
      </c>
      <c r="S1943" s="150">
        <f t="shared" si="1624"/>
        <v>56657.279999999999</v>
      </c>
      <c r="T1943" s="150">
        <v>41083.78</v>
      </c>
      <c r="U1943" s="150">
        <v>43765.95</v>
      </c>
      <c r="V1943" s="199">
        <v>0</v>
      </c>
      <c r="W1943" s="150">
        <f t="shared" ref="W1943:W1971" si="1633">U1943+V1943</f>
        <v>43765.95</v>
      </c>
      <c r="X1943" s="150">
        <v>43765.95</v>
      </c>
      <c r="Y1943" s="150">
        <v>0</v>
      </c>
      <c r="Z1943" s="150">
        <v>43765.95</v>
      </c>
      <c r="AA1943" s="150">
        <f t="shared" si="1620"/>
        <v>-2682.1699999999983</v>
      </c>
      <c r="AB1943" s="150">
        <v>43765.95</v>
      </c>
      <c r="AC1943" s="199">
        <v>-2682.17</v>
      </c>
      <c r="AD1943" s="150">
        <f t="shared" ref="AD1943:AD1971" si="1634">AB1943+AC1943</f>
        <v>41083.78</v>
      </c>
      <c r="AE1943" s="150">
        <v>41083.78</v>
      </c>
      <c r="AF1943" s="169" t="s">
        <v>4680</v>
      </c>
      <c r="AG1943" s="201">
        <v>43765.95</v>
      </c>
      <c r="AH1943" s="199">
        <v>-2682.17</v>
      </c>
      <c r="AI1943" s="150">
        <v>41083.78</v>
      </c>
      <c r="AJ1943" s="169">
        <f t="shared" si="1621"/>
        <v>0</v>
      </c>
      <c r="AK1943" s="201">
        <v>43765.95</v>
      </c>
      <c r="AL1943" s="199">
        <v>-2682.17</v>
      </c>
      <c r="AM1943" s="150">
        <f t="shared" ref="AM1943:AM1971" si="1635">AK1943+AL1943</f>
        <v>41083.78</v>
      </c>
      <c r="AN1943" s="153">
        <f t="shared" si="1622"/>
        <v>0</v>
      </c>
      <c r="AO1943" s="154">
        <f t="shared" si="1623"/>
        <v>0</v>
      </c>
      <c r="AP1943" s="150">
        <v>41083.78</v>
      </c>
      <c r="AQ1943" s="201">
        <v>41083.78</v>
      </c>
      <c r="AR1943" s="199"/>
      <c r="AS1943" s="150">
        <f t="shared" ref="AS1943:AS1971" si="1636">AQ1943+AR1943</f>
        <v>41083.78</v>
      </c>
      <c r="AT1943" s="155"/>
      <c r="AU1943" s="156">
        <f t="shared" si="1618"/>
        <v>0</v>
      </c>
      <c r="AV1943" s="156">
        <f t="shared" si="1619"/>
        <v>-2682.1699999999983</v>
      </c>
      <c r="AW1943" s="157"/>
      <c r="AX1943" s="150">
        <v>43765.95</v>
      </c>
      <c r="AY1943" s="150">
        <v>32500.6</v>
      </c>
      <c r="AZ1943" s="150">
        <f>BA1943-AY1943</f>
        <v>25517.303429999985</v>
      </c>
      <c r="BA1943" s="150">
        <v>58017.903429999984</v>
      </c>
      <c r="BB1943" s="202">
        <v>5</v>
      </c>
      <c r="BC1943" s="202" t="s">
        <v>766</v>
      </c>
      <c r="BD1943" s="202" t="s">
        <v>647</v>
      </c>
      <c r="BE1943" s="202" t="s">
        <v>671</v>
      </c>
      <c r="BF1943" s="202" t="s">
        <v>632</v>
      </c>
      <c r="BG1943" s="231" t="s">
        <v>111</v>
      </c>
      <c r="BH1943" s="216">
        <f>SUM(AS1943:AS1971)</f>
        <v>132627.66999999998</v>
      </c>
      <c r="BI1943" s="205"/>
      <c r="BJ1943" s="206" t="s">
        <v>9649</v>
      </c>
      <c r="BK1943" s="206" t="s">
        <v>606</v>
      </c>
      <c r="BL1943" s="207" t="s">
        <v>9650</v>
      </c>
      <c r="BM1943" s="208">
        <f>BH1943</f>
        <v>132627.66999999998</v>
      </c>
      <c r="BN1943" s="160"/>
      <c r="BO1943" s="161"/>
      <c r="BP1943" s="161"/>
    </row>
    <row r="1944" spans="1:68" ht="63.75">
      <c r="A1944" s="210"/>
      <c r="B1944" s="195" t="s">
        <v>9653</v>
      </c>
      <c r="C1944" s="196" t="s">
        <v>9654</v>
      </c>
      <c r="D1944" s="146" t="s">
        <v>4692</v>
      </c>
      <c r="E1944" s="196" t="s">
        <v>9654</v>
      </c>
      <c r="F1944" s="150">
        <v>0</v>
      </c>
      <c r="G1944" s="209">
        <v>0</v>
      </c>
      <c r="H1944" s="209"/>
      <c r="I1944" s="209">
        <v>0</v>
      </c>
      <c r="J1944" s="150">
        <v>0</v>
      </c>
      <c r="K1944" s="150">
        <v>0</v>
      </c>
      <c r="L1944" s="150">
        <f t="shared" si="1626"/>
        <v>0</v>
      </c>
      <c r="M1944" s="150">
        <v>0</v>
      </c>
      <c r="N1944" s="150">
        <v>0</v>
      </c>
      <c r="O1944" s="150">
        <v>0</v>
      </c>
      <c r="P1944" s="150">
        <v>0</v>
      </c>
      <c r="Q1944" s="150">
        <v>0</v>
      </c>
      <c r="R1944" s="313">
        <f t="shared" si="1632"/>
        <v>0</v>
      </c>
      <c r="S1944" s="150">
        <f t="shared" si="1624"/>
        <v>0</v>
      </c>
      <c r="T1944" s="150">
        <v>0</v>
      </c>
      <c r="U1944" s="150">
        <v>0</v>
      </c>
      <c r="V1944" s="199">
        <v>0</v>
      </c>
      <c r="W1944" s="150">
        <f t="shared" si="1633"/>
        <v>0</v>
      </c>
      <c r="X1944" s="150">
        <v>0</v>
      </c>
      <c r="Y1944" s="150">
        <v>0</v>
      </c>
      <c r="Z1944" s="150">
        <v>0</v>
      </c>
      <c r="AA1944" s="150">
        <f t="shared" si="1620"/>
        <v>0</v>
      </c>
      <c r="AB1944" s="150">
        <v>0</v>
      </c>
      <c r="AC1944" s="199">
        <v>0</v>
      </c>
      <c r="AD1944" s="150">
        <f t="shared" si="1634"/>
        <v>0</v>
      </c>
      <c r="AE1944" s="150">
        <v>0</v>
      </c>
      <c r="AF1944" s="169" t="s">
        <v>4680</v>
      </c>
      <c r="AG1944" s="201">
        <v>0</v>
      </c>
      <c r="AH1944" s="199">
        <v>0</v>
      </c>
      <c r="AI1944" s="150">
        <v>0</v>
      </c>
      <c r="AJ1944" s="169">
        <f t="shared" si="1621"/>
        <v>0</v>
      </c>
      <c r="AK1944" s="201">
        <v>0</v>
      </c>
      <c r="AL1944" s="199">
        <v>0</v>
      </c>
      <c r="AM1944" s="150">
        <f t="shared" si="1635"/>
        <v>0</v>
      </c>
      <c r="AN1944" s="153">
        <f t="shared" si="1622"/>
        <v>0</v>
      </c>
      <c r="AO1944" s="154">
        <f t="shared" si="1623"/>
        <v>0</v>
      </c>
      <c r="AP1944" s="150">
        <v>0</v>
      </c>
      <c r="AQ1944" s="201">
        <v>0</v>
      </c>
      <c r="AR1944" s="199">
        <v>0</v>
      </c>
      <c r="AS1944" s="150">
        <f t="shared" si="1636"/>
        <v>0</v>
      </c>
      <c r="AT1944" s="155"/>
      <c r="AU1944" s="156">
        <f t="shared" si="1618"/>
        <v>0</v>
      </c>
      <c r="AV1944" s="156">
        <f t="shared" si="1619"/>
        <v>0</v>
      </c>
      <c r="AW1944" s="157"/>
      <c r="AX1944" s="150">
        <v>0</v>
      </c>
      <c r="AY1944" s="150">
        <v>0</v>
      </c>
      <c r="AZ1944" s="150">
        <f t="shared" ref="AZ1944:AZ1971" si="1637">BA1944-AY1944</f>
        <v>0</v>
      </c>
      <c r="BA1944" s="150">
        <v>0</v>
      </c>
      <c r="BB1944" s="210"/>
      <c r="BC1944" s="210"/>
      <c r="BD1944" s="210"/>
      <c r="BE1944" s="210"/>
      <c r="BF1944" s="210"/>
      <c r="BG1944" s="210"/>
      <c r="BH1944" s="217"/>
      <c r="BI1944" s="210"/>
      <c r="BJ1944" s="210"/>
      <c r="BK1944" s="210"/>
      <c r="BL1944" s="210"/>
      <c r="BM1944" s="208"/>
      <c r="BN1944" s="160"/>
      <c r="BO1944" s="161"/>
      <c r="BP1944" s="161"/>
    </row>
    <row r="1945" spans="1:68" ht="63.75">
      <c r="A1945" s="210"/>
      <c r="B1945" s="195" t="s">
        <v>9655</v>
      </c>
      <c r="C1945" s="196" t="s">
        <v>9656</v>
      </c>
      <c r="D1945" s="146" t="s">
        <v>4692</v>
      </c>
      <c r="E1945" s="196" t="s">
        <v>9656</v>
      </c>
      <c r="F1945" s="150">
        <v>0</v>
      </c>
      <c r="G1945" s="209">
        <v>0</v>
      </c>
      <c r="H1945" s="209"/>
      <c r="I1945" s="209">
        <v>0</v>
      </c>
      <c r="J1945" s="150">
        <v>0</v>
      </c>
      <c r="K1945" s="150">
        <v>0</v>
      </c>
      <c r="L1945" s="150">
        <f t="shared" si="1626"/>
        <v>0</v>
      </c>
      <c r="M1945" s="150">
        <v>0</v>
      </c>
      <c r="N1945" s="150">
        <v>0</v>
      </c>
      <c r="O1945" s="150">
        <v>0</v>
      </c>
      <c r="P1945" s="150">
        <v>956.09</v>
      </c>
      <c r="Q1945" s="150">
        <v>-956.09</v>
      </c>
      <c r="R1945" s="313">
        <f t="shared" si="1632"/>
        <v>0</v>
      </c>
      <c r="S1945" s="150">
        <f t="shared" si="1624"/>
        <v>0</v>
      </c>
      <c r="T1945" s="150">
        <v>0</v>
      </c>
      <c r="U1945" s="150">
        <v>956.09</v>
      </c>
      <c r="V1945" s="199">
        <v>0</v>
      </c>
      <c r="W1945" s="150">
        <f t="shared" si="1633"/>
        <v>956.09</v>
      </c>
      <c r="X1945" s="150">
        <v>956.09</v>
      </c>
      <c r="Y1945" s="150">
        <v>0</v>
      </c>
      <c r="Z1945" s="150">
        <v>956.09</v>
      </c>
      <c r="AA1945" s="150">
        <f t="shared" si="1620"/>
        <v>-956.09</v>
      </c>
      <c r="AB1945" s="150">
        <v>956.09</v>
      </c>
      <c r="AC1945" s="199">
        <v>-956.09</v>
      </c>
      <c r="AD1945" s="150">
        <f t="shared" si="1634"/>
        <v>0</v>
      </c>
      <c r="AE1945" s="150">
        <v>0</v>
      </c>
      <c r="AF1945" s="169" t="s">
        <v>4680</v>
      </c>
      <c r="AG1945" s="201">
        <v>956.09</v>
      </c>
      <c r="AH1945" s="199">
        <v>-956.09</v>
      </c>
      <c r="AI1945" s="150">
        <v>0</v>
      </c>
      <c r="AJ1945" s="169">
        <f t="shared" si="1621"/>
        <v>0</v>
      </c>
      <c r="AK1945" s="201">
        <v>956.09</v>
      </c>
      <c r="AL1945" s="199">
        <v>-956.09</v>
      </c>
      <c r="AM1945" s="150">
        <f t="shared" si="1635"/>
        <v>0</v>
      </c>
      <c r="AN1945" s="153">
        <f t="shared" si="1622"/>
        <v>0</v>
      </c>
      <c r="AO1945" s="154">
        <f t="shared" si="1623"/>
        <v>0</v>
      </c>
      <c r="AP1945" s="150">
        <v>0</v>
      </c>
      <c r="AQ1945" s="201">
        <v>0</v>
      </c>
      <c r="AR1945" s="199"/>
      <c r="AS1945" s="150">
        <f t="shared" si="1636"/>
        <v>0</v>
      </c>
      <c r="AT1945" s="155"/>
      <c r="AU1945" s="156">
        <f t="shared" si="1618"/>
        <v>0</v>
      </c>
      <c r="AV1945" s="156">
        <f t="shared" si="1619"/>
        <v>-956.09</v>
      </c>
      <c r="AW1945" s="157"/>
      <c r="AX1945" s="150">
        <v>956.09</v>
      </c>
      <c r="AY1945" s="150">
        <v>613.61</v>
      </c>
      <c r="AZ1945" s="150">
        <f t="shared" si="1637"/>
        <v>-613.61</v>
      </c>
      <c r="BA1945" s="150">
        <v>0</v>
      </c>
      <c r="BB1945" s="210"/>
      <c r="BC1945" s="210"/>
      <c r="BD1945" s="210"/>
      <c r="BE1945" s="210"/>
      <c r="BF1945" s="210"/>
      <c r="BG1945" s="210"/>
      <c r="BH1945" s="217"/>
      <c r="BI1945" s="210"/>
      <c r="BJ1945" s="210"/>
      <c r="BK1945" s="210"/>
      <c r="BL1945" s="210"/>
      <c r="BM1945" s="208"/>
      <c r="BN1945" s="160"/>
      <c r="BO1945" s="161"/>
      <c r="BP1945" s="161"/>
    </row>
    <row r="1946" spans="1:68" ht="63.75">
      <c r="A1946" s="210"/>
      <c r="B1946" s="195" t="s">
        <v>9657</v>
      </c>
      <c r="C1946" s="196" t="s">
        <v>9658</v>
      </c>
      <c r="D1946" s="146" t="s">
        <v>4692</v>
      </c>
      <c r="E1946" s="196" t="s">
        <v>9658</v>
      </c>
      <c r="F1946" s="150">
        <v>0</v>
      </c>
      <c r="G1946" s="209">
        <v>0</v>
      </c>
      <c r="H1946" s="209"/>
      <c r="I1946" s="209">
        <v>0</v>
      </c>
      <c r="J1946" s="150">
        <v>0</v>
      </c>
      <c r="K1946" s="150">
        <v>0</v>
      </c>
      <c r="L1946" s="150">
        <f t="shared" si="1626"/>
        <v>0</v>
      </c>
      <c r="M1946" s="150">
        <v>1425</v>
      </c>
      <c r="N1946" s="150">
        <v>-1425</v>
      </c>
      <c r="O1946" s="150">
        <v>0</v>
      </c>
      <c r="P1946" s="150">
        <v>2375</v>
      </c>
      <c r="Q1946" s="150">
        <v>-2375</v>
      </c>
      <c r="R1946" s="313">
        <f t="shared" si="1632"/>
        <v>0</v>
      </c>
      <c r="S1946" s="150">
        <f t="shared" si="1624"/>
        <v>0</v>
      </c>
      <c r="T1946" s="150">
        <v>0</v>
      </c>
      <c r="U1946" s="150">
        <v>2349.67</v>
      </c>
      <c r="V1946" s="199">
        <v>0</v>
      </c>
      <c r="W1946" s="150">
        <f t="shared" si="1633"/>
        <v>2349.67</v>
      </c>
      <c r="X1946" s="150">
        <v>2349.67</v>
      </c>
      <c r="Y1946" s="150">
        <v>0</v>
      </c>
      <c r="Z1946" s="150">
        <v>2349.67</v>
      </c>
      <c r="AA1946" s="150">
        <f t="shared" si="1620"/>
        <v>-2349.67</v>
      </c>
      <c r="AB1946" s="150">
        <v>2349.67</v>
      </c>
      <c r="AC1946" s="199">
        <v>-2349.67</v>
      </c>
      <c r="AD1946" s="150">
        <f t="shared" si="1634"/>
        <v>0</v>
      </c>
      <c r="AE1946" s="150">
        <v>0</v>
      </c>
      <c r="AF1946" s="169" t="s">
        <v>4680</v>
      </c>
      <c r="AG1946" s="201">
        <v>2349.67</v>
      </c>
      <c r="AH1946" s="199">
        <v>-2349.67</v>
      </c>
      <c r="AI1946" s="150">
        <v>0</v>
      </c>
      <c r="AJ1946" s="169">
        <f t="shared" si="1621"/>
        <v>0</v>
      </c>
      <c r="AK1946" s="201">
        <v>2349.67</v>
      </c>
      <c r="AL1946" s="199">
        <v>-2349.67</v>
      </c>
      <c r="AM1946" s="150">
        <f t="shared" si="1635"/>
        <v>0</v>
      </c>
      <c r="AN1946" s="153">
        <f t="shared" si="1622"/>
        <v>0</v>
      </c>
      <c r="AO1946" s="154">
        <f t="shared" si="1623"/>
        <v>0</v>
      </c>
      <c r="AP1946" s="150">
        <v>0</v>
      </c>
      <c r="AQ1946" s="201">
        <v>0</v>
      </c>
      <c r="AR1946" s="199"/>
      <c r="AS1946" s="150">
        <f t="shared" si="1636"/>
        <v>0</v>
      </c>
      <c r="AT1946" s="155"/>
      <c r="AU1946" s="156">
        <f t="shared" si="1618"/>
        <v>0</v>
      </c>
      <c r="AV1946" s="156">
        <f t="shared" si="1619"/>
        <v>-2349.67</v>
      </c>
      <c r="AW1946" s="157"/>
      <c r="AX1946" s="150">
        <v>2349.67</v>
      </c>
      <c r="AY1946" s="150">
        <v>1900</v>
      </c>
      <c r="AZ1946" s="150">
        <f t="shared" si="1637"/>
        <v>-1900</v>
      </c>
      <c r="BA1946" s="150">
        <v>0</v>
      </c>
      <c r="BB1946" s="210"/>
      <c r="BC1946" s="210"/>
      <c r="BD1946" s="210"/>
      <c r="BE1946" s="210"/>
      <c r="BF1946" s="210"/>
      <c r="BG1946" s="210"/>
      <c r="BH1946" s="217"/>
      <c r="BI1946" s="210"/>
      <c r="BJ1946" s="210"/>
      <c r="BK1946" s="210"/>
      <c r="BL1946" s="210"/>
      <c r="BM1946" s="208"/>
      <c r="BN1946" s="160"/>
      <c r="BO1946" s="161"/>
      <c r="BP1946" s="161"/>
    </row>
    <row r="1947" spans="1:68" ht="38.25">
      <c r="A1947" s="210"/>
      <c r="B1947" s="195" t="s">
        <v>9659</v>
      </c>
      <c r="C1947" s="196" t="s">
        <v>9660</v>
      </c>
      <c r="D1947" s="146" t="s">
        <v>4692</v>
      </c>
      <c r="E1947" s="196" t="s">
        <v>9660</v>
      </c>
      <c r="F1947" s="150">
        <v>0</v>
      </c>
      <c r="G1947" s="209">
        <v>0</v>
      </c>
      <c r="H1947" s="209"/>
      <c r="I1947" s="209">
        <v>0</v>
      </c>
      <c r="J1947" s="150">
        <v>476.77</v>
      </c>
      <c r="K1947" s="150">
        <v>1449.14</v>
      </c>
      <c r="L1947" s="150">
        <f t="shared" si="1626"/>
        <v>1925.91</v>
      </c>
      <c r="M1947" s="150">
        <v>6891.19</v>
      </c>
      <c r="N1947" s="150">
        <v>6404.989080364011</v>
      </c>
      <c r="O1947" s="150">
        <v>13296.179080364011</v>
      </c>
      <c r="P1947" s="150">
        <v>10400.02</v>
      </c>
      <c r="Q1947" s="150">
        <v>9028.2560412747407</v>
      </c>
      <c r="R1947" s="313">
        <f t="shared" si="1632"/>
        <v>19428.276041274741</v>
      </c>
      <c r="S1947" s="150">
        <f t="shared" si="1624"/>
        <v>25904.368055032988</v>
      </c>
      <c r="T1947" s="150">
        <v>25064.46</v>
      </c>
      <c r="U1947" s="150">
        <v>11203.13</v>
      </c>
      <c r="V1947" s="199">
        <v>14701.238055032989</v>
      </c>
      <c r="W1947" s="150">
        <f t="shared" si="1633"/>
        <v>25904.368055032988</v>
      </c>
      <c r="X1947" s="150">
        <v>11203.13</v>
      </c>
      <c r="Y1947" s="150">
        <v>14701.238055032989</v>
      </c>
      <c r="Z1947" s="150">
        <v>25904.368055032988</v>
      </c>
      <c r="AA1947" s="150">
        <f t="shared" si="1620"/>
        <v>-839.90805503298907</v>
      </c>
      <c r="AB1947" s="150">
        <v>11203.13</v>
      </c>
      <c r="AC1947" s="199">
        <v>13861.33</v>
      </c>
      <c r="AD1947" s="150">
        <f t="shared" si="1634"/>
        <v>25064.46</v>
      </c>
      <c r="AE1947" s="150">
        <v>25064.46</v>
      </c>
      <c r="AF1947" s="169" t="s">
        <v>4680</v>
      </c>
      <c r="AG1947" s="201">
        <v>11203.13</v>
      </c>
      <c r="AH1947" s="199">
        <v>13861.33</v>
      </c>
      <c r="AI1947" s="150">
        <v>25064.46</v>
      </c>
      <c r="AJ1947" s="169">
        <f t="shared" si="1621"/>
        <v>0</v>
      </c>
      <c r="AK1947" s="201">
        <v>11203.13</v>
      </c>
      <c r="AL1947" s="199">
        <v>13861.33</v>
      </c>
      <c r="AM1947" s="150">
        <f t="shared" si="1635"/>
        <v>25064.46</v>
      </c>
      <c r="AN1947" s="153">
        <f t="shared" si="1622"/>
        <v>0</v>
      </c>
      <c r="AO1947" s="154">
        <f t="shared" si="1623"/>
        <v>0</v>
      </c>
      <c r="AP1947" s="150">
        <v>25064.46</v>
      </c>
      <c r="AQ1947" s="201">
        <v>25064.46</v>
      </c>
      <c r="AR1947" s="199"/>
      <c r="AS1947" s="150">
        <f t="shared" si="1636"/>
        <v>25064.46</v>
      </c>
      <c r="AT1947" s="155"/>
      <c r="AU1947" s="156">
        <f t="shared" si="1618"/>
        <v>0</v>
      </c>
      <c r="AV1947" s="156">
        <f t="shared" si="1619"/>
        <v>-839.90805503298907</v>
      </c>
      <c r="AW1947" s="157"/>
      <c r="AX1947" s="150">
        <v>25904.368055032988</v>
      </c>
      <c r="AY1947" s="150">
        <v>8333.4500000000007</v>
      </c>
      <c r="AZ1947" s="150">
        <f t="shared" si="1637"/>
        <v>18258.90816072802</v>
      </c>
      <c r="BA1947" s="150">
        <v>26592.358160728021</v>
      </c>
      <c r="BB1947" s="210"/>
      <c r="BC1947" s="210"/>
      <c r="BD1947" s="210"/>
      <c r="BE1947" s="210"/>
      <c r="BF1947" s="210"/>
      <c r="BG1947" s="210"/>
      <c r="BH1947" s="217"/>
      <c r="BI1947" s="210"/>
      <c r="BJ1947" s="210"/>
      <c r="BK1947" s="210"/>
      <c r="BL1947" s="210"/>
      <c r="BM1947" s="208"/>
      <c r="BN1947" s="160"/>
      <c r="BO1947" s="161"/>
      <c r="BP1947" s="161"/>
    </row>
    <row r="1948" spans="1:68">
      <c r="A1948" s="210"/>
      <c r="B1948" s="195" t="s">
        <v>9661</v>
      </c>
      <c r="C1948" s="196" t="s">
        <v>9662</v>
      </c>
      <c r="D1948" s="146" t="s">
        <v>4692</v>
      </c>
      <c r="E1948" s="196" t="s">
        <v>9662</v>
      </c>
      <c r="F1948" s="150">
        <v>0</v>
      </c>
      <c r="G1948" s="209">
        <v>0</v>
      </c>
      <c r="H1948" s="209"/>
      <c r="I1948" s="209">
        <v>0</v>
      </c>
      <c r="J1948" s="150">
        <v>76.989999999999995</v>
      </c>
      <c r="K1948" s="150">
        <v>0</v>
      </c>
      <c r="L1948" s="150">
        <f t="shared" si="1626"/>
        <v>76.989999999999995</v>
      </c>
      <c r="M1948" s="150">
        <v>1198.05</v>
      </c>
      <c r="N1948" s="150">
        <v>0</v>
      </c>
      <c r="O1948" s="150">
        <v>1198.05</v>
      </c>
      <c r="P1948" s="150">
        <v>1741.41</v>
      </c>
      <c r="Q1948" s="150">
        <v>0</v>
      </c>
      <c r="R1948" s="313">
        <f t="shared" si="1632"/>
        <v>1741.41</v>
      </c>
      <c r="S1948" s="150">
        <f t="shared" si="1624"/>
        <v>2321.88</v>
      </c>
      <c r="T1948" s="150">
        <v>1884.31</v>
      </c>
      <c r="U1948" s="150">
        <v>1884.31</v>
      </c>
      <c r="V1948" s="199">
        <v>0</v>
      </c>
      <c r="W1948" s="150">
        <f t="shared" si="1633"/>
        <v>1884.31</v>
      </c>
      <c r="X1948" s="150">
        <v>1884.31</v>
      </c>
      <c r="Y1948" s="150">
        <v>0</v>
      </c>
      <c r="Z1948" s="150">
        <v>1884.31</v>
      </c>
      <c r="AA1948" s="150">
        <f t="shared" si="1620"/>
        <v>0</v>
      </c>
      <c r="AB1948" s="150">
        <v>1884.31</v>
      </c>
      <c r="AC1948" s="199">
        <v>0</v>
      </c>
      <c r="AD1948" s="150">
        <f t="shared" si="1634"/>
        <v>1884.31</v>
      </c>
      <c r="AE1948" s="150">
        <v>1884.31</v>
      </c>
      <c r="AF1948" s="169" t="s">
        <v>4680</v>
      </c>
      <c r="AG1948" s="201">
        <v>1884.31</v>
      </c>
      <c r="AH1948" s="199">
        <v>0</v>
      </c>
      <c r="AI1948" s="150">
        <v>1884.31</v>
      </c>
      <c r="AJ1948" s="169">
        <f t="shared" si="1621"/>
        <v>0</v>
      </c>
      <c r="AK1948" s="201">
        <v>1884.31</v>
      </c>
      <c r="AL1948" s="199">
        <v>0</v>
      </c>
      <c r="AM1948" s="150">
        <f t="shared" si="1635"/>
        <v>1884.31</v>
      </c>
      <c r="AN1948" s="153">
        <f t="shared" si="1622"/>
        <v>0</v>
      </c>
      <c r="AO1948" s="154">
        <f t="shared" si="1623"/>
        <v>0</v>
      </c>
      <c r="AP1948" s="150">
        <v>1884.31</v>
      </c>
      <c r="AQ1948" s="201">
        <v>1884.31</v>
      </c>
      <c r="AR1948" s="199">
        <v>0</v>
      </c>
      <c r="AS1948" s="150">
        <f t="shared" si="1636"/>
        <v>1884.31</v>
      </c>
      <c r="AT1948" s="155"/>
      <c r="AU1948" s="156">
        <f t="shared" si="1618"/>
        <v>0</v>
      </c>
      <c r="AV1948" s="156">
        <f t="shared" si="1619"/>
        <v>0</v>
      </c>
      <c r="AW1948" s="157"/>
      <c r="AX1948" s="150">
        <v>1884.31</v>
      </c>
      <c r="AY1948" s="150">
        <v>1399.11</v>
      </c>
      <c r="AZ1948" s="150">
        <f t="shared" si="1637"/>
        <v>996.99</v>
      </c>
      <c r="BA1948" s="150">
        <v>2396.1</v>
      </c>
      <c r="BB1948" s="210"/>
      <c r="BC1948" s="210"/>
      <c r="BD1948" s="210"/>
      <c r="BE1948" s="210"/>
      <c r="BF1948" s="210"/>
      <c r="BG1948" s="210"/>
      <c r="BH1948" s="217"/>
      <c r="BI1948" s="210"/>
      <c r="BJ1948" s="210"/>
      <c r="BK1948" s="210"/>
      <c r="BL1948" s="210"/>
      <c r="BM1948" s="208"/>
      <c r="BN1948" s="160"/>
      <c r="BO1948" s="161"/>
      <c r="BP1948" s="161"/>
    </row>
    <row r="1949" spans="1:68" ht="25.5">
      <c r="A1949" s="210"/>
      <c r="B1949" s="195" t="s">
        <v>9663</v>
      </c>
      <c r="C1949" s="196" t="s">
        <v>9664</v>
      </c>
      <c r="D1949" s="146" t="s">
        <v>4692</v>
      </c>
      <c r="E1949" s="196" t="s">
        <v>9664</v>
      </c>
      <c r="F1949" s="150">
        <v>0</v>
      </c>
      <c r="G1949" s="209">
        <v>0</v>
      </c>
      <c r="H1949" s="209"/>
      <c r="I1949" s="209">
        <v>0</v>
      </c>
      <c r="J1949" s="150">
        <v>0</v>
      </c>
      <c r="K1949" s="150">
        <v>0</v>
      </c>
      <c r="L1949" s="150">
        <f t="shared" si="1626"/>
        <v>0</v>
      </c>
      <c r="M1949" s="150">
        <v>0</v>
      </c>
      <c r="N1949" s="150">
        <v>0</v>
      </c>
      <c r="O1949" s="150">
        <v>0</v>
      </c>
      <c r="P1949" s="150">
        <v>0</v>
      </c>
      <c r="Q1949" s="150">
        <v>0</v>
      </c>
      <c r="R1949" s="313">
        <f t="shared" si="1632"/>
        <v>0</v>
      </c>
      <c r="S1949" s="150">
        <f t="shared" si="1624"/>
        <v>0</v>
      </c>
      <c r="T1949" s="150">
        <v>0</v>
      </c>
      <c r="U1949" s="150">
        <v>0</v>
      </c>
      <c r="V1949" s="199">
        <v>0</v>
      </c>
      <c r="W1949" s="150">
        <f t="shared" si="1633"/>
        <v>0</v>
      </c>
      <c r="X1949" s="150">
        <v>0</v>
      </c>
      <c r="Y1949" s="150">
        <v>0</v>
      </c>
      <c r="Z1949" s="150">
        <v>0</v>
      </c>
      <c r="AA1949" s="150">
        <f t="shared" si="1620"/>
        <v>0</v>
      </c>
      <c r="AB1949" s="150">
        <v>0</v>
      </c>
      <c r="AC1949" s="199">
        <v>0</v>
      </c>
      <c r="AD1949" s="150">
        <f t="shared" si="1634"/>
        <v>0</v>
      </c>
      <c r="AE1949" s="150">
        <v>0</v>
      </c>
      <c r="AF1949" s="169" t="s">
        <v>4680</v>
      </c>
      <c r="AG1949" s="201">
        <v>0</v>
      </c>
      <c r="AH1949" s="199">
        <v>0</v>
      </c>
      <c r="AI1949" s="150">
        <v>0</v>
      </c>
      <c r="AJ1949" s="169">
        <f t="shared" si="1621"/>
        <v>0</v>
      </c>
      <c r="AK1949" s="201">
        <v>0</v>
      </c>
      <c r="AL1949" s="199">
        <v>0</v>
      </c>
      <c r="AM1949" s="150">
        <f t="shared" si="1635"/>
        <v>0</v>
      </c>
      <c r="AN1949" s="153">
        <f t="shared" si="1622"/>
        <v>0</v>
      </c>
      <c r="AO1949" s="154">
        <f t="shared" si="1623"/>
        <v>0</v>
      </c>
      <c r="AP1949" s="150">
        <v>0</v>
      </c>
      <c r="AQ1949" s="201">
        <v>0</v>
      </c>
      <c r="AR1949" s="199">
        <v>0</v>
      </c>
      <c r="AS1949" s="150">
        <f t="shared" si="1636"/>
        <v>0</v>
      </c>
      <c r="AT1949" s="155"/>
      <c r="AU1949" s="156">
        <f t="shared" si="1618"/>
        <v>0</v>
      </c>
      <c r="AV1949" s="156">
        <f t="shared" si="1619"/>
        <v>0</v>
      </c>
      <c r="AW1949" s="157"/>
      <c r="AX1949" s="150">
        <v>0</v>
      </c>
      <c r="AY1949" s="150">
        <v>0</v>
      </c>
      <c r="AZ1949" s="150">
        <f t="shared" si="1637"/>
        <v>0</v>
      </c>
      <c r="BA1949" s="150">
        <v>0</v>
      </c>
      <c r="BB1949" s="210"/>
      <c r="BC1949" s="210"/>
      <c r="BD1949" s="210"/>
      <c r="BE1949" s="210"/>
      <c r="BF1949" s="210"/>
      <c r="BG1949" s="210"/>
      <c r="BH1949" s="217"/>
      <c r="BI1949" s="210"/>
      <c r="BJ1949" s="210"/>
      <c r="BK1949" s="210"/>
      <c r="BL1949" s="210"/>
      <c r="BM1949" s="208"/>
      <c r="BN1949" s="160"/>
      <c r="BO1949" s="161"/>
      <c r="BP1949" s="161"/>
    </row>
    <row r="1950" spans="1:68" ht="38.25">
      <c r="A1950" s="210"/>
      <c r="B1950" s="195" t="s">
        <v>9665</v>
      </c>
      <c r="C1950" s="196" t="s">
        <v>9666</v>
      </c>
      <c r="D1950" s="146" t="s">
        <v>4692</v>
      </c>
      <c r="E1950" s="196" t="s">
        <v>9666</v>
      </c>
      <c r="F1950" s="150">
        <v>0</v>
      </c>
      <c r="G1950" s="209">
        <v>0</v>
      </c>
      <c r="H1950" s="209"/>
      <c r="I1950" s="209">
        <v>0</v>
      </c>
      <c r="J1950" s="150">
        <v>0</v>
      </c>
      <c r="K1950" s="150">
        <v>0</v>
      </c>
      <c r="L1950" s="150">
        <f t="shared" si="1626"/>
        <v>0</v>
      </c>
      <c r="M1950" s="150">
        <v>0</v>
      </c>
      <c r="N1950" s="150">
        <v>0</v>
      </c>
      <c r="O1950" s="150">
        <v>0</v>
      </c>
      <c r="P1950" s="150">
        <v>0</v>
      </c>
      <c r="Q1950" s="150">
        <v>0</v>
      </c>
      <c r="R1950" s="313">
        <f t="shared" si="1632"/>
        <v>0</v>
      </c>
      <c r="S1950" s="150">
        <f t="shared" si="1624"/>
        <v>0</v>
      </c>
      <c r="T1950" s="150">
        <v>0</v>
      </c>
      <c r="U1950" s="150">
        <v>0</v>
      </c>
      <c r="V1950" s="199">
        <v>0</v>
      </c>
      <c r="W1950" s="150">
        <f t="shared" si="1633"/>
        <v>0</v>
      </c>
      <c r="X1950" s="150">
        <v>0</v>
      </c>
      <c r="Y1950" s="150">
        <v>0</v>
      </c>
      <c r="Z1950" s="150">
        <v>0</v>
      </c>
      <c r="AA1950" s="150">
        <f t="shared" si="1620"/>
        <v>0</v>
      </c>
      <c r="AB1950" s="150">
        <v>0</v>
      </c>
      <c r="AC1950" s="199">
        <v>0</v>
      </c>
      <c r="AD1950" s="150">
        <f t="shared" si="1634"/>
        <v>0</v>
      </c>
      <c r="AE1950" s="150">
        <v>0</v>
      </c>
      <c r="AF1950" s="169" t="s">
        <v>4680</v>
      </c>
      <c r="AG1950" s="201">
        <v>0</v>
      </c>
      <c r="AH1950" s="199">
        <v>0</v>
      </c>
      <c r="AI1950" s="150">
        <v>0</v>
      </c>
      <c r="AJ1950" s="169">
        <f t="shared" si="1621"/>
        <v>0</v>
      </c>
      <c r="AK1950" s="201">
        <v>0</v>
      </c>
      <c r="AL1950" s="199">
        <v>0</v>
      </c>
      <c r="AM1950" s="150">
        <f t="shared" si="1635"/>
        <v>0</v>
      </c>
      <c r="AN1950" s="153">
        <f t="shared" si="1622"/>
        <v>0</v>
      </c>
      <c r="AO1950" s="154">
        <f t="shared" si="1623"/>
        <v>0</v>
      </c>
      <c r="AP1950" s="150">
        <v>0</v>
      </c>
      <c r="AQ1950" s="201">
        <v>0</v>
      </c>
      <c r="AR1950" s="199"/>
      <c r="AS1950" s="150">
        <f t="shared" si="1636"/>
        <v>0</v>
      </c>
      <c r="AT1950" s="155"/>
      <c r="AU1950" s="156">
        <f t="shared" si="1618"/>
        <v>0</v>
      </c>
      <c r="AV1950" s="156">
        <f t="shared" si="1619"/>
        <v>0</v>
      </c>
      <c r="AW1950" s="157"/>
      <c r="AX1950" s="150">
        <v>0</v>
      </c>
      <c r="AY1950" s="150">
        <v>0</v>
      </c>
      <c r="AZ1950" s="150">
        <f t="shared" si="1637"/>
        <v>0</v>
      </c>
      <c r="BA1950" s="150">
        <v>0</v>
      </c>
      <c r="BB1950" s="210"/>
      <c r="BC1950" s="210"/>
      <c r="BD1950" s="210"/>
      <c r="BE1950" s="210"/>
      <c r="BF1950" s="210"/>
      <c r="BG1950" s="210"/>
      <c r="BH1950" s="217"/>
      <c r="BI1950" s="210"/>
      <c r="BJ1950" s="210"/>
      <c r="BK1950" s="210"/>
      <c r="BL1950" s="210"/>
      <c r="BM1950" s="208"/>
      <c r="BN1950" s="160"/>
      <c r="BO1950" s="161"/>
      <c r="BP1950" s="161"/>
    </row>
    <row r="1951" spans="1:68" ht="38.25">
      <c r="A1951" s="210"/>
      <c r="B1951" s="195" t="s">
        <v>9667</v>
      </c>
      <c r="C1951" s="196" t="s">
        <v>9668</v>
      </c>
      <c r="D1951" s="146" t="s">
        <v>4692</v>
      </c>
      <c r="E1951" s="196" t="s">
        <v>9668</v>
      </c>
      <c r="F1951" s="150">
        <v>0</v>
      </c>
      <c r="G1951" s="209">
        <v>0</v>
      </c>
      <c r="H1951" s="209"/>
      <c r="I1951" s="209">
        <v>0</v>
      </c>
      <c r="J1951" s="150">
        <v>0</v>
      </c>
      <c r="K1951" s="150">
        <v>0</v>
      </c>
      <c r="L1951" s="150">
        <f t="shared" si="1626"/>
        <v>0</v>
      </c>
      <c r="M1951" s="150">
        <v>0</v>
      </c>
      <c r="N1951" s="150">
        <v>0</v>
      </c>
      <c r="O1951" s="150">
        <v>0</v>
      </c>
      <c r="P1951" s="150">
        <v>0</v>
      </c>
      <c r="Q1951" s="150">
        <v>0</v>
      </c>
      <c r="R1951" s="313">
        <f t="shared" si="1632"/>
        <v>0</v>
      </c>
      <c r="S1951" s="150">
        <f t="shared" si="1624"/>
        <v>0</v>
      </c>
      <c r="T1951" s="150">
        <v>0</v>
      </c>
      <c r="U1951" s="150">
        <v>0</v>
      </c>
      <c r="V1951" s="199">
        <v>0</v>
      </c>
      <c r="W1951" s="150">
        <f t="shared" si="1633"/>
        <v>0</v>
      </c>
      <c r="X1951" s="150">
        <v>0</v>
      </c>
      <c r="Y1951" s="150">
        <v>0</v>
      </c>
      <c r="Z1951" s="150">
        <v>0</v>
      </c>
      <c r="AA1951" s="150">
        <f t="shared" si="1620"/>
        <v>0</v>
      </c>
      <c r="AB1951" s="150">
        <v>0</v>
      </c>
      <c r="AC1951" s="199">
        <v>0</v>
      </c>
      <c r="AD1951" s="150">
        <f t="shared" si="1634"/>
        <v>0</v>
      </c>
      <c r="AE1951" s="150">
        <v>0</v>
      </c>
      <c r="AF1951" s="169" t="s">
        <v>4680</v>
      </c>
      <c r="AG1951" s="201">
        <v>0</v>
      </c>
      <c r="AH1951" s="199">
        <v>0</v>
      </c>
      <c r="AI1951" s="150">
        <v>0</v>
      </c>
      <c r="AJ1951" s="169">
        <f t="shared" si="1621"/>
        <v>0</v>
      </c>
      <c r="AK1951" s="201">
        <v>0</v>
      </c>
      <c r="AL1951" s="199">
        <v>0</v>
      </c>
      <c r="AM1951" s="150">
        <f t="shared" si="1635"/>
        <v>0</v>
      </c>
      <c r="AN1951" s="153">
        <f t="shared" si="1622"/>
        <v>0</v>
      </c>
      <c r="AO1951" s="154">
        <f t="shared" si="1623"/>
        <v>0</v>
      </c>
      <c r="AP1951" s="150">
        <v>0</v>
      </c>
      <c r="AQ1951" s="201">
        <v>0</v>
      </c>
      <c r="AR1951" s="199"/>
      <c r="AS1951" s="150">
        <f t="shared" si="1636"/>
        <v>0</v>
      </c>
      <c r="AT1951" s="155"/>
      <c r="AU1951" s="156">
        <f t="shared" si="1618"/>
        <v>0</v>
      </c>
      <c r="AV1951" s="156">
        <f t="shared" si="1619"/>
        <v>0</v>
      </c>
      <c r="AW1951" s="157"/>
      <c r="AX1951" s="150">
        <v>0</v>
      </c>
      <c r="AY1951" s="150">
        <v>0</v>
      </c>
      <c r="AZ1951" s="150">
        <f t="shared" si="1637"/>
        <v>0</v>
      </c>
      <c r="BA1951" s="150">
        <v>0</v>
      </c>
      <c r="BB1951" s="210"/>
      <c r="BC1951" s="210"/>
      <c r="BD1951" s="210"/>
      <c r="BE1951" s="210"/>
      <c r="BF1951" s="210"/>
      <c r="BG1951" s="210"/>
      <c r="BH1951" s="217"/>
      <c r="BI1951" s="210"/>
      <c r="BJ1951" s="210"/>
      <c r="BK1951" s="210"/>
      <c r="BL1951" s="210"/>
      <c r="BM1951" s="208"/>
      <c r="BN1951" s="160"/>
      <c r="BO1951" s="161"/>
      <c r="BP1951" s="161"/>
    </row>
    <row r="1952" spans="1:68" ht="25.5">
      <c r="A1952" s="210"/>
      <c r="B1952" s="195" t="s">
        <v>9669</v>
      </c>
      <c r="C1952" s="196" t="s">
        <v>9670</v>
      </c>
      <c r="D1952" s="146" t="s">
        <v>4692</v>
      </c>
      <c r="E1952" s="196" t="s">
        <v>9670</v>
      </c>
      <c r="F1952" s="150">
        <v>0</v>
      </c>
      <c r="G1952" s="209">
        <v>0</v>
      </c>
      <c r="H1952" s="209"/>
      <c r="I1952" s="209">
        <v>0</v>
      </c>
      <c r="J1952" s="150">
        <v>0</v>
      </c>
      <c r="K1952" s="150">
        <v>0</v>
      </c>
      <c r="L1952" s="150">
        <f t="shared" si="1626"/>
        <v>0</v>
      </c>
      <c r="M1952" s="150">
        <v>0</v>
      </c>
      <c r="N1952" s="150">
        <v>0</v>
      </c>
      <c r="O1952" s="150">
        <v>0</v>
      </c>
      <c r="P1952" s="150">
        <v>0</v>
      </c>
      <c r="Q1952" s="150">
        <v>0</v>
      </c>
      <c r="R1952" s="313">
        <f t="shared" si="1632"/>
        <v>0</v>
      </c>
      <c r="S1952" s="150">
        <f t="shared" si="1624"/>
        <v>0</v>
      </c>
      <c r="T1952" s="150">
        <v>366.31</v>
      </c>
      <c r="U1952" s="150">
        <v>0</v>
      </c>
      <c r="V1952" s="199">
        <v>366.31</v>
      </c>
      <c r="W1952" s="150">
        <f t="shared" si="1633"/>
        <v>366.31</v>
      </c>
      <c r="X1952" s="150">
        <v>0</v>
      </c>
      <c r="Y1952" s="150">
        <v>366.31</v>
      </c>
      <c r="Z1952" s="150">
        <v>366.31</v>
      </c>
      <c r="AA1952" s="150">
        <f t="shared" si="1620"/>
        <v>0</v>
      </c>
      <c r="AB1952" s="150">
        <v>0</v>
      </c>
      <c r="AC1952" s="199">
        <v>366.31</v>
      </c>
      <c r="AD1952" s="150">
        <f t="shared" si="1634"/>
        <v>366.31</v>
      </c>
      <c r="AE1952" s="150">
        <v>366.31</v>
      </c>
      <c r="AF1952" s="169" t="s">
        <v>4680</v>
      </c>
      <c r="AG1952" s="201">
        <v>0</v>
      </c>
      <c r="AH1952" s="199">
        <v>366.31</v>
      </c>
      <c r="AI1952" s="150">
        <v>366.31</v>
      </c>
      <c r="AJ1952" s="169">
        <f t="shared" si="1621"/>
        <v>0</v>
      </c>
      <c r="AK1952" s="201">
        <v>0</v>
      </c>
      <c r="AL1952" s="199">
        <v>366.31</v>
      </c>
      <c r="AM1952" s="150">
        <f t="shared" si="1635"/>
        <v>366.31</v>
      </c>
      <c r="AN1952" s="153">
        <f t="shared" si="1622"/>
        <v>0</v>
      </c>
      <c r="AO1952" s="154">
        <f t="shared" si="1623"/>
        <v>0</v>
      </c>
      <c r="AP1952" s="150">
        <v>366.31</v>
      </c>
      <c r="AQ1952" s="201">
        <v>366.31</v>
      </c>
      <c r="AR1952" s="199"/>
      <c r="AS1952" s="150">
        <f t="shared" si="1636"/>
        <v>366.31</v>
      </c>
      <c r="AT1952" s="155"/>
      <c r="AU1952" s="156">
        <f t="shared" si="1618"/>
        <v>0</v>
      </c>
      <c r="AV1952" s="156">
        <f t="shared" si="1619"/>
        <v>0</v>
      </c>
      <c r="AW1952" s="157"/>
      <c r="AX1952" s="150">
        <v>366.31</v>
      </c>
      <c r="AY1952" s="150">
        <v>0</v>
      </c>
      <c r="AZ1952" s="150">
        <f t="shared" si="1637"/>
        <v>0</v>
      </c>
      <c r="BA1952" s="150">
        <v>0</v>
      </c>
      <c r="BB1952" s="210"/>
      <c r="BC1952" s="210"/>
      <c r="BD1952" s="210"/>
      <c r="BE1952" s="210"/>
      <c r="BF1952" s="210"/>
      <c r="BG1952" s="210"/>
      <c r="BH1952" s="217"/>
      <c r="BI1952" s="210"/>
      <c r="BJ1952" s="210"/>
      <c r="BK1952" s="210"/>
      <c r="BL1952" s="210"/>
      <c r="BM1952" s="208"/>
      <c r="BN1952" s="160"/>
      <c r="BO1952" s="161"/>
      <c r="BP1952" s="161"/>
    </row>
    <row r="1953" spans="1:68" ht="38.25">
      <c r="A1953" s="210"/>
      <c r="B1953" s="195" t="s">
        <v>9671</v>
      </c>
      <c r="C1953" s="196" t="s">
        <v>9672</v>
      </c>
      <c r="D1953" s="146" t="s">
        <v>4692</v>
      </c>
      <c r="E1953" s="196" t="s">
        <v>9672</v>
      </c>
      <c r="F1953" s="150">
        <v>0</v>
      </c>
      <c r="G1953" s="209">
        <v>0</v>
      </c>
      <c r="H1953" s="209"/>
      <c r="I1953" s="209">
        <v>0</v>
      </c>
      <c r="J1953" s="150">
        <v>0</v>
      </c>
      <c r="K1953" s="150">
        <v>0</v>
      </c>
      <c r="L1953" s="150">
        <f t="shared" si="1626"/>
        <v>0</v>
      </c>
      <c r="M1953" s="150">
        <v>0</v>
      </c>
      <c r="N1953" s="150">
        <v>0</v>
      </c>
      <c r="O1953" s="150">
        <v>0</v>
      </c>
      <c r="P1953" s="150">
        <v>0</v>
      </c>
      <c r="Q1953" s="150">
        <v>0</v>
      </c>
      <c r="R1953" s="313">
        <f t="shared" si="1632"/>
        <v>0</v>
      </c>
      <c r="S1953" s="150">
        <f t="shared" si="1624"/>
        <v>0</v>
      </c>
      <c r="T1953" s="150">
        <v>0</v>
      </c>
      <c r="U1953" s="150">
        <v>0</v>
      </c>
      <c r="V1953" s="199">
        <v>0</v>
      </c>
      <c r="W1953" s="150">
        <f t="shared" si="1633"/>
        <v>0</v>
      </c>
      <c r="X1953" s="150">
        <v>0</v>
      </c>
      <c r="Y1953" s="150">
        <v>0</v>
      </c>
      <c r="Z1953" s="150">
        <v>0</v>
      </c>
      <c r="AA1953" s="150">
        <f t="shared" si="1620"/>
        <v>0</v>
      </c>
      <c r="AB1953" s="150">
        <v>0</v>
      </c>
      <c r="AC1953" s="199">
        <v>0</v>
      </c>
      <c r="AD1953" s="150">
        <f t="shared" si="1634"/>
        <v>0</v>
      </c>
      <c r="AE1953" s="150">
        <v>0</v>
      </c>
      <c r="AF1953" s="169" t="s">
        <v>4680</v>
      </c>
      <c r="AG1953" s="201">
        <v>0</v>
      </c>
      <c r="AH1953" s="199">
        <v>0</v>
      </c>
      <c r="AI1953" s="150">
        <v>0</v>
      </c>
      <c r="AJ1953" s="169">
        <f t="shared" si="1621"/>
        <v>0</v>
      </c>
      <c r="AK1953" s="201">
        <v>0</v>
      </c>
      <c r="AL1953" s="199">
        <v>0</v>
      </c>
      <c r="AM1953" s="150">
        <f t="shared" si="1635"/>
        <v>0</v>
      </c>
      <c r="AN1953" s="153">
        <f t="shared" si="1622"/>
        <v>0</v>
      </c>
      <c r="AO1953" s="154">
        <f t="shared" si="1623"/>
        <v>0</v>
      </c>
      <c r="AP1953" s="150">
        <v>0</v>
      </c>
      <c r="AQ1953" s="201">
        <v>0</v>
      </c>
      <c r="AR1953" s="199">
        <v>0</v>
      </c>
      <c r="AS1953" s="150">
        <f t="shared" si="1636"/>
        <v>0</v>
      </c>
      <c r="AT1953" s="155"/>
      <c r="AU1953" s="156">
        <f t="shared" si="1618"/>
        <v>0</v>
      </c>
      <c r="AV1953" s="156">
        <f t="shared" si="1619"/>
        <v>0</v>
      </c>
      <c r="AW1953" s="157"/>
      <c r="AX1953" s="150">
        <v>0</v>
      </c>
      <c r="AY1953" s="150">
        <v>0</v>
      </c>
      <c r="AZ1953" s="150">
        <f t="shared" si="1637"/>
        <v>0</v>
      </c>
      <c r="BA1953" s="150">
        <v>0</v>
      </c>
      <c r="BB1953" s="210"/>
      <c r="BC1953" s="210"/>
      <c r="BD1953" s="210"/>
      <c r="BE1953" s="210"/>
      <c r="BF1953" s="210"/>
      <c r="BG1953" s="210"/>
      <c r="BH1953" s="217"/>
      <c r="BI1953" s="210"/>
      <c r="BJ1953" s="210"/>
      <c r="BK1953" s="210"/>
      <c r="BL1953" s="210"/>
      <c r="BM1953" s="208"/>
      <c r="BN1953" s="160"/>
      <c r="BO1953" s="161"/>
      <c r="BP1953" s="161"/>
    </row>
    <row r="1954" spans="1:68" ht="38.25">
      <c r="A1954" s="210"/>
      <c r="B1954" s="195" t="s">
        <v>9673</v>
      </c>
      <c r="C1954" s="196" t="s">
        <v>9674</v>
      </c>
      <c r="D1954" s="146" t="s">
        <v>4692</v>
      </c>
      <c r="E1954" s="196" t="s">
        <v>9674</v>
      </c>
      <c r="F1954" s="150">
        <v>0</v>
      </c>
      <c r="G1954" s="209">
        <v>0</v>
      </c>
      <c r="H1954" s="209"/>
      <c r="I1954" s="209">
        <v>0</v>
      </c>
      <c r="J1954" s="150">
        <v>0</v>
      </c>
      <c r="K1954" s="150">
        <v>0</v>
      </c>
      <c r="L1954" s="150">
        <f t="shared" si="1626"/>
        <v>0</v>
      </c>
      <c r="M1954" s="150">
        <v>0</v>
      </c>
      <c r="N1954" s="150">
        <v>0</v>
      </c>
      <c r="O1954" s="150">
        <v>0</v>
      </c>
      <c r="P1954" s="150">
        <v>0</v>
      </c>
      <c r="Q1954" s="150">
        <v>0</v>
      </c>
      <c r="R1954" s="313">
        <f t="shared" si="1632"/>
        <v>0</v>
      </c>
      <c r="S1954" s="150">
        <f t="shared" si="1624"/>
        <v>0</v>
      </c>
      <c r="T1954" s="150">
        <v>0</v>
      </c>
      <c r="U1954" s="150">
        <v>0</v>
      </c>
      <c r="V1954" s="199">
        <v>0</v>
      </c>
      <c r="W1954" s="150">
        <f t="shared" si="1633"/>
        <v>0</v>
      </c>
      <c r="X1954" s="150">
        <v>0</v>
      </c>
      <c r="Y1954" s="150">
        <v>0</v>
      </c>
      <c r="Z1954" s="150">
        <v>0</v>
      </c>
      <c r="AA1954" s="150">
        <f t="shared" si="1620"/>
        <v>0</v>
      </c>
      <c r="AB1954" s="150">
        <v>0</v>
      </c>
      <c r="AC1954" s="199">
        <v>0</v>
      </c>
      <c r="AD1954" s="150">
        <f t="shared" si="1634"/>
        <v>0</v>
      </c>
      <c r="AE1954" s="150">
        <v>0</v>
      </c>
      <c r="AF1954" s="169" t="s">
        <v>4680</v>
      </c>
      <c r="AG1954" s="201">
        <v>0</v>
      </c>
      <c r="AH1954" s="199">
        <v>0</v>
      </c>
      <c r="AI1954" s="150">
        <v>0</v>
      </c>
      <c r="AJ1954" s="169">
        <f t="shared" si="1621"/>
        <v>0</v>
      </c>
      <c r="AK1954" s="201">
        <v>0</v>
      </c>
      <c r="AL1954" s="199">
        <v>0</v>
      </c>
      <c r="AM1954" s="150">
        <f t="shared" si="1635"/>
        <v>0</v>
      </c>
      <c r="AN1954" s="153">
        <f t="shared" si="1622"/>
        <v>0</v>
      </c>
      <c r="AO1954" s="154">
        <f t="shared" si="1623"/>
        <v>0</v>
      </c>
      <c r="AP1954" s="150">
        <v>0</v>
      </c>
      <c r="AQ1954" s="201">
        <v>0</v>
      </c>
      <c r="AR1954" s="199">
        <v>0</v>
      </c>
      <c r="AS1954" s="150">
        <f t="shared" si="1636"/>
        <v>0</v>
      </c>
      <c r="AT1954" s="155"/>
      <c r="AU1954" s="156">
        <f t="shared" si="1618"/>
        <v>0</v>
      </c>
      <c r="AV1954" s="156">
        <f t="shared" si="1619"/>
        <v>0</v>
      </c>
      <c r="AW1954" s="157"/>
      <c r="AX1954" s="150">
        <v>0</v>
      </c>
      <c r="AY1954" s="150">
        <v>0</v>
      </c>
      <c r="AZ1954" s="150">
        <f t="shared" si="1637"/>
        <v>0</v>
      </c>
      <c r="BA1954" s="150">
        <v>0</v>
      </c>
      <c r="BB1954" s="210"/>
      <c r="BC1954" s="210"/>
      <c r="BD1954" s="210"/>
      <c r="BE1954" s="210"/>
      <c r="BF1954" s="210"/>
      <c r="BG1954" s="210"/>
      <c r="BH1954" s="217"/>
      <c r="BI1954" s="210"/>
      <c r="BJ1954" s="210"/>
      <c r="BK1954" s="210"/>
      <c r="BL1954" s="210"/>
      <c r="BM1954" s="208"/>
      <c r="BN1954" s="160"/>
      <c r="BO1954" s="161"/>
      <c r="BP1954" s="161"/>
    </row>
    <row r="1955" spans="1:68" ht="51">
      <c r="A1955" s="210"/>
      <c r="B1955" s="195" t="s">
        <v>9675</v>
      </c>
      <c r="C1955" s="196" t="s">
        <v>9676</v>
      </c>
      <c r="D1955" s="146" t="s">
        <v>4692</v>
      </c>
      <c r="E1955" s="196" t="s">
        <v>9676</v>
      </c>
      <c r="F1955" s="150">
        <v>0</v>
      </c>
      <c r="G1955" s="209">
        <v>0</v>
      </c>
      <c r="H1955" s="209"/>
      <c r="I1955" s="209">
        <v>0</v>
      </c>
      <c r="J1955" s="150">
        <v>0</v>
      </c>
      <c r="K1955" s="150">
        <v>0</v>
      </c>
      <c r="L1955" s="150">
        <f t="shared" si="1626"/>
        <v>0</v>
      </c>
      <c r="M1955" s="150">
        <v>0</v>
      </c>
      <c r="N1955" s="150">
        <v>0</v>
      </c>
      <c r="O1955" s="150">
        <v>0</v>
      </c>
      <c r="P1955" s="150">
        <v>0</v>
      </c>
      <c r="Q1955" s="150">
        <v>0</v>
      </c>
      <c r="R1955" s="313">
        <f t="shared" si="1632"/>
        <v>0</v>
      </c>
      <c r="S1955" s="150">
        <f t="shared" si="1624"/>
        <v>0</v>
      </c>
      <c r="T1955" s="150">
        <v>0</v>
      </c>
      <c r="U1955" s="150">
        <v>0</v>
      </c>
      <c r="V1955" s="199">
        <v>0</v>
      </c>
      <c r="W1955" s="150">
        <f t="shared" si="1633"/>
        <v>0</v>
      </c>
      <c r="X1955" s="150">
        <v>0</v>
      </c>
      <c r="Y1955" s="150">
        <v>0</v>
      </c>
      <c r="Z1955" s="150">
        <v>0</v>
      </c>
      <c r="AA1955" s="150">
        <f t="shared" si="1620"/>
        <v>0</v>
      </c>
      <c r="AB1955" s="150">
        <v>0</v>
      </c>
      <c r="AC1955" s="199">
        <v>0</v>
      </c>
      <c r="AD1955" s="150">
        <f t="shared" si="1634"/>
        <v>0</v>
      </c>
      <c r="AE1955" s="150">
        <v>0</v>
      </c>
      <c r="AF1955" s="169" t="s">
        <v>4680</v>
      </c>
      <c r="AG1955" s="201">
        <v>0</v>
      </c>
      <c r="AH1955" s="199">
        <v>0</v>
      </c>
      <c r="AI1955" s="150">
        <v>0</v>
      </c>
      <c r="AJ1955" s="169">
        <f t="shared" si="1621"/>
        <v>0</v>
      </c>
      <c r="AK1955" s="201">
        <v>0</v>
      </c>
      <c r="AL1955" s="199">
        <v>0</v>
      </c>
      <c r="AM1955" s="150">
        <f t="shared" si="1635"/>
        <v>0</v>
      </c>
      <c r="AN1955" s="153">
        <f t="shared" si="1622"/>
        <v>0</v>
      </c>
      <c r="AO1955" s="154">
        <f t="shared" si="1623"/>
        <v>0</v>
      </c>
      <c r="AP1955" s="150">
        <v>0</v>
      </c>
      <c r="AQ1955" s="201">
        <v>0</v>
      </c>
      <c r="AR1955" s="199">
        <v>0</v>
      </c>
      <c r="AS1955" s="150">
        <f t="shared" si="1636"/>
        <v>0</v>
      </c>
      <c r="AT1955" s="155"/>
      <c r="AU1955" s="156">
        <f t="shared" si="1618"/>
        <v>0</v>
      </c>
      <c r="AV1955" s="156">
        <f t="shared" si="1619"/>
        <v>0</v>
      </c>
      <c r="AW1955" s="157"/>
      <c r="AX1955" s="150">
        <v>0</v>
      </c>
      <c r="AY1955" s="150">
        <v>0</v>
      </c>
      <c r="AZ1955" s="150">
        <f t="shared" si="1637"/>
        <v>0</v>
      </c>
      <c r="BA1955" s="150">
        <v>0</v>
      </c>
      <c r="BB1955" s="210"/>
      <c r="BC1955" s="210"/>
      <c r="BD1955" s="210"/>
      <c r="BE1955" s="210"/>
      <c r="BF1955" s="210"/>
      <c r="BG1955" s="210"/>
      <c r="BH1955" s="217"/>
      <c r="BI1955" s="210"/>
      <c r="BJ1955" s="210"/>
      <c r="BK1955" s="210"/>
      <c r="BL1955" s="210"/>
      <c r="BM1955" s="208"/>
      <c r="BN1955" s="160"/>
      <c r="BO1955" s="161"/>
      <c r="BP1955" s="161"/>
    </row>
    <row r="1956" spans="1:68" ht="38.25">
      <c r="A1956" s="210"/>
      <c r="B1956" s="195" t="s">
        <v>9677</v>
      </c>
      <c r="C1956" s="196" t="s">
        <v>9678</v>
      </c>
      <c r="D1956" s="146" t="s">
        <v>4692</v>
      </c>
      <c r="E1956" s="196" t="s">
        <v>9678</v>
      </c>
      <c r="F1956" s="150">
        <v>0</v>
      </c>
      <c r="G1956" s="209">
        <v>0</v>
      </c>
      <c r="H1956" s="209"/>
      <c r="I1956" s="209">
        <v>0</v>
      </c>
      <c r="J1956" s="150">
        <v>0</v>
      </c>
      <c r="K1956" s="150">
        <v>0</v>
      </c>
      <c r="L1956" s="150">
        <f t="shared" si="1626"/>
        <v>0</v>
      </c>
      <c r="M1956" s="150">
        <v>0</v>
      </c>
      <c r="N1956" s="150">
        <v>0</v>
      </c>
      <c r="O1956" s="150">
        <v>0</v>
      </c>
      <c r="P1956" s="150">
        <v>0</v>
      </c>
      <c r="Q1956" s="150">
        <v>0</v>
      </c>
      <c r="R1956" s="313">
        <f t="shared" si="1632"/>
        <v>0</v>
      </c>
      <c r="S1956" s="150">
        <f t="shared" si="1624"/>
        <v>0</v>
      </c>
      <c r="T1956" s="150">
        <v>0</v>
      </c>
      <c r="U1956" s="150">
        <v>0</v>
      </c>
      <c r="V1956" s="199">
        <v>0</v>
      </c>
      <c r="W1956" s="150">
        <f t="shared" si="1633"/>
        <v>0</v>
      </c>
      <c r="X1956" s="150">
        <v>0</v>
      </c>
      <c r="Y1956" s="150">
        <v>0</v>
      </c>
      <c r="Z1956" s="150">
        <v>0</v>
      </c>
      <c r="AA1956" s="150">
        <f t="shared" si="1620"/>
        <v>0</v>
      </c>
      <c r="AB1956" s="150">
        <v>0</v>
      </c>
      <c r="AC1956" s="199">
        <v>0</v>
      </c>
      <c r="AD1956" s="150">
        <f t="shared" si="1634"/>
        <v>0</v>
      </c>
      <c r="AE1956" s="150">
        <v>0</v>
      </c>
      <c r="AF1956" s="169" t="s">
        <v>4680</v>
      </c>
      <c r="AG1956" s="201">
        <v>0</v>
      </c>
      <c r="AH1956" s="199">
        <v>0</v>
      </c>
      <c r="AI1956" s="150">
        <v>0</v>
      </c>
      <c r="AJ1956" s="169">
        <f t="shared" si="1621"/>
        <v>0</v>
      </c>
      <c r="AK1956" s="201">
        <v>0</v>
      </c>
      <c r="AL1956" s="199">
        <v>0</v>
      </c>
      <c r="AM1956" s="150">
        <f t="shared" si="1635"/>
        <v>0</v>
      </c>
      <c r="AN1956" s="153">
        <f t="shared" si="1622"/>
        <v>0</v>
      </c>
      <c r="AO1956" s="154">
        <f t="shared" si="1623"/>
        <v>0</v>
      </c>
      <c r="AP1956" s="150">
        <v>0</v>
      </c>
      <c r="AQ1956" s="201">
        <v>0</v>
      </c>
      <c r="AR1956" s="199">
        <v>0</v>
      </c>
      <c r="AS1956" s="150">
        <f t="shared" si="1636"/>
        <v>0</v>
      </c>
      <c r="AT1956" s="155"/>
      <c r="AU1956" s="156">
        <f t="shared" si="1618"/>
        <v>0</v>
      </c>
      <c r="AV1956" s="156">
        <f t="shared" si="1619"/>
        <v>0</v>
      </c>
      <c r="AW1956" s="157"/>
      <c r="AX1956" s="150">
        <v>0</v>
      </c>
      <c r="AY1956" s="150">
        <v>0</v>
      </c>
      <c r="AZ1956" s="150">
        <f t="shared" si="1637"/>
        <v>0</v>
      </c>
      <c r="BA1956" s="150">
        <v>0</v>
      </c>
      <c r="BB1956" s="210"/>
      <c r="BC1956" s="210"/>
      <c r="BD1956" s="210"/>
      <c r="BE1956" s="210"/>
      <c r="BF1956" s="210"/>
      <c r="BG1956" s="210"/>
      <c r="BH1956" s="217"/>
      <c r="BI1956" s="210"/>
      <c r="BJ1956" s="210"/>
      <c r="BK1956" s="210"/>
      <c r="BL1956" s="210"/>
      <c r="BM1956" s="208"/>
      <c r="BN1956" s="160"/>
      <c r="BO1956" s="161"/>
      <c r="BP1956" s="161"/>
    </row>
    <row r="1957" spans="1:68" ht="51">
      <c r="A1957" s="210"/>
      <c r="B1957" s="195" t="s">
        <v>9679</v>
      </c>
      <c r="C1957" s="196" t="s">
        <v>9680</v>
      </c>
      <c r="D1957" s="146" t="s">
        <v>4692</v>
      </c>
      <c r="E1957" s="196" t="s">
        <v>9680</v>
      </c>
      <c r="F1957" s="150">
        <v>0</v>
      </c>
      <c r="G1957" s="209">
        <v>0</v>
      </c>
      <c r="H1957" s="209"/>
      <c r="I1957" s="209">
        <v>0</v>
      </c>
      <c r="J1957" s="150">
        <v>0</v>
      </c>
      <c r="K1957" s="150">
        <v>0</v>
      </c>
      <c r="L1957" s="150">
        <f t="shared" si="1626"/>
        <v>0</v>
      </c>
      <c r="M1957" s="150">
        <v>0</v>
      </c>
      <c r="N1957" s="150">
        <v>0</v>
      </c>
      <c r="O1957" s="150">
        <v>0</v>
      </c>
      <c r="P1957" s="150">
        <v>0</v>
      </c>
      <c r="Q1957" s="150">
        <v>0</v>
      </c>
      <c r="R1957" s="313">
        <f t="shared" si="1632"/>
        <v>0</v>
      </c>
      <c r="S1957" s="150">
        <f t="shared" si="1624"/>
        <v>0</v>
      </c>
      <c r="T1957" s="150">
        <v>0</v>
      </c>
      <c r="U1957" s="150">
        <v>0</v>
      </c>
      <c r="V1957" s="199">
        <v>0</v>
      </c>
      <c r="W1957" s="150">
        <f t="shared" si="1633"/>
        <v>0</v>
      </c>
      <c r="X1957" s="150">
        <v>0</v>
      </c>
      <c r="Y1957" s="150">
        <v>0</v>
      </c>
      <c r="Z1957" s="150">
        <v>0</v>
      </c>
      <c r="AA1957" s="150">
        <f t="shared" si="1620"/>
        <v>0</v>
      </c>
      <c r="AB1957" s="150">
        <v>0</v>
      </c>
      <c r="AC1957" s="199">
        <v>0</v>
      </c>
      <c r="AD1957" s="150">
        <f t="shared" si="1634"/>
        <v>0</v>
      </c>
      <c r="AE1957" s="150">
        <v>0</v>
      </c>
      <c r="AF1957" s="169" t="s">
        <v>4680</v>
      </c>
      <c r="AG1957" s="201">
        <v>0</v>
      </c>
      <c r="AH1957" s="199">
        <v>0</v>
      </c>
      <c r="AI1957" s="150">
        <v>0</v>
      </c>
      <c r="AJ1957" s="169">
        <f t="shared" si="1621"/>
        <v>0</v>
      </c>
      <c r="AK1957" s="201">
        <v>0</v>
      </c>
      <c r="AL1957" s="199">
        <v>0</v>
      </c>
      <c r="AM1957" s="150">
        <f t="shared" si="1635"/>
        <v>0</v>
      </c>
      <c r="AN1957" s="153">
        <f t="shared" si="1622"/>
        <v>0</v>
      </c>
      <c r="AO1957" s="154">
        <f t="shared" si="1623"/>
        <v>0</v>
      </c>
      <c r="AP1957" s="150">
        <v>0</v>
      </c>
      <c r="AQ1957" s="201">
        <v>0</v>
      </c>
      <c r="AR1957" s="199">
        <v>0</v>
      </c>
      <c r="AS1957" s="150">
        <f t="shared" si="1636"/>
        <v>0</v>
      </c>
      <c r="AT1957" s="155"/>
      <c r="AU1957" s="156">
        <f t="shared" si="1618"/>
        <v>0</v>
      </c>
      <c r="AV1957" s="156">
        <f t="shared" si="1619"/>
        <v>0</v>
      </c>
      <c r="AW1957" s="157"/>
      <c r="AX1957" s="150">
        <v>0</v>
      </c>
      <c r="AY1957" s="150">
        <v>0</v>
      </c>
      <c r="AZ1957" s="150">
        <f t="shared" si="1637"/>
        <v>0</v>
      </c>
      <c r="BA1957" s="150">
        <v>0</v>
      </c>
      <c r="BB1957" s="210"/>
      <c r="BC1957" s="210"/>
      <c r="BD1957" s="210"/>
      <c r="BE1957" s="210"/>
      <c r="BF1957" s="210"/>
      <c r="BG1957" s="210"/>
      <c r="BH1957" s="217"/>
      <c r="BI1957" s="210"/>
      <c r="BJ1957" s="210"/>
      <c r="BK1957" s="210"/>
      <c r="BL1957" s="210"/>
      <c r="BM1957" s="208"/>
      <c r="BN1957" s="160"/>
      <c r="BO1957" s="161"/>
      <c r="BP1957" s="161"/>
    </row>
    <row r="1958" spans="1:68" ht="38.25">
      <c r="A1958" s="210"/>
      <c r="B1958" s="195" t="s">
        <v>9681</v>
      </c>
      <c r="C1958" s="196" t="s">
        <v>9682</v>
      </c>
      <c r="D1958" s="146" t="s">
        <v>4692</v>
      </c>
      <c r="E1958" s="196" t="s">
        <v>9682</v>
      </c>
      <c r="F1958" s="150">
        <v>0</v>
      </c>
      <c r="G1958" s="209">
        <v>0</v>
      </c>
      <c r="H1958" s="209"/>
      <c r="I1958" s="209">
        <v>0</v>
      </c>
      <c r="J1958" s="150">
        <v>0</v>
      </c>
      <c r="K1958" s="150">
        <v>0</v>
      </c>
      <c r="L1958" s="150">
        <f t="shared" si="1626"/>
        <v>0</v>
      </c>
      <c r="M1958" s="150">
        <v>0</v>
      </c>
      <c r="N1958" s="150">
        <v>0</v>
      </c>
      <c r="O1958" s="150">
        <v>0</v>
      </c>
      <c r="P1958" s="150">
        <v>0</v>
      </c>
      <c r="Q1958" s="150">
        <v>0</v>
      </c>
      <c r="R1958" s="313">
        <f t="shared" si="1632"/>
        <v>0</v>
      </c>
      <c r="S1958" s="150">
        <f t="shared" si="1624"/>
        <v>0</v>
      </c>
      <c r="T1958" s="150">
        <v>0</v>
      </c>
      <c r="U1958" s="150">
        <v>0</v>
      </c>
      <c r="V1958" s="199">
        <v>0</v>
      </c>
      <c r="W1958" s="150">
        <f t="shared" si="1633"/>
        <v>0</v>
      </c>
      <c r="X1958" s="150">
        <v>0</v>
      </c>
      <c r="Y1958" s="150">
        <v>0</v>
      </c>
      <c r="Z1958" s="150">
        <v>0</v>
      </c>
      <c r="AA1958" s="150">
        <f t="shared" si="1620"/>
        <v>0</v>
      </c>
      <c r="AB1958" s="150">
        <v>0</v>
      </c>
      <c r="AC1958" s="199">
        <v>0</v>
      </c>
      <c r="AD1958" s="150">
        <f t="shared" si="1634"/>
        <v>0</v>
      </c>
      <c r="AE1958" s="150">
        <v>0</v>
      </c>
      <c r="AF1958" s="169" t="s">
        <v>4680</v>
      </c>
      <c r="AG1958" s="201">
        <v>0</v>
      </c>
      <c r="AH1958" s="199">
        <v>0</v>
      </c>
      <c r="AI1958" s="150">
        <v>0</v>
      </c>
      <c r="AJ1958" s="169">
        <f t="shared" si="1621"/>
        <v>0</v>
      </c>
      <c r="AK1958" s="201">
        <v>0</v>
      </c>
      <c r="AL1958" s="199">
        <v>0</v>
      </c>
      <c r="AM1958" s="150">
        <f t="shared" si="1635"/>
        <v>0</v>
      </c>
      <c r="AN1958" s="153">
        <f t="shared" si="1622"/>
        <v>0</v>
      </c>
      <c r="AO1958" s="154">
        <f t="shared" si="1623"/>
        <v>0</v>
      </c>
      <c r="AP1958" s="150">
        <v>0</v>
      </c>
      <c r="AQ1958" s="201">
        <v>0</v>
      </c>
      <c r="AR1958" s="199">
        <v>0</v>
      </c>
      <c r="AS1958" s="150">
        <f t="shared" si="1636"/>
        <v>0</v>
      </c>
      <c r="AT1958" s="155"/>
      <c r="AU1958" s="156">
        <f t="shared" si="1618"/>
        <v>0</v>
      </c>
      <c r="AV1958" s="156">
        <f t="shared" si="1619"/>
        <v>0</v>
      </c>
      <c r="AW1958" s="157"/>
      <c r="AX1958" s="150">
        <v>0</v>
      </c>
      <c r="AY1958" s="150">
        <v>0</v>
      </c>
      <c r="AZ1958" s="150">
        <f t="shared" si="1637"/>
        <v>0</v>
      </c>
      <c r="BA1958" s="150">
        <v>0</v>
      </c>
      <c r="BB1958" s="210"/>
      <c r="BC1958" s="210"/>
      <c r="BD1958" s="210"/>
      <c r="BE1958" s="210"/>
      <c r="BF1958" s="210"/>
      <c r="BG1958" s="210"/>
      <c r="BH1958" s="217"/>
      <c r="BI1958" s="210"/>
      <c r="BJ1958" s="210"/>
      <c r="BK1958" s="210"/>
      <c r="BL1958" s="210"/>
      <c r="BM1958" s="208"/>
      <c r="BN1958" s="160"/>
      <c r="BO1958" s="161"/>
      <c r="BP1958" s="161"/>
    </row>
    <row r="1959" spans="1:68" ht="51">
      <c r="A1959" s="210"/>
      <c r="B1959" s="195" t="s">
        <v>9683</v>
      </c>
      <c r="C1959" s="196" t="s">
        <v>9684</v>
      </c>
      <c r="D1959" s="146" t="s">
        <v>4692</v>
      </c>
      <c r="E1959" s="196" t="s">
        <v>9684</v>
      </c>
      <c r="F1959" s="150">
        <v>0</v>
      </c>
      <c r="G1959" s="209">
        <v>0</v>
      </c>
      <c r="H1959" s="209"/>
      <c r="I1959" s="209">
        <v>0</v>
      </c>
      <c r="J1959" s="150">
        <v>0</v>
      </c>
      <c r="K1959" s="150">
        <v>0</v>
      </c>
      <c r="L1959" s="150">
        <f t="shared" si="1626"/>
        <v>0</v>
      </c>
      <c r="M1959" s="150">
        <v>0</v>
      </c>
      <c r="N1959" s="150">
        <v>0</v>
      </c>
      <c r="O1959" s="150">
        <v>0</v>
      </c>
      <c r="P1959" s="150">
        <v>0</v>
      </c>
      <c r="Q1959" s="150">
        <v>0</v>
      </c>
      <c r="R1959" s="313">
        <f t="shared" si="1632"/>
        <v>0</v>
      </c>
      <c r="S1959" s="150">
        <f t="shared" si="1624"/>
        <v>0</v>
      </c>
      <c r="T1959" s="150">
        <v>0</v>
      </c>
      <c r="U1959" s="150">
        <v>0</v>
      </c>
      <c r="V1959" s="199">
        <v>0</v>
      </c>
      <c r="W1959" s="150">
        <f t="shared" si="1633"/>
        <v>0</v>
      </c>
      <c r="X1959" s="150">
        <v>0</v>
      </c>
      <c r="Y1959" s="150">
        <v>0</v>
      </c>
      <c r="Z1959" s="150">
        <v>0</v>
      </c>
      <c r="AA1959" s="150">
        <f t="shared" si="1620"/>
        <v>0</v>
      </c>
      <c r="AB1959" s="150">
        <v>0</v>
      </c>
      <c r="AC1959" s="199">
        <v>0</v>
      </c>
      <c r="AD1959" s="150">
        <f t="shared" si="1634"/>
        <v>0</v>
      </c>
      <c r="AE1959" s="150">
        <v>0</v>
      </c>
      <c r="AF1959" s="169" t="s">
        <v>4680</v>
      </c>
      <c r="AG1959" s="201">
        <v>0</v>
      </c>
      <c r="AH1959" s="199">
        <v>0</v>
      </c>
      <c r="AI1959" s="150">
        <v>0</v>
      </c>
      <c r="AJ1959" s="169">
        <f t="shared" si="1621"/>
        <v>0</v>
      </c>
      <c r="AK1959" s="201">
        <v>0</v>
      </c>
      <c r="AL1959" s="199">
        <v>0</v>
      </c>
      <c r="AM1959" s="150">
        <f t="shared" si="1635"/>
        <v>0</v>
      </c>
      <c r="AN1959" s="153">
        <f t="shared" si="1622"/>
        <v>0</v>
      </c>
      <c r="AO1959" s="154">
        <f t="shared" si="1623"/>
        <v>0</v>
      </c>
      <c r="AP1959" s="150">
        <v>0</v>
      </c>
      <c r="AQ1959" s="201">
        <v>0</v>
      </c>
      <c r="AR1959" s="199">
        <v>0</v>
      </c>
      <c r="AS1959" s="150">
        <f t="shared" si="1636"/>
        <v>0</v>
      </c>
      <c r="AT1959" s="155"/>
      <c r="AU1959" s="156">
        <f t="shared" si="1618"/>
        <v>0</v>
      </c>
      <c r="AV1959" s="156">
        <f t="shared" si="1619"/>
        <v>0</v>
      </c>
      <c r="AW1959" s="157"/>
      <c r="AX1959" s="150">
        <v>0</v>
      </c>
      <c r="AY1959" s="150">
        <v>0</v>
      </c>
      <c r="AZ1959" s="150">
        <f t="shared" si="1637"/>
        <v>0</v>
      </c>
      <c r="BA1959" s="150">
        <v>0</v>
      </c>
      <c r="BB1959" s="210"/>
      <c r="BC1959" s="210"/>
      <c r="BD1959" s="210"/>
      <c r="BE1959" s="210"/>
      <c r="BF1959" s="210"/>
      <c r="BG1959" s="210"/>
      <c r="BH1959" s="217"/>
      <c r="BI1959" s="210"/>
      <c r="BJ1959" s="210"/>
      <c r="BK1959" s="210"/>
      <c r="BL1959" s="210"/>
      <c r="BM1959" s="208"/>
      <c r="BN1959" s="160"/>
      <c r="BO1959" s="161"/>
      <c r="BP1959" s="161"/>
    </row>
    <row r="1960" spans="1:68" ht="38.25">
      <c r="A1960" s="210"/>
      <c r="B1960" s="195" t="s">
        <v>9685</v>
      </c>
      <c r="C1960" s="196" t="s">
        <v>9686</v>
      </c>
      <c r="D1960" s="146" t="s">
        <v>4692</v>
      </c>
      <c r="E1960" s="196" t="s">
        <v>9686</v>
      </c>
      <c r="F1960" s="150">
        <v>0</v>
      </c>
      <c r="G1960" s="209">
        <v>0</v>
      </c>
      <c r="H1960" s="209"/>
      <c r="I1960" s="209">
        <v>0</v>
      </c>
      <c r="J1960" s="150">
        <v>0</v>
      </c>
      <c r="K1960" s="150">
        <v>0</v>
      </c>
      <c r="L1960" s="150">
        <f t="shared" si="1626"/>
        <v>0</v>
      </c>
      <c r="M1960" s="150">
        <v>0</v>
      </c>
      <c r="N1960" s="150">
        <v>0</v>
      </c>
      <c r="O1960" s="150">
        <v>0</v>
      </c>
      <c r="P1960" s="150">
        <v>0</v>
      </c>
      <c r="Q1960" s="150">
        <v>0</v>
      </c>
      <c r="R1960" s="313">
        <f t="shared" si="1632"/>
        <v>0</v>
      </c>
      <c r="S1960" s="150">
        <f t="shared" si="1624"/>
        <v>0</v>
      </c>
      <c r="T1960" s="150">
        <v>0</v>
      </c>
      <c r="U1960" s="150">
        <v>0</v>
      </c>
      <c r="V1960" s="199">
        <v>0</v>
      </c>
      <c r="W1960" s="150">
        <f t="shared" si="1633"/>
        <v>0</v>
      </c>
      <c r="X1960" s="150">
        <v>0</v>
      </c>
      <c r="Y1960" s="150">
        <v>0</v>
      </c>
      <c r="Z1960" s="150">
        <v>0</v>
      </c>
      <c r="AA1960" s="150">
        <f t="shared" si="1620"/>
        <v>0</v>
      </c>
      <c r="AB1960" s="150">
        <v>0</v>
      </c>
      <c r="AC1960" s="199">
        <v>0</v>
      </c>
      <c r="AD1960" s="150">
        <f t="shared" si="1634"/>
        <v>0</v>
      </c>
      <c r="AE1960" s="150">
        <v>0</v>
      </c>
      <c r="AF1960" s="169" t="s">
        <v>4680</v>
      </c>
      <c r="AG1960" s="201">
        <v>0</v>
      </c>
      <c r="AH1960" s="199">
        <v>0</v>
      </c>
      <c r="AI1960" s="150">
        <v>0</v>
      </c>
      <c r="AJ1960" s="169">
        <f t="shared" si="1621"/>
        <v>0</v>
      </c>
      <c r="AK1960" s="201">
        <v>0</v>
      </c>
      <c r="AL1960" s="199">
        <v>0</v>
      </c>
      <c r="AM1960" s="150">
        <f t="shared" si="1635"/>
        <v>0</v>
      </c>
      <c r="AN1960" s="153">
        <f t="shared" si="1622"/>
        <v>0</v>
      </c>
      <c r="AO1960" s="154">
        <f t="shared" si="1623"/>
        <v>0</v>
      </c>
      <c r="AP1960" s="150">
        <v>0</v>
      </c>
      <c r="AQ1960" s="201">
        <v>0</v>
      </c>
      <c r="AR1960" s="199">
        <v>0</v>
      </c>
      <c r="AS1960" s="150">
        <f t="shared" si="1636"/>
        <v>0</v>
      </c>
      <c r="AT1960" s="155"/>
      <c r="AU1960" s="156">
        <f t="shared" si="1618"/>
        <v>0</v>
      </c>
      <c r="AV1960" s="156">
        <f t="shared" si="1619"/>
        <v>0</v>
      </c>
      <c r="AW1960" s="157"/>
      <c r="AX1960" s="150">
        <v>0</v>
      </c>
      <c r="AY1960" s="150">
        <v>0</v>
      </c>
      <c r="AZ1960" s="150">
        <f t="shared" si="1637"/>
        <v>0</v>
      </c>
      <c r="BA1960" s="150">
        <v>0</v>
      </c>
      <c r="BB1960" s="210"/>
      <c r="BC1960" s="210"/>
      <c r="BD1960" s="210"/>
      <c r="BE1960" s="210"/>
      <c r="BF1960" s="210"/>
      <c r="BG1960" s="210"/>
      <c r="BH1960" s="217"/>
      <c r="BI1960" s="210"/>
      <c r="BJ1960" s="210"/>
      <c r="BK1960" s="210"/>
      <c r="BL1960" s="210"/>
      <c r="BM1960" s="208"/>
      <c r="BN1960" s="160"/>
      <c r="BO1960" s="161"/>
      <c r="BP1960" s="161"/>
    </row>
    <row r="1961" spans="1:68" ht="38.25">
      <c r="A1961" s="210"/>
      <c r="B1961" s="195" t="s">
        <v>9687</v>
      </c>
      <c r="C1961" s="196" t="s">
        <v>9688</v>
      </c>
      <c r="D1961" s="146" t="s">
        <v>4692</v>
      </c>
      <c r="E1961" s="196" t="s">
        <v>9688</v>
      </c>
      <c r="F1961" s="150">
        <v>0</v>
      </c>
      <c r="G1961" s="209">
        <v>0</v>
      </c>
      <c r="H1961" s="209"/>
      <c r="I1961" s="209">
        <v>0</v>
      </c>
      <c r="J1961" s="150">
        <v>0</v>
      </c>
      <c r="K1961" s="150">
        <v>0</v>
      </c>
      <c r="L1961" s="150">
        <f t="shared" si="1626"/>
        <v>0</v>
      </c>
      <c r="M1961" s="150">
        <v>0</v>
      </c>
      <c r="N1961" s="150">
        <v>0</v>
      </c>
      <c r="O1961" s="150">
        <v>0</v>
      </c>
      <c r="P1961" s="150">
        <v>0</v>
      </c>
      <c r="Q1961" s="150">
        <v>0</v>
      </c>
      <c r="R1961" s="313">
        <f t="shared" si="1632"/>
        <v>0</v>
      </c>
      <c r="S1961" s="150">
        <f t="shared" si="1624"/>
        <v>0</v>
      </c>
      <c r="T1961" s="150">
        <v>0</v>
      </c>
      <c r="U1961" s="150">
        <v>0</v>
      </c>
      <c r="V1961" s="199">
        <v>0</v>
      </c>
      <c r="W1961" s="150">
        <f t="shared" si="1633"/>
        <v>0</v>
      </c>
      <c r="X1961" s="150">
        <v>0</v>
      </c>
      <c r="Y1961" s="150">
        <v>0</v>
      </c>
      <c r="Z1961" s="150">
        <v>0</v>
      </c>
      <c r="AA1961" s="150">
        <f t="shared" si="1620"/>
        <v>0</v>
      </c>
      <c r="AB1961" s="150">
        <v>0</v>
      </c>
      <c r="AC1961" s="199">
        <v>0</v>
      </c>
      <c r="AD1961" s="150">
        <f t="shared" si="1634"/>
        <v>0</v>
      </c>
      <c r="AE1961" s="150">
        <v>0</v>
      </c>
      <c r="AF1961" s="169" t="s">
        <v>4680</v>
      </c>
      <c r="AG1961" s="201">
        <v>0</v>
      </c>
      <c r="AH1961" s="199">
        <v>0</v>
      </c>
      <c r="AI1961" s="150">
        <v>0</v>
      </c>
      <c r="AJ1961" s="169">
        <f t="shared" si="1621"/>
        <v>0</v>
      </c>
      <c r="AK1961" s="201">
        <v>0</v>
      </c>
      <c r="AL1961" s="199">
        <v>0</v>
      </c>
      <c r="AM1961" s="150">
        <f t="shared" si="1635"/>
        <v>0</v>
      </c>
      <c r="AN1961" s="153">
        <f t="shared" si="1622"/>
        <v>0</v>
      </c>
      <c r="AO1961" s="154">
        <f t="shared" si="1623"/>
        <v>0</v>
      </c>
      <c r="AP1961" s="150">
        <v>0</v>
      </c>
      <c r="AQ1961" s="201">
        <v>0</v>
      </c>
      <c r="AR1961" s="199">
        <v>0</v>
      </c>
      <c r="AS1961" s="150">
        <f t="shared" si="1636"/>
        <v>0</v>
      </c>
      <c r="AT1961" s="155"/>
      <c r="AU1961" s="156">
        <f t="shared" si="1618"/>
        <v>0</v>
      </c>
      <c r="AV1961" s="156">
        <f t="shared" si="1619"/>
        <v>0</v>
      </c>
      <c r="AW1961" s="157"/>
      <c r="AX1961" s="150">
        <v>0</v>
      </c>
      <c r="AY1961" s="150">
        <v>0</v>
      </c>
      <c r="AZ1961" s="150">
        <f t="shared" si="1637"/>
        <v>0</v>
      </c>
      <c r="BA1961" s="150">
        <v>0</v>
      </c>
      <c r="BB1961" s="210"/>
      <c r="BC1961" s="210"/>
      <c r="BD1961" s="210"/>
      <c r="BE1961" s="210"/>
      <c r="BF1961" s="210"/>
      <c r="BG1961" s="210"/>
      <c r="BH1961" s="217"/>
      <c r="BI1961" s="210"/>
      <c r="BJ1961" s="210"/>
      <c r="BK1961" s="210"/>
      <c r="BL1961" s="210"/>
      <c r="BM1961" s="208"/>
      <c r="BN1961" s="160"/>
      <c r="BO1961" s="161"/>
      <c r="BP1961" s="161"/>
    </row>
    <row r="1962" spans="1:68" ht="51">
      <c r="A1962" s="210"/>
      <c r="B1962" s="195" t="s">
        <v>9689</v>
      </c>
      <c r="C1962" s="196" t="s">
        <v>9690</v>
      </c>
      <c r="D1962" s="146" t="s">
        <v>4692</v>
      </c>
      <c r="E1962" s="196" t="s">
        <v>9690</v>
      </c>
      <c r="F1962" s="150">
        <v>0</v>
      </c>
      <c r="G1962" s="209">
        <v>6265.06</v>
      </c>
      <c r="H1962" s="209"/>
      <c r="I1962" s="209">
        <v>6265.06</v>
      </c>
      <c r="J1962" s="150">
        <v>0</v>
      </c>
      <c r="K1962" s="150">
        <v>0</v>
      </c>
      <c r="L1962" s="150">
        <f t="shared" si="1626"/>
        <v>0</v>
      </c>
      <c r="M1962" s="150">
        <v>0</v>
      </c>
      <c r="N1962" s="150">
        <v>0</v>
      </c>
      <c r="O1962" s="150">
        <v>0</v>
      </c>
      <c r="P1962" s="150">
        <v>0</v>
      </c>
      <c r="Q1962" s="150">
        <v>0</v>
      </c>
      <c r="R1962" s="313">
        <f t="shared" si="1632"/>
        <v>0</v>
      </c>
      <c r="S1962" s="150">
        <f t="shared" si="1624"/>
        <v>0</v>
      </c>
      <c r="T1962" s="150">
        <v>0</v>
      </c>
      <c r="U1962" s="150">
        <v>0</v>
      </c>
      <c r="V1962" s="199">
        <v>0</v>
      </c>
      <c r="W1962" s="150">
        <f t="shared" si="1633"/>
        <v>0</v>
      </c>
      <c r="X1962" s="150">
        <v>0</v>
      </c>
      <c r="Y1962" s="150">
        <v>0</v>
      </c>
      <c r="Z1962" s="150">
        <v>0</v>
      </c>
      <c r="AA1962" s="150">
        <f t="shared" si="1620"/>
        <v>0</v>
      </c>
      <c r="AB1962" s="150">
        <v>0</v>
      </c>
      <c r="AC1962" s="199">
        <v>0</v>
      </c>
      <c r="AD1962" s="150">
        <f t="shared" si="1634"/>
        <v>0</v>
      </c>
      <c r="AE1962" s="150">
        <v>0</v>
      </c>
      <c r="AF1962" s="169" t="s">
        <v>4680</v>
      </c>
      <c r="AG1962" s="201">
        <v>0</v>
      </c>
      <c r="AH1962" s="199">
        <v>0</v>
      </c>
      <c r="AI1962" s="150">
        <v>0</v>
      </c>
      <c r="AJ1962" s="169">
        <f t="shared" si="1621"/>
        <v>0</v>
      </c>
      <c r="AK1962" s="201">
        <v>0</v>
      </c>
      <c r="AL1962" s="199">
        <v>0</v>
      </c>
      <c r="AM1962" s="150">
        <f t="shared" si="1635"/>
        <v>0</v>
      </c>
      <c r="AN1962" s="153">
        <f t="shared" si="1622"/>
        <v>0</v>
      </c>
      <c r="AO1962" s="154">
        <f t="shared" si="1623"/>
        <v>0</v>
      </c>
      <c r="AP1962" s="150">
        <v>0</v>
      </c>
      <c r="AQ1962" s="201">
        <v>0</v>
      </c>
      <c r="AR1962" s="199">
        <v>0</v>
      </c>
      <c r="AS1962" s="150">
        <f t="shared" si="1636"/>
        <v>0</v>
      </c>
      <c r="AT1962" s="155"/>
      <c r="AU1962" s="156">
        <f t="shared" si="1618"/>
        <v>0</v>
      </c>
      <c r="AV1962" s="156">
        <f t="shared" si="1619"/>
        <v>0</v>
      </c>
      <c r="AW1962" s="157"/>
      <c r="AX1962" s="150">
        <v>0</v>
      </c>
      <c r="AY1962" s="150">
        <v>0</v>
      </c>
      <c r="AZ1962" s="150">
        <f t="shared" si="1637"/>
        <v>0</v>
      </c>
      <c r="BA1962" s="150">
        <v>0</v>
      </c>
      <c r="BB1962" s="210"/>
      <c r="BC1962" s="210"/>
      <c r="BD1962" s="210"/>
      <c r="BE1962" s="210"/>
      <c r="BF1962" s="210"/>
      <c r="BG1962" s="210"/>
      <c r="BH1962" s="217"/>
      <c r="BI1962" s="210"/>
      <c r="BJ1962" s="210"/>
      <c r="BK1962" s="210"/>
      <c r="BL1962" s="210"/>
      <c r="BM1962" s="208"/>
      <c r="BN1962" s="160"/>
      <c r="BO1962" s="161"/>
      <c r="BP1962" s="161"/>
    </row>
    <row r="1963" spans="1:68" ht="38.25">
      <c r="A1963" s="210"/>
      <c r="B1963" s="195" t="s">
        <v>9691</v>
      </c>
      <c r="C1963" s="196" t="s">
        <v>9692</v>
      </c>
      <c r="D1963" s="146" t="s">
        <v>4692</v>
      </c>
      <c r="E1963" s="196" t="s">
        <v>9692</v>
      </c>
      <c r="F1963" s="150">
        <v>6265.06</v>
      </c>
      <c r="G1963" s="209">
        <v>0</v>
      </c>
      <c r="H1963" s="209"/>
      <c r="I1963" s="209">
        <v>0</v>
      </c>
      <c r="J1963" s="150">
        <v>0</v>
      </c>
      <c r="K1963" s="150">
        <v>0</v>
      </c>
      <c r="L1963" s="150">
        <f t="shared" si="1626"/>
        <v>0</v>
      </c>
      <c r="M1963" s="150">
        <v>0</v>
      </c>
      <c r="N1963" s="150">
        <v>0</v>
      </c>
      <c r="O1963" s="150">
        <v>0</v>
      </c>
      <c r="P1963" s="150">
        <v>0</v>
      </c>
      <c r="Q1963" s="150">
        <v>0</v>
      </c>
      <c r="R1963" s="313">
        <f t="shared" si="1632"/>
        <v>0</v>
      </c>
      <c r="S1963" s="150">
        <f t="shared" si="1624"/>
        <v>0</v>
      </c>
      <c r="T1963" s="150">
        <v>0</v>
      </c>
      <c r="U1963" s="150">
        <v>0</v>
      </c>
      <c r="V1963" s="199">
        <v>0</v>
      </c>
      <c r="W1963" s="150">
        <f t="shared" si="1633"/>
        <v>0</v>
      </c>
      <c r="X1963" s="150">
        <v>0</v>
      </c>
      <c r="Y1963" s="150">
        <v>0</v>
      </c>
      <c r="Z1963" s="150">
        <v>0</v>
      </c>
      <c r="AA1963" s="150">
        <f t="shared" si="1620"/>
        <v>0</v>
      </c>
      <c r="AB1963" s="150">
        <v>0</v>
      </c>
      <c r="AC1963" s="199">
        <v>0</v>
      </c>
      <c r="AD1963" s="150">
        <f t="shared" si="1634"/>
        <v>0</v>
      </c>
      <c r="AE1963" s="150">
        <v>0</v>
      </c>
      <c r="AF1963" s="169" t="s">
        <v>4680</v>
      </c>
      <c r="AG1963" s="201">
        <v>0</v>
      </c>
      <c r="AH1963" s="199">
        <v>0</v>
      </c>
      <c r="AI1963" s="150">
        <v>0</v>
      </c>
      <c r="AJ1963" s="169">
        <f t="shared" si="1621"/>
        <v>0</v>
      </c>
      <c r="AK1963" s="201">
        <v>0</v>
      </c>
      <c r="AL1963" s="199">
        <v>0</v>
      </c>
      <c r="AM1963" s="150">
        <f t="shared" si="1635"/>
        <v>0</v>
      </c>
      <c r="AN1963" s="153">
        <f t="shared" si="1622"/>
        <v>0</v>
      </c>
      <c r="AO1963" s="154">
        <f t="shared" si="1623"/>
        <v>0</v>
      </c>
      <c r="AP1963" s="150">
        <v>0</v>
      </c>
      <c r="AQ1963" s="201">
        <v>0</v>
      </c>
      <c r="AR1963" s="199">
        <v>0</v>
      </c>
      <c r="AS1963" s="150">
        <f t="shared" si="1636"/>
        <v>0</v>
      </c>
      <c r="AT1963" s="155"/>
      <c r="AU1963" s="156">
        <f t="shared" si="1618"/>
        <v>0</v>
      </c>
      <c r="AV1963" s="156">
        <f t="shared" si="1619"/>
        <v>0</v>
      </c>
      <c r="AW1963" s="157"/>
      <c r="AX1963" s="150">
        <v>0</v>
      </c>
      <c r="AY1963" s="150">
        <v>0</v>
      </c>
      <c r="AZ1963" s="150">
        <f t="shared" si="1637"/>
        <v>0</v>
      </c>
      <c r="BA1963" s="150">
        <v>0</v>
      </c>
      <c r="BB1963" s="210"/>
      <c r="BC1963" s="210"/>
      <c r="BD1963" s="210"/>
      <c r="BE1963" s="210"/>
      <c r="BF1963" s="210"/>
      <c r="BG1963" s="210"/>
      <c r="BH1963" s="217"/>
      <c r="BI1963" s="210"/>
      <c r="BJ1963" s="210"/>
      <c r="BK1963" s="210"/>
      <c r="BL1963" s="210"/>
      <c r="BM1963" s="208"/>
      <c r="BN1963" s="160"/>
      <c r="BO1963" s="161"/>
      <c r="BP1963" s="161"/>
    </row>
    <row r="1964" spans="1:68" ht="51">
      <c r="A1964" s="210"/>
      <c r="B1964" s="195" t="s">
        <v>9693</v>
      </c>
      <c r="C1964" s="196" t="s">
        <v>9694</v>
      </c>
      <c r="D1964" s="146" t="s">
        <v>4692</v>
      </c>
      <c r="E1964" s="196" t="s">
        <v>9694</v>
      </c>
      <c r="F1964" s="150">
        <v>0</v>
      </c>
      <c r="G1964" s="209">
        <v>0</v>
      </c>
      <c r="H1964" s="209"/>
      <c r="I1964" s="209">
        <v>0</v>
      </c>
      <c r="J1964" s="150">
        <v>0</v>
      </c>
      <c r="K1964" s="150">
        <v>0</v>
      </c>
      <c r="L1964" s="150">
        <f t="shared" si="1626"/>
        <v>0</v>
      </c>
      <c r="M1964" s="150">
        <v>0</v>
      </c>
      <c r="N1964" s="150">
        <v>0</v>
      </c>
      <c r="O1964" s="150">
        <v>0</v>
      </c>
      <c r="P1964" s="150">
        <v>0</v>
      </c>
      <c r="Q1964" s="150">
        <v>0</v>
      </c>
      <c r="R1964" s="313">
        <f t="shared" si="1632"/>
        <v>0</v>
      </c>
      <c r="S1964" s="150">
        <f t="shared" si="1624"/>
        <v>0</v>
      </c>
      <c r="T1964" s="150">
        <v>0</v>
      </c>
      <c r="U1964" s="150">
        <v>0</v>
      </c>
      <c r="V1964" s="199">
        <v>0</v>
      </c>
      <c r="W1964" s="150">
        <f t="shared" si="1633"/>
        <v>0</v>
      </c>
      <c r="X1964" s="150">
        <v>0</v>
      </c>
      <c r="Y1964" s="150">
        <v>0</v>
      </c>
      <c r="Z1964" s="150">
        <v>0</v>
      </c>
      <c r="AA1964" s="150">
        <f t="shared" si="1620"/>
        <v>0</v>
      </c>
      <c r="AB1964" s="150">
        <v>0</v>
      </c>
      <c r="AC1964" s="199">
        <v>0</v>
      </c>
      <c r="AD1964" s="150">
        <f t="shared" si="1634"/>
        <v>0</v>
      </c>
      <c r="AE1964" s="150">
        <v>0</v>
      </c>
      <c r="AF1964" s="169" t="s">
        <v>4680</v>
      </c>
      <c r="AG1964" s="201">
        <v>0</v>
      </c>
      <c r="AH1964" s="199">
        <v>0</v>
      </c>
      <c r="AI1964" s="150">
        <v>0</v>
      </c>
      <c r="AJ1964" s="169">
        <f t="shared" si="1621"/>
        <v>0</v>
      </c>
      <c r="AK1964" s="201">
        <v>0</v>
      </c>
      <c r="AL1964" s="199">
        <v>0</v>
      </c>
      <c r="AM1964" s="150">
        <f t="shared" si="1635"/>
        <v>0</v>
      </c>
      <c r="AN1964" s="153">
        <f t="shared" si="1622"/>
        <v>0</v>
      </c>
      <c r="AO1964" s="154">
        <f t="shared" si="1623"/>
        <v>0</v>
      </c>
      <c r="AP1964" s="150">
        <v>0</v>
      </c>
      <c r="AQ1964" s="201">
        <v>0</v>
      </c>
      <c r="AR1964" s="199">
        <v>0</v>
      </c>
      <c r="AS1964" s="150">
        <f t="shared" si="1636"/>
        <v>0</v>
      </c>
      <c r="AT1964" s="155"/>
      <c r="AU1964" s="156">
        <f t="shared" si="1618"/>
        <v>0</v>
      </c>
      <c r="AV1964" s="156">
        <f t="shared" si="1619"/>
        <v>0</v>
      </c>
      <c r="AW1964" s="157"/>
      <c r="AX1964" s="150">
        <v>0</v>
      </c>
      <c r="AY1964" s="150">
        <v>0</v>
      </c>
      <c r="AZ1964" s="150">
        <f t="shared" si="1637"/>
        <v>0</v>
      </c>
      <c r="BA1964" s="150">
        <v>0</v>
      </c>
      <c r="BB1964" s="210"/>
      <c r="BC1964" s="210"/>
      <c r="BD1964" s="210"/>
      <c r="BE1964" s="210"/>
      <c r="BF1964" s="210"/>
      <c r="BG1964" s="210"/>
      <c r="BH1964" s="217"/>
      <c r="BI1964" s="210"/>
      <c r="BJ1964" s="210"/>
      <c r="BK1964" s="210"/>
      <c r="BL1964" s="210"/>
      <c r="BM1964" s="208"/>
      <c r="BN1964" s="160"/>
      <c r="BO1964" s="161"/>
      <c r="BP1964" s="161"/>
    </row>
    <row r="1965" spans="1:68" ht="38.25">
      <c r="A1965" s="210"/>
      <c r="B1965" s="195" t="s">
        <v>9695</v>
      </c>
      <c r="C1965" s="196" t="s">
        <v>9696</v>
      </c>
      <c r="D1965" s="146" t="s">
        <v>4692</v>
      </c>
      <c r="E1965" s="196" t="s">
        <v>9696</v>
      </c>
      <c r="F1965" s="150">
        <v>0</v>
      </c>
      <c r="G1965" s="209">
        <v>0</v>
      </c>
      <c r="H1965" s="209"/>
      <c r="I1965" s="209">
        <v>0</v>
      </c>
      <c r="J1965" s="150">
        <v>0</v>
      </c>
      <c r="K1965" s="150">
        <v>0</v>
      </c>
      <c r="L1965" s="150">
        <f t="shared" si="1626"/>
        <v>0</v>
      </c>
      <c r="M1965" s="150">
        <v>0</v>
      </c>
      <c r="N1965" s="150">
        <v>0</v>
      </c>
      <c r="O1965" s="150">
        <v>0</v>
      </c>
      <c r="P1965" s="150">
        <v>0</v>
      </c>
      <c r="Q1965" s="150">
        <v>0</v>
      </c>
      <c r="R1965" s="313">
        <f t="shared" si="1632"/>
        <v>0</v>
      </c>
      <c r="S1965" s="150">
        <f t="shared" si="1624"/>
        <v>0</v>
      </c>
      <c r="T1965" s="150">
        <v>0</v>
      </c>
      <c r="U1965" s="150">
        <v>0</v>
      </c>
      <c r="V1965" s="199">
        <v>0</v>
      </c>
      <c r="W1965" s="150">
        <f t="shared" si="1633"/>
        <v>0</v>
      </c>
      <c r="X1965" s="150">
        <v>0</v>
      </c>
      <c r="Y1965" s="150">
        <v>0</v>
      </c>
      <c r="Z1965" s="150">
        <v>0</v>
      </c>
      <c r="AA1965" s="150">
        <f t="shared" si="1620"/>
        <v>0</v>
      </c>
      <c r="AB1965" s="150">
        <v>0</v>
      </c>
      <c r="AC1965" s="199">
        <v>0</v>
      </c>
      <c r="AD1965" s="150">
        <f t="shared" si="1634"/>
        <v>0</v>
      </c>
      <c r="AE1965" s="150">
        <v>0</v>
      </c>
      <c r="AF1965" s="169" t="s">
        <v>4680</v>
      </c>
      <c r="AG1965" s="201">
        <v>0</v>
      </c>
      <c r="AH1965" s="199">
        <v>0</v>
      </c>
      <c r="AI1965" s="150">
        <v>0</v>
      </c>
      <c r="AJ1965" s="169">
        <f t="shared" si="1621"/>
        <v>0</v>
      </c>
      <c r="AK1965" s="201">
        <v>0</v>
      </c>
      <c r="AL1965" s="199">
        <v>0</v>
      </c>
      <c r="AM1965" s="150">
        <f t="shared" si="1635"/>
        <v>0</v>
      </c>
      <c r="AN1965" s="153">
        <f t="shared" si="1622"/>
        <v>0</v>
      </c>
      <c r="AO1965" s="154">
        <f t="shared" si="1623"/>
        <v>0</v>
      </c>
      <c r="AP1965" s="150">
        <v>0</v>
      </c>
      <c r="AQ1965" s="201">
        <v>0</v>
      </c>
      <c r="AR1965" s="199">
        <v>0</v>
      </c>
      <c r="AS1965" s="150">
        <f t="shared" si="1636"/>
        <v>0</v>
      </c>
      <c r="AT1965" s="155"/>
      <c r="AU1965" s="156">
        <f t="shared" si="1618"/>
        <v>0</v>
      </c>
      <c r="AV1965" s="156">
        <f t="shared" si="1619"/>
        <v>0</v>
      </c>
      <c r="AW1965" s="157"/>
      <c r="AX1965" s="150">
        <v>0</v>
      </c>
      <c r="AY1965" s="150">
        <v>0</v>
      </c>
      <c r="AZ1965" s="150">
        <f t="shared" si="1637"/>
        <v>0</v>
      </c>
      <c r="BA1965" s="150">
        <v>0</v>
      </c>
      <c r="BB1965" s="210"/>
      <c r="BC1965" s="210"/>
      <c r="BD1965" s="210"/>
      <c r="BE1965" s="210"/>
      <c r="BF1965" s="210"/>
      <c r="BG1965" s="210"/>
      <c r="BH1965" s="217"/>
      <c r="BI1965" s="210"/>
      <c r="BJ1965" s="210"/>
      <c r="BK1965" s="210"/>
      <c r="BL1965" s="210"/>
      <c r="BM1965" s="208"/>
      <c r="BN1965" s="160"/>
      <c r="BO1965" s="161"/>
      <c r="BP1965" s="161"/>
    </row>
    <row r="1966" spans="1:68" ht="51">
      <c r="A1966" s="210"/>
      <c r="B1966" s="195" t="s">
        <v>9697</v>
      </c>
      <c r="C1966" s="196" t="s">
        <v>9698</v>
      </c>
      <c r="D1966" s="146" t="s">
        <v>4692</v>
      </c>
      <c r="E1966" s="196" t="s">
        <v>9698</v>
      </c>
      <c r="F1966" s="150">
        <v>0</v>
      </c>
      <c r="G1966" s="209">
        <v>0</v>
      </c>
      <c r="H1966" s="209"/>
      <c r="I1966" s="209">
        <v>0</v>
      </c>
      <c r="J1966" s="150">
        <v>0</v>
      </c>
      <c r="K1966" s="150">
        <v>0</v>
      </c>
      <c r="L1966" s="150">
        <f t="shared" si="1626"/>
        <v>0</v>
      </c>
      <c r="M1966" s="150">
        <v>0</v>
      </c>
      <c r="N1966" s="150">
        <v>0</v>
      </c>
      <c r="O1966" s="150">
        <v>0</v>
      </c>
      <c r="P1966" s="150">
        <v>0</v>
      </c>
      <c r="Q1966" s="150">
        <v>0</v>
      </c>
      <c r="R1966" s="313">
        <f t="shared" si="1632"/>
        <v>0</v>
      </c>
      <c r="S1966" s="150">
        <f t="shared" si="1624"/>
        <v>0</v>
      </c>
      <c r="T1966" s="150">
        <v>0</v>
      </c>
      <c r="U1966" s="150">
        <v>0</v>
      </c>
      <c r="V1966" s="199">
        <v>0</v>
      </c>
      <c r="W1966" s="150">
        <f t="shared" si="1633"/>
        <v>0</v>
      </c>
      <c r="X1966" s="150">
        <v>0</v>
      </c>
      <c r="Y1966" s="150">
        <v>0</v>
      </c>
      <c r="Z1966" s="150">
        <v>0</v>
      </c>
      <c r="AA1966" s="150">
        <f t="shared" si="1620"/>
        <v>0</v>
      </c>
      <c r="AB1966" s="150">
        <v>0</v>
      </c>
      <c r="AC1966" s="199">
        <v>0</v>
      </c>
      <c r="AD1966" s="150">
        <f t="shared" si="1634"/>
        <v>0</v>
      </c>
      <c r="AE1966" s="150">
        <v>0</v>
      </c>
      <c r="AF1966" s="169" t="s">
        <v>4680</v>
      </c>
      <c r="AG1966" s="201">
        <v>0</v>
      </c>
      <c r="AH1966" s="199">
        <v>0</v>
      </c>
      <c r="AI1966" s="150">
        <v>0</v>
      </c>
      <c r="AJ1966" s="169">
        <f t="shared" si="1621"/>
        <v>0</v>
      </c>
      <c r="AK1966" s="201">
        <v>0</v>
      </c>
      <c r="AL1966" s="199">
        <v>0</v>
      </c>
      <c r="AM1966" s="150">
        <f t="shared" si="1635"/>
        <v>0</v>
      </c>
      <c r="AN1966" s="153">
        <f t="shared" si="1622"/>
        <v>0</v>
      </c>
      <c r="AO1966" s="154">
        <f t="shared" si="1623"/>
        <v>0</v>
      </c>
      <c r="AP1966" s="150">
        <v>0</v>
      </c>
      <c r="AQ1966" s="201">
        <v>0</v>
      </c>
      <c r="AR1966" s="199">
        <v>0</v>
      </c>
      <c r="AS1966" s="150">
        <f t="shared" si="1636"/>
        <v>0</v>
      </c>
      <c r="AT1966" s="155"/>
      <c r="AU1966" s="156">
        <f t="shared" si="1618"/>
        <v>0</v>
      </c>
      <c r="AV1966" s="156">
        <f t="shared" si="1619"/>
        <v>0</v>
      </c>
      <c r="AW1966" s="157"/>
      <c r="AX1966" s="150">
        <v>0</v>
      </c>
      <c r="AY1966" s="150">
        <v>0</v>
      </c>
      <c r="AZ1966" s="150">
        <f t="shared" si="1637"/>
        <v>0</v>
      </c>
      <c r="BA1966" s="150">
        <v>0</v>
      </c>
      <c r="BB1966" s="210"/>
      <c r="BC1966" s="210"/>
      <c r="BD1966" s="210"/>
      <c r="BE1966" s="210"/>
      <c r="BF1966" s="210"/>
      <c r="BG1966" s="210"/>
      <c r="BH1966" s="217"/>
      <c r="BI1966" s="210"/>
      <c r="BJ1966" s="210"/>
      <c r="BK1966" s="210"/>
      <c r="BL1966" s="210"/>
      <c r="BM1966" s="208"/>
      <c r="BN1966" s="160"/>
      <c r="BO1966" s="161"/>
      <c r="BP1966" s="161"/>
    </row>
    <row r="1967" spans="1:68" ht="51">
      <c r="A1967" s="210"/>
      <c r="B1967" s="195" t="s">
        <v>9699</v>
      </c>
      <c r="C1967" s="196" t="s">
        <v>9700</v>
      </c>
      <c r="D1967" s="146" t="s">
        <v>4692</v>
      </c>
      <c r="E1967" s="196" t="s">
        <v>9700</v>
      </c>
      <c r="F1967" s="150">
        <v>0</v>
      </c>
      <c r="G1967" s="209">
        <v>0</v>
      </c>
      <c r="H1967" s="209"/>
      <c r="I1967" s="209">
        <v>0</v>
      </c>
      <c r="J1967" s="150">
        <v>0</v>
      </c>
      <c r="K1967" s="150">
        <v>0</v>
      </c>
      <c r="L1967" s="150">
        <f t="shared" si="1626"/>
        <v>0</v>
      </c>
      <c r="M1967" s="150">
        <v>0</v>
      </c>
      <c r="N1967" s="150">
        <v>0</v>
      </c>
      <c r="O1967" s="150">
        <v>0</v>
      </c>
      <c r="P1967" s="150">
        <v>0</v>
      </c>
      <c r="Q1967" s="150">
        <v>0</v>
      </c>
      <c r="R1967" s="313">
        <f t="shared" si="1632"/>
        <v>0</v>
      </c>
      <c r="S1967" s="150">
        <f t="shared" si="1624"/>
        <v>0</v>
      </c>
      <c r="T1967" s="150">
        <v>0</v>
      </c>
      <c r="U1967" s="150">
        <v>0</v>
      </c>
      <c r="V1967" s="199">
        <v>0</v>
      </c>
      <c r="W1967" s="150">
        <f t="shared" si="1633"/>
        <v>0</v>
      </c>
      <c r="X1967" s="150">
        <v>0</v>
      </c>
      <c r="Y1967" s="150">
        <v>0</v>
      </c>
      <c r="Z1967" s="150">
        <v>0</v>
      </c>
      <c r="AA1967" s="150">
        <f t="shared" si="1620"/>
        <v>0</v>
      </c>
      <c r="AB1967" s="150">
        <v>0</v>
      </c>
      <c r="AC1967" s="199">
        <v>0</v>
      </c>
      <c r="AD1967" s="150">
        <f t="shared" si="1634"/>
        <v>0</v>
      </c>
      <c r="AE1967" s="150">
        <v>0</v>
      </c>
      <c r="AF1967" s="169" t="s">
        <v>4680</v>
      </c>
      <c r="AG1967" s="201">
        <v>0</v>
      </c>
      <c r="AH1967" s="199">
        <v>0</v>
      </c>
      <c r="AI1967" s="150">
        <v>0</v>
      </c>
      <c r="AJ1967" s="169">
        <f t="shared" si="1621"/>
        <v>0</v>
      </c>
      <c r="AK1967" s="201">
        <v>0</v>
      </c>
      <c r="AL1967" s="199">
        <v>0</v>
      </c>
      <c r="AM1967" s="150">
        <f t="shared" si="1635"/>
        <v>0</v>
      </c>
      <c r="AN1967" s="153">
        <f t="shared" si="1622"/>
        <v>0</v>
      </c>
      <c r="AO1967" s="154">
        <f t="shared" si="1623"/>
        <v>0</v>
      </c>
      <c r="AP1967" s="150">
        <v>0</v>
      </c>
      <c r="AQ1967" s="201">
        <v>0</v>
      </c>
      <c r="AR1967" s="199">
        <v>0</v>
      </c>
      <c r="AS1967" s="150">
        <f t="shared" si="1636"/>
        <v>0</v>
      </c>
      <c r="AT1967" s="155"/>
      <c r="AU1967" s="156">
        <f t="shared" si="1618"/>
        <v>0</v>
      </c>
      <c r="AV1967" s="156">
        <f t="shared" si="1619"/>
        <v>0</v>
      </c>
      <c r="AW1967" s="157"/>
      <c r="AX1967" s="150">
        <v>0</v>
      </c>
      <c r="AY1967" s="150">
        <v>0</v>
      </c>
      <c r="AZ1967" s="150">
        <f t="shared" si="1637"/>
        <v>0</v>
      </c>
      <c r="BA1967" s="150">
        <v>0</v>
      </c>
      <c r="BB1967" s="210"/>
      <c r="BC1967" s="210"/>
      <c r="BD1967" s="210"/>
      <c r="BE1967" s="210"/>
      <c r="BF1967" s="210"/>
      <c r="BG1967" s="210"/>
      <c r="BH1967" s="217"/>
      <c r="BI1967" s="210"/>
      <c r="BJ1967" s="210"/>
      <c r="BK1967" s="210"/>
      <c r="BL1967" s="210"/>
      <c r="BM1967" s="208"/>
      <c r="BN1967" s="160"/>
      <c r="BO1967" s="161"/>
      <c r="BP1967" s="161"/>
    </row>
    <row r="1968" spans="1:68" ht="51">
      <c r="A1968" s="210"/>
      <c r="B1968" s="195" t="s">
        <v>9701</v>
      </c>
      <c r="C1968" s="196" t="s">
        <v>9702</v>
      </c>
      <c r="D1968" s="146" t="s">
        <v>4692</v>
      </c>
      <c r="E1968" s="196" t="s">
        <v>9702</v>
      </c>
      <c r="F1968" s="150">
        <v>0</v>
      </c>
      <c r="G1968" s="209">
        <v>0</v>
      </c>
      <c r="H1968" s="209"/>
      <c r="I1968" s="209">
        <v>0</v>
      </c>
      <c r="J1968" s="150">
        <v>0</v>
      </c>
      <c r="K1968" s="150">
        <v>0</v>
      </c>
      <c r="L1968" s="150">
        <f t="shared" si="1626"/>
        <v>0</v>
      </c>
      <c r="M1968" s="150">
        <v>0</v>
      </c>
      <c r="N1968" s="150">
        <v>0</v>
      </c>
      <c r="O1968" s="150">
        <v>0</v>
      </c>
      <c r="P1968" s="150">
        <v>0</v>
      </c>
      <c r="Q1968" s="150">
        <v>0</v>
      </c>
      <c r="R1968" s="313">
        <f t="shared" si="1632"/>
        <v>0</v>
      </c>
      <c r="S1968" s="150">
        <f t="shared" si="1624"/>
        <v>0</v>
      </c>
      <c r="T1968" s="150">
        <v>0</v>
      </c>
      <c r="U1968" s="150">
        <v>0</v>
      </c>
      <c r="V1968" s="199">
        <v>0</v>
      </c>
      <c r="W1968" s="150">
        <f t="shared" si="1633"/>
        <v>0</v>
      </c>
      <c r="X1968" s="150">
        <v>0</v>
      </c>
      <c r="Y1968" s="150">
        <v>0</v>
      </c>
      <c r="Z1968" s="150">
        <v>0</v>
      </c>
      <c r="AA1968" s="150">
        <f t="shared" si="1620"/>
        <v>0</v>
      </c>
      <c r="AB1968" s="150">
        <v>0</v>
      </c>
      <c r="AC1968" s="199">
        <v>0</v>
      </c>
      <c r="AD1968" s="150">
        <f t="shared" si="1634"/>
        <v>0</v>
      </c>
      <c r="AE1968" s="150">
        <v>0</v>
      </c>
      <c r="AF1968" s="169" t="s">
        <v>4680</v>
      </c>
      <c r="AG1968" s="201">
        <v>0</v>
      </c>
      <c r="AH1968" s="199">
        <v>0</v>
      </c>
      <c r="AI1968" s="150">
        <v>0</v>
      </c>
      <c r="AJ1968" s="169">
        <f t="shared" si="1621"/>
        <v>0</v>
      </c>
      <c r="AK1968" s="201">
        <v>0</v>
      </c>
      <c r="AL1968" s="199">
        <v>0</v>
      </c>
      <c r="AM1968" s="150">
        <f t="shared" si="1635"/>
        <v>0</v>
      </c>
      <c r="AN1968" s="153">
        <f t="shared" si="1622"/>
        <v>0</v>
      </c>
      <c r="AO1968" s="154">
        <f t="shared" si="1623"/>
        <v>0</v>
      </c>
      <c r="AP1968" s="150">
        <v>0</v>
      </c>
      <c r="AQ1968" s="201">
        <v>0</v>
      </c>
      <c r="AR1968" s="199">
        <v>0</v>
      </c>
      <c r="AS1968" s="150">
        <f t="shared" si="1636"/>
        <v>0</v>
      </c>
      <c r="AT1968" s="155"/>
      <c r="AU1968" s="156">
        <f t="shared" si="1618"/>
        <v>0</v>
      </c>
      <c r="AV1968" s="156">
        <f t="shared" si="1619"/>
        <v>0</v>
      </c>
      <c r="AW1968" s="157"/>
      <c r="AX1968" s="150">
        <v>0</v>
      </c>
      <c r="AY1968" s="150">
        <v>0</v>
      </c>
      <c r="AZ1968" s="150">
        <f t="shared" si="1637"/>
        <v>0</v>
      </c>
      <c r="BA1968" s="150">
        <v>0</v>
      </c>
      <c r="BB1968" s="210"/>
      <c r="BC1968" s="210"/>
      <c r="BD1968" s="210"/>
      <c r="BE1968" s="210"/>
      <c r="BF1968" s="210"/>
      <c r="BG1968" s="210"/>
      <c r="BH1968" s="217"/>
      <c r="BI1968" s="210"/>
      <c r="BJ1968" s="210"/>
      <c r="BK1968" s="210"/>
      <c r="BL1968" s="210"/>
      <c r="BM1968" s="208"/>
      <c r="BN1968" s="160"/>
      <c r="BO1968" s="161"/>
      <c r="BP1968" s="161"/>
    </row>
    <row r="1969" spans="1:68" ht="63.75">
      <c r="A1969" s="210"/>
      <c r="B1969" s="195" t="s">
        <v>9703</v>
      </c>
      <c r="C1969" s="196" t="s">
        <v>9704</v>
      </c>
      <c r="D1969" s="146" t="s">
        <v>4692</v>
      </c>
      <c r="E1969" s="196" t="s">
        <v>9704</v>
      </c>
      <c r="F1969" s="150">
        <v>0</v>
      </c>
      <c r="G1969" s="209">
        <v>0</v>
      </c>
      <c r="H1969" s="209"/>
      <c r="I1969" s="209">
        <v>0</v>
      </c>
      <c r="J1969" s="150">
        <v>0</v>
      </c>
      <c r="K1969" s="150">
        <v>0</v>
      </c>
      <c r="L1969" s="150">
        <f t="shared" si="1626"/>
        <v>0</v>
      </c>
      <c r="M1969" s="150">
        <v>0</v>
      </c>
      <c r="N1969" s="150">
        <v>0</v>
      </c>
      <c r="O1969" s="150">
        <v>0</v>
      </c>
      <c r="P1969" s="150">
        <v>0</v>
      </c>
      <c r="Q1969" s="150">
        <v>0</v>
      </c>
      <c r="R1969" s="313">
        <f t="shared" si="1632"/>
        <v>0</v>
      </c>
      <c r="S1969" s="150">
        <f t="shared" si="1624"/>
        <v>0</v>
      </c>
      <c r="T1969" s="150">
        <v>0</v>
      </c>
      <c r="U1969" s="150">
        <v>0</v>
      </c>
      <c r="V1969" s="199">
        <v>0</v>
      </c>
      <c r="W1969" s="150">
        <f t="shared" si="1633"/>
        <v>0</v>
      </c>
      <c r="X1969" s="150">
        <v>0</v>
      </c>
      <c r="Y1969" s="150">
        <v>0</v>
      </c>
      <c r="Z1969" s="150">
        <v>0</v>
      </c>
      <c r="AA1969" s="150">
        <f t="shared" si="1620"/>
        <v>0</v>
      </c>
      <c r="AB1969" s="150">
        <v>0</v>
      </c>
      <c r="AC1969" s="199">
        <v>0</v>
      </c>
      <c r="AD1969" s="150">
        <f t="shared" si="1634"/>
        <v>0</v>
      </c>
      <c r="AE1969" s="150">
        <v>0</v>
      </c>
      <c r="AF1969" s="169" t="s">
        <v>4680</v>
      </c>
      <c r="AG1969" s="201">
        <v>0</v>
      </c>
      <c r="AH1969" s="199">
        <v>0</v>
      </c>
      <c r="AI1969" s="150">
        <v>0</v>
      </c>
      <c r="AJ1969" s="169">
        <f t="shared" si="1621"/>
        <v>0</v>
      </c>
      <c r="AK1969" s="201">
        <v>0</v>
      </c>
      <c r="AL1969" s="199">
        <v>0</v>
      </c>
      <c r="AM1969" s="150">
        <f t="shared" si="1635"/>
        <v>0</v>
      </c>
      <c r="AN1969" s="153">
        <f t="shared" si="1622"/>
        <v>0</v>
      </c>
      <c r="AO1969" s="154">
        <f t="shared" si="1623"/>
        <v>0</v>
      </c>
      <c r="AP1969" s="150">
        <v>0</v>
      </c>
      <c r="AQ1969" s="201">
        <v>0</v>
      </c>
      <c r="AR1969" s="199">
        <v>0</v>
      </c>
      <c r="AS1969" s="150">
        <f t="shared" si="1636"/>
        <v>0</v>
      </c>
      <c r="AT1969" s="155"/>
      <c r="AU1969" s="156">
        <f t="shared" si="1618"/>
        <v>0</v>
      </c>
      <c r="AV1969" s="156">
        <f t="shared" si="1619"/>
        <v>0</v>
      </c>
      <c r="AW1969" s="157"/>
      <c r="AX1969" s="150">
        <v>0</v>
      </c>
      <c r="AY1969" s="150">
        <v>0</v>
      </c>
      <c r="AZ1969" s="150">
        <f t="shared" si="1637"/>
        <v>0</v>
      </c>
      <c r="BA1969" s="150">
        <v>0</v>
      </c>
      <c r="BB1969" s="210"/>
      <c r="BC1969" s="210"/>
      <c r="BD1969" s="210"/>
      <c r="BE1969" s="210"/>
      <c r="BF1969" s="210"/>
      <c r="BG1969" s="210"/>
      <c r="BH1969" s="217"/>
      <c r="BI1969" s="210"/>
      <c r="BJ1969" s="210"/>
      <c r="BK1969" s="210"/>
      <c r="BL1969" s="210"/>
      <c r="BM1969" s="208"/>
      <c r="BN1969" s="160"/>
      <c r="BO1969" s="161"/>
      <c r="BP1969" s="161"/>
    </row>
    <row r="1970" spans="1:68" ht="51">
      <c r="A1970" s="210"/>
      <c r="B1970" s="195" t="s">
        <v>9705</v>
      </c>
      <c r="C1970" s="196" t="s">
        <v>9706</v>
      </c>
      <c r="D1970" s="146" t="s">
        <v>4692</v>
      </c>
      <c r="E1970" s="196" t="s">
        <v>9706</v>
      </c>
      <c r="F1970" s="150">
        <v>0</v>
      </c>
      <c r="G1970" s="209">
        <v>0</v>
      </c>
      <c r="H1970" s="209"/>
      <c r="I1970" s="209">
        <v>0</v>
      </c>
      <c r="J1970" s="150">
        <v>0</v>
      </c>
      <c r="K1970" s="150">
        <v>3529.29</v>
      </c>
      <c r="L1970" s="150">
        <f t="shared" si="1626"/>
        <v>3529.29</v>
      </c>
      <c r="M1970" s="150">
        <v>0</v>
      </c>
      <c r="N1970" s="150">
        <v>17466.37311862245</v>
      </c>
      <c r="O1970" s="150">
        <v>17466.37311862245</v>
      </c>
      <c r="P1970" s="150">
        <v>0</v>
      </c>
      <c r="Q1970" s="150">
        <v>25468.6358183509</v>
      </c>
      <c r="R1970" s="313">
        <f t="shared" si="1632"/>
        <v>25468.6358183509</v>
      </c>
      <c r="S1970" s="150">
        <f t="shared" si="1624"/>
        <v>33958.181091134538</v>
      </c>
      <c r="T1970" s="150">
        <v>27092.58</v>
      </c>
      <c r="U1970" s="150">
        <v>0</v>
      </c>
      <c r="V1970" s="199">
        <v>33958.181091134531</v>
      </c>
      <c r="W1970" s="150">
        <f t="shared" si="1633"/>
        <v>33958.181091134531</v>
      </c>
      <c r="X1970" s="150">
        <v>0</v>
      </c>
      <c r="Y1970" s="150">
        <v>33958.181091134531</v>
      </c>
      <c r="Z1970" s="150">
        <v>33958.181091134531</v>
      </c>
      <c r="AA1970" s="150">
        <f t="shared" si="1620"/>
        <v>-6865.6010911345293</v>
      </c>
      <c r="AB1970" s="150">
        <v>0</v>
      </c>
      <c r="AC1970" s="199">
        <v>27092.58</v>
      </c>
      <c r="AD1970" s="150">
        <f t="shared" si="1634"/>
        <v>27092.58</v>
      </c>
      <c r="AE1970" s="150">
        <v>27092.58</v>
      </c>
      <c r="AF1970" s="169" t="s">
        <v>4680</v>
      </c>
      <c r="AG1970" s="201">
        <v>0</v>
      </c>
      <c r="AH1970" s="199">
        <v>27092.58</v>
      </c>
      <c r="AI1970" s="150">
        <v>27092.58</v>
      </c>
      <c r="AJ1970" s="169">
        <f t="shared" si="1621"/>
        <v>0</v>
      </c>
      <c r="AK1970" s="201">
        <v>0</v>
      </c>
      <c r="AL1970" s="199">
        <v>27092.58</v>
      </c>
      <c r="AM1970" s="150">
        <f t="shared" si="1635"/>
        <v>27092.58</v>
      </c>
      <c r="AN1970" s="153">
        <f t="shared" si="1622"/>
        <v>0</v>
      </c>
      <c r="AO1970" s="154">
        <f t="shared" si="1623"/>
        <v>0</v>
      </c>
      <c r="AP1970" s="150">
        <v>27092.58</v>
      </c>
      <c r="AQ1970" s="201">
        <v>27092.58</v>
      </c>
      <c r="AR1970" s="199"/>
      <c r="AS1970" s="150">
        <f t="shared" si="1636"/>
        <v>27092.58</v>
      </c>
      <c r="AT1970" s="155"/>
      <c r="AU1970" s="156">
        <f t="shared" si="1618"/>
        <v>0</v>
      </c>
      <c r="AV1970" s="156">
        <f t="shared" si="1619"/>
        <v>-6865.6010911345293</v>
      </c>
      <c r="AW1970" s="157"/>
      <c r="AX1970" s="150">
        <v>33958.181091134531</v>
      </c>
      <c r="AY1970" s="150">
        <v>0</v>
      </c>
      <c r="AZ1970" s="150">
        <f t="shared" si="1637"/>
        <v>34932.746237244901</v>
      </c>
      <c r="BA1970" s="150">
        <v>34932.746237244901</v>
      </c>
      <c r="BB1970" s="210"/>
      <c r="BC1970" s="210"/>
      <c r="BD1970" s="210"/>
      <c r="BE1970" s="210"/>
      <c r="BF1970" s="210"/>
      <c r="BG1970" s="210"/>
      <c r="BH1970" s="217"/>
      <c r="BI1970" s="210"/>
      <c r="BJ1970" s="210"/>
      <c r="BK1970" s="210"/>
      <c r="BL1970" s="210"/>
      <c r="BM1970" s="208"/>
      <c r="BN1970" s="160"/>
      <c r="BO1970" s="161"/>
      <c r="BP1970" s="161"/>
    </row>
    <row r="1971" spans="1:68" ht="38.25">
      <c r="A1971" s="210"/>
      <c r="B1971" s="195" t="s">
        <v>9707</v>
      </c>
      <c r="C1971" s="196" t="s">
        <v>9708</v>
      </c>
      <c r="D1971" s="146" t="s">
        <v>4692</v>
      </c>
      <c r="E1971" s="196" t="s">
        <v>9708</v>
      </c>
      <c r="F1971" s="150">
        <v>0</v>
      </c>
      <c r="G1971" s="209">
        <v>7627284.5999999987</v>
      </c>
      <c r="H1971" s="209">
        <v>-3552281</v>
      </c>
      <c r="I1971" s="209">
        <v>4075003.5999999992</v>
      </c>
      <c r="J1971" s="150">
        <v>0</v>
      </c>
      <c r="K1971" s="150">
        <v>2691.8</v>
      </c>
      <c r="L1971" s="150">
        <f t="shared" si="1626"/>
        <v>2691.8</v>
      </c>
      <c r="M1971" s="150">
        <v>0</v>
      </c>
      <c r="N1971" s="150">
        <v>12296.925706436423</v>
      </c>
      <c r="O1971" s="150">
        <v>12296.925706436423</v>
      </c>
      <c r="P1971" s="150">
        <v>0</v>
      </c>
      <c r="Q1971" s="150">
        <v>17930.793094568176</v>
      </c>
      <c r="R1971" s="313">
        <f t="shared" si="1632"/>
        <v>17930.793094568176</v>
      </c>
      <c r="S1971" s="150">
        <f t="shared" si="1624"/>
        <v>23907.7241260909</v>
      </c>
      <c r="T1971" s="150">
        <v>37136.230000000003</v>
      </c>
      <c r="U1971" s="150">
        <v>0</v>
      </c>
      <c r="V1971" s="199">
        <v>23907.724126090903</v>
      </c>
      <c r="W1971" s="150">
        <f t="shared" si="1633"/>
        <v>23907.724126090903</v>
      </c>
      <c r="X1971" s="150">
        <v>0</v>
      </c>
      <c r="Y1971" s="150">
        <v>23907.724126090903</v>
      </c>
      <c r="Z1971" s="150">
        <v>23907.724126090903</v>
      </c>
      <c r="AA1971" s="150">
        <f t="shared" si="1620"/>
        <v>13228.5058739091</v>
      </c>
      <c r="AB1971" s="150">
        <v>0</v>
      </c>
      <c r="AC1971" s="199">
        <v>37136.230000000003</v>
      </c>
      <c r="AD1971" s="150">
        <f t="shared" si="1634"/>
        <v>37136.230000000003</v>
      </c>
      <c r="AE1971" s="150">
        <v>37136.230000000003</v>
      </c>
      <c r="AF1971" s="169" t="s">
        <v>4680</v>
      </c>
      <c r="AG1971" s="201">
        <v>0</v>
      </c>
      <c r="AH1971" s="199">
        <v>37136.230000000003</v>
      </c>
      <c r="AI1971" s="150">
        <v>37136.230000000003</v>
      </c>
      <c r="AJ1971" s="169">
        <f t="shared" si="1621"/>
        <v>0</v>
      </c>
      <c r="AK1971" s="201">
        <v>0</v>
      </c>
      <c r="AL1971" s="199">
        <v>37136.230000000003</v>
      </c>
      <c r="AM1971" s="150">
        <f t="shared" si="1635"/>
        <v>37136.230000000003</v>
      </c>
      <c r="AN1971" s="153">
        <f t="shared" si="1622"/>
        <v>0</v>
      </c>
      <c r="AO1971" s="154">
        <f t="shared" si="1623"/>
        <v>0</v>
      </c>
      <c r="AP1971" s="150">
        <v>37136.230000000003</v>
      </c>
      <c r="AQ1971" s="201">
        <v>37136.230000000003</v>
      </c>
      <c r="AR1971" s="199"/>
      <c r="AS1971" s="150">
        <f t="shared" si="1636"/>
        <v>37136.230000000003</v>
      </c>
      <c r="AT1971" s="155"/>
      <c r="AU1971" s="156">
        <f t="shared" si="1618"/>
        <v>0</v>
      </c>
      <c r="AV1971" s="156">
        <f t="shared" si="1619"/>
        <v>13228.5058739091</v>
      </c>
      <c r="AW1971" s="157"/>
      <c r="AX1971" s="150">
        <v>23907.724126090903</v>
      </c>
      <c r="AY1971" s="150">
        <v>0</v>
      </c>
      <c r="AZ1971" s="150">
        <f t="shared" si="1637"/>
        <v>24593.851412872846</v>
      </c>
      <c r="BA1971" s="150">
        <v>24593.851412872846</v>
      </c>
      <c r="BB1971" s="210"/>
      <c r="BC1971" s="210"/>
      <c r="BD1971" s="210"/>
      <c r="BE1971" s="210"/>
      <c r="BF1971" s="210"/>
      <c r="BG1971" s="210"/>
      <c r="BH1971" s="217"/>
      <c r="BI1971" s="210"/>
      <c r="BJ1971" s="210"/>
      <c r="BK1971" s="210"/>
      <c r="BL1971" s="210"/>
      <c r="BM1971" s="208"/>
      <c r="BN1971" s="160"/>
      <c r="BO1971" s="161"/>
      <c r="BP1971" s="161"/>
    </row>
    <row r="1972" spans="1:68">
      <c r="A1972" s="262" t="s">
        <v>9709</v>
      </c>
      <c r="B1972" s="163"/>
      <c r="C1972" s="164" t="s">
        <v>9710</v>
      </c>
      <c r="D1972" s="146" t="s">
        <v>4692</v>
      </c>
      <c r="E1972" s="164" t="s">
        <v>9710</v>
      </c>
      <c r="F1972" s="165">
        <v>4048095.4799999995</v>
      </c>
      <c r="G1972" s="166">
        <v>258385.81</v>
      </c>
      <c r="H1972" s="166">
        <v>0</v>
      </c>
      <c r="I1972" s="166">
        <v>258385.81</v>
      </c>
      <c r="J1972" s="165">
        <f>J1973+J1981+J1984</f>
        <v>3644683.5200000005</v>
      </c>
      <c r="K1972" s="165">
        <f>K1973+K1981+K1984</f>
        <v>-1776853.4456000002</v>
      </c>
      <c r="L1972" s="165">
        <f t="shared" si="1626"/>
        <v>1867830.0744000003</v>
      </c>
      <c r="M1972" s="167">
        <v>4679275.2492000004</v>
      </c>
      <c r="N1972" s="167">
        <v>263169.09725999995</v>
      </c>
      <c r="O1972" s="167">
        <v>4942444.3464600006</v>
      </c>
      <c r="P1972" s="232">
        <f t="shared" ref="P1972:R1972" si="1638">P1973+P1981+P1984</f>
        <v>6489504.7499999981</v>
      </c>
      <c r="Q1972" s="232">
        <f t="shared" si="1638"/>
        <v>-4420592.8662400004</v>
      </c>
      <c r="R1972" s="232">
        <f t="shared" si="1638"/>
        <v>2068911.8837600001</v>
      </c>
      <c r="S1972" s="150">
        <f t="shared" si="1624"/>
        <v>2758549.1783466665</v>
      </c>
      <c r="T1972" s="213"/>
      <c r="U1972" s="232">
        <f t="shared" ref="U1972:W1972" si="1639">U1973+U1981+U1984</f>
        <v>8123101.3199999984</v>
      </c>
      <c r="V1972" s="233">
        <f t="shared" si="1639"/>
        <v>-2757309.38</v>
      </c>
      <c r="W1972" s="232">
        <f t="shared" si="1639"/>
        <v>5365791.9399999985</v>
      </c>
      <c r="X1972" s="232">
        <v>8123101.3199999984</v>
      </c>
      <c r="Y1972" s="232">
        <v>-2757309.38</v>
      </c>
      <c r="Z1972" s="232">
        <v>5365791.9399999985</v>
      </c>
      <c r="AA1972" s="232">
        <f t="shared" si="1620"/>
        <v>411240.29999999981</v>
      </c>
      <c r="AB1972" s="232">
        <v>10444209.079999998</v>
      </c>
      <c r="AC1972" s="233">
        <v>-4667176.8399999989</v>
      </c>
      <c r="AD1972" s="232">
        <f t="shared" ref="AD1972" si="1640">AD1973+AD1981+AD1984</f>
        <v>5777032.2399999984</v>
      </c>
      <c r="AE1972" s="232">
        <v>3852821.0799999991</v>
      </c>
      <c r="AF1972" s="169" t="s">
        <v>4680</v>
      </c>
      <c r="AG1972" s="234">
        <v>10437909.079999998</v>
      </c>
      <c r="AH1972" s="233">
        <v>-6585087.9999999991</v>
      </c>
      <c r="AI1972" s="232">
        <v>3852821.0799999991</v>
      </c>
      <c r="AJ1972" s="169">
        <f t="shared" si="1621"/>
        <v>-1960</v>
      </c>
      <c r="AK1972" s="234">
        <v>10435949.079999998</v>
      </c>
      <c r="AL1972" s="233">
        <v>-6585087.9999999991</v>
      </c>
      <c r="AM1972" s="232">
        <f t="shared" ref="AM1972" si="1641">AM1973+AM1981+AM1984</f>
        <v>3850861.0799999991</v>
      </c>
      <c r="AN1972" s="153">
        <f t="shared" si="1622"/>
        <v>-0.40000000037252903</v>
      </c>
      <c r="AO1972" s="154">
        <f t="shared" si="1623"/>
        <v>0</v>
      </c>
      <c r="AP1972" s="232">
        <v>3850860.6799999988</v>
      </c>
      <c r="AQ1972" s="234">
        <v>3850860.6799999988</v>
      </c>
      <c r="AR1972" s="233">
        <f t="shared" ref="AR1972:AS1972" si="1642">AR1973+AR1981+AR1984</f>
        <v>0</v>
      </c>
      <c r="AS1972" s="232">
        <f t="shared" si="1642"/>
        <v>3850860.6799999988</v>
      </c>
      <c r="AT1972" s="155"/>
      <c r="AU1972" s="156">
        <f t="shared" si="1618"/>
        <v>-1926171.1599999992</v>
      </c>
      <c r="AV1972" s="156">
        <f t="shared" si="1619"/>
        <v>411240.29999999981</v>
      </c>
      <c r="AW1972" s="157"/>
      <c r="AX1972" s="150">
        <v>5365791.9399999985</v>
      </c>
      <c r="AY1972" s="232">
        <f t="shared" ref="AY1972:BA1972" si="1643">AY1973+AY1981+AY1984</f>
        <v>8220610.8699999992</v>
      </c>
      <c r="AZ1972" s="232">
        <f t="shared" si="1643"/>
        <v>-4087028.71</v>
      </c>
      <c r="BA1972" s="232">
        <f t="shared" si="1643"/>
        <v>4133582.1599999997</v>
      </c>
      <c r="BB1972" s="263">
        <v>5</v>
      </c>
      <c r="BC1972" s="262" t="s">
        <v>779</v>
      </c>
      <c r="BD1972" s="262" t="s">
        <v>630</v>
      </c>
      <c r="BE1972" s="162" t="s">
        <v>630</v>
      </c>
      <c r="BF1972" s="262" t="s">
        <v>630</v>
      </c>
      <c r="BG1972" s="164" t="s">
        <v>9710</v>
      </c>
      <c r="BH1972" s="235">
        <f>BH1973+BH1981+BH1984</f>
        <v>3850860.6799999997</v>
      </c>
      <c r="BI1972" s="263"/>
      <c r="BJ1972" s="262" t="s">
        <v>9711</v>
      </c>
      <c r="BK1972" s="262" t="s">
        <v>9709</v>
      </c>
      <c r="BL1972" s="172" t="s">
        <v>9712</v>
      </c>
      <c r="BM1972" s="349">
        <f>BM1973+BM1981+BM1984</f>
        <v>3850860.6799999997</v>
      </c>
      <c r="BN1972" s="160"/>
      <c r="BO1972" s="161"/>
      <c r="BP1972" s="161"/>
    </row>
    <row r="1973" spans="1:68" ht="25.5">
      <c r="A1973" s="255" t="s">
        <v>487</v>
      </c>
      <c r="B1973" s="174"/>
      <c r="C1973" s="175" t="s">
        <v>120</v>
      </c>
      <c r="D1973" s="146" t="s">
        <v>4692</v>
      </c>
      <c r="E1973" s="175" t="s">
        <v>120</v>
      </c>
      <c r="F1973" s="176">
        <v>258391.79</v>
      </c>
      <c r="G1973" s="177">
        <v>258385.81</v>
      </c>
      <c r="H1973" s="177">
        <v>0</v>
      </c>
      <c r="I1973" s="177">
        <v>258385.81</v>
      </c>
      <c r="J1973" s="176">
        <f>J1974</f>
        <v>41612.080000000002</v>
      </c>
      <c r="K1973" s="176">
        <f>K1974</f>
        <v>0</v>
      </c>
      <c r="L1973" s="176">
        <f t="shared" si="1626"/>
        <v>41612.080000000002</v>
      </c>
      <c r="M1973" s="178">
        <v>41636.94</v>
      </c>
      <c r="N1973" s="178">
        <v>114365.48499999999</v>
      </c>
      <c r="O1973" s="178">
        <v>156002.42499999999</v>
      </c>
      <c r="P1973" s="221">
        <f t="shared" ref="P1973:AS1973" si="1644">P1974</f>
        <v>42658.81</v>
      </c>
      <c r="Q1973" s="221">
        <f t="shared" si="1644"/>
        <v>171548.22749999998</v>
      </c>
      <c r="R1973" s="221">
        <f t="shared" si="1644"/>
        <v>214207.03749999998</v>
      </c>
      <c r="S1973" s="150">
        <f t="shared" si="1624"/>
        <v>285609.3833333333</v>
      </c>
      <c r="T1973" s="213"/>
      <c r="U1973" s="221">
        <f t="shared" ref="U1973:W1973" si="1645">U1974</f>
        <v>417756.15999999997</v>
      </c>
      <c r="V1973" s="222">
        <f t="shared" si="1645"/>
        <v>0</v>
      </c>
      <c r="W1973" s="221">
        <f t="shared" si="1645"/>
        <v>417756.15999999997</v>
      </c>
      <c r="X1973" s="221">
        <v>417756.15999999997</v>
      </c>
      <c r="Y1973" s="221">
        <v>0</v>
      </c>
      <c r="Z1973" s="221">
        <v>417756.15999999997</v>
      </c>
      <c r="AA1973" s="221">
        <f t="shared" si="1620"/>
        <v>3246.6000000000349</v>
      </c>
      <c r="AB1973" s="221">
        <v>421002.76</v>
      </c>
      <c r="AC1973" s="222">
        <v>0</v>
      </c>
      <c r="AD1973" s="221">
        <f t="shared" si="1644"/>
        <v>421002.76</v>
      </c>
      <c r="AE1973" s="221">
        <v>421002.76</v>
      </c>
      <c r="AF1973" s="169" t="s">
        <v>4680</v>
      </c>
      <c r="AG1973" s="223">
        <v>421002.76</v>
      </c>
      <c r="AH1973" s="222">
        <v>0</v>
      </c>
      <c r="AI1973" s="221">
        <v>421002.76</v>
      </c>
      <c r="AJ1973" s="169">
        <f t="shared" si="1621"/>
        <v>0</v>
      </c>
      <c r="AK1973" s="223">
        <v>421002.76</v>
      </c>
      <c r="AL1973" s="222">
        <v>0</v>
      </c>
      <c r="AM1973" s="221">
        <f t="shared" si="1644"/>
        <v>421002.76</v>
      </c>
      <c r="AN1973" s="153">
        <f t="shared" si="1622"/>
        <v>0</v>
      </c>
      <c r="AO1973" s="154">
        <f t="shared" si="1623"/>
        <v>0</v>
      </c>
      <c r="AP1973" s="221">
        <v>421002.76</v>
      </c>
      <c r="AQ1973" s="223">
        <v>421002.76</v>
      </c>
      <c r="AR1973" s="222">
        <f t="shared" si="1644"/>
        <v>0</v>
      </c>
      <c r="AS1973" s="221">
        <f t="shared" si="1644"/>
        <v>421002.76</v>
      </c>
      <c r="AT1973" s="155"/>
      <c r="AU1973" s="156">
        <f t="shared" si="1618"/>
        <v>0</v>
      </c>
      <c r="AV1973" s="156">
        <f t="shared" si="1619"/>
        <v>3246.6000000000349</v>
      </c>
      <c r="AW1973" s="157"/>
      <c r="AX1973" s="150">
        <v>417756.15999999997</v>
      </c>
      <c r="AY1973" s="221">
        <f t="shared" ref="AY1973:BA1973" si="1646">AY1974</f>
        <v>41686.81</v>
      </c>
      <c r="AZ1973" s="221">
        <f t="shared" si="1646"/>
        <v>200000</v>
      </c>
      <c r="BA1973" s="221">
        <f t="shared" si="1646"/>
        <v>241686.81</v>
      </c>
      <c r="BB1973" s="254">
        <v>5</v>
      </c>
      <c r="BC1973" s="255" t="s">
        <v>779</v>
      </c>
      <c r="BD1973" s="255" t="s">
        <v>632</v>
      </c>
      <c r="BE1973" s="173" t="s">
        <v>630</v>
      </c>
      <c r="BF1973" s="255" t="s">
        <v>630</v>
      </c>
      <c r="BG1973" s="175" t="s">
        <v>120</v>
      </c>
      <c r="BH1973" s="224">
        <f>BH1974</f>
        <v>421002.76</v>
      </c>
      <c r="BI1973" s="254"/>
      <c r="BJ1973" s="255" t="s">
        <v>9713</v>
      </c>
      <c r="BK1973" s="255" t="s">
        <v>487</v>
      </c>
      <c r="BL1973" s="182" t="s">
        <v>9714</v>
      </c>
      <c r="BM1973" s="337">
        <f>BM1974</f>
        <v>421002.76</v>
      </c>
      <c r="BN1973" s="160"/>
      <c r="BO1973" s="161"/>
      <c r="BP1973" s="161"/>
    </row>
    <row r="1974" spans="1:68" ht="25.5">
      <c r="A1974" s="256" t="s">
        <v>487</v>
      </c>
      <c r="B1974" s="184"/>
      <c r="C1974" s="185" t="s">
        <v>120</v>
      </c>
      <c r="D1974" s="146" t="s">
        <v>4692</v>
      </c>
      <c r="E1974" s="185" t="s">
        <v>120</v>
      </c>
      <c r="F1974" s="188">
        <v>258391.79</v>
      </c>
      <c r="G1974" s="187">
        <v>0</v>
      </c>
      <c r="H1974" s="187"/>
      <c r="I1974" s="187">
        <v>0</v>
      </c>
      <c r="J1974" s="188">
        <f>SUM(J1975:J1980)</f>
        <v>41612.080000000002</v>
      </c>
      <c r="K1974" s="188">
        <f>SUM(K1975:K1980)</f>
        <v>0</v>
      </c>
      <c r="L1974" s="188">
        <f t="shared" si="1626"/>
        <v>41612.080000000002</v>
      </c>
      <c r="M1974" s="188">
        <v>41636.94</v>
      </c>
      <c r="N1974" s="188">
        <v>114365.48499999999</v>
      </c>
      <c r="O1974" s="188">
        <v>156002.42499999999</v>
      </c>
      <c r="P1974" s="299">
        <f t="shared" ref="P1974:R1974" si="1647">SUM(P1975:P1980)</f>
        <v>42658.81</v>
      </c>
      <c r="Q1974" s="299">
        <f t="shared" si="1647"/>
        <v>171548.22749999998</v>
      </c>
      <c r="R1974" s="299">
        <f t="shared" si="1647"/>
        <v>214207.03749999998</v>
      </c>
      <c r="S1974" s="150">
        <f t="shared" si="1624"/>
        <v>285609.3833333333</v>
      </c>
      <c r="T1974" s="213"/>
      <c r="U1974" s="299">
        <f t="shared" ref="U1974:W1974" si="1648">SUM(U1975:U1980)</f>
        <v>417756.15999999997</v>
      </c>
      <c r="V1974" s="226">
        <f t="shared" si="1648"/>
        <v>0</v>
      </c>
      <c r="W1974" s="299">
        <f t="shared" si="1648"/>
        <v>417756.15999999997</v>
      </c>
      <c r="X1974" s="299">
        <v>417756.15999999997</v>
      </c>
      <c r="Y1974" s="299">
        <v>0</v>
      </c>
      <c r="Z1974" s="299">
        <v>417756.15999999997</v>
      </c>
      <c r="AA1974" s="299">
        <f t="shared" si="1620"/>
        <v>3246.6000000000349</v>
      </c>
      <c r="AB1974" s="299">
        <v>421002.76</v>
      </c>
      <c r="AC1974" s="226">
        <v>0</v>
      </c>
      <c r="AD1974" s="299">
        <f t="shared" ref="AD1974" si="1649">SUM(AD1975:AD1980)</f>
        <v>421002.76</v>
      </c>
      <c r="AE1974" s="299">
        <v>421002.76</v>
      </c>
      <c r="AF1974" s="169" t="s">
        <v>4680</v>
      </c>
      <c r="AG1974" s="301">
        <v>421002.76</v>
      </c>
      <c r="AH1974" s="226">
        <v>0</v>
      </c>
      <c r="AI1974" s="299">
        <v>421002.76</v>
      </c>
      <c r="AJ1974" s="169">
        <f t="shared" si="1621"/>
        <v>0</v>
      </c>
      <c r="AK1974" s="301">
        <v>421002.76</v>
      </c>
      <c r="AL1974" s="226">
        <v>0</v>
      </c>
      <c r="AM1974" s="299">
        <f t="shared" ref="AM1974" si="1650">SUM(AM1975:AM1980)</f>
        <v>421002.76</v>
      </c>
      <c r="AN1974" s="153">
        <f t="shared" si="1622"/>
        <v>0</v>
      </c>
      <c r="AO1974" s="154">
        <f t="shared" si="1623"/>
        <v>0</v>
      </c>
      <c r="AP1974" s="299">
        <v>421002.76</v>
      </c>
      <c r="AQ1974" s="301">
        <v>421002.76</v>
      </c>
      <c r="AR1974" s="226">
        <f t="shared" ref="AR1974:AS1974" si="1651">SUM(AR1975:AR1980)</f>
        <v>0</v>
      </c>
      <c r="AS1974" s="299">
        <f t="shared" si="1651"/>
        <v>421002.76</v>
      </c>
      <c r="AT1974" s="155"/>
      <c r="AU1974" s="156">
        <f t="shared" si="1618"/>
        <v>0</v>
      </c>
      <c r="AV1974" s="156">
        <f t="shared" si="1619"/>
        <v>3246.6000000000349</v>
      </c>
      <c r="AW1974" s="157"/>
      <c r="AX1974" s="150">
        <v>417756.15999999997</v>
      </c>
      <c r="AY1974" s="299">
        <f t="shared" ref="AY1974:BA1974" si="1652">SUM(AY1975:AY1980)</f>
        <v>41686.81</v>
      </c>
      <c r="AZ1974" s="299">
        <f t="shared" si="1652"/>
        <v>200000</v>
      </c>
      <c r="BA1974" s="299">
        <f t="shared" si="1652"/>
        <v>241686.81</v>
      </c>
      <c r="BB1974" s="192">
        <v>5</v>
      </c>
      <c r="BC1974" s="256" t="s">
        <v>779</v>
      </c>
      <c r="BD1974" s="256" t="s">
        <v>632</v>
      </c>
      <c r="BE1974" s="256" t="s">
        <v>632</v>
      </c>
      <c r="BF1974" s="256" t="s">
        <v>630</v>
      </c>
      <c r="BG1974" s="185" t="s">
        <v>120</v>
      </c>
      <c r="BH1974" s="215">
        <f>BH1975</f>
        <v>421002.76</v>
      </c>
      <c r="BI1974" s="192"/>
      <c r="BJ1974" s="256" t="s">
        <v>9713</v>
      </c>
      <c r="BK1974" s="256" t="s">
        <v>487</v>
      </c>
      <c r="BL1974" s="238" t="s">
        <v>9715</v>
      </c>
      <c r="BM1974" s="338">
        <f>BH1974</f>
        <v>421002.76</v>
      </c>
      <c r="BN1974" s="160"/>
      <c r="BO1974" s="161"/>
      <c r="BP1974" s="161"/>
    </row>
    <row r="1975" spans="1:68" ht="25.5">
      <c r="A1975" s="206" t="s">
        <v>487</v>
      </c>
      <c r="B1975" s="195" t="s">
        <v>9716</v>
      </c>
      <c r="C1975" s="196" t="s">
        <v>9717</v>
      </c>
      <c r="D1975" s="146" t="s">
        <v>4692</v>
      </c>
      <c r="E1975" s="196" t="s">
        <v>9717</v>
      </c>
      <c r="F1975" s="150">
        <v>0</v>
      </c>
      <c r="G1975" s="209">
        <v>228730.97</v>
      </c>
      <c r="H1975" s="209"/>
      <c r="I1975" s="209">
        <v>228730.97</v>
      </c>
      <c r="J1975" s="150">
        <v>0</v>
      </c>
      <c r="K1975" s="150">
        <v>0</v>
      </c>
      <c r="L1975" s="150">
        <f t="shared" si="1626"/>
        <v>0</v>
      </c>
      <c r="M1975" s="150">
        <v>0</v>
      </c>
      <c r="N1975" s="150"/>
      <c r="O1975" s="150">
        <v>0</v>
      </c>
      <c r="P1975" s="150">
        <v>0</v>
      </c>
      <c r="Q1975" s="150">
        <v>0</v>
      </c>
      <c r="R1975" s="150">
        <f t="shared" ref="R1975:R1980" si="1653">P1975+Q1975</f>
        <v>0</v>
      </c>
      <c r="S1975" s="150">
        <f t="shared" si="1624"/>
        <v>0</v>
      </c>
      <c r="T1975" s="150"/>
      <c r="U1975" s="150">
        <v>0</v>
      </c>
      <c r="V1975" s="199"/>
      <c r="W1975" s="150">
        <f t="shared" ref="W1975:W1980" si="1654">U1975+V1975</f>
        <v>0</v>
      </c>
      <c r="X1975" s="150">
        <v>0</v>
      </c>
      <c r="Y1975" s="150"/>
      <c r="Z1975" s="150">
        <v>0</v>
      </c>
      <c r="AA1975" s="150">
        <f t="shared" si="1620"/>
        <v>0</v>
      </c>
      <c r="AB1975" s="150">
        <v>0</v>
      </c>
      <c r="AC1975" s="199"/>
      <c r="AD1975" s="150">
        <f t="shared" ref="AD1975:AD1980" si="1655">AB1975+AC1975</f>
        <v>0</v>
      </c>
      <c r="AE1975" s="150">
        <v>0</v>
      </c>
      <c r="AF1975" s="169" t="s">
        <v>4680</v>
      </c>
      <c r="AG1975" s="201">
        <v>0</v>
      </c>
      <c r="AH1975" s="199"/>
      <c r="AI1975" s="150">
        <v>0</v>
      </c>
      <c r="AJ1975" s="169">
        <f t="shared" si="1621"/>
        <v>0</v>
      </c>
      <c r="AK1975" s="201">
        <v>0</v>
      </c>
      <c r="AL1975" s="199"/>
      <c r="AM1975" s="150">
        <f t="shared" ref="AM1975:AM1980" si="1656">AK1975+AL1975</f>
        <v>0</v>
      </c>
      <c r="AN1975" s="153">
        <f t="shared" si="1622"/>
        <v>0</v>
      </c>
      <c r="AO1975" s="154">
        <f t="shared" si="1623"/>
        <v>0</v>
      </c>
      <c r="AP1975" s="150">
        <v>0</v>
      </c>
      <c r="AQ1975" s="201">
        <v>0</v>
      </c>
      <c r="AR1975" s="199"/>
      <c r="AS1975" s="150">
        <f t="shared" ref="AS1975:AS1980" si="1657">AQ1975+AR1975</f>
        <v>0</v>
      </c>
      <c r="AT1975" s="155"/>
      <c r="AU1975" s="156">
        <f t="shared" si="1618"/>
        <v>0</v>
      </c>
      <c r="AV1975" s="156">
        <f t="shared" si="1619"/>
        <v>0</v>
      </c>
      <c r="AW1975" s="157"/>
      <c r="AX1975" s="150">
        <v>0</v>
      </c>
      <c r="AY1975" s="150">
        <v>0</v>
      </c>
      <c r="AZ1975" s="150"/>
      <c r="BA1975" s="150">
        <f t="shared" ref="BA1975:BA2029" si="1658">AY1975+AZ1975</f>
        <v>0</v>
      </c>
      <c r="BB1975" s="202">
        <v>5</v>
      </c>
      <c r="BC1975" s="202" t="s">
        <v>779</v>
      </c>
      <c r="BD1975" s="202" t="s">
        <v>632</v>
      </c>
      <c r="BE1975" s="202" t="s">
        <v>632</v>
      </c>
      <c r="BF1975" s="202" t="s">
        <v>632</v>
      </c>
      <c r="BG1975" s="203" t="s">
        <v>120</v>
      </c>
      <c r="BH1975" s="216">
        <f>SUM(AS1975:AS1980)</f>
        <v>421002.76</v>
      </c>
      <c r="BI1975" s="205"/>
      <c r="BJ1975" s="206" t="s">
        <v>9713</v>
      </c>
      <c r="BK1975" s="206" t="s">
        <v>487</v>
      </c>
      <c r="BL1975" s="207" t="s">
        <v>9715</v>
      </c>
      <c r="BM1975" s="208">
        <f>BH1975</f>
        <v>421002.76</v>
      </c>
      <c r="BN1975" s="160"/>
      <c r="BO1975" s="161"/>
      <c r="BP1975" s="161"/>
    </row>
    <row r="1976" spans="1:68">
      <c r="A1976" s="210"/>
      <c r="B1976" s="195" t="s">
        <v>9718</v>
      </c>
      <c r="C1976" s="196" t="s">
        <v>9719</v>
      </c>
      <c r="D1976" s="146" t="s">
        <v>4692</v>
      </c>
      <c r="E1976" s="196" t="s">
        <v>9719</v>
      </c>
      <c r="F1976" s="150">
        <v>228730.97</v>
      </c>
      <c r="G1976" s="209">
        <v>0</v>
      </c>
      <c r="H1976" s="209"/>
      <c r="I1976" s="209">
        <v>0</v>
      </c>
      <c r="J1976" s="150">
        <v>0</v>
      </c>
      <c r="K1976" s="150">
        <v>0</v>
      </c>
      <c r="L1976" s="150">
        <f t="shared" si="1626"/>
        <v>0</v>
      </c>
      <c r="M1976" s="150">
        <v>0</v>
      </c>
      <c r="N1976" s="150">
        <v>114365.48499999999</v>
      </c>
      <c r="O1976" s="150">
        <v>114365.48499999999</v>
      </c>
      <c r="P1976" s="150">
        <v>0</v>
      </c>
      <c r="Q1976" s="150">
        <f>F1976/12*9</f>
        <v>171548.22749999998</v>
      </c>
      <c r="R1976" s="150">
        <f t="shared" si="1653"/>
        <v>171548.22749999998</v>
      </c>
      <c r="S1976" s="150">
        <f t="shared" si="1624"/>
        <v>228730.96999999997</v>
      </c>
      <c r="T1976" s="150"/>
      <c r="U1976" s="150">
        <v>271532.2</v>
      </c>
      <c r="V1976" s="199"/>
      <c r="W1976" s="150">
        <f t="shared" si="1654"/>
        <v>271532.2</v>
      </c>
      <c r="X1976" s="150">
        <v>271532.2</v>
      </c>
      <c r="Y1976" s="150"/>
      <c r="Z1976" s="150">
        <v>271532.2</v>
      </c>
      <c r="AA1976" s="150">
        <f t="shared" si="1620"/>
        <v>0</v>
      </c>
      <c r="AB1976" s="150">
        <v>271532.2</v>
      </c>
      <c r="AC1976" s="199"/>
      <c r="AD1976" s="150">
        <f t="shared" si="1655"/>
        <v>271532.2</v>
      </c>
      <c r="AE1976" s="150">
        <v>271532.2</v>
      </c>
      <c r="AF1976" s="169" t="s">
        <v>4680</v>
      </c>
      <c r="AG1976" s="201">
        <v>271532.2</v>
      </c>
      <c r="AH1976" s="199"/>
      <c r="AI1976" s="150">
        <v>271532.2</v>
      </c>
      <c r="AJ1976" s="169">
        <f t="shared" si="1621"/>
        <v>0</v>
      </c>
      <c r="AK1976" s="201">
        <v>271532.2</v>
      </c>
      <c r="AL1976" s="199"/>
      <c r="AM1976" s="150">
        <f t="shared" si="1656"/>
        <v>271532.2</v>
      </c>
      <c r="AN1976" s="153">
        <f t="shared" si="1622"/>
        <v>0</v>
      </c>
      <c r="AO1976" s="154">
        <f t="shared" si="1623"/>
        <v>0</v>
      </c>
      <c r="AP1976" s="150">
        <v>271532.2</v>
      </c>
      <c r="AQ1976" s="201">
        <v>271532.2</v>
      </c>
      <c r="AR1976" s="199"/>
      <c r="AS1976" s="150">
        <f t="shared" si="1657"/>
        <v>271532.2</v>
      </c>
      <c r="AT1976" s="155"/>
      <c r="AU1976" s="156">
        <f t="shared" si="1618"/>
        <v>0</v>
      </c>
      <c r="AV1976" s="156">
        <f t="shared" si="1619"/>
        <v>0</v>
      </c>
      <c r="AW1976" s="157"/>
      <c r="AX1976" s="150">
        <v>271532.2</v>
      </c>
      <c r="AY1976" s="150">
        <v>0</v>
      </c>
      <c r="AZ1976" s="150">
        <f>L1976/12*6-AY1976</f>
        <v>0</v>
      </c>
      <c r="BA1976" s="150">
        <f t="shared" si="1658"/>
        <v>0</v>
      </c>
      <c r="BB1976" s="210"/>
      <c r="BC1976" s="210"/>
      <c r="BD1976" s="210"/>
      <c r="BE1976" s="210"/>
      <c r="BF1976" s="210"/>
      <c r="BG1976" s="210"/>
      <c r="BH1976" s="217"/>
      <c r="BI1976" s="210"/>
      <c r="BJ1976" s="210"/>
      <c r="BK1976" s="210"/>
      <c r="BL1976" s="210"/>
      <c r="BM1976" s="208"/>
      <c r="BN1976" s="160"/>
      <c r="BO1976" s="161"/>
      <c r="BP1976" s="161"/>
    </row>
    <row r="1977" spans="1:68">
      <c r="A1977" s="210"/>
      <c r="B1977" s="195" t="s">
        <v>9720</v>
      </c>
      <c r="C1977" s="196" t="s">
        <v>9721</v>
      </c>
      <c r="D1977" s="146" t="s">
        <v>4692</v>
      </c>
      <c r="E1977" s="196" t="s">
        <v>9721</v>
      </c>
      <c r="F1977" s="150">
        <v>0</v>
      </c>
      <c r="G1977" s="209">
        <v>0</v>
      </c>
      <c r="H1977" s="209"/>
      <c r="I1977" s="209">
        <v>0</v>
      </c>
      <c r="J1977" s="150">
        <v>0</v>
      </c>
      <c r="K1977" s="150">
        <v>0</v>
      </c>
      <c r="L1977" s="150">
        <f t="shared" si="1626"/>
        <v>0</v>
      </c>
      <c r="M1977" s="150">
        <v>0</v>
      </c>
      <c r="N1977" s="150"/>
      <c r="O1977" s="150">
        <v>0</v>
      </c>
      <c r="P1977" s="150">
        <v>0</v>
      </c>
      <c r="Q1977" s="150">
        <v>0</v>
      </c>
      <c r="R1977" s="150">
        <f t="shared" si="1653"/>
        <v>0</v>
      </c>
      <c r="S1977" s="150">
        <f t="shared" si="1624"/>
        <v>0</v>
      </c>
      <c r="T1977" s="150"/>
      <c r="U1977" s="150">
        <v>960.6</v>
      </c>
      <c r="V1977" s="199"/>
      <c r="W1977" s="150">
        <f t="shared" si="1654"/>
        <v>960.6</v>
      </c>
      <c r="X1977" s="150">
        <v>960.6</v>
      </c>
      <c r="Y1977" s="150"/>
      <c r="Z1977" s="150">
        <v>960.6</v>
      </c>
      <c r="AA1977" s="150">
        <f t="shared" si="1620"/>
        <v>3236.6</v>
      </c>
      <c r="AB1977" s="150">
        <v>4197.2</v>
      </c>
      <c r="AC1977" s="199"/>
      <c r="AD1977" s="150">
        <f t="shared" si="1655"/>
        <v>4197.2</v>
      </c>
      <c r="AE1977" s="150">
        <v>4197.2</v>
      </c>
      <c r="AF1977" s="169" t="s">
        <v>4680</v>
      </c>
      <c r="AG1977" s="201">
        <v>4197.2</v>
      </c>
      <c r="AH1977" s="199"/>
      <c r="AI1977" s="150">
        <v>4197.2</v>
      </c>
      <c r="AJ1977" s="169">
        <f t="shared" si="1621"/>
        <v>0</v>
      </c>
      <c r="AK1977" s="201">
        <v>4197.2</v>
      </c>
      <c r="AL1977" s="199"/>
      <c r="AM1977" s="150">
        <f t="shared" si="1656"/>
        <v>4197.2</v>
      </c>
      <c r="AN1977" s="153">
        <f t="shared" si="1622"/>
        <v>0</v>
      </c>
      <c r="AO1977" s="154">
        <f t="shared" si="1623"/>
        <v>0</v>
      </c>
      <c r="AP1977" s="150">
        <v>4197.2</v>
      </c>
      <c r="AQ1977" s="201">
        <v>4197.2</v>
      </c>
      <c r="AR1977" s="199"/>
      <c r="AS1977" s="150">
        <f t="shared" si="1657"/>
        <v>4197.2</v>
      </c>
      <c r="AT1977" s="155"/>
      <c r="AU1977" s="156">
        <f t="shared" si="1618"/>
        <v>0</v>
      </c>
      <c r="AV1977" s="156">
        <f t="shared" si="1619"/>
        <v>3236.6</v>
      </c>
      <c r="AW1977" s="157"/>
      <c r="AX1977" s="150">
        <v>960.6</v>
      </c>
      <c r="AY1977" s="150">
        <v>0</v>
      </c>
      <c r="AZ1977" s="150"/>
      <c r="BA1977" s="150">
        <f t="shared" si="1658"/>
        <v>0</v>
      </c>
      <c r="BB1977" s="210"/>
      <c r="BC1977" s="210"/>
      <c r="BD1977" s="210"/>
      <c r="BE1977" s="210"/>
      <c r="BF1977" s="210"/>
      <c r="BG1977" s="210"/>
      <c r="BH1977" s="217"/>
      <c r="BI1977" s="210"/>
      <c r="BJ1977" s="210"/>
      <c r="BK1977" s="210"/>
      <c r="BL1977" s="210"/>
      <c r="BM1977" s="208"/>
      <c r="BN1977" s="160"/>
      <c r="BO1977" s="161"/>
      <c r="BP1977" s="161"/>
    </row>
    <row r="1978" spans="1:68">
      <c r="A1978" s="210"/>
      <c r="B1978" s="195" t="s">
        <v>9722</v>
      </c>
      <c r="C1978" s="196" t="s">
        <v>9723</v>
      </c>
      <c r="D1978" s="146" t="s">
        <v>4692</v>
      </c>
      <c r="E1978" s="196" t="s">
        <v>9723</v>
      </c>
      <c r="F1978" s="150">
        <v>0</v>
      </c>
      <c r="G1978" s="209">
        <v>0</v>
      </c>
      <c r="H1978" s="209"/>
      <c r="I1978" s="209">
        <v>0</v>
      </c>
      <c r="J1978" s="150">
        <v>0</v>
      </c>
      <c r="K1978" s="150">
        <v>0</v>
      </c>
      <c r="L1978" s="150">
        <f t="shared" si="1626"/>
        <v>0</v>
      </c>
      <c r="M1978" s="150">
        <v>0</v>
      </c>
      <c r="N1978" s="150"/>
      <c r="O1978" s="150">
        <v>0</v>
      </c>
      <c r="P1978" s="150">
        <v>0</v>
      </c>
      <c r="Q1978" s="150">
        <v>0</v>
      </c>
      <c r="R1978" s="150">
        <f t="shared" si="1653"/>
        <v>0</v>
      </c>
      <c r="S1978" s="150">
        <f t="shared" si="1624"/>
        <v>0</v>
      </c>
      <c r="T1978" s="150"/>
      <c r="U1978" s="150">
        <v>0</v>
      </c>
      <c r="V1978" s="199"/>
      <c r="W1978" s="150">
        <f t="shared" si="1654"/>
        <v>0</v>
      </c>
      <c r="X1978" s="150">
        <v>0</v>
      </c>
      <c r="Y1978" s="150"/>
      <c r="Z1978" s="150">
        <v>0</v>
      </c>
      <c r="AA1978" s="150">
        <f t="shared" si="1620"/>
        <v>0</v>
      </c>
      <c r="AB1978" s="150">
        <v>0</v>
      </c>
      <c r="AC1978" s="199"/>
      <c r="AD1978" s="150">
        <f t="shared" si="1655"/>
        <v>0</v>
      </c>
      <c r="AE1978" s="150">
        <v>0</v>
      </c>
      <c r="AF1978" s="169" t="s">
        <v>4680</v>
      </c>
      <c r="AG1978" s="201">
        <v>0</v>
      </c>
      <c r="AH1978" s="199"/>
      <c r="AI1978" s="150">
        <v>0</v>
      </c>
      <c r="AJ1978" s="169">
        <f t="shared" si="1621"/>
        <v>0</v>
      </c>
      <c r="AK1978" s="201">
        <v>0</v>
      </c>
      <c r="AL1978" s="199"/>
      <c r="AM1978" s="150">
        <f t="shared" si="1656"/>
        <v>0</v>
      </c>
      <c r="AN1978" s="153">
        <f t="shared" si="1622"/>
        <v>0</v>
      </c>
      <c r="AO1978" s="154">
        <f t="shared" si="1623"/>
        <v>0</v>
      </c>
      <c r="AP1978" s="150">
        <v>0</v>
      </c>
      <c r="AQ1978" s="201">
        <v>0</v>
      </c>
      <c r="AR1978" s="199"/>
      <c r="AS1978" s="150">
        <f t="shared" si="1657"/>
        <v>0</v>
      </c>
      <c r="AT1978" s="155"/>
      <c r="AU1978" s="156">
        <f t="shared" si="1618"/>
        <v>0</v>
      </c>
      <c r="AV1978" s="156">
        <f t="shared" si="1619"/>
        <v>0</v>
      </c>
      <c r="AW1978" s="157"/>
      <c r="AX1978" s="150">
        <v>0</v>
      </c>
      <c r="AY1978" s="150">
        <v>0</v>
      </c>
      <c r="AZ1978" s="150"/>
      <c r="BA1978" s="150">
        <f t="shared" si="1658"/>
        <v>0</v>
      </c>
      <c r="BB1978" s="210"/>
      <c r="BC1978" s="210"/>
      <c r="BD1978" s="210"/>
      <c r="BE1978" s="210"/>
      <c r="BF1978" s="210"/>
      <c r="BG1978" s="210"/>
      <c r="BH1978" s="217"/>
      <c r="BI1978" s="210"/>
      <c r="BJ1978" s="210"/>
      <c r="BK1978" s="210"/>
      <c r="BL1978" s="210"/>
      <c r="BM1978" s="208"/>
      <c r="BN1978" s="160"/>
      <c r="BO1978" s="161"/>
      <c r="BP1978" s="161"/>
    </row>
    <row r="1979" spans="1:68">
      <c r="A1979" s="210"/>
      <c r="B1979" s="195" t="s">
        <v>9724</v>
      </c>
      <c r="C1979" s="196" t="s">
        <v>9725</v>
      </c>
      <c r="D1979" s="146" t="s">
        <v>4692</v>
      </c>
      <c r="E1979" s="196" t="s">
        <v>9725</v>
      </c>
      <c r="F1979" s="150">
        <v>0</v>
      </c>
      <c r="G1979" s="209">
        <v>29654.84</v>
      </c>
      <c r="H1979" s="209"/>
      <c r="I1979" s="209">
        <v>29654.84</v>
      </c>
      <c r="J1979" s="150">
        <v>0</v>
      </c>
      <c r="K1979" s="150">
        <v>0</v>
      </c>
      <c r="L1979" s="150">
        <f t="shared" si="1626"/>
        <v>0</v>
      </c>
      <c r="M1979" s="150">
        <v>0</v>
      </c>
      <c r="N1979" s="150"/>
      <c r="O1979" s="150">
        <v>0</v>
      </c>
      <c r="P1979" s="150">
        <v>0</v>
      </c>
      <c r="Q1979" s="150">
        <v>0</v>
      </c>
      <c r="R1979" s="150">
        <f t="shared" si="1653"/>
        <v>0</v>
      </c>
      <c r="S1979" s="150">
        <f t="shared" si="1624"/>
        <v>0</v>
      </c>
      <c r="T1979" s="150"/>
      <c r="U1979" s="150">
        <v>0</v>
      </c>
      <c r="V1979" s="199"/>
      <c r="W1979" s="150">
        <f t="shared" si="1654"/>
        <v>0</v>
      </c>
      <c r="X1979" s="150">
        <v>0</v>
      </c>
      <c r="Y1979" s="150"/>
      <c r="Z1979" s="150">
        <v>0</v>
      </c>
      <c r="AA1979" s="150">
        <f t="shared" si="1620"/>
        <v>0</v>
      </c>
      <c r="AB1979" s="150">
        <v>0</v>
      </c>
      <c r="AC1979" s="199"/>
      <c r="AD1979" s="150">
        <f t="shared" si="1655"/>
        <v>0</v>
      </c>
      <c r="AE1979" s="150">
        <v>0</v>
      </c>
      <c r="AF1979" s="169" t="s">
        <v>4680</v>
      </c>
      <c r="AG1979" s="201">
        <v>0</v>
      </c>
      <c r="AH1979" s="199"/>
      <c r="AI1979" s="150">
        <v>0</v>
      </c>
      <c r="AJ1979" s="169">
        <f t="shared" si="1621"/>
        <v>0</v>
      </c>
      <c r="AK1979" s="201">
        <v>0</v>
      </c>
      <c r="AL1979" s="199"/>
      <c r="AM1979" s="150">
        <f t="shared" si="1656"/>
        <v>0</v>
      </c>
      <c r="AN1979" s="153">
        <f t="shared" si="1622"/>
        <v>0</v>
      </c>
      <c r="AO1979" s="154">
        <f t="shared" si="1623"/>
        <v>0</v>
      </c>
      <c r="AP1979" s="150">
        <v>0</v>
      </c>
      <c r="AQ1979" s="201">
        <v>0</v>
      </c>
      <c r="AR1979" s="199"/>
      <c r="AS1979" s="150">
        <f t="shared" si="1657"/>
        <v>0</v>
      </c>
      <c r="AT1979" s="155"/>
      <c r="AU1979" s="156">
        <f t="shared" si="1618"/>
        <v>0</v>
      </c>
      <c r="AV1979" s="156">
        <f t="shared" si="1619"/>
        <v>0</v>
      </c>
      <c r="AW1979" s="157"/>
      <c r="AX1979" s="150">
        <v>0</v>
      </c>
      <c r="AY1979" s="150">
        <v>0</v>
      </c>
      <c r="AZ1979" s="150"/>
      <c r="BA1979" s="150">
        <f t="shared" si="1658"/>
        <v>0</v>
      </c>
      <c r="BB1979" s="210"/>
      <c r="BC1979" s="210"/>
      <c r="BD1979" s="210"/>
      <c r="BE1979" s="210"/>
      <c r="BF1979" s="210"/>
      <c r="BG1979" s="210"/>
      <c r="BH1979" s="217"/>
      <c r="BI1979" s="210"/>
      <c r="BJ1979" s="210"/>
      <c r="BK1979" s="210"/>
      <c r="BL1979" s="210"/>
      <c r="BM1979" s="208"/>
      <c r="BN1979" s="160"/>
      <c r="BO1979" s="161"/>
      <c r="BP1979" s="161"/>
    </row>
    <row r="1980" spans="1:68">
      <c r="A1980" s="210"/>
      <c r="B1980" s="195" t="s">
        <v>9726</v>
      </c>
      <c r="C1980" s="196" t="s">
        <v>9727</v>
      </c>
      <c r="D1980" s="146" t="s">
        <v>4692</v>
      </c>
      <c r="E1980" s="196" t="s">
        <v>9727</v>
      </c>
      <c r="F1980" s="150">
        <v>29660.82</v>
      </c>
      <c r="G1980" s="209">
        <v>0</v>
      </c>
      <c r="H1980" s="209">
        <v>0</v>
      </c>
      <c r="I1980" s="209">
        <v>0</v>
      </c>
      <c r="J1980" s="150">
        <v>41612.080000000002</v>
      </c>
      <c r="K1980" s="150">
        <v>0</v>
      </c>
      <c r="L1980" s="150">
        <f t="shared" si="1626"/>
        <v>41612.080000000002</v>
      </c>
      <c r="M1980" s="150">
        <v>41636.94</v>
      </c>
      <c r="N1980" s="150"/>
      <c r="O1980" s="150">
        <v>41636.94</v>
      </c>
      <c r="P1980" s="150">
        <v>42658.81</v>
      </c>
      <c r="Q1980" s="150">
        <v>0</v>
      </c>
      <c r="R1980" s="150">
        <f t="shared" si="1653"/>
        <v>42658.81</v>
      </c>
      <c r="S1980" s="150">
        <f t="shared" si="1624"/>
        <v>56878.41333333333</v>
      </c>
      <c r="T1980" s="150"/>
      <c r="U1980" s="150">
        <v>145263.35999999999</v>
      </c>
      <c r="V1980" s="199"/>
      <c r="W1980" s="150">
        <f t="shared" si="1654"/>
        <v>145263.35999999999</v>
      </c>
      <c r="X1980" s="150">
        <v>145263.35999999999</v>
      </c>
      <c r="Y1980" s="150"/>
      <c r="Z1980" s="150">
        <v>145263.35999999999</v>
      </c>
      <c r="AA1980" s="150">
        <f t="shared" si="1620"/>
        <v>10</v>
      </c>
      <c r="AB1980" s="150">
        <v>145273.35999999999</v>
      </c>
      <c r="AC1980" s="199"/>
      <c r="AD1980" s="150">
        <f t="shared" si="1655"/>
        <v>145273.35999999999</v>
      </c>
      <c r="AE1980" s="150">
        <v>145273.35999999999</v>
      </c>
      <c r="AF1980" s="169" t="s">
        <v>4680</v>
      </c>
      <c r="AG1980" s="201">
        <v>145273.35999999999</v>
      </c>
      <c r="AH1980" s="199"/>
      <c r="AI1980" s="150">
        <v>145273.35999999999</v>
      </c>
      <c r="AJ1980" s="169">
        <f t="shared" si="1621"/>
        <v>0</v>
      </c>
      <c r="AK1980" s="201">
        <v>145273.35999999999</v>
      </c>
      <c r="AL1980" s="199"/>
      <c r="AM1980" s="150">
        <f t="shared" si="1656"/>
        <v>145273.35999999999</v>
      </c>
      <c r="AN1980" s="153">
        <f t="shared" si="1622"/>
        <v>0</v>
      </c>
      <c r="AO1980" s="154">
        <f t="shared" si="1623"/>
        <v>0</v>
      </c>
      <c r="AP1980" s="150">
        <v>145273.35999999999</v>
      </c>
      <c r="AQ1980" s="201">
        <v>145273.35999999999</v>
      </c>
      <c r="AR1980" s="199"/>
      <c r="AS1980" s="150">
        <f t="shared" si="1657"/>
        <v>145273.35999999999</v>
      </c>
      <c r="AT1980" s="155"/>
      <c r="AU1980" s="156">
        <f t="shared" si="1618"/>
        <v>0</v>
      </c>
      <c r="AV1980" s="156">
        <f t="shared" si="1619"/>
        <v>10</v>
      </c>
      <c r="AW1980" s="157"/>
      <c r="AX1980" s="150">
        <v>145263.35999999999</v>
      </c>
      <c r="AY1980" s="150">
        <v>41686.81</v>
      </c>
      <c r="AZ1980" s="150">
        <v>200000</v>
      </c>
      <c r="BA1980" s="150">
        <f t="shared" si="1658"/>
        <v>241686.81</v>
      </c>
      <c r="BB1980" s="210"/>
      <c r="BC1980" s="210"/>
      <c r="BD1980" s="210"/>
      <c r="BE1980" s="210"/>
      <c r="BF1980" s="210"/>
      <c r="BG1980" s="210"/>
      <c r="BH1980" s="217"/>
      <c r="BI1980" s="210"/>
      <c r="BJ1980" s="210"/>
      <c r="BK1980" s="210"/>
      <c r="BL1980" s="210"/>
      <c r="BM1980" s="208"/>
      <c r="BN1980" s="160"/>
      <c r="BO1980" s="161"/>
      <c r="BP1980" s="161"/>
    </row>
    <row r="1981" spans="1:68">
      <c r="A1981" s="255" t="s">
        <v>488</v>
      </c>
      <c r="B1981" s="174"/>
      <c r="C1981" s="175" t="s">
        <v>121</v>
      </c>
      <c r="D1981" s="146" t="s">
        <v>4692</v>
      </c>
      <c r="E1981" s="175" t="s">
        <v>121</v>
      </c>
      <c r="F1981" s="176">
        <v>0</v>
      </c>
      <c r="G1981" s="177">
        <v>0</v>
      </c>
      <c r="H1981" s="177">
        <v>0</v>
      </c>
      <c r="I1981" s="177">
        <v>0</v>
      </c>
      <c r="J1981" s="176">
        <f>J1982</f>
        <v>0</v>
      </c>
      <c r="K1981" s="176">
        <f>K1982</f>
        <v>0</v>
      </c>
      <c r="L1981" s="176">
        <f t="shared" si="1626"/>
        <v>0</v>
      </c>
      <c r="M1981" s="178">
        <v>0</v>
      </c>
      <c r="N1981" s="178">
        <v>0</v>
      </c>
      <c r="O1981" s="178">
        <v>0</v>
      </c>
      <c r="P1981" s="221">
        <f t="shared" ref="P1981:AM1982" si="1659">P1982</f>
        <v>0</v>
      </c>
      <c r="Q1981" s="221">
        <f t="shared" si="1659"/>
        <v>0</v>
      </c>
      <c r="R1981" s="221">
        <f t="shared" si="1659"/>
        <v>0</v>
      </c>
      <c r="S1981" s="150">
        <f t="shared" si="1624"/>
        <v>0</v>
      </c>
      <c r="T1981" s="213"/>
      <c r="U1981" s="221">
        <f t="shared" ref="U1981:W1982" si="1660">U1982</f>
        <v>0</v>
      </c>
      <c r="V1981" s="222">
        <f t="shared" si="1660"/>
        <v>0</v>
      </c>
      <c r="W1981" s="221">
        <f t="shared" si="1660"/>
        <v>0</v>
      </c>
      <c r="X1981" s="221">
        <v>0</v>
      </c>
      <c r="Y1981" s="221">
        <v>0</v>
      </c>
      <c r="Z1981" s="221">
        <v>0</v>
      </c>
      <c r="AA1981" s="221">
        <f t="shared" si="1620"/>
        <v>0</v>
      </c>
      <c r="AB1981" s="221">
        <v>0</v>
      </c>
      <c r="AC1981" s="222">
        <v>0</v>
      </c>
      <c r="AD1981" s="221">
        <f t="shared" si="1659"/>
        <v>0</v>
      </c>
      <c r="AE1981" s="221">
        <v>0</v>
      </c>
      <c r="AF1981" s="169" t="s">
        <v>4680</v>
      </c>
      <c r="AG1981" s="223">
        <v>0</v>
      </c>
      <c r="AH1981" s="222">
        <v>0</v>
      </c>
      <c r="AI1981" s="221">
        <v>0</v>
      </c>
      <c r="AJ1981" s="169">
        <f t="shared" si="1621"/>
        <v>0</v>
      </c>
      <c r="AK1981" s="223">
        <v>0</v>
      </c>
      <c r="AL1981" s="222">
        <v>0</v>
      </c>
      <c r="AM1981" s="221">
        <f t="shared" si="1659"/>
        <v>0</v>
      </c>
      <c r="AN1981" s="153">
        <f t="shared" si="1622"/>
        <v>0</v>
      </c>
      <c r="AO1981" s="154">
        <f t="shared" si="1623"/>
        <v>0</v>
      </c>
      <c r="AP1981" s="221">
        <v>0</v>
      </c>
      <c r="AQ1981" s="223">
        <v>0</v>
      </c>
      <c r="AR1981" s="222">
        <f t="shared" ref="AR1981:AS1982" si="1661">AR1982</f>
        <v>0</v>
      </c>
      <c r="AS1981" s="221">
        <f t="shared" si="1661"/>
        <v>0</v>
      </c>
      <c r="AT1981" s="155"/>
      <c r="AU1981" s="156">
        <f t="shared" si="1618"/>
        <v>0</v>
      </c>
      <c r="AV1981" s="156">
        <f t="shared" si="1619"/>
        <v>0</v>
      </c>
      <c r="AW1981" s="157"/>
      <c r="AX1981" s="150">
        <v>0</v>
      </c>
      <c r="AY1981" s="221">
        <f t="shared" ref="AY1981:BA1982" si="1662">AY1982</f>
        <v>0</v>
      </c>
      <c r="AZ1981" s="221">
        <f t="shared" si="1662"/>
        <v>0</v>
      </c>
      <c r="BA1981" s="221">
        <f t="shared" si="1662"/>
        <v>0</v>
      </c>
      <c r="BB1981" s="254">
        <v>5</v>
      </c>
      <c r="BC1981" s="255" t="s">
        <v>779</v>
      </c>
      <c r="BD1981" s="255" t="s">
        <v>647</v>
      </c>
      <c r="BE1981" s="173" t="s">
        <v>630</v>
      </c>
      <c r="BF1981" s="255" t="s">
        <v>630</v>
      </c>
      <c r="BG1981" s="175" t="s">
        <v>121</v>
      </c>
      <c r="BH1981" s="224">
        <f>BH1982</f>
        <v>0</v>
      </c>
      <c r="BI1981" s="254"/>
      <c r="BJ1981" s="255" t="s">
        <v>9728</v>
      </c>
      <c r="BK1981" s="255" t="s">
        <v>488</v>
      </c>
      <c r="BL1981" s="182" t="s">
        <v>9729</v>
      </c>
      <c r="BM1981" s="337">
        <f>BM1982</f>
        <v>0</v>
      </c>
      <c r="BN1981" s="160"/>
      <c r="BO1981" s="161"/>
      <c r="BP1981" s="161"/>
    </row>
    <row r="1982" spans="1:68">
      <c r="A1982" s="183" t="s">
        <v>488</v>
      </c>
      <c r="B1982" s="184"/>
      <c r="C1982" s="185" t="s">
        <v>121</v>
      </c>
      <c r="D1982" s="146" t="s">
        <v>4692</v>
      </c>
      <c r="E1982" s="185" t="s">
        <v>121</v>
      </c>
      <c r="F1982" s="188">
        <v>0</v>
      </c>
      <c r="G1982" s="187">
        <v>0</v>
      </c>
      <c r="H1982" s="187"/>
      <c r="I1982" s="187">
        <v>0</v>
      </c>
      <c r="J1982" s="188">
        <f>J1983</f>
        <v>0</v>
      </c>
      <c r="K1982" s="188">
        <f>K1983</f>
        <v>0</v>
      </c>
      <c r="L1982" s="188">
        <f t="shared" si="1626"/>
        <v>0</v>
      </c>
      <c r="M1982" s="188">
        <v>0</v>
      </c>
      <c r="N1982" s="188">
        <v>0</v>
      </c>
      <c r="O1982" s="188">
        <v>0</v>
      </c>
      <c r="P1982" s="299">
        <f t="shared" si="1659"/>
        <v>0</v>
      </c>
      <c r="Q1982" s="299">
        <f t="shared" si="1659"/>
        <v>0</v>
      </c>
      <c r="R1982" s="299">
        <f t="shared" si="1659"/>
        <v>0</v>
      </c>
      <c r="S1982" s="150">
        <f t="shared" si="1624"/>
        <v>0</v>
      </c>
      <c r="T1982" s="213"/>
      <c r="U1982" s="299">
        <f t="shared" si="1660"/>
        <v>0</v>
      </c>
      <c r="V1982" s="226">
        <f t="shared" si="1660"/>
        <v>0</v>
      </c>
      <c r="W1982" s="299">
        <f t="shared" si="1660"/>
        <v>0</v>
      </c>
      <c r="X1982" s="299">
        <v>0</v>
      </c>
      <c r="Y1982" s="299">
        <v>0</v>
      </c>
      <c r="Z1982" s="299">
        <v>0</v>
      </c>
      <c r="AA1982" s="299">
        <f t="shared" si="1620"/>
        <v>0</v>
      </c>
      <c r="AB1982" s="299">
        <v>0</v>
      </c>
      <c r="AC1982" s="226">
        <v>0</v>
      </c>
      <c r="AD1982" s="299">
        <f t="shared" si="1659"/>
        <v>0</v>
      </c>
      <c r="AE1982" s="299">
        <v>0</v>
      </c>
      <c r="AF1982" s="169" t="s">
        <v>4680</v>
      </c>
      <c r="AG1982" s="301">
        <v>0</v>
      </c>
      <c r="AH1982" s="226">
        <v>0</v>
      </c>
      <c r="AI1982" s="299">
        <v>0</v>
      </c>
      <c r="AJ1982" s="169">
        <f t="shared" si="1621"/>
        <v>0</v>
      </c>
      <c r="AK1982" s="301">
        <v>0</v>
      </c>
      <c r="AL1982" s="226">
        <v>0</v>
      </c>
      <c r="AM1982" s="299">
        <f t="shared" si="1659"/>
        <v>0</v>
      </c>
      <c r="AN1982" s="153">
        <f t="shared" si="1622"/>
        <v>0</v>
      </c>
      <c r="AO1982" s="154">
        <f t="shared" si="1623"/>
        <v>0</v>
      </c>
      <c r="AP1982" s="299">
        <v>0</v>
      </c>
      <c r="AQ1982" s="301">
        <v>0</v>
      </c>
      <c r="AR1982" s="226">
        <f t="shared" si="1661"/>
        <v>0</v>
      </c>
      <c r="AS1982" s="299">
        <f t="shared" si="1661"/>
        <v>0</v>
      </c>
      <c r="AT1982" s="155"/>
      <c r="AU1982" s="156">
        <f t="shared" si="1618"/>
        <v>0</v>
      </c>
      <c r="AV1982" s="156">
        <f t="shared" si="1619"/>
        <v>0</v>
      </c>
      <c r="AW1982" s="157"/>
      <c r="AX1982" s="150">
        <v>0</v>
      </c>
      <c r="AY1982" s="299">
        <f t="shared" si="1662"/>
        <v>0</v>
      </c>
      <c r="AZ1982" s="299">
        <f t="shared" si="1662"/>
        <v>0</v>
      </c>
      <c r="BA1982" s="299">
        <f t="shared" si="1662"/>
        <v>0</v>
      </c>
      <c r="BB1982" s="191">
        <v>5</v>
      </c>
      <c r="BC1982" s="183" t="s">
        <v>779</v>
      </c>
      <c r="BD1982" s="183" t="s">
        <v>647</v>
      </c>
      <c r="BE1982" s="183" t="s">
        <v>632</v>
      </c>
      <c r="BF1982" s="183" t="s">
        <v>630</v>
      </c>
      <c r="BG1982" s="185" t="s">
        <v>121</v>
      </c>
      <c r="BH1982" s="215">
        <f>BH1983</f>
        <v>0</v>
      </c>
      <c r="BI1982" s="191"/>
      <c r="BJ1982" s="183" t="s">
        <v>9728</v>
      </c>
      <c r="BK1982" s="183" t="s">
        <v>488</v>
      </c>
      <c r="BL1982" s="238" t="s">
        <v>9730</v>
      </c>
      <c r="BM1982" s="338">
        <f>BM1983</f>
        <v>0</v>
      </c>
      <c r="BN1982" s="160"/>
      <c r="BO1982" s="161"/>
      <c r="BP1982" s="161"/>
    </row>
    <row r="1983" spans="1:68">
      <c r="A1983" s="194" t="s">
        <v>488</v>
      </c>
      <c r="B1983" s="195" t="s">
        <v>9731</v>
      </c>
      <c r="C1983" s="196" t="s">
        <v>9732</v>
      </c>
      <c r="D1983" s="146" t="s">
        <v>4692</v>
      </c>
      <c r="E1983" s="196" t="s">
        <v>9732</v>
      </c>
      <c r="F1983" s="150">
        <v>0</v>
      </c>
      <c r="G1983" s="209">
        <v>7368898.7899999991</v>
      </c>
      <c r="H1983" s="209">
        <v>-3552281</v>
      </c>
      <c r="I1983" s="209">
        <v>3816617.7899999991</v>
      </c>
      <c r="J1983" s="150">
        <v>0</v>
      </c>
      <c r="K1983" s="150">
        <v>0</v>
      </c>
      <c r="L1983" s="150">
        <f t="shared" si="1626"/>
        <v>0</v>
      </c>
      <c r="M1983" s="150">
        <v>0</v>
      </c>
      <c r="N1983" s="150"/>
      <c r="O1983" s="150">
        <v>0</v>
      </c>
      <c r="P1983" s="150">
        <v>0</v>
      </c>
      <c r="Q1983" s="150">
        <v>0</v>
      </c>
      <c r="R1983" s="150">
        <f>P1983+Q1983</f>
        <v>0</v>
      </c>
      <c r="S1983" s="150">
        <f t="shared" si="1624"/>
        <v>0</v>
      </c>
      <c r="T1983" s="150"/>
      <c r="U1983" s="150">
        <v>0</v>
      </c>
      <c r="V1983" s="199"/>
      <c r="W1983" s="150">
        <f>U1983+V1983</f>
        <v>0</v>
      </c>
      <c r="X1983" s="150">
        <v>0</v>
      </c>
      <c r="Y1983" s="150"/>
      <c r="Z1983" s="150">
        <v>0</v>
      </c>
      <c r="AA1983" s="150">
        <f t="shared" si="1620"/>
        <v>0</v>
      </c>
      <c r="AB1983" s="150">
        <v>0</v>
      </c>
      <c r="AC1983" s="199"/>
      <c r="AD1983" s="150">
        <f>AB1983+AC1983</f>
        <v>0</v>
      </c>
      <c r="AE1983" s="150">
        <v>0</v>
      </c>
      <c r="AF1983" s="169" t="s">
        <v>4680</v>
      </c>
      <c r="AG1983" s="201">
        <v>0</v>
      </c>
      <c r="AH1983" s="199"/>
      <c r="AI1983" s="150">
        <v>0</v>
      </c>
      <c r="AJ1983" s="169">
        <f t="shared" si="1621"/>
        <v>0</v>
      </c>
      <c r="AK1983" s="201">
        <v>0</v>
      </c>
      <c r="AL1983" s="199"/>
      <c r="AM1983" s="150">
        <f>AK1983+AL1983</f>
        <v>0</v>
      </c>
      <c r="AN1983" s="153">
        <f t="shared" si="1622"/>
        <v>0</v>
      </c>
      <c r="AO1983" s="154">
        <f t="shared" si="1623"/>
        <v>0</v>
      </c>
      <c r="AP1983" s="150">
        <v>0</v>
      </c>
      <c r="AQ1983" s="201">
        <v>0</v>
      </c>
      <c r="AR1983" s="199"/>
      <c r="AS1983" s="150">
        <f>AQ1983+AR1983</f>
        <v>0</v>
      </c>
      <c r="AT1983" s="155"/>
      <c r="AU1983" s="156">
        <f t="shared" si="1618"/>
        <v>0</v>
      </c>
      <c r="AV1983" s="156">
        <f t="shared" si="1619"/>
        <v>0</v>
      </c>
      <c r="AW1983" s="157"/>
      <c r="AX1983" s="150">
        <v>0</v>
      </c>
      <c r="AY1983" s="150">
        <v>0</v>
      </c>
      <c r="AZ1983" s="150"/>
      <c r="BA1983" s="150">
        <f t="shared" si="1658"/>
        <v>0</v>
      </c>
      <c r="BB1983" s="202">
        <v>5</v>
      </c>
      <c r="BC1983" s="202" t="s">
        <v>779</v>
      </c>
      <c r="BD1983" s="202" t="s">
        <v>647</v>
      </c>
      <c r="BE1983" s="202" t="s">
        <v>632</v>
      </c>
      <c r="BF1983" s="202" t="s">
        <v>632</v>
      </c>
      <c r="BG1983" s="203" t="s">
        <v>121</v>
      </c>
      <c r="BH1983" s="216">
        <f>AS1983</f>
        <v>0</v>
      </c>
      <c r="BI1983" s="202"/>
      <c r="BJ1983" s="194" t="s">
        <v>9728</v>
      </c>
      <c r="BK1983" s="194" t="s">
        <v>488</v>
      </c>
      <c r="BL1983" s="207" t="s">
        <v>9730</v>
      </c>
      <c r="BM1983" s="208">
        <f>BH1983</f>
        <v>0</v>
      </c>
      <c r="BN1983" s="160"/>
      <c r="BO1983" s="161"/>
      <c r="BP1983" s="161"/>
    </row>
    <row r="1984" spans="1:68" ht="25.5">
      <c r="A1984" s="255" t="s">
        <v>9733</v>
      </c>
      <c r="B1984" s="174"/>
      <c r="C1984" s="175" t="s">
        <v>492</v>
      </c>
      <c r="D1984" s="146" t="s">
        <v>4692</v>
      </c>
      <c r="E1984" s="175" t="s">
        <v>492</v>
      </c>
      <c r="F1984" s="176">
        <v>3789703.6899999995</v>
      </c>
      <c r="G1984" s="177">
        <v>528883.43000000005</v>
      </c>
      <c r="H1984" s="177">
        <v>0</v>
      </c>
      <c r="I1984" s="177">
        <v>528883.43000000005</v>
      </c>
      <c r="J1984" s="176">
        <f>J1985+J1989</f>
        <v>3603071.4400000004</v>
      </c>
      <c r="K1984" s="176">
        <f>K1985+K1989</f>
        <v>-1776853.4456000002</v>
      </c>
      <c r="L1984" s="176">
        <f t="shared" si="1626"/>
        <v>1826217.9944000002</v>
      </c>
      <c r="M1984" s="178">
        <v>4637638.3092</v>
      </c>
      <c r="N1984" s="178">
        <v>148803.61225999999</v>
      </c>
      <c r="O1984" s="178">
        <v>4786441.9214599999</v>
      </c>
      <c r="P1984" s="221">
        <f t="shared" ref="P1984:R1984" si="1663">P1985+P1989</f>
        <v>6446845.9399999985</v>
      </c>
      <c r="Q1984" s="221">
        <f t="shared" si="1663"/>
        <v>-4592141.0937400004</v>
      </c>
      <c r="R1984" s="221">
        <f t="shared" si="1663"/>
        <v>1854704.84626</v>
      </c>
      <c r="S1984" s="150">
        <f t="shared" si="1624"/>
        <v>2472939.7950133332</v>
      </c>
      <c r="T1984" s="213"/>
      <c r="U1984" s="221">
        <f t="shared" ref="U1984:W1984" si="1664">U1985+U1989</f>
        <v>7705345.1599999983</v>
      </c>
      <c r="V1984" s="222">
        <f t="shared" si="1664"/>
        <v>-2757309.38</v>
      </c>
      <c r="W1984" s="221">
        <f t="shared" si="1664"/>
        <v>4948035.7799999984</v>
      </c>
      <c r="X1984" s="221">
        <v>7705345.1599999983</v>
      </c>
      <c r="Y1984" s="221">
        <v>-2757309.38</v>
      </c>
      <c r="Z1984" s="221">
        <v>4948035.7799999984</v>
      </c>
      <c r="AA1984" s="221">
        <f t="shared" si="1620"/>
        <v>407993.70000000019</v>
      </c>
      <c r="AB1984" s="221">
        <v>10023206.319999998</v>
      </c>
      <c r="AC1984" s="222">
        <v>-4667176.8399999989</v>
      </c>
      <c r="AD1984" s="221">
        <f t="shared" ref="AD1984" si="1665">AD1985+AD1989</f>
        <v>5356029.4799999986</v>
      </c>
      <c r="AE1984" s="221">
        <v>3431818.3199999994</v>
      </c>
      <c r="AF1984" s="169" t="s">
        <v>4680</v>
      </c>
      <c r="AG1984" s="223">
        <v>10016906.319999998</v>
      </c>
      <c r="AH1984" s="222">
        <v>-6585087.9999999991</v>
      </c>
      <c r="AI1984" s="221">
        <v>3431818.3199999994</v>
      </c>
      <c r="AJ1984" s="169">
        <f t="shared" si="1621"/>
        <v>-1960</v>
      </c>
      <c r="AK1984" s="223">
        <v>10014946.319999998</v>
      </c>
      <c r="AL1984" s="222">
        <v>-6585087.9999999991</v>
      </c>
      <c r="AM1984" s="221">
        <f t="shared" ref="AM1984" si="1666">AM1985+AM1989</f>
        <v>3429858.3199999994</v>
      </c>
      <c r="AN1984" s="153">
        <f t="shared" si="1622"/>
        <v>-0.40000000037252903</v>
      </c>
      <c r="AO1984" s="154">
        <f t="shared" si="1623"/>
        <v>0</v>
      </c>
      <c r="AP1984" s="221">
        <v>3429857.919999999</v>
      </c>
      <c r="AQ1984" s="223">
        <v>3429857.919999999</v>
      </c>
      <c r="AR1984" s="222">
        <f t="shared" ref="AR1984:AS1984" si="1667">AR1985+AR1989</f>
        <v>0</v>
      </c>
      <c r="AS1984" s="221">
        <f t="shared" si="1667"/>
        <v>3429857.919999999</v>
      </c>
      <c r="AT1984" s="155"/>
      <c r="AU1984" s="156">
        <f t="shared" si="1618"/>
        <v>-1926171.1599999992</v>
      </c>
      <c r="AV1984" s="156">
        <f t="shared" si="1619"/>
        <v>407993.70000000019</v>
      </c>
      <c r="AW1984" s="157"/>
      <c r="AX1984" s="150">
        <v>4948035.7799999984</v>
      </c>
      <c r="AY1984" s="221">
        <f t="shared" ref="AY1984:BA1984" si="1668">AY1985+AY1989</f>
        <v>8178924.0599999996</v>
      </c>
      <c r="AZ1984" s="221">
        <f t="shared" si="1668"/>
        <v>-4287028.71</v>
      </c>
      <c r="BA1984" s="221">
        <f t="shared" si="1668"/>
        <v>3891895.3499999996</v>
      </c>
      <c r="BB1984" s="254">
        <v>5</v>
      </c>
      <c r="BC1984" s="255" t="s">
        <v>779</v>
      </c>
      <c r="BD1984" s="255" t="s">
        <v>671</v>
      </c>
      <c r="BE1984" s="173" t="s">
        <v>630</v>
      </c>
      <c r="BF1984" s="255" t="s">
        <v>630</v>
      </c>
      <c r="BG1984" s="175" t="s">
        <v>492</v>
      </c>
      <c r="BH1984" s="224">
        <f>BH1985+BH1989</f>
        <v>3429857.92</v>
      </c>
      <c r="BI1984" s="254"/>
      <c r="BJ1984" s="255" t="s">
        <v>9734</v>
      </c>
      <c r="BK1984" s="255" t="s">
        <v>9733</v>
      </c>
      <c r="BL1984" s="182" t="s">
        <v>9735</v>
      </c>
      <c r="BM1984" s="337">
        <f>BM1985+BM1989</f>
        <v>3429857.92</v>
      </c>
      <c r="BN1984" s="160"/>
      <c r="BO1984" s="161"/>
      <c r="BP1984" s="161"/>
    </row>
    <row r="1985" spans="1:69" ht="51">
      <c r="A1985" s="183" t="s">
        <v>489</v>
      </c>
      <c r="B1985" s="184"/>
      <c r="C1985" s="185" t="s">
        <v>490</v>
      </c>
      <c r="D1985" s="146" t="s">
        <v>4692</v>
      </c>
      <c r="E1985" s="185" t="s">
        <v>490</v>
      </c>
      <c r="F1985" s="188">
        <v>445696.29</v>
      </c>
      <c r="G1985" s="187">
        <v>456711.03</v>
      </c>
      <c r="H1985" s="187"/>
      <c r="I1985" s="187">
        <v>456711.03</v>
      </c>
      <c r="J1985" s="188">
        <f>SUM(J1986:J1988)</f>
        <v>141446.66999999998</v>
      </c>
      <c r="K1985" s="188">
        <f>SUM(K1986:K1988)</f>
        <v>0</v>
      </c>
      <c r="L1985" s="188">
        <f t="shared" si="1626"/>
        <v>141446.66999999998</v>
      </c>
      <c r="M1985" s="188">
        <v>298358.23</v>
      </c>
      <c r="N1985" s="188">
        <v>14642.120000000003</v>
      </c>
      <c r="O1985" s="188">
        <v>313000.34999999998</v>
      </c>
      <c r="P1985" s="299">
        <f t="shared" ref="P1985:R1985" si="1669">SUM(P1986:P1988)</f>
        <v>464421.13</v>
      </c>
      <c r="Q1985" s="299">
        <f t="shared" si="1669"/>
        <v>0</v>
      </c>
      <c r="R1985" s="299">
        <f t="shared" si="1669"/>
        <v>464421.13</v>
      </c>
      <c r="S1985" s="150">
        <f t="shared" si="1624"/>
        <v>619228.17333333334</v>
      </c>
      <c r="T1985" s="213"/>
      <c r="U1985" s="299">
        <f t="shared" ref="U1985:W1985" si="1670">SUM(U1986:U1988)</f>
        <v>618101.89</v>
      </c>
      <c r="V1985" s="226">
        <f t="shared" si="1670"/>
        <v>0</v>
      </c>
      <c r="W1985" s="299">
        <f t="shared" si="1670"/>
        <v>618101.89</v>
      </c>
      <c r="X1985" s="299">
        <v>618101.89</v>
      </c>
      <c r="Y1985" s="299">
        <v>0</v>
      </c>
      <c r="Z1985" s="299">
        <v>618101.89</v>
      </c>
      <c r="AA1985" s="299">
        <f t="shared" si="1620"/>
        <v>19095.039999999921</v>
      </c>
      <c r="AB1985" s="299">
        <v>637196.92999999993</v>
      </c>
      <c r="AC1985" s="226">
        <v>0</v>
      </c>
      <c r="AD1985" s="299">
        <f t="shared" ref="AD1985" si="1671">SUM(AD1986:AD1988)</f>
        <v>637196.92999999993</v>
      </c>
      <c r="AE1985" s="299">
        <v>637196.92999999993</v>
      </c>
      <c r="AF1985" s="169" t="s">
        <v>4680</v>
      </c>
      <c r="AG1985" s="301">
        <v>637196.92999999993</v>
      </c>
      <c r="AH1985" s="226">
        <v>0</v>
      </c>
      <c r="AI1985" s="299">
        <v>637196.92999999993</v>
      </c>
      <c r="AJ1985" s="169">
        <f t="shared" si="1621"/>
        <v>0</v>
      </c>
      <c r="AK1985" s="301">
        <v>637196.92999999993</v>
      </c>
      <c r="AL1985" s="226">
        <v>0</v>
      </c>
      <c r="AM1985" s="299">
        <f t="shared" ref="AM1985" si="1672">SUM(AM1986:AM1988)</f>
        <v>637196.92999999993</v>
      </c>
      <c r="AN1985" s="153">
        <f t="shared" si="1622"/>
        <v>0</v>
      </c>
      <c r="AO1985" s="154">
        <f t="shared" si="1623"/>
        <v>0</v>
      </c>
      <c r="AP1985" s="299">
        <v>637196.92999999993</v>
      </c>
      <c r="AQ1985" s="301">
        <v>637196.92999999993</v>
      </c>
      <c r="AR1985" s="226">
        <f t="shared" ref="AR1985:AS1985" si="1673">SUM(AR1986:AR1988)</f>
        <v>0</v>
      </c>
      <c r="AS1985" s="299">
        <f t="shared" si="1673"/>
        <v>637196.92999999993</v>
      </c>
      <c r="AT1985" s="155"/>
      <c r="AU1985" s="156">
        <f t="shared" si="1618"/>
        <v>0</v>
      </c>
      <c r="AV1985" s="156">
        <f t="shared" si="1619"/>
        <v>19095.039999999921</v>
      </c>
      <c r="AW1985" s="157"/>
      <c r="AX1985" s="150">
        <v>618101.89</v>
      </c>
      <c r="AY1985" s="299">
        <f t="shared" ref="AY1985:BA1985" si="1674">SUM(AY1986:AY1988)</f>
        <v>351744.51</v>
      </c>
      <c r="AZ1985" s="299">
        <f t="shared" si="1674"/>
        <v>0</v>
      </c>
      <c r="BA1985" s="299">
        <f t="shared" si="1674"/>
        <v>351744.51</v>
      </c>
      <c r="BB1985" s="191">
        <v>5</v>
      </c>
      <c r="BC1985" s="183" t="s">
        <v>779</v>
      </c>
      <c r="BD1985" s="183" t="s">
        <v>671</v>
      </c>
      <c r="BE1985" s="183" t="s">
        <v>632</v>
      </c>
      <c r="BF1985" s="183" t="s">
        <v>630</v>
      </c>
      <c r="BG1985" s="185" t="s">
        <v>490</v>
      </c>
      <c r="BH1985" s="215">
        <f>BH1986</f>
        <v>637196.92999999993</v>
      </c>
      <c r="BI1985" s="191"/>
      <c r="BJ1985" s="183" t="s">
        <v>9736</v>
      </c>
      <c r="BK1985" s="183" t="s">
        <v>489</v>
      </c>
      <c r="BL1985" s="238" t="s">
        <v>9737</v>
      </c>
      <c r="BM1985" s="338">
        <f>BM1986</f>
        <v>637196.92999999993</v>
      </c>
      <c r="BN1985" s="160"/>
      <c r="BO1985" s="161"/>
      <c r="BP1985" s="161"/>
    </row>
    <row r="1986" spans="1:69" ht="51">
      <c r="A1986" s="194" t="s">
        <v>489</v>
      </c>
      <c r="B1986" s="195" t="s">
        <v>9738</v>
      </c>
      <c r="C1986" s="196" t="s">
        <v>9739</v>
      </c>
      <c r="D1986" s="146" t="s">
        <v>4692</v>
      </c>
      <c r="E1986" s="196" t="s">
        <v>9739</v>
      </c>
      <c r="F1986" s="150">
        <v>353580.03</v>
      </c>
      <c r="G1986" s="209">
        <v>38978.36</v>
      </c>
      <c r="H1986" s="209"/>
      <c r="I1986" s="209">
        <v>38978.36</v>
      </c>
      <c r="J1986" s="150">
        <v>133471.10999999999</v>
      </c>
      <c r="K1986" s="150">
        <v>0</v>
      </c>
      <c r="L1986" s="150">
        <f t="shared" si="1626"/>
        <v>133471.10999999999</v>
      </c>
      <c r="M1986" s="150">
        <v>266942.21999999997</v>
      </c>
      <c r="N1986" s="150"/>
      <c r="O1986" s="150">
        <v>266942.21999999997</v>
      </c>
      <c r="P1986" s="150">
        <v>405012.56</v>
      </c>
      <c r="Q1986" s="150">
        <v>0</v>
      </c>
      <c r="R1986" s="150">
        <f>P1986+Q1986</f>
        <v>405012.56</v>
      </c>
      <c r="S1986" s="150">
        <f t="shared" si="1624"/>
        <v>540016.7466666667</v>
      </c>
      <c r="T1986" s="150"/>
      <c r="U1986" s="150">
        <v>543216.48</v>
      </c>
      <c r="V1986" s="199"/>
      <c r="W1986" s="150">
        <f>U1986+V1986</f>
        <v>543216.48</v>
      </c>
      <c r="X1986" s="150">
        <v>543216.48</v>
      </c>
      <c r="Y1986" s="150"/>
      <c r="Z1986" s="150">
        <v>543216.48</v>
      </c>
      <c r="AA1986" s="150">
        <f t="shared" si="1620"/>
        <v>0</v>
      </c>
      <c r="AB1986" s="150">
        <v>543216.48</v>
      </c>
      <c r="AC1986" s="199"/>
      <c r="AD1986" s="150">
        <f>AB1986+AC1986</f>
        <v>543216.48</v>
      </c>
      <c r="AE1986" s="150">
        <v>543216.48</v>
      </c>
      <c r="AF1986" s="169" t="s">
        <v>4680</v>
      </c>
      <c r="AG1986" s="201">
        <v>543216.48</v>
      </c>
      <c r="AH1986" s="199"/>
      <c r="AI1986" s="150">
        <v>543216.48</v>
      </c>
      <c r="AJ1986" s="169">
        <f t="shared" si="1621"/>
        <v>0</v>
      </c>
      <c r="AK1986" s="201">
        <v>543216.48</v>
      </c>
      <c r="AL1986" s="199"/>
      <c r="AM1986" s="150">
        <f>AK1986+AL1986</f>
        <v>543216.48</v>
      </c>
      <c r="AN1986" s="153">
        <f t="shared" si="1622"/>
        <v>0</v>
      </c>
      <c r="AO1986" s="154">
        <f t="shared" si="1623"/>
        <v>0</v>
      </c>
      <c r="AP1986" s="150">
        <v>543216.48</v>
      </c>
      <c r="AQ1986" s="201">
        <v>543216.48</v>
      </c>
      <c r="AR1986" s="199"/>
      <c r="AS1986" s="150">
        <f>AQ1986+AR1986</f>
        <v>543216.48</v>
      </c>
      <c r="AT1986" s="155"/>
      <c r="AU1986" s="156">
        <f t="shared" ref="AU1986:AU2049" si="1675">AM1986-AD1986</f>
        <v>0</v>
      </c>
      <c r="AV1986" s="156">
        <f t="shared" ref="AV1986:AV2049" si="1676">AD1986-AX1986</f>
        <v>0</v>
      </c>
      <c r="AW1986" s="157"/>
      <c r="AX1986" s="150">
        <v>543216.48</v>
      </c>
      <c r="AY1986" s="150">
        <v>310180.06</v>
      </c>
      <c r="AZ1986" s="150"/>
      <c r="BA1986" s="150">
        <f t="shared" si="1658"/>
        <v>310180.06</v>
      </c>
      <c r="BB1986" s="202">
        <v>5</v>
      </c>
      <c r="BC1986" s="202" t="s">
        <v>779</v>
      </c>
      <c r="BD1986" s="202" t="s">
        <v>671</v>
      </c>
      <c r="BE1986" s="202" t="s">
        <v>632</v>
      </c>
      <c r="BF1986" s="202" t="s">
        <v>632</v>
      </c>
      <c r="BG1986" s="203" t="s">
        <v>490</v>
      </c>
      <c r="BH1986" s="216">
        <f>SUM(AS1986:AS1988)</f>
        <v>637196.92999999993</v>
      </c>
      <c r="BI1986" s="202"/>
      <c r="BJ1986" s="194" t="s">
        <v>9736</v>
      </c>
      <c r="BK1986" s="194" t="s">
        <v>489</v>
      </c>
      <c r="BL1986" s="207" t="s">
        <v>9737</v>
      </c>
      <c r="BM1986" s="208">
        <f>BH1986</f>
        <v>637196.92999999993</v>
      </c>
      <c r="BN1986" s="160"/>
      <c r="BO1986" s="161"/>
      <c r="BP1986" s="161"/>
    </row>
    <row r="1987" spans="1:69" ht="25.5">
      <c r="A1987" s="210"/>
      <c r="B1987" s="195" t="s">
        <v>9740</v>
      </c>
      <c r="C1987" s="196" t="s">
        <v>9741</v>
      </c>
      <c r="D1987" s="146" t="s">
        <v>4692</v>
      </c>
      <c r="E1987" s="196" t="s">
        <v>9741</v>
      </c>
      <c r="F1987" s="150">
        <v>58922.22</v>
      </c>
      <c r="G1987" s="209">
        <v>33194.04</v>
      </c>
      <c r="H1987" s="209"/>
      <c r="I1987" s="209">
        <v>33194.04</v>
      </c>
      <c r="J1987" s="150">
        <v>7975.56</v>
      </c>
      <c r="K1987" s="150">
        <v>0</v>
      </c>
      <c r="L1987" s="150">
        <f t="shared" si="1626"/>
        <v>7975.56</v>
      </c>
      <c r="M1987" s="150">
        <v>19795.189999999999</v>
      </c>
      <c r="N1987" s="150">
        <v>9665.9200000000019</v>
      </c>
      <c r="O1987" s="150">
        <v>29461.11</v>
      </c>
      <c r="P1987" s="150">
        <v>28041.9</v>
      </c>
      <c r="Q1987" s="150">
        <v>0</v>
      </c>
      <c r="R1987" s="150">
        <f>P1987+Q1987</f>
        <v>28041.9</v>
      </c>
      <c r="S1987" s="150">
        <f t="shared" si="1624"/>
        <v>37389.200000000004</v>
      </c>
      <c r="T1987" s="150"/>
      <c r="U1987" s="150">
        <v>38814.17</v>
      </c>
      <c r="V1987" s="199"/>
      <c r="W1987" s="150">
        <f>U1987+V1987</f>
        <v>38814.17</v>
      </c>
      <c r="X1987" s="150">
        <v>38814.17</v>
      </c>
      <c r="Y1987" s="150"/>
      <c r="Z1987" s="150">
        <v>38814.17</v>
      </c>
      <c r="AA1987" s="150">
        <f t="shared" ref="AA1987:AA2050" si="1677">AD1987-Z1987</f>
        <v>19095.04</v>
      </c>
      <c r="AB1987" s="150">
        <v>57909.21</v>
      </c>
      <c r="AC1987" s="199"/>
      <c r="AD1987" s="150">
        <f>AB1987+AC1987</f>
        <v>57909.21</v>
      </c>
      <c r="AE1987" s="150">
        <v>57909.21</v>
      </c>
      <c r="AF1987" s="169" t="s">
        <v>4680</v>
      </c>
      <c r="AG1987" s="201">
        <v>57909.21</v>
      </c>
      <c r="AH1987" s="199"/>
      <c r="AI1987" s="150">
        <v>57909.21</v>
      </c>
      <c r="AJ1987" s="169">
        <f t="shared" ref="AJ1987:AJ2050" si="1678">AM1987-AI1987</f>
        <v>0</v>
      </c>
      <c r="AK1987" s="201">
        <v>57909.21</v>
      </c>
      <c r="AL1987" s="199"/>
      <c r="AM1987" s="150">
        <f>AK1987+AL1987</f>
        <v>57909.21</v>
      </c>
      <c r="AN1987" s="153">
        <f t="shared" ref="AN1987:AN2050" si="1679">AS1987-AM1987</f>
        <v>0</v>
      </c>
      <c r="AO1987" s="154">
        <f t="shared" ref="AO1987:AO2050" si="1680">AS1987-AP1987</f>
        <v>0</v>
      </c>
      <c r="AP1987" s="150">
        <v>57909.21</v>
      </c>
      <c r="AQ1987" s="201">
        <v>57909.21</v>
      </c>
      <c r="AR1987" s="199"/>
      <c r="AS1987" s="150">
        <f>AQ1987+AR1987</f>
        <v>57909.21</v>
      </c>
      <c r="AT1987" s="155"/>
      <c r="AU1987" s="156">
        <f t="shared" si="1675"/>
        <v>0</v>
      </c>
      <c r="AV1987" s="156">
        <f t="shared" si="1676"/>
        <v>19095.04</v>
      </c>
      <c r="AW1987" s="157"/>
      <c r="AX1987" s="150">
        <v>38814.17</v>
      </c>
      <c r="AY1987" s="150">
        <v>21344.560000000001</v>
      </c>
      <c r="AZ1987" s="150"/>
      <c r="BA1987" s="150">
        <f t="shared" si="1658"/>
        <v>21344.560000000001</v>
      </c>
      <c r="BB1987" s="210"/>
      <c r="BC1987" s="210"/>
      <c r="BD1987" s="210"/>
      <c r="BE1987" s="210"/>
      <c r="BF1987" s="210"/>
      <c r="BG1987" s="210"/>
      <c r="BH1987" s="217"/>
      <c r="BI1987" s="210"/>
      <c r="BJ1987" s="210"/>
      <c r="BK1987" s="210"/>
      <c r="BL1987" s="210"/>
      <c r="BM1987" s="208"/>
      <c r="BN1987" s="160"/>
      <c r="BO1987" s="161"/>
      <c r="BP1987" s="161"/>
    </row>
    <row r="1988" spans="1:69" ht="38.25">
      <c r="A1988" s="210"/>
      <c r="B1988" s="195" t="s">
        <v>9742</v>
      </c>
      <c r="C1988" s="196" t="s">
        <v>9743</v>
      </c>
      <c r="D1988" s="146" t="s">
        <v>4692</v>
      </c>
      <c r="E1988" s="196" t="s">
        <v>9743</v>
      </c>
      <c r="F1988" s="150">
        <v>33194.04</v>
      </c>
      <c r="G1988" s="209">
        <v>6840015.3599999994</v>
      </c>
      <c r="H1988" s="209">
        <v>-3552281</v>
      </c>
      <c r="I1988" s="209">
        <v>3287734.3599999989</v>
      </c>
      <c r="J1988" s="150">
        <v>0</v>
      </c>
      <c r="K1988" s="150">
        <v>0</v>
      </c>
      <c r="L1988" s="150">
        <f t="shared" si="1626"/>
        <v>0</v>
      </c>
      <c r="M1988" s="150">
        <v>11620.82</v>
      </c>
      <c r="N1988" s="150">
        <v>4976.2000000000007</v>
      </c>
      <c r="O1988" s="150">
        <v>16597.02</v>
      </c>
      <c r="P1988" s="150">
        <v>31366.67</v>
      </c>
      <c r="Q1988" s="150">
        <v>0</v>
      </c>
      <c r="R1988" s="150">
        <f>P1988+Q1988</f>
        <v>31366.67</v>
      </c>
      <c r="S1988" s="150">
        <f t="shared" ref="S1988:S2051" si="1681">R1988/9*12</f>
        <v>41822.226666666662</v>
      </c>
      <c r="T1988" s="150"/>
      <c r="U1988" s="150">
        <v>36071.24</v>
      </c>
      <c r="V1988" s="199"/>
      <c r="W1988" s="150">
        <f>U1988+V1988</f>
        <v>36071.24</v>
      </c>
      <c r="X1988" s="150">
        <v>36071.24</v>
      </c>
      <c r="Y1988" s="150"/>
      <c r="Z1988" s="150">
        <v>36071.24</v>
      </c>
      <c r="AA1988" s="150">
        <f t="shared" si="1677"/>
        <v>0</v>
      </c>
      <c r="AB1988" s="150">
        <v>36071.24</v>
      </c>
      <c r="AC1988" s="199"/>
      <c r="AD1988" s="150">
        <f>AB1988+AC1988</f>
        <v>36071.24</v>
      </c>
      <c r="AE1988" s="150">
        <v>36071.24</v>
      </c>
      <c r="AF1988" s="169" t="s">
        <v>4680</v>
      </c>
      <c r="AG1988" s="201">
        <v>36071.24</v>
      </c>
      <c r="AH1988" s="199"/>
      <c r="AI1988" s="150">
        <v>36071.24</v>
      </c>
      <c r="AJ1988" s="169">
        <f t="shared" si="1678"/>
        <v>0</v>
      </c>
      <c r="AK1988" s="201">
        <v>36071.24</v>
      </c>
      <c r="AL1988" s="199"/>
      <c r="AM1988" s="150">
        <f>AK1988+AL1988</f>
        <v>36071.24</v>
      </c>
      <c r="AN1988" s="153">
        <f t="shared" si="1679"/>
        <v>0</v>
      </c>
      <c r="AO1988" s="154">
        <f t="shared" si="1680"/>
        <v>0</v>
      </c>
      <c r="AP1988" s="150">
        <v>36071.24</v>
      </c>
      <c r="AQ1988" s="201">
        <v>36071.24</v>
      </c>
      <c r="AR1988" s="199"/>
      <c r="AS1988" s="150">
        <f>AQ1988+AR1988</f>
        <v>36071.24</v>
      </c>
      <c r="AT1988" s="155"/>
      <c r="AU1988" s="156">
        <f t="shared" si="1675"/>
        <v>0</v>
      </c>
      <c r="AV1988" s="156">
        <f t="shared" si="1676"/>
        <v>0</v>
      </c>
      <c r="AW1988" s="157"/>
      <c r="AX1988" s="150">
        <v>36071.24</v>
      </c>
      <c r="AY1988" s="150">
        <v>20219.89</v>
      </c>
      <c r="AZ1988" s="150"/>
      <c r="BA1988" s="150">
        <f t="shared" si="1658"/>
        <v>20219.89</v>
      </c>
      <c r="BB1988" s="210"/>
      <c r="BC1988" s="210"/>
      <c r="BD1988" s="210"/>
      <c r="BE1988" s="210"/>
      <c r="BF1988" s="210"/>
      <c r="BG1988" s="210"/>
      <c r="BH1988" s="217"/>
      <c r="BI1988" s="210"/>
      <c r="BJ1988" s="210"/>
      <c r="BK1988" s="210"/>
      <c r="BL1988" s="210"/>
      <c r="BM1988" s="208"/>
      <c r="BN1988" s="160"/>
      <c r="BO1988" s="161"/>
      <c r="BP1988" s="161"/>
    </row>
    <row r="1989" spans="1:69" ht="25.5">
      <c r="A1989" s="183" t="s">
        <v>491</v>
      </c>
      <c r="B1989" s="184"/>
      <c r="C1989" s="185" t="s">
        <v>492</v>
      </c>
      <c r="D1989" s="146" t="s">
        <v>4692</v>
      </c>
      <c r="E1989" s="185" t="s">
        <v>492</v>
      </c>
      <c r="F1989" s="188">
        <v>3344007.3999999994</v>
      </c>
      <c r="G1989" s="187">
        <v>5787157.2199999997</v>
      </c>
      <c r="H1989" s="187">
        <v>-3556520</v>
      </c>
      <c r="I1989" s="187">
        <v>2230637.2199999997</v>
      </c>
      <c r="J1989" s="188">
        <f>SUM(J1990:J2029)</f>
        <v>3461624.7700000005</v>
      </c>
      <c r="K1989" s="188">
        <f>SUM(K1990:K2029)</f>
        <v>-1776853.4456000002</v>
      </c>
      <c r="L1989" s="188">
        <f t="shared" si="1626"/>
        <v>1684771.3244000003</v>
      </c>
      <c r="M1989" s="188">
        <v>4339280.0791999996</v>
      </c>
      <c r="N1989" s="188">
        <v>134161.49226</v>
      </c>
      <c r="O1989" s="188">
        <v>4473441.5714599993</v>
      </c>
      <c r="P1989" s="299">
        <f t="shared" ref="P1989:AD1989" si="1682">SUM(P1990:P2029)</f>
        <v>5982424.8099999987</v>
      </c>
      <c r="Q1989" s="299">
        <f t="shared" si="1682"/>
        <v>-4592141.0937400004</v>
      </c>
      <c r="R1989" s="299">
        <f t="shared" si="1682"/>
        <v>1390283.7162599999</v>
      </c>
      <c r="S1989" s="150">
        <f t="shared" si="1681"/>
        <v>1853711.6216799999</v>
      </c>
      <c r="T1989" s="213"/>
      <c r="U1989" s="299">
        <f t="shared" ref="U1989:W1989" si="1683">SUM(U1990:U2029)</f>
        <v>7087243.2699999986</v>
      </c>
      <c r="V1989" s="226">
        <f t="shared" si="1683"/>
        <v>-2757309.38</v>
      </c>
      <c r="W1989" s="299">
        <f t="shared" si="1683"/>
        <v>4329933.8899999987</v>
      </c>
      <c r="X1989" s="299">
        <v>7087243.2699999986</v>
      </c>
      <c r="Y1989" s="299">
        <v>-2757309.38</v>
      </c>
      <c r="Z1989" s="299">
        <v>4329933.8899999987</v>
      </c>
      <c r="AA1989" s="299">
        <f t="shared" si="1677"/>
        <v>388898.66000000015</v>
      </c>
      <c r="AB1989" s="299">
        <v>9386009.3899999987</v>
      </c>
      <c r="AC1989" s="226">
        <v>-4667176.8399999989</v>
      </c>
      <c r="AD1989" s="299">
        <f t="shared" si="1682"/>
        <v>4718832.5499999989</v>
      </c>
      <c r="AE1989" s="299">
        <v>2794621.3899999992</v>
      </c>
      <c r="AF1989" s="169" t="s">
        <v>4680</v>
      </c>
      <c r="AG1989" s="301">
        <v>9379709.3899999987</v>
      </c>
      <c r="AH1989" s="226">
        <v>-6585087.9999999991</v>
      </c>
      <c r="AI1989" s="299">
        <v>2794621.3899999992</v>
      </c>
      <c r="AJ1989" s="169">
        <f t="shared" si="1678"/>
        <v>-1960</v>
      </c>
      <c r="AK1989" s="301">
        <v>9377749.3899999987</v>
      </c>
      <c r="AL1989" s="226">
        <v>-6585087.9999999991</v>
      </c>
      <c r="AM1989" s="299">
        <f t="shared" ref="AM1989" si="1684">SUM(AM1990:AM2029)</f>
        <v>2792661.3899999992</v>
      </c>
      <c r="AN1989" s="153">
        <f t="shared" si="1679"/>
        <v>-0.39999999990686774</v>
      </c>
      <c r="AO1989" s="154">
        <f t="shared" si="1680"/>
        <v>0</v>
      </c>
      <c r="AP1989" s="299">
        <v>2792660.9899999993</v>
      </c>
      <c r="AQ1989" s="301">
        <v>2792660.9899999993</v>
      </c>
      <c r="AR1989" s="226">
        <f t="shared" ref="AR1989:AS1989" si="1685">SUM(AR1990:AR2029)</f>
        <v>0</v>
      </c>
      <c r="AS1989" s="299">
        <f t="shared" si="1685"/>
        <v>2792660.9899999993</v>
      </c>
      <c r="AT1989" s="155"/>
      <c r="AU1989" s="156">
        <f t="shared" si="1675"/>
        <v>-1926171.1599999997</v>
      </c>
      <c r="AV1989" s="156">
        <f t="shared" si="1676"/>
        <v>388898.66000000015</v>
      </c>
      <c r="AW1989" s="157"/>
      <c r="AX1989" s="150">
        <v>4329933.8899999987</v>
      </c>
      <c r="AY1989" s="299">
        <f t="shared" ref="AY1989:BA1989" si="1686">SUM(AY1990:AY2029)</f>
        <v>7827179.5499999998</v>
      </c>
      <c r="AZ1989" s="299">
        <f t="shared" si="1686"/>
        <v>-4287028.71</v>
      </c>
      <c r="BA1989" s="299">
        <f t="shared" si="1686"/>
        <v>3540150.84</v>
      </c>
      <c r="BB1989" s="191">
        <v>5</v>
      </c>
      <c r="BC1989" s="183" t="s">
        <v>779</v>
      </c>
      <c r="BD1989" s="183" t="s">
        <v>671</v>
      </c>
      <c r="BE1989" s="183" t="s">
        <v>647</v>
      </c>
      <c r="BF1989" s="183" t="s">
        <v>630</v>
      </c>
      <c r="BG1989" s="185" t="s">
        <v>492</v>
      </c>
      <c r="BH1989" s="215">
        <f>BH1990+BH1992+BH2028+BH2029</f>
        <v>2792660.99</v>
      </c>
      <c r="BI1989" s="191"/>
      <c r="BJ1989" s="183" t="s">
        <v>9744</v>
      </c>
      <c r="BK1989" s="183" t="s">
        <v>491</v>
      </c>
      <c r="BL1989" s="238" t="s">
        <v>9745</v>
      </c>
      <c r="BM1989" s="338">
        <f>BM1990+BM1992+BM2028+BM2029</f>
        <v>2792660.99</v>
      </c>
      <c r="BN1989" s="160"/>
      <c r="BO1989" s="161"/>
      <c r="BP1989" s="161"/>
      <c r="BQ1989" s="296"/>
    </row>
    <row r="1990" spans="1:69" ht="48">
      <c r="A1990" s="194" t="s">
        <v>491</v>
      </c>
      <c r="B1990" s="195" t="s">
        <v>9746</v>
      </c>
      <c r="C1990" s="196" t="s">
        <v>9747</v>
      </c>
      <c r="D1990" s="146" t="s">
        <v>4692</v>
      </c>
      <c r="E1990" s="196" t="s">
        <v>9747</v>
      </c>
      <c r="F1990" s="150">
        <v>2233509.5</v>
      </c>
      <c r="G1990" s="209">
        <v>180240.42</v>
      </c>
      <c r="H1990" s="209"/>
      <c r="I1990" s="209">
        <v>180240.42</v>
      </c>
      <c r="J1990" s="150">
        <v>3103336.11</v>
      </c>
      <c r="K1990" s="150">
        <v>-2000000</v>
      </c>
      <c r="L1990" s="150">
        <f t="shared" si="1626"/>
        <v>1103336.1099999999</v>
      </c>
      <c r="M1990" s="150">
        <v>3708497.2592000002</v>
      </c>
      <c r="N1990" s="150"/>
      <c r="O1990" s="150">
        <v>3708497.2592000002</v>
      </c>
      <c r="P1990" s="237">
        <v>5008224.7699999996</v>
      </c>
      <c r="Q1990" s="237">
        <f>411333.64-P1990</f>
        <v>-4596891.13</v>
      </c>
      <c r="R1990" s="150">
        <f t="shared" ref="R1990:R2029" si="1687">P1990+Q1990</f>
        <v>411333.63999999966</v>
      </c>
      <c r="S1990" s="150">
        <f t="shared" si="1681"/>
        <v>548444.85333333293</v>
      </c>
      <c r="T1990" s="150"/>
      <c r="U1990" s="150">
        <v>5571274.5999999996</v>
      </c>
      <c r="V1990" s="199">
        <f>2804899-U1990</f>
        <v>-2766375.5999999996</v>
      </c>
      <c r="W1990" s="150">
        <f t="shared" ref="W1990:W2029" si="1688">U1990+V1990</f>
        <v>2804899</v>
      </c>
      <c r="X1990" s="150">
        <v>5571274.5999999996</v>
      </c>
      <c r="Y1990" s="150">
        <v>-2766375.5999999996</v>
      </c>
      <c r="Z1990" s="150">
        <v>2804899</v>
      </c>
      <c r="AA1990" s="150">
        <f t="shared" si="1677"/>
        <v>0</v>
      </c>
      <c r="AB1990" s="150">
        <v>7481142.0599999996</v>
      </c>
      <c r="AC1990" s="199">
        <v>-4676243.0599999996</v>
      </c>
      <c r="AD1990" s="150">
        <f t="shared" ref="AD1990:AD2029" si="1689">AB1990+AC1990</f>
        <v>2804899</v>
      </c>
      <c r="AE1990" s="150">
        <v>1000736.4799999995</v>
      </c>
      <c r="AF1990" s="169" t="s">
        <v>4680</v>
      </c>
      <c r="AG1990" s="201">
        <v>7481142.0599999996</v>
      </c>
      <c r="AH1990" s="241">
        <v>-6480405.5800000001</v>
      </c>
      <c r="AI1990" s="150">
        <v>1000736.4799999995</v>
      </c>
      <c r="AJ1990" s="169">
        <f t="shared" si="1678"/>
        <v>0</v>
      </c>
      <c r="AK1990" s="201">
        <v>7481142.0599999996</v>
      </c>
      <c r="AL1990" s="241">
        <v>-6480405.5800000001</v>
      </c>
      <c r="AM1990" s="150">
        <f t="shared" ref="AM1990:AM2029" si="1690">AK1990+AL1990</f>
        <v>1000736.4799999995</v>
      </c>
      <c r="AN1990" s="153">
        <f t="shared" si="1679"/>
        <v>-0.39999999955762178</v>
      </c>
      <c r="AO1990" s="154">
        <f t="shared" si="1680"/>
        <v>0</v>
      </c>
      <c r="AP1990" s="150">
        <v>1000736.08</v>
      </c>
      <c r="AQ1990" s="201">
        <v>1000736.08</v>
      </c>
      <c r="AR1990" s="199"/>
      <c r="AS1990" s="150">
        <f t="shared" ref="AS1990:AS2029" si="1691">AQ1990+AR1990</f>
        <v>1000736.08</v>
      </c>
      <c r="AT1990" s="155" t="s">
        <v>9748</v>
      </c>
      <c r="AU1990" s="156">
        <f t="shared" si="1675"/>
        <v>-1804162.5200000005</v>
      </c>
      <c r="AV1990" s="156">
        <f t="shared" si="1676"/>
        <v>0</v>
      </c>
      <c r="AW1990" s="157" t="s">
        <v>9749</v>
      </c>
      <c r="AX1990" s="150">
        <v>2804899</v>
      </c>
      <c r="AY1990" s="237">
        <v>7091927.71</v>
      </c>
      <c r="AZ1990" s="150">
        <f>3540151-AY1990-735252</f>
        <v>-4287028.71</v>
      </c>
      <c r="BA1990" s="150">
        <f t="shared" si="1658"/>
        <v>2804899</v>
      </c>
      <c r="BB1990" s="202">
        <v>5</v>
      </c>
      <c r="BC1990" s="194" t="s">
        <v>779</v>
      </c>
      <c r="BD1990" s="194" t="s">
        <v>671</v>
      </c>
      <c r="BE1990" s="202" t="s">
        <v>647</v>
      </c>
      <c r="BF1990" s="194" t="s">
        <v>632</v>
      </c>
      <c r="BG1990" s="203" t="s">
        <v>9750</v>
      </c>
      <c r="BH1990" s="216">
        <f>SUM(AS1990:AS1991)</f>
        <v>1220440.8499999999</v>
      </c>
      <c r="BI1990" s="202"/>
      <c r="BJ1990" s="194" t="s">
        <v>9744</v>
      </c>
      <c r="BK1990" s="194" t="s">
        <v>491</v>
      </c>
      <c r="BL1990" s="207" t="s">
        <v>9745</v>
      </c>
      <c r="BM1990" s="208">
        <f>BH1990</f>
        <v>1220440.8499999999</v>
      </c>
      <c r="BN1990" s="160"/>
      <c r="BO1990" s="161"/>
      <c r="BP1990" s="161"/>
    </row>
    <row r="1991" spans="1:69" ht="24">
      <c r="A1991" s="210"/>
      <c r="B1991" s="195" t="s">
        <v>9751</v>
      </c>
      <c r="C1991" s="196" t="s">
        <v>9752</v>
      </c>
      <c r="D1991" s="146" t="s">
        <v>4692</v>
      </c>
      <c r="E1991" s="196" t="s">
        <v>9752</v>
      </c>
      <c r="F1991" s="150">
        <v>180240.42</v>
      </c>
      <c r="G1991" s="209">
        <v>159.15</v>
      </c>
      <c r="H1991" s="209"/>
      <c r="I1991" s="209">
        <v>159.15</v>
      </c>
      <c r="J1991" s="150">
        <v>19704.77</v>
      </c>
      <c r="K1991" s="150">
        <v>0</v>
      </c>
      <c r="L1991" s="150">
        <f t="shared" si="1626"/>
        <v>19704.77</v>
      </c>
      <c r="M1991" s="150">
        <v>19704.77</v>
      </c>
      <c r="N1991" s="150">
        <v>70415.44</v>
      </c>
      <c r="O1991" s="150">
        <v>90120.21</v>
      </c>
      <c r="P1991" s="150">
        <v>19704.77</v>
      </c>
      <c r="Q1991" s="150">
        <v>0</v>
      </c>
      <c r="R1991" s="150">
        <f t="shared" si="1687"/>
        <v>19704.77</v>
      </c>
      <c r="S1991" s="150">
        <f t="shared" si="1681"/>
        <v>26273.026666666665</v>
      </c>
      <c r="T1991" s="150"/>
      <c r="U1991" s="150">
        <v>19704.77</v>
      </c>
      <c r="V1991" s="199"/>
      <c r="W1991" s="150">
        <f t="shared" si="1688"/>
        <v>19704.77</v>
      </c>
      <c r="X1991" s="150">
        <v>19704.77</v>
      </c>
      <c r="Y1991" s="150"/>
      <c r="Z1991" s="150">
        <v>19704.77</v>
      </c>
      <c r="AA1991" s="150">
        <f t="shared" si="1677"/>
        <v>200000</v>
      </c>
      <c r="AB1991" s="150">
        <v>219704.77</v>
      </c>
      <c r="AC1991" s="199"/>
      <c r="AD1991" s="150">
        <f t="shared" si="1689"/>
        <v>219704.77</v>
      </c>
      <c r="AE1991" s="150">
        <v>219704.77</v>
      </c>
      <c r="AF1991" s="169" t="s">
        <v>4680</v>
      </c>
      <c r="AG1991" s="201">
        <v>219704.77</v>
      </c>
      <c r="AH1991" s="199"/>
      <c r="AI1991" s="150">
        <v>219704.77</v>
      </c>
      <c r="AJ1991" s="169">
        <f t="shared" si="1678"/>
        <v>0</v>
      </c>
      <c r="AK1991" s="201">
        <v>219704.77</v>
      </c>
      <c r="AL1991" s="199"/>
      <c r="AM1991" s="150">
        <f t="shared" si="1690"/>
        <v>219704.77</v>
      </c>
      <c r="AN1991" s="153">
        <f t="shared" si="1679"/>
        <v>0</v>
      </c>
      <c r="AO1991" s="154">
        <f t="shared" si="1680"/>
        <v>0</v>
      </c>
      <c r="AP1991" s="150">
        <v>219704.77</v>
      </c>
      <c r="AQ1991" s="201">
        <v>219704.77</v>
      </c>
      <c r="AR1991" s="199"/>
      <c r="AS1991" s="150">
        <f t="shared" si="1691"/>
        <v>219704.77</v>
      </c>
      <c r="AT1991" s="155"/>
      <c r="AU1991" s="156">
        <f t="shared" si="1675"/>
        <v>0</v>
      </c>
      <c r="AV1991" s="156">
        <f t="shared" si="1676"/>
        <v>200000</v>
      </c>
      <c r="AW1991" s="157" t="s">
        <v>9749</v>
      </c>
      <c r="AX1991" s="150">
        <v>19704.77</v>
      </c>
      <c r="AY1991" s="150">
        <v>19704.77</v>
      </c>
      <c r="AZ1991" s="150"/>
      <c r="BA1991" s="150">
        <f t="shared" si="1658"/>
        <v>19704.77</v>
      </c>
      <c r="BB1991" s="210"/>
      <c r="BC1991" s="210"/>
      <c r="BD1991" s="210"/>
      <c r="BE1991" s="210"/>
      <c r="BF1991" s="210"/>
      <c r="BG1991" s="210"/>
      <c r="BH1991" s="217"/>
      <c r="BI1991" s="210"/>
      <c r="BJ1991" s="210"/>
      <c r="BK1991" s="210"/>
      <c r="BL1991" s="210"/>
      <c r="BM1991" s="208"/>
      <c r="BN1991" s="160"/>
      <c r="BO1991" s="161"/>
      <c r="BP1991" s="161"/>
    </row>
    <row r="1992" spans="1:69" ht="25.5">
      <c r="A1992" s="194" t="s">
        <v>491</v>
      </c>
      <c r="B1992" s="195" t="s">
        <v>9753</v>
      </c>
      <c r="C1992" s="196" t="s">
        <v>9754</v>
      </c>
      <c r="D1992" s="146" t="s">
        <v>4692</v>
      </c>
      <c r="E1992" s="196" t="s">
        <v>9754</v>
      </c>
      <c r="F1992" s="150">
        <v>1169.3399999999999</v>
      </c>
      <c r="G1992" s="209">
        <v>36824.54</v>
      </c>
      <c r="H1992" s="209"/>
      <c r="I1992" s="209">
        <v>36824.54</v>
      </c>
      <c r="J1992" s="150">
        <v>0</v>
      </c>
      <c r="K1992" s="150">
        <v>0</v>
      </c>
      <c r="L1992" s="150">
        <f t="shared" si="1626"/>
        <v>0</v>
      </c>
      <c r="M1992" s="150">
        <v>35</v>
      </c>
      <c r="N1992" s="150">
        <v>549.66999999999996</v>
      </c>
      <c r="O1992" s="150">
        <v>584.66999999999996</v>
      </c>
      <c r="P1992" s="150">
        <v>586.95000000000005</v>
      </c>
      <c r="Q1992" s="150">
        <v>0</v>
      </c>
      <c r="R1992" s="150">
        <f t="shared" si="1687"/>
        <v>586.95000000000005</v>
      </c>
      <c r="S1992" s="150">
        <f t="shared" si="1681"/>
        <v>782.6</v>
      </c>
      <c r="T1992" s="150"/>
      <c r="U1992" s="150">
        <v>2447.65</v>
      </c>
      <c r="V1992" s="199"/>
      <c r="W1992" s="150">
        <f t="shared" si="1688"/>
        <v>2447.65</v>
      </c>
      <c r="X1992" s="150">
        <v>2447.65</v>
      </c>
      <c r="Y1992" s="150"/>
      <c r="Z1992" s="150">
        <v>2447.65</v>
      </c>
      <c r="AA1992" s="150">
        <f t="shared" si="1677"/>
        <v>0</v>
      </c>
      <c r="AB1992" s="150">
        <v>2447.65</v>
      </c>
      <c r="AC1992" s="199"/>
      <c r="AD1992" s="150">
        <f t="shared" si="1689"/>
        <v>2447.65</v>
      </c>
      <c r="AE1992" s="150">
        <v>2447.65</v>
      </c>
      <c r="AF1992" s="169" t="s">
        <v>4680</v>
      </c>
      <c r="AG1992" s="201">
        <v>2447.65</v>
      </c>
      <c r="AH1992" s="199"/>
      <c r="AI1992" s="150">
        <v>2447.65</v>
      </c>
      <c r="AJ1992" s="169">
        <f t="shared" si="1678"/>
        <v>0</v>
      </c>
      <c r="AK1992" s="201">
        <v>2447.65</v>
      </c>
      <c r="AL1992" s="199"/>
      <c r="AM1992" s="150">
        <f t="shared" si="1690"/>
        <v>2447.65</v>
      </c>
      <c r="AN1992" s="153">
        <f t="shared" si="1679"/>
        <v>0</v>
      </c>
      <c r="AO1992" s="154">
        <f t="shared" si="1680"/>
        <v>0</v>
      </c>
      <c r="AP1992" s="150">
        <v>2447.65</v>
      </c>
      <c r="AQ1992" s="201">
        <v>2447.65</v>
      </c>
      <c r="AR1992" s="199"/>
      <c r="AS1992" s="150">
        <f t="shared" si="1691"/>
        <v>2447.65</v>
      </c>
      <c r="AT1992" s="155"/>
      <c r="AU1992" s="156">
        <f t="shared" si="1675"/>
        <v>0</v>
      </c>
      <c r="AV1992" s="156">
        <f t="shared" si="1676"/>
        <v>0</v>
      </c>
      <c r="AW1992" s="157"/>
      <c r="AX1992" s="150">
        <v>2447.65</v>
      </c>
      <c r="AY1992" s="150">
        <v>86.95</v>
      </c>
      <c r="AZ1992" s="150"/>
      <c r="BA1992" s="150">
        <f t="shared" si="1658"/>
        <v>86.95</v>
      </c>
      <c r="BB1992" s="202">
        <v>5</v>
      </c>
      <c r="BC1992" s="202" t="s">
        <v>779</v>
      </c>
      <c r="BD1992" s="202" t="s">
        <v>671</v>
      </c>
      <c r="BE1992" s="202" t="s">
        <v>647</v>
      </c>
      <c r="BF1992" s="194" t="s">
        <v>1124</v>
      </c>
      <c r="BG1992" s="203" t="s">
        <v>492</v>
      </c>
      <c r="BH1992" s="216">
        <f>SUM(AS1992:AS2027)</f>
        <v>1572220.1400000004</v>
      </c>
      <c r="BI1992" s="202"/>
      <c r="BJ1992" s="194" t="s">
        <v>9744</v>
      </c>
      <c r="BK1992" s="194" t="s">
        <v>491</v>
      </c>
      <c r="BL1992" s="207" t="s">
        <v>9745</v>
      </c>
      <c r="BM1992" s="208">
        <f>BH1992</f>
        <v>1572220.1400000004</v>
      </c>
      <c r="BN1992" s="160"/>
      <c r="BO1992" s="161"/>
      <c r="BP1992" s="161"/>
    </row>
    <row r="1993" spans="1:69" ht="24">
      <c r="A1993" s="210"/>
      <c r="B1993" s="195" t="s">
        <v>9755</v>
      </c>
      <c r="C1993" s="196" t="s">
        <v>9756</v>
      </c>
      <c r="D1993" s="146" t="s">
        <v>4692</v>
      </c>
      <c r="E1993" s="196" t="s">
        <v>9756</v>
      </c>
      <c r="F1993" s="150">
        <v>39737.18</v>
      </c>
      <c r="G1993" s="209">
        <v>0.02</v>
      </c>
      <c r="H1993" s="209"/>
      <c r="I1993" s="209">
        <v>0.02</v>
      </c>
      <c r="J1993" s="150">
        <v>1193</v>
      </c>
      <c r="K1993" s="150">
        <v>0</v>
      </c>
      <c r="L1993" s="150">
        <f t="shared" si="1626"/>
        <v>1193</v>
      </c>
      <c r="M1993" s="150">
        <v>5498.42</v>
      </c>
      <c r="N1993" s="150">
        <v>14370.17</v>
      </c>
      <c r="O1993" s="150">
        <v>19868.59</v>
      </c>
      <c r="P1993" s="150">
        <v>9892.52</v>
      </c>
      <c r="Q1993" s="150">
        <v>0</v>
      </c>
      <c r="R1993" s="150">
        <f t="shared" si="1687"/>
        <v>9892.52</v>
      </c>
      <c r="S1993" s="150">
        <f t="shared" si="1681"/>
        <v>13190.026666666667</v>
      </c>
      <c r="T1993" s="150"/>
      <c r="U1993" s="150">
        <v>12843.54</v>
      </c>
      <c r="V1993" s="199"/>
      <c r="W1993" s="150">
        <f t="shared" si="1688"/>
        <v>12843.54</v>
      </c>
      <c r="X1993" s="150">
        <v>12843.54</v>
      </c>
      <c r="Y1993" s="150"/>
      <c r="Z1993" s="150">
        <v>12843.54</v>
      </c>
      <c r="AA1993" s="150">
        <f t="shared" si="1677"/>
        <v>233.01999999999862</v>
      </c>
      <c r="AB1993" s="150">
        <v>13076.56</v>
      </c>
      <c r="AC1993" s="199"/>
      <c r="AD1993" s="150">
        <f t="shared" si="1689"/>
        <v>13076.56</v>
      </c>
      <c r="AE1993" s="150">
        <v>13076.56</v>
      </c>
      <c r="AF1993" s="169" t="s">
        <v>4680</v>
      </c>
      <c r="AG1993" s="201">
        <v>13076.56</v>
      </c>
      <c r="AH1993" s="199"/>
      <c r="AI1993" s="150">
        <v>13076.56</v>
      </c>
      <c r="AJ1993" s="169">
        <f t="shared" si="1678"/>
        <v>0</v>
      </c>
      <c r="AK1993" s="201">
        <v>13076.56</v>
      </c>
      <c r="AL1993" s="199"/>
      <c r="AM1993" s="150">
        <f t="shared" si="1690"/>
        <v>13076.56</v>
      </c>
      <c r="AN1993" s="153">
        <f t="shared" si="1679"/>
        <v>0</v>
      </c>
      <c r="AO1993" s="154">
        <f t="shared" si="1680"/>
        <v>0</v>
      </c>
      <c r="AP1993" s="150">
        <v>13076.56</v>
      </c>
      <c r="AQ1993" s="201">
        <v>13076.56</v>
      </c>
      <c r="AR1993" s="199"/>
      <c r="AS1993" s="150">
        <f t="shared" si="1691"/>
        <v>13076.56</v>
      </c>
      <c r="AT1993" s="155" t="s">
        <v>9749</v>
      </c>
      <c r="AU1993" s="156">
        <f t="shared" si="1675"/>
        <v>0</v>
      </c>
      <c r="AV1993" s="156">
        <f t="shared" si="1676"/>
        <v>233.01999999999862</v>
      </c>
      <c r="AW1993" s="157" t="s">
        <v>9749</v>
      </c>
      <c r="AX1993" s="150">
        <v>12843.54</v>
      </c>
      <c r="AY1993" s="150">
        <v>8432.06</v>
      </c>
      <c r="AZ1993" s="150"/>
      <c r="BA1993" s="150">
        <f t="shared" si="1658"/>
        <v>8432.06</v>
      </c>
      <c r="BB1993" s="210"/>
      <c r="BC1993" s="210"/>
      <c r="BD1993" s="210"/>
      <c r="BE1993" s="210"/>
      <c r="BF1993" s="210"/>
      <c r="BG1993" s="210"/>
      <c r="BH1993" s="217"/>
      <c r="BI1993" s="210"/>
      <c r="BJ1993" s="210"/>
      <c r="BK1993" s="210"/>
      <c r="BL1993" s="210"/>
      <c r="BM1993" s="208"/>
      <c r="BN1993" s="160"/>
      <c r="BO1993" s="161"/>
      <c r="BP1993" s="161"/>
    </row>
    <row r="1994" spans="1:69">
      <c r="A1994" s="210"/>
      <c r="B1994" s="195" t="s">
        <v>9757</v>
      </c>
      <c r="C1994" s="196" t="s">
        <v>9758</v>
      </c>
      <c r="D1994" s="146" t="s">
        <v>4692</v>
      </c>
      <c r="E1994" s="196" t="s">
        <v>9758</v>
      </c>
      <c r="F1994" s="150">
        <v>0.02</v>
      </c>
      <c r="G1994" s="209">
        <v>2520.7600000000002</v>
      </c>
      <c r="H1994" s="209"/>
      <c r="I1994" s="209">
        <v>2520.7600000000002</v>
      </c>
      <c r="J1994" s="150">
        <v>0</v>
      </c>
      <c r="K1994" s="150">
        <v>0</v>
      </c>
      <c r="L1994" s="150">
        <f t="shared" ref="L1994:L2058" si="1692">J1994+K1994</f>
        <v>0</v>
      </c>
      <c r="M1994" s="150">
        <v>0.01</v>
      </c>
      <c r="N1994" s="150"/>
      <c r="O1994" s="150">
        <v>0.01</v>
      </c>
      <c r="P1994" s="150">
        <v>0.01</v>
      </c>
      <c r="Q1994" s="150">
        <v>0</v>
      </c>
      <c r="R1994" s="150">
        <f t="shared" si="1687"/>
        <v>0.01</v>
      </c>
      <c r="S1994" s="150">
        <f t="shared" si="1681"/>
        <v>1.3333333333333332E-2</v>
      </c>
      <c r="T1994" s="150"/>
      <c r="U1994" s="150">
        <v>0.01</v>
      </c>
      <c r="V1994" s="199"/>
      <c r="W1994" s="150">
        <f t="shared" si="1688"/>
        <v>0.01</v>
      </c>
      <c r="X1994" s="150">
        <v>0.01</v>
      </c>
      <c r="Y1994" s="150"/>
      <c r="Z1994" s="150">
        <v>0.01</v>
      </c>
      <c r="AA1994" s="150">
        <f t="shared" si="1677"/>
        <v>0</v>
      </c>
      <c r="AB1994" s="150">
        <v>0.01</v>
      </c>
      <c r="AC1994" s="199"/>
      <c r="AD1994" s="150">
        <f t="shared" si="1689"/>
        <v>0.01</v>
      </c>
      <c r="AE1994" s="150">
        <v>0.01</v>
      </c>
      <c r="AF1994" s="169" t="s">
        <v>4680</v>
      </c>
      <c r="AG1994" s="201">
        <v>0.01</v>
      </c>
      <c r="AH1994" s="199"/>
      <c r="AI1994" s="150">
        <v>0.01</v>
      </c>
      <c r="AJ1994" s="169">
        <f t="shared" si="1678"/>
        <v>0</v>
      </c>
      <c r="AK1994" s="201">
        <v>0.01</v>
      </c>
      <c r="AL1994" s="199"/>
      <c r="AM1994" s="150">
        <f t="shared" si="1690"/>
        <v>0.01</v>
      </c>
      <c r="AN1994" s="153">
        <f t="shared" si="1679"/>
        <v>0</v>
      </c>
      <c r="AO1994" s="154">
        <f t="shared" si="1680"/>
        <v>0</v>
      </c>
      <c r="AP1994" s="150">
        <v>0.01</v>
      </c>
      <c r="AQ1994" s="201">
        <v>0.01</v>
      </c>
      <c r="AR1994" s="199"/>
      <c r="AS1994" s="150">
        <f t="shared" si="1691"/>
        <v>0.01</v>
      </c>
      <c r="AT1994" s="155"/>
      <c r="AU1994" s="156">
        <f t="shared" si="1675"/>
        <v>0</v>
      </c>
      <c r="AV1994" s="156">
        <f t="shared" si="1676"/>
        <v>0</v>
      </c>
      <c r="AW1994" s="157"/>
      <c r="AX1994" s="150">
        <v>0.01</v>
      </c>
      <c r="AY1994" s="150">
        <v>0.01</v>
      </c>
      <c r="AZ1994" s="150"/>
      <c r="BA1994" s="150">
        <f t="shared" si="1658"/>
        <v>0.01</v>
      </c>
      <c r="BB1994" s="210"/>
      <c r="BC1994" s="210"/>
      <c r="BD1994" s="210"/>
      <c r="BE1994" s="210"/>
      <c r="BF1994" s="210"/>
      <c r="BG1994" s="210"/>
      <c r="BH1994" s="217"/>
      <c r="BI1994" s="210"/>
      <c r="BJ1994" s="210"/>
      <c r="BK1994" s="210"/>
      <c r="BL1994" s="210"/>
      <c r="BM1994" s="208"/>
      <c r="BN1994" s="160"/>
      <c r="BO1994" s="161"/>
      <c r="BP1994" s="161"/>
    </row>
    <row r="1995" spans="1:69">
      <c r="A1995" s="210"/>
      <c r="B1995" s="195" t="s">
        <v>9759</v>
      </c>
      <c r="C1995" s="196" t="s">
        <v>9760</v>
      </c>
      <c r="D1995" s="146" t="s">
        <v>4692</v>
      </c>
      <c r="E1995" s="196" t="s">
        <v>9760</v>
      </c>
      <c r="F1995" s="150">
        <v>2520.7600000000002</v>
      </c>
      <c r="G1995" s="209">
        <v>36412</v>
      </c>
      <c r="H1995" s="209"/>
      <c r="I1995" s="209">
        <v>36412</v>
      </c>
      <c r="J1995" s="150">
        <v>0</v>
      </c>
      <c r="K1995" s="150">
        <v>0</v>
      </c>
      <c r="L1995" s="150">
        <f t="shared" si="1692"/>
        <v>0</v>
      </c>
      <c r="M1995" s="150">
        <v>0</v>
      </c>
      <c r="N1995" s="150"/>
      <c r="O1995" s="150">
        <v>0</v>
      </c>
      <c r="P1995" s="150">
        <v>0</v>
      </c>
      <c r="Q1995" s="150">
        <v>0</v>
      </c>
      <c r="R1995" s="150">
        <f t="shared" si="1687"/>
        <v>0</v>
      </c>
      <c r="S1995" s="150">
        <f t="shared" si="1681"/>
        <v>0</v>
      </c>
      <c r="T1995" s="150"/>
      <c r="U1995" s="150">
        <v>0</v>
      </c>
      <c r="V1995" s="199"/>
      <c r="W1995" s="150">
        <f t="shared" si="1688"/>
        <v>0</v>
      </c>
      <c r="X1995" s="150">
        <v>0</v>
      </c>
      <c r="Y1995" s="150"/>
      <c r="Z1995" s="150">
        <v>0</v>
      </c>
      <c r="AA1995" s="150">
        <f t="shared" si="1677"/>
        <v>0</v>
      </c>
      <c r="AB1995" s="150">
        <v>0</v>
      </c>
      <c r="AC1995" s="199"/>
      <c r="AD1995" s="150">
        <f t="shared" si="1689"/>
        <v>0</v>
      </c>
      <c r="AE1995" s="150">
        <v>0</v>
      </c>
      <c r="AF1995" s="169" t="s">
        <v>4680</v>
      </c>
      <c r="AG1995" s="201">
        <v>0</v>
      </c>
      <c r="AH1995" s="199"/>
      <c r="AI1995" s="150">
        <v>0</v>
      </c>
      <c r="AJ1995" s="169">
        <f t="shared" si="1678"/>
        <v>0</v>
      </c>
      <c r="AK1995" s="201">
        <v>0</v>
      </c>
      <c r="AL1995" s="199"/>
      <c r="AM1995" s="150">
        <f t="shared" si="1690"/>
        <v>0</v>
      </c>
      <c r="AN1995" s="153">
        <f t="shared" si="1679"/>
        <v>0</v>
      </c>
      <c r="AO1995" s="154">
        <f t="shared" si="1680"/>
        <v>0</v>
      </c>
      <c r="AP1995" s="150">
        <v>0</v>
      </c>
      <c r="AQ1995" s="201">
        <v>0</v>
      </c>
      <c r="AR1995" s="199"/>
      <c r="AS1995" s="150">
        <f t="shared" si="1691"/>
        <v>0</v>
      </c>
      <c r="AT1995" s="155"/>
      <c r="AU1995" s="156">
        <f t="shared" si="1675"/>
        <v>0</v>
      </c>
      <c r="AV1995" s="156">
        <f t="shared" si="1676"/>
        <v>0</v>
      </c>
      <c r="AW1995" s="157"/>
      <c r="AX1995" s="150">
        <v>0</v>
      </c>
      <c r="AY1995" s="150">
        <v>0</v>
      </c>
      <c r="AZ1995" s="150"/>
      <c r="BA1995" s="150">
        <f t="shared" si="1658"/>
        <v>0</v>
      </c>
      <c r="BB1995" s="210"/>
      <c r="BC1995" s="210"/>
      <c r="BD1995" s="210"/>
      <c r="BE1995" s="210"/>
      <c r="BF1995" s="210"/>
      <c r="BG1995" s="210"/>
      <c r="BH1995" s="217"/>
      <c r="BI1995" s="210"/>
      <c r="BJ1995" s="210"/>
      <c r="BK1995" s="210"/>
      <c r="BL1995" s="210"/>
      <c r="BM1995" s="208"/>
      <c r="BN1995" s="160"/>
      <c r="BO1995" s="161"/>
      <c r="BP1995" s="161"/>
    </row>
    <row r="1996" spans="1:69">
      <c r="A1996" s="210"/>
      <c r="B1996" s="195" t="s">
        <v>9761</v>
      </c>
      <c r="C1996" s="196" t="s">
        <v>9762</v>
      </c>
      <c r="D1996" s="146" t="s">
        <v>4692</v>
      </c>
      <c r="E1996" s="196" t="s">
        <v>9762</v>
      </c>
      <c r="F1996" s="150">
        <v>36508</v>
      </c>
      <c r="G1996" s="209">
        <v>0</v>
      </c>
      <c r="H1996" s="209"/>
      <c r="I1996" s="209">
        <v>0</v>
      </c>
      <c r="J1996" s="150">
        <v>43856</v>
      </c>
      <c r="K1996" s="150">
        <v>0</v>
      </c>
      <c r="L1996" s="150">
        <f t="shared" si="1692"/>
        <v>43856</v>
      </c>
      <c r="M1996" s="150">
        <v>44362</v>
      </c>
      <c r="N1996" s="150"/>
      <c r="O1996" s="150">
        <v>44362</v>
      </c>
      <c r="P1996" s="150">
        <v>44810</v>
      </c>
      <c r="Q1996" s="150">
        <v>0</v>
      </c>
      <c r="R1996" s="150">
        <f t="shared" si="1687"/>
        <v>44810</v>
      </c>
      <c r="S1996" s="150">
        <f t="shared" si="1681"/>
        <v>59746.666666666664</v>
      </c>
      <c r="T1996" s="150"/>
      <c r="U1996" s="150">
        <v>45108</v>
      </c>
      <c r="V1996" s="199"/>
      <c r="W1996" s="150">
        <f t="shared" si="1688"/>
        <v>45108</v>
      </c>
      <c r="X1996" s="150">
        <v>45108</v>
      </c>
      <c r="Y1996" s="150"/>
      <c r="Z1996" s="150">
        <v>45108</v>
      </c>
      <c r="AA1996" s="150">
        <f t="shared" si="1677"/>
        <v>0</v>
      </c>
      <c r="AB1996" s="150">
        <v>45108</v>
      </c>
      <c r="AC1996" s="199"/>
      <c r="AD1996" s="150">
        <f t="shared" si="1689"/>
        <v>45108</v>
      </c>
      <c r="AE1996" s="150">
        <v>45108</v>
      </c>
      <c r="AF1996" s="169" t="s">
        <v>4680</v>
      </c>
      <c r="AG1996" s="201">
        <v>45108</v>
      </c>
      <c r="AH1996" s="199"/>
      <c r="AI1996" s="150">
        <v>45108</v>
      </c>
      <c r="AJ1996" s="169">
        <f t="shared" si="1678"/>
        <v>0</v>
      </c>
      <c r="AK1996" s="201">
        <v>45108</v>
      </c>
      <c r="AL1996" s="199"/>
      <c r="AM1996" s="150">
        <f t="shared" si="1690"/>
        <v>45108</v>
      </c>
      <c r="AN1996" s="153">
        <f t="shared" si="1679"/>
        <v>0</v>
      </c>
      <c r="AO1996" s="154">
        <f t="shared" si="1680"/>
        <v>0</v>
      </c>
      <c r="AP1996" s="150">
        <v>45108</v>
      </c>
      <c r="AQ1996" s="201">
        <v>45108</v>
      </c>
      <c r="AR1996" s="199"/>
      <c r="AS1996" s="150">
        <f t="shared" si="1691"/>
        <v>45108</v>
      </c>
      <c r="AT1996" s="155"/>
      <c r="AU1996" s="156">
        <f t="shared" si="1675"/>
        <v>0</v>
      </c>
      <c r="AV1996" s="156">
        <f t="shared" si="1676"/>
        <v>0</v>
      </c>
      <c r="AW1996" s="157"/>
      <c r="AX1996" s="150">
        <v>45108</v>
      </c>
      <c r="AY1996" s="150">
        <v>44458</v>
      </c>
      <c r="AZ1996" s="150"/>
      <c r="BA1996" s="150">
        <f t="shared" si="1658"/>
        <v>44458</v>
      </c>
      <c r="BB1996" s="210"/>
      <c r="BC1996" s="210"/>
      <c r="BD1996" s="210"/>
      <c r="BE1996" s="210"/>
      <c r="BF1996" s="210"/>
      <c r="BG1996" s="210"/>
      <c r="BH1996" s="217"/>
      <c r="BI1996" s="210"/>
      <c r="BJ1996" s="210"/>
      <c r="BK1996" s="210"/>
      <c r="BL1996" s="210"/>
      <c r="BM1996" s="208"/>
      <c r="BN1996" s="160"/>
      <c r="BO1996" s="161"/>
      <c r="BP1996" s="161"/>
    </row>
    <row r="1997" spans="1:69">
      <c r="A1997" s="210"/>
      <c r="B1997" s="195" t="s">
        <v>9763</v>
      </c>
      <c r="C1997" s="196" t="s">
        <v>9764</v>
      </c>
      <c r="D1997" s="146" t="s">
        <v>4692</v>
      </c>
      <c r="E1997" s="196" t="s">
        <v>9764</v>
      </c>
      <c r="F1997" s="150">
        <v>139.1</v>
      </c>
      <c r="G1997" s="209">
        <v>2572</v>
      </c>
      <c r="H1997" s="209"/>
      <c r="I1997" s="209">
        <v>2572</v>
      </c>
      <c r="J1997" s="150">
        <v>0</v>
      </c>
      <c r="K1997" s="150">
        <v>0</v>
      </c>
      <c r="L1997" s="150">
        <f t="shared" si="1692"/>
        <v>0</v>
      </c>
      <c r="M1997" s="150">
        <v>0</v>
      </c>
      <c r="N1997" s="150"/>
      <c r="O1997" s="150">
        <v>0</v>
      </c>
      <c r="P1997" s="150">
        <v>0</v>
      </c>
      <c r="Q1997" s="150">
        <v>0</v>
      </c>
      <c r="R1997" s="150">
        <f t="shared" si="1687"/>
        <v>0</v>
      </c>
      <c r="S1997" s="150">
        <f t="shared" si="1681"/>
        <v>0</v>
      </c>
      <c r="T1997" s="150"/>
      <c r="U1997" s="150">
        <v>261.20999999999998</v>
      </c>
      <c r="V1997" s="199"/>
      <c r="W1997" s="150">
        <f t="shared" si="1688"/>
        <v>261.20999999999998</v>
      </c>
      <c r="X1997" s="150">
        <v>261.20999999999998</v>
      </c>
      <c r="Y1997" s="150"/>
      <c r="Z1997" s="150">
        <v>261.20999999999998</v>
      </c>
      <c r="AA1997" s="150">
        <f t="shared" si="1677"/>
        <v>0</v>
      </c>
      <c r="AB1997" s="150">
        <v>261.20999999999998</v>
      </c>
      <c r="AC1997" s="199"/>
      <c r="AD1997" s="150">
        <f t="shared" si="1689"/>
        <v>261.20999999999998</v>
      </c>
      <c r="AE1997" s="150">
        <v>261.20999999999998</v>
      </c>
      <c r="AF1997" s="169" t="s">
        <v>4680</v>
      </c>
      <c r="AG1997" s="201">
        <v>261.20999999999998</v>
      </c>
      <c r="AH1997" s="199"/>
      <c r="AI1997" s="150">
        <v>261.20999999999998</v>
      </c>
      <c r="AJ1997" s="169">
        <f t="shared" si="1678"/>
        <v>0</v>
      </c>
      <c r="AK1997" s="201">
        <v>261.20999999999998</v>
      </c>
      <c r="AL1997" s="199"/>
      <c r="AM1997" s="150">
        <f t="shared" si="1690"/>
        <v>261.20999999999998</v>
      </c>
      <c r="AN1997" s="153">
        <f t="shared" si="1679"/>
        <v>0</v>
      </c>
      <c r="AO1997" s="154">
        <f t="shared" si="1680"/>
        <v>0</v>
      </c>
      <c r="AP1997" s="150">
        <v>261.20999999999998</v>
      </c>
      <c r="AQ1997" s="201">
        <v>261.20999999999998</v>
      </c>
      <c r="AR1997" s="199"/>
      <c r="AS1997" s="150">
        <f t="shared" si="1691"/>
        <v>261.20999999999998</v>
      </c>
      <c r="AT1997" s="155"/>
      <c r="AU1997" s="156">
        <f t="shared" si="1675"/>
        <v>0</v>
      </c>
      <c r="AV1997" s="156">
        <f t="shared" si="1676"/>
        <v>0</v>
      </c>
      <c r="AW1997" s="157"/>
      <c r="AX1997" s="150">
        <v>261.20999999999998</v>
      </c>
      <c r="AY1997" s="150">
        <v>0</v>
      </c>
      <c r="AZ1997" s="150"/>
      <c r="BA1997" s="150">
        <f t="shared" si="1658"/>
        <v>0</v>
      </c>
      <c r="BB1997" s="210"/>
      <c r="BC1997" s="210"/>
      <c r="BD1997" s="210"/>
      <c r="BE1997" s="210"/>
      <c r="BF1997" s="210"/>
      <c r="BG1997" s="210"/>
      <c r="BH1997" s="217"/>
      <c r="BI1997" s="210"/>
      <c r="BJ1997" s="210"/>
      <c r="BK1997" s="210"/>
      <c r="BL1997" s="210"/>
      <c r="BM1997" s="208"/>
      <c r="BN1997" s="160"/>
      <c r="BO1997" s="161"/>
      <c r="BP1997" s="161"/>
    </row>
    <row r="1998" spans="1:69" ht="36">
      <c r="A1998" s="210"/>
      <c r="B1998" s="195" t="s">
        <v>9765</v>
      </c>
      <c r="C1998" s="196" t="s">
        <v>9766</v>
      </c>
      <c r="D1998" s="146" t="s">
        <v>4692</v>
      </c>
      <c r="E1998" s="196" t="s">
        <v>9766</v>
      </c>
      <c r="F1998" s="150">
        <v>2572</v>
      </c>
      <c r="G1998" s="209">
        <v>19666.77</v>
      </c>
      <c r="H1998" s="209"/>
      <c r="I1998" s="209">
        <v>19666.77</v>
      </c>
      <c r="J1998" s="150">
        <v>30682.9</v>
      </c>
      <c r="K1998" s="150">
        <v>0</v>
      </c>
      <c r="L1998" s="150">
        <f t="shared" si="1692"/>
        <v>30682.9</v>
      </c>
      <c r="M1998" s="150">
        <v>28582.9</v>
      </c>
      <c r="N1998" s="150"/>
      <c r="O1998" s="150">
        <v>28582.9</v>
      </c>
      <c r="P1998" s="150">
        <v>30382.9</v>
      </c>
      <c r="Q1998" s="150">
        <v>0</v>
      </c>
      <c r="R1998" s="150">
        <f t="shared" si="1687"/>
        <v>30382.9</v>
      </c>
      <c r="S1998" s="150">
        <f t="shared" si="1681"/>
        <v>40510.533333333333</v>
      </c>
      <c r="T1998" s="150"/>
      <c r="U1998" s="150">
        <v>30382.9</v>
      </c>
      <c r="V1998" s="199"/>
      <c r="W1998" s="150">
        <f t="shared" si="1688"/>
        <v>30382.9</v>
      </c>
      <c r="X1998" s="150">
        <v>30382.9</v>
      </c>
      <c r="Y1998" s="150"/>
      <c r="Z1998" s="150">
        <v>30382.9</v>
      </c>
      <c r="AA1998" s="150">
        <f t="shared" si="1677"/>
        <v>0</v>
      </c>
      <c r="AB1998" s="150">
        <v>30382.9</v>
      </c>
      <c r="AC1998" s="199"/>
      <c r="AD1998" s="150">
        <f t="shared" si="1689"/>
        <v>30382.9</v>
      </c>
      <c r="AE1998" s="150">
        <v>24082.9</v>
      </c>
      <c r="AF1998" s="169" t="s">
        <v>4680</v>
      </c>
      <c r="AG1998" s="201">
        <v>24082.9</v>
      </c>
      <c r="AH1998" s="199"/>
      <c r="AI1998" s="150">
        <v>24082.9</v>
      </c>
      <c r="AJ1998" s="169">
        <f t="shared" si="1678"/>
        <v>-1960</v>
      </c>
      <c r="AK1998" s="201">
        <v>22122.9</v>
      </c>
      <c r="AL1998" s="199"/>
      <c r="AM1998" s="150">
        <f t="shared" si="1690"/>
        <v>22122.9</v>
      </c>
      <c r="AN1998" s="153">
        <f t="shared" si="1679"/>
        <v>0</v>
      </c>
      <c r="AO1998" s="154">
        <f t="shared" si="1680"/>
        <v>0</v>
      </c>
      <c r="AP1998" s="150">
        <v>22122.9</v>
      </c>
      <c r="AQ1998" s="201">
        <v>22122.9</v>
      </c>
      <c r="AR1998" s="199"/>
      <c r="AS1998" s="150">
        <f t="shared" si="1691"/>
        <v>22122.9</v>
      </c>
      <c r="AT1998" s="155" t="s">
        <v>9767</v>
      </c>
      <c r="AU1998" s="156">
        <f t="shared" si="1675"/>
        <v>-8260</v>
      </c>
      <c r="AV1998" s="156">
        <f t="shared" si="1676"/>
        <v>0</v>
      </c>
      <c r="AW1998" s="157"/>
      <c r="AX1998" s="150">
        <v>30382.9</v>
      </c>
      <c r="AY1998" s="150">
        <v>30382.9</v>
      </c>
      <c r="AZ1998" s="150"/>
      <c r="BA1998" s="150">
        <f t="shared" si="1658"/>
        <v>30382.9</v>
      </c>
      <c r="BB1998" s="210"/>
      <c r="BC1998" s="210"/>
      <c r="BD1998" s="210"/>
      <c r="BE1998" s="210"/>
      <c r="BF1998" s="210"/>
      <c r="BG1998" s="210"/>
      <c r="BH1998" s="217"/>
      <c r="BI1998" s="210"/>
      <c r="BJ1998" s="210"/>
      <c r="BK1998" s="210"/>
      <c r="BL1998" s="210"/>
      <c r="BM1998" s="208"/>
      <c r="BN1998" s="160"/>
      <c r="BO1998" s="161"/>
      <c r="BP1998" s="161"/>
    </row>
    <row r="1999" spans="1:69" ht="84">
      <c r="A1999" s="210"/>
      <c r="B1999" s="195" t="s">
        <v>9768</v>
      </c>
      <c r="C1999" s="196" t="s">
        <v>9769</v>
      </c>
      <c r="D1999" s="146" t="s">
        <v>4692</v>
      </c>
      <c r="E1999" s="196" t="s">
        <v>9769</v>
      </c>
      <c r="F1999" s="150">
        <v>33898</v>
      </c>
      <c r="G1999" s="209">
        <v>1960.5</v>
      </c>
      <c r="H1999" s="209"/>
      <c r="I1999" s="209">
        <v>1960.5</v>
      </c>
      <c r="J1999" s="150">
        <v>23765.22</v>
      </c>
      <c r="K1999" s="150">
        <v>23088.2264</v>
      </c>
      <c r="L1999" s="150">
        <f t="shared" si="1692"/>
        <v>46853.446400000001</v>
      </c>
      <c r="M1999" s="150">
        <v>29519.56</v>
      </c>
      <c r="N1999" s="150"/>
      <c r="O1999" s="150">
        <v>29519.56</v>
      </c>
      <c r="P1999" s="150">
        <v>144652.82999999999</v>
      </c>
      <c r="Q1999" s="150">
        <v>0</v>
      </c>
      <c r="R1999" s="150">
        <f t="shared" si="1687"/>
        <v>144652.82999999999</v>
      </c>
      <c r="S1999" s="150">
        <f t="shared" si="1681"/>
        <v>192870.43999999997</v>
      </c>
      <c r="T1999" s="150"/>
      <c r="U1999" s="150">
        <v>237904.52</v>
      </c>
      <c r="V1999" s="199"/>
      <c r="W1999" s="150">
        <f t="shared" si="1688"/>
        <v>237904.52</v>
      </c>
      <c r="X1999" s="150">
        <v>237904.52</v>
      </c>
      <c r="Y1999" s="150"/>
      <c r="Z1999" s="150">
        <v>237904.52</v>
      </c>
      <c r="AA1999" s="150">
        <f t="shared" si="1677"/>
        <v>146226.63999999998</v>
      </c>
      <c r="AB1999" s="150">
        <v>384131.16</v>
      </c>
      <c r="AC1999" s="199"/>
      <c r="AD1999" s="150">
        <f t="shared" si="1689"/>
        <v>384131.16</v>
      </c>
      <c r="AE1999" s="150">
        <v>270382.51999999996</v>
      </c>
      <c r="AF1999" s="169" t="s">
        <v>4680</v>
      </c>
      <c r="AG1999" s="201">
        <v>384131.16</v>
      </c>
      <c r="AH1999" s="241">
        <v>-113748.64</v>
      </c>
      <c r="AI1999" s="150">
        <v>270382.51999999996</v>
      </c>
      <c r="AJ1999" s="169">
        <f t="shared" si="1678"/>
        <v>0</v>
      </c>
      <c r="AK1999" s="201">
        <v>384131.16</v>
      </c>
      <c r="AL1999" s="241">
        <v>-113748.64</v>
      </c>
      <c r="AM1999" s="150">
        <f t="shared" si="1690"/>
        <v>270382.51999999996</v>
      </c>
      <c r="AN1999" s="153">
        <f t="shared" si="1679"/>
        <v>0</v>
      </c>
      <c r="AO1999" s="154">
        <f t="shared" si="1680"/>
        <v>0</v>
      </c>
      <c r="AP1999" s="309">
        <v>270382.51999999996</v>
      </c>
      <c r="AQ1999" s="201">
        <v>270382.52</v>
      </c>
      <c r="AR1999" s="199"/>
      <c r="AS1999" s="150">
        <f t="shared" si="1691"/>
        <v>270382.52</v>
      </c>
      <c r="AT1999" s="155" t="s">
        <v>9770</v>
      </c>
      <c r="AU1999" s="156">
        <f t="shared" si="1675"/>
        <v>-113748.64000000001</v>
      </c>
      <c r="AV1999" s="156">
        <f t="shared" si="1676"/>
        <v>146226.63999999998</v>
      </c>
      <c r="AW1999" s="157" t="s">
        <v>9749</v>
      </c>
      <c r="AX1999" s="150">
        <v>237904.52</v>
      </c>
      <c r="AY1999" s="150">
        <v>32910.32</v>
      </c>
      <c r="AZ1999" s="150"/>
      <c r="BA1999" s="150">
        <f t="shared" si="1658"/>
        <v>32910.32</v>
      </c>
      <c r="BB1999" s="210"/>
      <c r="BC1999" s="210"/>
      <c r="BD1999" s="210"/>
      <c r="BE1999" s="210"/>
      <c r="BF1999" s="210"/>
      <c r="BG1999" s="210"/>
      <c r="BH1999" s="217"/>
      <c r="BI1999" s="210"/>
      <c r="BJ1999" s="210"/>
      <c r="BK1999" s="210"/>
      <c r="BL1999" s="210"/>
      <c r="BM1999" s="208"/>
      <c r="BN1999" s="160"/>
      <c r="BO1999" s="161"/>
      <c r="BP1999" s="161"/>
    </row>
    <row r="2000" spans="1:69">
      <c r="A2000" s="210"/>
      <c r="B2000" s="195" t="s">
        <v>9771</v>
      </c>
      <c r="C2000" s="196" t="s">
        <v>9772</v>
      </c>
      <c r="D2000" s="146" t="s">
        <v>4692</v>
      </c>
      <c r="E2000" s="196" t="s">
        <v>9772</v>
      </c>
      <c r="F2000" s="150">
        <v>2411.2399999999998</v>
      </c>
      <c r="G2000" s="209">
        <v>22886.57</v>
      </c>
      <c r="H2000" s="209"/>
      <c r="I2000" s="209">
        <v>22886.57</v>
      </c>
      <c r="J2000" s="150">
        <v>0</v>
      </c>
      <c r="K2000" s="150">
        <v>0</v>
      </c>
      <c r="L2000" s="150">
        <f t="shared" si="1692"/>
        <v>0</v>
      </c>
      <c r="M2000" s="150">
        <v>0</v>
      </c>
      <c r="N2000" s="150"/>
      <c r="O2000" s="150">
        <v>0</v>
      </c>
      <c r="P2000" s="150">
        <v>0</v>
      </c>
      <c r="Q2000" s="150">
        <v>0</v>
      </c>
      <c r="R2000" s="150">
        <f t="shared" si="1687"/>
        <v>0</v>
      </c>
      <c r="S2000" s="150">
        <f t="shared" si="1681"/>
        <v>0</v>
      </c>
      <c r="T2000" s="150"/>
      <c r="U2000" s="150">
        <v>0</v>
      </c>
      <c r="V2000" s="199"/>
      <c r="W2000" s="150">
        <f t="shared" si="1688"/>
        <v>0</v>
      </c>
      <c r="X2000" s="150">
        <v>0</v>
      </c>
      <c r="Y2000" s="150"/>
      <c r="Z2000" s="150">
        <v>0</v>
      </c>
      <c r="AA2000" s="150">
        <f t="shared" si="1677"/>
        <v>0</v>
      </c>
      <c r="AB2000" s="150">
        <v>0</v>
      </c>
      <c r="AC2000" s="199"/>
      <c r="AD2000" s="150">
        <f t="shared" si="1689"/>
        <v>0</v>
      </c>
      <c r="AE2000" s="150">
        <v>0</v>
      </c>
      <c r="AF2000" s="169" t="s">
        <v>4680</v>
      </c>
      <c r="AG2000" s="201">
        <v>0</v>
      </c>
      <c r="AH2000" s="199"/>
      <c r="AI2000" s="150">
        <v>0</v>
      </c>
      <c r="AJ2000" s="169">
        <f t="shared" si="1678"/>
        <v>0</v>
      </c>
      <c r="AK2000" s="201">
        <v>0</v>
      </c>
      <c r="AL2000" s="199"/>
      <c r="AM2000" s="150">
        <f t="shared" si="1690"/>
        <v>0</v>
      </c>
      <c r="AN2000" s="153">
        <f t="shared" si="1679"/>
        <v>0</v>
      </c>
      <c r="AO2000" s="154">
        <f t="shared" si="1680"/>
        <v>0</v>
      </c>
      <c r="AP2000" s="150">
        <v>0</v>
      </c>
      <c r="AQ2000" s="201">
        <v>0</v>
      </c>
      <c r="AR2000" s="199"/>
      <c r="AS2000" s="150">
        <f t="shared" si="1691"/>
        <v>0</v>
      </c>
      <c r="AT2000" s="155"/>
      <c r="AU2000" s="156">
        <f t="shared" si="1675"/>
        <v>0</v>
      </c>
      <c r="AV2000" s="156">
        <f t="shared" si="1676"/>
        <v>0</v>
      </c>
      <c r="AW2000" s="157"/>
      <c r="AX2000" s="150">
        <v>0</v>
      </c>
      <c r="AY2000" s="150">
        <v>0</v>
      </c>
      <c r="AZ2000" s="150"/>
      <c r="BA2000" s="150">
        <f t="shared" si="1658"/>
        <v>0</v>
      </c>
      <c r="BB2000" s="210"/>
      <c r="BC2000" s="210"/>
      <c r="BD2000" s="210"/>
      <c r="BE2000" s="210"/>
      <c r="BF2000" s="210"/>
      <c r="BG2000" s="210"/>
      <c r="BH2000" s="217"/>
      <c r="BI2000" s="210"/>
      <c r="BJ2000" s="210"/>
      <c r="BK2000" s="210"/>
      <c r="BL2000" s="210"/>
      <c r="BM2000" s="208"/>
      <c r="BN2000" s="160"/>
      <c r="BO2000" s="161"/>
      <c r="BP2000" s="161"/>
    </row>
    <row r="2001" spans="1:68" ht="25.5">
      <c r="A2001" s="210"/>
      <c r="B2001" s="195" t="s">
        <v>9773</v>
      </c>
      <c r="C2001" s="196" t="s">
        <v>9774</v>
      </c>
      <c r="D2001" s="146" t="s">
        <v>4692</v>
      </c>
      <c r="E2001" s="196" t="s">
        <v>9774</v>
      </c>
      <c r="F2001" s="150">
        <v>22886.57</v>
      </c>
      <c r="G2001" s="209">
        <v>3745.62</v>
      </c>
      <c r="H2001" s="209"/>
      <c r="I2001" s="209">
        <v>3745.62</v>
      </c>
      <c r="J2001" s="150">
        <v>653.47</v>
      </c>
      <c r="K2001" s="150">
        <v>0</v>
      </c>
      <c r="L2001" s="150">
        <f t="shared" si="1692"/>
        <v>653.47</v>
      </c>
      <c r="M2001" s="150">
        <v>14434.96</v>
      </c>
      <c r="N2001" s="150"/>
      <c r="O2001" s="150">
        <v>14434.96</v>
      </c>
      <c r="P2001" s="150">
        <v>31730.47</v>
      </c>
      <c r="Q2001" s="150">
        <v>0</v>
      </c>
      <c r="R2001" s="150">
        <f t="shared" si="1687"/>
        <v>31730.47</v>
      </c>
      <c r="S2001" s="150">
        <f t="shared" si="1681"/>
        <v>42307.293333333335</v>
      </c>
      <c r="T2001" s="150"/>
      <c r="U2001" s="150">
        <v>39512.720000000001</v>
      </c>
      <c r="V2001" s="199"/>
      <c r="W2001" s="150">
        <f t="shared" si="1688"/>
        <v>39512.720000000001</v>
      </c>
      <c r="X2001" s="150">
        <v>39512.720000000001</v>
      </c>
      <c r="Y2001" s="150"/>
      <c r="Z2001" s="150">
        <v>39512.720000000001</v>
      </c>
      <c r="AA2001" s="150">
        <f t="shared" si="1677"/>
        <v>0</v>
      </c>
      <c r="AB2001" s="150">
        <v>39512.720000000001</v>
      </c>
      <c r="AC2001" s="199"/>
      <c r="AD2001" s="150">
        <f t="shared" si="1689"/>
        <v>39512.720000000001</v>
      </c>
      <c r="AE2001" s="150">
        <v>39512.720000000001</v>
      </c>
      <c r="AF2001" s="169" t="s">
        <v>4680</v>
      </c>
      <c r="AG2001" s="201">
        <v>39512.720000000001</v>
      </c>
      <c r="AH2001" s="199"/>
      <c r="AI2001" s="150">
        <v>39512.720000000001</v>
      </c>
      <c r="AJ2001" s="169">
        <f t="shared" si="1678"/>
        <v>0</v>
      </c>
      <c r="AK2001" s="201">
        <v>39512.720000000001</v>
      </c>
      <c r="AL2001" s="199"/>
      <c r="AM2001" s="150">
        <f t="shared" si="1690"/>
        <v>39512.720000000001</v>
      </c>
      <c r="AN2001" s="153">
        <f t="shared" si="1679"/>
        <v>0</v>
      </c>
      <c r="AO2001" s="154">
        <f t="shared" si="1680"/>
        <v>0</v>
      </c>
      <c r="AP2001" s="150">
        <v>39512.720000000001</v>
      </c>
      <c r="AQ2001" s="201">
        <v>39512.720000000001</v>
      </c>
      <c r="AR2001" s="199"/>
      <c r="AS2001" s="150">
        <f t="shared" si="1691"/>
        <v>39512.720000000001</v>
      </c>
      <c r="AT2001" s="155"/>
      <c r="AU2001" s="156">
        <f t="shared" si="1675"/>
        <v>0</v>
      </c>
      <c r="AV2001" s="156">
        <f t="shared" si="1676"/>
        <v>0</v>
      </c>
      <c r="AW2001" s="157"/>
      <c r="AX2001" s="150">
        <v>39512.720000000001</v>
      </c>
      <c r="AY2001" s="150">
        <v>22892.17</v>
      </c>
      <c r="AZ2001" s="150"/>
      <c r="BA2001" s="150">
        <f t="shared" si="1658"/>
        <v>22892.17</v>
      </c>
      <c r="BB2001" s="210"/>
      <c r="BC2001" s="210"/>
      <c r="BD2001" s="210"/>
      <c r="BE2001" s="210"/>
      <c r="BF2001" s="210"/>
      <c r="BG2001" s="210"/>
      <c r="BH2001" s="217"/>
      <c r="BI2001" s="210"/>
      <c r="BJ2001" s="210"/>
      <c r="BK2001" s="210"/>
      <c r="BL2001" s="210"/>
      <c r="BM2001" s="208"/>
      <c r="BN2001" s="160"/>
      <c r="BO2001" s="161"/>
      <c r="BP2001" s="161"/>
    </row>
    <row r="2002" spans="1:68" ht="38.25">
      <c r="A2002" s="210"/>
      <c r="B2002" s="195" t="s">
        <v>9775</v>
      </c>
      <c r="C2002" s="196" t="s">
        <v>9776</v>
      </c>
      <c r="D2002" s="146" t="s">
        <v>4692</v>
      </c>
      <c r="E2002" s="196" t="s">
        <v>9776</v>
      </c>
      <c r="F2002" s="150">
        <v>3745.62</v>
      </c>
      <c r="G2002" s="209">
        <v>12032.79</v>
      </c>
      <c r="H2002" s="209"/>
      <c r="I2002" s="209">
        <v>12032.79</v>
      </c>
      <c r="J2002" s="150">
        <v>1024.8</v>
      </c>
      <c r="K2002" s="150">
        <v>0</v>
      </c>
      <c r="L2002" s="150">
        <f t="shared" si="1692"/>
        <v>1024.8</v>
      </c>
      <c r="M2002" s="150">
        <v>3621.23</v>
      </c>
      <c r="N2002" s="150"/>
      <c r="O2002" s="150">
        <v>3621.23</v>
      </c>
      <c r="P2002" s="150">
        <v>5551.68</v>
      </c>
      <c r="Q2002" s="150">
        <v>0</v>
      </c>
      <c r="R2002" s="150">
        <f t="shared" si="1687"/>
        <v>5551.68</v>
      </c>
      <c r="S2002" s="150">
        <f t="shared" si="1681"/>
        <v>7402.24</v>
      </c>
      <c r="T2002" s="150"/>
      <c r="U2002" s="150">
        <v>6740.28</v>
      </c>
      <c r="V2002" s="199"/>
      <c r="W2002" s="150">
        <f t="shared" si="1688"/>
        <v>6740.28</v>
      </c>
      <c r="X2002" s="150">
        <v>6740.28</v>
      </c>
      <c r="Y2002" s="150"/>
      <c r="Z2002" s="150">
        <v>6740.28</v>
      </c>
      <c r="AA2002" s="150">
        <f t="shared" si="1677"/>
        <v>0</v>
      </c>
      <c r="AB2002" s="150">
        <v>6740.28</v>
      </c>
      <c r="AC2002" s="199"/>
      <c r="AD2002" s="150">
        <f t="shared" si="1689"/>
        <v>6740.28</v>
      </c>
      <c r="AE2002" s="150">
        <v>6740.28</v>
      </c>
      <c r="AF2002" s="169" t="s">
        <v>4680</v>
      </c>
      <c r="AG2002" s="201">
        <v>6740.28</v>
      </c>
      <c r="AH2002" s="199"/>
      <c r="AI2002" s="150">
        <v>6740.28</v>
      </c>
      <c r="AJ2002" s="169">
        <f t="shared" si="1678"/>
        <v>0</v>
      </c>
      <c r="AK2002" s="201">
        <v>6740.28</v>
      </c>
      <c r="AL2002" s="199"/>
      <c r="AM2002" s="150">
        <f t="shared" si="1690"/>
        <v>6740.28</v>
      </c>
      <c r="AN2002" s="153">
        <f t="shared" si="1679"/>
        <v>0</v>
      </c>
      <c r="AO2002" s="154">
        <f t="shared" si="1680"/>
        <v>0</v>
      </c>
      <c r="AP2002" s="150">
        <v>6740.28</v>
      </c>
      <c r="AQ2002" s="201">
        <v>6740.28</v>
      </c>
      <c r="AR2002" s="199"/>
      <c r="AS2002" s="150">
        <f t="shared" si="1691"/>
        <v>6740.28</v>
      </c>
      <c r="AT2002" s="155"/>
      <c r="AU2002" s="156">
        <f t="shared" si="1675"/>
        <v>0</v>
      </c>
      <c r="AV2002" s="156">
        <f t="shared" si="1676"/>
        <v>0</v>
      </c>
      <c r="AW2002" s="157"/>
      <c r="AX2002" s="150">
        <v>6740.28</v>
      </c>
      <c r="AY2002" s="150">
        <v>3621.23</v>
      </c>
      <c r="AZ2002" s="150"/>
      <c r="BA2002" s="150">
        <f t="shared" si="1658"/>
        <v>3621.23</v>
      </c>
      <c r="BB2002" s="210"/>
      <c r="BC2002" s="210"/>
      <c r="BD2002" s="210"/>
      <c r="BE2002" s="210"/>
      <c r="BF2002" s="210"/>
      <c r="BG2002" s="210"/>
      <c r="BH2002" s="217"/>
      <c r="BI2002" s="210"/>
      <c r="BJ2002" s="210"/>
      <c r="BK2002" s="210"/>
      <c r="BL2002" s="210"/>
      <c r="BM2002" s="208"/>
      <c r="BN2002" s="160"/>
      <c r="BO2002" s="161"/>
      <c r="BP2002" s="161"/>
    </row>
    <row r="2003" spans="1:68" ht="25.5">
      <c r="A2003" s="210"/>
      <c r="B2003" s="195" t="s">
        <v>9777</v>
      </c>
      <c r="C2003" s="196" t="s">
        <v>9778</v>
      </c>
      <c r="D2003" s="146" t="s">
        <v>4692</v>
      </c>
      <c r="E2003" s="196" t="s">
        <v>9778</v>
      </c>
      <c r="F2003" s="150">
        <v>12032.79</v>
      </c>
      <c r="G2003" s="209">
        <v>3308.82</v>
      </c>
      <c r="H2003" s="209"/>
      <c r="I2003" s="209">
        <v>3308.82</v>
      </c>
      <c r="J2003" s="150">
        <v>0</v>
      </c>
      <c r="K2003" s="150">
        <v>0</v>
      </c>
      <c r="L2003" s="150">
        <f t="shared" si="1692"/>
        <v>0</v>
      </c>
      <c r="M2003" s="150">
        <v>0</v>
      </c>
      <c r="N2003" s="150"/>
      <c r="O2003" s="150">
        <v>0</v>
      </c>
      <c r="P2003" s="150">
        <v>0</v>
      </c>
      <c r="Q2003" s="150">
        <v>0</v>
      </c>
      <c r="R2003" s="150">
        <f t="shared" si="1687"/>
        <v>0</v>
      </c>
      <c r="S2003" s="150">
        <f t="shared" si="1681"/>
        <v>0</v>
      </c>
      <c r="T2003" s="150"/>
      <c r="U2003" s="150">
        <v>373.34</v>
      </c>
      <c r="V2003" s="199"/>
      <c r="W2003" s="150">
        <f t="shared" si="1688"/>
        <v>373.34</v>
      </c>
      <c r="X2003" s="150">
        <v>373.34</v>
      </c>
      <c r="Y2003" s="150"/>
      <c r="Z2003" s="150">
        <v>373.34</v>
      </c>
      <c r="AA2003" s="150">
        <f t="shared" si="1677"/>
        <v>0</v>
      </c>
      <c r="AB2003" s="150">
        <v>373.34</v>
      </c>
      <c r="AC2003" s="199"/>
      <c r="AD2003" s="150">
        <f t="shared" si="1689"/>
        <v>373.34</v>
      </c>
      <c r="AE2003" s="150">
        <v>373.34</v>
      </c>
      <c r="AF2003" s="169" t="s">
        <v>4680</v>
      </c>
      <c r="AG2003" s="201">
        <v>373.34</v>
      </c>
      <c r="AH2003" s="199"/>
      <c r="AI2003" s="150">
        <v>373.34</v>
      </c>
      <c r="AJ2003" s="169">
        <f t="shared" si="1678"/>
        <v>0</v>
      </c>
      <c r="AK2003" s="201">
        <v>373.34</v>
      </c>
      <c r="AL2003" s="199"/>
      <c r="AM2003" s="150">
        <f t="shared" si="1690"/>
        <v>373.34</v>
      </c>
      <c r="AN2003" s="153">
        <f t="shared" si="1679"/>
        <v>0</v>
      </c>
      <c r="AO2003" s="154">
        <f t="shared" si="1680"/>
        <v>0</v>
      </c>
      <c r="AP2003" s="150">
        <v>373.34</v>
      </c>
      <c r="AQ2003" s="201">
        <v>373.34</v>
      </c>
      <c r="AR2003" s="199"/>
      <c r="AS2003" s="150">
        <f t="shared" si="1691"/>
        <v>373.34</v>
      </c>
      <c r="AT2003" s="155"/>
      <c r="AU2003" s="156">
        <f t="shared" si="1675"/>
        <v>0</v>
      </c>
      <c r="AV2003" s="156">
        <f t="shared" si="1676"/>
        <v>0</v>
      </c>
      <c r="AW2003" s="157"/>
      <c r="AX2003" s="150">
        <v>373.34</v>
      </c>
      <c r="AY2003" s="150">
        <v>0</v>
      </c>
      <c r="AZ2003" s="150"/>
      <c r="BA2003" s="150">
        <f t="shared" si="1658"/>
        <v>0</v>
      </c>
      <c r="BB2003" s="210"/>
      <c r="BC2003" s="210"/>
      <c r="BD2003" s="210"/>
      <c r="BE2003" s="210"/>
      <c r="BF2003" s="210"/>
      <c r="BG2003" s="210"/>
      <c r="BH2003" s="217"/>
      <c r="BI2003" s="210"/>
      <c r="BJ2003" s="210"/>
      <c r="BK2003" s="210"/>
      <c r="BL2003" s="210"/>
      <c r="BM2003" s="208"/>
      <c r="BN2003" s="160"/>
      <c r="BO2003" s="161"/>
      <c r="BP2003" s="161"/>
    </row>
    <row r="2004" spans="1:68" ht="38.25">
      <c r="A2004" s="210"/>
      <c r="B2004" s="195" t="s">
        <v>9779</v>
      </c>
      <c r="C2004" s="196" t="s">
        <v>9780</v>
      </c>
      <c r="D2004" s="146" t="s">
        <v>4692</v>
      </c>
      <c r="E2004" s="196" t="s">
        <v>9780</v>
      </c>
      <c r="F2004" s="150">
        <v>3308.82</v>
      </c>
      <c r="G2004" s="209">
        <v>14262.25</v>
      </c>
      <c r="H2004" s="209"/>
      <c r="I2004" s="209">
        <v>14262.25</v>
      </c>
      <c r="J2004" s="150">
        <v>0</v>
      </c>
      <c r="K2004" s="150">
        <v>0</v>
      </c>
      <c r="L2004" s="150">
        <f t="shared" si="1692"/>
        <v>0</v>
      </c>
      <c r="M2004" s="150">
        <v>10424.67</v>
      </c>
      <c r="N2004" s="150"/>
      <c r="O2004" s="150">
        <v>10424.67</v>
      </c>
      <c r="P2004" s="150">
        <v>10424.67</v>
      </c>
      <c r="Q2004" s="150">
        <v>0</v>
      </c>
      <c r="R2004" s="150">
        <f t="shared" si="1687"/>
        <v>10424.67</v>
      </c>
      <c r="S2004" s="150">
        <f t="shared" si="1681"/>
        <v>13899.56</v>
      </c>
      <c r="T2004" s="150"/>
      <c r="U2004" s="150">
        <v>10424.67</v>
      </c>
      <c r="V2004" s="199"/>
      <c r="W2004" s="150">
        <f t="shared" si="1688"/>
        <v>10424.67</v>
      </c>
      <c r="X2004" s="150">
        <v>10424.67</v>
      </c>
      <c r="Y2004" s="150"/>
      <c r="Z2004" s="150">
        <v>10424.67</v>
      </c>
      <c r="AA2004" s="150">
        <f t="shared" si="1677"/>
        <v>0</v>
      </c>
      <c r="AB2004" s="150">
        <v>10424.67</v>
      </c>
      <c r="AC2004" s="199"/>
      <c r="AD2004" s="150">
        <f t="shared" si="1689"/>
        <v>10424.67</v>
      </c>
      <c r="AE2004" s="150">
        <v>10424.67</v>
      </c>
      <c r="AF2004" s="169" t="s">
        <v>4680</v>
      </c>
      <c r="AG2004" s="201">
        <v>10424.67</v>
      </c>
      <c r="AH2004" s="199"/>
      <c r="AI2004" s="150">
        <v>10424.67</v>
      </c>
      <c r="AJ2004" s="169">
        <f t="shared" si="1678"/>
        <v>0</v>
      </c>
      <c r="AK2004" s="201">
        <v>10424.67</v>
      </c>
      <c r="AL2004" s="199"/>
      <c r="AM2004" s="150">
        <f t="shared" si="1690"/>
        <v>10424.67</v>
      </c>
      <c r="AN2004" s="153">
        <f t="shared" si="1679"/>
        <v>0</v>
      </c>
      <c r="AO2004" s="154">
        <f t="shared" si="1680"/>
        <v>0</v>
      </c>
      <c r="AP2004" s="150">
        <v>10424.67</v>
      </c>
      <c r="AQ2004" s="201">
        <v>10424.67</v>
      </c>
      <c r="AR2004" s="199"/>
      <c r="AS2004" s="150">
        <f t="shared" si="1691"/>
        <v>10424.67</v>
      </c>
      <c r="AT2004" s="155"/>
      <c r="AU2004" s="156">
        <f t="shared" si="1675"/>
        <v>0</v>
      </c>
      <c r="AV2004" s="156">
        <f t="shared" si="1676"/>
        <v>0</v>
      </c>
      <c r="AW2004" s="157"/>
      <c r="AX2004" s="150">
        <v>10424.67</v>
      </c>
      <c r="AY2004" s="150">
        <v>10424.67</v>
      </c>
      <c r="AZ2004" s="150"/>
      <c r="BA2004" s="150">
        <f t="shared" si="1658"/>
        <v>10424.67</v>
      </c>
      <c r="BB2004" s="210"/>
      <c r="BC2004" s="210"/>
      <c r="BD2004" s="210"/>
      <c r="BE2004" s="210"/>
      <c r="BF2004" s="210"/>
      <c r="BG2004" s="210"/>
      <c r="BH2004" s="217"/>
      <c r="BI2004" s="210"/>
      <c r="BJ2004" s="210"/>
      <c r="BK2004" s="210"/>
      <c r="BL2004" s="210"/>
      <c r="BM2004" s="208"/>
      <c r="BN2004" s="160"/>
      <c r="BO2004" s="161"/>
      <c r="BP2004" s="161"/>
    </row>
    <row r="2005" spans="1:68" ht="38.25">
      <c r="A2005" s="210"/>
      <c r="B2005" s="195" t="s">
        <v>9781</v>
      </c>
      <c r="C2005" s="196" t="s">
        <v>9782</v>
      </c>
      <c r="D2005" s="146" t="s">
        <v>4692</v>
      </c>
      <c r="E2005" s="196" t="s">
        <v>9782</v>
      </c>
      <c r="F2005" s="150">
        <v>14262.25</v>
      </c>
      <c r="G2005" s="209">
        <v>0</v>
      </c>
      <c r="H2005" s="209"/>
      <c r="I2005" s="209">
        <v>0</v>
      </c>
      <c r="J2005" s="150">
        <v>0</v>
      </c>
      <c r="K2005" s="150">
        <v>0</v>
      </c>
      <c r="L2005" s="150">
        <f t="shared" si="1692"/>
        <v>0</v>
      </c>
      <c r="M2005" s="150">
        <v>0</v>
      </c>
      <c r="N2005" s="150">
        <v>7131.125</v>
      </c>
      <c r="O2005" s="150">
        <v>7131.125</v>
      </c>
      <c r="P2005" s="150">
        <v>545.03</v>
      </c>
      <c r="Q2005" s="150">
        <v>0</v>
      </c>
      <c r="R2005" s="150">
        <f t="shared" si="1687"/>
        <v>545.03</v>
      </c>
      <c r="S2005" s="150">
        <f t="shared" si="1681"/>
        <v>726.70666666666671</v>
      </c>
      <c r="T2005" s="150"/>
      <c r="U2005" s="150">
        <v>545.03</v>
      </c>
      <c r="V2005" s="199"/>
      <c r="W2005" s="150">
        <f t="shared" si="1688"/>
        <v>545.03</v>
      </c>
      <c r="X2005" s="150">
        <v>545.03</v>
      </c>
      <c r="Y2005" s="150"/>
      <c r="Z2005" s="150">
        <v>545.03</v>
      </c>
      <c r="AA2005" s="150">
        <f t="shared" si="1677"/>
        <v>0</v>
      </c>
      <c r="AB2005" s="150">
        <v>545.03</v>
      </c>
      <c r="AC2005" s="199"/>
      <c r="AD2005" s="150">
        <f t="shared" si="1689"/>
        <v>545.03</v>
      </c>
      <c r="AE2005" s="150">
        <v>545.03</v>
      </c>
      <c r="AF2005" s="169" t="s">
        <v>4680</v>
      </c>
      <c r="AG2005" s="201">
        <v>545.03</v>
      </c>
      <c r="AH2005" s="199"/>
      <c r="AI2005" s="150">
        <v>545.03</v>
      </c>
      <c r="AJ2005" s="169">
        <f t="shared" si="1678"/>
        <v>0</v>
      </c>
      <c r="AK2005" s="201">
        <v>545.03</v>
      </c>
      <c r="AL2005" s="199"/>
      <c r="AM2005" s="150">
        <f t="shared" si="1690"/>
        <v>545.03</v>
      </c>
      <c r="AN2005" s="153">
        <f t="shared" si="1679"/>
        <v>0</v>
      </c>
      <c r="AO2005" s="154">
        <f t="shared" si="1680"/>
        <v>0</v>
      </c>
      <c r="AP2005" s="150">
        <v>545.03</v>
      </c>
      <c r="AQ2005" s="201">
        <v>545.03</v>
      </c>
      <c r="AR2005" s="199"/>
      <c r="AS2005" s="150">
        <f t="shared" si="1691"/>
        <v>545.03</v>
      </c>
      <c r="AT2005" s="155"/>
      <c r="AU2005" s="156">
        <f t="shared" si="1675"/>
        <v>0</v>
      </c>
      <c r="AV2005" s="156">
        <f t="shared" si="1676"/>
        <v>0</v>
      </c>
      <c r="AW2005" s="157"/>
      <c r="AX2005" s="150">
        <v>545.03</v>
      </c>
      <c r="AY2005" s="150">
        <v>545.03</v>
      </c>
      <c r="AZ2005" s="150"/>
      <c r="BA2005" s="150">
        <f t="shared" si="1658"/>
        <v>545.03</v>
      </c>
      <c r="BB2005" s="210"/>
      <c r="BC2005" s="210"/>
      <c r="BD2005" s="210"/>
      <c r="BE2005" s="210"/>
      <c r="BF2005" s="210"/>
      <c r="BG2005" s="210"/>
      <c r="BH2005" s="217"/>
      <c r="BI2005" s="210"/>
      <c r="BJ2005" s="210"/>
      <c r="BK2005" s="210"/>
      <c r="BL2005" s="210"/>
      <c r="BM2005" s="208"/>
      <c r="BN2005" s="160"/>
      <c r="BO2005" s="161"/>
      <c r="BP2005" s="161"/>
    </row>
    <row r="2006" spans="1:68" ht="25.5">
      <c r="A2006" s="210"/>
      <c r="B2006" s="195" t="s">
        <v>9783</v>
      </c>
      <c r="C2006" s="196" t="s">
        <v>9784</v>
      </c>
      <c r="D2006" s="146" t="s">
        <v>4692</v>
      </c>
      <c r="E2006" s="196" t="s">
        <v>9784</v>
      </c>
      <c r="F2006" s="150">
        <v>0</v>
      </c>
      <c r="G2006" s="209">
        <v>22897.35</v>
      </c>
      <c r="H2006" s="209"/>
      <c r="I2006" s="209">
        <v>22897.35</v>
      </c>
      <c r="J2006" s="150">
        <v>0</v>
      </c>
      <c r="K2006" s="150">
        <v>0</v>
      </c>
      <c r="L2006" s="150">
        <f t="shared" si="1692"/>
        <v>0</v>
      </c>
      <c r="M2006" s="150">
        <v>0</v>
      </c>
      <c r="N2006" s="150"/>
      <c r="O2006" s="150">
        <v>0</v>
      </c>
      <c r="P2006" s="150">
        <v>0</v>
      </c>
      <c r="Q2006" s="150">
        <v>0</v>
      </c>
      <c r="R2006" s="150">
        <f t="shared" si="1687"/>
        <v>0</v>
      </c>
      <c r="S2006" s="150">
        <f t="shared" si="1681"/>
        <v>0</v>
      </c>
      <c r="T2006" s="150"/>
      <c r="U2006" s="150">
        <v>0</v>
      </c>
      <c r="V2006" s="199"/>
      <c r="W2006" s="150">
        <f t="shared" si="1688"/>
        <v>0</v>
      </c>
      <c r="X2006" s="150">
        <v>0</v>
      </c>
      <c r="Y2006" s="150"/>
      <c r="Z2006" s="150">
        <v>0</v>
      </c>
      <c r="AA2006" s="150">
        <f t="shared" si="1677"/>
        <v>0</v>
      </c>
      <c r="AB2006" s="150">
        <v>0</v>
      </c>
      <c r="AC2006" s="199"/>
      <c r="AD2006" s="150">
        <f t="shared" si="1689"/>
        <v>0</v>
      </c>
      <c r="AE2006" s="150">
        <v>0</v>
      </c>
      <c r="AF2006" s="169" t="s">
        <v>4680</v>
      </c>
      <c r="AG2006" s="201">
        <v>0</v>
      </c>
      <c r="AH2006" s="199"/>
      <c r="AI2006" s="150">
        <v>0</v>
      </c>
      <c r="AJ2006" s="169">
        <f t="shared" si="1678"/>
        <v>0</v>
      </c>
      <c r="AK2006" s="201">
        <v>0</v>
      </c>
      <c r="AL2006" s="199"/>
      <c r="AM2006" s="150">
        <f t="shared" si="1690"/>
        <v>0</v>
      </c>
      <c r="AN2006" s="153">
        <f t="shared" si="1679"/>
        <v>0</v>
      </c>
      <c r="AO2006" s="154">
        <f t="shared" si="1680"/>
        <v>0</v>
      </c>
      <c r="AP2006" s="150">
        <v>0</v>
      </c>
      <c r="AQ2006" s="201">
        <v>0</v>
      </c>
      <c r="AR2006" s="199"/>
      <c r="AS2006" s="150">
        <f t="shared" si="1691"/>
        <v>0</v>
      </c>
      <c r="AT2006" s="155"/>
      <c r="AU2006" s="156">
        <f t="shared" si="1675"/>
        <v>0</v>
      </c>
      <c r="AV2006" s="156">
        <f t="shared" si="1676"/>
        <v>0</v>
      </c>
      <c r="AW2006" s="157"/>
      <c r="AX2006" s="150">
        <v>0</v>
      </c>
      <c r="AY2006" s="150">
        <v>0</v>
      </c>
      <c r="AZ2006" s="150"/>
      <c r="BA2006" s="150">
        <f t="shared" si="1658"/>
        <v>0</v>
      </c>
      <c r="BB2006" s="210"/>
      <c r="BC2006" s="210"/>
      <c r="BD2006" s="210"/>
      <c r="BE2006" s="210"/>
      <c r="BF2006" s="210"/>
      <c r="BG2006" s="210"/>
      <c r="BH2006" s="217"/>
      <c r="BI2006" s="210"/>
      <c r="BJ2006" s="210"/>
      <c r="BK2006" s="210"/>
      <c r="BL2006" s="210"/>
      <c r="BM2006" s="208"/>
      <c r="BN2006" s="160"/>
      <c r="BO2006" s="161"/>
      <c r="BP2006" s="161"/>
    </row>
    <row r="2007" spans="1:68" ht="25.5">
      <c r="A2007" s="210"/>
      <c r="B2007" s="195" t="s">
        <v>9785</v>
      </c>
      <c r="C2007" s="196" t="s">
        <v>9786</v>
      </c>
      <c r="D2007" s="146" t="s">
        <v>4692</v>
      </c>
      <c r="E2007" s="196" t="s">
        <v>9786</v>
      </c>
      <c r="F2007" s="150">
        <v>22897.35</v>
      </c>
      <c r="G2007" s="209">
        <v>0</v>
      </c>
      <c r="H2007" s="209"/>
      <c r="I2007" s="209">
        <v>0</v>
      </c>
      <c r="J2007" s="150">
        <v>0</v>
      </c>
      <c r="K2007" s="150">
        <v>0</v>
      </c>
      <c r="L2007" s="150">
        <f t="shared" si="1692"/>
        <v>0</v>
      </c>
      <c r="M2007" s="150">
        <v>23339.38</v>
      </c>
      <c r="N2007" s="150"/>
      <c r="O2007" s="150">
        <v>23339.38</v>
      </c>
      <c r="P2007" s="150">
        <v>23339.38</v>
      </c>
      <c r="Q2007" s="150">
        <v>0</v>
      </c>
      <c r="R2007" s="150">
        <f t="shared" si="1687"/>
        <v>23339.38</v>
      </c>
      <c r="S2007" s="150">
        <f t="shared" si="1681"/>
        <v>31119.173333333332</v>
      </c>
      <c r="T2007" s="150"/>
      <c r="U2007" s="150">
        <v>25376.94</v>
      </c>
      <c r="V2007" s="199"/>
      <c r="W2007" s="150">
        <f t="shared" si="1688"/>
        <v>25376.94</v>
      </c>
      <c r="X2007" s="150">
        <v>25376.94</v>
      </c>
      <c r="Y2007" s="150"/>
      <c r="Z2007" s="150">
        <v>25376.94</v>
      </c>
      <c r="AA2007" s="150">
        <f t="shared" si="1677"/>
        <v>0</v>
      </c>
      <c r="AB2007" s="150">
        <v>25376.94</v>
      </c>
      <c r="AC2007" s="199"/>
      <c r="AD2007" s="150">
        <f t="shared" si="1689"/>
        <v>25376.94</v>
      </c>
      <c r="AE2007" s="150">
        <v>25376.94</v>
      </c>
      <c r="AF2007" s="169" t="s">
        <v>4680</v>
      </c>
      <c r="AG2007" s="201">
        <v>25376.94</v>
      </c>
      <c r="AH2007" s="199"/>
      <c r="AI2007" s="150">
        <v>25376.94</v>
      </c>
      <c r="AJ2007" s="169">
        <f t="shared" si="1678"/>
        <v>0</v>
      </c>
      <c r="AK2007" s="201">
        <v>25376.94</v>
      </c>
      <c r="AL2007" s="199"/>
      <c r="AM2007" s="150">
        <f t="shared" si="1690"/>
        <v>25376.94</v>
      </c>
      <c r="AN2007" s="153">
        <f t="shared" si="1679"/>
        <v>0</v>
      </c>
      <c r="AO2007" s="154">
        <f t="shared" si="1680"/>
        <v>0</v>
      </c>
      <c r="AP2007" s="150">
        <v>25376.94</v>
      </c>
      <c r="AQ2007" s="201">
        <v>25376.94</v>
      </c>
      <c r="AR2007" s="199"/>
      <c r="AS2007" s="150">
        <f t="shared" si="1691"/>
        <v>25376.94</v>
      </c>
      <c r="AT2007" s="155"/>
      <c r="AU2007" s="156">
        <f t="shared" si="1675"/>
        <v>0</v>
      </c>
      <c r="AV2007" s="156">
        <f t="shared" si="1676"/>
        <v>0</v>
      </c>
      <c r="AW2007" s="157"/>
      <c r="AX2007" s="150">
        <v>25376.94</v>
      </c>
      <c r="AY2007" s="150">
        <v>23339.38</v>
      </c>
      <c r="AZ2007" s="150"/>
      <c r="BA2007" s="150">
        <f t="shared" si="1658"/>
        <v>23339.38</v>
      </c>
      <c r="BB2007" s="210"/>
      <c r="BC2007" s="210"/>
      <c r="BD2007" s="210"/>
      <c r="BE2007" s="210"/>
      <c r="BF2007" s="210"/>
      <c r="BG2007" s="210"/>
      <c r="BH2007" s="217"/>
      <c r="BI2007" s="210"/>
      <c r="BJ2007" s="210"/>
      <c r="BK2007" s="210"/>
      <c r="BL2007" s="210"/>
      <c r="BM2007" s="208"/>
      <c r="BN2007" s="160"/>
      <c r="BO2007" s="161"/>
      <c r="BP2007" s="161"/>
    </row>
    <row r="2008" spans="1:68" ht="38.25">
      <c r="A2008" s="210"/>
      <c r="B2008" s="195" t="s">
        <v>9787</v>
      </c>
      <c r="C2008" s="196" t="s">
        <v>9788</v>
      </c>
      <c r="D2008" s="146" t="s">
        <v>4692</v>
      </c>
      <c r="E2008" s="196" t="s">
        <v>9788</v>
      </c>
      <c r="F2008" s="150">
        <v>0</v>
      </c>
      <c r="G2008" s="209">
        <v>31808.31</v>
      </c>
      <c r="H2008" s="209"/>
      <c r="I2008" s="209">
        <v>31808.31</v>
      </c>
      <c r="J2008" s="150">
        <v>0</v>
      </c>
      <c r="K2008" s="150">
        <v>0</v>
      </c>
      <c r="L2008" s="150">
        <f t="shared" si="1692"/>
        <v>0</v>
      </c>
      <c r="M2008" s="150">
        <v>0</v>
      </c>
      <c r="N2008" s="150"/>
      <c r="O2008" s="150">
        <v>0</v>
      </c>
      <c r="P2008" s="150">
        <v>0</v>
      </c>
      <c r="Q2008" s="150">
        <v>0</v>
      </c>
      <c r="R2008" s="150">
        <f t="shared" si="1687"/>
        <v>0</v>
      </c>
      <c r="S2008" s="150">
        <f t="shared" si="1681"/>
        <v>0</v>
      </c>
      <c r="T2008" s="150"/>
      <c r="U2008" s="150">
        <v>0</v>
      </c>
      <c r="V2008" s="199"/>
      <c r="W2008" s="150">
        <f t="shared" si="1688"/>
        <v>0</v>
      </c>
      <c r="X2008" s="150">
        <v>0</v>
      </c>
      <c r="Y2008" s="150"/>
      <c r="Z2008" s="150">
        <v>0</v>
      </c>
      <c r="AA2008" s="150">
        <f t="shared" si="1677"/>
        <v>0</v>
      </c>
      <c r="AB2008" s="150">
        <v>0</v>
      </c>
      <c r="AC2008" s="199"/>
      <c r="AD2008" s="150">
        <f t="shared" si="1689"/>
        <v>0</v>
      </c>
      <c r="AE2008" s="150">
        <v>0</v>
      </c>
      <c r="AF2008" s="169" t="s">
        <v>4680</v>
      </c>
      <c r="AG2008" s="201">
        <v>0</v>
      </c>
      <c r="AH2008" s="199"/>
      <c r="AI2008" s="150">
        <v>0</v>
      </c>
      <c r="AJ2008" s="169">
        <f t="shared" si="1678"/>
        <v>0</v>
      </c>
      <c r="AK2008" s="201">
        <v>0</v>
      </c>
      <c r="AL2008" s="199"/>
      <c r="AM2008" s="150">
        <f t="shared" si="1690"/>
        <v>0</v>
      </c>
      <c r="AN2008" s="153">
        <f t="shared" si="1679"/>
        <v>0</v>
      </c>
      <c r="AO2008" s="154">
        <f t="shared" si="1680"/>
        <v>0</v>
      </c>
      <c r="AP2008" s="150">
        <v>0</v>
      </c>
      <c r="AQ2008" s="201">
        <v>0</v>
      </c>
      <c r="AR2008" s="199"/>
      <c r="AS2008" s="150">
        <f t="shared" si="1691"/>
        <v>0</v>
      </c>
      <c r="AT2008" s="155"/>
      <c r="AU2008" s="156">
        <f t="shared" si="1675"/>
        <v>0</v>
      </c>
      <c r="AV2008" s="156">
        <f t="shared" si="1676"/>
        <v>0</v>
      </c>
      <c r="AW2008" s="157"/>
      <c r="AX2008" s="150">
        <v>0</v>
      </c>
      <c r="AY2008" s="150">
        <v>0</v>
      </c>
      <c r="AZ2008" s="150"/>
      <c r="BA2008" s="150">
        <f t="shared" si="1658"/>
        <v>0</v>
      </c>
      <c r="BB2008" s="210"/>
      <c r="BC2008" s="210"/>
      <c r="BD2008" s="210"/>
      <c r="BE2008" s="210"/>
      <c r="BF2008" s="210"/>
      <c r="BG2008" s="210"/>
      <c r="BH2008" s="217"/>
      <c r="BI2008" s="210"/>
      <c r="BJ2008" s="210"/>
      <c r="BK2008" s="210"/>
      <c r="BL2008" s="210"/>
      <c r="BM2008" s="208"/>
      <c r="BN2008" s="160"/>
      <c r="BO2008" s="161"/>
      <c r="BP2008" s="161"/>
    </row>
    <row r="2009" spans="1:68" ht="38.25">
      <c r="A2009" s="210"/>
      <c r="B2009" s="195" t="s">
        <v>9789</v>
      </c>
      <c r="C2009" s="196" t="s">
        <v>9790</v>
      </c>
      <c r="D2009" s="146" t="s">
        <v>4692</v>
      </c>
      <c r="E2009" s="196" t="s">
        <v>9790</v>
      </c>
      <c r="F2009" s="150">
        <v>31808.31</v>
      </c>
      <c r="G2009" s="209">
        <v>11454</v>
      </c>
      <c r="H2009" s="209">
        <v>4239</v>
      </c>
      <c r="I2009" s="209">
        <v>15693</v>
      </c>
      <c r="J2009" s="150">
        <v>0</v>
      </c>
      <c r="K2009" s="150">
        <v>0</v>
      </c>
      <c r="L2009" s="150">
        <f t="shared" si="1692"/>
        <v>0</v>
      </c>
      <c r="M2009" s="150">
        <v>6208.75</v>
      </c>
      <c r="N2009" s="150">
        <v>9695.4050000000007</v>
      </c>
      <c r="O2009" s="150">
        <v>15904.155000000001</v>
      </c>
      <c r="P2009" s="150">
        <v>6208.75</v>
      </c>
      <c r="Q2009" s="150">
        <v>0</v>
      </c>
      <c r="R2009" s="150">
        <f t="shared" si="1687"/>
        <v>6208.75</v>
      </c>
      <c r="S2009" s="150">
        <f t="shared" si="1681"/>
        <v>8278.3333333333321</v>
      </c>
      <c r="T2009" s="150"/>
      <c r="U2009" s="150">
        <v>6612.43</v>
      </c>
      <c r="V2009" s="199"/>
      <c r="W2009" s="150">
        <f t="shared" si="1688"/>
        <v>6612.43</v>
      </c>
      <c r="X2009" s="150">
        <v>6612.43</v>
      </c>
      <c r="Y2009" s="150"/>
      <c r="Z2009" s="150">
        <v>6612.43</v>
      </c>
      <c r="AA2009" s="150">
        <f t="shared" si="1677"/>
        <v>0</v>
      </c>
      <c r="AB2009" s="150">
        <v>6612.43</v>
      </c>
      <c r="AC2009" s="199"/>
      <c r="AD2009" s="150">
        <f t="shared" si="1689"/>
        <v>6612.43</v>
      </c>
      <c r="AE2009" s="150">
        <v>6612.43</v>
      </c>
      <c r="AF2009" s="169" t="s">
        <v>4680</v>
      </c>
      <c r="AG2009" s="201">
        <v>6612.43</v>
      </c>
      <c r="AH2009" s="199"/>
      <c r="AI2009" s="150">
        <v>6612.43</v>
      </c>
      <c r="AJ2009" s="169">
        <f t="shared" si="1678"/>
        <v>0</v>
      </c>
      <c r="AK2009" s="201">
        <v>6612.43</v>
      </c>
      <c r="AL2009" s="199"/>
      <c r="AM2009" s="150">
        <f t="shared" si="1690"/>
        <v>6612.43</v>
      </c>
      <c r="AN2009" s="153">
        <f t="shared" si="1679"/>
        <v>0</v>
      </c>
      <c r="AO2009" s="154">
        <f t="shared" si="1680"/>
        <v>0</v>
      </c>
      <c r="AP2009" s="150">
        <v>6612.43</v>
      </c>
      <c r="AQ2009" s="201">
        <v>6612.43</v>
      </c>
      <c r="AR2009" s="199"/>
      <c r="AS2009" s="150">
        <f t="shared" si="1691"/>
        <v>6612.43</v>
      </c>
      <c r="AT2009" s="155"/>
      <c r="AU2009" s="156">
        <f t="shared" si="1675"/>
        <v>0</v>
      </c>
      <c r="AV2009" s="156">
        <f t="shared" si="1676"/>
        <v>0</v>
      </c>
      <c r="AW2009" s="157"/>
      <c r="AX2009" s="150">
        <v>6612.43</v>
      </c>
      <c r="AY2009" s="150">
        <v>6208.75</v>
      </c>
      <c r="AZ2009" s="150"/>
      <c r="BA2009" s="150">
        <f t="shared" si="1658"/>
        <v>6208.75</v>
      </c>
      <c r="BB2009" s="210"/>
      <c r="BC2009" s="210"/>
      <c r="BD2009" s="210"/>
      <c r="BE2009" s="210"/>
      <c r="BF2009" s="210"/>
      <c r="BG2009" s="210"/>
      <c r="BH2009" s="217"/>
      <c r="BI2009" s="210"/>
      <c r="BJ2009" s="210"/>
      <c r="BK2009" s="210"/>
      <c r="BL2009" s="210"/>
      <c r="BM2009" s="208"/>
      <c r="BN2009" s="160"/>
      <c r="BO2009" s="161"/>
      <c r="BP2009" s="161"/>
    </row>
    <row r="2010" spans="1:68">
      <c r="A2010" s="210"/>
      <c r="B2010" s="195" t="s">
        <v>9791</v>
      </c>
      <c r="C2010" s="196" t="s">
        <v>9792</v>
      </c>
      <c r="D2010" s="146" t="s">
        <v>4692</v>
      </c>
      <c r="E2010" s="196" t="s">
        <v>9792</v>
      </c>
      <c r="F2010" s="150">
        <v>11454</v>
      </c>
      <c r="G2010" s="209">
        <v>1021.5</v>
      </c>
      <c r="H2010" s="209"/>
      <c r="I2010" s="209">
        <v>1021.5</v>
      </c>
      <c r="J2010" s="150">
        <v>0</v>
      </c>
      <c r="K2010" s="150">
        <v>3283</v>
      </c>
      <c r="L2010" s="150">
        <f t="shared" si="1692"/>
        <v>3283</v>
      </c>
      <c r="M2010" s="150">
        <v>10307</v>
      </c>
      <c r="N2010" s="150">
        <v>0</v>
      </c>
      <c r="O2010" s="150">
        <v>10307</v>
      </c>
      <c r="P2010" s="150">
        <v>14823</v>
      </c>
      <c r="Q2010" s="150">
        <v>0</v>
      </c>
      <c r="R2010" s="150">
        <f t="shared" si="1687"/>
        <v>14823</v>
      </c>
      <c r="S2010" s="150">
        <f t="shared" si="1681"/>
        <v>19764</v>
      </c>
      <c r="T2010" s="150"/>
      <c r="U2010" s="150">
        <v>19598</v>
      </c>
      <c r="V2010" s="199"/>
      <c r="W2010" s="150">
        <f t="shared" si="1688"/>
        <v>19598</v>
      </c>
      <c r="X2010" s="150">
        <v>19598</v>
      </c>
      <c r="Y2010" s="150"/>
      <c r="Z2010" s="150">
        <v>19598</v>
      </c>
      <c r="AA2010" s="150">
        <f t="shared" si="1677"/>
        <v>0</v>
      </c>
      <c r="AB2010" s="150">
        <v>19598</v>
      </c>
      <c r="AC2010" s="199"/>
      <c r="AD2010" s="150">
        <f t="shared" si="1689"/>
        <v>19598</v>
      </c>
      <c r="AE2010" s="150">
        <v>19598</v>
      </c>
      <c r="AF2010" s="169" t="s">
        <v>4680</v>
      </c>
      <c r="AG2010" s="201">
        <v>19598</v>
      </c>
      <c r="AH2010" s="199"/>
      <c r="AI2010" s="150">
        <v>19598</v>
      </c>
      <c r="AJ2010" s="169">
        <f t="shared" si="1678"/>
        <v>0</v>
      </c>
      <c r="AK2010" s="201">
        <v>19598</v>
      </c>
      <c r="AL2010" s="199"/>
      <c r="AM2010" s="150">
        <f t="shared" si="1690"/>
        <v>19598</v>
      </c>
      <c r="AN2010" s="153">
        <f t="shared" si="1679"/>
        <v>0</v>
      </c>
      <c r="AO2010" s="154">
        <f t="shared" si="1680"/>
        <v>0</v>
      </c>
      <c r="AP2010" s="150">
        <v>19598</v>
      </c>
      <c r="AQ2010" s="201">
        <v>19598</v>
      </c>
      <c r="AR2010" s="199"/>
      <c r="AS2010" s="150">
        <f t="shared" si="1691"/>
        <v>19598</v>
      </c>
      <c r="AT2010" s="155"/>
      <c r="AU2010" s="156">
        <f t="shared" si="1675"/>
        <v>0</v>
      </c>
      <c r="AV2010" s="156">
        <f t="shared" si="1676"/>
        <v>0</v>
      </c>
      <c r="AW2010" s="157"/>
      <c r="AX2010" s="150">
        <v>19598</v>
      </c>
      <c r="AY2010" s="150">
        <v>11942</v>
      </c>
      <c r="AZ2010" s="150">
        <v>0</v>
      </c>
      <c r="BA2010" s="150">
        <f t="shared" si="1658"/>
        <v>11942</v>
      </c>
      <c r="BB2010" s="210"/>
      <c r="BC2010" s="210"/>
      <c r="BD2010" s="210"/>
      <c r="BE2010" s="210"/>
      <c r="BF2010" s="210"/>
      <c r="BG2010" s="210"/>
      <c r="BH2010" s="217"/>
      <c r="BI2010" s="210"/>
      <c r="BJ2010" s="210"/>
      <c r="BK2010" s="210"/>
      <c r="BL2010" s="210"/>
      <c r="BM2010" s="208"/>
      <c r="BN2010" s="160"/>
      <c r="BO2010" s="161"/>
      <c r="BP2010" s="161"/>
    </row>
    <row r="2011" spans="1:68">
      <c r="A2011" s="210"/>
      <c r="B2011" s="195" t="s">
        <v>9793</v>
      </c>
      <c r="C2011" s="196" t="s">
        <v>9794</v>
      </c>
      <c r="D2011" s="146" t="s">
        <v>4692</v>
      </c>
      <c r="E2011" s="196" t="s">
        <v>9794</v>
      </c>
      <c r="F2011" s="150">
        <v>9521.5</v>
      </c>
      <c r="G2011" s="209">
        <v>170000</v>
      </c>
      <c r="H2011" s="209"/>
      <c r="I2011" s="209">
        <v>170000</v>
      </c>
      <c r="J2011" s="150">
        <v>0</v>
      </c>
      <c r="K2011" s="150">
        <v>0</v>
      </c>
      <c r="L2011" s="150">
        <f t="shared" si="1692"/>
        <v>0</v>
      </c>
      <c r="M2011" s="150">
        <v>8500</v>
      </c>
      <c r="N2011" s="150">
        <v>0</v>
      </c>
      <c r="O2011" s="150">
        <v>8500</v>
      </c>
      <c r="P2011" s="150">
        <v>8500</v>
      </c>
      <c r="Q2011" s="150">
        <v>0</v>
      </c>
      <c r="R2011" s="150">
        <f t="shared" si="1687"/>
        <v>8500</v>
      </c>
      <c r="S2011" s="150">
        <f t="shared" si="1681"/>
        <v>11333.333333333334</v>
      </c>
      <c r="T2011" s="150"/>
      <c r="U2011" s="150">
        <v>9221.5</v>
      </c>
      <c r="V2011" s="199"/>
      <c r="W2011" s="150">
        <f t="shared" si="1688"/>
        <v>9221.5</v>
      </c>
      <c r="X2011" s="150">
        <v>9221.5</v>
      </c>
      <c r="Y2011" s="150"/>
      <c r="Z2011" s="150">
        <v>9221.5</v>
      </c>
      <c r="AA2011" s="150">
        <f t="shared" si="1677"/>
        <v>0</v>
      </c>
      <c r="AB2011" s="150">
        <v>9221.5</v>
      </c>
      <c r="AC2011" s="199"/>
      <c r="AD2011" s="150">
        <f t="shared" si="1689"/>
        <v>9221.5</v>
      </c>
      <c r="AE2011" s="150">
        <v>9221.5</v>
      </c>
      <c r="AF2011" s="169" t="s">
        <v>4680</v>
      </c>
      <c r="AG2011" s="201">
        <v>9221.5</v>
      </c>
      <c r="AH2011" s="199"/>
      <c r="AI2011" s="150">
        <v>9221.5</v>
      </c>
      <c r="AJ2011" s="169">
        <f t="shared" si="1678"/>
        <v>0</v>
      </c>
      <c r="AK2011" s="201">
        <v>9221.5</v>
      </c>
      <c r="AL2011" s="199"/>
      <c r="AM2011" s="150">
        <f t="shared" si="1690"/>
        <v>9221.5</v>
      </c>
      <c r="AN2011" s="153">
        <f t="shared" si="1679"/>
        <v>0</v>
      </c>
      <c r="AO2011" s="154">
        <f t="shared" si="1680"/>
        <v>0</v>
      </c>
      <c r="AP2011" s="150">
        <v>9221.5</v>
      </c>
      <c r="AQ2011" s="201">
        <v>9221.5</v>
      </c>
      <c r="AR2011" s="199"/>
      <c r="AS2011" s="150">
        <f t="shared" si="1691"/>
        <v>9221.5</v>
      </c>
      <c r="AT2011" s="155"/>
      <c r="AU2011" s="156">
        <f t="shared" si="1675"/>
        <v>0</v>
      </c>
      <c r="AV2011" s="156">
        <f t="shared" si="1676"/>
        <v>0</v>
      </c>
      <c r="AW2011" s="157"/>
      <c r="AX2011" s="150">
        <v>9221.5</v>
      </c>
      <c r="AY2011" s="150">
        <v>8500</v>
      </c>
      <c r="AZ2011" s="150">
        <v>0</v>
      </c>
      <c r="BA2011" s="150">
        <f t="shared" si="1658"/>
        <v>8500</v>
      </c>
      <c r="BB2011" s="210"/>
      <c r="BC2011" s="210"/>
      <c r="BD2011" s="210"/>
      <c r="BE2011" s="210"/>
      <c r="BF2011" s="210"/>
      <c r="BG2011" s="210"/>
      <c r="BH2011" s="217"/>
      <c r="BI2011" s="210"/>
      <c r="BJ2011" s="210"/>
      <c r="BK2011" s="210"/>
      <c r="BL2011" s="210"/>
      <c r="BM2011" s="208"/>
      <c r="BN2011" s="160"/>
      <c r="BO2011" s="161"/>
      <c r="BP2011" s="161"/>
    </row>
    <row r="2012" spans="1:68" ht="25.5">
      <c r="A2012" s="210"/>
      <c r="B2012" s="195" t="s">
        <v>9795</v>
      </c>
      <c r="C2012" s="196" t="s">
        <v>9796</v>
      </c>
      <c r="D2012" s="146" t="s">
        <v>4692</v>
      </c>
      <c r="E2012" s="196" t="s">
        <v>9796</v>
      </c>
      <c r="F2012" s="150">
        <v>170000</v>
      </c>
      <c r="G2012" s="209">
        <v>60689.5</v>
      </c>
      <c r="H2012" s="209"/>
      <c r="I2012" s="209">
        <v>60689.5</v>
      </c>
      <c r="J2012" s="150">
        <v>137351.17000000001</v>
      </c>
      <c r="K2012" s="150">
        <v>0</v>
      </c>
      <c r="L2012" s="150">
        <f t="shared" si="1692"/>
        <v>137351.17000000001</v>
      </c>
      <c r="M2012" s="150">
        <v>137351.17000000001</v>
      </c>
      <c r="N2012" s="150">
        <v>0</v>
      </c>
      <c r="O2012" s="150">
        <v>137351.17000000001</v>
      </c>
      <c r="P2012" s="150">
        <v>157351.17000000001</v>
      </c>
      <c r="Q2012" s="150">
        <v>0</v>
      </c>
      <c r="R2012" s="150">
        <f t="shared" si="1687"/>
        <v>157351.17000000001</v>
      </c>
      <c r="S2012" s="150">
        <f t="shared" si="1681"/>
        <v>209801.56</v>
      </c>
      <c r="T2012" s="150"/>
      <c r="U2012" s="150">
        <v>272097.87</v>
      </c>
      <c r="V2012" s="199"/>
      <c r="W2012" s="150">
        <f t="shared" si="1688"/>
        <v>272097.87</v>
      </c>
      <c r="X2012" s="150">
        <v>272097.87</v>
      </c>
      <c r="Y2012" s="150"/>
      <c r="Z2012" s="150">
        <v>272097.87</v>
      </c>
      <c r="AA2012" s="150">
        <f t="shared" si="1677"/>
        <v>32439</v>
      </c>
      <c r="AB2012" s="150">
        <v>304536.87</v>
      </c>
      <c r="AC2012" s="199"/>
      <c r="AD2012" s="150">
        <f t="shared" si="1689"/>
        <v>304536.87</v>
      </c>
      <c r="AE2012" s="150">
        <v>304536.87</v>
      </c>
      <c r="AF2012" s="169" t="s">
        <v>4680</v>
      </c>
      <c r="AG2012" s="201">
        <v>304536.87</v>
      </c>
      <c r="AH2012" s="199"/>
      <c r="AI2012" s="150">
        <v>304536.87</v>
      </c>
      <c r="AJ2012" s="169">
        <f t="shared" si="1678"/>
        <v>0</v>
      </c>
      <c r="AK2012" s="201">
        <v>304536.87</v>
      </c>
      <c r="AL2012" s="199"/>
      <c r="AM2012" s="150">
        <f t="shared" si="1690"/>
        <v>304536.87</v>
      </c>
      <c r="AN2012" s="153">
        <f t="shared" si="1679"/>
        <v>0</v>
      </c>
      <c r="AO2012" s="154">
        <f t="shared" si="1680"/>
        <v>0</v>
      </c>
      <c r="AP2012" s="150">
        <v>304536.87</v>
      </c>
      <c r="AQ2012" s="201">
        <v>304536.87</v>
      </c>
      <c r="AR2012" s="199"/>
      <c r="AS2012" s="150">
        <f t="shared" si="1691"/>
        <v>304536.87</v>
      </c>
      <c r="AT2012" s="155" t="s">
        <v>9797</v>
      </c>
      <c r="AU2012" s="156">
        <f t="shared" si="1675"/>
        <v>0</v>
      </c>
      <c r="AV2012" s="156">
        <f t="shared" si="1676"/>
        <v>32439</v>
      </c>
      <c r="AW2012" s="157" t="s">
        <v>9798</v>
      </c>
      <c r="AX2012" s="150">
        <v>272097.87</v>
      </c>
      <c r="AY2012" s="150">
        <v>157351.17000000001</v>
      </c>
      <c r="AZ2012" s="150">
        <v>0</v>
      </c>
      <c r="BA2012" s="150">
        <f t="shared" si="1658"/>
        <v>157351.17000000001</v>
      </c>
      <c r="BB2012" s="210"/>
      <c r="BC2012" s="210"/>
      <c r="BD2012" s="210"/>
      <c r="BE2012" s="210"/>
      <c r="BF2012" s="210"/>
      <c r="BG2012" s="210"/>
      <c r="BH2012" s="217"/>
      <c r="BI2012" s="210"/>
      <c r="BJ2012" s="210"/>
      <c r="BK2012" s="210"/>
      <c r="BL2012" s="210"/>
      <c r="BM2012" s="208"/>
      <c r="BN2012" s="160"/>
      <c r="BO2012" s="161"/>
      <c r="BP2012" s="161"/>
    </row>
    <row r="2013" spans="1:68" ht="25.5">
      <c r="A2013" s="210"/>
      <c r="B2013" s="195" t="s">
        <v>9799</v>
      </c>
      <c r="C2013" s="196" t="s">
        <v>9800</v>
      </c>
      <c r="D2013" s="146" t="s">
        <v>4692</v>
      </c>
      <c r="E2013" s="311" t="s">
        <v>9800</v>
      </c>
      <c r="F2013" s="150">
        <v>60689.5</v>
      </c>
      <c r="G2013" s="312">
        <v>0</v>
      </c>
      <c r="H2013" s="312"/>
      <c r="I2013" s="312">
        <v>0</v>
      </c>
      <c r="J2013" s="150">
        <v>7500</v>
      </c>
      <c r="K2013" s="150">
        <v>7500</v>
      </c>
      <c r="L2013" s="150">
        <f t="shared" si="1692"/>
        <v>15000</v>
      </c>
      <c r="M2013" s="150">
        <v>71711.839999999997</v>
      </c>
      <c r="N2013" s="150">
        <v>0</v>
      </c>
      <c r="O2013" s="150">
        <v>71711.839999999997</v>
      </c>
      <c r="P2013" s="150">
        <v>92431.82</v>
      </c>
      <c r="Q2013" s="150">
        <v>0</v>
      </c>
      <c r="R2013" s="150">
        <f t="shared" si="1687"/>
        <v>92431.82</v>
      </c>
      <c r="S2013" s="150">
        <f t="shared" si="1681"/>
        <v>123242.42666666667</v>
      </c>
      <c r="T2013" s="150"/>
      <c r="U2013" s="150">
        <v>163191.76999999999</v>
      </c>
      <c r="V2013" s="199"/>
      <c r="W2013" s="150">
        <f t="shared" si="1688"/>
        <v>163191.76999999999</v>
      </c>
      <c r="X2013" s="150">
        <v>163191.76999999999</v>
      </c>
      <c r="Y2013" s="150"/>
      <c r="Z2013" s="150">
        <v>163191.76999999999</v>
      </c>
      <c r="AA2013" s="150">
        <f t="shared" si="1677"/>
        <v>10000</v>
      </c>
      <c r="AB2013" s="150">
        <v>173191.77</v>
      </c>
      <c r="AC2013" s="199"/>
      <c r="AD2013" s="150">
        <f t="shared" si="1689"/>
        <v>173191.77</v>
      </c>
      <c r="AE2013" s="150">
        <v>173191.77</v>
      </c>
      <c r="AF2013" s="169" t="s">
        <v>4680</v>
      </c>
      <c r="AG2013" s="201">
        <v>173191.77</v>
      </c>
      <c r="AH2013" s="199"/>
      <c r="AI2013" s="150">
        <v>173191.77</v>
      </c>
      <c r="AJ2013" s="169">
        <f t="shared" si="1678"/>
        <v>0</v>
      </c>
      <c r="AK2013" s="201">
        <v>173191.77</v>
      </c>
      <c r="AL2013" s="199"/>
      <c r="AM2013" s="150">
        <f t="shared" si="1690"/>
        <v>173191.77</v>
      </c>
      <c r="AN2013" s="153">
        <f t="shared" si="1679"/>
        <v>0</v>
      </c>
      <c r="AO2013" s="154">
        <f t="shared" si="1680"/>
        <v>0</v>
      </c>
      <c r="AP2013" s="150">
        <v>173191.77</v>
      </c>
      <c r="AQ2013" s="201">
        <v>173191.77</v>
      </c>
      <c r="AR2013" s="199"/>
      <c r="AS2013" s="150">
        <f t="shared" si="1691"/>
        <v>173191.77</v>
      </c>
      <c r="AT2013" s="155"/>
      <c r="AU2013" s="156">
        <f t="shared" si="1675"/>
        <v>0</v>
      </c>
      <c r="AV2013" s="156">
        <f t="shared" si="1676"/>
        <v>10000</v>
      </c>
      <c r="AW2013" s="157" t="s">
        <v>9798</v>
      </c>
      <c r="AX2013" s="150">
        <v>163191.76999999999</v>
      </c>
      <c r="AY2013" s="150">
        <v>68188.639999999999</v>
      </c>
      <c r="AZ2013" s="150">
        <v>0</v>
      </c>
      <c r="BA2013" s="150">
        <f t="shared" si="1658"/>
        <v>68188.639999999999</v>
      </c>
      <c r="BB2013" s="210"/>
      <c r="BC2013" s="210"/>
      <c r="BD2013" s="210"/>
      <c r="BE2013" s="210"/>
      <c r="BF2013" s="210"/>
      <c r="BG2013" s="210"/>
      <c r="BH2013" s="217"/>
      <c r="BI2013" s="210"/>
      <c r="BJ2013" s="210"/>
      <c r="BK2013" s="210"/>
      <c r="BL2013" s="210"/>
      <c r="BM2013" s="208"/>
      <c r="BN2013" s="160"/>
      <c r="BO2013" s="161"/>
      <c r="BP2013" s="161"/>
    </row>
    <row r="2014" spans="1:68">
      <c r="A2014" s="210"/>
      <c r="B2014" s="195" t="s">
        <v>9801</v>
      </c>
      <c r="C2014" s="196" t="s">
        <v>9802</v>
      </c>
      <c r="D2014" s="146" t="s">
        <v>4692</v>
      </c>
      <c r="E2014" s="311" t="s">
        <v>9802</v>
      </c>
      <c r="F2014" s="150">
        <v>0</v>
      </c>
      <c r="G2014" s="312">
        <v>0</v>
      </c>
      <c r="H2014" s="312"/>
      <c r="I2014" s="312">
        <v>0</v>
      </c>
      <c r="J2014" s="150">
        <v>0</v>
      </c>
      <c r="K2014" s="150">
        <v>0</v>
      </c>
      <c r="L2014" s="150">
        <f t="shared" si="1692"/>
        <v>0</v>
      </c>
      <c r="M2014" s="150">
        <v>0</v>
      </c>
      <c r="N2014" s="150">
        <v>0</v>
      </c>
      <c r="O2014" s="150">
        <v>0</v>
      </c>
      <c r="P2014" s="150">
        <v>0</v>
      </c>
      <c r="Q2014" s="150">
        <v>0</v>
      </c>
      <c r="R2014" s="150">
        <f t="shared" si="1687"/>
        <v>0</v>
      </c>
      <c r="S2014" s="150">
        <f t="shared" si="1681"/>
        <v>0</v>
      </c>
      <c r="T2014" s="150"/>
      <c r="U2014" s="150">
        <v>0</v>
      </c>
      <c r="V2014" s="199"/>
      <c r="W2014" s="150">
        <f t="shared" si="1688"/>
        <v>0</v>
      </c>
      <c r="X2014" s="150">
        <v>0</v>
      </c>
      <c r="Y2014" s="150"/>
      <c r="Z2014" s="150">
        <v>0</v>
      </c>
      <c r="AA2014" s="150">
        <f t="shared" si="1677"/>
        <v>0</v>
      </c>
      <c r="AB2014" s="150">
        <v>0</v>
      </c>
      <c r="AC2014" s="199"/>
      <c r="AD2014" s="150">
        <f t="shared" si="1689"/>
        <v>0</v>
      </c>
      <c r="AE2014" s="150">
        <v>0</v>
      </c>
      <c r="AF2014" s="169" t="s">
        <v>4680</v>
      </c>
      <c r="AG2014" s="201">
        <v>0</v>
      </c>
      <c r="AH2014" s="199"/>
      <c r="AI2014" s="150">
        <v>0</v>
      </c>
      <c r="AJ2014" s="169">
        <f t="shared" si="1678"/>
        <v>0</v>
      </c>
      <c r="AK2014" s="201">
        <v>0</v>
      </c>
      <c r="AL2014" s="199"/>
      <c r="AM2014" s="150">
        <f t="shared" si="1690"/>
        <v>0</v>
      </c>
      <c r="AN2014" s="153">
        <f t="shared" si="1679"/>
        <v>0</v>
      </c>
      <c r="AO2014" s="154">
        <f t="shared" si="1680"/>
        <v>0</v>
      </c>
      <c r="AP2014" s="150">
        <v>0</v>
      </c>
      <c r="AQ2014" s="201">
        <v>0</v>
      </c>
      <c r="AR2014" s="199"/>
      <c r="AS2014" s="150">
        <f t="shared" si="1691"/>
        <v>0</v>
      </c>
      <c r="AT2014" s="155"/>
      <c r="AU2014" s="156">
        <f t="shared" si="1675"/>
        <v>0</v>
      </c>
      <c r="AV2014" s="156">
        <f t="shared" si="1676"/>
        <v>0</v>
      </c>
      <c r="AW2014" s="157"/>
      <c r="AX2014" s="150">
        <v>0</v>
      </c>
      <c r="AY2014" s="150">
        <v>0</v>
      </c>
      <c r="AZ2014" s="150">
        <v>0</v>
      </c>
      <c r="BA2014" s="150">
        <f t="shared" si="1658"/>
        <v>0</v>
      </c>
      <c r="BB2014" s="210"/>
      <c r="BC2014" s="210"/>
      <c r="BD2014" s="210"/>
      <c r="BE2014" s="210"/>
      <c r="BF2014" s="210"/>
      <c r="BG2014" s="210"/>
      <c r="BH2014" s="217"/>
      <c r="BI2014" s="210"/>
      <c r="BJ2014" s="210"/>
      <c r="BK2014" s="210"/>
      <c r="BL2014" s="210"/>
      <c r="BM2014" s="208"/>
      <c r="BN2014" s="160"/>
      <c r="BO2014" s="161"/>
      <c r="BP2014" s="161"/>
    </row>
    <row r="2015" spans="1:68">
      <c r="A2015" s="210"/>
      <c r="B2015" s="195" t="s">
        <v>9803</v>
      </c>
      <c r="C2015" s="196" t="s">
        <v>9804</v>
      </c>
      <c r="D2015" s="146" t="s">
        <v>4692</v>
      </c>
      <c r="E2015" s="311" t="s">
        <v>9804</v>
      </c>
      <c r="F2015" s="150">
        <v>0</v>
      </c>
      <c r="G2015" s="312">
        <v>0</v>
      </c>
      <c r="H2015" s="312"/>
      <c r="I2015" s="312">
        <v>0</v>
      </c>
      <c r="J2015" s="150">
        <v>0</v>
      </c>
      <c r="K2015" s="150">
        <v>0</v>
      </c>
      <c r="L2015" s="150">
        <f t="shared" si="1692"/>
        <v>0</v>
      </c>
      <c r="M2015" s="150">
        <v>0</v>
      </c>
      <c r="N2015" s="150">
        <v>0</v>
      </c>
      <c r="O2015" s="150">
        <v>0</v>
      </c>
      <c r="P2015" s="150">
        <v>0</v>
      </c>
      <c r="Q2015" s="150">
        <v>0</v>
      </c>
      <c r="R2015" s="150">
        <f t="shared" si="1687"/>
        <v>0</v>
      </c>
      <c r="S2015" s="150">
        <f t="shared" si="1681"/>
        <v>0</v>
      </c>
      <c r="T2015" s="150"/>
      <c r="U2015" s="150">
        <v>12500.01</v>
      </c>
      <c r="V2015" s="199"/>
      <c r="W2015" s="150">
        <f t="shared" si="1688"/>
        <v>12500.01</v>
      </c>
      <c r="X2015" s="150">
        <v>12500.01</v>
      </c>
      <c r="Y2015" s="150"/>
      <c r="Z2015" s="150">
        <v>12500.01</v>
      </c>
      <c r="AA2015" s="150">
        <f t="shared" si="1677"/>
        <v>0</v>
      </c>
      <c r="AB2015" s="150">
        <v>12500.01</v>
      </c>
      <c r="AC2015" s="199"/>
      <c r="AD2015" s="150">
        <f t="shared" si="1689"/>
        <v>12500.01</v>
      </c>
      <c r="AE2015" s="150">
        <v>12500.01</v>
      </c>
      <c r="AF2015" s="169" t="s">
        <v>4680</v>
      </c>
      <c r="AG2015" s="201">
        <v>12500.01</v>
      </c>
      <c r="AH2015" s="199"/>
      <c r="AI2015" s="150">
        <v>12500.01</v>
      </c>
      <c r="AJ2015" s="169">
        <f t="shared" si="1678"/>
        <v>0</v>
      </c>
      <c r="AK2015" s="201">
        <v>12500.01</v>
      </c>
      <c r="AL2015" s="199"/>
      <c r="AM2015" s="150">
        <f t="shared" si="1690"/>
        <v>12500.01</v>
      </c>
      <c r="AN2015" s="153">
        <f t="shared" si="1679"/>
        <v>0</v>
      </c>
      <c r="AO2015" s="154">
        <f t="shared" si="1680"/>
        <v>0</v>
      </c>
      <c r="AP2015" s="150">
        <v>12500.01</v>
      </c>
      <c r="AQ2015" s="201">
        <v>12500.01</v>
      </c>
      <c r="AR2015" s="199"/>
      <c r="AS2015" s="150">
        <f t="shared" si="1691"/>
        <v>12500.01</v>
      </c>
      <c r="AT2015" s="155"/>
      <c r="AU2015" s="156">
        <f t="shared" si="1675"/>
        <v>0</v>
      </c>
      <c r="AV2015" s="156">
        <f t="shared" si="1676"/>
        <v>0</v>
      </c>
      <c r="AW2015" s="157"/>
      <c r="AX2015" s="150">
        <v>12500.01</v>
      </c>
      <c r="AY2015" s="150">
        <v>0</v>
      </c>
      <c r="AZ2015" s="150">
        <v>0</v>
      </c>
      <c r="BA2015" s="150">
        <f t="shared" si="1658"/>
        <v>0</v>
      </c>
      <c r="BB2015" s="210"/>
      <c r="BC2015" s="210"/>
      <c r="BD2015" s="210"/>
      <c r="BE2015" s="210"/>
      <c r="BF2015" s="210"/>
      <c r="BG2015" s="210"/>
      <c r="BH2015" s="217"/>
      <c r="BI2015" s="210"/>
      <c r="BJ2015" s="210"/>
      <c r="BK2015" s="210"/>
      <c r="BL2015" s="210"/>
      <c r="BM2015" s="208"/>
      <c r="BN2015" s="160"/>
      <c r="BO2015" s="161"/>
      <c r="BP2015" s="161"/>
    </row>
    <row r="2016" spans="1:68">
      <c r="A2016" s="210"/>
      <c r="B2016" s="195" t="s">
        <v>9805</v>
      </c>
      <c r="C2016" s="196" t="s">
        <v>9806</v>
      </c>
      <c r="D2016" s="146" t="s">
        <v>4692</v>
      </c>
      <c r="E2016" s="311" t="s">
        <v>9806</v>
      </c>
      <c r="F2016" s="150">
        <v>0</v>
      </c>
      <c r="G2016" s="312">
        <v>0</v>
      </c>
      <c r="H2016" s="312"/>
      <c r="I2016" s="312">
        <v>0</v>
      </c>
      <c r="J2016" s="150">
        <v>0</v>
      </c>
      <c r="K2016" s="150">
        <v>0</v>
      </c>
      <c r="L2016" s="150">
        <f t="shared" si="1692"/>
        <v>0</v>
      </c>
      <c r="M2016" s="150">
        <v>0</v>
      </c>
      <c r="N2016" s="150">
        <v>0</v>
      </c>
      <c r="O2016" s="150">
        <v>0</v>
      </c>
      <c r="P2016" s="150">
        <v>0</v>
      </c>
      <c r="Q2016" s="150">
        <v>0</v>
      </c>
      <c r="R2016" s="150">
        <f t="shared" si="1687"/>
        <v>0</v>
      </c>
      <c r="S2016" s="150">
        <f t="shared" si="1681"/>
        <v>0</v>
      </c>
      <c r="T2016" s="150"/>
      <c r="U2016" s="150">
        <v>0</v>
      </c>
      <c r="V2016" s="199"/>
      <c r="W2016" s="150">
        <f t="shared" si="1688"/>
        <v>0</v>
      </c>
      <c r="X2016" s="150">
        <v>0</v>
      </c>
      <c r="Y2016" s="150"/>
      <c r="Z2016" s="150">
        <v>0</v>
      </c>
      <c r="AA2016" s="150">
        <f t="shared" si="1677"/>
        <v>0</v>
      </c>
      <c r="AB2016" s="150">
        <v>0</v>
      </c>
      <c r="AC2016" s="199"/>
      <c r="AD2016" s="150">
        <f t="shared" si="1689"/>
        <v>0</v>
      </c>
      <c r="AE2016" s="150">
        <v>0</v>
      </c>
      <c r="AF2016" s="169" t="s">
        <v>4680</v>
      </c>
      <c r="AG2016" s="201">
        <v>0</v>
      </c>
      <c r="AH2016" s="199"/>
      <c r="AI2016" s="150">
        <v>0</v>
      </c>
      <c r="AJ2016" s="169">
        <f t="shared" si="1678"/>
        <v>0</v>
      </c>
      <c r="AK2016" s="201">
        <v>0</v>
      </c>
      <c r="AL2016" s="199"/>
      <c r="AM2016" s="150">
        <f t="shared" si="1690"/>
        <v>0</v>
      </c>
      <c r="AN2016" s="153">
        <f t="shared" si="1679"/>
        <v>0</v>
      </c>
      <c r="AO2016" s="154">
        <f t="shared" si="1680"/>
        <v>0</v>
      </c>
      <c r="AP2016" s="150">
        <v>0</v>
      </c>
      <c r="AQ2016" s="201">
        <v>0</v>
      </c>
      <c r="AR2016" s="199"/>
      <c r="AS2016" s="150">
        <f t="shared" si="1691"/>
        <v>0</v>
      </c>
      <c r="AT2016" s="155"/>
      <c r="AU2016" s="156">
        <f t="shared" si="1675"/>
        <v>0</v>
      </c>
      <c r="AV2016" s="156">
        <f t="shared" si="1676"/>
        <v>0</v>
      </c>
      <c r="AW2016" s="157"/>
      <c r="AX2016" s="150">
        <v>0</v>
      </c>
      <c r="AY2016" s="150">
        <v>0</v>
      </c>
      <c r="AZ2016" s="150">
        <v>0</v>
      </c>
      <c r="BA2016" s="150">
        <f t="shared" si="1658"/>
        <v>0</v>
      </c>
      <c r="BB2016" s="210"/>
      <c r="BC2016" s="210"/>
      <c r="BD2016" s="210"/>
      <c r="BE2016" s="210"/>
      <c r="BF2016" s="210"/>
      <c r="BG2016" s="210"/>
      <c r="BH2016" s="217"/>
      <c r="BI2016" s="210"/>
      <c r="BJ2016" s="210"/>
      <c r="BK2016" s="210"/>
      <c r="BL2016" s="210"/>
      <c r="BM2016" s="208"/>
      <c r="BN2016" s="160"/>
      <c r="BO2016" s="161"/>
      <c r="BP2016" s="161"/>
    </row>
    <row r="2017" spans="1:68">
      <c r="A2017" s="210"/>
      <c r="B2017" s="195" t="s">
        <v>9807</v>
      </c>
      <c r="C2017" s="196" t="s">
        <v>9808</v>
      </c>
      <c r="D2017" s="146" t="s">
        <v>4692</v>
      </c>
      <c r="E2017" s="311" t="s">
        <v>9808</v>
      </c>
      <c r="F2017" s="150">
        <v>0</v>
      </c>
      <c r="G2017" s="312">
        <v>0</v>
      </c>
      <c r="H2017" s="312"/>
      <c r="I2017" s="312">
        <v>0</v>
      </c>
      <c r="J2017" s="150">
        <v>0</v>
      </c>
      <c r="K2017" s="150">
        <v>0</v>
      </c>
      <c r="L2017" s="150">
        <f t="shared" si="1692"/>
        <v>0</v>
      </c>
      <c r="M2017" s="150">
        <v>0</v>
      </c>
      <c r="N2017" s="150">
        <v>0</v>
      </c>
      <c r="O2017" s="150">
        <v>0</v>
      </c>
      <c r="P2017" s="150">
        <v>0</v>
      </c>
      <c r="Q2017" s="150">
        <v>0</v>
      </c>
      <c r="R2017" s="150">
        <f t="shared" si="1687"/>
        <v>0</v>
      </c>
      <c r="S2017" s="150">
        <f t="shared" si="1681"/>
        <v>0</v>
      </c>
      <c r="T2017" s="150"/>
      <c r="U2017" s="150">
        <v>1111.79</v>
      </c>
      <c r="V2017" s="199"/>
      <c r="W2017" s="150">
        <f t="shared" si="1688"/>
        <v>1111.79</v>
      </c>
      <c r="X2017" s="150">
        <v>1111.79</v>
      </c>
      <c r="Y2017" s="150"/>
      <c r="Z2017" s="150">
        <v>1111.79</v>
      </c>
      <c r="AA2017" s="150">
        <f t="shared" si="1677"/>
        <v>0</v>
      </c>
      <c r="AB2017" s="150">
        <v>1111.79</v>
      </c>
      <c r="AC2017" s="199"/>
      <c r="AD2017" s="150">
        <f t="shared" si="1689"/>
        <v>1111.79</v>
      </c>
      <c r="AE2017" s="150">
        <v>1111.79</v>
      </c>
      <c r="AF2017" s="169" t="s">
        <v>4680</v>
      </c>
      <c r="AG2017" s="201">
        <v>1111.79</v>
      </c>
      <c r="AH2017" s="199"/>
      <c r="AI2017" s="150">
        <v>1111.79</v>
      </c>
      <c r="AJ2017" s="169">
        <f t="shared" si="1678"/>
        <v>0</v>
      </c>
      <c r="AK2017" s="201">
        <v>1111.79</v>
      </c>
      <c r="AL2017" s="199"/>
      <c r="AM2017" s="150">
        <f t="shared" si="1690"/>
        <v>1111.79</v>
      </c>
      <c r="AN2017" s="153">
        <f t="shared" si="1679"/>
        <v>0</v>
      </c>
      <c r="AO2017" s="154">
        <f t="shared" si="1680"/>
        <v>0</v>
      </c>
      <c r="AP2017" s="150">
        <v>1111.79</v>
      </c>
      <c r="AQ2017" s="201">
        <v>1111.79</v>
      </c>
      <c r="AR2017" s="199"/>
      <c r="AS2017" s="150">
        <f t="shared" si="1691"/>
        <v>1111.79</v>
      </c>
      <c r="AT2017" s="155"/>
      <c r="AU2017" s="156">
        <f t="shared" si="1675"/>
        <v>0</v>
      </c>
      <c r="AV2017" s="156">
        <f t="shared" si="1676"/>
        <v>0</v>
      </c>
      <c r="AW2017" s="157"/>
      <c r="AX2017" s="150">
        <v>1111.79</v>
      </c>
      <c r="AY2017" s="150">
        <v>0</v>
      </c>
      <c r="AZ2017" s="150">
        <v>0</v>
      </c>
      <c r="BA2017" s="150">
        <f t="shared" si="1658"/>
        <v>0</v>
      </c>
      <c r="BB2017" s="210"/>
      <c r="BC2017" s="210"/>
      <c r="BD2017" s="210"/>
      <c r="BE2017" s="210"/>
      <c r="BF2017" s="210"/>
      <c r="BG2017" s="210"/>
      <c r="BH2017" s="217"/>
      <c r="BI2017" s="210"/>
      <c r="BJ2017" s="210"/>
      <c r="BK2017" s="210"/>
      <c r="BL2017" s="210"/>
      <c r="BM2017" s="208"/>
      <c r="BN2017" s="160"/>
      <c r="BO2017" s="161"/>
      <c r="BP2017" s="161"/>
    </row>
    <row r="2018" spans="1:68" ht="25.5">
      <c r="A2018" s="210"/>
      <c r="B2018" s="195" t="s">
        <v>9809</v>
      </c>
      <c r="C2018" s="196" t="s">
        <v>9810</v>
      </c>
      <c r="D2018" s="146" t="s">
        <v>4692</v>
      </c>
      <c r="E2018" s="311" t="s">
        <v>9811</v>
      </c>
      <c r="F2018" s="150">
        <v>0</v>
      </c>
      <c r="G2018" s="312">
        <v>18333.32</v>
      </c>
      <c r="H2018" s="312"/>
      <c r="I2018" s="312">
        <v>18333.32</v>
      </c>
      <c r="J2018" s="150">
        <v>0</v>
      </c>
      <c r="K2018" s="150">
        <v>0</v>
      </c>
      <c r="L2018" s="150">
        <f t="shared" si="1692"/>
        <v>0</v>
      </c>
      <c r="M2018" s="150">
        <v>0</v>
      </c>
      <c r="N2018" s="150">
        <v>0</v>
      </c>
      <c r="O2018" s="150">
        <v>0</v>
      </c>
      <c r="P2018" s="150">
        <v>0</v>
      </c>
      <c r="Q2018" s="150">
        <v>0</v>
      </c>
      <c r="R2018" s="150">
        <f t="shared" si="1687"/>
        <v>0</v>
      </c>
      <c r="S2018" s="150">
        <f t="shared" si="1681"/>
        <v>0</v>
      </c>
      <c r="T2018" s="150"/>
      <c r="U2018" s="150">
        <v>0</v>
      </c>
      <c r="V2018" s="199"/>
      <c r="W2018" s="150">
        <f t="shared" si="1688"/>
        <v>0</v>
      </c>
      <c r="X2018" s="150">
        <v>0</v>
      </c>
      <c r="Y2018" s="150"/>
      <c r="Z2018" s="150">
        <v>0</v>
      </c>
      <c r="AA2018" s="150">
        <f t="shared" si="1677"/>
        <v>0</v>
      </c>
      <c r="AB2018" s="150">
        <v>0</v>
      </c>
      <c r="AC2018" s="199"/>
      <c r="AD2018" s="150">
        <f t="shared" si="1689"/>
        <v>0</v>
      </c>
      <c r="AE2018" s="150">
        <v>0</v>
      </c>
      <c r="AF2018" s="169" t="s">
        <v>4680</v>
      </c>
      <c r="AG2018" s="201">
        <v>0</v>
      </c>
      <c r="AH2018" s="199"/>
      <c r="AI2018" s="150">
        <v>0</v>
      </c>
      <c r="AJ2018" s="169">
        <f t="shared" si="1678"/>
        <v>0</v>
      </c>
      <c r="AK2018" s="201">
        <v>0</v>
      </c>
      <c r="AL2018" s="199"/>
      <c r="AM2018" s="150">
        <f t="shared" si="1690"/>
        <v>0</v>
      </c>
      <c r="AN2018" s="153">
        <f t="shared" si="1679"/>
        <v>0</v>
      </c>
      <c r="AO2018" s="154">
        <f t="shared" si="1680"/>
        <v>0</v>
      </c>
      <c r="AP2018" s="150">
        <v>0</v>
      </c>
      <c r="AQ2018" s="201">
        <v>0</v>
      </c>
      <c r="AR2018" s="199"/>
      <c r="AS2018" s="150">
        <f t="shared" si="1691"/>
        <v>0</v>
      </c>
      <c r="AT2018" s="155"/>
      <c r="AU2018" s="156">
        <f t="shared" si="1675"/>
        <v>0</v>
      </c>
      <c r="AV2018" s="156">
        <f t="shared" si="1676"/>
        <v>0</v>
      </c>
      <c r="AW2018" s="157"/>
      <c r="AX2018" s="150">
        <v>0</v>
      </c>
      <c r="AY2018" s="150">
        <v>0</v>
      </c>
      <c r="AZ2018" s="150">
        <v>0</v>
      </c>
      <c r="BA2018" s="150">
        <f t="shared" si="1658"/>
        <v>0</v>
      </c>
      <c r="BB2018" s="210"/>
      <c r="BC2018" s="210"/>
      <c r="BD2018" s="210"/>
      <c r="BE2018" s="210"/>
      <c r="BF2018" s="210"/>
      <c r="BG2018" s="210"/>
      <c r="BH2018" s="217"/>
      <c r="BI2018" s="210"/>
      <c r="BJ2018" s="210"/>
      <c r="BK2018" s="210"/>
      <c r="BL2018" s="210"/>
      <c r="BM2018" s="208"/>
      <c r="BN2018" s="160"/>
      <c r="BO2018" s="161"/>
      <c r="BP2018" s="161"/>
    </row>
    <row r="2019" spans="1:68">
      <c r="A2019" s="210"/>
      <c r="B2019" s="195" t="s">
        <v>9812</v>
      </c>
      <c r="C2019" s="196" t="s">
        <v>9813</v>
      </c>
      <c r="D2019" s="146" t="s">
        <v>4692</v>
      </c>
      <c r="E2019" s="311" t="s">
        <v>9813</v>
      </c>
      <c r="F2019" s="150">
        <v>18333.32</v>
      </c>
      <c r="G2019" s="312">
        <v>21040</v>
      </c>
      <c r="H2019" s="312"/>
      <c r="I2019" s="312">
        <v>21040</v>
      </c>
      <c r="J2019" s="150">
        <v>1666.67</v>
      </c>
      <c r="K2019" s="150">
        <v>1666.67</v>
      </c>
      <c r="L2019" s="150">
        <f t="shared" si="1692"/>
        <v>3333.34</v>
      </c>
      <c r="M2019" s="150">
        <v>9166.67</v>
      </c>
      <c r="N2019" s="150">
        <v>3333.3259999999991</v>
      </c>
      <c r="O2019" s="150">
        <v>12499.995999999999</v>
      </c>
      <c r="P2019" s="150">
        <v>22083.32</v>
      </c>
      <c r="Q2019" s="150">
        <v>0</v>
      </c>
      <c r="R2019" s="150">
        <f t="shared" si="1687"/>
        <v>22083.32</v>
      </c>
      <c r="S2019" s="150">
        <f t="shared" si="1681"/>
        <v>29444.426666666666</v>
      </c>
      <c r="T2019" s="150"/>
      <c r="U2019" s="150">
        <v>36041.65</v>
      </c>
      <c r="V2019" s="199"/>
      <c r="W2019" s="150">
        <f t="shared" si="1688"/>
        <v>36041.65</v>
      </c>
      <c r="X2019" s="150">
        <v>36041.65</v>
      </c>
      <c r="Y2019" s="150"/>
      <c r="Z2019" s="150">
        <v>36041.65</v>
      </c>
      <c r="AA2019" s="150">
        <f t="shared" si="1677"/>
        <v>0</v>
      </c>
      <c r="AB2019" s="150">
        <v>36041.65</v>
      </c>
      <c r="AC2019" s="199"/>
      <c r="AD2019" s="150">
        <f t="shared" si="1689"/>
        <v>36041.65</v>
      </c>
      <c r="AE2019" s="150">
        <v>36041.65</v>
      </c>
      <c r="AF2019" s="169" t="s">
        <v>4680</v>
      </c>
      <c r="AG2019" s="201">
        <v>36041.65</v>
      </c>
      <c r="AH2019" s="199"/>
      <c r="AI2019" s="150">
        <v>36041.65</v>
      </c>
      <c r="AJ2019" s="169">
        <f t="shared" si="1678"/>
        <v>0</v>
      </c>
      <c r="AK2019" s="201">
        <v>36041.65</v>
      </c>
      <c r="AL2019" s="199"/>
      <c r="AM2019" s="150">
        <f t="shared" si="1690"/>
        <v>36041.65</v>
      </c>
      <c r="AN2019" s="153">
        <f t="shared" si="1679"/>
        <v>0</v>
      </c>
      <c r="AO2019" s="154">
        <f t="shared" si="1680"/>
        <v>0</v>
      </c>
      <c r="AP2019" s="150">
        <v>36041.65</v>
      </c>
      <c r="AQ2019" s="201">
        <v>36041.65</v>
      </c>
      <c r="AR2019" s="199"/>
      <c r="AS2019" s="150">
        <f t="shared" si="1691"/>
        <v>36041.65</v>
      </c>
      <c r="AT2019" s="155"/>
      <c r="AU2019" s="156">
        <f t="shared" si="1675"/>
        <v>0</v>
      </c>
      <c r="AV2019" s="156">
        <f t="shared" si="1676"/>
        <v>0</v>
      </c>
      <c r="AW2019" s="157"/>
      <c r="AX2019" s="150">
        <v>36041.65</v>
      </c>
      <c r="AY2019" s="150">
        <v>16666.66</v>
      </c>
      <c r="AZ2019" s="150"/>
      <c r="BA2019" s="150">
        <f t="shared" si="1658"/>
        <v>16666.66</v>
      </c>
      <c r="BB2019" s="210"/>
      <c r="BC2019" s="210"/>
      <c r="BD2019" s="210"/>
      <c r="BE2019" s="210"/>
      <c r="BF2019" s="210"/>
      <c r="BG2019" s="210"/>
      <c r="BH2019" s="217"/>
      <c r="BI2019" s="210"/>
      <c r="BJ2019" s="210"/>
      <c r="BK2019" s="210"/>
      <c r="BL2019" s="210"/>
      <c r="BM2019" s="208"/>
      <c r="BN2019" s="160"/>
      <c r="BO2019" s="161"/>
      <c r="BP2019" s="161"/>
    </row>
    <row r="2020" spans="1:68">
      <c r="A2020" s="210"/>
      <c r="B2020" s="195" t="s">
        <v>9814</v>
      </c>
      <c r="C2020" s="196" t="s">
        <v>9815</v>
      </c>
      <c r="D2020" s="146" t="s">
        <v>4692</v>
      </c>
      <c r="E2020" s="311" t="s">
        <v>9815</v>
      </c>
      <c r="F2020" s="150">
        <v>21040</v>
      </c>
      <c r="G2020" s="312">
        <v>0</v>
      </c>
      <c r="H2020" s="312"/>
      <c r="I2020" s="312">
        <v>0</v>
      </c>
      <c r="J2020" s="150">
        <v>4166</v>
      </c>
      <c r="K2020" s="150">
        <v>10416</v>
      </c>
      <c r="L2020" s="150">
        <f t="shared" si="1692"/>
        <v>14582</v>
      </c>
      <c r="M2020" s="150">
        <v>12057.1</v>
      </c>
      <c r="N2020" s="150">
        <v>0</v>
      </c>
      <c r="O2020" s="150">
        <v>12057.1</v>
      </c>
      <c r="P2020" s="150">
        <v>12057.1</v>
      </c>
      <c r="Q2020" s="150">
        <v>0</v>
      </c>
      <c r="R2020" s="150">
        <f t="shared" si="1687"/>
        <v>12057.1</v>
      </c>
      <c r="S2020" s="150">
        <f t="shared" si="1681"/>
        <v>16076.133333333335</v>
      </c>
      <c r="T2020" s="150"/>
      <c r="U2020" s="150">
        <v>12057.1</v>
      </c>
      <c r="V2020" s="199">
        <v>4899.8999999999996</v>
      </c>
      <c r="W2020" s="150">
        <f t="shared" si="1688"/>
        <v>16957</v>
      </c>
      <c r="X2020" s="150">
        <v>12057.1</v>
      </c>
      <c r="Y2020" s="150">
        <v>4899.8999999999996</v>
      </c>
      <c r="Z2020" s="150">
        <v>16957</v>
      </c>
      <c r="AA2020" s="150">
        <f t="shared" si="1677"/>
        <v>0</v>
      </c>
      <c r="AB2020" s="150">
        <v>12057.1</v>
      </c>
      <c r="AC2020" s="199">
        <v>4899.8999999999996</v>
      </c>
      <c r="AD2020" s="150">
        <f t="shared" si="1689"/>
        <v>16957</v>
      </c>
      <c r="AE2020" s="150">
        <v>16957</v>
      </c>
      <c r="AF2020" s="169" t="s">
        <v>4680</v>
      </c>
      <c r="AG2020" s="201">
        <v>12057.1</v>
      </c>
      <c r="AH2020" s="199">
        <v>4899.8999999999996</v>
      </c>
      <c r="AI2020" s="150">
        <v>16957</v>
      </c>
      <c r="AJ2020" s="169">
        <f t="shared" si="1678"/>
        <v>0</v>
      </c>
      <c r="AK2020" s="201">
        <v>12057.1</v>
      </c>
      <c r="AL2020" s="199">
        <v>4899.8999999999996</v>
      </c>
      <c r="AM2020" s="150">
        <f t="shared" si="1690"/>
        <v>16957</v>
      </c>
      <c r="AN2020" s="153">
        <f t="shared" si="1679"/>
        <v>0</v>
      </c>
      <c r="AO2020" s="154">
        <f t="shared" si="1680"/>
        <v>0</v>
      </c>
      <c r="AP2020" s="150">
        <v>16957</v>
      </c>
      <c r="AQ2020" s="201">
        <v>16957</v>
      </c>
      <c r="AR2020" s="199"/>
      <c r="AS2020" s="150">
        <f t="shared" si="1691"/>
        <v>16957</v>
      </c>
      <c r="AT2020" s="155"/>
      <c r="AU2020" s="156">
        <f t="shared" si="1675"/>
        <v>0</v>
      </c>
      <c r="AV2020" s="156">
        <f t="shared" si="1676"/>
        <v>0</v>
      </c>
      <c r="AW2020" s="157"/>
      <c r="AX2020" s="150">
        <v>16957</v>
      </c>
      <c r="AY2020" s="150">
        <v>12057.1</v>
      </c>
      <c r="AZ2020" s="150">
        <v>0</v>
      </c>
      <c r="BA2020" s="150">
        <f t="shared" si="1658"/>
        <v>12057.1</v>
      </c>
      <c r="BB2020" s="210"/>
      <c r="BC2020" s="210"/>
      <c r="BD2020" s="210"/>
      <c r="BE2020" s="210"/>
      <c r="BF2020" s="210"/>
      <c r="BG2020" s="210"/>
      <c r="BH2020" s="217"/>
      <c r="BI2020" s="210"/>
      <c r="BJ2020" s="210"/>
      <c r="BK2020" s="210"/>
      <c r="BL2020" s="210"/>
      <c r="BM2020" s="208"/>
      <c r="BN2020" s="160"/>
      <c r="BO2020" s="161"/>
      <c r="BP2020" s="161"/>
    </row>
    <row r="2021" spans="1:68">
      <c r="A2021" s="210"/>
      <c r="B2021" s="195" t="s">
        <v>9816</v>
      </c>
      <c r="C2021" s="196" t="s">
        <v>9817</v>
      </c>
      <c r="D2021" s="146" t="s">
        <v>4692</v>
      </c>
      <c r="E2021" s="311" t="s">
        <v>9817</v>
      </c>
      <c r="F2021" s="150">
        <v>0</v>
      </c>
      <c r="G2021" s="312">
        <v>143732.60999999999</v>
      </c>
      <c r="H2021" s="312"/>
      <c r="I2021" s="312">
        <v>143732.60999999999</v>
      </c>
      <c r="J2021" s="150">
        <v>0</v>
      </c>
      <c r="K2021" s="150">
        <v>0</v>
      </c>
      <c r="L2021" s="150">
        <f t="shared" si="1692"/>
        <v>0</v>
      </c>
      <c r="M2021" s="150">
        <v>0</v>
      </c>
      <c r="N2021" s="150">
        <v>0</v>
      </c>
      <c r="O2021" s="150">
        <v>0</v>
      </c>
      <c r="P2021" s="150">
        <v>0</v>
      </c>
      <c r="Q2021" s="150">
        <v>0</v>
      </c>
      <c r="R2021" s="150">
        <f t="shared" si="1687"/>
        <v>0</v>
      </c>
      <c r="S2021" s="150">
        <f t="shared" si="1681"/>
        <v>0</v>
      </c>
      <c r="T2021" s="150"/>
      <c r="U2021" s="150">
        <v>0</v>
      </c>
      <c r="V2021" s="199"/>
      <c r="W2021" s="150">
        <f t="shared" si="1688"/>
        <v>0</v>
      </c>
      <c r="X2021" s="150">
        <v>0</v>
      </c>
      <c r="Y2021" s="150"/>
      <c r="Z2021" s="150">
        <v>0</v>
      </c>
      <c r="AA2021" s="150">
        <f t="shared" si="1677"/>
        <v>0</v>
      </c>
      <c r="AB2021" s="150">
        <v>0</v>
      </c>
      <c r="AC2021" s="199"/>
      <c r="AD2021" s="150">
        <f t="shared" si="1689"/>
        <v>0</v>
      </c>
      <c r="AE2021" s="150">
        <v>0</v>
      </c>
      <c r="AF2021" s="169" t="s">
        <v>4680</v>
      </c>
      <c r="AG2021" s="201">
        <v>0</v>
      </c>
      <c r="AH2021" s="199"/>
      <c r="AI2021" s="150">
        <v>0</v>
      </c>
      <c r="AJ2021" s="169">
        <f t="shared" si="1678"/>
        <v>0</v>
      </c>
      <c r="AK2021" s="201">
        <v>0</v>
      </c>
      <c r="AL2021" s="199"/>
      <c r="AM2021" s="150">
        <f t="shared" si="1690"/>
        <v>0</v>
      </c>
      <c r="AN2021" s="153">
        <f t="shared" si="1679"/>
        <v>0</v>
      </c>
      <c r="AO2021" s="154">
        <f t="shared" si="1680"/>
        <v>0</v>
      </c>
      <c r="AP2021" s="150">
        <v>0</v>
      </c>
      <c r="AQ2021" s="201">
        <v>0</v>
      </c>
      <c r="AR2021" s="199"/>
      <c r="AS2021" s="150">
        <f t="shared" si="1691"/>
        <v>0</v>
      </c>
      <c r="AT2021" s="155"/>
      <c r="AU2021" s="156">
        <f t="shared" si="1675"/>
        <v>0</v>
      </c>
      <c r="AV2021" s="156">
        <f t="shared" si="1676"/>
        <v>0</v>
      </c>
      <c r="AW2021" s="157"/>
      <c r="AX2021" s="150">
        <v>0</v>
      </c>
      <c r="AY2021" s="150">
        <v>0</v>
      </c>
      <c r="AZ2021" s="150">
        <v>0</v>
      </c>
      <c r="BA2021" s="150">
        <f t="shared" si="1658"/>
        <v>0</v>
      </c>
      <c r="BB2021" s="210"/>
      <c r="BC2021" s="210"/>
      <c r="BD2021" s="210"/>
      <c r="BE2021" s="210"/>
      <c r="BF2021" s="210"/>
      <c r="BG2021" s="210"/>
      <c r="BH2021" s="217"/>
      <c r="BI2021" s="210"/>
      <c r="BJ2021" s="210"/>
      <c r="BK2021" s="210"/>
      <c r="BL2021" s="210"/>
      <c r="BM2021" s="208"/>
      <c r="BN2021" s="160"/>
      <c r="BO2021" s="161"/>
      <c r="BP2021" s="161"/>
    </row>
    <row r="2022" spans="1:68">
      <c r="A2022" s="210"/>
      <c r="B2022" s="195" t="s">
        <v>9818</v>
      </c>
      <c r="C2022" s="196" t="s">
        <v>9819</v>
      </c>
      <c r="D2022" s="146" t="s">
        <v>4692</v>
      </c>
      <c r="E2022" s="311" t="s">
        <v>9819</v>
      </c>
      <c r="F2022" s="150">
        <v>162574.82999999999</v>
      </c>
      <c r="G2022" s="312">
        <v>159664.47</v>
      </c>
      <c r="H2022" s="312"/>
      <c r="I2022" s="312">
        <v>159664.47</v>
      </c>
      <c r="J2022" s="150">
        <v>34807.99</v>
      </c>
      <c r="K2022" s="150">
        <v>62109.330000000009</v>
      </c>
      <c r="L2022" s="150">
        <f t="shared" si="1692"/>
        <v>96917.32</v>
      </c>
      <c r="M2022" s="150">
        <v>79624.649999999994</v>
      </c>
      <c r="N2022" s="150">
        <v>17999.690000000002</v>
      </c>
      <c r="O2022" s="150">
        <v>97624.34</v>
      </c>
      <c r="P2022" s="150">
        <v>133874.32999999999</v>
      </c>
      <c r="Q2022" s="150">
        <v>583.35000000000582</v>
      </c>
      <c r="R2022" s="150">
        <f t="shared" si="1687"/>
        <v>134457.68</v>
      </c>
      <c r="S2022" s="150">
        <f t="shared" si="1681"/>
        <v>179276.90666666665</v>
      </c>
      <c r="T2022" s="150"/>
      <c r="U2022" s="150">
        <v>224578.73</v>
      </c>
      <c r="V2022" s="199"/>
      <c r="W2022" s="150">
        <f t="shared" si="1688"/>
        <v>224578.73</v>
      </c>
      <c r="X2022" s="150">
        <v>224578.73</v>
      </c>
      <c r="Y2022" s="150"/>
      <c r="Z2022" s="150">
        <v>224578.73</v>
      </c>
      <c r="AA2022" s="150">
        <f t="shared" si="1677"/>
        <v>0</v>
      </c>
      <c r="AB2022" s="150">
        <v>224578.73</v>
      </c>
      <c r="AC2022" s="199"/>
      <c r="AD2022" s="150">
        <f t="shared" si="1689"/>
        <v>224578.73</v>
      </c>
      <c r="AE2022" s="150">
        <v>224578.73</v>
      </c>
      <c r="AF2022" s="169" t="s">
        <v>4680</v>
      </c>
      <c r="AG2022" s="201">
        <v>224578.73</v>
      </c>
      <c r="AH2022" s="199"/>
      <c r="AI2022" s="150">
        <v>224578.73</v>
      </c>
      <c r="AJ2022" s="169">
        <f t="shared" si="1678"/>
        <v>0</v>
      </c>
      <c r="AK2022" s="201">
        <v>224578.73</v>
      </c>
      <c r="AL2022" s="199"/>
      <c r="AM2022" s="150">
        <f t="shared" si="1690"/>
        <v>224578.73</v>
      </c>
      <c r="AN2022" s="153">
        <f t="shared" si="1679"/>
        <v>0</v>
      </c>
      <c r="AO2022" s="154">
        <f t="shared" si="1680"/>
        <v>0</v>
      </c>
      <c r="AP2022" s="150">
        <v>224578.73</v>
      </c>
      <c r="AQ2022" s="201">
        <v>224578.73</v>
      </c>
      <c r="AR2022" s="199"/>
      <c r="AS2022" s="150">
        <f t="shared" si="1691"/>
        <v>224578.73</v>
      </c>
      <c r="AT2022" s="155"/>
      <c r="AU2022" s="156">
        <f t="shared" si="1675"/>
        <v>0</v>
      </c>
      <c r="AV2022" s="156">
        <f t="shared" si="1676"/>
        <v>0</v>
      </c>
      <c r="AW2022" s="157"/>
      <c r="AX2022" s="150">
        <v>224578.73</v>
      </c>
      <c r="AY2022" s="150">
        <v>112373.99</v>
      </c>
      <c r="AZ2022" s="150"/>
      <c r="BA2022" s="150">
        <f t="shared" si="1658"/>
        <v>112373.99</v>
      </c>
      <c r="BB2022" s="210"/>
      <c r="BC2022" s="210"/>
      <c r="BD2022" s="210"/>
      <c r="BE2022" s="210"/>
      <c r="BF2022" s="210"/>
      <c r="BG2022" s="210"/>
      <c r="BH2022" s="217"/>
      <c r="BI2022" s="210"/>
      <c r="BJ2022" s="210"/>
      <c r="BK2022" s="210"/>
      <c r="BL2022" s="210"/>
      <c r="BM2022" s="208"/>
      <c r="BN2022" s="160"/>
      <c r="BO2022" s="161"/>
      <c r="BP2022" s="161"/>
    </row>
    <row r="2023" spans="1:68">
      <c r="A2023" s="210"/>
      <c r="B2023" s="195" t="s">
        <v>9820</v>
      </c>
      <c r="C2023" s="196" t="s">
        <v>9821</v>
      </c>
      <c r="D2023" s="146" t="s">
        <v>4692</v>
      </c>
      <c r="E2023" s="311" t="s">
        <v>9821</v>
      </c>
      <c r="F2023" s="150">
        <v>171122.11</v>
      </c>
      <c r="G2023" s="312">
        <v>27708.3</v>
      </c>
      <c r="H2023" s="312"/>
      <c r="I2023" s="312">
        <v>27708.3</v>
      </c>
      <c r="J2023" s="150">
        <v>35249.97</v>
      </c>
      <c r="K2023" s="150">
        <v>98416.63</v>
      </c>
      <c r="L2023" s="150">
        <f t="shared" si="1692"/>
        <v>133666.6</v>
      </c>
      <c r="M2023" s="150">
        <v>77874.95</v>
      </c>
      <c r="N2023" s="150">
        <v>4500</v>
      </c>
      <c r="O2023" s="150">
        <v>82374.95</v>
      </c>
      <c r="P2023" s="150">
        <v>97291.6</v>
      </c>
      <c r="Q2023" s="150">
        <v>0</v>
      </c>
      <c r="R2023" s="150">
        <f t="shared" si="1687"/>
        <v>97291.6</v>
      </c>
      <c r="S2023" s="150">
        <f t="shared" si="1681"/>
        <v>129722.13333333335</v>
      </c>
      <c r="T2023" s="150"/>
      <c r="U2023" s="150">
        <v>144082.89000000001</v>
      </c>
      <c r="V2023" s="199">
        <v>4166.3199999999779</v>
      </c>
      <c r="W2023" s="150">
        <f t="shared" si="1688"/>
        <v>148249.21</v>
      </c>
      <c r="X2023" s="150">
        <v>144082.89000000001</v>
      </c>
      <c r="Y2023" s="150">
        <v>4166.3199999999779</v>
      </c>
      <c r="Z2023" s="150">
        <v>148249.21</v>
      </c>
      <c r="AA2023" s="150">
        <f t="shared" si="1677"/>
        <v>0</v>
      </c>
      <c r="AB2023" s="150">
        <v>144082.89000000001</v>
      </c>
      <c r="AC2023" s="199">
        <v>4166.3199999999779</v>
      </c>
      <c r="AD2023" s="150">
        <f t="shared" si="1689"/>
        <v>148249.21</v>
      </c>
      <c r="AE2023" s="150">
        <v>148249.21</v>
      </c>
      <c r="AF2023" s="169" t="s">
        <v>4680</v>
      </c>
      <c r="AG2023" s="201">
        <v>144082.89000000001</v>
      </c>
      <c r="AH2023" s="199">
        <v>4166.3199999999779</v>
      </c>
      <c r="AI2023" s="150">
        <v>148249.21</v>
      </c>
      <c r="AJ2023" s="169">
        <f t="shared" si="1678"/>
        <v>0</v>
      </c>
      <c r="AK2023" s="201">
        <v>144082.89000000001</v>
      </c>
      <c r="AL2023" s="199">
        <v>4166.3199999999779</v>
      </c>
      <c r="AM2023" s="150">
        <f t="shared" si="1690"/>
        <v>148249.21</v>
      </c>
      <c r="AN2023" s="153">
        <f t="shared" si="1679"/>
        <v>0</v>
      </c>
      <c r="AO2023" s="154">
        <f t="shared" si="1680"/>
        <v>0</v>
      </c>
      <c r="AP2023" s="150">
        <v>148249.21</v>
      </c>
      <c r="AQ2023" s="201">
        <v>148249.21</v>
      </c>
      <c r="AR2023" s="199"/>
      <c r="AS2023" s="150">
        <f t="shared" si="1691"/>
        <v>148249.21</v>
      </c>
      <c r="AT2023" s="155"/>
      <c r="AU2023" s="156">
        <f t="shared" si="1675"/>
        <v>0</v>
      </c>
      <c r="AV2023" s="156">
        <f t="shared" si="1676"/>
        <v>0</v>
      </c>
      <c r="AW2023" s="157"/>
      <c r="AX2023" s="150">
        <v>148249.21</v>
      </c>
      <c r="AY2023" s="150">
        <v>94291.6</v>
      </c>
      <c r="AZ2023" s="150"/>
      <c r="BA2023" s="150">
        <f t="shared" si="1658"/>
        <v>94291.6</v>
      </c>
      <c r="BB2023" s="210"/>
      <c r="BC2023" s="210"/>
      <c r="BD2023" s="210"/>
      <c r="BE2023" s="210"/>
      <c r="BF2023" s="210"/>
      <c r="BG2023" s="210"/>
      <c r="BH2023" s="217"/>
      <c r="BI2023" s="210"/>
      <c r="BJ2023" s="210"/>
      <c r="BK2023" s="210"/>
      <c r="BL2023" s="210"/>
      <c r="BM2023" s="208"/>
      <c r="BN2023" s="160"/>
      <c r="BO2023" s="161"/>
      <c r="BP2023" s="161"/>
    </row>
    <row r="2024" spans="1:68">
      <c r="A2024" s="210"/>
      <c r="B2024" s="195" t="s">
        <v>9822</v>
      </c>
      <c r="C2024" s="196" t="s">
        <v>9823</v>
      </c>
      <c r="D2024" s="146" t="s">
        <v>4692</v>
      </c>
      <c r="E2024" s="311" t="s">
        <v>9823</v>
      </c>
      <c r="F2024" s="150">
        <v>27708.3</v>
      </c>
      <c r="G2024" s="312">
        <v>47916.57</v>
      </c>
      <c r="H2024" s="312"/>
      <c r="I2024" s="312">
        <v>47916.57</v>
      </c>
      <c r="J2024" s="150">
        <v>6250</v>
      </c>
      <c r="K2024" s="150">
        <v>6249.9979999999996</v>
      </c>
      <c r="L2024" s="150">
        <f t="shared" si="1692"/>
        <v>12499.998</v>
      </c>
      <c r="M2024" s="150">
        <v>9291.1200000000008</v>
      </c>
      <c r="N2024" s="150">
        <v>2000.0062599999983</v>
      </c>
      <c r="O2024" s="150">
        <v>11291.126259999999</v>
      </c>
      <c r="P2024" s="150">
        <v>13291.12</v>
      </c>
      <c r="Q2024" s="150">
        <v>6.2599999982921872E-3</v>
      </c>
      <c r="R2024" s="150">
        <f t="shared" si="1687"/>
        <v>13291.126259999999</v>
      </c>
      <c r="S2024" s="150">
        <f t="shared" si="1681"/>
        <v>17721.501680000001</v>
      </c>
      <c r="T2024" s="150"/>
      <c r="U2024" s="150">
        <v>16791.12</v>
      </c>
      <c r="V2024" s="199"/>
      <c r="W2024" s="150">
        <f t="shared" si="1688"/>
        <v>16791.12</v>
      </c>
      <c r="X2024" s="150">
        <v>16791.12</v>
      </c>
      <c r="Y2024" s="150"/>
      <c r="Z2024" s="150">
        <v>16791.12</v>
      </c>
      <c r="AA2024" s="150">
        <f t="shared" si="1677"/>
        <v>0</v>
      </c>
      <c r="AB2024" s="150">
        <v>16791.12</v>
      </c>
      <c r="AC2024" s="199"/>
      <c r="AD2024" s="150">
        <f t="shared" si="1689"/>
        <v>16791.12</v>
      </c>
      <c r="AE2024" s="150">
        <v>16791.12</v>
      </c>
      <c r="AF2024" s="169" t="s">
        <v>4680</v>
      </c>
      <c r="AG2024" s="201">
        <v>16791.12</v>
      </c>
      <c r="AH2024" s="199"/>
      <c r="AI2024" s="150">
        <v>16791.12</v>
      </c>
      <c r="AJ2024" s="169">
        <f t="shared" si="1678"/>
        <v>0</v>
      </c>
      <c r="AK2024" s="201">
        <v>16791.12</v>
      </c>
      <c r="AL2024" s="199"/>
      <c r="AM2024" s="150">
        <f t="shared" si="1690"/>
        <v>16791.12</v>
      </c>
      <c r="AN2024" s="153">
        <f t="shared" si="1679"/>
        <v>0</v>
      </c>
      <c r="AO2024" s="154">
        <f t="shared" si="1680"/>
        <v>0</v>
      </c>
      <c r="AP2024" s="150">
        <v>16791.12</v>
      </c>
      <c r="AQ2024" s="201">
        <v>16791.12</v>
      </c>
      <c r="AR2024" s="199"/>
      <c r="AS2024" s="150">
        <f t="shared" si="1691"/>
        <v>16791.12</v>
      </c>
      <c r="AT2024" s="155"/>
      <c r="AU2024" s="156">
        <f t="shared" si="1675"/>
        <v>0</v>
      </c>
      <c r="AV2024" s="156">
        <f t="shared" si="1676"/>
        <v>0</v>
      </c>
      <c r="AW2024" s="157"/>
      <c r="AX2024" s="150">
        <v>16791.12</v>
      </c>
      <c r="AY2024" s="150">
        <v>11291.12</v>
      </c>
      <c r="AZ2024" s="150"/>
      <c r="BA2024" s="150">
        <f t="shared" si="1658"/>
        <v>11291.12</v>
      </c>
      <c r="BB2024" s="210"/>
      <c r="BC2024" s="210"/>
      <c r="BD2024" s="210"/>
      <c r="BE2024" s="210"/>
      <c r="BF2024" s="210"/>
      <c r="BG2024" s="210"/>
      <c r="BH2024" s="217"/>
      <c r="BI2024" s="210"/>
      <c r="BJ2024" s="210"/>
      <c r="BK2024" s="210"/>
      <c r="BL2024" s="210"/>
      <c r="BM2024" s="208"/>
      <c r="BN2024" s="160"/>
      <c r="BO2024" s="161"/>
      <c r="BP2024" s="161"/>
    </row>
    <row r="2025" spans="1:68">
      <c r="A2025" s="210"/>
      <c r="B2025" s="195" t="s">
        <v>9824</v>
      </c>
      <c r="C2025" s="196" t="s">
        <v>9825</v>
      </c>
      <c r="D2025" s="146" t="s">
        <v>4692</v>
      </c>
      <c r="E2025" s="311" t="s">
        <v>9825</v>
      </c>
      <c r="F2025" s="150">
        <v>47916.57</v>
      </c>
      <c r="G2025" s="312">
        <v>0</v>
      </c>
      <c r="H2025" s="312"/>
      <c r="I2025" s="312">
        <v>0</v>
      </c>
      <c r="J2025" s="150">
        <v>10416.700000000001</v>
      </c>
      <c r="K2025" s="150">
        <v>10416.700000000001</v>
      </c>
      <c r="L2025" s="150">
        <f t="shared" si="1692"/>
        <v>20833.400000000001</v>
      </c>
      <c r="M2025" s="150">
        <v>29166.67</v>
      </c>
      <c r="N2025" s="150">
        <v>4166.6600000000035</v>
      </c>
      <c r="O2025" s="150">
        <v>33333.33</v>
      </c>
      <c r="P2025" s="150">
        <v>47916.65</v>
      </c>
      <c r="Q2025" s="150">
        <v>4166.68</v>
      </c>
      <c r="R2025" s="150">
        <f t="shared" si="1687"/>
        <v>52083.33</v>
      </c>
      <c r="S2025" s="150">
        <f t="shared" si="1681"/>
        <v>69444.44</v>
      </c>
      <c r="T2025" s="150"/>
      <c r="U2025" s="150">
        <v>70833.3</v>
      </c>
      <c r="V2025" s="199"/>
      <c r="W2025" s="150">
        <f t="shared" si="1688"/>
        <v>70833.3</v>
      </c>
      <c r="X2025" s="150">
        <v>70833.3</v>
      </c>
      <c r="Y2025" s="150"/>
      <c r="Z2025" s="150">
        <v>70833.3</v>
      </c>
      <c r="AA2025" s="150">
        <f t="shared" si="1677"/>
        <v>0</v>
      </c>
      <c r="AB2025" s="150">
        <v>70833.3</v>
      </c>
      <c r="AC2025" s="199"/>
      <c r="AD2025" s="150">
        <f t="shared" si="1689"/>
        <v>70833.3</v>
      </c>
      <c r="AE2025" s="150">
        <v>70833.3</v>
      </c>
      <c r="AF2025" s="169" t="s">
        <v>4680</v>
      </c>
      <c r="AG2025" s="201">
        <v>70833.3</v>
      </c>
      <c r="AH2025" s="199"/>
      <c r="AI2025" s="150">
        <v>70833.3</v>
      </c>
      <c r="AJ2025" s="169">
        <f t="shared" si="1678"/>
        <v>0</v>
      </c>
      <c r="AK2025" s="201">
        <v>70833.3</v>
      </c>
      <c r="AL2025" s="199"/>
      <c r="AM2025" s="150">
        <f t="shared" si="1690"/>
        <v>70833.3</v>
      </c>
      <c r="AN2025" s="153">
        <f t="shared" si="1679"/>
        <v>0</v>
      </c>
      <c r="AO2025" s="154">
        <f t="shared" si="1680"/>
        <v>0</v>
      </c>
      <c r="AP2025" s="150">
        <v>70833.3</v>
      </c>
      <c r="AQ2025" s="201">
        <v>70833.3</v>
      </c>
      <c r="AR2025" s="199"/>
      <c r="AS2025" s="150">
        <f t="shared" si="1691"/>
        <v>70833.3</v>
      </c>
      <c r="AT2025" s="155"/>
      <c r="AU2025" s="156">
        <f t="shared" si="1675"/>
        <v>0</v>
      </c>
      <c r="AV2025" s="156">
        <f t="shared" si="1676"/>
        <v>0</v>
      </c>
      <c r="AW2025" s="157"/>
      <c r="AX2025" s="150">
        <v>70833.3</v>
      </c>
      <c r="AY2025" s="150">
        <v>39583.32</v>
      </c>
      <c r="AZ2025" s="150"/>
      <c r="BA2025" s="150">
        <f t="shared" si="1658"/>
        <v>39583.32</v>
      </c>
      <c r="BB2025" s="210"/>
      <c r="BC2025" s="210"/>
      <c r="BD2025" s="210"/>
      <c r="BE2025" s="210"/>
      <c r="BF2025" s="210"/>
      <c r="BG2025" s="210"/>
      <c r="BH2025" s="217"/>
      <c r="BI2025" s="210"/>
      <c r="BJ2025" s="210"/>
      <c r="BK2025" s="210"/>
      <c r="BL2025" s="210"/>
      <c r="BM2025" s="208"/>
      <c r="BN2025" s="160"/>
      <c r="BO2025" s="161"/>
      <c r="BP2025" s="161"/>
    </row>
    <row r="2026" spans="1:68">
      <c r="A2026" s="210"/>
      <c r="B2026" s="195" t="s">
        <v>9826</v>
      </c>
      <c r="C2026" s="196" t="s">
        <v>9827</v>
      </c>
      <c r="D2026" s="146" t="s">
        <v>4692</v>
      </c>
      <c r="E2026" s="311" t="s">
        <v>9827</v>
      </c>
      <c r="F2026" s="150">
        <v>0</v>
      </c>
      <c r="G2026" s="312">
        <v>0</v>
      </c>
      <c r="H2026" s="312"/>
      <c r="I2026" s="312">
        <v>0</v>
      </c>
      <c r="J2026" s="150">
        <v>0</v>
      </c>
      <c r="K2026" s="150">
        <v>0</v>
      </c>
      <c r="L2026" s="150">
        <f t="shared" si="1692"/>
        <v>0</v>
      </c>
      <c r="M2026" s="150">
        <v>0</v>
      </c>
      <c r="N2026" s="150">
        <v>0</v>
      </c>
      <c r="O2026" s="150">
        <v>0</v>
      </c>
      <c r="P2026" s="150">
        <v>0</v>
      </c>
      <c r="Q2026" s="150">
        <v>0</v>
      </c>
      <c r="R2026" s="150">
        <f t="shared" si="1687"/>
        <v>0</v>
      </c>
      <c r="S2026" s="150">
        <f t="shared" si="1681"/>
        <v>0</v>
      </c>
      <c r="T2026" s="150"/>
      <c r="U2026" s="150">
        <v>0</v>
      </c>
      <c r="V2026" s="199"/>
      <c r="W2026" s="150">
        <f t="shared" si="1688"/>
        <v>0</v>
      </c>
      <c r="X2026" s="150">
        <v>0</v>
      </c>
      <c r="Y2026" s="150"/>
      <c r="Z2026" s="150">
        <v>0</v>
      </c>
      <c r="AA2026" s="150">
        <f t="shared" si="1677"/>
        <v>0</v>
      </c>
      <c r="AB2026" s="150">
        <v>0</v>
      </c>
      <c r="AC2026" s="199"/>
      <c r="AD2026" s="150">
        <f t="shared" si="1689"/>
        <v>0</v>
      </c>
      <c r="AE2026" s="150">
        <v>0</v>
      </c>
      <c r="AF2026" s="169" t="s">
        <v>4680</v>
      </c>
      <c r="AG2026" s="201">
        <v>0</v>
      </c>
      <c r="AH2026" s="199"/>
      <c r="AI2026" s="150">
        <v>0</v>
      </c>
      <c r="AJ2026" s="169">
        <f t="shared" si="1678"/>
        <v>0</v>
      </c>
      <c r="AK2026" s="201">
        <v>0</v>
      </c>
      <c r="AL2026" s="199"/>
      <c r="AM2026" s="150">
        <f t="shared" si="1690"/>
        <v>0</v>
      </c>
      <c r="AN2026" s="153">
        <f t="shared" si="1679"/>
        <v>0</v>
      </c>
      <c r="AO2026" s="154">
        <f t="shared" si="1680"/>
        <v>0</v>
      </c>
      <c r="AP2026" s="150">
        <v>0</v>
      </c>
      <c r="AQ2026" s="201">
        <v>0</v>
      </c>
      <c r="AR2026" s="199"/>
      <c r="AS2026" s="150">
        <f t="shared" si="1691"/>
        <v>0</v>
      </c>
      <c r="AT2026" s="155"/>
      <c r="AU2026" s="156">
        <f t="shared" si="1675"/>
        <v>0</v>
      </c>
      <c r="AV2026" s="156">
        <f t="shared" si="1676"/>
        <v>0</v>
      </c>
      <c r="AW2026" s="157"/>
      <c r="AX2026" s="150">
        <v>0</v>
      </c>
      <c r="AY2026" s="150">
        <v>0</v>
      </c>
      <c r="AZ2026" s="150">
        <v>0</v>
      </c>
      <c r="BA2026" s="150">
        <f t="shared" si="1658"/>
        <v>0</v>
      </c>
      <c r="BB2026" s="210"/>
      <c r="BC2026" s="210"/>
      <c r="BD2026" s="210"/>
      <c r="BE2026" s="210"/>
      <c r="BF2026" s="210"/>
      <c r="BG2026" s="210"/>
      <c r="BH2026" s="217"/>
      <c r="BI2026" s="210"/>
      <c r="BJ2026" s="210"/>
      <c r="BK2026" s="210"/>
      <c r="BL2026" s="210"/>
      <c r="BM2026" s="208"/>
      <c r="BN2026" s="160"/>
      <c r="BO2026" s="161"/>
      <c r="BP2026" s="161"/>
    </row>
    <row r="2027" spans="1:68">
      <c r="A2027" s="210"/>
      <c r="B2027" s="195" t="s">
        <v>9828</v>
      </c>
      <c r="C2027" s="196" t="s">
        <v>9829</v>
      </c>
      <c r="D2027" s="146" t="s">
        <v>4692</v>
      </c>
      <c r="E2027" s="196" t="s">
        <v>9829</v>
      </c>
      <c r="F2027" s="150"/>
      <c r="G2027" s="312"/>
      <c r="H2027" s="312"/>
      <c r="I2027" s="312"/>
      <c r="J2027" s="150"/>
      <c r="K2027" s="150"/>
      <c r="L2027" s="150"/>
      <c r="M2027" s="150"/>
      <c r="N2027" s="150"/>
      <c r="O2027" s="150"/>
      <c r="P2027" s="150">
        <v>46749.97</v>
      </c>
      <c r="Q2027" s="150">
        <v>0</v>
      </c>
      <c r="R2027" s="150">
        <f t="shared" si="1687"/>
        <v>46749.97</v>
      </c>
      <c r="S2027" s="150">
        <f t="shared" si="1681"/>
        <v>62333.293333333335</v>
      </c>
      <c r="T2027" s="150"/>
      <c r="U2027" s="150">
        <v>95624.93</v>
      </c>
      <c r="V2027" s="199"/>
      <c r="W2027" s="150">
        <f t="shared" si="1688"/>
        <v>95624.93</v>
      </c>
      <c r="X2027" s="150">
        <v>95624.93</v>
      </c>
      <c r="Y2027" s="150"/>
      <c r="Z2027" s="150">
        <v>95624.93</v>
      </c>
      <c r="AA2027" s="150">
        <f t="shared" si="1677"/>
        <v>0</v>
      </c>
      <c r="AB2027" s="150">
        <v>95624.93</v>
      </c>
      <c r="AC2027" s="199"/>
      <c r="AD2027" s="150">
        <f t="shared" si="1689"/>
        <v>95624.93</v>
      </c>
      <c r="AE2027" s="150">
        <v>95624.93</v>
      </c>
      <c r="AF2027" s="169" t="s">
        <v>4680</v>
      </c>
      <c r="AG2027" s="201">
        <v>95624.93</v>
      </c>
      <c r="AH2027" s="199"/>
      <c r="AI2027" s="150">
        <v>95624.93</v>
      </c>
      <c r="AJ2027" s="169">
        <f t="shared" si="1678"/>
        <v>0</v>
      </c>
      <c r="AK2027" s="201">
        <v>95624.93</v>
      </c>
      <c r="AL2027" s="199"/>
      <c r="AM2027" s="150">
        <f t="shared" si="1690"/>
        <v>95624.93</v>
      </c>
      <c r="AN2027" s="153">
        <f t="shared" si="1679"/>
        <v>0</v>
      </c>
      <c r="AO2027" s="154">
        <f t="shared" si="1680"/>
        <v>0</v>
      </c>
      <c r="AP2027" s="150">
        <v>95624.93</v>
      </c>
      <c r="AQ2027" s="201">
        <v>95624.93</v>
      </c>
      <c r="AR2027" s="199"/>
      <c r="AS2027" s="150">
        <f t="shared" si="1691"/>
        <v>95624.93</v>
      </c>
      <c r="AT2027" s="155"/>
      <c r="AU2027" s="156">
        <f t="shared" si="1675"/>
        <v>0</v>
      </c>
      <c r="AV2027" s="156">
        <f t="shared" si="1676"/>
        <v>0</v>
      </c>
      <c r="AW2027" s="157"/>
      <c r="AX2027" s="150">
        <v>95624.93</v>
      </c>
      <c r="AY2027" s="150"/>
      <c r="AZ2027" s="150"/>
      <c r="BA2027" s="150">
        <f t="shared" si="1658"/>
        <v>0</v>
      </c>
      <c r="BB2027" s="210"/>
      <c r="BC2027" s="210"/>
      <c r="BD2027" s="210"/>
      <c r="BE2027" s="210"/>
      <c r="BF2027" s="210"/>
      <c r="BG2027" s="210"/>
      <c r="BH2027" s="217"/>
      <c r="BI2027" s="210"/>
      <c r="BJ2027" s="210"/>
      <c r="BK2027" s="210"/>
      <c r="BL2027" s="210"/>
      <c r="BM2027" s="208"/>
      <c r="BN2027" s="160"/>
      <c r="BO2027" s="161"/>
      <c r="BP2027" s="161"/>
    </row>
    <row r="2028" spans="1:68" ht="38.25">
      <c r="A2028" s="246" t="s">
        <v>9830</v>
      </c>
      <c r="B2028" s="228" t="s">
        <v>9831</v>
      </c>
      <c r="C2028" s="229" t="s">
        <v>9832</v>
      </c>
      <c r="D2028" s="146" t="s">
        <v>4692</v>
      </c>
      <c r="E2028" s="196" t="s">
        <v>9832</v>
      </c>
      <c r="F2028" s="150">
        <v>0</v>
      </c>
      <c r="G2028" s="209">
        <v>0</v>
      </c>
      <c r="H2028" s="209"/>
      <c r="I2028" s="209">
        <v>0</v>
      </c>
      <c r="J2028" s="150">
        <v>0</v>
      </c>
      <c r="K2028" s="150">
        <v>0</v>
      </c>
      <c r="L2028" s="150">
        <f t="shared" si="1692"/>
        <v>0</v>
      </c>
      <c r="M2028" s="150">
        <v>0</v>
      </c>
      <c r="N2028" s="150">
        <v>0</v>
      </c>
      <c r="O2028" s="150">
        <v>0</v>
      </c>
      <c r="P2028" s="150">
        <v>0</v>
      </c>
      <c r="Q2028" s="150">
        <v>0</v>
      </c>
      <c r="R2028" s="150">
        <f t="shared" si="1687"/>
        <v>0</v>
      </c>
      <c r="S2028" s="150">
        <f t="shared" si="1681"/>
        <v>0</v>
      </c>
      <c r="T2028" s="150"/>
      <c r="U2028" s="150">
        <v>0</v>
      </c>
      <c r="V2028" s="199"/>
      <c r="W2028" s="150">
        <f t="shared" si="1688"/>
        <v>0</v>
      </c>
      <c r="X2028" s="150">
        <v>0</v>
      </c>
      <c r="Y2028" s="150"/>
      <c r="Z2028" s="150">
        <v>0</v>
      </c>
      <c r="AA2028" s="150">
        <f t="shared" si="1677"/>
        <v>0</v>
      </c>
      <c r="AB2028" s="150">
        <v>0</v>
      </c>
      <c r="AC2028" s="199"/>
      <c r="AD2028" s="150">
        <f t="shared" si="1689"/>
        <v>0</v>
      </c>
      <c r="AE2028" s="150">
        <v>0</v>
      </c>
      <c r="AF2028" s="169" t="s">
        <v>4680</v>
      </c>
      <c r="AG2028" s="201">
        <v>0</v>
      </c>
      <c r="AH2028" s="199"/>
      <c r="AI2028" s="150">
        <v>0</v>
      </c>
      <c r="AJ2028" s="169">
        <f t="shared" si="1678"/>
        <v>0</v>
      </c>
      <c r="AK2028" s="201">
        <v>0</v>
      </c>
      <c r="AL2028" s="199"/>
      <c r="AM2028" s="150">
        <f t="shared" si="1690"/>
        <v>0</v>
      </c>
      <c r="AN2028" s="153">
        <f t="shared" si="1679"/>
        <v>0</v>
      </c>
      <c r="AO2028" s="154">
        <f t="shared" si="1680"/>
        <v>0</v>
      </c>
      <c r="AP2028" s="150">
        <v>0</v>
      </c>
      <c r="AQ2028" s="201">
        <v>0</v>
      </c>
      <c r="AR2028" s="199"/>
      <c r="AS2028" s="150">
        <f t="shared" si="1691"/>
        <v>0</v>
      </c>
      <c r="AT2028" s="155" t="s">
        <v>4796</v>
      </c>
      <c r="AU2028" s="156">
        <f t="shared" si="1675"/>
        <v>0</v>
      </c>
      <c r="AV2028" s="156">
        <f t="shared" si="1676"/>
        <v>0</v>
      </c>
      <c r="AW2028" s="157" t="s">
        <v>4796</v>
      </c>
      <c r="AX2028" s="150">
        <v>0</v>
      </c>
      <c r="AY2028" s="150">
        <v>0</v>
      </c>
      <c r="AZ2028" s="150">
        <v>0</v>
      </c>
      <c r="BA2028" s="150">
        <f t="shared" si="1658"/>
        <v>0</v>
      </c>
      <c r="BB2028" s="202">
        <v>5</v>
      </c>
      <c r="BC2028" s="202" t="s">
        <v>779</v>
      </c>
      <c r="BD2028" s="202" t="s">
        <v>671</v>
      </c>
      <c r="BE2028" s="202" t="s">
        <v>647</v>
      </c>
      <c r="BF2028" s="194" t="s">
        <v>647</v>
      </c>
      <c r="BG2028" s="203" t="s">
        <v>9832</v>
      </c>
      <c r="BH2028" s="216">
        <f>AS2028</f>
        <v>0</v>
      </c>
      <c r="BI2028" s="194" t="s">
        <v>1519</v>
      </c>
      <c r="BJ2028" s="194" t="s">
        <v>9833</v>
      </c>
      <c r="BK2028" s="194" t="s">
        <v>9830</v>
      </c>
      <c r="BL2028" s="207" t="s">
        <v>9834</v>
      </c>
      <c r="BM2028" s="208">
        <f>BH2028</f>
        <v>0</v>
      </c>
      <c r="BN2028" s="160"/>
      <c r="BO2028" s="161"/>
      <c r="BP2028" s="161"/>
    </row>
    <row r="2029" spans="1:68" ht="25.5">
      <c r="A2029" s="194" t="s">
        <v>9835</v>
      </c>
      <c r="B2029" s="195" t="s">
        <v>9836</v>
      </c>
      <c r="C2029" s="196" t="s">
        <v>9837</v>
      </c>
      <c r="D2029" s="146" t="s">
        <v>4692</v>
      </c>
      <c r="E2029" s="196" t="s">
        <v>9837</v>
      </c>
      <c r="F2029" s="150">
        <v>0</v>
      </c>
      <c r="G2029" s="209">
        <v>0</v>
      </c>
      <c r="H2029" s="209">
        <v>1238783.8699999999</v>
      </c>
      <c r="I2029" s="209">
        <v>1238783.8699999999</v>
      </c>
      <c r="J2029" s="150">
        <v>0</v>
      </c>
      <c r="K2029" s="150">
        <v>0</v>
      </c>
      <c r="L2029" s="150">
        <f t="shared" si="1692"/>
        <v>0</v>
      </c>
      <c r="M2029" s="150">
        <v>0</v>
      </c>
      <c r="N2029" s="150">
        <v>0</v>
      </c>
      <c r="O2029" s="150">
        <v>0</v>
      </c>
      <c r="P2029" s="150">
        <v>0</v>
      </c>
      <c r="Q2029" s="150">
        <v>0</v>
      </c>
      <c r="R2029" s="150">
        <f t="shared" si="1687"/>
        <v>0</v>
      </c>
      <c r="S2029" s="150">
        <f t="shared" si="1681"/>
        <v>0</v>
      </c>
      <c r="T2029" s="150"/>
      <c r="U2029" s="150">
        <v>0</v>
      </c>
      <c r="V2029" s="199"/>
      <c r="W2029" s="150">
        <f t="shared" si="1688"/>
        <v>0</v>
      </c>
      <c r="X2029" s="150">
        <v>0</v>
      </c>
      <c r="Y2029" s="150"/>
      <c r="Z2029" s="150">
        <v>0</v>
      </c>
      <c r="AA2029" s="150">
        <f t="shared" si="1677"/>
        <v>0</v>
      </c>
      <c r="AB2029" s="150">
        <v>0</v>
      </c>
      <c r="AC2029" s="199"/>
      <c r="AD2029" s="150">
        <f t="shared" si="1689"/>
        <v>0</v>
      </c>
      <c r="AE2029" s="150">
        <v>0</v>
      </c>
      <c r="AF2029" s="169" t="s">
        <v>4680</v>
      </c>
      <c r="AG2029" s="201">
        <v>0</v>
      </c>
      <c r="AH2029" s="199"/>
      <c r="AI2029" s="150">
        <v>0</v>
      </c>
      <c r="AJ2029" s="169">
        <f t="shared" si="1678"/>
        <v>0</v>
      </c>
      <c r="AK2029" s="201">
        <v>0</v>
      </c>
      <c r="AL2029" s="199"/>
      <c r="AM2029" s="150">
        <f t="shared" si="1690"/>
        <v>0</v>
      </c>
      <c r="AN2029" s="153">
        <f t="shared" si="1679"/>
        <v>0</v>
      </c>
      <c r="AO2029" s="154">
        <f t="shared" si="1680"/>
        <v>0</v>
      </c>
      <c r="AP2029" s="150">
        <v>0</v>
      </c>
      <c r="AQ2029" s="201">
        <v>0</v>
      </c>
      <c r="AR2029" s="199"/>
      <c r="AS2029" s="150">
        <f t="shared" si="1691"/>
        <v>0</v>
      </c>
      <c r="AT2029" s="155"/>
      <c r="AU2029" s="156">
        <f t="shared" si="1675"/>
        <v>0</v>
      </c>
      <c r="AV2029" s="156">
        <f t="shared" si="1676"/>
        <v>0</v>
      </c>
      <c r="AW2029" s="157"/>
      <c r="AX2029" s="150">
        <v>0</v>
      </c>
      <c r="AY2029" s="150">
        <v>0</v>
      </c>
      <c r="AZ2029" s="150">
        <v>0</v>
      </c>
      <c r="BA2029" s="150">
        <f t="shared" si="1658"/>
        <v>0</v>
      </c>
      <c r="BB2029" s="202">
        <v>5</v>
      </c>
      <c r="BC2029" s="202" t="s">
        <v>779</v>
      </c>
      <c r="BD2029" s="202" t="s">
        <v>671</v>
      </c>
      <c r="BE2029" s="202" t="s">
        <v>647</v>
      </c>
      <c r="BF2029" s="194" t="s">
        <v>671</v>
      </c>
      <c r="BG2029" s="203" t="s">
        <v>9837</v>
      </c>
      <c r="BH2029" s="216">
        <f>AS2029</f>
        <v>0</v>
      </c>
      <c r="BI2029" s="202"/>
      <c r="BJ2029" s="194" t="s">
        <v>9838</v>
      </c>
      <c r="BK2029" s="194" t="s">
        <v>9835</v>
      </c>
      <c r="BL2029" s="207" t="s">
        <v>9839</v>
      </c>
      <c r="BM2029" s="208">
        <f>BH2029</f>
        <v>0</v>
      </c>
      <c r="BN2029" s="160"/>
      <c r="BO2029" s="161"/>
      <c r="BP2029" s="161"/>
    </row>
    <row r="2030" spans="1:68" ht="25.5">
      <c r="A2030" s="162" t="s">
        <v>9840</v>
      </c>
      <c r="B2030" s="163"/>
      <c r="C2030" s="164" t="s">
        <v>9841</v>
      </c>
      <c r="D2030" s="146" t="s">
        <v>4692</v>
      </c>
      <c r="E2030" s="164" t="s">
        <v>9841</v>
      </c>
      <c r="F2030" s="165">
        <v>1242276.8600000001</v>
      </c>
      <c r="G2030" s="166">
        <v>0</v>
      </c>
      <c r="H2030" s="166">
        <v>1238783.8699999999</v>
      </c>
      <c r="I2030" s="166">
        <v>1238783.8699999999</v>
      </c>
      <c r="J2030" s="165">
        <f>J2031</f>
        <v>0</v>
      </c>
      <c r="K2030" s="165">
        <f>K2031</f>
        <v>321669.46749999997</v>
      </c>
      <c r="L2030" s="165">
        <f t="shared" si="1692"/>
        <v>321669.46749999997</v>
      </c>
      <c r="M2030" s="232">
        <v>0</v>
      </c>
      <c r="N2030" s="232">
        <v>623149.81000000006</v>
      </c>
      <c r="O2030" s="167">
        <v>623149.81000000006</v>
      </c>
      <c r="P2030" s="232">
        <f t="shared" ref="P2030:AM2031" si="1693">P2031</f>
        <v>0</v>
      </c>
      <c r="Q2030" s="232">
        <f t="shared" si="1693"/>
        <v>941483.85999999987</v>
      </c>
      <c r="R2030" s="232">
        <f t="shared" si="1693"/>
        <v>941483.85999999987</v>
      </c>
      <c r="S2030" s="150">
        <f t="shared" si="1681"/>
        <v>1255311.813333333</v>
      </c>
      <c r="T2030" s="213"/>
      <c r="U2030" s="232">
        <f t="shared" ref="U2030:W2031" si="1694">U2031</f>
        <v>0</v>
      </c>
      <c r="V2030" s="233">
        <f t="shared" si="1694"/>
        <v>1256594.28</v>
      </c>
      <c r="W2030" s="232">
        <f t="shared" si="1694"/>
        <v>1256594.28</v>
      </c>
      <c r="X2030" s="232">
        <v>0</v>
      </c>
      <c r="Y2030" s="232">
        <v>1256594.28</v>
      </c>
      <c r="Z2030" s="232">
        <v>1256594.28</v>
      </c>
      <c r="AA2030" s="232">
        <f t="shared" si="1677"/>
        <v>2399.5300000000279</v>
      </c>
      <c r="AB2030" s="232">
        <v>0</v>
      </c>
      <c r="AC2030" s="233">
        <v>1258993.81</v>
      </c>
      <c r="AD2030" s="232">
        <f t="shared" si="1693"/>
        <v>1258993.81</v>
      </c>
      <c r="AE2030" s="232">
        <v>1263417.74</v>
      </c>
      <c r="AF2030" s="169" t="s">
        <v>4680</v>
      </c>
      <c r="AG2030" s="234">
        <v>0</v>
      </c>
      <c r="AH2030" s="233">
        <v>1263417.74</v>
      </c>
      <c r="AI2030" s="232">
        <v>1263417.74</v>
      </c>
      <c r="AJ2030" s="169">
        <f t="shared" si="1678"/>
        <v>115061.53000000003</v>
      </c>
      <c r="AK2030" s="234">
        <v>0</v>
      </c>
      <c r="AL2030" s="233">
        <v>1378479.27</v>
      </c>
      <c r="AM2030" s="232">
        <f t="shared" si="1693"/>
        <v>1378479.27</v>
      </c>
      <c r="AN2030" s="153">
        <f t="shared" si="1679"/>
        <v>6636.1299999998882</v>
      </c>
      <c r="AO2030" s="154">
        <f t="shared" si="1680"/>
        <v>0</v>
      </c>
      <c r="AP2030" s="232">
        <v>1385115.4</v>
      </c>
      <c r="AQ2030" s="234">
        <v>1385115.4</v>
      </c>
      <c r="AR2030" s="233">
        <f t="shared" ref="AR2030:AS2031" si="1695">AR2031</f>
        <v>0</v>
      </c>
      <c r="AS2030" s="232">
        <f t="shared" si="1695"/>
        <v>1385115.4</v>
      </c>
      <c r="AT2030" s="155" t="s">
        <v>9842</v>
      </c>
      <c r="AU2030" s="156">
        <f t="shared" si="1675"/>
        <v>119485.45999999996</v>
      </c>
      <c r="AV2030" s="156">
        <f t="shared" si="1676"/>
        <v>2399.5300000000279</v>
      </c>
      <c r="AW2030" s="157" t="s">
        <v>9842</v>
      </c>
      <c r="AX2030" s="150">
        <v>1256594.28</v>
      </c>
      <c r="AY2030" s="232">
        <f t="shared" ref="AY2030:BA2031" si="1696">AY2031</f>
        <v>0</v>
      </c>
      <c r="AZ2030" s="232">
        <f t="shared" si="1696"/>
        <v>831020.32000000007</v>
      </c>
      <c r="BA2030" s="232">
        <f t="shared" si="1696"/>
        <v>1246530.48</v>
      </c>
      <c r="BB2030" s="171">
        <v>5</v>
      </c>
      <c r="BC2030" s="162" t="s">
        <v>1225</v>
      </c>
      <c r="BD2030" s="162" t="s">
        <v>630</v>
      </c>
      <c r="BE2030" s="162" t="s">
        <v>630</v>
      </c>
      <c r="BF2030" s="162" t="s">
        <v>630</v>
      </c>
      <c r="BG2030" s="164" t="s">
        <v>9841</v>
      </c>
      <c r="BH2030" s="235">
        <f>BH2031</f>
        <v>1385115.4</v>
      </c>
      <c r="BI2030" s="171"/>
      <c r="BJ2030" s="162" t="s">
        <v>9843</v>
      </c>
      <c r="BK2030" s="162" t="s">
        <v>9840</v>
      </c>
      <c r="BL2030" s="172" t="s">
        <v>9844</v>
      </c>
      <c r="BM2030" s="349">
        <f>BM2031</f>
        <v>1385115.4</v>
      </c>
      <c r="BN2030" s="160"/>
      <c r="BO2030" s="161">
        <f t="shared" ref="BO2030:BO2092" si="1697">BM2030-AS2030</f>
        <v>0</v>
      </c>
      <c r="BP2030" s="161"/>
    </row>
    <row r="2031" spans="1:68" ht="25.5">
      <c r="A2031" s="173" t="s">
        <v>9840</v>
      </c>
      <c r="B2031" s="174"/>
      <c r="C2031" s="175" t="s">
        <v>9841</v>
      </c>
      <c r="D2031" s="146" t="s">
        <v>4692</v>
      </c>
      <c r="E2031" s="175" t="s">
        <v>9841</v>
      </c>
      <c r="F2031" s="176">
        <v>1242276.8600000001</v>
      </c>
      <c r="G2031" s="177">
        <v>0</v>
      </c>
      <c r="H2031" s="177">
        <v>1238783.8699999999</v>
      </c>
      <c r="I2031" s="177">
        <v>1238783.8699999999</v>
      </c>
      <c r="J2031" s="176">
        <f>J2032</f>
        <v>0</v>
      </c>
      <c r="K2031" s="176">
        <f>K2032</f>
        <v>321669.46749999997</v>
      </c>
      <c r="L2031" s="176">
        <f t="shared" si="1692"/>
        <v>321669.46749999997</v>
      </c>
      <c r="M2031" s="221">
        <v>0</v>
      </c>
      <c r="N2031" s="221">
        <v>623149.81000000006</v>
      </c>
      <c r="O2031" s="178">
        <v>623149.81000000006</v>
      </c>
      <c r="P2031" s="221">
        <f t="shared" si="1693"/>
        <v>0</v>
      </c>
      <c r="Q2031" s="221">
        <f t="shared" si="1693"/>
        <v>941483.85999999987</v>
      </c>
      <c r="R2031" s="221">
        <f t="shared" si="1693"/>
        <v>941483.85999999987</v>
      </c>
      <c r="S2031" s="150">
        <f t="shared" si="1681"/>
        <v>1255311.813333333</v>
      </c>
      <c r="T2031" s="213"/>
      <c r="U2031" s="221">
        <f t="shared" si="1694"/>
        <v>0</v>
      </c>
      <c r="V2031" s="222">
        <f t="shared" si="1694"/>
        <v>1256594.28</v>
      </c>
      <c r="W2031" s="221">
        <f t="shared" si="1694"/>
        <v>1256594.28</v>
      </c>
      <c r="X2031" s="221">
        <v>0</v>
      </c>
      <c r="Y2031" s="221">
        <v>1256594.28</v>
      </c>
      <c r="Z2031" s="221">
        <v>1256594.28</v>
      </c>
      <c r="AA2031" s="221">
        <f t="shared" si="1677"/>
        <v>2399.5300000000279</v>
      </c>
      <c r="AB2031" s="221">
        <v>0</v>
      </c>
      <c r="AC2031" s="222">
        <v>1258993.81</v>
      </c>
      <c r="AD2031" s="221">
        <f t="shared" si="1693"/>
        <v>1258993.81</v>
      </c>
      <c r="AE2031" s="221">
        <v>1263417.74</v>
      </c>
      <c r="AF2031" s="169" t="s">
        <v>4680</v>
      </c>
      <c r="AG2031" s="223">
        <v>0</v>
      </c>
      <c r="AH2031" s="222">
        <v>1263417.74</v>
      </c>
      <c r="AI2031" s="221">
        <v>1263417.74</v>
      </c>
      <c r="AJ2031" s="169">
        <f t="shared" si="1678"/>
        <v>115061.53000000003</v>
      </c>
      <c r="AK2031" s="223">
        <v>0</v>
      </c>
      <c r="AL2031" s="222">
        <v>1378479.27</v>
      </c>
      <c r="AM2031" s="221">
        <f t="shared" si="1693"/>
        <v>1378479.27</v>
      </c>
      <c r="AN2031" s="153">
        <f t="shared" si="1679"/>
        <v>6636.1299999998882</v>
      </c>
      <c r="AO2031" s="154">
        <f t="shared" si="1680"/>
        <v>0</v>
      </c>
      <c r="AP2031" s="221">
        <v>1385115.4</v>
      </c>
      <c r="AQ2031" s="223">
        <v>1385115.4</v>
      </c>
      <c r="AR2031" s="222">
        <f t="shared" si="1695"/>
        <v>0</v>
      </c>
      <c r="AS2031" s="221">
        <f t="shared" si="1695"/>
        <v>1385115.4</v>
      </c>
      <c r="AT2031" s="155"/>
      <c r="AU2031" s="156">
        <f t="shared" si="1675"/>
        <v>119485.45999999996</v>
      </c>
      <c r="AV2031" s="156">
        <f t="shared" si="1676"/>
        <v>2399.5300000000279</v>
      </c>
      <c r="AW2031" s="157"/>
      <c r="AX2031" s="150">
        <v>1256594.28</v>
      </c>
      <c r="AY2031" s="221">
        <f t="shared" si="1696"/>
        <v>0</v>
      </c>
      <c r="AZ2031" s="221">
        <f t="shared" si="1696"/>
        <v>831020.32000000007</v>
      </c>
      <c r="BA2031" s="221">
        <f t="shared" si="1696"/>
        <v>1246530.48</v>
      </c>
      <c r="BB2031" s="181">
        <v>5</v>
      </c>
      <c r="BC2031" s="173" t="s">
        <v>1225</v>
      </c>
      <c r="BD2031" s="173" t="s">
        <v>632</v>
      </c>
      <c r="BE2031" s="173" t="s">
        <v>630</v>
      </c>
      <c r="BF2031" s="173" t="s">
        <v>630</v>
      </c>
      <c r="BG2031" s="175" t="s">
        <v>9841</v>
      </c>
      <c r="BH2031" s="224">
        <f>BH2032</f>
        <v>1385115.4</v>
      </c>
      <c r="BI2031" s="181"/>
      <c r="BJ2031" s="173" t="s">
        <v>9843</v>
      </c>
      <c r="BK2031" s="173" t="s">
        <v>9840</v>
      </c>
      <c r="BL2031" s="182" t="s">
        <v>9844</v>
      </c>
      <c r="BM2031" s="337">
        <f>BM2032</f>
        <v>1385115.4</v>
      </c>
      <c r="BN2031" s="160"/>
      <c r="BO2031" s="161">
        <f t="shared" si="1697"/>
        <v>0</v>
      </c>
      <c r="BP2031" s="161"/>
    </row>
    <row r="2032" spans="1:68" ht="25.5">
      <c r="A2032" s="183" t="s">
        <v>9840</v>
      </c>
      <c r="B2032" s="184"/>
      <c r="C2032" s="185" t="s">
        <v>9841</v>
      </c>
      <c r="D2032" s="146" t="s">
        <v>4692</v>
      </c>
      <c r="E2032" s="185" t="s">
        <v>9841</v>
      </c>
      <c r="F2032" s="188">
        <v>1242276.8600000001</v>
      </c>
      <c r="G2032" s="187">
        <v>0</v>
      </c>
      <c r="H2032" s="187"/>
      <c r="I2032" s="187">
        <v>0</v>
      </c>
      <c r="J2032" s="188">
        <f>SUM(J2033:J2042)</f>
        <v>0</v>
      </c>
      <c r="K2032" s="188">
        <f>SUM(K2033:K2042)</f>
        <v>321669.46749999997</v>
      </c>
      <c r="L2032" s="188">
        <f t="shared" si="1692"/>
        <v>321669.46749999997</v>
      </c>
      <c r="M2032" s="299">
        <v>0</v>
      </c>
      <c r="N2032" s="299">
        <v>623149.81000000006</v>
      </c>
      <c r="O2032" s="188">
        <v>623149.81000000006</v>
      </c>
      <c r="P2032" s="299">
        <f t="shared" ref="P2032:R2032" si="1698">SUM(P2033:P2042)</f>
        <v>0</v>
      </c>
      <c r="Q2032" s="299">
        <f t="shared" si="1698"/>
        <v>941483.85999999987</v>
      </c>
      <c r="R2032" s="299">
        <f t="shared" si="1698"/>
        <v>941483.85999999987</v>
      </c>
      <c r="S2032" s="150">
        <f t="shared" si="1681"/>
        <v>1255311.813333333</v>
      </c>
      <c r="T2032" s="213"/>
      <c r="U2032" s="299">
        <f t="shared" ref="U2032:W2032" si="1699">SUM(U2033:U2042)</f>
        <v>0</v>
      </c>
      <c r="V2032" s="226">
        <f t="shared" si="1699"/>
        <v>1256594.28</v>
      </c>
      <c r="W2032" s="299">
        <f t="shared" si="1699"/>
        <v>1256594.28</v>
      </c>
      <c r="X2032" s="299">
        <v>0</v>
      </c>
      <c r="Y2032" s="299">
        <v>1256594.28</v>
      </c>
      <c r="Z2032" s="299">
        <v>1256594.28</v>
      </c>
      <c r="AA2032" s="299">
        <f t="shared" si="1677"/>
        <v>2399.5300000000279</v>
      </c>
      <c r="AB2032" s="299">
        <v>0</v>
      </c>
      <c r="AC2032" s="226">
        <v>1258993.81</v>
      </c>
      <c r="AD2032" s="299">
        <f t="shared" ref="AD2032" si="1700">SUM(AD2033:AD2042)</f>
        <v>1258993.81</v>
      </c>
      <c r="AE2032" s="299">
        <v>1263417.74</v>
      </c>
      <c r="AF2032" s="169" t="s">
        <v>4680</v>
      </c>
      <c r="AG2032" s="301">
        <v>0</v>
      </c>
      <c r="AH2032" s="226">
        <v>1263417.74</v>
      </c>
      <c r="AI2032" s="299">
        <v>1263417.74</v>
      </c>
      <c r="AJ2032" s="169">
        <f t="shared" si="1678"/>
        <v>115061.53000000003</v>
      </c>
      <c r="AK2032" s="301">
        <v>0</v>
      </c>
      <c r="AL2032" s="226">
        <v>1378479.27</v>
      </c>
      <c r="AM2032" s="299">
        <f t="shared" ref="AM2032" si="1701">SUM(AM2033:AM2042)</f>
        <v>1378479.27</v>
      </c>
      <c r="AN2032" s="153">
        <f t="shared" si="1679"/>
        <v>6636.1299999998882</v>
      </c>
      <c r="AO2032" s="154">
        <f t="shared" si="1680"/>
        <v>0</v>
      </c>
      <c r="AP2032" s="299">
        <v>1385115.4</v>
      </c>
      <c r="AQ2032" s="301">
        <v>1385115.4</v>
      </c>
      <c r="AR2032" s="226">
        <f t="shared" ref="AR2032:AS2032" si="1702">SUM(AR2033:AR2042)</f>
        <v>0</v>
      </c>
      <c r="AS2032" s="299">
        <f t="shared" si="1702"/>
        <v>1385115.4</v>
      </c>
      <c r="AT2032" s="155"/>
      <c r="AU2032" s="156">
        <f t="shared" si="1675"/>
        <v>119485.45999999996</v>
      </c>
      <c r="AV2032" s="156">
        <f t="shared" si="1676"/>
        <v>2399.5300000000279</v>
      </c>
      <c r="AW2032" s="157"/>
      <c r="AX2032" s="150">
        <v>1256594.28</v>
      </c>
      <c r="AY2032" s="299">
        <f t="shared" ref="AY2032:BA2032" si="1703">SUM(AY2033:AY2042)</f>
        <v>0</v>
      </c>
      <c r="AZ2032" s="299">
        <f t="shared" si="1703"/>
        <v>831020.32000000007</v>
      </c>
      <c r="BA2032" s="299">
        <f t="shared" si="1703"/>
        <v>1246530.48</v>
      </c>
      <c r="BB2032" s="191">
        <v>5</v>
      </c>
      <c r="BC2032" s="183" t="s">
        <v>1225</v>
      </c>
      <c r="BD2032" s="183" t="s">
        <v>632</v>
      </c>
      <c r="BE2032" s="183" t="s">
        <v>632</v>
      </c>
      <c r="BF2032" s="183" t="s">
        <v>630</v>
      </c>
      <c r="BG2032" s="185" t="s">
        <v>9841</v>
      </c>
      <c r="BH2032" s="215">
        <f>BH2033+BH2034+BH2036+BH2039</f>
        <v>1385115.4</v>
      </c>
      <c r="BI2032" s="191"/>
      <c r="BJ2032" s="183" t="s">
        <v>9843</v>
      </c>
      <c r="BK2032" s="183" t="s">
        <v>9840</v>
      </c>
      <c r="BL2032" s="238" t="s">
        <v>9844</v>
      </c>
      <c r="BM2032" s="338">
        <f>BM2033+BM2034+BM2036+BM2039</f>
        <v>1385115.4</v>
      </c>
      <c r="BN2032" s="160"/>
      <c r="BO2032" s="161">
        <f t="shared" si="1697"/>
        <v>0</v>
      </c>
      <c r="BP2032" s="161"/>
    </row>
    <row r="2033" spans="1:68" ht="25.5">
      <c r="A2033" s="194" t="s">
        <v>9840</v>
      </c>
      <c r="B2033" s="195" t="s">
        <v>9845</v>
      </c>
      <c r="C2033" s="196" t="s">
        <v>9846</v>
      </c>
      <c r="D2033" s="146" t="s">
        <v>4692</v>
      </c>
      <c r="E2033" s="196" t="s">
        <v>9846</v>
      </c>
      <c r="F2033" s="150">
        <v>0</v>
      </c>
      <c r="G2033" s="209">
        <v>0</v>
      </c>
      <c r="H2033" s="209"/>
      <c r="I2033" s="209">
        <v>0</v>
      </c>
      <c r="J2033" s="150">
        <v>0</v>
      </c>
      <c r="K2033" s="150">
        <v>0</v>
      </c>
      <c r="L2033" s="150">
        <f t="shared" si="1692"/>
        <v>0</v>
      </c>
      <c r="M2033" s="150">
        <v>0</v>
      </c>
      <c r="N2033" s="150"/>
      <c r="O2033" s="150">
        <v>0</v>
      </c>
      <c r="P2033" s="150">
        <v>0</v>
      </c>
      <c r="Q2033" s="150">
        <v>0</v>
      </c>
      <c r="R2033" s="150">
        <f t="shared" ref="R2033:R2042" si="1704">P2033+Q2033</f>
        <v>0</v>
      </c>
      <c r="S2033" s="150">
        <f t="shared" si="1681"/>
        <v>0</v>
      </c>
      <c r="T2033" s="150"/>
      <c r="U2033" s="150">
        <v>0</v>
      </c>
      <c r="V2033" s="199">
        <f>Q2033/9*11</f>
        <v>0</v>
      </c>
      <c r="W2033" s="150">
        <f t="shared" ref="W2033:W2042" si="1705">U2033+V2033</f>
        <v>0</v>
      </c>
      <c r="X2033" s="150">
        <v>0</v>
      </c>
      <c r="Y2033" s="150">
        <v>0</v>
      </c>
      <c r="Z2033" s="150">
        <v>0</v>
      </c>
      <c r="AA2033" s="150">
        <f t="shared" si="1677"/>
        <v>0</v>
      </c>
      <c r="AB2033" s="150">
        <v>0</v>
      </c>
      <c r="AC2033" s="199">
        <v>0</v>
      </c>
      <c r="AD2033" s="150">
        <f t="shared" ref="AD2033:AD2042" si="1706">AB2033+AC2033</f>
        <v>0</v>
      </c>
      <c r="AE2033" s="150">
        <v>0</v>
      </c>
      <c r="AF2033" s="169" t="s">
        <v>4680</v>
      </c>
      <c r="AG2033" s="201">
        <v>0</v>
      </c>
      <c r="AH2033" s="199">
        <v>0</v>
      </c>
      <c r="AI2033" s="150">
        <v>0</v>
      </c>
      <c r="AJ2033" s="169">
        <f t="shared" si="1678"/>
        <v>0</v>
      </c>
      <c r="AK2033" s="201">
        <v>0</v>
      </c>
      <c r="AL2033" s="199">
        <v>0</v>
      </c>
      <c r="AM2033" s="150">
        <f t="shared" ref="AM2033:AM2042" si="1707">AK2033+AL2033</f>
        <v>0</v>
      </c>
      <c r="AN2033" s="153">
        <f t="shared" si="1679"/>
        <v>0</v>
      </c>
      <c r="AO2033" s="154">
        <f t="shared" si="1680"/>
        <v>0</v>
      </c>
      <c r="AP2033" s="150">
        <v>0</v>
      </c>
      <c r="AQ2033" s="201">
        <v>0</v>
      </c>
      <c r="AR2033" s="199"/>
      <c r="AS2033" s="150">
        <f t="shared" ref="AS2033:AS2042" si="1708">AQ2033+AR2033</f>
        <v>0</v>
      </c>
      <c r="AT2033" s="155"/>
      <c r="AU2033" s="156">
        <f t="shared" si="1675"/>
        <v>0</v>
      </c>
      <c r="AV2033" s="156">
        <f t="shared" si="1676"/>
        <v>0</v>
      </c>
      <c r="AW2033" s="157"/>
      <c r="AX2033" s="150">
        <v>0</v>
      </c>
      <c r="AY2033" s="150">
        <v>0</v>
      </c>
      <c r="AZ2033" s="150"/>
      <c r="BA2033" s="150">
        <f>AZ2033+(AZ2033/8*4)</f>
        <v>0</v>
      </c>
      <c r="BB2033" s="202">
        <v>5</v>
      </c>
      <c r="BC2033" s="202" t="s">
        <v>1225</v>
      </c>
      <c r="BD2033" s="202" t="s">
        <v>632</v>
      </c>
      <c r="BE2033" s="202" t="s">
        <v>632</v>
      </c>
      <c r="BF2033" s="202" t="s">
        <v>632</v>
      </c>
      <c r="BG2033" s="231" t="s">
        <v>9847</v>
      </c>
      <c r="BH2033" s="216">
        <f>AS2033</f>
        <v>0</v>
      </c>
      <c r="BI2033" s="202"/>
      <c r="BJ2033" s="194" t="s">
        <v>9843</v>
      </c>
      <c r="BK2033" s="194" t="s">
        <v>9840</v>
      </c>
      <c r="BL2033" s="207" t="s">
        <v>9844</v>
      </c>
      <c r="BM2033" s="208">
        <f>BH2033</f>
        <v>0</v>
      </c>
      <c r="BN2033" s="160"/>
      <c r="BO2033" s="161">
        <f t="shared" si="1697"/>
        <v>0</v>
      </c>
      <c r="BP2033" s="161"/>
    </row>
    <row r="2034" spans="1:68" ht="25.5">
      <c r="A2034" s="194" t="s">
        <v>9840</v>
      </c>
      <c r="B2034" s="195" t="s">
        <v>9848</v>
      </c>
      <c r="C2034" s="196" t="s">
        <v>9849</v>
      </c>
      <c r="D2034" s="146" t="s">
        <v>4692</v>
      </c>
      <c r="E2034" s="196" t="s">
        <v>9849</v>
      </c>
      <c r="F2034" s="150">
        <v>0</v>
      </c>
      <c r="G2034" s="209">
        <v>0</v>
      </c>
      <c r="H2034" s="209">
        <v>1010238.1799999999</v>
      </c>
      <c r="I2034" s="209">
        <v>1010238.1799999999</v>
      </c>
      <c r="J2034" s="150">
        <v>0</v>
      </c>
      <c r="K2034" s="150">
        <v>0</v>
      </c>
      <c r="L2034" s="150">
        <f t="shared" si="1692"/>
        <v>0</v>
      </c>
      <c r="M2034" s="150">
        <v>0</v>
      </c>
      <c r="N2034" s="150"/>
      <c r="O2034" s="150">
        <v>0</v>
      </c>
      <c r="P2034" s="150">
        <v>0</v>
      </c>
      <c r="Q2034" s="150">
        <v>0</v>
      </c>
      <c r="R2034" s="150">
        <f t="shared" si="1704"/>
        <v>0</v>
      </c>
      <c r="S2034" s="150">
        <f t="shared" si="1681"/>
        <v>0</v>
      </c>
      <c r="T2034" s="150"/>
      <c r="U2034" s="150">
        <v>0</v>
      </c>
      <c r="V2034" s="199"/>
      <c r="W2034" s="150">
        <f t="shared" si="1705"/>
        <v>0</v>
      </c>
      <c r="X2034" s="150">
        <v>0</v>
      </c>
      <c r="Y2034" s="150"/>
      <c r="Z2034" s="150">
        <v>0</v>
      </c>
      <c r="AA2034" s="150">
        <f t="shared" si="1677"/>
        <v>0</v>
      </c>
      <c r="AB2034" s="150">
        <v>0</v>
      </c>
      <c r="AC2034" s="199"/>
      <c r="AD2034" s="150">
        <f t="shared" si="1706"/>
        <v>0</v>
      </c>
      <c r="AE2034" s="150">
        <v>0</v>
      </c>
      <c r="AF2034" s="169" t="s">
        <v>4680</v>
      </c>
      <c r="AG2034" s="201">
        <v>0</v>
      </c>
      <c r="AH2034" s="199"/>
      <c r="AI2034" s="150">
        <v>0</v>
      </c>
      <c r="AJ2034" s="169">
        <f t="shared" si="1678"/>
        <v>0</v>
      </c>
      <c r="AK2034" s="201">
        <v>0</v>
      </c>
      <c r="AL2034" s="199"/>
      <c r="AM2034" s="150">
        <f t="shared" si="1707"/>
        <v>0</v>
      </c>
      <c r="AN2034" s="153">
        <f t="shared" si="1679"/>
        <v>0</v>
      </c>
      <c r="AO2034" s="154">
        <f t="shared" si="1680"/>
        <v>0</v>
      </c>
      <c r="AP2034" s="150">
        <v>0</v>
      </c>
      <c r="AQ2034" s="201">
        <v>0</v>
      </c>
      <c r="AR2034" s="199"/>
      <c r="AS2034" s="150">
        <f t="shared" si="1708"/>
        <v>0</v>
      </c>
      <c r="AT2034" s="155"/>
      <c r="AU2034" s="156">
        <f t="shared" si="1675"/>
        <v>0</v>
      </c>
      <c r="AV2034" s="156">
        <f t="shared" si="1676"/>
        <v>0</v>
      </c>
      <c r="AW2034" s="157"/>
      <c r="AX2034" s="150">
        <v>0</v>
      </c>
      <c r="AY2034" s="150">
        <v>0</v>
      </c>
      <c r="AZ2034" s="150"/>
      <c r="BA2034" s="150">
        <f>AZ2034+(AZ2034/8*4)</f>
        <v>0</v>
      </c>
      <c r="BB2034" s="202">
        <v>5</v>
      </c>
      <c r="BC2034" s="202" t="s">
        <v>1225</v>
      </c>
      <c r="BD2034" s="202" t="s">
        <v>632</v>
      </c>
      <c r="BE2034" s="202" t="s">
        <v>632</v>
      </c>
      <c r="BF2034" s="202" t="s">
        <v>647</v>
      </c>
      <c r="BG2034" s="231" t="s">
        <v>9849</v>
      </c>
      <c r="BH2034" s="216">
        <f>SUM(AS2034:AS2035)</f>
        <v>1152804.57</v>
      </c>
      <c r="BI2034" s="202"/>
      <c r="BJ2034" s="194" t="s">
        <v>9843</v>
      </c>
      <c r="BK2034" s="194" t="s">
        <v>9840</v>
      </c>
      <c r="BL2034" s="207" t="s">
        <v>9844</v>
      </c>
      <c r="BM2034" s="208">
        <f>BH2034</f>
        <v>1152804.57</v>
      </c>
      <c r="BN2034" s="160"/>
      <c r="BO2034" s="161"/>
      <c r="BP2034" s="161"/>
    </row>
    <row r="2035" spans="1:68" ht="25.5">
      <c r="A2035" s="210"/>
      <c r="B2035" s="195" t="s">
        <v>9850</v>
      </c>
      <c r="C2035" s="196" t="s">
        <v>9851</v>
      </c>
      <c r="D2035" s="146" t="s">
        <v>4692</v>
      </c>
      <c r="E2035" s="196" t="s">
        <v>9851</v>
      </c>
      <c r="F2035" s="150">
        <v>1010244.34</v>
      </c>
      <c r="G2035" s="209">
        <v>0</v>
      </c>
      <c r="H2035" s="209"/>
      <c r="I2035" s="209">
        <v>0</v>
      </c>
      <c r="J2035" s="150">
        <v>0</v>
      </c>
      <c r="K2035" s="150">
        <v>261309.54499999998</v>
      </c>
      <c r="L2035" s="150">
        <f t="shared" si="1692"/>
        <v>261309.54499999998</v>
      </c>
      <c r="M2035" s="150">
        <v>0</v>
      </c>
      <c r="N2035" s="150">
        <v>508106.98</v>
      </c>
      <c r="O2035" s="150">
        <v>508106.98</v>
      </c>
      <c r="P2035" s="150">
        <v>0</v>
      </c>
      <c r="Q2035" s="150">
        <f>760136.38+7712.23</f>
        <v>767848.61</v>
      </c>
      <c r="R2035" s="150">
        <f t="shared" si="1704"/>
        <v>767848.61</v>
      </c>
      <c r="S2035" s="150">
        <f t="shared" si="1681"/>
        <v>1023798.1466666667</v>
      </c>
      <c r="T2035" s="150"/>
      <c r="U2035" s="150">
        <v>0</v>
      </c>
      <c r="V2035" s="199">
        <f>1014009.79+10273.66</f>
        <v>1024283.4500000001</v>
      </c>
      <c r="W2035" s="150">
        <f t="shared" si="1705"/>
        <v>1024283.4500000001</v>
      </c>
      <c r="X2035" s="150">
        <v>0</v>
      </c>
      <c r="Y2035" s="150">
        <v>1024283.4500000001</v>
      </c>
      <c r="Z2035" s="150">
        <v>1024283.4500000001</v>
      </c>
      <c r="AA2035" s="150">
        <f t="shared" si="1677"/>
        <v>2399.5299999999115</v>
      </c>
      <c r="AB2035" s="150">
        <v>0</v>
      </c>
      <c r="AC2035" s="199">
        <v>1026682.98</v>
      </c>
      <c r="AD2035" s="150">
        <f t="shared" si="1706"/>
        <v>1026682.98</v>
      </c>
      <c r="AE2035" s="150">
        <v>1031106.91</v>
      </c>
      <c r="AF2035" s="169" t="s">
        <v>4680</v>
      </c>
      <c r="AG2035" s="201">
        <v>0</v>
      </c>
      <c r="AH2035" s="200">
        <v>1031106.91</v>
      </c>
      <c r="AI2035" s="150">
        <v>1031106.91</v>
      </c>
      <c r="AJ2035" s="169">
        <f t="shared" si="1678"/>
        <v>115061.52999999991</v>
      </c>
      <c r="AK2035" s="201">
        <v>0</v>
      </c>
      <c r="AL2035" s="358">
        <v>1146168.44</v>
      </c>
      <c r="AM2035" s="150">
        <f t="shared" si="1707"/>
        <v>1146168.44</v>
      </c>
      <c r="AN2035" s="153">
        <f t="shared" si="1679"/>
        <v>6636.1300000001211</v>
      </c>
      <c r="AO2035" s="154">
        <f t="shared" si="1680"/>
        <v>0</v>
      </c>
      <c r="AP2035" s="150">
        <v>1152804.57</v>
      </c>
      <c r="AQ2035" s="752">
        <v>1152804.57</v>
      </c>
      <c r="AR2035" s="199"/>
      <c r="AS2035" s="150">
        <f t="shared" si="1708"/>
        <v>1152804.57</v>
      </c>
      <c r="AT2035" s="155"/>
      <c r="AU2035" s="156">
        <f t="shared" si="1675"/>
        <v>119485.45999999996</v>
      </c>
      <c r="AV2035" s="156">
        <f t="shared" si="1676"/>
        <v>2399.5299999999115</v>
      </c>
      <c r="AW2035" s="157"/>
      <c r="AX2035" s="150">
        <v>1024283.4500000001</v>
      </c>
      <c r="AY2035" s="150">
        <v>0</v>
      </c>
      <c r="AZ2035" s="150">
        <f>676426.8</f>
        <v>676426.8</v>
      </c>
      <c r="BA2035" s="150">
        <f>AZ2035+(AZ2035/8*4)</f>
        <v>1014640.2000000001</v>
      </c>
      <c r="BB2035" s="210"/>
      <c r="BC2035" s="210"/>
      <c r="BD2035" s="210"/>
      <c r="BE2035" s="210"/>
      <c r="BF2035" s="210"/>
      <c r="BG2035" s="210"/>
      <c r="BH2035" s="217"/>
      <c r="BI2035" s="210"/>
      <c r="BJ2035" s="210"/>
      <c r="BK2035" s="210"/>
      <c r="BL2035" s="210"/>
      <c r="BM2035" s="208"/>
      <c r="BN2035" s="160"/>
      <c r="BO2035" s="161"/>
      <c r="BP2035" s="161"/>
    </row>
    <row r="2036" spans="1:68" ht="38.25">
      <c r="A2036" s="194" t="s">
        <v>9840</v>
      </c>
      <c r="B2036" s="195" t="s">
        <v>9852</v>
      </c>
      <c r="C2036" s="196" t="s">
        <v>9853</v>
      </c>
      <c r="D2036" s="146" t="s">
        <v>4692</v>
      </c>
      <c r="E2036" s="196" t="s">
        <v>9853</v>
      </c>
      <c r="F2036" s="150">
        <v>0</v>
      </c>
      <c r="G2036" s="209">
        <v>0</v>
      </c>
      <c r="H2036" s="209"/>
      <c r="I2036" s="209">
        <v>0</v>
      </c>
      <c r="J2036" s="150">
        <v>0</v>
      </c>
      <c r="K2036" s="150">
        <v>0</v>
      </c>
      <c r="L2036" s="150">
        <f t="shared" si="1692"/>
        <v>0</v>
      </c>
      <c r="M2036" s="150">
        <v>0</v>
      </c>
      <c r="N2036" s="150"/>
      <c r="O2036" s="150">
        <v>0</v>
      </c>
      <c r="P2036" s="150">
        <v>0</v>
      </c>
      <c r="Q2036" s="150">
        <v>0</v>
      </c>
      <c r="R2036" s="150">
        <f t="shared" si="1704"/>
        <v>0</v>
      </c>
      <c r="S2036" s="150">
        <f t="shared" si="1681"/>
        <v>0</v>
      </c>
      <c r="T2036" s="150"/>
      <c r="U2036" s="150">
        <v>0</v>
      </c>
      <c r="V2036" s="199"/>
      <c r="W2036" s="150">
        <f t="shared" si="1705"/>
        <v>0</v>
      </c>
      <c r="X2036" s="150">
        <v>0</v>
      </c>
      <c r="Y2036" s="150"/>
      <c r="Z2036" s="150">
        <v>0</v>
      </c>
      <c r="AA2036" s="150">
        <f t="shared" si="1677"/>
        <v>0</v>
      </c>
      <c r="AB2036" s="150">
        <v>0</v>
      </c>
      <c r="AC2036" s="199"/>
      <c r="AD2036" s="150">
        <f t="shared" si="1706"/>
        <v>0</v>
      </c>
      <c r="AE2036" s="150">
        <v>0</v>
      </c>
      <c r="AF2036" s="169" t="s">
        <v>4680</v>
      </c>
      <c r="AG2036" s="201">
        <v>0</v>
      </c>
      <c r="AH2036" s="199"/>
      <c r="AI2036" s="150">
        <v>0</v>
      </c>
      <c r="AJ2036" s="169">
        <f t="shared" si="1678"/>
        <v>0</v>
      </c>
      <c r="AK2036" s="201">
        <v>0</v>
      </c>
      <c r="AL2036" s="199"/>
      <c r="AM2036" s="150">
        <f t="shared" si="1707"/>
        <v>0</v>
      </c>
      <c r="AN2036" s="153">
        <f t="shared" si="1679"/>
        <v>0</v>
      </c>
      <c r="AO2036" s="154">
        <f t="shared" si="1680"/>
        <v>0</v>
      </c>
      <c r="AP2036" s="150">
        <v>0</v>
      </c>
      <c r="AQ2036" s="201">
        <v>0</v>
      </c>
      <c r="AR2036" s="199"/>
      <c r="AS2036" s="150">
        <f t="shared" si="1708"/>
        <v>0</v>
      </c>
      <c r="AT2036" s="155"/>
      <c r="AU2036" s="156">
        <f t="shared" si="1675"/>
        <v>0</v>
      </c>
      <c r="AV2036" s="156">
        <f t="shared" si="1676"/>
        <v>0</v>
      </c>
      <c r="AW2036" s="157"/>
      <c r="AX2036" s="150">
        <v>0</v>
      </c>
      <c r="AY2036" s="150">
        <v>0</v>
      </c>
      <c r="AZ2036" s="150"/>
      <c r="BA2036" s="150">
        <f t="shared" ref="BA2036:BA2042" si="1709">AZ2036+(AZ2036/8*4)</f>
        <v>0</v>
      </c>
      <c r="BB2036" s="202">
        <v>5</v>
      </c>
      <c r="BC2036" s="202" t="s">
        <v>1225</v>
      </c>
      <c r="BD2036" s="202" t="s">
        <v>632</v>
      </c>
      <c r="BE2036" s="202" t="s">
        <v>632</v>
      </c>
      <c r="BF2036" s="202" t="s">
        <v>671</v>
      </c>
      <c r="BG2036" s="231" t="s">
        <v>9853</v>
      </c>
      <c r="BH2036" s="216">
        <f>SUM(AS2036:AS2038)</f>
        <v>182951.89</v>
      </c>
      <c r="BI2036" s="202"/>
      <c r="BJ2036" s="194" t="s">
        <v>9843</v>
      </c>
      <c r="BK2036" s="194" t="s">
        <v>9840</v>
      </c>
      <c r="BL2036" s="207" t="s">
        <v>9844</v>
      </c>
      <c r="BM2036" s="208">
        <f>BH2036</f>
        <v>182951.89</v>
      </c>
      <c r="BN2036" s="160"/>
      <c r="BO2036" s="161"/>
      <c r="BP2036" s="161"/>
    </row>
    <row r="2037" spans="1:68" ht="38.25">
      <c r="A2037" s="210"/>
      <c r="B2037" s="195" t="s">
        <v>9854</v>
      </c>
      <c r="C2037" s="196" t="s">
        <v>9855</v>
      </c>
      <c r="D2037" s="146" t="s">
        <v>4692</v>
      </c>
      <c r="E2037" s="196" t="s">
        <v>9855</v>
      </c>
      <c r="F2037" s="150">
        <v>0</v>
      </c>
      <c r="G2037" s="209">
        <v>0</v>
      </c>
      <c r="H2037" s="209">
        <v>187634.16</v>
      </c>
      <c r="I2037" s="209">
        <v>187634.16</v>
      </c>
      <c r="J2037" s="150">
        <v>0</v>
      </c>
      <c r="K2037" s="150">
        <v>0</v>
      </c>
      <c r="L2037" s="150">
        <f t="shared" si="1692"/>
        <v>0</v>
      </c>
      <c r="M2037" s="150">
        <v>0</v>
      </c>
      <c r="N2037" s="150"/>
      <c r="O2037" s="150">
        <v>0</v>
      </c>
      <c r="P2037" s="150">
        <v>0</v>
      </c>
      <c r="Q2037" s="150">
        <v>0</v>
      </c>
      <c r="R2037" s="150">
        <f t="shared" si="1704"/>
        <v>0</v>
      </c>
      <c r="S2037" s="150">
        <f t="shared" si="1681"/>
        <v>0</v>
      </c>
      <c r="T2037" s="150"/>
      <c r="U2037" s="150">
        <v>0</v>
      </c>
      <c r="V2037" s="199"/>
      <c r="W2037" s="150">
        <f t="shared" si="1705"/>
        <v>0</v>
      </c>
      <c r="X2037" s="150">
        <v>0</v>
      </c>
      <c r="Y2037" s="150"/>
      <c r="Z2037" s="150">
        <v>0</v>
      </c>
      <c r="AA2037" s="150">
        <f t="shared" si="1677"/>
        <v>0</v>
      </c>
      <c r="AB2037" s="150">
        <v>0</v>
      </c>
      <c r="AC2037" s="199"/>
      <c r="AD2037" s="150">
        <f t="shared" si="1706"/>
        <v>0</v>
      </c>
      <c r="AE2037" s="150">
        <v>0</v>
      </c>
      <c r="AF2037" s="169" t="s">
        <v>4680</v>
      </c>
      <c r="AG2037" s="201">
        <v>0</v>
      </c>
      <c r="AH2037" s="199"/>
      <c r="AI2037" s="150">
        <v>0</v>
      </c>
      <c r="AJ2037" s="169">
        <f t="shared" si="1678"/>
        <v>0</v>
      </c>
      <c r="AK2037" s="201">
        <v>0</v>
      </c>
      <c r="AL2037" s="199"/>
      <c r="AM2037" s="150">
        <f t="shared" si="1707"/>
        <v>0</v>
      </c>
      <c r="AN2037" s="153">
        <f t="shared" si="1679"/>
        <v>0</v>
      </c>
      <c r="AO2037" s="154">
        <f t="shared" si="1680"/>
        <v>0</v>
      </c>
      <c r="AP2037" s="150">
        <v>0</v>
      </c>
      <c r="AQ2037" s="201">
        <v>0</v>
      </c>
      <c r="AR2037" s="199"/>
      <c r="AS2037" s="150">
        <f t="shared" si="1708"/>
        <v>0</v>
      </c>
      <c r="AT2037" s="155"/>
      <c r="AU2037" s="156">
        <f t="shared" si="1675"/>
        <v>0</v>
      </c>
      <c r="AV2037" s="156">
        <f t="shared" si="1676"/>
        <v>0</v>
      </c>
      <c r="AW2037" s="157"/>
      <c r="AX2037" s="150">
        <v>0</v>
      </c>
      <c r="AY2037" s="150">
        <v>0</v>
      </c>
      <c r="AZ2037" s="150"/>
      <c r="BA2037" s="150">
        <f t="shared" si="1709"/>
        <v>0</v>
      </c>
      <c r="BB2037" s="210"/>
      <c r="BC2037" s="210"/>
      <c r="BD2037" s="210"/>
      <c r="BE2037" s="210"/>
      <c r="BF2037" s="210"/>
      <c r="BG2037" s="210"/>
      <c r="BH2037" s="217"/>
      <c r="BI2037" s="210"/>
      <c r="BJ2037" s="210"/>
      <c r="BK2037" s="210"/>
      <c r="BL2037" s="210"/>
      <c r="BM2037" s="208"/>
      <c r="BN2037" s="160"/>
      <c r="BO2037" s="161"/>
      <c r="BP2037" s="161"/>
    </row>
    <row r="2038" spans="1:68">
      <c r="A2038" s="210"/>
      <c r="B2038" s="195" t="s">
        <v>9856</v>
      </c>
      <c r="C2038" s="196" t="s">
        <v>9857</v>
      </c>
      <c r="D2038" s="146" t="s">
        <v>4692</v>
      </c>
      <c r="E2038" s="196" t="s">
        <v>9857</v>
      </c>
      <c r="F2038" s="150">
        <v>188705.15</v>
      </c>
      <c r="G2038" s="209">
        <v>0</v>
      </c>
      <c r="H2038" s="209">
        <v>40911.53</v>
      </c>
      <c r="I2038" s="209">
        <v>40911.53</v>
      </c>
      <c r="J2038" s="150">
        <v>0</v>
      </c>
      <c r="K2038" s="150">
        <v>49408.54</v>
      </c>
      <c r="L2038" s="150">
        <f t="shared" si="1692"/>
        <v>49408.54</v>
      </c>
      <c r="M2038" s="150">
        <v>0</v>
      </c>
      <c r="N2038" s="150">
        <v>90885.03</v>
      </c>
      <c r="O2038" s="150">
        <v>90885.03</v>
      </c>
      <c r="P2038" s="150">
        <v>0</v>
      </c>
      <c r="Q2038" s="150">
        <v>137266.06</v>
      </c>
      <c r="R2038" s="150">
        <f t="shared" si="1704"/>
        <v>137266.06</v>
      </c>
      <c r="S2038" s="150">
        <f t="shared" si="1681"/>
        <v>183021.41333333333</v>
      </c>
      <c r="T2038" s="150"/>
      <c r="U2038" s="150">
        <v>0</v>
      </c>
      <c r="V2038" s="199">
        <v>182951.89</v>
      </c>
      <c r="W2038" s="150">
        <f t="shared" si="1705"/>
        <v>182951.89</v>
      </c>
      <c r="X2038" s="150">
        <v>0</v>
      </c>
      <c r="Y2038" s="150">
        <v>182951.89</v>
      </c>
      <c r="Z2038" s="150">
        <v>182951.89</v>
      </c>
      <c r="AA2038" s="150">
        <f t="shared" si="1677"/>
        <v>0</v>
      </c>
      <c r="AB2038" s="150">
        <v>0</v>
      </c>
      <c r="AC2038" s="199">
        <v>182951.89</v>
      </c>
      <c r="AD2038" s="150">
        <f t="shared" si="1706"/>
        <v>182951.89</v>
      </c>
      <c r="AE2038" s="150">
        <v>182951.89</v>
      </c>
      <c r="AF2038" s="169" t="s">
        <v>4680</v>
      </c>
      <c r="AG2038" s="201">
        <v>0</v>
      </c>
      <c r="AH2038" s="200">
        <v>182951.89</v>
      </c>
      <c r="AI2038" s="150">
        <v>182951.89</v>
      </c>
      <c r="AJ2038" s="169">
        <f t="shared" si="1678"/>
        <v>0</v>
      </c>
      <c r="AK2038" s="201">
        <v>0</v>
      </c>
      <c r="AL2038" s="200">
        <v>182951.89</v>
      </c>
      <c r="AM2038" s="150">
        <f t="shared" si="1707"/>
        <v>182951.89</v>
      </c>
      <c r="AN2038" s="153">
        <f t="shared" si="1679"/>
        <v>0</v>
      </c>
      <c r="AO2038" s="154">
        <f t="shared" si="1680"/>
        <v>0</v>
      </c>
      <c r="AP2038" s="150">
        <v>182951.89</v>
      </c>
      <c r="AQ2038" s="752">
        <v>182951.89</v>
      </c>
      <c r="AR2038" s="199"/>
      <c r="AS2038" s="150">
        <f t="shared" si="1708"/>
        <v>182951.89</v>
      </c>
      <c r="AT2038" s="155"/>
      <c r="AU2038" s="156">
        <f t="shared" si="1675"/>
        <v>0</v>
      </c>
      <c r="AV2038" s="156">
        <f t="shared" si="1676"/>
        <v>0</v>
      </c>
      <c r="AW2038" s="157"/>
      <c r="AX2038" s="150">
        <v>182951.89</v>
      </c>
      <c r="AY2038" s="150">
        <v>0</v>
      </c>
      <c r="AZ2038" s="150">
        <v>122206.29</v>
      </c>
      <c r="BA2038" s="150">
        <f t="shared" si="1709"/>
        <v>183309.435</v>
      </c>
      <c r="BB2038" s="210"/>
      <c r="BC2038" s="210"/>
      <c r="BD2038" s="210"/>
      <c r="BE2038" s="210"/>
      <c r="BF2038" s="210"/>
      <c r="BG2038" s="210"/>
      <c r="BH2038" s="217"/>
      <c r="BI2038" s="210"/>
      <c r="BJ2038" s="210"/>
      <c r="BK2038" s="210"/>
      <c r="BL2038" s="210"/>
      <c r="BM2038" s="208"/>
      <c r="BN2038" s="160"/>
      <c r="BO2038" s="161"/>
      <c r="BP2038" s="161"/>
    </row>
    <row r="2039" spans="1:68" ht="25.5">
      <c r="A2039" s="194" t="s">
        <v>9840</v>
      </c>
      <c r="B2039" s="195" t="s">
        <v>9858</v>
      </c>
      <c r="C2039" s="196" t="s">
        <v>9859</v>
      </c>
      <c r="D2039" s="146" t="s">
        <v>4692</v>
      </c>
      <c r="E2039" s="196" t="s">
        <v>9859</v>
      </c>
      <c r="F2039" s="150">
        <v>43327.37</v>
      </c>
      <c r="G2039" s="209">
        <v>0</v>
      </c>
      <c r="H2039" s="209"/>
      <c r="I2039" s="209">
        <v>0</v>
      </c>
      <c r="J2039" s="150">
        <v>0</v>
      </c>
      <c r="K2039" s="150">
        <v>10951.3825</v>
      </c>
      <c r="L2039" s="150">
        <f t="shared" si="1692"/>
        <v>10951.3825</v>
      </c>
      <c r="M2039" s="150">
        <v>0</v>
      </c>
      <c r="N2039" s="150">
        <v>24157.8</v>
      </c>
      <c r="O2039" s="150">
        <v>24157.8</v>
      </c>
      <c r="P2039" s="150">
        <v>0</v>
      </c>
      <c r="Q2039" s="150">
        <v>36369.19</v>
      </c>
      <c r="R2039" s="150">
        <f t="shared" si="1704"/>
        <v>36369.19</v>
      </c>
      <c r="S2039" s="150">
        <f t="shared" si="1681"/>
        <v>48492.253333333334</v>
      </c>
      <c r="T2039" s="150"/>
      <c r="U2039" s="150">
        <v>0</v>
      </c>
      <c r="V2039" s="199">
        <v>49358.94</v>
      </c>
      <c r="W2039" s="150">
        <f t="shared" si="1705"/>
        <v>49358.94</v>
      </c>
      <c r="X2039" s="150">
        <v>0</v>
      </c>
      <c r="Y2039" s="150">
        <v>49358.94</v>
      </c>
      <c r="Z2039" s="150">
        <v>49358.94</v>
      </c>
      <c r="AA2039" s="150">
        <f t="shared" si="1677"/>
        <v>0</v>
      </c>
      <c r="AB2039" s="150">
        <v>0</v>
      </c>
      <c r="AC2039" s="199">
        <v>49358.94</v>
      </c>
      <c r="AD2039" s="150">
        <f t="shared" si="1706"/>
        <v>49358.94</v>
      </c>
      <c r="AE2039" s="150">
        <v>49358.94</v>
      </c>
      <c r="AF2039" s="169" t="s">
        <v>4680</v>
      </c>
      <c r="AG2039" s="201">
        <v>0</v>
      </c>
      <c r="AH2039" s="200">
        <v>49358.94</v>
      </c>
      <c r="AI2039" s="150">
        <v>49358.94</v>
      </c>
      <c r="AJ2039" s="169">
        <f t="shared" si="1678"/>
        <v>0</v>
      </c>
      <c r="AK2039" s="201">
        <v>0</v>
      </c>
      <c r="AL2039" s="200">
        <v>49358.94</v>
      </c>
      <c r="AM2039" s="150">
        <f t="shared" si="1707"/>
        <v>49358.94</v>
      </c>
      <c r="AN2039" s="153">
        <f t="shared" si="1679"/>
        <v>0</v>
      </c>
      <c r="AO2039" s="154">
        <f t="shared" si="1680"/>
        <v>0</v>
      </c>
      <c r="AP2039" s="150">
        <v>49358.94</v>
      </c>
      <c r="AQ2039" s="752">
        <v>49358.94</v>
      </c>
      <c r="AR2039" s="199"/>
      <c r="AS2039" s="150">
        <f t="shared" si="1708"/>
        <v>49358.94</v>
      </c>
      <c r="AT2039" s="155"/>
      <c r="AU2039" s="156">
        <f t="shared" si="1675"/>
        <v>0</v>
      </c>
      <c r="AV2039" s="156">
        <f t="shared" si="1676"/>
        <v>0</v>
      </c>
      <c r="AW2039" s="157"/>
      <c r="AX2039" s="150">
        <v>49358.94</v>
      </c>
      <c r="AY2039" s="150">
        <v>0</v>
      </c>
      <c r="AZ2039" s="150">
        <v>32387.23</v>
      </c>
      <c r="BA2039" s="150">
        <f t="shared" si="1709"/>
        <v>48580.845000000001</v>
      </c>
      <c r="BB2039" s="202">
        <v>5</v>
      </c>
      <c r="BC2039" s="202" t="s">
        <v>1225</v>
      </c>
      <c r="BD2039" s="202" t="s">
        <v>632</v>
      </c>
      <c r="BE2039" s="202" t="s">
        <v>632</v>
      </c>
      <c r="BF2039" s="202" t="s">
        <v>693</v>
      </c>
      <c r="BG2039" s="231" t="s">
        <v>9860</v>
      </c>
      <c r="BH2039" s="216">
        <f>SUM(AS2039:AS2042)</f>
        <v>49358.94</v>
      </c>
      <c r="BI2039" s="202"/>
      <c r="BJ2039" s="194" t="s">
        <v>9843</v>
      </c>
      <c r="BK2039" s="194" t="s">
        <v>9840</v>
      </c>
      <c r="BL2039" s="207" t="s">
        <v>9844</v>
      </c>
      <c r="BM2039" s="208">
        <f>BH2039</f>
        <v>49358.94</v>
      </c>
      <c r="BN2039" s="160"/>
      <c r="BO2039" s="161"/>
      <c r="BP2039" s="161"/>
    </row>
    <row r="2040" spans="1:68">
      <c r="A2040" s="210"/>
      <c r="B2040" s="195" t="s">
        <v>9861</v>
      </c>
      <c r="C2040" s="196" t="s">
        <v>9862</v>
      </c>
      <c r="D2040" s="146" t="s">
        <v>4692</v>
      </c>
      <c r="E2040" s="196" t="s">
        <v>9862</v>
      </c>
      <c r="F2040" s="150">
        <v>0</v>
      </c>
      <c r="G2040" s="209">
        <v>0</v>
      </c>
      <c r="H2040" s="209"/>
      <c r="I2040" s="209">
        <v>0</v>
      </c>
      <c r="J2040" s="150">
        <v>0</v>
      </c>
      <c r="K2040" s="150">
        <v>0</v>
      </c>
      <c r="L2040" s="150">
        <f t="shared" si="1692"/>
        <v>0</v>
      </c>
      <c r="M2040" s="150">
        <v>0</v>
      </c>
      <c r="N2040" s="150"/>
      <c r="O2040" s="150">
        <v>0</v>
      </c>
      <c r="P2040" s="150">
        <v>0</v>
      </c>
      <c r="Q2040" s="150">
        <v>0</v>
      </c>
      <c r="R2040" s="150">
        <f t="shared" si="1704"/>
        <v>0</v>
      </c>
      <c r="S2040" s="150">
        <f t="shared" si="1681"/>
        <v>0</v>
      </c>
      <c r="T2040" s="150"/>
      <c r="U2040" s="150">
        <v>0</v>
      </c>
      <c r="V2040" s="199">
        <f>Q2040/9*11</f>
        <v>0</v>
      </c>
      <c r="W2040" s="150">
        <f t="shared" si="1705"/>
        <v>0</v>
      </c>
      <c r="X2040" s="150">
        <v>0</v>
      </c>
      <c r="Y2040" s="150">
        <v>0</v>
      </c>
      <c r="Z2040" s="150">
        <v>0</v>
      </c>
      <c r="AA2040" s="150">
        <f t="shared" si="1677"/>
        <v>0</v>
      </c>
      <c r="AB2040" s="150">
        <v>0</v>
      </c>
      <c r="AC2040" s="199">
        <v>0</v>
      </c>
      <c r="AD2040" s="150">
        <f t="shared" si="1706"/>
        <v>0</v>
      </c>
      <c r="AE2040" s="150">
        <v>0</v>
      </c>
      <c r="AF2040" s="169" t="s">
        <v>4680</v>
      </c>
      <c r="AG2040" s="201">
        <v>0</v>
      </c>
      <c r="AH2040" s="199">
        <v>0</v>
      </c>
      <c r="AI2040" s="150">
        <v>0</v>
      </c>
      <c r="AJ2040" s="169">
        <f t="shared" si="1678"/>
        <v>0</v>
      </c>
      <c r="AK2040" s="201">
        <v>0</v>
      </c>
      <c r="AL2040" s="199">
        <v>0</v>
      </c>
      <c r="AM2040" s="150">
        <f t="shared" si="1707"/>
        <v>0</v>
      </c>
      <c r="AN2040" s="153">
        <f t="shared" si="1679"/>
        <v>0</v>
      </c>
      <c r="AO2040" s="154">
        <f t="shared" si="1680"/>
        <v>0</v>
      </c>
      <c r="AP2040" s="150">
        <v>0</v>
      </c>
      <c r="AQ2040" s="201">
        <v>0</v>
      </c>
      <c r="AR2040" s="199"/>
      <c r="AS2040" s="150">
        <f t="shared" si="1708"/>
        <v>0</v>
      </c>
      <c r="AT2040" s="155"/>
      <c r="AU2040" s="156">
        <f t="shared" si="1675"/>
        <v>0</v>
      </c>
      <c r="AV2040" s="156">
        <f t="shared" si="1676"/>
        <v>0</v>
      </c>
      <c r="AW2040" s="157"/>
      <c r="AX2040" s="150">
        <v>0</v>
      </c>
      <c r="AY2040" s="150">
        <v>0</v>
      </c>
      <c r="AZ2040" s="150"/>
      <c r="BA2040" s="150">
        <f t="shared" si="1709"/>
        <v>0</v>
      </c>
      <c r="BB2040" s="210"/>
      <c r="BC2040" s="210"/>
      <c r="BD2040" s="210"/>
      <c r="BE2040" s="210"/>
      <c r="BF2040" s="210"/>
      <c r="BG2040" s="210"/>
      <c r="BH2040" s="217"/>
      <c r="BI2040" s="210"/>
      <c r="BJ2040" s="210"/>
      <c r="BK2040" s="210"/>
      <c r="BL2040" s="210"/>
      <c r="BM2040" s="208"/>
      <c r="BN2040" s="160"/>
      <c r="BO2040" s="161">
        <f t="shared" si="1697"/>
        <v>0</v>
      </c>
      <c r="BP2040" s="161"/>
    </row>
    <row r="2041" spans="1:68">
      <c r="A2041" s="210"/>
      <c r="B2041" s="195" t="s">
        <v>9863</v>
      </c>
      <c r="C2041" s="196" t="s">
        <v>9864</v>
      </c>
      <c r="D2041" s="146" t="s">
        <v>4692</v>
      </c>
      <c r="E2041" s="196" t="s">
        <v>9864</v>
      </c>
      <c r="F2041" s="150">
        <v>0</v>
      </c>
      <c r="G2041" s="209">
        <v>0</v>
      </c>
      <c r="H2041" s="209"/>
      <c r="I2041" s="209">
        <v>0</v>
      </c>
      <c r="J2041" s="150">
        <v>0</v>
      </c>
      <c r="K2041" s="150">
        <v>0</v>
      </c>
      <c r="L2041" s="150">
        <f t="shared" si="1692"/>
        <v>0</v>
      </c>
      <c r="M2041" s="150">
        <v>0</v>
      </c>
      <c r="N2041" s="150"/>
      <c r="O2041" s="150">
        <v>0</v>
      </c>
      <c r="P2041" s="150">
        <v>0</v>
      </c>
      <c r="Q2041" s="150">
        <v>0</v>
      </c>
      <c r="R2041" s="150">
        <f t="shared" si="1704"/>
        <v>0</v>
      </c>
      <c r="S2041" s="150">
        <f t="shared" si="1681"/>
        <v>0</v>
      </c>
      <c r="T2041" s="150"/>
      <c r="U2041" s="150">
        <v>0</v>
      </c>
      <c r="V2041" s="199">
        <f>Q2041/9*11</f>
        <v>0</v>
      </c>
      <c r="W2041" s="150">
        <f t="shared" si="1705"/>
        <v>0</v>
      </c>
      <c r="X2041" s="150">
        <v>0</v>
      </c>
      <c r="Y2041" s="150">
        <v>0</v>
      </c>
      <c r="Z2041" s="150">
        <v>0</v>
      </c>
      <c r="AA2041" s="150">
        <f t="shared" si="1677"/>
        <v>0</v>
      </c>
      <c r="AB2041" s="150">
        <v>0</v>
      </c>
      <c r="AC2041" s="199">
        <v>0</v>
      </c>
      <c r="AD2041" s="150">
        <f t="shared" si="1706"/>
        <v>0</v>
      </c>
      <c r="AE2041" s="150">
        <v>0</v>
      </c>
      <c r="AF2041" s="169" t="s">
        <v>4680</v>
      </c>
      <c r="AG2041" s="201">
        <v>0</v>
      </c>
      <c r="AH2041" s="199">
        <v>0</v>
      </c>
      <c r="AI2041" s="150">
        <v>0</v>
      </c>
      <c r="AJ2041" s="169">
        <f t="shared" si="1678"/>
        <v>0</v>
      </c>
      <c r="AK2041" s="201">
        <v>0</v>
      </c>
      <c r="AL2041" s="199">
        <v>0</v>
      </c>
      <c r="AM2041" s="150">
        <f t="shared" si="1707"/>
        <v>0</v>
      </c>
      <c r="AN2041" s="153">
        <f t="shared" si="1679"/>
        <v>0</v>
      </c>
      <c r="AO2041" s="154">
        <f t="shared" si="1680"/>
        <v>0</v>
      </c>
      <c r="AP2041" s="150">
        <v>0</v>
      </c>
      <c r="AQ2041" s="201">
        <v>0</v>
      </c>
      <c r="AR2041" s="199"/>
      <c r="AS2041" s="150">
        <f t="shared" si="1708"/>
        <v>0</v>
      </c>
      <c r="AT2041" s="155"/>
      <c r="AU2041" s="156">
        <f t="shared" si="1675"/>
        <v>0</v>
      </c>
      <c r="AV2041" s="156">
        <f t="shared" si="1676"/>
        <v>0</v>
      </c>
      <c r="AW2041" s="157"/>
      <c r="AX2041" s="150">
        <v>0</v>
      </c>
      <c r="AY2041" s="150">
        <v>0</v>
      </c>
      <c r="AZ2041" s="150"/>
      <c r="BA2041" s="150">
        <f t="shared" si="1709"/>
        <v>0</v>
      </c>
      <c r="BB2041" s="210"/>
      <c r="BC2041" s="210"/>
      <c r="BD2041" s="210"/>
      <c r="BE2041" s="210"/>
      <c r="BF2041" s="210"/>
      <c r="BG2041" s="210"/>
      <c r="BH2041" s="217"/>
      <c r="BI2041" s="210"/>
      <c r="BJ2041" s="210"/>
      <c r="BK2041" s="210"/>
      <c r="BL2041" s="210"/>
      <c r="BM2041" s="208"/>
      <c r="BN2041" s="160"/>
      <c r="BO2041" s="161">
        <f t="shared" si="1697"/>
        <v>0</v>
      </c>
      <c r="BP2041" s="161"/>
    </row>
    <row r="2042" spans="1:68" ht="25.5">
      <c r="A2042" s="210"/>
      <c r="B2042" s="195" t="s">
        <v>9865</v>
      </c>
      <c r="C2042" s="196" t="s">
        <v>9866</v>
      </c>
      <c r="D2042" s="146" t="s">
        <v>4692</v>
      </c>
      <c r="E2042" s="196" t="s">
        <v>9866</v>
      </c>
      <c r="F2042" s="150">
        <v>0</v>
      </c>
      <c r="G2042" s="209">
        <v>0</v>
      </c>
      <c r="H2042" s="209">
        <v>61465.15</v>
      </c>
      <c r="I2042" s="209">
        <v>61465.15</v>
      </c>
      <c r="J2042" s="150">
        <v>0</v>
      </c>
      <c r="K2042" s="150">
        <v>0</v>
      </c>
      <c r="L2042" s="150">
        <f t="shared" si="1692"/>
        <v>0</v>
      </c>
      <c r="M2042" s="150">
        <v>0</v>
      </c>
      <c r="N2042" s="150"/>
      <c r="O2042" s="150">
        <v>0</v>
      </c>
      <c r="P2042" s="150">
        <v>0</v>
      </c>
      <c r="Q2042" s="150">
        <v>0</v>
      </c>
      <c r="R2042" s="150">
        <f t="shared" si="1704"/>
        <v>0</v>
      </c>
      <c r="S2042" s="150">
        <f t="shared" si="1681"/>
        <v>0</v>
      </c>
      <c r="T2042" s="150"/>
      <c r="U2042" s="150">
        <v>0</v>
      </c>
      <c r="V2042" s="199">
        <f>Q2042/9*11</f>
        <v>0</v>
      </c>
      <c r="W2042" s="150">
        <f t="shared" si="1705"/>
        <v>0</v>
      </c>
      <c r="X2042" s="150">
        <v>0</v>
      </c>
      <c r="Y2042" s="150">
        <v>0</v>
      </c>
      <c r="Z2042" s="150">
        <v>0</v>
      </c>
      <c r="AA2042" s="150">
        <f t="shared" si="1677"/>
        <v>0</v>
      </c>
      <c r="AB2042" s="150">
        <v>0</v>
      </c>
      <c r="AC2042" s="199">
        <v>0</v>
      </c>
      <c r="AD2042" s="150">
        <f t="shared" si="1706"/>
        <v>0</v>
      </c>
      <c r="AE2042" s="150">
        <v>0</v>
      </c>
      <c r="AF2042" s="169" t="s">
        <v>4680</v>
      </c>
      <c r="AG2042" s="201">
        <v>0</v>
      </c>
      <c r="AH2042" s="199">
        <v>0</v>
      </c>
      <c r="AI2042" s="150">
        <v>0</v>
      </c>
      <c r="AJ2042" s="169">
        <f t="shared" si="1678"/>
        <v>0</v>
      </c>
      <c r="AK2042" s="201">
        <v>0</v>
      </c>
      <c r="AL2042" s="199">
        <v>0</v>
      </c>
      <c r="AM2042" s="150">
        <f t="shared" si="1707"/>
        <v>0</v>
      </c>
      <c r="AN2042" s="153">
        <f t="shared" si="1679"/>
        <v>0</v>
      </c>
      <c r="AO2042" s="154">
        <f t="shared" si="1680"/>
        <v>0</v>
      </c>
      <c r="AP2042" s="150">
        <v>0</v>
      </c>
      <c r="AQ2042" s="201">
        <v>0</v>
      </c>
      <c r="AR2042" s="199"/>
      <c r="AS2042" s="150">
        <f t="shared" si="1708"/>
        <v>0</v>
      </c>
      <c r="AT2042" s="155"/>
      <c r="AU2042" s="156">
        <f t="shared" si="1675"/>
        <v>0</v>
      </c>
      <c r="AV2042" s="156">
        <f t="shared" si="1676"/>
        <v>0</v>
      </c>
      <c r="AW2042" s="157"/>
      <c r="AX2042" s="150">
        <v>0</v>
      </c>
      <c r="AY2042" s="150">
        <v>0</v>
      </c>
      <c r="AZ2042" s="150"/>
      <c r="BA2042" s="150">
        <f t="shared" si="1709"/>
        <v>0</v>
      </c>
      <c r="BB2042" s="210"/>
      <c r="BC2042" s="210"/>
      <c r="BD2042" s="210"/>
      <c r="BE2042" s="210"/>
      <c r="BF2042" s="210"/>
      <c r="BG2042" s="208"/>
      <c r="BH2042" s="217"/>
      <c r="BI2042" s="210"/>
      <c r="BJ2042" s="210"/>
      <c r="BK2042" s="210"/>
      <c r="BL2042" s="210"/>
      <c r="BM2042" s="208"/>
      <c r="BN2042" s="160"/>
      <c r="BO2042" s="161">
        <f t="shared" si="1697"/>
        <v>0</v>
      </c>
      <c r="BP2042" s="161"/>
    </row>
    <row r="2043" spans="1:68" ht="25.5">
      <c r="A2043" s="162" t="s">
        <v>9867</v>
      </c>
      <c r="B2043" s="163"/>
      <c r="C2043" s="164" t="s">
        <v>9868</v>
      </c>
      <c r="D2043" s="146" t="s">
        <v>4692</v>
      </c>
      <c r="E2043" s="164" t="s">
        <v>9868</v>
      </c>
      <c r="F2043" s="165">
        <v>61465.15</v>
      </c>
      <c r="G2043" s="166">
        <v>0</v>
      </c>
      <c r="H2043" s="166">
        <v>61465.15</v>
      </c>
      <c r="I2043" s="166">
        <v>61465.15</v>
      </c>
      <c r="J2043" s="165">
        <f>J2044+J2047</f>
        <v>0</v>
      </c>
      <c r="K2043" s="165">
        <f>K2044+K2047</f>
        <v>0</v>
      </c>
      <c r="L2043" s="165">
        <f t="shared" si="1692"/>
        <v>0</v>
      </c>
      <c r="M2043" s="340">
        <v>0</v>
      </c>
      <c r="N2043" s="340">
        <v>23432.93</v>
      </c>
      <c r="O2043" s="167">
        <v>23432.93</v>
      </c>
      <c r="P2043" s="232">
        <f t="shared" ref="P2043:R2043" si="1710">P2044+P2047</f>
        <v>0</v>
      </c>
      <c r="Q2043" s="232">
        <f t="shared" si="1710"/>
        <v>35277.96</v>
      </c>
      <c r="R2043" s="232">
        <f t="shared" si="1710"/>
        <v>35277.96</v>
      </c>
      <c r="S2043" s="150">
        <f t="shared" si="1681"/>
        <v>47037.279999999999</v>
      </c>
      <c r="T2043" s="213"/>
      <c r="U2043" s="232">
        <f t="shared" ref="U2043:W2043" si="1711">U2044+U2047</f>
        <v>0</v>
      </c>
      <c r="V2043" s="233">
        <f t="shared" si="1711"/>
        <v>46994.73</v>
      </c>
      <c r="W2043" s="232">
        <f t="shared" si="1711"/>
        <v>46994.73</v>
      </c>
      <c r="X2043" s="232">
        <v>0</v>
      </c>
      <c r="Y2043" s="232">
        <v>46994.73</v>
      </c>
      <c r="Z2043" s="232">
        <v>46994.73</v>
      </c>
      <c r="AA2043" s="232">
        <f t="shared" si="1677"/>
        <v>0</v>
      </c>
      <c r="AB2043" s="232">
        <v>0</v>
      </c>
      <c r="AC2043" s="233">
        <v>46994.73</v>
      </c>
      <c r="AD2043" s="232">
        <f t="shared" ref="AD2043" si="1712">AD2044+AD2047</f>
        <v>46994.73</v>
      </c>
      <c r="AE2043" s="232">
        <v>46994.73</v>
      </c>
      <c r="AF2043" s="169" t="s">
        <v>4680</v>
      </c>
      <c r="AG2043" s="234">
        <v>0</v>
      </c>
      <c r="AH2043" s="233">
        <v>46994.73</v>
      </c>
      <c r="AI2043" s="232">
        <v>46994.73</v>
      </c>
      <c r="AJ2043" s="169">
        <f t="shared" si="1678"/>
        <v>0</v>
      </c>
      <c r="AK2043" s="234">
        <v>0</v>
      </c>
      <c r="AL2043" s="233">
        <v>46994.73</v>
      </c>
      <c r="AM2043" s="232">
        <f t="shared" ref="AM2043" si="1713">AM2044+AM2047</f>
        <v>46994.73</v>
      </c>
      <c r="AN2043" s="153">
        <f t="shared" si="1679"/>
        <v>0</v>
      </c>
      <c r="AO2043" s="154">
        <f t="shared" si="1680"/>
        <v>0</v>
      </c>
      <c r="AP2043" s="232">
        <v>46994.73</v>
      </c>
      <c r="AQ2043" s="234">
        <v>46994.73</v>
      </c>
      <c r="AR2043" s="233">
        <f t="shared" ref="AR2043:AS2043" si="1714">AR2044+AR2047</f>
        <v>0</v>
      </c>
      <c r="AS2043" s="232">
        <f t="shared" si="1714"/>
        <v>46994.73</v>
      </c>
      <c r="AT2043" s="155"/>
      <c r="AU2043" s="156">
        <f t="shared" si="1675"/>
        <v>0</v>
      </c>
      <c r="AV2043" s="156">
        <f t="shared" si="1676"/>
        <v>0</v>
      </c>
      <c r="AW2043" s="157"/>
      <c r="AX2043" s="150">
        <v>46994.73</v>
      </c>
      <c r="AY2043" s="232">
        <f t="shared" ref="AY2043:BA2043" si="1715">AY2044+AY2047</f>
        <v>0</v>
      </c>
      <c r="AZ2043" s="232">
        <f t="shared" si="1715"/>
        <v>31415.51</v>
      </c>
      <c r="BA2043" s="232">
        <f t="shared" si="1715"/>
        <v>47123.264999999999</v>
      </c>
      <c r="BB2043" s="171">
        <v>5</v>
      </c>
      <c r="BC2043" s="171">
        <v>11</v>
      </c>
      <c r="BD2043" s="162" t="s">
        <v>630</v>
      </c>
      <c r="BE2043" s="162" t="s">
        <v>630</v>
      </c>
      <c r="BF2043" s="162" t="s">
        <v>630</v>
      </c>
      <c r="BG2043" s="164" t="s">
        <v>9868</v>
      </c>
      <c r="BH2043" s="235">
        <f>BH2044+BH2047</f>
        <v>46994.73</v>
      </c>
      <c r="BI2043" s="171"/>
      <c r="BJ2043" s="162" t="s">
        <v>9869</v>
      </c>
      <c r="BK2043" s="162" t="s">
        <v>9867</v>
      </c>
      <c r="BL2043" s="172" t="s">
        <v>9870</v>
      </c>
      <c r="BM2043" s="349">
        <f>BM2044+BM2047</f>
        <v>46994.73</v>
      </c>
      <c r="BN2043" s="160"/>
      <c r="BO2043" s="161">
        <f t="shared" si="1697"/>
        <v>0</v>
      </c>
      <c r="BP2043" s="161"/>
    </row>
    <row r="2044" spans="1:68" ht="38.25">
      <c r="A2044" s="173" t="s">
        <v>9871</v>
      </c>
      <c r="B2044" s="174"/>
      <c r="C2044" s="175" t="s">
        <v>9872</v>
      </c>
      <c r="D2044" s="146" t="s">
        <v>4692</v>
      </c>
      <c r="E2044" s="175" t="s">
        <v>9872</v>
      </c>
      <c r="F2044" s="176">
        <v>61465.15</v>
      </c>
      <c r="G2044" s="177">
        <v>0</v>
      </c>
      <c r="H2044" s="177">
        <v>61465.15</v>
      </c>
      <c r="I2044" s="177">
        <v>61465.15</v>
      </c>
      <c r="J2044" s="176">
        <v>0</v>
      </c>
      <c r="K2044" s="176">
        <v>0</v>
      </c>
      <c r="L2044" s="176">
        <f t="shared" si="1692"/>
        <v>0</v>
      </c>
      <c r="M2044" s="319">
        <v>0</v>
      </c>
      <c r="N2044" s="319">
        <v>23432.93</v>
      </c>
      <c r="O2044" s="178">
        <v>23432.93</v>
      </c>
      <c r="P2044" s="221">
        <f t="shared" ref="P2044:AM2045" si="1716">P2045</f>
        <v>0</v>
      </c>
      <c r="Q2044" s="221">
        <f t="shared" si="1716"/>
        <v>35277.96</v>
      </c>
      <c r="R2044" s="221">
        <f t="shared" si="1716"/>
        <v>35277.96</v>
      </c>
      <c r="S2044" s="150">
        <f t="shared" si="1681"/>
        <v>47037.279999999999</v>
      </c>
      <c r="T2044" s="213"/>
      <c r="U2044" s="221">
        <f t="shared" ref="U2044:W2045" si="1717">U2045</f>
        <v>0</v>
      </c>
      <c r="V2044" s="222">
        <f t="shared" si="1717"/>
        <v>46994.73</v>
      </c>
      <c r="W2044" s="221">
        <f t="shared" si="1717"/>
        <v>46994.73</v>
      </c>
      <c r="X2044" s="221">
        <v>0</v>
      </c>
      <c r="Y2044" s="221">
        <v>46994.73</v>
      </c>
      <c r="Z2044" s="221">
        <v>46994.73</v>
      </c>
      <c r="AA2044" s="221">
        <f t="shared" si="1677"/>
        <v>0</v>
      </c>
      <c r="AB2044" s="221">
        <v>0</v>
      </c>
      <c r="AC2044" s="222">
        <v>46994.73</v>
      </c>
      <c r="AD2044" s="221">
        <f t="shared" si="1716"/>
        <v>46994.73</v>
      </c>
      <c r="AE2044" s="221">
        <v>46994.73</v>
      </c>
      <c r="AF2044" s="169" t="s">
        <v>4680</v>
      </c>
      <c r="AG2044" s="223">
        <v>0</v>
      </c>
      <c r="AH2044" s="222">
        <v>46994.73</v>
      </c>
      <c r="AI2044" s="221">
        <v>46994.73</v>
      </c>
      <c r="AJ2044" s="169">
        <f t="shared" si="1678"/>
        <v>0</v>
      </c>
      <c r="AK2044" s="223">
        <v>0</v>
      </c>
      <c r="AL2044" s="222">
        <v>46994.73</v>
      </c>
      <c r="AM2044" s="221">
        <f t="shared" si="1716"/>
        <v>46994.73</v>
      </c>
      <c r="AN2044" s="153">
        <f t="shared" si="1679"/>
        <v>0</v>
      </c>
      <c r="AO2044" s="154">
        <f t="shared" si="1680"/>
        <v>0</v>
      </c>
      <c r="AP2044" s="221">
        <v>46994.73</v>
      </c>
      <c r="AQ2044" s="223">
        <v>46994.73</v>
      </c>
      <c r="AR2044" s="222">
        <f t="shared" ref="AR2044:AS2045" si="1718">AR2045</f>
        <v>0</v>
      </c>
      <c r="AS2044" s="221">
        <f t="shared" si="1718"/>
        <v>46994.73</v>
      </c>
      <c r="AT2044" s="155"/>
      <c r="AU2044" s="156">
        <f t="shared" si="1675"/>
        <v>0</v>
      </c>
      <c r="AV2044" s="156">
        <f t="shared" si="1676"/>
        <v>0</v>
      </c>
      <c r="AW2044" s="157"/>
      <c r="AX2044" s="150">
        <v>46994.73</v>
      </c>
      <c r="AY2044" s="221">
        <f t="shared" ref="AY2044:BA2045" si="1719">AY2045</f>
        <v>0</v>
      </c>
      <c r="AZ2044" s="221">
        <f t="shared" si="1719"/>
        <v>31415.51</v>
      </c>
      <c r="BA2044" s="221">
        <f t="shared" si="1719"/>
        <v>47123.264999999999</v>
      </c>
      <c r="BB2044" s="181">
        <v>5</v>
      </c>
      <c r="BC2044" s="181">
        <v>11</v>
      </c>
      <c r="BD2044" s="173" t="s">
        <v>632</v>
      </c>
      <c r="BE2044" s="173" t="s">
        <v>630</v>
      </c>
      <c r="BF2044" s="173" t="s">
        <v>630</v>
      </c>
      <c r="BG2044" s="175" t="s">
        <v>9872</v>
      </c>
      <c r="BH2044" s="224">
        <f>BH2045</f>
        <v>46994.73</v>
      </c>
      <c r="BI2044" s="181"/>
      <c r="BJ2044" s="173" t="s">
        <v>9873</v>
      </c>
      <c r="BK2044" s="173" t="s">
        <v>9871</v>
      </c>
      <c r="BL2044" s="182" t="s">
        <v>9874</v>
      </c>
      <c r="BM2044" s="337">
        <f>BM2045</f>
        <v>46994.73</v>
      </c>
      <c r="BN2044" s="160"/>
      <c r="BO2044" s="161">
        <f t="shared" si="1697"/>
        <v>0</v>
      </c>
      <c r="BP2044" s="161"/>
    </row>
    <row r="2045" spans="1:68" ht="38.25">
      <c r="A2045" s="183" t="s">
        <v>9871</v>
      </c>
      <c r="B2045" s="184"/>
      <c r="C2045" s="185" t="s">
        <v>9872</v>
      </c>
      <c r="D2045" s="146" t="s">
        <v>4692</v>
      </c>
      <c r="E2045" s="185" t="s">
        <v>9872</v>
      </c>
      <c r="F2045" s="188">
        <v>61465.15</v>
      </c>
      <c r="G2045" s="187">
        <v>0</v>
      </c>
      <c r="H2045" s="187">
        <v>61465.15</v>
      </c>
      <c r="I2045" s="187">
        <v>61465.15</v>
      </c>
      <c r="J2045" s="188">
        <v>0</v>
      </c>
      <c r="K2045" s="188">
        <v>0</v>
      </c>
      <c r="L2045" s="188">
        <f t="shared" si="1692"/>
        <v>0</v>
      </c>
      <c r="M2045" s="299">
        <v>0</v>
      </c>
      <c r="N2045" s="299">
        <v>23432.93</v>
      </c>
      <c r="O2045" s="188">
        <v>23432.93</v>
      </c>
      <c r="P2045" s="299">
        <f t="shared" si="1716"/>
        <v>0</v>
      </c>
      <c r="Q2045" s="299">
        <f t="shared" si="1716"/>
        <v>35277.96</v>
      </c>
      <c r="R2045" s="299">
        <f t="shared" si="1716"/>
        <v>35277.96</v>
      </c>
      <c r="S2045" s="150">
        <f t="shared" si="1681"/>
        <v>47037.279999999999</v>
      </c>
      <c r="T2045" s="213"/>
      <c r="U2045" s="299">
        <f t="shared" si="1717"/>
        <v>0</v>
      </c>
      <c r="V2045" s="226">
        <f t="shared" si="1717"/>
        <v>46994.73</v>
      </c>
      <c r="W2045" s="299">
        <f t="shared" si="1717"/>
        <v>46994.73</v>
      </c>
      <c r="X2045" s="299">
        <v>0</v>
      </c>
      <c r="Y2045" s="299">
        <v>46994.73</v>
      </c>
      <c r="Z2045" s="299">
        <v>46994.73</v>
      </c>
      <c r="AA2045" s="299">
        <f t="shared" si="1677"/>
        <v>0</v>
      </c>
      <c r="AB2045" s="299">
        <v>0</v>
      </c>
      <c r="AC2045" s="226">
        <v>46994.73</v>
      </c>
      <c r="AD2045" s="299">
        <f t="shared" si="1716"/>
        <v>46994.73</v>
      </c>
      <c r="AE2045" s="299">
        <v>46994.73</v>
      </c>
      <c r="AF2045" s="169" t="s">
        <v>4680</v>
      </c>
      <c r="AG2045" s="301">
        <v>0</v>
      </c>
      <c r="AH2045" s="226">
        <v>46994.73</v>
      </c>
      <c r="AI2045" s="299">
        <v>46994.73</v>
      </c>
      <c r="AJ2045" s="169">
        <f t="shared" si="1678"/>
        <v>0</v>
      </c>
      <c r="AK2045" s="301">
        <v>0</v>
      </c>
      <c r="AL2045" s="226">
        <v>46994.73</v>
      </c>
      <c r="AM2045" s="299">
        <f t="shared" si="1716"/>
        <v>46994.73</v>
      </c>
      <c r="AN2045" s="153">
        <f t="shared" si="1679"/>
        <v>0</v>
      </c>
      <c r="AO2045" s="154">
        <f t="shared" si="1680"/>
        <v>0</v>
      </c>
      <c r="AP2045" s="299">
        <v>46994.73</v>
      </c>
      <c r="AQ2045" s="301">
        <v>46994.73</v>
      </c>
      <c r="AR2045" s="226">
        <f t="shared" si="1718"/>
        <v>0</v>
      </c>
      <c r="AS2045" s="299">
        <f t="shared" si="1718"/>
        <v>46994.73</v>
      </c>
      <c r="AT2045" s="155"/>
      <c r="AU2045" s="156">
        <f t="shared" si="1675"/>
        <v>0</v>
      </c>
      <c r="AV2045" s="156">
        <f t="shared" si="1676"/>
        <v>0</v>
      </c>
      <c r="AW2045" s="157"/>
      <c r="AX2045" s="150">
        <v>46994.73</v>
      </c>
      <c r="AY2045" s="299">
        <f t="shared" si="1719"/>
        <v>0</v>
      </c>
      <c r="AZ2045" s="299">
        <f t="shared" si="1719"/>
        <v>31415.51</v>
      </c>
      <c r="BA2045" s="299">
        <f t="shared" si="1719"/>
        <v>47123.264999999999</v>
      </c>
      <c r="BB2045" s="191">
        <v>5</v>
      </c>
      <c r="BC2045" s="191">
        <v>11</v>
      </c>
      <c r="BD2045" s="183" t="s">
        <v>632</v>
      </c>
      <c r="BE2045" s="183" t="s">
        <v>632</v>
      </c>
      <c r="BF2045" s="183" t="s">
        <v>630</v>
      </c>
      <c r="BG2045" s="185" t="s">
        <v>9872</v>
      </c>
      <c r="BH2045" s="215">
        <f>BH2046</f>
        <v>46994.73</v>
      </c>
      <c r="BI2045" s="191"/>
      <c r="BJ2045" s="183" t="s">
        <v>9873</v>
      </c>
      <c r="BK2045" s="183" t="s">
        <v>9871</v>
      </c>
      <c r="BL2045" s="238" t="s">
        <v>9874</v>
      </c>
      <c r="BM2045" s="338">
        <f>BM2046</f>
        <v>46994.73</v>
      </c>
      <c r="BN2045" s="160"/>
      <c r="BO2045" s="161">
        <f t="shared" si="1697"/>
        <v>0</v>
      </c>
      <c r="BP2045" s="161"/>
    </row>
    <row r="2046" spans="1:68" ht="38.25">
      <c r="A2046" s="194" t="s">
        <v>9871</v>
      </c>
      <c r="B2046" s="195" t="s">
        <v>9875</v>
      </c>
      <c r="C2046" s="196" t="s">
        <v>9872</v>
      </c>
      <c r="D2046" s="146" t="s">
        <v>4692</v>
      </c>
      <c r="E2046" s="196" t="s">
        <v>9872</v>
      </c>
      <c r="F2046" s="150">
        <v>61465.15</v>
      </c>
      <c r="G2046" s="209">
        <v>0</v>
      </c>
      <c r="H2046" s="209">
        <v>0</v>
      </c>
      <c r="I2046" s="209">
        <v>0</v>
      </c>
      <c r="J2046" s="150">
        <v>0</v>
      </c>
      <c r="K2046" s="150">
        <v>0</v>
      </c>
      <c r="L2046" s="150">
        <f t="shared" si="1692"/>
        <v>0</v>
      </c>
      <c r="M2046" s="150">
        <v>0</v>
      </c>
      <c r="N2046" s="150">
        <v>23432.93</v>
      </c>
      <c r="O2046" s="150">
        <v>23432.93</v>
      </c>
      <c r="P2046" s="150">
        <v>0</v>
      </c>
      <c r="Q2046" s="150">
        <v>35277.96</v>
      </c>
      <c r="R2046" s="150">
        <f>P2046+Q2046</f>
        <v>35277.96</v>
      </c>
      <c r="S2046" s="150">
        <f t="shared" si="1681"/>
        <v>47037.279999999999</v>
      </c>
      <c r="T2046" s="150"/>
      <c r="U2046" s="150">
        <v>0</v>
      </c>
      <c r="V2046" s="199">
        <v>46994.73</v>
      </c>
      <c r="W2046" s="150">
        <f>U2046+V2046</f>
        <v>46994.73</v>
      </c>
      <c r="X2046" s="150">
        <v>0</v>
      </c>
      <c r="Y2046" s="150">
        <v>46994.73</v>
      </c>
      <c r="Z2046" s="150">
        <v>46994.73</v>
      </c>
      <c r="AA2046" s="150">
        <f t="shared" si="1677"/>
        <v>0</v>
      </c>
      <c r="AB2046" s="150">
        <v>0</v>
      </c>
      <c r="AC2046" s="199">
        <v>46994.73</v>
      </c>
      <c r="AD2046" s="150">
        <f>AB2046+AC2046</f>
        <v>46994.73</v>
      </c>
      <c r="AE2046" s="150">
        <v>46994.73</v>
      </c>
      <c r="AF2046" s="169" t="s">
        <v>4680</v>
      </c>
      <c r="AG2046" s="201">
        <v>0</v>
      </c>
      <c r="AH2046" s="200">
        <v>46994.73</v>
      </c>
      <c r="AI2046" s="150">
        <v>46994.73</v>
      </c>
      <c r="AJ2046" s="169">
        <f t="shared" si="1678"/>
        <v>0</v>
      </c>
      <c r="AK2046" s="201">
        <v>0</v>
      </c>
      <c r="AL2046" s="200">
        <v>46994.73</v>
      </c>
      <c r="AM2046" s="150">
        <f>AK2046+AL2046</f>
        <v>46994.73</v>
      </c>
      <c r="AN2046" s="153">
        <f t="shared" si="1679"/>
        <v>0</v>
      </c>
      <c r="AO2046" s="154">
        <f t="shared" si="1680"/>
        <v>0</v>
      </c>
      <c r="AP2046" s="150">
        <v>46994.73</v>
      </c>
      <c r="AQ2046" s="201">
        <v>46994.73</v>
      </c>
      <c r="AR2046" s="199"/>
      <c r="AS2046" s="150">
        <f>AQ2046+AR2046</f>
        <v>46994.73</v>
      </c>
      <c r="AT2046" s="155"/>
      <c r="AU2046" s="156">
        <f t="shared" si="1675"/>
        <v>0</v>
      </c>
      <c r="AV2046" s="156">
        <f t="shared" si="1676"/>
        <v>0</v>
      </c>
      <c r="AW2046" s="157"/>
      <c r="AX2046" s="150">
        <v>46994.73</v>
      </c>
      <c r="AY2046" s="150">
        <v>0</v>
      </c>
      <c r="AZ2046" s="150">
        <v>31415.51</v>
      </c>
      <c r="BA2046" s="150">
        <f>AZ2046+(AZ2046/8*4)</f>
        <v>47123.264999999999</v>
      </c>
      <c r="BB2046" s="202">
        <v>5</v>
      </c>
      <c r="BC2046" s="202">
        <v>11</v>
      </c>
      <c r="BD2046" s="202" t="s">
        <v>632</v>
      </c>
      <c r="BE2046" s="202" t="s">
        <v>632</v>
      </c>
      <c r="BF2046" s="202" t="s">
        <v>632</v>
      </c>
      <c r="BG2046" s="203" t="s">
        <v>9872</v>
      </c>
      <c r="BH2046" s="216">
        <f>AS2046</f>
        <v>46994.73</v>
      </c>
      <c r="BI2046" s="202"/>
      <c r="BJ2046" s="194" t="s">
        <v>9873</v>
      </c>
      <c r="BK2046" s="194" t="s">
        <v>9871</v>
      </c>
      <c r="BL2046" s="207" t="s">
        <v>9874</v>
      </c>
      <c r="BM2046" s="208">
        <f>BH2046</f>
        <v>46994.73</v>
      </c>
      <c r="BN2046" s="160"/>
      <c r="BO2046" s="161">
        <f t="shared" si="1697"/>
        <v>0</v>
      </c>
      <c r="BP2046" s="161"/>
    </row>
    <row r="2047" spans="1:68" ht="38.25">
      <c r="A2047" s="173" t="s">
        <v>9876</v>
      </c>
      <c r="B2047" s="174"/>
      <c r="C2047" s="175" t="s">
        <v>9877</v>
      </c>
      <c r="D2047" s="146" t="s">
        <v>4692</v>
      </c>
      <c r="E2047" s="175" t="s">
        <v>9877</v>
      </c>
      <c r="F2047" s="178">
        <v>0</v>
      </c>
      <c r="G2047" s="177">
        <v>0</v>
      </c>
      <c r="H2047" s="177">
        <v>0</v>
      </c>
      <c r="I2047" s="177">
        <v>0</v>
      </c>
      <c r="J2047" s="178">
        <f>J2048</f>
        <v>0</v>
      </c>
      <c r="K2047" s="178">
        <f>K2048</f>
        <v>0</v>
      </c>
      <c r="L2047" s="178">
        <f t="shared" si="1692"/>
        <v>0</v>
      </c>
      <c r="M2047" s="178">
        <v>0</v>
      </c>
      <c r="N2047" s="178">
        <v>0</v>
      </c>
      <c r="O2047" s="178">
        <v>0</v>
      </c>
      <c r="P2047" s="319">
        <f t="shared" ref="P2047:AM2048" si="1720">P2048</f>
        <v>0</v>
      </c>
      <c r="Q2047" s="319">
        <f t="shared" si="1720"/>
        <v>0</v>
      </c>
      <c r="R2047" s="319">
        <f t="shared" si="1720"/>
        <v>0</v>
      </c>
      <c r="S2047" s="150">
        <f t="shared" si="1681"/>
        <v>0</v>
      </c>
      <c r="T2047" s="213"/>
      <c r="U2047" s="319">
        <f t="shared" ref="U2047:W2048" si="1721">U2048</f>
        <v>0</v>
      </c>
      <c r="V2047" s="222">
        <f t="shared" si="1721"/>
        <v>0</v>
      </c>
      <c r="W2047" s="319">
        <f t="shared" si="1721"/>
        <v>0</v>
      </c>
      <c r="X2047" s="319">
        <v>0</v>
      </c>
      <c r="Y2047" s="319">
        <v>0</v>
      </c>
      <c r="Z2047" s="319">
        <v>0</v>
      </c>
      <c r="AA2047" s="319">
        <f t="shared" si="1677"/>
        <v>0</v>
      </c>
      <c r="AB2047" s="319">
        <v>0</v>
      </c>
      <c r="AC2047" s="222">
        <v>0</v>
      </c>
      <c r="AD2047" s="319">
        <f t="shared" si="1720"/>
        <v>0</v>
      </c>
      <c r="AE2047" s="319">
        <v>0</v>
      </c>
      <c r="AF2047" s="169" t="s">
        <v>4680</v>
      </c>
      <c r="AG2047" s="320">
        <v>0</v>
      </c>
      <c r="AH2047" s="222">
        <v>0</v>
      </c>
      <c r="AI2047" s="319">
        <v>0</v>
      </c>
      <c r="AJ2047" s="169">
        <f t="shared" si="1678"/>
        <v>0</v>
      </c>
      <c r="AK2047" s="320">
        <v>0</v>
      </c>
      <c r="AL2047" s="222">
        <v>0</v>
      </c>
      <c r="AM2047" s="319">
        <f t="shared" si="1720"/>
        <v>0</v>
      </c>
      <c r="AN2047" s="153">
        <f t="shared" si="1679"/>
        <v>0</v>
      </c>
      <c r="AO2047" s="154">
        <f t="shared" si="1680"/>
        <v>0</v>
      </c>
      <c r="AP2047" s="319">
        <v>0</v>
      </c>
      <c r="AQ2047" s="320">
        <v>0</v>
      </c>
      <c r="AR2047" s="222">
        <f t="shared" ref="AR2047:AS2048" si="1722">AR2048</f>
        <v>0</v>
      </c>
      <c r="AS2047" s="319">
        <f t="shared" si="1722"/>
        <v>0</v>
      </c>
      <c r="AT2047" s="155"/>
      <c r="AU2047" s="156">
        <f t="shared" si="1675"/>
        <v>0</v>
      </c>
      <c r="AV2047" s="156">
        <f t="shared" si="1676"/>
        <v>0</v>
      </c>
      <c r="AW2047" s="157"/>
      <c r="AX2047" s="150">
        <v>0</v>
      </c>
      <c r="AY2047" s="319">
        <f t="shared" ref="AY2047:BA2048" si="1723">AY2048</f>
        <v>0</v>
      </c>
      <c r="AZ2047" s="319">
        <f t="shared" si="1723"/>
        <v>0</v>
      </c>
      <c r="BA2047" s="319">
        <f t="shared" si="1723"/>
        <v>0</v>
      </c>
      <c r="BB2047" s="181">
        <v>5</v>
      </c>
      <c r="BC2047" s="181">
        <v>11</v>
      </c>
      <c r="BD2047" s="173" t="s">
        <v>647</v>
      </c>
      <c r="BE2047" s="173" t="s">
        <v>630</v>
      </c>
      <c r="BF2047" s="173" t="s">
        <v>630</v>
      </c>
      <c r="BG2047" s="175" t="s">
        <v>9877</v>
      </c>
      <c r="BH2047" s="224">
        <f>BH2048</f>
        <v>0</v>
      </c>
      <c r="BI2047" s="181"/>
      <c r="BJ2047" s="173" t="s">
        <v>9878</v>
      </c>
      <c r="BK2047" s="173" t="s">
        <v>9876</v>
      </c>
      <c r="BL2047" s="182" t="s">
        <v>9879</v>
      </c>
      <c r="BM2047" s="337">
        <f>BM2048</f>
        <v>0</v>
      </c>
      <c r="BN2047" s="160"/>
      <c r="BO2047" s="161">
        <f t="shared" si="1697"/>
        <v>0</v>
      </c>
      <c r="BP2047" s="161"/>
    </row>
    <row r="2048" spans="1:68" ht="38.25">
      <c r="A2048" s="183" t="s">
        <v>9876</v>
      </c>
      <c r="B2048" s="184"/>
      <c r="C2048" s="185" t="s">
        <v>9877</v>
      </c>
      <c r="D2048" s="146" t="s">
        <v>4692</v>
      </c>
      <c r="E2048" s="185" t="s">
        <v>9877</v>
      </c>
      <c r="F2048" s="188">
        <v>0</v>
      </c>
      <c r="G2048" s="187">
        <v>0</v>
      </c>
      <c r="H2048" s="187"/>
      <c r="I2048" s="187">
        <v>0</v>
      </c>
      <c r="J2048" s="188">
        <f>J2049</f>
        <v>0</v>
      </c>
      <c r="K2048" s="188">
        <f>K2049</f>
        <v>0</v>
      </c>
      <c r="L2048" s="188">
        <f t="shared" si="1692"/>
        <v>0</v>
      </c>
      <c r="M2048" s="188">
        <v>0</v>
      </c>
      <c r="N2048" s="188">
        <v>0</v>
      </c>
      <c r="O2048" s="188">
        <v>0</v>
      </c>
      <c r="P2048" s="299">
        <f t="shared" si="1720"/>
        <v>0</v>
      </c>
      <c r="Q2048" s="299">
        <f t="shared" si="1720"/>
        <v>0</v>
      </c>
      <c r="R2048" s="299">
        <f t="shared" si="1720"/>
        <v>0</v>
      </c>
      <c r="S2048" s="150">
        <f t="shared" si="1681"/>
        <v>0</v>
      </c>
      <c r="T2048" s="213"/>
      <c r="U2048" s="299">
        <f t="shared" si="1721"/>
        <v>0</v>
      </c>
      <c r="V2048" s="226">
        <f t="shared" si="1721"/>
        <v>0</v>
      </c>
      <c r="W2048" s="299">
        <f t="shared" si="1721"/>
        <v>0</v>
      </c>
      <c r="X2048" s="299">
        <v>0</v>
      </c>
      <c r="Y2048" s="299">
        <v>0</v>
      </c>
      <c r="Z2048" s="299">
        <v>0</v>
      </c>
      <c r="AA2048" s="299">
        <f t="shared" si="1677"/>
        <v>0</v>
      </c>
      <c r="AB2048" s="299">
        <v>0</v>
      </c>
      <c r="AC2048" s="226">
        <v>0</v>
      </c>
      <c r="AD2048" s="299">
        <f t="shared" si="1720"/>
        <v>0</v>
      </c>
      <c r="AE2048" s="299">
        <v>0</v>
      </c>
      <c r="AF2048" s="169" t="s">
        <v>4680</v>
      </c>
      <c r="AG2048" s="301">
        <v>0</v>
      </c>
      <c r="AH2048" s="226">
        <v>0</v>
      </c>
      <c r="AI2048" s="299">
        <v>0</v>
      </c>
      <c r="AJ2048" s="169">
        <f t="shared" si="1678"/>
        <v>0</v>
      </c>
      <c r="AK2048" s="301">
        <v>0</v>
      </c>
      <c r="AL2048" s="226">
        <v>0</v>
      </c>
      <c r="AM2048" s="299">
        <f t="shared" si="1720"/>
        <v>0</v>
      </c>
      <c r="AN2048" s="153">
        <f t="shared" si="1679"/>
        <v>0</v>
      </c>
      <c r="AO2048" s="154">
        <f t="shared" si="1680"/>
        <v>0</v>
      </c>
      <c r="AP2048" s="299">
        <v>0</v>
      </c>
      <c r="AQ2048" s="301">
        <v>0</v>
      </c>
      <c r="AR2048" s="226">
        <f t="shared" si="1722"/>
        <v>0</v>
      </c>
      <c r="AS2048" s="299">
        <f t="shared" si="1722"/>
        <v>0</v>
      </c>
      <c r="AT2048" s="155"/>
      <c r="AU2048" s="156">
        <f t="shared" si="1675"/>
        <v>0</v>
      </c>
      <c r="AV2048" s="156">
        <f t="shared" si="1676"/>
        <v>0</v>
      </c>
      <c r="AW2048" s="157"/>
      <c r="AX2048" s="150">
        <v>0</v>
      </c>
      <c r="AY2048" s="299">
        <f t="shared" si="1723"/>
        <v>0</v>
      </c>
      <c r="AZ2048" s="299">
        <f t="shared" si="1723"/>
        <v>0</v>
      </c>
      <c r="BA2048" s="299">
        <f t="shared" si="1723"/>
        <v>0</v>
      </c>
      <c r="BB2048" s="191">
        <v>5</v>
      </c>
      <c r="BC2048" s="191">
        <v>11</v>
      </c>
      <c r="BD2048" s="183" t="s">
        <v>647</v>
      </c>
      <c r="BE2048" s="183" t="s">
        <v>632</v>
      </c>
      <c r="BF2048" s="183" t="s">
        <v>630</v>
      </c>
      <c r="BG2048" s="185" t="s">
        <v>9877</v>
      </c>
      <c r="BH2048" s="215">
        <f>BH2049</f>
        <v>0</v>
      </c>
      <c r="BI2048" s="191"/>
      <c r="BJ2048" s="183" t="s">
        <v>9878</v>
      </c>
      <c r="BK2048" s="183" t="s">
        <v>9876</v>
      </c>
      <c r="BL2048" s="238" t="s">
        <v>9879</v>
      </c>
      <c r="BM2048" s="338">
        <f>BM2049</f>
        <v>0</v>
      </c>
      <c r="BN2048" s="160"/>
      <c r="BO2048" s="161">
        <f t="shared" si="1697"/>
        <v>0</v>
      </c>
      <c r="BP2048" s="161"/>
    </row>
    <row r="2049" spans="1:68" ht="38.25">
      <c r="A2049" s="194" t="s">
        <v>9876</v>
      </c>
      <c r="B2049" s="195" t="s">
        <v>9880</v>
      </c>
      <c r="C2049" s="196" t="s">
        <v>9877</v>
      </c>
      <c r="D2049" s="146" t="s">
        <v>4692</v>
      </c>
      <c r="E2049" s="196" t="s">
        <v>9877</v>
      </c>
      <c r="F2049" s="150">
        <v>0</v>
      </c>
      <c r="G2049" s="209">
        <v>0</v>
      </c>
      <c r="H2049" s="209">
        <v>5467302.8499999987</v>
      </c>
      <c r="I2049" s="209">
        <v>5467302.8499999987</v>
      </c>
      <c r="J2049" s="150">
        <v>0</v>
      </c>
      <c r="K2049" s="150">
        <v>0</v>
      </c>
      <c r="L2049" s="150">
        <f t="shared" si="1692"/>
        <v>0</v>
      </c>
      <c r="M2049" s="150">
        <v>0</v>
      </c>
      <c r="N2049" s="150"/>
      <c r="O2049" s="150">
        <v>0</v>
      </c>
      <c r="P2049" s="150">
        <v>0</v>
      </c>
      <c r="Q2049" s="150">
        <v>0</v>
      </c>
      <c r="R2049" s="150">
        <f>P2049+Q2049</f>
        <v>0</v>
      </c>
      <c r="S2049" s="150">
        <f t="shared" si="1681"/>
        <v>0</v>
      </c>
      <c r="T2049" s="150"/>
      <c r="U2049" s="150">
        <v>0</v>
      </c>
      <c r="V2049" s="199"/>
      <c r="W2049" s="150">
        <f>U2049+V2049</f>
        <v>0</v>
      </c>
      <c r="X2049" s="150">
        <v>0</v>
      </c>
      <c r="Y2049" s="150"/>
      <c r="Z2049" s="150">
        <v>0</v>
      </c>
      <c r="AA2049" s="150">
        <f t="shared" si="1677"/>
        <v>0</v>
      </c>
      <c r="AB2049" s="150">
        <v>0</v>
      </c>
      <c r="AC2049" s="199"/>
      <c r="AD2049" s="150">
        <f>AB2049+AC2049</f>
        <v>0</v>
      </c>
      <c r="AE2049" s="150">
        <v>0</v>
      </c>
      <c r="AF2049" s="169" t="s">
        <v>4680</v>
      </c>
      <c r="AG2049" s="201">
        <v>0</v>
      </c>
      <c r="AH2049" s="199"/>
      <c r="AI2049" s="150">
        <v>0</v>
      </c>
      <c r="AJ2049" s="169">
        <f t="shared" si="1678"/>
        <v>0</v>
      </c>
      <c r="AK2049" s="201">
        <v>0</v>
      </c>
      <c r="AL2049" s="199"/>
      <c r="AM2049" s="150">
        <f>AK2049+AL2049</f>
        <v>0</v>
      </c>
      <c r="AN2049" s="153">
        <f t="shared" si="1679"/>
        <v>0</v>
      </c>
      <c r="AO2049" s="154">
        <f t="shared" si="1680"/>
        <v>0</v>
      </c>
      <c r="AP2049" s="150">
        <v>0</v>
      </c>
      <c r="AQ2049" s="201">
        <v>0</v>
      </c>
      <c r="AR2049" s="199"/>
      <c r="AS2049" s="150">
        <f>AQ2049+AR2049</f>
        <v>0</v>
      </c>
      <c r="AT2049" s="155"/>
      <c r="AU2049" s="156">
        <f t="shared" si="1675"/>
        <v>0</v>
      </c>
      <c r="AV2049" s="156">
        <f t="shared" si="1676"/>
        <v>0</v>
      </c>
      <c r="AW2049" s="157"/>
      <c r="AX2049" s="150">
        <v>0</v>
      </c>
      <c r="AY2049" s="150">
        <v>0</v>
      </c>
      <c r="AZ2049" s="150"/>
      <c r="BA2049" s="150">
        <f>AZ2049+(AZ2049/8*4)</f>
        <v>0</v>
      </c>
      <c r="BB2049" s="202">
        <v>5</v>
      </c>
      <c r="BC2049" s="202">
        <v>11</v>
      </c>
      <c r="BD2049" s="202" t="s">
        <v>647</v>
      </c>
      <c r="BE2049" s="202" t="s">
        <v>632</v>
      </c>
      <c r="BF2049" s="202" t="s">
        <v>632</v>
      </c>
      <c r="BG2049" s="203" t="s">
        <v>9877</v>
      </c>
      <c r="BH2049" s="216">
        <f>AS2049</f>
        <v>0</v>
      </c>
      <c r="BI2049" s="202"/>
      <c r="BJ2049" s="194" t="s">
        <v>9878</v>
      </c>
      <c r="BK2049" s="194" t="s">
        <v>9876</v>
      </c>
      <c r="BL2049" s="207" t="s">
        <v>9879</v>
      </c>
      <c r="BM2049" s="208">
        <f>BH2049</f>
        <v>0</v>
      </c>
      <c r="BN2049" s="160"/>
      <c r="BO2049" s="161">
        <f t="shared" si="1697"/>
        <v>0</v>
      </c>
      <c r="BP2049" s="161"/>
    </row>
    <row r="2050" spans="1:68" ht="38.25">
      <c r="A2050" s="162" t="s">
        <v>9881</v>
      </c>
      <c r="B2050" s="163"/>
      <c r="C2050" s="164" t="s">
        <v>9882</v>
      </c>
      <c r="D2050" s="146" t="s">
        <v>4692</v>
      </c>
      <c r="E2050" s="164" t="s">
        <v>9882</v>
      </c>
      <c r="F2050" s="165">
        <v>5543303.5099999988</v>
      </c>
      <c r="G2050" s="166">
        <v>0</v>
      </c>
      <c r="H2050" s="166">
        <v>5467302.8499999987</v>
      </c>
      <c r="I2050" s="166">
        <v>5467302.8499999987</v>
      </c>
      <c r="J2050" s="167">
        <f>J2051</f>
        <v>0</v>
      </c>
      <c r="K2050" s="167">
        <f>K2051</f>
        <v>2290063.2049999996</v>
      </c>
      <c r="L2050" s="165">
        <f t="shared" si="1692"/>
        <v>2290063.2049999996</v>
      </c>
      <c r="M2050" s="167">
        <v>0</v>
      </c>
      <c r="N2050" s="167">
        <v>2779116.32</v>
      </c>
      <c r="O2050" s="167">
        <v>2779116.32</v>
      </c>
      <c r="P2050" s="167">
        <f>P2051+P2052</f>
        <v>0</v>
      </c>
      <c r="Q2050" s="232">
        <f>Q2051</f>
        <v>4260269.24</v>
      </c>
      <c r="R2050" s="232">
        <f>R2051</f>
        <v>4260269.24</v>
      </c>
      <c r="S2050" s="150">
        <f t="shared" si="1681"/>
        <v>5680358.9866666673</v>
      </c>
      <c r="T2050" s="150"/>
      <c r="U2050" s="167">
        <f>U2051+U2052</f>
        <v>0</v>
      </c>
      <c r="V2050" s="233">
        <f>V2051</f>
        <v>5739756.6099999994</v>
      </c>
      <c r="W2050" s="232">
        <f>W2051</f>
        <v>5739756.6099999994</v>
      </c>
      <c r="X2050" s="359">
        <v>0</v>
      </c>
      <c r="Y2050" s="359">
        <v>5739756.6099999994</v>
      </c>
      <c r="Z2050" s="359">
        <v>5739756.6099999994</v>
      </c>
      <c r="AA2050" s="359">
        <f t="shared" si="1677"/>
        <v>19678.169999995269</v>
      </c>
      <c r="AB2050" s="167">
        <v>0</v>
      </c>
      <c r="AC2050" s="233">
        <v>5759434.7799999947</v>
      </c>
      <c r="AD2050" s="232">
        <f>AD2051</f>
        <v>5759434.7799999947</v>
      </c>
      <c r="AE2050" s="232">
        <v>5767442.179999995</v>
      </c>
      <c r="AF2050" s="169" t="s">
        <v>4680</v>
      </c>
      <c r="AG2050" s="360">
        <v>0</v>
      </c>
      <c r="AH2050" s="233">
        <v>5767442.179999995</v>
      </c>
      <c r="AI2050" s="232">
        <v>5767442.179999995</v>
      </c>
      <c r="AJ2050" s="169">
        <f t="shared" si="1678"/>
        <v>0</v>
      </c>
      <c r="AK2050" s="360">
        <v>0</v>
      </c>
      <c r="AL2050" s="233">
        <v>5767442.179999995</v>
      </c>
      <c r="AM2050" s="232">
        <f>AM2051</f>
        <v>5767442.179999995</v>
      </c>
      <c r="AN2050" s="153">
        <f t="shared" si="1679"/>
        <v>21771.840000004508</v>
      </c>
      <c r="AO2050" s="154">
        <f t="shared" si="1680"/>
        <v>0</v>
      </c>
      <c r="AP2050" s="232">
        <v>5789214.0199999996</v>
      </c>
      <c r="AQ2050" s="232">
        <v>5789214.0199999996</v>
      </c>
      <c r="AR2050" s="233">
        <f t="shared" ref="AR2050:AS2051" si="1724">AR2051</f>
        <v>0</v>
      </c>
      <c r="AS2050" s="232">
        <f t="shared" si="1724"/>
        <v>5789214.0199999996</v>
      </c>
      <c r="AT2050" s="155"/>
      <c r="AU2050" s="156">
        <f t="shared" ref="AU2050:AU2113" si="1725">AM2050-AD2050</f>
        <v>8007.4000000003725</v>
      </c>
      <c r="AV2050" s="156">
        <f t="shared" ref="AV2050:AV2113" si="1726">AD2050-AX2050</f>
        <v>19678.169999995269</v>
      </c>
      <c r="AW2050" s="157"/>
      <c r="AX2050" s="150">
        <v>5739756.6099999994</v>
      </c>
      <c r="AY2050" s="167">
        <f>AY2051+AY2052</f>
        <v>0</v>
      </c>
      <c r="AZ2050" s="232">
        <f>AZ2051</f>
        <v>3764069.94</v>
      </c>
      <c r="BA2050" s="232">
        <f>BA2051</f>
        <v>5646104.9099999992</v>
      </c>
      <c r="BB2050" s="171">
        <v>5</v>
      </c>
      <c r="BC2050" s="171">
        <v>12</v>
      </c>
      <c r="BD2050" s="162" t="s">
        <v>630</v>
      </c>
      <c r="BE2050" s="162" t="s">
        <v>630</v>
      </c>
      <c r="BF2050" s="162" t="s">
        <v>630</v>
      </c>
      <c r="BG2050" s="164" t="s">
        <v>9882</v>
      </c>
      <c r="BH2050" s="267">
        <f>BH2051</f>
        <v>5789214.0200000005</v>
      </c>
      <c r="BI2050" s="171"/>
      <c r="BJ2050" s="162" t="s">
        <v>9883</v>
      </c>
      <c r="BK2050" s="162" t="s">
        <v>9881</v>
      </c>
      <c r="BL2050" s="172" t="s">
        <v>9884</v>
      </c>
      <c r="BM2050" s="267">
        <f>BM2051</f>
        <v>5789214.0200000005</v>
      </c>
      <c r="BN2050" s="160"/>
      <c r="BO2050" s="161">
        <f t="shared" si="1697"/>
        <v>0</v>
      </c>
      <c r="BP2050" s="161"/>
    </row>
    <row r="2051" spans="1:68" ht="38.25">
      <c r="A2051" s="173" t="s">
        <v>9881</v>
      </c>
      <c r="B2051" s="174"/>
      <c r="C2051" s="175" t="s">
        <v>9882</v>
      </c>
      <c r="D2051" s="146" t="s">
        <v>4692</v>
      </c>
      <c r="E2051" s="175" t="s">
        <v>9882</v>
      </c>
      <c r="F2051" s="178">
        <v>5543303.5099999988</v>
      </c>
      <c r="G2051" s="177">
        <v>0</v>
      </c>
      <c r="H2051" s="178">
        <f>H2052</f>
        <v>5407154.8599999994</v>
      </c>
      <c r="I2051" s="178">
        <f>I2052</f>
        <v>5407154.8599999994</v>
      </c>
      <c r="J2051" s="178">
        <f>J2052</f>
        <v>0</v>
      </c>
      <c r="K2051" s="178">
        <f>K2052</f>
        <v>2290063.2049999996</v>
      </c>
      <c r="L2051" s="176">
        <f t="shared" si="1692"/>
        <v>2290063.2049999996</v>
      </c>
      <c r="M2051" s="178">
        <v>0</v>
      </c>
      <c r="N2051" s="178">
        <v>2779116.32</v>
      </c>
      <c r="O2051" s="178">
        <v>2779116.32</v>
      </c>
      <c r="P2051" s="178">
        <f>P2052</f>
        <v>0</v>
      </c>
      <c r="Q2051" s="221">
        <f>Q2052</f>
        <v>4260269.24</v>
      </c>
      <c r="R2051" s="221">
        <f>R2052</f>
        <v>4260269.24</v>
      </c>
      <c r="S2051" s="150">
        <f t="shared" si="1681"/>
        <v>5680358.9866666673</v>
      </c>
      <c r="T2051" s="150"/>
      <c r="U2051" s="178">
        <f>U2052</f>
        <v>0</v>
      </c>
      <c r="V2051" s="222">
        <f>V2052</f>
        <v>5739756.6099999994</v>
      </c>
      <c r="W2051" s="221">
        <f>W2052</f>
        <v>5739756.6099999994</v>
      </c>
      <c r="X2051" s="361">
        <v>0</v>
      </c>
      <c r="Y2051" s="361">
        <v>5739756.6099999994</v>
      </c>
      <c r="Z2051" s="361">
        <v>5739756.6099999994</v>
      </c>
      <c r="AA2051" s="361">
        <f t="shared" ref="AA2051:AA2114" si="1727">AD2051-Z2051</f>
        <v>19678.169999995269</v>
      </c>
      <c r="AB2051" s="178">
        <v>0</v>
      </c>
      <c r="AC2051" s="222">
        <v>5759434.7799999947</v>
      </c>
      <c r="AD2051" s="221">
        <f>AD2052</f>
        <v>5759434.7799999947</v>
      </c>
      <c r="AE2051" s="221">
        <v>5767442.179999995</v>
      </c>
      <c r="AF2051" s="169" t="s">
        <v>4680</v>
      </c>
      <c r="AG2051" s="362">
        <v>0</v>
      </c>
      <c r="AH2051" s="222">
        <v>5767442.179999995</v>
      </c>
      <c r="AI2051" s="221">
        <v>5767442.179999995</v>
      </c>
      <c r="AJ2051" s="169">
        <f t="shared" ref="AJ2051:AJ2114" si="1728">AM2051-AI2051</f>
        <v>0</v>
      </c>
      <c r="AK2051" s="362">
        <v>0</v>
      </c>
      <c r="AL2051" s="222">
        <v>5767442.179999995</v>
      </c>
      <c r="AM2051" s="221">
        <f>AM2052</f>
        <v>5767442.179999995</v>
      </c>
      <c r="AN2051" s="153">
        <f t="shared" ref="AN2051:AN2114" si="1729">AS2051-AM2051</f>
        <v>21771.840000004508</v>
      </c>
      <c r="AO2051" s="154">
        <f t="shared" ref="AO2051:AO2114" si="1730">AS2051-AP2051</f>
        <v>0</v>
      </c>
      <c r="AP2051" s="221">
        <v>5789214.0199999996</v>
      </c>
      <c r="AQ2051" s="362">
        <v>5789214.0199999996</v>
      </c>
      <c r="AR2051" s="222">
        <f t="shared" si="1724"/>
        <v>0</v>
      </c>
      <c r="AS2051" s="221">
        <f t="shared" si="1724"/>
        <v>5789214.0199999996</v>
      </c>
      <c r="AT2051" s="155"/>
      <c r="AU2051" s="156">
        <f t="shared" si="1725"/>
        <v>8007.4000000003725</v>
      </c>
      <c r="AV2051" s="156">
        <f t="shared" si="1726"/>
        <v>19678.169999995269</v>
      </c>
      <c r="AW2051" s="157"/>
      <c r="AX2051" s="150">
        <v>5739756.6099999994</v>
      </c>
      <c r="AY2051" s="178">
        <f>AY2052</f>
        <v>0</v>
      </c>
      <c r="AZ2051" s="221">
        <f>AZ2052</f>
        <v>3764069.94</v>
      </c>
      <c r="BA2051" s="221">
        <f>BA2052</f>
        <v>5646104.9099999992</v>
      </c>
      <c r="BB2051" s="181">
        <v>5</v>
      </c>
      <c r="BC2051" s="181">
        <v>12</v>
      </c>
      <c r="BD2051" s="173" t="s">
        <v>632</v>
      </c>
      <c r="BE2051" s="173" t="s">
        <v>630</v>
      </c>
      <c r="BF2051" s="173" t="s">
        <v>630</v>
      </c>
      <c r="BG2051" s="175" t="s">
        <v>9882</v>
      </c>
      <c r="BH2051" s="363">
        <f>BH2052</f>
        <v>5789214.0200000005</v>
      </c>
      <c r="BI2051" s="181"/>
      <c r="BJ2051" s="173" t="s">
        <v>9883</v>
      </c>
      <c r="BK2051" s="173" t="s">
        <v>9881</v>
      </c>
      <c r="BL2051" s="182" t="s">
        <v>9884</v>
      </c>
      <c r="BM2051" s="363">
        <f>BM2052</f>
        <v>5789214.0200000005</v>
      </c>
      <c r="BN2051" s="160"/>
      <c r="BO2051" s="161">
        <f t="shared" si="1697"/>
        <v>0</v>
      </c>
      <c r="BP2051" s="161"/>
    </row>
    <row r="2052" spans="1:68" ht="38.25">
      <c r="A2052" s="183" t="s">
        <v>9881</v>
      </c>
      <c r="B2052" s="184"/>
      <c r="C2052" s="185" t="s">
        <v>9882</v>
      </c>
      <c r="D2052" s="146" t="s">
        <v>4692</v>
      </c>
      <c r="E2052" s="185" t="s">
        <v>9882</v>
      </c>
      <c r="F2052" s="188">
        <v>5543303.5099999988</v>
      </c>
      <c r="G2052" s="187">
        <v>0</v>
      </c>
      <c r="H2052" s="188">
        <f>SUM(H2053:H2081)</f>
        <v>5407154.8599999994</v>
      </c>
      <c r="I2052" s="188">
        <f>SUM(I2053:I2081)</f>
        <v>5407154.8599999994</v>
      </c>
      <c r="J2052" s="188">
        <f>SUM(J2053:J2081)</f>
        <v>0</v>
      </c>
      <c r="K2052" s="188">
        <f>SUM(K2053:K2081)</f>
        <v>2290063.2049999996</v>
      </c>
      <c r="L2052" s="188">
        <f t="shared" si="1692"/>
        <v>2290063.2049999996</v>
      </c>
      <c r="M2052" s="188">
        <v>0</v>
      </c>
      <c r="N2052" s="188">
        <v>2779116.32</v>
      </c>
      <c r="O2052" s="188">
        <v>2779116.32</v>
      </c>
      <c r="P2052" s="188">
        <f t="shared" ref="P2052:R2052" si="1731">SUM(P2053:P2081)</f>
        <v>0</v>
      </c>
      <c r="Q2052" s="299">
        <f t="shared" si="1731"/>
        <v>4260269.24</v>
      </c>
      <c r="R2052" s="299">
        <f t="shared" si="1731"/>
        <v>4260269.24</v>
      </c>
      <c r="S2052" s="150">
        <f t="shared" ref="S2052:S2089" si="1732">R2052/9*12</f>
        <v>5680358.9866666673</v>
      </c>
      <c r="T2052" s="150"/>
      <c r="U2052" s="188">
        <f t="shared" ref="U2052:W2052" si="1733">SUM(U2053:U2081)</f>
        <v>0</v>
      </c>
      <c r="V2052" s="226">
        <f t="shared" si="1733"/>
        <v>5739756.6099999994</v>
      </c>
      <c r="W2052" s="299">
        <f t="shared" si="1733"/>
        <v>5739756.6099999994</v>
      </c>
      <c r="X2052" s="364">
        <v>0</v>
      </c>
      <c r="Y2052" s="364">
        <v>5739756.6099999994</v>
      </c>
      <c r="Z2052" s="364">
        <v>5739756.6099999994</v>
      </c>
      <c r="AA2052" s="364">
        <f t="shared" si="1727"/>
        <v>19678.169999995269</v>
      </c>
      <c r="AB2052" s="188">
        <v>0</v>
      </c>
      <c r="AC2052" s="226">
        <v>5759434.7799999947</v>
      </c>
      <c r="AD2052" s="299">
        <f t="shared" ref="AD2052" si="1734">SUM(AD2053:AD2081)</f>
        <v>5759434.7799999947</v>
      </c>
      <c r="AE2052" s="299">
        <v>5767442.179999995</v>
      </c>
      <c r="AF2052" s="169" t="s">
        <v>4680</v>
      </c>
      <c r="AG2052" s="304">
        <v>0</v>
      </c>
      <c r="AH2052" s="226">
        <v>5767442.179999995</v>
      </c>
      <c r="AI2052" s="299">
        <v>5767442.179999995</v>
      </c>
      <c r="AJ2052" s="169">
        <f t="shared" si="1728"/>
        <v>0</v>
      </c>
      <c r="AK2052" s="304">
        <v>0</v>
      </c>
      <c r="AL2052" s="226">
        <v>5767442.179999995</v>
      </c>
      <c r="AM2052" s="299">
        <f t="shared" ref="AM2052" si="1735">SUM(AM2053:AM2081)</f>
        <v>5767442.179999995</v>
      </c>
      <c r="AN2052" s="153">
        <f t="shared" si="1729"/>
        <v>21771.840000004508</v>
      </c>
      <c r="AO2052" s="154">
        <f t="shared" si="1730"/>
        <v>0</v>
      </c>
      <c r="AP2052" s="299">
        <v>5789214.0199999996</v>
      </c>
      <c r="AQ2052" s="304">
        <v>5789214.0199999996</v>
      </c>
      <c r="AR2052" s="226">
        <f t="shared" ref="AR2052:AS2052" si="1736">SUM(AR2053:AR2081)</f>
        <v>0</v>
      </c>
      <c r="AS2052" s="299">
        <f t="shared" si="1736"/>
        <v>5789214.0199999996</v>
      </c>
      <c r="AT2052" s="155"/>
      <c r="AU2052" s="156">
        <f t="shared" si="1725"/>
        <v>8007.4000000003725</v>
      </c>
      <c r="AV2052" s="156">
        <f t="shared" si="1726"/>
        <v>19678.169999995269</v>
      </c>
      <c r="AW2052" s="157"/>
      <c r="AX2052" s="150">
        <v>5739756.6099999994</v>
      </c>
      <c r="AY2052" s="188">
        <f t="shared" ref="AY2052:BA2052" si="1737">SUM(AY2053:AY2081)</f>
        <v>0</v>
      </c>
      <c r="AZ2052" s="299">
        <f t="shared" si="1737"/>
        <v>3764069.94</v>
      </c>
      <c r="BA2052" s="299">
        <f t="shared" si="1737"/>
        <v>5646104.9099999992</v>
      </c>
      <c r="BB2052" s="191">
        <v>5</v>
      </c>
      <c r="BC2052" s="191">
        <v>12</v>
      </c>
      <c r="BD2052" s="183" t="s">
        <v>632</v>
      </c>
      <c r="BE2052" s="183" t="s">
        <v>632</v>
      </c>
      <c r="BF2052" s="183" t="s">
        <v>630</v>
      </c>
      <c r="BG2052" s="185" t="s">
        <v>9882</v>
      </c>
      <c r="BH2052" s="269">
        <f>BH2053+BH2064+BH2071+BH2074+BH2077</f>
        <v>5789214.0200000005</v>
      </c>
      <c r="BI2052" s="191"/>
      <c r="BJ2052" s="183" t="s">
        <v>9883</v>
      </c>
      <c r="BK2052" s="183" t="s">
        <v>9881</v>
      </c>
      <c r="BL2052" s="238" t="s">
        <v>9884</v>
      </c>
      <c r="BM2052" s="269">
        <f>BM2053+BM2064+BM2071+BM2074+BM2077</f>
        <v>5789214.0200000005</v>
      </c>
      <c r="BN2052" s="160"/>
      <c r="BO2052" s="161">
        <f t="shared" si="1697"/>
        <v>0</v>
      </c>
      <c r="BP2052" s="161"/>
    </row>
    <row r="2053" spans="1:68" ht="25.5">
      <c r="A2053" s="194" t="s">
        <v>9881</v>
      </c>
      <c r="B2053" s="195" t="s">
        <v>9885</v>
      </c>
      <c r="C2053" s="196" t="s">
        <v>9886</v>
      </c>
      <c r="D2053" s="146" t="s">
        <v>4692</v>
      </c>
      <c r="E2053" s="196" t="s">
        <v>9886</v>
      </c>
      <c r="F2053" s="150">
        <v>60147.99</v>
      </c>
      <c r="G2053" s="209">
        <v>0</v>
      </c>
      <c r="H2053" s="209">
        <v>762.5</v>
      </c>
      <c r="I2053" s="209">
        <v>762.5</v>
      </c>
      <c r="J2053" s="150">
        <v>0</v>
      </c>
      <c r="K2053" s="150">
        <v>27536.997499999998</v>
      </c>
      <c r="L2053" s="150">
        <f t="shared" si="1692"/>
        <v>27536.997499999998</v>
      </c>
      <c r="M2053" s="150">
        <v>0</v>
      </c>
      <c r="N2053" s="150">
        <v>33167.199999999997</v>
      </c>
      <c r="O2053" s="150">
        <v>33167.199999999997</v>
      </c>
      <c r="P2053" s="150">
        <v>0</v>
      </c>
      <c r="Q2053" s="150">
        <v>49932.71</v>
      </c>
      <c r="R2053" s="150">
        <f t="shared" ref="R2053:R2081" si="1738">P2053+Q2053</f>
        <v>49932.71</v>
      </c>
      <c r="S2053" s="150">
        <f t="shared" si="1732"/>
        <v>66576.94666666667</v>
      </c>
      <c r="T2053" s="150"/>
      <c r="U2053" s="150">
        <v>0</v>
      </c>
      <c r="V2053" s="199">
        <v>66680.7</v>
      </c>
      <c r="W2053" s="150">
        <f t="shared" ref="W2053:W2081" si="1739">U2053+V2053</f>
        <v>66680.7</v>
      </c>
      <c r="X2053" s="150">
        <v>0</v>
      </c>
      <c r="Y2053" s="150">
        <v>66680.7</v>
      </c>
      <c r="Z2053" s="150">
        <v>66680.7</v>
      </c>
      <c r="AA2053" s="150">
        <f t="shared" si="1727"/>
        <v>0</v>
      </c>
      <c r="AB2053" s="150">
        <v>0</v>
      </c>
      <c r="AC2053" s="199">
        <v>66680.7</v>
      </c>
      <c r="AD2053" s="150">
        <f t="shared" ref="AD2053:AD2081" si="1740">AB2053+AC2053</f>
        <v>66680.7</v>
      </c>
      <c r="AE2053" s="150">
        <v>66680.7</v>
      </c>
      <c r="AF2053" s="169" t="s">
        <v>4680</v>
      </c>
      <c r="AG2053" s="201">
        <v>0</v>
      </c>
      <c r="AH2053" s="200">
        <v>66680.7</v>
      </c>
      <c r="AI2053" s="150">
        <v>66680.7</v>
      </c>
      <c r="AJ2053" s="169">
        <f t="shared" si="1728"/>
        <v>0</v>
      </c>
      <c r="AK2053" s="201">
        <v>0</v>
      </c>
      <c r="AL2053" s="200">
        <v>66680.7</v>
      </c>
      <c r="AM2053" s="150">
        <f t="shared" ref="AM2053:AM2081" si="1741">AK2053+AL2053</f>
        <v>66680.7</v>
      </c>
      <c r="AN2053" s="153">
        <f t="shared" si="1729"/>
        <v>0</v>
      </c>
      <c r="AO2053" s="154">
        <f t="shared" si="1730"/>
        <v>0</v>
      </c>
      <c r="AP2053" s="150">
        <v>66680.7</v>
      </c>
      <c r="AQ2053" s="201">
        <v>66680.7</v>
      </c>
      <c r="AR2053" s="199"/>
      <c r="AS2053" s="150">
        <f t="shared" ref="AS2053:AS2081" si="1742">AQ2053+AR2053</f>
        <v>66680.7</v>
      </c>
      <c r="AT2053" s="155"/>
      <c r="AU2053" s="156">
        <f t="shared" si="1725"/>
        <v>0</v>
      </c>
      <c r="AV2053" s="156">
        <f t="shared" si="1726"/>
        <v>0</v>
      </c>
      <c r="AW2053" s="157"/>
      <c r="AX2053" s="150">
        <v>66680.7</v>
      </c>
      <c r="AY2053" s="150">
        <v>0</v>
      </c>
      <c r="AZ2053" s="150">
        <v>44465.72</v>
      </c>
      <c r="BA2053" s="150">
        <f t="shared" ref="BA2053:BA2081" si="1743">AZ2053+(AZ2053/8*4)</f>
        <v>66698.58</v>
      </c>
      <c r="BB2053" s="202">
        <v>5</v>
      </c>
      <c r="BC2053" s="202">
        <v>12</v>
      </c>
      <c r="BD2053" s="202" t="s">
        <v>632</v>
      </c>
      <c r="BE2053" s="202" t="s">
        <v>632</v>
      </c>
      <c r="BF2053" s="202" t="s">
        <v>632</v>
      </c>
      <c r="BG2053" s="203" t="s">
        <v>9887</v>
      </c>
      <c r="BH2053" s="216">
        <f>SUM(AS2053:AS2063)</f>
        <v>1385928.24</v>
      </c>
      <c r="BI2053" s="202"/>
      <c r="BJ2053" s="194" t="s">
        <v>9883</v>
      </c>
      <c r="BK2053" s="194" t="s">
        <v>9881</v>
      </c>
      <c r="BL2053" s="207" t="s">
        <v>9884</v>
      </c>
      <c r="BM2053" s="208">
        <f>BH2053</f>
        <v>1385928.24</v>
      </c>
      <c r="BN2053" s="160"/>
      <c r="BO2053" s="161"/>
      <c r="BP2053" s="161"/>
    </row>
    <row r="2054" spans="1:68" ht="25.5">
      <c r="A2054" s="210"/>
      <c r="B2054" s="195" t="s">
        <v>9888</v>
      </c>
      <c r="C2054" s="196" t="s">
        <v>9889</v>
      </c>
      <c r="D2054" s="146" t="s">
        <v>4692</v>
      </c>
      <c r="E2054" s="196" t="s">
        <v>9889</v>
      </c>
      <c r="F2054" s="150">
        <v>762.5</v>
      </c>
      <c r="G2054" s="209">
        <v>0</v>
      </c>
      <c r="H2054" s="209">
        <v>120553.65</v>
      </c>
      <c r="I2054" s="209">
        <v>120553.65</v>
      </c>
      <c r="J2054" s="150">
        <v>0</v>
      </c>
      <c r="K2054" s="150">
        <v>0</v>
      </c>
      <c r="L2054" s="150">
        <f t="shared" si="1692"/>
        <v>0</v>
      </c>
      <c r="M2054" s="150">
        <v>0</v>
      </c>
      <c r="N2054" s="150">
        <v>380.2</v>
      </c>
      <c r="O2054" s="150">
        <v>380.2</v>
      </c>
      <c r="P2054" s="150">
        <v>0</v>
      </c>
      <c r="Q2054" s="150">
        <v>572.4</v>
      </c>
      <c r="R2054" s="150">
        <f t="shared" si="1738"/>
        <v>572.4</v>
      </c>
      <c r="S2054" s="150">
        <f t="shared" si="1732"/>
        <v>763.19999999999993</v>
      </c>
      <c r="T2054" s="150"/>
      <c r="U2054" s="150">
        <v>0</v>
      </c>
      <c r="V2054" s="199">
        <v>762.5</v>
      </c>
      <c r="W2054" s="150">
        <f t="shared" si="1739"/>
        <v>762.5</v>
      </c>
      <c r="X2054" s="150">
        <v>0</v>
      </c>
      <c r="Y2054" s="150">
        <v>762.5</v>
      </c>
      <c r="Z2054" s="150">
        <v>762.5</v>
      </c>
      <c r="AA2054" s="150">
        <f t="shared" si="1727"/>
        <v>0</v>
      </c>
      <c r="AB2054" s="150">
        <v>0</v>
      </c>
      <c r="AC2054" s="199">
        <v>762.5</v>
      </c>
      <c r="AD2054" s="150">
        <f t="shared" si="1740"/>
        <v>762.5</v>
      </c>
      <c r="AE2054" s="150">
        <v>762.5</v>
      </c>
      <c r="AF2054" s="169" t="s">
        <v>4680</v>
      </c>
      <c r="AG2054" s="201">
        <v>0</v>
      </c>
      <c r="AH2054" s="200">
        <v>762.5</v>
      </c>
      <c r="AI2054" s="150">
        <v>762.5</v>
      </c>
      <c r="AJ2054" s="169">
        <f t="shared" si="1728"/>
        <v>0</v>
      </c>
      <c r="AK2054" s="201">
        <v>0</v>
      </c>
      <c r="AL2054" s="200">
        <v>762.5</v>
      </c>
      <c r="AM2054" s="150">
        <f t="shared" si="1741"/>
        <v>762.5</v>
      </c>
      <c r="AN2054" s="153">
        <f t="shared" si="1729"/>
        <v>0</v>
      </c>
      <c r="AO2054" s="154">
        <f t="shared" si="1730"/>
        <v>0</v>
      </c>
      <c r="AP2054" s="150">
        <v>762.5</v>
      </c>
      <c r="AQ2054" s="201">
        <v>762.5</v>
      </c>
      <c r="AR2054" s="199"/>
      <c r="AS2054" s="150">
        <f t="shared" si="1742"/>
        <v>762.5</v>
      </c>
      <c r="AT2054" s="155"/>
      <c r="AU2054" s="156">
        <f t="shared" si="1725"/>
        <v>0</v>
      </c>
      <c r="AV2054" s="156">
        <f t="shared" si="1726"/>
        <v>0</v>
      </c>
      <c r="AW2054" s="157"/>
      <c r="AX2054" s="150">
        <v>762.5</v>
      </c>
      <c r="AY2054" s="150">
        <v>0</v>
      </c>
      <c r="AZ2054" s="150">
        <v>509.72</v>
      </c>
      <c r="BA2054" s="150">
        <f t="shared" si="1743"/>
        <v>764.58</v>
      </c>
      <c r="BB2054" s="210"/>
      <c r="BC2054" s="210"/>
      <c r="BD2054" s="210"/>
      <c r="BE2054" s="210"/>
      <c r="BF2054" s="210"/>
      <c r="BG2054" s="210"/>
      <c r="BH2054" s="217"/>
      <c r="BI2054" s="210"/>
      <c r="BJ2054" s="210"/>
      <c r="BK2054" s="210"/>
      <c r="BL2054" s="210"/>
      <c r="BM2054" s="208"/>
      <c r="BN2054" s="160"/>
      <c r="BO2054" s="161"/>
      <c r="BP2054" s="161"/>
    </row>
    <row r="2055" spans="1:68" ht="25.5">
      <c r="A2055" s="210"/>
      <c r="B2055" s="195" t="s">
        <v>9890</v>
      </c>
      <c r="C2055" s="196" t="s">
        <v>9891</v>
      </c>
      <c r="D2055" s="146" t="s">
        <v>4692</v>
      </c>
      <c r="E2055" s="196" t="s">
        <v>9891</v>
      </c>
      <c r="F2055" s="150">
        <v>120553.65</v>
      </c>
      <c r="G2055" s="209">
        <v>0</v>
      </c>
      <c r="H2055" s="209">
        <v>210945.38</v>
      </c>
      <c r="I2055" s="209">
        <v>210945.38</v>
      </c>
      <c r="J2055" s="150">
        <v>0</v>
      </c>
      <c r="K2055" s="150">
        <v>36388.412499999999</v>
      </c>
      <c r="L2055" s="150">
        <f t="shared" si="1692"/>
        <v>36388.412499999999</v>
      </c>
      <c r="M2055" s="150">
        <v>0</v>
      </c>
      <c r="N2055" s="150">
        <v>67529.679999999993</v>
      </c>
      <c r="O2055" s="150">
        <v>67529.679999999993</v>
      </c>
      <c r="P2055" s="150">
        <v>0</v>
      </c>
      <c r="Q2055" s="150">
        <v>101664.95</v>
      </c>
      <c r="R2055" s="150">
        <f t="shared" si="1738"/>
        <v>101664.95</v>
      </c>
      <c r="S2055" s="150">
        <f t="shared" si="1732"/>
        <v>135553.26666666666</v>
      </c>
      <c r="T2055" s="150"/>
      <c r="U2055" s="150">
        <v>0</v>
      </c>
      <c r="V2055" s="199">
        <v>135430.46</v>
      </c>
      <c r="W2055" s="150">
        <f t="shared" si="1739"/>
        <v>135430.46</v>
      </c>
      <c r="X2055" s="150">
        <v>0</v>
      </c>
      <c r="Y2055" s="150">
        <v>135430.46</v>
      </c>
      <c r="Z2055" s="150">
        <v>135430.46</v>
      </c>
      <c r="AA2055" s="150">
        <f t="shared" si="1727"/>
        <v>0</v>
      </c>
      <c r="AB2055" s="150">
        <v>0</v>
      </c>
      <c r="AC2055" s="199">
        <v>135430.46</v>
      </c>
      <c r="AD2055" s="150">
        <f t="shared" si="1740"/>
        <v>135430.46</v>
      </c>
      <c r="AE2055" s="150">
        <v>143341.51</v>
      </c>
      <c r="AF2055" s="169" t="s">
        <v>4680</v>
      </c>
      <c r="AG2055" s="201">
        <v>0</v>
      </c>
      <c r="AH2055" s="200">
        <v>143341.51</v>
      </c>
      <c r="AI2055" s="150">
        <v>143341.51</v>
      </c>
      <c r="AJ2055" s="169">
        <f t="shared" si="1728"/>
        <v>0</v>
      </c>
      <c r="AK2055" s="201">
        <v>0</v>
      </c>
      <c r="AL2055" s="200">
        <v>143341.51</v>
      </c>
      <c r="AM2055" s="150">
        <f t="shared" si="1741"/>
        <v>143341.51</v>
      </c>
      <c r="AN2055" s="153">
        <f t="shared" si="1729"/>
        <v>0</v>
      </c>
      <c r="AO2055" s="154">
        <f t="shared" si="1730"/>
        <v>0</v>
      </c>
      <c r="AP2055" s="150">
        <v>143341.51</v>
      </c>
      <c r="AQ2055" s="201">
        <v>143341.51</v>
      </c>
      <c r="AR2055" s="199"/>
      <c r="AS2055" s="150">
        <f t="shared" si="1742"/>
        <v>143341.51</v>
      </c>
      <c r="AT2055" s="155"/>
      <c r="AU2055" s="156">
        <f t="shared" si="1725"/>
        <v>7911.0500000000175</v>
      </c>
      <c r="AV2055" s="156">
        <f t="shared" si="1726"/>
        <v>0</v>
      </c>
      <c r="AW2055" s="157"/>
      <c r="AX2055" s="150">
        <v>135430.46</v>
      </c>
      <c r="AY2055" s="150">
        <v>0</v>
      </c>
      <c r="AZ2055" s="150">
        <v>90533.9</v>
      </c>
      <c r="BA2055" s="150">
        <f t="shared" si="1743"/>
        <v>135800.84999999998</v>
      </c>
      <c r="BB2055" s="210"/>
      <c r="BC2055" s="210"/>
      <c r="BD2055" s="210"/>
      <c r="BE2055" s="210"/>
      <c r="BF2055" s="210"/>
      <c r="BG2055" s="210"/>
      <c r="BH2055" s="217"/>
      <c r="BI2055" s="210"/>
      <c r="BJ2055" s="210"/>
      <c r="BK2055" s="210"/>
      <c r="BL2055" s="210"/>
      <c r="BM2055" s="208"/>
      <c r="BN2055" s="160"/>
      <c r="BO2055" s="161"/>
      <c r="BP2055" s="161"/>
    </row>
    <row r="2056" spans="1:68" ht="25.5">
      <c r="A2056" s="210"/>
      <c r="B2056" s="195" t="s">
        <v>9892</v>
      </c>
      <c r="C2056" s="196" t="s">
        <v>9893</v>
      </c>
      <c r="D2056" s="146" t="s">
        <v>4692</v>
      </c>
      <c r="E2056" s="196" t="s">
        <v>9893</v>
      </c>
      <c r="F2056" s="150">
        <v>210947.26</v>
      </c>
      <c r="G2056" s="209">
        <v>0</v>
      </c>
      <c r="H2056" s="209">
        <v>3942.28</v>
      </c>
      <c r="I2056" s="209">
        <v>3942.28</v>
      </c>
      <c r="J2056" s="150">
        <v>0</v>
      </c>
      <c r="K2056" s="150">
        <v>61486.345000000001</v>
      </c>
      <c r="L2056" s="150">
        <f t="shared" si="1692"/>
        <v>61486.345000000001</v>
      </c>
      <c r="M2056" s="150">
        <v>0</v>
      </c>
      <c r="N2056" s="150">
        <v>103638.5</v>
      </c>
      <c r="O2056" s="150">
        <v>103638.5</v>
      </c>
      <c r="P2056" s="150">
        <v>0</v>
      </c>
      <c r="Q2056" s="150">
        <v>157449.46</v>
      </c>
      <c r="R2056" s="150">
        <f t="shared" si="1738"/>
        <v>157449.46</v>
      </c>
      <c r="S2056" s="150">
        <f t="shared" si="1732"/>
        <v>209932.61333333334</v>
      </c>
      <c r="T2056" s="150"/>
      <c r="U2056" s="150">
        <v>0</v>
      </c>
      <c r="V2056" s="199">
        <v>210708.23</v>
      </c>
      <c r="W2056" s="150">
        <f t="shared" si="1739"/>
        <v>210708.23</v>
      </c>
      <c r="X2056" s="150">
        <v>0</v>
      </c>
      <c r="Y2056" s="150">
        <v>210708.23</v>
      </c>
      <c r="Z2056" s="150">
        <v>210708.23</v>
      </c>
      <c r="AA2056" s="150">
        <f t="shared" si="1727"/>
        <v>5827.4899999996123</v>
      </c>
      <c r="AB2056" s="150">
        <v>0</v>
      </c>
      <c r="AC2056" s="199">
        <v>216535.71999999962</v>
      </c>
      <c r="AD2056" s="150">
        <f t="shared" si="1740"/>
        <v>216535.71999999962</v>
      </c>
      <c r="AE2056" s="150">
        <v>216535.71999999962</v>
      </c>
      <c r="AF2056" s="169" t="s">
        <v>4680</v>
      </c>
      <c r="AG2056" s="201">
        <v>0</v>
      </c>
      <c r="AH2056" s="200">
        <v>216535.71999999962</v>
      </c>
      <c r="AI2056" s="150">
        <v>216535.71999999962</v>
      </c>
      <c r="AJ2056" s="169">
        <f t="shared" si="1728"/>
        <v>0</v>
      </c>
      <c r="AK2056" s="201">
        <v>0</v>
      </c>
      <c r="AL2056" s="200">
        <v>216535.71999999962</v>
      </c>
      <c r="AM2056" s="150">
        <f t="shared" si="1741"/>
        <v>216535.71999999962</v>
      </c>
      <c r="AN2056" s="153">
        <f t="shared" si="1729"/>
        <v>3.7834979593753815E-10</v>
      </c>
      <c r="AO2056" s="154">
        <f t="shared" si="1730"/>
        <v>0</v>
      </c>
      <c r="AP2056" s="150">
        <v>216535.72</v>
      </c>
      <c r="AQ2056" s="201">
        <v>216535.72</v>
      </c>
      <c r="AR2056" s="199"/>
      <c r="AS2056" s="150">
        <f t="shared" si="1742"/>
        <v>216535.72</v>
      </c>
      <c r="AT2056" s="155"/>
      <c r="AU2056" s="156">
        <f t="shared" si="1725"/>
        <v>0</v>
      </c>
      <c r="AV2056" s="156">
        <f t="shared" si="1726"/>
        <v>5827.4899999996123</v>
      </c>
      <c r="AW2056" s="157"/>
      <c r="AX2056" s="150">
        <v>210708.23</v>
      </c>
      <c r="AY2056" s="150">
        <v>0</v>
      </c>
      <c r="AZ2056" s="150">
        <v>139897.01999999999</v>
      </c>
      <c r="BA2056" s="150">
        <f t="shared" si="1743"/>
        <v>209845.52999999997</v>
      </c>
      <c r="BB2056" s="210"/>
      <c r="BC2056" s="210"/>
      <c r="BD2056" s="210"/>
      <c r="BE2056" s="210"/>
      <c r="BF2056" s="210"/>
      <c r="BG2056" s="210"/>
      <c r="BH2056" s="217"/>
      <c r="BI2056" s="210"/>
      <c r="BJ2056" s="210"/>
      <c r="BK2056" s="210"/>
      <c r="BL2056" s="210"/>
      <c r="BM2056" s="208"/>
      <c r="BN2056" s="160"/>
      <c r="BO2056" s="161"/>
      <c r="BP2056" s="161"/>
    </row>
    <row r="2057" spans="1:68" ht="25.5">
      <c r="A2057" s="210"/>
      <c r="B2057" s="195" t="s">
        <v>9894</v>
      </c>
      <c r="C2057" s="196" t="s">
        <v>9895</v>
      </c>
      <c r="D2057" s="146" t="s">
        <v>4692</v>
      </c>
      <c r="E2057" s="196" t="s">
        <v>9895</v>
      </c>
      <c r="F2057" s="150">
        <v>3942.28</v>
      </c>
      <c r="G2057" s="209">
        <v>0</v>
      </c>
      <c r="H2057" s="209">
        <v>37697.06</v>
      </c>
      <c r="I2057" s="209">
        <v>37697.06</v>
      </c>
      <c r="J2057" s="150">
        <v>0</v>
      </c>
      <c r="K2057" s="150">
        <v>3942.28</v>
      </c>
      <c r="L2057" s="150">
        <f t="shared" si="1692"/>
        <v>3942.28</v>
      </c>
      <c r="M2057" s="150">
        <v>0</v>
      </c>
      <c r="N2057" s="150">
        <v>1575.28</v>
      </c>
      <c r="O2057" s="150">
        <v>1575.28</v>
      </c>
      <c r="P2057" s="150">
        <v>0</v>
      </c>
      <c r="Q2057" s="150">
        <v>2371.5700000000002</v>
      </c>
      <c r="R2057" s="150">
        <f t="shared" si="1738"/>
        <v>2371.5700000000002</v>
      </c>
      <c r="S2057" s="150">
        <f t="shared" si="1732"/>
        <v>3162.0933333333332</v>
      </c>
      <c r="T2057" s="150"/>
      <c r="U2057" s="150">
        <v>0</v>
      </c>
      <c r="V2057" s="199">
        <v>3159.23</v>
      </c>
      <c r="W2057" s="150">
        <f t="shared" si="1739"/>
        <v>3159.23</v>
      </c>
      <c r="X2057" s="150">
        <v>0</v>
      </c>
      <c r="Y2057" s="150">
        <v>3159.23</v>
      </c>
      <c r="Z2057" s="150">
        <v>3159.23</v>
      </c>
      <c r="AA2057" s="150">
        <f t="shared" si="1727"/>
        <v>0</v>
      </c>
      <c r="AB2057" s="150">
        <v>0</v>
      </c>
      <c r="AC2057" s="199">
        <v>3159.23</v>
      </c>
      <c r="AD2057" s="150">
        <f t="shared" si="1740"/>
        <v>3159.23</v>
      </c>
      <c r="AE2057" s="150">
        <v>3159.23</v>
      </c>
      <c r="AF2057" s="169" t="s">
        <v>4680</v>
      </c>
      <c r="AG2057" s="201">
        <v>0</v>
      </c>
      <c r="AH2057" s="200">
        <v>3159.23</v>
      </c>
      <c r="AI2057" s="150">
        <v>3159.23</v>
      </c>
      <c r="AJ2057" s="169">
        <f t="shared" si="1728"/>
        <v>0</v>
      </c>
      <c r="AK2057" s="201">
        <v>0</v>
      </c>
      <c r="AL2057" s="200">
        <v>3159.23</v>
      </c>
      <c r="AM2057" s="150">
        <f t="shared" si="1741"/>
        <v>3159.23</v>
      </c>
      <c r="AN2057" s="153">
        <f t="shared" si="1729"/>
        <v>0</v>
      </c>
      <c r="AO2057" s="154">
        <f t="shared" si="1730"/>
        <v>0</v>
      </c>
      <c r="AP2057" s="150">
        <v>3159.23</v>
      </c>
      <c r="AQ2057" s="201">
        <v>3159.23</v>
      </c>
      <c r="AR2057" s="199"/>
      <c r="AS2057" s="150">
        <f t="shared" si="1742"/>
        <v>3159.23</v>
      </c>
      <c r="AT2057" s="155"/>
      <c r="AU2057" s="156">
        <f t="shared" si="1725"/>
        <v>0</v>
      </c>
      <c r="AV2057" s="156">
        <f t="shared" si="1726"/>
        <v>0</v>
      </c>
      <c r="AW2057" s="157"/>
      <c r="AX2057" s="150">
        <v>3159.23</v>
      </c>
      <c r="AY2057" s="150">
        <v>0</v>
      </c>
      <c r="AZ2057" s="150">
        <v>211.91</v>
      </c>
      <c r="BA2057" s="150">
        <f t="shared" si="1743"/>
        <v>317.86500000000001</v>
      </c>
      <c r="BB2057" s="210"/>
      <c r="BC2057" s="210"/>
      <c r="BD2057" s="210"/>
      <c r="BE2057" s="210"/>
      <c r="BF2057" s="210"/>
      <c r="BG2057" s="210"/>
      <c r="BH2057" s="217"/>
      <c r="BI2057" s="210"/>
      <c r="BJ2057" s="210"/>
      <c r="BK2057" s="210"/>
      <c r="BL2057" s="210"/>
      <c r="BM2057" s="208"/>
      <c r="BN2057" s="160"/>
      <c r="BO2057" s="161"/>
      <c r="BP2057" s="161"/>
    </row>
    <row r="2058" spans="1:68" ht="25.5">
      <c r="A2058" s="210"/>
      <c r="B2058" s="195" t="s">
        <v>9896</v>
      </c>
      <c r="C2058" s="196" t="s">
        <v>9897</v>
      </c>
      <c r="D2058" s="146" t="s">
        <v>4692</v>
      </c>
      <c r="E2058" s="196" t="s">
        <v>9897</v>
      </c>
      <c r="F2058" s="150">
        <v>37697.06</v>
      </c>
      <c r="G2058" s="209">
        <v>0</v>
      </c>
      <c r="H2058" s="209">
        <v>23386.55</v>
      </c>
      <c r="I2058" s="209">
        <v>23386.55</v>
      </c>
      <c r="J2058" s="150">
        <v>0</v>
      </c>
      <c r="K2058" s="150">
        <v>37697.06</v>
      </c>
      <c r="L2058" s="150">
        <f t="shared" si="1692"/>
        <v>37697.06</v>
      </c>
      <c r="M2058" s="150">
        <v>0</v>
      </c>
      <c r="N2058" s="150">
        <v>31046.55</v>
      </c>
      <c r="O2058" s="150">
        <v>31046.55</v>
      </c>
      <c r="P2058" s="150">
        <v>0</v>
      </c>
      <c r="Q2058" s="150">
        <v>46740.14</v>
      </c>
      <c r="R2058" s="150">
        <f t="shared" si="1738"/>
        <v>46740.14</v>
      </c>
      <c r="S2058" s="150">
        <f t="shared" si="1732"/>
        <v>62320.186666666661</v>
      </c>
      <c r="T2058" s="150"/>
      <c r="U2058" s="150">
        <v>0</v>
      </c>
      <c r="V2058" s="199">
        <v>62263.72</v>
      </c>
      <c r="W2058" s="150">
        <f t="shared" si="1739"/>
        <v>62263.72</v>
      </c>
      <c r="X2058" s="150">
        <v>0</v>
      </c>
      <c r="Y2058" s="150">
        <v>62263.72</v>
      </c>
      <c r="Z2058" s="150">
        <v>62263.72</v>
      </c>
      <c r="AA2058" s="150">
        <f t="shared" si="1727"/>
        <v>0</v>
      </c>
      <c r="AB2058" s="150">
        <v>0</v>
      </c>
      <c r="AC2058" s="199">
        <v>62263.72</v>
      </c>
      <c r="AD2058" s="150">
        <f t="shared" si="1740"/>
        <v>62263.72</v>
      </c>
      <c r="AE2058" s="150">
        <v>62263.72</v>
      </c>
      <c r="AF2058" s="169" t="s">
        <v>4680</v>
      </c>
      <c r="AG2058" s="201">
        <v>0</v>
      </c>
      <c r="AH2058" s="200">
        <v>62263.72</v>
      </c>
      <c r="AI2058" s="150">
        <v>62263.72</v>
      </c>
      <c r="AJ2058" s="169">
        <f t="shared" si="1728"/>
        <v>0</v>
      </c>
      <c r="AK2058" s="201">
        <v>0</v>
      </c>
      <c r="AL2058" s="200">
        <v>62263.72</v>
      </c>
      <c r="AM2058" s="150">
        <f t="shared" si="1741"/>
        <v>62263.72</v>
      </c>
      <c r="AN2058" s="153">
        <f t="shared" si="1729"/>
        <v>0</v>
      </c>
      <c r="AO2058" s="154">
        <f t="shared" si="1730"/>
        <v>0</v>
      </c>
      <c r="AP2058" s="150">
        <v>62263.72</v>
      </c>
      <c r="AQ2058" s="201">
        <v>62263.72</v>
      </c>
      <c r="AR2058" s="199"/>
      <c r="AS2058" s="150">
        <f t="shared" si="1742"/>
        <v>62263.72</v>
      </c>
      <c r="AT2058" s="155"/>
      <c r="AU2058" s="156">
        <f t="shared" si="1725"/>
        <v>0</v>
      </c>
      <c r="AV2058" s="156">
        <f t="shared" si="1726"/>
        <v>0</v>
      </c>
      <c r="AW2058" s="157"/>
      <c r="AX2058" s="150">
        <v>62263.72</v>
      </c>
      <c r="AY2058" s="150">
        <v>0</v>
      </c>
      <c r="AZ2058" s="150">
        <v>41622.660000000003</v>
      </c>
      <c r="BA2058" s="150">
        <f t="shared" si="1743"/>
        <v>62433.990000000005</v>
      </c>
      <c r="BB2058" s="210"/>
      <c r="BC2058" s="210"/>
      <c r="BD2058" s="210"/>
      <c r="BE2058" s="210"/>
      <c r="BF2058" s="210"/>
      <c r="BG2058" s="210"/>
      <c r="BH2058" s="217"/>
      <c r="BI2058" s="210"/>
      <c r="BJ2058" s="210"/>
      <c r="BK2058" s="210"/>
      <c r="BL2058" s="210"/>
      <c r="BM2058" s="208"/>
      <c r="BN2058" s="160"/>
      <c r="BO2058" s="161"/>
      <c r="BP2058" s="161"/>
    </row>
    <row r="2059" spans="1:68">
      <c r="A2059" s="210"/>
      <c r="B2059" s="195" t="s">
        <v>9898</v>
      </c>
      <c r="C2059" s="196" t="s">
        <v>9899</v>
      </c>
      <c r="D2059" s="146" t="s">
        <v>4692</v>
      </c>
      <c r="E2059" s="196" t="s">
        <v>9899</v>
      </c>
      <c r="F2059" s="150">
        <v>23386.55</v>
      </c>
      <c r="G2059" s="209">
        <v>0</v>
      </c>
      <c r="H2059" s="209"/>
      <c r="I2059" s="209">
        <v>0</v>
      </c>
      <c r="J2059" s="150">
        <v>0</v>
      </c>
      <c r="K2059" s="150">
        <v>23386.55</v>
      </c>
      <c r="L2059" s="150">
        <f t="shared" ref="L2059:L2122" si="1744">J2059+K2059</f>
        <v>23386.55</v>
      </c>
      <c r="M2059" s="150">
        <v>0</v>
      </c>
      <c r="N2059" s="150">
        <v>21553.86</v>
      </c>
      <c r="O2059" s="150">
        <v>21553.86</v>
      </c>
      <c r="P2059" s="150">
        <v>0</v>
      </c>
      <c r="Q2059" s="150">
        <v>32448.98</v>
      </c>
      <c r="R2059" s="150">
        <f t="shared" si="1738"/>
        <v>32448.98</v>
      </c>
      <c r="S2059" s="150">
        <f t="shared" si="1732"/>
        <v>43265.306666666664</v>
      </c>
      <c r="T2059" s="150"/>
      <c r="U2059" s="150">
        <v>0</v>
      </c>
      <c r="V2059" s="199">
        <v>43226.11</v>
      </c>
      <c r="W2059" s="150">
        <f t="shared" si="1739"/>
        <v>43226.11</v>
      </c>
      <c r="X2059" s="150">
        <v>0</v>
      </c>
      <c r="Y2059" s="150">
        <v>43226.11</v>
      </c>
      <c r="Z2059" s="150">
        <v>43226.11</v>
      </c>
      <c r="AA2059" s="150">
        <f t="shared" si="1727"/>
        <v>205.63999999999942</v>
      </c>
      <c r="AB2059" s="150">
        <v>0</v>
      </c>
      <c r="AC2059" s="199">
        <v>43431.75</v>
      </c>
      <c r="AD2059" s="150">
        <f t="shared" si="1740"/>
        <v>43431.75</v>
      </c>
      <c r="AE2059" s="150">
        <v>43431.75</v>
      </c>
      <c r="AF2059" s="169" t="s">
        <v>4680</v>
      </c>
      <c r="AG2059" s="201">
        <v>0</v>
      </c>
      <c r="AH2059" s="200">
        <v>43431.75</v>
      </c>
      <c r="AI2059" s="150">
        <v>43431.75</v>
      </c>
      <c r="AJ2059" s="169">
        <f t="shared" si="1728"/>
        <v>0</v>
      </c>
      <c r="AK2059" s="201">
        <v>0</v>
      </c>
      <c r="AL2059" s="200">
        <v>43431.75</v>
      </c>
      <c r="AM2059" s="150">
        <f t="shared" si="1741"/>
        <v>43431.75</v>
      </c>
      <c r="AN2059" s="153">
        <f t="shared" si="1729"/>
        <v>0</v>
      </c>
      <c r="AO2059" s="154">
        <f t="shared" si="1730"/>
        <v>0</v>
      </c>
      <c r="AP2059" s="150">
        <v>43431.75</v>
      </c>
      <c r="AQ2059" s="201">
        <v>43431.75</v>
      </c>
      <c r="AR2059" s="199"/>
      <c r="AS2059" s="150">
        <f t="shared" si="1742"/>
        <v>43431.75</v>
      </c>
      <c r="AT2059" s="155"/>
      <c r="AU2059" s="156">
        <f t="shared" si="1725"/>
        <v>0</v>
      </c>
      <c r="AV2059" s="156">
        <f t="shared" si="1726"/>
        <v>205.63999999999942</v>
      </c>
      <c r="AW2059" s="157"/>
      <c r="AX2059" s="150">
        <v>43226.11</v>
      </c>
      <c r="AY2059" s="150">
        <v>0</v>
      </c>
      <c r="AZ2059" s="150">
        <v>28896.23</v>
      </c>
      <c r="BA2059" s="150">
        <f t="shared" si="1743"/>
        <v>43344.345000000001</v>
      </c>
      <c r="BB2059" s="210"/>
      <c r="BC2059" s="210"/>
      <c r="BD2059" s="210"/>
      <c r="BE2059" s="210"/>
      <c r="BF2059" s="210"/>
      <c r="BG2059" s="210"/>
      <c r="BH2059" s="217"/>
      <c r="BI2059" s="210"/>
      <c r="BJ2059" s="210"/>
      <c r="BK2059" s="210"/>
      <c r="BL2059" s="210"/>
      <c r="BM2059" s="208"/>
      <c r="BN2059" s="160"/>
      <c r="BO2059" s="161"/>
      <c r="BP2059" s="161"/>
    </row>
    <row r="2060" spans="1:68" ht="25.5">
      <c r="A2060" s="210"/>
      <c r="B2060" s="195" t="s">
        <v>9900</v>
      </c>
      <c r="C2060" s="196" t="s">
        <v>9901</v>
      </c>
      <c r="D2060" s="146" t="s">
        <v>4692</v>
      </c>
      <c r="E2060" s="196" t="s">
        <v>9901</v>
      </c>
      <c r="F2060" s="150">
        <v>0</v>
      </c>
      <c r="G2060" s="209">
        <v>0</v>
      </c>
      <c r="H2060" s="209">
        <v>12204.52</v>
      </c>
      <c r="I2060" s="209">
        <v>12204.52</v>
      </c>
      <c r="J2060" s="150">
        <v>0</v>
      </c>
      <c r="K2060" s="150">
        <v>0</v>
      </c>
      <c r="L2060" s="150">
        <f t="shared" si="1744"/>
        <v>0</v>
      </c>
      <c r="M2060" s="150">
        <v>0</v>
      </c>
      <c r="N2060" s="150"/>
      <c r="O2060" s="150">
        <v>0</v>
      </c>
      <c r="P2060" s="150">
        <v>0</v>
      </c>
      <c r="Q2060" s="150">
        <v>0</v>
      </c>
      <c r="R2060" s="150">
        <f t="shared" si="1738"/>
        <v>0</v>
      </c>
      <c r="S2060" s="150">
        <f t="shared" si="1732"/>
        <v>0</v>
      </c>
      <c r="T2060" s="150"/>
      <c r="U2060" s="150">
        <v>0</v>
      </c>
      <c r="V2060" s="199"/>
      <c r="W2060" s="150">
        <f t="shared" si="1739"/>
        <v>0</v>
      </c>
      <c r="X2060" s="150">
        <v>0</v>
      </c>
      <c r="Y2060" s="150"/>
      <c r="Z2060" s="150">
        <v>0</v>
      </c>
      <c r="AA2060" s="150">
        <f t="shared" si="1727"/>
        <v>0</v>
      </c>
      <c r="AB2060" s="150">
        <v>0</v>
      </c>
      <c r="AC2060" s="199"/>
      <c r="AD2060" s="150">
        <f t="shared" si="1740"/>
        <v>0</v>
      </c>
      <c r="AE2060" s="150">
        <v>0</v>
      </c>
      <c r="AF2060" s="169" t="s">
        <v>4680</v>
      </c>
      <c r="AG2060" s="201">
        <v>0</v>
      </c>
      <c r="AH2060" s="199"/>
      <c r="AI2060" s="150">
        <v>0</v>
      </c>
      <c r="AJ2060" s="169">
        <f t="shared" si="1728"/>
        <v>0</v>
      </c>
      <c r="AK2060" s="201">
        <v>0</v>
      </c>
      <c r="AL2060" s="199"/>
      <c r="AM2060" s="150">
        <f t="shared" si="1741"/>
        <v>0</v>
      </c>
      <c r="AN2060" s="153">
        <f t="shared" si="1729"/>
        <v>0</v>
      </c>
      <c r="AO2060" s="154">
        <f t="shared" si="1730"/>
        <v>0</v>
      </c>
      <c r="AP2060" s="150">
        <v>0</v>
      </c>
      <c r="AQ2060" s="201">
        <v>0</v>
      </c>
      <c r="AR2060" s="199"/>
      <c r="AS2060" s="150">
        <f t="shared" si="1742"/>
        <v>0</v>
      </c>
      <c r="AT2060" s="155"/>
      <c r="AU2060" s="156">
        <f t="shared" si="1725"/>
        <v>0</v>
      </c>
      <c r="AV2060" s="156">
        <f t="shared" si="1726"/>
        <v>0</v>
      </c>
      <c r="AW2060" s="157"/>
      <c r="AX2060" s="150">
        <v>0</v>
      </c>
      <c r="AY2060" s="150">
        <v>0</v>
      </c>
      <c r="AZ2060" s="150"/>
      <c r="BA2060" s="150">
        <f t="shared" si="1743"/>
        <v>0</v>
      </c>
      <c r="BB2060" s="210"/>
      <c r="BC2060" s="210"/>
      <c r="BD2060" s="210"/>
      <c r="BE2060" s="210"/>
      <c r="BF2060" s="210"/>
      <c r="BG2060" s="210"/>
      <c r="BH2060" s="217"/>
      <c r="BI2060" s="210"/>
      <c r="BJ2060" s="210"/>
      <c r="BK2060" s="210"/>
      <c r="BL2060" s="210"/>
      <c r="BM2060" s="208"/>
      <c r="BN2060" s="160"/>
      <c r="BO2060" s="161"/>
      <c r="BP2060" s="161"/>
    </row>
    <row r="2061" spans="1:68" ht="25.5">
      <c r="A2061" s="210"/>
      <c r="B2061" s="195" t="s">
        <v>9902</v>
      </c>
      <c r="C2061" s="196" t="s">
        <v>9903</v>
      </c>
      <c r="D2061" s="146" t="s">
        <v>4692</v>
      </c>
      <c r="E2061" s="196" t="s">
        <v>9903</v>
      </c>
      <c r="F2061" s="150">
        <v>12204.52</v>
      </c>
      <c r="G2061" s="209">
        <v>0</v>
      </c>
      <c r="H2061" s="209">
        <v>43815.62</v>
      </c>
      <c r="I2061" s="209">
        <v>43815.62</v>
      </c>
      <c r="J2061" s="150">
        <v>0</v>
      </c>
      <c r="K2061" s="150">
        <v>12204.52</v>
      </c>
      <c r="L2061" s="150">
        <f t="shared" si="1744"/>
        <v>12204.52</v>
      </c>
      <c r="M2061" s="150">
        <v>0</v>
      </c>
      <c r="N2061" s="150">
        <v>6085.52</v>
      </c>
      <c r="O2061" s="150">
        <v>6085.52</v>
      </c>
      <c r="P2061" s="150">
        <v>0</v>
      </c>
      <c r="Q2061" s="150">
        <v>9161.7099999999991</v>
      </c>
      <c r="R2061" s="150">
        <f t="shared" si="1738"/>
        <v>9161.7099999999991</v>
      </c>
      <c r="S2061" s="150">
        <f t="shared" si="1732"/>
        <v>12215.613333333331</v>
      </c>
      <c r="T2061" s="150"/>
      <c r="U2061" s="150">
        <v>0</v>
      </c>
      <c r="V2061" s="199">
        <v>12204.52</v>
      </c>
      <c r="W2061" s="150">
        <f t="shared" si="1739"/>
        <v>12204.52</v>
      </c>
      <c r="X2061" s="150">
        <v>0</v>
      </c>
      <c r="Y2061" s="150">
        <v>12204.52</v>
      </c>
      <c r="Z2061" s="150">
        <v>12204.52</v>
      </c>
      <c r="AA2061" s="150">
        <f t="shared" si="1727"/>
        <v>0</v>
      </c>
      <c r="AB2061" s="150">
        <v>0</v>
      </c>
      <c r="AC2061" s="199">
        <v>12204.52</v>
      </c>
      <c r="AD2061" s="150">
        <f t="shared" si="1740"/>
        <v>12204.52</v>
      </c>
      <c r="AE2061" s="150">
        <v>12204.52</v>
      </c>
      <c r="AF2061" s="169" t="s">
        <v>4680</v>
      </c>
      <c r="AG2061" s="201">
        <v>0</v>
      </c>
      <c r="AH2061" s="200">
        <v>12204.52</v>
      </c>
      <c r="AI2061" s="150">
        <v>12204.52</v>
      </c>
      <c r="AJ2061" s="169">
        <f t="shared" si="1728"/>
        <v>0</v>
      </c>
      <c r="AK2061" s="201">
        <v>0</v>
      </c>
      <c r="AL2061" s="200">
        <v>12204.52</v>
      </c>
      <c r="AM2061" s="150">
        <f t="shared" si="1741"/>
        <v>12204.52</v>
      </c>
      <c r="AN2061" s="153">
        <f t="shared" si="1729"/>
        <v>0</v>
      </c>
      <c r="AO2061" s="154">
        <f t="shared" si="1730"/>
        <v>0</v>
      </c>
      <c r="AP2061" s="150">
        <v>12204.52</v>
      </c>
      <c r="AQ2061" s="201">
        <v>12204.52</v>
      </c>
      <c r="AR2061" s="199"/>
      <c r="AS2061" s="150">
        <f t="shared" si="1742"/>
        <v>12204.52</v>
      </c>
      <c r="AT2061" s="155"/>
      <c r="AU2061" s="156">
        <f t="shared" si="1725"/>
        <v>0</v>
      </c>
      <c r="AV2061" s="156">
        <f t="shared" si="1726"/>
        <v>0</v>
      </c>
      <c r="AW2061" s="157"/>
      <c r="AX2061" s="150">
        <v>12204.52</v>
      </c>
      <c r="AY2061" s="150">
        <v>0</v>
      </c>
      <c r="AZ2061" s="150">
        <v>8158.57</v>
      </c>
      <c r="BA2061" s="150">
        <f t="shared" si="1743"/>
        <v>12237.855</v>
      </c>
      <c r="BB2061" s="210"/>
      <c r="BC2061" s="210"/>
      <c r="BD2061" s="210"/>
      <c r="BE2061" s="210"/>
      <c r="BF2061" s="210"/>
      <c r="BG2061" s="210"/>
      <c r="BH2061" s="217"/>
      <c r="BI2061" s="210"/>
      <c r="BJ2061" s="210"/>
      <c r="BK2061" s="210"/>
      <c r="BL2061" s="210"/>
      <c r="BM2061" s="208"/>
      <c r="BN2061" s="160"/>
      <c r="BO2061" s="161"/>
      <c r="BP2061" s="161"/>
    </row>
    <row r="2062" spans="1:68" ht="25.5">
      <c r="A2062" s="210"/>
      <c r="B2062" s="195" t="s">
        <v>9904</v>
      </c>
      <c r="C2062" s="196" t="s">
        <v>9905</v>
      </c>
      <c r="D2062" s="146" t="s">
        <v>4692</v>
      </c>
      <c r="E2062" s="196" t="s">
        <v>9905</v>
      </c>
      <c r="F2062" s="150">
        <v>43815.62</v>
      </c>
      <c r="G2062" s="209">
        <v>0</v>
      </c>
      <c r="H2062" s="209">
        <v>657381.64</v>
      </c>
      <c r="I2062" s="209">
        <v>657381.64</v>
      </c>
      <c r="J2062" s="150">
        <v>0</v>
      </c>
      <c r="K2062" s="150">
        <v>43815.62</v>
      </c>
      <c r="L2062" s="150">
        <f t="shared" si="1744"/>
        <v>43815.62</v>
      </c>
      <c r="M2062" s="150">
        <v>0</v>
      </c>
      <c r="N2062" s="150">
        <v>21847.78</v>
      </c>
      <c r="O2062" s="150">
        <v>21847.78</v>
      </c>
      <c r="P2062" s="150">
        <v>0</v>
      </c>
      <c r="Q2062" s="150">
        <v>32891.51</v>
      </c>
      <c r="R2062" s="150">
        <f t="shared" si="1738"/>
        <v>32891.51</v>
      </c>
      <c r="S2062" s="150">
        <f t="shared" si="1732"/>
        <v>43855.346666666672</v>
      </c>
      <c r="T2062" s="150"/>
      <c r="U2062" s="150">
        <v>0</v>
      </c>
      <c r="V2062" s="199">
        <v>43815.62</v>
      </c>
      <c r="W2062" s="150">
        <f t="shared" si="1739"/>
        <v>43815.62</v>
      </c>
      <c r="X2062" s="150">
        <v>0</v>
      </c>
      <c r="Y2062" s="150">
        <v>43815.62</v>
      </c>
      <c r="Z2062" s="150">
        <v>43815.62</v>
      </c>
      <c r="AA2062" s="150">
        <f t="shared" si="1727"/>
        <v>0</v>
      </c>
      <c r="AB2062" s="150">
        <v>0</v>
      </c>
      <c r="AC2062" s="199">
        <v>43815.62</v>
      </c>
      <c r="AD2062" s="150">
        <f t="shared" si="1740"/>
        <v>43815.62</v>
      </c>
      <c r="AE2062" s="150">
        <v>43815.62</v>
      </c>
      <c r="AF2062" s="169" t="s">
        <v>4680</v>
      </c>
      <c r="AG2062" s="201">
        <v>0</v>
      </c>
      <c r="AH2062" s="200">
        <v>43815.62</v>
      </c>
      <c r="AI2062" s="150">
        <v>43815.62</v>
      </c>
      <c r="AJ2062" s="169">
        <f t="shared" si="1728"/>
        <v>0</v>
      </c>
      <c r="AK2062" s="201">
        <v>0</v>
      </c>
      <c r="AL2062" s="200">
        <v>43815.62</v>
      </c>
      <c r="AM2062" s="150">
        <f t="shared" si="1741"/>
        <v>43815.62</v>
      </c>
      <c r="AN2062" s="153">
        <f t="shared" si="1729"/>
        <v>0</v>
      </c>
      <c r="AO2062" s="154">
        <f t="shared" si="1730"/>
        <v>0</v>
      </c>
      <c r="AP2062" s="150">
        <v>43815.62</v>
      </c>
      <c r="AQ2062" s="201">
        <v>43815.62</v>
      </c>
      <c r="AR2062" s="199"/>
      <c r="AS2062" s="150">
        <f t="shared" si="1742"/>
        <v>43815.62</v>
      </c>
      <c r="AT2062" s="155"/>
      <c r="AU2062" s="156">
        <f t="shared" si="1725"/>
        <v>0</v>
      </c>
      <c r="AV2062" s="156">
        <f t="shared" si="1726"/>
        <v>0</v>
      </c>
      <c r="AW2062" s="157"/>
      <c r="AX2062" s="150">
        <v>43815.62</v>
      </c>
      <c r="AY2062" s="150">
        <v>0</v>
      </c>
      <c r="AZ2062" s="150">
        <v>29290.3</v>
      </c>
      <c r="BA2062" s="150">
        <f t="shared" si="1743"/>
        <v>43935.45</v>
      </c>
      <c r="BB2062" s="210"/>
      <c r="BC2062" s="210"/>
      <c r="BD2062" s="210"/>
      <c r="BE2062" s="210"/>
      <c r="BF2062" s="210"/>
      <c r="BG2062" s="210"/>
      <c r="BH2062" s="217"/>
      <c r="BI2062" s="210"/>
      <c r="BJ2062" s="210"/>
      <c r="BK2062" s="210"/>
      <c r="BL2062" s="210"/>
      <c r="BM2062" s="208"/>
      <c r="BN2062" s="160"/>
      <c r="BO2062" s="161"/>
      <c r="BP2062" s="161"/>
    </row>
    <row r="2063" spans="1:68" ht="25.5">
      <c r="A2063" s="210"/>
      <c r="B2063" s="195" t="s">
        <v>9906</v>
      </c>
      <c r="C2063" s="196" t="s">
        <v>9907</v>
      </c>
      <c r="D2063" s="146" t="s">
        <v>4692</v>
      </c>
      <c r="E2063" s="196" t="s">
        <v>9907</v>
      </c>
      <c r="F2063" s="150">
        <v>660677.35</v>
      </c>
      <c r="G2063" s="209">
        <v>0</v>
      </c>
      <c r="H2063" s="209">
        <v>875588.57</v>
      </c>
      <c r="I2063" s="209">
        <v>875588.57</v>
      </c>
      <c r="J2063" s="150">
        <v>0</v>
      </c>
      <c r="K2063" s="150">
        <v>171845.41</v>
      </c>
      <c r="L2063" s="150">
        <f t="shared" si="1744"/>
        <v>171845.41</v>
      </c>
      <c r="M2063" s="150">
        <v>0</v>
      </c>
      <c r="N2063" s="150">
        <v>353313.83</v>
      </c>
      <c r="O2063" s="150">
        <v>353313.83</v>
      </c>
      <c r="P2063" s="150">
        <v>0</v>
      </c>
      <c r="Q2063" s="150">
        <v>580306.99</v>
      </c>
      <c r="R2063" s="150">
        <f t="shared" si="1738"/>
        <v>580306.99</v>
      </c>
      <c r="S2063" s="150">
        <f t="shared" si="1732"/>
        <v>773742.65333333332</v>
      </c>
      <c r="T2063" s="150"/>
      <c r="U2063" s="150">
        <v>0</v>
      </c>
      <c r="V2063" s="199">
        <v>793732.97</v>
      </c>
      <c r="W2063" s="150">
        <f t="shared" si="1739"/>
        <v>793732.97</v>
      </c>
      <c r="X2063" s="150">
        <v>0</v>
      </c>
      <c r="Y2063" s="150">
        <v>793732.97</v>
      </c>
      <c r="Z2063" s="150">
        <v>793732.97</v>
      </c>
      <c r="AA2063" s="150">
        <f t="shared" si="1727"/>
        <v>0</v>
      </c>
      <c r="AB2063" s="150">
        <v>0</v>
      </c>
      <c r="AC2063" s="199">
        <v>793732.97</v>
      </c>
      <c r="AD2063" s="150">
        <f t="shared" si="1740"/>
        <v>793732.97</v>
      </c>
      <c r="AE2063" s="150">
        <v>793732.97</v>
      </c>
      <c r="AF2063" s="169" t="s">
        <v>4680</v>
      </c>
      <c r="AG2063" s="201">
        <v>0</v>
      </c>
      <c r="AH2063" s="200">
        <v>793732.97</v>
      </c>
      <c r="AI2063" s="150">
        <v>793732.97</v>
      </c>
      <c r="AJ2063" s="169">
        <f t="shared" si="1728"/>
        <v>0</v>
      </c>
      <c r="AK2063" s="201">
        <v>0</v>
      </c>
      <c r="AL2063" s="200">
        <v>793732.97</v>
      </c>
      <c r="AM2063" s="150">
        <f t="shared" si="1741"/>
        <v>793732.97</v>
      </c>
      <c r="AN2063" s="153">
        <f t="shared" si="1729"/>
        <v>0</v>
      </c>
      <c r="AO2063" s="154">
        <f t="shared" si="1730"/>
        <v>0</v>
      </c>
      <c r="AP2063" s="150">
        <v>793732.97</v>
      </c>
      <c r="AQ2063" s="201">
        <v>793732.97</v>
      </c>
      <c r="AR2063" s="199"/>
      <c r="AS2063" s="150">
        <f t="shared" si="1742"/>
        <v>793732.97</v>
      </c>
      <c r="AT2063" s="155"/>
      <c r="AU2063" s="156">
        <f t="shared" si="1725"/>
        <v>0</v>
      </c>
      <c r="AV2063" s="156">
        <f t="shared" si="1726"/>
        <v>0</v>
      </c>
      <c r="AW2063" s="157"/>
      <c r="AX2063" s="150">
        <v>793732.97</v>
      </c>
      <c r="AY2063" s="150">
        <v>0</v>
      </c>
      <c r="AZ2063" s="150">
        <v>499171.56</v>
      </c>
      <c r="BA2063" s="150">
        <f t="shared" si="1743"/>
        <v>748757.34</v>
      </c>
      <c r="BB2063" s="210"/>
      <c r="BC2063" s="210"/>
      <c r="BD2063" s="210"/>
      <c r="BE2063" s="210"/>
      <c r="BF2063" s="210"/>
      <c r="BG2063" s="210"/>
      <c r="BH2063" s="217"/>
      <c r="BI2063" s="210"/>
      <c r="BJ2063" s="210"/>
      <c r="BK2063" s="210"/>
      <c r="BL2063" s="210"/>
      <c r="BM2063" s="208"/>
      <c r="BN2063" s="160"/>
      <c r="BO2063" s="161"/>
      <c r="BP2063" s="161"/>
    </row>
    <row r="2064" spans="1:68" ht="25.5">
      <c r="A2064" s="194" t="s">
        <v>9881</v>
      </c>
      <c r="B2064" s="195" t="s">
        <v>9908</v>
      </c>
      <c r="C2064" s="196" t="s">
        <v>9909</v>
      </c>
      <c r="D2064" s="146" t="s">
        <v>4692</v>
      </c>
      <c r="E2064" s="196" t="s">
        <v>9909</v>
      </c>
      <c r="F2064" s="150">
        <v>924807.03</v>
      </c>
      <c r="G2064" s="209">
        <v>0</v>
      </c>
      <c r="H2064" s="209"/>
      <c r="I2064" s="209">
        <v>0</v>
      </c>
      <c r="J2064" s="150">
        <v>0</v>
      </c>
      <c r="K2064" s="150">
        <v>228897.14249999999</v>
      </c>
      <c r="L2064" s="150">
        <f t="shared" si="1744"/>
        <v>228897.14249999999</v>
      </c>
      <c r="M2064" s="150">
        <v>0</v>
      </c>
      <c r="N2064" s="150">
        <v>498293.77</v>
      </c>
      <c r="O2064" s="150">
        <v>498293.77</v>
      </c>
      <c r="P2064" s="150">
        <v>0</v>
      </c>
      <c r="Q2064" s="150">
        <v>765339.45</v>
      </c>
      <c r="R2064" s="150">
        <f t="shared" si="1738"/>
        <v>765339.45</v>
      </c>
      <c r="S2064" s="150">
        <f t="shared" si="1732"/>
        <v>1020452.5999999999</v>
      </c>
      <c r="T2064" s="150"/>
      <c r="U2064" s="150">
        <v>0</v>
      </c>
      <c r="V2064" s="199">
        <v>1033531.16</v>
      </c>
      <c r="W2064" s="150">
        <f t="shared" si="1739"/>
        <v>1033531.16</v>
      </c>
      <c r="X2064" s="150">
        <v>0</v>
      </c>
      <c r="Y2064" s="150">
        <v>1033531.16</v>
      </c>
      <c r="Z2064" s="150">
        <v>1033531.16</v>
      </c>
      <c r="AA2064" s="150">
        <f t="shared" si="1727"/>
        <v>1210.5800000022864</v>
      </c>
      <c r="AB2064" s="150">
        <v>0</v>
      </c>
      <c r="AC2064" s="199">
        <v>1034741.7400000023</v>
      </c>
      <c r="AD2064" s="150">
        <f t="shared" si="1740"/>
        <v>1034741.7400000023</v>
      </c>
      <c r="AE2064" s="150">
        <v>1034741.7400000023</v>
      </c>
      <c r="AF2064" s="169" t="s">
        <v>4680</v>
      </c>
      <c r="AG2064" s="201">
        <v>0</v>
      </c>
      <c r="AH2064" s="200">
        <v>1034741.7400000023</v>
      </c>
      <c r="AI2064" s="150">
        <v>1034741.7400000023</v>
      </c>
      <c r="AJ2064" s="169">
        <f t="shared" si="1728"/>
        <v>0</v>
      </c>
      <c r="AK2064" s="201">
        <v>0</v>
      </c>
      <c r="AL2064" s="200">
        <v>1034741.7400000023</v>
      </c>
      <c r="AM2064" s="150">
        <f t="shared" si="1741"/>
        <v>1034741.7400000023</v>
      </c>
      <c r="AN2064" s="153">
        <f t="shared" si="1729"/>
        <v>853.37999999767635</v>
      </c>
      <c r="AO2064" s="154">
        <f t="shared" si="1730"/>
        <v>0</v>
      </c>
      <c r="AP2064" s="150">
        <v>1035595.12</v>
      </c>
      <c r="AQ2064" s="201">
        <v>1035595.12</v>
      </c>
      <c r="AR2064" s="199"/>
      <c r="AS2064" s="150">
        <f t="shared" si="1742"/>
        <v>1035595.12</v>
      </c>
      <c r="AT2064" s="155"/>
      <c r="AU2064" s="156">
        <f t="shared" si="1725"/>
        <v>0</v>
      </c>
      <c r="AV2064" s="156">
        <f t="shared" si="1726"/>
        <v>1210.5800000022864</v>
      </c>
      <c r="AW2064" s="157"/>
      <c r="AX2064" s="150">
        <v>1033531.16</v>
      </c>
      <c r="AY2064" s="150">
        <v>0</v>
      </c>
      <c r="AZ2064" s="150">
        <v>674675.3</v>
      </c>
      <c r="BA2064" s="150">
        <f t="shared" si="1743"/>
        <v>1012012.9500000001</v>
      </c>
      <c r="BB2064" s="202">
        <v>5</v>
      </c>
      <c r="BC2064" s="202">
        <v>12</v>
      </c>
      <c r="BD2064" s="202" t="s">
        <v>632</v>
      </c>
      <c r="BE2064" s="202" t="s">
        <v>632</v>
      </c>
      <c r="BF2064" s="202" t="s">
        <v>647</v>
      </c>
      <c r="BG2064" s="203" t="s">
        <v>9910</v>
      </c>
      <c r="BH2064" s="216">
        <f>SUM(AS2064:AS2070)</f>
        <v>4069228.9200000004</v>
      </c>
      <c r="BI2064" s="202"/>
      <c r="BJ2064" s="194" t="s">
        <v>9883</v>
      </c>
      <c r="BK2064" s="194" t="s">
        <v>9881</v>
      </c>
      <c r="BL2064" s="207" t="s">
        <v>9884</v>
      </c>
      <c r="BM2064" s="208">
        <f>BH2064</f>
        <v>4069228.9200000004</v>
      </c>
      <c r="BN2064" s="160"/>
      <c r="BO2064" s="161"/>
      <c r="BP2064" s="161"/>
    </row>
    <row r="2065" spans="1:68" ht="38.25" customHeight="1">
      <c r="A2065" s="210"/>
      <c r="B2065" s="195" t="s">
        <v>9911</v>
      </c>
      <c r="C2065" s="196" t="s">
        <v>9912</v>
      </c>
      <c r="D2065" s="146" t="s">
        <v>4692</v>
      </c>
      <c r="E2065" s="196" t="s">
        <v>9912</v>
      </c>
      <c r="F2065" s="150">
        <v>0</v>
      </c>
      <c r="G2065" s="209">
        <v>0</v>
      </c>
      <c r="H2065" s="209">
        <v>558195.11</v>
      </c>
      <c r="I2065" s="209">
        <v>558195.11</v>
      </c>
      <c r="J2065" s="150">
        <v>0</v>
      </c>
      <c r="K2065" s="150">
        <v>0</v>
      </c>
      <c r="L2065" s="150">
        <f t="shared" si="1744"/>
        <v>0</v>
      </c>
      <c r="M2065" s="150">
        <v>0</v>
      </c>
      <c r="N2065" s="150"/>
      <c r="O2065" s="150">
        <v>0</v>
      </c>
      <c r="P2065" s="150">
        <v>0</v>
      </c>
      <c r="Q2065" s="150">
        <v>0</v>
      </c>
      <c r="R2065" s="150">
        <f t="shared" si="1738"/>
        <v>0</v>
      </c>
      <c r="S2065" s="150">
        <f t="shared" si="1732"/>
        <v>0</v>
      </c>
      <c r="T2065" s="150"/>
      <c r="U2065" s="150">
        <v>0</v>
      </c>
      <c r="V2065" s="199"/>
      <c r="W2065" s="150">
        <f t="shared" si="1739"/>
        <v>0</v>
      </c>
      <c r="X2065" s="150">
        <v>0</v>
      </c>
      <c r="Y2065" s="150"/>
      <c r="Z2065" s="150">
        <v>0</v>
      </c>
      <c r="AA2065" s="150">
        <f t="shared" si="1727"/>
        <v>0</v>
      </c>
      <c r="AB2065" s="150">
        <v>0</v>
      </c>
      <c r="AC2065" s="199"/>
      <c r="AD2065" s="150">
        <f t="shared" si="1740"/>
        <v>0</v>
      </c>
      <c r="AE2065" s="150">
        <v>0</v>
      </c>
      <c r="AF2065" s="169" t="s">
        <v>4680</v>
      </c>
      <c r="AG2065" s="201">
        <v>0</v>
      </c>
      <c r="AH2065" s="199"/>
      <c r="AI2065" s="150">
        <v>0</v>
      </c>
      <c r="AJ2065" s="169">
        <f t="shared" si="1728"/>
        <v>0</v>
      </c>
      <c r="AK2065" s="201">
        <v>0</v>
      </c>
      <c r="AL2065" s="199"/>
      <c r="AM2065" s="150">
        <f t="shared" si="1741"/>
        <v>0</v>
      </c>
      <c r="AN2065" s="153">
        <f t="shared" si="1729"/>
        <v>0</v>
      </c>
      <c r="AO2065" s="154">
        <f t="shared" si="1730"/>
        <v>0</v>
      </c>
      <c r="AP2065" s="150">
        <v>0</v>
      </c>
      <c r="AQ2065" s="201">
        <v>0</v>
      </c>
      <c r="AR2065" s="199"/>
      <c r="AS2065" s="150">
        <f t="shared" si="1742"/>
        <v>0</v>
      </c>
      <c r="AT2065" s="155"/>
      <c r="AU2065" s="156">
        <f t="shared" si="1725"/>
        <v>0</v>
      </c>
      <c r="AV2065" s="156">
        <f t="shared" si="1726"/>
        <v>0</v>
      </c>
      <c r="AW2065" s="157"/>
      <c r="AX2065" s="150">
        <v>0</v>
      </c>
      <c r="AY2065" s="150">
        <v>0</v>
      </c>
      <c r="AZ2065" s="150"/>
      <c r="BA2065" s="150">
        <f t="shared" si="1743"/>
        <v>0</v>
      </c>
      <c r="BB2065" s="210"/>
      <c r="BC2065" s="210"/>
      <c r="BD2065" s="210"/>
      <c r="BE2065" s="210"/>
      <c r="BF2065" s="210"/>
      <c r="BG2065" s="210"/>
      <c r="BH2065" s="217"/>
      <c r="BI2065" s="210"/>
      <c r="BJ2065" s="210"/>
      <c r="BK2065" s="210"/>
      <c r="BL2065" s="210"/>
      <c r="BM2065" s="208"/>
      <c r="BN2065" s="160"/>
      <c r="BO2065" s="161"/>
      <c r="BP2065" s="161"/>
    </row>
    <row r="2066" spans="1:68" ht="31.5" customHeight="1">
      <c r="A2066" s="210"/>
      <c r="B2066" s="195" t="s">
        <v>9913</v>
      </c>
      <c r="C2066" s="196" t="s">
        <v>9914</v>
      </c>
      <c r="D2066" s="146" t="s">
        <v>4692</v>
      </c>
      <c r="E2066" s="196" t="s">
        <v>9914</v>
      </c>
      <c r="F2066" s="150">
        <v>558195.11</v>
      </c>
      <c r="G2066" s="365">
        <v>0</v>
      </c>
      <c r="H2066" s="365">
        <v>11967.87</v>
      </c>
      <c r="I2066" s="365">
        <v>11967.87</v>
      </c>
      <c r="J2066" s="150">
        <v>0</v>
      </c>
      <c r="K2066" s="150">
        <v>558195.11</v>
      </c>
      <c r="L2066" s="150">
        <f t="shared" si="1744"/>
        <v>558195.11</v>
      </c>
      <c r="M2066" s="150">
        <v>0</v>
      </c>
      <c r="N2066" s="150">
        <v>233270.01</v>
      </c>
      <c r="O2066" s="150">
        <v>233270.01</v>
      </c>
      <c r="P2066" s="150">
        <v>0</v>
      </c>
      <c r="Q2066" s="150">
        <v>352153.18</v>
      </c>
      <c r="R2066" s="150">
        <f t="shared" si="1738"/>
        <v>352153.18</v>
      </c>
      <c r="S2066" s="150">
        <f t="shared" si="1732"/>
        <v>469537.57333333336</v>
      </c>
      <c r="T2066" s="150"/>
      <c r="U2066" s="150">
        <v>0</v>
      </c>
      <c r="V2066" s="199">
        <v>471395.2</v>
      </c>
      <c r="W2066" s="150">
        <f t="shared" si="1739"/>
        <v>471395.2</v>
      </c>
      <c r="X2066" s="150">
        <v>0</v>
      </c>
      <c r="Y2066" s="150">
        <v>471395.2</v>
      </c>
      <c r="Z2066" s="150">
        <v>471395.2</v>
      </c>
      <c r="AA2066" s="150">
        <f t="shared" si="1727"/>
        <v>1301.8099999998813</v>
      </c>
      <c r="AB2066" s="150">
        <v>0</v>
      </c>
      <c r="AC2066" s="199">
        <v>472697.00999999989</v>
      </c>
      <c r="AD2066" s="150">
        <f t="shared" si="1740"/>
        <v>472697.00999999989</v>
      </c>
      <c r="AE2066" s="150">
        <v>472697.00999999989</v>
      </c>
      <c r="AF2066" s="169" t="s">
        <v>4680</v>
      </c>
      <c r="AG2066" s="201">
        <v>0</v>
      </c>
      <c r="AH2066" s="200">
        <v>472697.00999999989</v>
      </c>
      <c r="AI2066" s="150">
        <v>472697.00999999989</v>
      </c>
      <c r="AJ2066" s="169">
        <f t="shared" si="1728"/>
        <v>0</v>
      </c>
      <c r="AK2066" s="201">
        <v>0</v>
      </c>
      <c r="AL2066" s="200">
        <v>472697.00999999989</v>
      </c>
      <c r="AM2066" s="150">
        <f t="shared" si="1741"/>
        <v>472697.00999999989</v>
      </c>
      <c r="AN2066" s="153">
        <f t="shared" si="1729"/>
        <v>120.47000000008848</v>
      </c>
      <c r="AO2066" s="154">
        <f t="shared" si="1730"/>
        <v>0</v>
      </c>
      <c r="AP2066" s="150">
        <v>472817.48</v>
      </c>
      <c r="AQ2066" s="201">
        <v>472817.48</v>
      </c>
      <c r="AR2066" s="199"/>
      <c r="AS2066" s="150">
        <f t="shared" si="1742"/>
        <v>472817.48</v>
      </c>
      <c r="AT2066" s="155"/>
      <c r="AU2066" s="156">
        <f t="shared" si="1725"/>
        <v>0</v>
      </c>
      <c r="AV2066" s="156">
        <f t="shared" si="1726"/>
        <v>1301.8099999998813</v>
      </c>
      <c r="AW2066" s="157"/>
      <c r="AX2066" s="150">
        <v>471395.2</v>
      </c>
      <c r="AY2066" s="150">
        <v>0</v>
      </c>
      <c r="AZ2066" s="150">
        <v>313392.15999999997</v>
      </c>
      <c r="BA2066" s="150">
        <f t="shared" si="1743"/>
        <v>470088.24</v>
      </c>
      <c r="BB2066" s="210"/>
      <c r="BC2066" s="210"/>
      <c r="BD2066" s="210"/>
      <c r="BE2066" s="210"/>
      <c r="BF2066" s="210"/>
      <c r="BG2066" s="210"/>
      <c r="BH2066" s="217"/>
      <c r="BI2066" s="210"/>
      <c r="BJ2066" s="210"/>
      <c r="BK2066" s="210"/>
      <c r="BL2066" s="210"/>
      <c r="BM2066" s="208"/>
      <c r="BN2066" s="160"/>
      <c r="BO2066" s="161"/>
      <c r="BP2066" s="161"/>
    </row>
    <row r="2067" spans="1:68" ht="25.5">
      <c r="A2067" s="210"/>
      <c r="B2067" s="195" t="s">
        <v>9915</v>
      </c>
      <c r="C2067" s="196" t="s">
        <v>9916</v>
      </c>
      <c r="D2067" s="146" t="s">
        <v>4692</v>
      </c>
      <c r="E2067" s="196" t="s">
        <v>9916</v>
      </c>
      <c r="F2067" s="150">
        <v>12020.63</v>
      </c>
      <c r="G2067" s="209">
        <v>0</v>
      </c>
      <c r="H2067" s="209">
        <v>2372464.63</v>
      </c>
      <c r="I2067" s="209">
        <v>2372464.63</v>
      </c>
      <c r="J2067" s="150">
        <v>0</v>
      </c>
      <c r="K2067" s="150">
        <v>11967.87</v>
      </c>
      <c r="L2067" s="150">
        <f t="shared" si="1744"/>
        <v>11967.87</v>
      </c>
      <c r="M2067" s="150">
        <v>0</v>
      </c>
      <c r="N2067" s="150">
        <v>12024.16</v>
      </c>
      <c r="O2067" s="150">
        <v>12024.16</v>
      </c>
      <c r="P2067" s="150">
        <v>0</v>
      </c>
      <c r="Q2067" s="150">
        <v>19588.14</v>
      </c>
      <c r="R2067" s="150">
        <f t="shared" si="1738"/>
        <v>19588.14</v>
      </c>
      <c r="S2067" s="150">
        <f t="shared" si="1732"/>
        <v>26117.52</v>
      </c>
      <c r="T2067" s="150"/>
      <c r="U2067" s="150">
        <v>0</v>
      </c>
      <c r="V2067" s="199">
        <v>27102.09</v>
      </c>
      <c r="W2067" s="150">
        <f t="shared" si="1739"/>
        <v>27102.09</v>
      </c>
      <c r="X2067" s="150">
        <v>0</v>
      </c>
      <c r="Y2067" s="150">
        <v>27102.09</v>
      </c>
      <c r="Z2067" s="150">
        <v>27102.09</v>
      </c>
      <c r="AA2067" s="150">
        <f t="shared" si="1727"/>
        <v>0</v>
      </c>
      <c r="AB2067" s="150">
        <v>0</v>
      </c>
      <c r="AC2067" s="199">
        <v>27102.09</v>
      </c>
      <c r="AD2067" s="150">
        <f t="shared" si="1740"/>
        <v>27102.09</v>
      </c>
      <c r="AE2067" s="150">
        <v>27102.09</v>
      </c>
      <c r="AF2067" s="169" t="s">
        <v>4680</v>
      </c>
      <c r="AG2067" s="201">
        <v>0</v>
      </c>
      <c r="AH2067" s="200">
        <v>27102.09</v>
      </c>
      <c r="AI2067" s="150">
        <v>27102.09</v>
      </c>
      <c r="AJ2067" s="169">
        <f t="shared" si="1728"/>
        <v>0</v>
      </c>
      <c r="AK2067" s="201">
        <v>0</v>
      </c>
      <c r="AL2067" s="200">
        <v>27102.09</v>
      </c>
      <c r="AM2067" s="150">
        <f t="shared" si="1741"/>
        <v>27102.09</v>
      </c>
      <c r="AN2067" s="153">
        <f t="shared" si="1729"/>
        <v>0.2000000000007276</v>
      </c>
      <c r="AO2067" s="154">
        <f t="shared" si="1730"/>
        <v>0</v>
      </c>
      <c r="AP2067" s="150">
        <v>27102.29</v>
      </c>
      <c r="AQ2067" s="201">
        <v>27102.29</v>
      </c>
      <c r="AR2067" s="199"/>
      <c r="AS2067" s="150">
        <f t="shared" si="1742"/>
        <v>27102.29</v>
      </c>
      <c r="AT2067" s="155"/>
      <c r="AU2067" s="156">
        <f t="shared" si="1725"/>
        <v>0</v>
      </c>
      <c r="AV2067" s="156">
        <f t="shared" si="1726"/>
        <v>0</v>
      </c>
      <c r="AW2067" s="157"/>
      <c r="AX2067" s="150">
        <v>27102.09</v>
      </c>
      <c r="AY2067" s="150">
        <v>0</v>
      </c>
      <c r="AZ2067" s="150">
        <v>17121.68</v>
      </c>
      <c r="BA2067" s="150">
        <f t="shared" si="1743"/>
        <v>25682.52</v>
      </c>
      <c r="BB2067" s="210"/>
      <c r="BC2067" s="210"/>
      <c r="BD2067" s="210"/>
      <c r="BE2067" s="210"/>
      <c r="BF2067" s="210"/>
      <c r="BG2067" s="210"/>
      <c r="BH2067" s="217"/>
      <c r="BI2067" s="210"/>
      <c r="BJ2067" s="210"/>
      <c r="BK2067" s="210"/>
      <c r="BL2067" s="210"/>
      <c r="BM2067" s="208"/>
      <c r="BN2067" s="160"/>
      <c r="BO2067" s="161"/>
      <c r="BP2067" s="161"/>
    </row>
    <row r="2068" spans="1:68" ht="25.5">
      <c r="A2068" s="210"/>
      <c r="B2068" s="195" t="s">
        <v>9917</v>
      </c>
      <c r="C2068" s="196" t="s">
        <v>9918</v>
      </c>
      <c r="D2068" s="146" t="s">
        <v>4692</v>
      </c>
      <c r="E2068" s="196" t="s">
        <v>9918</v>
      </c>
      <c r="F2068" s="150">
        <v>2376801.44</v>
      </c>
      <c r="G2068" s="209">
        <v>0</v>
      </c>
      <c r="H2068" s="209"/>
      <c r="I2068" s="209">
        <v>0</v>
      </c>
      <c r="J2068" s="150">
        <v>0</v>
      </c>
      <c r="K2068" s="150">
        <v>594450.40749999997</v>
      </c>
      <c r="L2068" s="150">
        <f t="shared" si="1744"/>
        <v>594450.40749999997</v>
      </c>
      <c r="M2068" s="150">
        <v>0</v>
      </c>
      <c r="N2068" s="150">
        <v>1178743.1000000001</v>
      </c>
      <c r="O2068" s="150">
        <v>1178743.1000000001</v>
      </c>
      <c r="P2068" s="150">
        <v>0</v>
      </c>
      <c r="Q2068" s="150">
        <v>1783006.93</v>
      </c>
      <c r="R2068" s="150">
        <f t="shared" si="1738"/>
        <v>1783006.93</v>
      </c>
      <c r="S2068" s="150">
        <f t="shared" si="1732"/>
        <v>2377342.5733333332</v>
      </c>
      <c r="T2068" s="150"/>
      <c r="U2068" s="150">
        <v>0</v>
      </c>
      <c r="V2068" s="199">
        <v>2390545.1</v>
      </c>
      <c r="W2068" s="150">
        <f t="shared" si="1739"/>
        <v>2390545.1</v>
      </c>
      <c r="X2068" s="150">
        <v>0</v>
      </c>
      <c r="Y2068" s="150">
        <v>2390545.1</v>
      </c>
      <c r="Z2068" s="150">
        <v>2390545.1</v>
      </c>
      <c r="AA2068" s="150">
        <f t="shared" si="1727"/>
        <v>8704.3899999917485</v>
      </c>
      <c r="AB2068" s="150">
        <v>0</v>
      </c>
      <c r="AC2068" s="199">
        <v>2399249.4899999918</v>
      </c>
      <c r="AD2068" s="150">
        <f t="shared" si="1740"/>
        <v>2399249.4899999918</v>
      </c>
      <c r="AE2068" s="150">
        <v>2399249.4899999918</v>
      </c>
      <c r="AF2068" s="169" t="s">
        <v>4680</v>
      </c>
      <c r="AG2068" s="201">
        <v>0</v>
      </c>
      <c r="AH2068" s="200">
        <v>2399249.4899999918</v>
      </c>
      <c r="AI2068" s="150">
        <v>2399249.4899999918</v>
      </c>
      <c r="AJ2068" s="169">
        <f t="shared" si="1728"/>
        <v>0</v>
      </c>
      <c r="AK2068" s="201">
        <v>0</v>
      </c>
      <c r="AL2068" s="200">
        <v>2399249.4899999918</v>
      </c>
      <c r="AM2068" s="150">
        <f t="shared" si="1741"/>
        <v>2399249.4899999918</v>
      </c>
      <c r="AN2068" s="153">
        <f t="shared" si="1729"/>
        <v>1140.7500000083819</v>
      </c>
      <c r="AO2068" s="154">
        <f t="shared" si="1730"/>
        <v>0</v>
      </c>
      <c r="AP2068" s="150">
        <v>2400390.2400000002</v>
      </c>
      <c r="AQ2068" s="201">
        <v>2400390.2400000002</v>
      </c>
      <c r="AR2068" s="199"/>
      <c r="AS2068" s="150">
        <f t="shared" si="1742"/>
        <v>2400390.2400000002</v>
      </c>
      <c r="AT2068" s="155"/>
      <c r="AU2068" s="156">
        <f t="shared" si="1725"/>
        <v>0</v>
      </c>
      <c r="AV2068" s="156">
        <f t="shared" si="1726"/>
        <v>8704.3899999917485</v>
      </c>
      <c r="AW2068" s="157"/>
      <c r="AX2068" s="150">
        <v>2390545.1</v>
      </c>
      <c r="AY2068" s="150">
        <v>0</v>
      </c>
      <c r="AZ2068" s="150">
        <v>1585388.44</v>
      </c>
      <c r="BA2068" s="150">
        <f t="shared" si="1743"/>
        <v>2378082.66</v>
      </c>
      <c r="BB2068" s="210"/>
      <c r="BC2068" s="210"/>
      <c r="BD2068" s="210"/>
      <c r="BE2068" s="210"/>
      <c r="BF2068" s="210"/>
      <c r="BG2068" s="210"/>
      <c r="BH2068" s="217"/>
      <c r="BI2068" s="210"/>
      <c r="BJ2068" s="210"/>
      <c r="BK2068" s="210"/>
      <c r="BL2068" s="210"/>
      <c r="BM2068" s="208"/>
      <c r="BN2068" s="160"/>
      <c r="BO2068" s="161"/>
      <c r="BP2068" s="161"/>
    </row>
    <row r="2069" spans="1:68" ht="38.25">
      <c r="A2069" s="210"/>
      <c r="B2069" s="195" t="s">
        <v>9919</v>
      </c>
      <c r="C2069" s="196" t="s">
        <v>9920</v>
      </c>
      <c r="D2069" s="146" t="s">
        <v>4692</v>
      </c>
      <c r="E2069" s="196" t="s">
        <v>9920</v>
      </c>
      <c r="F2069" s="150">
        <v>0</v>
      </c>
      <c r="G2069" s="209">
        <v>0</v>
      </c>
      <c r="H2069" s="209">
        <v>155494.48000000001</v>
      </c>
      <c r="I2069" s="209">
        <v>155494.48000000001</v>
      </c>
      <c r="J2069" s="150">
        <v>0</v>
      </c>
      <c r="K2069" s="150">
        <v>0</v>
      </c>
      <c r="L2069" s="150">
        <f t="shared" si="1744"/>
        <v>0</v>
      </c>
      <c r="M2069" s="150">
        <v>0</v>
      </c>
      <c r="N2069" s="150"/>
      <c r="O2069" s="150">
        <v>0</v>
      </c>
      <c r="P2069" s="150">
        <v>0</v>
      </c>
      <c r="Q2069" s="150">
        <v>0</v>
      </c>
      <c r="R2069" s="150">
        <f t="shared" si="1738"/>
        <v>0</v>
      </c>
      <c r="S2069" s="150">
        <f t="shared" si="1732"/>
        <v>0</v>
      </c>
      <c r="T2069" s="150"/>
      <c r="U2069" s="150">
        <v>0</v>
      </c>
      <c r="V2069" s="199"/>
      <c r="W2069" s="150">
        <f t="shared" si="1739"/>
        <v>0</v>
      </c>
      <c r="X2069" s="150">
        <v>0</v>
      </c>
      <c r="Y2069" s="150"/>
      <c r="Z2069" s="150">
        <v>0</v>
      </c>
      <c r="AA2069" s="150">
        <f t="shared" si="1727"/>
        <v>0</v>
      </c>
      <c r="AB2069" s="150">
        <v>0</v>
      </c>
      <c r="AC2069" s="199"/>
      <c r="AD2069" s="150">
        <f t="shared" si="1740"/>
        <v>0</v>
      </c>
      <c r="AE2069" s="150">
        <v>0</v>
      </c>
      <c r="AF2069" s="169" t="s">
        <v>4680</v>
      </c>
      <c r="AG2069" s="201">
        <v>0</v>
      </c>
      <c r="AH2069" s="199"/>
      <c r="AI2069" s="150">
        <v>0</v>
      </c>
      <c r="AJ2069" s="169">
        <f t="shared" si="1728"/>
        <v>0</v>
      </c>
      <c r="AK2069" s="201">
        <v>0</v>
      </c>
      <c r="AL2069" s="199"/>
      <c r="AM2069" s="150">
        <f t="shared" si="1741"/>
        <v>0</v>
      </c>
      <c r="AN2069" s="153">
        <f t="shared" si="1729"/>
        <v>0</v>
      </c>
      <c r="AO2069" s="154">
        <f t="shared" si="1730"/>
        <v>0</v>
      </c>
      <c r="AP2069" s="150">
        <v>0</v>
      </c>
      <c r="AQ2069" s="201">
        <v>0</v>
      </c>
      <c r="AR2069" s="199"/>
      <c r="AS2069" s="150">
        <f t="shared" si="1742"/>
        <v>0</v>
      </c>
      <c r="AT2069" s="155"/>
      <c r="AU2069" s="156">
        <f t="shared" si="1725"/>
        <v>0</v>
      </c>
      <c r="AV2069" s="156">
        <f t="shared" si="1726"/>
        <v>0</v>
      </c>
      <c r="AW2069" s="157"/>
      <c r="AX2069" s="150">
        <v>0</v>
      </c>
      <c r="AY2069" s="150">
        <v>0</v>
      </c>
      <c r="AZ2069" s="150"/>
      <c r="BA2069" s="150">
        <f t="shared" si="1743"/>
        <v>0</v>
      </c>
      <c r="BB2069" s="210"/>
      <c r="BC2069" s="210"/>
      <c r="BD2069" s="210"/>
      <c r="BE2069" s="210"/>
      <c r="BF2069" s="210"/>
      <c r="BG2069" s="210"/>
      <c r="BH2069" s="217"/>
      <c r="BI2069" s="210"/>
      <c r="BJ2069" s="210"/>
      <c r="BK2069" s="210"/>
      <c r="BL2069" s="210"/>
      <c r="BM2069" s="208"/>
      <c r="BN2069" s="160"/>
      <c r="BO2069" s="161"/>
      <c r="BP2069" s="161"/>
    </row>
    <row r="2070" spans="1:68" ht="25.5">
      <c r="A2070" s="210"/>
      <c r="B2070" s="195" t="s">
        <v>9921</v>
      </c>
      <c r="C2070" s="196" t="s">
        <v>9922</v>
      </c>
      <c r="D2070" s="146" t="s">
        <v>4692</v>
      </c>
      <c r="E2070" s="196" t="s">
        <v>9922</v>
      </c>
      <c r="F2070" s="150">
        <v>156646.06</v>
      </c>
      <c r="G2070" s="209">
        <v>0</v>
      </c>
      <c r="H2070" s="209">
        <v>90795.73</v>
      </c>
      <c r="I2070" s="209">
        <v>90795.73</v>
      </c>
      <c r="J2070" s="150">
        <v>0</v>
      </c>
      <c r="K2070" s="150">
        <v>155494.48000000001</v>
      </c>
      <c r="L2070" s="150">
        <f t="shared" si="1744"/>
        <v>155494.48000000001</v>
      </c>
      <c r="M2070" s="150">
        <v>0</v>
      </c>
      <c r="N2070" s="150">
        <v>65004.23</v>
      </c>
      <c r="O2070" s="150">
        <v>65004.23</v>
      </c>
      <c r="P2070" s="150">
        <v>0</v>
      </c>
      <c r="Q2070" s="150">
        <v>98056.38</v>
      </c>
      <c r="R2070" s="150">
        <f t="shared" si="1738"/>
        <v>98056.38</v>
      </c>
      <c r="S2070" s="150">
        <f t="shared" si="1732"/>
        <v>130741.84</v>
      </c>
      <c r="T2070" s="150"/>
      <c r="U2070" s="150">
        <v>0</v>
      </c>
      <c r="V2070" s="199">
        <v>130754.05</v>
      </c>
      <c r="W2070" s="150">
        <f t="shared" si="1739"/>
        <v>130754.05</v>
      </c>
      <c r="X2070" s="150">
        <v>0</v>
      </c>
      <c r="Y2070" s="150">
        <v>130754.05</v>
      </c>
      <c r="Z2070" s="150">
        <v>130754.05</v>
      </c>
      <c r="AA2070" s="150">
        <f t="shared" si="1727"/>
        <v>2569.7399999998888</v>
      </c>
      <c r="AB2070" s="150">
        <v>0</v>
      </c>
      <c r="AC2070" s="199">
        <v>133323.78999999989</v>
      </c>
      <c r="AD2070" s="150">
        <f t="shared" si="1740"/>
        <v>133323.78999999989</v>
      </c>
      <c r="AE2070" s="150">
        <v>133323.78999999989</v>
      </c>
      <c r="AF2070" s="169" t="s">
        <v>4680</v>
      </c>
      <c r="AG2070" s="201">
        <v>0</v>
      </c>
      <c r="AH2070" s="200">
        <v>133323.78999999989</v>
      </c>
      <c r="AI2070" s="150">
        <v>133323.78999999989</v>
      </c>
      <c r="AJ2070" s="169">
        <f t="shared" si="1728"/>
        <v>0</v>
      </c>
      <c r="AK2070" s="201">
        <v>0</v>
      </c>
      <c r="AL2070" s="200">
        <v>133323.78999999989</v>
      </c>
      <c r="AM2070" s="150">
        <f t="shared" si="1741"/>
        <v>133323.78999999989</v>
      </c>
      <c r="AN2070" s="153">
        <f t="shared" si="1729"/>
        <v>0</v>
      </c>
      <c r="AO2070" s="154">
        <f t="shared" si="1730"/>
        <v>0</v>
      </c>
      <c r="AP2070" s="150">
        <v>133323.79</v>
      </c>
      <c r="AQ2070" s="201">
        <v>133323.79</v>
      </c>
      <c r="AR2070" s="199"/>
      <c r="AS2070" s="150">
        <f t="shared" si="1742"/>
        <v>133323.79</v>
      </c>
      <c r="AT2070" s="155"/>
      <c r="AU2070" s="156">
        <f t="shared" si="1725"/>
        <v>0</v>
      </c>
      <c r="AV2070" s="156">
        <f t="shared" si="1726"/>
        <v>2569.7399999998888</v>
      </c>
      <c r="AW2070" s="157"/>
      <c r="AX2070" s="150">
        <v>130754.05</v>
      </c>
      <c r="AY2070" s="150">
        <v>0</v>
      </c>
      <c r="AZ2070" s="150">
        <v>87278.68</v>
      </c>
      <c r="BA2070" s="150">
        <f t="shared" si="1743"/>
        <v>130918.01999999999</v>
      </c>
      <c r="BB2070" s="210"/>
      <c r="BC2070" s="210"/>
      <c r="BD2070" s="210"/>
      <c r="BE2070" s="210"/>
      <c r="BF2070" s="210"/>
      <c r="BG2070" s="210"/>
      <c r="BH2070" s="217"/>
      <c r="BI2070" s="210"/>
      <c r="BJ2070" s="210"/>
      <c r="BK2070" s="210"/>
      <c r="BL2070" s="210"/>
      <c r="BM2070" s="208"/>
      <c r="BN2070" s="160"/>
      <c r="BO2070" s="161"/>
      <c r="BP2070" s="161"/>
    </row>
    <row r="2071" spans="1:68" ht="25.5">
      <c r="A2071" s="194" t="s">
        <v>9881</v>
      </c>
      <c r="B2071" s="195" t="s">
        <v>9923</v>
      </c>
      <c r="C2071" s="196" t="s">
        <v>9924</v>
      </c>
      <c r="D2071" s="146" t="s">
        <v>4692</v>
      </c>
      <c r="E2071" s="196" t="s">
        <v>9924</v>
      </c>
      <c r="F2071" s="150">
        <v>96026.98</v>
      </c>
      <c r="G2071" s="209">
        <v>0</v>
      </c>
      <c r="H2071" s="209">
        <v>2497.27</v>
      </c>
      <c r="I2071" s="209">
        <v>2497.27</v>
      </c>
      <c r="J2071" s="150">
        <v>0</v>
      </c>
      <c r="K2071" s="150">
        <v>90795.73</v>
      </c>
      <c r="L2071" s="150">
        <f t="shared" si="1744"/>
        <v>90795.73</v>
      </c>
      <c r="M2071" s="150">
        <v>0</v>
      </c>
      <c r="N2071" s="150">
        <v>37052.269999999997</v>
      </c>
      <c r="O2071" s="150">
        <v>37052.269999999997</v>
      </c>
      <c r="P2071" s="150">
        <v>0</v>
      </c>
      <c r="Q2071" s="150">
        <v>55860.04</v>
      </c>
      <c r="R2071" s="150">
        <f t="shared" si="1738"/>
        <v>55860.04</v>
      </c>
      <c r="S2071" s="150">
        <f t="shared" si="1732"/>
        <v>74480.05333333333</v>
      </c>
      <c r="T2071" s="150"/>
      <c r="U2071" s="150">
        <v>0</v>
      </c>
      <c r="V2071" s="199">
        <v>74468.91</v>
      </c>
      <c r="W2071" s="150">
        <f t="shared" si="1739"/>
        <v>74468.91</v>
      </c>
      <c r="X2071" s="150">
        <v>0</v>
      </c>
      <c r="Y2071" s="150">
        <v>74468.91</v>
      </c>
      <c r="Z2071" s="150">
        <v>74468.91</v>
      </c>
      <c r="AA2071" s="150">
        <f t="shared" si="1727"/>
        <v>7098.62999999967</v>
      </c>
      <c r="AB2071" s="150">
        <v>0</v>
      </c>
      <c r="AC2071" s="199">
        <v>81567.539999999673</v>
      </c>
      <c r="AD2071" s="150">
        <f t="shared" si="1740"/>
        <v>81567.539999999673</v>
      </c>
      <c r="AE2071" s="150">
        <v>81567.539999999673</v>
      </c>
      <c r="AF2071" s="169" t="s">
        <v>4680</v>
      </c>
      <c r="AG2071" s="201">
        <v>0</v>
      </c>
      <c r="AH2071" s="200">
        <v>81567.539999999673</v>
      </c>
      <c r="AI2071" s="150">
        <v>81567.539999999673</v>
      </c>
      <c r="AJ2071" s="169">
        <f t="shared" si="1728"/>
        <v>0</v>
      </c>
      <c r="AK2071" s="201">
        <v>0</v>
      </c>
      <c r="AL2071" s="200">
        <v>81567.539999999673</v>
      </c>
      <c r="AM2071" s="150">
        <f t="shared" si="1741"/>
        <v>81567.539999999673</v>
      </c>
      <c r="AN2071" s="153">
        <f t="shared" si="1729"/>
        <v>10777.710000000327</v>
      </c>
      <c r="AO2071" s="154">
        <f t="shared" si="1730"/>
        <v>0</v>
      </c>
      <c r="AP2071" s="150">
        <v>92345.25</v>
      </c>
      <c r="AQ2071" s="201">
        <v>92345.25</v>
      </c>
      <c r="AR2071" s="199"/>
      <c r="AS2071" s="150">
        <f t="shared" si="1742"/>
        <v>92345.25</v>
      </c>
      <c r="AT2071" s="155"/>
      <c r="AU2071" s="156">
        <f t="shared" si="1725"/>
        <v>0</v>
      </c>
      <c r="AV2071" s="156">
        <f t="shared" si="1726"/>
        <v>7098.62999999967</v>
      </c>
      <c r="AW2071" s="157"/>
      <c r="AX2071" s="150">
        <v>74468.91</v>
      </c>
      <c r="AY2071" s="150">
        <v>0</v>
      </c>
      <c r="AZ2071" s="150">
        <v>49726.15</v>
      </c>
      <c r="BA2071" s="150">
        <f t="shared" si="1743"/>
        <v>74589.225000000006</v>
      </c>
      <c r="BB2071" s="202">
        <v>5</v>
      </c>
      <c r="BC2071" s="202">
        <v>12</v>
      </c>
      <c r="BD2071" s="202" t="s">
        <v>632</v>
      </c>
      <c r="BE2071" s="202" t="s">
        <v>632</v>
      </c>
      <c r="BF2071" s="202" t="s">
        <v>671</v>
      </c>
      <c r="BG2071" s="203" t="s">
        <v>9925</v>
      </c>
      <c r="BH2071" s="216">
        <f>SUM(AS2071:AS2073)</f>
        <v>142556.95000000001</v>
      </c>
      <c r="BI2071" s="202"/>
      <c r="BJ2071" s="194" t="s">
        <v>9883</v>
      </c>
      <c r="BK2071" s="194" t="s">
        <v>9881</v>
      </c>
      <c r="BL2071" s="207" t="s">
        <v>9884</v>
      </c>
      <c r="BM2071" s="208">
        <f>BH2071</f>
        <v>142556.95000000001</v>
      </c>
      <c r="BN2071" s="160"/>
      <c r="BO2071" s="161"/>
      <c r="BP2071" s="161"/>
    </row>
    <row r="2072" spans="1:68" ht="25.5">
      <c r="A2072" s="210"/>
      <c r="B2072" s="195" t="s">
        <v>9926</v>
      </c>
      <c r="C2072" s="196" t="s">
        <v>9927</v>
      </c>
      <c r="D2072" s="146" t="s">
        <v>4692</v>
      </c>
      <c r="E2072" s="196" t="s">
        <v>9927</v>
      </c>
      <c r="F2072" s="150">
        <v>2497.27</v>
      </c>
      <c r="G2072" s="209">
        <v>0</v>
      </c>
      <c r="H2072" s="209">
        <v>47205.14</v>
      </c>
      <c r="I2072" s="209">
        <v>47205.14</v>
      </c>
      <c r="J2072" s="150">
        <v>0</v>
      </c>
      <c r="K2072" s="150">
        <v>2497.27</v>
      </c>
      <c r="L2072" s="150">
        <f t="shared" si="1744"/>
        <v>2497.27</v>
      </c>
      <c r="M2072" s="150">
        <v>0</v>
      </c>
      <c r="N2072" s="150">
        <v>1245.19</v>
      </c>
      <c r="O2072" s="150">
        <v>1245.19</v>
      </c>
      <c r="P2072" s="150">
        <v>0</v>
      </c>
      <c r="Q2072" s="150">
        <v>1874.66</v>
      </c>
      <c r="R2072" s="150">
        <f t="shared" si="1738"/>
        <v>1874.66</v>
      </c>
      <c r="S2072" s="150">
        <f t="shared" si="1732"/>
        <v>2499.5466666666666</v>
      </c>
      <c r="T2072" s="150"/>
      <c r="U2072" s="150">
        <v>0</v>
      </c>
      <c r="V2072" s="199">
        <v>11481.35</v>
      </c>
      <c r="W2072" s="150">
        <f t="shared" si="1739"/>
        <v>11481.35</v>
      </c>
      <c r="X2072" s="150">
        <v>0</v>
      </c>
      <c r="Y2072" s="150">
        <v>11481.35</v>
      </c>
      <c r="Z2072" s="150">
        <v>11481.35</v>
      </c>
      <c r="AA2072" s="150">
        <f t="shared" si="1727"/>
        <v>-8245.4299999999967</v>
      </c>
      <c r="AB2072" s="150">
        <v>0</v>
      </c>
      <c r="AC2072" s="199">
        <v>3235.9200000000046</v>
      </c>
      <c r="AD2072" s="150">
        <f t="shared" si="1740"/>
        <v>3235.9200000000046</v>
      </c>
      <c r="AE2072" s="150">
        <v>3235.9200000000046</v>
      </c>
      <c r="AF2072" s="169" t="s">
        <v>4680</v>
      </c>
      <c r="AG2072" s="201">
        <v>0</v>
      </c>
      <c r="AH2072" s="200">
        <v>3235.9200000000046</v>
      </c>
      <c r="AI2072" s="150">
        <v>3235.9200000000046</v>
      </c>
      <c r="AJ2072" s="169">
        <f t="shared" si="1728"/>
        <v>0</v>
      </c>
      <c r="AK2072" s="201">
        <v>0</v>
      </c>
      <c r="AL2072" s="200">
        <v>3235.9200000000046</v>
      </c>
      <c r="AM2072" s="150">
        <f t="shared" si="1741"/>
        <v>3235.9200000000046</v>
      </c>
      <c r="AN2072" s="153">
        <f t="shared" si="1729"/>
        <v>8245.4299999999967</v>
      </c>
      <c r="AO2072" s="154">
        <f t="shared" si="1730"/>
        <v>0</v>
      </c>
      <c r="AP2072" s="150">
        <v>11481.35</v>
      </c>
      <c r="AQ2072" s="201">
        <v>11481.35</v>
      </c>
      <c r="AR2072" s="199"/>
      <c r="AS2072" s="150">
        <f t="shared" si="1742"/>
        <v>11481.35</v>
      </c>
      <c r="AT2072" s="155"/>
      <c r="AU2072" s="156">
        <f t="shared" si="1725"/>
        <v>0</v>
      </c>
      <c r="AV2072" s="156">
        <f t="shared" si="1726"/>
        <v>-8245.4299999999967</v>
      </c>
      <c r="AW2072" s="157"/>
      <c r="AX2072" s="150">
        <v>11481.35</v>
      </c>
      <c r="AY2072" s="150">
        <v>0</v>
      </c>
      <c r="AZ2072" s="150">
        <v>1669.4</v>
      </c>
      <c r="BA2072" s="150">
        <f t="shared" si="1743"/>
        <v>2504.1000000000004</v>
      </c>
      <c r="BB2072" s="210"/>
      <c r="BC2072" s="210"/>
      <c r="BD2072" s="210"/>
      <c r="BE2072" s="210"/>
      <c r="BF2072" s="210"/>
      <c r="BG2072" s="210"/>
      <c r="BH2072" s="217"/>
      <c r="BI2072" s="210"/>
      <c r="BJ2072" s="210"/>
      <c r="BK2072" s="210"/>
      <c r="BL2072" s="210"/>
      <c r="BM2072" s="208"/>
      <c r="BN2072" s="160"/>
      <c r="BO2072" s="161"/>
      <c r="BP2072" s="161"/>
    </row>
    <row r="2073" spans="1:68" ht="25.5">
      <c r="A2073" s="210"/>
      <c r="B2073" s="195" t="s">
        <v>9928</v>
      </c>
      <c r="C2073" s="196" t="s">
        <v>9929</v>
      </c>
      <c r="D2073" s="146" t="s">
        <v>4692</v>
      </c>
      <c r="E2073" s="196" t="s">
        <v>9929</v>
      </c>
      <c r="F2073" s="150">
        <v>59917.35</v>
      </c>
      <c r="G2073" s="209">
        <v>0</v>
      </c>
      <c r="H2073" s="209">
        <v>3642.3</v>
      </c>
      <c r="I2073" s="209">
        <v>3642.3</v>
      </c>
      <c r="J2073" s="150">
        <v>0</v>
      </c>
      <c r="K2073" s="150">
        <v>47205.14</v>
      </c>
      <c r="L2073" s="150">
        <f t="shared" si="1744"/>
        <v>47205.14</v>
      </c>
      <c r="M2073" s="150">
        <v>0</v>
      </c>
      <c r="N2073" s="150">
        <v>19312.150000000001</v>
      </c>
      <c r="O2073" s="150">
        <v>19312.150000000001</v>
      </c>
      <c r="P2073" s="150">
        <v>0</v>
      </c>
      <c r="Q2073" s="150">
        <v>29073.96</v>
      </c>
      <c r="R2073" s="150">
        <f t="shared" si="1738"/>
        <v>29073.96</v>
      </c>
      <c r="S2073" s="150">
        <f t="shared" si="1732"/>
        <v>38765.279999999999</v>
      </c>
      <c r="T2073" s="150"/>
      <c r="U2073" s="150">
        <v>0</v>
      </c>
      <c r="V2073" s="199">
        <v>38730.35</v>
      </c>
      <c r="W2073" s="150">
        <f t="shared" si="1739"/>
        <v>38730.35</v>
      </c>
      <c r="X2073" s="150">
        <v>0</v>
      </c>
      <c r="Y2073" s="150">
        <v>38730.35</v>
      </c>
      <c r="Z2073" s="150">
        <v>38730.35</v>
      </c>
      <c r="AA2073" s="150">
        <f t="shared" si="1727"/>
        <v>0</v>
      </c>
      <c r="AB2073" s="150">
        <v>0</v>
      </c>
      <c r="AC2073" s="199">
        <v>38730.35</v>
      </c>
      <c r="AD2073" s="150">
        <f t="shared" si="1740"/>
        <v>38730.35</v>
      </c>
      <c r="AE2073" s="150">
        <v>38730.35</v>
      </c>
      <c r="AF2073" s="169" t="s">
        <v>4680</v>
      </c>
      <c r="AG2073" s="201">
        <v>0</v>
      </c>
      <c r="AH2073" s="200">
        <v>38730.35</v>
      </c>
      <c r="AI2073" s="150">
        <v>38730.35</v>
      </c>
      <c r="AJ2073" s="169">
        <f t="shared" si="1728"/>
        <v>0</v>
      </c>
      <c r="AK2073" s="201">
        <v>0</v>
      </c>
      <c r="AL2073" s="200">
        <v>38730.35</v>
      </c>
      <c r="AM2073" s="150">
        <f t="shared" si="1741"/>
        <v>38730.35</v>
      </c>
      <c r="AN2073" s="153">
        <f t="shared" si="1729"/>
        <v>0</v>
      </c>
      <c r="AO2073" s="154">
        <f t="shared" si="1730"/>
        <v>0</v>
      </c>
      <c r="AP2073" s="150">
        <v>38730.35</v>
      </c>
      <c r="AQ2073" s="201">
        <v>38730.35</v>
      </c>
      <c r="AR2073" s="199"/>
      <c r="AS2073" s="150">
        <f t="shared" si="1742"/>
        <v>38730.35</v>
      </c>
      <c r="AT2073" s="155"/>
      <c r="AU2073" s="156">
        <f t="shared" si="1725"/>
        <v>0</v>
      </c>
      <c r="AV2073" s="156">
        <f t="shared" si="1726"/>
        <v>0</v>
      </c>
      <c r="AW2073" s="157"/>
      <c r="AX2073" s="150">
        <v>38730.35</v>
      </c>
      <c r="AY2073" s="150">
        <v>0</v>
      </c>
      <c r="AZ2073" s="150">
        <v>25890.86</v>
      </c>
      <c r="BA2073" s="150">
        <f t="shared" si="1743"/>
        <v>38836.29</v>
      </c>
      <c r="BB2073" s="210"/>
      <c r="BC2073" s="210"/>
      <c r="BD2073" s="210"/>
      <c r="BE2073" s="210"/>
      <c r="BF2073" s="210"/>
      <c r="BG2073" s="210"/>
      <c r="BH2073" s="217"/>
      <c r="BI2073" s="210"/>
      <c r="BJ2073" s="210"/>
      <c r="BK2073" s="210"/>
      <c r="BL2073" s="210"/>
      <c r="BM2073" s="208"/>
      <c r="BN2073" s="160"/>
      <c r="BO2073" s="161"/>
      <c r="BP2073" s="161"/>
    </row>
    <row r="2074" spans="1:68" ht="25.5">
      <c r="A2074" s="194" t="s">
        <v>9881</v>
      </c>
      <c r="B2074" s="195" t="s">
        <v>9930</v>
      </c>
      <c r="C2074" s="196" t="s">
        <v>9931</v>
      </c>
      <c r="D2074" s="146" t="s">
        <v>4692</v>
      </c>
      <c r="E2074" s="196" t="s">
        <v>9931</v>
      </c>
      <c r="F2074" s="150">
        <v>3642.3</v>
      </c>
      <c r="G2074" s="209">
        <v>0</v>
      </c>
      <c r="H2074" s="209"/>
      <c r="I2074" s="209">
        <v>0</v>
      </c>
      <c r="J2074" s="150">
        <v>0</v>
      </c>
      <c r="K2074" s="150">
        <v>3642.3</v>
      </c>
      <c r="L2074" s="150">
        <f t="shared" si="1744"/>
        <v>3642.3</v>
      </c>
      <c r="M2074" s="150">
        <v>0</v>
      </c>
      <c r="N2074" s="150">
        <v>11866.41</v>
      </c>
      <c r="O2074" s="150">
        <v>11866.41</v>
      </c>
      <c r="P2074" s="150">
        <v>0</v>
      </c>
      <c r="Q2074" s="150">
        <v>17864.7</v>
      </c>
      <c r="R2074" s="150">
        <f t="shared" si="1738"/>
        <v>17864.7</v>
      </c>
      <c r="S2074" s="150">
        <f t="shared" si="1732"/>
        <v>23819.599999999999</v>
      </c>
      <c r="T2074" s="150"/>
      <c r="U2074" s="150">
        <v>0</v>
      </c>
      <c r="V2074" s="199">
        <v>23798.03</v>
      </c>
      <c r="W2074" s="150">
        <f t="shared" si="1739"/>
        <v>23798.03</v>
      </c>
      <c r="X2074" s="150">
        <v>0</v>
      </c>
      <c r="Y2074" s="150">
        <v>23798.03</v>
      </c>
      <c r="Z2074" s="150">
        <v>23798.03</v>
      </c>
      <c r="AA2074" s="150">
        <f t="shared" si="1727"/>
        <v>0</v>
      </c>
      <c r="AB2074" s="150">
        <v>0</v>
      </c>
      <c r="AC2074" s="199">
        <v>23798.03</v>
      </c>
      <c r="AD2074" s="150">
        <f t="shared" si="1740"/>
        <v>23798.03</v>
      </c>
      <c r="AE2074" s="150">
        <v>23798.03</v>
      </c>
      <c r="AF2074" s="169" t="s">
        <v>4680</v>
      </c>
      <c r="AG2074" s="201">
        <v>0</v>
      </c>
      <c r="AH2074" s="200">
        <v>23798.03</v>
      </c>
      <c r="AI2074" s="150">
        <v>23798.03</v>
      </c>
      <c r="AJ2074" s="169">
        <f t="shared" si="1728"/>
        <v>0</v>
      </c>
      <c r="AK2074" s="201">
        <v>0</v>
      </c>
      <c r="AL2074" s="200">
        <v>23798.03</v>
      </c>
      <c r="AM2074" s="150">
        <f t="shared" si="1741"/>
        <v>23798.03</v>
      </c>
      <c r="AN2074" s="153">
        <f t="shared" si="1729"/>
        <v>0</v>
      </c>
      <c r="AO2074" s="154">
        <f t="shared" si="1730"/>
        <v>0</v>
      </c>
      <c r="AP2074" s="150">
        <v>23798.03</v>
      </c>
      <c r="AQ2074" s="201">
        <v>23798.03</v>
      </c>
      <c r="AR2074" s="199"/>
      <c r="AS2074" s="150">
        <f t="shared" si="1742"/>
        <v>23798.03</v>
      </c>
      <c r="AT2074" s="155"/>
      <c r="AU2074" s="156">
        <f t="shared" si="1725"/>
        <v>0</v>
      </c>
      <c r="AV2074" s="156">
        <f t="shared" si="1726"/>
        <v>0</v>
      </c>
      <c r="AW2074" s="157"/>
      <c r="AX2074" s="150">
        <v>23798.03</v>
      </c>
      <c r="AY2074" s="150">
        <v>0</v>
      </c>
      <c r="AZ2074" s="150">
        <v>15908.74</v>
      </c>
      <c r="BA2074" s="150">
        <f t="shared" si="1743"/>
        <v>23863.11</v>
      </c>
      <c r="BB2074" s="202">
        <v>5</v>
      </c>
      <c r="BC2074" s="202">
        <v>12</v>
      </c>
      <c r="BD2074" s="202" t="s">
        <v>632</v>
      </c>
      <c r="BE2074" s="202" t="s">
        <v>632</v>
      </c>
      <c r="BF2074" s="202" t="s">
        <v>693</v>
      </c>
      <c r="BG2074" s="203" t="s">
        <v>9932</v>
      </c>
      <c r="BH2074" s="216">
        <f>SUM(AS2074:AS2076)</f>
        <v>23798.03</v>
      </c>
      <c r="BI2074" s="202"/>
      <c r="BJ2074" s="194" t="s">
        <v>9883</v>
      </c>
      <c r="BK2074" s="194" t="s">
        <v>9881</v>
      </c>
      <c r="BL2074" s="207" t="s">
        <v>9884</v>
      </c>
      <c r="BM2074" s="208">
        <f>BH2074</f>
        <v>23798.03</v>
      </c>
      <c r="BN2074" s="160"/>
      <c r="BO2074" s="161"/>
      <c r="BP2074" s="161"/>
    </row>
    <row r="2075" spans="1:68">
      <c r="A2075" s="210"/>
      <c r="B2075" s="195" t="s">
        <v>9933</v>
      </c>
      <c r="C2075" s="196" t="s">
        <v>9934</v>
      </c>
      <c r="D2075" s="146" t="s">
        <v>4692</v>
      </c>
      <c r="E2075" s="196" t="s">
        <v>9934</v>
      </c>
      <c r="F2075" s="150">
        <v>0</v>
      </c>
      <c r="G2075" s="209">
        <v>0</v>
      </c>
      <c r="H2075" s="209"/>
      <c r="I2075" s="209">
        <v>0</v>
      </c>
      <c r="J2075" s="150">
        <v>0</v>
      </c>
      <c r="K2075" s="150">
        <v>0</v>
      </c>
      <c r="L2075" s="150">
        <f t="shared" si="1744"/>
        <v>0</v>
      </c>
      <c r="M2075" s="150">
        <v>0</v>
      </c>
      <c r="N2075" s="150"/>
      <c r="O2075" s="150">
        <v>0</v>
      </c>
      <c r="P2075" s="150">
        <v>0</v>
      </c>
      <c r="Q2075" s="150">
        <v>0</v>
      </c>
      <c r="R2075" s="150">
        <f t="shared" si="1738"/>
        <v>0</v>
      </c>
      <c r="S2075" s="150">
        <f t="shared" si="1732"/>
        <v>0</v>
      </c>
      <c r="T2075" s="150"/>
      <c r="U2075" s="150">
        <v>0</v>
      </c>
      <c r="V2075" s="199"/>
      <c r="W2075" s="150">
        <f t="shared" si="1739"/>
        <v>0</v>
      </c>
      <c r="X2075" s="150">
        <v>0</v>
      </c>
      <c r="Y2075" s="150"/>
      <c r="Z2075" s="150">
        <v>0</v>
      </c>
      <c r="AA2075" s="150">
        <f t="shared" si="1727"/>
        <v>0</v>
      </c>
      <c r="AB2075" s="150">
        <v>0</v>
      </c>
      <c r="AC2075" s="199"/>
      <c r="AD2075" s="150">
        <f t="shared" si="1740"/>
        <v>0</v>
      </c>
      <c r="AE2075" s="150">
        <v>0</v>
      </c>
      <c r="AF2075" s="169" t="s">
        <v>4680</v>
      </c>
      <c r="AG2075" s="201">
        <v>0</v>
      </c>
      <c r="AH2075" s="199"/>
      <c r="AI2075" s="150">
        <v>0</v>
      </c>
      <c r="AJ2075" s="169">
        <f t="shared" si="1728"/>
        <v>0</v>
      </c>
      <c r="AK2075" s="201">
        <v>0</v>
      </c>
      <c r="AL2075" s="199"/>
      <c r="AM2075" s="150">
        <f t="shared" si="1741"/>
        <v>0</v>
      </c>
      <c r="AN2075" s="153">
        <f t="shared" si="1729"/>
        <v>0</v>
      </c>
      <c r="AO2075" s="154">
        <f t="shared" si="1730"/>
        <v>0</v>
      </c>
      <c r="AP2075" s="150">
        <v>0</v>
      </c>
      <c r="AQ2075" s="201">
        <v>0</v>
      </c>
      <c r="AR2075" s="199"/>
      <c r="AS2075" s="150">
        <f t="shared" si="1742"/>
        <v>0</v>
      </c>
      <c r="AT2075" s="155"/>
      <c r="AU2075" s="156">
        <f t="shared" si="1725"/>
        <v>0</v>
      </c>
      <c r="AV2075" s="156">
        <f t="shared" si="1726"/>
        <v>0</v>
      </c>
      <c r="AW2075" s="157"/>
      <c r="AX2075" s="150">
        <v>0</v>
      </c>
      <c r="AY2075" s="150">
        <v>0</v>
      </c>
      <c r="AZ2075" s="150"/>
      <c r="BA2075" s="150">
        <f t="shared" si="1743"/>
        <v>0</v>
      </c>
      <c r="BB2075" s="210"/>
      <c r="BC2075" s="210"/>
      <c r="BD2075" s="210"/>
      <c r="BE2075" s="210"/>
      <c r="BF2075" s="210"/>
      <c r="BG2075" s="210"/>
      <c r="BH2075" s="217"/>
      <c r="BI2075" s="210"/>
      <c r="BJ2075" s="210"/>
      <c r="BK2075" s="210"/>
      <c r="BL2075" s="210"/>
      <c r="BM2075" s="208"/>
      <c r="BN2075" s="160"/>
      <c r="BO2075" s="161">
        <f t="shared" si="1697"/>
        <v>0</v>
      </c>
      <c r="BP2075" s="161"/>
    </row>
    <row r="2076" spans="1:68" ht="25.5">
      <c r="A2076" s="210"/>
      <c r="B2076" s="195" t="s">
        <v>9935</v>
      </c>
      <c r="C2076" s="196" t="s">
        <v>9936</v>
      </c>
      <c r="D2076" s="146" t="s">
        <v>4692</v>
      </c>
      <c r="E2076" s="196" t="s">
        <v>9936</v>
      </c>
      <c r="F2076" s="150">
        <v>0</v>
      </c>
      <c r="G2076" s="209">
        <v>0</v>
      </c>
      <c r="H2076" s="209"/>
      <c r="I2076" s="209">
        <v>0</v>
      </c>
      <c r="J2076" s="150">
        <v>0</v>
      </c>
      <c r="K2076" s="150">
        <v>0</v>
      </c>
      <c r="L2076" s="150">
        <f t="shared" si="1744"/>
        <v>0</v>
      </c>
      <c r="M2076" s="150">
        <v>0</v>
      </c>
      <c r="N2076" s="150"/>
      <c r="O2076" s="150">
        <v>0</v>
      </c>
      <c r="P2076" s="150">
        <v>0</v>
      </c>
      <c r="Q2076" s="150">
        <v>0</v>
      </c>
      <c r="R2076" s="150">
        <f t="shared" si="1738"/>
        <v>0</v>
      </c>
      <c r="S2076" s="150">
        <f t="shared" si="1732"/>
        <v>0</v>
      </c>
      <c r="T2076" s="150"/>
      <c r="U2076" s="150">
        <v>0</v>
      </c>
      <c r="V2076" s="199"/>
      <c r="W2076" s="150">
        <f t="shared" si="1739"/>
        <v>0</v>
      </c>
      <c r="X2076" s="150">
        <v>0</v>
      </c>
      <c r="Y2076" s="150"/>
      <c r="Z2076" s="150">
        <v>0</v>
      </c>
      <c r="AA2076" s="150">
        <f t="shared" si="1727"/>
        <v>0</v>
      </c>
      <c r="AB2076" s="150">
        <v>0</v>
      </c>
      <c r="AC2076" s="199"/>
      <c r="AD2076" s="150">
        <f t="shared" si="1740"/>
        <v>0</v>
      </c>
      <c r="AE2076" s="150">
        <v>0</v>
      </c>
      <c r="AF2076" s="169" t="s">
        <v>4680</v>
      </c>
      <c r="AG2076" s="201">
        <v>0</v>
      </c>
      <c r="AH2076" s="199"/>
      <c r="AI2076" s="150">
        <v>0</v>
      </c>
      <c r="AJ2076" s="169">
        <f t="shared" si="1728"/>
        <v>0</v>
      </c>
      <c r="AK2076" s="201">
        <v>0</v>
      </c>
      <c r="AL2076" s="199"/>
      <c r="AM2076" s="150">
        <f t="shared" si="1741"/>
        <v>0</v>
      </c>
      <c r="AN2076" s="153">
        <f t="shared" si="1729"/>
        <v>0</v>
      </c>
      <c r="AO2076" s="154">
        <f t="shared" si="1730"/>
        <v>0</v>
      </c>
      <c r="AP2076" s="150">
        <v>0</v>
      </c>
      <c r="AQ2076" s="201">
        <v>0</v>
      </c>
      <c r="AR2076" s="199"/>
      <c r="AS2076" s="150">
        <f t="shared" si="1742"/>
        <v>0</v>
      </c>
      <c r="AT2076" s="155"/>
      <c r="AU2076" s="156">
        <f t="shared" si="1725"/>
        <v>0</v>
      </c>
      <c r="AV2076" s="156">
        <f t="shared" si="1726"/>
        <v>0</v>
      </c>
      <c r="AW2076" s="157"/>
      <c r="AX2076" s="150">
        <v>0</v>
      </c>
      <c r="AY2076" s="150">
        <v>0</v>
      </c>
      <c r="AZ2076" s="150"/>
      <c r="BA2076" s="150">
        <f t="shared" si="1743"/>
        <v>0</v>
      </c>
      <c r="BB2076" s="210"/>
      <c r="BC2076" s="210"/>
      <c r="BD2076" s="210"/>
      <c r="BE2076" s="210"/>
      <c r="BF2076" s="210"/>
      <c r="BG2076" s="210"/>
      <c r="BH2076" s="217"/>
      <c r="BI2076" s="210"/>
      <c r="BJ2076" s="210"/>
      <c r="BK2076" s="210"/>
      <c r="BL2076" s="210"/>
      <c r="BM2076" s="208"/>
      <c r="BN2076" s="160"/>
      <c r="BO2076" s="161">
        <f t="shared" si="1697"/>
        <v>0</v>
      </c>
      <c r="BP2076" s="161"/>
    </row>
    <row r="2077" spans="1:68" ht="25.5">
      <c r="A2077" s="194" t="s">
        <v>9881</v>
      </c>
      <c r="B2077" s="195" t="s">
        <v>9937</v>
      </c>
      <c r="C2077" s="196" t="s">
        <v>9938</v>
      </c>
      <c r="D2077" s="146" t="s">
        <v>4692</v>
      </c>
      <c r="E2077" s="196" t="s">
        <v>9938</v>
      </c>
      <c r="F2077" s="150">
        <v>0</v>
      </c>
      <c r="G2077" s="209">
        <v>0</v>
      </c>
      <c r="H2077" s="209">
        <v>142750.81</v>
      </c>
      <c r="I2077" s="209">
        <v>142750.81</v>
      </c>
      <c r="J2077" s="150">
        <v>0</v>
      </c>
      <c r="K2077" s="150">
        <v>0</v>
      </c>
      <c r="L2077" s="150">
        <f t="shared" si="1744"/>
        <v>0</v>
      </c>
      <c r="M2077" s="150">
        <v>0</v>
      </c>
      <c r="N2077" s="150"/>
      <c r="O2077" s="150">
        <v>0</v>
      </c>
      <c r="P2077" s="150">
        <v>0</v>
      </c>
      <c r="Q2077" s="150">
        <v>0</v>
      </c>
      <c r="R2077" s="150">
        <f t="shared" si="1738"/>
        <v>0</v>
      </c>
      <c r="S2077" s="150">
        <f t="shared" si="1732"/>
        <v>0</v>
      </c>
      <c r="T2077" s="150"/>
      <c r="U2077" s="150">
        <v>0</v>
      </c>
      <c r="V2077" s="199"/>
      <c r="W2077" s="150">
        <f t="shared" si="1739"/>
        <v>0</v>
      </c>
      <c r="X2077" s="150">
        <v>0</v>
      </c>
      <c r="Y2077" s="150"/>
      <c r="Z2077" s="150">
        <v>0</v>
      </c>
      <c r="AA2077" s="150">
        <f t="shared" si="1727"/>
        <v>0</v>
      </c>
      <c r="AB2077" s="150">
        <v>0</v>
      </c>
      <c r="AC2077" s="199"/>
      <c r="AD2077" s="150">
        <f t="shared" si="1740"/>
        <v>0</v>
      </c>
      <c r="AE2077" s="150">
        <v>0</v>
      </c>
      <c r="AF2077" s="169" t="s">
        <v>4680</v>
      </c>
      <c r="AG2077" s="201">
        <v>0</v>
      </c>
      <c r="AH2077" s="199"/>
      <c r="AI2077" s="150">
        <v>0</v>
      </c>
      <c r="AJ2077" s="169">
        <f t="shared" si="1728"/>
        <v>0</v>
      </c>
      <c r="AK2077" s="201">
        <v>0</v>
      </c>
      <c r="AL2077" s="199"/>
      <c r="AM2077" s="150">
        <f t="shared" si="1741"/>
        <v>0</v>
      </c>
      <c r="AN2077" s="153">
        <f t="shared" si="1729"/>
        <v>0</v>
      </c>
      <c r="AO2077" s="154">
        <f t="shared" si="1730"/>
        <v>0</v>
      </c>
      <c r="AP2077" s="150">
        <v>0</v>
      </c>
      <c r="AQ2077" s="201">
        <v>0</v>
      </c>
      <c r="AR2077" s="199"/>
      <c r="AS2077" s="150">
        <f t="shared" si="1742"/>
        <v>0</v>
      </c>
      <c r="AT2077" s="155"/>
      <c r="AU2077" s="156">
        <f t="shared" si="1725"/>
        <v>0</v>
      </c>
      <c r="AV2077" s="156">
        <f t="shared" si="1726"/>
        <v>0</v>
      </c>
      <c r="AW2077" s="157"/>
      <c r="AX2077" s="150">
        <v>0</v>
      </c>
      <c r="AY2077" s="150">
        <v>0</v>
      </c>
      <c r="AZ2077" s="150"/>
      <c r="BA2077" s="150">
        <f t="shared" si="1743"/>
        <v>0</v>
      </c>
      <c r="BB2077" s="202">
        <v>5</v>
      </c>
      <c r="BC2077" s="202">
        <v>12</v>
      </c>
      <c r="BD2077" s="202" t="s">
        <v>632</v>
      </c>
      <c r="BE2077" s="202" t="s">
        <v>632</v>
      </c>
      <c r="BF2077" s="202" t="s">
        <v>714</v>
      </c>
      <c r="BG2077" s="203" t="s">
        <v>9882</v>
      </c>
      <c r="BH2077" s="216">
        <f>SUM(AS2077:AS2081)</f>
        <v>167701.87999999998</v>
      </c>
      <c r="BI2077" s="202"/>
      <c r="BJ2077" s="194" t="s">
        <v>9883</v>
      </c>
      <c r="BK2077" s="194" t="s">
        <v>9881</v>
      </c>
      <c r="BL2077" s="207" t="s">
        <v>9884</v>
      </c>
      <c r="BM2077" s="208">
        <f>BH2077</f>
        <v>167701.87999999998</v>
      </c>
      <c r="BN2077" s="160"/>
      <c r="BO2077" s="161"/>
      <c r="BP2077" s="161"/>
    </row>
    <row r="2078" spans="1:68" ht="25.5">
      <c r="A2078" s="210"/>
      <c r="B2078" s="195" t="s">
        <v>9939</v>
      </c>
      <c r="C2078" s="196" t="s">
        <v>9940</v>
      </c>
      <c r="D2078" s="146" t="s">
        <v>4692</v>
      </c>
      <c r="E2078" s="196" t="s">
        <v>9940</v>
      </c>
      <c r="F2078" s="150">
        <v>142750.81</v>
      </c>
      <c r="G2078" s="209">
        <v>0</v>
      </c>
      <c r="H2078" s="209">
        <v>35324.51</v>
      </c>
      <c r="I2078" s="209">
        <v>35324.51</v>
      </c>
      <c r="J2078" s="150">
        <v>0</v>
      </c>
      <c r="K2078" s="150">
        <v>142750.81</v>
      </c>
      <c r="L2078" s="150">
        <f t="shared" si="1744"/>
        <v>142750.81</v>
      </c>
      <c r="M2078" s="150">
        <v>0</v>
      </c>
      <c r="N2078" s="150">
        <v>65025.279999999999</v>
      </c>
      <c r="O2078" s="150">
        <v>65025.279999999999</v>
      </c>
      <c r="P2078" s="150">
        <v>0</v>
      </c>
      <c r="Q2078" s="150">
        <v>98024.03</v>
      </c>
      <c r="R2078" s="150">
        <f t="shared" si="1738"/>
        <v>98024.03</v>
      </c>
      <c r="S2078" s="150">
        <f t="shared" si="1732"/>
        <v>130698.70666666667</v>
      </c>
      <c r="T2078" s="150"/>
      <c r="U2078" s="150">
        <v>0</v>
      </c>
      <c r="V2078" s="199">
        <v>130945.76</v>
      </c>
      <c r="W2078" s="150">
        <f t="shared" si="1739"/>
        <v>130945.76</v>
      </c>
      <c r="X2078" s="150">
        <v>0</v>
      </c>
      <c r="Y2078" s="150">
        <v>130945.76</v>
      </c>
      <c r="Z2078" s="150">
        <v>130945.76</v>
      </c>
      <c r="AA2078" s="150">
        <f t="shared" si="1727"/>
        <v>1401.9000000010856</v>
      </c>
      <c r="AB2078" s="150">
        <v>0</v>
      </c>
      <c r="AC2078" s="199">
        <v>132347.66000000108</v>
      </c>
      <c r="AD2078" s="150">
        <f t="shared" si="1740"/>
        <v>132347.66000000108</v>
      </c>
      <c r="AE2078" s="150">
        <v>132444.01000000071</v>
      </c>
      <c r="AF2078" s="169" t="s">
        <v>4680</v>
      </c>
      <c r="AG2078" s="201">
        <v>0</v>
      </c>
      <c r="AH2078" s="200">
        <v>132444.01000000071</v>
      </c>
      <c r="AI2078" s="150">
        <v>132444.01000000071</v>
      </c>
      <c r="AJ2078" s="169">
        <f t="shared" si="1728"/>
        <v>0</v>
      </c>
      <c r="AK2078" s="201">
        <v>0</v>
      </c>
      <c r="AL2078" s="200">
        <v>132444.01000000071</v>
      </c>
      <c r="AM2078" s="150">
        <f t="shared" si="1741"/>
        <v>132444.01000000071</v>
      </c>
      <c r="AN2078" s="153">
        <f t="shared" si="1729"/>
        <v>237.31999999927939</v>
      </c>
      <c r="AO2078" s="154">
        <f t="shared" si="1730"/>
        <v>0</v>
      </c>
      <c r="AP2078" s="150">
        <v>132681.32999999999</v>
      </c>
      <c r="AQ2078" s="201">
        <v>132681.32999999999</v>
      </c>
      <c r="AR2078" s="199"/>
      <c r="AS2078" s="150">
        <f t="shared" si="1742"/>
        <v>132681.32999999999</v>
      </c>
      <c r="AT2078" s="155"/>
      <c r="AU2078" s="156">
        <f t="shared" si="1725"/>
        <v>96.349999999627471</v>
      </c>
      <c r="AV2078" s="156">
        <f t="shared" si="1726"/>
        <v>1401.9000000010856</v>
      </c>
      <c r="AW2078" s="157"/>
      <c r="AX2078" s="150">
        <v>130945.76</v>
      </c>
      <c r="AY2078" s="150">
        <v>0</v>
      </c>
      <c r="AZ2078" s="150">
        <v>87225.51</v>
      </c>
      <c r="BA2078" s="150">
        <f t="shared" si="1743"/>
        <v>130838.26499999998</v>
      </c>
      <c r="BB2078" s="210"/>
      <c r="BC2078" s="210"/>
      <c r="BD2078" s="210"/>
      <c r="BE2078" s="210"/>
      <c r="BF2078" s="210"/>
      <c r="BG2078" s="210"/>
      <c r="BH2078" s="217"/>
      <c r="BI2078" s="210"/>
      <c r="BJ2078" s="210"/>
      <c r="BK2078" s="210"/>
      <c r="BL2078" s="210"/>
      <c r="BM2078" s="208"/>
      <c r="BN2078" s="160"/>
      <c r="BO2078" s="161"/>
      <c r="BP2078" s="161"/>
    </row>
    <row r="2079" spans="1:68">
      <c r="A2079" s="210"/>
      <c r="B2079" s="195" t="s">
        <v>9941</v>
      </c>
      <c r="C2079" s="196" t="s">
        <v>9942</v>
      </c>
      <c r="D2079" s="146" t="s">
        <v>4692</v>
      </c>
      <c r="E2079" s="196" t="s">
        <v>9942</v>
      </c>
      <c r="F2079" s="150">
        <v>35324.51</v>
      </c>
      <c r="G2079" s="209">
        <v>0</v>
      </c>
      <c r="H2079" s="209"/>
      <c r="I2079" s="209">
        <v>0</v>
      </c>
      <c r="J2079" s="150">
        <v>0</v>
      </c>
      <c r="K2079" s="150">
        <v>35324.51</v>
      </c>
      <c r="L2079" s="150">
        <f t="shared" si="1744"/>
        <v>35324.51</v>
      </c>
      <c r="M2079" s="150">
        <v>0</v>
      </c>
      <c r="N2079" s="150">
        <v>16872.47</v>
      </c>
      <c r="O2079" s="150">
        <v>16872.47</v>
      </c>
      <c r="P2079" s="150">
        <v>0</v>
      </c>
      <c r="Q2079" s="150">
        <v>25482.55</v>
      </c>
      <c r="R2079" s="150">
        <f t="shared" si="1738"/>
        <v>25482.55</v>
      </c>
      <c r="S2079" s="150">
        <f t="shared" si="1732"/>
        <v>33976.73333333333</v>
      </c>
      <c r="T2079" s="150"/>
      <c r="U2079" s="150">
        <v>0</v>
      </c>
      <c r="V2079" s="199">
        <v>34481.31</v>
      </c>
      <c r="W2079" s="150">
        <f t="shared" si="1739"/>
        <v>34481.31</v>
      </c>
      <c r="X2079" s="150">
        <v>0</v>
      </c>
      <c r="Y2079" s="150">
        <v>34481.31</v>
      </c>
      <c r="Z2079" s="150">
        <v>34481.31</v>
      </c>
      <c r="AA2079" s="150">
        <f t="shared" si="1727"/>
        <v>-396.57999999999447</v>
      </c>
      <c r="AB2079" s="150">
        <v>0</v>
      </c>
      <c r="AC2079" s="199">
        <v>34084.730000000003</v>
      </c>
      <c r="AD2079" s="150">
        <f t="shared" si="1740"/>
        <v>34084.730000000003</v>
      </c>
      <c r="AE2079" s="150">
        <v>34084.730000000003</v>
      </c>
      <c r="AF2079" s="169" t="s">
        <v>4680</v>
      </c>
      <c r="AG2079" s="201">
        <v>0</v>
      </c>
      <c r="AH2079" s="200">
        <v>34084.730000000003</v>
      </c>
      <c r="AI2079" s="150">
        <v>34084.730000000003</v>
      </c>
      <c r="AJ2079" s="169">
        <f t="shared" si="1728"/>
        <v>0</v>
      </c>
      <c r="AK2079" s="201">
        <v>0</v>
      </c>
      <c r="AL2079" s="200">
        <v>34084.730000000003</v>
      </c>
      <c r="AM2079" s="150">
        <f t="shared" si="1741"/>
        <v>34084.730000000003</v>
      </c>
      <c r="AN2079" s="153">
        <f t="shared" si="1729"/>
        <v>396.57999999999447</v>
      </c>
      <c r="AO2079" s="154">
        <f t="shared" si="1730"/>
        <v>0</v>
      </c>
      <c r="AP2079" s="150">
        <v>34481.31</v>
      </c>
      <c r="AQ2079" s="201">
        <v>34481.31</v>
      </c>
      <c r="AR2079" s="199"/>
      <c r="AS2079" s="150">
        <f t="shared" si="1742"/>
        <v>34481.31</v>
      </c>
      <c r="AT2079" s="155"/>
      <c r="AU2079" s="156">
        <f t="shared" si="1725"/>
        <v>0</v>
      </c>
      <c r="AV2079" s="156">
        <f t="shared" si="1726"/>
        <v>-396.57999999999447</v>
      </c>
      <c r="AW2079" s="157"/>
      <c r="AX2079" s="150">
        <v>34481.31</v>
      </c>
      <c r="AY2079" s="150">
        <v>0</v>
      </c>
      <c r="AZ2079" s="150">
        <v>22674.95</v>
      </c>
      <c r="BA2079" s="150">
        <f t="shared" si="1743"/>
        <v>34012.425000000003</v>
      </c>
      <c r="BB2079" s="210"/>
      <c r="BC2079" s="210"/>
      <c r="BD2079" s="210"/>
      <c r="BE2079" s="210"/>
      <c r="BF2079" s="210"/>
      <c r="BG2079" s="210"/>
      <c r="BH2079" s="217"/>
      <c r="BI2079" s="210"/>
      <c r="BJ2079" s="210"/>
      <c r="BK2079" s="210"/>
      <c r="BL2079" s="210"/>
      <c r="BM2079" s="208"/>
      <c r="BN2079" s="160"/>
      <c r="BO2079" s="161"/>
      <c r="BP2079" s="161"/>
    </row>
    <row r="2080" spans="1:68" ht="25.5">
      <c r="A2080" s="210"/>
      <c r="B2080" s="195" t="s">
        <v>9943</v>
      </c>
      <c r="C2080" s="196" t="s">
        <v>9944</v>
      </c>
      <c r="D2080" s="146" t="s">
        <v>4692</v>
      </c>
      <c r="E2080" s="196" t="s">
        <v>9944</v>
      </c>
      <c r="F2080" s="150">
        <v>0</v>
      </c>
      <c r="G2080" s="209">
        <v>0</v>
      </c>
      <c r="H2080" s="209">
        <v>539.24</v>
      </c>
      <c r="I2080" s="209">
        <v>539.24</v>
      </c>
      <c r="J2080" s="150">
        <v>0</v>
      </c>
      <c r="K2080" s="150">
        <v>0</v>
      </c>
      <c r="L2080" s="150">
        <f t="shared" si="1744"/>
        <v>0</v>
      </c>
      <c r="M2080" s="150">
        <v>0</v>
      </c>
      <c r="N2080" s="150"/>
      <c r="O2080" s="150">
        <v>0</v>
      </c>
      <c r="P2080" s="150">
        <v>0</v>
      </c>
      <c r="Q2080" s="150">
        <v>0</v>
      </c>
      <c r="R2080" s="150">
        <f t="shared" si="1738"/>
        <v>0</v>
      </c>
      <c r="S2080" s="150">
        <f t="shared" si="1732"/>
        <v>0</v>
      </c>
      <c r="T2080" s="150"/>
      <c r="U2080" s="150">
        <v>0</v>
      </c>
      <c r="V2080" s="199"/>
      <c r="W2080" s="150">
        <f t="shared" si="1739"/>
        <v>0</v>
      </c>
      <c r="X2080" s="150">
        <v>0</v>
      </c>
      <c r="Y2080" s="150"/>
      <c r="Z2080" s="150">
        <v>0</v>
      </c>
      <c r="AA2080" s="150">
        <f t="shared" si="1727"/>
        <v>0</v>
      </c>
      <c r="AB2080" s="150">
        <v>0</v>
      </c>
      <c r="AC2080" s="199"/>
      <c r="AD2080" s="150">
        <f t="shared" si="1740"/>
        <v>0</v>
      </c>
      <c r="AE2080" s="150">
        <v>0</v>
      </c>
      <c r="AF2080" s="169" t="s">
        <v>4680</v>
      </c>
      <c r="AG2080" s="201">
        <v>0</v>
      </c>
      <c r="AH2080" s="199"/>
      <c r="AI2080" s="150">
        <v>0</v>
      </c>
      <c r="AJ2080" s="169">
        <f t="shared" si="1728"/>
        <v>0</v>
      </c>
      <c r="AK2080" s="201">
        <v>0</v>
      </c>
      <c r="AL2080" s="199"/>
      <c r="AM2080" s="150">
        <f t="shared" si="1741"/>
        <v>0</v>
      </c>
      <c r="AN2080" s="153">
        <f t="shared" si="1729"/>
        <v>0</v>
      </c>
      <c r="AO2080" s="154">
        <f t="shared" si="1730"/>
        <v>0</v>
      </c>
      <c r="AP2080" s="150">
        <v>0</v>
      </c>
      <c r="AQ2080" s="201">
        <v>0</v>
      </c>
      <c r="AR2080" s="199"/>
      <c r="AS2080" s="150">
        <f t="shared" si="1742"/>
        <v>0</v>
      </c>
      <c r="AT2080" s="155"/>
      <c r="AU2080" s="156">
        <f t="shared" si="1725"/>
        <v>0</v>
      </c>
      <c r="AV2080" s="156">
        <f t="shared" si="1726"/>
        <v>0</v>
      </c>
      <c r="AW2080" s="157"/>
      <c r="AX2080" s="150">
        <v>0</v>
      </c>
      <c r="AY2080" s="150">
        <v>0</v>
      </c>
      <c r="AZ2080" s="150"/>
      <c r="BA2080" s="150">
        <f t="shared" si="1743"/>
        <v>0</v>
      </c>
      <c r="BB2080" s="210"/>
      <c r="BC2080" s="210"/>
      <c r="BD2080" s="210"/>
      <c r="BE2080" s="210"/>
      <c r="BF2080" s="210"/>
      <c r="BG2080" s="210"/>
      <c r="BH2080" s="217"/>
      <c r="BI2080" s="210"/>
      <c r="BJ2080" s="210"/>
      <c r="BK2080" s="210"/>
      <c r="BL2080" s="210"/>
      <c r="BM2080" s="208"/>
      <c r="BN2080" s="160"/>
      <c r="BO2080" s="161"/>
      <c r="BP2080" s="161"/>
    </row>
    <row r="2081" spans="1:68" ht="25.5">
      <c r="A2081" s="210"/>
      <c r="B2081" s="195" t="s">
        <v>9945</v>
      </c>
      <c r="C2081" s="196" t="s">
        <v>9946</v>
      </c>
      <c r="D2081" s="146" t="s">
        <v>4692</v>
      </c>
      <c r="E2081" s="196" t="s">
        <v>9946</v>
      </c>
      <c r="F2081" s="150">
        <v>539.24</v>
      </c>
      <c r="G2081" s="209">
        <v>0</v>
      </c>
      <c r="H2081" s="209">
        <v>0</v>
      </c>
      <c r="I2081" s="209">
        <v>0</v>
      </c>
      <c r="J2081" s="150">
        <v>0</v>
      </c>
      <c r="K2081" s="150">
        <v>539.24</v>
      </c>
      <c r="L2081" s="150">
        <f t="shared" si="1744"/>
        <v>539.24</v>
      </c>
      <c r="M2081" s="150">
        <v>0</v>
      </c>
      <c r="N2081" s="150">
        <v>268.88</v>
      </c>
      <c r="O2081" s="150">
        <v>268.88</v>
      </c>
      <c r="P2081" s="150">
        <v>0</v>
      </c>
      <c r="Q2081" s="150">
        <v>404.8</v>
      </c>
      <c r="R2081" s="150">
        <f t="shared" si="1738"/>
        <v>404.8</v>
      </c>
      <c r="S2081" s="150">
        <f t="shared" si="1732"/>
        <v>539.73333333333335</v>
      </c>
      <c r="T2081" s="150"/>
      <c r="U2081" s="150">
        <v>0</v>
      </c>
      <c r="V2081" s="199">
        <v>539.24</v>
      </c>
      <c r="W2081" s="150">
        <f t="shared" si="1739"/>
        <v>539.24</v>
      </c>
      <c r="X2081" s="150">
        <v>0</v>
      </c>
      <c r="Y2081" s="150">
        <v>539.24</v>
      </c>
      <c r="Z2081" s="150">
        <v>539.24</v>
      </c>
      <c r="AA2081" s="150">
        <f t="shared" si="1727"/>
        <v>0</v>
      </c>
      <c r="AB2081" s="150">
        <v>0</v>
      </c>
      <c r="AC2081" s="199">
        <v>539.24</v>
      </c>
      <c r="AD2081" s="150">
        <f t="shared" si="1740"/>
        <v>539.24</v>
      </c>
      <c r="AE2081" s="150">
        <v>539.24</v>
      </c>
      <c r="AF2081" s="169" t="s">
        <v>4680</v>
      </c>
      <c r="AG2081" s="201">
        <v>0</v>
      </c>
      <c r="AH2081" s="200">
        <v>539.24</v>
      </c>
      <c r="AI2081" s="150">
        <v>539.24</v>
      </c>
      <c r="AJ2081" s="169">
        <f t="shared" si="1728"/>
        <v>0</v>
      </c>
      <c r="AK2081" s="201">
        <v>0</v>
      </c>
      <c r="AL2081" s="200">
        <v>539.24</v>
      </c>
      <c r="AM2081" s="150">
        <f t="shared" si="1741"/>
        <v>539.24</v>
      </c>
      <c r="AN2081" s="153">
        <f t="shared" si="1729"/>
        <v>0</v>
      </c>
      <c r="AO2081" s="154">
        <f t="shared" si="1730"/>
        <v>0</v>
      </c>
      <c r="AP2081" s="150">
        <v>539.24</v>
      </c>
      <c r="AQ2081" s="201">
        <v>539.24</v>
      </c>
      <c r="AR2081" s="199"/>
      <c r="AS2081" s="150">
        <f t="shared" si="1742"/>
        <v>539.24</v>
      </c>
      <c r="AT2081" s="155"/>
      <c r="AU2081" s="156">
        <f t="shared" si="1725"/>
        <v>0</v>
      </c>
      <c r="AV2081" s="156">
        <f t="shared" si="1726"/>
        <v>0</v>
      </c>
      <c r="AW2081" s="157"/>
      <c r="AX2081" s="150">
        <v>539.24</v>
      </c>
      <c r="AY2081" s="150">
        <v>0</v>
      </c>
      <c r="AZ2081" s="150">
        <v>360.48</v>
      </c>
      <c r="BA2081" s="150">
        <f t="shared" si="1743"/>
        <v>540.72</v>
      </c>
      <c r="BB2081" s="210"/>
      <c r="BC2081" s="210"/>
      <c r="BD2081" s="210"/>
      <c r="BE2081" s="210"/>
      <c r="BF2081" s="210"/>
      <c r="BG2081" s="210"/>
      <c r="BH2081" s="217"/>
      <c r="BI2081" s="210"/>
      <c r="BJ2081" s="210"/>
      <c r="BK2081" s="210"/>
      <c r="BL2081" s="210"/>
      <c r="BM2081" s="208"/>
      <c r="BN2081" s="160"/>
      <c r="BO2081" s="161"/>
      <c r="BP2081" s="161"/>
    </row>
    <row r="2082" spans="1:68" ht="38.25">
      <c r="A2082" s="162" t="s">
        <v>9947</v>
      </c>
      <c r="B2082" s="163"/>
      <c r="C2082" s="164" t="s">
        <v>9948</v>
      </c>
      <c r="D2082" s="146" t="s">
        <v>4692</v>
      </c>
      <c r="E2082" s="164" t="s">
        <v>9948</v>
      </c>
      <c r="F2082" s="165">
        <v>0</v>
      </c>
      <c r="G2082" s="166">
        <v>0</v>
      </c>
      <c r="H2082" s="166">
        <v>0</v>
      </c>
      <c r="I2082" s="166">
        <v>0</v>
      </c>
      <c r="J2082" s="165">
        <f t="shared" ref="J2082:K2084" si="1745">J2083</f>
        <v>0</v>
      </c>
      <c r="K2082" s="165">
        <f t="shared" si="1745"/>
        <v>0</v>
      </c>
      <c r="L2082" s="165">
        <f t="shared" si="1744"/>
        <v>0</v>
      </c>
      <c r="M2082" s="167"/>
      <c r="N2082" s="167"/>
      <c r="O2082" s="167">
        <v>0</v>
      </c>
      <c r="P2082" s="232">
        <f t="shared" ref="P2082:AM2084" si="1746">P2083</f>
        <v>0</v>
      </c>
      <c r="Q2082" s="232">
        <f t="shared" si="1746"/>
        <v>0</v>
      </c>
      <c r="R2082" s="232">
        <f t="shared" si="1746"/>
        <v>0</v>
      </c>
      <c r="S2082" s="150">
        <f t="shared" si="1732"/>
        <v>0</v>
      </c>
      <c r="T2082" s="213"/>
      <c r="U2082" s="232">
        <f t="shared" ref="U2082:W2084" si="1747">U2083</f>
        <v>0</v>
      </c>
      <c r="V2082" s="233">
        <f t="shared" si="1747"/>
        <v>0</v>
      </c>
      <c r="W2082" s="232">
        <f t="shared" si="1747"/>
        <v>0</v>
      </c>
      <c r="X2082" s="232">
        <v>0</v>
      </c>
      <c r="Y2082" s="232">
        <v>0</v>
      </c>
      <c r="Z2082" s="232">
        <v>0</v>
      </c>
      <c r="AA2082" s="232">
        <f t="shared" si="1727"/>
        <v>0</v>
      </c>
      <c r="AB2082" s="232">
        <v>0</v>
      </c>
      <c r="AC2082" s="233">
        <v>0</v>
      </c>
      <c r="AD2082" s="232">
        <f t="shared" si="1746"/>
        <v>0</v>
      </c>
      <c r="AE2082" s="232">
        <v>0</v>
      </c>
      <c r="AF2082" s="169" t="s">
        <v>4680</v>
      </c>
      <c r="AG2082" s="234">
        <v>0</v>
      </c>
      <c r="AH2082" s="233">
        <v>0</v>
      </c>
      <c r="AI2082" s="232">
        <v>0</v>
      </c>
      <c r="AJ2082" s="169">
        <f t="shared" si="1728"/>
        <v>0</v>
      </c>
      <c r="AK2082" s="234">
        <v>0</v>
      </c>
      <c r="AL2082" s="233">
        <v>0</v>
      </c>
      <c r="AM2082" s="232">
        <f t="shared" si="1746"/>
        <v>0</v>
      </c>
      <c r="AN2082" s="153">
        <f t="shared" si="1729"/>
        <v>0</v>
      </c>
      <c r="AO2082" s="154">
        <f t="shared" si="1730"/>
        <v>0</v>
      </c>
      <c r="AP2082" s="232">
        <v>0</v>
      </c>
      <c r="AQ2082" s="234">
        <v>0</v>
      </c>
      <c r="AR2082" s="233">
        <f t="shared" ref="AR2082:AS2084" si="1748">AR2083</f>
        <v>0</v>
      </c>
      <c r="AS2082" s="232">
        <f t="shared" si="1748"/>
        <v>0</v>
      </c>
      <c r="AT2082" s="155"/>
      <c r="AU2082" s="156">
        <f t="shared" si="1725"/>
        <v>0</v>
      </c>
      <c r="AV2082" s="156">
        <f t="shared" si="1726"/>
        <v>0</v>
      </c>
      <c r="AW2082" s="157"/>
      <c r="AX2082" s="150">
        <v>0</v>
      </c>
      <c r="AY2082" s="232">
        <f t="shared" ref="AY2082:BA2084" si="1749">AY2083</f>
        <v>0</v>
      </c>
      <c r="AZ2082" s="232">
        <f t="shared" si="1749"/>
        <v>0</v>
      </c>
      <c r="BA2082" s="232">
        <f t="shared" si="1749"/>
        <v>0</v>
      </c>
      <c r="BB2082" s="171">
        <v>5</v>
      </c>
      <c r="BC2082" s="171">
        <v>13</v>
      </c>
      <c r="BD2082" s="162" t="s">
        <v>630</v>
      </c>
      <c r="BE2082" s="162" t="s">
        <v>630</v>
      </c>
      <c r="BF2082" s="162" t="s">
        <v>630</v>
      </c>
      <c r="BG2082" s="164" t="s">
        <v>9948</v>
      </c>
      <c r="BH2082" s="235">
        <f>BH2083</f>
        <v>0</v>
      </c>
      <c r="BI2082" s="171"/>
      <c r="BJ2082" s="162" t="s">
        <v>9949</v>
      </c>
      <c r="BK2082" s="162" t="s">
        <v>9947</v>
      </c>
      <c r="BL2082" s="172" t="s">
        <v>9950</v>
      </c>
      <c r="BM2082" s="349">
        <f>BM2083</f>
        <v>0</v>
      </c>
      <c r="BN2082" s="160"/>
      <c r="BO2082" s="161">
        <f t="shared" si="1697"/>
        <v>0</v>
      </c>
      <c r="BP2082" s="161"/>
    </row>
    <row r="2083" spans="1:68" ht="38.25">
      <c r="A2083" s="173" t="s">
        <v>9947</v>
      </c>
      <c r="B2083" s="174"/>
      <c r="C2083" s="175" t="s">
        <v>9948</v>
      </c>
      <c r="D2083" s="146" t="s">
        <v>4692</v>
      </c>
      <c r="E2083" s="175" t="s">
        <v>9948</v>
      </c>
      <c r="F2083" s="176">
        <v>0</v>
      </c>
      <c r="G2083" s="177">
        <v>0</v>
      </c>
      <c r="H2083" s="177">
        <v>0</v>
      </c>
      <c r="I2083" s="177">
        <v>0</v>
      </c>
      <c r="J2083" s="176">
        <f t="shared" si="1745"/>
        <v>0</v>
      </c>
      <c r="K2083" s="176">
        <f t="shared" si="1745"/>
        <v>0</v>
      </c>
      <c r="L2083" s="176">
        <f t="shared" si="1744"/>
        <v>0</v>
      </c>
      <c r="M2083" s="178"/>
      <c r="N2083" s="178"/>
      <c r="O2083" s="178">
        <v>0</v>
      </c>
      <c r="P2083" s="221">
        <f t="shared" si="1746"/>
        <v>0</v>
      </c>
      <c r="Q2083" s="221">
        <f t="shared" si="1746"/>
        <v>0</v>
      </c>
      <c r="R2083" s="221">
        <f t="shared" si="1746"/>
        <v>0</v>
      </c>
      <c r="S2083" s="150">
        <f t="shared" si="1732"/>
        <v>0</v>
      </c>
      <c r="T2083" s="213"/>
      <c r="U2083" s="221">
        <f t="shared" si="1747"/>
        <v>0</v>
      </c>
      <c r="V2083" s="222">
        <f t="shared" si="1747"/>
        <v>0</v>
      </c>
      <c r="W2083" s="221">
        <f t="shared" si="1747"/>
        <v>0</v>
      </c>
      <c r="X2083" s="221">
        <v>0</v>
      </c>
      <c r="Y2083" s="221">
        <v>0</v>
      </c>
      <c r="Z2083" s="221">
        <v>0</v>
      </c>
      <c r="AA2083" s="221">
        <f t="shared" si="1727"/>
        <v>0</v>
      </c>
      <c r="AB2083" s="221">
        <v>0</v>
      </c>
      <c r="AC2083" s="222">
        <v>0</v>
      </c>
      <c r="AD2083" s="221">
        <f t="shared" si="1746"/>
        <v>0</v>
      </c>
      <c r="AE2083" s="221">
        <v>0</v>
      </c>
      <c r="AF2083" s="169" t="s">
        <v>4680</v>
      </c>
      <c r="AG2083" s="223">
        <v>0</v>
      </c>
      <c r="AH2083" s="222">
        <v>0</v>
      </c>
      <c r="AI2083" s="221">
        <v>0</v>
      </c>
      <c r="AJ2083" s="169">
        <f t="shared" si="1728"/>
        <v>0</v>
      </c>
      <c r="AK2083" s="223">
        <v>0</v>
      </c>
      <c r="AL2083" s="222">
        <v>0</v>
      </c>
      <c r="AM2083" s="221">
        <f t="shared" si="1746"/>
        <v>0</v>
      </c>
      <c r="AN2083" s="153">
        <f t="shared" si="1729"/>
        <v>0</v>
      </c>
      <c r="AO2083" s="154">
        <f t="shared" si="1730"/>
        <v>0</v>
      </c>
      <c r="AP2083" s="221">
        <v>0</v>
      </c>
      <c r="AQ2083" s="223">
        <v>0</v>
      </c>
      <c r="AR2083" s="222">
        <f t="shared" si="1748"/>
        <v>0</v>
      </c>
      <c r="AS2083" s="221">
        <f t="shared" si="1748"/>
        <v>0</v>
      </c>
      <c r="AT2083" s="155"/>
      <c r="AU2083" s="156">
        <f t="shared" si="1725"/>
        <v>0</v>
      </c>
      <c r="AV2083" s="156">
        <f t="shared" si="1726"/>
        <v>0</v>
      </c>
      <c r="AW2083" s="157"/>
      <c r="AX2083" s="150">
        <v>0</v>
      </c>
      <c r="AY2083" s="221">
        <f t="shared" si="1749"/>
        <v>0</v>
      </c>
      <c r="AZ2083" s="221">
        <f t="shared" si="1749"/>
        <v>0</v>
      </c>
      <c r="BA2083" s="221">
        <f t="shared" si="1749"/>
        <v>0</v>
      </c>
      <c r="BB2083" s="181">
        <v>5</v>
      </c>
      <c r="BC2083" s="181">
        <v>13</v>
      </c>
      <c r="BD2083" s="173" t="s">
        <v>632</v>
      </c>
      <c r="BE2083" s="173" t="s">
        <v>630</v>
      </c>
      <c r="BF2083" s="173" t="s">
        <v>630</v>
      </c>
      <c r="BG2083" s="175" t="s">
        <v>9948</v>
      </c>
      <c r="BH2083" s="224">
        <f>BH2084</f>
        <v>0</v>
      </c>
      <c r="BI2083" s="181"/>
      <c r="BJ2083" s="173" t="s">
        <v>9949</v>
      </c>
      <c r="BK2083" s="173" t="s">
        <v>9947</v>
      </c>
      <c r="BL2083" s="182" t="s">
        <v>9950</v>
      </c>
      <c r="BM2083" s="337">
        <f>BM2084</f>
        <v>0</v>
      </c>
      <c r="BN2083" s="160"/>
      <c r="BO2083" s="161">
        <f t="shared" si="1697"/>
        <v>0</v>
      </c>
      <c r="BP2083" s="161"/>
    </row>
    <row r="2084" spans="1:68" ht="38.25">
      <c r="A2084" s="183" t="s">
        <v>9947</v>
      </c>
      <c r="B2084" s="184"/>
      <c r="C2084" s="185" t="s">
        <v>9948</v>
      </c>
      <c r="D2084" s="146" t="s">
        <v>4692</v>
      </c>
      <c r="E2084" s="185" t="s">
        <v>9948</v>
      </c>
      <c r="F2084" s="188">
        <v>0</v>
      </c>
      <c r="G2084" s="187">
        <v>0</v>
      </c>
      <c r="H2084" s="187"/>
      <c r="I2084" s="187">
        <v>0</v>
      </c>
      <c r="J2084" s="188">
        <f t="shared" si="1745"/>
        <v>0</v>
      </c>
      <c r="K2084" s="188">
        <f t="shared" si="1745"/>
        <v>0</v>
      </c>
      <c r="L2084" s="188">
        <f t="shared" si="1744"/>
        <v>0</v>
      </c>
      <c r="M2084" s="188"/>
      <c r="N2084" s="188"/>
      <c r="O2084" s="188">
        <v>0</v>
      </c>
      <c r="P2084" s="299">
        <f t="shared" si="1746"/>
        <v>0</v>
      </c>
      <c r="Q2084" s="299">
        <f t="shared" si="1746"/>
        <v>0</v>
      </c>
      <c r="R2084" s="299">
        <f t="shared" si="1746"/>
        <v>0</v>
      </c>
      <c r="S2084" s="150">
        <f t="shared" si="1732"/>
        <v>0</v>
      </c>
      <c r="T2084" s="213"/>
      <c r="U2084" s="299">
        <f t="shared" si="1747"/>
        <v>0</v>
      </c>
      <c r="V2084" s="226">
        <f t="shared" si="1747"/>
        <v>0</v>
      </c>
      <c r="W2084" s="299">
        <f t="shared" si="1747"/>
        <v>0</v>
      </c>
      <c r="X2084" s="299">
        <v>0</v>
      </c>
      <c r="Y2084" s="299">
        <v>0</v>
      </c>
      <c r="Z2084" s="299">
        <v>0</v>
      </c>
      <c r="AA2084" s="299">
        <f t="shared" si="1727"/>
        <v>0</v>
      </c>
      <c r="AB2084" s="299">
        <v>0</v>
      </c>
      <c r="AC2084" s="226">
        <v>0</v>
      </c>
      <c r="AD2084" s="299">
        <f t="shared" si="1746"/>
        <v>0</v>
      </c>
      <c r="AE2084" s="299">
        <v>0</v>
      </c>
      <c r="AF2084" s="169" t="s">
        <v>4680</v>
      </c>
      <c r="AG2084" s="301">
        <v>0</v>
      </c>
      <c r="AH2084" s="226">
        <v>0</v>
      </c>
      <c r="AI2084" s="299">
        <v>0</v>
      </c>
      <c r="AJ2084" s="169">
        <f t="shared" si="1728"/>
        <v>0</v>
      </c>
      <c r="AK2084" s="301">
        <v>0</v>
      </c>
      <c r="AL2084" s="226">
        <v>0</v>
      </c>
      <c r="AM2084" s="299">
        <f t="shared" si="1746"/>
        <v>0</v>
      </c>
      <c r="AN2084" s="153">
        <f t="shared" si="1729"/>
        <v>0</v>
      </c>
      <c r="AO2084" s="154">
        <f t="shared" si="1730"/>
        <v>0</v>
      </c>
      <c r="AP2084" s="299">
        <v>0</v>
      </c>
      <c r="AQ2084" s="301">
        <v>0</v>
      </c>
      <c r="AR2084" s="226">
        <f t="shared" si="1748"/>
        <v>0</v>
      </c>
      <c r="AS2084" s="299">
        <f t="shared" si="1748"/>
        <v>0</v>
      </c>
      <c r="AT2084" s="155"/>
      <c r="AU2084" s="156">
        <f t="shared" si="1725"/>
        <v>0</v>
      </c>
      <c r="AV2084" s="156">
        <f t="shared" si="1726"/>
        <v>0</v>
      </c>
      <c r="AW2084" s="157"/>
      <c r="AX2084" s="150">
        <v>0</v>
      </c>
      <c r="AY2084" s="299">
        <f t="shared" si="1749"/>
        <v>0</v>
      </c>
      <c r="AZ2084" s="299">
        <f t="shared" si="1749"/>
        <v>0</v>
      </c>
      <c r="BA2084" s="299">
        <f t="shared" si="1749"/>
        <v>0</v>
      </c>
      <c r="BB2084" s="191">
        <v>5</v>
      </c>
      <c r="BC2084" s="191">
        <v>13</v>
      </c>
      <c r="BD2084" s="183" t="s">
        <v>632</v>
      </c>
      <c r="BE2084" s="183" t="s">
        <v>632</v>
      </c>
      <c r="BF2084" s="183" t="s">
        <v>630</v>
      </c>
      <c r="BG2084" s="185" t="s">
        <v>9948</v>
      </c>
      <c r="BH2084" s="215">
        <f>BH2085</f>
        <v>0</v>
      </c>
      <c r="BI2084" s="191"/>
      <c r="BJ2084" s="183" t="s">
        <v>9949</v>
      </c>
      <c r="BK2084" s="183" t="s">
        <v>9947</v>
      </c>
      <c r="BL2084" s="238" t="s">
        <v>9950</v>
      </c>
      <c r="BM2084" s="338">
        <f>BM2085</f>
        <v>0</v>
      </c>
      <c r="BN2084" s="160"/>
      <c r="BO2084" s="161">
        <f t="shared" si="1697"/>
        <v>0</v>
      </c>
      <c r="BP2084" s="161"/>
    </row>
    <row r="2085" spans="1:68" ht="38.25">
      <c r="A2085" s="194" t="s">
        <v>9947</v>
      </c>
      <c r="B2085" s="195" t="s">
        <v>9951</v>
      </c>
      <c r="C2085" s="196" t="s">
        <v>9952</v>
      </c>
      <c r="D2085" s="146" t="s">
        <v>4692</v>
      </c>
      <c r="E2085" s="196" t="s">
        <v>9952</v>
      </c>
      <c r="F2085" s="150">
        <v>0</v>
      </c>
      <c r="G2085" s="209">
        <v>0</v>
      </c>
      <c r="H2085" s="209">
        <v>0</v>
      </c>
      <c r="I2085" s="209">
        <v>0</v>
      </c>
      <c r="J2085" s="150">
        <v>0</v>
      </c>
      <c r="K2085" s="150">
        <v>0</v>
      </c>
      <c r="L2085" s="150">
        <f t="shared" si="1744"/>
        <v>0</v>
      </c>
      <c r="M2085" s="150">
        <v>0</v>
      </c>
      <c r="N2085" s="150"/>
      <c r="O2085" s="150">
        <v>0</v>
      </c>
      <c r="P2085" s="150">
        <v>0</v>
      </c>
      <c r="Q2085" s="150">
        <v>0</v>
      </c>
      <c r="R2085" s="150">
        <f>P2085+Q2085</f>
        <v>0</v>
      </c>
      <c r="S2085" s="150">
        <f t="shared" si="1732"/>
        <v>0</v>
      </c>
      <c r="T2085" s="150"/>
      <c r="U2085" s="150">
        <v>0</v>
      </c>
      <c r="V2085" s="199"/>
      <c r="W2085" s="150">
        <f>U2085+V2085</f>
        <v>0</v>
      </c>
      <c r="X2085" s="150">
        <v>0</v>
      </c>
      <c r="Y2085" s="150"/>
      <c r="Z2085" s="150">
        <v>0</v>
      </c>
      <c r="AA2085" s="150">
        <f t="shared" si="1727"/>
        <v>0</v>
      </c>
      <c r="AB2085" s="150">
        <v>0</v>
      </c>
      <c r="AC2085" s="199"/>
      <c r="AD2085" s="150">
        <f>AB2085+AC2085</f>
        <v>0</v>
      </c>
      <c r="AE2085" s="150">
        <v>0</v>
      </c>
      <c r="AF2085" s="169" t="s">
        <v>4680</v>
      </c>
      <c r="AG2085" s="201">
        <v>0</v>
      </c>
      <c r="AH2085" s="199"/>
      <c r="AI2085" s="150">
        <v>0</v>
      </c>
      <c r="AJ2085" s="169">
        <f t="shared" si="1728"/>
        <v>0</v>
      </c>
      <c r="AK2085" s="201">
        <v>0</v>
      </c>
      <c r="AL2085" s="199"/>
      <c r="AM2085" s="150">
        <f>AK2085+AL2085</f>
        <v>0</v>
      </c>
      <c r="AN2085" s="153">
        <f t="shared" si="1729"/>
        <v>0</v>
      </c>
      <c r="AO2085" s="154">
        <f t="shared" si="1730"/>
        <v>0</v>
      </c>
      <c r="AP2085" s="150">
        <v>0</v>
      </c>
      <c r="AQ2085" s="201">
        <v>0</v>
      </c>
      <c r="AR2085" s="199"/>
      <c r="AS2085" s="150">
        <f>AQ2085+AR2085</f>
        <v>0</v>
      </c>
      <c r="AT2085" s="155"/>
      <c r="AU2085" s="156">
        <f t="shared" si="1725"/>
        <v>0</v>
      </c>
      <c r="AV2085" s="156">
        <f t="shared" si="1726"/>
        <v>0</v>
      </c>
      <c r="AW2085" s="157"/>
      <c r="AX2085" s="150">
        <v>0</v>
      </c>
      <c r="AY2085" s="150">
        <v>0</v>
      </c>
      <c r="AZ2085" s="150"/>
      <c r="BA2085" s="150">
        <f t="shared" ref="BA2085:BA2144" si="1750">AY2085+AZ2085</f>
        <v>0</v>
      </c>
      <c r="BB2085" s="202">
        <v>5</v>
      </c>
      <c r="BC2085" s="202">
        <v>13</v>
      </c>
      <c r="BD2085" s="202" t="s">
        <v>632</v>
      </c>
      <c r="BE2085" s="202" t="s">
        <v>632</v>
      </c>
      <c r="BF2085" s="202" t="s">
        <v>632</v>
      </c>
      <c r="BG2085" s="203" t="s">
        <v>9948</v>
      </c>
      <c r="BH2085" s="216">
        <f>AS2085</f>
        <v>0</v>
      </c>
      <c r="BI2085" s="202"/>
      <c r="BJ2085" s="194" t="s">
        <v>9949</v>
      </c>
      <c r="BK2085" s="194" t="s">
        <v>9947</v>
      </c>
      <c r="BL2085" s="207" t="s">
        <v>9950</v>
      </c>
      <c r="BM2085" s="208">
        <f>BH2085</f>
        <v>0</v>
      </c>
      <c r="BN2085" s="160"/>
      <c r="BO2085" s="161">
        <f t="shared" si="1697"/>
        <v>0</v>
      </c>
      <c r="BP2085" s="161"/>
    </row>
    <row r="2086" spans="1:68" ht="25.5">
      <c r="A2086" s="162" t="s">
        <v>9953</v>
      </c>
      <c r="B2086" s="163"/>
      <c r="C2086" s="164" t="s">
        <v>9954</v>
      </c>
      <c r="D2086" s="146" t="s">
        <v>4692</v>
      </c>
      <c r="E2086" s="164" t="s">
        <v>9954</v>
      </c>
      <c r="F2086" s="165">
        <v>0</v>
      </c>
      <c r="G2086" s="166">
        <v>0</v>
      </c>
      <c r="H2086" s="166">
        <v>0</v>
      </c>
      <c r="I2086" s="166">
        <v>0</v>
      </c>
      <c r="J2086" s="165">
        <f t="shared" ref="J2086:K2088" si="1751">J2087</f>
        <v>0</v>
      </c>
      <c r="K2086" s="165">
        <f t="shared" si="1751"/>
        <v>0</v>
      </c>
      <c r="L2086" s="165">
        <f t="shared" si="1744"/>
        <v>0</v>
      </c>
      <c r="M2086" s="167"/>
      <c r="N2086" s="167"/>
      <c r="O2086" s="167">
        <v>0</v>
      </c>
      <c r="P2086" s="232">
        <f t="shared" ref="P2086:AM2088" si="1752">P2087</f>
        <v>0</v>
      </c>
      <c r="Q2086" s="232">
        <f t="shared" si="1752"/>
        <v>0</v>
      </c>
      <c r="R2086" s="232">
        <f t="shared" si="1752"/>
        <v>0</v>
      </c>
      <c r="S2086" s="150">
        <f t="shared" si="1732"/>
        <v>0</v>
      </c>
      <c r="T2086" s="213"/>
      <c r="U2086" s="232">
        <f t="shared" ref="U2086:W2088" si="1753">U2087</f>
        <v>0</v>
      </c>
      <c r="V2086" s="233">
        <f t="shared" si="1753"/>
        <v>0</v>
      </c>
      <c r="W2086" s="232">
        <f t="shared" si="1753"/>
        <v>0</v>
      </c>
      <c r="X2086" s="232">
        <v>0</v>
      </c>
      <c r="Y2086" s="232">
        <v>0</v>
      </c>
      <c r="Z2086" s="232">
        <v>0</v>
      </c>
      <c r="AA2086" s="232">
        <f t="shared" si="1727"/>
        <v>0</v>
      </c>
      <c r="AB2086" s="232">
        <v>0</v>
      </c>
      <c r="AC2086" s="233">
        <v>0</v>
      </c>
      <c r="AD2086" s="232">
        <f t="shared" si="1752"/>
        <v>0</v>
      </c>
      <c r="AE2086" s="232">
        <v>0</v>
      </c>
      <c r="AF2086" s="169" t="s">
        <v>4680</v>
      </c>
      <c r="AG2086" s="234">
        <v>0</v>
      </c>
      <c r="AH2086" s="233">
        <v>0</v>
      </c>
      <c r="AI2086" s="232">
        <v>0</v>
      </c>
      <c r="AJ2086" s="169">
        <f t="shared" si="1728"/>
        <v>0</v>
      </c>
      <c r="AK2086" s="234">
        <v>0</v>
      </c>
      <c r="AL2086" s="233">
        <v>0</v>
      </c>
      <c r="AM2086" s="232">
        <f t="shared" si="1752"/>
        <v>0</v>
      </c>
      <c r="AN2086" s="153">
        <f t="shared" si="1729"/>
        <v>0</v>
      </c>
      <c r="AO2086" s="154">
        <f t="shared" si="1730"/>
        <v>0</v>
      </c>
      <c r="AP2086" s="232">
        <v>0</v>
      </c>
      <c r="AQ2086" s="234">
        <v>0</v>
      </c>
      <c r="AR2086" s="233">
        <f t="shared" ref="AR2086:AS2088" si="1754">AR2087</f>
        <v>0</v>
      </c>
      <c r="AS2086" s="232">
        <f t="shared" si="1754"/>
        <v>0</v>
      </c>
      <c r="AT2086" s="155"/>
      <c r="AU2086" s="156">
        <f t="shared" si="1725"/>
        <v>0</v>
      </c>
      <c r="AV2086" s="156">
        <f t="shared" si="1726"/>
        <v>0</v>
      </c>
      <c r="AW2086" s="157"/>
      <c r="AX2086" s="150">
        <v>0</v>
      </c>
      <c r="AY2086" s="232">
        <f t="shared" ref="AY2086:BA2088" si="1755">AY2087</f>
        <v>0</v>
      </c>
      <c r="AZ2086" s="232">
        <f t="shared" si="1755"/>
        <v>0</v>
      </c>
      <c r="BA2086" s="232">
        <f t="shared" si="1755"/>
        <v>0</v>
      </c>
      <c r="BB2086" s="171">
        <v>5</v>
      </c>
      <c r="BC2086" s="162" t="s">
        <v>1253</v>
      </c>
      <c r="BD2086" s="162" t="s">
        <v>630</v>
      </c>
      <c r="BE2086" s="162" t="s">
        <v>630</v>
      </c>
      <c r="BF2086" s="162" t="s">
        <v>630</v>
      </c>
      <c r="BG2086" s="164" t="s">
        <v>9954</v>
      </c>
      <c r="BH2086" s="235">
        <f>BH2087</f>
        <v>0</v>
      </c>
      <c r="BI2086" s="171"/>
      <c r="BJ2086" s="162" t="s">
        <v>9955</v>
      </c>
      <c r="BK2086" s="162" t="s">
        <v>9953</v>
      </c>
      <c r="BL2086" s="172" t="s">
        <v>9956</v>
      </c>
      <c r="BM2086" s="349">
        <f>BM2087</f>
        <v>0</v>
      </c>
      <c r="BN2086" s="160"/>
      <c r="BO2086" s="161">
        <f t="shared" si="1697"/>
        <v>0</v>
      </c>
      <c r="BP2086" s="161"/>
    </row>
    <row r="2087" spans="1:68" ht="25.5">
      <c r="A2087" s="173" t="s">
        <v>9953</v>
      </c>
      <c r="B2087" s="174"/>
      <c r="C2087" s="175" t="s">
        <v>9954</v>
      </c>
      <c r="D2087" s="146" t="s">
        <v>4692</v>
      </c>
      <c r="E2087" s="175" t="s">
        <v>9954</v>
      </c>
      <c r="F2087" s="176">
        <v>0</v>
      </c>
      <c r="G2087" s="177">
        <v>0</v>
      </c>
      <c r="H2087" s="177">
        <v>0</v>
      </c>
      <c r="I2087" s="177">
        <v>0</v>
      </c>
      <c r="J2087" s="176">
        <f t="shared" si="1751"/>
        <v>0</v>
      </c>
      <c r="K2087" s="176">
        <f t="shared" si="1751"/>
        <v>0</v>
      </c>
      <c r="L2087" s="176">
        <f t="shared" si="1744"/>
        <v>0</v>
      </c>
      <c r="M2087" s="178"/>
      <c r="N2087" s="178"/>
      <c r="O2087" s="178">
        <v>0</v>
      </c>
      <c r="P2087" s="221">
        <f t="shared" si="1752"/>
        <v>0</v>
      </c>
      <c r="Q2087" s="221">
        <f t="shared" si="1752"/>
        <v>0</v>
      </c>
      <c r="R2087" s="221">
        <f t="shared" si="1752"/>
        <v>0</v>
      </c>
      <c r="S2087" s="150">
        <f t="shared" si="1732"/>
        <v>0</v>
      </c>
      <c r="T2087" s="213"/>
      <c r="U2087" s="221">
        <f t="shared" si="1753"/>
        <v>0</v>
      </c>
      <c r="V2087" s="222">
        <f t="shared" si="1753"/>
        <v>0</v>
      </c>
      <c r="W2087" s="221">
        <f t="shared" si="1753"/>
        <v>0</v>
      </c>
      <c r="X2087" s="221">
        <v>0</v>
      </c>
      <c r="Y2087" s="221">
        <v>0</v>
      </c>
      <c r="Z2087" s="221">
        <v>0</v>
      </c>
      <c r="AA2087" s="221">
        <f t="shared" si="1727"/>
        <v>0</v>
      </c>
      <c r="AB2087" s="221">
        <v>0</v>
      </c>
      <c r="AC2087" s="222">
        <v>0</v>
      </c>
      <c r="AD2087" s="221">
        <f t="shared" si="1752"/>
        <v>0</v>
      </c>
      <c r="AE2087" s="221">
        <v>0</v>
      </c>
      <c r="AF2087" s="169" t="s">
        <v>4680</v>
      </c>
      <c r="AG2087" s="223">
        <v>0</v>
      </c>
      <c r="AH2087" s="222">
        <v>0</v>
      </c>
      <c r="AI2087" s="221">
        <v>0</v>
      </c>
      <c r="AJ2087" s="169">
        <f t="shared" si="1728"/>
        <v>0</v>
      </c>
      <c r="AK2087" s="223">
        <v>0</v>
      </c>
      <c r="AL2087" s="222">
        <v>0</v>
      </c>
      <c r="AM2087" s="221">
        <f t="shared" si="1752"/>
        <v>0</v>
      </c>
      <c r="AN2087" s="153">
        <f t="shared" si="1729"/>
        <v>0</v>
      </c>
      <c r="AO2087" s="154">
        <f t="shared" si="1730"/>
        <v>0</v>
      </c>
      <c r="AP2087" s="221">
        <v>0</v>
      </c>
      <c r="AQ2087" s="223">
        <v>0</v>
      </c>
      <c r="AR2087" s="222">
        <f t="shared" si="1754"/>
        <v>0</v>
      </c>
      <c r="AS2087" s="221">
        <f t="shared" si="1754"/>
        <v>0</v>
      </c>
      <c r="AT2087" s="155"/>
      <c r="AU2087" s="156">
        <f t="shared" si="1725"/>
        <v>0</v>
      </c>
      <c r="AV2087" s="156">
        <f t="shared" si="1726"/>
        <v>0</v>
      </c>
      <c r="AW2087" s="157"/>
      <c r="AX2087" s="150">
        <v>0</v>
      </c>
      <c r="AY2087" s="221">
        <f t="shared" si="1755"/>
        <v>0</v>
      </c>
      <c r="AZ2087" s="221">
        <f t="shared" si="1755"/>
        <v>0</v>
      </c>
      <c r="BA2087" s="221">
        <f t="shared" si="1755"/>
        <v>0</v>
      </c>
      <c r="BB2087" s="181">
        <v>5</v>
      </c>
      <c r="BC2087" s="173" t="s">
        <v>1253</v>
      </c>
      <c r="BD2087" s="173" t="s">
        <v>632</v>
      </c>
      <c r="BE2087" s="173" t="s">
        <v>630</v>
      </c>
      <c r="BF2087" s="173" t="s">
        <v>630</v>
      </c>
      <c r="BG2087" s="175" t="s">
        <v>9954</v>
      </c>
      <c r="BH2087" s="224">
        <f>BH2088</f>
        <v>0</v>
      </c>
      <c r="BI2087" s="181"/>
      <c r="BJ2087" s="173" t="s">
        <v>9955</v>
      </c>
      <c r="BK2087" s="173" t="s">
        <v>9953</v>
      </c>
      <c r="BL2087" s="182" t="s">
        <v>9956</v>
      </c>
      <c r="BM2087" s="337">
        <f>BM2088</f>
        <v>0</v>
      </c>
      <c r="BN2087" s="160"/>
      <c r="BO2087" s="161">
        <f t="shared" si="1697"/>
        <v>0</v>
      </c>
      <c r="BP2087" s="161"/>
    </row>
    <row r="2088" spans="1:68" ht="25.5">
      <c r="A2088" s="183" t="s">
        <v>9953</v>
      </c>
      <c r="B2088" s="184"/>
      <c r="C2088" s="185" t="s">
        <v>9954</v>
      </c>
      <c r="D2088" s="146" t="s">
        <v>4692</v>
      </c>
      <c r="E2088" s="185" t="s">
        <v>9954</v>
      </c>
      <c r="F2088" s="188">
        <v>0</v>
      </c>
      <c r="G2088" s="187">
        <v>0</v>
      </c>
      <c r="H2088" s="187"/>
      <c r="I2088" s="187">
        <v>0</v>
      </c>
      <c r="J2088" s="188">
        <f t="shared" si="1751"/>
        <v>0</v>
      </c>
      <c r="K2088" s="188">
        <f t="shared" si="1751"/>
        <v>0</v>
      </c>
      <c r="L2088" s="188">
        <f t="shared" si="1744"/>
        <v>0</v>
      </c>
      <c r="M2088" s="188"/>
      <c r="N2088" s="188"/>
      <c r="O2088" s="188">
        <v>0</v>
      </c>
      <c r="P2088" s="299">
        <f t="shared" si="1752"/>
        <v>0</v>
      </c>
      <c r="Q2088" s="299">
        <f t="shared" si="1752"/>
        <v>0</v>
      </c>
      <c r="R2088" s="299">
        <f t="shared" si="1752"/>
        <v>0</v>
      </c>
      <c r="S2088" s="150">
        <f t="shared" si="1732"/>
        <v>0</v>
      </c>
      <c r="T2088" s="213"/>
      <c r="U2088" s="299">
        <f t="shared" si="1753"/>
        <v>0</v>
      </c>
      <c r="V2088" s="226">
        <f t="shared" si="1753"/>
        <v>0</v>
      </c>
      <c r="W2088" s="299">
        <f t="shared" si="1753"/>
        <v>0</v>
      </c>
      <c r="X2088" s="299">
        <v>0</v>
      </c>
      <c r="Y2088" s="299">
        <v>0</v>
      </c>
      <c r="Z2088" s="299">
        <v>0</v>
      </c>
      <c r="AA2088" s="299">
        <f t="shared" si="1727"/>
        <v>0</v>
      </c>
      <c r="AB2088" s="299">
        <v>0</v>
      </c>
      <c r="AC2088" s="226">
        <v>0</v>
      </c>
      <c r="AD2088" s="299">
        <f t="shared" si="1752"/>
        <v>0</v>
      </c>
      <c r="AE2088" s="299">
        <v>0</v>
      </c>
      <c r="AF2088" s="169" t="s">
        <v>4680</v>
      </c>
      <c r="AG2088" s="301">
        <v>0</v>
      </c>
      <c r="AH2088" s="226">
        <v>0</v>
      </c>
      <c r="AI2088" s="299">
        <v>0</v>
      </c>
      <c r="AJ2088" s="169">
        <f t="shared" si="1728"/>
        <v>0</v>
      </c>
      <c r="AK2088" s="301">
        <v>0</v>
      </c>
      <c r="AL2088" s="226">
        <v>0</v>
      </c>
      <c r="AM2088" s="299">
        <f t="shared" si="1752"/>
        <v>0</v>
      </c>
      <c r="AN2088" s="153">
        <f t="shared" si="1729"/>
        <v>0</v>
      </c>
      <c r="AO2088" s="154">
        <f t="shared" si="1730"/>
        <v>0</v>
      </c>
      <c r="AP2088" s="299">
        <v>0</v>
      </c>
      <c r="AQ2088" s="301">
        <v>0</v>
      </c>
      <c r="AR2088" s="226">
        <f t="shared" si="1754"/>
        <v>0</v>
      </c>
      <c r="AS2088" s="299">
        <f t="shared" si="1754"/>
        <v>0</v>
      </c>
      <c r="AT2088" s="155"/>
      <c r="AU2088" s="156">
        <f t="shared" si="1725"/>
        <v>0</v>
      </c>
      <c r="AV2088" s="156">
        <f t="shared" si="1726"/>
        <v>0</v>
      </c>
      <c r="AW2088" s="157"/>
      <c r="AX2088" s="150">
        <v>0</v>
      </c>
      <c r="AY2088" s="299">
        <f t="shared" si="1755"/>
        <v>0</v>
      </c>
      <c r="AZ2088" s="299">
        <f t="shared" si="1755"/>
        <v>0</v>
      </c>
      <c r="BA2088" s="299">
        <f t="shared" si="1755"/>
        <v>0</v>
      </c>
      <c r="BB2088" s="191">
        <v>5</v>
      </c>
      <c r="BC2088" s="183" t="s">
        <v>1253</v>
      </c>
      <c r="BD2088" s="183" t="s">
        <v>632</v>
      </c>
      <c r="BE2088" s="183" t="s">
        <v>632</v>
      </c>
      <c r="BF2088" s="183" t="s">
        <v>630</v>
      </c>
      <c r="BG2088" s="185" t="s">
        <v>9954</v>
      </c>
      <c r="BH2088" s="215">
        <f>BH2089</f>
        <v>0</v>
      </c>
      <c r="BI2088" s="191"/>
      <c r="BJ2088" s="183" t="s">
        <v>9955</v>
      </c>
      <c r="BK2088" s="183" t="s">
        <v>9953</v>
      </c>
      <c r="BL2088" s="238" t="s">
        <v>9956</v>
      </c>
      <c r="BM2088" s="338">
        <f>BM2089</f>
        <v>0</v>
      </c>
      <c r="BN2088" s="160"/>
      <c r="BO2088" s="161">
        <f t="shared" si="1697"/>
        <v>0</v>
      </c>
      <c r="BP2088" s="161"/>
    </row>
    <row r="2089" spans="1:68">
      <c r="A2089" s="194" t="s">
        <v>9953</v>
      </c>
      <c r="B2089" s="195" t="s">
        <v>9957</v>
      </c>
      <c r="C2089" s="196" t="s">
        <v>9958</v>
      </c>
      <c r="D2089" s="146" t="s">
        <v>4692</v>
      </c>
      <c r="E2089" s="196" t="s">
        <v>9958</v>
      </c>
      <c r="F2089" s="150">
        <v>0</v>
      </c>
      <c r="G2089" s="209">
        <v>0</v>
      </c>
      <c r="H2089" s="209">
        <v>18845066.57</v>
      </c>
      <c r="I2089" s="209">
        <v>18845066.57</v>
      </c>
      <c r="J2089" s="150">
        <v>0</v>
      </c>
      <c r="K2089" s="150">
        <v>0</v>
      </c>
      <c r="L2089" s="150">
        <f t="shared" si="1744"/>
        <v>0</v>
      </c>
      <c r="M2089" s="150">
        <v>0</v>
      </c>
      <c r="N2089" s="150"/>
      <c r="O2089" s="150">
        <v>0</v>
      </c>
      <c r="P2089" s="150">
        <v>0</v>
      </c>
      <c r="Q2089" s="150">
        <v>0</v>
      </c>
      <c r="R2089" s="150">
        <f>P2089+Q2089</f>
        <v>0</v>
      </c>
      <c r="S2089" s="150">
        <f t="shared" si="1732"/>
        <v>0</v>
      </c>
      <c r="T2089" s="150"/>
      <c r="U2089" s="150">
        <v>0</v>
      </c>
      <c r="V2089" s="199"/>
      <c r="W2089" s="150">
        <f>U2089+V2089</f>
        <v>0</v>
      </c>
      <c r="X2089" s="150">
        <v>0</v>
      </c>
      <c r="Y2089" s="150"/>
      <c r="Z2089" s="150">
        <v>0</v>
      </c>
      <c r="AA2089" s="150">
        <f t="shared" si="1727"/>
        <v>0</v>
      </c>
      <c r="AB2089" s="150">
        <v>0</v>
      </c>
      <c r="AC2089" s="199"/>
      <c r="AD2089" s="150">
        <f>AB2089+AC2089</f>
        <v>0</v>
      </c>
      <c r="AE2089" s="150">
        <v>0</v>
      </c>
      <c r="AF2089" s="169" t="s">
        <v>4680</v>
      </c>
      <c r="AG2089" s="201">
        <v>0</v>
      </c>
      <c r="AH2089" s="199"/>
      <c r="AI2089" s="150">
        <v>0</v>
      </c>
      <c r="AJ2089" s="169">
        <f t="shared" si="1728"/>
        <v>0</v>
      </c>
      <c r="AK2089" s="201">
        <v>0</v>
      </c>
      <c r="AL2089" s="199"/>
      <c r="AM2089" s="150">
        <f>AK2089+AL2089</f>
        <v>0</v>
      </c>
      <c r="AN2089" s="153">
        <f t="shared" si="1729"/>
        <v>0</v>
      </c>
      <c r="AO2089" s="154">
        <f t="shared" si="1730"/>
        <v>0</v>
      </c>
      <c r="AP2089" s="150">
        <v>0</v>
      </c>
      <c r="AQ2089" s="201">
        <v>0</v>
      </c>
      <c r="AR2089" s="199"/>
      <c r="AS2089" s="150">
        <f>AQ2089+AR2089</f>
        <v>0</v>
      </c>
      <c r="AT2089" s="155"/>
      <c r="AU2089" s="156">
        <f t="shared" si="1725"/>
        <v>0</v>
      </c>
      <c r="AV2089" s="156">
        <f t="shared" si="1726"/>
        <v>0</v>
      </c>
      <c r="AW2089" s="157"/>
      <c r="AX2089" s="150">
        <v>0</v>
      </c>
      <c r="AY2089" s="150">
        <v>0</v>
      </c>
      <c r="AZ2089" s="150"/>
      <c r="BA2089" s="150">
        <f t="shared" si="1750"/>
        <v>0</v>
      </c>
      <c r="BB2089" s="202">
        <v>5</v>
      </c>
      <c r="BC2089" s="202" t="s">
        <v>1253</v>
      </c>
      <c r="BD2089" s="194" t="s">
        <v>632</v>
      </c>
      <c r="BE2089" s="202" t="s">
        <v>632</v>
      </c>
      <c r="BF2089" s="202" t="s">
        <v>632</v>
      </c>
      <c r="BG2089" s="203" t="s">
        <v>9954</v>
      </c>
      <c r="BH2089" s="216">
        <f>AS2089</f>
        <v>0</v>
      </c>
      <c r="BI2089" s="202"/>
      <c r="BJ2089" s="194" t="s">
        <v>9955</v>
      </c>
      <c r="BK2089" s="194" t="s">
        <v>9953</v>
      </c>
      <c r="BL2089" s="207" t="s">
        <v>9956</v>
      </c>
      <c r="BM2089" s="208">
        <f>BH2089</f>
        <v>0</v>
      </c>
      <c r="BN2089" s="160"/>
      <c r="BO2089" s="161">
        <f t="shared" si="1697"/>
        <v>0</v>
      </c>
      <c r="BP2089" s="161"/>
    </row>
    <row r="2090" spans="1:68" ht="25.5">
      <c r="A2090" s="162" t="s">
        <v>5854</v>
      </c>
      <c r="B2090" s="163"/>
      <c r="C2090" s="164" t="s">
        <v>9959</v>
      </c>
      <c r="D2090" s="146" t="s">
        <v>4692</v>
      </c>
      <c r="E2090" s="164" t="s">
        <v>9959</v>
      </c>
      <c r="F2090" s="167">
        <v>18845067.050000001</v>
      </c>
      <c r="G2090" s="166">
        <v>0</v>
      </c>
      <c r="H2090" s="166">
        <v>18801298.379999999</v>
      </c>
      <c r="I2090" s="166">
        <v>18801298.379999999</v>
      </c>
      <c r="J2090" s="167">
        <f>J2091+J2145</f>
        <v>0</v>
      </c>
      <c r="K2090" s="167">
        <f>K2091+K2145</f>
        <v>16463290.103</v>
      </c>
      <c r="L2090" s="167">
        <f t="shared" si="1744"/>
        <v>16463290.103</v>
      </c>
      <c r="M2090" s="167">
        <v>16335538.169999998</v>
      </c>
      <c r="N2090" s="167">
        <v>0</v>
      </c>
      <c r="O2090" s="165">
        <v>16335538.169999998</v>
      </c>
      <c r="P2090" s="232">
        <f t="shared" ref="P2090:R2090" si="1756">P2091+P2145</f>
        <v>16335538.17</v>
      </c>
      <c r="Q2090" s="340">
        <f t="shared" si="1756"/>
        <v>0</v>
      </c>
      <c r="R2090" s="232">
        <f t="shared" si="1756"/>
        <v>16335538.17</v>
      </c>
      <c r="S2090" s="150"/>
      <c r="T2090" s="213"/>
      <c r="U2090" s="232">
        <f t="shared" ref="U2090:W2090" si="1757">U2091+U2145</f>
        <v>16335538.17</v>
      </c>
      <c r="V2090" s="233">
        <f t="shared" si="1757"/>
        <v>0</v>
      </c>
      <c r="W2090" s="232">
        <f t="shared" si="1757"/>
        <v>16335538.17</v>
      </c>
      <c r="X2090" s="232">
        <v>16335538.17</v>
      </c>
      <c r="Y2090" s="232">
        <v>0</v>
      </c>
      <c r="Z2090" s="232">
        <v>16335538.17</v>
      </c>
      <c r="AA2090" s="232">
        <f t="shared" si="1727"/>
        <v>0</v>
      </c>
      <c r="AB2090" s="232">
        <v>16335538.17</v>
      </c>
      <c r="AC2090" s="233">
        <v>0</v>
      </c>
      <c r="AD2090" s="232">
        <f t="shared" ref="AD2090" si="1758">AD2091+AD2145</f>
        <v>16335538.17</v>
      </c>
      <c r="AE2090" s="232">
        <v>16335538.17</v>
      </c>
      <c r="AF2090" s="169" t="s">
        <v>4680</v>
      </c>
      <c r="AG2090" s="234">
        <v>16335538.17</v>
      </c>
      <c r="AH2090" s="233">
        <v>0</v>
      </c>
      <c r="AI2090" s="232">
        <v>16335538.17</v>
      </c>
      <c r="AJ2090" s="169">
        <f t="shared" si="1728"/>
        <v>0</v>
      </c>
      <c r="AK2090" s="234">
        <v>16335538.17</v>
      </c>
      <c r="AL2090" s="233">
        <v>0</v>
      </c>
      <c r="AM2090" s="232">
        <f t="shared" ref="AM2090" si="1759">AM2091+AM2145</f>
        <v>16335538.17</v>
      </c>
      <c r="AN2090" s="153">
        <f t="shared" si="1729"/>
        <v>0</v>
      </c>
      <c r="AO2090" s="154">
        <f t="shared" si="1730"/>
        <v>0</v>
      </c>
      <c r="AP2090" s="232">
        <v>16335538.17</v>
      </c>
      <c r="AQ2090" s="234">
        <v>16335538.17</v>
      </c>
      <c r="AR2090" s="233">
        <f t="shared" ref="AR2090:AS2090" si="1760">AR2091+AR2145</f>
        <v>0</v>
      </c>
      <c r="AS2090" s="232">
        <f t="shared" si="1760"/>
        <v>16335538.17</v>
      </c>
      <c r="AT2090" s="155"/>
      <c r="AU2090" s="156">
        <f t="shared" si="1725"/>
        <v>0</v>
      </c>
      <c r="AV2090" s="156">
        <f t="shared" si="1726"/>
        <v>0</v>
      </c>
      <c r="AW2090" s="157"/>
      <c r="AX2090" s="150">
        <v>16335538.17</v>
      </c>
      <c r="AY2090" s="232">
        <f t="shared" ref="AY2090:BA2090" si="1761">AY2091+AY2145</f>
        <v>16335538.17</v>
      </c>
      <c r="AZ2090" s="340">
        <f t="shared" si="1761"/>
        <v>-16335538.17</v>
      </c>
      <c r="BA2090" s="232">
        <f t="shared" si="1761"/>
        <v>0</v>
      </c>
      <c r="BB2090" s="171">
        <v>5</v>
      </c>
      <c r="BC2090" s="171">
        <v>15</v>
      </c>
      <c r="BD2090" s="162" t="s">
        <v>630</v>
      </c>
      <c r="BE2090" s="162" t="s">
        <v>630</v>
      </c>
      <c r="BF2090" s="162" t="s">
        <v>630</v>
      </c>
      <c r="BG2090" s="164" t="s">
        <v>9959</v>
      </c>
      <c r="BH2090" s="366">
        <f>BH2091+BH2145</f>
        <v>16335538.169999998</v>
      </c>
      <c r="BI2090" s="171"/>
      <c r="BJ2090" s="162" t="s">
        <v>9960</v>
      </c>
      <c r="BK2090" s="162" t="s">
        <v>5854</v>
      </c>
      <c r="BL2090" s="172" t="s">
        <v>9961</v>
      </c>
      <c r="BM2090" s="349">
        <f>BM2091+BM2145</f>
        <v>16335538.169999998</v>
      </c>
      <c r="BN2090" s="160"/>
      <c r="BO2090" s="161">
        <f t="shared" si="1697"/>
        <v>0</v>
      </c>
      <c r="BP2090" s="161"/>
    </row>
    <row r="2091" spans="1:68" ht="25.5">
      <c r="A2091" s="173" t="s">
        <v>5860</v>
      </c>
      <c r="B2091" s="174"/>
      <c r="C2091" s="175" t="s">
        <v>9962</v>
      </c>
      <c r="D2091" s="146" t="s">
        <v>4692</v>
      </c>
      <c r="E2091" s="175" t="s">
        <v>9962</v>
      </c>
      <c r="F2091" s="176">
        <v>18801298.859999999</v>
      </c>
      <c r="G2091" s="177">
        <v>0</v>
      </c>
      <c r="H2091" s="177">
        <v>18801298.379999999</v>
      </c>
      <c r="I2091" s="177">
        <v>18801298.379999999</v>
      </c>
      <c r="J2091" s="176">
        <f>J2092</f>
        <v>0</v>
      </c>
      <c r="K2091" s="176">
        <f>K2092</f>
        <v>16416293.874</v>
      </c>
      <c r="L2091" s="176">
        <f t="shared" si="1744"/>
        <v>16416293.874</v>
      </c>
      <c r="M2091" s="176">
        <v>16306931.599999998</v>
      </c>
      <c r="N2091" s="176">
        <v>0</v>
      </c>
      <c r="O2091" s="176">
        <v>16306931.599999998</v>
      </c>
      <c r="P2091" s="221">
        <f t="shared" ref="P2091:AS2091" si="1762">P2092</f>
        <v>16306931.6</v>
      </c>
      <c r="Q2091" s="221">
        <f t="shared" si="1762"/>
        <v>0</v>
      </c>
      <c r="R2091" s="221">
        <f t="shared" si="1762"/>
        <v>16306931.6</v>
      </c>
      <c r="S2091" s="150"/>
      <c r="T2091" s="213"/>
      <c r="U2091" s="221">
        <f t="shared" ref="U2091:W2091" si="1763">U2092</f>
        <v>16306931.6</v>
      </c>
      <c r="V2091" s="222">
        <f t="shared" si="1763"/>
        <v>0</v>
      </c>
      <c r="W2091" s="221">
        <f t="shared" si="1763"/>
        <v>16306931.6</v>
      </c>
      <c r="X2091" s="221">
        <v>16306931.6</v>
      </c>
      <c r="Y2091" s="221">
        <v>0</v>
      </c>
      <c r="Z2091" s="221">
        <v>16306931.6</v>
      </c>
      <c r="AA2091" s="221">
        <f t="shared" si="1727"/>
        <v>0</v>
      </c>
      <c r="AB2091" s="221">
        <v>16306931.6</v>
      </c>
      <c r="AC2091" s="222">
        <v>0</v>
      </c>
      <c r="AD2091" s="221">
        <f t="shared" si="1762"/>
        <v>16306931.6</v>
      </c>
      <c r="AE2091" s="221">
        <v>16306931.6</v>
      </c>
      <c r="AF2091" s="169" t="s">
        <v>4680</v>
      </c>
      <c r="AG2091" s="223">
        <v>16306931.6</v>
      </c>
      <c r="AH2091" s="222">
        <v>0</v>
      </c>
      <c r="AI2091" s="221">
        <v>16306931.6</v>
      </c>
      <c r="AJ2091" s="169">
        <f t="shared" si="1728"/>
        <v>0</v>
      </c>
      <c r="AK2091" s="223">
        <v>16306931.6</v>
      </c>
      <c r="AL2091" s="222">
        <v>0</v>
      </c>
      <c r="AM2091" s="221">
        <f t="shared" si="1762"/>
        <v>16306931.6</v>
      </c>
      <c r="AN2091" s="153">
        <f t="shared" si="1729"/>
        <v>0</v>
      </c>
      <c r="AO2091" s="154">
        <f t="shared" si="1730"/>
        <v>0</v>
      </c>
      <c r="AP2091" s="221">
        <v>16306931.6</v>
      </c>
      <c r="AQ2091" s="223">
        <v>16306931.6</v>
      </c>
      <c r="AR2091" s="222">
        <f t="shared" si="1762"/>
        <v>0</v>
      </c>
      <c r="AS2091" s="221">
        <f t="shared" si="1762"/>
        <v>16306931.6</v>
      </c>
      <c r="AT2091" s="155"/>
      <c r="AU2091" s="156">
        <f t="shared" si="1725"/>
        <v>0</v>
      </c>
      <c r="AV2091" s="156">
        <f t="shared" si="1726"/>
        <v>0</v>
      </c>
      <c r="AW2091" s="157"/>
      <c r="AX2091" s="150">
        <v>16306931.6</v>
      </c>
      <c r="AY2091" s="221">
        <f t="shared" ref="AY2091:BA2091" si="1764">AY2092</f>
        <v>16306931.6</v>
      </c>
      <c r="AZ2091" s="221">
        <f t="shared" si="1764"/>
        <v>-16306931.6</v>
      </c>
      <c r="BA2091" s="221">
        <f t="shared" si="1764"/>
        <v>0</v>
      </c>
      <c r="BB2091" s="181">
        <v>5</v>
      </c>
      <c r="BC2091" s="173" t="s">
        <v>1257</v>
      </c>
      <c r="BD2091" s="173" t="s">
        <v>632</v>
      </c>
      <c r="BE2091" s="173" t="s">
        <v>630</v>
      </c>
      <c r="BF2091" s="173" t="s">
        <v>630</v>
      </c>
      <c r="BG2091" s="175" t="s">
        <v>9962</v>
      </c>
      <c r="BH2091" s="224">
        <f>BH2092</f>
        <v>16306931.599999998</v>
      </c>
      <c r="BI2091" s="181"/>
      <c r="BJ2091" s="173" t="s">
        <v>5862</v>
      </c>
      <c r="BK2091" s="173" t="s">
        <v>5860</v>
      </c>
      <c r="BL2091" s="182" t="s">
        <v>5863</v>
      </c>
      <c r="BM2091" s="337">
        <f>BM2092</f>
        <v>16306931.599999998</v>
      </c>
      <c r="BN2091" s="160"/>
      <c r="BO2091" s="161">
        <f t="shared" si="1697"/>
        <v>0</v>
      </c>
      <c r="BP2091" s="161"/>
    </row>
    <row r="2092" spans="1:68" ht="25.5">
      <c r="A2092" s="183" t="s">
        <v>5860</v>
      </c>
      <c r="B2092" s="184"/>
      <c r="C2092" s="185" t="s">
        <v>9962</v>
      </c>
      <c r="D2092" s="146" t="s">
        <v>4692</v>
      </c>
      <c r="E2092" s="185" t="s">
        <v>9962</v>
      </c>
      <c r="F2092" s="188">
        <v>18801298.859999999</v>
      </c>
      <c r="G2092" s="187">
        <v>0</v>
      </c>
      <c r="H2092" s="187">
        <v>2379356.29</v>
      </c>
      <c r="I2092" s="187">
        <v>2379356.29</v>
      </c>
      <c r="J2092" s="188">
        <f>SUM(J2093:J2144)</f>
        <v>0</v>
      </c>
      <c r="K2092" s="188">
        <f>SUM(K2093:K2144)</f>
        <v>16416293.874</v>
      </c>
      <c r="L2092" s="188">
        <f t="shared" si="1744"/>
        <v>16416293.874</v>
      </c>
      <c r="M2092" s="188">
        <v>16306931.599999998</v>
      </c>
      <c r="N2092" s="188">
        <v>0</v>
      </c>
      <c r="O2092" s="186">
        <v>16306931.599999998</v>
      </c>
      <c r="P2092" s="225">
        <f t="shared" ref="P2092:R2092" si="1765">SUM(P2093:P2144)</f>
        <v>16306931.6</v>
      </c>
      <c r="Q2092" s="299">
        <f t="shared" si="1765"/>
        <v>0</v>
      </c>
      <c r="R2092" s="225">
        <f t="shared" si="1765"/>
        <v>16306931.6</v>
      </c>
      <c r="S2092" s="150"/>
      <c r="T2092" s="213"/>
      <c r="U2092" s="225">
        <f t="shared" ref="U2092:W2092" si="1766">SUM(U2093:U2144)</f>
        <v>16306931.6</v>
      </c>
      <c r="V2092" s="226">
        <f t="shared" si="1766"/>
        <v>0</v>
      </c>
      <c r="W2092" s="225">
        <f t="shared" si="1766"/>
        <v>16306931.6</v>
      </c>
      <c r="X2092" s="225">
        <v>16306931.6</v>
      </c>
      <c r="Y2092" s="225">
        <v>0</v>
      </c>
      <c r="Z2092" s="225">
        <v>16306931.6</v>
      </c>
      <c r="AA2092" s="225">
        <f t="shared" si="1727"/>
        <v>0</v>
      </c>
      <c r="AB2092" s="225">
        <v>16306931.6</v>
      </c>
      <c r="AC2092" s="226">
        <v>0</v>
      </c>
      <c r="AD2092" s="225">
        <f t="shared" ref="AD2092" si="1767">SUM(AD2093:AD2144)</f>
        <v>16306931.6</v>
      </c>
      <c r="AE2092" s="225">
        <v>16306931.6</v>
      </c>
      <c r="AF2092" s="169" t="s">
        <v>4680</v>
      </c>
      <c r="AG2092" s="212">
        <v>16306931.6</v>
      </c>
      <c r="AH2092" s="226">
        <v>0</v>
      </c>
      <c r="AI2092" s="225">
        <v>16306931.6</v>
      </c>
      <c r="AJ2092" s="169">
        <f t="shared" si="1728"/>
        <v>0</v>
      </c>
      <c r="AK2092" s="212">
        <v>16306931.6</v>
      </c>
      <c r="AL2092" s="226">
        <v>0</v>
      </c>
      <c r="AM2092" s="225">
        <f t="shared" ref="AM2092" si="1768">SUM(AM2093:AM2144)</f>
        <v>16306931.6</v>
      </c>
      <c r="AN2092" s="153">
        <f t="shared" si="1729"/>
        <v>0</v>
      </c>
      <c r="AO2092" s="154">
        <f t="shared" si="1730"/>
        <v>0</v>
      </c>
      <c r="AP2092" s="225">
        <v>16306931.6</v>
      </c>
      <c r="AQ2092" s="212">
        <v>16306931.6</v>
      </c>
      <c r="AR2092" s="226">
        <f t="shared" ref="AR2092:AS2092" si="1769">SUM(AR2093:AR2144)</f>
        <v>0</v>
      </c>
      <c r="AS2092" s="225">
        <f t="shared" si="1769"/>
        <v>16306931.6</v>
      </c>
      <c r="AT2092" s="155"/>
      <c r="AU2092" s="156">
        <f t="shared" si="1725"/>
        <v>0</v>
      </c>
      <c r="AV2092" s="156">
        <f t="shared" si="1726"/>
        <v>0</v>
      </c>
      <c r="AW2092" s="157"/>
      <c r="AX2092" s="150">
        <v>16306931.6</v>
      </c>
      <c r="AY2092" s="225">
        <f t="shared" ref="AY2092:BA2092" si="1770">SUM(AY2093:AY2144)</f>
        <v>16306931.6</v>
      </c>
      <c r="AZ2092" s="299">
        <f t="shared" si="1770"/>
        <v>-16306931.6</v>
      </c>
      <c r="BA2092" s="225">
        <f t="shared" si="1770"/>
        <v>0</v>
      </c>
      <c r="BB2092" s="191">
        <v>5</v>
      </c>
      <c r="BC2092" s="183" t="s">
        <v>1257</v>
      </c>
      <c r="BD2092" s="183" t="s">
        <v>632</v>
      </c>
      <c r="BE2092" s="183" t="s">
        <v>632</v>
      </c>
      <c r="BF2092" s="183" t="s">
        <v>630</v>
      </c>
      <c r="BG2092" s="185" t="s">
        <v>9962</v>
      </c>
      <c r="BH2092" s="215">
        <f>BH2093+BH2099+BH2100+BH2101+BH2104+BH2105+BH2106+BH2107+BH2108+BH2109+BH2110+BH2111+BH2112+BH2113+BH2114+BH2115+BH2116+BH2117+BH2118+BH2119+BH2120+BH2121+BH2122+BH2123+BH2124+BH2125+BH2126+BH2127+BH2133+BH2134+BH2135+BH2136+BH2137+BH2138+BH2139+BH2140+BH2141+BH2142+BH2143+BH2144</f>
        <v>16306931.599999998</v>
      </c>
      <c r="BI2092" s="191"/>
      <c r="BJ2092" s="183" t="s">
        <v>5862</v>
      </c>
      <c r="BK2092" s="183" t="s">
        <v>5860</v>
      </c>
      <c r="BL2092" s="238" t="s">
        <v>5863</v>
      </c>
      <c r="BM2092" s="338">
        <f>BM2093+BM2099+BM2100+BM2101+BM2104+BM2105+BM2106+BM2107+BM2108+BM2109+BM2110+BM2111+BM2112+BM2113+BM2114+BM2115+BM2116+BM2117+BM2118+BM2119+BM2120+BM2121+BM2122+BM2123+BM2124+BM2125+BM2126+BM2127+BM2133+BM2134+BM2135+BM2136+BM2137+BM2138+BM2139+BM2140+BM2141+BM2142+BM2143+BM2144</f>
        <v>16306931.599999998</v>
      </c>
      <c r="BN2092" s="160"/>
      <c r="BO2092" s="161">
        <f t="shared" si="1697"/>
        <v>0</v>
      </c>
      <c r="BP2092" s="161"/>
    </row>
    <row r="2093" spans="1:68" ht="51">
      <c r="A2093" s="194" t="s">
        <v>5864</v>
      </c>
      <c r="B2093" s="195" t="s">
        <v>9963</v>
      </c>
      <c r="C2093" s="196" t="s">
        <v>9964</v>
      </c>
      <c r="D2093" s="146" t="s">
        <v>4692</v>
      </c>
      <c r="E2093" s="196" t="s">
        <v>9964</v>
      </c>
      <c r="F2093" s="150">
        <v>2383443.9500000002</v>
      </c>
      <c r="G2093" s="209">
        <v>0</v>
      </c>
      <c r="H2093" s="209">
        <v>4817474.41</v>
      </c>
      <c r="I2093" s="209">
        <v>4817474.41</v>
      </c>
      <c r="J2093" s="150">
        <v>0</v>
      </c>
      <c r="K2093" s="150">
        <v>1875895.7549999999</v>
      </c>
      <c r="L2093" s="150">
        <f t="shared" si="1744"/>
        <v>1875895.7549999999</v>
      </c>
      <c r="M2093" s="150">
        <v>2403258.83</v>
      </c>
      <c r="N2093" s="150">
        <v>0</v>
      </c>
      <c r="O2093" s="150">
        <v>2403258.83</v>
      </c>
      <c r="P2093" s="150">
        <v>2403258.83</v>
      </c>
      <c r="Q2093" s="150">
        <v>0</v>
      </c>
      <c r="R2093" s="150">
        <f t="shared" ref="R2093:R2144" si="1771">P2093+Q2093</f>
        <v>2403258.83</v>
      </c>
      <c r="S2093" s="150"/>
      <c r="T2093" s="150"/>
      <c r="U2093" s="150">
        <v>2403258.83</v>
      </c>
      <c r="V2093" s="199"/>
      <c r="W2093" s="150">
        <f t="shared" ref="W2093:W2144" si="1772">U2093+V2093</f>
        <v>2403258.83</v>
      </c>
      <c r="X2093" s="150">
        <v>2403258.83</v>
      </c>
      <c r="Y2093" s="150"/>
      <c r="Z2093" s="150">
        <v>2403258.83</v>
      </c>
      <c r="AA2093" s="150">
        <f t="shared" si="1727"/>
        <v>0</v>
      </c>
      <c r="AB2093" s="150">
        <v>2403258.83</v>
      </c>
      <c r="AC2093" s="199"/>
      <c r="AD2093" s="150">
        <f t="shared" ref="AD2093:AD2144" si="1773">AB2093+AC2093</f>
        <v>2403258.83</v>
      </c>
      <c r="AE2093" s="150">
        <v>2403258.83</v>
      </c>
      <c r="AF2093" s="169" t="s">
        <v>4680</v>
      </c>
      <c r="AG2093" s="201">
        <v>2403258.83</v>
      </c>
      <c r="AH2093" s="199"/>
      <c r="AI2093" s="150">
        <v>2403258.83</v>
      </c>
      <c r="AJ2093" s="169">
        <f t="shared" si="1728"/>
        <v>0</v>
      </c>
      <c r="AK2093" s="201">
        <v>2403258.83</v>
      </c>
      <c r="AL2093" s="199"/>
      <c r="AM2093" s="150">
        <f t="shared" ref="AM2093:AM2144" si="1774">AK2093+AL2093</f>
        <v>2403258.83</v>
      </c>
      <c r="AN2093" s="153">
        <f t="shared" si="1729"/>
        <v>0</v>
      </c>
      <c r="AO2093" s="154">
        <f t="shared" si="1730"/>
        <v>0</v>
      </c>
      <c r="AP2093" s="150">
        <v>2403258.83</v>
      </c>
      <c r="AQ2093" s="201">
        <v>2403258.83</v>
      </c>
      <c r="AR2093" s="199"/>
      <c r="AS2093" s="150">
        <f t="shared" ref="AS2093:AS2144" si="1775">AQ2093+AR2093</f>
        <v>2403258.83</v>
      </c>
      <c r="AT2093" s="155"/>
      <c r="AU2093" s="156">
        <f t="shared" si="1725"/>
        <v>0</v>
      </c>
      <c r="AV2093" s="156">
        <f t="shared" si="1726"/>
        <v>0</v>
      </c>
      <c r="AW2093" s="157"/>
      <c r="AX2093" s="150">
        <v>2403258.83</v>
      </c>
      <c r="AY2093" s="150">
        <v>2403258.83</v>
      </c>
      <c r="AZ2093" s="150">
        <f>-AY2093</f>
        <v>-2403258.83</v>
      </c>
      <c r="BA2093" s="150">
        <f t="shared" si="1750"/>
        <v>0</v>
      </c>
      <c r="BB2093" s="202">
        <v>5</v>
      </c>
      <c r="BC2093" s="194" t="s">
        <v>1257</v>
      </c>
      <c r="BD2093" s="194" t="s">
        <v>632</v>
      </c>
      <c r="BE2093" s="194" t="s">
        <v>632</v>
      </c>
      <c r="BF2093" s="194" t="s">
        <v>632</v>
      </c>
      <c r="BG2093" s="203" t="s">
        <v>9965</v>
      </c>
      <c r="BH2093" s="216">
        <f>SUM(AS2093:AS2098)</f>
        <v>10566082.24</v>
      </c>
      <c r="BI2093" s="202"/>
      <c r="BJ2093" s="194" t="s">
        <v>5867</v>
      </c>
      <c r="BK2093" s="194" t="s">
        <v>5864</v>
      </c>
      <c r="BL2093" s="207" t="s">
        <v>5868</v>
      </c>
      <c r="BM2093" s="208">
        <f>BH2093</f>
        <v>10566082.24</v>
      </c>
      <c r="BN2093" s="160"/>
      <c r="BO2093" s="161"/>
      <c r="BP2093" s="161"/>
    </row>
    <row r="2094" spans="1:68" ht="25.5">
      <c r="A2094" s="210"/>
      <c r="B2094" s="195" t="s">
        <v>9966</v>
      </c>
      <c r="C2094" s="196" t="s">
        <v>9967</v>
      </c>
      <c r="D2094" s="146" t="s">
        <v>4692</v>
      </c>
      <c r="E2094" s="196" t="s">
        <v>9967</v>
      </c>
      <c r="F2094" s="150">
        <v>4817474.41</v>
      </c>
      <c r="G2094" s="209">
        <v>0</v>
      </c>
      <c r="H2094" s="209">
        <v>2116495.44</v>
      </c>
      <c r="I2094" s="209">
        <v>2116495.44</v>
      </c>
      <c r="J2094" s="150">
        <v>0</v>
      </c>
      <c r="K2094" s="150">
        <v>5930252.9780000001</v>
      </c>
      <c r="L2094" s="150">
        <f t="shared" si="1744"/>
        <v>5930252.9780000001</v>
      </c>
      <c r="M2094" s="150">
        <v>6914393.9800000004</v>
      </c>
      <c r="N2094" s="150">
        <v>0</v>
      </c>
      <c r="O2094" s="150">
        <v>6914393.9800000004</v>
      </c>
      <c r="P2094" s="150">
        <v>6914393.9800000004</v>
      </c>
      <c r="Q2094" s="150">
        <v>0</v>
      </c>
      <c r="R2094" s="150">
        <f t="shared" si="1771"/>
        <v>6914393.9800000004</v>
      </c>
      <c r="S2094" s="150"/>
      <c r="T2094" s="150"/>
      <c r="U2094" s="150">
        <v>6914393.9800000004</v>
      </c>
      <c r="V2094" s="199"/>
      <c r="W2094" s="150">
        <f t="shared" si="1772"/>
        <v>6914393.9800000004</v>
      </c>
      <c r="X2094" s="150">
        <v>6914393.9800000004</v>
      </c>
      <c r="Y2094" s="150"/>
      <c r="Z2094" s="150">
        <v>6914393.9800000004</v>
      </c>
      <c r="AA2094" s="150">
        <f t="shared" si="1727"/>
        <v>0</v>
      </c>
      <c r="AB2094" s="150">
        <v>6914393.9800000004</v>
      </c>
      <c r="AC2094" s="199"/>
      <c r="AD2094" s="150">
        <f t="shared" si="1773"/>
        <v>6914393.9800000004</v>
      </c>
      <c r="AE2094" s="150">
        <v>6914393.9800000004</v>
      </c>
      <c r="AF2094" s="169" t="s">
        <v>4680</v>
      </c>
      <c r="AG2094" s="201">
        <v>6914393.9800000004</v>
      </c>
      <c r="AH2094" s="199"/>
      <c r="AI2094" s="150">
        <v>6914393.9800000004</v>
      </c>
      <c r="AJ2094" s="169">
        <f t="shared" si="1728"/>
        <v>0</v>
      </c>
      <c r="AK2094" s="201">
        <v>6914393.9800000004</v>
      </c>
      <c r="AL2094" s="199"/>
      <c r="AM2094" s="150">
        <f t="shared" si="1774"/>
        <v>6914393.9800000004</v>
      </c>
      <c r="AN2094" s="153">
        <f t="shared" si="1729"/>
        <v>0</v>
      </c>
      <c r="AO2094" s="154">
        <f t="shared" si="1730"/>
        <v>0</v>
      </c>
      <c r="AP2094" s="150">
        <v>6914393.9800000004</v>
      </c>
      <c r="AQ2094" s="201">
        <v>6914393.9800000004</v>
      </c>
      <c r="AR2094" s="199"/>
      <c r="AS2094" s="150">
        <f t="shared" si="1775"/>
        <v>6914393.9800000004</v>
      </c>
      <c r="AT2094" s="155"/>
      <c r="AU2094" s="156">
        <f t="shared" si="1725"/>
        <v>0</v>
      </c>
      <c r="AV2094" s="156">
        <f t="shared" si="1726"/>
        <v>0</v>
      </c>
      <c r="AW2094" s="157"/>
      <c r="AX2094" s="150">
        <v>6914393.9800000004</v>
      </c>
      <c r="AY2094" s="150">
        <v>6914393.9800000004</v>
      </c>
      <c r="AZ2094" s="150">
        <f>-AY2094</f>
        <v>-6914393.9800000004</v>
      </c>
      <c r="BA2094" s="150">
        <f t="shared" si="1750"/>
        <v>0</v>
      </c>
      <c r="BB2094" s="210"/>
      <c r="BC2094" s="210"/>
      <c r="BD2094" s="210"/>
      <c r="BE2094" s="210"/>
      <c r="BF2094" s="210"/>
      <c r="BG2094" s="210"/>
      <c r="BH2094" s="217"/>
      <c r="BI2094" s="210"/>
      <c r="BJ2094" s="210"/>
      <c r="BK2094" s="210"/>
      <c r="BL2094" s="210"/>
      <c r="BM2094" s="208"/>
      <c r="BN2094" s="160"/>
      <c r="BO2094" s="161"/>
      <c r="BP2094" s="161"/>
    </row>
    <row r="2095" spans="1:68" ht="25.5">
      <c r="A2095" s="210"/>
      <c r="B2095" s="195" t="s">
        <v>9968</v>
      </c>
      <c r="C2095" s="196" t="s">
        <v>9969</v>
      </c>
      <c r="D2095" s="146" t="s">
        <v>4692</v>
      </c>
      <c r="E2095" s="196" t="s">
        <v>9969</v>
      </c>
      <c r="F2095" s="150">
        <v>2116495.44</v>
      </c>
      <c r="G2095" s="209">
        <v>0</v>
      </c>
      <c r="H2095" s="209">
        <v>172611.54</v>
      </c>
      <c r="I2095" s="209">
        <v>172611.54</v>
      </c>
      <c r="J2095" s="150">
        <v>0</v>
      </c>
      <c r="K2095" s="150">
        <v>965598.08299999998</v>
      </c>
      <c r="L2095" s="150">
        <f t="shared" si="1744"/>
        <v>965598.08299999998</v>
      </c>
      <c r="M2095" s="150">
        <v>1183997.8700000001</v>
      </c>
      <c r="N2095" s="150">
        <v>0</v>
      </c>
      <c r="O2095" s="150">
        <v>1183997.8700000001</v>
      </c>
      <c r="P2095" s="150">
        <v>1183997.8700000001</v>
      </c>
      <c r="Q2095" s="150">
        <v>0</v>
      </c>
      <c r="R2095" s="150">
        <f t="shared" si="1771"/>
        <v>1183997.8700000001</v>
      </c>
      <c r="S2095" s="150"/>
      <c r="T2095" s="150"/>
      <c r="U2095" s="150">
        <v>1183997.8700000001</v>
      </c>
      <c r="V2095" s="199"/>
      <c r="W2095" s="150">
        <f t="shared" si="1772"/>
        <v>1183997.8700000001</v>
      </c>
      <c r="X2095" s="150">
        <v>1183997.8700000001</v>
      </c>
      <c r="Y2095" s="150"/>
      <c r="Z2095" s="150">
        <v>1183997.8700000001</v>
      </c>
      <c r="AA2095" s="150">
        <f t="shared" si="1727"/>
        <v>0</v>
      </c>
      <c r="AB2095" s="150">
        <v>1183997.8700000001</v>
      </c>
      <c r="AC2095" s="199"/>
      <c r="AD2095" s="150">
        <f t="shared" si="1773"/>
        <v>1183997.8700000001</v>
      </c>
      <c r="AE2095" s="150">
        <v>1183997.8700000001</v>
      </c>
      <c r="AF2095" s="169" t="s">
        <v>4680</v>
      </c>
      <c r="AG2095" s="201">
        <v>1183997.8700000001</v>
      </c>
      <c r="AH2095" s="199"/>
      <c r="AI2095" s="150">
        <v>1183997.8700000001</v>
      </c>
      <c r="AJ2095" s="169">
        <f t="shared" si="1728"/>
        <v>0</v>
      </c>
      <c r="AK2095" s="201">
        <v>1183997.8700000001</v>
      </c>
      <c r="AL2095" s="199"/>
      <c r="AM2095" s="150">
        <f t="shared" si="1774"/>
        <v>1183997.8700000001</v>
      </c>
      <c r="AN2095" s="153">
        <f t="shared" si="1729"/>
        <v>0</v>
      </c>
      <c r="AO2095" s="154">
        <f t="shared" si="1730"/>
        <v>0</v>
      </c>
      <c r="AP2095" s="150">
        <v>1183997.8700000001</v>
      </c>
      <c r="AQ2095" s="201">
        <v>1183997.8700000001</v>
      </c>
      <c r="AR2095" s="199"/>
      <c r="AS2095" s="150">
        <f t="shared" si="1775"/>
        <v>1183997.8700000001</v>
      </c>
      <c r="AT2095" s="155"/>
      <c r="AU2095" s="156">
        <f t="shared" si="1725"/>
        <v>0</v>
      </c>
      <c r="AV2095" s="156">
        <f t="shared" si="1726"/>
        <v>0</v>
      </c>
      <c r="AW2095" s="157"/>
      <c r="AX2095" s="150">
        <v>1183997.8700000001</v>
      </c>
      <c r="AY2095" s="150">
        <v>1183997.8700000001</v>
      </c>
      <c r="AZ2095" s="150">
        <f>-AY2095</f>
        <v>-1183997.8700000001</v>
      </c>
      <c r="BA2095" s="150">
        <f t="shared" si="1750"/>
        <v>0</v>
      </c>
      <c r="BB2095" s="210"/>
      <c r="BC2095" s="210"/>
      <c r="BD2095" s="210"/>
      <c r="BE2095" s="210"/>
      <c r="BF2095" s="210"/>
      <c r="BG2095" s="210"/>
      <c r="BH2095" s="217"/>
      <c r="BI2095" s="210"/>
      <c r="BJ2095" s="210"/>
      <c r="BK2095" s="210"/>
      <c r="BL2095" s="210"/>
      <c r="BM2095" s="208"/>
      <c r="BN2095" s="160"/>
      <c r="BO2095" s="161"/>
      <c r="BP2095" s="161"/>
    </row>
    <row r="2096" spans="1:68" ht="25.5">
      <c r="A2096" s="210"/>
      <c r="B2096" s="195" t="s">
        <v>9970</v>
      </c>
      <c r="C2096" s="196" t="s">
        <v>9971</v>
      </c>
      <c r="D2096" s="146" t="s">
        <v>4692</v>
      </c>
      <c r="E2096" s="196" t="s">
        <v>9971</v>
      </c>
      <c r="F2096" s="150">
        <v>172611.54</v>
      </c>
      <c r="G2096" s="209">
        <v>0</v>
      </c>
      <c r="H2096" s="209">
        <v>0</v>
      </c>
      <c r="I2096" s="209">
        <v>0</v>
      </c>
      <c r="J2096" s="150">
        <v>0</v>
      </c>
      <c r="K2096" s="150">
        <v>122635.787</v>
      </c>
      <c r="L2096" s="150">
        <f t="shared" si="1744"/>
        <v>122635.787</v>
      </c>
      <c r="M2096" s="150">
        <v>64431.56</v>
      </c>
      <c r="N2096" s="150"/>
      <c r="O2096" s="150">
        <v>64431.56</v>
      </c>
      <c r="P2096" s="150">
        <v>64431.56</v>
      </c>
      <c r="Q2096" s="150">
        <v>0</v>
      </c>
      <c r="R2096" s="150">
        <f t="shared" si="1771"/>
        <v>64431.56</v>
      </c>
      <c r="S2096" s="150"/>
      <c r="T2096" s="150"/>
      <c r="U2096" s="150">
        <v>64431.56</v>
      </c>
      <c r="V2096" s="199"/>
      <c r="W2096" s="150">
        <f t="shared" si="1772"/>
        <v>64431.56</v>
      </c>
      <c r="X2096" s="150">
        <v>64431.56</v>
      </c>
      <c r="Y2096" s="150"/>
      <c r="Z2096" s="150">
        <v>64431.56</v>
      </c>
      <c r="AA2096" s="150">
        <f t="shared" si="1727"/>
        <v>0</v>
      </c>
      <c r="AB2096" s="150">
        <v>64431.56</v>
      </c>
      <c r="AC2096" s="199"/>
      <c r="AD2096" s="150">
        <f t="shared" si="1773"/>
        <v>64431.56</v>
      </c>
      <c r="AE2096" s="150">
        <v>64431.56</v>
      </c>
      <c r="AF2096" s="169" t="s">
        <v>4680</v>
      </c>
      <c r="AG2096" s="201">
        <v>64431.56</v>
      </c>
      <c r="AH2096" s="199"/>
      <c r="AI2096" s="150">
        <v>64431.56</v>
      </c>
      <c r="AJ2096" s="169">
        <f t="shared" si="1728"/>
        <v>0</v>
      </c>
      <c r="AK2096" s="201">
        <v>64431.56</v>
      </c>
      <c r="AL2096" s="199"/>
      <c r="AM2096" s="150">
        <f t="shared" si="1774"/>
        <v>64431.56</v>
      </c>
      <c r="AN2096" s="153">
        <f t="shared" si="1729"/>
        <v>0</v>
      </c>
      <c r="AO2096" s="154">
        <f t="shared" si="1730"/>
        <v>0</v>
      </c>
      <c r="AP2096" s="150">
        <v>64431.56</v>
      </c>
      <c r="AQ2096" s="201">
        <v>64431.56</v>
      </c>
      <c r="AR2096" s="199"/>
      <c r="AS2096" s="150">
        <f t="shared" si="1775"/>
        <v>64431.56</v>
      </c>
      <c r="AT2096" s="155"/>
      <c r="AU2096" s="156">
        <f t="shared" si="1725"/>
        <v>0</v>
      </c>
      <c r="AV2096" s="156">
        <f t="shared" si="1726"/>
        <v>0</v>
      </c>
      <c r="AW2096" s="157"/>
      <c r="AX2096" s="150">
        <v>64431.56</v>
      </c>
      <c r="AY2096" s="150">
        <v>64431.56</v>
      </c>
      <c r="AZ2096" s="150">
        <f>-AY2096</f>
        <v>-64431.56</v>
      </c>
      <c r="BA2096" s="150">
        <f t="shared" si="1750"/>
        <v>0</v>
      </c>
      <c r="BB2096" s="210"/>
      <c r="BC2096" s="210"/>
      <c r="BD2096" s="210"/>
      <c r="BE2096" s="210"/>
      <c r="BF2096" s="210"/>
      <c r="BG2096" s="210"/>
      <c r="BH2096" s="217"/>
      <c r="BI2096" s="210"/>
      <c r="BJ2096" s="210"/>
      <c r="BK2096" s="210"/>
      <c r="BL2096" s="210"/>
      <c r="BM2096" s="208"/>
      <c r="BN2096" s="160"/>
      <c r="BO2096" s="161"/>
      <c r="BP2096" s="161"/>
    </row>
    <row r="2097" spans="1:68" ht="25.5">
      <c r="A2097" s="210"/>
      <c r="B2097" s="195" t="s">
        <v>9972</v>
      </c>
      <c r="C2097" s="196" t="s">
        <v>9973</v>
      </c>
      <c r="D2097" s="146" t="s">
        <v>4692</v>
      </c>
      <c r="E2097" s="196" t="s">
        <v>9973</v>
      </c>
      <c r="F2097" s="150">
        <v>0</v>
      </c>
      <c r="G2097" s="209">
        <v>0</v>
      </c>
      <c r="H2097" s="209">
        <v>0</v>
      </c>
      <c r="I2097" s="209">
        <v>0</v>
      </c>
      <c r="J2097" s="150">
        <v>0</v>
      </c>
      <c r="K2097" s="150">
        <v>0</v>
      </c>
      <c r="L2097" s="150">
        <f t="shared" si="1744"/>
        <v>0</v>
      </c>
      <c r="M2097" s="150">
        <v>0</v>
      </c>
      <c r="N2097" s="150"/>
      <c r="O2097" s="150">
        <v>0</v>
      </c>
      <c r="P2097" s="150">
        <v>0</v>
      </c>
      <c r="Q2097" s="150">
        <v>0</v>
      </c>
      <c r="R2097" s="150">
        <f t="shared" si="1771"/>
        <v>0</v>
      </c>
      <c r="S2097" s="150"/>
      <c r="T2097" s="150"/>
      <c r="U2097" s="150">
        <v>0</v>
      </c>
      <c r="V2097" s="199"/>
      <c r="W2097" s="150">
        <f t="shared" si="1772"/>
        <v>0</v>
      </c>
      <c r="X2097" s="150">
        <v>0</v>
      </c>
      <c r="Y2097" s="150"/>
      <c r="Z2097" s="150">
        <v>0</v>
      </c>
      <c r="AA2097" s="150">
        <f t="shared" si="1727"/>
        <v>0</v>
      </c>
      <c r="AB2097" s="150">
        <v>0</v>
      </c>
      <c r="AC2097" s="199"/>
      <c r="AD2097" s="150">
        <f t="shared" si="1773"/>
        <v>0</v>
      </c>
      <c r="AE2097" s="150">
        <v>0</v>
      </c>
      <c r="AF2097" s="169" t="s">
        <v>4680</v>
      </c>
      <c r="AG2097" s="201">
        <v>0</v>
      </c>
      <c r="AH2097" s="199"/>
      <c r="AI2097" s="150">
        <v>0</v>
      </c>
      <c r="AJ2097" s="169">
        <f t="shared" si="1728"/>
        <v>0</v>
      </c>
      <c r="AK2097" s="201">
        <v>0</v>
      </c>
      <c r="AL2097" s="199"/>
      <c r="AM2097" s="150">
        <f t="shared" si="1774"/>
        <v>0</v>
      </c>
      <c r="AN2097" s="153">
        <f t="shared" si="1729"/>
        <v>0</v>
      </c>
      <c r="AO2097" s="154">
        <f t="shared" si="1730"/>
        <v>0</v>
      </c>
      <c r="AP2097" s="150">
        <v>0</v>
      </c>
      <c r="AQ2097" s="201">
        <v>0</v>
      </c>
      <c r="AR2097" s="199"/>
      <c r="AS2097" s="150">
        <f t="shared" si="1775"/>
        <v>0</v>
      </c>
      <c r="AT2097" s="155"/>
      <c r="AU2097" s="156">
        <f t="shared" si="1725"/>
        <v>0</v>
      </c>
      <c r="AV2097" s="156">
        <f t="shared" si="1726"/>
        <v>0</v>
      </c>
      <c r="AW2097" s="157"/>
      <c r="AX2097" s="150">
        <v>0</v>
      </c>
      <c r="AY2097" s="150">
        <v>0</v>
      </c>
      <c r="AZ2097" s="150"/>
      <c r="BA2097" s="150">
        <f t="shared" si="1750"/>
        <v>0</v>
      </c>
      <c r="BB2097" s="210"/>
      <c r="BC2097" s="210"/>
      <c r="BD2097" s="210"/>
      <c r="BE2097" s="210"/>
      <c r="BF2097" s="210"/>
      <c r="BG2097" s="210"/>
      <c r="BH2097" s="217"/>
      <c r="BI2097" s="210"/>
      <c r="BJ2097" s="210"/>
      <c r="BK2097" s="210"/>
      <c r="BL2097" s="210"/>
      <c r="BM2097" s="208"/>
      <c r="BN2097" s="160"/>
      <c r="BO2097" s="161">
        <f t="shared" ref="BO2097:BO2160" si="1776">BM2097-AS2097</f>
        <v>0</v>
      </c>
      <c r="BP2097" s="161"/>
    </row>
    <row r="2098" spans="1:68" ht="25.5">
      <c r="A2098" s="210"/>
      <c r="B2098" s="195" t="s">
        <v>9974</v>
      </c>
      <c r="C2098" s="196" t="s">
        <v>9975</v>
      </c>
      <c r="D2098" s="146" t="s">
        <v>4692</v>
      </c>
      <c r="E2098" s="196" t="s">
        <v>9975</v>
      </c>
      <c r="F2098" s="150">
        <v>0</v>
      </c>
      <c r="G2098" s="209">
        <v>0</v>
      </c>
      <c r="H2098" s="209">
        <v>433151.89</v>
      </c>
      <c r="I2098" s="209">
        <v>433151.89</v>
      </c>
      <c r="J2098" s="150">
        <v>0</v>
      </c>
      <c r="K2098" s="150">
        <v>0</v>
      </c>
      <c r="L2098" s="150">
        <f t="shared" si="1744"/>
        <v>0</v>
      </c>
      <c r="M2098" s="150">
        <v>0</v>
      </c>
      <c r="N2098" s="150"/>
      <c r="O2098" s="150">
        <v>0</v>
      </c>
      <c r="P2098" s="150">
        <v>0</v>
      </c>
      <c r="Q2098" s="150">
        <v>0</v>
      </c>
      <c r="R2098" s="150">
        <f t="shared" si="1771"/>
        <v>0</v>
      </c>
      <c r="S2098" s="150"/>
      <c r="T2098" s="150"/>
      <c r="U2098" s="150">
        <v>0</v>
      </c>
      <c r="V2098" s="199"/>
      <c r="W2098" s="150">
        <f t="shared" si="1772"/>
        <v>0</v>
      </c>
      <c r="X2098" s="150">
        <v>0</v>
      </c>
      <c r="Y2098" s="150"/>
      <c r="Z2098" s="150">
        <v>0</v>
      </c>
      <c r="AA2098" s="150">
        <f t="shared" si="1727"/>
        <v>0</v>
      </c>
      <c r="AB2098" s="150">
        <v>0</v>
      </c>
      <c r="AC2098" s="199"/>
      <c r="AD2098" s="150">
        <f t="shared" si="1773"/>
        <v>0</v>
      </c>
      <c r="AE2098" s="150">
        <v>0</v>
      </c>
      <c r="AF2098" s="169" t="s">
        <v>4680</v>
      </c>
      <c r="AG2098" s="201">
        <v>0</v>
      </c>
      <c r="AH2098" s="199"/>
      <c r="AI2098" s="150">
        <v>0</v>
      </c>
      <c r="AJ2098" s="169">
        <f t="shared" si="1728"/>
        <v>0</v>
      </c>
      <c r="AK2098" s="201">
        <v>0</v>
      </c>
      <c r="AL2098" s="199"/>
      <c r="AM2098" s="150">
        <f t="shared" si="1774"/>
        <v>0</v>
      </c>
      <c r="AN2098" s="153">
        <f t="shared" si="1729"/>
        <v>0</v>
      </c>
      <c r="AO2098" s="154">
        <f t="shared" si="1730"/>
        <v>0</v>
      </c>
      <c r="AP2098" s="150">
        <v>0</v>
      </c>
      <c r="AQ2098" s="201">
        <v>0</v>
      </c>
      <c r="AR2098" s="199"/>
      <c r="AS2098" s="150">
        <f t="shared" si="1775"/>
        <v>0</v>
      </c>
      <c r="AT2098" s="155"/>
      <c r="AU2098" s="156">
        <f t="shared" si="1725"/>
        <v>0</v>
      </c>
      <c r="AV2098" s="156">
        <f t="shared" si="1726"/>
        <v>0</v>
      </c>
      <c r="AW2098" s="157"/>
      <c r="AX2098" s="150">
        <v>0</v>
      </c>
      <c r="AY2098" s="150">
        <v>0</v>
      </c>
      <c r="AZ2098" s="150"/>
      <c r="BA2098" s="150">
        <f t="shared" si="1750"/>
        <v>0</v>
      </c>
      <c r="BB2098" s="210"/>
      <c r="BC2098" s="210"/>
      <c r="BD2098" s="210"/>
      <c r="BE2098" s="210"/>
      <c r="BF2098" s="210"/>
      <c r="BG2098" s="210"/>
      <c r="BH2098" s="217"/>
      <c r="BI2098" s="210"/>
      <c r="BJ2098" s="210"/>
      <c r="BK2098" s="210"/>
      <c r="BL2098" s="210"/>
      <c r="BM2098" s="208"/>
      <c r="BN2098" s="160"/>
      <c r="BO2098" s="161">
        <f t="shared" si="1776"/>
        <v>0</v>
      </c>
      <c r="BP2098" s="161"/>
    </row>
    <row r="2099" spans="1:68" ht="25.5">
      <c r="A2099" s="194" t="s">
        <v>5864</v>
      </c>
      <c r="B2099" s="195" t="s">
        <v>9976</v>
      </c>
      <c r="C2099" s="196" t="s">
        <v>9977</v>
      </c>
      <c r="D2099" s="146" t="s">
        <v>4692</v>
      </c>
      <c r="E2099" s="196" t="s">
        <v>9977</v>
      </c>
      <c r="F2099" s="150">
        <v>433151.89</v>
      </c>
      <c r="G2099" s="209">
        <v>0</v>
      </c>
      <c r="H2099" s="209">
        <v>40845.660000000003</v>
      </c>
      <c r="I2099" s="209">
        <v>40845.660000000003</v>
      </c>
      <c r="J2099" s="150">
        <v>0</v>
      </c>
      <c r="K2099" s="150">
        <v>133655.43299999999</v>
      </c>
      <c r="L2099" s="150">
        <f t="shared" si="1744"/>
        <v>133655.43299999999</v>
      </c>
      <c r="M2099" s="150">
        <v>252881.77</v>
      </c>
      <c r="N2099" s="150"/>
      <c r="O2099" s="150">
        <v>252881.77</v>
      </c>
      <c r="P2099" s="150">
        <v>252881.77</v>
      </c>
      <c r="Q2099" s="150">
        <v>0</v>
      </c>
      <c r="R2099" s="150">
        <f t="shared" si="1771"/>
        <v>252881.77</v>
      </c>
      <c r="S2099" s="150"/>
      <c r="T2099" s="150"/>
      <c r="U2099" s="150">
        <v>252881.77</v>
      </c>
      <c r="V2099" s="199"/>
      <c r="W2099" s="150">
        <f t="shared" si="1772"/>
        <v>252881.77</v>
      </c>
      <c r="X2099" s="150">
        <v>252881.77</v>
      </c>
      <c r="Y2099" s="150"/>
      <c r="Z2099" s="150">
        <v>252881.77</v>
      </c>
      <c r="AA2099" s="150">
        <f t="shared" si="1727"/>
        <v>0</v>
      </c>
      <c r="AB2099" s="150">
        <v>252881.77</v>
      </c>
      <c r="AC2099" s="199"/>
      <c r="AD2099" s="150">
        <f t="shared" si="1773"/>
        <v>252881.77</v>
      </c>
      <c r="AE2099" s="150">
        <v>252881.77</v>
      </c>
      <c r="AF2099" s="169" t="s">
        <v>4680</v>
      </c>
      <c r="AG2099" s="201">
        <v>252881.77</v>
      </c>
      <c r="AH2099" s="199"/>
      <c r="AI2099" s="150">
        <v>252881.77</v>
      </c>
      <c r="AJ2099" s="169">
        <f t="shared" si="1728"/>
        <v>0</v>
      </c>
      <c r="AK2099" s="201">
        <v>252881.77</v>
      </c>
      <c r="AL2099" s="199"/>
      <c r="AM2099" s="150">
        <f t="shared" si="1774"/>
        <v>252881.77</v>
      </c>
      <c r="AN2099" s="153">
        <f t="shared" si="1729"/>
        <v>0</v>
      </c>
      <c r="AO2099" s="154">
        <f t="shared" si="1730"/>
        <v>0</v>
      </c>
      <c r="AP2099" s="150">
        <v>252881.77</v>
      </c>
      <c r="AQ2099" s="201">
        <v>252881.77</v>
      </c>
      <c r="AR2099" s="199"/>
      <c r="AS2099" s="150">
        <f t="shared" si="1775"/>
        <v>252881.77</v>
      </c>
      <c r="AT2099" s="155"/>
      <c r="AU2099" s="156">
        <f t="shared" si="1725"/>
        <v>0</v>
      </c>
      <c r="AV2099" s="156">
        <f t="shared" si="1726"/>
        <v>0</v>
      </c>
      <c r="AW2099" s="157"/>
      <c r="AX2099" s="150">
        <v>252881.77</v>
      </c>
      <c r="AY2099" s="150">
        <v>252881.77</v>
      </c>
      <c r="AZ2099" s="150">
        <f>-AY2099</f>
        <v>-252881.77</v>
      </c>
      <c r="BA2099" s="150">
        <f t="shared" si="1750"/>
        <v>0</v>
      </c>
      <c r="BB2099" s="202">
        <v>5</v>
      </c>
      <c r="BC2099" s="194" t="s">
        <v>1257</v>
      </c>
      <c r="BD2099" s="194" t="s">
        <v>632</v>
      </c>
      <c r="BE2099" s="194" t="s">
        <v>632</v>
      </c>
      <c r="BF2099" s="194" t="s">
        <v>647</v>
      </c>
      <c r="BG2099" s="203" t="s">
        <v>9978</v>
      </c>
      <c r="BH2099" s="216">
        <f>AS2099</f>
        <v>252881.77</v>
      </c>
      <c r="BI2099" s="202"/>
      <c r="BJ2099" s="194" t="s">
        <v>5867</v>
      </c>
      <c r="BK2099" s="194" t="s">
        <v>5864</v>
      </c>
      <c r="BL2099" s="207" t="s">
        <v>5868</v>
      </c>
      <c r="BM2099" s="208">
        <f>BH2099</f>
        <v>252881.77</v>
      </c>
      <c r="BN2099" s="160"/>
      <c r="BO2099" s="161">
        <f t="shared" si="1776"/>
        <v>0</v>
      </c>
      <c r="BP2099" s="161"/>
    </row>
    <row r="2100" spans="1:68" ht="25.5">
      <c r="A2100" s="194" t="s">
        <v>5864</v>
      </c>
      <c r="B2100" s="195" t="s">
        <v>9979</v>
      </c>
      <c r="C2100" s="196" t="s">
        <v>9980</v>
      </c>
      <c r="D2100" s="146" t="s">
        <v>4692</v>
      </c>
      <c r="E2100" s="196" t="s">
        <v>9980</v>
      </c>
      <c r="F2100" s="150">
        <v>40845.660000000003</v>
      </c>
      <c r="G2100" s="209">
        <v>0</v>
      </c>
      <c r="H2100" s="209">
        <v>672479.12</v>
      </c>
      <c r="I2100" s="209">
        <v>672479.12</v>
      </c>
      <c r="J2100" s="150">
        <v>0</v>
      </c>
      <c r="K2100" s="150">
        <v>36685.872000000003</v>
      </c>
      <c r="L2100" s="150">
        <f t="shared" si="1744"/>
        <v>36685.872000000003</v>
      </c>
      <c r="M2100" s="150">
        <v>62851.869999999995</v>
      </c>
      <c r="N2100" s="150"/>
      <c r="O2100" s="150">
        <v>62851.869999999995</v>
      </c>
      <c r="P2100" s="150">
        <v>1992.25</v>
      </c>
      <c r="Q2100" s="150">
        <v>0</v>
      </c>
      <c r="R2100" s="150">
        <f t="shared" si="1771"/>
        <v>1992.25</v>
      </c>
      <c r="S2100" s="150"/>
      <c r="T2100" s="150"/>
      <c r="U2100" s="150">
        <v>1992.25</v>
      </c>
      <c r="V2100" s="199"/>
      <c r="W2100" s="150">
        <f t="shared" si="1772"/>
        <v>1992.25</v>
      </c>
      <c r="X2100" s="150">
        <v>1992.25</v>
      </c>
      <c r="Y2100" s="150"/>
      <c r="Z2100" s="150">
        <v>1992.25</v>
      </c>
      <c r="AA2100" s="150">
        <f t="shared" si="1727"/>
        <v>0</v>
      </c>
      <c r="AB2100" s="150">
        <v>1992.25</v>
      </c>
      <c r="AC2100" s="199"/>
      <c r="AD2100" s="150">
        <f t="shared" si="1773"/>
        <v>1992.25</v>
      </c>
      <c r="AE2100" s="150">
        <v>1992.25</v>
      </c>
      <c r="AF2100" s="169" t="s">
        <v>4680</v>
      </c>
      <c r="AG2100" s="201">
        <v>1992.25</v>
      </c>
      <c r="AH2100" s="199"/>
      <c r="AI2100" s="150">
        <v>1992.25</v>
      </c>
      <c r="AJ2100" s="169">
        <f t="shared" si="1728"/>
        <v>0</v>
      </c>
      <c r="AK2100" s="201">
        <v>1992.25</v>
      </c>
      <c r="AL2100" s="199"/>
      <c r="AM2100" s="150">
        <f t="shared" si="1774"/>
        <v>1992.25</v>
      </c>
      <c r="AN2100" s="153">
        <f t="shared" si="1729"/>
        <v>0</v>
      </c>
      <c r="AO2100" s="154">
        <f t="shared" si="1730"/>
        <v>0</v>
      </c>
      <c r="AP2100" s="150">
        <v>1992.25</v>
      </c>
      <c r="AQ2100" s="201">
        <v>1992.25</v>
      </c>
      <c r="AR2100" s="199"/>
      <c r="AS2100" s="150">
        <f t="shared" si="1775"/>
        <v>1992.25</v>
      </c>
      <c r="AT2100" s="155"/>
      <c r="AU2100" s="156">
        <f t="shared" si="1725"/>
        <v>0</v>
      </c>
      <c r="AV2100" s="156">
        <f t="shared" si="1726"/>
        <v>0</v>
      </c>
      <c r="AW2100" s="157"/>
      <c r="AX2100" s="150">
        <v>1992.25</v>
      </c>
      <c r="AY2100" s="150">
        <v>1992.25</v>
      </c>
      <c r="AZ2100" s="150">
        <f>-AY2100</f>
        <v>-1992.25</v>
      </c>
      <c r="BA2100" s="150">
        <f t="shared" si="1750"/>
        <v>0</v>
      </c>
      <c r="BB2100" s="202">
        <v>5</v>
      </c>
      <c r="BC2100" s="194" t="s">
        <v>1257</v>
      </c>
      <c r="BD2100" s="194" t="s">
        <v>632</v>
      </c>
      <c r="BE2100" s="194" t="s">
        <v>632</v>
      </c>
      <c r="BF2100" s="194" t="s">
        <v>671</v>
      </c>
      <c r="BG2100" s="203" t="s">
        <v>9981</v>
      </c>
      <c r="BH2100" s="216">
        <f>AS2100</f>
        <v>1992.25</v>
      </c>
      <c r="BI2100" s="202"/>
      <c r="BJ2100" s="194" t="s">
        <v>5867</v>
      </c>
      <c r="BK2100" s="194" t="s">
        <v>5864</v>
      </c>
      <c r="BL2100" s="207" t="s">
        <v>5868</v>
      </c>
      <c r="BM2100" s="208">
        <f>BH2100</f>
        <v>1992.25</v>
      </c>
      <c r="BN2100" s="160"/>
      <c r="BO2100" s="161">
        <f t="shared" si="1776"/>
        <v>0</v>
      </c>
      <c r="BP2100" s="161"/>
    </row>
    <row r="2101" spans="1:68" ht="38.25">
      <c r="A2101" s="194" t="s">
        <v>5864</v>
      </c>
      <c r="B2101" s="195" t="s">
        <v>9982</v>
      </c>
      <c r="C2101" s="196" t="s">
        <v>9983</v>
      </c>
      <c r="D2101" s="146" t="s">
        <v>4692</v>
      </c>
      <c r="E2101" s="196" t="s">
        <v>9983</v>
      </c>
      <c r="F2101" s="150">
        <v>672479.12</v>
      </c>
      <c r="G2101" s="209">
        <v>0</v>
      </c>
      <c r="H2101" s="209">
        <v>0</v>
      </c>
      <c r="I2101" s="209">
        <v>0</v>
      </c>
      <c r="J2101" s="150">
        <v>0</v>
      </c>
      <c r="K2101" s="150">
        <v>294235.38399999996</v>
      </c>
      <c r="L2101" s="150">
        <f t="shared" si="1744"/>
        <v>294235.38399999996</v>
      </c>
      <c r="M2101" s="150">
        <v>380885.21</v>
      </c>
      <c r="N2101" s="150"/>
      <c r="O2101" s="150">
        <v>380885.21</v>
      </c>
      <c r="P2101" s="150">
        <v>380885.21</v>
      </c>
      <c r="Q2101" s="150">
        <v>0</v>
      </c>
      <c r="R2101" s="150">
        <f t="shared" si="1771"/>
        <v>380885.21</v>
      </c>
      <c r="S2101" s="150"/>
      <c r="T2101" s="150"/>
      <c r="U2101" s="150">
        <v>380885.21</v>
      </c>
      <c r="V2101" s="199"/>
      <c r="W2101" s="150">
        <f t="shared" si="1772"/>
        <v>380885.21</v>
      </c>
      <c r="X2101" s="150">
        <v>380885.21</v>
      </c>
      <c r="Y2101" s="150"/>
      <c r="Z2101" s="150">
        <v>380885.21</v>
      </c>
      <c r="AA2101" s="150">
        <f t="shared" si="1727"/>
        <v>0</v>
      </c>
      <c r="AB2101" s="150">
        <v>380885.21</v>
      </c>
      <c r="AC2101" s="199"/>
      <c r="AD2101" s="150">
        <f t="shared" si="1773"/>
        <v>380885.21</v>
      </c>
      <c r="AE2101" s="150">
        <v>380885.21</v>
      </c>
      <c r="AF2101" s="169" t="s">
        <v>4680</v>
      </c>
      <c r="AG2101" s="201">
        <v>380885.21</v>
      </c>
      <c r="AH2101" s="199"/>
      <c r="AI2101" s="150">
        <v>380885.21</v>
      </c>
      <c r="AJ2101" s="169">
        <f t="shared" si="1728"/>
        <v>0</v>
      </c>
      <c r="AK2101" s="201">
        <v>380885.21</v>
      </c>
      <c r="AL2101" s="199"/>
      <c r="AM2101" s="150">
        <f t="shared" si="1774"/>
        <v>380885.21</v>
      </c>
      <c r="AN2101" s="153">
        <f t="shared" si="1729"/>
        <v>0</v>
      </c>
      <c r="AO2101" s="154">
        <f t="shared" si="1730"/>
        <v>0</v>
      </c>
      <c r="AP2101" s="150">
        <v>380885.21</v>
      </c>
      <c r="AQ2101" s="201">
        <v>380885.21</v>
      </c>
      <c r="AR2101" s="199"/>
      <c r="AS2101" s="150">
        <f t="shared" si="1775"/>
        <v>380885.21</v>
      </c>
      <c r="AT2101" s="155"/>
      <c r="AU2101" s="156">
        <f t="shared" si="1725"/>
        <v>0</v>
      </c>
      <c r="AV2101" s="156">
        <f t="shared" si="1726"/>
        <v>0</v>
      </c>
      <c r="AW2101" s="157"/>
      <c r="AX2101" s="150">
        <v>380885.21</v>
      </c>
      <c r="AY2101" s="150">
        <v>380885.21</v>
      </c>
      <c r="AZ2101" s="150">
        <f>-AY2101</f>
        <v>-380885.21</v>
      </c>
      <c r="BA2101" s="150">
        <f t="shared" si="1750"/>
        <v>0</v>
      </c>
      <c r="BB2101" s="202">
        <v>5</v>
      </c>
      <c r="BC2101" s="194" t="s">
        <v>1257</v>
      </c>
      <c r="BD2101" s="194" t="s">
        <v>632</v>
      </c>
      <c r="BE2101" s="194" t="s">
        <v>632</v>
      </c>
      <c r="BF2101" s="194" t="s">
        <v>693</v>
      </c>
      <c r="BG2101" s="203" t="s">
        <v>9984</v>
      </c>
      <c r="BH2101" s="216">
        <f>SUM(AS2101:AS2103)</f>
        <v>380885.21</v>
      </c>
      <c r="BI2101" s="202"/>
      <c r="BJ2101" s="194" t="s">
        <v>5867</v>
      </c>
      <c r="BK2101" s="194" t="s">
        <v>5864</v>
      </c>
      <c r="BL2101" s="207" t="s">
        <v>5868</v>
      </c>
      <c r="BM2101" s="208">
        <f>BH2101</f>
        <v>380885.21</v>
      </c>
      <c r="BN2101" s="160"/>
      <c r="BO2101" s="161">
        <f t="shared" si="1776"/>
        <v>0</v>
      </c>
      <c r="BP2101" s="161"/>
    </row>
    <row r="2102" spans="1:68" ht="25.5">
      <c r="A2102" s="210"/>
      <c r="B2102" s="195" t="s">
        <v>9985</v>
      </c>
      <c r="C2102" s="196" t="s">
        <v>9986</v>
      </c>
      <c r="D2102" s="146" t="s">
        <v>4692</v>
      </c>
      <c r="E2102" s="196" t="s">
        <v>9986</v>
      </c>
      <c r="F2102" s="150">
        <v>0</v>
      </c>
      <c r="G2102" s="209">
        <v>0</v>
      </c>
      <c r="H2102" s="209">
        <v>0</v>
      </c>
      <c r="I2102" s="209">
        <v>0</v>
      </c>
      <c r="J2102" s="150">
        <v>0</v>
      </c>
      <c r="K2102" s="150">
        <v>0</v>
      </c>
      <c r="L2102" s="150">
        <f t="shared" si="1744"/>
        <v>0</v>
      </c>
      <c r="M2102" s="150">
        <v>0</v>
      </c>
      <c r="N2102" s="150"/>
      <c r="O2102" s="150">
        <v>0</v>
      </c>
      <c r="P2102" s="150">
        <v>0</v>
      </c>
      <c r="Q2102" s="150">
        <v>0</v>
      </c>
      <c r="R2102" s="150">
        <f t="shared" si="1771"/>
        <v>0</v>
      </c>
      <c r="S2102" s="150"/>
      <c r="T2102" s="150"/>
      <c r="U2102" s="150">
        <v>0</v>
      </c>
      <c r="V2102" s="199"/>
      <c r="W2102" s="150">
        <f t="shared" si="1772"/>
        <v>0</v>
      </c>
      <c r="X2102" s="150">
        <v>0</v>
      </c>
      <c r="Y2102" s="150"/>
      <c r="Z2102" s="150">
        <v>0</v>
      </c>
      <c r="AA2102" s="150">
        <f t="shared" si="1727"/>
        <v>0</v>
      </c>
      <c r="AB2102" s="150">
        <v>0</v>
      </c>
      <c r="AC2102" s="199"/>
      <c r="AD2102" s="150">
        <f t="shared" si="1773"/>
        <v>0</v>
      </c>
      <c r="AE2102" s="150">
        <v>0</v>
      </c>
      <c r="AF2102" s="169" t="s">
        <v>4680</v>
      </c>
      <c r="AG2102" s="201">
        <v>0</v>
      </c>
      <c r="AH2102" s="199"/>
      <c r="AI2102" s="150">
        <v>0</v>
      </c>
      <c r="AJ2102" s="169">
        <f t="shared" si="1728"/>
        <v>0</v>
      </c>
      <c r="AK2102" s="201">
        <v>0</v>
      </c>
      <c r="AL2102" s="199"/>
      <c r="AM2102" s="150">
        <f t="shared" si="1774"/>
        <v>0</v>
      </c>
      <c r="AN2102" s="153">
        <f t="shared" si="1729"/>
        <v>0</v>
      </c>
      <c r="AO2102" s="154">
        <f t="shared" si="1730"/>
        <v>0</v>
      </c>
      <c r="AP2102" s="150">
        <v>0</v>
      </c>
      <c r="AQ2102" s="201">
        <v>0</v>
      </c>
      <c r="AR2102" s="199"/>
      <c r="AS2102" s="150">
        <f t="shared" si="1775"/>
        <v>0</v>
      </c>
      <c r="AT2102" s="155"/>
      <c r="AU2102" s="156">
        <f t="shared" si="1725"/>
        <v>0</v>
      </c>
      <c r="AV2102" s="156">
        <f t="shared" si="1726"/>
        <v>0</v>
      </c>
      <c r="AW2102" s="157"/>
      <c r="AX2102" s="150">
        <v>0</v>
      </c>
      <c r="AY2102" s="150">
        <v>0</v>
      </c>
      <c r="AZ2102" s="150"/>
      <c r="BA2102" s="150">
        <f t="shared" si="1750"/>
        <v>0</v>
      </c>
      <c r="BB2102" s="210"/>
      <c r="BC2102" s="210"/>
      <c r="BD2102" s="210"/>
      <c r="BE2102" s="210"/>
      <c r="BF2102" s="210"/>
      <c r="BG2102" s="210"/>
      <c r="BH2102" s="217"/>
      <c r="BI2102" s="210"/>
      <c r="BJ2102" s="210"/>
      <c r="BK2102" s="210"/>
      <c r="BL2102" s="210"/>
      <c r="BM2102" s="208"/>
      <c r="BN2102" s="160"/>
      <c r="BO2102" s="161">
        <f t="shared" si="1776"/>
        <v>0</v>
      </c>
      <c r="BP2102" s="161"/>
    </row>
    <row r="2103" spans="1:68" ht="25.5">
      <c r="A2103" s="210"/>
      <c r="B2103" s="195" t="s">
        <v>9987</v>
      </c>
      <c r="C2103" s="196" t="s">
        <v>9988</v>
      </c>
      <c r="D2103" s="146" t="s">
        <v>4692</v>
      </c>
      <c r="E2103" s="196" t="s">
        <v>9988</v>
      </c>
      <c r="F2103" s="150">
        <v>0</v>
      </c>
      <c r="G2103" s="209">
        <v>0</v>
      </c>
      <c r="H2103" s="209">
        <v>0</v>
      </c>
      <c r="I2103" s="209">
        <v>0</v>
      </c>
      <c r="J2103" s="150">
        <v>0</v>
      </c>
      <c r="K2103" s="150">
        <v>0</v>
      </c>
      <c r="L2103" s="150">
        <f t="shared" si="1744"/>
        <v>0</v>
      </c>
      <c r="M2103" s="150">
        <v>0</v>
      </c>
      <c r="N2103" s="150"/>
      <c r="O2103" s="150">
        <v>0</v>
      </c>
      <c r="P2103" s="150">
        <v>0</v>
      </c>
      <c r="Q2103" s="150">
        <v>0</v>
      </c>
      <c r="R2103" s="150">
        <f t="shared" si="1771"/>
        <v>0</v>
      </c>
      <c r="S2103" s="150"/>
      <c r="T2103" s="150"/>
      <c r="U2103" s="150">
        <v>0</v>
      </c>
      <c r="V2103" s="199"/>
      <c r="W2103" s="150">
        <f t="shared" si="1772"/>
        <v>0</v>
      </c>
      <c r="X2103" s="150">
        <v>0</v>
      </c>
      <c r="Y2103" s="150"/>
      <c r="Z2103" s="150">
        <v>0</v>
      </c>
      <c r="AA2103" s="150">
        <f t="shared" si="1727"/>
        <v>0</v>
      </c>
      <c r="AB2103" s="150">
        <v>0</v>
      </c>
      <c r="AC2103" s="199"/>
      <c r="AD2103" s="150">
        <f t="shared" si="1773"/>
        <v>0</v>
      </c>
      <c r="AE2103" s="150">
        <v>0</v>
      </c>
      <c r="AF2103" s="169" t="s">
        <v>4680</v>
      </c>
      <c r="AG2103" s="201">
        <v>0</v>
      </c>
      <c r="AH2103" s="199"/>
      <c r="AI2103" s="150">
        <v>0</v>
      </c>
      <c r="AJ2103" s="169">
        <f t="shared" si="1728"/>
        <v>0</v>
      </c>
      <c r="AK2103" s="201">
        <v>0</v>
      </c>
      <c r="AL2103" s="199"/>
      <c r="AM2103" s="150">
        <f t="shared" si="1774"/>
        <v>0</v>
      </c>
      <c r="AN2103" s="153">
        <f t="shared" si="1729"/>
        <v>0</v>
      </c>
      <c r="AO2103" s="154">
        <f t="shared" si="1730"/>
        <v>0</v>
      </c>
      <c r="AP2103" s="150">
        <v>0</v>
      </c>
      <c r="AQ2103" s="201">
        <v>0</v>
      </c>
      <c r="AR2103" s="199"/>
      <c r="AS2103" s="150">
        <f t="shared" si="1775"/>
        <v>0</v>
      </c>
      <c r="AT2103" s="155"/>
      <c r="AU2103" s="156">
        <f t="shared" si="1725"/>
        <v>0</v>
      </c>
      <c r="AV2103" s="156">
        <f t="shared" si="1726"/>
        <v>0</v>
      </c>
      <c r="AW2103" s="157"/>
      <c r="AX2103" s="150">
        <v>0</v>
      </c>
      <c r="AY2103" s="150">
        <v>0</v>
      </c>
      <c r="AZ2103" s="150"/>
      <c r="BA2103" s="150">
        <f t="shared" si="1750"/>
        <v>0</v>
      </c>
      <c r="BB2103" s="210"/>
      <c r="BC2103" s="210"/>
      <c r="BD2103" s="210"/>
      <c r="BE2103" s="210"/>
      <c r="BF2103" s="210"/>
      <c r="BG2103" s="210"/>
      <c r="BH2103" s="217"/>
      <c r="BI2103" s="210"/>
      <c r="BJ2103" s="210"/>
      <c r="BK2103" s="210"/>
      <c r="BL2103" s="210"/>
      <c r="BM2103" s="208"/>
      <c r="BN2103" s="160"/>
      <c r="BO2103" s="161">
        <f t="shared" si="1776"/>
        <v>0</v>
      </c>
      <c r="BP2103" s="161"/>
    </row>
    <row r="2104" spans="1:68" ht="25.5">
      <c r="A2104" s="194" t="s">
        <v>5864</v>
      </c>
      <c r="B2104" s="195" t="s">
        <v>9989</v>
      </c>
      <c r="C2104" s="196" t="s">
        <v>9990</v>
      </c>
      <c r="D2104" s="146" t="s">
        <v>4692</v>
      </c>
      <c r="E2104" s="196" t="s">
        <v>9990</v>
      </c>
      <c r="F2104" s="150">
        <v>0</v>
      </c>
      <c r="G2104" s="209">
        <v>0</v>
      </c>
      <c r="H2104" s="209">
        <v>77368.009999999995</v>
      </c>
      <c r="I2104" s="209">
        <v>77368.009999999995</v>
      </c>
      <c r="J2104" s="150">
        <v>0</v>
      </c>
      <c r="K2104" s="150">
        <v>0</v>
      </c>
      <c r="L2104" s="150">
        <f t="shared" si="1744"/>
        <v>0</v>
      </c>
      <c r="M2104" s="150">
        <v>77707.210000000006</v>
      </c>
      <c r="N2104" s="150"/>
      <c r="O2104" s="150">
        <v>77707.210000000006</v>
      </c>
      <c r="P2104" s="150">
        <v>77707.210000000006</v>
      </c>
      <c r="Q2104" s="150">
        <v>0</v>
      </c>
      <c r="R2104" s="150">
        <f t="shared" si="1771"/>
        <v>77707.210000000006</v>
      </c>
      <c r="S2104" s="150"/>
      <c r="T2104" s="150"/>
      <c r="U2104" s="150">
        <v>77707.210000000006</v>
      </c>
      <c r="V2104" s="199"/>
      <c r="W2104" s="150">
        <f t="shared" si="1772"/>
        <v>77707.210000000006</v>
      </c>
      <c r="X2104" s="150">
        <v>77707.210000000006</v>
      </c>
      <c r="Y2104" s="150"/>
      <c r="Z2104" s="150">
        <v>77707.210000000006</v>
      </c>
      <c r="AA2104" s="150">
        <f t="shared" si="1727"/>
        <v>0</v>
      </c>
      <c r="AB2104" s="150">
        <v>77707.210000000006</v>
      </c>
      <c r="AC2104" s="199"/>
      <c r="AD2104" s="150">
        <f t="shared" si="1773"/>
        <v>77707.210000000006</v>
      </c>
      <c r="AE2104" s="150">
        <v>77707.210000000006</v>
      </c>
      <c r="AF2104" s="169" t="s">
        <v>4680</v>
      </c>
      <c r="AG2104" s="201">
        <v>77707.210000000006</v>
      </c>
      <c r="AH2104" s="199"/>
      <c r="AI2104" s="150">
        <v>77707.210000000006</v>
      </c>
      <c r="AJ2104" s="169">
        <f t="shared" si="1728"/>
        <v>0</v>
      </c>
      <c r="AK2104" s="201">
        <v>77707.210000000006</v>
      </c>
      <c r="AL2104" s="199"/>
      <c r="AM2104" s="150">
        <f t="shared" si="1774"/>
        <v>77707.210000000006</v>
      </c>
      <c r="AN2104" s="153">
        <f t="shared" si="1729"/>
        <v>0</v>
      </c>
      <c r="AO2104" s="154">
        <f t="shared" si="1730"/>
        <v>0</v>
      </c>
      <c r="AP2104" s="150">
        <v>77707.210000000006</v>
      </c>
      <c r="AQ2104" s="201">
        <v>77707.210000000006</v>
      </c>
      <c r="AR2104" s="199"/>
      <c r="AS2104" s="150">
        <f t="shared" si="1775"/>
        <v>77707.210000000006</v>
      </c>
      <c r="AT2104" s="155"/>
      <c r="AU2104" s="156">
        <f t="shared" si="1725"/>
        <v>0</v>
      </c>
      <c r="AV2104" s="156">
        <f t="shared" si="1726"/>
        <v>0</v>
      </c>
      <c r="AW2104" s="157"/>
      <c r="AX2104" s="150">
        <v>77707.210000000006</v>
      </c>
      <c r="AY2104" s="150">
        <v>77707.210000000006</v>
      </c>
      <c r="AZ2104" s="150">
        <f>-AY2104</f>
        <v>-77707.210000000006</v>
      </c>
      <c r="BA2104" s="150">
        <f t="shared" si="1750"/>
        <v>0</v>
      </c>
      <c r="BB2104" s="202">
        <v>5</v>
      </c>
      <c r="BC2104" s="194" t="s">
        <v>1257</v>
      </c>
      <c r="BD2104" s="194" t="s">
        <v>632</v>
      </c>
      <c r="BE2104" s="194" t="s">
        <v>632</v>
      </c>
      <c r="BF2104" s="194" t="s">
        <v>714</v>
      </c>
      <c r="BG2104" s="203" t="s">
        <v>9991</v>
      </c>
      <c r="BH2104" s="216">
        <f t="shared" ref="BH2104:BH2126" si="1777">AS2104</f>
        <v>77707.210000000006</v>
      </c>
      <c r="BI2104" s="202"/>
      <c r="BJ2104" s="194" t="s">
        <v>5867</v>
      </c>
      <c r="BK2104" s="194" t="s">
        <v>5864</v>
      </c>
      <c r="BL2104" s="207" t="s">
        <v>5868</v>
      </c>
      <c r="BM2104" s="208">
        <f t="shared" ref="BM2104:BM2127" si="1778">BH2104</f>
        <v>77707.210000000006</v>
      </c>
      <c r="BN2104" s="160"/>
      <c r="BO2104" s="161">
        <f t="shared" si="1776"/>
        <v>0</v>
      </c>
      <c r="BP2104" s="161"/>
    </row>
    <row r="2105" spans="1:68" ht="25.5">
      <c r="A2105" s="194" t="s">
        <v>5864</v>
      </c>
      <c r="B2105" s="195" t="s">
        <v>9992</v>
      </c>
      <c r="C2105" s="196" t="s">
        <v>9993</v>
      </c>
      <c r="D2105" s="146" t="s">
        <v>4692</v>
      </c>
      <c r="E2105" s="196" t="s">
        <v>9993</v>
      </c>
      <c r="F2105" s="150">
        <v>173889.25</v>
      </c>
      <c r="G2105" s="209">
        <v>0</v>
      </c>
      <c r="H2105" s="209">
        <v>0</v>
      </c>
      <c r="I2105" s="209">
        <v>0</v>
      </c>
      <c r="J2105" s="150">
        <v>0</v>
      </c>
      <c r="K2105" s="150">
        <v>19252.466</v>
      </c>
      <c r="L2105" s="150">
        <f t="shared" si="1744"/>
        <v>19252.466</v>
      </c>
      <c r="M2105" s="150">
        <v>32502.74</v>
      </c>
      <c r="N2105" s="150"/>
      <c r="O2105" s="150">
        <v>32502.74</v>
      </c>
      <c r="P2105" s="150">
        <v>32502.74</v>
      </c>
      <c r="Q2105" s="150">
        <v>0</v>
      </c>
      <c r="R2105" s="150">
        <f t="shared" si="1771"/>
        <v>32502.74</v>
      </c>
      <c r="S2105" s="150"/>
      <c r="T2105" s="150"/>
      <c r="U2105" s="150">
        <v>32502.74</v>
      </c>
      <c r="V2105" s="199"/>
      <c r="W2105" s="150">
        <f t="shared" si="1772"/>
        <v>32502.74</v>
      </c>
      <c r="X2105" s="150">
        <v>32502.74</v>
      </c>
      <c r="Y2105" s="150"/>
      <c r="Z2105" s="150">
        <v>32502.74</v>
      </c>
      <c r="AA2105" s="150">
        <f t="shared" si="1727"/>
        <v>0</v>
      </c>
      <c r="AB2105" s="150">
        <v>32502.74</v>
      </c>
      <c r="AC2105" s="199"/>
      <c r="AD2105" s="150">
        <f t="shared" si="1773"/>
        <v>32502.74</v>
      </c>
      <c r="AE2105" s="150">
        <v>32502.74</v>
      </c>
      <c r="AF2105" s="169" t="s">
        <v>4680</v>
      </c>
      <c r="AG2105" s="201">
        <v>32502.74</v>
      </c>
      <c r="AH2105" s="199"/>
      <c r="AI2105" s="150">
        <v>32502.74</v>
      </c>
      <c r="AJ2105" s="169">
        <f t="shared" si="1728"/>
        <v>0</v>
      </c>
      <c r="AK2105" s="201">
        <v>32502.74</v>
      </c>
      <c r="AL2105" s="199"/>
      <c r="AM2105" s="150">
        <f t="shared" si="1774"/>
        <v>32502.74</v>
      </c>
      <c r="AN2105" s="153">
        <f t="shared" si="1729"/>
        <v>0</v>
      </c>
      <c r="AO2105" s="154">
        <f t="shared" si="1730"/>
        <v>0</v>
      </c>
      <c r="AP2105" s="150">
        <v>32502.74</v>
      </c>
      <c r="AQ2105" s="201">
        <v>32502.74</v>
      </c>
      <c r="AR2105" s="199"/>
      <c r="AS2105" s="150">
        <f t="shared" si="1775"/>
        <v>32502.74</v>
      </c>
      <c r="AT2105" s="155"/>
      <c r="AU2105" s="156">
        <f t="shared" si="1725"/>
        <v>0</v>
      </c>
      <c r="AV2105" s="156">
        <f t="shared" si="1726"/>
        <v>0</v>
      </c>
      <c r="AW2105" s="157"/>
      <c r="AX2105" s="150">
        <v>32502.74</v>
      </c>
      <c r="AY2105" s="150">
        <v>32502.74</v>
      </c>
      <c r="AZ2105" s="150">
        <f>-AY2105</f>
        <v>-32502.74</v>
      </c>
      <c r="BA2105" s="150">
        <f t="shared" si="1750"/>
        <v>0</v>
      </c>
      <c r="BB2105" s="202">
        <v>5</v>
      </c>
      <c r="BC2105" s="194" t="s">
        <v>1257</v>
      </c>
      <c r="BD2105" s="194" t="s">
        <v>632</v>
      </c>
      <c r="BE2105" s="194" t="s">
        <v>632</v>
      </c>
      <c r="BF2105" s="194" t="s">
        <v>739</v>
      </c>
      <c r="BG2105" s="203" t="s">
        <v>9994</v>
      </c>
      <c r="BH2105" s="216">
        <f t="shared" si="1777"/>
        <v>32502.74</v>
      </c>
      <c r="BI2105" s="285"/>
      <c r="BJ2105" s="194" t="s">
        <v>5867</v>
      </c>
      <c r="BK2105" s="194" t="s">
        <v>5864</v>
      </c>
      <c r="BL2105" s="207" t="s">
        <v>5868</v>
      </c>
      <c r="BM2105" s="208">
        <f t="shared" si="1778"/>
        <v>32502.74</v>
      </c>
      <c r="BN2105" s="160"/>
      <c r="BO2105" s="161">
        <f t="shared" si="1776"/>
        <v>0</v>
      </c>
      <c r="BP2105" s="161"/>
    </row>
    <row r="2106" spans="1:68" ht="63.75">
      <c r="A2106" s="194" t="s">
        <v>5864</v>
      </c>
      <c r="B2106" s="195" t="s">
        <v>9995</v>
      </c>
      <c r="C2106" s="196" t="s">
        <v>9996</v>
      </c>
      <c r="D2106" s="146" t="s">
        <v>4692</v>
      </c>
      <c r="E2106" s="196" t="s">
        <v>9996</v>
      </c>
      <c r="F2106" s="150">
        <v>0</v>
      </c>
      <c r="G2106" s="209">
        <v>0</v>
      </c>
      <c r="H2106" s="209">
        <v>0</v>
      </c>
      <c r="I2106" s="209">
        <v>0</v>
      </c>
      <c r="J2106" s="150">
        <v>0</v>
      </c>
      <c r="K2106" s="150">
        <v>0</v>
      </c>
      <c r="L2106" s="150">
        <f t="shared" si="1744"/>
        <v>0</v>
      </c>
      <c r="M2106" s="150">
        <v>0</v>
      </c>
      <c r="N2106" s="150"/>
      <c r="O2106" s="150">
        <v>0</v>
      </c>
      <c r="P2106" s="150">
        <v>0</v>
      </c>
      <c r="Q2106" s="150">
        <v>0</v>
      </c>
      <c r="R2106" s="150">
        <f t="shared" si="1771"/>
        <v>0</v>
      </c>
      <c r="S2106" s="150"/>
      <c r="T2106" s="150"/>
      <c r="U2106" s="150">
        <v>0</v>
      </c>
      <c r="V2106" s="199"/>
      <c r="W2106" s="150">
        <f t="shared" si="1772"/>
        <v>0</v>
      </c>
      <c r="X2106" s="150">
        <v>0</v>
      </c>
      <c r="Y2106" s="150"/>
      <c r="Z2106" s="150">
        <v>0</v>
      </c>
      <c r="AA2106" s="150">
        <f t="shared" si="1727"/>
        <v>0</v>
      </c>
      <c r="AB2106" s="150">
        <v>0</v>
      </c>
      <c r="AC2106" s="199"/>
      <c r="AD2106" s="150">
        <f t="shared" si="1773"/>
        <v>0</v>
      </c>
      <c r="AE2106" s="150">
        <v>0</v>
      </c>
      <c r="AF2106" s="169" t="s">
        <v>4680</v>
      </c>
      <c r="AG2106" s="201">
        <v>0</v>
      </c>
      <c r="AH2106" s="199"/>
      <c r="AI2106" s="150">
        <v>0</v>
      </c>
      <c r="AJ2106" s="169">
        <f t="shared" si="1728"/>
        <v>0</v>
      </c>
      <c r="AK2106" s="201">
        <v>0</v>
      </c>
      <c r="AL2106" s="199"/>
      <c r="AM2106" s="150">
        <f t="shared" si="1774"/>
        <v>0</v>
      </c>
      <c r="AN2106" s="153">
        <f t="shared" si="1729"/>
        <v>0</v>
      </c>
      <c r="AO2106" s="154">
        <f t="shared" si="1730"/>
        <v>0</v>
      </c>
      <c r="AP2106" s="150">
        <v>0</v>
      </c>
      <c r="AQ2106" s="201">
        <v>0</v>
      </c>
      <c r="AR2106" s="199"/>
      <c r="AS2106" s="150">
        <f t="shared" si="1775"/>
        <v>0</v>
      </c>
      <c r="AT2106" s="155"/>
      <c r="AU2106" s="156">
        <f t="shared" si="1725"/>
        <v>0</v>
      </c>
      <c r="AV2106" s="156">
        <f t="shared" si="1726"/>
        <v>0</v>
      </c>
      <c r="AW2106" s="157"/>
      <c r="AX2106" s="150">
        <v>0</v>
      </c>
      <c r="AY2106" s="150">
        <v>0</v>
      </c>
      <c r="AZ2106" s="150"/>
      <c r="BA2106" s="150">
        <f t="shared" si="1750"/>
        <v>0</v>
      </c>
      <c r="BB2106" s="202">
        <v>5</v>
      </c>
      <c r="BC2106" s="194" t="s">
        <v>1257</v>
      </c>
      <c r="BD2106" s="194" t="s">
        <v>632</v>
      </c>
      <c r="BE2106" s="194" t="s">
        <v>632</v>
      </c>
      <c r="BF2106" s="194" t="s">
        <v>1920</v>
      </c>
      <c r="BG2106" s="203" t="s">
        <v>9996</v>
      </c>
      <c r="BH2106" s="216">
        <f t="shared" si="1777"/>
        <v>0</v>
      </c>
      <c r="BI2106" s="202"/>
      <c r="BJ2106" s="194" t="s">
        <v>5867</v>
      </c>
      <c r="BK2106" s="194" t="s">
        <v>5864</v>
      </c>
      <c r="BL2106" s="207" t="s">
        <v>5868</v>
      </c>
      <c r="BM2106" s="208">
        <f t="shared" si="1778"/>
        <v>0</v>
      </c>
      <c r="BN2106" s="160"/>
      <c r="BO2106" s="161">
        <f t="shared" si="1776"/>
        <v>0</v>
      </c>
      <c r="BP2106" s="161"/>
    </row>
    <row r="2107" spans="1:68" ht="63.75">
      <c r="A2107" s="194" t="s">
        <v>5864</v>
      </c>
      <c r="B2107" s="195" t="s">
        <v>9997</v>
      </c>
      <c r="C2107" s="196" t="s">
        <v>9998</v>
      </c>
      <c r="D2107" s="146" t="s">
        <v>4692</v>
      </c>
      <c r="E2107" s="196" t="s">
        <v>9998</v>
      </c>
      <c r="F2107" s="150">
        <v>0</v>
      </c>
      <c r="G2107" s="209">
        <v>0</v>
      </c>
      <c r="H2107" s="209">
        <v>0</v>
      </c>
      <c r="I2107" s="209">
        <v>0</v>
      </c>
      <c r="J2107" s="150">
        <v>0</v>
      </c>
      <c r="K2107" s="150">
        <v>0</v>
      </c>
      <c r="L2107" s="150">
        <f t="shared" si="1744"/>
        <v>0</v>
      </c>
      <c r="M2107" s="150">
        <v>0</v>
      </c>
      <c r="N2107" s="150"/>
      <c r="O2107" s="150">
        <v>0</v>
      </c>
      <c r="P2107" s="150">
        <v>0</v>
      </c>
      <c r="Q2107" s="150">
        <v>0</v>
      </c>
      <c r="R2107" s="150">
        <f t="shared" si="1771"/>
        <v>0</v>
      </c>
      <c r="S2107" s="150"/>
      <c r="T2107" s="150"/>
      <c r="U2107" s="150">
        <v>0</v>
      </c>
      <c r="V2107" s="199"/>
      <c r="W2107" s="150">
        <f t="shared" si="1772"/>
        <v>0</v>
      </c>
      <c r="X2107" s="150">
        <v>0</v>
      </c>
      <c r="Y2107" s="150"/>
      <c r="Z2107" s="150">
        <v>0</v>
      </c>
      <c r="AA2107" s="150">
        <f t="shared" si="1727"/>
        <v>0</v>
      </c>
      <c r="AB2107" s="150">
        <v>0</v>
      </c>
      <c r="AC2107" s="199"/>
      <c r="AD2107" s="150">
        <f t="shared" si="1773"/>
        <v>0</v>
      </c>
      <c r="AE2107" s="150">
        <v>0</v>
      </c>
      <c r="AF2107" s="169" t="s">
        <v>4680</v>
      </c>
      <c r="AG2107" s="201">
        <v>0</v>
      </c>
      <c r="AH2107" s="199"/>
      <c r="AI2107" s="150">
        <v>0</v>
      </c>
      <c r="AJ2107" s="169">
        <f t="shared" si="1728"/>
        <v>0</v>
      </c>
      <c r="AK2107" s="201">
        <v>0</v>
      </c>
      <c r="AL2107" s="199"/>
      <c r="AM2107" s="150">
        <f t="shared" si="1774"/>
        <v>0</v>
      </c>
      <c r="AN2107" s="153">
        <f t="shared" si="1729"/>
        <v>0</v>
      </c>
      <c r="AO2107" s="154">
        <f t="shared" si="1730"/>
        <v>0</v>
      </c>
      <c r="AP2107" s="150">
        <v>0</v>
      </c>
      <c r="AQ2107" s="201">
        <v>0</v>
      </c>
      <c r="AR2107" s="199"/>
      <c r="AS2107" s="150">
        <f t="shared" si="1775"/>
        <v>0</v>
      </c>
      <c r="AT2107" s="155"/>
      <c r="AU2107" s="156">
        <f t="shared" si="1725"/>
        <v>0</v>
      </c>
      <c r="AV2107" s="156">
        <f t="shared" si="1726"/>
        <v>0</v>
      </c>
      <c r="AW2107" s="157"/>
      <c r="AX2107" s="150">
        <v>0</v>
      </c>
      <c r="AY2107" s="150">
        <v>0</v>
      </c>
      <c r="AZ2107" s="150"/>
      <c r="BA2107" s="150">
        <f t="shared" si="1750"/>
        <v>0</v>
      </c>
      <c r="BB2107" s="202">
        <v>5</v>
      </c>
      <c r="BC2107" s="194" t="s">
        <v>1257</v>
      </c>
      <c r="BD2107" s="194" t="s">
        <v>632</v>
      </c>
      <c r="BE2107" s="194" t="s">
        <v>632</v>
      </c>
      <c r="BF2107" s="194" t="s">
        <v>5898</v>
      </c>
      <c r="BG2107" s="203" t="s">
        <v>9998</v>
      </c>
      <c r="BH2107" s="216">
        <f t="shared" si="1777"/>
        <v>0</v>
      </c>
      <c r="BI2107" s="202"/>
      <c r="BJ2107" s="194" t="s">
        <v>5867</v>
      </c>
      <c r="BK2107" s="194" t="s">
        <v>5864</v>
      </c>
      <c r="BL2107" s="207" t="s">
        <v>5868</v>
      </c>
      <c r="BM2107" s="208">
        <f t="shared" si="1778"/>
        <v>0</v>
      </c>
      <c r="BN2107" s="160"/>
      <c r="BO2107" s="161">
        <f t="shared" si="1776"/>
        <v>0</v>
      </c>
      <c r="BP2107" s="161"/>
    </row>
    <row r="2108" spans="1:68" ht="38.25">
      <c r="A2108" s="194" t="s">
        <v>5864</v>
      </c>
      <c r="B2108" s="195" t="s">
        <v>9999</v>
      </c>
      <c r="C2108" s="196" t="s">
        <v>10000</v>
      </c>
      <c r="D2108" s="146" t="s">
        <v>4692</v>
      </c>
      <c r="E2108" s="203" t="s">
        <v>10000</v>
      </c>
      <c r="F2108" s="150">
        <v>0</v>
      </c>
      <c r="G2108" s="242">
        <v>0</v>
      </c>
      <c r="H2108" s="242">
        <v>0</v>
      </c>
      <c r="I2108" s="242">
        <v>0</v>
      </c>
      <c r="J2108" s="150">
        <v>0</v>
      </c>
      <c r="K2108" s="150">
        <v>0</v>
      </c>
      <c r="L2108" s="150">
        <f t="shared" si="1744"/>
        <v>0</v>
      </c>
      <c r="M2108" s="150">
        <v>0</v>
      </c>
      <c r="N2108" s="150"/>
      <c r="O2108" s="150">
        <v>0</v>
      </c>
      <c r="P2108" s="150">
        <v>0</v>
      </c>
      <c r="Q2108" s="150">
        <v>0</v>
      </c>
      <c r="R2108" s="150">
        <f t="shared" si="1771"/>
        <v>0</v>
      </c>
      <c r="S2108" s="150"/>
      <c r="T2108" s="150"/>
      <c r="U2108" s="150">
        <v>0</v>
      </c>
      <c r="V2108" s="199"/>
      <c r="W2108" s="150">
        <f t="shared" si="1772"/>
        <v>0</v>
      </c>
      <c r="X2108" s="150">
        <v>0</v>
      </c>
      <c r="Y2108" s="150"/>
      <c r="Z2108" s="150">
        <v>0</v>
      </c>
      <c r="AA2108" s="150">
        <f t="shared" si="1727"/>
        <v>0</v>
      </c>
      <c r="AB2108" s="150">
        <v>0</v>
      </c>
      <c r="AC2108" s="199"/>
      <c r="AD2108" s="150">
        <f t="shared" si="1773"/>
        <v>0</v>
      </c>
      <c r="AE2108" s="150">
        <v>0</v>
      </c>
      <c r="AF2108" s="169" t="s">
        <v>4680</v>
      </c>
      <c r="AG2108" s="201">
        <v>0</v>
      </c>
      <c r="AH2108" s="199"/>
      <c r="AI2108" s="150">
        <v>0</v>
      </c>
      <c r="AJ2108" s="169">
        <f t="shared" si="1728"/>
        <v>0</v>
      </c>
      <c r="AK2108" s="201">
        <v>0</v>
      </c>
      <c r="AL2108" s="199"/>
      <c r="AM2108" s="150">
        <f t="shared" si="1774"/>
        <v>0</v>
      </c>
      <c r="AN2108" s="153">
        <f t="shared" si="1729"/>
        <v>0</v>
      </c>
      <c r="AO2108" s="154">
        <f t="shared" si="1730"/>
        <v>0</v>
      </c>
      <c r="AP2108" s="150">
        <v>0</v>
      </c>
      <c r="AQ2108" s="201">
        <v>0</v>
      </c>
      <c r="AR2108" s="199"/>
      <c r="AS2108" s="150">
        <f t="shared" si="1775"/>
        <v>0</v>
      </c>
      <c r="AT2108" s="155"/>
      <c r="AU2108" s="156">
        <f t="shared" si="1725"/>
        <v>0</v>
      </c>
      <c r="AV2108" s="156">
        <f t="shared" si="1726"/>
        <v>0</v>
      </c>
      <c r="AW2108" s="157"/>
      <c r="AX2108" s="150">
        <v>0</v>
      </c>
      <c r="AY2108" s="150">
        <v>0</v>
      </c>
      <c r="AZ2108" s="150"/>
      <c r="BA2108" s="150">
        <f t="shared" si="1750"/>
        <v>0</v>
      </c>
      <c r="BB2108" s="202">
        <v>5</v>
      </c>
      <c r="BC2108" s="194" t="s">
        <v>1257</v>
      </c>
      <c r="BD2108" s="194" t="s">
        <v>632</v>
      </c>
      <c r="BE2108" s="194" t="s">
        <v>647</v>
      </c>
      <c r="BF2108" s="194" t="s">
        <v>5901</v>
      </c>
      <c r="BG2108" s="203" t="s">
        <v>10000</v>
      </c>
      <c r="BH2108" s="216">
        <f t="shared" si="1777"/>
        <v>0</v>
      </c>
      <c r="BI2108" s="285"/>
      <c r="BJ2108" s="194" t="s">
        <v>5867</v>
      </c>
      <c r="BK2108" s="194" t="s">
        <v>5864</v>
      </c>
      <c r="BL2108" s="207" t="s">
        <v>5868</v>
      </c>
      <c r="BM2108" s="208">
        <f t="shared" si="1778"/>
        <v>0</v>
      </c>
      <c r="BN2108" s="160"/>
      <c r="BO2108" s="161">
        <f t="shared" si="1776"/>
        <v>0</v>
      </c>
      <c r="BP2108" s="161"/>
    </row>
    <row r="2109" spans="1:68" ht="25.5">
      <c r="A2109" s="194" t="s">
        <v>5864</v>
      </c>
      <c r="B2109" s="195" t="s">
        <v>10001</v>
      </c>
      <c r="C2109" s="196" t="s">
        <v>10002</v>
      </c>
      <c r="D2109" s="146" t="s">
        <v>4692</v>
      </c>
      <c r="E2109" s="203" t="s">
        <v>10002</v>
      </c>
      <c r="F2109" s="150">
        <v>0</v>
      </c>
      <c r="G2109" s="242">
        <v>0</v>
      </c>
      <c r="H2109" s="242">
        <v>0</v>
      </c>
      <c r="I2109" s="242">
        <v>0</v>
      </c>
      <c r="J2109" s="150">
        <v>0</v>
      </c>
      <c r="K2109" s="150">
        <v>0</v>
      </c>
      <c r="L2109" s="150">
        <f t="shared" si="1744"/>
        <v>0</v>
      </c>
      <c r="M2109" s="150">
        <v>0</v>
      </c>
      <c r="N2109" s="150"/>
      <c r="O2109" s="150">
        <v>0</v>
      </c>
      <c r="P2109" s="150">
        <v>0</v>
      </c>
      <c r="Q2109" s="150">
        <v>0</v>
      </c>
      <c r="R2109" s="150">
        <f t="shared" si="1771"/>
        <v>0</v>
      </c>
      <c r="S2109" s="150"/>
      <c r="T2109" s="150"/>
      <c r="U2109" s="150">
        <v>0</v>
      </c>
      <c r="V2109" s="199"/>
      <c r="W2109" s="150">
        <f t="shared" si="1772"/>
        <v>0</v>
      </c>
      <c r="X2109" s="150">
        <v>0</v>
      </c>
      <c r="Y2109" s="150"/>
      <c r="Z2109" s="150">
        <v>0</v>
      </c>
      <c r="AA2109" s="150">
        <f t="shared" si="1727"/>
        <v>0</v>
      </c>
      <c r="AB2109" s="150">
        <v>0</v>
      </c>
      <c r="AC2109" s="199"/>
      <c r="AD2109" s="150">
        <f t="shared" si="1773"/>
        <v>0</v>
      </c>
      <c r="AE2109" s="150">
        <v>0</v>
      </c>
      <c r="AF2109" s="169" t="s">
        <v>4680</v>
      </c>
      <c r="AG2109" s="201">
        <v>0</v>
      </c>
      <c r="AH2109" s="199"/>
      <c r="AI2109" s="150">
        <v>0</v>
      </c>
      <c r="AJ2109" s="169">
        <f t="shared" si="1728"/>
        <v>0</v>
      </c>
      <c r="AK2109" s="201">
        <v>0</v>
      </c>
      <c r="AL2109" s="199"/>
      <c r="AM2109" s="150">
        <f t="shared" si="1774"/>
        <v>0</v>
      </c>
      <c r="AN2109" s="153">
        <f t="shared" si="1729"/>
        <v>0</v>
      </c>
      <c r="AO2109" s="154">
        <f t="shared" si="1730"/>
        <v>0</v>
      </c>
      <c r="AP2109" s="150">
        <v>0</v>
      </c>
      <c r="AQ2109" s="201">
        <v>0</v>
      </c>
      <c r="AR2109" s="199"/>
      <c r="AS2109" s="150">
        <f t="shared" si="1775"/>
        <v>0</v>
      </c>
      <c r="AT2109" s="155"/>
      <c r="AU2109" s="156">
        <f t="shared" si="1725"/>
        <v>0</v>
      </c>
      <c r="AV2109" s="156">
        <f t="shared" si="1726"/>
        <v>0</v>
      </c>
      <c r="AW2109" s="157"/>
      <c r="AX2109" s="150">
        <v>0</v>
      </c>
      <c r="AY2109" s="150">
        <v>0</v>
      </c>
      <c r="AZ2109" s="150"/>
      <c r="BA2109" s="150">
        <f t="shared" si="1750"/>
        <v>0</v>
      </c>
      <c r="BB2109" s="202">
        <v>5</v>
      </c>
      <c r="BC2109" s="194" t="s">
        <v>1257</v>
      </c>
      <c r="BD2109" s="194" t="s">
        <v>632</v>
      </c>
      <c r="BE2109" s="194" t="s">
        <v>632</v>
      </c>
      <c r="BF2109" s="194" t="s">
        <v>1896</v>
      </c>
      <c r="BG2109" s="203" t="s">
        <v>10002</v>
      </c>
      <c r="BH2109" s="216">
        <f t="shared" si="1777"/>
        <v>0</v>
      </c>
      <c r="BI2109" s="285"/>
      <c r="BJ2109" s="194" t="s">
        <v>5867</v>
      </c>
      <c r="BK2109" s="194" t="s">
        <v>5864</v>
      </c>
      <c r="BL2109" s="207" t="s">
        <v>5868</v>
      </c>
      <c r="BM2109" s="208">
        <f t="shared" si="1778"/>
        <v>0</v>
      </c>
      <c r="BN2109" s="160"/>
      <c r="BO2109" s="161">
        <f t="shared" si="1776"/>
        <v>0</v>
      </c>
      <c r="BP2109" s="161"/>
    </row>
    <row r="2110" spans="1:68" ht="38.25">
      <c r="A2110" s="194" t="s">
        <v>5864</v>
      </c>
      <c r="B2110" s="195" t="s">
        <v>10003</v>
      </c>
      <c r="C2110" s="196" t="s">
        <v>10004</v>
      </c>
      <c r="D2110" s="146" t="s">
        <v>4692</v>
      </c>
      <c r="E2110" s="196" t="s">
        <v>10004</v>
      </c>
      <c r="F2110" s="150">
        <v>0</v>
      </c>
      <c r="G2110" s="209">
        <v>0</v>
      </c>
      <c r="H2110" s="209">
        <v>573.62</v>
      </c>
      <c r="I2110" s="209">
        <v>573.62</v>
      </c>
      <c r="J2110" s="150">
        <v>0</v>
      </c>
      <c r="K2110" s="150">
        <v>0</v>
      </c>
      <c r="L2110" s="150">
        <f t="shared" si="1744"/>
        <v>0</v>
      </c>
      <c r="M2110" s="150">
        <v>0</v>
      </c>
      <c r="N2110" s="150"/>
      <c r="O2110" s="150">
        <v>0</v>
      </c>
      <c r="P2110" s="150">
        <v>0</v>
      </c>
      <c r="Q2110" s="150">
        <v>0</v>
      </c>
      <c r="R2110" s="150">
        <f t="shared" si="1771"/>
        <v>0</v>
      </c>
      <c r="S2110" s="150"/>
      <c r="T2110" s="150"/>
      <c r="U2110" s="150">
        <v>0</v>
      </c>
      <c r="V2110" s="199"/>
      <c r="W2110" s="150">
        <f t="shared" si="1772"/>
        <v>0</v>
      </c>
      <c r="X2110" s="150">
        <v>0</v>
      </c>
      <c r="Y2110" s="150"/>
      <c r="Z2110" s="150">
        <v>0</v>
      </c>
      <c r="AA2110" s="150">
        <f t="shared" si="1727"/>
        <v>0</v>
      </c>
      <c r="AB2110" s="150">
        <v>0</v>
      </c>
      <c r="AC2110" s="199"/>
      <c r="AD2110" s="150">
        <f t="shared" si="1773"/>
        <v>0</v>
      </c>
      <c r="AE2110" s="150">
        <v>0</v>
      </c>
      <c r="AF2110" s="169" t="s">
        <v>4680</v>
      </c>
      <c r="AG2110" s="201">
        <v>0</v>
      </c>
      <c r="AH2110" s="199"/>
      <c r="AI2110" s="150">
        <v>0</v>
      </c>
      <c r="AJ2110" s="169">
        <f t="shared" si="1728"/>
        <v>0</v>
      </c>
      <c r="AK2110" s="201">
        <v>0</v>
      </c>
      <c r="AL2110" s="199"/>
      <c r="AM2110" s="150">
        <f t="shared" si="1774"/>
        <v>0</v>
      </c>
      <c r="AN2110" s="153">
        <f t="shared" si="1729"/>
        <v>0</v>
      </c>
      <c r="AO2110" s="154">
        <f t="shared" si="1730"/>
        <v>0</v>
      </c>
      <c r="AP2110" s="150">
        <v>0</v>
      </c>
      <c r="AQ2110" s="201">
        <v>0</v>
      </c>
      <c r="AR2110" s="199"/>
      <c r="AS2110" s="150">
        <f t="shared" si="1775"/>
        <v>0</v>
      </c>
      <c r="AT2110" s="155"/>
      <c r="AU2110" s="156">
        <f t="shared" si="1725"/>
        <v>0</v>
      </c>
      <c r="AV2110" s="156">
        <f t="shared" si="1726"/>
        <v>0</v>
      </c>
      <c r="AW2110" s="157"/>
      <c r="AX2110" s="150">
        <v>0</v>
      </c>
      <c r="AY2110" s="150">
        <v>0</v>
      </c>
      <c r="AZ2110" s="150"/>
      <c r="BA2110" s="150">
        <f t="shared" si="1750"/>
        <v>0</v>
      </c>
      <c r="BB2110" s="202">
        <v>5</v>
      </c>
      <c r="BC2110" s="194" t="s">
        <v>1257</v>
      </c>
      <c r="BD2110" s="194" t="s">
        <v>632</v>
      </c>
      <c r="BE2110" s="194" t="s">
        <v>632</v>
      </c>
      <c r="BF2110" s="194" t="s">
        <v>1900</v>
      </c>
      <c r="BG2110" s="203" t="s">
        <v>10004</v>
      </c>
      <c r="BH2110" s="216">
        <f t="shared" si="1777"/>
        <v>0</v>
      </c>
      <c r="BI2110" s="285"/>
      <c r="BJ2110" s="194" t="s">
        <v>5867</v>
      </c>
      <c r="BK2110" s="194" t="s">
        <v>5864</v>
      </c>
      <c r="BL2110" s="207" t="s">
        <v>5868</v>
      </c>
      <c r="BM2110" s="208">
        <f t="shared" si="1778"/>
        <v>0</v>
      </c>
      <c r="BN2110" s="160"/>
      <c r="BO2110" s="161">
        <f t="shared" si="1776"/>
        <v>0</v>
      </c>
      <c r="BP2110" s="161"/>
    </row>
    <row r="2111" spans="1:68" ht="25.5">
      <c r="A2111" s="194" t="s">
        <v>5864</v>
      </c>
      <c r="B2111" s="195" t="s">
        <v>10005</v>
      </c>
      <c r="C2111" s="196" t="s">
        <v>10006</v>
      </c>
      <c r="D2111" s="146" t="s">
        <v>4692</v>
      </c>
      <c r="E2111" s="196" t="s">
        <v>10006</v>
      </c>
      <c r="F2111" s="150">
        <v>0</v>
      </c>
      <c r="G2111" s="209">
        <v>0</v>
      </c>
      <c r="H2111" s="209">
        <v>3514.04</v>
      </c>
      <c r="I2111" s="209">
        <v>3514.04</v>
      </c>
      <c r="J2111" s="150">
        <v>0</v>
      </c>
      <c r="K2111" s="150">
        <v>0</v>
      </c>
      <c r="L2111" s="150">
        <f t="shared" si="1744"/>
        <v>0</v>
      </c>
      <c r="M2111" s="150">
        <v>0</v>
      </c>
      <c r="N2111" s="150"/>
      <c r="O2111" s="150">
        <v>0</v>
      </c>
      <c r="P2111" s="150">
        <v>0</v>
      </c>
      <c r="Q2111" s="150">
        <v>0</v>
      </c>
      <c r="R2111" s="150">
        <f t="shared" si="1771"/>
        <v>0</v>
      </c>
      <c r="S2111" s="150"/>
      <c r="T2111" s="150"/>
      <c r="U2111" s="150">
        <v>0</v>
      </c>
      <c r="V2111" s="199"/>
      <c r="W2111" s="150">
        <f t="shared" si="1772"/>
        <v>0</v>
      </c>
      <c r="X2111" s="150">
        <v>0</v>
      </c>
      <c r="Y2111" s="150"/>
      <c r="Z2111" s="150">
        <v>0</v>
      </c>
      <c r="AA2111" s="150">
        <f t="shared" si="1727"/>
        <v>0</v>
      </c>
      <c r="AB2111" s="150">
        <v>0</v>
      </c>
      <c r="AC2111" s="199"/>
      <c r="AD2111" s="150">
        <f t="shared" si="1773"/>
        <v>0</v>
      </c>
      <c r="AE2111" s="150">
        <v>0</v>
      </c>
      <c r="AF2111" s="169" t="s">
        <v>4680</v>
      </c>
      <c r="AG2111" s="201">
        <v>0</v>
      </c>
      <c r="AH2111" s="199"/>
      <c r="AI2111" s="150">
        <v>0</v>
      </c>
      <c r="AJ2111" s="169">
        <f t="shared" si="1728"/>
        <v>0</v>
      </c>
      <c r="AK2111" s="201">
        <v>0</v>
      </c>
      <c r="AL2111" s="199"/>
      <c r="AM2111" s="150">
        <f t="shared" si="1774"/>
        <v>0</v>
      </c>
      <c r="AN2111" s="153">
        <f t="shared" si="1729"/>
        <v>0</v>
      </c>
      <c r="AO2111" s="154">
        <f t="shared" si="1730"/>
        <v>0</v>
      </c>
      <c r="AP2111" s="150">
        <v>0</v>
      </c>
      <c r="AQ2111" s="201">
        <v>0</v>
      </c>
      <c r="AR2111" s="199"/>
      <c r="AS2111" s="150">
        <f t="shared" si="1775"/>
        <v>0</v>
      </c>
      <c r="AT2111" s="155"/>
      <c r="AU2111" s="156">
        <f t="shared" si="1725"/>
        <v>0</v>
      </c>
      <c r="AV2111" s="156">
        <f t="shared" si="1726"/>
        <v>0</v>
      </c>
      <c r="AW2111" s="157"/>
      <c r="AX2111" s="150">
        <v>0</v>
      </c>
      <c r="AY2111" s="150">
        <v>0</v>
      </c>
      <c r="AZ2111" s="150"/>
      <c r="BA2111" s="150">
        <f t="shared" si="1750"/>
        <v>0</v>
      </c>
      <c r="BB2111" s="202">
        <v>5</v>
      </c>
      <c r="BC2111" s="194" t="s">
        <v>1257</v>
      </c>
      <c r="BD2111" s="194" t="s">
        <v>632</v>
      </c>
      <c r="BE2111" s="194" t="s">
        <v>632</v>
      </c>
      <c r="BF2111" s="194" t="s">
        <v>1904</v>
      </c>
      <c r="BG2111" s="203" t="s">
        <v>10006</v>
      </c>
      <c r="BH2111" s="216">
        <f t="shared" si="1777"/>
        <v>0</v>
      </c>
      <c r="BI2111" s="285"/>
      <c r="BJ2111" s="194" t="s">
        <v>5867</v>
      </c>
      <c r="BK2111" s="194" t="s">
        <v>5864</v>
      </c>
      <c r="BL2111" s="207" t="s">
        <v>5868</v>
      </c>
      <c r="BM2111" s="208">
        <f t="shared" si="1778"/>
        <v>0</v>
      </c>
      <c r="BN2111" s="160"/>
      <c r="BO2111" s="161">
        <f t="shared" si="1776"/>
        <v>0</v>
      </c>
      <c r="BP2111" s="161"/>
    </row>
    <row r="2112" spans="1:68" ht="51">
      <c r="A2112" s="194" t="s">
        <v>5864</v>
      </c>
      <c r="B2112" s="195" t="s">
        <v>10007</v>
      </c>
      <c r="C2112" s="196" t="s">
        <v>10008</v>
      </c>
      <c r="D2112" s="146" t="s">
        <v>4692</v>
      </c>
      <c r="E2112" s="196" t="s">
        <v>10009</v>
      </c>
      <c r="F2112" s="150">
        <v>0</v>
      </c>
      <c r="G2112" s="209">
        <v>0</v>
      </c>
      <c r="H2112" s="209">
        <v>96521.24</v>
      </c>
      <c r="I2112" s="209">
        <v>96521.24</v>
      </c>
      <c r="J2112" s="150">
        <v>0</v>
      </c>
      <c r="K2112" s="150">
        <v>4394.7540000000008</v>
      </c>
      <c r="L2112" s="150">
        <f t="shared" si="1744"/>
        <v>4394.7540000000008</v>
      </c>
      <c r="M2112" s="150">
        <v>0</v>
      </c>
      <c r="N2112" s="150"/>
      <c r="O2112" s="150">
        <v>0</v>
      </c>
      <c r="P2112" s="150">
        <v>0</v>
      </c>
      <c r="Q2112" s="150">
        <v>0</v>
      </c>
      <c r="R2112" s="150">
        <f t="shared" si="1771"/>
        <v>0</v>
      </c>
      <c r="S2112" s="150"/>
      <c r="T2112" s="150"/>
      <c r="U2112" s="150">
        <v>0</v>
      </c>
      <c r="V2112" s="199"/>
      <c r="W2112" s="150">
        <f t="shared" si="1772"/>
        <v>0</v>
      </c>
      <c r="X2112" s="150">
        <v>0</v>
      </c>
      <c r="Y2112" s="150"/>
      <c r="Z2112" s="150">
        <v>0</v>
      </c>
      <c r="AA2112" s="150">
        <f t="shared" si="1727"/>
        <v>0</v>
      </c>
      <c r="AB2112" s="150">
        <v>0</v>
      </c>
      <c r="AC2112" s="199"/>
      <c r="AD2112" s="150">
        <f t="shared" si="1773"/>
        <v>0</v>
      </c>
      <c r="AE2112" s="150">
        <v>0</v>
      </c>
      <c r="AF2112" s="169" t="s">
        <v>4680</v>
      </c>
      <c r="AG2112" s="201">
        <v>0</v>
      </c>
      <c r="AH2112" s="199"/>
      <c r="AI2112" s="150">
        <v>0</v>
      </c>
      <c r="AJ2112" s="169">
        <f t="shared" si="1728"/>
        <v>0</v>
      </c>
      <c r="AK2112" s="201">
        <v>0</v>
      </c>
      <c r="AL2112" s="199"/>
      <c r="AM2112" s="150">
        <f t="shared" si="1774"/>
        <v>0</v>
      </c>
      <c r="AN2112" s="153">
        <f t="shared" si="1729"/>
        <v>0</v>
      </c>
      <c r="AO2112" s="154">
        <f t="shared" si="1730"/>
        <v>0</v>
      </c>
      <c r="AP2112" s="150">
        <v>0</v>
      </c>
      <c r="AQ2112" s="201">
        <v>0</v>
      </c>
      <c r="AR2112" s="199"/>
      <c r="AS2112" s="150">
        <f t="shared" si="1775"/>
        <v>0</v>
      </c>
      <c r="AT2112" s="155"/>
      <c r="AU2112" s="156">
        <f t="shared" si="1725"/>
        <v>0</v>
      </c>
      <c r="AV2112" s="156">
        <f t="shared" si="1726"/>
        <v>0</v>
      </c>
      <c r="AW2112" s="157"/>
      <c r="AX2112" s="150">
        <v>0</v>
      </c>
      <c r="AY2112" s="150">
        <v>0</v>
      </c>
      <c r="AZ2112" s="150"/>
      <c r="BA2112" s="150">
        <f t="shared" si="1750"/>
        <v>0</v>
      </c>
      <c r="BB2112" s="202">
        <v>5</v>
      </c>
      <c r="BC2112" s="194" t="s">
        <v>1257</v>
      </c>
      <c r="BD2112" s="194" t="s">
        <v>632</v>
      </c>
      <c r="BE2112" s="194" t="s">
        <v>632</v>
      </c>
      <c r="BF2112" s="194" t="s">
        <v>1908</v>
      </c>
      <c r="BG2112" s="203" t="s">
        <v>10010</v>
      </c>
      <c r="BH2112" s="216">
        <f t="shared" si="1777"/>
        <v>0</v>
      </c>
      <c r="BI2112" s="285"/>
      <c r="BJ2112" s="194" t="s">
        <v>5867</v>
      </c>
      <c r="BK2112" s="194" t="s">
        <v>5864</v>
      </c>
      <c r="BL2112" s="207" t="s">
        <v>5868</v>
      </c>
      <c r="BM2112" s="208">
        <f t="shared" si="1778"/>
        <v>0</v>
      </c>
      <c r="BN2112" s="160"/>
      <c r="BO2112" s="161">
        <f t="shared" si="1776"/>
        <v>0</v>
      </c>
      <c r="BP2112" s="161"/>
    </row>
    <row r="2113" spans="1:68" ht="25.5">
      <c r="A2113" s="194" t="s">
        <v>5864</v>
      </c>
      <c r="B2113" s="195" t="s">
        <v>10011</v>
      </c>
      <c r="C2113" s="196" t="s">
        <v>10012</v>
      </c>
      <c r="D2113" s="146" t="s">
        <v>4692</v>
      </c>
      <c r="E2113" s="196" t="s">
        <v>10012</v>
      </c>
      <c r="F2113" s="150">
        <v>0</v>
      </c>
      <c r="G2113" s="209">
        <v>0</v>
      </c>
      <c r="H2113" s="209">
        <v>0</v>
      </c>
      <c r="I2113" s="209">
        <v>0</v>
      </c>
      <c r="J2113" s="150">
        <v>0</v>
      </c>
      <c r="K2113" s="150">
        <v>49936.489000000001</v>
      </c>
      <c r="L2113" s="150">
        <f t="shared" si="1744"/>
        <v>49936.489000000001</v>
      </c>
      <c r="M2113" s="150">
        <v>0</v>
      </c>
      <c r="N2113" s="150"/>
      <c r="O2113" s="150">
        <v>0</v>
      </c>
      <c r="P2113" s="150">
        <v>0</v>
      </c>
      <c r="Q2113" s="150">
        <v>0</v>
      </c>
      <c r="R2113" s="150">
        <f t="shared" si="1771"/>
        <v>0</v>
      </c>
      <c r="S2113" s="150"/>
      <c r="T2113" s="150"/>
      <c r="U2113" s="150">
        <v>0</v>
      </c>
      <c r="V2113" s="199"/>
      <c r="W2113" s="150">
        <f t="shared" si="1772"/>
        <v>0</v>
      </c>
      <c r="X2113" s="150">
        <v>0</v>
      </c>
      <c r="Y2113" s="150"/>
      <c r="Z2113" s="150">
        <v>0</v>
      </c>
      <c r="AA2113" s="150">
        <f t="shared" si="1727"/>
        <v>0</v>
      </c>
      <c r="AB2113" s="150">
        <v>0</v>
      </c>
      <c r="AC2113" s="199"/>
      <c r="AD2113" s="150">
        <f t="shared" si="1773"/>
        <v>0</v>
      </c>
      <c r="AE2113" s="150">
        <v>0</v>
      </c>
      <c r="AF2113" s="169" t="s">
        <v>4680</v>
      </c>
      <c r="AG2113" s="201">
        <v>0</v>
      </c>
      <c r="AH2113" s="199"/>
      <c r="AI2113" s="150">
        <v>0</v>
      </c>
      <c r="AJ2113" s="169">
        <f t="shared" si="1728"/>
        <v>0</v>
      </c>
      <c r="AK2113" s="201">
        <v>0</v>
      </c>
      <c r="AL2113" s="199"/>
      <c r="AM2113" s="150">
        <f t="shared" si="1774"/>
        <v>0</v>
      </c>
      <c r="AN2113" s="153">
        <f t="shared" si="1729"/>
        <v>0</v>
      </c>
      <c r="AO2113" s="154">
        <f t="shared" si="1730"/>
        <v>0</v>
      </c>
      <c r="AP2113" s="150">
        <v>0</v>
      </c>
      <c r="AQ2113" s="201">
        <v>0</v>
      </c>
      <c r="AR2113" s="199"/>
      <c r="AS2113" s="150">
        <f t="shared" si="1775"/>
        <v>0</v>
      </c>
      <c r="AT2113" s="155"/>
      <c r="AU2113" s="156">
        <f t="shared" si="1725"/>
        <v>0</v>
      </c>
      <c r="AV2113" s="156">
        <f t="shared" si="1726"/>
        <v>0</v>
      </c>
      <c r="AW2113" s="157"/>
      <c r="AX2113" s="150">
        <v>0</v>
      </c>
      <c r="AY2113" s="150">
        <v>0</v>
      </c>
      <c r="AZ2113" s="150"/>
      <c r="BA2113" s="150">
        <f t="shared" si="1750"/>
        <v>0</v>
      </c>
      <c r="BB2113" s="202">
        <v>5</v>
      </c>
      <c r="BC2113" s="194" t="s">
        <v>1257</v>
      </c>
      <c r="BD2113" s="194" t="s">
        <v>632</v>
      </c>
      <c r="BE2113" s="194" t="s">
        <v>632</v>
      </c>
      <c r="BF2113" s="194" t="s">
        <v>1912</v>
      </c>
      <c r="BG2113" s="203" t="s">
        <v>10012</v>
      </c>
      <c r="BH2113" s="216">
        <f t="shared" si="1777"/>
        <v>0</v>
      </c>
      <c r="BI2113" s="285"/>
      <c r="BJ2113" s="194" t="s">
        <v>5867</v>
      </c>
      <c r="BK2113" s="194" t="s">
        <v>5864</v>
      </c>
      <c r="BL2113" s="207" t="s">
        <v>5868</v>
      </c>
      <c r="BM2113" s="208">
        <f t="shared" si="1778"/>
        <v>0</v>
      </c>
      <c r="BN2113" s="160"/>
      <c r="BO2113" s="161">
        <f t="shared" si="1776"/>
        <v>0</v>
      </c>
      <c r="BP2113" s="161"/>
    </row>
    <row r="2114" spans="1:68" ht="63.75">
      <c r="A2114" s="194" t="s">
        <v>5902</v>
      </c>
      <c r="B2114" s="195" t="s">
        <v>10013</v>
      </c>
      <c r="C2114" s="196" t="s">
        <v>10014</v>
      </c>
      <c r="D2114" s="146" t="s">
        <v>4692</v>
      </c>
      <c r="E2114" s="196" t="s">
        <v>10014</v>
      </c>
      <c r="F2114" s="150">
        <v>0</v>
      </c>
      <c r="G2114" s="209">
        <v>0</v>
      </c>
      <c r="H2114" s="209">
        <v>0</v>
      </c>
      <c r="I2114" s="209">
        <v>0</v>
      </c>
      <c r="J2114" s="150">
        <v>0</v>
      </c>
      <c r="K2114" s="150">
        <v>0</v>
      </c>
      <c r="L2114" s="150">
        <f t="shared" si="1744"/>
        <v>0</v>
      </c>
      <c r="M2114" s="150">
        <v>0</v>
      </c>
      <c r="N2114" s="150"/>
      <c r="O2114" s="150">
        <v>0</v>
      </c>
      <c r="P2114" s="150">
        <v>0</v>
      </c>
      <c r="Q2114" s="150">
        <v>0</v>
      </c>
      <c r="R2114" s="150">
        <f t="shared" si="1771"/>
        <v>0</v>
      </c>
      <c r="S2114" s="150"/>
      <c r="T2114" s="150"/>
      <c r="U2114" s="150">
        <v>0</v>
      </c>
      <c r="V2114" s="199"/>
      <c r="W2114" s="150">
        <f t="shared" si="1772"/>
        <v>0</v>
      </c>
      <c r="X2114" s="150">
        <v>0</v>
      </c>
      <c r="Y2114" s="150"/>
      <c r="Z2114" s="150">
        <v>0</v>
      </c>
      <c r="AA2114" s="150">
        <f t="shared" si="1727"/>
        <v>0</v>
      </c>
      <c r="AB2114" s="150">
        <v>0</v>
      </c>
      <c r="AC2114" s="199"/>
      <c r="AD2114" s="150">
        <f t="shared" si="1773"/>
        <v>0</v>
      </c>
      <c r="AE2114" s="150">
        <v>0</v>
      </c>
      <c r="AF2114" s="169" t="s">
        <v>4680</v>
      </c>
      <c r="AG2114" s="201">
        <v>0</v>
      </c>
      <c r="AH2114" s="199"/>
      <c r="AI2114" s="150">
        <v>0</v>
      </c>
      <c r="AJ2114" s="169">
        <f t="shared" si="1728"/>
        <v>0</v>
      </c>
      <c r="AK2114" s="201">
        <v>0</v>
      </c>
      <c r="AL2114" s="199"/>
      <c r="AM2114" s="150">
        <f t="shared" si="1774"/>
        <v>0</v>
      </c>
      <c r="AN2114" s="153">
        <f t="shared" si="1729"/>
        <v>0</v>
      </c>
      <c r="AO2114" s="154">
        <f t="shared" si="1730"/>
        <v>0</v>
      </c>
      <c r="AP2114" s="150">
        <v>0</v>
      </c>
      <c r="AQ2114" s="201">
        <v>0</v>
      </c>
      <c r="AR2114" s="199"/>
      <c r="AS2114" s="150">
        <f t="shared" si="1775"/>
        <v>0</v>
      </c>
      <c r="AT2114" s="155"/>
      <c r="AU2114" s="156">
        <f t="shared" ref="AU2114:AU2177" si="1779">AM2114-AD2114</f>
        <v>0</v>
      </c>
      <c r="AV2114" s="156">
        <f t="shared" ref="AV2114:AV2177" si="1780">AD2114-AX2114</f>
        <v>0</v>
      </c>
      <c r="AW2114" s="157"/>
      <c r="AX2114" s="150">
        <v>0</v>
      </c>
      <c r="AY2114" s="150">
        <v>0</v>
      </c>
      <c r="AZ2114" s="150"/>
      <c r="BA2114" s="150">
        <f t="shared" si="1750"/>
        <v>0</v>
      </c>
      <c r="BB2114" s="202">
        <v>5</v>
      </c>
      <c r="BC2114" s="194" t="s">
        <v>1257</v>
      </c>
      <c r="BD2114" s="194" t="s">
        <v>632</v>
      </c>
      <c r="BE2114" s="194" t="s">
        <v>632</v>
      </c>
      <c r="BF2114" s="194" t="s">
        <v>766</v>
      </c>
      <c r="BG2114" s="203" t="s">
        <v>10015</v>
      </c>
      <c r="BH2114" s="216">
        <f t="shared" si="1777"/>
        <v>0</v>
      </c>
      <c r="BI2114" s="285"/>
      <c r="BJ2114" s="194" t="s">
        <v>5904</v>
      </c>
      <c r="BK2114" s="194" t="s">
        <v>5902</v>
      </c>
      <c r="BL2114" s="207" t="s">
        <v>5905</v>
      </c>
      <c r="BM2114" s="208">
        <f t="shared" si="1778"/>
        <v>0</v>
      </c>
      <c r="BN2114" s="160"/>
      <c r="BO2114" s="161">
        <f t="shared" si="1776"/>
        <v>0</v>
      </c>
      <c r="BP2114" s="161"/>
    </row>
    <row r="2115" spans="1:68" ht="63.75">
      <c r="A2115" s="194" t="s">
        <v>5902</v>
      </c>
      <c r="B2115" s="195" t="s">
        <v>10016</v>
      </c>
      <c r="C2115" s="196" t="s">
        <v>10017</v>
      </c>
      <c r="D2115" s="146" t="s">
        <v>4692</v>
      </c>
      <c r="E2115" s="196" t="s">
        <v>10017</v>
      </c>
      <c r="F2115" s="150">
        <v>0</v>
      </c>
      <c r="G2115" s="209">
        <v>0</v>
      </c>
      <c r="H2115" s="209">
        <v>0</v>
      </c>
      <c r="I2115" s="209">
        <v>0</v>
      </c>
      <c r="J2115" s="150">
        <v>0</v>
      </c>
      <c r="K2115" s="150">
        <v>0</v>
      </c>
      <c r="L2115" s="150">
        <f t="shared" si="1744"/>
        <v>0</v>
      </c>
      <c r="M2115" s="150">
        <v>0</v>
      </c>
      <c r="N2115" s="150"/>
      <c r="O2115" s="150">
        <v>0</v>
      </c>
      <c r="P2115" s="150">
        <v>0</v>
      </c>
      <c r="Q2115" s="150">
        <v>0</v>
      </c>
      <c r="R2115" s="150">
        <f t="shared" si="1771"/>
        <v>0</v>
      </c>
      <c r="S2115" s="150"/>
      <c r="T2115" s="150"/>
      <c r="U2115" s="150">
        <v>0</v>
      </c>
      <c r="V2115" s="199"/>
      <c r="W2115" s="150">
        <f t="shared" si="1772"/>
        <v>0</v>
      </c>
      <c r="X2115" s="150">
        <v>0</v>
      </c>
      <c r="Y2115" s="150"/>
      <c r="Z2115" s="150">
        <v>0</v>
      </c>
      <c r="AA2115" s="150">
        <f t="shared" ref="AA2115:AA2178" si="1781">AD2115-Z2115</f>
        <v>0</v>
      </c>
      <c r="AB2115" s="150">
        <v>0</v>
      </c>
      <c r="AC2115" s="199"/>
      <c r="AD2115" s="150">
        <f t="shared" si="1773"/>
        <v>0</v>
      </c>
      <c r="AE2115" s="150">
        <v>0</v>
      </c>
      <c r="AF2115" s="169" t="s">
        <v>4680</v>
      </c>
      <c r="AG2115" s="201">
        <v>0</v>
      </c>
      <c r="AH2115" s="199"/>
      <c r="AI2115" s="150">
        <v>0</v>
      </c>
      <c r="AJ2115" s="169">
        <f t="shared" ref="AJ2115:AJ2178" si="1782">AM2115-AI2115</f>
        <v>0</v>
      </c>
      <c r="AK2115" s="201">
        <v>0</v>
      </c>
      <c r="AL2115" s="199"/>
      <c r="AM2115" s="150">
        <f t="shared" si="1774"/>
        <v>0</v>
      </c>
      <c r="AN2115" s="153">
        <f t="shared" ref="AN2115:AN2178" si="1783">AS2115-AM2115</f>
        <v>0</v>
      </c>
      <c r="AO2115" s="154">
        <f t="shared" ref="AO2115:AO2178" si="1784">AS2115-AP2115</f>
        <v>0</v>
      </c>
      <c r="AP2115" s="150">
        <v>0</v>
      </c>
      <c r="AQ2115" s="201">
        <v>0</v>
      </c>
      <c r="AR2115" s="199"/>
      <c r="AS2115" s="150">
        <f t="shared" si="1775"/>
        <v>0</v>
      </c>
      <c r="AT2115" s="155"/>
      <c r="AU2115" s="156">
        <f t="shared" si="1779"/>
        <v>0</v>
      </c>
      <c r="AV2115" s="156">
        <f t="shared" si="1780"/>
        <v>0</v>
      </c>
      <c r="AW2115" s="157"/>
      <c r="AX2115" s="150">
        <v>0</v>
      </c>
      <c r="AY2115" s="150">
        <v>0</v>
      </c>
      <c r="AZ2115" s="150"/>
      <c r="BA2115" s="150">
        <f t="shared" si="1750"/>
        <v>0</v>
      </c>
      <c r="BB2115" s="202">
        <v>5</v>
      </c>
      <c r="BC2115" s="194" t="s">
        <v>1257</v>
      </c>
      <c r="BD2115" s="194" t="s">
        <v>632</v>
      </c>
      <c r="BE2115" s="194" t="s">
        <v>632</v>
      </c>
      <c r="BF2115" s="194" t="s">
        <v>779</v>
      </c>
      <c r="BG2115" s="203" t="s">
        <v>10018</v>
      </c>
      <c r="BH2115" s="216">
        <f t="shared" si="1777"/>
        <v>0</v>
      </c>
      <c r="BI2115" s="202"/>
      <c r="BJ2115" s="194" t="s">
        <v>5904</v>
      </c>
      <c r="BK2115" s="194" t="s">
        <v>5902</v>
      </c>
      <c r="BL2115" s="207" t="s">
        <v>5905</v>
      </c>
      <c r="BM2115" s="208">
        <f t="shared" si="1778"/>
        <v>0</v>
      </c>
      <c r="BN2115" s="160"/>
      <c r="BO2115" s="161">
        <f t="shared" si="1776"/>
        <v>0</v>
      </c>
      <c r="BP2115" s="161"/>
    </row>
    <row r="2116" spans="1:68" ht="25.5">
      <c r="A2116" s="194" t="s">
        <v>5902</v>
      </c>
      <c r="B2116" s="195" t="s">
        <v>10019</v>
      </c>
      <c r="C2116" s="196" t="s">
        <v>10020</v>
      </c>
      <c r="D2116" s="146" t="s">
        <v>4692</v>
      </c>
      <c r="E2116" s="196" t="s">
        <v>10020</v>
      </c>
      <c r="F2116" s="150">
        <v>0</v>
      </c>
      <c r="G2116" s="209">
        <v>0</v>
      </c>
      <c r="H2116" s="209">
        <v>561004.43999999994</v>
      </c>
      <c r="I2116" s="209">
        <v>561004.43999999994</v>
      </c>
      <c r="J2116" s="150">
        <v>0</v>
      </c>
      <c r="K2116" s="150">
        <v>0</v>
      </c>
      <c r="L2116" s="150">
        <f t="shared" si="1744"/>
        <v>0</v>
      </c>
      <c r="M2116" s="150">
        <v>0</v>
      </c>
      <c r="N2116" s="150"/>
      <c r="O2116" s="150">
        <v>0</v>
      </c>
      <c r="P2116" s="150">
        <v>0</v>
      </c>
      <c r="Q2116" s="150">
        <v>0</v>
      </c>
      <c r="R2116" s="150">
        <f t="shared" si="1771"/>
        <v>0</v>
      </c>
      <c r="S2116" s="150"/>
      <c r="T2116" s="150"/>
      <c r="U2116" s="150">
        <v>0</v>
      </c>
      <c r="V2116" s="199"/>
      <c r="W2116" s="150">
        <f t="shared" si="1772"/>
        <v>0</v>
      </c>
      <c r="X2116" s="150">
        <v>0</v>
      </c>
      <c r="Y2116" s="150"/>
      <c r="Z2116" s="150">
        <v>0</v>
      </c>
      <c r="AA2116" s="150">
        <f t="shared" si="1781"/>
        <v>0</v>
      </c>
      <c r="AB2116" s="150">
        <v>0</v>
      </c>
      <c r="AC2116" s="199"/>
      <c r="AD2116" s="150">
        <f t="shared" si="1773"/>
        <v>0</v>
      </c>
      <c r="AE2116" s="150">
        <v>0</v>
      </c>
      <c r="AF2116" s="169" t="s">
        <v>4680</v>
      </c>
      <c r="AG2116" s="201">
        <v>0</v>
      </c>
      <c r="AH2116" s="199"/>
      <c r="AI2116" s="150">
        <v>0</v>
      </c>
      <c r="AJ2116" s="169">
        <f t="shared" si="1782"/>
        <v>0</v>
      </c>
      <c r="AK2116" s="201">
        <v>0</v>
      </c>
      <c r="AL2116" s="199"/>
      <c r="AM2116" s="150">
        <f t="shared" si="1774"/>
        <v>0</v>
      </c>
      <c r="AN2116" s="153">
        <f t="shared" si="1783"/>
        <v>0</v>
      </c>
      <c r="AO2116" s="154">
        <f t="shared" si="1784"/>
        <v>0</v>
      </c>
      <c r="AP2116" s="150">
        <v>0</v>
      </c>
      <c r="AQ2116" s="201">
        <v>0</v>
      </c>
      <c r="AR2116" s="199"/>
      <c r="AS2116" s="150">
        <f t="shared" si="1775"/>
        <v>0</v>
      </c>
      <c r="AT2116" s="155"/>
      <c r="AU2116" s="156">
        <f t="shared" si="1779"/>
        <v>0</v>
      </c>
      <c r="AV2116" s="156">
        <f t="shared" si="1780"/>
        <v>0</v>
      </c>
      <c r="AW2116" s="157"/>
      <c r="AX2116" s="150">
        <v>0</v>
      </c>
      <c r="AY2116" s="150">
        <v>0</v>
      </c>
      <c r="AZ2116" s="150"/>
      <c r="BA2116" s="150">
        <f t="shared" si="1750"/>
        <v>0</v>
      </c>
      <c r="BB2116" s="202">
        <v>5</v>
      </c>
      <c r="BC2116" s="194" t="s">
        <v>1257</v>
      </c>
      <c r="BD2116" s="194" t="s">
        <v>632</v>
      </c>
      <c r="BE2116" s="194" t="s">
        <v>632</v>
      </c>
      <c r="BF2116" s="194" t="s">
        <v>1225</v>
      </c>
      <c r="BG2116" s="203" t="s">
        <v>10021</v>
      </c>
      <c r="BH2116" s="216">
        <f t="shared" si="1777"/>
        <v>0</v>
      </c>
      <c r="BI2116" s="202"/>
      <c r="BJ2116" s="194" t="s">
        <v>5904</v>
      </c>
      <c r="BK2116" s="194" t="s">
        <v>5902</v>
      </c>
      <c r="BL2116" s="207" t="s">
        <v>5905</v>
      </c>
      <c r="BM2116" s="208">
        <f t="shared" si="1778"/>
        <v>0</v>
      </c>
      <c r="BN2116" s="160"/>
      <c r="BO2116" s="161">
        <f t="shared" si="1776"/>
        <v>0</v>
      </c>
      <c r="BP2116" s="161"/>
    </row>
    <row r="2117" spans="1:68" ht="38.25">
      <c r="A2117" s="194" t="s">
        <v>5910</v>
      </c>
      <c r="B2117" s="195" t="s">
        <v>10022</v>
      </c>
      <c r="C2117" s="196" t="s">
        <v>10023</v>
      </c>
      <c r="D2117" s="146" t="s">
        <v>4692</v>
      </c>
      <c r="E2117" s="196" t="s">
        <v>10023</v>
      </c>
      <c r="F2117" s="150">
        <v>561004.43999999994</v>
      </c>
      <c r="G2117" s="209">
        <v>0</v>
      </c>
      <c r="H2117" s="209">
        <v>424474.18</v>
      </c>
      <c r="I2117" s="209">
        <v>424474.18</v>
      </c>
      <c r="J2117" s="150">
        <v>0</v>
      </c>
      <c r="K2117" s="150">
        <v>470698.55599999998</v>
      </c>
      <c r="L2117" s="150">
        <f t="shared" si="1744"/>
        <v>470698.55599999998</v>
      </c>
      <c r="M2117" s="150">
        <v>259542.16</v>
      </c>
      <c r="N2117" s="150"/>
      <c r="O2117" s="150">
        <v>259542.16</v>
      </c>
      <c r="P2117" s="150">
        <v>259542.16</v>
      </c>
      <c r="Q2117" s="150">
        <v>0</v>
      </c>
      <c r="R2117" s="150">
        <f t="shared" si="1771"/>
        <v>259542.16</v>
      </c>
      <c r="S2117" s="150"/>
      <c r="T2117" s="150"/>
      <c r="U2117" s="150">
        <v>259542.16</v>
      </c>
      <c r="V2117" s="199"/>
      <c r="W2117" s="150">
        <f t="shared" si="1772"/>
        <v>259542.16</v>
      </c>
      <c r="X2117" s="150">
        <v>259542.16</v>
      </c>
      <c r="Y2117" s="150"/>
      <c r="Z2117" s="150">
        <v>259542.16</v>
      </c>
      <c r="AA2117" s="150">
        <f t="shared" si="1781"/>
        <v>0</v>
      </c>
      <c r="AB2117" s="150">
        <v>259542.16</v>
      </c>
      <c r="AC2117" s="199"/>
      <c r="AD2117" s="150">
        <f t="shared" si="1773"/>
        <v>259542.16</v>
      </c>
      <c r="AE2117" s="150">
        <v>259542.16</v>
      </c>
      <c r="AF2117" s="169" t="s">
        <v>4680</v>
      </c>
      <c r="AG2117" s="201">
        <v>259542.16</v>
      </c>
      <c r="AH2117" s="199"/>
      <c r="AI2117" s="150">
        <v>259542.16</v>
      </c>
      <c r="AJ2117" s="169">
        <f t="shared" si="1782"/>
        <v>0</v>
      </c>
      <c r="AK2117" s="201">
        <v>259542.16</v>
      </c>
      <c r="AL2117" s="199"/>
      <c r="AM2117" s="150">
        <f t="shared" si="1774"/>
        <v>259542.16</v>
      </c>
      <c r="AN2117" s="153">
        <f t="shared" si="1783"/>
        <v>0</v>
      </c>
      <c r="AO2117" s="154">
        <f t="shared" si="1784"/>
        <v>0</v>
      </c>
      <c r="AP2117" s="150">
        <v>259542.16</v>
      </c>
      <c r="AQ2117" s="201">
        <v>259542.16</v>
      </c>
      <c r="AR2117" s="199"/>
      <c r="AS2117" s="150">
        <f t="shared" si="1775"/>
        <v>259542.16</v>
      </c>
      <c r="AT2117" s="155"/>
      <c r="AU2117" s="156">
        <f t="shared" si="1779"/>
        <v>0</v>
      </c>
      <c r="AV2117" s="156">
        <f t="shared" si="1780"/>
        <v>0</v>
      </c>
      <c r="AW2117" s="157"/>
      <c r="AX2117" s="150">
        <v>259542.16</v>
      </c>
      <c r="AY2117" s="150">
        <v>259542.16</v>
      </c>
      <c r="AZ2117" s="150">
        <f t="shared" ref="AZ2117:AZ2130" si="1785">-AY2117</f>
        <v>-259542.16</v>
      </c>
      <c r="BA2117" s="150">
        <f t="shared" si="1750"/>
        <v>0</v>
      </c>
      <c r="BB2117" s="202">
        <v>5</v>
      </c>
      <c r="BC2117" s="194" t="s">
        <v>1257</v>
      </c>
      <c r="BD2117" s="194" t="s">
        <v>632</v>
      </c>
      <c r="BE2117" s="194" t="s">
        <v>632</v>
      </c>
      <c r="BF2117" s="194" t="s">
        <v>1229</v>
      </c>
      <c r="BG2117" s="203" t="s">
        <v>10024</v>
      </c>
      <c r="BH2117" s="216">
        <f t="shared" si="1777"/>
        <v>259542.16</v>
      </c>
      <c r="BI2117" s="202"/>
      <c r="BJ2117" s="194" t="s">
        <v>5912</v>
      </c>
      <c r="BK2117" s="194" t="s">
        <v>5910</v>
      </c>
      <c r="BL2117" s="207" t="s">
        <v>5913</v>
      </c>
      <c r="BM2117" s="208">
        <f t="shared" si="1778"/>
        <v>259542.16</v>
      </c>
      <c r="BN2117" s="160"/>
      <c r="BO2117" s="161">
        <f t="shared" si="1776"/>
        <v>0</v>
      </c>
      <c r="BP2117" s="161"/>
    </row>
    <row r="2118" spans="1:68" ht="38.25">
      <c r="A2118" s="194" t="s">
        <v>5910</v>
      </c>
      <c r="B2118" s="195" t="s">
        <v>10025</v>
      </c>
      <c r="C2118" s="196" t="s">
        <v>10026</v>
      </c>
      <c r="D2118" s="146" t="s">
        <v>4692</v>
      </c>
      <c r="E2118" s="196" t="s">
        <v>10026</v>
      </c>
      <c r="F2118" s="150">
        <v>424474.18</v>
      </c>
      <c r="G2118" s="209">
        <v>0</v>
      </c>
      <c r="H2118" s="209">
        <v>1242128.8400000001</v>
      </c>
      <c r="I2118" s="209">
        <v>1242128.8400000001</v>
      </c>
      <c r="J2118" s="150">
        <v>0</v>
      </c>
      <c r="K2118" s="150">
        <v>384415.38</v>
      </c>
      <c r="L2118" s="150">
        <f t="shared" si="1744"/>
        <v>384415.38</v>
      </c>
      <c r="M2118" s="150">
        <v>268504.62</v>
      </c>
      <c r="N2118" s="150"/>
      <c r="O2118" s="150">
        <v>268504.62</v>
      </c>
      <c r="P2118" s="150">
        <v>268504.62</v>
      </c>
      <c r="Q2118" s="150">
        <v>0</v>
      </c>
      <c r="R2118" s="150">
        <f t="shared" si="1771"/>
        <v>268504.62</v>
      </c>
      <c r="S2118" s="150"/>
      <c r="T2118" s="150"/>
      <c r="U2118" s="150">
        <v>268504.62</v>
      </c>
      <c r="V2118" s="199"/>
      <c r="W2118" s="150">
        <f t="shared" si="1772"/>
        <v>268504.62</v>
      </c>
      <c r="X2118" s="150">
        <v>268504.62</v>
      </c>
      <c r="Y2118" s="150"/>
      <c r="Z2118" s="150">
        <v>268504.62</v>
      </c>
      <c r="AA2118" s="150">
        <f t="shared" si="1781"/>
        <v>0</v>
      </c>
      <c r="AB2118" s="150">
        <v>268504.62</v>
      </c>
      <c r="AC2118" s="199"/>
      <c r="AD2118" s="150">
        <f t="shared" si="1773"/>
        <v>268504.62</v>
      </c>
      <c r="AE2118" s="150">
        <v>268504.62</v>
      </c>
      <c r="AF2118" s="169" t="s">
        <v>4680</v>
      </c>
      <c r="AG2118" s="201">
        <v>268504.62</v>
      </c>
      <c r="AH2118" s="199"/>
      <c r="AI2118" s="150">
        <v>268504.62</v>
      </c>
      <c r="AJ2118" s="169">
        <f t="shared" si="1782"/>
        <v>0</v>
      </c>
      <c r="AK2118" s="201">
        <v>268504.62</v>
      </c>
      <c r="AL2118" s="199"/>
      <c r="AM2118" s="150">
        <f t="shared" si="1774"/>
        <v>268504.62</v>
      </c>
      <c r="AN2118" s="153">
        <f t="shared" si="1783"/>
        <v>0</v>
      </c>
      <c r="AO2118" s="154">
        <f t="shared" si="1784"/>
        <v>0</v>
      </c>
      <c r="AP2118" s="150">
        <v>268504.62</v>
      </c>
      <c r="AQ2118" s="201">
        <v>268504.62</v>
      </c>
      <c r="AR2118" s="199"/>
      <c r="AS2118" s="150">
        <f t="shared" si="1775"/>
        <v>268504.62</v>
      </c>
      <c r="AT2118" s="155"/>
      <c r="AU2118" s="156">
        <f t="shared" si="1779"/>
        <v>0</v>
      </c>
      <c r="AV2118" s="156">
        <f t="shared" si="1780"/>
        <v>0</v>
      </c>
      <c r="AW2118" s="157"/>
      <c r="AX2118" s="150">
        <v>268504.62</v>
      </c>
      <c r="AY2118" s="150">
        <v>268504.62</v>
      </c>
      <c r="AZ2118" s="150">
        <f t="shared" si="1785"/>
        <v>-268504.62</v>
      </c>
      <c r="BA2118" s="150">
        <f t="shared" si="1750"/>
        <v>0</v>
      </c>
      <c r="BB2118" s="202">
        <v>5</v>
      </c>
      <c r="BC2118" s="194" t="s">
        <v>1257</v>
      </c>
      <c r="BD2118" s="194" t="s">
        <v>632</v>
      </c>
      <c r="BE2118" s="194" t="s">
        <v>632</v>
      </c>
      <c r="BF2118" s="194" t="s">
        <v>1243</v>
      </c>
      <c r="BG2118" s="203" t="s">
        <v>10027</v>
      </c>
      <c r="BH2118" s="216">
        <f t="shared" si="1777"/>
        <v>268504.62</v>
      </c>
      <c r="BI2118" s="202"/>
      <c r="BJ2118" s="194" t="s">
        <v>5912</v>
      </c>
      <c r="BK2118" s="194" t="s">
        <v>5910</v>
      </c>
      <c r="BL2118" s="207" t="s">
        <v>5913</v>
      </c>
      <c r="BM2118" s="208">
        <f t="shared" si="1778"/>
        <v>268504.62</v>
      </c>
      <c r="BN2118" s="160"/>
      <c r="BO2118" s="161">
        <f t="shared" si="1776"/>
        <v>0</v>
      </c>
      <c r="BP2118" s="161"/>
    </row>
    <row r="2119" spans="1:68" ht="38.25">
      <c r="A2119" s="194" t="s">
        <v>5910</v>
      </c>
      <c r="B2119" s="195" t="s">
        <v>10028</v>
      </c>
      <c r="C2119" s="196" t="s">
        <v>10029</v>
      </c>
      <c r="D2119" s="146" t="s">
        <v>4692</v>
      </c>
      <c r="E2119" s="196" t="s">
        <v>10029</v>
      </c>
      <c r="F2119" s="150">
        <v>1242128.8400000001</v>
      </c>
      <c r="G2119" s="209">
        <v>0</v>
      </c>
      <c r="H2119" s="209">
        <v>897411.9</v>
      </c>
      <c r="I2119" s="209">
        <v>897411.9</v>
      </c>
      <c r="J2119" s="150">
        <v>0</v>
      </c>
      <c r="K2119" s="150">
        <v>932099.89599999995</v>
      </c>
      <c r="L2119" s="150">
        <f t="shared" si="1744"/>
        <v>932099.89599999995</v>
      </c>
      <c r="M2119" s="150">
        <v>666593.49</v>
      </c>
      <c r="N2119" s="150"/>
      <c r="O2119" s="150">
        <v>666593.49</v>
      </c>
      <c r="P2119" s="150">
        <v>666593.49</v>
      </c>
      <c r="Q2119" s="150">
        <v>0</v>
      </c>
      <c r="R2119" s="150">
        <f t="shared" si="1771"/>
        <v>666593.49</v>
      </c>
      <c r="S2119" s="150"/>
      <c r="T2119" s="150"/>
      <c r="U2119" s="150">
        <v>666593.49</v>
      </c>
      <c r="V2119" s="199"/>
      <c r="W2119" s="150">
        <f t="shared" si="1772"/>
        <v>666593.49</v>
      </c>
      <c r="X2119" s="150">
        <v>666593.49</v>
      </c>
      <c r="Y2119" s="150"/>
      <c r="Z2119" s="150">
        <v>666593.49</v>
      </c>
      <c r="AA2119" s="150">
        <f t="shared" si="1781"/>
        <v>0</v>
      </c>
      <c r="AB2119" s="150">
        <v>666593.49</v>
      </c>
      <c r="AC2119" s="199"/>
      <c r="AD2119" s="150">
        <f t="shared" si="1773"/>
        <v>666593.49</v>
      </c>
      <c r="AE2119" s="150">
        <v>666593.49</v>
      </c>
      <c r="AF2119" s="169" t="s">
        <v>4680</v>
      </c>
      <c r="AG2119" s="201">
        <v>666593.49</v>
      </c>
      <c r="AH2119" s="199"/>
      <c r="AI2119" s="150">
        <v>666593.49</v>
      </c>
      <c r="AJ2119" s="169">
        <f t="shared" si="1782"/>
        <v>0</v>
      </c>
      <c r="AK2119" s="201">
        <v>666593.49</v>
      </c>
      <c r="AL2119" s="199"/>
      <c r="AM2119" s="150">
        <f t="shared" si="1774"/>
        <v>666593.49</v>
      </c>
      <c r="AN2119" s="153">
        <f t="shared" si="1783"/>
        <v>0</v>
      </c>
      <c r="AO2119" s="154">
        <f t="shared" si="1784"/>
        <v>0</v>
      </c>
      <c r="AP2119" s="150">
        <v>666593.49</v>
      </c>
      <c r="AQ2119" s="201">
        <v>666593.49</v>
      </c>
      <c r="AR2119" s="199"/>
      <c r="AS2119" s="150">
        <f t="shared" si="1775"/>
        <v>666593.49</v>
      </c>
      <c r="AT2119" s="155"/>
      <c r="AU2119" s="156">
        <f t="shared" si="1779"/>
        <v>0</v>
      </c>
      <c r="AV2119" s="156">
        <f t="shared" si="1780"/>
        <v>0</v>
      </c>
      <c r="AW2119" s="157"/>
      <c r="AX2119" s="150">
        <v>666593.49</v>
      </c>
      <c r="AY2119" s="150">
        <v>666593.49</v>
      </c>
      <c r="AZ2119" s="150">
        <f t="shared" si="1785"/>
        <v>-666593.49</v>
      </c>
      <c r="BA2119" s="150">
        <f t="shared" si="1750"/>
        <v>0</v>
      </c>
      <c r="BB2119" s="202">
        <v>5</v>
      </c>
      <c r="BC2119" s="194" t="s">
        <v>1257</v>
      </c>
      <c r="BD2119" s="194" t="s">
        <v>632</v>
      </c>
      <c r="BE2119" s="194" t="s">
        <v>632</v>
      </c>
      <c r="BF2119" s="194" t="s">
        <v>1247</v>
      </c>
      <c r="BG2119" s="203" t="s">
        <v>10029</v>
      </c>
      <c r="BH2119" s="216">
        <f t="shared" si="1777"/>
        <v>666593.49</v>
      </c>
      <c r="BI2119" s="202"/>
      <c r="BJ2119" s="194" t="s">
        <v>5912</v>
      </c>
      <c r="BK2119" s="194" t="s">
        <v>5910</v>
      </c>
      <c r="BL2119" s="207" t="s">
        <v>5913</v>
      </c>
      <c r="BM2119" s="208">
        <f t="shared" si="1778"/>
        <v>666593.49</v>
      </c>
      <c r="BN2119" s="160"/>
      <c r="BO2119" s="161">
        <f t="shared" si="1776"/>
        <v>0</v>
      </c>
      <c r="BP2119" s="161"/>
    </row>
    <row r="2120" spans="1:68" ht="25.5">
      <c r="A2120" s="194" t="s">
        <v>5910</v>
      </c>
      <c r="B2120" s="195" t="s">
        <v>10030</v>
      </c>
      <c r="C2120" s="196" t="s">
        <v>10031</v>
      </c>
      <c r="D2120" s="146" t="s">
        <v>4692</v>
      </c>
      <c r="E2120" s="196" t="s">
        <v>10031</v>
      </c>
      <c r="F2120" s="150">
        <v>897411.9</v>
      </c>
      <c r="G2120" s="209">
        <v>0</v>
      </c>
      <c r="H2120" s="209">
        <v>63299.95</v>
      </c>
      <c r="I2120" s="209">
        <v>63299.95</v>
      </c>
      <c r="J2120" s="150">
        <v>0</v>
      </c>
      <c r="K2120" s="150">
        <v>334578.98499999999</v>
      </c>
      <c r="L2120" s="150">
        <f t="shared" si="1744"/>
        <v>334578.98499999999</v>
      </c>
      <c r="M2120" s="150">
        <v>252018.6</v>
      </c>
      <c r="N2120" s="150"/>
      <c r="O2120" s="150">
        <v>252018.6</v>
      </c>
      <c r="P2120" s="150">
        <v>252018.6</v>
      </c>
      <c r="Q2120" s="150">
        <v>0</v>
      </c>
      <c r="R2120" s="150">
        <f t="shared" si="1771"/>
        <v>252018.6</v>
      </c>
      <c r="S2120" s="150"/>
      <c r="T2120" s="150"/>
      <c r="U2120" s="150">
        <v>252018.6</v>
      </c>
      <c r="V2120" s="199"/>
      <c r="W2120" s="150">
        <f t="shared" si="1772"/>
        <v>252018.6</v>
      </c>
      <c r="X2120" s="150">
        <v>252018.6</v>
      </c>
      <c r="Y2120" s="150"/>
      <c r="Z2120" s="150">
        <v>252018.6</v>
      </c>
      <c r="AA2120" s="150">
        <f t="shared" si="1781"/>
        <v>0</v>
      </c>
      <c r="AB2120" s="150">
        <v>252018.6</v>
      </c>
      <c r="AC2120" s="199"/>
      <c r="AD2120" s="150">
        <f t="shared" si="1773"/>
        <v>252018.6</v>
      </c>
      <c r="AE2120" s="150">
        <v>252018.6</v>
      </c>
      <c r="AF2120" s="169" t="s">
        <v>4680</v>
      </c>
      <c r="AG2120" s="201">
        <v>252018.6</v>
      </c>
      <c r="AH2120" s="199"/>
      <c r="AI2120" s="150">
        <v>252018.6</v>
      </c>
      <c r="AJ2120" s="169">
        <f t="shared" si="1782"/>
        <v>0</v>
      </c>
      <c r="AK2120" s="201">
        <v>252018.6</v>
      </c>
      <c r="AL2120" s="199"/>
      <c r="AM2120" s="150">
        <f t="shared" si="1774"/>
        <v>252018.6</v>
      </c>
      <c r="AN2120" s="153">
        <f t="shared" si="1783"/>
        <v>0</v>
      </c>
      <c r="AO2120" s="154">
        <f t="shared" si="1784"/>
        <v>0</v>
      </c>
      <c r="AP2120" s="150">
        <v>252018.6</v>
      </c>
      <c r="AQ2120" s="201">
        <v>252018.6</v>
      </c>
      <c r="AR2120" s="199"/>
      <c r="AS2120" s="150">
        <f t="shared" si="1775"/>
        <v>252018.6</v>
      </c>
      <c r="AT2120" s="155"/>
      <c r="AU2120" s="156">
        <f t="shared" si="1779"/>
        <v>0</v>
      </c>
      <c r="AV2120" s="156">
        <f t="shared" si="1780"/>
        <v>0</v>
      </c>
      <c r="AW2120" s="157"/>
      <c r="AX2120" s="150">
        <v>252018.6</v>
      </c>
      <c r="AY2120" s="150">
        <v>252018.6</v>
      </c>
      <c r="AZ2120" s="150">
        <f t="shared" si="1785"/>
        <v>-252018.6</v>
      </c>
      <c r="BA2120" s="150">
        <f t="shared" si="1750"/>
        <v>0</v>
      </c>
      <c r="BB2120" s="202">
        <v>5</v>
      </c>
      <c r="BC2120" s="194" t="s">
        <v>1257</v>
      </c>
      <c r="BD2120" s="194" t="s">
        <v>632</v>
      </c>
      <c r="BE2120" s="194" t="s">
        <v>632</v>
      </c>
      <c r="BF2120" s="194" t="s">
        <v>1253</v>
      </c>
      <c r="BG2120" s="203" t="s">
        <v>10032</v>
      </c>
      <c r="BH2120" s="216">
        <f t="shared" si="1777"/>
        <v>252018.6</v>
      </c>
      <c r="BI2120" s="202"/>
      <c r="BJ2120" s="194" t="s">
        <v>5912</v>
      </c>
      <c r="BK2120" s="194" t="s">
        <v>5910</v>
      </c>
      <c r="BL2120" s="207" t="s">
        <v>5913</v>
      </c>
      <c r="BM2120" s="208">
        <f t="shared" si="1778"/>
        <v>252018.6</v>
      </c>
      <c r="BN2120" s="160"/>
      <c r="BO2120" s="161">
        <f t="shared" si="1776"/>
        <v>0</v>
      </c>
      <c r="BP2120" s="161"/>
    </row>
    <row r="2121" spans="1:68" ht="38.25">
      <c r="A2121" s="194" t="s">
        <v>5910</v>
      </c>
      <c r="B2121" s="195" t="s">
        <v>10033</v>
      </c>
      <c r="C2121" s="196" t="s">
        <v>10034</v>
      </c>
      <c r="D2121" s="146" t="s">
        <v>4692</v>
      </c>
      <c r="E2121" s="196" t="s">
        <v>10034</v>
      </c>
      <c r="F2121" s="150">
        <v>63299.95</v>
      </c>
      <c r="G2121" s="209">
        <v>0</v>
      </c>
      <c r="H2121" s="209">
        <v>76453.33</v>
      </c>
      <c r="I2121" s="209">
        <v>76453.33</v>
      </c>
      <c r="J2121" s="150">
        <v>0</v>
      </c>
      <c r="K2121" s="150">
        <v>153157.446</v>
      </c>
      <c r="L2121" s="150">
        <f t="shared" si="1744"/>
        <v>153157.446</v>
      </c>
      <c r="M2121" s="150">
        <v>55449.29</v>
      </c>
      <c r="N2121" s="150"/>
      <c r="O2121" s="150">
        <v>55449.29</v>
      </c>
      <c r="P2121" s="150">
        <v>55449.29</v>
      </c>
      <c r="Q2121" s="150">
        <v>0</v>
      </c>
      <c r="R2121" s="150">
        <f t="shared" si="1771"/>
        <v>55449.29</v>
      </c>
      <c r="S2121" s="150"/>
      <c r="T2121" s="150"/>
      <c r="U2121" s="150">
        <v>55449.29</v>
      </c>
      <c r="V2121" s="199"/>
      <c r="W2121" s="150">
        <f t="shared" si="1772"/>
        <v>55449.29</v>
      </c>
      <c r="X2121" s="150">
        <v>55449.29</v>
      </c>
      <c r="Y2121" s="150"/>
      <c r="Z2121" s="150">
        <v>55449.29</v>
      </c>
      <c r="AA2121" s="150">
        <f t="shared" si="1781"/>
        <v>0</v>
      </c>
      <c r="AB2121" s="150">
        <v>55449.29</v>
      </c>
      <c r="AC2121" s="199"/>
      <c r="AD2121" s="150">
        <f t="shared" si="1773"/>
        <v>55449.29</v>
      </c>
      <c r="AE2121" s="150">
        <v>55449.29</v>
      </c>
      <c r="AF2121" s="169" t="s">
        <v>4680</v>
      </c>
      <c r="AG2121" s="201">
        <v>55449.29</v>
      </c>
      <c r="AH2121" s="199"/>
      <c r="AI2121" s="150">
        <v>55449.29</v>
      </c>
      <c r="AJ2121" s="169">
        <f t="shared" si="1782"/>
        <v>0</v>
      </c>
      <c r="AK2121" s="201">
        <v>55449.29</v>
      </c>
      <c r="AL2121" s="199"/>
      <c r="AM2121" s="150">
        <f t="shared" si="1774"/>
        <v>55449.29</v>
      </c>
      <c r="AN2121" s="153">
        <f t="shared" si="1783"/>
        <v>0</v>
      </c>
      <c r="AO2121" s="154">
        <f t="shared" si="1784"/>
        <v>0</v>
      </c>
      <c r="AP2121" s="150">
        <v>55449.29</v>
      </c>
      <c r="AQ2121" s="201">
        <v>55449.29</v>
      </c>
      <c r="AR2121" s="199"/>
      <c r="AS2121" s="150">
        <f t="shared" si="1775"/>
        <v>55449.29</v>
      </c>
      <c r="AT2121" s="155"/>
      <c r="AU2121" s="156">
        <f t="shared" si="1779"/>
        <v>0</v>
      </c>
      <c r="AV2121" s="156">
        <f t="shared" si="1780"/>
        <v>0</v>
      </c>
      <c r="AW2121" s="157"/>
      <c r="AX2121" s="150">
        <v>55449.29</v>
      </c>
      <c r="AY2121" s="150">
        <v>55449.29</v>
      </c>
      <c r="AZ2121" s="150">
        <f t="shared" si="1785"/>
        <v>-55449.29</v>
      </c>
      <c r="BA2121" s="150">
        <f t="shared" si="1750"/>
        <v>0</v>
      </c>
      <c r="BB2121" s="202">
        <v>5</v>
      </c>
      <c r="BC2121" s="194" t="s">
        <v>1257</v>
      </c>
      <c r="BD2121" s="194" t="s">
        <v>632</v>
      </c>
      <c r="BE2121" s="194" t="s">
        <v>632</v>
      </c>
      <c r="BF2121" s="194" t="s">
        <v>1257</v>
      </c>
      <c r="BG2121" s="203" t="s">
        <v>10035</v>
      </c>
      <c r="BH2121" s="216">
        <f t="shared" si="1777"/>
        <v>55449.29</v>
      </c>
      <c r="BI2121" s="202"/>
      <c r="BJ2121" s="194" t="s">
        <v>5912</v>
      </c>
      <c r="BK2121" s="194" t="s">
        <v>5910</v>
      </c>
      <c r="BL2121" s="207" t="s">
        <v>5913</v>
      </c>
      <c r="BM2121" s="208">
        <f t="shared" si="1778"/>
        <v>55449.29</v>
      </c>
      <c r="BN2121" s="160"/>
      <c r="BO2121" s="161">
        <f t="shared" si="1776"/>
        <v>0</v>
      </c>
      <c r="BP2121" s="161"/>
    </row>
    <row r="2122" spans="1:68" ht="25.5">
      <c r="A2122" s="194" t="s">
        <v>5910</v>
      </c>
      <c r="B2122" s="195" t="s">
        <v>10036</v>
      </c>
      <c r="C2122" s="196" t="s">
        <v>10037</v>
      </c>
      <c r="D2122" s="146" t="s">
        <v>4692</v>
      </c>
      <c r="E2122" s="196" t="s">
        <v>10037</v>
      </c>
      <c r="F2122" s="150">
        <v>76453.33</v>
      </c>
      <c r="G2122" s="209">
        <v>0</v>
      </c>
      <c r="H2122" s="209">
        <v>57116.89</v>
      </c>
      <c r="I2122" s="209">
        <v>57116.89</v>
      </c>
      <c r="J2122" s="150">
        <v>0</v>
      </c>
      <c r="K2122" s="150">
        <v>78654.046000000002</v>
      </c>
      <c r="L2122" s="150">
        <f t="shared" si="1744"/>
        <v>78654.046000000002</v>
      </c>
      <c r="M2122" s="150">
        <v>24873.95</v>
      </c>
      <c r="N2122" s="150"/>
      <c r="O2122" s="150">
        <v>24873.95</v>
      </c>
      <c r="P2122" s="150">
        <v>24873.95</v>
      </c>
      <c r="Q2122" s="150">
        <v>0</v>
      </c>
      <c r="R2122" s="150">
        <f t="shared" si="1771"/>
        <v>24873.95</v>
      </c>
      <c r="S2122" s="150"/>
      <c r="T2122" s="150"/>
      <c r="U2122" s="150">
        <v>24873.95</v>
      </c>
      <c r="V2122" s="199"/>
      <c r="W2122" s="150">
        <f t="shared" si="1772"/>
        <v>24873.95</v>
      </c>
      <c r="X2122" s="150">
        <v>24873.95</v>
      </c>
      <c r="Y2122" s="150"/>
      <c r="Z2122" s="150">
        <v>24873.95</v>
      </c>
      <c r="AA2122" s="150">
        <f t="shared" si="1781"/>
        <v>0</v>
      </c>
      <c r="AB2122" s="150">
        <v>24873.95</v>
      </c>
      <c r="AC2122" s="199"/>
      <c r="AD2122" s="150">
        <f t="shared" si="1773"/>
        <v>24873.95</v>
      </c>
      <c r="AE2122" s="150">
        <v>24873.95</v>
      </c>
      <c r="AF2122" s="169" t="s">
        <v>4680</v>
      </c>
      <c r="AG2122" s="201">
        <v>24873.95</v>
      </c>
      <c r="AH2122" s="199"/>
      <c r="AI2122" s="150">
        <v>24873.95</v>
      </c>
      <c r="AJ2122" s="169">
        <f t="shared" si="1782"/>
        <v>0</v>
      </c>
      <c r="AK2122" s="201">
        <v>24873.95</v>
      </c>
      <c r="AL2122" s="199"/>
      <c r="AM2122" s="150">
        <f t="shared" si="1774"/>
        <v>24873.95</v>
      </c>
      <c r="AN2122" s="153">
        <f t="shared" si="1783"/>
        <v>0</v>
      </c>
      <c r="AO2122" s="154">
        <f t="shared" si="1784"/>
        <v>0</v>
      </c>
      <c r="AP2122" s="150">
        <v>24873.95</v>
      </c>
      <c r="AQ2122" s="201">
        <v>24873.95</v>
      </c>
      <c r="AR2122" s="199"/>
      <c r="AS2122" s="150">
        <f t="shared" si="1775"/>
        <v>24873.95</v>
      </c>
      <c r="AT2122" s="155"/>
      <c r="AU2122" s="156">
        <f t="shared" si="1779"/>
        <v>0</v>
      </c>
      <c r="AV2122" s="156">
        <f t="shared" si="1780"/>
        <v>0</v>
      </c>
      <c r="AW2122" s="157"/>
      <c r="AX2122" s="150">
        <v>24873.95</v>
      </c>
      <c r="AY2122" s="150">
        <v>24873.95</v>
      </c>
      <c r="AZ2122" s="150">
        <f t="shared" si="1785"/>
        <v>-24873.95</v>
      </c>
      <c r="BA2122" s="150">
        <f t="shared" si="1750"/>
        <v>0</v>
      </c>
      <c r="BB2122" s="202">
        <v>5</v>
      </c>
      <c r="BC2122" s="194" t="s">
        <v>1257</v>
      </c>
      <c r="BD2122" s="194" t="s">
        <v>632</v>
      </c>
      <c r="BE2122" s="194" t="s">
        <v>632</v>
      </c>
      <c r="BF2122" s="194" t="s">
        <v>1332</v>
      </c>
      <c r="BG2122" s="203" t="s">
        <v>10038</v>
      </c>
      <c r="BH2122" s="216">
        <f t="shared" si="1777"/>
        <v>24873.95</v>
      </c>
      <c r="BI2122" s="202"/>
      <c r="BJ2122" s="194" t="s">
        <v>5912</v>
      </c>
      <c r="BK2122" s="194" t="s">
        <v>5910</v>
      </c>
      <c r="BL2122" s="207" t="s">
        <v>5913</v>
      </c>
      <c r="BM2122" s="208">
        <f t="shared" si="1778"/>
        <v>24873.95</v>
      </c>
      <c r="BN2122" s="160"/>
      <c r="BO2122" s="161">
        <f t="shared" si="1776"/>
        <v>0</v>
      </c>
      <c r="BP2122" s="161"/>
    </row>
    <row r="2123" spans="1:68" ht="25.5">
      <c r="A2123" s="194" t="s">
        <v>5910</v>
      </c>
      <c r="B2123" s="195" t="s">
        <v>10039</v>
      </c>
      <c r="C2123" s="196" t="s">
        <v>10040</v>
      </c>
      <c r="D2123" s="146" t="s">
        <v>4692</v>
      </c>
      <c r="E2123" s="196" t="s">
        <v>10040</v>
      </c>
      <c r="F2123" s="150">
        <v>57116.89</v>
      </c>
      <c r="G2123" s="209">
        <v>0</v>
      </c>
      <c r="H2123" s="209">
        <v>15841.22</v>
      </c>
      <c r="I2123" s="209">
        <v>15841.22</v>
      </c>
      <c r="J2123" s="150">
        <v>0</v>
      </c>
      <c r="K2123" s="150">
        <v>162383.18899999998</v>
      </c>
      <c r="L2123" s="150">
        <f t="shared" ref="L2123:L2186" si="1786">J2123+K2123</f>
        <v>162383.18899999998</v>
      </c>
      <c r="M2123" s="150">
        <v>50230.61</v>
      </c>
      <c r="N2123" s="150"/>
      <c r="O2123" s="150">
        <v>50230.61</v>
      </c>
      <c r="P2123" s="150">
        <v>50230.61</v>
      </c>
      <c r="Q2123" s="150">
        <v>0</v>
      </c>
      <c r="R2123" s="150">
        <f t="shared" si="1771"/>
        <v>50230.61</v>
      </c>
      <c r="S2123" s="150"/>
      <c r="T2123" s="150"/>
      <c r="U2123" s="150">
        <v>50230.61</v>
      </c>
      <c r="V2123" s="199"/>
      <c r="W2123" s="150">
        <f t="shared" si="1772"/>
        <v>50230.61</v>
      </c>
      <c r="X2123" s="150">
        <v>50230.61</v>
      </c>
      <c r="Y2123" s="150"/>
      <c r="Z2123" s="150">
        <v>50230.61</v>
      </c>
      <c r="AA2123" s="150">
        <f t="shared" si="1781"/>
        <v>0</v>
      </c>
      <c r="AB2123" s="150">
        <v>50230.61</v>
      </c>
      <c r="AC2123" s="199"/>
      <c r="AD2123" s="150">
        <f t="shared" si="1773"/>
        <v>50230.61</v>
      </c>
      <c r="AE2123" s="150">
        <v>50230.61</v>
      </c>
      <c r="AF2123" s="169" t="s">
        <v>4680</v>
      </c>
      <c r="AG2123" s="201">
        <v>50230.61</v>
      </c>
      <c r="AH2123" s="199"/>
      <c r="AI2123" s="150">
        <v>50230.61</v>
      </c>
      <c r="AJ2123" s="169">
        <f t="shared" si="1782"/>
        <v>0</v>
      </c>
      <c r="AK2123" s="201">
        <v>50230.61</v>
      </c>
      <c r="AL2123" s="199"/>
      <c r="AM2123" s="150">
        <f t="shared" si="1774"/>
        <v>50230.61</v>
      </c>
      <c r="AN2123" s="153">
        <f t="shared" si="1783"/>
        <v>0</v>
      </c>
      <c r="AO2123" s="154">
        <f t="shared" si="1784"/>
        <v>0</v>
      </c>
      <c r="AP2123" s="150">
        <v>50230.61</v>
      </c>
      <c r="AQ2123" s="201">
        <v>50230.61</v>
      </c>
      <c r="AR2123" s="199"/>
      <c r="AS2123" s="150">
        <f t="shared" si="1775"/>
        <v>50230.61</v>
      </c>
      <c r="AT2123" s="155"/>
      <c r="AU2123" s="156">
        <f t="shared" si="1779"/>
        <v>0</v>
      </c>
      <c r="AV2123" s="156">
        <f t="shared" si="1780"/>
        <v>0</v>
      </c>
      <c r="AW2123" s="157"/>
      <c r="AX2123" s="150">
        <v>50230.61</v>
      </c>
      <c r="AY2123" s="150">
        <v>50230.61</v>
      </c>
      <c r="AZ2123" s="150">
        <f t="shared" si="1785"/>
        <v>-50230.61</v>
      </c>
      <c r="BA2123" s="150">
        <f t="shared" si="1750"/>
        <v>0</v>
      </c>
      <c r="BB2123" s="202">
        <v>5</v>
      </c>
      <c r="BC2123" s="194" t="s">
        <v>1257</v>
      </c>
      <c r="BD2123" s="194" t="s">
        <v>632</v>
      </c>
      <c r="BE2123" s="194" t="s">
        <v>632</v>
      </c>
      <c r="BF2123" s="194" t="s">
        <v>1838</v>
      </c>
      <c r="BG2123" s="203" t="s">
        <v>10041</v>
      </c>
      <c r="BH2123" s="216">
        <f t="shared" si="1777"/>
        <v>50230.61</v>
      </c>
      <c r="BI2123" s="202"/>
      <c r="BJ2123" s="194" t="s">
        <v>5912</v>
      </c>
      <c r="BK2123" s="194" t="s">
        <v>5910</v>
      </c>
      <c r="BL2123" s="207" t="s">
        <v>5913</v>
      </c>
      <c r="BM2123" s="208">
        <f t="shared" si="1778"/>
        <v>50230.61</v>
      </c>
      <c r="BN2123" s="160"/>
      <c r="BO2123" s="161">
        <f t="shared" si="1776"/>
        <v>0</v>
      </c>
      <c r="BP2123" s="161"/>
    </row>
    <row r="2124" spans="1:68" ht="25.5">
      <c r="A2124" s="194" t="s">
        <v>5910</v>
      </c>
      <c r="B2124" s="195" t="s">
        <v>10042</v>
      </c>
      <c r="C2124" s="196" t="s">
        <v>10043</v>
      </c>
      <c r="D2124" s="146" t="s">
        <v>4692</v>
      </c>
      <c r="E2124" s="196" t="s">
        <v>10043</v>
      </c>
      <c r="F2124" s="150">
        <v>15841.22</v>
      </c>
      <c r="G2124" s="209">
        <v>0</v>
      </c>
      <c r="H2124" s="209">
        <v>3877.6</v>
      </c>
      <c r="I2124" s="209">
        <v>3877.6</v>
      </c>
      <c r="J2124" s="150">
        <v>0</v>
      </c>
      <c r="K2124" s="150">
        <v>46474.792000000001</v>
      </c>
      <c r="L2124" s="150">
        <f t="shared" si="1786"/>
        <v>46474.792000000001</v>
      </c>
      <c r="M2124" s="150">
        <v>16541.080000000002</v>
      </c>
      <c r="N2124" s="150"/>
      <c r="O2124" s="150">
        <v>16541.080000000002</v>
      </c>
      <c r="P2124" s="150">
        <v>16541.080000000002</v>
      </c>
      <c r="Q2124" s="150">
        <v>0</v>
      </c>
      <c r="R2124" s="150">
        <f t="shared" si="1771"/>
        <v>16541.080000000002</v>
      </c>
      <c r="S2124" s="150"/>
      <c r="T2124" s="150"/>
      <c r="U2124" s="150">
        <v>16541.080000000002</v>
      </c>
      <c r="V2124" s="199"/>
      <c r="W2124" s="150">
        <f t="shared" si="1772"/>
        <v>16541.080000000002</v>
      </c>
      <c r="X2124" s="150">
        <v>16541.080000000002</v>
      </c>
      <c r="Y2124" s="150"/>
      <c r="Z2124" s="150">
        <v>16541.080000000002</v>
      </c>
      <c r="AA2124" s="150">
        <f t="shared" si="1781"/>
        <v>0</v>
      </c>
      <c r="AB2124" s="150">
        <v>16541.080000000002</v>
      </c>
      <c r="AC2124" s="199"/>
      <c r="AD2124" s="150">
        <f t="shared" si="1773"/>
        <v>16541.080000000002</v>
      </c>
      <c r="AE2124" s="150">
        <v>16541.080000000002</v>
      </c>
      <c r="AF2124" s="169" t="s">
        <v>4680</v>
      </c>
      <c r="AG2124" s="201">
        <v>16541.080000000002</v>
      </c>
      <c r="AH2124" s="199"/>
      <c r="AI2124" s="150">
        <v>16541.080000000002</v>
      </c>
      <c r="AJ2124" s="169">
        <f t="shared" si="1782"/>
        <v>0</v>
      </c>
      <c r="AK2124" s="201">
        <v>16541.080000000002</v>
      </c>
      <c r="AL2124" s="199"/>
      <c r="AM2124" s="150">
        <f t="shared" si="1774"/>
        <v>16541.080000000002</v>
      </c>
      <c r="AN2124" s="153">
        <f t="shared" si="1783"/>
        <v>0</v>
      </c>
      <c r="AO2124" s="154">
        <f t="shared" si="1784"/>
        <v>0</v>
      </c>
      <c r="AP2124" s="150">
        <v>16541.080000000002</v>
      </c>
      <c r="AQ2124" s="201">
        <v>16541.080000000002</v>
      </c>
      <c r="AR2124" s="199"/>
      <c r="AS2124" s="150">
        <f t="shared" si="1775"/>
        <v>16541.080000000002</v>
      </c>
      <c r="AT2124" s="155"/>
      <c r="AU2124" s="156">
        <f t="shared" si="1779"/>
        <v>0</v>
      </c>
      <c r="AV2124" s="156">
        <f t="shared" si="1780"/>
        <v>0</v>
      </c>
      <c r="AW2124" s="157"/>
      <c r="AX2124" s="150">
        <v>16541.080000000002</v>
      </c>
      <c r="AY2124" s="150">
        <v>16541.080000000002</v>
      </c>
      <c r="AZ2124" s="150">
        <f t="shared" si="1785"/>
        <v>-16541.080000000002</v>
      </c>
      <c r="BA2124" s="150">
        <f t="shared" si="1750"/>
        <v>0</v>
      </c>
      <c r="BB2124" s="202">
        <v>5</v>
      </c>
      <c r="BC2124" s="194" t="s">
        <v>1257</v>
      </c>
      <c r="BD2124" s="194" t="s">
        <v>632</v>
      </c>
      <c r="BE2124" s="194" t="s">
        <v>632</v>
      </c>
      <c r="BF2124" s="194" t="s">
        <v>1842</v>
      </c>
      <c r="BG2124" s="203" t="s">
        <v>10044</v>
      </c>
      <c r="BH2124" s="216">
        <f t="shared" si="1777"/>
        <v>16541.080000000002</v>
      </c>
      <c r="BI2124" s="202"/>
      <c r="BJ2124" s="194" t="s">
        <v>5912</v>
      </c>
      <c r="BK2124" s="194" t="s">
        <v>5910</v>
      </c>
      <c r="BL2124" s="207" t="s">
        <v>5913</v>
      </c>
      <c r="BM2124" s="208">
        <f t="shared" si="1778"/>
        <v>16541.080000000002</v>
      </c>
      <c r="BN2124" s="160"/>
      <c r="BO2124" s="161">
        <f t="shared" si="1776"/>
        <v>0</v>
      </c>
      <c r="BP2124" s="161"/>
    </row>
    <row r="2125" spans="1:68" ht="38.25">
      <c r="A2125" s="194" t="s">
        <v>5910</v>
      </c>
      <c r="B2125" s="195" t="s">
        <v>10045</v>
      </c>
      <c r="C2125" s="196" t="s">
        <v>10046</v>
      </c>
      <c r="D2125" s="146" t="s">
        <v>4692</v>
      </c>
      <c r="E2125" s="196" t="s">
        <v>10046</v>
      </c>
      <c r="F2125" s="150">
        <v>3877.6</v>
      </c>
      <c r="G2125" s="209">
        <v>0</v>
      </c>
      <c r="H2125" s="209">
        <v>824.96</v>
      </c>
      <c r="I2125" s="209">
        <v>824.96</v>
      </c>
      <c r="J2125" s="150">
        <v>0</v>
      </c>
      <c r="K2125" s="150">
        <v>23323.569</v>
      </c>
      <c r="L2125" s="150">
        <f t="shared" si="1786"/>
        <v>23323.569</v>
      </c>
      <c r="M2125" s="150">
        <v>1928.61</v>
      </c>
      <c r="N2125" s="150"/>
      <c r="O2125" s="150">
        <v>1928.61</v>
      </c>
      <c r="P2125" s="150">
        <v>1928.61</v>
      </c>
      <c r="Q2125" s="150">
        <v>0</v>
      </c>
      <c r="R2125" s="150">
        <f t="shared" si="1771"/>
        <v>1928.61</v>
      </c>
      <c r="S2125" s="150"/>
      <c r="T2125" s="150"/>
      <c r="U2125" s="150">
        <v>1928.61</v>
      </c>
      <c r="V2125" s="199"/>
      <c r="W2125" s="150">
        <f t="shared" si="1772"/>
        <v>1928.61</v>
      </c>
      <c r="X2125" s="150">
        <v>1928.61</v>
      </c>
      <c r="Y2125" s="150"/>
      <c r="Z2125" s="150">
        <v>1928.61</v>
      </c>
      <c r="AA2125" s="150">
        <f t="shared" si="1781"/>
        <v>0</v>
      </c>
      <c r="AB2125" s="150">
        <v>1928.61</v>
      </c>
      <c r="AC2125" s="199"/>
      <c r="AD2125" s="150">
        <f t="shared" si="1773"/>
        <v>1928.61</v>
      </c>
      <c r="AE2125" s="150">
        <v>1928.61</v>
      </c>
      <c r="AF2125" s="169" t="s">
        <v>4680</v>
      </c>
      <c r="AG2125" s="201">
        <v>1928.61</v>
      </c>
      <c r="AH2125" s="199"/>
      <c r="AI2125" s="150">
        <v>1928.61</v>
      </c>
      <c r="AJ2125" s="169">
        <f t="shared" si="1782"/>
        <v>0</v>
      </c>
      <c r="AK2125" s="201">
        <v>1928.61</v>
      </c>
      <c r="AL2125" s="199"/>
      <c r="AM2125" s="150">
        <f t="shared" si="1774"/>
        <v>1928.61</v>
      </c>
      <c r="AN2125" s="153">
        <f t="shared" si="1783"/>
        <v>0</v>
      </c>
      <c r="AO2125" s="154">
        <f t="shared" si="1784"/>
        <v>0</v>
      </c>
      <c r="AP2125" s="150">
        <v>1928.61</v>
      </c>
      <c r="AQ2125" s="201">
        <v>1928.61</v>
      </c>
      <c r="AR2125" s="199"/>
      <c r="AS2125" s="150">
        <f t="shared" si="1775"/>
        <v>1928.61</v>
      </c>
      <c r="AT2125" s="155"/>
      <c r="AU2125" s="156">
        <f t="shared" si="1779"/>
        <v>0</v>
      </c>
      <c r="AV2125" s="156">
        <f t="shared" si="1780"/>
        <v>0</v>
      </c>
      <c r="AW2125" s="157"/>
      <c r="AX2125" s="150">
        <v>1928.61</v>
      </c>
      <c r="AY2125" s="150">
        <v>1928.61</v>
      </c>
      <c r="AZ2125" s="150">
        <f t="shared" si="1785"/>
        <v>-1928.61</v>
      </c>
      <c r="BA2125" s="150">
        <f t="shared" si="1750"/>
        <v>0</v>
      </c>
      <c r="BB2125" s="202">
        <v>5</v>
      </c>
      <c r="BC2125" s="194" t="s">
        <v>1257</v>
      </c>
      <c r="BD2125" s="194" t="s">
        <v>632</v>
      </c>
      <c r="BE2125" s="194" t="s">
        <v>632</v>
      </c>
      <c r="BF2125" s="194" t="s">
        <v>1846</v>
      </c>
      <c r="BG2125" s="203" t="s">
        <v>10047</v>
      </c>
      <c r="BH2125" s="216">
        <f t="shared" si="1777"/>
        <v>1928.61</v>
      </c>
      <c r="BI2125" s="202"/>
      <c r="BJ2125" s="194" t="s">
        <v>5912</v>
      </c>
      <c r="BK2125" s="194" t="s">
        <v>5910</v>
      </c>
      <c r="BL2125" s="207" t="s">
        <v>5913</v>
      </c>
      <c r="BM2125" s="208">
        <f t="shared" si="1778"/>
        <v>1928.61</v>
      </c>
      <c r="BN2125" s="160"/>
      <c r="BO2125" s="161">
        <f t="shared" si="1776"/>
        <v>0</v>
      </c>
      <c r="BP2125" s="161"/>
    </row>
    <row r="2126" spans="1:68" ht="25.5">
      <c r="A2126" s="194" t="s">
        <v>5910</v>
      </c>
      <c r="B2126" s="195" t="s">
        <v>10048</v>
      </c>
      <c r="C2126" s="196" t="s">
        <v>10049</v>
      </c>
      <c r="D2126" s="146" t="s">
        <v>4692</v>
      </c>
      <c r="E2126" s="196" t="s">
        <v>10049</v>
      </c>
      <c r="F2126" s="150">
        <v>824.96</v>
      </c>
      <c r="G2126" s="209">
        <v>0</v>
      </c>
      <c r="H2126" s="209">
        <v>796256.56</v>
      </c>
      <c r="I2126" s="209">
        <v>796256.56</v>
      </c>
      <c r="J2126" s="150">
        <v>0</v>
      </c>
      <c r="K2126" s="150">
        <v>27960.441000000003</v>
      </c>
      <c r="L2126" s="150">
        <f t="shared" si="1786"/>
        <v>27960.441000000003</v>
      </c>
      <c r="M2126" s="150">
        <v>269.37</v>
      </c>
      <c r="N2126" s="150"/>
      <c r="O2126" s="150">
        <v>269.37</v>
      </c>
      <c r="P2126" s="150">
        <v>269.37</v>
      </c>
      <c r="Q2126" s="150">
        <v>0</v>
      </c>
      <c r="R2126" s="150">
        <f t="shared" si="1771"/>
        <v>269.37</v>
      </c>
      <c r="S2126" s="150"/>
      <c r="T2126" s="150"/>
      <c r="U2126" s="150">
        <v>269.37</v>
      </c>
      <c r="V2126" s="199"/>
      <c r="W2126" s="150">
        <f t="shared" si="1772"/>
        <v>269.37</v>
      </c>
      <c r="X2126" s="150">
        <v>269.37</v>
      </c>
      <c r="Y2126" s="150"/>
      <c r="Z2126" s="150">
        <v>269.37</v>
      </c>
      <c r="AA2126" s="150">
        <f t="shared" si="1781"/>
        <v>0</v>
      </c>
      <c r="AB2126" s="150">
        <v>269.37</v>
      </c>
      <c r="AC2126" s="199"/>
      <c r="AD2126" s="150">
        <f t="shared" si="1773"/>
        <v>269.37</v>
      </c>
      <c r="AE2126" s="150">
        <v>269.37</v>
      </c>
      <c r="AF2126" s="169" t="s">
        <v>4680</v>
      </c>
      <c r="AG2126" s="201">
        <v>269.37</v>
      </c>
      <c r="AH2126" s="199"/>
      <c r="AI2126" s="150">
        <v>269.37</v>
      </c>
      <c r="AJ2126" s="169">
        <f t="shared" si="1782"/>
        <v>0</v>
      </c>
      <c r="AK2126" s="201">
        <v>269.37</v>
      </c>
      <c r="AL2126" s="199"/>
      <c r="AM2126" s="150">
        <f t="shared" si="1774"/>
        <v>269.37</v>
      </c>
      <c r="AN2126" s="153">
        <f t="shared" si="1783"/>
        <v>0</v>
      </c>
      <c r="AO2126" s="154">
        <f t="shared" si="1784"/>
        <v>0</v>
      </c>
      <c r="AP2126" s="150">
        <v>269.37</v>
      </c>
      <c r="AQ2126" s="201">
        <v>269.37</v>
      </c>
      <c r="AR2126" s="199"/>
      <c r="AS2126" s="150">
        <f t="shared" si="1775"/>
        <v>269.37</v>
      </c>
      <c r="AT2126" s="155"/>
      <c r="AU2126" s="156">
        <f t="shared" si="1779"/>
        <v>0</v>
      </c>
      <c r="AV2126" s="156">
        <f t="shared" si="1780"/>
        <v>0</v>
      </c>
      <c r="AW2126" s="157"/>
      <c r="AX2126" s="150">
        <v>269.37</v>
      </c>
      <c r="AY2126" s="150">
        <v>269.37</v>
      </c>
      <c r="AZ2126" s="150">
        <f t="shared" si="1785"/>
        <v>-269.37</v>
      </c>
      <c r="BA2126" s="150">
        <f t="shared" si="1750"/>
        <v>0</v>
      </c>
      <c r="BB2126" s="202">
        <v>5</v>
      </c>
      <c r="BC2126" s="194" t="s">
        <v>1257</v>
      </c>
      <c r="BD2126" s="194" t="s">
        <v>632</v>
      </c>
      <c r="BE2126" s="194" t="s">
        <v>632</v>
      </c>
      <c r="BF2126" s="194" t="s">
        <v>1850</v>
      </c>
      <c r="BG2126" s="203" t="s">
        <v>10050</v>
      </c>
      <c r="BH2126" s="216">
        <f t="shared" si="1777"/>
        <v>269.37</v>
      </c>
      <c r="BI2126" s="202"/>
      <c r="BJ2126" s="194" t="s">
        <v>5912</v>
      </c>
      <c r="BK2126" s="194" t="s">
        <v>5910</v>
      </c>
      <c r="BL2126" s="207" t="s">
        <v>5913</v>
      </c>
      <c r="BM2126" s="208">
        <f t="shared" si="1778"/>
        <v>269.37</v>
      </c>
      <c r="BN2126" s="160"/>
      <c r="BO2126" s="161">
        <f t="shared" si="1776"/>
        <v>0</v>
      </c>
      <c r="BP2126" s="161"/>
    </row>
    <row r="2127" spans="1:68" ht="38.25">
      <c r="A2127" s="194" t="s">
        <v>5910</v>
      </c>
      <c r="B2127" s="195" t="s">
        <v>10051</v>
      </c>
      <c r="C2127" s="196" t="s">
        <v>10052</v>
      </c>
      <c r="D2127" s="146" t="s">
        <v>4692</v>
      </c>
      <c r="E2127" s="196" t="s">
        <v>10052</v>
      </c>
      <c r="F2127" s="150">
        <v>796256.56</v>
      </c>
      <c r="G2127" s="209">
        <v>0</v>
      </c>
      <c r="H2127" s="209">
        <v>0</v>
      </c>
      <c r="I2127" s="209">
        <v>0</v>
      </c>
      <c r="J2127" s="150">
        <v>0</v>
      </c>
      <c r="K2127" s="150">
        <v>669526.48800000001</v>
      </c>
      <c r="L2127" s="150">
        <f t="shared" si="1786"/>
        <v>669526.48800000001</v>
      </c>
      <c r="M2127" s="150">
        <v>536090.04</v>
      </c>
      <c r="N2127" s="150"/>
      <c r="O2127" s="150">
        <v>536090.04</v>
      </c>
      <c r="P2127" s="150">
        <v>536090.04</v>
      </c>
      <c r="Q2127" s="150">
        <v>0</v>
      </c>
      <c r="R2127" s="150">
        <f t="shared" si="1771"/>
        <v>536090.04</v>
      </c>
      <c r="S2127" s="150"/>
      <c r="T2127" s="150"/>
      <c r="U2127" s="150">
        <v>536090.04</v>
      </c>
      <c r="V2127" s="199"/>
      <c r="W2127" s="150">
        <f t="shared" si="1772"/>
        <v>536090.04</v>
      </c>
      <c r="X2127" s="150">
        <v>536090.04</v>
      </c>
      <c r="Y2127" s="150"/>
      <c r="Z2127" s="150">
        <v>536090.04</v>
      </c>
      <c r="AA2127" s="150">
        <f t="shared" si="1781"/>
        <v>0</v>
      </c>
      <c r="AB2127" s="150">
        <v>536090.04</v>
      </c>
      <c r="AC2127" s="199"/>
      <c r="AD2127" s="150">
        <f t="shared" si="1773"/>
        <v>536090.04</v>
      </c>
      <c r="AE2127" s="150">
        <v>536090.04</v>
      </c>
      <c r="AF2127" s="169" t="s">
        <v>4680</v>
      </c>
      <c r="AG2127" s="201">
        <v>536090.04</v>
      </c>
      <c r="AH2127" s="199"/>
      <c r="AI2127" s="150">
        <v>536090.04</v>
      </c>
      <c r="AJ2127" s="169">
        <f t="shared" si="1782"/>
        <v>0</v>
      </c>
      <c r="AK2127" s="201">
        <v>536090.04</v>
      </c>
      <c r="AL2127" s="199"/>
      <c r="AM2127" s="150">
        <f t="shared" si="1774"/>
        <v>536090.04</v>
      </c>
      <c r="AN2127" s="153">
        <f t="shared" si="1783"/>
        <v>0</v>
      </c>
      <c r="AO2127" s="154">
        <f t="shared" si="1784"/>
        <v>0</v>
      </c>
      <c r="AP2127" s="150">
        <v>536090.04</v>
      </c>
      <c r="AQ2127" s="201">
        <v>536090.04</v>
      </c>
      <c r="AR2127" s="199"/>
      <c r="AS2127" s="150">
        <f t="shared" si="1775"/>
        <v>536090.04</v>
      </c>
      <c r="AT2127" s="155"/>
      <c r="AU2127" s="156">
        <f t="shared" si="1779"/>
        <v>0</v>
      </c>
      <c r="AV2127" s="156">
        <f t="shared" si="1780"/>
        <v>0</v>
      </c>
      <c r="AW2127" s="157"/>
      <c r="AX2127" s="150">
        <v>536090.04</v>
      </c>
      <c r="AY2127" s="150">
        <v>536090.04</v>
      </c>
      <c r="AZ2127" s="150">
        <f t="shared" si="1785"/>
        <v>-536090.04</v>
      </c>
      <c r="BA2127" s="150">
        <f t="shared" si="1750"/>
        <v>0</v>
      </c>
      <c r="BB2127" s="202">
        <v>5</v>
      </c>
      <c r="BC2127" s="194" t="s">
        <v>1257</v>
      </c>
      <c r="BD2127" s="194" t="s">
        <v>632</v>
      </c>
      <c r="BE2127" s="194" t="s">
        <v>632</v>
      </c>
      <c r="BF2127" s="194" t="s">
        <v>1855</v>
      </c>
      <c r="BG2127" s="203" t="s">
        <v>10053</v>
      </c>
      <c r="BH2127" s="216">
        <f>SUM(AS2127:AS2132)</f>
        <v>620258.62</v>
      </c>
      <c r="BI2127" s="202"/>
      <c r="BJ2127" s="194" t="s">
        <v>5912</v>
      </c>
      <c r="BK2127" s="194" t="s">
        <v>5910</v>
      </c>
      <c r="BL2127" s="207" t="s">
        <v>5913</v>
      </c>
      <c r="BM2127" s="208">
        <f t="shared" si="1778"/>
        <v>620258.62</v>
      </c>
      <c r="BN2127" s="160"/>
      <c r="BO2127" s="161"/>
      <c r="BP2127" s="161"/>
    </row>
    <row r="2128" spans="1:68" ht="51">
      <c r="A2128" s="210"/>
      <c r="B2128" s="195" t="s">
        <v>10054</v>
      </c>
      <c r="C2128" s="196" t="s">
        <v>10055</v>
      </c>
      <c r="D2128" s="146" t="s">
        <v>4692</v>
      </c>
      <c r="E2128" s="196" t="s">
        <v>10055</v>
      </c>
      <c r="F2128" s="150">
        <v>18846.63</v>
      </c>
      <c r="G2128" s="209">
        <v>0</v>
      </c>
      <c r="H2128" s="209">
        <v>50321.440000000002</v>
      </c>
      <c r="I2128" s="209">
        <v>50321.440000000002</v>
      </c>
      <c r="J2128" s="150">
        <v>0</v>
      </c>
      <c r="K2128" s="150">
        <v>0</v>
      </c>
      <c r="L2128" s="150">
        <f t="shared" si="1786"/>
        <v>0</v>
      </c>
      <c r="M2128" s="150">
        <v>40000.57</v>
      </c>
      <c r="N2128" s="150"/>
      <c r="O2128" s="150">
        <v>40000.57</v>
      </c>
      <c r="P2128" s="150">
        <v>40000.57</v>
      </c>
      <c r="Q2128" s="150">
        <v>0</v>
      </c>
      <c r="R2128" s="150">
        <f t="shared" si="1771"/>
        <v>40000.57</v>
      </c>
      <c r="S2128" s="150"/>
      <c r="T2128" s="150"/>
      <c r="U2128" s="150">
        <v>40000.57</v>
      </c>
      <c r="V2128" s="199"/>
      <c r="W2128" s="150">
        <f t="shared" si="1772"/>
        <v>40000.57</v>
      </c>
      <c r="X2128" s="150">
        <v>40000.57</v>
      </c>
      <c r="Y2128" s="150"/>
      <c r="Z2128" s="150">
        <v>40000.57</v>
      </c>
      <c r="AA2128" s="150">
        <f t="shared" si="1781"/>
        <v>0</v>
      </c>
      <c r="AB2128" s="150">
        <v>40000.57</v>
      </c>
      <c r="AC2128" s="199"/>
      <c r="AD2128" s="150">
        <f t="shared" si="1773"/>
        <v>40000.57</v>
      </c>
      <c r="AE2128" s="150">
        <v>40000.57</v>
      </c>
      <c r="AF2128" s="169" t="s">
        <v>4680</v>
      </c>
      <c r="AG2128" s="201">
        <v>40000.57</v>
      </c>
      <c r="AH2128" s="199"/>
      <c r="AI2128" s="150">
        <v>40000.57</v>
      </c>
      <c r="AJ2128" s="169">
        <f t="shared" si="1782"/>
        <v>0</v>
      </c>
      <c r="AK2128" s="201">
        <v>40000.57</v>
      </c>
      <c r="AL2128" s="199"/>
      <c r="AM2128" s="150">
        <f t="shared" si="1774"/>
        <v>40000.57</v>
      </c>
      <c r="AN2128" s="153">
        <f t="shared" si="1783"/>
        <v>0</v>
      </c>
      <c r="AO2128" s="154">
        <f t="shared" si="1784"/>
        <v>0</v>
      </c>
      <c r="AP2128" s="150">
        <v>40000.57</v>
      </c>
      <c r="AQ2128" s="201">
        <v>40000.57</v>
      </c>
      <c r="AR2128" s="199"/>
      <c r="AS2128" s="150">
        <f t="shared" si="1775"/>
        <v>40000.57</v>
      </c>
      <c r="AT2128" s="155"/>
      <c r="AU2128" s="156">
        <f t="shared" si="1779"/>
        <v>0</v>
      </c>
      <c r="AV2128" s="156">
        <f t="shared" si="1780"/>
        <v>0</v>
      </c>
      <c r="AW2128" s="157"/>
      <c r="AX2128" s="150">
        <v>40000.57</v>
      </c>
      <c r="AY2128" s="150">
        <v>40000.57</v>
      </c>
      <c r="AZ2128" s="150">
        <f t="shared" si="1785"/>
        <v>-40000.57</v>
      </c>
      <c r="BA2128" s="150">
        <f t="shared" si="1750"/>
        <v>0</v>
      </c>
      <c r="BB2128" s="210"/>
      <c r="BC2128" s="210"/>
      <c r="BD2128" s="210"/>
      <c r="BE2128" s="210"/>
      <c r="BF2128" s="210"/>
      <c r="BG2128" s="210"/>
      <c r="BH2128" s="217"/>
      <c r="BI2128" s="210"/>
      <c r="BJ2128" s="210"/>
      <c r="BK2128" s="210"/>
      <c r="BL2128" s="210"/>
      <c r="BM2128" s="208"/>
      <c r="BN2128" s="160"/>
      <c r="BO2128" s="161"/>
      <c r="BP2128" s="161"/>
    </row>
    <row r="2129" spans="1:68" ht="51">
      <c r="A2129" s="210"/>
      <c r="B2129" s="195" t="s">
        <v>10056</v>
      </c>
      <c r="C2129" s="196" t="s">
        <v>10057</v>
      </c>
      <c r="D2129" s="146" t="s">
        <v>4692</v>
      </c>
      <c r="E2129" s="196" t="s">
        <v>10057</v>
      </c>
      <c r="F2129" s="150">
        <v>50321.440000000002</v>
      </c>
      <c r="G2129" s="209">
        <v>0</v>
      </c>
      <c r="H2129" s="209">
        <v>706722.88</v>
      </c>
      <c r="I2129" s="209">
        <v>706722.88</v>
      </c>
      <c r="J2129" s="150">
        <v>0</v>
      </c>
      <c r="K2129" s="150">
        <v>51189.308000000005</v>
      </c>
      <c r="L2129" s="150">
        <f t="shared" si="1786"/>
        <v>51189.308000000005</v>
      </c>
      <c r="M2129" s="150">
        <v>10056.26</v>
      </c>
      <c r="N2129" s="150"/>
      <c r="O2129" s="150">
        <v>10056.26</v>
      </c>
      <c r="P2129" s="150">
        <v>10056.26</v>
      </c>
      <c r="Q2129" s="150">
        <v>0</v>
      </c>
      <c r="R2129" s="150">
        <f t="shared" si="1771"/>
        <v>10056.26</v>
      </c>
      <c r="S2129" s="150"/>
      <c r="T2129" s="150"/>
      <c r="U2129" s="150">
        <v>10056.26</v>
      </c>
      <c r="V2129" s="199"/>
      <c r="W2129" s="150">
        <f t="shared" si="1772"/>
        <v>10056.26</v>
      </c>
      <c r="X2129" s="150">
        <v>10056.26</v>
      </c>
      <c r="Y2129" s="150"/>
      <c r="Z2129" s="150">
        <v>10056.26</v>
      </c>
      <c r="AA2129" s="150">
        <f t="shared" si="1781"/>
        <v>0</v>
      </c>
      <c r="AB2129" s="150">
        <v>10056.26</v>
      </c>
      <c r="AC2129" s="199"/>
      <c r="AD2129" s="150">
        <f t="shared" si="1773"/>
        <v>10056.26</v>
      </c>
      <c r="AE2129" s="150">
        <v>10056.26</v>
      </c>
      <c r="AF2129" s="169" t="s">
        <v>4680</v>
      </c>
      <c r="AG2129" s="201">
        <v>10056.26</v>
      </c>
      <c r="AH2129" s="199"/>
      <c r="AI2129" s="150">
        <v>10056.26</v>
      </c>
      <c r="AJ2129" s="169">
        <f t="shared" si="1782"/>
        <v>0</v>
      </c>
      <c r="AK2129" s="201">
        <v>10056.26</v>
      </c>
      <c r="AL2129" s="199"/>
      <c r="AM2129" s="150">
        <f t="shared" si="1774"/>
        <v>10056.26</v>
      </c>
      <c r="AN2129" s="153">
        <f t="shared" si="1783"/>
        <v>0</v>
      </c>
      <c r="AO2129" s="154">
        <f t="shared" si="1784"/>
        <v>0</v>
      </c>
      <c r="AP2129" s="150">
        <v>10056.26</v>
      </c>
      <c r="AQ2129" s="201">
        <v>10056.26</v>
      </c>
      <c r="AR2129" s="199"/>
      <c r="AS2129" s="150">
        <f t="shared" si="1775"/>
        <v>10056.26</v>
      </c>
      <c r="AT2129" s="155"/>
      <c r="AU2129" s="156">
        <f t="shared" si="1779"/>
        <v>0</v>
      </c>
      <c r="AV2129" s="156">
        <f t="shared" si="1780"/>
        <v>0</v>
      </c>
      <c r="AW2129" s="157"/>
      <c r="AX2129" s="150">
        <v>10056.26</v>
      </c>
      <c r="AY2129" s="150">
        <v>10056.26</v>
      </c>
      <c r="AZ2129" s="150">
        <f t="shared" si="1785"/>
        <v>-10056.26</v>
      </c>
      <c r="BA2129" s="150">
        <f t="shared" si="1750"/>
        <v>0</v>
      </c>
      <c r="BB2129" s="210"/>
      <c r="BC2129" s="210"/>
      <c r="BD2129" s="210"/>
      <c r="BE2129" s="210"/>
      <c r="BF2129" s="210"/>
      <c r="BG2129" s="210"/>
      <c r="BH2129" s="217"/>
      <c r="BI2129" s="210"/>
      <c r="BJ2129" s="210"/>
      <c r="BK2129" s="210"/>
      <c r="BL2129" s="210"/>
      <c r="BM2129" s="208"/>
      <c r="BN2129" s="160"/>
      <c r="BO2129" s="161"/>
      <c r="BP2129" s="161"/>
    </row>
    <row r="2130" spans="1:68" ht="51">
      <c r="A2130" s="210"/>
      <c r="B2130" s="195" t="s">
        <v>10058</v>
      </c>
      <c r="C2130" s="196" t="s">
        <v>10059</v>
      </c>
      <c r="D2130" s="146" t="s">
        <v>4692</v>
      </c>
      <c r="E2130" s="196" t="s">
        <v>10059</v>
      </c>
      <c r="F2130" s="150">
        <v>706722.88</v>
      </c>
      <c r="G2130" s="209">
        <v>0</v>
      </c>
      <c r="H2130" s="209">
        <v>13161.93</v>
      </c>
      <c r="I2130" s="209">
        <v>13161.93</v>
      </c>
      <c r="J2130" s="150">
        <v>0</v>
      </c>
      <c r="K2130" s="150">
        <v>87588.333000000013</v>
      </c>
      <c r="L2130" s="150">
        <f t="shared" si="1786"/>
        <v>87588.333000000013</v>
      </c>
      <c r="M2130" s="150">
        <v>18846.63</v>
      </c>
      <c r="N2130" s="150"/>
      <c r="O2130" s="150">
        <v>18846.63</v>
      </c>
      <c r="P2130" s="150">
        <v>18846.63</v>
      </c>
      <c r="Q2130" s="150">
        <v>0</v>
      </c>
      <c r="R2130" s="150">
        <f t="shared" si="1771"/>
        <v>18846.63</v>
      </c>
      <c r="S2130" s="150"/>
      <c r="T2130" s="150"/>
      <c r="U2130" s="150">
        <v>18846.63</v>
      </c>
      <c r="V2130" s="199"/>
      <c r="W2130" s="150">
        <f t="shared" si="1772"/>
        <v>18846.63</v>
      </c>
      <c r="X2130" s="150">
        <v>18846.63</v>
      </c>
      <c r="Y2130" s="150"/>
      <c r="Z2130" s="150">
        <v>18846.63</v>
      </c>
      <c r="AA2130" s="150">
        <f t="shared" si="1781"/>
        <v>0</v>
      </c>
      <c r="AB2130" s="150">
        <v>18846.63</v>
      </c>
      <c r="AC2130" s="199"/>
      <c r="AD2130" s="150">
        <f t="shared" si="1773"/>
        <v>18846.63</v>
      </c>
      <c r="AE2130" s="150">
        <v>18846.63</v>
      </c>
      <c r="AF2130" s="169" t="s">
        <v>4680</v>
      </c>
      <c r="AG2130" s="201">
        <v>18846.63</v>
      </c>
      <c r="AH2130" s="199"/>
      <c r="AI2130" s="150">
        <v>18846.63</v>
      </c>
      <c r="AJ2130" s="169">
        <f t="shared" si="1782"/>
        <v>0</v>
      </c>
      <c r="AK2130" s="201">
        <v>18846.63</v>
      </c>
      <c r="AL2130" s="199"/>
      <c r="AM2130" s="150">
        <f t="shared" si="1774"/>
        <v>18846.63</v>
      </c>
      <c r="AN2130" s="153">
        <f t="shared" si="1783"/>
        <v>0</v>
      </c>
      <c r="AO2130" s="154">
        <f t="shared" si="1784"/>
        <v>0</v>
      </c>
      <c r="AP2130" s="150">
        <v>18846.63</v>
      </c>
      <c r="AQ2130" s="201">
        <v>18846.63</v>
      </c>
      <c r="AR2130" s="199"/>
      <c r="AS2130" s="150">
        <f t="shared" si="1775"/>
        <v>18846.63</v>
      </c>
      <c r="AT2130" s="155"/>
      <c r="AU2130" s="156">
        <f t="shared" si="1779"/>
        <v>0</v>
      </c>
      <c r="AV2130" s="156">
        <f t="shared" si="1780"/>
        <v>0</v>
      </c>
      <c r="AW2130" s="157"/>
      <c r="AX2130" s="150">
        <v>18846.63</v>
      </c>
      <c r="AY2130" s="150">
        <v>18846.63</v>
      </c>
      <c r="AZ2130" s="150">
        <f t="shared" si="1785"/>
        <v>-18846.63</v>
      </c>
      <c r="BA2130" s="150">
        <f t="shared" si="1750"/>
        <v>0</v>
      </c>
      <c r="BB2130" s="210"/>
      <c r="BC2130" s="210"/>
      <c r="BD2130" s="210"/>
      <c r="BE2130" s="210"/>
      <c r="BF2130" s="210"/>
      <c r="BG2130" s="210"/>
      <c r="BH2130" s="217"/>
      <c r="BI2130" s="210"/>
      <c r="BJ2130" s="210"/>
      <c r="BK2130" s="210"/>
      <c r="BL2130" s="210"/>
      <c r="BM2130" s="208"/>
      <c r="BN2130" s="160"/>
      <c r="BO2130" s="161"/>
      <c r="BP2130" s="161"/>
    </row>
    <row r="2131" spans="1:68" ht="51">
      <c r="A2131" s="210"/>
      <c r="B2131" s="195" t="s">
        <v>10060</v>
      </c>
      <c r="C2131" s="196" t="s">
        <v>10061</v>
      </c>
      <c r="D2131" s="146" t="s">
        <v>4692</v>
      </c>
      <c r="E2131" s="196" t="s">
        <v>10061</v>
      </c>
      <c r="F2131" s="150">
        <v>13161.93</v>
      </c>
      <c r="G2131" s="209">
        <v>0</v>
      </c>
      <c r="H2131" s="209">
        <v>18846.63</v>
      </c>
      <c r="I2131" s="209">
        <v>18846.63</v>
      </c>
      <c r="J2131" s="150">
        <v>0</v>
      </c>
      <c r="K2131" s="150">
        <v>40638.453999999998</v>
      </c>
      <c r="L2131" s="150">
        <f t="shared" si="1786"/>
        <v>40638.453999999998</v>
      </c>
      <c r="M2131" s="150">
        <v>0</v>
      </c>
      <c r="N2131" s="150"/>
      <c r="O2131" s="150">
        <v>0</v>
      </c>
      <c r="P2131" s="150">
        <v>0</v>
      </c>
      <c r="Q2131" s="150">
        <v>0</v>
      </c>
      <c r="R2131" s="150">
        <f t="shared" si="1771"/>
        <v>0</v>
      </c>
      <c r="S2131" s="150"/>
      <c r="T2131" s="150"/>
      <c r="U2131" s="150">
        <v>0</v>
      </c>
      <c r="V2131" s="199"/>
      <c r="W2131" s="150">
        <f t="shared" si="1772"/>
        <v>0</v>
      </c>
      <c r="X2131" s="150">
        <v>0</v>
      </c>
      <c r="Y2131" s="150"/>
      <c r="Z2131" s="150">
        <v>0</v>
      </c>
      <c r="AA2131" s="150">
        <f t="shared" si="1781"/>
        <v>0</v>
      </c>
      <c r="AB2131" s="150">
        <v>0</v>
      </c>
      <c r="AC2131" s="199"/>
      <c r="AD2131" s="150">
        <f t="shared" si="1773"/>
        <v>0</v>
      </c>
      <c r="AE2131" s="150">
        <v>0</v>
      </c>
      <c r="AF2131" s="169" t="s">
        <v>4680</v>
      </c>
      <c r="AG2131" s="201">
        <v>0</v>
      </c>
      <c r="AH2131" s="199"/>
      <c r="AI2131" s="150">
        <v>0</v>
      </c>
      <c r="AJ2131" s="169">
        <f t="shared" si="1782"/>
        <v>0</v>
      </c>
      <c r="AK2131" s="201">
        <v>0</v>
      </c>
      <c r="AL2131" s="199"/>
      <c r="AM2131" s="150">
        <f t="shared" si="1774"/>
        <v>0</v>
      </c>
      <c r="AN2131" s="153">
        <f t="shared" si="1783"/>
        <v>0</v>
      </c>
      <c r="AO2131" s="154">
        <f t="shared" si="1784"/>
        <v>0</v>
      </c>
      <c r="AP2131" s="150">
        <v>0</v>
      </c>
      <c r="AQ2131" s="201">
        <v>0</v>
      </c>
      <c r="AR2131" s="199"/>
      <c r="AS2131" s="150">
        <f t="shared" si="1775"/>
        <v>0</v>
      </c>
      <c r="AT2131" s="155"/>
      <c r="AU2131" s="156">
        <f t="shared" si="1779"/>
        <v>0</v>
      </c>
      <c r="AV2131" s="156">
        <f t="shared" si="1780"/>
        <v>0</v>
      </c>
      <c r="AW2131" s="157"/>
      <c r="AX2131" s="150">
        <v>0</v>
      </c>
      <c r="AY2131" s="150">
        <v>0</v>
      </c>
      <c r="AZ2131" s="150"/>
      <c r="BA2131" s="150">
        <f t="shared" si="1750"/>
        <v>0</v>
      </c>
      <c r="BB2131" s="210"/>
      <c r="BC2131" s="210"/>
      <c r="BD2131" s="210"/>
      <c r="BE2131" s="210"/>
      <c r="BF2131" s="210"/>
      <c r="BG2131" s="210"/>
      <c r="BH2131" s="217"/>
      <c r="BI2131" s="210"/>
      <c r="BJ2131" s="210"/>
      <c r="BK2131" s="210"/>
      <c r="BL2131" s="210"/>
      <c r="BM2131" s="208"/>
      <c r="BN2131" s="160"/>
      <c r="BO2131" s="161"/>
      <c r="BP2131" s="161"/>
    </row>
    <row r="2132" spans="1:68" ht="51">
      <c r="A2132" s="210"/>
      <c r="B2132" s="195" t="s">
        <v>10062</v>
      </c>
      <c r="C2132" s="196" t="s">
        <v>10063</v>
      </c>
      <c r="D2132" s="146" t="s">
        <v>4692</v>
      </c>
      <c r="E2132" s="196" t="s">
        <v>10063</v>
      </c>
      <c r="F2132" s="150">
        <v>0</v>
      </c>
      <c r="G2132" s="209">
        <v>0</v>
      </c>
      <c r="H2132" s="209">
        <v>244731.88</v>
      </c>
      <c r="I2132" s="209">
        <v>244731.88</v>
      </c>
      <c r="J2132" s="150">
        <v>0</v>
      </c>
      <c r="K2132" s="150">
        <v>80137.606999999989</v>
      </c>
      <c r="L2132" s="150">
        <f t="shared" si="1786"/>
        <v>80137.606999999989</v>
      </c>
      <c r="M2132" s="150">
        <v>15265.12</v>
      </c>
      <c r="N2132" s="150"/>
      <c r="O2132" s="150">
        <v>15265.12</v>
      </c>
      <c r="P2132" s="150">
        <v>15265.12</v>
      </c>
      <c r="Q2132" s="150">
        <v>0</v>
      </c>
      <c r="R2132" s="150">
        <f t="shared" si="1771"/>
        <v>15265.12</v>
      </c>
      <c r="S2132" s="150"/>
      <c r="T2132" s="150"/>
      <c r="U2132" s="150">
        <v>15265.12</v>
      </c>
      <c r="V2132" s="199"/>
      <c r="W2132" s="150">
        <f t="shared" si="1772"/>
        <v>15265.12</v>
      </c>
      <c r="X2132" s="150">
        <v>15265.12</v>
      </c>
      <c r="Y2132" s="150"/>
      <c r="Z2132" s="150">
        <v>15265.12</v>
      </c>
      <c r="AA2132" s="150">
        <f t="shared" si="1781"/>
        <v>0</v>
      </c>
      <c r="AB2132" s="150">
        <v>15265.12</v>
      </c>
      <c r="AC2132" s="199"/>
      <c r="AD2132" s="150">
        <f t="shared" si="1773"/>
        <v>15265.12</v>
      </c>
      <c r="AE2132" s="150">
        <v>15265.12</v>
      </c>
      <c r="AF2132" s="169" t="s">
        <v>4680</v>
      </c>
      <c r="AG2132" s="201">
        <v>15265.12</v>
      </c>
      <c r="AH2132" s="199"/>
      <c r="AI2132" s="150">
        <v>15265.12</v>
      </c>
      <c r="AJ2132" s="169">
        <f t="shared" si="1782"/>
        <v>0</v>
      </c>
      <c r="AK2132" s="201">
        <v>15265.12</v>
      </c>
      <c r="AL2132" s="199"/>
      <c r="AM2132" s="150">
        <f t="shared" si="1774"/>
        <v>15265.12</v>
      </c>
      <c r="AN2132" s="153">
        <f t="shared" si="1783"/>
        <v>0</v>
      </c>
      <c r="AO2132" s="154">
        <f t="shared" si="1784"/>
        <v>0</v>
      </c>
      <c r="AP2132" s="150">
        <v>15265.12</v>
      </c>
      <c r="AQ2132" s="201">
        <v>15265.12</v>
      </c>
      <c r="AR2132" s="199"/>
      <c r="AS2132" s="150">
        <f t="shared" si="1775"/>
        <v>15265.12</v>
      </c>
      <c r="AT2132" s="155"/>
      <c r="AU2132" s="156">
        <f t="shared" si="1779"/>
        <v>0</v>
      </c>
      <c r="AV2132" s="156">
        <f t="shared" si="1780"/>
        <v>0</v>
      </c>
      <c r="AW2132" s="157"/>
      <c r="AX2132" s="150">
        <v>15265.12</v>
      </c>
      <c r="AY2132" s="150">
        <v>15265.12</v>
      </c>
      <c r="AZ2132" s="150">
        <f t="shared" ref="AZ2132:AZ2137" si="1787">-AY2132</f>
        <v>-15265.12</v>
      </c>
      <c r="BA2132" s="150">
        <f t="shared" si="1750"/>
        <v>0</v>
      </c>
      <c r="BB2132" s="210"/>
      <c r="BC2132" s="210"/>
      <c r="BD2132" s="210"/>
      <c r="BE2132" s="210"/>
      <c r="BF2132" s="210"/>
      <c r="BG2132" s="210"/>
      <c r="BH2132" s="217"/>
      <c r="BI2132" s="210"/>
      <c r="BJ2132" s="210"/>
      <c r="BK2132" s="210"/>
      <c r="BL2132" s="210"/>
      <c r="BM2132" s="208"/>
      <c r="BN2132" s="160"/>
      <c r="BO2132" s="161"/>
      <c r="BP2132" s="161"/>
    </row>
    <row r="2133" spans="1:68" ht="38.25">
      <c r="A2133" s="194" t="s">
        <v>5910</v>
      </c>
      <c r="B2133" s="195" t="s">
        <v>10064</v>
      </c>
      <c r="C2133" s="196" t="s">
        <v>10065</v>
      </c>
      <c r="D2133" s="146" t="s">
        <v>4692</v>
      </c>
      <c r="E2133" s="196" t="s">
        <v>10065</v>
      </c>
      <c r="F2133" s="150">
        <v>244731.88</v>
      </c>
      <c r="G2133" s="209">
        <v>0</v>
      </c>
      <c r="H2133" s="209">
        <v>122589.8</v>
      </c>
      <c r="I2133" s="209">
        <v>122589.8</v>
      </c>
      <c r="J2133" s="150">
        <v>0</v>
      </c>
      <c r="K2133" s="150">
        <v>148140.07799999998</v>
      </c>
      <c r="L2133" s="150">
        <f t="shared" si="1786"/>
        <v>148140.07799999998</v>
      </c>
      <c r="M2133" s="150">
        <v>52529.23</v>
      </c>
      <c r="N2133" s="150"/>
      <c r="O2133" s="150">
        <v>52529.23</v>
      </c>
      <c r="P2133" s="150">
        <v>52529.23</v>
      </c>
      <c r="Q2133" s="150">
        <v>0</v>
      </c>
      <c r="R2133" s="150">
        <f t="shared" si="1771"/>
        <v>52529.23</v>
      </c>
      <c r="S2133" s="150"/>
      <c r="T2133" s="150"/>
      <c r="U2133" s="150">
        <v>52529.23</v>
      </c>
      <c r="V2133" s="199"/>
      <c r="W2133" s="150">
        <f t="shared" si="1772"/>
        <v>52529.23</v>
      </c>
      <c r="X2133" s="150">
        <v>52529.23</v>
      </c>
      <c r="Y2133" s="150"/>
      <c r="Z2133" s="150">
        <v>52529.23</v>
      </c>
      <c r="AA2133" s="150">
        <f t="shared" si="1781"/>
        <v>0</v>
      </c>
      <c r="AB2133" s="150">
        <v>52529.23</v>
      </c>
      <c r="AC2133" s="199"/>
      <c r="AD2133" s="150">
        <f t="shared" si="1773"/>
        <v>52529.23</v>
      </c>
      <c r="AE2133" s="150">
        <v>52529.23</v>
      </c>
      <c r="AF2133" s="169" t="s">
        <v>4680</v>
      </c>
      <c r="AG2133" s="201">
        <v>52529.23</v>
      </c>
      <c r="AH2133" s="199"/>
      <c r="AI2133" s="150">
        <v>52529.23</v>
      </c>
      <c r="AJ2133" s="169">
        <f t="shared" si="1782"/>
        <v>0</v>
      </c>
      <c r="AK2133" s="201">
        <v>52529.23</v>
      </c>
      <c r="AL2133" s="199"/>
      <c r="AM2133" s="150">
        <f t="shared" si="1774"/>
        <v>52529.23</v>
      </c>
      <c r="AN2133" s="153">
        <f t="shared" si="1783"/>
        <v>0</v>
      </c>
      <c r="AO2133" s="154">
        <f t="shared" si="1784"/>
        <v>0</v>
      </c>
      <c r="AP2133" s="150">
        <v>52529.23</v>
      </c>
      <c r="AQ2133" s="201">
        <v>52529.23</v>
      </c>
      <c r="AR2133" s="199"/>
      <c r="AS2133" s="150">
        <f t="shared" si="1775"/>
        <v>52529.23</v>
      </c>
      <c r="AT2133" s="155"/>
      <c r="AU2133" s="156">
        <f t="shared" si="1779"/>
        <v>0</v>
      </c>
      <c r="AV2133" s="156">
        <f t="shared" si="1780"/>
        <v>0</v>
      </c>
      <c r="AW2133" s="157"/>
      <c r="AX2133" s="150">
        <v>52529.23</v>
      </c>
      <c r="AY2133" s="150">
        <v>52529.23</v>
      </c>
      <c r="AZ2133" s="150">
        <f t="shared" si="1787"/>
        <v>-52529.23</v>
      </c>
      <c r="BA2133" s="150">
        <f t="shared" si="1750"/>
        <v>0</v>
      </c>
      <c r="BB2133" s="202">
        <v>5</v>
      </c>
      <c r="BC2133" s="194" t="s">
        <v>1257</v>
      </c>
      <c r="BD2133" s="194" t="s">
        <v>632</v>
      </c>
      <c r="BE2133" s="194" t="s">
        <v>632</v>
      </c>
      <c r="BF2133" s="194" t="s">
        <v>1859</v>
      </c>
      <c r="BG2133" s="203" t="s">
        <v>10065</v>
      </c>
      <c r="BH2133" s="216">
        <f t="shared" ref="BH2133:BH2144" si="1788">AS2133</f>
        <v>52529.23</v>
      </c>
      <c r="BI2133" s="202"/>
      <c r="BJ2133" s="194" t="s">
        <v>5912</v>
      </c>
      <c r="BK2133" s="194" t="s">
        <v>5910</v>
      </c>
      <c r="BL2133" s="207" t="s">
        <v>5913</v>
      </c>
      <c r="BM2133" s="208">
        <f t="shared" ref="BM2133:BM2144" si="1789">BH2133</f>
        <v>52529.23</v>
      </c>
      <c r="BN2133" s="160"/>
      <c r="BO2133" s="161">
        <f t="shared" si="1776"/>
        <v>0</v>
      </c>
      <c r="BP2133" s="161"/>
    </row>
    <row r="2134" spans="1:68" ht="25.5">
      <c r="A2134" s="194" t="s">
        <v>5910</v>
      </c>
      <c r="B2134" s="195" t="s">
        <v>10066</v>
      </c>
      <c r="C2134" s="196" t="s">
        <v>10067</v>
      </c>
      <c r="D2134" s="146" t="s">
        <v>4692</v>
      </c>
      <c r="E2134" s="196" t="s">
        <v>10067</v>
      </c>
      <c r="F2134" s="150">
        <v>122590.28</v>
      </c>
      <c r="G2134" s="209">
        <v>0</v>
      </c>
      <c r="H2134" s="209">
        <v>2033256.47</v>
      </c>
      <c r="I2134" s="209">
        <v>2033256.47</v>
      </c>
      <c r="J2134" s="150">
        <v>0</v>
      </c>
      <c r="K2134" s="150">
        <v>124761.984</v>
      </c>
      <c r="L2134" s="150">
        <f t="shared" si="1786"/>
        <v>124761.984</v>
      </c>
      <c r="M2134" s="150">
        <v>71957.759999999995</v>
      </c>
      <c r="N2134" s="150"/>
      <c r="O2134" s="150">
        <v>71957.759999999995</v>
      </c>
      <c r="P2134" s="150">
        <v>71957.759999999995</v>
      </c>
      <c r="Q2134" s="150">
        <v>0</v>
      </c>
      <c r="R2134" s="150">
        <f t="shared" si="1771"/>
        <v>71957.759999999995</v>
      </c>
      <c r="S2134" s="150"/>
      <c r="T2134" s="150"/>
      <c r="U2134" s="150">
        <v>71957.759999999995</v>
      </c>
      <c r="V2134" s="199"/>
      <c r="W2134" s="150">
        <f t="shared" si="1772"/>
        <v>71957.759999999995</v>
      </c>
      <c r="X2134" s="150">
        <v>71957.759999999995</v>
      </c>
      <c r="Y2134" s="150"/>
      <c r="Z2134" s="150">
        <v>71957.759999999995</v>
      </c>
      <c r="AA2134" s="150">
        <f t="shared" si="1781"/>
        <v>0</v>
      </c>
      <c r="AB2134" s="150">
        <v>71957.759999999995</v>
      </c>
      <c r="AC2134" s="199"/>
      <c r="AD2134" s="150">
        <f t="shared" si="1773"/>
        <v>71957.759999999995</v>
      </c>
      <c r="AE2134" s="150">
        <v>71957.759999999995</v>
      </c>
      <c r="AF2134" s="169" t="s">
        <v>4680</v>
      </c>
      <c r="AG2134" s="201">
        <v>71957.759999999995</v>
      </c>
      <c r="AH2134" s="199"/>
      <c r="AI2134" s="150">
        <v>71957.759999999995</v>
      </c>
      <c r="AJ2134" s="169">
        <f t="shared" si="1782"/>
        <v>0</v>
      </c>
      <c r="AK2134" s="201">
        <v>71957.759999999995</v>
      </c>
      <c r="AL2134" s="199"/>
      <c r="AM2134" s="150">
        <f t="shared" si="1774"/>
        <v>71957.759999999995</v>
      </c>
      <c r="AN2134" s="153">
        <f t="shared" si="1783"/>
        <v>0</v>
      </c>
      <c r="AO2134" s="154">
        <f t="shared" si="1784"/>
        <v>0</v>
      </c>
      <c r="AP2134" s="150">
        <v>71957.759999999995</v>
      </c>
      <c r="AQ2134" s="201">
        <v>71957.759999999995</v>
      </c>
      <c r="AR2134" s="199"/>
      <c r="AS2134" s="150">
        <f t="shared" si="1775"/>
        <v>71957.759999999995</v>
      </c>
      <c r="AT2134" s="155"/>
      <c r="AU2134" s="156">
        <f t="shared" si="1779"/>
        <v>0</v>
      </c>
      <c r="AV2134" s="156">
        <f t="shared" si="1780"/>
        <v>0</v>
      </c>
      <c r="AW2134" s="157"/>
      <c r="AX2134" s="150">
        <v>71957.759999999995</v>
      </c>
      <c r="AY2134" s="150">
        <v>71957.759999999995</v>
      </c>
      <c r="AZ2134" s="150">
        <f t="shared" si="1787"/>
        <v>-71957.759999999995</v>
      </c>
      <c r="BA2134" s="150">
        <f t="shared" si="1750"/>
        <v>0</v>
      </c>
      <c r="BB2134" s="202">
        <v>5</v>
      </c>
      <c r="BC2134" s="194" t="s">
        <v>1257</v>
      </c>
      <c r="BD2134" s="194" t="s">
        <v>632</v>
      </c>
      <c r="BE2134" s="194" t="s">
        <v>632</v>
      </c>
      <c r="BF2134" s="194" t="s">
        <v>1863</v>
      </c>
      <c r="BG2134" s="203" t="s">
        <v>10068</v>
      </c>
      <c r="BH2134" s="216">
        <f t="shared" si="1788"/>
        <v>71957.759999999995</v>
      </c>
      <c r="BI2134" s="202"/>
      <c r="BJ2134" s="194" t="s">
        <v>5912</v>
      </c>
      <c r="BK2134" s="194" t="s">
        <v>5910</v>
      </c>
      <c r="BL2134" s="207" t="s">
        <v>5913</v>
      </c>
      <c r="BM2134" s="208">
        <f t="shared" si="1789"/>
        <v>71957.759999999995</v>
      </c>
      <c r="BN2134" s="160"/>
      <c r="BO2134" s="161">
        <f t="shared" si="1776"/>
        <v>0</v>
      </c>
      <c r="BP2134" s="161"/>
    </row>
    <row r="2135" spans="1:68" ht="25.5">
      <c r="A2135" s="194" t="s">
        <v>5910</v>
      </c>
      <c r="B2135" s="195" t="s">
        <v>10069</v>
      </c>
      <c r="C2135" s="196" t="s">
        <v>10070</v>
      </c>
      <c r="D2135" s="146" t="s">
        <v>4692</v>
      </c>
      <c r="E2135" s="196" t="s">
        <v>10071</v>
      </c>
      <c r="F2135" s="150">
        <v>2033256.47</v>
      </c>
      <c r="G2135" s="209">
        <v>0</v>
      </c>
      <c r="H2135" s="209">
        <v>44602.98</v>
      </c>
      <c r="I2135" s="209">
        <v>44602.98</v>
      </c>
      <c r="J2135" s="150">
        <v>0</v>
      </c>
      <c r="K2135" s="150">
        <v>2350721.2659999998</v>
      </c>
      <c r="L2135" s="150">
        <f t="shared" si="1786"/>
        <v>2350721.2659999998</v>
      </c>
      <c r="M2135" s="150">
        <v>1920276.81</v>
      </c>
      <c r="N2135" s="150"/>
      <c r="O2135" s="150">
        <v>1920276.81</v>
      </c>
      <c r="P2135" s="150">
        <v>1920276.81</v>
      </c>
      <c r="Q2135" s="150">
        <v>0</v>
      </c>
      <c r="R2135" s="150">
        <f t="shared" si="1771"/>
        <v>1920276.81</v>
      </c>
      <c r="S2135" s="150"/>
      <c r="T2135" s="150"/>
      <c r="U2135" s="150">
        <v>1920276.81</v>
      </c>
      <c r="V2135" s="199"/>
      <c r="W2135" s="150">
        <f t="shared" si="1772"/>
        <v>1920276.81</v>
      </c>
      <c r="X2135" s="150">
        <v>1920276.81</v>
      </c>
      <c r="Y2135" s="150"/>
      <c r="Z2135" s="150">
        <v>1920276.81</v>
      </c>
      <c r="AA2135" s="150">
        <f t="shared" si="1781"/>
        <v>0</v>
      </c>
      <c r="AB2135" s="150">
        <v>1920276.81</v>
      </c>
      <c r="AC2135" s="199"/>
      <c r="AD2135" s="150">
        <f t="shared" si="1773"/>
        <v>1920276.81</v>
      </c>
      <c r="AE2135" s="150">
        <v>1920276.81</v>
      </c>
      <c r="AF2135" s="169" t="s">
        <v>4680</v>
      </c>
      <c r="AG2135" s="201">
        <v>1920276.81</v>
      </c>
      <c r="AH2135" s="199"/>
      <c r="AI2135" s="150">
        <v>1920276.81</v>
      </c>
      <c r="AJ2135" s="169">
        <f t="shared" si="1782"/>
        <v>0</v>
      </c>
      <c r="AK2135" s="201">
        <v>1920276.81</v>
      </c>
      <c r="AL2135" s="199"/>
      <c r="AM2135" s="150">
        <f t="shared" si="1774"/>
        <v>1920276.81</v>
      </c>
      <c r="AN2135" s="153">
        <f t="shared" si="1783"/>
        <v>0</v>
      </c>
      <c r="AO2135" s="154">
        <f t="shared" si="1784"/>
        <v>0</v>
      </c>
      <c r="AP2135" s="150">
        <v>1920276.81</v>
      </c>
      <c r="AQ2135" s="201">
        <v>1920276.81</v>
      </c>
      <c r="AR2135" s="199"/>
      <c r="AS2135" s="150">
        <f t="shared" si="1775"/>
        <v>1920276.81</v>
      </c>
      <c r="AT2135" s="155"/>
      <c r="AU2135" s="156">
        <f t="shared" si="1779"/>
        <v>0</v>
      </c>
      <c r="AV2135" s="156">
        <f t="shared" si="1780"/>
        <v>0</v>
      </c>
      <c r="AW2135" s="157"/>
      <c r="AX2135" s="150">
        <v>1920276.81</v>
      </c>
      <c r="AY2135" s="150">
        <v>1920276.81</v>
      </c>
      <c r="AZ2135" s="150">
        <f t="shared" si="1787"/>
        <v>-1920276.81</v>
      </c>
      <c r="BA2135" s="150">
        <f t="shared" si="1750"/>
        <v>0</v>
      </c>
      <c r="BB2135" s="202">
        <v>5</v>
      </c>
      <c r="BC2135" s="194" t="s">
        <v>1257</v>
      </c>
      <c r="BD2135" s="194" t="s">
        <v>632</v>
      </c>
      <c r="BE2135" s="194" t="s">
        <v>632</v>
      </c>
      <c r="BF2135" s="194" t="s">
        <v>1867</v>
      </c>
      <c r="BG2135" s="203" t="s">
        <v>10072</v>
      </c>
      <c r="BH2135" s="216">
        <f t="shared" si="1788"/>
        <v>1920276.81</v>
      </c>
      <c r="BI2135" s="202"/>
      <c r="BJ2135" s="194" t="s">
        <v>5912</v>
      </c>
      <c r="BK2135" s="194" t="s">
        <v>5910</v>
      </c>
      <c r="BL2135" s="207" t="s">
        <v>5913</v>
      </c>
      <c r="BM2135" s="208">
        <f t="shared" si="1789"/>
        <v>1920276.81</v>
      </c>
      <c r="BN2135" s="160"/>
      <c r="BO2135" s="161">
        <f t="shared" si="1776"/>
        <v>0</v>
      </c>
      <c r="BP2135" s="161"/>
    </row>
    <row r="2136" spans="1:68" ht="38.25">
      <c r="A2136" s="194" t="s">
        <v>5910</v>
      </c>
      <c r="B2136" s="195" t="s">
        <v>10073</v>
      </c>
      <c r="C2136" s="196" t="s">
        <v>10074</v>
      </c>
      <c r="D2136" s="146" t="s">
        <v>4692</v>
      </c>
      <c r="E2136" s="196" t="s">
        <v>10075</v>
      </c>
      <c r="F2136" s="150">
        <v>44602.98</v>
      </c>
      <c r="G2136" s="209">
        <v>0</v>
      </c>
      <c r="H2136" s="209">
        <v>11303.75</v>
      </c>
      <c r="I2136" s="209">
        <v>11303.75</v>
      </c>
      <c r="J2136" s="150">
        <v>0</v>
      </c>
      <c r="K2136" s="150">
        <v>135003.182</v>
      </c>
      <c r="L2136" s="150">
        <f t="shared" si="1786"/>
        <v>135003.182</v>
      </c>
      <c r="M2136" s="150">
        <v>58476.42</v>
      </c>
      <c r="N2136" s="150"/>
      <c r="O2136" s="150">
        <v>58476.42</v>
      </c>
      <c r="P2136" s="150">
        <v>58476.42</v>
      </c>
      <c r="Q2136" s="150">
        <v>0</v>
      </c>
      <c r="R2136" s="150">
        <f t="shared" si="1771"/>
        <v>58476.42</v>
      </c>
      <c r="S2136" s="150"/>
      <c r="T2136" s="150"/>
      <c r="U2136" s="150">
        <v>58476.42</v>
      </c>
      <c r="V2136" s="199"/>
      <c r="W2136" s="150">
        <f t="shared" si="1772"/>
        <v>58476.42</v>
      </c>
      <c r="X2136" s="150">
        <v>58476.42</v>
      </c>
      <c r="Y2136" s="150"/>
      <c r="Z2136" s="150">
        <v>58476.42</v>
      </c>
      <c r="AA2136" s="150">
        <f t="shared" si="1781"/>
        <v>0</v>
      </c>
      <c r="AB2136" s="150">
        <v>58476.42</v>
      </c>
      <c r="AC2136" s="199"/>
      <c r="AD2136" s="150">
        <f t="shared" si="1773"/>
        <v>58476.42</v>
      </c>
      <c r="AE2136" s="150">
        <v>58476.42</v>
      </c>
      <c r="AF2136" s="169" t="s">
        <v>4680</v>
      </c>
      <c r="AG2136" s="201">
        <v>58476.42</v>
      </c>
      <c r="AH2136" s="199"/>
      <c r="AI2136" s="150">
        <v>58476.42</v>
      </c>
      <c r="AJ2136" s="169">
        <f t="shared" si="1782"/>
        <v>0</v>
      </c>
      <c r="AK2136" s="201">
        <v>58476.42</v>
      </c>
      <c r="AL2136" s="199"/>
      <c r="AM2136" s="150">
        <f t="shared" si="1774"/>
        <v>58476.42</v>
      </c>
      <c r="AN2136" s="153">
        <f t="shared" si="1783"/>
        <v>0</v>
      </c>
      <c r="AO2136" s="154">
        <f t="shared" si="1784"/>
        <v>0</v>
      </c>
      <c r="AP2136" s="150">
        <v>58476.42</v>
      </c>
      <c r="AQ2136" s="201">
        <v>58476.42</v>
      </c>
      <c r="AR2136" s="199"/>
      <c r="AS2136" s="150">
        <f t="shared" si="1775"/>
        <v>58476.42</v>
      </c>
      <c r="AT2136" s="155"/>
      <c r="AU2136" s="156">
        <f t="shared" si="1779"/>
        <v>0</v>
      </c>
      <c r="AV2136" s="156">
        <f t="shared" si="1780"/>
        <v>0</v>
      </c>
      <c r="AW2136" s="157"/>
      <c r="AX2136" s="150">
        <v>58476.42</v>
      </c>
      <c r="AY2136" s="150">
        <v>58476.42</v>
      </c>
      <c r="AZ2136" s="150">
        <f t="shared" si="1787"/>
        <v>-58476.42</v>
      </c>
      <c r="BA2136" s="150">
        <f t="shared" si="1750"/>
        <v>0</v>
      </c>
      <c r="BB2136" s="202">
        <v>5</v>
      </c>
      <c r="BC2136" s="194" t="s">
        <v>1257</v>
      </c>
      <c r="BD2136" s="194" t="s">
        <v>632</v>
      </c>
      <c r="BE2136" s="194" t="s">
        <v>632</v>
      </c>
      <c r="BF2136" s="194" t="s">
        <v>1871</v>
      </c>
      <c r="BG2136" s="203" t="s">
        <v>10076</v>
      </c>
      <c r="BH2136" s="216">
        <f t="shared" si="1788"/>
        <v>58476.42</v>
      </c>
      <c r="BI2136" s="202"/>
      <c r="BJ2136" s="194" t="s">
        <v>5912</v>
      </c>
      <c r="BK2136" s="194" t="s">
        <v>5910</v>
      </c>
      <c r="BL2136" s="207" t="s">
        <v>5913</v>
      </c>
      <c r="BM2136" s="208">
        <f t="shared" si="1789"/>
        <v>58476.42</v>
      </c>
      <c r="BN2136" s="160"/>
      <c r="BO2136" s="161">
        <f t="shared" si="1776"/>
        <v>0</v>
      </c>
      <c r="BP2136" s="161"/>
    </row>
    <row r="2137" spans="1:68" ht="25.5">
      <c r="A2137" s="194" t="s">
        <v>5944</v>
      </c>
      <c r="B2137" s="195" t="s">
        <v>10077</v>
      </c>
      <c r="C2137" s="196" t="s">
        <v>10078</v>
      </c>
      <c r="D2137" s="146" t="s">
        <v>4692</v>
      </c>
      <c r="E2137" s="196" t="s">
        <v>10078</v>
      </c>
      <c r="F2137" s="150">
        <v>11303.75</v>
      </c>
      <c r="G2137" s="209">
        <v>0</v>
      </c>
      <c r="H2137" s="209">
        <v>0</v>
      </c>
      <c r="I2137" s="209">
        <v>0</v>
      </c>
      <c r="J2137" s="150">
        <v>0</v>
      </c>
      <c r="K2137" s="150">
        <v>12158.891</v>
      </c>
      <c r="L2137" s="150">
        <f t="shared" si="1786"/>
        <v>12158.891</v>
      </c>
      <c r="M2137" s="150">
        <v>7881.64</v>
      </c>
      <c r="N2137" s="150"/>
      <c r="O2137" s="150">
        <v>7881.64</v>
      </c>
      <c r="P2137" s="150">
        <v>7881.64</v>
      </c>
      <c r="Q2137" s="150">
        <v>0</v>
      </c>
      <c r="R2137" s="150">
        <f t="shared" si="1771"/>
        <v>7881.64</v>
      </c>
      <c r="S2137" s="150"/>
      <c r="T2137" s="150"/>
      <c r="U2137" s="150">
        <v>7881.64</v>
      </c>
      <c r="V2137" s="199"/>
      <c r="W2137" s="150">
        <f t="shared" si="1772"/>
        <v>7881.64</v>
      </c>
      <c r="X2137" s="150">
        <v>7881.64</v>
      </c>
      <c r="Y2137" s="150"/>
      <c r="Z2137" s="150">
        <v>7881.64</v>
      </c>
      <c r="AA2137" s="150">
        <f t="shared" si="1781"/>
        <v>0</v>
      </c>
      <c r="AB2137" s="150">
        <v>7881.64</v>
      </c>
      <c r="AC2137" s="199"/>
      <c r="AD2137" s="150">
        <f t="shared" si="1773"/>
        <v>7881.64</v>
      </c>
      <c r="AE2137" s="150">
        <v>7881.64</v>
      </c>
      <c r="AF2137" s="169" t="s">
        <v>4680</v>
      </c>
      <c r="AG2137" s="201">
        <v>7881.64</v>
      </c>
      <c r="AH2137" s="199"/>
      <c r="AI2137" s="150">
        <v>7881.64</v>
      </c>
      <c r="AJ2137" s="169">
        <f t="shared" si="1782"/>
        <v>0</v>
      </c>
      <c r="AK2137" s="201">
        <v>7881.64</v>
      </c>
      <c r="AL2137" s="199"/>
      <c r="AM2137" s="150">
        <f t="shared" si="1774"/>
        <v>7881.64</v>
      </c>
      <c r="AN2137" s="153">
        <f t="shared" si="1783"/>
        <v>0</v>
      </c>
      <c r="AO2137" s="154">
        <f t="shared" si="1784"/>
        <v>0</v>
      </c>
      <c r="AP2137" s="150">
        <v>7881.64</v>
      </c>
      <c r="AQ2137" s="201">
        <v>7881.64</v>
      </c>
      <c r="AR2137" s="199"/>
      <c r="AS2137" s="150">
        <f t="shared" si="1775"/>
        <v>7881.64</v>
      </c>
      <c r="AT2137" s="155"/>
      <c r="AU2137" s="156">
        <f t="shared" si="1779"/>
        <v>0</v>
      </c>
      <c r="AV2137" s="156">
        <f t="shared" si="1780"/>
        <v>0</v>
      </c>
      <c r="AW2137" s="157"/>
      <c r="AX2137" s="150">
        <v>7881.64</v>
      </c>
      <c r="AY2137" s="150">
        <v>7881.64</v>
      </c>
      <c r="AZ2137" s="150">
        <f t="shared" si="1787"/>
        <v>-7881.64</v>
      </c>
      <c r="BA2137" s="150">
        <f t="shared" si="1750"/>
        <v>0</v>
      </c>
      <c r="BB2137" s="202">
        <v>5</v>
      </c>
      <c r="BC2137" s="194" t="s">
        <v>1257</v>
      </c>
      <c r="BD2137" s="194" t="s">
        <v>632</v>
      </c>
      <c r="BE2137" s="194" t="s">
        <v>632</v>
      </c>
      <c r="BF2137" s="194" t="s">
        <v>1875</v>
      </c>
      <c r="BG2137" s="203" t="s">
        <v>10079</v>
      </c>
      <c r="BH2137" s="216">
        <f t="shared" si="1788"/>
        <v>7881.64</v>
      </c>
      <c r="BI2137" s="202"/>
      <c r="BJ2137" s="194" t="s">
        <v>5946</v>
      </c>
      <c r="BK2137" s="194" t="s">
        <v>5944</v>
      </c>
      <c r="BL2137" s="207" t="s">
        <v>5947</v>
      </c>
      <c r="BM2137" s="208">
        <f t="shared" si="1789"/>
        <v>7881.64</v>
      </c>
      <c r="BN2137" s="160"/>
      <c r="BO2137" s="161">
        <f t="shared" si="1776"/>
        <v>0</v>
      </c>
      <c r="BP2137" s="161"/>
    </row>
    <row r="2138" spans="1:68" ht="25.5">
      <c r="A2138" s="194" t="s">
        <v>5948</v>
      </c>
      <c r="B2138" s="195" t="s">
        <v>10080</v>
      </c>
      <c r="C2138" s="196" t="s">
        <v>10081</v>
      </c>
      <c r="D2138" s="146" t="s">
        <v>4692</v>
      </c>
      <c r="E2138" s="196" t="s">
        <v>10081</v>
      </c>
      <c r="F2138" s="150">
        <v>0</v>
      </c>
      <c r="G2138" s="209">
        <v>0</v>
      </c>
      <c r="H2138" s="209">
        <v>0</v>
      </c>
      <c r="I2138" s="209">
        <v>0</v>
      </c>
      <c r="J2138" s="150">
        <v>0</v>
      </c>
      <c r="K2138" s="150">
        <v>0</v>
      </c>
      <c r="L2138" s="150">
        <f t="shared" si="1786"/>
        <v>0</v>
      </c>
      <c r="M2138" s="150">
        <v>0</v>
      </c>
      <c r="N2138" s="150"/>
      <c r="O2138" s="150">
        <v>0</v>
      </c>
      <c r="P2138" s="150">
        <v>0</v>
      </c>
      <c r="Q2138" s="150">
        <v>0</v>
      </c>
      <c r="R2138" s="150">
        <f t="shared" si="1771"/>
        <v>0</v>
      </c>
      <c r="S2138" s="150"/>
      <c r="T2138" s="150"/>
      <c r="U2138" s="150">
        <v>0</v>
      </c>
      <c r="V2138" s="199"/>
      <c r="W2138" s="150">
        <f t="shared" si="1772"/>
        <v>0</v>
      </c>
      <c r="X2138" s="150">
        <v>0</v>
      </c>
      <c r="Y2138" s="150"/>
      <c r="Z2138" s="150">
        <v>0</v>
      </c>
      <c r="AA2138" s="150">
        <f t="shared" si="1781"/>
        <v>0</v>
      </c>
      <c r="AB2138" s="150">
        <v>0</v>
      </c>
      <c r="AC2138" s="199"/>
      <c r="AD2138" s="150">
        <f t="shared" si="1773"/>
        <v>0</v>
      </c>
      <c r="AE2138" s="150">
        <v>0</v>
      </c>
      <c r="AF2138" s="169" t="s">
        <v>4680</v>
      </c>
      <c r="AG2138" s="201">
        <v>0</v>
      </c>
      <c r="AH2138" s="199"/>
      <c r="AI2138" s="150">
        <v>0</v>
      </c>
      <c r="AJ2138" s="169">
        <f t="shared" si="1782"/>
        <v>0</v>
      </c>
      <c r="AK2138" s="201">
        <v>0</v>
      </c>
      <c r="AL2138" s="199"/>
      <c r="AM2138" s="150">
        <f t="shared" si="1774"/>
        <v>0</v>
      </c>
      <c r="AN2138" s="153">
        <f t="shared" si="1783"/>
        <v>0</v>
      </c>
      <c r="AO2138" s="154">
        <f t="shared" si="1784"/>
        <v>0</v>
      </c>
      <c r="AP2138" s="150">
        <v>0</v>
      </c>
      <c r="AQ2138" s="201">
        <v>0</v>
      </c>
      <c r="AR2138" s="199"/>
      <c r="AS2138" s="150">
        <f t="shared" si="1775"/>
        <v>0</v>
      </c>
      <c r="AT2138" s="155"/>
      <c r="AU2138" s="156">
        <f t="shared" si="1779"/>
        <v>0</v>
      </c>
      <c r="AV2138" s="156">
        <f t="shared" si="1780"/>
        <v>0</v>
      </c>
      <c r="AW2138" s="157"/>
      <c r="AX2138" s="150">
        <v>0</v>
      </c>
      <c r="AY2138" s="150">
        <v>0</v>
      </c>
      <c r="AZ2138" s="150"/>
      <c r="BA2138" s="150">
        <f t="shared" si="1750"/>
        <v>0</v>
      </c>
      <c r="BB2138" s="202">
        <v>5</v>
      </c>
      <c r="BC2138" s="194" t="s">
        <v>1257</v>
      </c>
      <c r="BD2138" s="194" t="s">
        <v>632</v>
      </c>
      <c r="BE2138" s="194" t="s">
        <v>632</v>
      </c>
      <c r="BF2138" s="194" t="s">
        <v>1338</v>
      </c>
      <c r="BG2138" s="203" t="s">
        <v>10082</v>
      </c>
      <c r="BH2138" s="216">
        <f t="shared" si="1788"/>
        <v>0</v>
      </c>
      <c r="BI2138" s="202"/>
      <c r="BJ2138" s="194" t="s">
        <v>5950</v>
      </c>
      <c r="BK2138" s="194" t="s">
        <v>5948</v>
      </c>
      <c r="BL2138" s="207" t="s">
        <v>5951</v>
      </c>
      <c r="BM2138" s="208">
        <f t="shared" si="1789"/>
        <v>0</v>
      </c>
      <c r="BN2138" s="160"/>
      <c r="BO2138" s="161">
        <f t="shared" si="1776"/>
        <v>0</v>
      </c>
      <c r="BP2138" s="161"/>
    </row>
    <row r="2139" spans="1:68" ht="25.5">
      <c r="A2139" s="202"/>
      <c r="B2139" s="195" t="s">
        <v>10083</v>
      </c>
      <c r="C2139" s="196" t="s">
        <v>10084</v>
      </c>
      <c r="D2139" s="146" t="s">
        <v>4692</v>
      </c>
      <c r="E2139" s="196" t="s">
        <v>10084</v>
      </c>
      <c r="F2139" s="150">
        <v>0</v>
      </c>
      <c r="G2139" s="209">
        <v>0</v>
      </c>
      <c r="H2139" s="209">
        <v>0</v>
      </c>
      <c r="I2139" s="209">
        <v>0</v>
      </c>
      <c r="J2139" s="150">
        <v>0</v>
      </c>
      <c r="K2139" s="150">
        <v>0</v>
      </c>
      <c r="L2139" s="150">
        <f t="shared" si="1786"/>
        <v>0</v>
      </c>
      <c r="M2139" s="150">
        <v>0</v>
      </c>
      <c r="N2139" s="150"/>
      <c r="O2139" s="150">
        <v>0</v>
      </c>
      <c r="P2139" s="150">
        <v>0</v>
      </c>
      <c r="Q2139" s="150">
        <v>0</v>
      </c>
      <c r="R2139" s="150">
        <f t="shared" si="1771"/>
        <v>0</v>
      </c>
      <c r="S2139" s="150"/>
      <c r="T2139" s="150"/>
      <c r="U2139" s="150">
        <v>0</v>
      </c>
      <c r="V2139" s="199"/>
      <c r="W2139" s="150">
        <f t="shared" si="1772"/>
        <v>0</v>
      </c>
      <c r="X2139" s="150">
        <v>0</v>
      </c>
      <c r="Y2139" s="150"/>
      <c r="Z2139" s="150">
        <v>0</v>
      </c>
      <c r="AA2139" s="150">
        <f t="shared" si="1781"/>
        <v>0</v>
      </c>
      <c r="AB2139" s="150">
        <v>0</v>
      </c>
      <c r="AC2139" s="199"/>
      <c r="AD2139" s="150">
        <f t="shared" si="1773"/>
        <v>0</v>
      </c>
      <c r="AE2139" s="150">
        <v>0</v>
      </c>
      <c r="AF2139" s="169" t="s">
        <v>4680</v>
      </c>
      <c r="AG2139" s="201">
        <v>0</v>
      </c>
      <c r="AH2139" s="199"/>
      <c r="AI2139" s="150">
        <v>0</v>
      </c>
      <c r="AJ2139" s="169">
        <f t="shared" si="1782"/>
        <v>0</v>
      </c>
      <c r="AK2139" s="201">
        <v>0</v>
      </c>
      <c r="AL2139" s="199"/>
      <c r="AM2139" s="150">
        <f t="shared" si="1774"/>
        <v>0</v>
      </c>
      <c r="AN2139" s="153">
        <f t="shared" si="1783"/>
        <v>0</v>
      </c>
      <c r="AO2139" s="154">
        <f t="shared" si="1784"/>
        <v>0</v>
      </c>
      <c r="AP2139" s="150">
        <v>0</v>
      </c>
      <c r="AQ2139" s="201">
        <v>0</v>
      </c>
      <c r="AR2139" s="199"/>
      <c r="AS2139" s="150">
        <f t="shared" si="1775"/>
        <v>0</v>
      </c>
      <c r="AT2139" s="155"/>
      <c r="AU2139" s="156">
        <f t="shared" si="1779"/>
        <v>0</v>
      </c>
      <c r="AV2139" s="156">
        <f t="shared" si="1780"/>
        <v>0</v>
      </c>
      <c r="AW2139" s="157"/>
      <c r="AX2139" s="150">
        <v>0</v>
      </c>
      <c r="AY2139" s="150">
        <v>0</v>
      </c>
      <c r="AZ2139" s="150"/>
      <c r="BA2139" s="150">
        <f t="shared" si="1750"/>
        <v>0</v>
      </c>
      <c r="BB2139" s="202">
        <v>5</v>
      </c>
      <c r="BC2139" s="194" t="s">
        <v>1257</v>
      </c>
      <c r="BD2139" s="194" t="s">
        <v>632</v>
      </c>
      <c r="BE2139" s="194" t="s">
        <v>632</v>
      </c>
      <c r="BF2139" s="194" t="s">
        <v>1916</v>
      </c>
      <c r="BG2139" s="203" t="s">
        <v>10084</v>
      </c>
      <c r="BH2139" s="216">
        <f t="shared" si="1788"/>
        <v>0</v>
      </c>
      <c r="BI2139" s="202"/>
      <c r="BJ2139" s="202"/>
      <c r="BK2139" s="202"/>
      <c r="BL2139" s="203"/>
      <c r="BM2139" s="208">
        <f t="shared" si="1789"/>
        <v>0</v>
      </c>
      <c r="BN2139" s="160"/>
      <c r="BO2139" s="161">
        <f t="shared" si="1776"/>
        <v>0</v>
      </c>
      <c r="BP2139" s="161"/>
    </row>
    <row r="2140" spans="1:68" ht="25.5">
      <c r="A2140" s="194" t="s">
        <v>5948</v>
      </c>
      <c r="B2140" s="195" t="s">
        <v>10085</v>
      </c>
      <c r="C2140" s="196" t="s">
        <v>10086</v>
      </c>
      <c r="D2140" s="146" t="s">
        <v>4692</v>
      </c>
      <c r="E2140" s="196" t="s">
        <v>10086</v>
      </c>
      <c r="F2140" s="150">
        <v>0</v>
      </c>
      <c r="G2140" s="209">
        <v>0</v>
      </c>
      <c r="H2140" s="209">
        <v>0</v>
      </c>
      <c r="I2140" s="209">
        <v>0</v>
      </c>
      <c r="J2140" s="150">
        <v>0</v>
      </c>
      <c r="K2140" s="150">
        <v>0</v>
      </c>
      <c r="L2140" s="150">
        <f t="shared" si="1786"/>
        <v>0</v>
      </c>
      <c r="M2140" s="150">
        <v>0</v>
      </c>
      <c r="N2140" s="150"/>
      <c r="O2140" s="150">
        <v>0</v>
      </c>
      <c r="P2140" s="150">
        <v>0</v>
      </c>
      <c r="Q2140" s="150">
        <v>0</v>
      </c>
      <c r="R2140" s="150">
        <f t="shared" si="1771"/>
        <v>0</v>
      </c>
      <c r="S2140" s="150"/>
      <c r="T2140" s="150"/>
      <c r="U2140" s="150">
        <v>0</v>
      </c>
      <c r="V2140" s="199"/>
      <c r="W2140" s="150">
        <f t="shared" si="1772"/>
        <v>0</v>
      </c>
      <c r="X2140" s="150">
        <v>0</v>
      </c>
      <c r="Y2140" s="150"/>
      <c r="Z2140" s="150">
        <v>0</v>
      </c>
      <c r="AA2140" s="150">
        <f t="shared" si="1781"/>
        <v>0</v>
      </c>
      <c r="AB2140" s="150">
        <v>0</v>
      </c>
      <c r="AC2140" s="199"/>
      <c r="AD2140" s="150">
        <f t="shared" si="1773"/>
        <v>0</v>
      </c>
      <c r="AE2140" s="150">
        <v>0</v>
      </c>
      <c r="AF2140" s="169" t="s">
        <v>4680</v>
      </c>
      <c r="AG2140" s="201">
        <v>0</v>
      </c>
      <c r="AH2140" s="199"/>
      <c r="AI2140" s="150">
        <v>0</v>
      </c>
      <c r="AJ2140" s="169">
        <f t="shared" si="1782"/>
        <v>0</v>
      </c>
      <c r="AK2140" s="201">
        <v>0</v>
      </c>
      <c r="AL2140" s="199"/>
      <c r="AM2140" s="150">
        <f t="shared" si="1774"/>
        <v>0</v>
      </c>
      <c r="AN2140" s="153">
        <f t="shared" si="1783"/>
        <v>0</v>
      </c>
      <c r="AO2140" s="154">
        <f t="shared" si="1784"/>
        <v>0</v>
      </c>
      <c r="AP2140" s="150">
        <v>0</v>
      </c>
      <c r="AQ2140" s="201">
        <v>0</v>
      </c>
      <c r="AR2140" s="199"/>
      <c r="AS2140" s="150">
        <f t="shared" si="1775"/>
        <v>0</v>
      </c>
      <c r="AT2140" s="155"/>
      <c r="AU2140" s="156">
        <f t="shared" si="1779"/>
        <v>0</v>
      </c>
      <c r="AV2140" s="156">
        <f t="shared" si="1780"/>
        <v>0</v>
      </c>
      <c r="AW2140" s="157"/>
      <c r="AX2140" s="150">
        <v>0</v>
      </c>
      <c r="AY2140" s="150">
        <v>0</v>
      </c>
      <c r="AZ2140" s="150"/>
      <c r="BA2140" s="150">
        <f t="shared" si="1750"/>
        <v>0</v>
      </c>
      <c r="BB2140" s="202">
        <v>5</v>
      </c>
      <c r="BC2140" s="194" t="s">
        <v>1257</v>
      </c>
      <c r="BD2140" s="194" t="s">
        <v>632</v>
      </c>
      <c r="BE2140" s="194" t="s">
        <v>632</v>
      </c>
      <c r="BF2140" s="194" t="s">
        <v>1372</v>
      </c>
      <c r="BG2140" s="203" t="s">
        <v>10087</v>
      </c>
      <c r="BH2140" s="216">
        <f t="shared" si="1788"/>
        <v>0</v>
      </c>
      <c r="BI2140" s="202"/>
      <c r="BJ2140" s="194" t="s">
        <v>5950</v>
      </c>
      <c r="BK2140" s="194" t="s">
        <v>5948</v>
      </c>
      <c r="BL2140" s="207" t="s">
        <v>5951</v>
      </c>
      <c r="BM2140" s="208">
        <f t="shared" si="1789"/>
        <v>0</v>
      </c>
      <c r="BN2140" s="160"/>
      <c r="BO2140" s="161">
        <f t="shared" si="1776"/>
        <v>0</v>
      </c>
      <c r="BP2140" s="161"/>
    </row>
    <row r="2141" spans="1:68" ht="25.5">
      <c r="A2141" s="194" t="s">
        <v>5954</v>
      </c>
      <c r="B2141" s="195" t="s">
        <v>10088</v>
      </c>
      <c r="C2141" s="196" t="s">
        <v>10089</v>
      </c>
      <c r="D2141" s="146" t="s">
        <v>4692</v>
      </c>
      <c r="E2141" s="196" t="s">
        <v>10089</v>
      </c>
      <c r="F2141" s="150">
        <v>0</v>
      </c>
      <c r="G2141" s="209">
        <v>0</v>
      </c>
      <c r="H2141" s="209">
        <v>0</v>
      </c>
      <c r="I2141" s="209">
        <v>0</v>
      </c>
      <c r="J2141" s="150">
        <v>0</v>
      </c>
      <c r="K2141" s="150">
        <v>0</v>
      </c>
      <c r="L2141" s="150">
        <f t="shared" si="1786"/>
        <v>0</v>
      </c>
      <c r="M2141" s="150">
        <v>0</v>
      </c>
      <c r="N2141" s="150"/>
      <c r="O2141" s="150">
        <v>0</v>
      </c>
      <c r="P2141" s="150">
        <v>0</v>
      </c>
      <c r="Q2141" s="150">
        <v>0</v>
      </c>
      <c r="R2141" s="150">
        <f t="shared" si="1771"/>
        <v>0</v>
      </c>
      <c r="S2141" s="150"/>
      <c r="T2141" s="150"/>
      <c r="U2141" s="150">
        <v>0</v>
      </c>
      <c r="V2141" s="199"/>
      <c r="W2141" s="150">
        <f t="shared" si="1772"/>
        <v>0</v>
      </c>
      <c r="X2141" s="150">
        <v>0</v>
      </c>
      <c r="Y2141" s="150"/>
      <c r="Z2141" s="150">
        <v>0</v>
      </c>
      <c r="AA2141" s="150">
        <f t="shared" si="1781"/>
        <v>0</v>
      </c>
      <c r="AB2141" s="150">
        <v>0</v>
      </c>
      <c r="AC2141" s="199"/>
      <c r="AD2141" s="150">
        <f t="shared" si="1773"/>
        <v>0</v>
      </c>
      <c r="AE2141" s="150">
        <v>0</v>
      </c>
      <c r="AF2141" s="169" t="s">
        <v>4680</v>
      </c>
      <c r="AG2141" s="201">
        <v>0</v>
      </c>
      <c r="AH2141" s="199"/>
      <c r="AI2141" s="150">
        <v>0</v>
      </c>
      <c r="AJ2141" s="169">
        <f t="shared" si="1782"/>
        <v>0</v>
      </c>
      <c r="AK2141" s="201">
        <v>0</v>
      </c>
      <c r="AL2141" s="199"/>
      <c r="AM2141" s="150">
        <f t="shared" si="1774"/>
        <v>0</v>
      </c>
      <c r="AN2141" s="153">
        <f t="shared" si="1783"/>
        <v>0</v>
      </c>
      <c r="AO2141" s="154">
        <f t="shared" si="1784"/>
        <v>0</v>
      </c>
      <c r="AP2141" s="150">
        <v>0</v>
      </c>
      <c r="AQ2141" s="201">
        <v>0</v>
      </c>
      <c r="AR2141" s="199"/>
      <c r="AS2141" s="150">
        <f t="shared" si="1775"/>
        <v>0</v>
      </c>
      <c r="AT2141" s="155"/>
      <c r="AU2141" s="156">
        <f t="shared" si="1779"/>
        <v>0</v>
      </c>
      <c r="AV2141" s="156">
        <f t="shared" si="1780"/>
        <v>0</v>
      </c>
      <c r="AW2141" s="157"/>
      <c r="AX2141" s="150">
        <v>0</v>
      </c>
      <c r="AY2141" s="150">
        <v>0</v>
      </c>
      <c r="AZ2141" s="150"/>
      <c r="BA2141" s="150">
        <f t="shared" si="1750"/>
        <v>0</v>
      </c>
      <c r="BB2141" s="202">
        <v>5</v>
      </c>
      <c r="BC2141" s="194" t="s">
        <v>1257</v>
      </c>
      <c r="BD2141" s="194" t="s">
        <v>632</v>
      </c>
      <c r="BE2141" s="194" t="s">
        <v>632</v>
      </c>
      <c r="BF2141" s="194" t="s">
        <v>1765</v>
      </c>
      <c r="BG2141" s="203" t="s">
        <v>10090</v>
      </c>
      <c r="BH2141" s="216">
        <f t="shared" si="1788"/>
        <v>0</v>
      </c>
      <c r="BI2141" s="202"/>
      <c r="BJ2141" s="194" t="s">
        <v>5956</v>
      </c>
      <c r="BK2141" s="194" t="s">
        <v>5954</v>
      </c>
      <c r="BL2141" s="207" t="s">
        <v>5957</v>
      </c>
      <c r="BM2141" s="208">
        <f t="shared" si="1789"/>
        <v>0</v>
      </c>
      <c r="BN2141" s="160"/>
      <c r="BO2141" s="161">
        <f t="shared" si="1776"/>
        <v>0</v>
      </c>
      <c r="BP2141" s="161"/>
    </row>
    <row r="2142" spans="1:68" ht="25.5">
      <c r="A2142" s="194" t="s">
        <v>5958</v>
      </c>
      <c r="B2142" s="195" t="s">
        <v>10091</v>
      </c>
      <c r="C2142" s="196" t="s">
        <v>10092</v>
      </c>
      <c r="D2142" s="146" t="s">
        <v>4692</v>
      </c>
      <c r="E2142" s="196" t="s">
        <v>10092</v>
      </c>
      <c r="F2142" s="150">
        <v>0</v>
      </c>
      <c r="G2142" s="209">
        <v>0</v>
      </c>
      <c r="H2142" s="209">
        <v>0</v>
      </c>
      <c r="I2142" s="209">
        <v>0</v>
      </c>
      <c r="J2142" s="150">
        <v>0</v>
      </c>
      <c r="K2142" s="150">
        <v>0</v>
      </c>
      <c r="L2142" s="150">
        <f t="shared" si="1786"/>
        <v>0</v>
      </c>
      <c r="M2142" s="150">
        <v>0</v>
      </c>
      <c r="N2142" s="150"/>
      <c r="O2142" s="150">
        <v>0</v>
      </c>
      <c r="P2142" s="150">
        <v>0</v>
      </c>
      <c r="Q2142" s="150">
        <v>0</v>
      </c>
      <c r="R2142" s="150">
        <f t="shared" si="1771"/>
        <v>0</v>
      </c>
      <c r="S2142" s="150"/>
      <c r="T2142" s="150"/>
      <c r="U2142" s="150">
        <v>0</v>
      </c>
      <c r="V2142" s="199"/>
      <c r="W2142" s="150">
        <f t="shared" si="1772"/>
        <v>0</v>
      </c>
      <c r="X2142" s="150">
        <v>0</v>
      </c>
      <c r="Y2142" s="150"/>
      <c r="Z2142" s="150">
        <v>0</v>
      </c>
      <c r="AA2142" s="150">
        <f t="shared" si="1781"/>
        <v>0</v>
      </c>
      <c r="AB2142" s="150">
        <v>0</v>
      </c>
      <c r="AC2142" s="199"/>
      <c r="AD2142" s="150">
        <f t="shared" si="1773"/>
        <v>0</v>
      </c>
      <c r="AE2142" s="150">
        <v>0</v>
      </c>
      <c r="AF2142" s="169" t="s">
        <v>4680</v>
      </c>
      <c r="AG2142" s="201">
        <v>0</v>
      </c>
      <c r="AH2142" s="199"/>
      <c r="AI2142" s="150">
        <v>0</v>
      </c>
      <c r="AJ2142" s="169">
        <f t="shared" si="1782"/>
        <v>0</v>
      </c>
      <c r="AK2142" s="201">
        <v>0</v>
      </c>
      <c r="AL2142" s="199"/>
      <c r="AM2142" s="150">
        <f t="shared" si="1774"/>
        <v>0</v>
      </c>
      <c r="AN2142" s="153">
        <f t="shared" si="1783"/>
        <v>0</v>
      </c>
      <c r="AO2142" s="154">
        <f t="shared" si="1784"/>
        <v>0</v>
      </c>
      <c r="AP2142" s="150">
        <v>0</v>
      </c>
      <c r="AQ2142" s="201">
        <v>0</v>
      </c>
      <c r="AR2142" s="199"/>
      <c r="AS2142" s="150">
        <f t="shared" si="1775"/>
        <v>0</v>
      </c>
      <c r="AT2142" s="155"/>
      <c r="AU2142" s="156">
        <f t="shared" si="1779"/>
        <v>0</v>
      </c>
      <c r="AV2142" s="156">
        <f t="shared" si="1780"/>
        <v>0</v>
      </c>
      <c r="AW2142" s="157"/>
      <c r="AX2142" s="150">
        <v>0</v>
      </c>
      <c r="AY2142" s="150">
        <v>0</v>
      </c>
      <c r="AZ2142" s="150"/>
      <c r="BA2142" s="150">
        <f t="shared" si="1750"/>
        <v>0</v>
      </c>
      <c r="BB2142" s="202">
        <v>5</v>
      </c>
      <c r="BC2142" s="194" t="s">
        <v>1257</v>
      </c>
      <c r="BD2142" s="194" t="s">
        <v>632</v>
      </c>
      <c r="BE2142" s="194" t="s">
        <v>632</v>
      </c>
      <c r="BF2142" s="194" t="s">
        <v>1770</v>
      </c>
      <c r="BG2142" s="203" t="s">
        <v>10093</v>
      </c>
      <c r="BH2142" s="216">
        <f t="shared" si="1788"/>
        <v>0</v>
      </c>
      <c r="BI2142" s="202"/>
      <c r="BJ2142" s="194" t="s">
        <v>5960</v>
      </c>
      <c r="BK2142" s="194" t="s">
        <v>5958</v>
      </c>
      <c r="BL2142" s="207" t="s">
        <v>5961</v>
      </c>
      <c r="BM2142" s="208">
        <f t="shared" si="1789"/>
        <v>0</v>
      </c>
      <c r="BN2142" s="160"/>
      <c r="BO2142" s="161">
        <f t="shared" si="1776"/>
        <v>0</v>
      </c>
      <c r="BP2142" s="161"/>
    </row>
    <row r="2143" spans="1:68" ht="51">
      <c r="A2143" s="194" t="s">
        <v>5958</v>
      </c>
      <c r="B2143" s="195" t="s">
        <v>10094</v>
      </c>
      <c r="C2143" s="196" t="s">
        <v>10095</v>
      </c>
      <c r="D2143" s="146" t="s">
        <v>4692</v>
      </c>
      <c r="E2143" s="196" t="s">
        <v>10095</v>
      </c>
      <c r="F2143" s="150">
        <v>0</v>
      </c>
      <c r="G2143" s="209">
        <v>0</v>
      </c>
      <c r="H2143" s="209">
        <v>606679.49</v>
      </c>
      <c r="I2143" s="209">
        <v>606679.49</v>
      </c>
      <c r="J2143" s="150">
        <v>0</v>
      </c>
      <c r="K2143" s="150">
        <v>0</v>
      </c>
      <c r="L2143" s="150">
        <f t="shared" si="1786"/>
        <v>0</v>
      </c>
      <c r="M2143" s="150">
        <v>0</v>
      </c>
      <c r="N2143" s="150"/>
      <c r="O2143" s="150">
        <v>0</v>
      </c>
      <c r="P2143" s="150">
        <v>0</v>
      </c>
      <c r="Q2143" s="150">
        <v>0</v>
      </c>
      <c r="R2143" s="150">
        <f t="shared" si="1771"/>
        <v>0</v>
      </c>
      <c r="S2143" s="150"/>
      <c r="T2143" s="150"/>
      <c r="U2143" s="150">
        <v>0</v>
      </c>
      <c r="V2143" s="199"/>
      <c r="W2143" s="150">
        <f t="shared" si="1772"/>
        <v>0</v>
      </c>
      <c r="X2143" s="150">
        <v>0</v>
      </c>
      <c r="Y2143" s="150"/>
      <c r="Z2143" s="150">
        <v>0</v>
      </c>
      <c r="AA2143" s="150">
        <f t="shared" si="1781"/>
        <v>0</v>
      </c>
      <c r="AB2143" s="150">
        <v>0</v>
      </c>
      <c r="AC2143" s="199"/>
      <c r="AD2143" s="150">
        <f t="shared" si="1773"/>
        <v>0</v>
      </c>
      <c r="AE2143" s="150">
        <v>0</v>
      </c>
      <c r="AF2143" s="169" t="s">
        <v>4680</v>
      </c>
      <c r="AG2143" s="201">
        <v>0</v>
      </c>
      <c r="AH2143" s="199"/>
      <c r="AI2143" s="150">
        <v>0</v>
      </c>
      <c r="AJ2143" s="169">
        <f t="shared" si="1782"/>
        <v>0</v>
      </c>
      <c r="AK2143" s="201">
        <v>0</v>
      </c>
      <c r="AL2143" s="199"/>
      <c r="AM2143" s="150">
        <f t="shared" si="1774"/>
        <v>0</v>
      </c>
      <c r="AN2143" s="153">
        <f t="shared" si="1783"/>
        <v>0</v>
      </c>
      <c r="AO2143" s="154">
        <f t="shared" si="1784"/>
        <v>0</v>
      </c>
      <c r="AP2143" s="150">
        <v>0</v>
      </c>
      <c r="AQ2143" s="201">
        <v>0</v>
      </c>
      <c r="AR2143" s="199"/>
      <c r="AS2143" s="150">
        <f t="shared" si="1775"/>
        <v>0</v>
      </c>
      <c r="AT2143" s="155"/>
      <c r="AU2143" s="156">
        <f t="shared" si="1779"/>
        <v>0</v>
      </c>
      <c r="AV2143" s="156">
        <f t="shared" si="1780"/>
        <v>0</v>
      </c>
      <c r="AW2143" s="157"/>
      <c r="AX2143" s="150">
        <v>0</v>
      </c>
      <c r="AY2143" s="150">
        <v>0</v>
      </c>
      <c r="AZ2143" s="150"/>
      <c r="BA2143" s="150">
        <f t="shared" si="1750"/>
        <v>0</v>
      </c>
      <c r="BB2143" s="202">
        <v>5</v>
      </c>
      <c r="BC2143" s="194" t="s">
        <v>1257</v>
      </c>
      <c r="BD2143" s="194" t="s">
        <v>632</v>
      </c>
      <c r="BE2143" s="194" t="s">
        <v>632</v>
      </c>
      <c r="BF2143" s="194" t="s">
        <v>1892</v>
      </c>
      <c r="BG2143" s="203" t="s">
        <v>10096</v>
      </c>
      <c r="BH2143" s="216">
        <f t="shared" si="1788"/>
        <v>0</v>
      </c>
      <c r="BI2143" s="202"/>
      <c r="BJ2143" s="194" t="s">
        <v>5960</v>
      </c>
      <c r="BK2143" s="194" t="s">
        <v>5958</v>
      </c>
      <c r="BL2143" s="207" t="s">
        <v>5961</v>
      </c>
      <c r="BM2143" s="208">
        <f t="shared" si="1789"/>
        <v>0</v>
      </c>
      <c r="BN2143" s="160"/>
      <c r="BO2143" s="161">
        <f t="shared" si="1776"/>
        <v>0</v>
      </c>
      <c r="BP2143" s="161"/>
    </row>
    <row r="2144" spans="1:68" ht="25.5">
      <c r="A2144" s="194" t="s">
        <v>5963</v>
      </c>
      <c r="B2144" s="195" t="s">
        <v>10097</v>
      </c>
      <c r="C2144" s="196" t="s">
        <v>10098</v>
      </c>
      <c r="D2144" s="146" t="s">
        <v>4692</v>
      </c>
      <c r="E2144" s="196" t="s">
        <v>10098</v>
      </c>
      <c r="F2144" s="150">
        <v>606679.49</v>
      </c>
      <c r="G2144" s="209">
        <v>0</v>
      </c>
      <c r="H2144" s="209">
        <v>43768.19</v>
      </c>
      <c r="I2144" s="209">
        <v>43768.19</v>
      </c>
      <c r="J2144" s="150">
        <v>0</v>
      </c>
      <c r="K2144" s="150">
        <v>670138.98200000008</v>
      </c>
      <c r="L2144" s="150">
        <f t="shared" si="1786"/>
        <v>670138.98200000008</v>
      </c>
      <c r="M2144" s="150">
        <v>606688.30000000005</v>
      </c>
      <c r="N2144" s="150"/>
      <c r="O2144" s="150">
        <v>606688.30000000005</v>
      </c>
      <c r="P2144" s="150">
        <v>667547.92000000004</v>
      </c>
      <c r="Q2144" s="150">
        <v>0</v>
      </c>
      <c r="R2144" s="150">
        <f t="shared" si="1771"/>
        <v>667547.92000000004</v>
      </c>
      <c r="S2144" s="150"/>
      <c r="T2144" s="150"/>
      <c r="U2144" s="150">
        <v>667547.92000000004</v>
      </c>
      <c r="V2144" s="199"/>
      <c r="W2144" s="150">
        <f t="shared" si="1772"/>
        <v>667547.92000000004</v>
      </c>
      <c r="X2144" s="150">
        <v>667547.92000000004</v>
      </c>
      <c r="Y2144" s="150"/>
      <c r="Z2144" s="150">
        <v>667547.92000000004</v>
      </c>
      <c r="AA2144" s="150">
        <f t="shared" si="1781"/>
        <v>0</v>
      </c>
      <c r="AB2144" s="150">
        <v>667547.92000000004</v>
      </c>
      <c r="AC2144" s="199"/>
      <c r="AD2144" s="150">
        <f t="shared" si="1773"/>
        <v>667547.92000000004</v>
      </c>
      <c r="AE2144" s="150">
        <v>667547.92000000004</v>
      </c>
      <c r="AF2144" s="169" t="s">
        <v>4680</v>
      </c>
      <c r="AG2144" s="201">
        <v>667547.92000000004</v>
      </c>
      <c r="AH2144" s="199"/>
      <c r="AI2144" s="150">
        <v>667547.92000000004</v>
      </c>
      <c r="AJ2144" s="169">
        <f t="shared" si="1782"/>
        <v>0</v>
      </c>
      <c r="AK2144" s="201">
        <v>667547.92000000004</v>
      </c>
      <c r="AL2144" s="199"/>
      <c r="AM2144" s="150">
        <f t="shared" si="1774"/>
        <v>667547.92000000004</v>
      </c>
      <c r="AN2144" s="153">
        <f t="shared" si="1783"/>
        <v>0</v>
      </c>
      <c r="AO2144" s="154">
        <f t="shared" si="1784"/>
        <v>0</v>
      </c>
      <c r="AP2144" s="150">
        <v>667547.92000000004</v>
      </c>
      <c r="AQ2144" s="201">
        <v>667547.92000000004</v>
      </c>
      <c r="AR2144" s="199"/>
      <c r="AS2144" s="150">
        <f t="shared" si="1775"/>
        <v>667547.92000000004</v>
      </c>
      <c r="AT2144" s="155"/>
      <c r="AU2144" s="156">
        <f t="shared" si="1779"/>
        <v>0</v>
      </c>
      <c r="AV2144" s="156">
        <f t="shared" si="1780"/>
        <v>0</v>
      </c>
      <c r="AW2144" s="157"/>
      <c r="AX2144" s="150">
        <v>667547.92000000004</v>
      </c>
      <c r="AY2144" s="150">
        <v>667547.92000000004</v>
      </c>
      <c r="AZ2144" s="150">
        <f>-AY2144</f>
        <v>-667547.92000000004</v>
      </c>
      <c r="BA2144" s="150">
        <f t="shared" si="1750"/>
        <v>0</v>
      </c>
      <c r="BB2144" s="202">
        <v>5</v>
      </c>
      <c r="BC2144" s="194" t="s">
        <v>1257</v>
      </c>
      <c r="BD2144" s="194" t="s">
        <v>632</v>
      </c>
      <c r="BE2144" s="194" t="s">
        <v>632</v>
      </c>
      <c r="BF2144" s="194" t="s">
        <v>1124</v>
      </c>
      <c r="BG2144" s="203" t="s">
        <v>10098</v>
      </c>
      <c r="BH2144" s="216">
        <f t="shared" si="1788"/>
        <v>667547.92000000004</v>
      </c>
      <c r="BI2144" s="202"/>
      <c r="BJ2144" s="194" t="s">
        <v>5967</v>
      </c>
      <c r="BK2144" s="194" t="s">
        <v>5963</v>
      </c>
      <c r="BL2144" s="207" t="s">
        <v>5968</v>
      </c>
      <c r="BM2144" s="208">
        <f t="shared" si="1789"/>
        <v>667547.92000000004</v>
      </c>
      <c r="BN2144" s="160"/>
      <c r="BO2144" s="161">
        <f t="shared" si="1776"/>
        <v>0</v>
      </c>
      <c r="BP2144" s="161"/>
    </row>
    <row r="2145" spans="1:68" ht="25.5">
      <c r="A2145" s="173" t="s">
        <v>5970</v>
      </c>
      <c r="B2145" s="174"/>
      <c r="C2145" s="175" t="s">
        <v>10099</v>
      </c>
      <c r="D2145" s="146" t="s">
        <v>4692</v>
      </c>
      <c r="E2145" s="175" t="s">
        <v>10099</v>
      </c>
      <c r="F2145" s="176">
        <v>43768.19</v>
      </c>
      <c r="G2145" s="177">
        <v>0</v>
      </c>
      <c r="H2145" s="177">
        <v>43768.19</v>
      </c>
      <c r="I2145" s="177">
        <v>43768.19</v>
      </c>
      <c r="J2145" s="176">
        <f>J2146</f>
        <v>0</v>
      </c>
      <c r="K2145" s="176">
        <f>K2146</f>
        <v>46996.228999999999</v>
      </c>
      <c r="L2145" s="176">
        <f t="shared" si="1786"/>
        <v>46996.228999999999</v>
      </c>
      <c r="M2145" s="176">
        <v>28606.569999999996</v>
      </c>
      <c r="N2145" s="176">
        <v>0</v>
      </c>
      <c r="O2145" s="178">
        <v>28606.569999999996</v>
      </c>
      <c r="P2145" s="221">
        <f t="shared" ref="P2145:AS2145" si="1790">P2146</f>
        <v>28606.569999999996</v>
      </c>
      <c r="Q2145" s="221">
        <f t="shared" si="1790"/>
        <v>0</v>
      </c>
      <c r="R2145" s="221">
        <f t="shared" si="1790"/>
        <v>28606.569999999996</v>
      </c>
      <c r="S2145" s="150"/>
      <c r="T2145" s="213"/>
      <c r="U2145" s="221">
        <f t="shared" ref="U2145:W2145" si="1791">U2146</f>
        <v>28606.569999999996</v>
      </c>
      <c r="V2145" s="222">
        <f t="shared" si="1791"/>
        <v>0</v>
      </c>
      <c r="W2145" s="221">
        <f t="shared" si="1791"/>
        <v>28606.569999999996</v>
      </c>
      <c r="X2145" s="221">
        <v>28606.569999999996</v>
      </c>
      <c r="Y2145" s="221">
        <v>0</v>
      </c>
      <c r="Z2145" s="221">
        <v>28606.569999999996</v>
      </c>
      <c r="AA2145" s="221">
        <f t="shared" si="1781"/>
        <v>0</v>
      </c>
      <c r="AB2145" s="221">
        <v>28606.569999999996</v>
      </c>
      <c r="AC2145" s="222">
        <v>0</v>
      </c>
      <c r="AD2145" s="221">
        <f t="shared" si="1790"/>
        <v>28606.569999999996</v>
      </c>
      <c r="AE2145" s="221">
        <v>28606.569999999996</v>
      </c>
      <c r="AF2145" s="169" t="s">
        <v>4680</v>
      </c>
      <c r="AG2145" s="223">
        <v>28606.569999999996</v>
      </c>
      <c r="AH2145" s="222">
        <v>0</v>
      </c>
      <c r="AI2145" s="221">
        <v>28606.569999999996</v>
      </c>
      <c r="AJ2145" s="169">
        <f t="shared" si="1782"/>
        <v>0</v>
      </c>
      <c r="AK2145" s="223">
        <v>28606.569999999996</v>
      </c>
      <c r="AL2145" s="222">
        <v>0</v>
      </c>
      <c r="AM2145" s="221">
        <f t="shared" si="1790"/>
        <v>28606.569999999996</v>
      </c>
      <c r="AN2145" s="153">
        <f t="shared" si="1783"/>
        <v>0</v>
      </c>
      <c r="AO2145" s="154">
        <f t="shared" si="1784"/>
        <v>0</v>
      </c>
      <c r="AP2145" s="221">
        <v>28606.569999999996</v>
      </c>
      <c r="AQ2145" s="223">
        <v>28606.569999999996</v>
      </c>
      <c r="AR2145" s="222">
        <f t="shared" si="1790"/>
        <v>0</v>
      </c>
      <c r="AS2145" s="221">
        <f t="shared" si="1790"/>
        <v>28606.569999999996</v>
      </c>
      <c r="AT2145" s="155"/>
      <c r="AU2145" s="156">
        <f t="shared" si="1779"/>
        <v>0</v>
      </c>
      <c r="AV2145" s="156">
        <f t="shared" si="1780"/>
        <v>0</v>
      </c>
      <c r="AW2145" s="157"/>
      <c r="AX2145" s="150">
        <v>28606.569999999996</v>
      </c>
      <c r="AY2145" s="221">
        <f t="shared" ref="AY2145:BA2145" si="1792">AY2146</f>
        <v>28606.569999999996</v>
      </c>
      <c r="AZ2145" s="221">
        <f t="shared" si="1792"/>
        <v>-28606.569999999996</v>
      </c>
      <c r="BA2145" s="221">
        <f t="shared" si="1792"/>
        <v>0</v>
      </c>
      <c r="BB2145" s="181">
        <v>5</v>
      </c>
      <c r="BC2145" s="173" t="s">
        <v>1257</v>
      </c>
      <c r="BD2145" s="173" t="s">
        <v>647</v>
      </c>
      <c r="BE2145" s="173" t="s">
        <v>630</v>
      </c>
      <c r="BF2145" s="173" t="s">
        <v>630</v>
      </c>
      <c r="BG2145" s="175" t="s">
        <v>10099</v>
      </c>
      <c r="BH2145" s="224">
        <f>BH2146</f>
        <v>28606.569999999996</v>
      </c>
      <c r="BI2145" s="181"/>
      <c r="BJ2145" s="173" t="s">
        <v>5972</v>
      </c>
      <c r="BK2145" s="173" t="s">
        <v>5970</v>
      </c>
      <c r="BL2145" s="182" t="s">
        <v>5973</v>
      </c>
      <c r="BM2145" s="337">
        <f>BM2146</f>
        <v>28606.569999999996</v>
      </c>
      <c r="BN2145" s="160"/>
      <c r="BO2145" s="161">
        <f t="shared" si="1776"/>
        <v>0</v>
      </c>
      <c r="BP2145" s="161"/>
    </row>
    <row r="2146" spans="1:68" ht="25.5">
      <c r="A2146" s="183" t="s">
        <v>5970</v>
      </c>
      <c r="B2146" s="184"/>
      <c r="C2146" s="185" t="s">
        <v>10099</v>
      </c>
      <c r="D2146" s="146" t="s">
        <v>4692</v>
      </c>
      <c r="E2146" s="185" t="s">
        <v>10099</v>
      </c>
      <c r="F2146" s="188">
        <v>43768.19</v>
      </c>
      <c r="G2146" s="187">
        <v>0</v>
      </c>
      <c r="H2146" s="187">
        <v>0</v>
      </c>
      <c r="I2146" s="187">
        <v>0</v>
      </c>
      <c r="J2146" s="188">
        <f>SUM(J2147:J2159)</f>
        <v>0</v>
      </c>
      <c r="K2146" s="188">
        <f>SUM(K2147:K2159)</f>
        <v>46996.228999999999</v>
      </c>
      <c r="L2146" s="188">
        <f t="shared" si="1786"/>
        <v>46996.228999999999</v>
      </c>
      <c r="M2146" s="188">
        <v>28606.569999999996</v>
      </c>
      <c r="N2146" s="188">
        <v>0</v>
      </c>
      <c r="O2146" s="188">
        <v>28606.569999999996</v>
      </c>
      <c r="P2146" s="299">
        <f t="shared" ref="P2146:R2146" si="1793">SUM(P2147:P2159)</f>
        <v>28606.569999999996</v>
      </c>
      <c r="Q2146" s="299">
        <f t="shared" si="1793"/>
        <v>0</v>
      </c>
      <c r="R2146" s="299">
        <f t="shared" si="1793"/>
        <v>28606.569999999996</v>
      </c>
      <c r="S2146" s="150"/>
      <c r="T2146" s="213"/>
      <c r="U2146" s="299">
        <f t="shared" ref="U2146:W2146" si="1794">SUM(U2147:U2159)</f>
        <v>28606.569999999996</v>
      </c>
      <c r="V2146" s="226">
        <f t="shared" si="1794"/>
        <v>0</v>
      </c>
      <c r="W2146" s="299">
        <f t="shared" si="1794"/>
        <v>28606.569999999996</v>
      </c>
      <c r="X2146" s="299">
        <v>28606.569999999996</v>
      </c>
      <c r="Y2146" s="299">
        <v>0</v>
      </c>
      <c r="Z2146" s="299">
        <v>28606.569999999996</v>
      </c>
      <c r="AA2146" s="299">
        <f t="shared" si="1781"/>
        <v>0</v>
      </c>
      <c r="AB2146" s="299">
        <v>28606.569999999996</v>
      </c>
      <c r="AC2146" s="226">
        <v>0</v>
      </c>
      <c r="AD2146" s="299">
        <f t="shared" ref="AD2146" si="1795">SUM(AD2147:AD2159)</f>
        <v>28606.569999999996</v>
      </c>
      <c r="AE2146" s="299">
        <v>28606.569999999996</v>
      </c>
      <c r="AF2146" s="169" t="s">
        <v>4680</v>
      </c>
      <c r="AG2146" s="301">
        <v>28606.569999999996</v>
      </c>
      <c r="AH2146" s="226">
        <v>0</v>
      </c>
      <c r="AI2146" s="299">
        <v>28606.569999999996</v>
      </c>
      <c r="AJ2146" s="169">
        <f t="shared" si="1782"/>
        <v>0</v>
      </c>
      <c r="AK2146" s="301">
        <v>28606.569999999996</v>
      </c>
      <c r="AL2146" s="226">
        <v>0</v>
      </c>
      <c r="AM2146" s="299">
        <f t="shared" ref="AM2146" si="1796">SUM(AM2147:AM2159)</f>
        <v>28606.569999999996</v>
      </c>
      <c r="AN2146" s="153">
        <f t="shared" si="1783"/>
        <v>0</v>
      </c>
      <c r="AO2146" s="154">
        <f t="shared" si="1784"/>
        <v>0</v>
      </c>
      <c r="AP2146" s="299">
        <v>28606.569999999996</v>
      </c>
      <c r="AQ2146" s="301">
        <v>28606.569999999996</v>
      </c>
      <c r="AR2146" s="226">
        <f t="shared" ref="AR2146:AS2146" si="1797">SUM(AR2147:AR2159)</f>
        <v>0</v>
      </c>
      <c r="AS2146" s="299">
        <f t="shared" si="1797"/>
        <v>28606.569999999996</v>
      </c>
      <c r="AT2146" s="155"/>
      <c r="AU2146" s="156">
        <f t="shared" si="1779"/>
        <v>0</v>
      </c>
      <c r="AV2146" s="156">
        <f t="shared" si="1780"/>
        <v>0</v>
      </c>
      <c r="AW2146" s="157"/>
      <c r="AX2146" s="150">
        <v>28606.569999999996</v>
      </c>
      <c r="AY2146" s="299">
        <f t="shared" ref="AY2146:BA2146" si="1798">SUM(AY2147:AY2159)</f>
        <v>28606.569999999996</v>
      </c>
      <c r="AZ2146" s="299">
        <f t="shared" si="1798"/>
        <v>-28606.569999999996</v>
      </c>
      <c r="BA2146" s="299">
        <f t="shared" si="1798"/>
        <v>0</v>
      </c>
      <c r="BB2146" s="191">
        <v>5</v>
      </c>
      <c r="BC2146" s="183" t="s">
        <v>1257</v>
      </c>
      <c r="BD2146" s="183" t="s">
        <v>647</v>
      </c>
      <c r="BE2146" s="183" t="s">
        <v>632</v>
      </c>
      <c r="BF2146" s="183" t="s">
        <v>630</v>
      </c>
      <c r="BG2146" s="185" t="s">
        <v>10099</v>
      </c>
      <c r="BH2146" s="215">
        <f>BH2147+BH2148+BH2150+BH2151+BH2152+BH2153+BH2158+BH2159</f>
        <v>28606.569999999996</v>
      </c>
      <c r="BI2146" s="191"/>
      <c r="BJ2146" s="183" t="s">
        <v>5972</v>
      </c>
      <c r="BK2146" s="183" t="s">
        <v>5970</v>
      </c>
      <c r="BL2146" s="238" t="s">
        <v>5973</v>
      </c>
      <c r="BM2146" s="338">
        <f>BM2147+BM2148+BM2150+BM2151+BM2152+BM2153+BM2158+BM2159</f>
        <v>28606.569999999996</v>
      </c>
      <c r="BN2146" s="160"/>
      <c r="BO2146" s="161">
        <f t="shared" si="1776"/>
        <v>0</v>
      </c>
      <c r="BP2146" s="161"/>
    </row>
    <row r="2147" spans="1:68" ht="25.5">
      <c r="A2147" s="194" t="s">
        <v>5974</v>
      </c>
      <c r="B2147" s="195" t="s">
        <v>10100</v>
      </c>
      <c r="C2147" s="196" t="s">
        <v>10101</v>
      </c>
      <c r="D2147" s="146" t="s">
        <v>4692</v>
      </c>
      <c r="E2147" s="196" t="s">
        <v>10101</v>
      </c>
      <c r="F2147" s="150">
        <v>0</v>
      </c>
      <c r="G2147" s="209">
        <v>0</v>
      </c>
      <c r="H2147" s="209">
        <v>2197.2800000000002</v>
      </c>
      <c r="I2147" s="209">
        <v>2197.2800000000002</v>
      </c>
      <c r="J2147" s="150">
        <v>0</v>
      </c>
      <c r="K2147" s="150">
        <v>0</v>
      </c>
      <c r="L2147" s="150">
        <f t="shared" si="1786"/>
        <v>0</v>
      </c>
      <c r="M2147" s="150">
        <v>0</v>
      </c>
      <c r="N2147" s="150"/>
      <c r="O2147" s="150">
        <v>0</v>
      </c>
      <c r="P2147" s="150">
        <v>0</v>
      </c>
      <c r="Q2147" s="150">
        <v>0</v>
      </c>
      <c r="R2147" s="150">
        <f t="shared" ref="R2147:R2159" si="1799">P2147+Q2147</f>
        <v>0</v>
      </c>
      <c r="S2147" s="150"/>
      <c r="T2147" s="150"/>
      <c r="U2147" s="150">
        <v>0</v>
      </c>
      <c r="V2147" s="199"/>
      <c r="W2147" s="150">
        <f t="shared" ref="W2147:W2159" si="1800">U2147+V2147</f>
        <v>0</v>
      </c>
      <c r="X2147" s="150">
        <v>0</v>
      </c>
      <c r="Y2147" s="150"/>
      <c r="Z2147" s="150">
        <v>0</v>
      </c>
      <c r="AA2147" s="150">
        <f t="shared" si="1781"/>
        <v>0</v>
      </c>
      <c r="AB2147" s="150">
        <v>0</v>
      </c>
      <c r="AC2147" s="199"/>
      <c r="AD2147" s="150">
        <f t="shared" ref="AD2147:AD2159" si="1801">AB2147+AC2147</f>
        <v>0</v>
      </c>
      <c r="AE2147" s="150">
        <v>0</v>
      </c>
      <c r="AF2147" s="169" t="s">
        <v>4680</v>
      </c>
      <c r="AG2147" s="201">
        <v>0</v>
      </c>
      <c r="AH2147" s="199"/>
      <c r="AI2147" s="150">
        <v>0</v>
      </c>
      <c r="AJ2147" s="169">
        <f t="shared" si="1782"/>
        <v>0</v>
      </c>
      <c r="AK2147" s="201">
        <v>0</v>
      </c>
      <c r="AL2147" s="199"/>
      <c r="AM2147" s="150">
        <f t="shared" ref="AM2147:AM2159" si="1802">AK2147+AL2147</f>
        <v>0</v>
      </c>
      <c r="AN2147" s="153">
        <f t="shared" si="1783"/>
        <v>0</v>
      </c>
      <c r="AO2147" s="154">
        <f t="shared" si="1784"/>
        <v>0</v>
      </c>
      <c r="AP2147" s="150">
        <v>0</v>
      </c>
      <c r="AQ2147" s="201">
        <v>0</v>
      </c>
      <c r="AR2147" s="199"/>
      <c r="AS2147" s="150">
        <f t="shared" ref="AS2147:AS2159" si="1803">AQ2147+AR2147</f>
        <v>0</v>
      </c>
      <c r="AT2147" s="155"/>
      <c r="AU2147" s="156">
        <f t="shared" si="1779"/>
        <v>0</v>
      </c>
      <c r="AV2147" s="156">
        <f t="shared" si="1780"/>
        <v>0</v>
      </c>
      <c r="AW2147" s="157"/>
      <c r="AX2147" s="150">
        <v>0</v>
      </c>
      <c r="AY2147" s="150">
        <v>0</v>
      </c>
      <c r="AZ2147" s="150"/>
      <c r="BA2147" s="150">
        <f t="shared" ref="BA2147:BA2208" si="1804">AY2147+AZ2147</f>
        <v>0</v>
      </c>
      <c r="BB2147" s="202">
        <v>5</v>
      </c>
      <c r="BC2147" s="202" t="s">
        <v>1257</v>
      </c>
      <c r="BD2147" s="202" t="s">
        <v>647</v>
      </c>
      <c r="BE2147" s="194" t="s">
        <v>632</v>
      </c>
      <c r="BF2147" s="202" t="s">
        <v>632</v>
      </c>
      <c r="BG2147" s="203" t="s">
        <v>10102</v>
      </c>
      <c r="BH2147" s="216">
        <f>AS2147</f>
        <v>0</v>
      </c>
      <c r="BI2147" s="202"/>
      <c r="BJ2147" s="194" t="s">
        <v>5976</v>
      </c>
      <c r="BK2147" s="194" t="s">
        <v>5974</v>
      </c>
      <c r="BL2147" s="207" t="s">
        <v>5977</v>
      </c>
      <c r="BM2147" s="208">
        <f>BH2147</f>
        <v>0</v>
      </c>
      <c r="BN2147" s="160"/>
      <c r="BO2147" s="161">
        <f t="shared" si="1776"/>
        <v>0</v>
      </c>
      <c r="BP2147" s="161"/>
    </row>
    <row r="2148" spans="1:68" ht="38.25">
      <c r="A2148" s="194" t="s">
        <v>5978</v>
      </c>
      <c r="B2148" s="195" t="s">
        <v>10103</v>
      </c>
      <c r="C2148" s="196" t="s">
        <v>10104</v>
      </c>
      <c r="D2148" s="146" t="s">
        <v>4692</v>
      </c>
      <c r="E2148" s="196" t="s">
        <v>10104</v>
      </c>
      <c r="F2148" s="150">
        <v>2197.2800000000002</v>
      </c>
      <c r="G2148" s="209">
        <v>0</v>
      </c>
      <c r="H2148" s="209">
        <v>0</v>
      </c>
      <c r="I2148" s="209">
        <v>0</v>
      </c>
      <c r="J2148" s="150">
        <v>0</v>
      </c>
      <c r="K2148" s="150">
        <v>2417.2839999999997</v>
      </c>
      <c r="L2148" s="150">
        <f t="shared" si="1786"/>
        <v>2417.2839999999997</v>
      </c>
      <c r="M2148" s="150">
        <v>2197.2800000000002</v>
      </c>
      <c r="N2148" s="150"/>
      <c r="O2148" s="150">
        <v>2197.2800000000002</v>
      </c>
      <c r="P2148" s="150">
        <v>2197.2800000000002</v>
      </c>
      <c r="Q2148" s="150">
        <v>0</v>
      </c>
      <c r="R2148" s="150">
        <f t="shared" si="1799"/>
        <v>2197.2800000000002</v>
      </c>
      <c r="S2148" s="150"/>
      <c r="T2148" s="150"/>
      <c r="U2148" s="150">
        <v>2197.2800000000002</v>
      </c>
      <c r="V2148" s="199"/>
      <c r="W2148" s="150">
        <f t="shared" si="1800"/>
        <v>2197.2800000000002</v>
      </c>
      <c r="X2148" s="150">
        <v>2197.2800000000002</v>
      </c>
      <c r="Y2148" s="150"/>
      <c r="Z2148" s="150">
        <v>2197.2800000000002</v>
      </c>
      <c r="AA2148" s="150">
        <f t="shared" si="1781"/>
        <v>0</v>
      </c>
      <c r="AB2148" s="150">
        <v>2197.2800000000002</v>
      </c>
      <c r="AC2148" s="199"/>
      <c r="AD2148" s="150">
        <f t="shared" si="1801"/>
        <v>2197.2800000000002</v>
      </c>
      <c r="AE2148" s="150">
        <v>2197.2800000000002</v>
      </c>
      <c r="AF2148" s="169" t="s">
        <v>4680</v>
      </c>
      <c r="AG2148" s="201">
        <v>2197.2800000000002</v>
      </c>
      <c r="AH2148" s="199"/>
      <c r="AI2148" s="150">
        <v>2197.2800000000002</v>
      </c>
      <c r="AJ2148" s="169">
        <f t="shared" si="1782"/>
        <v>0</v>
      </c>
      <c r="AK2148" s="201">
        <v>2197.2800000000002</v>
      </c>
      <c r="AL2148" s="199"/>
      <c r="AM2148" s="150">
        <f t="shared" si="1802"/>
        <v>2197.2800000000002</v>
      </c>
      <c r="AN2148" s="153">
        <f t="shared" si="1783"/>
        <v>0</v>
      </c>
      <c r="AO2148" s="154">
        <f t="shared" si="1784"/>
        <v>0</v>
      </c>
      <c r="AP2148" s="150">
        <v>2197.2800000000002</v>
      </c>
      <c r="AQ2148" s="201">
        <v>2197.2800000000002</v>
      </c>
      <c r="AR2148" s="199"/>
      <c r="AS2148" s="150">
        <f t="shared" si="1803"/>
        <v>2197.2800000000002</v>
      </c>
      <c r="AT2148" s="155"/>
      <c r="AU2148" s="156">
        <f t="shared" si="1779"/>
        <v>0</v>
      </c>
      <c r="AV2148" s="156">
        <f t="shared" si="1780"/>
        <v>0</v>
      </c>
      <c r="AW2148" s="157"/>
      <c r="AX2148" s="150">
        <v>2197.2800000000002</v>
      </c>
      <c r="AY2148" s="150">
        <v>2197.2800000000002</v>
      </c>
      <c r="AZ2148" s="150">
        <f>-AY2148</f>
        <v>-2197.2800000000002</v>
      </c>
      <c r="BA2148" s="150">
        <f t="shared" si="1804"/>
        <v>0</v>
      </c>
      <c r="BB2148" s="202">
        <v>5</v>
      </c>
      <c r="BC2148" s="202" t="s">
        <v>1257</v>
      </c>
      <c r="BD2148" s="202" t="s">
        <v>647</v>
      </c>
      <c r="BE2148" s="194" t="s">
        <v>632</v>
      </c>
      <c r="BF2148" s="194" t="s">
        <v>647</v>
      </c>
      <c r="BG2148" s="203" t="s">
        <v>10105</v>
      </c>
      <c r="BH2148" s="216">
        <f>SUM(AS2148:AS2149)</f>
        <v>2197.2800000000002</v>
      </c>
      <c r="BI2148" s="202"/>
      <c r="BJ2148" s="194" t="s">
        <v>5980</v>
      </c>
      <c r="BK2148" s="194" t="s">
        <v>5978</v>
      </c>
      <c r="BL2148" s="207" t="s">
        <v>5981</v>
      </c>
      <c r="BM2148" s="208">
        <f>BH2148</f>
        <v>2197.2800000000002</v>
      </c>
      <c r="BN2148" s="160"/>
      <c r="BO2148" s="161">
        <f t="shared" si="1776"/>
        <v>0</v>
      </c>
      <c r="BP2148" s="161"/>
    </row>
    <row r="2149" spans="1:68" ht="25.5">
      <c r="A2149" s="210"/>
      <c r="B2149" s="195" t="s">
        <v>10106</v>
      </c>
      <c r="C2149" s="196" t="s">
        <v>10107</v>
      </c>
      <c r="D2149" s="146" t="s">
        <v>4692</v>
      </c>
      <c r="E2149" s="196" t="s">
        <v>10107</v>
      </c>
      <c r="F2149" s="150">
        <v>0</v>
      </c>
      <c r="G2149" s="209">
        <v>0</v>
      </c>
      <c r="H2149" s="209">
        <v>0</v>
      </c>
      <c r="I2149" s="209">
        <v>0</v>
      </c>
      <c r="J2149" s="150">
        <v>0</v>
      </c>
      <c r="K2149" s="150">
        <v>0</v>
      </c>
      <c r="L2149" s="150">
        <f t="shared" si="1786"/>
        <v>0</v>
      </c>
      <c r="M2149" s="150">
        <v>0</v>
      </c>
      <c r="N2149" s="150"/>
      <c r="O2149" s="150">
        <v>0</v>
      </c>
      <c r="P2149" s="150">
        <v>0</v>
      </c>
      <c r="Q2149" s="150">
        <v>0</v>
      </c>
      <c r="R2149" s="150">
        <f t="shared" si="1799"/>
        <v>0</v>
      </c>
      <c r="S2149" s="150"/>
      <c r="T2149" s="150"/>
      <c r="U2149" s="150">
        <v>0</v>
      </c>
      <c r="V2149" s="199"/>
      <c r="W2149" s="150">
        <f t="shared" si="1800"/>
        <v>0</v>
      </c>
      <c r="X2149" s="150">
        <v>0</v>
      </c>
      <c r="Y2149" s="150"/>
      <c r="Z2149" s="150">
        <v>0</v>
      </c>
      <c r="AA2149" s="150">
        <f t="shared" si="1781"/>
        <v>0</v>
      </c>
      <c r="AB2149" s="150">
        <v>0</v>
      </c>
      <c r="AC2149" s="199"/>
      <c r="AD2149" s="150">
        <f t="shared" si="1801"/>
        <v>0</v>
      </c>
      <c r="AE2149" s="150">
        <v>0</v>
      </c>
      <c r="AF2149" s="169" t="s">
        <v>4680</v>
      </c>
      <c r="AG2149" s="201">
        <v>0</v>
      </c>
      <c r="AH2149" s="199"/>
      <c r="AI2149" s="150">
        <v>0</v>
      </c>
      <c r="AJ2149" s="169">
        <f t="shared" si="1782"/>
        <v>0</v>
      </c>
      <c r="AK2149" s="201">
        <v>0</v>
      </c>
      <c r="AL2149" s="199"/>
      <c r="AM2149" s="150">
        <f t="shared" si="1802"/>
        <v>0</v>
      </c>
      <c r="AN2149" s="153">
        <f t="shared" si="1783"/>
        <v>0</v>
      </c>
      <c r="AO2149" s="154">
        <f t="shared" si="1784"/>
        <v>0</v>
      </c>
      <c r="AP2149" s="150">
        <v>0</v>
      </c>
      <c r="AQ2149" s="201">
        <v>0</v>
      </c>
      <c r="AR2149" s="199"/>
      <c r="AS2149" s="150">
        <f t="shared" si="1803"/>
        <v>0</v>
      </c>
      <c r="AT2149" s="155"/>
      <c r="AU2149" s="156">
        <f t="shared" si="1779"/>
        <v>0</v>
      </c>
      <c r="AV2149" s="156">
        <f t="shared" si="1780"/>
        <v>0</v>
      </c>
      <c r="AW2149" s="157"/>
      <c r="AX2149" s="150">
        <v>0</v>
      </c>
      <c r="AY2149" s="150">
        <v>0</v>
      </c>
      <c r="AZ2149" s="150"/>
      <c r="BA2149" s="150">
        <f t="shared" si="1804"/>
        <v>0</v>
      </c>
      <c r="BB2149" s="210"/>
      <c r="BC2149" s="210"/>
      <c r="BD2149" s="210"/>
      <c r="BE2149" s="210"/>
      <c r="BF2149" s="210"/>
      <c r="BG2149" s="210"/>
      <c r="BH2149" s="217"/>
      <c r="BI2149" s="210"/>
      <c r="BJ2149" s="210"/>
      <c r="BK2149" s="210"/>
      <c r="BL2149" s="210"/>
      <c r="BM2149" s="208"/>
      <c r="BN2149" s="160"/>
      <c r="BO2149" s="161">
        <f t="shared" si="1776"/>
        <v>0</v>
      </c>
      <c r="BP2149" s="161"/>
    </row>
    <row r="2150" spans="1:68" ht="25.5">
      <c r="A2150" s="194" t="s">
        <v>5982</v>
      </c>
      <c r="B2150" s="195" t="s">
        <v>10108</v>
      </c>
      <c r="C2150" s="196" t="s">
        <v>10109</v>
      </c>
      <c r="D2150" s="146" t="s">
        <v>4692</v>
      </c>
      <c r="E2150" s="196" t="s">
        <v>10109</v>
      </c>
      <c r="F2150" s="150">
        <v>0</v>
      </c>
      <c r="G2150" s="209">
        <v>0</v>
      </c>
      <c r="H2150" s="209">
        <v>0</v>
      </c>
      <c r="I2150" s="209">
        <v>0</v>
      </c>
      <c r="J2150" s="150">
        <v>0</v>
      </c>
      <c r="K2150" s="150">
        <v>0</v>
      </c>
      <c r="L2150" s="150">
        <f t="shared" si="1786"/>
        <v>0</v>
      </c>
      <c r="M2150" s="150">
        <v>0</v>
      </c>
      <c r="N2150" s="150"/>
      <c r="O2150" s="150">
        <v>0</v>
      </c>
      <c r="P2150" s="150">
        <v>0</v>
      </c>
      <c r="Q2150" s="150">
        <v>0</v>
      </c>
      <c r="R2150" s="150">
        <f t="shared" si="1799"/>
        <v>0</v>
      </c>
      <c r="S2150" s="150"/>
      <c r="T2150" s="150"/>
      <c r="U2150" s="150">
        <v>0</v>
      </c>
      <c r="V2150" s="199"/>
      <c r="W2150" s="150">
        <f t="shared" si="1800"/>
        <v>0</v>
      </c>
      <c r="X2150" s="150">
        <v>0</v>
      </c>
      <c r="Y2150" s="150"/>
      <c r="Z2150" s="150">
        <v>0</v>
      </c>
      <c r="AA2150" s="150">
        <f t="shared" si="1781"/>
        <v>0</v>
      </c>
      <c r="AB2150" s="150">
        <v>0</v>
      </c>
      <c r="AC2150" s="199"/>
      <c r="AD2150" s="150">
        <f t="shared" si="1801"/>
        <v>0</v>
      </c>
      <c r="AE2150" s="150">
        <v>0</v>
      </c>
      <c r="AF2150" s="169" t="s">
        <v>4680</v>
      </c>
      <c r="AG2150" s="201">
        <v>0</v>
      </c>
      <c r="AH2150" s="199"/>
      <c r="AI2150" s="150">
        <v>0</v>
      </c>
      <c r="AJ2150" s="169">
        <f t="shared" si="1782"/>
        <v>0</v>
      </c>
      <c r="AK2150" s="201">
        <v>0</v>
      </c>
      <c r="AL2150" s="199"/>
      <c r="AM2150" s="150">
        <f t="shared" si="1802"/>
        <v>0</v>
      </c>
      <c r="AN2150" s="153">
        <f t="shared" si="1783"/>
        <v>0</v>
      </c>
      <c r="AO2150" s="154">
        <f t="shared" si="1784"/>
        <v>0</v>
      </c>
      <c r="AP2150" s="150">
        <v>0</v>
      </c>
      <c r="AQ2150" s="201">
        <v>0</v>
      </c>
      <c r="AR2150" s="199"/>
      <c r="AS2150" s="150">
        <f t="shared" si="1803"/>
        <v>0</v>
      </c>
      <c r="AT2150" s="155"/>
      <c r="AU2150" s="156">
        <f t="shared" si="1779"/>
        <v>0</v>
      </c>
      <c r="AV2150" s="156">
        <f t="shared" si="1780"/>
        <v>0</v>
      </c>
      <c r="AW2150" s="157"/>
      <c r="AX2150" s="150">
        <v>0</v>
      </c>
      <c r="AY2150" s="150">
        <v>0</v>
      </c>
      <c r="AZ2150" s="150"/>
      <c r="BA2150" s="150">
        <f t="shared" si="1804"/>
        <v>0</v>
      </c>
      <c r="BB2150" s="202">
        <v>5</v>
      </c>
      <c r="BC2150" s="202" t="s">
        <v>1257</v>
      </c>
      <c r="BD2150" s="202" t="s">
        <v>647</v>
      </c>
      <c r="BE2150" s="194" t="s">
        <v>632</v>
      </c>
      <c r="BF2150" s="194" t="s">
        <v>755</v>
      </c>
      <c r="BG2150" s="203" t="s">
        <v>10109</v>
      </c>
      <c r="BH2150" s="216">
        <f>AS2150</f>
        <v>0</v>
      </c>
      <c r="BI2150" s="202"/>
      <c r="BJ2150" s="194" t="s">
        <v>5985</v>
      </c>
      <c r="BK2150" s="194" t="s">
        <v>5982</v>
      </c>
      <c r="BL2150" s="207" t="s">
        <v>5986</v>
      </c>
      <c r="BM2150" s="208">
        <f>BH2150</f>
        <v>0</v>
      </c>
      <c r="BN2150" s="160"/>
      <c r="BO2150" s="161">
        <f t="shared" si="1776"/>
        <v>0</v>
      </c>
      <c r="BP2150" s="161"/>
    </row>
    <row r="2151" spans="1:68" ht="38.25">
      <c r="A2151" s="194" t="s">
        <v>5982</v>
      </c>
      <c r="B2151" s="195" t="s">
        <v>10110</v>
      </c>
      <c r="C2151" s="196" t="s">
        <v>10111</v>
      </c>
      <c r="D2151" s="146" t="s">
        <v>4692</v>
      </c>
      <c r="E2151" s="196" t="s">
        <v>10111</v>
      </c>
      <c r="F2151" s="150">
        <v>0</v>
      </c>
      <c r="G2151" s="209">
        <v>0</v>
      </c>
      <c r="H2151" s="209">
        <v>27795.48</v>
      </c>
      <c r="I2151" s="209">
        <v>27795.48</v>
      </c>
      <c r="J2151" s="150">
        <v>0</v>
      </c>
      <c r="K2151" s="150">
        <v>0</v>
      </c>
      <c r="L2151" s="150">
        <f t="shared" si="1786"/>
        <v>0</v>
      </c>
      <c r="M2151" s="150">
        <v>0</v>
      </c>
      <c r="N2151" s="150"/>
      <c r="O2151" s="150">
        <v>0</v>
      </c>
      <c r="P2151" s="150">
        <v>0</v>
      </c>
      <c r="Q2151" s="150">
        <v>0</v>
      </c>
      <c r="R2151" s="150">
        <f t="shared" si="1799"/>
        <v>0</v>
      </c>
      <c r="S2151" s="150"/>
      <c r="T2151" s="150"/>
      <c r="U2151" s="150">
        <v>0</v>
      </c>
      <c r="V2151" s="199"/>
      <c r="W2151" s="150">
        <f t="shared" si="1800"/>
        <v>0</v>
      </c>
      <c r="X2151" s="150">
        <v>0</v>
      </c>
      <c r="Y2151" s="150"/>
      <c r="Z2151" s="150">
        <v>0</v>
      </c>
      <c r="AA2151" s="150">
        <f t="shared" si="1781"/>
        <v>0</v>
      </c>
      <c r="AB2151" s="150">
        <v>0</v>
      </c>
      <c r="AC2151" s="199"/>
      <c r="AD2151" s="150">
        <f t="shared" si="1801"/>
        <v>0</v>
      </c>
      <c r="AE2151" s="150">
        <v>0</v>
      </c>
      <c r="AF2151" s="169" t="s">
        <v>4680</v>
      </c>
      <c r="AG2151" s="201">
        <v>0</v>
      </c>
      <c r="AH2151" s="199"/>
      <c r="AI2151" s="150">
        <v>0</v>
      </c>
      <c r="AJ2151" s="169">
        <f t="shared" si="1782"/>
        <v>0</v>
      </c>
      <c r="AK2151" s="201">
        <v>0</v>
      </c>
      <c r="AL2151" s="199"/>
      <c r="AM2151" s="150">
        <f t="shared" si="1802"/>
        <v>0</v>
      </c>
      <c r="AN2151" s="153">
        <f t="shared" si="1783"/>
        <v>0</v>
      </c>
      <c r="AO2151" s="154">
        <f t="shared" si="1784"/>
        <v>0</v>
      </c>
      <c r="AP2151" s="150">
        <v>0</v>
      </c>
      <c r="AQ2151" s="201">
        <v>0</v>
      </c>
      <c r="AR2151" s="199"/>
      <c r="AS2151" s="150">
        <f t="shared" si="1803"/>
        <v>0</v>
      </c>
      <c r="AT2151" s="155"/>
      <c r="AU2151" s="156">
        <f t="shared" si="1779"/>
        <v>0</v>
      </c>
      <c r="AV2151" s="156">
        <f t="shared" si="1780"/>
        <v>0</v>
      </c>
      <c r="AW2151" s="157"/>
      <c r="AX2151" s="150">
        <v>0</v>
      </c>
      <c r="AY2151" s="150">
        <v>0</v>
      </c>
      <c r="AZ2151" s="150"/>
      <c r="BA2151" s="150">
        <f t="shared" si="1804"/>
        <v>0</v>
      </c>
      <c r="BB2151" s="202">
        <v>5</v>
      </c>
      <c r="BC2151" s="202" t="s">
        <v>1257</v>
      </c>
      <c r="BD2151" s="202" t="s">
        <v>647</v>
      </c>
      <c r="BE2151" s="194" t="s">
        <v>632</v>
      </c>
      <c r="BF2151" s="194" t="s">
        <v>671</v>
      </c>
      <c r="BG2151" s="203" t="s">
        <v>10111</v>
      </c>
      <c r="BH2151" s="216">
        <f>AS2151</f>
        <v>0</v>
      </c>
      <c r="BI2151" s="202"/>
      <c r="BJ2151" s="194" t="s">
        <v>5985</v>
      </c>
      <c r="BK2151" s="194" t="s">
        <v>5982</v>
      </c>
      <c r="BL2151" s="207" t="s">
        <v>5986</v>
      </c>
      <c r="BM2151" s="208">
        <f>BH2151</f>
        <v>0</v>
      </c>
      <c r="BN2151" s="160"/>
      <c r="BO2151" s="161">
        <f t="shared" si="1776"/>
        <v>0</v>
      </c>
      <c r="BP2151" s="161"/>
    </row>
    <row r="2152" spans="1:68" ht="25.5">
      <c r="A2152" s="194" t="s">
        <v>5989</v>
      </c>
      <c r="B2152" s="195" t="s">
        <v>10112</v>
      </c>
      <c r="C2152" s="196" t="s">
        <v>10113</v>
      </c>
      <c r="D2152" s="146" t="s">
        <v>4692</v>
      </c>
      <c r="E2152" s="196" t="s">
        <v>10113</v>
      </c>
      <c r="F2152" s="150">
        <v>27795.48</v>
      </c>
      <c r="G2152" s="209">
        <v>0</v>
      </c>
      <c r="H2152" s="209">
        <v>0</v>
      </c>
      <c r="I2152" s="209">
        <v>0</v>
      </c>
      <c r="J2152" s="150">
        <v>0</v>
      </c>
      <c r="K2152" s="150">
        <v>29992.309000000001</v>
      </c>
      <c r="L2152" s="150">
        <f t="shared" si="1786"/>
        <v>29992.309000000001</v>
      </c>
      <c r="M2152" s="150">
        <v>22027.919999999998</v>
      </c>
      <c r="N2152" s="150"/>
      <c r="O2152" s="150">
        <v>22027.919999999998</v>
      </c>
      <c r="P2152" s="150">
        <v>22027.919999999998</v>
      </c>
      <c r="Q2152" s="150">
        <v>0</v>
      </c>
      <c r="R2152" s="150">
        <f t="shared" si="1799"/>
        <v>22027.919999999998</v>
      </c>
      <c r="S2152" s="150"/>
      <c r="T2152" s="150"/>
      <c r="U2152" s="150">
        <v>22027.919999999998</v>
      </c>
      <c r="V2152" s="199"/>
      <c r="W2152" s="150">
        <f t="shared" si="1800"/>
        <v>22027.919999999998</v>
      </c>
      <c r="X2152" s="150">
        <v>22027.919999999998</v>
      </c>
      <c r="Y2152" s="150"/>
      <c r="Z2152" s="150">
        <v>22027.919999999998</v>
      </c>
      <c r="AA2152" s="150">
        <f t="shared" si="1781"/>
        <v>0</v>
      </c>
      <c r="AB2152" s="150">
        <v>22027.919999999998</v>
      </c>
      <c r="AC2152" s="199"/>
      <c r="AD2152" s="150">
        <f t="shared" si="1801"/>
        <v>22027.919999999998</v>
      </c>
      <c r="AE2152" s="150">
        <v>22027.919999999998</v>
      </c>
      <c r="AF2152" s="169" t="s">
        <v>4680</v>
      </c>
      <c r="AG2152" s="201">
        <v>22027.919999999998</v>
      </c>
      <c r="AH2152" s="199"/>
      <c r="AI2152" s="150">
        <v>22027.919999999998</v>
      </c>
      <c r="AJ2152" s="169">
        <f t="shared" si="1782"/>
        <v>0</v>
      </c>
      <c r="AK2152" s="201">
        <v>22027.919999999998</v>
      </c>
      <c r="AL2152" s="199"/>
      <c r="AM2152" s="150">
        <f t="shared" si="1802"/>
        <v>22027.919999999998</v>
      </c>
      <c r="AN2152" s="153">
        <f t="shared" si="1783"/>
        <v>0</v>
      </c>
      <c r="AO2152" s="154">
        <f t="shared" si="1784"/>
        <v>0</v>
      </c>
      <c r="AP2152" s="150">
        <v>22027.919999999998</v>
      </c>
      <c r="AQ2152" s="201">
        <v>22027.919999999998</v>
      </c>
      <c r="AR2152" s="199"/>
      <c r="AS2152" s="150">
        <f t="shared" si="1803"/>
        <v>22027.919999999998</v>
      </c>
      <c r="AT2152" s="155"/>
      <c r="AU2152" s="156">
        <f t="shared" si="1779"/>
        <v>0</v>
      </c>
      <c r="AV2152" s="156">
        <f t="shared" si="1780"/>
        <v>0</v>
      </c>
      <c r="AW2152" s="157"/>
      <c r="AX2152" s="150">
        <v>22027.919999999998</v>
      </c>
      <c r="AY2152" s="150">
        <v>22027.919999999998</v>
      </c>
      <c r="AZ2152" s="150">
        <f>-AY2152</f>
        <v>-22027.919999999998</v>
      </c>
      <c r="BA2152" s="150">
        <f t="shared" si="1804"/>
        <v>0</v>
      </c>
      <c r="BB2152" s="202">
        <v>5</v>
      </c>
      <c r="BC2152" s="202" t="s">
        <v>1257</v>
      </c>
      <c r="BD2152" s="202" t="s">
        <v>647</v>
      </c>
      <c r="BE2152" s="194" t="s">
        <v>632</v>
      </c>
      <c r="BF2152" s="194" t="s">
        <v>693</v>
      </c>
      <c r="BG2152" s="203" t="s">
        <v>10114</v>
      </c>
      <c r="BH2152" s="216">
        <f>AS2152</f>
        <v>22027.919999999998</v>
      </c>
      <c r="BI2152" s="202"/>
      <c r="BJ2152" s="194" t="s">
        <v>5972</v>
      </c>
      <c r="BK2152" s="194" t="s">
        <v>5989</v>
      </c>
      <c r="BL2152" s="207" t="s">
        <v>5992</v>
      </c>
      <c r="BM2152" s="208">
        <f>BH2152</f>
        <v>22027.919999999998</v>
      </c>
      <c r="BN2152" s="160"/>
      <c r="BO2152" s="161">
        <f t="shared" si="1776"/>
        <v>0</v>
      </c>
      <c r="BP2152" s="161"/>
    </row>
    <row r="2153" spans="1:68" ht="38.25">
      <c r="A2153" s="194" t="s">
        <v>5993</v>
      </c>
      <c r="B2153" s="195" t="s">
        <v>10115</v>
      </c>
      <c r="C2153" s="196" t="s">
        <v>10116</v>
      </c>
      <c r="D2153" s="146" t="s">
        <v>4692</v>
      </c>
      <c r="E2153" s="196" t="s">
        <v>10116</v>
      </c>
      <c r="F2153" s="150">
        <v>13775.43</v>
      </c>
      <c r="G2153" s="209">
        <v>0</v>
      </c>
      <c r="H2153" s="209">
        <v>0</v>
      </c>
      <c r="I2153" s="209">
        <v>0</v>
      </c>
      <c r="J2153" s="150">
        <v>0</v>
      </c>
      <c r="K2153" s="150">
        <v>0</v>
      </c>
      <c r="L2153" s="150">
        <f t="shared" si="1786"/>
        <v>0</v>
      </c>
      <c r="M2153" s="150">
        <v>4381.37</v>
      </c>
      <c r="N2153" s="150"/>
      <c r="O2153" s="150">
        <v>4381.37</v>
      </c>
      <c r="P2153" s="150">
        <v>4381.37</v>
      </c>
      <c r="Q2153" s="150">
        <v>0</v>
      </c>
      <c r="R2153" s="150">
        <f t="shared" si="1799"/>
        <v>4381.37</v>
      </c>
      <c r="S2153" s="150"/>
      <c r="T2153" s="150"/>
      <c r="U2153" s="150">
        <v>4381.37</v>
      </c>
      <c r="V2153" s="199"/>
      <c r="W2153" s="150">
        <f t="shared" si="1800"/>
        <v>4381.37</v>
      </c>
      <c r="X2153" s="150">
        <v>4381.37</v>
      </c>
      <c r="Y2153" s="150"/>
      <c r="Z2153" s="150">
        <v>4381.37</v>
      </c>
      <c r="AA2153" s="150">
        <f t="shared" si="1781"/>
        <v>0</v>
      </c>
      <c r="AB2153" s="150">
        <v>4381.37</v>
      </c>
      <c r="AC2153" s="199"/>
      <c r="AD2153" s="150">
        <f t="shared" si="1801"/>
        <v>4381.37</v>
      </c>
      <c r="AE2153" s="150">
        <v>4381.37</v>
      </c>
      <c r="AF2153" s="169" t="s">
        <v>4680</v>
      </c>
      <c r="AG2153" s="201">
        <v>4381.37</v>
      </c>
      <c r="AH2153" s="199"/>
      <c r="AI2153" s="150">
        <v>4381.37</v>
      </c>
      <c r="AJ2153" s="169">
        <f t="shared" si="1782"/>
        <v>0</v>
      </c>
      <c r="AK2153" s="201">
        <v>4381.37</v>
      </c>
      <c r="AL2153" s="199"/>
      <c r="AM2153" s="150">
        <f t="shared" si="1802"/>
        <v>4381.37</v>
      </c>
      <c r="AN2153" s="153">
        <f t="shared" si="1783"/>
        <v>0</v>
      </c>
      <c r="AO2153" s="154">
        <f t="shared" si="1784"/>
        <v>0</v>
      </c>
      <c r="AP2153" s="150">
        <v>4381.37</v>
      </c>
      <c r="AQ2153" s="201">
        <v>4381.37</v>
      </c>
      <c r="AR2153" s="199"/>
      <c r="AS2153" s="150">
        <f t="shared" si="1803"/>
        <v>4381.37</v>
      </c>
      <c r="AT2153" s="155"/>
      <c r="AU2153" s="156">
        <f t="shared" si="1779"/>
        <v>0</v>
      </c>
      <c r="AV2153" s="156">
        <f t="shared" si="1780"/>
        <v>0</v>
      </c>
      <c r="AW2153" s="157"/>
      <c r="AX2153" s="150">
        <v>4381.37</v>
      </c>
      <c r="AY2153" s="150">
        <v>4381.37</v>
      </c>
      <c r="AZ2153" s="150">
        <f>-AY2153</f>
        <v>-4381.37</v>
      </c>
      <c r="BA2153" s="150">
        <f t="shared" si="1804"/>
        <v>0</v>
      </c>
      <c r="BB2153" s="202">
        <v>5</v>
      </c>
      <c r="BC2153" s="202" t="s">
        <v>1257</v>
      </c>
      <c r="BD2153" s="202" t="s">
        <v>647</v>
      </c>
      <c r="BE2153" s="194" t="s">
        <v>632</v>
      </c>
      <c r="BF2153" s="202" t="s">
        <v>714</v>
      </c>
      <c r="BG2153" s="203" t="s">
        <v>10117</v>
      </c>
      <c r="BH2153" s="216">
        <f>SUM(AS2153:AS2157)</f>
        <v>4381.37</v>
      </c>
      <c r="BI2153" s="202"/>
      <c r="BJ2153" s="194" t="s">
        <v>5995</v>
      </c>
      <c r="BK2153" s="194" t="s">
        <v>5993</v>
      </c>
      <c r="BL2153" s="207" t="s">
        <v>5996</v>
      </c>
      <c r="BM2153" s="208">
        <f>BH2153</f>
        <v>4381.37</v>
      </c>
      <c r="BN2153" s="160"/>
      <c r="BO2153" s="161">
        <f t="shared" si="1776"/>
        <v>0</v>
      </c>
      <c r="BP2153" s="161"/>
    </row>
    <row r="2154" spans="1:68" ht="38.25">
      <c r="A2154" s="210"/>
      <c r="B2154" s="195" t="s">
        <v>10118</v>
      </c>
      <c r="C2154" s="196" t="s">
        <v>10119</v>
      </c>
      <c r="D2154" s="146" t="s">
        <v>4692</v>
      </c>
      <c r="E2154" s="196" t="s">
        <v>10119</v>
      </c>
      <c r="F2154" s="150">
        <v>0</v>
      </c>
      <c r="G2154" s="209">
        <v>0</v>
      </c>
      <c r="H2154" s="209">
        <v>13775.43</v>
      </c>
      <c r="I2154" s="209">
        <v>13775.43</v>
      </c>
      <c r="J2154" s="150">
        <v>0</v>
      </c>
      <c r="K2154" s="150">
        <v>0</v>
      </c>
      <c r="L2154" s="150">
        <f t="shared" si="1786"/>
        <v>0</v>
      </c>
      <c r="M2154" s="150">
        <v>0</v>
      </c>
      <c r="N2154" s="150"/>
      <c r="O2154" s="150">
        <v>0</v>
      </c>
      <c r="P2154" s="150">
        <v>0</v>
      </c>
      <c r="Q2154" s="150">
        <v>0</v>
      </c>
      <c r="R2154" s="150">
        <f t="shared" si="1799"/>
        <v>0</v>
      </c>
      <c r="S2154" s="150"/>
      <c r="T2154" s="150"/>
      <c r="U2154" s="150">
        <v>0</v>
      </c>
      <c r="V2154" s="199"/>
      <c r="W2154" s="150">
        <f t="shared" si="1800"/>
        <v>0</v>
      </c>
      <c r="X2154" s="150">
        <v>0</v>
      </c>
      <c r="Y2154" s="150"/>
      <c r="Z2154" s="150">
        <v>0</v>
      </c>
      <c r="AA2154" s="150">
        <f t="shared" si="1781"/>
        <v>0</v>
      </c>
      <c r="AB2154" s="150">
        <v>0</v>
      </c>
      <c r="AC2154" s="199"/>
      <c r="AD2154" s="150">
        <f t="shared" si="1801"/>
        <v>0</v>
      </c>
      <c r="AE2154" s="150">
        <v>0</v>
      </c>
      <c r="AF2154" s="169" t="s">
        <v>4680</v>
      </c>
      <c r="AG2154" s="201">
        <v>0</v>
      </c>
      <c r="AH2154" s="199"/>
      <c r="AI2154" s="150">
        <v>0</v>
      </c>
      <c r="AJ2154" s="169">
        <f t="shared" si="1782"/>
        <v>0</v>
      </c>
      <c r="AK2154" s="201">
        <v>0</v>
      </c>
      <c r="AL2154" s="199"/>
      <c r="AM2154" s="150">
        <f t="shared" si="1802"/>
        <v>0</v>
      </c>
      <c r="AN2154" s="153">
        <f t="shared" si="1783"/>
        <v>0</v>
      </c>
      <c r="AO2154" s="154">
        <f t="shared" si="1784"/>
        <v>0</v>
      </c>
      <c r="AP2154" s="150">
        <v>0</v>
      </c>
      <c r="AQ2154" s="201">
        <v>0</v>
      </c>
      <c r="AR2154" s="199"/>
      <c r="AS2154" s="150">
        <f t="shared" si="1803"/>
        <v>0</v>
      </c>
      <c r="AT2154" s="155"/>
      <c r="AU2154" s="156">
        <f t="shared" si="1779"/>
        <v>0</v>
      </c>
      <c r="AV2154" s="156">
        <f t="shared" si="1780"/>
        <v>0</v>
      </c>
      <c r="AW2154" s="157"/>
      <c r="AX2154" s="150">
        <v>0</v>
      </c>
      <c r="AY2154" s="150">
        <v>0</v>
      </c>
      <c r="AZ2154" s="150"/>
      <c r="BA2154" s="150">
        <f t="shared" si="1804"/>
        <v>0</v>
      </c>
      <c r="BB2154" s="210"/>
      <c r="BC2154" s="210"/>
      <c r="BD2154" s="210"/>
      <c r="BE2154" s="210"/>
      <c r="BF2154" s="210"/>
      <c r="BG2154" s="210"/>
      <c r="BH2154" s="217"/>
      <c r="BI2154" s="210"/>
      <c r="BJ2154" s="210"/>
      <c r="BK2154" s="210"/>
      <c r="BL2154" s="210"/>
      <c r="BM2154" s="208"/>
      <c r="BN2154" s="160"/>
      <c r="BO2154" s="161">
        <f t="shared" si="1776"/>
        <v>0</v>
      </c>
      <c r="BP2154" s="161"/>
    </row>
    <row r="2155" spans="1:68" ht="25.5">
      <c r="A2155" s="210"/>
      <c r="B2155" s="195" t="s">
        <v>10120</v>
      </c>
      <c r="C2155" s="196" t="s">
        <v>10121</v>
      </c>
      <c r="D2155" s="146" t="s">
        <v>4692</v>
      </c>
      <c r="E2155" s="196" t="s">
        <v>10121</v>
      </c>
      <c r="F2155" s="150">
        <v>0</v>
      </c>
      <c r="G2155" s="209">
        <v>0</v>
      </c>
      <c r="H2155" s="209">
        <v>0</v>
      </c>
      <c r="I2155" s="209">
        <v>0</v>
      </c>
      <c r="J2155" s="150">
        <v>0</v>
      </c>
      <c r="K2155" s="150">
        <v>14586.635999999999</v>
      </c>
      <c r="L2155" s="150">
        <f t="shared" si="1786"/>
        <v>14586.635999999999</v>
      </c>
      <c r="M2155" s="150">
        <v>0</v>
      </c>
      <c r="N2155" s="150"/>
      <c r="O2155" s="150">
        <v>0</v>
      </c>
      <c r="P2155" s="150">
        <v>0</v>
      </c>
      <c r="Q2155" s="150">
        <v>0</v>
      </c>
      <c r="R2155" s="150">
        <f t="shared" si="1799"/>
        <v>0</v>
      </c>
      <c r="S2155" s="150"/>
      <c r="T2155" s="150"/>
      <c r="U2155" s="150">
        <v>0</v>
      </c>
      <c r="V2155" s="199"/>
      <c r="W2155" s="150">
        <f t="shared" si="1800"/>
        <v>0</v>
      </c>
      <c r="X2155" s="150">
        <v>0</v>
      </c>
      <c r="Y2155" s="150"/>
      <c r="Z2155" s="150">
        <v>0</v>
      </c>
      <c r="AA2155" s="150">
        <f t="shared" si="1781"/>
        <v>0</v>
      </c>
      <c r="AB2155" s="150">
        <v>0</v>
      </c>
      <c r="AC2155" s="199"/>
      <c r="AD2155" s="150">
        <f t="shared" si="1801"/>
        <v>0</v>
      </c>
      <c r="AE2155" s="150">
        <v>0</v>
      </c>
      <c r="AF2155" s="169" t="s">
        <v>4680</v>
      </c>
      <c r="AG2155" s="201">
        <v>0</v>
      </c>
      <c r="AH2155" s="199"/>
      <c r="AI2155" s="150">
        <v>0</v>
      </c>
      <c r="AJ2155" s="169">
        <f t="shared" si="1782"/>
        <v>0</v>
      </c>
      <c r="AK2155" s="201">
        <v>0</v>
      </c>
      <c r="AL2155" s="199"/>
      <c r="AM2155" s="150">
        <f t="shared" si="1802"/>
        <v>0</v>
      </c>
      <c r="AN2155" s="153">
        <f t="shared" si="1783"/>
        <v>0</v>
      </c>
      <c r="AO2155" s="154">
        <f t="shared" si="1784"/>
        <v>0</v>
      </c>
      <c r="AP2155" s="150">
        <v>0</v>
      </c>
      <c r="AQ2155" s="201">
        <v>0</v>
      </c>
      <c r="AR2155" s="199"/>
      <c r="AS2155" s="150">
        <f t="shared" si="1803"/>
        <v>0</v>
      </c>
      <c r="AT2155" s="155"/>
      <c r="AU2155" s="156">
        <f t="shared" si="1779"/>
        <v>0</v>
      </c>
      <c r="AV2155" s="156">
        <f t="shared" si="1780"/>
        <v>0</v>
      </c>
      <c r="AW2155" s="157"/>
      <c r="AX2155" s="150">
        <v>0</v>
      </c>
      <c r="AY2155" s="150">
        <v>0</v>
      </c>
      <c r="AZ2155" s="150"/>
      <c r="BA2155" s="150">
        <f t="shared" si="1804"/>
        <v>0</v>
      </c>
      <c r="BB2155" s="210"/>
      <c r="BC2155" s="210"/>
      <c r="BD2155" s="210"/>
      <c r="BE2155" s="210"/>
      <c r="BF2155" s="210"/>
      <c r="BG2155" s="210"/>
      <c r="BH2155" s="217"/>
      <c r="BI2155" s="210"/>
      <c r="BJ2155" s="210"/>
      <c r="BK2155" s="210"/>
      <c r="BL2155" s="210"/>
      <c r="BM2155" s="208"/>
      <c r="BN2155" s="160"/>
      <c r="BO2155" s="161">
        <f t="shared" si="1776"/>
        <v>0</v>
      </c>
      <c r="BP2155" s="161"/>
    </row>
    <row r="2156" spans="1:68" ht="38.25">
      <c r="A2156" s="210"/>
      <c r="B2156" s="195" t="s">
        <v>10122</v>
      </c>
      <c r="C2156" s="196" t="s">
        <v>10123</v>
      </c>
      <c r="D2156" s="146" t="s">
        <v>4692</v>
      </c>
      <c r="E2156" s="196" t="s">
        <v>10123</v>
      </c>
      <c r="F2156" s="150">
        <v>0</v>
      </c>
      <c r="G2156" s="209">
        <v>0</v>
      </c>
      <c r="H2156" s="209">
        <v>0</v>
      </c>
      <c r="I2156" s="209">
        <v>0</v>
      </c>
      <c r="J2156" s="150">
        <v>0</v>
      </c>
      <c r="K2156" s="150">
        <v>0</v>
      </c>
      <c r="L2156" s="150">
        <f t="shared" si="1786"/>
        <v>0</v>
      </c>
      <c r="M2156" s="150">
        <v>0</v>
      </c>
      <c r="N2156" s="150"/>
      <c r="O2156" s="150">
        <v>0</v>
      </c>
      <c r="P2156" s="150">
        <v>0</v>
      </c>
      <c r="Q2156" s="150">
        <v>0</v>
      </c>
      <c r="R2156" s="150">
        <f t="shared" si="1799"/>
        <v>0</v>
      </c>
      <c r="S2156" s="150"/>
      <c r="T2156" s="150"/>
      <c r="U2156" s="150">
        <v>0</v>
      </c>
      <c r="V2156" s="199"/>
      <c r="W2156" s="150">
        <f t="shared" si="1800"/>
        <v>0</v>
      </c>
      <c r="X2156" s="150">
        <v>0</v>
      </c>
      <c r="Y2156" s="150"/>
      <c r="Z2156" s="150">
        <v>0</v>
      </c>
      <c r="AA2156" s="150">
        <f t="shared" si="1781"/>
        <v>0</v>
      </c>
      <c r="AB2156" s="150">
        <v>0</v>
      </c>
      <c r="AC2156" s="199"/>
      <c r="AD2156" s="150">
        <f t="shared" si="1801"/>
        <v>0</v>
      </c>
      <c r="AE2156" s="150">
        <v>0</v>
      </c>
      <c r="AF2156" s="169" t="s">
        <v>4680</v>
      </c>
      <c r="AG2156" s="201">
        <v>0</v>
      </c>
      <c r="AH2156" s="199"/>
      <c r="AI2156" s="150">
        <v>0</v>
      </c>
      <c r="AJ2156" s="169">
        <f t="shared" si="1782"/>
        <v>0</v>
      </c>
      <c r="AK2156" s="201">
        <v>0</v>
      </c>
      <c r="AL2156" s="199"/>
      <c r="AM2156" s="150">
        <f t="shared" si="1802"/>
        <v>0</v>
      </c>
      <c r="AN2156" s="153">
        <f t="shared" si="1783"/>
        <v>0</v>
      </c>
      <c r="AO2156" s="154">
        <f t="shared" si="1784"/>
        <v>0</v>
      </c>
      <c r="AP2156" s="150">
        <v>0</v>
      </c>
      <c r="AQ2156" s="201">
        <v>0</v>
      </c>
      <c r="AR2156" s="199"/>
      <c r="AS2156" s="150">
        <f t="shared" si="1803"/>
        <v>0</v>
      </c>
      <c r="AT2156" s="155"/>
      <c r="AU2156" s="156">
        <f t="shared" si="1779"/>
        <v>0</v>
      </c>
      <c r="AV2156" s="156">
        <f t="shared" si="1780"/>
        <v>0</v>
      </c>
      <c r="AW2156" s="157"/>
      <c r="AX2156" s="150">
        <v>0</v>
      </c>
      <c r="AY2156" s="150">
        <v>0</v>
      </c>
      <c r="AZ2156" s="150"/>
      <c r="BA2156" s="150">
        <f t="shared" si="1804"/>
        <v>0</v>
      </c>
      <c r="BB2156" s="210"/>
      <c r="BC2156" s="210"/>
      <c r="BD2156" s="210"/>
      <c r="BE2156" s="210"/>
      <c r="BF2156" s="210"/>
      <c r="BG2156" s="210"/>
      <c r="BH2156" s="217"/>
      <c r="BI2156" s="210"/>
      <c r="BJ2156" s="210"/>
      <c r="BK2156" s="210"/>
      <c r="BL2156" s="210"/>
      <c r="BM2156" s="208"/>
      <c r="BN2156" s="160"/>
      <c r="BO2156" s="161">
        <f t="shared" si="1776"/>
        <v>0</v>
      </c>
      <c r="BP2156" s="161"/>
    </row>
    <row r="2157" spans="1:68" ht="25.5">
      <c r="A2157" s="210"/>
      <c r="B2157" s="195" t="s">
        <v>10124</v>
      </c>
      <c r="C2157" s="196" t="s">
        <v>10125</v>
      </c>
      <c r="D2157" s="146" t="s">
        <v>4692</v>
      </c>
      <c r="E2157" s="196" t="s">
        <v>10125</v>
      </c>
      <c r="F2157" s="150">
        <v>0</v>
      </c>
      <c r="G2157" s="209">
        <v>0</v>
      </c>
      <c r="H2157" s="209">
        <v>0</v>
      </c>
      <c r="I2157" s="209">
        <v>0</v>
      </c>
      <c r="J2157" s="150">
        <v>0</v>
      </c>
      <c r="K2157" s="150">
        <v>0</v>
      </c>
      <c r="L2157" s="150">
        <f t="shared" si="1786"/>
        <v>0</v>
      </c>
      <c r="M2157" s="150">
        <v>0</v>
      </c>
      <c r="N2157" s="150"/>
      <c r="O2157" s="150">
        <v>0</v>
      </c>
      <c r="P2157" s="150">
        <v>0</v>
      </c>
      <c r="Q2157" s="150">
        <v>0</v>
      </c>
      <c r="R2157" s="150">
        <f t="shared" si="1799"/>
        <v>0</v>
      </c>
      <c r="S2157" s="150"/>
      <c r="T2157" s="150"/>
      <c r="U2157" s="150">
        <v>0</v>
      </c>
      <c r="V2157" s="199"/>
      <c r="W2157" s="150">
        <f t="shared" si="1800"/>
        <v>0</v>
      </c>
      <c r="X2157" s="150">
        <v>0</v>
      </c>
      <c r="Y2157" s="150"/>
      <c r="Z2157" s="150">
        <v>0</v>
      </c>
      <c r="AA2157" s="150">
        <f t="shared" si="1781"/>
        <v>0</v>
      </c>
      <c r="AB2157" s="150">
        <v>0</v>
      </c>
      <c r="AC2157" s="199"/>
      <c r="AD2157" s="150">
        <f t="shared" si="1801"/>
        <v>0</v>
      </c>
      <c r="AE2157" s="150">
        <v>0</v>
      </c>
      <c r="AF2157" s="169" t="s">
        <v>4680</v>
      </c>
      <c r="AG2157" s="201">
        <v>0</v>
      </c>
      <c r="AH2157" s="199"/>
      <c r="AI2157" s="150">
        <v>0</v>
      </c>
      <c r="AJ2157" s="169">
        <f t="shared" si="1782"/>
        <v>0</v>
      </c>
      <c r="AK2157" s="201">
        <v>0</v>
      </c>
      <c r="AL2157" s="199"/>
      <c r="AM2157" s="150">
        <f t="shared" si="1802"/>
        <v>0</v>
      </c>
      <c r="AN2157" s="153">
        <f t="shared" si="1783"/>
        <v>0</v>
      </c>
      <c r="AO2157" s="154">
        <f t="shared" si="1784"/>
        <v>0</v>
      </c>
      <c r="AP2157" s="150">
        <v>0</v>
      </c>
      <c r="AQ2157" s="201">
        <v>0</v>
      </c>
      <c r="AR2157" s="199"/>
      <c r="AS2157" s="150">
        <f t="shared" si="1803"/>
        <v>0</v>
      </c>
      <c r="AT2157" s="155"/>
      <c r="AU2157" s="156">
        <f t="shared" si="1779"/>
        <v>0</v>
      </c>
      <c r="AV2157" s="156">
        <f t="shared" si="1780"/>
        <v>0</v>
      </c>
      <c r="AW2157" s="157"/>
      <c r="AX2157" s="150">
        <v>0</v>
      </c>
      <c r="AY2157" s="150">
        <v>0</v>
      </c>
      <c r="AZ2157" s="150"/>
      <c r="BA2157" s="150">
        <f t="shared" si="1804"/>
        <v>0</v>
      </c>
      <c r="BB2157" s="210"/>
      <c r="BC2157" s="210"/>
      <c r="BD2157" s="210"/>
      <c r="BE2157" s="210"/>
      <c r="BF2157" s="210"/>
      <c r="BG2157" s="210"/>
      <c r="BH2157" s="217"/>
      <c r="BI2157" s="210"/>
      <c r="BJ2157" s="210"/>
      <c r="BK2157" s="210"/>
      <c r="BL2157" s="210"/>
      <c r="BM2157" s="208"/>
      <c r="BN2157" s="160"/>
      <c r="BO2157" s="161">
        <f t="shared" si="1776"/>
        <v>0</v>
      </c>
      <c r="BP2157" s="161"/>
    </row>
    <row r="2158" spans="1:68" ht="51">
      <c r="A2158" s="194" t="s">
        <v>5997</v>
      </c>
      <c r="B2158" s="195" t="s">
        <v>10126</v>
      </c>
      <c r="C2158" s="196" t="s">
        <v>10095</v>
      </c>
      <c r="D2158" s="146" t="s">
        <v>4692</v>
      </c>
      <c r="E2158" s="196" t="s">
        <v>10095</v>
      </c>
      <c r="F2158" s="150">
        <v>0</v>
      </c>
      <c r="G2158" s="209">
        <v>0</v>
      </c>
      <c r="H2158" s="209">
        <v>0</v>
      </c>
      <c r="I2158" s="209">
        <v>0</v>
      </c>
      <c r="J2158" s="150">
        <v>0</v>
      </c>
      <c r="K2158" s="150">
        <v>0</v>
      </c>
      <c r="L2158" s="150">
        <f t="shared" si="1786"/>
        <v>0</v>
      </c>
      <c r="M2158" s="150">
        <v>0</v>
      </c>
      <c r="N2158" s="150"/>
      <c r="O2158" s="150">
        <v>0</v>
      </c>
      <c r="P2158" s="150">
        <v>0</v>
      </c>
      <c r="Q2158" s="150">
        <v>0</v>
      </c>
      <c r="R2158" s="150">
        <f t="shared" si="1799"/>
        <v>0</v>
      </c>
      <c r="S2158" s="150"/>
      <c r="T2158" s="150"/>
      <c r="U2158" s="150">
        <v>0</v>
      </c>
      <c r="V2158" s="199"/>
      <c r="W2158" s="150">
        <f t="shared" si="1800"/>
        <v>0</v>
      </c>
      <c r="X2158" s="150">
        <v>0</v>
      </c>
      <c r="Y2158" s="150"/>
      <c r="Z2158" s="150">
        <v>0</v>
      </c>
      <c r="AA2158" s="150">
        <f t="shared" si="1781"/>
        <v>0</v>
      </c>
      <c r="AB2158" s="150">
        <v>0</v>
      </c>
      <c r="AC2158" s="199"/>
      <c r="AD2158" s="150">
        <f t="shared" si="1801"/>
        <v>0</v>
      </c>
      <c r="AE2158" s="150">
        <v>0</v>
      </c>
      <c r="AF2158" s="169" t="s">
        <v>4680</v>
      </c>
      <c r="AG2158" s="201">
        <v>0</v>
      </c>
      <c r="AH2158" s="199"/>
      <c r="AI2158" s="150">
        <v>0</v>
      </c>
      <c r="AJ2158" s="169">
        <f t="shared" si="1782"/>
        <v>0</v>
      </c>
      <c r="AK2158" s="201">
        <v>0</v>
      </c>
      <c r="AL2158" s="199"/>
      <c r="AM2158" s="150">
        <f t="shared" si="1802"/>
        <v>0</v>
      </c>
      <c r="AN2158" s="153">
        <f t="shared" si="1783"/>
        <v>0</v>
      </c>
      <c r="AO2158" s="154">
        <f t="shared" si="1784"/>
        <v>0</v>
      </c>
      <c r="AP2158" s="150">
        <v>0</v>
      </c>
      <c r="AQ2158" s="201">
        <v>0</v>
      </c>
      <c r="AR2158" s="199"/>
      <c r="AS2158" s="150">
        <f t="shared" si="1803"/>
        <v>0</v>
      </c>
      <c r="AT2158" s="155"/>
      <c r="AU2158" s="156">
        <f t="shared" si="1779"/>
        <v>0</v>
      </c>
      <c r="AV2158" s="156">
        <f t="shared" si="1780"/>
        <v>0</v>
      </c>
      <c r="AW2158" s="157"/>
      <c r="AX2158" s="150">
        <v>0</v>
      </c>
      <c r="AY2158" s="150">
        <v>0</v>
      </c>
      <c r="AZ2158" s="150"/>
      <c r="BA2158" s="150">
        <f t="shared" si="1804"/>
        <v>0</v>
      </c>
      <c r="BB2158" s="202">
        <v>5</v>
      </c>
      <c r="BC2158" s="202" t="s">
        <v>1257</v>
      </c>
      <c r="BD2158" s="202" t="s">
        <v>647</v>
      </c>
      <c r="BE2158" s="194" t="s">
        <v>632</v>
      </c>
      <c r="BF2158" s="194" t="s">
        <v>739</v>
      </c>
      <c r="BG2158" s="203" t="s">
        <v>10096</v>
      </c>
      <c r="BH2158" s="216">
        <f>AS2158</f>
        <v>0</v>
      </c>
      <c r="BI2158" s="202"/>
      <c r="BJ2158" s="194" t="s">
        <v>5999</v>
      </c>
      <c r="BK2158" s="194" t="s">
        <v>5997</v>
      </c>
      <c r="BL2158" s="207" t="s">
        <v>6000</v>
      </c>
      <c r="BM2158" s="208">
        <f>BH2158</f>
        <v>0</v>
      </c>
      <c r="BN2158" s="160"/>
      <c r="BO2158" s="161">
        <f t="shared" si="1776"/>
        <v>0</v>
      </c>
      <c r="BP2158" s="161"/>
    </row>
    <row r="2159" spans="1:68" ht="25.5">
      <c r="A2159" s="194" t="s">
        <v>5997</v>
      </c>
      <c r="B2159" s="195" t="s">
        <v>10127</v>
      </c>
      <c r="C2159" s="196" t="s">
        <v>10128</v>
      </c>
      <c r="D2159" s="146" t="s">
        <v>4692</v>
      </c>
      <c r="E2159" s="196" t="s">
        <v>10128</v>
      </c>
      <c r="F2159" s="150">
        <v>0</v>
      </c>
      <c r="G2159" s="209">
        <v>0</v>
      </c>
      <c r="H2159" s="209">
        <v>5399131.666666666</v>
      </c>
      <c r="I2159" s="209">
        <v>5399131.666666666</v>
      </c>
      <c r="J2159" s="150">
        <v>0</v>
      </c>
      <c r="K2159" s="150">
        <v>0</v>
      </c>
      <c r="L2159" s="150">
        <f t="shared" si="1786"/>
        <v>0</v>
      </c>
      <c r="M2159" s="150">
        <v>0</v>
      </c>
      <c r="N2159" s="150"/>
      <c r="O2159" s="150">
        <v>0</v>
      </c>
      <c r="P2159" s="150">
        <v>0</v>
      </c>
      <c r="Q2159" s="150">
        <v>0</v>
      </c>
      <c r="R2159" s="150">
        <f t="shared" si="1799"/>
        <v>0</v>
      </c>
      <c r="S2159" s="150"/>
      <c r="T2159" s="150"/>
      <c r="U2159" s="150">
        <v>0</v>
      </c>
      <c r="V2159" s="199"/>
      <c r="W2159" s="150">
        <f t="shared" si="1800"/>
        <v>0</v>
      </c>
      <c r="X2159" s="150">
        <v>0</v>
      </c>
      <c r="Y2159" s="150"/>
      <c r="Z2159" s="150">
        <v>0</v>
      </c>
      <c r="AA2159" s="150">
        <f t="shared" si="1781"/>
        <v>0</v>
      </c>
      <c r="AB2159" s="150">
        <v>0</v>
      </c>
      <c r="AC2159" s="199"/>
      <c r="AD2159" s="150">
        <f t="shared" si="1801"/>
        <v>0</v>
      </c>
      <c r="AE2159" s="150">
        <v>0</v>
      </c>
      <c r="AF2159" s="169" t="s">
        <v>4680</v>
      </c>
      <c r="AG2159" s="201">
        <v>0</v>
      </c>
      <c r="AH2159" s="199"/>
      <c r="AI2159" s="150">
        <v>0</v>
      </c>
      <c r="AJ2159" s="169">
        <f t="shared" si="1782"/>
        <v>0</v>
      </c>
      <c r="AK2159" s="201">
        <v>0</v>
      </c>
      <c r="AL2159" s="199"/>
      <c r="AM2159" s="150">
        <f t="shared" si="1802"/>
        <v>0</v>
      </c>
      <c r="AN2159" s="153">
        <f t="shared" si="1783"/>
        <v>0</v>
      </c>
      <c r="AO2159" s="154">
        <f t="shared" si="1784"/>
        <v>0</v>
      </c>
      <c r="AP2159" s="150">
        <v>0</v>
      </c>
      <c r="AQ2159" s="201">
        <v>0</v>
      </c>
      <c r="AR2159" s="199"/>
      <c r="AS2159" s="150">
        <f t="shared" si="1803"/>
        <v>0</v>
      </c>
      <c r="AT2159" s="155"/>
      <c r="AU2159" s="156">
        <f t="shared" si="1779"/>
        <v>0</v>
      </c>
      <c r="AV2159" s="156">
        <f t="shared" si="1780"/>
        <v>0</v>
      </c>
      <c r="AW2159" s="157"/>
      <c r="AX2159" s="150">
        <v>0</v>
      </c>
      <c r="AY2159" s="150">
        <v>0</v>
      </c>
      <c r="AZ2159" s="150"/>
      <c r="BA2159" s="150">
        <f t="shared" si="1804"/>
        <v>0</v>
      </c>
      <c r="BB2159" s="202">
        <v>5</v>
      </c>
      <c r="BC2159" s="202" t="s">
        <v>1257</v>
      </c>
      <c r="BD2159" s="202" t="s">
        <v>647</v>
      </c>
      <c r="BE2159" s="194" t="s">
        <v>632</v>
      </c>
      <c r="BF2159" s="194" t="s">
        <v>1124</v>
      </c>
      <c r="BG2159" s="203" t="s">
        <v>10129</v>
      </c>
      <c r="BH2159" s="216">
        <f>AS2159</f>
        <v>0</v>
      </c>
      <c r="BI2159" s="202"/>
      <c r="BJ2159" s="194" t="s">
        <v>5999</v>
      </c>
      <c r="BK2159" s="194" t="s">
        <v>5997</v>
      </c>
      <c r="BL2159" s="207" t="s">
        <v>6000</v>
      </c>
      <c r="BM2159" s="208">
        <f>BH2159</f>
        <v>0</v>
      </c>
      <c r="BN2159" s="160"/>
      <c r="BO2159" s="161">
        <f t="shared" si="1776"/>
        <v>0</v>
      </c>
      <c r="BP2159" s="161"/>
    </row>
    <row r="2160" spans="1:68" ht="25.5">
      <c r="A2160" s="162" t="s">
        <v>10130</v>
      </c>
      <c r="B2160" s="163"/>
      <c r="C2160" s="164" t="s">
        <v>10131</v>
      </c>
      <c r="D2160" s="146" t="s">
        <v>4692</v>
      </c>
      <c r="E2160" s="164" t="s">
        <v>10131</v>
      </c>
      <c r="F2160" s="165">
        <v>12907902.15</v>
      </c>
      <c r="G2160" s="166">
        <v>0</v>
      </c>
      <c r="H2160" s="166">
        <v>5159666.666666666</v>
      </c>
      <c r="I2160" s="166">
        <v>5159666.666666666</v>
      </c>
      <c r="J2160" s="165">
        <f>J2161+J2175+J2178+J2204</f>
        <v>0</v>
      </c>
      <c r="K2160" s="165">
        <f>K2161+K2175+K2178+K2204</f>
        <v>1319916.6666666665</v>
      </c>
      <c r="L2160" s="165">
        <f t="shared" si="1786"/>
        <v>1319916.6666666665</v>
      </c>
      <c r="M2160" s="165">
        <v>0</v>
      </c>
      <c r="N2160" s="165">
        <v>2306719.2833333332</v>
      </c>
      <c r="O2160" s="167">
        <v>2306719.2833333332</v>
      </c>
      <c r="P2160" s="232">
        <f t="shared" ref="P2160:R2160" si="1805">P2161+P2175+P2178+P2204</f>
        <v>0</v>
      </c>
      <c r="Q2160" s="232">
        <f t="shared" si="1805"/>
        <v>3460078.9249999998</v>
      </c>
      <c r="R2160" s="232">
        <f t="shared" si="1805"/>
        <v>3460078.9249999998</v>
      </c>
      <c r="S2160" s="150">
        <f t="shared" ref="S2160:S2223" si="1806">R2160/9*12</f>
        <v>4613438.5666666664</v>
      </c>
      <c r="T2160" s="213"/>
      <c r="U2160" s="232">
        <f t="shared" ref="U2160:W2160" si="1807">U2161+U2175+U2178+U2204</f>
        <v>10000</v>
      </c>
      <c r="V2160" s="233">
        <f t="shared" si="1807"/>
        <v>7238625</v>
      </c>
      <c r="W2160" s="232">
        <f t="shared" si="1807"/>
        <v>7248625</v>
      </c>
      <c r="X2160" s="232">
        <v>10000</v>
      </c>
      <c r="Y2160" s="232">
        <v>7238625</v>
      </c>
      <c r="Z2160" s="232">
        <v>7248625</v>
      </c>
      <c r="AA2160" s="232">
        <f t="shared" si="1781"/>
        <v>5474569.6799999997</v>
      </c>
      <c r="AB2160" s="232">
        <v>10000</v>
      </c>
      <c r="AC2160" s="233">
        <v>12713194.68</v>
      </c>
      <c r="AD2160" s="232">
        <f t="shared" ref="AD2160" si="1808">AD2161+AD2175+AD2178+AD2204</f>
        <v>12723194.68</v>
      </c>
      <c r="AE2160" s="232">
        <v>11211319.68</v>
      </c>
      <c r="AF2160" s="169" t="s">
        <v>4680</v>
      </c>
      <c r="AG2160" s="234">
        <v>10000</v>
      </c>
      <c r="AH2160" s="233">
        <v>11201319.68</v>
      </c>
      <c r="AI2160" s="232">
        <v>11211319.68</v>
      </c>
      <c r="AJ2160" s="169">
        <f t="shared" si="1782"/>
        <v>1040000</v>
      </c>
      <c r="AK2160" s="234">
        <v>10000</v>
      </c>
      <c r="AL2160" s="233">
        <v>12241319.68</v>
      </c>
      <c r="AM2160" s="232">
        <f t="shared" ref="AM2160" si="1809">AM2161+AM2175+AM2178+AM2204</f>
        <v>12251319.68</v>
      </c>
      <c r="AN2160" s="153">
        <f t="shared" si="1783"/>
        <v>3383081.6899999995</v>
      </c>
      <c r="AO2160" s="154">
        <f t="shared" si="1784"/>
        <v>3383081.6899999995</v>
      </c>
      <c r="AP2160" s="232">
        <v>12251319.68</v>
      </c>
      <c r="AQ2160" s="234">
        <v>15634401.369999999</v>
      </c>
      <c r="AR2160" s="233">
        <f t="shared" ref="AR2160:AS2160" si="1810">AR2161+AR2175+AR2178+AR2204</f>
        <v>0</v>
      </c>
      <c r="AS2160" s="232">
        <f t="shared" si="1810"/>
        <v>15634401.369999999</v>
      </c>
      <c r="AT2160" s="155"/>
      <c r="AU2160" s="156">
        <f t="shared" si="1779"/>
        <v>-471875</v>
      </c>
      <c r="AV2160" s="156">
        <f t="shared" si="1780"/>
        <v>5474569.6799999997</v>
      </c>
      <c r="AW2160" s="157"/>
      <c r="AX2160" s="150">
        <v>7248625</v>
      </c>
      <c r="AY2160" s="232">
        <f t="shared" ref="AY2160:BA2160" si="1811">AY2161+AY2175+AY2178+AY2204</f>
        <v>0</v>
      </c>
      <c r="AZ2160" s="232">
        <f t="shared" si="1811"/>
        <v>3959666.6666666665</v>
      </c>
      <c r="BA2160" s="232">
        <f t="shared" si="1811"/>
        <v>3959666.6666666665</v>
      </c>
      <c r="BB2160" s="171">
        <v>5</v>
      </c>
      <c r="BC2160" s="162" t="s">
        <v>1332</v>
      </c>
      <c r="BD2160" s="162" t="s">
        <v>630</v>
      </c>
      <c r="BE2160" s="162" t="s">
        <v>630</v>
      </c>
      <c r="BF2160" s="162" t="s">
        <v>630</v>
      </c>
      <c r="BG2160" s="164" t="s">
        <v>10131</v>
      </c>
      <c r="BH2160" s="235">
        <f>BH2161+BH2175+BH2178+BH2204</f>
        <v>15634401.369999999</v>
      </c>
      <c r="BI2160" s="171"/>
      <c r="BJ2160" s="162" t="s">
        <v>10132</v>
      </c>
      <c r="BK2160" s="162" t="s">
        <v>10130</v>
      </c>
      <c r="BL2160" s="172" t="s">
        <v>10133</v>
      </c>
      <c r="BM2160" s="349">
        <f>BM2161+BM2175+BM2178+BM2204</f>
        <v>15634401.369999999</v>
      </c>
      <c r="BN2160" s="160"/>
      <c r="BO2160" s="161">
        <f t="shared" si="1776"/>
        <v>0</v>
      </c>
      <c r="BP2160" s="161"/>
    </row>
    <row r="2161" spans="1:68" ht="25.5">
      <c r="A2161" s="173" t="s">
        <v>10134</v>
      </c>
      <c r="B2161" s="174"/>
      <c r="C2161" s="175" t="s">
        <v>10135</v>
      </c>
      <c r="D2161" s="146" t="s">
        <v>4692</v>
      </c>
      <c r="E2161" s="175" t="s">
        <v>10135</v>
      </c>
      <c r="F2161" s="176">
        <v>7471479.6699999999</v>
      </c>
      <c r="G2161" s="177">
        <v>0</v>
      </c>
      <c r="H2161" s="177">
        <v>5159666.666666666</v>
      </c>
      <c r="I2161" s="177">
        <v>5159666.666666666</v>
      </c>
      <c r="J2161" s="176">
        <f>J2162</f>
        <v>0</v>
      </c>
      <c r="K2161" s="176">
        <f>K2162</f>
        <v>1289916.6666666665</v>
      </c>
      <c r="L2161" s="176">
        <f t="shared" si="1786"/>
        <v>1289916.6666666665</v>
      </c>
      <c r="M2161" s="176">
        <v>0</v>
      </c>
      <c r="N2161" s="176">
        <v>2279833.333333333</v>
      </c>
      <c r="O2161" s="178">
        <v>2279833.333333333</v>
      </c>
      <c r="P2161" s="221">
        <f t="shared" ref="P2161:AS2161" si="1812">P2162</f>
        <v>0</v>
      </c>
      <c r="Q2161" s="221">
        <f t="shared" si="1812"/>
        <v>3419750</v>
      </c>
      <c r="R2161" s="221">
        <f t="shared" si="1812"/>
        <v>3419750</v>
      </c>
      <c r="S2161" s="150">
        <f t="shared" si="1806"/>
        <v>4559666.666666667</v>
      </c>
      <c r="T2161" s="213"/>
      <c r="U2161" s="221">
        <f t="shared" ref="U2161:W2161" si="1813">U2162</f>
        <v>0</v>
      </c>
      <c r="V2161" s="222">
        <f t="shared" si="1813"/>
        <v>7238625</v>
      </c>
      <c r="W2161" s="221">
        <f t="shared" si="1813"/>
        <v>7238625</v>
      </c>
      <c r="X2161" s="221">
        <v>0</v>
      </c>
      <c r="Y2161" s="221">
        <v>7238625</v>
      </c>
      <c r="Z2161" s="221">
        <v>7238625</v>
      </c>
      <c r="AA2161" s="221">
        <f t="shared" si="1781"/>
        <v>1411875</v>
      </c>
      <c r="AB2161" s="221">
        <v>0</v>
      </c>
      <c r="AC2161" s="222">
        <v>8650500</v>
      </c>
      <c r="AD2161" s="221">
        <f t="shared" si="1812"/>
        <v>8650500</v>
      </c>
      <c r="AE2161" s="221">
        <v>7238625</v>
      </c>
      <c r="AF2161" s="169" t="s">
        <v>4680</v>
      </c>
      <c r="AG2161" s="223">
        <v>0</v>
      </c>
      <c r="AH2161" s="222">
        <v>7238625</v>
      </c>
      <c r="AI2161" s="221">
        <v>7238625</v>
      </c>
      <c r="AJ2161" s="169">
        <f t="shared" si="1782"/>
        <v>700000</v>
      </c>
      <c r="AK2161" s="223">
        <v>0</v>
      </c>
      <c r="AL2161" s="222">
        <v>7938625</v>
      </c>
      <c r="AM2161" s="221">
        <f t="shared" si="1812"/>
        <v>7938625</v>
      </c>
      <c r="AN2161" s="153">
        <f t="shared" si="1783"/>
        <v>542168</v>
      </c>
      <c r="AO2161" s="154">
        <f t="shared" si="1784"/>
        <v>542168</v>
      </c>
      <c r="AP2161" s="221">
        <v>7938625</v>
      </c>
      <c r="AQ2161" s="223">
        <v>8480793</v>
      </c>
      <c r="AR2161" s="222">
        <f t="shared" si="1812"/>
        <v>0</v>
      </c>
      <c r="AS2161" s="221">
        <f t="shared" si="1812"/>
        <v>8480793</v>
      </c>
      <c r="AT2161" s="155"/>
      <c r="AU2161" s="156">
        <f t="shared" si="1779"/>
        <v>-711875</v>
      </c>
      <c r="AV2161" s="156">
        <f t="shared" si="1780"/>
        <v>1411875</v>
      </c>
      <c r="AW2161" s="157"/>
      <c r="AX2161" s="150">
        <v>7238625</v>
      </c>
      <c r="AY2161" s="221">
        <f t="shared" ref="AY2161:BA2161" si="1814">AY2162</f>
        <v>0</v>
      </c>
      <c r="AZ2161" s="221">
        <f t="shared" si="1814"/>
        <v>3959666.6666666665</v>
      </c>
      <c r="BA2161" s="221">
        <f t="shared" si="1814"/>
        <v>3959666.6666666665</v>
      </c>
      <c r="BB2161" s="181">
        <v>5</v>
      </c>
      <c r="BC2161" s="173" t="s">
        <v>1332</v>
      </c>
      <c r="BD2161" s="173" t="s">
        <v>632</v>
      </c>
      <c r="BE2161" s="173" t="s">
        <v>630</v>
      </c>
      <c r="BF2161" s="173" t="s">
        <v>630</v>
      </c>
      <c r="BG2161" s="175" t="s">
        <v>10135</v>
      </c>
      <c r="BH2161" s="224">
        <f>BH2162</f>
        <v>8480793</v>
      </c>
      <c r="BI2161" s="181"/>
      <c r="BJ2161" s="173" t="s">
        <v>10136</v>
      </c>
      <c r="BK2161" s="173" t="s">
        <v>10134</v>
      </c>
      <c r="BL2161" s="182" t="s">
        <v>10137</v>
      </c>
      <c r="BM2161" s="337">
        <f>BM2162</f>
        <v>8480793</v>
      </c>
      <c r="BN2161" s="160"/>
      <c r="BO2161" s="161">
        <f t="shared" ref="BO2161:BO2224" si="1815">BM2161-AS2161</f>
        <v>0</v>
      </c>
      <c r="BP2161" s="161"/>
    </row>
    <row r="2162" spans="1:68" ht="25.5">
      <c r="A2162" s="183" t="s">
        <v>10134</v>
      </c>
      <c r="B2162" s="184"/>
      <c r="C2162" s="185" t="s">
        <v>10135</v>
      </c>
      <c r="D2162" s="146" t="s">
        <v>4692</v>
      </c>
      <c r="E2162" s="185" t="s">
        <v>10135</v>
      </c>
      <c r="F2162" s="188">
        <v>7471479.6699999999</v>
      </c>
      <c r="G2162" s="187">
        <v>0</v>
      </c>
      <c r="H2162" s="187">
        <v>2640666.6666666665</v>
      </c>
      <c r="I2162" s="187">
        <v>2640666.6666666665</v>
      </c>
      <c r="J2162" s="188">
        <f>SUM(J2163:J2174)</f>
        <v>0</v>
      </c>
      <c r="K2162" s="188">
        <f>SUM(K2163:K2174)</f>
        <v>1289916.6666666665</v>
      </c>
      <c r="L2162" s="188">
        <f t="shared" si="1786"/>
        <v>1289916.6666666665</v>
      </c>
      <c r="M2162" s="188">
        <v>0</v>
      </c>
      <c r="N2162" s="188">
        <v>2279833.333333333</v>
      </c>
      <c r="O2162" s="188">
        <v>2279833.333333333</v>
      </c>
      <c r="P2162" s="299">
        <f t="shared" ref="P2162:R2162" si="1816">SUM(P2163:P2174)</f>
        <v>0</v>
      </c>
      <c r="Q2162" s="299">
        <f t="shared" si="1816"/>
        <v>3419750</v>
      </c>
      <c r="R2162" s="299">
        <f t="shared" si="1816"/>
        <v>3419750</v>
      </c>
      <c r="S2162" s="150">
        <f t="shared" si="1806"/>
        <v>4559666.666666667</v>
      </c>
      <c r="T2162" s="213"/>
      <c r="U2162" s="299">
        <f t="shared" ref="U2162:W2162" si="1817">SUM(U2163:U2174)</f>
        <v>0</v>
      </c>
      <c r="V2162" s="226">
        <f t="shared" si="1817"/>
        <v>7238625</v>
      </c>
      <c r="W2162" s="299">
        <f t="shared" si="1817"/>
        <v>7238625</v>
      </c>
      <c r="X2162" s="299">
        <v>0</v>
      </c>
      <c r="Y2162" s="299">
        <v>7238625</v>
      </c>
      <c r="Z2162" s="299">
        <v>7238625</v>
      </c>
      <c r="AA2162" s="299">
        <f t="shared" si="1781"/>
        <v>1411875</v>
      </c>
      <c r="AB2162" s="299">
        <v>0</v>
      </c>
      <c r="AC2162" s="226">
        <v>8650500</v>
      </c>
      <c r="AD2162" s="299">
        <f t="shared" ref="AD2162" si="1818">SUM(AD2163:AD2174)</f>
        <v>8650500</v>
      </c>
      <c r="AE2162" s="299">
        <v>7238625</v>
      </c>
      <c r="AF2162" s="169" t="s">
        <v>4680</v>
      </c>
      <c r="AG2162" s="301">
        <v>0</v>
      </c>
      <c r="AH2162" s="226">
        <v>7238625</v>
      </c>
      <c r="AI2162" s="299">
        <v>7238625</v>
      </c>
      <c r="AJ2162" s="169">
        <f t="shared" si="1782"/>
        <v>700000</v>
      </c>
      <c r="AK2162" s="301">
        <v>0</v>
      </c>
      <c r="AL2162" s="226">
        <v>7938625</v>
      </c>
      <c r="AM2162" s="299">
        <f t="shared" ref="AM2162" si="1819">SUM(AM2163:AM2174)</f>
        <v>7938625</v>
      </c>
      <c r="AN2162" s="153">
        <f t="shared" si="1783"/>
        <v>542168</v>
      </c>
      <c r="AO2162" s="154">
        <f t="shared" si="1784"/>
        <v>542168</v>
      </c>
      <c r="AP2162" s="299">
        <v>7938625</v>
      </c>
      <c r="AQ2162" s="301">
        <v>8480793</v>
      </c>
      <c r="AR2162" s="226">
        <f t="shared" ref="AR2162:AS2162" si="1820">SUM(AR2163:AR2174)</f>
        <v>0</v>
      </c>
      <c r="AS2162" s="299">
        <f t="shared" si="1820"/>
        <v>8480793</v>
      </c>
      <c r="AT2162" s="155"/>
      <c r="AU2162" s="156">
        <f t="shared" si="1779"/>
        <v>-711875</v>
      </c>
      <c r="AV2162" s="156">
        <f t="shared" si="1780"/>
        <v>1411875</v>
      </c>
      <c r="AW2162" s="157"/>
      <c r="AX2162" s="150">
        <v>7238625</v>
      </c>
      <c r="AY2162" s="299">
        <f t="shared" ref="AY2162:BA2162" si="1821">SUM(AY2163:AY2174)</f>
        <v>0</v>
      </c>
      <c r="AZ2162" s="299">
        <f t="shared" si="1821"/>
        <v>3959666.6666666665</v>
      </c>
      <c r="BA2162" s="299">
        <f t="shared" si="1821"/>
        <v>3959666.6666666665</v>
      </c>
      <c r="BB2162" s="191">
        <v>5</v>
      </c>
      <c r="BC2162" s="183" t="s">
        <v>1332</v>
      </c>
      <c r="BD2162" s="183" t="s">
        <v>632</v>
      </c>
      <c r="BE2162" s="183" t="s">
        <v>632</v>
      </c>
      <c r="BF2162" s="183" t="s">
        <v>630</v>
      </c>
      <c r="BG2162" s="185" t="s">
        <v>10135</v>
      </c>
      <c r="BH2162" s="215">
        <f>BH2163+BH2164+BH2165+BH2166+BH2167+BH2168+BH2174</f>
        <v>8480793</v>
      </c>
      <c r="BI2162" s="191"/>
      <c r="BJ2162" s="183" t="s">
        <v>10136</v>
      </c>
      <c r="BK2162" s="183" t="s">
        <v>10134</v>
      </c>
      <c r="BL2162" s="238" t="s">
        <v>10137</v>
      </c>
      <c r="BM2162" s="338">
        <f>BM2163+BM2164+BM2165+BM2166+BM2167+BM2168+BM2174</f>
        <v>8480793</v>
      </c>
      <c r="BN2162" s="160"/>
      <c r="BO2162" s="161">
        <f t="shared" si="1815"/>
        <v>0</v>
      </c>
      <c r="BP2162" s="161"/>
    </row>
    <row r="2163" spans="1:68" ht="53.25" customHeight="1">
      <c r="A2163" s="194" t="s">
        <v>471</v>
      </c>
      <c r="B2163" s="195" t="s">
        <v>10138</v>
      </c>
      <c r="C2163" s="196" t="s">
        <v>10139</v>
      </c>
      <c r="D2163" s="146" t="s">
        <v>4692</v>
      </c>
      <c r="E2163" s="196" t="s">
        <v>10139</v>
      </c>
      <c r="F2163" s="150">
        <v>4552479.67</v>
      </c>
      <c r="G2163" s="209">
        <v>0</v>
      </c>
      <c r="H2163" s="209">
        <v>1800000</v>
      </c>
      <c r="I2163" s="209">
        <v>1800000</v>
      </c>
      <c r="J2163" s="150">
        <v>0</v>
      </c>
      <c r="K2163" s="150">
        <v>660166.66666666663</v>
      </c>
      <c r="L2163" s="150">
        <f t="shared" si="1786"/>
        <v>660166.66666666663</v>
      </c>
      <c r="M2163" s="150">
        <v>0</v>
      </c>
      <c r="N2163" s="150">
        <v>1320333.3333333333</v>
      </c>
      <c r="O2163" s="150">
        <v>1320333.3333333333</v>
      </c>
      <c r="P2163" s="150">
        <v>0</v>
      </c>
      <c r="Q2163" s="237">
        <f>O2163/6*9</f>
        <v>1980499.9999999998</v>
      </c>
      <c r="R2163" s="150">
        <f t="shared" ref="R2163:R2174" si="1822">P2163+Q2163</f>
        <v>1980499.9999999998</v>
      </c>
      <c r="S2163" s="150">
        <f t="shared" si="1806"/>
        <v>2640666.6666666665</v>
      </c>
      <c r="T2163" s="150"/>
      <c r="U2163" s="150">
        <v>0</v>
      </c>
      <c r="V2163" s="230">
        <v>4600000</v>
      </c>
      <c r="W2163" s="150">
        <f t="shared" ref="W2163:W2174" si="1823">U2163+V2163</f>
        <v>4600000</v>
      </c>
      <c r="X2163" s="150">
        <v>0</v>
      </c>
      <c r="Y2163" s="150">
        <v>4600000</v>
      </c>
      <c r="Z2163" s="150">
        <v>4600000</v>
      </c>
      <c r="AA2163" s="150">
        <f t="shared" si="1781"/>
        <v>910000</v>
      </c>
      <c r="AB2163" s="150">
        <v>0</v>
      </c>
      <c r="AC2163" s="199">
        <v>5510000</v>
      </c>
      <c r="AD2163" s="150">
        <f t="shared" ref="AD2163:AD2174" si="1824">AB2163+AC2163</f>
        <v>5510000</v>
      </c>
      <c r="AE2163" s="150">
        <v>4600000</v>
      </c>
      <c r="AF2163" s="169" t="s">
        <v>4680</v>
      </c>
      <c r="AG2163" s="201">
        <v>0</v>
      </c>
      <c r="AH2163" s="241">
        <v>4600000</v>
      </c>
      <c r="AI2163" s="150">
        <v>4600000</v>
      </c>
      <c r="AJ2163" s="169">
        <f t="shared" si="1782"/>
        <v>0</v>
      </c>
      <c r="AK2163" s="201">
        <v>0</v>
      </c>
      <c r="AL2163" s="358">
        <v>4600000</v>
      </c>
      <c r="AM2163" s="150">
        <f t="shared" ref="AM2163:AM2174" si="1825">AK2163+AL2163</f>
        <v>4600000</v>
      </c>
      <c r="AN2163" s="153">
        <f t="shared" si="1783"/>
        <v>0</v>
      </c>
      <c r="AO2163" s="154">
        <f t="shared" si="1784"/>
        <v>0</v>
      </c>
      <c r="AP2163" s="150">
        <v>4600000</v>
      </c>
      <c r="AQ2163" s="201">
        <v>4600000</v>
      </c>
      <c r="AR2163" s="199"/>
      <c r="AS2163" s="150">
        <f t="shared" ref="AS2163:AS2174" si="1826">AQ2163+AR2163</f>
        <v>4600000</v>
      </c>
      <c r="AT2163" s="155" t="s">
        <v>10140</v>
      </c>
      <c r="AU2163" s="156">
        <f t="shared" si="1779"/>
        <v>-910000</v>
      </c>
      <c r="AV2163" s="156">
        <f t="shared" si="1780"/>
        <v>910000</v>
      </c>
      <c r="AW2163" s="157" t="s">
        <v>10141</v>
      </c>
      <c r="AX2163" s="150">
        <v>4600000</v>
      </c>
      <c r="AY2163" s="150">
        <v>0</v>
      </c>
      <c r="AZ2163" s="150">
        <f>O2163*2</f>
        <v>2640666.6666666665</v>
      </c>
      <c r="BA2163" s="150">
        <f t="shared" si="1804"/>
        <v>2640666.6666666665</v>
      </c>
      <c r="BB2163" s="202">
        <v>5</v>
      </c>
      <c r="BC2163" s="202" t="s">
        <v>1332</v>
      </c>
      <c r="BD2163" s="202" t="s">
        <v>632</v>
      </c>
      <c r="BE2163" s="202" t="s">
        <v>632</v>
      </c>
      <c r="BF2163" s="202" t="s">
        <v>632</v>
      </c>
      <c r="BG2163" s="203" t="s">
        <v>112</v>
      </c>
      <c r="BH2163" s="216">
        <f>AS2163</f>
        <v>4600000</v>
      </c>
      <c r="BI2163" s="202"/>
      <c r="BJ2163" s="194" t="s">
        <v>10142</v>
      </c>
      <c r="BK2163" s="194" t="s">
        <v>471</v>
      </c>
      <c r="BL2163" s="207" t="s">
        <v>10143</v>
      </c>
      <c r="BM2163" s="208">
        <f t="shared" ref="BM2163:BM2168" si="1827">BH2163</f>
        <v>4600000</v>
      </c>
      <c r="BN2163" s="160"/>
      <c r="BO2163" s="161">
        <f t="shared" si="1815"/>
        <v>0</v>
      </c>
      <c r="BP2163" s="161"/>
    </row>
    <row r="2164" spans="1:68" ht="38.25">
      <c r="A2164" s="194" t="s">
        <v>472</v>
      </c>
      <c r="B2164" s="195" t="s">
        <v>10144</v>
      </c>
      <c r="C2164" s="196" t="s">
        <v>10145</v>
      </c>
      <c r="D2164" s="146" t="s">
        <v>4692</v>
      </c>
      <c r="E2164" s="196" t="s">
        <v>10145</v>
      </c>
      <c r="F2164" s="150">
        <v>2200000</v>
      </c>
      <c r="G2164" s="209">
        <v>0</v>
      </c>
      <c r="H2164" s="209"/>
      <c r="I2164" s="209">
        <v>0</v>
      </c>
      <c r="J2164" s="150">
        <v>0</v>
      </c>
      <c r="K2164" s="150">
        <v>450000</v>
      </c>
      <c r="L2164" s="150">
        <f t="shared" si="1786"/>
        <v>450000</v>
      </c>
      <c r="M2164" s="150">
        <v>0</v>
      </c>
      <c r="N2164" s="150">
        <v>600000</v>
      </c>
      <c r="O2164" s="150">
        <v>600000</v>
      </c>
      <c r="P2164" s="150">
        <v>0</v>
      </c>
      <c r="Q2164" s="237">
        <f>O2164/6*9</f>
        <v>900000</v>
      </c>
      <c r="R2164" s="150">
        <f t="shared" si="1822"/>
        <v>900000</v>
      </c>
      <c r="S2164" s="150">
        <f t="shared" si="1806"/>
        <v>1200000</v>
      </c>
      <c r="T2164" s="150"/>
      <c r="U2164" s="150">
        <v>0</v>
      </c>
      <c r="V2164" s="230">
        <f>Q2164/6*11</f>
        <v>1650000</v>
      </c>
      <c r="W2164" s="150">
        <f t="shared" si="1823"/>
        <v>1650000</v>
      </c>
      <c r="X2164" s="150">
        <v>0</v>
      </c>
      <c r="Y2164" s="150">
        <v>1650000</v>
      </c>
      <c r="Z2164" s="150">
        <v>1650000</v>
      </c>
      <c r="AA2164" s="150">
        <f t="shared" si="1781"/>
        <v>505500</v>
      </c>
      <c r="AB2164" s="150">
        <v>0</v>
      </c>
      <c r="AC2164" s="230">
        <v>2155500</v>
      </c>
      <c r="AD2164" s="150">
        <f t="shared" si="1824"/>
        <v>2155500</v>
      </c>
      <c r="AE2164" s="150">
        <v>1650000</v>
      </c>
      <c r="AF2164" s="169" t="s">
        <v>4680</v>
      </c>
      <c r="AG2164" s="201">
        <v>0</v>
      </c>
      <c r="AH2164" s="241">
        <v>1650000</v>
      </c>
      <c r="AI2164" s="150">
        <v>1650000</v>
      </c>
      <c r="AJ2164" s="169">
        <f t="shared" si="1782"/>
        <v>700000</v>
      </c>
      <c r="AK2164" s="201">
        <v>0</v>
      </c>
      <c r="AL2164" s="358">
        <v>2350000</v>
      </c>
      <c r="AM2164" s="150">
        <f t="shared" si="1825"/>
        <v>2350000</v>
      </c>
      <c r="AN2164" s="153">
        <f t="shared" si="1783"/>
        <v>0</v>
      </c>
      <c r="AO2164" s="154">
        <f t="shared" si="1784"/>
        <v>0</v>
      </c>
      <c r="AP2164" s="150">
        <v>2350000</v>
      </c>
      <c r="AQ2164" s="201">
        <v>2350000</v>
      </c>
      <c r="AR2164" s="199"/>
      <c r="AS2164" s="150">
        <f t="shared" si="1826"/>
        <v>2350000</v>
      </c>
      <c r="AT2164" s="155"/>
      <c r="AU2164" s="156">
        <f t="shared" si="1779"/>
        <v>194500</v>
      </c>
      <c r="AV2164" s="156">
        <f t="shared" si="1780"/>
        <v>505500</v>
      </c>
      <c r="AW2164" s="157" t="s">
        <v>10146</v>
      </c>
      <c r="AX2164" s="150">
        <v>1650000</v>
      </c>
      <c r="AY2164" s="150">
        <v>0</v>
      </c>
      <c r="AZ2164" s="150">
        <v>600000</v>
      </c>
      <c r="BA2164" s="150">
        <f t="shared" si="1804"/>
        <v>600000</v>
      </c>
      <c r="BB2164" s="202">
        <v>5</v>
      </c>
      <c r="BC2164" s="202" t="s">
        <v>1332</v>
      </c>
      <c r="BD2164" s="202" t="s">
        <v>632</v>
      </c>
      <c r="BE2164" s="202" t="s">
        <v>632</v>
      </c>
      <c r="BF2164" s="202" t="s">
        <v>647</v>
      </c>
      <c r="BG2164" s="203" t="s">
        <v>113</v>
      </c>
      <c r="BH2164" s="216">
        <f>AS2164</f>
        <v>2350000</v>
      </c>
      <c r="BI2164" s="202"/>
      <c r="BJ2164" s="194" t="s">
        <v>10147</v>
      </c>
      <c r="BK2164" s="194" t="s">
        <v>472</v>
      </c>
      <c r="BL2164" s="207" t="s">
        <v>10148</v>
      </c>
      <c r="BM2164" s="208">
        <f t="shared" si="1827"/>
        <v>2350000</v>
      </c>
      <c r="BN2164" s="160"/>
      <c r="BO2164" s="161">
        <f t="shared" si="1815"/>
        <v>0</v>
      </c>
      <c r="BP2164" s="161"/>
    </row>
    <row r="2165" spans="1:68" ht="38.25">
      <c r="A2165" s="194" t="s">
        <v>473</v>
      </c>
      <c r="B2165" s="195" t="s">
        <v>10149</v>
      </c>
      <c r="C2165" s="196" t="s">
        <v>10150</v>
      </c>
      <c r="D2165" s="146" t="s">
        <v>4692</v>
      </c>
      <c r="E2165" s="196" t="s">
        <v>10150</v>
      </c>
      <c r="F2165" s="150">
        <v>0</v>
      </c>
      <c r="G2165" s="209">
        <v>0</v>
      </c>
      <c r="H2165" s="209">
        <v>719000</v>
      </c>
      <c r="I2165" s="209">
        <v>719000</v>
      </c>
      <c r="J2165" s="150">
        <v>0</v>
      </c>
      <c r="K2165" s="150">
        <v>0</v>
      </c>
      <c r="L2165" s="150">
        <f t="shared" si="1786"/>
        <v>0</v>
      </c>
      <c r="M2165" s="150">
        <v>0</v>
      </c>
      <c r="N2165" s="150"/>
      <c r="O2165" s="150">
        <v>0</v>
      </c>
      <c r="P2165" s="150">
        <v>0</v>
      </c>
      <c r="Q2165" s="150">
        <v>0</v>
      </c>
      <c r="R2165" s="150">
        <f t="shared" si="1822"/>
        <v>0</v>
      </c>
      <c r="S2165" s="150">
        <f t="shared" si="1806"/>
        <v>0</v>
      </c>
      <c r="T2165" s="150"/>
      <c r="U2165" s="150">
        <v>0</v>
      </c>
      <c r="V2165" s="199"/>
      <c r="W2165" s="150">
        <f t="shared" si="1823"/>
        <v>0</v>
      </c>
      <c r="X2165" s="150">
        <v>0</v>
      </c>
      <c r="Y2165" s="150"/>
      <c r="Z2165" s="150">
        <v>0</v>
      </c>
      <c r="AA2165" s="150">
        <f t="shared" si="1781"/>
        <v>0</v>
      </c>
      <c r="AB2165" s="150">
        <v>0</v>
      </c>
      <c r="AC2165" s="199"/>
      <c r="AD2165" s="150">
        <f t="shared" si="1824"/>
        <v>0</v>
      </c>
      <c r="AE2165" s="150">
        <v>0</v>
      </c>
      <c r="AF2165" s="169" t="s">
        <v>4680</v>
      </c>
      <c r="AG2165" s="201">
        <v>0</v>
      </c>
      <c r="AH2165" s="245"/>
      <c r="AI2165" s="150">
        <v>0</v>
      </c>
      <c r="AJ2165" s="169">
        <f t="shared" si="1782"/>
        <v>0</v>
      </c>
      <c r="AK2165" s="201">
        <v>0</v>
      </c>
      <c r="AL2165" s="245"/>
      <c r="AM2165" s="150">
        <f t="shared" si="1825"/>
        <v>0</v>
      </c>
      <c r="AN2165" s="153">
        <f t="shared" si="1783"/>
        <v>0</v>
      </c>
      <c r="AO2165" s="154">
        <f t="shared" si="1784"/>
        <v>0</v>
      </c>
      <c r="AP2165" s="150">
        <v>0</v>
      </c>
      <c r="AQ2165" s="201">
        <v>0</v>
      </c>
      <c r="AR2165" s="199"/>
      <c r="AS2165" s="150">
        <f t="shared" si="1826"/>
        <v>0</v>
      </c>
      <c r="AT2165" s="155"/>
      <c r="AU2165" s="156">
        <f t="shared" si="1779"/>
        <v>0</v>
      </c>
      <c r="AV2165" s="156">
        <f t="shared" si="1780"/>
        <v>0</v>
      </c>
      <c r="AW2165" s="157"/>
      <c r="AX2165" s="150">
        <v>0</v>
      </c>
      <c r="AY2165" s="150">
        <v>0</v>
      </c>
      <c r="AZ2165" s="150"/>
      <c r="BA2165" s="150">
        <f t="shared" si="1804"/>
        <v>0</v>
      </c>
      <c r="BB2165" s="202">
        <v>5</v>
      </c>
      <c r="BC2165" s="202" t="s">
        <v>1332</v>
      </c>
      <c r="BD2165" s="202" t="s">
        <v>632</v>
      </c>
      <c r="BE2165" s="202" t="s">
        <v>632</v>
      </c>
      <c r="BF2165" s="202" t="s">
        <v>671</v>
      </c>
      <c r="BG2165" s="203" t="s">
        <v>114</v>
      </c>
      <c r="BH2165" s="216">
        <f>AS2165</f>
        <v>0</v>
      </c>
      <c r="BI2165" s="202"/>
      <c r="BJ2165" s="194" t="s">
        <v>10151</v>
      </c>
      <c r="BK2165" s="194" t="s">
        <v>473</v>
      </c>
      <c r="BL2165" s="207" t="s">
        <v>10152</v>
      </c>
      <c r="BM2165" s="208">
        <f t="shared" si="1827"/>
        <v>0</v>
      </c>
      <c r="BN2165" s="160"/>
      <c r="BO2165" s="161">
        <f t="shared" si="1815"/>
        <v>0</v>
      </c>
      <c r="BP2165" s="161"/>
    </row>
    <row r="2166" spans="1:68" ht="38.25">
      <c r="A2166" s="194" t="s">
        <v>474</v>
      </c>
      <c r="B2166" s="195" t="s">
        <v>10153</v>
      </c>
      <c r="C2166" s="196" t="s">
        <v>10154</v>
      </c>
      <c r="D2166" s="146" t="s">
        <v>4692</v>
      </c>
      <c r="E2166" s="196" t="s">
        <v>10154</v>
      </c>
      <c r="F2166" s="150">
        <v>719000</v>
      </c>
      <c r="G2166" s="209">
        <v>0</v>
      </c>
      <c r="H2166" s="209"/>
      <c r="I2166" s="209">
        <v>0</v>
      </c>
      <c r="J2166" s="150">
        <v>0</v>
      </c>
      <c r="K2166" s="150">
        <v>179750</v>
      </c>
      <c r="L2166" s="150">
        <f t="shared" si="1786"/>
        <v>179750</v>
      </c>
      <c r="M2166" s="150">
        <v>0</v>
      </c>
      <c r="N2166" s="150">
        <v>359500</v>
      </c>
      <c r="O2166" s="150">
        <v>359500</v>
      </c>
      <c r="P2166" s="150">
        <v>0</v>
      </c>
      <c r="Q2166" s="237">
        <f>O2166/6*9</f>
        <v>539250</v>
      </c>
      <c r="R2166" s="150">
        <f t="shared" si="1822"/>
        <v>539250</v>
      </c>
      <c r="S2166" s="150">
        <f t="shared" si="1806"/>
        <v>719000</v>
      </c>
      <c r="T2166" s="150"/>
      <c r="U2166" s="150">
        <v>0</v>
      </c>
      <c r="V2166" s="230">
        <f>Q2166/6*11</f>
        <v>988625</v>
      </c>
      <c r="W2166" s="150">
        <f t="shared" si="1823"/>
        <v>988625</v>
      </c>
      <c r="X2166" s="150">
        <v>0</v>
      </c>
      <c r="Y2166" s="150">
        <v>988625</v>
      </c>
      <c r="Z2166" s="150">
        <v>988625</v>
      </c>
      <c r="AA2166" s="150">
        <f t="shared" si="1781"/>
        <v>-3625</v>
      </c>
      <c r="AB2166" s="150">
        <v>0</v>
      </c>
      <c r="AC2166" s="230">
        <v>985000</v>
      </c>
      <c r="AD2166" s="150">
        <f t="shared" si="1824"/>
        <v>985000</v>
      </c>
      <c r="AE2166" s="150">
        <v>988625</v>
      </c>
      <c r="AF2166" s="169" t="s">
        <v>4680</v>
      </c>
      <c r="AG2166" s="201">
        <v>0</v>
      </c>
      <c r="AH2166" s="241">
        <v>988625</v>
      </c>
      <c r="AI2166" s="150">
        <v>988625</v>
      </c>
      <c r="AJ2166" s="169">
        <f t="shared" si="1782"/>
        <v>0</v>
      </c>
      <c r="AK2166" s="201">
        <v>0</v>
      </c>
      <c r="AL2166" s="241">
        <v>988625</v>
      </c>
      <c r="AM2166" s="150">
        <f t="shared" si="1825"/>
        <v>988625</v>
      </c>
      <c r="AN2166" s="153">
        <f t="shared" si="1783"/>
        <v>542168</v>
      </c>
      <c r="AO2166" s="154">
        <f t="shared" si="1784"/>
        <v>542168</v>
      </c>
      <c r="AP2166" s="150">
        <v>988625</v>
      </c>
      <c r="AQ2166" s="201">
        <v>1530793</v>
      </c>
      <c r="AR2166" s="199"/>
      <c r="AS2166" s="150">
        <f t="shared" si="1826"/>
        <v>1530793</v>
      </c>
      <c r="AT2166" s="155"/>
      <c r="AU2166" s="156">
        <f t="shared" si="1779"/>
        <v>3625</v>
      </c>
      <c r="AV2166" s="156">
        <f t="shared" si="1780"/>
        <v>-3625</v>
      </c>
      <c r="AW2166" s="157" t="s">
        <v>10155</v>
      </c>
      <c r="AX2166" s="150">
        <v>988625</v>
      </c>
      <c r="AY2166" s="150">
        <v>0</v>
      </c>
      <c r="AZ2166" s="150">
        <v>719000</v>
      </c>
      <c r="BA2166" s="150">
        <f t="shared" si="1804"/>
        <v>719000</v>
      </c>
      <c r="BB2166" s="202">
        <v>5</v>
      </c>
      <c r="BC2166" s="202" t="s">
        <v>1332</v>
      </c>
      <c r="BD2166" s="202" t="s">
        <v>632</v>
      </c>
      <c r="BE2166" s="202" t="s">
        <v>632</v>
      </c>
      <c r="BF2166" s="202" t="s">
        <v>693</v>
      </c>
      <c r="BG2166" s="203" t="s">
        <v>115</v>
      </c>
      <c r="BH2166" s="216">
        <f>AS2166</f>
        <v>1530793</v>
      </c>
      <c r="BI2166" s="202"/>
      <c r="BJ2166" s="194" t="s">
        <v>10156</v>
      </c>
      <c r="BK2166" s="194" t="s">
        <v>474</v>
      </c>
      <c r="BL2166" s="207" t="s">
        <v>10157</v>
      </c>
      <c r="BM2166" s="208">
        <f t="shared" si="1827"/>
        <v>1530793</v>
      </c>
      <c r="BN2166" s="160"/>
      <c r="BO2166" s="161">
        <f t="shared" si="1815"/>
        <v>0</v>
      </c>
      <c r="BP2166" s="161"/>
    </row>
    <row r="2167" spans="1:68" ht="25.5">
      <c r="A2167" s="194" t="s">
        <v>10158</v>
      </c>
      <c r="B2167" s="195" t="s">
        <v>10159</v>
      </c>
      <c r="C2167" s="196" t="s">
        <v>10160</v>
      </c>
      <c r="D2167" s="146" t="s">
        <v>4692</v>
      </c>
      <c r="E2167" s="196" t="s">
        <v>10160</v>
      </c>
      <c r="F2167" s="150">
        <v>0</v>
      </c>
      <c r="G2167" s="209">
        <v>0</v>
      </c>
      <c r="H2167" s="209"/>
      <c r="I2167" s="209">
        <v>0</v>
      </c>
      <c r="J2167" s="150">
        <v>0</v>
      </c>
      <c r="K2167" s="150">
        <v>0</v>
      </c>
      <c r="L2167" s="150">
        <f t="shared" si="1786"/>
        <v>0</v>
      </c>
      <c r="M2167" s="150">
        <v>0</v>
      </c>
      <c r="N2167" s="150"/>
      <c r="O2167" s="150">
        <v>0</v>
      </c>
      <c r="P2167" s="150">
        <v>0</v>
      </c>
      <c r="Q2167" s="150">
        <v>0</v>
      </c>
      <c r="R2167" s="150">
        <f t="shared" si="1822"/>
        <v>0</v>
      </c>
      <c r="S2167" s="150">
        <f t="shared" si="1806"/>
        <v>0</v>
      </c>
      <c r="T2167" s="150"/>
      <c r="U2167" s="150">
        <v>0</v>
      </c>
      <c r="V2167" s="199"/>
      <c r="W2167" s="150">
        <f t="shared" si="1823"/>
        <v>0</v>
      </c>
      <c r="X2167" s="150">
        <v>0</v>
      </c>
      <c r="Y2167" s="150"/>
      <c r="Z2167" s="150">
        <v>0</v>
      </c>
      <c r="AA2167" s="150">
        <f t="shared" si="1781"/>
        <v>0</v>
      </c>
      <c r="AB2167" s="150">
        <v>0</v>
      </c>
      <c r="AC2167" s="199"/>
      <c r="AD2167" s="150">
        <f t="shared" si="1824"/>
        <v>0</v>
      </c>
      <c r="AE2167" s="150">
        <v>0</v>
      </c>
      <c r="AF2167" s="169" t="s">
        <v>4680</v>
      </c>
      <c r="AG2167" s="201">
        <v>0</v>
      </c>
      <c r="AH2167" s="199"/>
      <c r="AI2167" s="150">
        <v>0</v>
      </c>
      <c r="AJ2167" s="169">
        <f t="shared" si="1782"/>
        <v>0</v>
      </c>
      <c r="AK2167" s="201">
        <v>0</v>
      </c>
      <c r="AL2167" s="199"/>
      <c r="AM2167" s="150">
        <f t="shared" si="1825"/>
        <v>0</v>
      </c>
      <c r="AN2167" s="153">
        <f t="shared" si="1783"/>
        <v>0</v>
      </c>
      <c r="AO2167" s="154">
        <f t="shared" si="1784"/>
        <v>0</v>
      </c>
      <c r="AP2167" s="150">
        <v>0</v>
      </c>
      <c r="AQ2167" s="201">
        <v>0</v>
      </c>
      <c r="AR2167" s="199"/>
      <c r="AS2167" s="150">
        <f t="shared" si="1826"/>
        <v>0</v>
      </c>
      <c r="AT2167" s="155"/>
      <c r="AU2167" s="156">
        <f t="shared" si="1779"/>
        <v>0</v>
      </c>
      <c r="AV2167" s="156">
        <f t="shared" si="1780"/>
        <v>0</v>
      </c>
      <c r="AW2167" s="157"/>
      <c r="AX2167" s="150">
        <v>0</v>
      </c>
      <c r="AY2167" s="150">
        <v>0</v>
      </c>
      <c r="AZ2167" s="150"/>
      <c r="BA2167" s="150">
        <f t="shared" si="1804"/>
        <v>0</v>
      </c>
      <c r="BB2167" s="202">
        <v>5</v>
      </c>
      <c r="BC2167" s="202" t="s">
        <v>1332</v>
      </c>
      <c r="BD2167" s="202" t="s">
        <v>632</v>
      </c>
      <c r="BE2167" s="202" t="s">
        <v>632</v>
      </c>
      <c r="BF2167" s="194" t="s">
        <v>714</v>
      </c>
      <c r="BG2167" s="203" t="s">
        <v>10160</v>
      </c>
      <c r="BH2167" s="216">
        <f>AS2167</f>
        <v>0</v>
      </c>
      <c r="BI2167" s="202"/>
      <c r="BJ2167" s="194" t="s">
        <v>10161</v>
      </c>
      <c r="BK2167" s="194" t="s">
        <v>10158</v>
      </c>
      <c r="BL2167" s="207" t="s">
        <v>10162</v>
      </c>
      <c r="BM2167" s="208">
        <f t="shared" si="1827"/>
        <v>0</v>
      </c>
      <c r="BN2167" s="160"/>
      <c r="BO2167" s="161">
        <f t="shared" si="1815"/>
        <v>0</v>
      </c>
      <c r="BP2167" s="161"/>
    </row>
    <row r="2168" spans="1:68" ht="42.75" customHeight="1">
      <c r="A2168" s="194" t="s">
        <v>475</v>
      </c>
      <c r="B2168" s="195" t="s">
        <v>10163</v>
      </c>
      <c r="C2168" s="196" t="s">
        <v>10164</v>
      </c>
      <c r="D2168" s="146" t="s">
        <v>4692</v>
      </c>
      <c r="E2168" s="196" t="s">
        <v>10164</v>
      </c>
      <c r="F2168" s="150">
        <v>0</v>
      </c>
      <c r="G2168" s="209">
        <v>0</v>
      </c>
      <c r="H2168" s="209"/>
      <c r="I2168" s="209">
        <v>0</v>
      </c>
      <c r="J2168" s="150">
        <v>0</v>
      </c>
      <c r="K2168" s="150">
        <v>0</v>
      </c>
      <c r="L2168" s="150">
        <f t="shared" si="1786"/>
        <v>0</v>
      </c>
      <c r="M2168" s="150">
        <v>0</v>
      </c>
      <c r="N2168" s="150"/>
      <c r="O2168" s="150">
        <v>0</v>
      </c>
      <c r="P2168" s="150">
        <v>0</v>
      </c>
      <c r="Q2168" s="150">
        <v>0</v>
      </c>
      <c r="R2168" s="150">
        <f t="shared" si="1822"/>
        <v>0</v>
      </c>
      <c r="S2168" s="150">
        <f t="shared" si="1806"/>
        <v>0</v>
      </c>
      <c r="T2168" s="150"/>
      <c r="U2168" s="150">
        <v>0</v>
      </c>
      <c r="V2168" s="199"/>
      <c r="W2168" s="150">
        <f t="shared" si="1823"/>
        <v>0</v>
      </c>
      <c r="X2168" s="150">
        <v>0</v>
      </c>
      <c r="Y2168" s="150"/>
      <c r="Z2168" s="150">
        <v>0</v>
      </c>
      <c r="AA2168" s="150">
        <f t="shared" si="1781"/>
        <v>0</v>
      </c>
      <c r="AB2168" s="150">
        <v>0</v>
      </c>
      <c r="AC2168" s="199"/>
      <c r="AD2168" s="150">
        <f t="shared" si="1824"/>
        <v>0</v>
      </c>
      <c r="AE2168" s="150">
        <v>0</v>
      </c>
      <c r="AF2168" s="169" t="s">
        <v>4680</v>
      </c>
      <c r="AG2168" s="201">
        <v>0</v>
      </c>
      <c r="AH2168" s="199"/>
      <c r="AI2168" s="150">
        <v>0</v>
      </c>
      <c r="AJ2168" s="169">
        <f t="shared" si="1782"/>
        <v>0</v>
      </c>
      <c r="AK2168" s="201">
        <v>0</v>
      </c>
      <c r="AL2168" s="199"/>
      <c r="AM2168" s="150">
        <f t="shared" si="1825"/>
        <v>0</v>
      </c>
      <c r="AN2168" s="153">
        <f t="shared" si="1783"/>
        <v>0</v>
      </c>
      <c r="AO2168" s="154">
        <f t="shared" si="1784"/>
        <v>0</v>
      </c>
      <c r="AP2168" s="150">
        <v>0</v>
      </c>
      <c r="AQ2168" s="201">
        <v>0</v>
      </c>
      <c r="AR2168" s="199"/>
      <c r="AS2168" s="150">
        <f t="shared" si="1826"/>
        <v>0</v>
      </c>
      <c r="AT2168" s="155"/>
      <c r="AU2168" s="156">
        <f t="shared" si="1779"/>
        <v>0</v>
      </c>
      <c r="AV2168" s="156">
        <f t="shared" si="1780"/>
        <v>0</v>
      </c>
      <c r="AW2168" s="157"/>
      <c r="AX2168" s="150">
        <v>0</v>
      </c>
      <c r="AY2168" s="150">
        <v>0</v>
      </c>
      <c r="AZ2168" s="150"/>
      <c r="BA2168" s="150">
        <f t="shared" si="1804"/>
        <v>0</v>
      </c>
      <c r="BB2168" s="202">
        <v>5</v>
      </c>
      <c r="BC2168" s="202" t="s">
        <v>1332</v>
      </c>
      <c r="BD2168" s="202" t="s">
        <v>632</v>
      </c>
      <c r="BE2168" s="202" t="s">
        <v>632</v>
      </c>
      <c r="BF2168" s="194" t="s">
        <v>1124</v>
      </c>
      <c r="BG2168" s="203" t="s">
        <v>116</v>
      </c>
      <c r="BH2168" s="216">
        <f>SUM(AS2168:AS2173)</f>
        <v>0</v>
      </c>
      <c r="BI2168" s="202"/>
      <c r="BJ2168" s="194" t="s">
        <v>10165</v>
      </c>
      <c r="BK2168" s="194" t="s">
        <v>475</v>
      </c>
      <c r="BL2168" s="207" t="s">
        <v>10166</v>
      </c>
      <c r="BM2168" s="208">
        <f t="shared" si="1827"/>
        <v>0</v>
      </c>
      <c r="BN2168" s="160"/>
      <c r="BO2168" s="161">
        <f t="shared" si="1815"/>
        <v>0</v>
      </c>
      <c r="BP2168" s="161"/>
    </row>
    <row r="2169" spans="1:68" ht="25.5">
      <c r="A2169" s="202"/>
      <c r="B2169" s="195" t="s">
        <v>10167</v>
      </c>
      <c r="C2169" s="196" t="s">
        <v>10168</v>
      </c>
      <c r="D2169" s="146" t="s">
        <v>4692</v>
      </c>
      <c r="E2169" s="196" t="s">
        <v>10168</v>
      </c>
      <c r="F2169" s="150">
        <v>0</v>
      </c>
      <c r="G2169" s="209">
        <v>0</v>
      </c>
      <c r="H2169" s="209"/>
      <c r="I2169" s="209">
        <v>0</v>
      </c>
      <c r="J2169" s="150">
        <v>0</v>
      </c>
      <c r="K2169" s="150">
        <v>0</v>
      </c>
      <c r="L2169" s="150">
        <f t="shared" si="1786"/>
        <v>0</v>
      </c>
      <c r="M2169" s="150">
        <v>0</v>
      </c>
      <c r="N2169" s="150"/>
      <c r="O2169" s="150">
        <v>0</v>
      </c>
      <c r="P2169" s="150">
        <v>0</v>
      </c>
      <c r="Q2169" s="150">
        <v>0</v>
      </c>
      <c r="R2169" s="150">
        <f t="shared" si="1822"/>
        <v>0</v>
      </c>
      <c r="S2169" s="150">
        <f t="shared" si="1806"/>
        <v>0</v>
      </c>
      <c r="T2169" s="150"/>
      <c r="U2169" s="150">
        <v>0</v>
      </c>
      <c r="V2169" s="199"/>
      <c r="W2169" s="150">
        <f t="shared" si="1823"/>
        <v>0</v>
      </c>
      <c r="X2169" s="150">
        <v>0</v>
      </c>
      <c r="Y2169" s="150"/>
      <c r="Z2169" s="150">
        <v>0</v>
      </c>
      <c r="AA2169" s="150">
        <f t="shared" si="1781"/>
        <v>0</v>
      </c>
      <c r="AB2169" s="150">
        <v>0</v>
      </c>
      <c r="AC2169" s="199"/>
      <c r="AD2169" s="150">
        <f t="shared" si="1824"/>
        <v>0</v>
      </c>
      <c r="AE2169" s="150">
        <v>0</v>
      </c>
      <c r="AF2169" s="169" t="s">
        <v>4680</v>
      </c>
      <c r="AG2169" s="201">
        <v>0</v>
      </c>
      <c r="AH2169" s="199"/>
      <c r="AI2169" s="150">
        <v>0</v>
      </c>
      <c r="AJ2169" s="169">
        <f t="shared" si="1782"/>
        <v>0</v>
      </c>
      <c r="AK2169" s="201">
        <v>0</v>
      </c>
      <c r="AL2169" s="199"/>
      <c r="AM2169" s="150">
        <f t="shared" si="1825"/>
        <v>0</v>
      </c>
      <c r="AN2169" s="153">
        <f t="shared" si="1783"/>
        <v>0</v>
      </c>
      <c r="AO2169" s="154">
        <f t="shared" si="1784"/>
        <v>0</v>
      </c>
      <c r="AP2169" s="150">
        <v>0</v>
      </c>
      <c r="AQ2169" s="201">
        <v>0</v>
      </c>
      <c r="AR2169" s="199"/>
      <c r="AS2169" s="150">
        <f t="shared" si="1826"/>
        <v>0</v>
      </c>
      <c r="AT2169" s="155"/>
      <c r="AU2169" s="156">
        <f t="shared" si="1779"/>
        <v>0</v>
      </c>
      <c r="AV2169" s="156">
        <f t="shared" si="1780"/>
        <v>0</v>
      </c>
      <c r="AW2169" s="157"/>
      <c r="AX2169" s="150">
        <v>0</v>
      </c>
      <c r="AY2169" s="150">
        <v>0</v>
      </c>
      <c r="AZ2169" s="150"/>
      <c r="BA2169" s="150">
        <f t="shared" si="1804"/>
        <v>0</v>
      </c>
      <c r="BB2169" s="202"/>
      <c r="BC2169" s="202"/>
      <c r="BD2169" s="202"/>
      <c r="BE2169" s="202"/>
      <c r="BF2169" s="202"/>
      <c r="BG2169" s="203"/>
      <c r="BH2169" s="216"/>
      <c r="BI2169" s="202"/>
      <c r="BJ2169" s="202"/>
      <c r="BK2169" s="202"/>
      <c r="BL2169" s="203"/>
      <c r="BM2169" s="208"/>
      <c r="BN2169" s="160"/>
      <c r="BO2169" s="161">
        <f t="shared" si="1815"/>
        <v>0</v>
      </c>
      <c r="BP2169" s="161"/>
    </row>
    <row r="2170" spans="1:68" ht="25.5">
      <c r="A2170" s="202"/>
      <c r="B2170" s="195" t="s">
        <v>10169</v>
      </c>
      <c r="C2170" s="196" t="s">
        <v>10170</v>
      </c>
      <c r="D2170" s="146" t="s">
        <v>4692</v>
      </c>
      <c r="E2170" s="196" t="s">
        <v>10170</v>
      </c>
      <c r="F2170" s="150">
        <v>0</v>
      </c>
      <c r="G2170" s="209">
        <v>0</v>
      </c>
      <c r="H2170" s="209"/>
      <c r="I2170" s="209">
        <v>0</v>
      </c>
      <c r="J2170" s="150">
        <v>0</v>
      </c>
      <c r="K2170" s="150">
        <v>0</v>
      </c>
      <c r="L2170" s="150">
        <f t="shared" si="1786"/>
        <v>0</v>
      </c>
      <c r="M2170" s="150">
        <v>0</v>
      </c>
      <c r="N2170" s="150"/>
      <c r="O2170" s="150">
        <v>0</v>
      </c>
      <c r="P2170" s="150">
        <v>0</v>
      </c>
      <c r="Q2170" s="150">
        <v>0</v>
      </c>
      <c r="R2170" s="150">
        <f t="shared" si="1822"/>
        <v>0</v>
      </c>
      <c r="S2170" s="150">
        <f t="shared" si="1806"/>
        <v>0</v>
      </c>
      <c r="T2170" s="150"/>
      <c r="U2170" s="150">
        <v>0</v>
      </c>
      <c r="V2170" s="199"/>
      <c r="W2170" s="150">
        <f t="shared" si="1823"/>
        <v>0</v>
      </c>
      <c r="X2170" s="150">
        <v>0</v>
      </c>
      <c r="Y2170" s="150"/>
      <c r="Z2170" s="150">
        <v>0</v>
      </c>
      <c r="AA2170" s="150">
        <f t="shared" si="1781"/>
        <v>0</v>
      </c>
      <c r="AB2170" s="150">
        <v>0</v>
      </c>
      <c r="AC2170" s="199"/>
      <c r="AD2170" s="150">
        <f t="shared" si="1824"/>
        <v>0</v>
      </c>
      <c r="AE2170" s="150">
        <v>0</v>
      </c>
      <c r="AF2170" s="169" t="s">
        <v>4680</v>
      </c>
      <c r="AG2170" s="201">
        <v>0</v>
      </c>
      <c r="AH2170" s="199"/>
      <c r="AI2170" s="150">
        <v>0</v>
      </c>
      <c r="AJ2170" s="169">
        <f t="shared" si="1782"/>
        <v>0</v>
      </c>
      <c r="AK2170" s="201">
        <v>0</v>
      </c>
      <c r="AL2170" s="199"/>
      <c r="AM2170" s="150">
        <f t="shared" si="1825"/>
        <v>0</v>
      </c>
      <c r="AN2170" s="153">
        <f t="shared" si="1783"/>
        <v>0</v>
      </c>
      <c r="AO2170" s="154">
        <f t="shared" si="1784"/>
        <v>0</v>
      </c>
      <c r="AP2170" s="150">
        <v>0</v>
      </c>
      <c r="AQ2170" s="201">
        <v>0</v>
      </c>
      <c r="AR2170" s="199"/>
      <c r="AS2170" s="150">
        <f t="shared" si="1826"/>
        <v>0</v>
      </c>
      <c r="AT2170" s="155"/>
      <c r="AU2170" s="156">
        <f t="shared" si="1779"/>
        <v>0</v>
      </c>
      <c r="AV2170" s="156">
        <f t="shared" si="1780"/>
        <v>0</v>
      </c>
      <c r="AW2170" s="157"/>
      <c r="AX2170" s="150">
        <v>0</v>
      </c>
      <c r="AY2170" s="150">
        <v>0</v>
      </c>
      <c r="AZ2170" s="150"/>
      <c r="BA2170" s="150">
        <f t="shared" si="1804"/>
        <v>0</v>
      </c>
      <c r="BB2170" s="202"/>
      <c r="BC2170" s="202"/>
      <c r="BD2170" s="202"/>
      <c r="BE2170" s="202"/>
      <c r="BF2170" s="202"/>
      <c r="BG2170" s="203"/>
      <c r="BH2170" s="216"/>
      <c r="BI2170" s="202"/>
      <c r="BJ2170" s="202"/>
      <c r="BK2170" s="202"/>
      <c r="BL2170" s="203"/>
      <c r="BM2170" s="208"/>
      <c r="BN2170" s="160"/>
      <c r="BO2170" s="161">
        <f t="shared" si="1815"/>
        <v>0</v>
      </c>
      <c r="BP2170" s="161"/>
    </row>
    <row r="2171" spans="1:68" ht="38.25">
      <c r="A2171" s="202"/>
      <c r="B2171" s="195" t="s">
        <v>10171</v>
      </c>
      <c r="C2171" s="196" t="s">
        <v>10172</v>
      </c>
      <c r="D2171" s="146" t="s">
        <v>4692</v>
      </c>
      <c r="E2171" s="196" t="s">
        <v>10172</v>
      </c>
      <c r="F2171" s="150">
        <v>0</v>
      </c>
      <c r="G2171" s="209">
        <v>0</v>
      </c>
      <c r="H2171" s="209"/>
      <c r="I2171" s="209">
        <v>0</v>
      </c>
      <c r="J2171" s="150">
        <v>0</v>
      </c>
      <c r="K2171" s="150">
        <v>0</v>
      </c>
      <c r="L2171" s="150">
        <f t="shared" si="1786"/>
        <v>0</v>
      </c>
      <c r="M2171" s="150">
        <v>0</v>
      </c>
      <c r="N2171" s="150"/>
      <c r="O2171" s="150">
        <v>0</v>
      </c>
      <c r="P2171" s="150">
        <v>0</v>
      </c>
      <c r="Q2171" s="150">
        <v>0</v>
      </c>
      <c r="R2171" s="150">
        <f t="shared" si="1822"/>
        <v>0</v>
      </c>
      <c r="S2171" s="150">
        <f t="shared" si="1806"/>
        <v>0</v>
      </c>
      <c r="T2171" s="150"/>
      <c r="U2171" s="150">
        <v>0</v>
      </c>
      <c r="V2171" s="199"/>
      <c r="W2171" s="150">
        <f t="shared" si="1823"/>
        <v>0</v>
      </c>
      <c r="X2171" s="150">
        <v>0</v>
      </c>
      <c r="Y2171" s="150"/>
      <c r="Z2171" s="150">
        <v>0</v>
      </c>
      <c r="AA2171" s="150">
        <f t="shared" si="1781"/>
        <v>0</v>
      </c>
      <c r="AB2171" s="150">
        <v>0</v>
      </c>
      <c r="AC2171" s="199"/>
      <c r="AD2171" s="150">
        <f t="shared" si="1824"/>
        <v>0</v>
      </c>
      <c r="AE2171" s="150">
        <v>0</v>
      </c>
      <c r="AF2171" s="169" t="s">
        <v>4680</v>
      </c>
      <c r="AG2171" s="201">
        <v>0</v>
      </c>
      <c r="AH2171" s="199"/>
      <c r="AI2171" s="150">
        <v>0</v>
      </c>
      <c r="AJ2171" s="169">
        <f t="shared" si="1782"/>
        <v>0</v>
      </c>
      <c r="AK2171" s="201">
        <v>0</v>
      </c>
      <c r="AL2171" s="199"/>
      <c r="AM2171" s="150">
        <f t="shared" si="1825"/>
        <v>0</v>
      </c>
      <c r="AN2171" s="153">
        <f t="shared" si="1783"/>
        <v>0</v>
      </c>
      <c r="AO2171" s="154">
        <f t="shared" si="1784"/>
        <v>0</v>
      </c>
      <c r="AP2171" s="150">
        <v>0</v>
      </c>
      <c r="AQ2171" s="201">
        <v>0</v>
      </c>
      <c r="AR2171" s="199"/>
      <c r="AS2171" s="150">
        <f t="shared" si="1826"/>
        <v>0</v>
      </c>
      <c r="AT2171" s="155"/>
      <c r="AU2171" s="156">
        <f t="shared" si="1779"/>
        <v>0</v>
      </c>
      <c r="AV2171" s="156">
        <f t="shared" si="1780"/>
        <v>0</v>
      </c>
      <c r="AW2171" s="157"/>
      <c r="AX2171" s="150">
        <v>0</v>
      </c>
      <c r="AY2171" s="150">
        <v>0</v>
      </c>
      <c r="AZ2171" s="150"/>
      <c r="BA2171" s="150">
        <f t="shared" si="1804"/>
        <v>0</v>
      </c>
      <c r="BB2171" s="202"/>
      <c r="BC2171" s="202"/>
      <c r="BD2171" s="202"/>
      <c r="BE2171" s="202"/>
      <c r="BF2171" s="202"/>
      <c r="BG2171" s="203"/>
      <c r="BH2171" s="216"/>
      <c r="BI2171" s="202"/>
      <c r="BJ2171" s="202"/>
      <c r="BK2171" s="202"/>
      <c r="BL2171" s="203"/>
      <c r="BM2171" s="208"/>
      <c r="BN2171" s="160"/>
      <c r="BO2171" s="161">
        <f t="shared" si="1815"/>
        <v>0</v>
      </c>
      <c r="BP2171" s="161"/>
    </row>
    <row r="2172" spans="1:68" ht="25.5">
      <c r="A2172" s="202"/>
      <c r="B2172" s="195" t="s">
        <v>10173</v>
      </c>
      <c r="C2172" s="196" t="s">
        <v>10174</v>
      </c>
      <c r="D2172" s="146" t="s">
        <v>4692</v>
      </c>
      <c r="E2172" s="196" t="s">
        <v>10174</v>
      </c>
      <c r="F2172" s="150">
        <v>0</v>
      </c>
      <c r="G2172" s="209">
        <v>0</v>
      </c>
      <c r="H2172" s="209"/>
      <c r="I2172" s="209">
        <v>0</v>
      </c>
      <c r="J2172" s="150">
        <v>0</v>
      </c>
      <c r="K2172" s="150">
        <v>0</v>
      </c>
      <c r="L2172" s="150">
        <f t="shared" si="1786"/>
        <v>0</v>
      </c>
      <c r="M2172" s="150">
        <v>0</v>
      </c>
      <c r="N2172" s="150"/>
      <c r="O2172" s="150">
        <v>0</v>
      </c>
      <c r="P2172" s="150">
        <v>0</v>
      </c>
      <c r="Q2172" s="150">
        <v>0</v>
      </c>
      <c r="R2172" s="150">
        <f t="shared" si="1822"/>
        <v>0</v>
      </c>
      <c r="S2172" s="150">
        <f t="shared" si="1806"/>
        <v>0</v>
      </c>
      <c r="T2172" s="150"/>
      <c r="U2172" s="150">
        <v>0</v>
      </c>
      <c r="V2172" s="199"/>
      <c r="W2172" s="150">
        <f t="shared" si="1823"/>
        <v>0</v>
      </c>
      <c r="X2172" s="150">
        <v>0</v>
      </c>
      <c r="Y2172" s="150"/>
      <c r="Z2172" s="150">
        <v>0</v>
      </c>
      <c r="AA2172" s="150">
        <f t="shared" si="1781"/>
        <v>0</v>
      </c>
      <c r="AB2172" s="150">
        <v>0</v>
      </c>
      <c r="AC2172" s="199"/>
      <c r="AD2172" s="150">
        <f t="shared" si="1824"/>
        <v>0</v>
      </c>
      <c r="AE2172" s="150">
        <v>0</v>
      </c>
      <c r="AF2172" s="169" t="s">
        <v>4680</v>
      </c>
      <c r="AG2172" s="201">
        <v>0</v>
      </c>
      <c r="AH2172" s="199"/>
      <c r="AI2172" s="150">
        <v>0</v>
      </c>
      <c r="AJ2172" s="169">
        <f t="shared" si="1782"/>
        <v>0</v>
      </c>
      <c r="AK2172" s="201">
        <v>0</v>
      </c>
      <c r="AL2172" s="199"/>
      <c r="AM2172" s="150">
        <f t="shared" si="1825"/>
        <v>0</v>
      </c>
      <c r="AN2172" s="153">
        <f t="shared" si="1783"/>
        <v>0</v>
      </c>
      <c r="AO2172" s="154">
        <f t="shared" si="1784"/>
        <v>0</v>
      </c>
      <c r="AP2172" s="150">
        <v>0</v>
      </c>
      <c r="AQ2172" s="201">
        <v>0</v>
      </c>
      <c r="AR2172" s="199"/>
      <c r="AS2172" s="150">
        <f t="shared" si="1826"/>
        <v>0</v>
      </c>
      <c r="AT2172" s="155"/>
      <c r="AU2172" s="156">
        <f t="shared" si="1779"/>
        <v>0</v>
      </c>
      <c r="AV2172" s="156">
        <f t="shared" si="1780"/>
        <v>0</v>
      </c>
      <c r="AW2172" s="157"/>
      <c r="AX2172" s="150">
        <v>0</v>
      </c>
      <c r="AY2172" s="150">
        <v>0</v>
      </c>
      <c r="AZ2172" s="150"/>
      <c r="BA2172" s="150">
        <f t="shared" si="1804"/>
        <v>0</v>
      </c>
      <c r="BB2172" s="202"/>
      <c r="BC2172" s="202"/>
      <c r="BD2172" s="202"/>
      <c r="BE2172" s="202"/>
      <c r="BF2172" s="202"/>
      <c r="BG2172" s="203"/>
      <c r="BH2172" s="216"/>
      <c r="BI2172" s="202"/>
      <c r="BJ2172" s="202"/>
      <c r="BK2172" s="202"/>
      <c r="BL2172" s="203"/>
      <c r="BM2172" s="208"/>
      <c r="BN2172" s="160"/>
      <c r="BO2172" s="161">
        <f t="shared" si="1815"/>
        <v>0</v>
      </c>
      <c r="BP2172" s="161"/>
    </row>
    <row r="2173" spans="1:68">
      <c r="A2173" s="202"/>
      <c r="B2173" s="195" t="s">
        <v>10175</v>
      </c>
      <c r="C2173" s="196" t="s">
        <v>10176</v>
      </c>
      <c r="D2173" s="146" t="s">
        <v>4692</v>
      </c>
      <c r="E2173" s="196" t="s">
        <v>10176</v>
      </c>
      <c r="F2173" s="150">
        <v>0</v>
      </c>
      <c r="G2173" s="209">
        <v>0</v>
      </c>
      <c r="H2173" s="209"/>
      <c r="I2173" s="209">
        <v>0</v>
      </c>
      <c r="J2173" s="150">
        <v>0</v>
      </c>
      <c r="K2173" s="150">
        <v>0</v>
      </c>
      <c r="L2173" s="150">
        <f t="shared" si="1786"/>
        <v>0</v>
      </c>
      <c r="M2173" s="150">
        <v>0</v>
      </c>
      <c r="N2173" s="150"/>
      <c r="O2173" s="150">
        <v>0</v>
      </c>
      <c r="P2173" s="150">
        <v>0</v>
      </c>
      <c r="Q2173" s="150">
        <v>0</v>
      </c>
      <c r="R2173" s="150">
        <f t="shared" si="1822"/>
        <v>0</v>
      </c>
      <c r="S2173" s="150">
        <f t="shared" si="1806"/>
        <v>0</v>
      </c>
      <c r="T2173" s="150"/>
      <c r="U2173" s="150">
        <v>0</v>
      </c>
      <c r="V2173" s="199"/>
      <c r="W2173" s="150">
        <f t="shared" si="1823"/>
        <v>0</v>
      </c>
      <c r="X2173" s="150">
        <v>0</v>
      </c>
      <c r="Y2173" s="150"/>
      <c r="Z2173" s="150">
        <v>0</v>
      </c>
      <c r="AA2173" s="150">
        <f t="shared" si="1781"/>
        <v>0</v>
      </c>
      <c r="AB2173" s="150">
        <v>0</v>
      </c>
      <c r="AC2173" s="199"/>
      <c r="AD2173" s="150">
        <f t="shared" si="1824"/>
        <v>0</v>
      </c>
      <c r="AE2173" s="150">
        <v>0</v>
      </c>
      <c r="AF2173" s="169" t="s">
        <v>4680</v>
      </c>
      <c r="AG2173" s="201">
        <v>0</v>
      </c>
      <c r="AH2173" s="199"/>
      <c r="AI2173" s="150">
        <v>0</v>
      </c>
      <c r="AJ2173" s="169">
        <f t="shared" si="1782"/>
        <v>0</v>
      </c>
      <c r="AK2173" s="201">
        <v>0</v>
      </c>
      <c r="AL2173" s="199"/>
      <c r="AM2173" s="150">
        <f t="shared" si="1825"/>
        <v>0</v>
      </c>
      <c r="AN2173" s="153">
        <f t="shared" si="1783"/>
        <v>0</v>
      </c>
      <c r="AO2173" s="154">
        <f t="shared" si="1784"/>
        <v>0</v>
      </c>
      <c r="AP2173" s="150">
        <v>0</v>
      </c>
      <c r="AQ2173" s="201">
        <v>0</v>
      </c>
      <c r="AR2173" s="199"/>
      <c r="AS2173" s="150">
        <f t="shared" si="1826"/>
        <v>0</v>
      </c>
      <c r="AT2173" s="155"/>
      <c r="AU2173" s="156">
        <f t="shared" si="1779"/>
        <v>0</v>
      </c>
      <c r="AV2173" s="156">
        <f t="shared" si="1780"/>
        <v>0</v>
      </c>
      <c r="AW2173" s="157"/>
      <c r="AX2173" s="150">
        <v>0</v>
      </c>
      <c r="AY2173" s="150">
        <v>0</v>
      </c>
      <c r="AZ2173" s="150"/>
      <c r="BA2173" s="150">
        <f t="shared" si="1804"/>
        <v>0</v>
      </c>
      <c r="BB2173" s="202"/>
      <c r="BC2173" s="202"/>
      <c r="BD2173" s="202"/>
      <c r="BE2173" s="202"/>
      <c r="BF2173" s="202"/>
      <c r="BG2173" s="203"/>
      <c r="BH2173" s="216"/>
      <c r="BI2173" s="202"/>
      <c r="BJ2173" s="202"/>
      <c r="BK2173" s="202"/>
      <c r="BL2173" s="203"/>
      <c r="BM2173" s="208"/>
      <c r="BN2173" s="160"/>
      <c r="BO2173" s="161">
        <f t="shared" si="1815"/>
        <v>0</v>
      </c>
      <c r="BP2173" s="161"/>
    </row>
    <row r="2174" spans="1:68" ht="36">
      <c r="A2174" s="194" t="s">
        <v>10177</v>
      </c>
      <c r="B2174" s="195" t="s">
        <v>10178</v>
      </c>
      <c r="C2174" s="196" t="s">
        <v>10179</v>
      </c>
      <c r="D2174" s="146" t="s">
        <v>4692</v>
      </c>
      <c r="E2174" s="196" t="s">
        <v>10179</v>
      </c>
      <c r="F2174" s="150">
        <v>0</v>
      </c>
      <c r="G2174" s="209">
        <v>0</v>
      </c>
      <c r="H2174" s="209">
        <v>0</v>
      </c>
      <c r="I2174" s="209">
        <v>0</v>
      </c>
      <c r="J2174" s="150">
        <v>0</v>
      </c>
      <c r="K2174" s="150">
        <v>0</v>
      </c>
      <c r="L2174" s="150">
        <f t="shared" si="1786"/>
        <v>0</v>
      </c>
      <c r="M2174" s="150">
        <v>0</v>
      </c>
      <c r="N2174" s="150"/>
      <c r="O2174" s="150">
        <v>0</v>
      </c>
      <c r="P2174" s="150">
        <v>0</v>
      </c>
      <c r="Q2174" s="150">
        <v>0</v>
      </c>
      <c r="R2174" s="150">
        <f t="shared" si="1822"/>
        <v>0</v>
      </c>
      <c r="S2174" s="150">
        <f t="shared" si="1806"/>
        <v>0</v>
      </c>
      <c r="T2174" s="150"/>
      <c r="U2174" s="150">
        <v>0</v>
      </c>
      <c r="V2174" s="199"/>
      <c r="W2174" s="150">
        <f t="shared" si="1823"/>
        <v>0</v>
      </c>
      <c r="X2174" s="150">
        <v>0</v>
      </c>
      <c r="Y2174" s="150"/>
      <c r="Z2174" s="150">
        <v>0</v>
      </c>
      <c r="AA2174" s="150">
        <f t="shared" si="1781"/>
        <v>0</v>
      </c>
      <c r="AB2174" s="150">
        <v>0</v>
      </c>
      <c r="AC2174" s="199"/>
      <c r="AD2174" s="150">
        <f t="shared" si="1824"/>
        <v>0</v>
      </c>
      <c r="AE2174" s="150">
        <v>0</v>
      </c>
      <c r="AF2174" s="169" t="s">
        <v>4680</v>
      </c>
      <c r="AG2174" s="201">
        <v>0</v>
      </c>
      <c r="AH2174" s="241"/>
      <c r="AI2174" s="150">
        <v>0</v>
      </c>
      <c r="AJ2174" s="169">
        <f t="shared" si="1782"/>
        <v>0</v>
      </c>
      <c r="AK2174" s="201">
        <v>0</v>
      </c>
      <c r="AL2174" s="241"/>
      <c r="AM2174" s="150">
        <f t="shared" si="1825"/>
        <v>0</v>
      </c>
      <c r="AN2174" s="153">
        <f t="shared" si="1783"/>
        <v>0</v>
      </c>
      <c r="AO2174" s="154">
        <f t="shared" si="1784"/>
        <v>0</v>
      </c>
      <c r="AP2174" s="150">
        <v>0</v>
      </c>
      <c r="AQ2174" s="201">
        <v>0</v>
      </c>
      <c r="AR2174" s="199"/>
      <c r="AS2174" s="150">
        <f t="shared" si="1826"/>
        <v>0</v>
      </c>
      <c r="AT2174" s="155" t="s">
        <v>10180</v>
      </c>
      <c r="AU2174" s="156">
        <f t="shared" si="1779"/>
        <v>0</v>
      </c>
      <c r="AV2174" s="156">
        <f t="shared" si="1780"/>
        <v>0</v>
      </c>
      <c r="AW2174" s="157"/>
      <c r="AX2174" s="150">
        <v>0</v>
      </c>
      <c r="AY2174" s="150">
        <v>0</v>
      </c>
      <c r="AZ2174" s="150"/>
      <c r="BA2174" s="150">
        <f t="shared" si="1804"/>
        <v>0</v>
      </c>
      <c r="BB2174" s="202">
        <v>5</v>
      </c>
      <c r="BC2174" s="202" t="s">
        <v>1332</v>
      </c>
      <c r="BD2174" s="202" t="s">
        <v>632</v>
      </c>
      <c r="BE2174" s="202" t="s">
        <v>632</v>
      </c>
      <c r="BF2174" s="194" t="s">
        <v>739</v>
      </c>
      <c r="BG2174" s="203" t="s">
        <v>10179</v>
      </c>
      <c r="BH2174" s="216">
        <f>AS2174</f>
        <v>0</v>
      </c>
      <c r="BI2174" s="202"/>
      <c r="BJ2174" s="194" t="s">
        <v>10181</v>
      </c>
      <c r="BK2174" s="194" t="s">
        <v>10177</v>
      </c>
      <c r="BL2174" s="207" t="s">
        <v>10182</v>
      </c>
      <c r="BM2174" s="208">
        <f>BH2174</f>
        <v>0</v>
      </c>
      <c r="BN2174" s="160"/>
      <c r="BO2174" s="161">
        <f t="shared" si="1815"/>
        <v>0</v>
      </c>
      <c r="BP2174" s="161"/>
    </row>
    <row r="2175" spans="1:68" ht="25.5">
      <c r="A2175" s="173" t="s">
        <v>10183</v>
      </c>
      <c r="B2175" s="174"/>
      <c r="C2175" s="175" t="s">
        <v>117</v>
      </c>
      <c r="D2175" s="146" t="s">
        <v>4692</v>
      </c>
      <c r="E2175" s="175" t="s">
        <v>117</v>
      </c>
      <c r="F2175" s="176">
        <v>0</v>
      </c>
      <c r="G2175" s="177">
        <v>0</v>
      </c>
      <c r="H2175" s="177">
        <v>0</v>
      </c>
      <c r="I2175" s="177">
        <v>0</v>
      </c>
      <c r="J2175" s="176">
        <f>J2176</f>
        <v>0</v>
      </c>
      <c r="K2175" s="176">
        <f>K2176</f>
        <v>0</v>
      </c>
      <c r="L2175" s="176">
        <f t="shared" si="1786"/>
        <v>0</v>
      </c>
      <c r="M2175" s="176">
        <v>0</v>
      </c>
      <c r="N2175" s="176">
        <v>0</v>
      </c>
      <c r="O2175" s="178">
        <v>0</v>
      </c>
      <c r="P2175" s="221">
        <f t="shared" ref="P2175:AM2176" si="1828">P2176</f>
        <v>0</v>
      </c>
      <c r="Q2175" s="221">
        <f t="shared" si="1828"/>
        <v>0</v>
      </c>
      <c r="R2175" s="221">
        <f t="shared" si="1828"/>
        <v>0</v>
      </c>
      <c r="S2175" s="150">
        <f t="shared" si="1806"/>
        <v>0</v>
      </c>
      <c r="T2175" s="213"/>
      <c r="U2175" s="221">
        <f t="shared" ref="U2175:W2176" si="1829">U2176</f>
        <v>0</v>
      </c>
      <c r="V2175" s="222">
        <f t="shared" si="1829"/>
        <v>0</v>
      </c>
      <c r="W2175" s="221">
        <f t="shared" si="1829"/>
        <v>0</v>
      </c>
      <c r="X2175" s="221">
        <v>0</v>
      </c>
      <c r="Y2175" s="221">
        <v>0</v>
      </c>
      <c r="Z2175" s="221">
        <v>0</v>
      </c>
      <c r="AA2175" s="221">
        <f t="shared" si="1781"/>
        <v>0</v>
      </c>
      <c r="AB2175" s="221">
        <v>0</v>
      </c>
      <c r="AC2175" s="222">
        <v>0</v>
      </c>
      <c r="AD2175" s="221">
        <f t="shared" si="1828"/>
        <v>0</v>
      </c>
      <c r="AE2175" s="221">
        <v>0</v>
      </c>
      <c r="AF2175" s="169" t="s">
        <v>4680</v>
      </c>
      <c r="AG2175" s="223">
        <v>0</v>
      </c>
      <c r="AH2175" s="222">
        <v>0</v>
      </c>
      <c r="AI2175" s="221">
        <v>0</v>
      </c>
      <c r="AJ2175" s="169">
        <f t="shared" si="1782"/>
        <v>0</v>
      </c>
      <c r="AK2175" s="223">
        <v>0</v>
      </c>
      <c r="AL2175" s="222">
        <v>0</v>
      </c>
      <c r="AM2175" s="221">
        <f t="shared" si="1828"/>
        <v>0</v>
      </c>
      <c r="AN2175" s="153">
        <f t="shared" si="1783"/>
        <v>0</v>
      </c>
      <c r="AO2175" s="154">
        <f t="shared" si="1784"/>
        <v>0</v>
      </c>
      <c r="AP2175" s="221">
        <v>0</v>
      </c>
      <c r="AQ2175" s="223">
        <v>0</v>
      </c>
      <c r="AR2175" s="222">
        <f t="shared" ref="AR2175:AS2176" si="1830">AR2176</f>
        <v>0</v>
      </c>
      <c r="AS2175" s="221">
        <f t="shared" si="1830"/>
        <v>0</v>
      </c>
      <c r="AT2175" s="155"/>
      <c r="AU2175" s="156">
        <f t="shared" si="1779"/>
        <v>0</v>
      </c>
      <c r="AV2175" s="156">
        <f t="shared" si="1780"/>
        <v>0</v>
      </c>
      <c r="AW2175" s="157"/>
      <c r="AX2175" s="150">
        <v>0</v>
      </c>
      <c r="AY2175" s="221">
        <f t="shared" ref="AY2175:BA2176" si="1831">AY2176</f>
        <v>0</v>
      </c>
      <c r="AZ2175" s="221">
        <f t="shared" si="1831"/>
        <v>0</v>
      </c>
      <c r="BA2175" s="221">
        <f t="shared" si="1831"/>
        <v>0</v>
      </c>
      <c r="BB2175" s="181">
        <v>5</v>
      </c>
      <c r="BC2175" s="173" t="s">
        <v>1332</v>
      </c>
      <c r="BD2175" s="173" t="s">
        <v>647</v>
      </c>
      <c r="BE2175" s="173" t="s">
        <v>630</v>
      </c>
      <c r="BF2175" s="173" t="s">
        <v>630</v>
      </c>
      <c r="BG2175" s="175" t="s">
        <v>117</v>
      </c>
      <c r="BH2175" s="224">
        <f>BH2176</f>
        <v>0</v>
      </c>
      <c r="BI2175" s="181"/>
      <c r="BJ2175" s="173" t="s">
        <v>10184</v>
      </c>
      <c r="BK2175" s="173" t="s">
        <v>10183</v>
      </c>
      <c r="BL2175" s="182" t="s">
        <v>10185</v>
      </c>
      <c r="BM2175" s="337">
        <f>BM2176</f>
        <v>0</v>
      </c>
      <c r="BN2175" s="160"/>
      <c r="BO2175" s="161">
        <f t="shared" si="1815"/>
        <v>0</v>
      </c>
      <c r="BP2175" s="161"/>
    </row>
    <row r="2176" spans="1:68" ht="25.5">
      <c r="A2176" s="183" t="s">
        <v>10183</v>
      </c>
      <c r="B2176" s="184"/>
      <c r="C2176" s="185" t="s">
        <v>117</v>
      </c>
      <c r="D2176" s="146" t="s">
        <v>4692</v>
      </c>
      <c r="E2176" s="185" t="s">
        <v>117</v>
      </c>
      <c r="F2176" s="188">
        <v>0</v>
      </c>
      <c r="G2176" s="187">
        <v>0</v>
      </c>
      <c r="H2176" s="187"/>
      <c r="I2176" s="187">
        <v>0</v>
      </c>
      <c r="J2176" s="188">
        <f>J2177</f>
        <v>0</v>
      </c>
      <c r="K2176" s="188">
        <f>K2177</f>
        <v>0</v>
      </c>
      <c r="L2176" s="188">
        <f t="shared" si="1786"/>
        <v>0</v>
      </c>
      <c r="M2176" s="188">
        <v>0</v>
      </c>
      <c r="N2176" s="188">
        <v>0</v>
      </c>
      <c r="O2176" s="188">
        <v>0</v>
      </c>
      <c r="P2176" s="299">
        <f t="shared" si="1828"/>
        <v>0</v>
      </c>
      <c r="Q2176" s="299">
        <f t="shared" si="1828"/>
        <v>0</v>
      </c>
      <c r="R2176" s="299">
        <f t="shared" si="1828"/>
        <v>0</v>
      </c>
      <c r="S2176" s="150">
        <f t="shared" si="1806"/>
        <v>0</v>
      </c>
      <c r="T2176" s="213"/>
      <c r="U2176" s="299">
        <f t="shared" si="1829"/>
        <v>0</v>
      </c>
      <c r="V2176" s="226">
        <f t="shared" si="1829"/>
        <v>0</v>
      </c>
      <c r="W2176" s="299">
        <f t="shared" si="1829"/>
        <v>0</v>
      </c>
      <c r="X2176" s="299">
        <v>0</v>
      </c>
      <c r="Y2176" s="299">
        <v>0</v>
      </c>
      <c r="Z2176" s="299">
        <v>0</v>
      </c>
      <c r="AA2176" s="299">
        <f t="shared" si="1781"/>
        <v>0</v>
      </c>
      <c r="AB2176" s="299">
        <v>0</v>
      </c>
      <c r="AC2176" s="226">
        <v>0</v>
      </c>
      <c r="AD2176" s="299">
        <f t="shared" si="1828"/>
        <v>0</v>
      </c>
      <c r="AE2176" s="299">
        <v>0</v>
      </c>
      <c r="AF2176" s="169" t="s">
        <v>4680</v>
      </c>
      <c r="AG2176" s="301">
        <v>0</v>
      </c>
      <c r="AH2176" s="226">
        <v>0</v>
      </c>
      <c r="AI2176" s="299">
        <v>0</v>
      </c>
      <c r="AJ2176" s="169">
        <f t="shared" si="1782"/>
        <v>0</v>
      </c>
      <c r="AK2176" s="301">
        <v>0</v>
      </c>
      <c r="AL2176" s="226">
        <v>0</v>
      </c>
      <c r="AM2176" s="299">
        <f t="shared" si="1828"/>
        <v>0</v>
      </c>
      <c r="AN2176" s="153">
        <f t="shared" si="1783"/>
        <v>0</v>
      </c>
      <c r="AO2176" s="154">
        <f t="shared" si="1784"/>
        <v>0</v>
      </c>
      <c r="AP2176" s="299">
        <v>0</v>
      </c>
      <c r="AQ2176" s="301">
        <v>0</v>
      </c>
      <c r="AR2176" s="226">
        <f t="shared" si="1830"/>
        <v>0</v>
      </c>
      <c r="AS2176" s="299">
        <f t="shared" si="1830"/>
        <v>0</v>
      </c>
      <c r="AT2176" s="155"/>
      <c r="AU2176" s="156">
        <f t="shared" si="1779"/>
        <v>0</v>
      </c>
      <c r="AV2176" s="156">
        <f t="shared" si="1780"/>
        <v>0</v>
      </c>
      <c r="AW2176" s="157"/>
      <c r="AX2176" s="150">
        <v>0</v>
      </c>
      <c r="AY2176" s="299">
        <f t="shared" si="1831"/>
        <v>0</v>
      </c>
      <c r="AZ2176" s="299">
        <f t="shared" si="1831"/>
        <v>0</v>
      </c>
      <c r="BA2176" s="299">
        <f t="shared" si="1831"/>
        <v>0</v>
      </c>
      <c r="BB2176" s="191">
        <v>5</v>
      </c>
      <c r="BC2176" s="183" t="s">
        <v>1332</v>
      </c>
      <c r="BD2176" s="183" t="s">
        <v>647</v>
      </c>
      <c r="BE2176" s="183" t="s">
        <v>632</v>
      </c>
      <c r="BF2176" s="183" t="s">
        <v>630</v>
      </c>
      <c r="BG2176" s="185" t="s">
        <v>117</v>
      </c>
      <c r="BH2176" s="215">
        <f>BH2177</f>
        <v>0</v>
      </c>
      <c r="BI2176" s="191"/>
      <c r="BJ2176" s="183" t="s">
        <v>10184</v>
      </c>
      <c r="BK2176" s="183" t="s">
        <v>10183</v>
      </c>
      <c r="BL2176" s="238" t="s">
        <v>10185</v>
      </c>
      <c r="BM2176" s="338">
        <f>BM2177</f>
        <v>0</v>
      </c>
      <c r="BN2176" s="160"/>
      <c r="BO2176" s="161">
        <f t="shared" si="1815"/>
        <v>0</v>
      </c>
      <c r="BP2176" s="161"/>
    </row>
    <row r="2177" spans="1:68" ht="25.5">
      <c r="A2177" s="194" t="s">
        <v>10183</v>
      </c>
      <c r="B2177" s="195" t="s">
        <v>10186</v>
      </c>
      <c r="C2177" s="196" t="s">
        <v>10187</v>
      </c>
      <c r="D2177" s="146" t="s">
        <v>4692</v>
      </c>
      <c r="E2177" s="196" t="s">
        <v>10187</v>
      </c>
      <c r="F2177" s="150">
        <v>0</v>
      </c>
      <c r="G2177" s="209">
        <v>0</v>
      </c>
      <c r="H2177" s="209">
        <v>119465</v>
      </c>
      <c r="I2177" s="209">
        <v>119465</v>
      </c>
      <c r="J2177" s="150">
        <v>0</v>
      </c>
      <c r="K2177" s="150">
        <v>0</v>
      </c>
      <c r="L2177" s="150">
        <f t="shared" si="1786"/>
        <v>0</v>
      </c>
      <c r="M2177" s="150">
        <v>0</v>
      </c>
      <c r="N2177" s="150"/>
      <c r="O2177" s="150">
        <v>0</v>
      </c>
      <c r="P2177" s="150">
        <v>0</v>
      </c>
      <c r="Q2177" s="150">
        <v>0</v>
      </c>
      <c r="R2177" s="150">
        <f>P2177+Q2177</f>
        <v>0</v>
      </c>
      <c r="S2177" s="150">
        <f t="shared" si="1806"/>
        <v>0</v>
      </c>
      <c r="T2177" s="150"/>
      <c r="U2177" s="150">
        <v>0</v>
      </c>
      <c r="V2177" s="199"/>
      <c r="W2177" s="150">
        <f>U2177+V2177</f>
        <v>0</v>
      </c>
      <c r="X2177" s="150">
        <v>0</v>
      </c>
      <c r="Y2177" s="150"/>
      <c r="Z2177" s="150">
        <v>0</v>
      </c>
      <c r="AA2177" s="150">
        <f t="shared" si="1781"/>
        <v>0</v>
      </c>
      <c r="AB2177" s="150">
        <v>0</v>
      </c>
      <c r="AC2177" s="199"/>
      <c r="AD2177" s="150">
        <f>AB2177+AC2177</f>
        <v>0</v>
      </c>
      <c r="AE2177" s="150">
        <v>0</v>
      </c>
      <c r="AF2177" s="169" t="s">
        <v>4680</v>
      </c>
      <c r="AG2177" s="201">
        <v>0</v>
      </c>
      <c r="AH2177" s="199"/>
      <c r="AI2177" s="150">
        <v>0</v>
      </c>
      <c r="AJ2177" s="169">
        <f t="shared" si="1782"/>
        <v>0</v>
      </c>
      <c r="AK2177" s="201">
        <v>0</v>
      </c>
      <c r="AL2177" s="199"/>
      <c r="AM2177" s="150">
        <f>AK2177+AL2177</f>
        <v>0</v>
      </c>
      <c r="AN2177" s="153">
        <f t="shared" si="1783"/>
        <v>0</v>
      </c>
      <c r="AO2177" s="154">
        <f t="shared" si="1784"/>
        <v>0</v>
      </c>
      <c r="AP2177" s="150">
        <v>0</v>
      </c>
      <c r="AQ2177" s="201">
        <v>0</v>
      </c>
      <c r="AR2177" s="199"/>
      <c r="AS2177" s="150">
        <f>AQ2177+AR2177</f>
        <v>0</v>
      </c>
      <c r="AT2177" s="155"/>
      <c r="AU2177" s="156">
        <f t="shared" si="1779"/>
        <v>0</v>
      </c>
      <c r="AV2177" s="156">
        <f t="shared" si="1780"/>
        <v>0</v>
      </c>
      <c r="AW2177" s="157"/>
      <c r="AX2177" s="150">
        <v>0</v>
      </c>
      <c r="AY2177" s="150">
        <v>0</v>
      </c>
      <c r="AZ2177" s="150"/>
      <c r="BA2177" s="150">
        <f t="shared" si="1804"/>
        <v>0</v>
      </c>
      <c r="BB2177" s="202">
        <v>5</v>
      </c>
      <c r="BC2177" s="202" t="s">
        <v>1332</v>
      </c>
      <c r="BD2177" s="202" t="s">
        <v>647</v>
      </c>
      <c r="BE2177" s="202" t="s">
        <v>632</v>
      </c>
      <c r="BF2177" s="202" t="s">
        <v>632</v>
      </c>
      <c r="BG2177" s="203" t="s">
        <v>117</v>
      </c>
      <c r="BH2177" s="216">
        <f>AS2177</f>
        <v>0</v>
      </c>
      <c r="BI2177" s="202"/>
      <c r="BJ2177" s="194" t="s">
        <v>10184</v>
      </c>
      <c r="BK2177" s="194" t="s">
        <v>10183</v>
      </c>
      <c r="BL2177" s="207" t="s">
        <v>10185</v>
      </c>
      <c r="BM2177" s="208">
        <f>BH2177</f>
        <v>0</v>
      </c>
      <c r="BN2177" s="160"/>
      <c r="BO2177" s="161">
        <f t="shared" si="1815"/>
        <v>0</v>
      </c>
      <c r="BP2177" s="161"/>
    </row>
    <row r="2178" spans="1:68" ht="38.25">
      <c r="A2178" s="173" t="s">
        <v>10188</v>
      </c>
      <c r="B2178" s="174"/>
      <c r="C2178" s="175" t="s">
        <v>10189</v>
      </c>
      <c r="D2178" s="146" t="s">
        <v>4692</v>
      </c>
      <c r="E2178" s="175" t="s">
        <v>10189</v>
      </c>
      <c r="F2178" s="176">
        <v>4411436.9000000004</v>
      </c>
      <c r="G2178" s="177">
        <v>0</v>
      </c>
      <c r="H2178" s="177">
        <v>119465</v>
      </c>
      <c r="I2178" s="177">
        <v>119465</v>
      </c>
      <c r="J2178" s="176">
        <f>J2179+J2181+J2196+J2198+J2200+J2202</f>
        <v>0</v>
      </c>
      <c r="K2178" s="176">
        <f>K2179+K2181+K2196+K2198+K2200+K2202</f>
        <v>0</v>
      </c>
      <c r="L2178" s="176">
        <f t="shared" si="1786"/>
        <v>0</v>
      </c>
      <c r="M2178" s="176">
        <v>0</v>
      </c>
      <c r="N2178" s="176">
        <v>26885.95</v>
      </c>
      <c r="O2178" s="178">
        <v>26885.95</v>
      </c>
      <c r="P2178" s="221">
        <f t="shared" ref="P2178:R2178" si="1832">P2179+P2181+P2196+P2198+P2200+P2202</f>
        <v>0</v>
      </c>
      <c r="Q2178" s="221">
        <f t="shared" si="1832"/>
        <v>40328.925000000003</v>
      </c>
      <c r="R2178" s="221">
        <f t="shared" si="1832"/>
        <v>40328.925000000003</v>
      </c>
      <c r="S2178" s="150">
        <f t="shared" si="1806"/>
        <v>53771.9</v>
      </c>
      <c r="T2178" s="213"/>
      <c r="U2178" s="221">
        <f t="shared" ref="U2178:W2178" si="1833">U2179+U2181+U2196+U2198+U2200+U2202</f>
        <v>10000</v>
      </c>
      <c r="V2178" s="222">
        <f t="shared" si="1833"/>
        <v>0</v>
      </c>
      <c r="W2178" s="221">
        <f t="shared" si="1833"/>
        <v>10000</v>
      </c>
      <c r="X2178" s="221">
        <v>10000</v>
      </c>
      <c r="Y2178" s="221">
        <v>0</v>
      </c>
      <c r="Z2178" s="221">
        <v>10000</v>
      </c>
      <c r="AA2178" s="221">
        <f t="shared" si="1781"/>
        <v>3712694.68</v>
      </c>
      <c r="AB2178" s="221">
        <v>10000</v>
      </c>
      <c r="AC2178" s="222">
        <v>3712694.68</v>
      </c>
      <c r="AD2178" s="221">
        <f t="shared" ref="AD2178" si="1834">AD2179+AD2181+AD2196+AD2198+AD2200+AD2202</f>
        <v>3722694.68</v>
      </c>
      <c r="AE2178" s="221">
        <v>3722694.68</v>
      </c>
      <c r="AF2178" s="169" t="s">
        <v>4680</v>
      </c>
      <c r="AG2178" s="223">
        <v>10000</v>
      </c>
      <c r="AH2178" s="222">
        <v>3712694.68</v>
      </c>
      <c r="AI2178" s="221">
        <v>3722694.68</v>
      </c>
      <c r="AJ2178" s="169">
        <f t="shared" si="1782"/>
        <v>0</v>
      </c>
      <c r="AK2178" s="223">
        <v>10000</v>
      </c>
      <c r="AL2178" s="222">
        <v>3712694.68</v>
      </c>
      <c r="AM2178" s="221">
        <f t="shared" ref="AM2178" si="1835">AM2179+AM2181+AM2196+AM2198+AM2200+AM2202</f>
        <v>3722694.68</v>
      </c>
      <c r="AN2178" s="153">
        <f t="shared" si="1783"/>
        <v>0</v>
      </c>
      <c r="AO2178" s="154">
        <f t="shared" si="1784"/>
        <v>0</v>
      </c>
      <c r="AP2178" s="221">
        <v>3722694.68</v>
      </c>
      <c r="AQ2178" s="223">
        <v>3722694.68</v>
      </c>
      <c r="AR2178" s="222">
        <f t="shared" ref="AR2178:AS2178" si="1836">AR2179+AR2181+AR2196+AR2198+AR2200+AR2202</f>
        <v>0</v>
      </c>
      <c r="AS2178" s="221">
        <f t="shared" si="1836"/>
        <v>3722694.68</v>
      </c>
      <c r="AT2178" s="155"/>
      <c r="AU2178" s="156">
        <f t="shared" ref="AU2178:AU2241" si="1837">AM2178-AD2178</f>
        <v>0</v>
      </c>
      <c r="AV2178" s="156">
        <f t="shared" ref="AV2178:AV2241" si="1838">AD2178-AX2178</f>
        <v>3712694.68</v>
      </c>
      <c r="AW2178" s="157"/>
      <c r="AX2178" s="150">
        <v>10000</v>
      </c>
      <c r="AY2178" s="221">
        <f t="shared" ref="AY2178:BA2178" si="1839">AY2179+AY2181+AY2196+AY2198+AY2200+AY2202</f>
        <v>0</v>
      </c>
      <c r="AZ2178" s="221">
        <f t="shared" si="1839"/>
        <v>0</v>
      </c>
      <c r="BA2178" s="221">
        <f t="shared" si="1839"/>
        <v>0</v>
      </c>
      <c r="BB2178" s="181">
        <v>5</v>
      </c>
      <c r="BC2178" s="173" t="s">
        <v>1332</v>
      </c>
      <c r="BD2178" s="173" t="s">
        <v>671</v>
      </c>
      <c r="BE2178" s="173" t="s">
        <v>630</v>
      </c>
      <c r="BF2178" s="173" t="s">
        <v>630</v>
      </c>
      <c r="BG2178" s="175" t="s">
        <v>10189</v>
      </c>
      <c r="BH2178" s="224">
        <f>BH2179+BH2181+BH2196+BH2198+BH2200+BH2202</f>
        <v>3722694.68</v>
      </c>
      <c r="BI2178" s="181"/>
      <c r="BJ2178" s="173" t="s">
        <v>10190</v>
      </c>
      <c r="BK2178" s="173" t="s">
        <v>10188</v>
      </c>
      <c r="BL2178" s="182" t="s">
        <v>10191</v>
      </c>
      <c r="BM2178" s="337">
        <f>BM2179+BM2181+BM2196+BM2198+BM2200+BM2202</f>
        <v>3722694.68</v>
      </c>
      <c r="BN2178" s="160"/>
      <c r="BO2178" s="161">
        <f t="shared" si="1815"/>
        <v>0</v>
      </c>
      <c r="BP2178" s="161"/>
    </row>
    <row r="2179" spans="1:68" ht="63.75">
      <c r="A2179" s="183" t="s">
        <v>10192</v>
      </c>
      <c r="B2179" s="184"/>
      <c r="C2179" s="185" t="s">
        <v>10193</v>
      </c>
      <c r="D2179" s="146" t="s">
        <v>4692</v>
      </c>
      <c r="E2179" s="185" t="s">
        <v>10193</v>
      </c>
      <c r="F2179" s="188">
        <v>53771.9</v>
      </c>
      <c r="G2179" s="187">
        <v>0</v>
      </c>
      <c r="H2179" s="187">
        <v>119465</v>
      </c>
      <c r="I2179" s="187">
        <v>119465</v>
      </c>
      <c r="J2179" s="188">
        <f>J2180</f>
        <v>0</v>
      </c>
      <c r="K2179" s="188">
        <f>K2180</f>
        <v>0</v>
      </c>
      <c r="L2179" s="188">
        <f t="shared" si="1786"/>
        <v>0</v>
      </c>
      <c r="M2179" s="188">
        <v>0</v>
      </c>
      <c r="N2179" s="188">
        <v>26885.95</v>
      </c>
      <c r="O2179" s="188">
        <v>26885.95</v>
      </c>
      <c r="P2179" s="299">
        <f t="shared" ref="P2179:AS2179" si="1840">P2180</f>
        <v>0</v>
      </c>
      <c r="Q2179" s="299">
        <f t="shared" si="1840"/>
        <v>40328.925000000003</v>
      </c>
      <c r="R2179" s="299">
        <f t="shared" si="1840"/>
        <v>40328.925000000003</v>
      </c>
      <c r="S2179" s="150">
        <f t="shared" si="1806"/>
        <v>53771.9</v>
      </c>
      <c r="T2179" s="213"/>
      <c r="U2179" s="299">
        <f t="shared" ref="U2179:W2179" si="1841">U2180</f>
        <v>0</v>
      </c>
      <c r="V2179" s="226">
        <f t="shared" si="1841"/>
        <v>0</v>
      </c>
      <c r="W2179" s="299">
        <f t="shared" si="1841"/>
        <v>0</v>
      </c>
      <c r="X2179" s="299">
        <v>0</v>
      </c>
      <c r="Y2179" s="299">
        <v>0</v>
      </c>
      <c r="Z2179" s="299">
        <v>0</v>
      </c>
      <c r="AA2179" s="299">
        <f t="shared" ref="AA2179:AA2242" si="1842">AD2179-Z2179</f>
        <v>0</v>
      </c>
      <c r="AB2179" s="299">
        <v>0</v>
      </c>
      <c r="AC2179" s="226">
        <v>0</v>
      </c>
      <c r="AD2179" s="299">
        <f t="shared" si="1840"/>
        <v>0</v>
      </c>
      <c r="AE2179" s="299">
        <v>0</v>
      </c>
      <c r="AF2179" s="169" t="s">
        <v>4680</v>
      </c>
      <c r="AG2179" s="301">
        <v>0</v>
      </c>
      <c r="AH2179" s="226">
        <v>0</v>
      </c>
      <c r="AI2179" s="299">
        <v>0</v>
      </c>
      <c r="AJ2179" s="169">
        <f t="shared" ref="AJ2179:AJ2242" si="1843">AM2179-AI2179</f>
        <v>0</v>
      </c>
      <c r="AK2179" s="301">
        <v>0</v>
      </c>
      <c r="AL2179" s="226">
        <v>0</v>
      </c>
      <c r="AM2179" s="299">
        <f t="shared" si="1840"/>
        <v>0</v>
      </c>
      <c r="AN2179" s="153">
        <f t="shared" ref="AN2179:AN2242" si="1844">AS2179-AM2179</f>
        <v>0</v>
      </c>
      <c r="AO2179" s="154">
        <f t="shared" ref="AO2179:AO2242" si="1845">AS2179-AP2179</f>
        <v>0</v>
      </c>
      <c r="AP2179" s="299">
        <v>0</v>
      </c>
      <c r="AQ2179" s="301">
        <v>0</v>
      </c>
      <c r="AR2179" s="226">
        <f t="shared" si="1840"/>
        <v>0</v>
      </c>
      <c r="AS2179" s="299">
        <f t="shared" si="1840"/>
        <v>0</v>
      </c>
      <c r="AT2179" s="155"/>
      <c r="AU2179" s="156">
        <f t="shared" si="1837"/>
        <v>0</v>
      </c>
      <c r="AV2179" s="156">
        <f t="shared" si="1838"/>
        <v>0</v>
      </c>
      <c r="AW2179" s="157"/>
      <c r="AX2179" s="150">
        <v>0</v>
      </c>
      <c r="AY2179" s="299">
        <f t="shared" ref="AY2179:BA2179" si="1846">AY2180</f>
        <v>0</v>
      </c>
      <c r="AZ2179" s="299">
        <f t="shared" si="1846"/>
        <v>0</v>
      </c>
      <c r="BA2179" s="299">
        <f t="shared" si="1846"/>
        <v>0</v>
      </c>
      <c r="BB2179" s="191">
        <v>5</v>
      </c>
      <c r="BC2179" s="183" t="s">
        <v>1332</v>
      </c>
      <c r="BD2179" s="183" t="s">
        <v>671</v>
      </c>
      <c r="BE2179" s="183" t="s">
        <v>714</v>
      </c>
      <c r="BF2179" s="183" t="s">
        <v>630</v>
      </c>
      <c r="BG2179" s="185" t="s">
        <v>10193</v>
      </c>
      <c r="BH2179" s="215">
        <f>BH2180</f>
        <v>0</v>
      </c>
      <c r="BI2179" s="191"/>
      <c r="BJ2179" s="183" t="s">
        <v>10194</v>
      </c>
      <c r="BK2179" s="183" t="s">
        <v>10192</v>
      </c>
      <c r="BL2179" s="238" t="s">
        <v>10195</v>
      </c>
      <c r="BM2179" s="338">
        <f>BM2180</f>
        <v>0</v>
      </c>
      <c r="BN2179" s="160"/>
      <c r="BO2179" s="161">
        <f t="shared" si="1815"/>
        <v>0</v>
      </c>
      <c r="BP2179" s="161"/>
    </row>
    <row r="2180" spans="1:68" ht="51">
      <c r="A2180" s="194" t="s">
        <v>10192</v>
      </c>
      <c r="B2180" s="195" t="s">
        <v>10196</v>
      </c>
      <c r="C2180" s="196" t="s">
        <v>10193</v>
      </c>
      <c r="D2180" s="146" t="s">
        <v>4692</v>
      </c>
      <c r="E2180" s="203" t="s">
        <v>10193</v>
      </c>
      <c r="F2180" s="150">
        <v>53771.9</v>
      </c>
      <c r="G2180" s="242">
        <v>0</v>
      </c>
      <c r="H2180" s="242">
        <v>0</v>
      </c>
      <c r="I2180" s="242">
        <v>0</v>
      </c>
      <c r="J2180" s="150">
        <v>0</v>
      </c>
      <c r="K2180" s="150">
        <v>0</v>
      </c>
      <c r="L2180" s="150">
        <f t="shared" si="1786"/>
        <v>0</v>
      </c>
      <c r="M2180" s="150">
        <v>0</v>
      </c>
      <c r="N2180" s="150">
        <v>26885.95</v>
      </c>
      <c r="O2180" s="150">
        <v>26885.95</v>
      </c>
      <c r="P2180" s="150">
        <v>0</v>
      </c>
      <c r="Q2180" s="237">
        <f>O2180/6*9</f>
        <v>40328.925000000003</v>
      </c>
      <c r="R2180" s="150">
        <f>P2180+Q2180</f>
        <v>40328.925000000003</v>
      </c>
      <c r="S2180" s="150">
        <f t="shared" si="1806"/>
        <v>53771.9</v>
      </c>
      <c r="T2180" s="150"/>
      <c r="U2180" s="150">
        <v>0</v>
      </c>
      <c r="V2180" s="346"/>
      <c r="W2180" s="150">
        <f>U2180+V2180</f>
        <v>0</v>
      </c>
      <c r="X2180" s="150">
        <v>0</v>
      </c>
      <c r="Y2180" s="150"/>
      <c r="Z2180" s="150">
        <v>0</v>
      </c>
      <c r="AA2180" s="150">
        <f t="shared" si="1842"/>
        <v>0</v>
      </c>
      <c r="AB2180" s="150">
        <v>0</v>
      </c>
      <c r="AC2180" s="346"/>
      <c r="AD2180" s="150">
        <f>AB2180+AC2180</f>
        <v>0</v>
      </c>
      <c r="AE2180" s="150">
        <v>0</v>
      </c>
      <c r="AF2180" s="169" t="s">
        <v>4680</v>
      </c>
      <c r="AG2180" s="201">
        <v>0</v>
      </c>
      <c r="AH2180" s="346"/>
      <c r="AI2180" s="150">
        <v>0</v>
      </c>
      <c r="AJ2180" s="169">
        <f t="shared" si="1843"/>
        <v>0</v>
      </c>
      <c r="AK2180" s="201">
        <v>0</v>
      </c>
      <c r="AL2180" s="346"/>
      <c r="AM2180" s="150">
        <f>AK2180+AL2180</f>
        <v>0</v>
      </c>
      <c r="AN2180" s="153">
        <f t="shared" si="1844"/>
        <v>0</v>
      </c>
      <c r="AO2180" s="154">
        <f t="shared" si="1845"/>
        <v>0</v>
      </c>
      <c r="AP2180" s="150">
        <v>0</v>
      </c>
      <c r="AQ2180" s="201">
        <v>0</v>
      </c>
      <c r="AR2180" s="199"/>
      <c r="AS2180" s="150">
        <f>AQ2180+AR2180</f>
        <v>0</v>
      </c>
      <c r="AT2180" s="155"/>
      <c r="AU2180" s="156">
        <f t="shared" si="1837"/>
        <v>0</v>
      </c>
      <c r="AV2180" s="156">
        <f t="shared" si="1838"/>
        <v>0</v>
      </c>
      <c r="AW2180" s="157"/>
      <c r="AX2180" s="150">
        <v>0</v>
      </c>
      <c r="AY2180" s="150">
        <v>0</v>
      </c>
      <c r="AZ2180" s="150">
        <f>L2180/12*6-AY2180</f>
        <v>0</v>
      </c>
      <c r="BA2180" s="150">
        <f t="shared" si="1804"/>
        <v>0</v>
      </c>
      <c r="BB2180" s="202">
        <v>5</v>
      </c>
      <c r="BC2180" s="202" t="s">
        <v>1332</v>
      </c>
      <c r="BD2180" s="202" t="s">
        <v>671</v>
      </c>
      <c r="BE2180" s="194" t="s">
        <v>714</v>
      </c>
      <c r="BF2180" s="202" t="s">
        <v>632</v>
      </c>
      <c r="BG2180" s="203" t="s">
        <v>10193</v>
      </c>
      <c r="BH2180" s="216">
        <f>AS2180</f>
        <v>0</v>
      </c>
      <c r="BI2180" s="202"/>
      <c r="BJ2180" s="194" t="s">
        <v>10194</v>
      </c>
      <c r="BK2180" s="194" t="s">
        <v>10192</v>
      </c>
      <c r="BL2180" s="207" t="s">
        <v>10195</v>
      </c>
      <c r="BM2180" s="208">
        <f>BH2180</f>
        <v>0</v>
      </c>
      <c r="BN2180" s="160"/>
      <c r="BO2180" s="161">
        <f t="shared" si="1815"/>
        <v>0</v>
      </c>
      <c r="BP2180" s="161"/>
    </row>
    <row r="2181" spans="1:68" ht="51">
      <c r="A2181" s="183" t="s">
        <v>476</v>
      </c>
      <c r="B2181" s="184"/>
      <c r="C2181" s="185" t="s">
        <v>10197</v>
      </c>
      <c r="D2181" s="146" t="s">
        <v>4692</v>
      </c>
      <c r="E2181" s="185" t="s">
        <v>10197</v>
      </c>
      <c r="F2181" s="188">
        <v>0</v>
      </c>
      <c r="G2181" s="187">
        <v>0</v>
      </c>
      <c r="H2181" s="187"/>
      <c r="I2181" s="187">
        <v>0</v>
      </c>
      <c r="J2181" s="188">
        <f>SUM(J2182:J2195)</f>
        <v>0</v>
      </c>
      <c r="K2181" s="188">
        <f>SUM(K2182:K2195)</f>
        <v>0</v>
      </c>
      <c r="L2181" s="188">
        <f t="shared" si="1786"/>
        <v>0</v>
      </c>
      <c r="M2181" s="188">
        <v>0</v>
      </c>
      <c r="N2181" s="188">
        <v>0</v>
      </c>
      <c r="O2181" s="188">
        <v>0</v>
      </c>
      <c r="P2181" s="299">
        <f t="shared" ref="P2181:AD2181" si="1847">SUM(P2182:P2195)</f>
        <v>0</v>
      </c>
      <c r="Q2181" s="299">
        <f t="shared" si="1847"/>
        <v>0</v>
      </c>
      <c r="R2181" s="299">
        <f t="shared" si="1847"/>
        <v>0</v>
      </c>
      <c r="S2181" s="150">
        <f t="shared" si="1806"/>
        <v>0</v>
      </c>
      <c r="T2181" s="213"/>
      <c r="U2181" s="299">
        <f t="shared" ref="U2181:W2181" si="1848">SUM(U2182:U2195)</f>
        <v>0</v>
      </c>
      <c r="V2181" s="226">
        <f t="shared" si="1848"/>
        <v>0</v>
      </c>
      <c r="W2181" s="299">
        <f t="shared" si="1848"/>
        <v>0</v>
      </c>
      <c r="X2181" s="299">
        <v>0</v>
      </c>
      <c r="Y2181" s="299">
        <v>0</v>
      </c>
      <c r="Z2181" s="299">
        <v>0</v>
      </c>
      <c r="AA2181" s="299">
        <f t="shared" si="1842"/>
        <v>0</v>
      </c>
      <c r="AB2181" s="299">
        <v>0</v>
      </c>
      <c r="AC2181" s="226">
        <v>0</v>
      </c>
      <c r="AD2181" s="299">
        <f t="shared" si="1847"/>
        <v>0</v>
      </c>
      <c r="AE2181" s="299">
        <v>0</v>
      </c>
      <c r="AF2181" s="169" t="s">
        <v>4680</v>
      </c>
      <c r="AG2181" s="301">
        <v>0</v>
      </c>
      <c r="AH2181" s="226">
        <v>0</v>
      </c>
      <c r="AI2181" s="299">
        <v>0</v>
      </c>
      <c r="AJ2181" s="169">
        <f t="shared" si="1843"/>
        <v>0</v>
      </c>
      <c r="AK2181" s="301">
        <v>0</v>
      </c>
      <c r="AL2181" s="226">
        <v>0</v>
      </c>
      <c r="AM2181" s="299">
        <f t="shared" ref="AM2181" si="1849">SUM(AM2182:AM2195)</f>
        <v>0</v>
      </c>
      <c r="AN2181" s="153">
        <f t="shared" si="1844"/>
        <v>0</v>
      </c>
      <c r="AO2181" s="154">
        <f t="shared" si="1845"/>
        <v>0</v>
      </c>
      <c r="AP2181" s="299">
        <v>0</v>
      </c>
      <c r="AQ2181" s="301">
        <v>0</v>
      </c>
      <c r="AR2181" s="226">
        <f t="shared" ref="AR2181:AS2181" si="1850">SUM(AR2182:AR2195)</f>
        <v>0</v>
      </c>
      <c r="AS2181" s="299">
        <f t="shared" si="1850"/>
        <v>0</v>
      </c>
      <c r="AT2181" s="155"/>
      <c r="AU2181" s="156">
        <f t="shared" si="1837"/>
        <v>0</v>
      </c>
      <c r="AV2181" s="156">
        <f t="shared" si="1838"/>
        <v>0</v>
      </c>
      <c r="AW2181" s="157"/>
      <c r="AX2181" s="150">
        <v>0</v>
      </c>
      <c r="AY2181" s="299">
        <f t="shared" ref="AY2181:BA2181" si="1851">SUM(AY2182:AY2195)</f>
        <v>0</v>
      </c>
      <c r="AZ2181" s="299">
        <f t="shared" si="1851"/>
        <v>0</v>
      </c>
      <c r="BA2181" s="299">
        <f t="shared" si="1851"/>
        <v>0</v>
      </c>
      <c r="BB2181" s="191">
        <v>5</v>
      </c>
      <c r="BC2181" s="183" t="s">
        <v>1332</v>
      </c>
      <c r="BD2181" s="183" t="s">
        <v>671</v>
      </c>
      <c r="BE2181" s="183" t="s">
        <v>632</v>
      </c>
      <c r="BF2181" s="183" t="s">
        <v>630</v>
      </c>
      <c r="BG2181" s="185" t="s">
        <v>10197</v>
      </c>
      <c r="BH2181" s="215">
        <f>BH2182+BH2186+BH2187+BH2188+BH2189+BH2190+BH2191+BH2192+BH2193+BH2194</f>
        <v>0</v>
      </c>
      <c r="BI2181" s="191"/>
      <c r="BJ2181" s="183" t="s">
        <v>10198</v>
      </c>
      <c r="BK2181" s="183" t="s">
        <v>476</v>
      </c>
      <c r="BL2181" s="238" t="s">
        <v>10199</v>
      </c>
      <c r="BM2181" s="338">
        <f>BM2182+BM2186+BM2187+BM2188+BM2189+BM2190+BM2191+BM2192+BM2193+BM2194</f>
        <v>0</v>
      </c>
      <c r="BN2181" s="160"/>
      <c r="BO2181" s="161">
        <f t="shared" si="1815"/>
        <v>0</v>
      </c>
      <c r="BP2181" s="161"/>
    </row>
    <row r="2182" spans="1:68" ht="51">
      <c r="A2182" s="194" t="s">
        <v>476</v>
      </c>
      <c r="B2182" s="195" t="s">
        <v>10200</v>
      </c>
      <c r="C2182" s="196" t="s">
        <v>10201</v>
      </c>
      <c r="D2182" s="146" t="s">
        <v>4692</v>
      </c>
      <c r="E2182" s="196" t="s">
        <v>10201</v>
      </c>
      <c r="F2182" s="150">
        <v>0</v>
      </c>
      <c r="G2182" s="209">
        <v>0</v>
      </c>
      <c r="H2182" s="209"/>
      <c r="I2182" s="209">
        <v>0</v>
      </c>
      <c r="J2182" s="150">
        <v>0</v>
      </c>
      <c r="K2182" s="150">
        <v>0</v>
      </c>
      <c r="L2182" s="150">
        <f t="shared" si="1786"/>
        <v>0</v>
      </c>
      <c r="M2182" s="150">
        <v>0</v>
      </c>
      <c r="N2182" s="150"/>
      <c r="O2182" s="150">
        <v>0</v>
      </c>
      <c r="P2182" s="150">
        <v>0</v>
      </c>
      <c r="Q2182" s="150">
        <v>0</v>
      </c>
      <c r="R2182" s="150">
        <f t="shared" ref="R2182:R2195" si="1852">P2182+Q2182</f>
        <v>0</v>
      </c>
      <c r="S2182" s="150">
        <f t="shared" si="1806"/>
        <v>0</v>
      </c>
      <c r="T2182" s="150"/>
      <c r="U2182" s="150">
        <v>0</v>
      </c>
      <c r="V2182" s="199"/>
      <c r="W2182" s="150">
        <f t="shared" ref="W2182:W2195" si="1853">U2182+V2182</f>
        <v>0</v>
      </c>
      <c r="X2182" s="150">
        <v>0</v>
      </c>
      <c r="Y2182" s="150"/>
      <c r="Z2182" s="150">
        <v>0</v>
      </c>
      <c r="AA2182" s="150">
        <f t="shared" si="1842"/>
        <v>0</v>
      </c>
      <c r="AB2182" s="150">
        <v>0</v>
      </c>
      <c r="AC2182" s="199"/>
      <c r="AD2182" s="150">
        <f t="shared" ref="AD2182:AD2195" si="1854">AB2182+AC2182</f>
        <v>0</v>
      </c>
      <c r="AE2182" s="150">
        <v>0</v>
      </c>
      <c r="AF2182" s="169" t="s">
        <v>4680</v>
      </c>
      <c r="AG2182" s="201">
        <v>0</v>
      </c>
      <c r="AH2182" s="199"/>
      <c r="AI2182" s="150">
        <v>0</v>
      </c>
      <c r="AJ2182" s="169">
        <f t="shared" si="1843"/>
        <v>0</v>
      </c>
      <c r="AK2182" s="201">
        <v>0</v>
      </c>
      <c r="AL2182" s="199"/>
      <c r="AM2182" s="150">
        <f t="shared" ref="AM2182:AM2195" si="1855">AK2182+AL2182</f>
        <v>0</v>
      </c>
      <c r="AN2182" s="153">
        <f t="shared" si="1844"/>
        <v>0</v>
      </c>
      <c r="AO2182" s="154">
        <f t="shared" si="1845"/>
        <v>0</v>
      </c>
      <c r="AP2182" s="150">
        <v>0</v>
      </c>
      <c r="AQ2182" s="201">
        <v>0</v>
      </c>
      <c r="AR2182" s="199"/>
      <c r="AS2182" s="150">
        <f t="shared" ref="AS2182:AS2195" si="1856">AQ2182+AR2182</f>
        <v>0</v>
      </c>
      <c r="AT2182" s="155"/>
      <c r="AU2182" s="156">
        <f t="shared" si="1837"/>
        <v>0</v>
      </c>
      <c r="AV2182" s="156">
        <f t="shared" si="1838"/>
        <v>0</v>
      </c>
      <c r="AW2182" s="157"/>
      <c r="AX2182" s="150">
        <v>0</v>
      </c>
      <c r="AY2182" s="150">
        <v>0</v>
      </c>
      <c r="AZ2182" s="150"/>
      <c r="BA2182" s="150">
        <f t="shared" si="1804"/>
        <v>0</v>
      </c>
      <c r="BB2182" s="202">
        <v>5</v>
      </c>
      <c r="BC2182" s="202" t="s">
        <v>1332</v>
      </c>
      <c r="BD2182" s="202" t="s">
        <v>671</v>
      </c>
      <c r="BE2182" s="202" t="s">
        <v>632</v>
      </c>
      <c r="BF2182" s="194" t="s">
        <v>647</v>
      </c>
      <c r="BG2182" s="203" t="s">
        <v>10202</v>
      </c>
      <c r="BH2182" s="216">
        <f>SUM(AS2182:AS2185)</f>
        <v>0</v>
      </c>
      <c r="BI2182" s="202"/>
      <c r="BJ2182" s="194" t="s">
        <v>10198</v>
      </c>
      <c r="BK2182" s="194" t="s">
        <v>476</v>
      </c>
      <c r="BL2182" s="207" t="s">
        <v>10199</v>
      </c>
      <c r="BM2182" s="208">
        <f>BH2182</f>
        <v>0</v>
      </c>
      <c r="BN2182" s="160"/>
      <c r="BO2182" s="161">
        <f t="shared" si="1815"/>
        <v>0</v>
      </c>
      <c r="BP2182" s="161"/>
    </row>
    <row r="2183" spans="1:68">
      <c r="A2183" s="367"/>
      <c r="B2183" s="195" t="s">
        <v>10203</v>
      </c>
      <c r="C2183" s="196" t="s">
        <v>10204</v>
      </c>
      <c r="D2183" s="146" t="s">
        <v>4692</v>
      </c>
      <c r="E2183" s="196" t="s">
        <v>10204</v>
      </c>
      <c r="F2183" s="150">
        <v>0</v>
      </c>
      <c r="G2183" s="209">
        <v>0</v>
      </c>
      <c r="H2183" s="209"/>
      <c r="I2183" s="209">
        <v>0</v>
      </c>
      <c r="J2183" s="150">
        <v>0</v>
      </c>
      <c r="K2183" s="150">
        <v>0</v>
      </c>
      <c r="L2183" s="150">
        <f t="shared" si="1786"/>
        <v>0</v>
      </c>
      <c r="M2183" s="150">
        <v>0</v>
      </c>
      <c r="N2183" s="150"/>
      <c r="O2183" s="150">
        <v>0</v>
      </c>
      <c r="P2183" s="150">
        <v>0</v>
      </c>
      <c r="Q2183" s="150">
        <v>0</v>
      </c>
      <c r="R2183" s="150">
        <f t="shared" si="1852"/>
        <v>0</v>
      </c>
      <c r="S2183" s="150">
        <f t="shared" si="1806"/>
        <v>0</v>
      </c>
      <c r="T2183" s="150"/>
      <c r="U2183" s="150">
        <v>0</v>
      </c>
      <c r="V2183" s="199"/>
      <c r="W2183" s="150">
        <f t="shared" si="1853"/>
        <v>0</v>
      </c>
      <c r="X2183" s="150">
        <v>0</v>
      </c>
      <c r="Y2183" s="150"/>
      <c r="Z2183" s="150">
        <v>0</v>
      </c>
      <c r="AA2183" s="150">
        <f t="shared" si="1842"/>
        <v>0</v>
      </c>
      <c r="AB2183" s="150">
        <v>0</v>
      </c>
      <c r="AC2183" s="199"/>
      <c r="AD2183" s="150">
        <f t="shared" si="1854"/>
        <v>0</v>
      </c>
      <c r="AE2183" s="150">
        <v>0</v>
      </c>
      <c r="AF2183" s="169" t="s">
        <v>4680</v>
      </c>
      <c r="AG2183" s="201">
        <v>0</v>
      </c>
      <c r="AH2183" s="199"/>
      <c r="AI2183" s="150">
        <v>0</v>
      </c>
      <c r="AJ2183" s="169">
        <f t="shared" si="1843"/>
        <v>0</v>
      </c>
      <c r="AK2183" s="201">
        <v>0</v>
      </c>
      <c r="AL2183" s="199"/>
      <c r="AM2183" s="150">
        <f t="shared" si="1855"/>
        <v>0</v>
      </c>
      <c r="AN2183" s="153">
        <f t="shared" si="1844"/>
        <v>0</v>
      </c>
      <c r="AO2183" s="154">
        <f t="shared" si="1845"/>
        <v>0</v>
      </c>
      <c r="AP2183" s="150">
        <v>0</v>
      </c>
      <c r="AQ2183" s="201">
        <v>0</v>
      </c>
      <c r="AR2183" s="199"/>
      <c r="AS2183" s="150">
        <f t="shared" si="1856"/>
        <v>0</v>
      </c>
      <c r="AT2183" s="155"/>
      <c r="AU2183" s="156">
        <f t="shared" si="1837"/>
        <v>0</v>
      </c>
      <c r="AV2183" s="156">
        <f t="shared" si="1838"/>
        <v>0</v>
      </c>
      <c r="AW2183" s="157"/>
      <c r="AX2183" s="150">
        <v>0</v>
      </c>
      <c r="AY2183" s="150">
        <v>0</v>
      </c>
      <c r="AZ2183" s="150"/>
      <c r="BA2183" s="150">
        <f t="shared" si="1804"/>
        <v>0</v>
      </c>
      <c r="BB2183" s="368"/>
      <c r="BC2183" s="368"/>
      <c r="BD2183" s="368"/>
      <c r="BE2183" s="368"/>
      <c r="BF2183" s="368"/>
      <c r="BG2183" s="369"/>
      <c r="BH2183" s="370"/>
      <c r="BI2183" s="367"/>
      <c r="BJ2183" s="367"/>
      <c r="BK2183" s="367"/>
      <c r="BL2183" s="371"/>
      <c r="BM2183" s="208"/>
      <c r="BN2183" s="160"/>
      <c r="BO2183" s="161">
        <f t="shared" si="1815"/>
        <v>0</v>
      </c>
      <c r="BP2183" s="161"/>
    </row>
    <row r="2184" spans="1:68">
      <c r="A2184" s="367"/>
      <c r="B2184" s="195" t="s">
        <v>10205</v>
      </c>
      <c r="C2184" s="196" t="s">
        <v>10206</v>
      </c>
      <c r="D2184" s="146" t="s">
        <v>4692</v>
      </c>
      <c r="E2184" s="196" t="s">
        <v>10206</v>
      </c>
      <c r="F2184" s="150">
        <v>0</v>
      </c>
      <c r="G2184" s="209">
        <v>0</v>
      </c>
      <c r="H2184" s="209"/>
      <c r="I2184" s="209">
        <v>0</v>
      </c>
      <c r="J2184" s="150">
        <v>0</v>
      </c>
      <c r="K2184" s="150">
        <v>0</v>
      </c>
      <c r="L2184" s="150">
        <f t="shared" si="1786"/>
        <v>0</v>
      </c>
      <c r="M2184" s="150">
        <v>0</v>
      </c>
      <c r="N2184" s="150"/>
      <c r="O2184" s="150">
        <v>0</v>
      </c>
      <c r="P2184" s="150">
        <v>0</v>
      </c>
      <c r="Q2184" s="150">
        <v>0</v>
      </c>
      <c r="R2184" s="150">
        <f t="shared" si="1852"/>
        <v>0</v>
      </c>
      <c r="S2184" s="150">
        <f t="shared" si="1806"/>
        <v>0</v>
      </c>
      <c r="T2184" s="150"/>
      <c r="U2184" s="150">
        <v>0</v>
      </c>
      <c r="V2184" s="199"/>
      <c r="W2184" s="150">
        <f t="shared" si="1853"/>
        <v>0</v>
      </c>
      <c r="X2184" s="150">
        <v>0</v>
      </c>
      <c r="Y2184" s="150"/>
      <c r="Z2184" s="150">
        <v>0</v>
      </c>
      <c r="AA2184" s="150">
        <f t="shared" si="1842"/>
        <v>0</v>
      </c>
      <c r="AB2184" s="150">
        <v>0</v>
      </c>
      <c r="AC2184" s="199"/>
      <c r="AD2184" s="150">
        <f t="shared" si="1854"/>
        <v>0</v>
      </c>
      <c r="AE2184" s="150">
        <v>0</v>
      </c>
      <c r="AF2184" s="169" t="s">
        <v>4680</v>
      </c>
      <c r="AG2184" s="201">
        <v>0</v>
      </c>
      <c r="AH2184" s="199"/>
      <c r="AI2184" s="150">
        <v>0</v>
      </c>
      <c r="AJ2184" s="169">
        <f t="shared" si="1843"/>
        <v>0</v>
      </c>
      <c r="AK2184" s="201">
        <v>0</v>
      </c>
      <c r="AL2184" s="199"/>
      <c r="AM2184" s="150">
        <f t="shared" si="1855"/>
        <v>0</v>
      </c>
      <c r="AN2184" s="153">
        <f t="shared" si="1844"/>
        <v>0</v>
      </c>
      <c r="AO2184" s="154">
        <f t="shared" si="1845"/>
        <v>0</v>
      </c>
      <c r="AP2184" s="150">
        <v>0</v>
      </c>
      <c r="AQ2184" s="201">
        <v>0</v>
      </c>
      <c r="AR2184" s="199"/>
      <c r="AS2184" s="150">
        <f t="shared" si="1856"/>
        <v>0</v>
      </c>
      <c r="AT2184" s="155"/>
      <c r="AU2184" s="156">
        <f t="shared" si="1837"/>
        <v>0</v>
      </c>
      <c r="AV2184" s="156">
        <f t="shared" si="1838"/>
        <v>0</v>
      </c>
      <c r="AW2184" s="157"/>
      <c r="AX2184" s="150">
        <v>0</v>
      </c>
      <c r="AY2184" s="150">
        <v>0</v>
      </c>
      <c r="AZ2184" s="150"/>
      <c r="BA2184" s="150">
        <f t="shared" si="1804"/>
        <v>0</v>
      </c>
      <c r="BB2184" s="368"/>
      <c r="BC2184" s="368"/>
      <c r="BD2184" s="368"/>
      <c r="BE2184" s="368"/>
      <c r="BF2184" s="368"/>
      <c r="BG2184" s="369"/>
      <c r="BH2184" s="370"/>
      <c r="BI2184" s="367"/>
      <c r="BJ2184" s="367"/>
      <c r="BK2184" s="367"/>
      <c r="BL2184" s="371"/>
      <c r="BM2184" s="208"/>
      <c r="BN2184" s="160"/>
      <c r="BO2184" s="161">
        <f t="shared" si="1815"/>
        <v>0</v>
      </c>
      <c r="BP2184" s="161"/>
    </row>
    <row r="2185" spans="1:68">
      <c r="A2185" s="210"/>
      <c r="B2185" s="195" t="s">
        <v>10207</v>
      </c>
      <c r="C2185" s="196" t="s">
        <v>10208</v>
      </c>
      <c r="D2185" s="146" t="s">
        <v>4692</v>
      </c>
      <c r="E2185" s="196" t="s">
        <v>10208</v>
      </c>
      <c r="F2185" s="150">
        <v>0</v>
      </c>
      <c r="G2185" s="209">
        <v>0</v>
      </c>
      <c r="H2185" s="209"/>
      <c r="I2185" s="209">
        <v>0</v>
      </c>
      <c r="J2185" s="150">
        <v>0</v>
      </c>
      <c r="K2185" s="150">
        <v>0</v>
      </c>
      <c r="L2185" s="150">
        <f t="shared" si="1786"/>
        <v>0</v>
      </c>
      <c r="M2185" s="150">
        <v>0</v>
      </c>
      <c r="N2185" s="150"/>
      <c r="O2185" s="150">
        <v>0</v>
      </c>
      <c r="P2185" s="150">
        <v>0</v>
      </c>
      <c r="Q2185" s="150">
        <v>0</v>
      </c>
      <c r="R2185" s="150">
        <f t="shared" si="1852"/>
        <v>0</v>
      </c>
      <c r="S2185" s="150">
        <f t="shared" si="1806"/>
        <v>0</v>
      </c>
      <c r="T2185" s="150"/>
      <c r="U2185" s="150">
        <v>0</v>
      </c>
      <c r="V2185" s="199"/>
      <c r="W2185" s="150">
        <f t="shared" si="1853"/>
        <v>0</v>
      </c>
      <c r="X2185" s="150">
        <v>0</v>
      </c>
      <c r="Y2185" s="150"/>
      <c r="Z2185" s="150">
        <v>0</v>
      </c>
      <c r="AA2185" s="150">
        <f t="shared" si="1842"/>
        <v>0</v>
      </c>
      <c r="AB2185" s="150">
        <v>0</v>
      </c>
      <c r="AC2185" s="199"/>
      <c r="AD2185" s="150">
        <f t="shared" si="1854"/>
        <v>0</v>
      </c>
      <c r="AE2185" s="150">
        <v>0</v>
      </c>
      <c r="AF2185" s="169" t="s">
        <v>4680</v>
      </c>
      <c r="AG2185" s="201">
        <v>0</v>
      </c>
      <c r="AH2185" s="199"/>
      <c r="AI2185" s="150">
        <v>0</v>
      </c>
      <c r="AJ2185" s="169">
        <f t="shared" si="1843"/>
        <v>0</v>
      </c>
      <c r="AK2185" s="201">
        <v>0</v>
      </c>
      <c r="AL2185" s="199"/>
      <c r="AM2185" s="150">
        <f t="shared" si="1855"/>
        <v>0</v>
      </c>
      <c r="AN2185" s="153">
        <f t="shared" si="1844"/>
        <v>0</v>
      </c>
      <c r="AO2185" s="154">
        <f t="shared" si="1845"/>
        <v>0</v>
      </c>
      <c r="AP2185" s="150">
        <v>0</v>
      </c>
      <c r="AQ2185" s="201">
        <v>0</v>
      </c>
      <c r="AR2185" s="199"/>
      <c r="AS2185" s="150">
        <f t="shared" si="1856"/>
        <v>0</v>
      </c>
      <c r="AT2185" s="155"/>
      <c r="AU2185" s="156">
        <f t="shared" si="1837"/>
        <v>0</v>
      </c>
      <c r="AV2185" s="156">
        <f t="shared" si="1838"/>
        <v>0</v>
      </c>
      <c r="AW2185" s="157"/>
      <c r="AX2185" s="150">
        <v>0</v>
      </c>
      <c r="AY2185" s="150">
        <v>0</v>
      </c>
      <c r="AZ2185" s="150"/>
      <c r="BA2185" s="150">
        <f t="shared" si="1804"/>
        <v>0</v>
      </c>
      <c r="BB2185" s="210"/>
      <c r="BC2185" s="210"/>
      <c r="BD2185" s="210"/>
      <c r="BE2185" s="210"/>
      <c r="BF2185" s="210"/>
      <c r="BG2185" s="196"/>
      <c r="BH2185" s="372"/>
      <c r="BI2185" s="210"/>
      <c r="BJ2185" s="210"/>
      <c r="BK2185" s="210"/>
      <c r="BL2185" s="210"/>
      <c r="BM2185" s="208"/>
      <c r="BN2185" s="160"/>
      <c r="BO2185" s="161">
        <f t="shared" si="1815"/>
        <v>0</v>
      </c>
      <c r="BP2185" s="161"/>
    </row>
    <row r="2186" spans="1:68" ht="51">
      <c r="A2186" s="194" t="s">
        <v>476</v>
      </c>
      <c r="B2186" s="195" t="s">
        <v>10209</v>
      </c>
      <c r="C2186" s="196" t="s">
        <v>10210</v>
      </c>
      <c r="D2186" s="146" t="s">
        <v>4692</v>
      </c>
      <c r="E2186" s="196" t="s">
        <v>10210</v>
      </c>
      <c r="F2186" s="150">
        <v>0</v>
      </c>
      <c r="G2186" s="209">
        <v>0</v>
      </c>
      <c r="H2186" s="209"/>
      <c r="I2186" s="209">
        <v>0</v>
      </c>
      <c r="J2186" s="150">
        <v>0</v>
      </c>
      <c r="K2186" s="150">
        <v>0</v>
      </c>
      <c r="L2186" s="150">
        <f t="shared" si="1786"/>
        <v>0</v>
      </c>
      <c r="M2186" s="150">
        <v>0</v>
      </c>
      <c r="N2186" s="150"/>
      <c r="O2186" s="150">
        <v>0</v>
      </c>
      <c r="P2186" s="150">
        <v>0</v>
      </c>
      <c r="Q2186" s="150">
        <v>0</v>
      </c>
      <c r="R2186" s="150">
        <f t="shared" si="1852"/>
        <v>0</v>
      </c>
      <c r="S2186" s="150">
        <f t="shared" si="1806"/>
        <v>0</v>
      </c>
      <c r="T2186" s="150"/>
      <c r="U2186" s="150">
        <v>0</v>
      </c>
      <c r="V2186" s="199"/>
      <c r="W2186" s="150">
        <f t="shared" si="1853"/>
        <v>0</v>
      </c>
      <c r="X2186" s="150">
        <v>0</v>
      </c>
      <c r="Y2186" s="150"/>
      <c r="Z2186" s="150">
        <v>0</v>
      </c>
      <c r="AA2186" s="150">
        <f t="shared" si="1842"/>
        <v>0</v>
      </c>
      <c r="AB2186" s="150">
        <v>0</v>
      </c>
      <c r="AC2186" s="199"/>
      <c r="AD2186" s="150">
        <f t="shared" si="1854"/>
        <v>0</v>
      </c>
      <c r="AE2186" s="150">
        <v>0</v>
      </c>
      <c r="AF2186" s="169" t="s">
        <v>4680</v>
      </c>
      <c r="AG2186" s="201">
        <v>0</v>
      </c>
      <c r="AH2186" s="199"/>
      <c r="AI2186" s="150">
        <v>0</v>
      </c>
      <c r="AJ2186" s="169">
        <f t="shared" si="1843"/>
        <v>0</v>
      </c>
      <c r="AK2186" s="201">
        <v>0</v>
      </c>
      <c r="AL2186" s="199"/>
      <c r="AM2186" s="150">
        <f t="shared" si="1855"/>
        <v>0</v>
      </c>
      <c r="AN2186" s="153">
        <f t="shared" si="1844"/>
        <v>0</v>
      </c>
      <c r="AO2186" s="154">
        <f t="shared" si="1845"/>
        <v>0</v>
      </c>
      <c r="AP2186" s="150">
        <v>0</v>
      </c>
      <c r="AQ2186" s="201">
        <v>0</v>
      </c>
      <c r="AR2186" s="199"/>
      <c r="AS2186" s="150">
        <f t="shared" si="1856"/>
        <v>0</v>
      </c>
      <c r="AT2186" s="155"/>
      <c r="AU2186" s="156">
        <f t="shared" si="1837"/>
        <v>0</v>
      </c>
      <c r="AV2186" s="156">
        <f t="shared" si="1838"/>
        <v>0</v>
      </c>
      <c r="AW2186" s="157"/>
      <c r="AX2186" s="150">
        <v>0</v>
      </c>
      <c r="AY2186" s="150">
        <v>0</v>
      </c>
      <c r="AZ2186" s="150"/>
      <c r="BA2186" s="150">
        <f t="shared" si="1804"/>
        <v>0</v>
      </c>
      <c r="BB2186" s="202">
        <v>5</v>
      </c>
      <c r="BC2186" s="202" t="s">
        <v>1332</v>
      </c>
      <c r="BD2186" s="202" t="s">
        <v>671</v>
      </c>
      <c r="BE2186" s="202" t="s">
        <v>632</v>
      </c>
      <c r="BF2186" s="202" t="s">
        <v>671</v>
      </c>
      <c r="BG2186" s="203" t="s">
        <v>10211</v>
      </c>
      <c r="BH2186" s="216">
        <f t="shared" ref="BH2186:BH2193" si="1857">AS2186</f>
        <v>0</v>
      </c>
      <c r="BI2186" s="202"/>
      <c r="BJ2186" s="194" t="s">
        <v>10198</v>
      </c>
      <c r="BK2186" s="194" t="s">
        <v>476</v>
      </c>
      <c r="BL2186" s="207" t="s">
        <v>10199</v>
      </c>
      <c r="BM2186" s="208">
        <f t="shared" ref="BM2186:BM2194" si="1858">BH2186</f>
        <v>0</v>
      </c>
      <c r="BN2186" s="160"/>
      <c r="BO2186" s="161">
        <f t="shared" si="1815"/>
        <v>0</v>
      </c>
      <c r="BP2186" s="161"/>
    </row>
    <row r="2187" spans="1:68" ht="51">
      <c r="A2187" s="194" t="s">
        <v>476</v>
      </c>
      <c r="B2187" s="195" t="s">
        <v>10212</v>
      </c>
      <c r="C2187" s="196" t="s">
        <v>10213</v>
      </c>
      <c r="D2187" s="146" t="s">
        <v>4692</v>
      </c>
      <c r="E2187" s="196" t="s">
        <v>10213</v>
      </c>
      <c r="F2187" s="150">
        <v>0</v>
      </c>
      <c r="G2187" s="209">
        <v>0</v>
      </c>
      <c r="H2187" s="209"/>
      <c r="I2187" s="209">
        <v>0</v>
      </c>
      <c r="J2187" s="150">
        <v>0</v>
      </c>
      <c r="K2187" s="150">
        <v>0</v>
      </c>
      <c r="L2187" s="150">
        <f t="shared" ref="L2187:L2250" si="1859">J2187+K2187</f>
        <v>0</v>
      </c>
      <c r="M2187" s="150">
        <v>0</v>
      </c>
      <c r="N2187" s="150"/>
      <c r="O2187" s="150">
        <v>0</v>
      </c>
      <c r="P2187" s="150">
        <v>0</v>
      </c>
      <c r="Q2187" s="150">
        <v>0</v>
      </c>
      <c r="R2187" s="150">
        <f t="shared" si="1852"/>
        <v>0</v>
      </c>
      <c r="S2187" s="150">
        <f t="shared" si="1806"/>
        <v>0</v>
      </c>
      <c r="T2187" s="150"/>
      <c r="U2187" s="150">
        <v>0</v>
      </c>
      <c r="V2187" s="199"/>
      <c r="W2187" s="150">
        <f t="shared" si="1853"/>
        <v>0</v>
      </c>
      <c r="X2187" s="150">
        <v>0</v>
      </c>
      <c r="Y2187" s="150"/>
      <c r="Z2187" s="150">
        <v>0</v>
      </c>
      <c r="AA2187" s="150">
        <f t="shared" si="1842"/>
        <v>0</v>
      </c>
      <c r="AB2187" s="150">
        <v>0</v>
      </c>
      <c r="AC2187" s="199"/>
      <c r="AD2187" s="150">
        <f t="shared" si="1854"/>
        <v>0</v>
      </c>
      <c r="AE2187" s="150">
        <v>0</v>
      </c>
      <c r="AF2187" s="169" t="s">
        <v>4680</v>
      </c>
      <c r="AG2187" s="201">
        <v>0</v>
      </c>
      <c r="AH2187" s="199"/>
      <c r="AI2187" s="150">
        <v>0</v>
      </c>
      <c r="AJ2187" s="169">
        <f t="shared" si="1843"/>
        <v>0</v>
      </c>
      <c r="AK2187" s="201">
        <v>0</v>
      </c>
      <c r="AL2187" s="199"/>
      <c r="AM2187" s="150">
        <f t="shared" si="1855"/>
        <v>0</v>
      </c>
      <c r="AN2187" s="153">
        <f t="shared" si="1844"/>
        <v>0</v>
      </c>
      <c r="AO2187" s="154">
        <f t="shared" si="1845"/>
        <v>0</v>
      </c>
      <c r="AP2187" s="150">
        <v>0</v>
      </c>
      <c r="AQ2187" s="201">
        <v>0</v>
      </c>
      <c r="AR2187" s="199"/>
      <c r="AS2187" s="150">
        <f t="shared" si="1856"/>
        <v>0</v>
      </c>
      <c r="AT2187" s="155"/>
      <c r="AU2187" s="156">
        <f t="shared" si="1837"/>
        <v>0</v>
      </c>
      <c r="AV2187" s="156">
        <f t="shared" si="1838"/>
        <v>0</v>
      </c>
      <c r="AW2187" s="157"/>
      <c r="AX2187" s="150">
        <v>0</v>
      </c>
      <c r="AY2187" s="150">
        <v>0</v>
      </c>
      <c r="AZ2187" s="150"/>
      <c r="BA2187" s="150">
        <f t="shared" si="1804"/>
        <v>0</v>
      </c>
      <c r="BB2187" s="202">
        <v>5</v>
      </c>
      <c r="BC2187" s="202" t="s">
        <v>1332</v>
      </c>
      <c r="BD2187" s="202" t="s">
        <v>671</v>
      </c>
      <c r="BE2187" s="202" t="s">
        <v>632</v>
      </c>
      <c r="BF2187" s="194" t="s">
        <v>693</v>
      </c>
      <c r="BG2187" s="203" t="s">
        <v>10214</v>
      </c>
      <c r="BH2187" s="216">
        <f t="shared" si="1857"/>
        <v>0</v>
      </c>
      <c r="BI2187" s="202"/>
      <c r="BJ2187" s="194" t="s">
        <v>10198</v>
      </c>
      <c r="BK2187" s="194" t="s">
        <v>476</v>
      </c>
      <c r="BL2187" s="207" t="s">
        <v>10199</v>
      </c>
      <c r="BM2187" s="208">
        <f t="shared" si="1858"/>
        <v>0</v>
      </c>
      <c r="BN2187" s="160"/>
      <c r="BO2187" s="161">
        <f t="shared" si="1815"/>
        <v>0</v>
      </c>
      <c r="BP2187" s="161"/>
    </row>
    <row r="2188" spans="1:68" ht="51">
      <c r="A2188" s="194" t="s">
        <v>476</v>
      </c>
      <c r="B2188" s="195" t="s">
        <v>10215</v>
      </c>
      <c r="C2188" s="196" t="s">
        <v>10216</v>
      </c>
      <c r="D2188" s="146" t="s">
        <v>4692</v>
      </c>
      <c r="E2188" s="196" t="s">
        <v>10216</v>
      </c>
      <c r="F2188" s="150">
        <v>0</v>
      </c>
      <c r="G2188" s="209">
        <v>0</v>
      </c>
      <c r="H2188" s="209"/>
      <c r="I2188" s="209">
        <v>0</v>
      </c>
      <c r="J2188" s="150">
        <v>0</v>
      </c>
      <c r="K2188" s="150">
        <v>0</v>
      </c>
      <c r="L2188" s="150">
        <f t="shared" si="1859"/>
        <v>0</v>
      </c>
      <c r="M2188" s="150">
        <v>0</v>
      </c>
      <c r="N2188" s="150"/>
      <c r="O2188" s="150">
        <v>0</v>
      </c>
      <c r="P2188" s="150">
        <v>0</v>
      </c>
      <c r="Q2188" s="150">
        <v>0</v>
      </c>
      <c r="R2188" s="150">
        <f t="shared" si="1852"/>
        <v>0</v>
      </c>
      <c r="S2188" s="150">
        <f t="shared" si="1806"/>
        <v>0</v>
      </c>
      <c r="T2188" s="150"/>
      <c r="U2188" s="150">
        <v>0</v>
      </c>
      <c r="V2188" s="199"/>
      <c r="W2188" s="150">
        <f t="shared" si="1853"/>
        <v>0</v>
      </c>
      <c r="X2188" s="150">
        <v>0</v>
      </c>
      <c r="Y2188" s="150"/>
      <c r="Z2188" s="150">
        <v>0</v>
      </c>
      <c r="AA2188" s="150">
        <f t="shared" si="1842"/>
        <v>0</v>
      </c>
      <c r="AB2188" s="150">
        <v>0</v>
      </c>
      <c r="AC2188" s="199"/>
      <c r="AD2188" s="150">
        <f t="shared" si="1854"/>
        <v>0</v>
      </c>
      <c r="AE2188" s="150">
        <v>0</v>
      </c>
      <c r="AF2188" s="169" t="s">
        <v>4680</v>
      </c>
      <c r="AG2188" s="201">
        <v>0</v>
      </c>
      <c r="AH2188" s="199"/>
      <c r="AI2188" s="150">
        <v>0</v>
      </c>
      <c r="AJ2188" s="169">
        <f t="shared" si="1843"/>
        <v>0</v>
      </c>
      <c r="AK2188" s="201">
        <v>0</v>
      </c>
      <c r="AL2188" s="199"/>
      <c r="AM2188" s="150">
        <f t="shared" si="1855"/>
        <v>0</v>
      </c>
      <c r="AN2188" s="153">
        <f t="shared" si="1844"/>
        <v>0</v>
      </c>
      <c r="AO2188" s="154">
        <f t="shared" si="1845"/>
        <v>0</v>
      </c>
      <c r="AP2188" s="150">
        <v>0</v>
      </c>
      <c r="AQ2188" s="201">
        <v>0</v>
      </c>
      <c r="AR2188" s="199"/>
      <c r="AS2188" s="150">
        <f t="shared" si="1856"/>
        <v>0</v>
      </c>
      <c r="AT2188" s="155"/>
      <c r="AU2188" s="156">
        <f t="shared" si="1837"/>
        <v>0</v>
      </c>
      <c r="AV2188" s="156">
        <f t="shared" si="1838"/>
        <v>0</v>
      </c>
      <c r="AW2188" s="157"/>
      <c r="AX2188" s="150">
        <v>0</v>
      </c>
      <c r="AY2188" s="150">
        <v>0</v>
      </c>
      <c r="AZ2188" s="150"/>
      <c r="BA2188" s="150">
        <f t="shared" si="1804"/>
        <v>0</v>
      </c>
      <c r="BB2188" s="202">
        <v>5</v>
      </c>
      <c r="BC2188" s="202" t="s">
        <v>1332</v>
      </c>
      <c r="BD2188" s="202" t="s">
        <v>671</v>
      </c>
      <c r="BE2188" s="202" t="s">
        <v>632</v>
      </c>
      <c r="BF2188" s="202" t="s">
        <v>714</v>
      </c>
      <c r="BG2188" s="203" t="s">
        <v>10217</v>
      </c>
      <c r="BH2188" s="216">
        <f t="shared" si="1857"/>
        <v>0</v>
      </c>
      <c r="BI2188" s="202"/>
      <c r="BJ2188" s="194" t="s">
        <v>10198</v>
      </c>
      <c r="BK2188" s="194" t="s">
        <v>476</v>
      </c>
      <c r="BL2188" s="207" t="s">
        <v>10199</v>
      </c>
      <c r="BM2188" s="208">
        <f t="shared" si="1858"/>
        <v>0</v>
      </c>
      <c r="BN2188" s="160"/>
      <c r="BO2188" s="161">
        <f t="shared" si="1815"/>
        <v>0</v>
      </c>
      <c r="BP2188" s="161"/>
    </row>
    <row r="2189" spans="1:68" ht="51">
      <c r="A2189" s="194" t="s">
        <v>476</v>
      </c>
      <c r="B2189" s="195" t="s">
        <v>10218</v>
      </c>
      <c r="C2189" s="196" t="s">
        <v>10219</v>
      </c>
      <c r="D2189" s="146" t="s">
        <v>4692</v>
      </c>
      <c r="E2189" s="196" t="s">
        <v>10219</v>
      </c>
      <c r="F2189" s="150">
        <v>0</v>
      </c>
      <c r="G2189" s="209">
        <v>0</v>
      </c>
      <c r="H2189" s="209"/>
      <c r="I2189" s="209">
        <v>0</v>
      </c>
      <c r="J2189" s="150">
        <v>0</v>
      </c>
      <c r="K2189" s="150">
        <v>0</v>
      </c>
      <c r="L2189" s="150">
        <f t="shared" si="1859"/>
        <v>0</v>
      </c>
      <c r="M2189" s="150">
        <v>0</v>
      </c>
      <c r="N2189" s="150"/>
      <c r="O2189" s="150">
        <v>0</v>
      </c>
      <c r="P2189" s="150">
        <v>0</v>
      </c>
      <c r="Q2189" s="150">
        <v>0</v>
      </c>
      <c r="R2189" s="150">
        <f t="shared" si="1852"/>
        <v>0</v>
      </c>
      <c r="S2189" s="150">
        <f t="shared" si="1806"/>
        <v>0</v>
      </c>
      <c r="T2189" s="150"/>
      <c r="U2189" s="150">
        <v>0</v>
      </c>
      <c r="V2189" s="199"/>
      <c r="W2189" s="150">
        <f t="shared" si="1853"/>
        <v>0</v>
      </c>
      <c r="X2189" s="150">
        <v>0</v>
      </c>
      <c r="Y2189" s="150"/>
      <c r="Z2189" s="150">
        <v>0</v>
      </c>
      <c r="AA2189" s="150">
        <f t="shared" si="1842"/>
        <v>0</v>
      </c>
      <c r="AB2189" s="150">
        <v>0</v>
      </c>
      <c r="AC2189" s="199"/>
      <c r="AD2189" s="150">
        <f t="shared" si="1854"/>
        <v>0</v>
      </c>
      <c r="AE2189" s="150">
        <v>0</v>
      </c>
      <c r="AF2189" s="169" t="s">
        <v>4680</v>
      </c>
      <c r="AG2189" s="201">
        <v>0</v>
      </c>
      <c r="AH2189" s="199"/>
      <c r="AI2189" s="150">
        <v>0</v>
      </c>
      <c r="AJ2189" s="169">
        <f t="shared" si="1843"/>
        <v>0</v>
      </c>
      <c r="AK2189" s="201">
        <v>0</v>
      </c>
      <c r="AL2189" s="199"/>
      <c r="AM2189" s="150">
        <f t="shared" si="1855"/>
        <v>0</v>
      </c>
      <c r="AN2189" s="153">
        <f t="shared" si="1844"/>
        <v>0</v>
      </c>
      <c r="AO2189" s="154">
        <f t="shared" si="1845"/>
        <v>0</v>
      </c>
      <c r="AP2189" s="150">
        <v>0</v>
      </c>
      <c r="AQ2189" s="201">
        <v>0</v>
      </c>
      <c r="AR2189" s="199"/>
      <c r="AS2189" s="150">
        <f t="shared" si="1856"/>
        <v>0</v>
      </c>
      <c r="AT2189" s="155"/>
      <c r="AU2189" s="156">
        <f t="shared" si="1837"/>
        <v>0</v>
      </c>
      <c r="AV2189" s="156">
        <f t="shared" si="1838"/>
        <v>0</v>
      </c>
      <c r="AW2189" s="157"/>
      <c r="AX2189" s="150">
        <v>0</v>
      </c>
      <c r="AY2189" s="150">
        <v>0</v>
      </c>
      <c r="AZ2189" s="150"/>
      <c r="BA2189" s="150">
        <f t="shared" si="1804"/>
        <v>0</v>
      </c>
      <c r="BB2189" s="202">
        <v>5</v>
      </c>
      <c r="BC2189" s="202" t="s">
        <v>1332</v>
      </c>
      <c r="BD2189" s="202" t="s">
        <v>671</v>
      </c>
      <c r="BE2189" s="202" t="s">
        <v>632</v>
      </c>
      <c r="BF2189" s="194" t="s">
        <v>739</v>
      </c>
      <c r="BG2189" s="203" t="s">
        <v>10220</v>
      </c>
      <c r="BH2189" s="216">
        <f t="shared" si="1857"/>
        <v>0</v>
      </c>
      <c r="BI2189" s="202"/>
      <c r="BJ2189" s="194" t="s">
        <v>10198</v>
      </c>
      <c r="BK2189" s="194" t="s">
        <v>476</v>
      </c>
      <c r="BL2189" s="207" t="s">
        <v>10199</v>
      </c>
      <c r="BM2189" s="208">
        <f t="shared" si="1858"/>
        <v>0</v>
      </c>
      <c r="BN2189" s="160"/>
      <c r="BO2189" s="161">
        <f t="shared" si="1815"/>
        <v>0</v>
      </c>
      <c r="BP2189" s="161"/>
    </row>
    <row r="2190" spans="1:68" ht="51">
      <c r="A2190" s="194" t="s">
        <v>476</v>
      </c>
      <c r="B2190" s="195" t="s">
        <v>10221</v>
      </c>
      <c r="C2190" s="196" t="s">
        <v>10222</v>
      </c>
      <c r="D2190" s="146" t="s">
        <v>4692</v>
      </c>
      <c r="E2190" s="196" t="s">
        <v>10222</v>
      </c>
      <c r="F2190" s="150">
        <v>0</v>
      </c>
      <c r="G2190" s="209">
        <v>0</v>
      </c>
      <c r="H2190" s="209"/>
      <c r="I2190" s="209">
        <v>0</v>
      </c>
      <c r="J2190" s="150">
        <v>0</v>
      </c>
      <c r="K2190" s="150">
        <v>0</v>
      </c>
      <c r="L2190" s="150">
        <f t="shared" si="1859"/>
        <v>0</v>
      </c>
      <c r="M2190" s="150">
        <v>0</v>
      </c>
      <c r="N2190" s="150"/>
      <c r="O2190" s="150">
        <v>0</v>
      </c>
      <c r="P2190" s="150">
        <v>0</v>
      </c>
      <c r="Q2190" s="150">
        <v>0</v>
      </c>
      <c r="R2190" s="150">
        <f t="shared" si="1852"/>
        <v>0</v>
      </c>
      <c r="S2190" s="150">
        <f t="shared" si="1806"/>
        <v>0</v>
      </c>
      <c r="T2190" s="150"/>
      <c r="U2190" s="150">
        <v>0</v>
      </c>
      <c r="V2190" s="199"/>
      <c r="W2190" s="150">
        <f t="shared" si="1853"/>
        <v>0</v>
      </c>
      <c r="X2190" s="150">
        <v>0</v>
      </c>
      <c r="Y2190" s="150"/>
      <c r="Z2190" s="150">
        <v>0</v>
      </c>
      <c r="AA2190" s="150">
        <f t="shared" si="1842"/>
        <v>0</v>
      </c>
      <c r="AB2190" s="150">
        <v>0</v>
      </c>
      <c r="AC2190" s="199"/>
      <c r="AD2190" s="150">
        <f t="shared" si="1854"/>
        <v>0</v>
      </c>
      <c r="AE2190" s="150">
        <v>0</v>
      </c>
      <c r="AF2190" s="169" t="s">
        <v>4680</v>
      </c>
      <c r="AG2190" s="201">
        <v>0</v>
      </c>
      <c r="AH2190" s="199"/>
      <c r="AI2190" s="150">
        <v>0</v>
      </c>
      <c r="AJ2190" s="169">
        <f t="shared" si="1843"/>
        <v>0</v>
      </c>
      <c r="AK2190" s="201">
        <v>0</v>
      </c>
      <c r="AL2190" s="199"/>
      <c r="AM2190" s="150">
        <f t="shared" si="1855"/>
        <v>0</v>
      </c>
      <c r="AN2190" s="153">
        <f t="shared" si="1844"/>
        <v>0</v>
      </c>
      <c r="AO2190" s="154">
        <f t="shared" si="1845"/>
        <v>0</v>
      </c>
      <c r="AP2190" s="150">
        <v>0</v>
      </c>
      <c r="AQ2190" s="201">
        <v>0</v>
      </c>
      <c r="AR2190" s="199"/>
      <c r="AS2190" s="150">
        <f t="shared" si="1856"/>
        <v>0</v>
      </c>
      <c r="AT2190" s="155"/>
      <c r="AU2190" s="156">
        <f t="shared" si="1837"/>
        <v>0</v>
      </c>
      <c r="AV2190" s="156">
        <f t="shared" si="1838"/>
        <v>0</v>
      </c>
      <c r="AW2190" s="157"/>
      <c r="AX2190" s="150">
        <v>0</v>
      </c>
      <c r="AY2190" s="150">
        <v>0</v>
      </c>
      <c r="AZ2190" s="150"/>
      <c r="BA2190" s="150">
        <f t="shared" si="1804"/>
        <v>0</v>
      </c>
      <c r="BB2190" s="202">
        <v>5</v>
      </c>
      <c r="BC2190" s="202" t="s">
        <v>1332</v>
      </c>
      <c r="BD2190" s="202" t="s">
        <v>671</v>
      </c>
      <c r="BE2190" s="202" t="s">
        <v>632</v>
      </c>
      <c r="BF2190" s="202" t="s">
        <v>755</v>
      </c>
      <c r="BG2190" s="203" t="s">
        <v>10223</v>
      </c>
      <c r="BH2190" s="216">
        <f t="shared" si="1857"/>
        <v>0</v>
      </c>
      <c r="BI2190" s="202"/>
      <c r="BJ2190" s="194" t="s">
        <v>10198</v>
      </c>
      <c r="BK2190" s="194" t="s">
        <v>476</v>
      </c>
      <c r="BL2190" s="207" t="s">
        <v>10199</v>
      </c>
      <c r="BM2190" s="208">
        <f t="shared" si="1858"/>
        <v>0</v>
      </c>
      <c r="BN2190" s="160"/>
      <c r="BO2190" s="161">
        <f t="shared" si="1815"/>
        <v>0</v>
      </c>
      <c r="BP2190" s="161"/>
    </row>
    <row r="2191" spans="1:68" ht="51">
      <c r="A2191" s="194" t="s">
        <v>476</v>
      </c>
      <c r="B2191" s="195" t="s">
        <v>10224</v>
      </c>
      <c r="C2191" s="196" t="s">
        <v>10225</v>
      </c>
      <c r="D2191" s="146" t="s">
        <v>4692</v>
      </c>
      <c r="E2191" s="196" t="s">
        <v>10225</v>
      </c>
      <c r="F2191" s="150">
        <v>0</v>
      </c>
      <c r="G2191" s="209">
        <v>0</v>
      </c>
      <c r="H2191" s="209"/>
      <c r="I2191" s="209">
        <v>0</v>
      </c>
      <c r="J2191" s="150">
        <v>0</v>
      </c>
      <c r="K2191" s="150">
        <v>0</v>
      </c>
      <c r="L2191" s="150">
        <f t="shared" si="1859"/>
        <v>0</v>
      </c>
      <c r="M2191" s="150">
        <v>0</v>
      </c>
      <c r="N2191" s="150"/>
      <c r="O2191" s="150">
        <v>0</v>
      </c>
      <c r="P2191" s="150">
        <v>0</v>
      </c>
      <c r="Q2191" s="150">
        <v>0</v>
      </c>
      <c r="R2191" s="150">
        <f t="shared" si="1852"/>
        <v>0</v>
      </c>
      <c r="S2191" s="150">
        <f t="shared" si="1806"/>
        <v>0</v>
      </c>
      <c r="T2191" s="150"/>
      <c r="U2191" s="150">
        <v>0</v>
      </c>
      <c r="V2191" s="199"/>
      <c r="W2191" s="150">
        <f t="shared" si="1853"/>
        <v>0</v>
      </c>
      <c r="X2191" s="150">
        <v>0</v>
      </c>
      <c r="Y2191" s="150"/>
      <c r="Z2191" s="150">
        <v>0</v>
      </c>
      <c r="AA2191" s="150">
        <f t="shared" si="1842"/>
        <v>0</v>
      </c>
      <c r="AB2191" s="150">
        <v>0</v>
      </c>
      <c r="AC2191" s="199"/>
      <c r="AD2191" s="150">
        <f t="shared" si="1854"/>
        <v>0</v>
      </c>
      <c r="AE2191" s="150">
        <v>0</v>
      </c>
      <c r="AF2191" s="169" t="s">
        <v>4680</v>
      </c>
      <c r="AG2191" s="201">
        <v>0</v>
      </c>
      <c r="AH2191" s="199"/>
      <c r="AI2191" s="150">
        <v>0</v>
      </c>
      <c r="AJ2191" s="169">
        <f t="shared" si="1843"/>
        <v>0</v>
      </c>
      <c r="AK2191" s="201">
        <v>0</v>
      </c>
      <c r="AL2191" s="199"/>
      <c r="AM2191" s="150">
        <f t="shared" si="1855"/>
        <v>0</v>
      </c>
      <c r="AN2191" s="153">
        <f t="shared" si="1844"/>
        <v>0</v>
      </c>
      <c r="AO2191" s="154">
        <f t="shared" si="1845"/>
        <v>0</v>
      </c>
      <c r="AP2191" s="150">
        <v>0</v>
      </c>
      <c r="AQ2191" s="201">
        <v>0</v>
      </c>
      <c r="AR2191" s="199"/>
      <c r="AS2191" s="150">
        <f t="shared" si="1856"/>
        <v>0</v>
      </c>
      <c r="AT2191" s="155"/>
      <c r="AU2191" s="156">
        <f t="shared" si="1837"/>
        <v>0</v>
      </c>
      <c r="AV2191" s="156">
        <f t="shared" si="1838"/>
        <v>0</v>
      </c>
      <c r="AW2191" s="157"/>
      <c r="AX2191" s="150">
        <v>0</v>
      </c>
      <c r="AY2191" s="150">
        <v>0</v>
      </c>
      <c r="AZ2191" s="150"/>
      <c r="BA2191" s="150">
        <f t="shared" si="1804"/>
        <v>0</v>
      </c>
      <c r="BB2191" s="202">
        <v>5</v>
      </c>
      <c r="BC2191" s="202" t="s">
        <v>1332</v>
      </c>
      <c r="BD2191" s="202" t="s">
        <v>671</v>
      </c>
      <c r="BE2191" s="202" t="s">
        <v>632</v>
      </c>
      <c r="BF2191" s="194" t="s">
        <v>1225</v>
      </c>
      <c r="BG2191" s="203" t="s">
        <v>10226</v>
      </c>
      <c r="BH2191" s="216">
        <f t="shared" si="1857"/>
        <v>0</v>
      </c>
      <c r="BI2191" s="202"/>
      <c r="BJ2191" s="194" t="s">
        <v>10198</v>
      </c>
      <c r="BK2191" s="194" t="s">
        <v>476</v>
      </c>
      <c r="BL2191" s="207" t="s">
        <v>10199</v>
      </c>
      <c r="BM2191" s="208">
        <f t="shared" si="1858"/>
        <v>0</v>
      </c>
      <c r="BN2191" s="160"/>
      <c r="BO2191" s="161">
        <f t="shared" si="1815"/>
        <v>0</v>
      </c>
      <c r="BP2191" s="161"/>
    </row>
    <row r="2192" spans="1:68" ht="51">
      <c r="A2192" s="194" t="s">
        <v>476</v>
      </c>
      <c r="B2192" s="195" t="s">
        <v>10227</v>
      </c>
      <c r="C2192" s="196" t="s">
        <v>10228</v>
      </c>
      <c r="D2192" s="146" t="s">
        <v>4692</v>
      </c>
      <c r="E2192" s="196" t="s">
        <v>10228</v>
      </c>
      <c r="F2192" s="150">
        <v>0</v>
      </c>
      <c r="G2192" s="209">
        <v>0</v>
      </c>
      <c r="H2192" s="209"/>
      <c r="I2192" s="209">
        <v>0</v>
      </c>
      <c r="J2192" s="150">
        <v>0</v>
      </c>
      <c r="K2192" s="150">
        <v>0</v>
      </c>
      <c r="L2192" s="150">
        <f t="shared" si="1859"/>
        <v>0</v>
      </c>
      <c r="M2192" s="150">
        <v>0</v>
      </c>
      <c r="N2192" s="150"/>
      <c r="O2192" s="150">
        <v>0</v>
      </c>
      <c r="P2192" s="150">
        <v>0</v>
      </c>
      <c r="Q2192" s="150">
        <v>0</v>
      </c>
      <c r="R2192" s="150">
        <f t="shared" si="1852"/>
        <v>0</v>
      </c>
      <c r="S2192" s="150">
        <f t="shared" si="1806"/>
        <v>0</v>
      </c>
      <c r="T2192" s="150"/>
      <c r="U2192" s="150">
        <v>0</v>
      </c>
      <c r="V2192" s="199"/>
      <c r="W2192" s="150">
        <f t="shared" si="1853"/>
        <v>0</v>
      </c>
      <c r="X2192" s="150">
        <v>0</v>
      </c>
      <c r="Y2192" s="150"/>
      <c r="Z2192" s="150">
        <v>0</v>
      </c>
      <c r="AA2192" s="150">
        <f t="shared" si="1842"/>
        <v>0</v>
      </c>
      <c r="AB2192" s="150">
        <v>0</v>
      </c>
      <c r="AC2192" s="199"/>
      <c r="AD2192" s="150">
        <f t="shared" si="1854"/>
        <v>0</v>
      </c>
      <c r="AE2192" s="150">
        <v>0</v>
      </c>
      <c r="AF2192" s="169" t="s">
        <v>4680</v>
      </c>
      <c r="AG2192" s="201">
        <v>0</v>
      </c>
      <c r="AH2192" s="199"/>
      <c r="AI2192" s="150">
        <v>0</v>
      </c>
      <c r="AJ2192" s="169">
        <f t="shared" si="1843"/>
        <v>0</v>
      </c>
      <c r="AK2192" s="201">
        <v>0</v>
      </c>
      <c r="AL2192" s="199"/>
      <c r="AM2192" s="150">
        <f t="shared" si="1855"/>
        <v>0</v>
      </c>
      <c r="AN2192" s="153">
        <f t="shared" si="1844"/>
        <v>0</v>
      </c>
      <c r="AO2192" s="154">
        <f t="shared" si="1845"/>
        <v>0</v>
      </c>
      <c r="AP2192" s="150">
        <v>0</v>
      </c>
      <c r="AQ2192" s="201">
        <v>0</v>
      </c>
      <c r="AR2192" s="199"/>
      <c r="AS2192" s="150">
        <f t="shared" si="1856"/>
        <v>0</v>
      </c>
      <c r="AT2192" s="155"/>
      <c r="AU2192" s="156">
        <f t="shared" si="1837"/>
        <v>0</v>
      </c>
      <c r="AV2192" s="156">
        <f t="shared" si="1838"/>
        <v>0</v>
      </c>
      <c r="AW2192" s="157"/>
      <c r="AX2192" s="150">
        <v>0</v>
      </c>
      <c r="AY2192" s="150">
        <v>0</v>
      </c>
      <c r="AZ2192" s="150"/>
      <c r="BA2192" s="150">
        <f t="shared" si="1804"/>
        <v>0</v>
      </c>
      <c r="BB2192" s="202">
        <v>5</v>
      </c>
      <c r="BC2192" s="202" t="s">
        <v>1332</v>
      </c>
      <c r="BD2192" s="202" t="s">
        <v>671</v>
      </c>
      <c r="BE2192" s="202" t="s">
        <v>632</v>
      </c>
      <c r="BF2192" s="202" t="s">
        <v>1229</v>
      </c>
      <c r="BG2192" s="203" t="s">
        <v>10229</v>
      </c>
      <c r="BH2192" s="216">
        <f t="shared" si="1857"/>
        <v>0</v>
      </c>
      <c r="BI2192" s="202"/>
      <c r="BJ2192" s="194" t="s">
        <v>10198</v>
      </c>
      <c r="BK2192" s="194" t="s">
        <v>476</v>
      </c>
      <c r="BL2192" s="207" t="s">
        <v>10199</v>
      </c>
      <c r="BM2192" s="208">
        <f t="shared" si="1858"/>
        <v>0</v>
      </c>
      <c r="BN2192" s="160"/>
      <c r="BO2192" s="161">
        <f t="shared" si="1815"/>
        <v>0</v>
      </c>
      <c r="BP2192" s="161"/>
    </row>
    <row r="2193" spans="1:68" ht="51">
      <c r="A2193" s="194" t="s">
        <v>476</v>
      </c>
      <c r="B2193" s="195" t="s">
        <v>10230</v>
      </c>
      <c r="C2193" s="196" t="s">
        <v>10231</v>
      </c>
      <c r="D2193" s="146" t="s">
        <v>4692</v>
      </c>
      <c r="E2193" s="196" t="s">
        <v>10231</v>
      </c>
      <c r="F2193" s="150">
        <v>0</v>
      </c>
      <c r="G2193" s="209">
        <v>0</v>
      </c>
      <c r="H2193" s="209"/>
      <c r="I2193" s="209">
        <v>0</v>
      </c>
      <c r="J2193" s="150">
        <v>0</v>
      </c>
      <c r="K2193" s="150">
        <v>0</v>
      </c>
      <c r="L2193" s="150">
        <f t="shared" si="1859"/>
        <v>0</v>
      </c>
      <c r="M2193" s="150">
        <v>0</v>
      </c>
      <c r="N2193" s="150"/>
      <c r="O2193" s="150">
        <v>0</v>
      </c>
      <c r="P2193" s="150">
        <v>0</v>
      </c>
      <c r="Q2193" s="150">
        <v>0</v>
      </c>
      <c r="R2193" s="150">
        <f t="shared" si="1852"/>
        <v>0</v>
      </c>
      <c r="S2193" s="150">
        <f t="shared" si="1806"/>
        <v>0</v>
      </c>
      <c r="T2193" s="150"/>
      <c r="U2193" s="150">
        <v>0</v>
      </c>
      <c r="V2193" s="199"/>
      <c r="W2193" s="150">
        <f t="shared" si="1853"/>
        <v>0</v>
      </c>
      <c r="X2193" s="150">
        <v>0</v>
      </c>
      <c r="Y2193" s="150"/>
      <c r="Z2193" s="150">
        <v>0</v>
      </c>
      <c r="AA2193" s="150">
        <f t="shared" si="1842"/>
        <v>0</v>
      </c>
      <c r="AB2193" s="150">
        <v>0</v>
      </c>
      <c r="AC2193" s="199"/>
      <c r="AD2193" s="150">
        <f t="shared" si="1854"/>
        <v>0</v>
      </c>
      <c r="AE2193" s="150">
        <v>0</v>
      </c>
      <c r="AF2193" s="169" t="s">
        <v>4680</v>
      </c>
      <c r="AG2193" s="201">
        <v>0</v>
      </c>
      <c r="AH2193" s="199"/>
      <c r="AI2193" s="150">
        <v>0</v>
      </c>
      <c r="AJ2193" s="169">
        <f t="shared" si="1843"/>
        <v>0</v>
      </c>
      <c r="AK2193" s="201">
        <v>0</v>
      </c>
      <c r="AL2193" s="199"/>
      <c r="AM2193" s="150">
        <f t="shared" si="1855"/>
        <v>0</v>
      </c>
      <c r="AN2193" s="153">
        <f t="shared" si="1844"/>
        <v>0</v>
      </c>
      <c r="AO2193" s="154">
        <f t="shared" si="1845"/>
        <v>0</v>
      </c>
      <c r="AP2193" s="150">
        <v>0</v>
      </c>
      <c r="AQ2193" s="201">
        <v>0</v>
      </c>
      <c r="AR2193" s="199"/>
      <c r="AS2193" s="150">
        <f t="shared" si="1856"/>
        <v>0</v>
      </c>
      <c r="AT2193" s="155"/>
      <c r="AU2193" s="156">
        <f t="shared" si="1837"/>
        <v>0</v>
      </c>
      <c r="AV2193" s="156">
        <f t="shared" si="1838"/>
        <v>0</v>
      </c>
      <c r="AW2193" s="157"/>
      <c r="AX2193" s="150">
        <v>0</v>
      </c>
      <c r="AY2193" s="150">
        <v>0</v>
      </c>
      <c r="AZ2193" s="150"/>
      <c r="BA2193" s="150">
        <f t="shared" si="1804"/>
        <v>0</v>
      </c>
      <c r="BB2193" s="202">
        <v>5</v>
      </c>
      <c r="BC2193" s="202" t="s">
        <v>1332</v>
      </c>
      <c r="BD2193" s="202" t="s">
        <v>671</v>
      </c>
      <c r="BE2193" s="202" t="s">
        <v>632</v>
      </c>
      <c r="BF2193" s="194" t="s">
        <v>1243</v>
      </c>
      <c r="BG2193" s="203" t="s">
        <v>10232</v>
      </c>
      <c r="BH2193" s="216">
        <f t="shared" si="1857"/>
        <v>0</v>
      </c>
      <c r="BI2193" s="202"/>
      <c r="BJ2193" s="194" t="s">
        <v>10198</v>
      </c>
      <c r="BK2193" s="194" t="s">
        <v>476</v>
      </c>
      <c r="BL2193" s="207" t="s">
        <v>10199</v>
      </c>
      <c r="BM2193" s="208">
        <f t="shared" si="1858"/>
        <v>0</v>
      </c>
      <c r="BN2193" s="160"/>
      <c r="BO2193" s="161">
        <f t="shared" si="1815"/>
        <v>0</v>
      </c>
      <c r="BP2193" s="161"/>
    </row>
    <row r="2194" spans="1:68" ht="51">
      <c r="A2194" s="194" t="s">
        <v>476</v>
      </c>
      <c r="B2194" s="195" t="s">
        <v>10233</v>
      </c>
      <c r="C2194" s="196" t="s">
        <v>10234</v>
      </c>
      <c r="D2194" s="146" t="s">
        <v>4692</v>
      </c>
      <c r="E2194" s="196" t="s">
        <v>10234</v>
      </c>
      <c r="F2194" s="150">
        <v>0</v>
      </c>
      <c r="G2194" s="209">
        <v>0</v>
      </c>
      <c r="H2194" s="209"/>
      <c r="I2194" s="209">
        <v>0</v>
      </c>
      <c r="J2194" s="150">
        <v>0</v>
      </c>
      <c r="K2194" s="150">
        <v>0</v>
      </c>
      <c r="L2194" s="150">
        <f t="shared" si="1859"/>
        <v>0</v>
      </c>
      <c r="M2194" s="150">
        <v>0</v>
      </c>
      <c r="N2194" s="150"/>
      <c r="O2194" s="150">
        <v>0</v>
      </c>
      <c r="P2194" s="150">
        <v>0</v>
      </c>
      <c r="Q2194" s="150">
        <v>0</v>
      </c>
      <c r="R2194" s="150">
        <f t="shared" si="1852"/>
        <v>0</v>
      </c>
      <c r="S2194" s="150">
        <f t="shared" si="1806"/>
        <v>0</v>
      </c>
      <c r="T2194" s="150"/>
      <c r="U2194" s="150">
        <v>0</v>
      </c>
      <c r="V2194" s="199"/>
      <c r="W2194" s="150">
        <f t="shared" si="1853"/>
        <v>0</v>
      </c>
      <c r="X2194" s="150">
        <v>0</v>
      </c>
      <c r="Y2194" s="150"/>
      <c r="Z2194" s="150">
        <v>0</v>
      </c>
      <c r="AA2194" s="150">
        <f t="shared" si="1842"/>
        <v>0</v>
      </c>
      <c r="AB2194" s="150">
        <v>0</v>
      </c>
      <c r="AC2194" s="199"/>
      <c r="AD2194" s="150">
        <f t="shared" si="1854"/>
        <v>0</v>
      </c>
      <c r="AE2194" s="150">
        <v>0</v>
      </c>
      <c r="AF2194" s="169" t="s">
        <v>4680</v>
      </c>
      <c r="AG2194" s="201">
        <v>0</v>
      </c>
      <c r="AH2194" s="199"/>
      <c r="AI2194" s="150">
        <v>0</v>
      </c>
      <c r="AJ2194" s="169">
        <f t="shared" si="1843"/>
        <v>0</v>
      </c>
      <c r="AK2194" s="201">
        <v>0</v>
      </c>
      <c r="AL2194" s="199"/>
      <c r="AM2194" s="150">
        <f t="shared" si="1855"/>
        <v>0</v>
      </c>
      <c r="AN2194" s="153">
        <f t="shared" si="1844"/>
        <v>0</v>
      </c>
      <c r="AO2194" s="154">
        <f t="shared" si="1845"/>
        <v>0</v>
      </c>
      <c r="AP2194" s="150">
        <v>0</v>
      </c>
      <c r="AQ2194" s="201">
        <v>0</v>
      </c>
      <c r="AR2194" s="199"/>
      <c r="AS2194" s="150">
        <f t="shared" si="1856"/>
        <v>0</v>
      </c>
      <c r="AT2194" s="155"/>
      <c r="AU2194" s="156">
        <f t="shared" si="1837"/>
        <v>0</v>
      </c>
      <c r="AV2194" s="156">
        <f t="shared" si="1838"/>
        <v>0</v>
      </c>
      <c r="AW2194" s="157"/>
      <c r="AX2194" s="150">
        <v>0</v>
      </c>
      <c r="AY2194" s="150">
        <v>0</v>
      </c>
      <c r="AZ2194" s="150"/>
      <c r="BA2194" s="150">
        <f t="shared" si="1804"/>
        <v>0</v>
      </c>
      <c r="BB2194" s="202">
        <v>5</v>
      </c>
      <c r="BC2194" s="202" t="s">
        <v>1332</v>
      </c>
      <c r="BD2194" s="202" t="s">
        <v>671</v>
      </c>
      <c r="BE2194" s="202" t="s">
        <v>632</v>
      </c>
      <c r="BF2194" s="194" t="s">
        <v>1124</v>
      </c>
      <c r="BG2194" s="203" t="s">
        <v>10235</v>
      </c>
      <c r="BH2194" s="216">
        <f>SUM(AS2194:AS2195)</f>
        <v>0</v>
      </c>
      <c r="BI2194" s="202"/>
      <c r="BJ2194" s="194" t="s">
        <v>10198</v>
      </c>
      <c r="BK2194" s="194" t="s">
        <v>476</v>
      </c>
      <c r="BL2194" s="207" t="s">
        <v>10199</v>
      </c>
      <c r="BM2194" s="208">
        <f t="shared" si="1858"/>
        <v>0</v>
      </c>
      <c r="BN2194" s="160"/>
      <c r="BO2194" s="161">
        <f t="shared" si="1815"/>
        <v>0</v>
      </c>
      <c r="BP2194" s="161"/>
    </row>
    <row r="2195" spans="1:68" ht="51">
      <c r="A2195" s="210"/>
      <c r="B2195" s="195" t="s">
        <v>10236</v>
      </c>
      <c r="C2195" s="196" t="s">
        <v>10237</v>
      </c>
      <c r="D2195" s="146" t="s">
        <v>4692</v>
      </c>
      <c r="E2195" s="196" t="s">
        <v>10237</v>
      </c>
      <c r="F2195" s="150">
        <v>0</v>
      </c>
      <c r="G2195" s="209">
        <v>0</v>
      </c>
      <c r="H2195" s="209">
        <v>0</v>
      </c>
      <c r="I2195" s="209">
        <v>0</v>
      </c>
      <c r="J2195" s="150">
        <v>0</v>
      </c>
      <c r="K2195" s="150">
        <v>0</v>
      </c>
      <c r="L2195" s="150">
        <f t="shared" si="1859"/>
        <v>0</v>
      </c>
      <c r="M2195" s="150">
        <v>0</v>
      </c>
      <c r="N2195" s="150"/>
      <c r="O2195" s="150">
        <v>0</v>
      </c>
      <c r="P2195" s="150">
        <v>0</v>
      </c>
      <c r="Q2195" s="150">
        <v>0</v>
      </c>
      <c r="R2195" s="150">
        <f t="shared" si="1852"/>
        <v>0</v>
      </c>
      <c r="S2195" s="150">
        <f t="shared" si="1806"/>
        <v>0</v>
      </c>
      <c r="T2195" s="150"/>
      <c r="U2195" s="150">
        <v>0</v>
      </c>
      <c r="V2195" s="199"/>
      <c r="W2195" s="150">
        <f t="shared" si="1853"/>
        <v>0</v>
      </c>
      <c r="X2195" s="150">
        <v>0</v>
      </c>
      <c r="Y2195" s="150"/>
      <c r="Z2195" s="150">
        <v>0</v>
      </c>
      <c r="AA2195" s="150">
        <f t="shared" si="1842"/>
        <v>0</v>
      </c>
      <c r="AB2195" s="150">
        <v>0</v>
      </c>
      <c r="AC2195" s="199"/>
      <c r="AD2195" s="150">
        <f t="shared" si="1854"/>
        <v>0</v>
      </c>
      <c r="AE2195" s="150">
        <v>0</v>
      </c>
      <c r="AF2195" s="169" t="s">
        <v>4680</v>
      </c>
      <c r="AG2195" s="201">
        <v>0</v>
      </c>
      <c r="AH2195" s="199"/>
      <c r="AI2195" s="150">
        <v>0</v>
      </c>
      <c r="AJ2195" s="169">
        <f t="shared" si="1843"/>
        <v>0</v>
      </c>
      <c r="AK2195" s="201">
        <v>0</v>
      </c>
      <c r="AL2195" s="199"/>
      <c r="AM2195" s="150">
        <f t="shared" si="1855"/>
        <v>0</v>
      </c>
      <c r="AN2195" s="153">
        <f t="shared" si="1844"/>
        <v>0</v>
      </c>
      <c r="AO2195" s="154">
        <f t="shared" si="1845"/>
        <v>0</v>
      </c>
      <c r="AP2195" s="150">
        <v>0</v>
      </c>
      <c r="AQ2195" s="201">
        <v>0</v>
      </c>
      <c r="AR2195" s="199"/>
      <c r="AS2195" s="150">
        <f t="shared" si="1856"/>
        <v>0</v>
      </c>
      <c r="AT2195" s="155"/>
      <c r="AU2195" s="156">
        <f t="shared" si="1837"/>
        <v>0</v>
      </c>
      <c r="AV2195" s="156">
        <f t="shared" si="1838"/>
        <v>0</v>
      </c>
      <c r="AW2195" s="157"/>
      <c r="AX2195" s="150">
        <v>0</v>
      </c>
      <c r="AY2195" s="150">
        <v>0</v>
      </c>
      <c r="AZ2195" s="150"/>
      <c r="BA2195" s="150">
        <f t="shared" si="1804"/>
        <v>0</v>
      </c>
      <c r="BB2195" s="210"/>
      <c r="BC2195" s="210"/>
      <c r="BD2195" s="210"/>
      <c r="BE2195" s="210"/>
      <c r="BF2195" s="210"/>
      <c r="BG2195" s="210"/>
      <c r="BH2195" s="217"/>
      <c r="BI2195" s="210"/>
      <c r="BJ2195" s="210"/>
      <c r="BK2195" s="210"/>
      <c r="BL2195" s="210"/>
      <c r="BM2195" s="208"/>
      <c r="BN2195" s="160"/>
      <c r="BO2195" s="161">
        <f t="shared" si="1815"/>
        <v>0</v>
      </c>
      <c r="BP2195" s="161"/>
    </row>
    <row r="2196" spans="1:68" ht="51">
      <c r="A2196" s="183" t="s">
        <v>477</v>
      </c>
      <c r="B2196" s="184"/>
      <c r="C2196" s="185" t="s">
        <v>118</v>
      </c>
      <c r="D2196" s="146" t="s">
        <v>4692</v>
      </c>
      <c r="E2196" s="185" t="s">
        <v>118</v>
      </c>
      <c r="F2196" s="188">
        <v>55200</v>
      </c>
      <c r="G2196" s="187">
        <v>0</v>
      </c>
      <c r="H2196" s="187"/>
      <c r="I2196" s="187">
        <v>0</v>
      </c>
      <c r="J2196" s="188">
        <f>J2197</f>
        <v>0</v>
      </c>
      <c r="K2196" s="188">
        <f>K2197</f>
        <v>0</v>
      </c>
      <c r="L2196" s="188">
        <f t="shared" si="1859"/>
        <v>0</v>
      </c>
      <c r="M2196" s="188">
        <v>0</v>
      </c>
      <c r="N2196" s="188">
        <v>0</v>
      </c>
      <c r="O2196" s="188">
        <v>0</v>
      </c>
      <c r="P2196" s="299">
        <f t="shared" ref="P2196:AS2196" si="1860">P2197</f>
        <v>0</v>
      </c>
      <c r="Q2196" s="299">
        <f t="shared" si="1860"/>
        <v>0</v>
      </c>
      <c r="R2196" s="299">
        <f t="shared" si="1860"/>
        <v>0</v>
      </c>
      <c r="S2196" s="150">
        <f t="shared" si="1806"/>
        <v>0</v>
      </c>
      <c r="T2196" s="213"/>
      <c r="U2196" s="299">
        <f t="shared" ref="U2196:W2196" si="1861">U2197</f>
        <v>0</v>
      </c>
      <c r="V2196" s="226">
        <f t="shared" si="1861"/>
        <v>0</v>
      </c>
      <c r="W2196" s="299">
        <f t="shared" si="1861"/>
        <v>0</v>
      </c>
      <c r="X2196" s="299">
        <v>0</v>
      </c>
      <c r="Y2196" s="299">
        <v>0</v>
      </c>
      <c r="Z2196" s="299">
        <v>0</v>
      </c>
      <c r="AA2196" s="299">
        <f t="shared" si="1842"/>
        <v>0</v>
      </c>
      <c r="AB2196" s="299">
        <v>0</v>
      </c>
      <c r="AC2196" s="226">
        <v>0</v>
      </c>
      <c r="AD2196" s="299">
        <f t="shared" si="1860"/>
        <v>0</v>
      </c>
      <c r="AE2196" s="299">
        <v>0</v>
      </c>
      <c r="AF2196" s="169" t="s">
        <v>4680</v>
      </c>
      <c r="AG2196" s="301">
        <v>0</v>
      </c>
      <c r="AH2196" s="226">
        <v>0</v>
      </c>
      <c r="AI2196" s="299">
        <v>0</v>
      </c>
      <c r="AJ2196" s="169">
        <f t="shared" si="1843"/>
        <v>0</v>
      </c>
      <c r="AK2196" s="301">
        <v>0</v>
      </c>
      <c r="AL2196" s="226">
        <v>0</v>
      </c>
      <c r="AM2196" s="299">
        <f t="shared" si="1860"/>
        <v>0</v>
      </c>
      <c r="AN2196" s="153">
        <f t="shared" si="1844"/>
        <v>0</v>
      </c>
      <c r="AO2196" s="154">
        <f t="shared" si="1845"/>
        <v>0</v>
      </c>
      <c r="AP2196" s="299">
        <v>0</v>
      </c>
      <c r="AQ2196" s="301">
        <v>0</v>
      </c>
      <c r="AR2196" s="226">
        <f t="shared" si="1860"/>
        <v>0</v>
      </c>
      <c r="AS2196" s="299">
        <f t="shared" si="1860"/>
        <v>0</v>
      </c>
      <c r="AT2196" s="155"/>
      <c r="AU2196" s="156">
        <f t="shared" si="1837"/>
        <v>0</v>
      </c>
      <c r="AV2196" s="156">
        <f t="shared" si="1838"/>
        <v>0</v>
      </c>
      <c r="AW2196" s="157"/>
      <c r="AX2196" s="150">
        <v>0</v>
      </c>
      <c r="AY2196" s="299">
        <f t="shared" ref="AY2196:BA2196" si="1862">AY2197</f>
        <v>0</v>
      </c>
      <c r="AZ2196" s="299">
        <f t="shared" si="1862"/>
        <v>0</v>
      </c>
      <c r="BA2196" s="299">
        <f t="shared" si="1862"/>
        <v>0</v>
      </c>
      <c r="BB2196" s="191">
        <v>5</v>
      </c>
      <c r="BC2196" s="183" t="s">
        <v>1332</v>
      </c>
      <c r="BD2196" s="183" t="s">
        <v>671</v>
      </c>
      <c r="BE2196" s="183" t="s">
        <v>647</v>
      </c>
      <c r="BF2196" s="183" t="s">
        <v>630</v>
      </c>
      <c r="BG2196" s="185" t="s">
        <v>118</v>
      </c>
      <c r="BH2196" s="215">
        <f>BH2197</f>
        <v>0</v>
      </c>
      <c r="BI2196" s="191"/>
      <c r="BJ2196" s="183" t="s">
        <v>10238</v>
      </c>
      <c r="BK2196" s="183" t="s">
        <v>477</v>
      </c>
      <c r="BL2196" s="238" t="s">
        <v>10239</v>
      </c>
      <c r="BM2196" s="338">
        <f>BM2197</f>
        <v>0</v>
      </c>
      <c r="BN2196" s="160"/>
      <c r="BO2196" s="161">
        <f t="shared" si="1815"/>
        <v>0</v>
      </c>
      <c r="BP2196" s="161"/>
    </row>
    <row r="2197" spans="1:68" ht="51">
      <c r="A2197" s="194" t="s">
        <v>477</v>
      </c>
      <c r="B2197" s="195" t="s">
        <v>10240</v>
      </c>
      <c r="C2197" s="196" t="s">
        <v>10241</v>
      </c>
      <c r="D2197" s="146" t="s">
        <v>4692</v>
      </c>
      <c r="E2197" s="196" t="s">
        <v>10241</v>
      </c>
      <c r="F2197" s="150">
        <v>55200</v>
      </c>
      <c r="G2197" s="209">
        <v>0</v>
      </c>
      <c r="H2197" s="209">
        <v>0</v>
      </c>
      <c r="I2197" s="209">
        <v>0</v>
      </c>
      <c r="J2197" s="150">
        <v>0</v>
      </c>
      <c r="K2197" s="150">
        <v>0</v>
      </c>
      <c r="L2197" s="150">
        <f t="shared" si="1859"/>
        <v>0</v>
      </c>
      <c r="M2197" s="150">
        <v>0</v>
      </c>
      <c r="N2197" s="150"/>
      <c r="O2197" s="150">
        <v>0</v>
      </c>
      <c r="P2197" s="150">
        <v>0</v>
      </c>
      <c r="Q2197" s="150">
        <v>0</v>
      </c>
      <c r="R2197" s="150">
        <f>P2197+Q2197</f>
        <v>0</v>
      </c>
      <c r="S2197" s="150">
        <f t="shared" si="1806"/>
        <v>0</v>
      </c>
      <c r="T2197" s="150"/>
      <c r="U2197" s="150">
        <v>0</v>
      </c>
      <c r="V2197" s="199"/>
      <c r="W2197" s="150">
        <f>U2197+V2197</f>
        <v>0</v>
      </c>
      <c r="X2197" s="150">
        <v>0</v>
      </c>
      <c r="Y2197" s="150"/>
      <c r="Z2197" s="150">
        <v>0</v>
      </c>
      <c r="AA2197" s="150">
        <f t="shared" si="1842"/>
        <v>0</v>
      </c>
      <c r="AB2197" s="150">
        <v>0</v>
      </c>
      <c r="AC2197" s="199"/>
      <c r="AD2197" s="150">
        <f>AB2197+AC2197</f>
        <v>0</v>
      </c>
      <c r="AE2197" s="150">
        <v>0</v>
      </c>
      <c r="AF2197" s="169" t="s">
        <v>4680</v>
      </c>
      <c r="AG2197" s="201">
        <v>0</v>
      </c>
      <c r="AH2197" s="199"/>
      <c r="AI2197" s="150">
        <v>0</v>
      </c>
      <c r="AJ2197" s="169">
        <f t="shared" si="1843"/>
        <v>0</v>
      </c>
      <c r="AK2197" s="201">
        <v>0</v>
      </c>
      <c r="AL2197" s="199"/>
      <c r="AM2197" s="150">
        <f>AK2197+AL2197</f>
        <v>0</v>
      </c>
      <c r="AN2197" s="153">
        <f t="shared" si="1844"/>
        <v>0</v>
      </c>
      <c r="AO2197" s="154">
        <f t="shared" si="1845"/>
        <v>0</v>
      </c>
      <c r="AP2197" s="150">
        <v>0</v>
      </c>
      <c r="AQ2197" s="201">
        <v>0</v>
      </c>
      <c r="AR2197" s="199"/>
      <c r="AS2197" s="150">
        <f>AQ2197+AR2197</f>
        <v>0</v>
      </c>
      <c r="AT2197" s="155"/>
      <c r="AU2197" s="156">
        <f t="shared" si="1837"/>
        <v>0</v>
      </c>
      <c r="AV2197" s="156">
        <f t="shared" si="1838"/>
        <v>0</v>
      </c>
      <c r="AW2197" s="157"/>
      <c r="AX2197" s="150">
        <v>0</v>
      </c>
      <c r="AY2197" s="150">
        <v>0</v>
      </c>
      <c r="AZ2197" s="150"/>
      <c r="BA2197" s="150">
        <f t="shared" si="1804"/>
        <v>0</v>
      </c>
      <c r="BB2197" s="202">
        <v>5</v>
      </c>
      <c r="BC2197" s="202" t="s">
        <v>1332</v>
      </c>
      <c r="BD2197" s="202" t="s">
        <v>671</v>
      </c>
      <c r="BE2197" s="202" t="s">
        <v>647</v>
      </c>
      <c r="BF2197" s="202" t="s">
        <v>632</v>
      </c>
      <c r="BG2197" s="203" t="s">
        <v>118</v>
      </c>
      <c r="BH2197" s="216">
        <f>AS2197</f>
        <v>0</v>
      </c>
      <c r="BI2197" s="202"/>
      <c r="BJ2197" s="194" t="s">
        <v>10242</v>
      </c>
      <c r="BK2197" s="194" t="s">
        <v>477</v>
      </c>
      <c r="BL2197" s="207" t="s">
        <v>10239</v>
      </c>
      <c r="BM2197" s="208">
        <f>BH2197</f>
        <v>0</v>
      </c>
      <c r="BN2197" s="160"/>
      <c r="BO2197" s="161">
        <f t="shared" si="1815"/>
        <v>0</v>
      </c>
      <c r="BP2197" s="161"/>
    </row>
    <row r="2198" spans="1:68" ht="38.25">
      <c r="A2198" s="183" t="s">
        <v>478</v>
      </c>
      <c r="B2198" s="184"/>
      <c r="C2198" s="185" t="s">
        <v>119</v>
      </c>
      <c r="D2198" s="146" t="s">
        <v>4692</v>
      </c>
      <c r="E2198" s="185" t="s">
        <v>119</v>
      </c>
      <c r="F2198" s="188">
        <v>4302465</v>
      </c>
      <c r="G2198" s="187">
        <v>0</v>
      </c>
      <c r="H2198" s="187"/>
      <c r="I2198" s="187">
        <v>0</v>
      </c>
      <c r="J2198" s="188">
        <f>J2199</f>
        <v>0</v>
      </c>
      <c r="K2198" s="188">
        <f>K2199</f>
        <v>0</v>
      </c>
      <c r="L2198" s="188">
        <f t="shared" si="1859"/>
        <v>0</v>
      </c>
      <c r="M2198" s="188">
        <v>0</v>
      </c>
      <c r="N2198" s="188">
        <v>0</v>
      </c>
      <c r="O2198" s="188">
        <v>0</v>
      </c>
      <c r="P2198" s="299">
        <f t="shared" ref="P2198:AS2198" si="1863">P2199</f>
        <v>0</v>
      </c>
      <c r="Q2198" s="299">
        <f t="shared" si="1863"/>
        <v>0</v>
      </c>
      <c r="R2198" s="299">
        <f t="shared" si="1863"/>
        <v>0</v>
      </c>
      <c r="S2198" s="150">
        <f t="shared" si="1806"/>
        <v>0</v>
      </c>
      <c r="T2198" s="213"/>
      <c r="U2198" s="299">
        <f t="shared" ref="U2198:W2198" si="1864">U2199</f>
        <v>0</v>
      </c>
      <c r="V2198" s="226">
        <f t="shared" si="1864"/>
        <v>0</v>
      </c>
      <c r="W2198" s="299">
        <f t="shared" si="1864"/>
        <v>0</v>
      </c>
      <c r="X2198" s="299">
        <v>0</v>
      </c>
      <c r="Y2198" s="299">
        <v>0</v>
      </c>
      <c r="Z2198" s="299">
        <v>0</v>
      </c>
      <c r="AA2198" s="299">
        <f t="shared" si="1842"/>
        <v>3712694.68</v>
      </c>
      <c r="AB2198" s="299">
        <v>0</v>
      </c>
      <c r="AC2198" s="226">
        <v>3712694.68</v>
      </c>
      <c r="AD2198" s="299">
        <f t="shared" si="1863"/>
        <v>3712694.68</v>
      </c>
      <c r="AE2198" s="299">
        <v>3712694.68</v>
      </c>
      <c r="AF2198" s="169" t="s">
        <v>4680</v>
      </c>
      <c r="AG2198" s="301">
        <v>0</v>
      </c>
      <c r="AH2198" s="226">
        <v>3712694.68</v>
      </c>
      <c r="AI2198" s="299">
        <v>3712694.68</v>
      </c>
      <c r="AJ2198" s="169">
        <f t="shared" si="1843"/>
        <v>0</v>
      </c>
      <c r="AK2198" s="301">
        <v>0</v>
      </c>
      <c r="AL2198" s="226">
        <v>3712694.68</v>
      </c>
      <c r="AM2198" s="299">
        <f t="shared" si="1863"/>
        <v>3712694.68</v>
      </c>
      <c r="AN2198" s="153">
        <f t="shared" si="1844"/>
        <v>0</v>
      </c>
      <c r="AO2198" s="154">
        <f t="shared" si="1845"/>
        <v>0</v>
      </c>
      <c r="AP2198" s="299">
        <v>3712694.68</v>
      </c>
      <c r="AQ2198" s="301">
        <v>3712694.68</v>
      </c>
      <c r="AR2198" s="226">
        <f t="shared" si="1863"/>
        <v>0</v>
      </c>
      <c r="AS2198" s="299">
        <f t="shared" si="1863"/>
        <v>3712694.68</v>
      </c>
      <c r="AT2198" s="155"/>
      <c r="AU2198" s="156">
        <f t="shared" si="1837"/>
        <v>0</v>
      </c>
      <c r="AV2198" s="156">
        <f t="shared" si="1838"/>
        <v>3712694.68</v>
      </c>
      <c r="AW2198" s="157"/>
      <c r="AX2198" s="150">
        <v>0</v>
      </c>
      <c r="AY2198" s="299">
        <f t="shared" ref="AY2198:BA2198" si="1865">AY2199</f>
        <v>0</v>
      </c>
      <c r="AZ2198" s="299">
        <f t="shared" si="1865"/>
        <v>0</v>
      </c>
      <c r="BA2198" s="299">
        <f t="shared" si="1865"/>
        <v>0</v>
      </c>
      <c r="BB2198" s="191">
        <v>5</v>
      </c>
      <c r="BC2198" s="183" t="s">
        <v>1332</v>
      </c>
      <c r="BD2198" s="183" t="s">
        <v>671</v>
      </c>
      <c r="BE2198" s="183" t="s">
        <v>671</v>
      </c>
      <c r="BF2198" s="183" t="s">
        <v>630</v>
      </c>
      <c r="BG2198" s="185" t="s">
        <v>119</v>
      </c>
      <c r="BH2198" s="215">
        <f>BH2199</f>
        <v>3712694.68</v>
      </c>
      <c r="BI2198" s="191"/>
      <c r="BJ2198" s="183" t="s">
        <v>10243</v>
      </c>
      <c r="BK2198" s="183" t="s">
        <v>478</v>
      </c>
      <c r="BL2198" s="238" t="s">
        <v>10244</v>
      </c>
      <c r="BM2198" s="338">
        <f>BM2199</f>
        <v>3712694.68</v>
      </c>
      <c r="BN2198" s="160"/>
      <c r="BO2198" s="161">
        <f t="shared" si="1815"/>
        <v>0</v>
      </c>
      <c r="BP2198" s="161"/>
    </row>
    <row r="2199" spans="1:68" ht="38.25">
      <c r="A2199" s="194" t="s">
        <v>478</v>
      </c>
      <c r="B2199" s="195" t="s">
        <v>10245</v>
      </c>
      <c r="C2199" s="196" t="s">
        <v>10246</v>
      </c>
      <c r="D2199" s="146" t="s">
        <v>4692</v>
      </c>
      <c r="E2199" s="196" t="s">
        <v>10246</v>
      </c>
      <c r="F2199" s="237">
        <v>4302465</v>
      </c>
      <c r="G2199" s="209">
        <v>0</v>
      </c>
      <c r="H2199" s="209">
        <v>0</v>
      </c>
      <c r="I2199" s="209">
        <v>0</v>
      </c>
      <c r="J2199" s="150">
        <v>0</v>
      </c>
      <c r="K2199" s="150">
        <v>0</v>
      </c>
      <c r="L2199" s="150">
        <f t="shared" si="1859"/>
        <v>0</v>
      </c>
      <c r="M2199" s="150">
        <v>0</v>
      </c>
      <c r="N2199" s="150"/>
      <c r="O2199" s="150">
        <v>0</v>
      </c>
      <c r="P2199" s="150">
        <v>0</v>
      </c>
      <c r="Q2199" s="150">
        <v>0</v>
      </c>
      <c r="R2199" s="150">
        <f>P2199+Q2199</f>
        <v>0</v>
      </c>
      <c r="S2199" s="150">
        <f t="shared" si="1806"/>
        <v>0</v>
      </c>
      <c r="T2199" s="150"/>
      <c r="U2199" s="150">
        <v>0</v>
      </c>
      <c r="V2199" s="199"/>
      <c r="W2199" s="150">
        <f>U2199+V2199</f>
        <v>0</v>
      </c>
      <c r="X2199" s="150">
        <v>0</v>
      </c>
      <c r="Y2199" s="150"/>
      <c r="Z2199" s="150">
        <v>0</v>
      </c>
      <c r="AA2199" s="150">
        <f t="shared" si="1842"/>
        <v>3712694.68</v>
      </c>
      <c r="AB2199" s="150">
        <v>0</v>
      </c>
      <c r="AC2199" s="230">
        <v>3712694.68</v>
      </c>
      <c r="AD2199" s="150">
        <f>AB2199+AC2199</f>
        <v>3712694.68</v>
      </c>
      <c r="AE2199" s="150">
        <v>3712694.68</v>
      </c>
      <c r="AF2199" s="169" t="s">
        <v>4680</v>
      </c>
      <c r="AG2199" s="201">
        <v>0</v>
      </c>
      <c r="AH2199" s="230">
        <v>3712694.68</v>
      </c>
      <c r="AI2199" s="150">
        <v>3712694.68</v>
      </c>
      <c r="AJ2199" s="169">
        <f t="shared" si="1843"/>
        <v>0</v>
      </c>
      <c r="AK2199" s="201">
        <v>0</v>
      </c>
      <c r="AL2199" s="230">
        <v>3712694.68</v>
      </c>
      <c r="AM2199" s="150">
        <f>AK2199+AL2199</f>
        <v>3712694.68</v>
      </c>
      <c r="AN2199" s="153">
        <f t="shared" si="1844"/>
        <v>0</v>
      </c>
      <c r="AO2199" s="154">
        <f t="shared" si="1845"/>
        <v>0</v>
      </c>
      <c r="AP2199" s="150">
        <v>3712694.68</v>
      </c>
      <c r="AQ2199" s="201">
        <v>3712694.68</v>
      </c>
      <c r="AR2199" s="199"/>
      <c r="AS2199" s="150">
        <f>AQ2199+AR2199</f>
        <v>3712694.68</v>
      </c>
      <c r="AT2199" s="155" t="s">
        <v>10247</v>
      </c>
      <c r="AU2199" s="156">
        <f t="shared" si="1837"/>
        <v>0</v>
      </c>
      <c r="AV2199" s="156">
        <f t="shared" si="1838"/>
        <v>3712694.68</v>
      </c>
      <c r="AW2199" s="157" t="s">
        <v>10248</v>
      </c>
      <c r="AX2199" s="150">
        <v>0</v>
      </c>
      <c r="AY2199" s="150">
        <v>0</v>
      </c>
      <c r="AZ2199" s="150"/>
      <c r="BA2199" s="150">
        <f t="shared" si="1804"/>
        <v>0</v>
      </c>
      <c r="BB2199" s="202">
        <v>5</v>
      </c>
      <c r="BC2199" s="202" t="s">
        <v>1332</v>
      </c>
      <c r="BD2199" s="202" t="s">
        <v>671</v>
      </c>
      <c r="BE2199" s="202" t="s">
        <v>671</v>
      </c>
      <c r="BF2199" s="202" t="s">
        <v>632</v>
      </c>
      <c r="BG2199" s="203" t="s">
        <v>119</v>
      </c>
      <c r="BH2199" s="216">
        <f>AS2199</f>
        <v>3712694.68</v>
      </c>
      <c r="BI2199" s="202"/>
      <c r="BJ2199" s="194" t="s">
        <v>10243</v>
      </c>
      <c r="BK2199" s="194" t="s">
        <v>478</v>
      </c>
      <c r="BL2199" s="207" t="s">
        <v>10244</v>
      </c>
      <c r="BM2199" s="208">
        <f>BH2199</f>
        <v>3712694.68</v>
      </c>
      <c r="BN2199" s="160"/>
      <c r="BO2199" s="161">
        <f t="shared" si="1815"/>
        <v>0</v>
      </c>
      <c r="BP2199" s="161"/>
    </row>
    <row r="2200" spans="1:68" ht="38.25">
      <c r="A2200" s="183" t="s">
        <v>479</v>
      </c>
      <c r="B2200" s="184"/>
      <c r="C2200" s="185" t="s">
        <v>139</v>
      </c>
      <c r="D2200" s="146" t="s">
        <v>4692</v>
      </c>
      <c r="E2200" s="185" t="s">
        <v>139</v>
      </c>
      <c r="F2200" s="188">
        <v>0</v>
      </c>
      <c r="G2200" s="187">
        <v>0</v>
      </c>
      <c r="H2200" s="187"/>
      <c r="I2200" s="187">
        <v>0</v>
      </c>
      <c r="J2200" s="188">
        <f>J2201</f>
        <v>0</v>
      </c>
      <c r="K2200" s="188">
        <f>K2201</f>
        <v>0</v>
      </c>
      <c r="L2200" s="188">
        <f t="shared" si="1859"/>
        <v>0</v>
      </c>
      <c r="M2200" s="188">
        <v>0</v>
      </c>
      <c r="N2200" s="188">
        <v>0</v>
      </c>
      <c r="O2200" s="188">
        <v>0</v>
      </c>
      <c r="P2200" s="299">
        <f t="shared" ref="P2200:AS2200" si="1866">P2201</f>
        <v>0</v>
      </c>
      <c r="Q2200" s="299">
        <f t="shared" si="1866"/>
        <v>0</v>
      </c>
      <c r="R2200" s="299">
        <f t="shared" si="1866"/>
        <v>0</v>
      </c>
      <c r="S2200" s="150">
        <f t="shared" si="1806"/>
        <v>0</v>
      </c>
      <c r="T2200" s="213"/>
      <c r="U2200" s="299">
        <f t="shared" ref="U2200:W2200" si="1867">U2201</f>
        <v>10000</v>
      </c>
      <c r="V2200" s="226">
        <f t="shared" si="1867"/>
        <v>0</v>
      </c>
      <c r="W2200" s="299">
        <f t="shared" si="1867"/>
        <v>10000</v>
      </c>
      <c r="X2200" s="299">
        <v>10000</v>
      </c>
      <c r="Y2200" s="299">
        <v>0</v>
      </c>
      <c r="Z2200" s="299">
        <v>10000</v>
      </c>
      <c r="AA2200" s="299">
        <f t="shared" si="1842"/>
        <v>0</v>
      </c>
      <c r="AB2200" s="299">
        <v>10000</v>
      </c>
      <c r="AC2200" s="226">
        <v>0</v>
      </c>
      <c r="AD2200" s="299">
        <f t="shared" si="1866"/>
        <v>10000</v>
      </c>
      <c r="AE2200" s="299">
        <v>10000</v>
      </c>
      <c r="AF2200" s="169" t="s">
        <v>4680</v>
      </c>
      <c r="AG2200" s="301">
        <v>10000</v>
      </c>
      <c r="AH2200" s="226">
        <v>0</v>
      </c>
      <c r="AI2200" s="299">
        <v>10000</v>
      </c>
      <c r="AJ2200" s="169">
        <f t="shared" si="1843"/>
        <v>0</v>
      </c>
      <c r="AK2200" s="301">
        <v>10000</v>
      </c>
      <c r="AL2200" s="226">
        <v>0</v>
      </c>
      <c r="AM2200" s="299">
        <f t="shared" si="1866"/>
        <v>10000</v>
      </c>
      <c r="AN2200" s="153">
        <f t="shared" si="1844"/>
        <v>0</v>
      </c>
      <c r="AO2200" s="154">
        <f t="shared" si="1845"/>
        <v>0</v>
      </c>
      <c r="AP2200" s="299">
        <v>10000</v>
      </c>
      <c r="AQ2200" s="301">
        <v>10000</v>
      </c>
      <c r="AR2200" s="226">
        <f t="shared" si="1866"/>
        <v>0</v>
      </c>
      <c r="AS2200" s="299">
        <f t="shared" si="1866"/>
        <v>10000</v>
      </c>
      <c r="AT2200" s="155"/>
      <c r="AU2200" s="156">
        <f t="shared" si="1837"/>
        <v>0</v>
      </c>
      <c r="AV2200" s="156">
        <f t="shared" si="1838"/>
        <v>0</v>
      </c>
      <c r="AW2200" s="157"/>
      <c r="AX2200" s="150">
        <v>10000</v>
      </c>
      <c r="AY2200" s="299">
        <f t="shared" ref="AY2200:BA2200" si="1868">AY2201</f>
        <v>0</v>
      </c>
      <c r="AZ2200" s="299">
        <f t="shared" si="1868"/>
        <v>0</v>
      </c>
      <c r="BA2200" s="299">
        <f t="shared" si="1868"/>
        <v>0</v>
      </c>
      <c r="BB2200" s="191">
        <v>5</v>
      </c>
      <c r="BC2200" s="183" t="s">
        <v>1332</v>
      </c>
      <c r="BD2200" s="183" t="s">
        <v>671</v>
      </c>
      <c r="BE2200" s="183" t="s">
        <v>693</v>
      </c>
      <c r="BF2200" s="183" t="s">
        <v>630</v>
      </c>
      <c r="BG2200" s="185" t="s">
        <v>139</v>
      </c>
      <c r="BH2200" s="215">
        <f>BH2201</f>
        <v>10000</v>
      </c>
      <c r="BI2200" s="191"/>
      <c r="BJ2200" s="183" t="s">
        <v>10249</v>
      </c>
      <c r="BK2200" s="183" t="s">
        <v>479</v>
      </c>
      <c r="BL2200" s="238" t="s">
        <v>10250</v>
      </c>
      <c r="BM2200" s="338">
        <f>BM2201</f>
        <v>10000</v>
      </c>
      <c r="BN2200" s="160"/>
      <c r="BO2200" s="161">
        <f t="shared" si="1815"/>
        <v>0</v>
      </c>
      <c r="BP2200" s="161"/>
    </row>
    <row r="2201" spans="1:68" ht="38.25">
      <c r="A2201" s="194" t="s">
        <v>479</v>
      </c>
      <c r="B2201" s="195" t="s">
        <v>10251</v>
      </c>
      <c r="C2201" s="196" t="s">
        <v>10252</v>
      </c>
      <c r="D2201" s="146" t="s">
        <v>4692</v>
      </c>
      <c r="E2201" s="196" t="s">
        <v>10252</v>
      </c>
      <c r="F2201" s="150">
        <v>0</v>
      </c>
      <c r="G2201" s="209">
        <v>0</v>
      </c>
      <c r="H2201" s="209">
        <v>0</v>
      </c>
      <c r="I2201" s="209">
        <v>0</v>
      </c>
      <c r="J2201" s="150">
        <v>0</v>
      </c>
      <c r="K2201" s="150">
        <v>0</v>
      </c>
      <c r="L2201" s="150">
        <f t="shared" si="1859"/>
        <v>0</v>
      </c>
      <c r="M2201" s="150">
        <v>0</v>
      </c>
      <c r="N2201" s="150"/>
      <c r="O2201" s="150">
        <v>0</v>
      </c>
      <c r="P2201" s="150">
        <v>0</v>
      </c>
      <c r="Q2201" s="150">
        <v>0</v>
      </c>
      <c r="R2201" s="150">
        <f>P2201+Q2201</f>
        <v>0</v>
      </c>
      <c r="S2201" s="150">
        <f t="shared" si="1806"/>
        <v>0</v>
      </c>
      <c r="T2201" s="150"/>
      <c r="U2201" s="150">
        <v>10000</v>
      </c>
      <c r="V2201" s="199"/>
      <c r="W2201" s="150">
        <f>U2201+V2201</f>
        <v>10000</v>
      </c>
      <c r="X2201" s="150">
        <v>10000</v>
      </c>
      <c r="Y2201" s="150"/>
      <c r="Z2201" s="150">
        <v>10000</v>
      </c>
      <c r="AA2201" s="150">
        <f t="shared" si="1842"/>
        <v>0</v>
      </c>
      <c r="AB2201" s="150">
        <v>10000</v>
      </c>
      <c r="AC2201" s="199"/>
      <c r="AD2201" s="150">
        <f>AB2201+AC2201</f>
        <v>10000</v>
      </c>
      <c r="AE2201" s="150">
        <v>10000</v>
      </c>
      <c r="AF2201" s="169" t="s">
        <v>4680</v>
      </c>
      <c r="AG2201" s="201">
        <v>10000</v>
      </c>
      <c r="AH2201" s="199"/>
      <c r="AI2201" s="150">
        <v>10000</v>
      </c>
      <c r="AJ2201" s="169">
        <f t="shared" si="1843"/>
        <v>0</v>
      </c>
      <c r="AK2201" s="201">
        <v>10000</v>
      </c>
      <c r="AL2201" s="199"/>
      <c r="AM2201" s="150">
        <f>AK2201+AL2201</f>
        <v>10000</v>
      </c>
      <c r="AN2201" s="153">
        <f t="shared" si="1844"/>
        <v>0</v>
      </c>
      <c r="AO2201" s="154">
        <f t="shared" si="1845"/>
        <v>0</v>
      </c>
      <c r="AP2201" s="150">
        <v>10000</v>
      </c>
      <c r="AQ2201" s="201">
        <v>10000</v>
      </c>
      <c r="AR2201" s="199"/>
      <c r="AS2201" s="150">
        <f>AQ2201+AR2201</f>
        <v>10000</v>
      </c>
      <c r="AT2201" s="155"/>
      <c r="AU2201" s="156">
        <f t="shared" si="1837"/>
        <v>0</v>
      </c>
      <c r="AV2201" s="156">
        <f t="shared" si="1838"/>
        <v>0</v>
      </c>
      <c r="AW2201" s="157"/>
      <c r="AX2201" s="150">
        <v>10000</v>
      </c>
      <c r="AY2201" s="150">
        <v>0</v>
      </c>
      <c r="AZ2201" s="150"/>
      <c r="BA2201" s="150">
        <f t="shared" si="1804"/>
        <v>0</v>
      </c>
      <c r="BB2201" s="202">
        <v>5</v>
      </c>
      <c r="BC2201" s="202" t="s">
        <v>1332</v>
      </c>
      <c r="BD2201" s="202" t="s">
        <v>671</v>
      </c>
      <c r="BE2201" s="202" t="s">
        <v>693</v>
      </c>
      <c r="BF2201" s="202" t="s">
        <v>632</v>
      </c>
      <c r="BG2201" s="203" t="s">
        <v>139</v>
      </c>
      <c r="BH2201" s="216">
        <f>AS2201</f>
        <v>10000</v>
      </c>
      <c r="BI2201" s="202"/>
      <c r="BJ2201" s="194" t="s">
        <v>10249</v>
      </c>
      <c r="BK2201" s="194" t="s">
        <v>479</v>
      </c>
      <c r="BL2201" s="207" t="s">
        <v>10250</v>
      </c>
      <c r="BM2201" s="208">
        <f>BH2201</f>
        <v>10000</v>
      </c>
      <c r="BN2201" s="160"/>
      <c r="BO2201" s="161">
        <f t="shared" si="1815"/>
        <v>0</v>
      </c>
      <c r="BP2201" s="161"/>
    </row>
    <row r="2202" spans="1:68" ht="38.25">
      <c r="A2202" s="183" t="s">
        <v>10253</v>
      </c>
      <c r="B2202" s="184"/>
      <c r="C2202" s="185" t="s">
        <v>10254</v>
      </c>
      <c r="D2202" s="146" t="s">
        <v>4692</v>
      </c>
      <c r="E2202" s="185" t="s">
        <v>10254</v>
      </c>
      <c r="F2202" s="188">
        <v>0</v>
      </c>
      <c r="G2202" s="187">
        <v>0</v>
      </c>
      <c r="H2202" s="187"/>
      <c r="I2202" s="187">
        <v>0</v>
      </c>
      <c r="J2202" s="188">
        <f>J2203</f>
        <v>0</v>
      </c>
      <c r="K2202" s="188">
        <f>K2203</f>
        <v>0</v>
      </c>
      <c r="L2202" s="188">
        <f t="shared" si="1859"/>
        <v>0</v>
      </c>
      <c r="M2202" s="188">
        <v>0</v>
      </c>
      <c r="N2202" s="188">
        <v>0</v>
      </c>
      <c r="O2202" s="188">
        <v>0</v>
      </c>
      <c r="P2202" s="299">
        <f t="shared" ref="P2202:AS2202" si="1869">P2203</f>
        <v>0</v>
      </c>
      <c r="Q2202" s="299">
        <f t="shared" si="1869"/>
        <v>0</v>
      </c>
      <c r="R2202" s="299">
        <f t="shared" si="1869"/>
        <v>0</v>
      </c>
      <c r="S2202" s="150">
        <f t="shared" si="1806"/>
        <v>0</v>
      </c>
      <c r="T2202" s="213"/>
      <c r="U2202" s="299">
        <f t="shared" ref="U2202:W2202" si="1870">U2203</f>
        <v>0</v>
      </c>
      <c r="V2202" s="226">
        <f t="shared" si="1870"/>
        <v>0</v>
      </c>
      <c r="W2202" s="299">
        <f t="shared" si="1870"/>
        <v>0</v>
      </c>
      <c r="X2202" s="299">
        <v>0</v>
      </c>
      <c r="Y2202" s="299">
        <v>0</v>
      </c>
      <c r="Z2202" s="299">
        <v>0</v>
      </c>
      <c r="AA2202" s="299">
        <f t="shared" si="1842"/>
        <v>0</v>
      </c>
      <c r="AB2202" s="299">
        <v>0</v>
      </c>
      <c r="AC2202" s="226">
        <v>0</v>
      </c>
      <c r="AD2202" s="299">
        <f t="shared" si="1869"/>
        <v>0</v>
      </c>
      <c r="AE2202" s="299">
        <v>0</v>
      </c>
      <c r="AF2202" s="169" t="s">
        <v>4680</v>
      </c>
      <c r="AG2202" s="301">
        <v>0</v>
      </c>
      <c r="AH2202" s="226">
        <v>0</v>
      </c>
      <c r="AI2202" s="299">
        <v>0</v>
      </c>
      <c r="AJ2202" s="169">
        <f t="shared" si="1843"/>
        <v>0</v>
      </c>
      <c r="AK2202" s="301">
        <v>0</v>
      </c>
      <c r="AL2202" s="226">
        <v>0</v>
      </c>
      <c r="AM2202" s="299">
        <f t="shared" si="1869"/>
        <v>0</v>
      </c>
      <c r="AN2202" s="153">
        <f t="shared" si="1844"/>
        <v>0</v>
      </c>
      <c r="AO2202" s="154">
        <f t="shared" si="1845"/>
        <v>0</v>
      </c>
      <c r="AP2202" s="299">
        <v>0</v>
      </c>
      <c r="AQ2202" s="301">
        <v>0</v>
      </c>
      <c r="AR2202" s="226">
        <f t="shared" si="1869"/>
        <v>0</v>
      </c>
      <c r="AS2202" s="299">
        <f t="shared" si="1869"/>
        <v>0</v>
      </c>
      <c r="AT2202" s="155"/>
      <c r="AU2202" s="156">
        <f t="shared" si="1837"/>
        <v>0</v>
      </c>
      <c r="AV2202" s="156">
        <f t="shared" si="1838"/>
        <v>0</v>
      </c>
      <c r="AW2202" s="157"/>
      <c r="AX2202" s="150">
        <v>0</v>
      </c>
      <c r="AY2202" s="299">
        <f t="shared" ref="AY2202:BA2202" si="1871">AY2203</f>
        <v>0</v>
      </c>
      <c r="AZ2202" s="299">
        <f t="shared" si="1871"/>
        <v>0</v>
      </c>
      <c r="BA2202" s="299">
        <f t="shared" si="1871"/>
        <v>0</v>
      </c>
      <c r="BB2202" s="191">
        <v>5</v>
      </c>
      <c r="BC2202" s="183" t="s">
        <v>1332</v>
      </c>
      <c r="BD2202" s="183" t="s">
        <v>671</v>
      </c>
      <c r="BE2202" s="183" t="s">
        <v>739</v>
      </c>
      <c r="BF2202" s="183" t="s">
        <v>630</v>
      </c>
      <c r="BG2202" s="185" t="s">
        <v>10254</v>
      </c>
      <c r="BH2202" s="215">
        <f>BH2203</f>
        <v>0</v>
      </c>
      <c r="BI2202" s="191"/>
      <c r="BJ2202" s="183" t="s">
        <v>10255</v>
      </c>
      <c r="BK2202" s="183" t="s">
        <v>10253</v>
      </c>
      <c r="BL2202" s="238" t="s">
        <v>10256</v>
      </c>
      <c r="BM2202" s="338">
        <f>BM2203</f>
        <v>0</v>
      </c>
      <c r="BN2202" s="160"/>
      <c r="BO2202" s="161">
        <f t="shared" si="1815"/>
        <v>0</v>
      </c>
      <c r="BP2202" s="161"/>
    </row>
    <row r="2203" spans="1:68" ht="38.25">
      <c r="A2203" s="194" t="s">
        <v>10253</v>
      </c>
      <c r="B2203" s="195" t="s">
        <v>10257</v>
      </c>
      <c r="C2203" s="196" t="s">
        <v>10254</v>
      </c>
      <c r="D2203" s="146" t="s">
        <v>4692</v>
      </c>
      <c r="E2203" s="196" t="s">
        <v>10254</v>
      </c>
      <c r="F2203" s="150">
        <v>0</v>
      </c>
      <c r="G2203" s="209">
        <v>0</v>
      </c>
      <c r="H2203" s="209">
        <v>120000</v>
      </c>
      <c r="I2203" s="209">
        <v>120000</v>
      </c>
      <c r="J2203" s="150">
        <v>0</v>
      </c>
      <c r="K2203" s="150">
        <v>0</v>
      </c>
      <c r="L2203" s="150">
        <f t="shared" si="1859"/>
        <v>0</v>
      </c>
      <c r="M2203" s="150">
        <v>0</v>
      </c>
      <c r="N2203" s="150"/>
      <c r="O2203" s="150">
        <v>0</v>
      </c>
      <c r="P2203" s="150">
        <v>0</v>
      </c>
      <c r="Q2203" s="150">
        <v>0</v>
      </c>
      <c r="R2203" s="150">
        <f>P2203+Q2203</f>
        <v>0</v>
      </c>
      <c r="S2203" s="150">
        <f t="shared" si="1806"/>
        <v>0</v>
      </c>
      <c r="T2203" s="150"/>
      <c r="U2203" s="150">
        <v>0</v>
      </c>
      <c r="V2203" s="199"/>
      <c r="W2203" s="150">
        <f>U2203+V2203</f>
        <v>0</v>
      </c>
      <c r="X2203" s="150">
        <v>0</v>
      </c>
      <c r="Y2203" s="150"/>
      <c r="Z2203" s="150">
        <v>0</v>
      </c>
      <c r="AA2203" s="150">
        <f t="shared" si="1842"/>
        <v>0</v>
      </c>
      <c r="AB2203" s="150">
        <v>0</v>
      </c>
      <c r="AC2203" s="199"/>
      <c r="AD2203" s="150">
        <f>AB2203+AC2203</f>
        <v>0</v>
      </c>
      <c r="AE2203" s="150">
        <v>0</v>
      </c>
      <c r="AF2203" s="169" t="s">
        <v>4680</v>
      </c>
      <c r="AG2203" s="201">
        <v>0</v>
      </c>
      <c r="AH2203" s="199"/>
      <c r="AI2203" s="150">
        <v>0</v>
      </c>
      <c r="AJ2203" s="169">
        <f t="shared" si="1843"/>
        <v>0</v>
      </c>
      <c r="AK2203" s="201">
        <v>0</v>
      </c>
      <c r="AL2203" s="199"/>
      <c r="AM2203" s="150">
        <f>AK2203+AL2203</f>
        <v>0</v>
      </c>
      <c r="AN2203" s="153">
        <f t="shared" si="1844"/>
        <v>0</v>
      </c>
      <c r="AO2203" s="154">
        <f t="shared" si="1845"/>
        <v>0</v>
      </c>
      <c r="AP2203" s="150">
        <v>0</v>
      </c>
      <c r="AQ2203" s="201">
        <v>0</v>
      </c>
      <c r="AR2203" s="199"/>
      <c r="AS2203" s="150">
        <f>AQ2203+AR2203</f>
        <v>0</v>
      </c>
      <c r="AT2203" s="155"/>
      <c r="AU2203" s="156">
        <f t="shared" si="1837"/>
        <v>0</v>
      </c>
      <c r="AV2203" s="156">
        <f t="shared" si="1838"/>
        <v>0</v>
      </c>
      <c r="AW2203" s="157"/>
      <c r="AX2203" s="150">
        <v>0</v>
      </c>
      <c r="AY2203" s="150">
        <v>0</v>
      </c>
      <c r="AZ2203" s="150"/>
      <c r="BA2203" s="150">
        <f t="shared" si="1804"/>
        <v>0</v>
      </c>
      <c r="BB2203" s="202">
        <v>5</v>
      </c>
      <c r="BC2203" s="202" t="s">
        <v>1332</v>
      </c>
      <c r="BD2203" s="202" t="s">
        <v>671</v>
      </c>
      <c r="BE2203" s="194" t="s">
        <v>739</v>
      </c>
      <c r="BF2203" s="194" t="s">
        <v>632</v>
      </c>
      <c r="BG2203" s="203" t="s">
        <v>10254</v>
      </c>
      <c r="BH2203" s="216">
        <f>AS2203</f>
        <v>0</v>
      </c>
      <c r="BI2203" s="202"/>
      <c r="BJ2203" s="194" t="s">
        <v>10255</v>
      </c>
      <c r="BK2203" s="194" t="s">
        <v>10253</v>
      </c>
      <c r="BL2203" s="207" t="s">
        <v>10256</v>
      </c>
      <c r="BM2203" s="208">
        <f>BH2203</f>
        <v>0</v>
      </c>
      <c r="BN2203" s="160"/>
      <c r="BO2203" s="161">
        <f t="shared" si="1815"/>
        <v>0</v>
      </c>
      <c r="BP2203" s="161"/>
    </row>
    <row r="2204" spans="1:68">
      <c r="A2204" s="173" t="s">
        <v>10258</v>
      </c>
      <c r="B2204" s="174"/>
      <c r="C2204" s="175" t="s">
        <v>486</v>
      </c>
      <c r="D2204" s="146" t="s">
        <v>4692</v>
      </c>
      <c r="E2204" s="175" t="s">
        <v>486</v>
      </c>
      <c r="F2204" s="176">
        <v>1024985.58</v>
      </c>
      <c r="G2204" s="177">
        <v>0</v>
      </c>
      <c r="H2204" s="177">
        <v>0</v>
      </c>
      <c r="I2204" s="177">
        <v>0</v>
      </c>
      <c r="J2204" s="176">
        <f>J2205+J2207+J2209+J2211+J2213+J2215+J2217+J2219+J2221+J2223</f>
        <v>0</v>
      </c>
      <c r="K2204" s="176">
        <f>K2205+K2207+K2209+K2211+K2213+K2215+K2217+K2219+K2221+K2223</f>
        <v>30000</v>
      </c>
      <c r="L2204" s="176">
        <f t="shared" si="1859"/>
        <v>30000</v>
      </c>
      <c r="M2204" s="176">
        <v>0</v>
      </c>
      <c r="N2204" s="176">
        <v>0</v>
      </c>
      <c r="O2204" s="178">
        <v>0</v>
      </c>
      <c r="P2204" s="221">
        <f t="shared" ref="P2204:R2204" si="1872">P2205+P2207+P2209+P2211+P2213+P2215+P2217+P2219+P2221+P2223</f>
        <v>0</v>
      </c>
      <c r="Q2204" s="221">
        <f t="shared" si="1872"/>
        <v>0</v>
      </c>
      <c r="R2204" s="221">
        <f t="shared" si="1872"/>
        <v>0</v>
      </c>
      <c r="S2204" s="150">
        <f t="shared" si="1806"/>
        <v>0</v>
      </c>
      <c r="T2204" s="213"/>
      <c r="U2204" s="221">
        <f t="shared" ref="U2204:W2204" si="1873">U2205+U2207+U2209+U2211+U2213+U2215+U2217+U2219+U2221+U2223</f>
        <v>0</v>
      </c>
      <c r="V2204" s="222">
        <f t="shared" si="1873"/>
        <v>0</v>
      </c>
      <c r="W2204" s="221">
        <f t="shared" si="1873"/>
        <v>0</v>
      </c>
      <c r="X2204" s="221">
        <v>0</v>
      </c>
      <c r="Y2204" s="221">
        <v>0</v>
      </c>
      <c r="Z2204" s="221">
        <v>0</v>
      </c>
      <c r="AA2204" s="221">
        <f t="shared" si="1842"/>
        <v>350000</v>
      </c>
      <c r="AB2204" s="221">
        <v>0</v>
      </c>
      <c r="AC2204" s="222">
        <v>350000</v>
      </c>
      <c r="AD2204" s="221">
        <f t="shared" ref="AD2204" si="1874">AD2205+AD2207+AD2209+AD2211+AD2213+AD2215+AD2217+AD2219+AD2221+AD2223</f>
        <v>350000</v>
      </c>
      <c r="AE2204" s="221">
        <v>250000</v>
      </c>
      <c r="AF2204" s="169" t="s">
        <v>4680</v>
      </c>
      <c r="AG2204" s="223">
        <v>0</v>
      </c>
      <c r="AH2204" s="222">
        <v>250000</v>
      </c>
      <c r="AI2204" s="221">
        <v>250000</v>
      </c>
      <c r="AJ2204" s="169">
        <f t="shared" si="1843"/>
        <v>340000</v>
      </c>
      <c r="AK2204" s="223">
        <v>0</v>
      </c>
      <c r="AL2204" s="222">
        <v>590000</v>
      </c>
      <c r="AM2204" s="221">
        <f t="shared" ref="AM2204" si="1875">AM2205+AM2207+AM2209+AM2211+AM2213+AM2215+AM2217+AM2219+AM2221+AM2223</f>
        <v>590000</v>
      </c>
      <c r="AN2204" s="153">
        <f t="shared" si="1844"/>
        <v>2840913.69</v>
      </c>
      <c r="AO2204" s="154">
        <f t="shared" si="1845"/>
        <v>2840913.69</v>
      </c>
      <c r="AP2204" s="221">
        <v>590000</v>
      </c>
      <c r="AQ2204" s="223">
        <v>3430913.69</v>
      </c>
      <c r="AR2204" s="222">
        <f t="shared" ref="AR2204:AS2204" si="1876">AR2205+AR2207+AR2209+AR2211+AR2213+AR2215+AR2217+AR2219+AR2221+AR2223</f>
        <v>0</v>
      </c>
      <c r="AS2204" s="221">
        <f t="shared" si="1876"/>
        <v>3430913.69</v>
      </c>
      <c r="AT2204" s="155"/>
      <c r="AU2204" s="156">
        <f t="shared" si="1837"/>
        <v>240000</v>
      </c>
      <c r="AV2204" s="156">
        <f t="shared" si="1838"/>
        <v>350000</v>
      </c>
      <c r="AW2204" s="157"/>
      <c r="AX2204" s="150">
        <v>0</v>
      </c>
      <c r="AY2204" s="221">
        <f t="shared" ref="AY2204:BA2204" si="1877">AY2205+AY2207+AY2209+AY2211+AY2213+AY2215+AY2217+AY2219+AY2221+AY2223</f>
        <v>0</v>
      </c>
      <c r="AZ2204" s="221">
        <f t="shared" si="1877"/>
        <v>0</v>
      </c>
      <c r="BA2204" s="221">
        <f t="shared" si="1877"/>
        <v>0</v>
      </c>
      <c r="BB2204" s="181">
        <v>5</v>
      </c>
      <c r="BC2204" s="173" t="s">
        <v>1332</v>
      </c>
      <c r="BD2204" s="173" t="s">
        <v>693</v>
      </c>
      <c r="BE2204" s="173" t="s">
        <v>630</v>
      </c>
      <c r="BF2204" s="173" t="s">
        <v>630</v>
      </c>
      <c r="BG2204" s="175" t="s">
        <v>486</v>
      </c>
      <c r="BH2204" s="224">
        <f>BH2205+BH2207+BH2209+BH2211+BH2213+BH2215+BH2217+BH2219+BH2221+BH2223</f>
        <v>3430913.69</v>
      </c>
      <c r="BI2204" s="181"/>
      <c r="BJ2204" s="173" t="s">
        <v>10259</v>
      </c>
      <c r="BK2204" s="173" t="s">
        <v>10258</v>
      </c>
      <c r="BL2204" s="182" t="s">
        <v>10260</v>
      </c>
      <c r="BM2204" s="337">
        <f>BM2205+BM2207+BM2209+BM2211+BM2213+BM2215+BM2217+BM2219+BM2221+BM2223</f>
        <v>3430913.69</v>
      </c>
      <c r="BN2204" s="160"/>
      <c r="BO2204" s="161">
        <f t="shared" si="1815"/>
        <v>0</v>
      </c>
      <c r="BP2204" s="161"/>
    </row>
    <row r="2205" spans="1:68" ht="25.5">
      <c r="A2205" s="183" t="s">
        <v>480</v>
      </c>
      <c r="B2205" s="184"/>
      <c r="C2205" s="185" t="s">
        <v>10261</v>
      </c>
      <c r="D2205" s="146" t="s">
        <v>4692</v>
      </c>
      <c r="E2205" s="185" t="s">
        <v>10261</v>
      </c>
      <c r="F2205" s="188">
        <v>0</v>
      </c>
      <c r="G2205" s="187">
        <v>0</v>
      </c>
      <c r="H2205" s="187"/>
      <c r="I2205" s="187">
        <v>0</v>
      </c>
      <c r="J2205" s="188">
        <f>J2206</f>
        <v>0</v>
      </c>
      <c r="K2205" s="188">
        <f>K2206</f>
        <v>0</v>
      </c>
      <c r="L2205" s="188">
        <f t="shared" si="1859"/>
        <v>0</v>
      </c>
      <c r="M2205" s="188">
        <v>0</v>
      </c>
      <c r="N2205" s="188">
        <v>0</v>
      </c>
      <c r="O2205" s="188">
        <v>0</v>
      </c>
      <c r="P2205" s="299">
        <f t="shared" ref="P2205:AS2205" si="1878">P2206</f>
        <v>0</v>
      </c>
      <c r="Q2205" s="299">
        <f t="shared" si="1878"/>
        <v>0</v>
      </c>
      <c r="R2205" s="299">
        <f t="shared" si="1878"/>
        <v>0</v>
      </c>
      <c r="S2205" s="150">
        <f t="shared" si="1806"/>
        <v>0</v>
      </c>
      <c r="T2205" s="213"/>
      <c r="U2205" s="299">
        <f t="shared" ref="U2205:W2205" si="1879">U2206</f>
        <v>0</v>
      </c>
      <c r="V2205" s="226">
        <f t="shared" si="1879"/>
        <v>0</v>
      </c>
      <c r="W2205" s="299">
        <f t="shared" si="1879"/>
        <v>0</v>
      </c>
      <c r="X2205" s="299">
        <v>0</v>
      </c>
      <c r="Y2205" s="299">
        <v>0</v>
      </c>
      <c r="Z2205" s="299">
        <v>0</v>
      </c>
      <c r="AA2205" s="299">
        <f t="shared" si="1842"/>
        <v>0</v>
      </c>
      <c r="AB2205" s="299">
        <v>0</v>
      </c>
      <c r="AC2205" s="226">
        <v>0</v>
      </c>
      <c r="AD2205" s="299">
        <f t="shared" si="1878"/>
        <v>0</v>
      </c>
      <c r="AE2205" s="299">
        <v>0</v>
      </c>
      <c r="AF2205" s="169" t="s">
        <v>4680</v>
      </c>
      <c r="AG2205" s="301">
        <v>0</v>
      </c>
      <c r="AH2205" s="226">
        <v>0</v>
      </c>
      <c r="AI2205" s="299">
        <v>0</v>
      </c>
      <c r="AJ2205" s="169">
        <f t="shared" si="1843"/>
        <v>0</v>
      </c>
      <c r="AK2205" s="301">
        <v>0</v>
      </c>
      <c r="AL2205" s="226">
        <v>0</v>
      </c>
      <c r="AM2205" s="299">
        <f t="shared" si="1878"/>
        <v>0</v>
      </c>
      <c r="AN2205" s="153">
        <f t="shared" si="1844"/>
        <v>0</v>
      </c>
      <c r="AO2205" s="154">
        <f t="shared" si="1845"/>
        <v>0</v>
      </c>
      <c r="AP2205" s="299">
        <v>0</v>
      </c>
      <c r="AQ2205" s="301">
        <v>0</v>
      </c>
      <c r="AR2205" s="226">
        <f t="shared" si="1878"/>
        <v>0</v>
      </c>
      <c r="AS2205" s="299">
        <f t="shared" si="1878"/>
        <v>0</v>
      </c>
      <c r="AT2205" s="155"/>
      <c r="AU2205" s="156">
        <f t="shared" si="1837"/>
        <v>0</v>
      </c>
      <c r="AV2205" s="156">
        <f t="shared" si="1838"/>
        <v>0</v>
      </c>
      <c r="AW2205" s="157"/>
      <c r="AX2205" s="150">
        <v>0</v>
      </c>
      <c r="AY2205" s="299">
        <f t="shared" ref="AY2205:BA2205" si="1880">AY2206</f>
        <v>0</v>
      </c>
      <c r="AZ2205" s="299">
        <f t="shared" si="1880"/>
        <v>0</v>
      </c>
      <c r="BA2205" s="299">
        <f t="shared" si="1880"/>
        <v>0</v>
      </c>
      <c r="BB2205" s="191">
        <v>5</v>
      </c>
      <c r="BC2205" s="183" t="s">
        <v>1332</v>
      </c>
      <c r="BD2205" s="183" t="s">
        <v>693</v>
      </c>
      <c r="BE2205" s="183" t="s">
        <v>647</v>
      </c>
      <c r="BF2205" s="183" t="s">
        <v>630</v>
      </c>
      <c r="BG2205" s="185" t="s">
        <v>10261</v>
      </c>
      <c r="BH2205" s="215">
        <f>BH2206</f>
        <v>0</v>
      </c>
      <c r="BI2205" s="191"/>
      <c r="BJ2205" s="183" t="s">
        <v>10262</v>
      </c>
      <c r="BK2205" s="183" t="s">
        <v>480</v>
      </c>
      <c r="BL2205" s="238" t="s">
        <v>10263</v>
      </c>
      <c r="BM2205" s="338">
        <f>BM2206</f>
        <v>0</v>
      </c>
      <c r="BN2205" s="160"/>
      <c r="BO2205" s="161">
        <f t="shared" si="1815"/>
        <v>0</v>
      </c>
      <c r="BP2205" s="161"/>
    </row>
    <row r="2206" spans="1:68" ht="25.5">
      <c r="A2206" s="194" t="s">
        <v>480</v>
      </c>
      <c r="B2206" s="195" t="s">
        <v>10264</v>
      </c>
      <c r="C2206" s="196" t="s">
        <v>10265</v>
      </c>
      <c r="D2206" s="146" t="s">
        <v>4692</v>
      </c>
      <c r="E2206" s="196" t="s">
        <v>10265</v>
      </c>
      <c r="F2206" s="150">
        <v>0</v>
      </c>
      <c r="G2206" s="209">
        <v>0</v>
      </c>
      <c r="H2206" s="209">
        <v>0</v>
      </c>
      <c r="I2206" s="209">
        <v>0</v>
      </c>
      <c r="J2206" s="150">
        <v>0</v>
      </c>
      <c r="K2206" s="150">
        <v>0</v>
      </c>
      <c r="L2206" s="150">
        <f t="shared" si="1859"/>
        <v>0</v>
      </c>
      <c r="M2206" s="150">
        <v>0</v>
      </c>
      <c r="N2206" s="150"/>
      <c r="O2206" s="150">
        <v>0</v>
      </c>
      <c r="P2206" s="150">
        <v>0</v>
      </c>
      <c r="Q2206" s="150">
        <v>0</v>
      </c>
      <c r="R2206" s="150">
        <f>P2206+Q2206</f>
        <v>0</v>
      </c>
      <c r="S2206" s="150">
        <f t="shared" si="1806"/>
        <v>0</v>
      </c>
      <c r="T2206" s="150"/>
      <c r="U2206" s="150">
        <v>0</v>
      </c>
      <c r="V2206" s="199"/>
      <c r="W2206" s="150">
        <f>U2206+V2206</f>
        <v>0</v>
      </c>
      <c r="X2206" s="150">
        <v>0</v>
      </c>
      <c r="Y2206" s="150"/>
      <c r="Z2206" s="150">
        <v>0</v>
      </c>
      <c r="AA2206" s="150">
        <f t="shared" si="1842"/>
        <v>0</v>
      </c>
      <c r="AB2206" s="150">
        <v>0</v>
      </c>
      <c r="AC2206" s="199"/>
      <c r="AD2206" s="150">
        <f>AB2206+AC2206</f>
        <v>0</v>
      </c>
      <c r="AE2206" s="150">
        <v>0</v>
      </c>
      <c r="AF2206" s="169" t="s">
        <v>4680</v>
      </c>
      <c r="AG2206" s="201">
        <v>0</v>
      </c>
      <c r="AH2206" s="199"/>
      <c r="AI2206" s="150">
        <v>0</v>
      </c>
      <c r="AJ2206" s="169">
        <f t="shared" si="1843"/>
        <v>0</v>
      </c>
      <c r="AK2206" s="201">
        <v>0</v>
      </c>
      <c r="AL2206" s="199"/>
      <c r="AM2206" s="150">
        <f>AK2206+AL2206</f>
        <v>0</v>
      </c>
      <c r="AN2206" s="153">
        <f t="shared" si="1844"/>
        <v>0</v>
      </c>
      <c r="AO2206" s="154">
        <f t="shared" si="1845"/>
        <v>0</v>
      </c>
      <c r="AP2206" s="150">
        <v>0</v>
      </c>
      <c r="AQ2206" s="201">
        <v>0</v>
      </c>
      <c r="AR2206" s="199"/>
      <c r="AS2206" s="150">
        <f>AQ2206+AR2206</f>
        <v>0</v>
      </c>
      <c r="AT2206" s="155"/>
      <c r="AU2206" s="156">
        <f t="shared" si="1837"/>
        <v>0</v>
      </c>
      <c r="AV2206" s="156">
        <f t="shared" si="1838"/>
        <v>0</v>
      </c>
      <c r="AW2206" s="157"/>
      <c r="AX2206" s="150">
        <v>0</v>
      </c>
      <c r="AY2206" s="150">
        <v>0</v>
      </c>
      <c r="AZ2206" s="150"/>
      <c r="BA2206" s="150">
        <f t="shared" si="1804"/>
        <v>0</v>
      </c>
      <c r="BB2206" s="202">
        <v>5</v>
      </c>
      <c r="BC2206" s="202" t="s">
        <v>1332</v>
      </c>
      <c r="BD2206" s="202" t="s">
        <v>693</v>
      </c>
      <c r="BE2206" s="202" t="s">
        <v>647</v>
      </c>
      <c r="BF2206" s="202" t="s">
        <v>632</v>
      </c>
      <c r="BG2206" s="203" t="s">
        <v>10261</v>
      </c>
      <c r="BH2206" s="216">
        <f>AS2206</f>
        <v>0</v>
      </c>
      <c r="BI2206" s="202"/>
      <c r="BJ2206" s="194" t="s">
        <v>10262</v>
      </c>
      <c r="BK2206" s="194" t="s">
        <v>480</v>
      </c>
      <c r="BL2206" s="207" t="s">
        <v>10263</v>
      </c>
      <c r="BM2206" s="208">
        <f>BH2206</f>
        <v>0</v>
      </c>
      <c r="BN2206" s="160"/>
      <c r="BO2206" s="161">
        <f t="shared" si="1815"/>
        <v>0</v>
      </c>
      <c r="BP2206" s="161"/>
    </row>
    <row r="2207" spans="1:68" ht="25.5">
      <c r="A2207" s="183" t="s">
        <v>481</v>
      </c>
      <c r="B2207" s="184"/>
      <c r="C2207" s="185" t="s">
        <v>10266</v>
      </c>
      <c r="D2207" s="146" t="s">
        <v>4692</v>
      </c>
      <c r="E2207" s="185" t="s">
        <v>10266</v>
      </c>
      <c r="F2207" s="188">
        <v>0</v>
      </c>
      <c r="G2207" s="187">
        <v>0</v>
      </c>
      <c r="H2207" s="187"/>
      <c r="I2207" s="187">
        <v>0</v>
      </c>
      <c r="J2207" s="188">
        <f>J2208</f>
        <v>0</v>
      </c>
      <c r="K2207" s="188">
        <f>K2208</f>
        <v>0</v>
      </c>
      <c r="L2207" s="188">
        <f t="shared" si="1859"/>
        <v>0</v>
      </c>
      <c r="M2207" s="188">
        <v>0</v>
      </c>
      <c r="N2207" s="188">
        <v>0</v>
      </c>
      <c r="O2207" s="188">
        <v>0</v>
      </c>
      <c r="P2207" s="299">
        <f t="shared" ref="P2207:AS2207" si="1881">P2208</f>
        <v>0</v>
      </c>
      <c r="Q2207" s="299">
        <f t="shared" si="1881"/>
        <v>0</v>
      </c>
      <c r="R2207" s="299">
        <f t="shared" si="1881"/>
        <v>0</v>
      </c>
      <c r="S2207" s="150">
        <f t="shared" si="1806"/>
        <v>0</v>
      </c>
      <c r="T2207" s="213"/>
      <c r="U2207" s="299">
        <f t="shared" ref="U2207:W2207" si="1882">U2208</f>
        <v>0</v>
      </c>
      <c r="V2207" s="226">
        <f t="shared" si="1882"/>
        <v>0</v>
      </c>
      <c r="W2207" s="299">
        <f t="shared" si="1882"/>
        <v>0</v>
      </c>
      <c r="X2207" s="299">
        <v>0</v>
      </c>
      <c r="Y2207" s="299">
        <v>0</v>
      </c>
      <c r="Z2207" s="299">
        <v>0</v>
      </c>
      <c r="AA2207" s="299">
        <f t="shared" si="1842"/>
        <v>0</v>
      </c>
      <c r="AB2207" s="299">
        <v>0</v>
      </c>
      <c r="AC2207" s="226">
        <v>0</v>
      </c>
      <c r="AD2207" s="299">
        <f t="shared" si="1881"/>
        <v>0</v>
      </c>
      <c r="AE2207" s="299">
        <v>0</v>
      </c>
      <c r="AF2207" s="169" t="s">
        <v>4680</v>
      </c>
      <c r="AG2207" s="301">
        <v>0</v>
      </c>
      <c r="AH2207" s="226">
        <v>0</v>
      </c>
      <c r="AI2207" s="299">
        <v>0</v>
      </c>
      <c r="AJ2207" s="169">
        <f t="shared" si="1843"/>
        <v>0</v>
      </c>
      <c r="AK2207" s="301">
        <v>0</v>
      </c>
      <c r="AL2207" s="226">
        <v>0</v>
      </c>
      <c r="AM2207" s="299">
        <f t="shared" si="1881"/>
        <v>0</v>
      </c>
      <c r="AN2207" s="153">
        <f t="shared" si="1844"/>
        <v>0</v>
      </c>
      <c r="AO2207" s="154">
        <f t="shared" si="1845"/>
        <v>0</v>
      </c>
      <c r="AP2207" s="299">
        <v>0</v>
      </c>
      <c r="AQ2207" s="301">
        <v>0</v>
      </c>
      <c r="AR2207" s="226">
        <f t="shared" si="1881"/>
        <v>0</v>
      </c>
      <c r="AS2207" s="299">
        <f t="shared" si="1881"/>
        <v>0</v>
      </c>
      <c r="AT2207" s="155"/>
      <c r="AU2207" s="156">
        <f t="shared" si="1837"/>
        <v>0</v>
      </c>
      <c r="AV2207" s="156">
        <f t="shared" si="1838"/>
        <v>0</v>
      </c>
      <c r="AW2207" s="157"/>
      <c r="AX2207" s="150">
        <v>0</v>
      </c>
      <c r="AY2207" s="299">
        <f t="shared" ref="AY2207:BA2207" si="1883">AY2208</f>
        <v>0</v>
      </c>
      <c r="AZ2207" s="299">
        <f t="shared" si="1883"/>
        <v>0</v>
      </c>
      <c r="BA2207" s="299">
        <f t="shared" si="1883"/>
        <v>0</v>
      </c>
      <c r="BB2207" s="191">
        <v>5</v>
      </c>
      <c r="BC2207" s="183" t="s">
        <v>1332</v>
      </c>
      <c r="BD2207" s="183" t="s">
        <v>693</v>
      </c>
      <c r="BE2207" s="183" t="s">
        <v>671</v>
      </c>
      <c r="BF2207" s="183" t="s">
        <v>630</v>
      </c>
      <c r="BG2207" s="185" t="s">
        <v>10266</v>
      </c>
      <c r="BH2207" s="215">
        <f>BH2208</f>
        <v>0</v>
      </c>
      <c r="BI2207" s="191"/>
      <c r="BJ2207" s="183" t="s">
        <v>10267</v>
      </c>
      <c r="BK2207" s="183" t="s">
        <v>481</v>
      </c>
      <c r="BL2207" s="238" t="s">
        <v>10268</v>
      </c>
      <c r="BM2207" s="338">
        <f>BM2208</f>
        <v>0</v>
      </c>
      <c r="BN2207" s="160"/>
      <c r="BO2207" s="161">
        <f t="shared" si="1815"/>
        <v>0</v>
      </c>
      <c r="BP2207" s="161"/>
    </row>
    <row r="2208" spans="1:68" ht="25.5">
      <c r="A2208" s="194" t="s">
        <v>481</v>
      </c>
      <c r="B2208" s="195" t="s">
        <v>10269</v>
      </c>
      <c r="C2208" s="196" t="s">
        <v>10270</v>
      </c>
      <c r="D2208" s="146" t="s">
        <v>4692</v>
      </c>
      <c r="E2208" s="196" t="s">
        <v>10270</v>
      </c>
      <c r="F2208" s="150">
        <v>0</v>
      </c>
      <c r="G2208" s="209">
        <v>0</v>
      </c>
      <c r="H2208" s="209">
        <v>0</v>
      </c>
      <c r="I2208" s="209">
        <v>0</v>
      </c>
      <c r="J2208" s="150">
        <v>0</v>
      </c>
      <c r="K2208" s="150">
        <v>0</v>
      </c>
      <c r="L2208" s="150">
        <f t="shared" si="1859"/>
        <v>0</v>
      </c>
      <c r="M2208" s="150">
        <v>0</v>
      </c>
      <c r="N2208" s="150"/>
      <c r="O2208" s="150">
        <v>0</v>
      </c>
      <c r="P2208" s="150">
        <v>0</v>
      </c>
      <c r="Q2208" s="150">
        <v>0</v>
      </c>
      <c r="R2208" s="150">
        <f>P2208+Q2208</f>
        <v>0</v>
      </c>
      <c r="S2208" s="150">
        <f t="shared" si="1806"/>
        <v>0</v>
      </c>
      <c r="T2208" s="150"/>
      <c r="U2208" s="150">
        <v>0</v>
      </c>
      <c r="V2208" s="199"/>
      <c r="W2208" s="150">
        <f>U2208+V2208</f>
        <v>0</v>
      </c>
      <c r="X2208" s="150">
        <v>0</v>
      </c>
      <c r="Y2208" s="150"/>
      <c r="Z2208" s="150">
        <v>0</v>
      </c>
      <c r="AA2208" s="150">
        <f t="shared" si="1842"/>
        <v>0</v>
      </c>
      <c r="AB2208" s="150">
        <v>0</v>
      </c>
      <c r="AC2208" s="199"/>
      <c r="AD2208" s="150">
        <f>AB2208+AC2208</f>
        <v>0</v>
      </c>
      <c r="AE2208" s="150">
        <v>0</v>
      </c>
      <c r="AF2208" s="169" t="s">
        <v>4680</v>
      </c>
      <c r="AG2208" s="201">
        <v>0</v>
      </c>
      <c r="AH2208" s="199"/>
      <c r="AI2208" s="150">
        <v>0</v>
      </c>
      <c r="AJ2208" s="169">
        <f t="shared" si="1843"/>
        <v>0</v>
      </c>
      <c r="AK2208" s="201">
        <v>0</v>
      </c>
      <c r="AL2208" s="199"/>
      <c r="AM2208" s="150">
        <f>AK2208+AL2208</f>
        <v>0</v>
      </c>
      <c r="AN2208" s="153">
        <f t="shared" si="1844"/>
        <v>0</v>
      </c>
      <c r="AO2208" s="154">
        <f t="shared" si="1845"/>
        <v>0</v>
      </c>
      <c r="AP2208" s="150">
        <v>0</v>
      </c>
      <c r="AQ2208" s="201">
        <v>0</v>
      </c>
      <c r="AR2208" s="199"/>
      <c r="AS2208" s="150">
        <f>AQ2208+AR2208</f>
        <v>0</v>
      </c>
      <c r="AT2208" s="155"/>
      <c r="AU2208" s="156">
        <f t="shared" si="1837"/>
        <v>0</v>
      </c>
      <c r="AV2208" s="156">
        <f t="shared" si="1838"/>
        <v>0</v>
      </c>
      <c r="AW2208" s="157"/>
      <c r="AX2208" s="150">
        <v>0</v>
      </c>
      <c r="AY2208" s="150">
        <v>0</v>
      </c>
      <c r="AZ2208" s="150"/>
      <c r="BA2208" s="150">
        <f t="shared" si="1804"/>
        <v>0</v>
      </c>
      <c r="BB2208" s="202">
        <v>5</v>
      </c>
      <c r="BC2208" s="202" t="s">
        <v>1332</v>
      </c>
      <c r="BD2208" s="202" t="s">
        <v>693</v>
      </c>
      <c r="BE2208" s="202" t="s">
        <v>671</v>
      </c>
      <c r="BF2208" s="202" t="s">
        <v>632</v>
      </c>
      <c r="BG2208" s="203" t="s">
        <v>10266</v>
      </c>
      <c r="BH2208" s="216">
        <f>AS2208</f>
        <v>0</v>
      </c>
      <c r="BI2208" s="202"/>
      <c r="BJ2208" s="194" t="s">
        <v>10267</v>
      </c>
      <c r="BK2208" s="194" t="s">
        <v>481</v>
      </c>
      <c r="BL2208" s="207" t="s">
        <v>10268</v>
      </c>
      <c r="BM2208" s="208">
        <f>BH2208</f>
        <v>0</v>
      </c>
      <c r="BN2208" s="160"/>
      <c r="BO2208" s="161">
        <f t="shared" si="1815"/>
        <v>0</v>
      </c>
      <c r="BP2208" s="161"/>
    </row>
    <row r="2209" spans="1:68" ht="38.25">
      <c r="A2209" s="183" t="s">
        <v>482</v>
      </c>
      <c r="B2209" s="184"/>
      <c r="C2209" s="185" t="s">
        <v>10271</v>
      </c>
      <c r="D2209" s="146" t="s">
        <v>4692</v>
      </c>
      <c r="E2209" s="185" t="s">
        <v>10271</v>
      </c>
      <c r="F2209" s="188">
        <v>946954.74</v>
      </c>
      <c r="G2209" s="187">
        <v>0</v>
      </c>
      <c r="H2209" s="187"/>
      <c r="I2209" s="187">
        <v>0</v>
      </c>
      <c r="J2209" s="188">
        <f>J2210</f>
        <v>0</v>
      </c>
      <c r="K2209" s="188">
        <f>K2210</f>
        <v>0</v>
      </c>
      <c r="L2209" s="188">
        <f t="shared" si="1859"/>
        <v>0</v>
      </c>
      <c r="M2209" s="188">
        <v>0</v>
      </c>
      <c r="N2209" s="188">
        <v>0</v>
      </c>
      <c r="O2209" s="188">
        <v>0</v>
      </c>
      <c r="P2209" s="299">
        <f t="shared" ref="P2209:AS2209" si="1884">P2210</f>
        <v>0</v>
      </c>
      <c r="Q2209" s="299">
        <f t="shared" si="1884"/>
        <v>0</v>
      </c>
      <c r="R2209" s="299">
        <f t="shared" si="1884"/>
        <v>0</v>
      </c>
      <c r="S2209" s="150">
        <f t="shared" si="1806"/>
        <v>0</v>
      </c>
      <c r="T2209" s="213"/>
      <c r="U2209" s="299">
        <f t="shared" ref="U2209:W2209" si="1885">U2210</f>
        <v>0</v>
      </c>
      <c r="V2209" s="226">
        <f t="shared" si="1885"/>
        <v>0</v>
      </c>
      <c r="W2209" s="299">
        <f t="shared" si="1885"/>
        <v>0</v>
      </c>
      <c r="X2209" s="299">
        <v>0</v>
      </c>
      <c r="Y2209" s="299">
        <v>0</v>
      </c>
      <c r="Z2209" s="299">
        <v>0</v>
      </c>
      <c r="AA2209" s="299">
        <f t="shared" si="1842"/>
        <v>0</v>
      </c>
      <c r="AB2209" s="299">
        <v>0</v>
      </c>
      <c r="AC2209" s="226">
        <v>0</v>
      </c>
      <c r="AD2209" s="299">
        <f t="shared" si="1884"/>
        <v>0</v>
      </c>
      <c r="AE2209" s="299">
        <v>0</v>
      </c>
      <c r="AF2209" s="169" t="s">
        <v>4680</v>
      </c>
      <c r="AG2209" s="301">
        <v>0</v>
      </c>
      <c r="AH2209" s="226">
        <v>0</v>
      </c>
      <c r="AI2209" s="299">
        <v>0</v>
      </c>
      <c r="AJ2209" s="169">
        <f t="shared" si="1843"/>
        <v>0</v>
      </c>
      <c r="AK2209" s="301">
        <v>0</v>
      </c>
      <c r="AL2209" s="226">
        <v>0</v>
      </c>
      <c r="AM2209" s="299">
        <f t="shared" si="1884"/>
        <v>0</v>
      </c>
      <c r="AN2209" s="153">
        <f t="shared" si="1844"/>
        <v>1079971.29</v>
      </c>
      <c r="AO2209" s="154">
        <f t="shared" si="1845"/>
        <v>1079971.29</v>
      </c>
      <c r="AP2209" s="299">
        <v>0</v>
      </c>
      <c r="AQ2209" s="301">
        <v>1079971.29</v>
      </c>
      <c r="AR2209" s="226">
        <f t="shared" si="1884"/>
        <v>0</v>
      </c>
      <c r="AS2209" s="299">
        <f t="shared" si="1884"/>
        <v>1079971.29</v>
      </c>
      <c r="AT2209" s="155"/>
      <c r="AU2209" s="156">
        <f t="shared" si="1837"/>
        <v>0</v>
      </c>
      <c r="AV2209" s="156">
        <f t="shared" si="1838"/>
        <v>0</v>
      </c>
      <c r="AW2209" s="157"/>
      <c r="AX2209" s="150">
        <v>0</v>
      </c>
      <c r="AY2209" s="299">
        <f t="shared" ref="AY2209:BA2209" si="1886">AY2210</f>
        <v>0</v>
      </c>
      <c r="AZ2209" s="299">
        <f t="shared" si="1886"/>
        <v>0</v>
      </c>
      <c r="BA2209" s="299">
        <f t="shared" si="1886"/>
        <v>0</v>
      </c>
      <c r="BB2209" s="191">
        <v>5</v>
      </c>
      <c r="BC2209" s="183" t="s">
        <v>1332</v>
      </c>
      <c r="BD2209" s="183" t="s">
        <v>693</v>
      </c>
      <c r="BE2209" s="183" t="s">
        <v>693</v>
      </c>
      <c r="BF2209" s="183" t="s">
        <v>630</v>
      </c>
      <c r="BG2209" s="185" t="s">
        <v>10271</v>
      </c>
      <c r="BH2209" s="215">
        <f>BH2210</f>
        <v>1079971.29</v>
      </c>
      <c r="BI2209" s="191"/>
      <c r="BJ2209" s="183" t="s">
        <v>10272</v>
      </c>
      <c r="BK2209" s="183" t="s">
        <v>482</v>
      </c>
      <c r="BL2209" s="238" t="s">
        <v>10273</v>
      </c>
      <c r="BM2209" s="338">
        <f>BM2210</f>
        <v>1079971.29</v>
      </c>
      <c r="BN2209" s="160"/>
      <c r="BO2209" s="161">
        <f t="shared" si="1815"/>
        <v>0</v>
      </c>
      <c r="BP2209" s="161"/>
    </row>
    <row r="2210" spans="1:68" ht="25.5">
      <c r="A2210" s="194" t="s">
        <v>482</v>
      </c>
      <c r="B2210" s="195" t="s">
        <v>10274</v>
      </c>
      <c r="C2210" s="196" t="s">
        <v>10275</v>
      </c>
      <c r="D2210" s="146" t="s">
        <v>4692</v>
      </c>
      <c r="E2210" s="196" t="s">
        <v>10275</v>
      </c>
      <c r="F2210" s="150">
        <v>946954.74</v>
      </c>
      <c r="G2210" s="209">
        <v>0</v>
      </c>
      <c r="H2210" s="209">
        <v>0</v>
      </c>
      <c r="I2210" s="209">
        <v>0</v>
      </c>
      <c r="J2210" s="150">
        <v>0</v>
      </c>
      <c r="K2210" s="150">
        <v>0</v>
      </c>
      <c r="L2210" s="150">
        <f t="shared" si="1859"/>
        <v>0</v>
      </c>
      <c r="M2210" s="150">
        <v>0</v>
      </c>
      <c r="N2210" s="150"/>
      <c r="O2210" s="150">
        <v>0</v>
      </c>
      <c r="P2210" s="150">
        <v>0</v>
      </c>
      <c r="Q2210" s="150">
        <v>0</v>
      </c>
      <c r="R2210" s="150">
        <f>P2210+Q2210</f>
        <v>0</v>
      </c>
      <c r="S2210" s="150">
        <f t="shared" si="1806"/>
        <v>0</v>
      </c>
      <c r="T2210" s="150"/>
      <c r="U2210" s="150">
        <v>0</v>
      </c>
      <c r="V2210" s="199"/>
      <c r="W2210" s="150">
        <f>U2210+V2210</f>
        <v>0</v>
      </c>
      <c r="X2210" s="150">
        <v>0</v>
      </c>
      <c r="Y2210" s="150"/>
      <c r="Z2210" s="150">
        <v>0</v>
      </c>
      <c r="AA2210" s="150">
        <f t="shared" si="1842"/>
        <v>0</v>
      </c>
      <c r="AB2210" s="150">
        <v>0</v>
      </c>
      <c r="AC2210" s="199"/>
      <c r="AD2210" s="150">
        <f>AB2210+AC2210</f>
        <v>0</v>
      </c>
      <c r="AE2210" s="150">
        <v>0</v>
      </c>
      <c r="AF2210" s="169" t="s">
        <v>4680</v>
      </c>
      <c r="AG2210" s="201">
        <v>0</v>
      </c>
      <c r="AH2210" s="199"/>
      <c r="AI2210" s="150">
        <v>0</v>
      </c>
      <c r="AJ2210" s="169">
        <f t="shared" si="1843"/>
        <v>0</v>
      </c>
      <c r="AK2210" s="201">
        <v>0</v>
      </c>
      <c r="AL2210" s="199"/>
      <c r="AM2210" s="150">
        <f>AK2210+AL2210</f>
        <v>0</v>
      </c>
      <c r="AN2210" s="153">
        <f t="shared" si="1844"/>
        <v>1079971.29</v>
      </c>
      <c r="AO2210" s="154">
        <f t="shared" si="1845"/>
        <v>1079971.29</v>
      </c>
      <c r="AP2210" s="150">
        <v>0</v>
      </c>
      <c r="AQ2210" s="201">
        <v>1079971.29</v>
      </c>
      <c r="AR2210" s="199"/>
      <c r="AS2210" s="150">
        <f>AQ2210+AR2210</f>
        <v>1079971.29</v>
      </c>
      <c r="AT2210" s="155" t="s">
        <v>5489</v>
      </c>
      <c r="AU2210" s="156">
        <f t="shared" si="1837"/>
        <v>0</v>
      </c>
      <c r="AV2210" s="156">
        <f t="shared" si="1838"/>
        <v>0</v>
      </c>
      <c r="AW2210" s="157" t="s">
        <v>10276</v>
      </c>
      <c r="AX2210" s="150">
        <v>0</v>
      </c>
      <c r="AY2210" s="150">
        <v>0</v>
      </c>
      <c r="AZ2210" s="150"/>
      <c r="BA2210" s="150">
        <f>AY2210+AZ2210</f>
        <v>0</v>
      </c>
      <c r="BB2210" s="202">
        <v>5</v>
      </c>
      <c r="BC2210" s="202" t="s">
        <v>1332</v>
      </c>
      <c r="BD2210" s="202" t="s">
        <v>693</v>
      </c>
      <c r="BE2210" s="202" t="s">
        <v>693</v>
      </c>
      <c r="BF2210" s="202" t="s">
        <v>632</v>
      </c>
      <c r="BG2210" s="203" t="s">
        <v>10271</v>
      </c>
      <c r="BH2210" s="216">
        <f>AS2210</f>
        <v>1079971.29</v>
      </c>
      <c r="BI2210" s="202"/>
      <c r="BJ2210" s="194" t="s">
        <v>10272</v>
      </c>
      <c r="BK2210" s="194" t="s">
        <v>482</v>
      </c>
      <c r="BL2210" s="207" t="s">
        <v>10273</v>
      </c>
      <c r="BM2210" s="208">
        <f>BH2210</f>
        <v>1079971.29</v>
      </c>
      <c r="BN2210" s="160"/>
      <c r="BO2210" s="161">
        <f t="shared" si="1815"/>
        <v>0</v>
      </c>
      <c r="BP2210" s="161"/>
    </row>
    <row r="2211" spans="1:68" ht="38.25">
      <c r="A2211" s="183" t="s">
        <v>483</v>
      </c>
      <c r="B2211" s="184"/>
      <c r="C2211" s="185" t="s">
        <v>10277</v>
      </c>
      <c r="D2211" s="146" t="s">
        <v>4692</v>
      </c>
      <c r="E2211" s="185" t="s">
        <v>10277</v>
      </c>
      <c r="F2211" s="188">
        <v>78030.84</v>
      </c>
      <c r="G2211" s="187">
        <v>0</v>
      </c>
      <c r="H2211" s="187"/>
      <c r="I2211" s="187">
        <v>0</v>
      </c>
      <c r="J2211" s="188">
        <f>J2212</f>
        <v>0</v>
      </c>
      <c r="K2211" s="188">
        <f>K2212</f>
        <v>0</v>
      </c>
      <c r="L2211" s="188">
        <f t="shared" si="1859"/>
        <v>0</v>
      </c>
      <c r="M2211" s="188">
        <v>0</v>
      </c>
      <c r="N2211" s="188">
        <v>0</v>
      </c>
      <c r="O2211" s="188">
        <v>0</v>
      </c>
      <c r="P2211" s="299">
        <f t="shared" ref="P2211:AS2211" si="1887">P2212</f>
        <v>0</v>
      </c>
      <c r="Q2211" s="299">
        <f t="shared" si="1887"/>
        <v>0</v>
      </c>
      <c r="R2211" s="299">
        <f t="shared" si="1887"/>
        <v>0</v>
      </c>
      <c r="S2211" s="150">
        <f t="shared" si="1806"/>
        <v>0</v>
      </c>
      <c r="T2211" s="213"/>
      <c r="U2211" s="299">
        <f t="shared" ref="U2211:W2211" si="1888">U2212</f>
        <v>0</v>
      </c>
      <c r="V2211" s="226">
        <f t="shared" si="1888"/>
        <v>0</v>
      </c>
      <c r="W2211" s="299">
        <f t="shared" si="1888"/>
        <v>0</v>
      </c>
      <c r="X2211" s="299">
        <v>0</v>
      </c>
      <c r="Y2211" s="299">
        <v>0</v>
      </c>
      <c r="Z2211" s="299">
        <v>0</v>
      </c>
      <c r="AA2211" s="299">
        <f t="shared" si="1842"/>
        <v>0</v>
      </c>
      <c r="AB2211" s="299">
        <v>0</v>
      </c>
      <c r="AC2211" s="226">
        <v>0</v>
      </c>
      <c r="AD2211" s="299">
        <f t="shared" si="1887"/>
        <v>0</v>
      </c>
      <c r="AE2211" s="299">
        <v>0</v>
      </c>
      <c r="AF2211" s="169" t="s">
        <v>4680</v>
      </c>
      <c r="AG2211" s="301">
        <v>0</v>
      </c>
      <c r="AH2211" s="226">
        <v>0</v>
      </c>
      <c r="AI2211" s="299">
        <v>0</v>
      </c>
      <c r="AJ2211" s="169">
        <f t="shared" si="1843"/>
        <v>0</v>
      </c>
      <c r="AK2211" s="301">
        <v>0</v>
      </c>
      <c r="AL2211" s="226">
        <v>0</v>
      </c>
      <c r="AM2211" s="299">
        <f t="shared" si="1887"/>
        <v>0</v>
      </c>
      <c r="AN2211" s="153">
        <f t="shared" si="1844"/>
        <v>95159.27</v>
      </c>
      <c r="AO2211" s="154">
        <f t="shared" si="1845"/>
        <v>95159.27</v>
      </c>
      <c r="AP2211" s="299">
        <v>0</v>
      </c>
      <c r="AQ2211" s="301">
        <v>95159.27</v>
      </c>
      <c r="AR2211" s="226">
        <f t="shared" si="1887"/>
        <v>0</v>
      </c>
      <c r="AS2211" s="299">
        <f t="shared" si="1887"/>
        <v>95159.27</v>
      </c>
      <c r="AT2211" s="155"/>
      <c r="AU2211" s="156">
        <f t="shared" si="1837"/>
        <v>0</v>
      </c>
      <c r="AV2211" s="156">
        <f t="shared" si="1838"/>
        <v>0</v>
      </c>
      <c r="AW2211" s="157"/>
      <c r="AX2211" s="150">
        <v>0</v>
      </c>
      <c r="AY2211" s="299">
        <f t="shared" ref="AY2211:BA2211" si="1889">AY2212</f>
        <v>0</v>
      </c>
      <c r="AZ2211" s="299">
        <f t="shared" si="1889"/>
        <v>0</v>
      </c>
      <c r="BA2211" s="299">
        <f t="shared" si="1889"/>
        <v>0</v>
      </c>
      <c r="BB2211" s="191">
        <v>5</v>
      </c>
      <c r="BC2211" s="183" t="s">
        <v>1332</v>
      </c>
      <c r="BD2211" s="183" t="s">
        <v>693</v>
      </c>
      <c r="BE2211" s="183" t="s">
        <v>714</v>
      </c>
      <c r="BF2211" s="183" t="s">
        <v>630</v>
      </c>
      <c r="BG2211" s="185" t="s">
        <v>10277</v>
      </c>
      <c r="BH2211" s="215">
        <f>BH2212</f>
        <v>95159.27</v>
      </c>
      <c r="BI2211" s="191"/>
      <c r="BJ2211" s="183" t="s">
        <v>10278</v>
      </c>
      <c r="BK2211" s="183" t="s">
        <v>483</v>
      </c>
      <c r="BL2211" s="238" t="s">
        <v>10279</v>
      </c>
      <c r="BM2211" s="338">
        <f>BM2212</f>
        <v>95159.27</v>
      </c>
      <c r="BN2211" s="160"/>
      <c r="BO2211" s="161">
        <f t="shared" si="1815"/>
        <v>0</v>
      </c>
      <c r="BP2211" s="161"/>
    </row>
    <row r="2212" spans="1:68" ht="38.25">
      <c r="A2212" s="194" t="s">
        <v>483</v>
      </c>
      <c r="B2212" s="195" t="s">
        <v>10280</v>
      </c>
      <c r="C2212" s="196" t="s">
        <v>10281</v>
      </c>
      <c r="D2212" s="146" t="s">
        <v>4692</v>
      </c>
      <c r="E2212" s="196" t="s">
        <v>10281</v>
      </c>
      <c r="F2212" s="150">
        <v>78030.84</v>
      </c>
      <c r="G2212" s="209">
        <v>0</v>
      </c>
      <c r="H2212" s="209">
        <v>0</v>
      </c>
      <c r="I2212" s="209">
        <v>0</v>
      </c>
      <c r="J2212" s="150">
        <v>0</v>
      </c>
      <c r="K2212" s="150">
        <v>0</v>
      </c>
      <c r="L2212" s="150">
        <f t="shared" si="1859"/>
        <v>0</v>
      </c>
      <c r="M2212" s="150">
        <v>0</v>
      </c>
      <c r="N2212" s="150"/>
      <c r="O2212" s="150">
        <v>0</v>
      </c>
      <c r="P2212" s="150">
        <v>0</v>
      </c>
      <c r="Q2212" s="150">
        <v>0</v>
      </c>
      <c r="R2212" s="150">
        <f>P2212+Q2212</f>
        <v>0</v>
      </c>
      <c r="S2212" s="150">
        <f t="shared" si="1806"/>
        <v>0</v>
      </c>
      <c r="T2212" s="150"/>
      <c r="U2212" s="150">
        <v>0</v>
      </c>
      <c r="V2212" s="199"/>
      <c r="W2212" s="150">
        <f>U2212+V2212</f>
        <v>0</v>
      </c>
      <c r="X2212" s="150">
        <v>0</v>
      </c>
      <c r="Y2212" s="150"/>
      <c r="Z2212" s="150">
        <v>0</v>
      </c>
      <c r="AA2212" s="150">
        <f t="shared" si="1842"/>
        <v>0</v>
      </c>
      <c r="AB2212" s="150">
        <v>0</v>
      </c>
      <c r="AC2212" s="199"/>
      <c r="AD2212" s="150">
        <f>AB2212+AC2212</f>
        <v>0</v>
      </c>
      <c r="AE2212" s="150">
        <v>0</v>
      </c>
      <c r="AF2212" s="169" t="s">
        <v>4680</v>
      </c>
      <c r="AG2212" s="201">
        <v>0</v>
      </c>
      <c r="AH2212" s="199"/>
      <c r="AI2212" s="150">
        <v>0</v>
      </c>
      <c r="AJ2212" s="169">
        <f t="shared" si="1843"/>
        <v>0</v>
      </c>
      <c r="AK2212" s="201">
        <v>0</v>
      </c>
      <c r="AL2212" s="199"/>
      <c r="AM2212" s="150">
        <f>AK2212+AL2212</f>
        <v>0</v>
      </c>
      <c r="AN2212" s="153">
        <f t="shared" si="1844"/>
        <v>95159.27</v>
      </c>
      <c r="AO2212" s="154">
        <f t="shared" si="1845"/>
        <v>95159.27</v>
      </c>
      <c r="AP2212" s="150">
        <v>0</v>
      </c>
      <c r="AQ2212" s="201">
        <v>95159.27</v>
      </c>
      <c r="AR2212" s="199"/>
      <c r="AS2212" s="150">
        <f>AQ2212+AR2212</f>
        <v>95159.27</v>
      </c>
      <c r="AT2212" s="155" t="s">
        <v>5489</v>
      </c>
      <c r="AU2212" s="156">
        <f t="shared" si="1837"/>
        <v>0</v>
      </c>
      <c r="AV2212" s="156">
        <f t="shared" si="1838"/>
        <v>0</v>
      </c>
      <c r="AW2212" s="157" t="s">
        <v>10276</v>
      </c>
      <c r="AX2212" s="150">
        <v>0</v>
      </c>
      <c r="AY2212" s="150">
        <v>0</v>
      </c>
      <c r="AZ2212" s="150"/>
      <c r="BA2212" s="150">
        <f>AY2212+AZ2212</f>
        <v>0</v>
      </c>
      <c r="BB2212" s="202">
        <v>5</v>
      </c>
      <c r="BC2212" s="202" t="s">
        <v>1332</v>
      </c>
      <c r="BD2212" s="202" t="s">
        <v>693</v>
      </c>
      <c r="BE2212" s="202" t="s">
        <v>714</v>
      </c>
      <c r="BF2212" s="202" t="s">
        <v>632</v>
      </c>
      <c r="BG2212" s="203" t="s">
        <v>10277</v>
      </c>
      <c r="BH2212" s="216">
        <f>AS2212</f>
        <v>95159.27</v>
      </c>
      <c r="BI2212" s="202"/>
      <c r="BJ2212" s="194" t="s">
        <v>10278</v>
      </c>
      <c r="BK2212" s="194" t="s">
        <v>483</v>
      </c>
      <c r="BL2212" s="207" t="s">
        <v>10279</v>
      </c>
      <c r="BM2212" s="208">
        <f>BH2212</f>
        <v>95159.27</v>
      </c>
      <c r="BN2212" s="160"/>
      <c r="BO2212" s="161">
        <f t="shared" si="1815"/>
        <v>0</v>
      </c>
      <c r="BP2212" s="161"/>
    </row>
    <row r="2213" spans="1:68" ht="25.5">
      <c r="A2213" s="183" t="s">
        <v>484</v>
      </c>
      <c r="B2213" s="184"/>
      <c r="C2213" s="185" t="s">
        <v>10282</v>
      </c>
      <c r="D2213" s="146" t="s">
        <v>4692</v>
      </c>
      <c r="E2213" s="185" t="s">
        <v>10282</v>
      </c>
      <c r="F2213" s="188">
        <v>0</v>
      </c>
      <c r="G2213" s="187">
        <v>0</v>
      </c>
      <c r="H2213" s="187"/>
      <c r="I2213" s="187">
        <v>0</v>
      </c>
      <c r="J2213" s="188">
        <f>J2214</f>
        <v>0</v>
      </c>
      <c r="K2213" s="188">
        <f>K2214</f>
        <v>0</v>
      </c>
      <c r="L2213" s="188">
        <f t="shared" si="1859"/>
        <v>0</v>
      </c>
      <c r="M2213" s="188">
        <v>0</v>
      </c>
      <c r="N2213" s="188">
        <v>0</v>
      </c>
      <c r="O2213" s="188">
        <v>0</v>
      </c>
      <c r="P2213" s="299">
        <f t="shared" ref="P2213:AS2213" si="1890">P2214</f>
        <v>0</v>
      </c>
      <c r="Q2213" s="299">
        <f t="shared" si="1890"/>
        <v>0</v>
      </c>
      <c r="R2213" s="299">
        <f t="shared" si="1890"/>
        <v>0</v>
      </c>
      <c r="S2213" s="150">
        <f t="shared" si="1806"/>
        <v>0</v>
      </c>
      <c r="T2213" s="213"/>
      <c r="U2213" s="299">
        <f t="shared" ref="U2213:W2213" si="1891">U2214</f>
        <v>0</v>
      </c>
      <c r="V2213" s="226">
        <f t="shared" si="1891"/>
        <v>0</v>
      </c>
      <c r="W2213" s="299">
        <f t="shared" si="1891"/>
        <v>0</v>
      </c>
      <c r="X2213" s="299">
        <v>0</v>
      </c>
      <c r="Y2213" s="299">
        <v>0</v>
      </c>
      <c r="Z2213" s="299">
        <v>0</v>
      </c>
      <c r="AA2213" s="299">
        <f t="shared" si="1842"/>
        <v>0</v>
      </c>
      <c r="AB2213" s="299">
        <v>0</v>
      </c>
      <c r="AC2213" s="226">
        <v>0</v>
      </c>
      <c r="AD2213" s="299">
        <f t="shared" si="1890"/>
        <v>0</v>
      </c>
      <c r="AE2213" s="299">
        <v>0</v>
      </c>
      <c r="AF2213" s="169" t="s">
        <v>4680</v>
      </c>
      <c r="AG2213" s="301">
        <v>0</v>
      </c>
      <c r="AH2213" s="226">
        <v>0</v>
      </c>
      <c r="AI2213" s="299">
        <v>0</v>
      </c>
      <c r="AJ2213" s="169">
        <f t="shared" si="1843"/>
        <v>0</v>
      </c>
      <c r="AK2213" s="301">
        <v>0</v>
      </c>
      <c r="AL2213" s="226">
        <v>0</v>
      </c>
      <c r="AM2213" s="299">
        <f t="shared" si="1890"/>
        <v>0</v>
      </c>
      <c r="AN2213" s="153">
        <f t="shared" si="1844"/>
        <v>1665783.13</v>
      </c>
      <c r="AO2213" s="154">
        <f t="shared" si="1845"/>
        <v>1665783.13</v>
      </c>
      <c r="AP2213" s="299">
        <v>0</v>
      </c>
      <c r="AQ2213" s="301">
        <v>1665783.13</v>
      </c>
      <c r="AR2213" s="226">
        <f t="shared" si="1890"/>
        <v>0</v>
      </c>
      <c r="AS2213" s="299">
        <f t="shared" si="1890"/>
        <v>1665783.13</v>
      </c>
      <c r="AT2213" s="155"/>
      <c r="AU2213" s="156">
        <f t="shared" si="1837"/>
        <v>0</v>
      </c>
      <c r="AV2213" s="156">
        <f t="shared" si="1838"/>
        <v>0</v>
      </c>
      <c r="AW2213" s="157"/>
      <c r="AX2213" s="150">
        <v>0</v>
      </c>
      <c r="AY2213" s="299">
        <f t="shared" ref="AY2213:BA2213" si="1892">AY2214</f>
        <v>0</v>
      </c>
      <c r="AZ2213" s="299">
        <f t="shared" si="1892"/>
        <v>0</v>
      </c>
      <c r="BA2213" s="299">
        <f t="shared" si="1892"/>
        <v>0</v>
      </c>
      <c r="BB2213" s="191">
        <v>5</v>
      </c>
      <c r="BC2213" s="183" t="s">
        <v>1332</v>
      </c>
      <c r="BD2213" s="183" t="s">
        <v>693</v>
      </c>
      <c r="BE2213" s="183" t="s">
        <v>739</v>
      </c>
      <c r="BF2213" s="183" t="s">
        <v>630</v>
      </c>
      <c r="BG2213" s="185" t="s">
        <v>10282</v>
      </c>
      <c r="BH2213" s="215">
        <f>BH2214</f>
        <v>1665783.13</v>
      </c>
      <c r="BI2213" s="191"/>
      <c r="BJ2213" s="183" t="s">
        <v>10283</v>
      </c>
      <c r="BK2213" s="183" t="s">
        <v>484</v>
      </c>
      <c r="BL2213" s="238" t="s">
        <v>10284</v>
      </c>
      <c r="BM2213" s="338">
        <f>BM2214</f>
        <v>1665783.13</v>
      </c>
      <c r="BN2213" s="160"/>
      <c r="BO2213" s="161">
        <f t="shared" si="1815"/>
        <v>0</v>
      </c>
      <c r="BP2213" s="161"/>
    </row>
    <row r="2214" spans="1:68" ht="25.5">
      <c r="A2214" s="194" t="s">
        <v>484</v>
      </c>
      <c r="B2214" s="195" t="s">
        <v>10285</v>
      </c>
      <c r="C2214" s="196" t="s">
        <v>10286</v>
      </c>
      <c r="D2214" s="146" t="s">
        <v>4692</v>
      </c>
      <c r="E2214" s="196" t="s">
        <v>10286</v>
      </c>
      <c r="F2214" s="150">
        <v>0</v>
      </c>
      <c r="G2214" s="209">
        <v>0</v>
      </c>
      <c r="H2214" s="209">
        <v>0</v>
      </c>
      <c r="I2214" s="209">
        <v>0</v>
      </c>
      <c r="J2214" s="150">
        <v>0</v>
      </c>
      <c r="K2214" s="150">
        <v>0</v>
      </c>
      <c r="L2214" s="150">
        <f t="shared" si="1859"/>
        <v>0</v>
      </c>
      <c r="M2214" s="150">
        <v>0</v>
      </c>
      <c r="N2214" s="150"/>
      <c r="O2214" s="150">
        <v>0</v>
      </c>
      <c r="P2214" s="150">
        <v>0</v>
      </c>
      <c r="Q2214" s="150">
        <v>0</v>
      </c>
      <c r="R2214" s="150">
        <f>P2214+Q2214</f>
        <v>0</v>
      </c>
      <c r="S2214" s="150">
        <f t="shared" si="1806"/>
        <v>0</v>
      </c>
      <c r="T2214" s="150"/>
      <c r="U2214" s="150">
        <v>0</v>
      </c>
      <c r="V2214" s="199"/>
      <c r="W2214" s="150">
        <f>U2214+V2214</f>
        <v>0</v>
      </c>
      <c r="X2214" s="150">
        <v>0</v>
      </c>
      <c r="Y2214" s="150"/>
      <c r="Z2214" s="150">
        <v>0</v>
      </c>
      <c r="AA2214" s="150">
        <f t="shared" si="1842"/>
        <v>0</v>
      </c>
      <c r="AB2214" s="150">
        <v>0</v>
      </c>
      <c r="AC2214" s="199"/>
      <c r="AD2214" s="150">
        <f>AB2214+AC2214</f>
        <v>0</v>
      </c>
      <c r="AE2214" s="150">
        <v>0</v>
      </c>
      <c r="AF2214" s="169" t="s">
        <v>4680</v>
      </c>
      <c r="AG2214" s="201">
        <v>0</v>
      </c>
      <c r="AH2214" s="199"/>
      <c r="AI2214" s="150">
        <v>0</v>
      </c>
      <c r="AJ2214" s="169">
        <f t="shared" si="1843"/>
        <v>0</v>
      </c>
      <c r="AK2214" s="201">
        <v>0</v>
      </c>
      <c r="AL2214" s="199"/>
      <c r="AM2214" s="150">
        <f>AK2214+AL2214</f>
        <v>0</v>
      </c>
      <c r="AN2214" s="153">
        <f t="shared" si="1844"/>
        <v>1665783.13</v>
      </c>
      <c r="AO2214" s="154">
        <f t="shared" si="1845"/>
        <v>1665783.13</v>
      </c>
      <c r="AP2214" s="150">
        <v>0</v>
      </c>
      <c r="AQ2214" s="201">
        <v>1665783.13</v>
      </c>
      <c r="AR2214" s="199"/>
      <c r="AS2214" s="150">
        <f>AQ2214+AR2214</f>
        <v>1665783.13</v>
      </c>
      <c r="AT2214" s="155" t="s">
        <v>5489</v>
      </c>
      <c r="AU2214" s="156">
        <f t="shared" si="1837"/>
        <v>0</v>
      </c>
      <c r="AV2214" s="156">
        <f t="shared" si="1838"/>
        <v>0</v>
      </c>
      <c r="AW2214" s="157" t="s">
        <v>10276</v>
      </c>
      <c r="AX2214" s="150">
        <v>0</v>
      </c>
      <c r="AY2214" s="150">
        <v>0</v>
      </c>
      <c r="AZ2214" s="150"/>
      <c r="BA2214" s="150">
        <f>AY2214+AZ2214</f>
        <v>0</v>
      </c>
      <c r="BB2214" s="202">
        <v>5</v>
      </c>
      <c r="BC2214" s="202" t="s">
        <v>1332</v>
      </c>
      <c r="BD2214" s="202" t="s">
        <v>693</v>
      </c>
      <c r="BE2214" s="202" t="s">
        <v>739</v>
      </c>
      <c r="BF2214" s="202" t="s">
        <v>632</v>
      </c>
      <c r="BG2214" s="203" t="s">
        <v>10282</v>
      </c>
      <c r="BH2214" s="216">
        <f>AS2214</f>
        <v>1665783.13</v>
      </c>
      <c r="BI2214" s="202"/>
      <c r="BJ2214" s="194" t="s">
        <v>10283</v>
      </c>
      <c r="BK2214" s="194" t="s">
        <v>484</v>
      </c>
      <c r="BL2214" s="207" t="s">
        <v>10284</v>
      </c>
      <c r="BM2214" s="208">
        <f>BH2214</f>
        <v>1665783.13</v>
      </c>
      <c r="BN2214" s="160"/>
      <c r="BO2214" s="161">
        <f t="shared" si="1815"/>
        <v>0</v>
      </c>
      <c r="BP2214" s="161"/>
    </row>
    <row r="2215" spans="1:68" ht="25.5">
      <c r="A2215" s="183" t="s">
        <v>10287</v>
      </c>
      <c r="B2215" s="184"/>
      <c r="C2215" s="185" t="s">
        <v>10288</v>
      </c>
      <c r="D2215" s="146" t="s">
        <v>4692</v>
      </c>
      <c r="E2215" s="185" t="s">
        <v>10288</v>
      </c>
      <c r="F2215" s="188">
        <v>0</v>
      </c>
      <c r="G2215" s="187">
        <v>0</v>
      </c>
      <c r="H2215" s="187"/>
      <c r="I2215" s="187">
        <v>0</v>
      </c>
      <c r="J2215" s="188">
        <f>J2216</f>
        <v>0</v>
      </c>
      <c r="K2215" s="188">
        <f>K2216</f>
        <v>0</v>
      </c>
      <c r="L2215" s="188">
        <f t="shared" si="1859"/>
        <v>0</v>
      </c>
      <c r="M2215" s="188">
        <v>0</v>
      </c>
      <c r="N2215" s="188">
        <v>0</v>
      </c>
      <c r="O2215" s="188">
        <v>0</v>
      </c>
      <c r="P2215" s="299">
        <f t="shared" ref="P2215:AS2215" si="1893">P2216</f>
        <v>0</v>
      </c>
      <c r="Q2215" s="299">
        <f t="shared" si="1893"/>
        <v>0</v>
      </c>
      <c r="R2215" s="299">
        <f t="shared" si="1893"/>
        <v>0</v>
      </c>
      <c r="S2215" s="150">
        <f t="shared" si="1806"/>
        <v>0</v>
      </c>
      <c r="T2215" s="213"/>
      <c r="U2215" s="299">
        <f t="shared" ref="U2215:W2215" si="1894">U2216</f>
        <v>0</v>
      </c>
      <c r="V2215" s="226">
        <f t="shared" si="1894"/>
        <v>0</v>
      </c>
      <c r="W2215" s="299">
        <f t="shared" si="1894"/>
        <v>0</v>
      </c>
      <c r="X2215" s="299">
        <v>0</v>
      </c>
      <c r="Y2215" s="299">
        <v>0</v>
      </c>
      <c r="Z2215" s="299">
        <v>0</v>
      </c>
      <c r="AA2215" s="299">
        <f t="shared" si="1842"/>
        <v>0</v>
      </c>
      <c r="AB2215" s="299">
        <v>0</v>
      </c>
      <c r="AC2215" s="226">
        <v>0</v>
      </c>
      <c r="AD2215" s="299">
        <f t="shared" si="1893"/>
        <v>0</v>
      </c>
      <c r="AE2215" s="299">
        <v>0</v>
      </c>
      <c r="AF2215" s="169" t="s">
        <v>4680</v>
      </c>
      <c r="AG2215" s="301">
        <v>0</v>
      </c>
      <c r="AH2215" s="226">
        <v>0</v>
      </c>
      <c r="AI2215" s="299">
        <v>0</v>
      </c>
      <c r="AJ2215" s="169">
        <f t="shared" si="1843"/>
        <v>0</v>
      </c>
      <c r="AK2215" s="301">
        <v>0</v>
      </c>
      <c r="AL2215" s="226">
        <v>0</v>
      </c>
      <c r="AM2215" s="299">
        <f t="shared" si="1893"/>
        <v>0</v>
      </c>
      <c r="AN2215" s="153">
        <f t="shared" si="1844"/>
        <v>0</v>
      </c>
      <c r="AO2215" s="154">
        <f t="shared" si="1845"/>
        <v>0</v>
      </c>
      <c r="AP2215" s="299">
        <v>0</v>
      </c>
      <c r="AQ2215" s="301">
        <v>0</v>
      </c>
      <c r="AR2215" s="226">
        <f t="shared" si="1893"/>
        <v>0</v>
      </c>
      <c r="AS2215" s="299">
        <f t="shared" si="1893"/>
        <v>0</v>
      </c>
      <c r="AT2215" s="155"/>
      <c r="AU2215" s="156">
        <f t="shared" si="1837"/>
        <v>0</v>
      </c>
      <c r="AV2215" s="156">
        <f t="shared" si="1838"/>
        <v>0</v>
      </c>
      <c r="AW2215" s="157"/>
      <c r="AX2215" s="150">
        <v>0</v>
      </c>
      <c r="AY2215" s="299">
        <f t="shared" ref="AY2215:BA2215" si="1895">AY2216</f>
        <v>0</v>
      </c>
      <c r="AZ2215" s="299">
        <f t="shared" si="1895"/>
        <v>0</v>
      </c>
      <c r="BA2215" s="299">
        <f t="shared" si="1895"/>
        <v>0</v>
      </c>
      <c r="BB2215" s="191">
        <v>5</v>
      </c>
      <c r="BC2215" s="183" t="s">
        <v>1332</v>
      </c>
      <c r="BD2215" s="183" t="s">
        <v>693</v>
      </c>
      <c r="BE2215" s="183" t="s">
        <v>766</v>
      </c>
      <c r="BF2215" s="183" t="s">
        <v>630</v>
      </c>
      <c r="BG2215" s="185" t="s">
        <v>10288</v>
      </c>
      <c r="BH2215" s="215">
        <f>BH2216</f>
        <v>0</v>
      </c>
      <c r="BI2215" s="191"/>
      <c r="BJ2215" s="183" t="s">
        <v>10289</v>
      </c>
      <c r="BK2215" s="183" t="s">
        <v>10287</v>
      </c>
      <c r="BL2215" s="238" t="s">
        <v>10290</v>
      </c>
      <c r="BM2215" s="338">
        <f>BM2216</f>
        <v>0</v>
      </c>
      <c r="BN2215" s="160"/>
      <c r="BO2215" s="161">
        <f t="shared" si="1815"/>
        <v>0</v>
      </c>
      <c r="BP2215" s="161"/>
    </row>
    <row r="2216" spans="1:68" ht="25.5">
      <c r="A2216" s="194" t="s">
        <v>10287</v>
      </c>
      <c r="B2216" s="195" t="s">
        <v>10291</v>
      </c>
      <c r="C2216" s="196" t="s">
        <v>10288</v>
      </c>
      <c r="D2216" s="146" t="s">
        <v>4692</v>
      </c>
      <c r="E2216" s="196" t="s">
        <v>10288</v>
      </c>
      <c r="F2216" s="150">
        <v>0</v>
      </c>
      <c r="G2216" s="209">
        <v>0</v>
      </c>
      <c r="H2216" s="209">
        <v>0</v>
      </c>
      <c r="I2216" s="209">
        <v>0</v>
      </c>
      <c r="J2216" s="150">
        <v>0</v>
      </c>
      <c r="K2216" s="150">
        <v>0</v>
      </c>
      <c r="L2216" s="150">
        <f t="shared" si="1859"/>
        <v>0</v>
      </c>
      <c r="M2216" s="150">
        <v>0</v>
      </c>
      <c r="N2216" s="150"/>
      <c r="O2216" s="150">
        <v>0</v>
      </c>
      <c r="P2216" s="150">
        <v>0</v>
      </c>
      <c r="Q2216" s="150">
        <v>0</v>
      </c>
      <c r="R2216" s="150">
        <f>P2216+Q2216</f>
        <v>0</v>
      </c>
      <c r="S2216" s="150">
        <f t="shared" si="1806"/>
        <v>0</v>
      </c>
      <c r="T2216" s="150"/>
      <c r="U2216" s="150">
        <v>0</v>
      </c>
      <c r="V2216" s="199"/>
      <c r="W2216" s="150">
        <f>U2216+V2216</f>
        <v>0</v>
      </c>
      <c r="X2216" s="150">
        <v>0</v>
      </c>
      <c r="Y2216" s="150"/>
      <c r="Z2216" s="150">
        <v>0</v>
      </c>
      <c r="AA2216" s="150">
        <f t="shared" si="1842"/>
        <v>0</v>
      </c>
      <c r="AB2216" s="150">
        <v>0</v>
      </c>
      <c r="AC2216" s="199"/>
      <c r="AD2216" s="150">
        <f>AB2216+AC2216</f>
        <v>0</v>
      </c>
      <c r="AE2216" s="150">
        <v>0</v>
      </c>
      <c r="AF2216" s="169" t="s">
        <v>4680</v>
      </c>
      <c r="AG2216" s="201">
        <v>0</v>
      </c>
      <c r="AH2216" s="199"/>
      <c r="AI2216" s="150">
        <v>0</v>
      </c>
      <c r="AJ2216" s="169">
        <f t="shared" si="1843"/>
        <v>0</v>
      </c>
      <c r="AK2216" s="201">
        <v>0</v>
      </c>
      <c r="AL2216" s="199"/>
      <c r="AM2216" s="150">
        <f>AK2216+AL2216</f>
        <v>0</v>
      </c>
      <c r="AN2216" s="153">
        <f t="shared" si="1844"/>
        <v>0</v>
      </c>
      <c r="AO2216" s="154">
        <f t="shared" si="1845"/>
        <v>0</v>
      </c>
      <c r="AP2216" s="150">
        <v>0</v>
      </c>
      <c r="AQ2216" s="201">
        <v>0</v>
      </c>
      <c r="AR2216" s="199"/>
      <c r="AS2216" s="150">
        <f>AQ2216+AR2216</f>
        <v>0</v>
      </c>
      <c r="AT2216" s="155"/>
      <c r="AU2216" s="156">
        <f t="shared" si="1837"/>
        <v>0</v>
      </c>
      <c r="AV2216" s="156">
        <f t="shared" si="1838"/>
        <v>0</v>
      </c>
      <c r="AW2216" s="157"/>
      <c r="AX2216" s="150">
        <v>0</v>
      </c>
      <c r="AY2216" s="150">
        <v>0</v>
      </c>
      <c r="AZ2216" s="150"/>
      <c r="BA2216" s="150">
        <f>AY2216+AZ2216</f>
        <v>0</v>
      </c>
      <c r="BB2216" s="202">
        <v>5</v>
      </c>
      <c r="BC2216" s="202" t="s">
        <v>1332</v>
      </c>
      <c r="BD2216" s="202" t="s">
        <v>693</v>
      </c>
      <c r="BE2216" s="194" t="s">
        <v>766</v>
      </c>
      <c r="BF2216" s="202" t="s">
        <v>632</v>
      </c>
      <c r="BG2216" s="203" t="s">
        <v>10288</v>
      </c>
      <c r="BH2216" s="216">
        <f>AS2216</f>
        <v>0</v>
      </c>
      <c r="BI2216" s="202"/>
      <c r="BJ2216" s="194" t="s">
        <v>10289</v>
      </c>
      <c r="BK2216" s="194" t="s">
        <v>10287</v>
      </c>
      <c r="BL2216" s="207" t="s">
        <v>10290</v>
      </c>
      <c r="BM2216" s="208">
        <f>BH2216</f>
        <v>0</v>
      </c>
      <c r="BN2216" s="160"/>
      <c r="BO2216" s="161">
        <f t="shared" si="1815"/>
        <v>0</v>
      </c>
      <c r="BP2216" s="161"/>
    </row>
    <row r="2217" spans="1:68" ht="25.5">
      <c r="A2217" s="183" t="s">
        <v>10292</v>
      </c>
      <c r="B2217" s="184"/>
      <c r="C2217" s="185" t="s">
        <v>10293</v>
      </c>
      <c r="D2217" s="146" t="s">
        <v>4692</v>
      </c>
      <c r="E2217" s="185" t="s">
        <v>10293</v>
      </c>
      <c r="F2217" s="188">
        <v>0</v>
      </c>
      <c r="G2217" s="187">
        <v>0</v>
      </c>
      <c r="H2217" s="187"/>
      <c r="I2217" s="187">
        <v>0</v>
      </c>
      <c r="J2217" s="188">
        <f>J2218</f>
        <v>0</v>
      </c>
      <c r="K2217" s="188">
        <f>K2218</f>
        <v>0</v>
      </c>
      <c r="L2217" s="188">
        <f t="shared" si="1859"/>
        <v>0</v>
      </c>
      <c r="M2217" s="188">
        <v>0</v>
      </c>
      <c r="N2217" s="188">
        <v>0</v>
      </c>
      <c r="O2217" s="188">
        <v>0</v>
      </c>
      <c r="P2217" s="299">
        <f t="shared" ref="P2217:AS2217" si="1896">P2218</f>
        <v>0</v>
      </c>
      <c r="Q2217" s="299">
        <f t="shared" si="1896"/>
        <v>0</v>
      </c>
      <c r="R2217" s="299">
        <f t="shared" si="1896"/>
        <v>0</v>
      </c>
      <c r="S2217" s="150">
        <f t="shared" si="1806"/>
        <v>0</v>
      </c>
      <c r="T2217" s="213"/>
      <c r="U2217" s="299">
        <f t="shared" ref="U2217:W2217" si="1897">U2218</f>
        <v>0</v>
      </c>
      <c r="V2217" s="226">
        <f t="shared" si="1897"/>
        <v>0</v>
      </c>
      <c r="W2217" s="299">
        <f t="shared" si="1897"/>
        <v>0</v>
      </c>
      <c r="X2217" s="299">
        <v>0</v>
      </c>
      <c r="Y2217" s="299">
        <v>0</v>
      </c>
      <c r="Z2217" s="299">
        <v>0</v>
      </c>
      <c r="AA2217" s="299">
        <f t="shared" si="1842"/>
        <v>0</v>
      </c>
      <c r="AB2217" s="299">
        <v>0</v>
      </c>
      <c r="AC2217" s="226">
        <v>0</v>
      </c>
      <c r="AD2217" s="299">
        <f t="shared" si="1896"/>
        <v>0</v>
      </c>
      <c r="AE2217" s="299">
        <v>0</v>
      </c>
      <c r="AF2217" s="169" t="s">
        <v>4680</v>
      </c>
      <c r="AG2217" s="301">
        <v>0</v>
      </c>
      <c r="AH2217" s="226">
        <v>0</v>
      </c>
      <c r="AI2217" s="299">
        <v>0</v>
      </c>
      <c r="AJ2217" s="169">
        <f t="shared" si="1843"/>
        <v>0</v>
      </c>
      <c r="AK2217" s="301">
        <v>0</v>
      </c>
      <c r="AL2217" s="226">
        <v>0</v>
      </c>
      <c r="AM2217" s="299">
        <f t="shared" si="1896"/>
        <v>0</v>
      </c>
      <c r="AN2217" s="153">
        <f t="shared" si="1844"/>
        <v>0</v>
      </c>
      <c r="AO2217" s="154">
        <f t="shared" si="1845"/>
        <v>0</v>
      </c>
      <c r="AP2217" s="299">
        <v>0</v>
      </c>
      <c r="AQ2217" s="301">
        <v>0</v>
      </c>
      <c r="AR2217" s="226">
        <f t="shared" si="1896"/>
        <v>0</v>
      </c>
      <c r="AS2217" s="299">
        <f t="shared" si="1896"/>
        <v>0</v>
      </c>
      <c r="AT2217" s="155"/>
      <c r="AU2217" s="156">
        <f t="shared" si="1837"/>
        <v>0</v>
      </c>
      <c r="AV2217" s="156">
        <f t="shared" si="1838"/>
        <v>0</v>
      </c>
      <c r="AW2217" s="157"/>
      <c r="AX2217" s="150">
        <v>0</v>
      </c>
      <c r="AY2217" s="299">
        <f t="shared" ref="AY2217:BA2217" si="1898">AY2218</f>
        <v>0</v>
      </c>
      <c r="AZ2217" s="299">
        <f t="shared" si="1898"/>
        <v>0</v>
      </c>
      <c r="BA2217" s="299">
        <f t="shared" si="1898"/>
        <v>0</v>
      </c>
      <c r="BB2217" s="191">
        <v>5</v>
      </c>
      <c r="BC2217" s="183" t="s">
        <v>1332</v>
      </c>
      <c r="BD2217" s="183" t="s">
        <v>693</v>
      </c>
      <c r="BE2217" s="183" t="s">
        <v>779</v>
      </c>
      <c r="BF2217" s="183" t="s">
        <v>630</v>
      </c>
      <c r="BG2217" s="185" t="s">
        <v>10293</v>
      </c>
      <c r="BH2217" s="215">
        <f>BH2218</f>
        <v>0</v>
      </c>
      <c r="BI2217" s="191"/>
      <c r="BJ2217" s="183" t="s">
        <v>10294</v>
      </c>
      <c r="BK2217" s="183" t="s">
        <v>10292</v>
      </c>
      <c r="BL2217" s="238" t="s">
        <v>10295</v>
      </c>
      <c r="BM2217" s="338">
        <f>BM2218</f>
        <v>0</v>
      </c>
      <c r="BN2217" s="160"/>
      <c r="BO2217" s="161">
        <f t="shared" si="1815"/>
        <v>0</v>
      </c>
      <c r="BP2217" s="161"/>
    </row>
    <row r="2218" spans="1:68" ht="25.5">
      <c r="A2218" s="194" t="s">
        <v>10292</v>
      </c>
      <c r="B2218" s="195" t="s">
        <v>10296</v>
      </c>
      <c r="C2218" s="196" t="s">
        <v>10293</v>
      </c>
      <c r="D2218" s="146" t="s">
        <v>4692</v>
      </c>
      <c r="E2218" s="196" t="s">
        <v>10293</v>
      </c>
      <c r="F2218" s="150">
        <v>0</v>
      </c>
      <c r="G2218" s="209">
        <v>0</v>
      </c>
      <c r="H2218" s="209">
        <v>0</v>
      </c>
      <c r="I2218" s="209">
        <v>0</v>
      </c>
      <c r="J2218" s="150">
        <v>0</v>
      </c>
      <c r="K2218" s="150">
        <v>0</v>
      </c>
      <c r="L2218" s="150">
        <f t="shared" si="1859"/>
        <v>0</v>
      </c>
      <c r="M2218" s="150">
        <v>0</v>
      </c>
      <c r="N2218" s="150"/>
      <c r="O2218" s="150">
        <v>0</v>
      </c>
      <c r="P2218" s="150">
        <v>0</v>
      </c>
      <c r="Q2218" s="150">
        <v>0</v>
      </c>
      <c r="R2218" s="150">
        <f>P2218+Q2218</f>
        <v>0</v>
      </c>
      <c r="S2218" s="150">
        <f t="shared" si="1806"/>
        <v>0</v>
      </c>
      <c r="T2218" s="150"/>
      <c r="U2218" s="150">
        <v>0</v>
      </c>
      <c r="V2218" s="199"/>
      <c r="W2218" s="150">
        <f>U2218+V2218</f>
        <v>0</v>
      </c>
      <c r="X2218" s="150">
        <v>0</v>
      </c>
      <c r="Y2218" s="150"/>
      <c r="Z2218" s="150">
        <v>0</v>
      </c>
      <c r="AA2218" s="150">
        <f t="shared" si="1842"/>
        <v>0</v>
      </c>
      <c r="AB2218" s="150">
        <v>0</v>
      </c>
      <c r="AC2218" s="199"/>
      <c r="AD2218" s="150">
        <f>AB2218+AC2218</f>
        <v>0</v>
      </c>
      <c r="AE2218" s="150">
        <v>0</v>
      </c>
      <c r="AF2218" s="169" t="s">
        <v>4680</v>
      </c>
      <c r="AG2218" s="201">
        <v>0</v>
      </c>
      <c r="AH2218" s="199"/>
      <c r="AI2218" s="150">
        <v>0</v>
      </c>
      <c r="AJ2218" s="169">
        <f t="shared" si="1843"/>
        <v>0</v>
      </c>
      <c r="AK2218" s="201">
        <v>0</v>
      </c>
      <c r="AL2218" s="199"/>
      <c r="AM2218" s="150">
        <f>AK2218+AL2218</f>
        <v>0</v>
      </c>
      <c r="AN2218" s="153">
        <f t="shared" si="1844"/>
        <v>0</v>
      </c>
      <c r="AO2218" s="154">
        <f t="shared" si="1845"/>
        <v>0</v>
      </c>
      <c r="AP2218" s="150">
        <v>0</v>
      </c>
      <c r="AQ2218" s="201">
        <v>0</v>
      </c>
      <c r="AR2218" s="199"/>
      <c r="AS2218" s="150">
        <f>AQ2218+AR2218</f>
        <v>0</v>
      </c>
      <c r="AT2218" s="155"/>
      <c r="AU2218" s="156">
        <f t="shared" si="1837"/>
        <v>0</v>
      </c>
      <c r="AV2218" s="156">
        <f t="shared" si="1838"/>
        <v>0</v>
      </c>
      <c r="AW2218" s="157"/>
      <c r="AX2218" s="150">
        <v>0</v>
      </c>
      <c r="AY2218" s="150">
        <v>0</v>
      </c>
      <c r="AZ2218" s="150"/>
      <c r="BA2218" s="150">
        <f>AY2218+AZ2218</f>
        <v>0</v>
      </c>
      <c r="BB2218" s="202">
        <v>5</v>
      </c>
      <c r="BC2218" s="202" t="s">
        <v>1332</v>
      </c>
      <c r="BD2218" s="202" t="s">
        <v>693</v>
      </c>
      <c r="BE2218" s="194" t="s">
        <v>779</v>
      </c>
      <c r="BF2218" s="202" t="s">
        <v>632</v>
      </c>
      <c r="BG2218" s="203" t="s">
        <v>10293</v>
      </c>
      <c r="BH2218" s="216">
        <f>AS2218</f>
        <v>0</v>
      </c>
      <c r="BI2218" s="202"/>
      <c r="BJ2218" s="194" t="s">
        <v>10294</v>
      </c>
      <c r="BK2218" s="194" t="s">
        <v>10292</v>
      </c>
      <c r="BL2218" s="207" t="s">
        <v>10295</v>
      </c>
      <c r="BM2218" s="208">
        <f>BH2218</f>
        <v>0</v>
      </c>
      <c r="BN2218" s="160"/>
      <c r="BO2218" s="161">
        <f t="shared" si="1815"/>
        <v>0</v>
      </c>
      <c r="BP2218" s="161"/>
    </row>
    <row r="2219" spans="1:68" ht="25.5">
      <c r="A2219" s="183" t="s">
        <v>10297</v>
      </c>
      <c r="B2219" s="184"/>
      <c r="C2219" s="185" t="s">
        <v>10298</v>
      </c>
      <c r="D2219" s="146" t="s">
        <v>4692</v>
      </c>
      <c r="E2219" s="185" t="s">
        <v>10298</v>
      </c>
      <c r="F2219" s="188">
        <v>0</v>
      </c>
      <c r="G2219" s="187">
        <v>0</v>
      </c>
      <c r="H2219" s="187"/>
      <c r="I2219" s="187">
        <v>0</v>
      </c>
      <c r="J2219" s="188">
        <f>J2220</f>
        <v>0</v>
      </c>
      <c r="K2219" s="188">
        <f>K2220</f>
        <v>0</v>
      </c>
      <c r="L2219" s="188">
        <f t="shared" si="1859"/>
        <v>0</v>
      </c>
      <c r="M2219" s="188">
        <v>0</v>
      </c>
      <c r="N2219" s="188">
        <v>0</v>
      </c>
      <c r="O2219" s="188">
        <v>0</v>
      </c>
      <c r="P2219" s="299">
        <f t="shared" ref="P2219:R2219" si="1899">P2220</f>
        <v>0</v>
      </c>
      <c r="Q2219" s="299">
        <f t="shared" si="1899"/>
        <v>0</v>
      </c>
      <c r="R2219" s="299">
        <f t="shared" si="1899"/>
        <v>0</v>
      </c>
      <c r="S2219" s="150">
        <f t="shared" si="1806"/>
        <v>0</v>
      </c>
      <c r="T2219" s="213"/>
      <c r="U2219" s="299">
        <f t="shared" ref="U2219:W2219" si="1900">U2220</f>
        <v>0</v>
      </c>
      <c r="V2219" s="226">
        <f t="shared" si="1900"/>
        <v>0</v>
      </c>
      <c r="W2219" s="299">
        <f t="shared" si="1900"/>
        <v>0</v>
      </c>
      <c r="X2219" s="299">
        <v>0</v>
      </c>
      <c r="Y2219" s="299">
        <v>0</v>
      </c>
      <c r="Z2219" s="299">
        <v>0</v>
      </c>
      <c r="AA2219" s="299">
        <f t="shared" si="1842"/>
        <v>0</v>
      </c>
      <c r="AB2219" s="299">
        <v>0</v>
      </c>
      <c r="AC2219" s="226">
        <v>0</v>
      </c>
      <c r="AD2219" s="299">
        <f t="shared" ref="AD2219:BA2219" si="1901">AD2220</f>
        <v>0</v>
      </c>
      <c r="AE2219" s="299">
        <v>0</v>
      </c>
      <c r="AF2219" s="169" t="s">
        <v>4680</v>
      </c>
      <c r="AG2219" s="301">
        <v>0</v>
      </c>
      <c r="AH2219" s="226">
        <v>0</v>
      </c>
      <c r="AI2219" s="299">
        <v>0</v>
      </c>
      <c r="AJ2219" s="169">
        <f t="shared" si="1843"/>
        <v>0</v>
      </c>
      <c r="AK2219" s="301">
        <v>0</v>
      </c>
      <c r="AL2219" s="226">
        <v>0</v>
      </c>
      <c r="AM2219" s="299">
        <f t="shared" si="1901"/>
        <v>0</v>
      </c>
      <c r="AN2219" s="153">
        <f t="shared" si="1844"/>
        <v>0</v>
      </c>
      <c r="AO2219" s="154">
        <f t="shared" si="1845"/>
        <v>0</v>
      </c>
      <c r="AP2219" s="299">
        <v>0</v>
      </c>
      <c r="AQ2219" s="301">
        <v>0</v>
      </c>
      <c r="AR2219" s="226">
        <f t="shared" si="1901"/>
        <v>0</v>
      </c>
      <c r="AS2219" s="299">
        <f t="shared" si="1901"/>
        <v>0</v>
      </c>
      <c r="AT2219" s="155"/>
      <c r="AU2219" s="156">
        <f t="shared" si="1837"/>
        <v>0</v>
      </c>
      <c r="AV2219" s="156">
        <f t="shared" si="1838"/>
        <v>0</v>
      </c>
      <c r="AW2219" s="157"/>
      <c r="AX2219" s="150">
        <v>0</v>
      </c>
      <c r="AY2219" s="299">
        <f t="shared" si="1901"/>
        <v>0</v>
      </c>
      <c r="AZ2219" s="299">
        <f t="shared" si="1901"/>
        <v>0</v>
      </c>
      <c r="BA2219" s="299">
        <f t="shared" si="1901"/>
        <v>0</v>
      </c>
      <c r="BB2219" s="191">
        <v>5</v>
      </c>
      <c r="BC2219" s="183" t="s">
        <v>1332</v>
      </c>
      <c r="BD2219" s="183" t="s">
        <v>693</v>
      </c>
      <c r="BE2219" s="183" t="s">
        <v>1225</v>
      </c>
      <c r="BF2219" s="183" t="s">
        <v>630</v>
      </c>
      <c r="BG2219" s="185" t="s">
        <v>10298</v>
      </c>
      <c r="BH2219" s="215">
        <f>BH2220</f>
        <v>0</v>
      </c>
      <c r="BI2219" s="191"/>
      <c r="BJ2219" s="183" t="s">
        <v>10299</v>
      </c>
      <c r="BK2219" s="183" t="s">
        <v>10297</v>
      </c>
      <c r="BL2219" s="238" t="s">
        <v>10300</v>
      </c>
      <c r="BM2219" s="338">
        <f>BM2220</f>
        <v>0</v>
      </c>
      <c r="BN2219" s="160"/>
      <c r="BO2219" s="161">
        <f t="shared" si="1815"/>
        <v>0</v>
      </c>
      <c r="BP2219" s="161"/>
    </row>
    <row r="2220" spans="1:68" ht="25.5">
      <c r="A2220" s="194" t="s">
        <v>10297</v>
      </c>
      <c r="B2220" s="195" t="s">
        <v>10301</v>
      </c>
      <c r="C2220" s="196" t="s">
        <v>10298</v>
      </c>
      <c r="D2220" s="146" t="s">
        <v>4692</v>
      </c>
      <c r="E2220" s="196" t="s">
        <v>10298</v>
      </c>
      <c r="F2220" s="150">
        <v>0</v>
      </c>
      <c r="G2220" s="209">
        <v>0</v>
      </c>
      <c r="H2220" s="209">
        <v>0</v>
      </c>
      <c r="I2220" s="209">
        <v>0</v>
      </c>
      <c r="J2220" s="150">
        <v>0</v>
      </c>
      <c r="K2220" s="150">
        <v>0</v>
      </c>
      <c r="L2220" s="150">
        <f t="shared" si="1859"/>
        <v>0</v>
      </c>
      <c r="M2220" s="150">
        <v>0</v>
      </c>
      <c r="N2220" s="150"/>
      <c r="O2220" s="150">
        <v>0</v>
      </c>
      <c r="P2220" s="150">
        <v>0</v>
      </c>
      <c r="Q2220" s="150">
        <v>0</v>
      </c>
      <c r="R2220" s="150">
        <f>P2220+Q2220</f>
        <v>0</v>
      </c>
      <c r="S2220" s="150">
        <f t="shared" si="1806"/>
        <v>0</v>
      </c>
      <c r="T2220" s="150"/>
      <c r="U2220" s="150">
        <v>0</v>
      </c>
      <c r="V2220" s="199"/>
      <c r="W2220" s="150">
        <f>U2220+V2220</f>
        <v>0</v>
      </c>
      <c r="X2220" s="150">
        <v>0</v>
      </c>
      <c r="Y2220" s="150"/>
      <c r="Z2220" s="150">
        <v>0</v>
      </c>
      <c r="AA2220" s="150">
        <f t="shared" si="1842"/>
        <v>0</v>
      </c>
      <c r="AB2220" s="150">
        <v>0</v>
      </c>
      <c r="AC2220" s="199"/>
      <c r="AD2220" s="150">
        <f>AB2220+AC2220</f>
        <v>0</v>
      </c>
      <c r="AE2220" s="150">
        <v>0</v>
      </c>
      <c r="AF2220" s="169" t="s">
        <v>4680</v>
      </c>
      <c r="AG2220" s="201">
        <v>0</v>
      </c>
      <c r="AH2220" s="199"/>
      <c r="AI2220" s="150">
        <v>0</v>
      </c>
      <c r="AJ2220" s="169">
        <f t="shared" si="1843"/>
        <v>0</v>
      </c>
      <c r="AK2220" s="201">
        <v>0</v>
      </c>
      <c r="AL2220" s="199"/>
      <c r="AM2220" s="150">
        <f>AK2220+AL2220</f>
        <v>0</v>
      </c>
      <c r="AN2220" s="153">
        <f t="shared" si="1844"/>
        <v>0</v>
      </c>
      <c r="AO2220" s="154">
        <f t="shared" si="1845"/>
        <v>0</v>
      </c>
      <c r="AP2220" s="150">
        <v>0</v>
      </c>
      <c r="AQ2220" s="201">
        <v>0</v>
      </c>
      <c r="AR2220" s="199"/>
      <c r="AS2220" s="150">
        <f>AQ2220+AR2220</f>
        <v>0</v>
      </c>
      <c r="AT2220" s="155"/>
      <c r="AU2220" s="156">
        <f t="shared" si="1837"/>
        <v>0</v>
      </c>
      <c r="AV2220" s="156">
        <f t="shared" si="1838"/>
        <v>0</v>
      </c>
      <c r="AW2220" s="157"/>
      <c r="AX2220" s="150">
        <v>0</v>
      </c>
      <c r="AY2220" s="150">
        <v>0</v>
      </c>
      <c r="AZ2220" s="150"/>
      <c r="BA2220" s="150">
        <f>AY2220+AZ2220</f>
        <v>0</v>
      </c>
      <c r="BB2220" s="202">
        <v>5</v>
      </c>
      <c r="BC2220" s="202" t="s">
        <v>1332</v>
      </c>
      <c r="BD2220" s="202" t="s">
        <v>693</v>
      </c>
      <c r="BE2220" s="194" t="s">
        <v>1225</v>
      </c>
      <c r="BF2220" s="202" t="s">
        <v>632</v>
      </c>
      <c r="BG2220" s="203" t="s">
        <v>10298</v>
      </c>
      <c r="BH2220" s="216">
        <f>AS2220</f>
        <v>0</v>
      </c>
      <c r="BI2220" s="202"/>
      <c r="BJ2220" s="194" t="s">
        <v>10299</v>
      </c>
      <c r="BK2220" s="194" t="s">
        <v>10297</v>
      </c>
      <c r="BL2220" s="207" t="s">
        <v>10300</v>
      </c>
      <c r="BM2220" s="208">
        <f>BH2220</f>
        <v>0</v>
      </c>
      <c r="BN2220" s="160"/>
      <c r="BO2220" s="161">
        <f t="shared" si="1815"/>
        <v>0</v>
      </c>
      <c r="BP2220" s="161"/>
    </row>
    <row r="2221" spans="1:68" ht="38.25">
      <c r="A2221" s="183" t="s">
        <v>10302</v>
      </c>
      <c r="B2221" s="184"/>
      <c r="C2221" s="185" t="s">
        <v>10303</v>
      </c>
      <c r="D2221" s="146" t="s">
        <v>4692</v>
      </c>
      <c r="E2221" s="185" t="s">
        <v>10303</v>
      </c>
      <c r="F2221" s="188">
        <v>0</v>
      </c>
      <c r="G2221" s="187">
        <v>0</v>
      </c>
      <c r="H2221" s="187"/>
      <c r="I2221" s="187">
        <v>0</v>
      </c>
      <c r="J2221" s="188">
        <f>J2222</f>
        <v>0</v>
      </c>
      <c r="K2221" s="188">
        <f>K2222</f>
        <v>0</v>
      </c>
      <c r="L2221" s="188">
        <f t="shared" si="1859"/>
        <v>0</v>
      </c>
      <c r="M2221" s="188">
        <v>0</v>
      </c>
      <c r="N2221" s="188">
        <v>0</v>
      </c>
      <c r="O2221" s="188">
        <v>0</v>
      </c>
      <c r="P2221" s="299">
        <f t="shared" ref="P2221:R2221" si="1902">P2222</f>
        <v>0</v>
      </c>
      <c r="Q2221" s="299">
        <f t="shared" si="1902"/>
        <v>0</v>
      </c>
      <c r="R2221" s="299">
        <f t="shared" si="1902"/>
        <v>0</v>
      </c>
      <c r="S2221" s="150">
        <f t="shared" si="1806"/>
        <v>0</v>
      </c>
      <c r="T2221" s="213"/>
      <c r="U2221" s="299">
        <f t="shared" ref="U2221:W2221" si="1903">U2222</f>
        <v>0</v>
      </c>
      <c r="V2221" s="226">
        <f t="shared" si="1903"/>
        <v>0</v>
      </c>
      <c r="W2221" s="299">
        <f t="shared" si="1903"/>
        <v>0</v>
      </c>
      <c r="X2221" s="299">
        <v>0</v>
      </c>
      <c r="Y2221" s="299">
        <v>0</v>
      </c>
      <c r="Z2221" s="299">
        <v>0</v>
      </c>
      <c r="AA2221" s="299">
        <f t="shared" si="1842"/>
        <v>0</v>
      </c>
      <c r="AB2221" s="299">
        <v>0</v>
      </c>
      <c r="AC2221" s="226">
        <v>0</v>
      </c>
      <c r="AD2221" s="299">
        <f t="shared" ref="AD2221:BA2221" si="1904">AD2222</f>
        <v>0</v>
      </c>
      <c r="AE2221" s="299">
        <v>0</v>
      </c>
      <c r="AF2221" s="169" t="s">
        <v>4680</v>
      </c>
      <c r="AG2221" s="301">
        <v>0</v>
      </c>
      <c r="AH2221" s="226">
        <v>0</v>
      </c>
      <c r="AI2221" s="299">
        <v>0</v>
      </c>
      <c r="AJ2221" s="169">
        <f t="shared" si="1843"/>
        <v>340000</v>
      </c>
      <c r="AK2221" s="301">
        <v>0</v>
      </c>
      <c r="AL2221" s="226">
        <v>340000</v>
      </c>
      <c r="AM2221" s="299">
        <f t="shared" si="1904"/>
        <v>340000</v>
      </c>
      <c r="AN2221" s="153">
        <f t="shared" si="1844"/>
        <v>0</v>
      </c>
      <c r="AO2221" s="154">
        <f t="shared" si="1845"/>
        <v>0</v>
      </c>
      <c r="AP2221" s="299">
        <v>340000</v>
      </c>
      <c r="AQ2221" s="301">
        <v>340000</v>
      </c>
      <c r="AR2221" s="226">
        <f t="shared" si="1904"/>
        <v>0</v>
      </c>
      <c r="AS2221" s="299">
        <f t="shared" si="1904"/>
        <v>340000</v>
      </c>
      <c r="AT2221" s="155"/>
      <c r="AU2221" s="156">
        <f t="shared" si="1837"/>
        <v>340000</v>
      </c>
      <c r="AV2221" s="156">
        <f t="shared" si="1838"/>
        <v>0</v>
      </c>
      <c r="AW2221" s="157"/>
      <c r="AX2221" s="150">
        <v>0</v>
      </c>
      <c r="AY2221" s="299">
        <f t="shared" si="1904"/>
        <v>0</v>
      </c>
      <c r="AZ2221" s="299">
        <f t="shared" si="1904"/>
        <v>0</v>
      </c>
      <c r="BA2221" s="299">
        <f t="shared" si="1904"/>
        <v>0</v>
      </c>
      <c r="BB2221" s="191">
        <v>5</v>
      </c>
      <c r="BC2221" s="183" t="s">
        <v>1332</v>
      </c>
      <c r="BD2221" s="183" t="s">
        <v>693</v>
      </c>
      <c r="BE2221" s="183" t="s">
        <v>1229</v>
      </c>
      <c r="BF2221" s="183" t="s">
        <v>630</v>
      </c>
      <c r="BG2221" s="185" t="s">
        <v>10303</v>
      </c>
      <c r="BH2221" s="215">
        <f>BH2222</f>
        <v>340000</v>
      </c>
      <c r="BI2221" s="191"/>
      <c r="BJ2221" s="183" t="s">
        <v>10304</v>
      </c>
      <c r="BK2221" s="183" t="s">
        <v>10302</v>
      </c>
      <c r="BL2221" s="238" t="s">
        <v>10305</v>
      </c>
      <c r="BM2221" s="338">
        <f>BM2222</f>
        <v>340000</v>
      </c>
      <c r="BN2221" s="160"/>
      <c r="BO2221" s="161">
        <f t="shared" si="1815"/>
        <v>0</v>
      </c>
      <c r="BP2221" s="161"/>
    </row>
    <row r="2222" spans="1:68" ht="25.5">
      <c r="A2222" s="194" t="s">
        <v>10302</v>
      </c>
      <c r="B2222" s="195" t="s">
        <v>10306</v>
      </c>
      <c r="C2222" s="196" t="s">
        <v>10307</v>
      </c>
      <c r="D2222" s="146" t="s">
        <v>4692</v>
      </c>
      <c r="E2222" s="196" t="s">
        <v>10307</v>
      </c>
      <c r="F2222" s="150">
        <v>0</v>
      </c>
      <c r="G2222" s="209">
        <v>0</v>
      </c>
      <c r="H2222" s="209">
        <v>120000</v>
      </c>
      <c r="I2222" s="209">
        <v>120000</v>
      </c>
      <c r="J2222" s="150">
        <v>0</v>
      </c>
      <c r="K2222" s="150">
        <v>0</v>
      </c>
      <c r="L2222" s="150">
        <f t="shared" si="1859"/>
        <v>0</v>
      </c>
      <c r="M2222" s="150">
        <v>0</v>
      </c>
      <c r="N2222" s="150"/>
      <c r="O2222" s="150">
        <v>0</v>
      </c>
      <c r="P2222" s="150">
        <v>0</v>
      </c>
      <c r="Q2222" s="150">
        <v>0</v>
      </c>
      <c r="R2222" s="150">
        <f>P2222+Q2222</f>
        <v>0</v>
      </c>
      <c r="S2222" s="150">
        <f t="shared" si="1806"/>
        <v>0</v>
      </c>
      <c r="T2222" s="150"/>
      <c r="U2222" s="150">
        <v>0</v>
      </c>
      <c r="V2222" s="199"/>
      <c r="W2222" s="150">
        <f>U2222+V2222</f>
        <v>0</v>
      </c>
      <c r="X2222" s="150">
        <v>0</v>
      </c>
      <c r="Y2222" s="150"/>
      <c r="Z2222" s="150">
        <v>0</v>
      </c>
      <c r="AA2222" s="150">
        <f t="shared" si="1842"/>
        <v>0</v>
      </c>
      <c r="AB2222" s="150">
        <v>0</v>
      </c>
      <c r="AC2222" s="199"/>
      <c r="AD2222" s="150">
        <f>AB2222+AC2222</f>
        <v>0</v>
      </c>
      <c r="AE2222" s="150">
        <v>0</v>
      </c>
      <c r="AF2222" s="169" t="s">
        <v>4680</v>
      </c>
      <c r="AG2222" s="201">
        <v>0</v>
      </c>
      <c r="AH2222" s="199"/>
      <c r="AI2222" s="150">
        <v>0</v>
      </c>
      <c r="AJ2222" s="169">
        <f t="shared" si="1843"/>
        <v>340000</v>
      </c>
      <c r="AK2222" s="201">
        <v>0</v>
      </c>
      <c r="AL2222" s="358">
        <v>340000</v>
      </c>
      <c r="AM2222" s="150">
        <f>AK2222+AL2222</f>
        <v>340000</v>
      </c>
      <c r="AN2222" s="153">
        <f t="shared" si="1844"/>
        <v>0</v>
      </c>
      <c r="AO2222" s="154">
        <f t="shared" si="1845"/>
        <v>0</v>
      </c>
      <c r="AP2222" s="150">
        <v>340000</v>
      </c>
      <c r="AQ2222" s="201">
        <v>340000</v>
      </c>
      <c r="AR2222" s="199"/>
      <c r="AS2222" s="150">
        <f>AQ2222+AR2222</f>
        <v>340000</v>
      </c>
      <c r="AT2222" s="155"/>
      <c r="AU2222" s="156">
        <f t="shared" si="1837"/>
        <v>340000</v>
      </c>
      <c r="AV2222" s="156">
        <f t="shared" si="1838"/>
        <v>0</v>
      </c>
      <c r="AW2222" s="157"/>
      <c r="AX2222" s="150">
        <v>0</v>
      </c>
      <c r="AY2222" s="150">
        <v>0</v>
      </c>
      <c r="AZ2222" s="150"/>
      <c r="BA2222" s="150">
        <f>AY2222+AZ2222</f>
        <v>0</v>
      </c>
      <c r="BB2222" s="202">
        <v>5</v>
      </c>
      <c r="BC2222" s="202" t="s">
        <v>1332</v>
      </c>
      <c r="BD2222" s="202" t="s">
        <v>693</v>
      </c>
      <c r="BE2222" s="194" t="s">
        <v>1229</v>
      </c>
      <c r="BF2222" s="202" t="s">
        <v>632</v>
      </c>
      <c r="BG2222" s="203" t="s">
        <v>10303</v>
      </c>
      <c r="BH2222" s="216">
        <f>AS2222</f>
        <v>340000</v>
      </c>
      <c r="BI2222" s="202"/>
      <c r="BJ2222" s="194" t="s">
        <v>10304</v>
      </c>
      <c r="BK2222" s="194" t="s">
        <v>10302</v>
      </c>
      <c r="BL2222" s="207" t="s">
        <v>10305</v>
      </c>
      <c r="BM2222" s="208">
        <f>BH2222</f>
        <v>340000</v>
      </c>
      <c r="BN2222" s="160"/>
      <c r="BO2222" s="161">
        <f t="shared" si="1815"/>
        <v>0</v>
      </c>
      <c r="BP2222" s="161"/>
    </row>
    <row r="2223" spans="1:68">
      <c r="A2223" s="183" t="s">
        <v>485</v>
      </c>
      <c r="B2223" s="184"/>
      <c r="C2223" s="185" t="s">
        <v>486</v>
      </c>
      <c r="D2223" s="146" t="s">
        <v>4692</v>
      </c>
      <c r="E2223" s="185" t="s">
        <v>486</v>
      </c>
      <c r="F2223" s="188">
        <v>0</v>
      </c>
      <c r="G2223" s="187">
        <v>0</v>
      </c>
      <c r="H2223" s="187"/>
      <c r="I2223" s="187">
        <v>0</v>
      </c>
      <c r="J2223" s="188">
        <f>SUM(J2224:J2231)</f>
        <v>0</v>
      </c>
      <c r="K2223" s="188">
        <f>SUM(K2224:K2231)</f>
        <v>30000</v>
      </c>
      <c r="L2223" s="188">
        <f t="shared" si="1859"/>
        <v>30000</v>
      </c>
      <c r="M2223" s="188">
        <v>0</v>
      </c>
      <c r="N2223" s="188">
        <v>0</v>
      </c>
      <c r="O2223" s="188">
        <v>0</v>
      </c>
      <c r="P2223" s="299">
        <f t="shared" ref="P2223:R2223" si="1905">SUM(P2224:P2231)</f>
        <v>0</v>
      </c>
      <c r="Q2223" s="299">
        <f t="shared" si="1905"/>
        <v>0</v>
      </c>
      <c r="R2223" s="299">
        <f t="shared" si="1905"/>
        <v>0</v>
      </c>
      <c r="S2223" s="150">
        <f t="shared" si="1806"/>
        <v>0</v>
      </c>
      <c r="T2223" s="213"/>
      <c r="U2223" s="299">
        <f t="shared" ref="U2223:W2223" si="1906">SUM(U2224:U2231)</f>
        <v>0</v>
      </c>
      <c r="V2223" s="226">
        <f t="shared" si="1906"/>
        <v>0</v>
      </c>
      <c r="W2223" s="299">
        <f t="shared" si="1906"/>
        <v>0</v>
      </c>
      <c r="X2223" s="299">
        <v>0</v>
      </c>
      <c r="Y2223" s="299">
        <v>0</v>
      </c>
      <c r="Z2223" s="299">
        <v>0</v>
      </c>
      <c r="AA2223" s="299">
        <f t="shared" si="1842"/>
        <v>350000</v>
      </c>
      <c r="AB2223" s="299">
        <v>0</v>
      </c>
      <c r="AC2223" s="226">
        <v>350000</v>
      </c>
      <c r="AD2223" s="299">
        <f t="shared" ref="AD2223" si="1907">SUM(AD2224:AD2231)</f>
        <v>350000</v>
      </c>
      <c r="AE2223" s="299">
        <v>250000</v>
      </c>
      <c r="AF2223" s="169" t="s">
        <v>4680</v>
      </c>
      <c r="AG2223" s="301">
        <v>0</v>
      </c>
      <c r="AH2223" s="226">
        <v>250000</v>
      </c>
      <c r="AI2223" s="299">
        <v>250000</v>
      </c>
      <c r="AJ2223" s="169">
        <f t="shared" si="1843"/>
        <v>0</v>
      </c>
      <c r="AK2223" s="301">
        <v>0</v>
      </c>
      <c r="AL2223" s="226">
        <v>250000</v>
      </c>
      <c r="AM2223" s="299">
        <f t="shared" ref="AM2223" si="1908">SUM(AM2224:AM2231)</f>
        <v>250000</v>
      </c>
      <c r="AN2223" s="153">
        <f t="shared" si="1844"/>
        <v>0</v>
      </c>
      <c r="AO2223" s="154">
        <f t="shared" si="1845"/>
        <v>0</v>
      </c>
      <c r="AP2223" s="299">
        <v>250000</v>
      </c>
      <c r="AQ2223" s="301">
        <v>250000</v>
      </c>
      <c r="AR2223" s="226">
        <f t="shared" ref="AR2223:AS2223" si="1909">SUM(AR2224:AR2231)</f>
        <v>0</v>
      </c>
      <c r="AS2223" s="299">
        <f t="shared" si="1909"/>
        <v>250000</v>
      </c>
      <c r="AT2223" s="155"/>
      <c r="AU2223" s="156">
        <f t="shared" si="1837"/>
        <v>-100000</v>
      </c>
      <c r="AV2223" s="156">
        <f t="shared" si="1838"/>
        <v>350000</v>
      </c>
      <c r="AW2223" s="157"/>
      <c r="AX2223" s="150">
        <v>0</v>
      </c>
      <c r="AY2223" s="299">
        <f t="shared" ref="AY2223:BA2223" si="1910">SUM(AY2224:AY2231)</f>
        <v>0</v>
      </c>
      <c r="AZ2223" s="299">
        <f t="shared" si="1910"/>
        <v>0</v>
      </c>
      <c r="BA2223" s="299">
        <f t="shared" si="1910"/>
        <v>0</v>
      </c>
      <c r="BB2223" s="191">
        <v>5</v>
      </c>
      <c r="BC2223" s="183" t="s">
        <v>1332</v>
      </c>
      <c r="BD2223" s="183" t="s">
        <v>693</v>
      </c>
      <c r="BE2223" s="183" t="s">
        <v>755</v>
      </c>
      <c r="BF2223" s="183" t="s">
        <v>630</v>
      </c>
      <c r="BG2223" s="185" t="s">
        <v>486</v>
      </c>
      <c r="BH2223" s="215">
        <f>BH2224</f>
        <v>250000</v>
      </c>
      <c r="BI2223" s="191"/>
      <c r="BJ2223" s="183" t="s">
        <v>10308</v>
      </c>
      <c r="BK2223" s="183" t="s">
        <v>485</v>
      </c>
      <c r="BL2223" s="238" t="s">
        <v>10309</v>
      </c>
      <c r="BM2223" s="338">
        <f>BM2224</f>
        <v>250000</v>
      </c>
      <c r="BN2223" s="160"/>
      <c r="BO2223" s="161">
        <f t="shared" si="1815"/>
        <v>0</v>
      </c>
      <c r="BP2223" s="161"/>
    </row>
    <row r="2224" spans="1:68" ht="24">
      <c r="A2224" s="194" t="s">
        <v>485</v>
      </c>
      <c r="B2224" s="195" t="s">
        <v>10310</v>
      </c>
      <c r="C2224" s="196" t="s">
        <v>10311</v>
      </c>
      <c r="D2224" s="146" t="s">
        <v>4692</v>
      </c>
      <c r="E2224" s="196" t="s">
        <v>10311</v>
      </c>
      <c r="F2224" s="150">
        <v>0</v>
      </c>
      <c r="G2224" s="209">
        <v>0</v>
      </c>
      <c r="H2224" s="209"/>
      <c r="I2224" s="209">
        <v>0</v>
      </c>
      <c r="J2224" s="150">
        <v>0</v>
      </c>
      <c r="K2224" s="150">
        <v>0</v>
      </c>
      <c r="L2224" s="150">
        <f t="shared" si="1859"/>
        <v>0</v>
      </c>
      <c r="M2224" s="150">
        <v>0</v>
      </c>
      <c r="N2224" s="150"/>
      <c r="O2224" s="150">
        <v>0</v>
      </c>
      <c r="P2224" s="150">
        <v>0</v>
      </c>
      <c r="Q2224" s="150">
        <v>0</v>
      </c>
      <c r="R2224" s="150">
        <f t="shared" ref="R2224:R2231" si="1911">P2224+Q2224</f>
        <v>0</v>
      </c>
      <c r="S2224" s="150">
        <f t="shared" ref="S2224:S2287" si="1912">R2224/9*12</f>
        <v>0</v>
      </c>
      <c r="T2224" s="150"/>
      <c r="U2224" s="150">
        <v>0</v>
      </c>
      <c r="V2224" s="199"/>
      <c r="W2224" s="150">
        <f t="shared" ref="W2224:W2231" si="1913">U2224+V2224</f>
        <v>0</v>
      </c>
      <c r="X2224" s="150">
        <v>0</v>
      </c>
      <c r="Y2224" s="150"/>
      <c r="Z2224" s="150">
        <v>0</v>
      </c>
      <c r="AA2224" s="150">
        <f t="shared" si="1842"/>
        <v>350000</v>
      </c>
      <c r="AB2224" s="150">
        <v>0</v>
      </c>
      <c r="AC2224" s="199">
        <v>350000</v>
      </c>
      <c r="AD2224" s="150">
        <f t="shared" ref="AD2224:AD2231" si="1914">AB2224+AC2224</f>
        <v>350000</v>
      </c>
      <c r="AE2224" s="150">
        <v>250000</v>
      </c>
      <c r="AF2224" s="169" t="s">
        <v>4680</v>
      </c>
      <c r="AG2224" s="201">
        <v>0</v>
      </c>
      <c r="AH2224" s="199">
        <v>250000</v>
      </c>
      <c r="AI2224" s="150">
        <v>250000</v>
      </c>
      <c r="AJ2224" s="169">
        <f t="shared" si="1843"/>
        <v>0</v>
      </c>
      <c r="AK2224" s="201">
        <v>0</v>
      </c>
      <c r="AL2224" s="199">
        <v>250000</v>
      </c>
      <c r="AM2224" s="150">
        <f t="shared" ref="AM2224:AM2231" si="1915">AK2224+AL2224</f>
        <v>250000</v>
      </c>
      <c r="AN2224" s="153">
        <f t="shared" si="1844"/>
        <v>0</v>
      </c>
      <c r="AO2224" s="154">
        <f t="shared" si="1845"/>
        <v>0</v>
      </c>
      <c r="AP2224" s="150">
        <v>250000</v>
      </c>
      <c r="AQ2224" s="201">
        <v>250000</v>
      </c>
      <c r="AR2224" s="199"/>
      <c r="AS2224" s="150">
        <f t="shared" ref="AS2224:AS2231" si="1916">AQ2224+AR2224</f>
        <v>250000</v>
      </c>
      <c r="AT2224" s="155" t="s">
        <v>10312</v>
      </c>
      <c r="AU2224" s="156">
        <f t="shared" si="1837"/>
        <v>-100000</v>
      </c>
      <c r="AV2224" s="156">
        <f t="shared" si="1838"/>
        <v>350000</v>
      </c>
      <c r="AW2224" s="157"/>
      <c r="AX2224" s="150">
        <v>0</v>
      </c>
      <c r="AY2224" s="150">
        <v>0</v>
      </c>
      <c r="AZ2224" s="150"/>
      <c r="BA2224" s="150">
        <f t="shared" ref="BA2224:BA2231" si="1917">AY2224+AZ2224</f>
        <v>0</v>
      </c>
      <c r="BB2224" s="202">
        <v>5</v>
      </c>
      <c r="BC2224" s="202" t="s">
        <v>1332</v>
      </c>
      <c r="BD2224" s="202" t="s">
        <v>693</v>
      </c>
      <c r="BE2224" s="202" t="s">
        <v>755</v>
      </c>
      <c r="BF2224" s="202" t="s">
        <v>632</v>
      </c>
      <c r="BG2224" s="203" t="s">
        <v>486</v>
      </c>
      <c r="BH2224" s="216">
        <f>SUM(AS2224:AS2231)</f>
        <v>250000</v>
      </c>
      <c r="BI2224" s="202"/>
      <c r="BJ2224" s="194" t="s">
        <v>10308</v>
      </c>
      <c r="BK2224" s="194" t="s">
        <v>485</v>
      </c>
      <c r="BL2224" s="207" t="s">
        <v>10309</v>
      </c>
      <c r="BM2224" s="208">
        <f>BH2224</f>
        <v>250000</v>
      </c>
      <c r="BN2224" s="160"/>
      <c r="BO2224" s="161">
        <f t="shared" si="1815"/>
        <v>0</v>
      </c>
      <c r="BP2224" s="161"/>
    </row>
    <row r="2225" spans="1:68" ht="25.5">
      <c r="A2225" s="210"/>
      <c r="B2225" s="195" t="s">
        <v>10313</v>
      </c>
      <c r="C2225" s="196" t="s">
        <v>10314</v>
      </c>
      <c r="D2225" s="146" t="s">
        <v>4692</v>
      </c>
      <c r="E2225" s="196" t="s">
        <v>10314</v>
      </c>
      <c r="F2225" s="150">
        <v>0</v>
      </c>
      <c r="G2225" s="209">
        <v>0</v>
      </c>
      <c r="H2225" s="209"/>
      <c r="I2225" s="209">
        <v>0</v>
      </c>
      <c r="J2225" s="150">
        <v>0</v>
      </c>
      <c r="K2225" s="150">
        <v>0</v>
      </c>
      <c r="L2225" s="150">
        <f t="shared" si="1859"/>
        <v>0</v>
      </c>
      <c r="M2225" s="150">
        <v>0</v>
      </c>
      <c r="N2225" s="150"/>
      <c r="O2225" s="150">
        <v>0</v>
      </c>
      <c r="P2225" s="150">
        <v>0</v>
      </c>
      <c r="Q2225" s="150">
        <v>0</v>
      </c>
      <c r="R2225" s="150">
        <f t="shared" si="1911"/>
        <v>0</v>
      </c>
      <c r="S2225" s="150">
        <f t="shared" si="1912"/>
        <v>0</v>
      </c>
      <c r="T2225" s="150"/>
      <c r="U2225" s="150">
        <v>0</v>
      </c>
      <c r="V2225" s="199"/>
      <c r="W2225" s="150">
        <f t="shared" si="1913"/>
        <v>0</v>
      </c>
      <c r="X2225" s="150">
        <v>0</v>
      </c>
      <c r="Y2225" s="150"/>
      <c r="Z2225" s="150">
        <v>0</v>
      </c>
      <c r="AA2225" s="150">
        <f t="shared" si="1842"/>
        <v>0</v>
      </c>
      <c r="AB2225" s="150">
        <v>0</v>
      </c>
      <c r="AC2225" s="199"/>
      <c r="AD2225" s="150">
        <f t="shared" si="1914"/>
        <v>0</v>
      </c>
      <c r="AE2225" s="150">
        <v>0</v>
      </c>
      <c r="AF2225" s="169" t="s">
        <v>4680</v>
      </c>
      <c r="AG2225" s="201">
        <v>0</v>
      </c>
      <c r="AH2225" s="199"/>
      <c r="AI2225" s="150">
        <v>0</v>
      </c>
      <c r="AJ2225" s="169">
        <f t="shared" si="1843"/>
        <v>0</v>
      </c>
      <c r="AK2225" s="201">
        <v>0</v>
      </c>
      <c r="AL2225" s="199"/>
      <c r="AM2225" s="150">
        <f t="shared" si="1915"/>
        <v>0</v>
      </c>
      <c r="AN2225" s="153">
        <f t="shared" si="1844"/>
        <v>0</v>
      </c>
      <c r="AO2225" s="154">
        <f t="shared" si="1845"/>
        <v>0</v>
      </c>
      <c r="AP2225" s="150">
        <v>0</v>
      </c>
      <c r="AQ2225" s="201">
        <v>0</v>
      </c>
      <c r="AR2225" s="199"/>
      <c r="AS2225" s="150">
        <f t="shared" si="1916"/>
        <v>0</v>
      </c>
      <c r="AT2225" s="155"/>
      <c r="AU2225" s="156">
        <f t="shared" si="1837"/>
        <v>0</v>
      </c>
      <c r="AV2225" s="156">
        <f t="shared" si="1838"/>
        <v>0</v>
      </c>
      <c r="AW2225" s="157"/>
      <c r="AX2225" s="150">
        <v>0</v>
      </c>
      <c r="AY2225" s="150">
        <v>0</v>
      </c>
      <c r="AZ2225" s="150"/>
      <c r="BA2225" s="150">
        <f t="shared" si="1917"/>
        <v>0</v>
      </c>
      <c r="BB2225" s="210"/>
      <c r="BC2225" s="210"/>
      <c r="BD2225" s="210"/>
      <c r="BE2225" s="210"/>
      <c r="BF2225" s="210"/>
      <c r="BG2225" s="210"/>
      <c r="BH2225" s="217"/>
      <c r="BI2225" s="210"/>
      <c r="BJ2225" s="210"/>
      <c r="BK2225" s="210"/>
      <c r="BL2225" s="210"/>
      <c r="BM2225" s="208"/>
      <c r="BN2225" s="160"/>
      <c r="BO2225" s="161">
        <f t="shared" ref="BO2225:BO2288" si="1918">BM2225-AS2225</f>
        <v>0</v>
      </c>
      <c r="BP2225" s="161"/>
    </row>
    <row r="2226" spans="1:68" ht="25.5">
      <c r="A2226" s="367"/>
      <c r="B2226" s="195" t="s">
        <v>10315</v>
      </c>
      <c r="C2226" s="196" t="s">
        <v>10316</v>
      </c>
      <c r="D2226" s="146" t="s">
        <v>4692</v>
      </c>
      <c r="E2226" s="196" t="s">
        <v>10316</v>
      </c>
      <c r="F2226" s="150">
        <v>0</v>
      </c>
      <c r="G2226" s="209">
        <v>0</v>
      </c>
      <c r="H2226" s="209"/>
      <c r="I2226" s="209">
        <v>0</v>
      </c>
      <c r="J2226" s="150">
        <v>0</v>
      </c>
      <c r="K2226" s="150">
        <v>0</v>
      </c>
      <c r="L2226" s="150">
        <f t="shared" si="1859"/>
        <v>0</v>
      </c>
      <c r="M2226" s="150">
        <v>0</v>
      </c>
      <c r="N2226" s="150"/>
      <c r="O2226" s="150">
        <v>0</v>
      </c>
      <c r="P2226" s="150">
        <v>0</v>
      </c>
      <c r="Q2226" s="150">
        <v>0</v>
      </c>
      <c r="R2226" s="150">
        <f t="shared" si="1911"/>
        <v>0</v>
      </c>
      <c r="S2226" s="150">
        <f t="shared" si="1912"/>
        <v>0</v>
      </c>
      <c r="T2226" s="150"/>
      <c r="U2226" s="150">
        <v>0</v>
      </c>
      <c r="V2226" s="199"/>
      <c r="W2226" s="150">
        <f t="shared" si="1913"/>
        <v>0</v>
      </c>
      <c r="X2226" s="150">
        <v>0</v>
      </c>
      <c r="Y2226" s="150"/>
      <c r="Z2226" s="150">
        <v>0</v>
      </c>
      <c r="AA2226" s="150">
        <f t="shared" si="1842"/>
        <v>0</v>
      </c>
      <c r="AB2226" s="150">
        <v>0</v>
      </c>
      <c r="AC2226" s="199"/>
      <c r="AD2226" s="150">
        <f t="shared" si="1914"/>
        <v>0</v>
      </c>
      <c r="AE2226" s="150">
        <v>0</v>
      </c>
      <c r="AF2226" s="169" t="s">
        <v>4680</v>
      </c>
      <c r="AG2226" s="201">
        <v>0</v>
      </c>
      <c r="AH2226" s="199"/>
      <c r="AI2226" s="150">
        <v>0</v>
      </c>
      <c r="AJ2226" s="169">
        <f t="shared" si="1843"/>
        <v>0</v>
      </c>
      <c r="AK2226" s="201">
        <v>0</v>
      </c>
      <c r="AL2226" s="199"/>
      <c r="AM2226" s="150">
        <f t="shared" si="1915"/>
        <v>0</v>
      </c>
      <c r="AN2226" s="153">
        <f t="shared" si="1844"/>
        <v>0</v>
      </c>
      <c r="AO2226" s="154">
        <f t="shared" si="1845"/>
        <v>0</v>
      </c>
      <c r="AP2226" s="150">
        <v>0</v>
      </c>
      <c r="AQ2226" s="201">
        <v>0</v>
      </c>
      <c r="AR2226" s="199"/>
      <c r="AS2226" s="150">
        <f t="shared" si="1916"/>
        <v>0</v>
      </c>
      <c r="AT2226" s="155"/>
      <c r="AU2226" s="156">
        <f t="shared" si="1837"/>
        <v>0</v>
      </c>
      <c r="AV2226" s="156">
        <f t="shared" si="1838"/>
        <v>0</v>
      </c>
      <c r="AW2226" s="157"/>
      <c r="AX2226" s="150">
        <v>0</v>
      </c>
      <c r="AY2226" s="150">
        <v>0</v>
      </c>
      <c r="AZ2226" s="150"/>
      <c r="BA2226" s="150">
        <f t="shared" si="1917"/>
        <v>0</v>
      </c>
      <c r="BB2226" s="368"/>
      <c r="BC2226" s="368"/>
      <c r="BD2226" s="368"/>
      <c r="BE2226" s="368"/>
      <c r="BF2226" s="368"/>
      <c r="BG2226" s="369"/>
      <c r="BH2226" s="370"/>
      <c r="BI2226" s="367"/>
      <c r="BJ2226" s="367"/>
      <c r="BK2226" s="367"/>
      <c r="BL2226" s="371"/>
      <c r="BM2226" s="208"/>
      <c r="BN2226" s="160"/>
      <c r="BO2226" s="161">
        <f t="shared" si="1918"/>
        <v>0</v>
      </c>
      <c r="BP2226" s="161"/>
    </row>
    <row r="2227" spans="1:68" ht="25.5">
      <c r="A2227" s="367"/>
      <c r="B2227" s="195" t="s">
        <v>10317</v>
      </c>
      <c r="C2227" s="196" t="s">
        <v>10318</v>
      </c>
      <c r="D2227" s="146" t="s">
        <v>4692</v>
      </c>
      <c r="E2227" s="196" t="s">
        <v>10318</v>
      </c>
      <c r="F2227" s="150">
        <v>0</v>
      </c>
      <c r="G2227" s="209">
        <v>0</v>
      </c>
      <c r="H2227" s="209"/>
      <c r="I2227" s="209">
        <v>0</v>
      </c>
      <c r="J2227" s="150">
        <v>0</v>
      </c>
      <c r="K2227" s="150">
        <v>0</v>
      </c>
      <c r="L2227" s="150">
        <f t="shared" si="1859"/>
        <v>0</v>
      </c>
      <c r="M2227" s="150">
        <v>0</v>
      </c>
      <c r="N2227" s="150"/>
      <c r="O2227" s="150">
        <v>0</v>
      </c>
      <c r="P2227" s="150">
        <v>0</v>
      </c>
      <c r="Q2227" s="150">
        <v>0</v>
      </c>
      <c r="R2227" s="150">
        <f t="shared" si="1911"/>
        <v>0</v>
      </c>
      <c r="S2227" s="150">
        <f t="shared" si="1912"/>
        <v>0</v>
      </c>
      <c r="T2227" s="150"/>
      <c r="U2227" s="150">
        <v>0</v>
      </c>
      <c r="V2227" s="199"/>
      <c r="W2227" s="150">
        <f t="shared" si="1913"/>
        <v>0</v>
      </c>
      <c r="X2227" s="150">
        <v>0</v>
      </c>
      <c r="Y2227" s="150"/>
      <c r="Z2227" s="150">
        <v>0</v>
      </c>
      <c r="AA2227" s="150">
        <f t="shared" si="1842"/>
        <v>0</v>
      </c>
      <c r="AB2227" s="150">
        <v>0</v>
      </c>
      <c r="AC2227" s="199"/>
      <c r="AD2227" s="150">
        <f t="shared" si="1914"/>
        <v>0</v>
      </c>
      <c r="AE2227" s="150">
        <v>0</v>
      </c>
      <c r="AF2227" s="169" t="s">
        <v>4680</v>
      </c>
      <c r="AG2227" s="201">
        <v>0</v>
      </c>
      <c r="AH2227" s="199"/>
      <c r="AI2227" s="150">
        <v>0</v>
      </c>
      <c r="AJ2227" s="169">
        <f t="shared" si="1843"/>
        <v>0</v>
      </c>
      <c r="AK2227" s="201">
        <v>0</v>
      </c>
      <c r="AL2227" s="199"/>
      <c r="AM2227" s="150">
        <f t="shared" si="1915"/>
        <v>0</v>
      </c>
      <c r="AN2227" s="153">
        <f t="shared" si="1844"/>
        <v>0</v>
      </c>
      <c r="AO2227" s="154">
        <f t="shared" si="1845"/>
        <v>0</v>
      </c>
      <c r="AP2227" s="150">
        <v>0</v>
      </c>
      <c r="AQ2227" s="201">
        <v>0</v>
      </c>
      <c r="AR2227" s="199"/>
      <c r="AS2227" s="150">
        <f t="shared" si="1916"/>
        <v>0</v>
      </c>
      <c r="AT2227" s="155"/>
      <c r="AU2227" s="156">
        <f t="shared" si="1837"/>
        <v>0</v>
      </c>
      <c r="AV2227" s="156">
        <f t="shared" si="1838"/>
        <v>0</v>
      </c>
      <c r="AW2227" s="157"/>
      <c r="AX2227" s="150">
        <v>0</v>
      </c>
      <c r="AY2227" s="150">
        <v>0</v>
      </c>
      <c r="AZ2227" s="150"/>
      <c r="BA2227" s="150">
        <f t="shared" si="1917"/>
        <v>0</v>
      </c>
      <c r="BB2227" s="368"/>
      <c r="BC2227" s="368"/>
      <c r="BD2227" s="368"/>
      <c r="BE2227" s="368"/>
      <c r="BF2227" s="368"/>
      <c r="BG2227" s="369"/>
      <c r="BH2227" s="370"/>
      <c r="BI2227" s="367"/>
      <c r="BJ2227" s="367"/>
      <c r="BK2227" s="367"/>
      <c r="BL2227" s="371"/>
      <c r="BM2227" s="208"/>
      <c r="BN2227" s="160"/>
      <c r="BO2227" s="161">
        <f t="shared" si="1918"/>
        <v>0</v>
      </c>
      <c r="BP2227" s="161"/>
    </row>
    <row r="2228" spans="1:68" ht="25.5">
      <c r="A2228" s="367"/>
      <c r="B2228" s="195" t="s">
        <v>10319</v>
      </c>
      <c r="C2228" s="196" t="s">
        <v>10320</v>
      </c>
      <c r="D2228" s="146" t="s">
        <v>4692</v>
      </c>
      <c r="E2228" s="196" t="s">
        <v>10320</v>
      </c>
      <c r="F2228" s="150">
        <v>0</v>
      </c>
      <c r="G2228" s="209">
        <v>0</v>
      </c>
      <c r="H2228" s="209"/>
      <c r="I2228" s="209">
        <v>0</v>
      </c>
      <c r="J2228" s="150">
        <v>0</v>
      </c>
      <c r="K2228" s="150">
        <v>0</v>
      </c>
      <c r="L2228" s="150">
        <f t="shared" si="1859"/>
        <v>0</v>
      </c>
      <c r="M2228" s="150">
        <v>0</v>
      </c>
      <c r="N2228" s="150"/>
      <c r="O2228" s="150">
        <v>0</v>
      </c>
      <c r="P2228" s="150">
        <v>0</v>
      </c>
      <c r="Q2228" s="150">
        <v>0</v>
      </c>
      <c r="R2228" s="150">
        <f t="shared" si="1911"/>
        <v>0</v>
      </c>
      <c r="S2228" s="150">
        <f t="shared" si="1912"/>
        <v>0</v>
      </c>
      <c r="T2228" s="150"/>
      <c r="U2228" s="150">
        <v>0</v>
      </c>
      <c r="V2228" s="199"/>
      <c r="W2228" s="150">
        <f t="shared" si="1913"/>
        <v>0</v>
      </c>
      <c r="X2228" s="150">
        <v>0</v>
      </c>
      <c r="Y2228" s="150"/>
      <c r="Z2228" s="150">
        <v>0</v>
      </c>
      <c r="AA2228" s="150">
        <f t="shared" si="1842"/>
        <v>0</v>
      </c>
      <c r="AB2228" s="150">
        <v>0</v>
      </c>
      <c r="AC2228" s="199"/>
      <c r="AD2228" s="150">
        <f t="shared" si="1914"/>
        <v>0</v>
      </c>
      <c r="AE2228" s="150">
        <v>0</v>
      </c>
      <c r="AF2228" s="169" t="s">
        <v>4680</v>
      </c>
      <c r="AG2228" s="201">
        <v>0</v>
      </c>
      <c r="AH2228" s="199"/>
      <c r="AI2228" s="150">
        <v>0</v>
      </c>
      <c r="AJ2228" s="169">
        <f t="shared" si="1843"/>
        <v>0</v>
      </c>
      <c r="AK2228" s="201">
        <v>0</v>
      </c>
      <c r="AL2228" s="199"/>
      <c r="AM2228" s="150">
        <f t="shared" si="1915"/>
        <v>0</v>
      </c>
      <c r="AN2228" s="153">
        <f t="shared" si="1844"/>
        <v>0</v>
      </c>
      <c r="AO2228" s="154">
        <f t="shared" si="1845"/>
        <v>0</v>
      </c>
      <c r="AP2228" s="150">
        <v>0</v>
      </c>
      <c r="AQ2228" s="201">
        <v>0</v>
      </c>
      <c r="AR2228" s="199"/>
      <c r="AS2228" s="150">
        <f t="shared" si="1916"/>
        <v>0</v>
      </c>
      <c r="AT2228" s="155"/>
      <c r="AU2228" s="156">
        <f t="shared" si="1837"/>
        <v>0</v>
      </c>
      <c r="AV2228" s="156">
        <f t="shared" si="1838"/>
        <v>0</v>
      </c>
      <c r="AW2228" s="157"/>
      <c r="AX2228" s="150">
        <v>0</v>
      </c>
      <c r="AY2228" s="150">
        <v>0</v>
      </c>
      <c r="AZ2228" s="150"/>
      <c r="BA2228" s="150">
        <f t="shared" si="1917"/>
        <v>0</v>
      </c>
      <c r="BB2228" s="368"/>
      <c r="BC2228" s="368"/>
      <c r="BD2228" s="368"/>
      <c r="BE2228" s="368"/>
      <c r="BF2228" s="368"/>
      <c r="BG2228" s="369"/>
      <c r="BH2228" s="370"/>
      <c r="BI2228" s="367"/>
      <c r="BJ2228" s="367"/>
      <c r="BK2228" s="367"/>
      <c r="BL2228" s="371"/>
      <c r="BM2228" s="208"/>
      <c r="BN2228" s="160"/>
      <c r="BO2228" s="161">
        <f t="shared" si="1918"/>
        <v>0</v>
      </c>
      <c r="BP2228" s="161"/>
    </row>
    <row r="2229" spans="1:68" ht="25.5">
      <c r="A2229" s="367"/>
      <c r="B2229" s="195" t="s">
        <v>10321</v>
      </c>
      <c r="C2229" s="196" t="s">
        <v>10322</v>
      </c>
      <c r="D2229" s="146" t="s">
        <v>4692</v>
      </c>
      <c r="E2229" s="196" t="s">
        <v>10322</v>
      </c>
      <c r="F2229" s="150">
        <v>0</v>
      </c>
      <c r="G2229" s="209">
        <v>0</v>
      </c>
      <c r="H2229" s="209"/>
      <c r="I2229" s="209">
        <v>0</v>
      </c>
      <c r="J2229" s="150">
        <v>0</v>
      </c>
      <c r="K2229" s="150">
        <v>0</v>
      </c>
      <c r="L2229" s="150">
        <f t="shared" si="1859"/>
        <v>0</v>
      </c>
      <c r="M2229" s="150">
        <v>0</v>
      </c>
      <c r="N2229" s="150"/>
      <c r="O2229" s="150">
        <v>0</v>
      </c>
      <c r="P2229" s="150">
        <v>0</v>
      </c>
      <c r="Q2229" s="150">
        <v>0</v>
      </c>
      <c r="R2229" s="150">
        <f t="shared" si="1911"/>
        <v>0</v>
      </c>
      <c r="S2229" s="150">
        <f t="shared" si="1912"/>
        <v>0</v>
      </c>
      <c r="T2229" s="150"/>
      <c r="U2229" s="150">
        <v>0</v>
      </c>
      <c r="V2229" s="199"/>
      <c r="W2229" s="150">
        <f t="shared" si="1913"/>
        <v>0</v>
      </c>
      <c r="X2229" s="150">
        <v>0</v>
      </c>
      <c r="Y2229" s="150"/>
      <c r="Z2229" s="150">
        <v>0</v>
      </c>
      <c r="AA2229" s="150">
        <f t="shared" si="1842"/>
        <v>0</v>
      </c>
      <c r="AB2229" s="150">
        <v>0</v>
      </c>
      <c r="AC2229" s="199"/>
      <c r="AD2229" s="150">
        <f t="shared" si="1914"/>
        <v>0</v>
      </c>
      <c r="AE2229" s="150">
        <v>0</v>
      </c>
      <c r="AF2229" s="169" t="s">
        <v>4680</v>
      </c>
      <c r="AG2229" s="201">
        <v>0</v>
      </c>
      <c r="AH2229" s="199"/>
      <c r="AI2229" s="150">
        <v>0</v>
      </c>
      <c r="AJ2229" s="169">
        <f t="shared" si="1843"/>
        <v>0</v>
      </c>
      <c r="AK2229" s="201">
        <v>0</v>
      </c>
      <c r="AL2229" s="199"/>
      <c r="AM2229" s="150">
        <f t="shared" si="1915"/>
        <v>0</v>
      </c>
      <c r="AN2229" s="153">
        <f t="shared" si="1844"/>
        <v>0</v>
      </c>
      <c r="AO2229" s="154">
        <f t="shared" si="1845"/>
        <v>0</v>
      </c>
      <c r="AP2229" s="150">
        <v>0</v>
      </c>
      <c r="AQ2229" s="201">
        <v>0</v>
      </c>
      <c r="AR2229" s="199"/>
      <c r="AS2229" s="150">
        <f t="shared" si="1916"/>
        <v>0</v>
      </c>
      <c r="AT2229" s="155"/>
      <c r="AU2229" s="156">
        <f t="shared" si="1837"/>
        <v>0</v>
      </c>
      <c r="AV2229" s="156">
        <f t="shared" si="1838"/>
        <v>0</v>
      </c>
      <c r="AW2229" s="157"/>
      <c r="AX2229" s="150">
        <v>0</v>
      </c>
      <c r="AY2229" s="150">
        <v>0</v>
      </c>
      <c r="AZ2229" s="150"/>
      <c r="BA2229" s="150">
        <f t="shared" si="1917"/>
        <v>0</v>
      </c>
      <c r="BB2229" s="368"/>
      <c r="BC2229" s="368"/>
      <c r="BD2229" s="368"/>
      <c r="BE2229" s="368"/>
      <c r="BF2229" s="368"/>
      <c r="BG2229" s="369"/>
      <c r="BH2229" s="370"/>
      <c r="BI2229" s="367"/>
      <c r="BJ2229" s="367"/>
      <c r="BK2229" s="367"/>
      <c r="BL2229" s="371"/>
      <c r="BM2229" s="208"/>
      <c r="BN2229" s="160"/>
      <c r="BO2229" s="161">
        <f t="shared" si="1918"/>
        <v>0</v>
      </c>
      <c r="BP2229" s="161"/>
    </row>
    <row r="2230" spans="1:68" ht="25.5">
      <c r="A2230" s="367"/>
      <c r="B2230" s="195" t="s">
        <v>10323</v>
      </c>
      <c r="C2230" s="196" t="s">
        <v>10324</v>
      </c>
      <c r="D2230" s="146" t="s">
        <v>4692</v>
      </c>
      <c r="E2230" s="196" t="s">
        <v>10324</v>
      </c>
      <c r="F2230" s="150">
        <v>0</v>
      </c>
      <c r="G2230" s="209">
        <v>0</v>
      </c>
      <c r="H2230" s="209">
        <v>120000</v>
      </c>
      <c r="I2230" s="209">
        <v>120000</v>
      </c>
      <c r="J2230" s="150">
        <v>0</v>
      </c>
      <c r="K2230" s="150">
        <v>0</v>
      </c>
      <c r="L2230" s="150">
        <f t="shared" si="1859"/>
        <v>0</v>
      </c>
      <c r="M2230" s="150">
        <v>0</v>
      </c>
      <c r="N2230" s="150"/>
      <c r="O2230" s="150">
        <v>0</v>
      </c>
      <c r="P2230" s="150">
        <v>0</v>
      </c>
      <c r="Q2230" s="150">
        <v>0</v>
      </c>
      <c r="R2230" s="150">
        <f t="shared" si="1911"/>
        <v>0</v>
      </c>
      <c r="S2230" s="150">
        <f t="shared" si="1912"/>
        <v>0</v>
      </c>
      <c r="T2230" s="150"/>
      <c r="U2230" s="150">
        <v>0</v>
      </c>
      <c r="V2230" s="199"/>
      <c r="W2230" s="150">
        <f t="shared" si="1913"/>
        <v>0</v>
      </c>
      <c r="X2230" s="150">
        <v>0</v>
      </c>
      <c r="Y2230" s="150"/>
      <c r="Z2230" s="150">
        <v>0</v>
      </c>
      <c r="AA2230" s="150">
        <f t="shared" si="1842"/>
        <v>0</v>
      </c>
      <c r="AB2230" s="150">
        <v>0</v>
      </c>
      <c r="AC2230" s="199"/>
      <c r="AD2230" s="150">
        <f t="shared" si="1914"/>
        <v>0</v>
      </c>
      <c r="AE2230" s="150">
        <v>0</v>
      </c>
      <c r="AF2230" s="169" t="s">
        <v>4680</v>
      </c>
      <c r="AG2230" s="201">
        <v>0</v>
      </c>
      <c r="AH2230" s="199"/>
      <c r="AI2230" s="150">
        <v>0</v>
      </c>
      <c r="AJ2230" s="169">
        <f t="shared" si="1843"/>
        <v>0</v>
      </c>
      <c r="AK2230" s="201">
        <v>0</v>
      </c>
      <c r="AL2230" s="199"/>
      <c r="AM2230" s="150">
        <f t="shared" si="1915"/>
        <v>0</v>
      </c>
      <c r="AN2230" s="153">
        <f t="shared" si="1844"/>
        <v>0</v>
      </c>
      <c r="AO2230" s="154">
        <f t="shared" si="1845"/>
        <v>0</v>
      </c>
      <c r="AP2230" s="150">
        <v>0</v>
      </c>
      <c r="AQ2230" s="201">
        <v>0</v>
      </c>
      <c r="AR2230" s="199"/>
      <c r="AS2230" s="150">
        <f t="shared" si="1916"/>
        <v>0</v>
      </c>
      <c r="AT2230" s="155"/>
      <c r="AU2230" s="156">
        <f t="shared" si="1837"/>
        <v>0</v>
      </c>
      <c r="AV2230" s="156">
        <f t="shared" si="1838"/>
        <v>0</v>
      </c>
      <c r="AW2230" s="157"/>
      <c r="AX2230" s="150">
        <v>0</v>
      </c>
      <c r="AY2230" s="150">
        <v>0</v>
      </c>
      <c r="AZ2230" s="150"/>
      <c r="BA2230" s="150">
        <f t="shared" si="1917"/>
        <v>0</v>
      </c>
      <c r="BB2230" s="368"/>
      <c r="BC2230" s="368"/>
      <c r="BD2230" s="368"/>
      <c r="BE2230" s="368"/>
      <c r="BF2230" s="368"/>
      <c r="BG2230" s="369"/>
      <c r="BH2230" s="370"/>
      <c r="BI2230" s="367"/>
      <c r="BJ2230" s="367"/>
      <c r="BK2230" s="367"/>
      <c r="BL2230" s="371"/>
      <c r="BM2230" s="208"/>
      <c r="BN2230" s="160"/>
      <c r="BO2230" s="161">
        <f t="shared" si="1918"/>
        <v>0</v>
      </c>
      <c r="BP2230" s="161"/>
    </row>
    <row r="2231" spans="1:68" ht="38.25">
      <c r="A2231" s="367"/>
      <c r="B2231" s="195" t="s">
        <v>10325</v>
      </c>
      <c r="C2231" s="196" t="s">
        <v>10326</v>
      </c>
      <c r="D2231" s="146" t="s">
        <v>4692</v>
      </c>
      <c r="E2231" s="196" t="s">
        <v>10326</v>
      </c>
      <c r="F2231" s="150">
        <v>0</v>
      </c>
      <c r="G2231" s="209">
        <v>-1403056.1199999999</v>
      </c>
      <c r="H2231" s="209">
        <v>0</v>
      </c>
      <c r="I2231" s="209">
        <v>-1403056.1199999999</v>
      </c>
      <c r="J2231" s="150">
        <v>0</v>
      </c>
      <c r="K2231" s="150">
        <v>30000</v>
      </c>
      <c r="L2231" s="150">
        <f t="shared" si="1859"/>
        <v>30000</v>
      </c>
      <c r="M2231" s="150">
        <v>0</v>
      </c>
      <c r="N2231" s="150"/>
      <c r="O2231" s="150">
        <v>0</v>
      </c>
      <c r="P2231" s="150">
        <v>0</v>
      </c>
      <c r="Q2231" s="150">
        <v>0</v>
      </c>
      <c r="R2231" s="150">
        <f t="shared" si="1911"/>
        <v>0</v>
      </c>
      <c r="S2231" s="150">
        <f t="shared" si="1912"/>
        <v>0</v>
      </c>
      <c r="T2231" s="150"/>
      <c r="U2231" s="150">
        <v>0</v>
      </c>
      <c r="V2231" s="199"/>
      <c r="W2231" s="150">
        <f t="shared" si="1913"/>
        <v>0</v>
      </c>
      <c r="X2231" s="150">
        <v>0</v>
      </c>
      <c r="Y2231" s="150"/>
      <c r="Z2231" s="150">
        <v>0</v>
      </c>
      <c r="AA2231" s="150">
        <f t="shared" si="1842"/>
        <v>0</v>
      </c>
      <c r="AB2231" s="150">
        <v>0</v>
      </c>
      <c r="AC2231" s="199"/>
      <c r="AD2231" s="150">
        <f t="shared" si="1914"/>
        <v>0</v>
      </c>
      <c r="AE2231" s="150">
        <v>0</v>
      </c>
      <c r="AF2231" s="169" t="s">
        <v>4680</v>
      </c>
      <c r="AG2231" s="201">
        <v>0</v>
      </c>
      <c r="AH2231" s="199"/>
      <c r="AI2231" s="150">
        <v>0</v>
      </c>
      <c r="AJ2231" s="169">
        <f t="shared" si="1843"/>
        <v>0</v>
      </c>
      <c r="AK2231" s="201">
        <v>0</v>
      </c>
      <c r="AL2231" s="199"/>
      <c r="AM2231" s="150">
        <f t="shared" si="1915"/>
        <v>0</v>
      </c>
      <c r="AN2231" s="153">
        <f t="shared" si="1844"/>
        <v>0</v>
      </c>
      <c r="AO2231" s="154">
        <f t="shared" si="1845"/>
        <v>0</v>
      </c>
      <c r="AP2231" s="150">
        <v>0</v>
      </c>
      <c r="AQ2231" s="201">
        <v>0</v>
      </c>
      <c r="AR2231" s="199"/>
      <c r="AS2231" s="150">
        <f t="shared" si="1916"/>
        <v>0</v>
      </c>
      <c r="AT2231" s="155"/>
      <c r="AU2231" s="156">
        <f t="shared" si="1837"/>
        <v>0</v>
      </c>
      <c r="AV2231" s="156">
        <f t="shared" si="1838"/>
        <v>0</v>
      </c>
      <c r="AW2231" s="157"/>
      <c r="AX2231" s="150">
        <v>0</v>
      </c>
      <c r="AY2231" s="150">
        <v>0</v>
      </c>
      <c r="AZ2231" s="150"/>
      <c r="BA2231" s="150">
        <f t="shared" si="1917"/>
        <v>0</v>
      </c>
      <c r="BB2231" s="368"/>
      <c r="BC2231" s="368"/>
      <c r="BD2231" s="368"/>
      <c r="BE2231" s="368"/>
      <c r="BF2231" s="368"/>
      <c r="BG2231" s="369"/>
      <c r="BH2231" s="370"/>
      <c r="BI2231" s="367"/>
      <c r="BJ2231" s="367"/>
      <c r="BK2231" s="367"/>
      <c r="BL2231" s="371"/>
      <c r="BM2231" s="208"/>
      <c r="BN2231" s="160"/>
      <c r="BO2231" s="161">
        <f t="shared" si="1918"/>
        <v>0</v>
      </c>
      <c r="BP2231" s="161"/>
    </row>
    <row r="2232" spans="1:68" ht="25.5">
      <c r="A2232" s="143" t="s">
        <v>2298</v>
      </c>
      <c r="B2232" s="144"/>
      <c r="C2232" s="145" t="s">
        <v>10327</v>
      </c>
      <c r="D2232" s="146" t="s">
        <v>4692</v>
      </c>
      <c r="E2232" s="145" t="s">
        <v>10327</v>
      </c>
      <c r="F2232" s="149">
        <v>-1443774.16</v>
      </c>
      <c r="G2232" s="148">
        <v>35743.54</v>
      </c>
      <c r="H2232" s="148">
        <v>0</v>
      </c>
      <c r="I2232" s="148">
        <v>35743.54</v>
      </c>
      <c r="J2232" s="149">
        <f>J2233+J2244-J2264-J2277</f>
        <v>-576535.35000000009</v>
      </c>
      <c r="K2232" s="149">
        <f>K2233+K2244-K2264-K2277</f>
        <v>0</v>
      </c>
      <c r="L2232" s="149">
        <f t="shared" si="1859"/>
        <v>-576535.35000000009</v>
      </c>
      <c r="M2232" s="149">
        <v>-709227.62</v>
      </c>
      <c r="N2232" s="149">
        <v>-409037.93000000005</v>
      </c>
      <c r="O2232" s="149">
        <v>-1118265.55</v>
      </c>
      <c r="P2232" s="373">
        <f t="shared" ref="P2232:R2232" si="1919">P2233+P2244-P2264-P2277</f>
        <v>-766739.93</v>
      </c>
      <c r="Q2232" s="373">
        <f t="shared" si="1919"/>
        <v>-586672.745</v>
      </c>
      <c r="R2232" s="373">
        <f t="shared" si="1919"/>
        <v>-1353412.675</v>
      </c>
      <c r="S2232" s="150">
        <f t="shared" si="1912"/>
        <v>-1804550.2333333334</v>
      </c>
      <c r="T2232" s="213"/>
      <c r="U2232" s="373">
        <f t="shared" ref="U2232:W2232" si="1920">U2233+U2244-U2264-U2277</f>
        <v>-806262.28</v>
      </c>
      <c r="V2232" s="290">
        <f t="shared" si="1920"/>
        <v>-620047.1825</v>
      </c>
      <c r="W2232" s="373">
        <f t="shared" si="1920"/>
        <v>-1426309.4625000004</v>
      </c>
      <c r="X2232" s="373">
        <v>-806262.28</v>
      </c>
      <c r="Y2232" s="373">
        <v>-620047.1825</v>
      </c>
      <c r="Z2232" s="373">
        <v>-1426309.4625000004</v>
      </c>
      <c r="AA2232" s="373">
        <f t="shared" si="1842"/>
        <v>620047.18250000034</v>
      </c>
      <c r="AB2232" s="373">
        <v>-806262.28</v>
      </c>
      <c r="AC2232" s="290">
        <v>0</v>
      </c>
      <c r="AD2232" s="373">
        <f t="shared" ref="AD2232" si="1921">AD2233+AD2244-AD2264-AD2277</f>
        <v>-806262.28</v>
      </c>
      <c r="AE2232" s="373">
        <v>-806262.28</v>
      </c>
      <c r="AF2232" s="169" t="s">
        <v>4680</v>
      </c>
      <c r="AG2232" s="374">
        <v>-806262.28</v>
      </c>
      <c r="AH2232" s="290">
        <v>0</v>
      </c>
      <c r="AI2232" s="373">
        <v>-806262.28</v>
      </c>
      <c r="AJ2232" s="169">
        <f t="shared" si="1843"/>
        <v>0</v>
      </c>
      <c r="AK2232" s="374">
        <v>-806262.28</v>
      </c>
      <c r="AL2232" s="290">
        <v>0</v>
      </c>
      <c r="AM2232" s="373">
        <f t="shared" ref="AM2232" si="1922">AM2233+AM2244-AM2264-AM2277</f>
        <v>-806262.28</v>
      </c>
      <c r="AN2232" s="153">
        <f t="shared" si="1844"/>
        <v>0</v>
      </c>
      <c r="AO2232" s="154">
        <f t="shared" si="1845"/>
        <v>0</v>
      </c>
      <c r="AP2232" s="373">
        <v>-806262.28</v>
      </c>
      <c r="AQ2232" s="374">
        <v>-806262.28</v>
      </c>
      <c r="AR2232" s="290">
        <f t="shared" ref="AR2232:AS2232" si="1923">AR2233+AR2244-AR2264-AR2277</f>
        <v>0</v>
      </c>
      <c r="AS2232" s="373">
        <f t="shared" si="1923"/>
        <v>-806262.28</v>
      </c>
      <c r="AT2232" s="155"/>
      <c r="AU2232" s="156">
        <f t="shared" si="1837"/>
        <v>0</v>
      </c>
      <c r="AV2232" s="156">
        <f t="shared" si="1838"/>
        <v>620047.18250000034</v>
      </c>
      <c r="AW2232" s="157"/>
      <c r="AX2232" s="150">
        <v>-1426309.4625000004</v>
      </c>
      <c r="AY2232" s="373">
        <f t="shared" ref="AY2232:BA2232" si="1924">AY2233+AY2244-AY2264-AY2277</f>
        <v>-766686.55</v>
      </c>
      <c r="AZ2232" s="373">
        <f t="shared" si="1924"/>
        <v>-799416.20499999996</v>
      </c>
      <c r="BA2232" s="373">
        <f t="shared" si="1924"/>
        <v>-1566102.7550000001</v>
      </c>
      <c r="BB2232" s="143">
        <v>6</v>
      </c>
      <c r="BC2232" s="158" t="s">
        <v>630</v>
      </c>
      <c r="BD2232" s="158" t="s">
        <v>630</v>
      </c>
      <c r="BE2232" s="158" t="s">
        <v>630</v>
      </c>
      <c r="BF2232" s="158" t="s">
        <v>630</v>
      </c>
      <c r="BG2232" s="145" t="s">
        <v>10327</v>
      </c>
      <c r="BH2232" s="375">
        <f>BH2233+BH2244-BH2264-BH2277</f>
        <v>-806262.28</v>
      </c>
      <c r="BI2232" s="143"/>
      <c r="BJ2232" s="143" t="s">
        <v>2298</v>
      </c>
      <c r="BK2232" s="143" t="s">
        <v>2298</v>
      </c>
      <c r="BL2232" s="159" t="s">
        <v>10328</v>
      </c>
      <c r="BM2232" s="376">
        <f>BM2233+BM2244-BM2264-BM2277</f>
        <v>-806262.28</v>
      </c>
      <c r="BN2232" s="160"/>
      <c r="BO2232" s="161">
        <f t="shared" si="1918"/>
        <v>0</v>
      </c>
      <c r="BP2232" s="161"/>
    </row>
    <row r="2233" spans="1:68">
      <c r="A2233" s="162" t="s">
        <v>10329</v>
      </c>
      <c r="B2233" s="163"/>
      <c r="C2233" s="164" t="s">
        <v>10330</v>
      </c>
      <c r="D2233" s="146" t="s">
        <v>4692</v>
      </c>
      <c r="E2233" s="164" t="s">
        <v>10330</v>
      </c>
      <c r="F2233" s="165">
        <v>35845.54</v>
      </c>
      <c r="G2233" s="166">
        <v>0</v>
      </c>
      <c r="H2233" s="166">
        <v>0</v>
      </c>
      <c r="I2233" s="166">
        <v>0</v>
      </c>
      <c r="J2233" s="165">
        <f>J2234+J2237+J2241</f>
        <v>5726.71</v>
      </c>
      <c r="K2233" s="165">
        <f>K2234+K2237+K2241</f>
        <v>0</v>
      </c>
      <c r="L2233" s="165">
        <f t="shared" si="1859"/>
        <v>5726.71</v>
      </c>
      <c r="M2233" s="165">
        <v>0</v>
      </c>
      <c r="N2233" s="165">
        <v>0</v>
      </c>
      <c r="O2233" s="167">
        <v>0</v>
      </c>
      <c r="P2233" s="232">
        <f t="shared" ref="P2233:R2233" si="1925">P2234+P2237+P2241</f>
        <v>5836.48</v>
      </c>
      <c r="Q2233" s="232">
        <f t="shared" si="1925"/>
        <v>26884.155000000002</v>
      </c>
      <c r="R2233" s="232">
        <f t="shared" si="1925"/>
        <v>32720.635000000002</v>
      </c>
      <c r="S2233" s="150">
        <f t="shared" si="1912"/>
        <v>43627.513333333336</v>
      </c>
      <c r="T2233" s="213"/>
      <c r="U2233" s="232">
        <f t="shared" ref="U2233:W2233" si="1926">U2234+U2237+U2241</f>
        <v>5915.46</v>
      </c>
      <c r="V2233" s="233">
        <f t="shared" si="1926"/>
        <v>49287.6175</v>
      </c>
      <c r="W2233" s="232">
        <f t="shared" si="1926"/>
        <v>55203.077499999999</v>
      </c>
      <c r="X2233" s="232">
        <v>5915.46</v>
      </c>
      <c r="Y2233" s="232">
        <v>49287.6175</v>
      </c>
      <c r="Z2233" s="232">
        <v>55203.077499999999</v>
      </c>
      <c r="AA2233" s="232">
        <f t="shared" si="1842"/>
        <v>-49287.6175</v>
      </c>
      <c r="AB2233" s="232">
        <v>5915.46</v>
      </c>
      <c r="AC2233" s="233">
        <v>0</v>
      </c>
      <c r="AD2233" s="232">
        <f t="shared" ref="AD2233" si="1927">AD2234+AD2237+AD2241</f>
        <v>5915.46</v>
      </c>
      <c r="AE2233" s="232">
        <v>5915.46</v>
      </c>
      <c r="AF2233" s="169" t="s">
        <v>4680</v>
      </c>
      <c r="AG2233" s="234">
        <v>5915.46</v>
      </c>
      <c r="AH2233" s="233">
        <v>0</v>
      </c>
      <c r="AI2233" s="232">
        <v>5915.46</v>
      </c>
      <c r="AJ2233" s="169">
        <f t="shared" si="1843"/>
        <v>0</v>
      </c>
      <c r="AK2233" s="234">
        <v>5915.46</v>
      </c>
      <c r="AL2233" s="233">
        <v>0</v>
      </c>
      <c r="AM2233" s="232">
        <f t="shared" ref="AM2233" si="1928">AM2234+AM2237+AM2241</f>
        <v>5915.46</v>
      </c>
      <c r="AN2233" s="153">
        <f t="shared" si="1844"/>
        <v>0</v>
      </c>
      <c r="AO2233" s="154">
        <f t="shared" si="1845"/>
        <v>0</v>
      </c>
      <c r="AP2233" s="232">
        <v>5915.46</v>
      </c>
      <c r="AQ2233" s="234">
        <v>5915.46</v>
      </c>
      <c r="AR2233" s="233">
        <f t="shared" ref="AR2233:AS2233" si="1929">AR2234+AR2237+AR2241</f>
        <v>0</v>
      </c>
      <c r="AS2233" s="232">
        <f t="shared" si="1929"/>
        <v>5915.46</v>
      </c>
      <c r="AT2233" s="155"/>
      <c r="AU2233" s="156">
        <f t="shared" si="1837"/>
        <v>0</v>
      </c>
      <c r="AV2233" s="156">
        <f t="shared" si="1838"/>
        <v>-49287.6175</v>
      </c>
      <c r="AW2233" s="157"/>
      <c r="AX2233" s="150">
        <v>55203.077499999999</v>
      </c>
      <c r="AY2233" s="232">
        <f t="shared" ref="AY2233:BA2233" si="1930">AY2234+AY2237+AY2241</f>
        <v>5836.48</v>
      </c>
      <c r="AZ2233" s="232">
        <f t="shared" si="1930"/>
        <v>-2973.1249999999995</v>
      </c>
      <c r="BA2233" s="232">
        <f t="shared" si="1930"/>
        <v>2863.355</v>
      </c>
      <c r="BB2233" s="171">
        <v>6</v>
      </c>
      <c r="BC2233" s="162" t="s">
        <v>632</v>
      </c>
      <c r="BD2233" s="162" t="s">
        <v>630</v>
      </c>
      <c r="BE2233" s="162" t="s">
        <v>630</v>
      </c>
      <c r="BF2233" s="162" t="s">
        <v>630</v>
      </c>
      <c r="BG2233" s="164" t="s">
        <v>10330</v>
      </c>
      <c r="BH2233" s="235">
        <f>BH2234+BH2237+BH2241</f>
        <v>5915.46</v>
      </c>
      <c r="BI2233" s="171"/>
      <c r="BJ2233" s="162" t="s">
        <v>10331</v>
      </c>
      <c r="BK2233" s="162" t="s">
        <v>10329</v>
      </c>
      <c r="BL2233" s="172" t="s">
        <v>10332</v>
      </c>
      <c r="BM2233" s="349">
        <f>BM2234+BM2237+BM2241</f>
        <v>5915.46</v>
      </c>
      <c r="BN2233" s="160"/>
      <c r="BO2233" s="161">
        <f t="shared" si="1918"/>
        <v>0</v>
      </c>
      <c r="BP2233" s="161"/>
    </row>
    <row r="2234" spans="1:68" ht="25.5">
      <c r="A2234" s="173" t="s">
        <v>10333</v>
      </c>
      <c r="B2234" s="174"/>
      <c r="C2234" s="175" t="s">
        <v>10334</v>
      </c>
      <c r="D2234" s="146" t="s">
        <v>4692</v>
      </c>
      <c r="E2234" s="175" t="s">
        <v>10334</v>
      </c>
      <c r="F2234" s="176">
        <v>0</v>
      </c>
      <c r="G2234" s="177">
        <v>0</v>
      </c>
      <c r="H2234" s="177">
        <v>0</v>
      </c>
      <c r="I2234" s="177">
        <v>0</v>
      </c>
      <c r="J2234" s="176">
        <f>J2235</f>
        <v>0</v>
      </c>
      <c r="K2234" s="176">
        <f>K2235</f>
        <v>0</v>
      </c>
      <c r="L2234" s="176">
        <f t="shared" si="1859"/>
        <v>0</v>
      </c>
      <c r="M2234" s="176">
        <v>0</v>
      </c>
      <c r="N2234" s="176">
        <v>0</v>
      </c>
      <c r="O2234" s="178">
        <v>0</v>
      </c>
      <c r="P2234" s="221">
        <f t="shared" ref="P2234:AM2235" si="1931">P2235</f>
        <v>0</v>
      </c>
      <c r="Q2234" s="221">
        <f t="shared" si="1931"/>
        <v>0</v>
      </c>
      <c r="R2234" s="221">
        <f t="shared" si="1931"/>
        <v>0</v>
      </c>
      <c r="S2234" s="150">
        <f t="shared" si="1912"/>
        <v>0</v>
      </c>
      <c r="T2234" s="213"/>
      <c r="U2234" s="221">
        <f t="shared" ref="U2234:W2235" si="1932">U2235</f>
        <v>0</v>
      </c>
      <c r="V2234" s="222">
        <f t="shared" si="1932"/>
        <v>0</v>
      </c>
      <c r="W2234" s="221">
        <f t="shared" si="1932"/>
        <v>0</v>
      </c>
      <c r="X2234" s="221">
        <v>0</v>
      </c>
      <c r="Y2234" s="221">
        <v>0</v>
      </c>
      <c r="Z2234" s="221">
        <v>0</v>
      </c>
      <c r="AA2234" s="221">
        <f t="shared" si="1842"/>
        <v>0</v>
      </c>
      <c r="AB2234" s="221">
        <v>0</v>
      </c>
      <c r="AC2234" s="222">
        <v>0</v>
      </c>
      <c r="AD2234" s="221">
        <f t="shared" si="1931"/>
        <v>0</v>
      </c>
      <c r="AE2234" s="221">
        <v>0</v>
      </c>
      <c r="AF2234" s="169" t="s">
        <v>4680</v>
      </c>
      <c r="AG2234" s="223">
        <v>0</v>
      </c>
      <c r="AH2234" s="222">
        <v>0</v>
      </c>
      <c r="AI2234" s="221">
        <v>0</v>
      </c>
      <c r="AJ2234" s="169">
        <f t="shared" si="1843"/>
        <v>0</v>
      </c>
      <c r="AK2234" s="223">
        <v>0</v>
      </c>
      <c r="AL2234" s="222">
        <v>0</v>
      </c>
      <c r="AM2234" s="221">
        <f t="shared" si="1931"/>
        <v>0</v>
      </c>
      <c r="AN2234" s="153">
        <f t="shared" si="1844"/>
        <v>0</v>
      </c>
      <c r="AO2234" s="154">
        <f t="shared" si="1845"/>
        <v>0</v>
      </c>
      <c r="AP2234" s="221">
        <v>0</v>
      </c>
      <c r="AQ2234" s="223">
        <v>0</v>
      </c>
      <c r="AR2234" s="222">
        <f t="shared" ref="AR2234:AS2235" si="1933">AR2235</f>
        <v>0</v>
      </c>
      <c r="AS2234" s="221">
        <f t="shared" si="1933"/>
        <v>0</v>
      </c>
      <c r="AT2234" s="155"/>
      <c r="AU2234" s="156">
        <f t="shared" si="1837"/>
        <v>0</v>
      </c>
      <c r="AV2234" s="156">
        <f t="shared" si="1838"/>
        <v>0</v>
      </c>
      <c r="AW2234" s="157"/>
      <c r="AX2234" s="150">
        <v>0</v>
      </c>
      <c r="AY2234" s="221">
        <f t="shared" ref="AY2234:BA2235" si="1934">AY2235</f>
        <v>0</v>
      </c>
      <c r="AZ2234" s="221">
        <f t="shared" si="1934"/>
        <v>0</v>
      </c>
      <c r="BA2234" s="221">
        <f t="shared" si="1934"/>
        <v>0</v>
      </c>
      <c r="BB2234" s="181">
        <v>6</v>
      </c>
      <c r="BC2234" s="173" t="s">
        <v>632</v>
      </c>
      <c r="BD2234" s="173" t="s">
        <v>632</v>
      </c>
      <c r="BE2234" s="173" t="s">
        <v>630</v>
      </c>
      <c r="BF2234" s="173" t="s">
        <v>630</v>
      </c>
      <c r="BG2234" s="175" t="s">
        <v>10334</v>
      </c>
      <c r="BH2234" s="224">
        <f>BH2235</f>
        <v>0</v>
      </c>
      <c r="BI2234" s="181"/>
      <c r="BJ2234" s="173" t="s">
        <v>10335</v>
      </c>
      <c r="BK2234" s="173" t="s">
        <v>10333</v>
      </c>
      <c r="BL2234" s="182" t="s">
        <v>10336</v>
      </c>
      <c r="BM2234" s="337">
        <f>BM2235</f>
        <v>0</v>
      </c>
      <c r="BN2234" s="160"/>
      <c r="BO2234" s="161">
        <f t="shared" si="1918"/>
        <v>0</v>
      </c>
      <c r="BP2234" s="161"/>
    </row>
    <row r="2235" spans="1:68" ht="25.5">
      <c r="A2235" s="183" t="s">
        <v>10333</v>
      </c>
      <c r="B2235" s="184"/>
      <c r="C2235" s="185" t="s">
        <v>10334</v>
      </c>
      <c r="D2235" s="146" t="s">
        <v>4692</v>
      </c>
      <c r="E2235" s="185" t="s">
        <v>10334</v>
      </c>
      <c r="F2235" s="188">
        <v>0</v>
      </c>
      <c r="G2235" s="187">
        <v>0</v>
      </c>
      <c r="H2235" s="187"/>
      <c r="I2235" s="187">
        <v>0</v>
      </c>
      <c r="J2235" s="188">
        <f>J2236</f>
        <v>0</v>
      </c>
      <c r="K2235" s="188">
        <f>K2236</f>
        <v>0</v>
      </c>
      <c r="L2235" s="188">
        <f t="shared" si="1859"/>
        <v>0</v>
      </c>
      <c r="M2235" s="188">
        <v>0</v>
      </c>
      <c r="N2235" s="188">
        <v>0</v>
      </c>
      <c r="O2235" s="188">
        <v>0</v>
      </c>
      <c r="P2235" s="299">
        <f t="shared" si="1931"/>
        <v>0</v>
      </c>
      <c r="Q2235" s="299">
        <f t="shared" si="1931"/>
        <v>0</v>
      </c>
      <c r="R2235" s="299">
        <f t="shared" si="1931"/>
        <v>0</v>
      </c>
      <c r="S2235" s="150">
        <f t="shared" si="1912"/>
        <v>0</v>
      </c>
      <c r="T2235" s="213"/>
      <c r="U2235" s="299">
        <f t="shared" si="1932"/>
        <v>0</v>
      </c>
      <c r="V2235" s="226">
        <f t="shared" si="1932"/>
        <v>0</v>
      </c>
      <c r="W2235" s="299">
        <f t="shared" si="1932"/>
        <v>0</v>
      </c>
      <c r="X2235" s="299">
        <v>0</v>
      </c>
      <c r="Y2235" s="299">
        <v>0</v>
      </c>
      <c r="Z2235" s="299">
        <v>0</v>
      </c>
      <c r="AA2235" s="299">
        <f t="shared" si="1842"/>
        <v>0</v>
      </c>
      <c r="AB2235" s="299">
        <v>0</v>
      </c>
      <c r="AC2235" s="226">
        <v>0</v>
      </c>
      <c r="AD2235" s="299">
        <f t="shared" si="1931"/>
        <v>0</v>
      </c>
      <c r="AE2235" s="299">
        <v>0</v>
      </c>
      <c r="AF2235" s="169" t="s">
        <v>4680</v>
      </c>
      <c r="AG2235" s="301">
        <v>0</v>
      </c>
      <c r="AH2235" s="226">
        <v>0</v>
      </c>
      <c r="AI2235" s="299">
        <v>0</v>
      </c>
      <c r="AJ2235" s="169">
        <f t="shared" si="1843"/>
        <v>0</v>
      </c>
      <c r="AK2235" s="301">
        <v>0</v>
      </c>
      <c r="AL2235" s="226">
        <v>0</v>
      </c>
      <c r="AM2235" s="299">
        <f t="shared" si="1931"/>
        <v>0</v>
      </c>
      <c r="AN2235" s="153">
        <f t="shared" si="1844"/>
        <v>0</v>
      </c>
      <c r="AO2235" s="154">
        <f t="shared" si="1845"/>
        <v>0</v>
      </c>
      <c r="AP2235" s="299">
        <v>0</v>
      </c>
      <c r="AQ2235" s="301">
        <v>0</v>
      </c>
      <c r="AR2235" s="226">
        <f t="shared" si="1933"/>
        <v>0</v>
      </c>
      <c r="AS2235" s="299">
        <f t="shared" si="1933"/>
        <v>0</v>
      </c>
      <c r="AT2235" s="155"/>
      <c r="AU2235" s="156">
        <f t="shared" si="1837"/>
        <v>0</v>
      </c>
      <c r="AV2235" s="156">
        <f t="shared" si="1838"/>
        <v>0</v>
      </c>
      <c r="AW2235" s="157"/>
      <c r="AX2235" s="150">
        <v>0</v>
      </c>
      <c r="AY2235" s="299">
        <f t="shared" si="1934"/>
        <v>0</v>
      </c>
      <c r="AZ2235" s="299">
        <f t="shared" si="1934"/>
        <v>0</v>
      </c>
      <c r="BA2235" s="299">
        <f t="shared" si="1934"/>
        <v>0</v>
      </c>
      <c r="BB2235" s="191">
        <v>6</v>
      </c>
      <c r="BC2235" s="183" t="s">
        <v>632</v>
      </c>
      <c r="BD2235" s="183" t="s">
        <v>632</v>
      </c>
      <c r="BE2235" s="183" t="s">
        <v>632</v>
      </c>
      <c r="BF2235" s="183" t="s">
        <v>630</v>
      </c>
      <c r="BG2235" s="185" t="s">
        <v>10334</v>
      </c>
      <c r="BH2235" s="215">
        <f>BH2236</f>
        <v>0</v>
      </c>
      <c r="BI2235" s="191"/>
      <c r="BJ2235" s="183" t="s">
        <v>10335</v>
      </c>
      <c r="BK2235" s="183" t="s">
        <v>10333</v>
      </c>
      <c r="BL2235" s="238" t="s">
        <v>10336</v>
      </c>
      <c r="BM2235" s="338">
        <f>BM2236</f>
        <v>0</v>
      </c>
      <c r="BN2235" s="160"/>
      <c r="BO2235" s="161">
        <f t="shared" si="1918"/>
        <v>0</v>
      </c>
      <c r="BP2235" s="161"/>
    </row>
    <row r="2236" spans="1:68" ht="25.5">
      <c r="A2236" s="194" t="s">
        <v>10333</v>
      </c>
      <c r="B2236" s="195" t="s">
        <v>10337</v>
      </c>
      <c r="C2236" s="196" t="s">
        <v>10338</v>
      </c>
      <c r="D2236" s="146" t="s">
        <v>4692</v>
      </c>
      <c r="E2236" s="197" t="s">
        <v>10338</v>
      </c>
      <c r="F2236" s="150">
        <v>0</v>
      </c>
      <c r="G2236" s="198">
        <v>0</v>
      </c>
      <c r="H2236" s="198">
        <v>0</v>
      </c>
      <c r="I2236" s="198">
        <v>0</v>
      </c>
      <c r="J2236" s="150">
        <v>0</v>
      </c>
      <c r="K2236" s="150">
        <v>0</v>
      </c>
      <c r="L2236" s="150">
        <f t="shared" si="1859"/>
        <v>0</v>
      </c>
      <c r="M2236" s="150">
        <v>0</v>
      </c>
      <c r="N2236" s="150"/>
      <c r="O2236" s="150">
        <v>0</v>
      </c>
      <c r="P2236" s="150">
        <v>0</v>
      </c>
      <c r="Q2236" s="150">
        <v>0</v>
      </c>
      <c r="R2236" s="150">
        <f>P2236+Q2236</f>
        <v>0</v>
      </c>
      <c r="S2236" s="150">
        <f t="shared" si="1912"/>
        <v>0</v>
      </c>
      <c r="T2236" s="150"/>
      <c r="U2236" s="150">
        <v>0</v>
      </c>
      <c r="V2236" s="199"/>
      <c r="W2236" s="150">
        <f>U2236+V2236</f>
        <v>0</v>
      </c>
      <c r="X2236" s="150">
        <v>0</v>
      </c>
      <c r="Y2236" s="150"/>
      <c r="Z2236" s="150">
        <v>0</v>
      </c>
      <c r="AA2236" s="150">
        <f t="shared" si="1842"/>
        <v>0</v>
      </c>
      <c r="AB2236" s="150">
        <v>0</v>
      </c>
      <c r="AC2236" s="199"/>
      <c r="AD2236" s="150">
        <f>AB2236+AC2236</f>
        <v>0</v>
      </c>
      <c r="AE2236" s="150">
        <v>0</v>
      </c>
      <c r="AF2236" s="169" t="s">
        <v>4680</v>
      </c>
      <c r="AG2236" s="201">
        <v>0</v>
      </c>
      <c r="AH2236" s="199"/>
      <c r="AI2236" s="150">
        <v>0</v>
      </c>
      <c r="AJ2236" s="169">
        <f t="shared" si="1843"/>
        <v>0</v>
      </c>
      <c r="AK2236" s="201">
        <v>0</v>
      </c>
      <c r="AL2236" s="199"/>
      <c r="AM2236" s="150">
        <f>AK2236+AL2236</f>
        <v>0</v>
      </c>
      <c r="AN2236" s="153">
        <f t="shared" si="1844"/>
        <v>0</v>
      </c>
      <c r="AO2236" s="154">
        <f t="shared" si="1845"/>
        <v>0</v>
      </c>
      <c r="AP2236" s="150">
        <v>0</v>
      </c>
      <c r="AQ2236" s="201">
        <v>0</v>
      </c>
      <c r="AR2236" s="199"/>
      <c r="AS2236" s="150">
        <f>AQ2236+AR2236</f>
        <v>0</v>
      </c>
      <c r="AT2236" s="155"/>
      <c r="AU2236" s="156">
        <f t="shared" si="1837"/>
        <v>0</v>
      </c>
      <c r="AV2236" s="156">
        <f t="shared" si="1838"/>
        <v>0</v>
      </c>
      <c r="AW2236" s="157"/>
      <c r="AX2236" s="150">
        <v>0</v>
      </c>
      <c r="AY2236" s="150">
        <v>0</v>
      </c>
      <c r="AZ2236" s="150"/>
      <c r="BA2236" s="150">
        <f>AY2236+AZ2236</f>
        <v>0</v>
      </c>
      <c r="BB2236" s="202">
        <v>6</v>
      </c>
      <c r="BC2236" s="202" t="s">
        <v>632</v>
      </c>
      <c r="BD2236" s="202" t="s">
        <v>632</v>
      </c>
      <c r="BE2236" s="202" t="s">
        <v>632</v>
      </c>
      <c r="BF2236" s="202" t="s">
        <v>632</v>
      </c>
      <c r="BG2236" s="203" t="s">
        <v>10334</v>
      </c>
      <c r="BH2236" s="216">
        <f>AS2236</f>
        <v>0</v>
      </c>
      <c r="BI2236" s="202"/>
      <c r="BJ2236" s="194" t="s">
        <v>10335</v>
      </c>
      <c r="BK2236" s="194" t="s">
        <v>10333</v>
      </c>
      <c r="BL2236" s="207" t="s">
        <v>10336</v>
      </c>
      <c r="BM2236" s="208">
        <f>BH2236</f>
        <v>0</v>
      </c>
      <c r="BN2236" s="160"/>
      <c r="BO2236" s="161">
        <f t="shared" si="1918"/>
        <v>0</v>
      </c>
      <c r="BP2236" s="161"/>
    </row>
    <row r="2237" spans="1:68" ht="25.5">
      <c r="A2237" s="173" t="s">
        <v>10339</v>
      </c>
      <c r="B2237" s="174"/>
      <c r="C2237" s="175" t="s">
        <v>10340</v>
      </c>
      <c r="D2237" s="146" t="s">
        <v>4692</v>
      </c>
      <c r="E2237" s="175" t="s">
        <v>10340</v>
      </c>
      <c r="F2237" s="176">
        <v>0</v>
      </c>
      <c r="G2237" s="177">
        <v>0</v>
      </c>
      <c r="H2237" s="177">
        <v>0</v>
      </c>
      <c r="I2237" s="177">
        <v>0</v>
      </c>
      <c r="J2237" s="176">
        <f>J2238</f>
        <v>0</v>
      </c>
      <c r="K2237" s="176">
        <f>K2238</f>
        <v>0</v>
      </c>
      <c r="L2237" s="176">
        <f t="shared" si="1859"/>
        <v>0</v>
      </c>
      <c r="M2237" s="178"/>
      <c r="N2237" s="178"/>
      <c r="O2237" s="178">
        <v>0</v>
      </c>
      <c r="P2237" s="221">
        <f t="shared" ref="P2237:AS2237" si="1935">P2238</f>
        <v>0</v>
      </c>
      <c r="Q2237" s="221">
        <f t="shared" si="1935"/>
        <v>0</v>
      </c>
      <c r="R2237" s="221">
        <f t="shared" si="1935"/>
        <v>0</v>
      </c>
      <c r="S2237" s="150">
        <f t="shared" si="1912"/>
        <v>0</v>
      </c>
      <c r="T2237" s="213"/>
      <c r="U2237" s="221">
        <f t="shared" ref="U2237:W2237" si="1936">U2238</f>
        <v>0</v>
      </c>
      <c r="V2237" s="222">
        <f t="shared" si="1936"/>
        <v>0</v>
      </c>
      <c r="W2237" s="221">
        <f t="shared" si="1936"/>
        <v>0</v>
      </c>
      <c r="X2237" s="221">
        <v>0</v>
      </c>
      <c r="Y2237" s="221">
        <v>0</v>
      </c>
      <c r="Z2237" s="221">
        <v>0</v>
      </c>
      <c r="AA2237" s="221">
        <f t="shared" si="1842"/>
        <v>0</v>
      </c>
      <c r="AB2237" s="221">
        <v>0</v>
      </c>
      <c r="AC2237" s="222">
        <v>0</v>
      </c>
      <c r="AD2237" s="221">
        <f t="shared" si="1935"/>
        <v>0</v>
      </c>
      <c r="AE2237" s="221">
        <v>0</v>
      </c>
      <c r="AF2237" s="169" t="s">
        <v>4680</v>
      </c>
      <c r="AG2237" s="223">
        <v>0</v>
      </c>
      <c r="AH2237" s="222">
        <v>0</v>
      </c>
      <c r="AI2237" s="221">
        <v>0</v>
      </c>
      <c r="AJ2237" s="169">
        <f t="shared" si="1843"/>
        <v>0</v>
      </c>
      <c r="AK2237" s="223">
        <v>0</v>
      </c>
      <c r="AL2237" s="222">
        <v>0</v>
      </c>
      <c r="AM2237" s="221">
        <f t="shared" si="1935"/>
        <v>0</v>
      </c>
      <c r="AN2237" s="153">
        <f t="shared" si="1844"/>
        <v>0</v>
      </c>
      <c r="AO2237" s="154">
        <f t="shared" si="1845"/>
        <v>0</v>
      </c>
      <c r="AP2237" s="221">
        <v>0</v>
      </c>
      <c r="AQ2237" s="223">
        <v>0</v>
      </c>
      <c r="AR2237" s="222">
        <f t="shared" si="1935"/>
        <v>0</v>
      </c>
      <c r="AS2237" s="221">
        <f t="shared" si="1935"/>
        <v>0</v>
      </c>
      <c r="AT2237" s="155"/>
      <c r="AU2237" s="156">
        <f t="shared" si="1837"/>
        <v>0</v>
      </c>
      <c r="AV2237" s="156">
        <f t="shared" si="1838"/>
        <v>0</v>
      </c>
      <c r="AW2237" s="157"/>
      <c r="AX2237" s="150">
        <v>0</v>
      </c>
      <c r="AY2237" s="221">
        <f t="shared" ref="AY2237:BA2237" si="1937">AY2238</f>
        <v>0</v>
      </c>
      <c r="AZ2237" s="221">
        <f t="shared" si="1937"/>
        <v>0</v>
      </c>
      <c r="BA2237" s="221">
        <f t="shared" si="1937"/>
        <v>0</v>
      </c>
      <c r="BB2237" s="181">
        <v>6</v>
      </c>
      <c r="BC2237" s="173" t="s">
        <v>632</v>
      </c>
      <c r="BD2237" s="173" t="s">
        <v>647</v>
      </c>
      <c r="BE2237" s="173" t="s">
        <v>630</v>
      </c>
      <c r="BF2237" s="173" t="s">
        <v>630</v>
      </c>
      <c r="BG2237" s="175" t="s">
        <v>10340</v>
      </c>
      <c r="BH2237" s="224">
        <f>BH2238</f>
        <v>0</v>
      </c>
      <c r="BI2237" s="181"/>
      <c r="BJ2237" s="173" t="s">
        <v>10341</v>
      </c>
      <c r="BK2237" s="173" t="s">
        <v>10339</v>
      </c>
      <c r="BL2237" s="182" t="s">
        <v>10342</v>
      </c>
      <c r="BM2237" s="337">
        <f>BM2238</f>
        <v>0</v>
      </c>
      <c r="BN2237" s="160"/>
      <c r="BO2237" s="161">
        <f t="shared" si="1918"/>
        <v>0</v>
      </c>
      <c r="BP2237" s="161"/>
    </row>
    <row r="2238" spans="1:68" ht="25.5">
      <c r="A2238" s="183" t="s">
        <v>10339</v>
      </c>
      <c r="B2238" s="184"/>
      <c r="C2238" s="185" t="s">
        <v>10340</v>
      </c>
      <c r="D2238" s="146" t="s">
        <v>4692</v>
      </c>
      <c r="E2238" s="185" t="s">
        <v>10340</v>
      </c>
      <c r="F2238" s="188">
        <v>0</v>
      </c>
      <c r="G2238" s="187">
        <v>0</v>
      </c>
      <c r="H2238" s="187"/>
      <c r="I2238" s="187">
        <v>0</v>
      </c>
      <c r="J2238" s="188">
        <f>J2239+J2240</f>
        <v>0</v>
      </c>
      <c r="K2238" s="188">
        <f>K2239+K2240</f>
        <v>0</v>
      </c>
      <c r="L2238" s="188">
        <f t="shared" si="1859"/>
        <v>0</v>
      </c>
      <c r="M2238" s="188"/>
      <c r="N2238" s="188"/>
      <c r="O2238" s="188">
        <v>0</v>
      </c>
      <c r="P2238" s="299">
        <f t="shared" ref="P2238:R2238" si="1938">P2239+P2240</f>
        <v>0</v>
      </c>
      <c r="Q2238" s="299">
        <f t="shared" si="1938"/>
        <v>0</v>
      </c>
      <c r="R2238" s="299">
        <f t="shared" si="1938"/>
        <v>0</v>
      </c>
      <c r="S2238" s="150">
        <f t="shared" si="1912"/>
        <v>0</v>
      </c>
      <c r="T2238" s="213"/>
      <c r="U2238" s="299">
        <f t="shared" ref="U2238:W2238" si="1939">U2239+U2240</f>
        <v>0</v>
      </c>
      <c r="V2238" s="226">
        <f t="shared" si="1939"/>
        <v>0</v>
      </c>
      <c r="W2238" s="299">
        <f t="shared" si="1939"/>
        <v>0</v>
      </c>
      <c r="X2238" s="299">
        <v>0</v>
      </c>
      <c r="Y2238" s="299">
        <v>0</v>
      </c>
      <c r="Z2238" s="299">
        <v>0</v>
      </c>
      <c r="AA2238" s="299">
        <f t="shared" si="1842"/>
        <v>0</v>
      </c>
      <c r="AB2238" s="299">
        <v>0</v>
      </c>
      <c r="AC2238" s="226">
        <v>0</v>
      </c>
      <c r="AD2238" s="299">
        <f t="shared" ref="AD2238" si="1940">AD2239+AD2240</f>
        <v>0</v>
      </c>
      <c r="AE2238" s="299">
        <v>0</v>
      </c>
      <c r="AF2238" s="169" t="s">
        <v>4680</v>
      </c>
      <c r="AG2238" s="301">
        <v>0</v>
      </c>
      <c r="AH2238" s="226">
        <v>0</v>
      </c>
      <c r="AI2238" s="299">
        <v>0</v>
      </c>
      <c r="AJ2238" s="169">
        <f t="shared" si="1843"/>
        <v>0</v>
      </c>
      <c r="AK2238" s="301">
        <v>0</v>
      </c>
      <c r="AL2238" s="226">
        <v>0</v>
      </c>
      <c r="AM2238" s="299">
        <f t="shared" ref="AM2238" si="1941">AM2239+AM2240</f>
        <v>0</v>
      </c>
      <c r="AN2238" s="153">
        <f t="shared" si="1844"/>
        <v>0</v>
      </c>
      <c r="AO2238" s="154">
        <f t="shared" si="1845"/>
        <v>0</v>
      </c>
      <c r="AP2238" s="299">
        <v>0</v>
      </c>
      <c r="AQ2238" s="301">
        <v>0</v>
      </c>
      <c r="AR2238" s="226">
        <f t="shared" ref="AR2238:AS2238" si="1942">AR2239+AR2240</f>
        <v>0</v>
      </c>
      <c r="AS2238" s="299">
        <f t="shared" si="1942"/>
        <v>0</v>
      </c>
      <c r="AT2238" s="155"/>
      <c r="AU2238" s="156">
        <f t="shared" si="1837"/>
        <v>0</v>
      </c>
      <c r="AV2238" s="156">
        <f t="shared" si="1838"/>
        <v>0</v>
      </c>
      <c r="AW2238" s="157"/>
      <c r="AX2238" s="150">
        <v>0</v>
      </c>
      <c r="AY2238" s="299">
        <f t="shared" ref="AY2238:BA2238" si="1943">AY2239+AY2240</f>
        <v>0</v>
      </c>
      <c r="AZ2238" s="299">
        <f t="shared" si="1943"/>
        <v>0</v>
      </c>
      <c r="BA2238" s="299">
        <f t="shared" si="1943"/>
        <v>0</v>
      </c>
      <c r="BB2238" s="191">
        <v>6</v>
      </c>
      <c r="BC2238" s="183" t="s">
        <v>632</v>
      </c>
      <c r="BD2238" s="183" t="s">
        <v>647</v>
      </c>
      <c r="BE2238" s="183" t="s">
        <v>632</v>
      </c>
      <c r="BF2238" s="183" t="s">
        <v>630</v>
      </c>
      <c r="BG2238" s="185" t="s">
        <v>10340</v>
      </c>
      <c r="BH2238" s="215">
        <f>BH2239</f>
        <v>0</v>
      </c>
      <c r="BI2238" s="191"/>
      <c r="BJ2238" s="183" t="s">
        <v>10341</v>
      </c>
      <c r="BK2238" s="183" t="s">
        <v>10339</v>
      </c>
      <c r="BL2238" s="238" t="s">
        <v>10342</v>
      </c>
      <c r="BM2238" s="338">
        <f>BM2239</f>
        <v>0</v>
      </c>
      <c r="BN2238" s="160"/>
      <c r="BO2238" s="161">
        <f t="shared" si="1918"/>
        <v>0</v>
      </c>
      <c r="BP2238" s="161"/>
    </row>
    <row r="2239" spans="1:68" ht="25.5">
      <c r="A2239" s="194" t="s">
        <v>10339</v>
      </c>
      <c r="B2239" s="195" t="s">
        <v>10343</v>
      </c>
      <c r="C2239" s="196" t="s">
        <v>10344</v>
      </c>
      <c r="D2239" s="146" t="s">
        <v>4692</v>
      </c>
      <c r="E2239" s="196" t="s">
        <v>10344</v>
      </c>
      <c r="F2239" s="150">
        <v>0</v>
      </c>
      <c r="G2239" s="209">
        <v>0</v>
      </c>
      <c r="H2239" s="209"/>
      <c r="I2239" s="209">
        <v>0</v>
      </c>
      <c r="J2239" s="150">
        <v>0</v>
      </c>
      <c r="K2239" s="150">
        <v>0</v>
      </c>
      <c r="L2239" s="150">
        <f t="shared" si="1859"/>
        <v>0</v>
      </c>
      <c r="M2239" s="150">
        <v>0</v>
      </c>
      <c r="N2239" s="150"/>
      <c r="O2239" s="150">
        <v>0</v>
      </c>
      <c r="P2239" s="150">
        <v>0</v>
      </c>
      <c r="Q2239" s="150">
        <v>0</v>
      </c>
      <c r="R2239" s="150">
        <f>P2239+Q2239</f>
        <v>0</v>
      </c>
      <c r="S2239" s="150">
        <f t="shared" si="1912"/>
        <v>0</v>
      </c>
      <c r="T2239" s="150"/>
      <c r="U2239" s="150">
        <v>0</v>
      </c>
      <c r="V2239" s="199"/>
      <c r="W2239" s="150">
        <f>U2239+V2239</f>
        <v>0</v>
      </c>
      <c r="X2239" s="150">
        <v>0</v>
      </c>
      <c r="Y2239" s="150"/>
      <c r="Z2239" s="150">
        <v>0</v>
      </c>
      <c r="AA2239" s="150">
        <f t="shared" si="1842"/>
        <v>0</v>
      </c>
      <c r="AB2239" s="150">
        <v>0</v>
      </c>
      <c r="AC2239" s="199"/>
      <c r="AD2239" s="150">
        <f>AB2239+AC2239</f>
        <v>0</v>
      </c>
      <c r="AE2239" s="150">
        <v>0</v>
      </c>
      <c r="AF2239" s="169" t="s">
        <v>4680</v>
      </c>
      <c r="AG2239" s="201">
        <v>0</v>
      </c>
      <c r="AH2239" s="199"/>
      <c r="AI2239" s="150">
        <v>0</v>
      </c>
      <c r="AJ2239" s="169">
        <f t="shared" si="1843"/>
        <v>0</v>
      </c>
      <c r="AK2239" s="201">
        <v>0</v>
      </c>
      <c r="AL2239" s="199"/>
      <c r="AM2239" s="150">
        <f>AK2239+AL2239</f>
        <v>0</v>
      </c>
      <c r="AN2239" s="153">
        <f t="shared" si="1844"/>
        <v>0</v>
      </c>
      <c r="AO2239" s="154">
        <f t="shared" si="1845"/>
        <v>0</v>
      </c>
      <c r="AP2239" s="150">
        <v>0</v>
      </c>
      <c r="AQ2239" s="201">
        <v>0</v>
      </c>
      <c r="AR2239" s="199"/>
      <c r="AS2239" s="150">
        <f>AQ2239+AR2239</f>
        <v>0</v>
      </c>
      <c r="AT2239" s="155"/>
      <c r="AU2239" s="156">
        <f t="shared" si="1837"/>
        <v>0</v>
      </c>
      <c r="AV2239" s="156">
        <f t="shared" si="1838"/>
        <v>0</v>
      </c>
      <c r="AW2239" s="157"/>
      <c r="AX2239" s="150">
        <v>0</v>
      </c>
      <c r="AY2239" s="150">
        <v>0</v>
      </c>
      <c r="AZ2239" s="150"/>
      <c r="BA2239" s="150">
        <f>AY2239+AZ2239</f>
        <v>0</v>
      </c>
      <c r="BB2239" s="202">
        <v>6</v>
      </c>
      <c r="BC2239" s="202" t="s">
        <v>632</v>
      </c>
      <c r="BD2239" s="202" t="s">
        <v>647</v>
      </c>
      <c r="BE2239" s="202" t="s">
        <v>632</v>
      </c>
      <c r="BF2239" s="202" t="s">
        <v>632</v>
      </c>
      <c r="BG2239" s="203" t="s">
        <v>10340</v>
      </c>
      <c r="BH2239" s="216">
        <f>SUM(AS2239:AS2240)</f>
        <v>0</v>
      </c>
      <c r="BI2239" s="202"/>
      <c r="BJ2239" s="194" t="s">
        <v>10341</v>
      </c>
      <c r="BK2239" s="194" t="s">
        <v>10339</v>
      </c>
      <c r="BL2239" s="207" t="s">
        <v>10342</v>
      </c>
      <c r="BM2239" s="208">
        <f>BH2239</f>
        <v>0</v>
      </c>
      <c r="BN2239" s="160"/>
      <c r="BO2239" s="161">
        <f t="shared" si="1918"/>
        <v>0</v>
      </c>
      <c r="BP2239" s="161"/>
    </row>
    <row r="2240" spans="1:68">
      <c r="A2240" s="210"/>
      <c r="B2240" s="195" t="s">
        <v>10345</v>
      </c>
      <c r="C2240" s="196" t="s">
        <v>10346</v>
      </c>
      <c r="D2240" s="146" t="s">
        <v>4692</v>
      </c>
      <c r="E2240" s="196" t="s">
        <v>10346</v>
      </c>
      <c r="F2240" s="150">
        <v>0</v>
      </c>
      <c r="G2240" s="209">
        <v>35743.54</v>
      </c>
      <c r="H2240" s="209">
        <v>0</v>
      </c>
      <c r="I2240" s="209">
        <v>35743.54</v>
      </c>
      <c r="J2240" s="150">
        <v>0</v>
      </c>
      <c r="K2240" s="150">
        <v>0</v>
      </c>
      <c r="L2240" s="150">
        <f t="shared" si="1859"/>
        <v>0</v>
      </c>
      <c r="M2240" s="150">
        <v>0</v>
      </c>
      <c r="N2240" s="150"/>
      <c r="O2240" s="150">
        <v>0</v>
      </c>
      <c r="P2240" s="150">
        <v>0</v>
      </c>
      <c r="Q2240" s="150">
        <v>0</v>
      </c>
      <c r="R2240" s="150">
        <f>P2240+Q2240</f>
        <v>0</v>
      </c>
      <c r="S2240" s="150">
        <f t="shared" si="1912"/>
        <v>0</v>
      </c>
      <c r="T2240" s="150"/>
      <c r="U2240" s="150">
        <v>0</v>
      </c>
      <c r="V2240" s="199"/>
      <c r="W2240" s="150">
        <f>U2240+V2240</f>
        <v>0</v>
      </c>
      <c r="X2240" s="150">
        <v>0</v>
      </c>
      <c r="Y2240" s="150"/>
      <c r="Z2240" s="150">
        <v>0</v>
      </c>
      <c r="AA2240" s="150">
        <f t="shared" si="1842"/>
        <v>0</v>
      </c>
      <c r="AB2240" s="150">
        <v>0</v>
      </c>
      <c r="AC2240" s="199"/>
      <c r="AD2240" s="150">
        <f>AB2240+AC2240</f>
        <v>0</v>
      </c>
      <c r="AE2240" s="150">
        <v>0</v>
      </c>
      <c r="AF2240" s="169" t="s">
        <v>4680</v>
      </c>
      <c r="AG2240" s="201">
        <v>0</v>
      </c>
      <c r="AH2240" s="199"/>
      <c r="AI2240" s="150">
        <v>0</v>
      </c>
      <c r="AJ2240" s="169">
        <f t="shared" si="1843"/>
        <v>0</v>
      </c>
      <c r="AK2240" s="201">
        <v>0</v>
      </c>
      <c r="AL2240" s="199"/>
      <c r="AM2240" s="150">
        <f>AK2240+AL2240</f>
        <v>0</v>
      </c>
      <c r="AN2240" s="153">
        <f t="shared" si="1844"/>
        <v>0</v>
      </c>
      <c r="AO2240" s="154">
        <f t="shared" si="1845"/>
        <v>0</v>
      </c>
      <c r="AP2240" s="150">
        <v>0</v>
      </c>
      <c r="AQ2240" s="201">
        <v>0</v>
      </c>
      <c r="AR2240" s="199"/>
      <c r="AS2240" s="150">
        <f>AQ2240+AR2240</f>
        <v>0</v>
      </c>
      <c r="AT2240" s="155"/>
      <c r="AU2240" s="156">
        <f t="shared" si="1837"/>
        <v>0</v>
      </c>
      <c r="AV2240" s="156">
        <f t="shared" si="1838"/>
        <v>0</v>
      </c>
      <c r="AW2240" s="157"/>
      <c r="AX2240" s="150">
        <v>0</v>
      </c>
      <c r="AY2240" s="150">
        <v>0</v>
      </c>
      <c r="AZ2240" s="150"/>
      <c r="BA2240" s="150">
        <f>AY2240+AZ2240</f>
        <v>0</v>
      </c>
      <c r="BB2240" s="210"/>
      <c r="BC2240" s="210"/>
      <c r="BD2240" s="210"/>
      <c r="BE2240" s="210"/>
      <c r="BF2240" s="210"/>
      <c r="BG2240" s="210"/>
      <c r="BH2240" s="217"/>
      <c r="BI2240" s="210"/>
      <c r="BJ2240" s="210"/>
      <c r="BK2240" s="210"/>
      <c r="BL2240" s="210"/>
      <c r="BM2240" s="208"/>
      <c r="BN2240" s="160"/>
      <c r="BO2240" s="161">
        <f t="shared" si="1918"/>
        <v>0</v>
      </c>
      <c r="BP2240" s="161"/>
    </row>
    <row r="2241" spans="1:68">
      <c r="A2241" s="173" t="s">
        <v>10347</v>
      </c>
      <c r="B2241" s="174"/>
      <c r="C2241" s="175" t="s">
        <v>10348</v>
      </c>
      <c r="D2241" s="146" t="s">
        <v>4692</v>
      </c>
      <c r="E2241" s="175" t="s">
        <v>10348</v>
      </c>
      <c r="F2241" s="176">
        <v>35845.54</v>
      </c>
      <c r="G2241" s="177">
        <v>35743.54</v>
      </c>
      <c r="H2241" s="177">
        <v>0</v>
      </c>
      <c r="I2241" s="177">
        <v>35743.54</v>
      </c>
      <c r="J2241" s="176">
        <f>J2242</f>
        <v>5726.71</v>
      </c>
      <c r="K2241" s="176">
        <f>K2242</f>
        <v>0</v>
      </c>
      <c r="L2241" s="176">
        <f t="shared" si="1859"/>
        <v>5726.71</v>
      </c>
      <c r="M2241" s="178"/>
      <c r="N2241" s="178"/>
      <c r="O2241" s="178">
        <v>0</v>
      </c>
      <c r="P2241" s="221">
        <f t="shared" ref="P2241:AM2242" si="1944">P2242</f>
        <v>5836.48</v>
      </c>
      <c r="Q2241" s="221">
        <f t="shared" si="1944"/>
        <v>26884.155000000002</v>
      </c>
      <c r="R2241" s="221">
        <f t="shared" si="1944"/>
        <v>32720.635000000002</v>
      </c>
      <c r="S2241" s="150">
        <f t="shared" si="1912"/>
        <v>43627.513333333336</v>
      </c>
      <c r="T2241" s="213"/>
      <c r="U2241" s="221">
        <f t="shared" ref="U2241:W2242" si="1945">U2242</f>
        <v>5915.46</v>
      </c>
      <c r="V2241" s="222">
        <f t="shared" si="1945"/>
        <v>49287.6175</v>
      </c>
      <c r="W2241" s="221">
        <f t="shared" si="1945"/>
        <v>55203.077499999999</v>
      </c>
      <c r="X2241" s="221">
        <v>5915.46</v>
      </c>
      <c r="Y2241" s="221">
        <v>49287.6175</v>
      </c>
      <c r="Z2241" s="221">
        <v>55203.077499999999</v>
      </c>
      <c r="AA2241" s="221">
        <f t="shared" si="1842"/>
        <v>-49287.6175</v>
      </c>
      <c r="AB2241" s="221">
        <v>5915.46</v>
      </c>
      <c r="AC2241" s="222">
        <v>0</v>
      </c>
      <c r="AD2241" s="221">
        <f t="shared" si="1944"/>
        <v>5915.46</v>
      </c>
      <c r="AE2241" s="221">
        <v>5915.46</v>
      </c>
      <c r="AF2241" s="169" t="s">
        <v>4680</v>
      </c>
      <c r="AG2241" s="223">
        <v>5915.46</v>
      </c>
      <c r="AH2241" s="222">
        <v>0</v>
      </c>
      <c r="AI2241" s="221">
        <v>5915.46</v>
      </c>
      <c r="AJ2241" s="169">
        <f t="shared" si="1843"/>
        <v>0</v>
      </c>
      <c r="AK2241" s="223">
        <v>5915.46</v>
      </c>
      <c r="AL2241" s="222">
        <v>0</v>
      </c>
      <c r="AM2241" s="221">
        <f t="shared" si="1944"/>
        <v>5915.46</v>
      </c>
      <c r="AN2241" s="153">
        <f t="shared" si="1844"/>
        <v>0</v>
      </c>
      <c r="AO2241" s="154">
        <f t="shared" si="1845"/>
        <v>0</v>
      </c>
      <c r="AP2241" s="221">
        <v>5915.46</v>
      </c>
      <c r="AQ2241" s="223">
        <v>5915.46</v>
      </c>
      <c r="AR2241" s="222">
        <f t="shared" ref="AR2241:AS2242" si="1946">AR2242</f>
        <v>0</v>
      </c>
      <c r="AS2241" s="221">
        <f t="shared" si="1946"/>
        <v>5915.46</v>
      </c>
      <c r="AT2241" s="155"/>
      <c r="AU2241" s="156">
        <f t="shared" si="1837"/>
        <v>0</v>
      </c>
      <c r="AV2241" s="156">
        <f t="shared" si="1838"/>
        <v>-49287.6175</v>
      </c>
      <c r="AW2241" s="157"/>
      <c r="AX2241" s="150">
        <v>55203.077499999999</v>
      </c>
      <c r="AY2241" s="221">
        <f t="shared" ref="AY2241:BA2242" si="1947">AY2242</f>
        <v>5836.48</v>
      </c>
      <c r="AZ2241" s="221">
        <f t="shared" si="1947"/>
        <v>-2973.1249999999995</v>
      </c>
      <c r="BA2241" s="221">
        <f t="shared" si="1947"/>
        <v>2863.355</v>
      </c>
      <c r="BB2241" s="181">
        <v>6</v>
      </c>
      <c r="BC2241" s="173" t="s">
        <v>632</v>
      </c>
      <c r="BD2241" s="173" t="s">
        <v>671</v>
      </c>
      <c r="BE2241" s="173" t="s">
        <v>630</v>
      </c>
      <c r="BF2241" s="173" t="s">
        <v>630</v>
      </c>
      <c r="BG2241" s="175" t="s">
        <v>10348</v>
      </c>
      <c r="BH2241" s="224">
        <f>BH2242</f>
        <v>5915.46</v>
      </c>
      <c r="BI2241" s="181"/>
      <c r="BJ2241" s="173" t="s">
        <v>10349</v>
      </c>
      <c r="BK2241" s="173" t="s">
        <v>10347</v>
      </c>
      <c r="BL2241" s="182" t="s">
        <v>10350</v>
      </c>
      <c r="BM2241" s="337">
        <f>BM2242</f>
        <v>5915.46</v>
      </c>
      <c r="BN2241" s="160"/>
      <c r="BO2241" s="161">
        <f t="shared" si="1918"/>
        <v>0</v>
      </c>
      <c r="BP2241" s="161"/>
    </row>
    <row r="2242" spans="1:68">
      <c r="A2242" s="183" t="s">
        <v>10347</v>
      </c>
      <c r="B2242" s="184"/>
      <c r="C2242" s="185" t="s">
        <v>10348</v>
      </c>
      <c r="D2242" s="146" t="s">
        <v>4692</v>
      </c>
      <c r="E2242" s="185" t="s">
        <v>10348</v>
      </c>
      <c r="F2242" s="188">
        <v>35845.54</v>
      </c>
      <c r="G2242" s="187">
        <v>35743.54</v>
      </c>
      <c r="H2242" s="187"/>
      <c r="I2242" s="187">
        <v>35743.54</v>
      </c>
      <c r="J2242" s="188">
        <f>J2243</f>
        <v>5726.71</v>
      </c>
      <c r="K2242" s="188">
        <f>K2243</f>
        <v>0</v>
      </c>
      <c r="L2242" s="188">
        <f t="shared" si="1859"/>
        <v>5726.71</v>
      </c>
      <c r="M2242" s="188"/>
      <c r="N2242" s="188"/>
      <c r="O2242" s="188">
        <v>0</v>
      </c>
      <c r="P2242" s="299">
        <f t="shared" si="1944"/>
        <v>5836.48</v>
      </c>
      <c r="Q2242" s="299">
        <f t="shared" si="1944"/>
        <v>26884.155000000002</v>
      </c>
      <c r="R2242" s="299">
        <f t="shared" si="1944"/>
        <v>32720.635000000002</v>
      </c>
      <c r="S2242" s="150">
        <f t="shared" si="1912"/>
        <v>43627.513333333336</v>
      </c>
      <c r="T2242" s="213"/>
      <c r="U2242" s="299">
        <f t="shared" si="1945"/>
        <v>5915.46</v>
      </c>
      <c r="V2242" s="226">
        <f t="shared" si="1945"/>
        <v>49287.6175</v>
      </c>
      <c r="W2242" s="299">
        <f t="shared" si="1945"/>
        <v>55203.077499999999</v>
      </c>
      <c r="X2242" s="299">
        <v>5915.46</v>
      </c>
      <c r="Y2242" s="299">
        <v>49287.6175</v>
      </c>
      <c r="Z2242" s="299">
        <v>55203.077499999999</v>
      </c>
      <c r="AA2242" s="299">
        <f t="shared" si="1842"/>
        <v>-49287.6175</v>
      </c>
      <c r="AB2242" s="299">
        <v>5915.46</v>
      </c>
      <c r="AC2242" s="226">
        <v>0</v>
      </c>
      <c r="AD2242" s="299">
        <f t="shared" si="1944"/>
        <v>5915.46</v>
      </c>
      <c r="AE2242" s="299">
        <v>5915.46</v>
      </c>
      <c r="AF2242" s="169" t="s">
        <v>4680</v>
      </c>
      <c r="AG2242" s="301">
        <v>5915.46</v>
      </c>
      <c r="AH2242" s="226">
        <v>0</v>
      </c>
      <c r="AI2242" s="299">
        <v>5915.46</v>
      </c>
      <c r="AJ2242" s="169">
        <f t="shared" si="1843"/>
        <v>0</v>
      </c>
      <c r="AK2242" s="301">
        <v>5915.46</v>
      </c>
      <c r="AL2242" s="226">
        <v>0</v>
      </c>
      <c r="AM2242" s="299">
        <f t="shared" si="1944"/>
        <v>5915.46</v>
      </c>
      <c r="AN2242" s="153">
        <f t="shared" si="1844"/>
        <v>0</v>
      </c>
      <c r="AO2242" s="154">
        <f t="shared" si="1845"/>
        <v>0</v>
      </c>
      <c r="AP2242" s="299">
        <v>5915.46</v>
      </c>
      <c r="AQ2242" s="301">
        <v>5915.46</v>
      </c>
      <c r="AR2242" s="226">
        <f t="shared" si="1946"/>
        <v>0</v>
      </c>
      <c r="AS2242" s="299">
        <f t="shared" si="1946"/>
        <v>5915.46</v>
      </c>
      <c r="AT2242" s="155"/>
      <c r="AU2242" s="156">
        <f t="shared" ref="AU2242:AU2305" si="1948">AM2242-AD2242</f>
        <v>0</v>
      </c>
      <c r="AV2242" s="156">
        <f t="shared" ref="AV2242:AV2305" si="1949">AD2242-AX2242</f>
        <v>-49287.6175</v>
      </c>
      <c r="AW2242" s="157"/>
      <c r="AX2242" s="150">
        <v>55203.077499999999</v>
      </c>
      <c r="AY2242" s="299">
        <f t="shared" si="1947"/>
        <v>5836.48</v>
      </c>
      <c r="AZ2242" s="299">
        <f t="shared" si="1947"/>
        <v>-2973.1249999999995</v>
      </c>
      <c r="BA2242" s="299">
        <f t="shared" si="1947"/>
        <v>2863.355</v>
      </c>
      <c r="BB2242" s="191">
        <v>6</v>
      </c>
      <c r="BC2242" s="183" t="s">
        <v>632</v>
      </c>
      <c r="BD2242" s="183" t="s">
        <v>671</v>
      </c>
      <c r="BE2242" s="183" t="s">
        <v>632</v>
      </c>
      <c r="BF2242" s="183" t="s">
        <v>630</v>
      </c>
      <c r="BG2242" s="185" t="s">
        <v>10348</v>
      </c>
      <c r="BH2242" s="215">
        <f>BH2243</f>
        <v>5915.46</v>
      </c>
      <c r="BI2242" s="191"/>
      <c r="BJ2242" s="183" t="s">
        <v>10349</v>
      </c>
      <c r="BK2242" s="183" t="s">
        <v>10347</v>
      </c>
      <c r="BL2242" s="238" t="s">
        <v>10350</v>
      </c>
      <c r="BM2242" s="338">
        <f>BM2243</f>
        <v>5915.46</v>
      </c>
      <c r="BN2242" s="160"/>
      <c r="BO2242" s="161">
        <f t="shared" si="1918"/>
        <v>0</v>
      </c>
      <c r="BP2242" s="161"/>
    </row>
    <row r="2243" spans="1:68">
      <c r="A2243" s="194" t="s">
        <v>10347</v>
      </c>
      <c r="B2243" s="195" t="s">
        <v>10351</v>
      </c>
      <c r="C2243" s="196" t="s">
        <v>10352</v>
      </c>
      <c r="D2243" s="146" t="s">
        <v>4692</v>
      </c>
      <c r="E2243" s="196" t="s">
        <v>10352</v>
      </c>
      <c r="F2243" s="150">
        <v>35845.54</v>
      </c>
      <c r="G2243" s="209">
        <v>53166.96</v>
      </c>
      <c r="H2243" s="209">
        <v>0</v>
      </c>
      <c r="I2243" s="209">
        <v>53166.96</v>
      </c>
      <c r="J2243" s="150">
        <v>5726.71</v>
      </c>
      <c r="K2243" s="150">
        <v>0</v>
      </c>
      <c r="L2243" s="150">
        <f t="shared" si="1859"/>
        <v>5726.71</v>
      </c>
      <c r="M2243" s="150">
        <v>5836.48</v>
      </c>
      <c r="N2243" s="150">
        <v>12086.29</v>
      </c>
      <c r="O2243" s="150">
        <v>17922.77</v>
      </c>
      <c r="P2243" s="150">
        <v>5836.48</v>
      </c>
      <c r="Q2243" s="237">
        <f>O2243/6*9</f>
        <v>26884.155000000002</v>
      </c>
      <c r="R2243" s="150">
        <f>P2243+Q2243</f>
        <v>32720.635000000002</v>
      </c>
      <c r="S2243" s="150">
        <f t="shared" si="1912"/>
        <v>43627.513333333336</v>
      </c>
      <c r="T2243" s="150"/>
      <c r="U2243" s="150">
        <v>5915.46</v>
      </c>
      <c r="V2243" s="230">
        <f>Q2243/6*11</f>
        <v>49287.6175</v>
      </c>
      <c r="W2243" s="150">
        <f>U2243+V2243</f>
        <v>55203.077499999999</v>
      </c>
      <c r="X2243" s="150">
        <v>5915.46</v>
      </c>
      <c r="Y2243" s="150">
        <v>49287.6175</v>
      </c>
      <c r="Z2243" s="150">
        <v>55203.077499999999</v>
      </c>
      <c r="AA2243" s="150">
        <f t="shared" ref="AA2243:AA2306" si="1950">AD2243-Z2243</f>
        <v>-49287.6175</v>
      </c>
      <c r="AB2243" s="150">
        <v>5915.46</v>
      </c>
      <c r="AC2243" s="230"/>
      <c r="AD2243" s="150">
        <f>AB2243+AC2243</f>
        <v>5915.46</v>
      </c>
      <c r="AE2243" s="150">
        <v>5915.46</v>
      </c>
      <c r="AF2243" s="169" t="s">
        <v>4680</v>
      </c>
      <c r="AG2243" s="201">
        <v>5915.46</v>
      </c>
      <c r="AH2243" s="245"/>
      <c r="AI2243" s="150">
        <v>5915.46</v>
      </c>
      <c r="AJ2243" s="169">
        <f t="shared" ref="AJ2243:AJ2306" si="1951">AM2243-AI2243</f>
        <v>0</v>
      </c>
      <c r="AK2243" s="201">
        <v>5915.46</v>
      </c>
      <c r="AL2243" s="245"/>
      <c r="AM2243" s="150">
        <f>AK2243+AL2243</f>
        <v>5915.46</v>
      </c>
      <c r="AN2243" s="153">
        <f t="shared" ref="AN2243:AN2306" si="1952">AS2243-AM2243</f>
        <v>0</v>
      </c>
      <c r="AO2243" s="154">
        <f t="shared" ref="AO2243:AO2306" si="1953">AS2243-AP2243</f>
        <v>0</v>
      </c>
      <c r="AP2243" s="150">
        <v>5915.46</v>
      </c>
      <c r="AQ2243" s="201">
        <v>5915.46</v>
      </c>
      <c r="AR2243" s="245"/>
      <c r="AS2243" s="150">
        <f>AQ2243+AR2243</f>
        <v>5915.46</v>
      </c>
      <c r="AT2243" s="155"/>
      <c r="AU2243" s="156">
        <f t="shared" si="1948"/>
        <v>0</v>
      </c>
      <c r="AV2243" s="156">
        <f t="shared" si="1949"/>
        <v>-49287.6175</v>
      </c>
      <c r="AW2243" s="157" t="s">
        <v>10353</v>
      </c>
      <c r="AX2243" s="150">
        <v>55203.077499999999</v>
      </c>
      <c r="AY2243" s="150">
        <v>5836.48</v>
      </c>
      <c r="AZ2243" s="150">
        <f>L2243/12*6-AY2243</f>
        <v>-2973.1249999999995</v>
      </c>
      <c r="BA2243" s="150">
        <f>AY2243+AZ2243</f>
        <v>2863.355</v>
      </c>
      <c r="BB2243" s="202">
        <v>6</v>
      </c>
      <c r="BC2243" s="202" t="s">
        <v>632</v>
      </c>
      <c r="BD2243" s="202" t="s">
        <v>671</v>
      </c>
      <c r="BE2243" s="202" t="s">
        <v>632</v>
      </c>
      <c r="BF2243" s="202" t="s">
        <v>632</v>
      </c>
      <c r="BG2243" s="203" t="s">
        <v>10348</v>
      </c>
      <c r="BH2243" s="216">
        <f>AS2243</f>
        <v>5915.46</v>
      </c>
      <c r="BI2243" s="202"/>
      <c r="BJ2243" s="194" t="s">
        <v>10349</v>
      </c>
      <c r="BK2243" s="194" t="s">
        <v>10347</v>
      </c>
      <c r="BL2243" s="207" t="s">
        <v>10350</v>
      </c>
      <c r="BM2243" s="208">
        <f>BH2243</f>
        <v>5915.46</v>
      </c>
      <c r="BN2243" s="160"/>
      <c r="BO2243" s="161">
        <f t="shared" si="1918"/>
        <v>0</v>
      </c>
      <c r="BP2243" s="161"/>
    </row>
    <row r="2244" spans="1:68">
      <c r="A2244" s="162" t="s">
        <v>10354</v>
      </c>
      <c r="B2244" s="163"/>
      <c r="C2244" s="164" t="s">
        <v>10355</v>
      </c>
      <c r="D2244" s="146" t="s">
        <v>4692</v>
      </c>
      <c r="E2244" s="164" t="s">
        <v>10355</v>
      </c>
      <c r="F2244" s="165">
        <v>53166.96</v>
      </c>
      <c r="G2244" s="166">
        <v>0</v>
      </c>
      <c r="H2244" s="166">
        <v>0</v>
      </c>
      <c r="I2244" s="166">
        <v>0</v>
      </c>
      <c r="J2244" s="165">
        <f>J2245+J2252+J2255+J2258+J2261</f>
        <v>0</v>
      </c>
      <c r="K2244" s="165">
        <f>K2245+K2252+K2255+K2258+K2261</f>
        <v>0</v>
      </c>
      <c r="L2244" s="165">
        <f t="shared" si="1859"/>
        <v>0</v>
      </c>
      <c r="M2244" s="165">
        <v>0</v>
      </c>
      <c r="N2244" s="165">
        <v>0</v>
      </c>
      <c r="O2244" s="167">
        <v>0</v>
      </c>
      <c r="P2244" s="232">
        <f t="shared" ref="P2244:R2244" si="1954">P2245+P2252+P2255+P2258+P2261</f>
        <v>0</v>
      </c>
      <c r="Q2244" s="232">
        <f t="shared" si="1954"/>
        <v>0</v>
      </c>
      <c r="R2244" s="232">
        <f t="shared" si="1954"/>
        <v>0</v>
      </c>
      <c r="S2244" s="150">
        <f t="shared" si="1912"/>
        <v>0</v>
      </c>
      <c r="T2244" s="213"/>
      <c r="U2244" s="232">
        <f t="shared" ref="U2244:W2244" si="1955">U2245+U2252+U2255+U2258+U2261</f>
        <v>0</v>
      </c>
      <c r="V2244" s="233">
        <f t="shared" si="1955"/>
        <v>0</v>
      </c>
      <c r="W2244" s="232">
        <f t="shared" si="1955"/>
        <v>0</v>
      </c>
      <c r="X2244" s="232">
        <v>0</v>
      </c>
      <c r="Y2244" s="232">
        <v>0</v>
      </c>
      <c r="Z2244" s="232">
        <v>0</v>
      </c>
      <c r="AA2244" s="232">
        <f t="shared" si="1950"/>
        <v>0</v>
      </c>
      <c r="AB2244" s="232">
        <v>0</v>
      </c>
      <c r="AC2244" s="233">
        <v>0</v>
      </c>
      <c r="AD2244" s="232">
        <f t="shared" ref="AD2244" si="1956">AD2245+AD2252+AD2255+AD2258+AD2261</f>
        <v>0</v>
      </c>
      <c r="AE2244" s="232">
        <v>0</v>
      </c>
      <c r="AF2244" s="169" t="s">
        <v>4680</v>
      </c>
      <c r="AG2244" s="234">
        <v>0</v>
      </c>
      <c r="AH2244" s="233">
        <v>0</v>
      </c>
      <c r="AI2244" s="232">
        <v>0</v>
      </c>
      <c r="AJ2244" s="169">
        <f t="shared" si="1951"/>
        <v>0</v>
      </c>
      <c r="AK2244" s="234">
        <v>0</v>
      </c>
      <c r="AL2244" s="233">
        <v>0</v>
      </c>
      <c r="AM2244" s="232">
        <f t="shared" ref="AM2244" si="1957">AM2245+AM2252+AM2255+AM2258+AM2261</f>
        <v>0</v>
      </c>
      <c r="AN2244" s="153">
        <f t="shared" si="1952"/>
        <v>0</v>
      </c>
      <c r="AO2244" s="154">
        <f t="shared" si="1953"/>
        <v>0</v>
      </c>
      <c r="AP2244" s="232">
        <v>0</v>
      </c>
      <c r="AQ2244" s="234">
        <v>0</v>
      </c>
      <c r="AR2244" s="233">
        <f t="shared" ref="AR2244:AS2244" si="1958">AR2245+AR2252+AR2255+AR2258+AR2261</f>
        <v>0</v>
      </c>
      <c r="AS2244" s="232">
        <f t="shared" si="1958"/>
        <v>0</v>
      </c>
      <c r="AT2244" s="155"/>
      <c r="AU2244" s="156">
        <f t="shared" si="1948"/>
        <v>0</v>
      </c>
      <c r="AV2244" s="156">
        <f t="shared" si="1949"/>
        <v>0</v>
      </c>
      <c r="AW2244" s="157"/>
      <c r="AX2244" s="150">
        <v>0</v>
      </c>
      <c r="AY2244" s="232">
        <f t="shared" ref="AY2244:BA2244" si="1959">AY2245+AY2252+AY2255+AY2258+AY2261</f>
        <v>0</v>
      </c>
      <c r="AZ2244" s="232">
        <f t="shared" si="1959"/>
        <v>0</v>
      </c>
      <c r="BA2244" s="232">
        <f t="shared" si="1959"/>
        <v>0</v>
      </c>
      <c r="BB2244" s="171">
        <v>6</v>
      </c>
      <c r="BC2244" s="162" t="s">
        <v>647</v>
      </c>
      <c r="BD2244" s="262" t="s">
        <v>630</v>
      </c>
      <c r="BE2244" s="162" t="s">
        <v>630</v>
      </c>
      <c r="BF2244" s="262" t="s">
        <v>630</v>
      </c>
      <c r="BG2244" s="164" t="s">
        <v>10355</v>
      </c>
      <c r="BH2244" s="235">
        <f>BH2245+BH2252+BH2255+BH2258+BH2261</f>
        <v>0</v>
      </c>
      <c r="BI2244" s="263"/>
      <c r="BJ2244" s="262" t="s">
        <v>10356</v>
      </c>
      <c r="BK2244" s="162" t="s">
        <v>10354</v>
      </c>
      <c r="BL2244" s="172" t="s">
        <v>10357</v>
      </c>
      <c r="BM2244" s="349">
        <f>BM2245+BM2252+BM2255+BM2258+BM2261</f>
        <v>0</v>
      </c>
      <c r="BN2244" s="160"/>
      <c r="BO2244" s="161">
        <f t="shared" si="1918"/>
        <v>0</v>
      </c>
      <c r="BP2244" s="161"/>
    </row>
    <row r="2245" spans="1:68" ht="25.5">
      <c r="A2245" s="173" t="s">
        <v>10358</v>
      </c>
      <c r="B2245" s="174"/>
      <c r="C2245" s="175" t="s">
        <v>10359</v>
      </c>
      <c r="D2245" s="146" t="s">
        <v>4692</v>
      </c>
      <c r="E2245" s="175" t="s">
        <v>10359</v>
      </c>
      <c r="F2245" s="176">
        <v>0</v>
      </c>
      <c r="G2245" s="177">
        <v>0</v>
      </c>
      <c r="H2245" s="177">
        <v>0</v>
      </c>
      <c r="I2245" s="177">
        <v>0</v>
      </c>
      <c r="J2245" s="176">
        <f>J2246</f>
        <v>0</v>
      </c>
      <c r="K2245" s="176">
        <f>K2246</f>
        <v>0</v>
      </c>
      <c r="L2245" s="176">
        <f t="shared" si="1859"/>
        <v>0</v>
      </c>
      <c r="M2245" s="176">
        <v>0</v>
      </c>
      <c r="N2245" s="176">
        <v>0</v>
      </c>
      <c r="O2245" s="178">
        <v>0</v>
      </c>
      <c r="P2245" s="221">
        <f t="shared" ref="P2245:AS2245" si="1960">P2246</f>
        <v>0</v>
      </c>
      <c r="Q2245" s="221">
        <f t="shared" si="1960"/>
        <v>0</v>
      </c>
      <c r="R2245" s="221">
        <f t="shared" si="1960"/>
        <v>0</v>
      </c>
      <c r="S2245" s="150">
        <f t="shared" si="1912"/>
        <v>0</v>
      </c>
      <c r="T2245" s="213"/>
      <c r="U2245" s="221">
        <f t="shared" ref="U2245:W2245" si="1961">U2246</f>
        <v>0</v>
      </c>
      <c r="V2245" s="222">
        <f t="shared" si="1961"/>
        <v>0</v>
      </c>
      <c r="W2245" s="221">
        <f t="shared" si="1961"/>
        <v>0</v>
      </c>
      <c r="X2245" s="221">
        <v>0</v>
      </c>
      <c r="Y2245" s="221">
        <v>0</v>
      </c>
      <c r="Z2245" s="221">
        <v>0</v>
      </c>
      <c r="AA2245" s="221">
        <f t="shared" si="1950"/>
        <v>0</v>
      </c>
      <c r="AB2245" s="221">
        <v>0</v>
      </c>
      <c r="AC2245" s="222">
        <v>0</v>
      </c>
      <c r="AD2245" s="221">
        <f t="shared" si="1960"/>
        <v>0</v>
      </c>
      <c r="AE2245" s="221">
        <v>0</v>
      </c>
      <c r="AF2245" s="169" t="s">
        <v>4680</v>
      </c>
      <c r="AG2245" s="223">
        <v>0</v>
      </c>
      <c r="AH2245" s="222">
        <v>0</v>
      </c>
      <c r="AI2245" s="221">
        <v>0</v>
      </c>
      <c r="AJ2245" s="169">
        <f t="shared" si="1951"/>
        <v>0</v>
      </c>
      <c r="AK2245" s="223">
        <v>0</v>
      </c>
      <c r="AL2245" s="222">
        <v>0</v>
      </c>
      <c r="AM2245" s="221">
        <f t="shared" si="1960"/>
        <v>0</v>
      </c>
      <c r="AN2245" s="153">
        <f t="shared" si="1952"/>
        <v>0</v>
      </c>
      <c r="AO2245" s="154">
        <f t="shared" si="1953"/>
        <v>0</v>
      </c>
      <c r="AP2245" s="221">
        <v>0</v>
      </c>
      <c r="AQ2245" s="223">
        <v>0</v>
      </c>
      <c r="AR2245" s="222">
        <f t="shared" si="1960"/>
        <v>0</v>
      </c>
      <c r="AS2245" s="221">
        <f t="shared" si="1960"/>
        <v>0</v>
      </c>
      <c r="AT2245" s="155"/>
      <c r="AU2245" s="156">
        <f t="shared" si="1948"/>
        <v>0</v>
      </c>
      <c r="AV2245" s="156">
        <f t="shared" si="1949"/>
        <v>0</v>
      </c>
      <c r="AW2245" s="157"/>
      <c r="AX2245" s="150">
        <v>0</v>
      </c>
      <c r="AY2245" s="221">
        <f t="shared" ref="AY2245:BA2245" si="1962">AY2246</f>
        <v>0</v>
      </c>
      <c r="AZ2245" s="221">
        <f t="shared" si="1962"/>
        <v>0</v>
      </c>
      <c r="BA2245" s="221">
        <f t="shared" si="1962"/>
        <v>0</v>
      </c>
      <c r="BB2245" s="181">
        <v>6</v>
      </c>
      <c r="BC2245" s="173" t="s">
        <v>647</v>
      </c>
      <c r="BD2245" s="173" t="s">
        <v>632</v>
      </c>
      <c r="BE2245" s="173" t="s">
        <v>630</v>
      </c>
      <c r="BF2245" s="173" t="s">
        <v>630</v>
      </c>
      <c r="BG2245" s="175" t="s">
        <v>10359</v>
      </c>
      <c r="BH2245" s="224">
        <f>BH2246</f>
        <v>0</v>
      </c>
      <c r="BI2245" s="181"/>
      <c r="BJ2245" s="173" t="s">
        <v>10360</v>
      </c>
      <c r="BK2245" s="173" t="s">
        <v>10358</v>
      </c>
      <c r="BL2245" s="175" t="s">
        <v>10361</v>
      </c>
      <c r="BM2245" s="337">
        <f>BM2246</f>
        <v>0</v>
      </c>
      <c r="BN2245" s="160"/>
      <c r="BO2245" s="161">
        <f t="shared" si="1918"/>
        <v>0</v>
      </c>
      <c r="BP2245" s="161"/>
    </row>
    <row r="2246" spans="1:68" ht="25.5">
      <c r="A2246" s="183" t="s">
        <v>10358</v>
      </c>
      <c r="B2246" s="184"/>
      <c r="C2246" s="185" t="s">
        <v>10359</v>
      </c>
      <c r="D2246" s="146" t="s">
        <v>4692</v>
      </c>
      <c r="E2246" s="185" t="s">
        <v>10359</v>
      </c>
      <c r="F2246" s="188">
        <v>0</v>
      </c>
      <c r="G2246" s="187">
        <v>0</v>
      </c>
      <c r="H2246" s="187"/>
      <c r="I2246" s="187">
        <v>0</v>
      </c>
      <c r="J2246" s="188">
        <f>SUM(J2247:J2251)</f>
        <v>0</v>
      </c>
      <c r="K2246" s="188">
        <f>SUM(K2247:K2251)</f>
        <v>0</v>
      </c>
      <c r="L2246" s="188">
        <f t="shared" si="1859"/>
        <v>0</v>
      </c>
      <c r="M2246" s="188">
        <v>0</v>
      </c>
      <c r="N2246" s="188">
        <v>0</v>
      </c>
      <c r="O2246" s="188">
        <v>0</v>
      </c>
      <c r="P2246" s="299">
        <f t="shared" ref="P2246:R2246" si="1963">SUM(P2247:P2251)</f>
        <v>0</v>
      </c>
      <c r="Q2246" s="299">
        <f t="shared" si="1963"/>
        <v>0</v>
      </c>
      <c r="R2246" s="299">
        <f t="shared" si="1963"/>
        <v>0</v>
      </c>
      <c r="S2246" s="150">
        <f t="shared" si="1912"/>
        <v>0</v>
      </c>
      <c r="T2246" s="213"/>
      <c r="U2246" s="299">
        <f t="shared" ref="U2246:W2246" si="1964">SUM(U2247:U2251)</f>
        <v>0</v>
      </c>
      <c r="V2246" s="226">
        <f t="shared" si="1964"/>
        <v>0</v>
      </c>
      <c r="W2246" s="299">
        <f t="shared" si="1964"/>
        <v>0</v>
      </c>
      <c r="X2246" s="299">
        <v>0</v>
      </c>
      <c r="Y2246" s="299">
        <v>0</v>
      </c>
      <c r="Z2246" s="299">
        <v>0</v>
      </c>
      <c r="AA2246" s="299">
        <f t="shared" si="1950"/>
        <v>0</v>
      </c>
      <c r="AB2246" s="299">
        <v>0</v>
      </c>
      <c r="AC2246" s="226">
        <v>0</v>
      </c>
      <c r="AD2246" s="299">
        <f t="shared" ref="AD2246" si="1965">SUM(AD2247:AD2251)</f>
        <v>0</v>
      </c>
      <c r="AE2246" s="299">
        <v>0</v>
      </c>
      <c r="AF2246" s="169" t="s">
        <v>4680</v>
      </c>
      <c r="AG2246" s="301">
        <v>0</v>
      </c>
      <c r="AH2246" s="226">
        <v>0</v>
      </c>
      <c r="AI2246" s="299">
        <v>0</v>
      </c>
      <c r="AJ2246" s="169">
        <f t="shared" si="1951"/>
        <v>0</v>
      </c>
      <c r="AK2246" s="301">
        <v>0</v>
      </c>
      <c r="AL2246" s="226">
        <v>0</v>
      </c>
      <c r="AM2246" s="299">
        <f t="shared" ref="AM2246" si="1966">SUM(AM2247:AM2251)</f>
        <v>0</v>
      </c>
      <c r="AN2246" s="153">
        <f t="shared" si="1952"/>
        <v>0</v>
      </c>
      <c r="AO2246" s="154">
        <f t="shared" si="1953"/>
        <v>0</v>
      </c>
      <c r="AP2246" s="299">
        <v>0</v>
      </c>
      <c r="AQ2246" s="301">
        <v>0</v>
      </c>
      <c r="AR2246" s="226">
        <f t="shared" ref="AR2246:AS2246" si="1967">SUM(AR2247:AR2251)</f>
        <v>0</v>
      </c>
      <c r="AS2246" s="299">
        <f t="shared" si="1967"/>
        <v>0</v>
      </c>
      <c r="AT2246" s="155"/>
      <c r="AU2246" s="156">
        <f t="shared" si="1948"/>
        <v>0</v>
      </c>
      <c r="AV2246" s="156">
        <f t="shared" si="1949"/>
        <v>0</v>
      </c>
      <c r="AW2246" s="157"/>
      <c r="AX2246" s="150">
        <v>0</v>
      </c>
      <c r="AY2246" s="299">
        <f t="shared" ref="AY2246:BA2246" si="1968">SUM(AY2247:AY2251)</f>
        <v>0</v>
      </c>
      <c r="AZ2246" s="299">
        <f t="shared" si="1968"/>
        <v>0</v>
      </c>
      <c r="BA2246" s="299">
        <f t="shared" si="1968"/>
        <v>0</v>
      </c>
      <c r="BB2246" s="191">
        <v>6</v>
      </c>
      <c r="BC2246" s="183" t="s">
        <v>647</v>
      </c>
      <c r="BD2246" s="183" t="s">
        <v>632</v>
      </c>
      <c r="BE2246" s="183" t="s">
        <v>632</v>
      </c>
      <c r="BF2246" s="183" t="s">
        <v>630</v>
      </c>
      <c r="BG2246" s="185" t="s">
        <v>10359</v>
      </c>
      <c r="BH2246" s="215">
        <f>BH2247</f>
        <v>0</v>
      </c>
      <c r="BI2246" s="191"/>
      <c r="BJ2246" s="183" t="s">
        <v>10360</v>
      </c>
      <c r="BK2246" s="183" t="s">
        <v>10358</v>
      </c>
      <c r="BL2246" s="185" t="s">
        <v>10361</v>
      </c>
      <c r="BM2246" s="338">
        <f>BM2247</f>
        <v>0</v>
      </c>
      <c r="BN2246" s="160"/>
      <c r="BO2246" s="161">
        <f t="shared" si="1918"/>
        <v>0</v>
      </c>
      <c r="BP2246" s="161"/>
    </row>
    <row r="2247" spans="1:68" ht="25.5">
      <c r="A2247" s="194" t="s">
        <v>10358</v>
      </c>
      <c r="B2247" s="195" t="s">
        <v>10362</v>
      </c>
      <c r="C2247" s="196" t="s">
        <v>10363</v>
      </c>
      <c r="D2247" s="146" t="s">
        <v>4692</v>
      </c>
      <c r="E2247" s="377" t="s">
        <v>10363</v>
      </c>
      <c r="F2247" s="150">
        <v>0</v>
      </c>
      <c r="G2247" s="209">
        <v>0</v>
      </c>
      <c r="H2247" s="209"/>
      <c r="I2247" s="209">
        <v>0</v>
      </c>
      <c r="J2247" s="150">
        <v>0</v>
      </c>
      <c r="K2247" s="150">
        <v>0</v>
      </c>
      <c r="L2247" s="150">
        <f t="shared" si="1859"/>
        <v>0</v>
      </c>
      <c r="M2247" s="150">
        <v>0</v>
      </c>
      <c r="N2247" s="150"/>
      <c r="O2247" s="150">
        <v>0</v>
      </c>
      <c r="P2247" s="150">
        <v>0</v>
      </c>
      <c r="Q2247" s="150">
        <v>0</v>
      </c>
      <c r="R2247" s="150">
        <f>P2247+Q2247</f>
        <v>0</v>
      </c>
      <c r="S2247" s="150">
        <f t="shared" si="1912"/>
        <v>0</v>
      </c>
      <c r="T2247" s="150"/>
      <c r="U2247" s="150">
        <v>0</v>
      </c>
      <c r="V2247" s="199"/>
      <c r="W2247" s="150">
        <f>U2247+V2247</f>
        <v>0</v>
      </c>
      <c r="X2247" s="150">
        <v>0</v>
      </c>
      <c r="Y2247" s="150"/>
      <c r="Z2247" s="150">
        <v>0</v>
      </c>
      <c r="AA2247" s="150">
        <f t="shared" si="1950"/>
        <v>0</v>
      </c>
      <c r="AB2247" s="150">
        <v>0</v>
      </c>
      <c r="AC2247" s="199"/>
      <c r="AD2247" s="150">
        <f>AB2247+AC2247</f>
        <v>0</v>
      </c>
      <c r="AE2247" s="150">
        <v>0</v>
      </c>
      <c r="AF2247" s="169" t="s">
        <v>4680</v>
      </c>
      <c r="AG2247" s="201">
        <v>0</v>
      </c>
      <c r="AH2247" s="199"/>
      <c r="AI2247" s="150">
        <v>0</v>
      </c>
      <c r="AJ2247" s="169">
        <f t="shared" si="1951"/>
        <v>0</v>
      </c>
      <c r="AK2247" s="201">
        <v>0</v>
      </c>
      <c r="AL2247" s="199"/>
      <c r="AM2247" s="150">
        <f>AK2247+AL2247</f>
        <v>0</v>
      </c>
      <c r="AN2247" s="153">
        <f t="shared" si="1952"/>
        <v>0</v>
      </c>
      <c r="AO2247" s="154">
        <f t="shared" si="1953"/>
        <v>0</v>
      </c>
      <c r="AP2247" s="150">
        <v>0</v>
      </c>
      <c r="AQ2247" s="201">
        <v>0</v>
      </c>
      <c r="AR2247" s="199"/>
      <c r="AS2247" s="150">
        <f>AQ2247+AR2247</f>
        <v>0</v>
      </c>
      <c r="AT2247" s="155"/>
      <c r="AU2247" s="156">
        <f t="shared" si="1948"/>
        <v>0</v>
      </c>
      <c r="AV2247" s="156">
        <f t="shared" si="1949"/>
        <v>0</v>
      </c>
      <c r="AW2247" s="157"/>
      <c r="AX2247" s="150">
        <v>0</v>
      </c>
      <c r="AY2247" s="150">
        <v>0</v>
      </c>
      <c r="AZ2247" s="150"/>
      <c r="BA2247" s="150">
        <f>AY2247+AZ2247</f>
        <v>0</v>
      </c>
      <c r="BB2247" s="202">
        <v>6</v>
      </c>
      <c r="BC2247" s="202" t="s">
        <v>647</v>
      </c>
      <c r="BD2247" s="202" t="s">
        <v>632</v>
      </c>
      <c r="BE2247" s="202" t="s">
        <v>632</v>
      </c>
      <c r="BF2247" s="202" t="s">
        <v>632</v>
      </c>
      <c r="BG2247" s="203" t="s">
        <v>10359</v>
      </c>
      <c r="BH2247" s="216">
        <f>SUM(AS2247:AS2251)</f>
        <v>0</v>
      </c>
      <c r="BI2247" s="202"/>
      <c r="BJ2247" s="194" t="s">
        <v>10360</v>
      </c>
      <c r="BK2247" s="194" t="s">
        <v>10358</v>
      </c>
      <c r="BL2247" s="207" t="s">
        <v>10361</v>
      </c>
      <c r="BM2247" s="208">
        <f>BH2247</f>
        <v>0</v>
      </c>
      <c r="BN2247" s="160"/>
      <c r="BO2247" s="161">
        <f t="shared" si="1918"/>
        <v>0</v>
      </c>
      <c r="BP2247" s="161"/>
    </row>
    <row r="2248" spans="1:68" ht="25.5">
      <c r="A2248" s="210"/>
      <c r="B2248" s="195" t="s">
        <v>10364</v>
      </c>
      <c r="C2248" s="196" t="s">
        <v>10365</v>
      </c>
      <c r="D2248" s="146" t="s">
        <v>4692</v>
      </c>
      <c r="E2248" s="377" t="s">
        <v>10365</v>
      </c>
      <c r="F2248" s="150">
        <v>0</v>
      </c>
      <c r="G2248" s="209">
        <v>0</v>
      </c>
      <c r="H2248" s="209"/>
      <c r="I2248" s="209">
        <v>0</v>
      </c>
      <c r="J2248" s="150">
        <v>0</v>
      </c>
      <c r="K2248" s="150">
        <v>0</v>
      </c>
      <c r="L2248" s="150">
        <f t="shared" si="1859"/>
        <v>0</v>
      </c>
      <c r="M2248" s="150">
        <v>0</v>
      </c>
      <c r="N2248" s="150"/>
      <c r="O2248" s="150">
        <v>0</v>
      </c>
      <c r="P2248" s="150">
        <v>0</v>
      </c>
      <c r="Q2248" s="150">
        <v>0</v>
      </c>
      <c r="R2248" s="150">
        <f>P2248+Q2248</f>
        <v>0</v>
      </c>
      <c r="S2248" s="150">
        <f t="shared" si="1912"/>
        <v>0</v>
      </c>
      <c r="T2248" s="150"/>
      <c r="U2248" s="150">
        <v>0</v>
      </c>
      <c r="V2248" s="199"/>
      <c r="W2248" s="150">
        <f>U2248+V2248</f>
        <v>0</v>
      </c>
      <c r="X2248" s="150">
        <v>0</v>
      </c>
      <c r="Y2248" s="150"/>
      <c r="Z2248" s="150">
        <v>0</v>
      </c>
      <c r="AA2248" s="150">
        <f t="shared" si="1950"/>
        <v>0</v>
      </c>
      <c r="AB2248" s="150">
        <v>0</v>
      </c>
      <c r="AC2248" s="199"/>
      <c r="AD2248" s="150">
        <f>AB2248+AC2248</f>
        <v>0</v>
      </c>
      <c r="AE2248" s="150">
        <v>0</v>
      </c>
      <c r="AF2248" s="169" t="s">
        <v>4680</v>
      </c>
      <c r="AG2248" s="201">
        <v>0</v>
      </c>
      <c r="AH2248" s="199"/>
      <c r="AI2248" s="150">
        <v>0</v>
      </c>
      <c r="AJ2248" s="169">
        <f t="shared" si="1951"/>
        <v>0</v>
      </c>
      <c r="AK2248" s="201">
        <v>0</v>
      </c>
      <c r="AL2248" s="199"/>
      <c r="AM2248" s="150">
        <f>AK2248+AL2248</f>
        <v>0</v>
      </c>
      <c r="AN2248" s="153">
        <f t="shared" si="1952"/>
        <v>0</v>
      </c>
      <c r="AO2248" s="154">
        <f t="shared" si="1953"/>
        <v>0</v>
      </c>
      <c r="AP2248" s="150">
        <v>0</v>
      </c>
      <c r="AQ2248" s="201">
        <v>0</v>
      </c>
      <c r="AR2248" s="199"/>
      <c r="AS2248" s="150">
        <f>AQ2248+AR2248</f>
        <v>0</v>
      </c>
      <c r="AT2248" s="155"/>
      <c r="AU2248" s="156">
        <f t="shared" si="1948"/>
        <v>0</v>
      </c>
      <c r="AV2248" s="156">
        <f t="shared" si="1949"/>
        <v>0</v>
      </c>
      <c r="AW2248" s="157"/>
      <c r="AX2248" s="150">
        <v>0</v>
      </c>
      <c r="AY2248" s="150">
        <v>0</v>
      </c>
      <c r="AZ2248" s="150"/>
      <c r="BA2248" s="150">
        <f>AY2248+AZ2248</f>
        <v>0</v>
      </c>
      <c r="BB2248" s="210"/>
      <c r="BC2248" s="210"/>
      <c r="BD2248" s="210"/>
      <c r="BE2248" s="210"/>
      <c r="BF2248" s="210"/>
      <c r="BG2248" s="210"/>
      <c r="BH2248" s="217"/>
      <c r="BI2248" s="210"/>
      <c r="BJ2248" s="210"/>
      <c r="BK2248" s="210"/>
      <c r="BL2248" s="210"/>
      <c r="BM2248" s="208"/>
      <c r="BN2248" s="160"/>
      <c r="BO2248" s="161">
        <f t="shared" si="1918"/>
        <v>0</v>
      </c>
      <c r="BP2248" s="161"/>
    </row>
    <row r="2249" spans="1:68" ht="25.5">
      <c r="A2249" s="210"/>
      <c r="B2249" s="195" t="s">
        <v>10366</v>
      </c>
      <c r="C2249" s="196" t="s">
        <v>10367</v>
      </c>
      <c r="D2249" s="146" t="s">
        <v>4692</v>
      </c>
      <c r="E2249" s="377" t="s">
        <v>10367</v>
      </c>
      <c r="F2249" s="150">
        <v>0</v>
      </c>
      <c r="G2249" s="209">
        <v>0</v>
      </c>
      <c r="H2249" s="209"/>
      <c r="I2249" s="209">
        <v>0</v>
      </c>
      <c r="J2249" s="150">
        <v>0</v>
      </c>
      <c r="K2249" s="150">
        <v>0</v>
      </c>
      <c r="L2249" s="150">
        <f t="shared" si="1859"/>
        <v>0</v>
      </c>
      <c r="M2249" s="150">
        <v>0</v>
      </c>
      <c r="N2249" s="150"/>
      <c r="O2249" s="150">
        <v>0</v>
      </c>
      <c r="P2249" s="150">
        <v>0</v>
      </c>
      <c r="Q2249" s="150">
        <v>0</v>
      </c>
      <c r="R2249" s="150">
        <f>P2249+Q2249</f>
        <v>0</v>
      </c>
      <c r="S2249" s="150">
        <f t="shared" si="1912"/>
        <v>0</v>
      </c>
      <c r="T2249" s="150"/>
      <c r="U2249" s="150">
        <v>0</v>
      </c>
      <c r="V2249" s="199"/>
      <c r="W2249" s="150">
        <f>U2249+V2249</f>
        <v>0</v>
      </c>
      <c r="X2249" s="150">
        <v>0</v>
      </c>
      <c r="Y2249" s="150"/>
      <c r="Z2249" s="150">
        <v>0</v>
      </c>
      <c r="AA2249" s="150">
        <f t="shared" si="1950"/>
        <v>0</v>
      </c>
      <c r="AB2249" s="150">
        <v>0</v>
      </c>
      <c r="AC2249" s="199"/>
      <c r="AD2249" s="150">
        <f>AB2249+AC2249</f>
        <v>0</v>
      </c>
      <c r="AE2249" s="150">
        <v>0</v>
      </c>
      <c r="AF2249" s="169" t="s">
        <v>4680</v>
      </c>
      <c r="AG2249" s="201">
        <v>0</v>
      </c>
      <c r="AH2249" s="199"/>
      <c r="AI2249" s="150">
        <v>0</v>
      </c>
      <c r="AJ2249" s="169">
        <f t="shared" si="1951"/>
        <v>0</v>
      </c>
      <c r="AK2249" s="201">
        <v>0</v>
      </c>
      <c r="AL2249" s="199"/>
      <c r="AM2249" s="150">
        <f>AK2249+AL2249</f>
        <v>0</v>
      </c>
      <c r="AN2249" s="153">
        <f t="shared" si="1952"/>
        <v>0</v>
      </c>
      <c r="AO2249" s="154">
        <f t="shared" si="1953"/>
        <v>0</v>
      </c>
      <c r="AP2249" s="150">
        <v>0</v>
      </c>
      <c r="AQ2249" s="201">
        <v>0</v>
      </c>
      <c r="AR2249" s="199"/>
      <c r="AS2249" s="150">
        <f>AQ2249+AR2249</f>
        <v>0</v>
      </c>
      <c r="AT2249" s="155"/>
      <c r="AU2249" s="156">
        <f t="shared" si="1948"/>
        <v>0</v>
      </c>
      <c r="AV2249" s="156">
        <f t="shared" si="1949"/>
        <v>0</v>
      </c>
      <c r="AW2249" s="157"/>
      <c r="AX2249" s="150">
        <v>0</v>
      </c>
      <c r="AY2249" s="150">
        <v>0</v>
      </c>
      <c r="AZ2249" s="150"/>
      <c r="BA2249" s="150">
        <f>AY2249+AZ2249</f>
        <v>0</v>
      </c>
      <c r="BB2249" s="210"/>
      <c r="BC2249" s="210"/>
      <c r="BD2249" s="210"/>
      <c r="BE2249" s="210"/>
      <c r="BF2249" s="210"/>
      <c r="BG2249" s="210"/>
      <c r="BH2249" s="217"/>
      <c r="BI2249" s="210"/>
      <c r="BJ2249" s="210"/>
      <c r="BK2249" s="210"/>
      <c r="BL2249" s="210"/>
      <c r="BM2249" s="208"/>
      <c r="BN2249" s="160"/>
      <c r="BO2249" s="161">
        <f t="shared" si="1918"/>
        <v>0</v>
      </c>
      <c r="BP2249" s="161"/>
    </row>
    <row r="2250" spans="1:68" ht="25.5">
      <c r="A2250" s="210"/>
      <c r="B2250" s="195" t="s">
        <v>10368</v>
      </c>
      <c r="C2250" s="196" t="s">
        <v>10369</v>
      </c>
      <c r="D2250" s="146" t="s">
        <v>4692</v>
      </c>
      <c r="E2250" s="377" t="s">
        <v>10369</v>
      </c>
      <c r="F2250" s="150">
        <v>0</v>
      </c>
      <c r="G2250" s="209">
        <v>0</v>
      </c>
      <c r="H2250" s="209"/>
      <c r="I2250" s="209">
        <v>0</v>
      </c>
      <c r="J2250" s="150">
        <v>0</v>
      </c>
      <c r="K2250" s="150">
        <v>0</v>
      </c>
      <c r="L2250" s="150">
        <f t="shared" si="1859"/>
        <v>0</v>
      </c>
      <c r="M2250" s="150">
        <v>0</v>
      </c>
      <c r="N2250" s="150"/>
      <c r="O2250" s="150">
        <v>0</v>
      </c>
      <c r="P2250" s="150">
        <v>0</v>
      </c>
      <c r="Q2250" s="150">
        <v>0</v>
      </c>
      <c r="R2250" s="150">
        <f>P2250+Q2250</f>
        <v>0</v>
      </c>
      <c r="S2250" s="150">
        <f t="shared" si="1912"/>
        <v>0</v>
      </c>
      <c r="T2250" s="150"/>
      <c r="U2250" s="150">
        <v>0</v>
      </c>
      <c r="V2250" s="199"/>
      <c r="W2250" s="150">
        <f>U2250+V2250</f>
        <v>0</v>
      </c>
      <c r="X2250" s="150">
        <v>0</v>
      </c>
      <c r="Y2250" s="150"/>
      <c r="Z2250" s="150">
        <v>0</v>
      </c>
      <c r="AA2250" s="150">
        <f t="shared" si="1950"/>
        <v>0</v>
      </c>
      <c r="AB2250" s="150">
        <v>0</v>
      </c>
      <c r="AC2250" s="199"/>
      <c r="AD2250" s="150">
        <f>AB2250+AC2250</f>
        <v>0</v>
      </c>
      <c r="AE2250" s="150">
        <v>0</v>
      </c>
      <c r="AF2250" s="169" t="s">
        <v>4680</v>
      </c>
      <c r="AG2250" s="201">
        <v>0</v>
      </c>
      <c r="AH2250" s="199"/>
      <c r="AI2250" s="150">
        <v>0</v>
      </c>
      <c r="AJ2250" s="169">
        <f t="shared" si="1951"/>
        <v>0</v>
      </c>
      <c r="AK2250" s="201">
        <v>0</v>
      </c>
      <c r="AL2250" s="199"/>
      <c r="AM2250" s="150">
        <f>AK2250+AL2250</f>
        <v>0</v>
      </c>
      <c r="AN2250" s="153">
        <f t="shared" si="1952"/>
        <v>0</v>
      </c>
      <c r="AO2250" s="154">
        <f t="shared" si="1953"/>
        <v>0</v>
      </c>
      <c r="AP2250" s="150">
        <v>0</v>
      </c>
      <c r="AQ2250" s="201">
        <v>0</v>
      </c>
      <c r="AR2250" s="199"/>
      <c r="AS2250" s="150">
        <f>AQ2250+AR2250</f>
        <v>0</v>
      </c>
      <c r="AT2250" s="155"/>
      <c r="AU2250" s="156">
        <f t="shared" si="1948"/>
        <v>0</v>
      </c>
      <c r="AV2250" s="156">
        <f t="shared" si="1949"/>
        <v>0</v>
      </c>
      <c r="AW2250" s="157"/>
      <c r="AX2250" s="150">
        <v>0</v>
      </c>
      <c r="AY2250" s="150">
        <v>0</v>
      </c>
      <c r="AZ2250" s="150"/>
      <c r="BA2250" s="150">
        <f>AY2250+AZ2250</f>
        <v>0</v>
      </c>
      <c r="BB2250" s="210"/>
      <c r="BC2250" s="210"/>
      <c r="BD2250" s="210"/>
      <c r="BE2250" s="210"/>
      <c r="BF2250" s="210"/>
      <c r="BG2250" s="210"/>
      <c r="BH2250" s="217"/>
      <c r="BI2250" s="210"/>
      <c r="BJ2250" s="210"/>
      <c r="BK2250" s="210"/>
      <c r="BL2250" s="210"/>
      <c r="BM2250" s="208"/>
      <c r="BN2250" s="160"/>
      <c r="BO2250" s="161">
        <f t="shared" si="1918"/>
        <v>0</v>
      </c>
      <c r="BP2250" s="161"/>
    </row>
    <row r="2251" spans="1:68" ht="25.5">
      <c r="A2251" s="210"/>
      <c r="B2251" s="195" t="s">
        <v>10370</v>
      </c>
      <c r="C2251" s="196" t="s">
        <v>10371</v>
      </c>
      <c r="D2251" s="146" t="s">
        <v>4692</v>
      </c>
      <c r="E2251" s="377" t="s">
        <v>10371</v>
      </c>
      <c r="F2251" s="150">
        <v>0</v>
      </c>
      <c r="G2251" s="209">
        <v>0</v>
      </c>
      <c r="H2251" s="209">
        <v>0</v>
      </c>
      <c r="I2251" s="209">
        <v>0</v>
      </c>
      <c r="J2251" s="150">
        <v>0</v>
      </c>
      <c r="K2251" s="150">
        <v>0</v>
      </c>
      <c r="L2251" s="150">
        <f t="shared" ref="L2251:L2314" si="1969">J2251+K2251</f>
        <v>0</v>
      </c>
      <c r="M2251" s="150">
        <v>0</v>
      </c>
      <c r="N2251" s="150"/>
      <c r="O2251" s="150">
        <v>0</v>
      </c>
      <c r="P2251" s="150">
        <v>0</v>
      </c>
      <c r="Q2251" s="150">
        <v>0</v>
      </c>
      <c r="R2251" s="150">
        <f>P2251+Q2251</f>
        <v>0</v>
      </c>
      <c r="S2251" s="150">
        <f t="shared" si="1912"/>
        <v>0</v>
      </c>
      <c r="T2251" s="150"/>
      <c r="U2251" s="150">
        <v>0</v>
      </c>
      <c r="V2251" s="199"/>
      <c r="W2251" s="150">
        <f>U2251+V2251</f>
        <v>0</v>
      </c>
      <c r="X2251" s="150">
        <v>0</v>
      </c>
      <c r="Y2251" s="150"/>
      <c r="Z2251" s="150">
        <v>0</v>
      </c>
      <c r="AA2251" s="150">
        <f t="shared" si="1950"/>
        <v>0</v>
      </c>
      <c r="AB2251" s="150">
        <v>0</v>
      </c>
      <c r="AC2251" s="199"/>
      <c r="AD2251" s="150">
        <f>AB2251+AC2251</f>
        <v>0</v>
      </c>
      <c r="AE2251" s="150">
        <v>0</v>
      </c>
      <c r="AF2251" s="169" t="s">
        <v>4680</v>
      </c>
      <c r="AG2251" s="201">
        <v>0</v>
      </c>
      <c r="AH2251" s="199"/>
      <c r="AI2251" s="150">
        <v>0</v>
      </c>
      <c r="AJ2251" s="169">
        <f t="shared" si="1951"/>
        <v>0</v>
      </c>
      <c r="AK2251" s="201">
        <v>0</v>
      </c>
      <c r="AL2251" s="199"/>
      <c r="AM2251" s="150">
        <f>AK2251+AL2251</f>
        <v>0</v>
      </c>
      <c r="AN2251" s="153">
        <f t="shared" si="1952"/>
        <v>0</v>
      </c>
      <c r="AO2251" s="154">
        <f t="shared" si="1953"/>
        <v>0</v>
      </c>
      <c r="AP2251" s="150">
        <v>0</v>
      </c>
      <c r="AQ2251" s="201">
        <v>0</v>
      </c>
      <c r="AR2251" s="199"/>
      <c r="AS2251" s="150">
        <f>AQ2251+AR2251</f>
        <v>0</v>
      </c>
      <c r="AT2251" s="155"/>
      <c r="AU2251" s="156">
        <f t="shared" si="1948"/>
        <v>0</v>
      </c>
      <c r="AV2251" s="156">
        <f t="shared" si="1949"/>
        <v>0</v>
      </c>
      <c r="AW2251" s="157"/>
      <c r="AX2251" s="150">
        <v>0</v>
      </c>
      <c r="AY2251" s="150">
        <v>0</v>
      </c>
      <c r="AZ2251" s="150"/>
      <c r="BA2251" s="150">
        <f>AY2251+AZ2251</f>
        <v>0</v>
      </c>
      <c r="BB2251" s="210"/>
      <c r="BC2251" s="210"/>
      <c r="BD2251" s="210"/>
      <c r="BE2251" s="210"/>
      <c r="BF2251" s="210"/>
      <c r="BG2251" s="210"/>
      <c r="BH2251" s="217"/>
      <c r="BI2251" s="210"/>
      <c r="BJ2251" s="210"/>
      <c r="BK2251" s="210"/>
      <c r="BL2251" s="210"/>
      <c r="BM2251" s="208"/>
      <c r="BN2251" s="160"/>
      <c r="BO2251" s="161">
        <f t="shared" si="1918"/>
        <v>0</v>
      </c>
      <c r="BP2251" s="161"/>
    </row>
    <row r="2252" spans="1:68" ht="38.25">
      <c r="A2252" s="173" t="s">
        <v>10372</v>
      </c>
      <c r="B2252" s="174"/>
      <c r="C2252" s="175" t="s">
        <v>10373</v>
      </c>
      <c r="D2252" s="146" t="s">
        <v>4692</v>
      </c>
      <c r="E2252" s="175" t="s">
        <v>10373</v>
      </c>
      <c r="F2252" s="176">
        <v>0</v>
      </c>
      <c r="G2252" s="177">
        <v>0</v>
      </c>
      <c r="H2252" s="177">
        <v>0</v>
      </c>
      <c r="I2252" s="177">
        <v>0</v>
      </c>
      <c r="J2252" s="176">
        <f>J2253</f>
        <v>0</v>
      </c>
      <c r="K2252" s="176">
        <f>K2253</f>
        <v>0</v>
      </c>
      <c r="L2252" s="176">
        <f t="shared" si="1969"/>
        <v>0</v>
      </c>
      <c r="M2252" s="176">
        <v>0</v>
      </c>
      <c r="N2252" s="176">
        <v>0</v>
      </c>
      <c r="O2252" s="178">
        <v>0</v>
      </c>
      <c r="P2252" s="221">
        <f t="shared" ref="P2252:AM2253" si="1970">P2253</f>
        <v>0</v>
      </c>
      <c r="Q2252" s="221">
        <f t="shared" si="1970"/>
        <v>0</v>
      </c>
      <c r="R2252" s="221">
        <f t="shared" si="1970"/>
        <v>0</v>
      </c>
      <c r="S2252" s="150">
        <f t="shared" si="1912"/>
        <v>0</v>
      </c>
      <c r="T2252" s="213"/>
      <c r="U2252" s="221">
        <f t="shared" ref="U2252:W2253" si="1971">U2253</f>
        <v>0</v>
      </c>
      <c r="V2252" s="222">
        <f t="shared" si="1971"/>
        <v>0</v>
      </c>
      <c r="W2252" s="221">
        <f t="shared" si="1971"/>
        <v>0</v>
      </c>
      <c r="X2252" s="221">
        <v>0</v>
      </c>
      <c r="Y2252" s="221">
        <v>0</v>
      </c>
      <c r="Z2252" s="221">
        <v>0</v>
      </c>
      <c r="AA2252" s="221">
        <f t="shared" si="1950"/>
        <v>0</v>
      </c>
      <c r="AB2252" s="221">
        <v>0</v>
      </c>
      <c r="AC2252" s="222">
        <v>0</v>
      </c>
      <c r="AD2252" s="221">
        <f t="shared" si="1970"/>
        <v>0</v>
      </c>
      <c r="AE2252" s="221">
        <v>0</v>
      </c>
      <c r="AF2252" s="169" t="s">
        <v>4680</v>
      </c>
      <c r="AG2252" s="223">
        <v>0</v>
      </c>
      <c r="AH2252" s="222">
        <v>0</v>
      </c>
      <c r="AI2252" s="221">
        <v>0</v>
      </c>
      <c r="AJ2252" s="169">
        <f t="shared" si="1951"/>
        <v>0</v>
      </c>
      <c r="AK2252" s="223">
        <v>0</v>
      </c>
      <c r="AL2252" s="222">
        <v>0</v>
      </c>
      <c r="AM2252" s="221">
        <f t="shared" si="1970"/>
        <v>0</v>
      </c>
      <c r="AN2252" s="153">
        <f t="shared" si="1952"/>
        <v>0</v>
      </c>
      <c r="AO2252" s="154">
        <f t="shared" si="1953"/>
        <v>0</v>
      </c>
      <c r="AP2252" s="221">
        <v>0</v>
      </c>
      <c r="AQ2252" s="223">
        <v>0</v>
      </c>
      <c r="AR2252" s="222">
        <f t="shared" ref="AR2252:AS2253" si="1972">AR2253</f>
        <v>0</v>
      </c>
      <c r="AS2252" s="221">
        <f t="shared" si="1972"/>
        <v>0</v>
      </c>
      <c r="AT2252" s="155"/>
      <c r="AU2252" s="156">
        <f t="shared" si="1948"/>
        <v>0</v>
      </c>
      <c r="AV2252" s="156">
        <f t="shared" si="1949"/>
        <v>0</v>
      </c>
      <c r="AW2252" s="157"/>
      <c r="AX2252" s="150">
        <v>0</v>
      </c>
      <c r="AY2252" s="221">
        <f t="shared" ref="AY2252:BA2253" si="1973">AY2253</f>
        <v>0</v>
      </c>
      <c r="AZ2252" s="221">
        <f t="shared" si="1973"/>
        <v>0</v>
      </c>
      <c r="BA2252" s="221">
        <f t="shared" si="1973"/>
        <v>0</v>
      </c>
      <c r="BB2252" s="181">
        <v>6</v>
      </c>
      <c r="BC2252" s="173" t="s">
        <v>647</v>
      </c>
      <c r="BD2252" s="173" t="s">
        <v>647</v>
      </c>
      <c r="BE2252" s="173" t="s">
        <v>630</v>
      </c>
      <c r="BF2252" s="173" t="s">
        <v>630</v>
      </c>
      <c r="BG2252" s="175" t="s">
        <v>10373</v>
      </c>
      <c r="BH2252" s="224">
        <f>BH2253</f>
        <v>0</v>
      </c>
      <c r="BI2252" s="181"/>
      <c r="BJ2252" s="173" t="s">
        <v>10374</v>
      </c>
      <c r="BK2252" s="173" t="s">
        <v>10372</v>
      </c>
      <c r="BL2252" s="182" t="s">
        <v>10375</v>
      </c>
      <c r="BM2252" s="337">
        <f>BM2253</f>
        <v>0</v>
      </c>
      <c r="BN2252" s="160"/>
      <c r="BO2252" s="161">
        <f t="shared" si="1918"/>
        <v>0</v>
      </c>
      <c r="BP2252" s="161"/>
    </row>
    <row r="2253" spans="1:68" ht="38.25">
      <c r="A2253" s="183" t="s">
        <v>10372</v>
      </c>
      <c r="B2253" s="184"/>
      <c r="C2253" s="185" t="s">
        <v>10373</v>
      </c>
      <c r="D2253" s="146" t="s">
        <v>4692</v>
      </c>
      <c r="E2253" s="185" t="s">
        <v>10373</v>
      </c>
      <c r="F2253" s="188">
        <v>0</v>
      </c>
      <c r="G2253" s="187">
        <v>0</v>
      </c>
      <c r="H2253" s="187"/>
      <c r="I2253" s="187">
        <v>0</v>
      </c>
      <c r="J2253" s="188">
        <f>J2254</f>
        <v>0</v>
      </c>
      <c r="K2253" s="188">
        <f>K2254</f>
        <v>0</v>
      </c>
      <c r="L2253" s="188">
        <f t="shared" si="1969"/>
        <v>0</v>
      </c>
      <c r="M2253" s="188">
        <v>0</v>
      </c>
      <c r="N2253" s="188">
        <v>0</v>
      </c>
      <c r="O2253" s="188">
        <v>0</v>
      </c>
      <c r="P2253" s="299">
        <f t="shared" si="1970"/>
        <v>0</v>
      </c>
      <c r="Q2253" s="299">
        <f t="shared" si="1970"/>
        <v>0</v>
      </c>
      <c r="R2253" s="299">
        <f t="shared" si="1970"/>
        <v>0</v>
      </c>
      <c r="S2253" s="150">
        <f t="shared" si="1912"/>
        <v>0</v>
      </c>
      <c r="T2253" s="213"/>
      <c r="U2253" s="299">
        <f t="shared" si="1971"/>
        <v>0</v>
      </c>
      <c r="V2253" s="226">
        <f t="shared" si="1971"/>
        <v>0</v>
      </c>
      <c r="W2253" s="299">
        <f t="shared" si="1971"/>
        <v>0</v>
      </c>
      <c r="X2253" s="299">
        <v>0</v>
      </c>
      <c r="Y2253" s="299">
        <v>0</v>
      </c>
      <c r="Z2253" s="299">
        <v>0</v>
      </c>
      <c r="AA2253" s="299">
        <f t="shared" si="1950"/>
        <v>0</v>
      </c>
      <c r="AB2253" s="299">
        <v>0</v>
      </c>
      <c r="AC2253" s="226">
        <v>0</v>
      </c>
      <c r="AD2253" s="299">
        <f t="shared" si="1970"/>
        <v>0</v>
      </c>
      <c r="AE2253" s="299">
        <v>0</v>
      </c>
      <c r="AF2253" s="169" t="s">
        <v>4680</v>
      </c>
      <c r="AG2253" s="301">
        <v>0</v>
      </c>
      <c r="AH2253" s="226">
        <v>0</v>
      </c>
      <c r="AI2253" s="299">
        <v>0</v>
      </c>
      <c r="AJ2253" s="169">
        <f t="shared" si="1951"/>
        <v>0</v>
      </c>
      <c r="AK2253" s="301">
        <v>0</v>
      </c>
      <c r="AL2253" s="226">
        <v>0</v>
      </c>
      <c r="AM2253" s="299">
        <f t="shared" si="1970"/>
        <v>0</v>
      </c>
      <c r="AN2253" s="153">
        <f t="shared" si="1952"/>
        <v>0</v>
      </c>
      <c r="AO2253" s="154">
        <f t="shared" si="1953"/>
        <v>0</v>
      </c>
      <c r="AP2253" s="299">
        <v>0</v>
      </c>
      <c r="AQ2253" s="301">
        <v>0</v>
      </c>
      <c r="AR2253" s="226">
        <f t="shared" si="1972"/>
        <v>0</v>
      </c>
      <c r="AS2253" s="299">
        <f t="shared" si="1972"/>
        <v>0</v>
      </c>
      <c r="AT2253" s="155"/>
      <c r="AU2253" s="156">
        <f t="shared" si="1948"/>
        <v>0</v>
      </c>
      <c r="AV2253" s="156">
        <f t="shared" si="1949"/>
        <v>0</v>
      </c>
      <c r="AW2253" s="157"/>
      <c r="AX2253" s="150">
        <v>0</v>
      </c>
      <c r="AY2253" s="299">
        <f t="shared" si="1973"/>
        <v>0</v>
      </c>
      <c r="AZ2253" s="299">
        <f t="shared" si="1973"/>
        <v>0</v>
      </c>
      <c r="BA2253" s="299">
        <f t="shared" si="1973"/>
        <v>0</v>
      </c>
      <c r="BB2253" s="191">
        <v>6</v>
      </c>
      <c r="BC2253" s="183" t="s">
        <v>647</v>
      </c>
      <c r="BD2253" s="183" t="s">
        <v>647</v>
      </c>
      <c r="BE2253" s="183" t="s">
        <v>632</v>
      </c>
      <c r="BF2253" s="183" t="s">
        <v>630</v>
      </c>
      <c r="BG2253" s="185" t="s">
        <v>10373</v>
      </c>
      <c r="BH2253" s="215">
        <f>BH2254</f>
        <v>0</v>
      </c>
      <c r="BI2253" s="191"/>
      <c r="BJ2253" s="183" t="s">
        <v>10374</v>
      </c>
      <c r="BK2253" s="183" t="s">
        <v>10372</v>
      </c>
      <c r="BL2253" s="238" t="s">
        <v>10375</v>
      </c>
      <c r="BM2253" s="338">
        <f>BM2254</f>
        <v>0</v>
      </c>
      <c r="BN2253" s="160"/>
      <c r="BO2253" s="161">
        <f t="shared" si="1918"/>
        <v>0</v>
      </c>
      <c r="BP2253" s="161"/>
    </row>
    <row r="2254" spans="1:68" ht="38.25">
      <c r="A2254" s="194" t="s">
        <v>10372</v>
      </c>
      <c r="B2254" s="195" t="s">
        <v>10376</v>
      </c>
      <c r="C2254" s="196" t="s">
        <v>10377</v>
      </c>
      <c r="D2254" s="146" t="s">
        <v>4692</v>
      </c>
      <c r="E2254" s="203" t="s">
        <v>10373</v>
      </c>
      <c r="F2254" s="150">
        <v>0</v>
      </c>
      <c r="G2254" s="242">
        <v>0</v>
      </c>
      <c r="H2254" s="242">
        <v>0</v>
      </c>
      <c r="I2254" s="242">
        <v>0</v>
      </c>
      <c r="J2254" s="150">
        <v>0</v>
      </c>
      <c r="K2254" s="150">
        <v>0</v>
      </c>
      <c r="L2254" s="150">
        <f t="shared" si="1969"/>
        <v>0</v>
      </c>
      <c r="M2254" s="150">
        <v>0</v>
      </c>
      <c r="N2254" s="150"/>
      <c r="O2254" s="150">
        <v>0</v>
      </c>
      <c r="P2254" s="150">
        <v>0</v>
      </c>
      <c r="Q2254" s="150">
        <v>0</v>
      </c>
      <c r="R2254" s="150">
        <f>P2254+Q2254</f>
        <v>0</v>
      </c>
      <c r="S2254" s="150">
        <f t="shared" si="1912"/>
        <v>0</v>
      </c>
      <c r="T2254" s="150"/>
      <c r="U2254" s="150">
        <v>0</v>
      </c>
      <c r="V2254" s="199"/>
      <c r="W2254" s="150">
        <f>U2254+V2254</f>
        <v>0</v>
      </c>
      <c r="X2254" s="150">
        <v>0</v>
      </c>
      <c r="Y2254" s="150"/>
      <c r="Z2254" s="150">
        <v>0</v>
      </c>
      <c r="AA2254" s="150">
        <f t="shared" si="1950"/>
        <v>0</v>
      </c>
      <c r="AB2254" s="150">
        <v>0</v>
      </c>
      <c r="AC2254" s="199"/>
      <c r="AD2254" s="150">
        <f>AB2254+AC2254</f>
        <v>0</v>
      </c>
      <c r="AE2254" s="150">
        <v>0</v>
      </c>
      <c r="AF2254" s="169" t="s">
        <v>4680</v>
      </c>
      <c r="AG2254" s="201">
        <v>0</v>
      </c>
      <c r="AH2254" s="199"/>
      <c r="AI2254" s="150">
        <v>0</v>
      </c>
      <c r="AJ2254" s="169">
        <f t="shared" si="1951"/>
        <v>0</v>
      </c>
      <c r="AK2254" s="201">
        <v>0</v>
      </c>
      <c r="AL2254" s="199"/>
      <c r="AM2254" s="150">
        <f>AK2254+AL2254</f>
        <v>0</v>
      </c>
      <c r="AN2254" s="153">
        <f t="shared" si="1952"/>
        <v>0</v>
      </c>
      <c r="AO2254" s="154">
        <f t="shared" si="1953"/>
        <v>0</v>
      </c>
      <c r="AP2254" s="150">
        <v>0</v>
      </c>
      <c r="AQ2254" s="201">
        <v>0</v>
      </c>
      <c r="AR2254" s="199"/>
      <c r="AS2254" s="150">
        <f>AQ2254+AR2254</f>
        <v>0</v>
      </c>
      <c r="AT2254" s="155"/>
      <c r="AU2254" s="156">
        <f t="shared" si="1948"/>
        <v>0</v>
      </c>
      <c r="AV2254" s="156">
        <f t="shared" si="1949"/>
        <v>0</v>
      </c>
      <c r="AW2254" s="157"/>
      <c r="AX2254" s="150">
        <v>0</v>
      </c>
      <c r="AY2254" s="150">
        <v>0</v>
      </c>
      <c r="AZ2254" s="150"/>
      <c r="BA2254" s="150">
        <f>AY2254+AZ2254</f>
        <v>0</v>
      </c>
      <c r="BB2254" s="202">
        <v>6</v>
      </c>
      <c r="BC2254" s="202" t="s">
        <v>647</v>
      </c>
      <c r="BD2254" s="202" t="s">
        <v>647</v>
      </c>
      <c r="BE2254" s="202" t="s">
        <v>632</v>
      </c>
      <c r="BF2254" s="202" t="s">
        <v>632</v>
      </c>
      <c r="BG2254" s="203" t="s">
        <v>10373</v>
      </c>
      <c r="BH2254" s="216">
        <f>AS2254</f>
        <v>0</v>
      </c>
      <c r="BI2254" s="202"/>
      <c r="BJ2254" s="194" t="s">
        <v>10374</v>
      </c>
      <c r="BK2254" s="194" t="s">
        <v>10372</v>
      </c>
      <c r="BL2254" s="207" t="s">
        <v>10375</v>
      </c>
      <c r="BM2254" s="208">
        <f>BH2254</f>
        <v>0</v>
      </c>
      <c r="BN2254" s="160"/>
      <c r="BO2254" s="161">
        <f t="shared" si="1918"/>
        <v>0</v>
      </c>
      <c r="BP2254" s="161"/>
    </row>
    <row r="2255" spans="1:68" ht="38.25">
      <c r="A2255" s="173" t="s">
        <v>10378</v>
      </c>
      <c r="B2255" s="174"/>
      <c r="C2255" s="175" t="s">
        <v>10379</v>
      </c>
      <c r="D2255" s="146" t="s">
        <v>4692</v>
      </c>
      <c r="E2255" s="175" t="s">
        <v>10379</v>
      </c>
      <c r="F2255" s="176">
        <v>0</v>
      </c>
      <c r="G2255" s="177">
        <v>0</v>
      </c>
      <c r="H2255" s="177">
        <v>0</v>
      </c>
      <c r="I2255" s="177">
        <v>0</v>
      </c>
      <c r="J2255" s="176">
        <f>J2256</f>
        <v>0</v>
      </c>
      <c r="K2255" s="176">
        <f>K2256</f>
        <v>0</v>
      </c>
      <c r="L2255" s="176">
        <f t="shared" si="1969"/>
        <v>0</v>
      </c>
      <c r="M2255" s="176">
        <v>0</v>
      </c>
      <c r="N2255" s="176">
        <v>0</v>
      </c>
      <c r="O2255" s="178">
        <v>0</v>
      </c>
      <c r="P2255" s="221">
        <f t="shared" ref="P2255:AM2256" si="1974">P2256</f>
        <v>0</v>
      </c>
      <c r="Q2255" s="221">
        <f t="shared" si="1974"/>
        <v>0</v>
      </c>
      <c r="R2255" s="221">
        <f t="shared" si="1974"/>
        <v>0</v>
      </c>
      <c r="S2255" s="150">
        <f t="shared" si="1912"/>
        <v>0</v>
      </c>
      <c r="T2255" s="213"/>
      <c r="U2255" s="221">
        <f t="shared" ref="U2255:W2256" si="1975">U2256</f>
        <v>0</v>
      </c>
      <c r="V2255" s="222">
        <f t="shared" si="1975"/>
        <v>0</v>
      </c>
      <c r="W2255" s="221">
        <f t="shared" si="1975"/>
        <v>0</v>
      </c>
      <c r="X2255" s="221">
        <v>0</v>
      </c>
      <c r="Y2255" s="221">
        <v>0</v>
      </c>
      <c r="Z2255" s="221">
        <v>0</v>
      </c>
      <c r="AA2255" s="221">
        <f t="shared" si="1950"/>
        <v>0</v>
      </c>
      <c r="AB2255" s="221">
        <v>0</v>
      </c>
      <c r="AC2255" s="222">
        <v>0</v>
      </c>
      <c r="AD2255" s="221">
        <f t="shared" si="1974"/>
        <v>0</v>
      </c>
      <c r="AE2255" s="221">
        <v>0</v>
      </c>
      <c r="AF2255" s="169" t="s">
        <v>4680</v>
      </c>
      <c r="AG2255" s="223">
        <v>0</v>
      </c>
      <c r="AH2255" s="222">
        <v>0</v>
      </c>
      <c r="AI2255" s="221">
        <v>0</v>
      </c>
      <c r="AJ2255" s="169">
        <f t="shared" si="1951"/>
        <v>0</v>
      </c>
      <c r="AK2255" s="223">
        <v>0</v>
      </c>
      <c r="AL2255" s="222">
        <v>0</v>
      </c>
      <c r="AM2255" s="221">
        <f t="shared" si="1974"/>
        <v>0</v>
      </c>
      <c r="AN2255" s="153">
        <f t="shared" si="1952"/>
        <v>0</v>
      </c>
      <c r="AO2255" s="154">
        <f t="shared" si="1953"/>
        <v>0</v>
      </c>
      <c r="AP2255" s="221">
        <v>0</v>
      </c>
      <c r="AQ2255" s="223">
        <v>0</v>
      </c>
      <c r="AR2255" s="222">
        <f t="shared" ref="AR2255:AS2256" si="1976">AR2256</f>
        <v>0</v>
      </c>
      <c r="AS2255" s="221">
        <f t="shared" si="1976"/>
        <v>0</v>
      </c>
      <c r="AT2255" s="155"/>
      <c r="AU2255" s="156">
        <f t="shared" si="1948"/>
        <v>0</v>
      </c>
      <c r="AV2255" s="156">
        <f t="shared" si="1949"/>
        <v>0</v>
      </c>
      <c r="AW2255" s="157"/>
      <c r="AX2255" s="150">
        <v>0</v>
      </c>
      <c r="AY2255" s="221">
        <f t="shared" ref="AY2255:BA2256" si="1977">AY2256</f>
        <v>0</v>
      </c>
      <c r="AZ2255" s="221">
        <f t="shared" si="1977"/>
        <v>0</v>
      </c>
      <c r="BA2255" s="221">
        <f t="shared" si="1977"/>
        <v>0</v>
      </c>
      <c r="BB2255" s="181">
        <v>6</v>
      </c>
      <c r="BC2255" s="173" t="s">
        <v>647</v>
      </c>
      <c r="BD2255" s="173" t="s">
        <v>671</v>
      </c>
      <c r="BE2255" s="173" t="s">
        <v>630</v>
      </c>
      <c r="BF2255" s="173" t="s">
        <v>630</v>
      </c>
      <c r="BG2255" s="175" t="s">
        <v>10379</v>
      </c>
      <c r="BH2255" s="224">
        <f>BH2256</f>
        <v>0</v>
      </c>
      <c r="BI2255" s="181"/>
      <c r="BJ2255" s="173" t="s">
        <v>10380</v>
      </c>
      <c r="BK2255" s="173" t="s">
        <v>10378</v>
      </c>
      <c r="BL2255" s="182" t="s">
        <v>10381</v>
      </c>
      <c r="BM2255" s="337">
        <f>BM2256</f>
        <v>0</v>
      </c>
      <c r="BN2255" s="160"/>
      <c r="BO2255" s="161">
        <f t="shared" si="1918"/>
        <v>0</v>
      </c>
      <c r="BP2255" s="161"/>
    </row>
    <row r="2256" spans="1:68" ht="38.25">
      <c r="A2256" s="183" t="s">
        <v>10378</v>
      </c>
      <c r="B2256" s="184"/>
      <c r="C2256" s="185" t="s">
        <v>10379</v>
      </c>
      <c r="D2256" s="146" t="s">
        <v>4692</v>
      </c>
      <c r="E2256" s="185" t="s">
        <v>10379</v>
      </c>
      <c r="F2256" s="188">
        <v>0</v>
      </c>
      <c r="G2256" s="187">
        <v>0</v>
      </c>
      <c r="H2256" s="187"/>
      <c r="I2256" s="187">
        <v>0</v>
      </c>
      <c r="J2256" s="188">
        <f>J2257</f>
        <v>0</v>
      </c>
      <c r="K2256" s="188">
        <f>K2257</f>
        <v>0</v>
      </c>
      <c r="L2256" s="188">
        <f t="shared" si="1969"/>
        <v>0</v>
      </c>
      <c r="M2256" s="188">
        <v>0</v>
      </c>
      <c r="N2256" s="188">
        <v>0</v>
      </c>
      <c r="O2256" s="188">
        <v>0</v>
      </c>
      <c r="P2256" s="299">
        <f t="shared" si="1974"/>
        <v>0</v>
      </c>
      <c r="Q2256" s="299">
        <f t="shared" si="1974"/>
        <v>0</v>
      </c>
      <c r="R2256" s="299">
        <f t="shared" si="1974"/>
        <v>0</v>
      </c>
      <c r="S2256" s="150">
        <f t="shared" si="1912"/>
        <v>0</v>
      </c>
      <c r="T2256" s="213"/>
      <c r="U2256" s="299">
        <f t="shared" si="1975"/>
        <v>0</v>
      </c>
      <c r="V2256" s="226">
        <f t="shared" si="1975"/>
        <v>0</v>
      </c>
      <c r="W2256" s="299">
        <f t="shared" si="1975"/>
        <v>0</v>
      </c>
      <c r="X2256" s="299">
        <v>0</v>
      </c>
      <c r="Y2256" s="299">
        <v>0</v>
      </c>
      <c r="Z2256" s="299">
        <v>0</v>
      </c>
      <c r="AA2256" s="299">
        <f t="shared" si="1950"/>
        <v>0</v>
      </c>
      <c r="AB2256" s="299">
        <v>0</v>
      </c>
      <c r="AC2256" s="226">
        <v>0</v>
      </c>
      <c r="AD2256" s="299">
        <f t="shared" si="1974"/>
        <v>0</v>
      </c>
      <c r="AE2256" s="299">
        <v>0</v>
      </c>
      <c r="AF2256" s="169" t="s">
        <v>4680</v>
      </c>
      <c r="AG2256" s="301">
        <v>0</v>
      </c>
      <c r="AH2256" s="226">
        <v>0</v>
      </c>
      <c r="AI2256" s="299">
        <v>0</v>
      </c>
      <c r="AJ2256" s="169">
        <f t="shared" si="1951"/>
        <v>0</v>
      </c>
      <c r="AK2256" s="301">
        <v>0</v>
      </c>
      <c r="AL2256" s="226">
        <v>0</v>
      </c>
      <c r="AM2256" s="299">
        <f t="shared" si="1974"/>
        <v>0</v>
      </c>
      <c r="AN2256" s="153">
        <f t="shared" si="1952"/>
        <v>0</v>
      </c>
      <c r="AO2256" s="154">
        <f t="shared" si="1953"/>
        <v>0</v>
      </c>
      <c r="AP2256" s="299">
        <v>0</v>
      </c>
      <c r="AQ2256" s="301">
        <v>0</v>
      </c>
      <c r="AR2256" s="226">
        <f t="shared" si="1976"/>
        <v>0</v>
      </c>
      <c r="AS2256" s="299">
        <f t="shared" si="1976"/>
        <v>0</v>
      </c>
      <c r="AT2256" s="155"/>
      <c r="AU2256" s="156">
        <f t="shared" si="1948"/>
        <v>0</v>
      </c>
      <c r="AV2256" s="156">
        <f t="shared" si="1949"/>
        <v>0</v>
      </c>
      <c r="AW2256" s="157"/>
      <c r="AX2256" s="150">
        <v>0</v>
      </c>
      <c r="AY2256" s="299">
        <f t="shared" si="1977"/>
        <v>0</v>
      </c>
      <c r="AZ2256" s="299">
        <f t="shared" si="1977"/>
        <v>0</v>
      </c>
      <c r="BA2256" s="299">
        <f t="shared" si="1977"/>
        <v>0</v>
      </c>
      <c r="BB2256" s="191">
        <v>6</v>
      </c>
      <c r="BC2256" s="183" t="s">
        <v>647</v>
      </c>
      <c r="BD2256" s="183" t="s">
        <v>671</v>
      </c>
      <c r="BE2256" s="183" t="s">
        <v>632</v>
      </c>
      <c r="BF2256" s="183" t="s">
        <v>630</v>
      </c>
      <c r="BG2256" s="185" t="s">
        <v>10379</v>
      </c>
      <c r="BH2256" s="215">
        <f>BH2257</f>
        <v>0</v>
      </c>
      <c r="BI2256" s="191"/>
      <c r="BJ2256" s="183" t="s">
        <v>10380</v>
      </c>
      <c r="BK2256" s="183" t="s">
        <v>10378</v>
      </c>
      <c r="BL2256" s="238" t="s">
        <v>10381</v>
      </c>
      <c r="BM2256" s="338">
        <f>BM2257</f>
        <v>0</v>
      </c>
      <c r="BN2256" s="160"/>
      <c r="BO2256" s="161">
        <f t="shared" si="1918"/>
        <v>0</v>
      </c>
      <c r="BP2256" s="161"/>
    </row>
    <row r="2257" spans="1:68" ht="25.5">
      <c r="A2257" s="194" t="s">
        <v>10378</v>
      </c>
      <c r="B2257" s="195" t="s">
        <v>10382</v>
      </c>
      <c r="C2257" s="196" t="s">
        <v>10383</v>
      </c>
      <c r="D2257" s="146" t="s">
        <v>4692</v>
      </c>
      <c r="E2257" s="203" t="s">
        <v>10379</v>
      </c>
      <c r="F2257" s="150">
        <v>0</v>
      </c>
      <c r="G2257" s="242">
        <v>53166.96</v>
      </c>
      <c r="H2257" s="242">
        <v>0</v>
      </c>
      <c r="I2257" s="242">
        <v>53166.96</v>
      </c>
      <c r="J2257" s="150">
        <v>0</v>
      </c>
      <c r="K2257" s="150">
        <v>0</v>
      </c>
      <c r="L2257" s="150">
        <f t="shared" si="1969"/>
        <v>0</v>
      </c>
      <c r="M2257" s="150">
        <v>0</v>
      </c>
      <c r="N2257" s="150"/>
      <c r="O2257" s="150">
        <v>0</v>
      </c>
      <c r="P2257" s="150">
        <v>0</v>
      </c>
      <c r="Q2257" s="150">
        <v>0</v>
      </c>
      <c r="R2257" s="150">
        <f>P2257+Q2257</f>
        <v>0</v>
      </c>
      <c r="S2257" s="150">
        <f t="shared" si="1912"/>
        <v>0</v>
      </c>
      <c r="T2257" s="150"/>
      <c r="U2257" s="150">
        <v>0</v>
      </c>
      <c r="V2257" s="199"/>
      <c r="W2257" s="150">
        <f>U2257+V2257</f>
        <v>0</v>
      </c>
      <c r="X2257" s="150">
        <v>0</v>
      </c>
      <c r="Y2257" s="150"/>
      <c r="Z2257" s="150">
        <v>0</v>
      </c>
      <c r="AA2257" s="150">
        <f t="shared" si="1950"/>
        <v>0</v>
      </c>
      <c r="AB2257" s="150">
        <v>0</v>
      </c>
      <c r="AC2257" s="199"/>
      <c r="AD2257" s="150">
        <f>AB2257+AC2257</f>
        <v>0</v>
      </c>
      <c r="AE2257" s="150">
        <v>0</v>
      </c>
      <c r="AF2257" s="169" t="s">
        <v>4680</v>
      </c>
      <c r="AG2257" s="201">
        <v>0</v>
      </c>
      <c r="AH2257" s="199"/>
      <c r="AI2257" s="150">
        <v>0</v>
      </c>
      <c r="AJ2257" s="169">
        <f t="shared" si="1951"/>
        <v>0</v>
      </c>
      <c r="AK2257" s="201">
        <v>0</v>
      </c>
      <c r="AL2257" s="199"/>
      <c r="AM2257" s="150">
        <f>AK2257+AL2257</f>
        <v>0</v>
      </c>
      <c r="AN2257" s="153">
        <f t="shared" si="1952"/>
        <v>0</v>
      </c>
      <c r="AO2257" s="154">
        <f t="shared" si="1953"/>
        <v>0</v>
      </c>
      <c r="AP2257" s="150">
        <v>0</v>
      </c>
      <c r="AQ2257" s="201">
        <v>0</v>
      </c>
      <c r="AR2257" s="199"/>
      <c r="AS2257" s="150">
        <f>AQ2257+AR2257</f>
        <v>0</v>
      </c>
      <c r="AT2257" s="155"/>
      <c r="AU2257" s="156">
        <f t="shared" si="1948"/>
        <v>0</v>
      </c>
      <c r="AV2257" s="156">
        <f t="shared" si="1949"/>
        <v>0</v>
      </c>
      <c r="AW2257" s="157"/>
      <c r="AX2257" s="150">
        <v>0</v>
      </c>
      <c r="AY2257" s="150">
        <v>0</v>
      </c>
      <c r="AZ2257" s="150"/>
      <c r="BA2257" s="150">
        <f>AY2257+AZ2257</f>
        <v>0</v>
      </c>
      <c r="BB2257" s="202">
        <v>6</v>
      </c>
      <c r="BC2257" s="202" t="s">
        <v>647</v>
      </c>
      <c r="BD2257" s="202" t="s">
        <v>671</v>
      </c>
      <c r="BE2257" s="202" t="s">
        <v>632</v>
      </c>
      <c r="BF2257" s="202" t="s">
        <v>632</v>
      </c>
      <c r="BG2257" s="203" t="s">
        <v>10379</v>
      </c>
      <c r="BH2257" s="216">
        <f>AS2257</f>
        <v>0</v>
      </c>
      <c r="BI2257" s="202"/>
      <c r="BJ2257" s="194" t="s">
        <v>10380</v>
      </c>
      <c r="BK2257" s="194" t="s">
        <v>10378</v>
      </c>
      <c r="BL2257" s="207" t="s">
        <v>10381</v>
      </c>
      <c r="BM2257" s="208">
        <f>BH2257</f>
        <v>0</v>
      </c>
      <c r="BN2257" s="160"/>
      <c r="BO2257" s="161">
        <f t="shared" si="1918"/>
        <v>0</v>
      </c>
      <c r="BP2257" s="161"/>
    </row>
    <row r="2258" spans="1:68" ht="25.5">
      <c r="A2258" s="173" t="s">
        <v>10384</v>
      </c>
      <c r="B2258" s="174"/>
      <c r="C2258" s="175" t="s">
        <v>10385</v>
      </c>
      <c r="D2258" s="146" t="s">
        <v>4692</v>
      </c>
      <c r="E2258" s="175" t="s">
        <v>10385</v>
      </c>
      <c r="F2258" s="176">
        <v>53166.96</v>
      </c>
      <c r="G2258" s="177">
        <v>53166.96</v>
      </c>
      <c r="H2258" s="177">
        <v>0</v>
      </c>
      <c r="I2258" s="177">
        <v>53166.96</v>
      </c>
      <c r="J2258" s="176">
        <f>J2259</f>
        <v>0</v>
      </c>
      <c r="K2258" s="176">
        <f>K2259</f>
        <v>0</v>
      </c>
      <c r="L2258" s="176">
        <f t="shared" si="1969"/>
        <v>0</v>
      </c>
      <c r="M2258" s="176">
        <v>0</v>
      </c>
      <c r="N2258" s="176">
        <v>0</v>
      </c>
      <c r="O2258" s="178">
        <v>0</v>
      </c>
      <c r="P2258" s="221">
        <f t="shared" ref="P2258:AM2259" si="1978">P2259</f>
        <v>0</v>
      </c>
      <c r="Q2258" s="221">
        <f t="shared" si="1978"/>
        <v>0</v>
      </c>
      <c r="R2258" s="221">
        <f t="shared" si="1978"/>
        <v>0</v>
      </c>
      <c r="S2258" s="150">
        <f t="shared" si="1912"/>
        <v>0</v>
      </c>
      <c r="T2258" s="213"/>
      <c r="U2258" s="221">
        <f t="shared" ref="U2258:W2259" si="1979">U2259</f>
        <v>0</v>
      </c>
      <c r="V2258" s="222">
        <f t="shared" si="1979"/>
        <v>0</v>
      </c>
      <c r="W2258" s="221">
        <f t="shared" si="1979"/>
        <v>0</v>
      </c>
      <c r="X2258" s="221">
        <v>0</v>
      </c>
      <c r="Y2258" s="221">
        <v>0</v>
      </c>
      <c r="Z2258" s="221">
        <v>0</v>
      </c>
      <c r="AA2258" s="221">
        <f t="shared" si="1950"/>
        <v>0</v>
      </c>
      <c r="AB2258" s="221">
        <v>0</v>
      </c>
      <c r="AC2258" s="222">
        <v>0</v>
      </c>
      <c r="AD2258" s="221">
        <f t="shared" si="1978"/>
        <v>0</v>
      </c>
      <c r="AE2258" s="221">
        <v>0</v>
      </c>
      <c r="AF2258" s="169" t="s">
        <v>4680</v>
      </c>
      <c r="AG2258" s="223">
        <v>0</v>
      </c>
      <c r="AH2258" s="222">
        <v>0</v>
      </c>
      <c r="AI2258" s="221">
        <v>0</v>
      </c>
      <c r="AJ2258" s="169">
        <f t="shared" si="1951"/>
        <v>0</v>
      </c>
      <c r="AK2258" s="223">
        <v>0</v>
      </c>
      <c r="AL2258" s="222">
        <v>0</v>
      </c>
      <c r="AM2258" s="221">
        <f t="shared" si="1978"/>
        <v>0</v>
      </c>
      <c r="AN2258" s="153">
        <f t="shared" si="1952"/>
        <v>0</v>
      </c>
      <c r="AO2258" s="154">
        <f t="shared" si="1953"/>
        <v>0</v>
      </c>
      <c r="AP2258" s="221">
        <v>0</v>
      </c>
      <c r="AQ2258" s="223">
        <v>0</v>
      </c>
      <c r="AR2258" s="222">
        <f t="shared" ref="AR2258:AS2259" si="1980">AR2259</f>
        <v>0</v>
      </c>
      <c r="AS2258" s="221">
        <f t="shared" si="1980"/>
        <v>0</v>
      </c>
      <c r="AT2258" s="155"/>
      <c r="AU2258" s="156">
        <f t="shared" si="1948"/>
        <v>0</v>
      </c>
      <c r="AV2258" s="156">
        <f t="shared" si="1949"/>
        <v>0</v>
      </c>
      <c r="AW2258" s="157"/>
      <c r="AX2258" s="150">
        <v>0</v>
      </c>
      <c r="AY2258" s="221">
        <f t="shared" ref="AY2258:BA2259" si="1981">AY2259</f>
        <v>0</v>
      </c>
      <c r="AZ2258" s="221">
        <f t="shared" si="1981"/>
        <v>0</v>
      </c>
      <c r="BA2258" s="221">
        <f t="shared" si="1981"/>
        <v>0</v>
      </c>
      <c r="BB2258" s="181">
        <v>6</v>
      </c>
      <c r="BC2258" s="173" t="s">
        <v>647</v>
      </c>
      <c r="BD2258" s="173" t="s">
        <v>693</v>
      </c>
      <c r="BE2258" s="173" t="s">
        <v>630</v>
      </c>
      <c r="BF2258" s="173" t="s">
        <v>630</v>
      </c>
      <c r="BG2258" s="175" t="s">
        <v>10385</v>
      </c>
      <c r="BH2258" s="224">
        <f>BH2259</f>
        <v>0</v>
      </c>
      <c r="BI2258" s="181"/>
      <c r="BJ2258" s="173" t="s">
        <v>10386</v>
      </c>
      <c r="BK2258" s="173" t="s">
        <v>10384</v>
      </c>
      <c r="BL2258" s="182" t="s">
        <v>10387</v>
      </c>
      <c r="BM2258" s="337">
        <f>BM2259</f>
        <v>0</v>
      </c>
      <c r="BN2258" s="160"/>
      <c r="BO2258" s="161">
        <f t="shared" si="1918"/>
        <v>0</v>
      </c>
      <c r="BP2258" s="161"/>
    </row>
    <row r="2259" spans="1:68" ht="25.5">
      <c r="A2259" s="183" t="s">
        <v>10384</v>
      </c>
      <c r="B2259" s="184"/>
      <c r="C2259" s="185" t="s">
        <v>10385</v>
      </c>
      <c r="D2259" s="146" t="s">
        <v>4692</v>
      </c>
      <c r="E2259" s="185" t="s">
        <v>10385</v>
      </c>
      <c r="F2259" s="188">
        <v>53166.96</v>
      </c>
      <c r="G2259" s="187">
        <v>53166.96</v>
      </c>
      <c r="H2259" s="187"/>
      <c r="I2259" s="187">
        <v>53166.96</v>
      </c>
      <c r="J2259" s="188">
        <f>J2260</f>
        <v>0</v>
      </c>
      <c r="K2259" s="188">
        <f>K2260</f>
        <v>0</v>
      </c>
      <c r="L2259" s="188">
        <f t="shared" si="1969"/>
        <v>0</v>
      </c>
      <c r="M2259" s="188">
        <v>0</v>
      </c>
      <c r="N2259" s="188">
        <v>0</v>
      </c>
      <c r="O2259" s="188">
        <v>0</v>
      </c>
      <c r="P2259" s="299">
        <f t="shared" si="1978"/>
        <v>0</v>
      </c>
      <c r="Q2259" s="299">
        <f t="shared" si="1978"/>
        <v>0</v>
      </c>
      <c r="R2259" s="299">
        <f t="shared" si="1978"/>
        <v>0</v>
      </c>
      <c r="S2259" s="150">
        <f t="shared" si="1912"/>
        <v>0</v>
      </c>
      <c r="T2259" s="213"/>
      <c r="U2259" s="299">
        <f t="shared" si="1979"/>
        <v>0</v>
      </c>
      <c r="V2259" s="226">
        <f t="shared" si="1979"/>
        <v>0</v>
      </c>
      <c r="W2259" s="299">
        <f t="shared" si="1979"/>
        <v>0</v>
      </c>
      <c r="X2259" s="299">
        <v>0</v>
      </c>
      <c r="Y2259" s="299">
        <v>0</v>
      </c>
      <c r="Z2259" s="299">
        <v>0</v>
      </c>
      <c r="AA2259" s="299">
        <f t="shared" si="1950"/>
        <v>0</v>
      </c>
      <c r="AB2259" s="299">
        <v>0</v>
      </c>
      <c r="AC2259" s="226">
        <v>0</v>
      </c>
      <c r="AD2259" s="299">
        <f t="shared" si="1978"/>
        <v>0</v>
      </c>
      <c r="AE2259" s="299">
        <v>0</v>
      </c>
      <c r="AF2259" s="169" t="s">
        <v>4680</v>
      </c>
      <c r="AG2259" s="301">
        <v>0</v>
      </c>
      <c r="AH2259" s="226">
        <v>0</v>
      </c>
      <c r="AI2259" s="299">
        <v>0</v>
      </c>
      <c r="AJ2259" s="169">
        <f t="shared" si="1951"/>
        <v>0</v>
      </c>
      <c r="AK2259" s="301">
        <v>0</v>
      </c>
      <c r="AL2259" s="226">
        <v>0</v>
      </c>
      <c r="AM2259" s="299">
        <f t="shared" si="1978"/>
        <v>0</v>
      </c>
      <c r="AN2259" s="153">
        <f t="shared" si="1952"/>
        <v>0</v>
      </c>
      <c r="AO2259" s="154">
        <f t="shared" si="1953"/>
        <v>0</v>
      </c>
      <c r="AP2259" s="299">
        <v>0</v>
      </c>
      <c r="AQ2259" s="301">
        <v>0</v>
      </c>
      <c r="AR2259" s="226">
        <f t="shared" si="1980"/>
        <v>0</v>
      </c>
      <c r="AS2259" s="299">
        <f t="shared" si="1980"/>
        <v>0</v>
      </c>
      <c r="AT2259" s="155"/>
      <c r="AU2259" s="156">
        <f t="shared" si="1948"/>
        <v>0</v>
      </c>
      <c r="AV2259" s="156">
        <f t="shared" si="1949"/>
        <v>0</v>
      </c>
      <c r="AW2259" s="157"/>
      <c r="AX2259" s="150">
        <v>0</v>
      </c>
      <c r="AY2259" s="299">
        <f t="shared" si="1981"/>
        <v>0</v>
      </c>
      <c r="AZ2259" s="299">
        <f t="shared" si="1981"/>
        <v>0</v>
      </c>
      <c r="BA2259" s="299">
        <f t="shared" si="1981"/>
        <v>0</v>
      </c>
      <c r="BB2259" s="191">
        <v>6</v>
      </c>
      <c r="BC2259" s="183" t="s">
        <v>647</v>
      </c>
      <c r="BD2259" s="183" t="s">
        <v>693</v>
      </c>
      <c r="BE2259" s="183" t="s">
        <v>632</v>
      </c>
      <c r="BF2259" s="183" t="s">
        <v>630</v>
      </c>
      <c r="BG2259" s="185" t="s">
        <v>10385</v>
      </c>
      <c r="BH2259" s="215">
        <f>BH2260</f>
        <v>0</v>
      </c>
      <c r="BI2259" s="191"/>
      <c r="BJ2259" s="183" t="s">
        <v>10386</v>
      </c>
      <c r="BK2259" s="183" t="s">
        <v>10384</v>
      </c>
      <c r="BL2259" s="238" t="s">
        <v>10387</v>
      </c>
      <c r="BM2259" s="338">
        <f>BM2260</f>
        <v>0</v>
      </c>
      <c r="BN2259" s="160"/>
      <c r="BO2259" s="161">
        <f t="shared" si="1918"/>
        <v>0</v>
      </c>
      <c r="BP2259" s="161"/>
    </row>
    <row r="2260" spans="1:68" ht="25.5">
      <c r="A2260" s="194" t="s">
        <v>10384</v>
      </c>
      <c r="B2260" s="195" t="s">
        <v>10388</v>
      </c>
      <c r="C2260" s="196" t="s">
        <v>10389</v>
      </c>
      <c r="D2260" s="146" t="s">
        <v>4692</v>
      </c>
      <c r="E2260" s="203" t="s">
        <v>10385</v>
      </c>
      <c r="F2260" s="150">
        <v>53166.96</v>
      </c>
      <c r="G2260" s="242">
        <v>0</v>
      </c>
      <c r="H2260" s="242">
        <v>0</v>
      </c>
      <c r="I2260" s="242">
        <v>0</v>
      </c>
      <c r="J2260" s="150">
        <v>0</v>
      </c>
      <c r="K2260" s="150">
        <v>0</v>
      </c>
      <c r="L2260" s="150">
        <f t="shared" si="1969"/>
        <v>0</v>
      </c>
      <c r="M2260" s="150">
        <v>0</v>
      </c>
      <c r="N2260" s="150"/>
      <c r="O2260" s="150">
        <v>0</v>
      </c>
      <c r="P2260" s="150">
        <v>0</v>
      </c>
      <c r="Q2260" s="150">
        <v>0</v>
      </c>
      <c r="R2260" s="150">
        <f>P2260+Q2260</f>
        <v>0</v>
      </c>
      <c r="S2260" s="150">
        <f t="shared" si="1912"/>
        <v>0</v>
      </c>
      <c r="T2260" s="150"/>
      <c r="U2260" s="150">
        <v>0</v>
      </c>
      <c r="V2260" s="199"/>
      <c r="W2260" s="150">
        <f>U2260+V2260</f>
        <v>0</v>
      </c>
      <c r="X2260" s="150">
        <v>0</v>
      </c>
      <c r="Y2260" s="150"/>
      <c r="Z2260" s="150">
        <v>0</v>
      </c>
      <c r="AA2260" s="150">
        <f t="shared" si="1950"/>
        <v>0</v>
      </c>
      <c r="AB2260" s="150">
        <v>0</v>
      </c>
      <c r="AC2260" s="199"/>
      <c r="AD2260" s="150">
        <f>AB2260+AC2260</f>
        <v>0</v>
      </c>
      <c r="AE2260" s="150">
        <v>0</v>
      </c>
      <c r="AF2260" s="169" t="s">
        <v>4680</v>
      </c>
      <c r="AG2260" s="201">
        <v>0</v>
      </c>
      <c r="AH2260" s="199"/>
      <c r="AI2260" s="150">
        <v>0</v>
      </c>
      <c r="AJ2260" s="169">
        <f t="shared" si="1951"/>
        <v>0</v>
      </c>
      <c r="AK2260" s="201">
        <v>0</v>
      </c>
      <c r="AL2260" s="199"/>
      <c r="AM2260" s="150">
        <f>AK2260+AL2260</f>
        <v>0</v>
      </c>
      <c r="AN2260" s="153">
        <f t="shared" si="1952"/>
        <v>0</v>
      </c>
      <c r="AO2260" s="154">
        <f t="shared" si="1953"/>
        <v>0</v>
      </c>
      <c r="AP2260" s="150">
        <v>0</v>
      </c>
      <c r="AQ2260" s="201">
        <v>0</v>
      </c>
      <c r="AR2260" s="199"/>
      <c r="AS2260" s="150">
        <f>AQ2260+AR2260</f>
        <v>0</v>
      </c>
      <c r="AT2260" s="155"/>
      <c r="AU2260" s="156">
        <f t="shared" si="1948"/>
        <v>0</v>
      </c>
      <c r="AV2260" s="156">
        <f t="shared" si="1949"/>
        <v>0</v>
      </c>
      <c r="AW2260" s="157"/>
      <c r="AX2260" s="150">
        <v>0</v>
      </c>
      <c r="AY2260" s="150">
        <v>0</v>
      </c>
      <c r="AZ2260" s="150"/>
      <c r="BA2260" s="150">
        <f>AY2260+AZ2260</f>
        <v>0</v>
      </c>
      <c r="BB2260" s="202">
        <v>6</v>
      </c>
      <c r="BC2260" s="202" t="s">
        <v>647</v>
      </c>
      <c r="BD2260" s="202" t="s">
        <v>693</v>
      </c>
      <c r="BE2260" s="202" t="s">
        <v>632</v>
      </c>
      <c r="BF2260" s="202" t="s">
        <v>632</v>
      </c>
      <c r="BG2260" s="203" t="s">
        <v>10385</v>
      </c>
      <c r="BH2260" s="216">
        <f>AS2260</f>
        <v>0</v>
      </c>
      <c r="BI2260" s="202"/>
      <c r="BJ2260" s="194" t="s">
        <v>10386</v>
      </c>
      <c r="BK2260" s="194" t="s">
        <v>10384</v>
      </c>
      <c r="BL2260" s="207" t="s">
        <v>10387</v>
      </c>
      <c r="BM2260" s="208">
        <f>BH2260</f>
        <v>0</v>
      </c>
      <c r="BN2260" s="160"/>
      <c r="BO2260" s="161">
        <f t="shared" si="1918"/>
        <v>0</v>
      </c>
      <c r="BP2260" s="161"/>
    </row>
    <row r="2261" spans="1:68">
      <c r="A2261" s="173" t="s">
        <v>10390</v>
      </c>
      <c r="B2261" s="174"/>
      <c r="C2261" s="175" t="s">
        <v>10391</v>
      </c>
      <c r="D2261" s="146" t="s">
        <v>4692</v>
      </c>
      <c r="E2261" s="175" t="s">
        <v>10391</v>
      </c>
      <c r="F2261" s="176">
        <v>0</v>
      </c>
      <c r="G2261" s="177">
        <v>0</v>
      </c>
      <c r="H2261" s="177">
        <v>0</v>
      </c>
      <c r="I2261" s="177">
        <v>0</v>
      </c>
      <c r="J2261" s="176">
        <f>J2262</f>
        <v>0</v>
      </c>
      <c r="K2261" s="176">
        <f>K2262</f>
        <v>0</v>
      </c>
      <c r="L2261" s="176">
        <f t="shared" si="1969"/>
        <v>0</v>
      </c>
      <c r="M2261" s="176">
        <v>0</v>
      </c>
      <c r="N2261" s="176">
        <v>0</v>
      </c>
      <c r="O2261" s="178">
        <v>0</v>
      </c>
      <c r="P2261" s="221">
        <f t="shared" ref="P2261:AM2262" si="1982">P2262</f>
        <v>0</v>
      </c>
      <c r="Q2261" s="221">
        <f t="shared" si="1982"/>
        <v>0</v>
      </c>
      <c r="R2261" s="221">
        <f t="shared" si="1982"/>
        <v>0</v>
      </c>
      <c r="S2261" s="150">
        <f t="shared" si="1912"/>
        <v>0</v>
      </c>
      <c r="T2261" s="213"/>
      <c r="U2261" s="221">
        <f t="shared" ref="U2261:W2262" si="1983">U2262</f>
        <v>0</v>
      </c>
      <c r="V2261" s="222">
        <f t="shared" si="1983"/>
        <v>0</v>
      </c>
      <c r="W2261" s="221">
        <f t="shared" si="1983"/>
        <v>0</v>
      </c>
      <c r="X2261" s="221">
        <v>0</v>
      </c>
      <c r="Y2261" s="221">
        <v>0</v>
      </c>
      <c r="Z2261" s="221">
        <v>0</v>
      </c>
      <c r="AA2261" s="221">
        <f t="shared" si="1950"/>
        <v>0</v>
      </c>
      <c r="AB2261" s="221">
        <v>0</v>
      </c>
      <c r="AC2261" s="222">
        <v>0</v>
      </c>
      <c r="AD2261" s="221">
        <f t="shared" si="1982"/>
        <v>0</v>
      </c>
      <c r="AE2261" s="221">
        <v>0</v>
      </c>
      <c r="AF2261" s="169" t="s">
        <v>4680</v>
      </c>
      <c r="AG2261" s="223">
        <v>0</v>
      </c>
      <c r="AH2261" s="222">
        <v>0</v>
      </c>
      <c r="AI2261" s="221">
        <v>0</v>
      </c>
      <c r="AJ2261" s="169">
        <f t="shared" si="1951"/>
        <v>0</v>
      </c>
      <c r="AK2261" s="223">
        <v>0</v>
      </c>
      <c r="AL2261" s="222">
        <v>0</v>
      </c>
      <c r="AM2261" s="221">
        <f t="shared" si="1982"/>
        <v>0</v>
      </c>
      <c r="AN2261" s="153">
        <f t="shared" si="1952"/>
        <v>0</v>
      </c>
      <c r="AO2261" s="154">
        <f t="shared" si="1953"/>
        <v>0</v>
      </c>
      <c r="AP2261" s="221">
        <v>0</v>
      </c>
      <c r="AQ2261" s="223">
        <v>0</v>
      </c>
      <c r="AR2261" s="222">
        <f t="shared" ref="AR2261:AS2262" si="1984">AR2262</f>
        <v>0</v>
      </c>
      <c r="AS2261" s="221">
        <f t="shared" si="1984"/>
        <v>0</v>
      </c>
      <c r="AT2261" s="155"/>
      <c r="AU2261" s="156">
        <f t="shared" si="1948"/>
        <v>0</v>
      </c>
      <c r="AV2261" s="156">
        <f t="shared" si="1949"/>
        <v>0</v>
      </c>
      <c r="AW2261" s="157"/>
      <c r="AX2261" s="150">
        <v>0</v>
      </c>
      <c r="AY2261" s="221">
        <f t="shared" ref="AY2261:BA2262" si="1985">AY2262</f>
        <v>0</v>
      </c>
      <c r="AZ2261" s="221">
        <f t="shared" si="1985"/>
        <v>0</v>
      </c>
      <c r="BA2261" s="221">
        <f t="shared" si="1985"/>
        <v>0</v>
      </c>
      <c r="BB2261" s="181">
        <v>6</v>
      </c>
      <c r="BC2261" s="173" t="s">
        <v>647</v>
      </c>
      <c r="BD2261" s="173" t="s">
        <v>714</v>
      </c>
      <c r="BE2261" s="173" t="s">
        <v>630</v>
      </c>
      <c r="BF2261" s="173" t="s">
        <v>630</v>
      </c>
      <c r="BG2261" s="175" t="s">
        <v>10391</v>
      </c>
      <c r="BH2261" s="224">
        <f>BH2262</f>
        <v>0</v>
      </c>
      <c r="BI2261" s="181"/>
      <c r="BJ2261" s="173" t="s">
        <v>10392</v>
      </c>
      <c r="BK2261" s="173" t="s">
        <v>10390</v>
      </c>
      <c r="BL2261" s="182" t="s">
        <v>10393</v>
      </c>
      <c r="BM2261" s="337">
        <f>BM2262</f>
        <v>0</v>
      </c>
      <c r="BN2261" s="160"/>
      <c r="BO2261" s="161">
        <f t="shared" si="1918"/>
        <v>0</v>
      </c>
      <c r="BP2261" s="161"/>
    </row>
    <row r="2262" spans="1:68">
      <c r="A2262" s="183" t="s">
        <v>10390</v>
      </c>
      <c r="B2262" s="184"/>
      <c r="C2262" s="185" t="s">
        <v>10391</v>
      </c>
      <c r="D2262" s="146" t="s">
        <v>4692</v>
      </c>
      <c r="E2262" s="185" t="s">
        <v>10391</v>
      </c>
      <c r="F2262" s="188">
        <v>0</v>
      </c>
      <c r="G2262" s="187">
        <v>0</v>
      </c>
      <c r="H2262" s="187"/>
      <c r="I2262" s="187">
        <v>0</v>
      </c>
      <c r="J2262" s="188">
        <f>J2263</f>
        <v>0</v>
      </c>
      <c r="K2262" s="188">
        <f>K2263</f>
        <v>0</v>
      </c>
      <c r="L2262" s="188">
        <f t="shared" si="1969"/>
        <v>0</v>
      </c>
      <c r="M2262" s="188">
        <v>0</v>
      </c>
      <c r="N2262" s="188">
        <v>0</v>
      </c>
      <c r="O2262" s="188">
        <v>0</v>
      </c>
      <c r="P2262" s="299">
        <f t="shared" si="1982"/>
        <v>0</v>
      </c>
      <c r="Q2262" s="299">
        <f t="shared" si="1982"/>
        <v>0</v>
      </c>
      <c r="R2262" s="299">
        <f t="shared" si="1982"/>
        <v>0</v>
      </c>
      <c r="S2262" s="150">
        <f t="shared" si="1912"/>
        <v>0</v>
      </c>
      <c r="T2262" s="213"/>
      <c r="U2262" s="299">
        <f t="shared" si="1983"/>
        <v>0</v>
      </c>
      <c r="V2262" s="226">
        <f t="shared" si="1983"/>
        <v>0</v>
      </c>
      <c r="W2262" s="299">
        <f t="shared" si="1983"/>
        <v>0</v>
      </c>
      <c r="X2262" s="299">
        <v>0</v>
      </c>
      <c r="Y2262" s="299">
        <v>0</v>
      </c>
      <c r="Z2262" s="299">
        <v>0</v>
      </c>
      <c r="AA2262" s="299">
        <f t="shared" si="1950"/>
        <v>0</v>
      </c>
      <c r="AB2262" s="299">
        <v>0</v>
      </c>
      <c r="AC2262" s="226">
        <v>0</v>
      </c>
      <c r="AD2262" s="299">
        <f t="shared" si="1982"/>
        <v>0</v>
      </c>
      <c r="AE2262" s="299">
        <v>0</v>
      </c>
      <c r="AF2262" s="169" t="s">
        <v>4680</v>
      </c>
      <c r="AG2262" s="301">
        <v>0</v>
      </c>
      <c r="AH2262" s="226">
        <v>0</v>
      </c>
      <c r="AI2262" s="299">
        <v>0</v>
      </c>
      <c r="AJ2262" s="169">
        <f t="shared" si="1951"/>
        <v>0</v>
      </c>
      <c r="AK2262" s="301">
        <v>0</v>
      </c>
      <c r="AL2262" s="226">
        <v>0</v>
      </c>
      <c r="AM2262" s="299">
        <f t="shared" si="1982"/>
        <v>0</v>
      </c>
      <c r="AN2262" s="153">
        <f t="shared" si="1952"/>
        <v>0</v>
      </c>
      <c r="AO2262" s="154">
        <f t="shared" si="1953"/>
        <v>0</v>
      </c>
      <c r="AP2262" s="299">
        <v>0</v>
      </c>
      <c r="AQ2262" s="301">
        <v>0</v>
      </c>
      <c r="AR2262" s="226">
        <f t="shared" si="1984"/>
        <v>0</v>
      </c>
      <c r="AS2262" s="299">
        <f t="shared" si="1984"/>
        <v>0</v>
      </c>
      <c r="AT2262" s="155"/>
      <c r="AU2262" s="156">
        <f t="shared" si="1948"/>
        <v>0</v>
      </c>
      <c r="AV2262" s="156">
        <f t="shared" si="1949"/>
        <v>0</v>
      </c>
      <c r="AW2262" s="157"/>
      <c r="AX2262" s="150">
        <v>0</v>
      </c>
      <c r="AY2262" s="299">
        <f t="shared" si="1985"/>
        <v>0</v>
      </c>
      <c r="AZ2262" s="299">
        <f t="shared" si="1985"/>
        <v>0</v>
      </c>
      <c r="BA2262" s="299">
        <f t="shared" si="1985"/>
        <v>0</v>
      </c>
      <c r="BB2262" s="191">
        <v>6</v>
      </c>
      <c r="BC2262" s="183" t="s">
        <v>647</v>
      </c>
      <c r="BD2262" s="183" t="s">
        <v>714</v>
      </c>
      <c r="BE2262" s="183" t="s">
        <v>632</v>
      </c>
      <c r="BF2262" s="183" t="s">
        <v>630</v>
      </c>
      <c r="BG2262" s="185" t="s">
        <v>10391</v>
      </c>
      <c r="BH2262" s="215">
        <f>BH2263</f>
        <v>0</v>
      </c>
      <c r="BI2262" s="191"/>
      <c r="BJ2262" s="183" t="s">
        <v>10392</v>
      </c>
      <c r="BK2262" s="183" t="s">
        <v>10390</v>
      </c>
      <c r="BL2262" s="238" t="s">
        <v>10393</v>
      </c>
      <c r="BM2262" s="338">
        <f>BM2263</f>
        <v>0</v>
      </c>
      <c r="BN2262" s="160"/>
      <c r="BO2262" s="161">
        <f t="shared" si="1918"/>
        <v>0</v>
      </c>
      <c r="BP2262" s="161"/>
    </row>
    <row r="2263" spans="1:68">
      <c r="A2263" s="194" t="s">
        <v>10390</v>
      </c>
      <c r="B2263" s="195" t="s">
        <v>10394</v>
      </c>
      <c r="C2263" s="196" t="s">
        <v>10395</v>
      </c>
      <c r="D2263" s="146" t="s">
        <v>4692</v>
      </c>
      <c r="E2263" s="203" t="s">
        <v>10391</v>
      </c>
      <c r="F2263" s="150">
        <v>0</v>
      </c>
      <c r="G2263" s="242">
        <v>1489914.38</v>
      </c>
      <c r="H2263" s="242">
        <v>0</v>
      </c>
      <c r="I2263" s="242">
        <v>1489914.38</v>
      </c>
      <c r="J2263" s="150">
        <v>0</v>
      </c>
      <c r="K2263" s="150">
        <v>0</v>
      </c>
      <c r="L2263" s="150">
        <f t="shared" si="1969"/>
        <v>0</v>
      </c>
      <c r="M2263" s="150">
        <v>0</v>
      </c>
      <c r="N2263" s="150"/>
      <c r="O2263" s="150">
        <v>0</v>
      </c>
      <c r="P2263" s="150">
        <v>0</v>
      </c>
      <c r="Q2263" s="150">
        <v>0</v>
      </c>
      <c r="R2263" s="150">
        <f>P2263+Q2263</f>
        <v>0</v>
      </c>
      <c r="S2263" s="150">
        <f t="shared" si="1912"/>
        <v>0</v>
      </c>
      <c r="T2263" s="150"/>
      <c r="U2263" s="150">
        <v>0</v>
      </c>
      <c r="V2263" s="199"/>
      <c r="W2263" s="150">
        <f>U2263+V2263</f>
        <v>0</v>
      </c>
      <c r="X2263" s="150">
        <v>0</v>
      </c>
      <c r="Y2263" s="150"/>
      <c r="Z2263" s="150">
        <v>0</v>
      </c>
      <c r="AA2263" s="150">
        <f t="shared" si="1950"/>
        <v>0</v>
      </c>
      <c r="AB2263" s="150">
        <v>0</v>
      </c>
      <c r="AC2263" s="199"/>
      <c r="AD2263" s="150">
        <f>AB2263+AC2263</f>
        <v>0</v>
      </c>
      <c r="AE2263" s="150">
        <v>0</v>
      </c>
      <c r="AF2263" s="169" t="s">
        <v>4680</v>
      </c>
      <c r="AG2263" s="201">
        <v>0</v>
      </c>
      <c r="AH2263" s="199"/>
      <c r="AI2263" s="150">
        <v>0</v>
      </c>
      <c r="AJ2263" s="169">
        <f t="shared" si="1951"/>
        <v>0</v>
      </c>
      <c r="AK2263" s="201">
        <v>0</v>
      </c>
      <c r="AL2263" s="199"/>
      <c r="AM2263" s="150">
        <f>AK2263+AL2263</f>
        <v>0</v>
      </c>
      <c r="AN2263" s="153">
        <f t="shared" si="1952"/>
        <v>0</v>
      </c>
      <c r="AO2263" s="154">
        <f t="shared" si="1953"/>
        <v>0</v>
      </c>
      <c r="AP2263" s="150">
        <v>0</v>
      </c>
      <c r="AQ2263" s="201">
        <v>0</v>
      </c>
      <c r="AR2263" s="199"/>
      <c r="AS2263" s="150">
        <f>AQ2263+AR2263</f>
        <v>0</v>
      </c>
      <c r="AT2263" s="155"/>
      <c r="AU2263" s="156">
        <f t="shared" si="1948"/>
        <v>0</v>
      </c>
      <c r="AV2263" s="156">
        <f t="shared" si="1949"/>
        <v>0</v>
      </c>
      <c r="AW2263" s="157"/>
      <c r="AX2263" s="150">
        <v>0</v>
      </c>
      <c r="AY2263" s="150">
        <v>0</v>
      </c>
      <c r="AZ2263" s="150"/>
      <c r="BA2263" s="150">
        <f>AY2263+AZ2263</f>
        <v>0</v>
      </c>
      <c r="BB2263" s="202">
        <v>6</v>
      </c>
      <c r="BC2263" s="202" t="s">
        <v>647</v>
      </c>
      <c r="BD2263" s="202" t="s">
        <v>714</v>
      </c>
      <c r="BE2263" s="202" t="s">
        <v>632</v>
      </c>
      <c r="BF2263" s="202" t="s">
        <v>632</v>
      </c>
      <c r="BG2263" s="203" t="s">
        <v>10391</v>
      </c>
      <c r="BH2263" s="216">
        <f>AS2263</f>
        <v>0</v>
      </c>
      <c r="BI2263" s="202"/>
      <c r="BJ2263" s="194" t="s">
        <v>10392</v>
      </c>
      <c r="BK2263" s="194" t="s">
        <v>10390</v>
      </c>
      <c r="BL2263" s="207" t="s">
        <v>10393</v>
      </c>
      <c r="BM2263" s="208">
        <f>BH2263</f>
        <v>0</v>
      </c>
      <c r="BN2263" s="160"/>
      <c r="BO2263" s="161">
        <f t="shared" si="1918"/>
        <v>0</v>
      </c>
      <c r="BP2263" s="161"/>
    </row>
    <row r="2264" spans="1:68">
      <c r="A2264" s="262" t="s">
        <v>10396</v>
      </c>
      <c r="B2264" s="163"/>
      <c r="C2264" s="164" t="s">
        <v>10397</v>
      </c>
      <c r="D2264" s="146" t="s">
        <v>4692</v>
      </c>
      <c r="E2264" s="164" t="s">
        <v>10397</v>
      </c>
      <c r="F2264" s="167">
        <v>1530734.42</v>
      </c>
      <c r="G2264" s="166">
        <v>404989.64</v>
      </c>
      <c r="H2264" s="166">
        <v>0</v>
      </c>
      <c r="I2264" s="166">
        <v>404989.64</v>
      </c>
      <c r="J2264" s="167">
        <f>J2265+J2268+J2271</f>
        <v>582110.89</v>
      </c>
      <c r="K2264" s="167">
        <f>K2265+K2268+K2271</f>
        <v>0</v>
      </c>
      <c r="L2264" s="167">
        <f t="shared" si="1969"/>
        <v>582110.89</v>
      </c>
      <c r="M2264" s="167">
        <v>708924.5</v>
      </c>
      <c r="N2264" s="167">
        <v>409037.93000000005</v>
      </c>
      <c r="O2264" s="167">
        <v>1117962.4300000002</v>
      </c>
      <c r="P2264" s="340">
        <f t="shared" ref="P2264:R2264" si="1986">P2265+P2268+P2271</f>
        <v>772156.96000000008</v>
      </c>
      <c r="Q2264" s="340">
        <f t="shared" si="1986"/>
        <v>613556.9</v>
      </c>
      <c r="R2264" s="340">
        <f t="shared" si="1986"/>
        <v>1385713.86</v>
      </c>
      <c r="S2264" s="150">
        <f t="shared" si="1912"/>
        <v>1847618.48</v>
      </c>
      <c r="T2264" s="213"/>
      <c r="U2264" s="340">
        <f t="shared" ref="U2264:W2264" si="1987">U2265+U2268+U2271</f>
        <v>811711.42</v>
      </c>
      <c r="V2264" s="233">
        <f t="shared" si="1987"/>
        <v>669334.80000000005</v>
      </c>
      <c r="W2264" s="340">
        <f t="shared" si="1987"/>
        <v>1481046.2200000002</v>
      </c>
      <c r="X2264" s="340">
        <v>811711.42</v>
      </c>
      <c r="Y2264" s="340">
        <v>669334.80000000005</v>
      </c>
      <c r="Z2264" s="340">
        <v>1481046.2200000002</v>
      </c>
      <c r="AA2264" s="340">
        <f t="shared" si="1950"/>
        <v>-669334.80000000016</v>
      </c>
      <c r="AB2264" s="340">
        <v>811711.42</v>
      </c>
      <c r="AC2264" s="233">
        <v>0</v>
      </c>
      <c r="AD2264" s="340">
        <f t="shared" ref="AD2264" si="1988">AD2265+AD2268+AD2271</f>
        <v>811711.42</v>
      </c>
      <c r="AE2264" s="340">
        <v>811711.42</v>
      </c>
      <c r="AF2264" s="169" t="s">
        <v>4680</v>
      </c>
      <c r="AG2264" s="342">
        <v>811711.42</v>
      </c>
      <c r="AH2264" s="233">
        <v>0</v>
      </c>
      <c r="AI2264" s="340">
        <v>811711.42</v>
      </c>
      <c r="AJ2264" s="169">
        <f t="shared" si="1951"/>
        <v>0</v>
      </c>
      <c r="AK2264" s="342">
        <v>811711.42</v>
      </c>
      <c r="AL2264" s="233">
        <v>0</v>
      </c>
      <c r="AM2264" s="340">
        <f t="shared" ref="AM2264" si="1989">AM2265+AM2268+AM2271</f>
        <v>811711.42</v>
      </c>
      <c r="AN2264" s="153">
        <f t="shared" si="1952"/>
        <v>0</v>
      </c>
      <c r="AO2264" s="154">
        <f t="shared" si="1953"/>
        <v>0</v>
      </c>
      <c r="AP2264" s="340">
        <v>811711.42</v>
      </c>
      <c r="AQ2264" s="342">
        <v>811711.42</v>
      </c>
      <c r="AR2264" s="233">
        <f t="shared" ref="AR2264:AS2264" si="1990">AR2265+AR2268+AR2271</f>
        <v>0</v>
      </c>
      <c r="AS2264" s="340">
        <f t="shared" si="1990"/>
        <v>811711.42</v>
      </c>
      <c r="AT2264" s="155"/>
      <c r="AU2264" s="156">
        <f t="shared" si="1948"/>
        <v>0</v>
      </c>
      <c r="AV2264" s="156">
        <f t="shared" si="1949"/>
        <v>-669334.80000000016</v>
      </c>
      <c r="AW2264" s="157"/>
      <c r="AX2264" s="150">
        <v>1481046.2200000002</v>
      </c>
      <c r="AY2264" s="340">
        <f t="shared" ref="AY2264:BA2264" si="1991">AY2265+AY2268+AY2271</f>
        <v>772156.96000000008</v>
      </c>
      <c r="AZ2264" s="340">
        <f t="shared" si="1991"/>
        <v>796443.08</v>
      </c>
      <c r="BA2264" s="340">
        <f t="shared" si="1991"/>
        <v>1568600.04</v>
      </c>
      <c r="BB2264" s="171">
        <v>6</v>
      </c>
      <c r="BC2264" s="162" t="s">
        <v>671</v>
      </c>
      <c r="BD2264" s="262" t="s">
        <v>630</v>
      </c>
      <c r="BE2264" s="162" t="s">
        <v>630</v>
      </c>
      <c r="BF2264" s="262" t="s">
        <v>630</v>
      </c>
      <c r="BG2264" s="164" t="s">
        <v>10397</v>
      </c>
      <c r="BH2264" s="235">
        <f>BH2265+BH2268+BH2271</f>
        <v>811711.42</v>
      </c>
      <c r="BI2264" s="263"/>
      <c r="BJ2264" s="262" t="s">
        <v>10398</v>
      </c>
      <c r="BK2264" s="262" t="s">
        <v>10396</v>
      </c>
      <c r="BL2264" s="172" t="s">
        <v>10399</v>
      </c>
      <c r="BM2264" s="349">
        <f>BM2265+BM2268+BM2271</f>
        <v>811711.42</v>
      </c>
      <c r="BN2264" s="160"/>
      <c r="BO2264" s="161">
        <f t="shared" si="1918"/>
        <v>0</v>
      </c>
      <c r="BP2264" s="161"/>
    </row>
    <row r="2265" spans="1:68" ht="25.5">
      <c r="A2265" s="173" t="s">
        <v>10400</v>
      </c>
      <c r="B2265" s="174"/>
      <c r="C2265" s="175" t="s">
        <v>10401</v>
      </c>
      <c r="D2265" s="146" t="s">
        <v>4692</v>
      </c>
      <c r="E2265" s="175" t="s">
        <v>10401</v>
      </c>
      <c r="F2265" s="178">
        <v>404989.64</v>
      </c>
      <c r="G2265" s="177">
        <v>404989.64</v>
      </c>
      <c r="H2265" s="177">
        <v>0</v>
      </c>
      <c r="I2265" s="177">
        <v>404989.64</v>
      </c>
      <c r="J2265" s="178">
        <f>J2266</f>
        <v>555090.04</v>
      </c>
      <c r="K2265" s="178">
        <f>K2266</f>
        <v>0</v>
      </c>
      <c r="L2265" s="178">
        <f t="shared" si="1969"/>
        <v>555090.04</v>
      </c>
      <c r="M2265" s="178">
        <v>555090.04</v>
      </c>
      <c r="N2265" s="178">
        <v>0</v>
      </c>
      <c r="O2265" s="178">
        <v>555090.04</v>
      </c>
      <c r="P2265" s="319">
        <f t="shared" ref="P2265:AM2266" si="1992">P2266</f>
        <v>555090.04</v>
      </c>
      <c r="Q2265" s="319">
        <f t="shared" si="1992"/>
        <v>0</v>
      </c>
      <c r="R2265" s="319">
        <f t="shared" si="1992"/>
        <v>555090.04</v>
      </c>
      <c r="S2265" s="150">
        <f t="shared" si="1912"/>
        <v>740120.05333333334</v>
      </c>
      <c r="T2265" s="213"/>
      <c r="U2265" s="319">
        <f t="shared" ref="U2265:W2266" si="1993">U2266</f>
        <v>555090.04</v>
      </c>
      <c r="V2265" s="222">
        <f t="shared" si="1993"/>
        <v>0</v>
      </c>
      <c r="W2265" s="319">
        <f t="shared" si="1993"/>
        <v>555090.04</v>
      </c>
      <c r="X2265" s="319">
        <v>555090.04</v>
      </c>
      <c r="Y2265" s="319">
        <v>0</v>
      </c>
      <c r="Z2265" s="319">
        <v>555090.04</v>
      </c>
      <c r="AA2265" s="319">
        <f t="shared" si="1950"/>
        <v>0</v>
      </c>
      <c r="AB2265" s="319">
        <v>555090.04</v>
      </c>
      <c r="AC2265" s="222">
        <v>0</v>
      </c>
      <c r="AD2265" s="319">
        <f t="shared" si="1992"/>
        <v>555090.04</v>
      </c>
      <c r="AE2265" s="319">
        <v>555090.04</v>
      </c>
      <c r="AF2265" s="169" t="s">
        <v>4680</v>
      </c>
      <c r="AG2265" s="320">
        <v>555090.04</v>
      </c>
      <c r="AH2265" s="222">
        <v>0</v>
      </c>
      <c r="AI2265" s="319">
        <v>555090.04</v>
      </c>
      <c r="AJ2265" s="169">
        <f t="shared" si="1951"/>
        <v>0</v>
      </c>
      <c r="AK2265" s="320">
        <v>555090.04</v>
      </c>
      <c r="AL2265" s="222">
        <v>0</v>
      </c>
      <c r="AM2265" s="319">
        <f t="shared" si="1992"/>
        <v>555090.04</v>
      </c>
      <c r="AN2265" s="153">
        <f t="shared" si="1952"/>
        <v>0</v>
      </c>
      <c r="AO2265" s="154">
        <f t="shared" si="1953"/>
        <v>0</v>
      </c>
      <c r="AP2265" s="319">
        <v>555090.04</v>
      </c>
      <c r="AQ2265" s="320">
        <v>555090.04</v>
      </c>
      <c r="AR2265" s="222">
        <f t="shared" ref="AR2265:AS2266" si="1994">AR2266</f>
        <v>0</v>
      </c>
      <c r="AS2265" s="319">
        <f t="shared" si="1994"/>
        <v>555090.04</v>
      </c>
      <c r="AT2265" s="155"/>
      <c r="AU2265" s="156">
        <f t="shared" si="1948"/>
        <v>0</v>
      </c>
      <c r="AV2265" s="156">
        <f t="shared" si="1949"/>
        <v>0</v>
      </c>
      <c r="AW2265" s="157"/>
      <c r="AX2265" s="150">
        <v>555090.04</v>
      </c>
      <c r="AY2265" s="319">
        <f t="shared" ref="AY2265:BA2266" si="1995">AY2266</f>
        <v>555090.04</v>
      </c>
      <c r="AZ2265" s="319">
        <f t="shared" si="1995"/>
        <v>0</v>
      </c>
      <c r="BA2265" s="319">
        <f t="shared" si="1995"/>
        <v>555090.04</v>
      </c>
      <c r="BB2265" s="181">
        <v>6</v>
      </c>
      <c r="BC2265" s="173" t="s">
        <v>671</v>
      </c>
      <c r="BD2265" s="173" t="s">
        <v>632</v>
      </c>
      <c r="BE2265" s="173" t="s">
        <v>630</v>
      </c>
      <c r="BF2265" s="173" t="s">
        <v>630</v>
      </c>
      <c r="BG2265" s="175" t="s">
        <v>10401</v>
      </c>
      <c r="BH2265" s="224">
        <f>BH2266</f>
        <v>555090.04</v>
      </c>
      <c r="BI2265" s="181"/>
      <c r="BJ2265" s="173" t="s">
        <v>10402</v>
      </c>
      <c r="BK2265" s="173" t="s">
        <v>10400</v>
      </c>
      <c r="BL2265" s="182" t="s">
        <v>10403</v>
      </c>
      <c r="BM2265" s="337">
        <f>BM2266</f>
        <v>555090.04</v>
      </c>
      <c r="BN2265" s="160"/>
      <c r="BO2265" s="161">
        <f t="shared" si="1918"/>
        <v>0</v>
      </c>
      <c r="BP2265" s="161"/>
    </row>
    <row r="2266" spans="1:68" ht="25.5">
      <c r="A2266" s="183" t="s">
        <v>10400</v>
      </c>
      <c r="B2266" s="184"/>
      <c r="C2266" s="185" t="s">
        <v>10401</v>
      </c>
      <c r="D2266" s="146" t="s">
        <v>4692</v>
      </c>
      <c r="E2266" s="185" t="s">
        <v>10401</v>
      </c>
      <c r="F2266" s="188">
        <v>404989.64</v>
      </c>
      <c r="G2266" s="187">
        <v>404989.64</v>
      </c>
      <c r="H2266" s="187"/>
      <c r="I2266" s="187">
        <v>404989.64</v>
      </c>
      <c r="J2266" s="188">
        <f>J2267</f>
        <v>555090.04</v>
      </c>
      <c r="K2266" s="188">
        <f>K2267</f>
        <v>0</v>
      </c>
      <c r="L2266" s="188">
        <f t="shared" si="1969"/>
        <v>555090.04</v>
      </c>
      <c r="M2266" s="188">
        <v>555090.04</v>
      </c>
      <c r="N2266" s="188">
        <v>0</v>
      </c>
      <c r="O2266" s="188">
        <v>555090.04</v>
      </c>
      <c r="P2266" s="299">
        <f t="shared" si="1992"/>
        <v>555090.04</v>
      </c>
      <c r="Q2266" s="299">
        <f t="shared" si="1992"/>
        <v>0</v>
      </c>
      <c r="R2266" s="299">
        <f t="shared" si="1992"/>
        <v>555090.04</v>
      </c>
      <c r="S2266" s="150">
        <f t="shared" si="1912"/>
        <v>740120.05333333334</v>
      </c>
      <c r="T2266" s="213"/>
      <c r="U2266" s="299">
        <f t="shared" si="1993"/>
        <v>555090.04</v>
      </c>
      <c r="V2266" s="226">
        <f t="shared" si="1993"/>
        <v>0</v>
      </c>
      <c r="W2266" s="299">
        <f t="shared" si="1993"/>
        <v>555090.04</v>
      </c>
      <c r="X2266" s="299">
        <v>555090.04</v>
      </c>
      <c r="Y2266" s="299">
        <v>0</v>
      </c>
      <c r="Z2266" s="299">
        <v>555090.04</v>
      </c>
      <c r="AA2266" s="299">
        <f t="shared" si="1950"/>
        <v>0</v>
      </c>
      <c r="AB2266" s="299">
        <v>555090.04</v>
      </c>
      <c r="AC2266" s="226">
        <v>0</v>
      </c>
      <c r="AD2266" s="299">
        <f t="shared" si="1992"/>
        <v>555090.04</v>
      </c>
      <c r="AE2266" s="299">
        <v>555090.04</v>
      </c>
      <c r="AF2266" s="169" t="s">
        <v>4680</v>
      </c>
      <c r="AG2266" s="301">
        <v>555090.04</v>
      </c>
      <c r="AH2266" s="226">
        <v>0</v>
      </c>
      <c r="AI2266" s="299">
        <v>555090.04</v>
      </c>
      <c r="AJ2266" s="169">
        <f t="shared" si="1951"/>
        <v>0</v>
      </c>
      <c r="AK2266" s="301">
        <v>555090.04</v>
      </c>
      <c r="AL2266" s="226">
        <v>0</v>
      </c>
      <c r="AM2266" s="299">
        <f t="shared" si="1992"/>
        <v>555090.04</v>
      </c>
      <c r="AN2266" s="153">
        <f t="shared" si="1952"/>
        <v>0</v>
      </c>
      <c r="AO2266" s="154">
        <f t="shared" si="1953"/>
        <v>0</v>
      </c>
      <c r="AP2266" s="299">
        <v>555090.04</v>
      </c>
      <c r="AQ2266" s="301">
        <v>555090.04</v>
      </c>
      <c r="AR2266" s="226">
        <f t="shared" si="1994"/>
        <v>0</v>
      </c>
      <c r="AS2266" s="299">
        <f t="shared" si="1994"/>
        <v>555090.04</v>
      </c>
      <c r="AT2266" s="155"/>
      <c r="AU2266" s="156">
        <f t="shared" si="1948"/>
        <v>0</v>
      </c>
      <c r="AV2266" s="156">
        <f t="shared" si="1949"/>
        <v>0</v>
      </c>
      <c r="AW2266" s="157"/>
      <c r="AX2266" s="150">
        <v>555090.04</v>
      </c>
      <c r="AY2266" s="299">
        <f t="shared" si="1995"/>
        <v>555090.04</v>
      </c>
      <c r="AZ2266" s="299">
        <f t="shared" si="1995"/>
        <v>0</v>
      </c>
      <c r="BA2266" s="299">
        <f t="shared" si="1995"/>
        <v>555090.04</v>
      </c>
      <c r="BB2266" s="191">
        <v>6</v>
      </c>
      <c r="BC2266" s="183" t="s">
        <v>671</v>
      </c>
      <c r="BD2266" s="183" t="s">
        <v>632</v>
      </c>
      <c r="BE2266" s="183" t="s">
        <v>632</v>
      </c>
      <c r="BF2266" s="183" t="s">
        <v>630</v>
      </c>
      <c r="BG2266" s="185" t="s">
        <v>10401</v>
      </c>
      <c r="BH2266" s="215">
        <f>BH2267</f>
        <v>555090.04</v>
      </c>
      <c r="BI2266" s="191"/>
      <c r="BJ2266" s="183" t="s">
        <v>10402</v>
      </c>
      <c r="BK2266" s="183" t="s">
        <v>10400</v>
      </c>
      <c r="BL2266" s="238" t="s">
        <v>10403</v>
      </c>
      <c r="BM2266" s="338">
        <f>BM2267</f>
        <v>555090.04</v>
      </c>
      <c r="BN2266" s="160"/>
      <c r="BO2266" s="161">
        <f t="shared" si="1918"/>
        <v>0</v>
      </c>
      <c r="BP2266" s="161"/>
    </row>
    <row r="2267" spans="1:68" ht="36">
      <c r="A2267" s="194" t="s">
        <v>10400</v>
      </c>
      <c r="B2267" s="195" t="s">
        <v>10404</v>
      </c>
      <c r="C2267" s="196" t="s">
        <v>10405</v>
      </c>
      <c r="D2267" s="146" t="s">
        <v>4692</v>
      </c>
      <c r="E2267" s="377" t="s">
        <v>10405</v>
      </c>
      <c r="F2267" s="150">
        <v>404989.64</v>
      </c>
      <c r="G2267" s="209">
        <v>0</v>
      </c>
      <c r="H2267" s="209">
        <v>0</v>
      </c>
      <c r="I2267" s="209">
        <v>0</v>
      </c>
      <c r="J2267" s="150">
        <v>555090.04</v>
      </c>
      <c r="K2267" s="150">
        <v>0</v>
      </c>
      <c r="L2267" s="150">
        <f t="shared" si="1969"/>
        <v>555090.04</v>
      </c>
      <c r="M2267" s="150">
        <v>555090.04</v>
      </c>
      <c r="N2267" s="150"/>
      <c r="O2267" s="150">
        <v>555090.04</v>
      </c>
      <c r="P2267" s="150">
        <v>555090.04</v>
      </c>
      <c r="Q2267" s="150">
        <v>0</v>
      </c>
      <c r="R2267" s="150">
        <f>P2267+Q2267</f>
        <v>555090.04</v>
      </c>
      <c r="S2267" s="150">
        <f t="shared" si="1912"/>
        <v>740120.05333333334</v>
      </c>
      <c r="T2267" s="150"/>
      <c r="U2267" s="150">
        <v>555090.04</v>
      </c>
      <c r="V2267" s="199"/>
      <c r="W2267" s="150">
        <f>U2267+V2267</f>
        <v>555090.04</v>
      </c>
      <c r="X2267" s="150">
        <v>555090.04</v>
      </c>
      <c r="Y2267" s="150"/>
      <c r="Z2267" s="150">
        <v>555090.04</v>
      </c>
      <c r="AA2267" s="150">
        <f t="shared" si="1950"/>
        <v>0</v>
      </c>
      <c r="AB2267" s="150">
        <v>555090.04</v>
      </c>
      <c r="AC2267" s="199"/>
      <c r="AD2267" s="150">
        <f>AB2267+AC2267</f>
        <v>555090.04</v>
      </c>
      <c r="AE2267" s="150">
        <v>555090.04</v>
      </c>
      <c r="AF2267" s="169" t="s">
        <v>4680</v>
      </c>
      <c r="AG2267" s="201">
        <v>555090.04</v>
      </c>
      <c r="AH2267" s="199"/>
      <c r="AI2267" s="150">
        <v>555090.04</v>
      </c>
      <c r="AJ2267" s="169">
        <f t="shared" si="1951"/>
        <v>0</v>
      </c>
      <c r="AK2267" s="201">
        <v>555090.04</v>
      </c>
      <c r="AL2267" s="199"/>
      <c r="AM2267" s="150">
        <f>AK2267+AL2267</f>
        <v>555090.04</v>
      </c>
      <c r="AN2267" s="153">
        <f t="shared" si="1952"/>
        <v>0</v>
      </c>
      <c r="AO2267" s="154">
        <f t="shared" si="1953"/>
        <v>0</v>
      </c>
      <c r="AP2267" s="150">
        <v>555090.04</v>
      </c>
      <c r="AQ2267" s="201">
        <v>555090.04</v>
      </c>
      <c r="AR2267" s="199"/>
      <c r="AS2267" s="150">
        <f>AQ2267+AR2267</f>
        <v>555090.04</v>
      </c>
      <c r="AT2267" s="155" t="s">
        <v>10406</v>
      </c>
      <c r="AU2267" s="156">
        <f t="shared" si="1948"/>
        <v>0</v>
      </c>
      <c r="AV2267" s="156">
        <f t="shared" si="1949"/>
        <v>0</v>
      </c>
      <c r="AW2267" s="157" t="s">
        <v>10406</v>
      </c>
      <c r="AX2267" s="150">
        <v>555090.04</v>
      </c>
      <c r="AY2267" s="150">
        <v>555090.04</v>
      </c>
      <c r="AZ2267" s="150"/>
      <c r="BA2267" s="150">
        <f>AY2267+AZ2267</f>
        <v>555090.04</v>
      </c>
      <c r="BB2267" s="202">
        <v>6</v>
      </c>
      <c r="BC2267" s="202" t="s">
        <v>671</v>
      </c>
      <c r="BD2267" s="202" t="s">
        <v>632</v>
      </c>
      <c r="BE2267" s="202" t="s">
        <v>632</v>
      </c>
      <c r="BF2267" s="202" t="s">
        <v>632</v>
      </c>
      <c r="BG2267" s="203" t="s">
        <v>10407</v>
      </c>
      <c r="BH2267" s="216">
        <f>AS2267</f>
        <v>555090.04</v>
      </c>
      <c r="BI2267" s="202"/>
      <c r="BJ2267" s="194" t="s">
        <v>10402</v>
      </c>
      <c r="BK2267" s="194" t="s">
        <v>10400</v>
      </c>
      <c r="BL2267" s="207" t="s">
        <v>10403</v>
      </c>
      <c r="BM2267" s="208">
        <f>BH2267</f>
        <v>555090.04</v>
      </c>
      <c r="BN2267" s="160"/>
      <c r="BO2267" s="161">
        <f t="shared" si="1918"/>
        <v>0</v>
      </c>
      <c r="BP2267" s="161"/>
    </row>
    <row r="2268" spans="1:68" ht="25.5">
      <c r="A2268" s="173" t="s">
        <v>10408</v>
      </c>
      <c r="B2268" s="174"/>
      <c r="C2268" s="175" t="s">
        <v>10409</v>
      </c>
      <c r="D2268" s="146" t="s">
        <v>4692</v>
      </c>
      <c r="E2268" s="175" t="s">
        <v>10409</v>
      </c>
      <c r="F2268" s="176">
        <v>0</v>
      </c>
      <c r="G2268" s="177">
        <v>0</v>
      </c>
      <c r="H2268" s="177">
        <v>0</v>
      </c>
      <c r="I2268" s="177">
        <v>0</v>
      </c>
      <c r="J2268" s="176">
        <f>J2269</f>
        <v>0</v>
      </c>
      <c r="K2268" s="176">
        <f>K2269</f>
        <v>0</v>
      </c>
      <c r="L2268" s="176">
        <f t="shared" si="1969"/>
        <v>0</v>
      </c>
      <c r="M2268" s="176">
        <v>0</v>
      </c>
      <c r="N2268" s="176">
        <v>0</v>
      </c>
      <c r="O2268" s="178">
        <v>0</v>
      </c>
      <c r="P2268" s="221">
        <f t="shared" ref="P2268:AM2269" si="1996">P2269</f>
        <v>0</v>
      </c>
      <c r="Q2268" s="221">
        <f t="shared" si="1996"/>
        <v>0</v>
      </c>
      <c r="R2268" s="221">
        <f t="shared" si="1996"/>
        <v>0</v>
      </c>
      <c r="S2268" s="150">
        <f t="shared" si="1912"/>
        <v>0</v>
      </c>
      <c r="T2268" s="213"/>
      <c r="U2268" s="221">
        <f t="shared" ref="U2268:W2269" si="1997">U2269</f>
        <v>0</v>
      </c>
      <c r="V2268" s="222">
        <f t="shared" si="1997"/>
        <v>0</v>
      </c>
      <c r="W2268" s="221">
        <f t="shared" si="1997"/>
        <v>0</v>
      </c>
      <c r="X2268" s="221">
        <v>0</v>
      </c>
      <c r="Y2268" s="221">
        <v>0</v>
      </c>
      <c r="Z2268" s="221">
        <v>0</v>
      </c>
      <c r="AA2268" s="221">
        <f t="shared" si="1950"/>
        <v>0</v>
      </c>
      <c r="AB2268" s="221">
        <v>0</v>
      </c>
      <c r="AC2268" s="222">
        <v>0</v>
      </c>
      <c r="AD2268" s="221">
        <f t="shared" si="1996"/>
        <v>0</v>
      </c>
      <c r="AE2268" s="221">
        <v>0</v>
      </c>
      <c r="AF2268" s="169" t="s">
        <v>4680</v>
      </c>
      <c r="AG2268" s="223">
        <v>0</v>
      </c>
      <c r="AH2268" s="222">
        <v>0</v>
      </c>
      <c r="AI2268" s="221">
        <v>0</v>
      </c>
      <c r="AJ2268" s="169">
        <f t="shared" si="1951"/>
        <v>0</v>
      </c>
      <c r="AK2268" s="223">
        <v>0</v>
      </c>
      <c r="AL2268" s="222">
        <v>0</v>
      </c>
      <c r="AM2268" s="221">
        <f t="shared" si="1996"/>
        <v>0</v>
      </c>
      <c r="AN2268" s="153">
        <f t="shared" si="1952"/>
        <v>0</v>
      </c>
      <c r="AO2268" s="154">
        <f t="shared" si="1953"/>
        <v>0</v>
      </c>
      <c r="AP2268" s="221">
        <v>0</v>
      </c>
      <c r="AQ2268" s="223">
        <v>0</v>
      </c>
      <c r="AR2268" s="222">
        <f t="shared" ref="AR2268:AS2269" si="1998">AR2269</f>
        <v>0</v>
      </c>
      <c r="AS2268" s="221">
        <f t="shared" si="1998"/>
        <v>0</v>
      </c>
      <c r="AT2268" s="155"/>
      <c r="AU2268" s="156">
        <f t="shared" si="1948"/>
        <v>0</v>
      </c>
      <c r="AV2268" s="156">
        <f t="shared" si="1949"/>
        <v>0</v>
      </c>
      <c r="AW2268" s="157"/>
      <c r="AX2268" s="150">
        <v>0</v>
      </c>
      <c r="AY2268" s="221">
        <f t="shared" ref="AY2268:BA2269" si="1999">AY2269</f>
        <v>0</v>
      </c>
      <c r="AZ2268" s="221">
        <f t="shared" si="1999"/>
        <v>0</v>
      </c>
      <c r="BA2268" s="221">
        <f t="shared" si="1999"/>
        <v>0</v>
      </c>
      <c r="BB2268" s="181">
        <v>6</v>
      </c>
      <c r="BC2268" s="173" t="s">
        <v>671</v>
      </c>
      <c r="BD2268" s="173" t="s">
        <v>647</v>
      </c>
      <c r="BE2268" s="173" t="s">
        <v>630</v>
      </c>
      <c r="BF2268" s="173" t="s">
        <v>630</v>
      </c>
      <c r="BG2268" s="175" t="s">
        <v>10409</v>
      </c>
      <c r="BH2268" s="224">
        <f>BH2269</f>
        <v>0</v>
      </c>
      <c r="BI2268" s="181"/>
      <c r="BJ2268" s="173" t="s">
        <v>10410</v>
      </c>
      <c r="BK2268" s="173" t="s">
        <v>10408</v>
      </c>
      <c r="BL2268" s="182" t="s">
        <v>10411</v>
      </c>
      <c r="BM2268" s="337">
        <f>BM2269</f>
        <v>0</v>
      </c>
      <c r="BN2268" s="160"/>
      <c r="BO2268" s="161">
        <f t="shared" si="1918"/>
        <v>0</v>
      </c>
      <c r="BP2268" s="161"/>
    </row>
    <row r="2269" spans="1:68" ht="25.5">
      <c r="A2269" s="183" t="s">
        <v>10408</v>
      </c>
      <c r="B2269" s="184"/>
      <c r="C2269" s="185" t="s">
        <v>10409</v>
      </c>
      <c r="D2269" s="146" t="s">
        <v>4692</v>
      </c>
      <c r="E2269" s="185" t="s">
        <v>10409</v>
      </c>
      <c r="F2269" s="188">
        <v>0</v>
      </c>
      <c r="G2269" s="187">
        <v>0</v>
      </c>
      <c r="H2269" s="187"/>
      <c r="I2269" s="187">
        <v>0</v>
      </c>
      <c r="J2269" s="188">
        <f>J2270</f>
        <v>0</v>
      </c>
      <c r="K2269" s="188">
        <f>K2270</f>
        <v>0</v>
      </c>
      <c r="L2269" s="188">
        <f t="shared" si="1969"/>
        <v>0</v>
      </c>
      <c r="M2269" s="188">
        <v>0</v>
      </c>
      <c r="N2269" s="188">
        <v>0</v>
      </c>
      <c r="O2269" s="188">
        <v>0</v>
      </c>
      <c r="P2269" s="299">
        <f t="shared" si="1996"/>
        <v>0</v>
      </c>
      <c r="Q2269" s="299">
        <f t="shared" si="1996"/>
        <v>0</v>
      </c>
      <c r="R2269" s="299">
        <f t="shared" si="1996"/>
        <v>0</v>
      </c>
      <c r="S2269" s="150">
        <f t="shared" si="1912"/>
        <v>0</v>
      </c>
      <c r="T2269" s="213"/>
      <c r="U2269" s="299">
        <f t="shared" si="1997"/>
        <v>0</v>
      </c>
      <c r="V2269" s="226">
        <f t="shared" si="1997"/>
        <v>0</v>
      </c>
      <c r="W2269" s="299">
        <f t="shared" si="1997"/>
        <v>0</v>
      </c>
      <c r="X2269" s="299">
        <v>0</v>
      </c>
      <c r="Y2269" s="299">
        <v>0</v>
      </c>
      <c r="Z2269" s="299">
        <v>0</v>
      </c>
      <c r="AA2269" s="299">
        <f t="shared" si="1950"/>
        <v>0</v>
      </c>
      <c r="AB2269" s="299">
        <v>0</v>
      </c>
      <c r="AC2269" s="226">
        <v>0</v>
      </c>
      <c r="AD2269" s="299">
        <f t="shared" si="1996"/>
        <v>0</v>
      </c>
      <c r="AE2269" s="299">
        <v>0</v>
      </c>
      <c r="AF2269" s="169" t="s">
        <v>4680</v>
      </c>
      <c r="AG2269" s="301">
        <v>0</v>
      </c>
      <c r="AH2269" s="226">
        <v>0</v>
      </c>
      <c r="AI2269" s="299">
        <v>0</v>
      </c>
      <c r="AJ2269" s="169">
        <f t="shared" si="1951"/>
        <v>0</v>
      </c>
      <c r="AK2269" s="301">
        <v>0</v>
      </c>
      <c r="AL2269" s="226">
        <v>0</v>
      </c>
      <c r="AM2269" s="299">
        <f t="shared" si="1996"/>
        <v>0</v>
      </c>
      <c r="AN2269" s="153">
        <f t="shared" si="1952"/>
        <v>0</v>
      </c>
      <c r="AO2269" s="154">
        <f t="shared" si="1953"/>
        <v>0</v>
      </c>
      <c r="AP2269" s="299">
        <v>0</v>
      </c>
      <c r="AQ2269" s="301">
        <v>0</v>
      </c>
      <c r="AR2269" s="226">
        <f t="shared" si="1998"/>
        <v>0</v>
      </c>
      <c r="AS2269" s="299">
        <f t="shared" si="1998"/>
        <v>0</v>
      </c>
      <c r="AT2269" s="155"/>
      <c r="AU2269" s="156">
        <f t="shared" si="1948"/>
        <v>0</v>
      </c>
      <c r="AV2269" s="156">
        <f t="shared" si="1949"/>
        <v>0</v>
      </c>
      <c r="AW2269" s="157"/>
      <c r="AX2269" s="150">
        <v>0</v>
      </c>
      <c r="AY2269" s="299">
        <f t="shared" si="1999"/>
        <v>0</v>
      </c>
      <c r="AZ2269" s="299">
        <f t="shared" si="1999"/>
        <v>0</v>
      </c>
      <c r="BA2269" s="299">
        <f t="shared" si="1999"/>
        <v>0</v>
      </c>
      <c r="BB2269" s="191">
        <v>6</v>
      </c>
      <c r="BC2269" s="183" t="s">
        <v>671</v>
      </c>
      <c r="BD2269" s="183" t="s">
        <v>647</v>
      </c>
      <c r="BE2269" s="183" t="s">
        <v>632</v>
      </c>
      <c r="BF2269" s="183" t="s">
        <v>630</v>
      </c>
      <c r="BG2269" s="185" t="s">
        <v>10409</v>
      </c>
      <c r="BH2269" s="215">
        <f>BH2270</f>
        <v>0</v>
      </c>
      <c r="BI2269" s="191"/>
      <c r="BJ2269" s="183" t="s">
        <v>10410</v>
      </c>
      <c r="BK2269" s="183" t="s">
        <v>10408</v>
      </c>
      <c r="BL2269" s="238" t="s">
        <v>10411</v>
      </c>
      <c r="BM2269" s="338">
        <f>BM2270</f>
        <v>0</v>
      </c>
      <c r="BN2269" s="160"/>
      <c r="BO2269" s="161">
        <f t="shared" si="1918"/>
        <v>0</v>
      </c>
      <c r="BP2269" s="161"/>
    </row>
    <row r="2270" spans="1:68">
      <c r="A2270" s="194" t="s">
        <v>10408</v>
      </c>
      <c r="B2270" s="195" t="s">
        <v>10412</v>
      </c>
      <c r="C2270" s="196" t="s">
        <v>10413</v>
      </c>
      <c r="D2270" s="146" t="s">
        <v>4692</v>
      </c>
      <c r="E2270" s="377" t="s">
        <v>10413</v>
      </c>
      <c r="F2270" s="150">
        <v>0</v>
      </c>
      <c r="G2270" s="209">
        <v>1084924.74</v>
      </c>
      <c r="H2270" s="209">
        <v>0</v>
      </c>
      <c r="I2270" s="209">
        <v>1084924.74</v>
      </c>
      <c r="J2270" s="150">
        <v>0</v>
      </c>
      <c r="K2270" s="150">
        <v>0</v>
      </c>
      <c r="L2270" s="150">
        <f t="shared" si="1969"/>
        <v>0</v>
      </c>
      <c r="M2270" s="150">
        <v>0</v>
      </c>
      <c r="N2270" s="150"/>
      <c r="O2270" s="150">
        <v>0</v>
      </c>
      <c r="P2270" s="150">
        <v>0</v>
      </c>
      <c r="Q2270" s="150">
        <v>0</v>
      </c>
      <c r="R2270" s="150">
        <f>P2270+Q2270</f>
        <v>0</v>
      </c>
      <c r="S2270" s="150">
        <f t="shared" si="1912"/>
        <v>0</v>
      </c>
      <c r="T2270" s="150"/>
      <c r="U2270" s="150">
        <v>0</v>
      </c>
      <c r="V2270" s="199"/>
      <c r="W2270" s="150">
        <f>U2270+V2270</f>
        <v>0</v>
      </c>
      <c r="X2270" s="150">
        <v>0</v>
      </c>
      <c r="Y2270" s="150"/>
      <c r="Z2270" s="150">
        <v>0</v>
      </c>
      <c r="AA2270" s="150">
        <f t="shared" si="1950"/>
        <v>0</v>
      </c>
      <c r="AB2270" s="150">
        <v>0</v>
      </c>
      <c r="AC2270" s="199"/>
      <c r="AD2270" s="150">
        <f>AB2270+AC2270</f>
        <v>0</v>
      </c>
      <c r="AE2270" s="150">
        <v>0</v>
      </c>
      <c r="AF2270" s="169" t="s">
        <v>4680</v>
      </c>
      <c r="AG2270" s="201">
        <v>0</v>
      </c>
      <c r="AH2270" s="199"/>
      <c r="AI2270" s="150">
        <v>0</v>
      </c>
      <c r="AJ2270" s="169">
        <f t="shared" si="1951"/>
        <v>0</v>
      </c>
      <c r="AK2270" s="201">
        <v>0</v>
      </c>
      <c r="AL2270" s="199"/>
      <c r="AM2270" s="150">
        <f>AK2270+AL2270</f>
        <v>0</v>
      </c>
      <c r="AN2270" s="153">
        <f t="shared" si="1952"/>
        <v>0</v>
      </c>
      <c r="AO2270" s="154">
        <f t="shared" si="1953"/>
        <v>0</v>
      </c>
      <c r="AP2270" s="150">
        <v>0</v>
      </c>
      <c r="AQ2270" s="201">
        <v>0</v>
      </c>
      <c r="AR2270" s="199"/>
      <c r="AS2270" s="150">
        <f>AQ2270+AR2270</f>
        <v>0</v>
      </c>
      <c r="AT2270" s="155"/>
      <c r="AU2270" s="156">
        <f t="shared" si="1948"/>
        <v>0</v>
      </c>
      <c r="AV2270" s="156">
        <f t="shared" si="1949"/>
        <v>0</v>
      </c>
      <c r="AW2270" s="157"/>
      <c r="AX2270" s="150">
        <v>0</v>
      </c>
      <c r="AY2270" s="150">
        <v>0</v>
      </c>
      <c r="AZ2270" s="150"/>
      <c r="BA2270" s="150">
        <f>AY2270+AZ2270</f>
        <v>0</v>
      </c>
      <c r="BB2270" s="202">
        <v>6</v>
      </c>
      <c r="BC2270" s="202" t="s">
        <v>671</v>
      </c>
      <c r="BD2270" s="202" t="s">
        <v>647</v>
      </c>
      <c r="BE2270" s="202" t="s">
        <v>632</v>
      </c>
      <c r="BF2270" s="202" t="s">
        <v>632</v>
      </c>
      <c r="BG2270" s="203" t="s">
        <v>10409</v>
      </c>
      <c r="BH2270" s="216">
        <f>AS2270</f>
        <v>0</v>
      </c>
      <c r="BI2270" s="202"/>
      <c r="BJ2270" s="194" t="s">
        <v>10410</v>
      </c>
      <c r="BK2270" s="194" t="s">
        <v>10408</v>
      </c>
      <c r="BL2270" s="207" t="s">
        <v>10411</v>
      </c>
      <c r="BM2270" s="208">
        <f>BH2270</f>
        <v>0</v>
      </c>
      <c r="BN2270" s="160"/>
      <c r="BO2270" s="161">
        <f t="shared" si="1918"/>
        <v>0</v>
      </c>
      <c r="BP2270" s="161"/>
    </row>
    <row r="2271" spans="1:68">
      <c r="A2271" s="173" t="s">
        <v>10414</v>
      </c>
      <c r="B2271" s="174"/>
      <c r="C2271" s="175" t="s">
        <v>10415</v>
      </c>
      <c r="D2271" s="146" t="s">
        <v>4692</v>
      </c>
      <c r="E2271" s="175" t="s">
        <v>10415</v>
      </c>
      <c r="F2271" s="176">
        <v>1125744.78</v>
      </c>
      <c r="G2271" s="177">
        <v>1084924.74</v>
      </c>
      <c r="H2271" s="177">
        <v>0</v>
      </c>
      <c r="I2271" s="177">
        <v>1084924.74</v>
      </c>
      <c r="J2271" s="176">
        <f>J2272</f>
        <v>27020.85</v>
      </c>
      <c r="K2271" s="176">
        <f>K2272</f>
        <v>0</v>
      </c>
      <c r="L2271" s="176">
        <f t="shared" si="1969"/>
        <v>27020.85</v>
      </c>
      <c r="M2271" s="176">
        <v>153834.46</v>
      </c>
      <c r="N2271" s="176">
        <v>409037.93000000005</v>
      </c>
      <c r="O2271" s="178">
        <v>562872.39</v>
      </c>
      <c r="P2271" s="221">
        <f t="shared" ref="P2271:AS2271" si="2000">P2272</f>
        <v>217066.92</v>
      </c>
      <c r="Q2271" s="221">
        <f t="shared" si="2000"/>
        <v>613556.9</v>
      </c>
      <c r="R2271" s="221">
        <f t="shared" si="2000"/>
        <v>830623.82000000007</v>
      </c>
      <c r="S2271" s="150">
        <f t="shared" si="1912"/>
        <v>1107498.4266666668</v>
      </c>
      <c r="T2271" s="213"/>
      <c r="U2271" s="221">
        <f t="shared" ref="U2271:W2271" si="2001">U2272</f>
        <v>256621.38</v>
      </c>
      <c r="V2271" s="222">
        <f t="shared" si="2001"/>
        <v>669334.80000000005</v>
      </c>
      <c r="W2271" s="221">
        <f t="shared" si="2001"/>
        <v>925956.18</v>
      </c>
      <c r="X2271" s="221">
        <v>256621.38</v>
      </c>
      <c r="Y2271" s="221">
        <v>669334.80000000005</v>
      </c>
      <c r="Z2271" s="221">
        <v>925956.18</v>
      </c>
      <c r="AA2271" s="221">
        <f t="shared" si="1950"/>
        <v>-669334.80000000005</v>
      </c>
      <c r="AB2271" s="221">
        <v>256621.38</v>
      </c>
      <c r="AC2271" s="222">
        <v>0</v>
      </c>
      <c r="AD2271" s="221">
        <f t="shared" si="2000"/>
        <v>256621.38</v>
      </c>
      <c r="AE2271" s="221">
        <v>256621.38</v>
      </c>
      <c r="AF2271" s="169" t="s">
        <v>4680</v>
      </c>
      <c r="AG2271" s="223">
        <v>256621.38</v>
      </c>
      <c r="AH2271" s="222">
        <v>0</v>
      </c>
      <c r="AI2271" s="221">
        <v>256621.38</v>
      </c>
      <c r="AJ2271" s="169">
        <f t="shared" si="1951"/>
        <v>0</v>
      </c>
      <c r="AK2271" s="223">
        <v>256621.38</v>
      </c>
      <c r="AL2271" s="222">
        <v>0</v>
      </c>
      <c r="AM2271" s="221">
        <f t="shared" si="2000"/>
        <v>256621.38</v>
      </c>
      <c r="AN2271" s="153">
        <f t="shared" si="1952"/>
        <v>0</v>
      </c>
      <c r="AO2271" s="154">
        <f t="shared" si="1953"/>
        <v>0</v>
      </c>
      <c r="AP2271" s="221">
        <v>256621.38</v>
      </c>
      <c r="AQ2271" s="223">
        <v>256621.38</v>
      </c>
      <c r="AR2271" s="222">
        <f t="shared" si="2000"/>
        <v>0</v>
      </c>
      <c r="AS2271" s="221">
        <f t="shared" si="2000"/>
        <v>256621.38</v>
      </c>
      <c r="AT2271" s="155"/>
      <c r="AU2271" s="156">
        <f t="shared" si="1948"/>
        <v>0</v>
      </c>
      <c r="AV2271" s="156">
        <f t="shared" si="1949"/>
        <v>-669334.80000000005</v>
      </c>
      <c r="AW2271" s="157"/>
      <c r="AX2271" s="150">
        <v>925956.18</v>
      </c>
      <c r="AY2271" s="221">
        <f t="shared" ref="AY2271:BA2271" si="2002">AY2272</f>
        <v>217066.92</v>
      </c>
      <c r="AZ2271" s="221">
        <f t="shared" si="2002"/>
        <v>796443.08</v>
      </c>
      <c r="BA2271" s="221">
        <f t="shared" si="2002"/>
        <v>1013510</v>
      </c>
      <c r="BB2271" s="181">
        <v>6</v>
      </c>
      <c r="BC2271" s="173" t="s">
        <v>671</v>
      </c>
      <c r="BD2271" s="173" t="s">
        <v>671</v>
      </c>
      <c r="BE2271" s="173" t="s">
        <v>630</v>
      </c>
      <c r="BF2271" s="173" t="s">
        <v>630</v>
      </c>
      <c r="BG2271" s="175" t="s">
        <v>10415</v>
      </c>
      <c r="BH2271" s="224">
        <f>BH2272</f>
        <v>256621.38</v>
      </c>
      <c r="BI2271" s="181"/>
      <c r="BJ2271" s="173" t="s">
        <v>10416</v>
      </c>
      <c r="BK2271" s="173" t="s">
        <v>10414</v>
      </c>
      <c r="BL2271" s="182" t="s">
        <v>10417</v>
      </c>
      <c r="BM2271" s="337">
        <f>BM2272</f>
        <v>256621.38</v>
      </c>
      <c r="BN2271" s="160"/>
      <c r="BO2271" s="161">
        <f t="shared" si="1918"/>
        <v>0</v>
      </c>
      <c r="BP2271" s="161"/>
    </row>
    <row r="2272" spans="1:68">
      <c r="A2272" s="183" t="s">
        <v>10414</v>
      </c>
      <c r="B2272" s="184"/>
      <c r="C2272" s="185" t="s">
        <v>10415</v>
      </c>
      <c r="D2272" s="146" t="s">
        <v>4692</v>
      </c>
      <c r="E2272" s="185" t="s">
        <v>10415</v>
      </c>
      <c r="F2272" s="188">
        <v>1125744.78</v>
      </c>
      <c r="G2272" s="187">
        <v>0</v>
      </c>
      <c r="H2272" s="187"/>
      <c r="I2272" s="187">
        <v>0</v>
      </c>
      <c r="J2272" s="188">
        <f>SUM(J2273:J2276)</f>
        <v>27020.85</v>
      </c>
      <c r="K2272" s="188">
        <f>SUM(K2273:K2276)</f>
        <v>0</v>
      </c>
      <c r="L2272" s="188">
        <f t="shared" si="1969"/>
        <v>27020.85</v>
      </c>
      <c r="M2272" s="188">
        <v>153834.46</v>
      </c>
      <c r="N2272" s="188">
        <v>409037.93000000005</v>
      </c>
      <c r="O2272" s="188">
        <v>562872.39</v>
      </c>
      <c r="P2272" s="299">
        <f t="shared" ref="P2272:R2272" si="2003">SUM(P2273:P2276)</f>
        <v>217066.92</v>
      </c>
      <c r="Q2272" s="299">
        <f t="shared" si="2003"/>
        <v>613556.9</v>
      </c>
      <c r="R2272" s="299">
        <f t="shared" si="2003"/>
        <v>830623.82000000007</v>
      </c>
      <c r="S2272" s="150">
        <f t="shared" si="1912"/>
        <v>1107498.4266666668</v>
      </c>
      <c r="T2272" s="213"/>
      <c r="U2272" s="299">
        <f t="shared" ref="U2272:W2272" si="2004">SUM(U2273:U2276)</f>
        <v>256621.38</v>
      </c>
      <c r="V2272" s="226">
        <f t="shared" si="2004"/>
        <v>669334.80000000005</v>
      </c>
      <c r="W2272" s="299">
        <f t="shared" si="2004"/>
        <v>925956.18</v>
      </c>
      <c r="X2272" s="299">
        <v>256621.38</v>
      </c>
      <c r="Y2272" s="299">
        <v>669334.80000000005</v>
      </c>
      <c r="Z2272" s="299">
        <v>925956.18</v>
      </c>
      <c r="AA2272" s="299">
        <f t="shared" si="1950"/>
        <v>-669334.80000000005</v>
      </c>
      <c r="AB2272" s="299">
        <v>256621.38</v>
      </c>
      <c r="AC2272" s="226">
        <v>0</v>
      </c>
      <c r="AD2272" s="299">
        <f t="shared" ref="AD2272" si="2005">SUM(AD2273:AD2276)</f>
        <v>256621.38</v>
      </c>
      <c r="AE2272" s="299">
        <v>256621.38</v>
      </c>
      <c r="AF2272" s="169" t="s">
        <v>4680</v>
      </c>
      <c r="AG2272" s="301">
        <v>256621.38</v>
      </c>
      <c r="AH2272" s="226">
        <v>0</v>
      </c>
      <c r="AI2272" s="299">
        <v>256621.38</v>
      </c>
      <c r="AJ2272" s="169">
        <f t="shared" si="1951"/>
        <v>0</v>
      </c>
      <c r="AK2272" s="301">
        <v>256621.38</v>
      </c>
      <c r="AL2272" s="226">
        <v>0</v>
      </c>
      <c r="AM2272" s="299">
        <f t="shared" ref="AM2272" si="2006">SUM(AM2273:AM2276)</f>
        <v>256621.38</v>
      </c>
      <c r="AN2272" s="153">
        <f t="shared" si="1952"/>
        <v>0</v>
      </c>
      <c r="AO2272" s="154">
        <f t="shared" si="1953"/>
        <v>0</v>
      </c>
      <c r="AP2272" s="299">
        <v>256621.38</v>
      </c>
      <c r="AQ2272" s="301">
        <v>256621.38</v>
      </c>
      <c r="AR2272" s="226">
        <f t="shared" ref="AR2272:AS2272" si="2007">SUM(AR2273:AR2276)</f>
        <v>0</v>
      </c>
      <c r="AS2272" s="299">
        <f t="shared" si="2007"/>
        <v>256621.38</v>
      </c>
      <c r="AT2272" s="155"/>
      <c r="AU2272" s="156">
        <f t="shared" si="1948"/>
        <v>0</v>
      </c>
      <c r="AV2272" s="156">
        <f t="shared" si="1949"/>
        <v>-669334.80000000005</v>
      </c>
      <c r="AW2272" s="157"/>
      <c r="AX2272" s="150">
        <v>925956.18</v>
      </c>
      <c r="AY2272" s="299">
        <f t="shared" ref="AY2272:BA2272" si="2008">SUM(AY2273:AY2276)</f>
        <v>217066.92</v>
      </c>
      <c r="AZ2272" s="299">
        <f t="shared" si="2008"/>
        <v>796443.08</v>
      </c>
      <c r="BA2272" s="299">
        <f t="shared" si="2008"/>
        <v>1013510</v>
      </c>
      <c r="BB2272" s="191">
        <v>6</v>
      </c>
      <c r="BC2272" s="183" t="s">
        <v>671</v>
      </c>
      <c r="BD2272" s="183" t="s">
        <v>671</v>
      </c>
      <c r="BE2272" s="183" t="s">
        <v>632</v>
      </c>
      <c r="BF2272" s="183" t="s">
        <v>630</v>
      </c>
      <c r="BG2272" s="185" t="s">
        <v>10415</v>
      </c>
      <c r="BH2272" s="215">
        <f>BH2273</f>
        <v>256621.38</v>
      </c>
      <c r="BI2272" s="191"/>
      <c r="BJ2272" s="183" t="s">
        <v>10416</v>
      </c>
      <c r="BK2272" s="183" t="s">
        <v>10414</v>
      </c>
      <c r="BL2272" s="238" t="s">
        <v>10417</v>
      </c>
      <c r="BM2272" s="338">
        <f>BM2273</f>
        <v>256621.38</v>
      </c>
      <c r="BN2272" s="160"/>
      <c r="BO2272" s="161">
        <f t="shared" si="1918"/>
        <v>0</v>
      </c>
      <c r="BP2272" s="161"/>
    </row>
    <row r="2273" spans="1:68" ht="25.5">
      <c r="A2273" s="194" t="s">
        <v>10414</v>
      </c>
      <c r="B2273" s="195" t="s">
        <v>10418</v>
      </c>
      <c r="C2273" s="196" t="s">
        <v>10419</v>
      </c>
      <c r="D2273" s="146" t="s">
        <v>4692</v>
      </c>
      <c r="E2273" s="377" t="s">
        <v>10419</v>
      </c>
      <c r="F2273" s="150">
        <v>0</v>
      </c>
      <c r="G2273" s="209">
        <v>0</v>
      </c>
      <c r="H2273" s="209"/>
      <c r="I2273" s="209">
        <v>0</v>
      </c>
      <c r="J2273" s="150">
        <v>0</v>
      </c>
      <c r="K2273" s="150">
        <v>0</v>
      </c>
      <c r="L2273" s="150">
        <f t="shared" si="1969"/>
        <v>0</v>
      </c>
      <c r="M2273" s="150">
        <v>0</v>
      </c>
      <c r="N2273" s="150"/>
      <c r="O2273" s="150">
        <v>0</v>
      </c>
      <c r="P2273" s="150">
        <v>0</v>
      </c>
      <c r="Q2273" s="150">
        <v>0</v>
      </c>
      <c r="R2273" s="150">
        <f>P2273+Q2273</f>
        <v>0</v>
      </c>
      <c r="S2273" s="150">
        <f t="shared" si="1912"/>
        <v>0</v>
      </c>
      <c r="T2273" s="150"/>
      <c r="U2273" s="150">
        <v>0</v>
      </c>
      <c r="V2273" s="199"/>
      <c r="W2273" s="150">
        <f>U2273+V2273</f>
        <v>0</v>
      </c>
      <c r="X2273" s="150">
        <v>0</v>
      </c>
      <c r="Y2273" s="150"/>
      <c r="Z2273" s="150">
        <v>0</v>
      </c>
      <c r="AA2273" s="150">
        <f t="shared" si="1950"/>
        <v>0</v>
      </c>
      <c r="AB2273" s="150">
        <v>0</v>
      </c>
      <c r="AC2273" s="199"/>
      <c r="AD2273" s="150">
        <f>AB2273+AC2273</f>
        <v>0</v>
      </c>
      <c r="AE2273" s="150">
        <v>0</v>
      </c>
      <c r="AF2273" s="169" t="s">
        <v>4680</v>
      </c>
      <c r="AG2273" s="201">
        <v>0</v>
      </c>
      <c r="AH2273" s="199"/>
      <c r="AI2273" s="150">
        <v>0</v>
      </c>
      <c r="AJ2273" s="169">
        <f t="shared" si="1951"/>
        <v>0</v>
      </c>
      <c r="AK2273" s="201">
        <v>0</v>
      </c>
      <c r="AL2273" s="199"/>
      <c r="AM2273" s="150">
        <f>AK2273+AL2273</f>
        <v>0</v>
      </c>
      <c r="AN2273" s="153">
        <f t="shared" si="1952"/>
        <v>0</v>
      </c>
      <c r="AO2273" s="154">
        <f t="shared" si="1953"/>
        <v>0</v>
      </c>
      <c r="AP2273" s="150">
        <v>0</v>
      </c>
      <c r="AQ2273" s="201">
        <v>0</v>
      </c>
      <c r="AR2273" s="199"/>
      <c r="AS2273" s="150">
        <f>AQ2273+AR2273</f>
        <v>0</v>
      </c>
      <c r="AT2273" s="155"/>
      <c r="AU2273" s="156">
        <f t="shared" si="1948"/>
        <v>0</v>
      </c>
      <c r="AV2273" s="156">
        <f t="shared" si="1949"/>
        <v>0</v>
      </c>
      <c r="AW2273" s="157"/>
      <c r="AX2273" s="150">
        <v>0</v>
      </c>
      <c r="AY2273" s="150">
        <v>0</v>
      </c>
      <c r="AZ2273" s="150"/>
      <c r="BA2273" s="150">
        <f>AY2273+AZ2273</f>
        <v>0</v>
      </c>
      <c r="BB2273" s="202">
        <v>6</v>
      </c>
      <c r="BC2273" s="202" t="s">
        <v>671</v>
      </c>
      <c r="BD2273" s="202" t="s">
        <v>671</v>
      </c>
      <c r="BE2273" s="202" t="s">
        <v>632</v>
      </c>
      <c r="BF2273" s="202" t="s">
        <v>632</v>
      </c>
      <c r="BG2273" s="203" t="s">
        <v>10415</v>
      </c>
      <c r="BH2273" s="216">
        <f>SUM(AS2273:AS2276)</f>
        <v>256621.38</v>
      </c>
      <c r="BI2273" s="202"/>
      <c r="BJ2273" s="194" t="s">
        <v>10416</v>
      </c>
      <c r="BK2273" s="194" t="s">
        <v>10414</v>
      </c>
      <c r="BL2273" s="207" t="s">
        <v>10417</v>
      </c>
      <c r="BM2273" s="208">
        <f>BH2273</f>
        <v>256621.38</v>
      </c>
      <c r="BN2273" s="160"/>
      <c r="BO2273" s="161"/>
      <c r="BP2273" s="161"/>
    </row>
    <row r="2274" spans="1:68" ht="25.5">
      <c r="A2274" s="210"/>
      <c r="B2274" s="195" t="s">
        <v>10420</v>
      </c>
      <c r="C2274" s="196" t="s">
        <v>10421</v>
      </c>
      <c r="D2274" s="146" t="s">
        <v>4692</v>
      </c>
      <c r="E2274" s="377" t="s">
        <v>10421</v>
      </c>
      <c r="F2274" s="150">
        <v>0</v>
      </c>
      <c r="G2274" s="209">
        <v>0</v>
      </c>
      <c r="H2274" s="209"/>
      <c r="I2274" s="209">
        <v>0</v>
      </c>
      <c r="J2274" s="150">
        <v>0</v>
      </c>
      <c r="K2274" s="150">
        <v>0</v>
      </c>
      <c r="L2274" s="150">
        <f t="shared" si="1969"/>
        <v>0</v>
      </c>
      <c r="M2274" s="150">
        <v>0</v>
      </c>
      <c r="N2274" s="150"/>
      <c r="O2274" s="150">
        <v>0</v>
      </c>
      <c r="P2274" s="150">
        <v>0</v>
      </c>
      <c r="Q2274" s="150">
        <v>0</v>
      </c>
      <c r="R2274" s="150">
        <f>P2274+Q2274</f>
        <v>0</v>
      </c>
      <c r="S2274" s="150">
        <f t="shared" si="1912"/>
        <v>0</v>
      </c>
      <c r="T2274" s="150"/>
      <c r="U2274" s="150">
        <v>0</v>
      </c>
      <c r="V2274" s="199"/>
      <c r="W2274" s="150">
        <f>U2274+V2274</f>
        <v>0</v>
      </c>
      <c r="X2274" s="150">
        <v>0</v>
      </c>
      <c r="Y2274" s="150"/>
      <c r="Z2274" s="150">
        <v>0</v>
      </c>
      <c r="AA2274" s="150">
        <f t="shared" si="1950"/>
        <v>0</v>
      </c>
      <c r="AB2274" s="150">
        <v>0</v>
      </c>
      <c r="AC2274" s="199"/>
      <c r="AD2274" s="150">
        <f>AB2274+AC2274</f>
        <v>0</v>
      </c>
      <c r="AE2274" s="150">
        <v>0</v>
      </c>
      <c r="AF2274" s="169" t="s">
        <v>4680</v>
      </c>
      <c r="AG2274" s="201">
        <v>0</v>
      </c>
      <c r="AH2274" s="199"/>
      <c r="AI2274" s="150">
        <v>0</v>
      </c>
      <c r="AJ2274" s="169">
        <f t="shared" si="1951"/>
        <v>0</v>
      </c>
      <c r="AK2274" s="201">
        <v>0</v>
      </c>
      <c r="AL2274" s="199"/>
      <c r="AM2274" s="150">
        <f>AK2274+AL2274</f>
        <v>0</v>
      </c>
      <c r="AN2274" s="153">
        <f t="shared" si="1952"/>
        <v>0</v>
      </c>
      <c r="AO2274" s="154">
        <f t="shared" si="1953"/>
        <v>0</v>
      </c>
      <c r="AP2274" s="150">
        <v>0</v>
      </c>
      <c r="AQ2274" s="201">
        <v>0</v>
      </c>
      <c r="AR2274" s="199"/>
      <c r="AS2274" s="150">
        <f>AQ2274+AR2274</f>
        <v>0</v>
      </c>
      <c r="AT2274" s="155"/>
      <c r="AU2274" s="156">
        <f t="shared" si="1948"/>
        <v>0</v>
      </c>
      <c r="AV2274" s="156">
        <f t="shared" si="1949"/>
        <v>0</v>
      </c>
      <c r="AW2274" s="157"/>
      <c r="AX2274" s="150">
        <v>0</v>
      </c>
      <c r="AY2274" s="150">
        <v>0</v>
      </c>
      <c r="AZ2274" s="150"/>
      <c r="BA2274" s="150">
        <f t="shared" ref="BA2274:BA2337" si="2009">AY2274+AZ2274</f>
        <v>0</v>
      </c>
      <c r="BB2274" s="210"/>
      <c r="BC2274" s="210"/>
      <c r="BD2274" s="210"/>
      <c r="BE2274" s="210"/>
      <c r="BF2274" s="210"/>
      <c r="BG2274" s="210"/>
      <c r="BH2274" s="217"/>
      <c r="BI2274" s="210"/>
      <c r="BJ2274" s="210"/>
      <c r="BK2274" s="210"/>
      <c r="BL2274" s="210"/>
      <c r="BM2274" s="208"/>
      <c r="BN2274" s="160"/>
      <c r="BO2274" s="161"/>
      <c r="BP2274" s="161"/>
    </row>
    <row r="2275" spans="1:68" ht="25.5">
      <c r="A2275" s="210"/>
      <c r="B2275" s="195" t="s">
        <v>10422</v>
      </c>
      <c r="C2275" s="196" t="s">
        <v>10423</v>
      </c>
      <c r="D2275" s="146" t="s">
        <v>4692</v>
      </c>
      <c r="E2275" s="377" t="s">
        <v>10423</v>
      </c>
      <c r="F2275" s="150">
        <v>0</v>
      </c>
      <c r="G2275" s="209">
        <v>1084924.74</v>
      </c>
      <c r="H2275" s="209"/>
      <c r="I2275" s="209">
        <v>1084924.74</v>
      </c>
      <c r="J2275" s="150">
        <v>0</v>
      </c>
      <c r="K2275" s="150">
        <v>0</v>
      </c>
      <c r="L2275" s="150">
        <f t="shared" si="1969"/>
        <v>0</v>
      </c>
      <c r="M2275" s="150">
        <v>0</v>
      </c>
      <c r="N2275" s="150"/>
      <c r="O2275" s="150">
        <v>0</v>
      </c>
      <c r="P2275" s="150">
        <v>0</v>
      </c>
      <c r="Q2275" s="150">
        <v>0</v>
      </c>
      <c r="R2275" s="150">
        <f>P2275+Q2275</f>
        <v>0</v>
      </c>
      <c r="S2275" s="150">
        <f t="shared" si="1912"/>
        <v>0</v>
      </c>
      <c r="T2275" s="150"/>
      <c r="U2275" s="150">
        <v>0</v>
      </c>
      <c r="V2275" s="199"/>
      <c r="W2275" s="150">
        <f>U2275+V2275</f>
        <v>0</v>
      </c>
      <c r="X2275" s="150">
        <v>0</v>
      </c>
      <c r="Y2275" s="150"/>
      <c r="Z2275" s="150">
        <v>0</v>
      </c>
      <c r="AA2275" s="150">
        <f t="shared" si="1950"/>
        <v>0</v>
      </c>
      <c r="AB2275" s="150">
        <v>0</v>
      </c>
      <c r="AC2275" s="199"/>
      <c r="AD2275" s="150">
        <f>AB2275+AC2275</f>
        <v>0</v>
      </c>
      <c r="AE2275" s="150">
        <v>0</v>
      </c>
      <c r="AF2275" s="169" t="s">
        <v>4680</v>
      </c>
      <c r="AG2275" s="201">
        <v>0</v>
      </c>
      <c r="AH2275" s="199"/>
      <c r="AI2275" s="150">
        <v>0</v>
      </c>
      <c r="AJ2275" s="169">
        <f t="shared" si="1951"/>
        <v>0</v>
      </c>
      <c r="AK2275" s="201">
        <v>0</v>
      </c>
      <c r="AL2275" s="199"/>
      <c r="AM2275" s="150">
        <f>AK2275+AL2275</f>
        <v>0</v>
      </c>
      <c r="AN2275" s="153">
        <f t="shared" si="1952"/>
        <v>0</v>
      </c>
      <c r="AO2275" s="154">
        <f t="shared" si="1953"/>
        <v>0</v>
      </c>
      <c r="AP2275" s="150">
        <v>0</v>
      </c>
      <c r="AQ2275" s="201">
        <v>0</v>
      </c>
      <c r="AR2275" s="199"/>
      <c r="AS2275" s="150">
        <f>AQ2275+AR2275</f>
        <v>0</v>
      </c>
      <c r="AT2275" s="155"/>
      <c r="AU2275" s="156">
        <f t="shared" si="1948"/>
        <v>0</v>
      </c>
      <c r="AV2275" s="156">
        <f t="shared" si="1949"/>
        <v>0</v>
      </c>
      <c r="AW2275" s="157"/>
      <c r="AX2275" s="150">
        <v>0</v>
      </c>
      <c r="AY2275" s="150">
        <v>0</v>
      </c>
      <c r="AZ2275" s="150"/>
      <c r="BA2275" s="150">
        <f t="shared" si="2009"/>
        <v>0</v>
      </c>
      <c r="BB2275" s="210"/>
      <c r="BC2275" s="210"/>
      <c r="BD2275" s="210"/>
      <c r="BE2275" s="210"/>
      <c r="BF2275" s="210"/>
      <c r="BG2275" s="210"/>
      <c r="BH2275" s="217"/>
      <c r="BI2275" s="210"/>
      <c r="BJ2275" s="210"/>
      <c r="BK2275" s="210"/>
      <c r="BL2275" s="210"/>
      <c r="BM2275" s="208"/>
      <c r="BN2275" s="160"/>
      <c r="BO2275" s="161"/>
      <c r="BP2275" s="161"/>
    </row>
    <row r="2276" spans="1:68" ht="25.5">
      <c r="A2276" s="210"/>
      <c r="B2276" s="195" t="s">
        <v>10424</v>
      </c>
      <c r="C2276" s="196" t="s">
        <v>10425</v>
      </c>
      <c r="D2276" s="146" t="s">
        <v>4692</v>
      </c>
      <c r="E2276" s="377" t="s">
        <v>10425</v>
      </c>
      <c r="F2276" s="150">
        <v>1125744.78</v>
      </c>
      <c r="G2276" s="209">
        <v>2052.2399999999998</v>
      </c>
      <c r="H2276" s="209">
        <v>0</v>
      </c>
      <c r="I2276" s="209">
        <v>2052.2399999999998</v>
      </c>
      <c r="J2276" s="150">
        <v>27020.85</v>
      </c>
      <c r="K2276" s="150">
        <v>0</v>
      </c>
      <c r="L2276" s="150">
        <f t="shared" si="1969"/>
        <v>27020.85</v>
      </c>
      <c r="M2276" s="150">
        <v>153834.46</v>
      </c>
      <c r="N2276" s="150">
        <v>409037.93000000005</v>
      </c>
      <c r="O2276" s="150">
        <v>562872.39</v>
      </c>
      <c r="P2276" s="150">
        <v>217066.92</v>
      </c>
      <c r="Q2276" s="150">
        <v>613556.9</v>
      </c>
      <c r="R2276" s="150">
        <f>P2276+Q2276</f>
        <v>830623.82000000007</v>
      </c>
      <c r="S2276" s="150">
        <f t="shared" si="1912"/>
        <v>1107498.4266666668</v>
      </c>
      <c r="T2276" s="150"/>
      <c r="U2276" s="150">
        <v>256621.38</v>
      </c>
      <c r="V2276" s="199">
        <f>Q2276/11*12</f>
        <v>669334.80000000005</v>
      </c>
      <c r="W2276" s="150">
        <f>U2276+V2276</f>
        <v>925956.18</v>
      </c>
      <c r="X2276" s="150">
        <v>256621.38</v>
      </c>
      <c r="Y2276" s="150">
        <v>669334.80000000005</v>
      </c>
      <c r="Z2276" s="150">
        <v>925956.18</v>
      </c>
      <c r="AA2276" s="150">
        <f t="shared" si="1950"/>
        <v>-669334.80000000005</v>
      </c>
      <c r="AB2276" s="150">
        <v>256621.38</v>
      </c>
      <c r="AC2276" s="199"/>
      <c r="AD2276" s="150">
        <f>AB2276+AC2276</f>
        <v>256621.38</v>
      </c>
      <c r="AE2276" s="150">
        <v>256621.38</v>
      </c>
      <c r="AF2276" s="169" t="s">
        <v>4680</v>
      </c>
      <c r="AG2276" s="201">
        <v>256621.38</v>
      </c>
      <c r="AH2276" s="199"/>
      <c r="AI2276" s="150">
        <v>256621.38</v>
      </c>
      <c r="AJ2276" s="169">
        <f t="shared" si="1951"/>
        <v>0</v>
      </c>
      <c r="AK2276" s="201">
        <v>256621.38</v>
      </c>
      <c r="AL2276" s="199"/>
      <c r="AM2276" s="150">
        <f>AK2276+AL2276</f>
        <v>256621.38</v>
      </c>
      <c r="AN2276" s="153">
        <f t="shared" si="1952"/>
        <v>0</v>
      </c>
      <c r="AO2276" s="154">
        <f t="shared" si="1953"/>
        <v>0</v>
      </c>
      <c r="AP2276" s="150">
        <v>256621.38</v>
      </c>
      <c r="AQ2276" s="201">
        <v>256621.38</v>
      </c>
      <c r="AR2276" s="199"/>
      <c r="AS2276" s="150">
        <f>AQ2276+AR2276</f>
        <v>256621.38</v>
      </c>
      <c r="AT2276" s="155"/>
      <c r="AU2276" s="156">
        <f t="shared" si="1948"/>
        <v>0</v>
      </c>
      <c r="AV2276" s="156">
        <f t="shared" si="1949"/>
        <v>-669334.80000000005</v>
      </c>
      <c r="AW2276" s="157" t="s">
        <v>10353</v>
      </c>
      <c r="AX2276" s="150">
        <v>925956.18</v>
      </c>
      <c r="AY2276" s="150">
        <v>217066.92</v>
      </c>
      <c r="AZ2276" s="150">
        <f>1013510-AY2276</f>
        <v>796443.08</v>
      </c>
      <c r="BA2276" s="150">
        <f t="shared" si="2009"/>
        <v>1013510</v>
      </c>
      <c r="BB2276" s="210"/>
      <c r="BC2276" s="210"/>
      <c r="BD2276" s="210"/>
      <c r="BE2276" s="210"/>
      <c r="BF2276" s="210"/>
      <c r="BG2276" s="210"/>
      <c r="BH2276" s="217"/>
      <c r="BI2276" s="210"/>
      <c r="BJ2276" s="210"/>
      <c r="BK2276" s="210"/>
      <c r="BL2276" s="210"/>
      <c r="BM2276" s="208"/>
      <c r="BN2276" s="160"/>
      <c r="BO2276" s="161"/>
      <c r="BP2276" s="161"/>
    </row>
    <row r="2277" spans="1:68">
      <c r="A2277" s="162" t="s">
        <v>10426</v>
      </c>
      <c r="B2277" s="163"/>
      <c r="C2277" s="164" t="s">
        <v>10427</v>
      </c>
      <c r="D2277" s="146" t="s">
        <v>4692</v>
      </c>
      <c r="E2277" s="164" t="s">
        <v>10427</v>
      </c>
      <c r="F2277" s="165">
        <v>2052.2399999999998</v>
      </c>
      <c r="G2277" s="166">
        <v>2052.2399999999998</v>
      </c>
      <c r="H2277" s="166">
        <v>0</v>
      </c>
      <c r="I2277" s="166">
        <v>2052.2399999999998</v>
      </c>
      <c r="J2277" s="165">
        <f>J2278+J2282</f>
        <v>151.16999999999999</v>
      </c>
      <c r="K2277" s="165">
        <f>K2278+K2282</f>
        <v>0</v>
      </c>
      <c r="L2277" s="165">
        <f t="shared" si="1969"/>
        <v>151.16999999999999</v>
      </c>
      <c r="M2277" s="165">
        <v>303.12</v>
      </c>
      <c r="N2277" s="165">
        <v>0</v>
      </c>
      <c r="O2277" s="167">
        <v>303.12</v>
      </c>
      <c r="P2277" s="232">
        <f t="shared" ref="P2277:R2277" si="2010">P2278+P2282</f>
        <v>419.45</v>
      </c>
      <c r="Q2277" s="232">
        <f t="shared" si="2010"/>
        <v>0</v>
      </c>
      <c r="R2277" s="232">
        <f t="shared" si="2010"/>
        <v>419.45</v>
      </c>
      <c r="S2277" s="150">
        <f t="shared" si="1912"/>
        <v>559.26666666666665</v>
      </c>
      <c r="T2277" s="213"/>
      <c r="U2277" s="232">
        <f t="shared" ref="U2277:W2277" si="2011">U2278+U2282</f>
        <v>466.32</v>
      </c>
      <c r="V2277" s="233">
        <f t="shared" si="2011"/>
        <v>0</v>
      </c>
      <c r="W2277" s="232">
        <f t="shared" si="2011"/>
        <v>466.32</v>
      </c>
      <c r="X2277" s="232">
        <v>466.32</v>
      </c>
      <c r="Y2277" s="232">
        <v>0</v>
      </c>
      <c r="Z2277" s="232">
        <v>466.32</v>
      </c>
      <c r="AA2277" s="232">
        <f t="shared" si="1950"/>
        <v>0</v>
      </c>
      <c r="AB2277" s="232">
        <v>466.32</v>
      </c>
      <c r="AC2277" s="233">
        <v>0</v>
      </c>
      <c r="AD2277" s="232">
        <f t="shared" ref="AD2277" si="2012">AD2278+AD2282</f>
        <v>466.32</v>
      </c>
      <c r="AE2277" s="232">
        <v>466.32</v>
      </c>
      <c r="AF2277" s="169" t="s">
        <v>4680</v>
      </c>
      <c r="AG2277" s="234">
        <v>466.32</v>
      </c>
      <c r="AH2277" s="233">
        <v>0</v>
      </c>
      <c r="AI2277" s="232">
        <v>466.32</v>
      </c>
      <c r="AJ2277" s="169">
        <f t="shared" si="1951"/>
        <v>0</v>
      </c>
      <c r="AK2277" s="234">
        <v>466.32</v>
      </c>
      <c r="AL2277" s="233">
        <v>0</v>
      </c>
      <c r="AM2277" s="232">
        <f t="shared" ref="AM2277" si="2013">AM2278+AM2282</f>
        <v>466.32</v>
      </c>
      <c r="AN2277" s="153">
        <f t="shared" si="1952"/>
        <v>0</v>
      </c>
      <c r="AO2277" s="154">
        <f t="shared" si="1953"/>
        <v>0</v>
      </c>
      <c r="AP2277" s="232">
        <v>466.32</v>
      </c>
      <c r="AQ2277" s="234">
        <v>466.32</v>
      </c>
      <c r="AR2277" s="233">
        <f t="shared" ref="AR2277:AS2277" si="2014">AR2278+AR2282</f>
        <v>0</v>
      </c>
      <c r="AS2277" s="232">
        <f t="shared" si="2014"/>
        <v>466.32</v>
      </c>
      <c r="AT2277" s="155"/>
      <c r="AU2277" s="156">
        <f t="shared" si="1948"/>
        <v>0</v>
      </c>
      <c r="AV2277" s="156">
        <f t="shared" si="1949"/>
        <v>0</v>
      </c>
      <c r="AW2277" s="157"/>
      <c r="AX2277" s="150">
        <v>466.32</v>
      </c>
      <c r="AY2277" s="232">
        <f t="shared" ref="AY2277:BA2277" si="2015">AY2278+AY2282</f>
        <v>366.07</v>
      </c>
      <c r="AZ2277" s="232">
        <f t="shared" si="2015"/>
        <v>0</v>
      </c>
      <c r="BA2277" s="232">
        <f t="shared" si="2015"/>
        <v>366.07</v>
      </c>
      <c r="BB2277" s="171">
        <v>6</v>
      </c>
      <c r="BC2277" s="162" t="s">
        <v>693</v>
      </c>
      <c r="BD2277" s="162" t="s">
        <v>630</v>
      </c>
      <c r="BE2277" s="162" t="s">
        <v>630</v>
      </c>
      <c r="BF2277" s="162" t="s">
        <v>630</v>
      </c>
      <c r="BG2277" s="164" t="s">
        <v>10427</v>
      </c>
      <c r="BH2277" s="235">
        <f>BH2278+BH2282</f>
        <v>466.32</v>
      </c>
      <c r="BI2277" s="171"/>
      <c r="BJ2277" s="162" t="s">
        <v>10428</v>
      </c>
      <c r="BK2277" s="162" t="s">
        <v>10426</v>
      </c>
      <c r="BL2277" s="172" t="s">
        <v>10429</v>
      </c>
      <c r="BM2277" s="349">
        <f>BM2278+BM2282</f>
        <v>466.32</v>
      </c>
      <c r="BN2277" s="160"/>
      <c r="BO2277" s="161">
        <f t="shared" si="1918"/>
        <v>0</v>
      </c>
      <c r="BP2277" s="161"/>
    </row>
    <row r="2278" spans="1:68">
      <c r="A2278" s="173" t="s">
        <v>10430</v>
      </c>
      <c r="B2278" s="174"/>
      <c r="C2278" s="175" t="s">
        <v>10431</v>
      </c>
      <c r="D2278" s="146" t="s">
        <v>4692</v>
      </c>
      <c r="E2278" s="175" t="s">
        <v>10431</v>
      </c>
      <c r="F2278" s="176">
        <v>2052.2399999999998</v>
      </c>
      <c r="G2278" s="177">
        <v>2052.2399999999998</v>
      </c>
      <c r="H2278" s="177">
        <v>0</v>
      </c>
      <c r="I2278" s="177">
        <v>2052.2399999999998</v>
      </c>
      <c r="J2278" s="176">
        <f>J2279</f>
        <v>151.16999999999999</v>
      </c>
      <c r="K2278" s="176">
        <f>K2279</f>
        <v>0</v>
      </c>
      <c r="L2278" s="176">
        <f t="shared" si="1969"/>
        <v>151.16999999999999</v>
      </c>
      <c r="M2278" s="176">
        <v>303.12</v>
      </c>
      <c r="N2278" s="176">
        <v>0</v>
      </c>
      <c r="O2278" s="178">
        <v>303.12</v>
      </c>
      <c r="P2278" s="221">
        <f t="shared" ref="P2278:AS2278" si="2016">P2279</f>
        <v>419.45</v>
      </c>
      <c r="Q2278" s="221">
        <f t="shared" si="2016"/>
        <v>0</v>
      </c>
      <c r="R2278" s="221">
        <f t="shared" si="2016"/>
        <v>419.45</v>
      </c>
      <c r="S2278" s="150">
        <f t="shared" si="1912"/>
        <v>559.26666666666665</v>
      </c>
      <c r="T2278" s="213"/>
      <c r="U2278" s="221">
        <f t="shared" ref="U2278:W2278" si="2017">U2279</f>
        <v>466.32</v>
      </c>
      <c r="V2278" s="222">
        <f t="shared" si="2017"/>
        <v>0</v>
      </c>
      <c r="W2278" s="221">
        <f t="shared" si="2017"/>
        <v>466.32</v>
      </c>
      <c r="X2278" s="221">
        <v>466.32</v>
      </c>
      <c r="Y2278" s="221">
        <v>0</v>
      </c>
      <c r="Z2278" s="221">
        <v>466.32</v>
      </c>
      <c r="AA2278" s="221">
        <f t="shared" si="1950"/>
        <v>0</v>
      </c>
      <c r="AB2278" s="221">
        <v>466.32</v>
      </c>
      <c r="AC2278" s="222">
        <v>0</v>
      </c>
      <c r="AD2278" s="221">
        <f t="shared" si="2016"/>
        <v>466.32</v>
      </c>
      <c r="AE2278" s="221">
        <v>466.32</v>
      </c>
      <c r="AF2278" s="169" t="s">
        <v>4680</v>
      </c>
      <c r="AG2278" s="223">
        <v>466.32</v>
      </c>
      <c r="AH2278" s="222">
        <v>0</v>
      </c>
      <c r="AI2278" s="221">
        <v>466.32</v>
      </c>
      <c r="AJ2278" s="169">
        <f t="shared" si="1951"/>
        <v>0</v>
      </c>
      <c r="AK2278" s="223">
        <v>466.32</v>
      </c>
      <c r="AL2278" s="222">
        <v>0</v>
      </c>
      <c r="AM2278" s="221">
        <f t="shared" si="2016"/>
        <v>466.32</v>
      </c>
      <c r="AN2278" s="153">
        <f t="shared" si="1952"/>
        <v>0</v>
      </c>
      <c r="AO2278" s="154">
        <f t="shared" si="1953"/>
        <v>0</v>
      </c>
      <c r="AP2278" s="221">
        <v>466.32</v>
      </c>
      <c r="AQ2278" s="223">
        <v>466.32</v>
      </c>
      <c r="AR2278" s="222">
        <f t="shared" si="2016"/>
        <v>0</v>
      </c>
      <c r="AS2278" s="221">
        <f t="shared" si="2016"/>
        <v>466.32</v>
      </c>
      <c r="AT2278" s="155"/>
      <c r="AU2278" s="156">
        <f t="shared" si="1948"/>
        <v>0</v>
      </c>
      <c r="AV2278" s="156">
        <f t="shared" si="1949"/>
        <v>0</v>
      </c>
      <c r="AW2278" s="157"/>
      <c r="AX2278" s="150">
        <v>466.32</v>
      </c>
      <c r="AY2278" s="221">
        <f t="shared" ref="AY2278:BA2278" si="2018">AY2279</f>
        <v>366.07</v>
      </c>
      <c r="AZ2278" s="221">
        <f t="shared" si="2018"/>
        <v>0</v>
      </c>
      <c r="BA2278" s="221">
        <f t="shared" si="2018"/>
        <v>366.07</v>
      </c>
      <c r="BB2278" s="181">
        <v>6</v>
      </c>
      <c r="BC2278" s="173" t="s">
        <v>693</v>
      </c>
      <c r="BD2278" s="173" t="s">
        <v>632</v>
      </c>
      <c r="BE2278" s="173" t="s">
        <v>630</v>
      </c>
      <c r="BF2278" s="173" t="s">
        <v>630</v>
      </c>
      <c r="BG2278" s="175" t="s">
        <v>10431</v>
      </c>
      <c r="BH2278" s="224">
        <f>BH2279</f>
        <v>466.32</v>
      </c>
      <c r="BI2278" s="181"/>
      <c r="BJ2278" s="173" t="s">
        <v>10432</v>
      </c>
      <c r="BK2278" s="173" t="s">
        <v>10430</v>
      </c>
      <c r="BL2278" s="182" t="s">
        <v>10433</v>
      </c>
      <c r="BM2278" s="337">
        <f>BM2279</f>
        <v>466.32</v>
      </c>
      <c r="BN2278" s="160"/>
      <c r="BO2278" s="161">
        <f t="shared" si="1918"/>
        <v>0</v>
      </c>
      <c r="BP2278" s="161"/>
    </row>
    <row r="2279" spans="1:68">
      <c r="A2279" s="183" t="s">
        <v>10430</v>
      </c>
      <c r="B2279" s="184"/>
      <c r="C2279" s="185" t="s">
        <v>10431</v>
      </c>
      <c r="D2279" s="146" t="s">
        <v>4692</v>
      </c>
      <c r="E2279" s="185" t="s">
        <v>10431</v>
      </c>
      <c r="F2279" s="188">
        <v>2052.2399999999998</v>
      </c>
      <c r="G2279" s="187">
        <v>0</v>
      </c>
      <c r="H2279" s="187"/>
      <c r="I2279" s="187">
        <v>0</v>
      </c>
      <c r="J2279" s="188">
        <f>SUM(J2280:J2281)</f>
        <v>151.16999999999999</v>
      </c>
      <c r="K2279" s="188">
        <f>SUM(K2280:K2281)</f>
        <v>0</v>
      </c>
      <c r="L2279" s="188">
        <f t="shared" si="1969"/>
        <v>151.16999999999999</v>
      </c>
      <c r="M2279" s="188">
        <v>303.12</v>
      </c>
      <c r="N2279" s="188">
        <v>0</v>
      </c>
      <c r="O2279" s="188">
        <v>303.12</v>
      </c>
      <c r="P2279" s="299">
        <f t="shared" ref="P2279:R2279" si="2019">SUM(P2280:P2281)</f>
        <v>419.45</v>
      </c>
      <c r="Q2279" s="299">
        <f t="shared" si="2019"/>
        <v>0</v>
      </c>
      <c r="R2279" s="299">
        <f t="shared" si="2019"/>
        <v>419.45</v>
      </c>
      <c r="S2279" s="150">
        <f t="shared" si="1912"/>
        <v>559.26666666666665</v>
      </c>
      <c r="T2279" s="213"/>
      <c r="U2279" s="299">
        <f t="shared" ref="U2279:W2279" si="2020">SUM(U2280:U2281)</f>
        <v>466.32</v>
      </c>
      <c r="V2279" s="226">
        <f t="shared" si="2020"/>
        <v>0</v>
      </c>
      <c r="W2279" s="299">
        <f t="shared" si="2020"/>
        <v>466.32</v>
      </c>
      <c r="X2279" s="299">
        <v>466.32</v>
      </c>
      <c r="Y2279" s="299">
        <v>0</v>
      </c>
      <c r="Z2279" s="299">
        <v>466.32</v>
      </c>
      <c r="AA2279" s="299">
        <f t="shared" si="1950"/>
        <v>0</v>
      </c>
      <c r="AB2279" s="299">
        <v>466.32</v>
      </c>
      <c r="AC2279" s="226">
        <v>0</v>
      </c>
      <c r="AD2279" s="299">
        <f t="shared" ref="AD2279" si="2021">SUM(AD2280:AD2281)</f>
        <v>466.32</v>
      </c>
      <c r="AE2279" s="299">
        <v>466.32</v>
      </c>
      <c r="AF2279" s="169" t="s">
        <v>4680</v>
      </c>
      <c r="AG2279" s="301">
        <v>466.32</v>
      </c>
      <c r="AH2279" s="226">
        <v>0</v>
      </c>
      <c r="AI2279" s="299">
        <v>466.32</v>
      </c>
      <c r="AJ2279" s="169">
        <f t="shared" si="1951"/>
        <v>0</v>
      </c>
      <c r="AK2279" s="301">
        <v>466.32</v>
      </c>
      <c r="AL2279" s="226">
        <v>0</v>
      </c>
      <c r="AM2279" s="299">
        <f t="shared" ref="AM2279" si="2022">SUM(AM2280:AM2281)</f>
        <v>466.32</v>
      </c>
      <c r="AN2279" s="153">
        <f t="shared" si="1952"/>
        <v>0</v>
      </c>
      <c r="AO2279" s="154">
        <f t="shared" si="1953"/>
        <v>0</v>
      </c>
      <c r="AP2279" s="299">
        <v>466.32</v>
      </c>
      <c r="AQ2279" s="301">
        <v>466.32</v>
      </c>
      <c r="AR2279" s="226">
        <f t="shared" ref="AR2279:AS2279" si="2023">SUM(AR2280:AR2281)</f>
        <v>0</v>
      </c>
      <c r="AS2279" s="299">
        <f t="shared" si="2023"/>
        <v>466.32</v>
      </c>
      <c r="AT2279" s="155"/>
      <c r="AU2279" s="156">
        <f t="shared" si="1948"/>
        <v>0</v>
      </c>
      <c r="AV2279" s="156">
        <f t="shared" si="1949"/>
        <v>0</v>
      </c>
      <c r="AW2279" s="157"/>
      <c r="AX2279" s="150">
        <v>466.32</v>
      </c>
      <c r="AY2279" s="299">
        <f t="shared" ref="AY2279:BA2279" si="2024">SUM(AY2280:AY2281)</f>
        <v>366.07</v>
      </c>
      <c r="AZ2279" s="299">
        <f t="shared" si="2024"/>
        <v>0</v>
      </c>
      <c r="BA2279" s="299">
        <f t="shared" si="2024"/>
        <v>366.07</v>
      </c>
      <c r="BB2279" s="191">
        <v>6</v>
      </c>
      <c r="BC2279" s="183" t="s">
        <v>693</v>
      </c>
      <c r="BD2279" s="183" t="s">
        <v>632</v>
      </c>
      <c r="BE2279" s="183" t="s">
        <v>632</v>
      </c>
      <c r="BF2279" s="183" t="s">
        <v>630</v>
      </c>
      <c r="BG2279" s="185" t="s">
        <v>10431</v>
      </c>
      <c r="BH2279" s="215">
        <f>BH2280</f>
        <v>466.32</v>
      </c>
      <c r="BI2279" s="191"/>
      <c r="BJ2279" s="183" t="s">
        <v>10432</v>
      </c>
      <c r="BK2279" s="183" t="s">
        <v>10430</v>
      </c>
      <c r="BL2279" s="238" t="s">
        <v>10433</v>
      </c>
      <c r="BM2279" s="338">
        <f>BM2280</f>
        <v>466.32</v>
      </c>
      <c r="BN2279" s="160"/>
      <c r="BO2279" s="161">
        <f t="shared" si="1918"/>
        <v>0</v>
      </c>
      <c r="BP2279" s="161"/>
    </row>
    <row r="2280" spans="1:68">
      <c r="A2280" s="194" t="s">
        <v>10430</v>
      </c>
      <c r="B2280" s="195" t="s">
        <v>10434</v>
      </c>
      <c r="C2280" s="196" t="s">
        <v>10435</v>
      </c>
      <c r="D2280" s="146" t="s">
        <v>4692</v>
      </c>
      <c r="E2280" s="377" t="s">
        <v>10435</v>
      </c>
      <c r="F2280" s="150">
        <v>0</v>
      </c>
      <c r="G2280" s="209">
        <v>2052.2399999999998</v>
      </c>
      <c r="H2280" s="209"/>
      <c r="I2280" s="209">
        <v>2052.2399999999998</v>
      </c>
      <c r="J2280" s="150">
        <v>0</v>
      </c>
      <c r="K2280" s="150">
        <v>0</v>
      </c>
      <c r="L2280" s="150">
        <f t="shared" si="1969"/>
        <v>0</v>
      </c>
      <c r="M2280" s="150">
        <v>0</v>
      </c>
      <c r="N2280" s="150"/>
      <c r="O2280" s="150">
        <v>0</v>
      </c>
      <c r="P2280" s="150">
        <v>0</v>
      </c>
      <c r="Q2280" s="150">
        <v>0</v>
      </c>
      <c r="R2280" s="150">
        <f>P2280+Q2280</f>
        <v>0</v>
      </c>
      <c r="S2280" s="150">
        <f t="shared" si="1912"/>
        <v>0</v>
      </c>
      <c r="T2280" s="150"/>
      <c r="U2280" s="150">
        <v>0</v>
      </c>
      <c r="V2280" s="199"/>
      <c r="W2280" s="150">
        <f>U2280+V2280</f>
        <v>0</v>
      </c>
      <c r="X2280" s="150">
        <v>0</v>
      </c>
      <c r="Y2280" s="150"/>
      <c r="Z2280" s="150">
        <v>0</v>
      </c>
      <c r="AA2280" s="150">
        <f t="shared" si="1950"/>
        <v>0</v>
      </c>
      <c r="AB2280" s="150">
        <v>0</v>
      </c>
      <c r="AC2280" s="199"/>
      <c r="AD2280" s="150">
        <f>AB2280+AC2280</f>
        <v>0</v>
      </c>
      <c r="AE2280" s="150">
        <v>0</v>
      </c>
      <c r="AF2280" s="169" t="s">
        <v>4680</v>
      </c>
      <c r="AG2280" s="201">
        <v>0</v>
      </c>
      <c r="AH2280" s="199"/>
      <c r="AI2280" s="150">
        <v>0</v>
      </c>
      <c r="AJ2280" s="169">
        <f t="shared" si="1951"/>
        <v>0</v>
      </c>
      <c r="AK2280" s="201">
        <v>0</v>
      </c>
      <c r="AL2280" s="199"/>
      <c r="AM2280" s="150">
        <f>AK2280+AL2280</f>
        <v>0</v>
      </c>
      <c r="AN2280" s="153">
        <f t="shared" si="1952"/>
        <v>0</v>
      </c>
      <c r="AO2280" s="154">
        <f t="shared" si="1953"/>
        <v>0</v>
      </c>
      <c r="AP2280" s="150">
        <v>0</v>
      </c>
      <c r="AQ2280" s="201">
        <v>0</v>
      </c>
      <c r="AR2280" s="199"/>
      <c r="AS2280" s="150">
        <f>AQ2280+AR2280</f>
        <v>0</v>
      </c>
      <c r="AT2280" s="155"/>
      <c r="AU2280" s="156">
        <f t="shared" si="1948"/>
        <v>0</v>
      </c>
      <c r="AV2280" s="156">
        <f t="shared" si="1949"/>
        <v>0</v>
      </c>
      <c r="AW2280" s="157"/>
      <c r="AX2280" s="150">
        <v>0</v>
      </c>
      <c r="AY2280" s="150">
        <v>0</v>
      </c>
      <c r="AZ2280" s="150"/>
      <c r="BA2280" s="150">
        <f t="shared" si="2009"/>
        <v>0</v>
      </c>
      <c r="BB2280" s="202">
        <v>6</v>
      </c>
      <c r="BC2280" s="202" t="s">
        <v>693</v>
      </c>
      <c r="BD2280" s="202" t="s">
        <v>632</v>
      </c>
      <c r="BE2280" s="202" t="s">
        <v>632</v>
      </c>
      <c r="BF2280" s="202" t="s">
        <v>632</v>
      </c>
      <c r="BG2280" s="203" t="s">
        <v>10431</v>
      </c>
      <c r="BH2280" s="216">
        <f>SUM(AS2280:AS2281)</f>
        <v>466.32</v>
      </c>
      <c r="BI2280" s="202"/>
      <c r="BJ2280" s="194" t="s">
        <v>10432</v>
      </c>
      <c r="BK2280" s="194" t="s">
        <v>10430</v>
      </c>
      <c r="BL2280" s="207" t="s">
        <v>10433</v>
      </c>
      <c r="BM2280" s="208">
        <f>BH2280</f>
        <v>466.32</v>
      </c>
      <c r="BN2280" s="160"/>
      <c r="BO2280" s="161"/>
      <c r="BP2280" s="161"/>
    </row>
    <row r="2281" spans="1:68">
      <c r="A2281" s="210"/>
      <c r="B2281" s="195" t="s">
        <v>10436</v>
      </c>
      <c r="C2281" s="196" t="s">
        <v>10437</v>
      </c>
      <c r="D2281" s="146" t="s">
        <v>4692</v>
      </c>
      <c r="E2281" s="377" t="s">
        <v>10437</v>
      </c>
      <c r="F2281" s="150">
        <v>2052.2399999999998</v>
      </c>
      <c r="G2281" s="209">
        <v>0</v>
      </c>
      <c r="H2281" s="209">
        <v>0</v>
      </c>
      <c r="I2281" s="209">
        <v>0</v>
      </c>
      <c r="J2281" s="150">
        <v>151.16999999999999</v>
      </c>
      <c r="K2281" s="150">
        <v>0</v>
      </c>
      <c r="L2281" s="150">
        <f t="shared" si="1969"/>
        <v>151.16999999999999</v>
      </c>
      <c r="M2281" s="150">
        <v>303.12</v>
      </c>
      <c r="N2281" s="150"/>
      <c r="O2281" s="150">
        <v>303.12</v>
      </c>
      <c r="P2281" s="150">
        <v>419.45</v>
      </c>
      <c r="Q2281" s="150">
        <v>0</v>
      </c>
      <c r="R2281" s="150">
        <f>P2281+Q2281</f>
        <v>419.45</v>
      </c>
      <c r="S2281" s="150">
        <f t="shared" si="1912"/>
        <v>559.26666666666665</v>
      </c>
      <c r="T2281" s="150"/>
      <c r="U2281" s="150">
        <v>466.32</v>
      </c>
      <c r="V2281" s="199"/>
      <c r="W2281" s="150">
        <f>U2281+V2281</f>
        <v>466.32</v>
      </c>
      <c r="X2281" s="150">
        <v>466.32</v>
      </c>
      <c r="Y2281" s="150"/>
      <c r="Z2281" s="150">
        <v>466.32</v>
      </c>
      <c r="AA2281" s="150">
        <f t="shared" si="1950"/>
        <v>0</v>
      </c>
      <c r="AB2281" s="150">
        <v>466.32</v>
      </c>
      <c r="AC2281" s="199"/>
      <c r="AD2281" s="150">
        <f>AB2281+AC2281</f>
        <v>466.32</v>
      </c>
      <c r="AE2281" s="150">
        <v>466.32</v>
      </c>
      <c r="AF2281" s="169" t="s">
        <v>4680</v>
      </c>
      <c r="AG2281" s="201">
        <v>466.32</v>
      </c>
      <c r="AH2281" s="199"/>
      <c r="AI2281" s="150">
        <v>466.32</v>
      </c>
      <c r="AJ2281" s="169">
        <f t="shared" si="1951"/>
        <v>0</v>
      </c>
      <c r="AK2281" s="201">
        <v>466.32</v>
      </c>
      <c r="AL2281" s="199"/>
      <c r="AM2281" s="150">
        <f>AK2281+AL2281</f>
        <v>466.32</v>
      </c>
      <c r="AN2281" s="153">
        <f t="shared" si="1952"/>
        <v>0</v>
      </c>
      <c r="AO2281" s="154">
        <f t="shared" si="1953"/>
        <v>0</v>
      </c>
      <c r="AP2281" s="150">
        <v>466.32</v>
      </c>
      <c r="AQ2281" s="201">
        <v>466.32</v>
      </c>
      <c r="AR2281" s="199"/>
      <c r="AS2281" s="150">
        <f>AQ2281+AR2281</f>
        <v>466.32</v>
      </c>
      <c r="AT2281" s="155"/>
      <c r="AU2281" s="156">
        <f t="shared" si="1948"/>
        <v>0</v>
      </c>
      <c r="AV2281" s="156">
        <f t="shared" si="1949"/>
        <v>0</v>
      </c>
      <c r="AW2281" s="157"/>
      <c r="AX2281" s="150">
        <v>466.32</v>
      </c>
      <c r="AY2281" s="150">
        <v>366.07</v>
      </c>
      <c r="AZ2281" s="150"/>
      <c r="BA2281" s="150">
        <f t="shared" si="2009"/>
        <v>366.07</v>
      </c>
      <c r="BB2281" s="210"/>
      <c r="BC2281" s="210"/>
      <c r="BD2281" s="210"/>
      <c r="BE2281" s="210"/>
      <c r="BF2281" s="210"/>
      <c r="BG2281" s="210"/>
      <c r="BH2281" s="217"/>
      <c r="BI2281" s="210"/>
      <c r="BJ2281" s="210"/>
      <c r="BK2281" s="210"/>
      <c r="BL2281" s="210"/>
      <c r="BM2281" s="208"/>
      <c r="BN2281" s="160"/>
      <c r="BO2281" s="161"/>
      <c r="BP2281" s="161"/>
    </row>
    <row r="2282" spans="1:68">
      <c r="A2282" s="173" t="s">
        <v>10438</v>
      </c>
      <c r="B2282" s="174"/>
      <c r="C2282" s="175" t="s">
        <v>10439</v>
      </c>
      <c r="D2282" s="146" t="s">
        <v>4692</v>
      </c>
      <c r="E2282" s="175" t="s">
        <v>10439</v>
      </c>
      <c r="F2282" s="176">
        <v>0</v>
      </c>
      <c r="G2282" s="177">
        <v>0</v>
      </c>
      <c r="H2282" s="177">
        <v>0</v>
      </c>
      <c r="I2282" s="177">
        <v>0</v>
      </c>
      <c r="J2282" s="176">
        <f>J2283</f>
        <v>0</v>
      </c>
      <c r="K2282" s="176">
        <f>K2283</f>
        <v>0</v>
      </c>
      <c r="L2282" s="176">
        <f t="shared" si="1969"/>
        <v>0</v>
      </c>
      <c r="M2282" s="176">
        <v>0</v>
      </c>
      <c r="N2282" s="176">
        <v>0</v>
      </c>
      <c r="O2282" s="178">
        <v>0</v>
      </c>
      <c r="P2282" s="221">
        <f t="shared" ref="P2282:AM2283" si="2025">P2283</f>
        <v>0</v>
      </c>
      <c r="Q2282" s="221">
        <f t="shared" si="2025"/>
        <v>0</v>
      </c>
      <c r="R2282" s="221">
        <f t="shared" si="2025"/>
        <v>0</v>
      </c>
      <c r="S2282" s="150">
        <f t="shared" si="1912"/>
        <v>0</v>
      </c>
      <c r="T2282" s="213"/>
      <c r="U2282" s="221">
        <f t="shared" ref="U2282:W2283" si="2026">U2283</f>
        <v>0</v>
      </c>
      <c r="V2282" s="222">
        <f t="shared" si="2026"/>
        <v>0</v>
      </c>
      <c r="W2282" s="221">
        <f t="shared" si="2026"/>
        <v>0</v>
      </c>
      <c r="X2282" s="221">
        <v>0</v>
      </c>
      <c r="Y2282" s="221">
        <v>0</v>
      </c>
      <c r="Z2282" s="221">
        <v>0</v>
      </c>
      <c r="AA2282" s="221">
        <f t="shared" si="1950"/>
        <v>0</v>
      </c>
      <c r="AB2282" s="221">
        <v>0</v>
      </c>
      <c r="AC2282" s="222">
        <v>0</v>
      </c>
      <c r="AD2282" s="221">
        <f t="shared" si="2025"/>
        <v>0</v>
      </c>
      <c r="AE2282" s="221">
        <v>0</v>
      </c>
      <c r="AF2282" s="169" t="s">
        <v>4680</v>
      </c>
      <c r="AG2282" s="223">
        <v>0</v>
      </c>
      <c r="AH2282" s="222">
        <v>0</v>
      </c>
      <c r="AI2282" s="221">
        <v>0</v>
      </c>
      <c r="AJ2282" s="169">
        <f t="shared" si="1951"/>
        <v>0</v>
      </c>
      <c r="AK2282" s="223">
        <v>0</v>
      </c>
      <c r="AL2282" s="222">
        <v>0</v>
      </c>
      <c r="AM2282" s="221">
        <f t="shared" si="2025"/>
        <v>0</v>
      </c>
      <c r="AN2282" s="153">
        <f t="shared" si="1952"/>
        <v>0</v>
      </c>
      <c r="AO2282" s="154">
        <f t="shared" si="1953"/>
        <v>0</v>
      </c>
      <c r="AP2282" s="221">
        <v>0</v>
      </c>
      <c r="AQ2282" s="223">
        <v>0</v>
      </c>
      <c r="AR2282" s="222">
        <f t="shared" ref="AR2282:AS2283" si="2027">AR2283</f>
        <v>0</v>
      </c>
      <c r="AS2282" s="221">
        <f t="shared" si="2027"/>
        <v>0</v>
      </c>
      <c r="AT2282" s="155"/>
      <c r="AU2282" s="156">
        <f t="shared" si="1948"/>
        <v>0</v>
      </c>
      <c r="AV2282" s="156">
        <f t="shared" si="1949"/>
        <v>0</v>
      </c>
      <c r="AW2282" s="157"/>
      <c r="AX2282" s="150">
        <v>0</v>
      </c>
      <c r="AY2282" s="221">
        <f t="shared" ref="AY2282:BA2283" si="2028">AY2283</f>
        <v>0</v>
      </c>
      <c r="AZ2282" s="221">
        <f t="shared" si="2028"/>
        <v>0</v>
      </c>
      <c r="BA2282" s="221">
        <f t="shared" si="2028"/>
        <v>0</v>
      </c>
      <c r="BB2282" s="181">
        <v>6</v>
      </c>
      <c r="BC2282" s="173" t="s">
        <v>693</v>
      </c>
      <c r="BD2282" s="173" t="s">
        <v>647</v>
      </c>
      <c r="BE2282" s="173" t="s">
        <v>630</v>
      </c>
      <c r="BF2282" s="173" t="s">
        <v>630</v>
      </c>
      <c r="BG2282" s="175" t="s">
        <v>10439</v>
      </c>
      <c r="BH2282" s="224">
        <f>BH2283</f>
        <v>0</v>
      </c>
      <c r="BI2282" s="181"/>
      <c r="BJ2282" s="173" t="s">
        <v>10440</v>
      </c>
      <c r="BK2282" s="173" t="s">
        <v>10438</v>
      </c>
      <c r="BL2282" s="182" t="s">
        <v>10441</v>
      </c>
      <c r="BM2282" s="337">
        <f>BM2283</f>
        <v>0</v>
      </c>
      <c r="BN2282" s="160"/>
      <c r="BO2282" s="161">
        <f t="shared" si="1918"/>
        <v>0</v>
      </c>
      <c r="BP2282" s="161"/>
    </row>
    <row r="2283" spans="1:68">
      <c r="A2283" s="183" t="s">
        <v>10438</v>
      </c>
      <c r="B2283" s="184"/>
      <c r="C2283" s="185" t="s">
        <v>10439</v>
      </c>
      <c r="D2283" s="146" t="s">
        <v>4692</v>
      </c>
      <c r="E2283" s="185" t="s">
        <v>10439</v>
      </c>
      <c r="F2283" s="188">
        <v>0</v>
      </c>
      <c r="G2283" s="187">
        <v>0</v>
      </c>
      <c r="H2283" s="187"/>
      <c r="I2283" s="187">
        <v>0</v>
      </c>
      <c r="J2283" s="188">
        <f>J2284</f>
        <v>0</v>
      </c>
      <c r="K2283" s="188">
        <f>K2284</f>
        <v>0</v>
      </c>
      <c r="L2283" s="188">
        <f t="shared" si="1969"/>
        <v>0</v>
      </c>
      <c r="M2283" s="188">
        <v>0</v>
      </c>
      <c r="N2283" s="188">
        <v>0</v>
      </c>
      <c r="O2283" s="188">
        <v>0</v>
      </c>
      <c r="P2283" s="299">
        <f t="shared" si="2025"/>
        <v>0</v>
      </c>
      <c r="Q2283" s="299">
        <f t="shared" si="2025"/>
        <v>0</v>
      </c>
      <c r="R2283" s="299">
        <f t="shared" si="2025"/>
        <v>0</v>
      </c>
      <c r="S2283" s="150">
        <f t="shared" si="1912"/>
        <v>0</v>
      </c>
      <c r="T2283" s="213"/>
      <c r="U2283" s="299">
        <f t="shared" si="2026"/>
        <v>0</v>
      </c>
      <c r="V2283" s="226">
        <f t="shared" si="2026"/>
        <v>0</v>
      </c>
      <c r="W2283" s="299">
        <f t="shared" si="2026"/>
        <v>0</v>
      </c>
      <c r="X2283" s="299">
        <v>0</v>
      </c>
      <c r="Y2283" s="299">
        <v>0</v>
      </c>
      <c r="Z2283" s="299">
        <v>0</v>
      </c>
      <c r="AA2283" s="299">
        <f t="shared" si="1950"/>
        <v>0</v>
      </c>
      <c r="AB2283" s="299">
        <v>0</v>
      </c>
      <c r="AC2283" s="226">
        <v>0</v>
      </c>
      <c r="AD2283" s="299">
        <f t="shared" si="2025"/>
        <v>0</v>
      </c>
      <c r="AE2283" s="299">
        <v>0</v>
      </c>
      <c r="AF2283" s="169" t="s">
        <v>4680</v>
      </c>
      <c r="AG2283" s="301">
        <v>0</v>
      </c>
      <c r="AH2283" s="226">
        <v>0</v>
      </c>
      <c r="AI2283" s="299">
        <v>0</v>
      </c>
      <c r="AJ2283" s="169">
        <f t="shared" si="1951"/>
        <v>0</v>
      </c>
      <c r="AK2283" s="301">
        <v>0</v>
      </c>
      <c r="AL2283" s="226">
        <v>0</v>
      </c>
      <c r="AM2283" s="299">
        <f t="shared" si="2025"/>
        <v>0</v>
      </c>
      <c r="AN2283" s="153">
        <f t="shared" si="1952"/>
        <v>0</v>
      </c>
      <c r="AO2283" s="154">
        <f t="shared" si="1953"/>
        <v>0</v>
      </c>
      <c r="AP2283" s="299">
        <v>0</v>
      </c>
      <c r="AQ2283" s="301">
        <v>0</v>
      </c>
      <c r="AR2283" s="226">
        <f t="shared" si="2027"/>
        <v>0</v>
      </c>
      <c r="AS2283" s="299">
        <f t="shared" si="2027"/>
        <v>0</v>
      </c>
      <c r="AT2283" s="155"/>
      <c r="AU2283" s="156">
        <f t="shared" si="1948"/>
        <v>0</v>
      </c>
      <c r="AV2283" s="156">
        <f t="shared" si="1949"/>
        <v>0</v>
      </c>
      <c r="AW2283" s="157"/>
      <c r="AX2283" s="150">
        <v>0</v>
      </c>
      <c r="AY2283" s="299">
        <f t="shared" si="2028"/>
        <v>0</v>
      </c>
      <c r="AZ2283" s="299">
        <f t="shared" si="2028"/>
        <v>0</v>
      </c>
      <c r="BA2283" s="299">
        <f t="shared" si="2028"/>
        <v>0</v>
      </c>
      <c r="BB2283" s="191">
        <v>6</v>
      </c>
      <c r="BC2283" s="183" t="s">
        <v>693</v>
      </c>
      <c r="BD2283" s="183" t="s">
        <v>647</v>
      </c>
      <c r="BE2283" s="183" t="s">
        <v>632</v>
      </c>
      <c r="BF2283" s="183" t="s">
        <v>630</v>
      </c>
      <c r="BG2283" s="185" t="s">
        <v>10439</v>
      </c>
      <c r="BH2283" s="215">
        <f>BH2284</f>
        <v>0</v>
      </c>
      <c r="BI2283" s="191"/>
      <c r="BJ2283" s="183" t="s">
        <v>10440</v>
      </c>
      <c r="BK2283" s="183" t="s">
        <v>10438</v>
      </c>
      <c r="BL2283" s="238" t="s">
        <v>10441</v>
      </c>
      <c r="BM2283" s="338">
        <f>BM2284</f>
        <v>0</v>
      </c>
      <c r="BN2283" s="160"/>
      <c r="BO2283" s="161">
        <f t="shared" si="1918"/>
        <v>0</v>
      </c>
      <c r="BP2283" s="161"/>
    </row>
    <row r="2284" spans="1:68">
      <c r="A2284" s="194" t="s">
        <v>10438</v>
      </c>
      <c r="B2284" s="195" t="s">
        <v>10442</v>
      </c>
      <c r="C2284" s="196" t="s">
        <v>10443</v>
      </c>
      <c r="D2284" s="146" t="s">
        <v>4692</v>
      </c>
      <c r="E2284" s="377" t="s">
        <v>10443</v>
      </c>
      <c r="F2284" s="150">
        <v>0</v>
      </c>
      <c r="G2284" s="209">
        <v>0</v>
      </c>
      <c r="H2284" s="209">
        <v>0</v>
      </c>
      <c r="I2284" s="209">
        <v>0</v>
      </c>
      <c r="J2284" s="150">
        <v>0</v>
      </c>
      <c r="K2284" s="150">
        <v>0</v>
      </c>
      <c r="L2284" s="150">
        <f t="shared" si="1969"/>
        <v>0</v>
      </c>
      <c r="M2284" s="150">
        <v>0</v>
      </c>
      <c r="N2284" s="150"/>
      <c r="O2284" s="150">
        <v>0</v>
      </c>
      <c r="P2284" s="150">
        <v>0</v>
      </c>
      <c r="Q2284" s="150">
        <v>0</v>
      </c>
      <c r="R2284" s="150">
        <f>P2284+Q2284</f>
        <v>0</v>
      </c>
      <c r="S2284" s="150">
        <f t="shared" si="1912"/>
        <v>0</v>
      </c>
      <c r="T2284" s="150"/>
      <c r="U2284" s="150">
        <v>0</v>
      </c>
      <c r="V2284" s="199"/>
      <c r="W2284" s="150">
        <f>U2284+V2284</f>
        <v>0</v>
      </c>
      <c r="X2284" s="150">
        <v>0</v>
      </c>
      <c r="Y2284" s="150"/>
      <c r="Z2284" s="150">
        <v>0</v>
      </c>
      <c r="AA2284" s="150">
        <f t="shared" si="1950"/>
        <v>0</v>
      </c>
      <c r="AB2284" s="150">
        <v>0</v>
      </c>
      <c r="AC2284" s="199"/>
      <c r="AD2284" s="150">
        <f>AB2284+AC2284</f>
        <v>0</v>
      </c>
      <c r="AE2284" s="150">
        <v>0</v>
      </c>
      <c r="AF2284" s="169" t="s">
        <v>4680</v>
      </c>
      <c r="AG2284" s="201">
        <v>0</v>
      </c>
      <c r="AH2284" s="199"/>
      <c r="AI2284" s="150">
        <v>0</v>
      </c>
      <c r="AJ2284" s="169">
        <f t="shared" si="1951"/>
        <v>0</v>
      </c>
      <c r="AK2284" s="201">
        <v>0</v>
      </c>
      <c r="AL2284" s="199"/>
      <c r="AM2284" s="150">
        <f>AK2284+AL2284</f>
        <v>0</v>
      </c>
      <c r="AN2284" s="153">
        <f t="shared" si="1952"/>
        <v>0</v>
      </c>
      <c r="AO2284" s="154">
        <f t="shared" si="1953"/>
        <v>0</v>
      </c>
      <c r="AP2284" s="150">
        <v>0</v>
      </c>
      <c r="AQ2284" s="201">
        <v>0</v>
      </c>
      <c r="AR2284" s="199"/>
      <c r="AS2284" s="150">
        <f>AQ2284+AR2284</f>
        <v>0</v>
      </c>
      <c r="AT2284" s="155"/>
      <c r="AU2284" s="156">
        <f t="shared" si="1948"/>
        <v>0</v>
      </c>
      <c r="AV2284" s="156">
        <f t="shared" si="1949"/>
        <v>0</v>
      </c>
      <c r="AW2284" s="157"/>
      <c r="AX2284" s="150">
        <v>0</v>
      </c>
      <c r="AY2284" s="150">
        <v>0</v>
      </c>
      <c r="AZ2284" s="150"/>
      <c r="BA2284" s="150">
        <f t="shared" si="2009"/>
        <v>0</v>
      </c>
      <c r="BB2284" s="202">
        <v>6</v>
      </c>
      <c r="BC2284" s="202" t="s">
        <v>693</v>
      </c>
      <c r="BD2284" s="202" t="s">
        <v>647</v>
      </c>
      <c r="BE2284" s="202" t="s">
        <v>632</v>
      </c>
      <c r="BF2284" s="202" t="s">
        <v>632</v>
      </c>
      <c r="BG2284" s="203" t="s">
        <v>10439</v>
      </c>
      <c r="BH2284" s="216">
        <f>AS2284</f>
        <v>0</v>
      </c>
      <c r="BI2284" s="202"/>
      <c r="BJ2284" s="194" t="s">
        <v>10440</v>
      </c>
      <c r="BK2284" s="194" t="s">
        <v>10438</v>
      </c>
      <c r="BL2284" s="207" t="s">
        <v>10441</v>
      </c>
      <c r="BM2284" s="208">
        <f>BH2284</f>
        <v>0</v>
      </c>
      <c r="BN2284" s="160"/>
      <c r="BO2284" s="161">
        <f t="shared" si="1918"/>
        <v>0</v>
      </c>
      <c r="BP2284" s="161"/>
    </row>
    <row r="2285" spans="1:68" ht="25.5">
      <c r="A2285" s="143" t="s">
        <v>3165</v>
      </c>
      <c r="B2285" s="144"/>
      <c r="C2285" s="145" t="s">
        <v>10444</v>
      </c>
      <c r="D2285" s="146" t="s">
        <v>4692</v>
      </c>
      <c r="E2285" s="145" t="s">
        <v>10444</v>
      </c>
      <c r="F2285" s="149">
        <v>0</v>
      </c>
      <c r="G2285" s="148">
        <v>0</v>
      </c>
      <c r="H2285" s="148">
        <v>0</v>
      </c>
      <c r="I2285" s="148">
        <v>0</v>
      </c>
      <c r="J2285" s="149">
        <f>J2286+J2292</f>
        <v>0</v>
      </c>
      <c r="K2285" s="149">
        <f>K2286+K2292</f>
        <v>0</v>
      </c>
      <c r="L2285" s="149">
        <f t="shared" si="1969"/>
        <v>0</v>
      </c>
      <c r="M2285" s="149">
        <v>0</v>
      </c>
      <c r="N2285" s="149">
        <v>0</v>
      </c>
      <c r="O2285" s="149">
        <v>0</v>
      </c>
      <c r="P2285" s="373">
        <f t="shared" ref="P2285:R2285" si="2029">P2286+P2292</f>
        <v>0</v>
      </c>
      <c r="Q2285" s="373">
        <f t="shared" si="2029"/>
        <v>0</v>
      </c>
      <c r="R2285" s="373">
        <f t="shared" si="2029"/>
        <v>0</v>
      </c>
      <c r="S2285" s="150">
        <f t="shared" si="1912"/>
        <v>0</v>
      </c>
      <c r="T2285" s="213"/>
      <c r="U2285" s="373">
        <f t="shared" ref="U2285:W2285" si="2030">U2286+U2292</f>
        <v>0</v>
      </c>
      <c r="V2285" s="290">
        <f t="shared" si="2030"/>
        <v>0</v>
      </c>
      <c r="W2285" s="373">
        <f t="shared" si="2030"/>
        <v>0</v>
      </c>
      <c r="X2285" s="373">
        <v>0</v>
      </c>
      <c r="Y2285" s="373">
        <v>0</v>
      </c>
      <c r="Z2285" s="373">
        <v>0</v>
      </c>
      <c r="AA2285" s="373">
        <f t="shared" si="1950"/>
        <v>0</v>
      </c>
      <c r="AB2285" s="373">
        <v>0</v>
      </c>
      <c r="AC2285" s="290">
        <v>0</v>
      </c>
      <c r="AD2285" s="373">
        <f t="shared" ref="AD2285" si="2031">AD2286+AD2292</f>
        <v>0</v>
      </c>
      <c r="AE2285" s="373">
        <v>0</v>
      </c>
      <c r="AF2285" s="169" t="s">
        <v>4680</v>
      </c>
      <c r="AG2285" s="374">
        <v>0</v>
      </c>
      <c r="AH2285" s="290">
        <v>0</v>
      </c>
      <c r="AI2285" s="373">
        <v>0</v>
      </c>
      <c r="AJ2285" s="169">
        <f t="shared" si="1951"/>
        <v>0</v>
      </c>
      <c r="AK2285" s="374">
        <v>0</v>
      </c>
      <c r="AL2285" s="290">
        <v>0</v>
      </c>
      <c r="AM2285" s="373">
        <f t="shared" ref="AM2285" si="2032">AM2286+AM2292</f>
        <v>0</v>
      </c>
      <c r="AN2285" s="153">
        <f t="shared" si="1952"/>
        <v>0</v>
      </c>
      <c r="AO2285" s="154">
        <f t="shared" si="1953"/>
        <v>0</v>
      </c>
      <c r="AP2285" s="373">
        <v>0</v>
      </c>
      <c r="AQ2285" s="374">
        <v>0</v>
      </c>
      <c r="AR2285" s="290">
        <f t="shared" ref="AR2285:AS2285" si="2033">AR2286+AR2292</f>
        <v>0</v>
      </c>
      <c r="AS2285" s="373">
        <f t="shared" si="2033"/>
        <v>0</v>
      </c>
      <c r="AT2285" s="155"/>
      <c r="AU2285" s="156">
        <f t="shared" si="1948"/>
        <v>0</v>
      </c>
      <c r="AV2285" s="156">
        <f t="shared" si="1949"/>
        <v>0</v>
      </c>
      <c r="AW2285" s="157"/>
      <c r="AX2285" s="150">
        <v>0</v>
      </c>
      <c r="AY2285" s="373">
        <f t="shared" ref="AY2285:BA2285" si="2034">AY2286+AY2292</f>
        <v>0</v>
      </c>
      <c r="AZ2285" s="373">
        <f t="shared" si="2034"/>
        <v>0</v>
      </c>
      <c r="BA2285" s="373">
        <f t="shared" si="2034"/>
        <v>0</v>
      </c>
      <c r="BB2285" s="143">
        <v>7</v>
      </c>
      <c r="BC2285" s="158" t="s">
        <v>630</v>
      </c>
      <c r="BD2285" s="158" t="s">
        <v>630</v>
      </c>
      <c r="BE2285" s="158" t="s">
        <v>630</v>
      </c>
      <c r="BF2285" s="158" t="s">
        <v>630</v>
      </c>
      <c r="BG2285" s="145" t="s">
        <v>10444</v>
      </c>
      <c r="BH2285" s="375">
        <f>BH2286+BH2292</f>
        <v>0</v>
      </c>
      <c r="BI2285" s="143"/>
      <c r="BJ2285" s="143" t="s">
        <v>3165</v>
      </c>
      <c r="BK2285" s="143" t="s">
        <v>3165</v>
      </c>
      <c r="BL2285" s="159" t="s">
        <v>10445</v>
      </c>
      <c r="BM2285" s="376">
        <f>BM2286+BM2292</f>
        <v>0</v>
      </c>
      <c r="BN2285" s="160"/>
      <c r="BO2285" s="161">
        <f t="shared" si="1918"/>
        <v>0</v>
      </c>
      <c r="BP2285" s="161"/>
    </row>
    <row r="2286" spans="1:68">
      <c r="A2286" s="162" t="s">
        <v>10446</v>
      </c>
      <c r="B2286" s="163"/>
      <c r="C2286" s="164" t="s">
        <v>2</v>
      </c>
      <c r="D2286" s="146" t="s">
        <v>4692</v>
      </c>
      <c r="E2286" s="164" t="s">
        <v>2</v>
      </c>
      <c r="F2286" s="165">
        <v>0</v>
      </c>
      <c r="G2286" s="166">
        <v>0</v>
      </c>
      <c r="H2286" s="166">
        <v>0</v>
      </c>
      <c r="I2286" s="166">
        <v>0</v>
      </c>
      <c r="J2286" s="165">
        <f>J2287</f>
        <v>0</v>
      </c>
      <c r="K2286" s="165">
        <f>K2287</f>
        <v>0</v>
      </c>
      <c r="L2286" s="165">
        <f t="shared" si="1969"/>
        <v>0</v>
      </c>
      <c r="M2286" s="165">
        <v>0</v>
      </c>
      <c r="N2286" s="165">
        <v>0</v>
      </c>
      <c r="O2286" s="167">
        <v>0</v>
      </c>
      <c r="P2286" s="232">
        <f t="shared" ref="P2286:AM2287" si="2035">P2287</f>
        <v>0</v>
      </c>
      <c r="Q2286" s="232">
        <f t="shared" si="2035"/>
        <v>0</v>
      </c>
      <c r="R2286" s="232">
        <f t="shared" si="2035"/>
        <v>0</v>
      </c>
      <c r="S2286" s="150">
        <f t="shared" si="1912"/>
        <v>0</v>
      </c>
      <c r="T2286" s="213"/>
      <c r="U2286" s="232">
        <f t="shared" ref="U2286:W2287" si="2036">U2287</f>
        <v>0</v>
      </c>
      <c r="V2286" s="233">
        <f t="shared" si="2036"/>
        <v>0</v>
      </c>
      <c r="W2286" s="232">
        <f t="shared" si="2036"/>
        <v>0</v>
      </c>
      <c r="X2286" s="232">
        <v>0</v>
      </c>
      <c r="Y2286" s="232">
        <v>0</v>
      </c>
      <c r="Z2286" s="232">
        <v>0</v>
      </c>
      <c r="AA2286" s="232">
        <f t="shared" si="1950"/>
        <v>0</v>
      </c>
      <c r="AB2286" s="232">
        <v>0</v>
      </c>
      <c r="AC2286" s="233">
        <v>0</v>
      </c>
      <c r="AD2286" s="232">
        <f t="shared" si="2035"/>
        <v>0</v>
      </c>
      <c r="AE2286" s="232">
        <v>0</v>
      </c>
      <c r="AF2286" s="169" t="s">
        <v>4680</v>
      </c>
      <c r="AG2286" s="234">
        <v>0</v>
      </c>
      <c r="AH2286" s="233">
        <v>0</v>
      </c>
      <c r="AI2286" s="232">
        <v>0</v>
      </c>
      <c r="AJ2286" s="169">
        <f t="shared" si="1951"/>
        <v>0</v>
      </c>
      <c r="AK2286" s="234">
        <v>0</v>
      </c>
      <c r="AL2286" s="233">
        <v>0</v>
      </c>
      <c r="AM2286" s="232">
        <f t="shared" si="2035"/>
        <v>0</v>
      </c>
      <c r="AN2286" s="153">
        <f t="shared" si="1952"/>
        <v>0</v>
      </c>
      <c r="AO2286" s="154">
        <f t="shared" si="1953"/>
        <v>0</v>
      </c>
      <c r="AP2286" s="232">
        <v>0</v>
      </c>
      <c r="AQ2286" s="234">
        <v>0</v>
      </c>
      <c r="AR2286" s="233">
        <f t="shared" ref="AR2286:AS2287" si="2037">AR2287</f>
        <v>0</v>
      </c>
      <c r="AS2286" s="232">
        <f t="shared" si="2037"/>
        <v>0</v>
      </c>
      <c r="AT2286" s="155"/>
      <c r="AU2286" s="156">
        <f t="shared" si="1948"/>
        <v>0</v>
      </c>
      <c r="AV2286" s="156">
        <f t="shared" si="1949"/>
        <v>0</v>
      </c>
      <c r="AW2286" s="157"/>
      <c r="AX2286" s="150">
        <v>0</v>
      </c>
      <c r="AY2286" s="232">
        <f t="shared" ref="AY2286:BA2287" si="2038">AY2287</f>
        <v>0</v>
      </c>
      <c r="AZ2286" s="232">
        <f t="shared" si="2038"/>
        <v>0</v>
      </c>
      <c r="BA2286" s="232">
        <f t="shared" si="2038"/>
        <v>0</v>
      </c>
      <c r="BB2286" s="171">
        <v>7</v>
      </c>
      <c r="BC2286" s="162" t="s">
        <v>632</v>
      </c>
      <c r="BD2286" s="162" t="s">
        <v>630</v>
      </c>
      <c r="BE2286" s="162" t="s">
        <v>630</v>
      </c>
      <c r="BF2286" s="162" t="s">
        <v>630</v>
      </c>
      <c r="BG2286" s="164" t="s">
        <v>2</v>
      </c>
      <c r="BH2286" s="235">
        <f>BH2287</f>
        <v>0</v>
      </c>
      <c r="BI2286" s="171"/>
      <c r="BJ2286" s="162" t="s">
        <v>10447</v>
      </c>
      <c r="BK2286" s="162" t="s">
        <v>10446</v>
      </c>
      <c r="BL2286" s="172" t="s">
        <v>10448</v>
      </c>
      <c r="BM2286" s="349">
        <f>BM2287</f>
        <v>0</v>
      </c>
      <c r="BN2286" s="160"/>
      <c r="BO2286" s="161">
        <f t="shared" si="1918"/>
        <v>0</v>
      </c>
      <c r="BP2286" s="161"/>
    </row>
    <row r="2287" spans="1:68">
      <c r="A2287" s="173" t="s">
        <v>10446</v>
      </c>
      <c r="B2287" s="174"/>
      <c r="C2287" s="175" t="s">
        <v>2</v>
      </c>
      <c r="D2287" s="146" t="s">
        <v>4692</v>
      </c>
      <c r="E2287" s="175" t="s">
        <v>2</v>
      </c>
      <c r="F2287" s="176">
        <v>0</v>
      </c>
      <c r="G2287" s="177">
        <v>0</v>
      </c>
      <c r="H2287" s="177">
        <v>0</v>
      </c>
      <c r="I2287" s="177">
        <v>0</v>
      </c>
      <c r="J2287" s="176">
        <f>J2288</f>
        <v>0</v>
      </c>
      <c r="K2287" s="176">
        <f>K2288</f>
        <v>0</v>
      </c>
      <c r="L2287" s="176">
        <f t="shared" si="1969"/>
        <v>0</v>
      </c>
      <c r="M2287" s="176">
        <v>0</v>
      </c>
      <c r="N2287" s="176">
        <v>0</v>
      </c>
      <c r="O2287" s="178">
        <v>0</v>
      </c>
      <c r="P2287" s="221">
        <f t="shared" si="2035"/>
        <v>0</v>
      </c>
      <c r="Q2287" s="221">
        <f t="shared" si="2035"/>
        <v>0</v>
      </c>
      <c r="R2287" s="221">
        <f t="shared" si="2035"/>
        <v>0</v>
      </c>
      <c r="S2287" s="150">
        <f t="shared" si="1912"/>
        <v>0</v>
      </c>
      <c r="T2287" s="213"/>
      <c r="U2287" s="221">
        <f t="shared" si="2036"/>
        <v>0</v>
      </c>
      <c r="V2287" s="222">
        <f t="shared" si="2036"/>
        <v>0</v>
      </c>
      <c r="W2287" s="221">
        <f t="shared" si="2036"/>
        <v>0</v>
      </c>
      <c r="X2287" s="221">
        <v>0</v>
      </c>
      <c r="Y2287" s="221">
        <v>0</v>
      </c>
      <c r="Z2287" s="221">
        <v>0</v>
      </c>
      <c r="AA2287" s="221">
        <f t="shared" si="1950"/>
        <v>0</v>
      </c>
      <c r="AB2287" s="221">
        <v>0</v>
      </c>
      <c r="AC2287" s="222">
        <v>0</v>
      </c>
      <c r="AD2287" s="221">
        <f t="shared" si="2035"/>
        <v>0</v>
      </c>
      <c r="AE2287" s="221">
        <v>0</v>
      </c>
      <c r="AF2287" s="169" t="s">
        <v>4680</v>
      </c>
      <c r="AG2287" s="223">
        <v>0</v>
      </c>
      <c r="AH2287" s="222">
        <v>0</v>
      </c>
      <c r="AI2287" s="221">
        <v>0</v>
      </c>
      <c r="AJ2287" s="169">
        <f t="shared" si="1951"/>
        <v>0</v>
      </c>
      <c r="AK2287" s="223">
        <v>0</v>
      </c>
      <c r="AL2287" s="222">
        <v>0</v>
      </c>
      <c r="AM2287" s="221">
        <f t="shared" si="2035"/>
        <v>0</v>
      </c>
      <c r="AN2287" s="153">
        <f t="shared" si="1952"/>
        <v>0</v>
      </c>
      <c r="AO2287" s="154">
        <f t="shared" si="1953"/>
        <v>0</v>
      </c>
      <c r="AP2287" s="221">
        <v>0</v>
      </c>
      <c r="AQ2287" s="223">
        <v>0</v>
      </c>
      <c r="AR2287" s="222">
        <f t="shared" si="2037"/>
        <v>0</v>
      </c>
      <c r="AS2287" s="221">
        <f t="shared" si="2037"/>
        <v>0</v>
      </c>
      <c r="AT2287" s="155"/>
      <c r="AU2287" s="156">
        <f t="shared" si="1948"/>
        <v>0</v>
      </c>
      <c r="AV2287" s="156">
        <f t="shared" si="1949"/>
        <v>0</v>
      </c>
      <c r="AW2287" s="157"/>
      <c r="AX2287" s="150">
        <v>0</v>
      </c>
      <c r="AY2287" s="221">
        <f t="shared" si="2038"/>
        <v>0</v>
      </c>
      <c r="AZ2287" s="221">
        <f t="shared" si="2038"/>
        <v>0</v>
      </c>
      <c r="BA2287" s="221">
        <f t="shared" si="2038"/>
        <v>0</v>
      </c>
      <c r="BB2287" s="181">
        <v>7</v>
      </c>
      <c r="BC2287" s="173" t="s">
        <v>632</v>
      </c>
      <c r="BD2287" s="173" t="s">
        <v>632</v>
      </c>
      <c r="BE2287" s="173" t="s">
        <v>630</v>
      </c>
      <c r="BF2287" s="173" t="s">
        <v>630</v>
      </c>
      <c r="BG2287" s="175" t="s">
        <v>2</v>
      </c>
      <c r="BH2287" s="224">
        <f>BH2288</f>
        <v>0</v>
      </c>
      <c r="BI2287" s="181"/>
      <c r="BJ2287" s="173" t="s">
        <v>10447</v>
      </c>
      <c r="BK2287" s="173" t="s">
        <v>10446</v>
      </c>
      <c r="BL2287" s="182" t="s">
        <v>10448</v>
      </c>
      <c r="BM2287" s="337">
        <f>BM2288</f>
        <v>0</v>
      </c>
      <c r="BN2287" s="160"/>
      <c r="BO2287" s="161">
        <f t="shared" si="1918"/>
        <v>0</v>
      </c>
      <c r="BP2287" s="161"/>
    </row>
    <row r="2288" spans="1:68">
      <c r="A2288" s="183" t="s">
        <v>10446</v>
      </c>
      <c r="B2288" s="184"/>
      <c r="C2288" s="185" t="s">
        <v>2</v>
      </c>
      <c r="D2288" s="146" t="s">
        <v>4692</v>
      </c>
      <c r="E2288" s="185" t="s">
        <v>2</v>
      </c>
      <c r="F2288" s="188">
        <v>0</v>
      </c>
      <c r="G2288" s="187">
        <v>0</v>
      </c>
      <c r="H2288" s="187"/>
      <c r="I2288" s="187">
        <v>0</v>
      </c>
      <c r="J2288" s="188">
        <f>SUM(J2289:J2291)</f>
        <v>0</v>
      </c>
      <c r="K2288" s="188">
        <f>SUM(K2289:K2291)</f>
        <v>0</v>
      </c>
      <c r="L2288" s="188">
        <f t="shared" si="1969"/>
        <v>0</v>
      </c>
      <c r="M2288" s="188">
        <v>0</v>
      </c>
      <c r="N2288" s="188">
        <v>0</v>
      </c>
      <c r="O2288" s="188">
        <v>0</v>
      </c>
      <c r="P2288" s="299">
        <f t="shared" ref="P2288:R2288" si="2039">SUM(P2289:P2291)</f>
        <v>0</v>
      </c>
      <c r="Q2288" s="299">
        <f t="shared" si="2039"/>
        <v>0</v>
      </c>
      <c r="R2288" s="299">
        <f t="shared" si="2039"/>
        <v>0</v>
      </c>
      <c r="S2288" s="150">
        <f t="shared" ref="S2288:S2351" si="2040">R2288/9*12</f>
        <v>0</v>
      </c>
      <c r="T2288" s="213"/>
      <c r="U2288" s="299">
        <f t="shared" ref="U2288:W2288" si="2041">SUM(U2289:U2291)</f>
        <v>0</v>
      </c>
      <c r="V2288" s="226">
        <f t="shared" si="2041"/>
        <v>0</v>
      </c>
      <c r="W2288" s="299">
        <f t="shared" si="2041"/>
        <v>0</v>
      </c>
      <c r="X2288" s="299">
        <v>0</v>
      </c>
      <c r="Y2288" s="299">
        <v>0</v>
      </c>
      <c r="Z2288" s="299">
        <v>0</v>
      </c>
      <c r="AA2288" s="299">
        <f t="shared" si="1950"/>
        <v>0</v>
      </c>
      <c r="AB2288" s="299">
        <v>0</v>
      </c>
      <c r="AC2288" s="226">
        <v>0</v>
      </c>
      <c r="AD2288" s="299">
        <f t="shared" ref="AD2288" si="2042">SUM(AD2289:AD2291)</f>
        <v>0</v>
      </c>
      <c r="AE2288" s="299">
        <v>0</v>
      </c>
      <c r="AF2288" s="169" t="s">
        <v>4680</v>
      </c>
      <c r="AG2288" s="301">
        <v>0</v>
      </c>
      <c r="AH2288" s="226">
        <v>0</v>
      </c>
      <c r="AI2288" s="299">
        <v>0</v>
      </c>
      <c r="AJ2288" s="169">
        <f t="shared" si="1951"/>
        <v>0</v>
      </c>
      <c r="AK2288" s="301">
        <v>0</v>
      </c>
      <c r="AL2288" s="226">
        <v>0</v>
      </c>
      <c r="AM2288" s="299">
        <f t="shared" ref="AM2288" si="2043">SUM(AM2289:AM2291)</f>
        <v>0</v>
      </c>
      <c r="AN2288" s="153">
        <f t="shared" si="1952"/>
        <v>0</v>
      </c>
      <c r="AO2288" s="154">
        <f t="shared" si="1953"/>
        <v>0</v>
      </c>
      <c r="AP2288" s="299">
        <v>0</v>
      </c>
      <c r="AQ2288" s="301">
        <v>0</v>
      </c>
      <c r="AR2288" s="226">
        <f t="shared" ref="AR2288:AS2288" si="2044">SUM(AR2289:AR2291)</f>
        <v>0</v>
      </c>
      <c r="AS2288" s="299">
        <f t="shared" si="2044"/>
        <v>0</v>
      </c>
      <c r="AT2288" s="155"/>
      <c r="AU2288" s="156">
        <f t="shared" si="1948"/>
        <v>0</v>
      </c>
      <c r="AV2288" s="156">
        <f t="shared" si="1949"/>
        <v>0</v>
      </c>
      <c r="AW2288" s="157"/>
      <c r="AX2288" s="150">
        <v>0</v>
      </c>
      <c r="AY2288" s="299">
        <f t="shared" ref="AY2288:BA2288" si="2045">SUM(AY2289:AY2291)</f>
        <v>0</v>
      </c>
      <c r="AZ2288" s="299">
        <f t="shared" si="2045"/>
        <v>0</v>
      </c>
      <c r="BA2288" s="299">
        <f t="shared" si="2045"/>
        <v>0</v>
      </c>
      <c r="BB2288" s="191">
        <v>7</v>
      </c>
      <c r="BC2288" s="183" t="s">
        <v>632</v>
      </c>
      <c r="BD2288" s="183" t="s">
        <v>632</v>
      </c>
      <c r="BE2288" s="183" t="s">
        <v>632</v>
      </c>
      <c r="BF2288" s="183" t="s">
        <v>630</v>
      </c>
      <c r="BG2288" s="185" t="s">
        <v>2</v>
      </c>
      <c r="BH2288" s="215">
        <f>BH2289</f>
        <v>0</v>
      </c>
      <c r="BI2288" s="191"/>
      <c r="BJ2288" s="183" t="s">
        <v>10447</v>
      </c>
      <c r="BK2288" s="183" t="s">
        <v>10446</v>
      </c>
      <c r="BL2288" s="238" t="s">
        <v>10448</v>
      </c>
      <c r="BM2288" s="338">
        <f>BM2289</f>
        <v>0</v>
      </c>
      <c r="BN2288" s="160"/>
      <c r="BO2288" s="161">
        <f t="shared" si="1918"/>
        <v>0</v>
      </c>
      <c r="BP2288" s="161"/>
    </row>
    <row r="2289" spans="1:68">
      <c r="A2289" s="194" t="s">
        <v>10446</v>
      </c>
      <c r="B2289" s="195" t="s">
        <v>10449</v>
      </c>
      <c r="C2289" s="196" t="s">
        <v>10450</v>
      </c>
      <c r="D2289" s="146" t="s">
        <v>4692</v>
      </c>
      <c r="E2289" s="377" t="s">
        <v>10450</v>
      </c>
      <c r="F2289" s="150">
        <v>0</v>
      </c>
      <c r="G2289" s="209">
        <v>0</v>
      </c>
      <c r="H2289" s="209"/>
      <c r="I2289" s="209">
        <v>0</v>
      </c>
      <c r="J2289" s="150">
        <v>0</v>
      </c>
      <c r="K2289" s="150">
        <v>0</v>
      </c>
      <c r="L2289" s="150">
        <f t="shared" si="1969"/>
        <v>0</v>
      </c>
      <c r="M2289" s="150">
        <v>0</v>
      </c>
      <c r="N2289" s="150"/>
      <c r="O2289" s="150">
        <v>0</v>
      </c>
      <c r="P2289" s="150">
        <v>0</v>
      </c>
      <c r="Q2289" s="150">
        <v>0</v>
      </c>
      <c r="R2289" s="150">
        <f>P2289+Q2289</f>
        <v>0</v>
      </c>
      <c r="S2289" s="150">
        <f t="shared" si="2040"/>
        <v>0</v>
      </c>
      <c r="T2289" s="150"/>
      <c r="U2289" s="150">
        <v>0</v>
      </c>
      <c r="V2289" s="199"/>
      <c r="W2289" s="150">
        <f>U2289+V2289</f>
        <v>0</v>
      </c>
      <c r="X2289" s="150">
        <v>0</v>
      </c>
      <c r="Y2289" s="150"/>
      <c r="Z2289" s="150">
        <v>0</v>
      </c>
      <c r="AA2289" s="150">
        <f t="shared" si="1950"/>
        <v>0</v>
      </c>
      <c r="AB2289" s="150">
        <v>0</v>
      </c>
      <c r="AC2289" s="199"/>
      <c r="AD2289" s="150">
        <f>AB2289+AC2289</f>
        <v>0</v>
      </c>
      <c r="AE2289" s="150">
        <v>0</v>
      </c>
      <c r="AF2289" s="169" t="s">
        <v>4680</v>
      </c>
      <c r="AG2289" s="201">
        <v>0</v>
      </c>
      <c r="AH2289" s="199"/>
      <c r="AI2289" s="150">
        <v>0</v>
      </c>
      <c r="AJ2289" s="169">
        <f t="shared" si="1951"/>
        <v>0</v>
      </c>
      <c r="AK2289" s="201">
        <v>0</v>
      </c>
      <c r="AL2289" s="199"/>
      <c r="AM2289" s="150">
        <f>AK2289+AL2289</f>
        <v>0</v>
      </c>
      <c r="AN2289" s="153">
        <f t="shared" si="1952"/>
        <v>0</v>
      </c>
      <c r="AO2289" s="154">
        <f t="shared" si="1953"/>
        <v>0</v>
      </c>
      <c r="AP2289" s="150">
        <v>0</v>
      </c>
      <c r="AQ2289" s="201">
        <v>0</v>
      </c>
      <c r="AR2289" s="199"/>
      <c r="AS2289" s="150">
        <f>AQ2289+AR2289</f>
        <v>0</v>
      </c>
      <c r="AT2289" s="155"/>
      <c r="AU2289" s="156">
        <f t="shared" si="1948"/>
        <v>0</v>
      </c>
      <c r="AV2289" s="156">
        <f t="shared" si="1949"/>
        <v>0</v>
      </c>
      <c r="AW2289" s="157"/>
      <c r="AX2289" s="150">
        <v>0</v>
      </c>
      <c r="AY2289" s="150">
        <v>0</v>
      </c>
      <c r="AZ2289" s="150"/>
      <c r="BA2289" s="150">
        <f t="shared" si="2009"/>
        <v>0</v>
      </c>
      <c r="BB2289" s="202">
        <v>7</v>
      </c>
      <c r="BC2289" s="202" t="s">
        <v>632</v>
      </c>
      <c r="BD2289" s="202" t="s">
        <v>632</v>
      </c>
      <c r="BE2289" s="202" t="s">
        <v>632</v>
      </c>
      <c r="BF2289" s="202" t="s">
        <v>632</v>
      </c>
      <c r="BG2289" s="203" t="s">
        <v>2</v>
      </c>
      <c r="BH2289" s="216">
        <f>SUM(AS2289:AS2291)</f>
        <v>0</v>
      </c>
      <c r="BI2289" s="202"/>
      <c r="BJ2289" s="194" t="s">
        <v>10447</v>
      </c>
      <c r="BK2289" s="194" t="s">
        <v>10446</v>
      </c>
      <c r="BL2289" s="207" t="s">
        <v>10448</v>
      </c>
      <c r="BM2289" s="208">
        <f>BH2289</f>
        <v>0</v>
      </c>
      <c r="BN2289" s="160"/>
      <c r="BO2289" s="161">
        <f t="shared" ref="BO2289:BO2352" si="2046">BM2289-AS2289</f>
        <v>0</v>
      </c>
      <c r="BP2289" s="161"/>
    </row>
    <row r="2290" spans="1:68" ht="25.5">
      <c r="A2290" s="210"/>
      <c r="B2290" s="195" t="s">
        <v>10451</v>
      </c>
      <c r="C2290" s="196" t="s">
        <v>10452</v>
      </c>
      <c r="D2290" s="146" t="s">
        <v>4692</v>
      </c>
      <c r="E2290" s="377" t="s">
        <v>10452</v>
      </c>
      <c r="F2290" s="150">
        <v>0</v>
      </c>
      <c r="G2290" s="209">
        <v>0</v>
      </c>
      <c r="H2290" s="209"/>
      <c r="I2290" s="209">
        <v>0</v>
      </c>
      <c r="J2290" s="150">
        <v>0</v>
      </c>
      <c r="K2290" s="150">
        <v>0</v>
      </c>
      <c r="L2290" s="150">
        <f t="shared" si="1969"/>
        <v>0</v>
      </c>
      <c r="M2290" s="150">
        <v>0</v>
      </c>
      <c r="N2290" s="150"/>
      <c r="O2290" s="150">
        <v>0</v>
      </c>
      <c r="P2290" s="150">
        <v>0</v>
      </c>
      <c r="Q2290" s="150">
        <v>0</v>
      </c>
      <c r="R2290" s="150">
        <f>P2290+Q2290</f>
        <v>0</v>
      </c>
      <c r="S2290" s="150">
        <f t="shared" si="2040"/>
        <v>0</v>
      </c>
      <c r="T2290" s="150"/>
      <c r="U2290" s="150">
        <v>0</v>
      </c>
      <c r="V2290" s="199"/>
      <c r="W2290" s="150">
        <f>U2290+V2290</f>
        <v>0</v>
      </c>
      <c r="X2290" s="150">
        <v>0</v>
      </c>
      <c r="Y2290" s="150"/>
      <c r="Z2290" s="150">
        <v>0</v>
      </c>
      <c r="AA2290" s="150">
        <f t="shared" si="1950"/>
        <v>0</v>
      </c>
      <c r="AB2290" s="150">
        <v>0</v>
      </c>
      <c r="AC2290" s="199"/>
      <c r="AD2290" s="150">
        <f>AB2290+AC2290</f>
        <v>0</v>
      </c>
      <c r="AE2290" s="150">
        <v>0</v>
      </c>
      <c r="AF2290" s="169" t="s">
        <v>4680</v>
      </c>
      <c r="AG2290" s="201">
        <v>0</v>
      </c>
      <c r="AH2290" s="199"/>
      <c r="AI2290" s="150">
        <v>0</v>
      </c>
      <c r="AJ2290" s="169">
        <f t="shared" si="1951"/>
        <v>0</v>
      </c>
      <c r="AK2290" s="201">
        <v>0</v>
      </c>
      <c r="AL2290" s="199"/>
      <c r="AM2290" s="150">
        <f>AK2290+AL2290</f>
        <v>0</v>
      </c>
      <c r="AN2290" s="153">
        <f t="shared" si="1952"/>
        <v>0</v>
      </c>
      <c r="AO2290" s="154">
        <f t="shared" si="1953"/>
        <v>0</v>
      </c>
      <c r="AP2290" s="150">
        <v>0</v>
      </c>
      <c r="AQ2290" s="201">
        <v>0</v>
      </c>
      <c r="AR2290" s="199"/>
      <c r="AS2290" s="150">
        <f>AQ2290+AR2290</f>
        <v>0</v>
      </c>
      <c r="AT2290" s="155"/>
      <c r="AU2290" s="156">
        <f t="shared" si="1948"/>
        <v>0</v>
      </c>
      <c r="AV2290" s="156">
        <f t="shared" si="1949"/>
        <v>0</v>
      </c>
      <c r="AW2290" s="157"/>
      <c r="AX2290" s="150">
        <v>0</v>
      </c>
      <c r="AY2290" s="150">
        <v>0</v>
      </c>
      <c r="AZ2290" s="150"/>
      <c r="BA2290" s="150">
        <f t="shared" si="2009"/>
        <v>0</v>
      </c>
      <c r="BB2290" s="210"/>
      <c r="BC2290" s="210"/>
      <c r="BD2290" s="210"/>
      <c r="BE2290" s="210"/>
      <c r="BF2290" s="210"/>
      <c r="BG2290" s="210"/>
      <c r="BH2290" s="217"/>
      <c r="BI2290" s="210"/>
      <c r="BJ2290" s="210"/>
      <c r="BK2290" s="210"/>
      <c r="BL2290" s="210"/>
      <c r="BM2290" s="208"/>
      <c r="BN2290" s="160"/>
      <c r="BO2290" s="161">
        <f t="shared" si="2046"/>
        <v>0</v>
      </c>
      <c r="BP2290" s="161"/>
    </row>
    <row r="2291" spans="1:68">
      <c r="A2291" s="210"/>
      <c r="B2291" s="195" t="s">
        <v>10453</v>
      </c>
      <c r="C2291" s="196" t="s">
        <v>10454</v>
      </c>
      <c r="D2291" s="146" t="s">
        <v>4692</v>
      </c>
      <c r="E2291" s="377" t="s">
        <v>10454</v>
      </c>
      <c r="F2291" s="150">
        <v>0</v>
      </c>
      <c r="G2291" s="209">
        <v>0</v>
      </c>
      <c r="H2291" s="209">
        <v>0</v>
      </c>
      <c r="I2291" s="209">
        <v>0</v>
      </c>
      <c r="J2291" s="150">
        <v>0</v>
      </c>
      <c r="K2291" s="150">
        <v>0</v>
      </c>
      <c r="L2291" s="150">
        <f t="shared" si="1969"/>
        <v>0</v>
      </c>
      <c r="M2291" s="150">
        <v>0</v>
      </c>
      <c r="N2291" s="150"/>
      <c r="O2291" s="150">
        <v>0</v>
      </c>
      <c r="P2291" s="150">
        <v>0</v>
      </c>
      <c r="Q2291" s="150">
        <v>0</v>
      </c>
      <c r="R2291" s="150">
        <f>P2291+Q2291</f>
        <v>0</v>
      </c>
      <c r="S2291" s="150">
        <f t="shared" si="2040"/>
        <v>0</v>
      </c>
      <c r="T2291" s="150"/>
      <c r="U2291" s="150">
        <v>0</v>
      </c>
      <c r="V2291" s="199"/>
      <c r="W2291" s="150">
        <f>U2291+V2291</f>
        <v>0</v>
      </c>
      <c r="X2291" s="150">
        <v>0</v>
      </c>
      <c r="Y2291" s="150"/>
      <c r="Z2291" s="150">
        <v>0</v>
      </c>
      <c r="AA2291" s="150">
        <f t="shared" si="1950"/>
        <v>0</v>
      </c>
      <c r="AB2291" s="150">
        <v>0</v>
      </c>
      <c r="AC2291" s="199"/>
      <c r="AD2291" s="150">
        <f>AB2291+AC2291</f>
        <v>0</v>
      </c>
      <c r="AE2291" s="150">
        <v>0</v>
      </c>
      <c r="AF2291" s="169" t="s">
        <v>4680</v>
      </c>
      <c r="AG2291" s="201">
        <v>0</v>
      </c>
      <c r="AH2291" s="199"/>
      <c r="AI2291" s="150">
        <v>0</v>
      </c>
      <c r="AJ2291" s="169">
        <f t="shared" si="1951"/>
        <v>0</v>
      </c>
      <c r="AK2291" s="201">
        <v>0</v>
      </c>
      <c r="AL2291" s="199"/>
      <c r="AM2291" s="150">
        <f>AK2291+AL2291</f>
        <v>0</v>
      </c>
      <c r="AN2291" s="153">
        <f t="shared" si="1952"/>
        <v>0</v>
      </c>
      <c r="AO2291" s="154">
        <f t="shared" si="1953"/>
        <v>0</v>
      </c>
      <c r="AP2291" s="150">
        <v>0</v>
      </c>
      <c r="AQ2291" s="201">
        <v>0</v>
      </c>
      <c r="AR2291" s="199"/>
      <c r="AS2291" s="150">
        <f>AQ2291+AR2291</f>
        <v>0</v>
      </c>
      <c r="AT2291" s="155"/>
      <c r="AU2291" s="156">
        <f t="shared" si="1948"/>
        <v>0</v>
      </c>
      <c r="AV2291" s="156">
        <f t="shared" si="1949"/>
        <v>0</v>
      </c>
      <c r="AW2291" s="157"/>
      <c r="AX2291" s="150">
        <v>0</v>
      </c>
      <c r="AY2291" s="150">
        <v>0</v>
      </c>
      <c r="AZ2291" s="150"/>
      <c r="BA2291" s="150">
        <f t="shared" si="2009"/>
        <v>0</v>
      </c>
      <c r="BB2291" s="210"/>
      <c r="BC2291" s="210"/>
      <c r="BD2291" s="210"/>
      <c r="BE2291" s="210"/>
      <c r="BF2291" s="210"/>
      <c r="BG2291" s="210"/>
      <c r="BH2291" s="217"/>
      <c r="BI2291" s="210"/>
      <c r="BJ2291" s="210"/>
      <c r="BK2291" s="210"/>
      <c r="BL2291" s="210"/>
      <c r="BM2291" s="208"/>
      <c r="BN2291" s="160"/>
      <c r="BO2291" s="161">
        <f t="shared" si="2046"/>
        <v>0</v>
      </c>
      <c r="BP2291" s="161"/>
    </row>
    <row r="2292" spans="1:68">
      <c r="A2292" s="162" t="s">
        <v>10455</v>
      </c>
      <c r="B2292" s="163"/>
      <c r="C2292" s="164" t="s">
        <v>3</v>
      </c>
      <c r="D2292" s="146" t="s">
        <v>4692</v>
      </c>
      <c r="E2292" s="164" t="s">
        <v>3</v>
      </c>
      <c r="F2292" s="165">
        <v>0</v>
      </c>
      <c r="G2292" s="166">
        <v>0</v>
      </c>
      <c r="H2292" s="166">
        <v>0</v>
      </c>
      <c r="I2292" s="166">
        <v>0</v>
      </c>
      <c r="J2292" s="165">
        <f>J2293</f>
        <v>0</v>
      </c>
      <c r="K2292" s="165">
        <f>K2293</f>
        <v>0</v>
      </c>
      <c r="L2292" s="165">
        <f t="shared" si="1969"/>
        <v>0</v>
      </c>
      <c r="M2292" s="165">
        <v>0</v>
      </c>
      <c r="N2292" s="165">
        <v>0</v>
      </c>
      <c r="O2292" s="167">
        <v>0</v>
      </c>
      <c r="P2292" s="232">
        <f t="shared" ref="P2292:AM2293" si="2047">P2293</f>
        <v>0</v>
      </c>
      <c r="Q2292" s="232">
        <f t="shared" si="2047"/>
        <v>0</v>
      </c>
      <c r="R2292" s="232">
        <f t="shared" si="2047"/>
        <v>0</v>
      </c>
      <c r="S2292" s="150">
        <f t="shared" si="2040"/>
        <v>0</v>
      </c>
      <c r="T2292" s="213"/>
      <c r="U2292" s="232">
        <f t="shared" ref="U2292:W2293" si="2048">U2293</f>
        <v>0</v>
      </c>
      <c r="V2292" s="233">
        <f t="shared" si="2048"/>
        <v>0</v>
      </c>
      <c r="W2292" s="232">
        <f t="shared" si="2048"/>
        <v>0</v>
      </c>
      <c r="X2292" s="232">
        <v>0</v>
      </c>
      <c r="Y2292" s="232">
        <v>0</v>
      </c>
      <c r="Z2292" s="232">
        <v>0</v>
      </c>
      <c r="AA2292" s="232">
        <f t="shared" si="1950"/>
        <v>0</v>
      </c>
      <c r="AB2292" s="232">
        <v>0</v>
      </c>
      <c r="AC2292" s="233">
        <v>0</v>
      </c>
      <c r="AD2292" s="232">
        <f t="shared" si="2047"/>
        <v>0</v>
      </c>
      <c r="AE2292" s="232">
        <v>0</v>
      </c>
      <c r="AF2292" s="169" t="s">
        <v>4680</v>
      </c>
      <c r="AG2292" s="234">
        <v>0</v>
      </c>
      <c r="AH2292" s="233">
        <v>0</v>
      </c>
      <c r="AI2292" s="232">
        <v>0</v>
      </c>
      <c r="AJ2292" s="169">
        <f t="shared" si="1951"/>
        <v>0</v>
      </c>
      <c r="AK2292" s="234">
        <v>0</v>
      </c>
      <c r="AL2292" s="233">
        <v>0</v>
      </c>
      <c r="AM2292" s="232">
        <f t="shared" si="2047"/>
        <v>0</v>
      </c>
      <c r="AN2292" s="153">
        <f t="shared" si="1952"/>
        <v>0</v>
      </c>
      <c r="AO2292" s="154">
        <f t="shared" si="1953"/>
        <v>0</v>
      </c>
      <c r="AP2292" s="232">
        <v>0</v>
      </c>
      <c r="AQ2292" s="234">
        <v>0</v>
      </c>
      <c r="AR2292" s="233">
        <f t="shared" ref="AR2292:AS2293" si="2049">AR2293</f>
        <v>0</v>
      </c>
      <c r="AS2292" s="232">
        <f t="shared" si="2049"/>
        <v>0</v>
      </c>
      <c r="AT2292" s="155"/>
      <c r="AU2292" s="156">
        <f t="shared" si="1948"/>
        <v>0</v>
      </c>
      <c r="AV2292" s="156">
        <f t="shared" si="1949"/>
        <v>0</v>
      </c>
      <c r="AW2292" s="157"/>
      <c r="AX2292" s="150">
        <v>0</v>
      </c>
      <c r="AY2292" s="232">
        <f t="shared" ref="AY2292:BA2293" si="2050">AY2293</f>
        <v>0</v>
      </c>
      <c r="AZ2292" s="232">
        <f t="shared" si="2050"/>
        <v>0</v>
      </c>
      <c r="BA2292" s="232">
        <f t="shared" si="2050"/>
        <v>0</v>
      </c>
      <c r="BB2292" s="171">
        <v>7</v>
      </c>
      <c r="BC2292" s="162" t="s">
        <v>647</v>
      </c>
      <c r="BD2292" s="162" t="s">
        <v>630</v>
      </c>
      <c r="BE2292" s="162" t="s">
        <v>630</v>
      </c>
      <c r="BF2292" s="162" t="s">
        <v>630</v>
      </c>
      <c r="BG2292" s="164" t="s">
        <v>3</v>
      </c>
      <c r="BH2292" s="235">
        <f>BH2293</f>
        <v>0</v>
      </c>
      <c r="BI2292" s="171"/>
      <c r="BJ2292" s="162" t="s">
        <v>10456</v>
      </c>
      <c r="BK2292" s="162" t="s">
        <v>10455</v>
      </c>
      <c r="BL2292" s="172" t="s">
        <v>10457</v>
      </c>
      <c r="BM2292" s="349">
        <f>BM2293</f>
        <v>0</v>
      </c>
      <c r="BN2292" s="160"/>
      <c r="BO2292" s="161">
        <f t="shared" si="2046"/>
        <v>0</v>
      </c>
      <c r="BP2292" s="161"/>
    </row>
    <row r="2293" spans="1:68">
      <c r="A2293" s="173" t="s">
        <v>10455</v>
      </c>
      <c r="B2293" s="174"/>
      <c r="C2293" s="175" t="s">
        <v>3</v>
      </c>
      <c r="D2293" s="146" t="s">
        <v>4692</v>
      </c>
      <c r="E2293" s="175" t="s">
        <v>3</v>
      </c>
      <c r="F2293" s="176">
        <v>0</v>
      </c>
      <c r="G2293" s="177">
        <v>0</v>
      </c>
      <c r="H2293" s="177">
        <v>0</v>
      </c>
      <c r="I2293" s="177">
        <v>0</v>
      </c>
      <c r="J2293" s="176">
        <f>J2294</f>
        <v>0</v>
      </c>
      <c r="K2293" s="176">
        <f>K2294</f>
        <v>0</v>
      </c>
      <c r="L2293" s="176">
        <f t="shared" si="1969"/>
        <v>0</v>
      </c>
      <c r="M2293" s="176">
        <v>0</v>
      </c>
      <c r="N2293" s="176">
        <v>0</v>
      </c>
      <c r="O2293" s="178">
        <v>0</v>
      </c>
      <c r="P2293" s="221">
        <f t="shared" si="2047"/>
        <v>0</v>
      </c>
      <c r="Q2293" s="221">
        <f t="shared" si="2047"/>
        <v>0</v>
      </c>
      <c r="R2293" s="221">
        <f t="shared" si="2047"/>
        <v>0</v>
      </c>
      <c r="S2293" s="150">
        <f t="shared" si="2040"/>
        <v>0</v>
      </c>
      <c r="T2293" s="213"/>
      <c r="U2293" s="221">
        <f t="shared" si="2048"/>
        <v>0</v>
      </c>
      <c r="V2293" s="222">
        <f t="shared" si="2048"/>
        <v>0</v>
      </c>
      <c r="W2293" s="221">
        <f t="shared" si="2048"/>
        <v>0</v>
      </c>
      <c r="X2293" s="221">
        <v>0</v>
      </c>
      <c r="Y2293" s="221">
        <v>0</v>
      </c>
      <c r="Z2293" s="221">
        <v>0</v>
      </c>
      <c r="AA2293" s="221">
        <f t="shared" si="1950"/>
        <v>0</v>
      </c>
      <c r="AB2293" s="221">
        <v>0</v>
      </c>
      <c r="AC2293" s="222">
        <v>0</v>
      </c>
      <c r="AD2293" s="221">
        <f t="shared" si="2047"/>
        <v>0</v>
      </c>
      <c r="AE2293" s="221">
        <v>0</v>
      </c>
      <c r="AF2293" s="169" t="s">
        <v>4680</v>
      </c>
      <c r="AG2293" s="223">
        <v>0</v>
      </c>
      <c r="AH2293" s="222">
        <v>0</v>
      </c>
      <c r="AI2293" s="221">
        <v>0</v>
      </c>
      <c r="AJ2293" s="169">
        <f t="shared" si="1951"/>
        <v>0</v>
      </c>
      <c r="AK2293" s="223">
        <v>0</v>
      </c>
      <c r="AL2293" s="222">
        <v>0</v>
      </c>
      <c r="AM2293" s="221">
        <f t="shared" si="2047"/>
        <v>0</v>
      </c>
      <c r="AN2293" s="153">
        <f t="shared" si="1952"/>
        <v>0</v>
      </c>
      <c r="AO2293" s="154">
        <f t="shared" si="1953"/>
        <v>0</v>
      </c>
      <c r="AP2293" s="221">
        <v>0</v>
      </c>
      <c r="AQ2293" s="223">
        <v>0</v>
      </c>
      <c r="AR2293" s="222">
        <f t="shared" si="2049"/>
        <v>0</v>
      </c>
      <c r="AS2293" s="221">
        <f t="shared" si="2049"/>
        <v>0</v>
      </c>
      <c r="AT2293" s="155"/>
      <c r="AU2293" s="156">
        <f t="shared" si="1948"/>
        <v>0</v>
      </c>
      <c r="AV2293" s="156">
        <f t="shared" si="1949"/>
        <v>0</v>
      </c>
      <c r="AW2293" s="157"/>
      <c r="AX2293" s="150">
        <v>0</v>
      </c>
      <c r="AY2293" s="221">
        <f t="shared" si="2050"/>
        <v>0</v>
      </c>
      <c r="AZ2293" s="221">
        <f t="shared" si="2050"/>
        <v>0</v>
      </c>
      <c r="BA2293" s="221">
        <f t="shared" si="2050"/>
        <v>0</v>
      </c>
      <c r="BB2293" s="181">
        <v>7</v>
      </c>
      <c r="BC2293" s="173" t="s">
        <v>647</v>
      </c>
      <c r="BD2293" s="173" t="s">
        <v>632</v>
      </c>
      <c r="BE2293" s="173" t="s">
        <v>630</v>
      </c>
      <c r="BF2293" s="173" t="s">
        <v>630</v>
      </c>
      <c r="BG2293" s="175" t="s">
        <v>3</v>
      </c>
      <c r="BH2293" s="224">
        <f>BH2294</f>
        <v>0</v>
      </c>
      <c r="BI2293" s="181"/>
      <c r="BJ2293" s="173" t="s">
        <v>10456</v>
      </c>
      <c r="BK2293" s="173" t="s">
        <v>10455</v>
      </c>
      <c r="BL2293" s="182" t="s">
        <v>10457</v>
      </c>
      <c r="BM2293" s="337">
        <f>BM2294</f>
        <v>0</v>
      </c>
      <c r="BN2293" s="160"/>
      <c r="BO2293" s="161">
        <f t="shared" si="2046"/>
        <v>0</v>
      </c>
      <c r="BP2293" s="161"/>
    </row>
    <row r="2294" spans="1:68">
      <c r="A2294" s="183" t="s">
        <v>10455</v>
      </c>
      <c r="B2294" s="184"/>
      <c r="C2294" s="185" t="s">
        <v>3</v>
      </c>
      <c r="D2294" s="146" t="s">
        <v>4692</v>
      </c>
      <c r="E2294" s="185" t="s">
        <v>3</v>
      </c>
      <c r="F2294" s="188">
        <v>0</v>
      </c>
      <c r="G2294" s="187">
        <v>0</v>
      </c>
      <c r="H2294" s="187"/>
      <c r="I2294" s="187">
        <v>0</v>
      </c>
      <c r="J2294" s="188">
        <f>SUM(J2295:J2297)</f>
        <v>0</v>
      </c>
      <c r="K2294" s="188">
        <f>SUM(K2295:K2297)</f>
        <v>0</v>
      </c>
      <c r="L2294" s="188">
        <f t="shared" si="1969"/>
        <v>0</v>
      </c>
      <c r="M2294" s="188">
        <v>0</v>
      </c>
      <c r="N2294" s="188">
        <v>0</v>
      </c>
      <c r="O2294" s="188">
        <v>0</v>
      </c>
      <c r="P2294" s="299">
        <f t="shared" ref="P2294:R2294" si="2051">SUM(P2295:P2297)</f>
        <v>0</v>
      </c>
      <c r="Q2294" s="299">
        <f t="shared" si="2051"/>
        <v>0</v>
      </c>
      <c r="R2294" s="299">
        <f t="shared" si="2051"/>
        <v>0</v>
      </c>
      <c r="S2294" s="150">
        <f t="shared" si="2040"/>
        <v>0</v>
      </c>
      <c r="T2294" s="213"/>
      <c r="U2294" s="299">
        <f t="shared" ref="U2294:W2294" si="2052">SUM(U2295:U2297)</f>
        <v>0</v>
      </c>
      <c r="V2294" s="226">
        <f t="shared" si="2052"/>
        <v>0</v>
      </c>
      <c r="W2294" s="299">
        <f t="shared" si="2052"/>
        <v>0</v>
      </c>
      <c r="X2294" s="299">
        <v>0</v>
      </c>
      <c r="Y2294" s="299">
        <v>0</v>
      </c>
      <c r="Z2294" s="299">
        <v>0</v>
      </c>
      <c r="AA2294" s="299">
        <f t="shared" si="1950"/>
        <v>0</v>
      </c>
      <c r="AB2294" s="299">
        <v>0</v>
      </c>
      <c r="AC2294" s="226">
        <v>0</v>
      </c>
      <c r="AD2294" s="299">
        <f t="shared" ref="AD2294" si="2053">SUM(AD2295:AD2297)</f>
        <v>0</v>
      </c>
      <c r="AE2294" s="299">
        <v>0</v>
      </c>
      <c r="AF2294" s="169" t="s">
        <v>4680</v>
      </c>
      <c r="AG2294" s="301">
        <v>0</v>
      </c>
      <c r="AH2294" s="226">
        <v>0</v>
      </c>
      <c r="AI2294" s="299">
        <v>0</v>
      </c>
      <c r="AJ2294" s="169">
        <f t="shared" si="1951"/>
        <v>0</v>
      </c>
      <c r="AK2294" s="301">
        <v>0</v>
      </c>
      <c r="AL2294" s="226">
        <v>0</v>
      </c>
      <c r="AM2294" s="299">
        <f t="shared" ref="AM2294" si="2054">SUM(AM2295:AM2297)</f>
        <v>0</v>
      </c>
      <c r="AN2294" s="153">
        <f t="shared" si="1952"/>
        <v>0</v>
      </c>
      <c r="AO2294" s="154">
        <f t="shared" si="1953"/>
        <v>0</v>
      </c>
      <c r="AP2294" s="299">
        <v>0</v>
      </c>
      <c r="AQ2294" s="301">
        <v>0</v>
      </c>
      <c r="AR2294" s="226">
        <f t="shared" ref="AR2294:AS2294" si="2055">SUM(AR2295:AR2297)</f>
        <v>0</v>
      </c>
      <c r="AS2294" s="299">
        <f t="shared" si="2055"/>
        <v>0</v>
      </c>
      <c r="AT2294" s="155"/>
      <c r="AU2294" s="156">
        <f t="shared" si="1948"/>
        <v>0</v>
      </c>
      <c r="AV2294" s="156">
        <f t="shared" si="1949"/>
        <v>0</v>
      </c>
      <c r="AW2294" s="157"/>
      <c r="AX2294" s="150">
        <v>0</v>
      </c>
      <c r="AY2294" s="299">
        <f t="shared" ref="AY2294:BA2294" si="2056">SUM(AY2295:AY2297)</f>
        <v>0</v>
      </c>
      <c r="AZ2294" s="299">
        <f t="shared" si="2056"/>
        <v>0</v>
      </c>
      <c r="BA2294" s="299">
        <f t="shared" si="2056"/>
        <v>0</v>
      </c>
      <c r="BB2294" s="191">
        <v>7</v>
      </c>
      <c r="BC2294" s="183" t="s">
        <v>647</v>
      </c>
      <c r="BD2294" s="183" t="s">
        <v>632</v>
      </c>
      <c r="BE2294" s="183" t="s">
        <v>632</v>
      </c>
      <c r="BF2294" s="183" t="s">
        <v>630</v>
      </c>
      <c r="BG2294" s="185" t="s">
        <v>3</v>
      </c>
      <c r="BH2294" s="215">
        <f>BH2295</f>
        <v>0</v>
      </c>
      <c r="BI2294" s="191"/>
      <c r="BJ2294" s="183" t="s">
        <v>10456</v>
      </c>
      <c r="BK2294" s="183" t="s">
        <v>10455</v>
      </c>
      <c r="BL2294" s="238" t="s">
        <v>10457</v>
      </c>
      <c r="BM2294" s="338">
        <f>BM2295</f>
        <v>0</v>
      </c>
      <c r="BN2294" s="160"/>
      <c r="BO2294" s="161">
        <f t="shared" si="2046"/>
        <v>0</v>
      </c>
      <c r="BP2294" s="161"/>
    </row>
    <row r="2295" spans="1:68">
      <c r="A2295" s="194" t="s">
        <v>10455</v>
      </c>
      <c r="B2295" s="195" t="s">
        <v>10458</v>
      </c>
      <c r="C2295" s="196" t="s">
        <v>10459</v>
      </c>
      <c r="D2295" s="146" t="s">
        <v>4692</v>
      </c>
      <c r="E2295" s="377" t="s">
        <v>10459</v>
      </c>
      <c r="F2295" s="150">
        <v>0</v>
      </c>
      <c r="G2295" s="209">
        <v>0</v>
      </c>
      <c r="H2295" s="209"/>
      <c r="I2295" s="209">
        <v>0</v>
      </c>
      <c r="J2295" s="150">
        <v>0</v>
      </c>
      <c r="K2295" s="150">
        <v>0</v>
      </c>
      <c r="L2295" s="150">
        <f t="shared" si="1969"/>
        <v>0</v>
      </c>
      <c r="M2295" s="150">
        <v>0</v>
      </c>
      <c r="N2295" s="150"/>
      <c r="O2295" s="150">
        <v>0</v>
      </c>
      <c r="P2295" s="150">
        <v>0</v>
      </c>
      <c r="Q2295" s="150">
        <v>0</v>
      </c>
      <c r="R2295" s="150">
        <f>P2295+Q2295</f>
        <v>0</v>
      </c>
      <c r="S2295" s="150">
        <f t="shared" si="2040"/>
        <v>0</v>
      </c>
      <c r="T2295" s="150"/>
      <c r="U2295" s="150">
        <v>0</v>
      </c>
      <c r="V2295" s="199"/>
      <c r="W2295" s="150">
        <f>U2295+V2295</f>
        <v>0</v>
      </c>
      <c r="X2295" s="150">
        <v>0</v>
      </c>
      <c r="Y2295" s="150"/>
      <c r="Z2295" s="150">
        <v>0</v>
      </c>
      <c r="AA2295" s="150">
        <f t="shared" si="1950"/>
        <v>0</v>
      </c>
      <c r="AB2295" s="150">
        <v>0</v>
      </c>
      <c r="AC2295" s="199"/>
      <c r="AD2295" s="150">
        <f>AB2295+AC2295</f>
        <v>0</v>
      </c>
      <c r="AE2295" s="150">
        <v>0</v>
      </c>
      <c r="AF2295" s="169" t="s">
        <v>4680</v>
      </c>
      <c r="AG2295" s="201">
        <v>0</v>
      </c>
      <c r="AH2295" s="199"/>
      <c r="AI2295" s="150">
        <v>0</v>
      </c>
      <c r="AJ2295" s="169">
        <f t="shared" si="1951"/>
        <v>0</v>
      </c>
      <c r="AK2295" s="201">
        <v>0</v>
      </c>
      <c r="AL2295" s="199"/>
      <c r="AM2295" s="150">
        <f>AK2295+AL2295</f>
        <v>0</v>
      </c>
      <c r="AN2295" s="153">
        <f t="shared" si="1952"/>
        <v>0</v>
      </c>
      <c r="AO2295" s="154">
        <f t="shared" si="1953"/>
        <v>0</v>
      </c>
      <c r="AP2295" s="150">
        <v>0</v>
      </c>
      <c r="AQ2295" s="201">
        <v>0</v>
      </c>
      <c r="AR2295" s="199"/>
      <c r="AS2295" s="150">
        <f>AQ2295+AR2295</f>
        <v>0</v>
      </c>
      <c r="AT2295" s="155"/>
      <c r="AU2295" s="156">
        <f t="shared" si="1948"/>
        <v>0</v>
      </c>
      <c r="AV2295" s="156">
        <f t="shared" si="1949"/>
        <v>0</v>
      </c>
      <c r="AW2295" s="157"/>
      <c r="AX2295" s="150">
        <v>0</v>
      </c>
      <c r="AY2295" s="150">
        <v>0</v>
      </c>
      <c r="AZ2295" s="150"/>
      <c r="BA2295" s="150">
        <f t="shared" si="2009"/>
        <v>0</v>
      </c>
      <c r="BB2295" s="202">
        <v>7</v>
      </c>
      <c r="BC2295" s="202" t="s">
        <v>647</v>
      </c>
      <c r="BD2295" s="202" t="s">
        <v>632</v>
      </c>
      <c r="BE2295" s="202" t="s">
        <v>632</v>
      </c>
      <c r="BF2295" s="202" t="s">
        <v>632</v>
      </c>
      <c r="BG2295" s="203" t="s">
        <v>3</v>
      </c>
      <c r="BH2295" s="216">
        <f>SUM(AS2295:AS2297)</f>
        <v>0</v>
      </c>
      <c r="BI2295" s="202"/>
      <c r="BJ2295" s="194" t="s">
        <v>10456</v>
      </c>
      <c r="BK2295" s="194" t="s">
        <v>10455</v>
      </c>
      <c r="BL2295" s="207" t="s">
        <v>10457</v>
      </c>
      <c r="BM2295" s="208">
        <f>BH2295</f>
        <v>0</v>
      </c>
      <c r="BN2295" s="160"/>
      <c r="BO2295" s="161">
        <f t="shared" si="2046"/>
        <v>0</v>
      </c>
      <c r="BP2295" s="161"/>
    </row>
    <row r="2296" spans="1:68" ht="25.5">
      <c r="A2296" s="210"/>
      <c r="B2296" s="195" t="s">
        <v>10460</v>
      </c>
      <c r="C2296" s="196" t="s">
        <v>10461</v>
      </c>
      <c r="D2296" s="146" t="s">
        <v>4692</v>
      </c>
      <c r="E2296" s="377" t="s">
        <v>10461</v>
      </c>
      <c r="F2296" s="150">
        <v>0</v>
      </c>
      <c r="G2296" s="209">
        <v>0</v>
      </c>
      <c r="H2296" s="209"/>
      <c r="I2296" s="209">
        <v>0</v>
      </c>
      <c r="J2296" s="150">
        <v>0</v>
      </c>
      <c r="K2296" s="150">
        <v>0</v>
      </c>
      <c r="L2296" s="150">
        <f t="shared" si="1969"/>
        <v>0</v>
      </c>
      <c r="M2296" s="150">
        <v>0</v>
      </c>
      <c r="N2296" s="150"/>
      <c r="O2296" s="150">
        <v>0</v>
      </c>
      <c r="P2296" s="150">
        <v>0</v>
      </c>
      <c r="Q2296" s="150">
        <v>0</v>
      </c>
      <c r="R2296" s="150">
        <f>P2296+Q2296</f>
        <v>0</v>
      </c>
      <c r="S2296" s="150">
        <f t="shared" si="2040"/>
        <v>0</v>
      </c>
      <c r="T2296" s="150"/>
      <c r="U2296" s="150">
        <v>0</v>
      </c>
      <c r="V2296" s="199"/>
      <c r="W2296" s="150">
        <f>U2296+V2296</f>
        <v>0</v>
      </c>
      <c r="X2296" s="150">
        <v>0</v>
      </c>
      <c r="Y2296" s="150"/>
      <c r="Z2296" s="150">
        <v>0</v>
      </c>
      <c r="AA2296" s="150">
        <f t="shared" si="1950"/>
        <v>0</v>
      </c>
      <c r="AB2296" s="150">
        <v>0</v>
      </c>
      <c r="AC2296" s="199"/>
      <c r="AD2296" s="150">
        <f>AB2296+AC2296</f>
        <v>0</v>
      </c>
      <c r="AE2296" s="150">
        <v>0</v>
      </c>
      <c r="AF2296" s="169" t="s">
        <v>4680</v>
      </c>
      <c r="AG2296" s="201">
        <v>0</v>
      </c>
      <c r="AH2296" s="199"/>
      <c r="AI2296" s="150">
        <v>0</v>
      </c>
      <c r="AJ2296" s="169">
        <f t="shared" si="1951"/>
        <v>0</v>
      </c>
      <c r="AK2296" s="201">
        <v>0</v>
      </c>
      <c r="AL2296" s="199"/>
      <c r="AM2296" s="150">
        <f>AK2296+AL2296</f>
        <v>0</v>
      </c>
      <c r="AN2296" s="153">
        <f t="shared" si="1952"/>
        <v>0</v>
      </c>
      <c r="AO2296" s="154">
        <f t="shared" si="1953"/>
        <v>0</v>
      </c>
      <c r="AP2296" s="150">
        <v>0</v>
      </c>
      <c r="AQ2296" s="201">
        <v>0</v>
      </c>
      <c r="AR2296" s="199"/>
      <c r="AS2296" s="150">
        <f>AQ2296+AR2296</f>
        <v>0</v>
      </c>
      <c r="AT2296" s="155"/>
      <c r="AU2296" s="156">
        <f t="shared" si="1948"/>
        <v>0</v>
      </c>
      <c r="AV2296" s="156">
        <f t="shared" si="1949"/>
        <v>0</v>
      </c>
      <c r="AW2296" s="157"/>
      <c r="AX2296" s="150">
        <v>0</v>
      </c>
      <c r="AY2296" s="150">
        <v>0</v>
      </c>
      <c r="AZ2296" s="150"/>
      <c r="BA2296" s="150">
        <f t="shared" si="2009"/>
        <v>0</v>
      </c>
      <c r="BB2296" s="210"/>
      <c r="BC2296" s="210"/>
      <c r="BD2296" s="210"/>
      <c r="BE2296" s="210"/>
      <c r="BF2296" s="210"/>
      <c r="BG2296" s="210"/>
      <c r="BH2296" s="217"/>
      <c r="BI2296" s="210"/>
      <c r="BJ2296" s="210"/>
      <c r="BK2296" s="210"/>
      <c r="BL2296" s="210"/>
      <c r="BM2296" s="208"/>
      <c r="BN2296" s="160"/>
      <c r="BO2296" s="161">
        <f t="shared" si="2046"/>
        <v>0</v>
      </c>
      <c r="BP2296" s="161"/>
    </row>
    <row r="2297" spans="1:68">
      <c r="A2297" s="210"/>
      <c r="B2297" s="195" t="s">
        <v>10462</v>
      </c>
      <c r="C2297" s="196" t="s">
        <v>10463</v>
      </c>
      <c r="D2297" s="146" t="s">
        <v>4692</v>
      </c>
      <c r="E2297" s="377" t="s">
        <v>10463</v>
      </c>
      <c r="F2297" s="150">
        <v>0</v>
      </c>
      <c r="G2297" s="209">
        <v>-1417880.86</v>
      </c>
      <c r="H2297" s="209">
        <v>545347.30000000005</v>
      </c>
      <c r="I2297" s="209">
        <v>-872533.55999999982</v>
      </c>
      <c r="J2297" s="150">
        <v>0</v>
      </c>
      <c r="K2297" s="150">
        <v>0</v>
      </c>
      <c r="L2297" s="150">
        <f t="shared" si="1969"/>
        <v>0</v>
      </c>
      <c r="M2297" s="150">
        <v>0</v>
      </c>
      <c r="N2297" s="150"/>
      <c r="O2297" s="150">
        <v>0</v>
      </c>
      <c r="P2297" s="150">
        <v>0</v>
      </c>
      <c r="Q2297" s="150">
        <v>0</v>
      </c>
      <c r="R2297" s="150">
        <f>P2297+Q2297</f>
        <v>0</v>
      </c>
      <c r="S2297" s="150">
        <f t="shared" si="2040"/>
        <v>0</v>
      </c>
      <c r="T2297" s="150"/>
      <c r="U2297" s="150">
        <v>0</v>
      </c>
      <c r="V2297" s="199"/>
      <c r="W2297" s="150">
        <f>U2297+V2297</f>
        <v>0</v>
      </c>
      <c r="X2297" s="150">
        <v>0</v>
      </c>
      <c r="Y2297" s="150"/>
      <c r="Z2297" s="150">
        <v>0</v>
      </c>
      <c r="AA2297" s="150">
        <f t="shared" si="1950"/>
        <v>0</v>
      </c>
      <c r="AB2297" s="150">
        <v>0</v>
      </c>
      <c r="AC2297" s="199"/>
      <c r="AD2297" s="150">
        <f>AB2297+AC2297</f>
        <v>0</v>
      </c>
      <c r="AE2297" s="150">
        <v>0</v>
      </c>
      <c r="AF2297" s="169" t="s">
        <v>4680</v>
      </c>
      <c r="AG2297" s="201">
        <v>0</v>
      </c>
      <c r="AH2297" s="199"/>
      <c r="AI2297" s="150">
        <v>0</v>
      </c>
      <c r="AJ2297" s="169">
        <f t="shared" si="1951"/>
        <v>0</v>
      </c>
      <c r="AK2297" s="201">
        <v>0</v>
      </c>
      <c r="AL2297" s="199"/>
      <c r="AM2297" s="150">
        <f>AK2297+AL2297</f>
        <v>0</v>
      </c>
      <c r="AN2297" s="153">
        <f t="shared" si="1952"/>
        <v>0</v>
      </c>
      <c r="AO2297" s="154">
        <f t="shared" si="1953"/>
        <v>0</v>
      </c>
      <c r="AP2297" s="150">
        <v>0</v>
      </c>
      <c r="AQ2297" s="201">
        <v>0</v>
      </c>
      <c r="AR2297" s="199"/>
      <c r="AS2297" s="150">
        <f>AQ2297+AR2297</f>
        <v>0</v>
      </c>
      <c r="AT2297" s="155"/>
      <c r="AU2297" s="156">
        <f t="shared" si="1948"/>
        <v>0</v>
      </c>
      <c r="AV2297" s="156">
        <f t="shared" si="1949"/>
        <v>0</v>
      </c>
      <c r="AW2297" s="157"/>
      <c r="AX2297" s="150">
        <v>0</v>
      </c>
      <c r="AY2297" s="150">
        <v>0</v>
      </c>
      <c r="AZ2297" s="150"/>
      <c r="BA2297" s="150">
        <f t="shared" si="2009"/>
        <v>0</v>
      </c>
      <c r="BB2297" s="210"/>
      <c r="BC2297" s="210"/>
      <c r="BD2297" s="210"/>
      <c r="BE2297" s="210"/>
      <c r="BF2297" s="210"/>
      <c r="BG2297" s="210"/>
      <c r="BH2297" s="217"/>
      <c r="BI2297" s="210"/>
      <c r="BJ2297" s="210"/>
      <c r="BK2297" s="210"/>
      <c r="BL2297" s="210"/>
      <c r="BM2297" s="208"/>
      <c r="BN2297" s="160"/>
      <c r="BO2297" s="161">
        <f t="shared" si="2046"/>
        <v>0</v>
      </c>
      <c r="BP2297" s="161"/>
    </row>
    <row r="2298" spans="1:68" ht="25.5">
      <c r="A2298" s="288" t="s">
        <v>2351</v>
      </c>
      <c r="B2298" s="144"/>
      <c r="C2298" s="145" t="s">
        <v>10464</v>
      </c>
      <c r="D2298" s="146" t="s">
        <v>4692</v>
      </c>
      <c r="E2298" s="145" t="s">
        <v>10464</v>
      </c>
      <c r="F2298" s="149">
        <v>3034466.5500000007</v>
      </c>
      <c r="G2298" s="148">
        <v>770498.55</v>
      </c>
      <c r="H2298" s="148">
        <v>67257.3</v>
      </c>
      <c r="I2298" s="148">
        <v>837755.85000000009</v>
      </c>
      <c r="J2298" s="149">
        <f>J2299-J2386</f>
        <v>-15173.779999999999</v>
      </c>
      <c r="K2298" s="149">
        <f>K2299-K2386</f>
        <v>9737.3000000000029</v>
      </c>
      <c r="L2298" s="149">
        <f t="shared" si="1969"/>
        <v>-5436.4799999999959</v>
      </c>
      <c r="M2298" s="149">
        <v>-2801333.6149999998</v>
      </c>
      <c r="N2298" s="149">
        <v>0</v>
      </c>
      <c r="O2298" s="149">
        <v>-2801333.6149999998</v>
      </c>
      <c r="P2298" s="373">
        <f t="shared" ref="P2298:R2298" si="2057">P2299-P2386</f>
        <v>-3581013.9099999997</v>
      </c>
      <c r="Q2298" s="373">
        <f t="shared" si="2057"/>
        <v>666731.98999999987</v>
      </c>
      <c r="R2298" s="373">
        <f t="shared" si="2057"/>
        <v>-2914281.92</v>
      </c>
      <c r="S2298" s="150">
        <f t="shared" si="2040"/>
        <v>-3885709.2266666666</v>
      </c>
      <c r="T2298" s="213"/>
      <c r="U2298" s="373">
        <f t="shared" ref="U2298:W2298" si="2058">U2299-U2386</f>
        <v>-5271132.32</v>
      </c>
      <c r="V2298" s="290">
        <f t="shared" si="2058"/>
        <v>-118966.89</v>
      </c>
      <c r="W2298" s="373">
        <f t="shared" si="2058"/>
        <v>-5390099.209999999</v>
      </c>
      <c r="X2298" s="373">
        <v>-5271132.32</v>
      </c>
      <c r="Y2298" s="373">
        <v>-118966.89</v>
      </c>
      <c r="Z2298" s="373">
        <v>-5390099.209999999</v>
      </c>
      <c r="AA2298" s="373">
        <f t="shared" si="1950"/>
        <v>1475808.2699999986</v>
      </c>
      <c r="AB2298" s="373">
        <v>-5604866.9500000002</v>
      </c>
      <c r="AC2298" s="290">
        <v>1690576.01</v>
      </c>
      <c r="AD2298" s="373">
        <f t="shared" ref="AD2298" si="2059">AD2299-AD2386</f>
        <v>-3914290.9400000004</v>
      </c>
      <c r="AE2298" s="373">
        <v>-3554027.0299999993</v>
      </c>
      <c r="AF2298" s="169" t="s">
        <v>4680</v>
      </c>
      <c r="AG2298" s="374">
        <v>-5612016.4799999995</v>
      </c>
      <c r="AH2298" s="290">
        <v>2057989.45</v>
      </c>
      <c r="AI2298" s="373">
        <v>-3554027.0299999993</v>
      </c>
      <c r="AJ2298" s="169">
        <f t="shared" si="1951"/>
        <v>267842.05999999866</v>
      </c>
      <c r="AK2298" s="374">
        <v>-5344174.4200000009</v>
      </c>
      <c r="AL2298" s="290">
        <v>2057989.45</v>
      </c>
      <c r="AM2298" s="373">
        <f t="shared" ref="AM2298" si="2060">AM2299-AM2386</f>
        <v>-3286184.9700000007</v>
      </c>
      <c r="AN2298" s="153">
        <f t="shared" si="1952"/>
        <v>8944618.6500000004</v>
      </c>
      <c r="AO2298" s="154">
        <f t="shared" si="1953"/>
        <v>8960930.4299999997</v>
      </c>
      <c r="AP2298" s="373">
        <v>-3302496.7500000005</v>
      </c>
      <c r="AQ2298" s="374">
        <v>5658433.6799999997</v>
      </c>
      <c r="AR2298" s="290">
        <f t="shared" ref="AR2298:AS2298" si="2061">AR2299-AR2386</f>
        <v>0</v>
      </c>
      <c r="AS2298" s="373">
        <f t="shared" si="2061"/>
        <v>5658433.6799999997</v>
      </c>
      <c r="AT2298" s="155"/>
      <c r="AU2298" s="156">
        <f t="shared" si="1948"/>
        <v>628105.96999999974</v>
      </c>
      <c r="AV2298" s="156">
        <f t="shared" si="1949"/>
        <v>1475808.2699999986</v>
      </c>
      <c r="AW2298" s="157"/>
      <c r="AX2298" s="150">
        <v>-5390099.209999999</v>
      </c>
      <c r="AY2298" s="373">
        <f t="shared" ref="AY2298:BA2298" si="2062">AY2299-AY2386</f>
        <v>-3038976.2949999999</v>
      </c>
      <c r="AZ2298" s="373">
        <f t="shared" si="2062"/>
        <v>618355.96499999997</v>
      </c>
      <c r="BA2298" s="373">
        <f t="shared" si="2062"/>
        <v>-2420620.33</v>
      </c>
      <c r="BB2298" s="288">
        <v>8</v>
      </c>
      <c r="BC2298" s="292" t="s">
        <v>630</v>
      </c>
      <c r="BD2298" s="292" t="s">
        <v>630</v>
      </c>
      <c r="BE2298" s="158" t="s">
        <v>630</v>
      </c>
      <c r="BF2298" s="292" t="s">
        <v>630</v>
      </c>
      <c r="BG2298" s="145" t="s">
        <v>10464</v>
      </c>
      <c r="BH2298" s="375">
        <f>BH2299-BH2386</f>
        <v>5658433.6799999997</v>
      </c>
      <c r="BI2298" s="288"/>
      <c r="BJ2298" s="288" t="s">
        <v>2351</v>
      </c>
      <c r="BK2298" s="288" t="s">
        <v>2351</v>
      </c>
      <c r="BL2298" s="159" t="s">
        <v>10465</v>
      </c>
      <c r="BM2298" s="376">
        <f>BM2299-BM2386</f>
        <v>5658433.6799999997</v>
      </c>
      <c r="BN2298" s="160"/>
      <c r="BO2298" s="161">
        <f t="shared" si="2046"/>
        <v>0</v>
      </c>
      <c r="BP2298" s="161"/>
    </row>
    <row r="2299" spans="1:68">
      <c r="A2299" s="262" t="s">
        <v>10466</v>
      </c>
      <c r="B2299" s="163"/>
      <c r="C2299" s="164" t="s">
        <v>10467</v>
      </c>
      <c r="D2299" s="146" t="s">
        <v>4692</v>
      </c>
      <c r="E2299" s="164" t="s">
        <v>10467</v>
      </c>
      <c r="F2299" s="167">
        <v>4812044.5600000005</v>
      </c>
      <c r="G2299" s="166">
        <v>0</v>
      </c>
      <c r="H2299" s="166">
        <v>0</v>
      </c>
      <c r="I2299" s="166">
        <v>0</v>
      </c>
      <c r="J2299" s="167">
        <f>J2300+J2347</f>
        <v>60838.69</v>
      </c>
      <c r="K2299" s="167">
        <f>K2300+K2347</f>
        <v>67257.3</v>
      </c>
      <c r="L2299" s="167">
        <f t="shared" si="1969"/>
        <v>128095.99</v>
      </c>
      <c r="M2299" s="167">
        <v>91681.29</v>
      </c>
      <c r="N2299" s="167">
        <v>0</v>
      </c>
      <c r="O2299" s="167">
        <v>91681.29</v>
      </c>
      <c r="P2299" s="340">
        <f t="shared" ref="P2299:R2299" si="2063">P2300+P2347</f>
        <v>189290.08000000002</v>
      </c>
      <c r="Q2299" s="340">
        <f t="shared" si="2063"/>
        <v>0</v>
      </c>
      <c r="R2299" s="340">
        <f t="shared" si="2063"/>
        <v>189290.08000000002</v>
      </c>
      <c r="S2299" s="150">
        <f t="shared" si="2040"/>
        <v>252386.77333333335</v>
      </c>
      <c r="T2299" s="213"/>
      <c r="U2299" s="340">
        <f t="shared" ref="U2299:W2299" si="2064">U2300+U2347</f>
        <v>810371.85999999987</v>
      </c>
      <c r="V2299" s="233">
        <f t="shared" si="2064"/>
        <v>0</v>
      </c>
      <c r="W2299" s="340">
        <f t="shared" si="2064"/>
        <v>810371.85999999987</v>
      </c>
      <c r="X2299" s="340">
        <v>810371.85999999987</v>
      </c>
      <c r="Y2299" s="340">
        <v>0</v>
      </c>
      <c r="Z2299" s="340">
        <v>810371.85999999987</v>
      </c>
      <c r="AA2299" s="340">
        <f t="shared" si="1950"/>
        <v>-298594.80999999988</v>
      </c>
      <c r="AB2299" s="340">
        <v>511777.05</v>
      </c>
      <c r="AC2299" s="233">
        <v>0</v>
      </c>
      <c r="AD2299" s="340">
        <f t="shared" ref="AD2299" si="2065">AD2300+AD2347</f>
        <v>511777.05</v>
      </c>
      <c r="AE2299" s="340">
        <v>507366.79</v>
      </c>
      <c r="AF2299" s="169" t="s">
        <v>4680</v>
      </c>
      <c r="AG2299" s="342">
        <v>507366.79</v>
      </c>
      <c r="AH2299" s="233">
        <v>0</v>
      </c>
      <c r="AI2299" s="340">
        <v>507366.79</v>
      </c>
      <c r="AJ2299" s="169">
        <f t="shared" si="1951"/>
        <v>93483.43</v>
      </c>
      <c r="AK2299" s="342">
        <v>600850.22</v>
      </c>
      <c r="AL2299" s="233">
        <v>0</v>
      </c>
      <c r="AM2299" s="340">
        <f t="shared" ref="AM2299" si="2066">AM2300+AM2347</f>
        <v>600850.22</v>
      </c>
      <c r="AN2299" s="153">
        <f t="shared" si="1952"/>
        <v>8368245.7999999998</v>
      </c>
      <c r="AO2299" s="154">
        <f t="shared" si="1953"/>
        <v>8380957.5800000001</v>
      </c>
      <c r="AP2299" s="340">
        <v>588138.43999999994</v>
      </c>
      <c r="AQ2299" s="342">
        <v>8969096.0199999996</v>
      </c>
      <c r="AR2299" s="233">
        <f t="shared" ref="AR2299:AS2299" si="2067">AR2300+AR2347</f>
        <v>0</v>
      </c>
      <c r="AS2299" s="340">
        <f t="shared" si="2067"/>
        <v>8969096.0199999996</v>
      </c>
      <c r="AT2299" s="155"/>
      <c r="AU2299" s="156">
        <f t="shared" si="1948"/>
        <v>89073.169999999984</v>
      </c>
      <c r="AV2299" s="156">
        <f t="shared" si="1949"/>
        <v>-298594.80999999988</v>
      </c>
      <c r="AW2299" s="157"/>
      <c r="AX2299" s="150">
        <v>810371.85999999987</v>
      </c>
      <c r="AY2299" s="340">
        <f t="shared" ref="AY2299:BA2299" si="2068">AY2300+AY2347</f>
        <v>151767.79</v>
      </c>
      <c r="AZ2299" s="340">
        <f t="shared" si="2068"/>
        <v>0</v>
      </c>
      <c r="BA2299" s="340">
        <f t="shared" si="2068"/>
        <v>151767.79</v>
      </c>
      <c r="BB2299" s="263">
        <v>8</v>
      </c>
      <c r="BC2299" s="262" t="s">
        <v>632</v>
      </c>
      <c r="BD2299" s="262" t="s">
        <v>630</v>
      </c>
      <c r="BE2299" s="162" t="s">
        <v>630</v>
      </c>
      <c r="BF2299" s="262" t="s">
        <v>630</v>
      </c>
      <c r="BG2299" s="164" t="s">
        <v>10467</v>
      </c>
      <c r="BH2299" s="235">
        <f>BH2300+BH2347</f>
        <v>8969096.0199999996</v>
      </c>
      <c r="BI2299" s="263"/>
      <c r="BJ2299" s="262" t="s">
        <v>10468</v>
      </c>
      <c r="BK2299" s="262" t="s">
        <v>10466</v>
      </c>
      <c r="BL2299" s="172" t="s">
        <v>10469</v>
      </c>
      <c r="BM2299" s="349">
        <f>BM2300+BM2347</f>
        <v>8969096.0199999996</v>
      </c>
      <c r="BN2299" s="160"/>
      <c r="BO2299" s="161">
        <f t="shared" si="2046"/>
        <v>0</v>
      </c>
      <c r="BP2299" s="161"/>
    </row>
    <row r="2300" spans="1:68">
      <c r="A2300" s="255" t="s">
        <v>10470</v>
      </c>
      <c r="B2300" s="174"/>
      <c r="C2300" s="175" t="s">
        <v>10471</v>
      </c>
      <c r="D2300" s="146" t="s">
        <v>4692</v>
      </c>
      <c r="E2300" s="175" t="s">
        <v>10471</v>
      </c>
      <c r="F2300" s="178">
        <v>0</v>
      </c>
      <c r="G2300" s="177">
        <v>0</v>
      </c>
      <c r="H2300" s="177">
        <v>0</v>
      </c>
      <c r="I2300" s="177">
        <v>0</v>
      </c>
      <c r="J2300" s="178">
        <f>J2301</f>
        <v>0</v>
      </c>
      <c r="K2300" s="178">
        <f>K2301</f>
        <v>0</v>
      </c>
      <c r="L2300" s="178">
        <f t="shared" si="1969"/>
        <v>0</v>
      </c>
      <c r="M2300" s="178">
        <v>0</v>
      </c>
      <c r="N2300" s="178">
        <v>0</v>
      </c>
      <c r="O2300" s="178">
        <v>0</v>
      </c>
      <c r="P2300" s="319">
        <f t="shared" ref="P2300:AS2300" si="2069">P2301</f>
        <v>0</v>
      </c>
      <c r="Q2300" s="319">
        <f t="shared" si="2069"/>
        <v>0</v>
      </c>
      <c r="R2300" s="319">
        <f t="shared" si="2069"/>
        <v>0</v>
      </c>
      <c r="S2300" s="150">
        <f t="shared" si="2040"/>
        <v>0</v>
      </c>
      <c r="T2300" s="213"/>
      <c r="U2300" s="319">
        <f t="shared" ref="U2300:W2300" si="2070">U2301</f>
        <v>0</v>
      </c>
      <c r="V2300" s="222">
        <f t="shared" si="2070"/>
        <v>0</v>
      </c>
      <c r="W2300" s="319">
        <f t="shared" si="2070"/>
        <v>0</v>
      </c>
      <c r="X2300" s="319">
        <v>0</v>
      </c>
      <c r="Y2300" s="319">
        <v>0</v>
      </c>
      <c r="Z2300" s="319">
        <v>0</v>
      </c>
      <c r="AA2300" s="319">
        <f t="shared" si="1950"/>
        <v>0</v>
      </c>
      <c r="AB2300" s="319">
        <v>0</v>
      </c>
      <c r="AC2300" s="222">
        <v>0</v>
      </c>
      <c r="AD2300" s="319">
        <f t="shared" si="2069"/>
        <v>0</v>
      </c>
      <c r="AE2300" s="319">
        <v>0</v>
      </c>
      <c r="AF2300" s="169" t="s">
        <v>4680</v>
      </c>
      <c r="AG2300" s="320">
        <v>0</v>
      </c>
      <c r="AH2300" s="222">
        <v>0</v>
      </c>
      <c r="AI2300" s="319">
        <v>0</v>
      </c>
      <c r="AJ2300" s="169">
        <f t="shared" si="1951"/>
        <v>0</v>
      </c>
      <c r="AK2300" s="320">
        <v>0</v>
      </c>
      <c r="AL2300" s="222">
        <v>0</v>
      </c>
      <c r="AM2300" s="319">
        <f t="shared" si="2069"/>
        <v>0</v>
      </c>
      <c r="AN2300" s="153">
        <f t="shared" si="1952"/>
        <v>0</v>
      </c>
      <c r="AO2300" s="154">
        <f t="shared" si="1953"/>
        <v>0</v>
      </c>
      <c r="AP2300" s="319">
        <v>0</v>
      </c>
      <c r="AQ2300" s="320">
        <v>0</v>
      </c>
      <c r="AR2300" s="222">
        <f t="shared" si="2069"/>
        <v>0</v>
      </c>
      <c r="AS2300" s="319">
        <f t="shared" si="2069"/>
        <v>0</v>
      </c>
      <c r="AT2300" s="155"/>
      <c r="AU2300" s="156">
        <f t="shared" si="1948"/>
        <v>0</v>
      </c>
      <c r="AV2300" s="156">
        <f t="shared" si="1949"/>
        <v>0</v>
      </c>
      <c r="AW2300" s="157"/>
      <c r="AX2300" s="150">
        <v>0</v>
      </c>
      <c r="AY2300" s="319">
        <f t="shared" ref="AY2300:BA2300" si="2071">AY2301</f>
        <v>0</v>
      </c>
      <c r="AZ2300" s="319">
        <f t="shared" si="2071"/>
        <v>0</v>
      </c>
      <c r="BA2300" s="319">
        <f t="shared" si="2071"/>
        <v>0</v>
      </c>
      <c r="BB2300" s="254">
        <v>8</v>
      </c>
      <c r="BC2300" s="255" t="s">
        <v>632</v>
      </c>
      <c r="BD2300" s="255" t="s">
        <v>632</v>
      </c>
      <c r="BE2300" s="173" t="s">
        <v>630</v>
      </c>
      <c r="BF2300" s="255" t="s">
        <v>630</v>
      </c>
      <c r="BG2300" s="175" t="s">
        <v>10471</v>
      </c>
      <c r="BH2300" s="224">
        <f>BH2301</f>
        <v>0</v>
      </c>
      <c r="BI2300" s="254"/>
      <c r="BJ2300" s="255" t="s">
        <v>10472</v>
      </c>
      <c r="BK2300" s="255" t="s">
        <v>10470</v>
      </c>
      <c r="BL2300" s="182" t="s">
        <v>10473</v>
      </c>
      <c r="BM2300" s="337">
        <f>BM2301</f>
        <v>0</v>
      </c>
      <c r="BN2300" s="160"/>
      <c r="BO2300" s="161">
        <f t="shared" si="2046"/>
        <v>0</v>
      </c>
      <c r="BP2300" s="161"/>
    </row>
    <row r="2301" spans="1:68">
      <c r="A2301" s="256" t="s">
        <v>10470</v>
      </c>
      <c r="B2301" s="184"/>
      <c r="C2301" s="185" t="s">
        <v>10471</v>
      </c>
      <c r="D2301" s="146" t="s">
        <v>4692</v>
      </c>
      <c r="E2301" s="185" t="s">
        <v>10471</v>
      </c>
      <c r="F2301" s="188">
        <v>0</v>
      </c>
      <c r="G2301" s="187">
        <v>0</v>
      </c>
      <c r="H2301" s="187"/>
      <c r="I2301" s="187">
        <v>0</v>
      </c>
      <c r="J2301" s="188">
        <f>SUM(J2302:J2346)</f>
        <v>0</v>
      </c>
      <c r="K2301" s="188">
        <f>SUM(K2302:K2346)</f>
        <v>0</v>
      </c>
      <c r="L2301" s="188">
        <f t="shared" si="1969"/>
        <v>0</v>
      </c>
      <c r="M2301" s="188">
        <v>0</v>
      </c>
      <c r="N2301" s="188">
        <v>0</v>
      </c>
      <c r="O2301" s="188">
        <v>0</v>
      </c>
      <c r="P2301" s="299">
        <f t="shared" ref="P2301:R2301" si="2072">SUM(P2302:P2346)</f>
        <v>0</v>
      </c>
      <c r="Q2301" s="299">
        <f t="shared" si="2072"/>
        <v>0</v>
      </c>
      <c r="R2301" s="299">
        <f t="shared" si="2072"/>
        <v>0</v>
      </c>
      <c r="S2301" s="150">
        <f t="shared" si="2040"/>
        <v>0</v>
      </c>
      <c r="T2301" s="213"/>
      <c r="U2301" s="299">
        <f t="shared" ref="U2301:W2301" si="2073">SUM(U2302:U2346)</f>
        <v>0</v>
      </c>
      <c r="V2301" s="226">
        <f t="shared" si="2073"/>
        <v>0</v>
      </c>
      <c r="W2301" s="299">
        <f t="shared" si="2073"/>
        <v>0</v>
      </c>
      <c r="X2301" s="299">
        <v>0</v>
      </c>
      <c r="Y2301" s="299">
        <v>0</v>
      </c>
      <c r="Z2301" s="299">
        <v>0</v>
      </c>
      <c r="AA2301" s="299">
        <f t="shared" si="1950"/>
        <v>0</v>
      </c>
      <c r="AB2301" s="299">
        <v>0</v>
      </c>
      <c r="AC2301" s="226">
        <v>0</v>
      </c>
      <c r="AD2301" s="299">
        <f t="shared" ref="AD2301" si="2074">SUM(AD2302:AD2346)</f>
        <v>0</v>
      </c>
      <c r="AE2301" s="299">
        <v>0</v>
      </c>
      <c r="AF2301" s="169" t="s">
        <v>4680</v>
      </c>
      <c r="AG2301" s="301">
        <v>0</v>
      </c>
      <c r="AH2301" s="226">
        <v>0</v>
      </c>
      <c r="AI2301" s="299">
        <v>0</v>
      </c>
      <c r="AJ2301" s="169">
        <f t="shared" si="1951"/>
        <v>0</v>
      </c>
      <c r="AK2301" s="301">
        <v>0</v>
      </c>
      <c r="AL2301" s="226">
        <v>0</v>
      </c>
      <c r="AM2301" s="299">
        <f t="shared" ref="AM2301" si="2075">SUM(AM2302:AM2346)</f>
        <v>0</v>
      </c>
      <c r="AN2301" s="153">
        <f t="shared" si="1952"/>
        <v>0</v>
      </c>
      <c r="AO2301" s="154">
        <f t="shared" si="1953"/>
        <v>0</v>
      </c>
      <c r="AP2301" s="299">
        <v>0</v>
      </c>
      <c r="AQ2301" s="301">
        <v>0</v>
      </c>
      <c r="AR2301" s="226">
        <f t="shared" ref="AR2301:AS2301" si="2076">SUM(AR2302:AR2346)</f>
        <v>0</v>
      </c>
      <c r="AS2301" s="299">
        <f t="shared" si="2076"/>
        <v>0</v>
      </c>
      <c r="AT2301" s="155"/>
      <c r="AU2301" s="156">
        <f t="shared" si="1948"/>
        <v>0</v>
      </c>
      <c r="AV2301" s="156">
        <f t="shared" si="1949"/>
        <v>0</v>
      </c>
      <c r="AW2301" s="157"/>
      <c r="AX2301" s="150">
        <v>0</v>
      </c>
      <c r="AY2301" s="299">
        <f t="shared" ref="AY2301:BA2301" si="2077">SUM(AY2302:AY2346)</f>
        <v>0</v>
      </c>
      <c r="AZ2301" s="299">
        <f t="shared" si="2077"/>
        <v>0</v>
      </c>
      <c r="BA2301" s="299">
        <f t="shared" si="2077"/>
        <v>0</v>
      </c>
      <c r="BB2301" s="192">
        <v>8</v>
      </c>
      <c r="BC2301" s="256" t="s">
        <v>632</v>
      </c>
      <c r="BD2301" s="256" t="s">
        <v>632</v>
      </c>
      <c r="BE2301" s="183" t="s">
        <v>632</v>
      </c>
      <c r="BF2301" s="256" t="s">
        <v>630</v>
      </c>
      <c r="BG2301" s="185" t="s">
        <v>10471</v>
      </c>
      <c r="BH2301" s="215">
        <f>BH2302</f>
        <v>0</v>
      </c>
      <c r="BI2301" s="192"/>
      <c r="BJ2301" s="256" t="s">
        <v>10472</v>
      </c>
      <c r="BK2301" s="256" t="s">
        <v>10470</v>
      </c>
      <c r="BL2301" s="238" t="s">
        <v>10473</v>
      </c>
      <c r="BM2301" s="338">
        <f>BM2302</f>
        <v>0</v>
      </c>
      <c r="BN2301" s="160"/>
      <c r="BO2301" s="161">
        <f t="shared" si="2046"/>
        <v>0</v>
      </c>
      <c r="BP2301" s="161"/>
    </row>
    <row r="2302" spans="1:68" ht="25.5">
      <c r="A2302" s="206" t="s">
        <v>10470</v>
      </c>
      <c r="B2302" s="195" t="s">
        <v>10474</v>
      </c>
      <c r="C2302" s="196" t="s">
        <v>10475</v>
      </c>
      <c r="D2302" s="146" t="s">
        <v>4692</v>
      </c>
      <c r="E2302" s="196" t="s">
        <v>10475</v>
      </c>
      <c r="F2302" s="150">
        <v>0</v>
      </c>
      <c r="G2302" s="209">
        <v>0</v>
      </c>
      <c r="H2302" s="209"/>
      <c r="I2302" s="209">
        <v>0</v>
      </c>
      <c r="J2302" s="150">
        <v>0</v>
      </c>
      <c r="K2302" s="150">
        <v>0</v>
      </c>
      <c r="L2302" s="150">
        <f t="shared" si="1969"/>
        <v>0</v>
      </c>
      <c r="M2302" s="150">
        <v>0</v>
      </c>
      <c r="N2302" s="150"/>
      <c r="O2302" s="150">
        <v>0</v>
      </c>
      <c r="P2302" s="150">
        <v>0</v>
      </c>
      <c r="Q2302" s="150">
        <v>0</v>
      </c>
      <c r="R2302" s="150">
        <f t="shared" ref="R2302:R2346" si="2078">P2302+Q2302</f>
        <v>0</v>
      </c>
      <c r="S2302" s="150">
        <f t="shared" si="2040"/>
        <v>0</v>
      </c>
      <c r="T2302" s="150"/>
      <c r="U2302" s="150">
        <v>0</v>
      </c>
      <c r="V2302" s="199"/>
      <c r="W2302" s="150">
        <f t="shared" ref="W2302:W2346" si="2079">U2302+V2302</f>
        <v>0</v>
      </c>
      <c r="X2302" s="150">
        <v>0</v>
      </c>
      <c r="Y2302" s="150"/>
      <c r="Z2302" s="150">
        <v>0</v>
      </c>
      <c r="AA2302" s="150">
        <f t="shared" si="1950"/>
        <v>0</v>
      </c>
      <c r="AB2302" s="150">
        <v>0</v>
      </c>
      <c r="AC2302" s="199"/>
      <c r="AD2302" s="150">
        <f t="shared" ref="AD2302:AD2346" si="2080">AB2302+AC2302</f>
        <v>0</v>
      </c>
      <c r="AE2302" s="150">
        <v>0</v>
      </c>
      <c r="AF2302" s="169" t="s">
        <v>4680</v>
      </c>
      <c r="AG2302" s="201">
        <v>0</v>
      </c>
      <c r="AH2302" s="199"/>
      <c r="AI2302" s="150">
        <v>0</v>
      </c>
      <c r="AJ2302" s="169">
        <f t="shared" si="1951"/>
        <v>0</v>
      </c>
      <c r="AK2302" s="201">
        <v>0</v>
      </c>
      <c r="AL2302" s="199"/>
      <c r="AM2302" s="150">
        <f t="shared" ref="AM2302:AM2346" si="2081">AK2302+AL2302</f>
        <v>0</v>
      </c>
      <c r="AN2302" s="153">
        <f t="shared" si="1952"/>
        <v>0</v>
      </c>
      <c r="AO2302" s="154">
        <f t="shared" si="1953"/>
        <v>0</v>
      </c>
      <c r="AP2302" s="150">
        <v>0</v>
      </c>
      <c r="AQ2302" s="201">
        <v>0</v>
      </c>
      <c r="AR2302" s="199"/>
      <c r="AS2302" s="150">
        <f t="shared" ref="AS2302:AS2346" si="2082">AQ2302+AR2302</f>
        <v>0</v>
      </c>
      <c r="AT2302" s="155">
        <f>-AB2319</f>
        <v>0</v>
      </c>
      <c r="AU2302" s="156">
        <f t="shared" si="1948"/>
        <v>0</v>
      </c>
      <c r="AV2302" s="156">
        <f t="shared" si="1949"/>
        <v>0</v>
      </c>
      <c r="AW2302" s="157"/>
      <c r="AX2302" s="150">
        <v>0</v>
      </c>
      <c r="AY2302" s="150">
        <v>0</v>
      </c>
      <c r="AZ2302" s="150"/>
      <c r="BA2302" s="150">
        <f t="shared" si="2009"/>
        <v>0</v>
      </c>
      <c r="BB2302" s="202">
        <v>8</v>
      </c>
      <c r="BC2302" s="202" t="s">
        <v>632</v>
      </c>
      <c r="BD2302" s="202" t="s">
        <v>632</v>
      </c>
      <c r="BE2302" s="202" t="s">
        <v>632</v>
      </c>
      <c r="BF2302" s="202" t="s">
        <v>632</v>
      </c>
      <c r="BG2302" s="203" t="s">
        <v>10471</v>
      </c>
      <c r="BH2302" s="216">
        <f>SUM(AS2302:AS2346)</f>
        <v>0</v>
      </c>
      <c r="BI2302" s="205"/>
      <c r="BJ2302" s="206" t="s">
        <v>10472</v>
      </c>
      <c r="BK2302" s="206" t="s">
        <v>10470</v>
      </c>
      <c r="BL2302" s="207" t="s">
        <v>10473</v>
      </c>
      <c r="BM2302" s="208">
        <f>BH2302</f>
        <v>0</v>
      </c>
      <c r="BN2302" s="160"/>
      <c r="BO2302" s="161">
        <f t="shared" si="2046"/>
        <v>0</v>
      </c>
      <c r="BP2302" s="161"/>
    </row>
    <row r="2303" spans="1:68" ht="25.5">
      <c r="A2303" s="205"/>
      <c r="B2303" s="195" t="s">
        <v>10476</v>
      </c>
      <c r="C2303" s="196" t="s">
        <v>10477</v>
      </c>
      <c r="D2303" s="146" t="s">
        <v>4692</v>
      </c>
      <c r="E2303" s="196" t="s">
        <v>10477</v>
      </c>
      <c r="F2303" s="150">
        <v>0</v>
      </c>
      <c r="G2303" s="209">
        <v>0</v>
      </c>
      <c r="H2303" s="209"/>
      <c r="I2303" s="209">
        <v>0</v>
      </c>
      <c r="J2303" s="150">
        <v>0</v>
      </c>
      <c r="K2303" s="150">
        <v>0</v>
      </c>
      <c r="L2303" s="150">
        <f t="shared" si="1969"/>
        <v>0</v>
      </c>
      <c r="M2303" s="150">
        <v>0</v>
      </c>
      <c r="N2303" s="150"/>
      <c r="O2303" s="150">
        <v>0</v>
      </c>
      <c r="P2303" s="150">
        <v>0</v>
      </c>
      <c r="Q2303" s="150">
        <v>0</v>
      </c>
      <c r="R2303" s="150">
        <f t="shared" si="2078"/>
        <v>0</v>
      </c>
      <c r="S2303" s="150">
        <f t="shared" si="2040"/>
        <v>0</v>
      </c>
      <c r="T2303" s="150"/>
      <c r="U2303" s="150">
        <v>0</v>
      </c>
      <c r="V2303" s="199"/>
      <c r="W2303" s="150">
        <f t="shared" si="2079"/>
        <v>0</v>
      </c>
      <c r="X2303" s="150">
        <v>0</v>
      </c>
      <c r="Y2303" s="150"/>
      <c r="Z2303" s="150">
        <v>0</v>
      </c>
      <c r="AA2303" s="150">
        <f t="shared" si="1950"/>
        <v>0</v>
      </c>
      <c r="AB2303" s="150">
        <v>0</v>
      </c>
      <c r="AC2303" s="199"/>
      <c r="AD2303" s="150">
        <f t="shared" si="2080"/>
        <v>0</v>
      </c>
      <c r="AE2303" s="150">
        <v>0</v>
      </c>
      <c r="AF2303" s="169" t="s">
        <v>4680</v>
      </c>
      <c r="AG2303" s="201">
        <v>0</v>
      </c>
      <c r="AH2303" s="199"/>
      <c r="AI2303" s="150">
        <v>0</v>
      </c>
      <c r="AJ2303" s="169">
        <f t="shared" si="1951"/>
        <v>0</v>
      </c>
      <c r="AK2303" s="201">
        <v>0</v>
      </c>
      <c r="AL2303" s="199"/>
      <c r="AM2303" s="150">
        <f t="shared" si="2081"/>
        <v>0</v>
      </c>
      <c r="AN2303" s="153">
        <f t="shared" si="1952"/>
        <v>0</v>
      </c>
      <c r="AO2303" s="154">
        <f t="shared" si="1953"/>
        <v>0</v>
      </c>
      <c r="AP2303" s="150">
        <v>0</v>
      </c>
      <c r="AQ2303" s="201">
        <v>0</v>
      </c>
      <c r="AR2303" s="199"/>
      <c r="AS2303" s="150">
        <f t="shared" si="2082"/>
        <v>0</v>
      </c>
      <c r="AT2303" s="155"/>
      <c r="AU2303" s="156">
        <f t="shared" si="1948"/>
        <v>0</v>
      </c>
      <c r="AV2303" s="156">
        <f t="shared" si="1949"/>
        <v>0</v>
      </c>
      <c r="AW2303" s="157"/>
      <c r="AX2303" s="150">
        <v>0</v>
      </c>
      <c r="AY2303" s="150">
        <v>0</v>
      </c>
      <c r="AZ2303" s="150"/>
      <c r="BA2303" s="150">
        <f t="shared" si="2009"/>
        <v>0</v>
      </c>
      <c r="BB2303" s="202"/>
      <c r="BC2303" s="202"/>
      <c r="BD2303" s="202"/>
      <c r="BE2303" s="202"/>
      <c r="BF2303" s="202"/>
      <c r="BG2303" s="203"/>
      <c r="BH2303" s="216"/>
      <c r="BI2303" s="205"/>
      <c r="BJ2303" s="205"/>
      <c r="BK2303" s="205"/>
      <c r="BL2303" s="203"/>
      <c r="BM2303" s="208"/>
      <c r="BN2303" s="160"/>
      <c r="BO2303" s="161">
        <f t="shared" si="2046"/>
        <v>0</v>
      </c>
      <c r="BP2303" s="161"/>
    </row>
    <row r="2304" spans="1:68" ht="38.25">
      <c r="A2304" s="205"/>
      <c r="B2304" s="195" t="s">
        <v>10478</v>
      </c>
      <c r="C2304" s="196" t="s">
        <v>10479</v>
      </c>
      <c r="D2304" s="146" t="s">
        <v>4692</v>
      </c>
      <c r="E2304" s="196" t="s">
        <v>10479</v>
      </c>
      <c r="F2304" s="150">
        <v>0</v>
      </c>
      <c r="G2304" s="209">
        <v>0</v>
      </c>
      <c r="H2304" s="209"/>
      <c r="I2304" s="209">
        <v>0</v>
      </c>
      <c r="J2304" s="150">
        <v>0</v>
      </c>
      <c r="K2304" s="150">
        <v>0</v>
      </c>
      <c r="L2304" s="150">
        <f t="shared" si="1969"/>
        <v>0</v>
      </c>
      <c r="M2304" s="150">
        <v>0</v>
      </c>
      <c r="N2304" s="150"/>
      <c r="O2304" s="150">
        <v>0</v>
      </c>
      <c r="P2304" s="150">
        <v>0</v>
      </c>
      <c r="Q2304" s="150">
        <v>0</v>
      </c>
      <c r="R2304" s="150">
        <f t="shared" si="2078"/>
        <v>0</v>
      </c>
      <c r="S2304" s="150">
        <f t="shared" si="2040"/>
        <v>0</v>
      </c>
      <c r="T2304" s="150"/>
      <c r="U2304" s="150">
        <v>0</v>
      </c>
      <c r="V2304" s="199"/>
      <c r="W2304" s="150">
        <f t="shared" si="2079"/>
        <v>0</v>
      </c>
      <c r="X2304" s="150">
        <v>0</v>
      </c>
      <c r="Y2304" s="150"/>
      <c r="Z2304" s="150">
        <v>0</v>
      </c>
      <c r="AA2304" s="150">
        <f t="shared" si="1950"/>
        <v>0</v>
      </c>
      <c r="AB2304" s="150">
        <v>0</v>
      </c>
      <c r="AC2304" s="199"/>
      <c r="AD2304" s="150">
        <f t="shared" si="2080"/>
        <v>0</v>
      </c>
      <c r="AE2304" s="150">
        <v>0</v>
      </c>
      <c r="AF2304" s="169" t="s">
        <v>4680</v>
      </c>
      <c r="AG2304" s="201">
        <v>0</v>
      </c>
      <c r="AH2304" s="199"/>
      <c r="AI2304" s="150">
        <v>0</v>
      </c>
      <c r="AJ2304" s="169">
        <f t="shared" si="1951"/>
        <v>0</v>
      </c>
      <c r="AK2304" s="201">
        <v>0</v>
      </c>
      <c r="AL2304" s="199"/>
      <c r="AM2304" s="150">
        <f t="shared" si="2081"/>
        <v>0</v>
      </c>
      <c r="AN2304" s="153">
        <f t="shared" si="1952"/>
        <v>0</v>
      </c>
      <c r="AO2304" s="154">
        <f t="shared" si="1953"/>
        <v>0</v>
      </c>
      <c r="AP2304" s="150">
        <v>0</v>
      </c>
      <c r="AQ2304" s="201">
        <v>0</v>
      </c>
      <c r="AR2304" s="199"/>
      <c r="AS2304" s="150">
        <f t="shared" si="2082"/>
        <v>0</v>
      </c>
      <c r="AT2304" s="155"/>
      <c r="AU2304" s="156">
        <f t="shared" si="1948"/>
        <v>0</v>
      </c>
      <c r="AV2304" s="156">
        <f t="shared" si="1949"/>
        <v>0</v>
      </c>
      <c r="AW2304" s="157"/>
      <c r="AX2304" s="150">
        <v>0</v>
      </c>
      <c r="AY2304" s="150">
        <v>0</v>
      </c>
      <c r="AZ2304" s="150"/>
      <c r="BA2304" s="150">
        <f t="shared" si="2009"/>
        <v>0</v>
      </c>
      <c r="BB2304" s="202"/>
      <c r="BC2304" s="202"/>
      <c r="BD2304" s="202"/>
      <c r="BE2304" s="202"/>
      <c r="BF2304" s="202"/>
      <c r="BG2304" s="203"/>
      <c r="BH2304" s="216"/>
      <c r="BI2304" s="205"/>
      <c r="BJ2304" s="205"/>
      <c r="BK2304" s="205"/>
      <c r="BL2304" s="203"/>
      <c r="BM2304" s="208"/>
      <c r="BN2304" s="160"/>
      <c r="BO2304" s="161">
        <f t="shared" si="2046"/>
        <v>0</v>
      </c>
      <c r="BP2304" s="161"/>
    </row>
    <row r="2305" spans="1:68" ht="25.5">
      <c r="A2305" s="205"/>
      <c r="B2305" s="195" t="s">
        <v>10480</v>
      </c>
      <c r="C2305" s="196" t="s">
        <v>10481</v>
      </c>
      <c r="D2305" s="146" t="s">
        <v>4692</v>
      </c>
      <c r="E2305" s="196" t="s">
        <v>10481</v>
      </c>
      <c r="F2305" s="150">
        <v>0</v>
      </c>
      <c r="G2305" s="209">
        <v>0</v>
      </c>
      <c r="H2305" s="209"/>
      <c r="I2305" s="209">
        <v>0</v>
      </c>
      <c r="J2305" s="150">
        <v>0</v>
      </c>
      <c r="K2305" s="150">
        <v>0</v>
      </c>
      <c r="L2305" s="150">
        <f t="shared" si="1969"/>
        <v>0</v>
      </c>
      <c r="M2305" s="150">
        <v>0</v>
      </c>
      <c r="N2305" s="150"/>
      <c r="O2305" s="150">
        <v>0</v>
      </c>
      <c r="P2305" s="150">
        <v>0</v>
      </c>
      <c r="Q2305" s="150">
        <v>0</v>
      </c>
      <c r="R2305" s="150">
        <f t="shared" si="2078"/>
        <v>0</v>
      </c>
      <c r="S2305" s="150">
        <f t="shared" si="2040"/>
        <v>0</v>
      </c>
      <c r="T2305" s="150"/>
      <c r="U2305" s="150">
        <v>0</v>
      </c>
      <c r="V2305" s="199"/>
      <c r="W2305" s="150">
        <f t="shared" si="2079"/>
        <v>0</v>
      </c>
      <c r="X2305" s="150">
        <v>0</v>
      </c>
      <c r="Y2305" s="150"/>
      <c r="Z2305" s="150">
        <v>0</v>
      </c>
      <c r="AA2305" s="150">
        <f t="shared" si="1950"/>
        <v>0</v>
      </c>
      <c r="AB2305" s="150">
        <v>0</v>
      </c>
      <c r="AC2305" s="199"/>
      <c r="AD2305" s="150">
        <f t="shared" si="2080"/>
        <v>0</v>
      </c>
      <c r="AE2305" s="150">
        <v>0</v>
      </c>
      <c r="AF2305" s="169" t="s">
        <v>4680</v>
      </c>
      <c r="AG2305" s="201">
        <v>0</v>
      </c>
      <c r="AH2305" s="199"/>
      <c r="AI2305" s="150">
        <v>0</v>
      </c>
      <c r="AJ2305" s="169">
        <f t="shared" si="1951"/>
        <v>0</v>
      </c>
      <c r="AK2305" s="201">
        <v>0</v>
      </c>
      <c r="AL2305" s="199"/>
      <c r="AM2305" s="150">
        <f t="shared" si="2081"/>
        <v>0</v>
      </c>
      <c r="AN2305" s="153">
        <f t="shared" si="1952"/>
        <v>0</v>
      </c>
      <c r="AO2305" s="154">
        <f t="shared" si="1953"/>
        <v>0</v>
      </c>
      <c r="AP2305" s="150">
        <v>0</v>
      </c>
      <c r="AQ2305" s="201">
        <v>0</v>
      </c>
      <c r="AR2305" s="199"/>
      <c r="AS2305" s="150">
        <f t="shared" si="2082"/>
        <v>0</v>
      </c>
      <c r="AT2305" s="155"/>
      <c r="AU2305" s="156">
        <f t="shared" si="1948"/>
        <v>0</v>
      </c>
      <c r="AV2305" s="156">
        <f t="shared" si="1949"/>
        <v>0</v>
      </c>
      <c r="AW2305" s="157"/>
      <c r="AX2305" s="150">
        <v>0</v>
      </c>
      <c r="AY2305" s="150">
        <v>0</v>
      </c>
      <c r="AZ2305" s="150"/>
      <c r="BA2305" s="150">
        <f t="shared" si="2009"/>
        <v>0</v>
      </c>
      <c r="BB2305" s="202"/>
      <c r="BC2305" s="202"/>
      <c r="BD2305" s="202"/>
      <c r="BE2305" s="202"/>
      <c r="BF2305" s="202"/>
      <c r="BG2305" s="203"/>
      <c r="BH2305" s="216"/>
      <c r="BI2305" s="205"/>
      <c r="BJ2305" s="205"/>
      <c r="BK2305" s="205"/>
      <c r="BL2305" s="203"/>
      <c r="BM2305" s="208"/>
      <c r="BN2305" s="160"/>
      <c r="BO2305" s="161">
        <f t="shared" si="2046"/>
        <v>0</v>
      </c>
      <c r="BP2305" s="161"/>
    </row>
    <row r="2306" spans="1:68" ht="38.25">
      <c r="A2306" s="205"/>
      <c r="B2306" s="195" t="s">
        <v>10482</v>
      </c>
      <c r="C2306" s="196" t="s">
        <v>10483</v>
      </c>
      <c r="D2306" s="146" t="s">
        <v>4692</v>
      </c>
      <c r="E2306" s="196" t="s">
        <v>10483</v>
      </c>
      <c r="F2306" s="150">
        <v>0</v>
      </c>
      <c r="G2306" s="209">
        <v>0</v>
      </c>
      <c r="H2306" s="209"/>
      <c r="I2306" s="209">
        <v>0</v>
      </c>
      <c r="J2306" s="150">
        <v>0</v>
      </c>
      <c r="K2306" s="150">
        <v>0</v>
      </c>
      <c r="L2306" s="150">
        <f t="shared" si="1969"/>
        <v>0</v>
      </c>
      <c r="M2306" s="150">
        <v>0</v>
      </c>
      <c r="N2306" s="150"/>
      <c r="O2306" s="150">
        <v>0</v>
      </c>
      <c r="P2306" s="150">
        <v>0</v>
      </c>
      <c r="Q2306" s="150">
        <v>0</v>
      </c>
      <c r="R2306" s="150">
        <f t="shared" si="2078"/>
        <v>0</v>
      </c>
      <c r="S2306" s="150">
        <f t="shared" si="2040"/>
        <v>0</v>
      </c>
      <c r="T2306" s="150"/>
      <c r="U2306" s="150">
        <v>0</v>
      </c>
      <c r="V2306" s="199"/>
      <c r="W2306" s="150">
        <f t="shared" si="2079"/>
        <v>0</v>
      </c>
      <c r="X2306" s="150">
        <v>0</v>
      </c>
      <c r="Y2306" s="150"/>
      <c r="Z2306" s="150">
        <v>0</v>
      </c>
      <c r="AA2306" s="150">
        <f t="shared" si="1950"/>
        <v>0</v>
      </c>
      <c r="AB2306" s="150">
        <v>0</v>
      </c>
      <c r="AC2306" s="199"/>
      <c r="AD2306" s="150">
        <f t="shared" si="2080"/>
        <v>0</v>
      </c>
      <c r="AE2306" s="150">
        <v>0</v>
      </c>
      <c r="AF2306" s="169" t="s">
        <v>4680</v>
      </c>
      <c r="AG2306" s="201">
        <v>0</v>
      </c>
      <c r="AH2306" s="199"/>
      <c r="AI2306" s="150">
        <v>0</v>
      </c>
      <c r="AJ2306" s="169">
        <f t="shared" si="1951"/>
        <v>0</v>
      </c>
      <c r="AK2306" s="201">
        <v>0</v>
      </c>
      <c r="AL2306" s="199"/>
      <c r="AM2306" s="150">
        <f t="shared" si="2081"/>
        <v>0</v>
      </c>
      <c r="AN2306" s="153">
        <f t="shared" si="1952"/>
        <v>0</v>
      </c>
      <c r="AO2306" s="154">
        <f t="shared" si="1953"/>
        <v>0</v>
      </c>
      <c r="AP2306" s="150">
        <v>0</v>
      </c>
      <c r="AQ2306" s="201">
        <v>0</v>
      </c>
      <c r="AR2306" s="199"/>
      <c r="AS2306" s="150">
        <f t="shared" si="2082"/>
        <v>0</v>
      </c>
      <c r="AT2306" s="155"/>
      <c r="AU2306" s="156">
        <f t="shared" ref="AU2306:AU2369" si="2083">AM2306-AD2306</f>
        <v>0</v>
      </c>
      <c r="AV2306" s="156">
        <f t="shared" ref="AV2306:AV2369" si="2084">AD2306-AX2306</f>
        <v>0</v>
      </c>
      <c r="AW2306" s="157"/>
      <c r="AX2306" s="150">
        <v>0</v>
      </c>
      <c r="AY2306" s="150">
        <v>0</v>
      </c>
      <c r="AZ2306" s="150"/>
      <c r="BA2306" s="150">
        <f t="shared" si="2009"/>
        <v>0</v>
      </c>
      <c r="BB2306" s="202"/>
      <c r="BC2306" s="202"/>
      <c r="BD2306" s="202"/>
      <c r="BE2306" s="202"/>
      <c r="BF2306" s="202"/>
      <c r="BG2306" s="203"/>
      <c r="BH2306" s="216"/>
      <c r="BI2306" s="205"/>
      <c r="BJ2306" s="205"/>
      <c r="BK2306" s="205"/>
      <c r="BL2306" s="203"/>
      <c r="BM2306" s="208"/>
      <c r="BN2306" s="160"/>
      <c r="BO2306" s="161">
        <f t="shared" si="2046"/>
        <v>0</v>
      </c>
      <c r="BP2306" s="161"/>
    </row>
    <row r="2307" spans="1:68">
      <c r="A2307" s="205"/>
      <c r="B2307" s="195" t="s">
        <v>10484</v>
      </c>
      <c r="C2307" s="196" t="s">
        <v>10485</v>
      </c>
      <c r="D2307" s="146" t="s">
        <v>4692</v>
      </c>
      <c r="E2307" s="196" t="s">
        <v>10485</v>
      </c>
      <c r="F2307" s="150">
        <v>0</v>
      </c>
      <c r="G2307" s="209">
        <v>0</v>
      </c>
      <c r="H2307" s="209"/>
      <c r="I2307" s="209">
        <v>0</v>
      </c>
      <c r="J2307" s="150">
        <v>0</v>
      </c>
      <c r="K2307" s="150">
        <v>0</v>
      </c>
      <c r="L2307" s="150">
        <f t="shared" si="1969"/>
        <v>0</v>
      </c>
      <c r="M2307" s="150">
        <v>0</v>
      </c>
      <c r="N2307" s="150"/>
      <c r="O2307" s="150">
        <v>0</v>
      </c>
      <c r="P2307" s="150">
        <v>0</v>
      </c>
      <c r="Q2307" s="150">
        <v>0</v>
      </c>
      <c r="R2307" s="150">
        <f t="shared" si="2078"/>
        <v>0</v>
      </c>
      <c r="S2307" s="150">
        <f t="shared" si="2040"/>
        <v>0</v>
      </c>
      <c r="T2307" s="150"/>
      <c r="U2307" s="150">
        <v>0</v>
      </c>
      <c r="V2307" s="199"/>
      <c r="W2307" s="150">
        <f t="shared" si="2079"/>
        <v>0</v>
      </c>
      <c r="X2307" s="150">
        <v>0</v>
      </c>
      <c r="Y2307" s="150"/>
      <c r="Z2307" s="150">
        <v>0</v>
      </c>
      <c r="AA2307" s="150">
        <f t="shared" ref="AA2307:AA2370" si="2085">AD2307-Z2307</f>
        <v>0</v>
      </c>
      <c r="AB2307" s="150">
        <v>0</v>
      </c>
      <c r="AC2307" s="199"/>
      <c r="AD2307" s="150">
        <f t="shared" si="2080"/>
        <v>0</v>
      </c>
      <c r="AE2307" s="150">
        <v>0</v>
      </c>
      <c r="AF2307" s="169" t="s">
        <v>4680</v>
      </c>
      <c r="AG2307" s="201">
        <v>0</v>
      </c>
      <c r="AH2307" s="199"/>
      <c r="AI2307" s="150">
        <v>0</v>
      </c>
      <c r="AJ2307" s="169">
        <f t="shared" ref="AJ2307:AJ2370" si="2086">AM2307-AI2307</f>
        <v>0</v>
      </c>
      <c r="AK2307" s="201">
        <v>0</v>
      </c>
      <c r="AL2307" s="199"/>
      <c r="AM2307" s="150">
        <f t="shared" si="2081"/>
        <v>0</v>
      </c>
      <c r="AN2307" s="153">
        <f t="shared" ref="AN2307:AN2370" si="2087">AS2307-AM2307</f>
        <v>0</v>
      </c>
      <c r="AO2307" s="154">
        <f t="shared" ref="AO2307:AO2370" si="2088">AS2307-AP2307</f>
        <v>0</v>
      </c>
      <c r="AP2307" s="150">
        <v>0</v>
      </c>
      <c r="AQ2307" s="201">
        <v>0</v>
      </c>
      <c r="AR2307" s="199"/>
      <c r="AS2307" s="150">
        <f t="shared" si="2082"/>
        <v>0</v>
      </c>
      <c r="AT2307" s="155"/>
      <c r="AU2307" s="156">
        <f t="shared" si="2083"/>
        <v>0</v>
      </c>
      <c r="AV2307" s="156">
        <f t="shared" si="2084"/>
        <v>0</v>
      </c>
      <c r="AW2307" s="157"/>
      <c r="AX2307" s="150">
        <v>0</v>
      </c>
      <c r="AY2307" s="150">
        <v>0</v>
      </c>
      <c r="AZ2307" s="150"/>
      <c r="BA2307" s="150">
        <f t="shared" si="2009"/>
        <v>0</v>
      </c>
      <c r="BB2307" s="202"/>
      <c r="BC2307" s="202"/>
      <c r="BD2307" s="202"/>
      <c r="BE2307" s="202"/>
      <c r="BF2307" s="202"/>
      <c r="BG2307" s="203"/>
      <c r="BH2307" s="216"/>
      <c r="BI2307" s="205"/>
      <c r="BJ2307" s="205"/>
      <c r="BK2307" s="205"/>
      <c r="BL2307" s="203"/>
      <c r="BM2307" s="208"/>
      <c r="BN2307" s="160"/>
      <c r="BO2307" s="161">
        <f t="shared" si="2046"/>
        <v>0</v>
      </c>
      <c r="BP2307" s="161"/>
    </row>
    <row r="2308" spans="1:68" ht="25.5">
      <c r="A2308" s="205"/>
      <c r="B2308" s="195" t="s">
        <v>10486</v>
      </c>
      <c r="C2308" s="196" t="s">
        <v>10487</v>
      </c>
      <c r="D2308" s="146" t="s">
        <v>4692</v>
      </c>
      <c r="E2308" s="196" t="s">
        <v>10487</v>
      </c>
      <c r="F2308" s="150">
        <v>0</v>
      </c>
      <c r="G2308" s="209">
        <v>0</v>
      </c>
      <c r="H2308" s="209"/>
      <c r="I2308" s="209">
        <v>0</v>
      </c>
      <c r="J2308" s="150">
        <v>0</v>
      </c>
      <c r="K2308" s="150">
        <v>0</v>
      </c>
      <c r="L2308" s="150">
        <f t="shared" si="1969"/>
        <v>0</v>
      </c>
      <c r="M2308" s="150">
        <v>0</v>
      </c>
      <c r="N2308" s="150"/>
      <c r="O2308" s="150">
        <v>0</v>
      </c>
      <c r="P2308" s="150">
        <v>0</v>
      </c>
      <c r="Q2308" s="150">
        <v>0</v>
      </c>
      <c r="R2308" s="150">
        <f t="shared" si="2078"/>
        <v>0</v>
      </c>
      <c r="S2308" s="150">
        <f t="shared" si="2040"/>
        <v>0</v>
      </c>
      <c r="T2308" s="150"/>
      <c r="U2308" s="150">
        <v>0</v>
      </c>
      <c r="V2308" s="199"/>
      <c r="W2308" s="150">
        <f t="shared" si="2079"/>
        <v>0</v>
      </c>
      <c r="X2308" s="150">
        <v>0</v>
      </c>
      <c r="Y2308" s="150"/>
      <c r="Z2308" s="150">
        <v>0</v>
      </c>
      <c r="AA2308" s="150">
        <f t="shared" si="2085"/>
        <v>0</v>
      </c>
      <c r="AB2308" s="150">
        <v>0</v>
      </c>
      <c r="AC2308" s="199"/>
      <c r="AD2308" s="150">
        <f t="shared" si="2080"/>
        <v>0</v>
      </c>
      <c r="AE2308" s="150">
        <v>0</v>
      </c>
      <c r="AF2308" s="169" t="s">
        <v>4680</v>
      </c>
      <c r="AG2308" s="201">
        <v>0</v>
      </c>
      <c r="AH2308" s="199"/>
      <c r="AI2308" s="150">
        <v>0</v>
      </c>
      <c r="AJ2308" s="169">
        <f t="shared" si="2086"/>
        <v>0</v>
      </c>
      <c r="AK2308" s="201">
        <v>0</v>
      </c>
      <c r="AL2308" s="199"/>
      <c r="AM2308" s="150">
        <f t="shared" si="2081"/>
        <v>0</v>
      </c>
      <c r="AN2308" s="153">
        <f t="shared" si="2087"/>
        <v>0</v>
      </c>
      <c r="AO2308" s="154">
        <f t="shared" si="2088"/>
        <v>0</v>
      </c>
      <c r="AP2308" s="150">
        <v>0</v>
      </c>
      <c r="AQ2308" s="201">
        <v>0</v>
      </c>
      <c r="AR2308" s="199"/>
      <c r="AS2308" s="150">
        <f t="shared" si="2082"/>
        <v>0</v>
      </c>
      <c r="AT2308" s="155"/>
      <c r="AU2308" s="156">
        <f t="shared" si="2083"/>
        <v>0</v>
      </c>
      <c r="AV2308" s="156">
        <f t="shared" si="2084"/>
        <v>0</v>
      </c>
      <c r="AW2308" s="157"/>
      <c r="AX2308" s="150">
        <v>0</v>
      </c>
      <c r="AY2308" s="150">
        <v>0</v>
      </c>
      <c r="AZ2308" s="150"/>
      <c r="BA2308" s="150">
        <f t="shared" si="2009"/>
        <v>0</v>
      </c>
      <c r="BB2308" s="202"/>
      <c r="BC2308" s="202"/>
      <c r="BD2308" s="202"/>
      <c r="BE2308" s="202"/>
      <c r="BF2308" s="202"/>
      <c r="BG2308" s="203"/>
      <c r="BH2308" s="216"/>
      <c r="BI2308" s="205"/>
      <c r="BJ2308" s="205"/>
      <c r="BK2308" s="205"/>
      <c r="BL2308" s="203"/>
      <c r="BM2308" s="208"/>
      <c r="BN2308" s="160"/>
      <c r="BO2308" s="161">
        <f t="shared" si="2046"/>
        <v>0</v>
      </c>
      <c r="BP2308" s="161"/>
    </row>
    <row r="2309" spans="1:68">
      <c r="A2309" s="205"/>
      <c r="B2309" s="195" t="s">
        <v>10488</v>
      </c>
      <c r="C2309" s="196" t="s">
        <v>10489</v>
      </c>
      <c r="D2309" s="146" t="s">
        <v>4692</v>
      </c>
      <c r="E2309" s="196" t="s">
        <v>10489</v>
      </c>
      <c r="F2309" s="150">
        <v>0</v>
      </c>
      <c r="G2309" s="209">
        <v>0</v>
      </c>
      <c r="H2309" s="209"/>
      <c r="I2309" s="209">
        <v>0</v>
      </c>
      <c r="J2309" s="150">
        <v>0</v>
      </c>
      <c r="K2309" s="150">
        <v>0</v>
      </c>
      <c r="L2309" s="150">
        <f t="shared" si="1969"/>
        <v>0</v>
      </c>
      <c r="M2309" s="150">
        <v>0</v>
      </c>
      <c r="N2309" s="150"/>
      <c r="O2309" s="150">
        <v>0</v>
      </c>
      <c r="P2309" s="150">
        <v>0</v>
      </c>
      <c r="Q2309" s="150">
        <v>0</v>
      </c>
      <c r="R2309" s="150">
        <f t="shared" si="2078"/>
        <v>0</v>
      </c>
      <c r="S2309" s="150">
        <f t="shared" si="2040"/>
        <v>0</v>
      </c>
      <c r="T2309" s="150"/>
      <c r="U2309" s="150">
        <v>0</v>
      </c>
      <c r="V2309" s="199"/>
      <c r="W2309" s="150">
        <f t="shared" si="2079"/>
        <v>0</v>
      </c>
      <c r="X2309" s="150">
        <v>0</v>
      </c>
      <c r="Y2309" s="150"/>
      <c r="Z2309" s="150">
        <v>0</v>
      </c>
      <c r="AA2309" s="150">
        <f t="shared" si="2085"/>
        <v>0</v>
      </c>
      <c r="AB2309" s="150">
        <v>0</v>
      </c>
      <c r="AC2309" s="199"/>
      <c r="AD2309" s="150">
        <f t="shared" si="2080"/>
        <v>0</v>
      </c>
      <c r="AE2309" s="150">
        <v>0</v>
      </c>
      <c r="AF2309" s="169" t="s">
        <v>4680</v>
      </c>
      <c r="AG2309" s="201">
        <v>0</v>
      </c>
      <c r="AH2309" s="199"/>
      <c r="AI2309" s="150">
        <v>0</v>
      </c>
      <c r="AJ2309" s="169">
        <f t="shared" si="2086"/>
        <v>0</v>
      </c>
      <c r="AK2309" s="201">
        <v>0</v>
      </c>
      <c r="AL2309" s="199"/>
      <c r="AM2309" s="150">
        <f t="shared" si="2081"/>
        <v>0</v>
      </c>
      <c r="AN2309" s="153">
        <f t="shared" si="2087"/>
        <v>0</v>
      </c>
      <c r="AO2309" s="154">
        <f t="shared" si="2088"/>
        <v>0</v>
      </c>
      <c r="AP2309" s="150">
        <v>0</v>
      </c>
      <c r="AQ2309" s="201">
        <v>0</v>
      </c>
      <c r="AR2309" s="199"/>
      <c r="AS2309" s="150">
        <f t="shared" si="2082"/>
        <v>0</v>
      </c>
      <c r="AT2309" s="155"/>
      <c r="AU2309" s="156">
        <f t="shared" si="2083"/>
        <v>0</v>
      </c>
      <c r="AV2309" s="156">
        <f t="shared" si="2084"/>
        <v>0</v>
      </c>
      <c r="AW2309" s="157"/>
      <c r="AX2309" s="150">
        <v>0</v>
      </c>
      <c r="AY2309" s="150">
        <v>0</v>
      </c>
      <c r="AZ2309" s="150"/>
      <c r="BA2309" s="150">
        <f t="shared" si="2009"/>
        <v>0</v>
      </c>
      <c r="BB2309" s="202"/>
      <c r="BC2309" s="202"/>
      <c r="BD2309" s="202"/>
      <c r="BE2309" s="202"/>
      <c r="BF2309" s="202"/>
      <c r="BG2309" s="203"/>
      <c r="BH2309" s="216"/>
      <c r="BI2309" s="205"/>
      <c r="BJ2309" s="205"/>
      <c r="BK2309" s="205"/>
      <c r="BL2309" s="203"/>
      <c r="BM2309" s="208"/>
      <c r="BN2309" s="160"/>
      <c r="BO2309" s="161">
        <f t="shared" si="2046"/>
        <v>0</v>
      </c>
      <c r="BP2309" s="161"/>
    </row>
    <row r="2310" spans="1:68">
      <c r="A2310" s="205"/>
      <c r="B2310" s="195" t="s">
        <v>10490</v>
      </c>
      <c r="C2310" s="196" t="s">
        <v>10491</v>
      </c>
      <c r="D2310" s="146" t="s">
        <v>4692</v>
      </c>
      <c r="E2310" s="196" t="s">
        <v>10491</v>
      </c>
      <c r="F2310" s="150">
        <v>0</v>
      </c>
      <c r="G2310" s="209">
        <v>0</v>
      </c>
      <c r="H2310" s="209"/>
      <c r="I2310" s="209">
        <v>0</v>
      </c>
      <c r="J2310" s="150">
        <v>0</v>
      </c>
      <c r="K2310" s="150">
        <v>0</v>
      </c>
      <c r="L2310" s="150">
        <f t="shared" si="1969"/>
        <v>0</v>
      </c>
      <c r="M2310" s="150">
        <v>0</v>
      </c>
      <c r="N2310" s="150"/>
      <c r="O2310" s="150">
        <v>0</v>
      </c>
      <c r="P2310" s="150">
        <v>0</v>
      </c>
      <c r="Q2310" s="150">
        <v>0</v>
      </c>
      <c r="R2310" s="150">
        <f t="shared" si="2078"/>
        <v>0</v>
      </c>
      <c r="S2310" s="150">
        <f t="shared" si="2040"/>
        <v>0</v>
      </c>
      <c r="T2310" s="150"/>
      <c r="U2310" s="150">
        <v>0</v>
      </c>
      <c r="V2310" s="199"/>
      <c r="W2310" s="150">
        <f t="shared" si="2079"/>
        <v>0</v>
      </c>
      <c r="X2310" s="150">
        <v>0</v>
      </c>
      <c r="Y2310" s="150"/>
      <c r="Z2310" s="150">
        <v>0</v>
      </c>
      <c r="AA2310" s="150">
        <f t="shared" si="2085"/>
        <v>0</v>
      </c>
      <c r="AB2310" s="150">
        <v>0</v>
      </c>
      <c r="AC2310" s="199"/>
      <c r="AD2310" s="150">
        <f t="shared" si="2080"/>
        <v>0</v>
      </c>
      <c r="AE2310" s="150">
        <v>0</v>
      </c>
      <c r="AF2310" s="169" t="s">
        <v>4680</v>
      </c>
      <c r="AG2310" s="201">
        <v>0</v>
      </c>
      <c r="AH2310" s="199"/>
      <c r="AI2310" s="150">
        <v>0</v>
      </c>
      <c r="AJ2310" s="169">
        <f t="shared" si="2086"/>
        <v>0</v>
      </c>
      <c r="AK2310" s="201">
        <v>0</v>
      </c>
      <c r="AL2310" s="199"/>
      <c r="AM2310" s="150">
        <f t="shared" si="2081"/>
        <v>0</v>
      </c>
      <c r="AN2310" s="153">
        <f t="shared" si="2087"/>
        <v>0</v>
      </c>
      <c r="AO2310" s="154">
        <f t="shared" si="2088"/>
        <v>0</v>
      </c>
      <c r="AP2310" s="150">
        <v>0</v>
      </c>
      <c r="AQ2310" s="201">
        <v>0</v>
      </c>
      <c r="AR2310" s="199"/>
      <c r="AS2310" s="150">
        <f t="shared" si="2082"/>
        <v>0</v>
      </c>
      <c r="AT2310" s="155"/>
      <c r="AU2310" s="156">
        <f t="shared" si="2083"/>
        <v>0</v>
      </c>
      <c r="AV2310" s="156">
        <f t="shared" si="2084"/>
        <v>0</v>
      </c>
      <c r="AW2310" s="157"/>
      <c r="AX2310" s="150">
        <v>0</v>
      </c>
      <c r="AY2310" s="150">
        <v>0</v>
      </c>
      <c r="AZ2310" s="150"/>
      <c r="BA2310" s="150">
        <f t="shared" si="2009"/>
        <v>0</v>
      </c>
      <c r="BB2310" s="202"/>
      <c r="BC2310" s="202"/>
      <c r="BD2310" s="202"/>
      <c r="BE2310" s="202"/>
      <c r="BF2310" s="202"/>
      <c r="BG2310" s="203"/>
      <c r="BH2310" s="216"/>
      <c r="BI2310" s="205"/>
      <c r="BJ2310" s="205"/>
      <c r="BK2310" s="205"/>
      <c r="BL2310" s="203"/>
      <c r="BM2310" s="208"/>
      <c r="BN2310" s="160"/>
      <c r="BO2310" s="161">
        <f t="shared" si="2046"/>
        <v>0</v>
      </c>
      <c r="BP2310" s="161"/>
    </row>
    <row r="2311" spans="1:68" ht="38.25">
      <c r="A2311" s="205"/>
      <c r="B2311" s="195" t="s">
        <v>10492</v>
      </c>
      <c r="C2311" s="196" t="s">
        <v>10493</v>
      </c>
      <c r="D2311" s="146" t="s">
        <v>4692</v>
      </c>
      <c r="E2311" s="196" t="s">
        <v>10493</v>
      </c>
      <c r="F2311" s="150">
        <v>0</v>
      </c>
      <c r="G2311" s="209">
        <v>0</v>
      </c>
      <c r="H2311" s="209"/>
      <c r="I2311" s="209">
        <v>0</v>
      </c>
      <c r="J2311" s="150">
        <v>0</v>
      </c>
      <c r="K2311" s="150">
        <v>0</v>
      </c>
      <c r="L2311" s="150">
        <f t="shared" si="1969"/>
        <v>0</v>
      </c>
      <c r="M2311" s="150">
        <v>0</v>
      </c>
      <c r="N2311" s="150"/>
      <c r="O2311" s="150">
        <v>0</v>
      </c>
      <c r="P2311" s="150">
        <v>0</v>
      </c>
      <c r="Q2311" s="150">
        <v>0</v>
      </c>
      <c r="R2311" s="150">
        <f t="shared" si="2078"/>
        <v>0</v>
      </c>
      <c r="S2311" s="150">
        <f t="shared" si="2040"/>
        <v>0</v>
      </c>
      <c r="T2311" s="150"/>
      <c r="U2311" s="150">
        <v>0</v>
      </c>
      <c r="V2311" s="199"/>
      <c r="W2311" s="150">
        <f t="shared" si="2079"/>
        <v>0</v>
      </c>
      <c r="X2311" s="150">
        <v>0</v>
      </c>
      <c r="Y2311" s="150"/>
      <c r="Z2311" s="150">
        <v>0</v>
      </c>
      <c r="AA2311" s="150">
        <f t="shared" si="2085"/>
        <v>0</v>
      </c>
      <c r="AB2311" s="150">
        <v>0</v>
      </c>
      <c r="AC2311" s="199"/>
      <c r="AD2311" s="150">
        <f t="shared" si="2080"/>
        <v>0</v>
      </c>
      <c r="AE2311" s="150">
        <v>0</v>
      </c>
      <c r="AF2311" s="169" t="s">
        <v>4680</v>
      </c>
      <c r="AG2311" s="201">
        <v>0</v>
      </c>
      <c r="AH2311" s="199"/>
      <c r="AI2311" s="150">
        <v>0</v>
      </c>
      <c r="AJ2311" s="169">
        <f t="shared" si="2086"/>
        <v>0</v>
      </c>
      <c r="AK2311" s="201">
        <v>0</v>
      </c>
      <c r="AL2311" s="199"/>
      <c r="AM2311" s="150">
        <f t="shared" si="2081"/>
        <v>0</v>
      </c>
      <c r="AN2311" s="153">
        <f t="shared" si="2087"/>
        <v>0</v>
      </c>
      <c r="AO2311" s="154">
        <f t="shared" si="2088"/>
        <v>0</v>
      </c>
      <c r="AP2311" s="150">
        <v>0</v>
      </c>
      <c r="AQ2311" s="201">
        <v>0</v>
      </c>
      <c r="AR2311" s="199"/>
      <c r="AS2311" s="150">
        <f t="shared" si="2082"/>
        <v>0</v>
      </c>
      <c r="AT2311" s="155"/>
      <c r="AU2311" s="156">
        <f t="shared" si="2083"/>
        <v>0</v>
      </c>
      <c r="AV2311" s="156">
        <f t="shared" si="2084"/>
        <v>0</v>
      </c>
      <c r="AW2311" s="157"/>
      <c r="AX2311" s="150">
        <v>0</v>
      </c>
      <c r="AY2311" s="150">
        <v>0</v>
      </c>
      <c r="AZ2311" s="150"/>
      <c r="BA2311" s="150">
        <f t="shared" si="2009"/>
        <v>0</v>
      </c>
      <c r="BB2311" s="202"/>
      <c r="BC2311" s="202"/>
      <c r="BD2311" s="202"/>
      <c r="BE2311" s="202"/>
      <c r="BF2311" s="202"/>
      <c r="BG2311" s="203"/>
      <c r="BH2311" s="216"/>
      <c r="BI2311" s="205"/>
      <c r="BJ2311" s="205"/>
      <c r="BK2311" s="205"/>
      <c r="BL2311" s="203"/>
      <c r="BM2311" s="208"/>
      <c r="BN2311" s="160"/>
      <c r="BO2311" s="161">
        <f t="shared" si="2046"/>
        <v>0</v>
      </c>
      <c r="BP2311" s="161"/>
    </row>
    <row r="2312" spans="1:68" ht="25.5">
      <c r="A2312" s="205"/>
      <c r="B2312" s="195" t="s">
        <v>10494</v>
      </c>
      <c r="C2312" s="196" t="s">
        <v>10495</v>
      </c>
      <c r="D2312" s="146" t="s">
        <v>4692</v>
      </c>
      <c r="E2312" s="196" t="s">
        <v>10496</v>
      </c>
      <c r="F2312" s="150">
        <v>0</v>
      </c>
      <c r="G2312" s="209">
        <v>0</v>
      </c>
      <c r="H2312" s="209"/>
      <c r="I2312" s="209">
        <v>0</v>
      </c>
      <c r="J2312" s="150">
        <v>0</v>
      </c>
      <c r="K2312" s="150">
        <v>0</v>
      </c>
      <c r="L2312" s="150">
        <f t="shared" si="1969"/>
        <v>0</v>
      </c>
      <c r="M2312" s="150">
        <v>0</v>
      </c>
      <c r="N2312" s="150"/>
      <c r="O2312" s="150">
        <v>0</v>
      </c>
      <c r="P2312" s="150">
        <v>0</v>
      </c>
      <c r="Q2312" s="150">
        <v>0</v>
      </c>
      <c r="R2312" s="150">
        <f t="shared" si="2078"/>
        <v>0</v>
      </c>
      <c r="S2312" s="150">
        <f t="shared" si="2040"/>
        <v>0</v>
      </c>
      <c r="T2312" s="150"/>
      <c r="U2312" s="150">
        <v>0</v>
      </c>
      <c r="V2312" s="199"/>
      <c r="W2312" s="150">
        <f t="shared" si="2079"/>
        <v>0</v>
      </c>
      <c r="X2312" s="150">
        <v>0</v>
      </c>
      <c r="Y2312" s="150"/>
      <c r="Z2312" s="150">
        <v>0</v>
      </c>
      <c r="AA2312" s="150">
        <f t="shared" si="2085"/>
        <v>0</v>
      </c>
      <c r="AB2312" s="150">
        <v>0</v>
      </c>
      <c r="AC2312" s="199"/>
      <c r="AD2312" s="150">
        <f t="shared" si="2080"/>
        <v>0</v>
      </c>
      <c r="AE2312" s="150">
        <v>0</v>
      </c>
      <c r="AF2312" s="169" t="s">
        <v>4680</v>
      </c>
      <c r="AG2312" s="201">
        <v>0</v>
      </c>
      <c r="AH2312" s="199"/>
      <c r="AI2312" s="150">
        <v>0</v>
      </c>
      <c r="AJ2312" s="169">
        <f t="shared" si="2086"/>
        <v>0</v>
      </c>
      <c r="AK2312" s="201">
        <v>0</v>
      </c>
      <c r="AL2312" s="199"/>
      <c r="AM2312" s="150">
        <f t="shared" si="2081"/>
        <v>0</v>
      </c>
      <c r="AN2312" s="153">
        <f t="shared" si="2087"/>
        <v>0</v>
      </c>
      <c r="AO2312" s="154">
        <f t="shared" si="2088"/>
        <v>0</v>
      </c>
      <c r="AP2312" s="150">
        <v>0</v>
      </c>
      <c r="AQ2312" s="201">
        <v>0</v>
      </c>
      <c r="AR2312" s="199"/>
      <c r="AS2312" s="150">
        <f t="shared" si="2082"/>
        <v>0</v>
      </c>
      <c r="AT2312" s="155"/>
      <c r="AU2312" s="156">
        <f t="shared" si="2083"/>
        <v>0</v>
      </c>
      <c r="AV2312" s="156">
        <f t="shared" si="2084"/>
        <v>0</v>
      </c>
      <c r="AW2312" s="157"/>
      <c r="AX2312" s="150">
        <v>0</v>
      </c>
      <c r="AY2312" s="150">
        <v>0</v>
      </c>
      <c r="AZ2312" s="150"/>
      <c r="BA2312" s="150">
        <f t="shared" si="2009"/>
        <v>0</v>
      </c>
      <c r="BB2312" s="202"/>
      <c r="BC2312" s="202"/>
      <c r="BD2312" s="202"/>
      <c r="BE2312" s="202"/>
      <c r="BF2312" s="202"/>
      <c r="BG2312" s="203"/>
      <c r="BH2312" s="216"/>
      <c r="BI2312" s="205"/>
      <c r="BJ2312" s="205"/>
      <c r="BK2312" s="205"/>
      <c r="BL2312" s="203"/>
      <c r="BM2312" s="208"/>
      <c r="BN2312" s="160"/>
      <c r="BO2312" s="161">
        <f t="shared" si="2046"/>
        <v>0</v>
      </c>
      <c r="BP2312" s="161"/>
    </row>
    <row r="2313" spans="1:68" ht="25.5">
      <c r="A2313" s="205"/>
      <c r="B2313" s="195" t="s">
        <v>10497</v>
      </c>
      <c r="C2313" s="196" t="s">
        <v>10498</v>
      </c>
      <c r="D2313" s="146" t="s">
        <v>4692</v>
      </c>
      <c r="E2313" s="196" t="s">
        <v>10498</v>
      </c>
      <c r="F2313" s="150">
        <v>0</v>
      </c>
      <c r="G2313" s="209">
        <v>0</v>
      </c>
      <c r="H2313" s="209"/>
      <c r="I2313" s="209">
        <v>0</v>
      </c>
      <c r="J2313" s="150">
        <v>0</v>
      </c>
      <c r="K2313" s="150">
        <v>0</v>
      </c>
      <c r="L2313" s="150">
        <f t="shared" si="1969"/>
        <v>0</v>
      </c>
      <c r="M2313" s="150">
        <v>0</v>
      </c>
      <c r="N2313" s="150"/>
      <c r="O2313" s="150">
        <v>0</v>
      </c>
      <c r="P2313" s="150">
        <v>0</v>
      </c>
      <c r="Q2313" s="150">
        <v>0</v>
      </c>
      <c r="R2313" s="150">
        <f t="shared" si="2078"/>
        <v>0</v>
      </c>
      <c r="S2313" s="150">
        <f t="shared" si="2040"/>
        <v>0</v>
      </c>
      <c r="T2313" s="150"/>
      <c r="U2313" s="150">
        <v>0</v>
      </c>
      <c r="V2313" s="199"/>
      <c r="W2313" s="150">
        <f t="shared" si="2079"/>
        <v>0</v>
      </c>
      <c r="X2313" s="150">
        <v>0</v>
      </c>
      <c r="Y2313" s="150"/>
      <c r="Z2313" s="150">
        <v>0</v>
      </c>
      <c r="AA2313" s="150">
        <f t="shared" si="2085"/>
        <v>0</v>
      </c>
      <c r="AB2313" s="150">
        <v>0</v>
      </c>
      <c r="AC2313" s="199"/>
      <c r="AD2313" s="150">
        <f t="shared" si="2080"/>
        <v>0</v>
      </c>
      <c r="AE2313" s="150">
        <v>0</v>
      </c>
      <c r="AF2313" s="169" t="s">
        <v>4680</v>
      </c>
      <c r="AG2313" s="201">
        <v>0</v>
      </c>
      <c r="AH2313" s="199"/>
      <c r="AI2313" s="150">
        <v>0</v>
      </c>
      <c r="AJ2313" s="169">
        <f t="shared" si="2086"/>
        <v>0</v>
      </c>
      <c r="AK2313" s="201">
        <v>0</v>
      </c>
      <c r="AL2313" s="199"/>
      <c r="AM2313" s="150">
        <f t="shared" si="2081"/>
        <v>0</v>
      </c>
      <c r="AN2313" s="153">
        <f t="shared" si="2087"/>
        <v>0</v>
      </c>
      <c r="AO2313" s="154">
        <f t="shared" si="2088"/>
        <v>0</v>
      </c>
      <c r="AP2313" s="150">
        <v>0</v>
      </c>
      <c r="AQ2313" s="201">
        <v>0</v>
      </c>
      <c r="AR2313" s="199"/>
      <c r="AS2313" s="150">
        <f t="shared" si="2082"/>
        <v>0</v>
      </c>
      <c r="AT2313" s="155"/>
      <c r="AU2313" s="156">
        <f t="shared" si="2083"/>
        <v>0</v>
      </c>
      <c r="AV2313" s="156">
        <f t="shared" si="2084"/>
        <v>0</v>
      </c>
      <c r="AW2313" s="157"/>
      <c r="AX2313" s="150">
        <v>0</v>
      </c>
      <c r="AY2313" s="150">
        <v>0</v>
      </c>
      <c r="AZ2313" s="150"/>
      <c r="BA2313" s="150">
        <f t="shared" si="2009"/>
        <v>0</v>
      </c>
      <c r="BB2313" s="202"/>
      <c r="BC2313" s="202"/>
      <c r="BD2313" s="202"/>
      <c r="BE2313" s="202"/>
      <c r="BF2313" s="202"/>
      <c r="BG2313" s="203"/>
      <c r="BH2313" s="216"/>
      <c r="BI2313" s="205"/>
      <c r="BJ2313" s="205"/>
      <c r="BK2313" s="205"/>
      <c r="BL2313" s="203"/>
      <c r="BM2313" s="208"/>
      <c r="BN2313" s="160"/>
      <c r="BO2313" s="161">
        <f t="shared" si="2046"/>
        <v>0</v>
      </c>
      <c r="BP2313" s="161"/>
    </row>
    <row r="2314" spans="1:68" ht="25.5">
      <c r="A2314" s="205"/>
      <c r="B2314" s="195" t="s">
        <v>10499</v>
      </c>
      <c r="C2314" s="196" t="s">
        <v>10500</v>
      </c>
      <c r="D2314" s="146" t="s">
        <v>4692</v>
      </c>
      <c r="E2314" s="196" t="s">
        <v>10500</v>
      </c>
      <c r="F2314" s="150">
        <v>0</v>
      </c>
      <c r="G2314" s="209">
        <v>0</v>
      </c>
      <c r="H2314" s="209"/>
      <c r="I2314" s="209">
        <v>0</v>
      </c>
      <c r="J2314" s="150">
        <v>0</v>
      </c>
      <c r="K2314" s="150">
        <v>0</v>
      </c>
      <c r="L2314" s="150">
        <f t="shared" si="1969"/>
        <v>0</v>
      </c>
      <c r="M2314" s="150">
        <v>0</v>
      </c>
      <c r="N2314" s="150"/>
      <c r="O2314" s="150">
        <v>0</v>
      </c>
      <c r="P2314" s="150">
        <v>0</v>
      </c>
      <c r="Q2314" s="150">
        <v>0</v>
      </c>
      <c r="R2314" s="150">
        <f t="shared" si="2078"/>
        <v>0</v>
      </c>
      <c r="S2314" s="150">
        <f t="shared" si="2040"/>
        <v>0</v>
      </c>
      <c r="T2314" s="150"/>
      <c r="U2314" s="150">
        <v>0</v>
      </c>
      <c r="V2314" s="199"/>
      <c r="W2314" s="150">
        <f t="shared" si="2079"/>
        <v>0</v>
      </c>
      <c r="X2314" s="150">
        <v>0</v>
      </c>
      <c r="Y2314" s="150"/>
      <c r="Z2314" s="150">
        <v>0</v>
      </c>
      <c r="AA2314" s="150">
        <f t="shared" si="2085"/>
        <v>0</v>
      </c>
      <c r="AB2314" s="150">
        <v>0</v>
      </c>
      <c r="AC2314" s="199"/>
      <c r="AD2314" s="150">
        <f t="shared" si="2080"/>
        <v>0</v>
      </c>
      <c r="AE2314" s="150">
        <v>0</v>
      </c>
      <c r="AF2314" s="169" t="s">
        <v>4680</v>
      </c>
      <c r="AG2314" s="201">
        <v>0</v>
      </c>
      <c r="AH2314" s="199"/>
      <c r="AI2314" s="150">
        <v>0</v>
      </c>
      <c r="AJ2314" s="169">
        <f t="shared" si="2086"/>
        <v>0</v>
      </c>
      <c r="AK2314" s="201">
        <v>0</v>
      </c>
      <c r="AL2314" s="199"/>
      <c r="AM2314" s="150">
        <f t="shared" si="2081"/>
        <v>0</v>
      </c>
      <c r="AN2314" s="153">
        <f t="shared" si="2087"/>
        <v>0</v>
      </c>
      <c r="AO2314" s="154">
        <f t="shared" si="2088"/>
        <v>0</v>
      </c>
      <c r="AP2314" s="150">
        <v>0</v>
      </c>
      <c r="AQ2314" s="201">
        <v>0</v>
      </c>
      <c r="AR2314" s="199"/>
      <c r="AS2314" s="150">
        <f t="shared" si="2082"/>
        <v>0</v>
      </c>
      <c r="AT2314" s="155"/>
      <c r="AU2314" s="156">
        <f t="shared" si="2083"/>
        <v>0</v>
      </c>
      <c r="AV2314" s="156">
        <f t="shared" si="2084"/>
        <v>0</v>
      </c>
      <c r="AW2314" s="157"/>
      <c r="AX2314" s="150">
        <v>0</v>
      </c>
      <c r="AY2314" s="150">
        <v>0</v>
      </c>
      <c r="AZ2314" s="150"/>
      <c r="BA2314" s="150">
        <f t="shared" si="2009"/>
        <v>0</v>
      </c>
      <c r="BB2314" s="202"/>
      <c r="BC2314" s="202"/>
      <c r="BD2314" s="202"/>
      <c r="BE2314" s="202"/>
      <c r="BF2314" s="202"/>
      <c r="BG2314" s="203"/>
      <c r="BH2314" s="216"/>
      <c r="BI2314" s="205"/>
      <c r="BJ2314" s="205"/>
      <c r="BK2314" s="205"/>
      <c r="BL2314" s="203"/>
      <c r="BM2314" s="208"/>
      <c r="BN2314" s="160"/>
      <c r="BO2314" s="161">
        <f t="shared" si="2046"/>
        <v>0</v>
      </c>
      <c r="BP2314" s="161"/>
    </row>
    <row r="2315" spans="1:68" ht="25.5">
      <c r="A2315" s="205"/>
      <c r="B2315" s="195" t="s">
        <v>10501</v>
      </c>
      <c r="C2315" s="196" t="s">
        <v>10502</v>
      </c>
      <c r="D2315" s="146" t="s">
        <v>4692</v>
      </c>
      <c r="E2315" s="196" t="s">
        <v>10502</v>
      </c>
      <c r="F2315" s="150">
        <v>0</v>
      </c>
      <c r="G2315" s="209">
        <v>0</v>
      </c>
      <c r="H2315" s="209"/>
      <c r="I2315" s="209">
        <v>0</v>
      </c>
      <c r="J2315" s="150">
        <v>0</v>
      </c>
      <c r="K2315" s="150">
        <v>0</v>
      </c>
      <c r="L2315" s="150">
        <f t="shared" ref="L2315:L2378" si="2089">J2315+K2315</f>
        <v>0</v>
      </c>
      <c r="M2315" s="150">
        <v>0</v>
      </c>
      <c r="N2315" s="150"/>
      <c r="O2315" s="150">
        <v>0</v>
      </c>
      <c r="P2315" s="150">
        <v>0</v>
      </c>
      <c r="Q2315" s="150">
        <v>0</v>
      </c>
      <c r="R2315" s="150">
        <f t="shared" si="2078"/>
        <v>0</v>
      </c>
      <c r="S2315" s="150">
        <f t="shared" si="2040"/>
        <v>0</v>
      </c>
      <c r="T2315" s="150"/>
      <c r="U2315" s="150">
        <v>0</v>
      </c>
      <c r="V2315" s="199"/>
      <c r="W2315" s="150">
        <f t="shared" si="2079"/>
        <v>0</v>
      </c>
      <c r="X2315" s="150">
        <v>0</v>
      </c>
      <c r="Y2315" s="150"/>
      <c r="Z2315" s="150">
        <v>0</v>
      </c>
      <c r="AA2315" s="150">
        <f t="shared" si="2085"/>
        <v>0</v>
      </c>
      <c r="AB2315" s="150">
        <v>0</v>
      </c>
      <c r="AC2315" s="199"/>
      <c r="AD2315" s="150">
        <f t="shared" si="2080"/>
        <v>0</v>
      </c>
      <c r="AE2315" s="150">
        <v>0</v>
      </c>
      <c r="AF2315" s="169" t="s">
        <v>4680</v>
      </c>
      <c r="AG2315" s="201">
        <v>0</v>
      </c>
      <c r="AH2315" s="199"/>
      <c r="AI2315" s="150">
        <v>0</v>
      </c>
      <c r="AJ2315" s="169">
        <f t="shared" si="2086"/>
        <v>0</v>
      </c>
      <c r="AK2315" s="201">
        <v>0</v>
      </c>
      <c r="AL2315" s="199"/>
      <c r="AM2315" s="150">
        <f t="shared" si="2081"/>
        <v>0</v>
      </c>
      <c r="AN2315" s="153">
        <f t="shared" si="2087"/>
        <v>0</v>
      </c>
      <c r="AO2315" s="154">
        <f t="shared" si="2088"/>
        <v>0</v>
      </c>
      <c r="AP2315" s="150">
        <v>0</v>
      </c>
      <c r="AQ2315" s="201">
        <v>0</v>
      </c>
      <c r="AR2315" s="199"/>
      <c r="AS2315" s="150">
        <f t="shared" si="2082"/>
        <v>0</v>
      </c>
      <c r="AT2315" s="155"/>
      <c r="AU2315" s="156">
        <f t="shared" si="2083"/>
        <v>0</v>
      </c>
      <c r="AV2315" s="156">
        <f t="shared" si="2084"/>
        <v>0</v>
      </c>
      <c r="AW2315" s="157"/>
      <c r="AX2315" s="150">
        <v>0</v>
      </c>
      <c r="AY2315" s="150">
        <v>0</v>
      </c>
      <c r="AZ2315" s="150"/>
      <c r="BA2315" s="150">
        <f t="shared" si="2009"/>
        <v>0</v>
      </c>
      <c r="BB2315" s="202"/>
      <c r="BC2315" s="202"/>
      <c r="BD2315" s="202"/>
      <c r="BE2315" s="202"/>
      <c r="BF2315" s="202"/>
      <c r="BG2315" s="203"/>
      <c r="BH2315" s="216"/>
      <c r="BI2315" s="205"/>
      <c r="BJ2315" s="205"/>
      <c r="BK2315" s="205"/>
      <c r="BL2315" s="203"/>
      <c r="BM2315" s="208"/>
      <c r="BN2315" s="160"/>
      <c r="BO2315" s="161">
        <f t="shared" si="2046"/>
        <v>0</v>
      </c>
      <c r="BP2315" s="161"/>
    </row>
    <row r="2316" spans="1:68" ht="25.5">
      <c r="A2316" s="205"/>
      <c r="B2316" s="195" t="s">
        <v>10503</v>
      </c>
      <c r="C2316" s="196" t="s">
        <v>10504</v>
      </c>
      <c r="D2316" s="146" t="s">
        <v>4692</v>
      </c>
      <c r="E2316" s="196" t="s">
        <v>10504</v>
      </c>
      <c r="F2316" s="150">
        <v>0</v>
      </c>
      <c r="G2316" s="209">
        <v>0</v>
      </c>
      <c r="H2316" s="209"/>
      <c r="I2316" s="209">
        <v>0</v>
      </c>
      <c r="J2316" s="150">
        <v>0</v>
      </c>
      <c r="K2316" s="150">
        <v>0</v>
      </c>
      <c r="L2316" s="150">
        <f t="shared" si="2089"/>
        <v>0</v>
      </c>
      <c r="M2316" s="150">
        <v>0</v>
      </c>
      <c r="N2316" s="150"/>
      <c r="O2316" s="150">
        <v>0</v>
      </c>
      <c r="P2316" s="150">
        <v>0</v>
      </c>
      <c r="Q2316" s="150">
        <v>0</v>
      </c>
      <c r="R2316" s="150">
        <f t="shared" si="2078"/>
        <v>0</v>
      </c>
      <c r="S2316" s="150">
        <f t="shared" si="2040"/>
        <v>0</v>
      </c>
      <c r="T2316" s="150"/>
      <c r="U2316" s="150">
        <v>0</v>
      </c>
      <c r="V2316" s="199"/>
      <c r="W2316" s="150">
        <f t="shared" si="2079"/>
        <v>0</v>
      </c>
      <c r="X2316" s="150">
        <v>0</v>
      </c>
      <c r="Y2316" s="150"/>
      <c r="Z2316" s="150">
        <v>0</v>
      </c>
      <c r="AA2316" s="150">
        <f t="shared" si="2085"/>
        <v>0</v>
      </c>
      <c r="AB2316" s="150">
        <v>0</v>
      </c>
      <c r="AC2316" s="199"/>
      <c r="AD2316" s="150">
        <f t="shared" si="2080"/>
        <v>0</v>
      </c>
      <c r="AE2316" s="150">
        <v>0</v>
      </c>
      <c r="AF2316" s="169" t="s">
        <v>4680</v>
      </c>
      <c r="AG2316" s="201">
        <v>0</v>
      </c>
      <c r="AH2316" s="199"/>
      <c r="AI2316" s="150">
        <v>0</v>
      </c>
      <c r="AJ2316" s="169">
        <f t="shared" si="2086"/>
        <v>0</v>
      </c>
      <c r="AK2316" s="201">
        <v>0</v>
      </c>
      <c r="AL2316" s="199"/>
      <c r="AM2316" s="150">
        <f t="shared" si="2081"/>
        <v>0</v>
      </c>
      <c r="AN2316" s="153">
        <f t="shared" si="2087"/>
        <v>0</v>
      </c>
      <c r="AO2316" s="154">
        <f t="shared" si="2088"/>
        <v>0</v>
      </c>
      <c r="AP2316" s="150">
        <v>0</v>
      </c>
      <c r="AQ2316" s="201">
        <v>0</v>
      </c>
      <c r="AR2316" s="199"/>
      <c r="AS2316" s="150">
        <f t="shared" si="2082"/>
        <v>0</v>
      </c>
      <c r="AT2316" s="155"/>
      <c r="AU2316" s="156">
        <f t="shared" si="2083"/>
        <v>0</v>
      </c>
      <c r="AV2316" s="156">
        <f t="shared" si="2084"/>
        <v>0</v>
      </c>
      <c r="AW2316" s="157"/>
      <c r="AX2316" s="150">
        <v>0</v>
      </c>
      <c r="AY2316" s="150">
        <v>0</v>
      </c>
      <c r="AZ2316" s="150"/>
      <c r="BA2316" s="150">
        <f t="shared" si="2009"/>
        <v>0</v>
      </c>
      <c r="BB2316" s="202"/>
      <c r="BC2316" s="202"/>
      <c r="BD2316" s="202"/>
      <c r="BE2316" s="202"/>
      <c r="BF2316" s="202"/>
      <c r="BG2316" s="203"/>
      <c r="BH2316" s="216"/>
      <c r="BI2316" s="205"/>
      <c r="BJ2316" s="205"/>
      <c r="BK2316" s="205"/>
      <c r="BL2316" s="203"/>
      <c r="BM2316" s="208"/>
      <c r="BN2316" s="160"/>
      <c r="BO2316" s="161">
        <f t="shared" si="2046"/>
        <v>0</v>
      </c>
      <c r="BP2316" s="161"/>
    </row>
    <row r="2317" spans="1:68" ht="38.25">
      <c r="A2317" s="205"/>
      <c r="B2317" s="195" t="s">
        <v>10505</v>
      </c>
      <c r="C2317" s="196" t="s">
        <v>10506</v>
      </c>
      <c r="D2317" s="146" t="s">
        <v>4692</v>
      </c>
      <c r="E2317" s="196" t="s">
        <v>10506</v>
      </c>
      <c r="F2317" s="150">
        <v>0</v>
      </c>
      <c r="G2317" s="209">
        <v>0</v>
      </c>
      <c r="H2317" s="209"/>
      <c r="I2317" s="209">
        <v>0</v>
      </c>
      <c r="J2317" s="150">
        <v>0</v>
      </c>
      <c r="K2317" s="150">
        <v>0</v>
      </c>
      <c r="L2317" s="150">
        <f t="shared" si="2089"/>
        <v>0</v>
      </c>
      <c r="M2317" s="150">
        <v>0</v>
      </c>
      <c r="N2317" s="150"/>
      <c r="O2317" s="150">
        <v>0</v>
      </c>
      <c r="P2317" s="150">
        <v>0</v>
      </c>
      <c r="Q2317" s="150">
        <v>0</v>
      </c>
      <c r="R2317" s="150">
        <f t="shared" si="2078"/>
        <v>0</v>
      </c>
      <c r="S2317" s="150">
        <f t="shared" si="2040"/>
        <v>0</v>
      </c>
      <c r="T2317" s="150"/>
      <c r="U2317" s="150">
        <v>0</v>
      </c>
      <c r="V2317" s="199"/>
      <c r="W2317" s="150">
        <f t="shared" si="2079"/>
        <v>0</v>
      </c>
      <c r="X2317" s="150">
        <v>0</v>
      </c>
      <c r="Y2317" s="150"/>
      <c r="Z2317" s="150">
        <v>0</v>
      </c>
      <c r="AA2317" s="150">
        <f t="shared" si="2085"/>
        <v>0</v>
      </c>
      <c r="AB2317" s="150">
        <v>0</v>
      </c>
      <c r="AC2317" s="199"/>
      <c r="AD2317" s="150">
        <f t="shared" si="2080"/>
        <v>0</v>
      </c>
      <c r="AE2317" s="150">
        <v>0</v>
      </c>
      <c r="AF2317" s="169" t="s">
        <v>4680</v>
      </c>
      <c r="AG2317" s="201">
        <v>0</v>
      </c>
      <c r="AH2317" s="199"/>
      <c r="AI2317" s="150">
        <v>0</v>
      </c>
      <c r="AJ2317" s="169">
        <f t="shared" si="2086"/>
        <v>0</v>
      </c>
      <c r="AK2317" s="201">
        <v>0</v>
      </c>
      <c r="AL2317" s="199"/>
      <c r="AM2317" s="150">
        <f t="shared" si="2081"/>
        <v>0</v>
      </c>
      <c r="AN2317" s="153">
        <f t="shared" si="2087"/>
        <v>0</v>
      </c>
      <c r="AO2317" s="154">
        <f t="shared" si="2088"/>
        <v>0</v>
      </c>
      <c r="AP2317" s="150">
        <v>0</v>
      </c>
      <c r="AQ2317" s="201">
        <v>0</v>
      </c>
      <c r="AR2317" s="199"/>
      <c r="AS2317" s="150">
        <f t="shared" si="2082"/>
        <v>0</v>
      </c>
      <c r="AT2317" s="155"/>
      <c r="AU2317" s="156">
        <f t="shared" si="2083"/>
        <v>0</v>
      </c>
      <c r="AV2317" s="156">
        <f t="shared" si="2084"/>
        <v>0</v>
      </c>
      <c r="AW2317" s="157"/>
      <c r="AX2317" s="150">
        <v>0</v>
      </c>
      <c r="AY2317" s="150">
        <v>0</v>
      </c>
      <c r="AZ2317" s="150"/>
      <c r="BA2317" s="150">
        <f t="shared" si="2009"/>
        <v>0</v>
      </c>
      <c r="BB2317" s="202"/>
      <c r="BC2317" s="202"/>
      <c r="BD2317" s="202"/>
      <c r="BE2317" s="202"/>
      <c r="BF2317" s="202"/>
      <c r="BG2317" s="203"/>
      <c r="BH2317" s="216"/>
      <c r="BI2317" s="205"/>
      <c r="BJ2317" s="205"/>
      <c r="BK2317" s="205"/>
      <c r="BL2317" s="203"/>
      <c r="BM2317" s="208"/>
      <c r="BN2317" s="160"/>
      <c r="BO2317" s="161">
        <f t="shared" si="2046"/>
        <v>0</v>
      </c>
      <c r="BP2317" s="161"/>
    </row>
    <row r="2318" spans="1:68" ht="25.5">
      <c r="A2318" s="205"/>
      <c r="B2318" s="195" t="s">
        <v>10507</v>
      </c>
      <c r="C2318" s="196" t="s">
        <v>10508</v>
      </c>
      <c r="D2318" s="146" t="s">
        <v>4692</v>
      </c>
      <c r="E2318" s="196" t="s">
        <v>10508</v>
      </c>
      <c r="F2318" s="150">
        <v>0</v>
      </c>
      <c r="G2318" s="209">
        <v>0</v>
      </c>
      <c r="H2318" s="209"/>
      <c r="I2318" s="209">
        <v>0</v>
      </c>
      <c r="J2318" s="150">
        <v>0</v>
      </c>
      <c r="K2318" s="150">
        <v>0</v>
      </c>
      <c r="L2318" s="150">
        <f t="shared" si="2089"/>
        <v>0</v>
      </c>
      <c r="M2318" s="150">
        <v>0</v>
      </c>
      <c r="N2318" s="150"/>
      <c r="O2318" s="150">
        <v>0</v>
      </c>
      <c r="P2318" s="150">
        <v>0</v>
      </c>
      <c r="Q2318" s="150">
        <v>0</v>
      </c>
      <c r="R2318" s="150">
        <f t="shared" si="2078"/>
        <v>0</v>
      </c>
      <c r="S2318" s="150">
        <f t="shared" si="2040"/>
        <v>0</v>
      </c>
      <c r="T2318" s="150"/>
      <c r="U2318" s="150">
        <v>0</v>
      </c>
      <c r="V2318" s="199"/>
      <c r="W2318" s="150">
        <f t="shared" si="2079"/>
        <v>0</v>
      </c>
      <c r="X2318" s="150">
        <v>0</v>
      </c>
      <c r="Y2318" s="150"/>
      <c r="Z2318" s="150">
        <v>0</v>
      </c>
      <c r="AA2318" s="150">
        <f t="shared" si="2085"/>
        <v>0</v>
      </c>
      <c r="AB2318" s="150">
        <v>0</v>
      </c>
      <c r="AC2318" s="199"/>
      <c r="AD2318" s="150">
        <f t="shared" si="2080"/>
        <v>0</v>
      </c>
      <c r="AE2318" s="150">
        <v>0</v>
      </c>
      <c r="AF2318" s="169" t="s">
        <v>4680</v>
      </c>
      <c r="AG2318" s="201">
        <v>0</v>
      </c>
      <c r="AH2318" s="199"/>
      <c r="AI2318" s="150">
        <v>0</v>
      </c>
      <c r="AJ2318" s="169">
        <f t="shared" si="2086"/>
        <v>0</v>
      </c>
      <c r="AK2318" s="201">
        <v>0</v>
      </c>
      <c r="AL2318" s="199"/>
      <c r="AM2318" s="150">
        <f t="shared" si="2081"/>
        <v>0</v>
      </c>
      <c r="AN2318" s="153">
        <f t="shared" si="2087"/>
        <v>0</v>
      </c>
      <c r="AO2318" s="154">
        <f t="shared" si="2088"/>
        <v>0</v>
      </c>
      <c r="AP2318" s="150">
        <v>0</v>
      </c>
      <c r="AQ2318" s="201">
        <v>0</v>
      </c>
      <c r="AR2318" s="199"/>
      <c r="AS2318" s="150">
        <f t="shared" si="2082"/>
        <v>0</v>
      </c>
      <c r="AT2318" s="155"/>
      <c r="AU2318" s="156">
        <f t="shared" si="2083"/>
        <v>0</v>
      </c>
      <c r="AV2318" s="156">
        <f t="shared" si="2084"/>
        <v>0</v>
      </c>
      <c r="AW2318" s="157"/>
      <c r="AX2318" s="150">
        <v>0</v>
      </c>
      <c r="AY2318" s="150">
        <v>0</v>
      </c>
      <c r="AZ2318" s="150"/>
      <c r="BA2318" s="150">
        <f t="shared" si="2009"/>
        <v>0</v>
      </c>
      <c r="BB2318" s="202"/>
      <c r="BC2318" s="202"/>
      <c r="BD2318" s="202"/>
      <c r="BE2318" s="202"/>
      <c r="BF2318" s="202"/>
      <c r="BG2318" s="203"/>
      <c r="BH2318" s="216"/>
      <c r="BI2318" s="205"/>
      <c r="BJ2318" s="205"/>
      <c r="BK2318" s="205"/>
      <c r="BL2318" s="203"/>
      <c r="BM2318" s="208"/>
      <c r="BN2318" s="160"/>
      <c r="BO2318" s="161">
        <f t="shared" si="2046"/>
        <v>0</v>
      </c>
      <c r="BP2318" s="161"/>
    </row>
    <row r="2319" spans="1:68" ht="25.5">
      <c r="A2319" s="205"/>
      <c r="B2319" s="195" t="s">
        <v>10509</v>
      </c>
      <c r="C2319" s="196" t="s">
        <v>10510</v>
      </c>
      <c r="D2319" s="146" t="s">
        <v>4692</v>
      </c>
      <c r="E2319" s="196" t="s">
        <v>10510</v>
      </c>
      <c r="F2319" s="150">
        <v>0</v>
      </c>
      <c r="G2319" s="209">
        <v>0</v>
      </c>
      <c r="H2319" s="209"/>
      <c r="I2319" s="209">
        <v>0</v>
      </c>
      <c r="J2319" s="150">
        <v>0</v>
      </c>
      <c r="K2319" s="150">
        <v>0</v>
      </c>
      <c r="L2319" s="150">
        <f t="shared" si="2089"/>
        <v>0</v>
      </c>
      <c r="M2319" s="150">
        <v>0</v>
      </c>
      <c r="N2319" s="150"/>
      <c r="O2319" s="150">
        <v>0</v>
      </c>
      <c r="P2319" s="150">
        <v>0</v>
      </c>
      <c r="Q2319" s="150">
        <v>0</v>
      </c>
      <c r="R2319" s="150">
        <f t="shared" si="2078"/>
        <v>0</v>
      </c>
      <c r="S2319" s="150">
        <f t="shared" si="2040"/>
        <v>0</v>
      </c>
      <c r="T2319" s="150"/>
      <c r="U2319" s="150">
        <v>0</v>
      </c>
      <c r="V2319" s="199"/>
      <c r="W2319" s="150">
        <f t="shared" si="2079"/>
        <v>0</v>
      </c>
      <c r="X2319" s="150">
        <v>0</v>
      </c>
      <c r="Y2319" s="150"/>
      <c r="Z2319" s="150">
        <v>0</v>
      </c>
      <c r="AA2319" s="150">
        <f t="shared" si="2085"/>
        <v>0</v>
      </c>
      <c r="AB2319" s="150">
        <v>0</v>
      </c>
      <c r="AC2319" s="199"/>
      <c r="AD2319" s="150">
        <f t="shared" si="2080"/>
        <v>0</v>
      </c>
      <c r="AE2319" s="150">
        <v>0</v>
      </c>
      <c r="AF2319" s="169" t="s">
        <v>4680</v>
      </c>
      <c r="AG2319" s="201">
        <v>0</v>
      </c>
      <c r="AH2319" s="199"/>
      <c r="AI2319" s="150">
        <v>0</v>
      </c>
      <c r="AJ2319" s="169">
        <f t="shared" si="2086"/>
        <v>0</v>
      </c>
      <c r="AK2319" s="201">
        <v>0</v>
      </c>
      <c r="AL2319" s="199"/>
      <c r="AM2319" s="150">
        <f t="shared" si="2081"/>
        <v>0</v>
      </c>
      <c r="AN2319" s="153">
        <f t="shared" si="2087"/>
        <v>0</v>
      </c>
      <c r="AO2319" s="154">
        <f t="shared" si="2088"/>
        <v>0</v>
      </c>
      <c r="AP2319" s="150">
        <v>0</v>
      </c>
      <c r="AQ2319" s="201">
        <v>0</v>
      </c>
      <c r="AR2319" s="199"/>
      <c r="AS2319" s="150">
        <f t="shared" si="2082"/>
        <v>0</v>
      </c>
      <c r="AT2319" s="155"/>
      <c r="AU2319" s="156">
        <f t="shared" si="2083"/>
        <v>0</v>
      </c>
      <c r="AV2319" s="156">
        <f t="shared" si="2084"/>
        <v>0</v>
      </c>
      <c r="AW2319" s="157"/>
      <c r="AX2319" s="150">
        <v>0</v>
      </c>
      <c r="AY2319" s="150">
        <v>0</v>
      </c>
      <c r="AZ2319" s="150"/>
      <c r="BA2319" s="150">
        <f t="shared" si="2009"/>
        <v>0</v>
      </c>
      <c r="BB2319" s="202"/>
      <c r="BC2319" s="202"/>
      <c r="BD2319" s="202"/>
      <c r="BE2319" s="202"/>
      <c r="BF2319" s="202"/>
      <c r="BG2319" s="203"/>
      <c r="BH2319" s="216"/>
      <c r="BI2319" s="205"/>
      <c r="BJ2319" s="205"/>
      <c r="BK2319" s="205"/>
      <c r="BL2319" s="203"/>
      <c r="BM2319" s="208"/>
      <c r="BN2319" s="160"/>
      <c r="BO2319" s="161">
        <f t="shared" si="2046"/>
        <v>0</v>
      </c>
      <c r="BP2319" s="161"/>
    </row>
    <row r="2320" spans="1:68" ht="25.5">
      <c r="A2320" s="205"/>
      <c r="B2320" s="195" t="s">
        <v>10511</v>
      </c>
      <c r="C2320" s="196" t="s">
        <v>10512</v>
      </c>
      <c r="D2320" s="146" t="s">
        <v>4692</v>
      </c>
      <c r="E2320" s="196" t="s">
        <v>10512</v>
      </c>
      <c r="F2320" s="150">
        <v>0</v>
      </c>
      <c r="G2320" s="209">
        <v>0</v>
      </c>
      <c r="H2320" s="209"/>
      <c r="I2320" s="209">
        <v>0</v>
      </c>
      <c r="J2320" s="150">
        <v>0</v>
      </c>
      <c r="K2320" s="150">
        <v>0</v>
      </c>
      <c r="L2320" s="150">
        <f t="shared" si="2089"/>
        <v>0</v>
      </c>
      <c r="M2320" s="150">
        <v>0</v>
      </c>
      <c r="N2320" s="150"/>
      <c r="O2320" s="150">
        <v>0</v>
      </c>
      <c r="P2320" s="150">
        <v>0</v>
      </c>
      <c r="Q2320" s="150">
        <v>0</v>
      </c>
      <c r="R2320" s="150">
        <f t="shared" si="2078"/>
        <v>0</v>
      </c>
      <c r="S2320" s="150">
        <f t="shared" si="2040"/>
        <v>0</v>
      </c>
      <c r="T2320" s="150"/>
      <c r="U2320" s="150">
        <v>0</v>
      </c>
      <c r="V2320" s="199"/>
      <c r="W2320" s="150">
        <f t="shared" si="2079"/>
        <v>0</v>
      </c>
      <c r="X2320" s="150">
        <v>0</v>
      </c>
      <c r="Y2320" s="150"/>
      <c r="Z2320" s="150">
        <v>0</v>
      </c>
      <c r="AA2320" s="150">
        <f t="shared" si="2085"/>
        <v>0</v>
      </c>
      <c r="AB2320" s="150">
        <v>0</v>
      </c>
      <c r="AC2320" s="199"/>
      <c r="AD2320" s="150">
        <f t="shared" si="2080"/>
        <v>0</v>
      </c>
      <c r="AE2320" s="150">
        <v>0</v>
      </c>
      <c r="AF2320" s="169" t="s">
        <v>4680</v>
      </c>
      <c r="AG2320" s="201">
        <v>0</v>
      </c>
      <c r="AH2320" s="199"/>
      <c r="AI2320" s="150">
        <v>0</v>
      </c>
      <c r="AJ2320" s="169">
        <f t="shared" si="2086"/>
        <v>0</v>
      </c>
      <c r="AK2320" s="201">
        <v>0</v>
      </c>
      <c r="AL2320" s="199"/>
      <c r="AM2320" s="150">
        <f t="shared" si="2081"/>
        <v>0</v>
      </c>
      <c r="AN2320" s="153">
        <f t="shared" si="2087"/>
        <v>0</v>
      </c>
      <c r="AO2320" s="154">
        <f t="shared" si="2088"/>
        <v>0</v>
      </c>
      <c r="AP2320" s="150">
        <v>0</v>
      </c>
      <c r="AQ2320" s="201">
        <v>0</v>
      </c>
      <c r="AR2320" s="199"/>
      <c r="AS2320" s="150">
        <f t="shared" si="2082"/>
        <v>0</v>
      </c>
      <c r="AT2320" s="155"/>
      <c r="AU2320" s="156">
        <f t="shared" si="2083"/>
        <v>0</v>
      </c>
      <c r="AV2320" s="156">
        <f t="shared" si="2084"/>
        <v>0</v>
      </c>
      <c r="AW2320" s="157"/>
      <c r="AX2320" s="150">
        <v>0</v>
      </c>
      <c r="AY2320" s="150">
        <v>0</v>
      </c>
      <c r="AZ2320" s="150"/>
      <c r="BA2320" s="150">
        <f t="shared" si="2009"/>
        <v>0</v>
      </c>
      <c r="BB2320" s="202"/>
      <c r="BC2320" s="202"/>
      <c r="BD2320" s="202"/>
      <c r="BE2320" s="202"/>
      <c r="BF2320" s="202"/>
      <c r="BG2320" s="203"/>
      <c r="BH2320" s="216"/>
      <c r="BI2320" s="205"/>
      <c r="BJ2320" s="205"/>
      <c r="BK2320" s="205"/>
      <c r="BL2320" s="203"/>
      <c r="BM2320" s="208"/>
      <c r="BN2320" s="160"/>
      <c r="BO2320" s="161">
        <f t="shared" si="2046"/>
        <v>0</v>
      </c>
      <c r="BP2320" s="161"/>
    </row>
    <row r="2321" spans="1:68" ht="25.5">
      <c r="A2321" s="205"/>
      <c r="B2321" s="195" t="s">
        <v>10513</v>
      </c>
      <c r="C2321" s="196" t="s">
        <v>10514</v>
      </c>
      <c r="D2321" s="146" t="s">
        <v>4692</v>
      </c>
      <c r="E2321" s="196" t="s">
        <v>10514</v>
      </c>
      <c r="F2321" s="150">
        <v>0</v>
      </c>
      <c r="G2321" s="209">
        <v>0</v>
      </c>
      <c r="H2321" s="209"/>
      <c r="I2321" s="209">
        <v>0</v>
      </c>
      <c r="J2321" s="150">
        <v>0</v>
      </c>
      <c r="K2321" s="150">
        <v>0</v>
      </c>
      <c r="L2321" s="150">
        <f t="shared" si="2089"/>
        <v>0</v>
      </c>
      <c r="M2321" s="150">
        <v>0</v>
      </c>
      <c r="N2321" s="150"/>
      <c r="O2321" s="150">
        <v>0</v>
      </c>
      <c r="P2321" s="150">
        <v>0</v>
      </c>
      <c r="Q2321" s="150">
        <v>0</v>
      </c>
      <c r="R2321" s="150">
        <f t="shared" si="2078"/>
        <v>0</v>
      </c>
      <c r="S2321" s="150">
        <f t="shared" si="2040"/>
        <v>0</v>
      </c>
      <c r="T2321" s="150"/>
      <c r="U2321" s="150">
        <v>0</v>
      </c>
      <c r="V2321" s="199"/>
      <c r="W2321" s="150">
        <f t="shared" si="2079"/>
        <v>0</v>
      </c>
      <c r="X2321" s="150">
        <v>0</v>
      </c>
      <c r="Y2321" s="150"/>
      <c r="Z2321" s="150">
        <v>0</v>
      </c>
      <c r="AA2321" s="150">
        <f t="shared" si="2085"/>
        <v>0</v>
      </c>
      <c r="AB2321" s="150">
        <v>0</v>
      </c>
      <c r="AC2321" s="199"/>
      <c r="AD2321" s="150">
        <f t="shared" si="2080"/>
        <v>0</v>
      </c>
      <c r="AE2321" s="150">
        <v>0</v>
      </c>
      <c r="AF2321" s="169" t="s">
        <v>4680</v>
      </c>
      <c r="AG2321" s="201">
        <v>0</v>
      </c>
      <c r="AH2321" s="199"/>
      <c r="AI2321" s="150">
        <v>0</v>
      </c>
      <c r="AJ2321" s="169">
        <f t="shared" si="2086"/>
        <v>0</v>
      </c>
      <c r="AK2321" s="201">
        <v>0</v>
      </c>
      <c r="AL2321" s="199"/>
      <c r="AM2321" s="150">
        <f t="shared" si="2081"/>
        <v>0</v>
      </c>
      <c r="AN2321" s="153">
        <f t="shared" si="2087"/>
        <v>0</v>
      </c>
      <c r="AO2321" s="154">
        <f t="shared" si="2088"/>
        <v>0</v>
      </c>
      <c r="AP2321" s="150">
        <v>0</v>
      </c>
      <c r="AQ2321" s="201">
        <v>0</v>
      </c>
      <c r="AR2321" s="199"/>
      <c r="AS2321" s="150">
        <f t="shared" si="2082"/>
        <v>0</v>
      </c>
      <c r="AT2321" s="155"/>
      <c r="AU2321" s="156">
        <f t="shared" si="2083"/>
        <v>0</v>
      </c>
      <c r="AV2321" s="156">
        <f t="shared" si="2084"/>
        <v>0</v>
      </c>
      <c r="AW2321" s="157"/>
      <c r="AX2321" s="150">
        <v>0</v>
      </c>
      <c r="AY2321" s="150">
        <v>0</v>
      </c>
      <c r="AZ2321" s="150"/>
      <c r="BA2321" s="150">
        <f t="shared" si="2009"/>
        <v>0</v>
      </c>
      <c r="BB2321" s="202"/>
      <c r="BC2321" s="202"/>
      <c r="BD2321" s="202"/>
      <c r="BE2321" s="202"/>
      <c r="BF2321" s="202"/>
      <c r="BG2321" s="203"/>
      <c r="BH2321" s="216"/>
      <c r="BI2321" s="205"/>
      <c r="BJ2321" s="205"/>
      <c r="BK2321" s="205"/>
      <c r="BL2321" s="203"/>
      <c r="BM2321" s="208"/>
      <c r="BN2321" s="160"/>
      <c r="BO2321" s="161">
        <f t="shared" si="2046"/>
        <v>0</v>
      </c>
      <c r="BP2321" s="161"/>
    </row>
    <row r="2322" spans="1:68" ht="25.5">
      <c r="A2322" s="205"/>
      <c r="B2322" s="195" t="s">
        <v>10515</v>
      </c>
      <c r="C2322" s="196" t="s">
        <v>10516</v>
      </c>
      <c r="D2322" s="146" t="s">
        <v>4692</v>
      </c>
      <c r="E2322" s="196" t="s">
        <v>10516</v>
      </c>
      <c r="F2322" s="150">
        <v>0</v>
      </c>
      <c r="G2322" s="209">
        <v>0</v>
      </c>
      <c r="H2322" s="209"/>
      <c r="I2322" s="209">
        <v>0</v>
      </c>
      <c r="J2322" s="150">
        <v>0</v>
      </c>
      <c r="K2322" s="150">
        <v>0</v>
      </c>
      <c r="L2322" s="150">
        <f t="shared" si="2089"/>
        <v>0</v>
      </c>
      <c r="M2322" s="150">
        <v>0</v>
      </c>
      <c r="N2322" s="150"/>
      <c r="O2322" s="150">
        <v>0</v>
      </c>
      <c r="P2322" s="150">
        <v>0</v>
      </c>
      <c r="Q2322" s="150">
        <v>0</v>
      </c>
      <c r="R2322" s="150">
        <f t="shared" si="2078"/>
        <v>0</v>
      </c>
      <c r="S2322" s="150">
        <f t="shared" si="2040"/>
        <v>0</v>
      </c>
      <c r="T2322" s="150"/>
      <c r="U2322" s="150">
        <v>0</v>
      </c>
      <c r="V2322" s="199"/>
      <c r="W2322" s="150">
        <f t="shared" si="2079"/>
        <v>0</v>
      </c>
      <c r="X2322" s="150">
        <v>0</v>
      </c>
      <c r="Y2322" s="150"/>
      <c r="Z2322" s="150">
        <v>0</v>
      </c>
      <c r="AA2322" s="150">
        <f t="shared" si="2085"/>
        <v>0</v>
      </c>
      <c r="AB2322" s="150">
        <v>0</v>
      </c>
      <c r="AC2322" s="199"/>
      <c r="AD2322" s="150">
        <f t="shared" si="2080"/>
        <v>0</v>
      </c>
      <c r="AE2322" s="150">
        <v>0</v>
      </c>
      <c r="AF2322" s="169" t="s">
        <v>4680</v>
      </c>
      <c r="AG2322" s="201">
        <v>0</v>
      </c>
      <c r="AH2322" s="199"/>
      <c r="AI2322" s="150">
        <v>0</v>
      </c>
      <c r="AJ2322" s="169">
        <f t="shared" si="2086"/>
        <v>0</v>
      </c>
      <c r="AK2322" s="201">
        <v>0</v>
      </c>
      <c r="AL2322" s="199"/>
      <c r="AM2322" s="150">
        <f t="shared" si="2081"/>
        <v>0</v>
      </c>
      <c r="AN2322" s="153">
        <f t="shared" si="2087"/>
        <v>0</v>
      </c>
      <c r="AO2322" s="154">
        <f t="shared" si="2088"/>
        <v>0</v>
      </c>
      <c r="AP2322" s="150">
        <v>0</v>
      </c>
      <c r="AQ2322" s="201">
        <v>0</v>
      </c>
      <c r="AR2322" s="199"/>
      <c r="AS2322" s="150">
        <f t="shared" si="2082"/>
        <v>0</v>
      </c>
      <c r="AT2322" s="155"/>
      <c r="AU2322" s="156">
        <f t="shared" si="2083"/>
        <v>0</v>
      </c>
      <c r="AV2322" s="156">
        <f t="shared" si="2084"/>
        <v>0</v>
      </c>
      <c r="AW2322" s="157"/>
      <c r="AX2322" s="150">
        <v>0</v>
      </c>
      <c r="AY2322" s="150">
        <v>0</v>
      </c>
      <c r="AZ2322" s="150"/>
      <c r="BA2322" s="150">
        <f t="shared" si="2009"/>
        <v>0</v>
      </c>
      <c r="BB2322" s="202"/>
      <c r="BC2322" s="202"/>
      <c r="BD2322" s="202"/>
      <c r="BE2322" s="202"/>
      <c r="BF2322" s="202"/>
      <c r="BG2322" s="203"/>
      <c r="BH2322" s="216"/>
      <c r="BI2322" s="205"/>
      <c r="BJ2322" s="205"/>
      <c r="BK2322" s="205"/>
      <c r="BL2322" s="203"/>
      <c r="BM2322" s="208"/>
      <c r="BN2322" s="160"/>
      <c r="BO2322" s="161">
        <f t="shared" si="2046"/>
        <v>0</v>
      </c>
      <c r="BP2322" s="161"/>
    </row>
    <row r="2323" spans="1:68" ht="25.5">
      <c r="A2323" s="205"/>
      <c r="B2323" s="195" t="s">
        <v>10517</v>
      </c>
      <c r="C2323" s="196" t="s">
        <v>10518</v>
      </c>
      <c r="D2323" s="146" t="s">
        <v>4692</v>
      </c>
      <c r="E2323" s="196" t="s">
        <v>10518</v>
      </c>
      <c r="F2323" s="150">
        <v>0</v>
      </c>
      <c r="G2323" s="209">
        <v>0</v>
      </c>
      <c r="H2323" s="209"/>
      <c r="I2323" s="209">
        <v>0</v>
      </c>
      <c r="J2323" s="150">
        <v>0</v>
      </c>
      <c r="K2323" s="150">
        <v>0</v>
      </c>
      <c r="L2323" s="150">
        <f t="shared" si="2089"/>
        <v>0</v>
      </c>
      <c r="M2323" s="150">
        <v>0</v>
      </c>
      <c r="N2323" s="150"/>
      <c r="O2323" s="150">
        <v>0</v>
      </c>
      <c r="P2323" s="150">
        <v>0</v>
      </c>
      <c r="Q2323" s="150">
        <v>0</v>
      </c>
      <c r="R2323" s="150">
        <f t="shared" si="2078"/>
        <v>0</v>
      </c>
      <c r="S2323" s="150">
        <f t="shared" si="2040"/>
        <v>0</v>
      </c>
      <c r="T2323" s="150"/>
      <c r="U2323" s="150">
        <v>0</v>
      </c>
      <c r="V2323" s="199"/>
      <c r="W2323" s="150">
        <f t="shared" si="2079"/>
        <v>0</v>
      </c>
      <c r="X2323" s="150">
        <v>0</v>
      </c>
      <c r="Y2323" s="150"/>
      <c r="Z2323" s="150">
        <v>0</v>
      </c>
      <c r="AA2323" s="150">
        <f t="shared" si="2085"/>
        <v>0</v>
      </c>
      <c r="AB2323" s="150">
        <v>0</v>
      </c>
      <c r="AC2323" s="199"/>
      <c r="AD2323" s="150">
        <f t="shared" si="2080"/>
        <v>0</v>
      </c>
      <c r="AE2323" s="150">
        <v>0</v>
      </c>
      <c r="AF2323" s="169" t="s">
        <v>4680</v>
      </c>
      <c r="AG2323" s="201">
        <v>0</v>
      </c>
      <c r="AH2323" s="199"/>
      <c r="AI2323" s="150">
        <v>0</v>
      </c>
      <c r="AJ2323" s="169">
        <f t="shared" si="2086"/>
        <v>0</v>
      </c>
      <c r="AK2323" s="201">
        <v>0</v>
      </c>
      <c r="AL2323" s="199"/>
      <c r="AM2323" s="150">
        <f t="shared" si="2081"/>
        <v>0</v>
      </c>
      <c r="AN2323" s="153">
        <f t="shared" si="2087"/>
        <v>0</v>
      </c>
      <c r="AO2323" s="154">
        <f t="shared" si="2088"/>
        <v>0</v>
      </c>
      <c r="AP2323" s="150">
        <v>0</v>
      </c>
      <c r="AQ2323" s="201">
        <v>0</v>
      </c>
      <c r="AR2323" s="199"/>
      <c r="AS2323" s="150">
        <f t="shared" si="2082"/>
        <v>0</v>
      </c>
      <c r="AT2323" s="155"/>
      <c r="AU2323" s="156">
        <f t="shared" si="2083"/>
        <v>0</v>
      </c>
      <c r="AV2323" s="156">
        <f t="shared" si="2084"/>
        <v>0</v>
      </c>
      <c r="AW2323" s="157"/>
      <c r="AX2323" s="150">
        <v>0</v>
      </c>
      <c r="AY2323" s="150">
        <v>0</v>
      </c>
      <c r="AZ2323" s="150"/>
      <c r="BA2323" s="150">
        <f t="shared" si="2009"/>
        <v>0</v>
      </c>
      <c r="BB2323" s="202"/>
      <c r="BC2323" s="202"/>
      <c r="BD2323" s="202"/>
      <c r="BE2323" s="202"/>
      <c r="BF2323" s="202"/>
      <c r="BG2323" s="203"/>
      <c r="BH2323" s="216"/>
      <c r="BI2323" s="205"/>
      <c r="BJ2323" s="205"/>
      <c r="BK2323" s="205"/>
      <c r="BL2323" s="203"/>
      <c r="BM2323" s="208"/>
      <c r="BN2323" s="160"/>
      <c r="BO2323" s="161">
        <f t="shared" si="2046"/>
        <v>0</v>
      </c>
      <c r="BP2323" s="161"/>
    </row>
    <row r="2324" spans="1:68" ht="25.5">
      <c r="A2324" s="205"/>
      <c r="B2324" s="195" t="s">
        <v>10519</v>
      </c>
      <c r="C2324" s="196" t="s">
        <v>10520</v>
      </c>
      <c r="D2324" s="146" t="s">
        <v>4692</v>
      </c>
      <c r="E2324" s="196" t="s">
        <v>10520</v>
      </c>
      <c r="F2324" s="150">
        <v>0</v>
      </c>
      <c r="G2324" s="209">
        <v>0</v>
      </c>
      <c r="H2324" s="209"/>
      <c r="I2324" s="209">
        <v>0</v>
      </c>
      <c r="J2324" s="150">
        <v>0</v>
      </c>
      <c r="K2324" s="150">
        <v>0</v>
      </c>
      <c r="L2324" s="150">
        <f t="shared" si="2089"/>
        <v>0</v>
      </c>
      <c r="M2324" s="150">
        <v>0</v>
      </c>
      <c r="N2324" s="150"/>
      <c r="O2324" s="150">
        <v>0</v>
      </c>
      <c r="P2324" s="150">
        <v>0</v>
      </c>
      <c r="Q2324" s="150">
        <v>0</v>
      </c>
      <c r="R2324" s="150">
        <f t="shared" si="2078"/>
        <v>0</v>
      </c>
      <c r="S2324" s="150">
        <f t="shared" si="2040"/>
        <v>0</v>
      </c>
      <c r="T2324" s="150"/>
      <c r="U2324" s="150">
        <v>0</v>
      </c>
      <c r="V2324" s="199"/>
      <c r="W2324" s="150">
        <f t="shared" si="2079"/>
        <v>0</v>
      </c>
      <c r="X2324" s="150">
        <v>0</v>
      </c>
      <c r="Y2324" s="150"/>
      <c r="Z2324" s="150">
        <v>0</v>
      </c>
      <c r="AA2324" s="150">
        <f t="shared" si="2085"/>
        <v>0</v>
      </c>
      <c r="AB2324" s="150">
        <v>0</v>
      </c>
      <c r="AC2324" s="199"/>
      <c r="AD2324" s="150">
        <f t="shared" si="2080"/>
        <v>0</v>
      </c>
      <c r="AE2324" s="150">
        <v>0</v>
      </c>
      <c r="AF2324" s="169" t="s">
        <v>4680</v>
      </c>
      <c r="AG2324" s="201">
        <v>0</v>
      </c>
      <c r="AH2324" s="199"/>
      <c r="AI2324" s="150">
        <v>0</v>
      </c>
      <c r="AJ2324" s="169">
        <f t="shared" si="2086"/>
        <v>0</v>
      </c>
      <c r="AK2324" s="201">
        <v>0</v>
      </c>
      <c r="AL2324" s="199"/>
      <c r="AM2324" s="150">
        <f t="shared" si="2081"/>
        <v>0</v>
      </c>
      <c r="AN2324" s="153">
        <f t="shared" si="2087"/>
        <v>0</v>
      </c>
      <c r="AO2324" s="154">
        <f t="shared" si="2088"/>
        <v>0</v>
      </c>
      <c r="AP2324" s="150">
        <v>0</v>
      </c>
      <c r="AQ2324" s="201">
        <v>0</v>
      </c>
      <c r="AR2324" s="199"/>
      <c r="AS2324" s="150">
        <f t="shared" si="2082"/>
        <v>0</v>
      </c>
      <c r="AT2324" s="155"/>
      <c r="AU2324" s="156">
        <f t="shared" si="2083"/>
        <v>0</v>
      </c>
      <c r="AV2324" s="156">
        <f t="shared" si="2084"/>
        <v>0</v>
      </c>
      <c r="AW2324" s="157"/>
      <c r="AX2324" s="150">
        <v>0</v>
      </c>
      <c r="AY2324" s="150">
        <v>0</v>
      </c>
      <c r="AZ2324" s="150"/>
      <c r="BA2324" s="150">
        <f t="shared" si="2009"/>
        <v>0</v>
      </c>
      <c r="BB2324" s="202"/>
      <c r="BC2324" s="202"/>
      <c r="BD2324" s="202"/>
      <c r="BE2324" s="202"/>
      <c r="BF2324" s="202"/>
      <c r="BG2324" s="203"/>
      <c r="BH2324" s="216"/>
      <c r="BI2324" s="205"/>
      <c r="BJ2324" s="205"/>
      <c r="BK2324" s="205"/>
      <c r="BL2324" s="203"/>
      <c r="BM2324" s="208"/>
      <c r="BN2324" s="160"/>
      <c r="BO2324" s="161">
        <f t="shared" si="2046"/>
        <v>0</v>
      </c>
      <c r="BP2324" s="161"/>
    </row>
    <row r="2325" spans="1:68" ht="25.5">
      <c r="A2325" s="205"/>
      <c r="B2325" s="195" t="s">
        <v>10521</v>
      </c>
      <c r="C2325" s="196" t="s">
        <v>10522</v>
      </c>
      <c r="D2325" s="146" t="s">
        <v>4692</v>
      </c>
      <c r="E2325" s="196" t="s">
        <v>10522</v>
      </c>
      <c r="F2325" s="150">
        <v>0</v>
      </c>
      <c r="G2325" s="209">
        <v>0</v>
      </c>
      <c r="H2325" s="209"/>
      <c r="I2325" s="209">
        <v>0</v>
      </c>
      <c r="J2325" s="150">
        <v>0</v>
      </c>
      <c r="K2325" s="150">
        <v>0</v>
      </c>
      <c r="L2325" s="150">
        <f t="shared" si="2089"/>
        <v>0</v>
      </c>
      <c r="M2325" s="150">
        <v>0</v>
      </c>
      <c r="N2325" s="150"/>
      <c r="O2325" s="150">
        <v>0</v>
      </c>
      <c r="P2325" s="150">
        <v>0</v>
      </c>
      <c r="Q2325" s="150">
        <v>0</v>
      </c>
      <c r="R2325" s="150">
        <f t="shared" si="2078"/>
        <v>0</v>
      </c>
      <c r="S2325" s="150">
        <f t="shared" si="2040"/>
        <v>0</v>
      </c>
      <c r="T2325" s="150"/>
      <c r="U2325" s="150">
        <v>0</v>
      </c>
      <c r="V2325" s="199"/>
      <c r="W2325" s="150">
        <f t="shared" si="2079"/>
        <v>0</v>
      </c>
      <c r="X2325" s="150">
        <v>0</v>
      </c>
      <c r="Y2325" s="150"/>
      <c r="Z2325" s="150">
        <v>0</v>
      </c>
      <c r="AA2325" s="150">
        <f t="shared" si="2085"/>
        <v>0</v>
      </c>
      <c r="AB2325" s="150">
        <v>0</v>
      </c>
      <c r="AC2325" s="199"/>
      <c r="AD2325" s="150">
        <f t="shared" si="2080"/>
        <v>0</v>
      </c>
      <c r="AE2325" s="150">
        <v>0</v>
      </c>
      <c r="AF2325" s="169" t="s">
        <v>4680</v>
      </c>
      <c r="AG2325" s="201">
        <v>0</v>
      </c>
      <c r="AH2325" s="199"/>
      <c r="AI2325" s="150">
        <v>0</v>
      </c>
      <c r="AJ2325" s="169">
        <f t="shared" si="2086"/>
        <v>0</v>
      </c>
      <c r="AK2325" s="201">
        <v>0</v>
      </c>
      <c r="AL2325" s="199"/>
      <c r="AM2325" s="150">
        <f t="shared" si="2081"/>
        <v>0</v>
      </c>
      <c r="AN2325" s="153">
        <f t="shared" si="2087"/>
        <v>0</v>
      </c>
      <c r="AO2325" s="154">
        <f t="shared" si="2088"/>
        <v>0</v>
      </c>
      <c r="AP2325" s="150">
        <v>0</v>
      </c>
      <c r="AQ2325" s="201">
        <v>0</v>
      </c>
      <c r="AR2325" s="199"/>
      <c r="AS2325" s="150">
        <f t="shared" si="2082"/>
        <v>0</v>
      </c>
      <c r="AT2325" s="155"/>
      <c r="AU2325" s="156">
        <f t="shared" si="2083"/>
        <v>0</v>
      </c>
      <c r="AV2325" s="156">
        <f t="shared" si="2084"/>
        <v>0</v>
      </c>
      <c r="AW2325" s="157"/>
      <c r="AX2325" s="150">
        <v>0</v>
      </c>
      <c r="AY2325" s="150">
        <v>0</v>
      </c>
      <c r="AZ2325" s="150"/>
      <c r="BA2325" s="150">
        <f t="shared" si="2009"/>
        <v>0</v>
      </c>
      <c r="BB2325" s="202"/>
      <c r="BC2325" s="202"/>
      <c r="BD2325" s="202"/>
      <c r="BE2325" s="202"/>
      <c r="BF2325" s="202"/>
      <c r="BG2325" s="203"/>
      <c r="BH2325" s="216"/>
      <c r="BI2325" s="205"/>
      <c r="BJ2325" s="205"/>
      <c r="BK2325" s="205"/>
      <c r="BL2325" s="203"/>
      <c r="BM2325" s="208"/>
      <c r="BN2325" s="160"/>
      <c r="BO2325" s="161">
        <f t="shared" si="2046"/>
        <v>0</v>
      </c>
      <c r="BP2325" s="161"/>
    </row>
    <row r="2326" spans="1:68" ht="25.5">
      <c r="A2326" s="205"/>
      <c r="B2326" s="195" t="s">
        <v>10523</v>
      </c>
      <c r="C2326" s="196" t="s">
        <v>10524</v>
      </c>
      <c r="D2326" s="146" t="s">
        <v>4692</v>
      </c>
      <c r="E2326" s="196" t="s">
        <v>10524</v>
      </c>
      <c r="F2326" s="150">
        <v>0</v>
      </c>
      <c r="G2326" s="209">
        <v>0</v>
      </c>
      <c r="H2326" s="209"/>
      <c r="I2326" s="209">
        <v>0</v>
      </c>
      <c r="J2326" s="150">
        <v>0</v>
      </c>
      <c r="K2326" s="150">
        <v>0</v>
      </c>
      <c r="L2326" s="150">
        <f t="shared" si="2089"/>
        <v>0</v>
      </c>
      <c r="M2326" s="150">
        <v>0</v>
      </c>
      <c r="N2326" s="150"/>
      <c r="O2326" s="150">
        <v>0</v>
      </c>
      <c r="P2326" s="150">
        <v>0</v>
      </c>
      <c r="Q2326" s="150">
        <v>0</v>
      </c>
      <c r="R2326" s="150">
        <f t="shared" si="2078"/>
        <v>0</v>
      </c>
      <c r="S2326" s="150">
        <f t="shared" si="2040"/>
        <v>0</v>
      </c>
      <c r="T2326" s="150"/>
      <c r="U2326" s="150">
        <v>0</v>
      </c>
      <c r="V2326" s="199"/>
      <c r="W2326" s="150">
        <f t="shared" si="2079"/>
        <v>0</v>
      </c>
      <c r="X2326" s="150">
        <v>0</v>
      </c>
      <c r="Y2326" s="150"/>
      <c r="Z2326" s="150">
        <v>0</v>
      </c>
      <c r="AA2326" s="150">
        <f t="shared" si="2085"/>
        <v>0</v>
      </c>
      <c r="AB2326" s="150">
        <v>0</v>
      </c>
      <c r="AC2326" s="199"/>
      <c r="AD2326" s="150">
        <f t="shared" si="2080"/>
        <v>0</v>
      </c>
      <c r="AE2326" s="150">
        <v>0</v>
      </c>
      <c r="AF2326" s="169" t="s">
        <v>4680</v>
      </c>
      <c r="AG2326" s="201">
        <v>0</v>
      </c>
      <c r="AH2326" s="199"/>
      <c r="AI2326" s="150">
        <v>0</v>
      </c>
      <c r="AJ2326" s="169">
        <f t="shared" si="2086"/>
        <v>0</v>
      </c>
      <c r="AK2326" s="201">
        <v>0</v>
      </c>
      <c r="AL2326" s="199"/>
      <c r="AM2326" s="150">
        <f t="shared" si="2081"/>
        <v>0</v>
      </c>
      <c r="AN2326" s="153">
        <f t="shared" si="2087"/>
        <v>0</v>
      </c>
      <c r="AO2326" s="154">
        <f t="shared" si="2088"/>
        <v>0</v>
      </c>
      <c r="AP2326" s="150">
        <v>0</v>
      </c>
      <c r="AQ2326" s="201">
        <v>0</v>
      </c>
      <c r="AR2326" s="199"/>
      <c r="AS2326" s="150">
        <f t="shared" si="2082"/>
        <v>0</v>
      </c>
      <c r="AT2326" s="155"/>
      <c r="AU2326" s="156">
        <f t="shared" si="2083"/>
        <v>0</v>
      </c>
      <c r="AV2326" s="156">
        <f t="shared" si="2084"/>
        <v>0</v>
      </c>
      <c r="AW2326" s="157"/>
      <c r="AX2326" s="150">
        <v>0</v>
      </c>
      <c r="AY2326" s="150">
        <v>0</v>
      </c>
      <c r="AZ2326" s="150"/>
      <c r="BA2326" s="150">
        <f t="shared" si="2009"/>
        <v>0</v>
      </c>
      <c r="BB2326" s="202"/>
      <c r="BC2326" s="202"/>
      <c r="BD2326" s="202"/>
      <c r="BE2326" s="202"/>
      <c r="BF2326" s="202"/>
      <c r="BG2326" s="203"/>
      <c r="BH2326" s="216"/>
      <c r="BI2326" s="205"/>
      <c r="BJ2326" s="205"/>
      <c r="BK2326" s="205"/>
      <c r="BL2326" s="203"/>
      <c r="BM2326" s="208"/>
      <c r="BN2326" s="160"/>
      <c r="BO2326" s="161">
        <f t="shared" si="2046"/>
        <v>0</v>
      </c>
      <c r="BP2326" s="161"/>
    </row>
    <row r="2327" spans="1:68" ht="38.25">
      <c r="A2327" s="205"/>
      <c r="B2327" s="195" t="s">
        <v>10525</v>
      </c>
      <c r="C2327" s="196" t="s">
        <v>10526</v>
      </c>
      <c r="D2327" s="146" t="s">
        <v>4692</v>
      </c>
      <c r="E2327" s="196" t="s">
        <v>10526</v>
      </c>
      <c r="F2327" s="150">
        <v>0</v>
      </c>
      <c r="G2327" s="209">
        <v>0</v>
      </c>
      <c r="H2327" s="209"/>
      <c r="I2327" s="209">
        <v>0</v>
      </c>
      <c r="J2327" s="150">
        <v>0</v>
      </c>
      <c r="K2327" s="150">
        <v>0</v>
      </c>
      <c r="L2327" s="150">
        <f t="shared" si="2089"/>
        <v>0</v>
      </c>
      <c r="M2327" s="150">
        <v>0</v>
      </c>
      <c r="N2327" s="150"/>
      <c r="O2327" s="150">
        <v>0</v>
      </c>
      <c r="P2327" s="150">
        <v>0</v>
      </c>
      <c r="Q2327" s="150">
        <v>0</v>
      </c>
      <c r="R2327" s="150">
        <f t="shared" si="2078"/>
        <v>0</v>
      </c>
      <c r="S2327" s="150">
        <f t="shared" si="2040"/>
        <v>0</v>
      </c>
      <c r="T2327" s="150"/>
      <c r="U2327" s="150">
        <v>0</v>
      </c>
      <c r="V2327" s="199"/>
      <c r="W2327" s="150">
        <f t="shared" si="2079"/>
        <v>0</v>
      </c>
      <c r="X2327" s="150">
        <v>0</v>
      </c>
      <c r="Y2327" s="150"/>
      <c r="Z2327" s="150">
        <v>0</v>
      </c>
      <c r="AA2327" s="150">
        <f t="shared" si="2085"/>
        <v>0</v>
      </c>
      <c r="AB2327" s="150">
        <v>0</v>
      </c>
      <c r="AC2327" s="199"/>
      <c r="AD2327" s="150">
        <f t="shared" si="2080"/>
        <v>0</v>
      </c>
      <c r="AE2327" s="150">
        <v>0</v>
      </c>
      <c r="AF2327" s="169" t="s">
        <v>4680</v>
      </c>
      <c r="AG2327" s="201">
        <v>0</v>
      </c>
      <c r="AH2327" s="199"/>
      <c r="AI2327" s="150">
        <v>0</v>
      </c>
      <c r="AJ2327" s="169">
        <f t="shared" si="2086"/>
        <v>0</v>
      </c>
      <c r="AK2327" s="201">
        <v>0</v>
      </c>
      <c r="AL2327" s="199"/>
      <c r="AM2327" s="150">
        <f t="shared" si="2081"/>
        <v>0</v>
      </c>
      <c r="AN2327" s="153">
        <f t="shared" si="2087"/>
        <v>0</v>
      </c>
      <c r="AO2327" s="154">
        <f t="shared" si="2088"/>
        <v>0</v>
      </c>
      <c r="AP2327" s="150">
        <v>0</v>
      </c>
      <c r="AQ2327" s="201">
        <v>0</v>
      </c>
      <c r="AR2327" s="199"/>
      <c r="AS2327" s="150">
        <f t="shared" si="2082"/>
        <v>0</v>
      </c>
      <c r="AT2327" s="155"/>
      <c r="AU2327" s="156">
        <f t="shared" si="2083"/>
        <v>0</v>
      </c>
      <c r="AV2327" s="156">
        <f t="shared" si="2084"/>
        <v>0</v>
      </c>
      <c r="AW2327" s="157"/>
      <c r="AX2327" s="150">
        <v>0</v>
      </c>
      <c r="AY2327" s="150">
        <v>0</v>
      </c>
      <c r="AZ2327" s="150"/>
      <c r="BA2327" s="150">
        <f t="shared" si="2009"/>
        <v>0</v>
      </c>
      <c r="BB2327" s="202"/>
      <c r="BC2327" s="202"/>
      <c r="BD2327" s="202"/>
      <c r="BE2327" s="202"/>
      <c r="BF2327" s="202"/>
      <c r="BG2327" s="203"/>
      <c r="BH2327" s="216"/>
      <c r="BI2327" s="205"/>
      <c r="BJ2327" s="205"/>
      <c r="BK2327" s="205"/>
      <c r="BL2327" s="203"/>
      <c r="BM2327" s="208"/>
      <c r="BN2327" s="160"/>
      <c r="BO2327" s="161">
        <f t="shared" si="2046"/>
        <v>0</v>
      </c>
      <c r="BP2327" s="161"/>
    </row>
    <row r="2328" spans="1:68" ht="25.5">
      <c r="A2328" s="205"/>
      <c r="B2328" s="195" t="s">
        <v>10527</v>
      </c>
      <c r="C2328" s="196" t="s">
        <v>10528</v>
      </c>
      <c r="D2328" s="146" t="s">
        <v>4692</v>
      </c>
      <c r="E2328" s="196" t="s">
        <v>10528</v>
      </c>
      <c r="F2328" s="150">
        <v>0</v>
      </c>
      <c r="G2328" s="209">
        <v>0</v>
      </c>
      <c r="H2328" s="209"/>
      <c r="I2328" s="209">
        <v>0</v>
      </c>
      <c r="J2328" s="150">
        <v>0</v>
      </c>
      <c r="K2328" s="150">
        <v>0</v>
      </c>
      <c r="L2328" s="150">
        <f t="shared" si="2089"/>
        <v>0</v>
      </c>
      <c r="M2328" s="150">
        <v>0</v>
      </c>
      <c r="N2328" s="150"/>
      <c r="O2328" s="150">
        <v>0</v>
      </c>
      <c r="P2328" s="150">
        <v>0</v>
      </c>
      <c r="Q2328" s="150">
        <v>0</v>
      </c>
      <c r="R2328" s="150">
        <f t="shared" si="2078"/>
        <v>0</v>
      </c>
      <c r="S2328" s="150">
        <f t="shared" si="2040"/>
        <v>0</v>
      </c>
      <c r="T2328" s="150"/>
      <c r="U2328" s="150">
        <v>0</v>
      </c>
      <c r="V2328" s="199"/>
      <c r="W2328" s="150">
        <f t="shared" si="2079"/>
        <v>0</v>
      </c>
      <c r="X2328" s="150">
        <v>0</v>
      </c>
      <c r="Y2328" s="150"/>
      <c r="Z2328" s="150">
        <v>0</v>
      </c>
      <c r="AA2328" s="150">
        <f t="shared" si="2085"/>
        <v>0</v>
      </c>
      <c r="AB2328" s="150">
        <v>0</v>
      </c>
      <c r="AC2328" s="199"/>
      <c r="AD2328" s="150">
        <f t="shared" si="2080"/>
        <v>0</v>
      </c>
      <c r="AE2328" s="150">
        <v>0</v>
      </c>
      <c r="AF2328" s="169" t="s">
        <v>4680</v>
      </c>
      <c r="AG2328" s="201">
        <v>0</v>
      </c>
      <c r="AH2328" s="199"/>
      <c r="AI2328" s="150">
        <v>0</v>
      </c>
      <c r="AJ2328" s="169">
        <f t="shared" si="2086"/>
        <v>0</v>
      </c>
      <c r="AK2328" s="201">
        <v>0</v>
      </c>
      <c r="AL2328" s="199"/>
      <c r="AM2328" s="150">
        <f t="shared" si="2081"/>
        <v>0</v>
      </c>
      <c r="AN2328" s="153">
        <f t="shared" si="2087"/>
        <v>0</v>
      </c>
      <c r="AO2328" s="154">
        <f t="shared" si="2088"/>
        <v>0</v>
      </c>
      <c r="AP2328" s="150">
        <v>0</v>
      </c>
      <c r="AQ2328" s="201">
        <v>0</v>
      </c>
      <c r="AR2328" s="199"/>
      <c r="AS2328" s="150">
        <f t="shared" si="2082"/>
        <v>0</v>
      </c>
      <c r="AT2328" s="155"/>
      <c r="AU2328" s="156">
        <f t="shared" si="2083"/>
        <v>0</v>
      </c>
      <c r="AV2328" s="156">
        <f t="shared" si="2084"/>
        <v>0</v>
      </c>
      <c r="AW2328" s="157"/>
      <c r="AX2328" s="150">
        <v>0</v>
      </c>
      <c r="AY2328" s="150">
        <v>0</v>
      </c>
      <c r="AZ2328" s="150"/>
      <c r="BA2328" s="150">
        <f t="shared" si="2009"/>
        <v>0</v>
      </c>
      <c r="BB2328" s="202"/>
      <c r="BC2328" s="202"/>
      <c r="BD2328" s="202"/>
      <c r="BE2328" s="202"/>
      <c r="BF2328" s="202"/>
      <c r="BG2328" s="203"/>
      <c r="BH2328" s="216"/>
      <c r="BI2328" s="205"/>
      <c r="BJ2328" s="205"/>
      <c r="BK2328" s="205"/>
      <c r="BL2328" s="203"/>
      <c r="BM2328" s="208"/>
      <c r="BN2328" s="160"/>
      <c r="BO2328" s="161">
        <f t="shared" si="2046"/>
        <v>0</v>
      </c>
      <c r="BP2328" s="161"/>
    </row>
    <row r="2329" spans="1:68" ht="25.5">
      <c r="A2329" s="205"/>
      <c r="B2329" s="195" t="s">
        <v>10529</v>
      </c>
      <c r="C2329" s="196" t="s">
        <v>10530</v>
      </c>
      <c r="D2329" s="146" t="s">
        <v>4692</v>
      </c>
      <c r="E2329" s="196" t="s">
        <v>10530</v>
      </c>
      <c r="F2329" s="150">
        <v>0</v>
      </c>
      <c r="G2329" s="209">
        <v>0</v>
      </c>
      <c r="H2329" s="209"/>
      <c r="I2329" s="209">
        <v>0</v>
      </c>
      <c r="J2329" s="150">
        <v>0</v>
      </c>
      <c r="K2329" s="150">
        <v>0</v>
      </c>
      <c r="L2329" s="150">
        <f t="shared" si="2089"/>
        <v>0</v>
      </c>
      <c r="M2329" s="150">
        <v>0</v>
      </c>
      <c r="N2329" s="150"/>
      <c r="O2329" s="150">
        <v>0</v>
      </c>
      <c r="P2329" s="150">
        <v>0</v>
      </c>
      <c r="Q2329" s="150">
        <v>0</v>
      </c>
      <c r="R2329" s="150">
        <f t="shared" si="2078"/>
        <v>0</v>
      </c>
      <c r="S2329" s="150">
        <f t="shared" si="2040"/>
        <v>0</v>
      </c>
      <c r="T2329" s="150"/>
      <c r="U2329" s="150">
        <v>0</v>
      </c>
      <c r="V2329" s="199"/>
      <c r="W2329" s="150">
        <f t="shared" si="2079"/>
        <v>0</v>
      </c>
      <c r="X2329" s="150">
        <v>0</v>
      </c>
      <c r="Y2329" s="150"/>
      <c r="Z2329" s="150">
        <v>0</v>
      </c>
      <c r="AA2329" s="150">
        <f t="shared" si="2085"/>
        <v>0</v>
      </c>
      <c r="AB2329" s="150">
        <v>0</v>
      </c>
      <c r="AC2329" s="199"/>
      <c r="AD2329" s="150">
        <f t="shared" si="2080"/>
        <v>0</v>
      </c>
      <c r="AE2329" s="150">
        <v>0</v>
      </c>
      <c r="AF2329" s="169" t="s">
        <v>4680</v>
      </c>
      <c r="AG2329" s="201">
        <v>0</v>
      </c>
      <c r="AH2329" s="199"/>
      <c r="AI2329" s="150">
        <v>0</v>
      </c>
      <c r="AJ2329" s="169">
        <f t="shared" si="2086"/>
        <v>0</v>
      </c>
      <c r="AK2329" s="201">
        <v>0</v>
      </c>
      <c r="AL2329" s="199"/>
      <c r="AM2329" s="150">
        <f t="shared" si="2081"/>
        <v>0</v>
      </c>
      <c r="AN2329" s="153">
        <f t="shared" si="2087"/>
        <v>0</v>
      </c>
      <c r="AO2329" s="154">
        <f t="shared" si="2088"/>
        <v>0</v>
      </c>
      <c r="AP2329" s="150">
        <v>0</v>
      </c>
      <c r="AQ2329" s="201">
        <v>0</v>
      </c>
      <c r="AR2329" s="199"/>
      <c r="AS2329" s="150">
        <f t="shared" si="2082"/>
        <v>0</v>
      </c>
      <c r="AT2329" s="155"/>
      <c r="AU2329" s="156">
        <f t="shared" si="2083"/>
        <v>0</v>
      </c>
      <c r="AV2329" s="156">
        <f t="shared" si="2084"/>
        <v>0</v>
      </c>
      <c r="AW2329" s="157"/>
      <c r="AX2329" s="150">
        <v>0</v>
      </c>
      <c r="AY2329" s="150">
        <v>0</v>
      </c>
      <c r="AZ2329" s="150"/>
      <c r="BA2329" s="150">
        <f t="shared" si="2009"/>
        <v>0</v>
      </c>
      <c r="BB2329" s="202"/>
      <c r="BC2329" s="202"/>
      <c r="BD2329" s="202"/>
      <c r="BE2329" s="202"/>
      <c r="BF2329" s="202"/>
      <c r="BG2329" s="203"/>
      <c r="BH2329" s="216"/>
      <c r="BI2329" s="205"/>
      <c r="BJ2329" s="205"/>
      <c r="BK2329" s="205"/>
      <c r="BL2329" s="203"/>
      <c r="BM2329" s="208"/>
      <c r="BN2329" s="160"/>
      <c r="BO2329" s="161">
        <f t="shared" si="2046"/>
        <v>0</v>
      </c>
      <c r="BP2329" s="161"/>
    </row>
    <row r="2330" spans="1:68" ht="25.5">
      <c r="A2330" s="205"/>
      <c r="B2330" s="195" t="s">
        <v>10531</v>
      </c>
      <c r="C2330" s="196" t="s">
        <v>10532</v>
      </c>
      <c r="D2330" s="146" t="s">
        <v>4692</v>
      </c>
      <c r="E2330" s="196" t="s">
        <v>10532</v>
      </c>
      <c r="F2330" s="150">
        <v>0</v>
      </c>
      <c r="G2330" s="209">
        <v>0</v>
      </c>
      <c r="H2330" s="209"/>
      <c r="I2330" s="209">
        <v>0</v>
      </c>
      <c r="J2330" s="150">
        <v>0</v>
      </c>
      <c r="K2330" s="150">
        <v>0</v>
      </c>
      <c r="L2330" s="150">
        <f t="shared" si="2089"/>
        <v>0</v>
      </c>
      <c r="M2330" s="150">
        <v>0</v>
      </c>
      <c r="N2330" s="150"/>
      <c r="O2330" s="150">
        <v>0</v>
      </c>
      <c r="P2330" s="150">
        <v>0</v>
      </c>
      <c r="Q2330" s="150">
        <v>0</v>
      </c>
      <c r="R2330" s="150">
        <f t="shared" si="2078"/>
        <v>0</v>
      </c>
      <c r="S2330" s="150">
        <f t="shared" si="2040"/>
        <v>0</v>
      </c>
      <c r="T2330" s="150"/>
      <c r="U2330" s="150">
        <v>0</v>
      </c>
      <c r="V2330" s="199"/>
      <c r="W2330" s="150">
        <f t="shared" si="2079"/>
        <v>0</v>
      </c>
      <c r="X2330" s="150">
        <v>0</v>
      </c>
      <c r="Y2330" s="150"/>
      <c r="Z2330" s="150">
        <v>0</v>
      </c>
      <c r="AA2330" s="150">
        <f t="shared" si="2085"/>
        <v>0</v>
      </c>
      <c r="AB2330" s="150">
        <v>0</v>
      </c>
      <c r="AC2330" s="199"/>
      <c r="AD2330" s="150">
        <f t="shared" si="2080"/>
        <v>0</v>
      </c>
      <c r="AE2330" s="150">
        <v>0</v>
      </c>
      <c r="AF2330" s="169" t="s">
        <v>4680</v>
      </c>
      <c r="AG2330" s="201">
        <v>0</v>
      </c>
      <c r="AH2330" s="199"/>
      <c r="AI2330" s="150">
        <v>0</v>
      </c>
      <c r="AJ2330" s="169">
        <f t="shared" si="2086"/>
        <v>0</v>
      </c>
      <c r="AK2330" s="201">
        <v>0</v>
      </c>
      <c r="AL2330" s="199"/>
      <c r="AM2330" s="150">
        <f t="shared" si="2081"/>
        <v>0</v>
      </c>
      <c r="AN2330" s="153">
        <f t="shared" si="2087"/>
        <v>0</v>
      </c>
      <c r="AO2330" s="154">
        <f t="shared" si="2088"/>
        <v>0</v>
      </c>
      <c r="AP2330" s="150">
        <v>0</v>
      </c>
      <c r="AQ2330" s="201">
        <v>0</v>
      </c>
      <c r="AR2330" s="199"/>
      <c r="AS2330" s="150">
        <f t="shared" si="2082"/>
        <v>0</v>
      </c>
      <c r="AT2330" s="155"/>
      <c r="AU2330" s="156">
        <f t="shared" si="2083"/>
        <v>0</v>
      </c>
      <c r="AV2330" s="156">
        <f t="shared" si="2084"/>
        <v>0</v>
      </c>
      <c r="AW2330" s="157"/>
      <c r="AX2330" s="150">
        <v>0</v>
      </c>
      <c r="AY2330" s="150">
        <v>0</v>
      </c>
      <c r="AZ2330" s="150"/>
      <c r="BA2330" s="150">
        <f t="shared" si="2009"/>
        <v>0</v>
      </c>
      <c r="BB2330" s="202"/>
      <c r="BC2330" s="202"/>
      <c r="BD2330" s="202"/>
      <c r="BE2330" s="202"/>
      <c r="BF2330" s="202"/>
      <c r="BG2330" s="203"/>
      <c r="BH2330" s="216"/>
      <c r="BI2330" s="205"/>
      <c r="BJ2330" s="205"/>
      <c r="BK2330" s="205"/>
      <c r="BL2330" s="203"/>
      <c r="BM2330" s="208"/>
      <c r="BN2330" s="160"/>
      <c r="BO2330" s="161">
        <f t="shared" si="2046"/>
        <v>0</v>
      </c>
      <c r="BP2330" s="161"/>
    </row>
    <row r="2331" spans="1:68" ht="38.25">
      <c r="A2331" s="205"/>
      <c r="B2331" s="195" t="s">
        <v>10533</v>
      </c>
      <c r="C2331" s="196" t="s">
        <v>10534</v>
      </c>
      <c r="D2331" s="146" t="s">
        <v>4692</v>
      </c>
      <c r="E2331" s="196" t="s">
        <v>10534</v>
      </c>
      <c r="F2331" s="150">
        <v>0</v>
      </c>
      <c r="G2331" s="209">
        <v>0</v>
      </c>
      <c r="H2331" s="209"/>
      <c r="I2331" s="209">
        <v>0</v>
      </c>
      <c r="J2331" s="150">
        <v>0</v>
      </c>
      <c r="K2331" s="150">
        <v>0</v>
      </c>
      <c r="L2331" s="150">
        <f t="shared" si="2089"/>
        <v>0</v>
      </c>
      <c r="M2331" s="150">
        <v>0</v>
      </c>
      <c r="N2331" s="150"/>
      <c r="O2331" s="150">
        <v>0</v>
      </c>
      <c r="P2331" s="150">
        <v>0</v>
      </c>
      <c r="Q2331" s="150">
        <v>0</v>
      </c>
      <c r="R2331" s="150">
        <f t="shared" si="2078"/>
        <v>0</v>
      </c>
      <c r="S2331" s="150">
        <f t="shared" si="2040"/>
        <v>0</v>
      </c>
      <c r="T2331" s="150"/>
      <c r="U2331" s="150">
        <v>0</v>
      </c>
      <c r="V2331" s="199"/>
      <c r="W2331" s="150">
        <f t="shared" si="2079"/>
        <v>0</v>
      </c>
      <c r="X2331" s="150">
        <v>0</v>
      </c>
      <c r="Y2331" s="150"/>
      <c r="Z2331" s="150">
        <v>0</v>
      </c>
      <c r="AA2331" s="150">
        <f t="shared" si="2085"/>
        <v>0</v>
      </c>
      <c r="AB2331" s="150">
        <v>0</v>
      </c>
      <c r="AC2331" s="199"/>
      <c r="AD2331" s="150">
        <f t="shared" si="2080"/>
        <v>0</v>
      </c>
      <c r="AE2331" s="150">
        <v>0</v>
      </c>
      <c r="AF2331" s="169" t="s">
        <v>4680</v>
      </c>
      <c r="AG2331" s="201">
        <v>0</v>
      </c>
      <c r="AH2331" s="199"/>
      <c r="AI2331" s="150">
        <v>0</v>
      </c>
      <c r="AJ2331" s="169">
        <f t="shared" si="2086"/>
        <v>0</v>
      </c>
      <c r="AK2331" s="201">
        <v>0</v>
      </c>
      <c r="AL2331" s="199"/>
      <c r="AM2331" s="150">
        <f t="shared" si="2081"/>
        <v>0</v>
      </c>
      <c r="AN2331" s="153">
        <f t="shared" si="2087"/>
        <v>0</v>
      </c>
      <c r="AO2331" s="154">
        <f t="shared" si="2088"/>
        <v>0</v>
      </c>
      <c r="AP2331" s="150">
        <v>0</v>
      </c>
      <c r="AQ2331" s="201">
        <v>0</v>
      </c>
      <c r="AR2331" s="199"/>
      <c r="AS2331" s="150">
        <f t="shared" si="2082"/>
        <v>0</v>
      </c>
      <c r="AT2331" s="155"/>
      <c r="AU2331" s="156">
        <f t="shared" si="2083"/>
        <v>0</v>
      </c>
      <c r="AV2331" s="156">
        <f t="shared" si="2084"/>
        <v>0</v>
      </c>
      <c r="AW2331" s="157"/>
      <c r="AX2331" s="150">
        <v>0</v>
      </c>
      <c r="AY2331" s="150">
        <v>0</v>
      </c>
      <c r="AZ2331" s="150"/>
      <c r="BA2331" s="150">
        <f t="shared" si="2009"/>
        <v>0</v>
      </c>
      <c r="BB2331" s="202"/>
      <c r="BC2331" s="202"/>
      <c r="BD2331" s="202"/>
      <c r="BE2331" s="202"/>
      <c r="BF2331" s="202"/>
      <c r="BG2331" s="203"/>
      <c r="BH2331" s="216"/>
      <c r="BI2331" s="205"/>
      <c r="BJ2331" s="205"/>
      <c r="BK2331" s="205"/>
      <c r="BL2331" s="203"/>
      <c r="BM2331" s="208"/>
      <c r="BN2331" s="160"/>
      <c r="BO2331" s="161">
        <f t="shared" si="2046"/>
        <v>0</v>
      </c>
      <c r="BP2331" s="161"/>
    </row>
    <row r="2332" spans="1:68" ht="25.5">
      <c r="A2332" s="205"/>
      <c r="B2332" s="195" t="s">
        <v>10535</v>
      </c>
      <c r="C2332" s="196" t="s">
        <v>10536</v>
      </c>
      <c r="D2332" s="146" t="s">
        <v>4692</v>
      </c>
      <c r="E2332" s="196" t="s">
        <v>10536</v>
      </c>
      <c r="F2332" s="150">
        <v>0</v>
      </c>
      <c r="G2332" s="209">
        <v>0</v>
      </c>
      <c r="H2332" s="209"/>
      <c r="I2332" s="209">
        <v>0</v>
      </c>
      <c r="J2332" s="150">
        <v>0</v>
      </c>
      <c r="K2332" s="150">
        <v>0</v>
      </c>
      <c r="L2332" s="150">
        <f t="shared" si="2089"/>
        <v>0</v>
      </c>
      <c r="M2332" s="150">
        <v>0</v>
      </c>
      <c r="N2332" s="150"/>
      <c r="O2332" s="150">
        <v>0</v>
      </c>
      <c r="P2332" s="150">
        <v>0</v>
      </c>
      <c r="Q2332" s="150">
        <v>0</v>
      </c>
      <c r="R2332" s="150">
        <f t="shared" si="2078"/>
        <v>0</v>
      </c>
      <c r="S2332" s="150">
        <f t="shared" si="2040"/>
        <v>0</v>
      </c>
      <c r="T2332" s="150"/>
      <c r="U2332" s="150">
        <v>0</v>
      </c>
      <c r="V2332" s="199"/>
      <c r="W2332" s="150">
        <f t="shared" si="2079"/>
        <v>0</v>
      </c>
      <c r="X2332" s="150">
        <v>0</v>
      </c>
      <c r="Y2332" s="150"/>
      <c r="Z2332" s="150">
        <v>0</v>
      </c>
      <c r="AA2332" s="150">
        <f t="shared" si="2085"/>
        <v>0</v>
      </c>
      <c r="AB2332" s="150">
        <v>0</v>
      </c>
      <c r="AC2332" s="199"/>
      <c r="AD2332" s="150">
        <f t="shared" si="2080"/>
        <v>0</v>
      </c>
      <c r="AE2332" s="150">
        <v>0</v>
      </c>
      <c r="AF2332" s="169" t="s">
        <v>4680</v>
      </c>
      <c r="AG2332" s="201">
        <v>0</v>
      </c>
      <c r="AH2332" s="199"/>
      <c r="AI2332" s="150">
        <v>0</v>
      </c>
      <c r="AJ2332" s="169">
        <f t="shared" si="2086"/>
        <v>0</v>
      </c>
      <c r="AK2332" s="201">
        <v>0</v>
      </c>
      <c r="AL2332" s="199"/>
      <c r="AM2332" s="150">
        <f t="shared" si="2081"/>
        <v>0</v>
      </c>
      <c r="AN2332" s="153">
        <f t="shared" si="2087"/>
        <v>0</v>
      </c>
      <c r="AO2332" s="154">
        <f t="shared" si="2088"/>
        <v>0</v>
      </c>
      <c r="AP2332" s="150">
        <v>0</v>
      </c>
      <c r="AQ2332" s="201">
        <v>0</v>
      </c>
      <c r="AR2332" s="199"/>
      <c r="AS2332" s="150">
        <f t="shared" si="2082"/>
        <v>0</v>
      </c>
      <c r="AT2332" s="155"/>
      <c r="AU2332" s="156">
        <f t="shared" si="2083"/>
        <v>0</v>
      </c>
      <c r="AV2332" s="156">
        <f t="shared" si="2084"/>
        <v>0</v>
      </c>
      <c r="AW2332" s="157"/>
      <c r="AX2332" s="150">
        <v>0</v>
      </c>
      <c r="AY2332" s="150">
        <v>0</v>
      </c>
      <c r="AZ2332" s="150"/>
      <c r="BA2332" s="150">
        <f t="shared" si="2009"/>
        <v>0</v>
      </c>
      <c r="BB2332" s="202"/>
      <c r="BC2332" s="202"/>
      <c r="BD2332" s="202"/>
      <c r="BE2332" s="202"/>
      <c r="BF2332" s="202"/>
      <c r="BG2332" s="203"/>
      <c r="BH2332" s="216"/>
      <c r="BI2332" s="205"/>
      <c r="BJ2332" s="205"/>
      <c r="BK2332" s="205"/>
      <c r="BL2332" s="203"/>
      <c r="BM2332" s="208"/>
      <c r="BN2332" s="160"/>
      <c r="BO2332" s="161">
        <f t="shared" si="2046"/>
        <v>0</v>
      </c>
      <c r="BP2332" s="161"/>
    </row>
    <row r="2333" spans="1:68" ht="25.5">
      <c r="A2333" s="205"/>
      <c r="B2333" s="195" t="s">
        <v>10537</v>
      </c>
      <c r="C2333" s="196" t="s">
        <v>10538</v>
      </c>
      <c r="D2333" s="146" t="s">
        <v>4692</v>
      </c>
      <c r="E2333" s="196" t="s">
        <v>10538</v>
      </c>
      <c r="F2333" s="150">
        <v>0</v>
      </c>
      <c r="G2333" s="209">
        <v>0</v>
      </c>
      <c r="H2333" s="209"/>
      <c r="I2333" s="209">
        <v>0</v>
      </c>
      <c r="J2333" s="150">
        <v>0</v>
      </c>
      <c r="K2333" s="150">
        <v>0</v>
      </c>
      <c r="L2333" s="150">
        <f t="shared" si="2089"/>
        <v>0</v>
      </c>
      <c r="M2333" s="150">
        <v>0</v>
      </c>
      <c r="N2333" s="150"/>
      <c r="O2333" s="150">
        <v>0</v>
      </c>
      <c r="P2333" s="150">
        <v>0</v>
      </c>
      <c r="Q2333" s="150">
        <v>0</v>
      </c>
      <c r="R2333" s="150">
        <f t="shared" si="2078"/>
        <v>0</v>
      </c>
      <c r="S2333" s="150">
        <f t="shared" si="2040"/>
        <v>0</v>
      </c>
      <c r="T2333" s="150"/>
      <c r="U2333" s="150">
        <v>0</v>
      </c>
      <c r="V2333" s="199"/>
      <c r="W2333" s="150">
        <f t="shared" si="2079"/>
        <v>0</v>
      </c>
      <c r="X2333" s="150">
        <v>0</v>
      </c>
      <c r="Y2333" s="150"/>
      <c r="Z2333" s="150">
        <v>0</v>
      </c>
      <c r="AA2333" s="150">
        <f t="shared" si="2085"/>
        <v>0</v>
      </c>
      <c r="AB2333" s="150">
        <v>0</v>
      </c>
      <c r="AC2333" s="199"/>
      <c r="AD2333" s="150">
        <f t="shared" si="2080"/>
        <v>0</v>
      </c>
      <c r="AE2333" s="150">
        <v>0</v>
      </c>
      <c r="AF2333" s="169" t="s">
        <v>4680</v>
      </c>
      <c r="AG2333" s="201">
        <v>0</v>
      </c>
      <c r="AH2333" s="199"/>
      <c r="AI2333" s="150">
        <v>0</v>
      </c>
      <c r="AJ2333" s="169">
        <f t="shared" si="2086"/>
        <v>0</v>
      </c>
      <c r="AK2333" s="201">
        <v>0</v>
      </c>
      <c r="AL2333" s="199"/>
      <c r="AM2333" s="150">
        <f t="shared" si="2081"/>
        <v>0</v>
      </c>
      <c r="AN2333" s="153">
        <f t="shared" si="2087"/>
        <v>0</v>
      </c>
      <c r="AO2333" s="154">
        <f t="shared" si="2088"/>
        <v>0</v>
      </c>
      <c r="AP2333" s="150">
        <v>0</v>
      </c>
      <c r="AQ2333" s="201">
        <v>0</v>
      </c>
      <c r="AR2333" s="199"/>
      <c r="AS2333" s="150">
        <f t="shared" si="2082"/>
        <v>0</v>
      </c>
      <c r="AT2333" s="155"/>
      <c r="AU2333" s="156">
        <f t="shared" si="2083"/>
        <v>0</v>
      </c>
      <c r="AV2333" s="156">
        <f t="shared" si="2084"/>
        <v>0</v>
      </c>
      <c r="AW2333" s="157"/>
      <c r="AX2333" s="150">
        <v>0</v>
      </c>
      <c r="AY2333" s="150">
        <v>0</v>
      </c>
      <c r="AZ2333" s="150"/>
      <c r="BA2333" s="150">
        <f t="shared" si="2009"/>
        <v>0</v>
      </c>
      <c r="BB2333" s="202"/>
      <c r="BC2333" s="202"/>
      <c r="BD2333" s="202"/>
      <c r="BE2333" s="202"/>
      <c r="BF2333" s="202"/>
      <c r="BG2333" s="203"/>
      <c r="BH2333" s="216"/>
      <c r="BI2333" s="205"/>
      <c r="BJ2333" s="205"/>
      <c r="BK2333" s="205"/>
      <c r="BL2333" s="203"/>
      <c r="BM2333" s="208"/>
      <c r="BN2333" s="160"/>
      <c r="BO2333" s="161">
        <f t="shared" si="2046"/>
        <v>0</v>
      </c>
      <c r="BP2333" s="161"/>
    </row>
    <row r="2334" spans="1:68">
      <c r="A2334" s="205"/>
      <c r="B2334" s="195" t="s">
        <v>10539</v>
      </c>
      <c r="C2334" s="196" t="s">
        <v>10540</v>
      </c>
      <c r="D2334" s="146" t="s">
        <v>4692</v>
      </c>
      <c r="E2334" s="196" t="s">
        <v>10540</v>
      </c>
      <c r="F2334" s="150">
        <v>0</v>
      </c>
      <c r="G2334" s="209">
        <v>0</v>
      </c>
      <c r="H2334" s="209"/>
      <c r="I2334" s="209">
        <v>0</v>
      </c>
      <c r="J2334" s="150">
        <v>0</v>
      </c>
      <c r="K2334" s="150">
        <v>0</v>
      </c>
      <c r="L2334" s="150">
        <f t="shared" si="2089"/>
        <v>0</v>
      </c>
      <c r="M2334" s="150">
        <v>0</v>
      </c>
      <c r="N2334" s="150"/>
      <c r="O2334" s="150">
        <v>0</v>
      </c>
      <c r="P2334" s="150">
        <v>0</v>
      </c>
      <c r="Q2334" s="150">
        <v>0</v>
      </c>
      <c r="R2334" s="150">
        <f t="shared" si="2078"/>
        <v>0</v>
      </c>
      <c r="S2334" s="150">
        <f t="shared" si="2040"/>
        <v>0</v>
      </c>
      <c r="T2334" s="150"/>
      <c r="U2334" s="150">
        <v>0</v>
      </c>
      <c r="V2334" s="199"/>
      <c r="W2334" s="150">
        <f t="shared" si="2079"/>
        <v>0</v>
      </c>
      <c r="X2334" s="150">
        <v>0</v>
      </c>
      <c r="Y2334" s="150"/>
      <c r="Z2334" s="150">
        <v>0</v>
      </c>
      <c r="AA2334" s="150">
        <f t="shared" si="2085"/>
        <v>0</v>
      </c>
      <c r="AB2334" s="150">
        <v>0</v>
      </c>
      <c r="AC2334" s="199"/>
      <c r="AD2334" s="150">
        <f t="shared" si="2080"/>
        <v>0</v>
      </c>
      <c r="AE2334" s="150">
        <v>0</v>
      </c>
      <c r="AF2334" s="169" t="s">
        <v>4680</v>
      </c>
      <c r="AG2334" s="201">
        <v>0</v>
      </c>
      <c r="AH2334" s="199"/>
      <c r="AI2334" s="150">
        <v>0</v>
      </c>
      <c r="AJ2334" s="169">
        <f t="shared" si="2086"/>
        <v>0</v>
      </c>
      <c r="AK2334" s="201">
        <v>0</v>
      </c>
      <c r="AL2334" s="199"/>
      <c r="AM2334" s="150">
        <f t="shared" si="2081"/>
        <v>0</v>
      </c>
      <c r="AN2334" s="153">
        <f t="shared" si="2087"/>
        <v>0</v>
      </c>
      <c r="AO2334" s="154">
        <f t="shared" si="2088"/>
        <v>0</v>
      </c>
      <c r="AP2334" s="150">
        <v>0</v>
      </c>
      <c r="AQ2334" s="201">
        <v>0</v>
      </c>
      <c r="AR2334" s="199"/>
      <c r="AS2334" s="150">
        <f t="shared" si="2082"/>
        <v>0</v>
      </c>
      <c r="AT2334" s="155"/>
      <c r="AU2334" s="156">
        <f t="shared" si="2083"/>
        <v>0</v>
      </c>
      <c r="AV2334" s="156">
        <f t="shared" si="2084"/>
        <v>0</v>
      </c>
      <c r="AW2334" s="157"/>
      <c r="AX2334" s="150">
        <v>0</v>
      </c>
      <c r="AY2334" s="150">
        <v>0</v>
      </c>
      <c r="AZ2334" s="150"/>
      <c r="BA2334" s="150">
        <f t="shared" si="2009"/>
        <v>0</v>
      </c>
      <c r="BB2334" s="202"/>
      <c r="BC2334" s="202"/>
      <c r="BD2334" s="202"/>
      <c r="BE2334" s="202"/>
      <c r="BF2334" s="202"/>
      <c r="BG2334" s="203"/>
      <c r="BH2334" s="216"/>
      <c r="BI2334" s="205"/>
      <c r="BJ2334" s="205"/>
      <c r="BK2334" s="205"/>
      <c r="BL2334" s="203"/>
      <c r="BM2334" s="208"/>
      <c r="BN2334" s="160"/>
      <c r="BO2334" s="161">
        <f t="shared" si="2046"/>
        <v>0</v>
      </c>
      <c r="BP2334" s="161"/>
    </row>
    <row r="2335" spans="1:68">
      <c r="A2335" s="205"/>
      <c r="B2335" s="195" t="s">
        <v>10541</v>
      </c>
      <c r="C2335" s="196" t="s">
        <v>10542</v>
      </c>
      <c r="D2335" s="146" t="s">
        <v>4692</v>
      </c>
      <c r="E2335" s="196" t="s">
        <v>10542</v>
      </c>
      <c r="F2335" s="150">
        <v>0</v>
      </c>
      <c r="G2335" s="209">
        <v>0</v>
      </c>
      <c r="H2335" s="209"/>
      <c r="I2335" s="209">
        <v>0</v>
      </c>
      <c r="J2335" s="150">
        <v>0</v>
      </c>
      <c r="K2335" s="150">
        <v>0</v>
      </c>
      <c r="L2335" s="150">
        <f t="shared" si="2089"/>
        <v>0</v>
      </c>
      <c r="M2335" s="150">
        <v>0</v>
      </c>
      <c r="N2335" s="150"/>
      <c r="O2335" s="150">
        <v>0</v>
      </c>
      <c r="P2335" s="150">
        <v>0</v>
      </c>
      <c r="Q2335" s="150">
        <v>0</v>
      </c>
      <c r="R2335" s="150">
        <f t="shared" si="2078"/>
        <v>0</v>
      </c>
      <c r="S2335" s="150">
        <f t="shared" si="2040"/>
        <v>0</v>
      </c>
      <c r="T2335" s="150"/>
      <c r="U2335" s="150">
        <v>0</v>
      </c>
      <c r="V2335" s="199"/>
      <c r="W2335" s="150">
        <f t="shared" si="2079"/>
        <v>0</v>
      </c>
      <c r="X2335" s="150">
        <v>0</v>
      </c>
      <c r="Y2335" s="150"/>
      <c r="Z2335" s="150">
        <v>0</v>
      </c>
      <c r="AA2335" s="150">
        <f t="shared" si="2085"/>
        <v>0</v>
      </c>
      <c r="AB2335" s="150">
        <v>0</v>
      </c>
      <c r="AC2335" s="199"/>
      <c r="AD2335" s="150">
        <f t="shared" si="2080"/>
        <v>0</v>
      </c>
      <c r="AE2335" s="150">
        <v>0</v>
      </c>
      <c r="AF2335" s="169" t="s">
        <v>4680</v>
      </c>
      <c r="AG2335" s="201">
        <v>0</v>
      </c>
      <c r="AH2335" s="199"/>
      <c r="AI2335" s="150">
        <v>0</v>
      </c>
      <c r="AJ2335" s="169">
        <f t="shared" si="2086"/>
        <v>0</v>
      </c>
      <c r="AK2335" s="201">
        <v>0</v>
      </c>
      <c r="AL2335" s="199"/>
      <c r="AM2335" s="150">
        <f t="shared" si="2081"/>
        <v>0</v>
      </c>
      <c r="AN2335" s="153">
        <f t="shared" si="2087"/>
        <v>0</v>
      </c>
      <c r="AO2335" s="154">
        <f t="shared" si="2088"/>
        <v>0</v>
      </c>
      <c r="AP2335" s="150">
        <v>0</v>
      </c>
      <c r="AQ2335" s="201">
        <v>0</v>
      </c>
      <c r="AR2335" s="199"/>
      <c r="AS2335" s="150">
        <f t="shared" si="2082"/>
        <v>0</v>
      </c>
      <c r="AT2335" s="155"/>
      <c r="AU2335" s="156">
        <f t="shared" si="2083"/>
        <v>0</v>
      </c>
      <c r="AV2335" s="156">
        <f t="shared" si="2084"/>
        <v>0</v>
      </c>
      <c r="AW2335" s="157"/>
      <c r="AX2335" s="150">
        <v>0</v>
      </c>
      <c r="AY2335" s="150">
        <v>0</v>
      </c>
      <c r="AZ2335" s="150"/>
      <c r="BA2335" s="150">
        <f t="shared" si="2009"/>
        <v>0</v>
      </c>
      <c r="BB2335" s="202"/>
      <c r="BC2335" s="202"/>
      <c r="BD2335" s="202"/>
      <c r="BE2335" s="202"/>
      <c r="BF2335" s="202"/>
      <c r="BG2335" s="203"/>
      <c r="BH2335" s="216"/>
      <c r="BI2335" s="205"/>
      <c r="BJ2335" s="205"/>
      <c r="BK2335" s="205"/>
      <c r="BL2335" s="203"/>
      <c r="BM2335" s="208"/>
      <c r="BN2335" s="160"/>
      <c r="BO2335" s="161">
        <f t="shared" si="2046"/>
        <v>0</v>
      </c>
      <c r="BP2335" s="161"/>
    </row>
    <row r="2336" spans="1:68" ht="25.5">
      <c r="A2336" s="205"/>
      <c r="B2336" s="195" t="s">
        <v>10543</v>
      </c>
      <c r="C2336" s="196" t="s">
        <v>10544</v>
      </c>
      <c r="D2336" s="146" t="s">
        <v>4692</v>
      </c>
      <c r="E2336" s="196" t="s">
        <v>10544</v>
      </c>
      <c r="F2336" s="150">
        <v>0</v>
      </c>
      <c r="G2336" s="209">
        <v>0</v>
      </c>
      <c r="H2336" s="209"/>
      <c r="I2336" s="209">
        <v>0</v>
      </c>
      <c r="J2336" s="150">
        <v>0</v>
      </c>
      <c r="K2336" s="150">
        <v>0</v>
      </c>
      <c r="L2336" s="150">
        <f t="shared" si="2089"/>
        <v>0</v>
      </c>
      <c r="M2336" s="150">
        <v>0</v>
      </c>
      <c r="N2336" s="150"/>
      <c r="O2336" s="150">
        <v>0</v>
      </c>
      <c r="P2336" s="150">
        <v>0</v>
      </c>
      <c r="Q2336" s="150">
        <v>0</v>
      </c>
      <c r="R2336" s="150">
        <f t="shared" si="2078"/>
        <v>0</v>
      </c>
      <c r="S2336" s="150">
        <f t="shared" si="2040"/>
        <v>0</v>
      </c>
      <c r="T2336" s="150"/>
      <c r="U2336" s="150">
        <v>0</v>
      </c>
      <c r="V2336" s="199"/>
      <c r="W2336" s="150">
        <f t="shared" si="2079"/>
        <v>0</v>
      </c>
      <c r="X2336" s="150">
        <v>0</v>
      </c>
      <c r="Y2336" s="150"/>
      <c r="Z2336" s="150">
        <v>0</v>
      </c>
      <c r="AA2336" s="150">
        <f t="shared" si="2085"/>
        <v>0</v>
      </c>
      <c r="AB2336" s="150">
        <v>0</v>
      </c>
      <c r="AC2336" s="199"/>
      <c r="AD2336" s="150">
        <f t="shared" si="2080"/>
        <v>0</v>
      </c>
      <c r="AE2336" s="150">
        <v>0</v>
      </c>
      <c r="AF2336" s="169" t="s">
        <v>4680</v>
      </c>
      <c r="AG2336" s="201">
        <v>0</v>
      </c>
      <c r="AH2336" s="199"/>
      <c r="AI2336" s="150">
        <v>0</v>
      </c>
      <c r="AJ2336" s="169">
        <f t="shared" si="2086"/>
        <v>0</v>
      </c>
      <c r="AK2336" s="201">
        <v>0</v>
      </c>
      <c r="AL2336" s="199"/>
      <c r="AM2336" s="150">
        <f t="shared" si="2081"/>
        <v>0</v>
      </c>
      <c r="AN2336" s="153">
        <f t="shared" si="2087"/>
        <v>0</v>
      </c>
      <c r="AO2336" s="154">
        <f t="shared" si="2088"/>
        <v>0</v>
      </c>
      <c r="AP2336" s="150">
        <v>0</v>
      </c>
      <c r="AQ2336" s="201">
        <v>0</v>
      </c>
      <c r="AR2336" s="199"/>
      <c r="AS2336" s="150">
        <f t="shared" si="2082"/>
        <v>0</v>
      </c>
      <c r="AT2336" s="155"/>
      <c r="AU2336" s="156">
        <f t="shared" si="2083"/>
        <v>0</v>
      </c>
      <c r="AV2336" s="156">
        <f t="shared" si="2084"/>
        <v>0</v>
      </c>
      <c r="AW2336" s="157"/>
      <c r="AX2336" s="150">
        <v>0</v>
      </c>
      <c r="AY2336" s="150">
        <v>0</v>
      </c>
      <c r="AZ2336" s="150"/>
      <c r="BA2336" s="150">
        <f t="shared" si="2009"/>
        <v>0</v>
      </c>
      <c r="BB2336" s="202"/>
      <c r="BC2336" s="202"/>
      <c r="BD2336" s="202"/>
      <c r="BE2336" s="202"/>
      <c r="BF2336" s="202"/>
      <c r="BG2336" s="203"/>
      <c r="BH2336" s="216"/>
      <c r="BI2336" s="205"/>
      <c r="BJ2336" s="205"/>
      <c r="BK2336" s="205"/>
      <c r="BL2336" s="203"/>
      <c r="BM2336" s="208"/>
      <c r="BN2336" s="160"/>
      <c r="BO2336" s="161">
        <f t="shared" si="2046"/>
        <v>0</v>
      </c>
      <c r="BP2336" s="161"/>
    </row>
    <row r="2337" spans="1:68" ht="25.5">
      <c r="A2337" s="205"/>
      <c r="B2337" s="195" t="s">
        <v>10545</v>
      </c>
      <c r="C2337" s="196" t="s">
        <v>10546</v>
      </c>
      <c r="D2337" s="146" t="s">
        <v>4692</v>
      </c>
      <c r="E2337" s="196" t="s">
        <v>10546</v>
      </c>
      <c r="F2337" s="150">
        <v>0</v>
      </c>
      <c r="G2337" s="209">
        <v>0</v>
      </c>
      <c r="H2337" s="209"/>
      <c r="I2337" s="209">
        <v>0</v>
      </c>
      <c r="J2337" s="150">
        <v>0</v>
      </c>
      <c r="K2337" s="150">
        <v>0</v>
      </c>
      <c r="L2337" s="150">
        <f t="shared" si="2089"/>
        <v>0</v>
      </c>
      <c r="M2337" s="150">
        <v>0</v>
      </c>
      <c r="N2337" s="150"/>
      <c r="O2337" s="150">
        <v>0</v>
      </c>
      <c r="P2337" s="150">
        <v>0</v>
      </c>
      <c r="Q2337" s="150">
        <v>0</v>
      </c>
      <c r="R2337" s="150">
        <f t="shared" si="2078"/>
        <v>0</v>
      </c>
      <c r="S2337" s="150">
        <f t="shared" si="2040"/>
        <v>0</v>
      </c>
      <c r="T2337" s="150"/>
      <c r="U2337" s="150">
        <v>0</v>
      </c>
      <c r="V2337" s="199"/>
      <c r="W2337" s="150">
        <f t="shared" si="2079"/>
        <v>0</v>
      </c>
      <c r="X2337" s="150">
        <v>0</v>
      </c>
      <c r="Y2337" s="150"/>
      <c r="Z2337" s="150">
        <v>0</v>
      </c>
      <c r="AA2337" s="150">
        <f t="shared" si="2085"/>
        <v>0</v>
      </c>
      <c r="AB2337" s="150">
        <v>0</v>
      </c>
      <c r="AC2337" s="199"/>
      <c r="AD2337" s="150">
        <f t="shared" si="2080"/>
        <v>0</v>
      </c>
      <c r="AE2337" s="150">
        <v>0</v>
      </c>
      <c r="AF2337" s="169" t="s">
        <v>4680</v>
      </c>
      <c r="AG2337" s="201">
        <v>0</v>
      </c>
      <c r="AH2337" s="199"/>
      <c r="AI2337" s="150">
        <v>0</v>
      </c>
      <c r="AJ2337" s="169">
        <f t="shared" si="2086"/>
        <v>0</v>
      </c>
      <c r="AK2337" s="201">
        <v>0</v>
      </c>
      <c r="AL2337" s="199"/>
      <c r="AM2337" s="150">
        <f t="shared" si="2081"/>
        <v>0</v>
      </c>
      <c r="AN2337" s="153">
        <f t="shared" si="2087"/>
        <v>0</v>
      </c>
      <c r="AO2337" s="154">
        <f t="shared" si="2088"/>
        <v>0</v>
      </c>
      <c r="AP2337" s="150">
        <v>0</v>
      </c>
      <c r="AQ2337" s="201">
        <v>0</v>
      </c>
      <c r="AR2337" s="199"/>
      <c r="AS2337" s="150">
        <f t="shared" si="2082"/>
        <v>0</v>
      </c>
      <c r="AT2337" s="155"/>
      <c r="AU2337" s="156">
        <f t="shared" si="2083"/>
        <v>0</v>
      </c>
      <c r="AV2337" s="156">
        <f t="shared" si="2084"/>
        <v>0</v>
      </c>
      <c r="AW2337" s="157"/>
      <c r="AX2337" s="150">
        <v>0</v>
      </c>
      <c r="AY2337" s="150">
        <v>0</v>
      </c>
      <c r="AZ2337" s="150"/>
      <c r="BA2337" s="150">
        <f t="shared" si="2009"/>
        <v>0</v>
      </c>
      <c r="BB2337" s="202"/>
      <c r="BC2337" s="202"/>
      <c r="BD2337" s="202"/>
      <c r="BE2337" s="202"/>
      <c r="BF2337" s="202"/>
      <c r="BG2337" s="203"/>
      <c r="BH2337" s="216"/>
      <c r="BI2337" s="205"/>
      <c r="BJ2337" s="205"/>
      <c r="BK2337" s="205"/>
      <c r="BL2337" s="203"/>
      <c r="BM2337" s="208"/>
      <c r="BN2337" s="160"/>
      <c r="BO2337" s="161">
        <f t="shared" si="2046"/>
        <v>0</v>
      </c>
      <c r="BP2337" s="161"/>
    </row>
    <row r="2338" spans="1:68" ht="38.25">
      <c r="A2338" s="205"/>
      <c r="B2338" s="195" t="s">
        <v>10547</v>
      </c>
      <c r="C2338" s="196" t="s">
        <v>10548</v>
      </c>
      <c r="D2338" s="146" t="s">
        <v>4692</v>
      </c>
      <c r="E2338" s="196" t="s">
        <v>10548</v>
      </c>
      <c r="F2338" s="150">
        <v>0</v>
      </c>
      <c r="G2338" s="209">
        <v>0</v>
      </c>
      <c r="H2338" s="209"/>
      <c r="I2338" s="209">
        <v>0</v>
      </c>
      <c r="J2338" s="150">
        <v>0</v>
      </c>
      <c r="K2338" s="150">
        <v>0</v>
      </c>
      <c r="L2338" s="150">
        <f t="shared" si="2089"/>
        <v>0</v>
      </c>
      <c r="M2338" s="150">
        <v>0</v>
      </c>
      <c r="N2338" s="150"/>
      <c r="O2338" s="150">
        <v>0</v>
      </c>
      <c r="P2338" s="150">
        <v>0</v>
      </c>
      <c r="Q2338" s="150">
        <v>0</v>
      </c>
      <c r="R2338" s="150">
        <f t="shared" si="2078"/>
        <v>0</v>
      </c>
      <c r="S2338" s="150">
        <f t="shared" si="2040"/>
        <v>0</v>
      </c>
      <c r="T2338" s="150"/>
      <c r="U2338" s="150">
        <v>0</v>
      </c>
      <c r="V2338" s="199"/>
      <c r="W2338" s="150">
        <f t="shared" si="2079"/>
        <v>0</v>
      </c>
      <c r="X2338" s="150">
        <v>0</v>
      </c>
      <c r="Y2338" s="150"/>
      <c r="Z2338" s="150">
        <v>0</v>
      </c>
      <c r="AA2338" s="150">
        <f t="shared" si="2085"/>
        <v>0</v>
      </c>
      <c r="AB2338" s="150">
        <v>0</v>
      </c>
      <c r="AC2338" s="199"/>
      <c r="AD2338" s="150">
        <f t="shared" si="2080"/>
        <v>0</v>
      </c>
      <c r="AE2338" s="150">
        <v>0</v>
      </c>
      <c r="AF2338" s="169" t="s">
        <v>4680</v>
      </c>
      <c r="AG2338" s="201">
        <v>0</v>
      </c>
      <c r="AH2338" s="199"/>
      <c r="AI2338" s="150">
        <v>0</v>
      </c>
      <c r="AJ2338" s="169">
        <f t="shared" si="2086"/>
        <v>0</v>
      </c>
      <c r="AK2338" s="201">
        <v>0</v>
      </c>
      <c r="AL2338" s="199"/>
      <c r="AM2338" s="150">
        <f t="shared" si="2081"/>
        <v>0</v>
      </c>
      <c r="AN2338" s="153">
        <f t="shared" si="2087"/>
        <v>0</v>
      </c>
      <c r="AO2338" s="154">
        <f t="shared" si="2088"/>
        <v>0</v>
      </c>
      <c r="AP2338" s="150">
        <v>0</v>
      </c>
      <c r="AQ2338" s="201">
        <v>0</v>
      </c>
      <c r="AR2338" s="199"/>
      <c r="AS2338" s="150">
        <f t="shared" si="2082"/>
        <v>0</v>
      </c>
      <c r="AT2338" s="155"/>
      <c r="AU2338" s="156">
        <f t="shared" si="2083"/>
        <v>0</v>
      </c>
      <c r="AV2338" s="156">
        <f t="shared" si="2084"/>
        <v>0</v>
      </c>
      <c r="AW2338" s="157"/>
      <c r="AX2338" s="150">
        <v>0</v>
      </c>
      <c r="AY2338" s="150">
        <v>0</v>
      </c>
      <c r="AZ2338" s="150"/>
      <c r="BA2338" s="150">
        <f t="shared" ref="BA2338:BA2401" si="2090">AY2338+AZ2338</f>
        <v>0</v>
      </c>
      <c r="BB2338" s="202"/>
      <c r="BC2338" s="202"/>
      <c r="BD2338" s="202"/>
      <c r="BE2338" s="202"/>
      <c r="BF2338" s="202"/>
      <c r="BG2338" s="203"/>
      <c r="BH2338" s="216"/>
      <c r="BI2338" s="205"/>
      <c r="BJ2338" s="205"/>
      <c r="BK2338" s="205"/>
      <c r="BL2338" s="203"/>
      <c r="BM2338" s="208"/>
      <c r="BN2338" s="160"/>
      <c r="BO2338" s="161">
        <f t="shared" si="2046"/>
        <v>0</v>
      </c>
      <c r="BP2338" s="161"/>
    </row>
    <row r="2339" spans="1:68" ht="25.5">
      <c r="A2339" s="205"/>
      <c r="B2339" s="195" t="s">
        <v>10549</v>
      </c>
      <c r="C2339" s="196" t="s">
        <v>10550</v>
      </c>
      <c r="D2339" s="146" t="s">
        <v>4692</v>
      </c>
      <c r="E2339" s="196" t="s">
        <v>10550</v>
      </c>
      <c r="F2339" s="150">
        <v>0</v>
      </c>
      <c r="G2339" s="209">
        <v>0</v>
      </c>
      <c r="H2339" s="209"/>
      <c r="I2339" s="209">
        <v>0</v>
      </c>
      <c r="J2339" s="150">
        <v>0</v>
      </c>
      <c r="K2339" s="150">
        <v>0</v>
      </c>
      <c r="L2339" s="150">
        <f t="shared" si="2089"/>
        <v>0</v>
      </c>
      <c r="M2339" s="150">
        <v>0</v>
      </c>
      <c r="N2339" s="150"/>
      <c r="O2339" s="150">
        <v>0</v>
      </c>
      <c r="P2339" s="150">
        <v>0</v>
      </c>
      <c r="Q2339" s="150">
        <v>0</v>
      </c>
      <c r="R2339" s="150">
        <f t="shared" si="2078"/>
        <v>0</v>
      </c>
      <c r="S2339" s="150">
        <f t="shared" si="2040"/>
        <v>0</v>
      </c>
      <c r="T2339" s="150"/>
      <c r="U2339" s="150">
        <v>0</v>
      </c>
      <c r="V2339" s="199"/>
      <c r="W2339" s="150">
        <f t="shared" si="2079"/>
        <v>0</v>
      </c>
      <c r="X2339" s="150">
        <v>0</v>
      </c>
      <c r="Y2339" s="150"/>
      <c r="Z2339" s="150">
        <v>0</v>
      </c>
      <c r="AA2339" s="150">
        <f t="shared" si="2085"/>
        <v>0</v>
      </c>
      <c r="AB2339" s="150">
        <v>0</v>
      </c>
      <c r="AC2339" s="199"/>
      <c r="AD2339" s="150">
        <f t="shared" si="2080"/>
        <v>0</v>
      </c>
      <c r="AE2339" s="150">
        <v>0</v>
      </c>
      <c r="AF2339" s="169" t="s">
        <v>4680</v>
      </c>
      <c r="AG2339" s="201">
        <v>0</v>
      </c>
      <c r="AH2339" s="199"/>
      <c r="AI2339" s="150">
        <v>0</v>
      </c>
      <c r="AJ2339" s="169">
        <f t="shared" si="2086"/>
        <v>0</v>
      </c>
      <c r="AK2339" s="201">
        <v>0</v>
      </c>
      <c r="AL2339" s="199"/>
      <c r="AM2339" s="150">
        <f t="shared" si="2081"/>
        <v>0</v>
      </c>
      <c r="AN2339" s="153">
        <f t="shared" si="2087"/>
        <v>0</v>
      </c>
      <c r="AO2339" s="154">
        <f t="shared" si="2088"/>
        <v>0</v>
      </c>
      <c r="AP2339" s="150">
        <v>0</v>
      </c>
      <c r="AQ2339" s="201">
        <v>0</v>
      </c>
      <c r="AR2339" s="199"/>
      <c r="AS2339" s="150">
        <f t="shared" si="2082"/>
        <v>0</v>
      </c>
      <c r="AT2339" s="155"/>
      <c r="AU2339" s="156">
        <f t="shared" si="2083"/>
        <v>0</v>
      </c>
      <c r="AV2339" s="156">
        <f t="shared" si="2084"/>
        <v>0</v>
      </c>
      <c r="AW2339" s="157"/>
      <c r="AX2339" s="150">
        <v>0</v>
      </c>
      <c r="AY2339" s="150">
        <v>0</v>
      </c>
      <c r="AZ2339" s="150"/>
      <c r="BA2339" s="150">
        <f t="shared" si="2090"/>
        <v>0</v>
      </c>
      <c r="BB2339" s="202"/>
      <c r="BC2339" s="202"/>
      <c r="BD2339" s="202"/>
      <c r="BE2339" s="202"/>
      <c r="BF2339" s="202"/>
      <c r="BG2339" s="203"/>
      <c r="BH2339" s="216"/>
      <c r="BI2339" s="205"/>
      <c r="BJ2339" s="205"/>
      <c r="BK2339" s="205"/>
      <c r="BL2339" s="203"/>
      <c r="BM2339" s="208"/>
      <c r="BN2339" s="160"/>
      <c r="BO2339" s="161">
        <f t="shared" si="2046"/>
        <v>0</v>
      </c>
      <c r="BP2339" s="161"/>
    </row>
    <row r="2340" spans="1:68" ht="38.25">
      <c r="A2340" s="205"/>
      <c r="B2340" s="195" t="s">
        <v>10551</v>
      </c>
      <c r="C2340" s="196" t="s">
        <v>10552</v>
      </c>
      <c r="D2340" s="146" t="s">
        <v>4692</v>
      </c>
      <c r="E2340" s="196" t="s">
        <v>10552</v>
      </c>
      <c r="F2340" s="150">
        <v>0</v>
      </c>
      <c r="G2340" s="209">
        <v>0</v>
      </c>
      <c r="H2340" s="209"/>
      <c r="I2340" s="209">
        <v>0</v>
      </c>
      <c r="J2340" s="150">
        <v>0</v>
      </c>
      <c r="K2340" s="150">
        <v>0</v>
      </c>
      <c r="L2340" s="150">
        <f t="shared" si="2089"/>
        <v>0</v>
      </c>
      <c r="M2340" s="150">
        <v>0</v>
      </c>
      <c r="N2340" s="150"/>
      <c r="O2340" s="150">
        <v>0</v>
      </c>
      <c r="P2340" s="150">
        <v>0</v>
      </c>
      <c r="Q2340" s="150">
        <v>0</v>
      </c>
      <c r="R2340" s="150">
        <f t="shared" si="2078"/>
        <v>0</v>
      </c>
      <c r="S2340" s="150">
        <f t="shared" si="2040"/>
        <v>0</v>
      </c>
      <c r="T2340" s="150"/>
      <c r="U2340" s="150">
        <v>0</v>
      </c>
      <c r="V2340" s="199"/>
      <c r="W2340" s="150">
        <f t="shared" si="2079"/>
        <v>0</v>
      </c>
      <c r="X2340" s="150">
        <v>0</v>
      </c>
      <c r="Y2340" s="150"/>
      <c r="Z2340" s="150">
        <v>0</v>
      </c>
      <c r="AA2340" s="150">
        <f t="shared" si="2085"/>
        <v>0</v>
      </c>
      <c r="AB2340" s="150">
        <v>0</v>
      </c>
      <c r="AC2340" s="199"/>
      <c r="AD2340" s="150">
        <f t="shared" si="2080"/>
        <v>0</v>
      </c>
      <c r="AE2340" s="150">
        <v>0</v>
      </c>
      <c r="AF2340" s="169" t="s">
        <v>4680</v>
      </c>
      <c r="AG2340" s="201">
        <v>0</v>
      </c>
      <c r="AH2340" s="199"/>
      <c r="AI2340" s="150">
        <v>0</v>
      </c>
      <c r="AJ2340" s="169">
        <f t="shared" si="2086"/>
        <v>0</v>
      </c>
      <c r="AK2340" s="201">
        <v>0</v>
      </c>
      <c r="AL2340" s="199"/>
      <c r="AM2340" s="150">
        <f t="shared" si="2081"/>
        <v>0</v>
      </c>
      <c r="AN2340" s="153">
        <f t="shared" si="2087"/>
        <v>0</v>
      </c>
      <c r="AO2340" s="154">
        <f t="shared" si="2088"/>
        <v>0</v>
      </c>
      <c r="AP2340" s="150">
        <v>0</v>
      </c>
      <c r="AQ2340" s="201">
        <v>0</v>
      </c>
      <c r="AR2340" s="199"/>
      <c r="AS2340" s="150">
        <f t="shared" si="2082"/>
        <v>0</v>
      </c>
      <c r="AT2340" s="155"/>
      <c r="AU2340" s="156">
        <f t="shared" si="2083"/>
        <v>0</v>
      </c>
      <c r="AV2340" s="156">
        <f t="shared" si="2084"/>
        <v>0</v>
      </c>
      <c r="AW2340" s="157"/>
      <c r="AX2340" s="150">
        <v>0</v>
      </c>
      <c r="AY2340" s="150">
        <v>0</v>
      </c>
      <c r="AZ2340" s="150"/>
      <c r="BA2340" s="150">
        <f t="shared" si="2090"/>
        <v>0</v>
      </c>
      <c r="BB2340" s="202"/>
      <c r="BC2340" s="202"/>
      <c r="BD2340" s="202"/>
      <c r="BE2340" s="202"/>
      <c r="BF2340" s="202"/>
      <c r="BG2340" s="203"/>
      <c r="BH2340" s="216"/>
      <c r="BI2340" s="205"/>
      <c r="BJ2340" s="205"/>
      <c r="BK2340" s="205"/>
      <c r="BL2340" s="203"/>
      <c r="BM2340" s="208"/>
      <c r="BN2340" s="160"/>
      <c r="BO2340" s="161">
        <f t="shared" si="2046"/>
        <v>0</v>
      </c>
      <c r="BP2340" s="161"/>
    </row>
    <row r="2341" spans="1:68" ht="25.5">
      <c r="A2341" s="205"/>
      <c r="B2341" s="195" t="s">
        <v>10553</v>
      </c>
      <c r="C2341" s="196" t="s">
        <v>10554</v>
      </c>
      <c r="D2341" s="146" t="s">
        <v>4692</v>
      </c>
      <c r="E2341" s="196" t="s">
        <v>10554</v>
      </c>
      <c r="F2341" s="150">
        <v>0</v>
      </c>
      <c r="G2341" s="209">
        <v>0</v>
      </c>
      <c r="H2341" s="209"/>
      <c r="I2341" s="209">
        <v>0</v>
      </c>
      <c r="J2341" s="150">
        <v>0</v>
      </c>
      <c r="K2341" s="150">
        <v>0</v>
      </c>
      <c r="L2341" s="150">
        <f t="shared" si="2089"/>
        <v>0</v>
      </c>
      <c r="M2341" s="150">
        <v>0</v>
      </c>
      <c r="N2341" s="150"/>
      <c r="O2341" s="150">
        <v>0</v>
      </c>
      <c r="P2341" s="150">
        <v>0</v>
      </c>
      <c r="Q2341" s="150">
        <v>0</v>
      </c>
      <c r="R2341" s="150">
        <f t="shared" si="2078"/>
        <v>0</v>
      </c>
      <c r="S2341" s="150">
        <f t="shared" si="2040"/>
        <v>0</v>
      </c>
      <c r="T2341" s="150"/>
      <c r="U2341" s="150">
        <v>0</v>
      </c>
      <c r="V2341" s="199"/>
      <c r="W2341" s="150">
        <f t="shared" si="2079"/>
        <v>0</v>
      </c>
      <c r="X2341" s="150">
        <v>0</v>
      </c>
      <c r="Y2341" s="150"/>
      <c r="Z2341" s="150">
        <v>0</v>
      </c>
      <c r="AA2341" s="150">
        <f t="shared" si="2085"/>
        <v>0</v>
      </c>
      <c r="AB2341" s="150">
        <v>0</v>
      </c>
      <c r="AC2341" s="199"/>
      <c r="AD2341" s="150">
        <f t="shared" si="2080"/>
        <v>0</v>
      </c>
      <c r="AE2341" s="150">
        <v>0</v>
      </c>
      <c r="AF2341" s="169" t="s">
        <v>4680</v>
      </c>
      <c r="AG2341" s="201">
        <v>0</v>
      </c>
      <c r="AH2341" s="199"/>
      <c r="AI2341" s="150">
        <v>0</v>
      </c>
      <c r="AJ2341" s="169">
        <f t="shared" si="2086"/>
        <v>0</v>
      </c>
      <c r="AK2341" s="201">
        <v>0</v>
      </c>
      <c r="AL2341" s="199"/>
      <c r="AM2341" s="150">
        <f t="shared" si="2081"/>
        <v>0</v>
      </c>
      <c r="AN2341" s="153">
        <f t="shared" si="2087"/>
        <v>0</v>
      </c>
      <c r="AO2341" s="154">
        <f t="shared" si="2088"/>
        <v>0</v>
      </c>
      <c r="AP2341" s="150">
        <v>0</v>
      </c>
      <c r="AQ2341" s="201">
        <v>0</v>
      </c>
      <c r="AR2341" s="199"/>
      <c r="AS2341" s="150">
        <f t="shared" si="2082"/>
        <v>0</v>
      </c>
      <c r="AT2341" s="155"/>
      <c r="AU2341" s="156">
        <f t="shared" si="2083"/>
        <v>0</v>
      </c>
      <c r="AV2341" s="156">
        <f t="shared" si="2084"/>
        <v>0</v>
      </c>
      <c r="AW2341" s="157"/>
      <c r="AX2341" s="150">
        <v>0</v>
      </c>
      <c r="AY2341" s="150">
        <v>0</v>
      </c>
      <c r="AZ2341" s="150"/>
      <c r="BA2341" s="150">
        <f t="shared" si="2090"/>
        <v>0</v>
      </c>
      <c r="BB2341" s="202"/>
      <c r="BC2341" s="202"/>
      <c r="BD2341" s="202"/>
      <c r="BE2341" s="202"/>
      <c r="BF2341" s="202"/>
      <c r="BG2341" s="203"/>
      <c r="BH2341" s="216"/>
      <c r="BI2341" s="205"/>
      <c r="BJ2341" s="205"/>
      <c r="BK2341" s="205"/>
      <c r="BL2341" s="203"/>
      <c r="BM2341" s="208"/>
      <c r="BN2341" s="160"/>
      <c r="BO2341" s="161">
        <f t="shared" si="2046"/>
        <v>0</v>
      </c>
      <c r="BP2341" s="161"/>
    </row>
    <row r="2342" spans="1:68" ht="25.5">
      <c r="A2342" s="205"/>
      <c r="B2342" s="195" t="s">
        <v>10555</v>
      </c>
      <c r="C2342" s="196" t="s">
        <v>10556</v>
      </c>
      <c r="D2342" s="146" t="s">
        <v>4692</v>
      </c>
      <c r="E2342" s="196" t="s">
        <v>10556</v>
      </c>
      <c r="F2342" s="150">
        <v>0</v>
      </c>
      <c r="G2342" s="209">
        <v>0</v>
      </c>
      <c r="H2342" s="209"/>
      <c r="I2342" s="209">
        <v>0</v>
      </c>
      <c r="J2342" s="150">
        <v>0</v>
      </c>
      <c r="K2342" s="150">
        <v>0</v>
      </c>
      <c r="L2342" s="150">
        <f t="shared" si="2089"/>
        <v>0</v>
      </c>
      <c r="M2342" s="150">
        <v>0</v>
      </c>
      <c r="N2342" s="150"/>
      <c r="O2342" s="150">
        <v>0</v>
      </c>
      <c r="P2342" s="150">
        <v>0</v>
      </c>
      <c r="Q2342" s="150">
        <v>0</v>
      </c>
      <c r="R2342" s="150">
        <f t="shared" si="2078"/>
        <v>0</v>
      </c>
      <c r="S2342" s="150">
        <f t="shared" si="2040"/>
        <v>0</v>
      </c>
      <c r="T2342" s="150"/>
      <c r="U2342" s="150">
        <v>0</v>
      </c>
      <c r="V2342" s="199"/>
      <c r="W2342" s="150">
        <f t="shared" si="2079"/>
        <v>0</v>
      </c>
      <c r="X2342" s="150">
        <v>0</v>
      </c>
      <c r="Y2342" s="150"/>
      <c r="Z2342" s="150">
        <v>0</v>
      </c>
      <c r="AA2342" s="150">
        <f t="shared" si="2085"/>
        <v>0</v>
      </c>
      <c r="AB2342" s="150">
        <v>0</v>
      </c>
      <c r="AC2342" s="199"/>
      <c r="AD2342" s="150">
        <f t="shared" si="2080"/>
        <v>0</v>
      </c>
      <c r="AE2342" s="150">
        <v>0</v>
      </c>
      <c r="AF2342" s="169" t="s">
        <v>4680</v>
      </c>
      <c r="AG2342" s="201">
        <v>0</v>
      </c>
      <c r="AH2342" s="199"/>
      <c r="AI2342" s="150">
        <v>0</v>
      </c>
      <c r="AJ2342" s="169">
        <f t="shared" si="2086"/>
        <v>0</v>
      </c>
      <c r="AK2342" s="201">
        <v>0</v>
      </c>
      <c r="AL2342" s="199"/>
      <c r="AM2342" s="150">
        <f t="shared" si="2081"/>
        <v>0</v>
      </c>
      <c r="AN2342" s="153">
        <f t="shared" si="2087"/>
        <v>0</v>
      </c>
      <c r="AO2342" s="154">
        <f t="shared" si="2088"/>
        <v>0</v>
      </c>
      <c r="AP2342" s="150">
        <v>0</v>
      </c>
      <c r="AQ2342" s="201">
        <v>0</v>
      </c>
      <c r="AR2342" s="199"/>
      <c r="AS2342" s="150">
        <f t="shared" si="2082"/>
        <v>0</v>
      </c>
      <c r="AT2342" s="155"/>
      <c r="AU2342" s="156">
        <f t="shared" si="2083"/>
        <v>0</v>
      </c>
      <c r="AV2342" s="156">
        <f t="shared" si="2084"/>
        <v>0</v>
      </c>
      <c r="AW2342" s="157"/>
      <c r="AX2342" s="150">
        <v>0</v>
      </c>
      <c r="AY2342" s="150">
        <v>0</v>
      </c>
      <c r="AZ2342" s="150"/>
      <c r="BA2342" s="150">
        <f t="shared" si="2090"/>
        <v>0</v>
      </c>
      <c r="BB2342" s="202"/>
      <c r="BC2342" s="202"/>
      <c r="BD2342" s="202"/>
      <c r="BE2342" s="202"/>
      <c r="BF2342" s="202"/>
      <c r="BG2342" s="203"/>
      <c r="BH2342" s="216"/>
      <c r="BI2342" s="205"/>
      <c r="BJ2342" s="205"/>
      <c r="BK2342" s="205"/>
      <c r="BL2342" s="203"/>
      <c r="BM2342" s="208"/>
      <c r="BN2342" s="160"/>
      <c r="BO2342" s="161">
        <f t="shared" si="2046"/>
        <v>0</v>
      </c>
      <c r="BP2342" s="161"/>
    </row>
    <row r="2343" spans="1:68" ht="38.25">
      <c r="A2343" s="205"/>
      <c r="B2343" s="195" t="s">
        <v>10557</v>
      </c>
      <c r="C2343" s="196" t="s">
        <v>10558</v>
      </c>
      <c r="D2343" s="146" t="s">
        <v>4692</v>
      </c>
      <c r="E2343" s="196" t="s">
        <v>10558</v>
      </c>
      <c r="F2343" s="150">
        <v>0</v>
      </c>
      <c r="G2343" s="209">
        <v>0</v>
      </c>
      <c r="H2343" s="209"/>
      <c r="I2343" s="209">
        <v>0</v>
      </c>
      <c r="J2343" s="150">
        <v>0</v>
      </c>
      <c r="K2343" s="150">
        <v>0</v>
      </c>
      <c r="L2343" s="150">
        <f t="shared" si="2089"/>
        <v>0</v>
      </c>
      <c r="M2343" s="150">
        <v>0</v>
      </c>
      <c r="N2343" s="150"/>
      <c r="O2343" s="150">
        <v>0</v>
      </c>
      <c r="P2343" s="150">
        <v>0</v>
      </c>
      <c r="Q2343" s="150">
        <v>0</v>
      </c>
      <c r="R2343" s="150">
        <f t="shared" si="2078"/>
        <v>0</v>
      </c>
      <c r="S2343" s="150">
        <f t="shared" si="2040"/>
        <v>0</v>
      </c>
      <c r="T2343" s="150"/>
      <c r="U2343" s="150">
        <v>0</v>
      </c>
      <c r="V2343" s="199"/>
      <c r="W2343" s="150">
        <f t="shared" si="2079"/>
        <v>0</v>
      </c>
      <c r="X2343" s="150">
        <v>0</v>
      </c>
      <c r="Y2343" s="150"/>
      <c r="Z2343" s="150">
        <v>0</v>
      </c>
      <c r="AA2343" s="150">
        <f t="shared" si="2085"/>
        <v>0</v>
      </c>
      <c r="AB2343" s="150">
        <v>0</v>
      </c>
      <c r="AC2343" s="199"/>
      <c r="AD2343" s="150">
        <f t="shared" si="2080"/>
        <v>0</v>
      </c>
      <c r="AE2343" s="150">
        <v>0</v>
      </c>
      <c r="AF2343" s="169" t="s">
        <v>4680</v>
      </c>
      <c r="AG2343" s="201">
        <v>0</v>
      </c>
      <c r="AH2343" s="199"/>
      <c r="AI2343" s="150">
        <v>0</v>
      </c>
      <c r="AJ2343" s="169">
        <f t="shared" si="2086"/>
        <v>0</v>
      </c>
      <c r="AK2343" s="201">
        <v>0</v>
      </c>
      <c r="AL2343" s="199"/>
      <c r="AM2343" s="150">
        <f t="shared" si="2081"/>
        <v>0</v>
      </c>
      <c r="AN2343" s="153">
        <f t="shared" si="2087"/>
        <v>0</v>
      </c>
      <c r="AO2343" s="154">
        <f t="shared" si="2088"/>
        <v>0</v>
      </c>
      <c r="AP2343" s="150">
        <v>0</v>
      </c>
      <c r="AQ2343" s="201">
        <v>0</v>
      </c>
      <c r="AR2343" s="199"/>
      <c r="AS2343" s="150">
        <f t="shared" si="2082"/>
        <v>0</v>
      </c>
      <c r="AT2343" s="155"/>
      <c r="AU2343" s="156">
        <f t="shared" si="2083"/>
        <v>0</v>
      </c>
      <c r="AV2343" s="156">
        <f t="shared" si="2084"/>
        <v>0</v>
      </c>
      <c r="AW2343" s="157"/>
      <c r="AX2343" s="150">
        <v>0</v>
      </c>
      <c r="AY2343" s="150">
        <v>0</v>
      </c>
      <c r="AZ2343" s="150"/>
      <c r="BA2343" s="150">
        <f t="shared" si="2090"/>
        <v>0</v>
      </c>
      <c r="BB2343" s="202"/>
      <c r="BC2343" s="202"/>
      <c r="BD2343" s="202"/>
      <c r="BE2343" s="202"/>
      <c r="BF2343" s="202"/>
      <c r="BG2343" s="203"/>
      <c r="BH2343" s="216"/>
      <c r="BI2343" s="205"/>
      <c r="BJ2343" s="205"/>
      <c r="BK2343" s="205"/>
      <c r="BL2343" s="203"/>
      <c r="BM2343" s="208"/>
      <c r="BN2343" s="160"/>
      <c r="BO2343" s="161">
        <f t="shared" si="2046"/>
        <v>0</v>
      </c>
      <c r="BP2343" s="161"/>
    </row>
    <row r="2344" spans="1:68" ht="38.25">
      <c r="A2344" s="205"/>
      <c r="B2344" s="195" t="s">
        <v>10559</v>
      </c>
      <c r="C2344" s="196" t="s">
        <v>10560</v>
      </c>
      <c r="D2344" s="146" t="s">
        <v>4692</v>
      </c>
      <c r="E2344" s="196" t="s">
        <v>10560</v>
      </c>
      <c r="F2344" s="150">
        <v>0</v>
      </c>
      <c r="G2344" s="209">
        <v>0</v>
      </c>
      <c r="H2344" s="209"/>
      <c r="I2344" s="209">
        <v>0</v>
      </c>
      <c r="J2344" s="150">
        <v>0</v>
      </c>
      <c r="K2344" s="150">
        <v>0</v>
      </c>
      <c r="L2344" s="150">
        <f t="shared" si="2089"/>
        <v>0</v>
      </c>
      <c r="M2344" s="150">
        <v>0</v>
      </c>
      <c r="N2344" s="150"/>
      <c r="O2344" s="150">
        <v>0</v>
      </c>
      <c r="P2344" s="150">
        <v>0</v>
      </c>
      <c r="Q2344" s="150">
        <v>0</v>
      </c>
      <c r="R2344" s="150">
        <f t="shared" si="2078"/>
        <v>0</v>
      </c>
      <c r="S2344" s="150">
        <f t="shared" si="2040"/>
        <v>0</v>
      </c>
      <c r="T2344" s="150"/>
      <c r="U2344" s="150">
        <v>0</v>
      </c>
      <c r="V2344" s="199"/>
      <c r="W2344" s="150">
        <f t="shared" si="2079"/>
        <v>0</v>
      </c>
      <c r="X2344" s="150">
        <v>0</v>
      </c>
      <c r="Y2344" s="150"/>
      <c r="Z2344" s="150">
        <v>0</v>
      </c>
      <c r="AA2344" s="150">
        <f t="shared" si="2085"/>
        <v>0</v>
      </c>
      <c r="AB2344" s="150">
        <v>0</v>
      </c>
      <c r="AC2344" s="199"/>
      <c r="AD2344" s="150">
        <f t="shared" si="2080"/>
        <v>0</v>
      </c>
      <c r="AE2344" s="150">
        <v>0</v>
      </c>
      <c r="AF2344" s="169" t="s">
        <v>4680</v>
      </c>
      <c r="AG2344" s="201">
        <v>0</v>
      </c>
      <c r="AH2344" s="199"/>
      <c r="AI2344" s="150">
        <v>0</v>
      </c>
      <c r="AJ2344" s="169">
        <f t="shared" si="2086"/>
        <v>0</v>
      </c>
      <c r="AK2344" s="201">
        <v>0</v>
      </c>
      <c r="AL2344" s="199"/>
      <c r="AM2344" s="150">
        <f t="shared" si="2081"/>
        <v>0</v>
      </c>
      <c r="AN2344" s="153">
        <f t="shared" si="2087"/>
        <v>0</v>
      </c>
      <c r="AO2344" s="154">
        <f t="shared" si="2088"/>
        <v>0</v>
      </c>
      <c r="AP2344" s="150">
        <v>0</v>
      </c>
      <c r="AQ2344" s="201">
        <v>0</v>
      </c>
      <c r="AR2344" s="199"/>
      <c r="AS2344" s="150">
        <f t="shared" si="2082"/>
        <v>0</v>
      </c>
      <c r="AT2344" s="155"/>
      <c r="AU2344" s="156">
        <f t="shared" si="2083"/>
        <v>0</v>
      </c>
      <c r="AV2344" s="156">
        <f t="shared" si="2084"/>
        <v>0</v>
      </c>
      <c r="AW2344" s="157"/>
      <c r="AX2344" s="150">
        <v>0</v>
      </c>
      <c r="AY2344" s="150">
        <v>0</v>
      </c>
      <c r="AZ2344" s="150"/>
      <c r="BA2344" s="150">
        <f t="shared" si="2090"/>
        <v>0</v>
      </c>
      <c r="BB2344" s="202"/>
      <c r="BC2344" s="202"/>
      <c r="BD2344" s="202"/>
      <c r="BE2344" s="202"/>
      <c r="BF2344" s="202"/>
      <c r="BG2344" s="203"/>
      <c r="BH2344" s="216"/>
      <c r="BI2344" s="205"/>
      <c r="BJ2344" s="205"/>
      <c r="BK2344" s="205"/>
      <c r="BL2344" s="203"/>
      <c r="BM2344" s="208"/>
      <c r="BN2344" s="160"/>
      <c r="BO2344" s="161">
        <f t="shared" si="2046"/>
        <v>0</v>
      </c>
      <c r="BP2344" s="161"/>
    </row>
    <row r="2345" spans="1:68" ht="25.5">
      <c r="A2345" s="205"/>
      <c r="B2345" s="195" t="s">
        <v>10561</v>
      </c>
      <c r="C2345" s="196" t="s">
        <v>10562</v>
      </c>
      <c r="D2345" s="146" t="s">
        <v>4692</v>
      </c>
      <c r="E2345" s="196" t="s">
        <v>10562</v>
      </c>
      <c r="F2345" s="150">
        <v>0</v>
      </c>
      <c r="G2345" s="209">
        <v>0</v>
      </c>
      <c r="H2345" s="209"/>
      <c r="I2345" s="209">
        <v>0</v>
      </c>
      <c r="J2345" s="150">
        <v>0</v>
      </c>
      <c r="K2345" s="150">
        <v>0</v>
      </c>
      <c r="L2345" s="150">
        <f t="shared" si="2089"/>
        <v>0</v>
      </c>
      <c r="M2345" s="150">
        <v>0</v>
      </c>
      <c r="N2345" s="150"/>
      <c r="O2345" s="150">
        <v>0</v>
      </c>
      <c r="P2345" s="150">
        <v>0</v>
      </c>
      <c r="Q2345" s="150">
        <v>0</v>
      </c>
      <c r="R2345" s="150">
        <f t="shared" si="2078"/>
        <v>0</v>
      </c>
      <c r="S2345" s="150">
        <f t="shared" si="2040"/>
        <v>0</v>
      </c>
      <c r="T2345" s="150"/>
      <c r="U2345" s="150">
        <v>0</v>
      </c>
      <c r="V2345" s="199"/>
      <c r="W2345" s="150">
        <f t="shared" si="2079"/>
        <v>0</v>
      </c>
      <c r="X2345" s="150">
        <v>0</v>
      </c>
      <c r="Y2345" s="150"/>
      <c r="Z2345" s="150">
        <v>0</v>
      </c>
      <c r="AA2345" s="150">
        <f t="shared" si="2085"/>
        <v>0</v>
      </c>
      <c r="AB2345" s="150">
        <v>0</v>
      </c>
      <c r="AC2345" s="199"/>
      <c r="AD2345" s="150">
        <f t="shared" si="2080"/>
        <v>0</v>
      </c>
      <c r="AE2345" s="150">
        <v>0</v>
      </c>
      <c r="AF2345" s="169" t="s">
        <v>4680</v>
      </c>
      <c r="AG2345" s="201">
        <v>0</v>
      </c>
      <c r="AH2345" s="199"/>
      <c r="AI2345" s="150">
        <v>0</v>
      </c>
      <c r="AJ2345" s="169">
        <f t="shared" si="2086"/>
        <v>0</v>
      </c>
      <c r="AK2345" s="201">
        <v>0</v>
      </c>
      <c r="AL2345" s="199"/>
      <c r="AM2345" s="150">
        <f t="shared" si="2081"/>
        <v>0</v>
      </c>
      <c r="AN2345" s="153">
        <f t="shared" si="2087"/>
        <v>0</v>
      </c>
      <c r="AO2345" s="154">
        <f t="shared" si="2088"/>
        <v>0</v>
      </c>
      <c r="AP2345" s="150">
        <v>0</v>
      </c>
      <c r="AQ2345" s="201">
        <v>0</v>
      </c>
      <c r="AR2345" s="199"/>
      <c r="AS2345" s="150">
        <f t="shared" si="2082"/>
        <v>0</v>
      </c>
      <c r="AT2345" s="155"/>
      <c r="AU2345" s="156">
        <f t="shared" si="2083"/>
        <v>0</v>
      </c>
      <c r="AV2345" s="156">
        <f t="shared" si="2084"/>
        <v>0</v>
      </c>
      <c r="AW2345" s="157"/>
      <c r="AX2345" s="150">
        <v>0</v>
      </c>
      <c r="AY2345" s="150">
        <v>0</v>
      </c>
      <c r="AZ2345" s="150"/>
      <c r="BA2345" s="150">
        <f t="shared" si="2090"/>
        <v>0</v>
      </c>
      <c r="BB2345" s="202"/>
      <c r="BC2345" s="202"/>
      <c r="BD2345" s="202"/>
      <c r="BE2345" s="202"/>
      <c r="BF2345" s="202"/>
      <c r="BG2345" s="203"/>
      <c r="BH2345" s="216"/>
      <c r="BI2345" s="205"/>
      <c r="BJ2345" s="205"/>
      <c r="BK2345" s="205"/>
      <c r="BL2345" s="203"/>
      <c r="BM2345" s="208"/>
      <c r="BN2345" s="160"/>
      <c r="BO2345" s="161">
        <f t="shared" si="2046"/>
        <v>0</v>
      </c>
      <c r="BP2345" s="161"/>
    </row>
    <row r="2346" spans="1:68" ht="25.5">
      <c r="A2346" s="205"/>
      <c r="B2346" s="195" t="s">
        <v>10563</v>
      </c>
      <c r="C2346" s="196" t="s">
        <v>10564</v>
      </c>
      <c r="D2346" s="146" t="s">
        <v>4692</v>
      </c>
      <c r="E2346" s="196" t="s">
        <v>10564</v>
      </c>
      <c r="F2346" s="150">
        <v>0</v>
      </c>
      <c r="G2346" s="209">
        <v>770498.55</v>
      </c>
      <c r="H2346" s="209">
        <v>67257.3</v>
      </c>
      <c r="I2346" s="209">
        <v>837755.85000000009</v>
      </c>
      <c r="J2346" s="150">
        <v>0</v>
      </c>
      <c r="K2346" s="150">
        <v>0</v>
      </c>
      <c r="L2346" s="150">
        <f t="shared" si="2089"/>
        <v>0</v>
      </c>
      <c r="M2346" s="150">
        <v>0</v>
      </c>
      <c r="N2346" s="150"/>
      <c r="O2346" s="150">
        <v>0</v>
      </c>
      <c r="P2346" s="150">
        <v>0</v>
      </c>
      <c r="Q2346" s="150">
        <v>0</v>
      </c>
      <c r="R2346" s="150">
        <f t="shared" si="2078"/>
        <v>0</v>
      </c>
      <c r="S2346" s="150">
        <f t="shared" si="2040"/>
        <v>0</v>
      </c>
      <c r="T2346" s="150"/>
      <c r="U2346" s="150">
        <v>0</v>
      </c>
      <c r="V2346" s="199"/>
      <c r="W2346" s="150">
        <f t="shared" si="2079"/>
        <v>0</v>
      </c>
      <c r="X2346" s="150">
        <v>0</v>
      </c>
      <c r="Y2346" s="150"/>
      <c r="Z2346" s="150">
        <v>0</v>
      </c>
      <c r="AA2346" s="150">
        <f t="shared" si="2085"/>
        <v>0</v>
      </c>
      <c r="AB2346" s="150">
        <v>0</v>
      </c>
      <c r="AC2346" s="199"/>
      <c r="AD2346" s="150">
        <f t="shared" si="2080"/>
        <v>0</v>
      </c>
      <c r="AE2346" s="150">
        <v>0</v>
      </c>
      <c r="AF2346" s="169" t="s">
        <v>4680</v>
      </c>
      <c r="AG2346" s="201">
        <v>0</v>
      </c>
      <c r="AH2346" s="199"/>
      <c r="AI2346" s="150">
        <v>0</v>
      </c>
      <c r="AJ2346" s="169">
        <f t="shared" si="2086"/>
        <v>0</v>
      </c>
      <c r="AK2346" s="201">
        <v>0</v>
      </c>
      <c r="AL2346" s="199"/>
      <c r="AM2346" s="150">
        <f t="shared" si="2081"/>
        <v>0</v>
      </c>
      <c r="AN2346" s="153">
        <f t="shared" si="2087"/>
        <v>0</v>
      </c>
      <c r="AO2346" s="154">
        <f t="shared" si="2088"/>
        <v>0</v>
      </c>
      <c r="AP2346" s="150">
        <v>0</v>
      </c>
      <c r="AQ2346" s="201">
        <v>0</v>
      </c>
      <c r="AR2346" s="199"/>
      <c r="AS2346" s="150">
        <f t="shared" si="2082"/>
        <v>0</v>
      </c>
      <c r="AT2346" s="155"/>
      <c r="AU2346" s="156">
        <f t="shared" si="2083"/>
        <v>0</v>
      </c>
      <c r="AV2346" s="156">
        <f t="shared" si="2084"/>
        <v>0</v>
      </c>
      <c r="AW2346" s="157"/>
      <c r="AX2346" s="150">
        <v>0</v>
      </c>
      <c r="AY2346" s="150">
        <v>0</v>
      </c>
      <c r="AZ2346" s="150"/>
      <c r="BA2346" s="150">
        <f t="shared" si="2090"/>
        <v>0</v>
      </c>
      <c r="BB2346" s="202"/>
      <c r="BC2346" s="202"/>
      <c r="BD2346" s="202"/>
      <c r="BE2346" s="202"/>
      <c r="BF2346" s="202"/>
      <c r="BG2346" s="203"/>
      <c r="BH2346" s="216"/>
      <c r="BI2346" s="205"/>
      <c r="BJ2346" s="205"/>
      <c r="BK2346" s="205"/>
      <c r="BL2346" s="203"/>
      <c r="BM2346" s="208"/>
      <c r="BN2346" s="160"/>
      <c r="BO2346" s="161">
        <f t="shared" si="2046"/>
        <v>0</v>
      </c>
      <c r="BP2346" s="161"/>
    </row>
    <row r="2347" spans="1:68" ht="25.5">
      <c r="A2347" s="255" t="s">
        <v>10565</v>
      </c>
      <c r="B2347" s="174"/>
      <c r="C2347" s="175" t="s">
        <v>10566</v>
      </c>
      <c r="D2347" s="146" t="s">
        <v>4692</v>
      </c>
      <c r="E2347" s="175" t="s">
        <v>10566</v>
      </c>
      <c r="F2347" s="178">
        <v>4812044.5600000005</v>
      </c>
      <c r="G2347" s="177">
        <v>0</v>
      </c>
      <c r="H2347" s="177">
        <v>0</v>
      </c>
      <c r="I2347" s="177">
        <v>0</v>
      </c>
      <c r="J2347" s="178">
        <f>J2348+J2351+J2372+J2383</f>
        <v>60838.69</v>
      </c>
      <c r="K2347" s="178">
        <f>K2348+K2351+K2372+K2383</f>
        <v>67257.3</v>
      </c>
      <c r="L2347" s="178">
        <f t="shared" si="2089"/>
        <v>128095.99</v>
      </c>
      <c r="M2347" s="178">
        <v>91681.29</v>
      </c>
      <c r="N2347" s="178">
        <v>0</v>
      </c>
      <c r="O2347" s="178">
        <v>91681.29</v>
      </c>
      <c r="P2347" s="319">
        <f t="shared" ref="P2347:R2347" si="2091">P2348+P2351+P2372+P2383</f>
        <v>189290.08000000002</v>
      </c>
      <c r="Q2347" s="319">
        <f t="shared" si="2091"/>
        <v>0</v>
      </c>
      <c r="R2347" s="319">
        <f t="shared" si="2091"/>
        <v>189290.08000000002</v>
      </c>
      <c r="S2347" s="150">
        <f t="shared" si="2040"/>
        <v>252386.77333333335</v>
      </c>
      <c r="T2347" s="213"/>
      <c r="U2347" s="319">
        <f t="shared" ref="U2347:W2347" si="2092">U2348+U2351+U2372+U2383</f>
        <v>810371.85999999987</v>
      </c>
      <c r="V2347" s="222">
        <f t="shared" si="2092"/>
        <v>0</v>
      </c>
      <c r="W2347" s="319">
        <f t="shared" si="2092"/>
        <v>810371.85999999987</v>
      </c>
      <c r="X2347" s="319">
        <v>810371.85999999987</v>
      </c>
      <c r="Y2347" s="319">
        <v>0</v>
      </c>
      <c r="Z2347" s="319">
        <v>810371.85999999987</v>
      </c>
      <c r="AA2347" s="319">
        <f t="shared" si="2085"/>
        <v>-298594.80999999988</v>
      </c>
      <c r="AB2347" s="319">
        <v>511777.05</v>
      </c>
      <c r="AC2347" s="222">
        <v>0</v>
      </c>
      <c r="AD2347" s="319">
        <f t="shared" ref="AD2347" si="2093">AD2348+AD2351+AD2372+AD2383</f>
        <v>511777.05</v>
      </c>
      <c r="AE2347" s="319">
        <v>507366.79</v>
      </c>
      <c r="AF2347" s="169" t="s">
        <v>4680</v>
      </c>
      <c r="AG2347" s="320">
        <v>507366.79</v>
      </c>
      <c r="AH2347" s="222">
        <v>0</v>
      </c>
      <c r="AI2347" s="319">
        <v>507366.79</v>
      </c>
      <c r="AJ2347" s="169">
        <f t="shared" si="2086"/>
        <v>93483.43</v>
      </c>
      <c r="AK2347" s="320">
        <v>600850.22</v>
      </c>
      <c r="AL2347" s="222">
        <v>0</v>
      </c>
      <c r="AM2347" s="319">
        <f t="shared" ref="AM2347" si="2094">AM2348+AM2351+AM2372+AM2383</f>
        <v>600850.22</v>
      </c>
      <c r="AN2347" s="153">
        <f t="shared" si="2087"/>
        <v>8368245.7999999998</v>
      </c>
      <c r="AO2347" s="154">
        <f t="shared" si="2088"/>
        <v>8380957.5800000001</v>
      </c>
      <c r="AP2347" s="319">
        <v>588138.43999999994</v>
      </c>
      <c r="AQ2347" s="320">
        <v>8969096.0199999996</v>
      </c>
      <c r="AR2347" s="222">
        <f t="shared" ref="AR2347:AS2347" si="2095">AR2348+AR2351+AR2372+AR2383</f>
        <v>0</v>
      </c>
      <c r="AS2347" s="319">
        <f t="shared" si="2095"/>
        <v>8969096.0199999996</v>
      </c>
      <c r="AT2347" s="155"/>
      <c r="AU2347" s="156">
        <f t="shared" si="2083"/>
        <v>89073.169999999984</v>
      </c>
      <c r="AV2347" s="156">
        <f t="shared" si="2084"/>
        <v>-298594.80999999988</v>
      </c>
      <c r="AW2347" s="157"/>
      <c r="AX2347" s="150">
        <v>810371.85999999987</v>
      </c>
      <c r="AY2347" s="319">
        <f t="shared" ref="AY2347:BA2347" si="2096">AY2348+AY2351+AY2372+AY2383</f>
        <v>151767.79</v>
      </c>
      <c r="AZ2347" s="319">
        <f t="shared" si="2096"/>
        <v>0</v>
      </c>
      <c r="BA2347" s="319">
        <f t="shared" si="2096"/>
        <v>151767.79</v>
      </c>
      <c r="BB2347" s="254">
        <v>8</v>
      </c>
      <c r="BC2347" s="255" t="s">
        <v>632</v>
      </c>
      <c r="BD2347" s="255" t="s">
        <v>647</v>
      </c>
      <c r="BE2347" s="173" t="s">
        <v>630</v>
      </c>
      <c r="BF2347" s="255" t="s">
        <v>630</v>
      </c>
      <c r="BG2347" s="175" t="s">
        <v>10566</v>
      </c>
      <c r="BH2347" s="224">
        <f>BH2348+BH2351+BH2372+BH2383</f>
        <v>8969096.0199999996</v>
      </c>
      <c r="BI2347" s="254"/>
      <c r="BJ2347" s="255" t="s">
        <v>10567</v>
      </c>
      <c r="BK2347" s="255" t="s">
        <v>10565</v>
      </c>
      <c r="BL2347" s="182" t="s">
        <v>10568</v>
      </c>
      <c r="BM2347" s="224">
        <f>BM2348+BM2351+BM2372+BM2383</f>
        <v>8969096.0199999996</v>
      </c>
      <c r="BN2347" s="160"/>
      <c r="BO2347" s="161">
        <f t="shared" si="2046"/>
        <v>0</v>
      </c>
      <c r="BP2347" s="161"/>
    </row>
    <row r="2348" spans="1:68" ht="25.5">
      <c r="A2348" s="256" t="s">
        <v>10569</v>
      </c>
      <c r="B2348" s="184"/>
      <c r="C2348" s="185" t="s">
        <v>10570</v>
      </c>
      <c r="D2348" s="146" t="s">
        <v>4692</v>
      </c>
      <c r="E2348" s="185" t="s">
        <v>10570</v>
      </c>
      <c r="F2348" s="188">
        <v>0</v>
      </c>
      <c r="G2348" s="187">
        <v>0</v>
      </c>
      <c r="H2348" s="187"/>
      <c r="I2348" s="187">
        <v>0</v>
      </c>
      <c r="J2348" s="188">
        <f>SUM(J2349:J2350)</f>
        <v>0</v>
      </c>
      <c r="K2348" s="188">
        <f>SUM(K2349:K2350)</f>
        <v>0</v>
      </c>
      <c r="L2348" s="188">
        <f t="shared" si="2089"/>
        <v>0</v>
      </c>
      <c r="M2348" s="188">
        <v>0</v>
      </c>
      <c r="N2348" s="188">
        <v>0</v>
      </c>
      <c r="O2348" s="188">
        <v>0</v>
      </c>
      <c r="P2348" s="299">
        <f t="shared" ref="P2348:R2348" si="2097">SUM(P2349:P2350)</f>
        <v>0</v>
      </c>
      <c r="Q2348" s="299">
        <f t="shared" si="2097"/>
        <v>0</v>
      </c>
      <c r="R2348" s="299">
        <f t="shared" si="2097"/>
        <v>0</v>
      </c>
      <c r="S2348" s="150">
        <f t="shared" si="2040"/>
        <v>0</v>
      </c>
      <c r="T2348" s="213"/>
      <c r="U2348" s="299">
        <f t="shared" ref="U2348:W2348" si="2098">SUM(U2349:U2350)</f>
        <v>0</v>
      </c>
      <c r="V2348" s="226">
        <f t="shared" si="2098"/>
        <v>0</v>
      </c>
      <c r="W2348" s="299">
        <f t="shared" si="2098"/>
        <v>0</v>
      </c>
      <c r="X2348" s="299">
        <v>0</v>
      </c>
      <c r="Y2348" s="299">
        <v>0</v>
      </c>
      <c r="Z2348" s="299">
        <v>0</v>
      </c>
      <c r="AA2348" s="299">
        <f t="shared" si="2085"/>
        <v>0</v>
      </c>
      <c r="AB2348" s="299">
        <v>0</v>
      </c>
      <c r="AC2348" s="226">
        <v>0</v>
      </c>
      <c r="AD2348" s="299">
        <f t="shared" ref="AD2348" si="2099">SUM(AD2349:AD2350)</f>
        <v>0</v>
      </c>
      <c r="AE2348" s="299">
        <v>0</v>
      </c>
      <c r="AF2348" s="169" t="s">
        <v>4680</v>
      </c>
      <c r="AG2348" s="301">
        <v>0</v>
      </c>
      <c r="AH2348" s="226">
        <v>0</v>
      </c>
      <c r="AI2348" s="299">
        <v>0</v>
      </c>
      <c r="AJ2348" s="169">
        <f t="shared" si="2086"/>
        <v>0</v>
      </c>
      <c r="AK2348" s="301">
        <v>0</v>
      </c>
      <c r="AL2348" s="226">
        <v>0</v>
      </c>
      <c r="AM2348" s="299">
        <f t="shared" ref="AM2348" si="2100">SUM(AM2349:AM2350)</f>
        <v>0</v>
      </c>
      <c r="AN2348" s="153">
        <f t="shared" si="2087"/>
        <v>0</v>
      </c>
      <c r="AO2348" s="154">
        <f t="shared" si="2088"/>
        <v>0</v>
      </c>
      <c r="AP2348" s="299">
        <v>0</v>
      </c>
      <c r="AQ2348" s="301">
        <v>0</v>
      </c>
      <c r="AR2348" s="226">
        <f t="shared" ref="AR2348:AS2348" si="2101">SUM(AR2349:AR2350)</f>
        <v>0</v>
      </c>
      <c r="AS2348" s="299">
        <f t="shared" si="2101"/>
        <v>0</v>
      </c>
      <c r="AT2348" s="155"/>
      <c r="AU2348" s="156">
        <f t="shared" si="2083"/>
        <v>0</v>
      </c>
      <c r="AV2348" s="156">
        <f t="shared" si="2084"/>
        <v>0</v>
      </c>
      <c r="AW2348" s="157"/>
      <c r="AX2348" s="150">
        <v>0</v>
      </c>
      <c r="AY2348" s="299">
        <f t="shared" ref="AY2348:BA2348" si="2102">SUM(AY2349:AY2350)</f>
        <v>0</v>
      </c>
      <c r="AZ2348" s="299">
        <f t="shared" si="2102"/>
        <v>0</v>
      </c>
      <c r="BA2348" s="299">
        <f t="shared" si="2102"/>
        <v>0</v>
      </c>
      <c r="BB2348" s="192">
        <v>8</v>
      </c>
      <c r="BC2348" s="256" t="s">
        <v>632</v>
      </c>
      <c r="BD2348" s="256" t="s">
        <v>647</v>
      </c>
      <c r="BE2348" s="183" t="s">
        <v>632</v>
      </c>
      <c r="BF2348" s="256" t="s">
        <v>630</v>
      </c>
      <c r="BG2348" s="185" t="s">
        <v>10570</v>
      </c>
      <c r="BH2348" s="215">
        <f>BH2349</f>
        <v>0</v>
      </c>
      <c r="BI2348" s="192"/>
      <c r="BJ2348" s="256" t="s">
        <v>10571</v>
      </c>
      <c r="BK2348" s="256" t="s">
        <v>10569</v>
      </c>
      <c r="BL2348" s="238" t="s">
        <v>10572</v>
      </c>
      <c r="BM2348" s="215">
        <f>BM2349</f>
        <v>0</v>
      </c>
      <c r="BN2348" s="160"/>
      <c r="BO2348" s="161">
        <f t="shared" si="2046"/>
        <v>0</v>
      </c>
      <c r="BP2348" s="161"/>
    </row>
    <row r="2349" spans="1:68" ht="25.5">
      <c r="A2349" s="206" t="s">
        <v>10569</v>
      </c>
      <c r="B2349" s="195" t="s">
        <v>10573</v>
      </c>
      <c r="C2349" s="196" t="s">
        <v>10574</v>
      </c>
      <c r="D2349" s="146" t="s">
        <v>4692</v>
      </c>
      <c r="E2349" s="197" t="s">
        <v>10574</v>
      </c>
      <c r="F2349" s="150">
        <v>0</v>
      </c>
      <c r="G2349" s="198">
        <v>0</v>
      </c>
      <c r="H2349" s="198"/>
      <c r="I2349" s="198">
        <v>0</v>
      </c>
      <c r="J2349" s="150">
        <v>0</v>
      </c>
      <c r="K2349" s="150">
        <v>0</v>
      </c>
      <c r="L2349" s="150">
        <f t="shared" si="2089"/>
        <v>0</v>
      </c>
      <c r="M2349" s="150">
        <v>0</v>
      </c>
      <c r="N2349" s="150"/>
      <c r="O2349" s="150">
        <v>0</v>
      </c>
      <c r="P2349" s="150">
        <v>0</v>
      </c>
      <c r="Q2349" s="150">
        <v>0</v>
      </c>
      <c r="R2349" s="150">
        <f>P2349+Q2349</f>
        <v>0</v>
      </c>
      <c r="S2349" s="150">
        <f t="shared" si="2040"/>
        <v>0</v>
      </c>
      <c r="T2349" s="150"/>
      <c r="U2349" s="150">
        <v>0</v>
      </c>
      <c r="V2349" s="199"/>
      <c r="W2349" s="150">
        <f t="shared" ref="W2349:W2371" si="2103">U2349+V2349</f>
        <v>0</v>
      </c>
      <c r="X2349" s="150">
        <v>0</v>
      </c>
      <c r="Y2349" s="150"/>
      <c r="Z2349" s="150">
        <v>0</v>
      </c>
      <c r="AA2349" s="150">
        <f t="shared" si="2085"/>
        <v>0</v>
      </c>
      <c r="AB2349" s="150">
        <v>0</v>
      </c>
      <c r="AC2349" s="199"/>
      <c r="AD2349" s="150">
        <f t="shared" ref="AD2349:AD2371" si="2104">AB2349+AC2349</f>
        <v>0</v>
      </c>
      <c r="AE2349" s="150">
        <v>0</v>
      </c>
      <c r="AF2349" s="169" t="s">
        <v>4680</v>
      </c>
      <c r="AG2349" s="201">
        <v>0</v>
      </c>
      <c r="AH2349" s="199"/>
      <c r="AI2349" s="150">
        <v>0</v>
      </c>
      <c r="AJ2349" s="169">
        <f t="shared" si="2086"/>
        <v>0</v>
      </c>
      <c r="AK2349" s="201">
        <v>0</v>
      </c>
      <c r="AL2349" s="199"/>
      <c r="AM2349" s="150">
        <f t="shared" ref="AM2349:AM2371" si="2105">AK2349+AL2349</f>
        <v>0</v>
      </c>
      <c r="AN2349" s="153">
        <f t="shared" si="2087"/>
        <v>0</v>
      </c>
      <c r="AO2349" s="154">
        <f t="shared" si="2088"/>
        <v>0</v>
      </c>
      <c r="AP2349" s="150">
        <v>0</v>
      </c>
      <c r="AQ2349" s="201">
        <v>0</v>
      </c>
      <c r="AR2349" s="199"/>
      <c r="AS2349" s="150">
        <f t="shared" ref="AS2349:AS2371" si="2106">AQ2349+AR2349</f>
        <v>0</v>
      </c>
      <c r="AT2349" s="155"/>
      <c r="AU2349" s="156">
        <f t="shared" si="2083"/>
        <v>0</v>
      </c>
      <c r="AV2349" s="156">
        <f t="shared" si="2084"/>
        <v>0</v>
      </c>
      <c r="AW2349" s="157"/>
      <c r="AX2349" s="150">
        <v>0</v>
      </c>
      <c r="AY2349" s="150">
        <v>0</v>
      </c>
      <c r="AZ2349" s="150"/>
      <c r="BA2349" s="150">
        <f t="shared" si="2090"/>
        <v>0</v>
      </c>
      <c r="BB2349" s="202">
        <v>8</v>
      </c>
      <c r="BC2349" s="202" t="s">
        <v>632</v>
      </c>
      <c r="BD2349" s="202" t="s">
        <v>647</v>
      </c>
      <c r="BE2349" s="202" t="s">
        <v>632</v>
      </c>
      <c r="BF2349" s="202" t="s">
        <v>632</v>
      </c>
      <c r="BG2349" s="203" t="s">
        <v>10570</v>
      </c>
      <c r="BH2349" s="216">
        <f>SUM(AS2349:AS2350)</f>
        <v>0</v>
      </c>
      <c r="BI2349" s="205"/>
      <c r="BJ2349" s="206" t="s">
        <v>10571</v>
      </c>
      <c r="BK2349" s="206" t="s">
        <v>10569</v>
      </c>
      <c r="BL2349" s="207" t="s">
        <v>10572</v>
      </c>
      <c r="BM2349" s="208">
        <f>BH2349</f>
        <v>0</v>
      </c>
      <c r="BN2349" s="160"/>
      <c r="BO2349" s="161">
        <f t="shared" si="2046"/>
        <v>0</v>
      </c>
      <c r="BP2349" s="161"/>
    </row>
    <row r="2350" spans="1:68" ht="25.5">
      <c r="A2350" s="206"/>
      <c r="B2350" s="195" t="s">
        <v>10575</v>
      </c>
      <c r="C2350" s="196" t="s">
        <v>10574</v>
      </c>
      <c r="D2350" s="146" t="s">
        <v>4692</v>
      </c>
      <c r="E2350" s="197" t="s">
        <v>10574</v>
      </c>
      <c r="F2350" s="150">
        <v>0</v>
      </c>
      <c r="G2350" s="198">
        <v>770498.55</v>
      </c>
      <c r="H2350" s="198">
        <v>67257.3</v>
      </c>
      <c r="I2350" s="198">
        <v>837755.85000000009</v>
      </c>
      <c r="J2350" s="150">
        <v>0</v>
      </c>
      <c r="K2350" s="150">
        <v>0</v>
      </c>
      <c r="L2350" s="150">
        <f t="shared" si="2089"/>
        <v>0</v>
      </c>
      <c r="M2350" s="150">
        <v>0</v>
      </c>
      <c r="N2350" s="150"/>
      <c r="O2350" s="150">
        <v>0</v>
      </c>
      <c r="P2350" s="150">
        <v>0</v>
      </c>
      <c r="Q2350" s="150">
        <v>0</v>
      </c>
      <c r="R2350" s="150">
        <f>P2350+Q2350</f>
        <v>0</v>
      </c>
      <c r="S2350" s="150">
        <f t="shared" si="2040"/>
        <v>0</v>
      </c>
      <c r="T2350" s="150"/>
      <c r="U2350" s="150">
        <v>0</v>
      </c>
      <c r="V2350" s="199"/>
      <c r="W2350" s="150">
        <f t="shared" si="2103"/>
        <v>0</v>
      </c>
      <c r="X2350" s="150">
        <v>0</v>
      </c>
      <c r="Y2350" s="150"/>
      <c r="Z2350" s="150">
        <v>0</v>
      </c>
      <c r="AA2350" s="150">
        <f t="shared" si="2085"/>
        <v>0</v>
      </c>
      <c r="AB2350" s="150">
        <v>0</v>
      </c>
      <c r="AC2350" s="199"/>
      <c r="AD2350" s="150">
        <f t="shared" si="2104"/>
        <v>0</v>
      </c>
      <c r="AE2350" s="150">
        <v>0</v>
      </c>
      <c r="AF2350" s="169" t="s">
        <v>4680</v>
      </c>
      <c r="AG2350" s="201">
        <v>0</v>
      </c>
      <c r="AH2350" s="199"/>
      <c r="AI2350" s="150">
        <v>0</v>
      </c>
      <c r="AJ2350" s="169">
        <f t="shared" si="2086"/>
        <v>0</v>
      </c>
      <c r="AK2350" s="201">
        <v>0</v>
      </c>
      <c r="AL2350" s="199"/>
      <c r="AM2350" s="150">
        <f t="shared" si="2105"/>
        <v>0</v>
      </c>
      <c r="AN2350" s="153">
        <f t="shared" si="2087"/>
        <v>0</v>
      </c>
      <c r="AO2350" s="154">
        <f t="shared" si="2088"/>
        <v>0</v>
      </c>
      <c r="AP2350" s="150">
        <v>0</v>
      </c>
      <c r="AQ2350" s="201">
        <v>0</v>
      </c>
      <c r="AR2350" s="199"/>
      <c r="AS2350" s="150">
        <f t="shared" si="2106"/>
        <v>0</v>
      </c>
      <c r="AT2350" s="155"/>
      <c r="AU2350" s="156">
        <f t="shared" si="2083"/>
        <v>0</v>
      </c>
      <c r="AV2350" s="156">
        <f t="shared" si="2084"/>
        <v>0</v>
      </c>
      <c r="AW2350" s="157"/>
      <c r="AX2350" s="150">
        <v>0</v>
      </c>
      <c r="AY2350" s="150">
        <v>0</v>
      </c>
      <c r="AZ2350" s="150"/>
      <c r="BA2350" s="150">
        <f t="shared" si="2090"/>
        <v>0</v>
      </c>
      <c r="BB2350" s="202"/>
      <c r="BC2350" s="202"/>
      <c r="BD2350" s="202"/>
      <c r="BE2350" s="202"/>
      <c r="BF2350" s="202"/>
      <c r="BG2350" s="203"/>
      <c r="BH2350" s="216"/>
      <c r="BI2350" s="205"/>
      <c r="BJ2350" s="206"/>
      <c r="BK2350" s="206"/>
      <c r="BL2350" s="207"/>
      <c r="BM2350" s="208"/>
      <c r="BN2350" s="160"/>
      <c r="BO2350" s="161">
        <f t="shared" si="2046"/>
        <v>0</v>
      </c>
      <c r="BP2350" s="161"/>
    </row>
    <row r="2351" spans="1:68">
      <c r="A2351" s="256" t="s">
        <v>10576</v>
      </c>
      <c r="B2351" s="184"/>
      <c r="C2351" s="185" t="s">
        <v>10577</v>
      </c>
      <c r="D2351" s="146" t="s">
        <v>4692</v>
      </c>
      <c r="E2351" s="185" t="s">
        <v>10577</v>
      </c>
      <c r="F2351" s="188">
        <v>4812044.5600000005</v>
      </c>
      <c r="G2351" s="187">
        <v>0</v>
      </c>
      <c r="H2351" s="187"/>
      <c r="I2351" s="187">
        <v>0</v>
      </c>
      <c r="J2351" s="188">
        <f>SUM(J2352:J2371)</f>
        <v>60838.69</v>
      </c>
      <c r="K2351" s="188">
        <f>SUM(K2352:K2371)</f>
        <v>67257.3</v>
      </c>
      <c r="L2351" s="188">
        <f t="shared" si="2089"/>
        <v>128095.99</v>
      </c>
      <c r="M2351" s="188">
        <v>91681.29</v>
      </c>
      <c r="N2351" s="188">
        <v>0</v>
      </c>
      <c r="O2351" s="188">
        <v>91681.29</v>
      </c>
      <c r="P2351" s="188">
        <f>SUM(P2352:P2371)</f>
        <v>189290.08000000002</v>
      </c>
      <c r="Q2351" s="188">
        <f>SUM(Q2352:Q2371)</f>
        <v>0</v>
      </c>
      <c r="R2351" s="188">
        <f>P2351+Q2351</f>
        <v>189290.08000000002</v>
      </c>
      <c r="S2351" s="150">
        <f t="shared" si="2040"/>
        <v>252386.77333333335</v>
      </c>
      <c r="T2351" s="150"/>
      <c r="U2351" s="188">
        <f>SUM(U2352:U2371)</f>
        <v>750323.85999999987</v>
      </c>
      <c r="V2351" s="189">
        <f>SUM(V2352:V2371)</f>
        <v>0</v>
      </c>
      <c r="W2351" s="188">
        <f t="shared" si="2103"/>
        <v>750323.85999999987</v>
      </c>
      <c r="X2351" s="188">
        <v>750323.85999999987</v>
      </c>
      <c r="Y2351" s="188">
        <v>0</v>
      </c>
      <c r="Z2351" s="188">
        <v>750323.85999999987</v>
      </c>
      <c r="AA2351" s="188">
        <f t="shared" si="2085"/>
        <v>-298594.85999999987</v>
      </c>
      <c r="AB2351" s="188">
        <v>451729</v>
      </c>
      <c r="AC2351" s="189">
        <v>0</v>
      </c>
      <c r="AD2351" s="188">
        <f t="shared" si="2104"/>
        <v>451729</v>
      </c>
      <c r="AE2351" s="188">
        <v>447318.79</v>
      </c>
      <c r="AF2351" s="169" t="s">
        <v>4680</v>
      </c>
      <c r="AG2351" s="304">
        <v>447318.79</v>
      </c>
      <c r="AH2351" s="189">
        <v>0</v>
      </c>
      <c r="AI2351" s="188">
        <v>447318.79</v>
      </c>
      <c r="AJ2351" s="169">
        <f t="shared" si="2086"/>
        <v>93483.43</v>
      </c>
      <c r="AK2351" s="304">
        <v>540802.22</v>
      </c>
      <c r="AL2351" s="189">
        <v>0</v>
      </c>
      <c r="AM2351" s="188">
        <f t="shared" si="2105"/>
        <v>540802.22</v>
      </c>
      <c r="AN2351" s="153">
        <f t="shared" si="2087"/>
        <v>8368245.7499999991</v>
      </c>
      <c r="AO2351" s="154">
        <f t="shared" si="2088"/>
        <v>8380957.5299999993</v>
      </c>
      <c r="AP2351" s="188">
        <v>528090.43999999994</v>
      </c>
      <c r="AQ2351" s="304">
        <v>8909047.9699999988</v>
      </c>
      <c r="AR2351" s="189">
        <f>SUM(AR2352:AR2371)</f>
        <v>0</v>
      </c>
      <c r="AS2351" s="188">
        <f t="shared" si="2106"/>
        <v>8909047.9699999988</v>
      </c>
      <c r="AT2351" s="155"/>
      <c r="AU2351" s="156">
        <f t="shared" si="2083"/>
        <v>89073.219999999972</v>
      </c>
      <c r="AV2351" s="156">
        <f t="shared" si="2084"/>
        <v>-298594.85999999987</v>
      </c>
      <c r="AW2351" s="157"/>
      <c r="AX2351" s="150">
        <v>750323.85999999987</v>
      </c>
      <c r="AY2351" s="188">
        <f>SUM(AY2352:AY2371)</f>
        <v>151767.79</v>
      </c>
      <c r="AZ2351" s="188">
        <f>SUM(AZ2352:AZ2371)</f>
        <v>0</v>
      </c>
      <c r="BA2351" s="188">
        <f>AY2351+AZ2351</f>
        <v>151767.79</v>
      </c>
      <c r="BB2351" s="192">
        <v>8</v>
      </c>
      <c r="BC2351" s="256" t="s">
        <v>632</v>
      </c>
      <c r="BD2351" s="256" t="s">
        <v>647</v>
      </c>
      <c r="BE2351" s="256" t="s">
        <v>647</v>
      </c>
      <c r="BF2351" s="256" t="s">
        <v>630</v>
      </c>
      <c r="BG2351" s="185" t="s">
        <v>10577</v>
      </c>
      <c r="BH2351" s="215">
        <f>BH2352+BH2353+BH2356+BH2357+BH2363+BH2364+BH2365+BH2367+BH2369</f>
        <v>8909047.9699999988</v>
      </c>
      <c r="BI2351" s="192"/>
      <c r="BJ2351" s="256" t="s">
        <v>10578</v>
      </c>
      <c r="BK2351" s="256" t="s">
        <v>10576</v>
      </c>
      <c r="BL2351" s="238" t="s">
        <v>10579</v>
      </c>
      <c r="BM2351" s="215">
        <f>BM2352+BM2353+BM2356+BM2357+BM2363+BM2364+BM2365+BM2367+BM2369</f>
        <v>8909047.9699999988</v>
      </c>
      <c r="BN2351" s="160"/>
      <c r="BO2351" s="161">
        <f t="shared" si="2046"/>
        <v>0</v>
      </c>
      <c r="BP2351" s="161"/>
    </row>
    <row r="2352" spans="1:68" ht="25.5">
      <c r="A2352" s="206" t="s">
        <v>10580</v>
      </c>
      <c r="B2352" s="195" t="s">
        <v>10581</v>
      </c>
      <c r="C2352" s="196" t="s">
        <v>10582</v>
      </c>
      <c r="D2352" s="146" t="s">
        <v>4692</v>
      </c>
      <c r="E2352" s="377" t="s">
        <v>10582</v>
      </c>
      <c r="F2352" s="150">
        <v>0</v>
      </c>
      <c r="G2352" s="209">
        <v>2829.83</v>
      </c>
      <c r="H2352" s="209">
        <v>7543</v>
      </c>
      <c r="I2352" s="209">
        <v>10372.83</v>
      </c>
      <c r="J2352" s="150">
        <v>0</v>
      </c>
      <c r="K2352" s="150">
        <v>0</v>
      </c>
      <c r="L2352" s="150">
        <f t="shared" si="2089"/>
        <v>0</v>
      </c>
      <c r="M2352" s="150">
        <v>0</v>
      </c>
      <c r="N2352" s="150"/>
      <c r="O2352" s="150">
        <v>0</v>
      </c>
      <c r="P2352" s="150">
        <v>0</v>
      </c>
      <c r="Q2352" s="150">
        <v>0</v>
      </c>
      <c r="R2352" s="150">
        <f t="shared" ref="R2352:R2371" si="2107">P2352+Q2352</f>
        <v>0</v>
      </c>
      <c r="S2352" s="150">
        <f t="shared" ref="S2352:S2415" si="2108">R2352/9*12</f>
        <v>0</v>
      </c>
      <c r="T2352" s="150"/>
      <c r="U2352" s="150">
        <v>0</v>
      </c>
      <c r="V2352" s="199"/>
      <c r="W2352" s="150">
        <f t="shared" si="2103"/>
        <v>0</v>
      </c>
      <c r="X2352" s="150">
        <v>0</v>
      </c>
      <c r="Y2352" s="150"/>
      <c r="Z2352" s="150">
        <v>0</v>
      </c>
      <c r="AA2352" s="150">
        <f t="shared" si="2085"/>
        <v>0</v>
      </c>
      <c r="AB2352" s="150">
        <v>0</v>
      </c>
      <c r="AC2352" s="199"/>
      <c r="AD2352" s="150">
        <f t="shared" si="2104"/>
        <v>0</v>
      </c>
      <c r="AE2352" s="150">
        <v>0</v>
      </c>
      <c r="AF2352" s="169" t="s">
        <v>4680</v>
      </c>
      <c r="AG2352" s="201">
        <v>0</v>
      </c>
      <c r="AH2352" s="199"/>
      <c r="AI2352" s="150">
        <v>0</v>
      </c>
      <c r="AJ2352" s="169">
        <f t="shared" si="2086"/>
        <v>0</v>
      </c>
      <c r="AK2352" s="201">
        <v>0</v>
      </c>
      <c r="AL2352" s="199"/>
      <c r="AM2352" s="150">
        <f t="shared" si="2105"/>
        <v>0</v>
      </c>
      <c r="AN2352" s="153">
        <f t="shared" si="2087"/>
        <v>0</v>
      </c>
      <c r="AO2352" s="154">
        <f t="shared" si="2088"/>
        <v>0</v>
      </c>
      <c r="AP2352" s="150">
        <v>0</v>
      </c>
      <c r="AQ2352" s="201">
        <v>0</v>
      </c>
      <c r="AR2352" s="199"/>
      <c r="AS2352" s="150">
        <f t="shared" si="2106"/>
        <v>0</v>
      </c>
      <c r="AT2352" s="155"/>
      <c r="AU2352" s="156">
        <f t="shared" si="2083"/>
        <v>0</v>
      </c>
      <c r="AV2352" s="156">
        <f t="shared" si="2084"/>
        <v>0</v>
      </c>
      <c r="AW2352" s="157"/>
      <c r="AX2352" s="150">
        <v>0</v>
      </c>
      <c r="AY2352" s="150">
        <v>0</v>
      </c>
      <c r="AZ2352" s="150"/>
      <c r="BA2352" s="150">
        <f>AY2352+AZ2352</f>
        <v>0</v>
      </c>
      <c r="BB2352" s="202">
        <v>8</v>
      </c>
      <c r="BC2352" s="202" t="s">
        <v>632</v>
      </c>
      <c r="BD2352" s="202" t="s">
        <v>647</v>
      </c>
      <c r="BE2352" s="202" t="s">
        <v>647</v>
      </c>
      <c r="BF2352" s="194" t="s">
        <v>779</v>
      </c>
      <c r="BG2352" s="203" t="s">
        <v>10582</v>
      </c>
      <c r="BH2352" s="216">
        <f>AS2352</f>
        <v>0</v>
      </c>
      <c r="BI2352" s="205"/>
      <c r="BJ2352" s="206" t="s">
        <v>10583</v>
      </c>
      <c r="BK2352" s="206" t="s">
        <v>10580</v>
      </c>
      <c r="BL2352" s="207" t="s">
        <v>10584</v>
      </c>
      <c r="BM2352" s="208">
        <f>BH2352</f>
        <v>0</v>
      </c>
      <c r="BN2352" s="160"/>
      <c r="BO2352" s="161">
        <f t="shared" si="2046"/>
        <v>0</v>
      </c>
      <c r="BP2352" s="161"/>
    </row>
    <row r="2353" spans="1:68" ht="38.25">
      <c r="A2353" s="261" t="s">
        <v>10585</v>
      </c>
      <c r="B2353" s="228" t="s">
        <v>10586</v>
      </c>
      <c r="C2353" s="229" t="s">
        <v>10587</v>
      </c>
      <c r="D2353" s="146" t="s">
        <v>4692</v>
      </c>
      <c r="E2353" s="196" t="s">
        <v>10588</v>
      </c>
      <c r="F2353" s="150">
        <v>30844.83</v>
      </c>
      <c r="G2353" s="209">
        <v>0</v>
      </c>
      <c r="H2353" s="209"/>
      <c r="I2353" s="209">
        <v>0</v>
      </c>
      <c r="J2353" s="150">
        <v>0</v>
      </c>
      <c r="K2353" s="150">
        <v>7543</v>
      </c>
      <c r="L2353" s="150">
        <f t="shared" si="2089"/>
        <v>7543</v>
      </c>
      <c r="M2353" s="150">
        <v>0</v>
      </c>
      <c r="N2353" s="150"/>
      <c r="O2353" s="150">
        <v>0</v>
      </c>
      <c r="P2353" s="150">
        <v>1200</v>
      </c>
      <c r="Q2353" s="150">
        <v>0</v>
      </c>
      <c r="R2353" s="150">
        <f t="shared" si="2107"/>
        <v>1200</v>
      </c>
      <c r="S2353" s="150">
        <f t="shared" si="2108"/>
        <v>1600</v>
      </c>
      <c r="T2353" s="150"/>
      <c r="U2353" s="150">
        <v>172467.06</v>
      </c>
      <c r="V2353" s="199"/>
      <c r="W2353" s="150">
        <f t="shared" si="2103"/>
        <v>172467.06</v>
      </c>
      <c r="X2353" s="150">
        <v>172467.06</v>
      </c>
      <c r="Y2353" s="150"/>
      <c r="Z2353" s="150">
        <v>172467.06</v>
      </c>
      <c r="AA2353" s="150">
        <f t="shared" si="2085"/>
        <v>2166.8500000000058</v>
      </c>
      <c r="AB2353" s="150">
        <v>174633.91</v>
      </c>
      <c r="AC2353" s="199"/>
      <c r="AD2353" s="150">
        <f t="shared" si="2104"/>
        <v>174633.91</v>
      </c>
      <c r="AE2353" s="150">
        <v>171100.71</v>
      </c>
      <c r="AF2353" s="169" t="s">
        <v>4680</v>
      </c>
      <c r="AG2353" s="201">
        <v>171100.71</v>
      </c>
      <c r="AH2353" s="199"/>
      <c r="AI2353" s="150">
        <v>171100.71</v>
      </c>
      <c r="AJ2353" s="169">
        <f t="shared" si="2086"/>
        <v>4299.3600000000151</v>
      </c>
      <c r="AK2353" s="201">
        <v>175400.07</v>
      </c>
      <c r="AL2353" s="199"/>
      <c r="AM2353" s="150">
        <f t="shared" si="2105"/>
        <v>175400.07</v>
      </c>
      <c r="AN2353" s="153">
        <f t="shared" si="2087"/>
        <v>0</v>
      </c>
      <c r="AO2353" s="154">
        <f t="shared" si="2088"/>
        <v>0</v>
      </c>
      <c r="AP2353" s="150">
        <v>175400.07</v>
      </c>
      <c r="AQ2353" s="201">
        <v>175400.07</v>
      </c>
      <c r="AR2353" s="199"/>
      <c r="AS2353" s="150">
        <f t="shared" si="2106"/>
        <v>175400.07</v>
      </c>
      <c r="AT2353" s="155" t="s">
        <v>10589</v>
      </c>
      <c r="AU2353" s="156">
        <f t="shared" si="2083"/>
        <v>766.16000000000349</v>
      </c>
      <c r="AV2353" s="156">
        <f t="shared" si="2084"/>
        <v>2166.8500000000058</v>
      </c>
      <c r="AW2353" s="157" t="s">
        <v>10590</v>
      </c>
      <c r="AX2353" s="150">
        <v>172467.06</v>
      </c>
      <c r="AY2353" s="150">
        <v>600</v>
      </c>
      <c r="AZ2353" s="150"/>
      <c r="BA2353" s="150">
        <f t="shared" si="2090"/>
        <v>600</v>
      </c>
      <c r="BB2353" s="202">
        <v>8</v>
      </c>
      <c r="BC2353" s="202" t="s">
        <v>632</v>
      </c>
      <c r="BD2353" s="202" t="s">
        <v>647</v>
      </c>
      <c r="BE2353" s="202" t="s">
        <v>647</v>
      </c>
      <c r="BF2353" s="202" t="s">
        <v>632</v>
      </c>
      <c r="BG2353" s="203" t="s">
        <v>10587</v>
      </c>
      <c r="BH2353" s="216">
        <f>SUM(AS2353:AS2355)</f>
        <v>255906.64</v>
      </c>
      <c r="BI2353" s="206" t="s">
        <v>1519</v>
      </c>
      <c r="BJ2353" s="206" t="s">
        <v>10591</v>
      </c>
      <c r="BK2353" s="206" t="s">
        <v>10585</v>
      </c>
      <c r="BL2353" s="207" t="s">
        <v>10592</v>
      </c>
      <c r="BM2353" s="208">
        <f>BH2353</f>
        <v>255906.64</v>
      </c>
      <c r="BN2353" s="160"/>
      <c r="BO2353" s="161"/>
      <c r="BP2353" s="161"/>
    </row>
    <row r="2354" spans="1:68" ht="38.25">
      <c r="A2354" s="308"/>
      <c r="B2354" s="228" t="s">
        <v>10593</v>
      </c>
      <c r="C2354" s="229" t="s">
        <v>10594</v>
      </c>
      <c r="D2354" s="146" t="s">
        <v>4692</v>
      </c>
      <c r="E2354" s="196" t="s">
        <v>10594</v>
      </c>
      <c r="F2354" s="150">
        <v>0</v>
      </c>
      <c r="G2354" s="209">
        <v>1630.52</v>
      </c>
      <c r="H2354" s="209"/>
      <c r="I2354" s="209">
        <v>1630.52</v>
      </c>
      <c r="J2354" s="150">
        <v>0</v>
      </c>
      <c r="K2354" s="150">
        <v>0</v>
      </c>
      <c r="L2354" s="150">
        <f t="shared" si="2089"/>
        <v>0</v>
      </c>
      <c r="M2354" s="150">
        <v>0</v>
      </c>
      <c r="N2354" s="150"/>
      <c r="O2354" s="150">
        <v>0</v>
      </c>
      <c r="P2354" s="150">
        <v>0</v>
      </c>
      <c r="Q2354" s="150">
        <v>0</v>
      </c>
      <c r="R2354" s="150">
        <f t="shared" si="2107"/>
        <v>0</v>
      </c>
      <c r="S2354" s="150">
        <f t="shared" si="2108"/>
        <v>0</v>
      </c>
      <c r="T2354" s="150"/>
      <c r="U2354" s="150">
        <v>0</v>
      </c>
      <c r="V2354" s="199"/>
      <c r="W2354" s="150">
        <f t="shared" si="2103"/>
        <v>0</v>
      </c>
      <c r="X2354" s="150">
        <v>0</v>
      </c>
      <c r="Y2354" s="150"/>
      <c r="Z2354" s="150">
        <v>0</v>
      </c>
      <c r="AA2354" s="150">
        <f t="shared" si="2085"/>
        <v>0</v>
      </c>
      <c r="AB2354" s="150">
        <v>0</v>
      </c>
      <c r="AC2354" s="199"/>
      <c r="AD2354" s="150">
        <f t="shared" si="2104"/>
        <v>0</v>
      </c>
      <c r="AE2354" s="150">
        <v>0</v>
      </c>
      <c r="AF2354" s="169" t="s">
        <v>4680</v>
      </c>
      <c r="AG2354" s="201">
        <v>0</v>
      </c>
      <c r="AH2354" s="199"/>
      <c r="AI2354" s="150">
        <v>0</v>
      </c>
      <c r="AJ2354" s="169">
        <f t="shared" si="2086"/>
        <v>0</v>
      </c>
      <c r="AK2354" s="201">
        <v>0</v>
      </c>
      <c r="AL2354" s="199"/>
      <c r="AM2354" s="150">
        <f t="shared" si="2105"/>
        <v>0</v>
      </c>
      <c r="AN2354" s="153">
        <f t="shared" si="2087"/>
        <v>0</v>
      </c>
      <c r="AO2354" s="154">
        <f t="shared" si="2088"/>
        <v>0</v>
      </c>
      <c r="AP2354" s="150">
        <v>0</v>
      </c>
      <c r="AQ2354" s="201">
        <v>0</v>
      </c>
      <c r="AR2354" s="199"/>
      <c r="AS2354" s="150">
        <f t="shared" si="2106"/>
        <v>0</v>
      </c>
      <c r="AT2354" s="155"/>
      <c r="AU2354" s="156">
        <f t="shared" si="2083"/>
        <v>0</v>
      </c>
      <c r="AV2354" s="156">
        <f t="shared" si="2084"/>
        <v>0</v>
      </c>
      <c r="AW2354" s="157"/>
      <c r="AX2354" s="150">
        <v>0</v>
      </c>
      <c r="AY2354" s="150">
        <v>0</v>
      </c>
      <c r="AZ2354" s="150"/>
      <c r="BA2354" s="150">
        <f t="shared" si="2090"/>
        <v>0</v>
      </c>
      <c r="BB2354" s="210"/>
      <c r="BC2354" s="210"/>
      <c r="BD2354" s="210"/>
      <c r="BE2354" s="210"/>
      <c r="BF2354" s="210"/>
      <c r="BG2354" s="210"/>
      <c r="BH2354" s="217"/>
      <c r="BI2354" s="210"/>
      <c r="BJ2354" s="210"/>
      <c r="BK2354" s="210"/>
      <c r="BL2354" s="210"/>
      <c r="BM2354" s="208"/>
      <c r="BN2354" s="160"/>
      <c r="BO2354" s="161"/>
      <c r="BP2354" s="161"/>
    </row>
    <row r="2355" spans="1:68" ht="51">
      <c r="A2355" s="308"/>
      <c r="B2355" s="228" t="s">
        <v>10595</v>
      </c>
      <c r="C2355" s="229" t="s">
        <v>10596</v>
      </c>
      <c r="D2355" s="146" t="s">
        <v>4692</v>
      </c>
      <c r="E2355" s="196" t="s">
        <v>10597</v>
      </c>
      <c r="F2355" s="150">
        <v>1630.52</v>
      </c>
      <c r="G2355" s="209">
        <v>0</v>
      </c>
      <c r="H2355" s="209"/>
      <c r="I2355" s="209">
        <v>0</v>
      </c>
      <c r="J2355" s="150">
        <v>0</v>
      </c>
      <c r="K2355" s="150">
        <v>0</v>
      </c>
      <c r="L2355" s="150">
        <f t="shared" si="2089"/>
        <v>0</v>
      </c>
      <c r="M2355" s="150">
        <v>0</v>
      </c>
      <c r="N2355" s="150"/>
      <c r="O2355" s="150">
        <v>0</v>
      </c>
      <c r="P2355" s="150">
        <v>0</v>
      </c>
      <c r="Q2355" s="150">
        <v>0</v>
      </c>
      <c r="R2355" s="150">
        <f t="shared" si="2107"/>
        <v>0</v>
      </c>
      <c r="S2355" s="150">
        <f t="shared" si="2108"/>
        <v>0</v>
      </c>
      <c r="T2355" s="150"/>
      <c r="U2355" s="150">
        <v>57373.3</v>
      </c>
      <c r="V2355" s="199"/>
      <c r="W2355" s="150">
        <f t="shared" si="2103"/>
        <v>57373.3</v>
      </c>
      <c r="X2355" s="150">
        <v>57373.3</v>
      </c>
      <c r="Y2355" s="150"/>
      <c r="Z2355" s="150">
        <v>57373.3</v>
      </c>
      <c r="AA2355" s="150">
        <f t="shared" si="2085"/>
        <v>-53976.4</v>
      </c>
      <c r="AB2355" s="150">
        <v>3396.9</v>
      </c>
      <c r="AC2355" s="199"/>
      <c r="AD2355" s="150">
        <f t="shared" si="2104"/>
        <v>3396.9</v>
      </c>
      <c r="AE2355" s="150">
        <v>3396.9</v>
      </c>
      <c r="AF2355" s="169" t="s">
        <v>4680</v>
      </c>
      <c r="AG2355" s="201">
        <v>3396.9</v>
      </c>
      <c r="AH2355" s="199"/>
      <c r="AI2355" s="150">
        <v>3396.9</v>
      </c>
      <c r="AJ2355" s="169">
        <f t="shared" si="2086"/>
        <v>77109.670000000013</v>
      </c>
      <c r="AK2355" s="201">
        <v>80506.570000000007</v>
      </c>
      <c r="AL2355" s="199"/>
      <c r="AM2355" s="150">
        <f t="shared" si="2105"/>
        <v>80506.570000000007</v>
      </c>
      <c r="AN2355" s="153">
        <f t="shared" si="2087"/>
        <v>0</v>
      </c>
      <c r="AO2355" s="154">
        <f t="shared" si="2088"/>
        <v>0</v>
      </c>
      <c r="AP2355" s="150">
        <v>80506.570000000007</v>
      </c>
      <c r="AQ2355" s="201">
        <v>80506.570000000007</v>
      </c>
      <c r="AR2355" s="199"/>
      <c r="AS2355" s="150">
        <f t="shared" si="2106"/>
        <v>80506.570000000007</v>
      </c>
      <c r="AT2355" s="155" t="s">
        <v>10589</v>
      </c>
      <c r="AU2355" s="156">
        <f t="shared" si="2083"/>
        <v>77109.670000000013</v>
      </c>
      <c r="AV2355" s="156">
        <f t="shared" si="2084"/>
        <v>-53976.4</v>
      </c>
      <c r="AW2355" s="157" t="s">
        <v>10590</v>
      </c>
      <c r="AX2355" s="150">
        <v>57373.3</v>
      </c>
      <c r="AY2355" s="150">
        <v>0</v>
      </c>
      <c r="AZ2355" s="150"/>
      <c r="BA2355" s="150">
        <f t="shared" si="2090"/>
        <v>0</v>
      </c>
      <c r="BB2355" s="210"/>
      <c r="BC2355" s="210"/>
      <c r="BD2355" s="210"/>
      <c r="BE2355" s="210"/>
      <c r="BF2355" s="210"/>
      <c r="BG2355" s="210"/>
      <c r="BH2355" s="217"/>
      <c r="BI2355" s="210"/>
      <c r="BJ2355" s="210"/>
      <c r="BK2355" s="210"/>
      <c r="BL2355" s="210"/>
      <c r="BM2355" s="208"/>
      <c r="BN2355" s="160"/>
      <c r="BO2355" s="161"/>
      <c r="BP2355" s="161"/>
    </row>
    <row r="2356" spans="1:68" ht="38.25">
      <c r="A2356" s="206" t="s">
        <v>10598</v>
      </c>
      <c r="B2356" s="195" t="s">
        <v>10599</v>
      </c>
      <c r="C2356" s="196" t="s">
        <v>10600</v>
      </c>
      <c r="D2356" s="146" t="s">
        <v>4692</v>
      </c>
      <c r="E2356" s="196" t="s">
        <v>10600</v>
      </c>
      <c r="F2356" s="150">
        <v>0</v>
      </c>
      <c r="G2356" s="209">
        <v>0</v>
      </c>
      <c r="H2356" s="209"/>
      <c r="I2356" s="209">
        <v>0</v>
      </c>
      <c r="J2356" s="150">
        <v>0</v>
      </c>
      <c r="K2356" s="150">
        <v>0</v>
      </c>
      <c r="L2356" s="150">
        <f t="shared" si="2089"/>
        <v>0</v>
      </c>
      <c r="M2356" s="150">
        <v>0</v>
      </c>
      <c r="N2356" s="150"/>
      <c r="O2356" s="150">
        <v>0</v>
      </c>
      <c r="P2356" s="150">
        <v>0</v>
      </c>
      <c r="Q2356" s="150">
        <v>0</v>
      </c>
      <c r="R2356" s="150">
        <f t="shared" si="2107"/>
        <v>0</v>
      </c>
      <c r="S2356" s="150">
        <f t="shared" si="2108"/>
        <v>0</v>
      </c>
      <c r="T2356" s="150"/>
      <c r="U2356" s="150">
        <v>0</v>
      </c>
      <c r="V2356" s="199"/>
      <c r="W2356" s="150">
        <f t="shared" si="2103"/>
        <v>0</v>
      </c>
      <c r="X2356" s="150">
        <v>0</v>
      </c>
      <c r="Y2356" s="150"/>
      <c r="Z2356" s="150">
        <v>0</v>
      </c>
      <c r="AA2356" s="150">
        <f t="shared" si="2085"/>
        <v>0</v>
      </c>
      <c r="AB2356" s="150">
        <v>0</v>
      </c>
      <c r="AC2356" s="199"/>
      <c r="AD2356" s="150">
        <f t="shared" si="2104"/>
        <v>0</v>
      </c>
      <c r="AE2356" s="150">
        <v>0</v>
      </c>
      <c r="AF2356" s="169" t="s">
        <v>4680</v>
      </c>
      <c r="AG2356" s="201">
        <v>0</v>
      </c>
      <c r="AH2356" s="199"/>
      <c r="AI2356" s="150">
        <v>0</v>
      </c>
      <c r="AJ2356" s="169">
        <f t="shared" si="2086"/>
        <v>0</v>
      </c>
      <c r="AK2356" s="201">
        <v>0</v>
      </c>
      <c r="AL2356" s="199"/>
      <c r="AM2356" s="150">
        <f t="shared" si="2105"/>
        <v>0</v>
      </c>
      <c r="AN2356" s="153">
        <f t="shared" si="2087"/>
        <v>0</v>
      </c>
      <c r="AO2356" s="154">
        <f t="shared" si="2088"/>
        <v>0</v>
      </c>
      <c r="AP2356" s="150">
        <v>0</v>
      </c>
      <c r="AQ2356" s="201">
        <v>0</v>
      </c>
      <c r="AR2356" s="199"/>
      <c r="AS2356" s="150">
        <f t="shared" si="2106"/>
        <v>0</v>
      </c>
      <c r="AT2356" s="155"/>
      <c r="AU2356" s="156">
        <f t="shared" si="2083"/>
        <v>0</v>
      </c>
      <c r="AV2356" s="156">
        <f t="shared" si="2084"/>
        <v>0</v>
      </c>
      <c r="AW2356" s="157"/>
      <c r="AX2356" s="150">
        <v>0</v>
      </c>
      <c r="AY2356" s="150">
        <v>0</v>
      </c>
      <c r="AZ2356" s="150"/>
      <c r="BA2356" s="150">
        <f t="shared" si="2090"/>
        <v>0</v>
      </c>
      <c r="BB2356" s="202">
        <v>8</v>
      </c>
      <c r="BC2356" s="202" t="s">
        <v>632</v>
      </c>
      <c r="BD2356" s="202" t="s">
        <v>647</v>
      </c>
      <c r="BE2356" s="202" t="s">
        <v>647</v>
      </c>
      <c r="BF2356" s="202" t="s">
        <v>647</v>
      </c>
      <c r="BG2356" s="203" t="s">
        <v>10601</v>
      </c>
      <c r="BH2356" s="216">
        <f>AS2356</f>
        <v>0</v>
      </c>
      <c r="BI2356" s="206" t="s">
        <v>1349</v>
      </c>
      <c r="BJ2356" s="206" t="s">
        <v>10602</v>
      </c>
      <c r="BK2356" s="206" t="s">
        <v>10598</v>
      </c>
      <c r="BL2356" s="207" t="s">
        <v>10603</v>
      </c>
      <c r="BM2356" s="208">
        <f>BH2356</f>
        <v>0</v>
      </c>
      <c r="BN2356" s="160"/>
      <c r="BO2356" s="161">
        <f t="shared" ref="BO2356:BO2368" si="2109">BM2356-AS2356</f>
        <v>0</v>
      </c>
      <c r="BP2356" s="161"/>
    </row>
    <row r="2357" spans="1:68" ht="25.5">
      <c r="A2357" s="206" t="s">
        <v>10604</v>
      </c>
      <c r="B2357" s="195" t="s">
        <v>10605</v>
      </c>
      <c r="C2357" s="196" t="s">
        <v>10606</v>
      </c>
      <c r="D2357" s="146" t="s">
        <v>4692</v>
      </c>
      <c r="E2357" s="196" t="s">
        <v>10606</v>
      </c>
      <c r="F2357" s="150">
        <v>0</v>
      </c>
      <c r="G2357" s="209">
        <v>0</v>
      </c>
      <c r="H2357" s="209"/>
      <c r="I2357" s="209">
        <v>0</v>
      </c>
      <c r="J2357" s="150">
        <v>0</v>
      </c>
      <c r="K2357" s="150">
        <v>0</v>
      </c>
      <c r="L2357" s="150">
        <f t="shared" si="2089"/>
        <v>0</v>
      </c>
      <c r="M2357" s="150">
        <v>0</v>
      </c>
      <c r="N2357" s="150"/>
      <c r="O2357" s="150">
        <v>0</v>
      </c>
      <c r="P2357" s="150">
        <v>0</v>
      </c>
      <c r="Q2357" s="150">
        <v>0</v>
      </c>
      <c r="R2357" s="150">
        <f t="shared" si="2107"/>
        <v>0</v>
      </c>
      <c r="S2357" s="150">
        <f t="shared" si="2108"/>
        <v>0</v>
      </c>
      <c r="T2357" s="150"/>
      <c r="U2357" s="150">
        <v>0</v>
      </c>
      <c r="V2357" s="199"/>
      <c r="W2357" s="150">
        <f t="shared" si="2103"/>
        <v>0</v>
      </c>
      <c r="X2357" s="150">
        <v>0</v>
      </c>
      <c r="Y2357" s="150"/>
      <c r="Z2357" s="150">
        <v>0</v>
      </c>
      <c r="AA2357" s="150">
        <f t="shared" si="2085"/>
        <v>0</v>
      </c>
      <c r="AB2357" s="150">
        <v>0</v>
      </c>
      <c r="AC2357" s="199"/>
      <c r="AD2357" s="150">
        <f t="shared" si="2104"/>
        <v>0</v>
      </c>
      <c r="AE2357" s="150">
        <v>0</v>
      </c>
      <c r="AF2357" s="169" t="s">
        <v>4680</v>
      </c>
      <c r="AG2357" s="201">
        <v>0</v>
      </c>
      <c r="AH2357" s="199"/>
      <c r="AI2357" s="150">
        <v>0</v>
      </c>
      <c r="AJ2357" s="169">
        <f t="shared" si="2086"/>
        <v>0</v>
      </c>
      <c r="AK2357" s="201">
        <v>0</v>
      </c>
      <c r="AL2357" s="199"/>
      <c r="AM2357" s="150">
        <f t="shared" si="2105"/>
        <v>0</v>
      </c>
      <c r="AN2357" s="153">
        <f t="shared" si="2087"/>
        <v>0</v>
      </c>
      <c r="AO2357" s="154">
        <f t="shared" si="2088"/>
        <v>0</v>
      </c>
      <c r="AP2357" s="150">
        <v>0</v>
      </c>
      <c r="AQ2357" s="201">
        <v>0</v>
      </c>
      <c r="AR2357" s="199"/>
      <c r="AS2357" s="150">
        <f t="shared" si="2106"/>
        <v>0</v>
      </c>
      <c r="AT2357" s="155"/>
      <c r="AU2357" s="156">
        <f t="shared" si="2083"/>
        <v>0</v>
      </c>
      <c r="AV2357" s="156">
        <f t="shared" si="2084"/>
        <v>0</v>
      </c>
      <c r="AW2357" s="157"/>
      <c r="AX2357" s="150">
        <v>0</v>
      </c>
      <c r="AY2357" s="150">
        <v>0</v>
      </c>
      <c r="AZ2357" s="150"/>
      <c r="BA2357" s="150">
        <f t="shared" si="2090"/>
        <v>0</v>
      </c>
      <c r="BB2357" s="202">
        <v>8</v>
      </c>
      <c r="BC2357" s="202" t="s">
        <v>632</v>
      </c>
      <c r="BD2357" s="202" t="s">
        <v>647</v>
      </c>
      <c r="BE2357" s="202" t="s">
        <v>647</v>
      </c>
      <c r="BF2357" s="202" t="s">
        <v>671</v>
      </c>
      <c r="BG2357" s="203" t="s">
        <v>10607</v>
      </c>
      <c r="BH2357" s="216">
        <f>SUM(AS2357:AS2362)</f>
        <v>0</v>
      </c>
      <c r="BI2357" s="205"/>
      <c r="BJ2357" s="206" t="s">
        <v>10608</v>
      </c>
      <c r="BK2357" s="206" t="s">
        <v>10604</v>
      </c>
      <c r="BL2357" s="207" t="s">
        <v>10609</v>
      </c>
      <c r="BM2357" s="208">
        <f>BH2357</f>
        <v>0</v>
      </c>
      <c r="BN2357" s="160"/>
      <c r="BO2357" s="161">
        <f t="shared" si="2109"/>
        <v>0</v>
      </c>
      <c r="BP2357" s="161"/>
    </row>
    <row r="2358" spans="1:68" ht="25.5">
      <c r="A2358" s="210"/>
      <c r="B2358" s="195" t="s">
        <v>10610</v>
      </c>
      <c r="C2358" s="196" t="s">
        <v>10611</v>
      </c>
      <c r="D2358" s="146" t="s">
        <v>4692</v>
      </c>
      <c r="E2358" s="196" t="s">
        <v>10611</v>
      </c>
      <c r="F2358" s="150">
        <v>0</v>
      </c>
      <c r="G2358" s="209">
        <v>0</v>
      </c>
      <c r="H2358" s="209"/>
      <c r="I2358" s="209">
        <v>0</v>
      </c>
      <c r="J2358" s="150">
        <v>0</v>
      </c>
      <c r="K2358" s="150">
        <v>0</v>
      </c>
      <c r="L2358" s="150">
        <f t="shared" si="2089"/>
        <v>0</v>
      </c>
      <c r="M2358" s="150">
        <v>0</v>
      </c>
      <c r="N2358" s="150"/>
      <c r="O2358" s="150">
        <v>0</v>
      </c>
      <c r="P2358" s="150">
        <v>0</v>
      </c>
      <c r="Q2358" s="150">
        <v>0</v>
      </c>
      <c r="R2358" s="150">
        <f t="shared" si="2107"/>
        <v>0</v>
      </c>
      <c r="S2358" s="150">
        <f t="shared" si="2108"/>
        <v>0</v>
      </c>
      <c r="T2358" s="150"/>
      <c r="U2358" s="150">
        <v>0</v>
      </c>
      <c r="V2358" s="199"/>
      <c r="W2358" s="150">
        <f t="shared" si="2103"/>
        <v>0</v>
      </c>
      <c r="X2358" s="150">
        <v>0</v>
      </c>
      <c r="Y2358" s="150"/>
      <c r="Z2358" s="150">
        <v>0</v>
      </c>
      <c r="AA2358" s="150">
        <f t="shared" si="2085"/>
        <v>0</v>
      </c>
      <c r="AB2358" s="150">
        <v>0</v>
      </c>
      <c r="AC2358" s="199"/>
      <c r="AD2358" s="150">
        <f t="shared" si="2104"/>
        <v>0</v>
      </c>
      <c r="AE2358" s="150">
        <v>0</v>
      </c>
      <c r="AF2358" s="169" t="s">
        <v>4680</v>
      </c>
      <c r="AG2358" s="201">
        <v>0</v>
      </c>
      <c r="AH2358" s="199"/>
      <c r="AI2358" s="150">
        <v>0</v>
      </c>
      <c r="AJ2358" s="169">
        <f t="shared" si="2086"/>
        <v>0</v>
      </c>
      <c r="AK2358" s="201">
        <v>0</v>
      </c>
      <c r="AL2358" s="199"/>
      <c r="AM2358" s="150">
        <f t="shared" si="2105"/>
        <v>0</v>
      </c>
      <c r="AN2358" s="153">
        <f t="shared" si="2087"/>
        <v>0</v>
      </c>
      <c r="AO2358" s="154">
        <f t="shared" si="2088"/>
        <v>0</v>
      </c>
      <c r="AP2358" s="150">
        <v>0</v>
      </c>
      <c r="AQ2358" s="201">
        <v>0</v>
      </c>
      <c r="AR2358" s="199"/>
      <c r="AS2358" s="150">
        <f t="shared" si="2106"/>
        <v>0</v>
      </c>
      <c r="AT2358" s="155"/>
      <c r="AU2358" s="156">
        <f t="shared" si="2083"/>
        <v>0</v>
      </c>
      <c r="AV2358" s="156">
        <f t="shared" si="2084"/>
        <v>0</v>
      </c>
      <c r="AW2358" s="157"/>
      <c r="AX2358" s="150">
        <v>0</v>
      </c>
      <c r="AY2358" s="150">
        <v>0</v>
      </c>
      <c r="AZ2358" s="150"/>
      <c r="BA2358" s="150">
        <f t="shared" si="2090"/>
        <v>0</v>
      </c>
      <c r="BB2358" s="210"/>
      <c r="BC2358" s="210"/>
      <c r="BD2358" s="210"/>
      <c r="BE2358" s="210"/>
      <c r="BF2358" s="210"/>
      <c r="BG2358" s="210"/>
      <c r="BH2358" s="217"/>
      <c r="BI2358" s="210"/>
      <c r="BJ2358" s="210"/>
      <c r="BK2358" s="210"/>
      <c r="BL2358" s="210"/>
      <c r="BM2358" s="208"/>
      <c r="BN2358" s="160"/>
      <c r="BO2358" s="161">
        <f t="shared" si="2109"/>
        <v>0</v>
      </c>
      <c r="BP2358" s="161"/>
    </row>
    <row r="2359" spans="1:68" ht="25.5">
      <c r="A2359" s="210"/>
      <c r="B2359" s="195" t="s">
        <v>10612</v>
      </c>
      <c r="C2359" s="196" t="s">
        <v>10613</v>
      </c>
      <c r="D2359" s="146" t="s">
        <v>4692</v>
      </c>
      <c r="E2359" s="196" t="s">
        <v>10613</v>
      </c>
      <c r="F2359" s="150">
        <v>0</v>
      </c>
      <c r="G2359" s="209">
        <v>640.35</v>
      </c>
      <c r="H2359" s="209"/>
      <c r="I2359" s="209">
        <v>640.35</v>
      </c>
      <c r="J2359" s="150">
        <v>0</v>
      </c>
      <c r="K2359" s="150">
        <v>0</v>
      </c>
      <c r="L2359" s="150">
        <f t="shared" si="2089"/>
        <v>0</v>
      </c>
      <c r="M2359" s="150">
        <v>0</v>
      </c>
      <c r="N2359" s="150"/>
      <c r="O2359" s="150">
        <v>0</v>
      </c>
      <c r="P2359" s="150">
        <v>0</v>
      </c>
      <c r="Q2359" s="150">
        <v>0</v>
      </c>
      <c r="R2359" s="150">
        <f t="shared" si="2107"/>
        <v>0</v>
      </c>
      <c r="S2359" s="150">
        <f t="shared" si="2108"/>
        <v>0</v>
      </c>
      <c r="T2359" s="150"/>
      <c r="U2359" s="150">
        <v>0</v>
      </c>
      <c r="V2359" s="199"/>
      <c r="W2359" s="150">
        <f t="shared" si="2103"/>
        <v>0</v>
      </c>
      <c r="X2359" s="150">
        <v>0</v>
      </c>
      <c r="Y2359" s="150"/>
      <c r="Z2359" s="150">
        <v>0</v>
      </c>
      <c r="AA2359" s="150">
        <f t="shared" si="2085"/>
        <v>0</v>
      </c>
      <c r="AB2359" s="150">
        <v>0</v>
      </c>
      <c r="AC2359" s="199"/>
      <c r="AD2359" s="150">
        <f t="shared" si="2104"/>
        <v>0</v>
      </c>
      <c r="AE2359" s="150">
        <v>0</v>
      </c>
      <c r="AF2359" s="169" t="s">
        <v>4680</v>
      </c>
      <c r="AG2359" s="201">
        <v>0</v>
      </c>
      <c r="AH2359" s="199"/>
      <c r="AI2359" s="150">
        <v>0</v>
      </c>
      <c r="AJ2359" s="169">
        <f t="shared" si="2086"/>
        <v>0</v>
      </c>
      <c r="AK2359" s="201">
        <v>0</v>
      </c>
      <c r="AL2359" s="199"/>
      <c r="AM2359" s="150">
        <f t="shared" si="2105"/>
        <v>0</v>
      </c>
      <c r="AN2359" s="153">
        <f t="shared" si="2087"/>
        <v>0</v>
      </c>
      <c r="AO2359" s="154">
        <f t="shared" si="2088"/>
        <v>0</v>
      </c>
      <c r="AP2359" s="150">
        <v>0</v>
      </c>
      <c r="AQ2359" s="201">
        <v>0</v>
      </c>
      <c r="AR2359" s="199"/>
      <c r="AS2359" s="150">
        <f t="shared" si="2106"/>
        <v>0</v>
      </c>
      <c r="AT2359" s="155"/>
      <c r="AU2359" s="156">
        <f t="shared" si="2083"/>
        <v>0</v>
      </c>
      <c r="AV2359" s="156">
        <f t="shared" si="2084"/>
        <v>0</v>
      </c>
      <c r="AW2359" s="157"/>
      <c r="AX2359" s="150">
        <v>0</v>
      </c>
      <c r="AY2359" s="150">
        <v>0</v>
      </c>
      <c r="AZ2359" s="150"/>
      <c r="BA2359" s="150">
        <f t="shared" si="2090"/>
        <v>0</v>
      </c>
      <c r="BB2359" s="210"/>
      <c r="BC2359" s="210"/>
      <c r="BD2359" s="210"/>
      <c r="BE2359" s="210"/>
      <c r="BF2359" s="210"/>
      <c r="BG2359" s="210"/>
      <c r="BH2359" s="217"/>
      <c r="BI2359" s="210"/>
      <c r="BJ2359" s="210"/>
      <c r="BK2359" s="210"/>
      <c r="BL2359" s="210"/>
      <c r="BM2359" s="208"/>
      <c r="BN2359" s="160"/>
      <c r="BO2359" s="161">
        <f t="shared" si="2109"/>
        <v>0</v>
      </c>
      <c r="BP2359" s="161"/>
    </row>
    <row r="2360" spans="1:68" ht="25.5">
      <c r="A2360" s="210"/>
      <c r="B2360" s="195" t="s">
        <v>10614</v>
      </c>
      <c r="C2360" s="196" t="s">
        <v>10615</v>
      </c>
      <c r="D2360" s="146" t="s">
        <v>4692</v>
      </c>
      <c r="E2360" s="196" t="s">
        <v>10615</v>
      </c>
      <c r="F2360" s="150">
        <v>640.35</v>
      </c>
      <c r="G2360" s="209">
        <v>91.58</v>
      </c>
      <c r="H2360" s="209"/>
      <c r="I2360" s="209">
        <v>91.58</v>
      </c>
      <c r="J2360" s="150">
        <v>0</v>
      </c>
      <c r="K2360" s="150">
        <v>0</v>
      </c>
      <c r="L2360" s="150">
        <f t="shared" si="2089"/>
        <v>0</v>
      </c>
      <c r="M2360" s="150">
        <v>0</v>
      </c>
      <c r="N2360" s="150"/>
      <c r="O2360" s="150">
        <v>0</v>
      </c>
      <c r="P2360" s="150">
        <v>0</v>
      </c>
      <c r="Q2360" s="150">
        <v>0</v>
      </c>
      <c r="R2360" s="150">
        <f t="shared" si="2107"/>
        <v>0</v>
      </c>
      <c r="S2360" s="150">
        <f t="shared" si="2108"/>
        <v>0</v>
      </c>
      <c r="T2360" s="150"/>
      <c r="U2360" s="150">
        <v>0</v>
      </c>
      <c r="V2360" s="199"/>
      <c r="W2360" s="150">
        <f t="shared" si="2103"/>
        <v>0</v>
      </c>
      <c r="X2360" s="150">
        <v>0</v>
      </c>
      <c r="Y2360" s="150"/>
      <c r="Z2360" s="150">
        <v>0</v>
      </c>
      <c r="AA2360" s="150">
        <f t="shared" si="2085"/>
        <v>0</v>
      </c>
      <c r="AB2360" s="150">
        <v>0</v>
      </c>
      <c r="AC2360" s="199"/>
      <c r="AD2360" s="150">
        <f t="shared" si="2104"/>
        <v>0</v>
      </c>
      <c r="AE2360" s="150">
        <v>0</v>
      </c>
      <c r="AF2360" s="169" t="s">
        <v>4680</v>
      </c>
      <c r="AG2360" s="201">
        <v>0</v>
      </c>
      <c r="AH2360" s="199"/>
      <c r="AI2360" s="150">
        <v>0</v>
      </c>
      <c r="AJ2360" s="169">
        <f t="shared" si="2086"/>
        <v>0</v>
      </c>
      <c r="AK2360" s="201">
        <v>0</v>
      </c>
      <c r="AL2360" s="199"/>
      <c r="AM2360" s="150">
        <f t="shared" si="2105"/>
        <v>0</v>
      </c>
      <c r="AN2360" s="153">
        <f t="shared" si="2087"/>
        <v>0</v>
      </c>
      <c r="AO2360" s="154">
        <f t="shared" si="2088"/>
        <v>0</v>
      </c>
      <c r="AP2360" s="150">
        <v>0</v>
      </c>
      <c r="AQ2360" s="201">
        <v>0</v>
      </c>
      <c r="AR2360" s="199"/>
      <c r="AS2360" s="150">
        <f t="shared" si="2106"/>
        <v>0</v>
      </c>
      <c r="AT2360" s="155"/>
      <c r="AU2360" s="156">
        <f t="shared" si="2083"/>
        <v>0</v>
      </c>
      <c r="AV2360" s="156">
        <f t="shared" si="2084"/>
        <v>0</v>
      </c>
      <c r="AW2360" s="157"/>
      <c r="AX2360" s="150">
        <v>0</v>
      </c>
      <c r="AY2360" s="150">
        <v>0</v>
      </c>
      <c r="AZ2360" s="150"/>
      <c r="BA2360" s="150">
        <f t="shared" si="2090"/>
        <v>0</v>
      </c>
      <c r="BB2360" s="210"/>
      <c r="BC2360" s="210"/>
      <c r="BD2360" s="210"/>
      <c r="BE2360" s="210"/>
      <c r="BF2360" s="210"/>
      <c r="BG2360" s="210"/>
      <c r="BH2360" s="217"/>
      <c r="BI2360" s="210"/>
      <c r="BJ2360" s="210"/>
      <c r="BK2360" s="210"/>
      <c r="BL2360" s="210"/>
      <c r="BM2360" s="208"/>
      <c r="BN2360" s="160"/>
      <c r="BO2360" s="161">
        <f t="shared" si="2109"/>
        <v>0</v>
      </c>
      <c r="BP2360" s="161"/>
    </row>
    <row r="2361" spans="1:68" ht="25.5">
      <c r="A2361" s="210"/>
      <c r="B2361" s="195" t="s">
        <v>10616</v>
      </c>
      <c r="C2361" s="196" t="s">
        <v>10617</v>
      </c>
      <c r="D2361" s="146" t="s">
        <v>4692</v>
      </c>
      <c r="E2361" s="196" t="s">
        <v>10617</v>
      </c>
      <c r="F2361" s="150">
        <v>91.58</v>
      </c>
      <c r="G2361" s="209">
        <v>480.72</v>
      </c>
      <c r="H2361" s="209"/>
      <c r="I2361" s="209">
        <v>480.72</v>
      </c>
      <c r="J2361" s="150">
        <v>0</v>
      </c>
      <c r="K2361" s="150">
        <v>0</v>
      </c>
      <c r="L2361" s="150">
        <f t="shared" si="2089"/>
        <v>0</v>
      </c>
      <c r="M2361" s="150">
        <v>0</v>
      </c>
      <c r="N2361" s="150"/>
      <c r="O2361" s="150">
        <v>0</v>
      </c>
      <c r="P2361" s="150">
        <v>0</v>
      </c>
      <c r="Q2361" s="150">
        <v>0</v>
      </c>
      <c r="R2361" s="150">
        <f t="shared" si="2107"/>
        <v>0</v>
      </c>
      <c r="S2361" s="150">
        <f t="shared" si="2108"/>
        <v>0</v>
      </c>
      <c r="T2361" s="150"/>
      <c r="U2361" s="150">
        <v>0</v>
      </c>
      <c r="V2361" s="199"/>
      <c r="W2361" s="150">
        <f t="shared" si="2103"/>
        <v>0</v>
      </c>
      <c r="X2361" s="150">
        <v>0</v>
      </c>
      <c r="Y2361" s="150"/>
      <c r="Z2361" s="150">
        <v>0</v>
      </c>
      <c r="AA2361" s="150">
        <f t="shared" si="2085"/>
        <v>0</v>
      </c>
      <c r="AB2361" s="150">
        <v>0</v>
      </c>
      <c r="AC2361" s="199"/>
      <c r="AD2361" s="150">
        <f t="shared" si="2104"/>
        <v>0</v>
      </c>
      <c r="AE2361" s="150">
        <v>0</v>
      </c>
      <c r="AF2361" s="169" t="s">
        <v>4680</v>
      </c>
      <c r="AG2361" s="201">
        <v>0</v>
      </c>
      <c r="AH2361" s="199"/>
      <c r="AI2361" s="150">
        <v>0</v>
      </c>
      <c r="AJ2361" s="169">
        <f t="shared" si="2086"/>
        <v>0</v>
      </c>
      <c r="AK2361" s="201">
        <v>0</v>
      </c>
      <c r="AL2361" s="199"/>
      <c r="AM2361" s="150">
        <f t="shared" si="2105"/>
        <v>0</v>
      </c>
      <c r="AN2361" s="153">
        <f t="shared" si="2087"/>
        <v>0</v>
      </c>
      <c r="AO2361" s="154">
        <f t="shared" si="2088"/>
        <v>0</v>
      </c>
      <c r="AP2361" s="150">
        <v>0</v>
      </c>
      <c r="AQ2361" s="201">
        <v>0</v>
      </c>
      <c r="AR2361" s="199"/>
      <c r="AS2361" s="150">
        <f t="shared" si="2106"/>
        <v>0</v>
      </c>
      <c r="AT2361" s="155"/>
      <c r="AU2361" s="156">
        <f t="shared" si="2083"/>
        <v>0</v>
      </c>
      <c r="AV2361" s="156">
        <f t="shared" si="2084"/>
        <v>0</v>
      </c>
      <c r="AW2361" s="157"/>
      <c r="AX2361" s="150">
        <v>0</v>
      </c>
      <c r="AY2361" s="150">
        <v>0</v>
      </c>
      <c r="AZ2361" s="150"/>
      <c r="BA2361" s="150">
        <f t="shared" si="2090"/>
        <v>0</v>
      </c>
      <c r="BB2361" s="210"/>
      <c r="BC2361" s="210"/>
      <c r="BD2361" s="210"/>
      <c r="BE2361" s="210"/>
      <c r="BF2361" s="210"/>
      <c r="BG2361" s="210"/>
      <c r="BH2361" s="217"/>
      <c r="BI2361" s="210"/>
      <c r="BJ2361" s="210"/>
      <c r="BK2361" s="210"/>
      <c r="BL2361" s="210"/>
      <c r="BM2361" s="208"/>
      <c r="BN2361" s="160"/>
      <c r="BO2361" s="161">
        <f t="shared" si="2109"/>
        <v>0</v>
      </c>
      <c r="BP2361" s="161"/>
    </row>
    <row r="2362" spans="1:68" ht="25.5">
      <c r="A2362" s="210"/>
      <c r="B2362" s="195" t="s">
        <v>10618</v>
      </c>
      <c r="C2362" s="196" t="s">
        <v>10619</v>
      </c>
      <c r="D2362" s="146" t="s">
        <v>4692</v>
      </c>
      <c r="E2362" s="196" t="s">
        <v>10619</v>
      </c>
      <c r="F2362" s="150">
        <v>480.72</v>
      </c>
      <c r="G2362" s="209">
        <v>0</v>
      </c>
      <c r="H2362" s="209"/>
      <c r="I2362" s="209">
        <v>0</v>
      </c>
      <c r="J2362" s="150">
        <v>0</v>
      </c>
      <c r="K2362" s="150">
        <v>0</v>
      </c>
      <c r="L2362" s="150">
        <f t="shared" si="2089"/>
        <v>0</v>
      </c>
      <c r="M2362" s="150">
        <v>0</v>
      </c>
      <c r="N2362" s="150"/>
      <c r="O2362" s="150">
        <v>0</v>
      </c>
      <c r="P2362" s="150">
        <v>0</v>
      </c>
      <c r="Q2362" s="150">
        <v>0</v>
      </c>
      <c r="R2362" s="150">
        <f t="shared" si="2107"/>
        <v>0</v>
      </c>
      <c r="S2362" s="150">
        <f t="shared" si="2108"/>
        <v>0</v>
      </c>
      <c r="T2362" s="150"/>
      <c r="U2362" s="150">
        <v>0</v>
      </c>
      <c r="V2362" s="199"/>
      <c r="W2362" s="150">
        <f t="shared" si="2103"/>
        <v>0</v>
      </c>
      <c r="X2362" s="150">
        <v>0</v>
      </c>
      <c r="Y2362" s="150"/>
      <c r="Z2362" s="150">
        <v>0</v>
      </c>
      <c r="AA2362" s="150">
        <f t="shared" si="2085"/>
        <v>0</v>
      </c>
      <c r="AB2362" s="150">
        <v>0</v>
      </c>
      <c r="AC2362" s="199"/>
      <c r="AD2362" s="150">
        <f t="shared" si="2104"/>
        <v>0</v>
      </c>
      <c r="AE2362" s="150">
        <v>0</v>
      </c>
      <c r="AF2362" s="169" t="s">
        <v>4680</v>
      </c>
      <c r="AG2362" s="201">
        <v>0</v>
      </c>
      <c r="AH2362" s="199"/>
      <c r="AI2362" s="150">
        <v>0</v>
      </c>
      <c r="AJ2362" s="169">
        <f t="shared" si="2086"/>
        <v>0</v>
      </c>
      <c r="AK2362" s="201">
        <v>0</v>
      </c>
      <c r="AL2362" s="199"/>
      <c r="AM2362" s="150">
        <f t="shared" si="2105"/>
        <v>0</v>
      </c>
      <c r="AN2362" s="153">
        <f t="shared" si="2087"/>
        <v>0</v>
      </c>
      <c r="AO2362" s="154">
        <f t="shared" si="2088"/>
        <v>0</v>
      </c>
      <c r="AP2362" s="150">
        <v>0</v>
      </c>
      <c r="AQ2362" s="201">
        <v>0</v>
      </c>
      <c r="AR2362" s="199"/>
      <c r="AS2362" s="150">
        <f t="shared" si="2106"/>
        <v>0</v>
      </c>
      <c r="AT2362" s="155"/>
      <c r="AU2362" s="156">
        <f t="shared" si="2083"/>
        <v>0</v>
      </c>
      <c r="AV2362" s="156">
        <f t="shared" si="2084"/>
        <v>0</v>
      </c>
      <c r="AW2362" s="157"/>
      <c r="AX2362" s="150">
        <v>0</v>
      </c>
      <c r="AY2362" s="150">
        <v>0</v>
      </c>
      <c r="AZ2362" s="150"/>
      <c r="BA2362" s="150">
        <f t="shared" si="2090"/>
        <v>0</v>
      </c>
      <c r="BB2362" s="210"/>
      <c r="BC2362" s="210"/>
      <c r="BD2362" s="210"/>
      <c r="BE2362" s="210"/>
      <c r="BF2362" s="210"/>
      <c r="BG2362" s="210"/>
      <c r="BH2362" s="217"/>
      <c r="BI2362" s="210"/>
      <c r="BJ2362" s="210"/>
      <c r="BK2362" s="210"/>
      <c r="BL2362" s="210"/>
      <c r="BM2362" s="208"/>
      <c r="BN2362" s="160"/>
      <c r="BO2362" s="161">
        <f t="shared" si="2109"/>
        <v>0</v>
      </c>
      <c r="BP2362" s="161"/>
    </row>
    <row r="2363" spans="1:68" ht="38.25">
      <c r="A2363" s="206" t="s">
        <v>10620</v>
      </c>
      <c r="B2363" s="195" t="s">
        <v>10621</v>
      </c>
      <c r="C2363" s="196" t="s">
        <v>10622</v>
      </c>
      <c r="D2363" s="146" t="s">
        <v>4692</v>
      </c>
      <c r="E2363" s="196" t="s">
        <v>10622</v>
      </c>
      <c r="F2363" s="150">
        <v>0</v>
      </c>
      <c r="G2363" s="209">
        <v>0</v>
      </c>
      <c r="H2363" s="209"/>
      <c r="I2363" s="209">
        <v>0</v>
      </c>
      <c r="J2363" s="150">
        <v>0</v>
      </c>
      <c r="K2363" s="150">
        <v>0</v>
      </c>
      <c r="L2363" s="150">
        <f t="shared" si="2089"/>
        <v>0</v>
      </c>
      <c r="M2363" s="150">
        <v>0</v>
      </c>
      <c r="N2363" s="150"/>
      <c r="O2363" s="150">
        <v>0</v>
      </c>
      <c r="P2363" s="150">
        <v>0</v>
      </c>
      <c r="Q2363" s="150">
        <v>0</v>
      </c>
      <c r="R2363" s="150">
        <f t="shared" si="2107"/>
        <v>0</v>
      </c>
      <c r="S2363" s="150">
        <f t="shared" si="2108"/>
        <v>0</v>
      </c>
      <c r="T2363" s="150"/>
      <c r="U2363" s="150">
        <v>0</v>
      </c>
      <c r="V2363" s="199"/>
      <c r="W2363" s="150">
        <f t="shared" si="2103"/>
        <v>0</v>
      </c>
      <c r="X2363" s="150">
        <v>0</v>
      </c>
      <c r="Y2363" s="150"/>
      <c r="Z2363" s="150">
        <v>0</v>
      </c>
      <c r="AA2363" s="150">
        <f t="shared" si="2085"/>
        <v>0</v>
      </c>
      <c r="AB2363" s="150">
        <v>0</v>
      </c>
      <c r="AC2363" s="199"/>
      <c r="AD2363" s="150">
        <f t="shared" si="2104"/>
        <v>0</v>
      </c>
      <c r="AE2363" s="150">
        <v>0</v>
      </c>
      <c r="AF2363" s="169" t="s">
        <v>4680</v>
      </c>
      <c r="AG2363" s="201">
        <v>0</v>
      </c>
      <c r="AH2363" s="199"/>
      <c r="AI2363" s="150">
        <v>0</v>
      </c>
      <c r="AJ2363" s="169">
        <f t="shared" si="2086"/>
        <v>0</v>
      </c>
      <c r="AK2363" s="201">
        <v>0</v>
      </c>
      <c r="AL2363" s="199"/>
      <c r="AM2363" s="150">
        <f t="shared" si="2105"/>
        <v>0</v>
      </c>
      <c r="AN2363" s="153">
        <f t="shared" si="2087"/>
        <v>0</v>
      </c>
      <c r="AO2363" s="154">
        <f t="shared" si="2088"/>
        <v>0</v>
      </c>
      <c r="AP2363" s="150">
        <v>0</v>
      </c>
      <c r="AQ2363" s="201">
        <v>0</v>
      </c>
      <c r="AR2363" s="199"/>
      <c r="AS2363" s="150">
        <f t="shared" si="2106"/>
        <v>0</v>
      </c>
      <c r="AT2363" s="155"/>
      <c r="AU2363" s="156">
        <f t="shared" si="2083"/>
        <v>0</v>
      </c>
      <c r="AV2363" s="156">
        <f t="shared" si="2084"/>
        <v>0</v>
      </c>
      <c r="AW2363" s="157"/>
      <c r="AX2363" s="150">
        <v>0</v>
      </c>
      <c r="AY2363" s="150">
        <v>0</v>
      </c>
      <c r="AZ2363" s="150"/>
      <c r="BA2363" s="150">
        <f t="shared" si="2090"/>
        <v>0</v>
      </c>
      <c r="BB2363" s="202">
        <v>8</v>
      </c>
      <c r="BC2363" s="202" t="s">
        <v>632</v>
      </c>
      <c r="BD2363" s="202" t="s">
        <v>647</v>
      </c>
      <c r="BE2363" s="202" t="s">
        <v>647</v>
      </c>
      <c r="BF2363" s="202" t="s">
        <v>693</v>
      </c>
      <c r="BG2363" s="203" t="s">
        <v>10623</v>
      </c>
      <c r="BH2363" s="216">
        <f>AS2363</f>
        <v>0</v>
      </c>
      <c r="BI2363" s="205"/>
      <c r="BJ2363" s="206" t="s">
        <v>10624</v>
      </c>
      <c r="BK2363" s="206" t="s">
        <v>10620</v>
      </c>
      <c r="BL2363" s="207" t="s">
        <v>10625</v>
      </c>
      <c r="BM2363" s="208">
        <f>BH2363</f>
        <v>0</v>
      </c>
      <c r="BN2363" s="160"/>
      <c r="BO2363" s="161">
        <f t="shared" si="2109"/>
        <v>0</v>
      </c>
      <c r="BP2363" s="161"/>
    </row>
    <row r="2364" spans="1:68" ht="38.25">
      <c r="A2364" s="206" t="s">
        <v>10626</v>
      </c>
      <c r="B2364" s="195" t="s">
        <v>10627</v>
      </c>
      <c r="C2364" s="196" t="s">
        <v>10628</v>
      </c>
      <c r="D2364" s="146" t="s">
        <v>4692</v>
      </c>
      <c r="E2364" s="196" t="s">
        <v>10628</v>
      </c>
      <c r="F2364" s="150">
        <v>0</v>
      </c>
      <c r="G2364" s="209">
        <v>0</v>
      </c>
      <c r="H2364" s="209"/>
      <c r="I2364" s="209">
        <v>0</v>
      </c>
      <c r="J2364" s="150">
        <v>0</v>
      </c>
      <c r="K2364" s="150">
        <v>0</v>
      </c>
      <c r="L2364" s="150">
        <f t="shared" si="2089"/>
        <v>0</v>
      </c>
      <c r="M2364" s="150">
        <v>0</v>
      </c>
      <c r="N2364" s="150"/>
      <c r="O2364" s="150">
        <v>0</v>
      </c>
      <c r="P2364" s="150">
        <v>0</v>
      </c>
      <c r="Q2364" s="150">
        <v>0</v>
      </c>
      <c r="R2364" s="150">
        <f t="shared" si="2107"/>
        <v>0</v>
      </c>
      <c r="S2364" s="150">
        <f t="shared" si="2108"/>
        <v>0</v>
      </c>
      <c r="T2364" s="150"/>
      <c r="U2364" s="150">
        <v>0</v>
      </c>
      <c r="V2364" s="199"/>
      <c r="W2364" s="150">
        <f t="shared" si="2103"/>
        <v>0</v>
      </c>
      <c r="X2364" s="150">
        <v>0</v>
      </c>
      <c r="Y2364" s="150"/>
      <c r="Z2364" s="150">
        <v>0</v>
      </c>
      <c r="AA2364" s="150">
        <f t="shared" si="2085"/>
        <v>0</v>
      </c>
      <c r="AB2364" s="150">
        <v>0</v>
      </c>
      <c r="AC2364" s="199"/>
      <c r="AD2364" s="150">
        <f t="shared" si="2104"/>
        <v>0</v>
      </c>
      <c r="AE2364" s="150">
        <v>0</v>
      </c>
      <c r="AF2364" s="169" t="s">
        <v>4680</v>
      </c>
      <c r="AG2364" s="201">
        <v>0</v>
      </c>
      <c r="AH2364" s="199"/>
      <c r="AI2364" s="150">
        <v>0</v>
      </c>
      <c r="AJ2364" s="169">
        <f t="shared" si="2086"/>
        <v>0</v>
      </c>
      <c r="AK2364" s="201">
        <v>0</v>
      </c>
      <c r="AL2364" s="199"/>
      <c r="AM2364" s="150">
        <f t="shared" si="2105"/>
        <v>0</v>
      </c>
      <c r="AN2364" s="153">
        <f t="shared" si="2087"/>
        <v>0</v>
      </c>
      <c r="AO2364" s="154">
        <f t="shared" si="2088"/>
        <v>0</v>
      </c>
      <c r="AP2364" s="150">
        <v>0</v>
      </c>
      <c r="AQ2364" s="201">
        <v>0</v>
      </c>
      <c r="AR2364" s="199"/>
      <c r="AS2364" s="150">
        <f t="shared" si="2106"/>
        <v>0</v>
      </c>
      <c r="AT2364" s="155"/>
      <c r="AU2364" s="156">
        <f t="shared" si="2083"/>
        <v>0</v>
      </c>
      <c r="AV2364" s="156">
        <f t="shared" si="2084"/>
        <v>0</v>
      </c>
      <c r="AW2364" s="157"/>
      <c r="AX2364" s="150">
        <v>0</v>
      </c>
      <c r="AY2364" s="150">
        <v>0</v>
      </c>
      <c r="AZ2364" s="150"/>
      <c r="BA2364" s="150">
        <f t="shared" si="2090"/>
        <v>0</v>
      </c>
      <c r="BB2364" s="202">
        <v>8</v>
      </c>
      <c r="BC2364" s="202" t="s">
        <v>632</v>
      </c>
      <c r="BD2364" s="202" t="s">
        <v>647</v>
      </c>
      <c r="BE2364" s="202" t="s">
        <v>647</v>
      </c>
      <c r="BF2364" s="202" t="s">
        <v>714</v>
      </c>
      <c r="BG2364" s="203" t="s">
        <v>10629</v>
      </c>
      <c r="BH2364" s="216">
        <f>AS2364</f>
        <v>0</v>
      </c>
      <c r="BI2364" s="205"/>
      <c r="BJ2364" s="206" t="s">
        <v>10630</v>
      </c>
      <c r="BK2364" s="206" t="s">
        <v>10626</v>
      </c>
      <c r="BL2364" s="207" t="s">
        <v>10631</v>
      </c>
      <c r="BM2364" s="208">
        <f>BH2364</f>
        <v>0</v>
      </c>
      <c r="BN2364" s="160"/>
      <c r="BO2364" s="161">
        <f t="shared" si="2109"/>
        <v>0</v>
      </c>
      <c r="BP2364" s="161"/>
    </row>
    <row r="2365" spans="1:68" ht="51">
      <c r="A2365" s="206" t="s">
        <v>10632</v>
      </c>
      <c r="B2365" s="195" t="s">
        <v>10633</v>
      </c>
      <c r="C2365" s="196" t="s">
        <v>10634</v>
      </c>
      <c r="D2365" s="146" t="s">
        <v>4692</v>
      </c>
      <c r="E2365" s="196" t="s">
        <v>10634</v>
      </c>
      <c r="F2365" s="150">
        <v>0</v>
      </c>
      <c r="G2365" s="209">
        <v>0</v>
      </c>
      <c r="H2365" s="209"/>
      <c r="I2365" s="209">
        <v>0</v>
      </c>
      <c r="J2365" s="150">
        <v>0</v>
      </c>
      <c r="K2365" s="150">
        <v>0</v>
      </c>
      <c r="L2365" s="150">
        <f t="shared" si="2089"/>
        <v>0</v>
      </c>
      <c r="M2365" s="150">
        <v>0</v>
      </c>
      <c r="N2365" s="150"/>
      <c r="O2365" s="150">
        <v>0</v>
      </c>
      <c r="P2365" s="150">
        <v>0</v>
      </c>
      <c r="Q2365" s="150">
        <v>0</v>
      </c>
      <c r="R2365" s="150">
        <f t="shared" si="2107"/>
        <v>0</v>
      </c>
      <c r="S2365" s="150">
        <f t="shared" si="2108"/>
        <v>0</v>
      </c>
      <c r="T2365" s="150"/>
      <c r="U2365" s="150">
        <v>0</v>
      </c>
      <c r="V2365" s="199"/>
      <c r="W2365" s="150">
        <f t="shared" si="2103"/>
        <v>0</v>
      </c>
      <c r="X2365" s="150">
        <v>0</v>
      </c>
      <c r="Y2365" s="150"/>
      <c r="Z2365" s="150">
        <v>0</v>
      </c>
      <c r="AA2365" s="150">
        <f t="shared" si="2085"/>
        <v>0</v>
      </c>
      <c r="AB2365" s="150">
        <v>0</v>
      </c>
      <c r="AC2365" s="199"/>
      <c r="AD2365" s="150">
        <f t="shared" si="2104"/>
        <v>0</v>
      </c>
      <c r="AE2365" s="150">
        <v>0</v>
      </c>
      <c r="AF2365" s="169" t="s">
        <v>4680</v>
      </c>
      <c r="AG2365" s="201">
        <v>0</v>
      </c>
      <c r="AH2365" s="199"/>
      <c r="AI2365" s="150">
        <v>0</v>
      </c>
      <c r="AJ2365" s="169">
        <f t="shared" si="2086"/>
        <v>0</v>
      </c>
      <c r="AK2365" s="201">
        <v>0</v>
      </c>
      <c r="AL2365" s="199"/>
      <c r="AM2365" s="150">
        <f t="shared" si="2105"/>
        <v>0</v>
      </c>
      <c r="AN2365" s="153">
        <f t="shared" si="2087"/>
        <v>0</v>
      </c>
      <c r="AO2365" s="154">
        <f t="shared" si="2088"/>
        <v>0</v>
      </c>
      <c r="AP2365" s="150">
        <v>0</v>
      </c>
      <c r="AQ2365" s="201">
        <v>0</v>
      </c>
      <c r="AR2365" s="199"/>
      <c r="AS2365" s="150">
        <f t="shared" si="2106"/>
        <v>0</v>
      </c>
      <c r="AT2365" s="155"/>
      <c r="AU2365" s="156">
        <f t="shared" si="2083"/>
        <v>0</v>
      </c>
      <c r="AV2365" s="156">
        <f t="shared" si="2084"/>
        <v>0</v>
      </c>
      <c r="AW2365" s="157"/>
      <c r="AX2365" s="150">
        <v>0</v>
      </c>
      <c r="AY2365" s="150">
        <v>0</v>
      </c>
      <c r="AZ2365" s="150"/>
      <c r="BA2365" s="150">
        <f t="shared" si="2090"/>
        <v>0</v>
      </c>
      <c r="BB2365" s="202">
        <v>8</v>
      </c>
      <c r="BC2365" s="202" t="s">
        <v>632</v>
      </c>
      <c r="BD2365" s="202" t="s">
        <v>647</v>
      </c>
      <c r="BE2365" s="202" t="s">
        <v>647</v>
      </c>
      <c r="BF2365" s="202" t="s">
        <v>739</v>
      </c>
      <c r="BG2365" s="203" t="s">
        <v>10635</v>
      </c>
      <c r="BH2365" s="216">
        <f>SUM(AS2365:AS2366)</f>
        <v>0</v>
      </c>
      <c r="BI2365" s="205"/>
      <c r="BJ2365" s="206" t="s">
        <v>10636</v>
      </c>
      <c r="BK2365" s="206" t="s">
        <v>10632</v>
      </c>
      <c r="BL2365" s="207" t="s">
        <v>10637</v>
      </c>
      <c r="BM2365" s="208">
        <f>BH2365</f>
        <v>0</v>
      </c>
      <c r="BN2365" s="160"/>
      <c r="BO2365" s="161">
        <f t="shared" si="2109"/>
        <v>0</v>
      </c>
      <c r="BP2365" s="161"/>
    </row>
    <row r="2366" spans="1:68" ht="55.5" customHeight="1">
      <c r="A2366" s="210"/>
      <c r="B2366" s="195" t="s">
        <v>10638</v>
      </c>
      <c r="C2366" s="196" t="s">
        <v>10639</v>
      </c>
      <c r="D2366" s="146" t="s">
        <v>4692</v>
      </c>
      <c r="E2366" s="196" t="s">
        <v>10639</v>
      </c>
      <c r="F2366" s="150">
        <v>0</v>
      </c>
      <c r="G2366" s="209">
        <v>400697.91</v>
      </c>
      <c r="H2366" s="209"/>
      <c r="I2366" s="209">
        <v>400697.91</v>
      </c>
      <c r="J2366" s="150">
        <v>0</v>
      </c>
      <c r="K2366" s="150">
        <v>0</v>
      </c>
      <c r="L2366" s="150">
        <f t="shared" si="2089"/>
        <v>0</v>
      </c>
      <c r="M2366" s="150">
        <v>0</v>
      </c>
      <c r="N2366" s="150"/>
      <c r="O2366" s="150">
        <v>0</v>
      </c>
      <c r="P2366" s="150">
        <v>0</v>
      </c>
      <c r="Q2366" s="150">
        <v>0</v>
      </c>
      <c r="R2366" s="150">
        <f t="shared" si="2107"/>
        <v>0</v>
      </c>
      <c r="S2366" s="150">
        <f t="shared" si="2108"/>
        <v>0</v>
      </c>
      <c r="T2366" s="150"/>
      <c r="U2366" s="150">
        <v>0</v>
      </c>
      <c r="V2366" s="199"/>
      <c r="W2366" s="150">
        <f t="shared" si="2103"/>
        <v>0</v>
      </c>
      <c r="X2366" s="150">
        <v>0</v>
      </c>
      <c r="Y2366" s="150"/>
      <c r="Z2366" s="150">
        <v>0</v>
      </c>
      <c r="AA2366" s="150">
        <f t="shared" si="2085"/>
        <v>0</v>
      </c>
      <c r="AB2366" s="150">
        <v>0</v>
      </c>
      <c r="AC2366" s="199"/>
      <c r="AD2366" s="150">
        <f t="shared" si="2104"/>
        <v>0</v>
      </c>
      <c r="AE2366" s="150">
        <v>0</v>
      </c>
      <c r="AF2366" s="169" t="s">
        <v>4680</v>
      </c>
      <c r="AG2366" s="201">
        <v>0</v>
      </c>
      <c r="AH2366" s="199"/>
      <c r="AI2366" s="150">
        <v>0</v>
      </c>
      <c r="AJ2366" s="169">
        <f t="shared" si="2086"/>
        <v>0</v>
      </c>
      <c r="AK2366" s="201">
        <v>0</v>
      </c>
      <c r="AL2366" s="199"/>
      <c r="AM2366" s="150">
        <f t="shared" si="2105"/>
        <v>0</v>
      </c>
      <c r="AN2366" s="153">
        <f t="shared" si="2087"/>
        <v>0</v>
      </c>
      <c r="AO2366" s="154">
        <f t="shared" si="2088"/>
        <v>0</v>
      </c>
      <c r="AP2366" s="150">
        <v>0</v>
      </c>
      <c r="AQ2366" s="201">
        <v>0</v>
      </c>
      <c r="AR2366" s="199"/>
      <c r="AS2366" s="150">
        <f t="shared" si="2106"/>
        <v>0</v>
      </c>
      <c r="AT2366" s="155"/>
      <c r="AU2366" s="156">
        <f t="shared" si="2083"/>
        <v>0</v>
      </c>
      <c r="AV2366" s="156">
        <f t="shared" si="2084"/>
        <v>0</v>
      </c>
      <c r="AW2366" s="157"/>
      <c r="AX2366" s="150">
        <v>0</v>
      </c>
      <c r="AY2366" s="150">
        <v>0</v>
      </c>
      <c r="AZ2366" s="150"/>
      <c r="BA2366" s="150">
        <f t="shared" si="2090"/>
        <v>0</v>
      </c>
      <c r="BB2366" s="210"/>
      <c r="BC2366" s="210"/>
      <c r="BD2366" s="210"/>
      <c r="BE2366" s="210"/>
      <c r="BF2366" s="210"/>
      <c r="BG2366" s="210"/>
      <c r="BH2366" s="217"/>
      <c r="BI2366" s="210"/>
      <c r="BJ2366" s="210"/>
      <c r="BK2366" s="210"/>
      <c r="BL2366" s="210"/>
      <c r="BM2366" s="208"/>
      <c r="BN2366" s="160"/>
      <c r="BO2366" s="161">
        <f t="shared" si="2109"/>
        <v>0</v>
      </c>
      <c r="BP2366" s="161"/>
    </row>
    <row r="2367" spans="1:68" ht="38.25">
      <c r="A2367" s="206" t="s">
        <v>10640</v>
      </c>
      <c r="B2367" s="195" t="s">
        <v>10641</v>
      </c>
      <c r="C2367" s="196" t="s">
        <v>10642</v>
      </c>
      <c r="D2367" s="146" t="s">
        <v>4692</v>
      </c>
      <c r="E2367" s="196" t="s">
        <v>10642</v>
      </c>
      <c r="F2367" s="150">
        <v>401090.85</v>
      </c>
      <c r="G2367" s="209">
        <v>0</v>
      </c>
      <c r="H2367" s="209"/>
      <c r="I2367" s="209">
        <v>0</v>
      </c>
      <c r="J2367" s="150">
        <v>60838.69</v>
      </c>
      <c r="K2367" s="150">
        <v>0</v>
      </c>
      <c r="L2367" s="150">
        <f t="shared" si="2089"/>
        <v>60838.69</v>
      </c>
      <c r="M2367" s="150">
        <v>60981.25</v>
      </c>
      <c r="N2367" s="150"/>
      <c r="O2367" s="150">
        <v>60981.25</v>
      </c>
      <c r="P2367" s="150">
        <v>115981.85</v>
      </c>
      <c r="Q2367" s="150">
        <v>0</v>
      </c>
      <c r="R2367" s="150">
        <f t="shared" si="2107"/>
        <v>115981.85</v>
      </c>
      <c r="S2367" s="150">
        <f t="shared" si="2108"/>
        <v>154642.46666666667</v>
      </c>
      <c r="T2367" s="150"/>
      <c r="U2367" s="150">
        <v>165721.79999999999</v>
      </c>
      <c r="V2367" s="199"/>
      <c r="W2367" s="150">
        <f t="shared" si="2103"/>
        <v>165721.79999999999</v>
      </c>
      <c r="X2367" s="150">
        <v>165721.79999999999</v>
      </c>
      <c r="Y2367" s="150"/>
      <c r="Z2367" s="150">
        <v>165721.79999999999</v>
      </c>
      <c r="AA2367" s="150">
        <f t="shared" si="2085"/>
        <v>0</v>
      </c>
      <c r="AB2367" s="150">
        <v>165721.79999999999</v>
      </c>
      <c r="AC2367" s="199"/>
      <c r="AD2367" s="150">
        <f t="shared" si="2104"/>
        <v>165721.79999999999</v>
      </c>
      <c r="AE2367" s="150">
        <v>165721.79999999999</v>
      </c>
      <c r="AF2367" s="169" t="s">
        <v>4680</v>
      </c>
      <c r="AG2367" s="201">
        <v>165721.79999999999</v>
      </c>
      <c r="AH2367" s="199"/>
      <c r="AI2367" s="150">
        <v>165721.79999999999</v>
      </c>
      <c r="AJ2367" s="169">
        <f t="shared" si="2086"/>
        <v>0</v>
      </c>
      <c r="AK2367" s="201">
        <v>165721.79999999999</v>
      </c>
      <c r="AL2367" s="199"/>
      <c r="AM2367" s="150">
        <f t="shared" si="2105"/>
        <v>165721.79999999999</v>
      </c>
      <c r="AN2367" s="153">
        <f t="shared" si="2087"/>
        <v>0</v>
      </c>
      <c r="AO2367" s="154">
        <f t="shared" si="2088"/>
        <v>0</v>
      </c>
      <c r="AP2367" s="150">
        <v>165721.79999999999</v>
      </c>
      <c r="AQ2367" s="201">
        <v>165721.79999999999</v>
      </c>
      <c r="AR2367" s="199"/>
      <c r="AS2367" s="150">
        <f t="shared" si="2106"/>
        <v>165721.79999999999</v>
      </c>
      <c r="AT2367" s="155"/>
      <c r="AU2367" s="156">
        <f t="shared" si="2083"/>
        <v>0</v>
      </c>
      <c r="AV2367" s="156">
        <f t="shared" si="2084"/>
        <v>0</v>
      </c>
      <c r="AW2367" s="157"/>
      <c r="AX2367" s="150">
        <v>165721.79999999999</v>
      </c>
      <c r="AY2367" s="150">
        <v>115981.85</v>
      </c>
      <c r="AZ2367" s="150"/>
      <c r="BA2367" s="150">
        <f t="shared" si="2090"/>
        <v>115981.85</v>
      </c>
      <c r="BB2367" s="202">
        <v>8</v>
      </c>
      <c r="BC2367" s="202" t="s">
        <v>632</v>
      </c>
      <c r="BD2367" s="202" t="s">
        <v>647</v>
      </c>
      <c r="BE2367" s="202" t="s">
        <v>647</v>
      </c>
      <c r="BF2367" s="202" t="s">
        <v>755</v>
      </c>
      <c r="BG2367" s="203" t="s">
        <v>10643</v>
      </c>
      <c r="BH2367" s="216">
        <f>SUM(AS2367:AS2368)</f>
        <v>165721.79999999999</v>
      </c>
      <c r="BI2367" s="205"/>
      <c r="BJ2367" s="206" t="s">
        <v>10644</v>
      </c>
      <c r="BK2367" s="206" t="s">
        <v>10640</v>
      </c>
      <c r="BL2367" s="207" t="s">
        <v>10645</v>
      </c>
      <c r="BM2367" s="208">
        <f>BH2367</f>
        <v>165721.79999999999</v>
      </c>
      <c r="BN2367" s="160"/>
      <c r="BO2367" s="161">
        <f t="shared" si="2109"/>
        <v>0</v>
      </c>
      <c r="BP2367" s="161"/>
    </row>
    <row r="2368" spans="1:68" ht="38.25">
      <c r="A2368" s="210"/>
      <c r="B2368" s="195" t="s">
        <v>10646</v>
      </c>
      <c r="C2368" s="196" t="s">
        <v>10647</v>
      </c>
      <c r="D2368" s="146" t="s">
        <v>4692</v>
      </c>
      <c r="E2368" s="196" t="s">
        <v>10647</v>
      </c>
      <c r="F2368" s="150">
        <v>0</v>
      </c>
      <c r="G2368" s="209">
        <v>364127.64</v>
      </c>
      <c r="H2368" s="209"/>
      <c r="I2368" s="209">
        <v>364127.64</v>
      </c>
      <c r="J2368" s="150">
        <v>0</v>
      </c>
      <c r="K2368" s="150">
        <v>0</v>
      </c>
      <c r="L2368" s="150">
        <f t="shared" si="2089"/>
        <v>0</v>
      </c>
      <c r="M2368" s="150">
        <v>0</v>
      </c>
      <c r="N2368" s="150"/>
      <c r="O2368" s="150">
        <v>0</v>
      </c>
      <c r="P2368" s="150">
        <v>0</v>
      </c>
      <c r="Q2368" s="150">
        <v>0</v>
      </c>
      <c r="R2368" s="150">
        <f t="shared" si="2107"/>
        <v>0</v>
      </c>
      <c r="S2368" s="150">
        <f t="shared" si="2108"/>
        <v>0</v>
      </c>
      <c r="T2368" s="150"/>
      <c r="U2368" s="150">
        <v>0</v>
      </c>
      <c r="V2368" s="199"/>
      <c r="W2368" s="150">
        <f t="shared" si="2103"/>
        <v>0</v>
      </c>
      <c r="X2368" s="150">
        <v>0</v>
      </c>
      <c r="Y2368" s="150"/>
      <c r="Z2368" s="150">
        <v>0</v>
      </c>
      <c r="AA2368" s="150">
        <f t="shared" si="2085"/>
        <v>0</v>
      </c>
      <c r="AB2368" s="150">
        <v>0</v>
      </c>
      <c r="AC2368" s="199"/>
      <c r="AD2368" s="150">
        <f t="shared" si="2104"/>
        <v>0</v>
      </c>
      <c r="AE2368" s="150">
        <v>0</v>
      </c>
      <c r="AF2368" s="169" t="s">
        <v>4680</v>
      </c>
      <c r="AG2368" s="201">
        <v>0</v>
      </c>
      <c r="AH2368" s="199"/>
      <c r="AI2368" s="150">
        <v>0</v>
      </c>
      <c r="AJ2368" s="169">
        <f t="shared" si="2086"/>
        <v>0</v>
      </c>
      <c r="AK2368" s="201">
        <v>0</v>
      </c>
      <c r="AL2368" s="199"/>
      <c r="AM2368" s="150">
        <f t="shared" si="2105"/>
        <v>0</v>
      </c>
      <c r="AN2368" s="153">
        <f t="shared" si="2087"/>
        <v>0</v>
      </c>
      <c r="AO2368" s="154">
        <f t="shared" si="2088"/>
        <v>0</v>
      </c>
      <c r="AP2368" s="150">
        <v>0</v>
      </c>
      <c r="AQ2368" s="201">
        <v>0</v>
      </c>
      <c r="AR2368" s="199"/>
      <c r="AS2368" s="150">
        <f t="shared" si="2106"/>
        <v>0</v>
      </c>
      <c r="AT2368" s="155"/>
      <c r="AU2368" s="156">
        <f t="shared" si="2083"/>
        <v>0</v>
      </c>
      <c r="AV2368" s="156">
        <f t="shared" si="2084"/>
        <v>0</v>
      </c>
      <c r="AW2368" s="157"/>
      <c r="AX2368" s="150">
        <v>0</v>
      </c>
      <c r="AY2368" s="150">
        <v>0</v>
      </c>
      <c r="AZ2368" s="150"/>
      <c r="BA2368" s="150">
        <f t="shared" si="2090"/>
        <v>0</v>
      </c>
      <c r="BB2368" s="210"/>
      <c r="BC2368" s="210"/>
      <c r="BD2368" s="210"/>
      <c r="BE2368" s="210"/>
      <c r="BF2368" s="210"/>
      <c r="BG2368" s="210"/>
      <c r="BH2368" s="217"/>
      <c r="BI2368" s="210"/>
      <c r="BJ2368" s="210"/>
      <c r="BK2368" s="210"/>
      <c r="BL2368" s="210"/>
      <c r="BM2368" s="208"/>
      <c r="BN2368" s="160"/>
      <c r="BO2368" s="161">
        <f t="shared" si="2109"/>
        <v>0</v>
      </c>
      <c r="BP2368" s="161"/>
    </row>
    <row r="2369" spans="1:68" ht="25.5">
      <c r="A2369" s="206" t="s">
        <v>10648</v>
      </c>
      <c r="B2369" s="195" t="s">
        <v>10649</v>
      </c>
      <c r="C2369" s="196" t="s">
        <v>10650</v>
      </c>
      <c r="D2369" s="146" t="s">
        <v>4692</v>
      </c>
      <c r="E2369" s="196" t="s">
        <v>10650</v>
      </c>
      <c r="F2369" s="150">
        <v>486301.26</v>
      </c>
      <c r="G2369" s="209">
        <v>0</v>
      </c>
      <c r="H2369" s="209">
        <v>59714.3</v>
      </c>
      <c r="I2369" s="209">
        <v>59714.3</v>
      </c>
      <c r="J2369" s="150">
        <v>0</v>
      </c>
      <c r="K2369" s="150">
        <v>0</v>
      </c>
      <c r="L2369" s="150">
        <f t="shared" si="2089"/>
        <v>0</v>
      </c>
      <c r="M2369" s="150">
        <v>264.83999999999997</v>
      </c>
      <c r="N2369" s="150"/>
      <c r="O2369" s="150">
        <v>264.83999999999997</v>
      </c>
      <c r="P2369" s="150">
        <v>39413.03</v>
      </c>
      <c r="Q2369" s="150">
        <v>0</v>
      </c>
      <c r="R2369" s="150">
        <f t="shared" si="2107"/>
        <v>39413.03</v>
      </c>
      <c r="S2369" s="150">
        <f t="shared" si="2108"/>
        <v>52550.706666666665</v>
      </c>
      <c r="T2369" s="150"/>
      <c r="U2369" s="309">
        <v>313314</v>
      </c>
      <c r="V2369" s="199"/>
      <c r="W2369" s="150">
        <f t="shared" si="2103"/>
        <v>313314</v>
      </c>
      <c r="X2369" s="150">
        <v>313314</v>
      </c>
      <c r="Y2369" s="150"/>
      <c r="Z2369" s="150">
        <v>313314</v>
      </c>
      <c r="AA2369" s="150">
        <f t="shared" si="2085"/>
        <v>-247101.31</v>
      </c>
      <c r="AB2369" s="150">
        <v>66212.69</v>
      </c>
      <c r="AC2369" s="199"/>
      <c r="AD2369" s="150">
        <f t="shared" si="2104"/>
        <v>66212.69</v>
      </c>
      <c r="AE2369" s="150">
        <v>65335.68</v>
      </c>
      <c r="AF2369" s="169" t="s">
        <v>4680</v>
      </c>
      <c r="AG2369" s="201">
        <v>65335.68</v>
      </c>
      <c r="AH2369" s="199"/>
      <c r="AI2369" s="150">
        <v>65335.68</v>
      </c>
      <c r="AJ2369" s="169">
        <f t="shared" si="2086"/>
        <v>12074.400000000001</v>
      </c>
      <c r="AK2369" s="201">
        <v>77410.080000000002</v>
      </c>
      <c r="AL2369" s="199"/>
      <c r="AM2369" s="150">
        <f t="shared" si="2105"/>
        <v>77410.080000000002</v>
      </c>
      <c r="AN2369" s="153">
        <f t="shared" si="2087"/>
        <v>8368245.75</v>
      </c>
      <c r="AO2369" s="154">
        <f t="shared" si="2088"/>
        <v>8380957.5300000003</v>
      </c>
      <c r="AP2369" s="150">
        <v>64698.3</v>
      </c>
      <c r="AQ2369" s="201">
        <v>8445655.8300000001</v>
      </c>
      <c r="AR2369" s="199"/>
      <c r="AS2369" s="150">
        <f t="shared" si="2106"/>
        <v>8445655.8300000001</v>
      </c>
      <c r="AT2369" s="155" t="s">
        <v>5489</v>
      </c>
      <c r="AU2369" s="156">
        <f t="shared" si="2083"/>
        <v>11197.39</v>
      </c>
      <c r="AV2369" s="156">
        <f t="shared" si="2084"/>
        <v>-247101.31</v>
      </c>
      <c r="AW2369" s="157"/>
      <c r="AX2369" s="150">
        <v>313314</v>
      </c>
      <c r="AY2369" s="150">
        <v>4750.74</v>
      </c>
      <c r="AZ2369" s="150"/>
      <c r="BA2369" s="150">
        <f t="shared" si="2090"/>
        <v>4750.74</v>
      </c>
      <c r="BB2369" s="202">
        <v>8</v>
      </c>
      <c r="BC2369" s="202" t="s">
        <v>632</v>
      </c>
      <c r="BD2369" s="202" t="s">
        <v>647</v>
      </c>
      <c r="BE2369" s="202" t="s">
        <v>647</v>
      </c>
      <c r="BF2369" s="202" t="s">
        <v>766</v>
      </c>
      <c r="BG2369" s="203" t="s">
        <v>10651</v>
      </c>
      <c r="BH2369" s="216">
        <f>SUM(AS2369:AS2371)</f>
        <v>8487419.5299999993</v>
      </c>
      <c r="BI2369" s="205"/>
      <c r="BJ2369" s="206" t="s">
        <v>10652</v>
      </c>
      <c r="BK2369" s="206" t="s">
        <v>10648</v>
      </c>
      <c r="BL2369" s="207" t="s">
        <v>10653</v>
      </c>
      <c r="BM2369" s="208">
        <f>BH2369</f>
        <v>8487419.5299999993</v>
      </c>
      <c r="BN2369" s="160"/>
      <c r="BO2369" s="161"/>
      <c r="BP2369" s="161"/>
    </row>
    <row r="2370" spans="1:68" ht="38.25">
      <c r="A2370" s="205"/>
      <c r="B2370" s="195" t="s">
        <v>10654</v>
      </c>
      <c r="C2370" s="196" t="s">
        <v>10655</v>
      </c>
      <c r="D2370" s="146" t="s">
        <v>4692</v>
      </c>
      <c r="E2370" s="196" t="s">
        <v>10655</v>
      </c>
      <c r="F2370" s="150">
        <v>3885917.45</v>
      </c>
      <c r="G2370" s="209">
        <v>0</v>
      </c>
      <c r="H2370" s="209">
        <v>0</v>
      </c>
      <c r="I2370" s="209">
        <v>0</v>
      </c>
      <c r="J2370" s="150">
        <v>0</v>
      </c>
      <c r="K2370" s="150">
        <v>59714.3</v>
      </c>
      <c r="L2370" s="150">
        <f t="shared" si="2089"/>
        <v>59714.3</v>
      </c>
      <c r="M2370" s="150">
        <v>0</v>
      </c>
      <c r="N2370" s="150"/>
      <c r="O2370" s="150">
        <v>0</v>
      </c>
      <c r="P2370" s="150">
        <v>0</v>
      </c>
      <c r="Q2370" s="150">
        <v>0</v>
      </c>
      <c r="R2370" s="150">
        <f t="shared" si="2107"/>
        <v>0</v>
      </c>
      <c r="S2370" s="150">
        <f t="shared" si="2108"/>
        <v>0</v>
      </c>
      <c r="T2370" s="150"/>
      <c r="U2370" s="150">
        <v>0</v>
      </c>
      <c r="V2370" s="199"/>
      <c r="W2370" s="150">
        <f t="shared" si="2103"/>
        <v>0</v>
      </c>
      <c r="X2370" s="150">
        <v>0</v>
      </c>
      <c r="Y2370" s="150"/>
      <c r="Z2370" s="150">
        <v>0</v>
      </c>
      <c r="AA2370" s="150">
        <f t="shared" si="2085"/>
        <v>0</v>
      </c>
      <c r="AB2370" s="150">
        <v>0</v>
      </c>
      <c r="AC2370" s="199"/>
      <c r="AD2370" s="150">
        <f t="shared" si="2104"/>
        <v>0</v>
      </c>
      <c r="AE2370" s="150">
        <v>0</v>
      </c>
      <c r="AF2370" s="169" t="s">
        <v>4680</v>
      </c>
      <c r="AG2370" s="201">
        <v>0</v>
      </c>
      <c r="AH2370" s="199"/>
      <c r="AI2370" s="150">
        <v>0</v>
      </c>
      <c r="AJ2370" s="169">
        <f t="shared" si="2086"/>
        <v>0</v>
      </c>
      <c r="AK2370" s="201">
        <v>0</v>
      </c>
      <c r="AL2370" s="199"/>
      <c r="AM2370" s="150">
        <f t="shared" si="2105"/>
        <v>0</v>
      </c>
      <c r="AN2370" s="153">
        <f t="shared" si="2087"/>
        <v>0</v>
      </c>
      <c r="AO2370" s="154">
        <f t="shared" si="2088"/>
        <v>0</v>
      </c>
      <c r="AP2370" s="150">
        <v>0</v>
      </c>
      <c r="AQ2370" s="201">
        <v>0</v>
      </c>
      <c r="AR2370" s="199"/>
      <c r="AS2370" s="150">
        <f t="shared" si="2106"/>
        <v>0</v>
      </c>
      <c r="AT2370" s="155"/>
      <c r="AU2370" s="156">
        <f t="shared" ref="AU2370:AU2433" si="2110">AM2370-AD2370</f>
        <v>0</v>
      </c>
      <c r="AV2370" s="156">
        <f t="shared" ref="AV2370:AV2433" si="2111">AD2370-AX2370</f>
        <v>0</v>
      </c>
      <c r="AW2370" s="157"/>
      <c r="AX2370" s="150">
        <v>0</v>
      </c>
      <c r="AY2370" s="150">
        <v>0</v>
      </c>
      <c r="AZ2370" s="150"/>
      <c r="BA2370" s="150">
        <f t="shared" si="2090"/>
        <v>0</v>
      </c>
      <c r="BB2370" s="202"/>
      <c r="BC2370" s="202"/>
      <c r="BD2370" s="202"/>
      <c r="BE2370" s="202"/>
      <c r="BF2370" s="202"/>
      <c r="BG2370" s="203"/>
      <c r="BH2370" s="216"/>
      <c r="BI2370" s="205"/>
      <c r="BJ2370" s="205"/>
      <c r="BK2370" s="205"/>
      <c r="BL2370" s="203"/>
      <c r="BM2370" s="208"/>
      <c r="BN2370" s="160"/>
      <c r="BO2370" s="161"/>
      <c r="BP2370" s="161"/>
    </row>
    <row r="2371" spans="1:68" ht="45">
      <c r="A2371" s="205"/>
      <c r="B2371" s="195" t="s">
        <v>10656</v>
      </c>
      <c r="C2371" s="196" t="s">
        <v>10657</v>
      </c>
      <c r="D2371" s="146" t="s">
        <v>4692</v>
      </c>
      <c r="E2371" s="265" t="s">
        <v>10657</v>
      </c>
      <c r="F2371" s="150">
        <v>5047</v>
      </c>
      <c r="G2371" s="266">
        <v>0</v>
      </c>
      <c r="H2371" s="266"/>
      <c r="I2371" s="266">
        <v>0</v>
      </c>
      <c r="J2371" s="150"/>
      <c r="K2371" s="150"/>
      <c r="L2371" s="150">
        <f t="shared" si="2089"/>
        <v>0</v>
      </c>
      <c r="M2371" s="150">
        <v>30435.200000000001</v>
      </c>
      <c r="N2371" s="150"/>
      <c r="O2371" s="150">
        <v>30435.200000000001</v>
      </c>
      <c r="P2371" s="150">
        <v>32695.200000000001</v>
      </c>
      <c r="Q2371" s="150">
        <v>0</v>
      </c>
      <c r="R2371" s="150">
        <f t="shared" si="2107"/>
        <v>32695.200000000001</v>
      </c>
      <c r="S2371" s="150">
        <f t="shared" si="2108"/>
        <v>43593.600000000006</v>
      </c>
      <c r="T2371" s="150"/>
      <c r="U2371" s="150">
        <v>41447.699999999997</v>
      </c>
      <c r="V2371" s="199"/>
      <c r="W2371" s="150">
        <f t="shared" si="2103"/>
        <v>41447.699999999997</v>
      </c>
      <c r="X2371" s="150">
        <v>41447.699999999997</v>
      </c>
      <c r="Y2371" s="150"/>
      <c r="Z2371" s="150">
        <v>41447.699999999997</v>
      </c>
      <c r="AA2371" s="150">
        <f t="shared" ref="AA2371:AA2434" si="2112">AD2371-Z2371</f>
        <v>316</v>
      </c>
      <c r="AB2371" s="150">
        <v>41763.699999999997</v>
      </c>
      <c r="AC2371" s="199"/>
      <c r="AD2371" s="150">
        <f t="shared" si="2104"/>
        <v>41763.699999999997</v>
      </c>
      <c r="AE2371" s="150">
        <v>41763.699999999997</v>
      </c>
      <c r="AF2371" s="169" t="s">
        <v>4680</v>
      </c>
      <c r="AG2371" s="201">
        <v>41763.699999999997</v>
      </c>
      <c r="AH2371" s="199"/>
      <c r="AI2371" s="150">
        <v>41763.699999999997</v>
      </c>
      <c r="AJ2371" s="169">
        <f t="shared" ref="AJ2371:AJ2434" si="2113">AM2371-AI2371</f>
        <v>0</v>
      </c>
      <c r="AK2371" s="201">
        <v>41763.699999999997</v>
      </c>
      <c r="AL2371" s="199"/>
      <c r="AM2371" s="150">
        <f t="shared" si="2105"/>
        <v>41763.699999999997</v>
      </c>
      <c r="AN2371" s="153">
        <f t="shared" ref="AN2371:AN2434" si="2114">AS2371-AM2371</f>
        <v>0</v>
      </c>
      <c r="AO2371" s="154">
        <f t="shared" ref="AO2371:AO2434" si="2115">AS2371-AP2371</f>
        <v>0</v>
      </c>
      <c r="AP2371" s="150">
        <v>41763.699999999997</v>
      </c>
      <c r="AQ2371" s="201">
        <v>41763.699999999997</v>
      </c>
      <c r="AR2371" s="199"/>
      <c r="AS2371" s="150">
        <f t="shared" si="2106"/>
        <v>41763.699999999997</v>
      </c>
      <c r="AT2371" s="155"/>
      <c r="AU2371" s="156">
        <f t="shared" si="2110"/>
        <v>0</v>
      </c>
      <c r="AV2371" s="156">
        <f t="shared" si="2111"/>
        <v>316</v>
      </c>
      <c r="AW2371" s="157"/>
      <c r="AX2371" s="150">
        <v>41447.699999999997</v>
      </c>
      <c r="AY2371" s="150">
        <v>30435.200000000001</v>
      </c>
      <c r="AZ2371" s="150"/>
      <c r="BA2371" s="150">
        <f t="shared" si="2090"/>
        <v>30435.200000000001</v>
      </c>
      <c r="BB2371" s="202"/>
      <c r="BC2371" s="202"/>
      <c r="BD2371" s="202"/>
      <c r="BE2371" s="202"/>
      <c r="BF2371" s="202"/>
      <c r="BG2371" s="203"/>
      <c r="BH2371" s="216"/>
      <c r="BI2371" s="205"/>
      <c r="BJ2371" s="205"/>
      <c r="BK2371" s="205"/>
      <c r="BL2371" s="203"/>
      <c r="BM2371" s="208"/>
      <c r="BN2371" s="160"/>
      <c r="BO2371" s="161"/>
      <c r="BP2371" s="161"/>
    </row>
    <row r="2372" spans="1:68">
      <c r="A2372" s="256" t="s">
        <v>10658</v>
      </c>
      <c r="B2372" s="184"/>
      <c r="C2372" s="185" t="s">
        <v>10659</v>
      </c>
      <c r="D2372" s="146" t="s">
        <v>4692</v>
      </c>
      <c r="E2372" s="185" t="s">
        <v>10659</v>
      </c>
      <c r="F2372" s="188">
        <v>0</v>
      </c>
      <c r="G2372" s="187">
        <v>0</v>
      </c>
      <c r="H2372" s="187"/>
      <c r="I2372" s="187">
        <v>0</v>
      </c>
      <c r="J2372" s="188">
        <f>SUM(J2373:J2382)</f>
        <v>0</v>
      </c>
      <c r="K2372" s="188">
        <f>SUM(K2373:K2382)</f>
        <v>0</v>
      </c>
      <c r="L2372" s="188">
        <f t="shared" si="2089"/>
        <v>0</v>
      </c>
      <c r="M2372" s="188">
        <v>0</v>
      </c>
      <c r="N2372" s="188">
        <v>0</v>
      </c>
      <c r="O2372" s="188">
        <v>0</v>
      </c>
      <c r="P2372" s="299">
        <f t="shared" ref="P2372:AD2372" si="2116">SUM(P2373:P2382)</f>
        <v>0</v>
      </c>
      <c r="Q2372" s="299">
        <f t="shared" si="2116"/>
        <v>0</v>
      </c>
      <c r="R2372" s="299">
        <f t="shared" si="2116"/>
        <v>0</v>
      </c>
      <c r="S2372" s="150">
        <f t="shared" si="2108"/>
        <v>0</v>
      </c>
      <c r="T2372" s="213"/>
      <c r="U2372" s="299">
        <f t="shared" ref="U2372:W2372" si="2117">SUM(U2373:U2382)</f>
        <v>60048</v>
      </c>
      <c r="V2372" s="226">
        <f t="shared" si="2117"/>
        <v>0</v>
      </c>
      <c r="W2372" s="299">
        <f t="shared" si="2117"/>
        <v>60048</v>
      </c>
      <c r="X2372" s="299">
        <v>60048</v>
      </c>
      <c r="Y2372" s="299">
        <v>0</v>
      </c>
      <c r="Z2372" s="299">
        <v>60048</v>
      </c>
      <c r="AA2372" s="299">
        <f t="shared" si="2112"/>
        <v>0</v>
      </c>
      <c r="AB2372" s="299">
        <v>60048</v>
      </c>
      <c r="AC2372" s="226">
        <v>0</v>
      </c>
      <c r="AD2372" s="299">
        <f t="shared" si="2116"/>
        <v>60048</v>
      </c>
      <c r="AE2372" s="299">
        <v>60048</v>
      </c>
      <c r="AF2372" s="169" t="s">
        <v>4680</v>
      </c>
      <c r="AG2372" s="301">
        <v>60048</v>
      </c>
      <c r="AH2372" s="226">
        <v>0</v>
      </c>
      <c r="AI2372" s="299">
        <v>60048</v>
      </c>
      <c r="AJ2372" s="169">
        <f t="shared" si="2113"/>
        <v>0</v>
      </c>
      <c r="AK2372" s="301">
        <v>60048</v>
      </c>
      <c r="AL2372" s="226">
        <v>0</v>
      </c>
      <c r="AM2372" s="299">
        <f t="shared" ref="AM2372" si="2118">SUM(AM2373:AM2382)</f>
        <v>60048</v>
      </c>
      <c r="AN2372" s="153">
        <f t="shared" si="2114"/>
        <v>0</v>
      </c>
      <c r="AO2372" s="154">
        <f t="shared" si="2115"/>
        <v>0</v>
      </c>
      <c r="AP2372" s="299">
        <v>60048</v>
      </c>
      <c r="AQ2372" s="301">
        <v>60048</v>
      </c>
      <c r="AR2372" s="226">
        <f t="shared" ref="AR2372:AS2372" si="2119">SUM(AR2373:AR2382)</f>
        <v>0</v>
      </c>
      <c r="AS2372" s="299">
        <f t="shared" si="2119"/>
        <v>60048</v>
      </c>
      <c r="AT2372" s="155"/>
      <c r="AU2372" s="156">
        <f t="shared" si="2110"/>
        <v>0</v>
      </c>
      <c r="AV2372" s="156">
        <f t="shared" si="2111"/>
        <v>0</v>
      </c>
      <c r="AW2372" s="157"/>
      <c r="AX2372" s="150">
        <v>60048</v>
      </c>
      <c r="AY2372" s="299">
        <f t="shared" ref="AY2372:BA2372" si="2120">SUM(AY2373:AY2382)</f>
        <v>0</v>
      </c>
      <c r="AZ2372" s="299">
        <f t="shared" si="2120"/>
        <v>0</v>
      </c>
      <c r="BA2372" s="299">
        <f t="shared" si="2120"/>
        <v>0</v>
      </c>
      <c r="BB2372" s="192">
        <v>8</v>
      </c>
      <c r="BC2372" s="256" t="s">
        <v>632</v>
      </c>
      <c r="BD2372" s="256" t="s">
        <v>647</v>
      </c>
      <c r="BE2372" s="256" t="s">
        <v>671</v>
      </c>
      <c r="BF2372" s="256" t="s">
        <v>630</v>
      </c>
      <c r="BG2372" s="185" t="s">
        <v>10659</v>
      </c>
      <c r="BH2372" s="215">
        <f>BH2373+BH2376+BH2377+BH2378+BH2379+BH2380+BH2381+BH2382</f>
        <v>60048</v>
      </c>
      <c r="BI2372" s="192"/>
      <c r="BJ2372" s="256" t="s">
        <v>10660</v>
      </c>
      <c r="BK2372" s="256" t="s">
        <v>10658</v>
      </c>
      <c r="BL2372" s="185" t="s">
        <v>10661</v>
      </c>
      <c r="BM2372" s="215">
        <f>BM2373+BM2376+BM2377+BM2378+BM2379+BM2380+BM2381+BM2382</f>
        <v>60048</v>
      </c>
      <c r="BN2372" s="160"/>
      <c r="BO2372" s="161">
        <f t="shared" ref="BO2372:BO2435" si="2121">BM2372-AS2372</f>
        <v>0</v>
      </c>
      <c r="BP2372" s="161"/>
    </row>
    <row r="2373" spans="1:68" ht="38.25">
      <c r="A2373" s="261" t="s">
        <v>10662</v>
      </c>
      <c r="B2373" s="228" t="s">
        <v>10663</v>
      </c>
      <c r="C2373" s="229" t="s">
        <v>10664</v>
      </c>
      <c r="D2373" s="146" t="s">
        <v>4692</v>
      </c>
      <c r="E2373" s="196" t="s">
        <v>10664</v>
      </c>
      <c r="F2373" s="150">
        <v>0</v>
      </c>
      <c r="G2373" s="209">
        <v>0</v>
      </c>
      <c r="H2373" s="209"/>
      <c r="I2373" s="209">
        <v>0</v>
      </c>
      <c r="J2373" s="150">
        <v>0</v>
      </c>
      <c r="K2373" s="150">
        <v>0</v>
      </c>
      <c r="L2373" s="150">
        <f t="shared" si="2089"/>
        <v>0</v>
      </c>
      <c r="M2373" s="150">
        <v>0</v>
      </c>
      <c r="N2373" s="150"/>
      <c r="O2373" s="150">
        <v>0</v>
      </c>
      <c r="P2373" s="150">
        <v>0</v>
      </c>
      <c r="Q2373" s="150">
        <v>0</v>
      </c>
      <c r="R2373" s="150">
        <f>P2373+Q2373</f>
        <v>0</v>
      </c>
      <c r="S2373" s="150">
        <f t="shared" si="2108"/>
        <v>0</v>
      </c>
      <c r="T2373" s="150"/>
      <c r="U2373" s="150">
        <v>0</v>
      </c>
      <c r="V2373" s="199"/>
      <c r="W2373" s="150">
        <f t="shared" ref="W2373:W2382" si="2122">U2373+V2373</f>
        <v>0</v>
      </c>
      <c r="X2373" s="150">
        <v>0</v>
      </c>
      <c r="Y2373" s="150"/>
      <c r="Z2373" s="150">
        <v>0</v>
      </c>
      <c r="AA2373" s="150">
        <f t="shared" si="2112"/>
        <v>0</v>
      </c>
      <c r="AB2373" s="150">
        <v>0</v>
      </c>
      <c r="AC2373" s="199"/>
      <c r="AD2373" s="150">
        <f t="shared" ref="AD2373:AD2382" si="2123">AB2373+AC2373</f>
        <v>0</v>
      </c>
      <c r="AE2373" s="150">
        <v>0</v>
      </c>
      <c r="AF2373" s="169" t="s">
        <v>4680</v>
      </c>
      <c r="AG2373" s="201">
        <v>0</v>
      </c>
      <c r="AH2373" s="199"/>
      <c r="AI2373" s="150">
        <v>0</v>
      </c>
      <c r="AJ2373" s="169">
        <f t="shared" si="2113"/>
        <v>0</v>
      </c>
      <c r="AK2373" s="201">
        <v>0</v>
      </c>
      <c r="AL2373" s="199"/>
      <c r="AM2373" s="150">
        <f t="shared" ref="AM2373:AM2382" si="2124">AK2373+AL2373</f>
        <v>0</v>
      </c>
      <c r="AN2373" s="153">
        <f t="shared" si="2114"/>
        <v>0</v>
      </c>
      <c r="AO2373" s="154">
        <f t="shared" si="2115"/>
        <v>0</v>
      </c>
      <c r="AP2373" s="150">
        <v>0</v>
      </c>
      <c r="AQ2373" s="201">
        <v>0</v>
      </c>
      <c r="AR2373" s="199"/>
      <c r="AS2373" s="150">
        <f t="shared" ref="AS2373:AS2382" si="2125">AQ2373+AR2373</f>
        <v>0</v>
      </c>
      <c r="AT2373" s="155" t="s">
        <v>4796</v>
      </c>
      <c r="AU2373" s="156">
        <f t="shared" si="2110"/>
        <v>0</v>
      </c>
      <c r="AV2373" s="156">
        <f t="shared" si="2111"/>
        <v>0</v>
      </c>
      <c r="AW2373" s="157" t="s">
        <v>4796</v>
      </c>
      <c r="AX2373" s="150">
        <v>0</v>
      </c>
      <c r="AY2373" s="150">
        <v>0</v>
      </c>
      <c r="AZ2373" s="150"/>
      <c r="BA2373" s="150">
        <f t="shared" si="2090"/>
        <v>0</v>
      </c>
      <c r="BB2373" s="202">
        <v>8</v>
      </c>
      <c r="BC2373" s="202" t="s">
        <v>632</v>
      </c>
      <c r="BD2373" s="202" t="s">
        <v>647</v>
      </c>
      <c r="BE2373" s="202" t="s">
        <v>671</v>
      </c>
      <c r="BF2373" s="202" t="s">
        <v>632</v>
      </c>
      <c r="BG2373" s="203" t="s">
        <v>10665</v>
      </c>
      <c r="BH2373" s="216">
        <f>SUM(AS2373:AS2375)</f>
        <v>0</v>
      </c>
      <c r="BI2373" s="206" t="s">
        <v>1519</v>
      </c>
      <c r="BJ2373" s="206" t="s">
        <v>10666</v>
      </c>
      <c r="BK2373" s="206" t="s">
        <v>10662</v>
      </c>
      <c r="BL2373" s="207" t="s">
        <v>10667</v>
      </c>
      <c r="BM2373" s="208">
        <f>BH2373</f>
        <v>0</v>
      </c>
      <c r="BN2373" s="160"/>
      <c r="BO2373" s="161">
        <f t="shared" si="2121"/>
        <v>0</v>
      </c>
      <c r="BP2373" s="161"/>
    </row>
    <row r="2374" spans="1:68" ht="38.25">
      <c r="A2374" s="308"/>
      <c r="B2374" s="228" t="s">
        <v>10668</v>
      </c>
      <c r="C2374" s="229" t="s">
        <v>10669</v>
      </c>
      <c r="D2374" s="146" t="s">
        <v>4692</v>
      </c>
      <c r="E2374" s="196" t="s">
        <v>10669</v>
      </c>
      <c r="F2374" s="150">
        <v>0</v>
      </c>
      <c r="G2374" s="209">
        <v>0</v>
      </c>
      <c r="H2374" s="209"/>
      <c r="I2374" s="209">
        <v>0</v>
      </c>
      <c r="J2374" s="150">
        <v>0</v>
      </c>
      <c r="K2374" s="150">
        <v>0</v>
      </c>
      <c r="L2374" s="150">
        <f t="shared" si="2089"/>
        <v>0</v>
      </c>
      <c r="M2374" s="150">
        <v>0</v>
      </c>
      <c r="N2374" s="150"/>
      <c r="O2374" s="150">
        <v>0</v>
      </c>
      <c r="P2374" s="150">
        <v>0</v>
      </c>
      <c r="Q2374" s="150">
        <v>0</v>
      </c>
      <c r="R2374" s="150">
        <f t="shared" ref="R2374:R2382" si="2126">P2374+Q2374</f>
        <v>0</v>
      </c>
      <c r="S2374" s="150">
        <f t="shared" si="2108"/>
        <v>0</v>
      </c>
      <c r="T2374" s="150"/>
      <c r="U2374" s="150">
        <v>0</v>
      </c>
      <c r="V2374" s="199"/>
      <c r="W2374" s="150">
        <f t="shared" si="2122"/>
        <v>0</v>
      </c>
      <c r="X2374" s="150">
        <v>0</v>
      </c>
      <c r="Y2374" s="150"/>
      <c r="Z2374" s="150">
        <v>0</v>
      </c>
      <c r="AA2374" s="150">
        <f t="shared" si="2112"/>
        <v>0</v>
      </c>
      <c r="AB2374" s="150">
        <v>0</v>
      </c>
      <c r="AC2374" s="199"/>
      <c r="AD2374" s="150">
        <f t="shared" si="2123"/>
        <v>0</v>
      </c>
      <c r="AE2374" s="150">
        <v>0</v>
      </c>
      <c r="AF2374" s="169" t="s">
        <v>4680</v>
      </c>
      <c r="AG2374" s="201">
        <v>0</v>
      </c>
      <c r="AH2374" s="199"/>
      <c r="AI2374" s="150">
        <v>0</v>
      </c>
      <c r="AJ2374" s="169">
        <f t="shared" si="2113"/>
        <v>0</v>
      </c>
      <c r="AK2374" s="201">
        <v>0</v>
      </c>
      <c r="AL2374" s="199"/>
      <c r="AM2374" s="150">
        <f t="shared" si="2124"/>
        <v>0</v>
      </c>
      <c r="AN2374" s="153">
        <f t="shared" si="2114"/>
        <v>0</v>
      </c>
      <c r="AO2374" s="154">
        <f t="shared" si="2115"/>
        <v>0</v>
      </c>
      <c r="AP2374" s="150">
        <v>0</v>
      </c>
      <c r="AQ2374" s="201">
        <v>0</v>
      </c>
      <c r="AR2374" s="199"/>
      <c r="AS2374" s="150">
        <f t="shared" si="2125"/>
        <v>0</v>
      </c>
      <c r="AT2374" s="155" t="s">
        <v>4796</v>
      </c>
      <c r="AU2374" s="156">
        <f t="shared" si="2110"/>
        <v>0</v>
      </c>
      <c r="AV2374" s="156">
        <f t="shared" si="2111"/>
        <v>0</v>
      </c>
      <c r="AW2374" s="157" t="s">
        <v>4796</v>
      </c>
      <c r="AX2374" s="150">
        <v>0</v>
      </c>
      <c r="AY2374" s="150">
        <v>0</v>
      </c>
      <c r="AZ2374" s="150"/>
      <c r="BA2374" s="150">
        <f t="shared" si="2090"/>
        <v>0</v>
      </c>
      <c r="BB2374" s="210"/>
      <c r="BC2374" s="210"/>
      <c r="BD2374" s="210"/>
      <c r="BE2374" s="210"/>
      <c r="BF2374" s="210"/>
      <c r="BG2374" s="210"/>
      <c r="BH2374" s="217"/>
      <c r="BI2374" s="210"/>
      <c r="BJ2374" s="210"/>
      <c r="BK2374" s="210"/>
      <c r="BL2374" s="210"/>
      <c r="BM2374" s="208"/>
      <c r="BN2374" s="160"/>
      <c r="BO2374" s="161">
        <f t="shared" si="2121"/>
        <v>0</v>
      </c>
      <c r="BP2374" s="161"/>
    </row>
    <row r="2375" spans="1:68" ht="25.5">
      <c r="A2375" s="308"/>
      <c r="B2375" s="228" t="s">
        <v>10670</v>
      </c>
      <c r="C2375" s="229" t="s">
        <v>10671</v>
      </c>
      <c r="D2375" s="146" t="s">
        <v>4692</v>
      </c>
      <c r="E2375" s="196" t="s">
        <v>10671</v>
      </c>
      <c r="F2375" s="150">
        <v>0</v>
      </c>
      <c r="G2375" s="209">
        <v>0</v>
      </c>
      <c r="H2375" s="209"/>
      <c r="I2375" s="209">
        <v>0</v>
      </c>
      <c r="J2375" s="150">
        <v>0</v>
      </c>
      <c r="K2375" s="150">
        <v>0</v>
      </c>
      <c r="L2375" s="150">
        <f t="shared" si="2089"/>
        <v>0</v>
      </c>
      <c r="M2375" s="150">
        <v>0</v>
      </c>
      <c r="N2375" s="150"/>
      <c r="O2375" s="150">
        <v>0</v>
      </c>
      <c r="P2375" s="150">
        <v>0</v>
      </c>
      <c r="Q2375" s="150">
        <v>0</v>
      </c>
      <c r="R2375" s="150">
        <f t="shared" si="2126"/>
        <v>0</v>
      </c>
      <c r="S2375" s="150">
        <f t="shared" si="2108"/>
        <v>0</v>
      </c>
      <c r="T2375" s="150"/>
      <c r="U2375" s="150">
        <v>0</v>
      </c>
      <c r="V2375" s="199"/>
      <c r="W2375" s="150">
        <f t="shared" si="2122"/>
        <v>0</v>
      </c>
      <c r="X2375" s="150">
        <v>0</v>
      </c>
      <c r="Y2375" s="150"/>
      <c r="Z2375" s="150">
        <v>0</v>
      </c>
      <c r="AA2375" s="150">
        <f t="shared" si="2112"/>
        <v>0</v>
      </c>
      <c r="AB2375" s="150">
        <v>0</v>
      </c>
      <c r="AC2375" s="199"/>
      <c r="AD2375" s="150">
        <f t="shared" si="2123"/>
        <v>0</v>
      </c>
      <c r="AE2375" s="150">
        <v>0</v>
      </c>
      <c r="AF2375" s="169" t="s">
        <v>4680</v>
      </c>
      <c r="AG2375" s="201">
        <v>0</v>
      </c>
      <c r="AH2375" s="199"/>
      <c r="AI2375" s="150">
        <v>0</v>
      </c>
      <c r="AJ2375" s="169">
        <f t="shared" si="2113"/>
        <v>0</v>
      </c>
      <c r="AK2375" s="201">
        <v>0</v>
      </c>
      <c r="AL2375" s="199"/>
      <c r="AM2375" s="150">
        <f t="shared" si="2124"/>
        <v>0</v>
      </c>
      <c r="AN2375" s="153">
        <f t="shared" si="2114"/>
        <v>0</v>
      </c>
      <c r="AO2375" s="154">
        <f t="shared" si="2115"/>
        <v>0</v>
      </c>
      <c r="AP2375" s="150">
        <v>0</v>
      </c>
      <c r="AQ2375" s="201">
        <v>0</v>
      </c>
      <c r="AR2375" s="199"/>
      <c r="AS2375" s="150">
        <f t="shared" si="2125"/>
        <v>0</v>
      </c>
      <c r="AT2375" s="155" t="s">
        <v>4796</v>
      </c>
      <c r="AU2375" s="156">
        <f t="shared" si="2110"/>
        <v>0</v>
      </c>
      <c r="AV2375" s="156">
        <f t="shared" si="2111"/>
        <v>0</v>
      </c>
      <c r="AW2375" s="157" t="s">
        <v>4796</v>
      </c>
      <c r="AX2375" s="150">
        <v>0</v>
      </c>
      <c r="AY2375" s="150">
        <v>0</v>
      </c>
      <c r="AZ2375" s="150"/>
      <c r="BA2375" s="150">
        <f t="shared" si="2090"/>
        <v>0</v>
      </c>
      <c r="BB2375" s="210"/>
      <c r="BC2375" s="210"/>
      <c r="BD2375" s="210"/>
      <c r="BE2375" s="210"/>
      <c r="BF2375" s="210"/>
      <c r="BG2375" s="210"/>
      <c r="BH2375" s="217"/>
      <c r="BI2375" s="210"/>
      <c r="BJ2375" s="210"/>
      <c r="BK2375" s="210"/>
      <c r="BL2375" s="210"/>
      <c r="BM2375" s="208"/>
      <c r="BN2375" s="160"/>
      <c r="BO2375" s="161">
        <f t="shared" si="2121"/>
        <v>0</v>
      </c>
      <c r="BP2375" s="161"/>
    </row>
    <row r="2376" spans="1:68" ht="38.25">
      <c r="A2376" s="206" t="s">
        <v>10672</v>
      </c>
      <c r="B2376" s="195" t="s">
        <v>10673</v>
      </c>
      <c r="C2376" s="196" t="s">
        <v>10674</v>
      </c>
      <c r="D2376" s="146" t="s">
        <v>4692</v>
      </c>
      <c r="E2376" s="196" t="s">
        <v>10674</v>
      </c>
      <c r="F2376" s="150">
        <v>0</v>
      </c>
      <c r="G2376" s="209">
        <v>0</v>
      </c>
      <c r="H2376" s="209"/>
      <c r="I2376" s="209">
        <v>0</v>
      </c>
      <c r="J2376" s="150">
        <v>0</v>
      </c>
      <c r="K2376" s="150">
        <v>0</v>
      </c>
      <c r="L2376" s="150">
        <f t="shared" si="2089"/>
        <v>0</v>
      </c>
      <c r="M2376" s="150">
        <v>0</v>
      </c>
      <c r="N2376" s="150"/>
      <c r="O2376" s="150">
        <v>0</v>
      </c>
      <c r="P2376" s="150">
        <v>0</v>
      </c>
      <c r="Q2376" s="150">
        <v>0</v>
      </c>
      <c r="R2376" s="150">
        <f t="shared" si="2126"/>
        <v>0</v>
      </c>
      <c r="S2376" s="150">
        <f t="shared" si="2108"/>
        <v>0</v>
      </c>
      <c r="T2376" s="150"/>
      <c r="U2376" s="150">
        <v>0</v>
      </c>
      <c r="V2376" s="199"/>
      <c r="W2376" s="150">
        <f t="shared" si="2122"/>
        <v>0</v>
      </c>
      <c r="X2376" s="150">
        <v>0</v>
      </c>
      <c r="Y2376" s="150"/>
      <c r="Z2376" s="150">
        <v>0</v>
      </c>
      <c r="AA2376" s="150">
        <f t="shared" si="2112"/>
        <v>0</v>
      </c>
      <c r="AB2376" s="150">
        <v>0</v>
      </c>
      <c r="AC2376" s="199"/>
      <c r="AD2376" s="150">
        <f t="shared" si="2123"/>
        <v>0</v>
      </c>
      <c r="AE2376" s="150">
        <v>0</v>
      </c>
      <c r="AF2376" s="169" t="s">
        <v>4680</v>
      </c>
      <c r="AG2376" s="201">
        <v>0</v>
      </c>
      <c r="AH2376" s="199"/>
      <c r="AI2376" s="150">
        <v>0</v>
      </c>
      <c r="AJ2376" s="169">
        <f t="shared" si="2113"/>
        <v>0</v>
      </c>
      <c r="AK2376" s="201">
        <v>0</v>
      </c>
      <c r="AL2376" s="199"/>
      <c r="AM2376" s="150">
        <f t="shared" si="2124"/>
        <v>0</v>
      </c>
      <c r="AN2376" s="153">
        <f t="shared" si="2114"/>
        <v>0</v>
      </c>
      <c r="AO2376" s="154">
        <f t="shared" si="2115"/>
        <v>0</v>
      </c>
      <c r="AP2376" s="150">
        <v>0</v>
      </c>
      <c r="AQ2376" s="201">
        <v>0</v>
      </c>
      <c r="AR2376" s="199"/>
      <c r="AS2376" s="150">
        <f t="shared" si="2125"/>
        <v>0</v>
      </c>
      <c r="AT2376" s="155"/>
      <c r="AU2376" s="156">
        <f t="shared" si="2110"/>
        <v>0</v>
      </c>
      <c r="AV2376" s="156">
        <f t="shared" si="2111"/>
        <v>0</v>
      </c>
      <c r="AW2376" s="157"/>
      <c r="AX2376" s="150">
        <v>0</v>
      </c>
      <c r="AY2376" s="150">
        <v>0</v>
      </c>
      <c r="AZ2376" s="150"/>
      <c r="BA2376" s="150">
        <f t="shared" si="2090"/>
        <v>0</v>
      </c>
      <c r="BB2376" s="202">
        <v>8</v>
      </c>
      <c r="BC2376" s="202" t="s">
        <v>632</v>
      </c>
      <c r="BD2376" s="202" t="s">
        <v>647</v>
      </c>
      <c r="BE2376" s="202" t="s">
        <v>671</v>
      </c>
      <c r="BF2376" s="202" t="s">
        <v>647</v>
      </c>
      <c r="BG2376" s="203" t="s">
        <v>10675</v>
      </c>
      <c r="BH2376" s="216">
        <f t="shared" ref="BH2376:BH2382" si="2127">AS2376</f>
        <v>0</v>
      </c>
      <c r="BI2376" s="206" t="s">
        <v>1349</v>
      </c>
      <c r="BJ2376" s="206" t="s">
        <v>10676</v>
      </c>
      <c r="BK2376" s="206" t="s">
        <v>10672</v>
      </c>
      <c r="BL2376" s="207" t="s">
        <v>10677</v>
      </c>
      <c r="BM2376" s="208">
        <f t="shared" ref="BM2376:BM2382" si="2128">BH2376</f>
        <v>0</v>
      </c>
      <c r="BN2376" s="160"/>
      <c r="BO2376" s="161">
        <f t="shared" si="2121"/>
        <v>0</v>
      </c>
      <c r="BP2376" s="161"/>
    </row>
    <row r="2377" spans="1:68" ht="25.5">
      <c r="A2377" s="206" t="s">
        <v>10678</v>
      </c>
      <c r="B2377" s="195" t="s">
        <v>10679</v>
      </c>
      <c r="C2377" s="196" t="s">
        <v>10680</v>
      </c>
      <c r="D2377" s="146" t="s">
        <v>4692</v>
      </c>
      <c r="E2377" s="196" t="s">
        <v>10680</v>
      </c>
      <c r="F2377" s="150">
        <v>0</v>
      </c>
      <c r="G2377" s="209">
        <v>0</v>
      </c>
      <c r="H2377" s="209"/>
      <c r="I2377" s="209">
        <v>0</v>
      </c>
      <c r="J2377" s="150">
        <v>0</v>
      </c>
      <c r="K2377" s="150">
        <v>0</v>
      </c>
      <c r="L2377" s="150">
        <f t="shared" si="2089"/>
        <v>0</v>
      </c>
      <c r="M2377" s="150">
        <v>0</v>
      </c>
      <c r="N2377" s="150"/>
      <c r="O2377" s="150">
        <v>0</v>
      </c>
      <c r="P2377" s="150">
        <v>0</v>
      </c>
      <c r="Q2377" s="150">
        <v>0</v>
      </c>
      <c r="R2377" s="150">
        <f t="shared" si="2126"/>
        <v>0</v>
      </c>
      <c r="S2377" s="150">
        <f t="shared" si="2108"/>
        <v>0</v>
      </c>
      <c r="T2377" s="150"/>
      <c r="U2377" s="150">
        <v>0</v>
      </c>
      <c r="V2377" s="199"/>
      <c r="W2377" s="150">
        <f t="shared" si="2122"/>
        <v>0</v>
      </c>
      <c r="X2377" s="150">
        <v>0</v>
      </c>
      <c r="Y2377" s="150"/>
      <c r="Z2377" s="150">
        <v>0</v>
      </c>
      <c r="AA2377" s="150">
        <f t="shared" si="2112"/>
        <v>0</v>
      </c>
      <c r="AB2377" s="150">
        <v>0</v>
      </c>
      <c r="AC2377" s="199"/>
      <c r="AD2377" s="150">
        <f t="shared" si="2123"/>
        <v>0</v>
      </c>
      <c r="AE2377" s="150">
        <v>0</v>
      </c>
      <c r="AF2377" s="169" t="s">
        <v>4680</v>
      </c>
      <c r="AG2377" s="201">
        <v>0</v>
      </c>
      <c r="AH2377" s="199"/>
      <c r="AI2377" s="150">
        <v>0</v>
      </c>
      <c r="AJ2377" s="169">
        <f t="shared" si="2113"/>
        <v>0</v>
      </c>
      <c r="AK2377" s="201">
        <v>0</v>
      </c>
      <c r="AL2377" s="199"/>
      <c r="AM2377" s="150">
        <f t="shared" si="2124"/>
        <v>0</v>
      </c>
      <c r="AN2377" s="153">
        <f t="shared" si="2114"/>
        <v>0</v>
      </c>
      <c r="AO2377" s="154">
        <f t="shared" si="2115"/>
        <v>0</v>
      </c>
      <c r="AP2377" s="150">
        <v>0</v>
      </c>
      <c r="AQ2377" s="201">
        <v>0</v>
      </c>
      <c r="AR2377" s="199"/>
      <c r="AS2377" s="150">
        <f t="shared" si="2125"/>
        <v>0</v>
      </c>
      <c r="AT2377" s="155"/>
      <c r="AU2377" s="156">
        <f t="shared" si="2110"/>
        <v>0</v>
      </c>
      <c r="AV2377" s="156">
        <f t="shared" si="2111"/>
        <v>0</v>
      </c>
      <c r="AW2377" s="157"/>
      <c r="AX2377" s="150">
        <v>0</v>
      </c>
      <c r="AY2377" s="150">
        <v>0</v>
      </c>
      <c r="AZ2377" s="150"/>
      <c r="BA2377" s="150">
        <f t="shared" si="2090"/>
        <v>0</v>
      </c>
      <c r="BB2377" s="202">
        <v>8</v>
      </c>
      <c r="BC2377" s="202" t="s">
        <v>632</v>
      </c>
      <c r="BD2377" s="202" t="s">
        <v>647</v>
      </c>
      <c r="BE2377" s="202" t="s">
        <v>671</v>
      </c>
      <c r="BF2377" s="202" t="s">
        <v>671</v>
      </c>
      <c r="BG2377" s="203" t="s">
        <v>10681</v>
      </c>
      <c r="BH2377" s="216">
        <f t="shared" si="2127"/>
        <v>0</v>
      </c>
      <c r="BI2377" s="205"/>
      <c r="BJ2377" s="206" t="s">
        <v>10682</v>
      </c>
      <c r="BK2377" s="206" t="s">
        <v>10678</v>
      </c>
      <c r="BL2377" s="207" t="s">
        <v>10683</v>
      </c>
      <c r="BM2377" s="208">
        <f t="shared" si="2128"/>
        <v>0</v>
      </c>
      <c r="BN2377" s="160"/>
      <c r="BO2377" s="161">
        <f t="shared" si="2121"/>
        <v>0</v>
      </c>
      <c r="BP2377" s="161"/>
    </row>
    <row r="2378" spans="1:68" ht="38.25">
      <c r="A2378" s="206" t="s">
        <v>10684</v>
      </c>
      <c r="B2378" s="195" t="s">
        <v>10685</v>
      </c>
      <c r="C2378" s="196" t="s">
        <v>10686</v>
      </c>
      <c r="D2378" s="146" t="s">
        <v>4692</v>
      </c>
      <c r="E2378" s="196" t="s">
        <v>10686</v>
      </c>
      <c r="F2378" s="150">
        <v>0</v>
      </c>
      <c r="G2378" s="209">
        <v>0</v>
      </c>
      <c r="H2378" s="209"/>
      <c r="I2378" s="209">
        <v>0</v>
      </c>
      <c r="J2378" s="150">
        <v>0</v>
      </c>
      <c r="K2378" s="150">
        <v>0</v>
      </c>
      <c r="L2378" s="150">
        <f t="shared" si="2089"/>
        <v>0</v>
      </c>
      <c r="M2378" s="150">
        <v>0</v>
      </c>
      <c r="N2378" s="150"/>
      <c r="O2378" s="150">
        <v>0</v>
      </c>
      <c r="P2378" s="150">
        <v>0</v>
      </c>
      <c r="Q2378" s="150">
        <v>0</v>
      </c>
      <c r="R2378" s="150">
        <f t="shared" si="2126"/>
        <v>0</v>
      </c>
      <c r="S2378" s="150">
        <f t="shared" si="2108"/>
        <v>0</v>
      </c>
      <c r="T2378" s="150"/>
      <c r="U2378" s="150">
        <v>0</v>
      </c>
      <c r="V2378" s="199"/>
      <c r="W2378" s="150">
        <f t="shared" si="2122"/>
        <v>0</v>
      </c>
      <c r="X2378" s="150">
        <v>0</v>
      </c>
      <c r="Y2378" s="150"/>
      <c r="Z2378" s="150">
        <v>0</v>
      </c>
      <c r="AA2378" s="150">
        <f t="shared" si="2112"/>
        <v>0</v>
      </c>
      <c r="AB2378" s="150">
        <v>0</v>
      </c>
      <c r="AC2378" s="199"/>
      <c r="AD2378" s="150">
        <f t="shared" si="2123"/>
        <v>0</v>
      </c>
      <c r="AE2378" s="150">
        <v>0</v>
      </c>
      <c r="AF2378" s="169" t="s">
        <v>4680</v>
      </c>
      <c r="AG2378" s="201">
        <v>0</v>
      </c>
      <c r="AH2378" s="199"/>
      <c r="AI2378" s="150">
        <v>0</v>
      </c>
      <c r="AJ2378" s="169">
        <f t="shared" si="2113"/>
        <v>0</v>
      </c>
      <c r="AK2378" s="201">
        <v>0</v>
      </c>
      <c r="AL2378" s="199"/>
      <c r="AM2378" s="150">
        <f t="shared" si="2124"/>
        <v>0</v>
      </c>
      <c r="AN2378" s="153">
        <f t="shared" si="2114"/>
        <v>0</v>
      </c>
      <c r="AO2378" s="154">
        <f t="shared" si="2115"/>
        <v>0</v>
      </c>
      <c r="AP2378" s="150">
        <v>0</v>
      </c>
      <c r="AQ2378" s="201">
        <v>0</v>
      </c>
      <c r="AR2378" s="199"/>
      <c r="AS2378" s="150">
        <f t="shared" si="2125"/>
        <v>0</v>
      </c>
      <c r="AT2378" s="155"/>
      <c r="AU2378" s="156">
        <f t="shared" si="2110"/>
        <v>0</v>
      </c>
      <c r="AV2378" s="156">
        <f t="shared" si="2111"/>
        <v>0</v>
      </c>
      <c r="AW2378" s="157"/>
      <c r="AX2378" s="150">
        <v>0</v>
      </c>
      <c r="AY2378" s="150">
        <v>0</v>
      </c>
      <c r="AZ2378" s="150"/>
      <c r="BA2378" s="150">
        <f t="shared" si="2090"/>
        <v>0</v>
      </c>
      <c r="BB2378" s="202">
        <v>8</v>
      </c>
      <c r="BC2378" s="202" t="s">
        <v>632</v>
      </c>
      <c r="BD2378" s="202" t="s">
        <v>647</v>
      </c>
      <c r="BE2378" s="202" t="s">
        <v>671</v>
      </c>
      <c r="BF2378" s="202" t="s">
        <v>693</v>
      </c>
      <c r="BG2378" s="203" t="s">
        <v>10687</v>
      </c>
      <c r="BH2378" s="216">
        <f t="shared" si="2127"/>
        <v>0</v>
      </c>
      <c r="BI2378" s="205"/>
      <c r="BJ2378" s="206" t="s">
        <v>10688</v>
      </c>
      <c r="BK2378" s="206" t="s">
        <v>10684</v>
      </c>
      <c r="BL2378" s="207" t="s">
        <v>10689</v>
      </c>
      <c r="BM2378" s="208">
        <f t="shared" si="2128"/>
        <v>0</v>
      </c>
      <c r="BN2378" s="160"/>
      <c r="BO2378" s="161">
        <f t="shared" si="2121"/>
        <v>0</v>
      </c>
      <c r="BP2378" s="161"/>
    </row>
    <row r="2379" spans="1:68" ht="38.25">
      <c r="A2379" s="206" t="s">
        <v>10690</v>
      </c>
      <c r="B2379" s="195" t="s">
        <v>10691</v>
      </c>
      <c r="C2379" s="196" t="s">
        <v>10692</v>
      </c>
      <c r="D2379" s="146" t="s">
        <v>4692</v>
      </c>
      <c r="E2379" s="196" t="s">
        <v>10692</v>
      </c>
      <c r="F2379" s="150">
        <v>0</v>
      </c>
      <c r="G2379" s="209">
        <v>0</v>
      </c>
      <c r="H2379" s="209"/>
      <c r="I2379" s="209">
        <v>0</v>
      </c>
      <c r="J2379" s="150">
        <v>0</v>
      </c>
      <c r="K2379" s="150">
        <v>0</v>
      </c>
      <c r="L2379" s="150">
        <f t="shared" ref="L2379:L2442" si="2129">J2379+K2379</f>
        <v>0</v>
      </c>
      <c r="M2379" s="150">
        <v>0</v>
      </c>
      <c r="N2379" s="150"/>
      <c r="O2379" s="150">
        <v>0</v>
      </c>
      <c r="P2379" s="150">
        <v>0</v>
      </c>
      <c r="Q2379" s="150">
        <v>0</v>
      </c>
      <c r="R2379" s="150">
        <f t="shared" si="2126"/>
        <v>0</v>
      </c>
      <c r="S2379" s="150">
        <f t="shared" si="2108"/>
        <v>0</v>
      </c>
      <c r="T2379" s="150"/>
      <c r="U2379" s="150">
        <v>0</v>
      </c>
      <c r="V2379" s="199"/>
      <c r="W2379" s="150">
        <f t="shared" si="2122"/>
        <v>0</v>
      </c>
      <c r="X2379" s="150">
        <v>0</v>
      </c>
      <c r="Y2379" s="150"/>
      <c r="Z2379" s="150">
        <v>0</v>
      </c>
      <c r="AA2379" s="150">
        <f t="shared" si="2112"/>
        <v>0</v>
      </c>
      <c r="AB2379" s="150">
        <v>0</v>
      </c>
      <c r="AC2379" s="199"/>
      <c r="AD2379" s="150">
        <f t="shared" si="2123"/>
        <v>0</v>
      </c>
      <c r="AE2379" s="150">
        <v>0</v>
      </c>
      <c r="AF2379" s="169" t="s">
        <v>4680</v>
      </c>
      <c r="AG2379" s="201">
        <v>0</v>
      </c>
      <c r="AH2379" s="199"/>
      <c r="AI2379" s="150">
        <v>0</v>
      </c>
      <c r="AJ2379" s="169">
        <f t="shared" si="2113"/>
        <v>0</v>
      </c>
      <c r="AK2379" s="201">
        <v>0</v>
      </c>
      <c r="AL2379" s="199"/>
      <c r="AM2379" s="150">
        <f t="shared" si="2124"/>
        <v>0</v>
      </c>
      <c r="AN2379" s="153">
        <f t="shared" si="2114"/>
        <v>0</v>
      </c>
      <c r="AO2379" s="154">
        <f t="shared" si="2115"/>
        <v>0</v>
      </c>
      <c r="AP2379" s="150">
        <v>0</v>
      </c>
      <c r="AQ2379" s="201">
        <v>0</v>
      </c>
      <c r="AR2379" s="199"/>
      <c r="AS2379" s="150">
        <f t="shared" si="2125"/>
        <v>0</v>
      </c>
      <c r="AT2379" s="155"/>
      <c r="AU2379" s="156">
        <f t="shared" si="2110"/>
        <v>0</v>
      </c>
      <c r="AV2379" s="156">
        <f t="shared" si="2111"/>
        <v>0</v>
      </c>
      <c r="AW2379" s="157"/>
      <c r="AX2379" s="150">
        <v>0</v>
      </c>
      <c r="AY2379" s="150">
        <v>0</v>
      </c>
      <c r="AZ2379" s="150"/>
      <c r="BA2379" s="150">
        <f t="shared" si="2090"/>
        <v>0</v>
      </c>
      <c r="BB2379" s="202">
        <v>8</v>
      </c>
      <c r="BC2379" s="202" t="s">
        <v>632</v>
      </c>
      <c r="BD2379" s="202" t="s">
        <v>647</v>
      </c>
      <c r="BE2379" s="202" t="s">
        <v>671</v>
      </c>
      <c r="BF2379" s="202" t="s">
        <v>714</v>
      </c>
      <c r="BG2379" s="203" t="s">
        <v>10693</v>
      </c>
      <c r="BH2379" s="216">
        <f t="shared" si="2127"/>
        <v>0</v>
      </c>
      <c r="BI2379" s="205"/>
      <c r="BJ2379" s="206" t="s">
        <v>10694</v>
      </c>
      <c r="BK2379" s="206" t="s">
        <v>10690</v>
      </c>
      <c r="BL2379" s="207" t="s">
        <v>10695</v>
      </c>
      <c r="BM2379" s="208">
        <f t="shared" si="2128"/>
        <v>0</v>
      </c>
      <c r="BN2379" s="160"/>
      <c r="BO2379" s="161">
        <f t="shared" si="2121"/>
        <v>0</v>
      </c>
      <c r="BP2379" s="161"/>
    </row>
    <row r="2380" spans="1:68" ht="38.25">
      <c r="A2380" s="206" t="s">
        <v>10696</v>
      </c>
      <c r="B2380" s="195" t="s">
        <v>10697</v>
      </c>
      <c r="C2380" s="196" t="s">
        <v>10698</v>
      </c>
      <c r="D2380" s="146" t="s">
        <v>4692</v>
      </c>
      <c r="E2380" s="196" t="s">
        <v>10698</v>
      </c>
      <c r="F2380" s="150">
        <v>0</v>
      </c>
      <c r="G2380" s="209">
        <v>0</v>
      </c>
      <c r="H2380" s="209"/>
      <c r="I2380" s="209">
        <v>0</v>
      </c>
      <c r="J2380" s="150">
        <v>0</v>
      </c>
      <c r="K2380" s="150">
        <v>0</v>
      </c>
      <c r="L2380" s="150">
        <f t="shared" si="2129"/>
        <v>0</v>
      </c>
      <c r="M2380" s="150">
        <v>0</v>
      </c>
      <c r="N2380" s="150"/>
      <c r="O2380" s="150">
        <v>0</v>
      </c>
      <c r="P2380" s="150">
        <v>0</v>
      </c>
      <c r="Q2380" s="150">
        <v>0</v>
      </c>
      <c r="R2380" s="150">
        <f t="shared" si="2126"/>
        <v>0</v>
      </c>
      <c r="S2380" s="150">
        <f t="shared" si="2108"/>
        <v>0</v>
      </c>
      <c r="T2380" s="150"/>
      <c r="U2380" s="150">
        <v>0</v>
      </c>
      <c r="V2380" s="199"/>
      <c r="W2380" s="150">
        <f t="shared" si="2122"/>
        <v>0</v>
      </c>
      <c r="X2380" s="150">
        <v>0</v>
      </c>
      <c r="Y2380" s="150"/>
      <c r="Z2380" s="150">
        <v>0</v>
      </c>
      <c r="AA2380" s="150">
        <f t="shared" si="2112"/>
        <v>0</v>
      </c>
      <c r="AB2380" s="150">
        <v>0</v>
      </c>
      <c r="AC2380" s="199"/>
      <c r="AD2380" s="150">
        <f t="shared" si="2123"/>
        <v>0</v>
      </c>
      <c r="AE2380" s="150">
        <v>0</v>
      </c>
      <c r="AF2380" s="169" t="s">
        <v>4680</v>
      </c>
      <c r="AG2380" s="201">
        <v>0</v>
      </c>
      <c r="AH2380" s="199"/>
      <c r="AI2380" s="150">
        <v>0</v>
      </c>
      <c r="AJ2380" s="169">
        <f t="shared" si="2113"/>
        <v>0</v>
      </c>
      <c r="AK2380" s="201">
        <v>0</v>
      </c>
      <c r="AL2380" s="199"/>
      <c r="AM2380" s="150">
        <f t="shared" si="2124"/>
        <v>0</v>
      </c>
      <c r="AN2380" s="153">
        <f t="shared" si="2114"/>
        <v>0</v>
      </c>
      <c r="AO2380" s="154">
        <f t="shared" si="2115"/>
        <v>0</v>
      </c>
      <c r="AP2380" s="150">
        <v>0</v>
      </c>
      <c r="AQ2380" s="201">
        <v>0</v>
      </c>
      <c r="AR2380" s="199"/>
      <c r="AS2380" s="150">
        <f t="shared" si="2125"/>
        <v>0</v>
      </c>
      <c r="AT2380" s="155"/>
      <c r="AU2380" s="156">
        <f t="shared" si="2110"/>
        <v>0</v>
      </c>
      <c r="AV2380" s="156">
        <f t="shared" si="2111"/>
        <v>0</v>
      </c>
      <c r="AW2380" s="157"/>
      <c r="AX2380" s="150">
        <v>0</v>
      </c>
      <c r="AY2380" s="150">
        <v>0</v>
      </c>
      <c r="AZ2380" s="150"/>
      <c r="BA2380" s="150">
        <f t="shared" si="2090"/>
        <v>0</v>
      </c>
      <c r="BB2380" s="202">
        <v>8</v>
      </c>
      <c r="BC2380" s="202" t="s">
        <v>632</v>
      </c>
      <c r="BD2380" s="202" t="s">
        <v>647</v>
      </c>
      <c r="BE2380" s="202" t="s">
        <v>671</v>
      </c>
      <c r="BF2380" s="202" t="s">
        <v>739</v>
      </c>
      <c r="BG2380" s="203" t="s">
        <v>10698</v>
      </c>
      <c r="BH2380" s="216">
        <f t="shared" si="2127"/>
        <v>0</v>
      </c>
      <c r="BI2380" s="205"/>
      <c r="BJ2380" s="206" t="s">
        <v>10699</v>
      </c>
      <c r="BK2380" s="206" t="s">
        <v>10696</v>
      </c>
      <c r="BL2380" s="207" t="s">
        <v>10700</v>
      </c>
      <c r="BM2380" s="208">
        <f t="shared" si="2128"/>
        <v>0</v>
      </c>
      <c r="BN2380" s="160"/>
      <c r="BO2380" s="161">
        <f t="shared" si="2121"/>
        <v>0</v>
      </c>
      <c r="BP2380" s="161"/>
    </row>
    <row r="2381" spans="1:68" ht="38.25">
      <c r="A2381" s="206" t="s">
        <v>10701</v>
      </c>
      <c r="B2381" s="195" t="s">
        <v>10702</v>
      </c>
      <c r="C2381" s="196" t="s">
        <v>10703</v>
      </c>
      <c r="D2381" s="146" t="s">
        <v>4692</v>
      </c>
      <c r="E2381" s="196" t="s">
        <v>10703</v>
      </c>
      <c r="F2381" s="150">
        <v>0</v>
      </c>
      <c r="G2381" s="209">
        <v>0</v>
      </c>
      <c r="H2381" s="209">
        <v>0</v>
      </c>
      <c r="I2381" s="209">
        <v>0</v>
      </c>
      <c r="J2381" s="150">
        <v>0</v>
      </c>
      <c r="K2381" s="150">
        <v>0</v>
      </c>
      <c r="L2381" s="150">
        <f t="shared" si="2129"/>
        <v>0</v>
      </c>
      <c r="M2381" s="150">
        <v>0</v>
      </c>
      <c r="N2381" s="150"/>
      <c r="O2381" s="150">
        <v>0</v>
      </c>
      <c r="P2381" s="150">
        <v>0</v>
      </c>
      <c r="Q2381" s="150">
        <v>0</v>
      </c>
      <c r="R2381" s="150">
        <f t="shared" si="2126"/>
        <v>0</v>
      </c>
      <c r="S2381" s="150">
        <f t="shared" si="2108"/>
        <v>0</v>
      </c>
      <c r="T2381" s="150"/>
      <c r="U2381" s="150">
        <v>0</v>
      </c>
      <c r="V2381" s="199"/>
      <c r="W2381" s="150">
        <f t="shared" si="2122"/>
        <v>0</v>
      </c>
      <c r="X2381" s="150">
        <v>0</v>
      </c>
      <c r="Y2381" s="150"/>
      <c r="Z2381" s="150">
        <v>0</v>
      </c>
      <c r="AA2381" s="150">
        <f t="shared" si="2112"/>
        <v>0</v>
      </c>
      <c r="AB2381" s="150">
        <v>0</v>
      </c>
      <c r="AC2381" s="199"/>
      <c r="AD2381" s="150">
        <f t="shared" si="2123"/>
        <v>0</v>
      </c>
      <c r="AE2381" s="150">
        <v>0</v>
      </c>
      <c r="AF2381" s="169" t="s">
        <v>4680</v>
      </c>
      <c r="AG2381" s="201">
        <v>0</v>
      </c>
      <c r="AH2381" s="199"/>
      <c r="AI2381" s="150">
        <v>0</v>
      </c>
      <c r="AJ2381" s="169">
        <f t="shared" si="2113"/>
        <v>0</v>
      </c>
      <c r="AK2381" s="201">
        <v>0</v>
      </c>
      <c r="AL2381" s="199"/>
      <c r="AM2381" s="150">
        <f t="shared" si="2124"/>
        <v>0</v>
      </c>
      <c r="AN2381" s="153">
        <f t="shared" si="2114"/>
        <v>0</v>
      </c>
      <c r="AO2381" s="154">
        <f t="shared" si="2115"/>
        <v>0</v>
      </c>
      <c r="AP2381" s="150">
        <v>0</v>
      </c>
      <c r="AQ2381" s="201">
        <v>0</v>
      </c>
      <c r="AR2381" s="199"/>
      <c r="AS2381" s="150">
        <f t="shared" si="2125"/>
        <v>0</v>
      </c>
      <c r="AT2381" s="155"/>
      <c r="AU2381" s="156">
        <f t="shared" si="2110"/>
        <v>0</v>
      </c>
      <c r="AV2381" s="156">
        <f t="shared" si="2111"/>
        <v>0</v>
      </c>
      <c r="AW2381" s="157"/>
      <c r="AX2381" s="150">
        <v>0</v>
      </c>
      <c r="AY2381" s="150">
        <v>0</v>
      </c>
      <c r="AZ2381" s="150"/>
      <c r="BA2381" s="150">
        <f t="shared" si="2090"/>
        <v>0</v>
      </c>
      <c r="BB2381" s="202">
        <v>8</v>
      </c>
      <c r="BC2381" s="202" t="s">
        <v>632</v>
      </c>
      <c r="BD2381" s="202" t="s">
        <v>647</v>
      </c>
      <c r="BE2381" s="202" t="s">
        <v>671</v>
      </c>
      <c r="BF2381" s="202" t="s">
        <v>755</v>
      </c>
      <c r="BG2381" s="203" t="s">
        <v>10704</v>
      </c>
      <c r="BH2381" s="216">
        <f t="shared" si="2127"/>
        <v>0</v>
      </c>
      <c r="BI2381" s="205"/>
      <c r="BJ2381" s="206" t="s">
        <v>10705</v>
      </c>
      <c r="BK2381" s="206" t="s">
        <v>10701</v>
      </c>
      <c r="BL2381" s="207" t="s">
        <v>10706</v>
      </c>
      <c r="BM2381" s="208">
        <f t="shared" si="2128"/>
        <v>0</v>
      </c>
      <c r="BN2381" s="160"/>
      <c r="BO2381" s="161">
        <f t="shared" si="2121"/>
        <v>0</v>
      </c>
      <c r="BP2381" s="161"/>
    </row>
    <row r="2382" spans="1:68" ht="25.5">
      <c r="A2382" s="206" t="s">
        <v>10707</v>
      </c>
      <c r="B2382" s="195" t="s">
        <v>10708</v>
      </c>
      <c r="C2382" s="196" t="s">
        <v>10709</v>
      </c>
      <c r="D2382" s="146" t="s">
        <v>4692</v>
      </c>
      <c r="E2382" s="196" t="s">
        <v>10709</v>
      </c>
      <c r="F2382" s="150">
        <v>0</v>
      </c>
      <c r="G2382" s="209">
        <v>0</v>
      </c>
      <c r="H2382" s="209"/>
      <c r="I2382" s="209">
        <v>0</v>
      </c>
      <c r="J2382" s="150">
        <v>0</v>
      </c>
      <c r="K2382" s="150">
        <v>0</v>
      </c>
      <c r="L2382" s="150">
        <f t="shared" si="2129"/>
        <v>0</v>
      </c>
      <c r="M2382" s="150">
        <v>0</v>
      </c>
      <c r="N2382" s="150"/>
      <c r="O2382" s="150">
        <v>0</v>
      </c>
      <c r="P2382" s="150">
        <v>0</v>
      </c>
      <c r="Q2382" s="150">
        <v>0</v>
      </c>
      <c r="R2382" s="150">
        <f t="shared" si="2126"/>
        <v>0</v>
      </c>
      <c r="S2382" s="150">
        <f t="shared" si="2108"/>
        <v>0</v>
      </c>
      <c r="T2382" s="150"/>
      <c r="U2382" s="150">
        <v>60048</v>
      </c>
      <c r="V2382" s="199"/>
      <c r="W2382" s="150">
        <f t="shared" si="2122"/>
        <v>60048</v>
      </c>
      <c r="X2382" s="150">
        <v>60048</v>
      </c>
      <c r="Y2382" s="150"/>
      <c r="Z2382" s="150">
        <v>60048</v>
      </c>
      <c r="AA2382" s="150">
        <f t="shared" si="2112"/>
        <v>0</v>
      </c>
      <c r="AB2382" s="150">
        <v>60048</v>
      </c>
      <c r="AC2382" s="199"/>
      <c r="AD2382" s="150">
        <f t="shared" si="2123"/>
        <v>60048</v>
      </c>
      <c r="AE2382" s="150">
        <v>60048</v>
      </c>
      <c r="AF2382" s="169" t="s">
        <v>4680</v>
      </c>
      <c r="AG2382" s="201">
        <v>60048</v>
      </c>
      <c r="AH2382" s="199"/>
      <c r="AI2382" s="150">
        <v>60048</v>
      </c>
      <c r="AJ2382" s="169">
        <f t="shared" si="2113"/>
        <v>0</v>
      </c>
      <c r="AK2382" s="201">
        <v>60048</v>
      </c>
      <c r="AL2382" s="199"/>
      <c r="AM2382" s="150">
        <f t="shared" si="2124"/>
        <v>60048</v>
      </c>
      <c r="AN2382" s="153">
        <f t="shared" si="2114"/>
        <v>0</v>
      </c>
      <c r="AO2382" s="154">
        <f t="shared" si="2115"/>
        <v>0</v>
      </c>
      <c r="AP2382" s="150">
        <v>60048</v>
      </c>
      <c r="AQ2382" s="201">
        <v>60048</v>
      </c>
      <c r="AR2382" s="199"/>
      <c r="AS2382" s="150">
        <f t="shared" si="2125"/>
        <v>60048</v>
      </c>
      <c r="AT2382" s="155"/>
      <c r="AU2382" s="156">
        <f t="shared" si="2110"/>
        <v>0</v>
      </c>
      <c r="AV2382" s="156">
        <f t="shared" si="2111"/>
        <v>0</v>
      </c>
      <c r="AW2382" s="157"/>
      <c r="AX2382" s="150">
        <v>60048</v>
      </c>
      <c r="AY2382" s="150">
        <v>0</v>
      </c>
      <c r="AZ2382" s="150"/>
      <c r="BA2382" s="150">
        <f t="shared" si="2090"/>
        <v>0</v>
      </c>
      <c r="BB2382" s="202">
        <v>8</v>
      </c>
      <c r="BC2382" s="202" t="s">
        <v>632</v>
      </c>
      <c r="BD2382" s="202" t="s">
        <v>647</v>
      </c>
      <c r="BE2382" s="202" t="s">
        <v>671</v>
      </c>
      <c r="BF2382" s="202" t="s">
        <v>766</v>
      </c>
      <c r="BG2382" s="203" t="s">
        <v>10710</v>
      </c>
      <c r="BH2382" s="216">
        <f t="shared" si="2127"/>
        <v>60048</v>
      </c>
      <c r="BI2382" s="205"/>
      <c r="BJ2382" s="206" t="s">
        <v>10711</v>
      </c>
      <c r="BK2382" s="206" t="s">
        <v>10707</v>
      </c>
      <c r="BL2382" s="207" t="s">
        <v>10712</v>
      </c>
      <c r="BM2382" s="208">
        <f t="shared" si="2128"/>
        <v>60048</v>
      </c>
      <c r="BN2382" s="160"/>
      <c r="BO2382" s="161">
        <f t="shared" si="2121"/>
        <v>0</v>
      </c>
      <c r="BP2382" s="161"/>
    </row>
    <row r="2383" spans="1:68" ht="25.5">
      <c r="A2383" s="256" t="s">
        <v>10713</v>
      </c>
      <c r="B2383" s="184"/>
      <c r="C2383" s="185" t="s">
        <v>10566</v>
      </c>
      <c r="D2383" s="146" t="s">
        <v>4692</v>
      </c>
      <c r="E2383" s="185" t="s">
        <v>10566</v>
      </c>
      <c r="F2383" s="188">
        <v>0</v>
      </c>
      <c r="G2383" s="187">
        <v>0</v>
      </c>
      <c r="H2383" s="187"/>
      <c r="I2383" s="187">
        <v>0</v>
      </c>
      <c r="J2383" s="188">
        <f>SUM(J2384:J2385)</f>
        <v>0</v>
      </c>
      <c r="K2383" s="188">
        <f>SUM(K2384:K2385)</f>
        <v>0</v>
      </c>
      <c r="L2383" s="188">
        <f t="shared" si="2129"/>
        <v>0</v>
      </c>
      <c r="M2383" s="188">
        <v>0</v>
      </c>
      <c r="N2383" s="188">
        <v>0</v>
      </c>
      <c r="O2383" s="188">
        <v>0</v>
      </c>
      <c r="P2383" s="299">
        <f t="shared" ref="P2383:AD2383" si="2130">SUM(P2384:P2385)</f>
        <v>0</v>
      </c>
      <c r="Q2383" s="299">
        <f t="shared" si="2130"/>
        <v>0</v>
      </c>
      <c r="R2383" s="299">
        <f t="shared" si="2130"/>
        <v>0</v>
      </c>
      <c r="S2383" s="150">
        <f t="shared" si="2108"/>
        <v>0</v>
      </c>
      <c r="T2383" s="213"/>
      <c r="U2383" s="299">
        <f t="shared" ref="U2383:W2383" si="2131">SUM(U2384:U2385)</f>
        <v>0</v>
      </c>
      <c r="V2383" s="226">
        <f t="shared" si="2131"/>
        <v>0</v>
      </c>
      <c r="W2383" s="299">
        <f t="shared" si="2131"/>
        <v>0</v>
      </c>
      <c r="X2383" s="299">
        <v>0</v>
      </c>
      <c r="Y2383" s="299">
        <v>0</v>
      </c>
      <c r="Z2383" s="299">
        <v>0</v>
      </c>
      <c r="AA2383" s="299">
        <f t="shared" si="2112"/>
        <v>0.05</v>
      </c>
      <c r="AB2383" s="299">
        <v>0.05</v>
      </c>
      <c r="AC2383" s="226">
        <v>0</v>
      </c>
      <c r="AD2383" s="299">
        <f t="shared" si="2130"/>
        <v>0.05</v>
      </c>
      <c r="AE2383" s="299">
        <v>0</v>
      </c>
      <c r="AF2383" s="169" t="s">
        <v>4680</v>
      </c>
      <c r="AG2383" s="301">
        <v>0</v>
      </c>
      <c r="AH2383" s="226">
        <v>0</v>
      </c>
      <c r="AI2383" s="299">
        <v>0</v>
      </c>
      <c r="AJ2383" s="169">
        <f t="shared" si="2113"/>
        <v>0</v>
      </c>
      <c r="AK2383" s="301">
        <v>0</v>
      </c>
      <c r="AL2383" s="226">
        <v>0</v>
      </c>
      <c r="AM2383" s="299">
        <f t="shared" ref="AM2383" si="2132">SUM(AM2384:AM2385)</f>
        <v>0</v>
      </c>
      <c r="AN2383" s="153">
        <f t="shared" si="2114"/>
        <v>0.05</v>
      </c>
      <c r="AO2383" s="154">
        <f t="shared" si="2115"/>
        <v>0.05</v>
      </c>
      <c r="AP2383" s="299">
        <v>0</v>
      </c>
      <c r="AQ2383" s="301">
        <v>0.05</v>
      </c>
      <c r="AR2383" s="226">
        <f t="shared" ref="AR2383:AS2383" si="2133">SUM(AR2384:AR2385)</f>
        <v>0</v>
      </c>
      <c r="AS2383" s="299">
        <f t="shared" si="2133"/>
        <v>0.05</v>
      </c>
      <c r="AT2383" s="155"/>
      <c r="AU2383" s="156">
        <f t="shared" si="2110"/>
        <v>-0.05</v>
      </c>
      <c r="AV2383" s="156">
        <f t="shared" si="2111"/>
        <v>0.05</v>
      </c>
      <c r="AW2383" s="157"/>
      <c r="AX2383" s="150">
        <v>0</v>
      </c>
      <c r="AY2383" s="299">
        <f t="shared" ref="AY2383:BA2383" si="2134">SUM(AY2384:AY2385)</f>
        <v>0</v>
      </c>
      <c r="AZ2383" s="299">
        <f t="shared" si="2134"/>
        <v>0</v>
      </c>
      <c r="BA2383" s="299">
        <f t="shared" si="2134"/>
        <v>0</v>
      </c>
      <c r="BB2383" s="192">
        <v>8</v>
      </c>
      <c r="BC2383" s="256" t="s">
        <v>632</v>
      </c>
      <c r="BD2383" s="256" t="s">
        <v>647</v>
      </c>
      <c r="BE2383" s="256" t="s">
        <v>693</v>
      </c>
      <c r="BF2383" s="256" t="s">
        <v>630</v>
      </c>
      <c r="BG2383" s="185" t="s">
        <v>10566</v>
      </c>
      <c r="BH2383" s="215">
        <f>SUM(BH2384:BH2385)</f>
        <v>0.05</v>
      </c>
      <c r="BI2383" s="192"/>
      <c r="BJ2383" s="256" t="s">
        <v>10714</v>
      </c>
      <c r="BK2383" s="256" t="s">
        <v>10713</v>
      </c>
      <c r="BL2383" s="238" t="s">
        <v>10715</v>
      </c>
      <c r="BM2383" s="215">
        <f>SUM(BM2384:BM2385)</f>
        <v>0.05</v>
      </c>
      <c r="BN2383" s="160"/>
      <c r="BO2383" s="161">
        <f t="shared" si="2121"/>
        <v>0</v>
      </c>
      <c r="BP2383" s="161"/>
    </row>
    <row r="2384" spans="1:68">
      <c r="A2384" s="206" t="s">
        <v>10713</v>
      </c>
      <c r="B2384" s="195" t="s">
        <v>10716</v>
      </c>
      <c r="C2384" s="196" t="s">
        <v>10717</v>
      </c>
      <c r="D2384" s="146" t="s">
        <v>4692</v>
      </c>
      <c r="E2384" s="196" t="s">
        <v>10717</v>
      </c>
      <c r="F2384" s="150">
        <v>0</v>
      </c>
      <c r="G2384" s="209">
        <v>2188379.41</v>
      </c>
      <c r="H2384" s="209">
        <v>-478090</v>
      </c>
      <c r="I2384" s="209">
        <v>1710289.41</v>
      </c>
      <c r="J2384" s="150">
        <v>0</v>
      </c>
      <c r="K2384" s="150">
        <v>0</v>
      </c>
      <c r="L2384" s="150">
        <f t="shared" si="2129"/>
        <v>0</v>
      </c>
      <c r="M2384" s="150">
        <v>0</v>
      </c>
      <c r="N2384" s="150"/>
      <c r="O2384" s="150">
        <v>0</v>
      </c>
      <c r="P2384" s="150">
        <v>0</v>
      </c>
      <c r="Q2384" s="150">
        <v>0</v>
      </c>
      <c r="R2384" s="150">
        <f>P2384+Q2384</f>
        <v>0</v>
      </c>
      <c r="S2384" s="150">
        <f t="shared" si="2108"/>
        <v>0</v>
      </c>
      <c r="T2384" s="150"/>
      <c r="U2384" s="150">
        <v>0</v>
      </c>
      <c r="V2384" s="199"/>
      <c r="W2384" s="150">
        <f t="shared" ref="W2384:W2434" si="2135">U2384+V2384</f>
        <v>0</v>
      </c>
      <c r="X2384" s="150">
        <v>0</v>
      </c>
      <c r="Y2384" s="150"/>
      <c r="Z2384" s="150">
        <v>0</v>
      </c>
      <c r="AA2384" s="150">
        <f t="shared" si="2112"/>
        <v>0</v>
      </c>
      <c r="AB2384" s="150">
        <v>0</v>
      </c>
      <c r="AC2384" s="199"/>
      <c r="AD2384" s="150">
        <f t="shared" ref="AD2384:AD2434" si="2136">AB2384+AC2384</f>
        <v>0</v>
      </c>
      <c r="AE2384" s="150">
        <v>0</v>
      </c>
      <c r="AF2384" s="169" t="s">
        <v>4680</v>
      </c>
      <c r="AG2384" s="201">
        <v>0</v>
      </c>
      <c r="AH2384" s="199"/>
      <c r="AI2384" s="150">
        <v>0</v>
      </c>
      <c r="AJ2384" s="169">
        <f t="shared" si="2113"/>
        <v>0</v>
      </c>
      <c r="AK2384" s="201">
        <v>0</v>
      </c>
      <c r="AL2384" s="199"/>
      <c r="AM2384" s="150">
        <f t="shared" ref="AM2384:AM2434" si="2137">AK2384+AL2384</f>
        <v>0</v>
      </c>
      <c r="AN2384" s="153">
        <f t="shared" si="2114"/>
        <v>0</v>
      </c>
      <c r="AO2384" s="154">
        <f t="shared" si="2115"/>
        <v>0</v>
      </c>
      <c r="AP2384" s="150">
        <v>0</v>
      </c>
      <c r="AQ2384" s="201">
        <v>0</v>
      </c>
      <c r="AR2384" s="199"/>
      <c r="AS2384" s="150">
        <f t="shared" ref="AS2384:AS2434" si="2138">AQ2384+AR2384</f>
        <v>0</v>
      </c>
      <c r="AT2384" s="155"/>
      <c r="AU2384" s="156">
        <f t="shared" si="2110"/>
        <v>0</v>
      </c>
      <c r="AV2384" s="156">
        <f t="shared" si="2111"/>
        <v>0</v>
      </c>
      <c r="AW2384" s="157"/>
      <c r="AX2384" s="150">
        <v>0</v>
      </c>
      <c r="AY2384" s="150">
        <v>0</v>
      </c>
      <c r="AZ2384" s="150"/>
      <c r="BA2384" s="150">
        <f t="shared" si="2090"/>
        <v>0</v>
      </c>
      <c r="BB2384" s="202">
        <v>8</v>
      </c>
      <c r="BC2384" s="202" t="s">
        <v>632</v>
      </c>
      <c r="BD2384" s="202" t="s">
        <v>647</v>
      </c>
      <c r="BE2384" s="202" t="s">
        <v>693</v>
      </c>
      <c r="BF2384" s="202" t="s">
        <v>632</v>
      </c>
      <c r="BG2384" s="203" t="s">
        <v>10566</v>
      </c>
      <c r="BH2384" s="216">
        <f>SUM(AS2384:AS2385)</f>
        <v>0.05</v>
      </c>
      <c r="BI2384" s="205"/>
      <c r="BJ2384" s="206" t="s">
        <v>10714</v>
      </c>
      <c r="BK2384" s="206" t="s">
        <v>10713</v>
      </c>
      <c r="BL2384" s="207" t="s">
        <v>10715</v>
      </c>
      <c r="BM2384" s="208">
        <f>BH2384</f>
        <v>0.05</v>
      </c>
      <c r="BN2384" s="160"/>
      <c r="BO2384" s="161"/>
      <c r="BP2384" s="161"/>
    </row>
    <row r="2385" spans="1:68">
      <c r="A2385" s="205"/>
      <c r="B2385" s="195" t="s">
        <v>10718</v>
      </c>
      <c r="C2385" s="196" t="s">
        <v>10719</v>
      </c>
      <c r="D2385" s="146" t="s">
        <v>4692</v>
      </c>
      <c r="E2385" s="377" t="s">
        <v>10719</v>
      </c>
      <c r="F2385" s="150">
        <v>0</v>
      </c>
      <c r="G2385" s="209">
        <v>0</v>
      </c>
      <c r="H2385" s="209">
        <v>0</v>
      </c>
      <c r="I2385" s="209">
        <v>0</v>
      </c>
      <c r="J2385" s="150">
        <v>0</v>
      </c>
      <c r="K2385" s="150">
        <v>0</v>
      </c>
      <c r="L2385" s="150">
        <f t="shared" si="2129"/>
        <v>0</v>
      </c>
      <c r="M2385" s="150">
        <v>0</v>
      </c>
      <c r="N2385" s="150"/>
      <c r="O2385" s="150">
        <v>0</v>
      </c>
      <c r="P2385" s="150">
        <v>0</v>
      </c>
      <c r="Q2385" s="150">
        <v>0</v>
      </c>
      <c r="R2385" s="150">
        <f>P2385+Q2385</f>
        <v>0</v>
      </c>
      <c r="S2385" s="150">
        <f t="shared" si="2108"/>
        <v>0</v>
      </c>
      <c r="T2385" s="150"/>
      <c r="U2385" s="150">
        <v>0</v>
      </c>
      <c r="V2385" s="199"/>
      <c r="W2385" s="150">
        <f t="shared" si="2135"/>
        <v>0</v>
      </c>
      <c r="X2385" s="150">
        <v>0</v>
      </c>
      <c r="Y2385" s="150"/>
      <c r="Z2385" s="150">
        <v>0</v>
      </c>
      <c r="AA2385" s="150">
        <f t="shared" si="2112"/>
        <v>0.05</v>
      </c>
      <c r="AB2385" s="150">
        <v>0.05</v>
      </c>
      <c r="AC2385" s="199"/>
      <c r="AD2385" s="150">
        <f t="shared" si="2136"/>
        <v>0.05</v>
      </c>
      <c r="AE2385" s="150"/>
      <c r="AF2385" s="169" t="s">
        <v>4680</v>
      </c>
      <c r="AG2385" s="201"/>
      <c r="AH2385" s="199"/>
      <c r="AI2385" s="150">
        <v>0</v>
      </c>
      <c r="AJ2385" s="169">
        <f t="shared" si="2113"/>
        <v>0</v>
      </c>
      <c r="AK2385" s="201"/>
      <c r="AL2385" s="199"/>
      <c r="AM2385" s="150">
        <f t="shared" si="2137"/>
        <v>0</v>
      </c>
      <c r="AN2385" s="153">
        <f t="shared" si="2114"/>
        <v>0.05</v>
      </c>
      <c r="AO2385" s="154">
        <f t="shared" si="2115"/>
        <v>0.05</v>
      </c>
      <c r="AP2385" s="150">
        <v>0</v>
      </c>
      <c r="AQ2385" s="201">
        <v>0.05</v>
      </c>
      <c r="AR2385" s="199"/>
      <c r="AS2385" s="150">
        <f t="shared" si="2138"/>
        <v>0.05</v>
      </c>
      <c r="AT2385" s="155"/>
      <c r="AU2385" s="156">
        <f t="shared" si="2110"/>
        <v>-0.05</v>
      </c>
      <c r="AV2385" s="156">
        <f t="shared" si="2111"/>
        <v>0.05</v>
      </c>
      <c r="AW2385" s="157"/>
      <c r="AX2385" s="150">
        <v>0</v>
      </c>
      <c r="AY2385" s="150">
        <v>0</v>
      </c>
      <c r="AZ2385" s="150"/>
      <c r="BA2385" s="150">
        <f>AY2385+AZ2385</f>
        <v>0</v>
      </c>
      <c r="BB2385" s="202"/>
      <c r="BC2385" s="202"/>
      <c r="BD2385" s="202"/>
      <c r="BE2385" s="202"/>
      <c r="BF2385" s="202"/>
      <c r="BG2385" s="203"/>
      <c r="BH2385" s="216"/>
      <c r="BI2385" s="205"/>
      <c r="BJ2385" s="205"/>
      <c r="BK2385" s="205"/>
      <c r="BL2385" s="203"/>
      <c r="BM2385" s="208"/>
      <c r="BN2385" s="160"/>
      <c r="BO2385" s="161"/>
      <c r="BP2385" s="161"/>
    </row>
    <row r="2386" spans="1:68">
      <c r="A2386" s="262" t="s">
        <v>10720</v>
      </c>
      <c r="B2386" s="163"/>
      <c r="C2386" s="164" t="s">
        <v>10721</v>
      </c>
      <c r="D2386" s="146" t="s">
        <v>4692</v>
      </c>
      <c r="E2386" s="164" t="s">
        <v>10721</v>
      </c>
      <c r="F2386" s="167">
        <v>1777578.01</v>
      </c>
      <c r="G2386" s="166">
        <v>0</v>
      </c>
      <c r="H2386" s="166">
        <v>0</v>
      </c>
      <c r="I2386" s="166">
        <v>0</v>
      </c>
      <c r="J2386" s="167">
        <f>J2387+J2435</f>
        <v>76012.47</v>
      </c>
      <c r="K2386" s="167">
        <f>K2387+K2435</f>
        <v>57520</v>
      </c>
      <c r="L2386" s="167">
        <f t="shared" si="2129"/>
        <v>133532.47</v>
      </c>
      <c r="M2386" s="167">
        <v>2893014.9049999998</v>
      </c>
      <c r="N2386" s="167">
        <v>0</v>
      </c>
      <c r="O2386" s="167">
        <v>2893014.9049999998</v>
      </c>
      <c r="P2386" s="167">
        <f>P2387+P2435</f>
        <v>3770303.9899999998</v>
      </c>
      <c r="Q2386" s="167">
        <f>Q2387+Q2435</f>
        <v>-666731.98999999987</v>
      </c>
      <c r="R2386" s="167">
        <f t="shared" ref="R2386:R2434" si="2139">P2386+Q2386</f>
        <v>3103572</v>
      </c>
      <c r="S2386" s="150">
        <f t="shared" si="2108"/>
        <v>4138096</v>
      </c>
      <c r="T2386" s="150"/>
      <c r="U2386" s="167">
        <f>U2387+U2435</f>
        <v>6081504.1799999997</v>
      </c>
      <c r="V2386" s="168">
        <f>V2387+V2435</f>
        <v>118966.89</v>
      </c>
      <c r="W2386" s="167">
        <f t="shared" si="2135"/>
        <v>6200471.0699999994</v>
      </c>
      <c r="X2386" s="167">
        <v>6081504.1799999997</v>
      </c>
      <c r="Y2386" s="167">
        <v>118966.89</v>
      </c>
      <c r="Z2386" s="167">
        <v>6200471.0699999994</v>
      </c>
      <c r="AA2386" s="167">
        <f t="shared" si="2112"/>
        <v>-1774403.0799999991</v>
      </c>
      <c r="AB2386" s="167">
        <v>6116644</v>
      </c>
      <c r="AC2386" s="168">
        <v>-1690576.01</v>
      </c>
      <c r="AD2386" s="167">
        <f t="shared" si="2136"/>
        <v>4426067.99</v>
      </c>
      <c r="AE2386" s="167">
        <v>4061393.8199999994</v>
      </c>
      <c r="AF2386" s="169" t="s">
        <v>4680</v>
      </c>
      <c r="AG2386" s="360">
        <v>6119383.2699999996</v>
      </c>
      <c r="AH2386" s="168">
        <v>-2057989.45</v>
      </c>
      <c r="AI2386" s="167">
        <v>4061393.8199999994</v>
      </c>
      <c r="AJ2386" s="169">
        <f t="shared" si="2113"/>
        <v>-174358.62999999896</v>
      </c>
      <c r="AK2386" s="360">
        <v>5945024.6400000006</v>
      </c>
      <c r="AL2386" s="168">
        <v>-2057989.45</v>
      </c>
      <c r="AM2386" s="167">
        <f t="shared" si="2137"/>
        <v>3887035.1900000004</v>
      </c>
      <c r="AN2386" s="153">
        <f t="shared" si="2114"/>
        <v>-576372.85000000056</v>
      </c>
      <c r="AO2386" s="154">
        <f t="shared" si="2115"/>
        <v>-579972.85000000056</v>
      </c>
      <c r="AP2386" s="167">
        <v>3890635.1900000004</v>
      </c>
      <c r="AQ2386" s="360">
        <v>3310662.34</v>
      </c>
      <c r="AR2386" s="168">
        <f>AR2387+AR2435</f>
        <v>0</v>
      </c>
      <c r="AS2386" s="167">
        <f t="shared" si="2138"/>
        <v>3310662.34</v>
      </c>
      <c r="AT2386" s="155"/>
      <c r="AU2386" s="156">
        <f t="shared" si="2110"/>
        <v>-539032.79999999981</v>
      </c>
      <c r="AV2386" s="156">
        <f t="shared" si="2111"/>
        <v>-1774403.0799999991</v>
      </c>
      <c r="AW2386" s="157"/>
      <c r="AX2386" s="150">
        <v>6200471.0699999994</v>
      </c>
      <c r="AY2386" s="167">
        <f>AY2387+AY2435</f>
        <v>3190744.085</v>
      </c>
      <c r="AZ2386" s="167">
        <f>AZ2387+AZ2435</f>
        <v>-618355.96499999997</v>
      </c>
      <c r="BA2386" s="167">
        <f t="shared" si="2090"/>
        <v>2572388.12</v>
      </c>
      <c r="BB2386" s="263">
        <v>8</v>
      </c>
      <c r="BC2386" s="262" t="s">
        <v>647</v>
      </c>
      <c r="BD2386" s="262" t="s">
        <v>630</v>
      </c>
      <c r="BE2386" s="162" t="s">
        <v>630</v>
      </c>
      <c r="BF2386" s="262" t="s">
        <v>630</v>
      </c>
      <c r="BG2386" s="164" t="s">
        <v>10721</v>
      </c>
      <c r="BH2386" s="235">
        <f>BH2387+BH2435</f>
        <v>3310662.34</v>
      </c>
      <c r="BI2386" s="263"/>
      <c r="BJ2386" s="262" t="s">
        <v>10722</v>
      </c>
      <c r="BK2386" s="262" t="s">
        <v>10720</v>
      </c>
      <c r="BL2386" s="172" t="s">
        <v>10723</v>
      </c>
      <c r="BM2386" s="235">
        <f>BM2387+BM2435</f>
        <v>3310662.34</v>
      </c>
      <c r="BN2386" s="160"/>
      <c r="BO2386" s="161">
        <f t="shared" si="2121"/>
        <v>0</v>
      </c>
      <c r="BP2386" s="161"/>
    </row>
    <row r="2387" spans="1:68">
      <c r="A2387" s="255" t="s">
        <v>10724</v>
      </c>
      <c r="B2387" s="174"/>
      <c r="C2387" s="175" t="s">
        <v>10725</v>
      </c>
      <c r="D2387" s="146" t="s">
        <v>4692</v>
      </c>
      <c r="E2387" s="175" t="s">
        <v>10725</v>
      </c>
      <c r="F2387" s="176">
        <v>0</v>
      </c>
      <c r="G2387" s="177">
        <v>0</v>
      </c>
      <c r="H2387" s="177"/>
      <c r="I2387" s="177">
        <v>0</v>
      </c>
      <c r="J2387" s="176">
        <f t="shared" ref="J2387:AZ2387" si="2140">J2388</f>
        <v>0</v>
      </c>
      <c r="K2387" s="176">
        <f t="shared" si="2140"/>
        <v>0</v>
      </c>
      <c r="L2387" s="176">
        <f t="shared" si="2129"/>
        <v>0</v>
      </c>
      <c r="M2387" s="176">
        <v>0</v>
      </c>
      <c r="N2387" s="176">
        <v>0</v>
      </c>
      <c r="O2387" s="178">
        <v>0</v>
      </c>
      <c r="P2387" s="176">
        <f t="shared" ref="P2387:AR2387" si="2141">P2388</f>
        <v>0</v>
      </c>
      <c r="Q2387" s="176">
        <f t="shared" si="2141"/>
        <v>0</v>
      </c>
      <c r="R2387" s="178">
        <f t="shared" si="2139"/>
        <v>0</v>
      </c>
      <c r="S2387" s="150">
        <f t="shared" si="2108"/>
        <v>0</v>
      </c>
      <c r="T2387" s="150"/>
      <c r="U2387" s="176">
        <f t="shared" ref="U2387:V2387" si="2142">U2388</f>
        <v>0</v>
      </c>
      <c r="V2387" s="179">
        <f t="shared" si="2142"/>
        <v>0</v>
      </c>
      <c r="W2387" s="178">
        <f t="shared" si="2135"/>
        <v>0</v>
      </c>
      <c r="X2387" s="178">
        <v>0</v>
      </c>
      <c r="Y2387" s="178">
        <v>0</v>
      </c>
      <c r="Z2387" s="178">
        <v>0</v>
      </c>
      <c r="AA2387" s="178">
        <f t="shared" si="2112"/>
        <v>0</v>
      </c>
      <c r="AB2387" s="176">
        <v>0</v>
      </c>
      <c r="AC2387" s="179">
        <v>0</v>
      </c>
      <c r="AD2387" s="178">
        <f t="shared" si="2136"/>
        <v>0</v>
      </c>
      <c r="AE2387" s="178">
        <v>0</v>
      </c>
      <c r="AF2387" s="169" t="s">
        <v>4680</v>
      </c>
      <c r="AG2387" s="180">
        <v>0</v>
      </c>
      <c r="AH2387" s="179">
        <v>0</v>
      </c>
      <c r="AI2387" s="178">
        <v>0</v>
      </c>
      <c r="AJ2387" s="169">
        <f t="shared" si="2113"/>
        <v>0</v>
      </c>
      <c r="AK2387" s="180">
        <v>0</v>
      </c>
      <c r="AL2387" s="179">
        <v>0</v>
      </c>
      <c r="AM2387" s="178">
        <f t="shared" si="2137"/>
        <v>0</v>
      </c>
      <c r="AN2387" s="153">
        <f t="shared" si="2114"/>
        <v>0</v>
      </c>
      <c r="AO2387" s="154">
        <f t="shared" si="2115"/>
        <v>0</v>
      </c>
      <c r="AP2387" s="178">
        <v>0</v>
      </c>
      <c r="AQ2387" s="180">
        <v>0</v>
      </c>
      <c r="AR2387" s="179">
        <f t="shared" si="2141"/>
        <v>0</v>
      </c>
      <c r="AS2387" s="178">
        <f t="shared" si="2138"/>
        <v>0</v>
      </c>
      <c r="AT2387" s="155"/>
      <c r="AU2387" s="156">
        <f t="shared" si="2110"/>
        <v>0</v>
      </c>
      <c r="AV2387" s="156">
        <f t="shared" si="2111"/>
        <v>0</v>
      </c>
      <c r="AW2387" s="157"/>
      <c r="AX2387" s="150">
        <v>0</v>
      </c>
      <c r="AY2387" s="176">
        <f t="shared" si="2140"/>
        <v>0</v>
      </c>
      <c r="AZ2387" s="176">
        <f t="shared" si="2140"/>
        <v>0</v>
      </c>
      <c r="BA2387" s="178">
        <f t="shared" si="2090"/>
        <v>0</v>
      </c>
      <c r="BB2387" s="254">
        <v>8</v>
      </c>
      <c r="BC2387" s="255" t="s">
        <v>647</v>
      </c>
      <c r="BD2387" s="255" t="s">
        <v>632</v>
      </c>
      <c r="BE2387" s="173" t="s">
        <v>630</v>
      </c>
      <c r="BF2387" s="255" t="s">
        <v>630</v>
      </c>
      <c r="BG2387" s="175" t="s">
        <v>10725</v>
      </c>
      <c r="BH2387" s="224">
        <f>BH2388</f>
        <v>0</v>
      </c>
      <c r="BI2387" s="254"/>
      <c r="BJ2387" s="255" t="s">
        <v>10726</v>
      </c>
      <c r="BK2387" s="255" t="s">
        <v>10724</v>
      </c>
      <c r="BL2387" s="175" t="s">
        <v>10727</v>
      </c>
      <c r="BM2387" s="224">
        <f>BM2388</f>
        <v>0</v>
      </c>
      <c r="BN2387" s="160"/>
      <c r="BO2387" s="161">
        <f t="shared" si="2121"/>
        <v>0</v>
      </c>
      <c r="BP2387" s="161"/>
    </row>
    <row r="2388" spans="1:68">
      <c r="A2388" s="256" t="s">
        <v>10724</v>
      </c>
      <c r="B2388" s="184"/>
      <c r="C2388" s="185" t="s">
        <v>10725</v>
      </c>
      <c r="D2388" s="146" t="s">
        <v>4692</v>
      </c>
      <c r="E2388" s="185" t="s">
        <v>10725</v>
      </c>
      <c r="F2388" s="188">
        <v>0</v>
      </c>
      <c r="G2388" s="187">
        <v>0</v>
      </c>
      <c r="H2388" s="187"/>
      <c r="I2388" s="187">
        <v>0</v>
      </c>
      <c r="J2388" s="188">
        <f>SUM(J2389:J2434)</f>
        <v>0</v>
      </c>
      <c r="K2388" s="188">
        <f>SUM(K2389:K2434)</f>
        <v>0</v>
      </c>
      <c r="L2388" s="188">
        <f t="shared" si="2129"/>
        <v>0</v>
      </c>
      <c r="M2388" s="188">
        <v>0</v>
      </c>
      <c r="N2388" s="188">
        <v>0</v>
      </c>
      <c r="O2388" s="188">
        <v>0</v>
      </c>
      <c r="P2388" s="188">
        <f>SUM(P2389:P2434)</f>
        <v>0</v>
      </c>
      <c r="Q2388" s="188">
        <f>SUM(Q2389:Q2434)</f>
        <v>0</v>
      </c>
      <c r="R2388" s="188">
        <f t="shared" si="2139"/>
        <v>0</v>
      </c>
      <c r="S2388" s="150">
        <f t="shared" si="2108"/>
        <v>0</v>
      </c>
      <c r="T2388" s="150"/>
      <c r="U2388" s="188">
        <f>SUM(U2389:U2434)</f>
        <v>0</v>
      </c>
      <c r="V2388" s="189">
        <f>SUM(V2389:V2434)</f>
        <v>0</v>
      </c>
      <c r="W2388" s="188">
        <f t="shared" si="2135"/>
        <v>0</v>
      </c>
      <c r="X2388" s="188">
        <v>0</v>
      </c>
      <c r="Y2388" s="188">
        <v>0</v>
      </c>
      <c r="Z2388" s="188">
        <v>0</v>
      </c>
      <c r="AA2388" s="188">
        <f t="shared" si="2112"/>
        <v>0</v>
      </c>
      <c r="AB2388" s="188">
        <v>0</v>
      </c>
      <c r="AC2388" s="189">
        <v>0</v>
      </c>
      <c r="AD2388" s="188">
        <f t="shared" si="2136"/>
        <v>0</v>
      </c>
      <c r="AE2388" s="188">
        <v>0</v>
      </c>
      <c r="AF2388" s="169" t="s">
        <v>4680</v>
      </c>
      <c r="AG2388" s="304">
        <v>0</v>
      </c>
      <c r="AH2388" s="189">
        <v>0</v>
      </c>
      <c r="AI2388" s="188">
        <v>0</v>
      </c>
      <c r="AJ2388" s="169">
        <f t="shared" si="2113"/>
        <v>0</v>
      </c>
      <c r="AK2388" s="304">
        <v>0</v>
      </c>
      <c r="AL2388" s="189">
        <v>0</v>
      </c>
      <c r="AM2388" s="188">
        <f t="shared" si="2137"/>
        <v>0</v>
      </c>
      <c r="AN2388" s="153">
        <f t="shared" si="2114"/>
        <v>0</v>
      </c>
      <c r="AO2388" s="154">
        <f t="shared" si="2115"/>
        <v>0</v>
      </c>
      <c r="AP2388" s="188">
        <v>0</v>
      </c>
      <c r="AQ2388" s="304">
        <v>0</v>
      </c>
      <c r="AR2388" s="189">
        <f>SUM(AR2389:AR2434)</f>
        <v>0</v>
      </c>
      <c r="AS2388" s="188">
        <f t="shared" si="2138"/>
        <v>0</v>
      </c>
      <c r="AT2388" s="155"/>
      <c r="AU2388" s="156">
        <f t="shared" si="2110"/>
        <v>0</v>
      </c>
      <c r="AV2388" s="156">
        <f t="shared" si="2111"/>
        <v>0</v>
      </c>
      <c r="AW2388" s="157"/>
      <c r="AX2388" s="150">
        <v>0</v>
      </c>
      <c r="AY2388" s="188">
        <f>SUM(AY2389:AY2434)</f>
        <v>0</v>
      </c>
      <c r="AZ2388" s="188">
        <f>SUM(AZ2389:AZ2434)</f>
        <v>0</v>
      </c>
      <c r="BA2388" s="188">
        <f t="shared" si="2090"/>
        <v>0</v>
      </c>
      <c r="BB2388" s="192">
        <v>8</v>
      </c>
      <c r="BC2388" s="256" t="s">
        <v>647</v>
      </c>
      <c r="BD2388" s="256" t="s">
        <v>632</v>
      </c>
      <c r="BE2388" s="183" t="s">
        <v>632</v>
      </c>
      <c r="BF2388" s="256" t="s">
        <v>630</v>
      </c>
      <c r="BG2388" s="185" t="s">
        <v>10725</v>
      </c>
      <c r="BH2388" s="215">
        <f>BH2389</f>
        <v>0</v>
      </c>
      <c r="BI2388" s="192"/>
      <c r="BJ2388" s="256" t="s">
        <v>10726</v>
      </c>
      <c r="BK2388" s="256" t="s">
        <v>10724</v>
      </c>
      <c r="BL2388" s="185" t="s">
        <v>10727</v>
      </c>
      <c r="BM2388" s="215">
        <f>BM2389</f>
        <v>0</v>
      </c>
      <c r="BN2388" s="160"/>
      <c r="BO2388" s="161">
        <f t="shared" si="2121"/>
        <v>0</v>
      </c>
      <c r="BP2388" s="161"/>
    </row>
    <row r="2389" spans="1:68" ht="25.5">
      <c r="A2389" s="206" t="s">
        <v>10724</v>
      </c>
      <c r="B2389" s="195" t="s">
        <v>10728</v>
      </c>
      <c r="C2389" s="196" t="s">
        <v>10729</v>
      </c>
      <c r="D2389" s="146" t="s">
        <v>4692</v>
      </c>
      <c r="E2389" s="377" t="s">
        <v>10729</v>
      </c>
      <c r="F2389" s="150">
        <v>0</v>
      </c>
      <c r="G2389" s="209">
        <v>0</v>
      </c>
      <c r="H2389" s="209"/>
      <c r="I2389" s="209">
        <v>0</v>
      </c>
      <c r="J2389" s="150">
        <v>0</v>
      </c>
      <c r="K2389" s="150">
        <v>0</v>
      </c>
      <c r="L2389" s="150">
        <f t="shared" si="2129"/>
        <v>0</v>
      </c>
      <c r="M2389" s="150">
        <v>0</v>
      </c>
      <c r="N2389" s="150"/>
      <c r="O2389" s="150">
        <v>0</v>
      </c>
      <c r="P2389" s="150">
        <v>0</v>
      </c>
      <c r="Q2389" s="150">
        <v>0</v>
      </c>
      <c r="R2389" s="150">
        <f t="shared" si="2139"/>
        <v>0</v>
      </c>
      <c r="S2389" s="150">
        <f t="shared" si="2108"/>
        <v>0</v>
      </c>
      <c r="T2389" s="150"/>
      <c r="U2389" s="150">
        <v>0</v>
      </c>
      <c r="V2389" s="199"/>
      <c r="W2389" s="150">
        <f t="shared" si="2135"/>
        <v>0</v>
      </c>
      <c r="X2389" s="150">
        <v>0</v>
      </c>
      <c r="Y2389" s="150"/>
      <c r="Z2389" s="150">
        <v>0</v>
      </c>
      <c r="AA2389" s="150">
        <f t="shared" si="2112"/>
        <v>0</v>
      </c>
      <c r="AB2389" s="150">
        <v>0</v>
      </c>
      <c r="AC2389" s="199"/>
      <c r="AD2389" s="150">
        <f t="shared" si="2136"/>
        <v>0</v>
      </c>
      <c r="AE2389" s="150">
        <v>0</v>
      </c>
      <c r="AF2389" s="169" t="s">
        <v>4680</v>
      </c>
      <c r="AG2389" s="201">
        <v>0</v>
      </c>
      <c r="AH2389" s="199"/>
      <c r="AI2389" s="150">
        <v>0</v>
      </c>
      <c r="AJ2389" s="169">
        <f t="shared" si="2113"/>
        <v>0</v>
      </c>
      <c r="AK2389" s="201">
        <v>0</v>
      </c>
      <c r="AL2389" s="199"/>
      <c r="AM2389" s="150">
        <f t="shared" si="2137"/>
        <v>0</v>
      </c>
      <c r="AN2389" s="153">
        <f t="shared" si="2114"/>
        <v>0</v>
      </c>
      <c r="AO2389" s="154">
        <f t="shared" si="2115"/>
        <v>0</v>
      </c>
      <c r="AP2389" s="150">
        <v>0</v>
      </c>
      <c r="AQ2389" s="201">
        <v>0</v>
      </c>
      <c r="AR2389" s="199"/>
      <c r="AS2389" s="150">
        <f t="shared" si="2138"/>
        <v>0</v>
      </c>
      <c r="AT2389" s="155"/>
      <c r="AU2389" s="156">
        <f t="shared" si="2110"/>
        <v>0</v>
      </c>
      <c r="AV2389" s="156">
        <f t="shared" si="2111"/>
        <v>0</v>
      </c>
      <c r="AW2389" s="157"/>
      <c r="AX2389" s="150">
        <v>0</v>
      </c>
      <c r="AY2389" s="150">
        <v>0</v>
      </c>
      <c r="AZ2389" s="150"/>
      <c r="BA2389" s="150">
        <f t="shared" si="2090"/>
        <v>0</v>
      </c>
      <c r="BB2389" s="202">
        <v>8</v>
      </c>
      <c r="BC2389" s="202" t="s">
        <v>647</v>
      </c>
      <c r="BD2389" s="202" t="s">
        <v>632</v>
      </c>
      <c r="BE2389" s="202" t="s">
        <v>632</v>
      </c>
      <c r="BF2389" s="202" t="s">
        <v>632</v>
      </c>
      <c r="BG2389" s="203" t="s">
        <v>10725</v>
      </c>
      <c r="BH2389" s="216">
        <f>SUM(AS2389:AS2434)</f>
        <v>0</v>
      </c>
      <c r="BI2389" s="205"/>
      <c r="BJ2389" s="206" t="s">
        <v>10726</v>
      </c>
      <c r="BK2389" s="206" t="s">
        <v>10724</v>
      </c>
      <c r="BL2389" s="207" t="s">
        <v>10727</v>
      </c>
      <c r="BM2389" s="208">
        <f>BH2389</f>
        <v>0</v>
      </c>
      <c r="BN2389" s="160"/>
      <c r="BO2389" s="161">
        <f t="shared" si="2121"/>
        <v>0</v>
      </c>
      <c r="BP2389" s="161"/>
    </row>
    <row r="2390" spans="1:68" ht="25.5">
      <c r="A2390" s="210"/>
      <c r="B2390" s="195" t="s">
        <v>10730</v>
      </c>
      <c r="C2390" s="196" t="s">
        <v>10731</v>
      </c>
      <c r="D2390" s="146" t="s">
        <v>4692</v>
      </c>
      <c r="E2390" s="377" t="s">
        <v>10731</v>
      </c>
      <c r="F2390" s="150">
        <v>0</v>
      </c>
      <c r="G2390" s="209">
        <v>0</v>
      </c>
      <c r="H2390" s="209"/>
      <c r="I2390" s="209">
        <v>0</v>
      </c>
      <c r="J2390" s="150">
        <v>0</v>
      </c>
      <c r="K2390" s="150">
        <v>0</v>
      </c>
      <c r="L2390" s="150">
        <f t="shared" si="2129"/>
        <v>0</v>
      </c>
      <c r="M2390" s="150">
        <v>0</v>
      </c>
      <c r="N2390" s="150"/>
      <c r="O2390" s="150">
        <v>0</v>
      </c>
      <c r="P2390" s="150">
        <v>0</v>
      </c>
      <c r="Q2390" s="150">
        <v>0</v>
      </c>
      <c r="R2390" s="150">
        <f t="shared" si="2139"/>
        <v>0</v>
      </c>
      <c r="S2390" s="150">
        <f t="shared" si="2108"/>
        <v>0</v>
      </c>
      <c r="T2390" s="150"/>
      <c r="U2390" s="150">
        <v>0</v>
      </c>
      <c r="V2390" s="199"/>
      <c r="W2390" s="150">
        <f t="shared" si="2135"/>
        <v>0</v>
      </c>
      <c r="X2390" s="150">
        <v>0</v>
      </c>
      <c r="Y2390" s="150"/>
      <c r="Z2390" s="150">
        <v>0</v>
      </c>
      <c r="AA2390" s="150">
        <f t="shared" si="2112"/>
        <v>0</v>
      </c>
      <c r="AB2390" s="150">
        <v>0</v>
      </c>
      <c r="AC2390" s="199"/>
      <c r="AD2390" s="150">
        <f t="shared" si="2136"/>
        <v>0</v>
      </c>
      <c r="AE2390" s="150">
        <v>0</v>
      </c>
      <c r="AF2390" s="169" t="s">
        <v>4680</v>
      </c>
      <c r="AG2390" s="201">
        <v>0</v>
      </c>
      <c r="AH2390" s="199"/>
      <c r="AI2390" s="150">
        <v>0</v>
      </c>
      <c r="AJ2390" s="169">
        <f t="shared" si="2113"/>
        <v>0</v>
      </c>
      <c r="AK2390" s="201">
        <v>0</v>
      </c>
      <c r="AL2390" s="199"/>
      <c r="AM2390" s="150">
        <f t="shared" si="2137"/>
        <v>0</v>
      </c>
      <c r="AN2390" s="153">
        <f t="shared" si="2114"/>
        <v>0</v>
      </c>
      <c r="AO2390" s="154">
        <f t="shared" si="2115"/>
        <v>0</v>
      </c>
      <c r="AP2390" s="150">
        <v>0</v>
      </c>
      <c r="AQ2390" s="201">
        <v>0</v>
      </c>
      <c r="AR2390" s="199"/>
      <c r="AS2390" s="150">
        <f t="shared" si="2138"/>
        <v>0</v>
      </c>
      <c r="AT2390" s="155"/>
      <c r="AU2390" s="156">
        <f t="shared" si="2110"/>
        <v>0</v>
      </c>
      <c r="AV2390" s="156">
        <f t="shared" si="2111"/>
        <v>0</v>
      </c>
      <c r="AW2390" s="157"/>
      <c r="AX2390" s="150">
        <v>0</v>
      </c>
      <c r="AY2390" s="150">
        <v>0</v>
      </c>
      <c r="AZ2390" s="150"/>
      <c r="BA2390" s="150">
        <f t="shared" si="2090"/>
        <v>0</v>
      </c>
      <c r="BB2390" s="210"/>
      <c r="BC2390" s="210"/>
      <c r="BD2390" s="210"/>
      <c r="BE2390" s="210"/>
      <c r="BF2390" s="210"/>
      <c r="BG2390" s="210"/>
      <c r="BH2390" s="217"/>
      <c r="BI2390" s="210"/>
      <c r="BJ2390" s="210"/>
      <c r="BK2390" s="210"/>
      <c r="BL2390" s="210"/>
      <c r="BM2390" s="208"/>
      <c r="BN2390" s="160"/>
      <c r="BO2390" s="161">
        <f t="shared" si="2121"/>
        <v>0</v>
      </c>
      <c r="BP2390" s="161"/>
    </row>
    <row r="2391" spans="1:68" ht="38.25">
      <c r="A2391" s="210"/>
      <c r="B2391" s="195" t="s">
        <v>10732</v>
      </c>
      <c r="C2391" s="196" t="s">
        <v>10733</v>
      </c>
      <c r="D2391" s="146" t="s">
        <v>4692</v>
      </c>
      <c r="E2391" s="377" t="s">
        <v>10733</v>
      </c>
      <c r="F2391" s="150">
        <v>0</v>
      </c>
      <c r="G2391" s="209">
        <v>0</v>
      </c>
      <c r="H2391" s="209"/>
      <c r="I2391" s="209">
        <v>0</v>
      </c>
      <c r="J2391" s="150">
        <v>0</v>
      </c>
      <c r="K2391" s="150">
        <v>0</v>
      </c>
      <c r="L2391" s="150">
        <f t="shared" si="2129"/>
        <v>0</v>
      </c>
      <c r="M2391" s="150">
        <v>0</v>
      </c>
      <c r="N2391" s="150"/>
      <c r="O2391" s="150">
        <v>0</v>
      </c>
      <c r="P2391" s="150">
        <v>0</v>
      </c>
      <c r="Q2391" s="150">
        <v>0</v>
      </c>
      <c r="R2391" s="150">
        <f t="shared" si="2139"/>
        <v>0</v>
      </c>
      <c r="S2391" s="150">
        <f t="shared" si="2108"/>
        <v>0</v>
      </c>
      <c r="T2391" s="150"/>
      <c r="U2391" s="150">
        <v>0</v>
      </c>
      <c r="V2391" s="199"/>
      <c r="W2391" s="150">
        <f t="shared" si="2135"/>
        <v>0</v>
      </c>
      <c r="X2391" s="150">
        <v>0</v>
      </c>
      <c r="Y2391" s="150"/>
      <c r="Z2391" s="150">
        <v>0</v>
      </c>
      <c r="AA2391" s="150">
        <f t="shared" si="2112"/>
        <v>0</v>
      </c>
      <c r="AB2391" s="150">
        <v>0</v>
      </c>
      <c r="AC2391" s="199"/>
      <c r="AD2391" s="150">
        <f t="shared" si="2136"/>
        <v>0</v>
      </c>
      <c r="AE2391" s="150">
        <v>0</v>
      </c>
      <c r="AF2391" s="169" t="s">
        <v>4680</v>
      </c>
      <c r="AG2391" s="201">
        <v>0</v>
      </c>
      <c r="AH2391" s="199"/>
      <c r="AI2391" s="150">
        <v>0</v>
      </c>
      <c r="AJ2391" s="169">
        <f t="shared" si="2113"/>
        <v>0</v>
      </c>
      <c r="AK2391" s="201">
        <v>0</v>
      </c>
      <c r="AL2391" s="199"/>
      <c r="AM2391" s="150">
        <f t="shared" si="2137"/>
        <v>0</v>
      </c>
      <c r="AN2391" s="153">
        <f t="shared" si="2114"/>
        <v>0</v>
      </c>
      <c r="AO2391" s="154">
        <f t="shared" si="2115"/>
        <v>0</v>
      </c>
      <c r="AP2391" s="150">
        <v>0</v>
      </c>
      <c r="AQ2391" s="201">
        <v>0</v>
      </c>
      <c r="AR2391" s="199"/>
      <c r="AS2391" s="150">
        <f t="shared" si="2138"/>
        <v>0</v>
      </c>
      <c r="AT2391" s="155"/>
      <c r="AU2391" s="156">
        <f t="shared" si="2110"/>
        <v>0</v>
      </c>
      <c r="AV2391" s="156">
        <f t="shared" si="2111"/>
        <v>0</v>
      </c>
      <c r="AW2391" s="157"/>
      <c r="AX2391" s="150">
        <v>0</v>
      </c>
      <c r="AY2391" s="150">
        <v>0</v>
      </c>
      <c r="AZ2391" s="150"/>
      <c r="BA2391" s="150">
        <f t="shared" si="2090"/>
        <v>0</v>
      </c>
      <c r="BB2391" s="210"/>
      <c r="BC2391" s="210"/>
      <c r="BD2391" s="210"/>
      <c r="BE2391" s="210"/>
      <c r="BF2391" s="210"/>
      <c r="BG2391" s="210"/>
      <c r="BH2391" s="217"/>
      <c r="BI2391" s="210"/>
      <c r="BJ2391" s="210"/>
      <c r="BK2391" s="210"/>
      <c r="BL2391" s="210"/>
      <c r="BM2391" s="208"/>
      <c r="BN2391" s="160"/>
      <c r="BO2391" s="161">
        <f t="shared" si="2121"/>
        <v>0</v>
      </c>
      <c r="BP2391" s="161"/>
    </row>
    <row r="2392" spans="1:68" ht="25.5">
      <c r="A2392" s="210"/>
      <c r="B2392" s="195" t="s">
        <v>10734</v>
      </c>
      <c r="C2392" s="196" t="s">
        <v>10735</v>
      </c>
      <c r="D2392" s="146" t="s">
        <v>4692</v>
      </c>
      <c r="E2392" s="377" t="s">
        <v>10735</v>
      </c>
      <c r="F2392" s="150">
        <v>0</v>
      </c>
      <c r="G2392" s="209">
        <v>0</v>
      </c>
      <c r="H2392" s="209"/>
      <c r="I2392" s="209">
        <v>0</v>
      </c>
      <c r="J2392" s="150">
        <v>0</v>
      </c>
      <c r="K2392" s="150">
        <v>0</v>
      </c>
      <c r="L2392" s="150">
        <f t="shared" si="2129"/>
        <v>0</v>
      </c>
      <c r="M2392" s="150">
        <v>0</v>
      </c>
      <c r="N2392" s="150"/>
      <c r="O2392" s="150">
        <v>0</v>
      </c>
      <c r="P2392" s="150">
        <v>0</v>
      </c>
      <c r="Q2392" s="150">
        <v>0</v>
      </c>
      <c r="R2392" s="150">
        <f t="shared" si="2139"/>
        <v>0</v>
      </c>
      <c r="S2392" s="150">
        <f t="shared" si="2108"/>
        <v>0</v>
      </c>
      <c r="T2392" s="150"/>
      <c r="U2392" s="150">
        <v>0</v>
      </c>
      <c r="V2392" s="199"/>
      <c r="W2392" s="150">
        <f t="shared" si="2135"/>
        <v>0</v>
      </c>
      <c r="X2392" s="150">
        <v>0</v>
      </c>
      <c r="Y2392" s="150"/>
      <c r="Z2392" s="150">
        <v>0</v>
      </c>
      <c r="AA2392" s="150">
        <f t="shared" si="2112"/>
        <v>0</v>
      </c>
      <c r="AB2392" s="150">
        <v>0</v>
      </c>
      <c r="AC2392" s="199"/>
      <c r="AD2392" s="150">
        <f t="shared" si="2136"/>
        <v>0</v>
      </c>
      <c r="AE2392" s="150">
        <v>0</v>
      </c>
      <c r="AF2392" s="169" t="s">
        <v>4680</v>
      </c>
      <c r="AG2392" s="201">
        <v>0</v>
      </c>
      <c r="AH2392" s="199"/>
      <c r="AI2392" s="150">
        <v>0</v>
      </c>
      <c r="AJ2392" s="169">
        <f t="shared" si="2113"/>
        <v>0</v>
      </c>
      <c r="AK2392" s="201">
        <v>0</v>
      </c>
      <c r="AL2392" s="199"/>
      <c r="AM2392" s="150">
        <f t="shared" si="2137"/>
        <v>0</v>
      </c>
      <c r="AN2392" s="153">
        <f t="shared" si="2114"/>
        <v>0</v>
      </c>
      <c r="AO2392" s="154">
        <f t="shared" si="2115"/>
        <v>0</v>
      </c>
      <c r="AP2392" s="150">
        <v>0</v>
      </c>
      <c r="AQ2392" s="201">
        <v>0</v>
      </c>
      <c r="AR2392" s="199"/>
      <c r="AS2392" s="150">
        <f t="shared" si="2138"/>
        <v>0</v>
      </c>
      <c r="AT2392" s="155"/>
      <c r="AU2392" s="156">
        <f t="shared" si="2110"/>
        <v>0</v>
      </c>
      <c r="AV2392" s="156">
        <f t="shared" si="2111"/>
        <v>0</v>
      </c>
      <c r="AW2392" s="157"/>
      <c r="AX2392" s="150">
        <v>0</v>
      </c>
      <c r="AY2392" s="150">
        <v>0</v>
      </c>
      <c r="AZ2392" s="150"/>
      <c r="BA2392" s="150">
        <f t="shared" si="2090"/>
        <v>0</v>
      </c>
      <c r="BB2392" s="210"/>
      <c r="BC2392" s="210"/>
      <c r="BD2392" s="210"/>
      <c r="BE2392" s="210"/>
      <c r="BF2392" s="210"/>
      <c r="BG2392" s="210"/>
      <c r="BH2392" s="217"/>
      <c r="BI2392" s="210"/>
      <c r="BJ2392" s="210"/>
      <c r="BK2392" s="210"/>
      <c r="BL2392" s="210"/>
      <c r="BM2392" s="208"/>
      <c r="BN2392" s="160"/>
      <c r="BO2392" s="161">
        <f t="shared" si="2121"/>
        <v>0</v>
      </c>
      <c r="BP2392" s="161"/>
    </row>
    <row r="2393" spans="1:68" ht="38.25">
      <c r="A2393" s="210"/>
      <c r="B2393" s="195" t="s">
        <v>10736</v>
      </c>
      <c r="C2393" s="196" t="s">
        <v>10737</v>
      </c>
      <c r="D2393" s="146" t="s">
        <v>4692</v>
      </c>
      <c r="E2393" s="377" t="s">
        <v>10737</v>
      </c>
      <c r="F2393" s="150">
        <v>0</v>
      </c>
      <c r="G2393" s="209">
        <v>0</v>
      </c>
      <c r="H2393" s="209"/>
      <c r="I2393" s="209">
        <v>0</v>
      </c>
      <c r="J2393" s="150">
        <v>0</v>
      </c>
      <c r="K2393" s="150">
        <v>0</v>
      </c>
      <c r="L2393" s="150">
        <f t="shared" si="2129"/>
        <v>0</v>
      </c>
      <c r="M2393" s="150">
        <v>0</v>
      </c>
      <c r="N2393" s="150"/>
      <c r="O2393" s="150">
        <v>0</v>
      </c>
      <c r="P2393" s="150">
        <v>0</v>
      </c>
      <c r="Q2393" s="150">
        <v>0</v>
      </c>
      <c r="R2393" s="150">
        <f t="shared" si="2139"/>
        <v>0</v>
      </c>
      <c r="S2393" s="150">
        <f t="shared" si="2108"/>
        <v>0</v>
      </c>
      <c r="T2393" s="150"/>
      <c r="U2393" s="150">
        <v>0</v>
      </c>
      <c r="V2393" s="199"/>
      <c r="W2393" s="150">
        <f t="shared" si="2135"/>
        <v>0</v>
      </c>
      <c r="X2393" s="150">
        <v>0</v>
      </c>
      <c r="Y2393" s="150"/>
      <c r="Z2393" s="150">
        <v>0</v>
      </c>
      <c r="AA2393" s="150">
        <f t="shared" si="2112"/>
        <v>0</v>
      </c>
      <c r="AB2393" s="150">
        <v>0</v>
      </c>
      <c r="AC2393" s="199"/>
      <c r="AD2393" s="150">
        <f t="shared" si="2136"/>
        <v>0</v>
      </c>
      <c r="AE2393" s="150">
        <v>0</v>
      </c>
      <c r="AF2393" s="169" t="s">
        <v>4680</v>
      </c>
      <c r="AG2393" s="201">
        <v>0</v>
      </c>
      <c r="AH2393" s="199"/>
      <c r="AI2393" s="150">
        <v>0</v>
      </c>
      <c r="AJ2393" s="169">
        <f t="shared" si="2113"/>
        <v>0</v>
      </c>
      <c r="AK2393" s="201">
        <v>0</v>
      </c>
      <c r="AL2393" s="199"/>
      <c r="AM2393" s="150">
        <f t="shared" si="2137"/>
        <v>0</v>
      </c>
      <c r="AN2393" s="153">
        <f t="shared" si="2114"/>
        <v>0</v>
      </c>
      <c r="AO2393" s="154">
        <f t="shared" si="2115"/>
        <v>0</v>
      </c>
      <c r="AP2393" s="150">
        <v>0</v>
      </c>
      <c r="AQ2393" s="201">
        <v>0</v>
      </c>
      <c r="AR2393" s="199"/>
      <c r="AS2393" s="150">
        <f t="shared" si="2138"/>
        <v>0</v>
      </c>
      <c r="AT2393" s="155"/>
      <c r="AU2393" s="156">
        <f t="shared" si="2110"/>
        <v>0</v>
      </c>
      <c r="AV2393" s="156">
        <f t="shared" si="2111"/>
        <v>0</v>
      </c>
      <c r="AW2393" s="157"/>
      <c r="AX2393" s="150">
        <v>0</v>
      </c>
      <c r="AY2393" s="150">
        <v>0</v>
      </c>
      <c r="AZ2393" s="150"/>
      <c r="BA2393" s="150">
        <f t="shared" si="2090"/>
        <v>0</v>
      </c>
      <c r="BB2393" s="210"/>
      <c r="BC2393" s="210"/>
      <c r="BD2393" s="210"/>
      <c r="BE2393" s="210"/>
      <c r="BF2393" s="210"/>
      <c r="BG2393" s="210"/>
      <c r="BH2393" s="217"/>
      <c r="BI2393" s="210"/>
      <c r="BJ2393" s="210"/>
      <c r="BK2393" s="210"/>
      <c r="BL2393" s="210"/>
      <c r="BM2393" s="208"/>
      <c r="BN2393" s="160"/>
      <c r="BO2393" s="161">
        <f t="shared" si="2121"/>
        <v>0</v>
      </c>
      <c r="BP2393" s="161"/>
    </row>
    <row r="2394" spans="1:68" ht="25.5">
      <c r="A2394" s="210"/>
      <c r="B2394" s="195" t="s">
        <v>10738</v>
      </c>
      <c r="C2394" s="196" t="s">
        <v>10739</v>
      </c>
      <c r="D2394" s="146" t="s">
        <v>4692</v>
      </c>
      <c r="E2394" s="377" t="s">
        <v>10739</v>
      </c>
      <c r="F2394" s="150">
        <v>0</v>
      </c>
      <c r="G2394" s="209">
        <v>0</v>
      </c>
      <c r="H2394" s="209"/>
      <c r="I2394" s="209">
        <v>0</v>
      </c>
      <c r="J2394" s="150">
        <v>0</v>
      </c>
      <c r="K2394" s="150">
        <v>0</v>
      </c>
      <c r="L2394" s="150">
        <f t="shared" si="2129"/>
        <v>0</v>
      </c>
      <c r="M2394" s="150">
        <v>0</v>
      </c>
      <c r="N2394" s="150"/>
      <c r="O2394" s="150">
        <v>0</v>
      </c>
      <c r="P2394" s="150">
        <v>0</v>
      </c>
      <c r="Q2394" s="150">
        <v>0</v>
      </c>
      <c r="R2394" s="150">
        <f t="shared" si="2139"/>
        <v>0</v>
      </c>
      <c r="S2394" s="150">
        <f t="shared" si="2108"/>
        <v>0</v>
      </c>
      <c r="T2394" s="150"/>
      <c r="U2394" s="150">
        <v>0</v>
      </c>
      <c r="V2394" s="199"/>
      <c r="W2394" s="150">
        <f t="shared" si="2135"/>
        <v>0</v>
      </c>
      <c r="X2394" s="150">
        <v>0</v>
      </c>
      <c r="Y2394" s="150"/>
      <c r="Z2394" s="150">
        <v>0</v>
      </c>
      <c r="AA2394" s="150">
        <f t="shared" si="2112"/>
        <v>0</v>
      </c>
      <c r="AB2394" s="150">
        <v>0</v>
      </c>
      <c r="AC2394" s="199"/>
      <c r="AD2394" s="150">
        <f t="shared" si="2136"/>
        <v>0</v>
      </c>
      <c r="AE2394" s="150">
        <v>0</v>
      </c>
      <c r="AF2394" s="169" t="s">
        <v>4680</v>
      </c>
      <c r="AG2394" s="201">
        <v>0</v>
      </c>
      <c r="AH2394" s="199"/>
      <c r="AI2394" s="150">
        <v>0</v>
      </c>
      <c r="AJ2394" s="169">
        <f t="shared" si="2113"/>
        <v>0</v>
      </c>
      <c r="AK2394" s="201">
        <v>0</v>
      </c>
      <c r="AL2394" s="199"/>
      <c r="AM2394" s="150">
        <f t="shared" si="2137"/>
        <v>0</v>
      </c>
      <c r="AN2394" s="153">
        <f t="shared" si="2114"/>
        <v>0</v>
      </c>
      <c r="AO2394" s="154">
        <f t="shared" si="2115"/>
        <v>0</v>
      </c>
      <c r="AP2394" s="150">
        <v>0</v>
      </c>
      <c r="AQ2394" s="201">
        <v>0</v>
      </c>
      <c r="AR2394" s="199"/>
      <c r="AS2394" s="150">
        <f t="shared" si="2138"/>
        <v>0</v>
      </c>
      <c r="AT2394" s="155"/>
      <c r="AU2394" s="156">
        <f t="shared" si="2110"/>
        <v>0</v>
      </c>
      <c r="AV2394" s="156">
        <f t="shared" si="2111"/>
        <v>0</v>
      </c>
      <c r="AW2394" s="157"/>
      <c r="AX2394" s="150">
        <v>0</v>
      </c>
      <c r="AY2394" s="150">
        <v>0</v>
      </c>
      <c r="AZ2394" s="150"/>
      <c r="BA2394" s="150">
        <f t="shared" si="2090"/>
        <v>0</v>
      </c>
      <c r="BB2394" s="210"/>
      <c r="BC2394" s="210"/>
      <c r="BD2394" s="210"/>
      <c r="BE2394" s="210"/>
      <c r="BF2394" s="210"/>
      <c r="BG2394" s="210"/>
      <c r="BH2394" s="217"/>
      <c r="BI2394" s="210"/>
      <c r="BJ2394" s="210"/>
      <c r="BK2394" s="210"/>
      <c r="BL2394" s="210"/>
      <c r="BM2394" s="208"/>
      <c r="BN2394" s="160"/>
      <c r="BO2394" s="161">
        <f t="shared" si="2121"/>
        <v>0</v>
      </c>
      <c r="BP2394" s="161"/>
    </row>
    <row r="2395" spans="1:68" ht="25.5">
      <c r="A2395" s="210"/>
      <c r="B2395" s="195" t="s">
        <v>10740</v>
      </c>
      <c r="C2395" s="196" t="s">
        <v>10741</v>
      </c>
      <c r="D2395" s="146" t="s">
        <v>4692</v>
      </c>
      <c r="E2395" s="377" t="s">
        <v>10741</v>
      </c>
      <c r="F2395" s="150">
        <v>0</v>
      </c>
      <c r="G2395" s="209">
        <v>0</v>
      </c>
      <c r="H2395" s="209"/>
      <c r="I2395" s="209">
        <v>0</v>
      </c>
      <c r="J2395" s="150">
        <v>0</v>
      </c>
      <c r="K2395" s="150">
        <v>0</v>
      </c>
      <c r="L2395" s="150">
        <f t="shared" si="2129"/>
        <v>0</v>
      </c>
      <c r="M2395" s="150">
        <v>0</v>
      </c>
      <c r="N2395" s="150"/>
      <c r="O2395" s="150">
        <v>0</v>
      </c>
      <c r="P2395" s="150">
        <v>0</v>
      </c>
      <c r="Q2395" s="150">
        <v>0</v>
      </c>
      <c r="R2395" s="150">
        <f t="shared" si="2139"/>
        <v>0</v>
      </c>
      <c r="S2395" s="150">
        <f t="shared" si="2108"/>
        <v>0</v>
      </c>
      <c r="T2395" s="150"/>
      <c r="U2395" s="150">
        <v>0</v>
      </c>
      <c r="V2395" s="199"/>
      <c r="W2395" s="150">
        <f t="shared" si="2135"/>
        <v>0</v>
      </c>
      <c r="X2395" s="150">
        <v>0</v>
      </c>
      <c r="Y2395" s="150"/>
      <c r="Z2395" s="150">
        <v>0</v>
      </c>
      <c r="AA2395" s="150">
        <f t="shared" si="2112"/>
        <v>0</v>
      </c>
      <c r="AB2395" s="150">
        <v>0</v>
      </c>
      <c r="AC2395" s="199"/>
      <c r="AD2395" s="150">
        <f t="shared" si="2136"/>
        <v>0</v>
      </c>
      <c r="AE2395" s="150">
        <v>0</v>
      </c>
      <c r="AF2395" s="169" t="s">
        <v>4680</v>
      </c>
      <c r="AG2395" s="201">
        <v>0</v>
      </c>
      <c r="AH2395" s="199"/>
      <c r="AI2395" s="150">
        <v>0</v>
      </c>
      <c r="AJ2395" s="169">
        <f t="shared" si="2113"/>
        <v>0</v>
      </c>
      <c r="AK2395" s="201">
        <v>0</v>
      </c>
      <c r="AL2395" s="199"/>
      <c r="AM2395" s="150">
        <f t="shared" si="2137"/>
        <v>0</v>
      </c>
      <c r="AN2395" s="153">
        <f t="shared" si="2114"/>
        <v>0</v>
      </c>
      <c r="AO2395" s="154">
        <f t="shared" si="2115"/>
        <v>0</v>
      </c>
      <c r="AP2395" s="150">
        <v>0</v>
      </c>
      <c r="AQ2395" s="201">
        <v>0</v>
      </c>
      <c r="AR2395" s="199"/>
      <c r="AS2395" s="150">
        <f t="shared" si="2138"/>
        <v>0</v>
      </c>
      <c r="AT2395" s="155"/>
      <c r="AU2395" s="156">
        <f t="shared" si="2110"/>
        <v>0</v>
      </c>
      <c r="AV2395" s="156">
        <f t="shared" si="2111"/>
        <v>0</v>
      </c>
      <c r="AW2395" s="157"/>
      <c r="AX2395" s="150">
        <v>0</v>
      </c>
      <c r="AY2395" s="150">
        <v>0</v>
      </c>
      <c r="AZ2395" s="150"/>
      <c r="BA2395" s="150">
        <f t="shared" si="2090"/>
        <v>0</v>
      </c>
      <c r="BB2395" s="210"/>
      <c r="BC2395" s="210"/>
      <c r="BD2395" s="210"/>
      <c r="BE2395" s="210"/>
      <c r="BF2395" s="210"/>
      <c r="BG2395" s="210"/>
      <c r="BH2395" s="217"/>
      <c r="BI2395" s="210"/>
      <c r="BJ2395" s="210"/>
      <c r="BK2395" s="210"/>
      <c r="BL2395" s="210"/>
      <c r="BM2395" s="208"/>
      <c r="BN2395" s="160"/>
      <c r="BO2395" s="161">
        <f t="shared" si="2121"/>
        <v>0</v>
      </c>
      <c r="BP2395" s="161"/>
    </row>
    <row r="2396" spans="1:68">
      <c r="A2396" s="210"/>
      <c r="B2396" s="195" t="s">
        <v>10742</v>
      </c>
      <c r="C2396" s="196" t="s">
        <v>10743</v>
      </c>
      <c r="D2396" s="146" t="s">
        <v>4692</v>
      </c>
      <c r="E2396" s="377" t="s">
        <v>10743</v>
      </c>
      <c r="F2396" s="150">
        <v>0</v>
      </c>
      <c r="G2396" s="209">
        <v>0</v>
      </c>
      <c r="H2396" s="209"/>
      <c r="I2396" s="209">
        <v>0</v>
      </c>
      <c r="J2396" s="150">
        <v>0</v>
      </c>
      <c r="K2396" s="150">
        <v>0</v>
      </c>
      <c r="L2396" s="150">
        <f t="shared" si="2129"/>
        <v>0</v>
      </c>
      <c r="M2396" s="150">
        <v>0</v>
      </c>
      <c r="N2396" s="150"/>
      <c r="O2396" s="150">
        <v>0</v>
      </c>
      <c r="P2396" s="150">
        <v>0</v>
      </c>
      <c r="Q2396" s="150">
        <v>0</v>
      </c>
      <c r="R2396" s="150">
        <f t="shared" si="2139"/>
        <v>0</v>
      </c>
      <c r="S2396" s="150">
        <f t="shared" si="2108"/>
        <v>0</v>
      </c>
      <c r="T2396" s="150"/>
      <c r="U2396" s="150">
        <v>0</v>
      </c>
      <c r="V2396" s="199"/>
      <c r="W2396" s="150">
        <f t="shared" si="2135"/>
        <v>0</v>
      </c>
      <c r="X2396" s="150">
        <v>0</v>
      </c>
      <c r="Y2396" s="150"/>
      <c r="Z2396" s="150">
        <v>0</v>
      </c>
      <c r="AA2396" s="150">
        <f t="shared" si="2112"/>
        <v>0</v>
      </c>
      <c r="AB2396" s="150">
        <v>0</v>
      </c>
      <c r="AC2396" s="199"/>
      <c r="AD2396" s="150">
        <f t="shared" si="2136"/>
        <v>0</v>
      </c>
      <c r="AE2396" s="150">
        <v>0</v>
      </c>
      <c r="AF2396" s="169" t="s">
        <v>4680</v>
      </c>
      <c r="AG2396" s="201">
        <v>0</v>
      </c>
      <c r="AH2396" s="199"/>
      <c r="AI2396" s="150">
        <v>0</v>
      </c>
      <c r="AJ2396" s="169">
        <f t="shared" si="2113"/>
        <v>0</v>
      </c>
      <c r="AK2396" s="201">
        <v>0</v>
      </c>
      <c r="AL2396" s="199"/>
      <c r="AM2396" s="150">
        <f t="shared" si="2137"/>
        <v>0</v>
      </c>
      <c r="AN2396" s="153">
        <f t="shared" si="2114"/>
        <v>0</v>
      </c>
      <c r="AO2396" s="154">
        <f t="shared" si="2115"/>
        <v>0</v>
      </c>
      <c r="AP2396" s="150">
        <v>0</v>
      </c>
      <c r="AQ2396" s="201">
        <v>0</v>
      </c>
      <c r="AR2396" s="199"/>
      <c r="AS2396" s="150">
        <f t="shared" si="2138"/>
        <v>0</v>
      </c>
      <c r="AT2396" s="155"/>
      <c r="AU2396" s="156">
        <f t="shared" si="2110"/>
        <v>0</v>
      </c>
      <c r="AV2396" s="156">
        <f t="shared" si="2111"/>
        <v>0</v>
      </c>
      <c r="AW2396" s="157"/>
      <c r="AX2396" s="150">
        <v>0</v>
      </c>
      <c r="AY2396" s="150">
        <v>0</v>
      </c>
      <c r="AZ2396" s="150"/>
      <c r="BA2396" s="150">
        <f t="shared" si="2090"/>
        <v>0</v>
      </c>
      <c r="BB2396" s="210"/>
      <c r="BC2396" s="210"/>
      <c r="BD2396" s="210"/>
      <c r="BE2396" s="210"/>
      <c r="BF2396" s="210"/>
      <c r="BG2396" s="210"/>
      <c r="BH2396" s="217"/>
      <c r="BI2396" s="210"/>
      <c r="BJ2396" s="210"/>
      <c r="BK2396" s="210"/>
      <c r="BL2396" s="210"/>
      <c r="BM2396" s="208"/>
      <c r="BN2396" s="160"/>
      <c r="BO2396" s="161">
        <f t="shared" si="2121"/>
        <v>0</v>
      </c>
      <c r="BP2396" s="161"/>
    </row>
    <row r="2397" spans="1:68">
      <c r="A2397" s="210"/>
      <c r="B2397" s="195" t="s">
        <v>10744</v>
      </c>
      <c r="C2397" s="196" t="s">
        <v>10745</v>
      </c>
      <c r="D2397" s="146" t="s">
        <v>4692</v>
      </c>
      <c r="E2397" s="377" t="s">
        <v>10745</v>
      </c>
      <c r="F2397" s="150">
        <v>0</v>
      </c>
      <c r="G2397" s="209">
        <v>0</v>
      </c>
      <c r="H2397" s="209"/>
      <c r="I2397" s="209">
        <v>0</v>
      </c>
      <c r="J2397" s="150">
        <v>0</v>
      </c>
      <c r="K2397" s="150">
        <v>0</v>
      </c>
      <c r="L2397" s="150">
        <f t="shared" si="2129"/>
        <v>0</v>
      </c>
      <c r="M2397" s="150">
        <v>0</v>
      </c>
      <c r="N2397" s="150"/>
      <c r="O2397" s="150">
        <v>0</v>
      </c>
      <c r="P2397" s="150">
        <v>0</v>
      </c>
      <c r="Q2397" s="150">
        <v>0</v>
      </c>
      <c r="R2397" s="150">
        <f t="shared" si="2139"/>
        <v>0</v>
      </c>
      <c r="S2397" s="150">
        <f t="shared" si="2108"/>
        <v>0</v>
      </c>
      <c r="T2397" s="150"/>
      <c r="U2397" s="150">
        <v>0</v>
      </c>
      <c r="V2397" s="199"/>
      <c r="W2397" s="150">
        <f t="shared" si="2135"/>
        <v>0</v>
      </c>
      <c r="X2397" s="150">
        <v>0</v>
      </c>
      <c r="Y2397" s="150"/>
      <c r="Z2397" s="150">
        <v>0</v>
      </c>
      <c r="AA2397" s="150">
        <f t="shared" si="2112"/>
        <v>0</v>
      </c>
      <c r="AB2397" s="150">
        <v>0</v>
      </c>
      <c r="AC2397" s="199"/>
      <c r="AD2397" s="150">
        <f t="shared" si="2136"/>
        <v>0</v>
      </c>
      <c r="AE2397" s="150">
        <v>0</v>
      </c>
      <c r="AF2397" s="169" t="s">
        <v>4680</v>
      </c>
      <c r="AG2397" s="201">
        <v>0</v>
      </c>
      <c r="AH2397" s="199"/>
      <c r="AI2397" s="150">
        <v>0</v>
      </c>
      <c r="AJ2397" s="169">
        <f t="shared" si="2113"/>
        <v>0</v>
      </c>
      <c r="AK2397" s="201">
        <v>0</v>
      </c>
      <c r="AL2397" s="199"/>
      <c r="AM2397" s="150">
        <f t="shared" si="2137"/>
        <v>0</v>
      </c>
      <c r="AN2397" s="153">
        <f t="shared" si="2114"/>
        <v>0</v>
      </c>
      <c r="AO2397" s="154">
        <f t="shared" si="2115"/>
        <v>0</v>
      </c>
      <c r="AP2397" s="150">
        <v>0</v>
      </c>
      <c r="AQ2397" s="201">
        <v>0</v>
      </c>
      <c r="AR2397" s="199"/>
      <c r="AS2397" s="150">
        <f t="shared" si="2138"/>
        <v>0</v>
      </c>
      <c r="AT2397" s="155"/>
      <c r="AU2397" s="156">
        <f t="shared" si="2110"/>
        <v>0</v>
      </c>
      <c r="AV2397" s="156">
        <f t="shared" si="2111"/>
        <v>0</v>
      </c>
      <c r="AW2397" s="157"/>
      <c r="AX2397" s="150">
        <v>0</v>
      </c>
      <c r="AY2397" s="150">
        <v>0</v>
      </c>
      <c r="AZ2397" s="150"/>
      <c r="BA2397" s="150">
        <f t="shared" si="2090"/>
        <v>0</v>
      </c>
      <c r="BB2397" s="210"/>
      <c r="BC2397" s="210"/>
      <c r="BD2397" s="210"/>
      <c r="BE2397" s="210"/>
      <c r="BF2397" s="210"/>
      <c r="BG2397" s="210"/>
      <c r="BH2397" s="217"/>
      <c r="BI2397" s="210"/>
      <c r="BJ2397" s="210"/>
      <c r="BK2397" s="210"/>
      <c r="BL2397" s="210"/>
      <c r="BM2397" s="208"/>
      <c r="BN2397" s="160"/>
      <c r="BO2397" s="161">
        <f t="shared" si="2121"/>
        <v>0</v>
      </c>
      <c r="BP2397" s="161"/>
    </row>
    <row r="2398" spans="1:68" ht="38.25">
      <c r="A2398" s="210"/>
      <c r="B2398" s="195" t="s">
        <v>10746</v>
      </c>
      <c r="C2398" s="196" t="s">
        <v>10747</v>
      </c>
      <c r="D2398" s="146" t="s">
        <v>4692</v>
      </c>
      <c r="E2398" s="377" t="s">
        <v>10747</v>
      </c>
      <c r="F2398" s="150">
        <v>0</v>
      </c>
      <c r="G2398" s="209">
        <v>0</v>
      </c>
      <c r="H2398" s="209"/>
      <c r="I2398" s="209">
        <v>0</v>
      </c>
      <c r="J2398" s="150">
        <v>0</v>
      </c>
      <c r="K2398" s="150">
        <v>0</v>
      </c>
      <c r="L2398" s="150">
        <f t="shared" si="2129"/>
        <v>0</v>
      </c>
      <c r="M2398" s="150">
        <v>0</v>
      </c>
      <c r="N2398" s="150"/>
      <c r="O2398" s="150">
        <v>0</v>
      </c>
      <c r="P2398" s="150">
        <v>0</v>
      </c>
      <c r="Q2398" s="150">
        <v>0</v>
      </c>
      <c r="R2398" s="150">
        <f t="shared" si="2139"/>
        <v>0</v>
      </c>
      <c r="S2398" s="150">
        <f t="shared" si="2108"/>
        <v>0</v>
      </c>
      <c r="T2398" s="150"/>
      <c r="U2398" s="150">
        <v>0</v>
      </c>
      <c r="V2398" s="199"/>
      <c r="W2398" s="150">
        <f t="shared" si="2135"/>
        <v>0</v>
      </c>
      <c r="X2398" s="150">
        <v>0</v>
      </c>
      <c r="Y2398" s="150"/>
      <c r="Z2398" s="150">
        <v>0</v>
      </c>
      <c r="AA2398" s="150">
        <f t="shared" si="2112"/>
        <v>0</v>
      </c>
      <c r="AB2398" s="150">
        <v>0</v>
      </c>
      <c r="AC2398" s="199"/>
      <c r="AD2398" s="150">
        <f t="shared" si="2136"/>
        <v>0</v>
      </c>
      <c r="AE2398" s="150">
        <v>0</v>
      </c>
      <c r="AF2398" s="169" t="s">
        <v>4680</v>
      </c>
      <c r="AG2398" s="201">
        <v>0</v>
      </c>
      <c r="AH2398" s="199"/>
      <c r="AI2398" s="150">
        <v>0</v>
      </c>
      <c r="AJ2398" s="169">
        <f t="shared" si="2113"/>
        <v>0</v>
      </c>
      <c r="AK2398" s="201">
        <v>0</v>
      </c>
      <c r="AL2398" s="199"/>
      <c r="AM2398" s="150">
        <f t="shared" si="2137"/>
        <v>0</v>
      </c>
      <c r="AN2398" s="153">
        <f t="shared" si="2114"/>
        <v>0</v>
      </c>
      <c r="AO2398" s="154">
        <f t="shared" si="2115"/>
        <v>0</v>
      </c>
      <c r="AP2398" s="150">
        <v>0</v>
      </c>
      <c r="AQ2398" s="201">
        <v>0</v>
      </c>
      <c r="AR2398" s="199"/>
      <c r="AS2398" s="150">
        <f t="shared" si="2138"/>
        <v>0</v>
      </c>
      <c r="AT2398" s="155"/>
      <c r="AU2398" s="156">
        <f t="shared" si="2110"/>
        <v>0</v>
      </c>
      <c r="AV2398" s="156">
        <f t="shared" si="2111"/>
        <v>0</v>
      </c>
      <c r="AW2398" s="157"/>
      <c r="AX2398" s="150">
        <v>0</v>
      </c>
      <c r="AY2398" s="150">
        <v>0</v>
      </c>
      <c r="AZ2398" s="150"/>
      <c r="BA2398" s="150">
        <f t="shared" si="2090"/>
        <v>0</v>
      </c>
      <c r="BB2398" s="210"/>
      <c r="BC2398" s="210"/>
      <c r="BD2398" s="210"/>
      <c r="BE2398" s="210"/>
      <c r="BF2398" s="210"/>
      <c r="BG2398" s="210"/>
      <c r="BH2398" s="217"/>
      <c r="BI2398" s="210"/>
      <c r="BJ2398" s="210"/>
      <c r="BK2398" s="210"/>
      <c r="BL2398" s="210"/>
      <c r="BM2398" s="208"/>
      <c r="BN2398" s="160"/>
      <c r="BO2398" s="161">
        <f t="shared" si="2121"/>
        <v>0</v>
      </c>
      <c r="BP2398" s="161"/>
    </row>
    <row r="2399" spans="1:68" ht="25.5">
      <c r="A2399" s="210"/>
      <c r="B2399" s="195" t="s">
        <v>10748</v>
      </c>
      <c r="C2399" s="196" t="s">
        <v>10749</v>
      </c>
      <c r="D2399" s="146" t="s">
        <v>4692</v>
      </c>
      <c r="E2399" s="377" t="s">
        <v>10750</v>
      </c>
      <c r="F2399" s="150">
        <v>0</v>
      </c>
      <c r="G2399" s="209">
        <v>0</v>
      </c>
      <c r="H2399" s="209"/>
      <c r="I2399" s="209">
        <v>0</v>
      </c>
      <c r="J2399" s="150">
        <v>0</v>
      </c>
      <c r="K2399" s="150">
        <v>0</v>
      </c>
      <c r="L2399" s="150">
        <f t="shared" si="2129"/>
        <v>0</v>
      </c>
      <c r="M2399" s="150">
        <v>0</v>
      </c>
      <c r="N2399" s="150"/>
      <c r="O2399" s="150">
        <v>0</v>
      </c>
      <c r="P2399" s="150">
        <v>0</v>
      </c>
      <c r="Q2399" s="150">
        <v>0</v>
      </c>
      <c r="R2399" s="150">
        <f t="shared" si="2139"/>
        <v>0</v>
      </c>
      <c r="S2399" s="150">
        <f t="shared" si="2108"/>
        <v>0</v>
      </c>
      <c r="T2399" s="150"/>
      <c r="U2399" s="150">
        <v>0</v>
      </c>
      <c r="V2399" s="199"/>
      <c r="W2399" s="150">
        <f t="shared" si="2135"/>
        <v>0</v>
      </c>
      <c r="X2399" s="150">
        <v>0</v>
      </c>
      <c r="Y2399" s="150"/>
      <c r="Z2399" s="150">
        <v>0</v>
      </c>
      <c r="AA2399" s="150">
        <f t="shared" si="2112"/>
        <v>0</v>
      </c>
      <c r="AB2399" s="150">
        <v>0</v>
      </c>
      <c r="AC2399" s="199"/>
      <c r="AD2399" s="150">
        <f t="shared" si="2136"/>
        <v>0</v>
      </c>
      <c r="AE2399" s="150">
        <v>0</v>
      </c>
      <c r="AF2399" s="169" t="s">
        <v>4680</v>
      </c>
      <c r="AG2399" s="201">
        <v>0</v>
      </c>
      <c r="AH2399" s="199"/>
      <c r="AI2399" s="150">
        <v>0</v>
      </c>
      <c r="AJ2399" s="169">
        <f t="shared" si="2113"/>
        <v>0</v>
      </c>
      <c r="AK2399" s="201">
        <v>0</v>
      </c>
      <c r="AL2399" s="199"/>
      <c r="AM2399" s="150">
        <f t="shared" si="2137"/>
        <v>0</v>
      </c>
      <c r="AN2399" s="153">
        <f t="shared" si="2114"/>
        <v>0</v>
      </c>
      <c r="AO2399" s="154">
        <f t="shared" si="2115"/>
        <v>0</v>
      </c>
      <c r="AP2399" s="150">
        <v>0</v>
      </c>
      <c r="AQ2399" s="201">
        <v>0</v>
      </c>
      <c r="AR2399" s="199"/>
      <c r="AS2399" s="150">
        <f t="shared" si="2138"/>
        <v>0</v>
      </c>
      <c r="AT2399" s="155"/>
      <c r="AU2399" s="156">
        <f t="shared" si="2110"/>
        <v>0</v>
      </c>
      <c r="AV2399" s="156">
        <f t="shared" si="2111"/>
        <v>0</v>
      </c>
      <c r="AW2399" s="157"/>
      <c r="AX2399" s="150">
        <v>0</v>
      </c>
      <c r="AY2399" s="150">
        <v>0</v>
      </c>
      <c r="AZ2399" s="150"/>
      <c r="BA2399" s="150">
        <f t="shared" si="2090"/>
        <v>0</v>
      </c>
      <c r="BB2399" s="210"/>
      <c r="BC2399" s="210"/>
      <c r="BD2399" s="210"/>
      <c r="BE2399" s="210"/>
      <c r="BF2399" s="210"/>
      <c r="BG2399" s="210"/>
      <c r="BH2399" s="217"/>
      <c r="BI2399" s="210"/>
      <c r="BJ2399" s="210"/>
      <c r="BK2399" s="210"/>
      <c r="BL2399" s="210"/>
      <c r="BM2399" s="208"/>
      <c r="BN2399" s="160"/>
      <c r="BO2399" s="161">
        <f t="shared" si="2121"/>
        <v>0</v>
      </c>
      <c r="BP2399" s="161"/>
    </row>
    <row r="2400" spans="1:68" ht="25.5">
      <c r="A2400" s="210"/>
      <c r="B2400" s="195" t="s">
        <v>10751</v>
      </c>
      <c r="C2400" s="196" t="s">
        <v>10752</v>
      </c>
      <c r="D2400" s="146" t="s">
        <v>4692</v>
      </c>
      <c r="E2400" s="377" t="s">
        <v>10752</v>
      </c>
      <c r="F2400" s="150">
        <v>0</v>
      </c>
      <c r="G2400" s="209">
        <v>0</v>
      </c>
      <c r="H2400" s="209"/>
      <c r="I2400" s="209">
        <v>0</v>
      </c>
      <c r="J2400" s="150">
        <v>0</v>
      </c>
      <c r="K2400" s="150">
        <v>0</v>
      </c>
      <c r="L2400" s="150">
        <f t="shared" si="2129"/>
        <v>0</v>
      </c>
      <c r="M2400" s="150">
        <v>0</v>
      </c>
      <c r="N2400" s="150"/>
      <c r="O2400" s="150">
        <v>0</v>
      </c>
      <c r="P2400" s="150">
        <v>0</v>
      </c>
      <c r="Q2400" s="150">
        <v>0</v>
      </c>
      <c r="R2400" s="150">
        <f t="shared" si="2139"/>
        <v>0</v>
      </c>
      <c r="S2400" s="150">
        <f t="shared" si="2108"/>
        <v>0</v>
      </c>
      <c r="T2400" s="150"/>
      <c r="U2400" s="150">
        <v>0</v>
      </c>
      <c r="V2400" s="199"/>
      <c r="W2400" s="150">
        <f t="shared" si="2135"/>
        <v>0</v>
      </c>
      <c r="X2400" s="150">
        <v>0</v>
      </c>
      <c r="Y2400" s="150"/>
      <c r="Z2400" s="150">
        <v>0</v>
      </c>
      <c r="AA2400" s="150">
        <f t="shared" si="2112"/>
        <v>0</v>
      </c>
      <c r="AB2400" s="150">
        <v>0</v>
      </c>
      <c r="AC2400" s="199"/>
      <c r="AD2400" s="150">
        <f t="shared" si="2136"/>
        <v>0</v>
      </c>
      <c r="AE2400" s="150">
        <v>0</v>
      </c>
      <c r="AF2400" s="169" t="s">
        <v>4680</v>
      </c>
      <c r="AG2400" s="201">
        <v>0</v>
      </c>
      <c r="AH2400" s="199"/>
      <c r="AI2400" s="150">
        <v>0</v>
      </c>
      <c r="AJ2400" s="169">
        <f t="shared" si="2113"/>
        <v>0</v>
      </c>
      <c r="AK2400" s="201">
        <v>0</v>
      </c>
      <c r="AL2400" s="199"/>
      <c r="AM2400" s="150">
        <f t="shared" si="2137"/>
        <v>0</v>
      </c>
      <c r="AN2400" s="153">
        <f t="shared" si="2114"/>
        <v>0</v>
      </c>
      <c r="AO2400" s="154">
        <f t="shared" si="2115"/>
        <v>0</v>
      </c>
      <c r="AP2400" s="150">
        <v>0</v>
      </c>
      <c r="AQ2400" s="201">
        <v>0</v>
      </c>
      <c r="AR2400" s="199"/>
      <c r="AS2400" s="150">
        <f t="shared" si="2138"/>
        <v>0</v>
      </c>
      <c r="AT2400" s="155"/>
      <c r="AU2400" s="156">
        <f t="shared" si="2110"/>
        <v>0</v>
      </c>
      <c r="AV2400" s="156">
        <f t="shared" si="2111"/>
        <v>0</v>
      </c>
      <c r="AW2400" s="157"/>
      <c r="AX2400" s="150">
        <v>0</v>
      </c>
      <c r="AY2400" s="150">
        <v>0</v>
      </c>
      <c r="AZ2400" s="150"/>
      <c r="BA2400" s="150">
        <f t="shared" si="2090"/>
        <v>0</v>
      </c>
      <c r="BB2400" s="210"/>
      <c r="BC2400" s="210"/>
      <c r="BD2400" s="210"/>
      <c r="BE2400" s="210"/>
      <c r="BF2400" s="210"/>
      <c r="BG2400" s="210"/>
      <c r="BH2400" s="217"/>
      <c r="BI2400" s="210"/>
      <c r="BJ2400" s="210"/>
      <c r="BK2400" s="210"/>
      <c r="BL2400" s="210"/>
      <c r="BM2400" s="208"/>
      <c r="BN2400" s="160"/>
      <c r="BO2400" s="161">
        <f t="shared" si="2121"/>
        <v>0</v>
      </c>
      <c r="BP2400" s="161"/>
    </row>
    <row r="2401" spans="1:68" ht="25.5">
      <c r="A2401" s="210"/>
      <c r="B2401" s="195" t="s">
        <v>10753</v>
      </c>
      <c r="C2401" s="196" t="s">
        <v>10754</v>
      </c>
      <c r="D2401" s="146" t="s">
        <v>4692</v>
      </c>
      <c r="E2401" s="377" t="s">
        <v>10754</v>
      </c>
      <c r="F2401" s="150">
        <v>0</v>
      </c>
      <c r="G2401" s="209">
        <v>0</v>
      </c>
      <c r="H2401" s="209"/>
      <c r="I2401" s="209">
        <v>0</v>
      </c>
      <c r="J2401" s="150">
        <v>0</v>
      </c>
      <c r="K2401" s="150">
        <v>0</v>
      </c>
      <c r="L2401" s="150">
        <f t="shared" si="2129"/>
        <v>0</v>
      </c>
      <c r="M2401" s="150">
        <v>0</v>
      </c>
      <c r="N2401" s="150"/>
      <c r="O2401" s="150">
        <v>0</v>
      </c>
      <c r="P2401" s="150">
        <v>0</v>
      </c>
      <c r="Q2401" s="150">
        <v>0</v>
      </c>
      <c r="R2401" s="150">
        <f t="shared" si="2139"/>
        <v>0</v>
      </c>
      <c r="S2401" s="150">
        <f t="shared" si="2108"/>
        <v>0</v>
      </c>
      <c r="T2401" s="150"/>
      <c r="U2401" s="150">
        <v>0</v>
      </c>
      <c r="V2401" s="199"/>
      <c r="W2401" s="150">
        <f t="shared" si="2135"/>
        <v>0</v>
      </c>
      <c r="X2401" s="150">
        <v>0</v>
      </c>
      <c r="Y2401" s="150"/>
      <c r="Z2401" s="150">
        <v>0</v>
      </c>
      <c r="AA2401" s="150">
        <f t="shared" si="2112"/>
        <v>0</v>
      </c>
      <c r="AB2401" s="150">
        <v>0</v>
      </c>
      <c r="AC2401" s="199"/>
      <c r="AD2401" s="150">
        <f t="shared" si="2136"/>
        <v>0</v>
      </c>
      <c r="AE2401" s="150">
        <v>0</v>
      </c>
      <c r="AF2401" s="169" t="s">
        <v>4680</v>
      </c>
      <c r="AG2401" s="201">
        <v>0</v>
      </c>
      <c r="AH2401" s="199"/>
      <c r="AI2401" s="150">
        <v>0</v>
      </c>
      <c r="AJ2401" s="169">
        <f t="shared" si="2113"/>
        <v>0</v>
      </c>
      <c r="AK2401" s="201">
        <v>0</v>
      </c>
      <c r="AL2401" s="199"/>
      <c r="AM2401" s="150">
        <f t="shared" si="2137"/>
        <v>0</v>
      </c>
      <c r="AN2401" s="153">
        <f t="shared" si="2114"/>
        <v>0</v>
      </c>
      <c r="AO2401" s="154">
        <f t="shared" si="2115"/>
        <v>0</v>
      </c>
      <c r="AP2401" s="150">
        <v>0</v>
      </c>
      <c r="AQ2401" s="201">
        <v>0</v>
      </c>
      <c r="AR2401" s="199"/>
      <c r="AS2401" s="150">
        <f t="shared" si="2138"/>
        <v>0</v>
      </c>
      <c r="AT2401" s="155"/>
      <c r="AU2401" s="156">
        <f t="shared" si="2110"/>
        <v>0</v>
      </c>
      <c r="AV2401" s="156">
        <f t="shared" si="2111"/>
        <v>0</v>
      </c>
      <c r="AW2401" s="157"/>
      <c r="AX2401" s="150">
        <v>0</v>
      </c>
      <c r="AY2401" s="150">
        <v>0</v>
      </c>
      <c r="AZ2401" s="150"/>
      <c r="BA2401" s="150">
        <f t="shared" si="2090"/>
        <v>0</v>
      </c>
      <c r="BB2401" s="210"/>
      <c r="BC2401" s="210"/>
      <c r="BD2401" s="210"/>
      <c r="BE2401" s="210"/>
      <c r="BF2401" s="210"/>
      <c r="BG2401" s="210"/>
      <c r="BH2401" s="217"/>
      <c r="BI2401" s="210"/>
      <c r="BJ2401" s="210"/>
      <c r="BK2401" s="210"/>
      <c r="BL2401" s="210"/>
      <c r="BM2401" s="208"/>
      <c r="BN2401" s="160"/>
      <c r="BO2401" s="161">
        <f t="shared" si="2121"/>
        <v>0</v>
      </c>
      <c r="BP2401" s="161"/>
    </row>
    <row r="2402" spans="1:68" ht="25.5">
      <c r="A2402" s="210"/>
      <c r="B2402" s="195" t="s">
        <v>10755</v>
      </c>
      <c r="C2402" s="196" t="s">
        <v>10756</v>
      </c>
      <c r="D2402" s="146" t="s">
        <v>4692</v>
      </c>
      <c r="E2402" s="377" t="s">
        <v>10756</v>
      </c>
      <c r="F2402" s="150">
        <v>0</v>
      </c>
      <c r="G2402" s="209">
        <v>0</v>
      </c>
      <c r="H2402" s="209"/>
      <c r="I2402" s="209">
        <v>0</v>
      </c>
      <c r="J2402" s="150">
        <v>0</v>
      </c>
      <c r="K2402" s="150">
        <v>0</v>
      </c>
      <c r="L2402" s="150">
        <f t="shared" si="2129"/>
        <v>0</v>
      </c>
      <c r="M2402" s="150">
        <v>0</v>
      </c>
      <c r="N2402" s="150"/>
      <c r="O2402" s="150">
        <v>0</v>
      </c>
      <c r="P2402" s="150">
        <v>0</v>
      </c>
      <c r="Q2402" s="150">
        <v>0</v>
      </c>
      <c r="R2402" s="150">
        <f t="shared" si="2139"/>
        <v>0</v>
      </c>
      <c r="S2402" s="150">
        <f t="shared" si="2108"/>
        <v>0</v>
      </c>
      <c r="T2402" s="150"/>
      <c r="U2402" s="150">
        <v>0</v>
      </c>
      <c r="V2402" s="199"/>
      <c r="W2402" s="150">
        <f t="shared" si="2135"/>
        <v>0</v>
      </c>
      <c r="X2402" s="150">
        <v>0</v>
      </c>
      <c r="Y2402" s="150"/>
      <c r="Z2402" s="150">
        <v>0</v>
      </c>
      <c r="AA2402" s="150">
        <f t="shared" si="2112"/>
        <v>0</v>
      </c>
      <c r="AB2402" s="150">
        <v>0</v>
      </c>
      <c r="AC2402" s="199"/>
      <c r="AD2402" s="150">
        <f t="shared" si="2136"/>
        <v>0</v>
      </c>
      <c r="AE2402" s="150">
        <v>0</v>
      </c>
      <c r="AF2402" s="169" t="s">
        <v>4680</v>
      </c>
      <c r="AG2402" s="201">
        <v>0</v>
      </c>
      <c r="AH2402" s="199"/>
      <c r="AI2402" s="150">
        <v>0</v>
      </c>
      <c r="AJ2402" s="169">
        <f t="shared" si="2113"/>
        <v>0</v>
      </c>
      <c r="AK2402" s="201">
        <v>0</v>
      </c>
      <c r="AL2402" s="199"/>
      <c r="AM2402" s="150">
        <f t="shared" si="2137"/>
        <v>0</v>
      </c>
      <c r="AN2402" s="153">
        <f t="shared" si="2114"/>
        <v>0</v>
      </c>
      <c r="AO2402" s="154">
        <f t="shared" si="2115"/>
        <v>0</v>
      </c>
      <c r="AP2402" s="150">
        <v>0</v>
      </c>
      <c r="AQ2402" s="201">
        <v>0</v>
      </c>
      <c r="AR2402" s="199"/>
      <c r="AS2402" s="150">
        <f t="shared" si="2138"/>
        <v>0</v>
      </c>
      <c r="AT2402" s="155"/>
      <c r="AU2402" s="156">
        <f t="shared" si="2110"/>
        <v>0</v>
      </c>
      <c r="AV2402" s="156">
        <f t="shared" si="2111"/>
        <v>0</v>
      </c>
      <c r="AW2402" s="157"/>
      <c r="AX2402" s="150">
        <v>0</v>
      </c>
      <c r="AY2402" s="150">
        <v>0</v>
      </c>
      <c r="AZ2402" s="150"/>
      <c r="BA2402" s="150">
        <f t="shared" ref="BA2402:BA2465" si="2143">AY2402+AZ2402</f>
        <v>0</v>
      </c>
      <c r="BB2402" s="210"/>
      <c r="BC2402" s="210"/>
      <c r="BD2402" s="210"/>
      <c r="BE2402" s="210"/>
      <c r="BF2402" s="210"/>
      <c r="BG2402" s="210"/>
      <c r="BH2402" s="217"/>
      <c r="BI2402" s="210"/>
      <c r="BJ2402" s="210"/>
      <c r="BK2402" s="210"/>
      <c r="BL2402" s="210"/>
      <c r="BM2402" s="208"/>
      <c r="BN2402" s="160"/>
      <c r="BO2402" s="161">
        <f t="shared" si="2121"/>
        <v>0</v>
      </c>
      <c r="BP2402" s="161"/>
    </row>
    <row r="2403" spans="1:68" ht="38.25">
      <c r="A2403" s="210"/>
      <c r="B2403" s="195" t="s">
        <v>10757</v>
      </c>
      <c r="C2403" s="196" t="s">
        <v>10758</v>
      </c>
      <c r="D2403" s="146" t="s">
        <v>4692</v>
      </c>
      <c r="E2403" s="377" t="s">
        <v>10758</v>
      </c>
      <c r="F2403" s="150">
        <v>0</v>
      </c>
      <c r="G2403" s="209">
        <v>0</v>
      </c>
      <c r="H2403" s="209"/>
      <c r="I2403" s="209">
        <v>0</v>
      </c>
      <c r="J2403" s="150">
        <v>0</v>
      </c>
      <c r="K2403" s="150">
        <v>0</v>
      </c>
      <c r="L2403" s="150">
        <f t="shared" si="2129"/>
        <v>0</v>
      </c>
      <c r="M2403" s="150">
        <v>0</v>
      </c>
      <c r="N2403" s="150"/>
      <c r="O2403" s="150">
        <v>0</v>
      </c>
      <c r="P2403" s="150">
        <v>0</v>
      </c>
      <c r="Q2403" s="150">
        <v>0</v>
      </c>
      <c r="R2403" s="150">
        <f t="shared" si="2139"/>
        <v>0</v>
      </c>
      <c r="S2403" s="150">
        <f t="shared" si="2108"/>
        <v>0</v>
      </c>
      <c r="T2403" s="150"/>
      <c r="U2403" s="150">
        <v>0</v>
      </c>
      <c r="V2403" s="199"/>
      <c r="W2403" s="150">
        <f t="shared" si="2135"/>
        <v>0</v>
      </c>
      <c r="X2403" s="150">
        <v>0</v>
      </c>
      <c r="Y2403" s="150"/>
      <c r="Z2403" s="150">
        <v>0</v>
      </c>
      <c r="AA2403" s="150">
        <f t="shared" si="2112"/>
        <v>0</v>
      </c>
      <c r="AB2403" s="150">
        <v>0</v>
      </c>
      <c r="AC2403" s="199"/>
      <c r="AD2403" s="150">
        <f t="shared" si="2136"/>
        <v>0</v>
      </c>
      <c r="AE2403" s="150">
        <v>0</v>
      </c>
      <c r="AF2403" s="169" t="s">
        <v>4680</v>
      </c>
      <c r="AG2403" s="201">
        <v>0</v>
      </c>
      <c r="AH2403" s="199"/>
      <c r="AI2403" s="150">
        <v>0</v>
      </c>
      <c r="AJ2403" s="169">
        <f t="shared" si="2113"/>
        <v>0</v>
      </c>
      <c r="AK2403" s="201">
        <v>0</v>
      </c>
      <c r="AL2403" s="199"/>
      <c r="AM2403" s="150">
        <f t="shared" si="2137"/>
        <v>0</v>
      </c>
      <c r="AN2403" s="153">
        <f t="shared" si="2114"/>
        <v>0</v>
      </c>
      <c r="AO2403" s="154">
        <f t="shared" si="2115"/>
        <v>0</v>
      </c>
      <c r="AP2403" s="150">
        <v>0</v>
      </c>
      <c r="AQ2403" s="201">
        <v>0</v>
      </c>
      <c r="AR2403" s="199"/>
      <c r="AS2403" s="150">
        <f t="shared" si="2138"/>
        <v>0</v>
      </c>
      <c r="AT2403" s="155"/>
      <c r="AU2403" s="156">
        <f t="shared" si="2110"/>
        <v>0</v>
      </c>
      <c r="AV2403" s="156">
        <f t="shared" si="2111"/>
        <v>0</v>
      </c>
      <c r="AW2403" s="157"/>
      <c r="AX2403" s="150">
        <v>0</v>
      </c>
      <c r="AY2403" s="150">
        <v>0</v>
      </c>
      <c r="AZ2403" s="150"/>
      <c r="BA2403" s="150">
        <f t="shared" si="2143"/>
        <v>0</v>
      </c>
      <c r="BB2403" s="210"/>
      <c r="BC2403" s="210"/>
      <c r="BD2403" s="210"/>
      <c r="BE2403" s="210"/>
      <c r="BF2403" s="210"/>
      <c r="BG2403" s="210"/>
      <c r="BH2403" s="217"/>
      <c r="BI2403" s="210"/>
      <c r="BJ2403" s="210"/>
      <c r="BK2403" s="210"/>
      <c r="BL2403" s="210"/>
      <c r="BM2403" s="208"/>
      <c r="BN2403" s="160"/>
      <c r="BO2403" s="161">
        <f t="shared" si="2121"/>
        <v>0</v>
      </c>
      <c r="BP2403" s="161"/>
    </row>
    <row r="2404" spans="1:68" ht="38.25">
      <c r="A2404" s="210"/>
      <c r="B2404" s="195" t="s">
        <v>10759</v>
      </c>
      <c r="C2404" s="196" t="s">
        <v>10760</v>
      </c>
      <c r="D2404" s="146" t="s">
        <v>4692</v>
      </c>
      <c r="E2404" s="377" t="s">
        <v>10760</v>
      </c>
      <c r="F2404" s="150">
        <v>0</v>
      </c>
      <c r="G2404" s="209">
        <v>0</v>
      </c>
      <c r="H2404" s="209"/>
      <c r="I2404" s="209">
        <v>0</v>
      </c>
      <c r="J2404" s="150">
        <v>0</v>
      </c>
      <c r="K2404" s="150">
        <v>0</v>
      </c>
      <c r="L2404" s="150">
        <f t="shared" si="2129"/>
        <v>0</v>
      </c>
      <c r="M2404" s="150">
        <v>0</v>
      </c>
      <c r="N2404" s="150"/>
      <c r="O2404" s="150">
        <v>0</v>
      </c>
      <c r="P2404" s="150">
        <v>0</v>
      </c>
      <c r="Q2404" s="150">
        <v>0</v>
      </c>
      <c r="R2404" s="150">
        <f t="shared" si="2139"/>
        <v>0</v>
      </c>
      <c r="S2404" s="150">
        <f t="shared" si="2108"/>
        <v>0</v>
      </c>
      <c r="T2404" s="150"/>
      <c r="U2404" s="150">
        <v>0</v>
      </c>
      <c r="V2404" s="199"/>
      <c r="W2404" s="150">
        <f t="shared" si="2135"/>
        <v>0</v>
      </c>
      <c r="X2404" s="150">
        <v>0</v>
      </c>
      <c r="Y2404" s="150"/>
      <c r="Z2404" s="150">
        <v>0</v>
      </c>
      <c r="AA2404" s="150">
        <f t="shared" si="2112"/>
        <v>0</v>
      </c>
      <c r="AB2404" s="150">
        <v>0</v>
      </c>
      <c r="AC2404" s="199"/>
      <c r="AD2404" s="150">
        <f t="shared" si="2136"/>
        <v>0</v>
      </c>
      <c r="AE2404" s="150">
        <v>0</v>
      </c>
      <c r="AF2404" s="169" t="s">
        <v>4680</v>
      </c>
      <c r="AG2404" s="201">
        <v>0</v>
      </c>
      <c r="AH2404" s="199"/>
      <c r="AI2404" s="150">
        <v>0</v>
      </c>
      <c r="AJ2404" s="169">
        <f t="shared" si="2113"/>
        <v>0</v>
      </c>
      <c r="AK2404" s="201">
        <v>0</v>
      </c>
      <c r="AL2404" s="199"/>
      <c r="AM2404" s="150">
        <f t="shared" si="2137"/>
        <v>0</v>
      </c>
      <c r="AN2404" s="153">
        <f t="shared" si="2114"/>
        <v>0</v>
      </c>
      <c r="AO2404" s="154">
        <f t="shared" si="2115"/>
        <v>0</v>
      </c>
      <c r="AP2404" s="150">
        <v>0</v>
      </c>
      <c r="AQ2404" s="201">
        <v>0</v>
      </c>
      <c r="AR2404" s="199"/>
      <c r="AS2404" s="150">
        <f t="shared" si="2138"/>
        <v>0</v>
      </c>
      <c r="AT2404" s="155"/>
      <c r="AU2404" s="156">
        <f t="shared" si="2110"/>
        <v>0</v>
      </c>
      <c r="AV2404" s="156">
        <f t="shared" si="2111"/>
        <v>0</v>
      </c>
      <c r="AW2404" s="157"/>
      <c r="AX2404" s="150">
        <v>0</v>
      </c>
      <c r="AY2404" s="150">
        <v>0</v>
      </c>
      <c r="AZ2404" s="150"/>
      <c r="BA2404" s="150">
        <f t="shared" si="2143"/>
        <v>0</v>
      </c>
      <c r="BB2404" s="210"/>
      <c r="BC2404" s="210"/>
      <c r="BD2404" s="210"/>
      <c r="BE2404" s="210"/>
      <c r="BF2404" s="210"/>
      <c r="BG2404" s="210"/>
      <c r="BH2404" s="217"/>
      <c r="BI2404" s="210"/>
      <c r="BJ2404" s="210"/>
      <c r="BK2404" s="210"/>
      <c r="BL2404" s="210"/>
      <c r="BM2404" s="208"/>
      <c r="BN2404" s="160"/>
      <c r="BO2404" s="161">
        <f t="shared" si="2121"/>
        <v>0</v>
      </c>
      <c r="BP2404" s="161"/>
    </row>
    <row r="2405" spans="1:68" ht="25.5">
      <c r="A2405" s="210"/>
      <c r="B2405" s="195" t="s">
        <v>10761</v>
      </c>
      <c r="C2405" s="196" t="s">
        <v>10762</v>
      </c>
      <c r="D2405" s="146" t="s">
        <v>4692</v>
      </c>
      <c r="E2405" s="377" t="s">
        <v>10762</v>
      </c>
      <c r="F2405" s="150">
        <v>0</v>
      </c>
      <c r="G2405" s="209">
        <v>0</v>
      </c>
      <c r="H2405" s="209"/>
      <c r="I2405" s="209">
        <v>0</v>
      </c>
      <c r="J2405" s="150">
        <v>0</v>
      </c>
      <c r="K2405" s="150">
        <v>0</v>
      </c>
      <c r="L2405" s="150">
        <f t="shared" si="2129"/>
        <v>0</v>
      </c>
      <c r="M2405" s="150">
        <v>0</v>
      </c>
      <c r="N2405" s="150"/>
      <c r="O2405" s="150">
        <v>0</v>
      </c>
      <c r="P2405" s="150">
        <v>0</v>
      </c>
      <c r="Q2405" s="150">
        <v>0</v>
      </c>
      <c r="R2405" s="150">
        <f t="shared" si="2139"/>
        <v>0</v>
      </c>
      <c r="S2405" s="150">
        <f t="shared" si="2108"/>
        <v>0</v>
      </c>
      <c r="T2405" s="150"/>
      <c r="U2405" s="150">
        <v>0</v>
      </c>
      <c r="V2405" s="199"/>
      <c r="W2405" s="150">
        <f t="shared" si="2135"/>
        <v>0</v>
      </c>
      <c r="X2405" s="150">
        <v>0</v>
      </c>
      <c r="Y2405" s="150"/>
      <c r="Z2405" s="150">
        <v>0</v>
      </c>
      <c r="AA2405" s="150">
        <f t="shared" si="2112"/>
        <v>0</v>
      </c>
      <c r="AB2405" s="150">
        <v>0</v>
      </c>
      <c r="AC2405" s="199"/>
      <c r="AD2405" s="150">
        <f t="shared" si="2136"/>
        <v>0</v>
      </c>
      <c r="AE2405" s="150">
        <v>0</v>
      </c>
      <c r="AF2405" s="169" t="s">
        <v>4680</v>
      </c>
      <c r="AG2405" s="201">
        <v>0</v>
      </c>
      <c r="AH2405" s="199"/>
      <c r="AI2405" s="150">
        <v>0</v>
      </c>
      <c r="AJ2405" s="169">
        <f t="shared" si="2113"/>
        <v>0</v>
      </c>
      <c r="AK2405" s="201">
        <v>0</v>
      </c>
      <c r="AL2405" s="199"/>
      <c r="AM2405" s="150">
        <f t="shared" si="2137"/>
        <v>0</v>
      </c>
      <c r="AN2405" s="153">
        <f t="shared" si="2114"/>
        <v>0</v>
      </c>
      <c r="AO2405" s="154">
        <f t="shared" si="2115"/>
        <v>0</v>
      </c>
      <c r="AP2405" s="150">
        <v>0</v>
      </c>
      <c r="AQ2405" s="201">
        <v>0</v>
      </c>
      <c r="AR2405" s="199"/>
      <c r="AS2405" s="150">
        <f t="shared" si="2138"/>
        <v>0</v>
      </c>
      <c r="AT2405" s="155"/>
      <c r="AU2405" s="156">
        <f t="shared" si="2110"/>
        <v>0</v>
      </c>
      <c r="AV2405" s="156">
        <f t="shared" si="2111"/>
        <v>0</v>
      </c>
      <c r="AW2405" s="157"/>
      <c r="AX2405" s="150">
        <v>0</v>
      </c>
      <c r="AY2405" s="150">
        <v>0</v>
      </c>
      <c r="AZ2405" s="150"/>
      <c r="BA2405" s="150">
        <f t="shared" si="2143"/>
        <v>0</v>
      </c>
      <c r="BB2405" s="210"/>
      <c r="BC2405" s="210"/>
      <c r="BD2405" s="210"/>
      <c r="BE2405" s="210"/>
      <c r="BF2405" s="210"/>
      <c r="BG2405" s="210"/>
      <c r="BH2405" s="217"/>
      <c r="BI2405" s="210"/>
      <c r="BJ2405" s="210"/>
      <c r="BK2405" s="210"/>
      <c r="BL2405" s="210"/>
      <c r="BM2405" s="208"/>
      <c r="BN2405" s="160"/>
      <c r="BO2405" s="161">
        <f t="shared" si="2121"/>
        <v>0</v>
      </c>
      <c r="BP2405" s="161"/>
    </row>
    <row r="2406" spans="1:68" ht="25.5">
      <c r="A2406" s="210"/>
      <c r="B2406" s="195" t="s">
        <v>10763</v>
      </c>
      <c r="C2406" s="196" t="s">
        <v>10764</v>
      </c>
      <c r="D2406" s="146" t="s">
        <v>4692</v>
      </c>
      <c r="E2406" s="377" t="s">
        <v>10764</v>
      </c>
      <c r="F2406" s="150">
        <v>0</v>
      </c>
      <c r="G2406" s="209">
        <v>0</v>
      </c>
      <c r="H2406" s="209"/>
      <c r="I2406" s="209">
        <v>0</v>
      </c>
      <c r="J2406" s="150">
        <v>0</v>
      </c>
      <c r="K2406" s="150">
        <v>0</v>
      </c>
      <c r="L2406" s="150">
        <f t="shared" si="2129"/>
        <v>0</v>
      </c>
      <c r="M2406" s="150">
        <v>0</v>
      </c>
      <c r="N2406" s="150"/>
      <c r="O2406" s="150">
        <v>0</v>
      </c>
      <c r="P2406" s="150">
        <v>0</v>
      </c>
      <c r="Q2406" s="150">
        <v>0</v>
      </c>
      <c r="R2406" s="150">
        <f t="shared" si="2139"/>
        <v>0</v>
      </c>
      <c r="S2406" s="150">
        <f t="shared" si="2108"/>
        <v>0</v>
      </c>
      <c r="T2406" s="150"/>
      <c r="U2406" s="150">
        <v>0</v>
      </c>
      <c r="V2406" s="199"/>
      <c r="W2406" s="150">
        <f t="shared" si="2135"/>
        <v>0</v>
      </c>
      <c r="X2406" s="150">
        <v>0</v>
      </c>
      <c r="Y2406" s="150"/>
      <c r="Z2406" s="150">
        <v>0</v>
      </c>
      <c r="AA2406" s="150">
        <f t="shared" si="2112"/>
        <v>0</v>
      </c>
      <c r="AB2406" s="150">
        <v>0</v>
      </c>
      <c r="AC2406" s="199"/>
      <c r="AD2406" s="150">
        <f t="shared" si="2136"/>
        <v>0</v>
      </c>
      <c r="AE2406" s="150">
        <v>0</v>
      </c>
      <c r="AF2406" s="169" t="s">
        <v>4680</v>
      </c>
      <c r="AG2406" s="201">
        <v>0</v>
      </c>
      <c r="AH2406" s="199"/>
      <c r="AI2406" s="150">
        <v>0</v>
      </c>
      <c r="AJ2406" s="169">
        <f t="shared" si="2113"/>
        <v>0</v>
      </c>
      <c r="AK2406" s="201">
        <v>0</v>
      </c>
      <c r="AL2406" s="199"/>
      <c r="AM2406" s="150">
        <f t="shared" si="2137"/>
        <v>0</v>
      </c>
      <c r="AN2406" s="153">
        <f t="shared" si="2114"/>
        <v>0</v>
      </c>
      <c r="AO2406" s="154">
        <f t="shared" si="2115"/>
        <v>0</v>
      </c>
      <c r="AP2406" s="150">
        <v>0</v>
      </c>
      <c r="AQ2406" s="201">
        <v>0</v>
      </c>
      <c r="AR2406" s="199"/>
      <c r="AS2406" s="150">
        <f t="shared" si="2138"/>
        <v>0</v>
      </c>
      <c r="AT2406" s="155"/>
      <c r="AU2406" s="156">
        <f t="shared" si="2110"/>
        <v>0</v>
      </c>
      <c r="AV2406" s="156">
        <f t="shared" si="2111"/>
        <v>0</v>
      </c>
      <c r="AW2406" s="157"/>
      <c r="AX2406" s="150">
        <v>0</v>
      </c>
      <c r="AY2406" s="150">
        <v>0</v>
      </c>
      <c r="AZ2406" s="150"/>
      <c r="BA2406" s="150">
        <f t="shared" si="2143"/>
        <v>0</v>
      </c>
      <c r="BB2406" s="210"/>
      <c r="BC2406" s="210"/>
      <c r="BD2406" s="210"/>
      <c r="BE2406" s="210"/>
      <c r="BF2406" s="210"/>
      <c r="BG2406" s="210"/>
      <c r="BH2406" s="217"/>
      <c r="BI2406" s="210"/>
      <c r="BJ2406" s="210"/>
      <c r="BK2406" s="210"/>
      <c r="BL2406" s="210"/>
      <c r="BM2406" s="208"/>
      <c r="BN2406" s="160"/>
      <c r="BO2406" s="161">
        <f t="shared" si="2121"/>
        <v>0</v>
      </c>
      <c r="BP2406" s="161"/>
    </row>
    <row r="2407" spans="1:68" ht="25.5">
      <c r="A2407" s="210"/>
      <c r="B2407" s="195" t="s">
        <v>10765</v>
      </c>
      <c r="C2407" s="196" t="s">
        <v>10766</v>
      </c>
      <c r="D2407" s="146" t="s">
        <v>4692</v>
      </c>
      <c r="E2407" s="377" t="s">
        <v>10766</v>
      </c>
      <c r="F2407" s="150">
        <v>0</v>
      </c>
      <c r="G2407" s="209">
        <v>0</v>
      </c>
      <c r="H2407" s="209"/>
      <c r="I2407" s="209">
        <v>0</v>
      </c>
      <c r="J2407" s="150">
        <v>0</v>
      </c>
      <c r="K2407" s="150">
        <v>0</v>
      </c>
      <c r="L2407" s="150">
        <f t="shared" si="2129"/>
        <v>0</v>
      </c>
      <c r="M2407" s="150">
        <v>0</v>
      </c>
      <c r="N2407" s="150"/>
      <c r="O2407" s="150">
        <v>0</v>
      </c>
      <c r="P2407" s="150">
        <v>0</v>
      </c>
      <c r="Q2407" s="150">
        <v>0</v>
      </c>
      <c r="R2407" s="150">
        <f t="shared" si="2139"/>
        <v>0</v>
      </c>
      <c r="S2407" s="150">
        <f t="shared" si="2108"/>
        <v>0</v>
      </c>
      <c r="T2407" s="150"/>
      <c r="U2407" s="150">
        <v>0</v>
      </c>
      <c r="V2407" s="199"/>
      <c r="W2407" s="150">
        <f t="shared" si="2135"/>
        <v>0</v>
      </c>
      <c r="X2407" s="150">
        <v>0</v>
      </c>
      <c r="Y2407" s="150"/>
      <c r="Z2407" s="150">
        <v>0</v>
      </c>
      <c r="AA2407" s="150">
        <f t="shared" si="2112"/>
        <v>0</v>
      </c>
      <c r="AB2407" s="150">
        <v>0</v>
      </c>
      <c r="AC2407" s="199"/>
      <c r="AD2407" s="150">
        <f t="shared" si="2136"/>
        <v>0</v>
      </c>
      <c r="AE2407" s="150">
        <v>0</v>
      </c>
      <c r="AF2407" s="169" t="s">
        <v>4680</v>
      </c>
      <c r="AG2407" s="201">
        <v>0</v>
      </c>
      <c r="AH2407" s="199"/>
      <c r="AI2407" s="150">
        <v>0</v>
      </c>
      <c r="AJ2407" s="169">
        <f t="shared" si="2113"/>
        <v>0</v>
      </c>
      <c r="AK2407" s="201">
        <v>0</v>
      </c>
      <c r="AL2407" s="199"/>
      <c r="AM2407" s="150">
        <f t="shared" si="2137"/>
        <v>0</v>
      </c>
      <c r="AN2407" s="153">
        <f t="shared" si="2114"/>
        <v>0</v>
      </c>
      <c r="AO2407" s="154">
        <f t="shared" si="2115"/>
        <v>0</v>
      </c>
      <c r="AP2407" s="150">
        <v>0</v>
      </c>
      <c r="AQ2407" s="201">
        <v>0</v>
      </c>
      <c r="AR2407" s="199"/>
      <c r="AS2407" s="150">
        <f t="shared" si="2138"/>
        <v>0</v>
      </c>
      <c r="AT2407" s="155"/>
      <c r="AU2407" s="156">
        <f t="shared" si="2110"/>
        <v>0</v>
      </c>
      <c r="AV2407" s="156">
        <f t="shared" si="2111"/>
        <v>0</v>
      </c>
      <c r="AW2407" s="157"/>
      <c r="AX2407" s="150">
        <v>0</v>
      </c>
      <c r="AY2407" s="150">
        <v>0</v>
      </c>
      <c r="AZ2407" s="150"/>
      <c r="BA2407" s="150">
        <f t="shared" si="2143"/>
        <v>0</v>
      </c>
      <c r="BB2407" s="210"/>
      <c r="BC2407" s="210"/>
      <c r="BD2407" s="210"/>
      <c r="BE2407" s="210"/>
      <c r="BF2407" s="210"/>
      <c r="BG2407" s="210"/>
      <c r="BH2407" s="217"/>
      <c r="BI2407" s="210"/>
      <c r="BJ2407" s="210"/>
      <c r="BK2407" s="210"/>
      <c r="BL2407" s="210"/>
      <c r="BM2407" s="208"/>
      <c r="BN2407" s="160"/>
      <c r="BO2407" s="161">
        <f t="shared" si="2121"/>
        <v>0</v>
      </c>
      <c r="BP2407" s="161"/>
    </row>
    <row r="2408" spans="1:68" ht="25.5">
      <c r="A2408" s="210"/>
      <c r="B2408" s="195" t="s">
        <v>10767</v>
      </c>
      <c r="C2408" s="196" t="s">
        <v>10768</v>
      </c>
      <c r="D2408" s="146" t="s">
        <v>4692</v>
      </c>
      <c r="E2408" s="377" t="s">
        <v>10768</v>
      </c>
      <c r="F2408" s="150">
        <v>0</v>
      </c>
      <c r="G2408" s="209">
        <v>0</v>
      </c>
      <c r="H2408" s="209"/>
      <c r="I2408" s="209">
        <v>0</v>
      </c>
      <c r="J2408" s="150">
        <v>0</v>
      </c>
      <c r="K2408" s="150">
        <v>0</v>
      </c>
      <c r="L2408" s="150">
        <f t="shared" si="2129"/>
        <v>0</v>
      </c>
      <c r="M2408" s="150">
        <v>0</v>
      </c>
      <c r="N2408" s="150"/>
      <c r="O2408" s="150">
        <v>0</v>
      </c>
      <c r="P2408" s="150">
        <v>0</v>
      </c>
      <c r="Q2408" s="150">
        <v>0</v>
      </c>
      <c r="R2408" s="150">
        <f t="shared" si="2139"/>
        <v>0</v>
      </c>
      <c r="S2408" s="150">
        <f t="shared" si="2108"/>
        <v>0</v>
      </c>
      <c r="T2408" s="150"/>
      <c r="U2408" s="150">
        <v>0</v>
      </c>
      <c r="V2408" s="199"/>
      <c r="W2408" s="150">
        <f t="shared" si="2135"/>
        <v>0</v>
      </c>
      <c r="X2408" s="150">
        <v>0</v>
      </c>
      <c r="Y2408" s="150"/>
      <c r="Z2408" s="150">
        <v>0</v>
      </c>
      <c r="AA2408" s="150">
        <f t="shared" si="2112"/>
        <v>0</v>
      </c>
      <c r="AB2408" s="150">
        <v>0</v>
      </c>
      <c r="AC2408" s="199"/>
      <c r="AD2408" s="150">
        <f t="shared" si="2136"/>
        <v>0</v>
      </c>
      <c r="AE2408" s="150">
        <v>0</v>
      </c>
      <c r="AF2408" s="169" t="s">
        <v>4680</v>
      </c>
      <c r="AG2408" s="201">
        <v>0</v>
      </c>
      <c r="AH2408" s="199"/>
      <c r="AI2408" s="150">
        <v>0</v>
      </c>
      <c r="AJ2408" s="169">
        <f t="shared" si="2113"/>
        <v>0</v>
      </c>
      <c r="AK2408" s="201">
        <v>0</v>
      </c>
      <c r="AL2408" s="199"/>
      <c r="AM2408" s="150">
        <f t="shared" si="2137"/>
        <v>0</v>
      </c>
      <c r="AN2408" s="153">
        <f t="shared" si="2114"/>
        <v>0</v>
      </c>
      <c r="AO2408" s="154">
        <f t="shared" si="2115"/>
        <v>0</v>
      </c>
      <c r="AP2408" s="150">
        <v>0</v>
      </c>
      <c r="AQ2408" s="201">
        <v>0</v>
      </c>
      <c r="AR2408" s="199"/>
      <c r="AS2408" s="150">
        <f t="shared" si="2138"/>
        <v>0</v>
      </c>
      <c r="AT2408" s="155"/>
      <c r="AU2408" s="156">
        <f t="shared" si="2110"/>
        <v>0</v>
      </c>
      <c r="AV2408" s="156">
        <f t="shared" si="2111"/>
        <v>0</v>
      </c>
      <c r="AW2408" s="157"/>
      <c r="AX2408" s="150">
        <v>0</v>
      </c>
      <c r="AY2408" s="150">
        <v>0</v>
      </c>
      <c r="AZ2408" s="150"/>
      <c r="BA2408" s="150">
        <f t="shared" si="2143"/>
        <v>0</v>
      </c>
      <c r="BB2408" s="210"/>
      <c r="BC2408" s="210"/>
      <c r="BD2408" s="210"/>
      <c r="BE2408" s="210"/>
      <c r="BF2408" s="210"/>
      <c r="BG2408" s="210"/>
      <c r="BH2408" s="217"/>
      <c r="BI2408" s="210"/>
      <c r="BJ2408" s="210"/>
      <c r="BK2408" s="210"/>
      <c r="BL2408" s="210"/>
      <c r="BM2408" s="208"/>
      <c r="BN2408" s="160"/>
      <c r="BO2408" s="161">
        <f t="shared" si="2121"/>
        <v>0</v>
      </c>
      <c r="BP2408" s="161"/>
    </row>
    <row r="2409" spans="1:68" ht="25.5">
      <c r="A2409" s="210"/>
      <c r="B2409" s="195" t="s">
        <v>10769</v>
      </c>
      <c r="C2409" s="196" t="s">
        <v>10770</v>
      </c>
      <c r="D2409" s="146" t="s">
        <v>4692</v>
      </c>
      <c r="E2409" s="377" t="s">
        <v>10770</v>
      </c>
      <c r="F2409" s="150">
        <v>0</v>
      </c>
      <c r="G2409" s="209">
        <v>0</v>
      </c>
      <c r="H2409" s="209"/>
      <c r="I2409" s="209">
        <v>0</v>
      </c>
      <c r="J2409" s="150">
        <v>0</v>
      </c>
      <c r="K2409" s="150">
        <v>0</v>
      </c>
      <c r="L2409" s="150">
        <f t="shared" si="2129"/>
        <v>0</v>
      </c>
      <c r="M2409" s="150">
        <v>0</v>
      </c>
      <c r="N2409" s="150"/>
      <c r="O2409" s="150">
        <v>0</v>
      </c>
      <c r="P2409" s="150">
        <v>0</v>
      </c>
      <c r="Q2409" s="150">
        <v>0</v>
      </c>
      <c r="R2409" s="150">
        <f t="shared" si="2139"/>
        <v>0</v>
      </c>
      <c r="S2409" s="150">
        <f t="shared" si="2108"/>
        <v>0</v>
      </c>
      <c r="T2409" s="150"/>
      <c r="U2409" s="150">
        <v>0</v>
      </c>
      <c r="V2409" s="199"/>
      <c r="W2409" s="150">
        <f t="shared" si="2135"/>
        <v>0</v>
      </c>
      <c r="X2409" s="150">
        <v>0</v>
      </c>
      <c r="Y2409" s="150"/>
      <c r="Z2409" s="150">
        <v>0</v>
      </c>
      <c r="AA2409" s="150">
        <f t="shared" si="2112"/>
        <v>0</v>
      </c>
      <c r="AB2409" s="150">
        <v>0</v>
      </c>
      <c r="AC2409" s="199"/>
      <c r="AD2409" s="150">
        <f t="shared" si="2136"/>
        <v>0</v>
      </c>
      <c r="AE2409" s="150">
        <v>0</v>
      </c>
      <c r="AF2409" s="169" t="s">
        <v>4680</v>
      </c>
      <c r="AG2409" s="201">
        <v>0</v>
      </c>
      <c r="AH2409" s="199"/>
      <c r="AI2409" s="150">
        <v>0</v>
      </c>
      <c r="AJ2409" s="169">
        <f t="shared" si="2113"/>
        <v>0</v>
      </c>
      <c r="AK2409" s="201">
        <v>0</v>
      </c>
      <c r="AL2409" s="199"/>
      <c r="AM2409" s="150">
        <f t="shared" si="2137"/>
        <v>0</v>
      </c>
      <c r="AN2409" s="153">
        <f t="shared" si="2114"/>
        <v>0</v>
      </c>
      <c r="AO2409" s="154">
        <f t="shared" si="2115"/>
        <v>0</v>
      </c>
      <c r="AP2409" s="150">
        <v>0</v>
      </c>
      <c r="AQ2409" s="201">
        <v>0</v>
      </c>
      <c r="AR2409" s="199"/>
      <c r="AS2409" s="150">
        <f t="shared" si="2138"/>
        <v>0</v>
      </c>
      <c r="AT2409" s="155"/>
      <c r="AU2409" s="156">
        <f t="shared" si="2110"/>
        <v>0</v>
      </c>
      <c r="AV2409" s="156">
        <f t="shared" si="2111"/>
        <v>0</v>
      </c>
      <c r="AW2409" s="157"/>
      <c r="AX2409" s="150">
        <v>0</v>
      </c>
      <c r="AY2409" s="150">
        <v>0</v>
      </c>
      <c r="AZ2409" s="150"/>
      <c r="BA2409" s="150">
        <f t="shared" si="2143"/>
        <v>0</v>
      </c>
      <c r="BB2409" s="210"/>
      <c r="BC2409" s="210"/>
      <c r="BD2409" s="210"/>
      <c r="BE2409" s="210"/>
      <c r="BF2409" s="210"/>
      <c r="BG2409" s="210"/>
      <c r="BH2409" s="217"/>
      <c r="BI2409" s="210"/>
      <c r="BJ2409" s="210"/>
      <c r="BK2409" s="210"/>
      <c r="BL2409" s="210"/>
      <c r="BM2409" s="208"/>
      <c r="BN2409" s="160"/>
      <c r="BO2409" s="161">
        <f t="shared" si="2121"/>
        <v>0</v>
      </c>
      <c r="BP2409" s="161"/>
    </row>
    <row r="2410" spans="1:68" ht="25.5">
      <c r="A2410" s="210"/>
      <c r="B2410" s="195" t="s">
        <v>10771</v>
      </c>
      <c r="C2410" s="196" t="s">
        <v>10772</v>
      </c>
      <c r="D2410" s="146" t="s">
        <v>4692</v>
      </c>
      <c r="E2410" s="377" t="s">
        <v>10772</v>
      </c>
      <c r="F2410" s="150">
        <v>0</v>
      </c>
      <c r="G2410" s="209">
        <v>0</v>
      </c>
      <c r="H2410" s="209"/>
      <c r="I2410" s="209">
        <v>0</v>
      </c>
      <c r="J2410" s="150">
        <v>0</v>
      </c>
      <c r="K2410" s="150">
        <v>0</v>
      </c>
      <c r="L2410" s="150">
        <f t="shared" si="2129"/>
        <v>0</v>
      </c>
      <c r="M2410" s="150">
        <v>0</v>
      </c>
      <c r="N2410" s="150"/>
      <c r="O2410" s="150">
        <v>0</v>
      </c>
      <c r="P2410" s="150">
        <v>0</v>
      </c>
      <c r="Q2410" s="150">
        <v>0</v>
      </c>
      <c r="R2410" s="150">
        <f t="shared" si="2139"/>
        <v>0</v>
      </c>
      <c r="S2410" s="150">
        <f t="shared" si="2108"/>
        <v>0</v>
      </c>
      <c r="T2410" s="150"/>
      <c r="U2410" s="150">
        <v>0</v>
      </c>
      <c r="V2410" s="199"/>
      <c r="W2410" s="150">
        <f t="shared" si="2135"/>
        <v>0</v>
      </c>
      <c r="X2410" s="150">
        <v>0</v>
      </c>
      <c r="Y2410" s="150"/>
      <c r="Z2410" s="150">
        <v>0</v>
      </c>
      <c r="AA2410" s="150">
        <f t="shared" si="2112"/>
        <v>0</v>
      </c>
      <c r="AB2410" s="150">
        <v>0</v>
      </c>
      <c r="AC2410" s="199"/>
      <c r="AD2410" s="150">
        <f t="shared" si="2136"/>
        <v>0</v>
      </c>
      <c r="AE2410" s="150">
        <v>0</v>
      </c>
      <c r="AF2410" s="169" t="s">
        <v>4680</v>
      </c>
      <c r="AG2410" s="201">
        <v>0</v>
      </c>
      <c r="AH2410" s="199"/>
      <c r="AI2410" s="150">
        <v>0</v>
      </c>
      <c r="AJ2410" s="169">
        <f t="shared" si="2113"/>
        <v>0</v>
      </c>
      <c r="AK2410" s="201">
        <v>0</v>
      </c>
      <c r="AL2410" s="199"/>
      <c r="AM2410" s="150">
        <f t="shared" si="2137"/>
        <v>0</v>
      </c>
      <c r="AN2410" s="153">
        <f t="shared" si="2114"/>
        <v>0</v>
      </c>
      <c r="AO2410" s="154">
        <f t="shared" si="2115"/>
        <v>0</v>
      </c>
      <c r="AP2410" s="150">
        <v>0</v>
      </c>
      <c r="AQ2410" s="201">
        <v>0</v>
      </c>
      <c r="AR2410" s="199"/>
      <c r="AS2410" s="150">
        <f t="shared" si="2138"/>
        <v>0</v>
      </c>
      <c r="AT2410" s="155"/>
      <c r="AU2410" s="156">
        <f t="shared" si="2110"/>
        <v>0</v>
      </c>
      <c r="AV2410" s="156">
        <f t="shared" si="2111"/>
        <v>0</v>
      </c>
      <c r="AW2410" s="157"/>
      <c r="AX2410" s="150">
        <v>0</v>
      </c>
      <c r="AY2410" s="150">
        <v>0</v>
      </c>
      <c r="AZ2410" s="150"/>
      <c r="BA2410" s="150">
        <f t="shared" si="2143"/>
        <v>0</v>
      </c>
      <c r="BB2410" s="210"/>
      <c r="BC2410" s="210"/>
      <c r="BD2410" s="210"/>
      <c r="BE2410" s="210"/>
      <c r="BF2410" s="210"/>
      <c r="BG2410" s="210"/>
      <c r="BH2410" s="217"/>
      <c r="BI2410" s="210"/>
      <c r="BJ2410" s="210"/>
      <c r="BK2410" s="210"/>
      <c r="BL2410" s="210"/>
      <c r="BM2410" s="208"/>
      <c r="BN2410" s="160"/>
      <c r="BO2410" s="161">
        <f t="shared" si="2121"/>
        <v>0</v>
      </c>
      <c r="BP2410" s="161"/>
    </row>
    <row r="2411" spans="1:68" ht="25.5">
      <c r="A2411" s="210"/>
      <c r="B2411" s="195" t="s">
        <v>10773</v>
      </c>
      <c r="C2411" s="196" t="s">
        <v>10774</v>
      </c>
      <c r="D2411" s="146" t="s">
        <v>4692</v>
      </c>
      <c r="E2411" s="377" t="s">
        <v>10774</v>
      </c>
      <c r="F2411" s="150">
        <v>0</v>
      </c>
      <c r="G2411" s="209">
        <v>0</v>
      </c>
      <c r="H2411" s="209"/>
      <c r="I2411" s="209">
        <v>0</v>
      </c>
      <c r="J2411" s="150">
        <v>0</v>
      </c>
      <c r="K2411" s="150">
        <v>0</v>
      </c>
      <c r="L2411" s="150">
        <f t="shared" si="2129"/>
        <v>0</v>
      </c>
      <c r="M2411" s="150">
        <v>0</v>
      </c>
      <c r="N2411" s="150"/>
      <c r="O2411" s="150">
        <v>0</v>
      </c>
      <c r="P2411" s="150">
        <v>0</v>
      </c>
      <c r="Q2411" s="150">
        <v>0</v>
      </c>
      <c r="R2411" s="150">
        <f t="shared" si="2139"/>
        <v>0</v>
      </c>
      <c r="S2411" s="150">
        <f t="shared" si="2108"/>
        <v>0</v>
      </c>
      <c r="T2411" s="150"/>
      <c r="U2411" s="150">
        <v>0</v>
      </c>
      <c r="V2411" s="199"/>
      <c r="W2411" s="150">
        <f t="shared" si="2135"/>
        <v>0</v>
      </c>
      <c r="X2411" s="150">
        <v>0</v>
      </c>
      <c r="Y2411" s="150"/>
      <c r="Z2411" s="150">
        <v>0</v>
      </c>
      <c r="AA2411" s="150">
        <f t="shared" si="2112"/>
        <v>0</v>
      </c>
      <c r="AB2411" s="150">
        <v>0</v>
      </c>
      <c r="AC2411" s="199"/>
      <c r="AD2411" s="150">
        <f t="shared" si="2136"/>
        <v>0</v>
      </c>
      <c r="AE2411" s="150">
        <v>0</v>
      </c>
      <c r="AF2411" s="169" t="s">
        <v>4680</v>
      </c>
      <c r="AG2411" s="201">
        <v>0</v>
      </c>
      <c r="AH2411" s="199"/>
      <c r="AI2411" s="150">
        <v>0</v>
      </c>
      <c r="AJ2411" s="169">
        <f t="shared" si="2113"/>
        <v>0</v>
      </c>
      <c r="AK2411" s="201">
        <v>0</v>
      </c>
      <c r="AL2411" s="199"/>
      <c r="AM2411" s="150">
        <f t="shared" si="2137"/>
        <v>0</v>
      </c>
      <c r="AN2411" s="153">
        <f t="shared" si="2114"/>
        <v>0</v>
      </c>
      <c r="AO2411" s="154">
        <f t="shared" si="2115"/>
        <v>0</v>
      </c>
      <c r="AP2411" s="150">
        <v>0</v>
      </c>
      <c r="AQ2411" s="201">
        <v>0</v>
      </c>
      <c r="AR2411" s="199"/>
      <c r="AS2411" s="150">
        <f t="shared" si="2138"/>
        <v>0</v>
      </c>
      <c r="AT2411" s="155"/>
      <c r="AU2411" s="156">
        <f t="shared" si="2110"/>
        <v>0</v>
      </c>
      <c r="AV2411" s="156">
        <f t="shared" si="2111"/>
        <v>0</v>
      </c>
      <c r="AW2411" s="157"/>
      <c r="AX2411" s="150">
        <v>0</v>
      </c>
      <c r="AY2411" s="150">
        <v>0</v>
      </c>
      <c r="AZ2411" s="150"/>
      <c r="BA2411" s="150">
        <f t="shared" si="2143"/>
        <v>0</v>
      </c>
      <c r="BB2411" s="210"/>
      <c r="BC2411" s="210"/>
      <c r="BD2411" s="210"/>
      <c r="BE2411" s="210"/>
      <c r="BF2411" s="210"/>
      <c r="BG2411" s="210"/>
      <c r="BH2411" s="217"/>
      <c r="BI2411" s="210"/>
      <c r="BJ2411" s="210"/>
      <c r="BK2411" s="210"/>
      <c r="BL2411" s="210"/>
      <c r="BM2411" s="208"/>
      <c r="BN2411" s="160"/>
      <c r="BO2411" s="161">
        <f t="shared" si="2121"/>
        <v>0</v>
      </c>
      <c r="BP2411" s="161"/>
    </row>
    <row r="2412" spans="1:68" ht="25.5">
      <c r="A2412" s="210"/>
      <c r="B2412" s="195" t="s">
        <v>10775</v>
      </c>
      <c r="C2412" s="196" t="s">
        <v>10776</v>
      </c>
      <c r="D2412" s="146" t="s">
        <v>4692</v>
      </c>
      <c r="E2412" s="377" t="s">
        <v>10776</v>
      </c>
      <c r="F2412" s="150">
        <v>0</v>
      </c>
      <c r="G2412" s="209">
        <v>0</v>
      </c>
      <c r="H2412" s="209"/>
      <c r="I2412" s="209">
        <v>0</v>
      </c>
      <c r="J2412" s="150">
        <v>0</v>
      </c>
      <c r="K2412" s="150">
        <v>0</v>
      </c>
      <c r="L2412" s="150">
        <f t="shared" si="2129"/>
        <v>0</v>
      </c>
      <c r="M2412" s="150">
        <v>0</v>
      </c>
      <c r="N2412" s="150"/>
      <c r="O2412" s="150">
        <v>0</v>
      </c>
      <c r="P2412" s="150">
        <v>0</v>
      </c>
      <c r="Q2412" s="150">
        <v>0</v>
      </c>
      <c r="R2412" s="150">
        <f t="shared" si="2139"/>
        <v>0</v>
      </c>
      <c r="S2412" s="150">
        <f t="shared" si="2108"/>
        <v>0</v>
      </c>
      <c r="T2412" s="150"/>
      <c r="U2412" s="150">
        <v>0</v>
      </c>
      <c r="V2412" s="199"/>
      <c r="W2412" s="150">
        <f t="shared" si="2135"/>
        <v>0</v>
      </c>
      <c r="X2412" s="150">
        <v>0</v>
      </c>
      <c r="Y2412" s="150"/>
      <c r="Z2412" s="150">
        <v>0</v>
      </c>
      <c r="AA2412" s="150">
        <f t="shared" si="2112"/>
        <v>0</v>
      </c>
      <c r="AB2412" s="150">
        <v>0</v>
      </c>
      <c r="AC2412" s="199"/>
      <c r="AD2412" s="150">
        <f t="shared" si="2136"/>
        <v>0</v>
      </c>
      <c r="AE2412" s="150">
        <v>0</v>
      </c>
      <c r="AF2412" s="169" t="s">
        <v>4680</v>
      </c>
      <c r="AG2412" s="201">
        <v>0</v>
      </c>
      <c r="AH2412" s="199"/>
      <c r="AI2412" s="150">
        <v>0</v>
      </c>
      <c r="AJ2412" s="169">
        <f t="shared" si="2113"/>
        <v>0</v>
      </c>
      <c r="AK2412" s="201">
        <v>0</v>
      </c>
      <c r="AL2412" s="199"/>
      <c r="AM2412" s="150">
        <f t="shared" si="2137"/>
        <v>0</v>
      </c>
      <c r="AN2412" s="153">
        <f t="shared" si="2114"/>
        <v>0</v>
      </c>
      <c r="AO2412" s="154">
        <f t="shared" si="2115"/>
        <v>0</v>
      </c>
      <c r="AP2412" s="150">
        <v>0</v>
      </c>
      <c r="AQ2412" s="201">
        <v>0</v>
      </c>
      <c r="AR2412" s="199"/>
      <c r="AS2412" s="150">
        <f t="shared" si="2138"/>
        <v>0</v>
      </c>
      <c r="AT2412" s="155"/>
      <c r="AU2412" s="156">
        <f t="shared" si="2110"/>
        <v>0</v>
      </c>
      <c r="AV2412" s="156">
        <f t="shared" si="2111"/>
        <v>0</v>
      </c>
      <c r="AW2412" s="157"/>
      <c r="AX2412" s="150">
        <v>0</v>
      </c>
      <c r="AY2412" s="150">
        <v>0</v>
      </c>
      <c r="AZ2412" s="150"/>
      <c r="BA2412" s="150">
        <f t="shared" si="2143"/>
        <v>0</v>
      </c>
      <c r="BB2412" s="210"/>
      <c r="BC2412" s="210"/>
      <c r="BD2412" s="210"/>
      <c r="BE2412" s="210"/>
      <c r="BF2412" s="210"/>
      <c r="BG2412" s="210"/>
      <c r="BH2412" s="217"/>
      <c r="BI2412" s="210"/>
      <c r="BJ2412" s="210"/>
      <c r="BK2412" s="210"/>
      <c r="BL2412" s="210"/>
      <c r="BM2412" s="208"/>
      <c r="BN2412" s="160"/>
      <c r="BO2412" s="161">
        <f t="shared" si="2121"/>
        <v>0</v>
      </c>
      <c r="BP2412" s="161"/>
    </row>
    <row r="2413" spans="1:68" ht="25.5">
      <c r="A2413" s="210"/>
      <c r="B2413" s="195" t="s">
        <v>10777</v>
      </c>
      <c r="C2413" s="196" t="s">
        <v>10778</v>
      </c>
      <c r="D2413" s="146" t="s">
        <v>4692</v>
      </c>
      <c r="E2413" s="377" t="s">
        <v>10778</v>
      </c>
      <c r="F2413" s="150">
        <v>0</v>
      </c>
      <c r="G2413" s="209">
        <v>0</v>
      </c>
      <c r="H2413" s="209"/>
      <c r="I2413" s="209">
        <v>0</v>
      </c>
      <c r="J2413" s="150">
        <v>0</v>
      </c>
      <c r="K2413" s="150">
        <v>0</v>
      </c>
      <c r="L2413" s="150">
        <f t="shared" si="2129"/>
        <v>0</v>
      </c>
      <c r="M2413" s="150">
        <v>0</v>
      </c>
      <c r="N2413" s="150"/>
      <c r="O2413" s="150">
        <v>0</v>
      </c>
      <c r="P2413" s="150">
        <v>0</v>
      </c>
      <c r="Q2413" s="150">
        <v>0</v>
      </c>
      <c r="R2413" s="150">
        <f t="shared" si="2139"/>
        <v>0</v>
      </c>
      <c r="S2413" s="150">
        <f t="shared" si="2108"/>
        <v>0</v>
      </c>
      <c r="T2413" s="150"/>
      <c r="U2413" s="150">
        <v>0</v>
      </c>
      <c r="V2413" s="199"/>
      <c r="W2413" s="150">
        <f t="shared" si="2135"/>
        <v>0</v>
      </c>
      <c r="X2413" s="150">
        <v>0</v>
      </c>
      <c r="Y2413" s="150"/>
      <c r="Z2413" s="150">
        <v>0</v>
      </c>
      <c r="AA2413" s="150">
        <f t="shared" si="2112"/>
        <v>0</v>
      </c>
      <c r="AB2413" s="150">
        <v>0</v>
      </c>
      <c r="AC2413" s="199"/>
      <c r="AD2413" s="150">
        <f t="shared" si="2136"/>
        <v>0</v>
      </c>
      <c r="AE2413" s="150">
        <v>0</v>
      </c>
      <c r="AF2413" s="169" t="s">
        <v>4680</v>
      </c>
      <c r="AG2413" s="201">
        <v>0</v>
      </c>
      <c r="AH2413" s="199"/>
      <c r="AI2413" s="150">
        <v>0</v>
      </c>
      <c r="AJ2413" s="169">
        <f t="shared" si="2113"/>
        <v>0</v>
      </c>
      <c r="AK2413" s="201">
        <v>0</v>
      </c>
      <c r="AL2413" s="199"/>
      <c r="AM2413" s="150">
        <f t="shared" si="2137"/>
        <v>0</v>
      </c>
      <c r="AN2413" s="153">
        <f t="shared" si="2114"/>
        <v>0</v>
      </c>
      <c r="AO2413" s="154">
        <f t="shared" si="2115"/>
        <v>0</v>
      </c>
      <c r="AP2413" s="150">
        <v>0</v>
      </c>
      <c r="AQ2413" s="201">
        <v>0</v>
      </c>
      <c r="AR2413" s="199"/>
      <c r="AS2413" s="150">
        <f t="shared" si="2138"/>
        <v>0</v>
      </c>
      <c r="AT2413" s="155"/>
      <c r="AU2413" s="156">
        <f t="shared" si="2110"/>
        <v>0</v>
      </c>
      <c r="AV2413" s="156">
        <f t="shared" si="2111"/>
        <v>0</v>
      </c>
      <c r="AW2413" s="157"/>
      <c r="AX2413" s="150">
        <v>0</v>
      </c>
      <c r="AY2413" s="150">
        <v>0</v>
      </c>
      <c r="AZ2413" s="150"/>
      <c r="BA2413" s="150">
        <f t="shared" si="2143"/>
        <v>0</v>
      </c>
      <c r="BB2413" s="210"/>
      <c r="BC2413" s="210"/>
      <c r="BD2413" s="210"/>
      <c r="BE2413" s="210"/>
      <c r="BF2413" s="210"/>
      <c r="BG2413" s="210"/>
      <c r="BH2413" s="217"/>
      <c r="BI2413" s="210"/>
      <c r="BJ2413" s="210"/>
      <c r="BK2413" s="210"/>
      <c r="BL2413" s="210"/>
      <c r="BM2413" s="208"/>
      <c r="BN2413" s="160"/>
      <c r="BO2413" s="161">
        <f t="shared" si="2121"/>
        <v>0</v>
      </c>
      <c r="BP2413" s="161"/>
    </row>
    <row r="2414" spans="1:68" ht="38.25">
      <c r="A2414" s="210"/>
      <c r="B2414" s="195" t="s">
        <v>10779</v>
      </c>
      <c r="C2414" s="196" t="s">
        <v>10780</v>
      </c>
      <c r="D2414" s="146" t="s">
        <v>4692</v>
      </c>
      <c r="E2414" s="377" t="s">
        <v>10780</v>
      </c>
      <c r="F2414" s="150">
        <v>0</v>
      </c>
      <c r="G2414" s="209">
        <v>0</v>
      </c>
      <c r="H2414" s="209"/>
      <c r="I2414" s="209">
        <v>0</v>
      </c>
      <c r="J2414" s="150">
        <v>0</v>
      </c>
      <c r="K2414" s="150">
        <v>0</v>
      </c>
      <c r="L2414" s="150">
        <f t="shared" si="2129"/>
        <v>0</v>
      </c>
      <c r="M2414" s="150">
        <v>0</v>
      </c>
      <c r="N2414" s="150"/>
      <c r="O2414" s="150">
        <v>0</v>
      </c>
      <c r="P2414" s="150">
        <v>0</v>
      </c>
      <c r="Q2414" s="150">
        <v>0</v>
      </c>
      <c r="R2414" s="150">
        <f t="shared" si="2139"/>
        <v>0</v>
      </c>
      <c r="S2414" s="150">
        <f t="shared" si="2108"/>
        <v>0</v>
      </c>
      <c r="T2414" s="150"/>
      <c r="U2414" s="150">
        <v>0</v>
      </c>
      <c r="V2414" s="199"/>
      <c r="W2414" s="150">
        <f t="shared" si="2135"/>
        <v>0</v>
      </c>
      <c r="X2414" s="150">
        <v>0</v>
      </c>
      <c r="Y2414" s="150"/>
      <c r="Z2414" s="150">
        <v>0</v>
      </c>
      <c r="AA2414" s="150">
        <f t="shared" si="2112"/>
        <v>0</v>
      </c>
      <c r="AB2414" s="150">
        <v>0</v>
      </c>
      <c r="AC2414" s="199"/>
      <c r="AD2414" s="150">
        <f t="shared" si="2136"/>
        <v>0</v>
      </c>
      <c r="AE2414" s="150">
        <v>0</v>
      </c>
      <c r="AF2414" s="169" t="s">
        <v>4680</v>
      </c>
      <c r="AG2414" s="201">
        <v>0</v>
      </c>
      <c r="AH2414" s="199"/>
      <c r="AI2414" s="150">
        <v>0</v>
      </c>
      <c r="AJ2414" s="169">
        <f t="shared" si="2113"/>
        <v>0</v>
      </c>
      <c r="AK2414" s="201">
        <v>0</v>
      </c>
      <c r="AL2414" s="199"/>
      <c r="AM2414" s="150">
        <f t="shared" si="2137"/>
        <v>0</v>
      </c>
      <c r="AN2414" s="153">
        <f t="shared" si="2114"/>
        <v>0</v>
      </c>
      <c r="AO2414" s="154">
        <f t="shared" si="2115"/>
        <v>0</v>
      </c>
      <c r="AP2414" s="150">
        <v>0</v>
      </c>
      <c r="AQ2414" s="201">
        <v>0</v>
      </c>
      <c r="AR2414" s="199"/>
      <c r="AS2414" s="150">
        <f t="shared" si="2138"/>
        <v>0</v>
      </c>
      <c r="AT2414" s="155"/>
      <c r="AU2414" s="156">
        <f t="shared" si="2110"/>
        <v>0</v>
      </c>
      <c r="AV2414" s="156">
        <f t="shared" si="2111"/>
        <v>0</v>
      </c>
      <c r="AW2414" s="157"/>
      <c r="AX2414" s="150">
        <v>0</v>
      </c>
      <c r="AY2414" s="150">
        <v>0</v>
      </c>
      <c r="AZ2414" s="150"/>
      <c r="BA2414" s="150">
        <f t="shared" si="2143"/>
        <v>0</v>
      </c>
      <c r="BB2414" s="210"/>
      <c r="BC2414" s="210"/>
      <c r="BD2414" s="210"/>
      <c r="BE2414" s="210"/>
      <c r="BF2414" s="210"/>
      <c r="BG2414" s="210"/>
      <c r="BH2414" s="217"/>
      <c r="BI2414" s="210"/>
      <c r="BJ2414" s="210"/>
      <c r="BK2414" s="210"/>
      <c r="BL2414" s="210"/>
      <c r="BM2414" s="208"/>
      <c r="BN2414" s="160"/>
      <c r="BO2414" s="161">
        <f t="shared" si="2121"/>
        <v>0</v>
      </c>
      <c r="BP2414" s="161"/>
    </row>
    <row r="2415" spans="1:68" ht="25.5">
      <c r="A2415" s="210"/>
      <c r="B2415" s="195" t="s">
        <v>10781</v>
      </c>
      <c r="C2415" s="196" t="s">
        <v>10782</v>
      </c>
      <c r="D2415" s="146" t="s">
        <v>4692</v>
      </c>
      <c r="E2415" s="377" t="s">
        <v>10782</v>
      </c>
      <c r="F2415" s="150">
        <v>0</v>
      </c>
      <c r="G2415" s="209">
        <v>0</v>
      </c>
      <c r="H2415" s="209"/>
      <c r="I2415" s="209">
        <v>0</v>
      </c>
      <c r="J2415" s="150">
        <v>0</v>
      </c>
      <c r="K2415" s="150">
        <v>0</v>
      </c>
      <c r="L2415" s="150">
        <f t="shared" si="2129"/>
        <v>0</v>
      </c>
      <c r="M2415" s="150">
        <v>0</v>
      </c>
      <c r="N2415" s="150"/>
      <c r="O2415" s="150">
        <v>0</v>
      </c>
      <c r="P2415" s="150">
        <v>0</v>
      </c>
      <c r="Q2415" s="150">
        <v>0</v>
      </c>
      <c r="R2415" s="150">
        <f t="shared" si="2139"/>
        <v>0</v>
      </c>
      <c r="S2415" s="150">
        <f t="shared" si="2108"/>
        <v>0</v>
      </c>
      <c r="T2415" s="150"/>
      <c r="U2415" s="150">
        <v>0</v>
      </c>
      <c r="V2415" s="199"/>
      <c r="W2415" s="150">
        <f t="shared" si="2135"/>
        <v>0</v>
      </c>
      <c r="X2415" s="150">
        <v>0</v>
      </c>
      <c r="Y2415" s="150"/>
      <c r="Z2415" s="150">
        <v>0</v>
      </c>
      <c r="AA2415" s="150">
        <f t="shared" si="2112"/>
        <v>0</v>
      </c>
      <c r="AB2415" s="150">
        <v>0</v>
      </c>
      <c r="AC2415" s="199"/>
      <c r="AD2415" s="150">
        <f t="shared" si="2136"/>
        <v>0</v>
      </c>
      <c r="AE2415" s="150">
        <v>0</v>
      </c>
      <c r="AF2415" s="169" t="s">
        <v>4680</v>
      </c>
      <c r="AG2415" s="201">
        <v>0</v>
      </c>
      <c r="AH2415" s="199"/>
      <c r="AI2415" s="150">
        <v>0</v>
      </c>
      <c r="AJ2415" s="169">
        <f t="shared" si="2113"/>
        <v>0</v>
      </c>
      <c r="AK2415" s="201">
        <v>0</v>
      </c>
      <c r="AL2415" s="199"/>
      <c r="AM2415" s="150">
        <f t="shared" si="2137"/>
        <v>0</v>
      </c>
      <c r="AN2415" s="153">
        <f t="shared" si="2114"/>
        <v>0</v>
      </c>
      <c r="AO2415" s="154">
        <f t="shared" si="2115"/>
        <v>0</v>
      </c>
      <c r="AP2415" s="150">
        <v>0</v>
      </c>
      <c r="AQ2415" s="201">
        <v>0</v>
      </c>
      <c r="AR2415" s="199"/>
      <c r="AS2415" s="150">
        <f t="shared" si="2138"/>
        <v>0</v>
      </c>
      <c r="AT2415" s="155"/>
      <c r="AU2415" s="156">
        <f t="shared" si="2110"/>
        <v>0</v>
      </c>
      <c r="AV2415" s="156">
        <f t="shared" si="2111"/>
        <v>0</v>
      </c>
      <c r="AW2415" s="157"/>
      <c r="AX2415" s="150">
        <v>0</v>
      </c>
      <c r="AY2415" s="150">
        <v>0</v>
      </c>
      <c r="AZ2415" s="150"/>
      <c r="BA2415" s="150">
        <f t="shared" si="2143"/>
        <v>0</v>
      </c>
      <c r="BB2415" s="210"/>
      <c r="BC2415" s="210"/>
      <c r="BD2415" s="210"/>
      <c r="BE2415" s="210"/>
      <c r="BF2415" s="210"/>
      <c r="BG2415" s="210"/>
      <c r="BH2415" s="217"/>
      <c r="BI2415" s="210"/>
      <c r="BJ2415" s="210"/>
      <c r="BK2415" s="210"/>
      <c r="BL2415" s="210"/>
      <c r="BM2415" s="208"/>
      <c r="BN2415" s="160"/>
      <c r="BO2415" s="161">
        <f t="shared" si="2121"/>
        <v>0</v>
      </c>
      <c r="BP2415" s="161"/>
    </row>
    <row r="2416" spans="1:68" ht="25.5">
      <c r="A2416" s="210"/>
      <c r="B2416" s="195" t="s">
        <v>10783</v>
      </c>
      <c r="C2416" s="196" t="s">
        <v>10784</v>
      </c>
      <c r="D2416" s="146" t="s">
        <v>4692</v>
      </c>
      <c r="E2416" s="377" t="s">
        <v>10784</v>
      </c>
      <c r="F2416" s="150">
        <v>0</v>
      </c>
      <c r="G2416" s="209">
        <v>0</v>
      </c>
      <c r="H2416" s="209"/>
      <c r="I2416" s="209">
        <v>0</v>
      </c>
      <c r="J2416" s="150">
        <v>0</v>
      </c>
      <c r="K2416" s="150">
        <v>0</v>
      </c>
      <c r="L2416" s="150">
        <f t="shared" si="2129"/>
        <v>0</v>
      </c>
      <c r="M2416" s="150">
        <v>0</v>
      </c>
      <c r="N2416" s="150"/>
      <c r="O2416" s="150">
        <v>0</v>
      </c>
      <c r="P2416" s="150">
        <v>0</v>
      </c>
      <c r="Q2416" s="150">
        <v>0</v>
      </c>
      <c r="R2416" s="150">
        <f t="shared" si="2139"/>
        <v>0</v>
      </c>
      <c r="S2416" s="150">
        <f t="shared" ref="S2416:S2479" si="2144">R2416/9*12</f>
        <v>0</v>
      </c>
      <c r="T2416" s="150"/>
      <c r="U2416" s="150">
        <v>0</v>
      </c>
      <c r="V2416" s="199"/>
      <c r="W2416" s="150">
        <f t="shared" si="2135"/>
        <v>0</v>
      </c>
      <c r="X2416" s="150">
        <v>0</v>
      </c>
      <c r="Y2416" s="150"/>
      <c r="Z2416" s="150">
        <v>0</v>
      </c>
      <c r="AA2416" s="150">
        <f t="shared" si="2112"/>
        <v>0</v>
      </c>
      <c r="AB2416" s="150">
        <v>0</v>
      </c>
      <c r="AC2416" s="199"/>
      <c r="AD2416" s="150">
        <f t="shared" si="2136"/>
        <v>0</v>
      </c>
      <c r="AE2416" s="150">
        <v>0</v>
      </c>
      <c r="AF2416" s="169" t="s">
        <v>4680</v>
      </c>
      <c r="AG2416" s="201">
        <v>0</v>
      </c>
      <c r="AH2416" s="199"/>
      <c r="AI2416" s="150">
        <v>0</v>
      </c>
      <c r="AJ2416" s="169">
        <f t="shared" si="2113"/>
        <v>0</v>
      </c>
      <c r="AK2416" s="201">
        <v>0</v>
      </c>
      <c r="AL2416" s="199"/>
      <c r="AM2416" s="150">
        <f t="shared" si="2137"/>
        <v>0</v>
      </c>
      <c r="AN2416" s="153">
        <f t="shared" si="2114"/>
        <v>0</v>
      </c>
      <c r="AO2416" s="154">
        <f t="shared" si="2115"/>
        <v>0</v>
      </c>
      <c r="AP2416" s="150">
        <v>0</v>
      </c>
      <c r="AQ2416" s="201">
        <v>0</v>
      </c>
      <c r="AR2416" s="199"/>
      <c r="AS2416" s="150">
        <f t="shared" si="2138"/>
        <v>0</v>
      </c>
      <c r="AT2416" s="155"/>
      <c r="AU2416" s="156">
        <f t="shared" si="2110"/>
        <v>0</v>
      </c>
      <c r="AV2416" s="156">
        <f t="shared" si="2111"/>
        <v>0</v>
      </c>
      <c r="AW2416" s="157"/>
      <c r="AX2416" s="150">
        <v>0</v>
      </c>
      <c r="AY2416" s="150">
        <v>0</v>
      </c>
      <c r="AZ2416" s="150"/>
      <c r="BA2416" s="150">
        <f t="shared" si="2143"/>
        <v>0</v>
      </c>
      <c r="BB2416" s="210"/>
      <c r="BC2416" s="210"/>
      <c r="BD2416" s="210"/>
      <c r="BE2416" s="210"/>
      <c r="BF2416" s="210"/>
      <c r="BG2416" s="210"/>
      <c r="BH2416" s="217"/>
      <c r="BI2416" s="210"/>
      <c r="BJ2416" s="210"/>
      <c r="BK2416" s="210"/>
      <c r="BL2416" s="210"/>
      <c r="BM2416" s="208"/>
      <c r="BN2416" s="160"/>
      <c r="BO2416" s="161">
        <f t="shared" si="2121"/>
        <v>0</v>
      </c>
      <c r="BP2416" s="161"/>
    </row>
    <row r="2417" spans="1:68" ht="25.5">
      <c r="A2417" s="210"/>
      <c r="B2417" s="195" t="s">
        <v>10785</v>
      </c>
      <c r="C2417" s="196" t="s">
        <v>10786</v>
      </c>
      <c r="D2417" s="146" t="s">
        <v>4692</v>
      </c>
      <c r="E2417" s="377" t="s">
        <v>10786</v>
      </c>
      <c r="F2417" s="150">
        <v>0</v>
      </c>
      <c r="G2417" s="209">
        <v>0</v>
      </c>
      <c r="H2417" s="209"/>
      <c r="I2417" s="209">
        <v>0</v>
      </c>
      <c r="J2417" s="150">
        <v>0</v>
      </c>
      <c r="K2417" s="150">
        <v>0</v>
      </c>
      <c r="L2417" s="150">
        <f t="shared" si="2129"/>
        <v>0</v>
      </c>
      <c r="M2417" s="150">
        <v>0</v>
      </c>
      <c r="N2417" s="150"/>
      <c r="O2417" s="150">
        <v>0</v>
      </c>
      <c r="P2417" s="150">
        <v>0</v>
      </c>
      <c r="Q2417" s="150">
        <v>0</v>
      </c>
      <c r="R2417" s="150">
        <f t="shared" si="2139"/>
        <v>0</v>
      </c>
      <c r="S2417" s="150">
        <f t="shared" si="2144"/>
        <v>0</v>
      </c>
      <c r="T2417" s="150"/>
      <c r="U2417" s="150">
        <v>0</v>
      </c>
      <c r="V2417" s="199"/>
      <c r="W2417" s="150">
        <f t="shared" si="2135"/>
        <v>0</v>
      </c>
      <c r="X2417" s="150">
        <v>0</v>
      </c>
      <c r="Y2417" s="150"/>
      <c r="Z2417" s="150">
        <v>0</v>
      </c>
      <c r="AA2417" s="150">
        <f t="shared" si="2112"/>
        <v>0</v>
      </c>
      <c r="AB2417" s="150">
        <v>0</v>
      </c>
      <c r="AC2417" s="199"/>
      <c r="AD2417" s="150">
        <f t="shared" si="2136"/>
        <v>0</v>
      </c>
      <c r="AE2417" s="150">
        <v>0</v>
      </c>
      <c r="AF2417" s="169" t="s">
        <v>4680</v>
      </c>
      <c r="AG2417" s="201">
        <v>0</v>
      </c>
      <c r="AH2417" s="199"/>
      <c r="AI2417" s="150">
        <v>0</v>
      </c>
      <c r="AJ2417" s="169">
        <f t="shared" si="2113"/>
        <v>0</v>
      </c>
      <c r="AK2417" s="201">
        <v>0</v>
      </c>
      <c r="AL2417" s="199"/>
      <c r="AM2417" s="150">
        <f t="shared" si="2137"/>
        <v>0</v>
      </c>
      <c r="AN2417" s="153">
        <f t="shared" si="2114"/>
        <v>0</v>
      </c>
      <c r="AO2417" s="154">
        <f t="shared" si="2115"/>
        <v>0</v>
      </c>
      <c r="AP2417" s="150">
        <v>0</v>
      </c>
      <c r="AQ2417" s="201">
        <v>0</v>
      </c>
      <c r="AR2417" s="199"/>
      <c r="AS2417" s="150">
        <f t="shared" si="2138"/>
        <v>0</v>
      </c>
      <c r="AT2417" s="155"/>
      <c r="AU2417" s="156">
        <f t="shared" si="2110"/>
        <v>0</v>
      </c>
      <c r="AV2417" s="156">
        <f t="shared" si="2111"/>
        <v>0</v>
      </c>
      <c r="AW2417" s="157"/>
      <c r="AX2417" s="150">
        <v>0</v>
      </c>
      <c r="AY2417" s="150">
        <v>0</v>
      </c>
      <c r="AZ2417" s="150"/>
      <c r="BA2417" s="150">
        <f t="shared" si="2143"/>
        <v>0</v>
      </c>
      <c r="BB2417" s="210"/>
      <c r="BC2417" s="210"/>
      <c r="BD2417" s="210"/>
      <c r="BE2417" s="210"/>
      <c r="BF2417" s="210"/>
      <c r="BG2417" s="210"/>
      <c r="BH2417" s="217"/>
      <c r="BI2417" s="210"/>
      <c r="BJ2417" s="210"/>
      <c r="BK2417" s="210"/>
      <c r="BL2417" s="210"/>
      <c r="BM2417" s="208"/>
      <c r="BN2417" s="160"/>
      <c r="BO2417" s="161">
        <f t="shared" si="2121"/>
        <v>0</v>
      </c>
      <c r="BP2417" s="161"/>
    </row>
    <row r="2418" spans="1:68" ht="38.25">
      <c r="A2418" s="210"/>
      <c r="B2418" s="195" t="s">
        <v>10787</v>
      </c>
      <c r="C2418" s="196" t="s">
        <v>10788</v>
      </c>
      <c r="D2418" s="146" t="s">
        <v>4692</v>
      </c>
      <c r="E2418" s="377" t="s">
        <v>10788</v>
      </c>
      <c r="F2418" s="150">
        <v>0</v>
      </c>
      <c r="G2418" s="209">
        <v>0</v>
      </c>
      <c r="H2418" s="209"/>
      <c r="I2418" s="209">
        <v>0</v>
      </c>
      <c r="J2418" s="150">
        <v>0</v>
      </c>
      <c r="K2418" s="150">
        <v>0</v>
      </c>
      <c r="L2418" s="150">
        <f t="shared" si="2129"/>
        <v>0</v>
      </c>
      <c r="M2418" s="150">
        <v>0</v>
      </c>
      <c r="N2418" s="150"/>
      <c r="O2418" s="150">
        <v>0</v>
      </c>
      <c r="P2418" s="150">
        <v>0</v>
      </c>
      <c r="Q2418" s="150">
        <v>0</v>
      </c>
      <c r="R2418" s="150">
        <f t="shared" si="2139"/>
        <v>0</v>
      </c>
      <c r="S2418" s="150">
        <f t="shared" si="2144"/>
        <v>0</v>
      </c>
      <c r="T2418" s="150"/>
      <c r="U2418" s="150">
        <v>0</v>
      </c>
      <c r="V2418" s="199"/>
      <c r="W2418" s="150">
        <f t="shared" si="2135"/>
        <v>0</v>
      </c>
      <c r="X2418" s="150">
        <v>0</v>
      </c>
      <c r="Y2418" s="150"/>
      <c r="Z2418" s="150">
        <v>0</v>
      </c>
      <c r="AA2418" s="150">
        <f t="shared" si="2112"/>
        <v>0</v>
      </c>
      <c r="AB2418" s="150">
        <v>0</v>
      </c>
      <c r="AC2418" s="199"/>
      <c r="AD2418" s="150">
        <f t="shared" si="2136"/>
        <v>0</v>
      </c>
      <c r="AE2418" s="150">
        <v>0</v>
      </c>
      <c r="AF2418" s="169" t="s">
        <v>4680</v>
      </c>
      <c r="AG2418" s="201">
        <v>0</v>
      </c>
      <c r="AH2418" s="199"/>
      <c r="AI2418" s="150">
        <v>0</v>
      </c>
      <c r="AJ2418" s="169">
        <f t="shared" si="2113"/>
        <v>0</v>
      </c>
      <c r="AK2418" s="201">
        <v>0</v>
      </c>
      <c r="AL2418" s="199"/>
      <c r="AM2418" s="150">
        <f t="shared" si="2137"/>
        <v>0</v>
      </c>
      <c r="AN2418" s="153">
        <f t="shared" si="2114"/>
        <v>0</v>
      </c>
      <c r="AO2418" s="154">
        <f t="shared" si="2115"/>
        <v>0</v>
      </c>
      <c r="AP2418" s="150">
        <v>0</v>
      </c>
      <c r="AQ2418" s="201">
        <v>0</v>
      </c>
      <c r="AR2418" s="199"/>
      <c r="AS2418" s="150">
        <f t="shared" si="2138"/>
        <v>0</v>
      </c>
      <c r="AT2418" s="155"/>
      <c r="AU2418" s="156">
        <f t="shared" si="2110"/>
        <v>0</v>
      </c>
      <c r="AV2418" s="156">
        <f t="shared" si="2111"/>
        <v>0</v>
      </c>
      <c r="AW2418" s="157"/>
      <c r="AX2418" s="150">
        <v>0</v>
      </c>
      <c r="AY2418" s="150">
        <v>0</v>
      </c>
      <c r="AZ2418" s="150"/>
      <c r="BA2418" s="150">
        <f t="shared" si="2143"/>
        <v>0</v>
      </c>
      <c r="BB2418" s="210"/>
      <c r="BC2418" s="210"/>
      <c r="BD2418" s="210"/>
      <c r="BE2418" s="210"/>
      <c r="BF2418" s="210"/>
      <c r="BG2418" s="210"/>
      <c r="BH2418" s="217"/>
      <c r="BI2418" s="210"/>
      <c r="BJ2418" s="210"/>
      <c r="BK2418" s="210"/>
      <c r="BL2418" s="210"/>
      <c r="BM2418" s="208"/>
      <c r="BN2418" s="160"/>
      <c r="BO2418" s="161">
        <f t="shared" si="2121"/>
        <v>0</v>
      </c>
      <c r="BP2418" s="161"/>
    </row>
    <row r="2419" spans="1:68" ht="25.5">
      <c r="A2419" s="210"/>
      <c r="B2419" s="195" t="s">
        <v>10789</v>
      </c>
      <c r="C2419" s="196" t="s">
        <v>10790</v>
      </c>
      <c r="D2419" s="146" t="s">
        <v>4692</v>
      </c>
      <c r="E2419" s="377" t="s">
        <v>10790</v>
      </c>
      <c r="F2419" s="150">
        <v>0</v>
      </c>
      <c r="G2419" s="209">
        <v>0</v>
      </c>
      <c r="H2419" s="209"/>
      <c r="I2419" s="209">
        <v>0</v>
      </c>
      <c r="J2419" s="150">
        <v>0</v>
      </c>
      <c r="K2419" s="150">
        <v>0</v>
      </c>
      <c r="L2419" s="150">
        <f t="shared" si="2129"/>
        <v>0</v>
      </c>
      <c r="M2419" s="150">
        <v>0</v>
      </c>
      <c r="N2419" s="150"/>
      <c r="O2419" s="150">
        <v>0</v>
      </c>
      <c r="P2419" s="150">
        <v>0</v>
      </c>
      <c r="Q2419" s="150">
        <v>0</v>
      </c>
      <c r="R2419" s="150">
        <f t="shared" si="2139"/>
        <v>0</v>
      </c>
      <c r="S2419" s="150">
        <f t="shared" si="2144"/>
        <v>0</v>
      </c>
      <c r="T2419" s="150"/>
      <c r="U2419" s="150">
        <v>0</v>
      </c>
      <c r="V2419" s="199"/>
      <c r="W2419" s="150">
        <f t="shared" si="2135"/>
        <v>0</v>
      </c>
      <c r="X2419" s="150">
        <v>0</v>
      </c>
      <c r="Y2419" s="150"/>
      <c r="Z2419" s="150">
        <v>0</v>
      </c>
      <c r="AA2419" s="150">
        <f t="shared" si="2112"/>
        <v>0</v>
      </c>
      <c r="AB2419" s="150">
        <v>0</v>
      </c>
      <c r="AC2419" s="199"/>
      <c r="AD2419" s="150">
        <f t="shared" si="2136"/>
        <v>0</v>
      </c>
      <c r="AE2419" s="150">
        <v>0</v>
      </c>
      <c r="AF2419" s="169" t="s">
        <v>4680</v>
      </c>
      <c r="AG2419" s="201">
        <v>0</v>
      </c>
      <c r="AH2419" s="199"/>
      <c r="AI2419" s="150">
        <v>0</v>
      </c>
      <c r="AJ2419" s="169">
        <f t="shared" si="2113"/>
        <v>0</v>
      </c>
      <c r="AK2419" s="201">
        <v>0</v>
      </c>
      <c r="AL2419" s="199"/>
      <c r="AM2419" s="150">
        <f t="shared" si="2137"/>
        <v>0</v>
      </c>
      <c r="AN2419" s="153">
        <f t="shared" si="2114"/>
        <v>0</v>
      </c>
      <c r="AO2419" s="154">
        <f t="shared" si="2115"/>
        <v>0</v>
      </c>
      <c r="AP2419" s="150">
        <v>0</v>
      </c>
      <c r="AQ2419" s="201">
        <v>0</v>
      </c>
      <c r="AR2419" s="199"/>
      <c r="AS2419" s="150">
        <f t="shared" si="2138"/>
        <v>0</v>
      </c>
      <c r="AT2419" s="155"/>
      <c r="AU2419" s="156">
        <f t="shared" si="2110"/>
        <v>0</v>
      </c>
      <c r="AV2419" s="156">
        <f t="shared" si="2111"/>
        <v>0</v>
      </c>
      <c r="AW2419" s="157"/>
      <c r="AX2419" s="150">
        <v>0</v>
      </c>
      <c r="AY2419" s="150">
        <v>0</v>
      </c>
      <c r="AZ2419" s="150"/>
      <c r="BA2419" s="150">
        <f t="shared" si="2143"/>
        <v>0</v>
      </c>
      <c r="BB2419" s="210"/>
      <c r="BC2419" s="210"/>
      <c r="BD2419" s="210"/>
      <c r="BE2419" s="210"/>
      <c r="BF2419" s="210"/>
      <c r="BG2419" s="210"/>
      <c r="BH2419" s="217"/>
      <c r="BI2419" s="210"/>
      <c r="BJ2419" s="210"/>
      <c r="BK2419" s="210"/>
      <c r="BL2419" s="210"/>
      <c r="BM2419" s="208"/>
      <c r="BN2419" s="160"/>
      <c r="BO2419" s="161">
        <f t="shared" si="2121"/>
        <v>0</v>
      </c>
      <c r="BP2419" s="161"/>
    </row>
    <row r="2420" spans="1:68" ht="25.5">
      <c r="A2420" s="210"/>
      <c r="B2420" s="195" t="s">
        <v>10791</v>
      </c>
      <c r="C2420" s="196" t="s">
        <v>10792</v>
      </c>
      <c r="D2420" s="146" t="s">
        <v>4692</v>
      </c>
      <c r="E2420" s="377" t="s">
        <v>10792</v>
      </c>
      <c r="F2420" s="150">
        <v>0</v>
      </c>
      <c r="G2420" s="209">
        <v>0</v>
      </c>
      <c r="H2420" s="209"/>
      <c r="I2420" s="209">
        <v>0</v>
      </c>
      <c r="J2420" s="150">
        <v>0</v>
      </c>
      <c r="K2420" s="150">
        <v>0</v>
      </c>
      <c r="L2420" s="150">
        <f t="shared" si="2129"/>
        <v>0</v>
      </c>
      <c r="M2420" s="150">
        <v>0</v>
      </c>
      <c r="N2420" s="150"/>
      <c r="O2420" s="150">
        <v>0</v>
      </c>
      <c r="P2420" s="150">
        <v>0</v>
      </c>
      <c r="Q2420" s="150">
        <v>0</v>
      </c>
      <c r="R2420" s="150">
        <f t="shared" si="2139"/>
        <v>0</v>
      </c>
      <c r="S2420" s="150">
        <f t="shared" si="2144"/>
        <v>0</v>
      </c>
      <c r="T2420" s="150"/>
      <c r="U2420" s="150">
        <v>0</v>
      </c>
      <c r="V2420" s="199"/>
      <c r="W2420" s="150">
        <f t="shared" si="2135"/>
        <v>0</v>
      </c>
      <c r="X2420" s="150">
        <v>0</v>
      </c>
      <c r="Y2420" s="150"/>
      <c r="Z2420" s="150">
        <v>0</v>
      </c>
      <c r="AA2420" s="150">
        <f t="shared" si="2112"/>
        <v>0</v>
      </c>
      <c r="AB2420" s="150">
        <v>0</v>
      </c>
      <c r="AC2420" s="199"/>
      <c r="AD2420" s="150">
        <f t="shared" si="2136"/>
        <v>0</v>
      </c>
      <c r="AE2420" s="150">
        <v>0</v>
      </c>
      <c r="AF2420" s="169" t="s">
        <v>4680</v>
      </c>
      <c r="AG2420" s="201">
        <v>0</v>
      </c>
      <c r="AH2420" s="199"/>
      <c r="AI2420" s="150">
        <v>0</v>
      </c>
      <c r="AJ2420" s="169">
        <f t="shared" si="2113"/>
        <v>0</v>
      </c>
      <c r="AK2420" s="201">
        <v>0</v>
      </c>
      <c r="AL2420" s="199"/>
      <c r="AM2420" s="150">
        <f t="shared" si="2137"/>
        <v>0</v>
      </c>
      <c r="AN2420" s="153">
        <f t="shared" si="2114"/>
        <v>0</v>
      </c>
      <c r="AO2420" s="154">
        <f t="shared" si="2115"/>
        <v>0</v>
      </c>
      <c r="AP2420" s="150">
        <v>0</v>
      </c>
      <c r="AQ2420" s="201">
        <v>0</v>
      </c>
      <c r="AR2420" s="199"/>
      <c r="AS2420" s="150">
        <f t="shared" si="2138"/>
        <v>0</v>
      </c>
      <c r="AT2420" s="155"/>
      <c r="AU2420" s="156">
        <f t="shared" si="2110"/>
        <v>0</v>
      </c>
      <c r="AV2420" s="156">
        <f t="shared" si="2111"/>
        <v>0</v>
      </c>
      <c r="AW2420" s="157"/>
      <c r="AX2420" s="150">
        <v>0</v>
      </c>
      <c r="AY2420" s="150">
        <v>0</v>
      </c>
      <c r="AZ2420" s="150"/>
      <c r="BA2420" s="150">
        <f t="shared" si="2143"/>
        <v>0</v>
      </c>
      <c r="BB2420" s="210"/>
      <c r="BC2420" s="210"/>
      <c r="BD2420" s="210"/>
      <c r="BE2420" s="210"/>
      <c r="BF2420" s="210"/>
      <c r="BG2420" s="210"/>
      <c r="BH2420" s="217"/>
      <c r="BI2420" s="210"/>
      <c r="BJ2420" s="210"/>
      <c r="BK2420" s="210"/>
      <c r="BL2420" s="210"/>
      <c r="BM2420" s="208"/>
      <c r="BN2420" s="160"/>
      <c r="BO2420" s="161">
        <f t="shared" si="2121"/>
        <v>0</v>
      </c>
      <c r="BP2420" s="161"/>
    </row>
    <row r="2421" spans="1:68" ht="25.5">
      <c r="A2421" s="210"/>
      <c r="B2421" s="195" t="s">
        <v>10793</v>
      </c>
      <c r="C2421" s="196" t="s">
        <v>10794</v>
      </c>
      <c r="D2421" s="146" t="s">
        <v>4692</v>
      </c>
      <c r="E2421" s="377" t="s">
        <v>10794</v>
      </c>
      <c r="F2421" s="150">
        <v>0</v>
      </c>
      <c r="G2421" s="209">
        <v>0</v>
      </c>
      <c r="H2421" s="209"/>
      <c r="I2421" s="209">
        <v>0</v>
      </c>
      <c r="J2421" s="150">
        <v>0</v>
      </c>
      <c r="K2421" s="150">
        <v>0</v>
      </c>
      <c r="L2421" s="150">
        <f t="shared" si="2129"/>
        <v>0</v>
      </c>
      <c r="M2421" s="150">
        <v>0</v>
      </c>
      <c r="N2421" s="150"/>
      <c r="O2421" s="150">
        <v>0</v>
      </c>
      <c r="P2421" s="150">
        <v>0</v>
      </c>
      <c r="Q2421" s="150">
        <v>0</v>
      </c>
      <c r="R2421" s="150">
        <f t="shared" si="2139"/>
        <v>0</v>
      </c>
      <c r="S2421" s="150">
        <f t="shared" si="2144"/>
        <v>0</v>
      </c>
      <c r="T2421" s="150"/>
      <c r="U2421" s="150">
        <v>0</v>
      </c>
      <c r="V2421" s="199"/>
      <c r="W2421" s="150">
        <f t="shared" si="2135"/>
        <v>0</v>
      </c>
      <c r="X2421" s="150">
        <v>0</v>
      </c>
      <c r="Y2421" s="150"/>
      <c r="Z2421" s="150">
        <v>0</v>
      </c>
      <c r="AA2421" s="150">
        <f t="shared" si="2112"/>
        <v>0</v>
      </c>
      <c r="AB2421" s="150">
        <v>0</v>
      </c>
      <c r="AC2421" s="199"/>
      <c r="AD2421" s="150">
        <f t="shared" si="2136"/>
        <v>0</v>
      </c>
      <c r="AE2421" s="150">
        <v>0</v>
      </c>
      <c r="AF2421" s="169" t="s">
        <v>4680</v>
      </c>
      <c r="AG2421" s="201">
        <v>0</v>
      </c>
      <c r="AH2421" s="199"/>
      <c r="AI2421" s="150">
        <v>0</v>
      </c>
      <c r="AJ2421" s="169">
        <f t="shared" si="2113"/>
        <v>0</v>
      </c>
      <c r="AK2421" s="201">
        <v>0</v>
      </c>
      <c r="AL2421" s="199"/>
      <c r="AM2421" s="150">
        <f t="shared" si="2137"/>
        <v>0</v>
      </c>
      <c r="AN2421" s="153">
        <f t="shared" si="2114"/>
        <v>0</v>
      </c>
      <c r="AO2421" s="154">
        <f t="shared" si="2115"/>
        <v>0</v>
      </c>
      <c r="AP2421" s="150">
        <v>0</v>
      </c>
      <c r="AQ2421" s="201">
        <v>0</v>
      </c>
      <c r="AR2421" s="199"/>
      <c r="AS2421" s="150">
        <f t="shared" si="2138"/>
        <v>0</v>
      </c>
      <c r="AT2421" s="155"/>
      <c r="AU2421" s="156">
        <f t="shared" si="2110"/>
        <v>0</v>
      </c>
      <c r="AV2421" s="156">
        <f t="shared" si="2111"/>
        <v>0</v>
      </c>
      <c r="AW2421" s="157"/>
      <c r="AX2421" s="150">
        <v>0</v>
      </c>
      <c r="AY2421" s="150">
        <v>0</v>
      </c>
      <c r="AZ2421" s="150"/>
      <c r="BA2421" s="150">
        <f t="shared" si="2143"/>
        <v>0</v>
      </c>
      <c r="BB2421" s="210"/>
      <c r="BC2421" s="210"/>
      <c r="BD2421" s="210"/>
      <c r="BE2421" s="210"/>
      <c r="BF2421" s="210"/>
      <c r="BG2421" s="210"/>
      <c r="BH2421" s="217"/>
      <c r="BI2421" s="210"/>
      <c r="BJ2421" s="210"/>
      <c r="BK2421" s="210"/>
      <c r="BL2421" s="210"/>
      <c r="BM2421" s="208"/>
      <c r="BN2421" s="160"/>
      <c r="BO2421" s="161">
        <f t="shared" si="2121"/>
        <v>0</v>
      </c>
      <c r="BP2421" s="161"/>
    </row>
    <row r="2422" spans="1:68" ht="25.5">
      <c r="A2422" s="210"/>
      <c r="B2422" s="195" t="s">
        <v>10795</v>
      </c>
      <c r="C2422" s="196" t="s">
        <v>10796</v>
      </c>
      <c r="D2422" s="146" t="s">
        <v>4692</v>
      </c>
      <c r="E2422" s="377" t="s">
        <v>10796</v>
      </c>
      <c r="F2422" s="150">
        <v>0</v>
      </c>
      <c r="G2422" s="209">
        <v>0</v>
      </c>
      <c r="H2422" s="209"/>
      <c r="I2422" s="209">
        <v>0</v>
      </c>
      <c r="J2422" s="150">
        <v>0</v>
      </c>
      <c r="K2422" s="150">
        <v>0</v>
      </c>
      <c r="L2422" s="150">
        <f t="shared" si="2129"/>
        <v>0</v>
      </c>
      <c r="M2422" s="150">
        <v>0</v>
      </c>
      <c r="N2422" s="150"/>
      <c r="O2422" s="150">
        <v>0</v>
      </c>
      <c r="P2422" s="150">
        <v>0</v>
      </c>
      <c r="Q2422" s="150">
        <v>0</v>
      </c>
      <c r="R2422" s="150">
        <f t="shared" si="2139"/>
        <v>0</v>
      </c>
      <c r="S2422" s="150">
        <f t="shared" si="2144"/>
        <v>0</v>
      </c>
      <c r="T2422" s="150"/>
      <c r="U2422" s="150">
        <v>0</v>
      </c>
      <c r="V2422" s="199"/>
      <c r="W2422" s="150">
        <f t="shared" si="2135"/>
        <v>0</v>
      </c>
      <c r="X2422" s="150">
        <v>0</v>
      </c>
      <c r="Y2422" s="150"/>
      <c r="Z2422" s="150">
        <v>0</v>
      </c>
      <c r="AA2422" s="150">
        <f t="shared" si="2112"/>
        <v>0</v>
      </c>
      <c r="AB2422" s="150">
        <v>0</v>
      </c>
      <c r="AC2422" s="199"/>
      <c r="AD2422" s="150">
        <f t="shared" si="2136"/>
        <v>0</v>
      </c>
      <c r="AE2422" s="150">
        <v>0</v>
      </c>
      <c r="AF2422" s="169" t="s">
        <v>4680</v>
      </c>
      <c r="AG2422" s="201">
        <v>0</v>
      </c>
      <c r="AH2422" s="199"/>
      <c r="AI2422" s="150">
        <v>0</v>
      </c>
      <c r="AJ2422" s="169">
        <f t="shared" si="2113"/>
        <v>0</v>
      </c>
      <c r="AK2422" s="201">
        <v>0</v>
      </c>
      <c r="AL2422" s="199"/>
      <c r="AM2422" s="150">
        <f t="shared" si="2137"/>
        <v>0</v>
      </c>
      <c r="AN2422" s="153">
        <f t="shared" si="2114"/>
        <v>0</v>
      </c>
      <c r="AO2422" s="154">
        <f t="shared" si="2115"/>
        <v>0</v>
      </c>
      <c r="AP2422" s="150">
        <v>0</v>
      </c>
      <c r="AQ2422" s="201">
        <v>0</v>
      </c>
      <c r="AR2422" s="199"/>
      <c r="AS2422" s="150">
        <f t="shared" si="2138"/>
        <v>0</v>
      </c>
      <c r="AT2422" s="155"/>
      <c r="AU2422" s="156">
        <f t="shared" si="2110"/>
        <v>0</v>
      </c>
      <c r="AV2422" s="156">
        <f t="shared" si="2111"/>
        <v>0</v>
      </c>
      <c r="AW2422" s="157"/>
      <c r="AX2422" s="150">
        <v>0</v>
      </c>
      <c r="AY2422" s="150">
        <v>0</v>
      </c>
      <c r="AZ2422" s="150"/>
      <c r="BA2422" s="150">
        <f t="shared" si="2143"/>
        <v>0</v>
      </c>
      <c r="BB2422" s="210"/>
      <c r="BC2422" s="210"/>
      <c r="BD2422" s="210"/>
      <c r="BE2422" s="210"/>
      <c r="BF2422" s="210"/>
      <c r="BG2422" s="210"/>
      <c r="BH2422" s="217"/>
      <c r="BI2422" s="210"/>
      <c r="BJ2422" s="210"/>
      <c r="BK2422" s="210"/>
      <c r="BL2422" s="210"/>
      <c r="BM2422" s="208"/>
      <c r="BN2422" s="160"/>
      <c r="BO2422" s="161">
        <f t="shared" si="2121"/>
        <v>0</v>
      </c>
      <c r="BP2422" s="161"/>
    </row>
    <row r="2423" spans="1:68" ht="25.5">
      <c r="A2423" s="210"/>
      <c r="B2423" s="195" t="s">
        <v>10797</v>
      </c>
      <c r="C2423" s="196" t="s">
        <v>10798</v>
      </c>
      <c r="D2423" s="146" t="s">
        <v>4692</v>
      </c>
      <c r="E2423" s="377" t="s">
        <v>10798</v>
      </c>
      <c r="F2423" s="150">
        <v>0</v>
      </c>
      <c r="G2423" s="209">
        <v>0</v>
      </c>
      <c r="H2423" s="209"/>
      <c r="I2423" s="209">
        <v>0</v>
      </c>
      <c r="J2423" s="150">
        <v>0</v>
      </c>
      <c r="K2423" s="150">
        <v>0</v>
      </c>
      <c r="L2423" s="150">
        <f t="shared" si="2129"/>
        <v>0</v>
      </c>
      <c r="M2423" s="150">
        <v>0</v>
      </c>
      <c r="N2423" s="150"/>
      <c r="O2423" s="150">
        <v>0</v>
      </c>
      <c r="P2423" s="150">
        <v>0</v>
      </c>
      <c r="Q2423" s="150">
        <v>0</v>
      </c>
      <c r="R2423" s="150">
        <f t="shared" si="2139"/>
        <v>0</v>
      </c>
      <c r="S2423" s="150">
        <f t="shared" si="2144"/>
        <v>0</v>
      </c>
      <c r="T2423" s="150"/>
      <c r="U2423" s="150">
        <v>0</v>
      </c>
      <c r="V2423" s="199"/>
      <c r="W2423" s="150">
        <f t="shared" si="2135"/>
        <v>0</v>
      </c>
      <c r="X2423" s="150">
        <v>0</v>
      </c>
      <c r="Y2423" s="150"/>
      <c r="Z2423" s="150">
        <v>0</v>
      </c>
      <c r="AA2423" s="150">
        <f t="shared" si="2112"/>
        <v>0</v>
      </c>
      <c r="AB2423" s="150">
        <v>0</v>
      </c>
      <c r="AC2423" s="199"/>
      <c r="AD2423" s="150">
        <f t="shared" si="2136"/>
        <v>0</v>
      </c>
      <c r="AE2423" s="150">
        <v>0</v>
      </c>
      <c r="AF2423" s="169" t="s">
        <v>4680</v>
      </c>
      <c r="AG2423" s="201">
        <v>0</v>
      </c>
      <c r="AH2423" s="199"/>
      <c r="AI2423" s="150">
        <v>0</v>
      </c>
      <c r="AJ2423" s="169">
        <f t="shared" si="2113"/>
        <v>0</v>
      </c>
      <c r="AK2423" s="201">
        <v>0</v>
      </c>
      <c r="AL2423" s="199"/>
      <c r="AM2423" s="150">
        <f t="shared" si="2137"/>
        <v>0</v>
      </c>
      <c r="AN2423" s="153">
        <f t="shared" si="2114"/>
        <v>0</v>
      </c>
      <c r="AO2423" s="154">
        <f t="shared" si="2115"/>
        <v>0</v>
      </c>
      <c r="AP2423" s="150">
        <v>0</v>
      </c>
      <c r="AQ2423" s="201">
        <v>0</v>
      </c>
      <c r="AR2423" s="199"/>
      <c r="AS2423" s="150">
        <f t="shared" si="2138"/>
        <v>0</v>
      </c>
      <c r="AT2423" s="155"/>
      <c r="AU2423" s="156">
        <f t="shared" si="2110"/>
        <v>0</v>
      </c>
      <c r="AV2423" s="156">
        <f t="shared" si="2111"/>
        <v>0</v>
      </c>
      <c r="AW2423" s="157"/>
      <c r="AX2423" s="150">
        <v>0</v>
      </c>
      <c r="AY2423" s="150">
        <v>0</v>
      </c>
      <c r="AZ2423" s="150"/>
      <c r="BA2423" s="150">
        <f t="shared" si="2143"/>
        <v>0</v>
      </c>
      <c r="BB2423" s="210"/>
      <c r="BC2423" s="210"/>
      <c r="BD2423" s="210"/>
      <c r="BE2423" s="210"/>
      <c r="BF2423" s="210"/>
      <c r="BG2423" s="210"/>
      <c r="BH2423" s="217"/>
      <c r="BI2423" s="210"/>
      <c r="BJ2423" s="210"/>
      <c r="BK2423" s="210"/>
      <c r="BL2423" s="210"/>
      <c r="BM2423" s="208"/>
      <c r="BN2423" s="160"/>
      <c r="BO2423" s="161">
        <f t="shared" si="2121"/>
        <v>0</v>
      </c>
      <c r="BP2423" s="161"/>
    </row>
    <row r="2424" spans="1:68" ht="25.5">
      <c r="A2424" s="210"/>
      <c r="B2424" s="195" t="s">
        <v>10799</v>
      </c>
      <c r="C2424" s="196" t="s">
        <v>10800</v>
      </c>
      <c r="D2424" s="146" t="s">
        <v>4692</v>
      </c>
      <c r="E2424" s="377" t="s">
        <v>10800</v>
      </c>
      <c r="F2424" s="150">
        <v>0</v>
      </c>
      <c r="G2424" s="209">
        <v>0</v>
      </c>
      <c r="H2424" s="209"/>
      <c r="I2424" s="209">
        <v>0</v>
      </c>
      <c r="J2424" s="150">
        <v>0</v>
      </c>
      <c r="K2424" s="150">
        <v>0</v>
      </c>
      <c r="L2424" s="150">
        <f t="shared" si="2129"/>
        <v>0</v>
      </c>
      <c r="M2424" s="150">
        <v>0</v>
      </c>
      <c r="N2424" s="150"/>
      <c r="O2424" s="150">
        <v>0</v>
      </c>
      <c r="P2424" s="150">
        <v>0</v>
      </c>
      <c r="Q2424" s="150">
        <v>0</v>
      </c>
      <c r="R2424" s="150">
        <f t="shared" si="2139"/>
        <v>0</v>
      </c>
      <c r="S2424" s="150">
        <f t="shared" si="2144"/>
        <v>0</v>
      </c>
      <c r="T2424" s="150"/>
      <c r="U2424" s="150">
        <v>0</v>
      </c>
      <c r="V2424" s="199"/>
      <c r="W2424" s="150">
        <f t="shared" si="2135"/>
        <v>0</v>
      </c>
      <c r="X2424" s="150">
        <v>0</v>
      </c>
      <c r="Y2424" s="150"/>
      <c r="Z2424" s="150">
        <v>0</v>
      </c>
      <c r="AA2424" s="150">
        <f t="shared" si="2112"/>
        <v>0</v>
      </c>
      <c r="AB2424" s="150">
        <v>0</v>
      </c>
      <c r="AC2424" s="199"/>
      <c r="AD2424" s="150">
        <f t="shared" si="2136"/>
        <v>0</v>
      </c>
      <c r="AE2424" s="150">
        <v>0</v>
      </c>
      <c r="AF2424" s="169" t="s">
        <v>4680</v>
      </c>
      <c r="AG2424" s="201">
        <v>0</v>
      </c>
      <c r="AH2424" s="199"/>
      <c r="AI2424" s="150">
        <v>0</v>
      </c>
      <c r="AJ2424" s="169">
        <f t="shared" si="2113"/>
        <v>0</v>
      </c>
      <c r="AK2424" s="201">
        <v>0</v>
      </c>
      <c r="AL2424" s="199"/>
      <c r="AM2424" s="150">
        <f t="shared" si="2137"/>
        <v>0</v>
      </c>
      <c r="AN2424" s="153">
        <f t="shared" si="2114"/>
        <v>0</v>
      </c>
      <c r="AO2424" s="154">
        <f t="shared" si="2115"/>
        <v>0</v>
      </c>
      <c r="AP2424" s="150">
        <v>0</v>
      </c>
      <c r="AQ2424" s="201">
        <v>0</v>
      </c>
      <c r="AR2424" s="199"/>
      <c r="AS2424" s="150">
        <f t="shared" si="2138"/>
        <v>0</v>
      </c>
      <c r="AT2424" s="155"/>
      <c r="AU2424" s="156">
        <f t="shared" si="2110"/>
        <v>0</v>
      </c>
      <c r="AV2424" s="156">
        <f t="shared" si="2111"/>
        <v>0</v>
      </c>
      <c r="AW2424" s="157"/>
      <c r="AX2424" s="150">
        <v>0</v>
      </c>
      <c r="AY2424" s="150">
        <v>0</v>
      </c>
      <c r="AZ2424" s="150"/>
      <c r="BA2424" s="150">
        <f t="shared" si="2143"/>
        <v>0</v>
      </c>
      <c r="BB2424" s="210"/>
      <c r="BC2424" s="210"/>
      <c r="BD2424" s="210"/>
      <c r="BE2424" s="210"/>
      <c r="BF2424" s="210"/>
      <c r="BG2424" s="210"/>
      <c r="BH2424" s="217"/>
      <c r="BI2424" s="210"/>
      <c r="BJ2424" s="210"/>
      <c r="BK2424" s="210"/>
      <c r="BL2424" s="210"/>
      <c r="BM2424" s="208"/>
      <c r="BN2424" s="160"/>
      <c r="BO2424" s="161">
        <f t="shared" si="2121"/>
        <v>0</v>
      </c>
      <c r="BP2424" s="161"/>
    </row>
    <row r="2425" spans="1:68" ht="38.25">
      <c r="A2425" s="210"/>
      <c r="B2425" s="195" t="s">
        <v>10801</v>
      </c>
      <c r="C2425" s="196" t="s">
        <v>10802</v>
      </c>
      <c r="D2425" s="146" t="s">
        <v>4692</v>
      </c>
      <c r="E2425" s="377" t="s">
        <v>10802</v>
      </c>
      <c r="F2425" s="150">
        <v>0</v>
      </c>
      <c r="G2425" s="209">
        <v>0</v>
      </c>
      <c r="H2425" s="209"/>
      <c r="I2425" s="209">
        <v>0</v>
      </c>
      <c r="J2425" s="150">
        <v>0</v>
      </c>
      <c r="K2425" s="150">
        <v>0</v>
      </c>
      <c r="L2425" s="150">
        <f t="shared" si="2129"/>
        <v>0</v>
      </c>
      <c r="M2425" s="150">
        <v>0</v>
      </c>
      <c r="N2425" s="150"/>
      <c r="O2425" s="150">
        <v>0</v>
      </c>
      <c r="P2425" s="150">
        <v>0</v>
      </c>
      <c r="Q2425" s="150">
        <v>0</v>
      </c>
      <c r="R2425" s="150">
        <f t="shared" si="2139"/>
        <v>0</v>
      </c>
      <c r="S2425" s="150">
        <f t="shared" si="2144"/>
        <v>0</v>
      </c>
      <c r="T2425" s="150"/>
      <c r="U2425" s="150">
        <v>0</v>
      </c>
      <c r="V2425" s="199"/>
      <c r="W2425" s="150">
        <f t="shared" si="2135"/>
        <v>0</v>
      </c>
      <c r="X2425" s="150">
        <v>0</v>
      </c>
      <c r="Y2425" s="150"/>
      <c r="Z2425" s="150">
        <v>0</v>
      </c>
      <c r="AA2425" s="150">
        <f t="shared" si="2112"/>
        <v>0</v>
      </c>
      <c r="AB2425" s="150">
        <v>0</v>
      </c>
      <c r="AC2425" s="199"/>
      <c r="AD2425" s="150">
        <f t="shared" si="2136"/>
        <v>0</v>
      </c>
      <c r="AE2425" s="150">
        <v>0</v>
      </c>
      <c r="AF2425" s="169" t="s">
        <v>4680</v>
      </c>
      <c r="AG2425" s="201">
        <v>0</v>
      </c>
      <c r="AH2425" s="199"/>
      <c r="AI2425" s="150">
        <v>0</v>
      </c>
      <c r="AJ2425" s="169">
        <f t="shared" si="2113"/>
        <v>0</v>
      </c>
      <c r="AK2425" s="201">
        <v>0</v>
      </c>
      <c r="AL2425" s="199"/>
      <c r="AM2425" s="150">
        <f t="shared" si="2137"/>
        <v>0</v>
      </c>
      <c r="AN2425" s="153">
        <f t="shared" si="2114"/>
        <v>0</v>
      </c>
      <c r="AO2425" s="154">
        <f t="shared" si="2115"/>
        <v>0</v>
      </c>
      <c r="AP2425" s="150">
        <v>0</v>
      </c>
      <c r="AQ2425" s="201">
        <v>0</v>
      </c>
      <c r="AR2425" s="199"/>
      <c r="AS2425" s="150">
        <f t="shared" si="2138"/>
        <v>0</v>
      </c>
      <c r="AT2425" s="155"/>
      <c r="AU2425" s="156">
        <f t="shared" si="2110"/>
        <v>0</v>
      </c>
      <c r="AV2425" s="156">
        <f t="shared" si="2111"/>
        <v>0</v>
      </c>
      <c r="AW2425" s="157"/>
      <c r="AX2425" s="150">
        <v>0</v>
      </c>
      <c r="AY2425" s="150">
        <v>0</v>
      </c>
      <c r="AZ2425" s="150"/>
      <c r="BA2425" s="150">
        <f t="shared" si="2143"/>
        <v>0</v>
      </c>
      <c r="BB2425" s="210"/>
      <c r="BC2425" s="210"/>
      <c r="BD2425" s="210"/>
      <c r="BE2425" s="210"/>
      <c r="BF2425" s="210"/>
      <c r="BG2425" s="210"/>
      <c r="BH2425" s="217"/>
      <c r="BI2425" s="210"/>
      <c r="BJ2425" s="210"/>
      <c r="BK2425" s="210"/>
      <c r="BL2425" s="210"/>
      <c r="BM2425" s="208"/>
      <c r="BN2425" s="160"/>
      <c r="BO2425" s="161">
        <f t="shared" si="2121"/>
        <v>0</v>
      </c>
      <c r="BP2425" s="161"/>
    </row>
    <row r="2426" spans="1:68" ht="25.5">
      <c r="A2426" s="210"/>
      <c r="B2426" s="195" t="s">
        <v>10803</v>
      </c>
      <c r="C2426" s="196" t="s">
        <v>10804</v>
      </c>
      <c r="D2426" s="146" t="s">
        <v>4692</v>
      </c>
      <c r="E2426" s="377" t="s">
        <v>10804</v>
      </c>
      <c r="F2426" s="150">
        <v>0</v>
      </c>
      <c r="G2426" s="209">
        <v>0</v>
      </c>
      <c r="H2426" s="209"/>
      <c r="I2426" s="209">
        <v>0</v>
      </c>
      <c r="J2426" s="150">
        <v>0</v>
      </c>
      <c r="K2426" s="150">
        <v>0</v>
      </c>
      <c r="L2426" s="150">
        <f t="shared" si="2129"/>
        <v>0</v>
      </c>
      <c r="M2426" s="150">
        <v>0</v>
      </c>
      <c r="N2426" s="150"/>
      <c r="O2426" s="150">
        <v>0</v>
      </c>
      <c r="P2426" s="150">
        <v>0</v>
      </c>
      <c r="Q2426" s="150">
        <v>0</v>
      </c>
      <c r="R2426" s="150">
        <f t="shared" si="2139"/>
        <v>0</v>
      </c>
      <c r="S2426" s="150">
        <f t="shared" si="2144"/>
        <v>0</v>
      </c>
      <c r="T2426" s="150"/>
      <c r="U2426" s="150">
        <v>0</v>
      </c>
      <c r="V2426" s="199"/>
      <c r="W2426" s="150">
        <f t="shared" si="2135"/>
        <v>0</v>
      </c>
      <c r="X2426" s="150">
        <v>0</v>
      </c>
      <c r="Y2426" s="150"/>
      <c r="Z2426" s="150">
        <v>0</v>
      </c>
      <c r="AA2426" s="150">
        <f t="shared" si="2112"/>
        <v>0</v>
      </c>
      <c r="AB2426" s="150">
        <v>0</v>
      </c>
      <c r="AC2426" s="199"/>
      <c r="AD2426" s="150">
        <f t="shared" si="2136"/>
        <v>0</v>
      </c>
      <c r="AE2426" s="150">
        <v>0</v>
      </c>
      <c r="AF2426" s="169" t="s">
        <v>4680</v>
      </c>
      <c r="AG2426" s="201">
        <v>0</v>
      </c>
      <c r="AH2426" s="199"/>
      <c r="AI2426" s="150">
        <v>0</v>
      </c>
      <c r="AJ2426" s="169">
        <f t="shared" si="2113"/>
        <v>0</v>
      </c>
      <c r="AK2426" s="201">
        <v>0</v>
      </c>
      <c r="AL2426" s="199"/>
      <c r="AM2426" s="150">
        <f t="shared" si="2137"/>
        <v>0</v>
      </c>
      <c r="AN2426" s="153">
        <f t="shared" si="2114"/>
        <v>0</v>
      </c>
      <c r="AO2426" s="154">
        <f t="shared" si="2115"/>
        <v>0</v>
      </c>
      <c r="AP2426" s="150">
        <v>0</v>
      </c>
      <c r="AQ2426" s="201">
        <v>0</v>
      </c>
      <c r="AR2426" s="199"/>
      <c r="AS2426" s="150">
        <f t="shared" si="2138"/>
        <v>0</v>
      </c>
      <c r="AT2426" s="155"/>
      <c r="AU2426" s="156">
        <f t="shared" si="2110"/>
        <v>0</v>
      </c>
      <c r="AV2426" s="156">
        <f t="shared" si="2111"/>
        <v>0</v>
      </c>
      <c r="AW2426" s="157"/>
      <c r="AX2426" s="150">
        <v>0</v>
      </c>
      <c r="AY2426" s="150">
        <v>0</v>
      </c>
      <c r="AZ2426" s="150"/>
      <c r="BA2426" s="150">
        <f t="shared" si="2143"/>
        <v>0</v>
      </c>
      <c r="BB2426" s="210"/>
      <c r="BC2426" s="210"/>
      <c r="BD2426" s="210"/>
      <c r="BE2426" s="210"/>
      <c r="BF2426" s="210"/>
      <c r="BG2426" s="210"/>
      <c r="BH2426" s="217"/>
      <c r="BI2426" s="210"/>
      <c r="BJ2426" s="210"/>
      <c r="BK2426" s="210"/>
      <c r="BL2426" s="210"/>
      <c r="BM2426" s="208"/>
      <c r="BN2426" s="160"/>
      <c r="BO2426" s="161">
        <f t="shared" si="2121"/>
        <v>0</v>
      </c>
      <c r="BP2426" s="161"/>
    </row>
    <row r="2427" spans="1:68" ht="38.25">
      <c r="A2427" s="210"/>
      <c r="B2427" s="195" t="s">
        <v>10805</v>
      </c>
      <c r="C2427" s="196" t="s">
        <v>10806</v>
      </c>
      <c r="D2427" s="146" t="s">
        <v>4692</v>
      </c>
      <c r="E2427" s="377" t="s">
        <v>10806</v>
      </c>
      <c r="F2427" s="150">
        <v>0</v>
      </c>
      <c r="G2427" s="209">
        <v>0</v>
      </c>
      <c r="H2427" s="209"/>
      <c r="I2427" s="209">
        <v>0</v>
      </c>
      <c r="J2427" s="150">
        <v>0</v>
      </c>
      <c r="K2427" s="150">
        <v>0</v>
      </c>
      <c r="L2427" s="150">
        <f t="shared" si="2129"/>
        <v>0</v>
      </c>
      <c r="M2427" s="150">
        <v>0</v>
      </c>
      <c r="N2427" s="150"/>
      <c r="O2427" s="150">
        <v>0</v>
      </c>
      <c r="P2427" s="150">
        <v>0</v>
      </c>
      <c r="Q2427" s="150">
        <v>0</v>
      </c>
      <c r="R2427" s="150">
        <f t="shared" si="2139"/>
        <v>0</v>
      </c>
      <c r="S2427" s="150">
        <f t="shared" si="2144"/>
        <v>0</v>
      </c>
      <c r="T2427" s="150"/>
      <c r="U2427" s="150">
        <v>0</v>
      </c>
      <c r="V2427" s="199"/>
      <c r="W2427" s="150">
        <f t="shared" si="2135"/>
        <v>0</v>
      </c>
      <c r="X2427" s="150">
        <v>0</v>
      </c>
      <c r="Y2427" s="150"/>
      <c r="Z2427" s="150">
        <v>0</v>
      </c>
      <c r="AA2427" s="150">
        <f t="shared" si="2112"/>
        <v>0</v>
      </c>
      <c r="AB2427" s="150">
        <v>0</v>
      </c>
      <c r="AC2427" s="199"/>
      <c r="AD2427" s="150">
        <f t="shared" si="2136"/>
        <v>0</v>
      </c>
      <c r="AE2427" s="150">
        <v>0</v>
      </c>
      <c r="AF2427" s="169" t="s">
        <v>4680</v>
      </c>
      <c r="AG2427" s="201">
        <v>0</v>
      </c>
      <c r="AH2427" s="199"/>
      <c r="AI2427" s="150">
        <v>0</v>
      </c>
      <c r="AJ2427" s="169">
        <f t="shared" si="2113"/>
        <v>0</v>
      </c>
      <c r="AK2427" s="201">
        <v>0</v>
      </c>
      <c r="AL2427" s="199"/>
      <c r="AM2427" s="150">
        <f t="shared" si="2137"/>
        <v>0</v>
      </c>
      <c r="AN2427" s="153">
        <f t="shared" si="2114"/>
        <v>0</v>
      </c>
      <c r="AO2427" s="154">
        <f t="shared" si="2115"/>
        <v>0</v>
      </c>
      <c r="AP2427" s="150">
        <v>0</v>
      </c>
      <c r="AQ2427" s="201">
        <v>0</v>
      </c>
      <c r="AR2427" s="199"/>
      <c r="AS2427" s="150">
        <f t="shared" si="2138"/>
        <v>0</v>
      </c>
      <c r="AT2427" s="155"/>
      <c r="AU2427" s="156">
        <f t="shared" si="2110"/>
        <v>0</v>
      </c>
      <c r="AV2427" s="156">
        <f t="shared" si="2111"/>
        <v>0</v>
      </c>
      <c r="AW2427" s="157"/>
      <c r="AX2427" s="150">
        <v>0</v>
      </c>
      <c r="AY2427" s="150">
        <v>0</v>
      </c>
      <c r="AZ2427" s="150"/>
      <c r="BA2427" s="150">
        <f t="shared" si="2143"/>
        <v>0</v>
      </c>
      <c r="BB2427" s="210"/>
      <c r="BC2427" s="210"/>
      <c r="BD2427" s="210"/>
      <c r="BE2427" s="210"/>
      <c r="BF2427" s="210"/>
      <c r="BG2427" s="210"/>
      <c r="BH2427" s="217"/>
      <c r="BI2427" s="210"/>
      <c r="BJ2427" s="210"/>
      <c r="BK2427" s="210"/>
      <c r="BL2427" s="210"/>
      <c r="BM2427" s="208"/>
      <c r="BN2427" s="160"/>
      <c r="BO2427" s="161">
        <f t="shared" si="2121"/>
        <v>0</v>
      </c>
      <c r="BP2427" s="161"/>
    </row>
    <row r="2428" spans="1:68" ht="25.5">
      <c r="A2428" s="210"/>
      <c r="B2428" s="195" t="s">
        <v>10807</v>
      </c>
      <c r="C2428" s="196" t="s">
        <v>10808</v>
      </c>
      <c r="D2428" s="146" t="s">
        <v>4692</v>
      </c>
      <c r="E2428" s="377" t="s">
        <v>10808</v>
      </c>
      <c r="F2428" s="150">
        <v>0</v>
      </c>
      <c r="G2428" s="209">
        <v>0</v>
      </c>
      <c r="H2428" s="209"/>
      <c r="I2428" s="209">
        <v>0</v>
      </c>
      <c r="J2428" s="150">
        <v>0</v>
      </c>
      <c r="K2428" s="150">
        <v>0</v>
      </c>
      <c r="L2428" s="150">
        <f t="shared" si="2129"/>
        <v>0</v>
      </c>
      <c r="M2428" s="150">
        <v>0</v>
      </c>
      <c r="N2428" s="150"/>
      <c r="O2428" s="150">
        <v>0</v>
      </c>
      <c r="P2428" s="150">
        <v>0</v>
      </c>
      <c r="Q2428" s="150">
        <v>0</v>
      </c>
      <c r="R2428" s="150">
        <f t="shared" si="2139"/>
        <v>0</v>
      </c>
      <c r="S2428" s="150">
        <f t="shared" si="2144"/>
        <v>0</v>
      </c>
      <c r="T2428" s="150"/>
      <c r="U2428" s="150">
        <v>0</v>
      </c>
      <c r="V2428" s="199"/>
      <c r="W2428" s="150">
        <f t="shared" si="2135"/>
        <v>0</v>
      </c>
      <c r="X2428" s="150">
        <v>0</v>
      </c>
      <c r="Y2428" s="150"/>
      <c r="Z2428" s="150">
        <v>0</v>
      </c>
      <c r="AA2428" s="150">
        <f t="shared" si="2112"/>
        <v>0</v>
      </c>
      <c r="AB2428" s="150">
        <v>0</v>
      </c>
      <c r="AC2428" s="199"/>
      <c r="AD2428" s="150">
        <f t="shared" si="2136"/>
        <v>0</v>
      </c>
      <c r="AE2428" s="150">
        <v>0</v>
      </c>
      <c r="AF2428" s="169" t="s">
        <v>4680</v>
      </c>
      <c r="AG2428" s="201">
        <v>0</v>
      </c>
      <c r="AH2428" s="199"/>
      <c r="AI2428" s="150">
        <v>0</v>
      </c>
      <c r="AJ2428" s="169">
        <f t="shared" si="2113"/>
        <v>0</v>
      </c>
      <c r="AK2428" s="201">
        <v>0</v>
      </c>
      <c r="AL2428" s="199"/>
      <c r="AM2428" s="150">
        <f t="shared" si="2137"/>
        <v>0</v>
      </c>
      <c r="AN2428" s="153">
        <f t="shared" si="2114"/>
        <v>0</v>
      </c>
      <c r="AO2428" s="154">
        <f t="shared" si="2115"/>
        <v>0</v>
      </c>
      <c r="AP2428" s="150">
        <v>0</v>
      </c>
      <c r="AQ2428" s="201">
        <v>0</v>
      </c>
      <c r="AR2428" s="199"/>
      <c r="AS2428" s="150">
        <f t="shared" si="2138"/>
        <v>0</v>
      </c>
      <c r="AT2428" s="155"/>
      <c r="AU2428" s="156">
        <f t="shared" si="2110"/>
        <v>0</v>
      </c>
      <c r="AV2428" s="156">
        <f t="shared" si="2111"/>
        <v>0</v>
      </c>
      <c r="AW2428" s="157"/>
      <c r="AX2428" s="150">
        <v>0</v>
      </c>
      <c r="AY2428" s="150">
        <v>0</v>
      </c>
      <c r="AZ2428" s="150"/>
      <c r="BA2428" s="150">
        <f t="shared" si="2143"/>
        <v>0</v>
      </c>
      <c r="BB2428" s="210"/>
      <c r="BC2428" s="210"/>
      <c r="BD2428" s="210"/>
      <c r="BE2428" s="210"/>
      <c r="BF2428" s="210"/>
      <c r="BG2428" s="210"/>
      <c r="BH2428" s="217"/>
      <c r="BI2428" s="210"/>
      <c r="BJ2428" s="210"/>
      <c r="BK2428" s="210"/>
      <c r="BL2428" s="210"/>
      <c r="BM2428" s="208"/>
      <c r="BN2428" s="160"/>
      <c r="BO2428" s="161">
        <f t="shared" si="2121"/>
        <v>0</v>
      </c>
      <c r="BP2428" s="161"/>
    </row>
    <row r="2429" spans="1:68" ht="25.5">
      <c r="A2429" s="210"/>
      <c r="B2429" s="195" t="s">
        <v>10809</v>
      </c>
      <c r="C2429" s="196" t="s">
        <v>10810</v>
      </c>
      <c r="D2429" s="146" t="s">
        <v>4692</v>
      </c>
      <c r="E2429" s="377" t="s">
        <v>10810</v>
      </c>
      <c r="F2429" s="150">
        <v>0</v>
      </c>
      <c r="G2429" s="209">
        <v>0</v>
      </c>
      <c r="H2429" s="209"/>
      <c r="I2429" s="209">
        <v>0</v>
      </c>
      <c r="J2429" s="150">
        <v>0</v>
      </c>
      <c r="K2429" s="150">
        <v>0</v>
      </c>
      <c r="L2429" s="150">
        <f t="shared" si="2129"/>
        <v>0</v>
      </c>
      <c r="M2429" s="150">
        <v>0</v>
      </c>
      <c r="N2429" s="150"/>
      <c r="O2429" s="150">
        <v>0</v>
      </c>
      <c r="P2429" s="150">
        <v>0</v>
      </c>
      <c r="Q2429" s="150">
        <v>0</v>
      </c>
      <c r="R2429" s="150">
        <f t="shared" si="2139"/>
        <v>0</v>
      </c>
      <c r="S2429" s="150">
        <f t="shared" si="2144"/>
        <v>0</v>
      </c>
      <c r="T2429" s="150"/>
      <c r="U2429" s="150">
        <v>0</v>
      </c>
      <c r="V2429" s="199"/>
      <c r="W2429" s="150">
        <f t="shared" si="2135"/>
        <v>0</v>
      </c>
      <c r="X2429" s="150">
        <v>0</v>
      </c>
      <c r="Y2429" s="150"/>
      <c r="Z2429" s="150">
        <v>0</v>
      </c>
      <c r="AA2429" s="150">
        <f t="shared" si="2112"/>
        <v>0</v>
      </c>
      <c r="AB2429" s="150">
        <v>0</v>
      </c>
      <c r="AC2429" s="199"/>
      <c r="AD2429" s="150">
        <f t="shared" si="2136"/>
        <v>0</v>
      </c>
      <c r="AE2429" s="150">
        <v>0</v>
      </c>
      <c r="AF2429" s="169" t="s">
        <v>4680</v>
      </c>
      <c r="AG2429" s="201">
        <v>0</v>
      </c>
      <c r="AH2429" s="199"/>
      <c r="AI2429" s="150">
        <v>0</v>
      </c>
      <c r="AJ2429" s="169">
        <f t="shared" si="2113"/>
        <v>0</v>
      </c>
      <c r="AK2429" s="201">
        <v>0</v>
      </c>
      <c r="AL2429" s="199"/>
      <c r="AM2429" s="150">
        <f t="shared" si="2137"/>
        <v>0</v>
      </c>
      <c r="AN2429" s="153">
        <f t="shared" si="2114"/>
        <v>0</v>
      </c>
      <c r="AO2429" s="154">
        <f t="shared" si="2115"/>
        <v>0</v>
      </c>
      <c r="AP2429" s="150">
        <v>0</v>
      </c>
      <c r="AQ2429" s="201">
        <v>0</v>
      </c>
      <c r="AR2429" s="199"/>
      <c r="AS2429" s="150">
        <f t="shared" si="2138"/>
        <v>0</v>
      </c>
      <c r="AT2429" s="155"/>
      <c r="AU2429" s="156">
        <f t="shared" si="2110"/>
        <v>0</v>
      </c>
      <c r="AV2429" s="156">
        <f t="shared" si="2111"/>
        <v>0</v>
      </c>
      <c r="AW2429" s="157"/>
      <c r="AX2429" s="150">
        <v>0</v>
      </c>
      <c r="AY2429" s="150">
        <v>0</v>
      </c>
      <c r="AZ2429" s="150"/>
      <c r="BA2429" s="150">
        <f t="shared" si="2143"/>
        <v>0</v>
      </c>
      <c r="BB2429" s="210"/>
      <c r="BC2429" s="210"/>
      <c r="BD2429" s="210"/>
      <c r="BE2429" s="210"/>
      <c r="BF2429" s="210"/>
      <c r="BG2429" s="210"/>
      <c r="BH2429" s="217"/>
      <c r="BI2429" s="210"/>
      <c r="BJ2429" s="210"/>
      <c r="BK2429" s="210"/>
      <c r="BL2429" s="210"/>
      <c r="BM2429" s="208"/>
      <c r="BN2429" s="160"/>
      <c r="BO2429" s="161">
        <f t="shared" si="2121"/>
        <v>0</v>
      </c>
      <c r="BP2429" s="161"/>
    </row>
    <row r="2430" spans="1:68" ht="38.25">
      <c r="A2430" s="210"/>
      <c r="B2430" s="195" t="s">
        <v>10811</v>
      </c>
      <c r="C2430" s="196" t="s">
        <v>10812</v>
      </c>
      <c r="D2430" s="146" t="s">
        <v>4692</v>
      </c>
      <c r="E2430" s="377" t="s">
        <v>10812</v>
      </c>
      <c r="F2430" s="150">
        <v>0</v>
      </c>
      <c r="G2430" s="209">
        <v>0</v>
      </c>
      <c r="H2430" s="209"/>
      <c r="I2430" s="209">
        <v>0</v>
      </c>
      <c r="J2430" s="150">
        <v>0</v>
      </c>
      <c r="K2430" s="150">
        <v>0</v>
      </c>
      <c r="L2430" s="150">
        <f t="shared" si="2129"/>
        <v>0</v>
      </c>
      <c r="M2430" s="150">
        <v>0</v>
      </c>
      <c r="N2430" s="150"/>
      <c r="O2430" s="150">
        <v>0</v>
      </c>
      <c r="P2430" s="150">
        <v>0</v>
      </c>
      <c r="Q2430" s="150">
        <v>0</v>
      </c>
      <c r="R2430" s="150">
        <f t="shared" si="2139"/>
        <v>0</v>
      </c>
      <c r="S2430" s="150">
        <f t="shared" si="2144"/>
        <v>0</v>
      </c>
      <c r="T2430" s="150"/>
      <c r="U2430" s="150">
        <v>0</v>
      </c>
      <c r="V2430" s="199"/>
      <c r="W2430" s="150">
        <f t="shared" si="2135"/>
        <v>0</v>
      </c>
      <c r="X2430" s="150">
        <v>0</v>
      </c>
      <c r="Y2430" s="150"/>
      <c r="Z2430" s="150">
        <v>0</v>
      </c>
      <c r="AA2430" s="150">
        <f t="shared" si="2112"/>
        <v>0</v>
      </c>
      <c r="AB2430" s="150">
        <v>0</v>
      </c>
      <c r="AC2430" s="199"/>
      <c r="AD2430" s="150">
        <f t="shared" si="2136"/>
        <v>0</v>
      </c>
      <c r="AE2430" s="150">
        <v>0</v>
      </c>
      <c r="AF2430" s="169" t="s">
        <v>4680</v>
      </c>
      <c r="AG2430" s="201">
        <v>0</v>
      </c>
      <c r="AH2430" s="199"/>
      <c r="AI2430" s="150">
        <v>0</v>
      </c>
      <c r="AJ2430" s="169">
        <f t="shared" si="2113"/>
        <v>0</v>
      </c>
      <c r="AK2430" s="201">
        <v>0</v>
      </c>
      <c r="AL2430" s="199"/>
      <c r="AM2430" s="150">
        <f t="shared" si="2137"/>
        <v>0</v>
      </c>
      <c r="AN2430" s="153">
        <f t="shared" si="2114"/>
        <v>0</v>
      </c>
      <c r="AO2430" s="154">
        <f t="shared" si="2115"/>
        <v>0</v>
      </c>
      <c r="AP2430" s="150">
        <v>0</v>
      </c>
      <c r="AQ2430" s="201">
        <v>0</v>
      </c>
      <c r="AR2430" s="199"/>
      <c r="AS2430" s="150">
        <f t="shared" si="2138"/>
        <v>0</v>
      </c>
      <c r="AT2430" s="155"/>
      <c r="AU2430" s="156">
        <f t="shared" si="2110"/>
        <v>0</v>
      </c>
      <c r="AV2430" s="156">
        <f t="shared" si="2111"/>
        <v>0</v>
      </c>
      <c r="AW2430" s="157"/>
      <c r="AX2430" s="150">
        <v>0</v>
      </c>
      <c r="AY2430" s="150">
        <v>0</v>
      </c>
      <c r="AZ2430" s="150"/>
      <c r="BA2430" s="150">
        <f t="shared" si="2143"/>
        <v>0</v>
      </c>
      <c r="BB2430" s="210"/>
      <c r="BC2430" s="210"/>
      <c r="BD2430" s="210"/>
      <c r="BE2430" s="210"/>
      <c r="BF2430" s="210"/>
      <c r="BG2430" s="210"/>
      <c r="BH2430" s="217"/>
      <c r="BI2430" s="210"/>
      <c r="BJ2430" s="210"/>
      <c r="BK2430" s="210"/>
      <c r="BL2430" s="210"/>
      <c r="BM2430" s="208"/>
      <c r="BN2430" s="160"/>
      <c r="BO2430" s="161">
        <f t="shared" si="2121"/>
        <v>0</v>
      </c>
      <c r="BP2430" s="161"/>
    </row>
    <row r="2431" spans="1:68" ht="38.25">
      <c r="A2431" s="210"/>
      <c r="B2431" s="195" t="s">
        <v>10813</v>
      </c>
      <c r="C2431" s="196" t="s">
        <v>10814</v>
      </c>
      <c r="D2431" s="146" t="s">
        <v>4692</v>
      </c>
      <c r="E2431" s="377" t="s">
        <v>10814</v>
      </c>
      <c r="F2431" s="150">
        <v>0</v>
      </c>
      <c r="G2431" s="209">
        <v>0</v>
      </c>
      <c r="H2431" s="209"/>
      <c r="I2431" s="209">
        <v>0</v>
      </c>
      <c r="J2431" s="150">
        <v>0</v>
      </c>
      <c r="K2431" s="150">
        <v>0</v>
      </c>
      <c r="L2431" s="150">
        <f t="shared" si="2129"/>
        <v>0</v>
      </c>
      <c r="M2431" s="150">
        <v>0</v>
      </c>
      <c r="N2431" s="150"/>
      <c r="O2431" s="150">
        <v>0</v>
      </c>
      <c r="P2431" s="150">
        <v>0</v>
      </c>
      <c r="Q2431" s="150">
        <v>0</v>
      </c>
      <c r="R2431" s="150">
        <f t="shared" si="2139"/>
        <v>0</v>
      </c>
      <c r="S2431" s="150">
        <f t="shared" si="2144"/>
        <v>0</v>
      </c>
      <c r="T2431" s="150"/>
      <c r="U2431" s="150">
        <v>0</v>
      </c>
      <c r="V2431" s="199"/>
      <c r="W2431" s="150">
        <f t="shared" si="2135"/>
        <v>0</v>
      </c>
      <c r="X2431" s="150">
        <v>0</v>
      </c>
      <c r="Y2431" s="150"/>
      <c r="Z2431" s="150">
        <v>0</v>
      </c>
      <c r="AA2431" s="150">
        <f t="shared" si="2112"/>
        <v>0</v>
      </c>
      <c r="AB2431" s="150">
        <v>0</v>
      </c>
      <c r="AC2431" s="199"/>
      <c r="AD2431" s="150">
        <f t="shared" si="2136"/>
        <v>0</v>
      </c>
      <c r="AE2431" s="150">
        <v>0</v>
      </c>
      <c r="AF2431" s="169" t="s">
        <v>4680</v>
      </c>
      <c r="AG2431" s="201">
        <v>0</v>
      </c>
      <c r="AH2431" s="199"/>
      <c r="AI2431" s="150">
        <v>0</v>
      </c>
      <c r="AJ2431" s="169">
        <f t="shared" si="2113"/>
        <v>0</v>
      </c>
      <c r="AK2431" s="201">
        <v>0</v>
      </c>
      <c r="AL2431" s="199"/>
      <c r="AM2431" s="150">
        <f t="shared" si="2137"/>
        <v>0</v>
      </c>
      <c r="AN2431" s="153">
        <f t="shared" si="2114"/>
        <v>0</v>
      </c>
      <c r="AO2431" s="154">
        <f t="shared" si="2115"/>
        <v>0</v>
      </c>
      <c r="AP2431" s="150">
        <v>0</v>
      </c>
      <c r="AQ2431" s="201">
        <v>0</v>
      </c>
      <c r="AR2431" s="199"/>
      <c r="AS2431" s="150">
        <f t="shared" si="2138"/>
        <v>0</v>
      </c>
      <c r="AT2431" s="155"/>
      <c r="AU2431" s="156">
        <f t="shared" si="2110"/>
        <v>0</v>
      </c>
      <c r="AV2431" s="156">
        <f t="shared" si="2111"/>
        <v>0</v>
      </c>
      <c r="AW2431" s="157"/>
      <c r="AX2431" s="150">
        <v>0</v>
      </c>
      <c r="AY2431" s="150">
        <v>0</v>
      </c>
      <c r="AZ2431" s="150"/>
      <c r="BA2431" s="150">
        <f t="shared" si="2143"/>
        <v>0</v>
      </c>
      <c r="BB2431" s="210"/>
      <c r="BC2431" s="210"/>
      <c r="BD2431" s="210"/>
      <c r="BE2431" s="210"/>
      <c r="BF2431" s="210"/>
      <c r="BG2431" s="210"/>
      <c r="BH2431" s="217"/>
      <c r="BI2431" s="210"/>
      <c r="BJ2431" s="210"/>
      <c r="BK2431" s="210"/>
      <c r="BL2431" s="210"/>
      <c r="BM2431" s="208"/>
      <c r="BN2431" s="160"/>
      <c r="BO2431" s="161">
        <f t="shared" si="2121"/>
        <v>0</v>
      </c>
      <c r="BP2431" s="161"/>
    </row>
    <row r="2432" spans="1:68" ht="25.5">
      <c r="A2432" s="210"/>
      <c r="B2432" s="195" t="s">
        <v>10815</v>
      </c>
      <c r="C2432" s="196" t="s">
        <v>10816</v>
      </c>
      <c r="D2432" s="146" t="s">
        <v>4692</v>
      </c>
      <c r="E2432" s="377" t="s">
        <v>10816</v>
      </c>
      <c r="F2432" s="150">
        <v>0</v>
      </c>
      <c r="G2432" s="209">
        <v>0</v>
      </c>
      <c r="H2432" s="209"/>
      <c r="I2432" s="209">
        <v>0</v>
      </c>
      <c r="J2432" s="150">
        <v>0</v>
      </c>
      <c r="K2432" s="150">
        <v>0</v>
      </c>
      <c r="L2432" s="150">
        <f t="shared" si="2129"/>
        <v>0</v>
      </c>
      <c r="M2432" s="150">
        <v>0</v>
      </c>
      <c r="N2432" s="150"/>
      <c r="O2432" s="150">
        <v>0</v>
      </c>
      <c r="P2432" s="150">
        <v>0</v>
      </c>
      <c r="Q2432" s="150">
        <v>0</v>
      </c>
      <c r="R2432" s="150">
        <f t="shared" si="2139"/>
        <v>0</v>
      </c>
      <c r="S2432" s="150">
        <f t="shared" si="2144"/>
        <v>0</v>
      </c>
      <c r="T2432" s="150"/>
      <c r="U2432" s="150">
        <v>0</v>
      </c>
      <c r="V2432" s="199"/>
      <c r="W2432" s="150">
        <f t="shared" si="2135"/>
        <v>0</v>
      </c>
      <c r="X2432" s="150">
        <v>0</v>
      </c>
      <c r="Y2432" s="150"/>
      <c r="Z2432" s="150">
        <v>0</v>
      </c>
      <c r="AA2432" s="150">
        <f t="shared" si="2112"/>
        <v>0</v>
      </c>
      <c r="AB2432" s="150">
        <v>0</v>
      </c>
      <c r="AC2432" s="199"/>
      <c r="AD2432" s="150">
        <f t="shared" si="2136"/>
        <v>0</v>
      </c>
      <c r="AE2432" s="150">
        <v>0</v>
      </c>
      <c r="AF2432" s="169" t="s">
        <v>4680</v>
      </c>
      <c r="AG2432" s="201">
        <v>0</v>
      </c>
      <c r="AH2432" s="199"/>
      <c r="AI2432" s="150">
        <v>0</v>
      </c>
      <c r="AJ2432" s="169">
        <f t="shared" si="2113"/>
        <v>0</v>
      </c>
      <c r="AK2432" s="201">
        <v>0</v>
      </c>
      <c r="AL2432" s="199"/>
      <c r="AM2432" s="150">
        <f t="shared" si="2137"/>
        <v>0</v>
      </c>
      <c r="AN2432" s="153">
        <f t="shared" si="2114"/>
        <v>0</v>
      </c>
      <c r="AO2432" s="154">
        <f t="shared" si="2115"/>
        <v>0</v>
      </c>
      <c r="AP2432" s="150">
        <v>0</v>
      </c>
      <c r="AQ2432" s="201">
        <v>0</v>
      </c>
      <c r="AR2432" s="199"/>
      <c r="AS2432" s="150">
        <f t="shared" si="2138"/>
        <v>0</v>
      </c>
      <c r="AT2432" s="155"/>
      <c r="AU2432" s="156">
        <f t="shared" si="2110"/>
        <v>0</v>
      </c>
      <c r="AV2432" s="156">
        <f t="shared" si="2111"/>
        <v>0</v>
      </c>
      <c r="AW2432" s="157"/>
      <c r="AX2432" s="150">
        <v>0</v>
      </c>
      <c r="AY2432" s="150">
        <v>0</v>
      </c>
      <c r="AZ2432" s="150"/>
      <c r="BA2432" s="150">
        <f t="shared" si="2143"/>
        <v>0</v>
      </c>
      <c r="BB2432" s="210"/>
      <c r="BC2432" s="210"/>
      <c r="BD2432" s="210"/>
      <c r="BE2432" s="210"/>
      <c r="BF2432" s="210"/>
      <c r="BG2432" s="210"/>
      <c r="BH2432" s="217"/>
      <c r="BI2432" s="210"/>
      <c r="BJ2432" s="210"/>
      <c r="BK2432" s="210"/>
      <c r="BL2432" s="210"/>
      <c r="BM2432" s="208"/>
      <c r="BN2432" s="160"/>
      <c r="BO2432" s="161">
        <f t="shared" si="2121"/>
        <v>0</v>
      </c>
      <c r="BP2432" s="161"/>
    </row>
    <row r="2433" spans="1:68" ht="25.5">
      <c r="A2433" s="210"/>
      <c r="B2433" s="195" t="s">
        <v>10817</v>
      </c>
      <c r="C2433" s="196" t="s">
        <v>10818</v>
      </c>
      <c r="D2433" s="146" t="s">
        <v>4692</v>
      </c>
      <c r="E2433" s="377" t="s">
        <v>10818</v>
      </c>
      <c r="F2433" s="150">
        <v>0</v>
      </c>
      <c r="G2433" s="209">
        <v>2188379.41</v>
      </c>
      <c r="H2433" s="209">
        <v>-478090</v>
      </c>
      <c r="I2433" s="209">
        <v>1710289.41</v>
      </c>
      <c r="J2433" s="150">
        <v>0</v>
      </c>
      <c r="K2433" s="150">
        <v>0</v>
      </c>
      <c r="L2433" s="150">
        <f t="shared" si="2129"/>
        <v>0</v>
      </c>
      <c r="M2433" s="150">
        <v>0</v>
      </c>
      <c r="N2433" s="150"/>
      <c r="O2433" s="150">
        <v>0</v>
      </c>
      <c r="P2433" s="150">
        <v>0</v>
      </c>
      <c r="Q2433" s="150">
        <v>0</v>
      </c>
      <c r="R2433" s="150">
        <f t="shared" si="2139"/>
        <v>0</v>
      </c>
      <c r="S2433" s="150">
        <f t="shared" si="2144"/>
        <v>0</v>
      </c>
      <c r="T2433" s="150"/>
      <c r="U2433" s="150">
        <v>0</v>
      </c>
      <c r="V2433" s="199"/>
      <c r="W2433" s="150">
        <f t="shared" si="2135"/>
        <v>0</v>
      </c>
      <c r="X2433" s="150">
        <v>0</v>
      </c>
      <c r="Y2433" s="150"/>
      <c r="Z2433" s="150">
        <v>0</v>
      </c>
      <c r="AA2433" s="150">
        <f t="shared" si="2112"/>
        <v>0</v>
      </c>
      <c r="AB2433" s="150">
        <v>0</v>
      </c>
      <c r="AC2433" s="199"/>
      <c r="AD2433" s="150">
        <f t="shared" si="2136"/>
        <v>0</v>
      </c>
      <c r="AE2433" s="150">
        <v>0</v>
      </c>
      <c r="AF2433" s="169" t="s">
        <v>4680</v>
      </c>
      <c r="AG2433" s="201">
        <v>0</v>
      </c>
      <c r="AH2433" s="199"/>
      <c r="AI2433" s="150">
        <v>0</v>
      </c>
      <c r="AJ2433" s="169">
        <f t="shared" si="2113"/>
        <v>0</v>
      </c>
      <c r="AK2433" s="201">
        <v>0</v>
      </c>
      <c r="AL2433" s="199"/>
      <c r="AM2433" s="150">
        <f t="shared" si="2137"/>
        <v>0</v>
      </c>
      <c r="AN2433" s="153">
        <f t="shared" si="2114"/>
        <v>0</v>
      </c>
      <c r="AO2433" s="154">
        <f t="shared" si="2115"/>
        <v>0</v>
      </c>
      <c r="AP2433" s="150">
        <v>0</v>
      </c>
      <c r="AQ2433" s="201">
        <v>0</v>
      </c>
      <c r="AR2433" s="199"/>
      <c r="AS2433" s="150">
        <f t="shared" si="2138"/>
        <v>0</v>
      </c>
      <c r="AT2433" s="155"/>
      <c r="AU2433" s="156">
        <f t="shared" si="2110"/>
        <v>0</v>
      </c>
      <c r="AV2433" s="156">
        <f t="shared" si="2111"/>
        <v>0</v>
      </c>
      <c r="AW2433" s="157"/>
      <c r="AX2433" s="150">
        <v>0</v>
      </c>
      <c r="AY2433" s="150">
        <v>0</v>
      </c>
      <c r="AZ2433" s="150"/>
      <c r="BA2433" s="150">
        <f t="shared" si="2143"/>
        <v>0</v>
      </c>
      <c r="BB2433" s="210"/>
      <c r="BC2433" s="210"/>
      <c r="BD2433" s="210"/>
      <c r="BE2433" s="210"/>
      <c r="BF2433" s="210"/>
      <c r="BG2433" s="210"/>
      <c r="BH2433" s="217"/>
      <c r="BI2433" s="210"/>
      <c r="BJ2433" s="210"/>
      <c r="BK2433" s="210"/>
      <c r="BL2433" s="210"/>
      <c r="BM2433" s="208"/>
      <c r="BN2433" s="160"/>
      <c r="BO2433" s="161">
        <f t="shared" si="2121"/>
        <v>0</v>
      </c>
      <c r="BP2433" s="161"/>
    </row>
    <row r="2434" spans="1:68" ht="25.5">
      <c r="A2434" s="210"/>
      <c r="B2434" s="195" t="s">
        <v>10819</v>
      </c>
      <c r="C2434" s="196" t="s">
        <v>10820</v>
      </c>
      <c r="D2434" s="146" t="s">
        <v>4692</v>
      </c>
      <c r="E2434" s="377" t="s">
        <v>10820</v>
      </c>
      <c r="F2434" s="150">
        <v>0</v>
      </c>
      <c r="G2434" s="209">
        <v>56958.46</v>
      </c>
      <c r="H2434" s="209">
        <v>0</v>
      </c>
      <c r="I2434" s="209">
        <v>56958.46</v>
      </c>
      <c r="J2434" s="150">
        <v>0</v>
      </c>
      <c r="K2434" s="150">
        <v>0</v>
      </c>
      <c r="L2434" s="150">
        <f t="shared" si="2129"/>
        <v>0</v>
      </c>
      <c r="M2434" s="150">
        <v>0</v>
      </c>
      <c r="N2434" s="150"/>
      <c r="O2434" s="150">
        <v>0</v>
      </c>
      <c r="P2434" s="150">
        <v>0</v>
      </c>
      <c r="Q2434" s="150">
        <v>0</v>
      </c>
      <c r="R2434" s="150">
        <f t="shared" si="2139"/>
        <v>0</v>
      </c>
      <c r="S2434" s="150">
        <f t="shared" si="2144"/>
        <v>0</v>
      </c>
      <c r="T2434" s="150"/>
      <c r="U2434" s="150">
        <v>0</v>
      </c>
      <c r="V2434" s="199"/>
      <c r="W2434" s="150">
        <f t="shared" si="2135"/>
        <v>0</v>
      </c>
      <c r="X2434" s="150">
        <v>0</v>
      </c>
      <c r="Y2434" s="150"/>
      <c r="Z2434" s="150">
        <v>0</v>
      </c>
      <c r="AA2434" s="150">
        <f t="shared" si="2112"/>
        <v>0</v>
      </c>
      <c r="AB2434" s="150">
        <v>0</v>
      </c>
      <c r="AC2434" s="199"/>
      <c r="AD2434" s="150">
        <f t="shared" si="2136"/>
        <v>0</v>
      </c>
      <c r="AE2434" s="150">
        <v>0</v>
      </c>
      <c r="AF2434" s="169" t="s">
        <v>4680</v>
      </c>
      <c r="AG2434" s="201">
        <v>0</v>
      </c>
      <c r="AH2434" s="199"/>
      <c r="AI2434" s="150">
        <v>0</v>
      </c>
      <c r="AJ2434" s="169">
        <f t="shared" si="2113"/>
        <v>0</v>
      </c>
      <c r="AK2434" s="201">
        <v>0</v>
      </c>
      <c r="AL2434" s="199"/>
      <c r="AM2434" s="150">
        <f t="shared" si="2137"/>
        <v>0</v>
      </c>
      <c r="AN2434" s="153">
        <f t="shared" si="2114"/>
        <v>0</v>
      </c>
      <c r="AO2434" s="154">
        <f t="shared" si="2115"/>
        <v>0</v>
      </c>
      <c r="AP2434" s="150">
        <v>0</v>
      </c>
      <c r="AQ2434" s="201">
        <v>0</v>
      </c>
      <c r="AR2434" s="199"/>
      <c r="AS2434" s="150">
        <f t="shared" si="2138"/>
        <v>0</v>
      </c>
      <c r="AT2434" s="155"/>
      <c r="AU2434" s="156">
        <f t="shared" ref="AU2434:AU2497" si="2145">AM2434-AD2434</f>
        <v>0</v>
      </c>
      <c r="AV2434" s="156">
        <f t="shared" ref="AV2434:AV2497" si="2146">AD2434-AX2434</f>
        <v>0</v>
      </c>
      <c r="AW2434" s="157"/>
      <c r="AX2434" s="150">
        <v>0</v>
      </c>
      <c r="AY2434" s="150">
        <v>0</v>
      </c>
      <c r="AZ2434" s="150"/>
      <c r="BA2434" s="150">
        <f t="shared" si="2143"/>
        <v>0</v>
      </c>
      <c r="BB2434" s="210"/>
      <c r="BC2434" s="210"/>
      <c r="BD2434" s="210"/>
      <c r="BE2434" s="210"/>
      <c r="BF2434" s="210"/>
      <c r="BG2434" s="210"/>
      <c r="BH2434" s="217"/>
      <c r="BI2434" s="210"/>
      <c r="BJ2434" s="210"/>
      <c r="BK2434" s="210"/>
      <c r="BL2434" s="210"/>
      <c r="BM2434" s="208"/>
      <c r="BN2434" s="160"/>
      <c r="BO2434" s="161">
        <f t="shared" si="2121"/>
        <v>0</v>
      </c>
      <c r="BP2434" s="161"/>
    </row>
    <row r="2435" spans="1:68">
      <c r="A2435" s="255" t="s">
        <v>10821</v>
      </c>
      <c r="B2435" s="174"/>
      <c r="C2435" s="175" t="s">
        <v>10822</v>
      </c>
      <c r="D2435" s="146" t="s">
        <v>4692</v>
      </c>
      <c r="E2435" s="175" t="s">
        <v>10822</v>
      </c>
      <c r="F2435" s="178">
        <v>1777578.01</v>
      </c>
      <c r="G2435" s="177">
        <v>56958.46</v>
      </c>
      <c r="H2435" s="177"/>
      <c r="I2435" s="177">
        <v>56958.46</v>
      </c>
      <c r="J2435" s="178">
        <f>J2436+J2445+J2447+J2489+J2499</f>
        <v>76012.47</v>
      </c>
      <c r="K2435" s="178">
        <f>K2436+K2445+K2447+K2489+K2499</f>
        <v>57520</v>
      </c>
      <c r="L2435" s="178">
        <f t="shared" si="2129"/>
        <v>133532.47</v>
      </c>
      <c r="M2435" s="178">
        <v>2893014.9049999998</v>
      </c>
      <c r="N2435" s="178">
        <v>0</v>
      </c>
      <c r="O2435" s="178">
        <v>2893014.9049999998</v>
      </c>
      <c r="P2435" s="319">
        <f t="shared" ref="P2435:R2435" si="2147">P2436+P2445+P2447+P2489+P2499</f>
        <v>3770303.9899999998</v>
      </c>
      <c r="Q2435" s="319">
        <f t="shared" si="2147"/>
        <v>-666731.98999999987</v>
      </c>
      <c r="R2435" s="319">
        <f t="shared" si="2147"/>
        <v>3103572</v>
      </c>
      <c r="S2435" s="150">
        <f t="shared" si="2144"/>
        <v>4138096</v>
      </c>
      <c r="T2435" s="213"/>
      <c r="U2435" s="319">
        <f t="shared" ref="U2435:W2435" si="2148">U2436+U2445+U2447+U2489+U2499</f>
        <v>6081504.1799999997</v>
      </c>
      <c r="V2435" s="222">
        <f t="shared" si="2148"/>
        <v>118966.89</v>
      </c>
      <c r="W2435" s="319">
        <f t="shared" si="2148"/>
        <v>6200471.0699999994</v>
      </c>
      <c r="X2435" s="319">
        <v>6081504.1799999997</v>
      </c>
      <c r="Y2435" s="319">
        <v>118966.89</v>
      </c>
      <c r="Z2435" s="319">
        <v>6200471.0699999994</v>
      </c>
      <c r="AA2435" s="319">
        <f t="shared" ref="AA2435:AA2498" si="2149">AD2435-Z2435</f>
        <v>-1774403.0799999991</v>
      </c>
      <c r="AB2435" s="319">
        <v>6116644</v>
      </c>
      <c r="AC2435" s="222">
        <v>-1690576.01</v>
      </c>
      <c r="AD2435" s="319">
        <f t="shared" ref="AD2435" si="2150">AD2436+AD2445+AD2447+AD2489+AD2499</f>
        <v>4426067.99</v>
      </c>
      <c r="AE2435" s="319">
        <v>4428807.26</v>
      </c>
      <c r="AF2435" s="169" t="s">
        <v>4680</v>
      </c>
      <c r="AG2435" s="320">
        <v>6119383.2699999996</v>
      </c>
      <c r="AH2435" s="222">
        <v>-2057989.45</v>
      </c>
      <c r="AI2435" s="319">
        <v>4061393.8200000008</v>
      </c>
      <c r="AJ2435" s="169">
        <f t="shared" ref="AJ2435:AJ2498" si="2151">AM2435-AI2435</f>
        <v>-174358.62999999989</v>
      </c>
      <c r="AK2435" s="320">
        <v>5945024.6400000006</v>
      </c>
      <c r="AL2435" s="222">
        <v>-2057989.45</v>
      </c>
      <c r="AM2435" s="319">
        <f t="shared" ref="AM2435" si="2152">AM2436+AM2445+AM2447+AM2489+AM2499</f>
        <v>3887035.1900000009</v>
      </c>
      <c r="AN2435" s="153">
        <f t="shared" ref="AN2435:AN2498" si="2153">AS2435-AM2435</f>
        <v>-576372.85000000102</v>
      </c>
      <c r="AO2435" s="154">
        <f t="shared" ref="AO2435:AO2498" si="2154">AS2435-AP2435</f>
        <v>-579972.85000000102</v>
      </c>
      <c r="AP2435" s="319">
        <v>3890635.1900000009</v>
      </c>
      <c r="AQ2435" s="320">
        <v>3310662.34</v>
      </c>
      <c r="AR2435" s="222">
        <f t="shared" ref="AR2435:AS2435" si="2155">AR2436+AR2445+AR2447+AR2489+AR2499</f>
        <v>0</v>
      </c>
      <c r="AS2435" s="319">
        <f t="shared" si="2155"/>
        <v>3310662.34</v>
      </c>
      <c r="AT2435" s="155"/>
      <c r="AU2435" s="156">
        <f t="shared" si="2145"/>
        <v>-539032.79999999935</v>
      </c>
      <c r="AV2435" s="156">
        <f t="shared" si="2146"/>
        <v>-1774403.0799999991</v>
      </c>
      <c r="AW2435" s="157"/>
      <c r="AX2435" s="150">
        <v>6200471.0699999994</v>
      </c>
      <c r="AY2435" s="319">
        <f t="shared" ref="AY2435:BA2435" si="2156">AY2436+AY2445+AY2447+AY2489+AY2499</f>
        <v>3190744.085</v>
      </c>
      <c r="AZ2435" s="319">
        <f t="shared" si="2156"/>
        <v>-618355.96499999997</v>
      </c>
      <c r="BA2435" s="319">
        <f t="shared" si="2156"/>
        <v>2572388.12</v>
      </c>
      <c r="BB2435" s="254">
        <v>8</v>
      </c>
      <c r="BC2435" s="255" t="s">
        <v>647</v>
      </c>
      <c r="BD2435" s="255" t="s">
        <v>647</v>
      </c>
      <c r="BE2435" s="173" t="s">
        <v>630</v>
      </c>
      <c r="BF2435" s="255" t="s">
        <v>630</v>
      </c>
      <c r="BG2435" s="175" t="s">
        <v>10822</v>
      </c>
      <c r="BH2435" s="224">
        <f>BH2436+BH2445+BH2447+BH2489+BH2499</f>
        <v>3310662.34</v>
      </c>
      <c r="BI2435" s="254"/>
      <c r="BJ2435" s="255" t="s">
        <v>10823</v>
      </c>
      <c r="BK2435" s="255" t="s">
        <v>10821</v>
      </c>
      <c r="BL2435" s="175" t="s">
        <v>10824</v>
      </c>
      <c r="BM2435" s="224">
        <f>BM2436+BM2445+BM2447+BM2489+BM2499</f>
        <v>3310662.34</v>
      </c>
      <c r="BN2435" s="160"/>
      <c r="BO2435" s="161">
        <f t="shared" si="2121"/>
        <v>0</v>
      </c>
      <c r="BP2435" s="161"/>
    </row>
    <row r="2436" spans="1:68" ht="25.5">
      <c r="A2436" s="256" t="s">
        <v>10825</v>
      </c>
      <c r="B2436" s="184"/>
      <c r="C2436" s="185" t="s">
        <v>10826</v>
      </c>
      <c r="D2436" s="146" t="s">
        <v>4692</v>
      </c>
      <c r="E2436" s="185" t="s">
        <v>10826</v>
      </c>
      <c r="F2436" s="188">
        <v>56958.46</v>
      </c>
      <c r="G2436" s="187">
        <v>0</v>
      </c>
      <c r="H2436" s="187"/>
      <c r="I2436" s="187">
        <v>0</v>
      </c>
      <c r="J2436" s="188">
        <f>SUM(J2437:J2444)</f>
        <v>0</v>
      </c>
      <c r="K2436" s="188">
        <f>SUM(K2437:K2444)</f>
        <v>0</v>
      </c>
      <c r="L2436" s="188">
        <f t="shared" si="2129"/>
        <v>0</v>
      </c>
      <c r="M2436" s="188">
        <v>0</v>
      </c>
      <c r="N2436" s="188">
        <v>0</v>
      </c>
      <c r="O2436" s="188">
        <v>0</v>
      </c>
      <c r="P2436" s="299">
        <f t="shared" ref="P2436:R2436" si="2157">SUM(P2437:P2444)</f>
        <v>0</v>
      </c>
      <c r="Q2436" s="299">
        <f t="shared" si="2157"/>
        <v>0</v>
      </c>
      <c r="R2436" s="299">
        <f t="shared" si="2157"/>
        <v>0</v>
      </c>
      <c r="S2436" s="150">
        <f t="shared" si="2144"/>
        <v>0</v>
      </c>
      <c r="T2436" s="213"/>
      <c r="U2436" s="299">
        <f>SUM(U2437:U2444)</f>
        <v>10371</v>
      </c>
      <c r="V2436" s="226">
        <f t="shared" ref="V2436:W2436" si="2158">SUM(V2437:V2444)</f>
        <v>0</v>
      </c>
      <c r="W2436" s="299">
        <f t="shared" si="2158"/>
        <v>10371</v>
      </c>
      <c r="X2436" s="299">
        <v>10371</v>
      </c>
      <c r="Y2436" s="299">
        <v>0</v>
      </c>
      <c r="Z2436" s="299">
        <v>10371</v>
      </c>
      <c r="AA2436" s="299">
        <f t="shared" si="2149"/>
        <v>0</v>
      </c>
      <c r="AB2436" s="299">
        <v>1700947.01</v>
      </c>
      <c r="AC2436" s="226">
        <v>-1690576.01</v>
      </c>
      <c r="AD2436" s="299">
        <f t="shared" ref="AD2436" si="2159">SUM(AD2437:AD2444)</f>
        <v>10371</v>
      </c>
      <c r="AE2436" s="299">
        <v>10371</v>
      </c>
      <c r="AF2436" s="169" t="s">
        <v>4680</v>
      </c>
      <c r="AG2436" s="301">
        <v>1700947.01</v>
      </c>
      <c r="AH2436" s="226">
        <v>-1690576.01</v>
      </c>
      <c r="AI2436" s="299">
        <v>10371</v>
      </c>
      <c r="AJ2436" s="169">
        <f t="shared" si="2151"/>
        <v>0</v>
      </c>
      <c r="AK2436" s="301">
        <v>1700947.01</v>
      </c>
      <c r="AL2436" s="226">
        <v>-1690576.01</v>
      </c>
      <c r="AM2436" s="299">
        <f t="shared" ref="AM2436" si="2160">SUM(AM2437:AM2444)</f>
        <v>10371</v>
      </c>
      <c r="AN2436" s="153">
        <f t="shared" si="2153"/>
        <v>0</v>
      </c>
      <c r="AO2436" s="154">
        <f t="shared" si="2154"/>
        <v>0</v>
      </c>
      <c r="AP2436" s="299">
        <v>10371</v>
      </c>
      <c r="AQ2436" s="301">
        <v>10371</v>
      </c>
      <c r="AR2436" s="226">
        <f t="shared" ref="AR2436:AS2436" si="2161">SUM(AR2437:AR2444)</f>
        <v>0</v>
      </c>
      <c r="AS2436" s="299">
        <f t="shared" si="2161"/>
        <v>10371</v>
      </c>
      <c r="AT2436" s="155"/>
      <c r="AU2436" s="156">
        <f t="shared" si="2145"/>
        <v>0</v>
      </c>
      <c r="AV2436" s="156">
        <f t="shared" si="2146"/>
        <v>0</v>
      </c>
      <c r="AW2436" s="157"/>
      <c r="AX2436" s="150">
        <v>10371</v>
      </c>
      <c r="AY2436" s="299">
        <f t="shared" ref="AY2436:BA2436" si="2162">SUM(AY2437:AY2444)</f>
        <v>0</v>
      </c>
      <c r="AZ2436" s="299">
        <f t="shared" si="2162"/>
        <v>0</v>
      </c>
      <c r="BA2436" s="299">
        <f t="shared" si="2162"/>
        <v>0</v>
      </c>
      <c r="BB2436" s="192">
        <v>8</v>
      </c>
      <c r="BC2436" s="256" t="s">
        <v>647</v>
      </c>
      <c r="BD2436" s="256" t="s">
        <v>647</v>
      </c>
      <c r="BE2436" s="183" t="s">
        <v>632</v>
      </c>
      <c r="BF2436" s="256" t="s">
        <v>630</v>
      </c>
      <c r="BG2436" s="185" t="s">
        <v>10826</v>
      </c>
      <c r="BH2436" s="215">
        <f>BH2437</f>
        <v>10371</v>
      </c>
      <c r="BI2436" s="192"/>
      <c r="BJ2436" s="256" t="s">
        <v>10827</v>
      </c>
      <c r="BK2436" s="256" t="s">
        <v>10825</v>
      </c>
      <c r="BL2436" s="238" t="s">
        <v>10828</v>
      </c>
      <c r="BM2436" s="215">
        <f>BM2437</f>
        <v>10371</v>
      </c>
      <c r="BN2436" s="160"/>
      <c r="BO2436" s="161">
        <f t="shared" ref="BO2436:BO2499" si="2163">BM2436-AS2436</f>
        <v>0</v>
      </c>
      <c r="BP2436" s="161"/>
    </row>
    <row r="2437" spans="1:68" ht="36">
      <c r="A2437" s="206" t="s">
        <v>10825</v>
      </c>
      <c r="B2437" s="195" t="s">
        <v>10829</v>
      </c>
      <c r="C2437" s="196" t="s">
        <v>10830</v>
      </c>
      <c r="D2437" s="146" t="s">
        <v>4692</v>
      </c>
      <c r="E2437" s="377" t="s">
        <v>10830</v>
      </c>
      <c r="F2437" s="150">
        <v>56958.46</v>
      </c>
      <c r="G2437" s="209">
        <v>0</v>
      </c>
      <c r="H2437" s="209"/>
      <c r="I2437" s="209">
        <v>0</v>
      </c>
      <c r="J2437" s="150">
        <v>0</v>
      </c>
      <c r="K2437" s="150">
        <v>0</v>
      </c>
      <c r="L2437" s="150">
        <f t="shared" si="2129"/>
        <v>0</v>
      </c>
      <c r="M2437" s="150">
        <v>0</v>
      </c>
      <c r="N2437" s="150"/>
      <c r="O2437" s="150">
        <v>0</v>
      </c>
      <c r="P2437" s="150">
        <v>0</v>
      </c>
      <c r="Q2437" s="150">
        <v>0</v>
      </c>
      <c r="R2437" s="150">
        <f t="shared" ref="R2437:R2444" si="2164">P2437+Q2437</f>
        <v>0</v>
      </c>
      <c r="S2437" s="150">
        <f t="shared" si="2144"/>
        <v>0</v>
      </c>
      <c r="T2437" s="150"/>
      <c r="U2437" s="309">
        <v>10371</v>
      </c>
      <c r="V2437" s="346"/>
      <c r="W2437" s="150">
        <f t="shared" ref="W2437:W2444" si="2165">U2437+V2437</f>
        <v>10371</v>
      </c>
      <c r="X2437" s="150">
        <v>10371</v>
      </c>
      <c r="Y2437" s="150"/>
      <c r="Z2437" s="150">
        <v>10371</v>
      </c>
      <c r="AA2437" s="150">
        <f t="shared" si="2149"/>
        <v>0</v>
      </c>
      <c r="AB2437" s="150">
        <v>1700947.01</v>
      </c>
      <c r="AC2437" s="346">
        <v>-1690576.01</v>
      </c>
      <c r="AD2437" s="150">
        <f t="shared" ref="AD2437:AD2444" si="2166">AB2437+AC2437</f>
        <v>10371</v>
      </c>
      <c r="AE2437" s="150">
        <v>10371</v>
      </c>
      <c r="AF2437" s="169" t="s">
        <v>4680</v>
      </c>
      <c r="AG2437" s="201">
        <v>1700947.01</v>
      </c>
      <c r="AH2437" s="346">
        <v>-1690576.01</v>
      </c>
      <c r="AI2437" s="150">
        <v>10371</v>
      </c>
      <c r="AJ2437" s="169">
        <f t="shared" si="2151"/>
        <v>0</v>
      </c>
      <c r="AK2437" s="201">
        <v>1700947.01</v>
      </c>
      <c r="AL2437" s="346">
        <v>-1690576.01</v>
      </c>
      <c r="AM2437" s="150">
        <f t="shared" ref="AM2437:AM2444" si="2167">AK2437+AL2437</f>
        <v>10371</v>
      </c>
      <c r="AN2437" s="153">
        <f t="shared" si="2153"/>
        <v>0</v>
      </c>
      <c r="AO2437" s="154">
        <f t="shared" si="2154"/>
        <v>0</v>
      </c>
      <c r="AP2437" s="150">
        <v>10371</v>
      </c>
      <c r="AQ2437" s="201">
        <v>10371</v>
      </c>
      <c r="AR2437" s="199"/>
      <c r="AS2437" s="150">
        <f t="shared" ref="AS2437:AS2444" si="2168">AQ2437+AR2437</f>
        <v>10371</v>
      </c>
      <c r="AT2437" s="155" t="s">
        <v>10831</v>
      </c>
      <c r="AU2437" s="156">
        <f t="shared" si="2145"/>
        <v>0</v>
      </c>
      <c r="AV2437" s="156">
        <f t="shared" si="2146"/>
        <v>0</v>
      </c>
      <c r="AW2437" s="157"/>
      <c r="AX2437" s="150">
        <v>10371</v>
      </c>
      <c r="AY2437" s="150">
        <v>0</v>
      </c>
      <c r="AZ2437" s="150"/>
      <c r="BA2437" s="150">
        <f t="shared" si="2143"/>
        <v>0</v>
      </c>
      <c r="BB2437" s="202">
        <v>8</v>
      </c>
      <c r="BC2437" s="202" t="s">
        <v>647</v>
      </c>
      <c r="BD2437" s="202" t="s">
        <v>647</v>
      </c>
      <c r="BE2437" s="202" t="s">
        <v>632</v>
      </c>
      <c r="BF2437" s="202" t="s">
        <v>632</v>
      </c>
      <c r="BG2437" s="203" t="s">
        <v>10826</v>
      </c>
      <c r="BH2437" s="216">
        <f>SUM(AS2437:AS2444)</f>
        <v>10371</v>
      </c>
      <c r="BI2437" s="205"/>
      <c r="BJ2437" s="206" t="s">
        <v>10827</v>
      </c>
      <c r="BK2437" s="206" t="s">
        <v>10825</v>
      </c>
      <c r="BL2437" s="207" t="s">
        <v>10828</v>
      </c>
      <c r="BM2437" s="208">
        <f>BH2437</f>
        <v>10371</v>
      </c>
      <c r="BN2437" s="160"/>
      <c r="BO2437" s="161">
        <f t="shared" si="2163"/>
        <v>0</v>
      </c>
      <c r="BP2437" s="161"/>
    </row>
    <row r="2438" spans="1:68" ht="51.75" customHeight="1">
      <c r="A2438" s="210"/>
      <c r="B2438" s="195" t="s">
        <v>10832</v>
      </c>
      <c r="C2438" s="196" t="s">
        <v>10833</v>
      </c>
      <c r="D2438" s="146" t="s">
        <v>4692</v>
      </c>
      <c r="E2438" s="377" t="s">
        <v>10833</v>
      </c>
      <c r="F2438" s="150">
        <v>0</v>
      </c>
      <c r="G2438" s="209">
        <v>0</v>
      </c>
      <c r="H2438" s="209"/>
      <c r="I2438" s="209">
        <v>0</v>
      </c>
      <c r="J2438" s="150">
        <v>0</v>
      </c>
      <c r="K2438" s="150">
        <v>0</v>
      </c>
      <c r="L2438" s="150">
        <f t="shared" si="2129"/>
        <v>0</v>
      </c>
      <c r="M2438" s="150">
        <v>0</v>
      </c>
      <c r="N2438" s="150"/>
      <c r="O2438" s="150">
        <v>0</v>
      </c>
      <c r="P2438" s="150">
        <v>0</v>
      </c>
      <c r="Q2438" s="150">
        <v>0</v>
      </c>
      <c r="R2438" s="150">
        <f t="shared" si="2164"/>
        <v>0</v>
      </c>
      <c r="S2438" s="150">
        <f t="shared" si="2144"/>
        <v>0</v>
      </c>
      <c r="T2438" s="150"/>
      <c r="U2438" s="150">
        <v>0</v>
      </c>
      <c r="V2438" s="199"/>
      <c r="W2438" s="150">
        <f t="shared" si="2165"/>
        <v>0</v>
      </c>
      <c r="X2438" s="150">
        <v>0</v>
      </c>
      <c r="Y2438" s="150"/>
      <c r="Z2438" s="150">
        <v>0</v>
      </c>
      <c r="AA2438" s="150">
        <f t="shared" si="2149"/>
        <v>0</v>
      </c>
      <c r="AB2438" s="150">
        <v>0</v>
      </c>
      <c r="AC2438" s="199"/>
      <c r="AD2438" s="150">
        <f t="shared" si="2166"/>
        <v>0</v>
      </c>
      <c r="AE2438" s="150">
        <v>0</v>
      </c>
      <c r="AF2438" s="169" t="s">
        <v>4680</v>
      </c>
      <c r="AG2438" s="201">
        <v>0</v>
      </c>
      <c r="AH2438" s="199"/>
      <c r="AI2438" s="150">
        <v>0</v>
      </c>
      <c r="AJ2438" s="169">
        <f t="shared" si="2151"/>
        <v>0</v>
      </c>
      <c r="AK2438" s="201">
        <v>0</v>
      </c>
      <c r="AL2438" s="199"/>
      <c r="AM2438" s="150">
        <f t="shared" si="2167"/>
        <v>0</v>
      </c>
      <c r="AN2438" s="153">
        <f t="shared" si="2153"/>
        <v>0</v>
      </c>
      <c r="AO2438" s="154">
        <f t="shared" si="2154"/>
        <v>0</v>
      </c>
      <c r="AP2438" s="150">
        <v>0</v>
      </c>
      <c r="AQ2438" s="201">
        <v>0</v>
      </c>
      <c r="AR2438" s="199"/>
      <c r="AS2438" s="150">
        <f t="shared" si="2168"/>
        <v>0</v>
      </c>
      <c r="AT2438" s="155"/>
      <c r="AU2438" s="156">
        <f t="shared" si="2145"/>
        <v>0</v>
      </c>
      <c r="AV2438" s="156">
        <f t="shared" si="2146"/>
        <v>0</v>
      </c>
      <c r="AW2438" s="157"/>
      <c r="AX2438" s="150">
        <v>0</v>
      </c>
      <c r="AY2438" s="150">
        <v>0</v>
      </c>
      <c r="AZ2438" s="150"/>
      <c r="BA2438" s="150">
        <f t="shared" si="2143"/>
        <v>0</v>
      </c>
      <c r="BB2438" s="210"/>
      <c r="BC2438" s="210"/>
      <c r="BD2438" s="210"/>
      <c r="BE2438" s="210"/>
      <c r="BF2438" s="210"/>
      <c r="BG2438" s="210"/>
      <c r="BH2438" s="217"/>
      <c r="BI2438" s="210"/>
      <c r="BJ2438" s="210"/>
      <c r="BK2438" s="210"/>
      <c r="BL2438" s="210"/>
      <c r="BM2438" s="208"/>
      <c r="BN2438" s="160"/>
      <c r="BO2438" s="161">
        <f t="shared" si="2163"/>
        <v>0</v>
      </c>
      <c r="BP2438" s="161"/>
    </row>
    <row r="2439" spans="1:68" ht="25.5">
      <c r="A2439" s="210"/>
      <c r="B2439" s="195" t="s">
        <v>10834</v>
      </c>
      <c r="C2439" s="196" t="s">
        <v>10835</v>
      </c>
      <c r="D2439" s="146" t="s">
        <v>4692</v>
      </c>
      <c r="E2439" s="377" t="s">
        <v>10835</v>
      </c>
      <c r="F2439" s="150">
        <v>0</v>
      </c>
      <c r="G2439" s="209">
        <v>0</v>
      </c>
      <c r="H2439" s="209"/>
      <c r="I2439" s="209">
        <v>0</v>
      </c>
      <c r="J2439" s="150">
        <v>0</v>
      </c>
      <c r="K2439" s="150">
        <v>0</v>
      </c>
      <c r="L2439" s="150">
        <f t="shared" si="2129"/>
        <v>0</v>
      </c>
      <c r="M2439" s="150">
        <v>0</v>
      </c>
      <c r="N2439" s="150"/>
      <c r="O2439" s="150">
        <v>0</v>
      </c>
      <c r="P2439" s="150">
        <v>0</v>
      </c>
      <c r="Q2439" s="150">
        <v>0</v>
      </c>
      <c r="R2439" s="150">
        <f t="shared" si="2164"/>
        <v>0</v>
      </c>
      <c r="S2439" s="150">
        <f t="shared" si="2144"/>
        <v>0</v>
      </c>
      <c r="T2439" s="150"/>
      <c r="U2439" s="150">
        <v>0</v>
      </c>
      <c r="V2439" s="199"/>
      <c r="W2439" s="150">
        <f t="shared" si="2165"/>
        <v>0</v>
      </c>
      <c r="X2439" s="150">
        <v>0</v>
      </c>
      <c r="Y2439" s="150"/>
      <c r="Z2439" s="150">
        <v>0</v>
      </c>
      <c r="AA2439" s="150">
        <f t="shared" si="2149"/>
        <v>0</v>
      </c>
      <c r="AB2439" s="150">
        <v>0</v>
      </c>
      <c r="AC2439" s="199"/>
      <c r="AD2439" s="150">
        <f t="shared" si="2166"/>
        <v>0</v>
      </c>
      <c r="AE2439" s="150">
        <v>0</v>
      </c>
      <c r="AF2439" s="169" t="s">
        <v>4680</v>
      </c>
      <c r="AG2439" s="201">
        <v>0</v>
      </c>
      <c r="AH2439" s="199"/>
      <c r="AI2439" s="150">
        <v>0</v>
      </c>
      <c r="AJ2439" s="169">
        <f t="shared" si="2151"/>
        <v>0</v>
      </c>
      <c r="AK2439" s="201">
        <v>0</v>
      </c>
      <c r="AL2439" s="199"/>
      <c r="AM2439" s="150">
        <f t="shared" si="2167"/>
        <v>0</v>
      </c>
      <c r="AN2439" s="153">
        <f t="shared" si="2153"/>
        <v>0</v>
      </c>
      <c r="AO2439" s="154">
        <f t="shared" si="2154"/>
        <v>0</v>
      </c>
      <c r="AP2439" s="150">
        <v>0</v>
      </c>
      <c r="AQ2439" s="201">
        <v>0</v>
      </c>
      <c r="AR2439" s="199"/>
      <c r="AS2439" s="150">
        <f t="shared" si="2168"/>
        <v>0</v>
      </c>
      <c r="AT2439" s="155"/>
      <c r="AU2439" s="156">
        <f t="shared" si="2145"/>
        <v>0</v>
      </c>
      <c r="AV2439" s="156">
        <f t="shared" si="2146"/>
        <v>0</v>
      </c>
      <c r="AW2439" s="157"/>
      <c r="AX2439" s="150">
        <v>0</v>
      </c>
      <c r="AY2439" s="150">
        <v>0</v>
      </c>
      <c r="AZ2439" s="150"/>
      <c r="BA2439" s="150">
        <f t="shared" si="2143"/>
        <v>0</v>
      </c>
      <c r="BB2439" s="210"/>
      <c r="BC2439" s="210"/>
      <c r="BD2439" s="210"/>
      <c r="BE2439" s="210"/>
      <c r="BF2439" s="210"/>
      <c r="BG2439" s="210"/>
      <c r="BH2439" s="217"/>
      <c r="BI2439" s="210"/>
      <c r="BJ2439" s="210"/>
      <c r="BK2439" s="210"/>
      <c r="BL2439" s="210"/>
      <c r="BM2439" s="208"/>
      <c r="BN2439" s="160"/>
      <c r="BO2439" s="161">
        <f t="shared" si="2163"/>
        <v>0</v>
      </c>
      <c r="BP2439" s="161"/>
    </row>
    <row r="2440" spans="1:68" ht="45" customHeight="1">
      <c r="A2440" s="210"/>
      <c r="B2440" s="195" t="s">
        <v>10836</v>
      </c>
      <c r="C2440" s="196" t="s">
        <v>10837</v>
      </c>
      <c r="D2440" s="146" t="s">
        <v>4692</v>
      </c>
      <c r="E2440" s="377" t="s">
        <v>10837</v>
      </c>
      <c r="F2440" s="150">
        <v>0</v>
      </c>
      <c r="G2440" s="209">
        <v>0</v>
      </c>
      <c r="H2440" s="209"/>
      <c r="I2440" s="209">
        <v>0</v>
      </c>
      <c r="J2440" s="150">
        <v>0</v>
      </c>
      <c r="K2440" s="150">
        <v>0</v>
      </c>
      <c r="L2440" s="150">
        <f t="shared" si="2129"/>
        <v>0</v>
      </c>
      <c r="M2440" s="150">
        <v>0</v>
      </c>
      <c r="N2440" s="150"/>
      <c r="O2440" s="150">
        <v>0</v>
      </c>
      <c r="P2440" s="150">
        <v>0</v>
      </c>
      <c r="Q2440" s="150">
        <v>0</v>
      </c>
      <c r="R2440" s="150">
        <f t="shared" si="2164"/>
        <v>0</v>
      </c>
      <c r="S2440" s="150">
        <f t="shared" si="2144"/>
        <v>0</v>
      </c>
      <c r="T2440" s="150"/>
      <c r="U2440" s="150">
        <v>0</v>
      </c>
      <c r="V2440" s="199"/>
      <c r="W2440" s="150">
        <f t="shared" si="2165"/>
        <v>0</v>
      </c>
      <c r="X2440" s="150">
        <v>0</v>
      </c>
      <c r="Y2440" s="150"/>
      <c r="Z2440" s="150">
        <v>0</v>
      </c>
      <c r="AA2440" s="150">
        <f t="shared" si="2149"/>
        <v>0</v>
      </c>
      <c r="AB2440" s="150">
        <v>0</v>
      </c>
      <c r="AC2440" s="199"/>
      <c r="AD2440" s="150">
        <f t="shared" si="2166"/>
        <v>0</v>
      </c>
      <c r="AE2440" s="150">
        <v>0</v>
      </c>
      <c r="AF2440" s="169" t="s">
        <v>4680</v>
      </c>
      <c r="AG2440" s="201">
        <v>0</v>
      </c>
      <c r="AH2440" s="199"/>
      <c r="AI2440" s="150">
        <v>0</v>
      </c>
      <c r="AJ2440" s="169">
        <f t="shared" si="2151"/>
        <v>0</v>
      </c>
      <c r="AK2440" s="201">
        <v>0</v>
      </c>
      <c r="AL2440" s="199"/>
      <c r="AM2440" s="150">
        <f t="shared" si="2167"/>
        <v>0</v>
      </c>
      <c r="AN2440" s="153">
        <f t="shared" si="2153"/>
        <v>0</v>
      </c>
      <c r="AO2440" s="154">
        <f t="shared" si="2154"/>
        <v>0</v>
      </c>
      <c r="AP2440" s="150">
        <v>0</v>
      </c>
      <c r="AQ2440" s="201">
        <v>0</v>
      </c>
      <c r="AR2440" s="199"/>
      <c r="AS2440" s="150">
        <f t="shared" si="2168"/>
        <v>0</v>
      </c>
      <c r="AT2440" s="155"/>
      <c r="AU2440" s="156">
        <f t="shared" si="2145"/>
        <v>0</v>
      </c>
      <c r="AV2440" s="156">
        <f t="shared" si="2146"/>
        <v>0</v>
      </c>
      <c r="AW2440" s="157"/>
      <c r="AX2440" s="150">
        <v>0</v>
      </c>
      <c r="AY2440" s="150">
        <v>0</v>
      </c>
      <c r="AZ2440" s="150"/>
      <c r="BA2440" s="150">
        <f t="shared" si="2143"/>
        <v>0</v>
      </c>
      <c r="BB2440" s="210"/>
      <c r="BC2440" s="210"/>
      <c r="BD2440" s="210"/>
      <c r="BE2440" s="210"/>
      <c r="BF2440" s="210"/>
      <c r="BG2440" s="210"/>
      <c r="BH2440" s="217"/>
      <c r="BI2440" s="210"/>
      <c r="BJ2440" s="210"/>
      <c r="BK2440" s="210"/>
      <c r="BL2440" s="210"/>
      <c r="BM2440" s="208"/>
      <c r="BN2440" s="160"/>
      <c r="BO2440" s="161">
        <f t="shared" si="2163"/>
        <v>0</v>
      </c>
      <c r="BP2440" s="161"/>
    </row>
    <row r="2441" spans="1:68" ht="42.75" customHeight="1">
      <c r="A2441" s="210"/>
      <c r="B2441" s="195" t="s">
        <v>10838</v>
      </c>
      <c r="C2441" s="196" t="s">
        <v>10839</v>
      </c>
      <c r="D2441" s="146" t="s">
        <v>4692</v>
      </c>
      <c r="E2441" s="377" t="s">
        <v>10839</v>
      </c>
      <c r="F2441" s="150">
        <v>0</v>
      </c>
      <c r="G2441" s="209">
        <v>0</v>
      </c>
      <c r="H2441" s="209"/>
      <c r="I2441" s="209">
        <v>0</v>
      </c>
      <c r="J2441" s="150">
        <v>0</v>
      </c>
      <c r="K2441" s="150">
        <v>0</v>
      </c>
      <c r="L2441" s="150">
        <f t="shared" si="2129"/>
        <v>0</v>
      </c>
      <c r="M2441" s="150">
        <v>0</v>
      </c>
      <c r="N2441" s="150"/>
      <c r="O2441" s="150">
        <v>0</v>
      </c>
      <c r="P2441" s="150">
        <v>0</v>
      </c>
      <c r="Q2441" s="150">
        <v>0</v>
      </c>
      <c r="R2441" s="150">
        <f t="shared" si="2164"/>
        <v>0</v>
      </c>
      <c r="S2441" s="150">
        <f t="shared" si="2144"/>
        <v>0</v>
      </c>
      <c r="T2441" s="150"/>
      <c r="U2441" s="150">
        <v>0</v>
      </c>
      <c r="V2441" s="199"/>
      <c r="W2441" s="150">
        <f t="shared" si="2165"/>
        <v>0</v>
      </c>
      <c r="X2441" s="150">
        <v>0</v>
      </c>
      <c r="Y2441" s="150"/>
      <c r="Z2441" s="150">
        <v>0</v>
      </c>
      <c r="AA2441" s="150">
        <f t="shared" si="2149"/>
        <v>0</v>
      </c>
      <c r="AB2441" s="150">
        <v>0</v>
      </c>
      <c r="AC2441" s="199"/>
      <c r="AD2441" s="150">
        <f t="shared" si="2166"/>
        <v>0</v>
      </c>
      <c r="AE2441" s="150">
        <v>0</v>
      </c>
      <c r="AF2441" s="169" t="s">
        <v>4680</v>
      </c>
      <c r="AG2441" s="201">
        <v>0</v>
      </c>
      <c r="AH2441" s="199"/>
      <c r="AI2441" s="150">
        <v>0</v>
      </c>
      <c r="AJ2441" s="169">
        <f t="shared" si="2151"/>
        <v>0</v>
      </c>
      <c r="AK2441" s="201">
        <v>0</v>
      </c>
      <c r="AL2441" s="199"/>
      <c r="AM2441" s="150">
        <f t="shared" si="2167"/>
        <v>0</v>
      </c>
      <c r="AN2441" s="153">
        <f t="shared" si="2153"/>
        <v>0</v>
      </c>
      <c r="AO2441" s="154">
        <f t="shared" si="2154"/>
        <v>0</v>
      </c>
      <c r="AP2441" s="150">
        <v>0</v>
      </c>
      <c r="AQ2441" s="201">
        <v>0</v>
      </c>
      <c r="AR2441" s="199"/>
      <c r="AS2441" s="150">
        <f t="shared" si="2168"/>
        <v>0</v>
      </c>
      <c r="AT2441" s="155"/>
      <c r="AU2441" s="156">
        <f t="shared" si="2145"/>
        <v>0</v>
      </c>
      <c r="AV2441" s="156">
        <f t="shared" si="2146"/>
        <v>0</v>
      </c>
      <c r="AW2441" s="157"/>
      <c r="AX2441" s="150">
        <v>0</v>
      </c>
      <c r="AY2441" s="150">
        <v>0</v>
      </c>
      <c r="AZ2441" s="150"/>
      <c r="BA2441" s="150">
        <f t="shared" si="2143"/>
        <v>0</v>
      </c>
      <c r="BB2441" s="210"/>
      <c r="BC2441" s="210"/>
      <c r="BD2441" s="210"/>
      <c r="BE2441" s="210"/>
      <c r="BF2441" s="210"/>
      <c r="BG2441" s="210"/>
      <c r="BH2441" s="217"/>
      <c r="BI2441" s="210"/>
      <c r="BJ2441" s="210"/>
      <c r="BK2441" s="210"/>
      <c r="BL2441" s="210"/>
      <c r="BM2441" s="208"/>
      <c r="BN2441" s="160"/>
      <c r="BO2441" s="161">
        <f t="shared" si="2163"/>
        <v>0</v>
      </c>
      <c r="BP2441" s="161"/>
    </row>
    <row r="2442" spans="1:68" ht="33.75" customHeight="1">
      <c r="A2442" s="210"/>
      <c r="B2442" s="195" t="s">
        <v>10840</v>
      </c>
      <c r="C2442" s="196" t="s">
        <v>10841</v>
      </c>
      <c r="D2442" s="146" t="s">
        <v>4692</v>
      </c>
      <c r="E2442" s="377" t="s">
        <v>10841</v>
      </c>
      <c r="F2442" s="150">
        <v>0</v>
      </c>
      <c r="G2442" s="209">
        <v>0</v>
      </c>
      <c r="H2442" s="209"/>
      <c r="I2442" s="209">
        <v>0</v>
      </c>
      <c r="J2442" s="150">
        <v>0</v>
      </c>
      <c r="K2442" s="150">
        <v>0</v>
      </c>
      <c r="L2442" s="150">
        <f t="shared" si="2129"/>
        <v>0</v>
      </c>
      <c r="M2442" s="150">
        <v>0</v>
      </c>
      <c r="N2442" s="150"/>
      <c r="O2442" s="150">
        <v>0</v>
      </c>
      <c r="P2442" s="150">
        <v>0</v>
      </c>
      <c r="Q2442" s="150">
        <v>0</v>
      </c>
      <c r="R2442" s="150">
        <f t="shared" si="2164"/>
        <v>0</v>
      </c>
      <c r="S2442" s="150">
        <f t="shared" si="2144"/>
        <v>0</v>
      </c>
      <c r="T2442" s="150"/>
      <c r="U2442" s="150">
        <v>0</v>
      </c>
      <c r="V2442" s="199"/>
      <c r="W2442" s="150">
        <f t="shared" si="2165"/>
        <v>0</v>
      </c>
      <c r="X2442" s="150">
        <v>0</v>
      </c>
      <c r="Y2442" s="150"/>
      <c r="Z2442" s="150">
        <v>0</v>
      </c>
      <c r="AA2442" s="150">
        <f t="shared" si="2149"/>
        <v>0</v>
      </c>
      <c r="AB2442" s="150">
        <v>0</v>
      </c>
      <c r="AC2442" s="199"/>
      <c r="AD2442" s="150">
        <f t="shared" si="2166"/>
        <v>0</v>
      </c>
      <c r="AE2442" s="150">
        <v>0</v>
      </c>
      <c r="AF2442" s="169" t="s">
        <v>4680</v>
      </c>
      <c r="AG2442" s="201">
        <v>0</v>
      </c>
      <c r="AH2442" s="199"/>
      <c r="AI2442" s="150">
        <v>0</v>
      </c>
      <c r="AJ2442" s="169">
        <f t="shared" si="2151"/>
        <v>0</v>
      </c>
      <c r="AK2442" s="201">
        <v>0</v>
      </c>
      <c r="AL2442" s="199"/>
      <c r="AM2442" s="150">
        <f t="shared" si="2167"/>
        <v>0</v>
      </c>
      <c r="AN2442" s="153">
        <f t="shared" si="2153"/>
        <v>0</v>
      </c>
      <c r="AO2442" s="154">
        <f t="shared" si="2154"/>
        <v>0</v>
      </c>
      <c r="AP2442" s="150">
        <v>0</v>
      </c>
      <c r="AQ2442" s="201">
        <v>0</v>
      </c>
      <c r="AR2442" s="199"/>
      <c r="AS2442" s="150">
        <f t="shared" si="2168"/>
        <v>0</v>
      </c>
      <c r="AT2442" s="155"/>
      <c r="AU2442" s="156">
        <f t="shared" si="2145"/>
        <v>0</v>
      </c>
      <c r="AV2442" s="156">
        <f t="shared" si="2146"/>
        <v>0</v>
      </c>
      <c r="AW2442" s="157"/>
      <c r="AX2442" s="150">
        <v>0</v>
      </c>
      <c r="AY2442" s="150">
        <v>0</v>
      </c>
      <c r="AZ2442" s="150"/>
      <c r="BA2442" s="150">
        <f t="shared" si="2143"/>
        <v>0</v>
      </c>
      <c r="BB2442" s="210"/>
      <c r="BC2442" s="210"/>
      <c r="BD2442" s="210"/>
      <c r="BE2442" s="210"/>
      <c r="BF2442" s="210"/>
      <c r="BG2442" s="210"/>
      <c r="BH2442" s="217"/>
      <c r="BI2442" s="210"/>
      <c r="BJ2442" s="210"/>
      <c r="BK2442" s="210"/>
      <c r="BL2442" s="210"/>
      <c r="BM2442" s="208"/>
      <c r="BN2442" s="160"/>
      <c r="BO2442" s="161">
        <f t="shared" si="2163"/>
        <v>0</v>
      </c>
      <c r="BP2442" s="161"/>
    </row>
    <row r="2443" spans="1:68" ht="36.75" customHeight="1">
      <c r="A2443" s="210"/>
      <c r="B2443" s="195" t="s">
        <v>10842</v>
      </c>
      <c r="C2443" s="196" t="s">
        <v>10843</v>
      </c>
      <c r="D2443" s="146" t="s">
        <v>4692</v>
      </c>
      <c r="E2443" s="377" t="s">
        <v>10843</v>
      </c>
      <c r="F2443" s="150">
        <v>0</v>
      </c>
      <c r="G2443" s="209">
        <v>338024.83</v>
      </c>
      <c r="H2443" s="209">
        <v>57520</v>
      </c>
      <c r="I2443" s="209">
        <v>395544.83</v>
      </c>
      <c r="J2443" s="150">
        <v>0</v>
      </c>
      <c r="K2443" s="150">
        <v>0</v>
      </c>
      <c r="L2443" s="150">
        <f t="shared" ref="L2443:L2506" si="2169">J2443+K2443</f>
        <v>0</v>
      </c>
      <c r="M2443" s="150">
        <v>0</v>
      </c>
      <c r="N2443" s="150"/>
      <c r="O2443" s="150">
        <v>0</v>
      </c>
      <c r="P2443" s="150">
        <v>0</v>
      </c>
      <c r="Q2443" s="150">
        <v>0</v>
      </c>
      <c r="R2443" s="150">
        <f t="shared" si="2164"/>
        <v>0</v>
      </c>
      <c r="S2443" s="150">
        <f t="shared" si="2144"/>
        <v>0</v>
      </c>
      <c r="T2443" s="150"/>
      <c r="U2443" s="150">
        <v>0</v>
      </c>
      <c r="V2443" s="199"/>
      <c r="W2443" s="150">
        <f t="shared" si="2165"/>
        <v>0</v>
      </c>
      <c r="X2443" s="150">
        <v>0</v>
      </c>
      <c r="Y2443" s="150"/>
      <c r="Z2443" s="150">
        <v>0</v>
      </c>
      <c r="AA2443" s="150">
        <f t="shared" si="2149"/>
        <v>0</v>
      </c>
      <c r="AB2443" s="150">
        <v>0</v>
      </c>
      <c r="AC2443" s="199"/>
      <c r="AD2443" s="150">
        <f t="shared" si="2166"/>
        <v>0</v>
      </c>
      <c r="AE2443" s="150">
        <v>0</v>
      </c>
      <c r="AF2443" s="169" t="s">
        <v>4680</v>
      </c>
      <c r="AG2443" s="201">
        <v>0</v>
      </c>
      <c r="AH2443" s="199"/>
      <c r="AI2443" s="150">
        <v>0</v>
      </c>
      <c r="AJ2443" s="169">
        <f t="shared" si="2151"/>
        <v>0</v>
      </c>
      <c r="AK2443" s="201">
        <v>0</v>
      </c>
      <c r="AL2443" s="199"/>
      <c r="AM2443" s="150">
        <f t="shared" si="2167"/>
        <v>0</v>
      </c>
      <c r="AN2443" s="153">
        <f t="shared" si="2153"/>
        <v>0</v>
      </c>
      <c r="AO2443" s="154">
        <f t="shared" si="2154"/>
        <v>0</v>
      </c>
      <c r="AP2443" s="150">
        <v>0</v>
      </c>
      <c r="AQ2443" s="201">
        <v>0</v>
      </c>
      <c r="AR2443" s="199"/>
      <c r="AS2443" s="150">
        <f t="shared" si="2168"/>
        <v>0</v>
      </c>
      <c r="AT2443" s="155"/>
      <c r="AU2443" s="156">
        <f t="shared" si="2145"/>
        <v>0</v>
      </c>
      <c r="AV2443" s="156">
        <f t="shared" si="2146"/>
        <v>0</v>
      </c>
      <c r="AW2443" s="157"/>
      <c r="AX2443" s="150">
        <v>0</v>
      </c>
      <c r="AY2443" s="150">
        <v>0</v>
      </c>
      <c r="AZ2443" s="150"/>
      <c r="BA2443" s="150">
        <f t="shared" si="2143"/>
        <v>0</v>
      </c>
      <c r="BB2443" s="210"/>
      <c r="BC2443" s="210"/>
      <c r="BD2443" s="210"/>
      <c r="BE2443" s="210"/>
      <c r="BF2443" s="210"/>
      <c r="BG2443" s="210"/>
      <c r="BH2443" s="217"/>
      <c r="BI2443" s="210"/>
      <c r="BJ2443" s="210"/>
      <c r="BK2443" s="210"/>
      <c r="BL2443" s="210"/>
      <c r="BM2443" s="208"/>
      <c r="BN2443" s="160"/>
      <c r="BO2443" s="161">
        <f t="shared" si="2163"/>
        <v>0</v>
      </c>
      <c r="BP2443" s="161"/>
    </row>
    <row r="2444" spans="1:68" ht="67.5" customHeight="1">
      <c r="A2444" s="210"/>
      <c r="B2444" s="195" t="s">
        <v>10844</v>
      </c>
      <c r="C2444" s="196" t="s">
        <v>10845</v>
      </c>
      <c r="D2444" s="146" t="s">
        <v>4692</v>
      </c>
      <c r="E2444" s="377" t="s">
        <v>10845</v>
      </c>
      <c r="F2444" s="150">
        <v>0</v>
      </c>
      <c r="G2444" s="209">
        <v>338024.83</v>
      </c>
      <c r="H2444" s="209">
        <v>57520</v>
      </c>
      <c r="I2444" s="209">
        <v>395544.83</v>
      </c>
      <c r="J2444" s="150">
        <v>0</v>
      </c>
      <c r="K2444" s="150">
        <v>0</v>
      </c>
      <c r="L2444" s="150">
        <f t="shared" si="2169"/>
        <v>0</v>
      </c>
      <c r="M2444" s="150">
        <v>0</v>
      </c>
      <c r="N2444" s="150"/>
      <c r="O2444" s="150">
        <v>0</v>
      </c>
      <c r="P2444" s="150">
        <v>0</v>
      </c>
      <c r="Q2444" s="150">
        <v>0</v>
      </c>
      <c r="R2444" s="150">
        <f t="shared" si="2164"/>
        <v>0</v>
      </c>
      <c r="S2444" s="150">
        <f t="shared" si="2144"/>
        <v>0</v>
      </c>
      <c r="T2444" s="150"/>
      <c r="U2444" s="150">
        <v>0</v>
      </c>
      <c r="V2444" s="199"/>
      <c r="W2444" s="150">
        <f t="shared" si="2165"/>
        <v>0</v>
      </c>
      <c r="X2444" s="150">
        <v>0</v>
      </c>
      <c r="Y2444" s="150"/>
      <c r="Z2444" s="150">
        <v>0</v>
      </c>
      <c r="AA2444" s="150">
        <f t="shared" si="2149"/>
        <v>0</v>
      </c>
      <c r="AB2444" s="150">
        <v>0</v>
      </c>
      <c r="AC2444" s="199"/>
      <c r="AD2444" s="150">
        <f t="shared" si="2166"/>
        <v>0</v>
      </c>
      <c r="AE2444" s="150">
        <v>0</v>
      </c>
      <c r="AF2444" s="169" t="s">
        <v>4680</v>
      </c>
      <c r="AG2444" s="201">
        <v>0</v>
      </c>
      <c r="AH2444" s="199"/>
      <c r="AI2444" s="150">
        <v>0</v>
      </c>
      <c r="AJ2444" s="169">
        <f t="shared" si="2151"/>
        <v>0</v>
      </c>
      <c r="AK2444" s="201">
        <v>0</v>
      </c>
      <c r="AL2444" s="199"/>
      <c r="AM2444" s="150">
        <f t="shared" si="2167"/>
        <v>0</v>
      </c>
      <c r="AN2444" s="153">
        <f t="shared" si="2153"/>
        <v>0</v>
      </c>
      <c r="AO2444" s="154">
        <f t="shared" si="2154"/>
        <v>0</v>
      </c>
      <c r="AP2444" s="150">
        <v>0</v>
      </c>
      <c r="AQ2444" s="201">
        <v>0</v>
      </c>
      <c r="AR2444" s="199"/>
      <c r="AS2444" s="150">
        <f t="shared" si="2168"/>
        <v>0</v>
      </c>
      <c r="AT2444" s="155"/>
      <c r="AU2444" s="156">
        <f t="shared" si="2145"/>
        <v>0</v>
      </c>
      <c r="AV2444" s="156">
        <f t="shared" si="2146"/>
        <v>0</v>
      </c>
      <c r="AW2444" s="157"/>
      <c r="AX2444" s="150">
        <v>0</v>
      </c>
      <c r="AY2444" s="150">
        <v>0</v>
      </c>
      <c r="AZ2444" s="150"/>
      <c r="BA2444" s="150">
        <f t="shared" si="2143"/>
        <v>0</v>
      </c>
      <c r="BB2444" s="210"/>
      <c r="BC2444" s="210"/>
      <c r="BD2444" s="210"/>
      <c r="BE2444" s="210"/>
      <c r="BF2444" s="210"/>
      <c r="BG2444" s="210"/>
      <c r="BH2444" s="217"/>
      <c r="BI2444" s="210"/>
      <c r="BJ2444" s="210"/>
      <c r="BK2444" s="210"/>
      <c r="BL2444" s="210"/>
      <c r="BM2444" s="208"/>
      <c r="BN2444" s="160"/>
      <c r="BO2444" s="161">
        <f t="shared" si="2163"/>
        <v>0</v>
      </c>
      <c r="BP2444" s="161"/>
    </row>
    <row r="2445" spans="1:68" ht="25.5">
      <c r="A2445" s="256" t="s">
        <v>10846</v>
      </c>
      <c r="B2445" s="184"/>
      <c r="C2445" s="185" t="s">
        <v>10847</v>
      </c>
      <c r="D2445" s="146" t="s">
        <v>4692</v>
      </c>
      <c r="E2445" s="185" t="s">
        <v>10847</v>
      </c>
      <c r="F2445" s="188">
        <v>338024.83</v>
      </c>
      <c r="G2445" s="187">
        <v>1793396.1199999999</v>
      </c>
      <c r="H2445" s="187">
        <v>-535610</v>
      </c>
      <c r="I2445" s="187">
        <v>1257786.1199999999</v>
      </c>
      <c r="J2445" s="188">
        <f>J2446</f>
        <v>57634.12</v>
      </c>
      <c r="K2445" s="188">
        <f>K2446</f>
        <v>57520</v>
      </c>
      <c r="L2445" s="188">
        <f t="shared" si="2169"/>
        <v>115154.12</v>
      </c>
      <c r="M2445" s="188">
        <v>170066.5</v>
      </c>
      <c r="N2445" s="188">
        <v>0</v>
      </c>
      <c r="O2445" s="188">
        <v>170066.5</v>
      </c>
      <c r="P2445" s="299">
        <f t="shared" ref="P2445:AS2445" si="2170">P2446</f>
        <v>170066.5</v>
      </c>
      <c r="Q2445" s="299">
        <f t="shared" si="2170"/>
        <v>554830.32999999996</v>
      </c>
      <c r="R2445" s="299">
        <f t="shared" si="2170"/>
        <v>724896.83</v>
      </c>
      <c r="S2445" s="150">
        <f t="shared" si="2144"/>
        <v>966529.10666666657</v>
      </c>
      <c r="T2445" s="213"/>
      <c r="U2445" s="299">
        <f t="shared" ref="U2445:W2445" si="2171">U2446</f>
        <v>1930491.51</v>
      </c>
      <c r="V2445" s="226">
        <f t="shared" si="2171"/>
        <v>0</v>
      </c>
      <c r="W2445" s="299">
        <f t="shared" si="2171"/>
        <v>1930491.51</v>
      </c>
      <c r="X2445" s="299">
        <v>1930491.51</v>
      </c>
      <c r="Y2445" s="299">
        <v>0</v>
      </c>
      <c r="Z2445" s="299">
        <v>1930491.51</v>
      </c>
      <c r="AA2445" s="299">
        <f t="shared" si="2149"/>
        <v>-1690576.01</v>
      </c>
      <c r="AB2445" s="299">
        <v>239915.5</v>
      </c>
      <c r="AC2445" s="226">
        <v>0</v>
      </c>
      <c r="AD2445" s="299">
        <f t="shared" si="2170"/>
        <v>239915.5</v>
      </c>
      <c r="AE2445" s="299">
        <v>239915.5</v>
      </c>
      <c r="AF2445" s="169" t="s">
        <v>4680</v>
      </c>
      <c r="AG2445" s="301">
        <v>239915.5</v>
      </c>
      <c r="AH2445" s="226">
        <v>0</v>
      </c>
      <c r="AI2445" s="299">
        <v>239915.5</v>
      </c>
      <c r="AJ2445" s="169">
        <f t="shared" si="2151"/>
        <v>0</v>
      </c>
      <c r="AK2445" s="301">
        <v>239915.5</v>
      </c>
      <c r="AL2445" s="226">
        <v>0</v>
      </c>
      <c r="AM2445" s="299">
        <f t="shared" si="2170"/>
        <v>239915.5</v>
      </c>
      <c r="AN2445" s="153">
        <f t="shared" si="2153"/>
        <v>0</v>
      </c>
      <c r="AO2445" s="154">
        <f t="shared" si="2154"/>
        <v>0</v>
      </c>
      <c r="AP2445" s="299">
        <v>239915.5</v>
      </c>
      <c r="AQ2445" s="301">
        <v>239915.5</v>
      </c>
      <c r="AR2445" s="226">
        <f t="shared" si="2170"/>
        <v>0</v>
      </c>
      <c r="AS2445" s="299">
        <f t="shared" si="2170"/>
        <v>239915.5</v>
      </c>
      <c r="AT2445" s="155"/>
      <c r="AU2445" s="156">
        <f t="shared" si="2145"/>
        <v>0</v>
      </c>
      <c r="AV2445" s="156">
        <f t="shared" si="2146"/>
        <v>-1690576.01</v>
      </c>
      <c r="AW2445" s="157"/>
      <c r="AX2445" s="150">
        <v>1930491.51</v>
      </c>
      <c r="AY2445" s="299">
        <f t="shared" ref="AY2445:BA2445" si="2172">AY2446</f>
        <v>170066.5</v>
      </c>
      <c r="AZ2445" s="299">
        <f t="shared" si="2172"/>
        <v>0</v>
      </c>
      <c r="BA2445" s="299">
        <f t="shared" si="2172"/>
        <v>170066.5</v>
      </c>
      <c r="BB2445" s="192">
        <v>8</v>
      </c>
      <c r="BC2445" s="256" t="s">
        <v>647</v>
      </c>
      <c r="BD2445" s="256" t="s">
        <v>647</v>
      </c>
      <c r="BE2445" s="256" t="s">
        <v>647</v>
      </c>
      <c r="BF2445" s="256" t="s">
        <v>630</v>
      </c>
      <c r="BG2445" s="185" t="s">
        <v>10847</v>
      </c>
      <c r="BH2445" s="215">
        <f>BH2446</f>
        <v>239915.5</v>
      </c>
      <c r="BI2445" s="192"/>
      <c r="BJ2445" s="256" t="s">
        <v>10848</v>
      </c>
      <c r="BK2445" s="256" t="s">
        <v>10846</v>
      </c>
      <c r="BL2445" s="238" t="s">
        <v>10849</v>
      </c>
      <c r="BM2445" s="215">
        <f>BM2446</f>
        <v>239915.5</v>
      </c>
      <c r="BN2445" s="160"/>
      <c r="BO2445" s="161">
        <f t="shared" si="2163"/>
        <v>0</v>
      </c>
      <c r="BP2445" s="161"/>
    </row>
    <row r="2446" spans="1:68" ht="25.5">
      <c r="A2446" s="206" t="s">
        <v>10846</v>
      </c>
      <c r="B2446" s="195" t="s">
        <v>10850</v>
      </c>
      <c r="C2446" s="196" t="s">
        <v>10851</v>
      </c>
      <c r="D2446" s="146" t="s">
        <v>4692</v>
      </c>
      <c r="E2446" s="377" t="s">
        <v>10851</v>
      </c>
      <c r="F2446" s="150">
        <v>338024.83</v>
      </c>
      <c r="G2446" s="209">
        <v>2669</v>
      </c>
      <c r="H2446" s="209"/>
      <c r="I2446" s="209">
        <v>2669</v>
      </c>
      <c r="J2446" s="150">
        <v>57634.12</v>
      </c>
      <c r="K2446" s="150">
        <v>57520</v>
      </c>
      <c r="L2446" s="150">
        <f t="shared" si="2169"/>
        <v>115154.12</v>
      </c>
      <c r="M2446" s="150">
        <v>170066.5</v>
      </c>
      <c r="N2446" s="150"/>
      <c r="O2446" s="150">
        <v>170066.5</v>
      </c>
      <c r="P2446" s="150">
        <v>170066.5</v>
      </c>
      <c r="Q2446" s="150">
        <f>724896.83-P2446</f>
        <v>554830.32999999996</v>
      </c>
      <c r="R2446" s="150">
        <f>P2446+Q2446</f>
        <v>724896.83</v>
      </c>
      <c r="S2446" s="150">
        <f t="shared" si="2144"/>
        <v>966529.10666666657</v>
      </c>
      <c r="T2446" s="150"/>
      <c r="U2446" s="309">
        <v>1930491.51</v>
      </c>
      <c r="V2446" s="199"/>
      <c r="W2446" s="150">
        <f>U2446+V2446</f>
        <v>1930491.51</v>
      </c>
      <c r="X2446" s="150">
        <v>1930491.51</v>
      </c>
      <c r="Y2446" s="150"/>
      <c r="Z2446" s="150">
        <v>1930491.51</v>
      </c>
      <c r="AA2446" s="150">
        <f t="shared" si="2149"/>
        <v>-1690576.01</v>
      </c>
      <c r="AB2446" s="150">
        <v>239915.5</v>
      </c>
      <c r="AC2446" s="199"/>
      <c r="AD2446" s="150">
        <f>AB2446+AC2446</f>
        <v>239915.5</v>
      </c>
      <c r="AE2446" s="150">
        <v>239915.5</v>
      </c>
      <c r="AF2446" s="169" t="s">
        <v>4680</v>
      </c>
      <c r="AG2446" s="201">
        <v>239915.5</v>
      </c>
      <c r="AH2446" s="199"/>
      <c r="AI2446" s="150">
        <v>239915.5</v>
      </c>
      <c r="AJ2446" s="169">
        <f t="shared" si="2151"/>
        <v>0</v>
      </c>
      <c r="AK2446" s="201">
        <v>239915.5</v>
      </c>
      <c r="AL2446" s="199"/>
      <c r="AM2446" s="150">
        <f>AK2446+AL2446</f>
        <v>239915.5</v>
      </c>
      <c r="AN2446" s="153">
        <f t="shared" si="2153"/>
        <v>0</v>
      </c>
      <c r="AO2446" s="154">
        <f t="shared" si="2154"/>
        <v>0</v>
      </c>
      <c r="AP2446" s="150">
        <v>239915.5</v>
      </c>
      <c r="AQ2446" s="201">
        <v>239915.5</v>
      </c>
      <c r="AR2446" s="199"/>
      <c r="AS2446" s="150">
        <f>AQ2446+AR2446</f>
        <v>239915.5</v>
      </c>
      <c r="AT2446" s="155" t="s">
        <v>10852</v>
      </c>
      <c r="AU2446" s="156">
        <f t="shared" si="2145"/>
        <v>0</v>
      </c>
      <c r="AV2446" s="156">
        <f t="shared" si="2146"/>
        <v>-1690576.01</v>
      </c>
      <c r="AW2446" s="157"/>
      <c r="AX2446" s="150">
        <v>1930491.51</v>
      </c>
      <c r="AY2446" s="150">
        <v>170066.5</v>
      </c>
      <c r="AZ2446" s="150"/>
      <c r="BA2446" s="150">
        <f t="shared" si="2143"/>
        <v>170066.5</v>
      </c>
      <c r="BB2446" s="202">
        <v>8</v>
      </c>
      <c r="BC2446" s="202" t="s">
        <v>647</v>
      </c>
      <c r="BD2446" s="202" t="s">
        <v>647</v>
      </c>
      <c r="BE2446" s="202" t="s">
        <v>647</v>
      </c>
      <c r="BF2446" s="202" t="s">
        <v>632</v>
      </c>
      <c r="BG2446" s="203" t="s">
        <v>10847</v>
      </c>
      <c r="BH2446" s="216">
        <f>AS2446</f>
        <v>239915.5</v>
      </c>
      <c r="BI2446" s="205"/>
      <c r="BJ2446" s="206" t="s">
        <v>10848</v>
      </c>
      <c r="BK2446" s="206" t="s">
        <v>10846</v>
      </c>
      <c r="BL2446" s="207" t="s">
        <v>10849</v>
      </c>
      <c r="BM2446" s="208">
        <f>BH2446</f>
        <v>239915.5</v>
      </c>
      <c r="BN2446" s="160"/>
      <c r="BO2446" s="161">
        <f t="shared" si="2163"/>
        <v>0</v>
      </c>
      <c r="BP2446" s="161"/>
    </row>
    <row r="2447" spans="1:68" ht="25.5">
      <c r="A2447" s="256" t="s">
        <v>10853</v>
      </c>
      <c r="B2447" s="184"/>
      <c r="C2447" s="185" t="s">
        <v>10854</v>
      </c>
      <c r="D2447" s="146" t="s">
        <v>4692</v>
      </c>
      <c r="E2447" s="185" t="s">
        <v>10854</v>
      </c>
      <c r="F2447" s="188">
        <v>1378389.47</v>
      </c>
      <c r="G2447" s="187">
        <v>98747.14</v>
      </c>
      <c r="H2447" s="187"/>
      <c r="I2447" s="187">
        <v>98747.14</v>
      </c>
      <c r="J2447" s="188">
        <f>SUM(J2448:J2488)</f>
        <v>18378.349999999999</v>
      </c>
      <c r="K2447" s="188">
        <f>SUM(K2448:K2488)</f>
        <v>0</v>
      </c>
      <c r="L2447" s="188">
        <f t="shared" si="2169"/>
        <v>18378.349999999999</v>
      </c>
      <c r="M2447" s="188">
        <v>2722948.4049999998</v>
      </c>
      <c r="N2447" s="188">
        <v>0</v>
      </c>
      <c r="O2447" s="188">
        <v>2722948.4049999998</v>
      </c>
      <c r="P2447" s="299">
        <f t="shared" ref="P2447:AD2447" si="2173">SUM(P2448:P2488)</f>
        <v>3600237.4899999998</v>
      </c>
      <c r="Q2447" s="299">
        <f t="shared" si="2173"/>
        <v>-1221562.3199999998</v>
      </c>
      <c r="R2447" s="299">
        <f t="shared" si="2173"/>
        <v>2378675.17</v>
      </c>
      <c r="S2447" s="150">
        <f t="shared" si="2144"/>
        <v>3171566.8933333335</v>
      </c>
      <c r="T2447" s="213"/>
      <c r="U2447" s="299">
        <f t="shared" ref="U2447:W2447" si="2174">SUM(U2448:U2488)</f>
        <v>4080593.67</v>
      </c>
      <c r="V2447" s="226">
        <f t="shared" si="2174"/>
        <v>118966.89</v>
      </c>
      <c r="W2447" s="299">
        <f t="shared" si="2174"/>
        <v>4199560.5599999996</v>
      </c>
      <c r="X2447" s="299">
        <v>4080593.67</v>
      </c>
      <c r="Y2447" s="299">
        <v>118966.89</v>
      </c>
      <c r="Z2447" s="299">
        <v>4199560.5599999996</v>
      </c>
      <c r="AA2447" s="299">
        <f t="shared" si="2149"/>
        <v>-83827.069999999832</v>
      </c>
      <c r="AB2447" s="299">
        <v>4115733.4899999998</v>
      </c>
      <c r="AC2447" s="226">
        <v>0</v>
      </c>
      <c r="AD2447" s="299">
        <f t="shared" si="2173"/>
        <v>4115733.4899999998</v>
      </c>
      <c r="AE2447" s="299">
        <v>4118472.76</v>
      </c>
      <c r="AF2447" s="169" t="s">
        <v>4680</v>
      </c>
      <c r="AG2447" s="301">
        <v>4118472.76</v>
      </c>
      <c r="AH2447" s="226">
        <v>-367413.44</v>
      </c>
      <c r="AI2447" s="299">
        <v>3751059.3200000008</v>
      </c>
      <c r="AJ2447" s="169">
        <f t="shared" si="2151"/>
        <v>-174358.62999999989</v>
      </c>
      <c r="AK2447" s="301">
        <v>3944114.1300000004</v>
      </c>
      <c r="AL2447" s="226">
        <v>-367413.44</v>
      </c>
      <c r="AM2447" s="299">
        <f t="shared" ref="AM2447" si="2175">SUM(AM2448:AM2488)</f>
        <v>3576700.6900000009</v>
      </c>
      <c r="AN2447" s="153">
        <f t="shared" si="2153"/>
        <v>-576372.85000000102</v>
      </c>
      <c r="AO2447" s="154">
        <f t="shared" si="2154"/>
        <v>-579972.85000000102</v>
      </c>
      <c r="AP2447" s="299">
        <v>3580300.6900000009</v>
      </c>
      <c r="AQ2447" s="301">
        <v>3000327.84</v>
      </c>
      <c r="AR2447" s="226">
        <f t="shared" ref="AR2447:AS2447" si="2176">SUM(AR2448:AR2488)</f>
        <v>0</v>
      </c>
      <c r="AS2447" s="299">
        <f t="shared" si="2176"/>
        <v>3000327.84</v>
      </c>
      <c r="AT2447" s="155"/>
      <c r="AU2447" s="156">
        <f t="shared" si="2145"/>
        <v>-539032.79999999888</v>
      </c>
      <c r="AV2447" s="156">
        <f t="shared" si="2146"/>
        <v>-83827.069999999832</v>
      </c>
      <c r="AW2447" s="157"/>
      <c r="AX2447" s="150">
        <v>4199560.5599999996</v>
      </c>
      <c r="AY2447" s="299">
        <f t="shared" ref="AY2447:BA2447" si="2177">SUM(AY2448:AY2488)</f>
        <v>3020677.585</v>
      </c>
      <c r="AZ2447" s="299">
        <f t="shared" si="2177"/>
        <v>-618355.96499999997</v>
      </c>
      <c r="BA2447" s="299">
        <f t="shared" si="2177"/>
        <v>2402321.62</v>
      </c>
      <c r="BB2447" s="192">
        <v>8</v>
      </c>
      <c r="BC2447" s="256" t="s">
        <v>647</v>
      </c>
      <c r="BD2447" s="256" t="s">
        <v>647</v>
      </c>
      <c r="BE2447" s="256" t="s">
        <v>671</v>
      </c>
      <c r="BF2447" s="256" t="s">
        <v>630</v>
      </c>
      <c r="BG2447" s="185" t="s">
        <v>10854</v>
      </c>
      <c r="BH2447" s="215">
        <f>BH2448+BH2449+BH2450+BH2451+BH2453+BH2455+BH2459+BH2468+BH2472+BH2480+BH2481+BH2482+BH2483+BH2484+BH2485+BH2486+BH2487+BH2488</f>
        <v>3000327.84</v>
      </c>
      <c r="BI2447" s="192"/>
      <c r="BJ2447" s="256" t="s">
        <v>10855</v>
      </c>
      <c r="BK2447" s="256" t="s">
        <v>10853</v>
      </c>
      <c r="BL2447" s="238" t="s">
        <v>10856</v>
      </c>
      <c r="BM2447" s="215">
        <f>BM2448+BM2449+BM2450+BM2451+BM2453+BM2455+BM2459+BM2468+BM2472+BM2480+BM2481+BM2482+BM2483+BM2484+BM2485+BM2486+BM2487+BM2488</f>
        <v>3000327.84</v>
      </c>
      <c r="BN2447" s="160"/>
      <c r="BO2447" s="161">
        <f t="shared" si="2163"/>
        <v>0</v>
      </c>
      <c r="BP2447" s="161"/>
    </row>
    <row r="2448" spans="1:68" ht="51">
      <c r="A2448" s="261" t="s">
        <v>10857</v>
      </c>
      <c r="B2448" s="228" t="s">
        <v>10858</v>
      </c>
      <c r="C2448" s="229" t="s">
        <v>10859</v>
      </c>
      <c r="D2448" s="146" t="s">
        <v>4692</v>
      </c>
      <c r="E2448" s="377" t="s">
        <v>10859</v>
      </c>
      <c r="F2448" s="150">
        <v>0</v>
      </c>
      <c r="G2448" s="209">
        <v>0</v>
      </c>
      <c r="H2448" s="209"/>
      <c r="I2448" s="209">
        <v>0</v>
      </c>
      <c r="J2448" s="150">
        <v>0</v>
      </c>
      <c r="K2448" s="150">
        <v>0</v>
      </c>
      <c r="L2448" s="150">
        <f t="shared" si="2169"/>
        <v>0</v>
      </c>
      <c r="M2448" s="150">
        <v>0</v>
      </c>
      <c r="N2448" s="150"/>
      <c r="O2448" s="150">
        <v>0</v>
      </c>
      <c r="P2448" s="150">
        <v>0</v>
      </c>
      <c r="Q2448" s="150">
        <v>0</v>
      </c>
      <c r="R2448" s="150">
        <f t="shared" ref="R2448:R2488" si="2178">P2448+Q2448</f>
        <v>0</v>
      </c>
      <c r="S2448" s="150">
        <f t="shared" si="2144"/>
        <v>0</v>
      </c>
      <c r="T2448" s="150"/>
      <c r="U2448" s="150">
        <v>0</v>
      </c>
      <c r="V2448" s="199"/>
      <c r="W2448" s="150">
        <f t="shared" ref="W2448:W2488" si="2179">U2448+V2448</f>
        <v>0</v>
      </c>
      <c r="X2448" s="150">
        <v>0</v>
      </c>
      <c r="Y2448" s="150"/>
      <c r="Z2448" s="150">
        <v>0</v>
      </c>
      <c r="AA2448" s="150">
        <f t="shared" si="2149"/>
        <v>0</v>
      </c>
      <c r="AB2448" s="150">
        <v>0</v>
      </c>
      <c r="AC2448" s="199"/>
      <c r="AD2448" s="150">
        <f t="shared" ref="AD2448:AD2488" si="2180">AB2448+AC2448</f>
        <v>0</v>
      </c>
      <c r="AE2448" s="150">
        <v>0</v>
      </c>
      <c r="AF2448" s="169" t="s">
        <v>4680</v>
      </c>
      <c r="AG2448" s="201">
        <v>0</v>
      </c>
      <c r="AH2448" s="199"/>
      <c r="AI2448" s="150">
        <v>0</v>
      </c>
      <c r="AJ2448" s="169">
        <f t="shared" si="2151"/>
        <v>0</v>
      </c>
      <c r="AK2448" s="201">
        <v>0</v>
      </c>
      <c r="AL2448" s="199"/>
      <c r="AM2448" s="150">
        <f t="shared" ref="AM2448:AM2488" si="2181">AK2448+AL2448</f>
        <v>0</v>
      </c>
      <c r="AN2448" s="153">
        <f t="shared" si="2153"/>
        <v>0</v>
      </c>
      <c r="AO2448" s="154">
        <f t="shared" si="2154"/>
        <v>0</v>
      </c>
      <c r="AP2448" s="150">
        <v>0</v>
      </c>
      <c r="AQ2448" s="201">
        <v>0</v>
      </c>
      <c r="AR2448" s="199"/>
      <c r="AS2448" s="150">
        <f t="shared" ref="AS2448:AS2488" si="2182">AQ2448+AR2448</f>
        <v>0</v>
      </c>
      <c r="AT2448" s="155" t="s">
        <v>4796</v>
      </c>
      <c r="AU2448" s="156">
        <f t="shared" si="2145"/>
        <v>0</v>
      </c>
      <c r="AV2448" s="156">
        <f t="shared" si="2146"/>
        <v>0</v>
      </c>
      <c r="AW2448" s="157" t="s">
        <v>4796</v>
      </c>
      <c r="AX2448" s="150">
        <v>0</v>
      </c>
      <c r="AY2448" s="150">
        <v>0</v>
      </c>
      <c r="AZ2448" s="150"/>
      <c r="BA2448" s="150">
        <f t="shared" si="2143"/>
        <v>0</v>
      </c>
      <c r="BB2448" s="202">
        <v>8</v>
      </c>
      <c r="BC2448" s="202" t="s">
        <v>647</v>
      </c>
      <c r="BD2448" s="202" t="s">
        <v>647</v>
      </c>
      <c r="BE2448" s="202" t="s">
        <v>671</v>
      </c>
      <c r="BF2448" s="202" t="s">
        <v>632</v>
      </c>
      <c r="BG2448" s="203" t="s">
        <v>10860</v>
      </c>
      <c r="BH2448" s="216">
        <f>AS2448</f>
        <v>0</v>
      </c>
      <c r="BI2448" s="206" t="s">
        <v>1519</v>
      </c>
      <c r="BJ2448" s="206" t="s">
        <v>10861</v>
      </c>
      <c r="BK2448" s="206" t="s">
        <v>10857</v>
      </c>
      <c r="BL2448" s="207" t="s">
        <v>10862</v>
      </c>
      <c r="BM2448" s="208">
        <f>BH2448</f>
        <v>0</v>
      </c>
      <c r="BN2448" s="160"/>
      <c r="BO2448" s="161">
        <f t="shared" si="2163"/>
        <v>0</v>
      </c>
      <c r="BP2448" s="161"/>
    </row>
    <row r="2449" spans="1:68" ht="38.25">
      <c r="A2449" s="261" t="s">
        <v>10863</v>
      </c>
      <c r="B2449" s="228" t="s">
        <v>10864</v>
      </c>
      <c r="C2449" s="229" t="s">
        <v>10865</v>
      </c>
      <c r="D2449" s="146" t="s">
        <v>4692</v>
      </c>
      <c r="E2449" s="377" t="s">
        <v>10865</v>
      </c>
      <c r="F2449" s="150">
        <v>46447.14</v>
      </c>
      <c r="G2449" s="209">
        <v>0</v>
      </c>
      <c r="H2449" s="209"/>
      <c r="I2449" s="209">
        <v>0</v>
      </c>
      <c r="J2449" s="150">
        <v>0</v>
      </c>
      <c r="K2449" s="150">
        <v>0</v>
      </c>
      <c r="L2449" s="150">
        <f t="shared" si="2169"/>
        <v>0</v>
      </c>
      <c r="M2449" s="150">
        <v>1541.6</v>
      </c>
      <c r="N2449" s="150"/>
      <c r="O2449" s="150">
        <v>1541.6</v>
      </c>
      <c r="P2449" s="150">
        <v>1541.6</v>
      </c>
      <c r="Q2449" s="150">
        <v>0</v>
      </c>
      <c r="R2449" s="150">
        <f t="shared" si="2178"/>
        <v>1541.6</v>
      </c>
      <c r="S2449" s="150">
        <f t="shared" si="2144"/>
        <v>2055.4666666666667</v>
      </c>
      <c r="T2449" s="150"/>
      <c r="U2449" s="150">
        <v>1541.6</v>
      </c>
      <c r="V2449" s="346">
        <f>421.29+5060.3</f>
        <v>5481.59</v>
      </c>
      <c r="W2449" s="150">
        <f t="shared" si="2179"/>
        <v>7023.1900000000005</v>
      </c>
      <c r="X2449" s="150">
        <v>1541.6</v>
      </c>
      <c r="Y2449" s="150">
        <v>5481.59</v>
      </c>
      <c r="Z2449" s="150">
        <v>7023.1900000000005</v>
      </c>
      <c r="AA2449" s="150">
        <f t="shared" si="2149"/>
        <v>0</v>
      </c>
      <c r="AB2449" s="150">
        <v>7023.19</v>
      </c>
      <c r="AC2449" s="346"/>
      <c r="AD2449" s="150">
        <f t="shared" si="2180"/>
        <v>7023.19</v>
      </c>
      <c r="AE2449" s="150">
        <v>9762.4599999999991</v>
      </c>
      <c r="AF2449" s="169" t="s">
        <v>4680</v>
      </c>
      <c r="AG2449" s="201">
        <v>9762.4599999999991</v>
      </c>
      <c r="AH2449" s="346"/>
      <c r="AI2449" s="150">
        <v>9762.4599999999991</v>
      </c>
      <c r="AJ2449" s="169">
        <f t="shared" si="2151"/>
        <v>-794</v>
      </c>
      <c r="AK2449" s="201">
        <v>8968.4599999999991</v>
      </c>
      <c r="AL2449" s="346"/>
      <c r="AM2449" s="150">
        <f t="shared" si="2181"/>
        <v>8968.4599999999991</v>
      </c>
      <c r="AN2449" s="153">
        <f t="shared" si="2153"/>
        <v>0</v>
      </c>
      <c r="AO2449" s="154">
        <f t="shared" si="2154"/>
        <v>0</v>
      </c>
      <c r="AP2449" s="150">
        <v>8968.4599999999991</v>
      </c>
      <c r="AQ2449" s="201">
        <v>8968.4599999999991</v>
      </c>
      <c r="AR2449" s="199"/>
      <c r="AS2449" s="150">
        <f t="shared" si="2182"/>
        <v>8968.4599999999991</v>
      </c>
      <c r="AT2449" s="155" t="s">
        <v>4796</v>
      </c>
      <c r="AU2449" s="156">
        <f t="shared" si="2145"/>
        <v>1945.2699999999995</v>
      </c>
      <c r="AV2449" s="156">
        <f t="shared" si="2146"/>
        <v>0</v>
      </c>
      <c r="AW2449" s="157" t="s">
        <v>4796</v>
      </c>
      <c r="AX2449" s="150">
        <v>7023.1900000000005</v>
      </c>
      <c r="AY2449" s="150">
        <v>1541.6</v>
      </c>
      <c r="AZ2449" s="150"/>
      <c r="BA2449" s="150">
        <f t="shared" si="2143"/>
        <v>1541.6</v>
      </c>
      <c r="BB2449" s="202">
        <v>8</v>
      </c>
      <c r="BC2449" s="202" t="s">
        <v>647</v>
      </c>
      <c r="BD2449" s="202" t="s">
        <v>647</v>
      </c>
      <c r="BE2449" s="202" t="s">
        <v>671</v>
      </c>
      <c r="BF2449" s="202" t="s">
        <v>647</v>
      </c>
      <c r="BG2449" s="203" t="s">
        <v>10866</v>
      </c>
      <c r="BH2449" s="216">
        <f>AS2449</f>
        <v>8968.4599999999991</v>
      </c>
      <c r="BI2449" s="206" t="s">
        <v>1519</v>
      </c>
      <c r="BJ2449" s="206" t="s">
        <v>10867</v>
      </c>
      <c r="BK2449" s="206" t="s">
        <v>10863</v>
      </c>
      <c r="BL2449" s="207" t="s">
        <v>10868</v>
      </c>
      <c r="BM2449" s="208">
        <f>BH2449</f>
        <v>8968.4599999999991</v>
      </c>
      <c r="BN2449" s="160"/>
      <c r="BO2449" s="161">
        <f t="shared" si="2163"/>
        <v>0</v>
      </c>
      <c r="BP2449" s="161"/>
    </row>
    <row r="2450" spans="1:68" ht="38.25">
      <c r="A2450" s="206" t="s">
        <v>10869</v>
      </c>
      <c r="B2450" s="195" t="s">
        <v>10870</v>
      </c>
      <c r="C2450" s="196" t="s">
        <v>10871</v>
      </c>
      <c r="D2450" s="146" t="s">
        <v>4692</v>
      </c>
      <c r="E2450" s="377" t="s">
        <v>10871</v>
      </c>
      <c r="F2450" s="150">
        <v>0</v>
      </c>
      <c r="G2450" s="209">
        <v>0</v>
      </c>
      <c r="H2450" s="209"/>
      <c r="I2450" s="209">
        <v>0</v>
      </c>
      <c r="J2450" s="150">
        <v>0</v>
      </c>
      <c r="K2450" s="150">
        <v>0</v>
      </c>
      <c r="L2450" s="150">
        <f t="shared" si="2169"/>
        <v>0</v>
      </c>
      <c r="M2450" s="150">
        <v>0</v>
      </c>
      <c r="N2450" s="150"/>
      <c r="O2450" s="150">
        <v>0</v>
      </c>
      <c r="P2450" s="150">
        <v>0</v>
      </c>
      <c r="Q2450" s="150">
        <v>0</v>
      </c>
      <c r="R2450" s="150">
        <f t="shared" si="2178"/>
        <v>0</v>
      </c>
      <c r="S2450" s="150">
        <f t="shared" si="2144"/>
        <v>0</v>
      </c>
      <c r="T2450" s="150"/>
      <c r="U2450" s="150">
        <v>0</v>
      </c>
      <c r="V2450" s="199"/>
      <c r="W2450" s="150">
        <f t="shared" si="2179"/>
        <v>0</v>
      </c>
      <c r="X2450" s="150">
        <v>0</v>
      </c>
      <c r="Y2450" s="150"/>
      <c r="Z2450" s="150">
        <v>0</v>
      </c>
      <c r="AA2450" s="150">
        <f t="shared" si="2149"/>
        <v>0</v>
      </c>
      <c r="AB2450" s="150">
        <v>0</v>
      </c>
      <c r="AC2450" s="199"/>
      <c r="AD2450" s="150">
        <f t="shared" si="2180"/>
        <v>0</v>
      </c>
      <c r="AE2450" s="150">
        <v>0</v>
      </c>
      <c r="AF2450" s="169" t="s">
        <v>4680</v>
      </c>
      <c r="AG2450" s="201">
        <v>0</v>
      </c>
      <c r="AH2450" s="199"/>
      <c r="AI2450" s="150">
        <v>0</v>
      </c>
      <c r="AJ2450" s="169">
        <f t="shared" si="2151"/>
        <v>0</v>
      </c>
      <c r="AK2450" s="201">
        <v>0</v>
      </c>
      <c r="AL2450" s="199"/>
      <c r="AM2450" s="150">
        <f t="shared" si="2181"/>
        <v>0</v>
      </c>
      <c r="AN2450" s="153">
        <f t="shared" si="2153"/>
        <v>0</v>
      </c>
      <c r="AO2450" s="154">
        <f t="shared" si="2154"/>
        <v>0</v>
      </c>
      <c r="AP2450" s="150">
        <v>0</v>
      </c>
      <c r="AQ2450" s="201">
        <v>0</v>
      </c>
      <c r="AR2450" s="199"/>
      <c r="AS2450" s="150">
        <f t="shared" si="2182"/>
        <v>0</v>
      </c>
      <c r="AT2450" s="155"/>
      <c r="AU2450" s="156">
        <f t="shared" si="2145"/>
        <v>0</v>
      </c>
      <c r="AV2450" s="156">
        <f t="shared" si="2146"/>
        <v>0</v>
      </c>
      <c r="AW2450" s="157"/>
      <c r="AX2450" s="150">
        <v>0</v>
      </c>
      <c r="AY2450" s="150">
        <v>0</v>
      </c>
      <c r="AZ2450" s="150"/>
      <c r="BA2450" s="150">
        <f t="shared" si="2143"/>
        <v>0</v>
      </c>
      <c r="BB2450" s="202">
        <v>8</v>
      </c>
      <c r="BC2450" s="202" t="s">
        <v>647</v>
      </c>
      <c r="BD2450" s="202" t="s">
        <v>647</v>
      </c>
      <c r="BE2450" s="202" t="s">
        <v>671</v>
      </c>
      <c r="BF2450" s="202" t="s">
        <v>671</v>
      </c>
      <c r="BG2450" s="203" t="s">
        <v>10872</v>
      </c>
      <c r="BH2450" s="216">
        <f>AS2450</f>
        <v>0</v>
      </c>
      <c r="BI2450" s="206" t="s">
        <v>1349</v>
      </c>
      <c r="BJ2450" s="206" t="s">
        <v>10873</v>
      </c>
      <c r="BK2450" s="206" t="s">
        <v>10869</v>
      </c>
      <c r="BL2450" s="207" t="s">
        <v>10874</v>
      </c>
      <c r="BM2450" s="208">
        <f>BH2450</f>
        <v>0</v>
      </c>
      <c r="BN2450" s="160"/>
      <c r="BO2450" s="161">
        <f t="shared" si="2163"/>
        <v>0</v>
      </c>
      <c r="BP2450" s="161"/>
    </row>
    <row r="2451" spans="1:68" ht="51">
      <c r="A2451" s="206" t="s">
        <v>10875</v>
      </c>
      <c r="B2451" s="195" t="s">
        <v>10876</v>
      </c>
      <c r="C2451" s="196" t="s">
        <v>10877</v>
      </c>
      <c r="D2451" s="146" t="s">
        <v>4692</v>
      </c>
      <c r="E2451" s="377" t="s">
        <v>10877</v>
      </c>
      <c r="F2451" s="150">
        <v>0</v>
      </c>
      <c r="G2451" s="209">
        <v>193954.49</v>
      </c>
      <c r="H2451" s="209"/>
      <c r="I2451" s="209">
        <v>193954.49</v>
      </c>
      <c r="J2451" s="150">
        <v>0</v>
      </c>
      <c r="K2451" s="150">
        <v>0</v>
      </c>
      <c r="L2451" s="150">
        <f t="shared" si="2169"/>
        <v>0</v>
      </c>
      <c r="M2451" s="150">
        <v>0</v>
      </c>
      <c r="N2451" s="150"/>
      <c r="O2451" s="150">
        <v>0</v>
      </c>
      <c r="P2451" s="150">
        <v>0</v>
      </c>
      <c r="Q2451" s="150">
        <v>0</v>
      </c>
      <c r="R2451" s="150">
        <f t="shared" si="2178"/>
        <v>0</v>
      </c>
      <c r="S2451" s="150">
        <f t="shared" si="2144"/>
        <v>0</v>
      </c>
      <c r="T2451" s="150"/>
      <c r="U2451" s="150">
        <v>0</v>
      </c>
      <c r="V2451" s="199"/>
      <c r="W2451" s="150">
        <f t="shared" si="2179"/>
        <v>0</v>
      </c>
      <c r="X2451" s="150">
        <v>0</v>
      </c>
      <c r="Y2451" s="150"/>
      <c r="Z2451" s="150">
        <v>0</v>
      </c>
      <c r="AA2451" s="150">
        <f t="shared" si="2149"/>
        <v>0</v>
      </c>
      <c r="AB2451" s="150">
        <v>0</v>
      </c>
      <c r="AC2451" s="199"/>
      <c r="AD2451" s="150">
        <f t="shared" si="2180"/>
        <v>0</v>
      </c>
      <c r="AE2451" s="150">
        <v>0</v>
      </c>
      <c r="AF2451" s="169" t="s">
        <v>4680</v>
      </c>
      <c r="AG2451" s="201">
        <v>0</v>
      </c>
      <c r="AH2451" s="199"/>
      <c r="AI2451" s="150">
        <v>0</v>
      </c>
      <c r="AJ2451" s="169">
        <f t="shared" si="2151"/>
        <v>0</v>
      </c>
      <c r="AK2451" s="201">
        <v>0</v>
      </c>
      <c r="AL2451" s="199"/>
      <c r="AM2451" s="150">
        <f t="shared" si="2181"/>
        <v>0</v>
      </c>
      <c r="AN2451" s="153">
        <f t="shared" si="2153"/>
        <v>0</v>
      </c>
      <c r="AO2451" s="154">
        <f t="shared" si="2154"/>
        <v>0</v>
      </c>
      <c r="AP2451" s="150">
        <v>0</v>
      </c>
      <c r="AQ2451" s="201">
        <v>0</v>
      </c>
      <c r="AR2451" s="199"/>
      <c r="AS2451" s="150">
        <f t="shared" si="2182"/>
        <v>0</v>
      </c>
      <c r="AT2451" s="155"/>
      <c r="AU2451" s="156">
        <f t="shared" si="2145"/>
        <v>0</v>
      </c>
      <c r="AV2451" s="156">
        <f t="shared" si="2146"/>
        <v>0</v>
      </c>
      <c r="AW2451" s="157"/>
      <c r="AX2451" s="150">
        <v>0</v>
      </c>
      <c r="AY2451" s="150">
        <v>0</v>
      </c>
      <c r="AZ2451" s="150"/>
      <c r="BA2451" s="150">
        <f t="shared" si="2143"/>
        <v>0</v>
      </c>
      <c r="BB2451" s="202">
        <v>8</v>
      </c>
      <c r="BC2451" s="202" t="s">
        <v>647</v>
      </c>
      <c r="BD2451" s="202" t="s">
        <v>647</v>
      </c>
      <c r="BE2451" s="202" t="s">
        <v>671</v>
      </c>
      <c r="BF2451" s="202" t="s">
        <v>693</v>
      </c>
      <c r="BG2451" s="231" t="s">
        <v>10878</v>
      </c>
      <c r="BH2451" s="216">
        <f>AS2451</f>
        <v>0</v>
      </c>
      <c r="BI2451" s="205"/>
      <c r="BJ2451" s="206" t="s">
        <v>10879</v>
      </c>
      <c r="BK2451" s="206" t="s">
        <v>10875</v>
      </c>
      <c r="BL2451" s="207" t="s">
        <v>10880</v>
      </c>
      <c r="BM2451" s="208">
        <f>BH2451</f>
        <v>0</v>
      </c>
      <c r="BN2451" s="160"/>
      <c r="BO2451" s="161">
        <f t="shared" si="2163"/>
        <v>0</v>
      </c>
      <c r="BP2451" s="161"/>
    </row>
    <row r="2452" spans="1:68" ht="57">
      <c r="A2452" s="205"/>
      <c r="B2452" s="195" t="s">
        <v>10881</v>
      </c>
      <c r="C2452" s="196" t="s">
        <v>10882</v>
      </c>
      <c r="D2452" s="146" t="s">
        <v>4692</v>
      </c>
      <c r="E2452" s="378" t="s">
        <v>10882</v>
      </c>
      <c r="F2452" s="150">
        <v>0</v>
      </c>
      <c r="G2452" s="379">
        <v>94353.1</v>
      </c>
      <c r="H2452" s="379"/>
      <c r="I2452" s="379">
        <v>94353.1</v>
      </c>
      <c r="J2452" s="150">
        <v>0</v>
      </c>
      <c r="K2452" s="150">
        <v>0</v>
      </c>
      <c r="L2452" s="150">
        <f t="shared" si="2169"/>
        <v>0</v>
      </c>
      <c r="M2452" s="150">
        <v>0</v>
      </c>
      <c r="N2452" s="150"/>
      <c r="O2452" s="150">
        <v>0</v>
      </c>
      <c r="P2452" s="150">
        <v>0</v>
      </c>
      <c r="Q2452" s="150">
        <v>0</v>
      </c>
      <c r="R2452" s="150">
        <f t="shared" si="2178"/>
        <v>0</v>
      </c>
      <c r="S2452" s="150">
        <f t="shared" si="2144"/>
        <v>0</v>
      </c>
      <c r="T2452" s="150"/>
      <c r="U2452" s="150">
        <v>0</v>
      </c>
      <c r="V2452" s="199"/>
      <c r="W2452" s="150">
        <f t="shared" si="2179"/>
        <v>0</v>
      </c>
      <c r="X2452" s="150">
        <v>0</v>
      </c>
      <c r="Y2452" s="150"/>
      <c r="Z2452" s="150">
        <v>0</v>
      </c>
      <c r="AA2452" s="150">
        <f t="shared" si="2149"/>
        <v>0</v>
      </c>
      <c r="AB2452" s="150">
        <v>0</v>
      </c>
      <c r="AC2452" s="199"/>
      <c r="AD2452" s="150">
        <f t="shared" si="2180"/>
        <v>0</v>
      </c>
      <c r="AE2452" s="150">
        <v>0</v>
      </c>
      <c r="AF2452" s="169" t="s">
        <v>4680</v>
      </c>
      <c r="AG2452" s="201">
        <v>0</v>
      </c>
      <c r="AH2452" s="199"/>
      <c r="AI2452" s="150">
        <v>0</v>
      </c>
      <c r="AJ2452" s="169">
        <f t="shared" si="2151"/>
        <v>0</v>
      </c>
      <c r="AK2452" s="201">
        <v>0</v>
      </c>
      <c r="AL2452" s="199"/>
      <c r="AM2452" s="150">
        <f t="shared" si="2181"/>
        <v>0</v>
      </c>
      <c r="AN2452" s="153">
        <f t="shared" si="2153"/>
        <v>0</v>
      </c>
      <c r="AO2452" s="154">
        <f t="shared" si="2154"/>
        <v>0</v>
      </c>
      <c r="AP2452" s="150">
        <v>0</v>
      </c>
      <c r="AQ2452" s="201">
        <v>0</v>
      </c>
      <c r="AR2452" s="199"/>
      <c r="AS2452" s="150">
        <f t="shared" si="2182"/>
        <v>0</v>
      </c>
      <c r="AT2452" s="155"/>
      <c r="AU2452" s="156">
        <f t="shared" si="2145"/>
        <v>0</v>
      </c>
      <c r="AV2452" s="156">
        <f t="shared" si="2146"/>
        <v>0</v>
      </c>
      <c r="AW2452" s="157"/>
      <c r="AX2452" s="150">
        <v>0</v>
      </c>
      <c r="AY2452" s="150">
        <v>0</v>
      </c>
      <c r="AZ2452" s="150"/>
      <c r="BA2452" s="150">
        <f t="shared" si="2143"/>
        <v>0</v>
      </c>
      <c r="BB2452" s="202"/>
      <c r="BC2452" s="202"/>
      <c r="BD2452" s="202"/>
      <c r="BE2452" s="202"/>
      <c r="BF2452" s="202"/>
      <c r="BG2452" s="231"/>
      <c r="BH2452" s="216"/>
      <c r="BI2452" s="205"/>
      <c r="BJ2452" s="205"/>
      <c r="BK2452" s="205"/>
      <c r="BL2452" s="203"/>
      <c r="BM2452" s="208"/>
      <c r="BN2452" s="160"/>
      <c r="BO2452" s="161">
        <f t="shared" si="2163"/>
        <v>0</v>
      </c>
      <c r="BP2452" s="161"/>
    </row>
    <row r="2453" spans="1:68" ht="38.25">
      <c r="A2453" s="206" t="s">
        <v>10875</v>
      </c>
      <c r="B2453" s="195" t="s">
        <v>10883</v>
      </c>
      <c r="C2453" s="196" t="s">
        <v>10884</v>
      </c>
      <c r="D2453" s="146" t="s">
        <v>4692</v>
      </c>
      <c r="E2453" s="377" t="s">
        <v>10884</v>
      </c>
      <c r="F2453" s="150">
        <v>193954.49</v>
      </c>
      <c r="G2453" s="209">
        <v>0</v>
      </c>
      <c r="H2453" s="209"/>
      <c r="I2453" s="209">
        <v>0</v>
      </c>
      <c r="J2453" s="150">
        <v>0</v>
      </c>
      <c r="K2453" s="150">
        <v>0</v>
      </c>
      <c r="L2453" s="150">
        <f t="shared" si="2169"/>
        <v>0</v>
      </c>
      <c r="M2453" s="150">
        <v>248271.61</v>
      </c>
      <c r="N2453" s="150"/>
      <c r="O2453" s="150">
        <v>248271.61</v>
      </c>
      <c r="P2453" s="150">
        <v>248271.61</v>
      </c>
      <c r="Q2453" s="150">
        <v>-248271.61</v>
      </c>
      <c r="R2453" s="150">
        <f t="shared" si="2178"/>
        <v>0</v>
      </c>
      <c r="S2453" s="150">
        <f t="shared" si="2144"/>
        <v>0</v>
      </c>
      <c r="T2453" s="150"/>
      <c r="U2453" s="150">
        <v>248271.61</v>
      </c>
      <c r="V2453" s="199"/>
      <c r="W2453" s="150">
        <f t="shared" si="2179"/>
        <v>248271.61</v>
      </c>
      <c r="X2453" s="150">
        <v>248271.61</v>
      </c>
      <c r="Y2453" s="150"/>
      <c r="Z2453" s="150">
        <v>248271.61</v>
      </c>
      <c r="AA2453" s="150">
        <f t="shared" si="2149"/>
        <v>0</v>
      </c>
      <c r="AB2453" s="150">
        <v>248271.61</v>
      </c>
      <c r="AC2453" s="199"/>
      <c r="AD2453" s="150">
        <f t="shared" si="2180"/>
        <v>248271.61</v>
      </c>
      <c r="AE2453" s="150">
        <v>248271.61</v>
      </c>
      <c r="AF2453" s="169" t="s">
        <v>4680</v>
      </c>
      <c r="AG2453" s="201">
        <v>248271.61</v>
      </c>
      <c r="AH2453" s="199"/>
      <c r="AI2453" s="150">
        <v>248271.61</v>
      </c>
      <c r="AJ2453" s="169">
        <f t="shared" si="2151"/>
        <v>-70.259999999980209</v>
      </c>
      <c r="AK2453" s="201">
        <v>248201.35</v>
      </c>
      <c r="AL2453" s="199"/>
      <c r="AM2453" s="150">
        <f t="shared" si="2181"/>
        <v>248201.35</v>
      </c>
      <c r="AN2453" s="153">
        <f t="shared" si="2153"/>
        <v>248264.87999999998</v>
      </c>
      <c r="AO2453" s="154">
        <f t="shared" si="2154"/>
        <v>248264.87999999998</v>
      </c>
      <c r="AP2453" s="380">
        <v>248201.35</v>
      </c>
      <c r="AQ2453" s="201">
        <v>496466.23</v>
      </c>
      <c r="AR2453" s="199"/>
      <c r="AS2453" s="150">
        <f t="shared" si="2182"/>
        <v>496466.23</v>
      </c>
      <c r="AT2453" s="155"/>
      <c r="AU2453" s="156">
        <f t="shared" si="2145"/>
        <v>-70.259999999980209</v>
      </c>
      <c r="AV2453" s="156">
        <f t="shared" si="2146"/>
        <v>0</v>
      </c>
      <c r="AW2453" s="157"/>
      <c r="AX2453" s="150">
        <v>248271.61</v>
      </c>
      <c r="AY2453" s="150">
        <v>248271.61</v>
      </c>
      <c r="AZ2453" s="150">
        <f>-AY2453</f>
        <v>-248271.61</v>
      </c>
      <c r="BA2453" s="150">
        <f t="shared" si="2143"/>
        <v>0</v>
      </c>
      <c r="BB2453" s="202">
        <v>8</v>
      </c>
      <c r="BC2453" s="202" t="s">
        <v>647</v>
      </c>
      <c r="BD2453" s="202" t="s">
        <v>647</v>
      </c>
      <c r="BE2453" s="202" t="s">
        <v>671</v>
      </c>
      <c r="BF2453" s="202" t="s">
        <v>714</v>
      </c>
      <c r="BG2453" s="231" t="s">
        <v>10885</v>
      </c>
      <c r="BH2453" s="216">
        <f>SUM(AS2453:AS2454)</f>
        <v>496466.23</v>
      </c>
      <c r="BI2453" s="205"/>
      <c r="BJ2453" s="206" t="s">
        <v>10879</v>
      </c>
      <c r="BK2453" s="206" t="s">
        <v>10875</v>
      </c>
      <c r="BL2453" s="207" t="s">
        <v>10880</v>
      </c>
      <c r="BM2453" s="208">
        <f>BH2453</f>
        <v>496466.23</v>
      </c>
      <c r="BN2453" s="160"/>
      <c r="BO2453" s="161">
        <f t="shared" si="2163"/>
        <v>0</v>
      </c>
      <c r="BP2453" s="161"/>
    </row>
    <row r="2454" spans="1:68" ht="51">
      <c r="A2454" s="210"/>
      <c r="B2454" s="195" t="s">
        <v>10886</v>
      </c>
      <c r="C2454" s="196" t="s">
        <v>10887</v>
      </c>
      <c r="D2454" s="146" t="s">
        <v>4692</v>
      </c>
      <c r="E2454" s="377" t="s">
        <v>10887</v>
      </c>
      <c r="F2454" s="150">
        <v>94353.1</v>
      </c>
      <c r="G2454" s="209">
        <v>0</v>
      </c>
      <c r="H2454" s="209"/>
      <c r="I2454" s="209">
        <v>0</v>
      </c>
      <c r="J2454" s="150">
        <v>0</v>
      </c>
      <c r="K2454" s="150">
        <v>0</v>
      </c>
      <c r="L2454" s="150">
        <f t="shared" si="2169"/>
        <v>0</v>
      </c>
      <c r="M2454" s="150">
        <v>731617.35499999998</v>
      </c>
      <c r="N2454" s="150"/>
      <c r="O2454" s="150">
        <v>731617.35499999998</v>
      </c>
      <c r="P2454" s="150">
        <v>1463234.71</v>
      </c>
      <c r="Q2454" s="150">
        <f>489944-P2454</f>
        <v>-973290.71</v>
      </c>
      <c r="R2454" s="150">
        <f t="shared" si="2178"/>
        <v>489944</v>
      </c>
      <c r="S2454" s="150">
        <f t="shared" si="2144"/>
        <v>653258.66666666663</v>
      </c>
      <c r="T2454" s="150"/>
      <c r="U2454" s="150">
        <v>1463234.71</v>
      </c>
      <c r="V2454" s="199"/>
      <c r="W2454" s="150">
        <f t="shared" si="2179"/>
        <v>1463234.71</v>
      </c>
      <c r="X2454" s="150">
        <v>1463234.71</v>
      </c>
      <c r="Y2454" s="150"/>
      <c r="Z2454" s="150">
        <v>1463234.71</v>
      </c>
      <c r="AA2454" s="150">
        <f t="shared" si="2149"/>
        <v>0</v>
      </c>
      <c r="AB2454" s="150">
        <v>1463234.71</v>
      </c>
      <c r="AC2454" s="199"/>
      <c r="AD2454" s="150">
        <f t="shared" si="2180"/>
        <v>1463234.71</v>
      </c>
      <c r="AE2454" s="150">
        <v>1463234.71</v>
      </c>
      <c r="AF2454" s="169" t="s">
        <v>4680</v>
      </c>
      <c r="AG2454" s="201">
        <v>1463234.71</v>
      </c>
      <c r="AH2454" s="241">
        <v>-367413.44</v>
      </c>
      <c r="AI2454" s="150">
        <v>1095821.27</v>
      </c>
      <c r="AJ2454" s="169">
        <f t="shared" si="2151"/>
        <v>-162232.6399999999</v>
      </c>
      <c r="AK2454" s="201">
        <v>1301002.07</v>
      </c>
      <c r="AL2454" s="241">
        <v>-367413.44</v>
      </c>
      <c r="AM2454" s="150">
        <f t="shared" si="2181"/>
        <v>933588.63000000012</v>
      </c>
      <c r="AN2454" s="153">
        <f t="shared" si="2153"/>
        <v>-933588.63000000012</v>
      </c>
      <c r="AO2454" s="154">
        <f t="shared" si="2154"/>
        <v>-933588.63000000012</v>
      </c>
      <c r="AP2454" s="150">
        <v>933588.63000000012</v>
      </c>
      <c r="AQ2454" s="201">
        <v>0</v>
      </c>
      <c r="AR2454" s="199"/>
      <c r="AS2454" s="150">
        <f t="shared" si="2182"/>
        <v>0</v>
      </c>
      <c r="AT2454" s="155" t="s">
        <v>10888</v>
      </c>
      <c r="AU2454" s="156">
        <f t="shared" si="2145"/>
        <v>-529646.07999999984</v>
      </c>
      <c r="AV2454" s="156">
        <f t="shared" si="2146"/>
        <v>0</v>
      </c>
      <c r="AW2454" s="157"/>
      <c r="AX2454" s="150">
        <v>1463234.71</v>
      </c>
      <c r="AY2454" s="150">
        <v>731617.35499999998</v>
      </c>
      <c r="AZ2454" s="150">
        <f>489944-AY2454</f>
        <v>-241673.35499999998</v>
      </c>
      <c r="BA2454" s="150">
        <f t="shared" si="2143"/>
        <v>489944</v>
      </c>
      <c r="BB2454" s="210"/>
      <c r="BC2454" s="210"/>
      <c r="BD2454" s="210"/>
      <c r="BE2454" s="210"/>
      <c r="BF2454" s="210"/>
      <c r="BG2454" s="210"/>
      <c r="BH2454" s="217"/>
      <c r="BI2454" s="210"/>
      <c r="BJ2454" s="210"/>
      <c r="BK2454" s="210"/>
      <c r="BL2454" s="210"/>
      <c r="BM2454" s="208"/>
      <c r="BN2454" s="160"/>
      <c r="BO2454" s="161">
        <f t="shared" si="2163"/>
        <v>0</v>
      </c>
      <c r="BP2454" s="161"/>
    </row>
    <row r="2455" spans="1:68" ht="51">
      <c r="A2455" s="206" t="s">
        <v>10889</v>
      </c>
      <c r="B2455" s="195" t="s">
        <v>10890</v>
      </c>
      <c r="C2455" s="196" t="s">
        <v>10891</v>
      </c>
      <c r="D2455" s="146" t="s">
        <v>4692</v>
      </c>
      <c r="E2455" s="377" t="s">
        <v>10891</v>
      </c>
      <c r="F2455" s="150">
        <v>0</v>
      </c>
      <c r="G2455" s="209">
        <v>0</v>
      </c>
      <c r="H2455" s="209"/>
      <c r="I2455" s="209">
        <v>0</v>
      </c>
      <c r="J2455" s="150">
        <v>0</v>
      </c>
      <c r="K2455" s="150">
        <v>0</v>
      </c>
      <c r="L2455" s="150">
        <f t="shared" si="2169"/>
        <v>0</v>
      </c>
      <c r="M2455" s="150">
        <v>39672.339999999997</v>
      </c>
      <c r="N2455" s="150"/>
      <c r="O2455" s="150">
        <v>39672.339999999997</v>
      </c>
      <c r="P2455" s="150">
        <v>39672.339999999997</v>
      </c>
      <c r="Q2455" s="150">
        <v>0</v>
      </c>
      <c r="R2455" s="150">
        <f t="shared" si="2178"/>
        <v>39672.339999999997</v>
      </c>
      <c r="S2455" s="150">
        <f t="shared" si="2144"/>
        <v>52896.453333333331</v>
      </c>
      <c r="T2455" s="150"/>
      <c r="U2455" s="150">
        <v>39672.339999999997</v>
      </c>
      <c r="V2455" s="199"/>
      <c r="W2455" s="150">
        <f t="shared" si="2179"/>
        <v>39672.339999999997</v>
      </c>
      <c r="X2455" s="150">
        <v>39672.339999999997</v>
      </c>
      <c r="Y2455" s="150"/>
      <c r="Z2455" s="150">
        <v>39672.339999999997</v>
      </c>
      <c r="AA2455" s="150">
        <f t="shared" si="2149"/>
        <v>0</v>
      </c>
      <c r="AB2455" s="150">
        <v>39672.339999999997</v>
      </c>
      <c r="AC2455" s="199"/>
      <c r="AD2455" s="150">
        <f t="shared" si="2180"/>
        <v>39672.339999999997</v>
      </c>
      <c r="AE2455" s="150">
        <v>39672.339999999997</v>
      </c>
      <c r="AF2455" s="169" t="s">
        <v>4680</v>
      </c>
      <c r="AG2455" s="201">
        <v>39672.339999999997</v>
      </c>
      <c r="AH2455" s="199"/>
      <c r="AI2455" s="150">
        <v>39672.339999999997</v>
      </c>
      <c r="AJ2455" s="169">
        <f t="shared" si="2151"/>
        <v>0</v>
      </c>
      <c r="AK2455" s="201">
        <v>39672.339999999997</v>
      </c>
      <c r="AL2455" s="199"/>
      <c r="AM2455" s="150">
        <f t="shared" si="2181"/>
        <v>39672.339999999997</v>
      </c>
      <c r="AN2455" s="153">
        <f t="shared" si="2153"/>
        <v>-39672.339999999997</v>
      </c>
      <c r="AO2455" s="154">
        <f t="shared" si="2154"/>
        <v>-39672.339999999997</v>
      </c>
      <c r="AP2455" s="150">
        <v>39672.339999999997</v>
      </c>
      <c r="AQ2455" s="201">
        <v>0</v>
      </c>
      <c r="AR2455" s="199"/>
      <c r="AS2455" s="150">
        <f t="shared" si="2182"/>
        <v>0</v>
      </c>
      <c r="AT2455" s="155"/>
      <c r="AU2455" s="156">
        <f t="shared" si="2145"/>
        <v>0</v>
      </c>
      <c r="AV2455" s="156">
        <f t="shared" si="2146"/>
        <v>0</v>
      </c>
      <c r="AW2455" s="157"/>
      <c r="AX2455" s="150">
        <v>39672.339999999997</v>
      </c>
      <c r="AY2455" s="150">
        <v>39672.339999999997</v>
      </c>
      <c r="AZ2455" s="150">
        <v>-20000</v>
      </c>
      <c r="BA2455" s="150">
        <f t="shared" si="2143"/>
        <v>19672.339999999997</v>
      </c>
      <c r="BB2455" s="202">
        <v>8</v>
      </c>
      <c r="BC2455" s="202" t="s">
        <v>647</v>
      </c>
      <c r="BD2455" s="202" t="s">
        <v>647</v>
      </c>
      <c r="BE2455" s="202" t="s">
        <v>671</v>
      </c>
      <c r="BF2455" s="202" t="s">
        <v>739</v>
      </c>
      <c r="BG2455" s="231" t="s">
        <v>10892</v>
      </c>
      <c r="BH2455" s="216">
        <f>SUM(AS2455:AS2458)</f>
        <v>0</v>
      </c>
      <c r="BI2455" s="205"/>
      <c r="BJ2455" s="206" t="s">
        <v>10893</v>
      </c>
      <c r="BK2455" s="206" t="s">
        <v>10889</v>
      </c>
      <c r="BL2455" s="207" t="s">
        <v>10894</v>
      </c>
      <c r="BM2455" s="208">
        <f>BH2455</f>
        <v>0</v>
      </c>
      <c r="BN2455" s="160"/>
      <c r="BO2455" s="161">
        <f t="shared" si="2163"/>
        <v>0</v>
      </c>
      <c r="BP2455" s="161"/>
    </row>
    <row r="2456" spans="1:68" ht="38.25">
      <c r="A2456" s="210"/>
      <c r="B2456" s="195" t="s">
        <v>10895</v>
      </c>
      <c r="C2456" s="196" t="s">
        <v>10896</v>
      </c>
      <c r="D2456" s="146" t="s">
        <v>4692</v>
      </c>
      <c r="E2456" s="377" t="s">
        <v>10896</v>
      </c>
      <c r="F2456" s="150">
        <v>0</v>
      </c>
      <c r="G2456" s="209">
        <v>0</v>
      </c>
      <c r="H2456" s="209"/>
      <c r="I2456" s="209">
        <v>0</v>
      </c>
      <c r="J2456" s="150">
        <v>0</v>
      </c>
      <c r="K2456" s="150">
        <v>0</v>
      </c>
      <c r="L2456" s="150">
        <f t="shared" si="2169"/>
        <v>0</v>
      </c>
      <c r="M2456" s="150">
        <v>0</v>
      </c>
      <c r="N2456" s="150"/>
      <c r="O2456" s="150">
        <v>0</v>
      </c>
      <c r="P2456" s="150">
        <v>0</v>
      </c>
      <c r="Q2456" s="150">
        <v>0</v>
      </c>
      <c r="R2456" s="150">
        <f t="shared" si="2178"/>
        <v>0</v>
      </c>
      <c r="S2456" s="150">
        <f t="shared" si="2144"/>
        <v>0</v>
      </c>
      <c r="T2456" s="150"/>
      <c r="U2456" s="150">
        <v>0</v>
      </c>
      <c r="V2456" s="199"/>
      <c r="W2456" s="150">
        <f t="shared" si="2179"/>
        <v>0</v>
      </c>
      <c r="X2456" s="150">
        <v>0</v>
      </c>
      <c r="Y2456" s="150"/>
      <c r="Z2456" s="150">
        <v>0</v>
      </c>
      <c r="AA2456" s="150">
        <f t="shared" si="2149"/>
        <v>0</v>
      </c>
      <c r="AB2456" s="150">
        <v>0</v>
      </c>
      <c r="AC2456" s="199"/>
      <c r="AD2456" s="150">
        <f t="shared" si="2180"/>
        <v>0</v>
      </c>
      <c r="AE2456" s="150">
        <v>0</v>
      </c>
      <c r="AF2456" s="169" t="s">
        <v>4680</v>
      </c>
      <c r="AG2456" s="201">
        <v>0</v>
      </c>
      <c r="AH2456" s="199"/>
      <c r="AI2456" s="150">
        <v>0</v>
      </c>
      <c r="AJ2456" s="169">
        <f t="shared" si="2151"/>
        <v>0</v>
      </c>
      <c r="AK2456" s="201">
        <v>0</v>
      </c>
      <c r="AL2456" s="199"/>
      <c r="AM2456" s="150">
        <f t="shared" si="2181"/>
        <v>0</v>
      </c>
      <c r="AN2456" s="153">
        <f t="shared" si="2153"/>
        <v>0</v>
      </c>
      <c r="AO2456" s="154">
        <f t="shared" si="2154"/>
        <v>0</v>
      </c>
      <c r="AP2456" s="150">
        <v>0</v>
      </c>
      <c r="AQ2456" s="201">
        <v>0</v>
      </c>
      <c r="AR2456" s="199"/>
      <c r="AS2456" s="150">
        <f t="shared" si="2182"/>
        <v>0</v>
      </c>
      <c r="AT2456" s="155"/>
      <c r="AU2456" s="156">
        <f t="shared" si="2145"/>
        <v>0</v>
      </c>
      <c r="AV2456" s="156">
        <f t="shared" si="2146"/>
        <v>0</v>
      </c>
      <c r="AW2456" s="157"/>
      <c r="AX2456" s="150">
        <v>0</v>
      </c>
      <c r="AY2456" s="150">
        <v>0</v>
      </c>
      <c r="AZ2456" s="150"/>
      <c r="BA2456" s="150">
        <f t="shared" si="2143"/>
        <v>0</v>
      </c>
      <c r="BB2456" s="210"/>
      <c r="BC2456" s="210"/>
      <c r="BD2456" s="210"/>
      <c r="BE2456" s="210"/>
      <c r="BF2456" s="210"/>
      <c r="BG2456" s="210"/>
      <c r="BH2456" s="217"/>
      <c r="BI2456" s="210"/>
      <c r="BJ2456" s="210"/>
      <c r="BK2456" s="210"/>
      <c r="BL2456" s="210"/>
      <c r="BM2456" s="208"/>
      <c r="BN2456" s="160"/>
      <c r="BO2456" s="161">
        <f t="shared" si="2163"/>
        <v>0</v>
      </c>
      <c r="BP2456" s="161"/>
    </row>
    <row r="2457" spans="1:68" ht="51">
      <c r="A2457" s="210"/>
      <c r="B2457" s="195" t="s">
        <v>10897</v>
      </c>
      <c r="C2457" s="196" t="s">
        <v>10898</v>
      </c>
      <c r="D2457" s="146" t="s">
        <v>4692</v>
      </c>
      <c r="E2457" s="377" t="s">
        <v>10898</v>
      </c>
      <c r="F2457" s="150">
        <v>0</v>
      </c>
      <c r="G2457" s="209">
        <v>5134.9399999999996</v>
      </c>
      <c r="H2457" s="209"/>
      <c r="I2457" s="209">
        <v>5134.9399999999996</v>
      </c>
      <c r="J2457" s="150">
        <v>0</v>
      </c>
      <c r="K2457" s="150">
        <v>0</v>
      </c>
      <c r="L2457" s="150">
        <f t="shared" si="2169"/>
        <v>0</v>
      </c>
      <c r="M2457" s="150">
        <v>0</v>
      </c>
      <c r="N2457" s="150"/>
      <c r="O2457" s="150">
        <v>0</v>
      </c>
      <c r="P2457" s="150">
        <v>0</v>
      </c>
      <c r="Q2457" s="150">
        <v>0</v>
      </c>
      <c r="R2457" s="150">
        <f t="shared" si="2178"/>
        <v>0</v>
      </c>
      <c r="S2457" s="150">
        <f t="shared" si="2144"/>
        <v>0</v>
      </c>
      <c r="T2457" s="150"/>
      <c r="U2457" s="150">
        <v>0</v>
      </c>
      <c r="V2457" s="199"/>
      <c r="W2457" s="150">
        <f t="shared" si="2179"/>
        <v>0</v>
      </c>
      <c r="X2457" s="150">
        <v>0</v>
      </c>
      <c r="Y2457" s="150"/>
      <c r="Z2457" s="150">
        <v>0</v>
      </c>
      <c r="AA2457" s="150">
        <f t="shared" si="2149"/>
        <v>0</v>
      </c>
      <c r="AB2457" s="150">
        <v>0</v>
      </c>
      <c r="AC2457" s="199"/>
      <c r="AD2457" s="150">
        <f t="shared" si="2180"/>
        <v>0</v>
      </c>
      <c r="AE2457" s="150">
        <v>0</v>
      </c>
      <c r="AF2457" s="169" t="s">
        <v>4680</v>
      </c>
      <c r="AG2457" s="201">
        <v>0</v>
      </c>
      <c r="AH2457" s="199"/>
      <c r="AI2457" s="150">
        <v>0</v>
      </c>
      <c r="AJ2457" s="169">
        <f t="shared" si="2151"/>
        <v>0</v>
      </c>
      <c r="AK2457" s="201">
        <v>0</v>
      </c>
      <c r="AL2457" s="199"/>
      <c r="AM2457" s="150">
        <f t="shared" si="2181"/>
        <v>0</v>
      </c>
      <c r="AN2457" s="153">
        <f t="shared" si="2153"/>
        <v>0</v>
      </c>
      <c r="AO2457" s="154">
        <f t="shared" si="2154"/>
        <v>0</v>
      </c>
      <c r="AP2457" s="150">
        <v>0</v>
      </c>
      <c r="AQ2457" s="201">
        <v>0</v>
      </c>
      <c r="AR2457" s="199"/>
      <c r="AS2457" s="150">
        <f t="shared" si="2182"/>
        <v>0</v>
      </c>
      <c r="AT2457" s="155"/>
      <c r="AU2457" s="156">
        <f t="shared" si="2145"/>
        <v>0</v>
      </c>
      <c r="AV2457" s="156">
        <f t="shared" si="2146"/>
        <v>0</v>
      </c>
      <c r="AW2457" s="157"/>
      <c r="AX2457" s="150">
        <v>0</v>
      </c>
      <c r="AY2457" s="150">
        <v>0</v>
      </c>
      <c r="AZ2457" s="150"/>
      <c r="BA2457" s="150">
        <f t="shared" si="2143"/>
        <v>0</v>
      </c>
      <c r="BB2457" s="210"/>
      <c r="BC2457" s="210"/>
      <c r="BD2457" s="210"/>
      <c r="BE2457" s="210"/>
      <c r="BF2457" s="210"/>
      <c r="BG2457" s="210"/>
      <c r="BH2457" s="217"/>
      <c r="BI2457" s="210"/>
      <c r="BJ2457" s="210"/>
      <c r="BK2457" s="210"/>
      <c r="BL2457" s="210"/>
      <c r="BM2457" s="208"/>
      <c r="BN2457" s="160"/>
      <c r="BO2457" s="161">
        <f t="shared" si="2163"/>
        <v>0</v>
      </c>
      <c r="BP2457" s="161"/>
    </row>
    <row r="2458" spans="1:68" ht="51">
      <c r="A2458" s="210"/>
      <c r="B2458" s="195" t="s">
        <v>10899</v>
      </c>
      <c r="C2458" s="196" t="s">
        <v>10900</v>
      </c>
      <c r="D2458" s="146" t="s">
        <v>4692</v>
      </c>
      <c r="E2458" s="377" t="s">
        <v>10900</v>
      </c>
      <c r="F2458" s="150">
        <v>0</v>
      </c>
      <c r="G2458" s="209">
        <v>18599.16</v>
      </c>
      <c r="H2458" s="209"/>
      <c r="I2458" s="209">
        <v>18599.16</v>
      </c>
      <c r="J2458" s="150">
        <v>0</v>
      </c>
      <c r="K2458" s="150">
        <v>0</v>
      </c>
      <c r="L2458" s="150">
        <f t="shared" si="2169"/>
        <v>0</v>
      </c>
      <c r="M2458" s="150">
        <v>0</v>
      </c>
      <c r="N2458" s="150"/>
      <c r="O2458" s="150">
        <v>0</v>
      </c>
      <c r="P2458" s="150">
        <v>0</v>
      </c>
      <c r="Q2458" s="150">
        <v>0</v>
      </c>
      <c r="R2458" s="150">
        <f t="shared" si="2178"/>
        <v>0</v>
      </c>
      <c r="S2458" s="150">
        <f t="shared" si="2144"/>
        <v>0</v>
      </c>
      <c r="T2458" s="150"/>
      <c r="U2458" s="150">
        <v>0</v>
      </c>
      <c r="V2458" s="199"/>
      <c r="W2458" s="150">
        <f t="shared" si="2179"/>
        <v>0</v>
      </c>
      <c r="X2458" s="150">
        <v>0</v>
      </c>
      <c r="Y2458" s="150"/>
      <c r="Z2458" s="150">
        <v>0</v>
      </c>
      <c r="AA2458" s="150">
        <f t="shared" si="2149"/>
        <v>0</v>
      </c>
      <c r="AB2458" s="150">
        <v>0</v>
      </c>
      <c r="AC2458" s="199"/>
      <c r="AD2458" s="150">
        <f t="shared" si="2180"/>
        <v>0</v>
      </c>
      <c r="AE2458" s="150">
        <v>0</v>
      </c>
      <c r="AF2458" s="169" t="s">
        <v>4680</v>
      </c>
      <c r="AG2458" s="201">
        <v>0</v>
      </c>
      <c r="AH2458" s="199"/>
      <c r="AI2458" s="150">
        <v>0</v>
      </c>
      <c r="AJ2458" s="169">
        <f t="shared" si="2151"/>
        <v>0</v>
      </c>
      <c r="AK2458" s="201">
        <v>0</v>
      </c>
      <c r="AL2458" s="199"/>
      <c r="AM2458" s="150">
        <f t="shared" si="2181"/>
        <v>0</v>
      </c>
      <c r="AN2458" s="153">
        <f t="shared" si="2153"/>
        <v>0</v>
      </c>
      <c r="AO2458" s="154">
        <f t="shared" si="2154"/>
        <v>0</v>
      </c>
      <c r="AP2458" s="150">
        <v>0</v>
      </c>
      <c r="AQ2458" s="201">
        <v>0</v>
      </c>
      <c r="AR2458" s="199"/>
      <c r="AS2458" s="150">
        <f t="shared" si="2182"/>
        <v>0</v>
      </c>
      <c r="AT2458" s="155"/>
      <c r="AU2458" s="156">
        <f t="shared" si="2145"/>
        <v>0</v>
      </c>
      <c r="AV2458" s="156">
        <f t="shared" si="2146"/>
        <v>0</v>
      </c>
      <c r="AW2458" s="157"/>
      <c r="AX2458" s="150">
        <v>0</v>
      </c>
      <c r="AY2458" s="150">
        <v>0</v>
      </c>
      <c r="AZ2458" s="150"/>
      <c r="BA2458" s="150">
        <f t="shared" si="2143"/>
        <v>0</v>
      </c>
      <c r="BB2458" s="210"/>
      <c r="BC2458" s="210"/>
      <c r="BD2458" s="210"/>
      <c r="BE2458" s="210"/>
      <c r="BF2458" s="210"/>
      <c r="BG2458" s="210"/>
      <c r="BH2458" s="217"/>
      <c r="BI2458" s="210"/>
      <c r="BJ2458" s="210"/>
      <c r="BK2458" s="210"/>
      <c r="BL2458" s="210"/>
      <c r="BM2458" s="208"/>
      <c r="BN2458" s="160"/>
      <c r="BO2458" s="161">
        <f t="shared" si="2163"/>
        <v>0</v>
      </c>
      <c r="BP2458" s="161"/>
    </row>
    <row r="2459" spans="1:68" ht="51">
      <c r="A2459" s="206" t="s">
        <v>10889</v>
      </c>
      <c r="B2459" s="195" t="s">
        <v>10901</v>
      </c>
      <c r="C2459" s="196" t="s">
        <v>10902</v>
      </c>
      <c r="D2459" s="146" t="s">
        <v>4692</v>
      </c>
      <c r="E2459" s="377" t="s">
        <v>10902</v>
      </c>
      <c r="F2459" s="150">
        <v>5134.9399999999996</v>
      </c>
      <c r="G2459" s="209">
        <v>12966.63</v>
      </c>
      <c r="H2459" s="209"/>
      <c r="I2459" s="209">
        <v>12966.63</v>
      </c>
      <c r="J2459" s="150">
        <v>0</v>
      </c>
      <c r="K2459" s="150">
        <v>0</v>
      </c>
      <c r="L2459" s="150">
        <f t="shared" si="2169"/>
        <v>0</v>
      </c>
      <c r="M2459" s="150">
        <v>122401.52</v>
      </c>
      <c r="N2459" s="150"/>
      <c r="O2459" s="150">
        <v>122401.52</v>
      </c>
      <c r="P2459" s="150">
        <v>122401.52</v>
      </c>
      <c r="Q2459" s="150">
        <v>0</v>
      </c>
      <c r="R2459" s="150">
        <f t="shared" si="2178"/>
        <v>122401.52</v>
      </c>
      <c r="S2459" s="150">
        <f t="shared" si="2144"/>
        <v>163202.02666666667</v>
      </c>
      <c r="T2459" s="150"/>
      <c r="U2459" s="150">
        <v>122401.52</v>
      </c>
      <c r="V2459" s="199"/>
      <c r="W2459" s="150">
        <f t="shared" si="2179"/>
        <v>122401.52</v>
      </c>
      <c r="X2459" s="150">
        <v>122401.52</v>
      </c>
      <c r="Y2459" s="150"/>
      <c r="Z2459" s="150">
        <v>122401.52</v>
      </c>
      <c r="AA2459" s="150">
        <f t="shared" si="2149"/>
        <v>0</v>
      </c>
      <c r="AB2459" s="150">
        <v>122401.52</v>
      </c>
      <c r="AC2459" s="199"/>
      <c r="AD2459" s="150">
        <f t="shared" si="2180"/>
        <v>122401.52</v>
      </c>
      <c r="AE2459" s="150">
        <v>122401.52</v>
      </c>
      <c r="AF2459" s="169" t="s">
        <v>4680</v>
      </c>
      <c r="AG2459" s="201">
        <v>122401.52</v>
      </c>
      <c r="AH2459" s="199"/>
      <c r="AI2459" s="150">
        <v>122401.52</v>
      </c>
      <c r="AJ2459" s="169">
        <f t="shared" si="2151"/>
        <v>-12055.73000000001</v>
      </c>
      <c r="AK2459" s="201">
        <v>110345.79</v>
      </c>
      <c r="AL2459" s="199"/>
      <c r="AM2459" s="150">
        <f t="shared" si="2181"/>
        <v>110345.79</v>
      </c>
      <c r="AN2459" s="153">
        <f t="shared" si="2153"/>
        <v>110345.79</v>
      </c>
      <c r="AO2459" s="154">
        <f t="shared" si="2154"/>
        <v>110345.79</v>
      </c>
      <c r="AP2459" s="150">
        <v>110345.79</v>
      </c>
      <c r="AQ2459" s="201">
        <v>220691.58</v>
      </c>
      <c r="AR2459" s="199"/>
      <c r="AS2459" s="150">
        <f t="shared" si="2182"/>
        <v>220691.58</v>
      </c>
      <c r="AT2459" s="155"/>
      <c r="AU2459" s="156">
        <f t="shared" si="2145"/>
        <v>-12055.73000000001</v>
      </c>
      <c r="AV2459" s="156">
        <f t="shared" si="2146"/>
        <v>0</v>
      </c>
      <c r="AW2459" s="157"/>
      <c r="AX2459" s="150">
        <v>122401.52</v>
      </c>
      <c r="AY2459" s="150">
        <v>122401.52</v>
      </c>
      <c r="AZ2459" s="150">
        <v>-22401</v>
      </c>
      <c r="BA2459" s="150">
        <f t="shared" si="2143"/>
        <v>100000.52</v>
      </c>
      <c r="BB2459" s="202">
        <v>8</v>
      </c>
      <c r="BC2459" s="202" t="s">
        <v>647</v>
      </c>
      <c r="BD2459" s="202" t="s">
        <v>647</v>
      </c>
      <c r="BE2459" s="202" t="s">
        <v>671</v>
      </c>
      <c r="BF2459" s="202" t="s">
        <v>755</v>
      </c>
      <c r="BG2459" s="231" t="s">
        <v>10903</v>
      </c>
      <c r="BH2459" s="216">
        <f>SUM(AS2459:AS2467)</f>
        <v>220691.58</v>
      </c>
      <c r="BI2459" s="205"/>
      <c r="BJ2459" s="206" t="s">
        <v>10893</v>
      </c>
      <c r="BK2459" s="206" t="s">
        <v>10889</v>
      </c>
      <c r="BL2459" s="207" t="s">
        <v>10894</v>
      </c>
      <c r="BM2459" s="208">
        <f>BH2459</f>
        <v>220691.58</v>
      </c>
      <c r="BN2459" s="160"/>
      <c r="BO2459" s="161">
        <f t="shared" si="2163"/>
        <v>0</v>
      </c>
      <c r="BP2459" s="161"/>
    </row>
    <row r="2460" spans="1:68" ht="51">
      <c r="A2460" s="210"/>
      <c r="B2460" s="195" t="s">
        <v>10904</v>
      </c>
      <c r="C2460" s="196" t="s">
        <v>10905</v>
      </c>
      <c r="D2460" s="146" t="s">
        <v>4692</v>
      </c>
      <c r="E2460" s="377" t="s">
        <v>10905</v>
      </c>
      <c r="F2460" s="150">
        <v>18599.16</v>
      </c>
      <c r="G2460" s="209">
        <v>0</v>
      </c>
      <c r="H2460" s="209"/>
      <c r="I2460" s="209">
        <v>0</v>
      </c>
      <c r="J2460" s="150">
        <v>0</v>
      </c>
      <c r="K2460" s="150">
        <v>0</v>
      </c>
      <c r="L2460" s="150">
        <f t="shared" si="2169"/>
        <v>0</v>
      </c>
      <c r="M2460" s="150">
        <v>171010.93</v>
      </c>
      <c r="N2460" s="150"/>
      <c r="O2460" s="150">
        <v>171010.93</v>
      </c>
      <c r="P2460" s="150">
        <v>171010.93</v>
      </c>
      <c r="Q2460" s="150">
        <v>0</v>
      </c>
      <c r="R2460" s="150">
        <f t="shared" si="2178"/>
        <v>171010.93</v>
      </c>
      <c r="S2460" s="150">
        <f t="shared" si="2144"/>
        <v>228014.5733333333</v>
      </c>
      <c r="T2460" s="150"/>
      <c r="U2460" s="150">
        <v>171010.93</v>
      </c>
      <c r="V2460" s="199"/>
      <c r="W2460" s="150">
        <f t="shared" si="2179"/>
        <v>171010.93</v>
      </c>
      <c r="X2460" s="150">
        <v>171010.93</v>
      </c>
      <c r="Y2460" s="150"/>
      <c r="Z2460" s="150">
        <v>171010.93</v>
      </c>
      <c r="AA2460" s="150">
        <f t="shared" si="2149"/>
        <v>0</v>
      </c>
      <c r="AB2460" s="150">
        <v>171010.93</v>
      </c>
      <c r="AC2460" s="199"/>
      <c r="AD2460" s="150">
        <f t="shared" si="2180"/>
        <v>171010.93</v>
      </c>
      <c r="AE2460" s="150">
        <v>171010.93</v>
      </c>
      <c r="AF2460" s="169" t="s">
        <v>4680</v>
      </c>
      <c r="AG2460" s="201">
        <v>171010.93</v>
      </c>
      <c r="AH2460" s="199"/>
      <c r="AI2460" s="150">
        <v>171010.93</v>
      </c>
      <c r="AJ2460" s="169">
        <f t="shared" si="2151"/>
        <v>0</v>
      </c>
      <c r="AK2460" s="201">
        <v>171010.93</v>
      </c>
      <c r="AL2460" s="199"/>
      <c r="AM2460" s="150">
        <f t="shared" si="2181"/>
        <v>171010.93</v>
      </c>
      <c r="AN2460" s="153">
        <f t="shared" si="2153"/>
        <v>-171010.93</v>
      </c>
      <c r="AO2460" s="154">
        <f t="shared" si="2154"/>
        <v>-171010.93</v>
      </c>
      <c r="AP2460" s="150">
        <v>171010.93</v>
      </c>
      <c r="AQ2460" s="201"/>
      <c r="AR2460" s="199"/>
      <c r="AS2460" s="150">
        <f t="shared" si="2182"/>
        <v>0</v>
      </c>
      <c r="AT2460" s="155"/>
      <c r="AU2460" s="156">
        <f t="shared" si="2145"/>
        <v>0</v>
      </c>
      <c r="AV2460" s="156">
        <f t="shared" si="2146"/>
        <v>0</v>
      </c>
      <c r="AW2460" s="157"/>
      <c r="AX2460" s="150">
        <v>171010.93</v>
      </c>
      <c r="AY2460" s="150">
        <v>171010.93</v>
      </c>
      <c r="AZ2460" s="150">
        <v>-71010</v>
      </c>
      <c r="BA2460" s="150">
        <f t="shared" si="2143"/>
        <v>100000.93</v>
      </c>
      <c r="BB2460" s="210"/>
      <c r="BC2460" s="210"/>
      <c r="BD2460" s="210"/>
      <c r="BE2460" s="210"/>
      <c r="BF2460" s="210"/>
      <c r="BG2460" s="210"/>
      <c r="BH2460" s="217"/>
      <c r="BI2460" s="210"/>
      <c r="BJ2460" s="210"/>
      <c r="BK2460" s="210"/>
      <c r="BL2460" s="210"/>
      <c r="BM2460" s="208"/>
      <c r="BN2460" s="160"/>
      <c r="BO2460" s="161">
        <f t="shared" si="2163"/>
        <v>0</v>
      </c>
      <c r="BP2460" s="161"/>
    </row>
    <row r="2461" spans="1:68" ht="38.25">
      <c r="A2461" s="210"/>
      <c r="B2461" s="195" t="s">
        <v>10906</v>
      </c>
      <c r="C2461" s="196" t="s">
        <v>10907</v>
      </c>
      <c r="D2461" s="146" t="s">
        <v>4692</v>
      </c>
      <c r="E2461" s="377" t="s">
        <v>10907</v>
      </c>
      <c r="F2461" s="150">
        <v>12966.63</v>
      </c>
      <c r="G2461" s="209">
        <v>2090.46</v>
      </c>
      <c r="H2461" s="209"/>
      <c r="I2461" s="209">
        <v>2090.46</v>
      </c>
      <c r="J2461" s="150">
        <v>0</v>
      </c>
      <c r="K2461" s="150">
        <v>0</v>
      </c>
      <c r="L2461" s="150">
        <f t="shared" si="2169"/>
        <v>0</v>
      </c>
      <c r="M2461" s="150">
        <v>4397.03</v>
      </c>
      <c r="N2461" s="150"/>
      <c r="O2461" s="150">
        <v>4397.03</v>
      </c>
      <c r="P2461" s="150">
        <v>4397.03</v>
      </c>
      <c r="Q2461" s="150">
        <v>0</v>
      </c>
      <c r="R2461" s="150">
        <f t="shared" si="2178"/>
        <v>4397.03</v>
      </c>
      <c r="S2461" s="150">
        <f t="shared" si="2144"/>
        <v>5862.7066666666669</v>
      </c>
      <c r="T2461" s="150"/>
      <c r="U2461" s="150">
        <v>4397.03</v>
      </c>
      <c r="V2461" s="199"/>
      <c r="W2461" s="150">
        <f t="shared" si="2179"/>
        <v>4397.03</v>
      </c>
      <c r="X2461" s="150">
        <v>4397.03</v>
      </c>
      <c r="Y2461" s="150"/>
      <c r="Z2461" s="150">
        <v>4397.03</v>
      </c>
      <c r="AA2461" s="150">
        <f t="shared" si="2149"/>
        <v>0</v>
      </c>
      <c r="AB2461" s="150">
        <v>4397.03</v>
      </c>
      <c r="AC2461" s="199"/>
      <c r="AD2461" s="150">
        <f t="shared" si="2180"/>
        <v>4397.03</v>
      </c>
      <c r="AE2461" s="150">
        <v>4397.03</v>
      </c>
      <c r="AF2461" s="169" t="s">
        <v>4680</v>
      </c>
      <c r="AG2461" s="201">
        <v>4397.03</v>
      </c>
      <c r="AH2461" s="199"/>
      <c r="AI2461" s="150">
        <v>4397.03</v>
      </c>
      <c r="AJ2461" s="169">
        <f t="shared" si="2151"/>
        <v>0</v>
      </c>
      <c r="AK2461" s="201">
        <v>4397.03</v>
      </c>
      <c r="AL2461" s="199"/>
      <c r="AM2461" s="150">
        <f t="shared" si="2181"/>
        <v>4397.03</v>
      </c>
      <c r="AN2461" s="153">
        <f t="shared" si="2153"/>
        <v>-4397.03</v>
      </c>
      <c r="AO2461" s="154">
        <f t="shared" si="2154"/>
        <v>-4397.03</v>
      </c>
      <c r="AP2461" s="150">
        <v>4397.03</v>
      </c>
      <c r="AQ2461" s="201">
        <v>0</v>
      </c>
      <c r="AR2461" s="199"/>
      <c r="AS2461" s="150">
        <f t="shared" si="2182"/>
        <v>0</v>
      </c>
      <c r="AT2461" s="155"/>
      <c r="AU2461" s="156">
        <f t="shared" si="2145"/>
        <v>0</v>
      </c>
      <c r="AV2461" s="156">
        <f t="shared" si="2146"/>
        <v>0</v>
      </c>
      <c r="AW2461" s="157"/>
      <c r="AX2461" s="150">
        <v>4397.03</v>
      </c>
      <c r="AY2461" s="150">
        <v>4397.03</v>
      </c>
      <c r="AZ2461" s="150"/>
      <c r="BA2461" s="150">
        <f t="shared" si="2143"/>
        <v>4397.03</v>
      </c>
      <c r="BB2461" s="210"/>
      <c r="BC2461" s="210"/>
      <c r="BD2461" s="210"/>
      <c r="BE2461" s="210"/>
      <c r="BF2461" s="210"/>
      <c r="BG2461" s="210"/>
      <c r="BH2461" s="217"/>
      <c r="BI2461" s="210"/>
      <c r="BJ2461" s="210"/>
      <c r="BK2461" s="210"/>
      <c r="BL2461" s="210"/>
      <c r="BM2461" s="208"/>
      <c r="BN2461" s="160"/>
      <c r="BO2461" s="161">
        <f t="shared" si="2163"/>
        <v>0</v>
      </c>
      <c r="BP2461" s="161"/>
    </row>
    <row r="2462" spans="1:68" ht="51">
      <c r="A2462" s="210"/>
      <c r="B2462" s="195" t="s">
        <v>10908</v>
      </c>
      <c r="C2462" s="196" t="s">
        <v>10909</v>
      </c>
      <c r="D2462" s="146" t="s">
        <v>4692</v>
      </c>
      <c r="E2462" s="377" t="s">
        <v>10909</v>
      </c>
      <c r="F2462" s="150">
        <v>0</v>
      </c>
      <c r="G2462" s="209">
        <v>18721.66</v>
      </c>
      <c r="H2462" s="209"/>
      <c r="I2462" s="209">
        <v>18721.66</v>
      </c>
      <c r="J2462" s="150">
        <v>0</v>
      </c>
      <c r="K2462" s="150">
        <v>0</v>
      </c>
      <c r="L2462" s="150">
        <f t="shared" si="2169"/>
        <v>0</v>
      </c>
      <c r="M2462" s="150">
        <v>0</v>
      </c>
      <c r="N2462" s="150"/>
      <c r="O2462" s="150">
        <v>0</v>
      </c>
      <c r="P2462" s="150">
        <v>0</v>
      </c>
      <c r="Q2462" s="150">
        <v>0</v>
      </c>
      <c r="R2462" s="150">
        <f t="shared" si="2178"/>
        <v>0</v>
      </c>
      <c r="S2462" s="150">
        <f t="shared" si="2144"/>
        <v>0</v>
      </c>
      <c r="T2462" s="150"/>
      <c r="U2462" s="150">
        <v>0</v>
      </c>
      <c r="V2462" s="199"/>
      <c r="W2462" s="150">
        <f t="shared" si="2179"/>
        <v>0</v>
      </c>
      <c r="X2462" s="150">
        <v>0</v>
      </c>
      <c r="Y2462" s="150"/>
      <c r="Z2462" s="150">
        <v>0</v>
      </c>
      <c r="AA2462" s="150">
        <f t="shared" si="2149"/>
        <v>0</v>
      </c>
      <c r="AB2462" s="150">
        <v>0</v>
      </c>
      <c r="AC2462" s="199"/>
      <c r="AD2462" s="150">
        <f t="shared" si="2180"/>
        <v>0</v>
      </c>
      <c r="AE2462" s="150">
        <v>0</v>
      </c>
      <c r="AF2462" s="169" t="s">
        <v>4680</v>
      </c>
      <c r="AG2462" s="201">
        <v>0</v>
      </c>
      <c r="AH2462" s="199"/>
      <c r="AI2462" s="150">
        <v>0</v>
      </c>
      <c r="AJ2462" s="169">
        <f t="shared" si="2151"/>
        <v>0</v>
      </c>
      <c r="AK2462" s="201">
        <v>0</v>
      </c>
      <c r="AL2462" s="199"/>
      <c r="AM2462" s="150">
        <f t="shared" si="2181"/>
        <v>0</v>
      </c>
      <c r="AN2462" s="153">
        <f t="shared" si="2153"/>
        <v>0</v>
      </c>
      <c r="AO2462" s="154">
        <f t="shared" si="2154"/>
        <v>0</v>
      </c>
      <c r="AP2462" s="150">
        <v>0</v>
      </c>
      <c r="AQ2462" s="201">
        <v>0</v>
      </c>
      <c r="AR2462" s="199"/>
      <c r="AS2462" s="150">
        <f t="shared" si="2182"/>
        <v>0</v>
      </c>
      <c r="AT2462" s="155"/>
      <c r="AU2462" s="156">
        <f t="shared" si="2145"/>
        <v>0</v>
      </c>
      <c r="AV2462" s="156">
        <f t="shared" si="2146"/>
        <v>0</v>
      </c>
      <c r="AW2462" s="157"/>
      <c r="AX2462" s="150">
        <v>0</v>
      </c>
      <c r="AY2462" s="150">
        <v>0</v>
      </c>
      <c r="AZ2462" s="150"/>
      <c r="BA2462" s="150">
        <f t="shared" si="2143"/>
        <v>0</v>
      </c>
      <c r="BB2462" s="210"/>
      <c r="BC2462" s="210"/>
      <c r="BD2462" s="210"/>
      <c r="BE2462" s="210"/>
      <c r="BF2462" s="210"/>
      <c r="BG2462" s="210"/>
      <c r="BH2462" s="217"/>
      <c r="BI2462" s="210"/>
      <c r="BJ2462" s="210"/>
      <c r="BK2462" s="210"/>
      <c r="BL2462" s="210"/>
      <c r="BM2462" s="208"/>
      <c r="BN2462" s="160"/>
      <c r="BO2462" s="161">
        <f t="shared" si="2163"/>
        <v>0</v>
      </c>
      <c r="BP2462" s="161"/>
    </row>
    <row r="2463" spans="1:68" ht="51">
      <c r="A2463" s="210"/>
      <c r="B2463" s="195" t="s">
        <v>10910</v>
      </c>
      <c r="C2463" s="196" t="s">
        <v>10911</v>
      </c>
      <c r="D2463" s="146" t="s">
        <v>4692</v>
      </c>
      <c r="E2463" s="377" t="s">
        <v>10911</v>
      </c>
      <c r="F2463" s="150">
        <v>2090.46</v>
      </c>
      <c r="G2463" s="209">
        <v>0</v>
      </c>
      <c r="H2463" s="209"/>
      <c r="I2463" s="209">
        <v>0</v>
      </c>
      <c r="J2463" s="150">
        <v>0</v>
      </c>
      <c r="K2463" s="150">
        <v>0</v>
      </c>
      <c r="L2463" s="150">
        <f t="shared" si="2169"/>
        <v>0</v>
      </c>
      <c r="M2463" s="150">
        <v>21415.7</v>
      </c>
      <c r="N2463" s="150"/>
      <c r="O2463" s="150">
        <v>21415.7</v>
      </c>
      <c r="P2463" s="150">
        <v>21415.7</v>
      </c>
      <c r="Q2463" s="150">
        <v>0</v>
      </c>
      <c r="R2463" s="150">
        <f t="shared" si="2178"/>
        <v>21415.7</v>
      </c>
      <c r="S2463" s="150">
        <f t="shared" si="2144"/>
        <v>28554.26666666667</v>
      </c>
      <c r="T2463" s="150"/>
      <c r="U2463" s="150">
        <v>21415.7</v>
      </c>
      <c r="V2463" s="199"/>
      <c r="W2463" s="150">
        <f t="shared" si="2179"/>
        <v>21415.7</v>
      </c>
      <c r="X2463" s="150">
        <v>21415.7</v>
      </c>
      <c r="Y2463" s="150"/>
      <c r="Z2463" s="150">
        <v>21415.7</v>
      </c>
      <c r="AA2463" s="150">
        <f t="shared" si="2149"/>
        <v>0</v>
      </c>
      <c r="AB2463" s="150">
        <v>21415.7</v>
      </c>
      <c r="AC2463" s="199"/>
      <c r="AD2463" s="150">
        <f t="shared" si="2180"/>
        <v>21415.7</v>
      </c>
      <c r="AE2463" s="150">
        <v>21415.7</v>
      </c>
      <c r="AF2463" s="169" t="s">
        <v>4680</v>
      </c>
      <c r="AG2463" s="201">
        <v>21415.7</v>
      </c>
      <c r="AH2463" s="199"/>
      <c r="AI2463" s="150">
        <v>21415.7</v>
      </c>
      <c r="AJ2463" s="169">
        <f t="shared" si="2151"/>
        <v>0</v>
      </c>
      <c r="AK2463" s="201">
        <v>21415.7</v>
      </c>
      <c r="AL2463" s="199"/>
      <c r="AM2463" s="150">
        <f t="shared" si="2181"/>
        <v>21415.7</v>
      </c>
      <c r="AN2463" s="153">
        <f t="shared" si="2153"/>
        <v>-21415.7</v>
      </c>
      <c r="AO2463" s="154">
        <f t="shared" si="2154"/>
        <v>-21415.7</v>
      </c>
      <c r="AP2463" s="150">
        <v>21415.7</v>
      </c>
      <c r="AQ2463" s="201">
        <v>0</v>
      </c>
      <c r="AR2463" s="199"/>
      <c r="AS2463" s="150">
        <f t="shared" si="2182"/>
        <v>0</v>
      </c>
      <c r="AT2463" s="155"/>
      <c r="AU2463" s="156">
        <f t="shared" si="2145"/>
        <v>0</v>
      </c>
      <c r="AV2463" s="156">
        <f t="shared" si="2146"/>
        <v>0</v>
      </c>
      <c r="AW2463" s="157"/>
      <c r="AX2463" s="150">
        <v>21415.7</v>
      </c>
      <c r="AY2463" s="150">
        <v>21415.7</v>
      </c>
      <c r="AZ2463" s="150">
        <v>-15000</v>
      </c>
      <c r="BA2463" s="150">
        <f t="shared" si="2143"/>
        <v>6415.7000000000007</v>
      </c>
      <c r="BB2463" s="210"/>
      <c r="BC2463" s="210"/>
      <c r="BD2463" s="210"/>
      <c r="BE2463" s="210"/>
      <c r="BF2463" s="210"/>
      <c r="BG2463" s="210"/>
      <c r="BH2463" s="217"/>
      <c r="BI2463" s="210"/>
      <c r="BJ2463" s="210"/>
      <c r="BK2463" s="210"/>
      <c r="BL2463" s="210"/>
      <c r="BM2463" s="208"/>
      <c r="BN2463" s="160"/>
      <c r="BO2463" s="161">
        <f t="shared" si="2163"/>
        <v>0</v>
      </c>
      <c r="BP2463" s="161"/>
    </row>
    <row r="2464" spans="1:68" ht="51">
      <c r="A2464" s="210"/>
      <c r="B2464" s="195" t="s">
        <v>10912</v>
      </c>
      <c r="C2464" s="196" t="s">
        <v>10913</v>
      </c>
      <c r="D2464" s="146" t="s">
        <v>4692</v>
      </c>
      <c r="E2464" s="377" t="s">
        <v>10913</v>
      </c>
      <c r="F2464" s="150">
        <v>18721.66</v>
      </c>
      <c r="G2464" s="209">
        <v>0</v>
      </c>
      <c r="H2464" s="209"/>
      <c r="I2464" s="209">
        <v>0</v>
      </c>
      <c r="J2464" s="150">
        <v>0</v>
      </c>
      <c r="K2464" s="150">
        <v>0</v>
      </c>
      <c r="L2464" s="150">
        <f t="shared" si="2169"/>
        <v>0</v>
      </c>
      <c r="M2464" s="150">
        <v>7430.37</v>
      </c>
      <c r="N2464" s="150"/>
      <c r="O2464" s="150">
        <v>7430.37</v>
      </c>
      <c r="P2464" s="150">
        <v>7430.37</v>
      </c>
      <c r="Q2464" s="150">
        <v>0</v>
      </c>
      <c r="R2464" s="150">
        <f t="shared" si="2178"/>
        <v>7430.37</v>
      </c>
      <c r="S2464" s="150">
        <f t="shared" si="2144"/>
        <v>9907.16</v>
      </c>
      <c r="T2464" s="150"/>
      <c r="U2464" s="150">
        <v>7430.37</v>
      </c>
      <c r="V2464" s="199"/>
      <c r="W2464" s="150">
        <f t="shared" si="2179"/>
        <v>7430.37</v>
      </c>
      <c r="X2464" s="150">
        <v>7430.37</v>
      </c>
      <c r="Y2464" s="150"/>
      <c r="Z2464" s="150">
        <v>7430.37</v>
      </c>
      <c r="AA2464" s="150">
        <f t="shared" si="2149"/>
        <v>0</v>
      </c>
      <c r="AB2464" s="150">
        <v>7430.37</v>
      </c>
      <c r="AC2464" s="199"/>
      <c r="AD2464" s="150">
        <f t="shared" si="2180"/>
        <v>7430.37</v>
      </c>
      <c r="AE2464" s="150">
        <v>7430.37</v>
      </c>
      <c r="AF2464" s="169" t="s">
        <v>4680</v>
      </c>
      <c r="AG2464" s="201">
        <v>7430.37</v>
      </c>
      <c r="AH2464" s="199"/>
      <c r="AI2464" s="150">
        <v>7430.37</v>
      </c>
      <c r="AJ2464" s="169">
        <f t="shared" si="2151"/>
        <v>0</v>
      </c>
      <c r="AK2464" s="201">
        <v>7430.37</v>
      </c>
      <c r="AL2464" s="199"/>
      <c r="AM2464" s="150">
        <f t="shared" si="2181"/>
        <v>7430.37</v>
      </c>
      <c r="AN2464" s="153">
        <f t="shared" si="2153"/>
        <v>-7430.37</v>
      </c>
      <c r="AO2464" s="154">
        <f t="shared" si="2154"/>
        <v>-7430.37</v>
      </c>
      <c r="AP2464" s="150">
        <v>7430.37</v>
      </c>
      <c r="AQ2464" s="201">
        <v>0</v>
      </c>
      <c r="AR2464" s="199"/>
      <c r="AS2464" s="150">
        <f t="shared" si="2182"/>
        <v>0</v>
      </c>
      <c r="AT2464" s="155"/>
      <c r="AU2464" s="156">
        <f t="shared" si="2145"/>
        <v>0</v>
      </c>
      <c r="AV2464" s="156">
        <f t="shared" si="2146"/>
        <v>0</v>
      </c>
      <c r="AW2464" s="157"/>
      <c r="AX2464" s="150">
        <v>7430.37</v>
      </c>
      <c r="AY2464" s="150">
        <v>7430.37</v>
      </c>
      <c r="AZ2464" s="150"/>
      <c r="BA2464" s="150">
        <f t="shared" si="2143"/>
        <v>7430.37</v>
      </c>
      <c r="BB2464" s="210"/>
      <c r="BC2464" s="210"/>
      <c r="BD2464" s="210"/>
      <c r="BE2464" s="210"/>
      <c r="BF2464" s="210"/>
      <c r="BG2464" s="210"/>
      <c r="BH2464" s="217"/>
      <c r="BI2464" s="210"/>
      <c r="BJ2464" s="210"/>
      <c r="BK2464" s="210"/>
      <c r="BL2464" s="210"/>
      <c r="BM2464" s="208"/>
      <c r="BN2464" s="160"/>
      <c r="BO2464" s="161">
        <f t="shared" si="2163"/>
        <v>0</v>
      </c>
      <c r="BP2464" s="161"/>
    </row>
    <row r="2465" spans="1:68" ht="38.25">
      <c r="A2465" s="210"/>
      <c r="B2465" s="195" t="s">
        <v>10914</v>
      </c>
      <c r="C2465" s="196" t="s">
        <v>10915</v>
      </c>
      <c r="D2465" s="146" t="s">
        <v>4692</v>
      </c>
      <c r="E2465" s="377" t="s">
        <v>10915</v>
      </c>
      <c r="F2465" s="150">
        <v>0</v>
      </c>
      <c r="G2465" s="209">
        <v>9960</v>
      </c>
      <c r="H2465" s="209"/>
      <c r="I2465" s="209">
        <v>9960</v>
      </c>
      <c r="J2465" s="150">
        <v>0</v>
      </c>
      <c r="K2465" s="150">
        <v>0</v>
      </c>
      <c r="L2465" s="150">
        <f t="shared" si="2169"/>
        <v>0</v>
      </c>
      <c r="M2465" s="150">
        <v>0</v>
      </c>
      <c r="N2465" s="150"/>
      <c r="O2465" s="150">
        <v>0</v>
      </c>
      <c r="P2465" s="150">
        <v>0</v>
      </c>
      <c r="Q2465" s="150">
        <v>0</v>
      </c>
      <c r="R2465" s="150">
        <f t="shared" si="2178"/>
        <v>0</v>
      </c>
      <c r="S2465" s="150">
        <f t="shared" si="2144"/>
        <v>0</v>
      </c>
      <c r="T2465" s="150"/>
      <c r="U2465" s="150">
        <v>0</v>
      </c>
      <c r="V2465" s="199"/>
      <c r="W2465" s="150">
        <f t="shared" si="2179"/>
        <v>0</v>
      </c>
      <c r="X2465" s="150">
        <v>0</v>
      </c>
      <c r="Y2465" s="150"/>
      <c r="Z2465" s="150">
        <v>0</v>
      </c>
      <c r="AA2465" s="150">
        <f t="shared" si="2149"/>
        <v>0</v>
      </c>
      <c r="AB2465" s="150">
        <v>0</v>
      </c>
      <c r="AC2465" s="199"/>
      <c r="AD2465" s="150">
        <f t="shared" si="2180"/>
        <v>0</v>
      </c>
      <c r="AE2465" s="150">
        <v>0</v>
      </c>
      <c r="AF2465" s="169" t="s">
        <v>4680</v>
      </c>
      <c r="AG2465" s="201">
        <v>0</v>
      </c>
      <c r="AH2465" s="199"/>
      <c r="AI2465" s="150">
        <v>0</v>
      </c>
      <c r="AJ2465" s="169">
        <f t="shared" si="2151"/>
        <v>0</v>
      </c>
      <c r="AK2465" s="201">
        <v>0</v>
      </c>
      <c r="AL2465" s="199"/>
      <c r="AM2465" s="150">
        <f t="shared" si="2181"/>
        <v>0</v>
      </c>
      <c r="AN2465" s="153">
        <f t="shared" si="2153"/>
        <v>0</v>
      </c>
      <c r="AO2465" s="154">
        <f t="shared" si="2154"/>
        <v>0</v>
      </c>
      <c r="AP2465" s="150">
        <v>0</v>
      </c>
      <c r="AQ2465" s="201">
        <v>0</v>
      </c>
      <c r="AR2465" s="199"/>
      <c r="AS2465" s="150">
        <f t="shared" si="2182"/>
        <v>0</v>
      </c>
      <c r="AT2465" s="155"/>
      <c r="AU2465" s="156">
        <f t="shared" si="2145"/>
        <v>0</v>
      </c>
      <c r="AV2465" s="156">
        <f t="shared" si="2146"/>
        <v>0</v>
      </c>
      <c r="AW2465" s="157"/>
      <c r="AX2465" s="150">
        <v>0</v>
      </c>
      <c r="AY2465" s="150">
        <v>0</v>
      </c>
      <c r="AZ2465" s="150"/>
      <c r="BA2465" s="150">
        <f t="shared" si="2143"/>
        <v>0</v>
      </c>
      <c r="BB2465" s="210"/>
      <c r="BC2465" s="210"/>
      <c r="BD2465" s="210"/>
      <c r="BE2465" s="210"/>
      <c r="BF2465" s="210"/>
      <c r="BG2465" s="210"/>
      <c r="BH2465" s="217"/>
      <c r="BI2465" s="210"/>
      <c r="BJ2465" s="210"/>
      <c r="BK2465" s="210"/>
      <c r="BL2465" s="210"/>
      <c r="BM2465" s="208"/>
      <c r="BN2465" s="160"/>
      <c r="BO2465" s="161">
        <f t="shared" si="2163"/>
        <v>0</v>
      </c>
      <c r="BP2465" s="161"/>
    </row>
    <row r="2466" spans="1:68" ht="51">
      <c r="A2466" s="210"/>
      <c r="B2466" s="195" t="s">
        <v>10916</v>
      </c>
      <c r="C2466" s="196" t="s">
        <v>10917</v>
      </c>
      <c r="D2466" s="146" t="s">
        <v>4692</v>
      </c>
      <c r="E2466" s="377" t="s">
        <v>10917</v>
      </c>
      <c r="F2466" s="150">
        <v>0</v>
      </c>
      <c r="G2466" s="209">
        <v>33594.85</v>
      </c>
      <c r="H2466" s="209"/>
      <c r="I2466" s="209">
        <v>33594.85</v>
      </c>
      <c r="J2466" s="150">
        <v>0</v>
      </c>
      <c r="K2466" s="150">
        <v>0</v>
      </c>
      <c r="L2466" s="150">
        <f t="shared" si="2169"/>
        <v>0</v>
      </c>
      <c r="M2466" s="150">
        <v>0</v>
      </c>
      <c r="N2466" s="150"/>
      <c r="O2466" s="150">
        <v>0</v>
      </c>
      <c r="P2466" s="150">
        <v>0</v>
      </c>
      <c r="Q2466" s="150">
        <v>0</v>
      </c>
      <c r="R2466" s="150">
        <f t="shared" si="2178"/>
        <v>0</v>
      </c>
      <c r="S2466" s="150">
        <f t="shared" si="2144"/>
        <v>0</v>
      </c>
      <c r="T2466" s="150"/>
      <c r="U2466" s="150">
        <v>0</v>
      </c>
      <c r="V2466" s="199"/>
      <c r="W2466" s="150">
        <f t="shared" si="2179"/>
        <v>0</v>
      </c>
      <c r="X2466" s="150">
        <v>0</v>
      </c>
      <c r="Y2466" s="150"/>
      <c r="Z2466" s="150">
        <v>0</v>
      </c>
      <c r="AA2466" s="150">
        <f t="shared" si="2149"/>
        <v>0</v>
      </c>
      <c r="AB2466" s="150">
        <v>0</v>
      </c>
      <c r="AC2466" s="199"/>
      <c r="AD2466" s="150">
        <f t="shared" si="2180"/>
        <v>0</v>
      </c>
      <c r="AE2466" s="150">
        <v>0</v>
      </c>
      <c r="AF2466" s="169" t="s">
        <v>4680</v>
      </c>
      <c r="AG2466" s="201">
        <v>0</v>
      </c>
      <c r="AH2466" s="199"/>
      <c r="AI2466" s="150">
        <v>0</v>
      </c>
      <c r="AJ2466" s="169">
        <f t="shared" si="2151"/>
        <v>0</v>
      </c>
      <c r="AK2466" s="201">
        <v>0</v>
      </c>
      <c r="AL2466" s="199"/>
      <c r="AM2466" s="150">
        <f t="shared" si="2181"/>
        <v>0</v>
      </c>
      <c r="AN2466" s="153">
        <f t="shared" si="2153"/>
        <v>0</v>
      </c>
      <c r="AO2466" s="154">
        <f t="shared" si="2154"/>
        <v>0</v>
      </c>
      <c r="AP2466" s="150">
        <v>0</v>
      </c>
      <c r="AQ2466" s="201">
        <v>0</v>
      </c>
      <c r="AR2466" s="199"/>
      <c r="AS2466" s="150">
        <f t="shared" si="2182"/>
        <v>0</v>
      </c>
      <c r="AT2466" s="155"/>
      <c r="AU2466" s="156">
        <f t="shared" si="2145"/>
        <v>0</v>
      </c>
      <c r="AV2466" s="156">
        <f t="shared" si="2146"/>
        <v>0</v>
      </c>
      <c r="AW2466" s="157"/>
      <c r="AX2466" s="150">
        <v>0</v>
      </c>
      <c r="AY2466" s="150">
        <v>0</v>
      </c>
      <c r="AZ2466" s="150"/>
      <c r="BA2466" s="150">
        <f t="shared" ref="BA2466:BA2500" si="2183">AY2466+AZ2466</f>
        <v>0</v>
      </c>
      <c r="BB2466" s="210"/>
      <c r="BC2466" s="210"/>
      <c r="BD2466" s="210"/>
      <c r="BE2466" s="210"/>
      <c r="BF2466" s="210"/>
      <c r="BG2466" s="210"/>
      <c r="BH2466" s="217"/>
      <c r="BI2466" s="210"/>
      <c r="BJ2466" s="210"/>
      <c r="BK2466" s="210"/>
      <c r="BL2466" s="210"/>
      <c r="BM2466" s="208"/>
      <c r="BN2466" s="160"/>
      <c r="BO2466" s="161">
        <f t="shared" si="2163"/>
        <v>0</v>
      </c>
      <c r="BP2466" s="161"/>
    </row>
    <row r="2467" spans="1:68" ht="25.5">
      <c r="A2467" s="210"/>
      <c r="B2467" s="195" t="s">
        <v>10918</v>
      </c>
      <c r="C2467" s="196" t="s">
        <v>10919</v>
      </c>
      <c r="D2467" s="146" t="s">
        <v>4692</v>
      </c>
      <c r="E2467" s="377" t="s">
        <v>10920</v>
      </c>
      <c r="F2467" s="150">
        <v>9960</v>
      </c>
      <c r="G2467" s="209">
        <v>4685.74</v>
      </c>
      <c r="H2467" s="209"/>
      <c r="I2467" s="209">
        <v>4685.74</v>
      </c>
      <c r="J2467" s="150">
        <v>0</v>
      </c>
      <c r="K2467" s="150">
        <v>0</v>
      </c>
      <c r="L2467" s="150">
        <f t="shared" si="2169"/>
        <v>0</v>
      </c>
      <c r="M2467" s="150">
        <v>6570.39</v>
      </c>
      <c r="N2467" s="150"/>
      <c r="O2467" s="150">
        <v>6570.39</v>
      </c>
      <c r="P2467" s="150">
        <v>6570.39</v>
      </c>
      <c r="Q2467" s="150">
        <v>0</v>
      </c>
      <c r="R2467" s="150">
        <f t="shared" si="2178"/>
        <v>6570.39</v>
      </c>
      <c r="S2467" s="150">
        <f t="shared" si="2144"/>
        <v>8760.52</v>
      </c>
      <c r="T2467" s="150"/>
      <c r="U2467" s="150">
        <v>6570.39</v>
      </c>
      <c r="V2467" s="199"/>
      <c r="W2467" s="150">
        <f t="shared" si="2179"/>
        <v>6570.39</v>
      </c>
      <c r="X2467" s="150">
        <v>6570.39</v>
      </c>
      <c r="Y2467" s="150"/>
      <c r="Z2467" s="150">
        <v>6570.39</v>
      </c>
      <c r="AA2467" s="150">
        <f t="shared" si="2149"/>
        <v>0</v>
      </c>
      <c r="AB2467" s="150">
        <v>6570.39</v>
      </c>
      <c r="AC2467" s="199"/>
      <c r="AD2467" s="150">
        <f t="shared" si="2180"/>
        <v>6570.39</v>
      </c>
      <c r="AE2467" s="150">
        <v>6570.39</v>
      </c>
      <c r="AF2467" s="169" t="s">
        <v>4680</v>
      </c>
      <c r="AG2467" s="201">
        <v>6570.39</v>
      </c>
      <c r="AH2467" s="199"/>
      <c r="AI2467" s="150">
        <v>6570.39</v>
      </c>
      <c r="AJ2467" s="169">
        <f t="shared" si="2151"/>
        <v>0</v>
      </c>
      <c r="AK2467" s="201">
        <v>6570.39</v>
      </c>
      <c r="AL2467" s="199"/>
      <c r="AM2467" s="150">
        <f t="shared" si="2181"/>
        <v>6570.39</v>
      </c>
      <c r="AN2467" s="153">
        <f t="shared" si="2153"/>
        <v>-6570.39</v>
      </c>
      <c r="AO2467" s="154">
        <f t="shared" si="2154"/>
        <v>-6570.39</v>
      </c>
      <c r="AP2467" s="150">
        <v>6570.39</v>
      </c>
      <c r="AQ2467" s="201">
        <v>0</v>
      </c>
      <c r="AR2467" s="199"/>
      <c r="AS2467" s="150">
        <f t="shared" si="2182"/>
        <v>0</v>
      </c>
      <c r="AT2467" s="155"/>
      <c r="AU2467" s="156">
        <f t="shared" si="2145"/>
        <v>0</v>
      </c>
      <c r="AV2467" s="156">
        <f t="shared" si="2146"/>
        <v>0</v>
      </c>
      <c r="AW2467" s="157"/>
      <c r="AX2467" s="150">
        <v>6570.39</v>
      </c>
      <c r="AY2467" s="150">
        <v>6570.39</v>
      </c>
      <c r="AZ2467" s="150"/>
      <c r="BA2467" s="150">
        <f t="shared" si="2183"/>
        <v>6570.39</v>
      </c>
      <c r="BB2467" s="210"/>
      <c r="BC2467" s="210"/>
      <c r="BD2467" s="210"/>
      <c r="BE2467" s="210"/>
      <c r="BF2467" s="210"/>
      <c r="BG2467" s="210"/>
      <c r="BH2467" s="217"/>
      <c r="BI2467" s="210"/>
      <c r="BJ2467" s="210"/>
      <c r="BK2467" s="210"/>
      <c r="BL2467" s="210"/>
      <c r="BM2467" s="208"/>
      <c r="BN2467" s="160"/>
      <c r="BO2467" s="161">
        <f t="shared" si="2163"/>
        <v>0</v>
      </c>
      <c r="BP2467" s="161"/>
    </row>
    <row r="2468" spans="1:68" ht="38.25">
      <c r="A2468" s="206" t="s">
        <v>10921</v>
      </c>
      <c r="B2468" s="195" t="s">
        <v>10922</v>
      </c>
      <c r="C2468" s="196" t="s">
        <v>10923</v>
      </c>
      <c r="D2468" s="146" t="s">
        <v>4692</v>
      </c>
      <c r="E2468" s="377" t="s">
        <v>10923</v>
      </c>
      <c r="F2468" s="150">
        <v>33594.85</v>
      </c>
      <c r="G2468" s="209">
        <v>0</v>
      </c>
      <c r="H2468" s="209"/>
      <c r="I2468" s="209">
        <v>0</v>
      </c>
      <c r="J2468" s="150">
        <v>0</v>
      </c>
      <c r="K2468" s="150">
        <v>0</v>
      </c>
      <c r="L2468" s="150">
        <f t="shared" si="2169"/>
        <v>0</v>
      </c>
      <c r="M2468" s="150">
        <v>-827.9</v>
      </c>
      <c r="N2468" s="150"/>
      <c r="O2468" s="150">
        <v>-827.9</v>
      </c>
      <c r="P2468" s="150">
        <v>-827.9</v>
      </c>
      <c r="Q2468" s="150">
        <v>0</v>
      </c>
      <c r="R2468" s="150">
        <f t="shared" si="2178"/>
        <v>-827.9</v>
      </c>
      <c r="S2468" s="150">
        <f t="shared" si="2144"/>
        <v>-1103.8666666666666</v>
      </c>
      <c r="T2468" s="150"/>
      <c r="U2468" s="150">
        <v>-827.9</v>
      </c>
      <c r="V2468" s="199"/>
      <c r="W2468" s="150">
        <f t="shared" si="2179"/>
        <v>-827.9</v>
      </c>
      <c r="X2468" s="150">
        <v>-827.9</v>
      </c>
      <c r="Y2468" s="150"/>
      <c r="Z2468" s="150">
        <v>-827.9</v>
      </c>
      <c r="AA2468" s="150">
        <f t="shared" si="2149"/>
        <v>0</v>
      </c>
      <c r="AB2468" s="150">
        <v>-827.9</v>
      </c>
      <c r="AC2468" s="199"/>
      <c r="AD2468" s="150">
        <f t="shared" si="2180"/>
        <v>-827.9</v>
      </c>
      <c r="AE2468" s="150">
        <v>-827.9</v>
      </c>
      <c r="AF2468" s="169" t="s">
        <v>4680</v>
      </c>
      <c r="AG2468" s="201">
        <v>-827.9</v>
      </c>
      <c r="AH2468" s="199"/>
      <c r="AI2468" s="150">
        <v>-827.9</v>
      </c>
      <c r="AJ2468" s="169">
        <f t="shared" si="2151"/>
        <v>0</v>
      </c>
      <c r="AK2468" s="201">
        <v>-827.9</v>
      </c>
      <c r="AL2468" s="199"/>
      <c r="AM2468" s="150">
        <f t="shared" si="2181"/>
        <v>-827.9</v>
      </c>
      <c r="AN2468" s="153">
        <f t="shared" si="2153"/>
        <v>827.9</v>
      </c>
      <c r="AO2468" s="154">
        <f t="shared" si="2154"/>
        <v>827.9</v>
      </c>
      <c r="AP2468" s="150">
        <v>-827.9</v>
      </c>
      <c r="AQ2468" s="201">
        <v>0</v>
      </c>
      <c r="AR2468" s="199"/>
      <c r="AS2468" s="150">
        <f t="shared" si="2182"/>
        <v>0</v>
      </c>
      <c r="AT2468" s="155"/>
      <c r="AU2468" s="156">
        <f t="shared" si="2145"/>
        <v>0</v>
      </c>
      <c r="AV2468" s="156">
        <f t="shared" si="2146"/>
        <v>0</v>
      </c>
      <c r="AW2468" s="157"/>
      <c r="AX2468" s="150">
        <v>-827.9</v>
      </c>
      <c r="AY2468" s="150">
        <v>-827.9</v>
      </c>
      <c r="AZ2468" s="150"/>
      <c r="BA2468" s="150">
        <f t="shared" si="2183"/>
        <v>-827.9</v>
      </c>
      <c r="BB2468" s="202">
        <v>8</v>
      </c>
      <c r="BC2468" s="202" t="s">
        <v>647</v>
      </c>
      <c r="BD2468" s="202" t="s">
        <v>647</v>
      </c>
      <c r="BE2468" s="202" t="s">
        <v>671</v>
      </c>
      <c r="BF2468" s="202" t="s">
        <v>766</v>
      </c>
      <c r="BG2468" s="231" t="s">
        <v>10924</v>
      </c>
      <c r="BH2468" s="216">
        <f>SUM(AS2468:AS2471)</f>
        <v>67391.179999999993</v>
      </c>
      <c r="BI2468" s="205"/>
      <c r="BJ2468" s="206" t="s">
        <v>10925</v>
      </c>
      <c r="BK2468" s="206" t="s">
        <v>10921</v>
      </c>
      <c r="BL2468" s="207" t="s">
        <v>10926</v>
      </c>
      <c r="BM2468" s="381">
        <f>BH2468</f>
        <v>67391.179999999993</v>
      </c>
      <c r="BN2468" s="160"/>
      <c r="BO2468" s="161"/>
      <c r="BP2468" s="161"/>
    </row>
    <row r="2469" spans="1:68" ht="43.5" customHeight="1">
      <c r="A2469" s="210"/>
      <c r="B2469" s="195" t="s">
        <v>10927</v>
      </c>
      <c r="C2469" s="196" t="s">
        <v>10928</v>
      </c>
      <c r="D2469" s="146" t="s">
        <v>4692</v>
      </c>
      <c r="E2469" s="377" t="s">
        <v>10928</v>
      </c>
      <c r="F2469" s="150">
        <v>4685.74</v>
      </c>
      <c r="G2469" s="209">
        <v>0</v>
      </c>
      <c r="H2469" s="209"/>
      <c r="I2469" s="209">
        <v>0</v>
      </c>
      <c r="J2469" s="150">
        <v>0</v>
      </c>
      <c r="K2469" s="150">
        <v>0</v>
      </c>
      <c r="L2469" s="150">
        <f t="shared" si="2169"/>
        <v>0</v>
      </c>
      <c r="M2469" s="150">
        <v>33695.589999999997</v>
      </c>
      <c r="N2469" s="150"/>
      <c r="O2469" s="150">
        <v>33695.589999999997</v>
      </c>
      <c r="P2469" s="150">
        <v>33695.589999999997</v>
      </c>
      <c r="Q2469" s="150">
        <v>0</v>
      </c>
      <c r="R2469" s="150">
        <f t="shared" si="2178"/>
        <v>33695.589999999997</v>
      </c>
      <c r="S2469" s="150">
        <f t="shared" si="2144"/>
        <v>44927.453333333331</v>
      </c>
      <c r="T2469" s="150"/>
      <c r="U2469" s="150">
        <v>33695.589999999997</v>
      </c>
      <c r="V2469" s="199"/>
      <c r="W2469" s="150">
        <f t="shared" si="2179"/>
        <v>33695.589999999997</v>
      </c>
      <c r="X2469" s="150">
        <v>33695.589999999997</v>
      </c>
      <c r="Y2469" s="150"/>
      <c r="Z2469" s="150">
        <v>33695.589999999997</v>
      </c>
      <c r="AA2469" s="150">
        <f t="shared" si="2149"/>
        <v>0</v>
      </c>
      <c r="AB2469" s="150">
        <v>33695.589999999997</v>
      </c>
      <c r="AC2469" s="199"/>
      <c r="AD2469" s="150">
        <f t="shared" si="2180"/>
        <v>33695.589999999997</v>
      </c>
      <c r="AE2469" s="150">
        <v>33695.589999999997</v>
      </c>
      <c r="AF2469" s="169" t="s">
        <v>4680</v>
      </c>
      <c r="AG2469" s="201">
        <v>33695.589999999997</v>
      </c>
      <c r="AH2469" s="199"/>
      <c r="AI2469" s="150">
        <v>33695.589999999997</v>
      </c>
      <c r="AJ2469" s="169">
        <f t="shared" si="2151"/>
        <v>0</v>
      </c>
      <c r="AK2469" s="201">
        <v>33695.589999999997</v>
      </c>
      <c r="AL2469" s="199"/>
      <c r="AM2469" s="150">
        <f t="shared" si="2181"/>
        <v>33695.589999999997</v>
      </c>
      <c r="AN2469" s="153">
        <f t="shared" si="2153"/>
        <v>33695.589999999997</v>
      </c>
      <c r="AO2469" s="154">
        <f t="shared" si="2154"/>
        <v>33695.589999999997</v>
      </c>
      <c r="AP2469" s="150">
        <v>33695.589999999997</v>
      </c>
      <c r="AQ2469" s="201">
        <v>67391.179999999993</v>
      </c>
      <c r="AR2469" s="199"/>
      <c r="AS2469" s="150">
        <f t="shared" si="2182"/>
        <v>67391.179999999993</v>
      </c>
      <c r="AT2469" s="155"/>
      <c r="AU2469" s="156">
        <f t="shared" si="2145"/>
        <v>0</v>
      </c>
      <c r="AV2469" s="156">
        <f t="shared" si="2146"/>
        <v>0</v>
      </c>
      <c r="AW2469" s="157"/>
      <c r="AX2469" s="150">
        <v>33695.589999999997</v>
      </c>
      <c r="AY2469" s="150">
        <v>33695.589999999997</v>
      </c>
      <c r="AZ2469" s="150"/>
      <c r="BA2469" s="150">
        <f t="shared" si="2183"/>
        <v>33695.589999999997</v>
      </c>
      <c r="BB2469" s="210"/>
      <c r="BC2469" s="210"/>
      <c r="BD2469" s="210"/>
      <c r="BE2469" s="210"/>
      <c r="BF2469" s="210"/>
      <c r="BG2469" s="210"/>
      <c r="BH2469" s="217"/>
      <c r="BI2469" s="210"/>
      <c r="BJ2469" s="210"/>
      <c r="BK2469" s="210"/>
      <c r="BL2469" s="210"/>
      <c r="BM2469" s="208"/>
      <c r="BN2469" s="160"/>
      <c r="BO2469" s="161"/>
      <c r="BP2469" s="161"/>
    </row>
    <row r="2470" spans="1:68" ht="38.25">
      <c r="A2470" s="210"/>
      <c r="B2470" s="195" t="s">
        <v>10929</v>
      </c>
      <c r="C2470" s="196" t="s">
        <v>10930</v>
      </c>
      <c r="D2470" s="146" t="s">
        <v>4692</v>
      </c>
      <c r="E2470" s="377" t="s">
        <v>10930</v>
      </c>
      <c r="F2470" s="150">
        <v>0</v>
      </c>
      <c r="G2470" s="209">
        <v>15409.3</v>
      </c>
      <c r="H2470" s="209"/>
      <c r="I2470" s="209">
        <v>15409.3</v>
      </c>
      <c r="J2470" s="150">
        <v>0</v>
      </c>
      <c r="K2470" s="150">
        <v>0</v>
      </c>
      <c r="L2470" s="150">
        <f t="shared" si="2169"/>
        <v>0</v>
      </c>
      <c r="M2470" s="150">
        <v>0</v>
      </c>
      <c r="N2470" s="150"/>
      <c r="O2470" s="150">
        <v>0</v>
      </c>
      <c r="P2470" s="150">
        <v>0</v>
      </c>
      <c r="Q2470" s="150">
        <v>0</v>
      </c>
      <c r="R2470" s="150">
        <f t="shared" si="2178"/>
        <v>0</v>
      </c>
      <c r="S2470" s="150">
        <f t="shared" si="2144"/>
        <v>0</v>
      </c>
      <c r="T2470" s="150"/>
      <c r="U2470" s="150">
        <v>0</v>
      </c>
      <c r="V2470" s="199"/>
      <c r="W2470" s="150">
        <f t="shared" si="2179"/>
        <v>0</v>
      </c>
      <c r="X2470" s="150">
        <v>0</v>
      </c>
      <c r="Y2470" s="150"/>
      <c r="Z2470" s="150">
        <v>0</v>
      </c>
      <c r="AA2470" s="150">
        <f t="shared" si="2149"/>
        <v>0</v>
      </c>
      <c r="AB2470" s="150">
        <v>0</v>
      </c>
      <c r="AC2470" s="199"/>
      <c r="AD2470" s="150">
        <f t="shared" si="2180"/>
        <v>0</v>
      </c>
      <c r="AE2470" s="150">
        <v>0</v>
      </c>
      <c r="AF2470" s="169" t="s">
        <v>4680</v>
      </c>
      <c r="AG2470" s="201">
        <v>0</v>
      </c>
      <c r="AH2470" s="199"/>
      <c r="AI2470" s="150">
        <v>0</v>
      </c>
      <c r="AJ2470" s="169">
        <f t="shared" si="2151"/>
        <v>0</v>
      </c>
      <c r="AK2470" s="201">
        <v>0</v>
      </c>
      <c r="AL2470" s="199"/>
      <c r="AM2470" s="150">
        <f t="shared" si="2181"/>
        <v>0</v>
      </c>
      <c r="AN2470" s="153">
        <f t="shared" si="2153"/>
        <v>0</v>
      </c>
      <c r="AO2470" s="154">
        <f t="shared" si="2154"/>
        <v>0</v>
      </c>
      <c r="AP2470" s="150">
        <v>0</v>
      </c>
      <c r="AQ2470" s="201">
        <v>0</v>
      </c>
      <c r="AR2470" s="199"/>
      <c r="AS2470" s="150">
        <f t="shared" si="2182"/>
        <v>0</v>
      </c>
      <c r="AT2470" s="155"/>
      <c r="AU2470" s="156">
        <f t="shared" si="2145"/>
        <v>0</v>
      </c>
      <c r="AV2470" s="156">
        <f t="shared" si="2146"/>
        <v>0</v>
      </c>
      <c r="AW2470" s="157"/>
      <c r="AX2470" s="150">
        <v>0</v>
      </c>
      <c r="AY2470" s="150">
        <v>0</v>
      </c>
      <c r="AZ2470" s="150"/>
      <c r="BA2470" s="150">
        <f t="shared" si="2183"/>
        <v>0</v>
      </c>
      <c r="BB2470" s="210"/>
      <c r="BC2470" s="210"/>
      <c r="BD2470" s="210"/>
      <c r="BE2470" s="210"/>
      <c r="BF2470" s="210"/>
      <c r="BG2470" s="210"/>
      <c r="BH2470" s="217"/>
      <c r="BI2470" s="210"/>
      <c r="BJ2470" s="210"/>
      <c r="BK2470" s="210"/>
      <c r="BL2470" s="210"/>
      <c r="BM2470" s="208"/>
      <c r="BN2470" s="160"/>
      <c r="BO2470" s="161">
        <f t="shared" si="2163"/>
        <v>0</v>
      </c>
      <c r="BP2470" s="161"/>
    </row>
    <row r="2471" spans="1:68" ht="38.25">
      <c r="A2471" s="210"/>
      <c r="B2471" s="195" t="s">
        <v>10931</v>
      </c>
      <c r="C2471" s="196" t="s">
        <v>10932</v>
      </c>
      <c r="D2471" s="146" t="s">
        <v>4692</v>
      </c>
      <c r="E2471" s="377" t="s">
        <v>10932</v>
      </c>
      <c r="F2471" s="150">
        <v>0</v>
      </c>
      <c r="G2471" s="209">
        <v>2791.56</v>
      </c>
      <c r="H2471" s="209"/>
      <c r="I2471" s="209">
        <v>2791.56</v>
      </c>
      <c r="J2471" s="150">
        <v>0</v>
      </c>
      <c r="K2471" s="150">
        <v>0</v>
      </c>
      <c r="L2471" s="150">
        <f t="shared" si="2169"/>
        <v>0</v>
      </c>
      <c r="M2471" s="150">
        <v>0</v>
      </c>
      <c r="N2471" s="150"/>
      <c r="O2471" s="150">
        <v>0</v>
      </c>
      <c r="P2471" s="150">
        <v>0</v>
      </c>
      <c r="Q2471" s="150">
        <v>0</v>
      </c>
      <c r="R2471" s="150">
        <f t="shared" si="2178"/>
        <v>0</v>
      </c>
      <c r="S2471" s="150">
        <f t="shared" si="2144"/>
        <v>0</v>
      </c>
      <c r="T2471" s="150"/>
      <c r="U2471" s="150">
        <v>0</v>
      </c>
      <c r="V2471" s="199"/>
      <c r="W2471" s="150">
        <f t="shared" si="2179"/>
        <v>0</v>
      </c>
      <c r="X2471" s="150">
        <v>0</v>
      </c>
      <c r="Y2471" s="150"/>
      <c r="Z2471" s="150">
        <v>0</v>
      </c>
      <c r="AA2471" s="150">
        <f t="shared" si="2149"/>
        <v>0</v>
      </c>
      <c r="AB2471" s="150">
        <v>0</v>
      </c>
      <c r="AC2471" s="199"/>
      <c r="AD2471" s="150">
        <f t="shared" si="2180"/>
        <v>0</v>
      </c>
      <c r="AE2471" s="150">
        <v>0</v>
      </c>
      <c r="AF2471" s="169" t="s">
        <v>4680</v>
      </c>
      <c r="AG2471" s="201">
        <v>0</v>
      </c>
      <c r="AH2471" s="199"/>
      <c r="AI2471" s="150">
        <v>0</v>
      </c>
      <c r="AJ2471" s="169">
        <f t="shared" si="2151"/>
        <v>0</v>
      </c>
      <c r="AK2471" s="201">
        <v>0</v>
      </c>
      <c r="AL2471" s="199"/>
      <c r="AM2471" s="150">
        <f t="shared" si="2181"/>
        <v>0</v>
      </c>
      <c r="AN2471" s="153">
        <f t="shared" si="2153"/>
        <v>0</v>
      </c>
      <c r="AO2471" s="154">
        <f t="shared" si="2154"/>
        <v>0</v>
      </c>
      <c r="AP2471" s="150">
        <v>0</v>
      </c>
      <c r="AQ2471" s="201">
        <v>0</v>
      </c>
      <c r="AR2471" s="199"/>
      <c r="AS2471" s="150">
        <f t="shared" si="2182"/>
        <v>0</v>
      </c>
      <c r="AT2471" s="155"/>
      <c r="AU2471" s="156">
        <f t="shared" si="2145"/>
        <v>0</v>
      </c>
      <c r="AV2471" s="156">
        <f t="shared" si="2146"/>
        <v>0</v>
      </c>
      <c r="AW2471" s="157"/>
      <c r="AX2471" s="150">
        <v>0</v>
      </c>
      <c r="AY2471" s="150">
        <v>0</v>
      </c>
      <c r="AZ2471" s="150"/>
      <c r="BA2471" s="150">
        <f t="shared" si="2183"/>
        <v>0</v>
      </c>
      <c r="BB2471" s="210"/>
      <c r="BC2471" s="210"/>
      <c r="BD2471" s="210"/>
      <c r="BE2471" s="210"/>
      <c r="BF2471" s="210"/>
      <c r="BG2471" s="210"/>
      <c r="BH2471" s="217"/>
      <c r="BI2471" s="210"/>
      <c r="BJ2471" s="210"/>
      <c r="BK2471" s="210"/>
      <c r="BL2471" s="210"/>
      <c r="BM2471" s="208"/>
      <c r="BN2471" s="160"/>
      <c r="BO2471" s="161">
        <f t="shared" si="2163"/>
        <v>0</v>
      </c>
      <c r="BP2471" s="161"/>
    </row>
    <row r="2472" spans="1:68" ht="38.25">
      <c r="A2472" s="206" t="s">
        <v>10921</v>
      </c>
      <c r="B2472" s="195" t="s">
        <v>10933</v>
      </c>
      <c r="C2472" s="196" t="s">
        <v>10934</v>
      </c>
      <c r="D2472" s="146" t="s">
        <v>4692</v>
      </c>
      <c r="E2472" s="377" t="s">
        <v>10935</v>
      </c>
      <c r="F2472" s="150">
        <v>15409.3</v>
      </c>
      <c r="G2472" s="209">
        <v>40054.78</v>
      </c>
      <c r="H2472" s="209"/>
      <c r="I2472" s="209">
        <v>40054.78</v>
      </c>
      <c r="J2472" s="150">
        <v>0</v>
      </c>
      <c r="K2472" s="150">
        <v>0</v>
      </c>
      <c r="L2472" s="150">
        <f t="shared" si="2169"/>
        <v>0</v>
      </c>
      <c r="M2472" s="150">
        <v>189375.32</v>
      </c>
      <c r="N2472" s="150"/>
      <c r="O2472" s="150">
        <v>189375.32</v>
      </c>
      <c r="P2472" s="150">
        <v>189375.32</v>
      </c>
      <c r="Q2472" s="150">
        <v>0</v>
      </c>
      <c r="R2472" s="150">
        <f t="shared" si="2178"/>
        <v>189375.32</v>
      </c>
      <c r="S2472" s="150">
        <f t="shared" si="2144"/>
        <v>252500.42666666667</v>
      </c>
      <c r="T2472" s="150"/>
      <c r="U2472" s="150">
        <v>189375.32</v>
      </c>
      <c r="V2472" s="199"/>
      <c r="W2472" s="150">
        <f t="shared" si="2179"/>
        <v>189375.32</v>
      </c>
      <c r="X2472" s="150">
        <v>189375.32</v>
      </c>
      <c r="Y2472" s="150"/>
      <c r="Z2472" s="150">
        <v>189375.32</v>
      </c>
      <c r="AA2472" s="150">
        <f t="shared" si="2149"/>
        <v>0</v>
      </c>
      <c r="AB2472" s="150">
        <v>189375.32</v>
      </c>
      <c r="AC2472" s="199"/>
      <c r="AD2472" s="150">
        <f t="shared" si="2180"/>
        <v>189375.32</v>
      </c>
      <c r="AE2472" s="150">
        <v>189375.32</v>
      </c>
      <c r="AF2472" s="169" t="s">
        <v>4680</v>
      </c>
      <c r="AG2472" s="201">
        <v>189375.32</v>
      </c>
      <c r="AH2472" s="199"/>
      <c r="AI2472" s="150">
        <v>189375.32</v>
      </c>
      <c r="AJ2472" s="169">
        <f t="shared" si="2151"/>
        <v>0</v>
      </c>
      <c r="AK2472" s="201">
        <v>189375.32</v>
      </c>
      <c r="AL2472" s="199"/>
      <c r="AM2472" s="150">
        <f t="shared" si="2181"/>
        <v>189375.32</v>
      </c>
      <c r="AN2472" s="153">
        <f t="shared" si="2153"/>
        <v>189375.32</v>
      </c>
      <c r="AO2472" s="154">
        <f t="shared" si="2154"/>
        <v>189375.32</v>
      </c>
      <c r="AP2472" s="150">
        <v>189375.32</v>
      </c>
      <c r="AQ2472" s="201">
        <v>378750.64</v>
      </c>
      <c r="AR2472" s="199"/>
      <c r="AS2472" s="150">
        <f t="shared" si="2182"/>
        <v>378750.64</v>
      </c>
      <c r="AT2472" s="155"/>
      <c r="AU2472" s="156">
        <f t="shared" si="2145"/>
        <v>0</v>
      </c>
      <c r="AV2472" s="156">
        <f t="shared" si="2146"/>
        <v>0</v>
      </c>
      <c r="AW2472" s="157"/>
      <c r="AX2472" s="150">
        <v>189375.32</v>
      </c>
      <c r="AY2472" s="150">
        <v>189375.32</v>
      </c>
      <c r="AZ2472" s="150"/>
      <c r="BA2472" s="150">
        <f t="shared" si="2183"/>
        <v>189375.32</v>
      </c>
      <c r="BB2472" s="202">
        <v>8</v>
      </c>
      <c r="BC2472" s="202" t="s">
        <v>647</v>
      </c>
      <c r="BD2472" s="202" t="s">
        <v>647</v>
      </c>
      <c r="BE2472" s="202" t="s">
        <v>671</v>
      </c>
      <c r="BF2472" s="202" t="s">
        <v>779</v>
      </c>
      <c r="BG2472" s="231" t="s">
        <v>10936</v>
      </c>
      <c r="BH2472" s="216">
        <f>SUM(AS2472:AS2479)</f>
        <v>1333015.1400000001</v>
      </c>
      <c r="BI2472" s="205"/>
      <c r="BJ2472" s="206" t="s">
        <v>10925</v>
      </c>
      <c r="BK2472" s="206" t="s">
        <v>10921</v>
      </c>
      <c r="BL2472" s="207" t="s">
        <v>10926</v>
      </c>
      <c r="BM2472" s="381">
        <f>BH2472</f>
        <v>1333015.1400000001</v>
      </c>
      <c r="BN2472" s="160"/>
      <c r="BO2472" s="161"/>
      <c r="BP2472" s="161"/>
    </row>
    <row r="2473" spans="1:68" ht="51">
      <c r="A2473" s="210"/>
      <c r="B2473" s="195" t="s">
        <v>10937</v>
      </c>
      <c r="C2473" s="196" t="s">
        <v>10938</v>
      </c>
      <c r="D2473" s="146" t="s">
        <v>4692</v>
      </c>
      <c r="E2473" s="377" t="s">
        <v>10938</v>
      </c>
      <c r="F2473" s="150">
        <v>2791.56</v>
      </c>
      <c r="G2473" s="209">
        <v>56287.95</v>
      </c>
      <c r="H2473" s="209"/>
      <c r="I2473" s="209">
        <v>56287.95</v>
      </c>
      <c r="J2473" s="150">
        <v>0</v>
      </c>
      <c r="K2473" s="150">
        <v>0</v>
      </c>
      <c r="L2473" s="150">
        <f t="shared" si="2169"/>
        <v>0</v>
      </c>
      <c r="M2473" s="150">
        <v>5199.09</v>
      </c>
      <c r="N2473" s="150"/>
      <c r="O2473" s="150">
        <v>5199.09</v>
      </c>
      <c r="P2473" s="150">
        <v>5199.09</v>
      </c>
      <c r="Q2473" s="150">
        <v>0</v>
      </c>
      <c r="R2473" s="150">
        <f t="shared" si="2178"/>
        <v>5199.09</v>
      </c>
      <c r="S2473" s="150">
        <f t="shared" si="2144"/>
        <v>6932.1200000000008</v>
      </c>
      <c r="T2473" s="150"/>
      <c r="U2473" s="150">
        <v>5199.09</v>
      </c>
      <c r="V2473" s="199"/>
      <c r="W2473" s="150">
        <f t="shared" si="2179"/>
        <v>5199.09</v>
      </c>
      <c r="X2473" s="150">
        <v>5199.09</v>
      </c>
      <c r="Y2473" s="150"/>
      <c r="Z2473" s="150">
        <v>5199.09</v>
      </c>
      <c r="AA2473" s="150">
        <f t="shared" si="2149"/>
        <v>0</v>
      </c>
      <c r="AB2473" s="150">
        <v>5199.09</v>
      </c>
      <c r="AC2473" s="199"/>
      <c r="AD2473" s="150">
        <f t="shared" si="2180"/>
        <v>5199.09</v>
      </c>
      <c r="AE2473" s="150">
        <v>5199.09</v>
      </c>
      <c r="AF2473" s="169" t="s">
        <v>4680</v>
      </c>
      <c r="AG2473" s="201">
        <v>5199.09</v>
      </c>
      <c r="AH2473" s="199"/>
      <c r="AI2473" s="150">
        <v>5199.09</v>
      </c>
      <c r="AJ2473" s="169">
        <f t="shared" si="2151"/>
        <v>0</v>
      </c>
      <c r="AK2473" s="201">
        <v>5199.09</v>
      </c>
      <c r="AL2473" s="199"/>
      <c r="AM2473" s="150">
        <f t="shared" si="2181"/>
        <v>5199.09</v>
      </c>
      <c r="AN2473" s="153">
        <f t="shared" si="2153"/>
        <v>-5199.09</v>
      </c>
      <c r="AO2473" s="154">
        <f t="shared" si="2154"/>
        <v>-5199.09</v>
      </c>
      <c r="AP2473" s="150">
        <v>5199.09</v>
      </c>
      <c r="AQ2473" s="201">
        <v>0</v>
      </c>
      <c r="AR2473" s="199"/>
      <c r="AS2473" s="150">
        <f t="shared" si="2182"/>
        <v>0</v>
      </c>
      <c r="AT2473" s="155"/>
      <c r="AU2473" s="156">
        <f t="shared" si="2145"/>
        <v>0</v>
      </c>
      <c r="AV2473" s="156">
        <f t="shared" si="2146"/>
        <v>0</v>
      </c>
      <c r="AW2473" s="157"/>
      <c r="AX2473" s="150">
        <v>5199.09</v>
      </c>
      <c r="AY2473" s="150">
        <v>5199.09</v>
      </c>
      <c r="AZ2473" s="150"/>
      <c r="BA2473" s="150">
        <f t="shared" si="2183"/>
        <v>5199.09</v>
      </c>
      <c r="BB2473" s="210"/>
      <c r="BC2473" s="210"/>
      <c r="BD2473" s="210"/>
      <c r="BE2473" s="210"/>
      <c r="BF2473" s="210"/>
      <c r="BG2473" s="210"/>
      <c r="BH2473" s="217"/>
      <c r="BI2473" s="210"/>
      <c r="BJ2473" s="210"/>
      <c r="BK2473" s="210"/>
      <c r="BL2473" s="210"/>
      <c r="BM2473" s="208"/>
      <c r="BN2473" s="160"/>
      <c r="BO2473" s="161"/>
      <c r="BP2473" s="161"/>
    </row>
    <row r="2474" spans="1:68" ht="38.25">
      <c r="A2474" s="210"/>
      <c r="B2474" s="195" t="s">
        <v>10939</v>
      </c>
      <c r="C2474" s="196" t="s">
        <v>10940</v>
      </c>
      <c r="D2474" s="146" t="s">
        <v>4692</v>
      </c>
      <c r="E2474" s="377" t="s">
        <v>10940</v>
      </c>
      <c r="F2474" s="150">
        <v>40054.78</v>
      </c>
      <c r="G2474" s="209">
        <v>208551.66</v>
      </c>
      <c r="H2474" s="209"/>
      <c r="I2474" s="209">
        <v>208551.66</v>
      </c>
      <c r="J2474" s="150">
        <v>0</v>
      </c>
      <c r="K2474" s="150">
        <v>0</v>
      </c>
      <c r="L2474" s="150">
        <f t="shared" si="2169"/>
        <v>0</v>
      </c>
      <c r="M2474" s="150">
        <v>477132.25</v>
      </c>
      <c r="N2474" s="150"/>
      <c r="O2474" s="150">
        <v>477132.25</v>
      </c>
      <c r="P2474" s="150">
        <v>477132.25</v>
      </c>
      <c r="Q2474" s="150">
        <v>0</v>
      </c>
      <c r="R2474" s="150">
        <f t="shared" si="2178"/>
        <v>477132.25</v>
      </c>
      <c r="S2474" s="150">
        <f t="shared" si="2144"/>
        <v>636176.33333333337</v>
      </c>
      <c r="T2474" s="150"/>
      <c r="U2474" s="150">
        <v>477132.25</v>
      </c>
      <c r="V2474" s="199"/>
      <c r="W2474" s="150">
        <f t="shared" si="2179"/>
        <v>477132.25</v>
      </c>
      <c r="X2474" s="150">
        <v>477132.25</v>
      </c>
      <c r="Y2474" s="150"/>
      <c r="Z2474" s="150">
        <v>477132.25</v>
      </c>
      <c r="AA2474" s="150">
        <f t="shared" si="2149"/>
        <v>0</v>
      </c>
      <c r="AB2474" s="150">
        <v>477132.25</v>
      </c>
      <c r="AC2474" s="199"/>
      <c r="AD2474" s="150">
        <f t="shared" si="2180"/>
        <v>477132.25</v>
      </c>
      <c r="AE2474" s="150">
        <v>477132.25</v>
      </c>
      <c r="AF2474" s="169" t="s">
        <v>4680</v>
      </c>
      <c r="AG2474" s="201">
        <v>477132.25</v>
      </c>
      <c r="AH2474" s="199"/>
      <c r="AI2474" s="150">
        <v>477132.25</v>
      </c>
      <c r="AJ2474" s="169">
        <f t="shared" si="2151"/>
        <v>0</v>
      </c>
      <c r="AK2474" s="201">
        <v>477132.25</v>
      </c>
      <c r="AL2474" s="199"/>
      <c r="AM2474" s="150">
        <f t="shared" si="2181"/>
        <v>477132.25</v>
      </c>
      <c r="AN2474" s="153">
        <f t="shared" si="2153"/>
        <v>477132.25</v>
      </c>
      <c r="AO2474" s="154">
        <f t="shared" si="2154"/>
        <v>477132.25</v>
      </c>
      <c r="AP2474" s="150">
        <v>477132.25</v>
      </c>
      <c r="AQ2474" s="201">
        <v>954264.5</v>
      </c>
      <c r="AR2474" s="199"/>
      <c r="AS2474" s="150">
        <f t="shared" si="2182"/>
        <v>954264.5</v>
      </c>
      <c r="AT2474" s="155"/>
      <c r="AU2474" s="156">
        <f t="shared" si="2145"/>
        <v>0</v>
      </c>
      <c r="AV2474" s="156">
        <f t="shared" si="2146"/>
        <v>0</v>
      </c>
      <c r="AW2474" s="157"/>
      <c r="AX2474" s="150">
        <v>477132.25</v>
      </c>
      <c r="AY2474" s="150">
        <v>477132.25</v>
      </c>
      <c r="AZ2474" s="150"/>
      <c r="BA2474" s="150">
        <f t="shared" si="2183"/>
        <v>477132.25</v>
      </c>
      <c r="BB2474" s="210"/>
      <c r="BC2474" s="210"/>
      <c r="BD2474" s="210"/>
      <c r="BE2474" s="210"/>
      <c r="BF2474" s="210"/>
      <c r="BG2474" s="210"/>
      <c r="BH2474" s="217"/>
      <c r="BI2474" s="210"/>
      <c r="BJ2474" s="210"/>
      <c r="BK2474" s="210"/>
      <c r="BL2474" s="210"/>
      <c r="BM2474" s="208"/>
      <c r="BN2474" s="160"/>
      <c r="BO2474" s="161"/>
      <c r="BP2474" s="161"/>
    </row>
    <row r="2475" spans="1:68" ht="51">
      <c r="A2475" s="210"/>
      <c r="B2475" s="195" t="s">
        <v>10941</v>
      </c>
      <c r="C2475" s="196" t="s">
        <v>10942</v>
      </c>
      <c r="D2475" s="146" t="s">
        <v>4692</v>
      </c>
      <c r="E2475" s="377" t="s">
        <v>10942</v>
      </c>
      <c r="F2475" s="150">
        <v>56287.95</v>
      </c>
      <c r="G2475" s="209">
        <v>2954.67</v>
      </c>
      <c r="H2475" s="209"/>
      <c r="I2475" s="209">
        <v>2954.67</v>
      </c>
      <c r="J2475" s="150">
        <v>0</v>
      </c>
      <c r="K2475" s="150">
        <v>0</v>
      </c>
      <c r="L2475" s="150">
        <f t="shared" si="2169"/>
        <v>0</v>
      </c>
      <c r="M2475" s="150">
        <v>252437.35</v>
      </c>
      <c r="N2475" s="150"/>
      <c r="O2475" s="150">
        <v>252437.35</v>
      </c>
      <c r="P2475" s="150">
        <v>252437.35</v>
      </c>
      <c r="Q2475" s="150">
        <v>0</v>
      </c>
      <c r="R2475" s="150">
        <f t="shared" si="2178"/>
        <v>252437.35</v>
      </c>
      <c r="S2475" s="150">
        <f t="shared" si="2144"/>
        <v>336583.13333333336</v>
      </c>
      <c r="T2475" s="150"/>
      <c r="U2475" s="150">
        <v>252437.35</v>
      </c>
      <c r="V2475" s="199"/>
      <c r="W2475" s="150">
        <f t="shared" si="2179"/>
        <v>252437.35</v>
      </c>
      <c r="X2475" s="150">
        <v>252437.35</v>
      </c>
      <c r="Y2475" s="150"/>
      <c r="Z2475" s="150">
        <v>252437.35</v>
      </c>
      <c r="AA2475" s="150">
        <f t="shared" si="2149"/>
        <v>0</v>
      </c>
      <c r="AB2475" s="150">
        <v>252437.35</v>
      </c>
      <c r="AC2475" s="199"/>
      <c r="AD2475" s="150">
        <f t="shared" si="2180"/>
        <v>252437.35</v>
      </c>
      <c r="AE2475" s="150">
        <v>252437.35</v>
      </c>
      <c r="AF2475" s="169" t="s">
        <v>4680</v>
      </c>
      <c r="AG2475" s="201">
        <v>252437.35</v>
      </c>
      <c r="AH2475" s="199"/>
      <c r="AI2475" s="150">
        <v>252437.35</v>
      </c>
      <c r="AJ2475" s="169">
        <f t="shared" si="2151"/>
        <v>0</v>
      </c>
      <c r="AK2475" s="201">
        <v>252437.35</v>
      </c>
      <c r="AL2475" s="199"/>
      <c r="AM2475" s="150">
        <f t="shared" si="2181"/>
        <v>252437.35</v>
      </c>
      <c r="AN2475" s="153">
        <f t="shared" si="2153"/>
        <v>-252437.35</v>
      </c>
      <c r="AO2475" s="154">
        <f t="shared" si="2154"/>
        <v>-252437.35</v>
      </c>
      <c r="AP2475" s="150">
        <v>252437.35</v>
      </c>
      <c r="AQ2475" s="201">
        <v>0</v>
      </c>
      <c r="AR2475" s="199"/>
      <c r="AS2475" s="150">
        <f t="shared" si="2182"/>
        <v>0</v>
      </c>
      <c r="AT2475" s="155"/>
      <c r="AU2475" s="156">
        <f t="shared" si="2145"/>
        <v>0</v>
      </c>
      <c r="AV2475" s="156">
        <f t="shared" si="2146"/>
        <v>0</v>
      </c>
      <c r="AW2475" s="157"/>
      <c r="AX2475" s="150">
        <v>252437.35</v>
      </c>
      <c r="AY2475" s="150">
        <v>252437.35</v>
      </c>
      <c r="AZ2475" s="150"/>
      <c r="BA2475" s="150">
        <f t="shared" si="2183"/>
        <v>252437.35</v>
      </c>
      <c r="BB2475" s="210"/>
      <c r="BC2475" s="210"/>
      <c r="BD2475" s="210"/>
      <c r="BE2475" s="210"/>
      <c r="BF2475" s="210"/>
      <c r="BG2475" s="210"/>
      <c r="BH2475" s="217"/>
      <c r="BI2475" s="210"/>
      <c r="BJ2475" s="210"/>
      <c r="BK2475" s="210"/>
      <c r="BL2475" s="210"/>
      <c r="BM2475" s="208"/>
      <c r="BN2475" s="160"/>
      <c r="BO2475" s="161">
        <f t="shared" si="2163"/>
        <v>0</v>
      </c>
      <c r="BP2475" s="161"/>
    </row>
    <row r="2476" spans="1:68" ht="38.25">
      <c r="A2476" s="210"/>
      <c r="B2476" s="195" t="s">
        <v>10943</v>
      </c>
      <c r="C2476" s="196" t="s">
        <v>10944</v>
      </c>
      <c r="D2476" s="146" t="s">
        <v>4692</v>
      </c>
      <c r="E2476" s="377" t="s">
        <v>10945</v>
      </c>
      <c r="F2476" s="150">
        <v>208551.66</v>
      </c>
      <c r="G2476" s="209">
        <v>15268.14</v>
      </c>
      <c r="H2476" s="209"/>
      <c r="I2476" s="209">
        <v>15268.14</v>
      </c>
      <c r="J2476" s="150">
        <v>0</v>
      </c>
      <c r="K2476" s="150">
        <v>0</v>
      </c>
      <c r="L2476" s="150">
        <f t="shared" si="2169"/>
        <v>0</v>
      </c>
      <c r="M2476" s="150">
        <v>102220.67</v>
      </c>
      <c r="N2476" s="150"/>
      <c r="O2476" s="150">
        <v>102220.67</v>
      </c>
      <c r="P2476" s="150">
        <v>102220.67</v>
      </c>
      <c r="Q2476" s="150">
        <v>0</v>
      </c>
      <c r="R2476" s="150">
        <f t="shared" si="2178"/>
        <v>102220.67</v>
      </c>
      <c r="S2476" s="150">
        <f t="shared" si="2144"/>
        <v>136294.22666666665</v>
      </c>
      <c r="T2476" s="150"/>
      <c r="U2476" s="150">
        <v>102220.67</v>
      </c>
      <c r="V2476" s="199"/>
      <c r="W2476" s="150">
        <f t="shared" si="2179"/>
        <v>102220.67</v>
      </c>
      <c r="X2476" s="150">
        <v>102220.67</v>
      </c>
      <c r="Y2476" s="150"/>
      <c r="Z2476" s="150">
        <v>102220.67</v>
      </c>
      <c r="AA2476" s="150">
        <f t="shared" si="2149"/>
        <v>0</v>
      </c>
      <c r="AB2476" s="150">
        <v>102220.67</v>
      </c>
      <c r="AC2476" s="199"/>
      <c r="AD2476" s="150">
        <f t="shared" si="2180"/>
        <v>102220.67</v>
      </c>
      <c r="AE2476" s="150">
        <v>102220.67</v>
      </c>
      <c r="AF2476" s="169" t="s">
        <v>4680</v>
      </c>
      <c r="AG2476" s="201">
        <v>102220.67</v>
      </c>
      <c r="AH2476" s="199"/>
      <c r="AI2476" s="150">
        <v>102220.67</v>
      </c>
      <c r="AJ2476" s="169">
        <f t="shared" si="2151"/>
        <v>0</v>
      </c>
      <c r="AK2476" s="201">
        <v>102220.67</v>
      </c>
      <c r="AL2476" s="199"/>
      <c r="AM2476" s="150">
        <f t="shared" si="2181"/>
        <v>102220.67</v>
      </c>
      <c r="AN2476" s="153">
        <f t="shared" si="2153"/>
        <v>-102220.67</v>
      </c>
      <c r="AO2476" s="154">
        <f t="shared" si="2154"/>
        <v>-102220.67</v>
      </c>
      <c r="AP2476" s="150">
        <v>102220.67</v>
      </c>
      <c r="AQ2476" s="201">
        <v>0</v>
      </c>
      <c r="AR2476" s="199"/>
      <c r="AS2476" s="150">
        <f t="shared" si="2182"/>
        <v>0</v>
      </c>
      <c r="AT2476" s="155"/>
      <c r="AU2476" s="156">
        <f t="shared" si="2145"/>
        <v>0</v>
      </c>
      <c r="AV2476" s="156">
        <f t="shared" si="2146"/>
        <v>0</v>
      </c>
      <c r="AW2476" s="157"/>
      <c r="AX2476" s="150">
        <v>102220.67</v>
      </c>
      <c r="AY2476" s="150">
        <v>102220.67</v>
      </c>
      <c r="AZ2476" s="150"/>
      <c r="BA2476" s="150">
        <f t="shared" si="2183"/>
        <v>102220.67</v>
      </c>
      <c r="BB2476" s="210"/>
      <c r="BC2476" s="210"/>
      <c r="BD2476" s="210"/>
      <c r="BE2476" s="210"/>
      <c r="BF2476" s="210"/>
      <c r="BG2476" s="210"/>
      <c r="BH2476" s="217"/>
      <c r="BI2476" s="210"/>
      <c r="BJ2476" s="210"/>
      <c r="BK2476" s="210"/>
      <c r="BL2476" s="210"/>
      <c r="BM2476" s="208"/>
      <c r="BN2476" s="160"/>
      <c r="BO2476" s="161">
        <f t="shared" si="2163"/>
        <v>0</v>
      </c>
      <c r="BP2476" s="161"/>
    </row>
    <row r="2477" spans="1:68" ht="38.25">
      <c r="A2477" s="210"/>
      <c r="B2477" s="195" t="s">
        <v>10946</v>
      </c>
      <c r="C2477" s="196" t="s">
        <v>10947</v>
      </c>
      <c r="D2477" s="146" t="s">
        <v>4692</v>
      </c>
      <c r="E2477" s="377" t="s">
        <v>10947</v>
      </c>
      <c r="F2477" s="150">
        <v>2954.67</v>
      </c>
      <c r="G2477" s="209">
        <v>19967.95</v>
      </c>
      <c r="H2477" s="209"/>
      <c r="I2477" s="209">
        <v>19967.95</v>
      </c>
      <c r="J2477" s="150">
        <v>0</v>
      </c>
      <c r="K2477" s="150">
        <v>0</v>
      </c>
      <c r="L2477" s="150">
        <f t="shared" si="2169"/>
        <v>0</v>
      </c>
      <c r="M2477" s="150">
        <v>35131.1</v>
      </c>
      <c r="N2477" s="150"/>
      <c r="O2477" s="150">
        <v>35131.1</v>
      </c>
      <c r="P2477" s="150">
        <v>35131.1</v>
      </c>
      <c r="Q2477" s="150">
        <v>0</v>
      </c>
      <c r="R2477" s="150">
        <f t="shared" si="2178"/>
        <v>35131.1</v>
      </c>
      <c r="S2477" s="150">
        <f t="shared" si="2144"/>
        <v>46841.46666666666</v>
      </c>
      <c r="T2477" s="150"/>
      <c r="U2477" s="150">
        <v>35131.1</v>
      </c>
      <c r="V2477" s="199"/>
      <c r="W2477" s="150">
        <f t="shared" si="2179"/>
        <v>35131.1</v>
      </c>
      <c r="X2477" s="150">
        <v>35131.1</v>
      </c>
      <c r="Y2477" s="150"/>
      <c r="Z2477" s="150">
        <v>35131.1</v>
      </c>
      <c r="AA2477" s="150">
        <f t="shared" si="2149"/>
        <v>0</v>
      </c>
      <c r="AB2477" s="150">
        <v>35131.1</v>
      </c>
      <c r="AC2477" s="199"/>
      <c r="AD2477" s="150">
        <f t="shared" si="2180"/>
        <v>35131.1</v>
      </c>
      <c r="AE2477" s="150">
        <v>35131.1</v>
      </c>
      <c r="AF2477" s="169" t="s">
        <v>4680</v>
      </c>
      <c r="AG2477" s="201">
        <v>35131.1</v>
      </c>
      <c r="AH2477" s="199"/>
      <c r="AI2477" s="150">
        <v>35131.1</v>
      </c>
      <c r="AJ2477" s="169">
        <f t="shared" si="2151"/>
        <v>0</v>
      </c>
      <c r="AK2477" s="201">
        <v>35131.1</v>
      </c>
      <c r="AL2477" s="199"/>
      <c r="AM2477" s="150">
        <f t="shared" si="2181"/>
        <v>35131.1</v>
      </c>
      <c r="AN2477" s="153">
        <f t="shared" si="2153"/>
        <v>-35131.1</v>
      </c>
      <c r="AO2477" s="154">
        <f t="shared" si="2154"/>
        <v>-35131.1</v>
      </c>
      <c r="AP2477" s="150">
        <v>35131.1</v>
      </c>
      <c r="AQ2477" s="201">
        <v>0</v>
      </c>
      <c r="AR2477" s="199"/>
      <c r="AS2477" s="150">
        <f t="shared" si="2182"/>
        <v>0</v>
      </c>
      <c r="AT2477" s="155"/>
      <c r="AU2477" s="156">
        <f t="shared" si="2145"/>
        <v>0</v>
      </c>
      <c r="AV2477" s="156">
        <f t="shared" si="2146"/>
        <v>0</v>
      </c>
      <c r="AW2477" s="157"/>
      <c r="AX2477" s="150">
        <v>35131.1</v>
      </c>
      <c r="AY2477" s="150">
        <v>35131.1</v>
      </c>
      <c r="AZ2477" s="150"/>
      <c r="BA2477" s="150">
        <f t="shared" si="2183"/>
        <v>35131.1</v>
      </c>
      <c r="BB2477" s="210"/>
      <c r="BC2477" s="210"/>
      <c r="BD2477" s="210"/>
      <c r="BE2477" s="210"/>
      <c r="BF2477" s="210"/>
      <c r="BG2477" s="210"/>
      <c r="BH2477" s="217"/>
      <c r="BI2477" s="210"/>
      <c r="BJ2477" s="210"/>
      <c r="BK2477" s="210"/>
      <c r="BL2477" s="210"/>
      <c r="BM2477" s="208"/>
      <c r="BN2477" s="160"/>
      <c r="BO2477" s="161">
        <f t="shared" si="2163"/>
        <v>0</v>
      </c>
      <c r="BP2477" s="161"/>
    </row>
    <row r="2478" spans="1:68" ht="38.25">
      <c r="A2478" s="210"/>
      <c r="B2478" s="195" t="s">
        <v>10948</v>
      </c>
      <c r="C2478" s="196" t="s">
        <v>10949</v>
      </c>
      <c r="D2478" s="146" t="s">
        <v>4692</v>
      </c>
      <c r="E2478" s="377" t="s">
        <v>10949</v>
      </c>
      <c r="F2478" s="150">
        <v>15268.14</v>
      </c>
      <c r="G2478" s="209">
        <v>0</v>
      </c>
      <c r="H2478" s="209"/>
      <c r="I2478" s="209">
        <v>0</v>
      </c>
      <c r="J2478" s="150">
        <v>0</v>
      </c>
      <c r="K2478" s="150">
        <v>0</v>
      </c>
      <c r="L2478" s="150">
        <f t="shared" si="2169"/>
        <v>0</v>
      </c>
      <c r="M2478" s="150">
        <v>19150.13</v>
      </c>
      <c r="N2478" s="150"/>
      <c r="O2478" s="150">
        <v>19150.13</v>
      </c>
      <c r="P2478" s="150">
        <v>19150.13</v>
      </c>
      <c r="Q2478" s="150">
        <v>0</v>
      </c>
      <c r="R2478" s="150">
        <f t="shared" si="2178"/>
        <v>19150.13</v>
      </c>
      <c r="S2478" s="150">
        <f t="shared" si="2144"/>
        <v>25533.506666666668</v>
      </c>
      <c r="T2478" s="150"/>
      <c r="U2478" s="150">
        <v>19150.13</v>
      </c>
      <c r="V2478" s="199"/>
      <c r="W2478" s="150">
        <f t="shared" si="2179"/>
        <v>19150.13</v>
      </c>
      <c r="X2478" s="150">
        <v>19150.13</v>
      </c>
      <c r="Y2478" s="150"/>
      <c r="Z2478" s="150">
        <v>19150.13</v>
      </c>
      <c r="AA2478" s="150">
        <f t="shared" si="2149"/>
        <v>0</v>
      </c>
      <c r="AB2478" s="150">
        <v>19150.13</v>
      </c>
      <c r="AC2478" s="199"/>
      <c r="AD2478" s="150">
        <f t="shared" si="2180"/>
        <v>19150.13</v>
      </c>
      <c r="AE2478" s="150">
        <v>19150.13</v>
      </c>
      <c r="AF2478" s="169" t="s">
        <v>4680</v>
      </c>
      <c r="AG2478" s="201">
        <v>19150.13</v>
      </c>
      <c r="AH2478" s="199"/>
      <c r="AI2478" s="150">
        <v>19150.13</v>
      </c>
      <c r="AJ2478" s="169">
        <f t="shared" si="2151"/>
        <v>0</v>
      </c>
      <c r="AK2478" s="201">
        <v>19150.13</v>
      </c>
      <c r="AL2478" s="199"/>
      <c r="AM2478" s="150">
        <f t="shared" si="2181"/>
        <v>19150.13</v>
      </c>
      <c r="AN2478" s="153">
        <f t="shared" si="2153"/>
        <v>-19150.13</v>
      </c>
      <c r="AO2478" s="154">
        <f t="shared" si="2154"/>
        <v>-19150.13</v>
      </c>
      <c r="AP2478" s="150">
        <v>19150.13</v>
      </c>
      <c r="AQ2478" s="201">
        <v>0</v>
      </c>
      <c r="AR2478" s="199"/>
      <c r="AS2478" s="150">
        <f t="shared" si="2182"/>
        <v>0</v>
      </c>
      <c r="AT2478" s="155"/>
      <c r="AU2478" s="156">
        <f t="shared" si="2145"/>
        <v>0</v>
      </c>
      <c r="AV2478" s="156">
        <f t="shared" si="2146"/>
        <v>0</v>
      </c>
      <c r="AW2478" s="157"/>
      <c r="AX2478" s="150">
        <v>19150.13</v>
      </c>
      <c r="AY2478" s="150">
        <v>19150.13</v>
      </c>
      <c r="AZ2478" s="150"/>
      <c r="BA2478" s="150">
        <f t="shared" si="2183"/>
        <v>19150.13</v>
      </c>
      <c r="BB2478" s="210"/>
      <c r="BC2478" s="210"/>
      <c r="BD2478" s="210"/>
      <c r="BE2478" s="210"/>
      <c r="BF2478" s="210"/>
      <c r="BG2478" s="210"/>
      <c r="BH2478" s="217"/>
      <c r="BI2478" s="210"/>
      <c r="BJ2478" s="210"/>
      <c r="BK2478" s="210"/>
      <c r="BL2478" s="210"/>
      <c r="BM2478" s="208"/>
      <c r="BN2478" s="160"/>
      <c r="BO2478" s="161">
        <f t="shared" si="2163"/>
        <v>0</v>
      </c>
      <c r="BP2478" s="161"/>
    </row>
    <row r="2479" spans="1:68" ht="38.25">
      <c r="A2479" s="210"/>
      <c r="B2479" s="195" t="s">
        <v>10950</v>
      </c>
      <c r="C2479" s="196" t="s">
        <v>10951</v>
      </c>
      <c r="D2479" s="146" t="s">
        <v>4692</v>
      </c>
      <c r="E2479" s="377" t="s">
        <v>10951</v>
      </c>
      <c r="F2479" s="150">
        <v>19967.95</v>
      </c>
      <c r="G2479" s="209">
        <v>0</v>
      </c>
      <c r="H2479" s="209"/>
      <c r="I2479" s="209">
        <v>0</v>
      </c>
      <c r="J2479" s="150">
        <v>0</v>
      </c>
      <c r="K2479" s="150">
        <v>0</v>
      </c>
      <c r="L2479" s="150">
        <f t="shared" si="2169"/>
        <v>0</v>
      </c>
      <c r="M2479" s="150">
        <v>41390.85</v>
      </c>
      <c r="N2479" s="150"/>
      <c r="O2479" s="150">
        <v>41390.85</v>
      </c>
      <c r="P2479" s="150">
        <v>41390.85</v>
      </c>
      <c r="Q2479" s="150">
        <v>0</v>
      </c>
      <c r="R2479" s="150">
        <f t="shared" si="2178"/>
        <v>41390.85</v>
      </c>
      <c r="S2479" s="150">
        <f t="shared" si="2144"/>
        <v>55187.8</v>
      </c>
      <c r="T2479" s="150"/>
      <c r="U2479" s="150">
        <v>41390.85</v>
      </c>
      <c r="V2479" s="199"/>
      <c r="W2479" s="150">
        <f t="shared" si="2179"/>
        <v>41390.85</v>
      </c>
      <c r="X2479" s="150">
        <v>41390.85</v>
      </c>
      <c r="Y2479" s="150"/>
      <c r="Z2479" s="150">
        <v>41390.85</v>
      </c>
      <c r="AA2479" s="150">
        <f t="shared" si="2149"/>
        <v>0</v>
      </c>
      <c r="AB2479" s="150">
        <v>41390.85</v>
      </c>
      <c r="AC2479" s="199"/>
      <c r="AD2479" s="150">
        <f t="shared" si="2180"/>
        <v>41390.85</v>
      </c>
      <c r="AE2479" s="150">
        <v>41390.85</v>
      </c>
      <c r="AF2479" s="169" t="s">
        <v>4680</v>
      </c>
      <c r="AG2479" s="201">
        <v>41390.85</v>
      </c>
      <c r="AH2479" s="199"/>
      <c r="AI2479" s="150">
        <v>41390.85</v>
      </c>
      <c r="AJ2479" s="169">
        <f t="shared" si="2151"/>
        <v>0</v>
      </c>
      <c r="AK2479" s="201">
        <v>41390.85</v>
      </c>
      <c r="AL2479" s="199"/>
      <c r="AM2479" s="150">
        <f t="shared" si="2181"/>
        <v>41390.85</v>
      </c>
      <c r="AN2479" s="153">
        <f t="shared" si="2153"/>
        <v>-41390.85</v>
      </c>
      <c r="AO2479" s="154">
        <f t="shared" si="2154"/>
        <v>-41390.85</v>
      </c>
      <c r="AP2479" s="150">
        <v>41390.85</v>
      </c>
      <c r="AQ2479" s="201">
        <v>0</v>
      </c>
      <c r="AR2479" s="199"/>
      <c r="AS2479" s="150">
        <f t="shared" si="2182"/>
        <v>0</v>
      </c>
      <c r="AT2479" s="155"/>
      <c r="AU2479" s="156">
        <f t="shared" si="2145"/>
        <v>0</v>
      </c>
      <c r="AV2479" s="156">
        <f t="shared" si="2146"/>
        <v>0</v>
      </c>
      <c r="AW2479" s="157"/>
      <c r="AX2479" s="150">
        <v>41390.85</v>
      </c>
      <c r="AY2479" s="150">
        <v>41390.85</v>
      </c>
      <c r="AZ2479" s="150"/>
      <c r="BA2479" s="150">
        <f t="shared" si="2183"/>
        <v>41390.85</v>
      </c>
      <c r="BB2479" s="210"/>
      <c r="BC2479" s="210"/>
      <c r="BD2479" s="210"/>
      <c r="BE2479" s="210"/>
      <c r="BF2479" s="210"/>
      <c r="BG2479" s="210"/>
      <c r="BH2479" s="217"/>
      <c r="BI2479" s="210"/>
      <c r="BJ2479" s="210"/>
      <c r="BK2479" s="210"/>
      <c r="BL2479" s="210"/>
      <c r="BM2479" s="208"/>
      <c r="BN2479" s="160"/>
      <c r="BO2479" s="161">
        <f t="shared" si="2163"/>
        <v>0</v>
      </c>
      <c r="BP2479" s="161"/>
    </row>
    <row r="2480" spans="1:68" ht="51">
      <c r="A2480" s="206" t="s">
        <v>10952</v>
      </c>
      <c r="B2480" s="195" t="s">
        <v>10953</v>
      </c>
      <c r="C2480" s="196" t="s">
        <v>10954</v>
      </c>
      <c r="D2480" s="146" t="s">
        <v>4692</v>
      </c>
      <c r="E2480" s="377" t="s">
        <v>10954</v>
      </c>
      <c r="F2480" s="150">
        <v>0</v>
      </c>
      <c r="G2480" s="209">
        <v>0</v>
      </c>
      <c r="H2480" s="209"/>
      <c r="I2480" s="209">
        <v>0</v>
      </c>
      <c r="J2480" s="150">
        <v>0</v>
      </c>
      <c r="K2480" s="150">
        <v>0</v>
      </c>
      <c r="L2480" s="150">
        <f t="shared" si="2169"/>
        <v>0</v>
      </c>
      <c r="M2480" s="150">
        <v>0</v>
      </c>
      <c r="N2480" s="150"/>
      <c r="O2480" s="150">
        <v>0</v>
      </c>
      <c r="P2480" s="150">
        <v>0</v>
      </c>
      <c r="Q2480" s="150">
        <v>0</v>
      </c>
      <c r="R2480" s="150">
        <f t="shared" si="2178"/>
        <v>0</v>
      </c>
      <c r="S2480" s="150">
        <f t="shared" ref="S2480:S2534" si="2184">R2480/9*12</f>
        <v>0</v>
      </c>
      <c r="T2480" s="150"/>
      <c r="U2480" s="150">
        <v>0</v>
      </c>
      <c r="V2480" s="199"/>
      <c r="W2480" s="150">
        <f t="shared" si="2179"/>
        <v>0</v>
      </c>
      <c r="X2480" s="150">
        <v>0</v>
      </c>
      <c r="Y2480" s="150"/>
      <c r="Z2480" s="150">
        <v>0</v>
      </c>
      <c r="AA2480" s="150">
        <f t="shared" si="2149"/>
        <v>0</v>
      </c>
      <c r="AB2480" s="150">
        <v>0</v>
      </c>
      <c r="AC2480" s="199"/>
      <c r="AD2480" s="150">
        <f t="shared" si="2180"/>
        <v>0</v>
      </c>
      <c r="AE2480" s="150">
        <v>0</v>
      </c>
      <c r="AF2480" s="169" t="s">
        <v>4680</v>
      </c>
      <c r="AG2480" s="201">
        <v>0</v>
      </c>
      <c r="AH2480" s="199"/>
      <c r="AI2480" s="150">
        <v>0</v>
      </c>
      <c r="AJ2480" s="169">
        <f t="shared" si="2151"/>
        <v>0</v>
      </c>
      <c r="AK2480" s="201">
        <v>0</v>
      </c>
      <c r="AL2480" s="199"/>
      <c r="AM2480" s="150">
        <f t="shared" si="2181"/>
        <v>0</v>
      </c>
      <c r="AN2480" s="153">
        <f t="shared" si="2153"/>
        <v>0</v>
      </c>
      <c r="AO2480" s="154">
        <f t="shared" si="2154"/>
        <v>0</v>
      </c>
      <c r="AP2480" s="150">
        <v>0</v>
      </c>
      <c r="AQ2480" s="201">
        <v>0</v>
      </c>
      <c r="AR2480" s="199"/>
      <c r="AS2480" s="150">
        <f t="shared" si="2182"/>
        <v>0</v>
      </c>
      <c r="AT2480" s="155"/>
      <c r="AU2480" s="156">
        <f t="shared" si="2145"/>
        <v>0</v>
      </c>
      <c r="AV2480" s="156">
        <f t="shared" si="2146"/>
        <v>0</v>
      </c>
      <c r="AW2480" s="157"/>
      <c r="AX2480" s="150">
        <v>0</v>
      </c>
      <c r="AY2480" s="150">
        <v>0</v>
      </c>
      <c r="AZ2480" s="150"/>
      <c r="BA2480" s="150">
        <f t="shared" si="2183"/>
        <v>0</v>
      </c>
      <c r="BB2480" s="202">
        <v>8</v>
      </c>
      <c r="BC2480" s="202" t="s">
        <v>647</v>
      </c>
      <c r="BD2480" s="202" t="s">
        <v>647</v>
      </c>
      <c r="BE2480" s="202" t="s">
        <v>671</v>
      </c>
      <c r="BF2480" s="202" t="s">
        <v>1225</v>
      </c>
      <c r="BG2480" s="231" t="s">
        <v>10955</v>
      </c>
      <c r="BH2480" s="216">
        <f t="shared" ref="BH2480:BH2488" si="2185">AS2480</f>
        <v>0</v>
      </c>
      <c r="BI2480" s="205"/>
      <c r="BJ2480" s="206" t="s">
        <v>10956</v>
      </c>
      <c r="BK2480" s="206" t="s">
        <v>10952</v>
      </c>
      <c r="BL2480" s="207" t="s">
        <v>10957</v>
      </c>
      <c r="BM2480" s="208">
        <f t="shared" ref="BM2480:BM2488" si="2186">BH2480</f>
        <v>0</v>
      </c>
      <c r="BN2480" s="160"/>
      <c r="BO2480" s="161">
        <f t="shared" si="2163"/>
        <v>0</v>
      </c>
      <c r="BP2480" s="161"/>
    </row>
    <row r="2481" spans="1:68" ht="38.25">
      <c r="A2481" s="206" t="s">
        <v>10952</v>
      </c>
      <c r="B2481" s="195" t="s">
        <v>10958</v>
      </c>
      <c r="C2481" s="196" t="s">
        <v>10959</v>
      </c>
      <c r="D2481" s="146" t="s">
        <v>4692</v>
      </c>
      <c r="E2481" s="377" t="s">
        <v>10959</v>
      </c>
      <c r="F2481" s="150">
        <v>0</v>
      </c>
      <c r="G2481" s="209">
        <v>0</v>
      </c>
      <c r="H2481" s="209"/>
      <c r="I2481" s="209">
        <v>0</v>
      </c>
      <c r="J2481" s="150">
        <v>0</v>
      </c>
      <c r="K2481" s="150">
        <v>0</v>
      </c>
      <c r="L2481" s="150">
        <f t="shared" si="2169"/>
        <v>0</v>
      </c>
      <c r="M2481" s="150">
        <v>0</v>
      </c>
      <c r="N2481" s="150"/>
      <c r="O2481" s="150">
        <v>0</v>
      </c>
      <c r="P2481" s="150">
        <v>0</v>
      </c>
      <c r="Q2481" s="150">
        <v>0</v>
      </c>
      <c r="R2481" s="150">
        <f t="shared" si="2178"/>
        <v>0</v>
      </c>
      <c r="S2481" s="150">
        <f t="shared" si="2184"/>
        <v>0</v>
      </c>
      <c r="T2481" s="150"/>
      <c r="U2481" s="150">
        <v>0</v>
      </c>
      <c r="V2481" s="199"/>
      <c r="W2481" s="150">
        <f t="shared" si="2179"/>
        <v>0</v>
      </c>
      <c r="X2481" s="150">
        <v>0</v>
      </c>
      <c r="Y2481" s="150"/>
      <c r="Z2481" s="150">
        <v>0</v>
      </c>
      <c r="AA2481" s="150">
        <f t="shared" si="2149"/>
        <v>0</v>
      </c>
      <c r="AB2481" s="150">
        <v>0</v>
      </c>
      <c r="AC2481" s="199"/>
      <c r="AD2481" s="150">
        <f t="shared" si="2180"/>
        <v>0</v>
      </c>
      <c r="AE2481" s="150">
        <v>0</v>
      </c>
      <c r="AF2481" s="169" t="s">
        <v>4680</v>
      </c>
      <c r="AG2481" s="201">
        <v>0</v>
      </c>
      <c r="AH2481" s="199"/>
      <c r="AI2481" s="150">
        <v>0</v>
      </c>
      <c r="AJ2481" s="169">
        <f t="shared" si="2151"/>
        <v>0</v>
      </c>
      <c r="AK2481" s="201">
        <v>0</v>
      </c>
      <c r="AL2481" s="199"/>
      <c r="AM2481" s="150">
        <f t="shared" si="2181"/>
        <v>0</v>
      </c>
      <c r="AN2481" s="153">
        <f t="shared" si="2153"/>
        <v>0</v>
      </c>
      <c r="AO2481" s="154">
        <f t="shared" si="2154"/>
        <v>0</v>
      </c>
      <c r="AP2481" s="150">
        <v>0</v>
      </c>
      <c r="AQ2481" s="201">
        <v>0</v>
      </c>
      <c r="AR2481" s="199"/>
      <c r="AS2481" s="150">
        <f t="shared" si="2182"/>
        <v>0</v>
      </c>
      <c r="AT2481" s="155"/>
      <c r="AU2481" s="156">
        <f t="shared" si="2145"/>
        <v>0</v>
      </c>
      <c r="AV2481" s="156">
        <f t="shared" si="2146"/>
        <v>0</v>
      </c>
      <c r="AW2481" s="157"/>
      <c r="AX2481" s="150">
        <v>0</v>
      </c>
      <c r="AY2481" s="150">
        <v>0</v>
      </c>
      <c r="AZ2481" s="150"/>
      <c r="BA2481" s="150">
        <f t="shared" si="2183"/>
        <v>0</v>
      </c>
      <c r="BB2481" s="202">
        <v>8</v>
      </c>
      <c r="BC2481" s="202" t="s">
        <v>647</v>
      </c>
      <c r="BD2481" s="202" t="s">
        <v>647</v>
      </c>
      <c r="BE2481" s="202" t="s">
        <v>671</v>
      </c>
      <c r="BF2481" s="202" t="s">
        <v>1229</v>
      </c>
      <c r="BG2481" s="231" t="s">
        <v>10960</v>
      </c>
      <c r="BH2481" s="216">
        <f t="shared" si="2185"/>
        <v>0</v>
      </c>
      <c r="BI2481" s="205"/>
      <c r="BJ2481" s="206" t="s">
        <v>10956</v>
      </c>
      <c r="BK2481" s="206" t="s">
        <v>10952</v>
      </c>
      <c r="BL2481" s="207" t="s">
        <v>10957</v>
      </c>
      <c r="BM2481" s="208">
        <f t="shared" si="2186"/>
        <v>0</v>
      </c>
      <c r="BN2481" s="160"/>
      <c r="BO2481" s="161">
        <f t="shared" si="2163"/>
        <v>0</v>
      </c>
      <c r="BP2481" s="161"/>
    </row>
    <row r="2482" spans="1:68" ht="51">
      <c r="A2482" s="206" t="s">
        <v>10952</v>
      </c>
      <c r="B2482" s="195" t="s">
        <v>10961</v>
      </c>
      <c r="C2482" s="196" t="s">
        <v>10962</v>
      </c>
      <c r="D2482" s="146" t="s">
        <v>4692</v>
      </c>
      <c r="E2482" s="377" t="s">
        <v>10962</v>
      </c>
      <c r="F2482" s="150">
        <v>0</v>
      </c>
      <c r="G2482" s="209">
        <v>0</v>
      </c>
      <c r="H2482" s="209"/>
      <c r="I2482" s="209">
        <v>0</v>
      </c>
      <c r="J2482" s="150">
        <v>0</v>
      </c>
      <c r="K2482" s="150">
        <v>0</v>
      </c>
      <c r="L2482" s="150">
        <f t="shared" si="2169"/>
        <v>0</v>
      </c>
      <c r="M2482" s="150">
        <v>0</v>
      </c>
      <c r="N2482" s="150"/>
      <c r="O2482" s="150">
        <v>0</v>
      </c>
      <c r="P2482" s="150">
        <v>0</v>
      </c>
      <c r="Q2482" s="150">
        <v>0</v>
      </c>
      <c r="R2482" s="150">
        <f t="shared" si="2178"/>
        <v>0</v>
      </c>
      <c r="S2482" s="150">
        <f t="shared" si="2184"/>
        <v>0</v>
      </c>
      <c r="T2482" s="150"/>
      <c r="U2482" s="150">
        <v>0</v>
      </c>
      <c r="V2482" s="199"/>
      <c r="W2482" s="150">
        <f t="shared" si="2179"/>
        <v>0</v>
      </c>
      <c r="X2482" s="150">
        <v>0</v>
      </c>
      <c r="Y2482" s="150"/>
      <c r="Z2482" s="150">
        <v>0</v>
      </c>
      <c r="AA2482" s="150">
        <f t="shared" si="2149"/>
        <v>0</v>
      </c>
      <c r="AB2482" s="150">
        <v>0</v>
      </c>
      <c r="AC2482" s="199"/>
      <c r="AD2482" s="150">
        <f t="shared" si="2180"/>
        <v>0</v>
      </c>
      <c r="AE2482" s="150">
        <v>0</v>
      </c>
      <c r="AF2482" s="169" t="s">
        <v>4680</v>
      </c>
      <c r="AG2482" s="201">
        <v>0</v>
      </c>
      <c r="AH2482" s="199"/>
      <c r="AI2482" s="150">
        <v>0</v>
      </c>
      <c r="AJ2482" s="169">
        <f t="shared" si="2151"/>
        <v>0</v>
      </c>
      <c r="AK2482" s="201">
        <v>0</v>
      </c>
      <c r="AL2482" s="199"/>
      <c r="AM2482" s="150">
        <f t="shared" si="2181"/>
        <v>0</v>
      </c>
      <c r="AN2482" s="153">
        <f t="shared" si="2153"/>
        <v>0</v>
      </c>
      <c r="AO2482" s="154">
        <f t="shared" si="2154"/>
        <v>0</v>
      </c>
      <c r="AP2482" s="150">
        <v>0</v>
      </c>
      <c r="AQ2482" s="201">
        <v>0</v>
      </c>
      <c r="AR2482" s="199"/>
      <c r="AS2482" s="150">
        <f t="shared" si="2182"/>
        <v>0</v>
      </c>
      <c r="AT2482" s="155"/>
      <c r="AU2482" s="156">
        <f t="shared" si="2145"/>
        <v>0</v>
      </c>
      <c r="AV2482" s="156">
        <f t="shared" si="2146"/>
        <v>0</v>
      </c>
      <c r="AW2482" s="157"/>
      <c r="AX2482" s="150">
        <v>0</v>
      </c>
      <c r="AY2482" s="150">
        <v>0</v>
      </c>
      <c r="AZ2482" s="150"/>
      <c r="BA2482" s="150">
        <f t="shared" si="2183"/>
        <v>0</v>
      </c>
      <c r="BB2482" s="202">
        <v>8</v>
      </c>
      <c r="BC2482" s="202" t="s">
        <v>647</v>
      </c>
      <c r="BD2482" s="202" t="s">
        <v>647</v>
      </c>
      <c r="BE2482" s="202" t="s">
        <v>671</v>
      </c>
      <c r="BF2482" s="202" t="s">
        <v>1243</v>
      </c>
      <c r="BG2482" s="231" t="s">
        <v>10963</v>
      </c>
      <c r="BH2482" s="216">
        <f t="shared" si="2185"/>
        <v>0</v>
      </c>
      <c r="BI2482" s="205"/>
      <c r="BJ2482" s="206" t="s">
        <v>10956</v>
      </c>
      <c r="BK2482" s="206" t="s">
        <v>10952</v>
      </c>
      <c r="BL2482" s="207" t="s">
        <v>10957</v>
      </c>
      <c r="BM2482" s="208">
        <f t="shared" si="2186"/>
        <v>0</v>
      </c>
      <c r="BN2482" s="160"/>
      <c r="BO2482" s="161">
        <f t="shared" si="2163"/>
        <v>0</v>
      </c>
      <c r="BP2482" s="161"/>
    </row>
    <row r="2483" spans="1:68" ht="38.25">
      <c r="A2483" s="206" t="s">
        <v>10952</v>
      </c>
      <c r="B2483" s="195" t="s">
        <v>10964</v>
      </c>
      <c r="C2483" s="196" t="s">
        <v>10965</v>
      </c>
      <c r="D2483" s="146" t="s">
        <v>4692</v>
      </c>
      <c r="E2483" s="377" t="s">
        <v>10965</v>
      </c>
      <c r="F2483" s="150">
        <v>0</v>
      </c>
      <c r="G2483" s="209">
        <v>0</v>
      </c>
      <c r="H2483" s="209"/>
      <c r="I2483" s="209">
        <v>0</v>
      </c>
      <c r="J2483" s="150">
        <v>0</v>
      </c>
      <c r="K2483" s="150">
        <v>0</v>
      </c>
      <c r="L2483" s="150">
        <f t="shared" si="2169"/>
        <v>0</v>
      </c>
      <c r="M2483" s="150">
        <v>0</v>
      </c>
      <c r="N2483" s="150"/>
      <c r="O2483" s="150">
        <v>0</v>
      </c>
      <c r="P2483" s="150">
        <v>0</v>
      </c>
      <c r="Q2483" s="150">
        <v>0</v>
      </c>
      <c r="R2483" s="150">
        <f t="shared" si="2178"/>
        <v>0</v>
      </c>
      <c r="S2483" s="150">
        <f t="shared" si="2184"/>
        <v>0</v>
      </c>
      <c r="T2483" s="150"/>
      <c r="U2483" s="150">
        <v>0</v>
      </c>
      <c r="V2483" s="199"/>
      <c r="W2483" s="150">
        <f t="shared" si="2179"/>
        <v>0</v>
      </c>
      <c r="X2483" s="150">
        <v>0</v>
      </c>
      <c r="Y2483" s="150"/>
      <c r="Z2483" s="150">
        <v>0</v>
      </c>
      <c r="AA2483" s="150">
        <f t="shared" si="2149"/>
        <v>0</v>
      </c>
      <c r="AB2483" s="150">
        <v>0</v>
      </c>
      <c r="AC2483" s="199"/>
      <c r="AD2483" s="150">
        <f t="shared" si="2180"/>
        <v>0</v>
      </c>
      <c r="AE2483" s="150">
        <v>0</v>
      </c>
      <c r="AF2483" s="169" t="s">
        <v>4680</v>
      </c>
      <c r="AG2483" s="201">
        <v>0</v>
      </c>
      <c r="AH2483" s="199"/>
      <c r="AI2483" s="150">
        <v>0</v>
      </c>
      <c r="AJ2483" s="169">
        <f t="shared" si="2151"/>
        <v>0</v>
      </c>
      <c r="AK2483" s="201">
        <v>0</v>
      </c>
      <c r="AL2483" s="199"/>
      <c r="AM2483" s="150">
        <f t="shared" si="2181"/>
        <v>0</v>
      </c>
      <c r="AN2483" s="153">
        <f t="shared" si="2153"/>
        <v>0</v>
      </c>
      <c r="AO2483" s="154">
        <f t="shared" si="2154"/>
        <v>0</v>
      </c>
      <c r="AP2483" s="150">
        <v>0</v>
      </c>
      <c r="AQ2483" s="201">
        <v>0</v>
      </c>
      <c r="AR2483" s="199"/>
      <c r="AS2483" s="150">
        <f t="shared" si="2182"/>
        <v>0</v>
      </c>
      <c r="AT2483" s="155"/>
      <c r="AU2483" s="156">
        <f t="shared" si="2145"/>
        <v>0</v>
      </c>
      <c r="AV2483" s="156">
        <f t="shared" si="2146"/>
        <v>0</v>
      </c>
      <c r="AW2483" s="157"/>
      <c r="AX2483" s="150">
        <v>0</v>
      </c>
      <c r="AY2483" s="150">
        <v>0</v>
      </c>
      <c r="AZ2483" s="150"/>
      <c r="BA2483" s="150">
        <f t="shared" si="2183"/>
        <v>0</v>
      </c>
      <c r="BB2483" s="202">
        <v>8</v>
      </c>
      <c r="BC2483" s="202" t="s">
        <v>647</v>
      </c>
      <c r="BD2483" s="202" t="s">
        <v>647</v>
      </c>
      <c r="BE2483" s="202" t="s">
        <v>671</v>
      </c>
      <c r="BF2483" s="202" t="s">
        <v>1247</v>
      </c>
      <c r="BG2483" s="231" t="s">
        <v>10966</v>
      </c>
      <c r="BH2483" s="216">
        <f t="shared" si="2185"/>
        <v>0</v>
      </c>
      <c r="BI2483" s="205"/>
      <c r="BJ2483" s="206" t="s">
        <v>10956</v>
      </c>
      <c r="BK2483" s="206" t="s">
        <v>10952</v>
      </c>
      <c r="BL2483" s="207" t="s">
        <v>10957</v>
      </c>
      <c r="BM2483" s="208">
        <f t="shared" si="2186"/>
        <v>0</v>
      </c>
      <c r="BN2483" s="160"/>
      <c r="BO2483" s="161">
        <f t="shared" si="2163"/>
        <v>0</v>
      </c>
      <c r="BP2483" s="161"/>
    </row>
    <row r="2484" spans="1:68" ht="38.25">
      <c r="A2484" s="206" t="s">
        <v>10952</v>
      </c>
      <c r="B2484" s="195" t="s">
        <v>10967</v>
      </c>
      <c r="C2484" s="196" t="s">
        <v>10968</v>
      </c>
      <c r="D2484" s="146" t="s">
        <v>4692</v>
      </c>
      <c r="E2484" s="377" t="s">
        <v>10968</v>
      </c>
      <c r="F2484" s="150">
        <v>0</v>
      </c>
      <c r="G2484" s="209">
        <v>360.09999999999991</v>
      </c>
      <c r="H2484" s="209">
        <v>-360</v>
      </c>
      <c r="I2484" s="209">
        <v>9.9999999999909051E-2</v>
      </c>
      <c r="J2484" s="150">
        <v>0</v>
      </c>
      <c r="K2484" s="150">
        <v>0</v>
      </c>
      <c r="L2484" s="150">
        <f t="shared" si="2169"/>
        <v>0</v>
      </c>
      <c r="M2484" s="150">
        <v>0</v>
      </c>
      <c r="N2484" s="150"/>
      <c r="O2484" s="150">
        <v>0</v>
      </c>
      <c r="P2484" s="150">
        <v>0</v>
      </c>
      <c r="Q2484" s="150">
        <v>0</v>
      </c>
      <c r="R2484" s="150">
        <f t="shared" si="2178"/>
        <v>0</v>
      </c>
      <c r="S2484" s="150">
        <f t="shared" si="2184"/>
        <v>0</v>
      </c>
      <c r="T2484" s="150"/>
      <c r="U2484" s="150">
        <v>0</v>
      </c>
      <c r="V2484" s="199"/>
      <c r="W2484" s="150">
        <f t="shared" si="2179"/>
        <v>0</v>
      </c>
      <c r="X2484" s="150">
        <v>0</v>
      </c>
      <c r="Y2484" s="150"/>
      <c r="Z2484" s="150">
        <v>0</v>
      </c>
      <c r="AA2484" s="150">
        <f t="shared" si="2149"/>
        <v>0</v>
      </c>
      <c r="AB2484" s="150">
        <v>0</v>
      </c>
      <c r="AC2484" s="199"/>
      <c r="AD2484" s="150">
        <f t="shared" si="2180"/>
        <v>0</v>
      </c>
      <c r="AE2484" s="150">
        <v>0</v>
      </c>
      <c r="AF2484" s="169" t="s">
        <v>4680</v>
      </c>
      <c r="AG2484" s="201">
        <v>0</v>
      </c>
      <c r="AH2484" s="199"/>
      <c r="AI2484" s="150">
        <v>0</v>
      </c>
      <c r="AJ2484" s="169">
        <f t="shared" si="2151"/>
        <v>0</v>
      </c>
      <c r="AK2484" s="201">
        <v>0</v>
      </c>
      <c r="AL2484" s="199"/>
      <c r="AM2484" s="150">
        <f t="shared" si="2181"/>
        <v>0</v>
      </c>
      <c r="AN2484" s="153">
        <f t="shared" si="2153"/>
        <v>0</v>
      </c>
      <c r="AO2484" s="154">
        <f t="shared" si="2154"/>
        <v>0</v>
      </c>
      <c r="AP2484" s="150">
        <v>0</v>
      </c>
      <c r="AQ2484" s="201">
        <v>0</v>
      </c>
      <c r="AR2484" s="199"/>
      <c r="AS2484" s="150">
        <f t="shared" si="2182"/>
        <v>0</v>
      </c>
      <c r="AT2484" s="155"/>
      <c r="AU2484" s="156">
        <f t="shared" si="2145"/>
        <v>0</v>
      </c>
      <c r="AV2484" s="156">
        <f t="shared" si="2146"/>
        <v>0</v>
      </c>
      <c r="AW2484" s="157"/>
      <c r="AX2484" s="150">
        <v>0</v>
      </c>
      <c r="AY2484" s="150">
        <v>0</v>
      </c>
      <c r="AZ2484" s="150"/>
      <c r="BA2484" s="150">
        <f t="shared" si="2183"/>
        <v>0</v>
      </c>
      <c r="BB2484" s="202">
        <v>8</v>
      </c>
      <c r="BC2484" s="202" t="s">
        <v>647</v>
      </c>
      <c r="BD2484" s="202" t="s">
        <v>647</v>
      </c>
      <c r="BE2484" s="202" t="s">
        <v>671</v>
      </c>
      <c r="BF2484" s="202" t="s">
        <v>1253</v>
      </c>
      <c r="BG2484" s="203" t="s">
        <v>10969</v>
      </c>
      <c r="BH2484" s="216">
        <f t="shared" si="2185"/>
        <v>0</v>
      </c>
      <c r="BI2484" s="205"/>
      <c r="BJ2484" s="206" t="s">
        <v>10956</v>
      </c>
      <c r="BK2484" s="206" t="s">
        <v>10952</v>
      </c>
      <c r="BL2484" s="207" t="s">
        <v>10957</v>
      </c>
      <c r="BM2484" s="208">
        <f t="shared" si="2186"/>
        <v>0</v>
      </c>
      <c r="BN2484" s="160"/>
      <c r="BO2484" s="161">
        <f t="shared" si="2163"/>
        <v>0</v>
      </c>
      <c r="BP2484" s="161"/>
    </row>
    <row r="2485" spans="1:68" ht="38.25">
      <c r="A2485" s="206" t="s">
        <v>10970</v>
      </c>
      <c r="B2485" s="195" t="s">
        <v>10971</v>
      </c>
      <c r="C2485" s="196" t="s">
        <v>10972</v>
      </c>
      <c r="D2485" s="146" t="s">
        <v>4692</v>
      </c>
      <c r="E2485" s="377" t="s">
        <v>10972</v>
      </c>
      <c r="F2485" s="150">
        <v>0</v>
      </c>
      <c r="G2485" s="209">
        <v>907348.18</v>
      </c>
      <c r="H2485" s="209">
        <v>-535250</v>
      </c>
      <c r="I2485" s="209">
        <v>372098.18000000005</v>
      </c>
      <c r="J2485" s="150">
        <v>0</v>
      </c>
      <c r="K2485" s="150">
        <v>0</v>
      </c>
      <c r="L2485" s="150">
        <f t="shared" si="2169"/>
        <v>0</v>
      </c>
      <c r="M2485" s="150">
        <v>0</v>
      </c>
      <c r="N2485" s="150"/>
      <c r="O2485" s="150">
        <v>0</v>
      </c>
      <c r="P2485" s="150">
        <v>0</v>
      </c>
      <c r="Q2485" s="150">
        <v>0</v>
      </c>
      <c r="R2485" s="150">
        <f t="shared" si="2178"/>
        <v>0</v>
      </c>
      <c r="S2485" s="150">
        <f t="shared" si="2184"/>
        <v>0</v>
      </c>
      <c r="T2485" s="150"/>
      <c r="U2485" s="150">
        <v>0</v>
      </c>
      <c r="V2485" s="199"/>
      <c r="W2485" s="150">
        <f t="shared" si="2179"/>
        <v>0</v>
      </c>
      <c r="X2485" s="150">
        <v>0</v>
      </c>
      <c r="Y2485" s="150"/>
      <c r="Z2485" s="150">
        <v>0</v>
      </c>
      <c r="AA2485" s="150">
        <f t="shared" si="2149"/>
        <v>0</v>
      </c>
      <c r="AB2485" s="150">
        <v>0</v>
      </c>
      <c r="AC2485" s="199"/>
      <c r="AD2485" s="150">
        <f t="shared" si="2180"/>
        <v>0</v>
      </c>
      <c r="AE2485" s="150">
        <v>0</v>
      </c>
      <c r="AF2485" s="169" t="s">
        <v>4680</v>
      </c>
      <c r="AG2485" s="201">
        <v>0</v>
      </c>
      <c r="AH2485" s="199"/>
      <c r="AI2485" s="150">
        <v>0</v>
      </c>
      <c r="AJ2485" s="169">
        <f t="shared" si="2151"/>
        <v>0</v>
      </c>
      <c r="AK2485" s="201">
        <v>0</v>
      </c>
      <c r="AL2485" s="199"/>
      <c r="AM2485" s="150">
        <f t="shared" si="2181"/>
        <v>0</v>
      </c>
      <c r="AN2485" s="153">
        <f t="shared" si="2153"/>
        <v>0</v>
      </c>
      <c r="AO2485" s="154">
        <f t="shared" si="2154"/>
        <v>0</v>
      </c>
      <c r="AP2485" s="150">
        <v>0</v>
      </c>
      <c r="AQ2485" s="201">
        <v>0</v>
      </c>
      <c r="AR2485" s="199"/>
      <c r="AS2485" s="150">
        <f t="shared" si="2182"/>
        <v>0</v>
      </c>
      <c r="AT2485" s="155"/>
      <c r="AU2485" s="156">
        <f t="shared" si="2145"/>
        <v>0</v>
      </c>
      <c r="AV2485" s="156">
        <f t="shared" si="2146"/>
        <v>0</v>
      </c>
      <c r="AW2485" s="157"/>
      <c r="AX2485" s="150">
        <v>0</v>
      </c>
      <c r="AY2485" s="150">
        <v>0</v>
      </c>
      <c r="AZ2485" s="150"/>
      <c r="BA2485" s="150">
        <f t="shared" si="2183"/>
        <v>0</v>
      </c>
      <c r="BB2485" s="202">
        <v>8</v>
      </c>
      <c r="BC2485" s="202" t="s">
        <v>647</v>
      </c>
      <c r="BD2485" s="202" t="s">
        <v>647</v>
      </c>
      <c r="BE2485" s="202" t="s">
        <v>671</v>
      </c>
      <c r="BF2485" s="202" t="s">
        <v>1257</v>
      </c>
      <c r="BG2485" s="203" t="s">
        <v>10973</v>
      </c>
      <c r="BH2485" s="216">
        <f t="shared" si="2185"/>
        <v>0</v>
      </c>
      <c r="BI2485" s="205"/>
      <c r="BJ2485" s="206" t="s">
        <v>10974</v>
      </c>
      <c r="BK2485" s="206" t="s">
        <v>10970</v>
      </c>
      <c r="BL2485" s="207" t="s">
        <v>10975</v>
      </c>
      <c r="BM2485" s="208">
        <f t="shared" si="2186"/>
        <v>0</v>
      </c>
      <c r="BN2485" s="160"/>
      <c r="BO2485" s="161">
        <f t="shared" si="2163"/>
        <v>0</v>
      </c>
      <c r="BP2485" s="161"/>
    </row>
    <row r="2486" spans="1:68" ht="51">
      <c r="A2486" s="206" t="s">
        <v>10976</v>
      </c>
      <c r="B2486" s="195" t="s">
        <v>10977</v>
      </c>
      <c r="C2486" s="196" t="s">
        <v>10978</v>
      </c>
      <c r="D2486" s="146" t="s">
        <v>4692</v>
      </c>
      <c r="E2486" s="377" t="s">
        <v>10978</v>
      </c>
      <c r="F2486" s="150">
        <v>3029.1</v>
      </c>
      <c r="G2486" s="209">
        <v>28924.66</v>
      </c>
      <c r="H2486" s="209"/>
      <c r="I2486" s="209">
        <v>28924.66</v>
      </c>
      <c r="J2486" s="150">
        <v>0</v>
      </c>
      <c r="K2486" s="150">
        <v>0</v>
      </c>
      <c r="L2486" s="150">
        <f t="shared" si="2169"/>
        <v>0</v>
      </c>
      <c r="M2486" s="150">
        <v>2693.29</v>
      </c>
      <c r="N2486" s="150"/>
      <c r="O2486" s="150">
        <v>2693.29</v>
      </c>
      <c r="P2486" s="150">
        <v>2693.29</v>
      </c>
      <c r="Q2486" s="150">
        <v>0</v>
      </c>
      <c r="R2486" s="150">
        <f t="shared" si="2178"/>
        <v>2693.29</v>
      </c>
      <c r="S2486" s="150">
        <f t="shared" si="2184"/>
        <v>3591.0533333333333</v>
      </c>
      <c r="T2486" s="150"/>
      <c r="U2486" s="150"/>
      <c r="V2486" s="199"/>
      <c r="W2486" s="150">
        <f t="shared" si="2179"/>
        <v>0</v>
      </c>
      <c r="X2486" s="150"/>
      <c r="Y2486" s="150"/>
      <c r="Z2486" s="150">
        <v>0</v>
      </c>
      <c r="AA2486" s="150">
        <f t="shared" si="2149"/>
        <v>0</v>
      </c>
      <c r="AB2486" s="150">
        <v>0</v>
      </c>
      <c r="AC2486" s="199"/>
      <c r="AD2486" s="150">
        <f t="shared" si="2180"/>
        <v>0</v>
      </c>
      <c r="AE2486" s="150">
        <v>0</v>
      </c>
      <c r="AF2486" s="169" t="s">
        <v>4680</v>
      </c>
      <c r="AG2486" s="201">
        <v>0</v>
      </c>
      <c r="AH2486" s="199"/>
      <c r="AI2486" s="150">
        <v>0</v>
      </c>
      <c r="AJ2486" s="169">
        <f t="shared" si="2151"/>
        <v>0</v>
      </c>
      <c r="AK2486" s="201">
        <v>0</v>
      </c>
      <c r="AL2486" s="199"/>
      <c r="AM2486" s="150">
        <f t="shared" si="2181"/>
        <v>0</v>
      </c>
      <c r="AN2486" s="153">
        <f t="shared" si="2153"/>
        <v>0</v>
      </c>
      <c r="AO2486" s="154">
        <f t="shared" si="2154"/>
        <v>0</v>
      </c>
      <c r="AP2486" s="150">
        <v>0</v>
      </c>
      <c r="AQ2486" s="201">
        <v>0</v>
      </c>
      <c r="AR2486" s="199"/>
      <c r="AS2486" s="150">
        <f t="shared" si="2182"/>
        <v>0</v>
      </c>
      <c r="AT2486" s="155"/>
      <c r="AU2486" s="156">
        <f t="shared" si="2145"/>
        <v>0</v>
      </c>
      <c r="AV2486" s="156">
        <f t="shared" si="2146"/>
        <v>0</v>
      </c>
      <c r="AW2486" s="157"/>
      <c r="AX2486" s="150">
        <v>0</v>
      </c>
      <c r="AY2486" s="150">
        <v>2693.29</v>
      </c>
      <c r="AZ2486" s="150"/>
      <c r="BA2486" s="150">
        <f t="shared" si="2183"/>
        <v>2693.29</v>
      </c>
      <c r="BB2486" s="202">
        <v>8</v>
      </c>
      <c r="BC2486" s="202" t="s">
        <v>647</v>
      </c>
      <c r="BD2486" s="202" t="s">
        <v>647</v>
      </c>
      <c r="BE2486" s="202" t="s">
        <v>671</v>
      </c>
      <c r="BF2486" s="202" t="s">
        <v>1332</v>
      </c>
      <c r="BG2486" s="203" t="s">
        <v>10979</v>
      </c>
      <c r="BH2486" s="216">
        <f t="shared" si="2185"/>
        <v>0</v>
      </c>
      <c r="BI2486" s="205"/>
      <c r="BJ2486" s="206" t="s">
        <v>10980</v>
      </c>
      <c r="BK2486" s="206" t="s">
        <v>10976</v>
      </c>
      <c r="BL2486" s="207" t="s">
        <v>10981</v>
      </c>
      <c r="BM2486" s="208">
        <f t="shared" si="2186"/>
        <v>0</v>
      </c>
      <c r="BN2486" s="160"/>
      <c r="BO2486" s="161">
        <f t="shared" si="2163"/>
        <v>0</v>
      </c>
      <c r="BP2486" s="161"/>
    </row>
    <row r="2487" spans="1:68" ht="38.25">
      <c r="A2487" s="206" t="s">
        <v>10982</v>
      </c>
      <c r="B2487" s="195" t="s">
        <v>10983</v>
      </c>
      <c r="C2487" s="196" t="s">
        <v>10984</v>
      </c>
      <c r="D2487" s="146" t="s">
        <v>4692</v>
      </c>
      <c r="E2487" s="377" t="s">
        <v>10984</v>
      </c>
      <c r="F2487" s="150">
        <v>534240.01</v>
      </c>
      <c r="G2487" s="209">
        <v>0</v>
      </c>
      <c r="H2487" s="209">
        <v>0</v>
      </c>
      <c r="I2487" s="209">
        <v>0</v>
      </c>
      <c r="J2487" s="150">
        <v>18378.349999999999</v>
      </c>
      <c r="K2487" s="150">
        <v>0</v>
      </c>
      <c r="L2487" s="150">
        <f t="shared" si="2169"/>
        <v>18378.349999999999</v>
      </c>
      <c r="M2487" s="150">
        <v>211021.82</v>
      </c>
      <c r="N2487" s="150"/>
      <c r="O2487" s="150">
        <v>211021.82</v>
      </c>
      <c r="P2487" s="150">
        <v>356693.55</v>
      </c>
      <c r="Q2487" s="150">
        <v>0</v>
      </c>
      <c r="R2487" s="150">
        <f t="shared" si="2178"/>
        <v>356693.55</v>
      </c>
      <c r="S2487" s="150">
        <f t="shared" si="2184"/>
        <v>475591.4</v>
      </c>
      <c r="T2487" s="150"/>
      <c r="U2487" s="309">
        <v>618425.14999999991</v>
      </c>
      <c r="V2487" s="199"/>
      <c r="W2487" s="150">
        <f t="shared" si="2179"/>
        <v>618425.14999999991</v>
      </c>
      <c r="X2487" s="150">
        <v>618425.14999999991</v>
      </c>
      <c r="Y2487" s="150"/>
      <c r="Z2487" s="150">
        <v>618425.14999999991</v>
      </c>
      <c r="AA2487" s="150">
        <f t="shared" si="2149"/>
        <v>27386.230000000098</v>
      </c>
      <c r="AB2487" s="150">
        <v>645811.38</v>
      </c>
      <c r="AC2487" s="199"/>
      <c r="AD2487" s="150">
        <f t="shared" si="2180"/>
        <v>645811.38</v>
      </c>
      <c r="AE2487" s="150">
        <v>645811.38</v>
      </c>
      <c r="AF2487" s="169" t="s">
        <v>4680</v>
      </c>
      <c r="AG2487" s="201">
        <v>645811.38</v>
      </c>
      <c r="AH2487" s="199"/>
      <c r="AI2487" s="150">
        <v>645811.38</v>
      </c>
      <c r="AJ2487" s="169">
        <f t="shared" si="2151"/>
        <v>0</v>
      </c>
      <c r="AK2487" s="201">
        <v>645811.38</v>
      </c>
      <c r="AL2487" s="199"/>
      <c r="AM2487" s="150">
        <f t="shared" si="2181"/>
        <v>645811.38</v>
      </c>
      <c r="AN2487" s="153">
        <f t="shared" si="2153"/>
        <v>0</v>
      </c>
      <c r="AO2487" s="154">
        <f t="shared" si="2154"/>
        <v>0</v>
      </c>
      <c r="AP2487" s="150">
        <v>645811.38</v>
      </c>
      <c r="AQ2487" s="201">
        <v>645811.38</v>
      </c>
      <c r="AR2487" s="199"/>
      <c r="AS2487" s="150">
        <f t="shared" si="2182"/>
        <v>645811.38</v>
      </c>
      <c r="AT2487" s="155"/>
      <c r="AU2487" s="156">
        <f t="shared" si="2145"/>
        <v>0</v>
      </c>
      <c r="AV2487" s="156">
        <f t="shared" si="2146"/>
        <v>27386.230000000098</v>
      </c>
      <c r="AW2487" s="157"/>
      <c r="AX2487" s="150">
        <v>618425.14999999991</v>
      </c>
      <c r="AY2487" s="150">
        <v>508751</v>
      </c>
      <c r="AZ2487" s="150"/>
      <c r="BA2487" s="150">
        <f t="shared" si="2183"/>
        <v>508751</v>
      </c>
      <c r="BB2487" s="202">
        <v>8</v>
      </c>
      <c r="BC2487" s="202" t="s">
        <v>647</v>
      </c>
      <c r="BD2487" s="202" t="s">
        <v>647</v>
      </c>
      <c r="BE2487" s="202" t="s">
        <v>671</v>
      </c>
      <c r="BF2487" s="202" t="s">
        <v>1838</v>
      </c>
      <c r="BG2487" s="203" t="s">
        <v>10985</v>
      </c>
      <c r="BH2487" s="216">
        <f t="shared" si="2185"/>
        <v>645811.38</v>
      </c>
      <c r="BI2487" s="205"/>
      <c r="BJ2487" s="206" t="s">
        <v>10986</v>
      </c>
      <c r="BK2487" s="206" t="s">
        <v>10982</v>
      </c>
      <c r="BL2487" s="207" t="s">
        <v>10987</v>
      </c>
      <c r="BM2487" s="208">
        <f t="shared" si="2186"/>
        <v>645811.38</v>
      </c>
      <c r="BN2487" s="160"/>
      <c r="BO2487" s="161">
        <f t="shared" si="2163"/>
        <v>0</v>
      </c>
      <c r="BP2487" s="161"/>
    </row>
    <row r="2488" spans="1:68" ht="25.5">
      <c r="A2488" s="206" t="s">
        <v>10988</v>
      </c>
      <c r="B2488" s="195" t="s">
        <v>10989</v>
      </c>
      <c r="C2488" s="196" t="s">
        <v>10990</v>
      </c>
      <c r="D2488" s="146" t="s">
        <v>4692</v>
      </c>
      <c r="E2488" s="377" t="s">
        <v>10990</v>
      </c>
      <c r="F2488" s="150">
        <v>39326.18</v>
      </c>
      <c r="G2488" s="209">
        <v>0</v>
      </c>
      <c r="H2488" s="209"/>
      <c r="I2488" s="209">
        <v>0</v>
      </c>
      <c r="J2488" s="150">
        <v>0</v>
      </c>
      <c r="K2488" s="150">
        <v>0</v>
      </c>
      <c r="L2488" s="150">
        <f t="shared" si="2169"/>
        <v>0</v>
      </c>
      <c r="M2488" s="150">
        <v>0</v>
      </c>
      <c r="N2488" s="150"/>
      <c r="O2488" s="150">
        <v>0</v>
      </c>
      <c r="P2488" s="150">
        <v>0</v>
      </c>
      <c r="Q2488" s="150">
        <v>0</v>
      </c>
      <c r="R2488" s="150">
        <f t="shared" si="2178"/>
        <v>0</v>
      </c>
      <c r="S2488" s="150">
        <f t="shared" si="2184"/>
        <v>0</v>
      </c>
      <c r="T2488" s="150"/>
      <c r="U2488" s="240">
        <v>221317.87</v>
      </c>
      <c r="V2488" s="230">
        <f>111213.3+2272</f>
        <v>113485.3</v>
      </c>
      <c r="W2488" s="150">
        <f t="shared" si="2179"/>
        <v>334803.17</v>
      </c>
      <c r="X2488" s="150">
        <v>221317.87</v>
      </c>
      <c r="Y2488" s="150">
        <v>113485.3</v>
      </c>
      <c r="Z2488" s="150">
        <v>334803.17</v>
      </c>
      <c r="AA2488" s="150">
        <f t="shared" si="2149"/>
        <v>-111213.29999999999</v>
      </c>
      <c r="AB2488" s="150">
        <v>223589.87</v>
      </c>
      <c r="AC2488" s="245"/>
      <c r="AD2488" s="150">
        <f t="shared" si="2180"/>
        <v>223589.87</v>
      </c>
      <c r="AE2488" s="150">
        <v>223589.87</v>
      </c>
      <c r="AF2488" s="169" t="s">
        <v>4680</v>
      </c>
      <c r="AG2488" s="201">
        <v>223589.87</v>
      </c>
      <c r="AH2488" s="245"/>
      <c r="AI2488" s="150">
        <v>223589.87</v>
      </c>
      <c r="AJ2488" s="169">
        <f t="shared" si="2151"/>
        <v>794</v>
      </c>
      <c r="AK2488" s="201">
        <v>224383.87</v>
      </c>
      <c r="AL2488" s="245"/>
      <c r="AM2488" s="150">
        <f t="shared" si="2181"/>
        <v>224383.87</v>
      </c>
      <c r="AN2488" s="153">
        <f t="shared" si="2153"/>
        <v>3600</v>
      </c>
      <c r="AO2488" s="154">
        <f t="shared" si="2154"/>
        <v>0</v>
      </c>
      <c r="AP2488" s="150">
        <v>227983.87</v>
      </c>
      <c r="AQ2488" s="201">
        <v>227983.87</v>
      </c>
      <c r="AR2488" s="245"/>
      <c r="AS2488" s="150">
        <f t="shared" si="2182"/>
        <v>227983.87</v>
      </c>
      <c r="AT2488" s="155"/>
      <c r="AU2488" s="156">
        <f t="shared" si="2145"/>
        <v>794</v>
      </c>
      <c r="AV2488" s="156">
        <f t="shared" si="2146"/>
        <v>-111213.29999999999</v>
      </c>
      <c r="AW2488" s="157"/>
      <c r="AX2488" s="150">
        <v>334803.17</v>
      </c>
      <c r="AY2488" s="150">
        <v>0</v>
      </c>
      <c r="AZ2488" s="150"/>
      <c r="BA2488" s="150">
        <f t="shared" si="2183"/>
        <v>0</v>
      </c>
      <c r="BB2488" s="202">
        <v>8</v>
      </c>
      <c r="BC2488" s="202" t="s">
        <v>647</v>
      </c>
      <c r="BD2488" s="202" t="s">
        <v>647</v>
      </c>
      <c r="BE2488" s="202" t="s">
        <v>671</v>
      </c>
      <c r="BF2488" s="202" t="s">
        <v>1842</v>
      </c>
      <c r="BG2488" s="203" t="s">
        <v>10991</v>
      </c>
      <c r="BH2488" s="216">
        <f t="shared" si="2185"/>
        <v>227983.87</v>
      </c>
      <c r="BI2488" s="205"/>
      <c r="BJ2488" s="206" t="s">
        <v>10992</v>
      </c>
      <c r="BK2488" s="206" t="s">
        <v>10988</v>
      </c>
      <c r="BL2488" s="207" t="s">
        <v>10993</v>
      </c>
      <c r="BM2488" s="208">
        <f t="shared" si="2186"/>
        <v>227983.87</v>
      </c>
      <c r="BN2488" s="160"/>
      <c r="BO2488" s="161">
        <f t="shared" si="2163"/>
        <v>0</v>
      </c>
      <c r="BP2488" s="161"/>
    </row>
    <row r="2489" spans="1:68">
      <c r="A2489" s="256" t="s">
        <v>10994</v>
      </c>
      <c r="B2489" s="184"/>
      <c r="C2489" s="185" t="s">
        <v>10995</v>
      </c>
      <c r="D2489" s="146" t="s">
        <v>4692</v>
      </c>
      <c r="E2489" s="185" t="s">
        <v>10995</v>
      </c>
      <c r="F2489" s="188">
        <v>4205.25</v>
      </c>
      <c r="G2489" s="187">
        <v>0</v>
      </c>
      <c r="H2489" s="187"/>
      <c r="I2489" s="187">
        <v>0</v>
      </c>
      <c r="J2489" s="188">
        <f>SUM(J2490:J2498)</f>
        <v>0</v>
      </c>
      <c r="K2489" s="188">
        <f>SUM(K2490:K2498)</f>
        <v>0</v>
      </c>
      <c r="L2489" s="188">
        <f t="shared" si="2169"/>
        <v>0</v>
      </c>
      <c r="M2489" s="188">
        <v>0</v>
      </c>
      <c r="N2489" s="188">
        <v>0</v>
      </c>
      <c r="O2489" s="188">
        <v>0</v>
      </c>
      <c r="P2489" s="299">
        <f t="shared" ref="P2489:AD2489" si="2187">SUM(P2490:P2498)</f>
        <v>0</v>
      </c>
      <c r="Q2489" s="299">
        <f t="shared" si="2187"/>
        <v>0</v>
      </c>
      <c r="R2489" s="299">
        <f t="shared" si="2187"/>
        <v>0</v>
      </c>
      <c r="S2489" s="150">
        <f t="shared" si="2184"/>
        <v>0</v>
      </c>
      <c r="T2489" s="213"/>
      <c r="U2489" s="299">
        <f t="shared" ref="U2489:W2489" si="2188">SUM(U2490:U2498)</f>
        <v>60048</v>
      </c>
      <c r="V2489" s="226">
        <f t="shared" si="2188"/>
        <v>0</v>
      </c>
      <c r="W2489" s="299">
        <f t="shared" si="2188"/>
        <v>60048</v>
      </c>
      <c r="X2489" s="299">
        <v>60048</v>
      </c>
      <c r="Y2489" s="299">
        <v>0</v>
      </c>
      <c r="Z2489" s="299">
        <v>60048</v>
      </c>
      <c r="AA2489" s="299">
        <f t="shared" si="2149"/>
        <v>0</v>
      </c>
      <c r="AB2489" s="299">
        <v>60048</v>
      </c>
      <c r="AC2489" s="226">
        <v>0</v>
      </c>
      <c r="AD2489" s="299">
        <f t="shared" si="2187"/>
        <v>60048</v>
      </c>
      <c r="AE2489" s="299">
        <v>60048</v>
      </c>
      <c r="AF2489" s="169" t="s">
        <v>4680</v>
      </c>
      <c r="AG2489" s="301">
        <v>60048</v>
      </c>
      <c r="AH2489" s="226">
        <v>0</v>
      </c>
      <c r="AI2489" s="299">
        <v>60048</v>
      </c>
      <c r="AJ2489" s="169">
        <f t="shared" si="2151"/>
        <v>0</v>
      </c>
      <c r="AK2489" s="301">
        <v>60048</v>
      </c>
      <c r="AL2489" s="226">
        <v>0</v>
      </c>
      <c r="AM2489" s="299">
        <f t="shared" ref="AM2489" si="2189">SUM(AM2490:AM2498)</f>
        <v>60048</v>
      </c>
      <c r="AN2489" s="153">
        <f t="shared" si="2153"/>
        <v>0</v>
      </c>
      <c r="AO2489" s="154">
        <f t="shared" si="2154"/>
        <v>0</v>
      </c>
      <c r="AP2489" s="299">
        <v>60048</v>
      </c>
      <c r="AQ2489" s="301">
        <v>60048</v>
      </c>
      <c r="AR2489" s="226">
        <f t="shared" ref="AR2489:AS2489" si="2190">SUM(AR2490:AR2498)</f>
        <v>0</v>
      </c>
      <c r="AS2489" s="299">
        <f t="shared" si="2190"/>
        <v>60048</v>
      </c>
      <c r="AT2489" s="155"/>
      <c r="AU2489" s="156">
        <f t="shared" si="2145"/>
        <v>0</v>
      </c>
      <c r="AV2489" s="156">
        <f t="shared" si="2146"/>
        <v>0</v>
      </c>
      <c r="AW2489" s="157"/>
      <c r="AX2489" s="150">
        <v>60048</v>
      </c>
      <c r="AY2489" s="299">
        <f t="shared" ref="AY2489:BA2489" si="2191">SUM(AY2490:AY2498)</f>
        <v>0</v>
      </c>
      <c r="AZ2489" s="299">
        <f t="shared" si="2191"/>
        <v>0</v>
      </c>
      <c r="BA2489" s="299">
        <f t="shared" si="2191"/>
        <v>0</v>
      </c>
      <c r="BB2489" s="192">
        <v>8</v>
      </c>
      <c r="BC2489" s="256" t="s">
        <v>647</v>
      </c>
      <c r="BD2489" s="256" t="s">
        <v>647</v>
      </c>
      <c r="BE2489" s="256" t="s">
        <v>693</v>
      </c>
      <c r="BF2489" s="256" t="s">
        <v>630</v>
      </c>
      <c r="BG2489" s="185" t="s">
        <v>10995</v>
      </c>
      <c r="BH2489" s="215">
        <f>SUM(BH2490:BH2498)</f>
        <v>60048</v>
      </c>
      <c r="BI2489" s="192"/>
      <c r="BJ2489" s="256" t="s">
        <v>10996</v>
      </c>
      <c r="BK2489" s="256" t="s">
        <v>10994</v>
      </c>
      <c r="BL2489" s="185" t="s">
        <v>10997</v>
      </c>
      <c r="BM2489" s="338">
        <f>SUM(BM2490:BM2498)</f>
        <v>60048</v>
      </c>
      <c r="BN2489" s="160"/>
      <c r="BO2489" s="161">
        <f t="shared" si="2163"/>
        <v>0</v>
      </c>
      <c r="BP2489" s="161"/>
    </row>
    <row r="2490" spans="1:68" ht="25.5">
      <c r="A2490" s="206" t="s">
        <v>10998</v>
      </c>
      <c r="B2490" s="195" t="s">
        <v>10999</v>
      </c>
      <c r="C2490" s="196" t="s">
        <v>11000</v>
      </c>
      <c r="D2490" s="146" t="s">
        <v>4692</v>
      </c>
      <c r="E2490" s="377" t="s">
        <v>11000</v>
      </c>
      <c r="F2490" s="150">
        <v>0</v>
      </c>
      <c r="G2490" s="209">
        <v>0</v>
      </c>
      <c r="H2490" s="209"/>
      <c r="I2490" s="209">
        <v>0</v>
      </c>
      <c r="J2490" s="150">
        <v>0</v>
      </c>
      <c r="K2490" s="150">
        <v>0</v>
      </c>
      <c r="L2490" s="150">
        <f t="shared" si="2169"/>
        <v>0</v>
      </c>
      <c r="M2490" s="150">
        <v>0</v>
      </c>
      <c r="N2490" s="150"/>
      <c r="O2490" s="150">
        <v>0</v>
      </c>
      <c r="P2490" s="150">
        <v>0</v>
      </c>
      <c r="Q2490" s="150">
        <v>0</v>
      </c>
      <c r="R2490" s="150">
        <f t="shared" ref="R2490:R2498" si="2192">P2490+Q2490</f>
        <v>0</v>
      </c>
      <c r="S2490" s="150">
        <f t="shared" si="2184"/>
        <v>0</v>
      </c>
      <c r="T2490" s="150"/>
      <c r="U2490" s="150">
        <v>0</v>
      </c>
      <c r="V2490" s="199"/>
      <c r="W2490" s="150">
        <f t="shared" ref="W2490:W2498" si="2193">U2490+V2490</f>
        <v>0</v>
      </c>
      <c r="X2490" s="150">
        <v>0</v>
      </c>
      <c r="Y2490" s="150"/>
      <c r="Z2490" s="150">
        <v>0</v>
      </c>
      <c r="AA2490" s="150">
        <f t="shared" si="2149"/>
        <v>0</v>
      </c>
      <c r="AB2490" s="150">
        <v>0</v>
      </c>
      <c r="AC2490" s="199"/>
      <c r="AD2490" s="150">
        <f t="shared" ref="AD2490:AD2498" si="2194">AB2490+AC2490</f>
        <v>0</v>
      </c>
      <c r="AE2490" s="150">
        <v>0</v>
      </c>
      <c r="AF2490" s="169" t="s">
        <v>4680</v>
      </c>
      <c r="AG2490" s="201">
        <v>0</v>
      </c>
      <c r="AH2490" s="199"/>
      <c r="AI2490" s="150">
        <v>0</v>
      </c>
      <c r="AJ2490" s="169">
        <f t="shared" si="2151"/>
        <v>0</v>
      </c>
      <c r="AK2490" s="201">
        <v>0</v>
      </c>
      <c r="AL2490" s="199"/>
      <c r="AM2490" s="150">
        <f t="shared" ref="AM2490:AM2498" si="2195">AK2490+AL2490</f>
        <v>0</v>
      </c>
      <c r="AN2490" s="153">
        <f t="shared" si="2153"/>
        <v>0</v>
      </c>
      <c r="AO2490" s="154">
        <f t="shared" si="2154"/>
        <v>0</v>
      </c>
      <c r="AP2490" s="150">
        <v>0</v>
      </c>
      <c r="AQ2490" s="201">
        <v>0</v>
      </c>
      <c r="AR2490" s="199"/>
      <c r="AS2490" s="150">
        <f t="shared" ref="AS2490:AS2498" si="2196">AQ2490+AR2490</f>
        <v>0</v>
      </c>
      <c r="AT2490" s="155"/>
      <c r="AU2490" s="156">
        <f t="shared" si="2145"/>
        <v>0</v>
      </c>
      <c r="AV2490" s="156">
        <f t="shared" si="2146"/>
        <v>0</v>
      </c>
      <c r="AW2490" s="157"/>
      <c r="AX2490" s="150">
        <v>0</v>
      </c>
      <c r="AY2490" s="150">
        <v>0</v>
      </c>
      <c r="AZ2490" s="150"/>
      <c r="BA2490" s="150">
        <f t="shared" si="2183"/>
        <v>0</v>
      </c>
      <c r="BB2490" s="202">
        <v>8</v>
      </c>
      <c r="BC2490" s="202" t="s">
        <v>647</v>
      </c>
      <c r="BD2490" s="202" t="s">
        <v>647</v>
      </c>
      <c r="BE2490" s="202" t="s">
        <v>693</v>
      </c>
      <c r="BF2490" s="194" t="s">
        <v>779</v>
      </c>
      <c r="BG2490" s="203" t="s">
        <v>11000</v>
      </c>
      <c r="BH2490" s="216">
        <f t="shared" ref="BH2490:BH2498" si="2197">AS2490</f>
        <v>0</v>
      </c>
      <c r="BI2490" s="205"/>
      <c r="BJ2490" s="206" t="s">
        <v>11001</v>
      </c>
      <c r="BK2490" s="206" t="s">
        <v>10998</v>
      </c>
      <c r="BL2490" s="207" t="s">
        <v>11002</v>
      </c>
      <c r="BM2490" s="208">
        <f t="shared" ref="BM2490:BM2498" si="2198">BH2490</f>
        <v>0</v>
      </c>
      <c r="BN2490" s="160"/>
      <c r="BO2490" s="161">
        <f t="shared" si="2163"/>
        <v>0</v>
      </c>
      <c r="BP2490" s="161"/>
    </row>
    <row r="2491" spans="1:68" ht="38.25">
      <c r="A2491" s="261" t="s">
        <v>11003</v>
      </c>
      <c r="B2491" s="228" t="s">
        <v>11004</v>
      </c>
      <c r="C2491" s="229" t="s">
        <v>11005</v>
      </c>
      <c r="D2491" s="146" t="s">
        <v>4692</v>
      </c>
      <c r="E2491" s="377" t="s">
        <v>11005</v>
      </c>
      <c r="F2491" s="150">
        <v>0</v>
      </c>
      <c r="G2491" s="209">
        <v>0</v>
      </c>
      <c r="H2491" s="209"/>
      <c r="I2491" s="209">
        <v>0</v>
      </c>
      <c r="J2491" s="150">
        <v>0</v>
      </c>
      <c r="K2491" s="150">
        <v>0</v>
      </c>
      <c r="L2491" s="150">
        <f t="shared" si="2169"/>
        <v>0</v>
      </c>
      <c r="M2491" s="150">
        <v>0</v>
      </c>
      <c r="N2491" s="150"/>
      <c r="O2491" s="150">
        <v>0</v>
      </c>
      <c r="P2491" s="150">
        <v>0</v>
      </c>
      <c r="Q2491" s="150">
        <v>0</v>
      </c>
      <c r="R2491" s="150">
        <f t="shared" si="2192"/>
        <v>0</v>
      </c>
      <c r="S2491" s="150">
        <f t="shared" si="2184"/>
        <v>0</v>
      </c>
      <c r="T2491" s="150"/>
      <c r="U2491" s="150">
        <v>0</v>
      </c>
      <c r="V2491" s="199"/>
      <c r="W2491" s="150">
        <f t="shared" si="2193"/>
        <v>0</v>
      </c>
      <c r="X2491" s="150">
        <v>0</v>
      </c>
      <c r="Y2491" s="150"/>
      <c r="Z2491" s="150">
        <v>0</v>
      </c>
      <c r="AA2491" s="150">
        <f t="shared" si="2149"/>
        <v>0</v>
      </c>
      <c r="AB2491" s="150">
        <v>0</v>
      </c>
      <c r="AC2491" s="199"/>
      <c r="AD2491" s="150">
        <f t="shared" si="2194"/>
        <v>0</v>
      </c>
      <c r="AE2491" s="150">
        <v>0</v>
      </c>
      <c r="AF2491" s="169" t="s">
        <v>4680</v>
      </c>
      <c r="AG2491" s="201">
        <v>0</v>
      </c>
      <c r="AH2491" s="199"/>
      <c r="AI2491" s="150">
        <v>0</v>
      </c>
      <c r="AJ2491" s="169">
        <f t="shared" si="2151"/>
        <v>0</v>
      </c>
      <c r="AK2491" s="201">
        <v>0</v>
      </c>
      <c r="AL2491" s="199"/>
      <c r="AM2491" s="150">
        <f t="shared" si="2195"/>
        <v>0</v>
      </c>
      <c r="AN2491" s="153">
        <f t="shared" si="2153"/>
        <v>0</v>
      </c>
      <c r="AO2491" s="154">
        <f t="shared" si="2154"/>
        <v>0</v>
      </c>
      <c r="AP2491" s="150">
        <v>0</v>
      </c>
      <c r="AQ2491" s="201">
        <v>0</v>
      </c>
      <c r="AR2491" s="199"/>
      <c r="AS2491" s="150">
        <f t="shared" si="2196"/>
        <v>0</v>
      </c>
      <c r="AT2491" s="155" t="s">
        <v>4796</v>
      </c>
      <c r="AU2491" s="156">
        <f t="shared" si="2145"/>
        <v>0</v>
      </c>
      <c r="AV2491" s="156">
        <f t="shared" si="2146"/>
        <v>0</v>
      </c>
      <c r="AW2491" s="157" t="s">
        <v>4796</v>
      </c>
      <c r="AX2491" s="150">
        <v>0</v>
      </c>
      <c r="AY2491" s="150">
        <v>0</v>
      </c>
      <c r="AZ2491" s="150"/>
      <c r="BA2491" s="150">
        <f t="shared" si="2183"/>
        <v>0</v>
      </c>
      <c r="BB2491" s="202">
        <v>8</v>
      </c>
      <c r="BC2491" s="202" t="s">
        <v>647</v>
      </c>
      <c r="BD2491" s="202" t="s">
        <v>647</v>
      </c>
      <c r="BE2491" s="202" t="s">
        <v>693</v>
      </c>
      <c r="BF2491" s="202" t="s">
        <v>632</v>
      </c>
      <c r="BG2491" s="203" t="s">
        <v>11006</v>
      </c>
      <c r="BH2491" s="216">
        <f t="shared" si="2197"/>
        <v>0</v>
      </c>
      <c r="BI2491" s="206" t="s">
        <v>1519</v>
      </c>
      <c r="BJ2491" s="206" t="s">
        <v>11007</v>
      </c>
      <c r="BK2491" s="206" t="s">
        <v>11003</v>
      </c>
      <c r="BL2491" s="207" t="s">
        <v>11008</v>
      </c>
      <c r="BM2491" s="208">
        <f t="shared" si="2198"/>
        <v>0</v>
      </c>
      <c r="BN2491" s="160"/>
      <c r="BO2491" s="161">
        <f t="shared" si="2163"/>
        <v>0</v>
      </c>
      <c r="BP2491" s="161"/>
    </row>
    <row r="2492" spans="1:68" ht="38.25">
      <c r="A2492" s="206" t="s">
        <v>11009</v>
      </c>
      <c r="B2492" s="195" t="s">
        <v>11010</v>
      </c>
      <c r="C2492" s="196" t="s">
        <v>11011</v>
      </c>
      <c r="D2492" s="146" t="s">
        <v>4692</v>
      </c>
      <c r="E2492" s="377" t="s">
        <v>11011</v>
      </c>
      <c r="F2492" s="150">
        <v>0</v>
      </c>
      <c r="G2492" s="209">
        <v>0</v>
      </c>
      <c r="H2492" s="209"/>
      <c r="I2492" s="209">
        <v>0</v>
      </c>
      <c r="J2492" s="150">
        <v>0</v>
      </c>
      <c r="K2492" s="150">
        <v>0</v>
      </c>
      <c r="L2492" s="150">
        <f t="shared" si="2169"/>
        <v>0</v>
      </c>
      <c r="M2492" s="150">
        <v>0</v>
      </c>
      <c r="N2492" s="150"/>
      <c r="O2492" s="150">
        <v>0</v>
      </c>
      <c r="P2492" s="150">
        <v>0</v>
      </c>
      <c r="Q2492" s="150">
        <v>0</v>
      </c>
      <c r="R2492" s="150">
        <f t="shared" si="2192"/>
        <v>0</v>
      </c>
      <c r="S2492" s="150">
        <f t="shared" si="2184"/>
        <v>0</v>
      </c>
      <c r="T2492" s="150"/>
      <c r="U2492" s="150">
        <v>0</v>
      </c>
      <c r="V2492" s="199"/>
      <c r="W2492" s="150">
        <f t="shared" si="2193"/>
        <v>0</v>
      </c>
      <c r="X2492" s="150">
        <v>0</v>
      </c>
      <c r="Y2492" s="150"/>
      <c r="Z2492" s="150">
        <v>0</v>
      </c>
      <c r="AA2492" s="150">
        <f t="shared" si="2149"/>
        <v>0</v>
      </c>
      <c r="AB2492" s="150">
        <v>0</v>
      </c>
      <c r="AC2492" s="199"/>
      <c r="AD2492" s="150">
        <f t="shared" si="2194"/>
        <v>0</v>
      </c>
      <c r="AE2492" s="150">
        <v>0</v>
      </c>
      <c r="AF2492" s="169" t="s">
        <v>4680</v>
      </c>
      <c r="AG2492" s="201">
        <v>0</v>
      </c>
      <c r="AH2492" s="199"/>
      <c r="AI2492" s="150">
        <v>0</v>
      </c>
      <c r="AJ2492" s="169">
        <f t="shared" si="2151"/>
        <v>0</v>
      </c>
      <c r="AK2492" s="201">
        <v>0</v>
      </c>
      <c r="AL2492" s="199"/>
      <c r="AM2492" s="150">
        <f t="shared" si="2195"/>
        <v>0</v>
      </c>
      <c r="AN2492" s="153">
        <f t="shared" si="2153"/>
        <v>0</v>
      </c>
      <c r="AO2492" s="154">
        <f t="shared" si="2154"/>
        <v>0</v>
      </c>
      <c r="AP2492" s="150">
        <v>0</v>
      </c>
      <c r="AQ2492" s="201">
        <v>0</v>
      </c>
      <c r="AR2492" s="199"/>
      <c r="AS2492" s="150">
        <f t="shared" si="2196"/>
        <v>0</v>
      </c>
      <c r="AT2492" s="155"/>
      <c r="AU2492" s="156">
        <f t="shared" si="2145"/>
        <v>0</v>
      </c>
      <c r="AV2492" s="156">
        <f t="shared" si="2146"/>
        <v>0</v>
      </c>
      <c r="AW2492" s="157"/>
      <c r="AX2492" s="150">
        <v>0</v>
      </c>
      <c r="AY2492" s="150">
        <v>0</v>
      </c>
      <c r="AZ2492" s="150"/>
      <c r="BA2492" s="150">
        <f t="shared" si="2183"/>
        <v>0</v>
      </c>
      <c r="BB2492" s="202">
        <v>8</v>
      </c>
      <c r="BC2492" s="202" t="s">
        <v>647</v>
      </c>
      <c r="BD2492" s="202" t="s">
        <v>647</v>
      </c>
      <c r="BE2492" s="202" t="s">
        <v>693</v>
      </c>
      <c r="BF2492" s="202" t="s">
        <v>647</v>
      </c>
      <c r="BG2492" s="203" t="s">
        <v>11012</v>
      </c>
      <c r="BH2492" s="216">
        <f t="shared" si="2197"/>
        <v>0</v>
      </c>
      <c r="BI2492" s="206" t="s">
        <v>1349</v>
      </c>
      <c r="BJ2492" s="206" t="s">
        <v>11013</v>
      </c>
      <c r="BK2492" s="206" t="s">
        <v>11009</v>
      </c>
      <c r="BL2492" s="207" t="s">
        <v>11014</v>
      </c>
      <c r="BM2492" s="208">
        <f t="shared" si="2198"/>
        <v>0</v>
      </c>
      <c r="BN2492" s="160"/>
      <c r="BO2492" s="161">
        <f t="shared" si="2163"/>
        <v>0</v>
      </c>
      <c r="BP2492" s="161"/>
    </row>
    <row r="2493" spans="1:68" ht="38.25">
      <c r="A2493" s="206" t="s">
        <v>11015</v>
      </c>
      <c r="B2493" s="195" t="s">
        <v>11016</v>
      </c>
      <c r="C2493" s="196" t="s">
        <v>11017</v>
      </c>
      <c r="D2493" s="146" t="s">
        <v>4692</v>
      </c>
      <c r="E2493" s="377" t="s">
        <v>11017</v>
      </c>
      <c r="F2493" s="150">
        <v>0</v>
      </c>
      <c r="G2493" s="209">
        <v>0</v>
      </c>
      <c r="H2493" s="209"/>
      <c r="I2493" s="209">
        <v>0</v>
      </c>
      <c r="J2493" s="150">
        <v>0</v>
      </c>
      <c r="K2493" s="150">
        <v>0</v>
      </c>
      <c r="L2493" s="150">
        <f t="shared" si="2169"/>
        <v>0</v>
      </c>
      <c r="M2493" s="150">
        <v>0</v>
      </c>
      <c r="N2493" s="150"/>
      <c r="O2493" s="150">
        <v>0</v>
      </c>
      <c r="P2493" s="150">
        <v>0</v>
      </c>
      <c r="Q2493" s="150">
        <v>0</v>
      </c>
      <c r="R2493" s="150">
        <f t="shared" si="2192"/>
        <v>0</v>
      </c>
      <c r="S2493" s="150">
        <f t="shared" si="2184"/>
        <v>0</v>
      </c>
      <c r="T2493" s="150"/>
      <c r="U2493" s="150">
        <v>0</v>
      </c>
      <c r="V2493" s="199"/>
      <c r="W2493" s="150">
        <f t="shared" si="2193"/>
        <v>0</v>
      </c>
      <c r="X2493" s="150">
        <v>0</v>
      </c>
      <c r="Y2493" s="150"/>
      <c r="Z2493" s="150">
        <v>0</v>
      </c>
      <c r="AA2493" s="150">
        <f t="shared" si="2149"/>
        <v>0</v>
      </c>
      <c r="AB2493" s="150">
        <v>0</v>
      </c>
      <c r="AC2493" s="199"/>
      <c r="AD2493" s="150">
        <f t="shared" si="2194"/>
        <v>0</v>
      </c>
      <c r="AE2493" s="150">
        <v>0</v>
      </c>
      <c r="AF2493" s="169" t="s">
        <v>4680</v>
      </c>
      <c r="AG2493" s="201">
        <v>0</v>
      </c>
      <c r="AH2493" s="199"/>
      <c r="AI2493" s="150">
        <v>0</v>
      </c>
      <c r="AJ2493" s="169">
        <f t="shared" si="2151"/>
        <v>0</v>
      </c>
      <c r="AK2493" s="201">
        <v>0</v>
      </c>
      <c r="AL2493" s="199"/>
      <c r="AM2493" s="150">
        <f t="shared" si="2195"/>
        <v>0</v>
      </c>
      <c r="AN2493" s="153">
        <f t="shared" si="2153"/>
        <v>0</v>
      </c>
      <c r="AO2493" s="154">
        <f t="shared" si="2154"/>
        <v>0</v>
      </c>
      <c r="AP2493" s="150">
        <v>0</v>
      </c>
      <c r="AQ2493" s="201">
        <v>0</v>
      </c>
      <c r="AR2493" s="199"/>
      <c r="AS2493" s="150">
        <f t="shared" si="2196"/>
        <v>0</v>
      </c>
      <c r="AT2493" s="155"/>
      <c r="AU2493" s="156">
        <f t="shared" si="2145"/>
        <v>0</v>
      </c>
      <c r="AV2493" s="156">
        <f t="shared" si="2146"/>
        <v>0</v>
      </c>
      <c r="AW2493" s="157"/>
      <c r="AX2493" s="150">
        <v>0</v>
      </c>
      <c r="AY2493" s="150">
        <v>0</v>
      </c>
      <c r="AZ2493" s="150"/>
      <c r="BA2493" s="150">
        <f t="shared" si="2183"/>
        <v>0</v>
      </c>
      <c r="BB2493" s="202">
        <v>8</v>
      </c>
      <c r="BC2493" s="202" t="s">
        <v>647</v>
      </c>
      <c r="BD2493" s="202" t="s">
        <v>647</v>
      </c>
      <c r="BE2493" s="202" t="s">
        <v>693</v>
      </c>
      <c r="BF2493" s="202" t="s">
        <v>671</v>
      </c>
      <c r="BG2493" s="203" t="s">
        <v>11018</v>
      </c>
      <c r="BH2493" s="216">
        <f t="shared" si="2197"/>
        <v>0</v>
      </c>
      <c r="BI2493" s="205"/>
      <c r="BJ2493" s="206" t="s">
        <v>11019</v>
      </c>
      <c r="BK2493" s="206" t="s">
        <v>11015</v>
      </c>
      <c r="BL2493" s="207" t="s">
        <v>11020</v>
      </c>
      <c r="BM2493" s="208">
        <f t="shared" si="2198"/>
        <v>0</v>
      </c>
      <c r="BN2493" s="160"/>
      <c r="BO2493" s="161">
        <f t="shared" si="2163"/>
        <v>0</v>
      </c>
      <c r="BP2493" s="161"/>
    </row>
    <row r="2494" spans="1:68" ht="38.25">
      <c r="A2494" s="206" t="s">
        <v>11021</v>
      </c>
      <c r="B2494" s="195" t="s">
        <v>11022</v>
      </c>
      <c r="C2494" s="196" t="s">
        <v>11023</v>
      </c>
      <c r="D2494" s="146" t="s">
        <v>4692</v>
      </c>
      <c r="E2494" s="377" t="s">
        <v>11023</v>
      </c>
      <c r="F2494" s="150">
        <v>0</v>
      </c>
      <c r="G2494" s="209">
        <v>0</v>
      </c>
      <c r="H2494" s="209"/>
      <c r="I2494" s="209">
        <v>0</v>
      </c>
      <c r="J2494" s="150">
        <v>0</v>
      </c>
      <c r="K2494" s="150">
        <v>0</v>
      </c>
      <c r="L2494" s="150">
        <f t="shared" si="2169"/>
        <v>0</v>
      </c>
      <c r="M2494" s="150">
        <v>0</v>
      </c>
      <c r="N2494" s="150"/>
      <c r="O2494" s="150">
        <v>0</v>
      </c>
      <c r="P2494" s="150">
        <v>0</v>
      </c>
      <c r="Q2494" s="150">
        <v>0</v>
      </c>
      <c r="R2494" s="150">
        <f t="shared" si="2192"/>
        <v>0</v>
      </c>
      <c r="S2494" s="150">
        <f t="shared" si="2184"/>
        <v>0</v>
      </c>
      <c r="T2494" s="150"/>
      <c r="U2494" s="150">
        <v>0</v>
      </c>
      <c r="V2494" s="199"/>
      <c r="W2494" s="150">
        <f t="shared" si="2193"/>
        <v>0</v>
      </c>
      <c r="X2494" s="150">
        <v>0</v>
      </c>
      <c r="Y2494" s="150"/>
      <c r="Z2494" s="150">
        <v>0</v>
      </c>
      <c r="AA2494" s="150">
        <f t="shared" si="2149"/>
        <v>0</v>
      </c>
      <c r="AB2494" s="150">
        <v>0</v>
      </c>
      <c r="AC2494" s="199"/>
      <c r="AD2494" s="150">
        <f t="shared" si="2194"/>
        <v>0</v>
      </c>
      <c r="AE2494" s="150">
        <v>0</v>
      </c>
      <c r="AF2494" s="169" t="s">
        <v>4680</v>
      </c>
      <c r="AG2494" s="201">
        <v>0</v>
      </c>
      <c r="AH2494" s="199"/>
      <c r="AI2494" s="150">
        <v>0</v>
      </c>
      <c r="AJ2494" s="169">
        <f t="shared" si="2151"/>
        <v>0</v>
      </c>
      <c r="AK2494" s="201">
        <v>0</v>
      </c>
      <c r="AL2494" s="199"/>
      <c r="AM2494" s="150">
        <f t="shared" si="2195"/>
        <v>0</v>
      </c>
      <c r="AN2494" s="153">
        <f t="shared" si="2153"/>
        <v>0</v>
      </c>
      <c r="AO2494" s="154">
        <f t="shared" si="2154"/>
        <v>0</v>
      </c>
      <c r="AP2494" s="150">
        <v>0</v>
      </c>
      <c r="AQ2494" s="201">
        <v>0</v>
      </c>
      <c r="AR2494" s="199"/>
      <c r="AS2494" s="150">
        <f t="shared" si="2196"/>
        <v>0</v>
      </c>
      <c r="AT2494" s="155"/>
      <c r="AU2494" s="156">
        <f t="shared" si="2145"/>
        <v>0</v>
      </c>
      <c r="AV2494" s="156">
        <f t="shared" si="2146"/>
        <v>0</v>
      </c>
      <c r="AW2494" s="157"/>
      <c r="AX2494" s="150">
        <v>0</v>
      </c>
      <c r="AY2494" s="150">
        <v>0</v>
      </c>
      <c r="AZ2494" s="150"/>
      <c r="BA2494" s="150">
        <f t="shared" si="2183"/>
        <v>0</v>
      </c>
      <c r="BB2494" s="202">
        <v>8</v>
      </c>
      <c r="BC2494" s="202" t="s">
        <v>647</v>
      </c>
      <c r="BD2494" s="202" t="s">
        <v>647</v>
      </c>
      <c r="BE2494" s="202" t="s">
        <v>693</v>
      </c>
      <c r="BF2494" s="202" t="s">
        <v>693</v>
      </c>
      <c r="BG2494" s="203" t="s">
        <v>11024</v>
      </c>
      <c r="BH2494" s="216">
        <f t="shared" si="2197"/>
        <v>0</v>
      </c>
      <c r="BI2494" s="205"/>
      <c r="BJ2494" s="206" t="s">
        <v>11025</v>
      </c>
      <c r="BK2494" s="206" t="s">
        <v>11021</v>
      </c>
      <c r="BL2494" s="207" t="s">
        <v>11026</v>
      </c>
      <c r="BM2494" s="208">
        <f t="shared" si="2198"/>
        <v>0</v>
      </c>
      <c r="BN2494" s="160"/>
      <c r="BO2494" s="161">
        <f t="shared" si="2163"/>
        <v>0</v>
      </c>
      <c r="BP2494" s="161"/>
    </row>
    <row r="2495" spans="1:68" ht="38.25">
      <c r="A2495" s="206" t="s">
        <v>11027</v>
      </c>
      <c r="B2495" s="195" t="s">
        <v>11028</v>
      </c>
      <c r="C2495" s="196" t="s">
        <v>11029</v>
      </c>
      <c r="D2495" s="146" t="s">
        <v>4692</v>
      </c>
      <c r="E2495" s="377" t="s">
        <v>11029</v>
      </c>
      <c r="F2495" s="150">
        <v>0</v>
      </c>
      <c r="G2495" s="209">
        <v>0</v>
      </c>
      <c r="H2495" s="209"/>
      <c r="I2495" s="209">
        <v>0</v>
      </c>
      <c r="J2495" s="150">
        <v>0</v>
      </c>
      <c r="K2495" s="150">
        <v>0</v>
      </c>
      <c r="L2495" s="150">
        <f t="shared" si="2169"/>
        <v>0</v>
      </c>
      <c r="M2495" s="150">
        <v>0</v>
      </c>
      <c r="N2495" s="150"/>
      <c r="O2495" s="150">
        <v>0</v>
      </c>
      <c r="P2495" s="150">
        <v>0</v>
      </c>
      <c r="Q2495" s="150">
        <v>0</v>
      </c>
      <c r="R2495" s="150">
        <f t="shared" si="2192"/>
        <v>0</v>
      </c>
      <c r="S2495" s="150">
        <f t="shared" si="2184"/>
        <v>0</v>
      </c>
      <c r="T2495" s="150"/>
      <c r="U2495" s="150">
        <v>0</v>
      </c>
      <c r="V2495" s="199"/>
      <c r="W2495" s="150">
        <f t="shared" si="2193"/>
        <v>0</v>
      </c>
      <c r="X2495" s="150">
        <v>0</v>
      </c>
      <c r="Y2495" s="150"/>
      <c r="Z2495" s="150">
        <v>0</v>
      </c>
      <c r="AA2495" s="150">
        <f t="shared" si="2149"/>
        <v>0</v>
      </c>
      <c r="AB2495" s="150">
        <v>0</v>
      </c>
      <c r="AC2495" s="199"/>
      <c r="AD2495" s="150">
        <f t="shared" si="2194"/>
        <v>0</v>
      </c>
      <c r="AE2495" s="150">
        <v>0</v>
      </c>
      <c r="AF2495" s="169" t="s">
        <v>4680</v>
      </c>
      <c r="AG2495" s="201">
        <v>0</v>
      </c>
      <c r="AH2495" s="199"/>
      <c r="AI2495" s="150">
        <v>0</v>
      </c>
      <c r="AJ2495" s="169">
        <f t="shared" si="2151"/>
        <v>0</v>
      </c>
      <c r="AK2495" s="201">
        <v>0</v>
      </c>
      <c r="AL2495" s="199"/>
      <c r="AM2495" s="150">
        <f t="shared" si="2195"/>
        <v>0</v>
      </c>
      <c r="AN2495" s="153">
        <f t="shared" si="2153"/>
        <v>0</v>
      </c>
      <c r="AO2495" s="154">
        <f t="shared" si="2154"/>
        <v>0</v>
      </c>
      <c r="AP2495" s="150">
        <v>0</v>
      </c>
      <c r="AQ2495" s="201">
        <v>0</v>
      </c>
      <c r="AR2495" s="199"/>
      <c r="AS2495" s="150">
        <f t="shared" si="2196"/>
        <v>0</v>
      </c>
      <c r="AT2495" s="155"/>
      <c r="AU2495" s="156">
        <f t="shared" si="2145"/>
        <v>0</v>
      </c>
      <c r="AV2495" s="156">
        <f t="shared" si="2146"/>
        <v>0</v>
      </c>
      <c r="AW2495" s="157"/>
      <c r="AX2495" s="150">
        <v>0</v>
      </c>
      <c r="AY2495" s="150">
        <v>0</v>
      </c>
      <c r="AZ2495" s="150"/>
      <c r="BA2495" s="150">
        <f t="shared" si="2183"/>
        <v>0</v>
      </c>
      <c r="BB2495" s="202">
        <v>8</v>
      </c>
      <c r="BC2495" s="202" t="s">
        <v>647</v>
      </c>
      <c r="BD2495" s="202" t="s">
        <v>647</v>
      </c>
      <c r="BE2495" s="202" t="s">
        <v>693</v>
      </c>
      <c r="BF2495" s="202" t="s">
        <v>714</v>
      </c>
      <c r="BG2495" s="203" t="s">
        <v>11030</v>
      </c>
      <c r="BH2495" s="216">
        <f t="shared" si="2197"/>
        <v>0</v>
      </c>
      <c r="BI2495" s="205"/>
      <c r="BJ2495" s="206" t="s">
        <v>11031</v>
      </c>
      <c r="BK2495" s="206" t="s">
        <v>11027</v>
      </c>
      <c r="BL2495" s="207" t="s">
        <v>11032</v>
      </c>
      <c r="BM2495" s="208">
        <f t="shared" si="2198"/>
        <v>0</v>
      </c>
      <c r="BN2495" s="160"/>
      <c r="BO2495" s="161">
        <f t="shared" si="2163"/>
        <v>0</v>
      </c>
      <c r="BP2495" s="161"/>
    </row>
    <row r="2496" spans="1:68" ht="51">
      <c r="A2496" s="206" t="s">
        <v>11033</v>
      </c>
      <c r="B2496" s="195" t="s">
        <v>11034</v>
      </c>
      <c r="C2496" s="196" t="s">
        <v>11035</v>
      </c>
      <c r="D2496" s="146" t="s">
        <v>4692</v>
      </c>
      <c r="E2496" s="377" t="s">
        <v>11035</v>
      </c>
      <c r="F2496" s="150">
        <v>0</v>
      </c>
      <c r="G2496" s="209">
        <v>0</v>
      </c>
      <c r="H2496" s="209"/>
      <c r="I2496" s="209">
        <v>0</v>
      </c>
      <c r="J2496" s="150">
        <v>0</v>
      </c>
      <c r="K2496" s="150">
        <v>0</v>
      </c>
      <c r="L2496" s="150">
        <f t="shared" si="2169"/>
        <v>0</v>
      </c>
      <c r="M2496" s="150">
        <v>0</v>
      </c>
      <c r="N2496" s="150"/>
      <c r="O2496" s="150">
        <v>0</v>
      </c>
      <c r="P2496" s="150">
        <v>0</v>
      </c>
      <c r="Q2496" s="150">
        <v>0</v>
      </c>
      <c r="R2496" s="150">
        <f t="shared" si="2192"/>
        <v>0</v>
      </c>
      <c r="S2496" s="150">
        <f t="shared" si="2184"/>
        <v>0</v>
      </c>
      <c r="T2496" s="150"/>
      <c r="U2496" s="150">
        <v>0</v>
      </c>
      <c r="V2496" s="199"/>
      <c r="W2496" s="150">
        <f t="shared" si="2193"/>
        <v>0</v>
      </c>
      <c r="X2496" s="150">
        <v>0</v>
      </c>
      <c r="Y2496" s="150"/>
      <c r="Z2496" s="150">
        <v>0</v>
      </c>
      <c r="AA2496" s="150">
        <f t="shared" si="2149"/>
        <v>0</v>
      </c>
      <c r="AB2496" s="150">
        <v>0</v>
      </c>
      <c r="AC2496" s="199"/>
      <c r="AD2496" s="150">
        <f t="shared" si="2194"/>
        <v>0</v>
      </c>
      <c r="AE2496" s="150">
        <v>0</v>
      </c>
      <c r="AF2496" s="169" t="s">
        <v>4680</v>
      </c>
      <c r="AG2496" s="201">
        <v>0</v>
      </c>
      <c r="AH2496" s="199"/>
      <c r="AI2496" s="150">
        <v>0</v>
      </c>
      <c r="AJ2496" s="169">
        <f t="shared" si="2151"/>
        <v>0</v>
      </c>
      <c r="AK2496" s="201">
        <v>0</v>
      </c>
      <c r="AL2496" s="199"/>
      <c r="AM2496" s="150">
        <f t="shared" si="2195"/>
        <v>0</v>
      </c>
      <c r="AN2496" s="153">
        <f t="shared" si="2153"/>
        <v>0</v>
      </c>
      <c r="AO2496" s="154">
        <f t="shared" si="2154"/>
        <v>0</v>
      </c>
      <c r="AP2496" s="150">
        <v>0</v>
      </c>
      <c r="AQ2496" s="201">
        <v>0</v>
      </c>
      <c r="AR2496" s="199"/>
      <c r="AS2496" s="150">
        <f t="shared" si="2196"/>
        <v>0</v>
      </c>
      <c r="AT2496" s="155"/>
      <c r="AU2496" s="156">
        <f t="shared" si="2145"/>
        <v>0</v>
      </c>
      <c r="AV2496" s="156">
        <f t="shared" si="2146"/>
        <v>0</v>
      </c>
      <c r="AW2496" s="157"/>
      <c r="AX2496" s="150">
        <v>0</v>
      </c>
      <c r="AY2496" s="150">
        <v>0</v>
      </c>
      <c r="AZ2496" s="150"/>
      <c r="BA2496" s="150">
        <f t="shared" si="2183"/>
        <v>0</v>
      </c>
      <c r="BB2496" s="202">
        <v>8</v>
      </c>
      <c r="BC2496" s="202" t="s">
        <v>647</v>
      </c>
      <c r="BD2496" s="202" t="s">
        <v>647</v>
      </c>
      <c r="BE2496" s="202" t="s">
        <v>693</v>
      </c>
      <c r="BF2496" s="202" t="s">
        <v>739</v>
      </c>
      <c r="BG2496" s="203" t="s">
        <v>11036</v>
      </c>
      <c r="BH2496" s="216">
        <f t="shared" si="2197"/>
        <v>0</v>
      </c>
      <c r="BI2496" s="205"/>
      <c r="BJ2496" s="206" t="s">
        <v>11037</v>
      </c>
      <c r="BK2496" s="206" t="s">
        <v>11033</v>
      </c>
      <c r="BL2496" s="207" t="s">
        <v>11038</v>
      </c>
      <c r="BM2496" s="208">
        <f t="shared" si="2198"/>
        <v>0</v>
      </c>
      <c r="BN2496" s="160"/>
      <c r="BO2496" s="161">
        <f t="shared" si="2163"/>
        <v>0</v>
      </c>
      <c r="BP2496" s="161"/>
    </row>
    <row r="2497" spans="1:68" ht="38.25">
      <c r="A2497" s="206" t="s">
        <v>11039</v>
      </c>
      <c r="B2497" s="195" t="s">
        <v>11040</v>
      </c>
      <c r="C2497" s="196" t="s">
        <v>11041</v>
      </c>
      <c r="D2497" s="146" t="s">
        <v>4692</v>
      </c>
      <c r="E2497" s="377" t="s">
        <v>11041</v>
      </c>
      <c r="F2497" s="150">
        <v>4205.25</v>
      </c>
      <c r="G2497" s="209">
        <v>0</v>
      </c>
      <c r="H2497" s="209">
        <v>0</v>
      </c>
      <c r="I2497" s="209">
        <v>0</v>
      </c>
      <c r="J2497" s="150">
        <v>0</v>
      </c>
      <c r="K2497" s="150">
        <v>0</v>
      </c>
      <c r="L2497" s="150">
        <f t="shared" si="2169"/>
        <v>0</v>
      </c>
      <c r="M2497" s="150">
        <v>0</v>
      </c>
      <c r="N2497" s="150"/>
      <c r="O2497" s="150">
        <v>0</v>
      </c>
      <c r="P2497" s="150">
        <v>0</v>
      </c>
      <c r="Q2497" s="150">
        <v>0</v>
      </c>
      <c r="R2497" s="150">
        <f t="shared" si="2192"/>
        <v>0</v>
      </c>
      <c r="S2497" s="150">
        <f t="shared" si="2184"/>
        <v>0</v>
      </c>
      <c r="T2497" s="150"/>
      <c r="U2497" s="150">
        <v>0</v>
      </c>
      <c r="V2497" s="199"/>
      <c r="W2497" s="150">
        <f t="shared" si="2193"/>
        <v>0</v>
      </c>
      <c r="X2497" s="150">
        <v>0</v>
      </c>
      <c r="Y2497" s="150"/>
      <c r="Z2497" s="150">
        <v>0</v>
      </c>
      <c r="AA2497" s="150">
        <f t="shared" si="2149"/>
        <v>0</v>
      </c>
      <c r="AB2497" s="150">
        <v>0</v>
      </c>
      <c r="AC2497" s="199"/>
      <c r="AD2497" s="150">
        <f t="shared" si="2194"/>
        <v>0</v>
      </c>
      <c r="AE2497" s="150">
        <v>0</v>
      </c>
      <c r="AF2497" s="169" t="s">
        <v>4680</v>
      </c>
      <c r="AG2497" s="201">
        <v>0</v>
      </c>
      <c r="AH2497" s="199"/>
      <c r="AI2497" s="150">
        <v>0</v>
      </c>
      <c r="AJ2497" s="169">
        <f t="shared" si="2151"/>
        <v>0</v>
      </c>
      <c r="AK2497" s="201">
        <v>0</v>
      </c>
      <c r="AL2497" s="199"/>
      <c r="AM2497" s="150">
        <f t="shared" si="2195"/>
        <v>0</v>
      </c>
      <c r="AN2497" s="153">
        <f t="shared" si="2153"/>
        <v>0</v>
      </c>
      <c r="AO2497" s="154">
        <f t="shared" si="2154"/>
        <v>0</v>
      </c>
      <c r="AP2497" s="150">
        <v>0</v>
      </c>
      <c r="AQ2497" s="201">
        <v>0</v>
      </c>
      <c r="AR2497" s="199"/>
      <c r="AS2497" s="150">
        <f t="shared" si="2196"/>
        <v>0</v>
      </c>
      <c r="AT2497" s="155"/>
      <c r="AU2497" s="156">
        <f t="shared" si="2145"/>
        <v>0</v>
      </c>
      <c r="AV2497" s="156">
        <f t="shared" si="2146"/>
        <v>0</v>
      </c>
      <c r="AW2497" s="157"/>
      <c r="AX2497" s="150">
        <v>0</v>
      </c>
      <c r="AY2497" s="150">
        <v>0</v>
      </c>
      <c r="AZ2497" s="150"/>
      <c r="BA2497" s="150">
        <f t="shared" si="2183"/>
        <v>0</v>
      </c>
      <c r="BB2497" s="202">
        <v>8</v>
      </c>
      <c r="BC2497" s="202" t="s">
        <v>647</v>
      </c>
      <c r="BD2497" s="202" t="s">
        <v>647</v>
      </c>
      <c r="BE2497" s="202" t="s">
        <v>693</v>
      </c>
      <c r="BF2497" s="202" t="s">
        <v>755</v>
      </c>
      <c r="BG2497" s="203" t="s">
        <v>11042</v>
      </c>
      <c r="BH2497" s="216">
        <f t="shared" si="2197"/>
        <v>0</v>
      </c>
      <c r="BI2497" s="205"/>
      <c r="BJ2497" s="206" t="s">
        <v>11043</v>
      </c>
      <c r="BK2497" s="206" t="s">
        <v>11039</v>
      </c>
      <c r="BL2497" s="207" t="s">
        <v>11044</v>
      </c>
      <c r="BM2497" s="208">
        <f t="shared" si="2198"/>
        <v>0</v>
      </c>
      <c r="BN2497" s="160"/>
      <c r="BO2497" s="161">
        <f t="shared" si="2163"/>
        <v>0</v>
      </c>
      <c r="BP2497" s="161"/>
    </row>
    <row r="2498" spans="1:68" ht="25.5">
      <c r="A2498" s="206" t="s">
        <v>11045</v>
      </c>
      <c r="B2498" s="195" t="s">
        <v>11046</v>
      </c>
      <c r="C2498" s="196" t="s">
        <v>11047</v>
      </c>
      <c r="D2498" s="146" t="s">
        <v>4692</v>
      </c>
      <c r="E2498" s="377" t="s">
        <v>11047</v>
      </c>
      <c r="F2498" s="150">
        <v>0</v>
      </c>
      <c r="G2498" s="209">
        <v>0</v>
      </c>
      <c r="H2498" s="209"/>
      <c r="I2498" s="209">
        <v>0</v>
      </c>
      <c r="J2498" s="150">
        <v>0</v>
      </c>
      <c r="K2498" s="150">
        <v>0</v>
      </c>
      <c r="L2498" s="150">
        <f t="shared" si="2169"/>
        <v>0</v>
      </c>
      <c r="M2498" s="150">
        <v>0</v>
      </c>
      <c r="N2498" s="150"/>
      <c r="O2498" s="150">
        <v>0</v>
      </c>
      <c r="P2498" s="150">
        <v>0</v>
      </c>
      <c r="Q2498" s="150">
        <v>0</v>
      </c>
      <c r="R2498" s="150">
        <f t="shared" si="2192"/>
        <v>0</v>
      </c>
      <c r="S2498" s="150">
        <f t="shared" si="2184"/>
        <v>0</v>
      </c>
      <c r="T2498" s="150"/>
      <c r="U2498" s="150">
        <v>60048</v>
      </c>
      <c r="V2498" s="199"/>
      <c r="W2498" s="150">
        <f t="shared" si="2193"/>
        <v>60048</v>
      </c>
      <c r="X2498" s="150">
        <v>60048</v>
      </c>
      <c r="Y2498" s="150"/>
      <c r="Z2498" s="150">
        <v>60048</v>
      </c>
      <c r="AA2498" s="150">
        <f t="shared" si="2149"/>
        <v>0</v>
      </c>
      <c r="AB2498" s="150">
        <v>60048</v>
      </c>
      <c r="AC2498" s="199"/>
      <c r="AD2498" s="150">
        <f t="shared" si="2194"/>
        <v>60048</v>
      </c>
      <c r="AE2498" s="150">
        <v>60048</v>
      </c>
      <c r="AF2498" s="169" t="s">
        <v>4680</v>
      </c>
      <c r="AG2498" s="201">
        <v>60048</v>
      </c>
      <c r="AH2498" s="199"/>
      <c r="AI2498" s="150">
        <v>60048</v>
      </c>
      <c r="AJ2498" s="169">
        <f t="shared" si="2151"/>
        <v>0</v>
      </c>
      <c r="AK2498" s="201">
        <v>60048</v>
      </c>
      <c r="AL2498" s="199"/>
      <c r="AM2498" s="150">
        <f t="shared" si="2195"/>
        <v>60048</v>
      </c>
      <c r="AN2498" s="153">
        <f t="shared" si="2153"/>
        <v>0</v>
      </c>
      <c r="AO2498" s="154">
        <f t="shared" si="2154"/>
        <v>0</v>
      </c>
      <c r="AP2498" s="150">
        <v>60048</v>
      </c>
      <c r="AQ2498" s="201">
        <v>60048</v>
      </c>
      <c r="AR2498" s="199"/>
      <c r="AS2498" s="150">
        <f t="shared" si="2196"/>
        <v>60048</v>
      </c>
      <c r="AT2498" s="155"/>
      <c r="AU2498" s="156">
        <f t="shared" ref="AU2498:AU2533" si="2199">AM2498-AD2498</f>
        <v>0</v>
      </c>
      <c r="AV2498" s="156">
        <f t="shared" ref="AV2498:AV2534" si="2200">AD2498-AX2498</f>
        <v>0</v>
      </c>
      <c r="AW2498" s="157"/>
      <c r="AX2498" s="150">
        <v>60048</v>
      </c>
      <c r="AY2498" s="150">
        <v>0</v>
      </c>
      <c r="AZ2498" s="150"/>
      <c r="BA2498" s="150">
        <f t="shared" si="2183"/>
        <v>0</v>
      </c>
      <c r="BB2498" s="202">
        <v>8</v>
      </c>
      <c r="BC2498" s="202" t="s">
        <v>647</v>
      </c>
      <c r="BD2498" s="202" t="s">
        <v>647</v>
      </c>
      <c r="BE2498" s="202" t="s">
        <v>693</v>
      </c>
      <c r="BF2498" s="202" t="s">
        <v>766</v>
      </c>
      <c r="BG2498" s="203" t="s">
        <v>11048</v>
      </c>
      <c r="BH2498" s="216">
        <f t="shared" si="2197"/>
        <v>60048</v>
      </c>
      <c r="BI2498" s="205"/>
      <c r="BJ2498" s="206" t="s">
        <v>11049</v>
      </c>
      <c r="BK2498" s="206" t="s">
        <v>11045</v>
      </c>
      <c r="BL2498" s="207" t="s">
        <v>11050</v>
      </c>
      <c r="BM2498" s="208">
        <f t="shared" si="2198"/>
        <v>60048</v>
      </c>
      <c r="BN2498" s="160"/>
      <c r="BO2498" s="161">
        <f t="shared" si="2163"/>
        <v>0</v>
      </c>
      <c r="BP2498" s="161"/>
    </row>
    <row r="2499" spans="1:68">
      <c r="A2499" s="256" t="s">
        <v>11051</v>
      </c>
      <c r="B2499" s="184"/>
      <c r="C2499" s="185" t="s">
        <v>10822</v>
      </c>
      <c r="D2499" s="146" t="s">
        <v>4692</v>
      </c>
      <c r="E2499" s="185" t="s">
        <v>10822</v>
      </c>
      <c r="F2499" s="188">
        <v>0</v>
      </c>
      <c r="G2499" s="187">
        <v>7592742.3099999996</v>
      </c>
      <c r="H2499" s="187">
        <v>1108982.8904766664</v>
      </c>
      <c r="I2499" s="187">
        <v>8701725.200476665</v>
      </c>
      <c r="J2499" s="188">
        <f>J2500</f>
        <v>0</v>
      </c>
      <c r="K2499" s="188">
        <f>K2500</f>
        <v>0</v>
      </c>
      <c r="L2499" s="188">
        <f t="shared" si="2169"/>
        <v>0</v>
      </c>
      <c r="M2499" s="188">
        <v>0</v>
      </c>
      <c r="N2499" s="188">
        <v>0</v>
      </c>
      <c r="O2499" s="188">
        <v>0</v>
      </c>
      <c r="P2499" s="299">
        <f t="shared" ref="P2499:AS2499" si="2201">P2500</f>
        <v>0</v>
      </c>
      <c r="Q2499" s="299">
        <f t="shared" si="2201"/>
        <v>0</v>
      </c>
      <c r="R2499" s="299">
        <f t="shared" si="2201"/>
        <v>0</v>
      </c>
      <c r="S2499" s="150">
        <f t="shared" si="2184"/>
        <v>0</v>
      </c>
      <c r="T2499" s="213"/>
      <c r="U2499" s="299">
        <f t="shared" ref="U2499:W2499" si="2202">U2500</f>
        <v>0</v>
      </c>
      <c r="V2499" s="226">
        <f t="shared" si="2202"/>
        <v>0</v>
      </c>
      <c r="W2499" s="299">
        <f t="shared" si="2202"/>
        <v>0</v>
      </c>
      <c r="X2499" s="299">
        <v>0</v>
      </c>
      <c r="Y2499" s="299">
        <v>0</v>
      </c>
      <c r="Z2499" s="299">
        <v>0</v>
      </c>
      <c r="AA2499" s="299">
        <f t="shared" ref="AA2499:AA2533" si="2203">AD2499-Z2499</f>
        <v>0</v>
      </c>
      <c r="AB2499" s="299">
        <v>0</v>
      </c>
      <c r="AC2499" s="226">
        <v>0</v>
      </c>
      <c r="AD2499" s="299">
        <f t="shared" si="2201"/>
        <v>0</v>
      </c>
      <c r="AE2499" s="299">
        <v>0</v>
      </c>
      <c r="AF2499" s="169" t="s">
        <v>4680</v>
      </c>
      <c r="AG2499" s="301">
        <v>0</v>
      </c>
      <c r="AH2499" s="226">
        <v>0</v>
      </c>
      <c r="AI2499" s="299">
        <v>0</v>
      </c>
      <c r="AJ2499" s="169">
        <f t="shared" ref="AJ2499:AJ2533" si="2204">AM2499-AI2499</f>
        <v>0</v>
      </c>
      <c r="AK2499" s="301">
        <v>0</v>
      </c>
      <c r="AL2499" s="226">
        <v>0</v>
      </c>
      <c r="AM2499" s="299">
        <f t="shared" si="2201"/>
        <v>0</v>
      </c>
      <c r="AN2499" s="153">
        <f t="shared" ref="AN2499:AN2538" si="2205">AS2499-AM2499</f>
        <v>0</v>
      </c>
      <c r="AO2499" s="154">
        <f t="shared" ref="AO2499:AO2539" si="2206">AS2499-AP2499</f>
        <v>0</v>
      </c>
      <c r="AP2499" s="299">
        <v>0</v>
      </c>
      <c r="AQ2499" s="301">
        <v>0</v>
      </c>
      <c r="AR2499" s="226">
        <f t="shared" si="2201"/>
        <v>0</v>
      </c>
      <c r="AS2499" s="299">
        <f t="shared" si="2201"/>
        <v>0</v>
      </c>
      <c r="AT2499" s="155"/>
      <c r="AU2499" s="156">
        <f t="shared" si="2199"/>
        <v>0</v>
      </c>
      <c r="AV2499" s="156">
        <f t="shared" si="2200"/>
        <v>0</v>
      </c>
      <c r="AW2499" s="157"/>
      <c r="AX2499" s="150">
        <v>0</v>
      </c>
      <c r="AY2499" s="299">
        <f t="shared" ref="AY2499:BA2499" si="2207">AY2500</f>
        <v>0</v>
      </c>
      <c r="AZ2499" s="299">
        <f t="shared" si="2207"/>
        <v>0</v>
      </c>
      <c r="BA2499" s="299">
        <f t="shared" si="2207"/>
        <v>0</v>
      </c>
      <c r="BB2499" s="192">
        <v>8</v>
      </c>
      <c r="BC2499" s="256" t="s">
        <v>647</v>
      </c>
      <c r="BD2499" s="256" t="s">
        <v>647</v>
      </c>
      <c r="BE2499" s="256" t="s">
        <v>714</v>
      </c>
      <c r="BF2499" s="256" t="s">
        <v>630</v>
      </c>
      <c r="BG2499" s="185" t="s">
        <v>10822</v>
      </c>
      <c r="BH2499" s="215">
        <f>BH2500</f>
        <v>0</v>
      </c>
      <c r="BI2499" s="192"/>
      <c r="BJ2499" s="256" t="s">
        <v>11052</v>
      </c>
      <c r="BK2499" s="256" t="s">
        <v>11051</v>
      </c>
      <c r="BL2499" s="238" t="s">
        <v>11053</v>
      </c>
      <c r="BM2499" s="338">
        <f>BM2500</f>
        <v>0</v>
      </c>
      <c r="BN2499" s="160"/>
      <c r="BO2499" s="161">
        <f t="shared" si="2163"/>
        <v>0</v>
      </c>
      <c r="BP2499" s="161"/>
    </row>
    <row r="2500" spans="1:68">
      <c r="A2500" s="206" t="s">
        <v>11051</v>
      </c>
      <c r="B2500" s="195" t="s">
        <v>11054</v>
      </c>
      <c r="C2500" s="196" t="s">
        <v>11055</v>
      </c>
      <c r="D2500" s="146" t="s">
        <v>4692</v>
      </c>
      <c r="E2500" s="377" t="s">
        <v>11055</v>
      </c>
      <c r="F2500" s="150">
        <v>0</v>
      </c>
      <c r="G2500" s="209">
        <v>7592742.3099999996</v>
      </c>
      <c r="H2500" s="209">
        <v>1108982.8904766664</v>
      </c>
      <c r="I2500" s="209">
        <v>8701725.200476665</v>
      </c>
      <c r="J2500" s="150">
        <v>0</v>
      </c>
      <c r="K2500" s="150">
        <v>0</v>
      </c>
      <c r="L2500" s="150">
        <f t="shared" si="2169"/>
        <v>0</v>
      </c>
      <c r="M2500" s="150">
        <v>0</v>
      </c>
      <c r="N2500" s="150"/>
      <c r="O2500" s="150">
        <v>0</v>
      </c>
      <c r="P2500" s="150">
        <v>0</v>
      </c>
      <c r="Q2500" s="150">
        <v>0</v>
      </c>
      <c r="R2500" s="150">
        <f>P2500+Q2500</f>
        <v>0</v>
      </c>
      <c r="S2500" s="150">
        <f t="shared" si="2184"/>
        <v>0</v>
      </c>
      <c r="T2500" s="150"/>
      <c r="U2500" s="150">
        <v>0</v>
      </c>
      <c r="V2500" s="199"/>
      <c r="W2500" s="150">
        <f>U2500+V2500</f>
        <v>0</v>
      </c>
      <c r="X2500" s="150">
        <v>0</v>
      </c>
      <c r="Y2500" s="150"/>
      <c r="Z2500" s="150">
        <v>0</v>
      </c>
      <c r="AA2500" s="150">
        <f t="shared" si="2203"/>
        <v>0</v>
      </c>
      <c r="AB2500" s="150">
        <v>0</v>
      </c>
      <c r="AC2500" s="199"/>
      <c r="AD2500" s="150">
        <f>AB2500+AC2500</f>
        <v>0</v>
      </c>
      <c r="AE2500" s="150">
        <v>0</v>
      </c>
      <c r="AF2500" s="169" t="s">
        <v>4680</v>
      </c>
      <c r="AG2500" s="201">
        <v>0</v>
      </c>
      <c r="AH2500" s="199"/>
      <c r="AI2500" s="150">
        <v>0</v>
      </c>
      <c r="AJ2500" s="169">
        <f t="shared" si="2204"/>
        <v>0</v>
      </c>
      <c r="AK2500" s="201">
        <v>0</v>
      </c>
      <c r="AL2500" s="199"/>
      <c r="AM2500" s="150">
        <f>AK2500+AL2500</f>
        <v>0</v>
      </c>
      <c r="AN2500" s="153">
        <f t="shared" si="2205"/>
        <v>0</v>
      </c>
      <c r="AO2500" s="154">
        <f t="shared" si="2206"/>
        <v>0</v>
      </c>
      <c r="AP2500" s="150">
        <v>0</v>
      </c>
      <c r="AQ2500" s="201">
        <v>0</v>
      </c>
      <c r="AR2500" s="199"/>
      <c r="AS2500" s="150">
        <f>AQ2500+AR2500</f>
        <v>0</v>
      </c>
      <c r="AT2500" s="155"/>
      <c r="AU2500" s="156">
        <f t="shared" si="2199"/>
        <v>0</v>
      </c>
      <c r="AV2500" s="156">
        <f t="shared" si="2200"/>
        <v>0</v>
      </c>
      <c r="AW2500" s="157"/>
      <c r="AX2500" s="150">
        <v>0</v>
      </c>
      <c r="AY2500" s="150">
        <v>0</v>
      </c>
      <c r="AZ2500" s="150"/>
      <c r="BA2500" s="150">
        <f t="shared" si="2183"/>
        <v>0</v>
      </c>
      <c r="BB2500" s="202">
        <v>8</v>
      </c>
      <c r="BC2500" s="202" t="s">
        <v>647</v>
      </c>
      <c r="BD2500" s="202" t="s">
        <v>647</v>
      </c>
      <c r="BE2500" s="202" t="s">
        <v>714</v>
      </c>
      <c r="BF2500" s="202" t="s">
        <v>632</v>
      </c>
      <c r="BG2500" s="203" t="s">
        <v>10822</v>
      </c>
      <c r="BH2500" s="216">
        <f>AS2500</f>
        <v>0</v>
      </c>
      <c r="BI2500" s="205"/>
      <c r="BJ2500" s="206" t="s">
        <v>11052</v>
      </c>
      <c r="BK2500" s="206" t="s">
        <v>11051</v>
      </c>
      <c r="BL2500" s="207" t="s">
        <v>11053</v>
      </c>
      <c r="BM2500" s="208">
        <f>BH2500</f>
        <v>0</v>
      </c>
      <c r="BN2500" s="160"/>
      <c r="BO2500" s="161">
        <f t="shared" ref="BO2500:BO2538" si="2208">BM2500-AS2500</f>
        <v>0</v>
      </c>
      <c r="BP2500" s="161"/>
    </row>
    <row r="2501" spans="1:68">
      <c r="A2501" s="288" t="s">
        <v>11056</v>
      </c>
      <c r="B2501" s="144"/>
      <c r="C2501" s="145" t="s">
        <v>11057</v>
      </c>
      <c r="D2501" s="146" t="s">
        <v>4692</v>
      </c>
      <c r="E2501" s="145" t="s">
        <v>11057</v>
      </c>
      <c r="F2501" s="149">
        <v>8548068.4000000004</v>
      </c>
      <c r="G2501" s="148">
        <v>7446659.1099999994</v>
      </c>
      <c r="H2501" s="148">
        <v>962316.22380999965</v>
      </c>
      <c r="I2501" s="148">
        <v>8408975.3338099997</v>
      </c>
      <c r="J2501" s="149">
        <f>J2502+J2523+J2530</f>
        <v>1670613.48</v>
      </c>
      <c r="K2501" s="149">
        <f>K2502+K2523+K2530</f>
        <v>561892.81666666665</v>
      </c>
      <c r="L2501" s="149">
        <f t="shared" si="2169"/>
        <v>2232506.2966666669</v>
      </c>
      <c r="M2501" s="149">
        <v>3859819.8700000006</v>
      </c>
      <c r="N2501" s="149">
        <v>838250.45980410243</v>
      </c>
      <c r="O2501" s="149">
        <v>4698070.3298041029</v>
      </c>
      <c r="P2501" s="373">
        <f t="shared" ref="P2501:R2501" si="2209">P2502+P2523+P2530</f>
        <v>5833525.2599999998</v>
      </c>
      <c r="Q2501" s="373">
        <f t="shared" si="2209"/>
        <v>1125460.7800974844</v>
      </c>
      <c r="R2501" s="373">
        <f t="shared" si="2209"/>
        <v>6958986.0400974853</v>
      </c>
      <c r="S2501" s="150">
        <f t="shared" si="2184"/>
        <v>9278648.0534633137</v>
      </c>
      <c r="T2501" s="213"/>
      <c r="U2501" s="373">
        <f t="shared" ref="U2501:W2501" si="2210">U2502+U2523+U2530</f>
        <v>8192858.9399999985</v>
      </c>
      <c r="V2501" s="290">
        <f t="shared" si="2210"/>
        <v>1050927.0901299794</v>
      </c>
      <c r="W2501" s="373">
        <f t="shared" si="2210"/>
        <v>9243786.0301299784</v>
      </c>
      <c r="X2501" s="373">
        <v>8192858.9399999985</v>
      </c>
      <c r="Y2501" s="373">
        <v>1050927.0901299794</v>
      </c>
      <c r="Z2501" s="373">
        <v>9243786.0301299784</v>
      </c>
      <c r="AA2501" s="373">
        <f t="shared" si="2203"/>
        <v>0</v>
      </c>
      <c r="AB2501" s="373">
        <v>8192858.9399999985</v>
      </c>
      <c r="AC2501" s="290">
        <v>1050927.0901299794</v>
      </c>
      <c r="AD2501" s="373">
        <f t="shared" ref="AD2501" si="2211">AD2502+AD2523+AD2530</f>
        <v>9243786.0301299784</v>
      </c>
      <c r="AE2501" s="373">
        <v>9240068.4701299779</v>
      </c>
      <c r="AF2501" s="169" t="s">
        <v>4680</v>
      </c>
      <c r="AG2501" s="374">
        <v>8209362.0099999988</v>
      </c>
      <c r="AH2501" s="290">
        <v>1030706.4601299793</v>
      </c>
      <c r="AI2501" s="373">
        <v>9240068.4701299779</v>
      </c>
      <c r="AJ2501" s="169">
        <f t="shared" si="2204"/>
        <v>0</v>
      </c>
      <c r="AK2501" s="374">
        <v>8209362.0099999988</v>
      </c>
      <c r="AL2501" s="290">
        <v>1030706.4601299793</v>
      </c>
      <c r="AM2501" s="373">
        <f t="shared" ref="AM2501" si="2212">AM2502+AM2523+AM2530</f>
        <v>9240068.4701299779</v>
      </c>
      <c r="AN2501" s="153">
        <f t="shared" si="2205"/>
        <v>95224.729870019481</v>
      </c>
      <c r="AO2501" s="154">
        <f t="shared" si="2206"/>
        <v>95224.729870019481</v>
      </c>
      <c r="AP2501" s="373">
        <v>9240068.4701299779</v>
      </c>
      <c r="AQ2501" s="374">
        <v>9335293.1999999974</v>
      </c>
      <c r="AR2501" s="290">
        <f t="shared" ref="AR2501:AS2501" si="2213">AR2502+AR2523+AR2530</f>
        <v>0</v>
      </c>
      <c r="AS2501" s="373">
        <f t="shared" si="2213"/>
        <v>9335293.1999999974</v>
      </c>
      <c r="AT2501" s="155">
        <f>8259052.4-AK2501</f>
        <v>49690.390000001527</v>
      </c>
      <c r="AU2501" s="156">
        <f t="shared" si="2199"/>
        <v>-3717.5600000005215</v>
      </c>
      <c r="AV2501" s="156">
        <f t="shared" si="2200"/>
        <v>0</v>
      </c>
      <c r="AW2501" s="157"/>
      <c r="AX2501" s="150">
        <v>9243786.0301299784</v>
      </c>
      <c r="AY2501" s="373">
        <f t="shared" ref="AY2501:BA2501" si="2214">AY2502+AY2523+AY2530</f>
        <v>4523856.2200000007</v>
      </c>
      <c r="AZ2501" s="373">
        <f t="shared" si="2214"/>
        <v>4641812.1408284474</v>
      </c>
      <c r="BA2501" s="373">
        <f t="shared" si="2214"/>
        <v>9165668.3608284462</v>
      </c>
      <c r="BB2501" s="288">
        <v>9</v>
      </c>
      <c r="BC2501" s="292" t="s">
        <v>630</v>
      </c>
      <c r="BD2501" s="292" t="s">
        <v>630</v>
      </c>
      <c r="BE2501" s="158" t="s">
        <v>630</v>
      </c>
      <c r="BF2501" s="292" t="s">
        <v>630</v>
      </c>
      <c r="BG2501" s="145" t="s">
        <v>11057</v>
      </c>
      <c r="BH2501" s="375">
        <f>BH2502+BH2523+BH2530</f>
        <v>9335293.1999999974</v>
      </c>
      <c r="BI2501" s="288"/>
      <c r="BJ2501" s="292" t="s">
        <v>11056</v>
      </c>
      <c r="BK2501" s="288" t="s">
        <v>11056</v>
      </c>
      <c r="BL2501" s="145" t="s">
        <v>11058</v>
      </c>
      <c r="BM2501" s="375">
        <f>BM2502+BM2523+BM2530</f>
        <v>9335293.1999999974</v>
      </c>
      <c r="BN2501" s="160"/>
      <c r="BO2501" s="161">
        <f t="shared" si="2208"/>
        <v>0</v>
      </c>
      <c r="BP2501" s="161"/>
    </row>
    <row r="2502" spans="1:68">
      <c r="A2502" s="263" t="s">
        <v>11059</v>
      </c>
      <c r="B2502" s="163"/>
      <c r="C2502" s="164" t="s">
        <v>11060</v>
      </c>
      <c r="D2502" s="146" t="s">
        <v>4692</v>
      </c>
      <c r="E2502" s="164" t="s">
        <v>11060</v>
      </c>
      <c r="F2502" s="167">
        <v>8548068.4000000004</v>
      </c>
      <c r="G2502" s="166">
        <v>7446659.1099999994</v>
      </c>
      <c r="H2502" s="166">
        <v>962316.22380999965</v>
      </c>
      <c r="I2502" s="166">
        <v>8408975.3338099997</v>
      </c>
      <c r="J2502" s="167">
        <f>J2503+J2510+J2517+J2520</f>
        <v>1670613.48</v>
      </c>
      <c r="K2502" s="167">
        <f>K2503+K2510+K2517+K2520</f>
        <v>561892.81666666665</v>
      </c>
      <c r="L2502" s="167">
        <f t="shared" si="2169"/>
        <v>2232506.2966666669</v>
      </c>
      <c r="M2502" s="167">
        <v>3859819.8700000006</v>
      </c>
      <c r="N2502" s="167">
        <v>838250.45980410243</v>
      </c>
      <c r="O2502" s="167">
        <v>4698070.3298041029</v>
      </c>
      <c r="P2502" s="340">
        <f t="shared" ref="P2502:R2502" si="2215">P2503+P2510+P2517+P2520</f>
        <v>5833525.2599999998</v>
      </c>
      <c r="Q2502" s="340">
        <f t="shared" si="2215"/>
        <v>1125460.7800974844</v>
      </c>
      <c r="R2502" s="340">
        <f t="shared" si="2215"/>
        <v>6958986.0400974853</v>
      </c>
      <c r="S2502" s="150">
        <f t="shared" si="2184"/>
        <v>9278648.0534633137</v>
      </c>
      <c r="T2502" s="213"/>
      <c r="U2502" s="340">
        <f t="shared" ref="U2502:W2502" si="2216">U2503+U2510+U2517+U2520</f>
        <v>8192858.9399999985</v>
      </c>
      <c r="V2502" s="233">
        <f t="shared" si="2216"/>
        <v>1050927.0901299794</v>
      </c>
      <c r="W2502" s="340">
        <f t="shared" si="2216"/>
        <v>9243786.0301299784</v>
      </c>
      <c r="X2502" s="340">
        <v>8192858.9399999985</v>
      </c>
      <c r="Y2502" s="340">
        <v>1050927.0901299794</v>
      </c>
      <c r="Z2502" s="340">
        <v>9243786.0301299784</v>
      </c>
      <c r="AA2502" s="340">
        <f t="shared" si="2203"/>
        <v>0</v>
      </c>
      <c r="AB2502" s="340">
        <v>8192858.9399999985</v>
      </c>
      <c r="AC2502" s="233">
        <v>1050927.0901299794</v>
      </c>
      <c r="AD2502" s="340">
        <f t="shared" ref="AD2502" si="2217">AD2503+AD2510+AD2517+AD2520</f>
        <v>9243786.0301299784</v>
      </c>
      <c r="AE2502" s="340">
        <v>9240068.4701299779</v>
      </c>
      <c r="AF2502" s="169" t="s">
        <v>4680</v>
      </c>
      <c r="AG2502" s="342">
        <v>8209362.0099999988</v>
      </c>
      <c r="AH2502" s="233">
        <v>1030706.4601299793</v>
      </c>
      <c r="AI2502" s="340">
        <v>9240068.4701299779</v>
      </c>
      <c r="AJ2502" s="169">
        <f t="shared" si="2204"/>
        <v>0</v>
      </c>
      <c r="AK2502" s="342">
        <v>8209362.0099999988</v>
      </c>
      <c r="AL2502" s="233">
        <v>1030706.4601299793</v>
      </c>
      <c r="AM2502" s="340">
        <f t="shared" ref="AM2502" si="2218">AM2503+AM2510+AM2517+AM2520</f>
        <v>9240068.4701299779</v>
      </c>
      <c r="AN2502" s="153">
        <f t="shared" si="2205"/>
        <v>95224.729870019481</v>
      </c>
      <c r="AO2502" s="154">
        <f t="shared" si="2206"/>
        <v>95224.729870019481</v>
      </c>
      <c r="AP2502" s="340">
        <v>9240068.4701299779</v>
      </c>
      <c r="AQ2502" s="342">
        <v>9335293.1999999974</v>
      </c>
      <c r="AR2502" s="233">
        <f t="shared" ref="AR2502:AS2502" si="2219">AR2503+AR2510+AR2517+AR2520</f>
        <v>0</v>
      </c>
      <c r="AS2502" s="340">
        <f t="shared" si="2219"/>
        <v>9335293.1999999974</v>
      </c>
      <c r="AT2502" s="155"/>
      <c r="AU2502" s="156">
        <f t="shared" si="2199"/>
        <v>-3717.5600000005215</v>
      </c>
      <c r="AV2502" s="156">
        <f t="shared" si="2200"/>
        <v>0</v>
      </c>
      <c r="AW2502" s="157"/>
      <c r="AX2502" s="150">
        <v>9243786.0301299784</v>
      </c>
      <c r="AY2502" s="340">
        <f t="shared" ref="AY2502:BA2502" si="2220">AY2503+AY2510+AY2517+AY2520</f>
        <v>4523856.2200000007</v>
      </c>
      <c r="AZ2502" s="340">
        <f t="shared" si="2220"/>
        <v>4641812.1408284474</v>
      </c>
      <c r="BA2502" s="340">
        <f t="shared" si="2220"/>
        <v>9165668.3608284462</v>
      </c>
      <c r="BB2502" s="263">
        <v>9</v>
      </c>
      <c r="BC2502" s="262" t="s">
        <v>632</v>
      </c>
      <c r="BD2502" s="262" t="s">
        <v>630</v>
      </c>
      <c r="BE2502" s="162" t="s">
        <v>630</v>
      </c>
      <c r="BF2502" s="262" t="s">
        <v>630</v>
      </c>
      <c r="BG2502" s="164" t="s">
        <v>11060</v>
      </c>
      <c r="BH2502" s="235">
        <f>BH2503+BH2510+BH2517+BH2520</f>
        <v>9335293.1999999974</v>
      </c>
      <c r="BI2502" s="263"/>
      <c r="BJ2502" s="262" t="s">
        <v>11061</v>
      </c>
      <c r="BK2502" s="263" t="s">
        <v>11059</v>
      </c>
      <c r="BL2502" s="164" t="s">
        <v>11062</v>
      </c>
      <c r="BM2502" s="349">
        <f>BM2503+BM2510+BM2517+BM2520</f>
        <v>9335293.1999999974</v>
      </c>
      <c r="BN2502" s="160"/>
      <c r="BO2502" s="161">
        <f t="shared" si="2208"/>
        <v>0</v>
      </c>
      <c r="BP2502" s="161"/>
    </row>
    <row r="2503" spans="1:68" ht="25.5">
      <c r="A2503" s="255" t="s">
        <v>11063</v>
      </c>
      <c r="B2503" s="174"/>
      <c r="C2503" s="175" t="s">
        <v>11064</v>
      </c>
      <c r="D2503" s="146" t="s">
        <v>4692</v>
      </c>
      <c r="E2503" s="175" t="s">
        <v>11064</v>
      </c>
      <c r="F2503" s="178">
        <v>8204182.4400000004</v>
      </c>
      <c r="G2503" s="177">
        <v>4828122.13</v>
      </c>
      <c r="H2503" s="177">
        <v>598981.70683933399</v>
      </c>
      <c r="I2503" s="177">
        <v>5427103.8368393341</v>
      </c>
      <c r="J2503" s="178">
        <f>J2504</f>
        <v>1647868.02</v>
      </c>
      <c r="K2503" s="178">
        <f>K2504</f>
        <v>415226.15</v>
      </c>
      <c r="L2503" s="178">
        <f t="shared" si="2169"/>
        <v>2063094.17</v>
      </c>
      <c r="M2503" s="178">
        <v>3761562.9600000004</v>
      </c>
      <c r="N2503" s="178">
        <v>838250.45980410243</v>
      </c>
      <c r="O2503" s="178">
        <v>4599813.4198041027</v>
      </c>
      <c r="P2503" s="319">
        <f t="shared" ref="P2503:AS2503" si="2221">P2504</f>
        <v>5598439.4399999995</v>
      </c>
      <c r="Q2503" s="319">
        <f t="shared" si="2221"/>
        <v>1125460.7800974844</v>
      </c>
      <c r="R2503" s="319">
        <f t="shared" si="2221"/>
        <v>6723900.220097485</v>
      </c>
      <c r="S2503" s="150">
        <f t="shared" si="2184"/>
        <v>8965200.2934633121</v>
      </c>
      <c r="T2503" s="213"/>
      <c r="U2503" s="319">
        <f t="shared" ref="U2503:W2503" si="2222">U2504</f>
        <v>7868580.8499999987</v>
      </c>
      <c r="V2503" s="222">
        <f t="shared" si="2222"/>
        <v>1030425.9834633126</v>
      </c>
      <c r="W2503" s="319">
        <f t="shared" si="2222"/>
        <v>8899006.8334633112</v>
      </c>
      <c r="X2503" s="319">
        <v>7868580.8499999987</v>
      </c>
      <c r="Y2503" s="319">
        <v>1030425.9834633126</v>
      </c>
      <c r="Z2503" s="319">
        <v>8899006.8334633112</v>
      </c>
      <c r="AA2503" s="319">
        <f t="shared" si="2203"/>
        <v>0</v>
      </c>
      <c r="AB2503" s="319">
        <v>7868580.8499999987</v>
      </c>
      <c r="AC2503" s="222">
        <v>1030425.9834633126</v>
      </c>
      <c r="AD2503" s="319">
        <f t="shared" si="2221"/>
        <v>8899006.8334633112</v>
      </c>
      <c r="AE2503" s="319">
        <v>8899006.8334633112</v>
      </c>
      <c r="AF2503" s="169" t="s">
        <v>4680</v>
      </c>
      <c r="AG2503" s="320">
        <v>7868580.8499999987</v>
      </c>
      <c r="AH2503" s="222">
        <v>1030425.9834633126</v>
      </c>
      <c r="AI2503" s="319">
        <v>8899006.8334633112</v>
      </c>
      <c r="AJ2503" s="169">
        <f t="shared" si="2204"/>
        <v>0</v>
      </c>
      <c r="AK2503" s="320">
        <v>7868580.8499999987</v>
      </c>
      <c r="AL2503" s="222">
        <v>1030425.9834633126</v>
      </c>
      <c r="AM2503" s="319">
        <f t="shared" si="2221"/>
        <v>8899006.8334633112</v>
      </c>
      <c r="AN2503" s="153">
        <f t="shared" si="2205"/>
        <v>95224.726536687464</v>
      </c>
      <c r="AO2503" s="154">
        <f t="shared" si="2206"/>
        <v>95224.726536687464</v>
      </c>
      <c r="AP2503" s="319">
        <v>8899006.8334633112</v>
      </c>
      <c r="AQ2503" s="320">
        <v>8994231.5599999987</v>
      </c>
      <c r="AR2503" s="222">
        <f t="shared" si="2221"/>
        <v>0</v>
      </c>
      <c r="AS2503" s="319">
        <f t="shared" si="2221"/>
        <v>8994231.5599999987</v>
      </c>
      <c r="AT2503" s="155"/>
      <c r="AU2503" s="156">
        <f t="shared" si="2199"/>
        <v>0</v>
      </c>
      <c r="AV2503" s="156">
        <f t="shared" si="2200"/>
        <v>0</v>
      </c>
      <c r="AW2503" s="157"/>
      <c r="AX2503" s="150">
        <v>8899006.8334633112</v>
      </c>
      <c r="AY2503" s="319">
        <f t="shared" ref="AY2503:BA2503" si="2223">AY2504</f>
        <v>4377681.4700000007</v>
      </c>
      <c r="AZ2503" s="319">
        <f t="shared" si="2223"/>
        <v>4651259.740828447</v>
      </c>
      <c r="BA2503" s="319">
        <f t="shared" si="2223"/>
        <v>9028941.2108284459</v>
      </c>
      <c r="BB2503" s="254">
        <v>9</v>
      </c>
      <c r="BC2503" s="255" t="s">
        <v>632</v>
      </c>
      <c r="BD2503" s="255" t="s">
        <v>632</v>
      </c>
      <c r="BE2503" s="173" t="s">
        <v>630</v>
      </c>
      <c r="BF2503" s="255" t="s">
        <v>630</v>
      </c>
      <c r="BG2503" s="175" t="s">
        <v>11064</v>
      </c>
      <c r="BH2503" s="224">
        <f>BH2504</f>
        <v>8994231.5599999987</v>
      </c>
      <c r="BI2503" s="254"/>
      <c r="BJ2503" s="255" t="s">
        <v>11065</v>
      </c>
      <c r="BK2503" s="255" t="s">
        <v>11063</v>
      </c>
      <c r="BL2503" s="175" t="s">
        <v>11066</v>
      </c>
      <c r="BM2503" s="337">
        <f>BM2504</f>
        <v>8994231.5599999987</v>
      </c>
      <c r="BN2503" s="160"/>
      <c r="BO2503" s="161">
        <f t="shared" si="2208"/>
        <v>0</v>
      </c>
      <c r="BP2503" s="161"/>
    </row>
    <row r="2504" spans="1:68" ht="25.5">
      <c r="A2504" s="256" t="s">
        <v>11063</v>
      </c>
      <c r="B2504" s="184"/>
      <c r="C2504" s="270" t="s">
        <v>11067</v>
      </c>
      <c r="D2504" s="146" t="s">
        <v>4692</v>
      </c>
      <c r="E2504" s="270" t="s">
        <v>11067</v>
      </c>
      <c r="F2504" s="382">
        <v>8204182.4400000004</v>
      </c>
      <c r="G2504" s="272">
        <v>1636386.97</v>
      </c>
      <c r="H2504" s="272">
        <v>138582.500539959</v>
      </c>
      <c r="I2504" s="272">
        <v>1774969.4705399589</v>
      </c>
      <c r="J2504" s="382">
        <f>SUM(J2505:J2509)</f>
        <v>1647868.02</v>
      </c>
      <c r="K2504" s="382">
        <f>SUM(K2505:K2509)</f>
        <v>415226.15</v>
      </c>
      <c r="L2504" s="382">
        <f t="shared" si="2169"/>
        <v>2063094.17</v>
      </c>
      <c r="M2504" s="382">
        <v>3761562.9600000004</v>
      </c>
      <c r="N2504" s="382">
        <v>838250.45980410243</v>
      </c>
      <c r="O2504" s="382">
        <v>4599813.4198041027</v>
      </c>
      <c r="P2504" s="383">
        <f t="shared" ref="P2504:R2504" si="2224">SUM(P2505:P2509)</f>
        <v>5598439.4399999995</v>
      </c>
      <c r="Q2504" s="383">
        <f t="shared" si="2224"/>
        <v>1125460.7800974844</v>
      </c>
      <c r="R2504" s="383">
        <f t="shared" si="2224"/>
        <v>6723900.220097485</v>
      </c>
      <c r="S2504" s="150">
        <f t="shared" si="2184"/>
        <v>8965200.2934633121</v>
      </c>
      <c r="T2504" s="213"/>
      <c r="U2504" s="383">
        <f t="shared" ref="U2504:W2504" si="2225">SUM(U2505:U2509)</f>
        <v>7868580.8499999987</v>
      </c>
      <c r="V2504" s="384">
        <f t="shared" si="2225"/>
        <v>1030425.9834633126</v>
      </c>
      <c r="W2504" s="383">
        <f t="shared" si="2225"/>
        <v>8899006.8334633112</v>
      </c>
      <c r="X2504" s="383">
        <v>7868580.8499999987</v>
      </c>
      <c r="Y2504" s="383">
        <v>1030425.9834633126</v>
      </c>
      <c r="Z2504" s="383">
        <v>8899006.8334633112</v>
      </c>
      <c r="AA2504" s="383">
        <f t="shared" si="2203"/>
        <v>0</v>
      </c>
      <c r="AB2504" s="383">
        <v>7868580.8499999987</v>
      </c>
      <c r="AC2504" s="384">
        <v>1030425.9834633126</v>
      </c>
      <c r="AD2504" s="383">
        <f t="shared" ref="AD2504" si="2226">SUM(AD2505:AD2509)</f>
        <v>8899006.8334633112</v>
      </c>
      <c r="AE2504" s="383">
        <v>8899006.8334633112</v>
      </c>
      <c r="AF2504" s="169" t="s">
        <v>4680</v>
      </c>
      <c r="AG2504" s="385">
        <v>7868580.8499999987</v>
      </c>
      <c r="AH2504" s="384">
        <v>1030425.9834633126</v>
      </c>
      <c r="AI2504" s="383">
        <v>8899006.8334633112</v>
      </c>
      <c r="AJ2504" s="169">
        <f t="shared" si="2204"/>
        <v>0</v>
      </c>
      <c r="AK2504" s="385">
        <v>7868580.8499999987</v>
      </c>
      <c r="AL2504" s="384">
        <v>1030425.9834633126</v>
      </c>
      <c r="AM2504" s="383">
        <f t="shared" ref="AM2504" si="2227">SUM(AM2505:AM2509)</f>
        <v>8899006.8334633112</v>
      </c>
      <c r="AN2504" s="153">
        <f t="shared" si="2205"/>
        <v>95224.726536687464</v>
      </c>
      <c r="AO2504" s="154">
        <f t="shared" si="2206"/>
        <v>95224.726536687464</v>
      </c>
      <c r="AP2504" s="383">
        <v>8899006.8334633112</v>
      </c>
      <c r="AQ2504" s="385">
        <v>8994231.5599999987</v>
      </c>
      <c r="AR2504" s="384">
        <f t="shared" ref="AR2504:AS2504" si="2228">SUM(AR2505:AR2509)</f>
        <v>0</v>
      </c>
      <c r="AS2504" s="385">
        <f t="shared" si="2228"/>
        <v>8994231.5599999987</v>
      </c>
      <c r="AT2504" s="155"/>
      <c r="AU2504" s="156">
        <f t="shared" si="2199"/>
        <v>0</v>
      </c>
      <c r="AV2504" s="156">
        <f t="shared" si="2200"/>
        <v>0</v>
      </c>
      <c r="AW2504" s="157"/>
      <c r="AX2504" s="150">
        <v>8899006.8334633112</v>
      </c>
      <c r="AY2504" s="383">
        <f t="shared" ref="AY2504:BA2504" si="2229">SUM(AY2505:AY2509)</f>
        <v>4377681.4700000007</v>
      </c>
      <c r="AZ2504" s="383">
        <f t="shared" si="2229"/>
        <v>4651259.740828447</v>
      </c>
      <c r="BA2504" s="383">
        <f t="shared" si="2229"/>
        <v>9028941.2108284459</v>
      </c>
      <c r="BB2504" s="192">
        <v>9</v>
      </c>
      <c r="BC2504" s="256" t="s">
        <v>632</v>
      </c>
      <c r="BD2504" s="256" t="s">
        <v>632</v>
      </c>
      <c r="BE2504" s="256" t="s">
        <v>632</v>
      </c>
      <c r="BF2504" s="256" t="s">
        <v>630</v>
      </c>
      <c r="BG2504" s="185" t="s">
        <v>11064</v>
      </c>
      <c r="BH2504" s="215">
        <f>BH2505+BH2509</f>
        <v>8994231.5599999987</v>
      </c>
      <c r="BI2504" s="192"/>
      <c r="BJ2504" s="256" t="s">
        <v>11065</v>
      </c>
      <c r="BK2504" s="256" t="s">
        <v>11063</v>
      </c>
      <c r="BL2504" s="185" t="s">
        <v>11066</v>
      </c>
      <c r="BM2504" s="338">
        <f>BM2505+BM2509</f>
        <v>8994231.5599999987</v>
      </c>
      <c r="BN2504" s="160"/>
      <c r="BO2504" s="161">
        <f t="shared" si="2208"/>
        <v>0</v>
      </c>
      <c r="BP2504" s="161"/>
    </row>
    <row r="2505" spans="1:68" ht="25.5">
      <c r="A2505" s="206" t="s">
        <v>11063</v>
      </c>
      <c r="B2505" s="195" t="s">
        <v>11068</v>
      </c>
      <c r="C2505" s="196" t="s">
        <v>11067</v>
      </c>
      <c r="D2505" s="146" t="s">
        <v>4692</v>
      </c>
      <c r="E2505" s="196" t="s">
        <v>11067</v>
      </c>
      <c r="F2505" s="150">
        <v>5357873.08</v>
      </c>
      <c r="G2505" s="209">
        <v>929186.93</v>
      </c>
      <c r="H2505" s="209">
        <v>197105.96772538149</v>
      </c>
      <c r="I2505" s="209">
        <v>1126292.8977253814</v>
      </c>
      <c r="J2505" s="150">
        <v>1065630.19</v>
      </c>
      <c r="K2505" s="150">
        <v>316196.86</v>
      </c>
      <c r="L2505" s="150">
        <f t="shared" si="2169"/>
        <v>1381827.0499999998</v>
      </c>
      <c r="M2505" s="150">
        <v>2290800.5299999998</v>
      </c>
      <c r="N2505" s="150">
        <v>519167.17209699051</v>
      </c>
      <c r="O2505" s="150">
        <v>2809967.7020969903</v>
      </c>
      <c r="P2505" s="150">
        <v>3427224.04</v>
      </c>
      <c r="Q2505" s="150">
        <v>695968.43080169475</v>
      </c>
      <c r="R2505" s="313">
        <f>P2505+Q2505</f>
        <v>4123192.4708016948</v>
      </c>
      <c r="S2505" s="150">
        <f t="shared" si="2184"/>
        <v>5497589.9610689264</v>
      </c>
      <c r="T2505" s="150"/>
      <c r="U2505" s="150">
        <v>4972104.67</v>
      </c>
      <c r="V2505" s="199">
        <v>525485.29106892645</v>
      </c>
      <c r="W2505" s="150">
        <f>U2505+V2505</f>
        <v>5497589.9610689264</v>
      </c>
      <c r="X2505" s="150">
        <v>4972104.67</v>
      </c>
      <c r="Y2505" s="150">
        <v>525485.29106892645</v>
      </c>
      <c r="Z2505" s="150">
        <v>5497589.9610689264</v>
      </c>
      <c r="AA2505" s="150">
        <f t="shared" si="2203"/>
        <v>0</v>
      </c>
      <c r="AB2505" s="150">
        <v>4972104.67</v>
      </c>
      <c r="AC2505" s="199">
        <v>525485.29106892645</v>
      </c>
      <c r="AD2505" s="150">
        <f>AB2505+AC2505</f>
        <v>5497589.9610689264</v>
      </c>
      <c r="AE2505" s="150">
        <v>5497589.9610689264</v>
      </c>
      <c r="AF2505" s="169" t="s">
        <v>4680</v>
      </c>
      <c r="AG2505" s="201">
        <v>4972104.67</v>
      </c>
      <c r="AH2505" s="199">
        <v>525485.29106892645</v>
      </c>
      <c r="AI2505" s="150">
        <v>5497589.9610689264</v>
      </c>
      <c r="AJ2505" s="169">
        <f t="shared" si="2204"/>
        <v>0</v>
      </c>
      <c r="AK2505" s="201">
        <v>4972104.67</v>
      </c>
      <c r="AL2505" s="199">
        <v>525485.29106892645</v>
      </c>
      <c r="AM2505" s="150">
        <v>5497589.9610689264</v>
      </c>
      <c r="AN2505" s="153">
        <f t="shared" si="2205"/>
        <v>-5776.0710689267144</v>
      </c>
      <c r="AO2505" s="154">
        <f t="shared" si="2206"/>
        <v>-5776.0710689267144</v>
      </c>
      <c r="AP2505" s="150">
        <v>5497589.9610689264</v>
      </c>
      <c r="AQ2505" s="201">
        <v>5491813.8899999997</v>
      </c>
      <c r="AR2505" s="199"/>
      <c r="AS2505" s="150">
        <f t="shared" ref="AS2505:AS2509" si="2230">AQ2505+AR2505</f>
        <v>5491813.8899999997</v>
      </c>
      <c r="AT2505" s="155"/>
      <c r="AU2505" s="156">
        <f t="shared" si="2199"/>
        <v>0</v>
      </c>
      <c r="AV2505" s="156">
        <f t="shared" si="2200"/>
        <v>0</v>
      </c>
      <c r="AW2505" s="157"/>
      <c r="AX2505" s="150">
        <v>5497589.9610689264</v>
      </c>
      <c r="AY2505" s="150">
        <v>2674304.9300000002</v>
      </c>
      <c r="AZ2505" s="150">
        <f>BA2505-AY2505</f>
        <v>3345462.705414223</v>
      </c>
      <c r="BA2505" s="150">
        <v>6019767.6354142232</v>
      </c>
      <c r="BB2505" s="202">
        <v>9</v>
      </c>
      <c r="BC2505" s="202" t="s">
        <v>632</v>
      </c>
      <c r="BD2505" s="202" t="s">
        <v>632</v>
      </c>
      <c r="BE2505" s="202" t="s">
        <v>632</v>
      </c>
      <c r="BF2505" s="202" t="s">
        <v>632</v>
      </c>
      <c r="BG2505" s="203" t="s">
        <v>11064</v>
      </c>
      <c r="BH2505" s="216">
        <f>SUM(AS2505:AS2508)</f>
        <v>8931458.1899999995</v>
      </c>
      <c r="BI2505" s="205"/>
      <c r="BJ2505" s="206" t="s">
        <v>11065</v>
      </c>
      <c r="BK2505" s="206" t="s">
        <v>11063</v>
      </c>
      <c r="BL2505" s="207" t="s">
        <v>11066</v>
      </c>
      <c r="BM2505" s="208">
        <f>BH2505</f>
        <v>8931458.1899999995</v>
      </c>
      <c r="BN2505" s="160"/>
      <c r="BO2505" s="161"/>
      <c r="BP2505" s="161"/>
    </row>
    <row r="2506" spans="1:68">
      <c r="A2506" s="210"/>
      <c r="B2506" s="195" t="s">
        <v>11069</v>
      </c>
      <c r="C2506" s="196" t="s">
        <v>11070</v>
      </c>
      <c r="D2506" s="146" t="s">
        <v>4692</v>
      </c>
      <c r="E2506" s="196" t="s">
        <v>11070</v>
      </c>
      <c r="F2506" s="150">
        <v>1639407.34</v>
      </c>
      <c r="G2506" s="209">
        <v>7118.3</v>
      </c>
      <c r="H2506" s="209">
        <v>765.2187053252552</v>
      </c>
      <c r="I2506" s="209">
        <v>7883.5187053252557</v>
      </c>
      <c r="J2506" s="150">
        <v>374671.1</v>
      </c>
      <c r="K2506" s="150">
        <v>0</v>
      </c>
      <c r="L2506" s="150">
        <f t="shared" si="2169"/>
        <v>374671.1</v>
      </c>
      <c r="M2506" s="150">
        <v>1017191.1</v>
      </c>
      <c r="N2506" s="150">
        <v>153220.88844274718</v>
      </c>
      <c r="O2506" s="150">
        <v>1170411.9884427472</v>
      </c>
      <c r="P2506" s="150">
        <v>1428668.25</v>
      </c>
      <c r="Q2506" s="150">
        <v>216151.9645069461</v>
      </c>
      <c r="R2506" s="313">
        <f>P2506+Q2506</f>
        <v>1644820.214506946</v>
      </c>
      <c r="S2506" s="150">
        <f t="shared" si="2184"/>
        <v>2193093.6193425949</v>
      </c>
      <c r="T2506" s="150"/>
      <c r="U2506" s="309">
        <v>1817058.8</v>
      </c>
      <c r="V2506" s="199">
        <v>309841.35934259486</v>
      </c>
      <c r="W2506" s="150">
        <f>U2506+V2506</f>
        <v>2126900.1593425949</v>
      </c>
      <c r="X2506" s="150">
        <v>1817058.8</v>
      </c>
      <c r="Y2506" s="150">
        <v>309841.35934259486</v>
      </c>
      <c r="Z2506" s="150">
        <v>2126900.1593425949</v>
      </c>
      <c r="AA2506" s="150">
        <f t="shared" si="2203"/>
        <v>0</v>
      </c>
      <c r="AB2506" s="150">
        <v>1817058.8</v>
      </c>
      <c r="AC2506" s="199">
        <v>309841.35934259486</v>
      </c>
      <c r="AD2506" s="150">
        <f>AB2506+AC2506</f>
        <v>2126900.1593425949</v>
      </c>
      <c r="AE2506" s="150">
        <v>2126900.1593425949</v>
      </c>
      <c r="AF2506" s="169" t="s">
        <v>4680</v>
      </c>
      <c r="AG2506" s="201">
        <v>1817058.8</v>
      </c>
      <c r="AH2506" s="199">
        <v>309841.35934259486</v>
      </c>
      <c r="AI2506" s="150">
        <v>2126900.1593425949</v>
      </c>
      <c r="AJ2506" s="169">
        <f t="shared" si="2204"/>
        <v>0</v>
      </c>
      <c r="AK2506" s="201">
        <v>1817058.8</v>
      </c>
      <c r="AL2506" s="199">
        <v>309841.35934259486</v>
      </c>
      <c r="AM2506" s="150">
        <v>2126900.1593425949</v>
      </c>
      <c r="AN2506" s="153">
        <f t="shared" si="2205"/>
        <v>101000.80065740505</v>
      </c>
      <c r="AO2506" s="154">
        <f t="shared" si="2206"/>
        <v>101000.80065740505</v>
      </c>
      <c r="AP2506" s="150">
        <v>2126900.1593425949</v>
      </c>
      <c r="AQ2506" s="201">
        <v>2227900.96</v>
      </c>
      <c r="AR2506" s="199"/>
      <c r="AS2506" s="150">
        <f t="shared" si="2230"/>
        <v>2227900.96</v>
      </c>
      <c r="AT2506" s="155"/>
      <c r="AU2506" s="156">
        <f t="shared" si="2199"/>
        <v>0</v>
      </c>
      <c r="AV2506" s="156">
        <f t="shared" si="2200"/>
        <v>0</v>
      </c>
      <c r="AW2506" s="157"/>
      <c r="AX2506" s="150">
        <v>2126900.1593425949</v>
      </c>
      <c r="AY2506" s="150">
        <v>1156731.93</v>
      </c>
      <c r="AZ2506" s="150">
        <f>BA2506-AY2506</f>
        <v>613574.18688549451</v>
      </c>
      <c r="BA2506" s="150">
        <v>1770306.1168854944</v>
      </c>
      <c r="BB2506" s="210"/>
      <c r="BC2506" s="210"/>
      <c r="BD2506" s="210"/>
      <c r="BE2506" s="210"/>
      <c r="BF2506" s="210"/>
      <c r="BG2506" s="210"/>
      <c r="BH2506" s="217"/>
      <c r="BI2506" s="210"/>
      <c r="BJ2506" s="210"/>
      <c r="BK2506" s="210"/>
      <c r="BL2506" s="210"/>
      <c r="BM2506" s="208"/>
      <c r="BN2506" s="160"/>
      <c r="BO2506" s="161"/>
      <c r="BP2506" s="161"/>
    </row>
    <row r="2507" spans="1:68">
      <c r="A2507" s="210"/>
      <c r="B2507" s="195" t="s">
        <v>11071</v>
      </c>
      <c r="C2507" s="196" t="s">
        <v>11072</v>
      </c>
      <c r="D2507" s="146" t="s">
        <v>4692</v>
      </c>
      <c r="E2507" s="196" t="s">
        <v>11072</v>
      </c>
      <c r="F2507" s="150">
        <v>1126292.8999999999</v>
      </c>
      <c r="G2507" s="209">
        <v>45844.78</v>
      </c>
      <c r="H2507" s="209">
        <v>26880.83</v>
      </c>
      <c r="I2507" s="209">
        <v>72725.61</v>
      </c>
      <c r="J2507" s="150">
        <v>205709.97</v>
      </c>
      <c r="K2507" s="150">
        <v>79736.179999999993</v>
      </c>
      <c r="L2507" s="150">
        <f t="shared" ref="L2507:L2533" si="2231">J2507+K2507</f>
        <v>285446.15000000002</v>
      </c>
      <c r="M2507" s="150">
        <v>437172.78</v>
      </c>
      <c r="N2507" s="150">
        <v>134809.84897746402</v>
      </c>
      <c r="O2507" s="150">
        <v>571982.62897746405</v>
      </c>
      <c r="P2507" s="150">
        <v>685650.35</v>
      </c>
      <c r="Q2507" s="150">
        <v>207272.98098533737</v>
      </c>
      <c r="R2507" s="313">
        <f>P2507+Q2507</f>
        <v>892923.33098533738</v>
      </c>
      <c r="S2507" s="150">
        <f t="shared" si="2184"/>
        <v>1190564.4413137832</v>
      </c>
      <c r="T2507" s="150"/>
      <c r="U2507" s="150">
        <v>984649.23</v>
      </c>
      <c r="V2507" s="199">
        <v>205915.21131378319</v>
      </c>
      <c r="W2507" s="150">
        <f>U2507+V2507</f>
        <v>1190564.4413137832</v>
      </c>
      <c r="X2507" s="150">
        <v>984649.23</v>
      </c>
      <c r="Y2507" s="150">
        <v>205915.21131378319</v>
      </c>
      <c r="Z2507" s="150">
        <v>1190564.4413137832</v>
      </c>
      <c r="AA2507" s="150">
        <f t="shared" si="2203"/>
        <v>0</v>
      </c>
      <c r="AB2507" s="150">
        <v>984649.23</v>
      </c>
      <c r="AC2507" s="199">
        <v>205915.21131378319</v>
      </c>
      <c r="AD2507" s="150">
        <f>AB2507+AC2507</f>
        <v>1190564.4413137832</v>
      </c>
      <c r="AE2507" s="150">
        <v>1190564.4413137832</v>
      </c>
      <c r="AF2507" s="169" t="s">
        <v>4680</v>
      </c>
      <c r="AG2507" s="201">
        <v>984649.23</v>
      </c>
      <c r="AH2507" s="199">
        <v>205915.21131378319</v>
      </c>
      <c r="AI2507" s="150">
        <v>1190564.4413137832</v>
      </c>
      <c r="AJ2507" s="169">
        <f t="shared" si="2204"/>
        <v>0</v>
      </c>
      <c r="AK2507" s="201">
        <v>984649.23</v>
      </c>
      <c r="AL2507" s="199">
        <v>205915.21131378319</v>
      </c>
      <c r="AM2507" s="150">
        <v>1190564.4413137832</v>
      </c>
      <c r="AN2507" s="153">
        <f t="shared" si="2205"/>
        <v>-1.3137832283973694E-3</v>
      </c>
      <c r="AO2507" s="154">
        <f t="shared" si="2206"/>
        <v>-1.3137832283973694E-3</v>
      </c>
      <c r="AP2507" s="150">
        <v>1190564.4413137832</v>
      </c>
      <c r="AQ2507" s="201">
        <v>1190564.44</v>
      </c>
      <c r="AR2507" s="199"/>
      <c r="AS2507" s="150">
        <f t="shared" si="2230"/>
        <v>1190564.44</v>
      </c>
      <c r="AT2507" s="155"/>
      <c r="AU2507" s="156">
        <f t="shared" si="2199"/>
        <v>0</v>
      </c>
      <c r="AV2507" s="156">
        <f t="shared" si="2200"/>
        <v>0</v>
      </c>
      <c r="AW2507" s="157"/>
      <c r="AX2507" s="150">
        <v>1190564.4413137832</v>
      </c>
      <c r="AY2507" s="150">
        <v>515186.99</v>
      </c>
      <c r="AZ2507" s="150">
        <f>BA2507-AY2507</f>
        <v>628778.2679549281</v>
      </c>
      <c r="BA2507" s="150">
        <v>1143965.2579549281</v>
      </c>
      <c r="BB2507" s="210"/>
      <c r="BC2507" s="210"/>
      <c r="BD2507" s="210"/>
      <c r="BE2507" s="210"/>
      <c r="BF2507" s="210"/>
      <c r="BG2507" s="210"/>
      <c r="BH2507" s="217"/>
      <c r="BI2507" s="210"/>
      <c r="BJ2507" s="210"/>
      <c r="BK2507" s="210"/>
      <c r="BL2507" s="210"/>
      <c r="BM2507" s="208"/>
      <c r="BN2507" s="160"/>
      <c r="BO2507" s="161"/>
      <c r="BP2507" s="161"/>
    </row>
    <row r="2508" spans="1:68">
      <c r="A2508" s="210"/>
      <c r="B2508" s="195" t="s">
        <v>11073</v>
      </c>
      <c r="C2508" s="196" t="s">
        <v>11074</v>
      </c>
      <c r="D2508" s="146" t="s">
        <v>4692</v>
      </c>
      <c r="E2508" s="196" t="s">
        <v>11074</v>
      </c>
      <c r="F2508" s="150">
        <v>7883.51</v>
      </c>
      <c r="G2508" s="209">
        <v>146083.20000000001</v>
      </c>
      <c r="H2508" s="209">
        <v>0</v>
      </c>
      <c r="I2508" s="209">
        <v>146083.20000000001</v>
      </c>
      <c r="J2508" s="150">
        <v>1856.76</v>
      </c>
      <c r="K2508" s="150">
        <v>1111.71</v>
      </c>
      <c r="L2508" s="150">
        <f t="shared" si="2231"/>
        <v>2968.4700000000003</v>
      </c>
      <c r="M2508" s="150">
        <v>6423.24</v>
      </c>
      <c r="N2508" s="150">
        <v>4665.0502869006741</v>
      </c>
      <c r="O2508" s="150">
        <v>11088.290286900674</v>
      </c>
      <c r="P2508" s="150">
        <v>9816.77</v>
      </c>
      <c r="Q2508" s="150">
        <v>6067.4038035061249</v>
      </c>
      <c r="R2508" s="313">
        <f>P2508+Q2508</f>
        <v>15884.173803506124</v>
      </c>
      <c r="S2508" s="150">
        <f t="shared" si="2184"/>
        <v>21178.898404674834</v>
      </c>
      <c r="T2508" s="150"/>
      <c r="U2508" s="150">
        <v>12282.56</v>
      </c>
      <c r="V2508" s="199">
        <v>8896.3384046748342</v>
      </c>
      <c r="W2508" s="150">
        <f>U2508+V2508</f>
        <v>21178.898404674834</v>
      </c>
      <c r="X2508" s="150">
        <v>12282.56</v>
      </c>
      <c r="Y2508" s="150">
        <v>8896.3384046748342</v>
      </c>
      <c r="Z2508" s="150">
        <v>21178.898404674834</v>
      </c>
      <c r="AA2508" s="150">
        <f t="shared" si="2203"/>
        <v>0</v>
      </c>
      <c r="AB2508" s="150">
        <v>12282.56</v>
      </c>
      <c r="AC2508" s="199">
        <v>8896.3384046748342</v>
      </c>
      <c r="AD2508" s="150">
        <f>AB2508+AC2508</f>
        <v>21178.898404674834</v>
      </c>
      <c r="AE2508" s="150">
        <v>21178.898404674834</v>
      </c>
      <c r="AF2508" s="169" t="s">
        <v>4680</v>
      </c>
      <c r="AG2508" s="201">
        <v>12282.56</v>
      </c>
      <c r="AH2508" s="199">
        <v>8896.3384046748342</v>
      </c>
      <c r="AI2508" s="150">
        <v>21178.898404674834</v>
      </c>
      <c r="AJ2508" s="169">
        <f t="shared" si="2204"/>
        <v>0</v>
      </c>
      <c r="AK2508" s="201">
        <v>12282.56</v>
      </c>
      <c r="AL2508" s="199">
        <v>8896.3384046748342</v>
      </c>
      <c r="AM2508" s="150">
        <v>21178.898404674834</v>
      </c>
      <c r="AN2508" s="153">
        <f t="shared" si="2205"/>
        <v>1.5953251677274238E-3</v>
      </c>
      <c r="AO2508" s="154">
        <f t="shared" si="2206"/>
        <v>1.5953251677274238E-3</v>
      </c>
      <c r="AP2508" s="150">
        <v>21178.898404674834</v>
      </c>
      <c r="AQ2508" s="201">
        <v>21178.9</v>
      </c>
      <c r="AR2508" s="199"/>
      <c r="AS2508" s="150">
        <f t="shared" si="2230"/>
        <v>21178.9</v>
      </c>
      <c r="AT2508" s="155"/>
      <c r="AU2508" s="156">
        <f t="shared" si="2199"/>
        <v>0</v>
      </c>
      <c r="AV2508" s="156">
        <f t="shared" si="2200"/>
        <v>0</v>
      </c>
      <c r="AW2508" s="157"/>
      <c r="AX2508" s="150">
        <v>21178.898404674834</v>
      </c>
      <c r="AY2508" s="150">
        <v>7652.7</v>
      </c>
      <c r="AZ2508" s="150">
        <f>BA2508-AY2508</f>
        <v>14523.880573801347</v>
      </c>
      <c r="BA2508" s="150">
        <v>22176.580573801348</v>
      </c>
      <c r="BB2508" s="210"/>
      <c r="BC2508" s="210"/>
      <c r="BD2508" s="210"/>
      <c r="BE2508" s="210"/>
      <c r="BF2508" s="210"/>
      <c r="BG2508" s="210"/>
      <c r="BH2508" s="217"/>
      <c r="BI2508" s="210"/>
      <c r="BJ2508" s="210"/>
      <c r="BK2508" s="210"/>
      <c r="BL2508" s="210"/>
      <c r="BM2508" s="208"/>
      <c r="BN2508" s="160"/>
      <c r="BO2508" s="161"/>
      <c r="BP2508" s="161"/>
    </row>
    <row r="2509" spans="1:68" ht="25.5">
      <c r="A2509" s="206" t="s">
        <v>11063</v>
      </c>
      <c r="B2509" s="386" t="s">
        <v>11075</v>
      </c>
      <c r="C2509" s="196" t="s">
        <v>11076</v>
      </c>
      <c r="D2509" s="146" t="s">
        <v>4692</v>
      </c>
      <c r="E2509" s="196" t="s">
        <v>11076</v>
      </c>
      <c r="F2509" s="150">
        <v>72725.61</v>
      </c>
      <c r="G2509" s="387">
        <v>146083.20000000001</v>
      </c>
      <c r="H2509" s="387">
        <v>0</v>
      </c>
      <c r="I2509" s="387">
        <v>146083.20000000001</v>
      </c>
      <c r="J2509" s="150">
        <v>0</v>
      </c>
      <c r="K2509" s="150">
        <v>18181.400000000001</v>
      </c>
      <c r="L2509" s="150">
        <f t="shared" si="2231"/>
        <v>18181.400000000001</v>
      </c>
      <c r="M2509" s="150">
        <v>9975.31</v>
      </c>
      <c r="N2509" s="150">
        <v>26387.5</v>
      </c>
      <c r="O2509" s="150">
        <v>36362.81</v>
      </c>
      <c r="P2509" s="150">
        <v>47080.03</v>
      </c>
      <c r="Q2509" s="150">
        <v>0</v>
      </c>
      <c r="R2509" s="313">
        <f>P2509+Q2509</f>
        <v>47080.03</v>
      </c>
      <c r="S2509" s="150">
        <f t="shared" si="2184"/>
        <v>62773.373333333337</v>
      </c>
      <c r="T2509" s="150"/>
      <c r="U2509" s="150">
        <v>82485.59</v>
      </c>
      <c r="V2509" s="199">
        <v>-19712.216666666667</v>
      </c>
      <c r="W2509" s="150">
        <f>U2509+V2509</f>
        <v>62773.373333333329</v>
      </c>
      <c r="X2509" s="150">
        <v>82485.59</v>
      </c>
      <c r="Y2509" s="150">
        <v>-19712.216666666667</v>
      </c>
      <c r="Z2509" s="150">
        <v>62773.373333333329</v>
      </c>
      <c r="AA2509" s="150">
        <f t="shared" si="2203"/>
        <v>0</v>
      </c>
      <c r="AB2509" s="150">
        <v>82485.59</v>
      </c>
      <c r="AC2509" s="199">
        <v>-19712.216666666667</v>
      </c>
      <c r="AD2509" s="150">
        <f>AB2509+AC2509</f>
        <v>62773.373333333329</v>
      </c>
      <c r="AE2509" s="150">
        <v>62773.373333333329</v>
      </c>
      <c r="AF2509" s="169" t="s">
        <v>4680</v>
      </c>
      <c r="AG2509" s="201">
        <v>82485.59</v>
      </c>
      <c r="AH2509" s="199">
        <v>-19712.216666666667</v>
      </c>
      <c r="AI2509" s="150">
        <v>62773.373333333329</v>
      </c>
      <c r="AJ2509" s="169">
        <f t="shared" si="2204"/>
        <v>0</v>
      </c>
      <c r="AK2509" s="201">
        <v>82485.59</v>
      </c>
      <c r="AL2509" s="199">
        <v>-19712.216666666667</v>
      </c>
      <c r="AM2509" s="150">
        <v>62773.373333333329</v>
      </c>
      <c r="AN2509" s="153">
        <f t="shared" si="2205"/>
        <v>-3.3333333267364651E-3</v>
      </c>
      <c r="AO2509" s="154">
        <f t="shared" si="2206"/>
        <v>-3.3333333267364651E-3</v>
      </c>
      <c r="AP2509" s="150">
        <v>62773.373333333329</v>
      </c>
      <c r="AQ2509" s="201">
        <v>62773.37</v>
      </c>
      <c r="AR2509" s="199"/>
      <c r="AS2509" s="150">
        <f t="shared" si="2230"/>
        <v>62773.37</v>
      </c>
      <c r="AT2509" s="155"/>
      <c r="AU2509" s="156">
        <f t="shared" si="2199"/>
        <v>0</v>
      </c>
      <c r="AV2509" s="156">
        <f t="shared" si="2200"/>
        <v>0</v>
      </c>
      <c r="AW2509" s="157"/>
      <c r="AX2509" s="150">
        <v>62773.373333333329</v>
      </c>
      <c r="AY2509" s="150">
        <v>23804.92</v>
      </c>
      <c r="AZ2509" s="150">
        <f>BA2509-AY2509</f>
        <v>48920.7</v>
      </c>
      <c r="BA2509" s="150">
        <v>72725.62</v>
      </c>
      <c r="BB2509" s="202">
        <v>9</v>
      </c>
      <c r="BC2509" s="202" t="s">
        <v>632</v>
      </c>
      <c r="BD2509" s="202" t="s">
        <v>632</v>
      </c>
      <c r="BE2509" s="202" t="s">
        <v>632</v>
      </c>
      <c r="BF2509" s="194" t="s">
        <v>647</v>
      </c>
      <c r="BG2509" s="203" t="s">
        <v>11077</v>
      </c>
      <c r="BH2509" s="216">
        <f>AS2509</f>
        <v>62773.37</v>
      </c>
      <c r="BI2509" s="205"/>
      <c r="BJ2509" s="206" t="s">
        <v>11065</v>
      </c>
      <c r="BK2509" s="206" t="s">
        <v>11063</v>
      </c>
      <c r="BL2509" s="207" t="s">
        <v>11066</v>
      </c>
      <c r="BM2509" s="208">
        <f>BH2509</f>
        <v>62773.37</v>
      </c>
      <c r="BN2509" s="160"/>
      <c r="BO2509" s="161">
        <f t="shared" si="2208"/>
        <v>0</v>
      </c>
      <c r="BP2509" s="161"/>
    </row>
    <row r="2510" spans="1:68" ht="38.25">
      <c r="A2510" s="255" t="s">
        <v>11078</v>
      </c>
      <c r="B2510" s="174"/>
      <c r="C2510" s="175" t="s">
        <v>11079</v>
      </c>
      <c r="D2510" s="146" t="s">
        <v>4692</v>
      </c>
      <c r="E2510" s="175" t="s">
        <v>11079</v>
      </c>
      <c r="F2510" s="178">
        <v>146083.20000000001</v>
      </c>
      <c r="G2510" s="177">
        <v>146083.20000000001</v>
      </c>
      <c r="H2510" s="177"/>
      <c r="I2510" s="177">
        <v>146083.20000000001</v>
      </c>
      <c r="J2510" s="178">
        <f>J2511</f>
        <v>22745.46</v>
      </c>
      <c r="K2510" s="178">
        <f>K2511</f>
        <v>0</v>
      </c>
      <c r="L2510" s="178">
        <f t="shared" si="2231"/>
        <v>22745.46</v>
      </c>
      <c r="M2510" s="178">
        <v>55505.5</v>
      </c>
      <c r="N2510" s="178">
        <v>0</v>
      </c>
      <c r="O2510" s="178">
        <v>55505.5</v>
      </c>
      <c r="P2510" s="319">
        <f t="shared" ref="P2510:AS2510" si="2232">P2511</f>
        <v>83637.95</v>
      </c>
      <c r="Q2510" s="319">
        <f t="shared" si="2232"/>
        <v>0</v>
      </c>
      <c r="R2510" s="319">
        <f t="shared" si="2232"/>
        <v>83637.95</v>
      </c>
      <c r="S2510" s="150">
        <f t="shared" si="2184"/>
        <v>111517.26666666666</v>
      </c>
      <c r="T2510" s="213"/>
      <c r="U2510" s="319">
        <f t="shared" ref="U2510:W2510" si="2233">U2511</f>
        <v>111236.79</v>
      </c>
      <c r="V2510" s="222">
        <f t="shared" si="2233"/>
        <v>280.47666666666919</v>
      </c>
      <c r="W2510" s="319">
        <f t="shared" si="2233"/>
        <v>111517.26666666666</v>
      </c>
      <c r="X2510" s="319">
        <v>111236.79</v>
      </c>
      <c r="Y2510" s="319">
        <v>280.47666666666919</v>
      </c>
      <c r="Z2510" s="319">
        <v>111517.26666666666</v>
      </c>
      <c r="AA2510" s="319">
        <f t="shared" si="2203"/>
        <v>0</v>
      </c>
      <c r="AB2510" s="319">
        <v>111236.79</v>
      </c>
      <c r="AC2510" s="222">
        <v>280.47666666666919</v>
      </c>
      <c r="AD2510" s="319">
        <f t="shared" si="2232"/>
        <v>111517.26666666666</v>
      </c>
      <c r="AE2510" s="319">
        <v>111517.26666666666</v>
      </c>
      <c r="AF2510" s="169" t="s">
        <v>4680</v>
      </c>
      <c r="AG2510" s="320">
        <v>111236.79</v>
      </c>
      <c r="AH2510" s="222">
        <v>280.47666666666919</v>
      </c>
      <c r="AI2510" s="319">
        <v>111517.26666666666</v>
      </c>
      <c r="AJ2510" s="169">
        <f t="shared" si="2204"/>
        <v>0</v>
      </c>
      <c r="AK2510" s="320">
        <v>111236.79</v>
      </c>
      <c r="AL2510" s="222">
        <v>280.47666666666919</v>
      </c>
      <c r="AM2510" s="319">
        <f t="shared" si="2232"/>
        <v>111517.26666666666</v>
      </c>
      <c r="AN2510" s="153">
        <f t="shared" si="2205"/>
        <v>3.3333333412883803E-3</v>
      </c>
      <c r="AO2510" s="154">
        <f t="shared" si="2206"/>
        <v>3.3333333412883803E-3</v>
      </c>
      <c r="AP2510" s="319">
        <v>111517.26666666666</v>
      </c>
      <c r="AQ2510" s="320">
        <v>111517.27</v>
      </c>
      <c r="AR2510" s="222">
        <f t="shared" si="2232"/>
        <v>0</v>
      </c>
      <c r="AS2510" s="319">
        <f t="shared" si="2232"/>
        <v>111517.27</v>
      </c>
      <c r="AT2510" s="155"/>
      <c r="AU2510" s="156">
        <f t="shared" si="2199"/>
        <v>0</v>
      </c>
      <c r="AV2510" s="156">
        <f t="shared" si="2200"/>
        <v>0</v>
      </c>
      <c r="AW2510" s="157"/>
      <c r="AX2510" s="150">
        <v>111517.26666666666</v>
      </c>
      <c r="AY2510" s="319">
        <f t="shared" ref="AY2510:BA2510" si="2234">AY2511</f>
        <v>64953.1</v>
      </c>
      <c r="AZ2510" s="319">
        <f t="shared" si="2234"/>
        <v>-9447.5999999999985</v>
      </c>
      <c r="BA2510" s="319">
        <f t="shared" si="2234"/>
        <v>55505.5</v>
      </c>
      <c r="BB2510" s="254">
        <v>9</v>
      </c>
      <c r="BC2510" s="255" t="s">
        <v>632</v>
      </c>
      <c r="BD2510" s="255" t="s">
        <v>647</v>
      </c>
      <c r="BE2510" s="173" t="s">
        <v>630</v>
      </c>
      <c r="BF2510" s="255" t="s">
        <v>630</v>
      </c>
      <c r="BG2510" s="175" t="s">
        <v>11079</v>
      </c>
      <c r="BH2510" s="224">
        <f>BH2511</f>
        <v>111517.27</v>
      </c>
      <c r="BI2510" s="254"/>
      <c r="BJ2510" s="255" t="s">
        <v>11080</v>
      </c>
      <c r="BK2510" s="255" t="s">
        <v>11078</v>
      </c>
      <c r="BL2510" s="182" t="s">
        <v>11081</v>
      </c>
      <c r="BM2510" s="337">
        <f>BM2511</f>
        <v>111517.27</v>
      </c>
      <c r="BN2510" s="160"/>
      <c r="BO2510" s="161">
        <f t="shared" si="2208"/>
        <v>0</v>
      </c>
      <c r="BP2510" s="161"/>
    </row>
    <row r="2511" spans="1:68" ht="38.25">
      <c r="A2511" s="256" t="s">
        <v>11078</v>
      </c>
      <c r="B2511" s="184"/>
      <c r="C2511" s="185" t="s">
        <v>11079</v>
      </c>
      <c r="D2511" s="146" t="s">
        <v>4692</v>
      </c>
      <c r="E2511" s="185" t="s">
        <v>11079</v>
      </c>
      <c r="F2511" s="188">
        <v>146083.20000000001</v>
      </c>
      <c r="G2511" s="187">
        <v>0</v>
      </c>
      <c r="H2511" s="187"/>
      <c r="I2511" s="187">
        <v>0</v>
      </c>
      <c r="J2511" s="188">
        <f>SUM(J2512:J2516)</f>
        <v>22745.46</v>
      </c>
      <c r="K2511" s="188">
        <f>SUM(K2512:K2516)</f>
        <v>0</v>
      </c>
      <c r="L2511" s="188">
        <f t="shared" si="2231"/>
        <v>22745.46</v>
      </c>
      <c r="M2511" s="188">
        <v>55505.5</v>
      </c>
      <c r="N2511" s="188">
        <v>0</v>
      </c>
      <c r="O2511" s="188">
        <v>55505.5</v>
      </c>
      <c r="P2511" s="299">
        <f t="shared" ref="P2511:R2511" si="2235">SUM(P2512:P2516)</f>
        <v>83637.95</v>
      </c>
      <c r="Q2511" s="299">
        <f t="shared" si="2235"/>
        <v>0</v>
      </c>
      <c r="R2511" s="299">
        <f t="shared" si="2235"/>
        <v>83637.95</v>
      </c>
      <c r="S2511" s="150">
        <f t="shared" si="2184"/>
        <v>111517.26666666666</v>
      </c>
      <c r="T2511" s="213"/>
      <c r="U2511" s="299">
        <f t="shared" ref="U2511:W2511" si="2236">SUM(U2512:U2516)</f>
        <v>111236.79</v>
      </c>
      <c r="V2511" s="226">
        <f t="shared" si="2236"/>
        <v>280.47666666666919</v>
      </c>
      <c r="W2511" s="299">
        <f t="shared" si="2236"/>
        <v>111517.26666666666</v>
      </c>
      <c r="X2511" s="299">
        <v>111236.79</v>
      </c>
      <c r="Y2511" s="299">
        <v>280.47666666666919</v>
      </c>
      <c r="Z2511" s="299">
        <v>111517.26666666666</v>
      </c>
      <c r="AA2511" s="299">
        <f t="shared" si="2203"/>
        <v>0</v>
      </c>
      <c r="AB2511" s="299">
        <v>111236.79</v>
      </c>
      <c r="AC2511" s="226">
        <v>280.47666666666919</v>
      </c>
      <c r="AD2511" s="299">
        <f t="shared" ref="AD2511" si="2237">SUM(AD2512:AD2516)</f>
        <v>111517.26666666666</v>
      </c>
      <c r="AE2511" s="299">
        <v>111517.26666666666</v>
      </c>
      <c r="AF2511" s="169" t="s">
        <v>4680</v>
      </c>
      <c r="AG2511" s="301">
        <v>111236.79</v>
      </c>
      <c r="AH2511" s="226">
        <v>280.47666666666919</v>
      </c>
      <c r="AI2511" s="299">
        <v>111517.26666666666</v>
      </c>
      <c r="AJ2511" s="169">
        <f t="shared" si="2204"/>
        <v>0</v>
      </c>
      <c r="AK2511" s="301">
        <v>111236.79</v>
      </c>
      <c r="AL2511" s="226">
        <v>280.47666666666919</v>
      </c>
      <c r="AM2511" s="299">
        <f t="shared" ref="AM2511" si="2238">SUM(AM2512:AM2516)</f>
        <v>111517.26666666666</v>
      </c>
      <c r="AN2511" s="153">
        <f t="shared" si="2205"/>
        <v>3.3333333412883803E-3</v>
      </c>
      <c r="AO2511" s="154">
        <f t="shared" si="2206"/>
        <v>3.3333333412883803E-3</v>
      </c>
      <c r="AP2511" s="299">
        <v>111517.26666666666</v>
      </c>
      <c r="AQ2511" s="301">
        <v>111517.27</v>
      </c>
      <c r="AR2511" s="226">
        <f t="shared" ref="AR2511:AS2511" si="2239">SUM(AR2512:AR2516)</f>
        <v>0</v>
      </c>
      <c r="AS2511" s="299">
        <f t="shared" si="2239"/>
        <v>111517.27</v>
      </c>
      <c r="AT2511" s="155"/>
      <c r="AU2511" s="156">
        <f t="shared" si="2199"/>
        <v>0</v>
      </c>
      <c r="AV2511" s="156">
        <f t="shared" si="2200"/>
        <v>0</v>
      </c>
      <c r="AW2511" s="157"/>
      <c r="AX2511" s="150">
        <v>111517.26666666666</v>
      </c>
      <c r="AY2511" s="299">
        <f t="shared" ref="AY2511:BA2511" si="2240">SUM(AY2512:AY2516)</f>
        <v>64953.1</v>
      </c>
      <c r="AZ2511" s="299">
        <f t="shared" si="2240"/>
        <v>-9447.5999999999985</v>
      </c>
      <c r="BA2511" s="299">
        <f t="shared" si="2240"/>
        <v>55505.5</v>
      </c>
      <c r="BB2511" s="192">
        <v>9</v>
      </c>
      <c r="BC2511" s="256" t="s">
        <v>632</v>
      </c>
      <c r="BD2511" s="256" t="s">
        <v>647</v>
      </c>
      <c r="BE2511" s="256" t="s">
        <v>632</v>
      </c>
      <c r="BF2511" s="256" t="s">
        <v>630</v>
      </c>
      <c r="BG2511" s="185" t="s">
        <v>11079</v>
      </c>
      <c r="BH2511" s="215">
        <f>BH2512</f>
        <v>111517.27</v>
      </c>
      <c r="BI2511" s="192"/>
      <c r="BJ2511" s="256" t="s">
        <v>11080</v>
      </c>
      <c r="BK2511" s="256" t="s">
        <v>11078</v>
      </c>
      <c r="BL2511" s="238" t="s">
        <v>11081</v>
      </c>
      <c r="BM2511" s="338">
        <f>BM2512</f>
        <v>111517.27</v>
      </c>
      <c r="BN2511" s="160"/>
      <c r="BO2511" s="161">
        <f t="shared" si="2208"/>
        <v>0</v>
      </c>
      <c r="BP2511" s="161"/>
    </row>
    <row r="2512" spans="1:68" ht="38.25">
      <c r="A2512" s="206" t="s">
        <v>11078</v>
      </c>
      <c r="B2512" s="195" t="s">
        <v>11082</v>
      </c>
      <c r="C2512" s="196" t="s">
        <v>11083</v>
      </c>
      <c r="D2512" s="146" t="s">
        <v>4692</v>
      </c>
      <c r="E2512" s="196" t="s">
        <v>11083</v>
      </c>
      <c r="F2512" s="150">
        <v>146083.20000000001</v>
      </c>
      <c r="G2512" s="209">
        <v>0</v>
      </c>
      <c r="H2512" s="209"/>
      <c r="I2512" s="209">
        <v>0</v>
      </c>
      <c r="J2512" s="150">
        <v>22745.46</v>
      </c>
      <c r="K2512" s="150">
        <v>0</v>
      </c>
      <c r="L2512" s="150">
        <f t="shared" si="2231"/>
        <v>22745.46</v>
      </c>
      <c r="M2512" s="150">
        <v>55505.5</v>
      </c>
      <c r="N2512" s="150">
        <v>0</v>
      </c>
      <c r="O2512" s="150">
        <v>55505.5</v>
      </c>
      <c r="P2512" s="150">
        <v>83637.95</v>
      </c>
      <c r="Q2512" s="150">
        <v>0</v>
      </c>
      <c r="R2512" s="313">
        <f>P2512+Q2512</f>
        <v>83637.95</v>
      </c>
      <c r="S2512" s="150">
        <f t="shared" si="2184"/>
        <v>111517.26666666666</v>
      </c>
      <c r="T2512" s="150"/>
      <c r="U2512" s="150">
        <v>111236.79</v>
      </c>
      <c r="V2512" s="199">
        <v>280.47666666666919</v>
      </c>
      <c r="W2512" s="150">
        <f>U2512+V2512</f>
        <v>111517.26666666666</v>
      </c>
      <c r="X2512" s="150">
        <v>111236.79</v>
      </c>
      <c r="Y2512" s="150">
        <v>280.47666666666919</v>
      </c>
      <c r="Z2512" s="150">
        <v>111517.26666666666</v>
      </c>
      <c r="AA2512" s="150">
        <f t="shared" si="2203"/>
        <v>0</v>
      </c>
      <c r="AB2512" s="150">
        <v>111236.79</v>
      </c>
      <c r="AC2512" s="199">
        <v>280.47666666666919</v>
      </c>
      <c r="AD2512" s="150">
        <f>AB2512+AC2512</f>
        <v>111517.26666666666</v>
      </c>
      <c r="AE2512" s="150">
        <v>111517.26666666666</v>
      </c>
      <c r="AF2512" s="169" t="s">
        <v>4680</v>
      </c>
      <c r="AG2512" s="201">
        <v>111236.79</v>
      </c>
      <c r="AH2512" s="199">
        <v>280.47666666666919</v>
      </c>
      <c r="AI2512" s="150">
        <v>111517.26666666666</v>
      </c>
      <c r="AJ2512" s="169">
        <f t="shared" si="2204"/>
        <v>0</v>
      </c>
      <c r="AK2512" s="201">
        <v>111236.79</v>
      </c>
      <c r="AL2512" s="199">
        <v>280.47666666666919</v>
      </c>
      <c r="AM2512" s="150">
        <f>AK2512+AL2512</f>
        <v>111517.26666666666</v>
      </c>
      <c r="AN2512" s="153">
        <f t="shared" si="2205"/>
        <v>3.3333333412883803E-3</v>
      </c>
      <c r="AO2512" s="154">
        <f t="shared" si="2206"/>
        <v>3.3333333412883803E-3</v>
      </c>
      <c r="AP2512" s="150">
        <v>111517.26666666666</v>
      </c>
      <c r="AQ2512" s="201">
        <v>111517.27</v>
      </c>
      <c r="AR2512" s="199"/>
      <c r="AS2512" s="150">
        <f>AQ2512+AR2512</f>
        <v>111517.27</v>
      </c>
      <c r="AT2512" s="155"/>
      <c r="AU2512" s="156">
        <f t="shared" si="2199"/>
        <v>0</v>
      </c>
      <c r="AV2512" s="156">
        <f t="shared" si="2200"/>
        <v>0</v>
      </c>
      <c r="AW2512" s="157"/>
      <c r="AX2512" s="150">
        <v>111517.26666666666</v>
      </c>
      <c r="AY2512" s="150">
        <v>64953.1</v>
      </c>
      <c r="AZ2512" s="150">
        <f>BA2512-AY2512</f>
        <v>-9447.5999999999985</v>
      </c>
      <c r="BA2512" s="150">
        <v>55505.5</v>
      </c>
      <c r="BB2512" s="202">
        <v>9</v>
      </c>
      <c r="BC2512" s="202" t="s">
        <v>632</v>
      </c>
      <c r="BD2512" s="202" t="s">
        <v>647</v>
      </c>
      <c r="BE2512" s="202" t="s">
        <v>632</v>
      </c>
      <c r="BF2512" s="202" t="s">
        <v>632</v>
      </c>
      <c r="BG2512" s="203" t="s">
        <v>11079</v>
      </c>
      <c r="BH2512" s="216">
        <f>SUM(AS2512:AS2516)</f>
        <v>111517.27</v>
      </c>
      <c r="BI2512" s="205"/>
      <c r="BJ2512" s="206" t="s">
        <v>11080</v>
      </c>
      <c r="BK2512" s="206" t="s">
        <v>11078</v>
      </c>
      <c r="BL2512" s="207" t="s">
        <v>11081</v>
      </c>
      <c r="BM2512" s="208">
        <f>BH2512</f>
        <v>111517.27</v>
      </c>
      <c r="BN2512" s="160"/>
      <c r="BO2512" s="161">
        <f t="shared" si="2208"/>
        <v>0</v>
      </c>
      <c r="BP2512" s="161"/>
    </row>
    <row r="2513" spans="1:68" ht="25.5">
      <c r="A2513" s="210"/>
      <c r="B2513" s="195" t="s">
        <v>11084</v>
      </c>
      <c r="C2513" s="196" t="s">
        <v>11085</v>
      </c>
      <c r="D2513" s="146" t="s">
        <v>4692</v>
      </c>
      <c r="E2513" s="196" t="s">
        <v>11085</v>
      </c>
      <c r="F2513" s="150">
        <v>0</v>
      </c>
      <c r="G2513" s="209">
        <v>0</v>
      </c>
      <c r="H2513" s="209"/>
      <c r="I2513" s="209">
        <v>0</v>
      </c>
      <c r="J2513" s="150">
        <v>0</v>
      </c>
      <c r="K2513" s="150">
        <v>0</v>
      </c>
      <c r="L2513" s="150">
        <f t="shared" si="2231"/>
        <v>0</v>
      </c>
      <c r="M2513" s="150">
        <v>0</v>
      </c>
      <c r="N2513" s="150">
        <v>0</v>
      </c>
      <c r="O2513" s="150">
        <v>0</v>
      </c>
      <c r="P2513" s="150">
        <v>0</v>
      </c>
      <c r="Q2513" s="150">
        <v>0</v>
      </c>
      <c r="R2513" s="313">
        <f>P2513+Q2513</f>
        <v>0</v>
      </c>
      <c r="S2513" s="150">
        <f t="shared" si="2184"/>
        <v>0</v>
      </c>
      <c r="T2513" s="150"/>
      <c r="U2513" s="150">
        <v>0</v>
      </c>
      <c r="V2513" s="199">
        <v>0</v>
      </c>
      <c r="W2513" s="150">
        <f>U2513+V2513</f>
        <v>0</v>
      </c>
      <c r="X2513" s="150">
        <v>0</v>
      </c>
      <c r="Y2513" s="150">
        <v>0</v>
      </c>
      <c r="Z2513" s="150">
        <v>0</v>
      </c>
      <c r="AA2513" s="150">
        <f t="shared" si="2203"/>
        <v>0</v>
      </c>
      <c r="AB2513" s="150">
        <v>0</v>
      </c>
      <c r="AC2513" s="199">
        <v>0</v>
      </c>
      <c r="AD2513" s="150">
        <f>AB2513+AC2513</f>
        <v>0</v>
      </c>
      <c r="AE2513" s="150">
        <v>0</v>
      </c>
      <c r="AF2513" s="169" t="s">
        <v>4680</v>
      </c>
      <c r="AG2513" s="201">
        <v>0</v>
      </c>
      <c r="AH2513" s="199">
        <v>0</v>
      </c>
      <c r="AI2513" s="150">
        <v>0</v>
      </c>
      <c r="AJ2513" s="169">
        <f t="shared" si="2204"/>
        <v>0</v>
      </c>
      <c r="AK2513" s="201">
        <v>0</v>
      </c>
      <c r="AL2513" s="199">
        <v>0</v>
      </c>
      <c r="AM2513" s="150">
        <f>AK2513+AL2513</f>
        <v>0</v>
      </c>
      <c r="AN2513" s="153">
        <f t="shared" si="2205"/>
        <v>0</v>
      </c>
      <c r="AO2513" s="154">
        <f t="shared" si="2206"/>
        <v>0</v>
      </c>
      <c r="AP2513" s="150">
        <v>0</v>
      </c>
      <c r="AQ2513" s="201">
        <v>0</v>
      </c>
      <c r="AR2513" s="199">
        <v>0</v>
      </c>
      <c r="AS2513" s="150">
        <f>AQ2513+AR2513</f>
        <v>0</v>
      </c>
      <c r="AT2513" s="155"/>
      <c r="AU2513" s="156">
        <f t="shared" si="2199"/>
        <v>0</v>
      </c>
      <c r="AV2513" s="156">
        <f t="shared" si="2200"/>
        <v>0</v>
      </c>
      <c r="AW2513" s="157"/>
      <c r="AX2513" s="150">
        <v>0</v>
      </c>
      <c r="AY2513" s="150">
        <v>0</v>
      </c>
      <c r="AZ2513" s="150">
        <v>0</v>
      </c>
      <c r="BA2513" s="150">
        <f>AY2513+AZ2513</f>
        <v>0</v>
      </c>
      <c r="BB2513" s="210"/>
      <c r="BC2513" s="210"/>
      <c r="BD2513" s="210"/>
      <c r="BE2513" s="210"/>
      <c r="BF2513" s="210"/>
      <c r="BG2513" s="210"/>
      <c r="BH2513" s="217"/>
      <c r="BI2513" s="210"/>
      <c r="BJ2513" s="210"/>
      <c r="BK2513" s="210"/>
      <c r="BL2513" s="210"/>
      <c r="BM2513" s="208"/>
      <c r="BN2513" s="160"/>
      <c r="BO2513" s="161">
        <f t="shared" si="2208"/>
        <v>0</v>
      </c>
      <c r="BP2513" s="161"/>
    </row>
    <row r="2514" spans="1:68">
      <c r="A2514" s="210"/>
      <c r="B2514" s="195" t="s">
        <v>11086</v>
      </c>
      <c r="C2514" s="196" t="s">
        <v>11087</v>
      </c>
      <c r="D2514" s="146" t="s">
        <v>4692</v>
      </c>
      <c r="E2514" s="196" t="s">
        <v>11087</v>
      </c>
      <c r="F2514" s="150">
        <v>0</v>
      </c>
      <c r="G2514" s="209">
        <v>0</v>
      </c>
      <c r="H2514" s="209"/>
      <c r="I2514" s="209">
        <v>0</v>
      </c>
      <c r="J2514" s="150">
        <v>0</v>
      </c>
      <c r="K2514" s="150">
        <v>0</v>
      </c>
      <c r="L2514" s="150">
        <f t="shared" si="2231"/>
        <v>0</v>
      </c>
      <c r="M2514" s="150">
        <v>0</v>
      </c>
      <c r="N2514" s="150">
        <v>0</v>
      </c>
      <c r="O2514" s="150">
        <v>0</v>
      </c>
      <c r="P2514" s="150">
        <v>0</v>
      </c>
      <c r="Q2514" s="150">
        <v>0</v>
      </c>
      <c r="R2514" s="313">
        <f>P2514+Q2514</f>
        <v>0</v>
      </c>
      <c r="S2514" s="150">
        <f t="shared" si="2184"/>
        <v>0</v>
      </c>
      <c r="T2514" s="150"/>
      <c r="U2514" s="150">
        <v>0</v>
      </c>
      <c r="V2514" s="199">
        <v>0</v>
      </c>
      <c r="W2514" s="150">
        <f>U2514+V2514</f>
        <v>0</v>
      </c>
      <c r="X2514" s="150">
        <v>0</v>
      </c>
      <c r="Y2514" s="150">
        <v>0</v>
      </c>
      <c r="Z2514" s="150">
        <v>0</v>
      </c>
      <c r="AA2514" s="150">
        <f t="shared" si="2203"/>
        <v>0</v>
      </c>
      <c r="AB2514" s="150">
        <v>0</v>
      </c>
      <c r="AC2514" s="199">
        <v>0</v>
      </c>
      <c r="AD2514" s="150">
        <f>AB2514+AC2514</f>
        <v>0</v>
      </c>
      <c r="AE2514" s="150">
        <v>0</v>
      </c>
      <c r="AF2514" s="169" t="s">
        <v>4680</v>
      </c>
      <c r="AG2514" s="201">
        <v>0</v>
      </c>
      <c r="AH2514" s="199">
        <v>0</v>
      </c>
      <c r="AI2514" s="150">
        <v>0</v>
      </c>
      <c r="AJ2514" s="169">
        <f t="shared" si="2204"/>
        <v>0</v>
      </c>
      <c r="AK2514" s="201">
        <v>0</v>
      </c>
      <c r="AL2514" s="199">
        <v>0</v>
      </c>
      <c r="AM2514" s="150">
        <f>AK2514+AL2514</f>
        <v>0</v>
      </c>
      <c r="AN2514" s="153">
        <f t="shared" si="2205"/>
        <v>0</v>
      </c>
      <c r="AO2514" s="154">
        <f t="shared" si="2206"/>
        <v>0</v>
      </c>
      <c r="AP2514" s="150">
        <v>0</v>
      </c>
      <c r="AQ2514" s="201">
        <v>0</v>
      </c>
      <c r="AR2514" s="199">
        <v>0</v>
      </c>
      <c r="AS2514" s="150">
        <f>AQ2514+AR2514</f>
        <v>0</v>
      </c>
      <c r="AT2514" s="155"/>
      <c r="AU2514" s="156">
        <f t="shared" si="2199"/>
        <v>0</v>
      </c>
      <c r="AV2514" s="156">
        <f t="shared" si="2200"/>
        <v>0</v>
      </c>
      <c r="AW2514" s="157"/>
      <c r="AX2514" s="150">
        <v>0</v>
      </c>
      <c r="AY2514" s="150">
        <v>0</v>
      </c>
      <c r="AZ2514" s="150">
        <v>0</v>
      </c>
      <c r="BA2514" s="150">
        <f>AY2514+AZ2514</f>
        <v>0</v>
      </c>
      <c r="BB2514" s="210"/>
      <c r="BC2514" s="210"/>
      <c r="BD2514" s="210"/>
      <c r="BE2514" s="210"/>
      <c r="BF2514" s="210"/>
      <c r="BG2514" s="210"/>
      <c r="BH2514" s="217"/>
      <c r="BI2514" s="210"/>
      <c r="BJ2514" s="210"/>
      <c r="BK2514" s="210"/>
      <c r="BL2514" s="210"/>
      <c r="BM2514" s="208"/>
      <c r="BN2514" s="160"/>
      <c r="BO2514" s="161">
        <f t="shared" si="2208"/>
        <v>0</v>
      </c>
      <c r="BP2514" s="161"/>
    </row>
    <row r="2515" spans="1:68">
      <c r="A2515" s="210"/>
      <c r="B2515" s="195" t="s">
        <v>11088</v>
      </c>
      <c r="C2515" s="196" t="s">
        <v>11089</v>
      </c>
      <c r="D2515" s="146" t="s">
        <v>4692</v>
      </c>
      <c r="E2515" s="196" t="s">
        <v>11089</v>
      </c>
      <c r="F2515" s="150">
        <v>0</v>
      </c>
      <c r="G2515" s="209">
        <v>0</v>
      </c>
      <c r="H2515" s="209">
        <v>146666.66666666666</v>
      </c>
      <c r="I2515" s="209">
        <v>146666.66666666666</v>
      </c>
      <c r="J2515" s="150">
        <v>0</v>
      </c>
      <c r="K2515" s="150">
        <v>0</v>
      </c>
      <c r="L2515" s="150">
        <f t="shared" si="2231"/>
        <v>0</v>
      </c>
      <c r="M2515" s="150">
        <v>0</v>
      </c>
      <c r="N2515" s="150">
        <v>0</v>
      </c>
      <c r="O2515" s="150">
        <v>0</v>
      </c>
      <c r="P2515" s="150">
        <v>0</v>
      </c>
      <c r="Q2515" s="150">
        <v>0</v>
      </c>
      <c r="R2515" s="313">
        <f>P2515+Q2515</f>
        <v>0</v>
      </c>
      <c r="S2515" s="150">
        <f t="shared" si="2184"/>
        <v>0</v>
      </c>
      <c r="T2515" s="150"/>
      <c r="U2515" s="150">
        <v>0</v>
      </c>
      <c r="V2515" s="199">
        <v>0</v>
      </c>
      <c r="W2515" s="150">
        <f>U2515+V2515</f>
        <v>0</v>
      </c>
      <c r="X2515" s="150">
        <v>0</v>
      </c>
      <c r="Y2515" s="150">
        <v>0</v>
      </c>
      <c r="Z2515" s="150">
        <v>0</v>
      </c>
      <c r="AA2515" s="150">
        <f t="shared" si="2203"/>
        <v>0</v>
      </c>
      <c r="AB2515" s="150">
        <v>0</v>
      </c>
      <c r="AC2515" s="199">
        <v>0</v>
      </c>
      <c r="AD2515" s="150">
        <f>AB2515+AC2515</f>
        <v>0</v>
      </c>
      <c r="AE2515" s="150">
        <v>0</v>
      </c>
      <c r="AF2515" s="169" t="s">
        <v>4680</v>
      </c>
      <c r="AG2515" s="201">
        <v>0</v>
      </c>
      <c r="AH2515" s="199">
        <v>0</v>
      </c>
      <c r="AI2515" s="150">
        <v>0</v>
      </c>
      <c r="AJ2515" s="169">
        <f t="shared" si="2204"/>
        <v>0</v>
      </c>
      <c r="AK2515" s="201">
        <v>0</v>
      </c>
      <c r="AL2515" s="199">
        <v>0</v>
      </c>
      <c r="AM2515" s="150">
        <f>AK2515+AL2515</f>
        <v>0</v>
      </c>
      <c r="AN2515" s="153">
        <f t="shared" si="2205"/>
        <v>0</v>
      </c>
      <c r="AO2515" s="154">
        <f t="shared" si="2206"/>
        <v>0</v>
      </c>
      <c r="AP2515" s="150">
        <v>0</v>
      </c>
      <c r="AQ2515" s="201">
        <v>0</v>
      </c>
      <c r="AR2515" s="199">
        <v>0</v>
      </c>
      <c r="AS2515" s="150">
        <f>AQ2515+AR2515</f>
        <v>0</v>
      </c>
      <c r="AT2515" s="155"/>
      <c r="AU2515" s="156">
        <f t="shared" si="2199"/>
        <v>0</v>
      </c>
      <c r="AV2515" s="156">
        <f t="shared" si="2200"/>
        <v>0</v>
      </c>
      <c r="AW2515" s="157"/>
      <c r="AX2515" s="150">
        <v>0</v>
      </c>
      <c r="AY2515" s="150">
        <v>0</v>
      </c>
      <c r="AZ2515" s="150">
        <v>0</v>
      </c>
      <c r="BA2515" s="150">
        <f>AY2515+AZ2515</f>
        <v>0</v>
      </c>
      <c r="BB2515" s="210"/>
      <c r="BC2515" s="210"/>
      <c r="BD2515" s="210"/>
      <c r="BE2515" s="210"/>
      <c r="BF2515" s="210"/>
      <c r="BG2515" s="210"/>
      <c r="BH2515" s="217"/>
      <c r="BI2515" s="210"/>
      <c r="BJ2515" s="210"/>
      <c r="BK2515" s="210"/>
      <c r="BL2515" s="210"/>
      <c r="BM2515" s="208"/>
      <c r="BN2515" s="160"/>
      <c r="BO2515" s="161">
        <f t="shared" si="2208"/>
        <v>0</v>
      </c>
      <c r="BP2515" s="161"/>
    </row>
    <row r="2516" spans="1:68">
      <c r="A2516" s="210"/>
      <c r="B2516" s="195" t="s">
        <v>11090</v>
      </c>
      <c r="C2516" s="196" t="s">
        <v>11091</v>
      </c>
      <c r="D2516" s="146" t="s">
        <v>4692</v>
      </c>
      <c r="E2516" s="196" t="s">
        <v>11091</v>
      </c>
      <c r="F2516" s="150">
        <v>0</v>
      </c>
      <c r="G2516" s="209">
        <v>0</v>
      </c>
      <c r="H2516" s="209">
        <v>146666.66666666666</v>
      </c>
      <c r="I2516" s="209">
        <v>146666.66666666666</v>
      </c>
      <c r="J2516" s="150">
        <v>0</v>
      </c>
      <c r="K2516" s="150">
        <v>0</v>
      </c>
      <c r="L2516" s="150">
        <f t="shared" si="2231"/>
        <v>0</v>
      </c>
      <c r="M2516" s="150">
        <v>0</v>
      </c>
      <c r="N2516" s="150">
        <v>0</v>
      </c>
      <c r="O2516" s="150">
        <v>0</v>
      </c>
      <c r="P2516" s="150">
        <v>0</v>
      </c>
      <c r="Q2516" s="150">
        <v>0</v>
      </c>
      <c r="R2516" s="313">
        <f>P2516+Q2516</f>
        <v>0</v>
      </c>
      <c r="S2516" s="150">
        <f t="shared" si="2184"/>
        <v>0</v>
      </c>
      <c r="T2516" s="150"/>
      <c r="U2516" s="150">
        <v>0</v>
      </c>
      <c r="V2516" s="199">
        <v>0</v>
      </c>
      <c r="W2516" s="150">
        <f>U2516+V2516</f>
        <v>0</v>
      </c>
      <c r="X2516" s="150">
        <v>0</v>
      </c>
      <c r="Y2516" s="150">
        <v>0</v>
      </c>
      <c r="Z2516" s="150">
        <v>0</v>
      </c>
      <c r="AA2516" s="150">
        <f t="shared" si="2203"/>
        <v>0</v>
      </c>
      <c r="AB2516" s="150">
        <v>0</v>
      </c>
      <c r="AC2516" s="199">
        <v>0</v>
      </c>
      <c r="AD2516" s="150">
        <f>AB2516+AC2516</f>
        <v>0</v>
      </c>
      <c r="AE2516" s="150">
        <v>0</v>
      </c>
      <c r="AF2516" s="169" t="s">
        <v>4680</v>
      </c>
      <c r="AG2516" s="201">
        <v>0</v>
      </c>
      <c r="AH2516" s="199">
        <v>0</v>
      </c>
      <c r="AI2516" s="150">
        <v>0</v>
      </c>
      <c r="AJ2516" s="169">
        <f t="shared" si="2204"/>
        <v>0</v>
      </c>
      <c r="AK2516" s="201">
        <v>0</v>
      </c>
      <c r="AL2516" s="199">
        <v>0</v>
      </c>
      <c r="AM2516" s="150">
        <f>AK2516+AL2516</f>
        <v>0</v>
      </c>
      <c r="AN2516" s="153">
        <f t="shared" si="2205"/>
        <v>0</v>
      </c>
      <c r="AO2516" s="154">
        <f t="shared" si="2206"/>
        <v>0</v>
      </c>
      <c r="AP2516" s="150">
        <v>0</v>
      </c>
      <c r="AQ2516" s="201">
        <v>0</v>
      </c>
      <c r="AR2516" s="199">
        <v>0</v>
      </c>
      <c r="AS2516" s="150">
        <f>AQ2516+AR2516</f>
        <v>0</v>
      </c>
      <c r="AT2516" s="155"/>
      <c r="AU2516" s="156">
        <f t="shared" si="2199"/>
        <v>0</v>
      </c>
      <c r="AV2516" s="156">
        <f t="shared" si="2200"/>
        <v>0</v>
      </c>
      <c r="AW2516" s="157"/>
      <c r="AX2516" s="150">
        <v>0</v>
      </c>
      <c r="AY2516" s="150">
        <v>0</v>
      </c>
      <c r="AZ2516" s="150">
        <v>0</v>
      </c>
      <c r="BA2516" s="150">
        <f>AY2516+AZ2516</f>
        <v>0</v>
      </c>
      <c r="BB2516" s="210"/>
      <c r="BC2516" s="210"/>
      <c r="BD2516" s="210"/>
      <c r="BE2516" s="210"/>
      <c r="BF2516" s="210"/>
      <c r="BG2516" s="210"/>
      <c r="BH2516" s="217"/>
      <c r="BI2516" s="210"/>
      <c r="BJ2516" s="210"/>
      <c r="BK2516" s="210"/>
      <c r="BL2516" s="210"/>
      <c r="BM2516" s="208"/>
      <c r="BN2516" s="160"/>
      <c r="BO2516" s="161">
        <f t="shared" si="2208"/>
        <v>0</v>
      </c>
      <c r="BP2516" s="161"/>
    </row>
    <row r="2517" spans="1:68" ht="38.25">
      <c r="A2517" s="255" t="s">
        <v>11092</v>
      </c>
      <c r="B2517" s="174"/>
      <c r="C2517" s="175" t="s">
        <v>61</v>
      </c>
      <c r="D2517" s="146" t="s">
        <v>4692</v>
      </c>
      <c r="E2517" s="175" t="s">
        <v>61</v>
      </c>
      <c r="F2517" s="178">
        <v>197802.76</v>
      </c>
      <c r="G2517" s="177">
        <v>0</v>
      </c>
      <c r="H2517" s="177">
        <v>146666.66666666666</v>
      </c>
      <c r="I2517" s="177">
        <v>146666.66666666666</v>
      </c>
      <c r="J2517" s="178">
        <f>J2518</f>
        <v>0</v>
      </c>
      <c r="K2517" s="178">
        <f>K2518</f>
        <v>146666.66666666666</v>
      </c>
      <c r="L2517" s="178">
        <f t="shared" si="2231"/>
        <v>146666.66666666666</v>
      </c>
      <c r="M2517" s="178">
        <v>42751.41</v>
      </c>
      <c r="N2517" s="178">
        <v>0</v>
      </c>
      <c r="O2517" s="178">
        <v>42751.41</v>
      </c>
      <c r="P2517" s="319">
        <f t="shared" ref="P2517:AM2518" si="2241">P2518</f>
        <v>151447.87</v>
      </c>
      <c r="Q2517" s="319">
        <f t="shared" si="2241"/>
        <v>0</v>
      </c>
      <c r="R2517" s="319">
        <f t="shared" si="2241"/>
        <v>151447.87</v>
      </c>
      <c r="S2517" s="150">
        <f t="shared" si="2184"/>
        <v>201930.49333333332</v>
      </c>
      <c r="T2517" s="213"/>
      <c r="U2517" s="319">
        <f t="shared" ref="U2517:W2518" si="2242">U2518</f>
        <v>213041.3</v>
      </c>
      <c r="V2517" s="222">
        <f t="shared" si="2242"/>
        <v>20220.630000000005</v>
      </c>
      <c r="W2517" s="319">
        <f t="shared" si="2242"/>
        <v>233261.93</v>
      </c>
      <c r="X2517" s="319">
        <v>213041.3</v>
      </c>
      <c r="Y2517" s="319">
        <v>20220.630000000005</v>
      </c>
      <c r="Z2517" s="319">
        <v>233261.93</v>
      </c>
      <c r="AA2517" s="319">
        <f t="shared" si="2203"/>
        <v>0</v>
      </c>
      <c r="AB2517" s="319">
        <v>213041.3</v>
      </c>
      <c r="AC2517" s="222">
        <v>20220.630000000005</v>
      </c>
      <c r="AD2517" s="319">
        <f t="shared" si="2241"/>
        <v>233261.93</v>
      </c>
      <c r="AE2517" s="319">
        <v>229544.37</v>
      </c>
      <c r="AF2517" s="169" t="s">
        <v>4680</v>
      </c>
      <c r="AG2517" s="320">
        <v>229544.37</v>
      </c>
      <c r="AH2517" s="222">
        <v>0</v>
      </c>
      <c r="AI2517" s="319">
        <v>229544.37</v>
      </c>
      <c r="AJ2517" s="169">
        <f t="shared" si="2204"/>
        <v>0</v>
      </c>
      <c r="AK2517" s="320">
        <v>229544.37</v>
      </c>
      <c r="AL2517" s="222">
        <v>0</v>
      </c>
      <c r="AM2517" s="319">
        <f t="shared" si="2241"/>
        <v>229544.37</v>
      </c>
      <c r="AN2517" s="153">
        <f t="shared" si="2205"/>
        <v>0</v>
      </c>
      <c r="AO2517" s="154">
        <f t="shared" si="2206"/>
        <v>0</v>
      </c>
      <c r="AP2517" s="319">
        <v>229544.37</v>
      </c>
      <c r="AQ2517" s="320">
        <v>229544.37</v>
      </c>
      <c r="AR2517" s="222">
        <f t="shared" ref="AR2517:AS2518" si="2243">AR2518</f>
        <v>0</v>
      </c>
      <c r="AS2517" s="319">
        <f t="shared" si="2243"/>
        <v>229544.37</v>
      </c>
      <c r="AT2517" s="155"/>
      <c r="AU2517" s="156">
        <f t="shared" si="2199"/>
        <v>-3717.5599999999977</v>
      </c>
      <c r="AV2517" s="156">
        <f t="shared" si="2200"/>
        <v>0</v>
      </c>
      <c r="AW2517" s="157"/>
      <c r="AX2517" s="150">
        <v>233261.93</v>
      </c>
      <c r="AY2517" s="319">
        <f t="shared" ref="AY2517:BA2518" si="2244">AY2518</f>
        <v>81221.649999999994</v>
      </c>
      <c r="AZ2517" s="319">
        <f t="shared" si="2244"/>
        <v>0</v>
      </c>
      <c r="BA2517" s="319">
        <f t="shared" si="2244"/>
        <v>81221.649999999994</v>
      </c>
      <c r="BB2517" s="254">
        <v>9</v>
      </c>
      <c r="BC2517" s="255" t="s">
        <v>632</v>
      </c>
      <c r="BD2517" s="255" t="s">
        <v>671</v>
      </c>
      <c r="BE2517" s="173" t="s">
        <v>630</v>
      </c>
      <c r="BF2517" s="255" t="s">
        <v>630</v>
      </c>
      <c r="BG2517" s="175" t="s">
        <v>61</v>
      </c>
      <c r="BH2517" s="224">
        <f>BH2518</f>
        <v>229544.37</v>
      </c>
      <c r="BI2517" s="254"/>
      <c r="BJ2517" s="255" t="s">
        <v>11093</v>
      </c>
      <c r="BK2517" s="255" t="s">
        <v>11092</v>
      </c>
      <c r="BL2517" s="182" t="s">
        <v>11094</v>
      </c>
      <c r="BM2517" s="337">
        <f>BM2518</f>
        <v>229544.37</v>
      </c>
      <c r="BN2517" s="160"/>
      <c r="BO2517" s="161">
        <f t="shared" si="2208"/>
        <v>0</v>
      </c>
      <c r="BP2517" s="161"/>
    </row>
    <row r="2518" spans="1:68" ht="38.25">
      <c r="A2518" s="256" t="s">
        <v>11092</v>
      </c>
      <c r="B2518" s="184"/>
      <c r="C2518" s="185" t="s">
        <v>61</v>
      </c>
      <c r="D2518" s="146" t="s">
        <v>4692</v>
      </c>
      <c r="E2518" s="185" t="s">
        <v>61</v>
      </c>
      <c r="F2518" s="188">
        <v>197802.76</v>
      </c>
      <c r="G2518" s="187">
        <v>0</v>
      </c>
      <c r="H2518" s="187">
        <v>0</v>
      </c>
      <c r="I2518" s="187">
        <v>0</v>
      </c>
      <c r="J2518" s="188">
        <f>J2519</f>
        <v>0</v>
      </c>
      <c r="K2518" s="188">
        <f>K2519</f>
        <v>146666.66666666666</v>
      </c>
      <c r="L2518" s="188">
        <f t="shared" si="2231"/>
        <v>146666.66666666666</v>
      </c>
      <c r="M2518" s="188">
        <v>42751.41</v>
      </c>
      <c r="N2518" s="188">
        <v>0</v>
      </c>
      <c r="O2518" s="188">
        <v>42751.41</v>
      </c>
      <c r="P2518" s="299">
        <f t="shared" si="2241"/>
        <v>151447.87</v>
      </c>
      <c r="Q2518" s="299">
        <f t="shared" si="2241"/>
        <v>0</v>
      </c>
      <c r="R2518" s="299">
        <f t="shared" si="2241"/>
        <v>151447.87</v>
      </c>
      <c r="S2518" s="150">
        <f t="shared" si="2184"/>
        <v>201930.49333333332</v>
      </c>
      <c r="T2518" s="213"/>
      <c r="U2518" s="299">
        <f t="shared" si="2242"/>
        <v>213041.3</v>
      </c>
      <c r="V2518" s="226">
        <f t="shared" si="2242"/>
        <v>20220.630000000005</v>
      </c>
      <c r="W2518" s="299">
        <f t="shared" si="2242"/>
        <v>233261.93</v>
      </c>
      <c r="X2518" s="299">
        <v>213041.3</v>
      </c>
      <c r="Y2518" s="299">
        <v>20220.630000000005</v>
      </c>
      <c r="Z2518" s="299">
        <v>233261.93</v>
      </c>
      <c r="AA2518" s="299">
        <f t="shared" si="2203"/>
        <v>0</v>
      </c>
      <c r="AB2518" s="299">
        <v>213041.3</v>
      </c>
      <c r="AC2518" s="226">
        <v>20220.630000000005</v>
      </c>
      <c r="AD2518" s="299">
        <f t="shared" si="2241"/>
        <v>233261.93</v>
      </c>
      <c r="AE2518" s="299">
        <v>229544.37</v>
      </c>
      <c r="AF2518" s="169" t="s">
        <v>4680</v>
      </c>
      <c r="AG2518" s="301">
        <v>229544.37</v>
      </c>
      <c r="AH2518" s="226">
        <v>0</v>
      </c>
      <c r="AI2518" s="299">
        <v>229544.37</v>
      </c>
      <c r="AJ2518" s="169">
        <f t="shared" si="2204"/>
        <v>0</v>
      </c>
      <c r="AK2518" s="301">
        <v>229544.37</v>
      </c>
      <c r="AL2518" s="226">
        <v>0</v>
      </c>
      <c r="AM2518" s="299">
        <f t="shared" si="2241"/>
        <v>229544.37</v>
      </c>
      <c r="AN2518" s="153">
        <f t="shared" si="2205"/>
        <v>0</v>
      </c>
      <c r="AO2518" s="154">
        <f t="shared" si="2206"/>
        <v>0</v>
      </c>
      <c r="AP2518" s="299">
        <v>229544.37</v>
      </c>
      <c r="AQ2518" s="301">
        <v>229544.37</v>
      </c>
      <c r="AR2518" s="226">
        <f t="shared" si="2243"/>
        <v>0</v>
      </c>
      <c r="AS2518" s="299">
        <f t="shared" si="2243"/>
        <v>229544.37</v>
      </c>
      <c r="AT2518" s="155"/>
      <c r="AU2518" s="156">
        <f t="shared" si="2199"/>
        <v>-3717.5599999999977</v>
      </c>
      <c r="AV2518" s="156">
        <f t="shared" si="2200"/>
        <v>0</v>
      </c>
      <c r="AW2518" s="157"/>
      <c r="AX2518" s="150">
        <v>233261.93</v>
      </c>
      <c r="AY2518" s="299">
        <f t="shared" si="2244"/>
        <v>81221.649999999994</v>
      </c>
      <c r="AZ2518" s="299">
        <f t="shared" si="2244"/>
        <v>0</v>
      </c>
      <c r="BA2518" s="299">
        <f t="shared" si="2244"/>
        <v>81221.649999999994</v>
      </c>
      <c r="BB2518" s="192">
        <v>9</v>
      </c>
      <c r="BC2518" s="256" t="s">
        <v>632</v>
      </c>
      <c r="BD2518" s="256" t="s">
        <v>671</v>
      </c>
      <c r="BE2518" s="256" t="s">
        <v>632</v>
      </c>
      <c r="BF2518" s="256" t="s">
        <v>630</v>
      </c>
      <c r="BG2518" s="185" t="s">
        <v>61</v>
      </c>
      <c r="BH2518" s="215">
        <f>BH2519</f>
        <v>229544.37</v>
      </c>
      <c r="BI2518" s="192"/>
      <c r="BJ2518" s="256" t="s">
        <v>11093</v>
      </c>
      <c r="BK2518" s="256" t="s">
        <v>11092</v>
      </c>
      <c r="BL2518" s="238" t="s">
        <v>11094</v>
      </c>
      <c r="BM2518" s="338">
        <f>BM2519</f>
        <v>229544.37</v>
      </c>
      <c r="BN2518" s="160"/>
      <c r="BO2518" s="161">
        <f t="shared" si="2208"/>
        <v>0</v>
      </c>
      <c r="BP2518" s="161"/>
    </row>
    <row r="2519" spans="1:68" ht="25.5">
      <c r="A2519" s="206" t="s">
        <v>11092</v>
      </c>
      <c r="B2519" s="195" t="s">
        <v>11095</v>
      </c>
      <c r="C2519" s="196" t="s">
        <v>11096</v>
      </c>
      <c r="D2519" s="146" t="s">
        <v>4692</v>
      </c>
      <c r="E2519" s="196" t="s">
        <v>11096</v>
      </c>
      <c r="F2519" s="150">
        <v>197802.76</v>
      </c>
      <c r="G2519" s="209">
        <v>0</v>
      </c>
      <c r="H2519" s="209">
        <v>0</v>
      </c>
      <c r="I2519" s="209">
        <v>0</v>
      </c>
      <c r="J2519" s="150">
        <v>0</v>
      </c>
      <c r="K2519" s="150">
        <v>146666.66666666666</v>
      </c>
      <c r="L2519" s="150">
        <f t="shared" si="2231"/>
        <v>146666.66666666666</v>
      </c>
      <c r="M2519" s="150">
        <v>42751.41</v>
      </c>
      <c r="N2519" s="150">
        <v>0</v>
      </c>
      <c r="O2519" s="150">
        <v>42751.41</v>
      </c>
      <c r="P2519" s="150">
        <v>151447.87</v>
      </c>
      <c r="Q2519" s="150">
        <v>0</v>
      </c>
      <c r="R2519" s="150">
        <f>P2519+Q2519</f>
        <v>151447.87</v>
      </c>
      <c r="S2519" s="150">
        <f t="shared" si="2184"/>
        <v>201930.49333333332</v>
      </c>
      <c r="T2519" s="150"/>
      <c r="U2519" s="150">
        <v>213041.3</v>
      </c>
      <c r="V2519" s="199">
        <f>233261.93-213041.3</f>
        <v>20220.630000000005</v>
      </c>
      <c r="W2519" s="150">
        <f>U2519+V2519</f>
        <v>233261.93</v>
      </c>
      <c r="X2519" s="150">
        <v>213041.3</v>
      </c>
      <c r="Y2519" s="150">
        <v>20220.630000000005</v>
      </c>
      <c r="Z2519" s="150">
        <v>233261.93</v>
      </c>
      <c r="AA2519" s="150">
        <f t="shared" si="2203"/>
        <v>0</v>
      </c>
      <c r="AB2519" s="150">
        <v>213041.3</v>
      </c>
      <c r="AC2519" s="199">
        <v>20220.630000000005</v>
      </c>
      <c r="AD2519" s="150">
        <f>AB2519+AC2519</f>
        <v>233261.93</v>
      </c>
      <c r="AE2519" s="150">
        <v>229544.37</v>
      </c>
      <c r="AF2519" s="169" t="s">
        <v>4680</v>
      </c>
      <c r="AG2519" s="201">
        <v>229544.37</v>
      </c>
      <c r="AH2519" s="199"/>
      <c r="AI2519" s="150">
        <v>229544.37</v>
      </c>
      <c r="AJ2519" s="169">
        <f t="shared" si="2204"/>
        <v>0</v>
      </c>
      <c r="AK2519" s="201">
        <v>229544.37</v>
      </c>
      <c r="AL2519" s="199"/>
      <c r="AM2519" s="150">
        <f>AK2519+AL2519</f>
        <v>229544.37</v>
      </c>
      <c r="AN2519" s="153">
        <f t="shared" si="2205"/>
        <v>0</v>
      </c>
      <c r="AO2519" s="154">
        <f t="shared" si="2206"/>
        <v>0</v>
      </c>
      <c r="AP2519" s="150">
        <v>229544.37</v>
      </c>
      <c r="AQ2519" s="201">
        <v>229544.37</v>
      </c>
      <c r="AR2519" s="199"/>
      <c r="AS2519" s="150">
        <f>AQ2519+AR2519</f>
        <v>229544.37</v>
      </c>
      <c r="AT2519" s="155" t="s">
        <v>11097</v>
      </c>
      <c r="AU2519" s="156">
        <f t="shared" si="2199"/>
        <v>-3717.5599999999977</v>
      </c>
      <c r="AV2519" s="156">
        <f t="shared" si="2200"/>
        <v>0</v>
      </c>
      <c r="AW2519" s="157"/>
      <c r="AX2519" s="150">
        <v>233261.93</v>
      </c>
      <c r="AY2519" s="150">
        <v>81221.649999999994</v>
      </c>
      <c r="AZ2519" s="150">
        <v>0</v>
      </c>
      <c r="BA2519" s="150">
        <f>AY2519+AZ2519</f>
        <v>81221.649999999994</v>
      </c>
      <c r="BB2519" s="202">
        <v>9</v>
      </c>
      <c r="BC2519" s="202" t="s">
        <v>632</v>
      </c>
      <c r="BD2519" s="202" t="s">
        <v>671</v>
      </c>
      <c r="BE2519" s="202" t="s">
        <v>632</v>
      </c>
      <c r="BF2519" s="202" t="s">
        <v>632</v>
      </c>
      <c r="BG2519" s="203" t="s">
        <v>61</v>
      </c>
      <c r="BH2519" s="216">
        <f>AS2519</f>
        <v>229544.37</v>
      </c>
      <c r="BI2519" s="205"/>
      <c r="BJ2519" s="206" t="s">
        <v>11093</v>
      </c>
      <c r="BK2519" s="206" t="s">
        <v>11092</v>
      </c>
      <c r="BL2519" s="207" t="s">
        <v>11094</v>
      </c>
      <c r="BM2519" s="208">
        <f>BH2519</f>
        <v>229544.37</v>
      </c>
      <c r="BN2519" s="160"/>
      <c r="BO2519" s="161">
        <f t="shared" si="2208"/>
        <v>0</v>
      </c>
      <c r="BP2519" s="161"/>
    </row>
    <row r="2520" spans="1:68" ht="25.5">
      <c r="A2520" s="255" t="s">
        <v>11098</v>
      </c>
      <c r="B2520" s="174"/>
      <c r="C2520" s="175" t="s">
        <v>11099</v>
      </c>
      <c r="D2520" s="146" t="s">
        <v>4692</v>
      </c>
      <c r="E2520" s="175" t="s">
        <v>11099</v>
      </c>
      <c r="F2520" s="178">
        <v>0</v>
      </c>
      <c r="G2520" s="177">
        <v>0</v>
      </c>
      <c r="H2520" s="177"/>
      <c r="I2520" s="177">
        <v>0</v>
      </c>
      <c r="J2520" s="178">
        <f>J2521</f>
        <v>0</v>
      </c>
      <c r="K2520" s="178">
        <f>K2521</f>
        <v>0</v>
      </c>
      <c r="L2520" s="178">
        <f t="shared" si="2231"/>
        <v>0</v>
      </c>
      <c r="M2520" s="178">
        <v>0</v>
      </c>
      <c r="N2520" s="178">
        <v>0</v>
      </c>
      <c r="O2520" s="178">
        <v>0</v>
      </c>
      <c r="P2520" s="319">
        <f t="shared" ref="P2520:R2521" si="2245">P2521</f>
        <v>0</v>
      </c>
      <c r="Q2520" s="319">
        <f t="shared" si="2245"/>
        <v>0</v>
      </c>
      <c r="R2520" s="319">
        <f t="shared" si="2245"/>
        <v>0</v>
      </c>
      <c r="S2520" s="150">
        <f t="shared" si="2184"/>
        <v>0</v>
      </c>
      <c r="T2520" s="213"/>
      <c r="U2520" s="319">
        <f t="shared" ref="U2520:W2521" si="2246">U2521</f>
        <v>0</v>
      </c>
      <c r="V2520" s="222">
        <f t="shared" si="2246"/>
        <v>0</v>
      </c>
      <c r="W2520" s="319">
        <f t="shared" si="2246"/>
        <v>0</v>
      </c>
      <c r="X2520" s="319">
        <v>0</v>
      </c>
      <c r="Y2520" s="319">
        <v>0</v>
      </c>
      <c r="Z2520" s="319">
        <v>0</v>
      </c>
      <c r="AA2520" s="319">
        <f t="shared" si="2203"/>
        <v>0</v>
      </c>
      <c r="AB2520" s="319">
        <v>0</v>
      </c>
      <c r="AC2520" s="222">
        <v>0</v>
      </c>
      <c r="AD2520" s="319">
        <f t="shared" ref="AD2520:AS2521" si="2247">AD2521</f>
        <v>0</v>
      </c>
      <c r="AE2520" s="319">
        <v>0</v>
      </c>
      <c r="AF2520" s="169" t="s">
        <v>4680</v>
      </c>
      <c r="AG2520" s="320">
        <v>0</v>
      </c>
      <c r="AH2520" s="222">
        <v>0</v>
      </c>
      <c r="AI2520" s="319">
        <v>0</v>
      </c>
      <c r="AJ2520" s="169">
        <f t="shared" si="2204"/>
        <v>0</v>
      </c>
      <c r="AK2520" s="320">
        <v>0</v>
      </c>
      <c r="AL2520" s="222">
        <v>0</v>
      </c>
      <c r="AM2520" s="319">
        <f t="shared" si="2247"/>
        <v>0</v>
      </c>
      <c r="AN2520" s="153">
        <f t="shared" si="2205"/>
        <v>0</v>
      </c>
      <c r="AO2520" s="154">
        <f t="shared" si="2206"/>
        <v>0</v>
      </c>
      <c r="AP2520" s="319">
        <v>0</v>
      </c>
      <c r="AQ2520" s="320">
        <v>0</v>
      </c>
      <c r="AR2520" s="222">
        <f t="shared" si="2247"/>
        <v>0</v>
      </c>
      <c r="AS2520" s="319">
        <f t="shared" si="2247"/>
        <v>0</v>
      </c>
      <c r="AT2520" s="155"/>
      <c r="AU2520" s="156">
        <f t="shared" si="2199"/>
        <v>0</v>
      </c>
      <c r="AV2520" s="156">
        <f t="shared" si="2200"/>
        <v>0</v>
      </c>
      <c r="AW2520" s="157"/>
      <c r="AX2520" s="150">
        <v>0</v>
      </c>
      <c r="AY2520" s="319">
        <f t="shared" ref="AY2520:BA2521" si="2248">AY2521</f>
        <v>0</v>
      </c>
      <c r="AZ2520" s="319">
        <f t="shared" si="2248"/>
        <v>0</v>
      </c>
      <c r="BA2520" s="319">
        <f t="shared" si="2248"/>
        <v>0</v>
      </c>
      <c r="BB2520" s="254">
        <v>9</v>
      </c>
      <c r="BC2520" s="255" t="s">
        <v>632</v>
      </c>
      <c r="BD2520" s="255" t="s">
        <v>693</v>
      </c>
      <c r="BE2520" s="173" t="s">
        <v>630</v>
      </c>
      <c r="BF2520" s="255" t="s">
        <v>630</v>
      </c>
      <c r="BG2520" s="175" t="s">
        <v>11099</v>
      </c>
      <c r="BH2520" s="224">
        <f>BH2521</f>
        <v>0</v>
      </c>
      <c r="BI2520" s="254"/>
      <c r="BJ2520" s="255" t="s">
        <v>11100</v>
      </c>
      <c r="BK2520" s="255" t="s">
        <v>11098</v>
      </c>
      <c r="BL2520" s="182" t="s">
        <v>11101</v>
      </c>
      <c r="BM2520" s="337">
        <f>BM2521</f>
        <v>0</v>
      </c>
      <c r="BN2520" s="160"/>
      <c r="BO2520" s="161">
        <f t="shared" si="2208"/>
        <v>0</v>
      </c>
      <c r="BP2520" s="161"/>
    </row>
    <row r="2521" spans="1:68" ht="25.5">
      <c r="A2521" s="256" t="s">
        <v>11098</v>
      </c>
      <c r="B2521" s="184"/>
      <c r="C2521" s="185" t="s">
        <v>11099</v>
      </c>
      <c r="D2521" s="146" t="s">
        <v>4692</v>
      </c>
      <c r="E2521" s="185" t="s">
        <v>11099</v>
      </c>
      <c r="F2521" s="188">
        <v>0</v>
      </c>
      <c r="G2521" s="187">
        <v>0</v>
      </c>
      <c r="H2521" s="187">
        <v>0</v>
      </c>
      <c r="I2521" s="187">
        <v>0</v>
      </c>
      <c r="J2521" s="188">
        <f>J2522</f>
        <v>0</v>
      </c>
      <c r="K2521" s="188">
        <f>K2522</f>
        <v>0</v>
      </c>
      <c r="L2521" s="188">
        <f t="shared" si="2231"/>
        <v>0</v>
      </c>
      <c r="M2521" s="188">
        <v>0</v>
      </c>
      <c r="N2521" s="188">
        <v>0</v>
      </c>
      <c r="O2521" s="188">
        <v>0</v>
      </c>
      <c r="P2521" s="299">
        <f t="shared" si="2245"/>
        <v>0</v>
      </c>
      <c r="Q2521" s="299">
        <f t="shared" si="2245"/>
        <v>0</v>
      </c>
      <c r="R2521" s="299">
        <f t="shared" si="2245"/>
        <v>0</v>
      </c>
      <c r="S2521" s="150">
        <f t="shared" si="2184"/>
        <v>0</v>
      </c>
      <c r="T2521" s="213"/>
      <c r="U2521" s="299">
        <f t="shared" si="2246"/>
        <v>0</v>
      </c>
      <c r="V2521" s="226">
        <f t="shared" si="2246"/>
        <v>0</v>
      </c>
      <c r="W2521" s="299">
        <f t="shared" si="2246"/>
        <v>0</v>
      </c>
      <c r="X2521" s="299">
        <v>0</v>
      </c>
      <c r="Y2521" s="299">
        <v>0</v>
      </c>
      <c r="Z2521" s="299">
        <v>0</v>
      </c>
      <c r="AA2521" s="299">
        <f t="shared" si="2203"/>
        <v>0</v>
      </c>
      <c r="AB2521" s="299">
        <v>0</v>
      </c>
      <c r="AC2521" s="226">
        <v>0</v>
      </c>
      <c r="AD2521" s="299">
        <f t="shared" si="2247"/>
        <v>0</v>
      </c>
      <c r="AE2521" s="299">
        <v>0</v>
      </c>
      <c r="AF2521" s="169" t="s">
        <v>4680</v>
      </c>
      <c r="AG2521" s="301">
        <v>0</v>
      </c>
      <c r="AH2521" s="226">
        <v>0</v>
      </c>
      <c r="AI2521" s="299">
        <v>0</v>
      </c>
      <c r="AJ2521" s="169">
        <f t="shared" si="2204"/>
        <v>0</v>
      </c>
      <c r="AK2521" s="301">
        <v>0</v>
      </c>
      <c r="AL2521" s="226">
        <v>0</v>
      </c>
      <c r="AM2521" s="299">
        <f t="shared" si="2247"/>
        <v>0</v>
      </c>
      <c r="AN2521" s="153">
        <f t="shared" si="2205"/>
        <v>0</v>
      </c>
      <c r="AO2521" s="154">
        <f t="shared" si="2206"/>
        <v>0</v>
      </c>
      <c r="AP2521" s="299">
        <v>0</v>
      </c>
      <c r="AQ2521" s="301">
        <v>0</v>
      </c>
      <c r="AR2521" s="226">
        <f t="shared" si="2247"/>
        <v>0</v>
      </c>
      <c r="AS2521" s="299">
        <f t="shared" si="2247"/>
        <v>0</v>
      </c>
      <c r="AT2521" s="155"/>
      <c r="AU2521" s="156">
        <f t="shared" si="2199"/>
        <v>0</v>
      </c>
      <c r="AV2521" s="156">
        <f t="shared" si="2200"/>
        <v>0</v>
      </c>
      <c r="AW2521" s="157"/>
      <c r="AX2521" s="150">
        <v>0</v>
      </c>
      <c r="AY2521" s="299">
        <f t="shared" si="2248"/>
        <v>0</v>
      </c>
      <c r="AZ2521" s="299">
        <f t="shared" si="2248"/>
        <v>0</v>
      </c>
      <c r="BA2521" s="299">
        <f t="shared" si="2248"/>
        <v>0</v>
      </c>
      <c r="BB2521" s="192">
        <v>9</v>
      </c>
      <c r="BC2521" s="256" t="s">
        <v>632</v>
      </c>
      <c r="BD2521" s="256" t="s">
        <v>693</v>
      </c>
      <c r="BE2521" s="256" t="s">
        <v>632</v>
      </c>
      <c r="BF2521" s="256" t="s">
        <v>630</v>
      </c>
      <c r="BG2521" s="185" t="s">
        <v>11099</v>
      </c>
      <c r="BH2521" s="215">
        <f>BH2522</f>
        <v>0</v>
      </c>
      <c r="BI2521" s="192"/>
      <c r="BJ2521" s="256" t="s">
        <v>11100</v>
      </c>
      <c r="BK2521" s="256" t="s">
        <v>11098</v>
      </c>
      <c r="BL2521" s="238" t="s">
        <v>11101</v>
      </c>
      <c r="BM2521" s="338">
        <f>BM2522</f>
        <v>0</v>
      </c>
      <c r="BN2521" s="160"/>
      <c r="BO2521" s="161">
        <f t="shared" si="2208"/>
        <v>0</v>
      </c>
      <c r="BP2521" s="161"/>
    </row>
    <row r="2522" spans="1:68" ht="25.5">
      <c r="A2522" s="206" t="s">
        <v>11098</v>
      </c>
      <c r="B2522" s="195" t="s">
        <v>11102</v>
      </c>
      <c r="C2522" s="196" t="s">
        <v>11103</v>
      </c>
      <c r="D2522" s="146" t="s">
        <v>4692</v>
      </c>
      <c r="E2522" s="196" t="s">
        <v>11103</v>
      </c>
      <c r="F2522" s="150">
        <v>0</v>
      </c>
      <c r="G2522" s="209">
        <v>0</v>
      </c>
      <c r="H2522" s="209">
        <v>0</v>
      </c>
      <c r="I2522" s="209">
        <v>0</v>
      </c>
      <c r="J2522" s="150">
        <v>0</v>
      </c>
      <c r="K2522" s="150">
        <v>0</v>
      </c>
      <c r="L2522" s="150">
        <f t="shared" si="2231"/>
        <v>0</v>
      </c>
      <c r="M2522" s="150">
        <v>0</v>
      </c>
      <c r="N2522" s="150"/>
      <c r="O2522" s="150">
        <v>0</v>
      </c>
      <c r="P2522" s="150">
        <v>0</v>
      </c>
      <c r="Q2522" s="150">
        <v>0</v>
      </c>
      <c r="R2522" s="150">
        <f>P2522+Q2522</f>
        <v>0</v>
      </c>
      <c r="S2522" s="150">
        <f t="shared" si="2184"/>
        <v>0</v>
      </c>
      <c r="T2522" s="150"/>
      <c r="U2522" s="150">
        <v>0</v>
      </c>
      <c r="V2522" s="199"/>
      <c r="W2522" s="150">
        <f>U2522+V2522</f>
        <v>0</v>
      </c>
      <c r="X2522" s="150">
        <v>0</v>
      </c>
      <c r="Y2522" s="150"/>
      <c r="Z2522" s="150">
        <v>0</v>
      </c>
      <c r="AA2522" s="150">
        <f t="shared" si="2203"/>
        <v>0</v>
      </c>
      <c r="AB2522" s="150">
        <v>0</v>
      </c>
      <c r="AC2522" s="199"/>
      <c r="AD2522" s="150">
        <f>AB2522+AC2522</f>
        <v>0</v>
      </c>
      <c r="AE2522" s="150">
        <v>0</v>
      </c>
      <c r="AF2522" s="169" t="s">
        <v>4680</v>
      </c>
      <c r="AG2522" s="201">
        <v>0</v>
      </c>
      <c r="AH2522" s="199"/>
      <c r="AI2522" s="150">
        <v>0</v>
      </c>
      <c r="AJ2522" s="169">
        <f t="shared" si="2204"/>
        <v>0</v>
      </c>
      <c r="AK2522" s="201">
        <v>0</v>
      </c>
      <c r="AL2522" s="199"/>
      <c r="AM2522" s="150">
        <f>AK2522+AL2522</f>
        <v>0</v>
      </c>
      <c r="AN2522" s="153">
        <f t="shared" si="2205"/>
        <v>0</v>
      </c>
      <c r="AO2522" s="154">
        <f t="shared" si="2206"/>
        <v>0</v>
      </c>
      <c r="AP2522" s="150">
        <v>0</v>
      </c>
      <c r="AQ2522" s="201">
        <v>0</v>
      </c>
      <c r="AR2522" s="199"/>
      <c r="AS2522" s="150">
        <f>AQ2522+AR2522</f>
        <v>0</v>
      </c>
      <c r="AT2522" s="155"/>
      <c r="AU2522" s="156">
        <f t="shared" si="2199"/>
        <v>0</v>
      </c>
      <c r="AV2522" s="156">
        <f t="shared" si="2200"/>
        <v>0</v>
      </c>
      <c r="AW2522" s="157"/>
      <c r="AX2522" s="150">
        <v>0</v>
      </c>
      <c r="AY2522" s="150">
        <v>0</v>
      </c>
      <c r="AZ2522" s="150"/>
      <c r="BA2522" s="150">
        <f>AY2522+AZ2522</f>
        <v>0</v>
      </c>
      <c r="BB2522" s="202">
        <v>9</v>
      </c>
      <c r="BC2522" s="202" t="s">
        <v>632</v>
      </c>
      <c r="BD2522" s="202" t="s">
        <v>693</v>
      </c>
      <c r="BE2522" s="202" t="s">
        <v>632</v>
      </c>
      <c r="BF2522" s="202" t="s">
        <v>632</v>
      </c>
      <c r="BG2522" s="203" t="s">
        <v>11099</v>
      </c>
      <c r="BH2522" s="216">
        <f>AS2522</f>
        <v>0</v>
      </c>
      <c r="BI2522" s="205"/>
      <c r="BJ2522" s="206" t="s">
        <v>11100</v>
      </c>
      <c r="BK2522" s="206" t="s">
        <v>11098</v>
      </c>
      <c r="BL2522" s="207" t="s">
        <v>11101</v>
      </c>
      <c r="BM2522" s="208">
        <f>BH2522</f>
        <v>0</v>
      </c>
      <c r="BN2522" s="160"/>
      <c r="BO2522" s="161">
        <f t="shared" si="2208"/>
        <v>0</v>
      </c>
      <c r="BP2522" s="161"/>
    </row>
    <row r="2523" spans="1:68">
      <c r="A2523" s="262" t="s">
        <v>11104</v>
      </c>
      <c r="B2523" s="163"/>
      <c r="C2523" s="164" t="s">
        <v>11105</v>
      </c>
      <c r="D2523" s="146" t="s">
        <v>4692</v>
      </c>
      <c r="E2523" s="164" t="s">
        <v>11105</v>
      </c>
      <c r="F2523" s="167">
        <v>0</v>
      </c>
      <c r="G2523" s="166">
        <v>0</v>
      </c>
      <c r="H2523" s="166">
        <v>0</v>
      </c>
      <c r="I2523" s="166">
        <v>0</v>
      </c>
      <c r="J2523" s="167">
        <f>J2524+J2527+J2531</f>
        <v>0</v>
      </c>
      <c r="K2523" s="167">
        <f>K2524+K2527+K2531</f>
        <v>0</v>
      </c>
      <c r="L2523" s="167">
        <f t="shared" si="2231"/>
        <v>0</v>
      </c>
      <c r="M2523" s="167">
        <v>0</v>
      </c>
      <c r="N2523" s="167">
        <v>0</v>
      </c>
      <c r="O2523" s="167">
        <v>0</v>
      </c>
      <c r="P2523" s="340">
        <f t="shared" ref="P2523:R2523" si="2249">P2524+P2527+P2531</f>
        <v>0</v>
      </c>
      <c r="Q2523" s="340">
        <f t="shared" si="2249"/>
        <v>0</v>
      </c>
      <c r="R2523" s="340">
        <f t="shared" si="2249"/>
        <v>0</v>
      </c>
      <c r="S2523" s="150">
        <f t="shared" si="2184"/>
        <v>0</v>
      </c>
      <c r="T2523" s="213"/>
      <c r="U2523" s="340">
        <f t="shared" ref="U2523:W2523" si="2250">U2524+U2527+U2531</f>
        <v>0</v>
      </c>
      <c r="V2523" s="233">
        <f t="shared" si="2250"/>
        <v>0</v>
      </c>
      <c r="W2523" s="340">
        <f t="shared" si="2250"/>
        <v>0</v>
      </c>
      <c r="X2523" s="340">
        <v>0</v>
      </c>
      <c r="Y2523" s="340">
        <v>0</v>
      </c>
      <c r="Z2523" s="340">
        <v>0</v>
      </c>
      <c r="AA2523" s="340">
        <f t="shared" si="2203"/>
        <v>0</v>
      </c>
      <c r="AB2523" s="340">
        <v>0</v>
      </c>
      <c r="AC2523" s="233">
        <v>0</v>
      </c>
      <c r="AD2523" s="340">
        <f t="shared" ref="AD2523" si="2251">AD2524+AD2527+AD2531</f>
        <v>0</v>
      </c>
      <c r="AE2523" s="340">
        <v>0</v>
      </c>
      <c r="AF2523" s="169" t="s">
        <v>4680</v>
      </c>
      <c r="AG2523" s="342">
        <v>0</v>
      </c>
      <c r="AH2523" s="233">
        <v>0</v>
      </c>
      <c r="AI2523" s="340">
        <v>0</v>
      </c>
      <c r="AJ2523" s="169">
        <f t="shared" si="2204"/>
        <v>0</v>
      </c>
      <c r="AK2523" s="342">
        <v>0</v>
      </c>
      <c r="AL2523" s="233">
        <v>0</v>
      </c>
      <c r="AM2523" s="340">
        <f t="shared" ref="AM2523" si="2252">AM2524+AM2527+AM2531</f>
        <v>0</v>
      </c>
      <c r="AN2523" s="153">
        <f t="shared" si="2205"/>
        <v>0</v>
      </c>
      <c r="AO2523" s="154">
        <f t="shared" si="2206"/>
        <v>0</v>
      </c>
      <c r="AP2523" s="340">
        <v>0</v>
      </c>
      <c r="AQ2523" s="342">
        <v>0</v>
      </c>
      <c r="AR2523" s="233">
        <f t="shared" ref="AR2523:AS2523" si="2253">AR2524+AR2527+AR2531</f>
        <v>0</v>
      </c>
      <c r="AS2523" s="340">
        <f t="shared" si="2253"/>
        <v>0</v>
      </c>
      <c r="AT2523" s="155"/>
      <c r="AU2523" s="156">
        <f t="shared" si="2199"/>
        <v>0</v>
      </c>
      <c r="AV2523" s="156">
        <f t="shared" si="2200"/>
        <v>0</v>
      </c>
      <c r="AW2523" s="157"/>
      <c r="AX2523" s="150">
        <v>0</v>
      </c>
      <c r="AY2523" s="340">
        <f t="shared" ref="AY2523:BA2523" si="2254">AY2524+AY2527+AY2531</f>
        <v>0</v>
      </c>
      <c r="AZ2523" s="340">
        <f t="shared" si="2254"/>
        <v>0</v>
      </c>
      <c r="BA2523" s="340">
        <f t="shared" si="2254"/>
        <v>0</v>
      </c>
      <c r="BB2523" s="263">
        <v>9</v>
      </c>
      <c r="BC2523" s="262" t="s">
        <v>647</v>
      </c>
      <c r="BD2523" s="262" t="s">
        <v>630</v>
      </c>
      <c r="BE2523" s="162" t="s">
        <v>630</v>
      </c>
      <c r="BF2523" s="262" t="s">
        <v>630</v>
      </c>
      <c r="BG2523" s="164" t="s">
        <v>11105</v>
      </c>
      <c r="BH2523" s="235">
        <f>BH2524+BH2527</f>
        <v>0</v>
      </c>
      <c r="BI2523" s="263"/>
      <c r="BJ2523" s="262" t="s">
        <v>11106</v>
      </c>
      <c r="BK2523" s="262" t="s">
        <v>11104</v>
      </c>
      <c r="BL2523" s="172" t="s">
        <v>11107</v>
      </c>
      <c r="BM2523" s="349">
        <f>BM2524+BM2527</f>
        <v>0</v>
      </c>
      <c r="BN2523" s="160"/>
      <c r="BO2523" s="161">
        <f t="shared" si="2208"/>
        <v>0</v>
      </c>
      <c r="BP2523" s="161"/>
    </row>
    <row r="2524" spans="1:68" ht="25.5">
      <c r="A2524" s="255" t="s">
        <v>11108</v>
      </c>
      <c r="B2524" s="174"/>
      <c r="C2524" s="175" t="s">
        <v>11109</v>
      </c>
      <c r="D2524" s="146" t="s">
        <v>4692</v>
      </c>
      <c r="E2524" s="175" t="s">
        <v>11109</v>
      </c>
      <c r="F2524" s="178">
        <v>0</v>
      </c>
      <c r="G2524" s="177">
        <v>0</v>
      </c>
      <c r="H2524" s="177"/>
      <c r="I2524" s="177">
        <v>0</v>
      </c>
      <c r="J2524" s="178">
        <f>J2525</f>
        <v>0</v>
      </c>
      <c r="K2524" s="178">
        <f>K2525</f>
        <v>0</v>
      </c>
      <c r="L2524" s="178">
        <f t="shared" si="2231"/>
        <v>0</v>
      </c>
      <c r="M2524" s="178">
        <v>0</v>
      </c>
      <c r="N2524" s="178">
        <v>0</v>
      </c>
      <c r="O2524" s="178">
        <v>0</v>
      </c>
      <c r="P2524" s="319">
        <f t="shared" ref="P2524:R2525" si="2255">P2525</f>
        <v>0</v>
      </c>
      <c r="Q2524" s="319">
        <f t="shared" si="2255"/>
        <v>0</v>
      </c>
      <c r="R2524" s="319">
        <f t="shared" si="2255"/>
        <v>0</v>
      </c>
      <c r="S2524" s="150">
        <f t="shared" si="2184"/>
        <v>0</v>
      </c>
      <c r="T2524" s="213"/>
      <c r="U2524" s="319">
        <f t="shared" ref="U2524:W2525" si="2256">U2525</f>
        <v>0</v>
      </c>
      <c r="V2524" s="222">
        <f t="shared" si="2256"/>
        <v>0</v>
      </c>
      <c r="W2524" s="319">
        <f t="shared" si="2256"/>
        <v>0</v>
      </c>
      <c r="X2524" s="319">
        <v>0</v>
      </c>
      <c r="Y2524" s="319">
        <v>0</v>
      </c>
      <c r="Z2524" s="319">
        <v>0</v>
      </c>
      <c r="AA2524" s="319">
        <f t="shared" si="2203"/>
        <v>0</v>
      </c>
      <c r="AB2524" s="319">
        <v>0</v>
      </c>
      <c r="AC2524" s="222">
        <v>0</v>
      </c>
      <c r="AD2524" s="319">
        <f t="shared" ref="AD2524:AS2525" si="2257">AD2525</f>
        <v>0</v>
      </c>
      <c r="AE2524" s="319">
        <v>0</v>
      </c>
      <c r="AF2524" s="169" t="s">
        <v>4680</v>
      </c>
      <c r="AG2524" s="320">
        <v>0</v>
      </c>
      <c r="AH2524" s="222">
        <v>0</v>
      </c>
      <c r="AI2524" s="319">
        <v>0</v>
      </c>
      <c r="AJ2524" s="169">
        <f t="shared" si="2204"/>
        <v>0</v>
      </c>
      <c r="AK2524" s="320">
        <v>0</v>
      </c>
      <c r="AL2524" s="222">
        <v>0</v>
      </c>
      <c r="AM2524" s="319">
        <f t="shared" si="2257"/>
        <v>0</v>
      </c>
      <c r="AN2524" s="153">
        <f t="shared" si="2205"/>
        <v>0</v>
      </c>
      <c r="AO2524" s="154">
        <f t="shared" si="2206"/>
        <v>0</v>
      </c>
      <c r="AP2524" s="319">
        <v>0</v>
      </c>
      <c r="AQ2524" s="320">
        <v>0</v>
      </c>
      <c r="AR2524" s="222">
        <f t="shared" si="2257"/>
        <v>0</v>
      </c>
      <c r="AS2524" s="319">
        <f t="shared" si="2257"/>
        <v>0</v>
      </c>
      <c r="AT2524" s="155"/>
      <c r="AU2524" s="156">
        <f t="shared" si="2199"/>
        <v>0</v>
      </c>
      <c r="AV2524" s="156">
        <f t="shared" si="2200"/>
        <v>0</v>
      </c>
      <c r="AW2524" s="157"/>
      <c r="AX2524" s="150">
        <v>0</v>
      </c>
      <c r="AY2524" s="319">
        <f t="shared" ref="AY2524:BA2525" si="2258">AY2525</f>
        <v>0</v>
      </c>
      <c r="AZ2524" s="319">
        <f t="shared" si="2258"/>
        <v>0</v>
      </c>
      <c r="BA2524" s="319">
        <f t="shared" si="2258"/>
        <v>0</v>
      </c>
      <c r="BB2524" s="254">
        <v>9</v>
      </c>
      <c r="BC2524" s="255" t="s">
        <v>647</v>
      </c>
      <c r="BD2524" s="255" t="s">
        <v>632</v>
      </c>
      <c r="BE2524" s="173" t="s">
        <v>630</v>
      </c>
      <c r="BF2524" s="255" t="s">
        <v>630</v>
      </c>
      <c r="BG2524" s="175" t="s">
        <v>11109</v>
      </c>
      <c r="BH2524" s="224">
        <f>BH2525</f>
        <v>0</v>
      </c>
      <c r="BI2524" s="254"/>
      <c r="BJ2524" s="255" t="s">
        <v>11110</v>
      </c>
      <c r="BK2524" s="255" t="s">
        <v>11108</v>
      </c>
      <c r="BL2524" s="182" t="s">
        <v>11111</v>
      </c>
      <c r="BM2524" s="337">
        <f>BM2525</f>
        <v>0</v>
      </c>
      <c r="BN2524" s="160"/>
      <c r="BO2524" s="161">
        <f t="shared" si="2208"/>
        <v>0</v>
      </c>
      <c r="BP2524" s="161"/>
    </row>
    <row r="2525" spans="1:68" ht="25.5">
      <c r="A2525" s="256" t="s">
        <v>11108</v>
      </c>
      <c r="B2525" s="184"/>
      <c r="C2525" s="185" t="s">
        <v>11109</v>
      </c>
      <c r="D2525" s="146" t="s">
        <v>4692</v>
      </c>
      <c r="E2525" s="185" t="s">
        <v>11109</v>
      </c>
      <c r="F2525" s="188">
        <v>0</v>
      </c>
      <c r="G2525" s="187">
        <v>0</v>
      </c>
      <c r="H2525" s="187">
        <v>0</v>
      </c>
      <c r="I2525" s="187">
        <v>0</v>
      </c>
      <c r="J2525" s="188">
        <f>J2526</f>
        <v>0</v>
      </c>
      <c r="K2525" s="188">
        <f>K2526</f>
        <v>0</v>
      </c>
      <c r="L2525" s="188">
        <f t="shared" si="2231"/>
        <v>0</v>
      </c>
      <c r="M2525" s="188">
        <v>0</v>
      </c>
      <c r="N2525" s="188">
        <v>0</v>
      </c>
      <c r="O2525" s="188">
        <v>0</v>
      </c>
      <c r="P2525" s="299">
        <f t="shared" si="2255"/>
        <v>0</v>
      </c>
      <c r="Q2525" s="299">
        <f t="shared" si="2255"/>
        <v>0</v>
      </c>
      <c r="R2525" s="299">
        <f t="shared" si="2255"/>
        <v>0</v>
      </c>
      <c r="S2525" s="150">
        <f t="shared" si="2184"/>
        <v>0</v>
      </c>
      <c r="T2525" s="213"/>
      <c r="U2525" s="299">
        <f t="shared" si="2256"/>
        <v>0</v>
      </c>
      <c r="V2525" s="226">
        <f t="shared" si="2256"/>
        <v>0</v>
      </c>
      <c r="W2525" s="299">
        <f t="shared" si="2256"/>
        <v>0</v>
      </c>
      <c r="X2525" s="299">
        <v>0</v>
      </c>
      <c r="Y2525" s="299">
        <v>0</v>
      </c>
      <c r="Z2525" s="299">
        <v>0</v>
      </c>
      <c r="AA2525" s="299">
        <f t="shared" si="2203"/>
        <v>0</v>
      </c>
      <c r="AB2525" s="299">
        <v>0</v>
      </c>
      <c r="AC2525" s="226">
        <v>0</v>
      </c>
      <c r="AD2525" s="299">
        <f t="shared" si="2257"/>
        <v>0</v>
      </c>
      <c r="AE2525" s="299">
        <v>0</v>
      </c>
      <c r="AF2525" s="169" t="s">
        <v>4680</v>
      </c>
      <c r="AG2525" s="301">
        <v>0</v>
      </c>
      <c r="AH2525" s="226">
        <v>0</v>
      </c>
      <c r="AI2525" s="299">
        <v>0</v>
      </c>
      <c r="AJ2525" s="169">
        <f t="shared" si="2204"/>
        <v>0</v>
      </c>
      <c r="AK2525" s="301">
        <v>0</v>
      </c>
      <c r="AL2525" s="226">
        <v>0</v>
      </c>
      <c r="AM2525" s="299">
        <f t="shared" si="2257"/>
        <v>0</v>
      </c>
      <c r="AN2525" s="153">
        <f t="shared" si="2205"/>
        <v>0</v>
      </c>
      <c r="AO2525" s="154">
        <f t="shared" si="2206"/>
        <v>0</v>
      </c>
      <c r="AP2525" s="299">
        <v>0</v>
      </c>
      <c r="AQ2525" s="301">
        <v>0</v>
      </c>
      <c r="AR2525" s="226">
        <f t="shared" si="2257"/>
        <v>0</v>
      </c>
      <c r="AS2525" s="299">
        <f t="shared" si="2257"/>
        <v>0</v>
      </c>
      <c r="AT2525" s="155"/>
      <c r="AU2525" s="156">
        <f t="shared" si="2199"/>
        <v>0</v>
      </c>
      <c r="AV2525" s="156">
        <f t="shared" si="2200"/>
        <v>0</v>
      </c>
      <c r="AW2525" s="157"/>
      <c r="AX2525" s="150">
        <v>0</v>
      </c>
      <c r="AY2525" s="299">
        <f t="shared" si="2258"/>
        <v>0</v>
      </c>
      <c r="AZ2525" s="299">
        <f t="shared" si="2258"/>
        <v>0</v>
      </c>
      <c r="BA2525" s="299">
        <f t="shared" si="2258"/>
        <v>0</v>
      </c>
      <c r="BB2525" s="192">
        <v>9</v>
      </c>
      <c r="BC2525" s="256" t="s">
        <v>647</v>
      </c>
      <c r="BD2525" s="256" t="s">
        <v>632</v>
      </c>
      <c r="BE2525" s="256" t="s">
        <v>632</v>
      </c>
      <c r="BF2525" s="256" t="s">
        <v>630</v>
      </c>
      <c r="BG2525" s="185" t="s">
        <v>11109</v>
      </c>
      <c r="BH2525" s="215">
        <f>BH2526</f>
        <v>0</v>
      </c>
      <c r="BI2525" s="192"/>
      <c r="BJ2525" s="256" t="s">
        <v>11110</v>
      </c>
      <c r="BK2525" s="256" t="s">
        <v>11108</v>
      </c>
      <c r="BL2525" s="238" t="s">
        <v>11111</v>
      </c>
      <c r="BM2525" s="338">
        <f>BM2526</f>
        <v>0</v>
      </c>
      <c r="BN2525" s="160"/>
      <c r="BO2525" s="161">
        <f t="shared" si="2208"/>
        <v>0</v>
      </c>
      <c r="BP2525" s="161"/>
    </row>
    <row r="2526" spans="1:68" ht="25.5">
      <c r="A2526" s="206" t="s">
        <v>11108</v>
      </c>
      <c r="B2526" s="195" t="s">
        <v>11112</v>
      </c>
      <c r="C2526" s="196" t="s">
        <v>11113</v>
      </c>
      <c r="D2526" s="146" t="s">
        <v>4692</v>
      </c>
      <c r="E2526" s="196" t="s">
        <v>11113</v>
      </c>
      <c r="F2526" s="150">
        <v>0</v>
      </c>
      <c r="G2526" s="209">
        <v>0</v>
      </c>
      <c r="H2526" s="209">
        <v>0</v>
      </c>
      <c r="I2526" s="209">
        <v>0</v>
      </c>
      <c r="J2526" s="150">
        <v>0</v>
      </c>
      <c r="K2526" s="150">
        <v>0</v>
      </c>
      <c r="L2526" s="150">
        <f t="shared" si="2231"/>
        <v>0</v>
      </c>
      <c r="M2526" s="150">
        <v>0</v>
      </c>
      <c r="N2526" s="150"/>
      <c r="O2526" s="150">
        <v>0</v>
      </c>
      <c r="P2526" s="150">
        <v>0</v>
      </c>
      <c r="Q2526" s="150">
        <v>0</v>
      </c>
      <c r="R2526" s="150">
        <f>P2526+Q2526</f>
        <v>0</v>
      </c>
      <c r="S2526" s="150">
        <f t="shared" si="2184"/>
        <v>0</v>
      </c>
      <c r="T2526" s="150"/>
      <c r="U2526" s="150">
        <v>0</v>
      </c>
      <c r="V2526" s="199"/>
      <c r="W2526" s="150">
        <f>U2526+V2526</f>
        <v>0</v>
      </c>
      <c r="X2526" s="150">
        <v>0</v>
      </c>
      <c r="Y2526" s="150"/>
      <c r="Z2526" s="150">
        <v>0</v>
      </c>
      <c r="AA2526" s="150">
        <f t="shared" si="2203"/>
        <v>0</v>
      </c>
      <c r="AB2526" s="150">
        <v>0</v>
      </c>
      <c r="AC2526" s="199"/>
      <c r="AD2526" s="150">
        <f>AB2526+AC2526</f>
        <v>0</v>
      </c>
      <c r="AE2526" s="150">
        <v>0</v>
      </c>
      <c r="AF2526" s="169" t="s">
        <v>4680</v>
      </c>
      <c r="AG2526" s="201">
        <v>0</v>
      </c>
      <c r="AH2526" s="199"/>
      <c r="AI2526" s="150">
        <v>0</v>
      </c>
      <c r="AJ2526" s="169">
        <f t="shared" si="2204"/>
        <v>0</v>
      </c>
      <c r="AK2526" s="201">
        <v>0</v>
      </c>
      <c r="AL2526" s="199"/>
      <c r="AM2526" s="150">
        <f>AK2526+AL2526</f>
        <v>0</v>
      </c>
      <c r="AN2526" s="153">
        <f t="shared" si="2205"/>
        <v>0</v>
      </c>
      <c r="AO2526" s="154">
        <f t="shared" si="2206"/>
        <v>0</v>
      </c>
      <c r="AP2526" s="150">
        <v>0</v>
      </c>
      <c r="AQ2526" s="201">
        <v>0</v>
      </c>
      <c r="AR2526" s="199"/>
      <c r="AS2526" s="150">
        <f>AQ2526+AR2526</f>
        <v>0</v>
      </c>
      <c r="AT2526" s="155"/>
      <c r="AU2526" s="156">
        <f t="shared" si="2199"/>
        <v>0</v>
      </c>
      <c r="AV2526" s="156">
        <f t="shared" si="2200"/>
        <v>0</v>
      </c>
      <c r="AW2526" s="157"/>
      <c r="AX2526" s="150">
        <v>0</v>
      </c>
      <c r="AY2526" s="150">
        <v>0</v>
      </c>
      <c r="AZ2526" s="150"/>
      <c r="BA2526" s="150">
        <f>AY2526+AZ2526</f>
        <v>0</v>
      </c>
      <c r="BB2526" s="202">
        <v>9</v>
      </c>
      <c r="BC2526" s="202" t="s">
        <v>647</v>
      </c>
      <c r="BD2526" s="202" t="s">
        <v>632</v>
      </c>
      <c r="BE2526" s="202" t="s">
        <v>632</v>
      </c>
      <c r="BF2526" s="202" t="s">
        <v>632</v>
      </c>
      <c r="BG2526" s="203" t="s">
        <v>11109</v>
      </c>
      <c r="BH2526" s="216">
        <f>AS2526</f>
        <v>0</v>
      </c>
      <c r="BI2526" s="205"/>
      <c r="BJ2526" s="206" t="s">
        <v>11110</v>
      </c>
      <c r="BK2526" s="206" t="s">
        <v>11108</v>
      </c>
      <c r="BL2526" s="207" t="s">
        <v>11111</v>
      </c>
      <c r="BM2526" s="208">
        <f>BH2526</f>
        <v>0</v>
      </c>
      <c r="BN2526" s="160"/>
      <c r="BO2526" s="161">
        <f t="shared" si="2208"/>
        <v>0</v>
      </c>
      <c r="BP2526" s="161"/>
    </row>
    <row r="2527" spans="1:68" ht="25.5">
      <c r="A2527" s="255" t="s">
        <v>11114</v>
      </c>
      <c r="B2527" s="174"/>
      <c r="C2527" s="175" t="s">
        <v>11115</v>
      </c>
      <c r="D2527" s="146" t="s">
        <v>4692</v>
      </c>
      <c r="E2527" s="175" t="s">
        <v>11115</v>
      </c>
      <c r="F2527" s="178">
        <v>0</v>
      </c>
      <c r="G2527" s="177">
        <v>0</v>
      </c>
      <c r="H2527" s="177"/>
      <c r="I2527" s="177">
        <v>0</v>
      </c>
      <c r="J2527" s="178">
        <f>J2528</f>
        <v>0</v>
      </c>
      <c r="K2527" s="178">
        <f>K2528</f>
        <v>0</v>
      </c>
      <c r="L2527" s="178">
        <f t="shared" si="2231"/>
        <v>0</v>
      </c>
      <c r="M2527" s="178">
        <v>0</v>
      </c>
      <c r="N2527" s="178">
        <v>0</v>
      </c>
      <c r="O2527" s="178">
        <v>0</v>
      </c>
      <c r="P2527" s="319">
        <f t="shared" ref="P2527:R2528" si="2259">P2528</f>
        <v>0</v>
      </c>
      <c r="Q2527" s="319">
        <f t="shared" si="2259"/>
        <v>0</v>
      </c>
      <c r="R2527" s="319">
        <f t="shared" si="2259"/>
        <v>0</v>
      </c>
      <c r="S2527" s="150">
        <f t="shared" si="2184"/>
        <v>0</v>
      </c>
      <c r="T2527" s="213"/>
      <c r="U2527" s="319">
        <f t="shared" ref="U2527:W2528" si="2260">U2528</f>
        <v>0</v>
      </c>
      <c r="V2527" s="222">
        <f t="shared" si="2260"/>
        <v>0</v>
      </c>
      <c r="W2527" s="319">
        <f t="shared" si="2260"/>
        <v>0</v>
      </c>
      <c r="X2527" s="319">
        <v>0</v>
      </c>
      <c r="Y2527" s="319">
        <v>0</v>
      </c>
      <c r="Z2527" s="319">
        <v>0</v>
      </c>
      <c r="AA2527" s="319">
        <f t="shared" si="2203"/>
        <v>0</v>
      </c>
      <c r="AB2527" s="319">
        <v>0</v>
      </c>
      <c r="AC2527" s="222">
        <v>0</v>
      </c>
      <c r="AD2527" s="319">
        <f t="shared" ref="AD2527:AS2528" si="2261">AD2528</f>
        <v>0</v>
      </c>
      <c r="AE2527" s="319">
        <v>0</v>
      </c>
      <c r="AF2527" s="169" t="s">
        <v>4680</v>
      </c>
      <c r="AG2527" s="320">
        <v>0</v>
      </c>
      <c r="AH2527" s="222">
        <v>0</v>
      </c>
      <c r="AI2527" s="319">
        <v>0</v>
      </c>
      <c r="AJ2527" s="169">
        <f t="shared" si="2204"/>
        <v>0</v>
      </c>
      <c r="AK2527" s="320">
        <v>0</v>
      </c>
      <c r="AL2527" s="222">
        <v>0</v>
      </c>
      <c r="AM2527" s="319">
        <f t="shared" si="2261"/>
        <v>0</v>
      </c>
      <c r="AN2527" s="153">
        <f t="shared" si="2205"/>
        <v>0</v>
      </c>
      <c r="AO2527" s="154">
        <f t="shared" si="2206"/>
        <v>0</v>
      </c>
      <c r="AP2527" s="319">
        <v>0</v>
      </c>
      <c r="AQ2527" s="320">
        <v>0</v>
      </c>
      <c r="AR2527" s="222">
        <f t="shared" si="2261"/>
        <v>0</v>
      </c>
      <c r="AS2527" s="319">
        <f t="shared" si="2261"/>
        <v>0</v>
      </c>
      <c r="AT2527" s="155"/>
      <c r="AU2527" s="156">
        <f t="shared" si="2199"/>
        <v>0</v>
      </c>
      <c r="AV2527" s="156">
        <f t="shared" si="2200"/>
        <v>0</v>
      </c>
      <c r="AW2527" s="157"/>
      <c r="AX2527" s="150">
        <v>0</v>
      </c>
      <c r="AY2527" s="319">
        <f t="shared" ref="AY2527:BA2528" si="2262">AY2528</f>
        <v>0</v>
      </c>
      <c r="AZ2527" s="319">
        <f t="shared" si="2262"/>
        <v>0</v>
      </c>
      <c r="BA2527" s="319">
        <f t="shared" si="2262"/>
        <v>0</v>
      </c>
      <c r="BB2527" s="254">
        <v>9</v>
      </c>
      <c r="BC2527" s="255" t="s">
        <v>647</v>
      </c>
      <c r="BD2527" s="255" t="s">
        <v>647</v>
      </c>
      <c r="BE2527" s="173" t="s">
        <v>630</v>
      </c>
      <c r="BF2527" s="255" t="s">
        <v>630</v>
      </c>
      <c r="BG2527" s="175" t="s">
        <v>11115</v>
      </c>
      <c r="BH2527" s="224">
        <f>BH2528</f>
        <v>0</v>
      </c>
      <c r="BI2527" s="254"/>
      <c r="BJ2527" s="255" t="s">
        <v>11116</v>
      </c>
      <c r="BK2527" s="255" t="s">
        <v>11114</v>
      </c>
      <c r="BL2527" s="182" t="s">
        <v>11117</v>
      </c>
      <c r="BM2527" s="337">
        <f>BM2528</f>
        <v>0</v>
      </c>
      <c r="BN2527" s="160"/>
      <c r="BO2527" s="161">
        <f t="shared" si="2208"/>
        <v>0</v>
      </c>
      <c r="BP2527" s="161"/>
    </row>
    <row r="2528" spans="1:68" ht="25.5">
      <c r="A2528" s="256" t="s">
        <v>11114</v>
      </c>
      <c r="B2528" s="184"/>
      <c r="C2528" s="185" t="s">
        <v>11115</v>
      </c>
      <c r="D2528" s="146" t="s">
        <v>4692</v>
      </c>
      <c r="E2528" s="185" t="s">
        <v>11115</v>
      </c>
      <c r="F2528" s="188">
        <v>0</v>
      </c>
      <c r="G2528" s="187">
        <v>0</v>
      </c>
      <c r="H2528" s="187">
        <v>0</v>
      </c>
      <c r="I2528" s="187">
        <v>0</v>
      </c>
      <c r="J2528" s="188">
        <f>J2529</f>
        <v>0</v>
      </c>
      <c r="K2528" s="188">
        <f>K2529</f>
        <v>0</v>
      </c>
      <c r="L2528" s="188">
        <f t="shared" si="2231"/>
        <v>0</v>
      </c>
      <c r="M2528" s="188">
        <v>0</v>
      </c>
      <c r="N2528" s="188">
        <v>0</v>
      </c>
      <c r="O2528" s="188">
        <v>0</v>
      </c>
      <c r="P2528" s="299">
        <f t="shared" si="2259"/>
        <v>0</v>
      </c>
      <c r="Q2528" s="299">
        <f t="shared" si="2259"/>
        <v>0</v>
      </c>
      <c r="R2528" s="299">
        <f t="shared" si="2259"/>
        <v>0</v>
      </c>
      <c r="S2528" s="150">
        <f t="shared" si="2184"/>
        <v>0</v>
      </c>
      <c r="T2528" s="213"/>
      <c r="U2528" s="299">
        <f t="shared" si="2260"/>
        <v>0</v>
      </c>
      <c r="V2528" s="226">
        <f t="shared" si="2260"/>
        <v>0</v>
      </c>
      <c r="W2528" s="299">
        <f t="shared" si="2260"/>
        <v>0</v>
      </c>
      <c r="X2528" s="299">
        <v>0</v>
      </c>
      <c r="Y2528" s="299">
        <v>0</v>
      </c>
      <c r="Z2528" s="299">
        <v>0</v>
      </c>
      <c r="AA2528" s="299">
        <f t="shared" si="2203"/>
        <v>0</v>
      </c>
      <c r="AB2528" s="299">
        <v>0</v>
      </c>
      <c r="AC2528" s="226">
        <v>0</v>
      </c>
      <c r="AD2528" s="299">
        <f t="shared" si="2261"/>
        <v>0</v>
      </c>
      <c r="AE2528" s="299">
        <v>0</v>
      </c>
      <c r="AF2528" s="169" t="s">
        <v>4680</v>
      </c>
      <c r="AG2528" s="301">
        <v>0</v>
      </c>
      <c r="AH2528" s="226">
        <v>0</v>
      </c>
      <c r="AI2528" s="299">
        <v>0</v>
      </c>
      <c r="AJ2528" s="169">
        <f t="shared" si="2204"/>
        <v>0</v>
      </c>
      <c r="AK2528" s="301">
        <v>0</v>
      </c>
      <c r="AL2528" s="226">
        <v>0</v>
      </c>
      <c r="AM2528" s="299">
        <f t="shared" si="2261"/>
        <v>0</v>
      </c>
      <c r="AN2528" s="153">
        <f t="shared" si="2205"/>
        <v>0</v>
      </c>
      <c r="AO2528" s="154">
        <f t="shared" si="2206"/>
        <v>0</v>
      </c>
      <c r="AP2528" s="299">
        <v>0</v>
      </c>
      <c r="AQ2528" s="301">
        <v>0</v>
      </c>
      <c r="AR2528" s="226">
        <f t="shared" si="2261"/>
        <v>0</v>
      </c>
      <c r="AS2528" s="299">
        <f t="shared" si="2261"/>
        <v>0</v>
      </c>
      <c r="AT2528" s="155"/>
      <c r="AU2528" s="156">
        <f t="shared" si="2199"/>
        <v>0</v>
      </c>
      <c r="AV2528" s="156">
        <f t="shared" si="2200"/>
        <v>0</v>
      </c>
      <c r="AW2528" s="157"/>
      <c r="AX2528" s="150">
        <v>0</v>
      </c>
      <c r="AY2528" s="299">
        <f t="shared" si="2262"/>
        <v>0</v>
      </c>
      <c r="AZ2528" s="299">
        <f t="shared" si="2262"/>
        <v>0</v>
      </c>
      <c r="BA2528" s="299">
        <f t="shared" si="2262"/>
        <v>0</v>
      </c>
      <c r="BB2528" s="192">
        <v>9</v>
      </c>
      <c r="BC2528" s="256" t="s">
        <v>647</v>
      </c>
      <c r="BD2528" s="256" t="s">
        <v>647</v>
      </c>
      <c r="BE2528" s="256" t="s">
        <v>632</v>
      </c>
      <c r="BF2528" s="256" t="s">
        <v>630</v>
      </c>
      <c r="BG2528" s="185" t="s">
        <v>11115</v>
      </c>
      <c r="BH2528" s="215">
        <f>BH2529</f>
        <v>0</v>
      </c>
      <c r="BI2528" s="192"/>
      <c r="BJ2528" s="256" t="s">
        <v>11116</v>
      </c>
      <c r="BK2528" s="256" t="s">
        <v>11114</v>
      </c>
      <c r="BL2528" s="238" t="s">
        <v>11117</v>
      </c>
      <c r="BM2528" s="338">
        <f>BM2529</f>
        <v>0</v>
      </c>
      <c r="BN2528" s="160"/>
      <c r="BO2528" s="161">
        <f t="shared" si="2208"/>
        <v>0</v>
      </c>
      <c r="BP2528" s="161"/>
    </row>
    <row r="2529" spans="1:68" ht="25.5">
      <c r="A2529" s="206" t="s">
        <v>11114</v>
      </c>
      <c r="B2529" s="195" t="s">
        <v>11118</v>
      </c>
      <c r="C2529" s="196" t="s">
        <v>11119</v>
      </c>
      <c r="D2529" s="146" t="s">
        <v>4692</v>
      </c>
      <c r="E2529" s="196" t="s">
        <v>11119</v>
      </c>
      <c r="F2529" s="150">
        <v>0</v>
      </c>
      <c r="G2529" s="209">
        <v>0</v>
      </c>
      <c r="H2529" s="209">
        <v>0</v>
      </c>
      <c r="I2529" s="209">
        <v>0</v>
      </c>
      <c r="J2529" s="150">
        <v>0</v>
      </c>
      <c r="K2529" s="150">
        <v>0</v>
      </c>
      <c r="L2529" s="150">
        <f t="shared" si="2231"/>
        <v>0</v>
      </c>
      <c r="M2529" s="150">
        <v>0</v>
      </c>
      <c r="N2529" s="150"/>
      <c r="O2529" s="150">
        <v>0</v>
      </c>
      <c r="P2529" s="150">
        <v>0</v>
      </c>
      <c r="Q2529" s="150">
        <v>0</v>
      </c>
      <c r="R2529" s="150">
        <f>P2529+Q2529</f>
        <v>0</v>
      </c>
      <c r="S2529" s="150">
        <f t="shared" si="2184"/>
        <v>0</v>
      </c>
      <c r="T2529" s="150"/>
      <c r="U2529" s="150">
        <v>0</v>
      </c>
      <c r="V2529" s="199"/>
      <c r="W2529" s="150">
        <f>U2529+V2529</f>
        <v>0</v>
      </c>
      <c r="X2529" s="150">
        <v>0</v>
      </c>
      <c r="Y2529" s="150"/>
      <c r="Z2529" s="150">
        <v>0</v>
      </c>
      <c r="AA2529" s="150">
        <f t="shared" si="2203"/>
        <v>0</v>
      </c>
      <c r="AB2529" s="150">
        <v>0</v>
      </c>
      <c r="AC2529" s="199"/>
      <c r="AD2529" s="150">
        <f>AB2529+AC2529</f>
        <v>0</v>
      </c>
      <c r="AE2529" s="150">
        <v>0</v>
      </c>
      <c r="AF2529" s="169" t="s">
        <v>4680</v>
      </c>
      <c r="AG2529" s="201">
        <v>0</v>
      </c>
      <c r="AH2529" s="199"/>
      <c r="AI2529" s="150">
        <v>0</v>
      </c>
      <c r="AJ2529" s="169">
        <f t="shared" si="2204"/>
        <v>0</v>
      </c>
      <c r="AK2529" s="201">
        <v>0</v>
      </c>
      <c r="AL2529" s="199"/>
      <c r="AM2529" s="150">
        <f>AK2529+AL2529</f>
        <v>0</v>
      </c>
      <c r="AN2529" s="153">
        <f t="shared" si="2205"/>
        <v>0</v>
      </c>
      <c r="AO2529" s="154">
        <f t="shared" si="2206"/>
        <v>0</v>
      </c>
      <c r="AP2529" s="150">
        <v>0</v>
      </c>
      <c r="AQ2529" s="201">
        <v>0</v>
      </c>
      <c r="AR2529" s="199"/>
      <c r="AS2529" s="150">
        <f>AQ2529+AR2529</f>
        <v>0</v>
      </c>
      <c r="AT2529" s="155"/>
      <c r="AU2529" s="156">
        <f t="shared" si="2199"/>
        <v>0</v>
      </c>
      <c r="AV2529" s="156">
        <f t="shared" si="2200"/>
        <v>0</v>
      </c>
      <c r="AW2529" s="157"/>
      <c r="AX2529" s="150">
        <v>0</v>
      </c>
      <c r="AY2529" s="150">
        <v>0</v>
      </c>
      <c r="AZ2529" s="150"/>
      <c r="BA2529" s="150">
        <f>AY2529+AZ2529</f>
        <v>0</v>
      </c>
      <c r="BB2529" s="202">
        <v>9</v>
      </c>
      <c r="BC2529" s="202" t="s">
        <v>647</v>
      </c>
      <c r="BD2529" s="202" t="s">
        <v>647</v>
      </c>
      <c r="BE2529" s="202" t="s">
        <v>632</v>
      </c>
      <c r="BF2529" s="202" t="s">
        <v>632</v>
      </c>
      <c r="BG2529" s="203" t="s">
        <v>11115</v>
      </c>
      <c r="BH2529" s="216">
        <f>AS2529</f>
        <v>0</v>
      </c>
      <c r="BI2529" s="205"/>
      <c r="BJ2529" s="206" t="s">
        <v>11116</v>
      </c>
      <c r="BK2529" s="206" t="s">
        <v>11114</v>
      </c>
      <c r="BL2529" s="207" t="s">
        <v>11117</v>
      </c>
      <c r="BM2529" s="208">
        <f>BH2529</f>
        <v>0</v>
      </c>
      <c r="BN2529" s="160"/>
      <c r="BO2529" s="161">
        <f t="shared" si="2208"/>
        <v>0</v>
      </c>
      <c r="BP2529" s="161"/>
    </row>
    <row r="2530" spans="1:68" ht="38.25">
      <c r="A2530" s="262" t="s">
        <v>11120</v>
      </c>
      <c r="B2530" s="163"/>
      <c r="C2530" s="164" t="s">
        <v>11121</v>
      </c>
      <c r="D2530" s="146" t="s">
        <v>4692</v>
      </c>
      <c r="E2530" s="164" t="s">
        <v>11121</v>
      </c>
      <c r="F2530" s="167">
        <v>0</v>
      </c>
      <c r="G2530" s="166">
        <v>0</v>
      </c>
      <c r="H2530" s="166">
        <v>0</v>
      </c>
      <c r="I2530" s="166">
        <v>0</v>
      </c>
      <c r="J2530" s="167">
        <f t="shared" ref="J2530:K2532" si="2263">J2531</f>
        <v>0</v>
      </c>
      <c r="K2530" s="167">
        <f t="shared" si="2263"/>
        <v>0</v>
      </c>
      <c r="L2530" s="167">
        <f t="shared" si="2231"/>
        <v>0</v>
      </c>
      <c r="M2530" s="167">
        <v>0</v>
      </c>
      <c r="N2530" s="167">
        <v>0</v>
      </c>
      <c r="O2530" s="167">
        <v>0</v>
      </c>
      <c r="P2530" s="340">
        <f t="shared" ref="P2530:R2532" si="2264">P2531</f>
        <v>0</v>
      </c>
      <c r="Q2530" s="340">
        <f t="shared" si="2264"/>
        <v>0</v>
      </c>
      <c r="R2530" s="340">
        <f t="shared" si="2264"/>
        <v>0</v>
      </c>
      <c r="S2530" s="150">
        <f t="shared" si="2184"/>
        <v>0</v>
      </c>
      <c r="T2530" s="213"/>
      <c r="U2530" s="340">
        <f t="shared" ref="U2530:W2532" si="2265">U2531</f>
        <v>0</v>
      </c>
      <c r="V2530" s="233">
        <f t="shared" si="2265"/>
        <v>0</v>
      </c>
      <c r="W2530" s="340">
        <f t="shared" si="2265"/>
        <v>0</v>
      </c>
      <c r="X2530" s="340">
        <v>0</v>
      </c>
      <c r="Y2530" s="340">
        <v>0</v>
      </c>
      <c r="Z2530" s="340">
        <v>0</v>
      </c>
      <c r="AA2530" s="340">
        <f t="shared" si="2203"/>
        <v>0</v>
      </c>
      <c r="AB2530" s="340">
        <v>0</v>
      </c>
      <c r="AC2530" s="233">
        <v>0</v>
      </c>
      <c r="AD2530" s="340">
        <f t="shared" ref="AD2530:AS2532" si="2266">AD2531</f>
        <v>0</v>
      </c>
      <c r="AE2530" s="340">
        <v>0</v>
      </c>
      <c r="AF2530" s="169" t="s">
        <v>4680</v>
      </c>
      <c r="AG2530" s="342">
        <v>0</v>
      </c>
      <c r="AH2530" s="233">
        <v>0</v>
      </c>
      <c r="AI2530" s="340">
        <v>0</v>
      </c>
      <c r="AJ2530" s="169">
        <f t="shared" si="2204"/>
        <v>0</v>
      </c>
      <c r="AK2530" s="342">
        <v>0</v>
      </c>
      <c r="AL2530" s="233">
        <v>0</v>
      </c>
      <c r="AM2530" s="340">
        <f t="shared" si="2266"/>
        <v>0</v>
      </c>
      <c r="AN2530" s="153">
        <f t="shared" si="2205"/>
        <v>0</v>
      </c>
      <c r="AO2530" s="154">
        <f t="shared" si="2206"/>
        <v>0</v>
      </c>
      <c r="AP2530" s="340">
        <v>0</v>
      </c>
      <c r="AQ2530" s="342">
        <v>0</v>
      </c>
      <c r="AR2530" s="233">
        <f t="shared" si="2266"/>
        <v>0</v>
      </c>
      <c r="AS2530" s="340">
        <f t="shared" si="2266"/>
        <v>0</v>
      </c>
      <c r="AT2530" s="155"/>
      <c r="AU2530" s="156">
        <f t="shared" si="2199"/>
        <v>0</v>
      </c>
      <c r="AV2530" s="156">
        <f t="shared" si="2200"/>
        <v>0</v>
      </c>
      <c r="AW2530" s="157"/>
      <c r="AX2530" s="150">
        <v>0</v>
      </c>
      <c r="AY2530" s="340">
        <f t="shared" ref="AY2530:BA2532" si="2267">AY2531</f>
        <v>0</v>
      </c>
      <c r="AZ2530" s="340">
        <f t="shared" si="2267"/>
        <v>0</v>
      </c>
      <c r="BA2530" s="340">
        <f t="shared" si="2267"/>
        <v>0</v>
      </c>
      <c r="BB2530" s="263">
        <v>9</v>
      </c>
      <c r="BC2530" s="262" t="s">
        <v>671</v>
      </c>
      <c r="BD2530" s="262" t="s">
        <v>630</v>
      </c>
      <c r="BE2530" s="162" t="s">
        <v>630</v>
      </c>
      <c r="BF2530" s="262" t="s">
        <v>630</v>
      </c>
      <c r="BG2530" s="164" t="s">
        <v>11121</v>
      </c>
      <c r="BH2530" s="235">
        <f>BH2531</f>
        <v>0</v>
      </c>
      <c r="BI2530" s="263"/>
      <c r="BJ2530" s="262" t="s">
        <v>11122</v>
      </c>
      <c r="BK2530" s="262" t="s">
        <v>11120</v>
      </c>
      <c r="BL2530" s="172" t="s">
        <v>11123</v>
      </c>
      <c r="BM2530" s="349">
        <f>BM2531</f>
        <v>0</v>
      </c>
      <c r="BN2530" s="160"/>
      <c r="BO2530" s="161">
        <f t="shared" si="2208"/>
        <v>0</v>
      </c>
      <c r="BP2530" s="161"/>
    </row>
    <row r="2531" spans="1:68" ht="38.25">
      <c r="A2531" s="255" t="s">
        <v>11120</v>
      </c>
      <c r="B2531" s="174"/>
      <c r="C2531" s="175" t="s">
        <v>11121</v>
      </c>
      <c r="D2531" s="146" t="s">
        <v>4692</v>
      </c>
      <c r="E2531" s="175" t="s">
        <v>11121</v>
      </c>
      <c r="F2531" s="178">
        <v>0</v>
      </c>
      <c r="G2531" s="177">
        <v>0</v>
      </c>
      <c r="H2531" s="177"/>
      <c r="I2531" s="177">
        <v>0</v>
      </c>
      <c r="J2531" s="178">
        <f t="shared" si="2263"/>
        <v>0</v>
      </c>
      <c r="K2531" s="178">
        <f t="shared" si="2263"/>
        <v>0</v>
      </c>
      <c r="L2531" s="178">
        <f t="shared" si="2231"/>
        <v>0</v>
      </c>
      <c r="M2531" s="178">
        <v>0</v>
      </c>
      <c r="N2531" s="178">
        <v>0</v>
      </c>
      <c r="O2531" s="178">
        <v>0</v>
      </c>
      <c r="P2531" s="319">
        <f t="shared" si="2264"/>
        <v>0</v>
      </c>
      <c r="Q2531" s="319">
        <f t="shared" si="2264"/>
        <v>0</v>
      </c>
      <c r="R2531" s="319">
        <f t="shared" si="2264"/>
        <v>0</v>
      </c>
      <c r="S2531" s="150">
        <f t="shared" si="2184"/>
        <v>0</v>
      </c>
      <c r="T2531" s="213"/>
      <c r="U2531" s="319">
        <f t="shared" si="2265"/>
        <v>0</v>
      </c>
      <c r="V2531" s="222">
        <f t="shared" si="2265"/>
        <v>0</v>
      </c>
      <c r="W2531" s="319">
        <f t="shared" si="2265"/>
        <v>0</v>
      </c>
      <c r="X2531" s="319">
        <v>0</v>
      </c>
      <c r="Y2531" s="319">
        <v>0</v>
      </c>
      <c r="Z2531" s="319">
        <v>0</v>
      </c>
      <c r="AA2531" s="319">
        <f t="shared" si="2203"/>
        <v>0</v>
      </c>
      <c r="AB2531" s="319">
        <v>0</v>
      </c>
      <c r="AC2531" s="222">
        <v>0</v>
      </c>
      <c r="AD2531" s="319">
        <f t="shared" si="2266"/>
        <v>0</v>
      </c>
      <c r="AE2531" s="319">
        <v>0</v>
      </c>
      <c r="AF2531" s="169" t="s">
        <v>4680</v>
      </c>
      <c r="AG2531" s="320">
        <v>0</v>
      </c>
      <c r="AH2531" s="222">
        <v>0</v>
      </c>
      <c r="AI2531" s="319">
        <v>0</v>
      </c>
      <c r="AJ2531" s="169">
        <f t="shared" si="2204"/>
        <v>0</v>
      </c>
      <c r="AK2531" s="320">
        <v>0</v>
      </c>
      <c r="AL2531" s="222">
        <v>0</v>
      </c>
      <c r="AM2531" s="319">
        <f t="shared" si="2266"/>
        <v>0</v>
      </c>
      <c r="AN2531" s="153">
        <f t="shared" si="2205"/>
        <v>0</v>
      </c>
      <c r="AO2531" s="154">
        <f t="shared" si="2206"/>
        <v>0</v>
      </c>
      <c r="AP2531" s="319">
        <v>0</v>
      </c>
      <c r="AQ2531" s="320">
        <v>0</v>
      </c>
      <c r="AR2531" s="222">
        <f t="shared" si="2266"/>
        <v>0</v>
      </c>
      <c r="AS2531" s="319">
        <f t="shared" si="2266"/>
        <v>0</v>
      </c>
      <c r="AT2531" s="155"/>
      <c r="AU2531" s="156">
        <f t="shared" si="2199"/>
        <v>0</v>
      </c>
      <c r="AV2531" s="156">
        <f t="shared" si="2200"/>
        <v>0</v>
      </c>
      <c r="AW2531" s="157"/>
      <c r="AX2531" s="150">
        <v>0</v>
      </c>
      <c r="AY2531" s="319">
        <f t="shared" si="2267"/>
        <v>0</v>
      </c>
      <c r="AZ2531" s="319">
        <f t="shared" si="2267"/>
        <v>0</v>
      </c>
      <c r="BA2531" s="319">
        <f t="shared" si="2267"/>
        <v>0</v>
      </c>
      <c r="BB2531" s="254">
        <v>9</v>
      </c>
      <c r="BC2531" s="255" t="s">
        <v>671</v>
      </c>
      <c r="BD2531" s="255" t="s">
        <v>632</v>
      </c>
      <c r="BE2531" s="173" t="s">
        <v>630</v>
      </c>
      <c r="BF2531" s="255" t="s">
        <v>630</v>
      </c>
      <c r="BG2531" s="175" t="s">
        <v>11121</v>
      </c>
      <c r="BH2531" s="224">
        <f>BH2532</f>
        <v>0</v>
      </c>
      <c r="BI2531" s="254"/>
      <c r="BJ2531" s="255" t="s">
        <v>11122</v>
      </c>
      <c r="BK2531" s="255" t="s">
        <v>11120</v>
      </c>
      <c r="BL2531" s="182" t="s">
        <v>11123</v>
      </c>
      <c r="BM2531" s="337">
        <f>BM2532</f>
        <v>0</v>
      </c>
      <c r="BN2531" s="160"/>
      <c r="BO2531" s="161">
        <f t="shared" si="2208"/>
        <v>0</v>
      </c>
      <c r="BP2531" s="161"/>
    </row>
    <row r="2532" spans="1:68" ht="38.25">
      <c r="A2532" s="256" t="s">
        <v>11120</v>
      </c>
      <c r="B2532" s="184"/>
      <c r="C2532" s="185" t="s">
        <v>11121</v>
      </c>
      <c r="D2532" s="146" t="s">
        <v>4692</v>
      </c>
      <c r="E2532" s="185" t="s">
        <v>11121</v>
      </c>
      <c r="F2532" s="188">
        <v>0</v>
      </c>
      <c r="G2532" s="187">
        <v>-290149333.06</v>
      </c>
      <c r="H2532" s="187">
        <v>227387100.42617914</v>
      </c>
      <c r="I2532" s="187">
        <v>-62762232.633820966</v>
      </c>
      <c r="J2532" s="188">
        <f t="shared" si="2263"/>
        <v>0</v>
      </c>
      <c r="K2532" s="188">
        <f t="shared" si="2263"/>
        <v>0</v>
      </c>
      <c r="L2532" s="188">
        <f t="shared" si="2231"/>
        <v>0</v>
      </c>
      <c r="M2532" s="188">
        <v>0</v>
      </c>
      <c r="N2532" s="188">
        <v>0</v>
      </c>
      <c r="O2532" s="188">
        <v>0</v>
      </c>
      <c r="P2532" s="299">
        <f t="shared" si="2264"/>
        <v>0</v>
      </c>
      <c r="Q2532" s="299">
        <f t="shared" si="2264"/>
        <v>0</v>
      </c>
      <c r="R2532" s="299">
        <f t="shared" si="2264"/>
        <v>0</v>
      </c>
      <c r="S2532" s="150">
        <f t="shared" si="2184"/>
        <v>0</v>
      </c>
      <c r="T2532" s="213"/>
      <c r="U2532" s="299">
        <f t="shared" si="2265"/>
        <v>0</v>
      </c>
      <c r="V2532" s="226">
        <f t="shared" si="2265"/>
        <v>0</v>
      </c>
      <c r="W2532" s="299">
        <f t="shared" si="2265"/>
        <v>0</v>
      </c>
      <c r="X2532" s="299">
        <v>0</v>
      </c>
      <c r="Y2532" s="299">
        <v>0</v>
      </c>
      <c r="Z2532" s="299">
        <v>0</v>
      </c>
      <c r="AA2532" s="299">
        <f t="shared" si="2203"/>
        <v>0</v>
      </c>
      <c r="AB2532" s="299">
        <v>0</v>
      </c>
      <c r="AC2532" s="226">
        <v>0</v>
      </c>
      <c r="AD2532" s="299">
        <f t="shared" si="2266"/>
        <v>0</v>
      </c>
      <c r="AE2532" s="299">
        <v>0</v>
      </c>
      <c r="AF2532" s="169" t="s">
        <v>4680</v>
      </c>
      <c r="AG2532" s="301">
        <v>0</v>
      </c>
      <c r="AH2532" s="226">
        <v>0</v>
      </c>
      <c r="AI2532" s="299">
        <v>0</v>
      </c>
      <c r="AJ2532" s="169">
        <f t="shared" si="2204"/>
        <v>0</v>
      </c>
      <c r="AK2532" s="301">
        <v>0</v>
      </c>
      <c r="AL2532" s="226">
        <v>0</v>
      </c>
      <c r="AM2532" s="299">
        <f t="shared" si="2266"/>
        <v>0</v>
      </c>
      <c r="AN2532" s="153">
        <f t="shared" si="2205"/>
        <v>0</v>
      </c>
      <c r="AO2532" s="154">
        <f t="shared" si="2206"/>
        <v>0</v>
      </c>
      <c r="AP2532" s="299">
        <v>0</v>
      </c>
      <c r="AQ2532" s="301">
        <v>0</v>
      </c>
      <c r="AR2532" s="226">
        <f t="shared" si="2266"/>
        <v>0</v>
      </c>
      <c r="AS2532" s="299">
        <f t="shared" si="2266"/>
        <v>0</v>
      </c>
      <c r="AT2532" s="155"/>
      <c r="AU2532" s="156">
        <f t="shared" si="2199"/>
        <v>0</v>
      </c>
      <c r="AV2532" s="156">
        <f t="shared" si="2200"/>
        <v>0</v>
      </c>
      <c r="AW2532" s="157"/>
      <c r="AX2532" s="150">
        <v>0</v>
      </c>
      <c r="AY2532" s="299">
        <f t="shared" si="2267"/>
        <v>0</v>
      </c>
      <c r="AZ2532" s="299">
        <f t="shared" si="2267"/>
        <v>0</v>
      </c>
      <c r="BA2532" s="299">
        <f t="shared" si="2267"/>
        <v>0</v>
      </c>
      <c r="BB2532" s="192">
        <v>9</v>
      </c>
      <c r="BC2532" s="256" t="s">
        <v>671</v>
      </c>
      <c r="BD2532" s="256" t="s">
        <v>632</v>
      </c>
      <c r="BE2532" s="256" t="s">
        <v>632</v>
      </c>
      <c r="BF2532" s="256" t="s">
        <v>630</v>
      </c>
      <c r="BG2532" s="185" t="s">
        <v>11121</v>
      </c>
      <c r="BH2532" s="215">
        <f>BH2533</f>
        <v>0</v>
      </c>
      <c r="BI2532" s="192"/>
      <c r="BJ2532" s="256" t="s">
        <v>11122</v>
      </c>
      <c r="BK2532" s="256" t="s">
        <v>11120</v>
      </c>
      <c r="BL2532" s="238" t="s">
        <v>11123</v>
      </c>
      <c r="BM2532" s="338">
        <f>BM2533</f>
        <v>0</v>
      </c>
      <c r="BN2532" s="160"/>
      <c r="BO2532" s="161">
        <f t="shared" si="2208"/>
        <v>0</v>
      </c>
      <c r="BP2532" s="161"/>
    </row>
    <row r="2533" spans="1:68" ht="38.25">
      <c r="A2533" s="206" t="s">
        <v>11120</v>
      </c>
      <c r="B2533" s="195" t="s">
        <v>11124</v>
      </c>
      <c r="C2533" s="196" t="s">
        <v>11121</v>
      </c>
      <c r="D2533" s="146" t="s">
        <v>4692</v>
      </c>
      <c r="E2533" s="196" t="s">
        <v>11121</v>
      </c>
      <c r="F2533" s="150">
        <v>0</v>
      </c>
      <c r="G2533" s="209"/>
      <c r="H2533" s="209"/>
      <c r="I2533" s="209"/>
      <c r="J2533" s="150">
        <v>0</v>
      </c>
      <c r="K2533" s="150">
        <v>0</v>
      </c>
      <c r="L2533" s="150">
        <f t="shared" si="2231"/>
        <v>0</v>
      </c>
      <c r="M2533" s="150">
        <v>0</v>
      </c>
      <c r="N2533" s="150"/>
      <c r="O2533" s="150">
        <v>0</v>
      </c>
      <c r="P2533" s="150">
        <v>0</v>
      </c>
      <c r="Q2533" s="150">
        <v>0</v>
      </c>
      <c r="R2533" s="150">
        <f>P2533+Q2533</f>
        <v>0</v>
      </c>
      <c r="S2533" s="150">
        <f t="shared" si="2184"/>
        <v>0</v>
      </c>
      <c r="T2533" s="150"/>
      <c r="U2533" s="150">
        <v>0</v>
      </c>
      <c r="V2533" s="199"/>
      <c r="W2533" s="150">
        <f>U2533+V2533</f>
        <v>0</v>
      </c>
      <c r="X2533" s="150">
        <v>0</v>
      </c>
      <c r="Y2533" s="150"/>
      <c r="Z2533" s="150">
        <v>0</v>
      </c>
      <c r="AA2533" s="150">
        <f t="shared" si="2203"/>
        <v>0</v>
      </c>
      <c r="AB2533" s="150">
        <v>0</v>
      </c>
      <c r="AC2533" s="199"/>
      <c r="AD2533" s="150">
        <f>AB2533+AC2533</f>
        <v>0</v>
      </c>
      <c r="AE2533" s="150">
        <v>0</v>
      </c>
      <c r="AF2533" s="169" t="s">
        <v>4680</v>
      </c>
      <c r="AG2533" s="201">
        <v>0</v>
      </c>
      <c r="AH2533" s="199"/>
      <c r="AI2533" s="150">
        <v>0</v>
      </c>
      <c r="AJ2533" s="169">
        <f t="shared" si="2204"/>
        <v>0</v>
      </c>
      <c r="AK2533" s="201">
        <v>0</v>
      </c>
      <c r="AL2533" s="199"/>
      <c r="AM2533" s="150">
        <f>AK2533+AL2533</f>
        <v>0</v>
      </c>
      <c r="AN2533" s="153">
        <f t="shared" si="2205"/>
        <v>0</v>
      </c>
      <c r="AO2533" s="154">
        <f t="shared" si="2206"/>
        <v>0</v>
      </c>
      <c r="AP2533" s="150">
        <v>0</v>
      </c>
      <c r="AQ2533" s="201">
        <v>0</v>
      </c>
      <c r="AR2533" s="199"/>
      <c r="AS2533" s="150">
        <f>AQ2533+AR2533</f>
        <v>0</v>
      </c>
      <c r="AT2533" s="155"/>
      <c r="AU2533" s="156">
        <f t="shared" si="2199"/>
        <v>0</v>
      </c>
      <c r="AV2533" s="156">
        <f t="shared" si="2200"/>
        <v>0</v>
      </c>
      <c r="AW2533" s="157"/>
      <c r="AX2533" s="150">
        <v>0</v>
      </c>
      <c r="AY2533" s="150">
        <v>0</v>
      </c>
      <c r="AZ2533" s="150"/>
      <c r="BA2533" s="150">
        <f>AY2533+AZ2533</f>
        <v>0</v>
      </c>
      <c r="BB2533" s="202">
        <v>9</v>
      </c>
      <c r="BC2533" s="194" t="s">
        <v>671</v>
      </c>
      <c r="BD2533" s="194" t="s">
        <v>632</v>
      </c>
      <c r="BE2533" s="202" t="s">
        <v>632</v>
      </c>
      <c r="BF2533" s="202" t="s">
        <v>632</v>
      </c>
      <c r="BG2533" s="203" t="s">
        <v>11121</v>
      </c>
      <c r="BH2533" s="216">
        <f>AS2533</f>
        <v>0</v>
      </c>
      <c r="BI2533" s="205"/>
      <c r="BJ2533" s="206" t="s">
        <v>11122</v>
      </c>
      <c r="BK2533" s="206" t="s">
        <v>11120</v>
      </c>
      <c r="BL2533" s="207" t="s">
        <v>11123</v>
      </c>
      <c r="BM2533" s="208">
        <f>BH2533</f>
        <v>0</v>
      </c>
      <c r="BN2533" s="160"/>
      <c r="BO2533" s="161">
        <f t="shared" si="2208"/>
        <v>0</v>
      </c>
      <c r="BP2533" s="161"/>
    </row>
    <row r="2534" spans="1:68">
      <c r="A2534" s="388"/>
      <c r="B2534" s="389"/>
      <c r="C2534" s="390"/>
      <c r="E2534" s="391"/>
      <c r="F2534" s="392">
        <v>131539.23999994062</v>
      </c>
      <c r="G2534" s="393"/>
      <c r="H2534" s="393"/>
      <c r="I2534" s="393"/>
      <c r="J2534" s="392">
        <f>J2-J499+J2232+J2285+J2298-J2501</f>
        <v>-67135974.230000019</v>
      </c>
      <c r="K2534" s="392">
        <f>K2-K499+K2232+K2285+K2298-K2501</f>
        <v>53564451.224693842</v>
      </c>
      <c r="L2534" s="392">
        <f>L2-L499+L2232+L2285+L2298-L2501</f>
        <v>-13571523.005306156</v>
      </c>
      <c r="M2534" s="392">
        <v>-159606427.50419998</v>
      </c>
      <c r="N2534" s="392">
        <v>112104729.096644</v>
      </c>
      <c r="O2534" s="392">
        <f t="shared" ref="O2534:BA2534" si="2268">O2-O499+O2232+O2285+O2298-O2501</f>
        <v>-47501698.407555953</v>
      </c>
      <c r="P2534" s="392">
        <f t="shared" si="2268"/>
        <v>-237815492.58999997</v>
      </c>
      <c r="Q2534" s="392">
        <f t="shared" si="2268"/>
        <v>181237706.07277325</v>
      </c>
      <c r="R2534" s="392">
        <f t="shared" si="2268"/>
        <v>-56577786.517226793</v>
      </c>
      <c r="S2534" s="150">
        <f t="shared" si="2184"/>
        <v>-75437048.689635724</v>
      </c>
      <c r="T2534" s="213"/>
      <c r="U2534" s="392">
        <f t="shared" ref="U2534:W2534" si="2269">U2-U499+U2232+U2285+U2298-U2501</f>
        <v>-328504562.32882017</v>
      </c>
      <c r="V2534" s="394">
        <f t="shared" si="2269"/>
        <v>245026010.68244326</v>
      </c>
      <c r="W2534" s="392">
        <f t="shared" si="2269"/>
        <v>-83478551.646377087</v>
      </c>
      <c r="X2534" s="392"/>
      <c r="Y2534" s="392"/>
      <c r="Z2534" s="392">
        <f t="shared" si="2268"/>
        <v>-83478551.646377087</v>
      </c>
      <c r="AA2534" s="392">
        <f t="shared" si="2268"/>
        <v>-1262915.3410597909</v>
      </c>
      <c r="AB2534" s="392">
        <v>-329608184.74882019</v>
      </c>
      <c r="AC2534" s="394">
        <v>244866717.76138335</v>
      </c>
      <c r="AD2534" s="392">
        <f t="shared" si="2268"/>
        <v>-84741466.987436876</v>
      </c>
      <c r="AE2534" s="392">
        <f t="shared" si="2268"/>
        <v>-73483884.790736869</v>
      </c>
      <c r="AF2534" s="394"/>
      <c r="AG2534" s="392">
        <v>-329772939.11882025</v>
      </c>
      <c r="AH2534" s="394">
        <v>330037369.68908334</v>
      </c>
      <c r="AI2534" s="392">
        <v>264430.5702631399</v>
      </c>
      <c r="AJ2534" s="392">
        <v>264430.5702631399</v>
      </c>
      <c r="AK2534" s="392">
        <v>-328726420.2388202</v>
      </c>
      <c r="AL2534" s="394">
        <v>328946533.4190833</v>
      </c>
      <c r="AM2534" s="392">
        <f>AM2-AM499+AM2232+AM2285+AM2298-AM2501</f>
        <v>220113.18026315048</v>
      </c>
      <c r="AN2534" s="153">
        <f t="shared" si="2205"/>
        <v>-70710.990263199434</v>
      </c>
      <c r="AO2534" s="154">
        <f t="shared" si="2206"/>
        <v>-70710.990263199434</v>
      </c>
      <c r="AP2534" s="392">
        <v>220113.18026315048</v>
      </c>
      <c r="AQ2534" s="392">
        <v>149402.18999995105</v>
      </c>
      <c r="AR2534" s="394">
        <f t="shared" si="2268"/>
        <v>0</v>
      </c>
      <c r="AS2534" s="392">
        <f>AS2-AS499+AS2232+AS2285+AS2298-AS2501</f>
        <v>149402.18999995105</v>
      </c>
      <c r="AT2534" s="155"/>
      <c r="AU2534" s="156">
        <f>AD2534-F2534</f>
        <v>-84873006.227436811</v>
      </c>
      <c r="AV2534" s="156">
        <f t="shared" si="2200"/>
        <v>-1262915.3410597891</v>
      </c>
      <c r="AW2534" s="157"/>
      <c r="AX2534" s="150">
        <v>-83478551.646377087</v>
      </c>
      <c r="AY2534" s="392">
        <f t="shared" si="2268"/>
        <v>-203034915.81499997</v>
      </c>
      <c r="AZ2534" s="392">
        <f t="shared" si="2268"/>
        <v>123282235.71845719</v>
      </c>
      <c r="BA2534" s="392">
        <f t="shared" si="2268"/>
        <v>-82065932.981542885</v>
      </c>
      <c r="BB2534" s="388"/>
      <c r="BC2534" s="388"/>
      <c r="BD2534" s="388"/>
      <c r="BE2534" s="388"/>
      <c r="BF2534" s="388"/>
      <c r="BG2534" s="388"/>
      <c r="BH2534" s="392">
        <f>BH2-BH499+BH2232+BH2285+BH2298-BH2501</f>
        <v>149402.19000001065</v>
      </c>
      <c r="BI2534" s="388"/>
      <c r="BJ2534" s="388"/>
      <c r="BK2534" s="388"/>
      <c r="BL2534" s="388"/>
      <c r="BM2534" s="392">
        <f>BM2-BM499+BM2232+BM2285+BM2298-BM2501</f>
        <v>149402.19000001065</v>
      </c>
      <c r="BN2534" s="160"/>
      <c r="BO2534" s="161">
        <f t="shared" si="2208"/>
        <v>5.9604644775390625E-8</v>
      </c>
      <c r="BP2534" s="161"/>
    </row>
    <row r="2535" spans="1:68">
      <c r="A2535" s="395"/>
      <c r="B2535" s="396"/>
      <c r="C2535" s="390"/>
      <c r="E2535" s="390"/>
      <c r="F2535" s="397"/>
      <c r="G2535" s="398"/>
      <c r="H2535" s="398"/>
      <c r="I2535" s="398"/>
      <c r="J2535" s="397"/>
      <c r="K2535" s="397"/>
      <c r="L2535" s="397"/>
      <c r="M2535" s="397"/>
      <c r="N2535" s="397"/>
      <c r="O2535" s="397"/>
      <c r="P2535" s="397"/>
      <c r="Q2535" s="397"/>
      <c r="R2535" s="397"/>
      <c r="S2535" s="150"/>
      <c r="T2535" s="213"/>
      <c r="U2535" s="213"/>
      <c r="V2535" s="399"/>
      <c r="W2535" s="213"/>
      <c r="X2535" s="213"/>
      <c r="Y2535" s="213"/>
      <c r="Z2535" s="213"/>
      <c r="AA2535" s="213"/>
      <c r="AB2535" s="213"/>
      <c r="AC2535" s="399"/>
      <c r="AD2535" s="213"/>
      <c r="AE2535" s="213"/>
      <c r="AF2535" s="399"/>
      <c r="AG2535" s="213"/>
      <c r="AH2535" s="399"/>
      <c r="AI2535" s="400"/>
      <c r="AJ2535" s="399"/>
      <c r="AK2535" s="213"/>
      <c r="AL2535" s="399"/>
      <c r="AM2535" s="400"/>
      <c r="AN2535" s="153">
        <f t="shared" si="2205"/>
        <v>0</v>
      </c>
      <c r="AO2535" s="154">
        <f t="shared" si="2206"/>
        <v>0</v>
      </c>
      <c r="AP2535" s="400"/>
      <c r="AQ2535" s="213"/>
      <c r="AR2535" s="399"/>
      <c r="AS2535" s="400"/>
      <c r="AT2535" s="397"/>
      <c r="AU2535" s="401"/>
      <c r="AW2535" s="402"/>
      <c r="AX2535" s="403"/>
      <c r="AY2535" s="397"/>
      <c r="AZ2535" s="397"/>
      <c r="BA2535" s="397"/>
      <c r="BB2535" s="397"/>
      <c r="BC2535" s="395"/>
      <c r="BD2535" s="395"/>
      <c r="BE2535" s="395"/>
      <c r="BF2535" s="395"/>
      <c r="BG2535" s="395"/>
      <c r="BH2535" s="211"/>
      <c r="BI2535" s="395"/>
      <c r="BJ2535" s="395"/>
      <c r="BK2535" s="395"/>
      <c r="BL2535" s="395"/>
      <c r="BM2535" s="404"/>
      <c r="BN2535" s="160"/>
      <c r="BO2535" s="161">
        <f t="shared" si="2208"/>
        <v>0</v>
      </c>
    </row>
    <row r="2536" spans="1:68">
      <c r="A2536" s="395"/>
      <c r="B2536" s="396"/>
      <c r="C2536" s="390"/>
      <c r="E2536" s="390"/>
      <c r="F2536" s="405"/>
      <c r="G2536" s="398"/>
      <c r="H2536" s="398"/>
      <c r="I2536" s="398"/>
      <c r="J2536" s="405"/>
      <c r="K2536" s="405"/>
      <c r="L2536" s="405"/>
      <c r="M2536" s="405"/>
      <c r="N2536" s="405"/>
      <c r="O2536" s="405"/>
      <c r="P2536" s="405"/>
      <c r="Q2536" s="405"/>
      <c r="R2536" s="405"/>
      <c r="S2536" s="150"/>
      <c r="T2536" s="213"/>
      <c r="U2536" s="213"/>
      <c r="V2536" s="399"/>
      <c r="W2536" s="213"/>
      <c r="X2536" s="213"/>
      <c r="Y2536" s="213"/>
      <c r="Z2536" s="213"/>
      <c r="AA2536" s="213"/>
      <c r="AB2536" s="213"/>
      <c r="AC2536" s="399"/>
      <c r="AD2536" s="213"/>
      <c r="AE2536" s="213">
        <v>73025000</v>
      </c>
      <c r="AF2536" s="399"/>
      <c r="AG2536" s="213"/>
      <c r="AH2536" s="399"/>
      <c r="AI2536" s="400"/>
      <c r="AJ2536" s="399"/>
      <c r="AK2536" s="213"/>
      <c r="AL2536" s="399"/>
      <c r="AM2536" s="400"/>
      <c r="AN2536" s="153">
        <f t="shared" si="2205"/>
        <v>0</v>
      </c>
      <c r="AO2536" s="154">
        <f t="shared" si="2206"/>
        <v>0</v>
      </c>
      <c r="AP2536" s="400"/>
      <c r="AQ2536" s="213"/>
      <c r="AR2536" s="399"/>
      <c r="AS2536" s="400"/>
      <c r="AT2536" s="397"/>
      <c r="AU2536" s="401"/>
      <c r="AW2536" s="402"/>
      <c r="AX2536" s="403"/>
      <c r="AY2536" s="397"/>
      <c r="AZ2536" s="397"/>
      <c r="BA2536" s="397"/>
      <c r="BB2536" s="397"/>
      <c r="BC2536" s="395"/>
      <c r="BD2536" s="395"/>
      <c r="BE2536" s="395"/>
      <c r="BF2536" s="395"/>
      <c r="BG2536" s="395"/>
      <c r="BH2536" s="211"/>
      <c r="BI2536" s="395"/>
      <c r="BJ2536" s="395"/>
      <c r="BK2536" s="395"/>
      <c r="BL2536" s="395"/>
      <c r="BM2536" s="404"/>
      <c r="BN2536" s="160"/>
      <c r="BO2536" s="161">
        <f t="shared" si="2208"/>
        <v>0</v>
      </c>
    </row>
    <row r="2537" spans="1:68">
      <c r="A2537" s="395"/>
      <c r="B2537" s="396"/>
      <c r="C2537" s="390"/>
      <c r="E2537" s="390"/>
      <c r="F2537" s="397"/>
      <c r="G2537" s="398"/>
      <c r="H2537" s="398"/>
      <c r="I2537" s="398"/>
      <c r="J2537" s="397"/>
      <c r="K2537" s="397"/>
      <c r="L2537" s="397"/>
      <c r="M2537" s="397"/>
      <c r="N2537" s="397"/>
      <c r="O2537" s="397"/>
      <c r="P2537" s="397"/>
      <c r="Q2537" s="397"/>
      <c r="R2537" s="397"/>
      <c r="S2537" s="397"/>
      <c r="T2537" s="397"/>
      <c r="U2537" s="397"/>
      <c r="V2537" s="400"/>
      <c r="W2537" s="397"/>
      <c r="X2537" s="397"/>
      <c r="Y2537" s="397"/>
      <c r="Z2537" s="397"/>
      <c r="AA2537" s="397"/>
      <c r="AB2537" s="397"/>
      <c r="AC2537" s="400"/>
      <c r="AD2537" s="397"/>
      <c r="AE2537" s="397">
        <f>AE2534+AE2536</f>
        <v>-458884.79073686898</v>
      </c>
      <c r="AF2537" s="406"/>
      <c r="AG2537" s="407"/>
      <c r="AH2537" s="400"/>
      <c r="AI2537" s="400"/>
      <c r="AJ2537" s="406"/>
      <c r="AK2537" s="407"/>
      <c r="AL2537" s="400"/>
      <c r="AM2537" s="400"/>
      <c r="AN2537" s="153">
        <f t="shared" si="2205"/>
        <v>0</v>
      </c>
      <c r="AO2537" s="154">
        <f t="shared" si="2206"/>
        <v>0</v>
      </c>
      <c r="AP2537" s="400"/>
      <c r="AQ2537" s="407"/>
      <c r="AR2537" s="400"/>
      <c r="AS2537" s="400"/>
      <c r="AT2537" s="397"/>
      <c r="AU2537" s="401"/>
      <c r="AW2537" s="402"/>
      <c r="AX2537" s="403"/>
      <c r="AY2537" s="397"/>
      <c r="AZ2537" s="397"/>
      <c r="BA2537" s="397"/>
      <c r="BB2537" s="397"/>
      <c r="BC2537" s="395"/>
      <c r="BD2537" s="395"/>
      <c r="BE2537" s="395"/>
      <c r="BF2537" s="395"/>
      <c r="BG2537" s="395"/>
      <c r="BH2537" s="211"/>
      <c r="BI2537" s="395"/>
      <c r="BJ2537" s="395"/>
      <c r="BK2537" s="395"/>
      <c r="BL2537" s="395"/>
      <c r="BM2537" s="404"/>
      <c r="BN2537" s="160"/>
      <c r="BO2537" s="161">
        <f t="shared" si="2208"/>
        <v>0</v>
      </c>
    </row>
    <row r="2538" spans="1:68">
      <c r="A2538" s="395"/>
      <c r="B2538" s="396"/>
      <c r="C2538" s="390"/>
      <c r="E2538" s="390"/>
      <c r="F2538" s="397"/>
      <c r="G2538" s="398"/>
      <c r="H2538" s="398"/>
      <c r="I2538" s="398"/>
      <c r="J2538" s="397"/>
      <c r="K2538" s="397"/>
      <c r="L2538" s="397"/>
      <c r="M2538" s="397"/>
      <c r="N2538" s="397"/>
      <c r="O2538" s="397"/>
      <c r="P2538" s="397"/>
      <c r="Q2538" s="397"/>
      <c r="R2538" s="397"/>
      <c r="S2538" s="397"/>
      <c r="T2538" s="397"/>
      <c r="U2538" s="397"/>
      <c r="V2538" s="400"/>
      <c r="W2538" s="397"/>
      <c r="X2538" s="397"/>
      <c r="Y2538" s="397"/>
      <c r="Z2538" s="397"/>
      <c r="AA2538" s="397"/>
      <c r="AB2538" s="397"/>
      <c r="AC2538" s="400"/>
      <c r="AD2538" s="397"/>
      <c r="AE2538" s="397"/>
      <c r="AF2538" s="406"/>
      <c r="AG2538" s="407"/>
      <c r="AH2538" s="400"/>
      <c r="AI2538" s="400"/>
      <c r="AJ2538" s="406"/>
      <c r="AK2538" s="407"/>
      <c r="AL2538" s="400"/>
      <c r="AM2538" s="400"/>
      <c r="AN2538" s="153">
        <f t="shared" si="2205"/>
        <v>0</v>
      </c>
      <c r="AO2538" s="154">
        <f t="shared" si="2206"/>
        <v>0</v>
      </c>
      <c r="AP2538" s="400"/>
      <c r="AQ2538" s="407"/>
      <c r="AR2538" s="400"/>
      <c r="AS2538" s="400"/>
      <c r="AT2538" s="397"/>
      <c r="AU2538" s="401"/>
      <c r="AW2538" s="402"/>
      <c r="AX2538" s="403"/>
      <c r="AY2538" s="397"/>
      <c r="AZ2538" s="397"/>
      <c r="BA2538" s="397"/>
      <c r="BB2538" s="397"/>
      <c r="BC2538" s="395"/>
      <c r="BD2538" s="395"/>
      <c r="BE2538" s="395"/>
      <c r="BF2538" s="395"/>
      <c r="BG2538" s="395"/>
      <c r="BH2538" s="211"/>
      <c r="BI2538" s="395"/>
      <c r="BJ2538" s="395"/>
      <c r="BK2538" s="395"/>
      <c r="BL2538" s="395"/>
      <c r="BM2538" s="404">
        <f>BM2534-'C.E._31122024'!F560</f>
        <v>-0.49000001326203346</v>
      </c>
      <c r="BN2538" s="160"/>
      <c r="BO2538" s="161">
        <f t="shared" si="2208"/>
        <v>-0.49000001326203346</v>
      </c>
    </row>
    <row r="2539" spans="1:68">
      <c r="A2539" s="395"/>
      <c r="B2539" s="396"/>
      <c r="C2539" s="390"/>
      <c r="E2539" s="390"/>
      <c r="F2539" s="397"/>
      <c r="G2539" s="398"/>
      <c r="H2539" s="398"/>
      <c r="I2539" s="398"/>
      <c r="J2539" s="397"/>
      <c r="K2539" s="397"/>
      <c r="L2539" s="397"/>
      <c r="M2539" s="397"/>
      <c r="N2539" s="397"/>
      <c r="O2539" s="397"/>
      <c r="P2539" s="397"/>
      <c r="Q2539" s="397"/>
      <c r="R2539" s="397"/>
      <c r="S2539" s="397"/>
      <c r="T2539" s="397"/>
      <c r="U2539" s="397"/>
      <c r="V2539" s="400"/>
      <c r="W2539" s="397"/>
      <c r="X2539" s="397"/>
      <c r="Y2539" s="397"/>
      <c r="Z2539" s="397"/>
      <c r="AA2539" s="397"/>
      <c r="AB2539" s="397"/>
      <c r="AC2539" s="400"/>
      <c r="AD2539" s="397"/>
      <c r="AE2539" s="397">
        <v>-73399677.317436844</v>
      </c>
      <c r="AF2539" s="406"/>
      <c r="AG2539" s="407"/>
      <c r="AH2539" s="400"/>
      <c r="AI2539" s="400"/>
      <c r="AJ2539" s="406"/>
      <c r="AK2539" s="407"/>
      <c r="AL2539" s="400"/>
      <c r="AM2539" s="400"/>
      <c r="AN2539" s="400"/>
      <c r="AO2539" s="154">
        <f t="shared" si="2206"/>
        <v>0</v>
      </c>
      <c r="AP2539" s="400"/>
      <c r="AQ2539" s="407"/>
      <c r="AR2539" s="400"/>
      <c r="AS2539" s="400"/>
      <c r="AT2539" s="397"/>
      <c r="AU2539" s="401"/>
      <c r="AW2539" s="402"/>
      <c r="AX2539" s="403"/>
      <c r="AY2539" s="397"/>
      <c r="AZ2539" s="397"/>
      <c r="BA2539" s="397"/>
      <c r="BB2539" s="397"/>
      <c r="BC2539" s="395"/>
      <c r="BD2539" s="395"/>
      <c r="BE2539" s="395"/>
      <c r="BF2539" s="395"/>
      <c r="BG2539" s="395"/>
      <c r="BH2539" s="211"/>
      <c r="BI2539" s="395"/>
      <c r="BJ2539" s="395"/>
      <c r="BK2539" s="395"/>
      <c r="BL2539" s="395"/>
      <c r="BM2539" s="404"/>
      <c r="BN2539" s="160"/>
    </row>
    <row r="2540" spans="1:68">
      <c r="A2540" s="395"/>
      <c r="B2540" s="396"/>
      <c r="C2540" s="390"/>
      <c r="E2540" s="390"/>
      <c r="F2540" s="397"/>
      <c r="G2540" s="398"/>
      <c r="H2540" s="398"/>
      <c r="I2540" s="398"/>
      <c r="J2540" s="397"/>
      <c r="K2540" s="397"/>
      <c r="L2540" s="397"/>
      <c r="M2540" s="397"/>
      <c r="N2540" s="397"/>
      <c r="O2540" s="397"/>
      <c r="P2540" s="397"/>
      <c r="Q2540" s="397"/>
      <c r="R2540" s="397"/>
      <c r="S2540" s="397"/>
      <c r="T2540" s="397"/>
      <c r="U2540" s="397"/>
      <c r="V2540" s="400"/>
      <c r="W2540" s="397"/>
      <c r="X2540" s="397"/>
      <c r="Y2540" s="397"/>
      <c r="Z2540" s="397"/>
      <c r="AA2540" s="397"/>
      <c r="AB2540" s="397"/>
      <c r="AC2540" s="400"/>
      <c r="AD2540" s="397"/>
      <c r="AE2540" s="397"/>
      <c r="AF2540" s="406"/>
      <c r="AG2540" s="407"/>
      <c r="AH2540" s="400"/>
      <c r="AI2540" s="281"/>
      <c r="AJ2540" s="406"/>
      <c r="AK2540" s="407"/>
      <c r="AL2540" s="400"/>
      <c r="AM2540" s="281"/>
      <c r="AN2540" s="281"/>
      <c r="AO2540" s="281"/>
      <c r="AP2540" s="281"/>
      <c r="AQ2540" s="407"/>
      <c r="AR2540" s="400"/>
      <c r="AS2540" s="281"/>
      <c r="AT2540" s="280"/>
      <c r="AU2540" s="401"/>
      <c r="AW2540" s="402"/>
      <c r="AX2540" s="403"/>
      <c r="BB2540" s="280"/>
      <c r="BC2540" s="395"/>
      <c r="BD2540" s="395"/>
      <c r="BE2540" s="395"/>
      <c r="BF2540" s="395"/>
      <c r="BG2540" s="395"/>
      <c r="BH2540" s="211"/>
      <c r="BI2540" s="395"/>
      <c r="BJ2540" s="395"/>
      <c r="BK2540" s="395"/>
      <c r="BL2540" s="395"/>
      <c r="BM2540" s="404"/>
      <c r="BN2540" s="160"/>
    </row>
    <row r="2541" spans="1:68">
      <c r="A2541" s="395"/>
      <c r="B2541" s="396"/>
      <c r="C2541" s="390"/>
      <c r="E2541" s="390"/>
      <c r="F2541" s="397"/>
      <c r="G2541" s="398"/>
      <c r="H2541" s="398"/>
      <c r="I2541" s="398"/>
      <c r="J2541" s="397"/>
      <c r="K2541" s="397"/>
      <c r="L2541" s="397"/>
      <c r="M2541" s="397"/>
      <c r="N2541" s="397"/>
      <c r="O2541" s="397"/>
      <c r="P2541" s="397"/>
      <c r="Q2541" s="397"/>
      <c r="R2541" s="397"/>
      <c r="S2541" s="397"/>
      <c r="T2541" s="397"/>
      <c r="U2541" s="397"/>
      <c r="V2541" s="400"/>
      <c r="W2541" s="397"/>
      <c r="X2541" s="397"/>
      <c r="Y2541" s="397"/>
      <c r="Z2541" s="397"/>
      <c r="AA2541" s="397"/>
      <c r="AB2541" s="397"/>
      <c r="AC2541" s="400"/>
      <c r="AD2541" s="397"/>
      <c r="AE2541" s="397"/>
      <c r="AF2541" s="406"/>
      <c r="AG2541" s="407"/>
      <c r="AH2541" s="400"/>
      <c r="AI2541" s="397"/>
      <c r="AJ2541" s="406"/>
      <c r="AK2541" s="407"/>
      <c r="AL2541" s="400"/>
      <c r="AM2541" s="397"/>
      <c r="AN2541" s="397"/>
      <c r="AO2541" s="397"/>
      <c r="AP2541" s="397"/>
      <c r="AQ2541" s="407"/>
      <c r="AR2541" s="400"/>
      <c r="AS2541" s="397"/>
      <c r="AX2541" s="397"/>
      <c r="AY2541" s="397"/>
      <c r="AZ2541" s="397"/>
      <c r="BA2541" s="397"/>
      <c r="BB2541" s="395"/>
      <c r="BC2541" s="395"/>
      <c r="BD2541" s="395"/>
      <c r="BE2541" s="395"/>
      <c r="BF2541" s="395"/>
      <c r="BG2541" s="395"/>
      <c r="BH2541" s="211"/>
      <c r="BI2541" s="395"/>
      <c r="BJ2541" s="395"/>
      <c r="BK2541" s="395"/>
      <c r="BL2541" s="395"/>
      <c r="BM2541" s="404"/>
      <c r="BN2541" s="160"/>
    </row>
    <row r="2542" spans="1:68">
      <c r="A2542" s="395"/>
      <c r="B2542" s="396"/>
      <c r="C2542" s="390"/>
      <c r="E2542" s="390"/>
      <c r="F2542" s="397"/>
      <c r="G2542" s="398"/>
      <c r="H2542" s="398"/>
      <c r="I2542" s="398"/>
      <c r="J2542" s="397"/>
      <c r="K2542" s="397"/>
      <c r="L2542" s="397"/>
      <c r="M2542" s="397"/>
      <c r="N2542" s="397"/>
      <c r="O2542" s="397"/>
      <c r="P2542" s="397"/>
      <c r="Q2542" s="397"/>
      <c r="R2542" s="397"/>
      <c r="S2542" s="397"/>
      <c r="T2542" s="397"/>
      <c r="U2542" s="397"/>
      <c r="V2542" s="400"/>
      <c r="W2542" s="397"/>
      <c r="X2542" s="397"/>
      <c r="Y2542" s="397"/>
      <c r="Z2542" s="397"/>
      <c r="AA2542" s="397"/>
      <c r="AB2542" s="397"/>
      <c r="AC2542" s="400"/>
      <c r="AD2542" s="397"/>
      <c r="AE2542" s="397"/>
      <c r="AF2542" s="406"/>
      <c r="AG2542" s="407"/>
      <c r="AH2542" s="400"/>
      <c r="AI2542" s="397"/>
      <c r="AJ2542" s="406"/>
      <c r="AK2542" s="407"/>
      <c r="AL2542" s="400"/>
      <c r="AM2542" s="397"/>
      <c r="AN2542" s="397"/>
      <c r="AO2542" s="397"/>
      <c r="AP2542" s="397"/>
      <c r="AQ2542" s="407"/>
      <c r="AR2542" s="400"/>
      <c r="AS2542" s="397"/>
      <c r="AX2542" s="397"/>
      <c r="AY2542" s="397"/>
      <c r="AZ2542" s="397"/>
      <c r="BA2542" s="397"/>
      <c r="BB2542" s="395"/>
      <c r="BC2542" s="395"/>
      <c r="BD2542" s="395"/>
      <c r="BE2542" s="395"/>
      <c r="BF2542" s="395"/>
      <c r="BG2542" s="395"/>
      <c r="BH2542" s="211"/>
      <c r="BI2542" s="395"/>
      <c r="BJ2542" s="395"/>
      <c r="BK2542" s="395"/>
      <c r="BL2542" s="395"/>
      <c r="BM2542" s="404"/>
      <c r="BN2542" s="160"/>
    </row>
    <row r="2543" spans="1:68">
      <c r="A2543" s="395"/>
      <c r="B2543" s="396"/>
      <c r="C2543" s="390"/>
      <c r="E2543" s="390"/>
      <c r="F2543" s="397"/>
      <c r="G2543" s="398"/>
      <c r="H2543" s="398"/>
      <c r="I2543" s="398"/>
      <c r="J2543" s="397"/>
      <c r="K2543" s="397"/>
      <c r="L2543" s="397"/>
      <c r="M2543" s="397"/>
      <c r="N2543" s="397"/>
      <c r="O2543" s="397"/>
      <c r="P2543" s="397"/>
      <c r="Q2543" s="397"/>
      <c r="R2543" s="397"/>
      <c r="S2543" s="397"/>
      <c r="T2543" s="397"/>
      <c r="U2543" s="397"/>
      <c r="V2543" s="400"/>
      <c r="W2543" s="397"/>
      <c r="X2543" s="397"/>
      <c r="Y2543" s="397"/>
      <c r="Z2543" s="397"/>
      <c r="AA2543" s="397"/>
      <c r="AB2543" s="397"/>
      <c r="AC2543" s="400"/>
      <c r="AD2543" s="397"/>
      <c r="AE2543" s="397"/>
      <c r="AF2543" s="406"/>
      <c r="AG2543" s="407"/>
      <c r="AH2543" s="400"/>
      <c r="AI2543" s="397"/>
      <c r="AJ2543" s="406"/>
      <c r="AK2543" s="407"/>
      <c r="AL2543" s="400"/>
      <c r="AM2543" s="397"/>
      <c r="AN2543" s="397"/>
      <c r="AO2543" s="397"/>
      <c r="AP2543" s="397"/>
      <c r="AQ2543" s="407"/>
      <c r="AR2543" s="400"/>
      <c r="AS2543" s="397"/>
      <c r="AX2543" s="397"/>
      <c r="AY2543" s="397"/>
      <c r="AZ2543" s="397"/>
      <c r="BA2543" s="397"/>
      <c r="BB2543" s="395"/>
      <c r="BC2543" s="395"/>
      <c r="BD2543" s="395"/>
      <c r="BE2543" s="395"/>
      <c r="BF2543" s="395"/>
      <c r="BG2543" s="395"/>
      <c r="BH2543" s="211"/>
      <c r="BI2543" s="395"/>
      <c r="BJ2543" s="395"/>
      <c r="BK2543" s="395"/>
      <c r="BL2543" s="395"/>
      <c r="BM2543" s="404"/>
      <c r="BN2543" s="160"/>
    </row>
    <row r="2544" spans="1:68">
      <c r="A2544" s="395"/>
      <c r="B2544" s="396"/>
      <c r="C2544" s="390"/>
      <c r="E2544" s="390"/>
      <c r="F2544" s="397"/>
      <c r="G2544" s="398"/>
      <c r="H2544" s="398"/>
      <c r="I2544" s="398"/>
      <c r="J2544" s="397"/>
      <c r="K2544" s="397"/>
      <c r="L2544" s="397"/>
      <c r="M2544" s="397"/>
      <c r="N2544" s="397"/>
      <c r="O2544" s="397"/>
      <c r="P2544" s="397"/>
      <c r="Q2544" s="397"/>
      <c r="R2544" s="397"/>
      <c r="S2544" s="397"/>
      <c r="T2544" s="397"/>
      <c r="U2544" s="397"/>
      <c r="V2544" s="400"/>
      <c r="W2544" s="397"/>
      <c r="X2544" s="397"/>
      <c r="Y2544" s="397"/>
      <c r="Z2544" s="397"/>
      <c r="AA2544" s="397"/>
      <c r="AB2544" s="397"/>
      <c r="AC2544" s="400"/>
      <c r="AD2544" s="397"/>
      <c r="AE2544" s="397"/>
      <c r="AF2544" s="406"/>
      <c r="AG2544" s="407"/>
      <c r="AH2544" s="400"/>
      <c r="AI2544" s="397"/>
      <c r="AJ2544" s="406"/>
      <c r="AK2544" s="407"/>
      <c r="AL2544" s="400"/>
      <c r="AM2544" s="397"/>
      <c r="AN2544" s="397"/>
      <c r="AO2544" s="397"/>
      <c r="AP2544" s="397"/>
      <c r="AQ2544" s="407"/>
      <c r="AR2544" s="400"/>
      <c r="AS2544" s="397"/>
      <c r="AX2544" s="397"/>
      <c r="AY2544" s="397"/>
      <c r="AZ2544" s="397"/>
      <c r="BA2544" s="397"/>
      <c r="BB2544" s="395"/>
      <c r="BC2544" s="395"/>
      <c r="BD2544" s="395"/>
      <c r="BE2544" s="395"/>
      <c r="BF2544" s="395"/>
      <c r="BG2544" s="395"/>
      <c r="BH2544" s="211"/>
      <c r="BI2544" s="395"/>
      <c r="BJ2544" s="395"/>
      <c r="BK2544" s="395"/>
      <c r="BL2544" s="395"/>
      <c r="BM2544" s="404"/>
      <c r="BN2544" s="160"/>
    </row>
    <row r="2545" spans="1:66">
      <c r="A2545" s="395"/>
      <c r="B2545" s="396"/>
      <c r="C2545" s="390"/>
      <c r="E2545" s="390"/>
      <c r="F2545" s="397"/>
      <c r="G2545" s="398"/>
      <c r="H2545" s="398"/>
      <c r="I2545" s="398"/>
      <c r="J2545" s="397"/>
      <c r="K2545" s="397"/>
      <c r="L2545" s="397"/>
      <c r="M2545" s="397"/>
      <c r="N2545" s="397"/>
      <c r="O2545" s="397"/>
      <c r="P2545" s="397"/>
      <c r="Q2545" s="397"/>
      <c r="R2545" s="397"/>
      <c r="S2545" s="397"/>
      <c r="T2545" s="397"/>
      <c r="U2545" s="397"/>
      <c r="V2545" s="400"/>
      <c r="W2545" s="397"/>
      <c r="X2545" s="397"/>
      <c r="Y2545" s="397"/>
      <c r="Z2545" s="397"/>
      <c r="AA2545" s="397"/>
      <c r="AB2545" s="397"/>
      <c r="AC2545" s="400"/>
      <c r="AD2545" s="397"/>
      <c r="AE2545" s="397"/>
      <c r="AF2545" s="406"/>
      <c r="AG2545" s="407"/>
      <c r="AH2545" s="400"/>
      <c r="AI2545" s="397"/>
      <c r="AJ2545" s="406"/>
      <c r="AK2545" s="407"/>
      <c r="AL2545" s="400"/>
      <c r="AM2545" s="397"/>
      <c r="AN2545" s="397"/>
      <c r="AO2545" s="397"/>
      <c r="AP2545" s="397"/>
      <c r="AQ2545" s="407"/>
      <c r="AR2545" s="400"/>
      <c r="AS2545" s="397"/>
      <c r="AX2545" s="397"/>
      <c r="AY2545" s="397"/>
      <c r="AZ2545" s="397"/>
      <c r="BA2545" s="397"/>
      <c r="BB2545" s="395"/>
      <c r="BC2545" s="395"/>
      <c r="BD2545" s="395"/>
      <c r="BE2545" s="395"/>
      <c r="BF2545" s="395"/>
      <c r="BG2545" s="395"/>
      <c r="BH2545" s="211"/>
      <c r="BI2545" s="395"/>
      <c r="BJ2545" s="395"/>
      <c r="BK2545" s="395"/>
      <c r="BL2545" s="395"/>
      <c r="BM2545" s="404"/>
      <c r="BN2545" s="160"/>
    </row>
    <row r="2546" spans="1:66">
      <c r="C2546" s="390"/>
      <c r="BN2546" s="160"/>
    </row>
    <row r="2556" spans="1:66">
      <c r="H2556" s="409">
        <v>0.5</v>
      </c>
    </row>
  </sheetData>
  <autoFilter ref="A1:BQ2538" xr:uid="{00000000-0009-0000-0000-000010000000}"/>
  <mergeCells count="4">
    <mergeCell ref="AT436:AT438"/>
    <mergeCell ref="AW436:AW438"/>
    <mergeCell ref="AT488:AT489"/>
    <mergeCell ref="AW488:AW489"/>
  </mergeCells>
  <pageMargins left="0.25" right="0.25" top="0.75" bottom="0.75" header="0.3" footer="0.3"/>
  <pageSetup paperSize="8" scale="1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39997558519241921"/>
    <pageSetUpPr fitToPage="1"/>
  </sheetPr>
  <dimension ref="A1:AP2538"/>
  <sheetViews>
    <sheetView workbookViewId="0"/>
  </sheetViews>
  <sheetFormatPr defaultColWidth="14.42578125" defaultRowHeight="11.25"/>
  <cols>
    <col min="1" max="1" width="15.28515625" style="417" bestFit="1" customWidth="1"/>
    <col min="2" max="2" width="9.28515625" style="417" bestFit="1" customWidth="1"/>
    <col min="3" max="3" width="9.5703125" style="417" customWidth="1"/>
    <col min="4" max="4" width="50.5703125" style="489" customWidth="1"/>
    <col min="5" max="5" width="18.28515625" style="417" customWidth="1"/>
    <col min="6" max="6" width="15.85546875" style="417" bestFit="1" customWidth="1"/>
    <col min="7" max="7" width="15.85546875" style="417" customWidth="1"/>
    <col min="8" max="8" width="17.7109375" style="417" bestFit="1" customWidth="1"/>
    <col min="9" max="11" width="17.7109375" style="417" customWidth="1"/>
    <col min="12" max="12" width="17.28515625" style="417" customWidth="1"/>
    <col min="13" max="13" width="17.7109375" style="417" hidden="1" customWidth="1"/>
    <col min="14" max="14" width="18.7109375" style="417" hidden="1" customWidth="1"/>
    <col min="15" max="15" width="19.140625" style="417" hidden="1" customWidth="1"/>
    <col min="16" max="16" width="14.5703125" style="490" customWidth="1"/>
    <col min="17" max="17" width="14.5703125" style="417" customWidth="1"/>
    <col min="18" max="18" width="12.28515625" style="417" customWidth="1"/>
    <col min="19" max="19" width="12.42578125" style="417" customWidth="1"/>
    <col min="20" max="20" width="13.42578125" style="491" customWidth="1"/>
    <col min="21" max="21" width="17.5703125" style="417" customWidth="1"/>
    <col min="22" max="22" width="21" style="417" customWidth="1"/>
    <col min="23" max="23" width="19.42578125" style="417" customWidth="1"/>
    <col min="24" max="24" width="14.5703125" style="417" bestFit="1" customWidth="1"/>
    <col min="25" max="26" width="17.5703125" style="417" customWidth="1"/>
    <col min="27" max="27" width="14.28515625" style="417" customWidth="1"/>
    <col min="28" max="28" width="15" style="417" customWidth="1"/>
    <col min="29" max="29" width="14.140625" style="417" customWidth="1"/>
    <col min="30" max="30" width="14.5703125" style="417" customWidth="1"/>
    <col min="31" max="31" width="11" style="417" customWidth="1"/>
    <col min="32" max="32" width="12.5703125" style="417" customWidth="1"/>
    <col min="33" max="36" width="11" style="417" customWidth="1"/>
    <col min="37" max="37" width="12.42578125" style="417" customWidth="1"/>
    <col min="38" max="38" width="13.28515625" style="417" customWidth="1"/>
    <col min="39" max="39" width="10.42578125" style="417" customWidth="1"/>
    <col min="40" max="40" width="30.5703125" style="417" customWidth="1"/>
    <col min="41" max="16384" width="14.42578125" style="417"/>
  </cols>
  <sheetData>
    <row r="1" spans="1:42" ht="12.75">
      <c r="A1" s="412"/>
      <c r="B1" s="413"/>
      <c r="C1" s="413"/>
      <c r="D1" s="414" t="s">
        <v>11125</v>
      </c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6"/>
      <c r="Q1" s="415"/>
      <c r="R1" s="415"/>
      <c r="S1" s="415"/>
      <c r="T1" s="415"/>
      <c r="U1" s="415"/>
      <c r="V1" s="415"/>
      <c r="W1" s="415"/>
      <c r="X1" s="415"/>
      <c r="Y1" s="415"/>
      <c r="Z1" s="415"/>
      <c r="AA1" s="415"/>
      <c r="AB1" s="415"/>
      <c r="AC1" s="415"/>
      <c r="AD1" s="415"/>
      <c r="AE1" s="415"/>
      <c r="AF1" s="415"/>
      <c r="AG1" s="415"/>
      <c r="AH1" s="415" t="s">
        <v>11126</v>
      </c>
      <c r="AI1" s="415"/>
      <c r="AJ1" s="415"/>
      <c r="AK1" s="415"/>
      <c r="AL1" s="415"/>
      <c r="AM1" s="415"/>
    </row>
    <row r="2" spans="1:42" ht="38.25">
      <c r="A2" s="412"/>
      <c r="B2" s="413"/>
      <c r="C2" s="413"/>
      <c r="D2" s="418"/>
      <c r="E2" s="419" t="s">
        <v>11127</v>
      </c>
      <c r="F2" s="419"/>
      <c r="G2" s="419"/>
      <c r="H2" s="419"/>
      <c r="I2" s="419"/>
      <c r="J2" s="419"/>
      <c r="K2" s="419"/>
      <c r="L2" s="420"/>
      <c r="M2" s="419"/>
      <c r="N2" s="419"/>
      <c r="O2" s="419"/>
      <c r="P2" s="421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>
        <f t="shared" ref="AH2:AH65" si="0">AG2-F2</f>
        <v>0</v>
      </c>
      <c r="AI2" s="419"/>
      <c r="AJ2" s="419"/>
      <c r="AK2" s="419"/>
      <c r="AL2" s="419"/>
      <c r="AM2" s="419"/>
    </row>
    <row r="3" spans="1:42" s="430" customFormat="1" ht="38.25">
      <c r="A3" s="422" t="s">
        <v>11128</v>
      </c>
      <c r="B3" s="423" t="s">
        <v>11129</v>
      </c>
      <c r="C3" s="424" t="s">
        <v>11130</v>
      </c>
      <c r="D3" s="425" t="s">
        <v>11131</v>
      </c>
      <c r="E3" s="426" t="s">
        <v>11132</v>
      </c>
      <c r="F3" s="115" t="s">
        <v>11133</v>
      </c>
      <c r="G3" s="722" t="s">
        <v>11142</v>
      </c>
      <c r="H3" s="115" t="s">
        <v>11134</v>
      </c>
      <c r="I3" s="115" t="s">
        <v>11135</v>
      </c>
      <c r="J3" s="115" t="s">
        <v>11136</v>
      </c>
      <c r="K3" s="115" t="s">
        <v>11137</v>
      </c>
      <c r="L3" s="115" t="s">
        <v>11138</v>
      </c>
      <c r="M3" s="427" t="s">
        <v>11136</v>
      </c>
      <c r="N3" s="115" t="s">
        <v>11139</v>
      </c>
      <c r="O3" s="115" t="s">
        <v>11140</v>
      </c>
      <c r="P3" s="428" t="s">
        <v>11141</v>
      </c>
      <c r="Q3" s="722" t="s">
        <v>11142</v>
      </c>
      <c r="R3" s="429" t="s">
        <v>11143</v>
      </c>
      <c r="S3" s="429" t="s">
        <v>11144</v>
      </c>
      <c r="T3" s="429" t="s">
        <v>11145</v>
      </c>
      <c r="U3" s="115" t="s">
        <v>11146</v>
      </c>
      <c r="V3" s="115" t="s">
        <v>11147</v>
      </c>
      <c r="W3" s="115" t="s">
        <v>11148</v>
      </c>
      <c r="X3" s="115" t="s">
        <v>11142</v>
      </c>
      <c r="Y3" s="115" t="s">
        <v>11149</v>
      </c>
      <c r="Z3" s="115" t="s">
        <v>11150</v>
      </c>
      <c r="AA3" s="115" t="s">
        <v>11151</v>
      </c>
      <c r="AB3" s="115" t="s">
        <v>11152</v>
      </c>
      <c r="AC3" s="115" t="s">
        <v>11153</v>
      </c>
      <c r="AD3" s="115" t="s">
        <v>11142</v>
      </c>
      <c r="AE3" s="115"/>
      <c r="AF3" s="115" t="s">
        <v>11154</v>
      </c>
      <c r="AG3" s="115"/>
      <c r="AH3" s="419" t="e">
        <f t="shared" si="0"/>
        <v>#VALUE!</v>
      </c>
      <c r="AI3" s="115"/>
      <c r="AJ3" s="115"/>
      <c r="AK3" s="429" t="s">
        <v>11155</v>
      </c>
      <c r="AL3" s="429" t="s">
        <v>11156</v>
      </c>
      <c r="AM3" s="429" t="s">
        <v>11144</v>
      </c>
    </row>
    <row r="4" spans="1:42" ht="12.75">
      <c r="A4" s="412">
        <v>1</v>
      </c>
      <c r="B4" s="431"/>
      <c r="C4" s="432" t="s">
        <v>4678</v>
      </c>
      <c r="D4" s="433" t="s">
        <v>11157</v>
      </c>
      <c r="E4" s="434"/>
      <c r="F4" s="435">
        <f t="shared" ref="F4:AM4" si="1">(F5+F14+F29+F34)</f>
        <v>137596519.22999999</v>
      </c>
      <c r="G4" s="435">
        <v>142942383.26999998</v>
      </c>
      <c r="H4" s="435">
        <v>145330457.10999998</v>
      </c>
      <c r="I4" s="435">
        <f>F4-H4</f>
        <v>-7733937.8799999952</v>
      </c>
      <c r="J4" s="435">
        <f>F4-K4</f>
        <v>-7733937.8799999952</v>
      </c>
      <c r="K4" s="435">
        <v>145330457.10999998</v>
      </c>
      <c r="L4" s="435">
        <v>72002457.109999985</v>
      </c>
      <c r="M4" s="435">
        <f>F4-P4</f>
        <v>64682119.690879881</v>
      </c>
      <c r="N4" s="435">
        <v>69404630.810000002</v>
      </c>
      <c r="O4" s="435">
        <v>69404630.810000002</v>
      </c>
      <c r="P4" s="436">
        <v>72914399.539120108</v>
      </c>
      <c r="Q4" s="435">
        <f t="shared" ref="Q4" si="2">(Q5+Q14+Q29+Q34)</f>
        <v>142942383.26999998</v>
      </c>
      <c r="R4" s="435">
        <f t="shared" ref="R4:R67" si="3">P4-N4</f>
        <v>3509768.7291201055</v>
      </c>
      <c r="S4" s="435">
        <f t="shared" ref="S4:S67" si="4">Q4-N4</f>
        <v>73537752.459999979</v>
      </c>
      <c r="T4" s="437">
        <f>(F4-P4)/F4*100</f>
        <v>47.008543568431584</v>
      </c>
      <c r="U4" s="435">
        <v>50418046.409999996</v>
      </c>
      <c r="V4" s="435">
        <f>(V5+V14+V29+V34)</f>
        <v>72914399.539120108</v>
      </c>
      <c r="W4" s="435">
        <f>(W5+W14+W29+W34)</f>
        <v>137277128.48370871</v>
      </c>
      <c r="X4" s="435">
        <f t="shared" ref="X4" si="5">(X5+X14+X29+X34)</f>
        <v>142942383.26999998</v>
      </c>
      <c r="Y4" s="435">
        <f t="shared" ref="Y4:Y67" si="6">F4/11*12</f>
        <v>150105293.70545453</v>
      </c>
      <c r="Z4" s="435">
        <v>64727177.140000001</v>
      </c>
      <c r="AA4" s="435">
        <v>64727177.140000001</v>
      </c>
      <c r="AB4" s="435">
        <f t="shared" si="1"/>
        <v>20885383</v>
      </c>
      <c r="AC4" s="435">
        <f t="shared" si="1"/>
        <v>32363588.57</v>
      </c>
      <c r="AD4" s="435">
        <f t="shared" si="1"/>
        <v>142942383.26999998</v>
      </c>
      <c r="AE4" s="435"/>
      <c r="AF4" s="435">
        <f t="shared" si="1"/>
        <v>62436351.539999999</v>
      </c>
      <c r="AG4" s="435">
        <f t="shared" si="1"/>
        <v>0</v>
      </c>
      <c r="AH4" s="419">
        <f t="shared" si="0"/>
        <v>-137596519.22999999</v>
      </c>
      <c r="AI4" s="435">
        <f t="shared" si="1"/>
        <v>0</v>
      </c>
      <c r="AJ4" s="435">
        <f t="shared" si="1"/>
        <v>0</v>
      </c>
      <c r="AK4" s="435">
        <f t="shared" si="1"/>
        <v>-72549951.343708709</v>
      </c>
      <c r="AL4" s="435">
        <f t="shared" si="1"/>
        <v>2290825.6</v>
      </c>
      <c r="AM4" s="435">
        <f t="shared" si="1"/>
        <v>-78215206.13000001</v>
      </c>
      <c r="AN4" s="438"/>
      <c r="AO4" s="438"/>
      <c r="AP4" s="438"/>
    </row>
    <row r="5" spans="1:42" ht="25.5">
      <c r="A5" s="412">
        <v>2</v>
      </c>
      <c r="B5" s="431"/>
      <c r="C5" s="432" t="s">
        <v>496</v>
      </c>
      <c r="D5" s="433" t="s">
        <v>11158</v>
      </c>
      <c r="E5" s="434"/>
      <c r="F5" s="435">
        <f>+F6+F13</f>
        <v>133534188.25999999</v>
      </c>
      <c r="G5" s="435">
        <v>138427542.54999998</v>
      </c>
      <c r="H5" s="435">
        <v>141268126.13999999</v>
      </c>
      <c r="I5" s="435">
        <f t="shared" ref="I5:I68" si="7">F5-H5</f>
        <v>-7733937.8799999952</v>
      </c>
      <c r="J5" s="435">
        <f t="shared" ref="J5:J68" si="8">F5-K5</f>
        <v>-7733937.8799999952</v>
      </c>
      <c r="K5" s="435">
        <v>141268126.13999999</v>
      </c>
      <c r="L5" s="435">
        <v>68243126.139999986</v>
      </c>
      <c r="M5" s="435">
        <f t="shared" ref="M5:M68" si="9">F5-P5</f>
        <v>60619788.720879883</v>
      </c>
      <c r="N5" s="435">
        <v>69357994.519999996</v>
      </c>
      <c r="O5" s="435">
        <v>69357994.519999996</v>
      </c>
      <c r="P5" s="436">
        <v>72914399.539120108</v>
      </c>
      <c r="Q5" s="435">
        <f t="shared" ref="Q5" si="10">+Q6+Q13</f>
        <v>138427542.54999998</v>
      </c>
      <c r="R5" s="435">
        <f t="shared" si="3"/>
        <v>3556405.0191201121</v>
      </c>
      <c r="S5" s="435">
        <f t="shared" si="4"/>
        <v>69069548.029999986</v>
      </c>
      <c r="T5" s="437">
        <f>(F5-P5)/F5*100</f>
        <v>45.396455777189509</v>
      </c>
      <c r="U5" s="435">
        <v>50418046.409999996</v>
      </c>
      <c r="V5" s="435">
        <f>+V6+V13</f>
        <v>72914399.539120108</v>
      </c>
      <c r="W5" s="435">
        <f>+W6+W13</f>
        <v>137277128.48370871</v>
      </c>
      <c r="X5" s="435">
        <f t="shared" ref="X5" si="11">+X6+X13</f>
        <v>138427542.54999998</v>
      </c>
      <c r="Y5" s="435">
        <f t="shared" si="6"/>
        <v>145673659.91999999</v>
      </c>
      <c r="Z5" s="435">
        <v>64727177.140000001</v>
      </c>
      <c r="AA5" s="435">
        <v>64727177.140000001</v>
      </c>
      <c r="AB5" s="435">
        <f t="shared" ref="AB5:AM5" si="12">+AB6+AB13</f>
        <v>20885383</v>
      </c>
      <c r="AC5" s="435">
        <f t="shared" si="12"/>
        <v>32363588.57</v>
      </c>
      <c r="AD5" s="435">
        <f t="shared" si="12"/>
        <v>138427542.54999998</v>
      </c>
      <c r="AE5" s="435"/>
      <c r="AF5" s="435">
        <f t="shared" si="12"/>
        <v>62436351.539999999</v>
      </c>
      <c r="AG5" s="435">
        <f t="shared" si="12"/>
        <v>0</v>
      </c>
      <c r="AH5" s="419">
        <f t="shared" si="0"/>
        <v>-133534188.25999999</v>
      </c>
      <c r="AI5" s="435">
        <f t="shared" si="12"/>
        <v>0</v>
      </c>
      <c r="AJ5" s="435">
        <f t="shared" si="12"/>
        <v>0</v>
      </c>
      <c r="AK5" s="435">
        <f t="shared" si="12"/>
        <v>-72549951.343708709</v>
      </c>
      <c r="AL5" s="435">
        <f t="shared" si="12"/>
        <v>2290825.6</v>
      </c>
      <c r="AM5" s="435">
        <f t="shared" si="12"/>
        <v>-73700365.410000011</v>
      </c>
      <c r="AN5" s="438"/>
      <c r="AO5" s="438"/>
      <c r="AP5" s="438"/>
    </row>
    <row r="6" spans="1:42" ht="25.5">
      <c r="A6" s="412">
        <v>3</v>
      </c>
      <c r="B6" s="431"/>
      <c r="C6" s="432" t="s">
        <v>493</v>
      </c>
      <c r="D6" s="433" t="s">
        <v>4688</v>
      </c>
      <c r="E6" s="434"/>
      <c r="F6" s="435">
        <f>+F7+F8+F9+F12</f>
        <v>133410915.03999999</v>
      </c>
      <c r="G6" s="435">
        <v>138316581.00999999</v>
      </c>
      <c r="H6" s="435">
        <v>141116303.06999999</v>
      </c>
      <c r="I6" s="435">
        <f t="shared" si="7"/>
        <v>-7705388.0300000012</v>
      </c>
      <c r="J6" s="435">
        <f t="shared" si="8"/>
        <v>-7705388.0300000012</v>
      </c>
      <c r="K6" s="435">
        <v>141116303.06999999</v>
      </c>
      <c r="L6" s="435">
        <v>68091303.069999993</v>
      </c>
      <c r="M6" s="435">
        <f t="shared" si="9"/>
        <v>61853052.640879884</v>
      </c>
      <c r="N6" s="435">
        <v>68001457.379999995</v>
      </c>
      <c r="O6" s="435">
        <v>68001457.379999995</v>
      </c>
      <c r="P6" s="436">
        <v>71557862.399120107</v>
      </c>
      <c r="Q6" s="435">
        <f t="shared" ref="Q6" si="13">+Q7+Q8+Q9+Q12</f>
        <v>138316581.00999999</v>
      </c>
      <c r="R6" s="435">
        <f t="shared" si="3"/>
        <v>3556405.0191201121</v>
      </c>
      <c r="S6" s="435">
        <f t="shared" si="4"/>
        <v>70315123.629999995</v>
      </c>
      <c r="T6" s="437">
        <f>(F6-P6)/F6*100</f>
        <v>46.362812684655346</v>
      </c>
      <c r="U6" s="435">
        <v>49400643.555</v>
      </c>
      <c r="V6" s="435">
        <f>+V7+V8+V9+V12</f>
        <v>71557862.399120107</v>
      </c>
      <c r="W6" s="435">
        <f>+W7+W8+W9+W12</f>
        <v>137228092.48370871</v>
      </c>
      <c r="X6" s="435">
        <f t="shared" ref="X6" si="14">+X7+X8+X9+X12</f>
        <v>138316581.00999999</v>
      </c>
      <c r="Y6" s="435">
        <f t="shared" si="6"/>
        <v>145539180.04363635</v>
      </c>
      <c r="Z6" s="435">
        <v>63370640</v>
      </c>
      <c r="AA6" s="435">
        <v>63370640</v>
      </c>
      <c r="AB6" s="435">
        <f t="shared" ref="AB6:AM6" si="15">+AB7+AB8+AB9+AB12</f>
        <v>20866926</v>
      </c>
      <c r="AC6" s="435">
        <f t="shared" si="15"/>
        <v>32308107.800000001</v>
      </c>
      <c r="AD6" s="435">
        <f t="shared" si="15"/>
        <v>138316581.00999999</v>
      </c>
      <c r="AE6" s="435"/>
      <c r="AF6" s="435">
        <f t="shared" si="15"/>
        <v>62325390</v>
      </c>
      <c r="AG6" s="435">
        <f t="shared" si="15"/>
        <v>0</v>
      </c>
      <c r="AH6" s="419">
        <f t="shared" si="0"/>
        <v>-133410915.03999999</v>
      </c>
      <c r="AI6" s="435">
        <f t="shared" si="15"/>
        <v>0</v>
      </c>
      <c r="AJ6" s="435">
        <f t="shared" si="15"/>
        <v>0</v>
      </c>
      <c r="AK6" s="435">
        <f t="shared" si="15"/>
        <v>-73857452.483708709</v>
      </c>
      <c r="AL6" s="435">
        <f t="shared" si="15"/>
        <v>1045250</v>
      </c>
      <c r="AM6" s="435">
        <f t="shared" si="15"/>
        <v>-74945941.010000005</v>
      </c>
      <c r="AN6" s="438"/>
      <c r="AO6" s="438"/>
      <c r="AP6" s="438"/>
    </row>
    <row r="7" spans="1:42" ht="12.75">
      <c r="A7" s="412">
        <v>4</v>
      </c>
      <c r="B7" s="431"/>
      <c r="C7" s="432" t="s">
        <v>4689</v>
      </c>
      <c r="D7" s="433" t="s">
        <v>4695</v>
      </c>
      <c r="E7" s="434">
        <f>'PROSPETTO CE_IV TRIM 2024'!BM6</f>
        <v>57378129.549999997</v>
      </c>
      <c r="F7" s="439">
        <f>+E7</f>
        <v>57378129.549999997</v>
      </c>
      <c r="G7" s="439">
        <v>0</v>
      </c>
      <c r="H7" s="439">
        <v>73025000</v>
      </c>
      <c r="I7" s="435">
        <f t="shared" si="7"/>
        <v>-15646870.450000003</v>
      </c>
      <c r="J7" s="435">
        <f t="shared" si="8"/>
        <v>-15646870.450000003</v>
      </c>
      <c r="K7" s="439">
        <v>73025000</v>
      </c>
      <c r="L7" s="439">
        <v>0</v>
      </c>
      <c r="M7" s="439">
        <f t="shared" si="9"/>
        <v>57378129.549999997</v>
      </c>
      <c r="N7" s="439">
        <v>0</v>
      </c>
      <c r="O7" s="439">
        <v>0</v>
      </c>
      <c r="P7" s="440">
        <v>0</v>
      </c>
      <c r="Q7" s="439">
        <v>0</v>
      </c>
      <c r="R7" s="439">
        <f t="shared" si="3"/>
        <v>0</v>
      </c>
      <c r="S7" s="439">
        <f t="shared" si="4"/>
        <v>0</v>
      </c>
      <c r="T7" s="441"/>
      <c r="U7" s="439">
        <v>0</v>
      </c>
      <c r="V7" s="439">
        <f>+AA7</f>
        <v>0</v>
      </c>
      <c r="W7" s="439">
        <v>0</v>
      </c>
      <c r="X7" s="439">
        <v>0</v>
      </c>
      <c r="Y7" s="435">
        <f t="shared" si="6"/>
        <v>62594323.145454541</v>
      </c>
      <c r="Z7" s="439">
        <v>0</v>
      </c>
      <c r="AA7" s="439">
        <v>0</v>
      </c>
      <c r="AB7" s="439">
        <v>0</v>
      </c>
      <c r="AC7" s="439">
        <v>0</v>
      </c>
      <c r="AD7" s="439">
        <v>0</v>
      </c>
      <c r="AE7" s="439"/>
      <c r="AF7" s="439">
        <f>AC7*2</f>
        <v>0</v>
      </c>
      <c r="AG7" s="439"/>
      <c r="AH7" s="419">
        <f t="shared" si="0"/>
        <v>-57378129.549999997</v>
      </c>
      <c r="AI7" s="439"/>
      <c r="AJ7" s="439"/>
      <c r="AK7" s="439">
        <f>AA7-W7</f>
        <v>0</v>
      </c>
      <c r="AL7" s="439">
        <f>AA7-AF7</f>
        <v>0</v>
      </c>
      <c r="AM7" s="439">
        <f>AA7-AD7</f>
        <v>0</v>
      </c>
      <c r="AN7" s="438"/>
      <c r="AO7" s="438"/>
      <c r="AP7" s="438"/>
    </row>
    <row r="8" spans="1:42" ht="12.75">
      <c r="A8" s="412">
        <v>5</v>
      </c>
      <c r="B8" s="431"/>
      <c r="C8" s="432" t="s">
        <v>4696</v>
      </c>
      <c r="D8" s="433" t="s">
        <v>4702</v>
      </c>
      <c r="E8" s="434">
        <f>'PROSPETTO CE_IV TRIM 2024'!BM7</f>
        <v>9488222.4900000002</v>
      </c>
      <c r="F8" s="439">
        <f>+E8</f>
        <v>9488222.4900000002</v>
      </c>
      <c r="G8" s="439">
        <v>75991191.010000005</v>
      </c>
      <c r="H8" s="439">
        <v>5765913.0700000003</v>
      </c>
      <c r="I8" s="435">
        <f t="shared" si="7"/>
        <v>3722309.42</v>
      </c>
      <c r="J8" s="435">
        <f t="shared" si="8"/>
        <v>3722309.42</v>
      </c>
      <c r="K8" s="439">
        <v>5765913.0700000003</v>
      </c>
      <c r="L8" s="439">
        <v>5765913.0700000003</v>
      </c>
      <c r="M8" s="439">
        <f t="shared" si="9"/>
        <v>8442972.4900000002</v>
      </c>
      <c r="N8" s="439">
        <v>5676067.3799999999</v>
      </c>
      <c r="O8" s="439">
        <v>5676067.3799999999</v>
      </c>
      <c r="P8" s="440">
        <v>1045250</v>
      </c>
      <c r="Q8" s="439">
        <v>75991191.010000005</v>
      </c>
      <c r="R8" s="439">
        <f t="shared" si="3"/>
        <v>-4630817.38</v>
      </c>
      <c r="S8" s="439">
        <f t="shared" si="4"/>
        <v>70315123.63000001</v>
      </c>
      <c r="T8" s="441">
        <f>(F8-P8)/F8*100</f>
        <v>88.98371111025665</v>
      </c>
      <c r="U8" s="439">
        <v>2656601.0550000002</v>
      </c>
      <c r="V8" s="439">
        <f>+AA8</f>
        <v>1045250</v>
      </c>
      <c r="W8" s="439">
        <v>57171351.109999999</v>
      </c>
      <c r="X8" s="439">
        <v>75991191.010000005</v>
      </c>
      <c r="Y8" s="435">
        <f t="shared" si="6"/>
        <v>10350788.170909092</v>
      </c>
      <c r="Z8" s="439">
        <v>1045250</v>
      </c>
      <c r="AA8" s="439">
        <v>1045250</v>
      </c>
      <c r="AB8" s="439">
        <v>852740</v>
      </c>
      <c r="AC8" s="439">
        <v>1145412.8</v>
      </c>
      <c r="AD8" s="439">
        <v>75991191.010000005</v>
      </c>
      <c r="AE8" s="439"/>
      <c r="AF8" s="439"/>
      <c r="AG8" s="439"/>
      <c r="AH8" s="419">
        <f t="shared" si="0"/>
        <v>-9488222.4900000002</v>
      </c>
      <c r="AI8" s="439"/>
      <c r="AJ8" s="439"/>
      <c r="AK8" s="439">
        <f>AA8-W8</f>
        <v>-56126101.109999999</v>
      </c>
      <c r="AL8" s="439">
        <f>AA8-AF8</f>
        <v>1045250</v>
      </c>
      <c r="AM8" s="439">
        <f>AA8-AD8</f>
        <v>-74945941.010000005</v>
      </c>
      <c r="AN8" s="438" t="s">
        <v>11159</v>
      </c>
      <c r="AO8" s="438"/>
      <c r="AP8" s="438"/>
    </row>
    <row r="9" spans="1:42" ht="12.75">
      <c r="A9" s="412">
        <v>6</v>
      </c>
      <c r="B9" s="431"/>
      <c r="C9" s="432" t="s">
        <v>11160</v>
      </c>
      <c r="D9" s="433" t="s">
        <v>11161</v>
      </c>
      <c r="E9" s="442">
        <v>0</v>
      </c>
      <c r="F9" s="435">
        <f>+F10+F11</f>
        <v>66544563</v>
      </c>
      <c r="G9" s="435">
        <v>62325390</v>
      </c>
      <c r="H9" s="435">
        <v>62325390</v>
      </c>
      <c r="I9" s="435">
        <f t="shared" si="7"/>
        <v>4219173</v>
      </c>
      <c r="J9" s="435">
        <f t="shared" si="8"/>
        <v>4219173</v>
      </c>
      <c r="K9" s="435">
        <v>62325390</v>
      </c>
      <c r="L9" s="435">
        <v>62325390</v>
      </c>
      <c r="M9" s="435">
        <f t="shared" si="9"/>
        <v>-3968049.3991201073</v>
      </c>
      <c r="N9" s="435">
        <v>62325390</v>
      </c>
      <c r="O9" s="435">
        <v>62325390</v>
      </c>
      <c r="P9" s="436">
        <v>70512612.399120107</v>
      </c>
      <c r="Q9" s="435">
        <f t="shared" ref="Q9" si="16">+Q10+Q11</f>
        <v>62325390</v>
      </c>
      <c r="R9" s="435">
        <f t="shared" si="3"/>
        <v>8187222.3991201073</v>
      </c>
      <c r="S9" s="435">
        <f t="shared" si="4"/>
        <v>0</v>
      </c>
      <c r="T9" s="437">
        <f>(F9-P9)/F9*100</f>
        <v>-5.9629956531837278</v>
      </c>
      <c r="U9" s="435">
        <v>46744042.5</v>
      </c>
      <c r="V9" s="435">
        <v>70512612.399120107</v>
      </c>
      <c r="W9" s="435">
        <f>+W10+W11</f>
        <v>80056741.37370871</v>
      </c>
      <c r="X9" s="435">
        <f t="shared" ref="X9" si="17">+X10+X11</f>
        <v>62325390</v>
      </c>
      <c r="Y9" s="435">
        <f t="shared" si="6"/>
        <v>72594068.727272734</v>
      </c>
      <c r="Z9" s="435">
        <v>62325390</v>
      </c>
      <c r="AA9" s="435">
        <v>62325390</v>
      </c>
      <c r="AB9" s="435">
        <f t="shared" ref="AB9:AM9" si="18">+AB10+AB11</f>
        <v>20014186</v>
      </c>
      <c r="AC9" s="435">
        <f t="shared" si="18"/>
        <v>31162695</v>
      </c>
      <c r="AD9" s="435">
        <f t="shared" si="18"/>
        <v>62325390</v>
      </c>
      <c r="AE9" s="435"/>
      <c r="AF9" s="435">
        <f t="shared" si="18"/>
        <v>62325390</v>
      </c>
      <c r="AG9" s="435">
        <f t="shared" si="18"/>
        <v>0</v>
      </c>
      <c r="AH9" s="419">
        <f t="shared" si="0"/>
        <v>-66544563</v>
      </c>
      <c r="AI9" s="435">
        <f t="shared" si="18"/>
        <v>0</v>
      </c>
      <c r="AJ9" s="435">
        <f t="shared" si="18"/>
        <v>0</v>
      </c>
      <c r="AK9" s="435">
        <f t="shared" si="18"/>
        <v>-17731351.37370871</v>
      </c>
      <c r="AL9" s="435">
        <f t="shared" si="18"/>
        <v>0</v>
      </c>
      <c r="AM9" s="435">
        <f t="shared" si="18"/>
        <v>0</v>
      </c>
      <c r="AN9" s="438"/>
      <c r="AO9" s="438"/>
      <c r="AP9" s="438"/>
    </row>
    <row r="10" spans="1:42" ht="12.75">
      <c r="A10" s="412">
        <v>7</v>
      </c>
      <c r="B10" s="431"/>
      <c r="C10" s="432" t="s">
        <v>4709</v>
      </c>
      <c r="D10" s="433" t="s">
        <v>4714</v>
      </c>
      <c r="E10" s="434">
        <f>'PROSPETTO CE_IV TRIM 2024'!BM10</f>
        <v>11808011</v>
      </c>
      <c r="F10" s="439">
        <f>+E10</f>
        <v>11808011</v>
      </c>
      <c r="G10" s="439">
        <v>8842831</v>
      </c>
      <c r="H10" s="439">
        <v>8842831</v>
      </c>
      <c r="I10" s="435">
        <f t="shared" si="7"/>
        <v>2965180</v>
      </c>
      <c r="J10" s="435">
        <f t="shared" si="8"/>
        <v>2965180</v>
      </c>
      <c r="K10" s="439">
        <v>8842831</v>
      </c>
      <c r="L10" s="439">
        <v>8842831</v>
      </c>
      <c r="M10" s="439">
        <f t="shared" si="9"/>
        <v>-5222042.3900000006</v>
      </c>
      <c r="N10" s="439">
        <v>8842831</v>
      </c>
      <c r="O10" s="439">
        <v>8842831</v>
      </c>
      <c r="P10" s="443">
        <v>17030053.390000001</v>
      </c>
      <c r="Q10" s="439">
        <v>8842831</v>
      </c>
      <c r="R10" s="439">
        <f t="shared" si="3"/>
        <v>8187222.3900000006</v>
      </c>
      <c r="S10" s="439">
        <f t="shared" si="4"/>
        <v>0</v>
      </c>
      <c r="T10" s="441">
        <f>(F10-P10)/F10*100</f>
        <v>-44.22457253808453</v>
      </c>
      <c r="U10" s="439">
        <v>6632123.25</v>
      </c>
      <c r="V10" s="439">
        <f>+AA10+8187222.39</f>
        <v>17030053.390000001</v>
      </c>
      <c r="W10" s="439">
        <v>14946463</v>
      </c>
      <c r="X10" s="439">
        <v>8842831</v>
      </c>
      <c r="Y10" s="435">
        <f t="shared" si="6"/>
        <v>12881466.545454545</v>
      </c>
      <c r="Z10" s="439">
        <v>8842831</v>
      </c>
      <c r="AA10" s="439">
        <v>8842831</v>
      </c>
      <c r="AB10" s="439">
        <v>3736616</v>
      </c>
      <c r="AC10" s="439">
        <v>4421415.5</v>
      </c>
      <c r="AD10" s="439">
        <v>8842831</v>
      </c>
      <c r="AE10" s="439"/>
      <c r="AF10" s="439">
        <f>AC10*2</f>
        <v>8842831</v>
      </c>
      <c r="AG10" s="439"/>
      <c r="AH10" s="419">
        <f t="shared" si="0"/>
        <v>-11808011</v>
      </c>
      <c r="AI10" s="439"/>
      <c r="AJ10" s="439"/>
      <c r="AK10" s="439">
        <f>AA10-W10</f>
        <v>-6103632</v>
      </c>
      <c r="AL10" s="439">
        <f>AA10-AF10</f>
        <v>0</v>
      </c>
      <c r="AM10" s="439">
        <f>AA10-AD10</f>
        <v>0</v>
      </c>
      <c r="AN10" s="438"/>
      <c r="AO10" s="438"/>
      <c r="AP10" s="438"/>
    </row>
    <row r="11" spans="1:42" ht="12.75">
      <c r="A11" s="412">
        <v>8</v>
      </c>
      <c r="B11" s="431"/>
      <c r="C11" s="432" t="s">
        <v>4715</v>
      </c>
      <c r="D11" s="433" t="s">
        <v>4720</v>
      </c>
      <c r="E11" s="434">
        <f>'PROSPETTO CE_IV TRIM 2024'!BM11</f>
        <v>54736552</v>
      </c>
      <c r="F11" s="439">
        <f>+E11</f>
        <v>54736552</v>
      </c>
      <c r="G11" s="439">
        <v>53482559</v>
      </c>
      <c r="H11" s="439">
        <v>53482559</v>
      </c>
      <c r="I11" s="435">
        <f t="shared" si="7"/>
        <v>1253993</v>
      </c>
      <c r="J11" s="435">
        <f t="shared" si="8"/>
        <v>1253993</v>
      </c>
      <c r="K11" s="439">
        <v>53482559</v>
      </c>
      <c r="L11" s="439">
        <v>53482559</v>
      </c>
      <c r="M11" s="439">
        <f t="shared" si="9"/>
        <v>1253993</v>
      </c>
      <c r="N11" s="439">
        <v>53482559</v>
      </c>
      <c r="O11" s="439">
        <v>53482559</v>
      </c>
      <c r="P11" s="440">
        <v>53482559</v>
      </c>
      <c r="Q11" s="439">
        <v>53482559</v>
      </c>
      <c r="R11" s="439">
        <f t="shared" si="3"/>
        <v>0</v>
      </c>
      <c r="S11" s="439">
        <f t="shared" si="4"/>
        <v>0</v>
      </c>
      <c r="T11" s="441">
        <f>(F11-P11)/F11*100</f>
        <v>2.2909608920927282</v>
      </c>
      <c r="U11" s="439">
        <v>40111919.25</v>
      </c>
      <c r="V11" s="439">
        <f>+AA11</f>
        <v>53482559</v>
      </c>
      <c r="W11" s="439">
        <v>65110278.37370871</v>
      </c>
      <c r="X11" s="439">
        <v>53482559</v>
      </c>
      <c r="Y11" s="435">
        <f t="shared" si="6"/>
        <v>59712602.18181818</v>
      </c>
      <c r="Z11" s="439">
        <v>53482559</v>
      </c>
      <c r="AA11" s="439">
        <v>53482559</v>
      </c>
      <c r="AB11" s="439">
        <v>16277570</v>
      </c>
      <c r="AC11" s="439">
        <v>26741279.5</v>
      </c>
      <c r="AD11" s="439">
        <v>53482559</v>
      </c>
      <c r="AE11" s="439"/>
      <c r="AF11" s="439">
        <f>AC11*2</f>
        <v>53482559</v>
      </c>
      <c r="AG11" s="439"/>
      <c r="AH11" s="419">
        <f t="shared" si="0"/>
        <v>-54736552</v>
      </c>
      <c r="AI11" s="439"/>
      <c r="AJ11" s="439"/>
      <c r="AK11" s="439">
        <f>AA11-W11</f>
        <v>-11627719.37370871</v>
      </c>
      <c r="AL11" s="439">
        <f>AA11-AF11</f>
        <v>0</v>
      </c>
      <c r="AM11" s="439">
        <f>AA11-AD11</f>
        <v>0</v>
      </c>
      <c r="AN11" s="438"/>
      <c r="AO11" s="438"/>
      <c r="AP11" s="438"/>
    </row>
    <row r="12" spans="1:42" ht="25.5">
      <c r="A12" s="412">
        <v>9</v>
      </c>
      <c r="B12" s="431"/>
      <c r="C12" s="432" t="s">
        <v>4721</v>
      </c>
      <c r="D12" s="433" t="s">
        <v>4725</v>
      </c>
      <c r="E12" s="434">
        <f>'PROSPETTO CE_IV TRIM 2024'!BM12</f>
        <v>0</v>
      </c>
      <c r="F12" s="439">
        <f>+E12</f>
        <v>0</v>
      </c>
      <c r="G12" s="439">
        <v>0</v>
      </c>
      <c r="H12" s="439">
        <v>0</v>
      </c>
      <c r="I12" s="435">
        <f t="shared" si="7"/>
        <v>0</v>
      </c>
      <c r="J12" s="435">
        <f t="shared" si="8"/>
        <v>0</v>
      </c>
      <c r="K12" s="439">
        <v>0</v>
      </c>
      <c r="L12" s="439">
        <v>0</v>
      </c>
      <c r="M12" s="439">
        <f t="shared" si="9"/>
        <v>0</v>
      </c>
      <c r="N12" s="439">
        <v>0</v>
      </c>
      <c r="O12" s="439">
        <v>0</v>
      </c>
      <c r="P12" s="440">
        <v>0</v>
      </c>
      <c r="Q12" s="439">
        <v>0</v>
      </c>
      <c r="R12" s="439">
        <f t="shared" si="3"/>
        <v>0</v>
      </c>
      <c r="S12" s="439">
        <f t="shared" si="4"/>
        <v>0</v>
      </c>
      <c r="T12" s="441"/>
      <c r="U12" s="439">
        <v>0</v>
      </c>
      <c r="V12" s="439">
        <f>+AA12</f>
        <v>0</v>
      </c>
      <c r="W12" s="439">
        <v>0</v>
      </c>
      <c r="X12" s="439">
        <v>0</v>
      </c>
      <c r="Y12" s="435">
        <f t="shared" si="6"/>
        <v>0</v>
      </c>
      <c r="Z12" s="439">
        <v>0</v>
      </c>
      <c r="AA12" s="439">
        <v>0</v>
      </c>
      <c r="AB12" s="439">
        <v>0</v>
      </c>
      <c r="AC12" s="439">
        <v>0</v>
      </c>
      <c r="AD12" s="439">
        <v>0</v>
      </c>
      <c r="AE12" s="439"/>
      <c r="AF12" s="439">
        <f>AC12*2</f>
        <v>0</v>
      </c>
      <c r="AG12" s="439"/>
      <c r="AH12" s="419">
        <f t="shared" si="0"/>
        <v>0</v>
      </c>
      <c r="AI12" s="439"/>
      <c r="AJ12" s="439"/>
      <c r="AK12" s="439">
        <f>AA12-W12</f>
        <v>0</v>
      </c>
      <c r="AL12" s="439">
        <f>AA12-AF12</f>
        <v>0</v>
      </c>
      <c r="AM12" s="439">
        <f>AA12-AD12</f>
        <v>0</v>
      </c>
      <c r="AN12" s="438"/>
      <c r="AO12" s="438"/>
      <c r="AP12" s="438"/>
    </row>
    <row r="13" spans="1:42" ht="25.5">
      <c r="A13" s="412">
        <v>10</v>
      </c>
      <c r="B13" s="431"/>
      <c r="C13" s="432" t="s">
        <v>497</v>
      </c>
      <c r="D13" s="433" t="s">
        <v>4728</v>
      </c>
      <c r="E13" s="434">
        <f>'PROSPETTO CE_IV TRIM 2024'!BM13</f>
        <v>123273.22</v>
      </c>
      <c r="F13" s="439">
        <f>+E13</f>
        <v>123273.22</v>
      </c>
      <c r="G13" s="439">
        <v>110961.54</v>
      </c>
      <c r="H13" s="439">
        <v>151823.07</v>
      </c>
      <c r="I13" s="435">
        <f t="shared" si="7"/>
        <v>-28549.850000000006</v>
      </c>
      <c r="J13" s="435">
        <f t="shared" si="8"/>
        <v>-28549.850000000006</v>
      </c>
      <c r="K13" s="439">
        <v>151823.07</v>
      </c>
      <c r="L13" s="439">
        <v>151823.07</v>
      </c>
      <c r="M13" s="439">
        <f t="shared" si="9"/>
        <v>-1233263.9200000002</v>
      </c>
      <c r="N13" s="439">
        <v>1356537.1400000001</v>
      </c>
      <c r="O13" s="439">
        <v>1356537.1400000001</v>
      </c>
      <c r="P13" s="440">
        <v>1356537.1400000001</v>
      </c>
      <c r="Q13" s="439">
        <v>110961.54</v>
      </c>
      <c r="R13" s="439">
        <f t="shared" si="3"/>
        <v>0</v>
      </c>
      <c r="S13" s="439">
        <f t="shared" si="4"/>
        <v>-1245575.6000000001</v>
      </c>
      <c r="T13" s="441">
        <f>(F13-P13)/F13*100</f>
        <v>-1000.4313345591202</v>
      </c>
      <c r="U13" s="439">
        <v>1017402.8550000001</v>
      </c>
      <c r="V13" s="439">
        <f>+AA13</f>
        <v>1356537.1400000001</v>
      </c>
      <c r="W13" s="439">
        <v>49036</v>
      </c>
      <c r="X13" s="439">
        <v>110961.54</v>
      </c>
      <c r="Y13" s="435">
        <f t="shared" si="6"/>
        <v>134479.87636363637</v>
      </c>
      <c r="Z13" s="439">
        <v>1356537.1400000001</v>
      </c>
      <c r="AA13" s="439">
        <v>1356537.1400000001</v>
      </c>
      <c r="AB13" s="439">
        <v>18457</v>
      </c>
      <c r="AC13" s="439">
        <v>55480.77</v>
      </c>
      <c r="AD13" s="439">
        <v>110961.54</v>
      </c>
      <c r="AE13" s="439"/>
      <c r="AF13" s="439">
        <f>AC13*2</f>
        <v>110961.54</v>
      </c>
      <c r="AG13" s="439"/>
      <c r="AH13" s="419">
        <f t="shared" si="0"/>
        <v>-123273.22</v>
      </c>
      <c r="AI13" s="439"/>
      <c r="AJ13" s="439"/>
      <c r="AK13" s="439">
        <f>AA13-W13</f>
        <v>1307501.1400000001</v>
      </c>
      <c r="AL13" s="439">
        <f>AA13-AF13</f>
        <v>1245575.6000000001</v>
      </c>
      <c r="AM13" s="439">
        <f>AA13-AD13</f>
        <v>1245575.6000000001</v>
      </c>
      <c r="AN13" s="438"/>
      <c r="AO13" s="438"/>
      <c r="AP13" s="438"/>
    </row>
    <row r="14" spans="1:42" ht="12.75">
      <c r="A14" s="412">
        <v>11</v>
      </c>
      <c r="B14" s="431"/>
      <c r="C14" s="432" t="s">
        <v>498</v>
      </c>
      <c r="D14" s="433" t="s">
        <v>4765</v>
      </c>
      <c r="E14" s="434"/>
      <c r="F14" s="435">
        <f>+F15+F20+F23</f>
        <v>4062330.97</v>
      </c>
      <c r="G14" s="435">
        <v>4514840.72</v>
      </c>
      <c r="H14" s="435">
        <v>4062330.97</v>
      </c>
      <c r="I14" s="435">
        <f t="shared" si="7"/>
        <v>0</v>
      </c>
      <c r="J14" s="435">
        <f t="shared" si="8"/>
        <v>0</v>
      </c>
      <c r="K14" s="435">
        <v>4062330.97</v>
      </c>
      <c r="L14" s="435">
        <v>3759330.97</v>
      </c>
      <c r="M14" s="435">
        <f t="shared" si="9"/>
        <v>4062330.97</v>
      </c>
      <c r="N14" s="435">
        <v>46636.29</v>
      </c>
      <c r="O14" s="435">
        <v>46636.29</v>
      </c>
      <c r="P14" s="436">
        <v>0</v>
      </c>
      <c r="Q14" s="435">
        <f t="shared" ref="Q14" si="19">+Q15+Q20+Q23</f>
        <v>4514840.72</v>
      </c>
      <c r="R14" s="435">
        <f t="shared" si="3"/>
        <v>-46636.29</v>
      </c>
      <c r="S14" s="435">
        <f t="shared" si="4"/>
        <v>4468204.43</v>
      </c>
      <c r="T14" s="437">
        <f>(F14-P14)/F14*100</f>
        <v>100</v>
      </c>
      <c r="U14" s="435">
        <v>0</v>
      </c>
      <c r="V14" s="435">
        <f>+V15+V20+V23</f>
        <v>0</v>
      </c>
      <c r="W14" s="435">
        <f>+W15+W20+W23</f>
        <v>0</v>
      </c>
      <c r="X14" s="435">
        <f t="shared" ref="X14" si="20">+X15+X20+X23</f>
        <v>4514840.72</v>
      </c>
      <c r="Y14" s="435">
        <f t="shared" si="6"/>
        <v>4431633.7854545461</v>
      </c>
      <c r="Z14" s="435">
        <v>0</v>
      </c>
      <c r="AA14" s="435">
        <v>0</v>
      </c>
      <c r="AB14" s="435">
        <f t="shared" ref="AB14:AM14" si="21">+AB15+AB20+AB23</f>
        <v>0</v>
      </c>
      <c r="AC14" s="435">
        <f t="shared" si="21"/>
        <v>0</v>
      </c>
      <c r="AD14" s="435">
        <f t="shared" si="21"/>
        <v>4514840.72</v>
      </c>
      <c r="AE14" s="435"/>
      <c r="AF14" s="435">
        <f t="shared" si="21"/>
        <v>0</v>
      </c>
      <c r="AG14" s="435">
        <f t="shared" si="21"/>
        <v>0</v>
      </c>
      <c r="AH14" s="419">
        <f t="shared" si="0"/>
        <v>-4062330.97</v>
      </c>
      <c r="AI14" s="435">
        <f t="shared" si="21"/>
        <v>0</v>
      </c>
      <c r="AJ14" s="435">
        <f t="shared" si="21"/>
        <v>0</v>
      </c>
      <c r="AK14" s="435">
        <f t="shared" si="21"/>
        <v>0</v>
      </c>
      <c r="AL14" s="435">
        <f t="shared" si="21"/>
        <v>0</v>
      </c>
      <c r="AM14" s="435">
        <f t="shared" si="21"/>
        <v>-4514840.72</v>
      </c>
      <c r="AN14" s="438"/>
      <c r="AO14" s="438"/>
      <c r="AP14" s="438"/>
    </row>
    <row r="15" spans="1:42" ht="12.75">
      <c r="A15" s="412">
        <v>12</v>
      </c>
      <c r="B15" s="431"/>
      <c r="C15" s="432" t="s">
        <v>614</v>
      </c>
      <c r="D15" s="433" t="s">
        <v>4768</v>
      </c>
      <c r="E15" s="434"/>
      <c r="F15" s="435">
        <f>+F16+F17+F18+F19</f>
        <v>0</v>
      </c>
      <c r="G15" s="435">
        <v>0</v>
      </c>
      <c r="H15" s="435">
        <v>0</v>
      </c>
      <c r="I15" s="435">
        <f t="shared" si="7"/>
        <v>0</v>
      </c>
      <c r="J15" s="435">
        <f t="shared" si="8"/>
        <v>0</v>
      </c>
      <c r="K15" s="435">
        <v>0</v>
      </c>
      <c r="L15" s="435">
        <v>0</v>
      </c>
      <c r="M15" s="435">
        <f t="shared" si="9"/>
        <v>0</v>
      </c>
      <c r="N15" s="435">
        <v>0</v>
      </c>
      <c r="O15" s="435">
        <v>0</v>
      </c>
      <c r="P15" s="436">
        <v>0</v>
      </c>
      <c r="Q15" s="435">
        <f t="shared" ref="Q15" si="22">+Q16+Q17+Q18+Q19</f>
        <v>0</v>
      </c>
      <c r="R15" s="435">
        <f t="shared" si="3"/>
        <v>0</v>
      </c>
      <c r="S15" s="435">
        <f t="shared" si="4"/>
        <v>0</v>
      </c>
      <c r="T15" s="437"/>
      <c r="U15" s="435">
        <v>0</v>
      </c>
      <c r="V15" s="435">
        <f>+V16+V17+V18+V19</f>
        <v>0</v>
      </c>
      <c r="W15" s="435">
        <f>+W16+W17+W18+W19</f>
        <v>0</v>
      </c>
      <c r="X15" s="435">
        <f t="shared" ref="X15" si="23">+X16+X17+X18+X19</f>
        <v>0</v>
      </c>
      <c r="Y15" s="435">
        <f t="shared" si="6"/>
        <v>0</v>
      </c>
      <c r="Z15" s="435">
        <v>0</v>
      </c>
      <c r="AA15" s="435">
        <v>0</v>
      </c>
      <c r="AB15" s="435">
        <f t="shared" ref="AB15:AM15" si="24">+AB16+AB17+AB18+AB19</f>
        <v>0</v>
      </c>
      <c r="AC15" s="435">
        <f t="shared" si="24"/>
        <v>0</v>
      </c>
      <c r="AD15" s="435">
        <f t="shared" si="24"/>
        <v>0</v>
      </c>
      <c r="AE15" s="435"/>
      <c r="AF15" s="435">
        <f t="shared" si="24"/>
        <v>0</v>
      </c>
      <c r="AG15" s="435">
        <f t="shared" si="24"/>
        <v>0</v>
      </c>
      <c r="AH15" s="419">
        <f t="shared" si="0"/>
        <v>0</v>
      </c>
      <c r="AI15" s="435">
        <f t="shared" si="24"/>
        <v>0</v>
      </c>
      <c r="AJ15" s="435">
        <f t="shared" si="24"/>
        <v>0</v>
      </c>
      <c r="AK15" s="435">
        <f t="shared" si="24"/>
        <v>0</v>
      </c>
      <c r="AL15" s="435">
        <f t="shared" si="24"/>
        <v>0</v>
      </c>
      <c r="AM15" s="435">
        <f t="shared" si="24"/>
        <v>0</v>
      </c>
      <c r="AN15" s="438"/>
      <c r="AO15" s="438"/>
      <c r="AP15" s="438"/>
    </row>
    <row r="16" spans="1:42" ht="25.5">
      <c r="A16" s="412">
        <v>13</v>
      </c>
      <c r="B16" s="431"/>
      <c r="C16" s="432" t="s">
        <v>499</v>
      </c>
      <c r="D16" s="433" t="s">
        <v>11162</v>
      </c>
      <c r="E16" s="434">
        <f>'PROSPETTO CE_IV TRIM 2024'!BM30</f>
        <v>0</v>
      </c>
      <c r="F16" s="439">
        <f>+E16</f>
        <v>0</v>
      </c>
      <c r="G16" s="439">
        <v>0</v>
      </c>
      <c r="H16" s="439">
        <v>0</v>
      </c>
      <c r="I16" s="435">
        <f t="shared" si="7"/>
        <v>0</v>
      </c>
      <c r="J16" s="435">
        <f t="shared" si="8"/>
        <v>0</v>
      </c>
      <c r="K16" s="439">
        <v>0</v>
      </c>
      <c r="L16" s="439">
        <v>0</v>
      </c>
      <c r="M16" s="439">
        <f t="shared" si="9"/>
        <v>0</v>
      </c>
      <c r="N16" s="439">
        <v>0</v>
      </c>
      <c r="O16" s="439">
        <v>0</v>
      </c>
      <c r="P16" s="440">
        <v>0</v>
      </c>
      <c r="Q16" s="439">
        <v>0</v>
      </c>
      <c r="R16" s="439">
        <f t="shared" si="3"/>
        <v>0</v>
      </c>
      <c r="S16" s="439">
        <f t="shared" si="4"/>
        <v>0</v>
      </c>
      <c r="T16" s="441"/>
      <c r="U16" s="439">
        <v>0</v>
      </c>
      <c r="V16" s="439">
        <f>+AA16</f>
        <v>0</v>
      </c>
      <c r="W16" s="439">
        <v>0</v>
      </c>
      <c r="X16" s="439">
        <v>0</v>
      </c>
      <c r="Y16" s="435">
        <f t="shared" si="6"/>
        <v>0</v>
      </c>
      <c r="Z16" s="439">
        <v>0</v>
      </c>
      <c r="AA16" s="439">
        <v>0</v>
      </c>
      <c r="AB16" s="439">
        <v>0</v>
      </c>
      <c r="AC16" s="439">
        <v>0</v>
      </c>
      <c r="AD16" s="439">
        <v>0</v>
      </c>
      <c r="AE16" s="439"/>
      <c r="AF16" s="439">
        <f>AC16*2</f>
        <v>0</v>
      </c>
      <c r="AG16" s="439">
        <v>0</v>
      </c>
      <c r="AH16" s="419">
        <f t="shared" si="0"/>
        <v>0</v>
      </c>
      <c r="AI16" s="439">
        <v>0</v>
      </c>
      <c r="AJ16" s="439">
        <v>0</v>
      </c>
      <c r="AK16" s="439">
        <f>AA16-W16</f>
        <v>0</v>
      </c>
      <c r="AL16" s="439">
        <f>AA16-AF16</f>
        <v>0</v>
      </c>
      <c r="AM16" s="439">
        <f>AA16-AD16</f>
        <v>0</v>
      </c>
      <c r="AN16" s="438"/>
      <c r="AO16" s="438"/>
      <c r="AP16" s="438"/>
    </row>
    <row r="17" spans="1:42" ht="25.5">
      <c r="A17" s="412">
        <v>14</v>
      </c>
      <c r="B17" s="431"/>
      <c r="C17" s="432" t="s">
        <v>494</v>
      </c>
      <c r="D17" s="433" t="s">
        <v>11163</v>
      </c>
      <c r="E17" s="434">
        <f>'PROSPETTO CE_IV TRIM 2024'!BM32</f>
        <v>0</v>
      </c>
      <c r="F17" s="439">
        <f>+E17</f>
        <v>0</v>
      </c>
      <c r="G17" s="439">
        <v>0</v>
      </c>
      <c r="H17" s="439">
        <v>0</v>
      </c>
      <c r="I17" s="435">
        <f t="shared" si="7"/>
        <v>0</v>
      </c>
      <c r="J17" s="435">
        <f t="shared" si="8"/>
        <v>0</v>
      </c>
      <c r="K17" s="439">
        <v>0</v>
      </c>
      <c r="L17" s="439">
        <v>0</v>
      </c>
      <c r="M17" s="439">
        <f t="shared" si="9"/>
        <v>0</v>
      </c>
      <c r="N17" s="439">
        <v>0</v>
      </c>
      <c r="O17" s="439">
        <v>0</v>
      </c>
      <c r="P17" s="440">
        <v>0</v>
      </c>
      <c r="Q17" s="439">
        <v>0</v>
      </c>
      <c r="R17" s="439">
        <f t="shared" si="3"/>
        <v>0</v>
      </c>
      <c r="S17" s="439">
        <f t="shared" si="4"/>
        <v>0</v>
      </c>
      <c r="T17" s="441"/>
      <c r="U17" s="439">
        <v>0</v>
      </c>
      <c r="V17" s="439">
        <f>+AA17</f>
        <v>0</v>
      </c>
      <c r="W17" s="439">
        <v>0</v>
      </c>
      <c r="X17" s="439">
        <v>0</v>
      </c>
      <c r="Y17" s="435">
        <f t="shared" si="6"/>
        <v>0</v>
      </c>
      <c r="Z17" s="439">
        <v>0</v>
      </c>
      <c r="AA17" s="439">
        <v>0</v>
      </c>
      <c r="AB17" s="439">
        <v>0</v>
      </c>
      <c r="AC17" s="439">
        <v>0</v>
      </c>
      <c r="AD17" s="439">
        <v>0</v>
      </c>
      <c r="AE17" s="439"/>
      <c r="AF17" s="439">
        <f>AC17*2</f>
        <v>0</v>
      </c>
      <c r="AG17" s="439">
        <v>0</v>
      </c>
      <c r="AH17" s="419">
        <f t="shared" si="0"/>
        <v>0</v>
      </c>
      <c r="AI17" s="439">
        <v>0</v>
      </c>
      <c r="AJ17" s="439">
        <v>0</v>
      </c>
      <c r="AK17" s="439">
        <f>AA17-W17</f>
        <v>0</v>
      </c>
      <c r="AL17" s="439">
        <f>AA17-AF17</f>
        <v>0</v>
      </c>
      <c r="AM17" s="439">
        <f>AA17-AD17</f>
        <v>0</v>
      </c>
      <c r="AN17" s="438"/>
      <c r="AO17" s="438"/>
      <c r="AP17" s="438"/>
    </row>
    <row r="18" spans="1:42" ht="38.25">
      <c r="A18" s="412">
        <v>15</v>
      </c>
      <c r="B18" s="431"/>
      <c r="C18" s="432" t="s">
        <v>495</v>
      </c>
      <c r="D18" s="433" t="s">
        <v>11164</v>
      </c>
      <c r="E18" s="434">
        <f>'PROSPETTO CE_IV TRIM 2024'!BM33</f>
        <v>0</v>
      </c>
      <c r="F18" s="439">
        <f>+E18</f>
        <v>0</v>
      </c>
      <c r="G18" s="439">
        <v>0</v>
      </c>
      <c r="H18" s="439">
        <v>0</v>
      </c>
      <c r="I18" s="435">
        <f t="shared" si="7"/>
        <v>0</v>
      </c>
      <c r="J18" s="435">
        <f t="shared" si="8"/>
        <v>0</v>
      </c>
      <c r="K18" s="439">
        <v>0</v>
      </c>
      <c r="L18" s="439">
        <v>0</v>
      </c>
      <c r="M18" s="439">
        <f t="shared" si="9"/>
        <v>0</v>
      </c>
      <c r="N18" s="439">
        <v>0</v>
      </c>
      <c r="O18" s="439">
        <v>0</v>
      </c>
      <c r="P18" s="440">
        <v>0</v>
      </c>
      <c r="Q18" s="439">
        <v>0</v>
      </c>
      <c r="R18" s="439">
        <f t="shared" si="3"/>
        <v>0</v>
      </c>
      <c r="S18" s="439">
        <f t="shared" si="4"/>
        <v>0</v>
      </c>
      <c r="T18" s="441"/>
      <c r="U18" s="439">
        <v>0</v>
      </c>
      <c r="V18" s="439">
        <f>+AA18</f>
        <v>0</v>
      </c>
      <c r="W18" s="439">
        <v>0</v>
      </c>
      <c r="X18" s="439">
        <v>0</v>
      </c>
      <c r="Y18" s="435">
        <f t="shared" si="6"/>
        <v>0</v>
      </c>
      <c r="Z18" s="439">
        <v>0</v>
      </c>
      <c r="AA18" s="439">
        <v>0</v>
      </c>
      <c r="AB18" s="439">
        <v>0</v>
      </c>
      <c r="AC18" s="439">
        <v>0</v>
      </c>
      <c r="AD18" s="439">
        <v>0</v>
      </c>
      <c r="AE18" s="439"/>
      <c r="AF18" s="439">
        <f>AC18*2</f>
        <v>0</v>
      </c>
      <c r="AG18" s="439">
        <v>0</v>
      </c>
      <c r="AH18" s="419">
        <f t="shared" si="0"/>
        <v>0</v>
      </c>
      <c r="AI18" s="439">
        <v>0</v>
      </c>
      <c r="AJ18" s="439">
        <v>0</v>
      </c>
      <c r="AK18" s="439">
        <f>AA18-W18</f>
        <v>0</v>
      </c>
      <c r="AL18" s="439">
        <f>AA18-AF18</f>
        <v>0</v>
      </c>
      <c r="AM18" s="439">
        <f>AA18-AD18</f>
        <v>0</v>
      </c>
      <c r="AN18" s="438"/>
      <c r="AO18" s="438"/>
      <c r="AP18" s="438"/>
    </row>
    <row r="19" spans="1:42" ht="12.75">
      <c r="A19" s="412">
        <v>16</v>
      </c>
      <c r="B19" s="431"/>
      <c r="C19" s="432" t="s">
        <v>500</v>
      </c>
      <c r="D19" s="433" t="s">
        <v>11165</v>
      </c>
      <c r="E19" s="434">
        <f>'PROSPETTO CE_IV TRIM 2024'!BM34</f>
        <v>0</v>
      </c>
      <c r="F19" s="439">
        <f>+E19</f>
        <v>0</v>
      </c>
      <c r="G19" s="439">
        <v>0</v>
      </c>
      <c r="H19" s="439">
        <v>0</v>
      </c>
      <c r="I19" s="435">
        <f t="shared" si="7"/>
        <v>0</v>
      </c>
      <c r="J19" s="435">
        <f t="shared" si="8"/>
        <v>0</v>
      </c>
      <c r="K19" s="439">
        <v>0</v>
      </c>
      <c r="L19" s="439">
        <v>0</v>
      </c>
      <c r="M19" s="439">
        <f t="shared" si="9"/>
        <v>0</v>
      </c>
      <c r="N19" s="439">
        <v>0</v>
      </c>
      <c r="O19" s="439">
        <v>0</v>
      </c>
      <c r="P19" s="440">
        <v>0</v>
      </c>
      <c r="Q19" s="439">
        <v>0</v>
      </c>
      <c r="R19" s="439">
        <f t="shared" si="3"/>
        <v>0</v>
      </c>
      <c r="S19" s="439">
        <f t="shared" si="4"/>
        <v>0</v>
      </c>
      <c r="T19" s="441"/>
      <c r="U19" s="439">
        <v>0</v>
      </c>
      <c r="V19" s="439">
        <f>+AA19</f>
        <v>0</v>
      </c>
      <c r="W19" s="439">
        <v>0</v>
      </c>
      <c r="X19" s="439">
        <v>0</v>
      </c>
      <c r="Y19" s="435">
        <f t="shared" si="6"/>
        <v>0</v>
      </c>
      <c r="Z19" s="439">
        <v>0</v>
      </c>
      <c r="AA19" s="439">
        <v>0</v>
      </c>
      <c r="AB19" s="439">
        <v>0</v>
      </c>
      <c r="AC19" s="439">
        <v>0</v>
      </c>
      <c r="AD19" s="439">
        <v>0</v>
      </c>
      <c r="AE19" s="439"/>
      <c r="AF19" s="439">
        <f>AC19*2</f>
        <v>0</v>
      </c>
      <c r="AG19" s="439">
        <v>0</v>
      </c>
      <c r="AH19" s="419">
        <f t="shared" si="0"/>
        <v>0</v>
      </c>
      <c r="AI19" s="439">
        <v>0</v>
      </c>
      <c r="AJ19" s="439">
        <v>0</v>
      </c>
      <c r="AK19" s="439">
        <f>AA19-W19</f>
        <v>0</v>
      </c>
      <c r="AL19" s="439">
        <f>AA19-AF19</f>
        <v>0</v>
      </c>
      <c r="AM19" s="439">
        <f>AA19-AD19</f>
        <v>0</v>
      </c>
      <c r="AN19" s="438"/>
      <c r="AO19" s="438"/>
      <c r="AP19" s="438"/>
    </row>
    <row r="20" spans="1:42" ht="25.5">
      <c r="A20" s="412">
        <v>17</v>
      </c>
      <c r="B20" s="431"/>
      <c r="C20" s="432" t="s">
        <v>512</v>
      </c>
      <c r="D20" s="433" t="s">
        <v>11166</v>
      </c>
      <c r="E20" s="434"/>
      <c r="F20" s="435">
        <f>+F21+F22</f>
        <v>0</v>
      </c>
      <c r="G20" s="435">
        <v>0</v>
      </c>
      <c r="H20" s="435">
        <v>0</v>
      </c>
      <c r="I20" s="435">
        <f t="shared" si="7"/>
        <v>0</v>
      </c>
      <c r="J20" s="435">
        <f t="shared" si="8"/>
        <v>0</v>
      </c>
      <c r="K20" s="435">
        <v>0</v>
      </c>
      <c r="L20" s="435">
        <v>0</v>
      </c>
      <c r="M20" s="435">
        <f t="shared" si="9"/>
        <v>0</v>
      </c>
      <c r="N20" s="435">
        <v>0</v>
      </c>
      <c r="O20" s="435">
        <v>0</v>
      </c>
      <c r="P20" s="436">
        <v>0</v>
      </c>
      <c r="Q20" s="435">
        <f t="shared" ref="Q20" si="25">+Q21+Q22</f>
        <v>0</v>
      </c>
      <c r="R20" s="435">
        <f t="shared" si="3"/>
        <v>0</v>
      </c>
      <c r="S20" s="435">
        <f t="shared" si="4"/>
        <v>0</v>
      </c>
      <c r="T20" s="437"/>
      <c r="U20" s="435">
        <v>0</v>
      </c>
      <c r="V20" s="435">
        <f>+V21+V22</f>
        <v>0</v>
      </c>
      <c r="W20" s="435">
        <f>+W21+W22</f>
        <v>0</v>
      </c>
      <c r="X20" s="435">
        <f t="shared" ref="X20" si="26">+X21+X22</f>
        <v>0</v>
      </c>
      <c r="Y20" s="435">
        <f t="shared" si="6"/>
        <v>0</v>
      </c>
      <c r="Z20" s="435">
        <v>0</v>
      </c>
      <c r="AA20" s="435">
        <v>0</v>
      </c>
      <c r="AB20" s="435">
        <f t="shared" ref="AB20:AM20" si="27">+AB21+AB22</f>
        <v>0</v>
      </c>
      <c r="AC20" s="435">
        <f t="shared" si="27"/>
        <v>0</v>
      </c>
      <c r="AD20" s="435">
        <f t="shared" si="27"/>
        <v>0</v>
      </c>
      <c r="AE20" s="435"/>
      <c r="AF20" s="435">
        <f t="shared" si="27"/>
        <v>0</v>
      </c>
      <c r="AG20" s="435">
        <f t="shared" si="27"/>
        <v>0</v>
      </c>
      <c r="AH20" s="419">
        <f t="shared" si="0"/>
        <v>0</v>
      </c>
      <c r="AI20" s="435">
        <f t="shared" si="27"/>
        <v>0</v>
      </c>
      <c r="AJ20" s="435">
        <f t="shared" si="27"/>
        <v>0</v>
      </c>
      <c r="AK20" s="435">
        <f t="shared" si="27"/>
        <v>0</v>
      </c>
      <c r="AL20" s="435">
        <f t="shared" si="27"/>
        <v>0</v>
      </c>
      <c r="AM20" s="435">
        <f t="shared" si="27"/>
        <v>0</v>
      </c>
      <c r="AN20" s="438"/>
      <c r="AO20" s="438"/>
      <c r="AP20" s="438"/>
    </row>
    <row r="21" spans="1:42" ht="25.5">
      <c r="A21" s="412">
        <v>18</v>
      </c>
      <c r="B21" s="431" t="s">
        <v>1519</v>
      </c>
      <c r="C21" s="432" t="s">
        <v>501</v>
      </c>
      <c r="D21" s="433" t="s">
        <v>11167</v>
      </c>
      <c r="E21" s="434">
        <f>'PROSPETTO CE_IV TRIM 2024'!BM37</f>
        <v>0</v>
      </c>
      <c r="F21" s="439">
        <f>+E21</f>
        <v>0</v>
      </c>
      <c r="G21" s="439">
        <v>0</v>
      </c>
      <c r="H21" s="439">
        <v>0</v>
      </c>
      <c r="I21" s="435">
        <f t="shared" si="7"/>
        <v>0</v>
      </c>
      <c r="J21" s="435">
        <f t="shared" si="8"/>
        <v>0</v>
      </c>
      <c r="K21" s="439">
        <v>0</v>
      </c>
      <c r="L21" s="439">
        <v>0</v>
      </c>
      <c r="M21" s="439">
        <f t="shared" si="9"/>
        <v>0</v>
      </c>
      <c r="N21" s="439">
        <v>0</v>
      </c>
      <c r="O21" s="439">
        <v>0</v>
      </c>
      <c r="P21" s="440">
        <v>0</v>
      </c>
      <c r="Q21" s="439">
        <v>0</v>
      </c>
      <c r="R21" s="439">
        <f t="shared" si="3"/>
        <v>0</v>
      </c>
      <c r="S21" s="439">
        <f t="shared" si="4"/>
        <v>0</v>
      </c>
      <c r="T21" s="441"/>
      <c r="U21" s="439">
        <v>0</v>
      </c>
      <c r="V21" s="439">
        <f>+AA21</f>
        <v>0</v>
      </c>
      <c r="W21" s="439">
        <v>0</v>
      </c>
      <c r="X21" s="439">
        <v>0</v>
      </c>
      <c r="Y21" s="435">
        <f t="shared" si="6"/>
        <v>0</v>
      </c>
      <c r="Z21" s="439">
        <v>0</v>
      </c>
      <c r="AA21" s="439">
        <v>0</v>
      </c>
      <c r="AB21" s="439">
        <v>0</v>
      </c>
      <c r="AC21" s="439">
        <v>0</v>
      </c>
      <c r="AD21" s="439">
        <v>0</v>
      </c>
      <c r="AE21" s="439"/>
      <c r="AF21" s="439">
        <f>AC21*2</f>
        <v>0</v>
      </c>
      <c r="AG21" s="439">
        <v>0</v>
      </c>
      <c r="AH21" s="419">
        <f t="shared" si="0"/>
        <v>0</v>
      </c>
      <c r="AI21" s="439">
        <v>0</v>
      </c>
      <c r="AJ21" s="439">
        <v>0</v>
      </c>
      <c r="AK21" s="439">
        <f>AA21-W21</f>
        <v>0</v>
      </c>
      <c r="AL21" s="439">
        <f>AA21-AF21</f>
        <v>0</v>
      </c>
      <c r="AM21" s="439">
        <f>AA21-AD21</f>
        <v>0</v>
      </c>
      <c r="AN21" s="438"/>
      <c r="AO21" s="438"/>
      <c r="AP21" s="438"/>
    </row>
    <row r="22" spans="1:42" ht="25.5">
      <c r="A22" s="412">
        <v>19</v>
      </c>
      <c r="B22" s="444" t="s">
        <v>1519</v>
      </c>
      <c r="C22" s="432" t="s">
        <v>502</v>
      </c>
      <c r="D22" s="433" t="s">
        <v>11168</v>
      </c>
      <c r="E22" s="434">
        <f>'PROSPETTO CE_IV TRIM 2024'!BM38</f>
        <v>0</v>
      </c>
      <c r="F22" s="439">
        <f>+E22</f>
        <v>0</v>
      </c>
      <c r="G22" s="439">
        <v>0</v>
      </c>
      <c r="H22" s="439">
        <v>0</v>
      </c>
      <c r="I22" s="435">
        <f t="shared" si="7"/>
        <v>0</v>
      </c>
      <c r="J22" s="435">
        <f t="shared" si="8"/>
        <v>0</v>
      </c>
      <c r="K22" s="439">
        <v>0</v>
      </c>
      <c r="L22" s="439">
        <v>0</v>
      </c>
      <c r="M22" s="439">
        <f t="shared" si="9"/>
        <v>0</v>
      </c>
      <c r="N22" s="439">
        <v>0</v>
      </c>
      <c r="O22" s="439">
        <v>0</v>
      </c>
      <c r="P22" s="440">
        <v>0</v>
      </c>
      <c r="Q22" s="439">
        <v>0</v>
      </c>
      <c r="R22" s="439">
        <f t="shared" si="3"/>
        <v>0</v>
      </c>
      <c r="S22" s="439">
        <f t="shared" si="4"/>
        <v>0</v>
      </c>
      <c r="T22" s="441"/>
      <c r="U22" s="439">
        <v>0</v>
      </c>
      <c r="V22" s="439">
        <f>+AA22</f>
        <v>0</v>
      </c>
      <c r="W22" s="439">
        <v>0</v>
      </c>
      <c r="X22" s="439">
        <v>0</v>
      </c>
      <c r="Y22" s="435">
        <f t="shared" si="6"/>
        <v>0</v>
      </c>
      <c r="Z22" s="439">
        <v>0</v>
      </c>
      <c r="AA22" s="439">
        <v>0</v>
      </c>
      <c r="AB22" s="439">
        <v>0</v>
      </c>
      <c r="AC22" s="439">
        <v>0</v>
      </c>
      <c r="AD22" s="439">
        <v>0</v>
      </c>
      <c r="AE22" s="439"/>
      <c r="AF22" s="439">
        <f>AC22*2</f>
        <v>0</v>
      </c>
      <c r="AG22" s="439">
        <v>0</v>
      </c>
      <c r="AH22" s="419">
        <f t="shared" si="0"/>
        <v>0</v>
      </c>
      <c r="AI22" s="439">
        <v>0</v>
      </c>
      <c r="AJ22" s="439">
        <v>0</v>
      </c>
      <c r="AK22" s="439">
        <f>AA22-W22</f>
        <v>0</v>
      </c>
      <c r="AL22" s="439">
        <f>AA22-AF22</f>
        <v>0</v>
      </c>
      <c r="AM22" s="439">
        <f>AA22-AD22</f>
        <v>0</v>
      </c>
      <c r="AN22" s="438"/>
      <c r="AO22" s="438"/>
      <c r="AP22" s="438"/>
    </row>
    <row r="23" spans="1:42" ht="25.5">
      <c r="A23" s="412">
        <v>20</v>
      </c>
      <c r="B23" s="431"/>
      <c r="C23" s="432" t="s">
        <v>4804</v>
      </c>
      <c r="D23" s="433" t="s">
        <v>4807</v>
      </c>
      <c r="E23" s="434"/>
      <c r="F23" s="435">
        <f>+F24+F25+F26+F27+F28</f>
        <v>4062330.97</v>
      </c>
      <c r="G23" s="435">
        <v>4514840.72</v>
      </c>
      <c r="H23" s="435">
        <v>4062330.97</v>
      </c>
      <c r="I23" s="435">
        <f t="shared" si="7"/>
        <v>0</v>
      </c>
      <c r="J23" s="435">
        <f t="shared" si="8"/>
        <v>0</v>
      </c>
      <c r="K23" s="435">
        <v>4062330.97</v>
      </c>
      <c r="L23" s="435">
        <v>3759330.97</v>
      </c>
      <c r="M23" s="435">
        <f t="shared" si="9"/>
        <v>4062330.97</v>
      </c>
      <c r="N23" s="435">
        <v>46636.29</v>
      </c>
      <c r="O23" s="435">
        <v>46636.29</v>
      </c>
      <c r="P23" s="436">
        <v>0</v>
      </c>
      <c r="Q23" s="435">
        <f t="shared" ref="Q23" si="28">+Q24+Q25+Q26+Q27+Q28</f>
        <v>4514840.72</v>
      </c>
      <c r="R23" s="435">
        <f t="shared" si="3"/>
        <v>-46636.29</v>
      </c>
      <c r="S23" s="435">
        <f t="shared" si="4"/>
        <v>4468204.43</v>
      </c>
      <c r="T23" s="437">
        <f>(F23-P23)/F23*100</f>
        <v>100</v>
      </c>
      <c r="U23" s="435">
        <v>0</v>
      </c>
      <c r="V23" s="435">
        <f>+V24+V25+V26+V27+V28</f>
        <v>0</v>
      </c>
      <c r="W23" s="435">
        <f>+W24+W25+W26+W27+W28</f>
        <v>0</v>
      </c>
      <c r="X23" s="435">
        <f t="shared" ref="X23" si="29">+X24+X25+X26+X27+X28</f>
        <v>4514840.72</v>
      </c>
      <c r="Y23" s="435">
        <f t="shared" si="6"/>
        <v>4431633.7854545461</v>
      </c>
      <c r="Z23" s="435">
        <v>0</v>
      </c>
      <c r="AA23" s="435">
        <v>0</v>
      </c>
      <c r="AB23" s="435">
        <f t="shared" ref="AB23:AM23" si="30">+AB24+AB25+AB26+AB27+AB28</f>
        <v>0</v>
      </c>
      <c r="AC23" s="435">
        <f t="shared" si="30"/>
        <v>0</v>
      </c>
      <c r="AD23" s="435">
        <f t="shared" si="30"/>
        <v>4514840.72</v>
      </c>
      <c r="AE23" s="435"/>
      <c r="AF23" s="435">
        <f t="shared" si="30"/>
        <v>0</v>
      </c>
      <c r="AG23" s="435">
        <f t="shared" si="30"/>
        <v>0</v>
      </c>
      <c r="AH23" s="419">
        <f t="shared" si="0"/>
        <v>-4062330.97</v>
      </c>
      <c r="AI23" s="435">
        <f t="shared" si="30"/>
        <v>0</v>
      </c>
      <c r="AJ23" s="435">
        <f t="shared" si="30"/>
        <v>0</v>
      </c>
      <c r="AK23" s="435">
        <f t="shared" si="30"/>
        <v>0</v>
      </c>
      <c r="AL23" s="435">
        <f t="shared" si="30"/>
        <v>0</v>
      </c>
      <c r="AM23" s="435">
        <f t="shared" si="30"/>
        <v>-4514840.72</v>
      </c>
      <c r="AN23" s="438"/>
      <c r="AO23" s="438"/>
      <c r="AP23" s="438"/>
    </row>
    <row r="24" spans="1:42" ht="12.75">
      <c r="A24" s="412">
        <v>21</v>
      </c>
      <c r="B24" s="431"/>
      <c r="C24" s="432" t="s">
        <v>4808</v>
      </c>
      <c r="D24" s="433" t="s">
        <v>4814</v>
      </c>
      <c r="E24" s="434">
        <f>'PROSPETTO CE_IV TRIM 2024'!BM40</f>
        <v>349636.29</v>
      </c>
      <c r="F24" s="439">
        <f>+E24</f>
        <v>349636.29</v>
      </c>
      <c r="G24" s="439">
        <v>157175.72</v>
      </c>
      <c r="H24" s="439">
        <v>349636.29</v>
      </c>
      <c r="I24" s="435">
        <f t="shared" si="7"/>
        <v>0</v>
      </c>
      <c r="J24" s="435">
        <f t="shared" si="8"/>
        <v>0</v>
      </c>
      <c r="K24" s="439">
        <v>349636.29</v>
      </c>
      <c r="L24" s="439">
        <v>46636.29</v>
      </c>
      <c r="M24" s="439">
        <f t="shared" si="9"/>
        <v>349636.29</v>
      </c>
      <c r="N24" s="439">
        <v>46636.29</v>
      </c>
      <c r="O24" s="439">
        <v>46636.29</v>
      </c>
      <c r="P24" s="440">
        <v>0</v>
      </c>
      <c r="Q24" s="439">
        <v>157175.72</v>
      </c>
      <c r="R24" s="439">
        <f t="shared" si="3"/>
        <v>-46636.29</v>
      </c>
      <c r="S24" s="439">
        <f t="shared" si="4"/>
        <v>110539.43</v>
      </c>
      <c r="T24" s="441">
        <f>(F24-P24)/F24*100</f>
        <v>100</v>
      </c>
      <c r="U24" s="439">
        <v>0</v>
      </c>
      <c r="V24" s="439">
        <f>+AA24</f>
        <v>0</v>
      </c>
      <c r="W24" s="439">
        <v>0</v>
      </c>
      <c r="X24" s="439">
        <v>157175.72</v>
      </c>
      <c r="Y24" s="435">
        <f t="shared" si="6"/>
        <v>381421.40727272723</v>
      </c>
      <c r="Z24" s="439">
        <v>0</v>
      </c>
      <c r="AA24" s="439">
        <v>0</v>
      </c>
      <c r="AB24" s="439">
        <v>0</v>
      </c>
      <c r="AC24" s="439">
        <v>0</v>
      </c>
      <c r="AD24" s="439">
        <v>157175.72</v>
      </c>
      <c r="AE24" s="439"/>
      <c r="AF24" s="439">
        <f>AC24*2</f>
        <v>0</v>
      </c>
      <c r="AG24" s="439"/>
      <c r="AH24" s="419">
        <f t="shared" si="0"/>
        <v>-349636.29</v>
      </c>
      <c r="AI24" s="439"/>
      <c r="AJ24" s="439"/>
      <c r="AK24" s="439">
        <f>AA24-W24</f>
        <v>0</v>
      </c>
      <c r="AL24" s="439">
        <f>AA24-AF24</f>
        <v>0</v>
      </c>
      <c r="AM24" s="439">
        <f>AA24-AD24</f>
        <v>-157175.72</v>
      </c>
      <c r="AN24" s="438"/>
      <c r="AO24" s="438"/>
      <c r="AP24" s="438"/>
    </row>
    <row r="25" spans="1:42" ht="25.5">
      <c r="A25" s="412">
        <v>22</v>
      </c>
      <c r="B25" s="431"/>
      <c r="C25" s="432" t="s">
        <v>503</v>
      </c>
      <c r="D25" s="433" t="s">
        <v>11169</v>
      </c>
      <c r="E25" s="434">
        <f>SUM('PROSPETTO CE_IV TRIM 2024'!BM41:BM44)</f>
        <v>3712694.68</v>
      </c>
      <c r="F25" s="439">
        <f>+E25</f>
        <v>3712694.68</v>
      </c>
      <c r="G25" s="439">
        <v>4357665</v>
      </c>
      <c r="H25" s="439">
        <v>3712694.68</v>
      </c>
      <c r="I25" s="435">
        <f t="shared" si="7"/>
        <v>0</v>
      </c>
      <c r="J25" s="435">
        <f t="shared" si="8"/>
        <v>0</v>
      </c>
      <c r="K25" s="439">
        <v>3712694.68</v>
      </c>
      <c r="L25" s="439">
        <v>3712694.68</v>
      </c>
      <c r="M25" s="439">
        <f t="shared" si="9"/>
        <v>3712694.68</v>
      </c>
      <c r="N25" s="439">
        <v>0</v>
      </c>
      <c r="O25" s="439">
        <v>0</v>
      </c>
      <c r="P25" s="440">
        <v>0</v>
      </c>
      <c r="Q25" s="439">
        <v>4357665</v>
      </c>
      <c r="R25" s="439">
        <f t="shared" si="3"/>
        <v>0</v>
      </c>
      <c r="S25" s="439">
        <f t="shared" si="4"/>
        <v>4357665</v>
      </c>
      <c r="T25" s="441"/>
      <c r="U25" s="439">
        <v>0</v>
      </c>
      <c r="V25" s="439">
        <f>+AA25</f>
        <v>0</v>
      </c>
      <c r="W25" s="439">
        <v>0</v>
      </c>
      <c r="X25" s="439">
        <v>4357665</v>
      </c>
      <c r="Y25" s="435">
        <f t="shared" si="6"/>
        <v>4050212.3781818179</v>
      </c>
      <c r="Z25" s="439">
        <v>0</v>
      </c>
      <c r="AA25" s="439">
        <v>0</v>
      </c>
      <c r="AB25" s="439">
        <v>0</v>
      </c>
      <c r="AC25" s="439">
        <v>0</v>
      </c>
      <c r="AD25" s="439">
        <v>4357665</v>
      </c>
      <c r="AE25" s="439"/>
      <c r="AF25" s="439">
        <f>AC25*2</f>
        <v>0</v>
      </c>
      <c r="AG25" s="439"/>
      <c r="AH25" s="419">
        <f t="shared" si="0"/>
        <v>-3712694.68</v>
      </c>
      <c r="AI25" s="439"/>
      <c r="AJ25" s="439"/>
      <c r="AK25" s="439">
        <f>AA25-W25</f>
        <v>0</v>
      </c>
      <c r="AL25" s="439">
        <f>AA25-AF25</f>
        <v>0</v>
      </c>
      <c r="AM25" s="439">
        <f>AA25-AD25</f>
        <v>-4357665</v>
      </c>
      <c r="AN25" s="438"/>
      <c r="AO25" s="438"/>
      <c r="AP25" s="438"/>
    </row>
    <row r="26" spans="1:42" ht="25.5">
      <c r="A26" s="412">
        <v>23</v>
      </c>
      <c r="B26" s="431"/>
      <c r="C26" s="432" t="s">
        <v>504</v>
      </c>
      <c r="D26" s="433" t="s">
        <v>11170</v>
      </c>
      <c r="E26" s="434">
        <f>'PROSPETTO CE_IV TRIM 2024'!BM46</f>
        <v>0</v>
      </c>
      <c r="F26" s="439">
        <f>+E26</f>
        <v>0</v>
      </c>
      <c r="G26" s="439">
        <v>0</v>
      </c>
      <c r="H26" s="439">
        <v>0</v>
      </c>
      <c r="I26" s="435">
        <f t="shared" si="7"/>
        <v>0</v>
      </c>
      <c r="J26" s="435">
        <f t="shared" si="8"/>
        <v>0</v>
      </c>
      <c r="K26" s="439">
        <v>0</v>
      </c>
      <c r="L26" s="439">
        <v>0</v>
      </c>
      <c r="M26" s="439">
        <f t="shared" si="9"/>
        <v>0</v>
      </c>
      <c r="N26" s="439">
        <v>0</v>
      </c>
      <c r="O26" s="439">
        <v>0</v>
      </c>
      <c r="P26" s="440">
        <v>0</v>
      </c>
      <c r="Q26" s="439">
        <v>0</v>
      </c>
      <c r="R26" s="439">
        <f t="shared" si="3"/>
        <v>0</v>
      </c>
      <c r="S26" s="439">
        <f t="shared" si="4"/>
        <v>0</v>
      </c>
      <c r="T26" s="441"/>
      <c r="U26" s="439">
        <v>0</v>
      </c>
      <c r="V26" s="439">
        <f>+AA26</f>
        <v>0</v>
      </c>
      <c r="W26" s="439">
        <v>0</v>
      </c>
      <c r="X26" s="439">
        <v>0</v>
      </c>
      <c r="Y26" s="435">
        <f t="shared" si="6"/>
        <v>0</v>
      </c>
      <c r="Z26" s="439">
        <v>0</v>
      </c>
      <c r="AA26" s="439">
        <v>0</v>
      </c>
      <c r="AB26" s="439">
        <v>0</v>
      </c>
      <c r="AC26" s="439">
        <v>0</v>
      </c>
      <c r="AD26" s="439">
        <v>0</v>
      </c>
      <c r="AE26" s="439"/>
      <c r="AF26" s="439">
        <f>AC26*2</f>
        <v>0</v>
      </c>
      <c r="AG26" s="439">
        <v>0</v>
      </c>
      <c r="AH26" s="419">
        <f t="shared" si="0"/>
        <v>0</v>
      </c>
      <c r="AI26" s="439">
        <v>0</v>
      </c>
      <c r="AJ26" s="439">
        <v>0</v>
      </c>
      <c r="AK26" s="439">
        <f>AA26-W26</f>
        <v>0</v>
      </c>
      <c r="AL26" s="439">
        <f>AA26-AF26</f>
        <v>0</v>
      </c>
      <c r="AM26" s="439">
        <f>AA26-AD26</f>
        <v>0</v>
      </c>
      <c r="AN26" s="438"/>
      <c r="AO26" s="438"/>
      <c r="AP26" s="438"/>
    </row>
    <row r="27" spans="1:42" ht="12.75">
      <c r="A27" s="412">
        <v>24</v>
      </c>
      <c r="B27" s="431"/>
      <c r="C27" s="432" t="s">
        <v>505</v>
      </c>
      <c r="D27" s="433" t="s">
        <v>11171</v>
      </c>
      <c r="E27" s="434">
        <f>SUM('PROSPETTO CE_IV TRIM 2024'!BM47:BM52)</f>
        <v>0</v>
      </c>
      <c r="F27" s="439">
        <f>+E27</f>
        <v>0</v>
      </c>
      <c r="G27" s="439">
        <v>0</v>
      </c>
      <c r="H27" s="439">
        <v>0</v>
      </c>
      <c r="I27" s="435">
        <f t="shared" si="7"/>
        <v>0</v>
      </c>
      <c r="J27" s="435">
        <f t="shared" si="8"/>
        <v>0</v>
      </c>
      <c r="K27" s="439">
        <v>0</v>
      </c>
      <c r="L27" s="439">
        <v>0</v>
      </c>
      <c r="M27" s="439">
        <f t="shared" si="9"/>
        <v>0</v>
      </c>
      <c r="N27" s="439">
        <v>0</v>
      </c>
      <c r="O27" s="439">
        <v>0</v>
      </c>
      <c r="P27" s="440">
        <v>0</v>
      </c>
      <c r="Q27" s="439">
        <v>0</v>
      </c>
      <c r="R27" s="439">
        <f t="shared" si="3"/>
        <v>0</v>
      </c>
      <c r="S27" s="439">
        <f t="shared" si="4"/>
        <v>0</v>
      </c>
      <c r="T27" s="441"/>
      <c r="U27" s="439">
        <v>0</v>
      </c>
      <c r="V27" s="439">
        <f>+AA27</f>
        <v>0</v>
      </c>
      <c r="W27" s="439">
        <v>0</v>
      </c>
      <c r="X27" s="439">
        <v>0</v>
      </c>
      <c r="Y27" s="435">
        <f t="shared" si="6"/>
        <v>0</v>
      </c>
      <c r="Z27" s="439">
        <v>0</v>
      </c>
      <c r="AA27" s="439">
        <v>0</v>
      </c>
      <c r="AB27" s="439">
        <v>0</v>
      </c>
      <c r="AC27" s="439">
        <v>0</v>
      </c>
      <c r="AD27" s="439">
        <v>0</v>
      </c>
      <c r="AE27" s="439"/>
      <c r="AF27" s="439">
        <f>AC27*2</f>
        <v>0</v>
      </c>
      <c r="AG27" s="439">
        <v>0</v>
      </c>
      <c r="AH27" s="419">
        <f t="shared" si="0"/>
        <v>0</v>
      </c>
      <c r="AI27" s="439">
        <v>0</v>
      </c>
      <c r="AJ27" s="439">
        <v>0</v>
      </c>
      <c r="AK27" s="439">
        <f>AA27-W27</f>
        <v>0</v>
      </c>
      <c r="AL27" s="439">
        <f>AA27-AF27</f>
        <v>0</v>
      </c>
      <c r="AM27" s="439">
        <f>AA27-AD27</f>
        <v>0</v>
      </c>
      <c r="AN27" s="438"/>
      <c r="AO27" s="438"/>
      <c r="AP27" s="438"/>
    </row>
    <row r="28" spans="1:42" ht="51">
      <c r="A28" s="412">
        <v>25</v>
      </c>
      <c r="B28" s="431"/>
      <c r="C28" s="432" t="s">
        <v>4858</v>
      </c>
      <c r="D28" s="433" t="s">
        <v>11172</v>
      </c>
      <c r="E28" s="434">
        <f>'PROSPETTO CE_IV TRIM 2024'!BM53</f>
        <v>0</v>
      </c>
      <c r="F28" s="439">
        <f>+E28</f>
        <v>0</v>
      </c>
      <c r="G28" s="439">
        <v>0</v>
      </c>
      <c r="H28" s="439">
        <v>0</v>
      </c>
      <c r="I28" s="435">
        <f t="shared" si="7"/>
        <v>0</v>
      </c>
      <c r="J28" s="435">
        <f t="shared" si="8"/>
        <v>0</v>
      </c>
      <c r="K28" s="439">
        <v>0</v>
      </c>
      <c r="L28" s="439">
        <v>0</v>
      </c>
      <c r="M28" s="439">
        <f t="shared" si="9"/>
        <v>0</v>
      </c>
      <c r="N28" s="439">
        <v>0</v>
      </c>
      <c r="O28" s="439">
        <v>0</v>
      </c>
      <c r="P28" s="440">
        <v>0</v>
      </c>
      <c r="Q28" s="439">
        <v>0</v>
      </c>
      <c r="R28" s="439">
        <f t="shared" si="3"/>
        <v>0</v>
      </c>
      <c r="S28" s="439">
        <f t="shared" si="4"/>
        <v>0</v>
      </c>
      <c r="T28" s="441"/>
      <c r="U28" s="439">
        <v>0</v>
      </c>
      <c r="V28" s="439">
        <f>+AA28</f>
        <v>0</v>
      </c>
      <c r="W28" s="439">
        <v>0</v>
      </c>
      <c r="X28" s="439">
        <v>0</v>
      </c>
      <c r="Y28" s="435">
        <f t="shared" si="6"/>
        <v>0</v>
      </c>
      <c r="Z28" s="439">
        <v>0</v>
      </c>
      <c r="AA28" s="439">
        <v>0</v>
      </c>
      <c r="AB28" s="439">
        <v>0</v>
      </c>
      <c r="AC28" s="439">
        <v>0</v>
      </c>
      <c r="AD28" s="439">
        <v>0</v>
      </c>
      <c r="AE28" s="439"/>
      <c r="AF28" s="439">
        <f>AC28*2</f>
        <v>0</v>
      </c>
      <c r="AG28" s="439">
        <v>0</v>
      </c>
      <c r="AH28" s="419">
        <f t="shared" si="0"/>
        <v>0</v>
      </c>
      <c r="AI28" s="439">
        <v>0</v>
      </c>
      <c r="AJ28" s="439">
        <v>0</v>
      </c>
      <c r="AK28" s="439">
        <f>AA28-W28</f>
        <v>0</v>
      </c>
      <c r="AL28" s="439">
        <f>AA28-AF28</f>
        <v>0</v>
      </c>
      <c r="AM28" s="439">
        <f>AA28-AD28</f>
        <v>0</v>
      </c>
      <c r="AN28" s="438"/>
      <c r="AO28" s="438"/>
      <c r="AP28" s="438"/>
    </row>
    <row r="29" spans="1:42" ht="12.75">
      <c r="A29" s="412">
        <v>26</v>
      </c>
      <c r="B29" s="431"/>
      <c r="C29" s="432" t="s">
        <v>506</v>
      </c>
      <c r="D29" s="433" t="s">
        <v>4866</v>
      </c>
      <c r="E29" s="434"/>
      <c r="F29" s="435">
        <f>+F30+F31+F32+F33</f>
        <v>0</v>
      </c>
      <c r="G29" s="435">
        <v>0</v>
      </c>
      <c r="H29" s="435">
        <v>0</v>
      </c>
      <c r="I29" s="435">
        <f t="shared" si="7"/>
        <v>0</v>
      </c>
      <c r="J29" s="435">
        <f t="shared" si="8"/>
        <v>0</v>
      </c>
      <c r="K29" s="435">
        <v>0</v>
      </c>
      <c r="L29" s="435">
        <v>0</v>
      </c>
      <c r="M29" s="435">
        <f t="shared" si="9"/>
        <v>0</v>
      </c>
      <c r="N29" s="435">
        <v>0</v>
      </c>
      <c r="O29" s="435">
        <v>0</v>
      </c>
      <c r="P29" s="436">
        <v>0</v>
      </c>
      <c r="Q29" s="435">
        <f t="shared" ref="Q29" si="31">+Q30+Q31+Q32+Q33</f>
        <v>0</v>
      </c>
      <c r="R29" s="435">
        <f t="shared" si="3"/>
        <v>0</v>
      </c>
      <c r="S29" s="435">
        <f t="shared" si="4"/>
        <v>0</v>
      </c>
      <c r="T29" s="437"/>
      <c r="U29" s="435">
        <v>0</v>
      </c>
      <c r="V29" s="435">
        <f>+V30+V31+V32+V33</f>
        <v>0</v>
      </c>
      <c r="W29" s="435">
        <f>+W30+W31+W32+W33</f>
        <v>0</v>
      </c>
      <c r="X29" s="435">
        <f t="shared" ref="X29" si="32">+X30+X31+X32+X33</f>
        <v>0</v>
      </c>
      <c r="Y29" s="435">
        <f t="shared" si="6"/>
        <v>0</v>
      </c>
      <c r="Z29" s="435">
        <v>0</v>
      </c>
      <c r="AA29" s="435">
        <v>0</v>
      </c>
      <c r="AB29" s="435">
        <f t="shared" ref="AB29:AM29" si="33">+AB30+AB31+AB32+AB33</f>
        <v>0</v>
      </c>
      <c r="AC29" s="435">
        <f t="shared" si="33"/>
        <v>0</v>
      </c>
      <c r="AD29" s="435">
        <f t="shared" si="33"/>
        <v>0</v>
      </c>
      <c r="AE29" s="435"/>
      <c r="AF29" s="435">
        <f t="shared" si="33"/>
        <v>0</v>
      </c>
      <c r="AG29" s="435">
        <f t="shared" si="33"/>
        <v>0</v>
      </c>
      <c r="AH29" s="419">
        <f t="shared" si="0"/>
        <v>0</v>
      </c>
      <c r="AI29" s="435">
        <f t="shared" si="33"/>
        <v>0</v>
      </c>
      <c r="AJ29" s="435">
        <f t="shared" si="33"/>
        <v>0</v>
      </c>
      <c r="AK29" s="435">
        <f t="shared" si="33"/>
        <v>0</v>
      </c>
      <c r="AL29" s="435">
        <f t="shared" si="33"/>
        <v>0</v>
      </c>
      <c r="AM29" s="435">
        <f t="shared" si="33"/>
        <v>0</v>
      </c>
      <c r="AN29" s="438"/>
      <c r="AO29" s="438"/>
      <c r="AP29" s="438"/>
    </row>
    <row r="30" spans="1:42" ht="12.75">
      <c r="A30" s="412">
        <v>27</v>
      </c>
      <c r="B30" s="431"/>
      <c r="C30" s="432" t="s">
        <v>507</v>
      </c>
      <c r="D30" s="433" t="s">
        <v>11173</v>
      </c>
      <c r="E30" s="434">
        <f>'PROSPETTO CE_IV TRIM 2024'!BM56</f>
        <v>0</v>
      </c>
      <c r="F30" s="439">
        <f>+E30</f>
        <v>0</v>
      </c>
      <c r="G30" s="439">
        <v>0</v>
      </c>
      <c r="H30" s="439">
        <v>0</v>
      </c>
      <c r="I30" s="435">
        <f t="shared" si="7"/>
        <v>0</v>
      </c>
      <c r="J30" s="435">
        <f t="shared" si="8"/>
        <v>0</v>
      </c>
      <c r="K30" s="439">
        <v>0</v>
      </c>
      <c r="L30" s="439">
        <v>0</v>
      </c>
      <c r="M30" s="439">
        <f t="shared" si="9"/>
        <v>0</v>
      </c>
      <c r="N30" s="439">
        <v>0</v>
      </c>
      <c r="O30" s="439">
        <v>0</v>
      </c>
      <c r="P30" s="440">
        <v>0</v>
      </c>
      <c r="Q30" s="439">
        <v>0</v>
      </c>
      <c r="R30" s="439">
        <f t="shared" si="3"/>
        <v>0</v>
      </c>
      <c r="S30" s="439">
        <f t="shared" si="4"/>
        <v>0</v>
      </c>
      <c r="T30" s="441"/>
      <c r="U30" s="439">
        <v>0</v>
      </c>
      <c r="V30" s="439">
        <f>+AA30</f>
        <v>0</v>
      </c>
      <c r="W30" s="439">
        <v>0</v>
      </c>
      <c r="X30" s="439">
        <v>0</v>
      </c>
      <c r="Y30" s="435">
        <f t="shared" si="6"/>
        <v>0</v>
      </c>
      <c r="Z30" s="439">
        <v>0</v>
      </c>
      <c r="AA30" s="439">
        <v>0</v>
      </c>
      <c r="AB30" s="439">
        <v>0</v>
      </c>
      <c r="AC30" s="439">
        <v>0</v>
      </c>
      <c r="AD30" s="439">
        <v>0</v>
      </c>
      <c r="AE30" s="439"/>
      <c r="AF30" s="439">
        <f>AC30*2</f>
        <v>0</v>
      </c>
      <c r="AG30" s="439">
        <v>0</v>
      </c>
      <c r="AH30" s="419">
        <f t="shared" si="0"/>
        <v>0</v>
      </c>
      <c r="AI30" s="439">
        <v>0</v>
      </c>
      <c r="AJ30" s="439">
        <v>0</v>
      </c>
      <c r="AK30" s="439">
        <f>AA30-W30</f>
        <v>0</v>
      </c>
      <c r="AL30" s="439">
        <f>AA30-AF30</f>
        <v>0</v>
      </c>
      <c r="AM30" s="439">
        <f>AA30-AD30</f>
        <v>0</v>
      </c>
      <c r="AN30" s="438"/>
      <c r="AO30" s="438"/>
      <c r="AP30" s="438"/>
    </row>
    <row r="31" spans="1:42" ht="25.5">
      <c r="A31" s="412">
        <v>28</v>
      </c>
      <c r="B31" s="431"/>
      <c r="C31" s="432" t="s">
        <v>508</v>
      </c>
      <c r="D31" s="433" t="s">
        <v>11174</v>
      </c>
      <c r="E31" s="434">
        <f>'PROSPETTO CE_IV TRIM 2024'!BM58</f>
        <v>0</v>
      </c>
      <c r="F31" s="439">
        <f>+E31</f>
        <v>0</v>
      </c>
      <c r="G31" s="439">
        <v>0</v>
      </c>
      <c r="H31" s="439">
        <v>0</v>
      </c>
      <c r="I31" s="435">
        <f t="shared" si="7"/>
        <v>0</v>
      </c>
      <c r="J31" s="435">
        <f t="shared" si="8"/>
        <v>0</v>
      </c>
      <c r="K31" s="439">
        <v>0</v>
      </c>
      <c r="L31" s="439">
        <v>0</v>
      </c>
      <c r="M31" s="439">
        <f t="shared" si="9"/>
        <v>0</v>
      </c>
      <c r="N31" s="439">
        <v>0</v>
      </c>
      <c r="O31" s="439">
        <v>0</v>
      </c>
      <c r="P31" s="440">
        <v>0</v>
      </c>
      <c r="Q31" s="439">
        <v>0</v>
      </c>
      <c r="R31" s="439">
        <f t="shared" si="3"/>
        <v>0</v>
      </c>
      <c r="S31" s="439">
        <f t="shared" si="4"/>
        <v>0</v>
      </c>
      <c r="T31" s="441"/>
      <c r="U31" s="439">
        <v>0</v>
      </c>
      <c r="V31" s="439">
        <f>+AA31</f>
        <v>0</v>
      </c>
      <c r="W31" s="439">
        <v>0</v>
      </c>
      <c r="X31" s="439">
        <v>0</v>
      </c>
      <c r="Y31" s="435">
        <f t="shared" si="6"/>
        <v>0</v>
      </c>
      <c r="Z31" s="439">
        <v>0</v>
      </c>
      <c r="AA31" s="439">
        <v>0</v>
      </c>
      <c r="AB31" s="439">
        <v>0</v>
      </c>
      <c r="AC31" s="439">
        <v>0</v>
      </c>
      <c r="AD31" s="439">
        <v>0</v>
      </c>
      <c r="AE31" s="439"/>
      <c r="AF31" s="439">
        <f>AC31*2</f>
        <v>0</v>
      </c>
      <c r="AG31" s="439">
        <v>0</v>
      </c>
      <c r="AH31" s="419">
        <f t="shared" si="0"/>
        <v>0</v>
      </c>
      <c r="AI31" s="439">
        <v>0</v>
      </c>
      <c r="AJ31" s="439">
        <v>0</v>
      </c>
      <c r="AK31" s="439">
        <f>AA31-W31</f>
        <v>0</v>
      </c>
      <c r="AL31" s="439">
        <f>AA31-AF31</f>
        <v>0</v>
      </c>
      <c r="AM31" s="439">
        <f>AA31-AD31</f>
        <v>0</v>
      </c>
      <c r="AN31" s="438"/>
      <c r="AO31" s="438"/>
      <c r="AP31" s="438"/>
    </row>
    <row r="32" spans="1:42" ht="25.5">
      <c r="A32" s="412">
        <v>29</v>
      </c>
      <c r="B32" s="431"/>
      <c r="C32" s="432" t="s">
        <v>509</v>
      </c>
      <c r="D32" s="433" t="s">
        <v>11175</v>
      </c>
      <c r="E32" s="434">
        <f>'PROSPETTO CE_IV TRIM 2024'!BM60</f>
        <v>0</v>
      </c>
      <c r="F32" s="439">
        <f>+E32</f>
        <v>0</v>
      </c>
      <c r="G32" s="439">
        <v>0</v>
      </c>
      <c r="H32" s="439">
        <v>0</v>
      </c>
      <c r="I32" s="435">
        <f t="shared" si="7"/>
        <v>0</v>
      </c>
      <c r="J32" s="435">
        <f t="shared" si="8"/>
        <v>0</v>
      </c>
      <c r="K32" s="439">
        <v>0</v>
      </c>
      <c r="L32" s="439">
        <v>0</v>
      </c>
      <c r="M32" s="439">
        <f t="shared" si="9"/>
        <v>0</v>
      </c>
      <c r="N32" s="439">
        <v>0</v>
      </c>
      <c r="O32" s="439">
        <v>0</v>
      </c>
      <c r="P32" s="440">
        <v>0</v>
      </c>
      <c r="Q32" s="439">
        <v>0</v>
      </c>
      <c r="R32" s="439">
        <f t="shared" si="3"/>
        <v>0</v>
      </c>
      <c r="S32" s="439">
        <f t="shared" si="4"/>
        <v>0</v>
      </c>
      <c r="T32" s="441"/>
      <c r="U32" s="439">
        <v>0</v>
      </c>
      <c r="V32" s="439">
        <f>+AA32</f>
        <v>0</v>
      </c>
      <c r="W32" s="439">
        <v>0</v>
      </c>
      <c r="X32" s="439">
        <v>0</v>
      </c>
      <c r="Y32" s="435">
        <f t="shared" si="6"/>
        <v>0</v>
      </c>
      <c r="Z32" s="439">
        <v>0</v>
      </c>
      <c r="AA32" s="439">
        <v>0</v>
      </c>
      <c r="AB32" s="439">
        <v>0</v>
      </c>
      <c r="AC32" s="439">
        <v>0</v>
      </c>
      <c r="AD32" s="439">
        <v>0</v>
      </c>
      <c r="AE32" s="439"/>
      <c r="AF32" s="439">
        <f>AC32*2</f>
        <v>0</v>
      </c>
      <c r="AG32" s="439">
        <v>0</v>
      </c>
      <c r="AH32" s="419">
        <f t="shared" si="0"/>
        <v>0</v>
      </c>
      <c r="AI32" s="439">
        <v>0</v>
      </c>
      <c r="AJ32" s="439">
        <v>0</v>
      </c>
      <c r="AK32" s="439">
        <f>AA32-W32</f>
        <v>0</v>
      </c>
      <c r="AL32" s="439">
        <f>AA32-AF32</f>
        <v>0</v>
      </c>
      <c r="AM32" s="439">
        <f>AA32-AD32</f>
        <v>0</v>
      </c>
      <c r="AN32" s="438"/>
      <c r="AO32" s="438"/>
      <c r="AP32" s="438"/>
    </row>
    <row r="33" spans="1:42" ht="12.75">
      <c r="A33" s="412">
        <v>30</v>
      </c>
      <c r="B33" s="431"/>
      <c r="C33" s="432" t="s">
        <v>510</v>
      </c>
      <c r="D33" s="433" t="s">
        <v>11176</v>
      </c>
      <c r="E33" s="434">
        <f>'PROSPETTO CE_IV TRIM 2024'!BM64</f>
        <v>0</v>
      </c>
      <c r="F33" s="439">
        <f>+E33</f>
        <v>0</v>
      </c>
      <c r="G33" s="439">
        <v>0</v>
      </c>
      <c r="H33" s="439">
        <v>0</v>
      </c>
      <c r="I33" s="435">
        <f t="shared" si="7"/>
        <v>0</v>
      </c>
      <c r="J33" s="435">
        <f t="shared" si="8"/>
        <v>0</v>
      </c>
      <c r="K33" s="439">
        <v>0</v>
      </c>
      <c r="L33" s="439">
        <v>0</v>
      </c>
      <c r="M33" s="439">
        <f t="shared" si="9"/>
        <v>0</v>
      </c>
      <c r="N33" s="439">
        <v>0</v>
      </c>
      <c r="O33" s="439">
        <v>0</v>
      </c>
      <c r="P33" s="440">
        <v>0</v>
      </c>
      <c r="Q33" s="439">
        <v>0</v>
      </c>
      <c r="R33" s="439">
        <f t="shared" si="3"/>
        <v>0</v>
      </c>
      <c r="S33" s="439">
        <f t="shared" si="4"/>
        <v>0</v>
      </c>
      <c r="T33" s="441"/>
      <c r="U33" s="439">
        <v>0</v>
      </c>
      <c r="V33" s="439">
        <f>+AA33</f>
        <v>0</v>
      </c>
      <c r="W33" s="439">
        <v>0</v>
      </c>
      <c r="X33" s="439">
        <v>0</v>
      </c>
      <c r="Y33" s="435">
        <f t="shared" si="6"/>
        <v>0</v>
      </c>
      <c r="Z33" s="439">
        <v>0</v>
      </c>
      <c r="AA33" s="439">
        <v>0</v>
      </c>
      <c r="AB33" s="439">
        <v>0</v>
      </c>
      <c r="AC33" s="439">
        <v>0</v>
      </c>
      <c r="AD33" s="439">
        <v>0</v>
      </c>
      <c r="AE33" s="439"/>
      <c r="AF33" s="439">
        <f>AC33*2</f>
        <v>0</v>
      </c>
      <c r="AG33" s="439">
        <v>0</v>
      </c>
      <c r="AH33" s="419">
        <f t="shared" si="0"/>
        <v>0</v>
      </c>
      <c r="AI33" s="439">
        <v>0</v>
      </c>
      <c r="AJ33" s="439">
        <v>0</v>
      </c>
      <c r="AK33" s="439">
        <f>AA33-W33</f>
        <v>0</v>
      </c>
      <c r="AL33" s="439">
        <f>AA33-AF33</f>
        <v>0</v>
      </c>
      <c r="AM33" s="439">
        <f>AA33-AD33</f>
        <v>0</v>
      </c>
      <c r="AN33" s="438"/>
      <c r="AO33" s="438"/>
      <c r="AP33" s="438"/>
    </row>
    <row r="34" spans="1:42" ht="12.75">
      <c r="A34" s="412">
        <v>31</v>
      </c>
      <c r="B34" s="431"/>
      <c r="C34" s="432" t="s">
        <v>511</v>
      </c>
      <c r="D34" s="433" t="s">
        <v>4893</v>
      </c>
      <c r="E34" s="434">
        <f>'PROSPETTO CE_IV TRIM 2024'!BM67</f>
        <v>0</v>
      </c>
      <c r="F34" s="435">
        <f>+E34</f>
        <v>0</v>
      </c>
      <c r="G34" s="435">
        <v>0</v>
      </c>
      <c r="H34" s="435">
        <v>0</v>
      </c>
      <c r="I34" s="435">
        <f t="shared" si="7"/>
        <v>0</v>
      </c>
      <c r="J34" s="435">
        <f t="shared" si="8"/>
        <v>0</v>
      </c>
      <c r="K34" s="435">
        <v>0</v>
      </c>
      <c r="L34" s="435">
        <v>0</v>
      </c>
      <c r="M34" s="435">
        <f t="shared" si="9"/>
        <v>0</v>
      </c>
      <c r="N34" s="435">
        <v>0</v>
      </c>
      <c r="O34" s="435">
        <v>0</v>
      </c>
      <c r="P34" s="436">
        <v>0</v>
      </c>
      <c r="Q34" s="435">
        <f>+P34</f>
        <v>0</v>
      </c>
      <c r="R34" s="435">
        <f t="shared" si="3"/>
        <v>0</v>
      </c>
      <c r="S34" s="435">
        <f t="shared" si="4"/>
        <v>0</v>
      </c>
      <c r="T34" s="437"/>
      <c r="U34" s="435">
        <v>0</v>
      </c>
      <c r="V34" s="435">
        <f>+AA34</f>
        <v>0</v>
      </c>
      <c r="W34" s="435">
        <f>+AA34</f>
        <v>0</v>
      </c>
      <c r="X34" s="435">
        <f>+W34</f>
        <v>0</v>
      </c>
      <c r="Y34" s="435">
        <f t="shared" si="6"/>
        <v>0</v>
      </c>
      <c r="Z34" s="435">
        <v>0</v>
      </c>
      <c r="AA34" s="435">
        <v>0</v>
      </c>
      <c r="AB34" s="435">
        <f>+W34</f>
        <v>0</v>
      </c>
      <c r="AC34" s="435">
        <f>+AB34</f>
        <v>0</v>
      </c>
      <c r="AD34" s="435">
        <f>+AC34</f>
        <v>0</v>
      </c>
      <c r="AE34" s="435"/>
      <c r="AF34" s="435">
        <f>+AD34</f>
        <v>0</v>
      </c>
      <c r="AG34" s="435">
        <f t="shared" ref="AG34:AM34" si="34">+AF34</f>
        <v>0</v>
      </c>
      <c r="AH34" s="419">
        <f t="shared" si="0"/>
        <v>0</v>
      </c>
      <c r="AI34" s="435">
        <f>+AG34</f>
        <v>0</v>
      </c>
      <c r="AJ34" s="435">
        <f t="shared" si="34"/>
        <v>0</v>
      </c>
      <c r="AK34" s="435">
        <f t="shared" si="34"/>
        <v>0</v>
      </c>
      <c r="AL34" s="435">
        <f t="shared" si="34"/>
        <v>0</v>
      </c>
      <c r="AM34" s="435">
        <f t="shared" si="34"/>
        <v>0</v>
      </c>
      <c r="AN34" s="438"/>
      <c r="AO34" s="438"/>
      <c r="AP34" s="438"/>
    </row>
    <row r="35" spans="1:42" ht="25.5">
      <c r="A35" s="412">
        <v>32</v>
      </c>
      <c r="B35" s="431"/>
      <c r="C35" s="432" t="s">
        <v>4897</v>
      </c>
      <c r="D35" s="433" t="s">
        <v>11177</v>
      </c>
      <c r="E35" s="434"/>
      <c r="F35" s="435">
        <f>+F36+F37</f>
        <v>-3466830.95</v>
      </c>
      <c r="G35" s="435">
        <v>-3413326.83</v>
      </c>
      <c r="H35" s="435">
        <v>-3466830.95</v>
      </c>
      <c r="I35" s="435">
        <f t="shared" si="7"/>
        <v>0</v>
      </c>
      <c r="J35" s="435">
        <f t="shared" si="8"/>
        <v>0</v>
      </c>
      <c r="K35" s="435">
        <v>-3466830.95</v>
      </c>
      <c r="L35" s="435">
        <v>-3466830.95</v>
      </c>
      <c r="M35" s="435">
        <f t="shared" si="9"/>
        <v>158096.08999999985</v>
      </c>
      <c r="N35" s="435">
        <v>-3379126.74</v>
      </c>
      <c r="O35" s="435">
        <v>-3379126.74</v>
      </c>
      <c r="P35" s="436">
        <v>-3624927.04</v>
      </c>
      <c r="Q35" s="435">
        <f t="shared" ref="Q35" si="35">+Q36+Q37</f>
        <v>-3413326.83</v>
      </c>
      <c r="R35" s="435">
        <f t="shared" si="3"/>
        <v>-245800.29999999981</v>
      </c>
      <c r="S35" s="435">
        <f t="shared" si="4"/>
        <v>-34200.089999999851</v>
      </c>
      <c r="T35" s="437">
        <f>(F35-P35)/F35*100</f>
        <v>-4.560248027092288</v>
      </c>
      <c r="U35" s="435">
        <v>-3420521.82</v>
      </c>
      <c r="V35" s="435">
        <f>+V36+V37</f>
        <v>-3624927.04</v>
      </c>
      <c r="W35" s="435">
        <f>+W36+W37</f>
        <v>-2500000</v>
      </c>
      <c r="X35" s="435">
        <f t="shared" ref="X35" si="36">+X36+X37</f>
        <v>-3413326.83</v>
      </c>
      <c r="Y35" s="435">
        <f t="shared" si="6"/>
        <v>-3781997.4000000004</v>
      </c>
      <c r="Z35" s="435">
        <v>-3624927.04</v>
      </c>
      <c r="AA35" s="435">
        <v>-3624927.04</v>
      </c>
      <c r="AB35" s="435">
        <f t="shared" ref="AB35:AM35" si="37">+AB36+AB37</f>
        <v>-769125</v>
      </c>
      <c r="AC35" s="435">
        <f t="shared" si="37"/>
        <v>-1739907.99</v>
      </c>
      <c r="AD35" s="435">
        <f t="shared" si="37"/>
        <v>-3413326.83</v>
      </c>
      <c r="AE35" s="435"/>
      <c r="AF35" s="435">
        <f t="shared" si="37"/>
        <v>-3479815.98</v>
      </c>
      <c r="AG35" s="435">
        <f t="shared" si="37"/>
        <v>0</v>
      </c>
      <c r="AH35" s="419">
        <f t="shared" si="0"/>
        <v>3466830.95</v>
      </c>
      <c r="AI35" s="435">
        <f t="shared" si="37"/>
        <v>0</v>
      </c>
      <c r="AJ35" s="435">
        <f t="shared" si="37"/>
        <v>0</v>
      </c>
      <c r="AK35" s="435">
        <f t="shared" si="37"/>
        <v>-1124927.04</v>
      </c>
      <c r="AL35" s="435">
        <f t="shared" si="37"/>
        <v>-145111.06000000006</v>
      </c>
      <c r="AM35" s="435">
        <f t="shared" si="37"/>
        <v>-211600.20999999996</v>
      </c>
      <c r="AN35" s="438"/>
      <c r="AO35" s="438"/>
      <c r="AP35" s="438"/>
    </row>
    <row r="36" spans="1:42" ht="25.5">
      <c r="A36" s="412">
        <v>33</v>
      </c>
      <c r="B36" s="431"/>
      <c r="C36" s="432" t="s">
        <v>4901</v>
      </c>
      <c r="D36" s="433" t="s">
        <v>11178</v>
      </c>
      <c r="E36" s="434">
        <f>'PROSPETTO CE_IV TRIM 2024'!BM71+'PROSPETTO CE_IV TRIM 2024'!BM72</f>
        <v>-3466830.95</v>
      </c>
      <c r="F36" s="439">
        <f>+E36</f>
        <v>-3466830.95</v>
      </c>
      <c r="G36" s="439">
        <v>-3413326.83</v>
      </c>
      <c r="H36" s="439">
        <v>-3466830.95</v>
      </c>
      <c r="I36" s="435">
        <f t="shared" si="7"/>
        <v>0</v>
      </c>
      <c r="J36" s="435">
        <f t="shared" si="8"/>
        <v>0</v>
      </c>
      <c r="K36" s="439">
        <v>-3466830.95</v>
      </c>
      <c r="L36" s="439">
        <v>-3466830.95</v>
      </c>
      <c r="M36" s="439">
        <f t="shared" si="9"/>
        <v>158096.08999999985</v>
      </c>
      <c r="N36" s="439">
        <v>-3379126.74</v>
      </c>
      <c r="O36" s="439">
        <v>-3379126.74</v>
      </c>
      <c r="P36" s="440">
        <v>-3624927.04</v>
      </c>
      <c r="Q36" s="439">
        <v>-3413326.83</v>
      </c>
      <c r="R36" s="439">
        <f t="shared" si="3"/>
        <v>-245800.29999999981</v>
      </c>
      <c r="S36" s="439">
        <f t="shared" si="4"/>
        <v>-34200.089999999851</v>
      </c>
      <c r="T36" s="441">
        <f>(F36-P36)/F36*100</f>
        <v>-4.560248027092288</v>
      </c>
      <c r="U36" s="439">
        <v>-3420521.82</v>
      </c>
      <c r="V36" s="439">
        <f>+AA36</f>
        <v>-3624927.04</v>
      </c>
      <c r="W36" s="439">
        <v>-2500000</v>
      </c>
      <c r="X36" s="439">
        <v>-3413326.83</v>
      </c>
      <c r="Y36" s="435">
        <f t="shared" si="6"/>
        <v>-3781997.4000000004</v>
      </c>
      <c r="Z36" s="439">
        <v>-3624927.04</v>
      </c>
      <c r="AA36" s="439">
        <v>-3624927.04</v>
      </c>
      <c r="AB36" s="439">
        <v>-769125</v>
      </c>
      <c r="AC36" s="439">
        <v>-1739907.99</v>
      </c>
      <c r="AD36" s="439">
        <v>-3413326.83</v>
      </c>
      <c r="AE36" s="439"/>
      <c r="AF36" s="439">
        <f>AC36*2</f>
        <v>-3479815.98</v>
      </c>
      <c r="AG36" s="439"/>
      <c r="AH36" s="419">
        <f t="shared" si="0"/>
        <v>3466830.95</v>
      </c>
      <c r="AI36" s="439"/>
      <c r="AJ36" s="439"/>
      <c r="AK36" s="439">
        <f>AA36-W36</f>
        <v>-1124927.04</v>
      </c>
      <c r="AL36" s="439">
        <f>AA36-AF36</f>
        <v>-145111.06000000006</v>
      </c>
      <c r="AM36" s="439">
        <f>AA36-AD36</f>
        <v>-211600.20999999996</v>
      </c>
      <c r="AN36" s="438"/>
      <c r="AO36" s="438"/>
      <c r="AP36" s="438"/>
    </row>
    <row r="37" spans="1:42" ht="25.5">
      <c r="A37" s="412">
        <v>34</v>
      </c>
      <c r="B37" s="431"/>
      <c r="C37" s="432" t="s">
        <v>4911</v>
      </c>
      <c r="D37" s="433" t="s">
        <v>11179</v>
      </c>
      <c r="E37" s="434">
        <f>'PROSPETTO CE_IV TRIM 2024'!BM75</f>
        <v>0</v>
      </c>
      <c r="F37" s="439">
        <f>+E37</f>
        <v>0</v>
      </c>
      <c r="G37" s="439">
        <v>0</v>
      </c>
      <c r="H37" s="439">
        <v>0</v>
      </c>
      <c r="I37" s="435">
        <f t="shared" si="7"/>
        <v>0</v>
      </c>
      <c r="J37" s="435">
        <f t="shared" si="8"/>
        <v>0</v>
      </c>
      <c r="K37" s="439">
        <v>0</v>
      </c>
      <c r="L37" s="439">
        <v>0</v>
      </c>
      <c r="M37" s="439">
        <f t="shared" si="9"/>
        <v>0</v>
      </c>
      <c r="N37" s="439">
        <v>0</v>
      </c>
      <c r="O37" s="439">
        <v>0</v>
      </c>
      <c r="P37" s="440">
        <v>0</v>
      </c>
      <c r="Q37" s="439">
        <v>0</v>
      </c>
      <c r="R37" s="439">
        <f t="shared" si="3"/>
        <v>0</v>
      </c>
      <c r="S37" s="439">
        <f t="shared" si="4"/>
        <v>0</v>
      </c>
      <c r="T37" s="441"/>
      <c r="U37" s="439">
        <v>0</v>
      </c>
      <c r="V37" s="439">
        <f>+AA37</f>
        <v>0</v>
      </c>
      <c r="W37" s="439">
        <v>0</v>
      </c>
      <c r="X37" s="439">
        <v>0</v>
      </c>
      <c r="Y37" s="435">
        <f t="shared" si="6"/>
        <v>0</v>
      </c>
      <c r="Z37" s="439">
        <v>0</v>
      </c>
      <c r="AA37" s="439">
        <v>0</v>
      </c>
      <c r="AB37" s="439">
        <v>0</v>
      </c>
      <c r="AC37" s="439">
        <v>0</v>
      </c>
      <c r="AD37" s="439">
        <v>0</v>
      </c>
      <c r="AE37" s="439"/>
      <c r="AF37" s="439">
        <f>AC37*2</f>
        <v>0</v>
      </c>
      <c r="AG37" s="439">
        <v>0</v>
      </c>
      <c r="AH37" s="419">
        <f t="shared" si="0"/>
        <v>0</v>
      </c>
      <c r="AI37" s="439">
        <v>0</v>
      </c>
      <c r="AJ37" s="439">
        <v>0</v>
      </c>
      <c r="AK37" s="439">
        <f>AA37-W37</f>
        <v>0</v>
      </c>
      <c r="AL37" s="439">
        <f>AA37-AF37</f>
        <v>0</v>
      </c>
      <c r="AM37" s="439">
        <f>AA37-AD37</f>
        <v>0</v>
      </c>
      <c r="AN37" s="438"/>
      <c r="AO37" s="438"/>
      <c r="AP37" s="438"/>
    </row>
    <row r="38" spans="1:42" ht="25.5">
      <c r="A38" s="412">
        <v>35</v>
      </c>
      <c r="B38" s="431"/>
      <c r="C38" s="432" t="s">
        <v>4917</v>
      </c>
      <c r="D38" s="433" t="s">
        <v>11180</v>
      </c>
      <c r="E38" s="434"/>
      <c r="F38" s="435">
        <f>+F39+F40+F41+F42+F43</f>
        <v>1978447.06</v>
      </c>
      <c r="G38" s="435">
        <v>2494961.54</v>
      </c>
      <c r="H38" s="435">
        <v>1578561</v>
      </c>
      <c r="I38" s="435">
        <f t="shared" si="7"/>
        <v>399886.06000000006</v>
      </c>
      <c r="J38" s="435">
        <f t="shared" si="8"/>
        <v>399886.06000000006</v>
      </c>
      <c r="K38" s="435">
        <v>1578561</v>
      </c>
      <c r="L38" s="435">
        <v>1220794</v>
      </c>
      <c r="M38" s="435">
        <f t="shared" si="9"/>
        <v>-856707.94</v>
      </c>
      <c r="N38" s="435">
        <v>697981</v>
      </c>
      <c r="O38" s="435">
        <v>697981</v>
      </c>
      <c r="P38" s="436">
        <v>2835155</v>
      </c>
      <c r="Q38" s="435">
        <f t="shared" ref="Q38" si="38">+Q39+Q40+Q41+Q42+Q43</f>
        <v>2494961.54</v>
      </c>
      <c r="R38" s="435">
        <f t="shared" si="3"/>
        <v>2137174</v>
      </c>
      <c r="S38" s="435">
        <f t="shared" si="4"/>
        <v>1796980.54</v>
      </c>
      <c r="T38" s="437">
        <f>(F38-P38)/F38*100</f>
        <v>-43.302040136469458</v>
      </c>
      <c r="U38" s="435">
        <v>683203.1</v>
      </c>
      <c r="V38" s="435">
        <f>+V39+V40+V41+V42+V43</f>
        <v>2835155</v>
      </c>
      <c r="W38" s="435">
        <f>+W39+W40+W41+W42+W43</f>
        <v>2575362</v>
      </c>
      <c r="X38" s="435">
        <f t="shared" ref="X38" si="39">+X39+X40+X41+X42+X43</f>
        <v>2494961.54</v>
      </c>
      <c r="Y38" s="435">
        <f t="shared" si="6"/>
        <v>2158305.8836363638</v>
      </c>
      <c r="Z38" s="435">
        <v>2837155</v>
      </c>
      <c r="AA38" s="435">
        <v>2835155</v>
      </c>
      <c r="AB38" s="435">
        <f t="shared" ref="AB38:AM38" si="40">+AB39+AB40+AB41+AB42+AB43</f>
        <v>294959</v>
      </c>
      <c r="AC38" s="435">
        <f t="shared" si="40"/>
        <v>767599.08</v>
      </c>
      <c r="AD38" s="435">
        <f t="shared" si="40"/>
        <v>2494961.54</v>
      </c>
      <c r="AE38" s="435"/>
      <c r="AF38" s="435">
        <f t="shared" si="40"/>
        <v>1535198.16</v>
      </c>
      <c r="AG38" s="435">
        <f t="shared" si="40"/>
        <v>0</v>
      </c>
      <c r="AH38" s="419">
        <f t="shared" si="0"/>
        <v>-1978447.06</v>
      </c>
      <c r="AI38" s="435">
        <f t="shared" si="40"/>
        <v>0</v>
      </c>
      <c r="AJ38" s="435">
        <f t="shared" si="40"/>
        <v>0</v>
      </c>
      <c r="AK38" s="435">
        <f t="shared" si="40"/>
        <v>259793</v>
      </c>
      <c r="AL38" s="435">
        <f t="shared" si="40"/>
        <v>1299956.8400000001</v>
      </c>
      <c r="AM38" s="435">
        <f t="shared" si="40"/>
        <v>340193.46000000014</v>
      </c>
      <c r="AN38" s="438"/>
      <c r="AO38" s="438"/>
      <c r="AP38" s="438"/>
    </row>
    <row r="39" spans="1:42" ht="38.25">
      <c r="A39" s="412">
        <v>36</v>
      </c>
      <c r="B39" s="431"/>
      <c r="C39" s="432" t="s">
        <v>4921</v>
      </c>
      <c r="D39" s="433" t="s">
        <v>4928</v>
      </c>
      <c r="E39" s="434">
        <f>'PROSPETTO CE_IV TRIM 2024'!BM79</f>
        <v>0</v>
      </c>
      <c r="F39" s="439">
        <f>+E39</f>
        <v>0</v>
      </c>
      <c r="G39" s="439">
        <v>911813</v>
      </c>
      <c r="H39" s="439">
        <v>0</v>
      </c>
      <c r="I39" s="435">
        <f t="shared" si="7"/>
        <v>0</v>
      </c>
      <c r="J39" s="435">
        <f t="shared" si="8"/>
        <v>0</v>
      </c>
      <c r="K39" s="439">
        <v>0</v>
      </c>
      <c r="L39" s="439">
        <v>0</v>
      </c>
      <c r="M39" s="439">
        <f t="shared" si="9"/>
        <v>-911813</v>
      </c>
      <c r="N39" s="439">
        <v>0</v>
      </c>
      <c r="O39" s="439">
        <v>0</v>
      </c>
      <c r="P39" s="443">
        <v>911813</v>
      </c>
      <c r="Q39" s="439">
        <v>911813</v>
      </c>
      <c r="R39" s="439">
        <f t="shared" si="3"/>
        <v>911813</v>
      </c>
      <c r="S39" s="439">
        <f t="shared" si="4"/>
        <v>911813</v>
      </c>
      <c r="T39" s="441"/>
      <c r="U39" s="439">
        <v>0</v>
      </c>
      <c r="V39" s="439">
        <f>+AA39</f>
        <v>911813</v>
      </c>
      <c r="W39" s="439">
        <v>650000</v>
      </c>
      <c r="X39" s="439">
        <v>911813</v>
      </c>
      <c r="Y39" s="435">
        <f t="shared" si="6"/>
        <v>0</v>
      </c>
      <c r="Z39" s="439">
        <v>911813</v>
      </c>
      <c r="AA39" s="439">
        <v>911813</v>
      </c>
      <c r="AB39" s="439">
        <v>0</v>
      </c>
      <c r="AC39" s="439">
        <v>0</v>
      </c>
      <c r="AD39" s="439">
        <v>911813</v>
      </c>
      <c r="AE39" s="439"/>
      <c r="AF39" s="439">
        <f>AC39*2</f>
        <v>0</v>
      </c>
      <c r="AG39" s="439"/>
      <c r="AH39" s="419">
        <f t="shared" si="0"/>
        <v>0</v>
      </c>
      <c r="AI39" s="439"/>
      <c r="AJ39" s="439"/>
      <c r="AK39" s="439">
        <f>AA39-W39</f>
        <v>261813</v>
      </c>
      <c r="AL39" s="439">
        <f>AA39-AF39</f>
        <v>911813</v>
      </c>
      <c r="AM39" s="439">
        <f>AA39-AD39</f>
        <v>0</v>
      </c>
      <c r="AN39" s="438"/>
      <c r="AO39" s="438"/>
      <c r="AP39" s="438"/>
    </row>
    <row r="40" spans="1:42" ht="38.25">
      <c r="A40" s="412">
        <v>37</v>
      </c>
      <c r="B40" s="431"/>
      <c r="C40" s="432" t="s">
        <v>4929</v>
      </c>
      <c r="D40" s="433" t="s">
        <v>11181</v>
      </c>
      <c r="E40" s="434">
        <f>'PROSPETTO CE_IV TRIM 2024'!BM80</f>
        <v>1366981.47</v>
      </c>
      <c r="F40" s="439">
        <f>+E40</f>
        <v>1366981.47</v>
      </c>
      <c r="G40" s="439">
        <v>1115631.1299999999</v>
      </c>
      <c r="H40" s="439">
        <v>1045000</v>
      </c>
      <c r="I40" s="435">
        <f t="shared" si="7"/>
        <v>321981.46999999997</v>
      </c>
      <c r="J40" s="435">
        <f t="shared" si="8"/>
        <v>321981.46999999997</v>
      </c>
      <c r="K40" s="439">
        <v>1045000</v>
      </c>
      <c r="L40" s="439">
        <v>687233</v>
      </c>
      <c r="M40" s="439">
        <f t="shared" si="9"/>
        <v>-323872.53000000003</v>
      </c>
      <c r="N40" s="439">
        <v>697981</v>
      </c>
      <c r="O40" s="439">
        <v>697981</v>
      </c>
      <c r="P40" s="440">
        <v>1690854</v>
      </c>
      <c r="Q40" s="439">
        <v>1115631.1299999999</v>
      </c>
      <c r="R40" s="439">
        <f t="shared" si="3"/>
        <v>992873</v>
      </c>
      <c r="S40" s="439">
        <f t="shared" si="4"/>
        <v>417650.12999999989</v>
      </c>
      <c r="T40" s="441">
        <f>(F40-P40)/F40*100</f>
        <v>-23.692532569589257</v>
      </c>
      <c r="U40" s="439">
        <v>508045</v>
      </c>
      <c r="V40" s="439">
        <f>+AA40</f>
        <v>1690854</v>
      </c>
      <c r="W40" s="439">
        <v>1690854</v>
      </c>
      <c r="X40" s="439">
        <v>1115631.1299999999</v>
      </c>
      <c r="Y40" s="435">
        <f t="shared" si="6"/>
        <v>1491252.5127272727</v>
      </c>
      <c r="Z40" s="439">
        <v>1690854</v>
      </c>
      <c r="AA40" s="439">
        <v>1690854</v>
      </c>
      <c r="AB40" s="439">
        <v>243979</v>
      </c>
      <c r="AC40" s="439">
        <v>650345.07999999996</v>
      </c>
      <c r="AD40" s="439">
        <v>1115631.1299999999</v>
      </c>
      <c r="AE40" s="439"/>
      <c r="AF40" s="439">
        <f>AC40*2</f>
        <v>1300690.1599999999</v>
      </c>
      <c r="AG40" s="439"/>
      <c r="AH40" s="419">
        <f t="shared" si="0"/>
        <v>-1366981.47</v>
      </c>
      <c r="AI40" s="439"/>
      <c r="AJ40" s="439"/>
      <c r="AK40" s="439">
        <f>AA40-W40</f>
        <v>0</v>
      </c>
      <c r="AL40" s="439">
        <f>AA40-AF40</f>
        <v>390163.84000000008</v>
      </c>
      <c r="AM40" s="439">
        <f>AA40-AD40</f>
        <v>575222.87000000011</v>
      </c>
      <c r="AN40" s="438"/>
      <c r="AO40" s="438"/>
      <c r="AP40" s="438"/>
    </row>
    <row r="41" spans="1:42" ht="25.5">
      <c r="A41" s="412">
        <v>38</v>
      </c>
      <c r="B41" s="431"/>
      <c r="C41" s="432" t="s">
        <v>4991</v>
      </c>
      <c r="D41" s="433" t="s">
        <v>4994</v>
      </c>
      <c r="E41" s="434">
        <f>'PROSPETTO CE_IV TRIM 2024'!BM109</f>
        <v>611465.59</v>
      </c>
      <c r="F41" s="439">
        <f>+E41</f>
        <v>611465.59</v>
      </c>
      <c r="G41" s="439">
        <v>198078.93</v>
      </c>
      <c r="H41" s="439">
        <v>533561</v>
      </c>
      <c r="I41" s="435">
        <f t="shared" si="7"/>
        <v>77904.589999999967</v>
      </c>
      <c r="J41" s="435">
        <f t="shared" si="8"/>
        <v>77904.589999999967</v>
      </c>
      <c r="K41" s="439">
        <v>533561</v>
      </c>
      <c r="L41" s="439">
        <v>533561</v>
      </c>
      <c r="M41" s="439">
        <f t="shared" si="9"/>
        <v>532710.59</v>
      </c>
      <c r="N41" s="439">
        <v>0</v>
      </c>
      <c r="O41" s="439">
        <v>0</v>
      </c>
      <c r="P41" s="440">
        <v>78755</v>
      </c>
      <c r="Q41" s="439">
        <v>198078.93</v>
      </c>
      <c r="R41" s="439">
        <f t="shared" si="3"/>
        <v>78755</v>
      </c>
      <c r="S41" s="439">
        <f t="shared" si="4"/>
        <v>198078.93</v>
      </c>
      <c r="T41" s="441">
        <f>(F41-P41)/F41*100</f>
        <v>87.120289140064287</v>
      </c>
      <c r="U41" s="439">
        <v>97291.6</v>
      </c>
      <c r="V41" s="439">
        <f>+AA41</f>
        <v>78755</v>
      </c>
      <c r="W41" s="439">
        <v>78775</v>
      </c>
      <c r="X41" s="439">
        <v>198078.93</v>
      </c>
      <c r="Y41" s="435">
        <f t="shared" si="6"/>
        <v>667053.37090909085</v>
      </c>
      <c r="Z41" s="439">
        <v>78755</v>
      </c>
      <c r="AA41" s="439">
        <v>78755</v>
      </c>
      <c r="AB41" s="439">
        <v>17125</v>
      </c>
      <c r="AC41" s="439">
        <v>39387.5</v>
      </c>
      <c r="AD41" s="439">
        <v>198078.93</v>
      </c>
      <c r="AE41" s="439"/>
      <c r="AF41" s="439">
        <f>AC41*2</f>
        <v>78775</v>
      </c>
      <c r="AG41" s="439"/>
      <c r="AH41" s="419">
        <f t="shared" si="0"/>
        <v>-611465.59</v>
      </c>
      <c r="AI41" s="439"/>
      <c r="AJ41" s="439"/>
      <c r="AK41" s="439">
        <f>AA41-W41</f>
        <v>-20</v>
      </c>
      <c r="AL41" s="439">
        <f>AA41-AF41</f>
        <v>-20</v>
      </c>
      <c r="AM41" s="439">
        <f>AA41-AD41</f>
        <v>-119323.93</v>
      </c>
      <c r="AN41" s="438"/>
      <c r="AO41" s="438"/>
      <c r="AP41" s="438"/>
    </row>
    <row r="42" spans="1:42" ht="25.5">
      <c r="A42" s="412">
        <v>39</v>
      </c>
      <c r="B42" s="431"/>
      <c r="C42" s="432" t="s">
        <v>4999</v>
      </c>
      <c r="D42" s="433" t="s">
        <v>11182</v>
      </c>
      <c r="E42" s="434">
        <f>'PROSPETTO CE_IV TRIM 2024'!BM112</f>
        <v>0</v>
      </c>
      <c r="F42" s="439">
        <f>+E42</f>
        <v>0</v>
      </c>
      <c r="G42" s="439">
        <v>269438.48</v>
      </c>
      <c r="H42" s="439">
        <v>0</v>
      </c>
      <c r="I42" s="435">
        <f t="shared" si="7"/>
        <v>0</v>
      </c>
      <c r="J42" s="435">
        <f t="shared" si="8"/>
        <v>0</v>
      </c>
      <c r="K42" s="439">
        <v>0</v>
      </c>
      <c r="L42" s="439">
        <v>0</v>
      </c>
      <c r="M42" s="439">
        <f t="shared" si="9"/>
        <v>-153733</v>
      </c>
      <c r="N42" s="439">
        <v>0</v>
      </c>
      <c r="O42" s="439">
        <v>0</v>
      </c>
      <c r="P42" s="443">
        <v>153733</v>
      </c>
      <c r="Q42" s="439">
        <v>269438.48</v>
      </c>
      <c r="R42" s="439">
        <f t="shared" si="3"/>
        <v>153733</v>
      </c>
      <c r="S42" s="439">
        <f t="shared" si="4"/>
        <v>269438.48</v>
      </c>
      <c r="T42" s="441"/>
      <c r="U42" s="439">
        <v>77866.5</v>
      </c>
      <c r="V42" s="439">
        <f>+AA42</f>
        <v>153733</v>
      </c>
      <c r="W42" s="439">
        <v>155733</v>
      </c>
      <c r="X42" s="439">
        <v>269438.48</v>
      </c>
      <c r="Y42" s="435">
        <f t="shared" si="6"/>
        <v>0</v>
      </c>
      <c r="Z42" s="439">
        <v>155733</v>
      </c>
      <c r="AA42" s="439">
        <v>153733</v>
      </c>
      <c r="AB42" s="439">
        <v>33855</v>
      </c>
      <c r="AC42" s="439">
        <v>77866.5</v>
      </c>
      <c r="AD42" s="439">
        <v>269438.48</v>
      </c>
      <c r="AE42" s="439"/>
      <c r="AF42" s="439">
        <f>AC42*2</f>
        <v>155733</v>
      </c>
      <c r="AG42" s="439"/>
      <c r="AH42" s="419">
        <f t="shared" si="0"/>
        <v>0</v>
      </c>
      <c r="AI42" s="439"/>
      <c r="AJ42" s="439"/>
      <c r="AK42" s="439">
        <f>AA42-W42</f>
        <v>-2000</v>
      </c>
      <c r="AL42" s="439">
        <f>AA42-AF42</f>
        <v>-2000</v>
      </c>
      <c r="AM42" s="439">
        <f>AA42-AD42</f>
        <v>-115705.47999999998</v>
      </c>
      <c r="AN42" s="438"/>
      <c r="AO42" s="438"/>
      <c r="AP42" s="438"/>
    </row>
    <row r="43" spans="1:42" ht="25.5">
      <c r="A43" s="412">
        <v>40</v>
      </c>
      <c r="B43" s="431"/>
      <c r="C43" s="432" t="s">
        <v>5006</v>
      </c>
      <c r="D43" s="433" t="s">
        <v>5009</v>
      </c>
      <c r="E43" s="434">
        <f>'PROSPETTO CE_IV TRIM 2024'!BM115</f>
        <v>0</v>
      </c>
      <c r="F43" s="439">
        <f>+E43</f>
        <v>0</v>
      </c>
      <c r="G43" s="439">
        <v>0</v>
      </c>
      <c r="H43" s="439">
        <v>0</v>
      </c>
      <c r="I43" s="435">
        <f t="shared" si="7"/>
        <v>0</v>
      </c>
      <c r="J43" s="435">
        <f t="shared" si="8"/>
        <v>0</v>
      </c>
      <c r="K43" s="439">
        <v>0</v>
      </c>
      <c r="L43" s="439">
        <v>0</v>
      </c>
      <c r="M43" s="439">
        <f t="shared" si="9"/>
        <v>0</v>
      </c>
      <c r="N43" s="439">
        <v>0</v>
      </c>
      <c r="O43" s="439">
        <v>0</v>
      </c>
      <c r="P43" s="440">
        <v>0</v>
      </c>
      <c r="Q43" s="439">
        <v>0</v>
      </c>
      <c r="R43" s="439">
        <f t="shared" si="3"/>
        <v>0</v>
      </c>
      <c r="S43" s="439">
        <f t="shared" si="4"/>
        <v>0</v>
      </c>
      <c r="T43" s="441"/>
      <c r="U43" s="439">
        <v>0</v>
      </c>
      <c r="V43" s="439">
        <f>+AA43</f>
        <v>0</v>
      </c>
      <c r="W43" s="439">
        <v>0</v>
      </c>
      <c r="X43" s="439">
        <v>0</v>
      </c>
      <c r="Y43" s="435">
        <f t="shared" si="6"/>
        <v>0</v>
      </c>
      <c r="Z43" s="439">
        <v>0</v>
      </c>
      <c r="AA43" s="439">
        <v>0</v>
      </c>
      <c r="AB43" s="439">
        <v>0</v>
      </c>
      <c r="AC43" s="439">
        <v>0</v>
      </c>
      <c r="AD43" s="439">
        <v>0</v>
      </c>
      <c r="AE43" s="439"/>
      <c r="AF43" s="439">
        <f>AC43*2</f>
        <v>0</v>
      </c>
      <c r="AG43" s="439">
        <v>0</v>
      </c>
      <c r="AH43" s="419">
        <f t="shared" si="0"/>
        <v>0</v>
      </c>
      <c r="AI43" s="439">
        <v>0</v>
      </c>
      <c r="AJ43" s="439">
        <v>0</v>
      </c>
      <c r="AK43" s="439">
        <f>AA43-W43</f>
        <v>0</v>
      </c>
      <c r="AL43" s="439">
        <f>AA43-AF43</f>
        <v>0</v>
      </c>
      <c r="AM43" s="439">
        <f>AA43-AD43</f>
        <v>0</v>
      </c>
      <c r="AN43" s="438"/>
      <c r="AO43" s="438"/>
      <c r="AP43" s="438"/>
    </row>
    <row r="44" spans="1:42" ht="25.5">
      <c r="A44" s="412">
        <v>41</v>
      </c>
      <c r="B44" s="431"/>
      <c r="C44" s="432" t="s">
        <v>5012</v>
      </c>
      <c r="D44" s="433" t="s">
        <v>5015</v>
      </c>
      <c r="E44" s="434"/>
      <c r="F44" s="435">
        <f>+F45+F84+F90+F91</f>
        <v>190779621.37</v>
      </c>
      <c r="G44" s="435">
        <v>180264935.56999996</v>
      </c>
      <c r="H44" s="435">
        <v>190469675.25999999</v>
      </c>
      <c r="I44" s="435">
        <f t="shared" si="7"/>
        <v>309946.11000001431</v>
      </c>
      <c r="J44" s="435">
        <f t="shared" si="8"/>
        <v>-1501061.75</v>
      </c>
      <c r="K44" s="435">
        <v>192280683.12</v>
      </c>
      <c r="L44" s="435">
        <v>192265362.91999999</v>
      </c>
      <c r="M44" s="435">
        <f t="shared" si="9"/>
        <v>-872562.75857141614</v>
      </c>
      <c r="N44" s="435">
        <v>192262045.84000003</v>
      </c>
      <c r="O44" s="435">
        <v>191362045.84000003</v>
      </c>
      <c r="P44" s="436">
        <v>191652184.12857142</v>
      </c>
      <c r="Q44" s="435">
        <f t="shared" ref="Q44" si="41">+Q45+Q84+Q90+Q91</f>
        <v>180264935.56999996</v>
      </c>
      <c r="R44" s="435">
        <f t="shared" si="3"/>
        <v>-609861.71142861247</v>
      </c>
      <c r="S44" s="435">
        <f t="shared" si="4"/>
        <v>-11997110.27000007</v>
      </c>
      <c r="T44" s="437">
        <f t="shared" ref="T44:T49" si="42">(F44-P44)/F44*100</f>
        <v>-0.45736685726991705</v>
      </c>
      <c r="U44" s="435">
        <v>143107969.88</v>
      </c>
      <c r="V44" s="435">
        <f>+V45+V84+V90+V91</f>
        <v>191652184.12857142</v>
      </c>
      <c r="W44" s="435">
        <f>+W45+W84+W90+W91</f>
        <v>191384673.93000001</v>
      </c>
      <c r="X44" s="435">
        <f t="shared" ref="X44" si="43">+X45+X84+X90+X91</f>
        <v>180264935.56999996</v>
      </c>
      <c r="Y44" s="435">
        <f t="shared" si="6"/>
        <v>208123223.31272727</v>
      </c>
      <c r="Z44" s="435">
        <v>191492957.71857142</v>
      </c>
      <c r="AA44" s="435">
        <v>191652184.12857142</v>
      </c>
      <c r="AB44" s="435">
        <f t="shared" ref="AB44:AM44" si="44">+AB45+AB84+AB90+AB91</f>
        <v>47879254</v>
      </c>
      <c r="AC44" s="435">
        <f t="shared" si="44"/>
        <v>91856961.63030602</v>
      </c>
      <c r="AD44" s="435">
        <f t="shared" si="44"/>
        <v>180264935.56999996</v>
      </c>
      <c r="AE44" s="435"/>
      <c r="AF44" s="435">
        <f t="shared" si="44"/>
        <v>183713923.26061204</v>
      </c>
      <c r="AG44" s="435">
        <f t="shared" si="44"/>
        <v>0</v>
      </c>
      <c r="AH44" s="419">
        <f t="shared" si="0"/>
        <v>-190779621.37</v>
      </c>
      <c r="AI44" s="435">
        <f t="shared" si="44"/>
        <v>0</v>
      </c>
      <c r="AJ44" s="435">
        <f t="shared" si="44"/>
        <v>0</v>
      </c>
      <c r="AK44" s="435">
        <f t="shared" si="44"/>
        <v>267510.19857142231</v>
      </c>
      <c r="AL44" s="435">
        <f t="shared" si="44"/>
        <v>7938260.867959355</v>
      </c>
      <c r="AM44" s="435">
        <f t="shared" si="44"/>
        <v>11387248.558571439</v>
      </c>
      <c r="AN44" s="438"/>
      <c r="AO44" s="438"/>
      <c r="AP44" s="438"/>
    </row>
    <row r="45" spans="1:42" ht="25.5">
      <c r="A45" s="412">
        <v>42</v>
      </c>
      <c r="B45" s="431"/>
      <c r="C45" s="432" t="s">
        <v>5016</v>
      </c>
      <c r="D45" s="433" t="s">
        <v>5019</v>
      </c>
      <c r="E45" s="434"/>
      <c r="F45" s="435">
        <f>+F46+F62+F63</f>
        <v>184560041.31</v>
      </c>
      <c r="G45" s="435">
        <v>174830775.59999996</v>
      </c>
      <c r="H45" s="435">
        <v>184560041.31</v>
      </c>
      <c r="I45" s="435">
        <f t="shared" si="7"/>
        <v>0</v>
      </c>
      <c r="J45" s="435">
        <f t="shared" si="8"/>
        <v>-1811007.8600000143</v>
      </c>
      <c r="K45" s="435">
        <v>186371049.17000002</v>
      </c>
      <c r="L45" s="435">
        <v>186360641.09999999</v>
      </c>
      <c r="M45" s="435">
        <f t="shared" si="9"/>
        <v>-2253802.7985714376</v>
      </c>
      <c r="N45" s="435">
        <v>186670018.47000003</v>
      </c>
      <c r="O45" s="435">
        <v>185770018.47000003</v>
      </c>
      <c r="P45" s="436">
        <v>186813844.10857144</v>
      </c>
      <c r="Q45" s="435">
        <f t="shared" ref="Q45" si="45">+Q46+Q62+Q63</f>
        <v>174830775.59999996</v>
      </c>
      <c r="R45" s="435">
        <f t="shared" si="3"/>
        <v>143825.63857141137</v>
      </c>
      <c r="S45" s="435">
        <f t="shared" si="4"/>
        <v>-11839242.870000064</v>
      </c>
      <c r="T45" s="437">
        <f t="shared" si="42"/>
        <v>-1.2211759287514421</v>
      </c>
      <c r="U45" s="435">
        <v>139325712.15000001</v>
      </c>
      <c r="V45" s="435">
        <f>+V46+V62+V63</f>
        <v>186813844.10857144</v>
      </c>
      <c r="W45" s="435">
        <f>+W46+W62+W63</f>
        <v>186780318.93000001</v>
      </c>
      <c r="X45" s="435">
        <f t="shared" ref="X45" si="46">+X46+X62+X63</f>
        <v>174830775.59999996</v>
      </c>
      <c r="Y45" s="435">
        <f t="shared" si="6"/>
        <v>201338226.88363636</v>
      </c>
      <c r="Z45" s="435">
        <v>186654617.69857144</v>
      </c>
      <c r="AA45" s="435">
        <v>186813844.10857144</v>
      </c>
      <c r="AB45" s="435">
        <f t="shared" ref="AB45:AM45" si="47">+AB46+AB62+AB63</f>
        <v>46685389</v>
      </c>
      <c r="AC45" s="435">
        <f t="shared" si="47"/>
        <v>89357925.435306028</v>
      </c>
      <c r="AD45" s="435">
        <f t="shared" si="47"/>
        <v>174830775.59999996</v>
      </c>
      <c r="AE45" s="435"/>
      <c r="AF45" s="435">
        <f t="shared" si="47"/>
        <v>178715850.87061206</v>
      </c>
      <c r="AG45" s="435">
        <f t="shared" si="47"/>
        <v>0</v>
      </c>
      <c r="AH45" s="419">
        <f t="shared" si="0"/>
        <v>-184560041.31</v>
      </c>
      <c r="AI45" s="435">
        <f t="shared" si="47"/>
        <v>0</v>
      </c>
      <c r="AJ45" s="435">
        <f t="shared" si="47"/>
        <v>0</v>
      </c>
      <c r="AK45" s="435">
        <f t="shared" si="47"/>
        <v>33525.17857142241</v>
      </c>
      <c r="AL45" s="435">
        <f t="shared" si="47"/>
        <v>8097993.2379593551</v>
      </c>
      <c r="AM45" s="435">
        <f t="shared" si="47"/>
        <v>11983068.508571438</v>
      </c>
      <c r="AN45" s="438"/>
      <c r="AO45" s="438"/>
      <c r="AP45" s="438"/>
    </row>
    <row r="46" spans="1:42" ht="25.5">
      <c r="A46" s="412">
        <v>43</v>
      </c>
      <c r="B46" s="444" t="s">
        <v>1519</v>
      </c>
      <c r="C46" s="432" t="s">
        <v>5020</v>
      </c>
      <c r="D46" s="433" t="s">
        <v>5023</v>
      </c>
      <c r="E46" s="434"/>
      <c r="F46" s="435">
        <f>SUM(F47:F61)</f>
        <v>181837828.15000001</v>
      </c>
      <c r="G46" s="435">
        <v>172328057.90999997</v>
      </c>
      <c r="H46" s="435">
        <v>181837828.15000001</v>
      </c>
      <c r="I46" s="435">
        <f t="shared" si="7"/>
        <v>0</v>
      </c>
      <c r="J46" s="435">
        <f t="shared" si="8"/>
        <v>-1888694.6800000072</v>
      </c>
      <c r="K46" s="435">
        <v>183726522.83000001</v>
      </c>
      <c r="L46" s="435">
        <v>183716114.75999999</v>
      </c>
      <c r="M46" s="435">
        <f t="shared" si="9"/>
        <v>-2013861.0471428633</v>
      </c>
      <c r="N46" s="435">
        <v>184318423.92000002</v>
      </c>
      <c r="O46" s="435">
        <v>183418423.92000002</v>
      </c>
      <c r="P46" s="436">
        <v>183851689.19714287</v>
      </c>
      <c r="Q46" s="435">
        <f t="shared" ref="Q46" si="48">SUM(Q47:Q61)</f>
        <v>172328057.90999997</v>
      </c>
      <c r="R46" s="435">
        <f t="shared" si="3"/>
        <v>-466734.72285714746</v>
      </c>
      <c r="S46" s="435">
        <f t="shared" si="4"/>
        <v>-11990366.01000005</v>
      </c>
      <c r="T46" s="437">
        <f t="shared" si="42"/>
        <v>-1.1075039047879562</v>
      </c>
      <c r="U46" s="435">
        <v>137376170</v>
      </c>
      <c r="V46" s="435">
        <f>SUM(V47:V61)</f>
        <v>183851689.19714287</v>
      </c>
      <c r="W46" s="435">
        <f>SUM(W47:W61)</f>
        <v>184104094.93000001</v>
      </c>
      <c r="X46" s="435">
        <f t="shared" ref="X46" si="49">SUM(X47:X61)</f>
        <v>172328057.90999997</v>
      </c>
      <c r="Y46" s="435">
        <f t="shared" si="6"/>
        <v>198368539.80000001</v>
      </c>
      <c r="Z46" s="435">
        <v>183692462.78714287</v>
      </c>
      <c r="AA46" s="435">
        <v>183851689.19714287</v>
      </c>
      <c r="AB46" s="435">
        <f t="shared" ref="AB46:AM46" si="50">SUM(AB47:AB61)</f>
        <v>46022106</v>
      </c>
      <c r="AC46" s="435">
        <f t="shared" si="50"/>
        <v>88342185.159999996</v>
      </c>
      <c r="AD46" s="435">
        <f t="shared" si="50"/>
        <v>172328057.90999997</v>
      </c>
      <c r="AE46" s="435"/>
      <c r="AF46" s="435">
        <f t="shared" si="50"/>
        <v>176684370.31999999</v>
      </c>
      <c r="AG46" s="435">
        <f t="shared" si="50"/>
        <v>0</v>
      </c>
      <c r="AH46" s="419">
        <f t="shared" si="0"/>
        <v>-181837828.15000001</v>
      </c>
      <c r="AI46" s="435">
        <f t="shared" si="50"/>
        <v>0</v>
      </c>
      <c r="AJ46" s="435">
        <f t="shared" si="50"/>
        <v>0</v>
      </c>
      <c r="AK46" s="435">
        <f t="shared" si="50"/>
        <v>-252405.73285714953</v>
      </c>
      <c r="AL46" s="435">
        <f t="shared" si="50"/>
        <v>7167318.8771428578</v>
      </c>
      <c r="AM46" s="435">
        <f t="shared" si="50"/>
        <v>11523631.287142865</v>
      </c>
      <c r="AN46" s="438"/>
      <c r="AO46" s="438"/>
      <c r="AP46" s="438"/>
    </row>
    <row r="47" spans="1:42" ht="12.75">
      <c r="A47" s="412">
        <v>44</v>
      </c>
      <c r="B47" s="444" t="s">
        <v>1519</v>
      </c>
      <c r="C47" s="432" t="s">
        <v>513</v>
      </c>
      <c r="D47" s="433" t="s">
        <v>5030</v>
      </c>
      <c r="E47" s="434">
        <f>SUM('PROSPETTO CE_IV TRIM 2024'!BM121:BM122)</f>
        <v>80301371.659999996</v>
      </c>
      <c r="F47" s="439">
        <f t="shared" ref="F47:F62" si="51">+E47</f>
        <v>80301371.659999996</v>
      </c>
      <c r="G47" s="439">
        <v>78118043.129999995</v>
      </c>
      <c r="H47" s="439">
        <v>80301371.659999996</v>
      </c>
      <c r="I47" s="435">
        <f t="shared" si="7"/>
        <v>0</v>
      </c>
      <c r="J47" s="435">
        <f t="shared" si="8"/>
        <v>21761.659999996424</v>
      </c>
      <c r="K47" s="439">
        <v>80279610</v>
      </c>
      <c r="L47" s="439">
        <v>80279610</v>
      </c>
      <c r="M47" s="439">
        <f t="shared" si="9"/>
        <v>-148628.34000000358</v>
      </c>
      <c r="N47" s="439">
        <v>80400000</v>
      </c>
      <c r="O47" s="439">
        <v>80000000</v>
      </c>
      <c r="P47" s="440">
        <v>80450000</v>
      </c>
      <c r="Q47" s="439">
        <v>78118043.129999995</v>
      </c>
      <c r="R47" s="439">
        <f t="shared" si="3"/>
        <v>50000</v>
      </c>
      <c r="S47" s="439">
        <f t="shared" si="4"/>
        <v>-2281956.8700000048</v>
      </c>
      <c r="T47" s="441">
        <f t="shared" si="42"/>
        <v>-0.18508817088368473</v>
      </c>
      <c r="U47" s="439">
        <v>59916845</v>
      </c>
      <c r="V47" s="439">
        <f t="shared" ref="V47:V62" si="52">+AA47</f>
        <v>80450000</v>
      </c>
      <c r="W47" s="439">
        <v>81363012</v>
      </c>
      <c r="X47" s="439">
        <v>78118043.129999995</v>
      </c>
      <c r="Y47" s="435">
        <f t="shared" si="6"/>
        <v>87601496.356363639</v>
      </c>
      <c r="Z47" s="439">
        <v>80450000</v>
      </c>
      <c r="AA47" s="439">
        <v>80450000</v>
      </c>
      <c r="AB47" s="439">
        <v>20340753</v>
      </c>
      <c r="AC47" s="439">
        <v>39561492</v>
      </c>
      <c r="AD47" s="439">
        <v>78118043.129999995</v>
      </c>
      <c r="AE47" s="439"/>
      <c r="AF47" s="439">
        <f t="shared" ref="AF47:AF62" si="53">AC47*2</f>
        <v>79122984</v>
      </c>
      <c r="AG47" s="439"/>
      <c r="AH47" s="419">
        <f t="shared" si="0"/>
        <v>-80301371.659999996</v>
      </c>
      <c r="AI47" s="439"/>
      <c r="AJ47" s="439"/>
      <c r="AK47" s="439">
        <f t="shared" ref="AK47:AK62" si="54">AA47-W47</f>
        <v>-913012</v>
      </c>
      <c r="AL47" s="439">
        <f t="shared" ref="AL47:AL62" si="55">AA47-AF47</f>
        <v>1327016</v>
      </c>
      <c r="AM47" s="439">
        <f t="shared" ref="AM47:AM62" si="56">AA47-AD47</f>
        <v>2331956.8700000048</v>
      </c>
      <c r="AN47" s="438"/>
      <c r="AO47" s="438"/>
      <c r="AP47" s="438"/>
    </row>
    <row r="48" spans="1:42" ht="12.75">
      <c r="A48" s="412">
        <v>45</v>
      </c>
      <c r="B48" s="431" t="s">
        <v>1519</v>
      </c>
      <c r="C48" s="432" t="s">
        <v>514</v>
      </c>
      <c r="D48" s="433" t="s">
        <v>5038</v>
      </c>
      <c r="E48" s="434">
        <f>SUM('PROSPETTO CE_IV TRIM 2024'!BM123:BM124)</f>
        <v>16801541</v>
      </c>
      <c r="F48" s="439">
        <f t="shared" si="51"/>
        <v>16801541</v>
      </c>
      <c r="G48" s="439">
        <v>16512343.27</v>
      </c>
      <c r="H48" s="439">
        <v>16801541</v>
      </c>
      <c r="I48" s="435">
        <f t="shared" si="7"/>
        <v>0</v>
      </c>
      <c r="J48" s="435">
        <f t="shared" si="8"/>
        <v>-851</v>
      </c>
      <c r="K48" s="439">
        <v>16802392</v>
      </c>
      <c r="L48" s="439">
        <v>16802392</v>
      </c>
      <c r="M48" s="439">
        <f t="shared" si="9"/>
        <v>375951.14285714179</v>
      </c>
      <c r="N48" s="439">
        <v>17470004</v>
      </c>
      <c r="O48" s="439">
        <v>16970004</v>
      </c>
      <c r="P48" s="440">
        <v>16425589.857142858</v>
      </c>
      <c r="Q48" s="439">
        <v>16512343.27</v>
      </c>
      <c r="R48" s="439">
        <f t="shared" si="3"/>
        <v>-1044414.1428571418</v>
      </c>
      <c r="S48" s="439">
        <f t="shared" si="4"/>
        <v>-957660.73000000045</v>
      </c>
      <c r="T48" s="441">
        <f t="shared" si="42"/>
        <v>2.2375991753205362</v>
      </c>
      <c r="U48" s="439">
        <v>12324260</v>
      </c>
      <c r="V48" s="439">
        <f t="shared" si="52"/>
        <v>16425589.857142858</v>
      </c>
      <c r="W48" s="439">
        <v>17683762</v>
      </c>
      <c r="X48" s="439">
        <v>16512343.27</v>
      </c>
      <c r="Y48" s="435">
        <f t="shared" si="6"/>
        <v>18328953.818181816</v>
      </c>
      <c r="Z48" s="439">
        <v>16425589.857142858</v>
      </c>
      <c r="AA48" s="439">
        <v>16425589.857142858</v>
      </c>
      <c r="AB48" s="439">
        <v>4420941</v>
      </c>
      <c r="AC48" s="439">
        <v>5517482</v>
      </c>
      <c r="AD48" s="439">
        <v>16512343.27</v>
      </c>
      <c r="AE48" s="439"/>
      <c r="AF48" s="439">
        <f t="shared" si="53"/>
        <v>11034964</v>
      </c>
      <c r="AG48" s="439"/>
      <c r="AH48" s="419">
        <f t="shared" si="0"/>
        <v>-16801541</v>
      </c>
      <c r="AI48" s="439"/>
      <c r="AJ48" s="439"/>
      <c r="AK48" s="439">
        <f t="shared" si="54"/>
        <v>-1258172.1428571418</v>
      </c>
      <c r="AL48" s="439">
        <f t="shared" si="55"/>
        <v>5390625.8571428582</v>
      </c>
      <c r="AM48" s="439">
        <f t="shared" si="56"/>
        <v>-86753.412857141346</v>
      </c>
      <c r="AN48" s="438"/>
      <c r="AO48" s="438"/>
      <c r="AP48" s="438"/>
    </row>
    <row r="49" spans="1:42" ht="12.75">
      <c r="A49" s="412">
        <v>46</v>
      </c>
      <c r="B49" s="444" t="s">
        <v>1519</v>
      </c>
      <c r="C49" s="432" t="s">
        <v>5042</v>
      </c>
      <c r="D49" s="433" t="s">
        <v>5046</v>
      </c>
      <c r="E49" s="434">
        <f>'PROSPETTO CE_IV TRIM 2024'!BM125</f>
        <v>3665206</v>
      </c>
      <c r="F49" s="439">
        <f t="shared" si="51"/>
        <v>3665206</v>
      </c>
      <c r="G49" s="439">
        <v>3267105</v>
      </c>
      <c r="H49" s="439">
        <v>3665206</v>
      </c>
      <c r="I49" s="435">
        <f t="shared" si="7"/>
        <v>0</v>
      </c>
      <c r="J49" s="435">
        <f t="shared" si="8"/>
        <v>86291</v>
      </c>
      <c r="K49" s="439">
        <v>3578915</v>
      </c>
      <c r="L49" s="439">
        <v>3578915</v>
      </c>
      <c r="M49" s="439">
        <f t="shared" si="9"/>
        <v>97889.5</v>
      </c>
      <c r="N49" s="439">
        <v>3579703</v>
      </c>
      <c r="O49" s="439">
        <v>3579703</v>
      </c>
      <c r="P49" s="440">
        <v>3567316.5</v>
      </c>
      <c r="Q49" s="439">
        <v>3267105</v>
      </c>
      <c r="R49" s="439">
        <f t="shared" si="3"/>
        <v>-12386.5</v>
      </c>
      <c r="S49" s="439">
        <f t="shared" si="4"/>
        <v>-312598</v>
      </c>
      <c r="T49" s="441">
        <f t="shared" si="42"/>
        <v>2.6707775770311408</v>
      </c>
      <c r="U49" s="439">
        <v>2687050</v>
      </c>
      <c r="V49" s="439">
        <f t="shared" si="52"/>
        <v>3567316.5</v>
      </c>
      <c r="W49" s="439">
        <v>3389296</v>
      </c>
      <c r="X49" s="439">
        <v>3267105</v>
      </c>
      <c r="Y49" s="435">
        <f t="shared" si="6"/>
        <v>3998406.5454545459</v>
      </c>
      <c r="Z49" s="439">
        <v>3567316.5</v>
      </c>
      <c r="AA49" s="439">
        <v>3567316.5</v>
      </c>
      <c r="AB49" s="439">
        <v>847324</v>
      </c>
      <c r="AC49" s="439">
        <v>1763893</v>
      </c>
      <c r="AD49" s="439">
        <v>3267105</v>
      </c>
      <c r="AE49" s="439"/>
      <c r="AF49" s="439">
        <f t="shared" si="53"/>
        <v>3527786</v>
      </c>
      <c r="AG49" s="439"/>
      <c r="AH49" s="419">
        <f t="shared" si="0"/>
        <v>-3665206</v>
      </c>
      <c r="AI49" s="439"/>
      <c r="AJ49" s="439"/>
      <c r="AK49" s="439">
        <f t="shared" si="54"/>
        <v>178020.5</v>
      </c>
      <c r="AL49" s="439">
        <f t="shared" si="55"/>
        <v>39530.5</v>
      </c>
      <c r="AM49" s="439">
        <f t="shared" si="56"/>
        <v>300211.5</v>
      </c>
      <c r="AN49" s="438"/>
      <c r="AO49" s="438"/>
      <c r="AP49" s="438"/>
    </row>
    <row r="50" spans="1:42" ht="25.5">
      <c r="A50" s="412">
        <v>47</v>
      </c>
      <c r="B50" s="444" t="s">
        <v>1519</v>
      </c>
      <c r="C50" s="432" t="s">
        <v>515</v>
      </c>
      <c r="D50" s="433" t="s">
        <v>5050</v>
      </c>
      <c r="E50" s="434">
        <f>'PROSPETTO CE_IV TRIM 2024'!BM126</f>
        <v>0</v>
      </c>
      <c r="F50" s="439">
        <f t="shared" si="51"/>
        <v>0</v>
      </c>
      <c r="G50" s="439">
        <v>0</v>
      </c>
      <c r="H50" s="439">
        <v>0</v>
      </c>
      <c r="I50" s="435">
        <f t="shared" si="7"/>
        <v>0</v>
      </c>
      <c r="J50" s="435">
        <f t="shared" si="8"/>
        <v>0</v>
      </c>
      <c r="K50" s="439">
        <v>0</v>
      </c>
      <c r="L50" s="439">
        <v>0</v>
      </c>
      <c r="M50" s="439">
        <f t="shared" si="9"/>
        <v>0</v>
      </c>
      <c r="N50" s="439">
        <v>0</v>
      </c>
      <c r="O50" s="439">
        <v>0</v>
      </c>
      <c r="P50" s="440">
        <v>0</v>
      </c>
      <c r="Q50" s="439">
        <v>0</v>
      </c>
      <c r="R50" s="439">
        <f t="shared" si="3"/>
        <v>0</v>
      </c>
      <c r="S50" s="439">
        <f t="shared" si="4"/>
        <v>0</v>
      </c>
      <c r="T50" s="441"/>
      <c r="U50" s="439">
        <v>0</v>
      </c>
      <c r="V50" s="439">
        <f t="shared" si="52"/>
        <v>0</v>
      </c>
      <c r="W50" s="439">
        <v>0</v>
      </c>
      <c r="X50" s="439">
        <v>0</v>
      </c>
      <c r="Y50" s="435">
        <f t="shared" si="6"/>
        <v>0</v>
      </c>
      <c r="Z50" s="439">
        <v>0</v>
      </c>
      <c r="AA50" s="439">
        <v>0</v>
      </c>
      <c r="AB50" s="439">
        <v>0</v>
      </c>
      <c r="AC50" s="439">
        <v>0</v>
      </c>
      <c r="AD50" s="439">
        <v>0</v>
      </c>
      <c r="AE50" s="439"/>
      <c r="AF50" s="439">
        <f t="shared" si="53"/>
        <v>0</v>
      </c>
      <c r="AG50" s="439"/>
      <c r="AH50" s="419">
        <f t="shared" si="0"/>
        <v>0</v>
      </c>
      <c r="AI50" s="439"/>
      <c r="AJ50" s="439"/>
      <c r="AK50" s="439">
        <f t="shared" si="54"/>
        <v>0</v>
      </c>
      <c r="AL50" s="439">
        <f t="shared" si="55"/>
        <v>0</v>
      </c>
      <c r="AM50" s="439">
        <f t="shared" si="56"/>
        <v>0</v>
      </c>
      <c r="AN50" s="438"/>
      <c r="AO50" s="438"/>
      <c r="AP50" s="438"/>
    </row>
    <row r="51" spans="1:42" ht="12.75">
      <c r="A51" s="412">
        <v>48</v>
      </c>
      <c r="B51" s="444" t="s">
        <v>1519</v>
      </c>
      <c r="C51" s="432" t="s">
        <v>516</v>
      </c>
      <c r="D51" s="433" t="s">
        <v>5054</v>
      </c>
      <c r="E51" s="434">
        <f>SUM('PROSPETTO CE_IV TRIM 2024'!BM127:BM128)</f>
        <v>80515585</v>
      </c>
      <c r="F51" s="439">
        <f t="shared" si="51"/>
        <v>80515585</v>
      </c>
      <c r="G51" s="439">
        <v>74322862.189999998</v>
      </c>
      <c r="H51" s="439">
        <v>80515585</v>
      </c>
      <c r="I51" s="435">
        <f t="shared" si="7"/>
        <v>0</v>
      </c>
      <c r="J51" s="435">
        <f t="shared" si="8"/>
        <v>-2015342</v>
      </c>
      <c r="K51" s="439">
        <v>82530927</v>
      </c>
      <c r="L51" s="439">
        <v>82530927</v>
      </c>
      <c r="M51" s="439">
        <f t="shared" si="9"/>
        <v>-2623467.1099999994</v>
      </c>
      <c r="N51" s="439">
        <v>82646058</v>
      </c>
      <c r="O51" s="439">
        <v>82646058</v>
      </c>
      <c r="P51" s="443">
        <v>83139052.109999999</v>
      </c>
      <c r="Q51" s="439">
        <v>74322862.189999998</v>
      </c>
      <c r="R51" s="439">
        <f t="shared" si="3"/>
        <v>492994.1099999994</v>
      </c>
      <c r="S51" s="439">
        <f t="shared" si="4"/>
        <v>-8323195.8100000024</v>
      </c>
      <c r="T51" s="441">
        <f>(F51-P51)/F51*100</f>
        <v>-3.2583345323765571</v>
      </c>
      <c r="U51" s="439">
        <v>62383268</v>
      </c>
      <c r="V51" s="439">
        <f t="shared" si="52"/>
        <v>83139052.109999999</v>
      </c>
      <c r="W51" s="439">
        <v>81652349.930000007</v>
      </c>
      <c r="X51" s="439">
        <v>74322862.189999998</v>
      </c>
      <c r="Y51" s="435">
        <f t="shared" si="6"/>
        <v>87835183.63636364</v>
      </c>
      <c r="Z51" s="439">
        <v>83139052.109999999</v>
      </c>
      <c r="AA51" s="439">
        <v>83139052.109999999</v>
      </c>
      <c r="AB51" s="439">
        <v>20413088</v>
      </c>
      <c r="AC51" s="439">
        <v>41445466</v>
      </c>
      <c r="AD51" s="439">
        <v>74322862.189999998</v>
      </c>
      <c r="AE51" s="439"/>
      <c r="AF51" s="439">
        <f t="shared" si="53"/>
        <v>82890932</v>
      </c>
      <c r="AG51" s="439"/>
      <c r="AH51" s="419">
        <f t="shared" si="0"/>
        <v>-80515585</v>
      </c>
      <c r="AI51" s="439"/>
      <c r="AJ51" s="439"/>
      <c r="AK51" s="439">
        <f t="shared" si="54"/>
        <v>1486702.1799999923</v>
      </c>
      <c r="AL51" s="439">
        <f t="shared" si="55"/>
        <v>248120.1099999994</v>
      </c>
      <c r="AM51" s="439">
        <f t="shared" si="56"/>
        <v>8816189.9200000018</v>
      </c>
      <c r="AN51" s="438"/>
      <c r="AO51" s="438"/>
      <c r="AP51" s="438"/>
    </row>
    <row r="52" spans="1:42" ht="12.75">
      <c r="A52" s="412">
        <v>49</v>
      </c>
      <c r="B52" s="444" t="s">
        <v>1519</v>
      </c>
      <c r="C52" s="432" t="s">
        <v>517</v>
      </c>
      <c r="D52" s="433" t="s">
        <v>5062</v>
      </c>
      <c r="E52" s="434">
        <f>'PROSPETTO CE_IV TRIM 2024'!BM129</f>
        <v>0</v>
      </c>
      <c r="F52" s="439">
        <f t="shared" si="51"/>
        <v>0</v>
      </c>
      <c r="G52" s="439">
        <v>0</v>
      </c>
      <c r="H52" s="439">
        <v>0</v>
      </c>
      <c r="I52" s="435">
        <f t="shared" si="7"/>
        <v>0</v>
      </c>
      <c r="J52" s="435">
        <f t="shared" si="8"/>
        <v>0</v>
      </c>
      <c r="K52" s="439">
        <v>0</v>
      </c>
      <c r="L52" s="439">
        <v>0</v>
      </c>
      <c r="M52" s="439">
        <f t="shared" si="9"/>
        <v>0</v>
      </c>
      <c r="N52" s="439">
        <v>0</v>
      </c>
      <c r="O52" s="439">
        <v>0</v>
      </c>
      <c r="P52" s="440">
        <v>0</v>
      </c>
      <c r="Q52" s="439">
        <v>0</v>
      </c>
      <c r="R52" s="439">
        <f t="shared" si="3"/>
        <v>0</v>
      </c>
      <c r="S52" s="439">
        <f t="shared" si="4"/>
        <v>0</v>
      </c>
      <c r="T52" s="441"/>
      <c r="U52" s="439">
        <v>0</v>
      </c>
      <c r="V52" s="439">
        <f t="shared" si="52"/>
        <v>0</v>
      </c>
      <c r="W52" s="439">
        <v>0</v>
      </c>
      <c r="X52" s="439">
        <v>0</v>
      </c>
      <c r="Y52" s="435">
        <f t="shared" si="6"/>
        <v>0</v>
      </c>
      <c r="Z52" s="439">
        <v>0</v>
      </c>
      <c r="AA52" s="439">
        <v>0</v>
      </c>
      <c r="AB52" s="439">
        <v>0</v>
      </c>
      <c r="AC52" s="439">
        <v>0</v>
      </c>
      <c r="AD52" s="439">
        <v>0</v>
      </c>
      <c r="AE52" s="439"/>
      <c r="AF52" s="439">
        <f t="shared" si="53"/>
        <v>0</v>
      </c>
      <c r="AG52" s="439"/>
      <c r="AH52" s="419">
        <f t="shared" si="0"/>
        <v>0</v>
      </c>
      <c r="AI52" s="439"/>
      <c r="AJ52" s="439"/>
      <c r="AK52" s="439">
        <f t="shared" si="54"/>
        <v>0</v>
      </c>
      <c r="AL52" s="439">
        <f t="shared" si="55"/>
        <v>0</v>
      </c>
      <c r="AM52" s="439">
        <f t="shared" si="56"/>
        <v>0</v>
      </c>
      <c r="AN52" s="438"/>
      <c r="AO52" s="438"/>
      <c r="AP52" s="438"/>
    </row>
    <row r="53" spans="1:42" ht="12.75">
      <c r="A53" s="412">
        <v>50</v>
      </c>
      <c r="B53" s="444" t="s">
        <v>1519</v>
      </c>
      <c r="C53" s="432" t="s">
        <v>518</v>
      </c>
      <c r="D53" s="433" t="s">
        <v>5066</v>
      </c>
      <c r="E53" s="434">
        <f>'PROSPETTO CE_IV TRIM 2024'!BM130</f>
        <v>0</v>
      </c>
      <c r="F53" s="439">
        <f t="shared" si="51"/>
        <v>0</v>
      </c>
      <c r="G53" s="439">
        <v>0</v>
      </c>
      <c r="H53" s="439">
        <v>0</v>
      </c>
      <c r="I53" s="435">
        <f t="shared" si="7"/>
        <v>0</v>
      </c>
      <c r="J53" s="435">
        <f t="shared" si="8"/>
        <v>0</v>
      </c>
      <c r="K53" s="439">
        <v>0</v>
      </c>
      <c r="L53" s="439">
        <v>0</v>
      </c>
      <c r="M53" s="439">
        <f t="shared" si="9"/>
        <v>0</v>
      </c>
      <c r="N53" s="439">
        <v>0</v>
      </c>
      <c r="O53" s="439">
        <v>0</v>
      </c>
      <c r="P53" s="440">
        <v>0</v>
      </c>
      <c r="Q53" s="439">
        <v>0</v>
      </c>
      <c r="R53" s="439">
        <f t="shared" si="3"/>
        <v>0</v>
      </c>
      <c r="S53" s="439">
        <f t="shared" si="4"/>
        <v>0</v>
      </c>
      <c r="T53" s="441"/>
      <c r="U53" s="439">
        <v>0</v>
      </c>
      <c r="V53" s="439">
        <f t="shared" si="52"/>
        <v>0</v>
      </c>
      <c r="W53" s="439">
        <v>0</v>
      </c>
      <c r="X53" s="439">
        <v>0</v>
      </c>
      <c r="Y53" s="435">
        <f t="shared" si="6"/>
        <v>0</v>
      </c>
      <c r="Z53" s="439">
        <v>0</v>
      </c>
      <c r="AA53" s="439">
        <v>0</v>
      </c>
      <c r="AB53" s="439">
        <v>0</v>
      </c>
      <c r="AC53" s="439">
        <v>0</v>
      </c>
      <c r="AD53" s="439">
        <v>0</v>
      </c>
      <c r="AE53" s="439"/>
      <c r="AF53" s="439">
        <f t="shared" si="53"/>
        <v>0</v>
      </c>
      <c r="AG53" s="439"/>
      <c r="AH53" s="419">
        <f t="shared" si="0"/>
        <v>0</v>
      </c>
      <c r="AI53" s="439"/>
      <c r="AJ53" s="439"/>
      <c r="AK53" s="439">
        <f t="shared" si="54"/>
        <v>0</v>
      </c>
      <c r="AL53" s="439">
        <f t="shared" si="55"/>
        <v>0</v>
      </c>
      <c r="AM53" s="439">
        <f t="shared" si="56"/>
        <v>0</v>
      </c>
      <c r="AN53" s="438"/>
      <c r="AO53" s="438"/>
      <c r="AP53" s="438"/>
    </row>
    <row r="54" spans="1:42" ht="12.75">
      <c r="A54" s="412">
        <v>51</v>
      </c>
      <c r="B54" s="431" t="s">
        <v>1519</v>
      </c>
      <c r="C54" s="432" t="s">
        <v>519</v>
      </c>
      <c r="D54" s="433" t="s">
        <v>5070</v>
      </c>
      <c r="E54" s="434">
        <f>'PROSPETTO CE_IV TRIM 2024'!BM131</f>
        <v>0</v>
      </c>
      <c r="F54" s="439">
        <f t="shared" si="51"/>
        <v>0</v>
      </c>
      <c r="G54" s="439">
        <v>0</v>
      </c>
      <c r="H54" s="439">
        <v>0</v>
      </c>
      <c r="I54" s="435">
        <f t="shared" si="7"/>
        <v>0</v>
      </c>
      <c r="J54" s="435">
        <f t="shared" si="8"/>
        <v>0</v>
      </c>
      <c r="K54" s="439">
        <v>0</v>
      </c>
      <c r="L54" s="439">
        <v>0</v>
      </c>
      <c r="M54" s="439">
        <f t="shared" si="9"/>
        <v>0</v>
      </c>
      <c r="N54" s="439">
        <v>0</v>
      </c>
      <c r="O54" s="439">
        <v>0</v>
      </c>
      <c r="P54" s="440">
        <v>0</v>
      </c>
      <c r="Q54" s="439">
        <v>0</v>
      </c>
      <c r="R54" s="439">
        <f t="shared" si="3"/>
        <v>0</v>
      </c>
      <c r="S54" s="439">
        <f t="shared" si="4"/>
        <v>0</v>
      </c>
      <c r="T54" s="441"/>
      <c r="U54" s="439">
        <v>0</v>
      </c>
      <c r="V54" s="439">
        <f t="shared" si="52"/>
        <v>0</v>
      </c>
      <c r="W54" s="439">
        <v>0</v>
      </c>
      <c r="X54" s="439">
        <v>0</v>
      </c>
      <c r="Y54" s="435">
        <f t="shared" si="6"/>
        <v>0</v>
      </c>
      <c r="Z54" s="439">
        <v>0</v>
      </c>
      <c r="AA54" s="439">
        <v>0</v>
      </c>
      <c r="AB54" s="439">
        <v>0</v>
      </c>
      <c r="AC54" s="439">
        <v>0</v>
      </c>
      <c r="AD54" s="439">
        <v>0</v>
      </c>
      <c r="AE54" s="439"/>
      <c r="AF54" s="439">
        <f t="shared" si="53"/>
        <v>0</v>
      </c>
      <c r="AG54" s="439"/>
      <c r="AH54" s="419">
        <f t="shared" si="0"/>
        <v>0</v>
      </c>
      <c r="AI54" s="439"/>
      <c r="AJ54" s="439"/>
      <c r="AK54" s="439">
        <f t="shared" si="54"/>
        <v>0</v>
      </c>
      <c r="AL54" s="439">
        <f t="shared" si="55"/>
        <v>0</v>
      </c>
      <c r="AM54" s="439">
        <f t="shared" si="56"/>
        <v>0</v>
      </c>
      <c r="AN54" s="438"/>
      <c r="AO54" s="438"/>
      <c r="AP54" s="438"/>
    </row>
    <row r="55" spans="1:42" ht="12.75">
      <c r="A55" s="412">
        <v>52</v>
      </c>
      <c r="B55" s="431" t="s">
        <v>1519</v>
      </c>
      <c r="C55" s="432" t="s">
        <v>520</v>
      </c>
      <c r="D55" s="433" t="s">
        <v>5074</v>
      </c>
      <c r="E55" s="434">
        <f>'PROSPETTO CE_IV TRIM 2024'!BM132</f>
        <v>0</v>
      </c>
      <c r="F55" s="439">
        <f t="shared" si="51"/>
        <v>0</v>
      </c>
      <c r="G55" s="439">
        <v>0</v>
      </c>
      <c r="H55" s="439">
        <v>0</v>
      </c>
      <c r="I55" s="435">
        <f t="shared" si="7"/>
        <v>0</v>
      </c>
      <c r="J55" s="435">
        <f t="shared" si="8"/>
        <v>0</v>
      </c>
      <c r="K55" s="439">
        <v>0</v>
      </c>
      <c r="L55" s="439">
        <v>0</v>
      </c>
      <c r="M55" s="439">
        <f t="shared" si="9"/>
        <v>0</v>
      </c>
      <c r="N55" s="439">
        <v>0</v>
      </c>
      <c r="O55" s="439">
        <v>0</v>
      </c>
      <c r="P55" s="440">
        <v>0</v>
      </c>
      <c r="Q55" s="439">
        <v>0</v>
      </c>
      <c r="R55" s="439">
        <f t="shared" si="3"/>
        <v>0</v>
      </c>
      <c r="S55" s="439">
        <f t="shared" si="4"/>
        <v>0</v>
      </c>
      <c r="T55" s="441"/>
      <c r="U55" s="439">
        <v>0</v>
      </c>
      <c r="V55" s="439">
        <f t="shared" si="52"/>
        <v>0</v>
      </c>
      <c r="W55" s="439">
        <v>0</v>
      </c>
      <c r="X55" s="439">
        <v>0</v>
      </c>
      <c r="Y55" s="435">
        <f t="shared" si="6"/>
        <v>0</v>
      </c>
      <c r="Z55" s="439">
        <v>0</v>
      </c>
      <c r="AA55" s="439">
        <v>0</v>
      </c>
      <c r="AB55" s="439">
        <v>0</v>
      </c>
      <c r="AC55" s="439">
        <v>0</v>
      </c>
      <c r="AD55" s="439">
        <v>0</v>
      </c>
      <c r="AE55" s="439"/>
      <c r="AF55" s="439">
        <f t="shared" si="53"/>
        <v>0</v>
      </c>
      <c r="AG55" s="439"/>
      <c r="AH55" s="419">
        <f t="shared" si="0"/>
        <v>0</v>
      </c>
      <c r="AI55" s="439"/>
      <c r="AJ55" s="439"/>
      <c r="AK55" s="439">
        <f t="shared" si="54"/>
        <v>0</v>
      </c>
      <c r="AL55" s="439">
        <f t="shared" si="55"/>
        <v>0</v>
      </c>
      <c r="AM55" s="439">
        <f t="shared" si="56"/>
        <v>0</v>
      </c>
      <c r="AN55" s="438"/>
      <c r="AO55" s="438"/>
      <c r="AP55" s="438"/>
    </row>
    <row r="56" spans="1:42" ht="12.75">
      <c r="A56" s="412">
        <v>53</v>
      </c>
      <c r="B56" s="431" t="s">
        <v>1519</v>
      </c>
      <c r="C56" s="432" t="s">
        <v>5075</v>
      </c>
      <c r="D56" s="433" t="s">
        <v>5080</v>
      </c>
      <c r="E56" s="434">
        <f>'PROSPETTO CE_IV TRIM 2024'!BM133</f>
        <v>0</v>
      </c>
      <c r="F56" s="439">
        <f t="shared" si="51"/>
        <v>0</v>
      </c>
      <c r="G56" s="439">
        <v>0</v>
      </c>
      <c r="H56" s="439">
        <v>0</v>
      </c>
      <c r="I56" s="435">
        <f t="shared" si="7"/>
        <v>0</v>
      </c>
      <c r="J56" s="435">
        <f t="shared" si="8"/>
        <v>0</v>
      </c>
      <c r="K56" s="439">
        <v>0</v>
      </c>
      <c r="L56" s="439">
        <v>0</v>
      </c>
      <c r="M56" s="439">
        <f t="shared" si="9"/>
        <v>0</v>
      </c>
      <c r="N56" s="439">
        <v>0</v>
      </c>
      <c r="O56" s="439">
        <v>0</v>
      </c>
      <c r="P56" s="440">
        <v>0</v>
      </c>
      <c r="Q56" s="439">
        <v>0</v>
      </c>
      <c r="R56" s="439">
        <f t="shared" si="3"/>
        <v>0</v>
      </c>
      <c r="S56" s="439">
        <f t="shared" si="4"/>
        <v>0</v>
      </c>
      <c r="T56" s="441"/>
      <c r="U56" s="439">
        <v>0</v>
      </c>
      <c r="V56" s="439">
        <f t="shared" si="52"/>
        <v>0</v>
      </c>
      <c r="W56" s="439">
        <v>0</v>
      </c>
      <c r="X56" s="439">
        <v>0</v>
      </c>
      <c r="Y56" s="435">
        <f t="shared" si="6"/>
        <v>0</v>
      </c>
      <c r="Z56" s="439">
        <v>0</v>
      </c>
      <c r="AA56" s="439">
        <v>0</v>
      </c>
      <c r="AB56" s="439">
        <v>0</v>
      </c>
      <c r="AC56" s="439">
        <v>0</v>
      </c>
      <c r="AD56" s="439">
        <v>0</v>
      </c>
      <c r="AE56" s="439"/>
      <c r="AF56" s="439">
        <f t="shared" si="53"/>
        <v>0</v>
      </c>
      <c r="AG56" s="439"/>
      <c r="AH56" s="419">
        <f t="shared" si="0"/>
        <v>0</v>
      </c>
      <c r="AI56" s="439"/>
      <c r="AJ56" s="439"/>
      <c r="AK56" s="439">
        <f t="shared" si="54"/>
        <v>0</v>
      </c>
      <c r="AL56" s="439">
        <f t="shared" si="55"/>
        <v>0</v>
      </c>
      <c r="AM56" s="439">
        <f t="shared" si="56"/>
        <v>0</v>
      </c>
      <c r="AN56" s="438"/>
      <c r="AO56" s="438"/>
      <c r="AP56" s="438"/>
    </row>
    <row r="57" spans="1:42" ht="12.75">
      <c r="A57" s="412">
        <v>54</v>
      </c>
      <c r="B57" s="431" t="s">
        <v>1519</v>
      </c>
      <c r="C57" s="432" t="s">
        <v>5081</v>
      </c>
      <c r="D57" s="433" t="s">
        <v>5086</v>
      </c>
      <c r="E57" s="434">
        <f>'PROSPETTO CE_IV TRIM 2024'!BM134</f>
        <v>0</v>
      </c>
      <c r="F57" s="439">
        <f t="shared" si="51"/>
        <v>0</v>
      </c>
      <c r="G57" s="439">
        <v>0</v>
      </c>
      <c r="H57" s="439">
        <v>0</v>
      </c>
      <c r="I57" s="435">
        <f t="shared" si="7"/>
        <v>0</v>
      </c>
      <c r="J57" s="435">
        <f t="shared" si="8"/>
        <v>0</v>
      </c>
      <c r="K57" s="439">
        <v>0</v>
      </c>
      <c r="L57" s="439">
        <v>0</v>
      </c>
      <c r="M57" s="439">
        <f t="shared" si="9"/>
        <v>0</v>
      </c>
      <c r="N57" s="439">
        <v>0</v>
      </c>
      <c r="O57" s="439">
        <v>0</v>
      </c>
      <c r="P57" s="440">
        <v>0</v>
      </c>
      <c r="Q57" s="439">
        <v>0</v>
      </c>
      <c r="R57" s="439">
        <f t="shared" si="3"/>
        <v>0</v>
      </c>
      <c r="S57" s="439">
        <f t="shared" si="4"/>
        <v>0</v>
      </c>
      <c r="T57" s="441"/>
      <c r="U57" s="439">
        <v>0</v>
      </c>
      <c r="V57" s="439">
        <f t="shared" si="52"/>
        <v>0</v>
      </c>
      <c r="W57" s="439">
        <v>0</v>
      </c>
      <c r="X57" s="439">
        <v>0</v>
      </c>
      <c r="Y57" s="435">
        <f t="shared" si="6"/>
        <v>0</v>
      </c>
      <c r="Z57" s="439">
        <v>0</v>
      </c>
      <c r="AA57" s="439">
        <v>0</v>
      </c>
      <c r="AB57" s="439">
        <v>0</v>
      </c>
      <c r="AC57" s="439">
        <v>0</v>
      </c>
      <c r="AD57" s="439">
        <v>0</v>
      </c>
      <c r="AE57" s="439"/>
      <c r="AF57" s="439">
        <f t="shared" si="53"/>
        <v>0</v>
      </c>
      <c r="AG57" s="439"/>
      <c r="AH57" s="419">
        <f t="shared" si="0"/>
        <v>0</v>
      </c>
      <c r="AI57" s="439"/>
      <c r="AJ57" s="439"/>
      <c r="AK57" s="439">
        <f t="shared" si="54"/>
        <v>0</v>
      </c>
      <c r="AL57" s="439">
        <f t="shared" si="55"/>
        <v>0</v>
      </c>
      <c r="AM57" s="439">
        <f t="shared" si="56"/>
        <v>0</v>
      </c>
      <c r="AN57" s="438"/>
      <c r="AO57" s="438"/>
      <c r="AP57" s="438"/>
    </row>
    <row r="58" spans="1:42" ht="12.75">
      <c r="A58" s="412">
        <v>55</v>
      </c>
      <c r="B58" s="431" t="s">
        <v>1519</v>
      </c>
      <c r="C58" s="432" t="s">
        <v>5087</v>
      </c>
      <c r="D58" s="433" t="s">
        <v>5092</v>
      </c>
      <c r="E58" s="434">
        <f>'PROSPETTO CE_IV TRIM 2024'!BM135</f>
        <v>0</v>
      </c>
      <c r="F58" s="439">
        <f t="shared" si="51"/>
        <v>0</v>
      </c>
      <c r="G58" s="439">
        <v>0</v>
      </c>
      <c r="H58" s="439">
        <v>0</v>
      </c>
      <c r="I58" s="435">
        <f t="shared" si="7"/>
        <v>0</v>
      </c>
      <c r="J58" s="435">
        <f t="shared" si="8"/>
        <v>0</v>
      </c>
      <c r="K58" s="439">
        <v>0</v>
      </c>
      <c r="L58" s="439">
        <v>0</v>
      </c>
      <c r="M58" s="439">
        <f t="shared" si="9"/>
        <v>0</v>
      </c>
      <c r="N58" s="439">
        <v>0</v>
      </c>
      <c r="O58" s="439">
        <v>0</v>
      </c>
      <c r="P58" s="440">
        <v>0</v>
      </c>
      <c r="Q58" s="439">
        <v>0</v>
      </c>
      <c r="R58" s="439">
        <f t="shared" si="3"/>
        <v>0</v>
      </c>
      <c r="S58" s="439">
        <f t="shared" si="4"/>
        <v>0</v>
      </c>
      <c r="T58" s="441"/>
      <c r="U58" s="439">
        <v>0</v>
      </c>
      <c r="V58" s="439">
        <f t="shared" si="52"/>
        <v>0</v>
      </c>
      <c r="W58" s="439">
        <v>0</v>
      </c>
      <c r="X58" s="439">
        <v>0</v>
      </c>
      <c r="Y58" s="435">
        <f t="shared" si="6"/>
        <v>0</v>
      </c>
      <c r="Z58" s="439">
        <v>0</v>
      </c>
      <c r="AA58" s="439">
        <v>0</v>
      </c>
      <c r="AB58" s="439">
        <v>0</v>
      </c>
      <c r="AC58" s="439">
        <v>0</v>
      </c>
      <c r="AD58" s="439">
        <v>0</v>
      </c>
      <c r="AE58" s="439"/>
      <c r="AF58" s="439">
        <f t="shared" si="53"/>
        <v>0</v>
      </c>
      <c r="AG58" s="439"/>
      <c r="AH58" s="419">
        <f t="shared" si="0"/>
        <v>0</v>
      </c>
      <c r="AI58" s="439"/>
      <c r="AJ58" s="439"/>
      <c r="AK58" s="439">
        <f t="shared" si="54"/>
        <v>0</v>
      </c>
      <c r="AL58" s="439">
        <f t="shared" si="55"/>
        <v>0</v>
      </c>
      <c r="AM58" s="439">
        <f t="shared" si="56"/>
        <v>0</v>
      </c>
      <c r="AN58" s="438"/>
      <c r="AO58" s="438"/>
      <c r="AP58" s="438"/>
    </row>
    <row r="59" spans="1:42" ht="25.5">
      <c r="A59" s="412">
        <v>56</v>
      </c>
      <c r="B59" s="431" t="s">
        <v>1519</v>
      </c>
      <c r="C59" s="432" t="s">
        <v>5093</v>
      </c>
      <c r="D59" s="433" t="s">
        <v>5096</v>
      </c>
      <c r="E59" s="434">
        <f>'PROSPETTO CE_IV TRIM 2024'!BM136</f>
        <v>433099</v>
      </c>
      <c r="F59" s="439">
        <f t="shared" si="51"/>
        <v>433099</v>
      </c>
      <c r="G59" s="439">
        <v>40773.589999999997</v>
      </c>
      <c r="H59" s="439">
        <v>433099</v>
      </c>
      <c r="I59" s="435">
        <f t="shared" si="7"/>
        <v>0</v>
      </c>
      <c r="J59" s="435">
        <f t="shared" si="8"/>
        <v>0</v>
      </c>
      <c r="K59" s="439">
        <v>433099</v>
      </c>
      <c r="L59" s="439">
        <v>432156.5</v>
      </c>
      <c r="M59" s="439">
        <f t="shared" si="9"/>
        <v>233099</v>
      </c>
      <c r="N59" s="439">
        <v>212395.18</v>
      </c>
      <c r="O59" s="439">
        <v>212395.18</v>
      </c>
      <c r="P59" s="440">
        <v>200000</v>
      </c>
      <c r="Q59" s="439">
        <v>40773.589999999997</v>
      </c>
      <c r="R59" s="439">
        <f t="shared" si="3"/>
        <v>-12395.179999999993</v>
      </c>
      <c r="S59" s="439">
        <f t="shared" si="4"/>
        <v>-171621.59</v>
      </c>
      <c r="T59" s="441">
        <f>(F59-P59)/F59*100</f>
        <v>53.821181762137527</v>
      </c>
      <c r="U59" s="439">
        <v>61947</v>
      </c>
      <c r="V59" s="439">
        <f t="shared" si="52"/>
        <v>200000</v>
      </c>
      <c r="W59" s="439">
        <v>0</v>
      </c>
      <c r="X59" s="439">
        <v>40773.589999999997</v>
      </c>
      <c r="Y59" s="435">
        <f t="shared" si="6"/>
        <v>472471.63636363635</v>
      </c>
      <c r="Z59" s="439">
        <v>40773.589999999997</v>
      </c>
      <c r="AA59" s="439">
        <v>200000</v>
      </c>
      <c r="AB59" s="439">
        <v>0</v>
      </c>
      <c r="AC59" s="439">
        <v>20386.794999999998</v>
      </c>
      <c r="AD59" s="439">
        <v>40773.589999999997</v>
      </c>
      <c r="AE59" s="439"/>
      <c r="AF59" s="439">
        <f t="shared" si="53"/>
        <v>40773.589999999997</v>
      </c>
      <c r="AG59" s="439"/>
      <c r="AH59" s="419">
        <f t="shared" si="0"/>
        <v>-433099</v>
      </c>
      <c r="AI59" s="439"/>
      <c r="AJ59" s="439"/>
      <c r="AK59" s="439">
        <f t="shared" si="54"/>
        <v>200000</v>
      </c>
      <c r="AL59" s="439">
        <f t="shared" si="55"/>
        <v>159226.41</v>
      </c>
      <c r="AM59" s="439">
        <f t="shared" si="56"/>
        <v>159226.41</v>
      </c>
      <c r="AN59" s="438" t="s">
        <v>11183</v>
      </c>
      <c r="AO59" s="438"/>
      <c r="AP59" s="438"/>
    </row>
    <row r="60" spans="1:42" ht="12.75">
      <c r="A60" s="412">
        <v>57</v>
      </c>
      <c r="B60" s="444" t="s">
        <v>1519</v>
      </c>
      <c r="C60" s="432" t="s">
        <v>5097</v>
      </c>
      <c r="D60" s="433" t="s">
        <v>5101</v>
      </c>
      <c r="E60" s="434">
        <f>'PROSPETTO CE_IV TRIM 2024'!BM137</f>
        <v>0</v>
      </c>
      <c r="F60" s="439">
        <f t="shared" si="51"/>
        <v>0</v>
      </c>
      <c r="G60" s="439">
        <v>0</v>
      </c>
      <c r="H60" s="439">
        <v>0</v>
      </c>
      <c r="I60" s="435">
        <f t="shared" si="7"/>
        <v>0</v>
      </c>
      <c r="J60" s="435">
        <f t="shared" si="8"/>
        <v>0</v>
      </c>
      <c r="K60" s="439">
        <v>0</v>
      </c>
      <c r="L60" s="439">
        <v>0</v>
      </c>
      <c r="M60" s="439">
        <f t="shared" si="9"/>
        <v>0</v>
      </c>
      <c r="N60" s="439">
        <v>0</v>
      </c>
      <c r="O60" s="439">
        <v>0</v>
      </c>
      <c r="P60" s="440">
        <v>0</v>
      </c>
      <c r="Q60" s="439">
        <v>0</v>
      </c>
      <c r="R60" s="439">
        <f t="shared" si="3"/>
        <v>0</v>
      </c>
      <c r="S60" s="439">
        <f t="shared" si="4"/>
        <v>0</v>
      </c>
      <c r="T60" s="441"/>
      <c r="U60" s="439">
        <v>0</v>
      </c>
      <c r="V60" s="439">
        <f t="shared" si="52"/>
        <v>0</v>
      </c>
      <c r="W60" s="439">
        <v>0</v>
      </c>
      <c r="X60" s="439">
        <v>0</v>
      </c>
      <c r="Y60" s="435">
        <f t="shared" si="6"/>
        <v>0</v>
      </c>
      <c r="Z60" s="439">
        <v>0</v>
      </c>
      <c r="AA60" s="439">
        <v>0</v>
      </c>
      <c r="AB60" s="439">
        <v>0</v>
      </c>
      <c r="AC60" s="439">
        <v>0</v>
      </c>
      <c r="AD60" s="439">
        <v>0</v>
      </c>
      <c r="AE60" s="439"/>
      <c r="AF60" s="439">
        <f t="shared" si="53"/>
        <v>0</v>
      </c>
      <c r="AG60" s="439"/>
      <c r="AH60" s="419">
        <f t="shared" si="0"/>
        <v>0</v>
      </c>
      <c r="AI60" s="439"/>
      <c r="AJ60" s="439"/>
      <c r="AK60" s="439">
        <f t="shared" si="54"/>
        <v>0</v>
      </c>
      <c r="AL60" s="439">
        <f t="shared" si="55"/>
        <v>0</v>
      </c>
      <c r="AM60" s="439">
        <f t="shared" si="56"/>
        <v>0</v>
      </c>
      <c r="AN60" s="438"/>
      <c r="AO60" s="438"/>
      <c r="AP60" s="438"/>
    </row>
    <row r="61" spans="1:42" ht="25.5">
      <c r="A61" s="412">
        <v>58</v>
      </c>
      <c r="B61" s="444" t="s">
        <v>1519</v>
      </c>
      <c r="C61" s="432" t="s">
        <v>521</v>
      </c>
      <c r="D61" s="433" t="s">
        <v>11184</v>
      </c>
      <c r="E61" s="434">
        <f>SUM('PROSPETTO CE_IV TRIM 2024'!BM138:BM142)</f>
        <v>121025.49</v>
      </c>
      <c r="F61" s="439">
        <f t="shared" si="51"/>
        <v>121025.49</v>
      </c>
      <c r="G61" s="439">
        <v>66930.73000000001</v>
      </c>
      <c r="H61" s="439">
        <v>121025.49</v>
      </c>
      <c r="I61" s="435">
        <f t="shared" si="7"/>
        <v>0</v>
      </c>
      <c r="J61" s="435">
        <f t="shared" si="8"/>
        <v>19445.660000000003</v>
      </c>
      <c r="K61" s="439">
        <v>101579.83</v>
      </c>
      <c r="L61" s="439">
        <v>92114.26</v>
      </c>
      <c r="M61" s="439">
        <f t="shared" si="9"/>
        <v>51294.759999999995</v>
      </c>
      <c r="N61" s="439">
        <v>10263.74</v>
      </c>
      <c r="O61" s="439">
        <v>10263.74</v>
      </c>
      <c r="P61" s="440">
        <v>69730.73000000001</v>
      </c>
      <c r="Q61" s="439">
        <v>66930.73000000001</v>
      </c>
      <c r="R61" s="439">
        <f t="shared" si="3"/>
        <v>59466.990000000013</v>
      </c>
      <c r="S61" s="439">
        <f t="shared" si="4"/>
        <v>56666.990000000013</v>
      </c>
      <c r="T61" s="441">
        <f t="shared" ref="T61:T66" si="57">(F61-P61)/F61*100</f>
        <v>42.383435092888277</v>
      </c>
      <c r="U61" s="439">
        <v>2800</v>
      </c>
      <c r="V61" s="439">
        <f t="shared" si="52"/>
        <v>69730.73000000001</v>
      </c>
      <c r="W61" s="439">
        <v>15675</v>
      </c>
      <c r="X61" s="439">
        <v>66930.73000000001</v>
      </c>
      <c r="Y61" s="435">
        <f t="shared" si="6"/>
        <v>132027.80727272728</v>
      </c>
      <c r="Z61" s="439">
        <v>69730.73000000001</v>
      </c>
      <c r="AA61" s="439">
        <v>69730.73000000001</v>
      </c>
      <c r="AB61" s="439">
        <v>0</v>
      </c>
      <c r="AC61" s="439">
        <v>33465.365000000005</v>
      </c>
      <c r="AD61" s="439">
        <v>66930.73000000001</v>
      </c>
      <c r="AE61" s="439"/>
      <c r="AF61" s="439">
        <f t="shared" si="53"/>
        <v>66930.73000000001</v>
      </c>
      <c r="AG61" s="439"/>
      <c r="AH61" s="419">
        <f t="shared" si="0"/>
        <v>-121025.49</v>
      </c>
      <c r="AI61" s="439"/>
      <c r="AJ61" s="439"/>
      <c r="AK61" s="439">
        <f t="shared" si="54"/>
        <v>54055.73000000001</v>
      </c>
      <c r="AL61" s="439">
        <f t="shared" si="55"/>
        <v>2800</v>
      </c>
      <c r="AM61" s="439">
        <f t="shared" si="56"/>
        <v>2800</v>
      </c>
      <c r="AN61" s="438"/>
      <c r="AO61" s="438"/>
      <c r="AP61" s="438"/>
    </row>
    <row r="62" spans="1:42" ht="25.5">
      <c r="A62" s="412">
        <v>59</v>
      </c>
      <c r="B62" s="431"/>
      <c r="C62" s="432" t="s">
        <v>5121</v>
      </c>
      <c r="D62" s="433" t="s">
        <v>11185</v>
      </c>
      <c r="E62" s="434">
        <f>'PROSPETTO CE_IV TRIM 2024'!BM145</f>
        <v>32989.339999999997</v>
      </c>
      <c r="F62" s="439">
        <f t="shared" si="51"/>
        <v>32989.339999999997</v>
      </c>
      <c r="G62" s="439">
        <v>35765.96</v>
      </c>
      <c r="H62" s="439">
        <v>32989.339999999997</v>
      </c>
      <c r="I62" s="435">
        <f t="shared" si="7"/>
        <v>0</v>
      </c>
      <c r="J62" s="435">
        <f t="shared" si="8"/>
        <v>0</v>
      </c>
      <c r="K62" s="439">
        <v>32989.339999999997</v>
      </c>
      <c r="L62" s="439">
        <v>32989.339999999997</v>
      </c>
      <c r="M62" s="439">
        <f t="shared" si="9"/>
        <v>21267.739999999998</v>
      </c>
      <c r="N62" s="439">
        <v>30176.55</v>
      </c>
      <c r="O62" s="439">
        <v>30176.55</v>
      </c>
      <c r="P62" s="440">
        <v>11721.6</v>
      </c>
      <c r="Q62" s="439">
        <v>35765.96</v>
      </c>
      <c r="R62" s="439">
        <f t="shared" si="3"/>
        <v>-18454.949999999997</v>
      </c>
      <c r="S62" s="439">
        <f t="shared" si="4"/>
        <v>5589.41</v>
      </c>
      <c r="T62" s="441">
        <f t="shared" si="57"/>
        <v>64.468522255977234</v>
      </c>
      <c r="U62" s="439">
        <v>27570.52</v>
      </c>
      <c r="V62" s="439">
        <f t="shared" si="52"/>
        <v>11721.6</v>
      </c>
      <c r="W62" s="439">
        <v>15006</v>
      </c>
      <c r="X62" s="439">
        <v>35765.96</v>
      </c>
      <c r="Y62" s="435">
        <f t="shared" si="6"/>
        <v>35988.370909090903</v>
      </c>
      <c r="Z62" s="439">
        <v>11721.6</v>
      </c>
      <c r="AA62" s="439">
        <v>11721.6</v>
      </c>
      <c r="AB62" s="439">
        <v>0</v>
      </c>
      <c r="AC62" s="439">
        <v>6802.83</v>
      </c>
      <c r="AD62" s="439">
        <v>35765.96</v>
      </c>
      <c r="AE62" s="439"/>
      <c r="AF62" s="439">
        <f t="shared" si="53"/>
        <v>13605.66</v>
      </c>
      <c r="AG62" s="439"/>
      <c r="AH62" s="419">
        <f t="shared" si="0"/>
        <v>-32989.339999999997</v>
      </c>
      <c r="AI62" s="439"/>
      <c r="AJ62" s="439"/>
      <c r="AK62" s="439">
        <f t="shared" si="54"/>
        <v>-3284.3999999999996</v>
      </c>
      <c r="AL62" s="439">
        <f t="shared" si="55"/>
        <v>-1884.0599999999995</v>
      </c>
      <c r="AM62" s="439">
        <f t="shared" si="56"/>
        <v>-24044.36</v>
      </c>
      <c r="AN62" s="438"/>
      <c r="AO62" s="438"/>
      <c r="AP62" s="438"/>
    </row>
    <row r="63" spans="1:42" ht="25.5">
      <c r="A63" s="412">
        <v>60</v>
      </c>
      <c r="B63" s="431"/>
      <c r="C63" s="432" t="s">
        <v>5142</v>
      </c>
      <c r="D63" s="433" t="s">
        <v>11186</v>
      </c>
      <c r="E63" s="434"/>
      <c r="F63" s="435">
        <f>SUM(F64:F78,F81,F82,F83)</f>
        <v>2689223.8200000003</v>
      </c>
      <c r="G63" s="435">
        <v>2466951.73</v>
      </c>
      <c r="H63" s="435">
        <v>2689223.8200000003</v>
      </c>
      <c r="I63" s="435">
        <f t="shared" si="7"/>
        <v>0</v>
      </c>
      <c r="J63" s="435">
        <f t="shared" si="8"/>
        <v>77686.820000000298</v>
      </c>
      <c r="K63" s="435">
        <v>2611537</v>
      </c>
      <c r="L63" s="435">
        <v>2611537</v>
      </c>
      <c r="M63" s="435">
        <f t="shared" si="9"/>
        <v>-261209.49142857175</v>
      </c>
      <c r="N63" s="435">
        <v>2321418</v>
      </c>
      <c r="O63" s="435">
        <v>2321418</v>
      </c>
      <c r="P63" s="436">
        <v>2950433.3114285721</v>
      </c>
      <c r="Q63" s="435">
        <f t="shared" ref="Q63" si="58">SUM(Q64:Q78,Q81,Q82,Q83)</f>
        <v>2466951.73</v>
      </c>
      <c r="R63" s="435">
        <f t="shared" si="3"/>
        <v>629015.31142857205</v>
      </c>
      <c r="S63" s="435">
        <f t="shared" si="4"/>
        <v>145533.72999999998</v>
      </c>
      <c r="T63" s="437">
        <f t="shared" si="57"/>
        <v>-9.7131926872703271</v>
      </c>
      <c r="U63" s="435">
        <v>1921971.63</v>
      </c>
      <c r="V63" s="435">
        <f>SUM(V64:V78,V81,V82,V83)</f>
        <v>2950433.3114285721</v>
      </c>
      <c r="W63" s="435">
        <f>SUM(W64:W78,W81,W82,W83)</f>
        <v>2661218</v>
      </c>
      <c r="X63" s="435">
        <f t="shared" ref="X63" si="59">SUM(X64:X78,X81,X82,X83)</f>
        <v>2466951.73</v>
      </c>
      <c r="Y63" s="435">
        <f t="shared" si="6"/>
        <v>2933698.7127272729</v>
      </c>
      <c r="Z63" s="435">
        <v>2950433.3114285721</v>
      </c>
      <c r="AA63" s="435">
        <v>2950433.3114285721</v>
      </c>
      <c r="AB63" s="435">
        <f t="shared" ref="AB63:AM63" si="60">SUM(AB64:AB78,AB81,AB82,AB83)</f>
        <v>663283</v>
      </c>
      <c r="AC63" s="435">
        <f t="shared" si="60"/>
        <v>1008937.4453060378</v>
      </c>
      <c r="AD63" s="435">
        <f t="shared" si="60"/>
        <v>2466951.73</v>
      </c>
      <c r="AE63" s="435"/>
      <c r="AF63" s="435">
        <f t="shared" si="60"/>
        <v>2017874.8906120756</v>
      </c>
      <c r="AG63" s="435">
        <f t="shared" si="60"/>
        <v>0</v>
      </c>
      <c r="AH63" s="419">
        <f t="shared" si="0"/>
        <v>-2689223.8200000003</v>
      </c>
      <c r="AI63" s="435">
        <f t="shared" si="60"/>
        <v>0</v>
      </c>
      <c r="AJ63" s="435">
        <f t="shared" si="60"/>
        <v>0</v>
      </c>
      <c r="AK63" s="435">
        <f t="shared" si="60"/>
        <v>289215.31142857193</v>
      </c>
      <c r="AL63" s="435">
        <f t="shared" si="60"/>
        <v>932558.42081649648</v>
      </c>
      <c r="AM63" s="435">
        <f t="shared" si="60"/>
        <v>483481.58142857201</v>
      </c>
      <c r="AN63" s="438"/>
      <c r="AO63" s="438"/>
      <c r="AP63" s="438"/>
    </row>
    <row r="64" spans="1:42" ht="12.75">
      <c r="A64" s="412">
        <v>61</v>
      </c>
      <c r="B64" s="431" t="s">
        <v>1349</v>
      </c>
      <c r="C64" s="432" t="s">
        <v>522</v>
      </c>
      <c r="D64" s="433" t="s">
        <v>5151</v>
      </c>
      <c r="E64" s="434">
        <f>'PROSPETTO CE_IV TRIM 2024'!BM154</f>
        <v>1024517.95</v>
      </c>
      <c r="F64" s="439">
        <f t="shared" ref="F64:F77" si="61">+E64</f>
        <v>1024517.95</v>
      </c>
      <c r="G64" s="439">
        <v>913387.09</v>
      </c>
      <c r="H64" s="439">
        <v>1024517.95</v>
      </c>
      <c r="I64" s="435">
        <f t="shared" si="7"/>
        <v>0</v>
      </c>
      <c r="J64" s="435">
        <f t="shared" si="8"/>
        <v>-5.0000000046566129E-2</v>
      </c>
      <c r="K64" s="439">
        <v>1024518</v>
      </c>
      <c r="L64" s="439">
        <v>1024518</v>
      </c>
      <c r="M64" s="439">
        <f t="shared" si="9"/>
        <v>64601.949999999953</v>
      </c>
      <c r="N64" s="439">
        <v>980000</v>
      </c>
      <c r="O64" s="439">
        <v>980000</v>
      </c>
      <c r="P64" s="440">
        <v>959916</v>
      </c>
      <c r="Q64" s="439">
        <v>913387.09</v>
      </c>
      <c r="R64" s="439">
        <f t="shared" si="3"/>
        <v>-20084</v>
      </c>
      <c r="S64" s="439">
        <f t="shared" si="4"/>
        <v>-66612.910000000033</v>
      </c>
      <c r="T64" s="441">
        <f t="shared" si="57"/>
        <v>6.3055947433619837</v>
      </c>
      <c r="U64" s="439">
        <v>732400</v>
      </c>
      <c r="V64" s="439">
        <f t="shared" ref="V64:V77" si="62">+AA64</f>
        <v>959916</v>
      </c>
      <c r="W64" s="439">
        <v>777488</v>
      </c>
      <c r="X64" s="439">
        <v>913387.09</v>
      </c>
      <c r="Y64" s="435">
        <f t="shared" si="6"/>
        <v>1117655.9454545453</v>
      </c>
      <c r="Z64" s="439">
        <v>959916</v>
      </c>
      <c r="AA64" s="439">
        <v>959916</v>
      </c>
      <c r="AB64" s="439">
        <v>194372</v>
      </c>
      <c r="AC64" s="439">
        <v>208871</v>
      </c>
      <c r="AD64" s="439">
        <v>913387.09</v>
      </c>
      <c r="AE64" s="439"/>
      <c r="AF64" s="439">
        <f t="shared" ref="AF64:AF77" si="63">AC64*2</f>
        <v>417742</v>
      </c>
      <c r="AG64" s="439"/>
      <c r="AH64" s="419">
        <f t="shared" si="0"/>
        <v>-1024517.95</v>
      </c>
      <c r="AI64" s="439"/>
      <c r="AJ64" s="439"/>
      <c r="AK64" s="439">
        <f t="shared" ref="AK64:AK77" si="64">AA64-W64</f>
        <v>182428</v>
      </c>
      <c r="AL64" s="439">
        <f t="shared" ref="AL64:AL77" si="65">AA64-AF64</f>
        <v>542174</v>
      </c>
      <c r="AM64" s="439">
        <f t="shared" ref="AM64:AM77" si="66">AA64-AD64</f>
        <v>46528.910000000033</v>
      </c>
      <c r="AN64" s="438"/>
      <c r="AO64" s="438"/>
      <c r="AP64" s="438"/>
    </row>
    <row r="65" spans="1:42" ht="12.75">
      <c r="A65" s="412">
        <v>62</v>
      </c>
      <c r="B65" s="431" t="s">
        <v>1349</v>
      </c>
      <c r="C65" s="432" t="s">
        <v>523</v>
      </c>
      <c r="D65" s="433" t="s">
        <v>5156</v>
      </c>
      <c r="E65" s="434">
        <f>'PROSPETTO CE_IV TRIM 2024'!BM155</f>
        <v>76898</v>
      </c>
      <c r="F65" s="439">
        <f t="shared" si="61"/>
        <v>76898</v>
      </c>
      <c r="G65" s="439">
        <v>92445.24</v>
      </c>
      <c r="H65" s="439">
        <v>76898</v>
      </c>
      <c r="I65" s="435">
        <f t="shared" si="7"/>
        <v>0</v>
      </c>
      <c r="J65" s="435">
        <f t="shared" si="8"/>
        <v>-10420</v>
      </c>
      <c r="K65" s="439">
        <v>87318</v>
      </c>
      <c r="L65" s="439">
        <v>87318</v>
      </c>
      <c r="M65" s="439">
        <f t="shared" si="9"/>
        <v>-320154.57142857136</v>
      </c>
      <c r="N65" s="439">
        <v>453899</v>
      </c>
      <c r="O65" s="439">
        <v>453899</v>
      </c>
      <c r="P65" s="443">
        <v>397052.57142857136</v>
      </c>
      <c r="Q65" s="439">
        <v>92445.24</v>
      </c>
      <c r="R65" s="439">
        <f t="shared" si="3"/>
        <v>-56846.428571428638</v>
      </c>
      <c r="S65" s="439">
        <f t="shared" si="4"/>
        <v>-361453.76</v>
      </c>
      <c r="T65" s="441">
        <f t="shared" si="57"/>
        <v>-416.33666861111004</v>
      </c>
      <c r="U65" s="439">
        <v>385482.63</v>
      </c>
      <c r="V65" s="439">
        <f t="shared" si="62"/>
        <v>397052.57142857136</v>
      </c>
      <c r="W65" s="439">
        <v>109499</v>
      </c>
      <c r="X65" s="439">
        <v>92445.24</v>
      </c>
      <c r="Y65" s="435">
        <f t="shared" si="6"/>
        <v>83888.727272727279</v>
      </c>
      <c r="Z65" s="439">
        <v>397052.57142857136</v>
      </c>
      <c r="AA65" s="439">
        <v>397052.57142857136</v>
      </c>
      <c r="AB65" s="439">
        <v>27375</v>
      </c>
      <c r="AC65" s="439">
        <v>208871</v>
      </c>
      <c r="AD65" s="439">
        <v>92445.24</v>
      </c>
      <c r="AE65" s="439"/>
      <c r="AF65" s="439">
        <f t="shared" si="63"/>
        <v>417742</v>
      </c>
      <c r="AG65" s="439"/>
      <c r="AH65" s="419">
        <f t="shared" si="0"/>
        <v>-76898</v>
      </c>
      <c r="AI65" s="439"/>
      <c r="AJ65" s="439"/>
      <c r="AK65" s="439">
        <f t="shared" si="64"/>
        <v>287553.57142857136</v>
      </c>
      <c r="AL65" s="439">
        <f t="shared" si="65"/>
        <v>-20689.428571428638</v>
      </c>
      <c r="AM65" s="439">
        <f t="shared" si="66"/>
        <v>304607.33142857137</v>
      </c>
      <c r="AN65" s="438"/>
      <c r="AO65" s="438"/>
      <c r="AP65" s="438"/>
    </row>
    <row r="66" spans="1:42" ht="12.75">
      <c r="A66" s="412">
        <v>63</v>
      </c>
      <c r="B66" s="431" t="s">
        <v>1349</v>
      </c>
      <c r="C66" s="432" t="s">
        <v>5157</v>
      </c>
      <c r="D66" s="433" t="s">
        <v>5162</v>
      </c>
      <c r="E66" s="434">
        <f>'PROSPETTO CE_IV TRIM 2024'!BM156</f>
        <v>53234</v>
      </c>
      <c r="F66" s="439">
        <f t="shared" si="61"/>
        <v>53234</v>
      </c>
      <c r="G66" s="439">
        <v>44986</v>
      </c>
      <c r="H66" s="439">
        <v>53234</v>
      </c>
      <c r="I66" s="435">
        <f t="shared" si="7"/>
        <v>0</v>
      </c>
      <c r="J66" s="435">
        <f t="shared" si="8"/>
        <v>30492</v>
      </c>
      <c r="K66" s="439">
        <v>22742</v>
      </c>
      <c r="L66" s="439">
        <v>22742</v>
      </c>
      <c r="M66" s="439">
        <f t="shared" si="9"/>
        <v>30636.5</v>
      </c>
      <c r="N66" s="439">
        <v>21954</v>
      </c>
      <c r="O66" s="439">
        <v>21954</v>
      </c>
      <c r="P66" s="440">
        <v>22597.5</v>
      </c>
      <c r="Q66" s="439">
        <v>44986</v>
      </c>
      <c r="R66" s="439">
        <f t="shared" si="3"/>
        <v>643.5</v>
      </c>
      <c r="S66" s="439">
        <f t="shared" si="4"/>
        <v>23032</v>
      </c>
      <c r="T66" s="441">
        <f t="shared" si="57"/>
        <v>57.550625540068381</v>
      </c>
      <c r="U66" s="439">
        <v>17335</v>
      </c>
      <c r="V66" s="439">
        <f t="shared" si="62"/>
        <v>22597.5</v>
      </c>
      <c r="W66" s="439">
        <v>50065</v>
      </c>
      <c r="X66" s="439">
        <v>44986</v>
      </c>
      <c r="Y66" s="435">
        <f t="shared" si="6"/>
        <v>58073.454545454544</v>
      </c>
      <c r="Z66" s="439">
        <v>22597.5</v>
      </c>
      <c r="AA66" s="439">
        <v>22597.5</v>
      </c>
      <c r="AB66" s="439">
        <v>12516</v>
      </c>
      <c r="AC66" s="439">
        <v>7122</v>
      </c>
      <c r="AD66" s="439">
        <v>44986</v>
      </c>
      <c r="AE66" s="439"/>
      <c r="AF66" s="439">
        <f t="shared" si="63"/>
        <v>14244</v>
      </c>
      <c r="AG66" s="439"/>
      <c r="AH66" s="419">
        <f t="shared" ref="AH66:AH129" si="67">AG66-F66</f>
        <v>-53234</v>
      </c>
      <c r="AI66" s="439"/>
      <c r="AJ66" s="439"/>
      <c r="AK66" s="439">
        <f t="shared" si="64"/>
        <v>-27467.5</v>
      </c>
      <c r="AL66" s="439">
        <f t="shared" si="65"/>
        <v>8353.5</v>
      </c>
      <c r="AM66" s="439">
        <f t="shared" si="66"/>
        <v>-22388.5</v>
      </c>
      <c r="AN66" s="438"/>
      <c r="AO66" s="438"/>
      <c r="AP66" s="438"/>
    </row>
    <row r="67" spans="1:42" ht="25.5">
      <c r="A67" s="412">
        <v>64</v>
      </c>
      <c r="B67" s="431" t="s">
        <v>1340</v>
      </c>
      <c r="C67" s="432" t="s">
        <v>524</v>
      </c>
      <c r="D67" s="433" t="s">
        <v>5167</v>
      </c>
      <c r="E67" s="434">
        <f>SUM('PROSPETTO CE_IV TRIM 2024'!BM157)</f>
        <v>0</v>
      </c>
      <c r="F67" s="439">
        <f t="shared" si="61"/>
        <v>0</v>
      </c>
      <c r="G67" s="439">
        <v>0</v>
      </c>
      <c r="H67" s="439">
        <v>0</v>
      </c>
      <c r="I67" s="435">
        <f t="shared" si="7"/>
        <v>0</v>
      </c>
      <c r="J67" s="435">
        <f t="shared" si="8"/>
        <v>0</v>
      </c>
      <c r="K67" s="439">
        <v>0</v>
      </c>
      <c r="L67" s="439">
        <v>0</v>
      </c>
      <c r="M67" s="439">
        <f t="shared" si="9"/>
        <v>0</v>
      </c>
      <c r="N67" s="439">
        <v>0</v>
      </c>
      <c r="O67" s="439">
        <v>0</v>
      </c>
      <c r="P67" s="440">
        <v>0</v>
      </c>
      <c r="Q67" s="439">
        <v>0</v>
      </c>
      <c r="R67" s="439">
        <f t="shared" si="3"/>
        <v>0</v>
      </c>
      <c r="S67" s="439">
        <f t="shared" si="4"/>
        <v>0</v>
      </c>
      <c r="T67" s="441"/>
      <c r="U67" s="439">
        <v>0</v>
      </c>
      <c r="V67" s="439">
        <f t="shared" si="62"/>
        <v>0</v>
      </c>
      <c r="W67" s="439">
        <v>0</v>
      </c>
      <c r="X67" s="439">
        <v>0</v>
      </c>
      <c r="Y67" s="435">
        <f t="shared" si="6"/>
        <v>0</v>
      </c>
      <c r="Z67" s="439">
        <v>0</v>
      </c>
      <c r="AA67" s="439">
        <v>0</v>
      </c>
      <c r="AB67" s="439">
        <v>0</v>
      </c>
      <c r="AC67" s="439">
        <v>0</v>
      </c>
      <c r="AD67" s="439">
        <v>0</v>
      </c>
      <c r="AE67" s="439"/>
      <c r="AF67" s="439">
        <f t="shared" si="63"/>
        <v>0</v>
      </c>
      <c r="AG67" s="439"/>
      <c r="AH67" s="419">
        <f t="shared" si="67"/>
        <v>0</v>
      </c>
      <c r="AI67" s="439"/>
      <c r="AJ67" s="439"/>
      <c r="AK67" s="439">
        <f t="shared" si="64"/>
        <v>0</v>
      </c>
      <c r="AL67" s="439">
        <f t="shared" si="65"/>
        <v>0</v>
      </c>
      <c r="AM67" s="439">
        <f t="shared" si="66"/>
        <v>0</v>
      </c>
      <c r="AN67" s="438"/>
      <c r="AO67" s="438"/>
      <c r="AP67" s="438"/>
    </row>
    <row r="68" spans="1:42" ht="12.75">
      <c r="A68" s="412">
        <v>65</v>
      </c>
      <c r="B68" s="431" t="s">
        <v>1349</v>
      </c>
      <c r="C68" s="432" t="s">
        <v>525</v>
      </c>
      <c r="D68" s="433" t="s">
        <v>5172</v>
      </c>
      <c r="E68" s="434">
        <f>SUM('PROSPETTO CE_IV TRIM 2024'!BM158:BM159)</f>
        <v>399095</v>
      </c>
      <c r="F68" s="439">
        <f t="shared" si="61"/>
        <v>399095</v>
      </c>
      <c r="G68" s="439">
        <v>370587.55</v>
      </c>
      <c r="H68" s="439">
        <v>399095</v>
      </c>
      <c r="I68" s="435">
        <f t="shared" si="7"/>
        <v>0</v>
      </c>
      <c r="J68" s="435">
        <f t="shared" si="8"/>
        <v>57615</v>
      </c>
      <c r="K68" s="439">
        <v>341480</v>
      </c>
      <c r="L68" s="439">
        <v>341480</v>
      </c>
      <c r="M68" s="439">
        <f t="shared" si="9"/>
        <v>-126226.3900000006</v>
      </c>
      <c r="N68" s="439">
        <v>424238</v>
      </c>
      <c r="O68" s="439">
        <v>424238</v>
      </c>
      <c r="P68" s="443">
        <v>525321.3900000006</v>
      </c>
      <c r="Q68" s="439">
        <v>370587.55</v>
      </c>
      <c r="R68" s="439">
        <f t="shared" ref="R68:R131" si="68">P68-N68</f>
        <v>101083.3900000006</v>
      </c>
      <c r="S68" s="439">
        <f t="shared" ref="S68:S131" si="69">Q68-N68</f>
        <v>-53650.450000000012</v>
      </c>
      <c r="T68" s="441">
        <f>(F68-P68)/F68*100</f>
        <v>-31.628156203410363</v>
      </c>
      <c r="U68" s="439">
        <v>345427</v>
      </c>
      <c r="V68" s="439">
        <f t="shared" si="62"/>
        <v>525321.3900000006</v>
      </c>
      <c r="W68" s="439">
        <v>480266</v>
      </c>
      <c r="X68" s="439">
        <v>370587.55</v>
      </c>
      <c r="Y68" s="435">
        <f t="shared" ref="Y68:Y131" si="70">F68/11*12</f>
        <v>435376.36363636365</v>
      </c>
      <c r="Z68" s="439">
        <v>525321.3900000006</v>
      </c>
      <c r="AA68" s="439">
        <v>525321.3900000006</v>
      </c>
      <c r="AB68" s="439">
        <v>118045</v>
      </c>
      <c r="AC68" s="439">
        <v>61300.520306037775</v>
      </c>
      <c r="AD68" s="439">
        <v>370587.55</v>
      </c>
      <c r="AE68" s="439"/>
      <c r="AF68" s="439">
        <f t="shared" si="63"/>
        <v>122601.04061207555</v>
      </c>
      <c r="AG68" s="439"/>
      <c r="AH68" s="419">
        <f t="shared" si="67"/>
        <v>-399095</v>
      </c>
      <c r="AI68" s="439"/>
      <c r="AJ68" s="439"/>
      <c r="AK68" s="439">
        <f t="shared" si="64"/>
        <v>45055.390000000596</v>
      </c>
      <c r="AL68" s="439">
        <f t="shared" si="65"/>
        <v>402720.34938792506</v>
      </c>
      <c r="AM68" s="439">
        <f t="shared" si="66"/>
        <v>154733.84000000061</v>
      </c>
      <c r="AN68" s="438"/>
      <c r="AO68" s="438"/>
      <c r="AP68" s="438"/>
    </row>
    <row r="69" spans="1:42" ht="25.5">
      <c r="A69" s="412">
        <v>66</v>
      </c>
      <c r="B69" s="431" t="s">
        <v>1349</v>
      </c>
      <c r="C69" s="432" t="s">
        <v>526</v>
      </c>
      <c r="D69" s="433" t="s">
        <v>5180</v>
      </c>
      <c r="E69" s="434">
        <f>'PROSPETTO CE_IV TRIM 2024'!BM160</f>
        <v>0</v>
      </c>
      <c r="F69" s="439">
        <f t="shared" si="61"/>
        <v>0</v>
      </c>
      <c r="G69" s="439">
        <v>0</v>
      </c>
      <c r="H69" s="439">
        <v>0</v>
      </c>
      <c r="I69" s="435">
        <f t="shared" ref="I69:I132" si="71">F69-H69</f>
        <v>0</v>
      </c>
      <c r="J69" s="435">
        <f t="shared" ref="J69:J132" si="72">F69-K69</f>
        <v>0</v>
      </c>
      <c r="K69" s="439">
        <v>0</v>
      </c>
      <c r="L69" s="439">
        <v>0</v>
      </c>
      <c r="M69" s="439">
        <f t="shared" ref="M69:M132" si="73">F69-P69</f>
        <v>0</v>
      </c>
      <c r="N69" s="439">
        <v>0</v>
      </c>
      <c r="O69" s="439">
        <v>0</v>
      </c>
      <c r="P69" s="440">
        <v>0</v>
      </c>
      <c r="Q69" s="439">
        <v>0</v>
      </c>
      <c r="R69" s="439">
        <f t="shared" si="68"/>
        <v>0</v>
      </c>
      <c r="S69" s="439">
        <f t="shared" si="69"/>
        <v>0</v>
      </c>
      <c r="T69" s="441"/>
      <c r="U69" s="439">
        <v>0</v>
      </c>
      <c r="V69" s="439">
        <f t="shared" si="62"/>
        <v>0</v>
      </c>
      <c r="W69" s="439">
        <v>0</v>
      </c>
      <c r="X69" s="439">
        <v>0</v>
      </c>
      <c r="Y69" s="435">
        <f t="shared" si="70"/>
        <v>0</v>
      </c>
      <c r="Z69" s="439">
        <v>0</v>
      </c>
      <c r="AA69" s="439">
        <v>0</v>
      </c>
      <c r="AB69" s="439">
        <v>0</v>
      </c>
      <c r="AC69" s="439">
        <v>0</v>
      </c>
      <c r="AD69" s="439">
        <v>0</v>
      </c>
      <c r="AE69" s="439"/>
      <c r="AF69" s="439">
        <f t="shared" si="63"/>
        <v>0</v>
      </c>
      <c r="AG69" s="439">
        <v>0</v>
      </c>
      <c r="AH69" s="419">
        <f t="shared" si="67"/>
        <v>0</v>
      </c>
      <c r="AI69" s="439">
        <v>0</v>
      </c>
      <c r="AJ69" s="439">
        <v>0</v>
      </c>
      <c r="AK69" s="439">
        <f t="shared" si="64"/>
        <v>0</v>
      </c>
      <c r="AL69" s="439">
        <f t="shared" si="65"/>
        <v>0</v>
      </c>
      <c r="AM69" s="439">
        <f t="shared" si="66"/>
        <v>0</v>
      </c>
      <c r="AN69" s="438"/>
      <c r="AO69" s="438"/>
      <c r="AP69" s="438"/>
    </row>
    <row r="70" spans="1:42" ht="25.5">
      <c r="A70" s="412">
        <v>67</v>
      </c>
      <c r="B70" s="431" t="s">
        <v>1349</v>
      </c>
      <c r="C70" s="432" t="s">
        <v>527</v>
      </c>
      <c r="D70" s="433" t="s">
        <v>5185</v>
      </c>
      <c r="E70" s="434">
        <f>'PROSPETTO CE_IV TRIM 2024'!BM161</f>
        <v>0</v>
      </c>
      <c r="F70" s="439">
        <f t="shared" si="61"/>
        <v>0</v>
      </c>
      <c r="G70" s="439">
        <v>0</v>
      </c>
      <c r="H70" s="439">
        <v>0</v>
      </c>
      <c r="I70" s="435">
        <f t="shared" si="71"/>
        <v>0</v>
      </c>
      <c r="J70" s="435">
        <f t="shared" si="72"/>
        <v>0</v>
      </c>
      <c r="K70" s="439">
        <v>0</v>
      </c>
      <c r="L70" s="439">
        <v>0</v>
      </c>
      <c r="M70" s="439">
        <f t="shared" si="73"/>
        <v>0</v>
      </c>
      <c r="N70" s="439">
        <v>0</v>
      </c>
      <c r="O70" s="439">
        <v>0</v>
      </c>
      <c r="P70" s="440">
        <v>0</v>
      </c>
      <c r="Q70" s="439">
        <v>0</v>
      </c>
      <c r="R70" s="439">
        <f t="shared" si="68"/>
        <v>0</v>
      </c>
      <c r="S70" s="439">
        <f t="shared" si="69"/>
        <v>0</v>
      </c>
      <c r="T70" s="441"/>
      <c r="U70" s="439">
        <v>0</v>
      </c>
      <c r="V70" s="439">
        <f t="shared" si="62"/>
        <v>0</v>
      </c>
      <c r="W70" s="439">
        <v>0</v>
      </c>
      <c r="X70" s="439">
        <v>0</v>
      </c>
      <c r="Y70" s="435">
        <f t="shared" si="70"/>
        <v>0</v>
      </c>
      <c r="Z70" s="439">
        <v>0</v>
      </c>
      <c r="AA70" s="439">
        <v>0</v>
      </c>
      <c r="AB70" s="439">
        <v>0</v>
      </c>
      <c r="AC70" s="439">
        <v>0</v>
      </c>
      <c r="AD70" s="439">
        <v>0</v>
      </c>
      <c r="AE70" s="439"/>
      <c r="AF70" s="439">
        <f t="shared" si="63"/>
        <v>0</v>
      </c>
      <c r="AG70" s="439">
        <v>0</v>
      </c>
      <c r="AH70" s="419">
        <f t="shared" si="67"/>
        <v>0</v>
      </c>
      <c r="AI70" s="439">
        <v>0</v>
      </c>
      <c r="AJ70" s="439">
        <v>0</v>
      </c>
      <c r="AK70" s="439">
        <f t="shared" si="64"/>
        <v>0</v>
      </c>
      <c r="AL70" s="439">
        <f t="shared" si="65"/>
        <v>0</v>
      </c>
      <c r="AM70" s="439">
        <f t="shared" si="66"/>
        <v>0</v>
      </c>
      <c r="AN70" s="438"/>
      <c r="AO70" s="438"/>
      <c r="AP70" s="438"/>
    </row>
    <row r="71" spans="1:42" ht="12.75">
      <c r="A71" s="412">
        <v>68</v>
      </c>
      <c r="B71" s="431" t="s">
        <v>1349</v>
      </c>
      <c r="C71" s="432" t="s">
        <v>528</v>
      </c>
      <c r="D71" s="433" t="s">
        <v>5190</v>
      </c>
      <c r="E71" s="434">
        <f>'PROSPETTO CE_IV TRIM 2024'!BM162</f>
        <v>0</v>
      </c>
      <c r="F71" s="439">
        <f t="shared" si="61"/>
        <v>0</v>
      </c>
      <c r="G71" s="439">
        <v>0</v>
      </c>
      <c r="H71" s="439">
        <v>0</v>
      </c>
      <c r="I71" s="435">
        <f t="shared" si="71"/>
        <v>0</v>
      </c>
      <c r="J71" s="435">
        <f t="shared" si="72"/>
        <v>0</v>
      </c>
      <c r="K71" s="439">
        <v>0</v>
      </c>
      <c r="L71" s="439">
        <v>0</v>
      </c>
      <c r="M71" s="439">
        <f t="shared" si="73"/>
        <v>0</v>
      </c>
      <c r="N71" s="439">
        <v>0</v>
      </c>
      <c r="O71" s="439">
        <v>0</v>
      </c>
      <c r="P71" s="440">
        <v>0</v>
      </c>
      <c r="Q71" s="439">
        <v>0</v>
      </c>
      <c r="R71" s="439">
        <f t="shared" si="68"/>
        <v>0</v>
      </c>
      <c r="S71" s="439">
        <f t="shared" si="69"/>
        <v>0</v>
      </c>
      <c r="T71" s="441"/>
      <c r="U71" s="439">
        <v>0</v>
      </c>
      <c r="V71" s="439">
        <f t="shared" si="62"/>
        <v>0</v>
      </c>
      <c r="W71" s="439">
        <v>0</v>
      </c>
      <c r="X71" s="439">
        <v>0</v>
      </c>
      <c r="Y71" s="435">
        <f t="shared" si="70"/>
        <v>0</v>
      </c>
      <c r="Z71" s="439">
        <v>0</v>
      </c>
      <c r="AA71" s="439">
        <v>0</v>
      </c>
      <c r="AB71" s="439">
        <v>0</v>
      </c>
      <c r="AC71" s="439">
        <v>0</v>
      </c>
      <c r="AD71" s="439">
        <v>0</v>
      </c>
      <c r="AE71" s="439"/>
      <c r="AF71" s="439">
        <f t="shared" si="63"/>
        <v>0</v>
      </c>
      <c r="AG71" s="439">
        <v>0</v>
      </c>
      <c r="AH71" s="419">
        <f t="shared" si="67"/>
        <v>0</v>
      </c>
      <c r="AI71" s="439">
        <v>0</v>
      </c>
      <c r="AJ71" s="439">
        <v>0</v>
      </c>
      <c r="AK71" s="439">
        <f t="shared" si="64"/>
        <v>0</v>
      </c>
      <c r="AL71" s="439">
        <f t="shared" si="65"/>
        <v>0</v>
      </c>
      <c r="AM71" s="439">
        <f t="shared" si="66"/>
        <v>0</v>
      </c>
      <c r="AN71" s="438"/>
      <c r="AO71" s="438"/>
      <c r="AP71" s="438"/>
    </row>
    <row r="72" spans="1:42" ht="25.5">
      <c r="A72" s="412">
        <v>69</v>
      </c>
      <c r="B72" s="444" t="s">
        <v>1349</v>
      </c>
      <c r="C72" s="432" t="s">
        <v>529</v>
      </c>
      <c r="D72" s="433" t="s">
        <v>5195</v>
      </c>
      <c r="E72" s="434">
        <f>'PROSPETTO CE_IV TRIM 2024'!BM163</f>
        <v>0</v>
      </c>
      <c r="F72" s="439">
        <f t="shared" si="61"/>
        <v>0</v>
      </c>
      <c r="G72" s="439">
        <v>0</v>
      </c>
      <c r="H72" s="439">
        <v>0</v>
      </c>
      <c r="I72" s="435">
        <f t="shared" si="71"/>
        <v>0</v>
      </c>
      <c r="J72" s="435">
        <f t="shared" si="72"/>
        <v>0</v>
      </c>
      <c r="K72" s="439">
        <v>0</v>
      </c>
      <c r="L72" s="439">
        <v>0</v>
      </c>
      <c r="M72" s="439">
        <f t="shared" si="73"/>
        <v>0</v>
      </c>
      <c r="N72" s="439">
        <v>0</v>
      </c>
      <c r="O72" s="439">
        <v>0</v>
      </c>
      <c r="P72" s="440">
        <v>0</v>
      </c>
      <c r="Q72" s="439">
        <v>0</v>
      </c>
      <c r="R72" s="439">
        <f t="shared" si="68"/>
        <v>0</v>
      </c>
      <c r="S72" s="439">
        <f t="shared" si="69"/>
        <v>0</v>
      </c>
      <c r="T72" s="441"/>
      <c r="U72" s="439">
        <v>0</v>
      </c>
      <c r="V72" s="439">
        <f t="shared" si="62"/>
        <v>0</v>
      </c>
      <c r="W72" s="439">
        <v>0</v>
      </c>
      <c r="X72" s="439">
        <v>0</v>
      </c>
      <c r="Y72" s="435">
        <f t="shared" si="70"/>
        <v>0</v>
      </c>
      <c r="Z72" s="439">
        <v>0</v>
      </c>
      <c r="AA72" s="439">
        <v>0</v>
      </c>
      <c r="AB72" s="439">
        <v>0</v>
      </c>
      <c r="AC72" s="439">
        <v>0</v>
      </c>
      <c r="AD72" s="439">
        <v>0</v>
      </c>
      <c r="AE72" s="439"/>
      <c r="AF72" s="439">
        <f t="shared" si="63"/>
        <v>0</v>
      </c>
      <c r="AG72" s="439">
        <v>0</v>
      </c>
      <c r="AH72" s="419">
        <f t="shared" si="67"/>
        <v>0</v>
      </c>
      <c r="AI72" s="439">
        <v>0</v>
      </c>
      <c r="AJ72" s="439">
        <v>0</v>
      </c>
      <c r="AK72" s="439">
        <f t="shared" si="64"/>
        <v>0</v>
      </c>
      <c r="AL72" s="439">
        <f t="shared" si="65"/>
        <v>0</v>
      </c>
      <c r="AM72" s="439">
        <f t="shared" si="66"/>
        <v>0</v>
      </c>
      <c r="AN72" s="438"/>
      <c r="AO72" s="438"/>
      <c r="AP72" s="438"/>
    </row>
    <row r="73" spans="1:42" ht="25.5">
      <c r="A73" s="412">
        <v>70</v>
      </c>
      <c r="B73" s="444" t="s">
        <v>1340</v>
      </c>
      <c r="C73" s="432" t="s">
        <v>5196</v>
      </c>
      <c r="D73" s="433" t="s">
        <v>5200</v>
      </c>
      <c r="E73" s="434">
        <f>'PROSPETTO CE_IV TRIM 2024'!BM164</f>
        <v>0</v>
      </c>
      <c r="F73" s="439">
        <f t="shared" si="61"/>
        <v>0</v>
      </c>
      <c r="G73" s="439">
        <v>0</v>
      </c>
      <c r="H73" s="439">
        <v>0</v>
      </c>
      <c r="I73" s="435">
        <f t="shared" si="71"/>
        <v>0</v>
      </c>
      <c r="J73" s="435">
        <f t="shared" si="72"/>
        <v>0</v>
      </c>
      <c r="K73" s="439">
        <v>0</v>
      </c>
      <c r="L73" s="439">
        <v>0</v>
      </c>
      <c r="M73" s="439">
        <f t="shared" si="73"/>
        <v>0</v>
      </c>
      <c r="N73" s="439">
        <v>0</v>
      </c>
      <c r="O73" s="439">
        <v>0</v>
      </c>
      <c r="P73" s="440">
        <v>0</v>
      </c>
      <c r="Q73" s="439">
        <v>0</v>
      </c>
      <c r="R73" s="439">
        <f t="shared" si="68"/>
        <v>0</v>
      </c>
      <c r="S73" s="439">
        <f t="shared" si="69"/>
        <v>0</v>
      </c>
      <c r="T73" s="441"/>
      <c r="U73" s="439">
        <v>0</v>
      </c>
      <c r="V73" s="439">
        <f t="shared" si="62"/>
        <v>0</v>
      </c>
      <c r="W73" s="439">
        <v>0</v>
      </c>
      <c r="X73" s="439">
        <v>0</v>
      </c>
      <c r="Y73" s="435">
        <f t="shared" si="70"/>
        <v>0</v>
      </c>
      <c r="Z73" s="439">
        <v>0</v>
      </c>
      <c r="AA73" s="439">
        <v>0</v>
      </c>
      <c r="AB73" s="439">
        <v>0</v>
      </c>
      <c r="AC73" s="439">
        <v>0</v>
      </c>
      <c r="AD73" s="439">
        <v>0</v>
      </c>
      <c r="AE73" s="439"/>
      <c r="AF73" s="439">
        <f t="shared" si="63"/>
        <v>0</v>
      </c>
      <c r="AG73" s="439">
        <v>0</v>
      </c>
      <c r="AH73" s="419">
        <f t="shared" si="67"/>
        <v>0</v>
      </c>
      <c r="AI73" s="439">
        <v>0</v>
      </c>
      <c r="AJ73" s="439">
        <v>0</v>
      </c>
      <c r="AK73" s="439">
        <f t="shared" si="64"/>
        <v>0</v>
      </c>
      <c r="AL73" s="439">
        <f t="shared" si="65"/>
        <v>0</v>
      </c>
      <c r="AM73" s="439">
        <f t="shared" si="66"/>
        <v>0</v>
      </c>
      <c r="AN73" s="438"/>
      <c r="AO73" s="438"/>
      <c r="AP73" s="438"/>
    </row>
    <row r="74" spans="1:42" ht="25.5">
      <c r="A74" s="412">
        <v>71</v>
      </c>
      <c r="B74" s="444" t="s">
        <v>1340</v>
      </c>
      <c r="C74" s="432" t="s">
        <v>5201</v>
      </c>
      <c r="D74" s="433" t="s">
        <v>5205</v>
      </c>
      <c r="E74" s="434">
        <f>'PROSPETTO CE_IV TRIM 2024'!BM165</f>
        <v>0</v>
      </c>
      <c r="F74" s="439">
        <f t="shared" si="61"/>
        <v>0</v>
      </c>
      <c r="G74" s="439">
        <v>0</v>
      </c>
      <c r="H74" s="439">
        <v>0</v>
      </c>
      <c r="I74" s="435">
        <f t="shared" si="71"/>
        <v>0</v>
      </c>
      <c r="J74" s="435">
        <f t="shared" si="72"/>
        <v>0</v>
      </c>
      <c r="K74" s="439">
        <v>0</v>
      </c>
      <c r="L74" s="439">
        <v>0</v>
      </c>
      <c r="M74" s="439">
        <f t="shared" si="73"/>
        <v>0</v>
      </c>
      <c r="N74" s="439">
        <v>0</v>
      </c>
      <c r="O74" s="439">
        <v>0</v>
      </c>
      <c r="P74" s="440">
        <v>0</v>
      </c>
      <c r="Q74" s="439">
        <v>0</v>
      </c>
      <c r="R74" s="439">
        <f t="shared" si="68"/>
        <v>0</v>
      </c>
      <c r="S74" s="439">
        <f t="shared" si="69"/>
        <v>0</v>
      </c>
      <c r="T74" s="441"/>
      <c r="U74" s="439">
        <v>0</v>
      </c>
      <c r="V74" s="439">
        <f t="shared" si="62"/>
        <v>0</v>
      </c>
      <c r="W74" s="439">
        <v>0</v>
      </c>
      <c r="X74" s="439">
        <v>0</v>
      </c>
      <c r="Y74" s="435">
        <f t="shared" si="70"/>
        <v>0</v>
      </c>
      <c r="Z74" s="439">
        <v>0</v>
      </c>
      <c r="AA74" s="439">
        <v>0</v>
      </c>
      <c r="AB74" s="439">
        <v>0</v>
      </c>
      <c r="AC74" s="439">
        <v>0</v>
      </c>
      <c r="AD74" s="439">
        <v>0</v>
      </c>
      <c r="AE74" s="439"/>
      <c r="AF74" s="439">
        <f t="shared" si="63"/>
        <v>0</v>
      </c>
      <c r="AG74" s="439">
        <v>0</v>
      </c>
      <c r="AH74" s="419">
        <f t="shared" si="67"/>
        <v>0</v>
      </c>
      <c r="AI74" s="439">
        <v>0</v>
      </c>
      <c r="AJ74" s="439">
        <v>0</v>
      </c>
      <c r="AK74" s="439">
        <f t="shared" si="64"/>
        <v>0</v>
      </c>
      <c r="AL74" s="439">
        <f t="shared" si="65"/>
        <v>0</v>
      </c>
      <c r="AM74" s="439">
        <f t="shared" si="66"/>
        <v>0</v>
      </c>
      <c r="AN74" s="438"/>
      <c r="AO74" s="438"/>
      <c r="AP74" s="438"/>
    </row>
    <row r="75" spans="1:42" ht="25.5">
      <c r="A75" s="412">
        <v>72</v>
      </c>
      <c r="B75" s="444" t="s">
        <v>1349</v>
      </c>
      <c r="C75" s="432" t="s">
        <v>530</v>
      </c>
      <c r="D75" s="433" t="s">
        <v>5209</v>
      </c>
      <c r="E75" s="434">
        <f>'PROSPETTO CE_IV TRIM 2024'!BM166</f>
        <v>0</v>
      </c>
      <c r="F75" s="439">
        <f t="shared" si="61"/>
        <v>0</v>
      </c>
      <c r="G75" s="439">
        <v>0</v>
      </c>
      <c r="H75" s="439">
        <v>0</v>
      </c>
      <c r="I75" s="435">
        <f t="shared" si="71"/>
        <v>0</v>
      </c>
      <c r="J75" s="435">
        <f t="shared" si="72"/>
        <v>0</v>
      </c>
      <c r="K75" s="439">
        <v>0</v>
      </c>
      <c r="L75" s="439">
        <v>0</v>
      </c>
      <c r="M75" s="439">
        <f t="shared" si="73"/>
        <v>0</v>
      </c>
      <c r="N75" s="439">
        <v>0</v>
      </c>
      <c r="O75" s="439">
        <v>0</v>
      </c>
      <c r="P75" s="440">
        <v>0</v>
      </c>
      <c r="Q75" s="439">
        <v>0</v>
      </c>
      <c r="R75" s="439">
        <f t="shared" si="68"/>
        <v>0</v>
      </c>
      <c r="S75" s="439">
        <f t="shared" si="69"/>
        <v>0</v>
      </c>
      <c r="T75" s="441"/>
      <c r="U75" s="439">
        <v>0</v>
      </c>
      <c r="V75" s="439">
        <f t="shared" si="62"/>
        <v>0</v>
      </c>
      <c r="W75" s="439">
        <v>0</v>
      </c>
      <c r="X75" s="439">
        <v>0</v>
      </c>
      <c r="Y75" s="435">
        <f t="shared" si="70"/>
        <v>0</v>
      </c>
      <c r="Z75" s="439">
        <v>0</v>
      </c>
      <c r="AA75" s="439">
        <v>0</v>
      </c>
      <c r="AB75" s="439">
        <v>0</v>
      </c>
      <c r="AC75" s="439">
        <v>0</v>
      </c>
      <c r="AD75" s="439">
        <v>0</v>
      </c>
      <c r="AE75" s="439"/>
      <c r="AF75" s="439">
        <f t="shared" si="63"/>
        <v>0</v>
      </c>
      <c r="AG75" s="439">
        <v>0</v>
      </c>
      <c r="AH75" s="419">
        <f t="shared" si="67"/>
        <v>0</v>
      </c>
      <c r="AI75" s="439">
        <v>0</v>
      </c>
      <c r="AJ75" s="439">
        <v>0</v>
      </c>
      <c r="AK75" s="439">
        <f t="shared" si="64"/>
        <v>0</v>
      </c>
      <c r="AL75" s="439">
        <f t="shared" si="65"/>
        <v>0</v>
      </c>
      <c r="AM75" s="439">
        <f t="shared" si="66"/>
        <v>0</v>
      </c>
      <c r="AN75" s="438"/>
      <c r="AO75" s="438"/>
      <c r="AP75" s="438"/>
    </row>
    <row r="76" spans="1:42" ht="25.5">
      <c r="A76" s="412">
        <v>73</v>
      </c>
      <c r="B76" s="431" t="s">
        <v>1349</v>
      </c>
      <c r="C76" s="432" t="s">
        <v>531</v>
      </c>
      <c r="D76" s="433" t="s">
        <v>5214</v>
      </c>
      <c r="E76" s="434">
        <f>'PROSPETTO CE_IV TRIM 2024'!BM167</f>
        <v>0</v>
      </c>
      <c r="F76" s="439">
        <f t="shared" si="61"/>
        <v>0</v>
      </c>
      <c r="G76" s="439">
        <v>0</v>
      </c>
      <c r="H76" s="439">
        <v>0</v>
      </c>
      <c r="I76" s="435">
        <f t="shared" si="71"/>
        <v>0</v>
      </c>
      <c r="J76" s="435">
        <f t="shared" si="72"/>
        <v>0</v>
      </c>
      <c r="K76" s="439">
        <v>0</v>
      </c>
      <c r="L76" s="439">
        <v>0</v>
      </c>
      <c r="M76" s="439">
        <f t="shared" si="73"/>
        <v>0</v>
      </c>
      <c r="N76" s="439">
        <v>0</v>
      </c>
      <c r="O76" s="439">
        <v>0</v>
      </c>
      <c r="P76" s="440">
        <v>0</v>
      </c>
      <c r="Q76" s="439">
        <v>0</v>
      </c>
      <c r="R76" s="439">
        <f t="shared" si="68"/>
        <v>0</v>
      </c>
      <c r="S76" s="439">
        <f t="shared" si="69"/>
        <v>0</v>
      </c>
      <c r="T76" s="441"/>
      <c r="U76" s="439">
        <v>0</v>
      </c>
      <c r="V76" s="439">
        <f t="shared" si="62"/>
        <v>0</v>
      </c>
      <c r="W76" s="439">
        <v>0</v>
      </c>
      <c r="X76" s="439">
        <v>0</v>
      </c>
      <c r="Y76" s="435">
        <f t="shared" si="70"/>
        <v>0</v>
      </c>
      <c r="Z76" s="439">
        <v>0</v>
      </c>
      <c r="AA76" s="439">
        <v>0</v>
      </c>
      <c r="AB76" s="439">
        <v>0</v>
      </c>
      <c r="AC76" s="439">
        <v>0</v>
      </c>
      <c r="AD76" s="439">
        <v>0</v>
      </c>
      <c r="AE76" s="439"/>
      <c r="AF76" s="439">
        <f t="shared" si="63"/>
        <v>0</v>
      </c>
      <c r="AG76" s="439">
        <v>0</v>
      </c>
      <c r="AH76" s="419">
        <f t="shared" si="67"/>
        <v>0</v>
      </c>
      <c r="AI76" s="439">
        <v>0</v>
      </c>
      <c r="AJ76" s="439">
        <v>0</v>
      </c>
      <c r="AK76" s="439">
        <f t="shared" si="64"/>
        <v>0</v>
      </c>
      <c r="AL76" s="439">
        <f t="shared" si="65"/>
        <v>0</v>
      </c>
      <c r="AM76" s="439">
        <f t="shared" si="66"/>
        <v>0</v>
      </c>
      <c r="AN76" s="438"/>
      <c r="AO76" s="438"/>
      <c r="AP76" s="438"/>
    </row>
    <row r="77" spans="1:42" ht="25.5">
      <c r="A77" s="412">
        <v>74</v>
      </c>
      <c r="B77" s="431" t="s">
        <v>1349</v>
      </c>
      <c r="C77" s="432" t="s">
        <v>5215</v>
      </c>
      <c r="D77" s="433" t="s">
        <v>5220</v>
      </c>
      <c r="E77" s="434">
        <f>SUM('PROSPETTO CE_IV TRIM 2024'!BM168:BM174)</f>
        <v>0</v>
      </c>
      <c r="F77" s="439">
        <f t="shared" si="61"/>
        <v>0</v>
      </c>
      <c r="G77" s="439">
        <v>0</v>
      </c>
      <c r="H77" s="439">
        <v>0</v>
      </c>
      <c r="I77" s="435">
        <f t="shared" si="71"/>
        <v>0</v>
      </c>
      <c r="J77" s="435">
        <f t="shared" si="72"/>
        <v>0</v>
      </c>
      <c r="K77" s="439">
        <v>0</v>
      </c>
      <c r="L77" s="439">
        <v>0</v>
      </c>
      <c r="M77" s="439">
        <f t="shared" si="73"/>
        <v>0</v>
      </c>
      <c r="N77" s="439">
        <v>0</v>
      </c>
      <c r="O77" s="439">
        <v>0</v>
      </c>
      <c r="P77" s="440">
        <v>0</v>
      </c>
      <c r="Q77" s="439">
        <v>0</v>
      </c>
      <c r="R77" s="439">
        <f t="shared" si="68"/>
        <v>0</v>
      </c>
      <c r="S77" s="439">
        <f t="shared" si="69"/>
        <v>0</v>
      </c>
      <c r="T77" s="441"/>
      <c r="U77" s="439">
        <v>0</v>
      </c>
      <c r="V77" s="439">
        <f t="shared" si="62"/>
        <v>0</v>
      </c>
      <c r="W77" s="439">
        <v>0</v>
      </c>
      <c r="X77" s="439">
        <v>0</v>
      </c>
      <c r="Y77" s="435">
        <f t="shared" si="70"/>
        <v>0</v>
      </c>
      <c r="Z77" s="439">
        <v>0</v>
      </c>
      <c r="AA77" s="439">
        <v>0</v>
      </c>
      <c r="AB77" s="439">
        <v>0</v>
      </c>
      <c r="AC77" s="439">
        <v>0</v>
      </c>
      <c r="AD77" s="439">
        <v>0</v>
      </c>
      <c r="AE77" s="439"/>
      <c r="AF77" s="439">
        <f t="shared" si="63"/>
        <v>0</v>
      </c>
      <c r="AG77" s="439">
        <v>0</v>
      </c>
      <c r="AH77" s="419">
        <f t="shared" si="67"/>
        <v>0</v>
      </c>
      <c r="AI77" s="439">
        <v>0</v>
      </c>
      <c r="AJ77" s="439">
        <v>0</v>
      </c>
      <c r="AK77" s="439">
        <f t="shared" si="64"/>
        <v>0</v>
      </c>
      <c r="AL77" s="439">
        <f t="shared" si="65"/>
        <v>0</v>
      </c>
      <c r="AM77" s="439">
        <f t="shared" si="66"/>
        <v>0</v>
      </c>
      <c r="AN77" s="438"/>
      <c r="AO77" s="438"/>
      <c r="AP77" s="438"/>
    </row>
    <row r="78" spans="1:42" ht="25.5">
      <c r="A78" s="412">
        <v>75</v>
      </c>
      <c r="B78" s="431" t="s">
        <v>1340</v>
      </c>
      <c r="C78" s="432" t="s">
        <v>11187</v>
      </c>
      <c r="D78" s="433" t="s">
        <v>11188</v>
      </c>
      <c r="E78" s="434"/>
      <c r="F78" s="435">
        <f>+F79+F80</f>
        <v>0</v>
      </c>
      <c r="G78" s="435">
        <v>0</v>
      </c>
      <c r="H78" s="435">
        <v>0</v>
      </c>
      <c r="I78" s="435">
        <f t="shared" si="71"/>
        <v>0</v>
      </c>
      <c r="J78" s="435">
        <f t="shared" si="72"/>
        <v>0</v>
      </c>
      <c r="K78" s="435">
        <v>0</v>
      </c>
      <c r="L78" s="435">
        <v>0</v>
      </c>
      <c r="M78" s="435">
        <f t="shared" si="73"/>
        <v>0</v>
      </c>
      <c r="N78" s="435">
        <v>0</v>
      </c>
      <c r="O78" s="435">
        <v>0</v>
      </c>
      <c r="P78" s="436">
        <v>0</v>
      </c>
      <c r="Q78" s="435">
        <f t="shared" ref="Q78" si="74">+Q79+Q80</f>
        <v>0</v>
      </c>
      <c r="R78" s="435">
        <f t="shared" si="68"/>
        <v>0</v>
      </c>
      <c r="S78" s="435">
        <f t="shared" si="69"/>
        <v>0</v>
      </c>
      <c r="T78" s="437"/>
      <c r="U78" s="435">
        <v>0</v>
      </c>
      <c r="V78" s="435">
        <f>+V79+V80</f>
        <v>0</v>
      </c>
      <c r="W78" s="435">
        <f>+W79+W80</f>
        <v>0</v>
      </c>
      <c r="X78" s="435">
        <f t="shared" ref="X78" si="75">+X79+X80</f>
        <v>0</v>
      </c>
      <c r="Y78" s="435">
        <f t="shared" si="70"/>
        <v>0</v>
      </c>
      <c r="Z78" s="435">
        <v>0</v>
      </c>
      <c r="AA78" s="435">
        <v>0</v>
      </c>
      <c r="AB78" s="435">
        <f t="shared" ref="AB78:AM78" si="76">+AB79+AB80</f>
        <v>0</v>
      </c>
      <c r="AC78" s="435">
        <f t="shared" si="76"/>
        <v>0</v>
      </c>
      <c r="AD78" s="435">
        <f t="shared" si="76"/>
        <v>0</v>
      </c>
      <c r="AE78" s="435"/>
      <c r="AF78" s="435">
        <f t="shared" si="76"/>
        <v>0</v>
      </c>
      <c r="AG78" s="435">
        <f t="shared" si="76"/>
        <v>0</v>
      </c>
      <c r="AH78" s="419">
        <f t="shared" si="67"/>
        <v>0</v>
      </c>
      <c r="AI78" s="435">
        <f t="shared" si="76"/>
        <v>0</v>
      </c>
      <c r="AJ78" s="435">
        <f t="shared" si="76"/>
        <v>0</v>
      </c>
      <c r="AK78" s="435">
        <f t="shared" si="76"/>
        <v>0</v>
      </c>
      <c r="AL78" s="435">
        <f t="shared" si="76"/>
        <v>0</v>
      </c>
      <c r="AM78" s="435">
        <f t="shared" si="76"/>
        <v>0</v>
      </c>
      <c r="AN78" s="438"/>
      <c r="AO78" s="438"/>
      <c r="AP78" s="438"/>
    </row>
    <row r="79" spans="1:42" ht="25.5">
      <c r="A79" s="412">
        <v>76</v>
      </c>
      <c r="B79" s="431" t="s">
        <v>1340</v>
      </c>
      <c r="C79" s="432" t="s">
        <v>5238</v>
      </c>
      <c r="D79" s="433" t="s">
        <v>5243</v>
      </c>
      <c r="E79" s="434">
        <f>'PROSPETTO CE_IV TRIM 2024'!BM175</f>
        <v>0</v>
      </c>
      <c r="F79" s="439">
        <f>+E79</f>
        <v>0</v>
      </c>
      <c r="G79" s="439">
        <v>0</v>
      </c>
      <c r="H79" s="439">
        <v>0</v>
      </c>
      <c r="I79" s="435">
        <f t="shared" si="71"/>
        <v>0</v>
      </c>
      <c r="J79" s="435">
        <f t="shared" si="72"/>
        <v>0</v>
      </c>
      <c r="K79" s="439">
        <v>0</v>
      </c>
      <c r="L79" s="439">
        <v>0</v>
      </c>
      <c r="M79" s="439">
        <f t="shared" si="73"/>
        <v>0</v>
      </c>
      <c r="N79" s="439">
        <v>0</v>
      </c>
      <c r="O79" s="439">
        <v>0</v>
      </c>
      <c r="P79" s="440">
        <v>0</v>
      </c>
      <c r="Q79" s="439">
        <v>0</v>
      </c>
      <c r="R79" s="439">
        <f t="shared" si="68"/>
        <v>0</v>
      </c>
      <c r="S79" s="439">
        <f t="shared" si="69"/>
        <v>0</v>
      </c>
      <c r="T79" s="441"/>
      <c r="U79" s="439">
        <v>0</v>
      </c>
      <c r="V79" s="439">
        <f>+AA79</f>
        <v>0</v>
      </c>
      <c r="W79" s="439">
        <v>0</v>
      </c>
      <c r="X79" s="439">
        <v>0</v>
      </c>
      <c r="Y79" s="435">
        <f t="shared" si="70"/>
        <v>0</v>
      </c>
      <c r="Z79" s="439">
        <v>0</v>
      </c>
      <c r="AA79" s="439">
        <v>0</v>
      </c>
      <c r="AB79" s="439">
        <v>0</v>
      </c>
      <c r="AC79" s="439">
        <v>0</v>
      </c>
      <c r="AD79" s="439">
        <v>0</v>
      </c>
      <c r="AE79" s="439"/>
      <c r="AF79" s="439">
        <f>AC79*2</f>
        <v>0</v>
      </c>
      <c r="AG79" s="439">
        <v>0</v>
      </c>
      <c r="AH79" s="419">
        <f t="shared" si="67"/>
        <v>0</v>
      </c>
      <c r="AI79" s="439">
        <v>0</v>
      </c>
      <c r="AJ79" s="439">
        <v>0</v>
      </c>
      <c r="AK79" s="439">
        <f>AA79-W79</f>
        <v>0</v>
      </c>
      <c r="AL79" s="439">
        <f>AA79-AF79</f>
        <v>0</v>
      </c>
      <c r="AM79" s="439">
        <f>AA79-AD79</f>
        <v>0</v>
      </c>
      <c r="AN79" s="438"/>
      <c r="AO79" s="438"/>
      <c r="AP79" s="438"/>
    </row>
    <row r="80" spans="1:42" ht="25.5">
      <c r="A80" s="412">
        <v>77</v>
      </c>
      <c r="B80" s="444" t="s">
        <v>1340</v>
      </c>
      <c r="C80" s="432" t="s">
        <v>5244</v>
      </c>
      <c r="D80" s="433" t="s">
        <v>5249</v>
      </c>
      <c r="E80" s="434">
        <f>'PROSPETTO CE_IV TRIM 2024'!BM176</f>
        <v>0</v>
      </c>
      <c r="F80" s="439">
        <f>+E80</f>
        <v>0</v>
      </c>
      <c r="G80" s="439">
        <v>0</v>
      </c>
      <c r="H80" s="439">
        <v>0</v>
      </c>
      <c r="I80" s="435">
        <f t="shared" si="71"/>
        <v>0</v>
      </c>
      <c r="J80" s="435">
        <f t="shared" si="72"/>
        <v>0</v>
      </c>
      <c r="K80" s="439">
        <v>0</v>
      </c>
      <c r="L80" s="439">
        <v>0</v>
      </c>
      <c r="M80" s="439">
        <f t="shared" si="73"/>
        <v>0</v>
      </c>
      <c r="N80" s="439">
        <v>0</v>
      </c>
      <c r="O80" s="439">
        <v>0</v>
      </c>
      <c r="P80" s="440">
        <v>0</v>
      </c>
      <c r="Q80" s="439">
        <v>0</v>
      </c>
      <c r="R80" s="439">
        <f t="shared" si="68"/>
        <v>0</v>
      </c>
      <c r="S80" s="439">
        <f t="shared" si="69"/>
        <v>0</v>
      </c>
      <c r="T80" s="441"/>
      <c r="U80" s="439">
        <v>0</v>
      </c>
      <c r="V80" s="439">
        <f>+AA80</f>
        <v>0</v>
      </c>
      <c r="W80" s="439">
        <v>0</v>
      </c>
      <c r="X80" s="439">
        <v>0</v>
      </c>
      <c r="Y80" s="435">
        <f t="shared" si="70"/>
        <v>0</v>
      </c>
      <c r="Z80" s="439">
        <v>0</v>
      </c>
      <c r="AA80" s="439">
        <v>0</v>
      </c>
      <c r="AB80" s="439">
        <v>0</v>
      </c>
      <c r="AC80" s="439">
        <v>0</v>
      </c>
      <c r="AD80" s="439">
        <v>0</v>
      </c>
      <c r="AE80" s="439"/>
      <c r="AF80" s="439">
        <f>AC80*2</f>
        <v>0</v>
      </c>
      <c r="AG80" s="439">
        <v>0</v>
      </c>
      <c r="AH80" s="419">
        <f t="shared" si="67"/>
        <v>0</v>
      </c>
      <c r="AI80" s="439">
        <v>0</v>
      </c>
      <c r="AJ80" s="439">
        <v>0</v>
      </c>
      <c r="AK80" s="439">
        <f>AA80-W80</f>
        <v>0</v>
      </c>
      <c r="AL80" s="439">
        <f>AA80-AF80</f>
        <v>0</v>
      </c>
      <c r="AM80" s="439">
        <f>AA80-AD80</f>
        <v>0</v>
      </c>
      <c r="AN80" s="438"/>
      <c r="AO80" s="438"/>
      <c r="AP80" s="438"/>
    </row>
    <row r="81" spans="1:42" ht="25.5">
      <c r="A81" s="412">
        <v>78</v>
      </c>
      <c r="B81" s="431"/>
      <c r="C81" s="432" t="s">
        <v>5250</v>
      </c>
      <c r="D81" s="433" t="s">
        <v>5256</v>
      </c>
      <c r="E81" s="434">
        <f>'PROSPETTO CE_IV TRIM 2024'!BM177</f>
        <v>1135478.8700000001</v>
      </c>
      <c r="F81" s="439">
        <f>+E81</f>
        <v>1135478.8700000001</v>
      </c>
      <c r="G81" s="439">
        <v>1045545.85</v>
      </c>
      <c r="H81" s="439">
        <v>1135478.8700000001</v>
      </c>
      <c r="I81" s="435">
        <f t="shared" si="71"/>
        <v>0</v>
      </c>
      <c r="J81" s="435">
        <f t="shared" si="72"/>
        <v>-0.12999999988824129</v>
      </c>
      <c r="K81" s="439">
        <v>1135479</v>
      </c>
      <c r="L81" s="439">
        <v>1135479</v>
      </c>
      <c r="M81" s="439">
        <f t="shared" si="73"/>
        <v>89933.020000000135</v>
      </c>
      <c r="N81" s="439">
        <v>441327</v>
      </c>
      <c r="O81" s="439">
        <v>441327</v>
      </c>
      <c r="P81" s="440">
        <v>1045545.85</v>
      </c>
      <c r="Q81" s="439">
        <v>1045545.85</v>
      </c>
      <c r="R81" s="439">
        <f t="shared" si="68"/>
        <v>604218.85</v>
      </c>
      <c r="S81" s="439">
        <f t="shared" si="69"/>
        <v>604218.85</v>
      </c>
      <c r="T81" s="441">
        <f>(F81-P81)/F81*100</f>
        <v>7.9202724397680893</v>
      </c>
      <c r="U81" s="439">
        <v>441327</v>
      </c>
      <c r="V81" s="439">
        <f>+AA81</f>
        <v>1045545.85</v>
      </c>
      <c r="W81" s="439">
        <v>1243900</v>
      </c>
      <c r="X81" s="439">
        <v>1045545.85</v>
      </c>
      <c r="Y81" s="435">
        <f t="shared" si="70"/>
        <v>1238704.2218181819</v>
      </c>
      <c r="Z81" s="439">
        <v>1045545.85</v>
      </c>
      <c r="AA81" s="439">
        <v>1045545.85</v>
      </c>
      <c r="AB81" s="439">
        <v>310975</v>
      </c>
      <c r="AC81" s="439">
        <v>522772.92499999999</v>
      </c>
      <c r="AD81" s="439">
        <v>1045545.85</v>
      </c>
      <c r="AE81" s="439"/>
      <c r="AF81" s="439">
        <f>AC81*2</f>
        <v>1045545.85</v>
      </c>
      <c r="AG81" s="439"/>
      <c r="AH81" s="419">
        <f t="shared" si="67"/>
        <v>-1135478.8700000001</v>
      </c>
      <c r="AI81" s="439"/>
      <c r="AJ81" s="439"/>
      <c r="AK81" s="439">
        <f>AA81-W81</f>
        <v>-198354.15000000002</v>
      </c>
      <c r="AL81" s="439">
        <f>AA81-AF81</f>
        <v>0</v>
      </c>
      <c r="AM81" s="439">
        <f>AA81-AD81</f>
        <v>0</v>
      </c>
      <c r="AN81" s="438"/>
      <c r="AO81" s="438"/>
      <c r="AP81" s="438"/>
    </row>
    <row r="82" spans="1:42" ht="25.5">
      <c r="A82" s="412">
        <v>79</v>
      </c>
      <c r="B82" s="444" t="s">
        <v>1519</v>
      </c>
      <c r="C82" s="432" t="s">
        <v>5257</v>
      </c>
      <c r="D82" s="433" t="s">
        <v>5261</v>
      </c>
      <c r="E82" s="434">
        <f>'PROSPETTO CE_IV TRIM 2024'!BM178</f>
        <v>0</v>
      </c>
      <c r="F82" s="439">
        <f>+E82</f>
        <v>0</v>
      </c>
      <c r="G82" s="439">
        <v>0</v>
      </c>
      <c r="H82" s="439">
        <v>0</v>
      </c>
      <c r="I82" s="435">
        <f t="shared" si="71"/>
        <v>0</v>
      </c>
      <c r="J82" s="435">
        <f t="shared" si="72"/>
        <v>0</v>
      </c>
      <c r="K82" s="439">
        <v>0</v>
      </c>
      <c r="L82" s="439">
        <v>0</v>
      </c>
      <c r="M82" s="439">
        <f t="shared" si="73"/>
        <v>0</v>
      </c>
      <c r="N82" s="439">
        <v>0</v>
      </c>
      <c r="O82" s="439">
        <v>0</v>
      </c>
      <c r="P82" s="440">
        <v>0</v>
      </c>
      <c r="Q82" s="439">
        <v>0</v>
      </c>
      <c r="R82" s="439">
        <f t="shared" si="68"/>
        <v>0</v>
      </c>
      <c r="S82" s="439">
        <f t="shared" si="69"/>
        <v>0</v>
      </c>
      <c r="T82" s="441"/>
      <c r="U82" s="439">
        <v>0</v>
      </c>
      <c r="V82" s="439">
        <f>+AA82</f>
        <v>0</v>
      </c>
      <c r="W82" s="439">
        <v>0</v>
      </c>
      <c r="X82" s="439">
        <v>0</v>
      </c>
      <c r="Y82" s="435">
        <f t="shared" si="70"/>
        <v>0</v>
      </c>
      <c r="Z82" s="439">
        <v>0</v>
      </c>
      <c r="AA82" s="439">
        <v>0</v>
      </c>
      <c r="AB82" s="439">
        <v>0</v>
      </c>
      <c r="AC82" s="439">
        <v>0</v>
      </c>
      <c r="AD82" s="439">
        <v>0</v>
      </c>
      <c r="AE82" s="439"/>
      <c r="AF82" s="439">
        <f>AC82*2</f>
        <v>0</v>
      </c>
      <c r="AG82" s="439">
        <v>0</v>
      </c>
      <c r="AH82" s="419">
        <f t="shared" si="67"/>
        <v>0</v>
      </c>
      <c r="AI82" s="439">
        <v>0</v>
      </c>
      <c r="AJ82" s="439">
        <v>0</v>
      </c>
      <c r="AK82" s="439">
        <f>AA82-W82</f>
        <v>0</v>
      </c>
      <c r="AL82" s="439">
        <f>AA82-AF82</f>
        <v>0</v>
      </c>
      <c r="AM82" s="439">
        <f>AA82-AD82</f>
        <v>0</v>
      </c>
      <c r="AN82" s="438"/>
      <c r="AO82" s="438"/>
      <c r="AP82" s="438"/>
    </row>
    <row r="83" spans="1:42" ht="38.25">
      <c r="A83" s="412">
        <v>80</v>
      </c>
      <c r="B83" s="431" t="s">
        <v>1340</v>
      </c>
      <c r="C83" s="432" t="s">
        <v>5262</v>
      </c>
      <c r="D83" s="433" t="s">
        <v>5267</v>
      </c>
      <c r="E83" s="434">
        <f>'PROSPETTO CE_IV TRIM 2024'!BM179</f>
        <v>0</v>
      </c>
      <c r="F83" s="439">
        <f>+E83</f>
        <v>0</v>
      </c>
      <c r="G83" s="439">
        <v>0</v>
      </c>
      <c r="H83" s="439">
        <v>0</v>
      </c>
      <c r="I83" s="435">
        <f t="shared" si="71"/>
        <v>0</v>
      </c>
      <c r="J83" s="435">
        <f t="shared" si="72"/>
        <v>0</v>
      </c>
      <c r="K83" s="439">
        <v>0</v>
      </c>
      <c r="L83" s="439">
        <v>0</v>
      </c>
      <c r="M83" s="439">
        <f t="shared" si="73"/>
        <v>0</v>
      </c>
      <c r="N83" s="439">
        <v>0</v>
      </c>
      <c r="O83" s="439">
        <v>0</v>
      </c>
      <c r="P83" s="440">
        <v>0</v>
      </c>
      <c r="Q83" s="439">
        <v>0</v>
      </c>
      <c r="R83" s="439">
        <f t="shared" si="68"/>
        <v>0</v>
      </c>
      <c r="S83" s="439">
        <f t="shared" si="69"/>
        <v>0</v>
      </c>
      <c r="T83" s="441"/>
      <c r="U83" s="439">
        <v>0</v>
      </c>
      <c r="V83" s="439">
        <f>+AA83</f>
        <v>0</v>
      </c>
      <c r="W83" s="439">
        <v>0</v>
      </c>
      <c r="X83" s="439">
        <v>0</v>
      </c>
      <c r="Y83" s="435">
        <f t="shared" si="70"/>
        <v>0</v>
      </c>
      <c r="Z83" s="439">
        <v>0</v>
      </c>
      <c r="AA83" s="439">
        <v>0</v>
      </c>
      <c r="AB83" s="439">
        <v>0</v>
      </c>
      <c r="AC83" s="439">
        <v>0</v>
      </c>
      <c r="AD83" s="439">
        <v>0</v>
      </c>
      <c r="AE83" s="439"/>
      <c r="AF83" s="439">
        <f>AC83*2</f>
        <v>0</v>
      </c>
      <c r="AG83" s="439">
        <v>0</v>
      </c>
      <c r="AH83" s="419">
        <f t="shared" si="67"/>
        <v>0</v>
      </c>
      <c r="AI83" s="439">
        <v>0</v>
      </c>
      <c r="AJ83" s="439">
        <v>0</v>
      </c>
      <c r="AK83" s="439">
        <f>AA83-W83</f>
        <v>0</v>
      </c>
      <c r="AL83" s="439">
        <f>AA83-AF83</f>
        <v>0</v>
      </c>
      <c r="AM83" s="439">
        <f>AA83-AD83</f>
        <v>0</v>
      </c>
      <c r="AN83" s="438"/>
      <c r="AO83" s="438"/>
      <c r="AP83" s="438"/>
    </row>
    <row r="84" spans="1:42" ht="38.25">
      <c r="A84" s="412">
        <v>81</v>
      </c>
      <c r="B84" s="431" t="s">
        <v>1349</v>
      </c>
      <c r="C84" s="432" t="s">
        <v>5268</v>
      </c>
      <c r="D84" s="433" t="s">
        <v>5271</v>
      </c>
      <c r="E84" s="434"/>
      <c r="F84" s="435">
        <f>SUM(F85:F89)</f>
        <v>0</v>
      </c>
      <c r="G84" s="435">
        <v>0</v>
      </c>
      <c r="H84" s="435">
        <v>0</v>
      </c>
      <c r="I84" s="435">
        <f t="shared" si="71"/>
        <v>0</v>
      </c>
      <c r="J84" s="435">
        <f t="shared" si="72"/>
        <v>0</v>
      </c>
      <c r="K84" s="435">
        <v>0</v>
      </c>
      <c r="L84" s="435">
        <v>0</v>
      </c>
      <c r="M84" s="435">
        <f t="shared" si="73"/>
        <v>0</v>
      </c>
      <c r="N84" s="435">
        <v>0</v>
      </c>
      <c r="O84" s="435">
        <v>0</v>
      </c>
      <c r="P84" s="436">
        <v>0</v>
      </c>
      <c r="Q84" s="435">
        <f t="shared" ref="Q84" si="77">SUM(Q85:Q89)</f>
        <v>0</v>
      </c>
      <c r="R84" s="435">
        <f t="shared" si="68"/>
        <v>0</v>
      </c>
      <c r="S84" s="435">
        <f t="shared" si="69"/>
        <v>0</v>
      </c>
      <c r="T84" s="437"/>
      <c r="U84" s="435">
        <v>0</v>
      </c>
      <c r="V84" s="435">
        <f>SUM(V85:V89)</f>
        <v>0</v>
      </c>
      <c r="W84" s="435">
        <f>SUM(W85:W89)</f>
        <v>0</v>
      </c>
      <c r="X84" s="435">
        <f t="shared" ref="X84" si="78">SUM(X85:X89)</f>
        <v>0</v>
      </c>
      <c r="Y84" s="435">
        <f t="shared" si="70"/>
        <v>0</v>
      </c>
      <c r="Z84" s="435">
        <v>0</v>
      </c>
      <c r="AA84" s="435">
        <v>0</v>
      </c>
      <c r="AB84" s="435">
        <f t="shared" ref="AB84:AM84" si="79">SUM(AB85:AB89)</f>
        <v>0</v>
      </c>
      <c r="AC84" s="435">
        <f t="shared" si="79"/>
        <v>0</v>
      </c>
      <c r="AD84" s="435">
        <f t="shared" si="79"/>
        <v>0</v>
      </c>
      <c r="AE84" s="435"/>
      <c r="AF84" s="435">
        <f t="shared" si="79"/>
        <v>0</v>
      </c>
      <c r="AG84" s="435">
        <f t="shared" si="79"/>
        <v>0</v>
      </c>
      <c r="AH84" s="419">
        <f t="shared" si="67"/>
        <v>0</v>
      </c>
      <c r="AI84" s="435">
        <f t="shared" si="79"/>
        <v>0</v>
      </c>
      <c r="AJ84" s="435">
        <f t="shared" si="79"/>
        <v>0</v>
      </c>
      <c r="AK84" s="435">
        <f t="shared" si="79"/>
        <v>0</v>
      </c>
      <c r="AL84" s="435">
        <f t="shared" si="79"/>
        <v>0</v>
      </c>
      <c r="AM84" s="435">
        <f t="shared" si="79"/>
        <v>0</v>
      </c>
      <c r="AN84" s="438"/>
      <c r="AO84" s="438"/>
      <c r="AP84" s="438"/>
    </row>
    <row r="85" spans="1:42" ht="25.5">
      <c r="A85" s="412">
        <v>82</v>
      </c>
      <c r="B85" s="431" t="s">
        <v>1349</v>
      </c>
      <c r="C85" s="432" t="s">
        <v>5272</v>
      </c>
      <c r="D85" s="433" t="s">
        <v>5275</v>
      </c>
      <c r="E85" s="434">
        <f>'PROSPETTO CE_IV TRIM 2024'!BM181</f>
        <v>0</v>
      </c>
      <c r="F85" s="439">
        <f t="shared" ref="F85:F90" si="80">+E85</f>
        <v>0</v>
      </c>
      <c r="G85" s="439">
        <v>0</v>
      </c>
      <c r="H85" s="439">
        <v>0</v>
      </c>
      <c r="I85" s="435">
        <f t="shared" si="71"/>
        <v>0</v>
      </c>
      <c r="J85" s="435">
        <f t="shared" si="72"/>
        <v>0</v>
      </c>
      <c r="K85" s="439">
        <v>0</v>
      </c>
      <c r="L85" s="439">
        <v>0</v>
      </c>
      <c r="M85" s="439">
        <f t="shared" si="73"/>
        <v>0</v>
      </c>
      <c r="N85" s="439">
        <v>0</v>
      </c>
      <c r="O85" s="439">
        <v>0</v>
      </c>
      <c r="P85" s="440">
        <v>0</v>
      </c>
      <c r="Q85" s="439">
        <v>0</v>
      </c>
      <c r="R85" s="439">
        <f t="shared" si="68"/>
        <v>0</v>
      </c>
      <c r="S85" s="439">
        <f t="shared" si="69"/>
        <v>0</v>
      </c>
      <c r="T85" s="441"/>
      <c r="U85" s="439">
        <v>0</v>
      </c>
      <c r="V85" s="439">
        <f t="shared" ref="V85:V90" si="81">+AA85</f>
        <v>0</v>
      </c>
      <c r="W85" s="439">
        <v>0</v>
      </c>
      <c r="X85" s="439">
        <v>0</v>
      </c>
      <c r="Y85" s="435">
        <f t="shared" si="70"/>
        <v>0</v>
      </c>
      <c r="Z85" s="439">
        <v>0</v>
      </c>
      <c r="AA85" s="439">
        <v>0</v>
      </c>
      <c r="AB85" s="439">
        <v>0</v>
      </c>
      <c r="AC85" s="439">
        <v>0</v>
      </c>
      <c r="AD85" s="439">
        <v>0</v>
      </c>
      <c r="AE85" s="439"/>
      <c r="AF85" s="439">
        <f t="shared" ref="AF85:AF90" si="82">AC85*2</f>
        <v>0</v>
      </c>
      <c r="AG85" s="439">
        <v>0</v>
      </c>
      <c r="AH85" s="419">
        <f t="shared" si="67"/>
        <v>0</v>
      </c>
      <c r="AI85" s="439">
        <v>0</v>
      </c>
      <c r="AJ85" s="439">
        <v>0</v>
      </c>
      <c r="AK85" s="439">
        <f t="shared" ref="AK85:AK90" si="83">AA85-W85</f>
        <v>0</v>
      </c>
      <c r="AL85" s="439">
        <f t="shared" ref="AL85:AL90" si="84">AA85-AF85</f>
        <v>0</v>
      </c>
      <c r="AM85" s="439">
        <f t="shared" ref="AM85:AM90" si="85">AA85-AD85</f>
        <v>0</v>
      </c>
      <c r="AN85" s="438"/>
      <c r="AO85" s="438"/>
      <c r="AP85" s="438"/>
    </row>
    <row r="86" spans="1:42" ht="25.5">
      <c r="A86" s="412">
        <v>83</v>
      </c>
      <c r="B86" s="431" t="s">
        <v>1349</v>
      </c>
      <c r="C86" s="432" t="s">
        <v>5279</v>
      </c>
      <c r="D86" s="433" t="s">
        <v>5282</v>
      </c>
      <c r="E86" s="434">
        <f>'PROSPETTO CE_IV TRIM 2024'!BM183</f>
        <v>0</v>
      </c>
      <c r="F86" s="439">
        <f t="shared" si="80"/>
        <v>0</v>
      </c>
      <c r="G86" s="439">
        <v>0</v>
      </c>
      <c r="H86" s="439">
        <v>0</v>
      </c>
      <c r="I86" s="435">
        <f t="shared" si="71"/>
        <v>0</v>
      </c>
      <c r="J86" s="435">
        <f t="shared" si="72"/>
        <v>0</v>
      </c>
      <c r="K86" s="439">
        <v>0</v>
      </c>
      <c r="L86" s="439">
        <v>0</v>
      </c>
      <c r="M86" s="439">
        <f t="shared" si="73"/>
        <v>0</v>
      </c>
      <c r="N86" s="439">
        <v>0</v>
      </c>
      <c r="O86" s="439">
        <v>0</v>
      </c>
      <c r="P86" s="440">
        <v>0</v>
      </c>
      <c r="Q86" s="439">
        <v>0</v>
      </c>
      <c r="R86" s="439">
        <f t="shared" si="68"/>
        <v>0</v>
      </c>
      <c r="S86" s="439">
        <f t="shared" si="69"/>
        <v>0</v>
      </c>
      <c r="T86" s="441"/>
      <c r="U86" s="439">
        <v>0</v>
      </c>
      <c r="V86" s="439">
        <f t="shared" si="81"/>
        <v>0</v>
      </c>
      <c r="W86" s="439">
        <v>0</v>
      </c>
      <c r="X86" s="439">
        <v>0</v>
      </c>
      <c r="Y86" s="435">
        <f t="shared" si="70"/>
        <v>0</v>
      </c>
      <c r="Z86" s="439">
        <v>0</v>
      </c>
      <c r="AA86" s="439">
        <v>0</v>
      </c>
      <c r="AB86" s="439">
        <v>0</v>
      </c>
      <c r="AC86" s="439">
        <v>0</v>
      </c>
      <c r="AD86" s="439">
        <v>0</v>
      </c>
      <c r="AE86" s="439"/>
      <c r="AF86" s="439">
        <f t="shared" si="82"/>
        <v>0</v>
      </c>
      <c r="AG86" s="439">
        <v>0</v>
      </c>
      <c r="AH86" s="419">
        <f t="shared" si="67"/>
        <v>0</v>
      </c>
      <c r="AI86" s="439">
        <v>0</v>
      </c>
      <c r="AJ86" s="439">
        <v>0</v>
      </c>
      <c r="AK86" s="439">
        <f t="shared" si="83"/>
        <v>0</v>
      </c>
      <c r="AL86" s="439">
        <f t="shared" si="84"/>
        <v>0</v>
      </c>
      <c r="AM86" s="439">
        <f t="shared" si="85"/>
        <v>0</v>
      </c>
      <c r="AN86" s="438"/>
      <c r="AO86" s="438"/>
      <c r="AP86" s="438"/>
    </row>
    <row r="87" spans="1:42" ht="25.5">
      <c r="A87" s="412">
        <v>84</v>
      </c>
      <c r="B87" s="431" t="s">
        <v>1349</v>
      </c>
      <c r="C87" s="432" t="s">
        <v>5286</v>
      </c>
      <c r="D87" s="433" t="s">
        <v>11189</v>
      </c>
      <c r="E87" s="434">
        <f>'PROSPETTO CE_IV TRIM 2024'!BM185</f>
        <v>0</v>
      </c>
      <c r="F87" s="439">
        <f t="shared" si="80"/>
        <v>0</v>
      </c>
      <c r="G87" s="439">
        <v>0</v>
      </c>
      <c r="H87" s="439">
        <v>0</v>
      </c>
      <c r="I87" s="435">
        <f t="shared" si="71"/>
        <v>0</v>
      </c>
      <c r="J87" s="435">
        <f t="shared" si="72"/>
        <v>0</v>
      </c>
      <c r="K87" s="439">
        <v>0</v>
      </c>
      <c r="L87" s="439">
        <v>0</v>
      </c>
      <c r="M87" s="439">
        <f t="shared" si="73"/>
        <v>0</v>
      </c>
      <c r="N87" s="439">
        <v>0</v>
      </c>
      <c r="O87" s="439">
        <v>0</v>
      </c>
      <c r="P87" s="440">
        <v>0</v>
      </c>
      <c r="Q87" s="439">
        <v>0</v>
      </c>
      <c r="R87" s="439">
        <f t="shared" si="68"/>
        <v>0</v>
      </c>
      <c r="S87" s="439">
        <f t="shared" si="69"/>
        <v>0</v>
      </c>
      <c r="T87" s="441"/>
      <c r="U87" s="439">
        <v>0</v>
      </c>
      <c r="V87" s="439">
        <f t="shared" si="81"/>
        <v>0</v>
      </c>
      <c r="W87" s="439">
        <v>0</v>
      </c>
      <c r="X87" s="439">
        <v>0</v>
      </c>
      <c r="Y87" s="435">
        <f t="shared" si="70"/>
        <v>0</v>
      </c>
      <c r="Z87" s="439">
        <v>0</v>
      </c>
      <c r="AA87" s="439">
        <v>0</v>
      </c>
      <c r="AB87" s="439">
        <v>0</v>
      </c>
      <c r="AC87" s="439">
        <v>0</v>
      </c>
      <c r="AD87" s="439">
        <v>0</v>
      </c>
      <c r="AE87" s="439"/>
      <c r="AF87" s="439">
        <f t="shared" si="82"/>
        <v>0</v>
      </c>
      <c r="AG87" s="439">
        <v>0</v>
      </c>
      <c r="AH87" s="419">
        <f t="shared" si="67"/>
        <v>0</v>
      </c>
      <c r="AI87" s="439">
        <v>0</v>
      </c>
      <c r="AJ87" s="439">
        <v>0</v>
      </c>
      <c r="AK87" s="439">
        <f t="shared" si="83"/>
        <v>0</v>
      </c>
      <c r="AL87" s="439">
        <f t="shared" si="84"/>
        <v>0</v>
      </c>
      <c r="AM87" s="439">
        <f t="shared" si="85"/>
        <v>0</v>
      </c>
      <c r="AN87" s="438"/>
      <c r="AO87" s="438"/>
      <c r="AP87" s="438"/>
    </row>
    <row r="88" spans="1:42" ht="25.5">
      <c r="A88" s="412">
        <v>85</v>
      </c>
      <c r="B88" s="431" t="s">
        <v>1349</v>
      </c>
      <c r="C88" s="432" t="s">
        <v>5292</v>
      </c>
      <c r="D88" s="433" t="s">
        <v>5295</v>
      </c>
      <c r="E88" s="434">
        <f>'PROSPETTO CE_IV TRIM 2024'!BM187</f>
        <v>0</v>
      </c>
      <c r="F88" s="439">
        <f t="shared" si="80"/>
        <v>0</v>
      </c>
      <c r="G88" s="439">
        <v>0</v>
      </c>
      <c r="H88" s="439">
        <v>0</v>
      </c>
      <c r="I88" s="435">
        <f t="shared" si="71"/>
        <v>0</v>
      </c>
      <c r="J88" s="435">
        <f t="shared" si="72"/>
        <v>0</v>
      </c>
      <c r="K88" s="439">
        <v>0</v>
      </c>
      <c r="L88" s="439">
        <v>0</v>
      </c>
      <c r="M88" s="439">
        <f t="shared" si="73"/>
        <v>0</v>
      </c>
      <c r="N88" s="439">
        <v>0</v>
      </c>
      <c r="O88" s="439">
        <v>0</v>
      </c>
      <c r="P88" s="440">
        <v>0</v>
      </c>
      <c r="Q88" s="439">
        <v>0</v>
      </c>
      <c r="R88" s="439">
        <f t="shared" si="68"/>
        <v>0</v>
      </c>
      <c r="S88" s="439">
        <f t="shared" si="69"/>
        <v>0</v>
      </c>
      <c r="T88" s="441"/>
      <c r="U88" s="439">
        <v>0</v>
      </c>
      <c r="V88" s="439">
        <f t="shared" si="81"/>
        <v>0</v>
      </c>
      <c r="W88" s="439">
        <v>0</v>
      </c>
      <c r="X88" s="439">
        <v>0</v>
      </c>
      <c r="Y88" s="435">
        <f t="shared" si="70"/>
        <v>0</v>
      </c>
      <c r="Z88" s="439">
        <v>0</v>
      </c>
      <c r="AA88" s="439">
        <v>0</v>
      </c>
      <c r="AB88" s="439">
        <v>0</v>
      </c>
      <c r="AC88" s="439">
        <v>0</v>
      </c>
      <c r="AD88" s="439">
        <v>0</v>
      </c>
      <c r="AE88" s="439"/>
      <c r="AF88" s="439">
        <f t="shared" si="82"/>
        <v>0</v>
      </c>
      <c r="AG88" s="439">
        <v>0</v>
      </c>
      <c r="AH88" s="419">
        <f t="shared" si="67"/>
        <v>0</v>
      </c>
      <c r="AI88" s="439">
        <v>0</v>
      </c>
      <c r="AJ88" s="439">
        <v>0</v>
      </c>
      <c r="AK88" s="439">
        <f t="shared" si="83"/>
        <v>0</v>
      </c>
      <c r="AL88" s="439">
        <f t="shared" si="84"/>
        <v>0</v>
      </c>
      <c r="AM88" s="439">
        <f t="shared" si="85"/>
        <v>0</v>
      </c>
      <c r="AN88" s="438"/>
      <c r="AO88" s="438"/>
      <c r="AP88" s="438"/>
    </row>
    <row r="89" spans="1:42" ht="38.25">
      <c r="A89" s="412">
        <v>86</v>
      </c>
      <c r="B89" s="431" t="s">
        <v>1349</v>
      </c>
      <c r="C89" s="432" t="s">
        <v>5298</v>
      </c>
      <c r="D89" s="433" t="s">
        <v>11190</v>
      </c>
      <c r="E89" s="434">
        <f>'PROSPETTO CE_IV TRIM 2024'!BM189</f>
        <v>0</v>
      </c>
      <c r="F89" s="439">
        <f t="shared" si="80"/>
        <v>0</v>
      </c>
      <c r="G89" s="439">
        <v>0</v>
      </c>
      <c r="H89" s="439">
        <v>0</v>
      </c>
      <c r="I89" s="435">
        <f t="shared" si="71"/>
        <v>0</v>
      </c>
      <c r="J89" s="435">
        <f t="shared" si="72"/>
        <v>0</v>
      </c>
      <c r="K89" s="439">
        <v>0</v>
      </c>
      <c r="L89" s="439">
        <v>0</v>
      </c>
      <c r="M89" s="439">
        <f t="shared" si="73"/>
        <v>0</v>
      </c>
      <c r="N89" s="439">
        <v>0</v>
      </c>
      <c r="O89" s="439">
        <v>0</v>
      </c>
      <c r="P89" s="440">
        <v>0</v>
      </c>
      <c r="Q89" s="439">
        <v>0</v>
      </c>
      <c r="R89" s="439">
        <f t="shared" si="68"/>
        <v>0</v>
      </c>
      <c r="S89" s="439">
        <f t="shared" si="69"/>
        <v>0</v>
      </c>
      <c r="T89" s="441"/>
      <c r="U89" s="439">
        <v>0</v>
      </c>
      <c r="V89" s="439">
        <f t="shared" si="81"/>
        <v>0</v>
      </c>
      <c r="W89" s="439">
        <v>0</v>
      </c>
      <c r="X89" s="439">
        <v>0</v>
      </c>
      <c r="Y89" s="435">
        <f t="shared" si="70"/>
        <v>0</v>
      </c>
      <c r="Z89" s="439">
        <v>0</v>
      </c>
      <c r="AA89" s="439">
        <v>0</v>
      </c>
      <c r="AB89" s="439">
        <v>0</v>
      </c>
      <c r="AC89" s="439">
        <v>0</v>
      </c>
      <c r="AD89" s="439">
        <v>0</v>
      </c>
      <c r="AE89" s="439"/>
      <c r="AF89" s="439">
        <f t="shared" si="82"/>
        <v>0</v>
      </c>
      <c r="AG89" s="439">
        <v>0</v>
      </c>
      <c r="AH89" s="419">
        <f t="shared" si="67"/>
        <v>0</v>
      </c>
      <c r="AI89" s="439">
        <v>0</v>
      </c>
      <c r="AJ89" s="439">
        <v>0</v>
      </c>
      <c r="AK89" s="439">
        <f t="shared" si="83"/>
        <v>0</v>
      </c>
      <c r="AL89" s="439">
        <f t="shared" si="84"/>
        <v>0</v>
      </c>
      <c r="AM89" s="439">
        <f t="shared" si="85"/>
        <v>0</v>
      </c>
      <c r="AN89" s="438"/>
      <c r="AO89" s="438"/>
      <c r="AP89" s="438"/>
    </row>
    <row r="90" spans="1:42" ht="25.5">
      <c r="A90" s="412">
        <v>87</v>
      </c>
      <c r="B90" s="431"/>
      <c r="C90" s="432" t="s">
        <v>5306</v>
      </c>
      <c r="D90" s="433" t="s">
        <v>11191</v>
      </c>
      <c r="E90" s="434">
        <f>'PROSPETTO CE_IV TRIM 2024'!BM192</f>
        <v>2046777.59</v>
      </c>
      <c r="F90" s="439">
        <f t="shared" si="80"/>
        <v>2046777.59</v>
      </c>
      <c r="G90" s="439">
        <v>1918733.26</v>
      </c>
      <c r="H90" s="439">
        <v>1736831.48</v>
      </c>
      <c r="I90" s="435">
        <f t="shared" si="71"/>
        <v>309946.1100000001</v>
      </c>
      <c r="J90" s="435">
        <f t="shared" si="72"/>
        <v>309946.1100000001</v>
      </c>
      <c r="K90" s="439">
        <v>1736831.48</v>
      </c>
      <c r="L90" s="439">
        <v>1731919.3499999999</v>
      </c>
      <c r="M90" s="439">
        <f t="shared" si="73"/>
        <v>1476814.86</v>
      </c>
      <c r="N90" s="439">
        <v>1481727.9</v>
      </c>
      <c r="O90" s="439">
        <v>1481727.9</v>
      </c>
      <c r="P90" s="440">
        <v>569962.73</v>
      </c>
      <c r="Q90" s="439">
        <v>1918733.26</v>
      </c>
      <c r="R90" s="439">
        <f t="shared" si="68"/>
        <v>-911765.16999999993</v>
      </c>
      <c r="S90" s="439">
        <f t="shared" si="69"/>
        <v>437005.3600000001</v>
      </c>
      <c r="T90" s="441">
        <f>(F90-P90)/F90*100</f>
        <v>72.1531673600159</v>
      </c>
      <c r="U90" s="439">
        <v>766239.02999999991</v>
      </c>
      <c r="V90" s="439">
        <f t="shared" si="81"/>
        <v>569962.73</v>
      </c>
      <c r="W90" s="439">
        <v>1002374</v>
      </c>
      <c r="X90" s="439">
        <v>1918733.26</v>
      </c>
      <c r="Y90" s="435">
        <f t="shared" si="70"/>
        <v>2232848.2800000003</v>
      </c>
      <c r="Z90" s="439">
        <v>569962.73</v>
      </c>
      <c r="AA90" s="439">
        <v>569962.73</v>
      </c>
      <c r="AB90" s="439">
        <v>160153</v>
      </c>
      <c r="AC90" s="439">
        <v>402242.66000000003</v>
      </c>
      <c r="AD90" s="439">
        <v>1918733.26</v>
      </c>
      <c r="AE90" s="439"/>
      <c r="AF90" s="439">
        <f t="shared" si="82"/>
        <v>804485.32000000007</v>
      </c>
      <c r="AG90" s="439"/>
      <c r="AH90" s="419">
        <f t="shared" si="67"/>
        <v>-2046777.59</v>
      </c>
      <c r="AI90" s="439"/>
      <c r="AJ90" s="439"/>
      <c r="AK90" s="439">
        <f t="shared" si="83"/>
        <v>-432411.27</v>
      </c>
      <c r="AL90" s="439">
        <f t="shared" si="84"/>
        <v>-234522.59000000008</v>
      </c>
      <c r="AM90" s="439">
        <f t="shared" si="85"/>
        <v>-1348770.53</v>
      </c>
      <c r="AN90" s="438"/>
      <c r="AO90" s="438"/>
      <c r="AP90" s="438"/>
    </row>
    <row r="91" spans="1:42" ht="25.5">
      <c r="A91" s="412">
        <v>88</v>
      </c>
      <c r="B91" s="431"/>
      <c r="C91" s="432" t="s">
        <v>5339</v>
      </c>
      <c r="D91" s="433" t="s">
        <v>5342</v>
      </c>
      <c r="E91" s="434">
        <f>'PROSPETTO CE_IV TRIM 2024'!BM205</f>
        <v>4172802.4699999997</v>
      </c>
      <c r="F91" s="435">
        <f>SUM(F92:F98)</f>
        <v>4172802.4699999997</v>
      </c>
      <c r="G91" s="435">
        <v>3515426.7100000004</v>
      </c>
      <c r="H91" s="435">
        <v>4172802.4699999997</v>
      </c>
      <c r="I91" s="435">
        <f t="shared" si="71"/>
        <v>0</v>
      </c>
      <c r="J91" s="435">
        <f t="shared" si="72"/>
        <v>0</v>
      </c>
      <c r="K91" s="435">
        <v>4172802.4699999997</v>
      </c>
      <c r="L91" s="435">
        <v>4172802.4699999997</v>
      </c>
      <c r="M91" s="435">
        <f t="shared" si="73"/>
        <v>-95574.820000000298</v>
      </c>
      <c r="N91" s="435">
        <v>4110299.4699999997</v>
      </c>
      <c r="O91" s="435">
        <v>4110299.4699999997</v>
      </c>
      <c r="P91" s="436">
        <v>4268377.29</v>
      </c>
      <c r="Q91" s="435">
        <f t="shared" ref="Q91" si="86">SUM(Q92:Q98)</f>
        <v>3515426.7100000004</v>
      </c>
      <c r="R91" s="435">
        <f t="shared" si="68"/>
        <v>158077.8200000003</v>
      </c>
      <c r="S91" s="435">
        <f t="shared" si="69"/>
        <v>-594872.75999999931</v>
      </c>
      <c r="T91" s="437">
        <f>(F91-P91)/F91*100</f>
        <v>-2.2904228198465453</v>
      </c>
      <c r="U91" s="435">
        <v>3016018.7</v>
      </c>
      <c r="V91" s="435">
        <f>SUM(V92:V98)</f>
        <v>4268377.29</v>
      </c>
      <c r="W91" s="435">
        <f>SUM(W92:W98)</f>
        <v>3601981</v>
      </c>
      <c r="X91" s="435">
        <f t="shared" ref="X91" si="87">SUM(X92:X98)</f>
        <v>3515426.7100000004</v>
      </c>
      <c r="Y91" s="435">
        <f t="shared" si="70"/>
        <v>4552148.1490909085</v>
      </c>
      <c r="Z91" s="435">
        <v>4268377.29</v>
      </c>
      <c r="AA91" s="435">
        <v>4268377.29</v>
      </c>
      <c r="AB91" s="435">
        <f t="shared" ref="AB91:AM91" si="88">SUM(AB92:AB98)</f>
        <v>1033712</v>
      </c>
      <c r="AC91" s="435">
        <f t="shared" si="88"/>
        <v>2096793.5350000001</v>
      </c>
      <c r="AD91" s="435">
        <f t="shared" si="88"/>
        <v>3515426.7100000004</v>
      </c>
      <c r="AE91" s="435"/>
      <c r="AF91" s="435">
        <f t="shared" si="88"/>
        <v>4193587.0700000003</v>
      </c>
      <c r="AG91" s="435">
        <f t="shared" si="88"/>
        <v>0</v>
      </c>
      <c r="AH91" s="419">
        <f t="shared" si="67"/>
        <v>-4172802.4699999997</v>
      </c>
      <c r="AI91" s="435">
        <f t="shared" si="88"/>
        <v>0</v>
      </c>
      <c r="AJ91" s="435">
        <f t="shared" si="88"/>
        <v>0</v>
      </c>
      <c r="AK91" s="435">
        <f t="shared" si="88"/>
        <v>666396.28999999992</v>
      </c>
      <c r="AL91" s="435">
        <f t="shared" si="88"/>
        <v>74790.22</v>
      </c>
      <c r="AM91" s="435">
        <f t="shared" si="88"/>
        <v>752950.57999999984</v>
      </c>
      <c r="AN91" s="438"/>
      <c r="AO91" s="438"/>
      <c r="AP91" s="438"/>
    </row>
    <row r="92" spans="1:42" ht="25.5">
      <c r="A92" s="412">
        <v>89</v>
      </c>
      <c r="B92" s="431"/>
      <c r="C92" s="432" t="s">
        <v>532</v>
      </c>
      <c r="D92" s="433" t="s">
        <v>5345</v>
      </c>
      <c r="E92" s="434">
        <f>'PROSPETTO CE_IV TRIM 2024'!BM206</f>
        <v>443210.31</v>
      </c>
      <c r="F92" s="439">
        <f t="shared" ref="F92:F98" si="89">+E92</f>
        <v>443210.31</v>
      </c>
      <c r="G92" s="439">
        <v>310147.7</v>
      </c>
      <c r="H92" s="439">
        <v>443210.31</v>
      </c>
      <c r="I92" s="435">
        <f t="shared" si="71"/>
        <v>0</v>
      </c>
      <c r="J92" s="435">
        <f t="shared" si="72"/>
        <v>0</v>
      </c>
      <c r="K92" s="439">
        <v>443210.31</v>
      </c>
      <c r="L92" s="439">
        <v>443210.31</v>
      </c>
      <c r="M92" s="439">
        <f t="shared" si="73"/>
        <v>-10775.369999999995</v>
      </c>
      <c r="N92" s="439">
        <v>443210.31</v>
      </c>
      <c r="O92" s="439">
        <v>443210.31</v>
      </c>
      <c r="P92" s="440">
        <v>453985.68</v>
      </c>
      <c r="Q92" s="439">
        <v>310147.7</v>
      </c>
      <c r="R92" s="439">
        <f t="shared" si="68"/>
        <v>10775.369999999995</v>
      </c>
      <c r="S92" s="439">
        <f t="shared" si="69"/>
        <v>-133062.60999999999</v>
      </c>
      <c r="T92" s="441">
        <f>(F92-P92)/F92*100</f>
        <v>-2.4312092378897945</v>
      </c>
      <c r="U92" s="439">
        <v>321463.56</v>
      </c>
      <c r="V92" s="439">
        <f t="shared" ref="V92:V98" si="90">+AA92</f>
        <v>453985.68</v>
      </c>
      <c r="W92" s="439">
        <v>330148</v>
      </c>
      <c r="X92" s="439">
        <v>310147.7</v>
      </c>
      <c r="Y92" s="435">
        <f t="shared" si="70"/>
        <v>483502.15636363637</v>
      </c>
      <c r="Z92" s="439">
        <v>453985.68</v>
      </c>
      <c r="AA92" s="439">
        <v>453985.68</v>
      </c>
      <c r="AB92" s="439">
        <v>125434</v>
      </c>
      <c r="AC92" s="439">
        <v>226992.84</v>
      </c>
      <c r="AD92" s="439">
        <v>310147.7</v>
      </c>
      <c r="AE92" s="439"/>
      <c r="AF92" s="439">
        <f t="shared" ref="AF92:AF98" si="91">AC92*2</f>
        <v>453985.68</v>
      </c>
      <c r="AG92" s="439"/>
      <c r="AH92" s="419">
        <f t="shared" si="67"/>
        <v>-443210.31</v>
      </c>
      <c r="AI92" s="439"/>
      <c r="AJ92" s="439"/>
      <c r="AK92" s="439">
        <f t="shared" ref="AK92:AK98" si="92">AA92-W92</f>
        <v>123837.68</v>
      </c>
      <c r="AL92" s="439">
        <f t="shared" ref="AL92:AL98" si="93">AA92-AF92</f>
        <v>0</v>
      </c>
      <c r="AM92" s="439">
        <f t="shared" ref="AM92:AM98" si="94">AA92-AD92</f>
        <v>143837.97999999998</v>
      </c>
      <c r="AN92" s="438"/>
      <c r="AO92" s="438"/>
      <c r="AP92" s="438"/>
    </row>
    <row r="93" spans="1:42" ht="25.5">
      <c r="A93" s="412">
        <v>90</v>
      </c>
      <c r="B93" s="431"/>
      <c r="C93" s="432" t="s">
        <v>533</v>
      </c>
      <c r="D93" s="433" t="s">
        <v>11192</v>
      </c>
      <c r="E93" s="434">
        <f>'PROSPETTO CE_IV TRIM 2024'!BM208</f>
        <v>3526693.8</v>
      </c>
      <c r="F93" s="439">
        <f t="shared" si="89"/>
        <v>3526693.8</v>
      </c>
      <c r="G93" s="439">
        <v>3006060.62</v>
      </c>
      <c r="H93" s="439">
        <v>3526693.8</v>
      </c>
      <c r="I93" s="435">
        <f t="shared" si="71"/>
        <v>0</v>
      </c>
      <c r="J93" s="435">
        <f t="shared" si="72"/>
        <v>0</v>
      </c>
      <c r="K93" s="439">
        <v>3526693.8</v>
      </c>
      <c r="L93" s="439">
        <v>3526693.8</v>
      </c>
      <c r="M93" s="439">
        <f t="shared" si="73"/>
        <v>-41589.200000000186</v>
      </c>
      <c r="N93" s="439">
        <v>3482190.8</v>
      </c>
      <c r="O93" s="439">
        <v>3482190.8</v>
      </c>
      <c r="P93" s="440">
        <v>3568283</v>
      </c>
      <c r="Q93" s="439">
        <v>3006060.62</v>
      </c>
      <c r="R93" s="439">
        <f t="shared" si="68"/>
        <v>86092.200000000186</v>
      </c>
      <c r="S93" s="439">
        <f t="shared" si="69"/>
        <v>-476130.1799999997</v>
      </c>
      <c r="T93" s="441">
        <f>(F93-P93)/F93*100</f>
        <v>-1.1792688097843989</v>
      </c>
      <c r="U93" s="439">
        <v>2557699.4</v>
      </c>
      <c r="V93" s="439">
        <f t="shared" si="90"/>
        <v>3568283</v>
      </c>
      <c r="W93" s="439">
        <v>3133349</v>
      </c>
      <c r="X93" s="439">
        <v>3006060.62</v>
      </c>
      <c r="Y93" s="435">
        <f t="shared" si="70"/>
        <v>3847302.3272727272</v>
      </c>
      <c r="Z93" s="439">
        <v>3568283</v>
      </c>
      <c r="AA93" s="439">
        <v>3568283</v>
      </c>
      <c r="AB93" s="439">
        <v>895527</v>
      </c>
      <c r="AC93" s="439">
        <v>1784141.5</v>
      </c>
      <c r="AD93" s="439">
        <v>3006060.62</v>
      </c>
      <c r="AE93" s="439"/>
      <c r="AF93" s="439">
        <f t="shared" si="91"/>
        <v>3568283</v>
      </c>
      <c r="AG93" s="439"/>
      <c r="AH93" s="419">
        <f t="shared" si="67"/>
        <v>-3526693.8</v>
      </c>
      <c r="AI93" s="439"/>
      <c r="AJ93" s="439"/>
      <c r="AK93" s="439">
        <f t="shared" si="92"/>
        <v>434934</v>
      </c>
      <c r="AL93" s="439">
        <f t="shared" si="93"/>
        <v>0</v>
      </c>
      <c r="AM93" s="439">
        <f t="shared" si="94"/>
        <v>562222.37999999989</v>
      </c>
      <c r="AN93" s="438"/>
      <c r="AO93" s="438"/>
      <c r="AP93" s="438"/>
    </row>
    <row r="94" spans="1:42" ht="25.5">
      <c r="A94" s="412">
        <v>91</v>
      </c>
      <c r="B94" s="431"/>
      <c r="C94" s="432" t="s">
        <v>534</v>
      </c>
      <c r="D94" s="433" t="s">
        <v>11193</v>
      </c>
      <c r="E94" s="434">
        <f>'PROSPETTO CE_IV TRIM 2024'!BM211</f>
        <v>0</v>
      </c>
      <c r="F94" s="439">
        <f t="shared" si="89"/>
        <v>0</v>
      </c>
      <c r="G94" s="439">
        <v>0</v>
      </c>
      <c r="H94" s="439">
        <v>0</v>
      </c>
      <c r="I94" s="435">
        <f t="shared" si="71"/>
        <v>0</v>
      </c>
      <c r="J94" s="435">
        <f t="shared" si="72"/>
        <v>0</v>
      </c>
      <c r="K94" s="439">
        <v>0</v>
      </c>
      <c r="L94" s="439">
        <v>0</v>
      </c>
      <c r="M94" s="439">
        <f t="shared" si="73"/>
        <v>0</v>
      </c>
      <c r="N94" s="439">
        <v>0</v>
      </c>
      <c r="O94" s="439">
        <v>0</v>
      </c>
      <c r="P94" s="440">
        <v>0</v>
      </c>
      <c r="Q94" s="439">
        <v>0</v>
      </c>
      <c r="R94" s="439">
        <f t="shared" si="68"/>
        <v>0</v>
      </c>
      <c r="S94" s="439">
        <f t="shared" si="69"/>
        <v>0</v>
      </c>
      <c r="T94" s="441"/>
      <c r="U94" s="439">
        <v>0</v>
      </c>
      <c r="V94" s="439">
        <f t="shared" si="90"/>
        <v>0</v>
      </c>
      <c r="W94" s="439">
        <v>0</v>
      </c>
      <c r="X94" s="439">
        <v>0</v>
      </c>
      <c r="Y94" s="435">
        <f t="shared" si="70"/>
        <v>0</v>
      </c>
      <c r="Z94" s="439">
        <v>0</v>
      </c>
      <c r="AA94" s="439">
        <v>0</v>
      </c>
      <c r="AB94" s="439">
        <v>0</v>
      </c>
      <c r="AC94" s="439">
        <v>0</v>
      </c>
      <c r="AD94" s="439">
        <v>0</v>
      </c>
      <c r="AE94" s="439"/>
      <c r="AF94" s="439">
        <f t="shared" si="91"/>
        <v>0</v>
      </c>
      <c r="AG94" s="439"/>
      <c r="AH94" s="419">
        <f t="shared" si="67"/>
        <v>0</v>
      </c>
      <c r="AI94" s="439"/>
      <c r="AJ94" s="439"/>
      <c r="AK94" s="439">
        <f t="shared" si="92"/>
        <v>0</v>
      </c>
      <c r="AL94" s="439">
        <f t="shared" si="93"/>
        <v>0</v>
      </c>
      <c r="AM94" s="439">
        <f t="shared" si="94"/>
        <v>0</v>
      </c>
      <c r="AN94" s="438"/>
      <c r="AO94" s="438"/>
      <c r="AP94" s="438"/>
    </row>
    <row r="95" spans="1:42" ht="25.5">
      <c r="A95" s="412">
        <v>92</v>
      </c>
      <c r="B95" s="431"/>
      <c r="C95" s="432" t="s">
        <v>535</v>
      </c>
      <c r="D95" s="433" t="s">
        <v>11194</v>
      </c>
      <c r="E95" s="434">
        <f>'PROSPETTO CE_IV TRIM 2024'!BM213</f>
        <v>78250</v>
      </c>
      <c r="F95" s="439">
        <f t="shared" si="89"/>
        <v>78250</v>
      </c>
      <c r="G95" s="439">
        <v>88635.6</v>
      </c>
      <c r="H95" s="439">
        <v>78250</v>
      </c>
      <c r="I95" s="435">
        <f t="shared" si="71"/>
        <v>0</v>
      </c>
      <c r="J95" s="435">
        <f t="shared" si="72"/>
        <v>0</v>
      </c>
      <c r="K95" s="439">
        <v>78250</v>
      </c>
      <c r="L95" s="439">
        <v>78250</v>
      </c>
      <c r="M95" s="439">
        <f t="shared" si="73"/>
        <v>35500</v>
      </c>
      <c r="N95" s="439">
        <v>67650</v>
      </c>
      <c r="O95" s="439">
        <v>67650</v>
      </c>
      <c r="P95" s="440">
        <v>42750</v>
      </c>
      <c r="Q95" s="439">
        <v>88635.6</v>
      </c>
      <c r="R95" s="439">
        <f t="shared" si="68"/>
        <v>-24900</v>
      </c>
      <c r="S95" s="439">
        <f t="shared" si="69"/>
        <v>20985.600000000006</v>
      </c>
      <c r="T95" s="441">
        <f>(F95-P95)/F95*100</f>
        <v>45.367412140575084</v>
      </c>
      <c r="U95" s="439">
        <v>51150</v>
      </c>
      <c r="V95" s="439">
        <f t="shared" si="90"/>
        <v>42750</v>
      </c>
      <c r="W95" s="439">
        <v>57100</v>
      </c>
      <c r="X95" s="439">
        <v>88635.6</v>
      </c>
      <c r="Y95" s="435">
        <f t="shared" si="70"/>
        <v>85363.636363636368</v>
      </c>
      <c r="Z95" s="439">
        <v>42750</v>
      </c>
      <c r="AA95" s="439">
        <v>42750</v>
      </c>
      <c r="AB95" s="439">
        <v>0</v>
      </c>
      <c r="AC95" s="439">
        <v>44317.8</v>
      </c>
      <c r="AD95" s="439">
        <v>88635.6</v>
      </c>
      <c r="AE95" s="439"/>
      <c r="AF95" s="439">
        <f t="shared" si="91"/>
        <v>88635.6</v>
      </c>
      <c r="AG95" s="439"/>
      <c r="AH95" s="419">
        <f t="shared" si="67"/>
        <v>-78250</v>
      </c>
      <c r="AI95" s="439"/>
      <c r="AJ95" s="439"/>
      <c r="AK95" s="439">
        <f t="shared" si="92"/>
        <v>-14350</v>
      </c>
      <c r="AL95" s="439">
        <f t="shared" si="93"/>
        <v>-45885.600000000006</v>
      </c>
      <c r="AM95" s="439">
        <f t="shared" si="94"/>
        <v>-45885.600000000006</v>
      </c>
      <c r="AN95" s="438"/>
      <c r="AO95" s="438"/>
      <c r="AP95" s="438"/>
    </row>
    <row r="96" spans="1:42" ht="38.25">
      <c r="A96" s="412">
        <v>93</v>
      </c>
      <c r="B96" s="431" t="s">
        <v>1519</v>
      </c>
      <c r="C96" s="432" t="s">
        <v>536</v>
      </c>
      <c r="D96" s="433" t="s">
        <v>11195</v>
      </c>
      <c r="E96" s="434">
        <f>'PROSPETTO CE_IV TRIM 2024'!BM215</f>
        <v>0</v>
      </c>
      <c r="F96" s="439">
        <f t="shared" si="89"/>
        <v>0</v>
      </c>
      <c r="G96" s="439">
        <v>0</v>
      </c>
      <c r="H96" s="439">
        <v>0</v>
      </c>
      <c r="I96" s="435">
        <f t="shared" si="71"/>
        <v>0</v>
      </c>
      <c r="J96" s="435">
        <f t="shared" si="72"/>
        <v>0</v>
      </c>
      <c r="K96" s="439">
        <v>0</v>
      </c>
      <c r="L96" s="439">
        <v>0</v>
      </c>
      <c r="M96" s="439">
        <f t="shared" si="73"/>
        <v>0</v>
      </c>
      <c r="N96" s="439">
        <v>0</v>
      </c>
      <c r="O96" s="439">
        <v>0</v>
      </c>
      <c r="P96" s="440">
        <v>0</v>
      </c>
      <c r="Q96" s="439">
        <v>0</v>
      </c>
      <c r="R96" s="439">
        <f t="shared" si="68"/>
        <v>0</v>
      </c>
      <c r="S96" s="439">
        <f t="shared" si="69"/>
        <v>0</v>
      </c>
      <c r="T96" s="441"/>
      <c r="U96" s="439">
        <v>0</v>
      </c>
      <c r="V96" s="439">
        <f t="shared" si="90"/>
        <v>0</v>
      </c>
      <c r="W96" s="439">
        <v>0</v>
      </c>
      <c r="X96" s="439">
        <v>0</v>
      </c>
      <c r="Y96" s="435">
        <f t="shared" si="70"/>
        <v>0</v>
      </c>
      <c r="Z96" s="439">
        <v>0</v>
      </c>
      <c r="AA96" s="439">
        <v>0</v>
      </c>
      <c r="AB96" s="439">
        <v>0</v>
      </c>
      <c r="AC96" s="439">
        <v>0</v>
      </c>
      <c r="AD96" s="439">
        <v>0</v>
      </c>
      <c r="AE96" s="439"/>
      <c r="AF96" s="439">
        <f t="shared" si="91"/>
        <v>0</v>
      </c>
      <c r="AG96" s="439"/>
      <c r="AH96" s="419">
        <f t="shared" si="67"/>
        <v>0</v>
      </c>
      <c r="AI96" s="439"/>
      <c r="AJ96" s="439"/>
      <c r="AK96" s="439">
        <f t="shared" si="92"/>
        <v>0</v>
      </c>
      <c r="AL96" s="439">
        <f t="shared" si="93"/>
        <v>0</v>
      </c>
      <c r="AM96" s="439">
        <f t="shared" si="94"/>
        <v>0</v>
      </c>
      <c r="AN96" s="438"/>
      <c r="AO96" s="438"/>
      <c r="AP96" s="438"/>
    </row>
    <row r="97" spans="1:42" ht="12.75">
      <c r="A97" s="412">
        <v>94</v>
      </c>
      <c r="B97" s="431"/>
      <c r="C97" s="432" t="s">
        <v>537</v>
      </c>
      <c r="D97" s="433" t="s">
        <v>11196</v>
      </c>
      <c r="E97" s="434">
        <f>'PROSPETTO CE_IV TRIM 2024'!BM217</f>
        <v>15848.36</v>
      </c>
      <c r="F97" s="439">
        <f t="shared" si="89"/>
        <v>15848.36</v>
      </c>
      <c r="G97" s="439">
        <v>12482.79</v>
      </c>
      <c r="H97" s="439">
        <v>15848.36</v>
      </c>
      <c r="I97" s="435">
        <f t="shared" si="71"/>
        <v>0</v>
      </c>
      <c r="J97" s="435">
        <f t="shared" si="72"/>
        <v>0</v>
      </c>
      <c r="K97" s="439">
        <v>15848.36</v>
      </c>
      <c r="L97" s="439">
        <v>15848.36</v>
      </c>
      <c r="M97" s="439">
        <f t="shared" si="73"/>
        <v>14489.75</v>
      </c>
      <c r="N97" s="439">
        <v>13448.36</v>
      </c>
      <c r="O97" s="439">
        <v>13448.36</v>
      </c>
      <c r="P97" s="440">
        <v>1358.6100000000001</v>
      </c>
      <c r="Q97" s="439">
        <v>12482.79</v>
      </c>
      <c r="R97" s="439">
        <f t="shared" si="68"/>
        <v>-12089.75</v>
      </c>
      <c r="S97" s="439">
        <f t="shared" si="69"/>
        <v>-965.56999999999971</v>
      </c>
      <c r="T97" s="441">
        <f>(F97-P97)/F97*100</f>
        <v>91.427441072767152</v>
      </c>
      <c r="U97" s="439">
        <v>905.74</v>
      </c>
      <c r="V97" s="439">
        <f t="shared" si="90"/>
        <v>1358.6100000000001</v>
      </c>
      <c r="W97" s="439">
        <v>8684</v>
      </c>
      <c r="X97" s="439">
        <v>12482.79</v>
      </c>
      <c r="Y97" s="435">
        <f t="shared" si="70"/>
        <v>17289.12</v>
      </c>
      <c r="Z97" s="439">
        <v>1358.6100000000001</v>
      </c>
      <c r="AA97" s="439">
        <v>1358.6100000000001</v>
      </c>
      <c r="AB97" s="439">
        <v>251</v>
      </c>
      <c r="AC97" s="439">
        <v>4341.3950000000004</v>
      </c>
      <c r="AD97" s="439">
        <v>12482.79</v>
      </c>
      <c r="AE97" s="439"/>
      <c r="AF97" s="439">
        <f t="shared" si="91"/>
        <v>8682.7900000000009</v>
      </c>
      <c r="AG97" s="439"/>
      <c r="AH97" s="419">
        <f t="shared" si="67"/>
        <v>-15848.36</v>
      </c>
      <c r="AI97" s="439"/>
      <c r="AJ97" s="439"/>
      <c r="AK97" s="439">
        <f t="shared" si="92"/>
        <v>-7325.3899999999994</v>
      </c>
      <c r="AL97" s="439">
        <f t="shared" si="93"/>
        <v>-7324.18</v>
      </c>
      <c r="AM97" s="439">
        <f t="shared" si="94"/>
        <v>-11124.18</v>
      </c>
      <c r="AN97" s="438"/>
      <c r="AO97" s="438"/>
      <c r="AP97" s="438"/>
    </row>
    <row r="98" spans="1:42" ht="25.5">
      <c r="A98" s="412">
        <v>95</v>
      </c>
      <c r="B98" s="431" t="s">
        <v>1519</v>
      </c>
      <c r="C98" s="432" t="s">
        <v>538</v>
      </c>
      <c r="D98" s="433" t="s">
        <v>11197</v>
      </c>
      <c r="E98" s="434">
        <f>'PROSPETTO CE_IV TRIM 2024'!BM221</f>
        <v>108800</v>
      </c>
      <c r="F98" s="439">
        <f t="shared" si="89"/>
        <v>108800</v>
      </c>
      <c r="G98" s="439">
        <v>98100</v>
      </c>
      <c r="H98" s="439">
        <v>108800</v>
      </c>
      <c r="I98" s="435">
        <f t="shared" si="71"/>
        <v>0</v>
      </c>
      <c r="J98" s="435">
        <f t="shared" si="72"/>
        <v>0</v>
      </c>
      <c r="K98" s="439">
        <v>108800</v>
      </c>
      <c r="L98" s="439">
        <v>108800</v>
      </c>
      <c r="M98" s="439">
        <f t="shared" si="73"/>
        <v>-93200</v>
      </c>
      <c r="N98" s="439">
        <v>103800</v>
      </c>
      <c r="O98" s="439">
        <v>103800</v>
      </c>
      <c r="P98" s="440">
        <v>202000</v>
      </c>
      <c r="Q98" s="439">
        <v>98100</v>
      </c>
      <c r="R98" s="439">
        <f t="shared" si="68"/>
        <v>98200</v>
      </c>
      <c r="S98" s="439">
        <f t="shared" si="69"/>
        <v>-5700</v>
      </c>
      <c r="T98" s="441">
        <f>(F98-P98)/F98*100</f>
        <v>-85.661764705882348</v>
      </c>
      <c r="U98" s="439">
        <v>84800</v>
      </c>
      <c r="V98" s="439">
        <f t="shared" si="90"/>
        <v>202000</v>
      </c>
      <c r="W98" s="439">
        <v>72700</v>
      </c>
      <c r="X98" s="439">
        <v>98100</v>
      </c>
      <c r="Y98" s="435">
        <f t="shared" si="70"/>
        <v>118690.90909090909</v>
      </c>
      <c r="Z98" s="439">
        <v>202000</v>
      </c>
      <c r="AA98" s="439">
        <v>202000</v>
      </c>
      <c r="AB98" s="439">
        <v>12500</v>
      </c>
      <c r="AC98" s="439">
        <v>37000</v>
      </c>
      <c r="AD98" s="439">
        <v>98100</v>
      </c>
      <c r="AE98" s="439"/>
      <c r="AF98" s="439">
        <f t="shared" si="91"/>
        <v>74000</v>
      </c>
      <c r="AG98" s="439"/>
      <c r="AH98" s="419">
        <f t="shared" si="67"/>
        <v>-108800</v>
      </c>
      <c r="AI98" s="439"/>
      <c r="AJ98" s="439"/>
      <c r="AK98" s="439">
        <f t="shared" si="92"/>
        <v>129300</v>
      </c>
      <c r="AL98" s="439">
        <f t="shared" si="93"/>
        <v>128000</v>
      </c>
      <c r="AM98" s="439">
        <f t="shared" si="94"/>
        <v>103900</v>
      </c>
      <c r="AN98" s="438" t="s">
        <v>11183</v>
      </c>
      <c r="AO98" s="438"/>
      <c r="AP98" s="438"/>
    </row>
    <row r="99" spans="1:42" ht="12.75">
      <c r="A99" s="412">
        <v>96</v>
      </c>
      <c r="B99" s="431"/>
      <c r="C99" s="432" t="s">
        <v>5391</v>
      </c>
      <c r="D99" s="433" t="s">
        <v>5394</v>
      </c>
      <c r="E99" s="434"/>
      <c r="F99" s="435">
        <f>+F100+F101+F104+F109+F113</f>
        <v>6801078.3099999996</v>
      </c>
      <c r="G99" s="435">
        <v>7663950.8199999994</v>
      </c>
      <c r="H99" s="435">
        <v>4877177.3099999996</v>
      </c>
      <c r="I99" s="435">
        <f t="shared" si="71"/>
        <v>1923901</v>
      </c>
      <c r="J99" s="435">
        <f t="shared" si="72"/>
        <v>4464749.41</v>
      </c>
      <c r="K99" s="435">
        <v>2336328.9</v>
      </c>
      <c r="L99" s="435">
        <v>2329071.86</v>
      </c>
      <c r="M99" s="435">
        <f t="shared" si="73"/>
        <v>4217740.6133333333</v>
      </c>
      <c r="N99" s="435">
        <v>2321659.8099999996</v>
      </c>
      <c r="O99" s="435">
        <v>2321659.8099999996</v>
      </c>
      <c r="P99" s="436">
        <v>2583337.6966666663</v>
      </c>
      <c r="Q99" s="435">
        <f t="shared" ref="Q99" si="95">+Q100+Q101+Q104+Q109+Q113</f>
        <v>7663950.8199999994</v>
      </c>
      <c r="R99" s="435">
        <f t="shared" si="68"/>
        <v>261677.88666666672</v>
      </c>
      <c r="S99" s="435">
        <f t="shared" si="69"/>
        <v>5342291.01</v>
      </c>
      <c r="T99" s="437">
        <f>(F99-P99)/F99*100</f>
        <v>62.015763105267538</v>
      </c>
      <c r="U99" s="435">
        <v>1751796.5499999998</v>
      </c>
      <c r="V99" s="435">
        <f>+V100+V101+V104+V109+V113</f>
        <v>2583337.6966666663</v>
      </c>
      <c r="W99" s="435">
        <f>+W100+W101+W104+W109+W113</f>
        <v>3661673</v>
      </c>
      <c r="X99" s="435">
        <f t="shared" ref="X99" si="96">+X100+X101+X104+X109+X113</f>
        <v>7663950.8199999994</v>
      </c>
      <c r="Y99" s="435">
        <f t="shared" si="70"/>
        <v>7419358.1563636363</v>
      </c>
      <c r="Z99" s="435">
        <v>2043078.3266666662</v>
      </c>
      <c r="AA99" s="435">
        <v>2583337.6966666663</v>
      </c>
      <c r="AB99" s="435">
        <f t="shared" ref="AB99:AM99" si="97">+AB100+AB101+AB104+AB109+AB113</f>
        <v>403058</v>
      </c>
      <c r="AC99" s="435">
        <f t="shared" si="97"/>
        <v>1313122.32</v>
      </c>
      <c r="AD99" s="435">
        <f t="shared" si="97"/>
        <v>7663950.8199999994</v>
      </c>
      <c r="AE99" s="435"/>
      <c r="AF99" s="435">
        <f t="shared" si="97"/>
        <v>2626244.64</v>
      </c>
      <c r="AG99" s="435">
        <f t="shared" si="97"/>
        <v>0</v>
      </c>
      <c r="AH99" s="419">
        <f t="shared" si="67"/>
        <v>-6801078.3099999996</v>
      </c>
      <c r="AI99" s="435">
        <f t="shared" si="97"/>
        <v>0</v>
      </c>
      <c r="AJ99" s="435">
        <f t="shared" si="97"/>
        <v>0</v>
      </c>
      <c r="AK99" s="435">
        <f t="shared" si="97"/>
        <v>-1078335.3033333335</v>
      </c>
      <c r="AL99" s="435">
        <f t="shared" si="97"/>
        <v>-42906.943333333475</v>
      </c>
      <c r="AM99" s="435">
        <f t="shared" si="97"/>
        <v>-5080613.1233333331</v>
      </c>
      <c r="AN99" s="438"/>
      <c r="AO99" s="438"/>
      <c r="AP99" s="438"/>
    </row>
    <row r="100" spans="1:42" ht="12.75">
      <c r="A100" s="412">
        <v>97</v>
      </c>
      <c r="B100" s="431"/>
      <c r="C100" s="432" t="s">
        <v>5395</v>
      </c>
      <c r="D100" s="433" t="s">
        <v>5398</v>
      </c>
      <c r="E100" s="434">
        <f>'PROSPETTO CE_IV TRIM 2024'!BM224</f>
        <v>65504.05</v>
      </c>
      <c r="F100" s="439">
        <f>+E100</f>
        <v>65504.05</v>
      </c>
      <c r="G100" s="439">
        <v>73599.649999999994</v>
      </c>
      <c r="H100" s="439">
        <v>65504.05</v>
      </c>
      <c r="I100" s="435">
        <f t="shared" si="71"/>
        <v>0</v>
      </c>
      <c r="J100" s="435">
        <f t="shared" si="72"/>
        <v>0</v>
      </c>
      <c r="K100" s="439">
        <v>65504.05</v>
      </c>
      <c r="L100" s="439">
        <v>65504.05</v>
      </c>
      <c r="M100" s="439">
        <f t="shared" si="73"/>
        <v>-605.90000000000873</v>
      </c>
      <c r="N100" s="439">
        <v>65504.05</v>
      </c>
      <c r="O100" s="439">
        <v>65504.05</v>
      </c>
      <c r="P100" s="440">
        <v>66109.950000000012</v>
      </c>
      <c r="Q100" s="439">
        <v>73599.649999999994</v>
      </c>
      <c r="R100" s="439">
        <f t="shared" si="68"/>
        <v>605.90000000000873</v>
      </c>
      <c r="S100" s="439">
        <f t="shared" si="69"/>
        <v>8095.5999999999913</v>
      </c>
      <c r="T100" s="441">
        <f>(F100-P100)/F100*100</f>
        <v>-0.92498097445884442</v>
      </c>
      <c r="U100" s="439">
        <v>49944.62</v>
      </c>
      <c r="V100" s="439">
        <f>+AA100</f>
        <v>66109.950000000012</v>
      </c>
      <c r="W100" s="439">
        <v>60421</v>
      </c>
      <c r="X100" s="439">
        <v>73599.649999999994</v>
      </c>
      <c r="Y100" s="435">
        <f t="shared" si="70"/>
        <v>71458.963636363638</v>
      </c>
      <c r="Z100" s="439">
        <v>66109.950000000012</v>
      </c>
      <c r="AA100" s="439">
        <v>66109.950000000012</v>
      </c>
      <c r="AB100" s="439">
        <v>20235</v>
      </c>
      <c r="AC100" s="439">
        <v>35948.65</v>
      </c>
      <c r="AD100" s="439">
        <v>73599.649999999994</v>
      </c>
      <c r="AE100" s="439"/>
      <c r="AF100" s="439">
        <f>AC100*2</f>
        <v>71897.3</v>
      </c>
      <c r="AG100" s="439"/>
      <c r="AH100" s="419">
        <f t="shared" si="67"/>
        <v>-65504.05</v>
      </c>
      <c r="AI100" s="439"/>
      <c r="AJ100" s="439"/>
      <c r="AK100" s="439">
        <f>AA100-W100</f>
        <v>5688.9500000000116</v>
      </c>
      <c r="AL100" s="439">
        <f>AA100-AF100</f>
        <v>-5787.3499999999913</v>
      </c>
      <c r="AM100" s="439">
        <f>AA100-AD100</f>
        <v>-7489.6999999999825</v>
      </c>
      <c r="AN100" s="438"/>
      <c r="AO100" s="438"/>
      <c r="AP100" s="438"/>
    </row>
    <row r="101" spans="1:42" ht="12.75">
      <c r="A101" s="412">
        <v>98</v>
      </c>
      <c r="B101" s="431"/>
      <c r="C101" s="432" t="s">
        <v>5403</v>
      </c>
      <c r="D101" s="433" t="s">
        <v>5406</v>
      </c>
      <c r="E101" s="434"/>
      <c r="F101" s="435">
        <f>+F102+F103</f>
        <v>0</v>
      </c>
      <c r="G101" s="435">
        <v>93099.49</v>
      </c>
      <c r="H101" s="435">
        <v>0</v>
      </c>
      <c r="I101" s="435">
        <f t="shared" si="71"/>
        <v>0</v>
      </c>
      <c r="J101" s="435">
        <f t="shared" si="72"/>
        <v>0</v>
      </c>
      <c r="K101" s="435">
        <v>0</v>
      </c>
      <c r="L101" s="435">
        <v>0</v>
      </c>
      <c r="M101" s="435">
        <f t="shared" si="73"/>
        <v>0</v>
      </c>
      <c r="N101" s="435">
        <v>0</v>
      </c>
      <c r="O101" s="435">
        <v>0</v>
      </c>
      <c r="P101" s="436">
        <v>0</v>
      </c>
      <c r="Q101" s="435">
        <f t="shared" ref="Q101" si="98">+Q102+Q103</f>
        <v>93099.49</v>
      </c>
      <c r="R101" s="435">
        <f t="shared" si="68"/>
        <v>0</v>
      </c>
      <c r="S101" s="435">
        <f t="shared" si="69"/>
        <v>93099.49</v>
      </c>
      <c r="T101" s="437"/>
      <c r="U101" s="435">
        <v>0</v>
      </c>
      <c r="V101" s="435">
        <f>+V102+V103</f>
        <v>0</v>
      </c>
      <c r="W101" s="435">
        <f>+W102+W103</f>
        <v>0</v>
      </c>
      <c r="X101" s="435">
        <f t="shared" ref="X101" si="99">+X102+X103</f>
        <v>93099.49</v>
      </c>
      <c r="Y101" s="435">
        <f t="shared" si="70"/>
        <v>0</v>
      </c>
      <c r="Z101" s="435">
        <v>0</v>
      </c>
      <c r="AA101" s="435">
        <v>0</v>
      </c>
      <c r="AB101" s="435">
        <f t="shared" ref="AB101:AM101" si="100">+AB102+AB103</f>
        <v>0</v>
      </c>
      <c r="AC101" s="435">
        <f t="shared" si="100"/>
        <v>46549.745000000003</v>
      </c>
      <c r="AD101" s="435">
        <f t="shared" si="100"/>
        <v>93099.49</v>
      </c>
      <c r="AE101" s="435"/>
      <c r="AF101" s="435">
        <f t="shared" si="100"/>
        <v>93099.49</v>
      </c>
      <c r="AG101" s="435">
        <f t="shared" si="100"/>
        <v>0</v>
      </c>
      <c r="AH101" s="419">
        <f t="shared" si="67"/>
        <v>0</v>
      </c>
      <c r="AI101" s="435">
        <f t="shared" si="100"/>
        <v>0</v>
      </c>
      <c r="AJ101" s="435">
        <f t="shared" si="100"/>
        <v>0</v>
      </c>
      <c r="AK101" s="435">
        <f t="shared" si="100"/>
        <v>0</v>
      </c>
      <c r="AL101" s="435">
        <f t="shared" si="100"/>
        <v>-93099.49</v>
      </c>
      <c r="AM101" s="435">
        <f t="shared" si="100"/>
        <v>-93099.49</v>
      </c>
      <c r="AN101" s="438"/>
      <c r="AO101" s="438"/>
      <c r="AP101" s="438"/>
    </row>
    <row r="102" spans="1:42" ht="25.5">
      <c r="A102" s="412">
        <v>99</v>
      </c>
      <c r="B102" s="431"/>
      <c r="C102" s="432" t="s">
        <v>5407</v>
      </c>
      <c r="D102" s="433" t="s">
        <v>5410</v>
      </c>
      <c r="E102" s="434">
        <f>'PROSPETTO CE_IV TRIM 2024'!BM229</f>
        <v>0</v>
      </c>
      <c r="F102" s="439">
        <f>+E102</f>
        <v>0</v>
      </c>
      <c r="G102" s="439">
        <v>93099.49</v>
      </c>
      <c r="H102" s="439">
        <v>0</v>
      </c>
      <c r="I102" s="435">
        <f t="shared" si="71"/>
        <v>0</v>
      </c>
      <c r="J102" s="435">
        <f t="shared" si="72"/>
        <v>0</v>
      </c>
      <c r="K102" s="439">
        <v>0</v>
      </c>
      <c r="L102" s="439">
        <v>0</v>
      </c>
      <c r="M102" s="439">
        <f t="shared" si="73"/>
        <v>0</v>
      </c>
      <c r="N102" s="439">
        <v>0</v>
      </c>
      <c r="O102" s="439">
        <v>0</v>
      </c>
      <c r="P102" s="440">
        <v>0</v>
      </c>
      <c r="Q102" s="439">
        <v>93099.49</v>
      </c>
      <c r="R102" s="439">
        <f t="shared" si="68"/>
        <v>0</v>
      </c>
      <c r="S102" s="439">
        <f t="shared" si="69"/>
        <v>93099.49</v>
      </c>
      <c r="T102" s="441"/>
      <c r="U102" s="439">
        <v>0</v>
      </c>
      <c r="V102" s="439">
        <f>+AA102</f>
        <v>0</v>
      </c>
      <c r="W102" s="439">
        <v>0</v>
      </c>
      <c r="X102" s="439">
        <v>93099.49</v>
      </c>
      <c r="Y102" s="435">
        <f t="shared" si="70"/>
        <v>0</v>
      </c>
      <c r="Z102" s="439">
        <v>0</v>
      </c>
      <c r="AA102" s="439">
        <v>0</v>
      </c>
      <c r="AB102" s="439">
        <v>0</v>
      </c>
      <c r="AC102" s="439">
        <v>46549.745000000003</v>
      </c>
      <c r="AD102" s="439">
        <v>93099.49</v>
      </c>
      <c r="AE102" s="439"/>
      <c r="AF102" s="439">
        <f>AC102*2</f>
        <v>93099.49</v>
      </c>
      <c r="AG102" s="439"/>
      <c r="AH102" s="419">
        <f t="shared" si="67"/>
        <v>0</v>
      </c>
      <c r="AI102" s="439"/>
      <c r="AJ102" s="439"/>
      <c r="AK102" s="439">
        <f>AA102-W102</f>
        <v>0</v>
      </c>
      <c r="AL102" s="439">
        <f>AA102-AF102</f>
        <v>-93099.49</v>
      </c>
      <c r="AM102" s="439">
        <f>AA102-AD102</f>
        <v>-93099.49</v>
      </c>
      <c r="AN102" s="438"/>
      <c r="AO102" s="438"/>
      <c r="AP102" s="438"/>
    </row>
    <row r="103" spans="1:42" ht="12.75">
      <c r="A103" s="412">
        <v>100</v>
      </c>
      <c r="B103" s="431"/>
      <c r="C103" s="432" t="s">
        <v>5413</v>
      </c>
      <c r="D103" s="433" t="s">
        <v>5416</v>
      </c>
      <c r="E103" s="434">
        <f>'PROSPETTO CE_IV TRIM 2024'!BM231</f>
        <v>0</v>
      </c>
      <c r="F103" s="439">
        <f>+E103</f>
        <v>0</v>
      </c>
      <c r="G103" s="439">
        <v>0</v>
      </c>
      <c r="H103" s="439">
        <v>0</v>
      </c>
      <c r="I103" s="435">
        <f t="shared" si="71"/>
        <v>0</v>
      </c>
      <c r="J103" s="435">
        <f t="shared" si="72"/>
        <v>0</v>
      </c>
      <c r="K103" s="439">
        <v>0</v>
      </c>
      <c r="L103" s="439">
        <v>0</v>
      </c>
      <c r="M103" s="439">
        <f t="shared" si="73"/>
        <v>0</v>
      </c>
      <c r="N103" s="439">
        <v>0</v>
      </c>
      <c r="O103" s="439">
        <v>0</v>
      </c>
      <c r="P103" s="440">
        <v>0</v>
      </c>
      <c r="Q103" s="439">
        <v>0</v>
      </c>
      <c r="R103" s="439">
        <f t="shared" si="68"/>
        <v>0</v>
      </c>
      <c r="S103" s="439">
        <f t="shared" si="69"/>
        <v>0</v>
      </c>
      <c r="T103" s="441"/>
      <c r="U103" s="439">
        <v>0</v>
      </c>
      <c r="V103" s="439">
        <f>+AA103</f>
        <v>0</v>
      </c>
      <c r="W103" s="439">
        <v>0</v>
      </c>
      <c r="X103" s="439">
        <v>0</v>
      </c>
      <c r="Y103" s="435">
        <f t="shared" si="70"/>
        <v>0</v>
      </c>
      <c r="Z103" s="439">
        <v>0</v>
      </c>
      <c r="AA103" s="439">
        <v>0</v>
      </c>
      <c r="AB103" s="439">
        <v>0</v>
      </c>
      <c r="AC103" s="439">
        <v>0</v>
      </c>
      <c r="AD103" s="439">
        <v>0</v>
      </c>
      <c r="AE103" s="439"/>
      <c r="AF103" s="439">
        <f>AC103*2</f>
        <v>0</v>
      </c>
      <c r="AG103" s="439">
        <v>0</v>
      </c>
      <c r="AH103" s="419">
        <f t="shared" si="67"/>
        <v>0</v>
      </c>
      <c r="AI103" s="439">
        <v>0</v>
      </c>
      <c r="AJ103" s="439">
        <v>0</v>
      </c>
      <c r="AK103" s="439">
        <f>AA103-W103</f>
        <v>0</v>
      </c>
      <c r="AL103" s="439">
        <f>AA103-AF103</f>
        <v>0</v>
      </c>
      <c r="AM103" s="439">
        <f>AA103-AD103</f>
        <v>0</v>
      </c>
      <c r="AN103" s="438"/>
      <c r="AO103" s="438"/>
      <c r="AP103" s="438"/>
    </row>
    <row r="104" spans="1:42" ht="25.5">
      <c r="A104" s="412">
        <v>101</v>
      </c>
      <c r="B104" s="431" t="s">
        <v>1519</v>
      </c>
      <c r="C104" s="432" t="s">
        <v>5419</v>
      </c>
      <c r="D104" s="433" t="s">
        <v>5422</v>
      </c>
      <c r="E104" s="434"/>
      <c r="F104" s="435">
        <f>+F105+F106+F107+F108</f>
        <v>3537771.73</v>
      </c>
      <c r="G104" s="435">
        <v>3211950.69</v>
      </c>
      <c r="H104" s="435">
        <v>3537771.73</v>
      </c>
      <c r="I104" s="435">
        <f t="shared" si="71"/>
        <v>0</v>
      </c>
      <c r="J104" s="435">
        <f t="shared" si="72"/>
        <v>2540848.41</v>
      </c>
      <c r="K104" s="435">
        <v>996923.32</v>
      </c>
      <c r="L104" s="435">
        <v>989672.27999999991</v>
      </c>
      <c r="M104" s="435">
        <f t="shared" si="73"/>
        <v>2610271.73</v>
      </c>
      <c r="N104" s="435">
        <v>983063.63</v>
      </c>
      <c r="O104" s="435">
        <v>983063.63</v>
      </c>
      <c r="P104" s="436">
        <v>927500</v>
      </c>
      <c r="Q104" s="435">
        <f t="shared" ref="Q104" si="101">+Q105+Q106+Q107+Q108</f>
        <v>3211950.69</v>
      </c>
      <c r="R104" s="435">
        <f t="shared" si="68"/>
        <v>-55563.630000000005</v>
      </c>
      <c r="S104" s="435">
        <f t="shared" si="69"/>
        <v>2228887.06</v>
      </c>
      <c r="T104" s="437">
        <f>(F104-P104)/F104*100</f>
        <v>73.782932569253134</v>
      </c>
      <c r="U104" s="435">
        <v>801014.80999999994</v>
      </c>
      <c r="V104" s="435">
        <f>+V105+V106+V107+V108</f>
        <v>927500</v>
      </c>
      <c r="W104" s="435">
        <f>+W105+W106+W107+W108</f>
        <v>845768</v>
      </c>
      <c r="X104" s="435">
        <f t="shared" ref="X104" si="102">+X105+X106+X107+X108</f>
        <v>3211950.69</v>
      </c>
      <c r="Y104" s="435">
        <f t="shared" si="70"/>
        <v>3859387.3418181818</v>
      </c>
      <c r="Z104" s="435">
        <v>911663.52999999968</v>
      </c>
      <c r="AA104" s="435">
        <v>927500</v>
      </c>
      <c r="AB104" s="435">
        <f t="shared" ref="AB104:AM104" si="103">+AB105+AB106+AB107+AB108</f>
        <v>65201</v>
      </c>
      <c r="AC104" s="435">
        <f t="shared" si="103"/>
        <v>498014.58000000007</v>
      </c>
      <c r="AD104" s="435">
        <f t="shared" si="103"/>
        <v>3211950.69</v>
      </c>
      <c r="AE104" s="435"/>
      <c r="AF104" s="435">
        <f t="shared" si="103"/>
        <v>996029.16000000015</v>
      </c>
      <c r="AG104" s="435">
        <f t="shared" si="103"/>
        <v>0</v>
      </c>
      <c r="AH104" s="419">
        <f t="shared" si="67"/>
        <v>-3537771.73</v>
      </c>
      <c r="AI104" s="435">
        <f t="shared" si="103"/>
        <v>0</v>
      </c>
      <c r="AJ104" s="435">
        <f t="shared" si="103"/>
        <v>0</v>
      </c>
      <c r="AK104" s="435">
        <f t="shared" si="103"/>
        <v>81732</v>
      </c>
      <c r="AL104" s="435">
        <f t="shared" si="103"/>
        <v>-68529.160000000149</v>
      </c>
      <c r="AM104" s="435">
        <f t="shared" si="103"/>
        <v>-2284450.69</v>
      </c>
      <c r="AN104" s="438"/>
      <c r="AO104" s="438"/>
      <c r="AP104" s="438"/>
    </row>
    <row r="105" spans="1:42" ht="38.25">
      <c r="A105" s="412">
        <v>102</v>
      </c>
      <c r="B105" s="431" t="s">
        <v>1519</v>
      </c>
      <c r="C105" s="432" t="s">
        <v>5423</v>
      </c>
      <c r="D105" s="433" t="s">
        <v>5426</v>
      </c>
      <c r="E105" s="434">
        <f>'PROSPETTO CE_IV TRIM 2024'!BM234</f>
        <v>918704.33</v>
      </c>
      <c r="F105" s="439">
        <f>+E105</f>
        <v>918704.33</v>
      </c>
      <c r="G105" s="439">
        <v>996029.16</v>
      </c>
      <c r="H105" s="439">
        <v>918704.33</v>
      </c>
      <c r="I105" s="435">
        <f t="shared" si="71"/>
        <v>0</v>
      </c>
      <c r="J105" s="435">
        <f t="shared" si="72"/>
        <v>-77109.670000000042</v>
      </c>
      <c r="K105" s="439">
        <v>995814</v>
      </c>
      <c r="L105" s="439">
        <v>988955.7</v>
      </c>
      <c r="M105" s="439">
        <f t="shared" si="73"/>
        <v>-8795.6700000000419</v>
      </c>
      <c r="N105" s="439">
        <v>982731.6</v>
      </c>
      <c r="O105" s="439">
        <v>982731.6</v>
      </c>
      <c r="P105" s="440">
        <v>927500</v>
      </c>
      <c r="Q105" s="439">
        <v>996029.16</v>
      </c>
      <c r="R105" s="439">
        <f t="shared" si="68"/>
        <v>-55231.599999999977</v>
      </c>
      <c r="S105" s="439">
        <f t="shared" si="69"/>
        <v>13297.560000000056</v>
      </c>
      <c r="T105" s="441">
        <f>(F105-P105)/F105*100</f>
        <v>-0.95739942795306543</v>
      </c>
      <c r="U105" s="439">
        <v>800682.77999999991</v>
      </c>
      <c r="V105" s="439">
        <f>+AA105</f>
        <v>927500</v>
      </c>
      <c r="W105" s="439">
        <v>845768</v>
      </c>
      <c r="X105" s="439">
        <v>996029.16</v>
      </c>
      <c r="Y105" s="435">
        <f t="shared" si="70"/>
        <v>1002222.9054545455</v>
      </c>
      <c r="Z105" s="439">
        <v>911663.52999999968</v>
      </c>
      <c r="AA105" s="439">
        <v>927500</v>
      </c>
      <c r="AB105" s="439">
        <v>65201</v>
      </c>
      <c r="AC105" s="439">
        <v>498014.58000000007</v>
      </c>
      <c r="AD105" s="439">
        <v>996029.16</v>
      </c>
      <c r="AE105" s="439"/>
      <c r="AF105" s="439">
        <f>AC105*2</f>
        <v>996029.16000000015</v>
      </c>
      <c r="AG105" s="439"/>
      <c r="AH105" s="419">
        <f t="shared" si="67"/>
        <v>-918704.33</v>
      </c>
      <c r="AI105" s="439"/>
      <c r="AJ105" s="439"/>
      <c r="AK105" s="439">
        <f>AA105-W105</f>
        <v>81732</v>
      </c>
      <c r="AL105" s="439">
        <f>AA105-AF105</f>
        <v>-68529.160000000149</v>
      </c>
      <c r="AM105" s="439">
        <f>AA105-AD105</f>
        <v>-68529.160000000033</v>
      </c>
      <c r="AN105" s="438"/>
      <c r="AO105" s="438"/>
      <c r="AP105" s="438"/>
    </row>
    <row r="106" spans="1:42" ht="25.5">
      <c r="A106" s="412">
        <v>103</v>
      </c>
      <c r="B106" s="431" t="s">
        <v>1519</v>
      </c>
      <c r="C106" s="432" t="s">
        <v>5429</v>
      </c>
      <c r="D106" s="433" t="s">
        <v>5432</v>
      </c>
      <c r="E106" s="434">
        <f>'PROSPETTO CE_IV TRIM 2024'!BM236</f>
        <v>0</v>
      </c>
      <c r="F106" s="439">
        <f>+E106</f>
        <v>0</v>
      </c>
      <c r="G106" s="439">
        <v>0</v>
      </c>
      <c r="H106" s="439">
        <v>0</v>
      </c>
      <c r="I106" s="435">
        <f t="shared" si="71"/>
        <v>0</v>
      </c>
      <c r="J106" s="435">
        <f t="shared" si="72"/>
        <v>0</v>
      </c>
      <c r="K106" s="439">
        <v>0</v>
      </c>
      <c r="L106" s="439">
        <v>0</v>
      </c>
      <c r="M106" s="439">
        <f t="shared" si="73"/>
        <v>0</v>
      </c>
      <c r="N106" s="439">
        <v>0</v>
      </c>
      <c r="O106" s="439">
        <v>0</v>
      </c>
      <c r="P106" s="440">
        <v>0</v>
      </c>
      <c r="Q106" s="439">
        <v>0</v>
      </c>
      <c r="R106" s="439">
        <f t="shared" si="68"/>
        <v>0</v>
      </c>
      <c r="S106" s="439">
        <f t="shared" si="69"/>
        <v>0</v>
      </c>
      <c r="T106" s="441"/>
      <c r="U106" s="439">
        <v>0</v>
      </c>
      <c r="V106" s="439">
        <f>+AA106</f>
        <v>0</v>
      </c>
      <c r="W106" s="439">
        <v>0</v>
      </c>
      <c r="X106" s="439">
        <v>0</v>
      </c>
      <c r="Y106" s="435">
        <f t="shared" si="70"/>
        <v>0</v>
      </c>
      <c r="Z106" s="439">
        <v>0</v>
      </c>
      <c r="AA106" s="439">
        <v>0</v>
      </c>
      <c r="AB106" s="439">
        <v>0</v>
      </c>
      <c r="AC106" s="439">
        <v>0</v>
      </c>
      <c r="AD106" s="439">
        <v>0</v>
      </c>
      <c r="AE106" s="439"/>
      <c r="AF106" s="439">
        <f>AC106*2</f>
        <v>0</v>
      </c>
      <c r="AG106" s="439"/>
      <c r="AH106" s="419">
        <f t="shared" si="67"/>
        <v>0</v>
      </c>
      <c r="AI106" s="439"/>
      <c r="AJ106" s="439"/>
      <c r="AK106" s="439">
        <f>AA106-W106</f>
        <v>0</v>
      </c>
      <c r="AL106" s="439">
        <f>AA106-AF106</f>
        <v>0</v>
      </c>
      <c r="AM106" s="439">
        <f>AA106-AD106</f>
        <v>0</v>
      </c>
      <c r="AN106" s="438"/>
      <c r="AO106" s="438"/>
      <c r="AP106" s="438"/>
    </row>
    <row r="107" spans="1:42" ht="25.5">
      <c r="A107" s="412">
        <v>104</v>
      </c>
      <c r="B107" s="431" t="s">
        <v>1519</v>
      </c>
      <c r="C107" s="432" t="s">
        <v>5435</v>
      </c>
      <c r="D107" s="433" t="s">
        <v>5438</v>
      </c>
      <c r="E107" s="434">
        <f>'PROSPETTO CE_IV TRIM 2024'!BM238</f>
        <v>2619067.4</v>
      </c>
      <c r="F107" s="439">
        <f>+E107</f>
        <v>2619067.4</v>
      </c>
      <c r="G107" s="439">
        <v>2215921.5299999998</v>
      </c>
      <c r="H107" s="439">
        <v>2619067.4</v>
      </c>
      <c r="I107" s="435">
        <f t="shared" si="71"/>
        <v>0</v>
      </c>
      <c r="J107" s="435">
        <f t="shared" si="72"/>
        <v>2617958.08</v>
      </c>
      <c r="K107" s="439">
        <v>1109.32</v>
      </c>
      <c r="L107" s="439">
        <v>716.58</v>
      </c>
      <c r="M107" s="439">
        <f t="shared" si="73"/>
        <v>2619067.4</v>
      </c>
      <c r="N107" s="439">
        <v>332.03</v>
      </c>
      <c r="O107" s="439">
        <v>332.03</v>
      </c>
      <c r="P107" s="440">
        <v>0</v>
      </c>
      <c r="Q107" s="439">
        <v>2215921.5299999998</v>
      </c>
      <c r="R107" s="439">
        <f t="shared" si="68"/>
        <v>-332.03</v>
      </c>
      <c r="S107" s="439">
        <f t="shared" si="69"/>
        <v>2215589.5</v>
      </c>
      <c r="T107" s="441">
        <f>(F107-P107)/F107*100</f>
        <v>100</v>
      </c>
      <c r="U107" s="439">
        <v>332.03</v>
      </c>
      <c r="V107" s="439">
        <f>+AA107</f>
        <v>0</v>
      </c>
      <c r="W107" s="439">
        <v>0</v>
      </c>
      <c r="X107" s="439">
        <v>2215921.5299999998</v>
      </c>
      <c r="Y107" s="435">
        <f t="shared" si="70"/>
        <v>2857164.4363636361</v>
      </c>
      <c r="Z107" s="439">
        <v>0</v>
      </c>
      <c r="AA107" s="439">
        <v>0</v>
      </c>
      <c r="AB107" s="439">
        <v>0</v>
      </c>
      <c r="AC107" s="439">
        <v>0</v>
      </c>
      <c r="AD107" s="439">
        <v>2215921.5299999998</v>
      </c>
      <c r="AE107" s="439"/>
      <c r="AF107" s="439">
        <f>AC107*2</f>
        <v>0</v>
      </c>
      <c r="AG107" s="439"/>
      <c r="AH107" s="419">
        <f t="shared" si="67"/>
        <v>-2619067.4</v>
      </c>
      <c r="AI107" s="439"/>
      <c r="AJ107" s="439"/>
      <c r="AK107" s="439">
        <f>AA107-W107</f>
        <v>0</v>
      </c>
      <c r="AL107" s="439">
        <f>AA107-AF107</f>
        <v>0</v>
      </c>
      <c r="AM107" s="439">
        <f>AA107-AD107</f>
        <v>-2215921.5299999998</v>
      </c>
      <c r="AN107" s="438" t="s">
        <v>11198</v>
      </c>
      <c r="AO107" s="438"/>
      <c r="AP107" s="438"/>
    </row>
    <row r="108" spans="1:42" ht="25.5">
      <c r="A108" s="412">
        <v>105</v>
      </c>
      <c r="B108" s="431" t="s">
        <v>1519</v>
      </c>
      <c r="C108" s="432" t="s">
        <v>5442</v>
      </c>
      <c r="D108" s="433" t="s">
        <v>5444</v>
      </c>
      <c r="E108" s="434">
        <f>'PROSPETTO CE_IV TRIM 2024'!BM240</f>
        <v>0</v>
      </c>
      <c r="F108" s="439">
        <f>+E108</f>
        <v>0</v>
      </c>
      <c r="G108" s="439">
        <v>0</v>
      </c>
      <c r="H108" s="439">
        <v>0</v>
      </c>
      <c r="I108" s="435">
        <f t="shared" si="71"/>
        <v>0</v>
      </c>
      <c r="J108" s="435">
        <f t="shared" si="72"/>
        <v>0</v>
      </c>
      <c r="K108" s="439">
        <v>0</v>
      </c>
      <c r="L108" s="439">
        <v>0</v>
      </c>
      <c r="M108" s="439">
        <f t="shared" si="73"/>
        <v>0</v>
      </c>
      <c r="N108" s="439">
        <v>0</v>
      </c>
      <c r="O108" s="439">
        <v>0</v>
      </c>
      <c r="P108" s="440">
        <v>0</v>
      </c>
      <c r="Q108" s="439">
        <v>0</v>
      </c>
      <c r="R108" s="439">
        <f t="shared" si="68"/>
        <v>0</v>
      </c>
      <c r="S108" s="439">
        <f t="shared" si="69"/>
        <v>0</v>
      </c>
      <c r="T108" s="441"/>
      <c r="U108" s="439">
        <v>0</v>
      </c>
      <c r="V108" s="439">
        <f>+AA108</f>
        <v>0</v>
      </c>
      <c r="W108" s="439">
        <v>0</v>
      </c>
      <c r="X108" s="439">
        <v>0</v>
      </c>
      <c r="Y108" s="435">
        <f t="shared" si="70"/>
        <v>0</v>
      </c>
      <c r="Z108" s="439">
        <v>0</v>
      </c>
      <c r="AA108" s="439">
        <v>0</v>
      </c>
      <c r="AB108" s="439">
        <v>0</v>
      </c>
      <c r="AC108" s="439">
        <v>0</v>
      </c>
      <c r="AD108" s="439">
        <v>0</v>
      </c>
      <c r="AE108" s="439"/>
      <c r="AF108" s="439">
        <f>AC108*2</f>
        <v>0</v>
      </c>
      <c r="AG108" s="439"/>
      <c r="AH108" s="419">
        <f t="shared" si="67"/>
        <v>0</v>
      </c>
      <c r="AI108" s="439"/>
      <c r="AJ108" s="439"/>
      <c r="AK108" s="439">
        <f>AA108-W108</f>
        <v>0</v>
      </c>
      <c r="AL108" s="439">
        <f>AA108-AF108</f>
        <v>0</v>
      </c>
      <c r="AM108" s="439">
        <f>AA108-AD108</f>
        <v>0</v>
      </c>
      <c r="AN108" s="438"/>
      <c r="AO108" s="438"/>
      <c r="AP108" s="438"/>
    </row>
    <row r="109" spans="1:42" ht="12.75">
      <c r="A109" s="412">
        <v>106</v>
      </c>
      <c r="B109" s="431"/>
      <c r="C109" s="432" t="s">
        <v>5447</v>
      </c>
      <c r="D109" s="433" t="s">
        <v>5450</v>
      </c>
      <c r="E109" s="434"/>
      <c r="F109" s="435">
        <f>+F110+F111+F112</f>
        <v>9418.1</v>
      </c>
      <c r="G109" s="435">
        <v>1296181.52</v>
      </c>
      <c r="H109" s="435">
        <v>9418.1</v>
      </c>
      <c r="I109" s="435">
        <f t="shared" si="71"/>
        <v>0</v>
      </c>
      <c r="J109" s="435">
        <f t="shared" si="72"/>
        <v>0</v>
      </c>
      <c r="K109" s="435">
        <v>9418.1</v>
      </c>
      <c r="L109" s="435">
        <v>9418.1</v>
      </c>
      <c r="M109" s="435">
        <f t="shared" si="73"/>
        <v>-525502.9</v>
      </c>
      <c r="N109" s="435">
        <v>9418.1</v>
      </c>
      <c r="O109" s="435">
        <v>9418.1</v>
      </c>
      <c r="P109" s="436">
        <v>534921</v>
      </c>
      <c r="Q109" s="435">
        <f t="shared" ref="Q109" si="104">+Q110+Q111+Q112</f>
        <v>1296181.52</v>
      </c>
      <c r="R109" s="435">
        <f t="shared" si="68"/>
        <v>525502.9</v>
      </c>
      <c r="S109" s="435">
        <f t="shared" si="69"/>
        <v>1286763.42</v>
      </c>
      <c r="T109" s="437">
        <f>(F109-P109)/F109*100</f>
        <v>-5579.7124685446106</v>
      </c>
      <c r="U109" s="435">
        <v>10498.1</v>
      </c>
      <c r="V109" s="435">
        <f>+V110+V111+V112</f>
        <v>534921</v>
      </c>
      <c r="W109" s="435">
        <f>+W110+W111+W112</f>
        <v>1430140</v>
      </c>
      <c r="X109" s="435">
        <f t="shared" ref="X109" si="105">+X110+X111+X112</f>
        <v>1296181.52</v>
      </c>
      <c r="Y109" s="435">
        <f t="shared" si="70"/>
        <v>10274.290909090909</v>
      </c>
      <c r="Z109" s="435">
        <v>10498.1</v>
      </c>
      <c r="AA109" s="435">
        <v>534921</v>
      </c>
      <c r="AB109" s="435">
        <f t="shared" ref="AB109:AM109" si="106">+AB110+AB111+AB112</f>
        <v>0</v>
      </c>
      <c r="AC109" s="435">
        <f t="shared" si="106"/>
        <v>39134.410000000003</v>
      </c>
      <c r="AD109" s="435">
        <f t="shared" si="106"/>
        <v>1296181.52</v>
      </c>
      <c r="AE109" s="435"/>
      <c r="AF109" s="435">
        <f t="shared" si="106"/>
        <v>78268.820000000007</v>
      </c>
      <c r="AG109" s="435">
        <f t="shared" si="106"/>
        <v>0</v>
      </c>
      <c r="AH109" s="419">
        <f t="shared" si="67"/>
        <v>-9418.1</v>
      </c>
      <c r="AI109" s="435">
        <f t="shared" si="106"/>
        <v>0</v>
      </c>
      <c r="AJ109" s="435">
        <f t="shared" si="106"/>
        <v>0</v>
      </c>
      <c r="AK109" s="435">
        <f t="shared" si="106"/>
        <v>-895219</v>
      </c>
      <c r="AL109" s="435">
        <f t="shared" si="106"/>
        <v>456652.18</v>
      </c>
      <c r="AM109" s="435">
        <f t="shared" si="106"/>
        <v>-761260.52000000014</v>
      </c>
      <c r="AN109" s="438"/>
      <c r="AO109" s="438"/>
      <c r="AP109" s="438"/>
    </row>
    <row r="110" spans="1:42" ht="38.25">
      <c r="A110" s="412">
        <v>107</v>
      </c>
      <c r="B110" s="431"/>
      <c r="C110" s="432" t="s">
        <v>5451</v>
      </c>
      <c r="D110" s="433" t="s">
        <v>5454</v>
      </c>
      <c r="E110" s="434">
        <f>'PROSPETTO CE_IV TRIM 2024'!BM243</f>
        <v>0</v>
      </c>
      <c r="F110" s="439">
        <f>+E110</f>
        <v>0</v>
      </c>
      <c r="G110" s="439">
        <v>60145.42</v>
      </c>
      <c r="H110" s="439">
        <v>0</v>
      </c>
      <c r="I110" s="435">
        <f t="shared" si="71"/>
        <v>0</v>
      </c>
      <c r="J110" s="435">
        <f t="shared" si="72"/>
        <v>0</v>
      </c>
      <c r="K110" s="439">
        <v>0</v>
      </c>
      <c r="L110" s="439">
        <v>0</v>
      </c>
      <c r="M110" s="439">
        <f t="shared" si="73"/>
        <v>0</v>
      </c>
      <c r="N110" s="439">
        <v>0</v>
      </c>
      <c r="O110" s="439">
        <v>0</v>
      </c>
      <c r="P110" s="440">
        <v>0</v>
      </c>
      <c r="Q110" s="439">
        <v>60145.42</v>
      </c>
      <c r="R110" s="439">
        <f t="shared" si="68"/>
        <v>0</v>
      </c>
      <c r="S110" s="439">
        <f t="shared" si="69"/>
        <v>60145.42</v>
      </c>
      <c r="T110" s="441"/>
      <c r="U110" s="439">
        <v>0</v>
      </c>
      <c r="V110" s="439">
        <f>+AA110</f>
        <v>0</v>
      </c>
      <c r="W110" s="439">
        <v>26651</v>
      </c>
      <c r="X110" s="439">
        <v>60145.42</v>
      </c>
      <c r="Y110" s="435">
        <f t="shared" si="70"/>
        <v>0</v>
      </c>
      <c r="Z110" s="439">
        <v>0</v>
      </c>
      <c r="AA110" s="439">
        <v>0</v>
      </c>
      <c r="AB110" s="439">
        <v>0</v>
      </c>
      <c r="AC110" s="439">
        <v>30072.71</v>
      </c>
      <c r="AD110" s="439">
        <v>60145.42</v>
      </c>
      <c r="AE110" s="439"/>
      <c r="AF110" s="439">
        <f>AC110*2</f>
        <v>60145.42</v>
      </c>
      <c r="AG110" s="439"/>
      <c r="AH110" s="419">
        <f t="shared" si="67"/>
        <v>0</v>
      </c>
      <c r="AI110" s="439"/>
      <c r="AJ110" s="439"/>
      <c r="AK110" s="439">
        <f>AA110-W110</f>
        <v>-26651</v>
      </c>
      <c r="AL110" s="439">
        <f>AA110-AF110</f>
        <v>-60145.42</v>
      </c>
      <c r="AM110" s="439">
        <f>AA110-AD110</f>
        <v>-60145.42</v>
      </c>
      <c r="AN110" s="438"/>
      <c r="AO110" s="438"/>
      <c r="AP110" s="438"/>
    </row>
    <row r="111" spans="1:42" ht="25.5">
      <c r="A111" s="412">
        <v>108</v>
      </c>
      <c r="B111" s="431"/>
      <c r="C111" s="432" t="s">
        <v>5457</v>
      </c>
      <c r="D111" s="433" t="s">
        <v>5460</v>
      </c>
      <c r="E111" s="434">
        <f>'PROSPETTO CE_IV TRIM 2024'!BM245</f>
        <v>0</v>
      </c>
      <c r="F111" s="439">
        <f>+E111</f>
        <v>0</v>
      </c>
      <c r="G111" s="439">
        <v>0</v>
      </c>
      <c r="H111" s="439">
        <v>0</v>
      </c>
      <c r="I111" s="435">
        <f t="shared" si="71"/>
        <v>0</v>
      </c>
      <c r="J111" s="435">
        <f t="shared" si="72"/>
        <v>0</v>
      </c>
      <c r="K111" s="439">
        <v>0</v>
      </c>
      <c r="L111" s="439">
        <v>0</v>
      </c>
      <c r="M111" s="439">
        <f t="shared" si="73"/>
        <v>0</v>
      </c>
      <c r="N111" s="439">
        <v>0</v>
      </c>
      <c r="O111" s="439">
        <v>0</v>
      </c>
      <c r="P111" s="440">
        <v>0</v>
      </c>
      <c r="Q111" s="439">
        <v>0</v>
      </c>
      <c r="R111" s="439">
        <f t="shared" si="68"/>
        <v>0</v>
      </c>
      <c r="S111" s="439">
        <f t="shared" si="69"/>
        <v>0</v>
      </c>
      <c r="T111" s="441"/>
      <c r="U111" s="439">
        <v>0</v>
      </c>
      <c r="V111" s="439">
        <f>+AA111</f>
        <v>0</v>
      </c>
      <c r="W111" s="439">
        <v>0</v>
      </c>
      <c r="X111" s="439">
        <v>0</v>
      </c>
      <c r="Y111" s="435">
        <f t="shared" si="70"/>
        <v>0</v>
      </c>
      <c r="Z111" s="439">
        <v>0</v>
      </c>
      <c r="AA111" s="439">
        <v>0</v>
      </c>
      <c r="AB111" s="439">
        <v>0</v>
      </c>
      <c r="AC111" s="439">
        <v>0</v>
      </c>
      <c r="AD111" s="439">
        <v>0</v>
      </c>
      <c r="AE111" s="439"/>
      <c r="AF111" s="439">
        <f>AC111*2</f>
        <v>0</v>
      </c>
      <c r="AG111" s="439"/>
      <c r="AH111" s="419">
        <f t="shared" si="67"/>
        <v>0</v>
      </c>
      <c r="AI111" s="439"/>
      <c r="AJ111" s="439"/>
      <c r="AK111" s="439">
        <f>AA111-W111</f>
        <v>0</v>
      </c>
      <c r="AL111" s="439">
        <f>AA111-AF111</f>
        <v>0</v>
      </c>
      <c r="AM111" s="439">
        <f>AA111-AD111</f>
        <v>0</v>
      </c>
      <c r="AN111" s="438"/>
      <c r="AO111" s="438"/>
      <c r="AP111" s="438"/>
    </row>
    <row r="112" spans="1:42" ht="25.5">
      <c r="A112" s="412">
        <v>109</v>
      </c>
      <c r="B112" s="431"/>
      <c r="C112" s="432" t="s">
        <v>5463</v>
      </c>
      <c r="D112" s="433" t="s">
        <v>5466</v>
      </c>
      <c r="E112" s="434">
        <f>'PROSPETTO CE_IV TRIM 2024'!BM247</f>
        <v>9418.1</v>
      </c>
      <c r="F112" s="439">
        <f>+E112</f>
        <v>9418.1</v>
      </c>
      <c r="G112" s="439">
        <v>1236036.1000000001</v>
      </c>
      <c r="H112" s="439">
        <v>9418.1</v>
      </c>
      <c r="I112" s="435">
        <f t="shared" si="71"/>
        <v>0</v>
      </c>
      <c r="J112" s="435">
        <f t="shared" si="72"/>
        <v>0</v>
      </c>
      <c r="K112" s="439">
        <v>9418.1</v>
      </c>
      <c r="L112" s="439">
        <v>9418.1</v>
      </c>
      <c r="M112" s="439">
        <f t="shared" si="73"/>
        <v>-525502.9</v>
      </c>
      <c r="N112" s="439">
        <v>9418.1</v>
      </c>
      <c r="O112" s="439">
        <v>9418.1</v>
      </c>
      <c r="P112" s="443">
        <v>534921</v>
      </c>
      <c r="Q112" s="439">
        <v>1236036.1000000001</v>
      </c>
      <c r="R112" s="439">
        <f t="shared" si="68"/>
        <v>525502.9</v>
      </c>
      <c r="S112" s="439">
        <f t="shared" si="69"/>
        <v>1226618</v>
      </c>
      <c r="T112" s="441">
        <f>(F112-P112)/F112*100</f>
        <v>-5579.7124685446106</v>
      </c>
      <c r="U112" s="439">
        <v>10498.1</v>
      </c>
      <c r="V112" s="439">
        <f>+AA112</f>
        <v>534921</v>
      </c>
      <c r="W112" s="439">
        <v>1403489</v>
      </c>
      <c r="X112" s="439">
        <v>1236036.1000000001</v>
      </c>
      <c r="Y112" s="435">
        <f t="shared" si="70"/>
        <v>10274.290909090909</v>
      </c>
      <c r="Z112" s="439">
        <v>10498.1</v>
      </c>
      <c r="AA112" s="439">
        <v>534921</v>
      </c>
      <c r="AB112" s="439">
        <v>0</v>
      </c>
      <c r="AC112" s="439">
        <v>9061.7000000000007</v>
      </c>
      <c r="AD112" s="439">
        <v>1236036.1000000001</v>
      </c>
      <c r="AE112" s="439"/>
      <c r="AF112" s="439">
        <f>AC112*2</f>
        <v>18123.400000000001</v>
      </c>
      <c r="AG112" s="439"/>
      <c r="AH112" s="419">
        <f t="shared" si="67"/>
        <v>-9418.1</v>
      </c>
      <c r="AI112" s="439"/>
      <c r="AJ112" s="439"/>
      <c r="AK112" s="439">
        <f>AA112-W112</f>
        <v>-868568</v>
      </c>
      <c r="AL112" s="439">
        <f>AA112-AF112</f>
        <v>516797.6</v>
      </c>
      <c r="AM112" s="439">
        <f>AA112-AD112</f>
        <v>-701115.10000000009</v>
      </c>
      <c r="AN112" s="438" t="s">
        <v>11183</v>
      </c>
      <c r="AO112" s="438"/>
      <c r="AP112" s="438"/>
    </row>
    <row r="113" spans="1:42" ht="12.75">
      <c r="A113" s="412">
        <v>110</v>
      </c>
      <c r="B113" s="431"/>
      <c r="C113" s="432" t="s">
        <v>5472</v>
      </c>
      <c r="D113" s="433" t="s">
        <v>5475</v>
      </c>
      <c r="E113" s="434"/>
      <c r="F113" s="435">
        <f>+F114+F118+F119</f>
        <v>3188384.4299999997</v>
      </c>
      <c r="G113" s="435">
        <v>2989119.4699999997</v>
      </c>
      <c r="H113" s="435">
        <v>1264483.43</v>
      </c>
      <c r="I113" s="435">
        <f t="shared" si="71"/>
        <v>1923900.9999999998</v>
      </c>
      <c r="J113" s="435">
        <f t="shared" si="72"/>
        <v>1923900.9999999998</v>
      </c>
      <c r="K113" s="435">
        <v>1264483.43</v>
      </c>
      <c r="L113" s="435">
        <v>1264477.43</v>
      </c>
      <c r="M113" s="435">
        <f t="shared" si="73"/>
        <v>2133577.6833333331</v>
      </c>
      <c r="N113" s="435">
        <v>1263674.0299999998</v>
      </c>
      <c r="O113" s="435">
        <v>1263674.0299999998</v>
      </c>
      <c r="P113" s="436">
        <v>1054806.7466666666</v>
      </c>
      <c r="Q113" s="435">
        <f t="shared" ref="Q113" si="107">+Q114+Q118+Q119</f>
        <v>2989119.4699999997</v>
      </c>
      <c r="R113" s="435">
        <f t="shared" si="68"/>
        <v>-208867.28333333321</v>
      </c>
      <c r="S113" s="435">
        <f t="shared" si="69"/>
        <v>1725445.44</v>
      </c>
      <c r="T113" s="437">
        <f>(F113-P113)/F113*100</f>
        <v>66.917203059272666</v>
      </c>
      <c r="U113" s="435">
        <v>890339.02</v>
      </c>
      <c r="V113" s="435">
        <f>+V114+V118+V119</f>
        <v>1054806.7466666666</v>
      </c>
      <c r="W113" s="435">
        <f>+W114+W118+W119</f>
        <v>1325344</v>
      </c>
      <c r="X113" s="435">
        <f t="shared" ref="X113" si="108">+X114+X118+X119</f>
        <v>2989119.4699999997</v>
      </c>
      <c r="Y113" s="435">
        <f t="shared" si="70"/>
        <v>3478237.5599999996</v>
      </c>
      <c r="Z113" s="435">
        <v>1054806.7466666666</v>
      </c>
      <c r="AA113" s="435">
        <v>1054806.7466666666</v>
      </c>
      <c r="AB113" s="435">
        <f t="shared" ref="AB113:AM113" si="109">+AB114+AB118+AB119</f>
        <v>317622</v>
      </c>
      <c r="AC113" s="435">
        <f t="shared" si="109"/>
        <v>693474.93499999994</v>
      </c>
      <c r="AD113" s="435">
        <f t="shared" si="109"/>
        <v>2989119.4699999997</v>
      </c>
      <c r="AE113" s="435"/>
      <c r="AF113" s="435">
        <f t="shared" si="109"/>
        <v>1386949.8699999999</v>
      </c>
      <c r="AG113" s="435">
        <f t="shared" si="109"/>
        <v>0</v>
      </c>
      <c r="AH113" s="419">
        <f t="shared" si="67"/>
        <v>-3188384.4299999997</v>
      </c>
      <c r="AI113" s="435">
        <f t="shared" si="109"/>
        <v>0</v>
      </c>
      <c r="AJ113" s="435">
        <f t="shared" si="109"/>
        <v>0</v>
      </c>
      <c r="AK113" s="435">
        <f t="shared" si="109"/>
        <v>-270537.25333333341</v>
      </c>
      <c r="AL113" s="435">
        <f t="shared" si="109"/>
        <v>-332143.12333333329</v>
      </c>
      <c r="AM113" s="435">
        <f t="shared" si="109"/>
        <v>-1934312.7233333334</v>
      </c>
      <c r="AN113" s="438"/>
      <c r="AO113" s="438"/>
      <c r="AP113" s="438"/>
    </row>
    <row r="114" spans="1:42" ht="12.75">
      <c r="A114" s="412">
        <v>111</v>
      </c>
      <c r="B114" s="431"/>
      <c r="C114" s="432" t="s">
        <v>5476</v>
      </c>
      <c r="D114" s="433" t="s">
        <v>5479</v>
      </c>
      <c r="E114" s="434"/>
      <c r="F114" s="435">
        <f>+F115+F116+F117</f>
        <v>1923901</v>
      </c>
      <c r="G114" s="435">
        <v>1647205</v>
      </c>
      <c r="H114" s="435">
        <v>0</v>
      </c>
      <c r="I114" s="435">
        <f t="shared" si="71"/>
        <v>1923901</v>
      </c>
      <c r="J114" s="435">
        <f t="shared" si="72"/>
        <v>1923901</v>
      </c>
      <c r="K114" s="435">
        <v>0</v>
      </c>
      <c r="L114" s="435">
        <v>0</v>
      </c>
      <c r="M114" s="435">
        <f t="shared" si="73"/>
        <v>1923901</v>
      </c>
      <c r="N114" s="435">
        <v>0</v>
      </c>
      <c r="O114" s="435">
        <v>0</v>
      </c>
      <c r="P114" s="436">
        <v>0</v>
      </c>
      <c r="Q114" s="435">
        <f t="shared" ref="Q114" si="110">+Q115+Q116+Q117</f>
        <v>1647205</v>
      </c>
      <c r="R114" s="435">
        <f t="shared" si="68"/>
        <v>0</v>
      </c>
      <c r="S114" s="435">
        <f t="shared" si="69"/>
        <v>1647205</v>
      </c>
      <c r="T114" s="437"/>
      <c r="U114" s="435">
        <v>0</v>
      </c>
      <c r="V114" s="435">
        <f>+V115+V116+V117</f>
        <v>0</v>
      </c>
      <c r="W114" s="435">
        <f>+W115+W116+W117</f>
        <v>0</v>
      </c>
      <c r="X114" s="435">
        <f t="shared" ref="X114" si="111">+X115+X116+X117</f>
        <v>1647205</v>
      </c>
      <c r="Y114" s="435">
        <f t="shared" si="70"/>
        <v>2098801.0909090908</v>
      </c>
      <c r="Z114" s="435">
        <v>0</v>
      </c>
      <c r="AA114" s="435">
        <v>0</v>
      </c>
      <c r="AB114" s="435">
        <f t="shared" ref="AB114:AM114" si="112">+AB115+AB116+AB117</f>
        <v>0</v>
      </c>
      <c r="AC114" s="435">
        <f t="shared" si="112"/>
        <v>0</v>
      </c>
      <c r="AD114" s="435">
        <f t="shared" si="112"/>
        <v>1647205</v>
      </c>
      <c r="AE114" s="435"/>
      <c r="AF114" s="435">
        <f t="shared" si="112"/>
        <v>0</v>
      </c>
      <c r="AG114" s="435">
        <f t="shared" si="112"/>
        <v>0</v>
      </c>
      <c r="AH114" s="419">
        <f t="shared" si="67"/>
        <v>-1923901</v>
      </c>
      <c r="AI114" s="435">
        <f t="shared" si="112"/>
        <v>0</v>
      </c>
      <c r="AJ114" s="435">
        <f t="shared" si="112"/>
        <v>0</v>
      </c>
      <c r="AK114" s="435">
        <f t="shared" si="112"/>
        <v>0</v>
      </c>
      <c r="AL114" s="435">
        <f t="shared" si="112"/>
        <v>0</v>
      </c>
      <c r="AM114" s="435">
        <f t="shared" si="112"/>
        <v>-1647205</v>
      </c>
      <c r="AN114" s="438"/>
      <c r="AO114" s="438"/>
      <c r="AP114" s="438"/>
    </row>
    <row r="115" spans="1:42" ht="25.5">
      <c r="A115" s="412">
        <v>112</v>
      </c>
      <c r="B115" s="431"/>
      <c r="C115" s="432" t="s">
        <v>5480</v>
      </c>
      <c r="D115" s="433" t="s">
        <v>5485</v>
      </c>
      <c r="E115" s="434">
        <f>'PROSPETTO CE_IV TRIM 2024'!BM252</f>
        <v>0</v>
      </c>
      <c r="F115" s="439">
        <f>+E115</f>
        <v>0</v>
      </c>
      <c r="G115" s="439">
        <v>0</v>
      </c>
      <c r="H115" s="439">
        <v>0</v>
      </c>
      <c r="I115" s="435">
        <f t="shared" si="71"/>
        <v>0</v>
      </c>
      <c r="J115" s="435">
        <f t="shared" si="72"/>
        <v>0</v>
      </c>
      <c r="K115" s="439">
        <v>0</v>
      </c>
      <c r="L115" s="439">
        <v>0</v>
      </c>
      <c r="M115" s="439">
        <f t="shared" si="73"/>
        <v>0</v>
      </c>
      <c r="N115" s="439">
        <v>0</v>
      </c>
      <c r="O115" s="439">
        <v>0</v>
      </c>
      <c r="P115" s="440">
        <v>0</v>
      </c>
      <c r="Q115" s="439">
        <v>0</v>
      </c>
      <c r="R115" s="439">
        <f t="shared" si="68"/>
        <v>0</v>
      </c>
      <c r="S115" s="439">
        <f t="shared" si="69"/>
        <v>0</v>
      </c>
      <c r="T115" s="441"/>
      <c r="U115" s="439">
        <v>0</v>
      </c>
      <c r="V115" s="439">
        <f>+AA115</f>
        <v>0</v>
      </c>
      <c r="W115" s="439">
        <v>0</v>
      </c>
      <c r="X115" s="439">
        <v>0</v>
      </c>
      <c r="Y115" s="435">
        <f t="shared" si="70"/>
        <v>0</v>
      </c>
      <c r="Z115" s="439">
        <v>0</v>
      </c>
      <c r="AA115" s="439">
        <v>0</v>
      </c>
      <c r="AB115" s="439">
        <v>0</v>
      </c>
      <c r="AC115" s="439">
        <v>0</v>
      </c>
      <c r="AD115" s="439">
        <v>0</v>
      </c>
      <c r="AE115" s="439"/>
      <c r="AF115" s="439">
        <f>AC115*2</f>
        <v>0</v>
      </c>
      <c r="AG115" s="439"/>
      <c r="AH115" s="419">
        <f t="shared" si="67"/>
        <v>0</v>
      </c>
      <c r="AI115" s="439"/>
      <c r="AJ115" s="439"/>
      <c r="AK115" s="439">
        <f>AA115-W115</f>
        <v>0</v>
      </c>
      <c r="AL115" s="439">
        <f>AA115-AF115</f>
        <v>0</v>
      </c>
      <c r="AM115" s="439">
        <f>AA115-AD115</f>
        <v>0</v>
      </c>
      <c r="AN115" s="438"/>
      <c r="AO115" s="438"/>
      <c r="AP115" s="438"/>
    </row>
    <row r="116" spans="1:42" ht="25.5">
      <c r="A116" s="412">
        <v>113</v>
      </c>
      <c r="B116" s="431"/>
      <c r="C116" s="432" t="s">
        <v>5486</v>
      </c>
      <c r="D116" s="433" t="s">
        <v>5491</v>
      </c>
      <c r="E116" s="434">
        <f>'PROSPETTO CE_IV TRIM 2024'!BM253</f>
        <v>1624274</v>
      </c>
      <c r="F116" s="439">
        <f>+E116</f>
        <v>1624274</v>
      </c>
      <c r="G116" s="439">
        <v>1162316</v>
      </c>
      <c r="H116" s="439">
        <v>0</v>
      </c>
      <c r="I116" s="435">
        <f t="shared" si="71"/>
        <v>1624274</v>
      </c>
      <c r="J116" s="435">
        <f t="shared" si="72"/>
        <v>1624274</v>
      </c>
      <c r="K116" s="439">
        <v>0</v>
      </c>
      <c r="L116" s="439">
        <v>0</v>
      </c>
      <c r="M116" s="439">
        <f t="shared" si="73"/>
        <v>1624274</v>
      </c>
      <c r="N116" s="439">
        <v>0</v>
      </c>
      <c r="O116" s="439">
        <v>0</v>
      </c>
      <c r="P116" s="440">
        <v>0</v>
      </c>
      <c r="Q116" s="439">
        <v>1162316</v>
      </c>
      <c r="R116" s="439">
        <f t="shared" si="68"/>
        <v>0</v>
      </c>
      <c r="S116" s="439">
        <f t="shared" si="69"/>
        <v>1162316</v>
      </c>
      <c r="T116" s="441"/>
      <c r="U116" s="439">
        <v>0</v>
      </c>
      <c r="V116" s="439">
        <f>+AA116</f>
        <v>0</v>
      </c>
      <c r="W116" s="439">
        <v>0</v>
      </c>
      <c r="X116" s="439">
        <v>1162316</v>
      </c>
      <c r="Y116" s="435">
        <f t="shared" si="70"/>
        <v>1771935.2727272729</v>
      </c>
      <c r="Z116" s="439">
        <v>0</v>
      </c>
      <c r="AA116" s="439">
        <v>0</v>
      </c>
      <c r="AB116" s="439">
        <v>0</v>
      </c>
      <c r="AC116" s="439">
        <v>0</v>
      </c>
      <c r="AD116" s="439">
        <v>1162316</v>
      </c>
      <c r="AE116" s="439"/>
      <c r="AF116" s="439">
        <f>AC116*2</f>
        <v>0</v>
      </c>
      <c r="AG116" s="439"/>
      <c r="AH116" s="419">
        <f t="shared" si="67"/>
        <v>-1624274</v>
      </c>
      <c r="AI116" s="439"/>
      <c r="AJ116" s="439"/>
      <c r="AK116" s="439">
        <f>AA116-W116</f>
        <v>0</v>
      </c>
      <c r="AL116" s="439">
        <f>AA116-AF116</f>
        <v>0</v>
      </c>
      <c r="AM116" s="439">
        <f>AA116-AD116</f>
        <v>-1162316</v>
      </c>
      <c r="AN116" s="438" t="s">
        <v>11199</v>
      </c>
      <c r="AO116" s="438"/>
      <c r="AP116" s="438"/>
    </row>
    <row r="117" spans="1:42" ht="12.75">
      <c r="A117" s="412">
        <v>114</v>
      </c>
      <c r="B117" s="431"/>
      <c r="C117" s="432" t="s">
        <v>5492</v>
      </c>
      <c r="D117" s="433" t="s">
        <v>5496</v>
      </c>
      <c r="E117" s="434">
        <f>'PROSPETTO CE_IV TRIM 2024'!BM254</f>
        <v>299627</v>
      </c>
      <c r="F117" s="439">
        <f>+E117</f>
        <v>299627</v>
      </c>
      <c r="G117" s="439">
        <v>484889</v>
      </c>
      <c r="H117" s="439">
        <v>0</v>
      </c>
      <c r="I117" s="435">
        <f t="shared" si="71"/>
        <v>299627</v>
      </c>
      <c r="J117" s="435">
        <f t="shared" si="72"/>
        <v>299627</v>
      </c>
      <c r="K117" s="439">
        <v>0</v>
      </c>
      <c r="L117" s="439">
        <v>0</v>
      </c>
      <c r="M117" s="439">
        <f t="shared" si="73"/>
        <v>299627</v>
      </c>
      <c r="N117" s="439">
        <v>0</v>
      </c>
      <c r="O117" s="439">
        <v>0</v>
      </c>
      <c r="P117" s="440">
        <v>0</v>
      </c>
      <c r="Q117" s="439">
        <v>484889</v>
      </c>
      <c r="R117" s="439">
        <f t="shared" si="68"/>
        <v>0</v>
      </c>
      <c r="S117" s="439">
        <f t="shared" si="69"/>
        <v>484889</v>
      </c>
      <c r="T117" s="441"/>
      <c r="U117" s="439">
        <v>0</v>
      </c>
      <c r="V117" s="439">
        <f>+AA117</f>
        <v>0</v>
      </c>
      <c r="W117" s="439">
        <v>0</v>
      </c>
      <c r="X117" s="439">
        <v>484889</v>
      </c>
      <c r="Y117" s="435">
        <f t="shared" si="70"/>
        <v>326865.81818181818</v>
      </c>
      <c r="Z117" s="439">
        <v>0</v>
      </c>
      <c r="AA117" s="439">
        <v>0</v>
      </c>
      <c r="AB117" s="439">
        <v>0</v>
      </c>
      <c r="AC117" s="439">
        <v>0</v>
      </c>
      <c r="AD117" s="439">
        <v>484889</v>
      </c>
      <c r="AE117" s="439"/>
      <c r="AF117" s="439">
        <f>AC117*2</f>
        <v>0</v>
      </c>
      <c r="AG117" s="439"/>
      <c r="AH117" s="419">
        <f t="shared" si="67"/>
        <v>-299627</v>
      </c>
      <c r="AI117" s="439"/>
      <c r="AJ117" s="439"/>
      <c r="AK117" s="439">
        <f>AA117-W117</f>
        <v>0</v>
      </c>
      <c r="AL117" s="439">
        <f>AA117-AF117</f>
        <v>0</v>
      </c>
      <c r="AM117" s="439">
        <f>AA117-AD117</f>
        <v>-484889</v>
      </c>
      <c r="AN117" s="438" t="s">
        <v>11199</v>
      </c>
      <c r="AO117" s="438"/>
      <c r="AP117" s="438"/>
    </row>
    <row r="118" spans="1:42" ht="12.75">
      <c r="A118" s="412">
        <v>115</v>
      </c>
      <c r="B118" s="431"/>
      <c r="C118" s="432" t="s">
        <v>5497</v>
      </c>
      <c r="D118" s="433" t="s">
        <v>5499</v>
      </c>
      <c r="E118" s="434">
        <f>'PROSPETTO CE_IV TRIM 2024'!BM255</f>
        <v>0</v>
      </c>
      <c r="F118" s="439">
        <f>+E118</f>
        <v>0</v>
      </c>
      <c r="G118" s="439">
        <v>0</v>
      </c>
      <c r="H118" s="439">
        <v>0</v>
      </c>
      <c r="I118" s="435">
        <f t="shared" si="71"/>
        <v>0</v>
      </c>
      <c r="J118" s="435">
        <f t="shared" si="72"/>
        <v>0</v>
      </c>
      <c r="K118" s="439">
        <v>0</v>
      </c>
      <c r="L118" s="439">
        <v>0</v>
      </c>
      <c r="M118" s="439">
        <f t="shared" si="73"/>
        <v>0</v>
      </c>
      <c r="N118" s="439">
        <v>0</v>
      </c>
      <c r="O118" s="439">
        <v>0</v>
      </c>
      <c r="P118" s="440">
        <v>0</v>
      </c>
      <c r="Q118" s="439">
        <v>0</v>
      </c>
      <c r="R118" s="439">
        <f t="shared" si="68"/>
        <v>0</v>
      </c>
      <c r="S118" s="439">
        <f t="shared" si="69"/>
        <v>0</v>
      </c>
      <c r="T118" s="441"/>
      <c r="U118" s="439">
        <v>0</v>
      </c>
      <c r="V118" s="439">
        <f>+AA118</f>
        <v>0</v>
      </c>
      <c r="W118" s="439">
        <v>0</v>
      </c>
      <c r="X118" s="439">
        <v>0</v>
      </c>
      <c r="Y118" s="435">
        <f t="shared" si="70"/>
        <v>0</v>
      </c>
      <c r="Z118" s="439">
        <v>0</v>
      </c>
      <c r="AA118" s="439">
        <v>0</v>
      </c>
      <c r="AB118" s="439">
        <v>0</v>
      </c>
      <c r="AC118" s="439">
        <v>0</v>
      </c>
      <c r="AD118" s="439">
        <v>0</v>
      </c>
      <c r="AE118" s="439"/>
      <c r="AF118" s="439">
        <f>AC118*2</f>
        <v>0</v>
      </c>
      <c r="AG118" s="439"/>
      <c r="AH118" s="419">
        <f t="shared" si="67"/>
        <v>0</v>
      </c>
      <c r="AI118" s="439"/>
      <c r="AJ118" s="439"/>
      <c r="AK118" s="439">
        <f>AA118-W118</f>
        <v>0</v>
      </c>
      <c r="AL118" s="439">
        <f>AA118-AF118</f>
        <v>0</v>
      </c>
      <c r="AM118" s="439">
        <f>AA118-AD118</f>
        <v>0</v>
      </c>
      <c r="AN118" s="438"/>
      <c r="AO118" s="438"/>
      <c r="AP118" s="438"/>
    </row>
    <row r="119" spans="1:42" ht="12.75">
      <c r="A119" s="412">
        <v>116</v>
      </c>
      <c r="B119" s="431"/>
      <c r="C119" s="432" t="s">
        <v>5503</v>
      </c>
      <c r="D119" s="433" t="s">
        <v>5506</v>
      </c>
      <c r="E119" s="434">
        <f>'PROSPETTO CE_IV TRIM 2024'!BM257</f>
        <v>1264483.43</v>
      </c>
      <c r="F119" s="439">
        <f>+E119</f>
        <v>1264483.43</v>
      </c>
      <c r="G119" s="439">
        <v>1341914.47</v>
      </c>
      <c r="H119" s="439">
        <v>1264483.43</v>
      </c>
      <c r="I119" s="435">
        <f t="shared" si="71"/>
        <v>0</v>
      </c>
      <c r="J119" s="435">
        <f t="shared" si="72"/>
        <v>0</v>
      </c>
      <c r="K119" s="439">
        <v>1264483.43</v>
      </c>
      <c r="L119" s="439">
        <v>1264477.43</v>
      </c>
      <c r="M119" s="439">
        <f t="shared" si="73"/>
        <v>209676.68333333335</v>
      </c>
      <c r="N119" s="439">
        <v>1263674.0299999998</v>
      </c>
      <c r="O119" s="439">
        <v>1263674.0299999998</v>
      </c>
      <c r="P119" s="440">
        <v>1054806.7466666666</v>
      </c>
      <c r="Q119" s="439">
        <v>1341914.47</v>
      </c>
      <c r="R119" s="439">
        <f t="shared" si="68"/>
        <v>-208867.28333333321</v>
      </c>
      <c r="S119" s="439">
        <f t="shared" si="69"/>
        <v>78240.440000000177</v>
      </c>
      <c r="T119" s="441">
        <f>(F119-P119)/F119*100</f>
        <v>16.582003240116272</v>
      </c>
      <c r="U119" s="439">
        <v>890339.02</v>
      </c>
      <c r="V119" s="439">
        <f>+AA119</f>
        <v>1054806.7466666666</v>
      </c>
      <c r="W119" s="439">
        <v>1325344</v>
      </c>
      <c r="X119" s="439">
        <v>1341914.47</v>
      </c>
      <c r="Y119" s="435">
        <f t="shared" si="70"/>
        <v>1379436.469090909</v>
      </c>
      <c r="Z119" s="439">
        <v>1054806.7466666666</v>
      </c>
      <c r="AA119" s="439">
        <v>1054806.7466666666</v>
      </c>
      <c r="AB119" s="439">
        <v>317622</v>
      </c>
      <c r="AC119" s="439">
        <v>693474.93499999994</v>
      </c>
      <c r="AD119" s="439">
        <v>1341914.47</v>
      </c>
      <c r="AE119" s="439"/>
      <c r="AF119" s="439">
        <f>AC119*2</f>
        <v>1386949.8699999999</v>
      </c>
      <c r="AG119" s="439"/>
      <c r="AH119" s="419">
        <f t="shared" si="67"/>
        <v>-1264483.43</v>
      </c>
      <c r="AI119" s="439"/>
      <c r="AJ119" s="439"/>
      <c r="AK119" s="439">
        <f>AA119-W119</f>
        <v>-270537.25333333341</v>
      </c>
      <c r="AL119" s="439">
        <f>AA119-AF119</f>
        <v>-332143.12333333329</v>
      </c>
      <c r="AM119" s="439">
        <f>AA119-AD119</f>
        <v>-287107.72333333339</v>
      </c>
      <c r="AN119" s="438"/>
      <c r="AO119" s="438"/>
      <c r="AP119" s="438"/>
    </row>
    <row r="120" spans="1:42" ht="25.5">
      <c r="A120" s="412">
        <v>117</v>
      </c>
      <c r="B120" s="431"/>
      <c r="C120" s="432" t="s">
        <v>5527</v>
      </c>
      <c r="D120" s="433" t="s">
        <v>5530</v>
      </c>
      <c r="E120" s="434"/>
      <c r="F120" s="435">
        <f>+F121+F122+F123</f>
        <v>1567718.42</v>
      </c>
      <c r="G120" s="435">
        <v>1446552.7</v>
      </c>
      <c r="H120" s="435">
        <v>1567718.42</v>
      </c>
      <c r="I120" s="435">
        <f t="shared" si="71"/>
        <v>0</v>
      </c>
      <c r="J120" s="435">
        <f t="shared" si="72"/>
        <v>0</v>
      </c>
      <c r="K120" s="435">
        <v>1567718.42</v>
      </c>
      <c r="L120" s="435">
        <v>1567718.42</v>
      </c>
      <c r="M120" s="435">
        <f t="shared" si="73"/>
        <v>67778.616666666465</v>
      </c>
      <c r="N120" s="435">
        <v>1555230.85</v>
      </c>
      <c r="O120" s="435">
        <v>1555230.85</v>
      </c>
      <c r="P120" s="436">
        <v>1499939.8033333335</v>
      </c>
      <c r="Q120" s="435">
        <f t="shared" ref="Q120" si="113">+Q121+Q122+Q123</f>
        <v>1446552.7</v>
      </c>
      <c r="R120" s="435">
        <f t="shared" si="68"/>
        <v>-55291.046666666633</v>
      </c>
      <c r="S120" s="435">
        <f t="shared" si="69"/>
        <v>-108678.15000000014</v>
      </c>
      <c r="T120" s="437">
        <f>(F120-P120)/F120*100</f>
        <v>4.3233922496532555</v>
      </c>
      <c r="U120" s="435">
        <v>1153444.9000000001</v>
      </c>
      <c r="V120" s="435">
        <f>+V121+V122+V123</f>
        <v>1499939.8033333335</v>
      </c>
      <c r="W120" s="435">
        <f>+W121+W122+W123</f>
        <v>1541710</v>
      </c>
      <c r="X120" s="435">
        <f t="shared" ref="X120" si="114">+X121+X122+X123</f>
        <v>1446552.7</v>
      </c>
      <c r="Y120" s="435">
        <f t="shared" si="70"/>
        <v>1710238.2763636364</v>
      </c>
      <c r="Z120" s="435">
        <v>1499939.8033333335</v>
      </c>
      <c r="AA120" s="435">
        <v>1499939.8033333335</v>
      </c>
      <c r="AB120" s="435">
        <f t="shared" ref="AB120:AM120" si="115">+AB121+AB122+AB123</f>
        <v>416703</v>
      </c>
      <c r="AC120" s="435">
        <f t="shared" si="115"/>
        <v>814320.98</v>
      </c>
      <c r="AD120" s="435">
        <f t="shared" si="115"/>
        <v>1446552.7</v>
      </c>
      <c r="AE120" s="435"/>
      <c r="AF120" s="435">
        <f t="shared" si="115"/>
        <v>1628641.96</v>
      </c>
      <c r="AG120" s="435">
        <f t="shared" si="115"/>
        <v>0</v>
      </c>
      <c r="AH120" s="419">
        <f t="shared" si="67"/>
        <v>-1567718.42</v>
      </c>
      <c r="AI120" s="435">
        <f t="shared" si="115"/>
        <v>0</v>
      </c>
      <c r="AJ120" s="435">
        <f t="shared" si="115"/>
        <v>0</v>
      </c>
      <c r="AK120" s="435">
        <f t="shared" si="115"/>
        <v>-41770.196666666539</v>
      </c>
      <c r="AL120" s="435">
        <f t="shared" si="115"/>
        <v>-128702.1566666665</v>
      </c>
      <c r="AM120" s="435">
        <f t="shared" si="115"/>
        <v>53387.103333333507</v>
      </c>
      <c r="AN120" s="438"/>
      <c r="AO120" s="438"/>
      <c r="AP120" s="438"/>
    </row>
    <row r="121" spans="1:42" ht="25.5">
      <c r="A121" s="412">
        <v>118</v>
      </c>
      <c r="B121" s="431"/>
      <c r="C121" s="432" t="s">
        <v>5531</v>
      </c>
      <c r="D121" s="433" t="s">
        <v>5534</v>
      </c>
      <c r="E121" s="434">
        <f>'PROSPETTO CE_IV TRIM 2024'!BM267</f>
        <v>1555243.42</v>
      </c>
      <c r="F121" s="439">
        <f>+E121</f>
        <v>1555243.42</v>
      </c>
      <c r="G121" s="439">
        <v>1435902.7</v>
      </c>
      <c r="H121" s="439">
        <v>1555243.42</v>
      </c>
      <c r="I121" s="435">
        <f t="shared" si="71"/>
        <v>0</v>
      </c>
      <c r="J121" s="435">
        <f t="shared" si="72"/>
        <v>0</v>
      </c>
      <c r="K121" s="439">
        <v>1555243.42</v>
      </c>
      <c r="L121" s="439">
        <v>1555243.42</v>
      </c>
      <c r="M121" s="439">
        <f t="shared" si="73"/>
        <v>67828.616666666465</v>
      </c>
      <c r="N121" s="439">
        <v>1542755.85</v>
      </c>
      <c r="O121" s="439">
        <v>1542755.85</v>
      </c>
      <c r="P121" s="440">
        <v>1487414.8033333335</v>
      </c>
      <c r="Q121" s="439">
        <v>1435902.7</v>
      </c>
      <c r="R121" s="439">
        <f t="shared" si="68"/>
        <v>-55341.046666666633</v>
      </c>
      <c r="S121" s="439">
        <f t="shared" si="69"/>
        <v>-106853.15000000014</v>
      </c>
      <c r="T121" s="441">
        <f>(F121-P121)/F121*100</f>
        <v>4.3612862008872195</v>
      </c>
      <c r="U121" s="439">
        <v>1143494.9000000001</v>
      </c>
      <c r="V121" s="439">
        <f>+AA121</f>
        <v>1487414.8033333335</v>
      </c>
      <c r="W121" s="439">
        <v>1531060</v>
      </c>
      <c r="X121" s="439">
        <v>1435902.7</v>
      </c>
      <c r="Y121" s="435">
        <f t="shared" si="70"/>
        <v>1696629.1854545453</v>
      </c>
      <c r="Z121" s="439">
        <v>1487414.8033333335</v>
      </c>
      <c r="AA121" s="439">
        <v>1487414.8033333335</v>
      </c>
      <c r="AB121" s="439">
        <v>413403</v>
      </c>
      <c r="AC121" s="439">
        <v>807545.98</v>
      </c>
      <c r="AD121" s="439">
        <v>1435902.7</v>
      </c>
      <c r="AE121" s="439"/>
      <c r="AF121" s="439">
        <f>AC121*2</f>
        <v>1615091.96</v>
      </c>
      <c r="AG121" s="439"/>
      <c r="AH121" s="419">
        <f t="shared" si="67"/>
        <v>-1555243.42</v>
      </c>
      <c r="AI121" s="439"/>
      <c r="AJ121" s="439"/>
      <c r="AK121" s="439">
        <f>AA121-W121</f>
        <v>-43645.196666666539</v>
      </c>
      <c r="AL121" s="439">
        <f>AA121-AF121</f>
        <v>-127677.1566666665</v>
      </c>
      <c r="AM121" s="439">
        <f>AA121-AD121</f>
        <v>51512.103333333507</v>
      </c>
      <c r="AN121" s="438"/>
      <c r="AO121" s="438"/>
      <c r="AP121" s="438"/>
    </row>
    <row r="122" spans="1:42" ht="25.5">
      <c r="A122" s="412">
        <v>119</v>
      </c>
      <c r="B122" s="431"/>
      <c r="C122" s="432" t="s">
        <v>5543</v>
      </c>
      <c r="D122" s="433" t="s">
        <v>11200</v>
      </c>
      <c r="E122" s="434">
        <f>'PROSPETTO CE_IV TRIM 2024'!BM273</f>
        <v>12475</v>
      </c>
      <c r="F122" s="439">
        <f>+E122</f>
        <v>12475</v>
      </c>
      <c r="G122" s="439">
        <v>10650</v>
      </c>
      <c r="H122" s="439">
        <v>12475</v>
      </c>
      <c r="I122" s="435">
        <f t="shared" si="71"/>
        <v>0</v>
      </c>
      <c r="J122" s="435">
        <f t="shared" si="72"/>
        <v>0</v>
      </c>
      <c r="K122" s="439">
        <v>12475</v>
      </c>
      <c r="L122" s="439">
        <v>12475</v>
      </c>
      <c r="M122" s="439">
        <f t="shared" si="73"/>
        <v>-50</v>
      </c>
      <c r="N122" s="439">
        <v>12475</v>
      </c>
      <c r="O122" s="439">
        <v>12475</v>
      </c>
      <c r="P122" s="440">
        <v>12525</v>
      </c>
      <c r="Q122" s="439">
        <v>10650</v>
      </c>
      <c r="R122" s="439">
        <f t="shared" si="68"/>
        <v>50</v>
      </c>
      <c r="S122" s="439">
        <f t="shared" si="69"/>
        <v>-1825</v>
      </c>
      <c r="T122" s="441">
        <f>(F122-P122)/F122*100</f>
        <v>-0.40080160320641278</v>
      </c>
      <c r="U122" s="439">
        <v>9950</v>
      </c>
      <c r="V122" s="439">
        <f>+AA122</f>
        <v>12525</v>
      </c>
      <c r="W122" s="439">
        <v>10650</v>
      </c>
      <c r="X122" s="439">
        <v>10650</v>
      </c>
      <c r="Y122" s="435">
        <f t="shared" si="70"/>
        <v>13609.090909090908</v>
      </c>
      <c r="Z122" s="439">
        <v>12525</v>
      </c>
      <c r="AA122" s="439">
        <v>12525</v>
      </c>
      <c r="AB122" s="439">
        <v>3300</v>
      </c>
      <c r="AC122" s="439">
        <v>6775</v>
      </c>
      <c r="AD122" s="439">
        <v>10650</v>
      </c>
      <c r="AE122" s="439"/>
      <c r="AF122" s="439">
        <f>AC122*2</f>
        <v>13550</v>
      </c>
      <c r="AG122" s="439"/>
      <c r="AH122" s="419">
        <f t="shared" si="67"/>
        <v>-12475</v>
      </c>
      <c r="AI122" s="439"/>
      <c r="AJ122" s="439"/>
      <c r="AK122" s="439">
        <f>AA122-W122</f>
        <v>1875</v>
      </c>
      <c r="AL122" s="439">
        <f>AA122-AF122</f>
        <v>-1025</v>
      </c>
      <c r="AM122" s="439">
        <f>AA122-AD122</f>
        <v>1875</v>
      </c>
      <c r="AN122" s="438"/>
      <c r="AO122" s="438"/>
      <c r="AP122" s="438"/>
    </row>
    <row r="123" spans="1:42" ht="25.5">
      <c r="A123" s="412">
        <v>120</v>
      </c>
      <c r="B123" s="431"/>
      <c r="C123" s="432" t="s">
        <v>5549</v>
      </c>
      <c r="D123" s="433" t="s">
        <v>11201</v>
      </c>
      <c r="E123" s="434">
        <f>'PROSPETTO CE_IV TRIM 2024'!BM276</f>
        <v>0</v>
      </c>
      <c r="F123" s="439">
        <f>+E123</f>
        <v>0</v>
      </c>
      <c r="G123" s="439">
        <v>0</v>
      </c>
      <c r="H123" s="439">
        <v>0</v>
      </c>
      <c r="I123" s="435">
        <f t="shared" si="71"/>
        <v>0</v>
      </c>
      <c r="J123" s="435">
        <f t="shared" si="72"/>
        <v>0</v>
      </c>
      <c r="K123" s="439">
        <v>0</v>
      </c>
      <c r="L123" s="439">
        <v>0</v>
      </c>
      <c r="M123" s="439">
        <f t="shared" si="73"/>
        <v>0</v>
      </c>
      <c r="N123" s="439">
        <v>0</v>
      </c>
      <c r="O123" s="439">
        <v>0</v>
      </c>
      <c r="P123" s="440">
        <v>0</v>
      </c>
      <c r="Q123" s="439">
        <v>0</v>
      </c>
      <c r="R123" s="439">
        <f t="shared" si="68"/>
        <v>0</v>
      </c>
      <c r="S123" s="439">
        <f t="shared" si="69"/>
        <v>0</v>
      </c>
      <c r="T123" s="441"/>
      <c r="U123" s="439">
        <v>0</v>
      </c>
      <c r="V123" s="439">
        <f>+AA123</f>
        <v>0</v>
      </c>
      <c r="W123" s="439">
        <v>0</v>
      </c>
      <c r="X123" s="439">
        <v>0</v>
      </c>
      <c r="Y123" s="435">
        <f t="shared" si="70"/>
        <v>0</v>
      </c>
      <c r="Z123" s="439">
        <v>0</v>
      </c>
      <c r="AA123" s="439">
        <v>0</v>
      </c>
      <c r="AB123" s="439">
        <v>0</v>
      </c>
      <c r="AC123" s="439">
        <v>0</v>
      </c>
      <c r="AD123" s="439">
        <v>0</v>
      </c>
      <c r="AE123" s="439"/>
      <c r="AF123" s="439">
        <f>AC123*2</f>
        <v>0</v>
      </c>
      <c r="AG123" s="439"/>
      <c r="AH123" s="419">
        <f t="shared" si="67"/>
        <v>0</v>
      </c>
      <c r="AI123" s="439"/>
      <c r="AJ123" s="439"/>
      <c r="AK123" s="439">
        <f>AA123-W123</f>
        <v>0</v>
      </c>
      <c r="AL123" s="439">
        <f>AA123-AF123</f>
        <v>0</v>
      </c>
      <c r="AM123" s="439">
        <f>AA123-AD123</f>
        <v>0</v>
      </c>
      <c r="AN123" s="438"/>
      <c r="AO123" s="438"/>
      <c r="AP123" s="438"/>
    </row>
    <row r="124" spans="1:42" ht="12.75">
      <c r="A124" s="412">
        <v>121</v>
      </c>
      <c r="B124" s="431"/>
      <c r="C124" s="432" t="s">
        <v>5555</v>
      </c>
      <c r="D124" s="433" t="s">
        <v>5558</v>
      </c>
      <c r="E124" s="434"/>
      <c r="F124" s="435">
        <f>+F125+F126+F127+F128+F129+F130</f>
        <v>12538764.879999999</v>
      </c>
      <c r="G124" s="435">
        <v>7632668.040000001</v>
      </c>
      <c r="H124" s="435">
        <v>12257465.059999999</v>
      </c>
      <c r="I124" s="435">
        <f t="shared" si="71"/>
        <v>281299.8200000003</v>
      </c>
      <c r="J124" s="435">
        <f t="shared" si="72"/>
        <v>281299.8200000003</v>
      </c>
      <c r="K124" s="435">
        <v>12257465.059999999</v>
      </c>
      <c r="L124" s="435">
        <v>11960940.139999997</v>
      </c>
      <c r="M124" s="435">
        <f t="shared" si="73"/>
        <v>3513212.857274998</v>
      </c>
      <c r="N124" s="435">
        <v>12359524.83</v>
      </c>
      <c r="O124" s="435">
        <v>12359524.83</v>
      </c>
      <c r="P124" s="436">
        <v>9025552.022725001</v>
      </c>
      <c r="Q124" s="435">
        <f t="shared" ref="Q124" si="116">+Q125+Q126+Q127+Q128+Q129+Q130</f>
        <v>7632668.040000001</v>
      </c>
      <c r="R124" s="435">
        <f t="shared" si="68"/>
        <v>-3333972.8072749991</v>
      </c>
      <c r="S124" s="435">
        <f t="shared" si="69"/>
        <v>-4726856.7899999991</v>
      </c>
      <c r="T124" s="437">
        <f>(F124-P124)/F124*100</f>
        <v>28.018811189918395</v>
      </c>
      <c r="U124" s="435">
        <v>9028549.4100000001</v>
      </c>
      <c r="V124" s="435">
        <f>+V125+V126+V127+V128+V129+V130</f>
        <v>9025552.022725001</v>
      </c>
      <c r="W124" s="435">
        <f>+W125+W126+W127+W128+W129+W130</f>
        <v>6611197</v>
      </c>
      <c r="X124" s="435">
        <f t="shared" ref="X124" si="117">+X125+X126+X127+X128+X129+X130</f>
        <v>7632668.040000001</v>
      </c>
      <c r="Y124" s="435">
        <f t="shared" si="70"/>
        <v>13678652.596363636</v>
      </c>
      <c r="Z124" s="435">
        <v>9025552.022725001</v>
      </c>
      <c r="AA124" s="435">
        <v>9025552.022725001</v>
      </c>
      <c r="AB124" s="435">
        <f t="shared" ref="AB124:AM124" si="118">+AB125+AB126+AB127+AB128+AB129+AB130</f>
        <v>1588880</v>
      </c>
      <c r="AC124" s="435">
        <f t="shared" si="118"/>
        <v>4980385.9400000004</v>
      </c>
      <c r="AD124" s="435">
        <f t="shared" si="118"/>
        <v>7632668.040000001</v>
      </c>
      <c r="AE124" s="435"/>
      <c r="AF124" s="435">
        <f t="shared" si="118"/>
        <v>9960771.8800000008</v>
      </c>
      <c r="AG124" s="435">
        <f t="shared" si="118"/>
        <v>0</v>
      </c>
      <c r="AH124" s="419">
        <f t="shared" si="67"/>
        <v>-12538764.879999999</v>
      </c>
      <c r="AI124" s="435">
        <f t="shared" si="118"/>
        <v>0</v>
      </c>
      <c r="AJ124" s="435">
        <f t="shared" si="118"/>
        <v>0</v>
      </c>
      <c r="AK124" s="435">
        <f t="shared" si="118"/>
        <v>2414355.0227250005</v>
      </c>
      <c r="AL124" s="435">
        <f t="shared" si="118"/>
        <v>-935219.85727499984</v>
      </c>
      <c r="AM124" s="435">
        <f t="shared" si="118"/>
        <v>1392883.982725</v>
      </c>
      <c r="AN124" s="438"/>
      <c r="AO124" s="438"/>
      <c r="AP124" s="438"/>
    </row>
    <row r="125" spans="1:42" ht="25.5">
      <c r="A125" s="412">
        <v>122</v>
      </c>
      <c r="B125" s="431"/>
      <c r="C125" s="432" t="s">
        <v>5559</v>
      </c>
      <c r="D125" s="433" t="s">
        <v>5562</v>
      </c>
      <c r="E125" s="434">
        <f>'PROSPETTO CE_IV TRIM 2024'!BM280</f>
        <v>5562710.0099999998</v>
      </c>
      <c r="F125" s="439">
        <f t="shared" ref="F125:F131" si="119">+E125</f>
        <v>5562710.0099999998</v>
      </c>
      <c r="G125" s="439">
        <v>1382344.4500000002</v>
      </c>
      <c r="H125" s="439">
        <v>5317440.93</v>
      </c>
      <c r="I125" s="435">
        <f t="shared" si="71"/>
        <v>245269.08000000007</v>
      </c>
      <c r="J125" s="435">
        <f t="shared" si="72"/>
        <v>245269.08000000007</v>
      </c>
      <c r="K125" s="439">
        <v>5317440.93</v>
      </c>
      <c r="L125" s="439">
        <v>5619738.5599999996</v>
      </c>
      <c r="M125" s="439">
        <f t="shared" si="73"/>
        <v>2701652.600608333</v>
      </c>
      <c r="N125" s="439">
        <v>6112627.5599999996</v>
      </c>
      <c r="O125" s="439">
        <v>6112627.5599999996</v>
      </c>
      <c r="P125" s="440">
        <v>2861057.4093916668</v>
      </c>
      <c r="Q125" s="439">
        <v>1382344.4500000002</v>
      </c>
      <c r="R125" s="439">
        <f t="shared" si="68"/>
        <v>-3251570.1506083328</v>
      </c>
      <c r="S125" s="439">
        <f t="shared" si="69"/>
        <v>-4730283.1099999994</v>
      </c>
      <c r="T125" s="441">
        <f>(F125-P125)/F125*100</f>
        <v>48.567201880946747</v>
      </c>
      <c r="U125" s="439">
        <v>3464130.3800000004</v>
      </c>
      <c r="V125" s="439">
        <f t="shared" ref="V125:V131" si="120">+AA125</f>
        <v>2861057.4093916668</v>
      </c>
      <c r="W125" s="439">
        <v>255678</v>
      </c>
      <c r="X125" s="439">
        <v>1382344.4500000002</v>
      </c>
      <c r="Y125" s="435">
        <f t="shared" si="70"/>
        <v>6068410.9199999999</v>
      </c>
      <c r="Z125" s="439">
        <v>2861057.4093916668</v>
      </c>
      <c r="AA125" s="439">
        <v>2861057.4093916668</v>
      </c>
      <c r="AB125" s="439">
        <v>0</v>
      </c>
      <c r="AC125" s="439">
        <v>1821779</v>
      </c>
      <c r="AD125" s="439">
        <v>1382344.4500000002</v>
      </c>
      <c r="AE125" s="439"/>
      <c r="AF125" s="439">
        <f t="shared" ref="AF125:AF131" si="121">AC125*2</f>
        <v>3643558</v>
      </c>
      <c r="AG125" s="439"/>
      <c r="AH125" s="419">
        <f t="shared" si="67"/>
        <v>-5562710.0099999998</v>
      </c>
      <c r="AI125" s="439"/>
      <c r="AJ125" s="439"/>
      <c r="AK125" s="439">
        <f t="shared" ref="AK125:AK131" si="122">AA125-W125</f>
        <v>2605379.4093916668</v>
      </c>
      <c r="AL125" s="439">
        <f t="shared" ref="AL125:AL131" si="123">AA125-AF125</f>
        <v>-782500.59060833324</v>
      </c>
      <c r="AM125" s="439">
        <f t="shared" ref="AM125:AM131" si="124">AA125-AD125</f>
        <v>1478712.9593916666</v>
      </c>
      <c r="AN125" s="438"/>
      <c r="AO125" s="438"/>
      <c r="AP125" s="438"/>
    </row>
    <row r="126" spans="1:42" ht="25.5">
      <c r="A126" s="412">
        <v>123</v>
      </c>
      <c r="B126" s="431"/>
      <c r="C126" s="432" t="s">
        <v>5645</v>
      </c>
      <c r="D126" s="433" t="s">
        <v>11202</v>
      </c>
      <c r="E126" s="434">
        <f>'PROSPETTO CE_IV TRIM 2024'!BM325</f>
        <v>2785933.5900000003</v>
      </c>
      <c r="F126" s="439">
        <f t="shared" si="119"/>
        <v>2785933.5900000003</v>
      </c>
      <c r="G126" s="439">
        <v>2801204.7800000003</v>
      </c>
      <c r="H126" s="439">
        <v>2863773.8800000004</v>
      </c>
      <c r="I126" s="435">
        <f t="shared" si="71"/>
        <v>-77840.290000000037</v>
      </c>
      <c r="J126" s="435">
        <f t="shared" si="72"/>
        <v>-77840.290000000037</v>
      </c>
      <c r="K126" s="439">
        <v>2863773.8800000004</v>
      </c>
      <c r="L126" s="439">
        <v>2874370.6299999971</v>
      </c>
      <c r="M126" s="439">
        <f t="shared" si="73"/>
        <v>246366.0166666666</v>
      </c>
      <c r="N126" s="439">
        <v>2867770.5300000003</v>
      </c>
      <c r="O126" s="439">
        <v>2867770.5300000003</v>
      </c>
      <c r="P126" s="440">
        <v>2539567.5733333337</v>
      </c>
      <c r="Q126" s="439">
        <v>2801204.7800000003</v>
      </c>
      <c r="R126" s="439">
        <f t="shared" si="68"/>
        <v>-328202.95666666655</v>
      </c>
      <c r="S126" s="439">
        <f t="shared" si="69"/>
        <v>-66565.75</v>
      </c>
      <c r="T126" s="441">
        <f>(F126-P126)/F126*100</f>
        <v>8.8432121121259968</v>
      </c>
      <c r="U126" s="439">
        <v>2143897.2100000004</v>
      </c>
      <c r="V126" s="439">
        <f t="shared" si="120"/>
        <v>2539567.5733333337</v>
      </c>
      <c r="W126" s="439">
        <v>2886768</v>
      </c>
      <c r="X126" s="439">
        <v>2801204.7800000003</v>
      </c>
      <c r="Y126" s="435">
        <f t="shared" si="70"/>
        <v>3039200.2800000003</v>
      </c>
      <c r="Z126" s="439">
        <v>2539567.5733333337</v>
      </c>
      <c r="AA126" s="439">
        <v>2539567.5733333337</v>
      </c>
      <c r="AB126" s="439">
        <v>721692</v>
      </c>
      <c r="AC126" s="439">
        <v>1418698.9500000002</v>
      </c>
      <c r="AD126" s="439">
        <v>2801204.7800000003</v>
      </c>
      <c r="AE126" s="439"/>
      <c r="AF126" s="439">
        <f t="shared" si="121"/>
        <v>2837397.9000000004</v>
      </c>
      <c r="AG126" s="439"/>
      <c r="AH126" s="419">
        <f t="shared" si="67"/>
        <v>-2785933.5900000003</v>
      </c>
      <c r="AI126" s="439"/>
      <c r="AJ126" s="439"/>
      <c r="AK126" s="439">
        <f t="shared" si="122"/>
        <v>-347200.42666666629</v>
      </c>
      <c r="AL126" s="439">
        <f t="shared" si="123"/>
        <v>-297830.32666666666</v>
      </c>
      <c r="AM126" s="439">
        <f t="shared" si="124"/>
        <v>-261637.20666666655</v>
      </c>
      <c r="AN126" s="438"/>
      <c r="AO126" s="438"/>
      <c r="AP126" s="438"/>
    </row>
    <row r="127" spans="1:42" ht="25.5">
      <c r="A127" s="412">
        <v>124</v>
      </c>
      <c r="B127" s="431"/>
      <c r="C127" s="432" t="s">
        <v>5695</v>
      </c>
      <c r="D127" s="433" t="s">
        <v>11203</v>
      </c>
      <c r="E127" s="434">
        <f>'PROSPETTO CE_IV TRIM 2024'!BM366</f>
        <v>0</v>
      </c>
      <c r="F127" s="439">
        <f t="shared" si="119"/>
        <v>0</v>
      </c>
      <c r="G127" s="439">
        <v>0</v>
      </c>
      <c r="H127" s="439">
        <v>0</v>
      </c>
      <c r="I127" s="435">
        <f t="shared" si="71"/>
        <v>0</v>
      </c>
      <c r="J127" s="435">
        <f t="shared" si="72"/>
        <v>0</v>
      </c>
      <c r="K127" s="439">
        <v>0</v>
      </c>
      <c r="L127" s="439">
        <v>0</v>
      </c>
      <c r="M127" s="439">
        <f t="shared" si="73"/>
        <v>0</v>
      </c>
      <c r="N127" s="439">
        <v>0</v>
      </c>
      <c r="O127" s="439">
        <v>0</v>
      </c>
      <c r="P127" s="440">
        <v>0</v>
      </c>
      <c r="Q127" s="439">
        <v>0</v>
      </c>
      <c r="R127" s="439">
        <f t="shared" si="68"/>
        <v>0</v>
      </c>
      <c r="S127" s="439">
        <f t="shared" si="69"/>
        <v>0</v>
      </c>
      <c r="T127" s="441"/>
      <c r="U127" s="439">
        <v>0</v>
      </c>
      <c r="V127" s="439">
        <f t="shared" si="120"/>
        <v>0</v>
      </c>
      <c r="W127" s="439">
        <v>0</v>
      </c>
      <c r="X127" s="439">
        <v>0</v>
      </c>
      <c r="Y127" s="435">
        <f t="shared" si="70"/>
        <v>0</v>
      </c>
      <c r="Z127" s="439">
        <v>0</v>
      </c>
      <c r="AA127" s="439">
        <v>0</v>
      </c>
      <c r="AB127" s="439">
        <v>0</v>
      </c>
      <c r="AC127" s="439">
        <v>0</v>
      </c>
      <c r="AD127" s="439">
        <v>0</v>
      </c>
      <c r="AE127" s="439"/>
      <c r="AF127" s="439">
        <f t="shared" si="121"/>
        <v>0</v>
      </c>
      <c r="AG127" s="439"/>
      <c r="AH127" s="419">
        <f t="shared" si="67"/>
        <v>0</v>
      </c>
      <c r="AI127" s="439"/>
      <c r="AJ127" s="439"/>
      <c r="AK127" s="439">
        <f t="shared" si="122"/>
        <v>0</v>
      </c>
      <c r="AL127" s="439">
        <f t="shared" si="123"/>
        <v>0</v>
      </c>
      <c r="AM127" s="439">
        <f t="shared" si="124"/>
        <v>0</v>
      </c>
      <c r="AN127" s="438"/>
      <c r="AO127" s="438"/>
      <c r="AP127" s="438"/>
    </row>
    <row r="128" spans="1:42" ht="25.5">
      <c r="A128" s="412">
        <v>125</v>
      </c>
      <c r="B128" s="431"/>
      <c r="C128" s="432" t="s">
        <v>5702</v>
      </c>
      <c r="D128" s="433" t="s">
        <v>5705</v>
      </c>
      <c r="E128" s="434">
        <f>'PROSPETTO CE_IV TRIM 2024'!BM370</f>
        <v>4190121.28</v>
      </c>
      <c r="F128" s="439">
        <f t="shared" si="119"/>
        <v>4190121.28</v>
      </c>
      <c r="G128" s="439">
        <v>3449118.81</v>
      </c>
      <c r="H128" s="439">
        <v>4076250.2499999991</v>
      </c>
      <c r="I128" s="435">
        <f t="shared" si="71"/>
        <v>113871.03000000073</v>
      </c>
      <c r="J128" s="435">
        <f t="shared" si="72"/>
        <v>113871.03000000073</v>
      </c>
      <c r="K128" s="439">
        <v>4076250.2499999991</v>
      </c>
      <c r="L128" s="439">
        <v>3466830.95</v>
      </c>
      <c r="M128" s="439">
        <f t="shared" si="73"/>
        <v>565194.23999999976</v>
      </c>
      <c r="N128" s="439">
        <v>3379126.74</v>
      </c>
      <c r="O128" s="439">
        <v>3379126.74</v>
      </c>
      <c r="P128" s="440">
        <v>3624927.04</v>
      </c>
      <c r="Q128" s="439">
        <v>3449118.81</v>
      </c>
      <c r="R128" s="439">
        <f t="shared" si="68"/>
        <v>245800.29999999981</v>
      </c>
      <c r="S128" s="439">
        <f t="shared" si="69"/>
        <v>69992.069999999832</v>
      </c>
      <c r="T128" s="441">
        <f>(F128-P128)/F128*100</f>
        <v>13.488732240227657</v>
      </c>
      <c r="U128" s="439">
        <v>3420521.82</v>
      </c>
      <c r="V128" s="439">
        <f t="shared" si="120"/>
        <v>3624927.04</v>
      </c>
      <c r="W128" s="439">
        <v>3468751</v>
      </c>
      <c r="X128" s="439">
        <v>3449118.81</v>
      </c>
      <c r="Y128" s="435">
        <f t="shared" si="70"/>
        <v>4571041.3963636365</v>
      </c>
      <c r="Z128" s="439">
        <v>3624927.04</v>
      </c>
      <c r="AA128" s="439">
        <v>3624927.04</v>
      </c>
      <c r="AB128" s="439">
        <v>867188</v>
      </c>
      <c r="AC128" s="439">
        <v>1739907.99</v>
      </c>
      <c r="AD128" s="439">
        <v>3449118.81</v>
      </c>
      <c r="AE128" s="439"/>
      <c r="AF128" s="439">
        <f t="shared" si="121"/>
        <v>3479815.98</v>
      </c>
      <c r="AG128" s="439"/>
      <c r="AH128" s="419">
        <f t="shared" si="67"/>
        <v>-4190121.28</v>
      </c>
      <c r="AI128" s="439"/>
      <c r="AJ128" s="439"/>
      <c r="AK128" s="439">
        <f t="shared" si="122"/>
        <v>156176.04000000004</v>
      </c>
      <c r="AL128" s="439">
        <f t="shared" si="123"/>
        <v>145111.06000000006</v>
      </c>
      <c r="AM128" s="439">
        <f t="shared" si="124"/>
        <v>175808.22999999998</v>
      </c>
      <c r="AN128" s="438"/>
      <c r="AO128" s="438"/>
      <c r="AP128" s="438"/>
    </row>
    <row r="129" spans="1:42" ht="25.5">
      <c r="A129" s="412">
        <v>126</v>
      </c>
      <c r="B129" s="431"/>
      <c r="C129" s="432" t="s">
        <v>5744</v>
      </c>
      <c r="D129" s="433" t="s">
        <v>5747</v>
      </c>
      <c r="E129" s="434">
        <f>'PROSPETTO CE_IV TRIM 2024'!BM390</f>
        <v>0</v>
      </c>
      <c r="F129" s="439">
        <f t="shared" si="119"/>
        <v>0</v>
      </c>
      <c r="G129" s="439">
        <v>0</v>
      </c>
      <c r="H129" s="439">
        <v>0</v>
      </c>
      <c r="I129" s="435">
        <f t="shared" si="71"/>
        <v>0</v>
      </c>
      <c r="J129" s="435">
        <f t="shared" si="72"/>
        <v>0</v>
      </c>
      <c r="K129" s="439">
        <v>0</v>
      </c>
      <c r="L129" s="439">
        <v>0</v>
      </c>
      <c r="M129" s="439">
        <f t="shared" si="73"/>
        <v>0</v>
      </c>
      <c r="N129" s="439">
        <v>0</v>
      </c>
      <c r="O129" s="439">
        <v>0</v>
      </c>
      <c r="P129" s="440">
        <v>0</v>
      </c>
      <c r="Q129" s="439">
        <v>0</v>
      </c>
      <c r="R129" s="439">
        <f t="shared" si="68"/>
        <v>0</v>
      </c>
      <c r="S129" s="439">
        <f t="shared" si="69"/>
        <v>0</v>
      </c>
      <c r="T129" s="441"/>
      <c r="U129" s="439">
        <v>0</v>
      </c>
      <c r="V129" s="439">
        <f t="shared" si="120"/>
        <v>0</v>
      </c>
      <c r="W129" s="439">
        <v>0</v>
      </c>
      <c r="X129" s="439">
        <v>0</v>
      </c>
      <c r="Y129" s="435">
        <f t="shared" si="70"/>
        <v>0</v>
      </c>
      <c r="Z129" s="439">
        <v>0</v>
      </c>
      <c r="AA129" s="439">
        <v>0</v>
      </c>
      <c r="AB129" s="439">
        <v>0</v>
      </c>
      <c r="AC129" s="439">
        <v>0</v>
      </c>
      <c r="AD129" s="439">
        <v>0</v>
      </c>
      <c r="AE129" s="439"/>
      <c r="AF129" s="439">
        <f t="shared" si="121"/>
        <v>0</v>
      </c>
      <c r="AG129" s="439">
        <v>0</v>
      </c>
      <c r="AH129" s="419">
        <f t="shared" si="67"/>
        <v>0</v>
      </c>
      <c r="AI129" s="439">
        <v>0</v>
      </c>
      <c r="AJ129" s="439">
        <v>0</v>
      </c>
      <c r="AK129" s="439">
        <f t="shared" si="122"/>
        <v>0</v>
      </c>
      <c r="AL129" s="439">
        <f t="shared" si="123"/>
        <v>0</v>
      </c>
      <c r="AM129" s="439">
        <f t="shared" si="124"/>
        <v>0</v>
      </c>
      <c r="AN129" s="438"/>
      <c r="AO129" s="438"/>
      <c r="AP129" s="438"/>
    </row>
    <row r="130" spans="1:42" ht="25.5">
      <c r="A130" s="412">
        <v>127</v>
      </c>
      <c r="B130" s="431"/>
      <c r="C130" s="432" t="s">
        <v>5750</v>
      </c>
      <c r="D130" s="433" t="s">
        <v>5753</v>
      </c>
      <c r="E130" s="434">
        <f>'PROSPETTO CE_IV TRIM 2024'!BM393</f>
        <v>0</v>
      </c>
      <c r="F130" s="439">
        <f t="shared" si="119"/>
        <v>0</v>
      </c>
      <c r="G130" s="439">
        <v>0</v>
      </c>
      <c r="H130" s="439">
        <v>0</v>
      </c>
      <c r="I130" s="435">
        <f t="shared" si="71"/>
        <v>0</v>
      </c>
      <c r="J130" s="435">
        <f t="shared" si="72"/>
        <v>0</v>
      </c>
      <c r="K130" s="439">
        <v>0</v>
      </c>
      <c r="L130" s="439">
        <v>0</v>
      </c>
      <c r="M130" s="439">
        <f t="shared" si="73"/>
        <v>0</v>
      </c>
      <c r="N130" s="439">
        <v>0</v>
      </c>
      <c r="O130" s="439">
        <v>0</v>
      </c>
      <c r="P130" s="440">
        <v>0</v>
      </c>
      <c r="Q130" s="439">
        <v>0</v>
      </c>
      <c r="R130" s="439">
        <f t="shared" si="68"/>
        <v>0</v>
      </c>
      <c r="S130" s="439">
        <f t="shared" si="69"/>
        <v>0</v>
      </c>
      <c r="T130" s="441"/>
      <c r="U130" s="439">
        <v>0</v>
      </c>
      <c r="V130" s="439">
        <f t="shared" si="120"/>
        <v>0</v>
      </c>
      <c r="W130" s="439">
        <v>0</v>
      </c>
      <c r="X130" s="439">
        <v>0</v>
      </c>
      <c r="Y130" s="435">
        <f t="shared" si="70"/>
        <v>0</v>
      </c>
      <c r="Z130" s="439">
        <v>0</v>
      </c>
      <c r="AA130" s="439">
        <v>0</v>
      </c>
      <c r="AB130" s="439">
        <v>0</v>
      </c>
      <c r="AC130" s="439">
        <v>0</v>
      </c>
      <c r="AD130" s="439">
        <v>0</v>
      </c>
      <c r="AE130" s="439"/>
      <c r="AF130" s="439">
        <f t="shared" si="121"/>
        <v>0</v>
      </c>
      <c r="AG130" s="439">
        <v>0</v>
      </c>
      <c r="AH130" s="419">
        <f t="shared" ref="AH130:AH193" si="125">AG130-F130</f>
        <v>0</v>
      </c>
      <c r="AI130" s="439">
        <v>0</v>
      </c>
      <c r="AJ130" s="439">
        <v>0</v>
      </c>
      <c r="AK130" s="439">
        <f t="shared" si="122"/>
        <v>0</v>
      </c>
      <c r="AL130" s="439">
        <f t="shared" si="123"/>
        <v>0</v>
      </c>
      <c r="AM130" s="439">
        <f t="shared" si="124"/>
        <v>0</v>
      </c>
      <c r="AN130" s="438"/>
      <c r="AO130" s="438"/>
      <c r="AP130" s="438"/>
    </row>
    <row r="131" spans="1:42" ht="12.75">
      <c r="A131" s="412">
        <v>128</v>
      </c>
      <c r="B131" s="431"/>
      <c r="C131" s="432" t="s">
        <v>5756</v>
      </c>
      <c r="D131" s="433" t="s">
        <v>5759</v>
      </c>
      <c r="E131" s="434">
        <f>'PROSPETTO CE_IV TRIM 2024'!BM396</f>
        <v>0</v>
      </c>
      <c r="F131" s="439">
        <f t="shared" si="119"/>
        <v>0</v>
      </c>
      <c r="G131" s="439">
        <v>0</v>
      </c>
      <c r="H131" s="439">
        <v>0</v>
      </c>
      <c r="I131" s="435">
        <f t="shared" si="71"/>
        <v>0</v>
      </c>
      <c r="J131" s="435">
        <f t="shared" si="72"/>
        <v>0</v>
      </c>
      <c r="K131" s="439">
        <v>0</v>
      </c>
      <c r="L131" s="439">
        <v>0</v>
      </c>
      <c r="M131" s="439">
        <f t="shared" si="73"/>
        <v>0</v>
      </c>
      <c r="N131" s="439">
        <v>0</v>
      </c>
      <c r="O131" s="439">
        <v>0</v>
      </c>
      <c r="P131" s="440">
        <v>0</v>
      </c>
      <c r="Q131" s="439">
        <v>0</v>
      </c>
      <c r="R131" s="439">
        <f t="shared" si="68"/>
        <v>0</v>
      </c>
      <c r="S131" s="439">
        <f t="shared" si="69"/>
        <v>0</v>
      </c>
      <c r="T131" s="441"/>
      <c r="U131" s="439">
        <v>0</v>
      </c>
      <c r="V131" s="439">
        <f t="shared" si="120"/>
        <v>0</v>
      </c>
      <c r="W131" s="439">
        <v>0</v>
      </c>
      <c r="X131" s="439">
        <v>0</v>
      </c>
      <c r="Y131" s="435">
        <f t="shared" si="70"/>
        <v>0</v>
      </c>
      <c r="Z131" s="439">
        <v>0</v>
      </c>
      <c r="AA131" s="439">
        <v>0</v>
      </c>
      <c r="AB131" s="439">
        <v>0</v>
      </c>
      <c r="AC131" s="439">
        <v>0</v>
      </c>
      <c r="AD131" s="439">
        <v>0</v>
      </c>
      <c r="AE131" s="439"/>
      <c r="AF131" s="439">
        <f t="shared" si="121"/>
        <v>0</v>
      </c>
      <c r="AG131" s="439">
        <v>0</v>
      </c>
      <c r="AH131" s="419">
        <f t="shared" si="125"/>
        <v>0</v>
      </c>
      <c r="AI131" s="439">
        <v>0</v>
      </c>
      <c r="AJ131" s="439">
        <v>0</v>
      </c>
      <c r="AK131" s="439">
        <f t="shared" si="122"/>
        <v>0</v>
      </c>
      <c r="AL131" s="439">
        <f t="shared" si="123"/>
        <v>0</v>
      </c>
      <c r="AM131" s="439">
        <f t="shared" si="124"/>
        <v>0</v>
      </c>
      <c r="AN131" s="438"/>
      <c r="AO131" s="438"/>
      <c r="AP131" s="438"/>
    </row>
    <row r="132" spans="1:42" ht="12.75">
      <c r="A132" s="412">
        <v>129</v>
      </c>
      <c r="B132" s="431"/>
      <c r="C132" s="432" t="s">
        <v>5764</v>
      </c>
      <c r="D132" s="433" t="s">
        <v>5767</v>
      </c>
      <c r="E132" s="434" t="s">
        <v>2976</v>
      </c>
      <c r="F132" s="435">
        <f>+F133+F134+F135</f>
        <v>653425.27</v>
      </c>
      <c r="G132" s="435">
        <v>782745.25000000012</v>
      </c>
      <c r="H132" s="435">
        <v>653425.27</v>
      </c>
      <c r="I132" s="435">
        <f t="shared" si="71"/>
        <v>0</v>
      </c>
      <c r="J132" s="435">
        <f t="shared" si="72"/>
        <v>-2000</v>
      </c>
      <c r="K132" s="435">
        <v>655425.27</v>
      </c>
      <c r="L132" s="435">
        <v>655425.27</v>
      </c>
      <c r="M132" s="435">
        <f t="shared" si="73"/>
        <v>460262.82</v>
      </c>
      <c r="N132" s="435">
        <v>550975.56000000006</v>
      </c>
      <c r="O132" s="435">
        <v>550975.56000000006</v>
      </c>
      <c r="P132" s="436">
        <v>193162.45</v>
      </c>
      <c r="Q132" s="435">
        <f t="shared" ref="Q132" si="126">+Q133+Q134+Q135</f>
        <v>782745.25000000012</v>
      </c>
      <c r="R132" s="435">
        <f t="shared" ref="R132:R195" si="127">P132-N132</f>
        <v>-357813.11000000004</v>
      </c>
      <c r="S132" s="435">
        <f t="shared" ref="S132:S195" si="128">Q132-N132</f>
        <v>231769.69000000006</v>
      </c>
      <c r="T132" s="437">
        <f>(F132-P132)/F132*100</f>
        <v>70.43847875672148</v>
      </c>
      <c r="U132" s="435">
        <v>321646.59999999998</v>
      </c>
      <c r="V132" s="435">
        <f>+V133+V134+V135</f>
        <v>193162.45</v>
      </c>
      <c r="W132" s="435">
        <f>+W133+W134+W135</f>
        <v>733500</v>
      </c>
      <c r="X132" s="435">
        <f t="shared" ref="X132" si="129">+X133+X134+X135</f>
        <v>782745.25000000012</v>
      </c>
      <c r="Y132" s="435">
        <f t="shared" ref="Y132:Y195" si="130">F132/11*12</f>
        <v>712827.56727272726</v>
      </c>
      <c r="Z132" s="435">
        <v>193162.45</v>
      </c>
      <c r="AA132" s="435">
        <v>193162.45</v>
      </c>
      <c r="AB132" s="435">
        <f t="shared" ref="AB132:AM132" si="131">+AB133+AB134+AB135</f>
        <v>1688</v>
      </c>
      <c r="AC132" s="435">
        <f t="shared" si="131"/>
        <v>382835.24500000005</v>
      </c>
      <c r="AD132" s="435">
        <f t="shared" si="131"/>
        <v>782745.25000000012</v>
      </c>
      <c r="AE132" s="435"/>
      <c r="AF132" s="435">
        <f t="shared" si="131"/>
        <v>765670.49000000011</v>
      </c>
      <c r="AG132" s="435">
        <f t="shared" si="131"/>
        <v>0</v>
      </c>
      <c r="AH132" s="419">
        <f t="shared" si="125"/>
        <v>-653425.27</v>
      </c>
      <c r="AI132" s="435">
        <f t="shared" si="131"/>
        <v>0</v>
      </c>
      <c r="AJ132" s="435">
        <f t="shared" si="131"/>
        <v>0</v>
      </c>
      <c r="AK132" s="435">
        <f t="shared" si="131"/>
        <v>-540337.55000000005</v>
      </c>
      <c r="AL132" s="435">
        <f t="shared" si="131"/>
        <v>-572508.04</v>
      </c>
      <c r="AM132" s="435">
        <f t="shared" si="131"/>
        <v>-589582.80000000005</v>
      </c>
      <c r="AN132" s="438"/>
      <c r="AO132" s="438"/>
      <c r="AP132" s="438"/>
    </row>
    <row r="133" spans="1:42" ht="12.75">
      <c r="A133" s="412">
        <v>130</v>
      </c>
      <c r="B133" s="431"/>
      <c r="C133" s="432" t="s">
        <v>5768</v>
      </c>
      <c r="D133" s="433" t="s">
        <v>5771</v>
      </c>
      <c r="E133" s="434">
        <f>'PROSPETTO CE_IV TRIM 2024'!BM401</f>
        <v>311496</v>
      </c>
      <c r="F133" s="439">
        <f>+E133</f>
        <v>311496</v>
      </c>
      <c r="G133" s="439">
        <v>187768</v>
      </c>
      <c r="H133" s="439">
        <v>311496</v>
      </c>
      <c r="I133" s="435">
        <f t="shared" ref="I133:I196" si="132">F133-H133</f>
        <v>0</v>
      </c>
      <c r="J133" s="435">
        <f t="shared" ref="J133:J196" si="133">F133-K133</f>
        <v>-2000</v>
      </c>
      <c r="K133" s="439">
        <v>313496</v>
      </c>
      <c r="L133" s="439">
        <v>313496</v>
      </c>
      <c r="M133" s="439">
        <f t="shared" ref="M133:M196" si="134">F133-P133</f>
        <v>263496</v>
      </c>
      <c r="N133" s="439">
        <v>228996</v>
      </c>
      <c r="O133" s="439">
        <v>228996</v>
      </c>
      <c r="P133" s="440">
        <v>48000</v>
      </c>
      <c r="Q133" s="439">
        <v>187768</v>
      </c>
      <c r="R133" s="439">
        <f t="shared" si="127"/>
        <v>-180996</v>
      </c>
      <c r="S133" s="439">
        <f t="shared" si="128"/>
        <v>-41228</v>
      </c>
      <c r="T133" s="441">
        <f>(F133-P133)/F133*100</f>
        <v>84.590492333769944</v>
      </c>
      <c r="U133" s="439">
        <v>160500</v>
      </c>
      <c r="V133" s="439">
        <f>+AA133</f>
        <v>48000</v>
      </c>
      <c r="W133" s="439">
        <v>161268</v>
      </c>
      <c r="X133" s="439">
        <v>187768</v>
      </c>
      <c r="Y133" s="435">
        <f t="shared" si="130"/>
        <v>339813.81818181818</v>
      </c>
      <c r="Z133" s="439">
        <v>48000</v>
      </c>
      <c r="AA133" s="439">
        <v>48000</v>
      </c>
      <c r="AB133" s="439">
        <v>0</v>
      </c>
      <c r="AC133" s="439">
        <v>84744</v>
      </c>
      <c r="AD133" s="439">
        <v>187768</v>
      </c>
      <c r="AE133" s="439"/>
      <c r="AF133" s="439">
        <f>AC133*2</f>
        <v>169488</v>
      </c>
      <c r="AG133" s="439"/>
      <c r="AH133" s="419">
        <f t="shared" si="125"/>
        <v>-311496</v>
      </c>
      <c r="AI133" s="439"/>
      <c r="AJ133" s="439"/>
      <c r="AK133" s="439">
        <f>AA133-W133</f>
        <v>-113268</v>
      </c>
      <c r="AL133" s="439">
        <f>AA133-AF133</f>
        <v>-121488</v>
      </c>
      <c r="AM133" s="439">
        <f>AA133-AD133</f>
        <v>-139768</v>
      </c>
      <c r="AN133" s="438"/>
      <c r="AO133" s="438"/>
      <c r="AP133" s="438"/>
    </row>
    <row r="134" spans="1:42" ht="12.75">
      <c r="A134" s="412">
        <v>131</v>
      </c>
      <c r="B134" s="431"/>
      <c r="C134" s="432" t="s">
        <v>5790</v>
      </c>
      <c r="D134" s="433" t="s">
        <v>5793</v>
      </c>
      <c r="E134" s="434">
        <f>'PROSPETTO CE_IV TRIM 2024'!BM409</f>
        <v>0</v>
      </c>
      <c r="F134" s="439">
        <f>+E134</f>
        <v>0</v>
      </c>
      <c r="G134" s="439">
        <v>0</v>
      </c>
      <c r="H134" s="439">
        <v>0</v>
      </c>
      <c r="I134" s="435">
        <f t="shared" si="132"/>
        <v>0</v>
      </c>
      <c r="J134" s="435">
        <f t="shared" si="133"/>
        <v>0</v>
      </c>
      <c r="K134" s="439">
        <v>0</v>
      </c>
      <c r="L134" s="439">
        <v>0</v>
      </c>
      <c r="M134" s="439">
        <f t="shared" si="134"/>
        <v>0</v>
      </c>
      <c r="N134" s="439">
        <v>0</v>
      </c>
      <c r="O134" s="439">
        <v>0</v>
      </c>
      <c r="P134" s="440">
        <v>0</v>
      </c>
      <c r="Q134" s="439">
        <v>0</v>
      </c>
      <c r="R134" s="439">
        <f t="shared" si="127"/>
        <v>0</v>
      </c>
      <c r="S134" s="439">
        <f t="shared" si="128"/>
        <v>0</v>
      </c>
      <c r="T134" s="441"/>
      <c r="U134" s="439">
        <v>0</v>
      </c>
      <c r="V134" s="439">
        <f>+AA134</f>
        <v>0</v>
      </c>
      <c r="W134" s="439">
        <v>0</v>
      </c>
      <c r="X134" s="439">
        <v>0</v>
      </c>
      <c r="Y134" s="435">
        <f t="shared" si="130"/>
        <v>0</v>
      </c>
      <c r="Z134" s="439">
        <v>0</v>
      </c>
      <c r="AA134" s="439">
        <v>0</v>
      </c>
      <c r="AB134" s="439">
        <v>0</v>
      </c>
      <c r="AC134" s="439">
        <v>0</v>
      </c>
      <c r="AD134" s="439">
        <v>0</v>
      </c>
      <c r="AE134" s="439"/>
      <c r="AF134" s="439">
        <f>AC134*2</f>
        <v>0</v>
      </c>
      <c r="AG134" s="439"/>
      <c r="AH134" s="419">
        <f t="shared" si="125"/>
        <v>0</v>
      </c>
      <c r="AI134" s="439"/>
      <c r="AJ134" s="439"/>
      <c r="AK134" s="439">
        <f>AA134-W134</f>
        <v>0</v>
      </c>
      <c r="AL134" s="439">
        <f>AA134-AF134</f>
        <v>0</v>
      </c>
      <c r="AM134" s="439">
        <f>AA134-AD134</f>
        <v>0</v>
      </c>
      <c r="AN134" s="438"/>
      <c r="AO134" s="438"/>
      <c r="AP134" s="438"/>
    </row>
    <row r="135" spans="1:42" ht="12.75">
      <c r="A135" s="412">
        <v>132</v>
      </c>
      <c r="B135" s="431"/>
      <c r="C135" s="432" t="s">
        <v>5805</v>
      </c>
      <c r="D135" s="433" t="s">
        <v>5808</v>
      </c>
      <c r="E135" s="434">
        <f>'PROSPETTO CE_IV TRIM 2024'!BM415</f>
        <v>341929.27</v>
      </c>
      <c r="F135" s="439">
        <f>+E135</f>
        <v>341929.27</v>
      </c>
      <c r="G135" s="439">
        <v>594977.25000000012</v>
      </c>
      <c r="H135" s="439">
        <v>341929.27</v>
      </c>
      <c r="I135" s="435">
        <f t="shared" si="132"/>
        <v>0</v>
      </c>
      <c r="J135" s="435">
        <f t="shared" si="133"/>
        <v>0</v>
      </c>
      <c r="K135" s="439">
        <v>341929.27</v>
      </c>
      <c r="L135" s="439">
        <v>341929.27</v>
      </c>
      <c r="M135" s="439">
        <f t="shared" si="134"/>
        <v>196766.82</v>
      </c>
      <c r="N135" s="439">
        <v>321979.56</v>
      </c>
      <c r="O135" s="439">
        <v>321979.56</v>
      </c>
      <c r="P135" s="440">
        <v>145162.45000000001</v>
      </c>
      <c r="Q135" s="439">
        <v>594977.25000000012</v>
      </c>
      <c r="R135" s="439">
        <f t="shared" si="127"/>
        <v>-176817.11</v>
      </c>
      <c r="S135" s="439">
        <f t="shared" si="128"/>
        <v>272997.69000000012</v>
      </c>
      <c r="T135" s="441">
        <f t="shared" ref="T135:T143" si="135">(F135-P135)/F135*100</f>
        <v>57.546059160129815</v>
      </c>
      <c r="U135" s="439">
        <v>161146.6</v>
      </c>
      <c r="V135" s="439">
        <f>+AA135</f>
        <v>145162.45000000001</v>
      </c>
      <c r="W135" s="439">
        <v>572232</v>
      </c>
      <c r="X135" s="439">
        <v>594977.25000000012</v>
      </c>
      <c r="Y135" s="435">
        <f t="shared" si="130"/>
        <v>373013.74909090908</v>
      </c>
      <c r="Z135" s="439">
        <v>145162.45000000001</v>
      </c>
      <c r="AA135" s="439">
        <v>145162.45000000001</v>
      </c>
      <c r="AB135" s="439">
        <v>1688</v>
      </c>
      <c r="AC135" s="439">
        <v>298091.24500000005</v>
      </c>
      <c r="AD135" s="439">
        <v>594977.25000000012</v>
      </c>
      <c r="AE135" s="439"/>
      <c r="AF135" s="439">
        <f>AC135*2</f>
        <v>596182.49000000011</v>
      </c>
      <c r="AG135" s="439"/>
      <c r="AH135" s="419">
        <f t="shared" si="125"/>
        <v>-341929.27</v>
      </c>
      <c r="AI135" s="439"/>
      <c r="AJ135" s="439"/>
      <c r="AK135" s="439">
        <f>AA135-W135</f>
        <v>-427069.55</v>
      </c>
      <c r="AL135" s="439">
        <f>AA135-AF135</f>
        <v>-451020.0400000001</v>
      </c>
      <c r="AM135" s="439">
        <f>AA135-AD135</f>
        <v>-449814.8000000001</v>
      </c>
      <c r="AN135" s="438"/>
      <c r="AO135" s="438"/>
      <c r="AP135" s="438"/>
    </row>
    <row r="136" spans="1:42" s="455" customFormat="1" ht="12.75">
      <c r="A136" s="445">
        <v>133</v>
      </c>
      <c r="B136" s="446"/>
      <c r="C136" s="447" t="s">
        <v>11204</v>
      </c>
      <c r="D136" s="448" t="s">
        <v>11205</v>
      </c>
      <c r="E136" s="449"/>
      <c r="F136" s="450">
        <f>+F132+F131+F124+F120+F99+F44+F38+F35+F4</f>
        <v>348448743.59000003</v>
      </c>
      <c r="G136" s="450">
        <v>339814870.3599999</v>
      </c>
      <c r="H136" s="450">
        <v>353267648.48000002</v>
      </c>
      <c r="I136" s="435">
        <f t="shared" si="132"/>
        <v>-4818904.8899999857</v>
      </c>
      <c r="J136" s="451">
        <f t="shared" si="133"/>
        <v>-4091064.3399999738</v>
      </c>
      <c r="K136" s="450">
        <v>352539807.93000001</v>
      </c>
      <c r="L136" s="450">
        <v>278534938.76999998</v>
      </c>
      <c r="M136" s="450">
        <f t="shared" si="134"/>
        <v>71369939.989583492</v>
      </c>
      <c r="N136" s="450">
        <v>275772921.96000004</v>
      </c>
      <c r="O136" s="450">
        <v>274872921.96000004</v>
      </c>
      <c r="P136" s="452">
        <v>277078803.60041654</v>
      </c>
      <c r="Q136" s="450">
        <f>+Q132+Q131+Q124+Q120+Q99+Q44+Q38+Q35+Q4</f>
        <v>339814870.3599999</v>
      </c>
      <c r="R136" s="450">
        <f t="shared" si="127"/>
        <v>1305881.640416503</v>
      </c>
      <c r="S136" s="450">
        <f t="shared" si="128"/>
        <v>64041948.399999857</v>
      </c>
      <c r="T136" s="453">
        <f t="shared" si="135"/>
        <v>20.482191800800543</v>
      </c>
      <c r="U136" s="450">
        <v>203044135.03</v>
      </c>
      <c r="V136" s="450">
        <f>+V132+V131+V124+V120+V99+V44+V38+V35+V4</f>
        <v>277078803.60041654</v>
      </c>
      <c r="W136" s="450">
        <f>+W132+W131+W124+W120+W99+W44+W38+W35+W4</f>
        <v>341285244.41370869</v>
      </c>
      <c r="X136" s="450">
        <f>+X132+X131+X124+X120+X99+X44+X38+X35+X4</f>
        <v>339814870.3599999</v>
      </c>
      <c r="Y136" s="451">
        <f t="shared" si="130"/>
        <v>380125902.09818184</v>
      </c>
      <c r="Z136" s="450">
        <v>268194095.42129642</v>
      </c>
      <c r="AA136" s="450">
        <v>268891581.20129645</v>
      </c>
      <c r="AB136" s="450">
        <f>+AB132+AB131+AB124+AB120+AB99+AB44+AB38+AB35+AB4</f>
        <v>70700800</v>
      </c>
      <c r="AC136" s="450">
        <f>+AC132+AC131+AC124+AC120+AC99+AC44+AC38+AC35+AC4</f>
        <v>130738905.77530602</v>
      </c>
      <c r="AD136" s="450">
        <f>+AD132+AD131+AD124+AD120+AD99+AD44+AD38+AD35+AD4</f>
        <v>339814870.3599999</v>
      </c>
      <c r="AE136" s="450"/>
      <c r="AF136" s="450">
        <f t="shared" ref="AF136:AM136" si="136">+AF132+AF131+AF124+AF120+AF99+AF44+AF38+AF35+AF4</f>
        <v>259186985.95061204</v>
      </c>
      <c r="AG136" s="450">
        <f t="shared" si="136"/>
        <v>0</v>
      </c>
      <c r="AH136" s="415">
        <f t="shared" si="125"/>
        <v>-348448743.59000003</v>
      </c>
      <c r="AI136" s="450">
        <f t="shared" si="136"/>
        <v>0</v>
      </c>
      <c r="AJ136" s="450">
        <f t="shared" si="136"/>
        <v>0</v>
      </c>
      <c r="AK136" s="450">
        <f t="shared" si="136"/>
        <v>-72393663.212412283</v>
      </c>
      <c r="AL136" s="450">
        <f t="shared" si="136"/>
        <v>9704595.2506843545</v>
      </c>
      <c r="AM136" s="450">
        <f t="shared" si="136"/>
        <v>-70923289.158703566</v>
      </c>
      <c r="AN136" s="454"/>
      <c r="AO136" s="454"/>
      <c r="AP136" s="454"/>
    </row>
    <row r="137" spans="1:42" ht="12.75">
      <c r="A137" s="412">
        <v>134</v>
      </c>
      <c r="B137" s="431"/>
      <c r="C137" s="432" t="s">
        <v>6004</v>
      </c>
      <c r="D137" s="433" t="s">
        <v>6007</v>
      </c>
      <c r="E137" s="434"/>
      <c r="F137" s="435">
        <f>+F138+F168</f>
        <v>135321772.22</v>
      </c>
      <c r="G137" s="435">
        <v>125646016.88000001</v>
      </c>
      <c r="H137" s="435">
        <v>135602720.38595998</v>
      </c>
      <c r="I137" s="435">
        <f t="shared" si="132"/>
        <v>-280948.16595998406</v>
      </c>
      <c r="J137" s="435">
        <f t="shared" si="133"/>
        <v>-280948.16595998406</v>
      </c>
      <c r="K137" s="435">
        <v>135602720.38595998</v>
      </c>
      <c r="L137" s="435">
        <v>135605459.65595999</v>
      </c>
      <c r="M137" s="435">
        <f t="shared" si="134"/>
        <v>-3916296.1892749965</v>
      </c>
      <c r="N137" s="435">
        <v>135757048.71956998</v>
      </c>
      <c r="O137" s="435">
        <v>135757048.71956998</v>
      </c>
      <c r="P137" s="436">
        <v>139238068.409275</v>
      </c>
      <c r="Q137" s="435">
        <f t="shared" ref="Q137" si="137">+Q138+Q168</f>
        <v>125646016.88000001</v>
      </c>
      <c r="R137" s="435">
        <f t="shared" si="127"/>
        <v>3481019.6897050142</v>
      </c>
      <c r="S137" s="435">
        <f t="shared" si="128"/>
        <v>-10111031.839569971</v>
      </c>
      <c r="T137" s="453">
        <f t="shared" si="135"/>
        <v>-2.8940621490738829</v>
      </c>
      <c r="U137" s="435">
        <v>101932576.86939</v>
      </c>
      <c r="V137" s="435">
        <f>+V138+V168</f>
        <v>139238068.409275</v>
      </c>
      <c r="W137" s="435">
        <f>+W138+W168</f>
        <v>129532012.42</v>
      </c>
      <c r="X137" s="435">
        <f t="shared" ref="X137" si="138">+X138+X168</f>
        <v>125646016.88000001</v>
      </c>
      <c r="Y137" s="435">
        <f t="shared" si="130"/>
        <v>147623751.51272726</v>
      </c>
      <c r="Z137" s="435">
        <v>140075653.07927501</v>
      </c>
      <c r="AA137" s="435">
        <v>139238068.409275</v>
      </c>
      <c r="AB137" s="435">
        <f t="shared" ref="AB137:AM137" si="139">+AB138+AB168</f>
        <v>34158978</v>
      </c>
      <c r="AC137" s="435">
        <f t="shared" si="139"/>
        <v>69702033.083069995</v>
      </c>
      <c r="AD137" s="435">
        <f t="shared" si="139"/>
        <v>125646016.88000001</v>
      </c>
      <c r="AE137" s="435"/>
      <c r="AF137" s="435">
        <f t="shared" si="139"/>
        <v>139404066.16613999</v>
      </c>
      <c r="AG137" s="435">
        <f t="shared" si="139"/>
        <v>0</v>
      </c>
      <c r="AH137" s="419">
        <f t="shared" si="125"/>
        <v>-135321772.22</v>
      </c>
      <c r="AI137" s="435">
        <f t="shared" si="139"/>
        <v>0</v>
      </c>
      <c r="AJ137" s="435">
        <f t="shared" si="139"/>
        <v>0</v>
      </c>
      <c r="AK137" s="435">
        <f t="shared" si="139"/>
        <v>9706055.9892749973</v>
      </c>
      <c r="AL137" s="435">
        <f t="shared" si="139"/>
        <v>-165997.75686499238</v>
      </c>
      <c r="AM137" s="435">
        <f t="shared" si="139"/>
        <v>13592051.529274993</v>
      </c>
      <c r="AN137" s="438"/>
      <c r="AO137" s="438"/>
      <c r="AP137" s="438"/>
    </row>
    <row r="138" spans="1:42" ht="12.75">
      <c r="A138" s="412">
        <v>135</v>
      </c>
      <c r="B138" s="431"/>
      <c r="C138" s="432" t="s">
        <v>6008</v>
      </c>
      <c r="D138" s="433" t="s">
        <v>6011</v>
      </c>
      <c r="E138" s="434"/>
      <c r="F138" s="435">
        <f>+F139+F147+F151+F155+F156+F157+F158+F159+F160</f>
        <v>135031458.85999998</v>
      </c>
      <c r="G138" s="435">
        <v>125137366.25000001</v>
      </c>
      <c r="H138" s="435">
        <v>135312407.02735999</v>
      </c>
      <c r="I138" s="435">
        <f t="shared" si="132"/>
        <v>-280948.16736000776</v>
      </c>
      <c r="J138" s="435">
        <f t="shared" si="133"/>
        <v>-280948.16736000776</v>
      </c>
      <c r="K138" s="435">
        <v>135312407.02735999</v>
      </c>
      <c r="L138" s="435">
        <v>135315146.29736</v>
      </c>
      <c r="M138" s="435">
        <f t="shared" si="134"/>
        <v>-3920231.3905050159</v>
      </c>
      <c r="N138" s="435">
        <v>135466724.51853999</v>
      </c>
      <c r="O138" s="435">
        <v>135466724.51853999</v>
      </c>
      <c r="P138" s="436">
        <v>138951690.250505</v>
      </c>
      <c r="Q138" s="435">
        <f t="shared" ref="Q138" si="140">+Q139+Q147+Q151+Q155+Q156+Q157+Q158+Q159+Q160</f>
        <v>125137366.25000001</v>
      </c>
      <c r="R138" s="435">
        <f t="shared" si="127"/>
        <v>3484965.7319650054</v>
      </c>
      <c r="S138" s="435">
        <f t="shared" si="128"/>
        <v>-10329358.26853998</v>
      </c>
      <c r="T138" s="453">
        <f t="shared" si="135"/>
        <v>-2.9031985757996543</v>
      </c>
      <c r="U138" s="435">
        <v>101740353.55418999</v>
      </c>
      <c r="V138" s="435">
        <f>+V139+V147+V151+V155+V156+V157+V158+V159+V160</f>
        <v>138951690.250505</v>
      </c>
      <c r="W138" s="435">
        <f>+W139+W147+W151+W155+W156+W157+W158+W159+W160</f>
        <v>128974800.42</v>
      </c>
      <c r="X138" s="435">
        <f t="shared" ref="X138" si="141">+X139+X147+X151+X155+X156+X157+X158+X159+X160</f>
        <v>125137366.25000001</v>
      </c>
      <c r="Y138" s="435">
        <f t="shared" si="130"/>
        <v>147307046.02909088</v>
      </c>
      <c r="Z138" s="435">
        <v>139789274.92050502</v>
      </c>
      <c r="AA138" s="435">
        <v>138951690.250505</v>
      </c>
      <c r="AB138" s="435">
        <f t="shared" ref="AB138:AM138" si="142">+AB139+AB147+AB151+AB155+AB156+AB157+AB158+AB159+AB160</f>
        <v>34077335</v>
      </c>
      <c r="AC138" s="435">
        <f t="shared" si="142"/>
        <v>69556961.518869996</v>
      </c>
      <c r="AD138" s="435">
        <f t="shared" si="142"/>
        <v>125137366.25000001</v>
      </c>
      <c r="AE138" s="435"/>
      <c r="AF138" s="435">
        <f t="shared" si="142"/>
        <v>139113923.03773999</v>
      </c>
      <c r="AG138" s="435">
        <f t="shared" si="142"/>
        <v>0</v>
      </c>
      <c r="AH138" s="419">
        <f t="shared" si="125"/>
        <v>-135031458.85999998</v>
      </c>
      <c r="AI138" s="435">
        <f t="shared" si="142"/>
        <v>0</v>
      </c>
      <c r="AJ138" s="435">
        <f t="shared" si="142"/>
        <v>0</v>
      </c>
      <c r="AK138" s="435">
        <f t="shared" si="142"/>
        <v>9976889.8305049967</v>
      </c>
      <c r="AL138" s="435">
        <f t="shared" si="142"/>
        <v>-162232.78723499234</v>
      </c>
      <c r="AM138" s="435">
        <f t="shared" si="142"/>
        <v>13814324.000504993</v>
      </c>
      <c r="AN138" s="438"/>
      <c r="AO138" s="438"/>
      <c r="AP138" s="438"/>
    </row>
    <row r="139" spans="1:42" ht="12.75">
      <c r="A139" s="412">
        <v>136</v>
      </c>
      <c r="B139" s="431"/>
      <c r="C139" s="432" t="s">
        <v>545</v>
      </c>
      <c r="D139" s="433" t="s">
        <v>11206</v>
      </c>
      <c r="E139" s="434"/>
      <c r="F139" s="435">
        <f>SUM(F140:F143)</f>
        <v>98626169.109999999</v>
      </c>
      <c r="G139" s="435">
        <v>92682753.420000017</v>
      </c>
      <c r="H139" s="435">
        <v>98907117.27798</v>
      </c>
      <c r="I139" s="435">
        <f t="shared" si="132"/>
        <v>-280948.16798000038</v>
      </c>
      <c r="J139" s="435">
        <f t="shared" si="133"/>
        <v>-280948.16798000038</v>
      </c>
      <c r="K139" s="435">
        <v>98907117.27798</v>
      </c>
      <c r="L139" s="435">
        <v>98907117.27798</v>
      </c>
      <c r="M139" s="435">
        <f t="shared" si="134"/>
        <v>-5190130.4592199922</v>
      </c>
      <c r="N139" s="435">
        <v>98967103.760959998</v>
      </c>
      <c r="O139" s="435">
        <v>98967103.760959998</v>
      </c>
      <c r="P139" s="436">
        <v>103816299.56921999</v>
      </c>
      <c r="Q139" s="435">
        <f t="shared" ref="Q139" si="143">SUM(Q140:Q143)</f>
        <v>92682753.420000017</v>
      </c>
      <c r="R139" s="435">
        <f t="shared" si="127"/>
        <v>4849195.8082599938</v>
      </c>
      <c r="S139" s="435">
        <f t="shared" si="128"/>
        <v>-6284350.3409599811</v>
      </c>
      <c r="T139" s="453">
        <f t="shared" si="135"/>
        <v>-5.2624273111848456</v>
      </c>
      <c r="U139" s="435">
        <v>76692151.776620001</v>
      </c>
      <c r="V139" s="435">
        <f>SUM(V140:V143)</f>
        <v>103816299.56921999</v>
      </c>
      <c r="W139" s="435">
        <f>SUM(W140:W143)</f>
        <v>95152946.420000002</v>
      </c>
      <c r="X139" s="435">
        <f t="shared" ref="X139" si="144">SUM(X140:X143)</f>
        <v>92682753.420000017</v>
      </c>
      <c r="Y139" s="435">
        <f t="shared" si="130"/>
        <v>107592184.48363635</v>
      </c>
      <c r="Z139" s="435">
        <v>104653884.23921999</v>
      </c>
      <c r="AA139" s="435">
        <v>103816299.56921999</v>
      </c>
      <c r="AB139" s="435">
        <f t="shared" ref="AB139:AM139" si="145">SUM(AB140:AB143)</f>
        <v>25979077</v>
      </c>
      <c r="AC139" s="435">
        <f t="shared" si="145"/>
        <v>52504707.884069994</v>
      </c>
      <c r="AD139" s="435">
        <f t="shared" si="145"/>
        <v>92682753.420000017</v>
      </c>
      <c r="AE139" s="435"/>
      <c r="AF139" s="435">
        <f t="shared" si="145"/>
        <v>105009415.76813999</v>
      </c>
      <c r="AG139" s="435">
        <f t="shared" si="145"/>
        <v>0</v>
      </c>
      <c r="AH139" s="419">
        <f t="shared" si="125"/>
        <v>-98626169.109999999</v>
      </c>
      <c r="AI139" s="435">
        <f t="shared" si="145"/>
        <v>0</v>
      </c>
      <c r="AJ139" s="435">
        <f t="shared" si="145"/>
        <v>0</v>
      </c>
      <c r="AK139" s="435">
        <f t="shared" si="145"/>
        <v>8663353.1492199972</v>
      </c>
      <c r="AL139" s="435">
        <f t="shared" si="145"/>
        <v>-1193116.1989199917</v>
      </c>
      <c r="AM139" s="435">
        <f t="shared" si="145"/>
        <v>11133546.14921999</v>
      </c>
      <c r="AN139" s="438"/>
      <c r="AO139" s="438"/>
      <c r="AP139" s="438"/>
    </row>
    <row r="140" spans="1:42" ht="25.5">
      <c r="A140" s="412">
        <v>137</v>
      </c>
      <c r="B140" s="431"/>
      <c r="C140" s="432" t="s">
        <v>546</v>
      </c>
      <c r="D140" s="433" t="s">
        <v>6014</v>
      </c>
      <c r="E140" s="434">
        <f>'PROSPETTO CE_IV TRIM 2024'!BM502</f>
        <v>96147593.36999999</v>
      </c>
      <c r="F140" s="439">
        <f>+E140</f>
        <v>96147593.36999999</v>
      </c>
      <c r="G140" s="439">
        <v>90410665.63000001</v>
      </c>
      <c r="H140" s="439">
        <v>96147593.363250002</v>
      </c>
      <c r="I140" s="435">
        <f t="shared" si="132"/>
        <v>6.7499876022338867E-3</v>
      </c>
      <c r="J140" s="435">
        <f t="shared" si="133"/>
        <v>6.7499876022338867E-3</v>
      </c>
      <c r="K140" s="439">
        <v>96147593.363250002</v>
      </c>
      <c r="L140" s="439">
        <v>96147593.363250002</v>
      </c>
      <c r="M140" s="439">
        <f t="shared" si="134"/>
        <v>-4930899.6300000101</v>
      </c>
      <c r="N140" s="439">
        <v>96147580.024770007</v>
      </c>
      <c r="O140" s="439">
        <v>96147580.024770007</v>
      </c>
      <c r="P140" s="440">
        <v>101078493</v>
      </c>
      <c r="Q140" s="439">
        <v>90410665.63000001</v>
      </c>
      <c r="R140" s="439">
        <f t="shared" si="127"/>
        <v>4930912.9752299935</v>
      </c>
      <c r="S140" s="439">
        <f t="shared" si="128"/>
        <v>-5736914.3947699964</v>
      </c>
      <c r="T140" s="441">
        <f t="shared" si="135"/>
        <v>-5.1284691141718701</v>
      </c>
      <c r="U140" s="439">
        <v>74755256.075650007</v>
      </c>
      <c r="V140" s="439">
        <f>+AA140</f>
        <v>101078493</v>
      </c>
      <c r="W140" s="439">
        <v>93277381.420000002</v>
      </c>
      <c r="X140" s="439">
        <v>90410665.63000001</v>
      </c>
      <c r="Y140" s="435">
        <f t="shared" si="130"/>
        <v>104888283.67636362</v>
      </c>
      <c r="Z140" s="439">
        <v>101885000</v>
      </c>
      <c r="AA140" s="439">
        <v>101078493</v>
      </c>
      <c r="AB140" s="439">
        <v>25929351</v>
      </c>
      <c r="AC140" s="439">
        <v>51605165.677039996</v>
      </c>
      <c r="AD140" s="439">
        <v>90410665.63000001</v>
      </c>
      <c r="AE140" s="439"/>
      <c r="AF140" s="439">
        <f>AC140*2</f>
        <v>103210331.35407999</v>
      </c>
      <c r="AG140" s="439"/>
      <c r="AH140" s="419">
        <f t="shared" si="125"/>
        <v>-96147593.36999999</v>
      </c>
      <c r="AI140" s="439"/>
      <c r="AJ140" s="439"/>
      <c r="AK140" s="439">
        <f>AA140-W140</f>
        <v>7801111.5799999982</v>
      </c>
      <c r="AL140" s="439">
        <f>AA140-AF140</f>
        <v>-2131838.3540799916</v>
      </c>
      <c r="AM140" s="439">
        <f>AA140-AD140</f>
        <v>10667827.36999999</v>
      </c>
      <c r="AN140" s="438" t="s">
        <v>11207</v>
      </c>
      <c r="AO140" s="438"/>
      <c r="AP140" s="438"/>
    </row>
    <row r="141" spans="1:42" ht="12.75">
      <c r="A141" s="412">
        <v>138</v>
      </c>
      <c r="B141" s="431"/>
      <c r="C141" s="432" t="s">
        <v>547</v>
      </c>
      <c r="D141" s="433" t="s">
        <v>6063</v>
      </c>
      <c r="E141" s="434">
        <f>'PROSPETTO CE_IV TRIM 2024'!BM523</f>
        <v>1056295.01</v>
      </c>
      <c r="F141" s="439">
        <f>+E141</f>
        <v>1056295.01</v>
      </c>
      <c r="G141" s="439">
        <v>690473.20000000007</v>
      </c>
      <c r="H141" s="439">
        <v>1056295.18762</v>
      </c>
      <c r="I141" s="435">
        <f t="shared" si="132"/>
        <v>-0.1776199999731034</v>
      </c>
      <c r="J141" s="435">
        <f t="shared" si="133"/>
        <v>-0.1776199999731034</v>
      </c>
      <c r="K141" s="439">
        <v>1056295.18762</v>
      </c>
      <c r="L141" s="439">
        <v>1056295.18762</v>
      </c>
      <c r="M141" s="439">
        <f t="shared" si="134"/>
        <v>-9174.6799999999348</v>
      </c>
      <c r="N141" s="439">
        <v>1116295.00908</v>
      </c>
      <c r="O141" s="439">
        <v>1116295.00908</v>
      </c>
      <c r="P141" s="440">
        <v>1065469.69</v>
      </c>
      <c r="Q141" s="439">
        <v>690473.20000000007</v>
      </c>
      <c r="R141" s="439">
        <f t="shared" si="127"/>
        <v>-50825.319080000045</v>
      </c>
      <c r="S141" s="439">
        <f t="shared" si="128"/>
        <v>-425821.80907999992</v>
      </c>
      <c r="T141" s="441">
        <f t="shared" si="135"/>
        <v>-0.86857174493325828</v>
      </c>
      <c r="U141" s="439">
        <v>728801.04096999997</v>
      </c>
      <c r="V141" s="439">
        <f>+AA141</f>
        <v>1065469.69</v>
      </c>
      <c r="W141" s="439">
        <v>419004</v>
      </c>
      <c r="X141" s="439">
        <v>690473.20000000007</v>
      </c>
      <c r="Y141" s="435">
        <f t="shared" si="130"/>
        <v>1152321.8290909091</v>
      </c>
      <c r="Z141" s="439">
        <v>1096547.3599999999</v>
      </c>
      <c r="AA141" s="439">
        <v>1065469.69</v>
      </c>
      <c r="AB141" s="439">
        <v>49726</v>
      </c>
      <c r="AC141" s="439">
        <v>249733.05416999999</v>
      </c>
      <c r="AD141" s="439">
        <v>690473.20000000007</v>
      </c>
      <c r="AE141" s="439"/>
      <c r="AF141" s="439">
        <f>AC141*2</f>
        <v>499466.10833999998</v>
      </c>
      <c r="AG141" s="439"/>
      <c r="AH141" s="419">
        <f t="shared" si="125"/>
        <v>-1056295.01</v>
      </c>
      <c r="AI141" s="439"/>
      <c r="AJ141" s="439"/>
      <c r="AK141" s="439">
        <f>AA141-W141</f>
        <v>646465.68999999994</v>
      </c>
      <c r="AL141" s="439">
        <f>AA141-AF141</f>
        <v>566003.58165999991</v>
      </c>
      <c r="AM141" s="439">
        <f>AA141-AD141</f>
        <v>374996.48999999987</v>
      </c>
      <c r="AN141" s="438"/>
      <c r="AO141" s="438"/>
      <c r="AP141" s="438"/>
    </row>
    <row r="142" spans="1:42" ht="12.75">
      <c r="A142" s="412">
        <v>139</v>
      </c>
      <c r="B142" s="431"/>
      <c r="C142" s="432" t="s">
        <v>6081</v>
      </c>
      <c r="D142" s="433" t="s">
        <v>6084</v>
      </c>
      <c r="E142" s="434">
        <f>'PROSPETTO CE_IV TRIM 2024'!BM529</f>
        <v>615069.73</v>
      </c>
      <c r="F142" s="439">
        <f>+E142</f>
        <v>615069.73</v>
      </c>
      <c r="G142" s="439">
        <v>493455.59</v>
      </c>
      <c r="H142" s="439">
        <v>615069.72710999998</v>
      </c>
      <c r="I142" s="435">
        <f t="shared" si="132"/>
        <v>2.8900000033900142E-3</v>
      </c>
      <c r="J142" s="435">
        <f t="shared" si="133"/>
        <v>2.8900000033900142E-3</v>
      </c>
      <c r="K142" s="439">
        <v>615069.72710999998</v>
      </c>
      <c r="L142" s="439">
        <v>615069.72710999998</v>
      </c>
      <c r="M142" s="439">
        <f t="shared" si="134"/>
        <v>30891.850779999979</v>
      </c>
      <c r="N142" s="439">
        <v>615069.72710999998</v>
      </c>
      <c r="O142" s="439">
        <v>615069.72710999998</v>
      </c>
      <c r="P142" s="440">
        <v>584177.87922</v>
      </c>
      <c r="Q142" s="439">
        <v>493455.59</v>
      </c>
      <c r="R142" s="439">
        <f t="shared" si="127"/>
        <v>-30891.847889999975</v>
      </c>
      <c r="S142" s="439">
        <f t="shared" si="128"/>
        <v>-121614.13710999995</v>
      </c>
      <c r="T142" s="441">
        <f t="shared" si="135"/>
        <v>5.0224957062998339</v>
      </c>
      <c r="U142" s="439">
        <v>391975.41</v>
      </c>
      <c r="V142" s="439">
        <f>+AA142</f>
        <v>584177.87922</v>
      </c>
      <c r="W142" s="439">
        <v>532682</v>
      </c>
      <c r="X142" s="439">
        <v>493455.59</v>
      </c>
      <c r="Y142" s="435">
        <f t="shared" si="130"/>
        <v>670985.16</v>
      </c>
      <c r="Z142" s="439">
        <v>584177.87922</v>
      </c>
      <c r="AA142" s="439">
        <v>584177.87922</v>
      </c>
      <c r="AB142" s="439">
        <v>0</v>
      </c>
      <c r="AC142" s="439">
        <v>105729.65286</v>
      </c>
      <c r="AD142" s="439">
        <v>493455.59</v>
      </c>
      <c r="AE142" s="439"/>
      <c r="AF142" s="439">
        <f>AC142*2</f>
        <v>211459.30572</v>
      </c>
      <c r="AG142" s="439"/>
      <c r="AH142" s="419">
        <f t="shared" si="125"/>
        <v>-615069.73</v>
      </c>
      <c r="AI142" s="439"/>
      <c r="AJ142" s="439"/>
      <c r="AK142" s="439">
        <f>AA142-W142</f>
        <v>51495.879220000003</v>
      </c>
      <c r="AL142" s="439">
        <f>AA142-AF142</f>
        <v>372718.5735</v>
      </c>
      <c r="AM142" s="439">
        <f>AA142-AD142</f>
        <v>90722.289219999977</v>
      </c>
      <c r="AN142" s="438"/>
      <c r="AO142" s="438"/>
      <c r="AP142" s="438"/>
    </row>
    <row r="143" spans="1:42" ht="12.75">
      <c r="A143" s="412">
        <v>140</v>
      </c>
      <c r="B143" s="431"/>
      <c r="C143" s="432" t="s">
        <v>548</v>
      </c>
      <c r="D143" s="433" t="s">
        <v>6088</v>
      </c>
      <c r="E143" s="434"/>
      <c r="F143" s="435">
        <f>SUM(F144:F146)</f>
        <v>807211</v>
      </c>
      <c r="G143" s="435">
        <v>1088159</v>
      </c>
      <c r="H143" s="435">
        <v>1088159</v>
      </c>
      <c r="I143" s="435">
        <f t="shared" si="132"/>
        <v>-280948</v>
      </c>
      <c r="J143" s="435">
        <f t="shared" si="133"/>
        <v>-280948</v>
      </c>
      <c r="K143" s="435">
        <v>1088159</v>
      </c>
      <c r="L143" s="435">
        <v>1088159</v>
      </c>
      <c r="M143" s="435">
        <f t="shared" si="134"/>
        <v>-280948</v>
      </c>
      <c r="N143" s="435">
        <v>1088159</v>
      </c>
      <c r="O143" s="435">
        <v>1088159</v>
      </c>
      <c r="P143" s="436">
        <v>1088159</v>
      </c>
      <c r="Q143" s="435">
        <f t="shared" ref="Q143" si="146">SUM(Q144:Q146)</f>
        <v>1088159</v>
      </c>
      <c r="R143" s="435">
        <f t="shared" si="127"/>
        <v>0</v>
      </c>
      <c r="S143" s="435">
        <f t="shared" si="128"/>
        <v>0</v>
      </c>
      <c r="T143" s="437">
        <f t="shared" si="135"/>
        <v>-34.804778428440642</v>
      </c>
      <c r="U143" s="435">
        <v>816119.25</v>
      </c>
      <c r="V143" s="435">
        <f>SUM(V144:V146)</f>
        <v>1088159</v>
      </c>
      <c r="W143" s="435">
        <f>SUM(W144:W146)</f>
        <v>923879</v>
      </c>
      <c r="X143" s="435">
        <f t="shared" ref="X143" si="147">SUM(X144:X146)</f>
        <v>1088159</v>
      </c>
      <c r="Y143" s="435">
        <f t="shared" si="130"/>
        <v>880593.81818181812</v>
      </c>
      <c r="Z143" s="435">
        <v>1088159</v>
      </c>
      <c r="AA143" s="435">
        <v>1088159</v>
      </c>
      <c r="AB143" s="435">
        <f t="shared" ref="AB143:AM143" si="148">SUM(AB144:AB146)</f>
        <v>0</v>
      </c>
      <c r="AC143" s="435">
        <f t="shared" si="148"/>
        <v>544079.5</v>
      </c>
      <c r="AD143" s="435">
        <f t="shared" si="148"/>
        <v>1088159</v>
      </c>
      <c r="AE143" s="435"/>
      <c r="AF143" s="435">
        <f t="shared" si="148"/>
        <v>1088159</v>
      </c>
      <c r="AG143" s="435">
        <f t="shared" si="148"/>
        <v>0</v>
      </c>
      <c r="AH143" s="419">
        <f t="shared" si="125"/>
        <v>-807211</v>
      </c>
      <c r="AI143" s="435">
        <f t="shared" si="148"/>
        <v>0</v>
      </c>
      <c r="AJ143" s="435">
        <f t="shared" si="148"/>
        <v>0</v>
      </c>
      <c r="AK143" s="435">
        <f t="shared" si="148"/>
        <v>164280</v>
      </c>
      <c r="AL143" s="435">
        <f t="shared" si="148"/>
        <v>0</v>
      </c>
      <c r="AM143" s="435">
        <f t="shared" si="148"/>
        <v>0</v>
      </c>
      <c r="AN143" s="438"/>
      <c r="AO143" s="438"/>
      <c r="AP143" s="438"/>
    </row>
    <row r="144" spans="1:42" ht="38.25">
      <c r="A144" s="412">
        <v>141</v>
      </c>
      <c r="B144" s="431" t="s">
        <v>1519</v>
      </c>
      <c r="C144" s="432" t="s">
        <v>6089</v>
      </c>
      <c r="D144" s="433" t="s">
        <v>6093</v>
      </c>
      <c r="E144" s="434">
        <f>'PROSPETTO CE_IV TRIM 2024'!BM532</f>
        <v>0</v>
      </c>
      <c r="F144" s="439">
        <f>+E144</f>
        <v>0</v>
      </c>
      <c r="G144" s="439">
        <v>0</v>
      </c>
      <c r="H144" s="439">
        <v>0</v>
      </c>
      <c r="I144" s="435">
        <f t="shared" si="132"/>
        <v>0</v>
      </c>
      <c r="J144" s="435">
        <f t="shared" si="133"/>
        <v>0</v>
      </c>
      <c r="K144" s="439">
        <v>0</v>
      </c>
      <c r="L144" s="439">
        <v>0</v>
      </c>
      <c r="M144" s="439">
        <f t="shared" si="134"/>
        <v>0</v>
      </c>
      <c r="N144" s="439">
        <v>0</v>
      </c>
      <c r="O144" s="439">
        <v>0</v>
      </c>
      <c r="P144" s="440">
        <v>0</v>
      </c>
      <c r="Q144" s="439">
        <v>0</v>
      </c>
      <c r="R144" s="439">
        <f t="shared" si="127"/>
        <v>0</v>
      </c>
      <c r="S144" s="439">
        <f t="shared" si="128"/>
        <v>0</v>
      </c>
      <c r="T144" s="441"/>
      <c r="U144" s="439">
        <v>0</v>
      </c>
      <c r="V144" s="439">
        <f>+AA144</f>
        <v>0</v>
      </c>
      <c r="W144" s="439">
        <v>0</v>
      </c>
      <c r="X144" s="439">
        <v>0</v>
      </c>
      <c r="Y144" s="435">
        <f t="shared" si="130"/>
        <v>0</v>
      </c>
      <c r="Z144" s="439">
        <v>0</v>
      </c>
      <c r="AA144" s="439">
        <v>0</v>
      </c>
      <c r="AB144" s="439">
        <v>0</v>
      </c>
      <c r="AC144" s="439">
        <v>0</v>
      </c>
      <c r="AD144" s="439">
        <v>0</v>
      </c>
      <c r="AE144" s="439"/>
      <c r="AF144" s="439">
        <f>AC144*2</f>
        <v>0</v>
      </c>
      <c r="AG144" s="439">
        <v>0</v>
      </c>
      <c r="AH144" s="419">
        <f t="shared" si="125"/>
        <v>0</v>
      </c>
      <c r="AI144" s="439">
        <v>0</v>
      </c>
      <c r="AJ144" s="439">
        <v>0</v>
      </c>
      <c r="AK144" s="439">
        <f>AA144-W144</f>
        <v>0</v>
      </c>
      <c r="AL144" s="439">
        <f>AA144-AF144</f>
        <v>0</v>
      </c>
      <c r="AM144" s="439">
        <f>AA144-AD144</f>
        <v>0</v>
      </c>
      <c r="AN144" s="438"/>
      <c r="AO144" s="438"/>
      <c r="AP144" s="438"/>
    </row>
    <row r="145" spans="1:42" ht="38.25">
      <c r="A145" s="412">
        <v>142</v>
      </c>
      <c r="B145" s="444" t="s">
        <v>1349</v>
      </c>
      <c r="C145" s="432" t="s">
        <v>6094</v>
      </c>
      <c r="D145" s="433" t="s">
        <v>6098</v>
      </c>
      <c r="E145" s="434">
        <f>'PROSPETTO CE_IV TRIM 2024'!BM533</f>
        <v>0</v>
      </c>
      <c r="F145" s="439">
        <f>+E145</f>
        <v>0</v>
      </c>
      <c r="G145" s="439">
        <v>0</v>
      </c>
      <c r="H145" s="439">
        <v>0</v>
      </c>
      <c r="I145" s="435">
        <f t="shared" si="132"/>
        <v>0</v>
      </c>
      <c r="J145" s="435">
        <f t="shared" si="133"/>
        <v>0</v>
      </c>
      <c r="K145" s="439">
        <v>0</v>
      </c>
      <c r="L145" s="439">
        <v>0</v>
      </c>
      <c r="M145" s="439">
        <f t="shared" si="134"/>
        <v>0</v>
      </c>
      <c r="N145" s="439">
        <v>0</v>
      </c>
      <c r="O145" s="439">
        <v>0</v>
      </c>
      <c r="P145" s="440">
        <v>0</v>
      </c>
      <c r="Q145" s="439">
        <v>0</v>
      </c>
      <c r="R145" s="439">
        <f t="shared" si="127"/>
        <v>0</v>
      </c>
      <c r="S145" s="439">
        <f t="shared" si="128"/>
        <v>0</v>
      </c>
      <c r="T145" s="441"/>
      <c r="U145" s="439">
        <v>0</v>
      </c>
      <c r="V145" s="439">
        <f>+AA145</f>
        <v>0</v>
      </c>
      <c r="W145" s="439">
        <v>0</v>
      </c>
      <c r="X145" s="439">
        <v>0</v>
      </c>
      <c r="Y145" s="435">
        <f t="shared" si="130"/>
        <v>0</v>
      </c>
      <c r="Z145" s="439">
        <v>0</v>
      </c>
      <c r="AA145" s="439">
        <v>0</v>
      </c>
      <c r="AB145" s="439">
        <v>0</v>
      </c>
      <c r="AC145" s="439">
        <v>0</v>
      </c>
      <c r="AD145" s="439">
        <v>0</v>
      </c>
      <c r="AE145" s="439"/>
      <c r="AF145" s="439">
        <f>AC145*2</f>
        <v>0</v>
      </c>
      <c r="AG145" s="439">
        <v>0</v>
      </c>
      <c r="AH145" s="419">
        <f t="shared" si="125"/>
        <v>0</v>
      </c>
      <c r="AI145" s="439">
        <v>0</v>
      </c>
      <c r="AJ145" s="439">
        <v>0</v>
      </c>
      <c r="AK145" s="439">
        <f>AA145-W145</f>
        <v>0</v>
      </c>
      <c r="AL145" s="439">
        <f>AA145-AF145</f>
        <v>0</v>
      </c>
      <c r="AM145" s="439">
        <f>AA145-AD145</f>
        <v>0</v>
      </c>
      <c r="AN145" s="438"/>
      <c r="AO145" s="438"/>
      <c r="AP145" s="438"/>
    </row>
    <row r="146" spans="1:42" ht="12.75">
      <c r="A146" s="412">
        <v>143</v>
      </c>
      <c r="B146" s="431"/>
      <c r="C146" s="432" t="s">
        <v>6099</v>
      </c>
      <c r="D146" s="433" t="s">
        <v>6103</v>
      </c>
      <c r="E146" s="434">
        <f>'PROSPETTO CE_IV TRIM 2024'!BM534</f>
        <v>807211</v>
      </c>
      <c r="F146" s="439">
        <f>+E146</f>
        <v>807211</v>
      </c>
      <c r="G146" s="439">
        <v>1088159</v>
      </c>
      <c r="H146" s="439">
        <v>1088159</v>
      </c>
      <c r="I146" s="435">
        <f t="shared" si="132"/>
        <v>-280948</v>
      </c>
      <c r="J146" s="435">
        <f t="shared" si="133"/>
        <v>-280948</v>
      </c>
      <c r="K146" s="439">
        <v>1088159</v>
      </c>
      <c r="L146" s="439">
        <v>1088159</v>
      </c>
      <c r="M146" s="439">
        <f t="shared" si="134"/>
        <v>-280948</v>
      </c>
      <c r="N146" s="439">
        <v>1088159</v>
      </c>
      <c r="O146" s="439">
        <v>1088159</v>
      </c>
      <c r="P146" s="440">
        <v>1088159</v>
      </c>
      <c r="Q146" s="439">
        <v>1088159</v>
      </c>
      <c r="R146" s="439">
        <f t="shared" si="127"/>
        <v>0</v>
      </c>
      <c r="S146" s="439">
        <f t="shared" si="128"/>
        <v>0</v>
      </c>
      <c r="T146" s="441">
        <f>(F146-P146)/F146*100</f>
        <v>-34.804778428440642</v>
      </c>
      <c r="U146" s="439">
        <v>816119.25</v>
      </c>
      <c r="V146" s="439">
        <f>+AA146</f>
        <v>1088159</v>
      </c>
      <c r="W146" s="439">
        <v>923879</v>
      </c>
      <c r="X146" s="439">
        <v>1088159</v>
      </c>
      <c r="Y146" s="435">
        <f t="shared" si="130"/>
        <v>880593.81818181812</v>
      </c>
      <c r="Z146" s="439">
        <v>1088159</v>
      </c>
      <c r="AA146" s="439">
        <v>1088159</v>
      </c>
      <c r="AB146" s="439">
        <v>0</v>
      </c>
      <c r="AC146" s="439">
        <v>544079.5</v>
      </c>
      <c r="AD146" s="439">
        <v>1088159</v>
      </c>
      <c r="AE146" s="439"/>
      <c r="AF146" s="439">
        <f>AC146*2</f>
        <v>1088159</v>
      </c>
      <c r="AG146" s="439"/>
      <c r="AH146" s="419">
        <f t="shared" si="125"/>
        <v>-807211</v>
      </c>
      <c r="AI146" s="439"/>
      <c r="AJ146" s="439"/>
      <c r="AK146" s="439">
        <f>AA146-W146</f>
        <v>164280</v>
      </c>
      <c r="AL146" s="439">
        <f>AA146-AF146</f>
        <v>0</v>
      </c>
      <c r="AM146" s="439">
        <f>AA146-AD146</f>
        <v>0</v>
      </c>
      <c r="AN146" s="438"/>
      <c r="AO146" s="438"/>
      <c r="AP146" s="438"/>
    </row>
    <row r="147" spans="1:42" ht="12.75">
      <c r="A147" s="412">
        <v>144</v>
      </c>
      <c r="B147" s="431"/>
      <c r="C147" s="432" t="s">
        <v>549</v>
      </c>
      <c r="D147" s="433" t="s">
        <v>6105</v>
      </c>
      <c r="E147" s="434"/>
      <c r="F147" s="435">
        <f>SUM(F148:F150)</f>
        <v>550154.78</v>
      </c>
      <c r="G147" s="435">
        <v>460862.29</v>
      </c>
      <c r="H147" s="435">
        <v>550154.78</v>
      </c>
      <c r="I147" s="435">
        <f t="shared" si="132"/>
        <v>0</v>
      </c>
      <c r="J147" s="435">
        <f t="shared" si="133"/>
        <v>0</v>
      </c>
      <c r="K147" s="435">
        <v>550154.78</v>
      </c>
      <c r="L147" s="435">
        <v>550154.78</v>
      </c>
      <c r="M147" s="435">
        <f t="shared" si="134"/>
        <v>110729.16000000003</v>
      </c>
      <c r="N147" s="435">
        <v>542016.78</v>
      </c>
      <c r="O147" s="435">
        <v>542016.78</v>
      </c>
      <c r="P147" s="436">
        <v>439425.62</v>
      </c>
      <c r="Q147" s="435">
        <f t="shared" ref="Q147" si="149">SUM(Q148:Q150)</f>
        <v>460862.29</v>
      </c>
      <c r="R147" s="435">
        <f t="shared" si="127"/>
        <v>-102591.16000000003</v>
      </c>
      <c r="S147" s="435">
        <f t="shared" si="128"/>
        <v>-81154.490000000049</v>
      </c>
      <c r="T147" s="437">
        <f>(F147-P147)/F147*100</f>
        <v>20.126910466905336</v>
      </c>
      <c r="U147" s="435">
        <v>330715.15999999997</v>
      </c>
      <c r="V147" s="435">
        <f>SUM(V148:V150)</f>
        <v>439425.62</v>
      </c>
      <c r="W147" s="435">
        <f>SUM(W148:W150)</f>
        <v>585142</v>
      </c>
      <c r="X147" s="435">
        <f t="shared" ref="X147" si="150">SUM(X148:X150)</f>
        <v>460862.29</v>
      </c>
      <c r="Y147" s="435">
        <f t="shared" si="130"/>
        <v>600168.85090909095</v>
      </c>
      <c r="Z147" s="435">
        <v>439425.62</v>
      </c>
      <c r="AA147" s="435">
        <v>439425.62</v>
      </c>
      <c r="AB147" s="435">
        <f t="shared" ref="AB147:AM147" si="151">SUM(AB148:AB150)</f>
        <v>55574</v>
      </c>
      <c r="AC147" s="435">
        <f t="shared" si="151"/>
        <v>215708.74</v>
      </c>
      <c r="AD147" s="435">
        <f t="shared" si="151"/>
        <v>460862.29</v>
      </c>
      <c r="AE147" s="435"/>
      <c r="AF147" s="435">
        <f t="shared" si="151"/>
        <v>431417.48</v>
      </c>
      <c r="AG147" s="435">
        <f t="shared" si="151"/>
        <v>0</v>
      </c>
      <c r="AH147" s="419">
        <f t="shared" si="125"/>
        <v>-550154.78</v>
      </c>
      <c r="AI147" s="435">
        <f t="shared" si="151"/>
        <v>0</v>
      </c>
      <c r="AJ147" s="435">
        <f t="shared" si="151"/>
        <v>0</v>
      </c>
      <c r="AK147" s="435">
        <f t="shared" si="151"/>
        <v>-145716.38</v>
      </c>
      <c r="AL147" s="435">
        <f t="shared" si="151"/>
        <v>8008.140000000014</v>
      </c>
      <c r="AM147" s="435">
        <f t="shared" si="151"/>
        <v>-21436.669999999984</v>
      </c>
      <c r="AN147" s="438"/>
      <c r="AO147" s="438"/>
      <c r="AP147" s="438"/>
    </row>
    <row r="148" spans="1:42" ht="25.5">
      <c r="A148" s="412">
        <v>145</v>
      </c>
      <c r="B148" s="444" t="s">
        <v>1519</v>
      </c>
      <c r="C148" s="432" t="s">
        <v>6106</v>
      </c>
      <c r="D148" s="433" t="s">
        <v>6111</v>
      </c>
      <c r="E148" s="434">
        <f>'PROSPETTO CE_IV TRIM 2024'!BM536</f>
        <v>0</v>
      </c>
      <c r="F148" s="439">
        <f>+E148</f>
        <v>0</v>
      </c>
      <c r="G148" s="439">
        <v>0</v>
      </c>
      <c r="H148" s="439">
        <v>0</v>
      </c>
      <c r="I148" s="435">
        <f t="shared" si="132"/>
        <v>0</v>
      </c>
      <c r="J148" s="435">
        <f t="shared" si="133"/>
        <v>0</v>
      </c>
      <c r="K148" s="439">
        <v>0</v>
      </c>
      <c r="L148" s="439">
        <v>0</v>
      </c>
      <c r="M148" s="439">
        <f t="shared" si="134"/>
        <v>0</v>
      </c>
      <c r="N148" s="439">
        <v>0</v>
      </c>
      <c r="O148" s="439">
        <v>0</v>
      </c>
      <c r="P148" s="440">
        <v>0</v>
      </c>
      <c r="Q148" s="439">
        <v>0</v>
      </c>
      <c r="R148" s="439">
        <f t="shared" si="127"/>
        <v>0</v>
      </c>
      <c r="S148" s="439">
        <f t="shared" si="128"/>
        <v>0</v>
      </c>
      <c r="T148" s="441"/>
      <c r="U148" s="439">
        <v>0</v>
      </c>
      <c r="V148" s="439">
        <f>+AA148</f>
        <v>0</v>
      </c>
      <c r="W148" s="439">
        <v>0</v>
      </c>
      <c r="X148" s="439">
        <v>0</v>
      </c>
      <c r="Y148" s="435">
        <f t="shared" si="130"/>
        <v>0</v>
      </c>
      <c r="Z148" s="439">
        <v>0</v>
      </c>
      <c r="AA148" s="439">
        <v>0</v>
      </c>
      <c r="AB148" s="439">
        <v>0</v>
      </c>
      <c r="AC148" s="439">
        <v>0</v>
      </c>
      <c r="AD148" s="439">
        <v>0</v>
      </c>
      <c r="AE148" s="439"/>
      <c r="AF148" s="439">
        <f>AC148*2</f>
        <v>0</v>
      </c>
      <c r="AG148" s="439">
        <v>0</v>
      </c>
      <c r="AH148" s="419">
        <f t="shared" si="125"/>
        <v>0</v>
      </c>
      <c r="AI148" s="439">
        <v>0</v>
      </c>
      <c r="AJ148" s="439">
        <v>0</v>
      </c>
      <c r="AK148" s="439">
        <f>AA148-W148</f>
        <v>0</v>
      </c>
      <c r="AL148" s="439">
        <f>AA148-AF148</f>
        <v>0</v>
      </c>
      <c r="AM148" s="439">
        <f>AA148-AD148</f>
        <v>0</v>
      </c>
      <c r="AN148" s="438"/>
      <c r="AO148" s="438"/>
      <c r="AP148" s="438"/>
    </row>
    <row r="149" spans="1:42" ht="25.5">
      <c r="A149" s="412">
        <v>146</v>
      </c>
      <c r="B149" s="431" t="s">
        <v>1349</v>
      </c>
      <c r="C149" s="432" t="s">
        <v>6112</v>
      </c>
      <c r="D149" s="433" t="s">
        <v>6117</v>
      </c>
      <c r="E149" s="434">
        <f>'PROSPETTO CE_IV TRIM 2024'!BM537</f>
        <v>0</v>
      </c>
      <c r="F149" s="439">
        <f>+E149</f>
        <v>0</v>
      </c>
      <c r="G149" s="439">
        <v>0</v>
      </c>
      <c r="H149" s="439">
        <v>0</v>
      </c>
      <c r="I149" s="435">
        <f t="shared" si="132"/>
        <v>0</v>
      </c>
      <c r="J149" s="435">
        <f t="shared" si="133"/>
        <v>0</v>
      </c>
      <c r="K149" s="439">
        <v>0</v>
      </c>
      <c r="L149" s="439">
        <v>0</v>
      </c>
      <c r="M149" s="439">
        <f t="shared" si="134"/>
        <v>0</v>
      </c>
      <c r="N149" s="439">
        <v>0</v>
      </c>
      <c r="O149" s="439">
        <v>0</v>
      </c>
      <c r="P149" s="440">
        <v>0</v>
      </c>
      <c r="Q149" s="439">
        <v>0</v>
      </c>
      <c r="R149" s="439">
        <f t="shared" si="127"/>
        <v>0</v>
      </c>
      <c r="S149" s="439">
        <f t="shared" si="128"/>
        <v>0</v>
      </c>
      <c r="T149" s="441"/>
      <c r="U149" s="439">
        <v>0</v>
      </c>
      <c r="V149" s="439">
        <f>+AA149</f>
        <v>0</v>
      </c>
      <c r="W149" s="439">
        <v>0</v>
      </c>
      <c r="X149" s="439">
        <v>0</v>
      </c>
      <c r="Y149" s="435">
        <f t="shared" si="130"/>
        <v>0</v>
      </c>
      <c r="Z149" s="439">
        <v>0</v>
      </c>
      <c r="AA149" s="439">
        <v>0</v>
      </c>
      <c r="AB149" s="439">
        <v>0</v>
      </c>
      <c r="AC149" s="439">
        <v>0</v>
      </c>
      <c r="AD149" s="439">
        <v>0</v>
      </c>
      <c r="AE149" s="439"/>
      <c r="AF149" s="439">
        <f>AC149*2</f>
        <v>0</v>
      </c>
      <c r="AG149" s="439">
        <v>0</v>
      </c>
      <c r="AH149" s="419">
        <f t="shared" si="125"/>
        <v>0</v>
      </c>
      <c r="AI149" s="439">
        <v>0</v>
      </c>
      <c r="AJ149" s="439">
        <v>0</v>
      </c>
      <c r="AK149" s="439">
        <f>AA149-W149</f>
        <v>0</v>
      </c>
      <c r="AL149" s="439">
        <f>AA149-AF149</f>
        <v>0</v>
      </c>
      <c r="AM149" s="439">
        <f>AA149-AD149</f>
        <v>0</v>
      </c>
      <c r="AN149" s="438"/>
      <c r="AO149" s="438"/>
      <c r="AP149" s="438"/>
    </row>
    <row r="150" spans="1:42" ht="12.75">
      <c r="A150" s="412">
        <v>147</v>
      </c>
      <c r="B150" s="431"/>
      <c r="C150" s="432" t="s">
        <v>6118</v>
      </c>
      <c r="D150" s="433" t="s">
        <v>6123</v>
      </c>
      <c r="E150" s="434">
        <f>'PROSPETTO CE_IV TRIM 2024'!BM538</f>
        <v>550154.78</v>
      </c>
      <c r="F150" s="439">
        <f>+E150</f>
        <v>550154.78</v>
      </c>
      <c r="G150" s="439">
        <v>460862.29</v>
      </c>
      <c r="H150" s="439">
        <v>550154.78</v>
      </c>
      <c r="I150" s="435">
        <f t="shared" si="132"/>
        <v>0</v>
      </c>
      <c r="J150" s="435">
        <f t="shared" si="133"/>
        <v>0</v>
      </c>
      <c r="K150" s="439">
        <v>550154.78</v>
      </c>
      <c r="L150" s="439">
        <v>550154.78</v>
      </c>
      <c r="M150" s="439">
        <f t="shared" si="134"/>
        <v>110729.16000000003</v>
      </c>
      <c r="N150" s="439">
        <v>542016.78</v>
      </c>
      <c r="O150" s="439">
        <v>542016.78</v>
      </c>
      <c r="P150" s="443">
        <v>439425.62</v>
      </c>
      <c r="Q150" s="439">
        <v>460862.29</v>
      </c>
      <c r="R150" s="439">
        <f t="shared" si="127"/>
        <v>-102591.16000000003</v>
      </c>
      <c r="S150" s="439">
        <f t="shared" si="128"/>
        <v>-81154.490000000049</v>
      </c>
      <c r="T150" s="441">
        <f t="shared" ref="T150:T155" si="152">(F150-P150)/F150*100</f>
        <v>20.126910466905336</v>
      </c>
      <c r="U150" s="439">
        <v>330715.15999999997</v>
      </c>
      <c r="V150" s="439">
        <f>+AA150</f>
        <v>439425.62</v>
      </c>
      <c r="W150" s="439">
        <v>585142</v>
      </c>
      <c r="X150" s="439">
        <v>460862.29</v>
      </c>
      <c r="Y150" s="435">
        <f t="shared" si="130"/>
        <v>600168.85090909095</v>
      </c>
      <c r="Z150" s="439">
        <v>439425.62</v>
      </c>
      <c r="AA150" s="439">
        <v>439425.62</v>
      </c>
      <c r="AB150" s="439">
        <v>55574</v>
      </c>
      <c r="AC150" s="439">
        <v>215708.74</v>
      </c>
      <c r="AD150" s="439">
        <v>460862.29</v>
      </c>
      <c r="AE150" s="439"/>
      <c r="AF150" s="439">
        <f>AC150*2</f>
        <v>431417.48</v>
      </c>
      <c r="AG150" s="439"/>
      <c r="AH150" s="419">
        <f t="shared" si="125"/>
        <v>-550154.78</v>
      </c>
      <c r="AI150" s="439"/>
      <c r="AJ150" s="439"/>
      <c r="AK150" s="439">
        <f>AA150-W150</f>
        <v>-145716.38</v>
      </c>
      <c r="AL150" s="439">
        <f>AA150-AF150</f>
        <v>8008.140000000014</v>
      </c>
      <c r="AM150" s="439">
        <f>AA150-AD150</f>
        <v>-21436.669999999984</v>
      </c>
      <c r="AN150" s="438"/>
      <c r="AO150" s="438"/>
      <c r="AP150" s="438"/>
    </row>
    <row r="151" spans="1:42" ht="12.75">
      <c r="A151" s="412">
        <v>148</v>
      </c>
      <c r="B151" s="431"/>
      <c r="C151" s="432" t="s">
        <v>551</v>
      </c>
      <c r="D151" s="433" t="s">
        <v>11208</v>
      </c>
      <c r="E151" s="434"/>
      <c r="F151" s="435">
        <f>SUM(F152:F154)</f>
        <v>34534419.249999993</v>
      </c>
      <c r="G151" s="435">
        <v>30448388.869999997</v>
      </c>
      <c r="H151" s="435">
        <v>34534419.251489997</v>
      </c>
      <c r="I151" s="435">
        <f t="shared" si="132"/>
        <v>-1.4900043606758118E-3</v>
      </c>
      <c r="J151" s="435">
        <f t="shared" si="133"/>
        <v>-1.4900043606758118E-3</v>
      </c>
      <c r="K151" s="435">
        <v>34534419.251489997</v>
      </c>
      <c r="L151" s="435">
        <v>34534419.251489997</v>
      </c>
      <c r="M151" s="435">
        <f t="shared" si="134"/>
        <v>1206980.4896349907</v>
      </c>
      <c r="N151" s="435">
        <v>34640372.989689998</v>
      </c>
      <c r="O151" s="435">
        <v>34640372.989689998</v>
      </c>
      <c r="P151" s="436">
        <v>33327438.760365002</v>
      </c>
      <c r="Q151" s="435">
        <f t="shared" ref="Q151" si="153">SUM(Q152:Q154)</f>
        <v>30448388.869999997</v>
      </c>
      <c r="R151" s="435">
        <f t="shared" si="127"/>
        <v>-1312934.2293249965</v>
      </c>
      <c r="S151" s="435">
        <f t="shared" si="128"/>
        <v>-4191984.119690001</v>
      </c>
      <c r="T151" s="437">
        <f t="shared" si="152"/>
        <v>3.4950073458524744</v>
      </c>
      <c r="U151" s="435">
        <v>23749108.44757</v>
      </c>
      <c r="V151" s="435">
        <f>SUM(V152:V154)</f>
        <v>33327438.760365002</v>
      </c>
      <c r="W151" s="435">
        <f>SUM(W152:W154)</f>
        <v>31954238</v>
      </c>
      <c r="X151" s="435">
        <f t="shared" ref="X151" si="154">SUM(X152:X154)</f>
        <v>30448388.869999997</v>
      </c>
      <c r="Y151" s="435">
        <f t="shared" si="130"/>
        <v>37673911.909090899</v>
      </c>
      <c r="Z151" s="435">
        <v>33327438.760365002</v>
      </c>
      <c r="AA151" s="435">
        <v>33327438.760365002</v>
      </c>
      <c r="AB151" s="435">
        <f t="shared" ref="AB151:AM151" si="155">SUM(AB152:AB154)</f>
        <v>7735676</v>
      </c>
      <c r="AC151" s="435">
        <f t="shared" si="155"/>
        <v>16003673.036700001</v>
      </c>
      <c r="AD151" s="435">
        <f t="shared" si="155"/>
        <v>30448388.869999997</v>
      </c>
      <c r="AE151" s="435"/>
      <c r="AF151" s="435">
        <f t="shared" si="155"/>
        <v>32007346.073400002</v>
      </c>
      <c r="AG151" s="435">
        <f t="shared" si="155"/>
        <v>0</v>
      </c>
      <c r="AH151" s="419">
        <f t="shared" si="125"/>
        <v>-34534419.249999993</v>
      </c>
      <c r="AI151" s="435">
        <f t="shared" si="155"/>
        <v>0</v>
      </c>
      <c r="AJ151" s="435">
        <f t="shared" si="155"/>
        <v>0</v>
      </c>
      <c r="AK151" s="435">
        <f t="shared" si="155"/>
        <v>1373200.760365</v>
      </c>
      <c r="AL151" s="435">
        <f t="shared" si="155"/>
        <v>1320092.6869649994</v>
      </c>
      <c r="AM151" s="435">
        <f t="shared" si="155"/>
        <v>2879049.8903650036</v>
      </c>
      <c r="AN151" s="438"/>
      <c r="AO151" s="438"/>
      <c r="AP151" s="438"/>
    </row>
    <row r="152" spans="1:42" ht="12.75">
      <c r="A152" s="412">
        <v>149</v>
      </c>
      <c r="B152" s="431"/>
      <c r="C152" s="432" t="s">
        <v>550</v>
      </c>
      <c r="D152" s="433" t="s">
        <v>11209</v>
      </c>
      <c r="E152" s="434">
        <f>'PROSPETTO CE_IV TRIM 2024'!BM540</f>
        <v>25239873.969999995</v>
      </c>
      <c r="F152" s="439">
        <f t="shared" ref="F152:F159" si="156">+E152</f>
        <v>25239873.969999995</v>
      </c>
      <c r="G152" s="439">
        <v>22018110.479999997</v>
      </c>
      <c r="H152" s="439">
        <v>25239873.966399997</v>
      </c>
      <c r="I152" s="435">
        <f t="shared" si="132"/>
        <v>3.5999976098537445E-3</v>
      </c>
      <c r="J152" s="435">
        <f t="shared" si="133"/>
        <v>3.5999976098537445E-3</v>
      </c>
      <c r="K152" s="439">
        <v>25239873.966399997</v>
      </c>
      <c r="L152" s="439">
        <v>25239873.966399997</v>
      </c>
      <c r="M152" s="439">
        <f t="shared" si="134"/>
        <v>400772.17070499435</v>
      </c>
      <c r="N152" s="439">
        <v>25345876.504599996</v>
      </c>
      <c r="O152" s="439">
        <v>25345876.504599996</v>
      </c>
      <c r="P152" s="443">
        <v>24839101.799295001</v>
      </c>
      <c r="Q152" s="439">
        <v>22018110.479999997</v>
      </c>
      <c r="R152" s="439">
        <f t="shared" si="127"/>
        <v>-506774.70530499518</v>
      </c>
      <c r="S152" s="439">
        <f t="shared" si="128"/>
        <v>-3327766.0245999992</v>
      </c>
      <c r="T152" s="441">
        <f t="shared" si="152"/>
        <v>1.5878532958657023</v>
      </c>
      <c r="U152" s="439">
        <v>17857152.008420002</v>
      </c>
      <c r="V152" s="439">
        <f t="shared" ref="V152:V159" si="157">+AA152</f>
        <v>24839101.799295001</v>
      </c>
      <c r="W152" s="439">
        <v>23100920</v>
      </c>
      <c r="X152" s="439">
        <v>22018110.479999997</v>
      </c>
      <c r="Y152" s="435">
        <f t="shared" si="130"/>
        <v>27534407.967272721</v>
      </c>
      <c r="Z152" s="439">
        <v>24839101.799295001</v>
      </c>
      <c r="AA152" s="439">
        <v>24839101.799295001</v>
      </c>
      <c r="AB152" s="439">
        <v>5846159</v>
      </c>
      <c r="AC152" s="439">
        <v>11408748.73938</v>
      </c>
      <c r="AD152" s="439">
        <v>22018110.479999997</v>
      </c>
      <c r="AE152" s="439"/>
      <c r="AF152" s="439">
        <f t="shared" ref="AF152:AF159" si="158">AC152*2</f>
        <v>22817497.47876</v>
      </c>
      <c r="AG152" s="439"/>
      <c r="AH152" s="419">
        <f t="shared" si="125"/>
        <v>-25239873.969999995</v>
      </c>
      <c r="AI152" s="439"/>
      <c r="AJ152" s="439"/>
      <c r="AK152" s="439">
        <f t="shared" ref="AK152:AK159" si="159">AA152-W152</f>
        <v>1738181.7992950007</v>
      </c>
      <c r="AL152" s="439">
        <f t="shared" ref="AL152:AL159" si="160">AA152-AF152</f>
        <v>2021604.3205350004</v>
      </c>
      <c r="AM152" s="439">
        <f t="shared" ref="AM152:AM159" si="161">AA152-AD152</f>
        <v>2820991.319295004</v>
      </c>
      <c r="AN152" s="438" t="s">
        <v>11210</v>
      </c>
      <c r="AO152" s="438"/>
      <c r="AP152" s="438"/>
    </row>
    <row r="153" spans="1:42" ht="12.75">
      <c r="A153" s="412">
        <v>150</v>
      </c>
      <c r="B153" s="431"/>
      <c r="C153" s="432" t="s">
        <v>552</v>
      </c>
      <c r="D153" s="433" t="s">
        <v>11211</v>
      </c>
      <c r="E153" s="434">
        <f>'PROSPETTO CE_IV TRIM 2024'!BM608</f>
        <v>2701962.48</v>
      </c>
      <c r="F153" s="439">
        <f t="shared" si="156"/>
        <v>2701962.48</v>
      </c>
      <c r="G153" s="439">
        <v>2087992.8499999999</v>
      </c>
      <c r="H153" s="439">
        <v>2701962.4760000003</v>
      </c>
      <c r="I153" s="435">
        <f t="shared" si="132"/>
        <v>3.9999997243285179E-3</v>
      </c>
      <c r="J153" s="435">
        <f t="shared" si="133"/>
        <v>3.9999997243285179E-3</v>
      </c>
      <c r="K153" s="439">
        <v>2701962.4760000003</v>
      </c>
      <c r="L153" s="439">
        <v>2701962.4760000003</v>
      </c>
      <c r="M153" s="439">
        <f t="shared" si="134"/>
        <v>166382.93399999989</v>
      </c>
      <c r="N153" s="439">
        <v>2701962.4760000003</v>
      </c>
      <c r="O153" s="439">
        <v>2701962.4760000003</v>
      </c>
      <c r="P153" s="440">
        <v>2535579.5460000001</v>
      </c>
      <c r="Q153" s="439">
        <v>2087992.8499999999</v>
      </c>
      <c r="R153" s="439">
        <f t="shared" si="127"/>
        <v>-166382.93000000017</v>
      </c>
      <c r="S153" s="439">
        <f t="shared" si="128"/>
        <v>-613969.6260000004</v>
      </c>
      <c r="T153" s="441">
        <f t="shared" si="152"/>
        <v>6.1578550861298371</v>
      </c>
      <c r="U153" s="439">
        <v>1782168.04</v>
      </c>
      <c r="V153" s="439">
        <f t="shared" si="157"/>
        <v>2535579.5460000001</v>
      </c>
      <c r="W153" s="439">
        <v>2195273</v>
      </c>
      <c r="X153" s="439">
        <v>2087992.8499999999</v>
      </c>
      <c r="Y153" s="435">
        <f t="shared" si="130"/>
        <v>2947595.4327272726</v>
      </c>
      <c r="Z153" s="439">
        <v>2535579.5460000001</v>
      </c>
      <c r="AA153" s="439">
        <v>2535579.5460000001</v>
      </c>
      <c r="AB153" s="439">
        <v>637159</v>
      </c>
      <c r="AC153" s="439">
        <v>1299249.1311999999</v>
      </c>
      <c r="AD153" s="439">
        <v>2087992.8499999999</v>
      </c>
      <c r="AE153" s="439"/>
      <c r="AF153" s="439">
        <f t="shared" si="158"/>
        <v>2598498.2623999999</v>
      </c>
      <c r="AG153" s="439"/>
      <c r="AH153" s="419">
        <f t="shared" si="125"/>
        <v>-2701962.48</v>
      </c>
      <c r="AI153" s="439"/>
      <c r="AJ153" s="439"/>
      <c r="AK153" s="439">
        <f t="shared" si="159"/>
        <v>340306.54600000009</v>
      </c>
      <c r="AL153" s="439">
        <f t="shared" si="160"/>
        <v>-62918.716399999801</v>
      </c>
      <c r="AM153" s="439">
        <f t="shared" si="161"/>
        <v>447586.69600000023</v>
      </c>
      <c r="AN153" s="438"/>
      <c r="AO153" s="438"/>
      <c r="AP153" s="438"/>
    </row>
    <row r="154" spans="1:42" ht="12.75">
      <c r="A154" s="412">
        <v>151</v>
      </c>
      <c r="B154" s="431"/>
      <c r="C154" s="432" t="s">
        <v>553</v>
      </c>
      <c r="D154" s="433" t="s">
        <v>11212</v>
      </c>
      <c r="E154" s="434">
        <f>'PROSPETTO CE_IV TRIM 2024'!BM611</f>
        <v>6592582.7999999998</v>
      </c>
      <c r="F154" s="439">
        <f t="shared" si="156"/>
        <v>6592582.7999999998</v>
      </c>
      <c r="G154" s="439">
        <v>6342285.54</v>
      </c>
      <c r="H154" s="439">
        <v>6592582.8090900006</v>
      </c>
      <c r="I154" s="435">
        <f t="shared" si="132"/>
        <v>-9.0900007635354996E-3</v>
      </c>
      <c r="J154" s="435">
        <f t="shared" si="133"/>
        <v>-9.0900007635354996E-3</v>
      </c>
      <c r="K154" s="439">
        <v>6592582.8090900006</v>
      </c>
      <c r="L154" s="439">
        <v>6592582.8090900006</v>
      </c>
      <c r="M154" s="439">
        <f t="shared" si="134"/>
        <v>639825.38493000064</v>
      </c>
      <c r="N154" s="439">
        <v>6592534.0090899998</v>
      </c>
      <c r="O154" s="439">
        <v>6592534.0090899998</v>
      </c>
      <c r="P154" s="443">
        <v>5952757.4150699992</v>
      </c>
      <c r="Q154" s="439">
        <v>6342285.54</v>
      </c>
      <c r="R154" s="439">
        <f t="shared" si="127"/>
        <v>-639776.59402000066</v>
      </c>
      <c r="S154" s="439">
        <f t="shared" si="128"/>
        <v>-250248.46908999979</v>
      </c>
      <c r="T154" s="441">
        <f t="shared" si="152"/>
        <v>9.7052309290677492</v>
      </c>
      <c r="U154" s="439">
        <v>4109788.39915</v>
      </c>
      <c r="V154" s="439">
        <f t="shared" si="157"/>
        <v>5952757.4150699992</v>
      </c>
      <c r="W154" s="439">
        <v>6658045</v>
      </c>
      <c r="X154" s="439">
        <v>6342285.54</v>
      </c>
      <c r="Y154" s="435">
        <f t="shared" si="130"/>
        <v>7191908.5090909097</v>
      </c>
      <c r="Z154" s="439">
        <v>5952757.4150699992</v>
      </c>
      <c r="AA154" s="439">
        <v>5952757.4150699992</v>
      </c>
      <c r="AB154" s="439">
        <v>1252358</v>
      </c>
      <c r="AC154" s="439">
        <v>3295675.1661200002</v>
      </c>
      <c r="AD154" s="439">
        <v>6342285.54</v>
      </c>
      <c r="AE154" s="439"/>
      <c r="AF154" s="439">
        <f t="shared" si="158"/>
        <v>6591350.3322400004</v>
      </c>
      <c r="AG154" s="439"/>
      <c r="AH154" s="419">
        <f t="shared" si="125"/>
        <v>-6592582.7999999998</v>
      </c>
      <c r="AI154" s="439"/>
      <c r="AJ154" s="439"/>
      <c r="AK154" s="439">
        <f t="shared" si="159"/>
        <v>-705287.58493000083</v>
      </c>
      <c r="AL154" s="439">
        <f t="shared" si="160"/>
        <v>-638592.91717000119</v>
      </c>
      <c r="AM154" s="439">
        <f t="shared" si="161"/>
        <v>-389528.12493000086</v>
      </c>
      <c r="AN154" s="438"/>
      <c r="AO154" s="438"/>
      <c r="AP154" s="438"/>
    </row>
    <row r="155" spans="1:42" ht="12.75">
      <c r="A155" s="412">
        <v>152</v>
      </c>
      <c r="B155" s="431"/>
      <c r="C155" s="432" t="s">
        <v>554</v>
      </c>
      <c r="D155" s="433" t="s">
        <v>6308</v>
      </c>
      <c r="E155" s="434">
        <f>'PROSPETTO CE_IV TRIM 2024'!BM619</f>
        <v>37656.589999999997</v>
      </c>
      <c r="F155" s="439">
        <f t="shared" si="156"/>
        <v>37656.589999999997</v>
      </c>
      <c r="G155" s="439">
        <v>37546.6</v>
      </c>
      <c r="H155" s="439">
        <v>37656.594530000002</v>
      </c>
      <c r="I155" s="435">
        <f t="shared" si="132"/>
        <v>-4.5300000056158751E-3</v>
      </c>
      <c r="J155" s="435">
        <f t="shared" si="133"/>
        <v>-4.5300000056158751E-3</v>
      </c>
      <c r="K155" s="439">
        <v>37656.594530000002</v>
      </c>
      <c r="L155" s="439">
        <v>37656.594530000002</v>
      </c>
      <c r="M155" s="439">
        <f t="shared" si="134"/>
        <v>-4677.7499800000005</v>
      </c>
      <c r="N155" s="439">
        <v>37656.594530000002</v>
      </c>
      <c r="O155" s="439">
        <v>37656.594530000002</v>
      </c>
      <c r="P155" s="440">
        <v>42334.339979999997</v>
      </c>
      <c r="Q155" s="439">
        <v>37546.6</v>
      </c>
      <c r="R155" s="439">
        <f t="shared" si="127"/>
        <v>4677.7454499999949</v>
      </c>
      <c r="S155" s="439">
        <f t="shared" si="128"/>
        <v>-109.99453000000358</v>
      </c>
      <c r="T155" s="441">
        <f t="shared" si="152"/>
        <v>-12.422128450823616</v>
      </c>
      <c r="U155" s="439">
        <v>28775.360000000001</v>
      </c>
      <c r="V155" s="439">
        <f t="shared" si="157"/>
        <v>42334.339979999997</v>
      </c>
      <c r="W155" s="439">
        <v>37563</v>
      </c>
      <c r="X155" s="439">
        <v>37546.6</v>
      </c>
      <c r="Y155" s="435">
        <f t="shared" si="130"/>
        <v>41079.916363636359</v>
      </c>
      <c r="Z155" s="439">
        <v>42334.339979999997</v>
      </c>
      <c r="AA155" s="439">
        <v>42334.339979999997</v>
      </c>
      <c r="AB155" s="439">
        <v>9974</v>
      </c>
      <c r="AC155" s="439">
        <v>19700.9323</v>
      </c>
      <c r="AD155" s="439">
        <v>37546.6</v>
      </c>
      <c r="AE155" s="439"/>
      <c r="AF155" s="439">
        <f t="shared" si="158"/>
        <v>39401.864600000001</v>
      </c>
      <c r="AG155" s="439"/>
      <c r="AH155" s="419">
        <f t="shared" si="125"/>
        <v>-37656.589999999997</v>
      </c>
      <c r="AI155" s="439"/>
      <c r="AJ155" s="439"/>
      <c r="AK155" s="439">
        <f t="shared" si="159"/>
        <v>4771.339979999997</v>
      </c>
      <c r="AL155" s="439">
        <f t="shared" si="160"/>
        <v>2932.4753799999962</v>
      </c>
      <c r="AM155" s="439">
        <f t="shared" si="161"/>
        <v>4787.7399799999985</v>
      </c>
      <c r="AN155" s="438"/>
      <c r="AO155" s="438"/>
      <c r="AP155" s="438"/>
    </row>
    <row r="156" spans="1:42" ht="12.75">
      <c r="A156" s="412">
        <v>153</v>
      </c>
      <c r="B156" s="431"/>
      <c r="C156" s="432" t="s">
        <v>555</v>
      </c>
      <c r="D156" s="433" t="s">
        <v>6311</v>
      </c>
      <c r="E156" s="434">
        <f>'PROSPETTO CE_IV TRIM 2024'!BM621</f>
        <v>0</v>
      </c>
      <c r="F156" s="439">
        <f t="shared" si="156"/>
        <v>0</v>
      </c>
      <c r="G156" s="439">
        <v>0</v>
      </c>
      <c r="H156" s="439">
        <v>0</v>
      </c>
      <c r="I156" s="435">
        <f t="shared" si="132"/>
        <v>0</v>
      </c>
      <c r="J156" s="435">
        <f t="shared" si="133"/>
        <v>0</v>
      </c>
      <c r="K156" s="439">
        <v>0</v>
      </c>
      <c r="L156" s="439">
        <v>0</v>
      </c>
      <c r="M156" s="439">
        <f t="shared" si="134"/>
        <v>0</v>
      </c>
      <c r="N156" s="439">
        <v>0</v>
      </c>
      <c r="O156" s="439">
        <v>0</v>
      </c>
      <c r="P156" s="440">
        <v>0</v>
      </c>
      <c r="Q156" s="439">
        <v>0</v>
      </c>
      <c r="R156" s="439">
        <f t="shared" si="127"/>
        <v>0</v>
      </c>
      <c r="S156" s="439">
        <f t="shared" si="128"/>
        <v>0</v>
      </c>
      <c r="T156" s="441"/>
      <c r="U156" s="439">
        <v>0</v>
      </c>
      <c r="V156" s="439">
        <f t="shared" si="157"/>
        <v>0</v>
      </c>
      <c r="W156" s="439">
        <v>0</v>
      </c>
      <c r="X156" s="439">
        <v>0</v>
      </c>
      <c r="Y156" s="435">
        <f t="shared" si="130"/>
        <v>0</v>
      </c>
      <c r="Z156" s="439">
        <v>0</v>
      </c>
      <c r="AA156" s="439">
        <v>0</v>
      </c>
      <c r="AB156" s="439">
        <v>0</v>
      </c>
      <c r="AC156" s="439">
        <v>0</v>
      </c>
      <c r="AD156" s="439">
        <v>0</v>
      </c>
      <c r="AE156" s="439"/>
      <c r="AF156" s="439">
        <f t="shared" si="158"/>
        <v>0</v>
      </c>
      <c r="AG156" s="439"/>
      <c r="AH156" s="419">
        <f t="shared" si="125"/>
        <v>0</v>
      </c>
      <c r="AI156" s="439"/>
      <c r="AJ156" s="439"/>
      <c r="AK156" s="439">
        <f t="shared" si="159"/>
        <v>0</v>
      </c>
      <c r="AL156" s="439">
        <f t="shared" si="160"/>
        <v>0</v>
      </c>
      <c r="AM156" s="439">
        <f t="shared" si="161"/>
        <v>0</v>
      </c>
      <c r="AN156" s="438"/>
      <c r="AO156" s="438"/>
      <c r="AP156" s="438"/>
    </row>
    <row r="157" spans="1:42" ht="12.75">
      <c r="A157" s="412">
        <v>154</v>
      </c>
      <c r="B157" s="431"/>
      <c r="C157" s="432" t="s">
        <v>556</v>
      </c>
      <c r="D157" s="433" t="s">
        <v>6316</v>
      </c>
      <c r="E157" s="434">
        <f>'PROSPETTO CE_IV TRIM 2024'!BM624</f>
        <v>0</v>
      </c>
      <c r="F157" s="439">
        <f t="shared" si="156"/>
        <v>0</v>
      </c>
      <c r="G157" s="439">
        <v>0</v>
      </c>
      <c r="H157" s="439">
        <v>0</v>
      </c>
      <c r="I157" s="435">
        <f t="shared" si="132"/>
        <v>0</v>
      </c>
      <c r="J157" s="435">
        <f t="shared" si="133"/>
        <v>0</v>
      </c>
      <c r="K157" s="439">
        <v>0</v>
      </c>
      <c r="L157" s="439">
        <v>0</v>
      </c>
      <c r="M157" s="439">
        <f t="shared" si="134"/>
        <v>0</v>
      </c>
      <c r="N157" s="439">
        <v>0</v>
      </c>
      <c r="O157" s="439">
        <v>0</v>
      </c>
      <c r="P157" s="440">
        <v>0</v>
      </c>
      <c r="Q157" s="439">
        <v>0</v>
      </c>
      <c r="R157" s="439">
        <f t="shared" si="127"/>
        <v>0</v>
      </c>
      <c r="S157" s="439">
        <f t="shared" si="128"/>
        <v>0</v>
      </c>
      <c r="T157" s="441"/>
      <c r="U157" s="439">
        <v>0</v>
      </c>
      <c r="V157" s="439">
        <f t="shared" si="157"/>
        <v>0</v>
      </c>
      <c r="W157" s="439">
        <v>0</v>
      </c>
      <c r="X157" s="439">
        <v>0</v>
      </c>
      <c r="Y157" s="435">
        <f t="shared" si="130"/>
        <v>0</v>
      </c>
      <c r="Z157" s="439">
        <v>0</v>
      </c>
      <c r="AA157" s="439">
        <v>0</v>
      </c>
      <c r="AB157" s="439">
        <v>0</v>
      </c>
      <c r="AC157" s="439">
        <v>0</v>
      </c>
      <c r="AD157" s="439">
        <v>0</v>
      </c>
      <c r="AE157" s="439"/>
      <c r="AF157" s="439">
        <f t="shared" si="158"/>
        <v>0</v>
      </c>
      <c r="AG157" s="439"/>
      <c r="AH157" s="419">
        <f t="shared" si="125"/>
        <v>0</v>
      </c>
      <c r="AI157" s="439"/>
      <c r="AJ157" s="439"/>
      <c r="AK157" s="439">
        <f t="shared" si="159"/>
        <v>0</v>
      </c>
      <c r="AL157" s="439">
        <f t="shared" si="160"/>
        <v>0</v>
      </c>
      <c r="AM157" s="439">
        <f t="shared" si="161"/>
        <v>0</v>
      </c>
      <c r="AN157" s="438"/>
      <c r="AO157" s="438"/>
      <c r="AP157" s="438"/>
    </row>
    <row r="158" spans="1:42" ht="12.75">
      <c r="A158" s="412">
        <v>155</v>
      </c>
      <c r="B158" s="431"/>
      <c r="C158" s="432" t="s">
        <v>557</v>
      </c>
      <c r="D158" s="433" t="s">
        <v>6319</v>
      </c>
      <c r="E158" s="434">
        <f>'PROSPETTO CE_IV TRIM 2024'!BM626</f>
        <v>0</v>
      </c>
      <c r="F158" s="439">
        <f t="shared" si="156"/>
        <v>0</v>
      </c>
      <c r="G158" s="439">
        <v>0</v>
      </c>
      <c r="H158" s="439">
        <v>0</v>
      </c>
      <c r="I158" s="435">
        <f t="shared" si="132"/>
        <v>0</v>
      </c>
      <c r="J158" s="435">
        <f t="shared" si="133"/>
        <v>0</v>
      </c>
      <c r="K158" s="439">
        <v>0</v>
      </c>
      <c r="L158" s="439">
        <v>0</v>
      </c>
      <c r="M158" s="439">
        <f t="shared" si="134"/>
        <v>0</v>
      </c>
      <c r="N158" s="439">
        <v>0</v>
      </c>
      <c r="O158" s="439">
        <v>0</v>
      </c>
      <c r="P158" s="440">
        <v>0</v>
      </c>
      <c r="Q158" s="439">
        <v>0</v>
      </c>
      <c r="R158" s="439">
        <f t="shared" si="127"/>
        <v>0</v>
      </c>
      <c r="S158" s="439">
        <f t="shared" si="128"/>
        <v>0</v>
      </c>
      <c r="T158" s="441"/>
      <c r="U158" s="439">
        <v>0</v>
      </c>
      <c r="V158" s="439">
        <f t="shared" si="157"/>
        <v>0</v>
      </c>
      <c r="W158" s="439">
        <v>0</v>
      </c>
      <c r="X158" s="439">
        <v>0</v>
      </c>
      <c r="Y158" s="435">
        <f t="shared" si="130"/>
        <v>0</v>
      </c>
      <c r="Z158" s="439">
        <v>0</v>
      </c>
      <c r="AA158" s="439">
        <v>0</v>
      </c>
      <c r="AB158" s="439">
        <v>0</v>
      </c>
      <c r="AC158" s="439">
        <v>0</v>
      </c>
      <c r="AD158" s="439">
        <v>0</v>
      </c>
      <c r="AE158" s="439"/>
      <c r="AF158" s="439">
        <f t="shared" si="158"/>
        <v>0</v>
      </c>
      <c r="AG158" s="439"/>
      <c r="AH158" s="419">
        <f t="shared" si="125"/>
        <v>0</v>
      </c>
      <c r="AI158" s="439"/>
      <c r="AJ158" s="439"/>
      <c r="AK158" s="439">
        <f t="shared" si="159"/>
        <v>0</v>
      </c>
      <c r="AL158" s="439">
        <f t="shared" si="160"/>
        <v>0</v>
      </c>
      <c r="AM158" s="439">
        <f t="shared" si="161"/>
        <v>0</v>
      </c>
      <c r="AN158" s="438"/>
      <c r="AO158" s="438"/>
      <c r="AP158" s="438"/>
    </row>
    <row r="159" spans="1:42" ht="12.75">
      <c r="A159" s="412">
        <v>156</v>
      </c>
      <c r="B159" s="431"/>
      <c r="C159" s="432" t="s">
        <v>558</v>
      </c>
      <c r="D159" s="433" t="s">
        <v>11213</v>
      </c>
      <c r="E159" s="434">
        <f>'PROSPETTO CE_IV TRIM 2024'!BM629</f>
        <v>1105201.82</v>
      </c>
      <c r="F159" s="439">
        <f t="shared" si="156"/>
        <v>1105201.82</v>
      </c>
      <c r="G159" s="439">
        <v>1159115.7</v>
      </c>
      <c r="H159" s="439">
        <v>1105201.81336</v>
      </c>
      <c r="I159" s="435">
        <f t="shared" si="132"/>
        <v>6.6400000359863043E-3</v>
      </c>
      <c r="J159" s="435">
        <f t="shared" si="133"/>
        <v>6.6400000359863043E-3</v>
      </c>
      <c r="K159" s="439">
        <v>1105201.81336</v>
      </c>
      <c r="L159" s="439">
        <v>1105201.81336</v>
      </c>
      <c r="M159" s="439">
        <f t="shared" si="134"/>
        <v>-172657.89094000007</v>
      </c>
      <c r="N159" s="439">
        <v>1105201.81336</v>
      </c>
      <c r="O159" s="439">
        <v>1105201.81336</v>
      </c>
      <c r="P159" s="440">
        <v>1277859.7109400001</v>
      </c>
      <c r="Q159" s="439">
        <v>1159115.7</v>
      </c>
      <c r="R159" s="439">
        <f t="shared" si="127"/>
        <v>172657.89758000011</v>
      </c>
      <c r="S159" s="439">
        <f t="shared" si="128"/>
        <v>53913.886639999924</v>
      </c>
      <c r="T159" s="441">
        <f>(F159-P159)/F159*100</f>
        <v>-15.622295205775183</v>
      </c>
      <c r="U159" s="439">
        <v>857279.13</v>
      </c>
      <c r="V159" s="439">
        <f t="shared" si="157"/>
        <v>1277859.7109400001</v>
      </c>
      <c r="W159" s="439">
        <v>1244911</v>
      </c>
      <c r="X159" s="439">
        <v>1159115.7</v>
      </c>
      <c r="Y159" s="435">
        <f t="shared" si="130"/>
        <v>1205674.7127272729</v>
      </c>
      <c r="Z159" s="439">
        <v>1277859.7109400001</v>
      </c>
      <c r="AA159" s="439">
        <v>1277859.7109400001</v>
      </c>
      <c r="AB159" s="439">
        <v>297034</v>
      </c>
      <c r="AC159" s="439">
        <v>638821.24080000003</v>
      </c>
      <c r="AD159" s="439">
        <v>1159115.7</v>
      </c>
      <c r="AE159" s="439"/>
      <c r="AF159" s="439">
        <f t="shared" si="158"/>
        <v>1277642.4816000001</v>
      </c>
      <c r="AG159" s="439"/>
      <c r="AH159" s="419">
        <f t="shared" si="125"/>
        <v>-1105201.82</v>
      </c>
      <c r="AI159" s="439"/>
      <c r="AJ159" s="439"/>
      <c r="AK159" s="439">
        <f t="shared" si="159"/>
        <v>32948.710940000135</v>
      </c>
      <c r="AL159" s="439">
        <f t="shared" si="160"/>
        <v>217.22934000007808</v>
      </c>
      <c r="AM159" s="439">
        <f t="shared" si="161"/>
        <v>118744.01094000018</v>
      </c>
      <c r="AN159" s="438"/>
      <c r="AO159" s="438"/>
      <c r="AP159" s="438"/>
    </row>
    <row r="160" spans="1:42" ht="25.5">
      <c r="A160" s="412">
        <v>157</v>
      </c>
      <c r="B160" s="431" t="s">
        <v>1519</v>
      </c>
      <c r="C160" s="432" t="s">
        <v>6338</v>
      </c>
      <c r="D160" s="433" t="s">
        <v>11214</v>
      </c>
      <c r="E160" s="434"/>
      <c r="F160" s="435">
        <f>SUM(F161:F167)</f>
        <v>177857.31</v>
      </c>
      <c r="G160" s="435">
        <v>348699.37</v>
      </c>
      <c r="H160" s="435">
        <v>177857.31</v>
      </c>
      <c r="I160" s="435">
        <f t="shared" si="132"/>
        <v>0</v>
      </c>
      <c r="J160" s="435">
        <f t="shared" si="133"/>
        <v>0</v>
      </c>
      <c r="K160" s="435">
        <v>177857.31</v>
      </c>
      <c r="L160" s="435">
        <v>180596.58</v>
      </c>
      <c r="M160" s="435">
        <f t="shared" si="134"/>
        <v>129525.06</v>
      </c>
      <c r="N160" s="435">
        <v>174372.58000000002</v>
      </c>
      <c r="O160" s="435">
        <v>174372.58000000002</v>
      </c>
      <c r="P160" s="436">
        <v>48332.25</v>
      </c>
      <c r="Q160" s="435">
        <f t="shared" ref="Q160" si="162">SUM(Q161:Q167)</f>
        <v>348699.37</v>
      </c>
      <c r="R160" s="435">
        <f t="shared" si="127"/>
        <v>-126040.33000000002</v>
      </c>
      <c r="S160" s="435">
        <f t="shared" si="128"/>
        <v>174326.78999999998</v>
      </c>
      <c r="T160" s="437">
        <f>(F160-P160)/F160*100</f>
        <v>72.825266501556783</v>
      </c>
      <c r="U160" s="435">
        <v>82323.679999999993</v>
      </c>
      <c r="V160" s="435">
        <f>SUM(V161:V167)</f>
        <v>48332.25</v>
      </c>
      <c r="W160" s="435">
        <f>SUM(W161:W167)</f>
        <v>0</v>
      </c>
      <c r="X160" s="435">
        <f t="shared" ref="X160" si="163">SUM(X161:X167)</f>
        <v>348699.37</v>
      </c>
      <c r="Y160" s="435">
        <f t="shared" si="130"/>
        <v>194026.15636363637</v>
      </c>
      <c r="Z160" s="435">
        <v>48332.25</v>
      </c>
      <c r="AA160" s="435">
        <v>48332.25</v>
      </c>
      <c r="AB160" s="435">
        <f t="shared" ref="AB160:AM160" si="164">SUM(AB161:AB167)</f>
        <v>0</v>
      </c>
      <c r="AC160" s="435">
        <f t="shared" si="164"/>
        <v>174349.685</v>
      </c>
      <c r="AD160" s="435">
        <f t="shared" si="164"/>
        <v>348699.37</v>
      </c>
      <c r="AE160" s="435"/>
      <c r="AF160" s="435">
        <f t="shared" si="164"/>
        <v>348699.37</v>
      </c>
      <c r="AG160" s="435">
        <f t="shared" si="164"/>
        <v>0</v>
      </c>
      <c r="AH160" s="419">
        <f t="shared" si="125"/>
        <v>-177857.31</v>
      </c>
      <c r="AI160" s="435">
        <f t="shared" si="164"/>
        <v>0</v>
      </c>
      <c r="AJ160" s="435">
        <f t="shared" si="164"/>
        <v>0</v>
      </c>
      <c r="AK160" s="435">
        <f t="shared" si="164"/>
        <v>48332.25</v>
      </c>
      <c r="AL160" s="435">
        <f t="shared" si="164"/>
        <v>-300367.12</v>
      </c>
      <c r="AM160" s="435">
        <f t="shared" si="164"/>
        <v>-300367.12</v>
      </c>
      <c r="AN160" s="438"/>
      <c r="AO160" s="438"/>
      <c r="AP160" s="438"/>
    </row>
    <row r="161" spans="1:42" ht="12.75">
      <c r="A161" s="412">
        <v>158</v>
      </c>
      <c r="B161" s="431" t="s">
        <v>1519</v>
      </c>
      <c r="C161" s="432" t="s">
        <v>6342</v>
      </c>
      <c r="D161" s="433" t="s">
        <v>6346</v>
      </c>
      <c r="E161" s="434">
        <f>'PROSPETTO CE_IV TRIM 2024'!BM636</f>
        <v>177857.31</v>
      </c>
      <c r="F161" s="439">
        <f t="shared" ref="F161:F167" si="165">+E161</f>
        <v>177857.31</v>
      </c>
      <c r="G161" s="439">
        <v>348699.37</v>
      </c>
      <c r="H161" s="439">
        <v>177857.31</v>
      </c>
      <c r="I161" s="435">
        <f t="shared" si="132"/>
        <v>0</v>
      </c>
      <c r="J161" s="435">
        <f t="shared" si="133"/>
        <v>0</v>
      </c>
      <c r="K161" s="439">
        <v>177857.31</v>
      </c>
      <c r="L161" s="439">
        <v>180596.58</v>
      </c>
      <c r="M161" s="439">
        <f t="shared" si="134"/>
        <v>129525.06</v>
      </c>
      <c r="N161" s="439">
        <v>174372.58000000002</v>
      </c>
      <c r="O161" s="439">
        <v>174372.58000000002</v>
      </c>
      <c r="P161" s="443">
        <v>48332.25</v>
      </c>
      <c r="Q161" s="439">
        <v>348699.37</v>
      </c>
      <c r="R161" s="439">
        <f t="shared" si="127"/>
        <v>-126040.33000000002</v>
      </c>
      <c r="S161" s="439">
        <f t="shared" si="128"/>
        <v>174326.78999999998</v>
      </c>
      <c r="T161" s="441">
        <f>(F161-P161)/F161*100</f>
        <v>72.825266501556783</v>
      </c>
      <c r="U161" s="439">
        <v>82323.679999999993</v>
      </c>
      <c r="V161" s="439">
        <f t="shared" ref="V161:V167" si="166">+AA161</f>
        <v>48332.25</v>
      </c>
      <c r="W161" s="439">
        <v>0</v>
      </c>
      <c r="X161" s="439">
        <v>348699.37</v>
      </c>
      <c r="Y161" s="435">
        <f t="shared" si="130"/>
        <v>194026.15636363637</v>
      </c>
      <c r="Z161" s="439">
        <v>48332.25</v>
      </c>
      <c r="AA161" s="439">
        <v>48332.25</v>
      </c>
      <c r="AB161" s="439">
        <v>0</v>
      </c>
      <c r="AC161" s="439">
        <v>174349.685</v>
      </c>
      <c r="AD161" s="439">
        <v>348699.37</v>
      </c>
      <c r="AE161" s="439"/>
      <c r="AF161" s="439">
        <f t="shared" ref="AF161:AF167" si="167">AC161*2</f>
        <v>348699.37</v>
      </c>
      <c r="AG161" s="439"/>
      <c r="AH161" s="419">
        <f t="shared" si="125"/>
        <v>-177857.31</v>
      </c>
      <c r="AI161" s="439"/>
      <c r="AJ161" s="439"/>
      <c r="AK161" s="439">
        <f t="shared" ref="AK161:AK167" si="168">AA161-W161</f>
        <v>48332.25</v>
      </c>
      <c r="AL161" s="439">
        <f t="shared" ref="AL161:AL167" si="169">AA161-AF161</f>
        <v>-300367.12</v>
      </c>
      <c r="AM161" s="439">
        <f t="shared" ref="AM161:AM167" si="170">AA161-AD161</f>
        <v>-300367.12</v>
      </c>
      <c r="AN161" s="438"/>
      <c r="AO161" s="438"/>
      <c r="AP161" s="438"/>
    </row>
    <row r="162" spans="1:42" ht="12.75">
      <c r="A162" s="412">
        <v>160</v>
      </c>
      <c r="B162" s="444" t="s">
        <v>1519</v>
      </c>
      <c r="C162" s="432" t="s">
        <v>6347</v>
      </c>
      <c r="D162" s="433" t="s">
        <v>6351</v>
      </c>
      <c r="E162" s="434">
        <f>'PROSPETTO CE_IV TRIM 2024'!BM637</f>
        <v>0</v>
      </c>
      <c r="F162" s="439">
        <f t="shared" si="165"/>
        <v>0</v>
      </c>
      <c r="G162" s="439">
        <v>0</v>
      </c>
      <c r="H162" s="439">
        <v>0</v>
      </c>
      <c r="I162" s="435">
        <f t="shared" si="132"/>
        <v>0</v>
      </c>
      <c r="J162" s="435">
        <f t="shared" si="133"/>
        <v>0</v>
      </c>
      <c r="K162" s="439">
        <v>0</v>
      </c>
      <c r="L162" s="439">
        <v>0</v>
      </c>
      <c r="M162" s="439">
        <f t="shared" si="134"/>
        <v>0</v>
      </c>
      <c r="N162" s="439">
        <v>0</v>
      </c>
      <c r="O162" s="439">
        <v>0</v>
      </c>
      <c r="P162" s="440">
        <v>0</v>
      </c>
      <c r="Q162" s="439">
        <v>0</v>
      </c>
      <c r="R162" s="439">
        <f t="shared" si="127"/>
        <v>0</v>
      </c>
      <c r="S162" s="439">
        <f t="shared" si="128"/>
        <v>0</v>
      </c>
      <c r="T162" s="441"/>
      <c r="U162" s="439">
        <v>0</v>
      </c>
      <c r="V162" s="439">
        <f t="shared" si="166"/>
        <v>0</v>
      </c>
      <c r="W162" s="439">
        <v>0</v>
      </c>
      <c r="X162" s="439">
        <v>0</v>
      </c>
      <c r="Y162" s="435">
        <f t="shared" si="130"/>
        <v>0</v>
      </c>
      <c r="Z162" s="439">
        <v>0</v>
      </c>
      <c r="AA162" s="439">
        <v>0</v>
      </c>
      <c r="AB162" s="439">
        <v>0</v>
      </c>
      <c r="AC162" s="439">
        <v>0</v>
      </c>
      <c r="AD162" s="439">
        <v>0</v>
      </c>
      <c r="AE162" s="439"/>
      <c r="AF162" s="439">
        <f t="shared" si="167"/>
        <v>0</v>
      </c>
      <c r="AG162" s="439"/>
      <c r="AH162" s="419">
        <f t="shared" si="125"/>
        <v>0</v>
      </c>
      <c r="AI162" s="439"/>
      <c r="AJ162" s="439"/>
      <c r="AK162" s="439">
        <f t="shared" si="168"/>
        <v>0</v>
      </c>
      <c r="AL162" s="439">
        <f t="shared" si="169"/>
        <v>0</v>
      </c>
      <c r="AM162" s="439">
        <f t="shared" si="170"/>
        <v>0</v>
      </c>
      <c r="AN162" s="438"/>
      <c r="AO162" s="438"/>
      <c r="AP162" s="438"/>
    </row>
    <row r="163" spans="1:42" ht="12.75">
      <c r="A163" s="412">
        <v>161</v>
      </c>
      <c r="B163" s="431" t="s">
        <v>1519</v>
      </c>
      <c r="C163" s="432" t="s">
        <v>6352</v>
      </c>
      <c r="D163" s="433" t="s">
        <v>6356</v>
      </c>
      <c r="E163" s="434">
        <f>'PROSPETTO CE_IV TRIM 2024'!BM638</f>
        <v>0</v>
      </c>
      <c r="F163" s="439">
        <f t="shared" si="165"/>
        <v>0</v>
      </c>
      <c r="G163" s="439">
        <v>0</v>
      </c>
      <c r="H163" s="439">
        <v>0</v>
      </c>
      <c r="I163" s="435">
        <f t="shared" si="132"/>
        <v>0</v>
      </c>
      <c r="J163" s="435">
        <f t="shared" si="133"/>
        <v>0</v>
      </c>
      <c r="K163" s="439">
        <v>0</v>
      </c>
      <c r="L163" s="439">
        <v>0</v>
      </c>
      <c r="M163" s="439">
        <f t="shared" si="134"/>
        <v>0</v>
      </c>
      <c r="N163" s="439">
        <v>0</v>
      </c>
      <c r="O163" s="439">
        <v>0</v>
      </c>
      <c r="P163" s="440">
        <v>0</v>
      </c>
      <c r="Q163" s="439">
        <v>0</v>
      </c>
      <c r="R163" s="439">
        <f t="shared" si="127"/>
        <v>0</v>
      </c>
      <c r="S163" s="439">
        <f t="shared" si="128"/>
        <v>0</v>
      </c>
      <c r="T163" s="441"/>
      <c r="U163" s="439">
        <v>0</v>
      </c>
      <c r="V163" s="439">
        <f t="shared" si="166"/>
        <v>0</v>
      </c>
      <c r="W163" s="439">
        <v>0</v>
      </c>
      <c r="X163" s="439">
        <v>0</v>
      </c>
      <c r="Y163" s="435">
        <f t="shared" si="130"/>
        <v>0</v>
      </c>
      <c r="Z163" s="439">
        <v>0</v>
      </c>
      <c r="AA163" s="439">
        <v>0</v>
      </c>
      <c r="AB163" s="439">
        <v>0</v>
      </c>
      <c r="AC163" s="439">
        <v>0</v>
      </c>
      <c r="AD163" s="439">
        <v>0</v>
      </c>
      <c r="AE163" s="439"/>
      <c r="AF163" s="439">
        <f t="shared" si="167"/>
        <v>0</v>
      </c>
      <c r="AG163" s="439"/>
      <c r="AH163" s="419">
        <f t="shared" si="125"/>
        <v>0</v>
      </c>
      <c r="AI163" s="439"/>
      <c r="AJ163" s="439"/>
      <c r="AK163" s="439">
        <f t="shared" si="168"/>
        <v>0</v>
      </c>
      <c r="AL163" s="439">
        <f t="shared" si="169"/>
        <v>0</v>
      </c>
      <c r="AM163" s="439">
        <f t="shared" si="170"/>
        <v>0</v>
      </c>
      <c r="AN163" s="438"/>
      <c r="AO163" s="438"/>
      <c r="AP163" s="438"/>
    </row>
    <row r="164" spans="1:42" ht="12.75">
      <c r="A164" s="412">
        <v>162</v>
      </c>
      <c r="B164" s="444" t="s">
        <v>1519</v>
      </c>
      <c r="C164" s="432" t="s">
        <v>6357</v>
      </c>
      <c r="D164" s="433" t="s">
        <v>6361</v>
      </c>
      <c r="E164" s="434">
        <f>'PROSPETTO CE_IV TRIM 2024'!BM639</f>
        <v>0</v>
      </c>
      <c r="F164" s="439">
        <f t="shared" si="165"/>
        <v>0</v>
      </c>
      <c r="G164" s="439">
        <v>0</v>
      </c>
      <c r="H164" s="439">
        <v>0</v>
      </c>
      <c r="I164" s="435">
        <f t="shared" si="132"/>
        <v>0</v>
      </c>
      <c r="J164" s="435">
        <f t="shared" si="133"/>
        <v>0</v>
      </c>
      <c r="K164" s="439">
        <v>0</v>
      </c>
      <c r="L164" s="439">
        <v>0</v>
      </c>
      <c r="M164" s="439">
        <f t="shared" si="134"/>
        <v>0</v>
      </c>
      <c r="N164" s="439">
        <v>0</v>
      </c>
      <c r="O164" s="439">
        <v>0</v>
      </c>
      <c r="P164" s="440">
        <v>0</v>
      </c>
      <c r="Q164" s="439">
        <v>0</v>
      </c>
      <c r="R164" s="439">
        <f t="shared" si="127"/>
        <v>0</v>
      </c>
      <c r="S164" s="439">
        <f t="shared" si="128"/>
        <v>0</v>
      </c>
      <c r="T164" s="441"/>
      <c r="U164" s="439">
        <v>0</v>
      </c>
      <c r="V164" s="439">
        <f t="shared" si="166"/>
        <v>0</v>
      </c>
      <c r="W164" s="439">
        <v>0</v>
      </c>
      <c r="X164" s="439">
        <v>0</v>
      </c>
      <c r="Y164" s="435">
        <f t="shared" si="130"/>
        <v>0</v>
      </c>
      <c r="Z164" s="439">
        <v>0</v>
      </c>
      <c r="AA164" s="439">
        <v>0</v>
      </c>
      <c r="AB164" s="439">
        <v>0</v>
      </c>
      <c r="AC164" s="439">
        <v>0</v>
      </c>
      <c r="AD164" s="439">
        <v>0</v>
      </c>
      <c r="AE164" s="439"/>
      <c r="AF164" s="439">
        <f t="shared" si="167"/>
        <v>0</v>
      </c>
      <c r="AG164" s="439"/>
      <c r="AH164" s="419">
        <f t="shared" si="125"/>
        <v>0</v>
      </c>
      <c r="AI164" s="439"/>
      <c r="AJ164" s="439"/>
      <c r="AK164" s="439">
        <f t="shared" si="168"/>
        <v>0</v>
      </c>
      <c r="AL164" s="439">
        <f t="shared" si="169"/>
        <v>0</v>
      </c>
      <c r="AM164" s="439">
        <f t="shared" si="170"/>
        <v>0</v>
      </c>
      <c r="AN164" s="438"/>
      <c r="AO164" s="438"/>
      <c r="AP164" s="438"/>
    </row>
    <row r="165" spans="1:42" ht="12.75">
      <c r="A165" s="412">
        <v>163</v>
      </c>
      <c r="B165" s="431" t="s">
        <v>1519</v>
      </c>
      <c r="C165" s="432" t="s">
        <v>6362</v>
      </c>
      <c r="D165" s="433" t="s">
        <v>6366</v>
      </c>
      <c r="E165" s="434">
        <f>'PROSPETTO CE_IV TRIM 2024'!BM640</f>
        <v>0</v>
      </c>
      <c r="F165" s="439">
        <f t="shared" si="165"/>
        <v>0</v>
      </c>
      <c r="G165" s="439">
        <v>0</v>
      </c>
      <c r="H165" s="439">
        <v>0</v>
      </c>
      <c r="I165" s="435">
        <f t="shared" si="132"/>
        <v>0</v>
      </c>
      <c r="J165" s="435">
        <f t="shared" si="133"/>
        <v>0</v>
      </c>
      <c r="K165" s="439">
        <v>0</v>
      </c>
      <c r="L165" s="439">
        <v>0</v>
      </c>
      <c r="M165" s="439">
        <f t="shared" si="134"/>
        <v>0</v>
      </c>
      <c r="N165" s="439">
        <v>0</v>
      </c>
      <c r="O165" s="439">
        <v>0</v>
      </c>
      <c r="P165" s="440">
        <v>0</v>
      </c>
      <c r="Q165" s="439">
        <v>0</v>
      </c>
      <c r="R165" s="439">
        <f t="shared" si="127"/>
        <v>0</v>
      </c>
      <c r="S165" s="439">
        <f t="shared" si="128"/>
        <v>0</v>
      </c>
      <c r="T165" s="441"/>
      <c r="U165" s="439">
        <v>0</v>
      </c>
      <c r="V165" s="439">
        <f t="shared" si="166"/>
        <v>0</v>
      </c>
      <c r="W165" s="439">
        <v>0</v>
      </c>
      <c r="X165" s="439">
        <v>0</v>
      </c>
      <c r="Y165" s="435">
        <f t="shared" si="130"/>
        <v>0</v>
      </c>
      <c r="Z165" s="439">
        <v>0</v>
      </c>
      <c r="AA165" s="439">
        <v>0</v>
      </c>
      <c r="AB165" s="439">
        <v>0</v>
      </c>
      <c r="AC165" s="439">
        <v>0</v>
      </c>
      <c r="AD165" s="439">
        <v>0</v>
      </c>
      <c r="AE165" s="439"/>
      <c r="AF165" s="439">
        <f t="shared" si="167"/>
        <v>0</v>
      </c>
      <c r="AG165" s="439"/>
      <c r="AH165" s="419">
        <f t="shared" si="125"/>
        <v>0</v>
      </c>
      <c r="AI165" s="439"/>
      <c r="AJ165" s="439"/>
      <c r="AK165" s="439">
        <f t="shared" si="168"/>
        <v>0</v>
      </c>
      <c r="AL165" s="439">
        <f t="shared" si="169"/>
        <v>0</v>
      </c>
      <c r="AM165" s="439">
        <f t="shared" si="170"/>
        <v>0</v>
      </c>
      <c r="AN165" s="438"/>
      <c r="AO165" s="438"/>
      <c r="AP165" s="438"/>
    </row>
    <row r="166" spans="1:42" ht="12.75">
      <c r="A166" s="412">
        <v>164</v>
      </c>
      <c r="B166" s="431" t="s">
        <v>1519</v>
      </c>
      <c r="C166" s="432" t="s">
        <v>6367</v>
      </c>
      <c r="D166" s="433" t="s">
        <v>6371</v>
      </c>
      <c r="E166" s="434">
        <f>'PROSPETTO CE_IV TRIM 2024'!BM641</f>
        <v>0</v>
      </c>
      <c r="F166" s="439">
        <f t="shared" si="165"/>
        <v>0</v>
      </c>
      <c r="G166" s="439">
        <v>0</v>
      </c>
      <c r="H166" s="439">
        <v>0</v>
      </c>
      <c r="I166" s="435">
        <f t="shared" si="132"/>
        <v>0</v>
      </c>
      <c r="J166" s="435">
        <f t="shared" si="133"/>
        <v>0</v>
      </c>
      <c r="K166" s="439">
        <v>0</v>
      </c>
      <c r="L166" s="439">
        <v>0</v>
      </c>
      <c r="M166" s="439">
        <f t="shared" si="134"/>
        <v>0</v>
      </c>
      <c r="N166" s="439">
        <v>0</v>
      </c>
      <c r="O166" s="439">
        <v>0</v>
      </c>
      <c r="P166" s="440">
        <v>0</v>
      </c>
      <c r="Q166" s="439">
        <v>0</v>
      </c>
      <c r="R166" s="439">
        <f t="shared" si="127"/>
        <v>0</v>
      </c>
      <c r="S166" s="439">
        <f t="shared" si="128"/>
        <v>0</v>
      </c>
      <c r="T166" s="441"/>
      <c r="U166" s="439">
        <v>0</v>
      </c>
      <c r="V166" s="439">
        <f t="shared" si="166"/>
        <v>0</v>
      </c>
      <c r="W166" s="439">
        <v>0</v>
      </c>
      <c r="X166" s="439">
        <v>0</v>
      </c>
      <c r="Y166" s="435">
        <f t="shared" si="130"/>
        <v>0</v>
      </c>
      <c r="Z166" s="439">
        <v>0</v>
      </c>
      <c r="AA166" s="439">
        <v>0</v>
      </c>
      <c r="AB166" s="439">
        <v>0</v>
      </c>
      <c r="AC166" s="439">
        <v>0</v>
      </c>
      <c r="AD166" s="439">
        <v>0</v>
      </c>
      <c r="AE166" s="439"/>
      <c r="AF166" s="439">
        <f t="shared" si="167"/>
        <v>0</v>
      </c>
      <c r="AG166" s="439"/>
      <c r="AH166" s="419">
        <f t="shared" si="125"/>
        <v>0</v>
      </c>
      <c r="AI166" s="439"/>
      <c r="AJ166" s="439"/>
      <c r="AK166" s="439">
        <f t="shared" si="168"/>
        <v>0</v>
      </c>
      <c r="AL166" s="439">
        <f t="shared" si="169"/>
        <v>0</v>
      </c>
      <c r="AM166" s="439">
        <f t="shared" si="170"/>
        <v>0</v>
      </c>
      <c r="AN166" s="438"/>
      <c r="AO166" s="438"/>
      <c r="AP166" s="438"/>
    </row>
    <row r="167" spans="1:42" ht="12.75">
      <c r="A167" s="412">
        <v>165</v>
      </c>
      <c r="B167" s="444" t="s">
        <v>1519</v>
      </c>
      <c r="C167" s="432" t="s">
        <v>6372</v>
      </c>
      <c r="D167" s="433" t="s">
        <v>6376</v>
      </c>
      <c r="E167" s="434">
        <f>'PROSPETTO CE_IV TRIM 2024'!BM642</f>
        <v>0</v>
      </c>
      <c r="F167" s="439">
        <f t="shared" si="165"/>
        <v>0</v>
      </c>
      <c r="G167" s="439">
        <v>0</v>
      </c>
      <c r="H167" s="439">
        <v>0</v>
      </c>
      <c r="I167" s="435">
        <f t="shared" si="132"/>
        <v>0</v>
      </c>
      <c r="J167" s="435">
        <f t="shared" si="133"/>
        <v>0</v>
      </c>
      <c r="K167" s="439">
        <v>0</v>
      </c>
      <c r="L167" s="439">
        <v>0</v>
      </c>
      <c r="M167" s="439">
        <f t="shared" si="134"/>
        <v>0</v>
      </c>
      <c r="N167" s="439">
        <v>0</v>
      </c>
      <c r="O167" s="439">
        <v>0</v>
      </c>
      <c r="P167" s="440">
        <v>0</v>
      </c>
      <c r="Q167" s="439">
        <v>0</v>
      </c>
      <c r="R167" s="439">
        <f t="shared" si="127"/>
        <v>0</v>
      </c>
      <c r="S167" s="439">
        <f t="shared" si="128"/>
        <v>0</v>
      </c>
      <c r="T167" s="441"/>
      <c r="U167" s="439">
        <v>0</v>
      </c>
      <c r="V167" s="439">
        <f t="shared" si="166"/>
        <v>0</v>
      </c>
      <c r="W167" s="439">
        <v>0</v>
      </c>
      <c r="X167" s="439">
        <v>0</v>
      </c>
      <c r="Y167" s="435">
        <f t="shared" si="130"/>
        <v>0</v>
      </c>
      <c r="Z167" s="439">
        <v>0</v>
      </c>
      <c r="AA167" s="439">
        <v>0</v>
      </c>
      <c r="AB167" s="439">
        <v>0</v>
      </c>
      <c r="AC167" s="439">
        <v>0</v>
      </c>
      <c r="AD167" s="439">
        <v>0</v>
      </c>
      <c r="AE167" s="439"/>
      <c r="AF167" s="439">
        <f t="shared" si="167"/>
        <v>0</v>
      </c>
      <c r="AG167" s="439"/>
      <c r="AH167" s="419">
        <f t="shared" si="125"/>
        <v>0</v>
      </c>
      <c r="AI167" s="439"/>
      <c r="AJ167" s="439"/>
      <c r="AK167" s="439">
        <f t="shared" si="168"/>
        <v>0</v>
      </c>
      <c r="AL167" s="439">
        <f t="shared" si="169"/>
        <v>0</v>
      </c>
      <c r="AM167" s="439">
        <f t="shared" si="170"/>
        <v>0</v>
      </c>
      <c r="AN167" s="438"/>
      <c r="AO167" s="438"/>
      <c r="AP167" s="438"/>
    </row>
    <row r="168" spans="1:42" ht="12.75">
      <c r="A168" s="412">
        <v>166</v>
      </c>
      <c r="B168" s="431"/>
      <c r="C168" s="432" t="s">
        <v>6377</v>
      </c>
      <c r="D168" s="433" t="s">
        <v>6380</v>
      </c>
      <c r="E168" s="434"/>
      <c r="F168" s="435">
        <f>SUM(F169:F175)</f>
        <v>290313.36</v>
      </c>
      <c r="G168" s="435">
        <v>508650.63</v>
      </c>
      <c r="H168" s="435">
        <v>290313.35859999998</v>
      </c>
      <c r="I168" s="435">
        <f t="shared" si="132"/>
        <v>1.4000000082887709E-3</v>
      </c>
      <c r="J168" s="435">
        <f t="shared" si="133"/>
        <v>1.4000000082887709E-3</v>
      </c>
      <c r="K168" s="435">
        <v>290313.35859999998</v>
      </c>
      <c r="L168" s="435">
        <v>290313.35859999998</v>
      </c>
      <c r="M168" s="435">
        <f t="shared" si="134"/>
        <v>3935.2012300000642</v>
      </c>
      <c r="N168" s="435">
        <v>290324.20103</v>
      </c>
      <c r="O168" s="435">
        <v>290324.20103</v>
      </c>
      <c r="P168" s="436">
        <v>286378.15876999992</v>
      </c>
      <c r="Q168" s="435">
        <f t="shared" ref="Q168" si="171">SUM(Q169:Q175)</f>
        <v>508650.63</v>
      </c>
      <c r="R168" s="435">
        <f t="shared" si="127"/>
        <v>-3946.0422600000747</v>
      </c>
      <c r="S168" s="435">
        <f t="shared" si="128"/>
        <v>218326.42897000001</v>
      </c>
      <c r="T168" s="437">
        <f t="shared" ref="T168:T173" si="172">(F168-P168)/F168*100</f>
        <v>1.3555012521642353</v>
      </c>
      <c r="U168" s="435">
        <v>192223.31519999998</v>
      </c>
      <c r="V168" s="435">
        <f>SUM(V169:V175)</f>
        <v>286378.15876999992</v>
      </c>
      <c r="W168" s="435">
        <f>SUM(W169:W175)</f>
        <v>557212</v>
      </c>
      <c r="X168" s="435">
        <f t="shared" ref="X168" si="173">SUM(X169:X175)</f>
        <v>508650.63</v>
      </c>
      <c r="Y168" s="435">
        <f t="shared" si="130"/>
        <v>316705.48363636364</v>
      </c>
      <c r="Z168" s="435">
        <v>286378.15876999992</v>
      </c>
      <c r="AA168" s="435">
        <v>286378.15876999992</v>
      </c>
      <c r="AB168" s="435">
        <f t="shared" ref="AB168:AM168" si="174">SUM(AB169:AB175)</f>
        <v>81643</v>
      </c>
      <c r="AC168" s="435">
        <f t="shared" si="174"/>
        <v>145071.56419999999</v>
      </c>
      <c r="AD168" s="435">
        <f t="shared" si="174"/>
        <v>508650.63</v>
      </c>
      <c r="AE168" s="435"/>
      <c r="AF168" s="435">
        <f t="shared" si="174"/>
        <v>290143.12839999999</v>
      </c>
      <c r="AG168" s="435">
        <f t="shared" si="174"/>
        <v>0</v>
      </c>
      <c r="AH168" s="419">
        <f t="shared" si="125"/>
        <v>-290313.36</v>
      </c>
      <c r="AI168" s="435">
        <f t="shared" si="174"/>
        <v>0</v>
      </c>
      <c r="AJ168" s="435">
        <f t="shared" si="174"/>
        <v>0</v>
      </c>
      <c r="AK168" s="435">
        <f t="shared" si="174"/>
        <v>-270833.84123000002</v>
      </c>
      <c r="AL168" s="435">
        <f t="shared" si="174"/>
        <v>-3764.9696300000264</v>
      </c>
      <c r="AM168" s="435">
        <f t="shared" si="174"/>
        <v>-222272.47123000002</v>
      </c>
      <c r="AN168" s="438"/>
      <c r="AO168" s="438"/>
      <c r="AP168" s="438"/>
    </row>
    <row r="169" spans="1:42" ht="12.75">
      <c r="A169" s="412">
        <v>167</v>
      </c>
      <c r="B169" s="431"/>
      <c r="C169" s="432" t="s">
        <v>559</v>
      </c>
      <c r="D169" s="433" t="s">
        <v>6</v>
      </c>
      <c r="E169" s="434">
        <f>'PROSPETTO CE_IV TRIM 2024'!BM645</f>
        <v>2783.68</v>
      </c>
      <c r="F169" s="439">
        <f t="shared" ref="F169:F175" si="175">+E169</f>
        <v>2783.68</v>
      </c>
      <c r="G169" s="439">
        <v>256.58</v>
      </c>
      <c r="H169" s="439">
        <v>2783.68</v>
      </c>
      <c r="I169" s="435">
        <f t="shared" si="132"/>
        <v>0</v>
      </c>
      <c r="J169" s="435">
        <f t="shared" si="133"/>
        <v>0</v>
      </c>
      <c r="K169" s="439">
        <v>2783.68</v>
      </c>
      <c r="L169" s="439">
        <v>2783.68</v>
      </c>
      <c r="M169" s="439">
        <f t="shared" si="134"/>
        <v>-514.37900000000036</v>
      </c>
      <c r="N169" s="439">
        <v>2783.68</v>
      </c>
      <c r="O169" s="439">
        <v>2783.68</v>
      </c>
      <c r="P169" s="440">
        <v>3298.0590000000002</v>
      </c>
      <c r="Q169" s="439">
        <v>256.58</v>
      </c>
      <c r="R169" s="439">
        <f t="shared" si="127"/>
        <v>514.37900000000036</v>
      </c>
      <c r="S169" s="439">
        <f t="shared" si="128"/>
        <v>-2527.1</v>
      </c>
      <c r="T169" s="441">
        <f t="shared" si="172"/>
        <v>-18.478381135762746</v>
      </c>
      <c r="U169" s="439">
        <v>2198.6999999999998</v>
      </c>
      <c r="V169" s="439">
        <f t="shared" ref="V169:V175" si="176">+AA169</f>
        <v>3298.0590000000002</v>
      </c>
      <c r="W169" s="439">
        <v>331</v>
      </c>
      <c r="X169" s="439">
        <v>256.58</v>
      </c>
      <c r="Y169" s="435">
        <f t="shared" si="130"/>
        <v>3036.741818181818</v>
      </c>
      <c r="Z169" s="439">
        <v>3298.0590000000002</v>
      </c>
      <c r="AA169" s="439">
        <v>3298.0590000000002</v>
      </c>
      <c r="AB169" s="439">
        <v>895</v>
      </c>
      <c r="AC169" s="439">
        <v>2198.7060000000001</v>
      </c>
      <c r="AD169" s="439">
        <v>256.58</v>
      </c>
      <c r="AE169" s="439"/>
      <c r="AF169" s="439">
        <f t="shared" ref="AF169:AF175" si="177">AC169*2</f>
        <v>4397.4120000000003</v>
      </c>
      <c r="AG169" s="439"/>
      <c r="AH169" s="419">
        <f t="shared" si="125"/>
        <v>-2783.68</v>
      </c>
      <c r="AI169" s="439"/>
      <c r="AJ169" s="439"/>
      <c r="AK169" s="439">
        <f t="shared" ref="AK169:AK175" si="178">AA169-W169</f>
        <v>2967.0590000000002</v>
      </c>
      <c r="AL169" s="439">
        <f t="shared" ref="AL169:AL175" si="179">AA169-AF169</f>
        <v>-1099.3530000000001</v>
      </c>
      <c r="AM169" s="439">
        <f t="shared" ref="AM169:AM175" si="180">AA169-AD169</f>
        <v>3041.4790000000003</v>
      </c>
      <c r="AN169" s="438"/>
      <c r="AO169" s="438"/>
      <c r="AP169" s="438"/>
    </row>
    <row r="170" spans="1:42" ht="25.5">
      <c r="A170" s="412">
        <v>168</v>
      </c>
      <c r="B170" s="431"/>
      <c r="C170" s="432" t="s">
        <v>560</v>
      </c>
      <c r="D170" s="433" t="s">
        <v>7</v>
      </c>
      <c r="E170" s="434">
        <f>'PROSPETTO CE_IV TRIM 2024'!BM646</f>
        <v>106092.4</v>
      </c>
      <c r="F170" s="439">
        <f t="shared" si="175"/>
        <v>106092.4</v>
      </c>
      <c r="G170" s="439">
        <v>274691.07</v>
      </c>
      <c r="H170" s="439">
        <v>106092.4</v>
      </c>
      <c r="I170" s="435">
        <f t="shared" si="132"/>
        <v>0</v>
      </c>
      <c r="J170" s="435">
        <f t="shared" si="133"/>
        <v>0</v>
      </c>
      <c r="K170" s="439">
        <v>106092.4</v>
      </c>
      <c r="L170" s="439">
        <v>106092.4</v>
      </c>
      <c r="M170" s="439">
        <f t="shared" si="134"/>
        <v>-7100.6944999999978</v>
      </c>
      <c r="N170" s="439">
        <v>106092.4</v>
      </c>
      <c r="O170" s="439">
        <v>106092.4</v>
      </c>
      <c r="P170" s="440">
        <v>113193.09449999999</v>
      </c>
      <c r="Q170" s="439">
        <v>274691.07</v>
      </c>
      <c r="R170" s="439">
        <f t="shared" si="127"/>
        <v>7100.6944999999978</v>
      </c>
      <c r="S170" s="439">
        <f t="shared" si="128"/>
        <v>168598.67</v>
      </c>
      <c r="T170" s="441">
        <f t="shared" si="172"/>
        <v>-6.6929341781315141</v>
      </c>
      <c r="U170" s="439">
        <v>74665.2</v>
      </c>
      <c r="V170" s="439">
        <f t="shared" si="176"/>
        <v>113193.09449999999</v>
      </c>
      <c r="W170" s="439">
        <v>283044</v>
      </c>
      <c r="X170" s="439">
        <v>274691.07</v>
      </c>
      <c r="Y170" s="435">
        <f t="shared" si="130"/>
        <v>115737.16363636364</v>
      </c>
      <c r="Z170" s="439">
        <v>113193.09449999999</v>
      </c>
      <c r="AA170" s="439">
        <v>113193.09449999999</v>
      </c>
      <c r="AB170" s="439">
        <v>25414</v>
      </c>
      <c r="AC170" s="439">
        <v>54331.663</v>
      </c>
      <c r="AD170" s="439">
        <v>274691.07</v>
      </c>
      <c r="AE170" s="439"/>
      <c r="AF170" s="439">
        <f t="shared" si="177"/>
        <v>108663.326</v>
      </c>
      <c r="AG170" s="439"/>
      <c r="AH170" s="419">
        <f t="shared" si="125"/>
        <v>-106092.4</v>
      </c>
      <c r="AI170" s="439"/>
      <c r="AJ170" s="439"/>
      <c r="AK170" s="439">
        <f t="shared" si="178"/>
        <v>-169850.90549999999</v>
      </c>
      <c r="AL170" s="439">
        <f t="shared" si="179"/>
        <v>4529.768499999991</v>
      </c>
      <c r="AM170" s="439">
        <f t="shared" si="180"/>
        <v>-161497.9755</v>
      </c>
      <c r="AN170" s="438"/>
      <c r="AO170" s="438"/>
      <c r="AP170" s="438"/>
    </row>
    <row r="171" spans="1:42" ht="12.75">
      <c r="A171" s="412">
        <v>169</v>
      </c>
      <c r="B171" s="431"/>
      <c r="C171" s="432" t="s">
        <v>561</v>
      </c>
      <c r="D171" s="433" t="s">
        <v>8</v>
      </c>
      <c r="E171" s="434">
        <f>'PROSPETTO CE_IV TRIM 2024'!BM649+'PROSPETTO CE_IV TRIM 2024'!BM650</f>
        <v>55833.64</v>
      </c>
      <c r="F171" s="439">
        <f t="shared" si="175"/>
        <v>55833.64</v>
      </c>
      <c r="G171" s="439">
        <v>39705.79</v>
      </c>
      <c r="H171" s="439">
        <v>55833.638599999998</v>
      </c>
      <c r="I171" s="435">
        <f t="shared" si="132"/>
        <v>1.4000000010128133E-3</v>
      </c>
      <c r="J171" s="435">
        <f t="shared" si="133"/>
        <v>1.4000000010128133E-3</v>
      </c>
      <c r="K171" s="439">
        <v>55833.638599999998</v>
      </c>
      <c r="L171" s="439">
        <v>55833.638599999998</v>
      </c>
      <c r="M171" s="439">
        <f t="shared" si="134"/>
        <v>22049.627330000003</v>
      </c>
      <c r="N171" s="439">
        <v>55833.641029999999</v>
      </c>
      <c r="O171" s="439">
        <v>55833.641029999999</v>
      </c>
      <c r="P171" s="440">
        <v>33784.012669999996</v>
      </c>
      <c r="Q171" s="439">
        <v>39705.79</v>
      </c>
      <c r="R171" s="439">
        <f t="shared" si="127"/>
        <v>-22049.628360000002</v>
      </c>
      <c r="S171" s="439">
        <f t="shared" si="128"/>
        <v>-16127.851029999998</v>
      </c>
      <c r="T171" s="441">
        <f t="shared" si="172"/>
        <v>39.491652935398811</v>
      </c>
      <c r="U171" s="439">
        <v>27136.11</v>
      </c>
      <c r="V171" s="439">
        <f t="shared" si="176"/>
        <v>33784.012669999996</v>
      </c>
      <c r="W171" s="439">
        <v>44432</v>
      </c>
      <c r="X171" s="439">
        <v>39705.79</v>
      </c>
      <c r="Y171" s="435">
        <f t="shared" si="130"/>
        <v>60909.425454545461</v>
      </c>
      <c r="Z171" s="439">
        <v>33784.012669999996</v>
      </c>
      <c r="AA171" s="439">
        <v>33784.012669999996</v>
      </c>
      <c r="AB171" s="439">
        <v>9434</v>
      </c>
      <c r="AC171" s="439">
        <v>15958.32</v>
      </c>
      <c r="AD171" s="439">
        <v>39705.79</v>
      </c>
      <c r="AE171" s="439"/>
      <c r="AF171" s="439">
        <f t="shared" si="177"/>
        <v>31916.639999999999</v>
      </c>
      <c r="AG171" s="439"/>
      <c r="AH171" s="419">
        <f t="shared" si="125"/>
        <v>-55833.64</v>
      </c>
      <c r="AI171" s="439"/>
      <c r="AJ171" s="439"/>
      <c r="AK171" s="439">
        <f t="shared" si="178"/>
        <v>-10647.987330000004</v>
      </c>
      <c r="AL171" s="439">
        <f t="shared" si="179"/>
        <v>1867.372669999997</v>
      </c>
      <c r="AM171" s="439">
        <f t="shared" si="180"/>
        <v>-5921.7773300000044</v>
      </c>
      <c r="AN171" s="438"/>
      <c r="AO171" s="438"/>
      <c r="AP171" s="438"/>
    </row>
    <row r="172" spans="1:42" ht="12.75">
      <c r="A172" s="412">
        <v>170</v>
      </c>
      <c r="B172" s="431"/>
      <c r="C172" s="432" t="s">
        <v>562</v>
      </c>
      <c r="D172" s="433" t="s">
        <v>9</v>
      </c>
      <c r="E172" s="434">
        <f>'PROSPETTO CE_IV TRIM 2024'!BM651</f>
        <v>124999.15</v>
      </c>
      <c r="F172" s="439">
        <f t="shared" si="175"/>
        <v>124999.15</v>
      </c>
      <c r="G172" s="439">
        <v>142415.6</v>
      </c>
      <c r="H172" s="439">
        <v>124999.15</v>
      </c>
      <c r="I172" s="435">
        <f t="shared" si="132"/>
        <v>0</v>
      </c>
      <c r="J172" s="435">
        <f t="shared" si="133"/>
        <v>0</v>
      </c>
      <c r="K172" s="439">
        <v>124999.15</v>
      </c>
      <c r="L172" s="439">
        <v>124999.15</v>
      </c>
      <c r="M172" s="439">
        <f t="shared" si="134"/>
        <v>-10942.802599999995</v>
      </c>
      <c r="N172" s="439">
        <v>124999.15000000001</v>
      </c>
      <c r="O172" s="439">
        <v>124999.15000000001</v>
      </c>
      <c r="P172" s="440">
        <v>135941.95259999999</v>
      </c>
      <c r="Q172" s="439">
        <v>142415.6</v>
      </c>
      <c r="R172" s="439">
        <f t="shared" si="127"/>
        <v>10942.802599999981</v>
      </c>
      <c r="S172" s="439">
        <f t="shared" si="128"/>
        <v>17416.449999999997</v>
      </c>
      <c r="T172" s="441">
        <f t="shared" si="172"/>
        <v>-8.7543016092509394</v>
      </c>
      <c r="U172" s="439">
        <v>87879.845199999996</v>
      </c>
      <c r="V172" s="439">
        <f t="shared" si="176"/>
        <v>135941.95259999999</v>
      </c>
      <c r="W172" s="439">
        <v>142323</v>
      </c>
      <c r="X172" s="439">
        <v>142415.6</v>
      </c>
      <c r="Y172" s="435">
        <f t="shared" si="130"/>
        <v>136362.70909090908</v>
      </c>
      <c r="Z172" s="439">
        <v>135941.95259999999</v>
      </c>
      <c r="AA172" s="439">
        <v>135941.95259999999</v>
      </c>
      <c r="AB172" s="439">
        <v>45900</v>
      </c>
      <c r="AC172" s="439">
        <v>72529.195200000002</v>
      </c>
      <c r="AD172" s="439">
        <v>142415.6</v>
      </c>
      <c r="AE172" s="439"/>
      <c r="AF172" s="439">
        <f t="shared" si="177"/>
        <v>145058.3904</v>
      </c>
      <c r="AG172" s="439"/>
      <c r="AH172" s="419">
        <f t="shared" si="125"/>
        <v>-124999.15</v>
      </c>
      <c r="AI172" s="439"/>
      <c r="AJ172" s="439"/>
      <c r="AK172" s="439">
        <f t="shared" si="178"/>
        <v>-6381.0474000000104</v>
      </c>
      <c r="AL172" s="439">
        <f t="shared" si="179"/>
        <v>-9116.4378000000142</v>
      </c>
      <c r="AM172" s="439">
        <f t="shared" si="180"/>
        <v>-6473.6474000000162</v>
      </c>
      <c r="AN172" s="438"/>
      <c r="AO172" s="438"/>
      <c r="AP172" s="438"/>
    </row>
    <row r="173" spans="1:42" ht="12.75">
      <c r="A173" s="412">
        <v>171</v>
      </c>
      <c r="B173" s="431"/>
      <c r="C173" s="432" t="s">
        <v>563</v>
      </c>
      <c r="D173" s="433" t="s">
        <v>10</v>
      </c>
      <c r="E173" s="434">
        <f>'PROSPETTO CE_IV TRIM 2024'!BM652</f>
        <v>604.49</v>
      </c>
      <c r="F173" s="439">
        <f t="shared" si="175"/>
        <v>604.49</v>
      </c>
      <c r="G173" s="439">
        <v>51581.59</v>
      </c>
      <c r="H173" s="439">
        <v>604.49</v>
      </c>
      <c r="I173" s="435">
        <f t="shared" si="132"/>
        <v>0</v>
      </c>
      <c r="J173" s="435">
        <f t="shared" si="133"/>
        <v>0</v>
      </c>
      <c r="K173" s="439">
        <v>604.49</v>
      </c>
      <c r="L173" s="439">
        <v>604.49</v>
      </c>
      <c r="M173" s="439">
        <f t="shared" si="134"/>
        <v>443.45000000000005</v>
      </c>
      <c r="N173" s="439">
        <v>615.33000000000004</v>
      </c>
      <c r="O173" s="439">
        <v>615.33000000000004</v>
      </c>
      <c r="P173" s="440">
        <v>161.04</v>
      </c>
      <c r="Q173" s="439">
        <v>51581.59</v>
      </c>
      <c r="R173" s="439">
        <f t="shared" si="127"/>
        <v>-454.29000000000008</v>
      </c>
      <c r="S173" s="439">
        <f t="shared" si="128"/>
        <v>50966.259999999995</v>
      </c>
      <c r="T173" s="441">
        <f t="shared" si="172"/>
        <v>73.359360783470379</v>
      </c>
      <c r="U173" s="439">
        <v>343.46</v>
      </c>
      <c r="V173" s="439">
        <f t="shared" si="176"/>
        <v>161.04</v>
      </c>
      <c r="W173" s="439">
        <v>87082</v>
      </c>
      <c r="X173" s="439">
        <v>51581.59</v>
      </c>
      <c r="Y173" s="435">
        <f t="shared" si="130"/>
        <v>659.44363636363641</v>
      </c>
      <c r="Z173" s="439">
        <v>161.04</v>
      </c>
      <c r="AA173" s="439">
        <v>161.04</v>
      </c>
      <c r="AB173" s="439">
        <v>0</v>
      </c>
      <c r="AC173" s="439">
        <v>53.68</v>
      </c>
      <c r="AD173" s="439">
        <v>51581.59</v>
      </c>
      <c r="AE173" s="439"/>
      <c r="AF173" s="439">
        <f t="shared" si="177"/>
        <v>107.36</v>
      </c>
      <c r="AG173" s="439"/>
      <c r="AH173" s="419">
        <f t="shared" si="125"/>
        <v>-604.49</v>
      </c>
      <c r="AI173" s="439"/>
      <c r="AJ173" s="439"/>
      <c r="AK173" s="439">
        <f t="shared" si="178"/>
        <v>-86920.960000000006</v>
      </c>
      <c r="AL173" s="439">
        <f t="shared" si="179"/>
        <v>53.679999999999993</v>
      </c>
      <c r="AM173" s="439">
        <f t="shared" si="180"/>
        <v>-51420.549999999996</v>
      </c>
      <c r="AN173" s="438"/>
      <c r="AO173" s="438"/>
      <c r="AP173" s="438"/>
    </row>
    <row r="174" spans="1:42" ht="12.75">
      <c r="A174" s="412">
        <v>172</v>
      </c>
      <c r="B174" s="431"/>
      <c r="C174" s="432" t="s">
        <v>564</v>
      </c>
      <c r="D174" s="433" t="s">
        <v>11215</v>
      </c>
      <c r="E174" s="434">
        <f>'PROSPETTO CE_IV TRIM 2024'!BM660</f>
        <v>0</v>
      </c>
      <c r="F174" s="439">
        <f t="shared" si="175"/>
        <v>0</v>
      </c>
      <c r="G174" s="439">
        <v>0</v>
      </c>
      <c r="H174" s="439">
        <v>0</v>
      </c>
      <c r="I174" s="435">
        <f t="shared" si="132"/>
        <v>0</v>
      </c>
      <c r="J174" s="435">
        <f t="shared" si="133"/>
        <v>0</v>
      </c>
      <c r="K174" s="439">
        <v>0</v>
      </c>
      <c r="L174" s="439">
        <v>0</v>
      </c>
      <c r="M174" s="439">
        <f t="shared" si="134"/>
        <v>0</v>
      </c>
      <c r="N174" s="439">
        <v>0</v>
      </c>
      <c r="O174" s="439">
        <v>0</v>
      </c>
      <c r="P174" s="440">
        <v>0</v>
      </c>
      <c r="Q174" s="439">
        <v>0</v>
      </c>
      <c r="R174" s="439">
        <f t="shared" si="127"/>
        <v>0</v>
      </c>
      <c r="S174" s="439">
        <f t="shared" si="128"/>
        <v>0</v>
      </c>
      <c r="T174" s="441"/>
      <c r="U174" s="439">
        <v>0</v>
      </c>
      <c r="V174" s="439">
        <f t="shared" si="176"/>
        <v>0</v>
      </c>
      <c r="W174" s="439">
        <v>0</v>
      </c>
      <c r="X174" s="439">
        <v>0</v>
      </c>
      <c r="Y174" s="435">
        <f t="shared" si="130"/>
        <v>0</v>
      </c>
      <c r="Z174" s="439">
        <v>0</v>
      </c>
      <c r="AA174" s="439">
        <v>0</v>
      </c>
      <c r="AB174" s="439">
        <v>0</v>
      </c>
      <c r="AC174" s="439">
        <v>0</v>
      </c>
      <c r="AD174" s="439">
        <v>0</v>
      </c>
      <c r="AE174" s="439"/>
      <c r="AF174" s="439">
        <f t="shared" si="177"/>
        <v>0</v>
      </c>
      <c r="AG174" s="439"/>
      <c r="AH174" s="419">
        <f t="shared" si="125"/>
        <v>0</v>
      </c>
      <c r="AI174" s="439"/>
      <c r="AJ174" s="439"/>
      <c r="AK174" s="439">
        <f t="shared" si="178"/>
        <v>0</v>
      </c>
      <c r="AL174" s="439">
        <f t="shared" si="179"/>
        <v>0</v>
      </c>
      <c r="AM174" s="439">
        <f t="shared" si="180"/>
        <v>0</v>
      </c>
      <c r="AN174" s="438"/>
      <c r="AO174" s="438"/>
      <c r="AP174" s="438"/>
    </row>
    <row r="175" spans="1:42" ht="25.5">
      <c r="A175" s="412">
        <v>173</v>
      </c>
      <c r="B175" s="444" t="s">
        <v>1519</v>
      </c>
      <c r="C175" s="432" t="s">
        <v>6428</v>
      </c>
      <c r="D175" s="433" t="s">
        <v>11216</v>
      </c>
      <c r="E175" s="434">
        <f>'PROSPETTO CE_IV TRIM 2024'!BM663</f>
        <v>0</v>
      </c>
      <c r="F175" s="439">
        <f t="shared" si="175"/>
        <v>0</v>
      </c>
      <c r="G175" s="439">
        <v>0</v>
      </c>
      <c r="H175" s="439">
        <v>0</v>
      </c>
      <c r="I175" s="435">
        <f t="shared" si="132"/>
        <v>0</v>
      </c>
      <c r="J175" s="435">
        <f t="shared" si="133"/>
        <v>0</v>
      </c>
      <c r="K175" s="439">
        <v>0</v>
      </c>
      <c r="L175" s="439">
        <v>0</v>
      </c>
      <c r="M175" s="439">
        <f t="shared" si="134"/>
        <v>0</v>
      </c>
      <c r="N175" s="439">
        <v>0</v>
      </c>
      <c r="O175" s="439">
        <v>0</v>
      </c>
      <c r="P175" s="440">
        <v>0</v>
      </c>
      <c r="Q175" s="439">
        <v>0</v>
      </c>
      <c r="R175" s="439">
        <f t="shared" si="127"/>
        <v>0</v>
      </c>
      <c r="S175" s="439">
        <f t="shared" si="128"/>
        <v>0</v>
      </c>
      <c r="T175" s="441"/>
      <c r="U175" s="439">
        <v>0</v>
      </c>
      <c r="V175" s="439">
        <f t="shared" si="176"/>
        <v>0</v>
      </c>
      <c r="W175" s="439">
        <v>0</v>
      </c>
      <c r="X175" s="439">
        <v>0</v>
      </c>
      <c r="Y175" s="435">
        <f t="shared" si="130"/>
        <v>0</v>
      </c>
      <c r="Z175" s="439">
        <v>0</v>
      </c>
      <c r="AA175" s="439">
        <v>0</v>
      </c>
      <c r="AB175" s="439">
        <v>0</v>
      </c>
      <c r="AC175" s="439">
        <v>0</v>
      </c>
      <c r="AD175" s="439">
        <v>0</v>
      </c>
      <c r="AE175" s="439"/>
      <c r="AF175" s="439">
        <f t="shared" si="177"/>
        <v>0</v>
      </c>
      <c r="AG175" s="439"/>
      <c r="AH175" s="419">
        <f t="shared" si="125"/>
        <v>0</v>
      </c>
      <c r="AI175" s="439"/>
      <c r="AJ175" s="439"/>
      <c r="AK175" s="439">
        <f t="shared" si="178"/>
        <v>0</v>
      </c>
      <c r="AL175" s="439">
        <f t="shared" si="179"/>
        <v>0</v>
      </c>
      <c r="AM175" s="439">
        <f t="shared" si="180"/>
        <v>0</v>
      </c>
      <c r="AN175" s="438"/>
      <c r="AO175" s="438"/>
      <c r="AP175" s="438"/>
    </row>
    <row r="176" spans="1:42" ht="12.75">
      <c r="A176" s="412">
        <v>174</v>
      </c>
      <c r="B176" s="431"/>
      <c r="C176" s="432" t="s">
        <v>6434</v>
      </c>
      <c r="D176" s="433" t="s">
        <v>6437</v>
      </c>
      <c r="E176" s="434"/>
      <c r="F176" s="435">
        <f>+F177+F307</f>
        <v>71192414.789999992</v>
      </c>
      <c r="G176" s="435">
        <v>66629745.580000013</v>
      </c>
      <c r="H176" s="435">
        <v>70361458.917950779</v>
      </c>
      <c r="I176" s="435">
        <f t="shared" si="132"/>
        <v>830955.87204921246</v>
      </c>
      <c r="J176" s="435">
        <f t="shared" si="133"/>
        <v>832915.87204921246</v>
      </c>
      <c r="K176" s="435">
        <v>70359498.917950779</v>
      </c>
      <c r="L176" s="435">
        <v>69531799.10635078</v>
      </c>
      <c r="M176" s="435">
        <f t="shared" si="134"/>
        <v>4180573.7267008424</v>
      </c>
      <c r="N176" s="435">
        <v>70163178.245967373</v>
      </c>
      <c r="O176" s="435">
        <v>69363178.245967373</v>
      </c>
      <c r="P176" s="436">
        <v>67011841.063299149</v>
      </c>
      <c r="Q176" s="435">
        <f t="shared" ref="Q176" si="181">+Q177+Q307</f>
        <v>66629745.580000013</v>
      </c>
      <c r="R176" s="435">
        <f t="shared" si="127"/>
        <v>-3151337.182668224</v>
      </c>
      <c r="S176" s="435">
        <f t="shared" si="128"/>
        <v>-3533432.6659673601</v>
      </c>
      <c r="T176" s="437">
        <f>(F176-P176)/F176*100</f>
        <v>5.8722179027534054</v>
      </c>
      <c r="U176" s="435">
        <v>50632627.780980542</v>
      </c>
      <c r="V176" s="435">
        <f>+V177+V307</f>
        <v>67011841.063299149</v>
      </c>
      <c r="W176" s="435">
        <f>+W177+W307</f>
        <v>64785119</v>
      </c>
      <c r="X176" s="435">
        <f t="shared" ref="X176" si="182">+X177+X307</f>
        <v>66629745.580000013</v>
      </c>
      <c r="Y176" s="435">
        <f t="shared" si="130"/>
        <v>77664452.498181805</v>
      </c>
      <c r="Z176" s="435">
        <v>67011840.308020577</v>
      </c>
      <c r="AA176" s="435">
        <v>67011841.063299149</v>
      </c>
      <c r="AB176" s="435">
        <f t="shared" ref="AB176:AM176" si="183">+AB177+AB307</f>
        <v>13921776</v>
      </c>
      <c r="AC176" s="435">
        <f t="shared" si="183"/>
        <v>32356276.063674577</v>
      </c>
      <c r="AD176" s="435">
        <f t="shared" si="183"/>
        <v>66629745.580000013</v>
      </c>
      <c r="AE176" s="435"/>
      <c r="AF176" s="435">
        <f t="shared" si="183"/>
        <v>64712552.127349153</v>
      </c>
      <c r="AG176" s="435">
        <f t="shared" si="183"/>
        <v>0</v>
      </c>
      <c r="AH176" s="419">
        <f t="shared" si="125"/>
        <v>-71192414.789999992</v>
      </c>
      <c r="AI176" s="435">
        <f t="shared" si="183"/>
        <v>0</v>
      </c>
      <c r="AJ176" s="435">
        <f t="shared" si="183"/>
        <v>0</v>
      </c>
      <c r="AK176" s="435">
        <f t="shared" si="183"/>
        <v>2226722.0632991465</v>
      </c>
      <c r="AL176" s="435">
        <f t="shared" si="183"/>
        <v>2299288.935949997</v>
      </c>
      <c r="AM176" s="435">
        <f t="shared" si="183"/>
        <v>382095.48329914175</v>
      </c>
      <c r="AN176" s="438"/>
      <c r="AO176" s="438"/>
      <c r="AP176" s="438"/>
    </row>
    <row r="177" spans="1:42" ht="12.75">
      <c r="A177" s="412">
        <v>175</v>
      </c>
      <c r="B177" s="431"/>
      <c r="C177" s="432" t="s">
        <v>6438</v>
      </c>
      <c r="D177" s="433" t="s">
        <v>6441</v>
      </c>
      <c r="E177" s="434"/>
      <c r="F177" s="435">
        <f>+F178+F186+F190+F209+F215+F220+F225+F235+F241+F248+F254+F259+F268+F276+F284+F298+F306</f>
        <v>27778615.140000001</v>
      </c>
      <c r="G177" s="435">
        <v>26551308.310000006</v>
      </c>
      <c r="H177" s="435">
        <v>27394726.266688861</v>
      </c>
      <c r="I177" s="435">
        <f t="shared" si="132"/>
        <v>383888.87331113964</v>
      </c>
      <c r="J177" s="435">
        <f t="shared" si="133"/>
        <v>385848.87331114337</v>
      </c>
      <c r="K177" s="435">
        <v>27392766.266688857</v>
      </c>
      <c r="L177" s="435">
        <v>26565030.39208886</v>
      </c>
      <c r="M177" s="435">
        <f t="shared" si="134"/>
        <v>2522666.6653812602</v>
      </c>
      <c r="N177" s="435">
        <v>25932190.915514875</v>
      </c>
      <c r="O177" s="435">
        <v>25532190.915514875</v>
      </c>
      <c r="P177" s="436">
        <v>25255948.47461874</v>
      </c>
      <c r="Q177" s="435">
        <f t="shared" ref="Q177" si="184">+Q178+Q186+Q190+Q209+Q215+Q220+Q225+Q235+Q241+Q248+Q254+Q259+Q268+Q276+Q284+Q298+Q306</f>
        <v>26551308.310000006</v>
      </c>
      <c r="R177" s="435">
        <f t="shared" si="127"/>
        <v>-676242.44089613482</v>
      </c>
      <c r="S177" s="435">
        <f t="shared" si="128"/>
        <v>619117.39448513091</v>
      </c>
      <c r="T177" s="437">
        <f>(F177-P177)/F177*100</f>
        <v>9.0813262384298259</v>
      </c>
      <c r="U177" s="435">
        <v>18772185.372636151</v>
      </c>
      <c r="V177" s="435">
        <f>+V178+V186+V190+V209+V215+V220+V225+V235+V241+V248+V254+V259+V268+V276+V284+V298+V306</f>
        <v>25255948.47461874</v>
      </c>
      <c r="W177" s="435">
        <f>+W178+W186+W190+W209+W215+W220+W225+W235+W241+W248+W254+W259+W268+W276+W284+W298+W306</f>
        <v>25940464</v>
      </c>
      <c r="X177" s="435">
        <f t="shared" ref="X177" si="185">+X178+X186+X190+X209+X215+X220+X225+X235+X241+X248+X254+X259+X268+X276+X284+X298+X306</f>
        <v>26551308.310000006</v>
      </c>
      <c r="Y177" s="435">
        <f t="shared" si="130"/>
        <v>30303943.789090909</v>
      </c>
      <c r="Z177" s="435">
        <v>25255948.863190167</v>
      </c>
      <c r="AA177" s="435">
        <v>25255948.47461874</v>
      </c>
      <c r="AB177" s="435">
        <f t="shared" ref="AB177:AM177" si="186">+AB178+AB186+AB190+AB209+AB215+AB220+AB225+AB235+AB241+AB248+AB254+AB259+AB268+AB276+AB284+AB298+AB306</f>
        <v>4957291</v>
      </c>
      <c r="AC177" s="435">
        <f t="shared" si="186"/>
        <v>12470650.98180937</v>
      </c>
      <c r="AD177" s="435">
        <f t="shared" si="186"/>
        <v>26551308.310000006</v>
      </c>
      <c r="AE177" s="435"/>
      <c r="AF177" s="435">
        <f t="shared" si="186"/>
        <v>24941301.96361874</v>
      </c>
      <c r="AG177" s="435">
        <f t="shared" si="186"/>
        <v>0</v>
      </c>
      <c r="AH177" s="419">
        <f t="shared" si="125"/>
        <v>-27778615.140000001</v>
      </c>
      <c r="AI177" s="435">
        <f t="shared" si="186"/>
        <v>0</v>
      </c>
      <c r="AJ177" s="435">
        <f t="shared" si="186"/>
        <v>0</v>
      </c>
      <c r="AK177" s="435">
        <f t="shared" si="186"/>
        <v>-684515.5253812623</v>
      </c>
      <c r="AL177" s="435">
        <f t="shared" si="186"/>
        <v>314646.51099999784</v>
      </c>
      <c r="AM177" s="435">
        <f t="shared" si="186"/>
        <v>-1295359.8353812662</v>
      </c>
      <c r="AN177" s="438"/>
      <c r="AO177" s="438"/>
      <c r="AP177" s="438"/>
    </row>
    <row r="178" spans="1:42" ht="12.75">
      <c r="A178" s="412">
        <v>176</v>
      </c>
      <c r="B178" s="431"/>
      <c r="C178" s="432" t="s">
        <v>6442</v>
      </c>
      <c r="D178" s="433" t="s">
        <v>6444</v>
      </c>
      <c r="E178" s="434"/>
      <c r="F178" s="435">
        <f>+F179+F184+F185</f>
        <v>0</v>
      </c>
      <c r="G178" s="435">
        <v>0</v>
      </c>
      <c r="H178" s="435">
        <v>0</v>
      </c>
      <c r="I178" s="435">
        <f t="shared" si="132"/>
        <v>0</v>
      </c>
      <c r="J178" s="435">
        <f t="shared" si="133"/>
        <v>0</v>
      </c>
      <c r="K178" s="435">
        <v>0</v>
      </c>
      <c r="L178" s="435">
        <v>0</v>
      </c>
      <c r="M178" s="435">
        <f t="shared" si="134"/>
        <v>0</v>
      </c>
      <c r="N178" s="435">
        <v>0</v>
      </c>
      <c r="O178" s="435">
        <v>0</v>
      </c>
      <c r="P178" s="436">
        <v>0</v>
      </c>
      <c r="Q178" s="435">
        <f t="shared" ref="Q178" si="187">+Q179+Q184+Q185</f>
        <v>0</v>
      </c>
      <c r="R178" s="435">
        <f t="shared" si="127"/>
        <v>0</v>
      </c>
      <c r="S178" s="435">
        <f t="shared" si="128"/>
        <v>0</v>
      </c>
      <c r="T178" s="437"/>
      <c r="U178" s="435">
        <v>0</v>
      </c>
      <c r="V178" s="435">
        <f>+V179+V184+V185</f>
        <v>0</v>
      </c>
      <c r="W178" s="435">
        <f>+W179+W184+W185</f>
        <v>0</v>
      </c>
      <c r="X178" s="435">
        <f t="shared" ref="X178" si="188">+X179+X184+X185</f>
        <v>0</v>
      </c>
      <c r="Y178" s="435">
        <f t="shared" si="130"/>
        <v>0</v>
      </c>
      <c r="Z178" s="435">
        <v>0</v>
      </c>
      <c r="AA178" s="435">
        <v>0</v>
      </c>
      <c r="AB178" s="435">
        <f t="shared" ref="AB178:AM178" si="189">+AB179+AB184+AB185</f>
        <v>0</v>
      </c>
      <c r="AC178" s="435">
        <f t="shared" si="189"/>
        <v>0</v>
      </c>
      <c r="AD178" s="435">
        <f t="shared" si="189"/>
        <v>0</v>
      </c>
      <c r="AE178" s="435"/>
      <c r="AF178" s="435">
        <f t="shared" si="189"/>
        <v>0</v>
      </c>
      <c r="AG178" s="435">
        <f t="shared" si="189"/>
        <v>0</v>
      </c>
      <c r="AH178" s="419">
        <f t="shared" si="125"/>
        <v>0</v>
      </c>
      <c r="AI178" s="435">
        <f t="shared" si="189"/>
        <v>0</v>
      </c>
      <c r="AJ178" s="435">
        <f t="shared" si="189"/>
        <v>0</v>
      </c>
      <c r="AK178" s="435">
        <f t="shared" si="189"/>
        <v>0</v>
      </c>
      <c r="AL178" s="435">
        <f t="shared" si="189"/>
        <v>0</v>
      </c>
      <c r="AM178" s="435">
        <f t="shared" si="189"/>
        <v>0</v>
      </c>
      <c r="AN178" s="438"/>
      <c r="AO178" s="438"/>
      <c r="AP178" s="438"/>
    </row>
    <row r="179" spans="1:42" ht="12.75">
      <c r="A179" s="412">
        <v>177</v>
      </c>
      <c r="B179" s="431"/>
      <c r="C179" s="432" t="s">
        <v>312</v>
      </c>
      <c r="D179" s="433" t="s">
        <v>11217</v>
      </c>
      <c r="E179" s="434"/>
      <c r="F179" s="435">
        <f>SUM(F180:F183)</f>
        <v>0</v>
      </c>
      <c r="G179" s="435">
        <v>0</v>
      </c>
      <c r="H179" s="435">
        <v>0</v>
      </c>
      <c r="I179" s="435">
        <f t="shared" si="132"/>
        <v>0</v>
      </c>
      <c r="J179" s="435">
        <f t="shared" si="133"/>
        <v>0</v>
      </c>
      <c r="K179" s="435">
        <v>0</v>
      </c>
      <c r="L179" s="435">
        <v>0</v>
      </c>
      <c r="M179" s="435">
        <f t="shared" si="134"/>
        <v>0</v>
      </c>
      <c r="N179" s="435">
        <v>0</v>
      </c>
      <c r="O179" s="435">
        <v>0</v>
      </c>
      <c r="P179" s="436">
        <v>0</v>
      </c>
      <c r="Q179" s="435">
        <f t="shared" ref="Q179" si="190">SUM(Q180:Q183)</f>
        <v>0</v>
      </c>
      <c r="R179" s="435">
        <f t="shared" si="127"/>
        <v>0</v>
      </c>
      <c r="S179" s="435">
        <f t="shared" si="128"/>
        <v>0</v>
      </c>
      <c r="T179" s="437"/>
      <c r="U179" s="435">
        <v>0</v>
      </c>
      <c r="V179" s="435">
        <f>SUM(V180:V183)</f>
        <v>0</v>
      </c>
      <c r="W179" s="435">
        <f>SUM(W180:W183)</f>
        <v>0</v>
      </c>
      <c r="X179" s="435">
        <f t="shared" ref="X179" si="191">SUM(X180:X183)</f>
        <v>0</v>
      </c>
      <c r="Y179" s="435">
        <f t="shared" si="130"/>
        <v>0</v>
      </c>
      <c r="Z179" s="435">
        <v>0</v>
      </c>
      <c r="AA179" s="435">
        <v>0</v>
      </c>
      <c r="AB179" s="435">
        <f t="shared" ref="AB179:AM179" si="192">SUM(AB180:AB183)</f>
        <v>0</v>
      </c>
      <c r="AC179" s="435">
        <f t="shared" si="192"/>
        <v>0</v>
      </c>
      <c r="AD179" s="435">
        <f t="shared" si="192"/>
        <v>0</v>
      </c>
      <c r="AE179" s="435"/>
      <c r="AF179" s="435">
        <f t="shared" si="192"/>
        <v>0</v>
      </c>
      <c r="AG179" s="435">
        <f t="shared" si="192"/>
        <v>0</v>
      </c>
      <c r="AH179" s="419">
        <f t="shared" si="125"/>
        <v>0</v>
      </c>
      <c r="AI179" s="435">
        <f t="shared" si="192"/>
        <v>0</v>
      </c>
      <c r="AJ179" s="435">
        <f t="shared" si="192"/>
        <v>0</v>
      </c>
      <c r="AK179" s="435">
        <f t="shared" si="192"/>
        <v>0</v>
      </c>
      <c r="AL179" s="435">
        <f t="shared" si="192"/>
        <v>0</v>
      </c>
      <c r="AM179" s="435">
        <f t="shared" si="192"/>
        <v>0</v>
      </c>
      <c r="AN179" s="438"/>
      <c r="AO179" s="438"/>
      <c r="AP179" s="438"/>
    </row>
    <row r="180" spans="1:42" ht="12.75">
      <c r="A180" s="412">
        <v>178</v>
      </c>
      <c r="B180" s="431"/>
      <c r="C180" s="432" t="s">
        <v>313</v>
      </c>
      <c r="D180" s="433" t="s">
        <v>6448</v>
      </c>
      <c r="E180" s="434">
        <f>'PROSPETTO CE_IV TRIM 2024'!BM667</f>
        <v>0</v>
      </c>
      <c r="F180" s="439">
        <f t="shared" ref="F180:F185" si="193">+E180</f>
        <v>0</v>
      </c>
      <c r="G180" s="439">
        <v>0</v>
      </c>
      <c r="H180" s="439">
        <v>0</v>
      </c>
      <c r="I180" s="435">
        <f t="shared" si="132"/>
        <v>0</v>
      </c>
      <c r="J180" s="435">
        <f t="shared" si="133"/>
        <v>0</v>
      </c>
      <c r="K180" s="439">
        <v>0</v>
      </c>
      <c r="L180" s="439">
        <v>0</v>
      </c>
      <c r="M180" s="439">
        <f t="shared" si="134"/>
        <v>0</v>
      </c>
      <c r="N180" s="439">
        <v>0</v>
      </c>
      <c r="O180" s="439">
        <v>0</v>
      </c>
      <c r="P180" s="440">
        <v>0</v>
      </c>
      <c r="Q180" s="439">
        <v>0</v>
      </c>
      <c r="R180" s="439">
        <f t="shared" si="127"/>
        <v>0</v>
      </c>
      <c r="S180" s="439">
        <f t="shared" si="128"/>
        <v>0</v>
      </c>
      <c r="T180" s="441"/>
      <c r="U180" s="439">
        <v>0</v>
      </c>
      <c r="V180" s="439">
        <f t="shared" ref="V180:V185" si="194">+AA180</f>
        <v>0</v>
      </c>
      <c r="W180" s="439">
        <v>0</v>
      </c>
      <c r="X180" s="439">
        <v>0</v>
      </c>
      <c r="Y180" s="435">
        <f t="shared" si="130"/>
        <v>0</v>
      </c>
      <c r="Z180" s="439">
        <v>0</v>
      </c>
      <c r="AA180" s="439">
        <v>0</v>
      </c>
      <c r="AB180" s="439">
        <v>0</v>
      </c>
      <c r="AC180" s="439">
        <v>0</v>
      </c>
      <c r="AD180" s="439">
        <v>0</v>
      </c>
      <c r="AE180" s="439"/>
      <c r="AF180" s="439">
        <v>0</v>
      </c>
      <c r="AG180" s="439">
        <v>0</v>
      </c>
      <c r="AH180" s="419">
        <f t="shared" si="125"/>
        <v>0</v>
      </c>
      <c r="AI180" s="439">
        <v>0</v>
      </c>
      <c r="AJ180" s="439">
        <v>0</v>
      </c>
      <c r="AK180" s="439">
        <f t="shared" ref="AK180:AK185" si="195">AA180-W180</f>
        <v>0</v>
      </c>
      <c r="AL180" s="439">
        <f t="shared" ref="AL180:AL185" si="196">AA180-AF180</f>
        <v>0</v>
      </c>
      <c r="AM180" s="439">
        <f t="shared" ref="AM180:AM185" si="197">AA180-AD180</f>
        <v>0</v>
      </c>
      <c r="AN180" s="438"/>
      <c r="AO180" s="438"/>
      <c r="AP180" s="438"/>
    </row>
    <row r="181" spans="1:42" ht="12.75">
      <c r="A181" s="412">
        <v>179</v>
      </c>
      <c r="B181" s="431"/>
      <c r="C181" s="432" t="s">
        <v>315</v>
      </c>
      <c r="D181" s="433" t="s">
        <v>6452</v>
      </c>
      <c r="E181" s="434">
        <f>'PROSPETTO CE_IV TRIM 2024'!BM668</f>
        <v>0</v>
      </c>
      <c r="F181" s="439">
        <f t="shared" si="193"/>
        <v>0</v>
      </c>
      <c r="G181" s="439">
        <v>0</v>
      </c>
      <c r="H181" s="439">
        <v>0</v>
      </c>
      <c r="I181" s="435">
        <f t="shared" si="132"/>
        <v>0</v>
      </c>
      <c r="J181" s="435">
        <f t="shared" si="133"/>
        <v>0</v>
      </c>
      <c r="K181" s="439">
        <v>0</v>
      </c>
      <c r="L181" s="439">
        <v>0</v>
      </c>
      <c r="M181" s="439">
        <f t="shared" si="134"/>
        <v>0</v>
      </c>
      <c r="N181" s="439">
        <v>0</v>
      </c>
      <c r="O181" s="439">
        <v>0</v>
      </c>
      <c r="P181" s="440">
        <v>0</v>
      </c>
      <c r="Q181" s="439">
        <v>0</v>
      </c>
      <c r="R181" s="439">
        <f t="shared" si="127"/>
        <v>0</v>
      </c>
      <c r="S181" s="439">
        <f t="shared" si="128"/>
        <v>0</v>
      </c>
      <c r="T181" s="441"/>
      <c r="U181" s="439">
        <v>0</v>
      </c>
      <c r="V181" s="439">
        <f t="shared" si="194"/>
        <v>0</v>
      </c>
      <c r="W181" s="439">
        <v>0</v>
      </c>
      <c r="X181" s="439">
        <v>0</v>
      </c>
      <c r="Y181" s="435">
        <f t="shared" si="130"/>
        <v>0</v>
      </c>
      <c r="Z181" s="439">
        <v>0</v>
      </c>
      <c r="AA181" s="439">
        <v>0</v>
      </c>
      <c r="AB181" s="439">
        <v>0</v>
      </c>
      <c r="AC181" s="439">
        <v>0</v>
      </c>
      <c r="AD181" s="439">
        <v>0</v>
      </c>
      <c r="AE181" s="439"/>
      <c r="AF181" s="439">
        <v>0</v>
      </c>
      <c r="AG181" s="439">
        <v>0</v>
      </c>
      <c r="AH181" s="419">
        <f t="shared" si="125"/>
        <v>0</v>
      </c>
      <c r="AI181" s="439">
        <v>0</v>
      </c>
      <c r="AJ181" s="439">
        <v>0</v>
      </c>
      <c r="AK181" s="439">
        <f t="shared" si="195"/>
        <v>0</v>
      </c>
      <c r="AL181" s="439">
        <f t="shared" si="196"/>
        <v>0</v>
      </c>
      <c r="AM181" s="439">
        <f t="shared" si="197"/>
        <v>0</v>
      </c>
      <c r="AN181" s="438"/>
      <c r="AO181" s="438"/>
      <c r="AP181" s="438"/>
    </row>
    <row r="182" spans="1:42" ht="12.75">
      <c r="A182" s="412">
        <v>180</v>
      </c>
      <c r="B182" s="431"/>
      <c r="C182" s="432" t="s">
        <v>317</v>
      </c>
      <c r="D182" s="433" t="s">
        <v>6456</v>
      </c>
      <c r="E182" s="434">
        <f>'PROSPETTO CE_IV TRIM 2024'!BM669</f>
        <v>0</v>
      </c>
      <c r="F182" s="439">
        <f t="shared" si="193"/>
        <v>0</v>
      </c>
      <c r="G182" s="439">
        <v>0</v>
      </c>
      <c r="H182" s="439">
        <v>0</v>
      </c>
      <c r="I182" s="435">
        <f t="shared" si="132"/>
        <v>0</v>
      </c>
      <c r="J182" s="435">
        <f t="shared" si="133"/>
        <v>0</v>
      </c>
      <c r="K182" s="439">
        <v>0</v>
      </c>
      <c r="L182" s="439">
        <v>0</v>
      </c>
      <c r="M182" s="439">
        <f t="shared" si="134"/>
        <v>0</v>
      </c>
      <c r="N182" s="439">
        <v>0</v>
      </c>
      <c r="O182" s="439">
        <v>0</v>
      </c>
      <c r="P182" s="440">
        <v>0</v>
      </c>
      <c r="Q182" s="439">
        <v>0</v>
      </c>
      <c r="R182" s="439">
        <f t="shared" si="127"/>
        <v>0</v>
      </c>
      <c r="S182" s="439">
        <f t="shared" si="128"/>
        <v>0</v>
      </c>
      <c r="T182" s="441"/>
      <c r="U182" s="439">
        <v>0</v>
      </c>
      <c r="V182" s="439">
        <f t="shared" si="194"/>
        <v>0</v>
      </c>
      <c r="W182" s="439">
        <v>0</v>
      </c>
      <c r="X182" s="439">
        <v>0</v>
      </c>
      <c r="Y182" s="435">
        <f t="shared" si="130"/>
        <v>0</v>
      </c>
      <c r="Z182" s="439">
        <v>0</v>
      </c>
      <c r="AA182" s="439">
        <v>0</v>
      </c>
      <c r="AB182" s="439">
        <v>0</v>
      </c>
      <c r="AC182" s="439">
        <v>0</v>
      </c>
      <c r="AD182" s="439">
        <v>0</v>
      </c>
      <c r="AE182" s="439"/>
      <c r="AF182" s="439">
        <v>0</v>
      </c>
      <c r="AG182" s="439">
        <v>0</v>
      </c>
      <c r="AH182" s="419">
        <f t="shared" si="125"/>
        <v>0</v>
      </c>
      <c r="AI182" s="439">
        <v>0</v>
      </c>
      <c r="AJ182" s="439">
        <v>0</v>
      </c>
      <c r="AK182" s="439">
        <f t="shared" si="195"/>
        <v>0</v>
      </c>
      <c r="AL182" s="439">
        <f t="shared" si="196"/>
        <v>0</v>
      </c>
      <c r="AM182" s="439">
        <f t="shared" si="197"/>
        <v>0</v>
      </c>
      <c r="AN182" s="438"/>
      <c r="AO182" s="438"/>
      <c r="AP182" s="438"/>
    </row>
    <row r="183" spans="1:42" ht="12.75">
      <c r="A183" s="412">
        <v>181</v>
      </c>
      <c r="B183" s="431"/>
      <c r="C183" s="432" t="s">
        <v>319</v>
      </c>
      <c r="D183" s="433" t="s">
        <v>6461</v>
      </c>
      <c r="E183" s="434">
        <f>'PROSPETTO CE_IV TRIM 2024'!BM670</f>
        <v>0</v>
      </c>
      <c r="F183" s="439">
        <f t="shared" si="193"/>
        <v>0</v>
      </c>
      <c r="G183" s="439">
        <v>0</v>
      </c>
      <c r="H183" s="439">
        <v>0</v>
      </c>
      <c r="I183" s="435">
        <f t="shared" si="132"/>
        <v>0</v>
      </c>
      <c r="J183" s="435">
        <f t="shared" si="133"/>
        <v>0</v>
      </c>
      <c r="K183" s="439">
        <v>0</v>
      </c>
      <c r="L183" s="439">
        <v>0</v>
      </c>
      <c r="M183" s="439">
        <f t="shared" si="134"/>
        <v>0</v>
      </c>
      <c r="N183" s="439">
        <v>0</v>
      </c>
      <c r="O183" s="439">
        <v>0</v>
      </c>
      <c r="P183" s="440">
        <v>0</v>
      </c>
      <c r="Q183" s="439">
        <v>0</v>
      </c>
      <c r="R183" s="439">
        <f t="shared" si="127"/>
        <v>0</v>
      </c>
      <c r="S183" s="439">
        <f t="shared" si="128"/>
        <v>0</v>
      </c>
      <c r="T183" s="441"/>
      <c r="U183" s="439">
        <v>0</v>
      </c>
      <c r="V183" s="439">
        <f t="shared" si="194"/>
        <v>0</v>
      </c>
      <c r="W183" s="439">
        <v>0</v>
      </c>
      <c r="X183" s="439">
        <v>0</v>
      </c>
      <c r="Y183" s="435">
        <f t="shared" si="130"/>
        <v>0</v>
      </c>
      <c r="Z183" s="439">
        <v>0</v>
      </c>
      <c r="AA183" s="439">
        <v>0</v>
      </c>
      <c r="AB183" s="439">
        <v>0</v>
      </c>
      <c r="AC183" s="439">
        <v>0</v>
      </c>
      <c r="AD183" s="439">
        <v>0</v>
      </c>
      <c r="AE183" s="439"/>
      <c r="AF183" s="439">
        <v>0</v>
      </c>
      <c r="AG183" s="439">
        <v>0</v>
      </c>
      <c r="AH183" s="419">
        <f t="shared" si="125"/>
        <v>0</v>
      </c>
      <c r="AI183" s="439">
        <v>0</v>
      </c>
      <c r="AJ183" s="439">
        <v>0</v>
      </c>
      <c r="AK183" s="439">
        <f t="shared" si="195"/>
        <v>0</v>
      </c>
      <c r="AL183" s="439">
        <f t="shared" si="196"/>
        <v>0</v>
      </c>
      <c r="AM183" s="439">
        <f t="shared" si="197"/>
        <v>0</v>
      </c>
      <c r="AN183" s="438"/>
      <c r="AO183" s="438"/>
      <c r="AP183" s="438"/>
    </row>
    <row r="184" spans="1:42" ht="25.5">
      <c r="A184" s="412">
        <v>182</v>
      </c>
      <c r="B184" s="444" t="s">
        <v>1519</v>
      </c>
      <c r="C184" s="432" t="s">
        <v>320</v>
      </c>
      <c r="D184" s="433" t="s">
        <v>6472</v>
      </c>
      <c r="E184" s="434">
        <f>'PROSPETTO CE_IV TRIM 2024'!BM671</f>
        <v>0</v>
      </c>
      <c r="F184" s="439">
        <f t="shared" si="193"/>
        <v>0</v>
      </c>
      <c r="G184" s="439">
        <v>0</v>
      </c>
      <c r="H184" s="439">
        <v>0</v>
      </c>
      <c r="I184" s="435">
        <f t="shared" si="132"/>
        <v>0</v>
      </c>
      <c r="J184" s="435">
        <f t="shared" si="133"/>
        <v>0</v>
      </c>
      <c r="K184" s="439">
        <v>0</v>
      </c>
      <c r="L184" s="439">
        <v>0</v>
      </c>
      <c r="M184" s="439">
        <f t="shared" si="134"/>
        <v>0</v>
      </c>
      <c r="N184" s="439">
        <v>0</v>
      </c>
      <c r="O184" s="439">
        <v>0</v>
      </c>
      <c r="P184" s="440">
        <v>0</v>
      </c>
      <c r="Q184" s="439">
        <v>0</v>
      </c>
      <c r="R184" s="439">
        <f t="shared" si="127"/>
        <v>0</v>
      </c>
      <c r="S184" s="439">
        <f t="shared" si="128"/>
        <v>0</v>
      </c>
      <c r="T184" s="441"/>
      <c r="U184" s="439">
        <v>0</v>
      </c>
      <c r="V184" s="439">
        <f t="shared" si="194"/>
        <v>0</v>
      </c>
      <c r="W184" s="439">
        <v>0</v>
      </c>
      <c r="X184" s="439">
        <v>0</v>
      </c>
      <c r="Y184" s="435">
        <f t="shared" si="130"/>
        <v>0</v>
      </c>
      <c r="Z184" s="439">
        <v>0</v>
      </c>
      <c r="AA184" s="439">
        <v>0</v>
      </c>
      <c r="AB184" s="439">
        <v>0</v>
      </c>
      <c r="AC184" s="439">
        <v>0</v>
      </c>
      <c r="AD184" s="439">
        <v>0</v>
      </c>
      <c r="AE184" s="439"/>
      <c r="AF184" s="439">
        <v>0</v>
      </c>
      <c r="AG184" s="439">
        <v>0</v>
      </c>
      <c r="AH184" s="419">
        <f t="shared" si="125"/>
        <v>0</v>
      </c>
      <c r="AI184" s="439">
        <v>0</v>
      </c>
      <c r="AJ184" s="439">
        <v>0</v>
      </c>
      <c r="AK184" s="439">
        <f t="shared" si="195"/>
        <v>0</v>
      </c>
      <c r="AL184" s="439">
        <f t="shared" si="196"/>
        <v>0</v>
      </c>
      <c r="AM184" s="439">
        <f t="shared" si="197"/>
        <v>0</v>
      </c>
      <c r="AN184" s="438"/>
      <c r="AO184" s="438"/>
      <c r="AP184" s="438"/>
    </row>
    <row r="185" spans="1:42" ht="25.5">
      <c r="A185" s="412">
        <v>183</v>
      </c>
      <c r="B185" s="431" t="s">
        <v>1349</v>
      </c>
      <c r="C185" s="432" t="s">
        <v>321</v>
      </c>
      <c r="D185" s="433" t="s">
        <v>6477</v>
      </c>
      <c r="E185" s="434">
        <f>'PROSPETTO CE_IV TRIM 2024'!BM672</f>
        <v>0</v>
      </c>
      <c r="F185" s="439">
        <f t="shared" si="193"/>
        <v>0</v>
      </c>
      <c r="G185" s="439">
        <v>0</v>
      </c>
      <c r="H185" s="439">
        <v>0</v>
      </c>
      <c r="I185" s="435">
        <f t="shared" si="132"/>
        <v>0</v>
      </c>
      <c r="J185" s="435">
        <f t="shared" si="133"/>
        <v>0</v>
      </c>
      <c r="K185" s="439">
        <v>0</v>
      </c>
      <c r="L185" s="439">
        <v>0</v>
      </c>
      <c r="M185" s="439">
        <f t="shared" si="134"/>
        <v>0</v>
      </c>
      <c r="N185" s="439">
        <v>0</v>
      </c>
      <c r="O185" s="439">
        <v>0</v>
      </c>
      <c r="P185" s="440">
        <v>0</v>
      </c>
      <c r="Q185" s="439">
        <v>0</v>
      </c>
      <c r="R185" s="439">
        <f t="shared" si="127"/>
        <v>0</v>
      </c>
      <c r="S185" s="439">
        <f t="shared" si="128"/>
        <v>0</v>
      </c>
      <c r="T185" s="441"/>
      <c r="U185" s="439">
        <v>0</v>
      </c>
      <c r="V185" s="439">
        <f t="shared" si="194"/>
        <v>0</v>
      </c>
      <c r="W185" s="439">
        <v>0</v>
      </c>
      <c r="X185" s="439">
        <v>0</v>
      </c>
      <c r="Y185" s="435">
        <f t="shared" si="130"/>
        <v>0</v>
      </c>
      <c r="Z185" s="439">
        <v>0</v>
      </c>
      <c r="AA185" s="439">
        <v>0</v>
      </c>
      <c r="AB185" s="439">
        <v>0</v>
      </c>
      <c r="AC185" s="439">
        <v>0</v>
      </c>
      <c r="AD185" s="439">
        <v>0</v>
      </c>
      <c r="AE185" s="439"/>
      <c r="AF185" s="439">
        <v>0</v>
      </c>
      <c r="AG185" s="439">
        <v>0</v>
      </c>
      <c r="AH185" s="419">
        <f t="shared" si="125"/>
        <v>0</v>
      </c>
      <c r="AI185" s="439">
        <v>0</v>
      </c>
      <c r="AJ185" s="439">
        <v>0</v>
      </c>
      <c r="AK185" s="439">
        <f t="shared" si="195"/>
        <v>0</v>
      </c>
      <c r="AL185" s="439">
        <f t="shared" si="196"/>
        <v>0</v>
      </c>
      <c r="AM185" s="439">
        <f t="shared" si="197"/>
        <v>0</v>
      </c>
      <c r="AN185" s="438"/>
      <c r="AO185" s="438"/>
      <c r="AP185" s="438"/>
    </row>
    <row r="186" spans="1:42" ht="12.75">
      <c r="A186" s="412">
        <v>184</v>
      </c>
      <c r="B186" s="431"/>
      <c r="C186" s="432" t="s">
        <v>6478</v>
      </c>
      <c r="D186" s="433" t="s">
        <v>6480</v>
      </c>
      <c r="E186" s="434"/>
      <c r="F186" s="435">
        <f>+F187+F188+F189</f>
        <v>0</v>
      </c>
      <c r="G186" s="435">
        <v>0</v>
      </c>
      <c r="H186" s="435">
        <v>0</v>
      </c>
      <c r="I186" s="435">
        <f t="shared" si="132"/>
        <v>0</v>
      </c>
      <c r="J186" s="435">
        <f t="shared" si="133"/>
        <v>0</v>
      </c>
      <c r="K186" s="435">
        <v>0</v>
      </c>
      <c r="L186" s="435">
        <v>0</v>
      </c>
      <c r="M186" s="435">
        <f t="shared" si="134"/>
        <v>0</v>
      </c>
      <c r="N186" s="435">
        <v>0</v>
      </c>
      <c r="O186" s="435">
        <v>0</v>
      </c>
      <c r="P186" s="436">
        <v>0</v>
      </c>
      <c r="Q186" s="435">
        <f t="shared" ref="Q186" si="198">+Q187+Q188+Q189</f>
        <v>0</v>
      </c>
      <c r="R186" s="435">
        <f t="shared" si="127"/>
        <v>0</v>
      </c>
      <c r="S186" s="435">
        <f t="shared" si="128"/>
        <v>0</v>
      </c>
      <c r="T186" s="437"/>
      <c r="U186" s="435">
        <v>0</v>
      </c>
      <c r="V186" s="435">
        <f>+V187+V188+V189</f>
        <v>0</v>
      </c>
      <c r="W186" s="435">
        <f>+W187+W188+W189</f>
        <v>0</v>
      </c>
      <c r="X186" s="435">
        <f t="shared" ref="X186" si="199">+X187+X188+X189</f>
        <v>0</v>
      </c>
      <c r="Y186" s="435">
        <f t="shared" si="130"/>
        <v>0</v>
      </c>
      <c r="Z186" s="435">
        <v>0</v>
      </c>
      <c r="AA186" s="435">
        <v>0</v>
      </c>
      <c r="AB186" s="435">
        <f t="shared" ref="AB186:AM186" si="200">+AB187+AB188+AB189</f>
        <v>0</v>
      </c>
      <c r="AC186" s="435">
        <f t="shared" si="200"/>
        <v>0</v>
      </c>
      <c r="AD186" s="435">
        <f t="shared" si="200"/>
        <v>0</v>
      </c>
      <c r="AE186" s="435"/>
      <c r="AF186" s="435">
        <f t="shared" si="200"/>
        <v>0</v>
      </c>
      <c r="AG186" s="435">
        <f t="shared" si="200"/>
        <v>0</v>
      </c>
      <c r="AH186" s="419">
        <f t="shared" si="125"/>
        <v>0</v>
      </c>
      <c r="AI186" s="435">
        <f t="shared" si="200"/>
        <v>0</v>
      </c>
      <c r="AJ186" s="435">
        <f t="shared" si="200"/>
        <v>0</v>
      </c>
      <c r="AK186" s="435">
        <f t="shared" si="200"/>
        <v>0</v>
      </c>
      <c r="AL186" s="435">
        <f t="shared" si="200"/>
        <v>0</v>
      </c>
      <c r="AM186" s="435">
        <f t="shared" si="200"/>
        <v>0</v>
      </c>
      <c r="AN186" s="438"/>
      <c r="AO186" s="438"/>
      <c r="AP186" s="438"/>
    </row>
    <row r="187" spans="1:42" ht="12.75">
      <c r="A187" s="412">
        <v>185</v>
      </c>
      <c r="B187" s="431"/>
      <c r="C187" s="432" t="s">
        <v>322</v>
      </c>
      <c r="D187" s="433" t="s">
        <v>6485</v>
      </c>
      <c r="E187" s="434">
        <f>'PROSPETTO CE_IV TRIM 2024'!BM676+'PROSPETTO CE_IV TRIM 2024'!BM677+'PROSPETTO CE_IV TRIM 2024'!BM678</f>
        <v>0</v>
      </c>
      <c r="F187" s="439">
        <f>+E187</f>
        <v>0</v>
      </c>
      <c r="G187" s="439">
        <v>0</v>
      </c>
      <c r="H187" s="439">
        <v>0</v>
      </c>
      <c r="I187" s="435">
        <f t="shared" si="132"/>
        <v>0</v>
      </c>
      <c r="J187" s="435">
        <f t="shared" si="133"/>
        <v>0</v>
      </c>
      <c r="K187" s="439">
        <v>0</v>
      </c>
      <c r="L187" s="439">
        <v>0</v>
      </c>
      <c r="M187" s="439">
        <f t="shared" si="134"/>
        <v>0</v>
      </c>
      <c r="N187" s="439">
        <v>0</v>
      </c>
      <c r="O187" s="439">
        <v>0</v>
      </c>
      <c r="P187" s="440">
        <v>0</v>
      </c>
      <c r="Q187" s="439">
        <v>0</v>
      </c>
      <c r="R187" s="439">
        <f t="shared" si="127"/>
        <v>0</v>
      </c>
      <c r="S187" s="439">
        <f t="shared" si="128"/>
        <v>0</v>
      </c>
      <c r="T187" s="441"/>
      <c r="U187" s="439">
        <v>0</v>
      </c>
      <c r="V187" s="439">
        <f>+AA187</f>
        <v>0</v>
      </c>
      <c r="W187" s="439">
        <v>0</v>
      </c>
      <c r="X187" s="439">
        <v>0</v>
      </c>
      <c r="Y187" s="435">
        <f t="shared" si="130"/>
        <v>0</v>
      </c>
      <c r="Z187" s="439">
        <v>0</v>
      </c>
      <c r="AA187" s="439">
        <v>0</v>
      </c>
      <c r="AB187" s="439">
        <v>0</v>
      </c>
      <c r="AC187" s="439">
        <v>0</v>
      </c>
      <c r="AD187" s="439">
        <v>0</v>
      </c>
      <c r="AE187" s="439"/>
      <c r="AF187" s="439">
        <v>0</v>
      </c>
      <c r="AG187" s="439">
        <v>0</v>
      </c>
      <c r="AH187" s="419">
        <f t="shared" si="125"/>
        <v>0</v>
      </c>
      <c r="AI187" s="439">
        <v>0</v>
      </c>
      <c r="AJ187" s="439">
        <v>0</v>
      </c>
      <c r="AK187" s="439">
        <f>AA187-W187</f>
        <v>0</v>
      </c>
      <c r="AL187" s="439">
        <f>AA187-AF187</f>
        <v>0</v>
      </c>
      <c r="AM187" s="439">
        <f>AA187-AD187</f>
        <v>0</v>
      </c>
      <c r="AN187" s="438"/>
      <c r="AO187" s="438"/>
      <c r="AP187" s="438"/>
    </row>
    <row r="188" spans="1:42" ht="25.5">
      <c r="A188" s="412">
        <v>186</v>
      </c>
      <c r="B188" s="431" t="s">
        <v>1519</v>
      </c>
      <c r="C188" s="432" t="s">
        <v>323</v>
      </c>
      <c r="D188" s="433" t="s">
        <v>6496</v>
      </c>
      <c r="E188" s="434">
        <f>'PROSPETTO CE_IV TRIM 2024'!BM679</f>
        <v>0</v>
      </c>
      <c r="F188" s="439">
        <f>+E188</f>
        <v>0</v>
      </c>
      <c r="G188" s="439">
        <v>0</v>
      </c>
      <c r="H188" s="439">
        <v>0</v>
      </c>
      <c r="I188" s="435">
        <f t="shared" si="132"/>
        <v>0</v>
      </c>
      <c r="J188" s="435">
        <f t="shared" si="133"/>
        <v>0</v>
      </c>
      <c r="K188" s="439">
        <v>0</v>
      </c>
      <c r="L188" s="439">
        <v>0</v>
      </c>
      <c r="M188" s="439">
        <f t="shared" si="134"/>
        <v>0</v>
      </c>
      <c r="N188" s="439">
        <v>0</v>
      </c>
      <c r="O188" s="439">
        <v>0</v>
      </c>
      <c r="P188" s="440">
        <v>0</v>
      </c>
      <c r="Q188" s="439">
        <v>0</v>
      </c>
      <c r="R188" s="439">
        <f t="shared" si="127"/>
        <v>0</v>
      </c>
      <c r="S188" s="439">
        <f t="shared" si="128"/>
        <v>0</v>
      </c>
      <c r="T188" s="441"/>
      <c r="U188" s="439">
        <v>0</v>
      </c>
      <c r="V188" s="439">
        <f>+AA188</f>
        <v>0</v>
      </c>
      <c r="W188" s="439">
        <v>0</v>
      </c>
      <c r="X188" s="439">
        <v>0</v>
      </c>
      <c r="Y188" s="435">
        <f t="shared" si="130"/>
        <v>0</v>
      </c>
      <c r="Z188" s="439">
        <v>0</v>
      </c>
      <c r="AA188" s="439">
        <v>0</v>
      </c>
      <c r="AB188" s="439">
        <v>0</v>
      </c>
      <c r="AC188" s="439">
        <v>0</v>
      </c>
      <c r="AD188" s="439">
        <v>0</v>
      </c>
      <c r="AE188" s="439"/>
      <c r="AF188" s="439">
        <v>0</v>
      </c>
      <c r="AG188" s="439">
        <v>0</v>
      </c>
      <c r="AH188" s="419">
        <f t="shared" si="125"/>
        <v>0</v>
      </c>
      <c r="AI188" s="439">
        <v>0</v>
      </c>
      <c r="AJ188" s="439">
        <v>0</v>
      </c>
      <c r="AK188" s="439">
        <f>AA188-W188</f>
        <v>0</v>
      </c>
      <c r="AL188" s="439">
        <f>AA188-AF188</f>
        <v>0</v>
      </c>
      <c r="AM188" s="439">
        <f>AA188-AD188</f>
        <v>0</v>
      </c>
      <c r="AN188" s="438"/>
      <c r="AO188" s="438"/>
      <c r="AP188" s="438"/>
    </row>
    <row r="189" spans="1:42" ht="12.75">
      <c r="A189" s="412">
        <v>187</v>
      </c>
      <c r="B189" s="431" t="s">
        <v>1349</v>
      </c>
      <c r="C189" s="432" t="s">
        <v>324</v>
      </c>
      <c r="D189" s="433" t="s">
        <v>6501</v>
      </c>
      <c r="E189" s="434">
        <f>'PROSPETTO CE_IV TRIM 2024'!BM680</f>
        <v>0</v>
      </c>
      <c r="F189" s="439">
        <f>+E189</f>
        <v>0</v>
      </c>
      <c r="G189" s="439">
        <v>0</v>
      </c>
      <c r="H189" s="439">
        <v>0</v>
      </c>
      <c r="I189" s="435">
        <f t="shared" si="132"/>
        <v>0</v>
      </c>
      <c r="J189" s="435">
        <f t="shared" si="133"/>
        <v>0</v>
      </c>
      <c r="K189" s="439">
        <v>0</v>
      </c>
      <c r="L189" s="439">
        <v>0</v>
      </c>
      <c r="M189" s="439">
        <f t="shared" si="134"/>
        <v>0</v>
      </c>
      <c r="N189" s="439">
        <v>0</v>
      </c>
      <c r="O189" s="439">
        <v>0</v>
      </c>
      <c r="P189" s="440">
        <v>0</v>
      </c>
      <c r="Q189" s="439">
        <v>0</v>
      </c>
      <c r="R189" s="439">
        <f t="shared" si="127"/>
        <v>0</v>
      </c>
      <c r="S189" s="439">
        <f t="shared" si="128"/>
        <v>0</v>
      </c>
      <c r="T189" s="441"/>
      <c r="U189" s="439">
        <v>0</v>
      </c>
      <c r="V189" s="439">
        <f>+AA189</f>
        <v>0</v>
      </c>
      <c r="W189" s="439">
        <v>0</v>
      </c>
      <c r="X189" s="439">
        <v>0</v>
      </c>
      <c r="Y189" s="435">
        <f t="shared" si="130"/>
        <v>0</v>
      </c>
      <c r="Z189" s="439">
        <v>0</v>
      </c>
      <c r="AA189" s="439">
        <v>0</v>
      </c>
      <c r="AB189" s="439">
        <v>0</v>
      </c>
      <c r="AC189" s="439">
        <v>0</v>
      </c>
      <c r="AD189" s="439">
        <v>0</v>
      </c>
      <c r="AE189" s="439"/>
      <c r="AF189" s="439">
        <v>0</v>
      </c>
      <c r="AG189" s="439">
        <v>0</v>
      </c>
      <c r="AH189" s="419">
        <f t="shared" si="125"/>
        <v>0</v>
      </c>
      <c r="AI189" s="439">
        <v>0</v>
      </c>
      <c r="AJ189" s="439">
        <v>0</v>
      </c>
      <c r="AK189" s="439">
        <f>AA189-W189</f>
        <v>0</v>
      </c>
      <c r="AL189" s="439">
        <f>AA189-AF189</f>
        <v>0</v>
      </c>
      <c r="AM189" s="439">
        <f>AA189-AD189</f>
        <v>0</v>
      </c>
      <c r="AN189" s="438"/>
      <c r="AO189" s="438"/>
      <c r="AP189" s="438"/>
    </row>
    <row r="190" spans="1:42" ht="25.5">
      <c r="A190" s="412">
        <v>188</v>
      </c>
      <c r="B190" s="431"/>
      <c r="C190" s="432" t="s">
        <v>6502</v>
      </c>
      <c r="D190" s="433" t="s">
        <v>6504</v>
      </c>
      <c r="E190" s="434"/>
      <c r="F190" s="435">
        <f>+F191+F192+F193+F194+F195+F196+F197+F198+F207+F208</f>
        <v>0</v>
      </c>
      <c r="G190" s="435">
        <v>0</v>
      </c>
      <c r="H190" s="435">
        <v>0</v>
      </c>
      <c r="I190" s="435">
        <f t="shared" si="132"/>
        <v>0</v>
      </c>
      <c r="J190" s="435">
        <f t="shared" si="133"/>
        <v>0</v>
      </c>
      <c r="K190" s="435">
        <v>0</v>
      </c>
      <c r="L190" s="435">
        <v>0</v>
      </c>
      <c r="M190" s="435">
        <f t="shared" si="134"/>
        <v>0</v>
      </c>
      <c r="N190" s="435">
        <v>0</v>
      </c>
      <c r="O190" s="435">
        <v>0</v>
      </c>
      <c r="P190" s="436">
        <v>0</v>
      </c>
      <c r="Q190" s="435">
        <f t="shared" ref="Q190" si="201">+Q191+Q192+Q193+Q194+Q195+Q196+Q197+Q198+Q207+Q208</f>
        <v>0</v>
      </c>
      <c r="R190" s="435">
        <f t="shared" si="127"/>
        <v>0</v>
      </c>
      <c r="S190" s="435">
        <f t="shared" si="128"/>
        <v>0</v>
      </c>
      <c r="T190" s="437"/>
      <c r="U190" s="435">
        <v>0</v>
      </c>
      <c r="V190" s="435">
        <f>+V191+V192+V193+V194+V195+V196+V197+V198+V207+V208</f>
        <v>0</v>
      </c>
      <c r="W190" s="435">
        <f>+W191+W192+W193+W194+W195+W196+W197+W198+W207+W208</f>
        <v>0</v>
      </c>
      <c r="X190" s="435">
        <f t="shared" ref="X190" si="202">+X191+X192+X193+X194+X195+X196+X197+X198+X207+X208</f>
        <v>0</v>
      </c>
      <c r="Y190" s="435">
        <f t="shared" si="130"/>
        <v>0</v>
      </c>
      <c r="Z190" s="435">
        <v>0</v>
      </c>
      <c r="AA190" s="435">
        <v>0</v>
      </c>
      <c r="AB190" s="435">
        <f t="shared" ref="AB190:AM190" si="203">+AB191+AB192+AB193+AB194+AB195+AB196+AB197+AB198+AB207+AB208</f>
        <v>0</v>
      </c>
      <c r="AC190" s="435">
        <f t="shared" si="203"/>
        <v>0</v>
      </c>
      <c r="AD190" s="435">
        <f t="shared" si="203"/>
        <v>0</v>
      </c>
      <c r="AE190" s="435"/>
      <c r="AF190" s="435">
        <f t="shared" si="203"/>
        <v>0</v>
      </c>
      <c r="AG190" s="435">
        <f t="shared" si="203"/>
        <v>0</v>
      </c>
      <c r="AH190" s="419">
        <f t="shared" si="125"/>
        <v>0</v>
      </c>
      <c r="AI190" s="435">
        <f t="shared" si="203"/>
        <v>0</v>
      </c>
      <c r="AJ190" s="435">
        <f t="shared" si="203"/>
        <v>0</v>
      </c>
      <c r="AK190" s="435">
        <f t="shared" si="203"/>
        <v>0</v>
      </c>
      <c r="AL190" s="435">
        <f t="shared" si="203"/>
        <v>0</v>
      </c>
      <c r="AM190" s="435">
        <f t="shared" si="203"/>
        <v>0</v>
      </c>
      <c r="AN190" s="438"/>
      <c r="AO190" s="438"/>
      <c r="AP190" s="438"/>
    </row>
    <row r="191" spans="1:42" ht="25.5">
      <c r="A191" s="412">
        <v>189</v>
      </c>
      <c r="B191" s="431" t="s">
        <v>1519</v>
      </c>
      <c r="C191" s="432" t="s">
        <v>325</v>
      </c>
      <c r="D191" s="433" t="s">
        <v>6509</v>
      </c>
      <c r="E191" s="434">
        <f>'PROSPETTO CE_IV TRIM 2024'!BM682</f>
        <v>0</v>
      </c>
      <c r="F191" s="439">
        <f t="shared" ref="F191:F197" si="204">+E191</f>
        <v>0</v>
      </c>
      <c r="G191" s="439">
        <v>0</v>
      </c>
      <c r="H191" s="439">
        <v>0</v>
      </c>
      <c r="I191" s="435">
        <f t="shared" si="132"/>
        <v>0</v>
      </c>
      <c r="J191" s="435">
        <f t="shared" si="133"/>
        <v>0</v>
      </c>
      <c r="K191" s="439">
        <v>0</v>
      </c>
      <c r="L191" s="439">
        <v>0</v>
      </c>
      <c r="M191" s="439">
        <f t="shared" si="134"/>
        <v>0</v>
      </c>
      <c r="N191" s="439">
        <v>0</v>
      </c>
      <c r="O191" s="439">
        <v>0</v>
      </c>
      <c r="P191" s="440">
        <v>0</v>
      </c>
      <c r="Q191" s="439">
        <v>0</v>
      </c>
      <c r="R191" s="439">
        <f t="shared" si="127"/>
        <v>0</v>
      </c>
      <c r="S191" s="439">
        <f t="shared" si="128"/>
        <v>0</v>
      </c>
      <c r="T191" s="441"/>
      <c r="U191" s="439">
        <v>0</v>
      </c>
      <c r="V191" s="439">
        <f t="shared" ref="V191:V197" si="205">+AA191</f>
        <v>0</v>
      </c>
      <c r="W191" s="439">
        <v>0</v>
      </c>
      <c r="X191" s="439">
        <v>0</v>
      </c>
      <c r="Y191" s="435">
        <f t="shared" si="130"/>
        <v>0</v>
      </c>
      <c r="Z191" s="439">
        <v>0</v>
      </c>
      <c r="AA191" s="439">
        <v>0</v>
      </c>
      <c r="AB191" s="439">
        <v>0</v>
      </c>
      <c r="AC191" s="439">
        <v>0</v>
      </c>
      <c r="AD191" s="439">
        <v>0</v>
      </c>
      <c r="AE191" s="439"/>
      <c r="AF191" s="439">
        <v>0</v>
      </c>
      <c r="AG191" s="439">
        <v>0</v>
      </c>
      <c r="AH191" s="419">
        <f t="shared" si="125"/>
        <v>0</v>
      </c>
      <c r="AI191" s="439">
        <v>0</v>
      </c>
      <c r="AJ191" s="439">
        <v>0</v>
      </c>
      <c r="AK191" s="439">
        <f t="shared" ref="AK191:AK197" si="206">AA191-W191</f>
        <v>0</v>
      </c>
      <c r="AL191" s="439">
        <f t="shared" ref="AL191:AL197" si="207">AA191-AF191</f>
        <v>0</v>
      </c>
      <c r="AM191" s="439">
        <f t="shared" ref="AM191:AM197" si="208">AA191-AD191</f>
        <v>0</v>
      </c>
      <c r="AN191" s="438"/>
      <c r="AO191" s="438"/>
      <c r="AP191" s="438"/>
    </row>
    <row r="192" spans="1:42" ht="25.5">
      <c r="A192" s="412">
        <v>190</v>
      </c>
      <c r="B192" s="431" t="s">
        <v>1519</v>
      </c>
      <c r="C192" s="432" t="s">
        <v>6510</v>
      </c>
      <c r="D192" s="433" t="s">
        <v>11218</v>
      </c>
      <c r="E192" s="434">
        <f>'PROSPETTO CE_IV TRIM 2024'!BM683</f>
        <v>0</v>
      </c>
      <c r="F192" s="439">
        <f t="shared" si="204"/>
        <v>0</v>
      </c>
      <c r="G192" s="439">
        <v>0</v>
      </c>
      <c r="H192" s="439">
        <v>0</v>
      </c>
      <c r="I192" s="435">
        <f t="shared" si="132"/>
        <v>0</v>
      </c>
      <c r="J192" s="435">
        <f t="shared" si="133"/>
        <v>0</v>
      </c>
      <c r="K192" s="439">
        <v>0</v>
      </c>
      <c r="L192" s="439">
        <v>0</v>
      </c>
      <c r="M192" s="439">
        <f t="shared" si="134"/>
        <v>0</v>
      </c>
      <c r="N192" s="439">
        <v>0</v>
      </c>
      <c r="O192" s="439">
        <v>0</v>
      </c>
      <c r="P192" s="440">
        <v>0</v>
      </c>
      <c r="Q192" s="439">
        <v>0</v>
      </c>
      <c r="R192" s="439">
        <f t="shared" si="127"/>
        <v>0</v>
      </c>
      <c r="S192" s="439">
        <f t="shared" si="128"/>
        <v>0</v>
      </c>
      <c r="T192" s="441"/>
      <c r="U192" s="439">
        <v>0</v>
      </c>
      <c r="V192" s="439">
        <f t="shared" si="205"/>
        <v>0</v>
      </c>
      <c r="W192" s="439">
        <v>0</v>
      </c>
      <c r="X192" s="439">
        <v>0</v>
      </c>
      <c r="Y192" s="435">
        <f t="shared" si="130"/>
        <v>0</v>
      </c>
      <c r="Z192" s="439">
        <v>0</v>
      </c>
      <c r="AA192" s="439">
        <v>0</v>
      </c>
      <c r="AB192" s="439">
        <v>0</v>
      </c>
      <c r="AC192" s="439">
        <v>0</v>
      </c>
      <c r="AD192" s="439">
        <v>0</v>
      </c>
      <c r="AE192" s="439"/>
      <c r="AF192" s="439">
        <v>0</v>
      </c>
      <c r="AG192" s="439">
        <v>0</v>
      </c>
      <c r="AH192" s="419">
        <f t="shared" si="125"/>
        <v>0</v>
      </c>
      <c r="AI192" s="439">
        <v>0</v>
      </c>
      <c r="AJ192" s="439">
        <v>0</v>
      </c>
      <c r="AK192" s="439">
        <f t="shared" si="206"/>
        <v>0</v>
      </c>
      <c r="AL192" s="439">
        <f t="shared" si="207"/>
        <v>0</v>
      </c>
      <c r="AM192" s="439">
        <f t="shared" si="208"/>
        <v>0</v>
      </c>
      <c r="AN192" s="438"/>
      <c r="AO192" s="438"/>
      <c r="AP192" s="438"/>
    </row>
    <row r="193" spans="1:42" ht="12.75">
      <c r="A193" s="412">
        <v>191</v>
      </c>
      <c r="B193" s="431"/>
      <c r="C193" s="432" t="s">
        <v>326</v>
      </c>
      <c r="D193" s="433" t="s">
        <v>6520</v>
      </c>
      <c r="E193" s="434">
        <f>'PROSPETTO CE_IV TRIM 2024'!BM684</f>
        <v>0</v>
      </c>
      <c r="F193" s="439">
        <f t="shared" si="204"/>
        <v>0</v>
      </c>
      <c r="G193" s="439">
        <v>0</v>
      </c>
      <c r="H193" s="439">
        <v>0</v>
      </c>
      <c r="I193" s="435">
        <f t="shared" si="132"/>
        <v>0</v>
      </c>
      <c r="J193" s="435">
        <f t="shared" si="133"/>
        <v>0</v>
      </c>
      <c r="K193" s="439">
        <v>0</v>
      </c>
      <c r="L193" s="439">
        <v>0</v>
      </c>
      <c r="M193" s="439">
        <f t="shared" si="134"/>
        <v>0</v>
      </c>
      <c r="N193" s="439">
        <v>0</v>
      </c>
      <c r="O193" s="439">
        <v>0</v>
      </c>
      <c r="P193" s="440">
        <v>0</v>
      </c>
      <c r="Q193" s="439">
        <v>0</v>
      </c>
      <c r="R193" s="439">
        <f t="shared" si="127"/>
        <v>0</v>
      </c>
      <c r="S193" s="439">
        <f t="shared" si="128"/>
        <v>0</v>
      </c>
      <c r="T193" s="441"/>
      <c r="U193" s="439">
        <v>0</v>
      </c>
      <c r="V193" s="439">
        <f t="shared" si="205"/>
        <v>0</v>
      </c>
      <c r="W193" s="439">
        <v>0</v>
      </c>
      <c r="X193" s="439">
        <v>0</v>
      </c>
      <c r="Y193" s="435">
        <f t="shared" si="130"/>
        <v>0</v>
      </c>
      <c r="Z193" s="439">
        <v>0</v>
      </c>
      <c r="AA193" s="439">
        <v>0</v>
      </c>
      <c r="AB193" s="439">
        <v>0</v>
      </c>
      <c r="AC193" s="439">
        <v>0</v>
      </c>
      <c r="AD193" s="439">
        <v>0</v>
      </c>
      <c r="AE193" s="439"/>
      <c r="AF193" s="439">
        <v>0</v>
      </c>
      <c r="AG193" s="439">
        <v>0</v>
      </c>
      <c r="AH193" s="419">
        <f t="shared" si="125"/>
        <v>0</v>
      </c>
      <c r="AI193" s="439">
        <v>0</v>
      </c>
      <c r="AJ193" s="439">
        <v>0</v>
      </c>
      <c r="AK193" s="439">
        <f t="shared" si="206"/>
        <v>0</v>
      </c>
      <c r="AL193" s="439">
        <f t="shared" si="207"/>
        <v>0</v>
      </c>
      <c r="AM193" s="439">
        <f t="shared" si="208"/>
        <v>0</v>
      </c>
      <c r="AN193" s="438"/>
      <c r="AO193" s="438"/>
      <c r="AP193" s="438"/>
    </row>
    <row r="194" spans="1:42" ht="25.5">
      <c r="A194" s="412">
        <v>192</v>
      </c>
      <c r="B194" s="431"/>
      <c r="C194" s="432" t="s">
        <v>6521</v>
      </c>
      <c r="D194" s="433" t="s">
        <v>11219</v>
      </c>
      <c r="E194" s="434">
        <f>'PROSPETTO CE_IV TRIM 2024'!BM685</f>
        <v>0</v>
      </c>
      <c r="F194" s="439">
        <f t="shared" si="204"/>
        <v>0</v>
      </c>
      <c r="G194" s="439">
        <v>0</v>
      </c>
      <c r="H194" s="439">
        <v>0</v>
      </c>
      <c r="I194" s="435">
        <f t="shared" si="132"/>
        <v>0</v>
      </c>
      <c r="J194" s="435">
        <f t="shared" si="133"/>
        <v>0</v>
      </c>
      <c r="K194" s="439">
        <v>0</v>
      </c>
      <c r="L194" s="439">
        <v>0</v>
      </c>
      <c r="M194" s="439">
        <f t="shared" si="134"/>
        <v>0</v>
      </c>
      <c r="N194" s="439">
        <v>0</v>
      </c>
      <c r="O194" s="439">
        <v>0</v>
      </c>
      <c r="P194" s="440">
        <v>0</v>
      </c>
      <c r="Q194" s="439">
        <v>0</v>
      </c>
      <c r="R194" s="439">
        <f t="shared" si="127"/>
        <v>0</v>
      </c>
      <c r="S194" s="439">
        <f t="shared" si="128"/>
        <v>0</v>
      </c>
      <c r="T194" s="441"/>
      <c r="U194" s="439">
        <v>0</v>
      </c>
      <c r="V194" s="439">
        <f t="shared" si="205"/>
        <v>0</v>
      </c>
      <c r="W194" s="439">
        <v>0</v>
      </c>
      <c r="X194" s="439">
        <v>0</v>
      </c>
      <c r="Y194" s="435">
        <f t="shared" si="130"/>
        <v>0</v>
      </c>
      <c r="Z194" s="439">
        <v>0</v>
      </c>
      <c r="AA194" s="439">
        <v>0</v>
      </c>
      <c r="AB194" s="439">
        <v>0</v>
      </c>
      <c r="AC194" s="439">
        <v>0</v>
      </c>
      <c r="AD194" s="439">
        <v>0</v>
      </c>
      <c r="AE194" s="439"/>
      <c r="AF194" s="439">
        <v>0</v>
      </c>
      <c r="AG194" s="439">
        <v>0</v>
      </c>
      <c r="AH194" s="419">
        <f t="shared" ref="AH194:AH257" si="209">AG194-F194</f>
        <v>0</v>
      </c>
      <c r="AI194" s="439">
        <v>0</v>
      </c>
      <c r="AJ194" s="439">
        <v>0</v>
      </c>
      <c r="AK194" s="439">
        <f t="shared" si="206"/>
        <v>0</v>
      </c>
      <c r="AL194" s="439">
        <f t="shared" si="207"/>
        <v>0</v>
      </c>
      <c r="AM194" s="439">
        <f t="shared" si="208"/>
        <v>0</v>
      </c>
      <c r="AN194" s="438"/>
      <c r="AO194" s="438"/>
      <c r="AP194" s="438"/>
    </row>
    <row r="195" spans="1:42" ht="12.75">
      <c r="A195" s="412">
        <v>193</v>
      </c>
      <c r="B195" s="431" t="s">
        <v>1349</v>
      </c>
      <c r="C195" s="432" t="s">
        <v>327</v>
      </c>
      <c r="D195" s="433" t="s">
        <v>6530</v>
      </c>
      <c r="E195" s="434">
        <f>'PROSPETTO CE_IV TRIM 2024'!BM686</f>
        <v>0</v>
      </c>
      <c r="F195" s="439">
        <f t="shared" si="204"/>
        <v>0</v>
      </c>
      <c r="G195" s="439">
        <v>0</v>
      </c>
      <c r="H195" s="439">
        <v>0</v>
      </c>
      <c r="I195" s="435">
        <f t="shared" si="132"/>
        <v>0</v>
      </c>
      <c r="J195" s="435">
        <f t="shared" si="133"/>
        <v>0</v>
      </c>
      <c r="K195" s="439">
        <v>0</v>
      </c>
      <c r="L195" s="439">
        <v>0</v>
      </c>
      <c r="M195" s="439">
        <f t="shared" si="134"/>
        <v>0</v>
      </c>
      <c r="N195" s="439">
        <v>0</v>
      </c>
      <c r="O195" s="439">
        <v>0</v>
      </c>
      <c r="P195" s="440">
        <v>0</v>
      </c>
      <c r="Q195" s="439">
        <v>0</v>
      </c>
      <c r="R195" s="439">
        <f t="shared" si="127"/>
        <v>0</v>
      </c>
      <c r="S195" s="439">
        <f t="shared" si="128"/>
        <v>0</v>
      </c>
      <c r="T195" s="441"/>
      <c r="U195" s="439">
        <v>0</v>
      </c>
      <c r="V195" s="439">
        <f t="shared" si="205"/>
        <v>0</v>
      </c>
      <c r="W195" s="439">
        <v>0</v>
      </c>
      <c r="X195" s="439">
        <v>0</v>
      </c>
      <c r="Y195" s="435">
        <f t="shared" si="130"/>
        <v>0</v>
      </c>
      <c r="Z195" s="439">
        <v>0</v>
      </c>
      <c r="AA195" s="439">
        <v>0</v>
      </c>
      <c r="AB195" s="439">
        <v>0</v>
      </c>
      <c r="AC195" s="439">
        <v>0</v>
      </c>
      <c r="AD195" s="439">
        <v>0</v>
      </c>
      <c r="AE195" s="439"/>
      <c r="AF195" s="439">
        <v>0</v>
      </c>
      <c r="AG195" s="439">
        <v>0</v>
      </c>
      <c r="AH195" s="419">
        <f t="shared" si="209"/>
        <v>0</v>
      </c>
      <c r="AI195" s="439">
        <v>0</v>
      </c>
      <c r="AJ195" s="439">
        <v>0</v>
      </c>
      <c r="AK195" s="439">
        <f t="shared" si="206"/>
        <v>0</v>
      </c>
      <c r="AL195" s="439">
        <f t="shared" si="207"/>
        <v>0</v>
      </c>
      <c r="AM195" s="439">
        <f t="shared" si="208"/>
        <v>0</v>
      </c>
      <c r="AN195" s="438"/>
      <c r="AO195" s="438"/>
      <c r="AP195" s="438"/>
    </row>
    <row r="196" spans="1:42" ht="25.5">
      <c r="A196" s="412">
        <v>194</v>
      </c>
      <c r="B196" s="444" t="s">
        <v>1349</v>
      </c>
      <c r="C196" s="432" t="s">
        <v>6531</v>
      </c>
      <c r="D196" s="433" t="s">
        <v>11220</v>
      </c>
      <c r="E196" s="434">
        <f>'PROSPETTO CE_IV TRIM 2024'!BM687</f>
        <v>0</v>
      </c>
      <c r="F196" s="439">
        <f t="shared" si="204"/>
        <v>0</v>
      </c>
      <c r="G196" s="439">
        <v>0</v>
      </c>
      <c r="H196" s="439">
        <v>0</v>
      </c>
      <c r="I196" s="435">
        <f t="shared" si="132"/>
        <v>0</v>
      </c>
      <c r="J196" s="435">
        <f t="shared" si="133"/>
        <v>0</v>
      </c>
      <c r="K196" s="439">
        <v>0</v>
      </c>
      <c r="L196" s="439">
        <v>0</v>
      </c>
      <c r="M196" s="439">
        <f t="shared" si="134"/>
        <v>0</v>
      </c>
      <c r="N196" s="439">
        <v>0</v>
      </c>
      <c r="O196" s="439">
        <v>0</v>
      </c>
      <c r="P196" s="440">
        <v>0</v>
      </c>
      <c r="Q196" s="439">
        <v>0</v>
      </c>
      <c r="R196" s="439">
        <f t="shared" ref="R196:R259" si="210">P196-N196</f>
        <v>0</v>
      </c>
      <c r="S196" s="439">
        <f t="shared" ref="S196:S259" si="211">Q196-N196</f>
        <v>0</v>
      </c>
      <c r="T196" s="441"/>
      <c r="U196" s="439">
        <v>0</v>
      </c>
      <c r="V196" s="439">
        <f t="shared" si="205"/>
        <v>0</v>
      </c>
      <c r="W196" s="439">
        <v>0</v>
      </c>
      <c r="X196" s="439">
        <v>0</v>
      </c>
      <c r="Y196" s="435">
        <f t="shared" ref="Y196:Y259" si="212">F196/11*12</f>
        <v>0</v>
      </c>
      <c r="Z196" s="439">
        <v>0</v>
      </c>
      <c r="AA196" s="439">
        <v>0</v>
      </c>
      <c r="AB196" s="439">
        <v>0</v>
      </c>
      <c r="AC196" s="439">
        <v>0</v>
      </c>
      <c r="AD196" s="439">
        <v>0</v>
      </c>
      <c r="AE196" s="439"/>
      <c r="AF196" s="439">
        <v>0</v>
      </c>
      <c r="AG196" s="439">
        <v>0</v>
      </c>
      <c r="AH196" s="419">
        <f t="shared" si="209"/>
        <v>0</v>
      </c>
      <c r="AI196" s="439">
        <v>0</v>
      </c>
      <c r="AJ196" s="439">
        <v>0</v>
      </c>
      <c r="AK196" s="439">
        <f t="shared" si="206"/>
        <v>0</v>
      </c>
      <c r="AL196" s="439">
        <f t="shared" si="207"/>
        <v>0</v>
      </c>
      <c r="AM196" s="439">
        <f t="shared" si="208"/>
        <v>0</v>
      </c>
      <c r="AN196" s="438"/>
      <c r="AO196" s="438"/>
      <c r="AP196" s="438"/>
    </row>
    <row r="197" spans="1:42" ht="12.75">
      <c r="A197" s="412">
        <v>195</v>
      </c>
      <c r="B197" s="431"/>
      <c r="C197" s="432" t="s">
        <v>328</v>
      </c>
      <c r="D197" s="433" t="s">
        <v>6541</v>
      </c>
      <c r="E197" s="434">
        <f>'PROSPETTO CE_IV TRIM 2024'!BM688+'PROSPETTO CE_IV TRIM 2024'!BM689+'PROSPETTO CE_IV TRIM 2024'!BM690+'PROSPETTO CE_IV TRIM 2024'!BM691+'PROSPETTO CE_IV TRIM 2024'!BM692+'PROSPETTO CE_IV TRIM 2024'!BM693</f>
        <v>0</v>
      </c>
      <c r="F197" s="439">
        <f t="shared" si="204"/>
        <v>0</v>
      </c>
      <c r="G197" s="439">
        <v>0</v>
      </c>
      <c r="H197" s="439">
        <v>0</v>
      </c>
      <c r="I197" s="435">
        <f t="shared" ref="I197:I260" si="213">F197-H197</f>
        <v>0</v>
      </c>
      <c r="J197" s="435">
        <f t="shared" ref="J197:J260" si="214">F197-K197</f>
        <v>0</v>
      </c>
      <c r="K197" s="439">
        <v>0</v>
      </c>
      <c r="L197" s="439">
        <v>0</v>
      </c>
      <c r="M197" s="439">
        <f t="shared" ref="M197:M260" si="215">F197-P197</f>
        <v>0</v>
      </c>
      <c r="N197" s="439">
        <v>0</v>
      </c>
      <c r="O197" s="439">
        <v>0</v>
      </c>
      <c r="P197" s="440">
        <v>0</v>
      </c>
      <c r="Q197" s="439">
        <v>0</v>
      </c>
      <c r="R197" s="439">
        <f t="shared" si="210"/>
        <v>0</v>
      </c>
      <c r="S197" s="439">
        <f t="shared" si="211"/>
        <v>0</v>
      </c>
      <c r="T197" s="441"/>
      <c r="U197" s="439">
        <v>0</v>
      </c>
      <c r="V197" s="439">
        <f t="shared" si="205"/>
        <v>0</v>
      </c>
      <c r="W197" s="439">
        <v>0</v>
      </c>
      <c r="X197" s="439">
        <v>0</v>
      </c>
      <c r="Y197" s="435">
        <f t="shared" si="212"/>
        <v>0</v>
      </c>
      <c r="Z197" s="439">
        <v>0</v>
      </c>
      <c r="AA197" s="439">
        <v>0</v>
      </c>
      <c r="AB197" s="439">
        <v>0</v>
      </c>
      <c r="AC197" s="439">
        <v>0</v>
      </c>
      <c r="AD197" s="439">
        <v>0</v>
      </c>
      <c r="AE197" s="439"/>
      <c r="AF197" s="439">
        <v>0</v>
      </c>
      <c r="AG197" s="439">
        <v>0</v>
      </c>
      <c r="AH197" s="419">
        <f t="shared" si="209"/>
        <v>0</v>
      </c>
      <c r="AI197" s="439">
        <v>0</v>
      </c>
      <c r="AJ197" s="439">
        <v>0</v>
      </c>
      <c r="AK197" s="439">
        <f t="shared" si="206"/>
        <v>0</v>
      </c>
      <c r="AL197" s="439">
        <f t="shared" si="207"/>
        <v>0</v>
      </c>
      <c r="AM197" s="439">
        <f t="shared" si="208"/>
        <v>0</v>
      </c>
      <c r="AN197" s="438"/>
      <c r="AO197" s="438"/>
      <c r="AP197" s="438"/>
    </row>
    <row r="198" spans="1:42" ht="12.75">
      <c r="A198" s="412">
        <v>196</v>
      </c>
      <c r="B198" s="431"/>
      <c r="C198" s="432" t="s">
        <v>329</v>
      </c>
      <c r="D198" s="433" t="s">
        <v>11221</v>
      </c>
      <c r="E198" s="434"/>
      <c r="F198" s="435">
        <f>SUM(F199:F206)</f>
        <v>0</v>
      </c>
      <c r="G198" s="435">
        <v>0</v>
      </c>
      <c r="H198" s="435">
        <v>0</v>
      </c>
      <c r="I198" s="435">
        <f t="shared" si="213"/>
        <v>0</v>
      </c>
      <c r="J198" s="435">
        <f t="shared" si="214"/>
        <v>0</v>
      </c>
      <c r="K198" s="435">
        <v>0</v>
      </c>
      <c r="L198" s="435">
        <v>0</v>
      </c>
      <c r="M198" s="435">
        <f t="shared" si="215"/>
        <v>0</v>
      </c>
      <c r="N198" s="435">
        <v>0</v>
      </c>
      <c r="O198" s="435">
        <v>0</v>
      </c>
      <c r="P198" s="436">
        <v>0</v>
      </c>
      <c r="Q198" s="435">
        <f t="shared" ref="Q198" si="216">SUM(Q199:Q206)</f>
        <v>0</v>
      </c>
      <c r="R198" s="435">
        <f t="shared" si="210"/>
        <v>0</v>
      </c>
      <c r="S198" s="435">
        <f t="shared" si="211"/>
        <v>0</v>
      </c>
      <c r="T198" s="437"/>
      <c r="U198" s="435">
        <v>0</v>
      </c>
      <c r="V198" s="435">
        <f>SUM(V199:V206)</f>
        <v>0</v>
      </c>
      <c r="W198" s="435">
        <f>SUM(W199:W206)</f>
        <v>0</v>
      </c>
      <c r="X198" s="435">
        <f t="shared" ref="X198" si="217">SUM(X199:X206)</f>
        <v>0</v>
      </c>
      <c r="Y198" s="435">
        <f t="shared" si="212"/>
        <v>0</v>
      </c>
      <c r="Z198" s="435">
        <v>0</v>
      </c>
      <c r="AA198" s="435">
        <v>0</v>
      </c>
      <c r="AB198" s="435">
        <f t="shared" ref="AB198:AM198" si="218">SUM(AB199:AB206)</f>
        <v>0</v>
      </c>
      <c r="AC198" s="435">
        <f t="shared" si="218"/>
        <v>0</v>
      </c>
      <c r="AD198" s="435">
        <f t="shared" si="218"/>
        <v>0</v>
      </c>
      <c r="AE198" s="435"/>
      <c r="AF198" s="435">
        <f t="shared" si="218"/>
        <v>0</v>
      </c>
      <c r="AG198" s="435">
        <f t="shared" si="218"/>
        <v>0</v>
      </c>
      <c r="AH198" s="419">
        <f t="shared" si="209"/>
        <v>0</v>
      </c>
      <c r="AI198" s="435">
        <f t="shared" si="218"/>
        <v>0</v>
      </c>
      <c r="AJ198" s="435">
        <f t="shared" si="218"/>
        <v>0</v>
      </c>
      <c r="AK198" s="435">
        <f t="shared" si="218"/>
        <v>0</v>
      </c>
      <c r="AL198" s="435">
        <f t="shared" si="218"/>
        <v>0</v>
      </c>
      <c r="AM198" s="435">
        <f t="shared" si="218"/>
        <v>0</v>
      </c>
      <c r="AN198" s="438"/>
      <c r="AO198" s="438"/>
      <c r="AP198" s="438"/>
    </row>
    <row r="199" spans="1:42" ht="25.5">
      <c r="A199" s="412">
        <v>197</v>
      </c>
      <c r="B199" s="431"/>
      <c r="C199" s="432" t="s">
        <v>330</v>
      </c>
      <c r="D199" s="433" t="s">
        <v>6558</v>
      </c>
      <c r="E199" s="434">
        <f>'PROSPETTO CE_IV TRIM 2024'!BM694</f>
        <v>0</v>
      </c>
      <c r="F199" s="439">
        <f t="shared" ref="F199:F208" si="219">+E199</f>
        <v>0</v>
      </c>
      <c r="G199" s="439">
        <v>0</v>
      </c>
      <c r="H199" s="439">
        <v>0</v>
      </c>
      <c r="I199" s="435">
        <f t="shared" si="213"/>
        <v>0</v>
      </c>
      <c r="J199" s="435">
        <f t="shared" si="214"/>
        <v>0</v>
      </c>
      <c r="K199" s="439">
        <v>0</v>
      </c>
      <c r="L199" s="439">
        <v>0</v>
      </c>
      <c r="M199" s="439">
        <f t="shared" si="215"/>
        <v>0</v>
      </c>
      <c r="N199" s="439">
        <v>0</v>
      </c>
      <c r="O199" s="439">
        <v>0</v>
      </c>
      <c r="P199" s="440">
        <v>0</v>
      </c>
      <c r="Q199" s="439">
        <v>0</v>
      </c>
      <c r="R199" s="439">
        <f t="shared" si="210"/>
        <v>0</v>
      </c>
      <c r="S199" s="439">
        <f t="shared" si="211"/>
        <v>0</v>
      </c>
      <c r="T199" s="441"/>
      <c r="U199" s="439">
        <v>0</v>
      </c>
      <c r="V199" s="439">
        <f t="shared" ref="V199:V208" si="220">+AA199</f>
        <v>0</v>
      </c>
      <c r="W199" s="439">
        <v>0</v>
      </c>
      <c r="X199" s="439">
        <v>0</v>
      </c>
      <c r="Y199" s="435">
        <f t="shared" si="212"/>
        <v>0</v>
      </c>
      <c r="Z199" s="439">
        <v>0</v>
      </c>
      <c r="AA199" s="439">
        <v>0</v>
      </c>
      <c r="AB199" s="439">
        <v>0</v>
      </c>
      <c r="AC199" s="439">
        <v>0</v>
      </c>
      <c r="AD199" s="439">
        <v>0</v>
      </c>
      <c r="AE199" s="439"/>
      <c r="AF199" s="439">
        <v>0</v>
      </c>
      <c r="AG199" s="439">
        <v>0</v>
      </c>
      <c r="AH199" s="419">
        <f t="shared" si="209"/>
        <v>0</v>
      </c>
      <c r="AI199" s="439">
        <v>0</v>
      </c>
      <c r="AJ199" s="439">
        <v>0</v>
      </c>
      <c r="AK199" s="439">
        <f t="shared" ref="AK199:AK208" si="221">AA199-W199</f>
        <v>0</v>
      </c>
      <c r="AL199" s="439">
        <f t="shared" ref="AL199:AL208" si="222">AA199-AF199</f>
        <v>0</v>
      </c>
      <c r="AM199" s="439">
        <f t="shared" ref="AM199:AM208" si="223">AA199-AD199</f>
        <v>0</v>
      </c>
      <c r="AN199" s="438"/>
      <c r="AO199" s="438"/>
      <c r="AP199" s="438"/>
    </row>
    <row r="200" spans="1:42" ht="25.5">
      <c r="A200" s="412">
        <v>198</v>
      </c>
      <c r="B200" s="431"/>
      <c r="C200" s="432" t="s">
        <v>6559</v>
      </c>
      <c r="D200" s="433" t="s">
        <v>6563</v>
      </c>
      <c r="E200" s="434">
        <f>'PROSPETTO CE_IV TRIM 2024'!BM695</f>
        <v>0</v>
      </c>
      <c r="F200" s="439">
        <f t="shared" si="219"/>
        <v>0</v>
      </c>
      <c r="G200" s="439">
        <v>0</v>
      </c>
      <c r="H200" s="439">
        <v>0</v>
      </c>
      <c r="I200" s="435">
        <f t="shared" si="213"/>
        <v>0</v>
      </c>
      <c r="J200" s="435">
        <f t="shared" si="214"/>
        <v>0</v>
      </c>
      <c r="K200" s="439">
        <v>0</v>
      </c>
      <c r="L200" s="439">
        <v>0</v>
      </c>
      <c r="M200" s="439">
        <f t="shared" si="215"/>
        <v>0</v>
      </c>
      <c r="N200" s="439">
        <v>0</v>
      </c>
      <c r="O200" s="439">
        <v>0</v>
      </c>
      <c r="P200" s="440">
        <v>0</v>
      </c>
      <c r="Q200" s="439">
        <v>0</v>
      </c>
      <c r="R200" s="439">
        <f t="shared" si="210"/>
        <v>0</v>
      </c>
      <c r="S200" s="439">
        <f t="shared" si="211"/>
        <v>0</v>
      </c>
      <c r="T200" s="441"/>
      <c r="U200" s="439">
        <v>0</v>
      </c>
      <c r="V200" s="439">
        <f t="shared" si="220"/>
        <v>0</v>
      </c>
      <c r="W200" s="439">
        <v>0</v>
      </c>
      <c r="X200" s="439">
        <v>0</v>
      </c>
      <c r="Y200" s="435">
        <f t="shared" si="212"/>
        <v>0</v>
      </c>
      <c r="Z200" s="439">
        <v>0</v>
      </c>
      <c r="AA200" s="439">
        <v>0</v>
      </c>
      <c r="AB200" s="439">
        <v>0</v>
      </c>
      <c r="AC200" s="439">
        <v>0</v>
      </c>
      <c r="AD200" s="439">
        <v>0</v>
      </c>
      <c r="AE200" s="439"/>
      <c r="AF200" s="439">
        <v>0</v>
      </c>
      <c r="AG200" s="439">
        <v>0</v>
      </c>
      <c r="AH200" s="419">
        <f t="shared" si="209"/>
        <v>0</v>
      </c>
      <c r="AI200" s="439">
        <v>0</v>
      </c>
      <c r="AJ200" s="439">
        <v>0</v>
      </c>
      <c r="AK200" s="439">
        <f t="shared" si="221"/>
        <v>0</v>
      </c>
      <c r="AL200" s="439">
        <f t="shared" si="222"/>
        <v>0</v>
      </c>
      <c r="AM200" s="439">
        <f t="shared" si="223"/>
        <v>0</v>
      </c>
      <c r="AN200" s="438"/>
      <c r="AO200" s="438"/>
      <c r="AP200" s="438"/>
    </row>
    <row r="201" spans="1:42" ht="25.5">
      <c r="A201" s="412">
        <v>199</v>
      </c>
      <c r="B201" s="431"/>
      <c r="C201" s="432" t="s">
        <v>332</v>
      </c>
      <c r="D201" s="433" t="s">
        <v>11222</v>
      </c>
      <c r="E201" s="434">
        <f>'PROSPETTO CE_IV TRIM 2024'!BM696</f>
        <v>0</v>
      </c>
      <c r="F201" s="439">
        <f t="shared" si="219"/>
        <v>0</v>
      </c>
      <c r="G201" s="439">
        <v>0</v>
      </c>
      <c r="H201" s="439">
        <v>0</v>
      </c>
      <c r="I201" s="435">
        <f t="shared" si="213"/>
        <v>0</v>
      </c>
      <c r="J201" s="435">
        <f t="shared" si="214"/>
        <v>0</v>
      </c>
      <c r="K201" s="439">
        <v>0</v>
      </c>
      <c r="L201" s="439">
        <v>0</v>
      </c>
      <c r="M201" s="439">
        <f t="shared" si="215"/>
        <v>0</v>
      </c>
      <c r="N201" s="439">
        <v>0</v>
      </c>
      <c r="O201" s="439">
        <v>0</v>
      </c>
      <c r="P201" s="440">
        <v>0</v>
      </c>
      <c r="Q201" s="439">
        <v>0</v>
      </c>
      <c r="R201" s="439">
        <f t="shared" si="210"/>
        <v>0</v>
      </c>
      <c r="S201" s="439">
        <f t="shared" si="211"/>
        <v>0</v>
      </c>
      <c r="T201" s="441"/>
      <c r="U201" s="439">
        <v>0</v>
      </c>
      <c r="V201" s="439">
        <f t="shared" si="220"/>
        <v>0</v>
      </c>
      <c r="W201" s="439">
        <v>0</v>
      </c>
      <c r="X201" s="439">
        <v>0</v>
      </c>
      <c r="Y201" s="435">
        <f t="shared" si="212"/>
        <v>0</v>
      </c>
      <c r="Z201" s="439">
        <v>0</v>
      </c>
      <c r="AA201" s="439">
        <v>0</v>
      </c>
      <c r="AB201" s="439">
        <v>0</v>
      </c>
      <c r="AC201" s="439">
        <v>0</v>
      </c>
      <c r="AD201" s="439">
        <v>0</v>
      </c>
      <c r="AE201" s="439"/>
      <c r="AF201" s="439">
        <v>0</v>
      </c>
      <c r="AG201" s="439">
        <v>0</v>
      </c>
      <c r="AH201" s="419">
        <f t="shared" si="209"/>
        <v>0</v>
      </c>
      <c r="AI201" s="439">
        <v>0</v>
      </c>
      <c r="AJ201" s="439">
        <v>0</v>
      </c>
      <c r="AK201" s="439">
        <f t="shared" si="221"/>
        <v>0</v>
      </c>
      <c r="AL201" s="439">
        <f t="shared" si="222"/>
        <v>0</v>
      </c>
      <c r="AM201" s="439">
        <f t="shared" si="223"/>
        <v>0</v>
      </c>
      <c r="AN201" s="438"/>
      <c r="AO201" s="438"/>
      <c r="AP201" s="438"/>
    </row>
    <row r="202" spans="1:42" ht="25.5">
      <c r="A202" s="412">
        <v>200</v>
      </c>
      <c r="B202" s="431"/>
      <c r="C202" s="432" t="s">
        <v>6568</v>
      </c>
      <c r="D202" s="433" t="s">
        <v>6572</v>
      </c>
      <c r="E202" s="434">
        <f>'PROSPETTO CE_IV TRIM 2024'!BM697</f>
        <v>0</v>
      </c>
      <c r="F202" s="439">
        <f t="shared" si="219"/>
        <v>0</v>
      </c>
      <c r="G202" s="439">
        <v>0</v>
      </c>
      <c r="H202" s="439">
        <v>0</v>
      </c>
      <c r="I202" s="435">
        <f t="shared" si="213"/>
        <v>0</v>
      </c>
      <c r="J202" s="435">
        <f t="shared" si="214"/>
        <v>0</v>
      </c>
      <c r="K202" s="439">
        <v>0</v>
      </c>
      <c r="L202" s="439">
        <v>0</v>
      </c>
      <c r="M202" s="439">
        <f t="shared" si="215"/>
        <v>0</v>
      </c>
      <c r="N202" s="439">
        <v>0</v>
      </c>
      <c r="O202" s="439">
        <v>0</v>
      </c>
      <c r="P202" s="440">
        <v>0</v>
      </c>
      <c r="Q202" s="439">
        <v>0</v>
      </c>
      <c r="R202" s="439">
        <f t="shared" si="210"/>
        <v>0</v>
      </c>
      <c r="S202" s="439">
        <f t="shared" si="211"/>
        <v>0</v>
      </c>
      <c r="T202" s="441"/>
      <c r="U202" s="439">
        <v>0</v>
      </c>
      <c r="V202" s="439">
        <f t="shared" si="220"/>
        <v>0</v>
      </c>
      <c r="W202" s="439">
        <v>0</v>
      </c>
      <c r="X202" s="439">
        <v>0</v>
      </c>
      <c r="Y202" s="435">
        <f t="shared" si="212"/>
        <v>0</v>
      </c>
      <c r="Z202" s="439">
        <v>0</v>
      </c>
      <c r="AA202" s="439">
        <v>0</v>
      </c>
      <c r="AB202" s="439">
        <v>0</v>
      </c>
      <c r="AC202" s="439">
        <v>0</v>
      </c>
      <c r="AD202" s="439">
        <v>0</v>
      </c>
      <c r="AE202" s="439"/>
      <c r="AF202" s="439">
        <v>0</v>
      </c>
      <c r="AG202" s="439">
        <v>0</v>
      </c>
      <c r="AH202" s="419">
        <f t="shared" si="209"/>
        <v>0</v>
      </c>
      <c r="AI202" s="439">
        <v>0</v>
      </c>
      <c r="AJ202" s="439">
        <v>0</v>
      </c>
      <c r="AK202" s="439">
        <f t="shared" si="221"/>
        <v>0</v>
      </c>
      <c r="AL202" s="439">
        <f t="shared" si="222"/>
        <v>0</v>
      </c>
      <c r="AM202" s="439">
        <f t="shared" si="223"/>
        <v>0</v>
      </c>
      <c r="AN202" s="438"/>
      <c r="AO202" s="438"/>
      <c r="AP202" s="438"/>
    </row>
    <row r="203" spans="1:42" ht="25.5">
      <c r="A203" s="412">
        <v>201</v>
      </c>
      <c r="B203" s="431"/>
      <c r="C203" s="432" t="s">
        <v>333</v>
      </c>
      <c r="D203" s="433" t="s">
        <v>6576</v>
      </c>
      <c r="E203" s="434">
        <f>'PROSPETTO CE_IV TRIM 2024'!BM698</f>
        <v>0</v>
      </c>
      <c r="F203" s="439">
        <f t="shared" si="219"/>
        <v>0</v>
      </c>
      <c r="G203" s="439">
        <v>0</v>
      </c>
      <c r="H203" s="439">
        <v>0</v>
      </c>
      <c r="I203" s="435">
        <f t="shared" si="213"/>
        <v>0</v>
      </c>
      <c r="J203" s="435">
        <f t="shared" si="214"/>
        <v>0</v>
      </c>
      <c r="K203" s="439">
        <v>0</v>
      </c>
      <c r="L203" s="439">
        <v>0</v>
      </c>
      <c r="M203" s="439">
        <f t="shared" si="215"/>
        <v>0</v>
      </c>
      <c r="N203" s="439">
        <v>0</v>
      </c>
      <c r="O203" s="439">
        <v>0</v>
      </c>
      <c r="P203" s="440">
        <v>0</v>
      </c>
      <c r="Q203" s="439">
        <v>0</v>
      </c>
      <c r="R203" s="439">
        <f t="shared" si="210"/>
        <v>0</v>
      </c>
      <c r="S203" s="439">
        <f t="shared" si="211"/>
        <v>0</v>
      </c>
      <c r="T203" s="441"/>
      <c r="U203" s="439">
        <v>0</v>
      </c>
      <c r="V203" s="439">
        <f t="shared" si="220"/>
        <v>0</v>
      </c>
      <c r="W203" s="439">
        <v>0</v>
      </c>
      <c r="X203" s="439">
        <v>0</v>
      </c>
      <c r="Y203" s="435">
        <f t="shared" si="212"/>
        <v>0</v>
      </c>
      <c r="Z203" s="439">
        <v>0</v>
      </c>
      <c r="AA203" s="439">
        <v>0</v>
      </c>
      <c r="AB203" s="439">
        <v>0</v>
      </c>
      <c r="AC203" s="439">
        <v>0</v>
      </c>
      <c r="AD203" s="439">
        <v>0</v>
      </c>
      <c r="AE203" s="439"/>
      <c r="AF203" s="439">
        <v>0</v>
      </c>
      <c r="AG203" s="439">
        <v>0</v>
      </c>
      <c r="AH203" s="419">
        <f t="shared" si="209"/>
        <v>0</v>
      </c>
      <c r="AI203" s="439">
        <v>0</v>
      </c>
      <c r="AJ203" s="439">
        <v>0</v>
      </c>
      <c r="AK203" s="439">
        <f t="shared" si="221"/>
        <v>0</v>
      </c>
      <c r="AL203" s="439">
        <f t="shared" si="222"/>
        <v>0</v>
      </c>
      <c r="AM203" s="439">
        <f t="shared" si="223"/>
        <v>0</v>
      </c>
      <c r="AN203" s="438"/>
      <c r="AO203" s="438"/>
      <c r="AP203" s="438"/>
    </row>
    <row r="204" spans="1:42" ht="25.5">
      <c r="A204" s="412">
        <v>202</v>
      </c>
      <c r="B204" s="431"/>
      <c r="C204" s="432" t="s">
        <v>6577</v>
      </c>
      <c r="D204" s="433" t="s">
        <v>6581</v>
      </c>
      <c r="E204" s="434">
        <f>'PROSPETTO CE_IV TRIM 2024'!BM699</f>
        <v>0</v>
      </c>
      <c r="F204" s="439">
        <f t="shared" si="219"/>
        <v>0</v>
      </c>
      <c r="G204" s="439">
        <v>0</v>
      </c>
      <c r="H204" s="439">
        <v>0</v>
      </c>
      <c r="I204" s="435">
        <f t="shared" si="213"/>
        <v>0</v>
      </c>
      <c r="J204" s="435">
        <f t="shared" si="214"/>
        <v>0</v>
      </c>
      <c r="K204" s="439">
        <v>0</v>
      </c>
      <c r="L204" s="439">
        <v>0</v>
      </c>
      <c r="M204" s="439">
        <f t="shared" si="215"/>
        <v>0</v>
      </c>
      <c r="N204" s="439">
        <v>0</v>
      </c>
      <c r="O204" s="439">
        <v>0</v>
      </c>
      <c r="P204" s="440">
        <v>0</v>
      </c>
      <c r="Q204" s="439">
        <v>0</v>
      </c>
      <c r="R204" s="439">
        <f t="shared" si="210"/>
        <v>0</v>
      </c>
      <c r="S204" s="439">
        <f t="shared" si="211"/>
        <v>0</v>
      </c>
      <c r="T204" s="441"/>
      <c r="U204" s="439">
        <v>0</v>
      </c>
      <c r="V204" s="439">
        <f t="shared" si="220"/>
        <v>0</v>
      </c>
      <c r="W204" s="439">
        <v>0</v>
      </c>
      <c r="X204" s="439">
        <v>0</v>
      </c>
      <c r="Y204" s="435">
        <f t="shared" si="212"/>
        <v>0</v>
      </c>
      <c r="Z204" s="439">
        <v>0</v>
      </c>
      <c r="AA204" s="439">
        <v>0</v>
      </c>
      <c r="AB204" s="439">
        <v>0</v>
      </c>
      <c r="AC204" s="439">
        <v>0</v>
      </c>
      <c r="AD204" s="439">
        <v>0</v>
      </c>
      <c r="AE204" s="439"/>
      <c r="AF204" s="439">
        <v>0</v>
      </c>
      <c r="AG204" s="439">
        <v>0</v>
      </c>
      <c r="AH204" s="419">
        <f t="shared" si="209"/>
        <v>0</v>
      </c>
      <c r="AI204" s="439">
        <v>0</v>
      </c>
      <c r="AJ204" s="439">
        <v>0</v>
      </c>
      <c r="AK204" s="439">
        <f t="shared" si="221"/>
        <v>0</v>
      </c>
      <c r="AL204" s="439">
        <f t="shared" si="222"/>
        <v>0</v>
      </c>
      <c r="AM204" s="439">
        <f t="shared" si="223"/>
        <v>0</v>
      </c>
      <c r="AN204" s="438"/>
      <c r="AO204" s="438"/>
      <c r="AP204" s="438"/>
    </row>
    <row r="205" spans="1:42" ht="25.5">
      <c r="A205" s="412">
        <v>203</v>
      </c>
      <c r="B205" s="431"/>
      <c r="C205" s="432" t="s">
        <v>334</v>
      </c>
      <c r="D205" s="433" t="s">
        <v>11223</v>
      </c>
      <c r="E205" s="434">
        <f>'PROSPETTO CE_IV TRIM 2024'!BM700</f>
        <v>0</v>
      </c>
      <c r="F205" s="439">
        <f t="shared" si="219"/>
        <v>0</v>
      </c>
      <c r="G205" s="439">
        <v>0</v>
      </c>
      <c r="H205" s="439">
        <v>0</v>
      </c>
      <c r="I205" s="435">
        <f t="shared" si="213"/>
        <v>0</v>
      </c>
      <c r="J205" s="435">
        <f t="shared" si="214"/>
        <v>0</v>
      </c>
      <c r="K205" s="439">
        <v>0</v>
      </c>
      <c r="L205" s="439">
        <v>0</v>
      </c>
      <c r="M205" s="439">
        <f t="shared" si="215"/>
        <v>0</v>
      </c>
      <c r="N205" s="439">
        <v>0</v>
      </c>
      <c r="O205" s="439">
        <v>0</v>
      </c>
      <c r="P205" s="440">
        <v>0</v>
      </c>
      <c r="Q205" s="439">
        <v>0</v>
      </c>
      <c r="R205" s="439">
        <f t="shared" si="210"/>
        <v>0</v>
      </c>
      <c r="S205" s="439">
        <f t="shared" si="211"/>
        <v>0</v>
      </c>
      <c r="T205" s="441"/>
      <c r="U205" s="439">
        <v>0</v>
      </c>
      <c r="V205" s="439">
        <f t="shared" si="220"/>
        <v>0</v>
      </c>
      <c r="W205" s="439">
        <v>0</v>
      </c>
      <c r="X205" s="439">
        <v>0</v>
      </c>
      <c r="Y205" s="435">
        <f t="shared" si="212"/>
        <v>0</v>
      </c>
      <c r="Z205" s="439">
        <v>0</v>
      </c>
      <c r="AA205" s="439">
        <v>0</v>
      </c>
      <c r="AB205" s="439">
        <v>0</v>
      </c>
      <c r="AC205" s="439">
        <v>0</v>
      </c>
      <c r="AD205" s="439">
        <v>0</v>
      </c>
      <c r="AE205" s="439"/>
      <c r="AF205" s="439">
        <v>0</v>
      </c>
      <c r="AG205" s="439">
        <v>0</v>
      </c>
      <c r="AH205" s="419">
        <f t="shared" si="209"/>
        <v>0</v>
      </c>
      <c r="AI205" s="439">
        <v>0</v>
      </c>
      <c r="AJ205" s="439">
        <v>0</v>
      </c>
      <c r="AK205" s="439">
        <f t="shared" si="221"/>
        <v>0</v>
      </c>
      <c r="AL205" s="439">
        <f t="shared" si="222"/>
        <v>0</v>
      </c>
      <c r="AM205" s="439">
        <f t="shared" si="223"/>
        <v>0</v>
      </c>
      <c r="AN205" s="438"/>
      <c r="AO205" s="438"/>
      <c r="AP205" s="438"/>
    </row>
    <row r="206" spans="1:42" ht="25.5">
      <c r="A206" s="412">
        <v>204</v>
      </c>
      <c r="B206" s="431"/>
      <c r="C206" s="432" t="s">
        <v>6586</v>
      </c>
      <c r="D206" s="433" t="s">
        <v>6591</v>
      </c>
      <c r="E206" s="434">
        <f>'PROSPETTO CE_IV TRIM 2024'!BM701</f>
        <v>0</v>
      </c>
      <c r="F206" s="439">
        <f t="shared" si="219"/>
        <v>0</v>
      </c>
      <c r="G206" s="439">
        <v>0</v>
      </c>
      <c r="H206" s="439">
        <v>0</v>
      </c>
      <c r="I206" s="435">
        <f t="shared" si="213"/>
        <v>0</v>
      </c>
      <c r="J206" s="435">
        <f t="shared" si="214"/>
        <v>0</v>
      </c>
      <c r="K206" s="439">
        <v>0</v>
      </c>
      <c r="L206" s="439">
        <v>0</v>
      </c>
      <c r="M206" s="439">
        <f t="shared" si="215"/>
        <v>0</v>
      </c>
      <c r="N206" s="439">
        <v>0</v>
      </c>
      <c r="O206" s="439">
        <v>0</v>
      </c>
      <c r="P206" s="440">
        <v>0</v>
      </c>
      <c r="Q206" s="439">
        <v>0</v>
      </c>
      <c r="R206" s="439">
        <f t="shared" si="210"/>
        <v>0</v>
      </c>
      <c r="S206" s="439">
        <f t="shared" si="211"/>
        <v>0</v>
      </c>
      <c r="T206" s="441"/>
      <c r="U206" s="439">
        <v>0</v>
      </c>
      <c r="V206" s="439">
        <f t="shared" si="220"/>
        <v>0</v>
      </c>
      <c r="W206" s="439">
        <v>0</v>
      </c>
      <c r="X206" s="439">
        <v>0</v>
      </c>
      <c r="Y206" s="435">
        <f t="shared" si="212"/>
        <v>0</v>
      </c>
      <c r="Z206" s="439">
        <v>0</v>
      </c>
      <c r="AA206" s="439">
        <v>0</v>
      </c>
      <c r="AB206" s="439">
        <v>0</v>
      </c>
      <c r="AC206" s="439">
        <v>0</v>
      </c>
      <c r="AD206" s="439">
        <v>0</v>
      </c>
      <c r="AE206" s="439"/>
      <c r="AF206" s="439">
        <v>0</v>
      </c>
      <c r="AG206" s="439">
        <v>0</v>
      </c>
      <c r="AH206" s="419">
        <f t="shared" si="209"/>
        <v>0</v>
      </c>
      <c r="AI206" s="439">
        <v>0</v>
      </c>
      <c r="AJ206" s="439">
        <v>0</v>
      </c>
      <c r="AK206" s="439">
        <f t="shared" si="221"/>
        <v>0</v>
      </c>
      <c r="AL206" s="439">
        <f t="shared" si="222"/>
        <v>0</v>
      </c>
      <c r="AM206" s="439">
        <f t="shared" si="223"/>
        <v>0</v>
      </c>
      <c r="AN206" s="438"/>
      <c r="AO206" s="438"/>
      <c r="AP206" s="438"/>
    </row>
    <row r="207" spans="1:42" ht="25.5">
      <c r="A207" s="412">
        <v>205</v>
      </c>
      <c r="B207" s="431"/>
      <c r="C207" s="432" t="s">
        <v>336</v>
      </c>
      <c r="D207" s="433" t="s">
        <v>6596</v>
      </c>
      <c r="E207" s="434">
        <f>'PROSPETTO CE_IV TRIM 2024'!BM702</f>
        <v>0</v>
      </c>
      <c r="F207" s="439">
        <f t="shared" si="219"/>
        <v>0</v>
      </c>
      <c r="G207" s="439">
        <v>0</v>
      </c>
      <c r="H207" s="439">
        <v>0</v>
      </c>
      <c r="I207" s="435">
        <f t="shared" si="213"/>
        <v>0</v>
      </c>
      <c r="J207" s="435">
        <f t="shared" si="214"/>
        <v>0</v>
      </c>
      <c r="K207" s="439">
        <v>0</v>
      </c>
      <c r="L207" s="439">
        <v>0</v>
      </c>
      <c r="M207" s="439">
        <f t="shared" si="215"/>
        <v>0</v>
      </c>
      <c r="N207" s="439">
        <v>0</v>
      </c>
      <c r="O207" s="439">
        <v>0</v>
      </c>
      <c r="P207" s="440">
        <v>0</v>
      </c>
      <c r="Q207" s="439">
        <v>0</v>
      </c>
      <c r="R207" s="439">
        <f t="shared" si="210"/>
        <v>0</v>
      </c>
      <c r="S207" s="439">
        <f t="shared" si="211"/>
        <v>0</v>
      </c>
      <c r="T207" s="441"/>
      <c r="U207" s="439">
        <v>0</v>
      </c>
      <c r="V207" s="439">
        <f t="shared" si="220"/>
        <v>0</v>
      </c>
      <c r="W207" s="439">
        <v>0</v>
      </c>
      <c r="X207" s="439">
        <v>0</v>
      </c>
      <c r="Y207" s="435">
        <f t="shared" si="212"/>
        <v>0</v>
      </c>
      <c r="Z207" s="439">
        <v>0</v>
      </c>
      <c r="AA207" s="439">
        <v>0</v>
      </c>
      <c r="AB207" s="439">
        <v>0</v>
      </c>
      <c r="AC207" s="439">
        <v>0</v>
      </c>
      <c r="AD207" s="439">
        <v>0</v>
      </c>
      <c r="AE207" s="439"/>
      <c r="AF207" s="439">
        <v>0</v>
      </c>
      <c r="AG207" s="439">
        <v>0</v>
      </c>
      <c r="AH207" s="419">
        <f t="shared" si="209"/>
        <v>0</v>
      </c>
      <c r="AI207" s="439">
        <v>0</v>
      </c>
      <c r="AJ207" s="439">
        <v>0</v>
      </c>
      <c r="AK207" s="439">
        <f t="shared" si="221"/>
        <v>0</v>
      </c>
      <c r="AL207" s="439">
        <f t="shared" si="222"/>
        <v>0</v>
      </c>
      <c r="AM207" s="439">
        <f t="shared" si="223"/>
        <v>0</v>
      </c>
      <c r="AN207" s="438"/>
      <c r="AO207" s="438"/>
      <c r="AP207" s="438"/>
    </row>
    <row r="208" spans="1:42" ht="38.25">
      <c r="A208" s="412">
        <v>206</v>
      </c>
      <c r="B208" s="431"/>
      <c r="C208" s="432" t="s">
        <v>6597</v>
      </c>
      <c r="D208" s="433" t="s">
        <v>6601</v>
      </c>
      <c r="E208" s="434">
        <f>'PROSPETTO CE_IV TRIM 2024'!BM703</f>
        <v>0</v>
      </c>
      <c r="F208" s="439">
        <f t="shared" si="219"/>
        <v>0</v>
      </c>
      <c r="G208" s="439">
        <v>0</v>
      </c>
      <c r="H208" s="439">
        <v>0</v>
      </c>
      <c r="I208" s="435">
        <f t="shared" si="213"/>
        <v>0</v>
      </c>
      <c r="J208" s="435">
        <f t="shared" si="214"/>
        <v>0</v>
      </c>
      <c r="K208" s="439">
        <v>0</v>
      </c>
      <c r="L208" s="439">
        <v>0</v>
      </c>
      <c r="M208" s="439">
        <f t="shared" si="215"/>
        <v>0</v>
      </c>
      <c r="N208" s="439">
        <v>0</v>
      </c>
      <c r="O208" s="439">
        <v>0</v>
      </c>
      <c r="P208" s="440">
        <v>0</v>
      </c>
      <c r="Q208" s="439">
        <v>0</v>
      </c>
      <c r="R208" s="439">
        <f t="shared" si="210"/>
        <v>0</v>
      </c>
      <c r="S208" s="439">
        <f t="shared" si="211"/>
        <v>0</v>
      </c>
      <c r="T208" s="441"/>
      <c r="U208" s="439">
        <v>0</v>
      </c>
      <c r="V208" s="439">
        <f t="shared" si="220"/>
        <v>0</v>
      </c>
      <c r="W208" s="439">
        <v>0</v>
      </c>
      <c r="X208" s="439">
        <v>0</v>
      </c>
      <c r="Y208" s="435">
        <f t="shared" si="212"/>
        <v>0</v>
      </c>
      <c r="Z208" s="439">
        <v>0</v>
      </c>
      <c r="AA208" s="439">
        <v>0</v>
      </c>
      <c r="AB208" s="439">
        <v>0</v>
      </c>
      <c r="AC208" s="439">
        <v>0</v>
      </c>
      <c r="AD208" s="439">
        <v>0</v>
      </c>
      <c r="AE208" s="439"/>
      <c r="AF208" s="439">
        <v>0</v>
      </c>
      <c r="AG208" s="439">
        <v>0</v>
      </c>
      <c r="AH208" s="419">
        <f t="shared" si="209"/>
        <v>0</v>
      </c>
      <c r="AI208" s="439">
        <v>0</v>
      </c>
      <c r="AJ208" s="439">
        <v>0</v>
      </c>
      <c r="AK208" s="439">
        <f t="shared" si="221"/>
        <v>0</v>
      </c>
      <c r="AL208" s="439">
        <f t="shared" si="222"/>
        <v>0</v>
      </c>
      <c r="AM208" s="439">
        <f t="shared" si="223"/>
        <v>0</v>
      </c>
      <c r="AN208" s="438"/>
      <c r="AO208" s="438"/>
      <c r="AP208" s="438"/>
    </row>
    <row r="209" spans="1:42" ht="12.75">
      <c r="A209" s="412">
        <v>207</v>
      </c>
      <c r="B209" s="431"/>
      <c r="C209" s="432" t="s">
        <v>6602</v>
      </c>
      <c r="D209" s="433" t="s">
        <v>6604</v>
      </c>
      <c r="E209" s="434"/>
      <c r="F209" s="435">
        <f>SUM(F210:F214)</f>
        <v>0</v>
      </c>
      <c r="G209" s="435">
        <v>0</v>
      </c>
      <c r="H209" s="435">
        <v>0</v>
      </c>
      <c r="I209" s="435">
        <f t="shared" si="213"/>
        <v>0</v>
      </c>
      <c r="J209" s="435">
        <f t="shared" si="214"/>
        <v>0</v>
      </c>
      <c r="K209" s="435">
        <v>0</v>
      </c>
      <c r="L209" s="435">
        <v>0</v>
      </c>
      <c r="M209" s="435">
        <f t="shared" si="215"/>
        <v>0</v>
      </c>
      <c r="N209" s="435">
        <v>0</v>
      </c>
      <c r="O209" s="435">
        <v>0</v>
      </c>
      <c r="P209" s="436">
        <v>0</v>
      </c>
      <c r="Q209" s="435">
        <f t="shared" ref="Q209" si="224">SUM(Q210:Q214)</f>
        <v>0</v>
      </c>
      <c r="R209" s="435">
        <f t="shared" si="210"/>
        <v>0</v>
      </c>
      <c r="S209" s="435">
        <f t="shared" si="211"/>
        <v>0</v>
      </c>
      <c r="T209" s="437"/>
      <c r="U209" s="435">
        <v>0</v>
      </c>
      <c r="V209" s="435">
        <f>SUM(V210:V214)</f>
        <v>0</v>
      </c>
      <c r="W209" s="435">
        <f>SUM(W210:W214)</f>
        <v>0</v>
      </c>
      <c r="X209" s="435">
        <f t="shared" ref="X209" si="225">SUM(X210:X214)</f>
        <v>0</v>
      </c>
      <c r="Y209" s="435">
        <f t="shared" si="212"/>
        <v>0</v>
      </c>
      <c r="Z209" s="435">
        <v>0</v>
      </c>
      <c r="AA209" s="435">
        <v>0</v>
      </c>
      <c r="AB209" s="435">
        <f t="shared" ref="AB209:AM209" si="226">SUM(AB210:AB214)</f>
        <v>0</v>
      </c>
      <c r="AC209" s="435">
        <f t="shared" si="226"/>
        <v>0</v>
      </c>
      <c r="AD209" s="435">
        <f t="shared" si="226"/>
        <v>0</v>
      </c>
      <c r="AE209" s="435"/>
      <c r="AF209" s="435">
        <f t="shared" si="226"/>
        <v>0</v>
      </c>
      <c r="AG209" s="435">
        <f t="shared" si="226"/>
        <v>0</v>
      </c>
      <c r="AH209" s="419">
        <f t="shared" si="209"/>
        <v>0</v>
      </c>
      <c r="AI209" s="435">
        <f t="shared" si="226"/>
        <v>0</v>
      </c>
      <c r="AJ209" s="435">
        <f t="shared" si="226"/>
        <v>0</v>
      </c>
      <c r="AK209" s="435">
        <f t="shared" si="226"/>
        <v>0</v>
      </c>
      <c r="AL209" s="435">
        <f t="shared" si="226"/>
        <v>0</v>
      </c>
      <c r="AM209" s="435">
        <f t="shared" si="226"/>
        <v>0</v>
      </c>
      <c r="AN209" s="438"/>
      <c r="AO209" s="438"/>
      <c r="AP209" s="438"/>
    </row>
    <row r="210" spans="1:42" ht="25.5">
      <c r="A210" s="412">
        <v>208</v>
      </c>
      <c r="B210" s="431" t="s">
        <v>1519</v>
      </c>
      <c r="C210" s="432" t="s">
        <v>337</v>
      </c>
      <c r="D210" s="433" t="s">
        <v>6608</v>
      </c>
      <c r="E210" s="434">
        <f>'PROSPETTO CE_IV TRIM 2024'!BM705</f>
        <v>0</v>
      </c>
      <c r="F210" s="439">
        <f>+E210</f>
        <v>0</v>
      </c>
      <c r="G210" s="439">
        <v>0</v>
      </c>
      <c r="H210" s="439">
        <v>0</v>
      </c>
      <c r="I210" s="435">
        <f t="shared" si="213"/>
        <v>0</v>
      </c>
      <c r="J210" s="435">
        <f t="shared" si="214"/>
        <v>0</v>
      </c>
      <c r="K210" s="439">
        <v>0</v>
      </c>
      <c r="L210" s="439">
        <v>0</v>
      </c>
      <c r="M210" s="439">
        <f t="shared" si="215"/>
        <v>0</v>
      </c>
      <c r="N210" s="439">
        <v>0</v>
      </c>
      <c r="O210" s="439">
        <v>0</v>
      </c>
      <c r="P210" s="440">
        <v>0</v>
      </c>
      <c r="Q210" s="439">
        <v>0</v>
      </c>
      <c r="R210" s="439">
        <f t="shared" si="210"/>
        <v>0</v>
      </c>
      <c r="S210" s="439">
        <f t="shared" si="211"/>
        <v>0</v>
      </c>
      <c r="T210" s="441"/>
      <c r="U210" s="439">
        <v>0</v>
      </c>
      <c r="V210" s="439">
        <f>+AA210</f>
        <v>0</v>
      </c>
      <c r="W210" s="439">
        <v>0</v>
      </c>
      <c r="X210" s="439">
        <v>0</v>
      </c>
      <c r="Y210" s="435">
        <f t="shared" si="212"/>
        <v>0</v>
      </c>
      <c r="Z210" s="439">
        <v>0</v>
      </c>
      <c r="AA210" s="439">
        <v>0</v>
      </c>
      <c r="AB210" s="439">
        <v>0</v>
      </c>
      <c r="AC210" s="439">
        <v>0</v>
      </c>
      <c r="AD210" s="439">
        <v>0</v>
      </c>
      <c r="AE210" s="439"/>
      <c r="AF210" s="439">
        <v>0</v>
      </c>
      <c r="AG210" s="439">
        <v>0</v>
      </c>
      <c r="AH210" s="419">
        <f t="shared" si="209"/>
        <v>0</v>
      </c>
      <c r="AI210" s="439">
        <v>0</v>
      </c>
      <c r="AJ210" s="439">
        <v>0</v>
      </c>
      <c r="AK210" s="439">
        <f>AA210-W210</f>
        <v>0</v>
      </c>
      <c r="AL210" s="439">
        <f>AA210-AF210</f>
        <v>0</v>
      </c>
      <c r="AM210" s="439">
        <f>AA210-AD210</f>
        <v>0</v>
      </c>
      <c r="AN210" s="438"/>
      <c r="AO210" s="438"/>
      <c r="AP210" s="438"/>
    </row>
    <row r="211" spans="1:42" ht="12.75">
      <c r="A211" s="412">
        <v>209</v>
      </c>
      <c r="B211" s="431"/>
      <c r="C211" s="432" t="s">
        <v>338</v>
      </c>
      <c r="D211" s="433" t="s">
        <v>6612</v>
      </c>
      <c r="E211" s="434">
        <f>'PROSPETTO CE_IV TRIM 2024'!BM706</f>
        <v>0</v>
      </c>
      <c r="F211" s="439">
        <f>+E211</f>
        <v>0</v>
      </c>
      <c r="G211" s="439">
        <v>0</v>
      </c>
      <c r="H211" s="439">
        <v>0</v>
      </c>
      <c r="I211" s="435">
        <f t="shared" si="213"/>
        <v>0</v>
      </c>
      <c r="J211" s="435">
        <f t="shared" si="214"/>
        <v>0</v>
      </c>
      <c r="K211" s="439">
        <v>0</v>
      </c>
      <c r="L211" s="439">
        <v>0</v>
      </c>
      <c r="M211" s="439">
        <f t="shared" si="215"/>
        <v>0</v>
      </c>
      <c r="N211" s="439">
        <v>0</v>
      </c>
      <c r="O211" s="439">
        <v>0</v>
      </c>
      <c r="P211" s="440">
        <v>0</v>
      </c>
      <c r="Q211" s="439">
        <v>0</v>
      </c>
      <c r="R211" s="439">
        <f t="shared" si="210"/>
        <v>0</v>
      </c>
      <c r="S211" s="439">
        <f t="shared" si="211"/>
        <v>0</v>
      </c>
      <c r="T211" s="441"/>
      <c r="U211" s="439">
        <v>0</v>
      </c>
      <c r="V211" s="439">
        <f>+AA211</f>
        <v>0</v>
      </c>
      <c r="W211" s="439">
        <v>0</v>
      </c>
      <c r="X211" s="439">
        <v>0</v>
      </c>
      <c r="Y211" s="435">
        <f t="shared" si="212"/>
        <v>0</v>
      </c>
      <c r="Z211" s="439">
        <v>0</v>
      </c>
      <c r="AA211" s="439">
        <v>0</v>
      </c>
      <c r="AB211" s="439">
        <v>0</v>
      </c>
      <c r="AC211" s="439">
        <v>0</v>
      </c>
      <c r="AD211" s="439">
        <v>0</v>
      </c>
      <c r="AE211" s="439"/>
      <c r="AF211" s="439">
        <v>0</v>
      </c>
      <c r="AG211" s="439">
        <v>0</v>
      </c>
      <c r="AH211" s="419">
        <f t="shared" si="209"/>
        <v>0</v>
      </c>
      <c r="AI211" s="439">
        <v>0</v>
      </c>
      <c r="AJ211" s="439">
        <v>0</v>
      </c>
      <c r="AK211" s="439">
        <f>AA211-W211</f>
        <v>0</v>
      </c>
      <c r="AL211" s="439">
        <f>AA211-AF211</f>
        <v>0</v>
      </c>
      <c r="AM211" s="439">
        <f>AA211-AD211</f>
        <v>0</v>
      </c>
      <c r="AN211" s="438"/>
      <c r="AO211" s="438"/>
      <c r="AP211" s="438"/>
    </row>
    <row r="212" spans="1:42" ht="25.5">
      <c r="A212" s="412">
        <v>210</v>
      </c>
      <c r="B212" s="431" t="s">
        <v>1340</v>
      </c>
      <c r="C212" s="432" t="s">
        <v>339</v>
      </c>
      <c r="D212" s="433" t="s">
        <v>6617</v>
      </c>
      <c r="E212" s="434">
        <f>'PROSPETTO CE_IV TRIM 2024'!BM707</f>
        <v>0</v>
      </c>
      <c r="F212" s="439">
        <f>+E212</f>
        <v>0</v>
      </c>
      <c r="G212" s="439">
        <v>0</v>
      </c>
      <c r="H212" s="439">
        <v>0</v>
      </c>
      <c r="I212" s="435">
        <f t="shared" si="213"/>
        <v>0</v>
      </c>
      <c r="J212" s="435">
        <f t="shared" si="214"/>
        <v>0</v>
      </c>
      <c r="K212" s="439">
        <v>0</v>
      </c>
      <c r="L212" s="439">
        <v>0</v>
      </c>
      <c r="M212" s="439">
        <f t="shared" si="215"/>
        <v>0</v>
      </c>
      <c r="N212" s="439">
        <v>0</v>
      </c>
      <c r="O212" s="439">
        <v>0</v>
      </c>
      <c r="P212" s="440">
        <v>0</v>
      </c>
      <c r="Q212" s="439">
        <v>0</v>
      </c>
      <c r="R212" s="439">
        <f t="shared" si="210"/>
        <v>0</v>
      </c>
      <c r="S212" s="439">
        <f t="shared" si="211"/>
        <v>0</v>
      </c>
      <c r="T212" s="441"/>
      <c r="U212" s="439">
        <v>0</v>
      </c>
      <c r="V212" s="439">
        <f>+AA212</f>
        <v>0</v>
      </c>
      <c r="W212" s="439">
        <v>0</v>
      </c>
      <c r="X212" s="439">
        <v>0</v>
      </c>
      <c r="Y212" s="435">
        <f t="shared" si="212"/>
        <v>0</v>
      </c>
      <c r="Z212" s="439">
        <v>0</v>
      </c>
      <c r="AA212" s="439">
        <v>0</v>
      </c>
      <c r="AB212" s="439">
        <v>0</v>
      </c>
      <c r="AC212" s="439">
        <v>0</v>
      </c>
      <c r="AD212" s="439">
        <v>0</v>
      </c>
      <c r="AE212" s="439"/>
      <c r="AF212" s="439">
        <v>0</v>
      </c>
      <c r="AG212" s="439">
        <v>0</v>
      </c>
      <c r="AH212" s="419">
        <f t="shared" si="209"/>
        <v>0</v>
      </c>
      <c r="AI212" s="439">
        <v>0</v>
      </c>
      <c r="AJ212" s="439">
        <v>0</v>
      </c>
      <c r="AK212" s="439">
        <f>AA212-W212</f>
        <v>0</v>
      </c>
      <c r="AL212" s="439">
        <f>AA212-AF212</f>
        <v>0</v>
      </c>
      <c r="AM212" s="439">
        <f>AA212-AD212</f>
        <v>0</v>
      </c>
      <c r="AN212" s="438"/>
      <c r="AO212" s="438"/>
      <c r="AP212" s="438"/>
    </row>
    <row r="213" spans="1:42" ht="12.75">
      <c r="A213" s="412">
        <v>211</v>
      </c>
      <c r="B213" s="431"/>
      <c r="C213" s="432" t="s">
        <v>340</v>
      </c>
      <c r="D213" s="433" t="s">
        <v>6622</v>
      </c>
      <c r="E213" s="434">
        <f>'PROSPETTO CE_IV TRIM 2024'!BM708</f>
        <v>0</v>
      </c>
      <c r="F213" s="439">
        <f>+E213</f>
        <v>0</v>
      </c>
      <c r="G213" s="439">
        <v>0</v>
      </c>
      <c r="H213" s="439">
        <v>0</v>
      </c>
      <c r="I213" s="435">
        <f t="shared" si="213"/>
        <v>0</v>
      </c>
      <c r="J213" s="435">
        <f t="shared" si="214"/>
        <v>0</v>
      </c>
      <c r="K213" s="439">
        <v>0</v>
      </c>
      <c r="L213" s="439">
        <v>0</v>
      </c>
      <c r="M213" s="439">
        <f t="shared" si="215"/>
        <v>0</v>
      </c>
      <c r="N213" s="439">
        <v>0</v>
      </c>
      <c r="O213" s="439">
        <v>0</v>
      </c>
      <c r="P213" s="440">
        <v>0</v>
      </c>
      <c r="Q213" s="439">
        <v>0</v>
      </c>
      <c r="R213" s="439">
        <f t="shared" si="210"/>
        <v>0</v>
      </c>
      <c r="S213" s="439">
        <f t="shared" si="211"/>
        <v>0</v>
      </c>
      <c r="T213" s="441"/>
      <c r="U213" s="439">
        <v>0</v>
      </c>
      <c r="V213" s="439">
        <f>+AA213</f>
        <v>0</v>
      </c>
      <c r="W213" s="439">
        <v>0</v>
      </c>
      <c r="X213" s="439">
        <v>0</v>
      </c>
      <c r="Y213" s="435">
        <f t="shared" si="212"/>
        <v>0</v>
      </c>
      <c r="Z213" s="439">
        <v>0</v>
      </c>
      <c r="AA213" s="439">
        <v>0</v>
      </c>
      <c r="AB213" s="439">
        <v>0</v>
      </c>
      <c r="AC213" s="439">
        <v>0</v>
      </c>
      <c r="AD213" s="439">
        <v>0</v>
      </c>
      <c r="AE213" s="439"/>
      <c r="AF213" s="439">
        <v>0</v>
      </c>
      <c r="AG213" s="439">
        <v>0</v>
      </c>
      <c r="AH213" s="419">
        <f t="shared" si="209"/>
        <v>0</v>
      </c>
      <c r="AI213" s="439">
        <v>0</v>
      </c>
      <c r="AJ213" s="439">
        <v>0</v>
      </c>
      <c r="AK213" s="439">
        <f>AA213-W213</f>
        <v>0</v>
      </c>
      <c r="AL213" s="439">
        <f>AA213-AF213</f>
        <v>0</v>
      </c>
      <c r="AM213" s="439">
        <f>AA213-AD213</f>
        <v>0</v>
      </c>
      <c r="AN213" s="438"/>
      <c r="AO213" s="438"/>
      <c r="AP213" s="438"/>
    </row>
    <row r="214" spans="1:42" ht="12.75">
      <c r="A214" s="412">
        <v>212</v>
      </c>
      <c r="B214" s="431"/>
      <c r="C214" s="432" t="s">
        <v>341</v>
      </c>
      <c r="D214" s="433" t="s">
        <v>6627</v>
      </c>
      <c r="E214" s="434">
        <f>'PROSPETTO CE_IV TRIM 2024'!BM709</f>
        <v>0</v>
      </c>
      <c r="F214" s="439">
        <f>+E214</f>
        <v>0</v>
      </c>
      <c r="G214" s="439">
        <v>0</v>
      </c>
      <c r="H214" s="439">
        <v>0</v>
      </c>
      <c r="I214" s="435">
        <f t="shared" si="213"/>
        <v>0</v>
      </c>
      <c r="J214" s="435">
        <f t="shared" si="214"/>
        <v>0</v>
      </c>
      <c r="K214" s="439">
        <v>0</v>
      </c>
      <c r="L214" s="439">
        <v>0</v>
      </c>
      <c r="M214" s="439">
        <f t="shared" si="215"/>
        <v>0</v>
      </c>
      <c r="N214" s="439">
        <v>0</v>
      </c>
      <c r="O214" s="439">
        <v>0</v>
      </c>
      <c r="P214" s="440">
        <v>0</v>
      </c>
      <c r="Q214" s="439">
        <v>0</v>
      </c>
      <c r="R214" s="439">
        <f t="shared" si="210"/>
        <v>0</v>
      </c>
      <c r="S214" s="439">
        <f t="shared" si="211"/>
        <v>0</v>
      </c>
      <c r="T214" s="441"/>
      <c r="U214" s="439">
        <v>0</v>
      </c>
      <c r="V214" s="439">
        <f>+AA214</f>
        <v>0</v>
      </c>
      <c r="W214" s="439">
        <v>0</v>
      </c>
      <c r="X214" s="439">
        <v>0</v>
      </c>
      <c r="Y214" s="435">
        <f t="shared" si="212"/>
        <v>0</v>
      </c>
      <c r="Z214" s="439">
        <v>0</v>
      </c>
      <c r="AA214" s="439">
        <v>0</v>
      </c>
      <c r="AB214" s="439">
        <v>0</v>
      </c>
      <c r="AC214" s="439">
        <v>0</v>
      </c>
      <c r="AD214" s="439">
        <v>0</v>
      </c>
      <c r="AE214" s="439"/>
      <c r="AF214" s="439">
        <v>0</v>
      </c>
      <c r="AG214" s="439">
        <v>0</v>
      </c>
      <c r="AH214" s="419">
        <f t="shared" si="209"/>
        <v>0</v>
      </c>
      <c r="AI214" s="439">
        <v>0</v>
      </c>
      <c r="AJ214" s="439">
        <v>0</v>
      </c>
      <c r="AK214" s="439">
        <f>AA214-W214</f>
        <v>0</v>
      </c>
      <c r="AL214" s="439">
        <f>AA214-AF214</f>
        <v>0</v>
      </c>
      <c r="AM214" s="439">
        <f>AA214-AD214</f>
        <v>0</v>
      </c>
      <c r="AN214" s="438"/>
      <c r="AO214" s="438"/>
      <c r="AP214" s="438"/>
    </row>
    <row r="215" spans="1:42" ht="12.75">
      <c r="A215" s="412">
        <v>213</v>
      </c>
      <c r="B215" s="431"/>
      <c r="C215" s="432" t="s">
        <v>6628</v>
      </c>
      <c r="D215" s="433" t="s">
        <v>6630</v>
      </c>
      <c r="E215" s="434"/>
      <c r="F215" s="435">
        <f>SUM(F216:F219)</f>
        <v>0</v>
      </c>
      <c r="G215" s="435">
        <v>0</v>
      </c>
      <c r="H215" s="435">
        <v>0</v>
      </c>
      <c r="I215" s="435">
        <f t="shared" si="213"/>
        <v>0</v>
      </c>
      <c r="J215" s="435">
        <f t="shared" si="214"/>
        <v>0</v>
      </c>
      <c r="K215" s="435">
        <v>0</v>
      </c>
      <c r="L215" s="435">
        <v>0</v>
      </c>
      <c r="M215" s="435">
        <f t="shared" si="215"/>
        <v>0</v>
      </c>
      <c r="N215" s="435">
        <v>0</v>
      </c>
      <c r="O215" s="435">
        <v>0</v>
      </c>
      <c r="P215" s="436">
        <v>0</v>
      </c>
      <c r="Q215" s="435">
        <f t="shared" ref="Q215" si="227">SUM(Q216:Q219)</f>
        <v>0</v>
      </c>
      <c r="R215" s="435">
        <f t="shared" si="210"/>
        <v>0</v>
      </c>
      <c r="S215" s="435">
        <f t="shared" si="211"/>
        <v>0</v>
      </c>
      <c r="T215" s="437"/>
      <c r="U215" s="435">
        <v>0</v>
      </c>
      <c r="V215" s="435">
        <f>SUM(V216:V219)</f>
        <v>0</v>
      </c>
      <c r="W215" s="435">
        <f>SUM(W216:W219)</f>
        <v>0</v>
      </c>
      <c r="X215" s="435">
        <f t="shared" ref="X215" si="228">SUM(X216:X219)</f>
        <v>0</v>
      </c>
      <c r="Y215" s="435">
        <f t="shared" si="212"/>
        <v>0</v>
      </c>
      <c r="Z215" s="435">
        <v>0</v>
      </c>
      <c r="AA215" s="435">
        <v>0</v>
      </c>
      <c r="AB215" s="435">
        <f t="shared" ref="AB215:AM215" si="229">SUM(AB216:AB219)</f>
        <v>0</v>
      </c>
      <c r="AC215" s="435">
        <f t="shared" si="229"/>
        <v>0</v>
      </c>
      <c r="AD215" s="435">
        <f t="shared" si="229"/>
        <v>0</v>
      </c>
      <c r="AE215" s="435"/>
      <c r="AF215" s="435">
        <f t="shared" si="229"/>
        <v>0</v>
      </c>
      <c r="AG215" s="435">
        <f t="shared" si="229"/>
        <v>0</v>
      </c>
      <c r="AH215" s="419">
        <f t="shared" si="209"/>
        <v>0</v>
      </c>
      <c r="AI215" s="435">
        <f t="shared" si="229"/>
        <v>0</v>
      </c>
      <c r="AJ215" s="435">
        <f t="shared" si="229"/>
        <v>0</v>
      </c>
      <c r="AK215" s="435">
        <f t="shared" si="229"/>
        <v>0</v>
      </c>
      <c r="AL215" s="435">
        <f t="shared" si="229"/>
        <v>0</v>
      </c>
      <c r="AM215" s="435">
        <f t="shared" si="229"/>
        <v>0</v>
      </c>
      <c r="AN215" s="438"/>
      <c r="AO215" s="438"/>
      <c r="AP215" s="438"/>
    </row>
    <row r="216" spans="1:42" ht="25.5">
      <c r="A216" s="412">
        <v>214</v>
      </c>
      <c r="B216" s="431" t="s">
        <v>1519</v>
      </c>
      <c r="C216" s="432" t="s">
        <v>342</v>
      </c>
      <c r="D216" s="433" t="s">
        <v>6634</v>
      </c>
      <c r="E216" s="434">
        <f>'PROSPETTO CE_IV TRIM 2024'!BM711</f>
        <v>0</v>
      </c>
      <c r="F216" s="439">
        <f>+E216</f>
        <v>0</v>
      </c>
      <c r="G216" s="439">
        <v>0</v>
      </c>
      <c r="H216" s="439">
        <v>0</v>
      </c>
      <c r="I216" s="435">
        <f t="shared" si="213"/>
        <v>0</v>
      </c>
      <c r="J216" s="435">
        <f t="shared" si="214"/>
        <v>0</v>
      </c>
      <c r="K216" s="439">
        <v>0</v>
      </c>
      <c r="L216" s="439">
        <v>0</v>
      </c>
      <c r="M216" s="439">
        <f t="shared" si="215"/>
        <v>0</v>
      </c>
      <c r="N216" s="439">
        <v>0</v>
      </c>
      <c r="O216" s="439">
        <v>0</v>
      </c>
      <c r="P216" s="440">
        <v>0</v>
      </c>
      <c r="Q216" s="439">
        <v>0</v>
      </c>
      <c r="R216" s="439">
        <f t="shared" si="210"/>
        <v>0</v>
      </c>
      <c r="S216" s="439">
        <f t="shared" si="211"/>
        <v>0</v>
      </c>
      <c r="T216" s="441"/>
      <c r="U216" s="439">
        <v>0</v>
      </c>
      <c r="V216" s="439">
        <f>+AA216</f>
        <v>0</v>
      </c>
      <c r="W216" s="439">
        <v>0</v>
      </c>
      <c r="X216" s="439">
        <v>0</v>
      </c>
      <c r="Y216" s="435">
        <f t="shared" si="212"/>
        <v>0</v>
      </c>
      <c r="Z216" s="439">
        <v>0</v>
      </c>
      <c r="AA216" s="439">
        <v>0</v>
      </c>
      <c r="AB216" s="439">
        <v>0</v>
      </c>
      <c r="AC216" s="439">
        <v>0</v>
      </c>
      <c r="AD216" s="439">
        <v>0</v>
      </c>
      <c r="AE216" s="439"/>
      <c r="AF216" s="439">
        <v>0</v>
      </c>
      <c r="AG216" s="439">
        <v>0</v>
      </c>
      <c r="AH216" s="419">
        <f t="shared" si="209"/>
        <v>0</v>
      </c>
      <c r="AI216" s="439">
        <v>0</v>
      </c>
      <c r="AJ216" s="439">
        <v>0</v>
      </c>
      <c r="AK216" s="439">
        <f>AA216-W216</f>
        <v>0</v>
      </c>
      <c r="AL216" s="439">
        <f>AA216-AF216</f>
        <v>0</v>
      </c>
      <c r="AM216" s="439">
        <f>AA216-AD216</f>
        <v>0</v>
      </c>
      <c r="AN216" s="438"/>
      <c r="AO216" s="438"/>
      <c r="AP216" s="438"/>
    </row>
    <row r="217" spans="1:42" ht="12.75">
      <c r="A217" s="412">
        <v>215</v>
      </c>
      <c r="B217" s="431"/>
      <c r="C217" s="432" t="s">
        <v>343</v>
      </c>
      <c r="D217" s="433" t="s">
        <v>6638</v>
      </c>
      <c r="E217" s="434">
        <f>'PROSPETTO CE_IV TRIM 2024'!BM712</f>
        <v>0</v>
      </c>
      <c r="F217" s="439">
        <f>+E217</f>
        <v>0</v>
      </c>
      <c r="G217" s="439">
        <v>0</v>
      </c>
      <c r="H217" s="439">
        <v>0</v>
      </c>
      <c r="I217" s="435">
        <f t="shared" si="213"/>
        <v>0</v>
      </c>
      <c r="J217" s="435">
        <f t="shared" si="214"/>
        <v>0</v>
      </c>
      <c r="K217" s="439">
        <v>0</v>
      </c>
      <c r="L217" s="439">
        <v>0</v>
      </c>
      <c r="M217" s="439">
        <f t="shared" si="215"/>
        <v>0</v>
      </c>
      <c r="N217" s="439">
        <v>0</v>
      </c>
      <c r="O217" s="439">
        <v>0</v>
      </c>
      <c r="P217" s="440">
        <v>0</v>
      </c>
      <c r="Q217" s="439">
        <v>0</v>
      </c>
      <c r="R217" s="439">
        <f t="shared" si="210"/>
        <v>0</v>
      </c>
      <c r="S217" s="439">
        <f t="shared" si="211"/>
        <v>0</v>
      </c>
      <c r="T217" s="441"/>
      <c r="U217" s="439">
        <v>0</v>
      </c>
      <c r="V217" s="439">
        <f>+AA217</f>
        <v>0</v>
      </c>
      <c r="W217" s="439">
        <v>0</v>
      </c>
      <c r="X217" s="439">
        <v>0</v>
      </c>
      <c r="Y217" s="435">
        <f t="shared" si="212"/>
        <v>0</v>
      </c>
      <c r="Z217" s="439">
        <v>0</v>
      </c>
      <c r="AA217" s="439">
        <v>0</v>
      </c>
      <c r="AB217" s="439">
        <v>0</v>
      </c>
      <c r="AC217" s="439">
        <v>0</v>
      </c>
      <c r="AD217" s="439">
        <v>0</v>
      </c>
      <c r="AE217" s="439"/>
      <c r="AF217" s="439">
        <v>0</v>
      </c>
      <c r="AG217" s="439">
        <v>0</v>
      </c>
      <c r="AH217" s="419">
        <f t="shared" si="209"/>
        <v>0</v>
      </c>
      <c r="AI217" s="439">
        <v>0</v>
      </c>
      <c r="AJ217" s="439">
        <v>0</v>
      </c>
      <c r="AK217" s="439">
        <f>AA217-W217</f>
        <v>0</v>
      </c>
      <c r="AL217" s="439">
        <f>AA217-AF217</f>
        <v>0</v>
      </c>
      <c r="AM217" s="439">
        <f>AA217-AD217</f>
        <v>0</v>
      </c>
      <c r="AN217" s="438"/>
      <c r="AO217" s="438"/>
      <c r="AP217" s="438"/>
    </row>
    <row r="218" spans="1:42" ht="12.75">
      <c r="A218" s="412">
        <v>216</v>
      </c>
      <c r="B218" s="431" t="s">
        <v>1349</v>
      </c>
      <c r="C218" s="432" t="s">
        <v>344</v>
      </c>
      <c r="D218" s="433" t="s">
        <v>6642</v>
      </c>
      <c r="E218" s="434">
        <f>'PROSPETTO CE_IV TRIM 2024'!BM713</f>
        <v>0</v>
      </c>
      <c r="F218" s="439">
        <f>+E218</f>
        <v>0</v>
      </c>
      <c r="G218" s="439">
        <v>0</v>
      </c>
      <c r="H218" s="439">
        <v>0</v>
      </c>
      <c r="I218" s="435">
        <f t="shared" si="213"/>
        <v>0</v>
      </c>
      <c r="J218" s="435">
        <f t="shared" si="214"/>
        <v>0</v>
      </c>
      <c r="K218" s="439">
        <v>0</v>
      </c>
      <c r="L218" s="439">
        <v>0</v>
      </c>
      <c r="M218" s="439">
        <f t="shared" si="215"/>
        <v>0</v>
      </c>
      <c r="N218" s="439">
        <v>0</v>
      </c>
      <c r="O218" s="439">
        <v>0</v>
      </c>
      <c r="P218" s="440">
        <v>0</v>
      </c>
      <c r="Q218" s="439">
        <v>0</v>
      </c>
      <c r="R218" s="439">
        <f t="shared" si="210"/>
        <v>0</v>
      </c>
      <c r="S218" s="439">
        <f t="shared" si="211"/>
        <v>0</v>
      </c>
      <c r="T218" s="441"/>
      <c r="U218" s="439">
        <v>0</v>
      </c>
      <c r="V218" s="439">
        <f>+AA218</f>
        <v>0</v>
      </c>
      <c r="W218" s="439">
        <v>0</v>
      </c>
      <c r="X218" s="439">
        <v>0</v>
      </c>
      <c r="Y218" s="435">
        <f t="shared" si="212"/>
        <v>0</v>
      </c>
      <c r="Z218" s="439">
        <v>0</v>
      </c>
      <c r="AA218" s="439">
        <v>0</v>
      </c>
      <c r="AB218" s="439">
        <v>0</v>
      </c>
      <c r="AC218" s="439">
        <v>0</v>
      </c>
      <c r="AD218" s="439">
        <v>0</v>
      </c>
      <c r="AE218" s="439"/>
      <c r="AF218" s="439">
        <v>0</v>
      </c>
      <c r="AG218" s="439">
        <v>0</v>
      </c>
      <c r="AH218" s="419">
        <f t="shared" si="209"/>
        <v>0</v>
      </c>
      <c r="AI218" s="439">
        <v>0</v>
      </c>
      <c r="AJ218" s="439">
        <v>0</v>
      </c>
      <c r="AK218" s="439">
        <f>AA218-W218</f>
        <v>0</v>
      </c>
      <c r="AL218" s="439">
        <f>AA218-AF218</f>
        <v>0</v>
      </c>
      <c r="AM218" s="439">
        <f>AA218-AD218</f>
        <v>0</v>
      </c>
      <c r="AN218" s="438"/>
      <c r="AO218" s="438"/>
      <c r="AP218" s="438"/>
    </row>
    <row r="219" spans="1:42" ht="12.75">
      <c r="A219" s="412">
        <v>217</v>
      </c>
      <c r="B219" s="431"/>
      <c r="C219" s="432" t="s">
        <v>345</v>
      </c>
      <c r="D219" s="433" t="s">
        <v>6647</v>
      </c>
      <c r="E219" s="434">
        <f>'PROSPETTO CE_IV TRIM 2024'!BM714</f>
        <v>0</v>
      </c>
      <c r="F219" s="439">
        <f>+E219</f>
        <v>0</v>
      </c>
      <c r="G219" s="439">
        <v>0</v>
      </c>
      <c r="H219" s="439">
        <v>0</v>
      </c>
      <c r="I219" s="435">
        <f t="shared" si="213"/>
        <v>0</v>
      </c>
      <c r="J219" s="435">
        <f t="shared" si="214"/>
        <v>0</v>
      </c>
      <c r="K219" s="439">
        <v>0</v>
      </c>
      <c r="L219" s="439">
        <v>0</v>
      </c>
      <c r="M219" s="439">
        <f t="shared" si="215"/>
        <v>0</v>
      </c>
      <c r="N219" s="439">
        <v>0</v>
      </c>
      <c r="O219" s="439">
        <v>0</v>
      </c>
      <c r="P219" s="440">
        <v>0</v>
      </c>
      <c r="Q219" s="439">
        <v>0</v>
      </c>
      <c r="R219" s="439">
        <f t="shared" si="210"/>
        <v>0</v>
      </c>
      <c r="S219" s="439">
        <f t="shared" si="211"/>
        <v>0</v>
      </c>
      <c r="T219" s="441"/>
      <c r="U219" s="439">
        <v>0</v>
      </c>
      <c r="V219" s="439">
        <f>+AA219</f>
        <v>0</v>
      </c>
      <c r="W219" s="439">
        <v>0</v>
      </c>
      <c r="X219" s="439">
        <v>0</v>
      </c>
      <c r="Y219" s="435">
        <f t="shared" si="212"/>
        <v>0</v>
      </c>
      <c r="Z219" s="439">
        <v>0</v>
      </c>
      <c r="AA219" s="439">
        <v>0</v>
      </c>
      <c r="AB219" s="439">
        <v>0</v>
      </c>
      <c r="AC219" s="439">
        <v>0</v>
      </c>
      <c r="AD219" s="439">
        <v>0</v>
      </c>
      <c r="AE219" s="439"/>
      <c r="AF219" s="439">
        <v>0</v>
      </c>
      <c r="AG219" s="439">
        <v>0</v>
      </c>
      <c r="AH219" s="419">
        <f t="shared" si="209"/>
        <v>0</v>
      </c>
      <c r="AI219" s="439">
        <v>0</v>
      </c>
      <c r="AJ219" s="439">
        <v>0</v>
      </c>
      <c r="AK219" s="439">
        <f>AA219-W219</f>
        <v>0</v>
      </c>
      <c r="AL219" s="439">
        <f>AA219-AF219</f>
        <v>0</v>
      </c>
      <c r="AM219" s="439">
        <f>AA219-AD219</f>
        <v>0</v>
      </c>
      <c r="AN219" s="438"/>
      <c r="AO219" s="438"/>
      <c r="AP219" s="438"/>
    </row>
    <row r="220" spans="1:42" ht="12.75">
      <c r="A220" s="412">
        <v>218</v>
      </c>
      <c r="B220" s="431"/>
      <c r="C220" s="432" t="s">
        <v>6648</v>
      </c>
      <c r="D220" s="433" t="s">
        <v>6650</v>
      </c>
      <c r="E220" s="434"/>
      <c r="F220" s="435">
        <f>SUM(F221:F224)</f>
        <v>0</v>
      </c>
      <c r="G220" s="435">
        <v>0</v>
      </c>
      <c r="H220" s="435">
        <v>0</v>
      </c>
      <c r="I220" s="435">
        <f t="shared" si="213"/>
        <v>0</v>
      </c>
      <c r="J220" s="435">
        <f t="shared" si="214"/>
        <v>0</v>
      </c>
      <c r="K220" s="435">
        <v>0</v>
      </c>
      <c r="L220" s="435">
        <v>0</v>
      </c>
      <c r="M220" s="435">
        <f t="shared" si="215"/>
        <v>0</v>
      </c>
      <c r="N220" s="435">
        <v>0</v>
      </c>
      <c r="O220" s="435">
        <v>0</v>
      </c>
      <c r="P220" s="436">
        <v>0</v>
      </c>
      <c r="Q220" s="435">
        <f t="shared" ref="Q220" si="230">SUM(Q221:Q224)</f>
        <v>0</v>
      </c>
      <c r="R220" s="435">
        <f t="shared" si="210"/>
        <v>0</v>
      </c>
      <c r="S220" s="435">
        <f t="shared" si="211"/>
        <v>0</v>
      </c>
      <c r="T220" s="437"/>
      <c r="U220" s="435">
        <v>0</v>
      </c>
      <c r="V220" s="435">
        <f>SUM(V221:V224)</f>
        <v>0</v>
      </c>
      <c r="W220" s="435">
        <f>SUM(W221:W224)</f>
        <v>0</v>
      </c>
      <c r="X220" s="435">
        <f t="shared" ref="X220" si="231">SUM(X221:X224)</f>
        <v>0</v>
      </c>
      <c r="Y220" s="435">
        <f t="shared" si="212"/>
        <v>0</v>
      </c>
      <c r="Z220" s="435">
        <v>0</v>
      </c>
      <c r="AA220" s="435">
        <v>0</v>
      </c>
      <c r="AB220" s="435">
        <f t="shared" ref="AB220:AM220" si="232">SUM(AB221:AB224)</f>
        <v>0</v>
      </c>
      <c r="AC220" s="435">
        <f t="shared" si="232"/>
        <v>0</v>
      </c>
      <c r="AD220" s="435">
        <f t="shared" si="232"/>
        <v>0</v>
      </c>
      <c r="AE220" s="435"/>
      <c r="AF220" s="435">
        <f t="shared" si="232"/>
        <v>0</v>
      </c>
      <c r="AG220" s="435">
        <f t="shared" si="232"/>
        <v>0</v>
      </c>
      <c r="AH220" s="419">
        <f t="shared" si="209"/>
        <v>0</v>
      </c>
      <c r="AI220" s="435">
        <f t="shared" si="232"/>
        <v>0</v>
      </c>
      <c r="AJ220" s="435">
        <f t="shared" si="232"/>
        <v>0</v>
      </c>
      <c r="AK220" s="435">
        <f t="shared" si="232"/>
        <v>0</v>
      </c>
      <c r="AL220" s="435">
        <f t="shared" si="232"/>
        <v>0</v>
      </c>
      <c r="AM220" s="435">
        <f t="shared" si="232"/>
        <v>0</v>
      </c>
      <c r="AN220" s="438"/>
      <c r="AO220" s="438"/>
      <c r="AP220" s="438"/>
    </row>
    <row r="221" spans="1:42" ht="25.5">
      <c r="A221" s="412">
        <v>219</v>
      </c>
      <c r="B221" s="431" t="s">
        <v>1519</v>
      </c>
      <c r="C221" s="432" t="s">
        <v>346</v>
      </c>
      <c r="D221" s="433" t="s">
        <v>6654</v>
      </c>
      <c r="E221" s="434">
        <f>'PROSPETTO CE_IV TRIM 2024'!BM716</f>
        <v>0</v>
      </c>
      <c r="F221" s="439">
        <f>+E221</f>
        <v>0</v>
      </c>
      <c r="G221" s="439">
        <v>0</v>
      </c>
      <c r="H221" s="439">
        <v>0</v>
      </c>
      <c r="I221" s="435">
        <f t="shared" si="213"/>
        <v>0</v>
      </c>
      <c r="J221" s="435">
        <f t="shared" si="214"/>
        <v>0</v>
      </c>
      <c r="K221" s="439">
        <v>0</v>
      </c>
      <c r="L221" s="439">
        <v>0</v>
      </c>
      <c r="M221" s="439">
        <f t="shared" si="215"/>
        <v>0</v>
      </c>
      <c r="N221" s="439">
        <v>0</v>
      </c>
      <c r="O221" s="439">
        <v>0</v>
      </c>
      <c r="P221" s="440">
        <v>0</v>
      </c>
      <c r="Q221" s="439">
        <v>0</v>
      </c>
      <c r="R221" s="439">
        <f t="shared" si="210"/>
        <v>0</v>
      </c>
      <c r="S221" s="439">
        <f t="shared" si="211"/>
        <v>0</v>
      </c>
      <c r="T221" s="441"/>
      <c r="U221" s="439">
        <v>0</v>
      </c>
      <c r="V221" s="439">
        <f>+AA221</f>
        <v>0</v>
      </c>
      <c r="W221" s="439">
        <v>0</v>
      </c>
      <c r="X221" s="439">
        <v>0</v>
      </c>
      <c r="Y221" s="435">
        <f t="shared" si="212"/>
        <v>0</v>
      </c>
      <c r="Z221" s="439">
        <v>0</v>
      </c>
      <c r="AA221" s="439">
        <v>0</v>
      </c>
      <c r="AB221" s="439">
        <v>0</v>
      </c>
      <c r="AC221" s="439">
        <v>0</v>
      </c>
      <c r="AD221" s="439">
        <v>0</v>
      </c>
      <c r="AE221" s="439"/>
      <c r="AF221" s="439">
        <v>0</v>
      </c>
      <c r="AG221" s="439">
        <v>0</v>
      </c>
      <c r="AH221" s="419">
        <f t="shared" si="209"/>
        <v>0</v>
      </c>
      <c r="AI221" s="439">
        <v>0</v>
      </c>
      <c r="AJ221" s="439">
        <v>0</v>
      </c>
      <c r="AK221" s="439">
        <f>AA221-W221</f>
        <v>0</v>
      </c>
      <c r="AL221" s="439">
        <f>AA221-AF221</f>
        <v>0</v>
      </c>
      <c r="AM221" s="439">
        <f>AA221-AD221</f>
        <v>0</v>
      </c>
      <c r="AN221" s="438"/>
      <c r="AO221" s="438"/>
      <c r="AP221" s="438"/>
    </row>
    <row r="222" spans="1:42" ht="12.75">
      <c r="A222" s="412">
        <v>220</v>
      </c>
      <c r="B222" s="431"/>
      <c r="C222" s="432" t="s">
        <v>347</v>
      </c>
      <c r="D222" s="433" t="s">
        <v>6658</v>
      </c>
      <c r="E222" s="434">
        <f>'PROSPETTO CE_IV TRIM 2024'!BM717</f>
        <v>0</v>
      </c>
      <c r="F222" s="439">
        <f>+E222</f>
        <v>0</v>
      </c>
      <c r="G222" s="439">
        <v>0</v>
      </c>
      <c r="H222" s="439">
        <v>0</v>
      </c>
      <c r="I222" s="435">
        <f t="shared" si="213"/>
        <v>0</v>
      </c>
      <c r="J222" s="435">
        <f t="shared" si="214"/>
        <v>0</v>
      </c>
      <c r="K222" s="439">
        <v>0</v>
      </c>
      <c r="L222" s="439">
        <v>0</v>
      </c>
      <c r="M222" s="439">
        <f t="shared" si="215"/>
        <v>0</v>
      </c>
      <c r="N222" s="439">
        <v>0</v>
      </c>
      <c r="O222" s="439">
        <v>0</v>
      </c>
      <c r="P222" s="440">
        <v>0</v>
      </c>
      <c r="Q222" s="439">
        <v>0</v>
      </c>
      <c r="R222" s="439">
        <f t="shared" si="210"/>
        <v>0</v>
      </c>
      <c r="S222" s="439">
        <f t="shared" si="211"/>
        <v>0</v>
      </c>
      <c r="T222" s="441"/>
      <c r="U222" s="439">
        <v>0</v>
      </c>
      <c r="V222" s="439">
        <f>+AA222</f>
        <v>0</v>
      </c>
      <c r="W222" s="439">
        <v>0</v>
      </c>
      <c r="X222" s="439">
        <v>0</v>
      </c>
      <c r="Y222" s="435">
        <f t="shared" si="212"/>
        <v>0</v>
      </c>
      <c r="Z222" s="439">
        <v>0</v>
      </c>
      <c r="AA222" s="439">
        <v>0</v>
      </c>
      <c r="AB222" s="439">
        <v>0</v>
      </c>
      <c r="AC222" s="439">
        <v>0</v>
      </c>
      <c r="AD222" s="439">
        <v>0</v>
      </c>
      <c r="AE222" s="439"/>
      <c r="AF222" s="439">
        <v>0</v>
      </c>
      <c r="AG222" s="439">
        <v>0</v>
      </c>
      <c r="AH222" s="419">
        <f t="shared" si="209"/>
        <v>0</v>
      </c>
      <c r="AI222" s="439">
        <v>0</v>
      </c>
      <c r="AJ222" s="439">
        <v>0</v>
      </c>
      <c r="AK222" s="439">
        <f>AA222-W222</f>
        <v>0</v>
      </c>
      <c r="AL222" s="439">
        <f>AA222-AF222</f>
        <v>0</v>
      </c>
      <c r="AM222" s="439">
        <f>AA222-AD222</f>
        <v>0</v>
      </c>
      <c r="AN222" s="438"/>
      <c r="AO222" s="438"/>
      <c r="AP222" s="438"/>
    </row>
    <row r="223" spans="1:42" ht="12.75">
      <c r="A223" s="412">
        <v>221</v>
      </c>
      <c r="B223" s="431" t="s">
        <v>1349</v>
      </c>
      <c r="C223" s="432" t="s">
        <v>348</v>
      </c>
      <c r="D223" s="433" t="s">
        <v>6662</v>
      </c>
      <c r="E223" s="434">
        <f>'PROSPETTO CE_IV TRIM 2024'!BM718</f>
        <v>0</v>
      </c>
      <c r="F223" s="439">
        <f>+E223</f>
        <v>0</v>
      </c>
      <c r="G223" s="439">
        <v>0</v>
      </c>
      <c r="H223" s="439">
        <v>0</v>
      </c>
      <c r="I223" s="435">
        <f t="shared" si="213"/>
        <v>0</v>
      </c>
      <c r="J223" s="435">
        <f t="shared" si="214"/>
        <v>0</v>
      </c>
      <c r="K223" s="439">
        <v>0</v>
      </c>
      <c r="L223" s="439">
        <v>0</v>
      </c>
      <c r="M223" s="439">
        <f t="shared" si="215"/>
        <v>0</v>
      </c>
      <c r="N223" s="439">
        <v>0</v>
      </c>
      <c r="O223" s="439">
        <v>0</v>
      </c>
      <c r="P223" s="440">
        <v>0</v>
      </c>
      <c r="Q223" s="439">
        <v>0</v>
      </c>
      <c r="R223" s="439">
        <f t="shared" si="210"/>
        <v>0</v>
      </c>
      <c r="S223" s="439">
        <f t="shared" si="211"/>
        <v>0</v>
      </c>
      <c r="T223" s="441"/>
      <c r="U223" s="439">
        <v>0</v>
      </c>
      <c r="V223" s="439">
        <f>+AA223</f>
        <v>0</v>
      </c>
      <c r="W223" s="439">
        <v>0</v>
      </c>
      <c r="X223" s="439">
        <v>0</v>
      </c>
      <c r="Y223" s="435">
        <f t="shared" si="212"/>
        <v>0</v>
      </c>
      <c r="Z223" s="439">
        <v>0</v>
      </c>
      <c r="AA223" s="439">
        <v>0</v>
      </c>
      <c r="AB223" s="439">
        <v>0</v>
      </c>
      <c r="AC223" s="439">
        <v>0</v>
      </c>
      <c r="AD223" s="439">
        <v>0</v>
      </c>
      <c r="AE223" s="439"/>
      <c r="AF223" s="439">
        <v>0</v>
      </c>
      <c r="AG223" s="439">
        <v>0</v>
      </c>
      <c r="AH223" s="419">
        <f t="shared" si="209"/>
        <v>0</v>
      </c>
      <c r="AI223" s="439">
        <v>0</v>
      </c>
      <c r="AJ223" s="439">
        <v>0</v>
      </c>
      <c r="AK223" s="439">
        <f>AA223-W223</f>
        <v>0</v>
      </c>
      <c r="AL223" s="439">
        <f>AA223-AF223</f>
        <v>0</v>
      </c>
      <c r="AM223" s="439">
        <f>AA223-AD223</f>
        <v>0</v>
      </c>
      <c r="AN223" s="438"/>
      <c r="AO223" s="438"/>
      <c r="AP223" s="438"/>
    </row>
    <row r="224" spans="1:42" ht="12.75">
      <c r="A224" s="412">
        <v>222</v>
      </c>
      <c r="B224" s="431"/>
      <c r="C224" s="432" t="s">
        <v>349</v>
      </c>
      <c r="D224" s="433" t="s">
        <v>6666</v>
      </c>
      <c r="E224" s="434">
        <f>'PROSPETTO CE_IV TRIM 2024'!BM719</f>
        <v>0</v>
      </c>
      <c r="F224" s="439">
        <f>+E224</f>
        <v>0</v>
      </c>
      <c r="G224" s="439">
        <v>0</v>
      </c>
      <c r="H224" s="439">
        <v>0</v>
      </c>
      <c r="I224" s="435">
        <f t="shared" si="213"/>
        <v>0</v>
      </c>
      <c r="J224" s="435">
        <f t="shared" si="214"/>
        <v>0</v>
      </c>
      <c r="K224" s="439">
        <v>0</v>
      </c>
      <c r="L224" s="439">
        <v>0</v>
      </c>
      <c r="M224" s="439">
        <f t="shared" si="215"/>
        <v>0</v>
      </c>
      <c r="N224" s="439">
        <v>0</v>
      </c>
      <c r="O224" s="439">
        <v>0</v>
      </c>
      <c r="P224" s="440">
        <v>0</v>
      </c>
      <c r="Q224" s="439">
        <v>0</v>
      </c>
      <c r="R224" s="439">
        <f t="shared" si="210"/>
        <v>0</v>
      </c>
      <c r="S224" s="439">
        <f t="shared" si="211"/>
        <v>0</v>
      </c>
      <c r="T224" s="441"/>
      <c r="U224" s="439">
        <v>0</v>
      </c>
      <c r="V224" s="439">
        <f>+AA224</f>
        <v>0</v>
      </c>
      <c r="W224" s="439">
        <v>0</v>
      </c>
      <c r="X224" s="439">
        <v>0</v>
      </c>
      <c r="Y224" s="435">
        <f t="shared" si="212"/>
        <v>0</v>
      </c>
      <c r="Z224" s="439">
        <v>0</v>
      </c>
      <c r="AA224" s="439">
        <v>0</v>
      </c>
      <c r="AB224" s="439">
        <v>0</v>
      </c>
      <c r="AC224" s="439">
        <v>0</v>
      </c>
      <c r="AD224" s="439">
        <v>0</v>
      </c>
      <c r="AE224" s="439"/>
      <c r="AF224" s="439">
        <v>0</v>
      </c>
      <c r="AG224" s="439">
        <v>0</v>
      </c>
      <c r="AH224" s="419">
        <f t="shared" si="209"/>
        <v>0</v>
      </c>
      <c r="AI224" s="439">
        <v>0</v>
      </c>
      <c r="AJ224" s="439">
        <v>0</v>
      </c>
      <c r="AK224" s="439">
        <f>AA224-W224</f>
        <v>0</v>
      </c>
      <c r="AL224" s="439">
        <f>AA224-AF224</f>
        <v>0</v>
      </c>
      <c r="AM224" s="439">
        <f>AA224-AD224</f>
        <v>0</v>
      </c>
      <c r="AN224" s="438"/>
      <c r="AO224" s="438"/>
      <c r="AP224" s="438"/>
    </row>
    <row r="225" spans="1:42" ht="12.75">
      <c r="A225" s="412">
        <v>223</v>
      </c>
      <c r="B225" s="431"/>
      <c r="C225" s="432" t="s">
        <v>6667</v>
      </c>
      <c r="D225" s="433" t="s">
        <v>6669</v>
      </c>
      <c r="E225" s="434"/>
      <c r="F225" s="435">
        <f>SUM(F226:F229,F234)</f>
        <v>48421.04</v>
      </c>
      <c r="G225" s="435">
        <v>0</v>
      </c>
      <c r="H225" s="435">
        <v>51663.040000000001</v>
      </c>
      <c r="I225" s="435">
        <f t="shared" si="213"/>
        <v>-3242</v>
      </c>
      <c r="J225" s="435">
        <f t="shared" si="214"/>
        <v>-3242</v>
      </c>
      <c r="K225" s="435">
        <v>51663.040000000001</v>
      </c>
      <c r="L225" s="435">
        <v>51663.040000000001</v>
      </c>
      <c r="M225" s="435">
        <f t="shared" si="215"/>
        <v>45179.040000000001</v>
      </c>
      <c r="N225" s="435">
        <v>29077.040000000001</v>
      </c>
      <c r="O225" s="435">
        <v>29077.040000000001</v>
      </c>
      <c r="P225" s="436">
        <v>3242</v>
      </c>
      <c r="Q225" s="435">
        <f t="shared" ref="Q225" si="233">SUM(Q226:Q229,Q234)</f>
        <v>0</v>
      </c>
      <c r="R225" s="435">
        <f t="shared" si="210"/>
        <v>-25835.040000000001</v>
      </c>
      <c r="S225" s="435">
        <f t="shared" si="211"/>
        <v>-29077.040000000001</v>
      </c>
      <c r="T225" s="437">
        <f>(F225-P225)/F225*100</f>
        <v>93.304563470755681</v>
      </c>
      <c r="U225" s="435">
        <v>3242</v>
      </c>
      <c r="V225" s="435">
        <f>SUM(V226:V229,V234)</f>
        <v>3242</v>
      </c>
      <c r="W225" s="435">
        <f>SUM(W226:W229,W234)</f>
        <v>9180</v>
      </c>
      <c r="X225" s="435">
        <f t="shared" ref="X225" si="234">SUM(X226:X229,X234)</f>
        <v>0</v>
      </c>
      <c r="Y225" s="435">
        <f t="shared" si="212"/>
        <v>52822.952727272728</v>
      </c>
      <c r="Z225" s="435">
        <v>3242</v>
      </c>
      <c r="AA225" s="435">
        <v>3242</v>
      </c>
      <c r="AB225" s="435">
        <f t="shared" ref="AB225:AM225" si="235">SUM(AB226:AB229,AB234)</f>
        <v>0</v>
      </c>
      <c r="AC225" s="435">
        <f t="shared" si="235"/>
        <v>0</v>
      </c>
      <c r="AD225" s="435">
        <f t="shared" si="235"/>
        <v>0</v>
      </c>
      <c r="AE225" s="435"/>
      <c r="AF225" s="435">
        <f t="shared" si="235"/>
        <v>0</v>
      </c>
      <c r="AG225" s="435">
        <f t="shared" si="235"/>
        <v>0</v>
      </c>
      <c r="AH225" s="419">
        <f t="shared" si="209"/>
        <v>-48421.04</v>
      </c>
      <c r="AI225" s="435">
        <f t="shared" si="235"/>
        <v>0</v>
      </c>
      <c r="AJ225" s="435">
        <f t="shared" si="235"/>
        <v>0</v>
      </c>
      <c r="AK225" s="435">
        <f t="shared" si="235"/>
        <v>-5938</v>
      </c>
      <c r="AL225" s="435">
        <f t="shared" si="235"/>
        <v>3242</v>
      </c>
      <c r="AM225" s="435">
        <f t="shared" si="235"/>
        <v>3242</v>
      </c>
      <c r="AN225" s="438"/>
      <c r="AO225" s="438"/>
      <c r="AP225" s="438"/>
    </row>
    <row r="226" spans="1:42" ht="25.5">
      <c r="A226" s="412">
        <v>224</v>
      </c>
      <c r="B226" s="431" t="s">
        <v>1519</v>
      </c>
      <c r="C226" s="432" t="s">
        <v>350</v>
      </c>
      <c r="D226" s="433" t="s">
        <v>6673</v>
      </c>
      <c r="E226" s="434">
        <f>'PROSPETTO CE_IV TRIM 2024'!BM721</f>
        <v>0</v>
      </c>
      <c r="F226" s="439">
        <f>+E226</f>
        <v>0</v>
      </c>
      <c r="G226" s="439">
        <v>0</v>
      </c>
      <c r="H226" s="439">
        <v>3242</v>
      </c>
      <c r="I226" s="435">
        <f t="shared" si="213"/>
        <v>-3242</v>
      </c>
      <c r="J226" s="435">
        <f t="shared" si="214"/>
        <v>-3242</v>
      </c>
      <c r="K226" s="439">
        <v>3242</v>
      </c>
      <c r="L226" s="439">
        <v>3242</v>
      </c>
      <c r="M226" s="439">
        <f t="shared" si="215"/>
        <v>-3242</v>
      </c>
      <c r="N226" s="439">
        <v>3242</v>
      </c>
      <c r="O226" s="439">
        <v>3242</v>
      </c>
      <c r="P226" s="436">
        <v>3242</v>
      </c>
      <c r="Q226" s="439">
        <v>0</v>
      </c>
      <c r="R226" s="439">
        <f t="shared" si="210"/>
        <v>0</v>
      </c>
      <c r="S226" s="439">
        <f t="shared" si="211"/>
        <v>-3242</v>
      </c>
      <c r="T226" s="441" t="e">
        <f>(F226-P226)/F226*100</f>
        <v>#DIV/0!</v>
      </c>
      <c r="U226" s="439">
        <v>3242</v>
      </c>
      <c r="V226" s="439">
        <f>+AA226</f>
        <v>3242</v>
      </c>
      <c r="W226" s="439">
        <v>9180</v>
      </c>
      <c r="X226" s="439">
        <v>0</v>
      </c>
      <c r="Y226" s="435">
        <f t="shared" si="212"/>
        <v>0</v>
      </c>
      <c r="Z226" s="439">
        <v>3242</v>
      </c>
      <c r="AA226" s="439">
        <v>3242</v>
      </c>
      <c r="AB226" s="439">
        <v>0</v>
      </c>
      <c r="AC226" s="439">
        <v>0</v>
      </c>
      <c r="AD226" s="439">
        <v>0</v>
      </c>
      <c r="AE226" s="439"/>
      <c r="AF226" s="439">
        <f>AC226*2</f>
        <v>0</v>
      </c>
      <c r="AG226" s="439">
        <v>0</v>
      </c>
      <c r="AH226" s="419">
        <f t="shared" si="209"/>
        <v>0</v>
      </c>
      <c r="AI226" s="439">
        <v>0</v>
      </c>
      <c r="AJ226" s="439">
        <v>0</v>
      </c>
      <c r="AK226" s="439">
        <f>AA226-W226</f>
        <v>-5938</v>
      </c>
      <c r="AL226" s="439">
        <f>AA226-AF226</f>
        <v>3242</v>
      </c>
      <c r="AM226" s="439">
        <f>AA226-AD226</f>
        <v>3242</v>
      </c>
      <c r="AN226" s="438"/>
      <c r="AO226" s="438"/>
      <c r="AP226" s="438"/>
    </row>
    <row r="227" spans="1:42" ht="12.75">
      <c r="A227" s="412">
        <v>225</v>
      </c>
      <c r="B227" s="431"/>
      <c r="C227" s="432" t="s">
        <v>351</v>
      </c>
      <c r="D227" s="433" t="s">
        <v>6677</v>
      </c>
      <c r="E227" s="434">
        <f>'PROSPETTO CE_IV TRIM 2024'!BM722</f>
        <v>48421.04</v>
      </c>
      <c r="F227" s="439">
        <f>+E227</f>
        <v>48421.04</v>
      </c>
      <c r="G227" s="439">
        <v>0</v>
      </c>
      <c r="H227" s="439">
        <v>48421.04</v>
      </c>
      <c r="I227" s="435">
        <f t="shared" si="213"/>
        <v>0</v>
      </c>
      <c r="J227" s="435">
        <f t="shared" si="214"/>
        <v>0</v>
      </c>
      <c r="K227" s="439">
        <v>48421.04</v>
      </c>
      <c r="L227" s="439">
        <v>48421.04</v>
      </c>
      <c r="M227" s="439">
        <f t="shared" si="215"/>
        <v>48421.04</v>
      </c>
      <c r="N227" s="439">
        <v>25835.040000000001</v>
      </c>
      <c r="O227" s="439">
        <v>25835.040000000001</v>
      </c>
      <c r="P227" s="440">
        <v>0</v>
      </c>
      <c r="Q227" s="439">
        <v>0</v>
      </c>
      <c r="R227" s="439">
        <f t="shared" si="210"/>
        <v>-25835.040000000001</v>
      </c>
      <c r="S227" s="439">
        <f t="shared" si="211"/>
        <v>-25835.040000000001</v>
      </c>
      <c r="T227" s="441">
        <f>(F227-P227)/F227*100</f>
        <v>100</v>
      </c>
      <c r="U227" s="439">
        <v>0</v>
      </c>
      <c r="V227" s="439">
        <f>+AA227</f>
        <v>0</v>
      </c>
      <c r="W227" s="439">
        <v>0</v>
      </c>
      <c r="X227" s="439">
        <v>0</v>
      </c>
      <c r="Y227" s="435">
        <f t="shared" si="212"/>
        <v>52822.952727272728</v>
      </c>
      <c r="Z227" s="439">
        <v>0</v>
      </c>
      <c r="AA227" s="439">
        <v>0</v>
      </c>
      <c r="AB227" s="439">
        <v>0</v>
      </c>
      <c r="AC227" s="439">
        <v>0</v>
      </c>
      <c r="AD227" s="439">
        <v>0</v>
      </c>
      <c r="AE227" s="439"/>
      <c r="AF227" s="439">
        <f>AC227*2</f>
        <v>0</v>
      </c>
      <c r="AG227" s="439">
        <v>0</v>
      </c>
      <c r="AH227" s="419">
        <f t="shared" si="209"/>
        <v>-48421.04</v>
      </c>
      <c r="AI227" s="439">
        <v>0</v>
      </c>
      <c r="AJ227" s="439">
        <v>0</v>
      </c>
      <c r="AK227" s="439">
        <f>AA227-W227</f>
        <v>0</v>
      </c>
      <c r="AL227" s="439">
        <f>AA227-AF227</f>
        <v>0</v>
      </c>
      <c r="AM227" s="439">
        <f>AA227-AD227</f>
        <v>0</v>
      </c>
      <c r="AN227" s="438"/>
      <c r="AO227" s="438"/>
      <c r="AP227" s="438"/>
    </row>
    <row r="228" spans="1:42" ht="12.75">
      <c r="A228" s="412">
        <v>226</v>
      </c>
      <c r="B228" s="431" t="s">
        <v>1349</v>
      </c>
      <c r="C228" s="432" t="s">
        <v>352</v>
      </c>
      <c r="D228" s="433" t="s">
        <v>6680</v>
      </c>
      <c r="E228" s="434">
        <f>'PROSPETTO CE_IV TRIM 2024'!BM723</f>
        <v>0</v>
      </c>
      <c r="F228" s="439">
        <f>+E228</f>
        <v>0</v>
      </c>
      <c r="G228" s="439">
        <v>0</v>
      </c>
      <c r="H228" s="439">
        <v>0</v>
      </c>
      <c r="I228" s="435">
        <f t="shared" si="213"/>
        <v>0</v>
      </c>
      <c r="J228" s="435">
        <f t="shared" si="214"/>
        <v>0</v>
      </c>
      <c r="K228" s="439">
        <v>0</v>
      </c>
      <c r="L228" s="439">
        <v>0</v>
      </c>
      <c r="M228" s="439">
        <f t="shared" si="215"/>
        <v>0</v>
      </c>
      <c r="N228" s="439">
        <v>0</v>
      </c>
      <c r="O228" s="439">
        <v>0</v>
      </c>
      <c r="P228" s="440">
        <v>0</v>
      </c>
      <c r="Q228" s="439">
        <v>0</v>
      </c>
      <c r="R228" s="439">
        <f t="shared" si="210"/>
        <v>0</v>
      </c>
      <c r="S228" s="439">
        <f t="shared" si="211"/>
        <v>0</v>
      </c>
      <c r="T228" s="441"/>
      <c r="U228" s="439">
        <v>0</v>
      </c>
      <c r="V228" s="439">
        <f>+AA228</f>
        <v>0</v>
      </c>
      <c r="W228" s="439">
        <v>0</v>
      </c>
      <c r="X228" s="439">
        <v>0</v>
      </c>
      <c r="Y228" s="435">
        <f t="shared" si="212"/>
        <v>0</v>
      </c>
      <c r="Z228" s="439">
        <v>0</v>
      </c>
      <c r="AA228" s="439">
        <v>0</v>
      </c>
      <c r="AB228" s="439">
        <v>0</v>
      </c>
      <c r="AC228" s="439">
        <v>0</v>
      </c>
      <c r="AD228" s="439">
        <v>0</v>
      </c>
      <c r="AE228" s="439"/>
      <c r="AF228" s="439">
        <f>AC228*2</f>
        <v>0</v>
      </c>
      <c r="AG228" s="439">
        <v>0</v>
      </c>
      <c r="AH228" s="419">
        <f t="shared" si="209"/>
        <v>0</v>
      </c>
      <c r="AI228" s="439">
        <v>0</v>
      </c>
      <c r="AJ228" s="439">
        <v>0</v>
      </c>
      <c r="AK228" s="439">
        <f>AA228-W228</f>
        <v>0</v>
      </c>
      <c r="AL228" s="439">
        <f>AA228-AF228</f>
        <v>0</v>
      </c>
      <c r="AM228" s="439">
        <f>AA228-AD228</f>
        <v>0</v>
      </c>
      <c r="AN228" s="438"/>
      <c r="AO228" s="438"/>
      <c r="AP228" s="438"/>
    </row>
    <row r="229" spans="1:42" ht="12.75">
      <c r="A229" s="412">
        <v>227</v>
      </c>
      <c r="B229" s="431"/>
      <c r="C229" s="432" t="s">
        <v>353</v>
      </c>
      <c r="D229" s="433" t="s">
        <v>11224</v>
      </c>
      <c r="E229" s="434"/>
      <c r="F229" s="435">
        <f>SUM(F230:F233)</f>
        <v>0</v>
      </c>
      <c r="G229" s="435">
        <v>0</v>
      </c>
      <c r="H229" s="435">
        <v>0</v>
      </c>
      <c r="I229" s="435">
        <f t="shared" si="213"/>
        <v>0</v>
      </c>
      <c r="J229" s="435">
        <f t="shared" si="214"/>
        <v>0</v>
      </c>
      <c r="K229" s="435">
        <v>0</v>
      </c>
      <c r="L229" s="435">
        <v>0</v>
      </c>
      <c r="M229" s="435">
        <f t="shared" si="215"/>
        <v>0</v>
      </c>
      <c r="N229" s="435">
        <v>0</v>
      </c>
      <c r="O229" s="435">
        <v>0</v>
      </c>
      <c r="P229" s="436">
        <v>0</v>
      </c>
      <c r="Q229" s="435">
        <f t="shared" ref="Q229" si="236">SUM(Q230:Q233)</f>
        <v>0</v>
      </c>
      <c r="R229" s="435">
        <f t="shared" si="210"/>
        <v>0</v>
      </c>
      <c r="S229" s="435">
        <f t="shared" si="211"/>
        <v>0</v>
      </c>
      <c r="T229" s="437"/>
      <c r="U229" s="435">
        <v>0</v>
      </c>
      <c r="V229" s="435">
        <f>SUM(V230:V233)</f>
        <v>0</v>
      </c>
      <c r="W229" s="435">
        <f>SUM(W230:W233)</f>
        <v>0</v>
      </c>
      <c r="X229" s="435">
        <f t="shared" ref="X229" si="237">SUM(X230:X233)</f>
        <v>0</v>
      </c>
      <c r="Y229" s="435">
        <f t="shared" si="212"/>
        <v>0</v>
      </c>
      <c r="Z229" s="435">
        <v>0</v>
      </c>
      <c r="AA229" s="435">
        <v>0</v>
      </c>
      <c r="AB229" s="435">
        <f t="shared" ref="AB229:AM229" si="238">SUM(AB230:AB233)</f>
        <v>0</v>
      </c>
      <c r="AC229" s="435">
        <f t="shared" si="238"/>
        <v>0</v>
      </c>
      <c r="AD229" s="435">
        <f t="shared" si="238"/>
        <v>0</v>
      </c>
      <c r="AE229" s="435"/>
      <c r="AF229" s="435">
        <f t="shared" si="238"/>
        <v>0</v>
      </c>
      <c r="AG229" s="435">
        <f t="shared" si="238"/>
        <v>0</v>
      </c>
      <c r="AH229" s="419">
        <f t="shared" si="209"/>
        <v>0</v>
      </c>
      <c r="AI229" s="435">
        <f t="shared" si="238"/>
        <v>0</v>
      </c>
      <c r="AJ229" s="435">
        <f t="shared" si="238"/>
        <v>0</v>
      </c>
      <c r="AK229" s="435">
        <f t="shared" si="238"/>
        <v>0</v>
      </c>
      <c r="AL229" s="435">
        <f t="shared" si="238"/>
        <v>0</v>
      </c>
      <c r="AM229" s="435">
        <f t="shared" si="238"/>
        <v>0</v>
      </c>
      <c r="AN229" s="438"/>
      <c r="AO229" s="438"/>
      <c r="AP229" s="438"/>
    </row>
    <row r="230" spans="1:42" ht="25.5">
      <c r="A230" s="412">
        <v>228</v>
      </c>
      <c r="B230" s="431"/>
      <c r="C230" s="432" t="s">
        <v>354</v>
      </c>
      <c r="D230" s="433" t="s">
        <v>6684</v>
      </c>
      <c r="E230" s="434">
        <f>'PROSPETTO CE_IV TRIM 2024'!BM724</f>
        <v>0</v>
      </c>
      <c r="F230" s="439">
        <f>+E230</f>
        <v>0</v>
      </c>
      <c r="G230" s="439">
        <v>0</v>
      </c>
      <c r="H230" s="439">
        <v>0</v>
      </c>
      <c r="I230" s="435">
        <f t="shared" si="213"/>
        <v>0</v>
      </c>
      <c r="J230" s="435">
        <f t="shared" si="214"/>
        <v>0</v>
      </c>
      <c r="K230" s="439">
        <v>0</v>
      </c>
      <c r="L230" s="439">
        <v>0</v>
      </c>
      <c r="M230" s="439">
        <f t="shared" si="215"/>
        <v>0</v>
      </c>
      <c r="N230" s="439">
        <v>0</v>
      </c>
      <c r="O230" s="439">
        <v>0</v>
      </c>
      <c r="P230" s="440">
        <v>0</v>
      </c>
      <c r="Q230" s="439">
        <v>0</v>
      </c>
      <c r="R230" s="439">
        <f t="shared" si="210"/>
        <v>0</v>
      </c>
      <c r="S230" s="439">
        <f t="shared" si="211"/>
        <v>0</v>
      </c>
      <c r="T230" s="441"/>
      <c r="U230" s="439">
        <v>0</v>
      </c>
      <c r="V230" s="439">
        <f>+AA230</f>
        <v>0</v>
      </c>
      <c r="W230" s="439">
        <v>0</v>
      </c>
      <c r="X230" s="439">
        <v>0</v>
      </c>
      <c r="Y230" s="435">
        <f t="shared" si="212"/>
        <v>0</v>
      </c>
      <c r="Z230" s="439">
        <v>0</v>
      </c>
      <c r="AA230" s="439">
        <v>0</v>
      </c>
      <c r="AB230" s="439">
        <v>0</v>
      </c>
      <c r="AC230" s="439">
        <v>0</v>
      </c>
      <c r="AD230" s="439">
        <v>0</v>
      </c>
      <c r="AE230" s="439"/>
      <c r="AF230" s="439">
        <v>0</v>
      </c>
      <c r="AG230" s="439">
        <v>0</v>
      </c>
      <c r="AH230" s="419">
        <f t="shared" si="209"/>
        <v>0</v>
      </c>
      <c r="AI230" s="439">
        <v>0</v>
      </c>
      <c r="AJ230" s="439">
        <v>0</v>
      </c>
      <c r="AK230" s="439">
        <f>AA230-W230</f>
        <v>0</v>
      </c>
      <c r="AL230" s="439">
        <f>AA230-AF230</f>
        <v>0</v>
      </c>
      <c r="AM230" s="439">
        <f>AA230-AD230</f>
        <v>0</v>
      </c>
      <c r="AN230" s="438"/>
      <c r="AO230" s="438"/>
      <c r="AP230" s="438"/>
    </row>
    <row r="231" spans="1:42" ht="25.5">
      <c r="A231" s="412">
        <v>229</v>
      </c>
      <c r="B231" s="431"/>
      <c r="C231" s="432" t="s">
        <v>355</v>
      </c>
      <c r="D231" s="433" t="s">
        <v>6688</v>
      </c>
      <c r="E231" s="434">
        <f>'PROSPETTO CE_IV TRIM 2024'!BM725</f>
        <v>0</v>
      </c>
      <c r="F231" s="439">
        <f>+E231</f>
        <v>0</v>
      </c>
      <c r="G231" s="439">
        <v>0</v>
      </c>
      <c r="H231" s="439">
        <v>0</v>
      </c>
      <c r="I231" s="435">
        <f t="shared" si="213"/>
        <v>0</v>
      </c>
      <c r="J231" s="435">
        <f t="shared" si="214"/>
        <v>0</v>
      </c>
      <c r="K231" s="439">
        <v>0</v>
      </c>
      <c r="L231" s="439">
        <v>0</v>
      </c>
      <c r="M231" s="439">
        <f t="shared" si="215"/>
        <v>0</v>
      </c>
      <c r="N231" s="439">
        <v>0</v>
      </c>
      <c r="O231" s="439">
        <v>0</v>
      </c>
      <c r="P231" s="440">
        <v>0</v>
      </c>
      <c r="Q231" s="439">
        <v>0</v>
      </c>
      <c r="R231" s="439">
        <f t="shared" si="210"/>
        <v>0</v>
      </c>
      <c r="S231" s="439">
        <f t="shared" si="211"/>
        <v>0</v>
      </c>
      <c r="T231" s="441"/>
      <c r="U231" s="439">
        <v>0</v>
      </c>
      <c r="V231" s="439">
        <f>+AA231</f>
        <v>0</v>
      </c>
      <c r="W231" s="439">
        <v>0</v>
      </c>
      <c r="X231" s="439">
        <v>0</v>
      </c>
      <c r="Y231" s="435">
        <f t="shared" si="212"/>
        <v>0</v>
      </c>
      <c r="Z231" s="439">
        <v>0</v>
      </c>
      <c r="AA231" s="439">
        <v>0</v>
      </c>
      <c r="AB231" s="439">
        <v>0</v>
      </c>
      <c r="AC231" s="439">
        <v>0</v>
      </c>
      <c r="AD231" s="439">
        <v>0</v>
      </c>
      <c r="AE231" s="439"/>
      <c r="AF231" s="439">
        <v>0</v>
      </c>
      <c r="AG231" s="439">
        <v>0</v>
      </c>
      <c r="AH231" s="419">
        <f t="shared" si="209"/>
        <v>0</v>
      </c>
      <c r="AI231" s="439">
        <v>0</v>
      </c>
      <c r="AJ231" s="439">
        <v>0</v>
      </c>
      <c r="AK231" s="439">
        <f>AA231-W231</f>
        <v>0</v>
      </c>
      <c r="AL231" s="439">
        <f>AA231-AF231</f>
        <v>0</v>
      </c>
      <c r="AM231" s="439">
        <f>AA231-AD231</f>
        <v>0</v>
      </c>
      <c r="AN231" s="438"/>
      <c r="AO231" s="438"/>
      <c r="AP231" s="438"/>
    </row>
    <row r="232" spans="1:42" ht="25.5">
      <c r="A232" s="412">
        <v>230</v>
      </c>
      <c r="B232" s="431"/>
      <c r="C232" s="432" t="s">
        <v>356</v>
      </c>
      <c r="D232" s="433" t="s">
        <v>6692</v>
      </c>
      <c r="E232" s="434">
        <f>'PROSPETTO CE_IV TRIM 2024'!BM726</f>
        <v>0</v>
      </c>
      <c r="F232" s="439">
        <f>+E232</f>
        <v>0</v>
      </c>
      <c r="G232" s="439">
        <v>0</v>
      </c>
      <c r="H232" s="439">
        <v>0</v>
      </c>
      <c r="I232" s="435">
        <f t="shared" si="213"/>
        <v>0</v>
      </c>
      <c r="J232" s="435">
        <f t="shared" si="214"/>
        <v>0</v>
      </c>
      <c r="K232" s="439">
        <v>0</v>
      </c>
      <c r="L232" s="439">
        <v>0</v>
      </c>
      <c r="M232" s="439">
        <f t="shared" si="215"/>
        <v>0</v>
      </c>
      <c r="N232" s="439">
        <v>0</v>
      </c>
      <c r="O232" s="439">
        <v>0</v>
      </c>
      <c r="P232" s="440">
        <v>0</v>
      </c>
      <c r="Q232" s="439">
        <v>0</v>
      </c>
      <c r="R232" s="439">
        <f t="shared" si="210"/>
        <v>0</v>
      </c>
      <c r="S232" s="439">
        <f t="shared" si="211"/>
        <v>0</v>
      </c>
      <c r="T232" s="441"/>
      <c r="U232" s="439">
        <v>0</v>
      </c>
      <c r="V232" s="439">
        <f>+AA232</f>
        <v>0</v>
      </c>
      <c r="W232" s="439">
        <v>0</v>
      </c>
      <c r="X232" s="439">
        <v>0</v>
      </c>
      <c r="Y232" s="435">
        <f t="shared" si="212"/>
        <v>0</v>
      </c>
      <c r="Z232" s="439">
        <v>0</v>
      </c>
      <c r="AA232" s="439">
        <v>0</v>
      </c>
      <c r="AB232" s="439">
        <v>0</v>
      </c>
      <c r="AC232" s="439">
        <v>0</v>
      </c>
      <c r="AD232" s="439">
        <v>0</v>
      </c>
      <c r="AE232" s="439"/>
      <c r="AF232" s="439">
        <v>0</v>
      </c>
      <c r="AG232" s="439">
        <v>0</v>
      </c>
      <c r="AH232" s="419">
        <f t="shared" si="209"/>
        <v>0</v>
      </c>
      <c r="AI232" s="439">
        <v>0</v>
      </c>
      <c r="AJ232" s="439">
        <v>0</v>
      </c>
      <c r="AK232" s="439">
        <f>AA232-W232</f>
        <v>0</v>
      </c>
      <c r="AL232" s="439">
        <f>AA232-AF232</f>
        <v>0</v>
      </c>
      <c r="AM232" s="439">
        <f>AA232-AD232</f>
        <v>0</v>
      </c>
      <c r="AN232" s="438"/>
      <c r="AO232" s="438"/>
      <c r="AP232" s="438"/>
    </row>
    <row r="233" spans="1:42" ht="25.5">
      <c r="A233" s="412">
        <v>231</v>
      </c>
      <c r="B233" s="431"/>
      <c r="C233" s="432" t="s">
        <v>357</v>
      </c>
      <c r="D233" s="433" t="s">
        <v>6696</v>
      </c>
      <c r="E233" s="434">
        <f>'PROSPETTO CE_IV TRIM 2024'!BM727</f>
        <v>0</v>
      </c>
      <c r="F233" s="439">
        <f>+E233</f>
        <v>0</v>
      </c>
      <c r="G233" s="439">
        <v>0</v>
      </c>
      <c r="H233" s="439">
        <v>0</v>
      </c>
      <c r="I233" s="435">
        <f t="shared" si="213"/>
        <v>0</v>
      </c>
      <c r="J233" s="435">
        <f t="shared" si="214"/>
        <v>0</v>
      </c>
      <c r="K233" s="439">
        <v>0</v>
      </c>
      <c r="L233" s="439">
        <v>0</v>
      </c>
      <c r="M233" s="439">
        <f t="shared" si="215"/>
        <v>0</v>
      </c>
      <c r="N233" s="439">
        <v>0</v>
      </c>
      <c r="O233" s="439">
        <v>0</v>
      </c>
      <c r="P233" s="440">
        <v>0</v>
      </c>
      <c r="Q233" s="439">
        <v>0</v>
      </c>
      <c r="R233" s="439">
        <f t="shared" si="210"/>
        <v>0</v>
      </c>
      <c r="S233" s="439">
        <f t="shared" si="211"/>
        <v>0</v>
      </c>
      <c r="T233" s="441"/>
      <c r="U233" s="439">
        <v>0</v>
      </c>
      <c r="V233" s="439">
        <f>+AA233</f>
        <v>0</v>
      </c>
      <c r="W233" s="439">
        <v>0</v>
      </c>
      <c r="X233" s="439">
        <v>0</v>
      </c>
      <c r="Y233" s="435">
        <f t="shared" si="212"/>
        <v>0</v>
      </c>
      <c r="Z233" s="439">
        <v>0</v>
      </c>
      <c r="AA233" s="439">
        <v>0</v>
      </c>
      <c r="AB233" s="439">
        <v>0</v>
      </c>
      <c r="AC233" s="439">
        <v>0</v>
      </c>
      <c r="AD233" s="439">
        <v>0</v>
      </c>
      <c r="AE233" s="439"/>
      <c r="AF233" s="439">
        <v>0</v>
      </c>
      <c r="AG233" s="439">
        <v>0</v>
      </c>
      <c r="AH233" s="419">
        <f t="shared" si="209"/>
        <v>0</v>
      </c>
      <c r="AI233" s="439">
        <v>0</v>
      </c>
      <c r="AJ233" s="439">
        <v>0</v>
      </c>
      <c r="AK233" s="439">
        <f>AA233-W233</f>
        <v>0</v>
      </c>
      <c r="AL233" s="439">
        <f>AA233-AF233</f>
        <v>0</v>
      </c>
      <c r="AM233" s="439">
        <f>AA233-AD233</f>
        <v>0</v>
      </c>
      <c r="AN233" s="438"/>
      <c r="AO233" s="438"/>
      <c r="AP233" s="438"/>
    </row>
    <row r="234" spans="1:42" ht="25.5">
      <c r="A234" s="412">
        <v>232</v>
      </c>
      <c r="B234" s="431"/>
      <c r="C234" s="432" t="s">
        <v>359</v>
      </c>
      <c r="D234" s="433" t="s">
        <v>6700</v>
      </c>
      <c r="E234" s="434">
        <f>'PROSPETTO CE_IV TRIM 2024'!BM728</f>
        <v>0</v>
      </c>
      <c r="F234" s="439">
        <f>+E234</f>
        <v>0</v>
      </c>
      <c r="G234" s="439">
        <v>0</v>
      </c>
      <c r="H234" s="439">
        <v>0</v>
      </c>
      <c r="I234" s="435">
        <f t="shared" si="213"/>
        <v>0</v>
      </c>
      <c r="J234" s="435">
        <f t="shared" si="214"/>
        <v>0</v>
      </c>
      <c r="K234" s="439">
        <v>0</v>
      </c>
      <c r="L234" s="439">
        <v>0</v>
      </c>
      <c r="M234" s="439">
        <f t="shared" si="215"/>
        <v>0</v>
      </c>
      <c r="N234" s="439">
        <v>0</v>
      </c>
      <c r="O234" s="439">
        <v>0</v>
      </c>
      <c r="P234" s="440">
        <v>0</v>
      </c>
      <c r="Q234" s="439">
        <v>0</v>
      </c>
      <c r="R234" s="439">
        <f t="shared" si="210"/>
        <v>0</v>
      </c>
      <c r="S234" s="439">
        <f t="shared" si="211"/>
        <v>0</v>
      </c>
      <c r="T234" s="441"/>
      <c r="U234" s="439">
        <v>0</v>
      </c>
      <c r="V234" s="439">
        <f>+AA234</f>
        <v>0</v>
      </c>
      <c r="W234" s="439">
        <v>0</v>
      </c>
      <c r="X234" s="439">
        <v>0</v>
      </c>
      <c r="Y234" s="435">
        <f t="shared" si="212"/>
        <v>0</v>
      </c>
      <c r="Z234" s="439">
        <v>0</v>
      </c>
      <c r="AA234" s="439">
        <v>0</v>
      </c>
      <c r="AB234" s="439">
        <v>0</v>
      </c>
      <c r="AC234" s="439">
        <v>0</v>
      </c>
      <c r="AD234" s="439">
        <v>0</v>
      </c>
      <c r="AE234" s="439"/>
      <c r="AF234" s="439">
        <v>0</v>
      </c>
      <c r="AG234" s="439">
        <v>0</v>
      </c>
      <c r="AH234" s="419">
        <f t="shared" si="209"/>
        <v>0</v>
      </c>
      <c r="AI234" s="439">
        <v>0</v>
      </c>
      <c r="AJ234" s="439">
        <v>0</v>
      </c>
      <c r="AK234" s="439">
        <f>AA234-W234</f>
        <v>0</v>
      </c>
      <c r="AL234" s="439">
        <f>AA234-AF234</f>
        <v>0</v>
      </c>
      <c r="AM234" s="439">
        <f>AA234-AD234</f>
        <v>0</v>
      </c>
      <c r="AN234" s="438"/>
      <c r="AO234" s="438"/>
      <c r="AP234" s="438"/>
    </row>
    <row r="235" spans="1:42" ht="25.5">
      <c r="A235" s="412">
        <v>233</v>
      </c>
      <c r="B235" s="431"/>
      <c r="C235" s="432" t="s">
        <v>6701</v>
      </c>
      <c r="D235" s="433" t="s">
        <v>6703</v>
      </c>
      <c r="E235" s="434"/>
      <c r="F235" s="435">
        <f>SUM(F236:F240)</f>
        <v>0</v>
      </c>
      <c r="G235" s="435">
        <v>0</v>
      </c>
      <c r="H235" s="435">
        <v>0</v>
      </c>
      <c r="I235" s="435">
        <f t="shared" si="213"/>
        <v>0</v>
      </c>
      <c r="J235" s="435">
        <f t="shared" si="214"/>
        <v>0</v>
      </c>
      <c r="K235" s="435">
        <v>0</v>
      </c>
      <c r="L235" s="435">
        <v>0</v>
      </c>
      <c r="M235" s="435">
        <f t="shared" si="215"/>
        <v>0</v>
      </c>
      <c r="N235" s="435">
        <v>0</v>
      </c>
      <c r="O235" s="435">
        <v>0</v>
      </c>
      <c r="P235" s="436">
        <v>0</v>
      </c>
      <c r="Q235" s="435">
        <f t="shared" ref="Q235" si="239">SUM(Q236:Q240)</f>
        <v>0</v>
      </c>
      <c r="R235" s="435">
        <f t="shared" si="210"/>
        <v>0</v>
      </c>
      <c r="S235" s="435">
        <f t="shared" si="211"/>
        <v>0</v>
      </c>
      <c r="T235" s="437"/>
      <c r="U235" s="435">
        <v>0</v>
      </c>
      <c r="V235" s="435">
        <f>SUM(V236:V240)</f>
        <v>0</v>
      </c>
      <c r="W235" s="435">
        <f>SUM(W236:W240)</f>
        <v>0</v>
      </c>
      <c r="X235" s="435">
        <f t="shared" ref="X235" si="240">SUM(X236:X240)</f>
        <v>0</v>
      </c>
      <c r="Y235" s="435">
        <f t="shared" si="212"/>
        <v>0</v>
      </c>
      <c r="Z235" s="435">
        <v>0</v>
      </c>
      <c r="AA235" s="435">
        <v>0</v>
      </c>
      <c r="AB235" s="435">
        <f t="shared" ref="AB235:AM235" si="241">SUM(AB236:AB240)</f>
        <v>0</v>
      </c>
      <c r="AC235" s="435">
        <f t="shared" si="241"/>
        <v>0</v>
      </c>
      <c r="AD235" s="435">
        <f t="shared" si="241"/>
        <v>0</v>
      </c>
      <c r="AE235" s="435"/>
      <c r="AF235" s="435">
        <f t="shared" si="241"/>
        <v>0</v>
      </c>
      <c r="AG235" s="435">
        <f t="shared" si="241"/>
        <v>0</v>
      </c>
      <c r="AH235" s="419">
        <f t="shared" si="209"/>
        <v>0</v>
      </c>
      <c r="AI235" s="435">
        <f t="shared" si="241"/>
        <v>0</v>
      </c>
      <c r="AJ235" s="435">
        <f t="shared" si="241"/>
        <v>0</v>
      </c>
      <c r="AK235" s="435">
        <f t="shared" si="241"/>
        <v>0</v>
      </c>
      <c r="AL235" s="435">
        <f t="shared" si="241"/>
        <v>0</v>
      </c>
      <c r="AM235" s="435">
        <f t="shared" si="241"/>
        <v>0</v>
      </c>
      <c r="AN235" s="438"/>
      <c r="AO235" s="438"/>
      <c r="AP235" s="438"/>
    </row>
    <row r="236" spans="1:42" ht="25.5">
      <c r="A236" s="412">
        <v>234</v>
      </c>
      <c r="B236" s="444" t="s">
        <v>1519</v>
      </c>
      <c r="C236" s="432" t="s">
        <v>360</v>
      </c>
      <c r="D236" s="433" t="s">
        <v>6708</v>
      </c>
      <c r="E236" s="434">
        <f>'PROSPETTO CE_IV TRIM 2024'!BM730</f>
        <v>0</v>
      </c>
      <c r="F236" s="439">
        <f>+E236</f>
        <v>0</v>
      </c>
      <c r="G236" s="439">
        <v>0</v>
      </c>
      <c r="H236" s="439">
        <v>0</v>
      </c>
      <c r="I236" s="435">
        <f t="shared" si="213"/>
        <v>0</v>
      </c>
      <c r="J236" s="435">
        <f t="shared" si="214"/>
        <v>0</v>
      </c>
      <c r="K236" s="439">
        <v>0</v>
      </c>
      <c r="L236" s="439">
        <v>0</v>
      </c>
      <c r="M236" s="439">
        <f t="shared" si="215"/>
        <v>0</v>
      </c>
      <c r="N236" s="439">
        <v>0</v>
      </c>
      <c r="O236" s="439">
        <v>0</v>
      </c>
      <c r="P236" s="440">
        <v>0</v>
      </c>
      <c r="Q236" s="439">
        <v>0</v>
      </c>
      <c r="R236" s="439">
        <f t="shared" si="210"/>
        <v>0</v>
      </c>
      <c r="S236" s="439">
        <f t="shared" si="211"/>
        <v>0</v>
      </c>
      <c r="T236" s="441"/>
      <c r="U236" s="439">
        <v>0</v>
      </c>
      <c r="V236" s="439">
        <f>+AA236</f>
        <v>0</v>
      </c>
      <c r="W236" s="439">
        <v>0</v>
      </c>
      <c r="X236" s="439">
        <v>0</v>
      </c>
      <c r="Y236" s="435">
        <f t="shared" si="212"/>
        <v>0</v>
      </c>
      <c r="Z236" s="439">
        <v>0</v>
      </c>
      <c r="AA236" s="439">
        <v>0</v>
      </c>
      <c r="AB236" s="439">
        <v>0</v>
      </c>
      <c r="AC236" s="439">
        <v>0</v>
      </c>
      <c r="AD236" s="439">
        <v>0</v>
      </c>
      <c r="AE236" s="439"/>
      <c r="AF236" s="439">
        <v>0</v>
      </c>
      <c r="AG236" s="439">
        <v>0</v>
      </c>
      <c r="AH236" s="419">
        <f t="shared" si="209"/>
        <v>0</v>
      </c>
      <c r="AI236" s="439">
        <v>0</v>
      </c>
      <c r="AJ236" s="439">
        <v>0</v>
      </c>
      <c r="AK236" s="439">
        <f>AA236-W236</f>
        <v>0</v>
      </c>
      <c r="AL236" s="439">
        <f>AA236-AF236</f>
        <v>0</v>
      </c>
      <c r="AM236" s="439">
        <f>AA236-AD236</f>
        <v>0</v>
      </c>
      <c r="AN236" s="438"/>
      <c r="AO236" s="438"/>
      <c r="AP236" s="438"/>
    </row>
    <row r="237" spans="1:42" ht="12.75">
      <c r="A237" s="412">
        <v>235</v>
      </c>
      <c r="B237" s="431"/>
      <c r="C237" s="432" t="s">
        <v>361</v>
      </c>
      <c r="D237" s="433" t="s">
        <v>6713</v>
      </c>
      <c r="E237" s="434">
        <f>'PROSPETTO CE_IV TRIM 2024'!BM731</f>
        <v>0</v>
      </c>
      <c r="F237" s="439">
        <f>+E237</f>
        <v>0</v>
      </c>
      <c r="G237" s="439">
        <v>0</v>
      </c>
      <c r="H237" s="439">
        <v>0</v>
      </c>
      <c r="I237" s="435">
        <f t="shared" si="213"/>
        <v>0</v>
      </c>
      <c r="J237" s="435">
        <f t="shared" si="214"/>
        <v>0</v>
      </c>
      <c r="K237" s="439">
        <v>0</v>
      </c>
      <c r="L237" s="439">
        <v>0</v>
      </c>
      <c r="M237" s="439">
        <f t="shared" si="215"/>
        <v>0</v>
      </c>
      <c r="N237" s="439">
        <v>0</v>
      </c>
      <c r="O237" s="439">
        <v>0</v>
      </c>
      <c r="P237" s="440">
        <v>0</v>
      </c>
      <c r="Q237" s="439">
        <v>0</v>
      </c>
      <c r="R237" s="439">
        <f t="shared" si="210"/>
        <v>0</v>
      </c>
      <c r="S237" s="439">
        <f t="shared" si="211"/>
        <v>0</v>
      </c>
      <c r="T237" s="441"/>
      <c r="U237" s="439">
        <v>0</v>
      </c>
      <c r="V237" s="439">
        <f>+AA237</f>
        <v>0</v>
      </c>
      <c r="W237" s="439">
        <v>0</v>
      </c>
      <c r="X237" s="439">
        <v>0</v>
      </c>
      <c r="Y237" s="435">
        <f t="shared" si="212"/>
        <v>0</v>
      </c>
      <c r="Z237" s="439">
        <v>0</v>
      </c>
      <c r="AA237" s="439">
        <v>0</v>
      </c>
      <c r="AB237" s="439">
        <v>0</v>
      </c>
      <c r="AC237" s="439">
        <v>0</v>
      </c>
      <c r="AD237" s="439">
        <v>0</v>
      </c>
      <c r="AE237" s="439"/>
      <c r="AF237" s="439">
        <v>0</v>
      </c>
      <c r="AG237" s="439">
        <v>0</v>
      </c>
      <c r="AH237" s="419">
        <f t="shared" si="209"/>
        <v>0</v>
      </c>
      <c r="AI237" s="439">
        <v>0</v>
      </c>
      <c r="AJ237" s="439">
        <v>0</v>
      </c>
      <c r="AK237" s="439">
        <f>AA237-W237</f>
        <v>0</v>
      </c>
      <c r="AL237" s="439">
        <f>AA237-AF237</f>
        <v>0</v>
      </c>
      <c r="AM237" s="439">
        <f>AA237-AD237</f>
        <v>0</v>
      </c>
      <c r="AN237" s="438"/>
      <c r="AO237" s="438"/>
      <c r="AP237" s="438"/>
    </row>
    <row r="238" spans="1:42" ht="25.5">
      <c r="A238" s="412">
        <v>236</v>
      </c>
      <c r="B238" s="431" t="s">
        <v>1340</v>
      </c>
      <c r="C238" s="432" t="s">
        <v>362</v>
      </c>
      <c r="D238" s="433" t="s">
        <v>6718</v>
      </c>
      <c r="E238" s="434">
        <f>'PROSPETTO CE_IV TRIM 2024'!BM732</f>
        <v>0</v>
      </c>
      <c r="F238" s="439">
        <f>+E238</f>
        <v>0</v>
      </c>
      <c r="G238" s="439">
        <v>0</v>
      </c>
      <c r="H238" s="439">
        <v>0</v>
      </c>
      <c r="I238" s="435">
        <f t="shared" si="213"/>
        <v>0</v>
      </c>
      <c r="J238" s="435">
        <f t="shared" si="214"/>
        <v>0</v>
      </c>
      <c r="K238" s="439">
        <v>0</v>
      </c>
      <c r="L238" s="439">
        <v>0</v>
      </c>
      <c r="M238" s="439">
        <f t="shared" si="215"/>
        <v>0</v>
      </c>
      <c r="N238" s="439">
        <v>0</v>
      </c>
      <c r="O238" s="439">
        <v>0</v>
      </c>
      <c r="P238" s="440">
        <v>0</v>
      </c>
      <c r="Q238" s="439">
        <v>0</v>
      </c>
      <c r="R238" s="439">
        <f t="shared" si="210"/>
        <v>0</v>
      </c>
      <c r="S238" s="439">
        <f t="shared" si="211"/>
        <v>0</v>
      </c>
      <c r="T238" s="441"/>
      <c r="U238" s="439">
        <v>0</v>
      </c>
      <c r="V238" s="439">
        <f>+AA238</f>
        <v>0</v>
      </c>
      <c r="W238" s="439">
        <v>0</v>
      </c>
      <c r="X238" s="439">
        <v>0</v>
      </c>
      <c r="Y238" s="435">
        <f t="shared" si="212"/>
        <v>0</v>
      </c>
      <c r="Z238" s="439">
        <v>0</v>
      </c>
      <c r="AA238" s="439">
        <v>0</v>
      </c>
      <c r="AB238" s="439">
        <v>0</v>
      </c>
      <c r="AC238" s="439">
        <v>0</v>
      </c>
      <c r="AD238" s="439">
        <v>0</v>
      </c>
      <c r="AE238" s="439"/>
      <c r="AF238" s="439">
        <v>0</v>
      </c>
      <c r="AG238" s="439">
        <v>0</v>
      </c>
      <c r="AH238" s="419">
        <f t="shared" si="209"/>
        <v>0</v>
      </c>
      <c r="AI238" s="439">
        <v>0</v>
      </c>
      <c r="AJ238" s="439">
        <v>0</v>
      </c>
      <c r="AK238" s="439">
        <f>AA238-W238</f>
        <v>0</v>
      </c>
      <c r="AL238" s="439">
        <f>AA238-AF238</f>
        <v>0</v>
      </c>
      <c r="AM238" s="439">
        <f>AA238-AD238</f>
        <v>0</v>
      </c>
      <c r="AN238" s="438"/>
      <c r="AO238" s="438"/>
      <c r="AP238" s="438"/>
    </row>
    <row r="239" spans="1:42" ht="12.75">
      <c r="A239" s="412">
        <v>237</v>
      </c>
      <c r="B239" s="431"/>
      <c r="C239" s="432" t="s">
        <v>363</v>
      </c>
      <c r="D239" s="433" t="s">
        <v>6723</v>
      </c>
      <c r="E239" s="434">
        <f>'PROSPETTO CE_IV TRIM 2024'!BM733</f>
        <v>0</v>
      </c>
      <c r="F239" s="439">
        <f>+E239</f>
        <v>0</v>
      </c>
      <c r="G239" s="439">
        <v>0</v>
      </c>
      <c r="H239" s="439">
        <v>0</v>
      </c>
      <c r="I239" s="435">
        <f t="shared" si="213"/>
        <v>0</v>
      </c>
      <c r="J239" s="435">
        <f t="shared" si="214"/>
        <v>0</v>
      </c>
      <c r="K239" s="439">
        <v>0</v>
      </c>
      <c r="L239" s="439">
        <v>0</v>
      </c>
      <c r="M239" s="439">
        <f t="shared" si="215"/>
        <v>0</v>
      </c>
      <c r="N239" s="439">
        <v>0</v>
      </c>
      <c r="O239" s="439">
        <v>0</v>
      </c>
      <c r="P239" s="440">
        <v>0</v>
      </c>
      <c r="Q239" s="439">
        <v>0</v>
      </c>
      <c r="R239" s="439">
        <f t="shared" si="210"/>
        <v>0</v>
      </c>
      <c r="S239" s="439">
        <f t="shared" si="211"/>
        <v>0</v>
      </c>
      <c r="T239" s="441"/>
      <c r="U239" s="439">
        <v>0</v>
      </c>
      <c r="V239" s="439">
        <f>+AA239</f>
        <v>0</v>
      </c>
      <c r="W239" s="439">
        <v>0</v>
      </c>
      <c r="X239" s="439">
        <v>0</v>
      </c>
      <c r="Y239" s="435">
        <f t="shared" si="212"/>
        <v>0</v>
      </c>
      <c r="Z239" s="439">
        <v>0</v>
      </c>
      <c r="AA239" s="439">
        <v>0</v>
      </c>
      <c r="AB239" s="439">
        <v>0</v>
      </c>
      <c r="AC239" s="439">
        <v>0</v>
      </c>
      <c r="AD239" s="439">
        <v>0</v>
      </c>
      <c r="AE239" s="439"/>
      <c r="AF239" s="439">
        <v>0</v>
      </c>
      <c r="AG239" s="439">
        <v>0</v>
      </c>
      <c r="AH239" s="419">
        <f t="shared" si="209"/>
        <v>0</v>
      </c>
      <c r="AI239" s="439">
        <v>0</v>
      </c>
      <c r="AJ239" s="439">
        <v>0</v>
      </c>
      <c r="AK239" s="439">
        <f>AA239-W239</f>
        <v>0</v>
      </c>
      <c r="AL239" s="439">
        <f>AA239-AF239</f>
        <v>0</v>
      </c>
      <c r="AM239" s="439">
        <f>AA239-AD239</f>
        <v>0</v>
      </c>
      <c r="AN239" s="438"/>
      <c r="AO239" s="438"/>
      <c r="AP239" s="438"/>
    </row>
    <row r="240" spans="1:42" ht="12.75">
      <c r="A240" s="412">
        <v>238</v>
      </c>
      <c r="B240" s="431"/>
      <c r="C240" s="432" t="s">
        <v>364</v>
      </c>
      <c r="D240" s="433" t="s">
        <v>6728</v>
      </c>
      <c r="E240" s="434">
        <f>'PROSPETTO CE_IV TRIM 2024'!BM734</f>
        <v>0</v>
      </c>
      <c r="F240" s="439">
        <f>+E240</f>
        <v>0</v>
      </c>
      <c r="G240" s="439">
        <v>0</v>
      </c>
      <c r="H240" s="439">
        <v>0</v>
      </c>
      <c r="I240" s="435">
        <f t="shared" si="213"/>
        <v>0</v>
      </c>
      <c r="J240" s="435">
        <f t="shared" si="214"/>
        <v>0</v>
      </c>
      <c r="K240" s="439">
        <v>0</v>
      </c>
      <c r="L240" s="439">
        <v>0</v>
      </c>
      <c r="M240" s="439">
        <f t="shared" si="215"/>
        <v>0</v>
      </c>
      <c r="N240" s="439">
        <v>0</v>
      </c>
      <c r="O240" s="439">
        <v>0</v>
      </c>
      <c r="P240" s="440">
        <v>0</v>
      </c>
      <c r="Q240" s="439">
        <v>0</v>
      </c>
      <c r="R240" s="439">
        <f t="shared" si="210"/>
        <v>0</v>
      </c>
      <c r="S240" s="439">
        <f t="shared" si="211"/>
        <v>0</v>
      </c>
      <c r="T240" s="441"/>
      <c r="U240" s="439">
        <v>0</v>
      </c>
      <c r="V240" s="439">
        <f>+AA240</f>
        <v>0</v>
      </c>
      <c r="W240" s="439">
        <v>0</v>
      </c>
      <c r="X240" s="439">
        <v>0</v>
      </c>
      <c r="Y240" s="435">
        <f t="shared" si="212"/>
        <v>0</v>
      </c>
      <c r="Z240" s="439">
        <v>0</v>
      </c>
      <c r="AA240" s="439">
        <v>0</v>
      </c>
      <c r="AB240" s="439">
        <v>0</v>
      </c>
      <c r="AC240" s="439">
        <v>0</v>
      </c>
      <c r="AD240" s="439">
        <v>0</v>
      </c>
      <c r="AE240" s="439"/>
      <c r="AF240" s="439">
        <v>0</v>
      </c>
      <c r="AG240" s="439">
        <v>0</v>
      </c>
      <c r="AH240" s="419">
        <f t="shared" si="209"/>
        <v>0</v>
      </c>
      <c r="AI240" s="439">
        <v>0</v>
      </c>
      <c r="AJ240" s="439">
        <v>0</v>
      </c>
      <c r="AK240" s="439">
        <f>AA240-W240</f>
        <v>0</v>
      </c>
      <c r="AL240" s="439">
        <f>AA240-AF240</f>
        <v>0</v>
      </c>
      <c r="AM240" s="439">
        <f>AA240-AD240</f>
        <v>0</v>
      </c>
      <c r="AN240" s="438"/>
      <c r="AO240" s="438"/>
      <c r="AP240" s="438"/>
    </row>
    <row r="241" spans="1:42" ht="12.75">
      <c r="A241" s="412">
        <v>239</v>
      </c>
      <c r="B241" s="431"/>
      <c r="C241" s="432" t="s">
        <v>6729</v>
      </c>
      <c r="D241" s="433" t="s">
        <v>6731</v>
      </c>
      <c r="E241" s="434"/>
      <c r="F241" s="435">
        <f>SUM(F242:F247)</f>
        <v>0</v>
      </c>
      <c r="G241" s="435">
        <v>0</v>
      </c>
      <c r="H241" s="435">
        <v>0</v>
      </c>
      <c r="I241" s="435">
        <f t="shared" si="213"/>
        <v>0</v>
      </c>
      <c r="J241" s="435">
        <f t="shared" si="214"/>
        <v>0</v>
      </c>
      <c r="K241" s="435">
        <v>0</v>
      </c>
      <c r="L241" s="435">
        <v>0</v>
      </c>
      <c r="M241" s="435">
        <f t="shared" si="215"/>
        <v>0</v>
      </c>
      <c r="N241" s="435">
        <v>0</v>
      </c>
      <c r="O241" s="435">
        <v>0</v>
      </c>
      <c r="P241" s="436">
        <v>0</v>
      </c>
      <c r="Q241" s="435">
        <f t="shared" ref="Q241" si="242">SUM(Q242:Q247)</f>
        <v>0</v>
      </c>
      <c r="R241" s="435">
        <f t="shared" si="210"/>
        <v>0</v>
      </c>
      <c r="S241" s="435">
        <f t="shared" si="211"/>
        <v>0</v>
      </c>
      <c r="T241" s="437"/>
      <c r="U241" s="435">
        <v>0</v>
      </c>
      <c r="V241" s="435">
        <f>SUM(V242:V247)</f>
        <v>0</v>
      </c>
      <c r="W241" s="435">
        <f>SUM(W242:W247)</f>
        <v>0</v>
      </c>
      <c r="X241" s="435">
        <f t="shared" ref="X241" si="243">SUM(X242:X247)</f>
        <v>0</v>
      </c>
      <c r="Y241" s="435">
        <f t="shared" si="212"/>
        <v>0</v>
      </c>
      <c r="Z241" s="435">
        <v>0</v>
      </c>
      <c r="AA241" s="435">
        <v>0</v>
      </c>
      <c r="AB241" s="435">
        <f t="shared" ref="AB241:AM241" si="244">SUM(AB242:AB247)</f>
        <v>0</v>
      </c>
      <c r="AC241" s="435">
        <f t="shared" si="244"/>
        <v>0</v>
      </c>
      <c r="AD241" s="435">
        <f t="shared" si="244"/>
        <v>0</v>
      </c>
      <c r="AE241" s="435"/>
      <c r="AF241" s="435">
        <f t="shared" si="244"/>
        <v>0</v>
      </c>
      <c r="AG241" s="435">
        <f t="shared" si="244"/>
        <v>0</v>
      </c>
      <c r="AH241" s="419">
        <f t="shared" si="209"/>
        <v>0</v>
      </c>
      <c r="AI241" s="435">
        <f t="shared" si="244"/>
        <v>0</v>
      </c>
      <c r="AJ241" s="435">
        <f t="shared" si="244"/>
        <v>0</v>
      </c>
      <c r="AK241" s="435">
        <f t="shared" si="244"/>
        <v>0</v>
      </c>
      <c r="AL241" s="435">
        <f t="shared" si="244"/>
        <v>0</v>
      </c>
      <c r="AM241" s="435">
        <f t="shared" si="244"/>
        <v>0</v>
      </c>
      <c r="AN241" s="438"/>
      <c r="AO241" s="438"/>
      <c r="AP241" s="438"/>
    </row>
    <row r="242" spans="1:42" ht="25.5">
      <c r="A242" s="412">
        <v>240</v>
      </c>
      <c r="B242" s="431" t="s">
        <v>1519</v>
      </c>
      <c r="C242" s="432" t="s">
        <v>365</v>
      </c>
      <c r="D242" s="433" t="s">
        <v>6735</v>
      </c>
      <c r="E242" s="434">
        <f>'PROSPETTO CE_IV TRIM 2024'!BM736</f>
        <v>0</v>
      </c>
      <c r="F242" s="439">
        <f t="shared" ref="F242:F247" si="245">+E242</f>
        <v>0</v>
      </c>
      <c r="G242" s="439">
        <v>0</v>
      </c>
      <c r="H242" s="439">
        <v>0</v>
      </c>
      <c r="I242" s="435">
        <f t="shared" si="213"/>
        <v>0</v>
      </c>
      <c r="J242" s="435">
        <f t="shared" si="214"/>
        <v>0</v>
      </c>
      <c r="K242" s="439">
        <v>0</v>
      </c>
      <c r="L242" s="439">
        <v>0</v>
      </c>
      <c r="M242" s="439">
        <f t="shared" si="215"/>
        <v>0</v>
      </c>
      <c r="N242" s="439">
        <v>0</v>
      </c>
      <c r="O242" s="439">
        <v>0</v>
      </c>
      <c r="P242" s="440">
        <v>0</v>
      </c>
      <c r="Q242" s="439">
        <v>0</v>
      </c>
      <c r="R242" s="439">
        <f t="shared" si="210"/>
        <v>0</v>
      </c>
      <c r="S242" s="439">
        <f t="shared" si="211"/>
        <v>0</v>
      </c>
      <c r="T242" s="441"/>
      <c r="U242" s="439">
        <v>0</v>
      </c>
      <c r="V242" s="439">
        <f t="shared" ref="V242:V247" si="246">+AA242</f>
        <v>0</v>
      </c>
      <c r="W242" s="439">
        <v>0</v>
      </c>
      <c r="X242" s="439">
        <v>0</v>
      </c>
      <c r="Y242" s="435">
        <f t="shared" si="212"/>
        <v>0</v>
      </c>
      <c r="Z242" s="439">
        <v>0</v>
      </c>
      <c r="AA242" s="439">
        <v>0</v>
      </c>
      <c r="AB242" s="439">
        <v>0</v>
      </c>
      <c r="AC242" s="439">
        <v>0</v>
      </c>
      <c r="AD242" s="439">
        <v>0</v>
      </c>
      <c r="AE242" s="439"/>
      <c r="AF242" s="439">
        <v>0</v>
      </c>
      <c r="AG242" s="439">
        <v>0</v>
      </c>
      <c r="AH242" s="419">
        <f t="shared" si="209"/>
        <v>0</v>
      </c>
      <c r="AI242" s="439">
        <v>0</v>
      </c>
      <c r="AJ242" s="439">
        <v>0</v>
      </c>
      <c r="AK242" s="439">
        <f t="shared" ref="AK242:AK247" si="247">AA242-W242</f>
        <v>0</v>
      </c>
      <c r="AL242" s="439">
        <f t="shared" ref="AL242:AL247" si="248">AA242-AF242</f>
        <v>0</v>
      </c>
      <c r="AM242" s="439">
        <f t="shared" ref="AM242:AM247" si="249">AA242-AD242</f>
        <v>0</v>
      </c>
      <c r="AN242" s="438"/>
      <c r="AO242" s="438"/>
      <c r="AP242" s="438"/>
    </row>
    <row r="243" spans="1:42" ht="12.75">
      <c r="A243" s="412">
        <v>241</v>
      </c>
      <c r="B243" s="431"/>
      <c r="C243" s="432" t="s">
        <v>366</v>
      </c>
      <c r="D243" s="433" t="s">
        <v>6739</v>
      </c>
      <c r="E243" s="434">
        <f>'PROSPETTO CE_IV TRIM 2024'!BM737</f>
        <v>0</v>
      </c>
      <c r="F243" s="439">
        <f t="shared" si="245"/>
        <v>0</v>
      </c>
      <c r="G243" s="439">
        <v>0</v>
      </c>
      <c r="H243" s="439">
        <v>0</v>
      </c>
      <c r="I243" s="435">
        <f t="shared" si="213"/>
        <v>0</v>
      </c>
      <c r="J243" s="435">
        <f t="shared" si="214"/>
        <v>0</v>
      </c>
      <c r="K243" s="439">
        <v>0</v>
      </c>
      <c r="L243" s="439">
        <v>0</v>
      </c>
      <c r="M243" s="439">
        <f t="shared" si="215"/>
        <v>0</v>
      </c>
      <c r="N243" s="439">
        <v>0</v>
      </c>
      <c r="O243" s="439">
        <v>0</v>
      </c>
      <c r="P243" s="440">
        <v>0</v>
      </c>
      <c r="Q243" s="439">
        <v>0</v>
      </c>
      <c r="R243" s="439">
        <f t="shared" si="210"/>
        <v>0</v>
      </c>
      <c r="S243" s="439">
        <f t="shared" si="211"/>
        <v>0</v>
      </c>
      <c r="T243" s="441"/>
      <c r="U243" s="439">
        <v>0</v>
      </c>
      <c r="V243" s="439">
        <f t="shared" si="246"/>
        <v>0</v>
      </c>
      <c r="W243" s="439">
        <v>0</v>
      </c>
      <c r="X243" s="439">
        <v>0</v>
      </c>
      <c r="Y243" s="435">
        <f t="shared" si="212"/>
        <v>0</v>
      </c>
      <c r="Z243" s="439">
        <v>0</v>
      </c>
      <c r="AA243" s="439">
        <v>0</v>
      </c>
      <c r="AB243" s="439">
        <v>0</v>
      </c>
      <c r="AC243" s="439">
        <v>0</v>
      </c>
      <c r="AD243" s="439">
        <v>0</v>
      </c>
      <c r="AE243" s="439"/>
      <c r="AF243" s="439">
        <v>0</v>
      </c>
      <c r="AG243" s="439">
        <v>0</v>
      </c>
      <c r="AH243" s="419">
        <f t="shared" si="209"/>
        <v>0</v>
      </c>
      <c r="AI243" s="439">
        <v>0</v>
      </c>
      <c r="AJ243" s="439">
        <v>0</v>
      </c>
      <c r="AK243" s="439">
        <f t="shared" si="247"/>
        <v>0</v>
      </c>
      <c r="AL243" s="439">
        <f t="shared" si="248"/>
        <v>0</v>
      </c>
      <c r="AM243" s="439">
        <f t="shared" si="249"/>
        <v>0</v>
      </c>
      <c r="AN243" s="438"/>
      <c r="AO243" s="438"/>
      <c r="AP243" s="438"/>
    </row>
    <row r="244" spans="1:42" ht="12.75">
      <c r="A244" s="412">
        <v>242</v>
      </c>
      <c r="B244" s="444" t="s">
        <v>1349</v>
      </c>
      <c r="C244" s="432" t="s">
        <v>367</v>
      </c>
      <c r="D244" s="433" t="s">
        <v>6743</v>
      </c>
      <c r="E244" s="434">
        <f>'PROSPETTO CE_IV TRIM 2024'!BM738</f>
        <v>0</v>
      </c>
      <c r="F244" s="439">
        <f t="shared" si="245"/>
        <v>0</v>
      </c>
      <c r="G244" s="439">
        <v>0</v>
      </c>
      <c r="H244" s="439">
        <v>0</v>
      </c>
      <c r="I244" s="435">
        <f t="shared" si="213"/>
        <v>0</v>
      </c>
      <c r="J244" s="435">
        <f t="shared" si="214"/>
        <v>0</v>
      </c>
      <c r="K244" s="439">
        <v>0</v>
      </c>
      <c r="L244" s="439">
        <v>0</v>
      </c>
      <c r="M244" s="439">
        <f t="shared" si="215"/>
        <v>0</v>
      </c>
      <c r="N244" s="439">
        <v>0</v>
      </c>
      <c r="O244" s="439">
        <v>0</v>
      </c>
      <c r="P244" s="440">
        <v>0</v>
      </c>
      <c r="Q244" s="439">
        <v>0</v>
      </c>
      <c r="R244" s="439">
        <f t="shared" si="210"/>
        <v>0</v>
      </c>
      <c r="S244" s="439">
        <f t="shared" si="211"/>
        <v>0</v>
      </c>
      <c r="T244" s="441"/>
      <c r="U244" s="439">
        <v>0</v>
      </c>
      <c r="V244" s="439">
        <f t="shared" si="246"/>
        <v>0</v>
      </c>
      <c r="W244" s="439">
        <v>0</v>
      </c>
      <c r="X244" s="439">
        <v>0</v>
      </c>
      <c r="Y244" s="435">
        <f t="shared" si="212"/>
        <v>0</v>
      </c>
      <c r="Z244" s="439">
        <v>0</v>
      </c>
      <c r="AA244" s="439">
        <v>0</v>
      </c>
      <c r="AB244" s="439">
        <v>0</v>
      </c>
      <c r="AC244" s="439">
        <v>0</v>
      </c>
      <c r="AD244" s="439">
        <v>0</v>
      </c>
      <c r="AE244" s="439"/>
      <c r="AF244" s="439">
        <v>0</v>
      </c>
      <c r="AG244" s="439">
        <v>0</v>
      </c>
      <c r="AH244" s="419">
        <f t="shared" si="209"/>
        <v>0</v>
      </c>
      <c r="AI244" s="439">
        <v>0</v>
      </c>
      <c r="AJ244" s="439">
        <v>0</v>
      </c>
      <c r="AK244" s="439">
        <f t="shared" si="247"/>
        <v>0</v>
      </c>
      <c r="AL244" s="439">
        <f t="shared" si="248"/>
        <v>0</v>
      </c>
      <c r="AM244" s="439">
        <f t="shared" si="249"/>
        <v>0</v>
      </c>
      <c r="AN244" s="438"/>
      <c r="AO244" s="438"/>
      <c r="AP244" s="438"/>
    </row>
    <row r="245" spans="1:42" ht="12.75">
      <c r="A245" s="412">
        <v>243</v>
      </c>
      <c r="B245" s="431"/>
      <c r="C245" s="432" t="s">
        <v>368</v>
      </c>
      <c r="D245" s="433" t="s">
        <v>6747</v>
      </c>
      <c r="E245" s="434">
        <f>'PROSPETTO CE_IV TRIM 2024'!BM739+'PROSPETTO CE_IV TRIM 2024'!BM740</f>
        <v>0</v>
      </c>
      <c r="F245" s="439">
        <f t="shared" si="245"/>
        <v>0</v>
      </c>
      <c r="G245" s="439">
        <v>0</v>
      </c>
      <c r="H245" s="439">
        <v>0</v>
      </c>
      <c r="I245" s="435">
        <f t="shared" si="213"/>
        <v>0</v>
      </c>
      <c r="J245" s="435">
        <f t="shared" si="214"/>
        <v>0</v>
      </c>
      <c r="K245" s="439">
        <v>0</v>
      </c>
      <c r="L245" s="439">
        <v>0</v>
      </c>
      <c r="M245" s="439">
        <f t="shared" si="215"/>
        <v>0</v>
      </c>
      <c r="N245" s="439">
        <v>0</v>
      </c>
      <c r="O245" s="439">
        <v>0</v>
      </c>
      <c r="P245" s="440">
        <v>0</v>
      </c>
      <c r="Q245" s="439">
        <v>0</v>
      </c>
      <c r="R245" s="439">
        <f t="shared" si="210"/>
        <v>0</v>
      </c>
      <c r="S245" s="439">
        <f t="shared" si="211"/>
        <v>0</v>
      </c>
      <c r="T245" s="441"/>
      <c r="U245" s="439">
        <v>0</v>
      </c>
      <c r="V245" s="439">
        <f t="shared" si="246"/>
        <v>0</v>
      </c>
      <c r="W245" s="439">
        <v>0</v>
      </c>
      <c r="X245" s="439">
        <v>0</v>
      </c>
      <c r="Y245" s="435">
        <f t="shared" si="212"/>
        <v>0</v>
      </c>
      <c r="Z245" s="439">
        <v>0</v>
      </c>
      <c r="AA245" s="439">
        <v>0</v>
      </c>
      <c r="AB245" s="439">
        <v>0</v>
      </c>
      <c r="AC245" s="439">
        <v>0</v>
      </c>
      <c r="AD245" s="439">
        <v>0</v>
      </c>
      <c r="AE245" s="439"/>
      <c r="AF245" s="439">
        <v>0</v>
      </c>
      <c r="AG245" s="439">
        <v>0</v>
      </c>
      <c r="AH245" s="419">
        <f t="shared" si="209"/>
        <v>0</v>
      </c>
      <c r="AI245" s="439">
        <v>0</v>
      </c>
      <c r="AJ245" s="439">
        <v>0</v>
      </c>
      <c r="AK245" s="439">
        <f t="shared" si="247"/>
        <v>0</v>
      </c>
      <c r="AL245" s="439">
        <f t="shared" si="248"/>
        <v>0</v>
      </c>
      <c r="AM245" s="439">
        <f t="shared" si="249"/>
        <v>0</v>
      </c>
      <c r="AN245" s="438"/>
      <c r="AO245" s="438"/>
      <c r="AP245" s="438"/>
    </row>
    <row r="246" spans="1:42" ht="12.75">
      <c r="A246" s="412">
        <v>244</v>
      </c>
      <c r="B246" s="431"/>
      <c r="C246" s="432" t="s">
        <v>369</v>
      </c>
      <c r="D246" s="433" t="s">
        <v>6754</v>
      </c>
      <c r="E246" s="434">
        <f>'PROSPETTO CE_IV TRIM 2024'!BM741</f>
        <v>0</v>
      </c>
      <c r="F246" s="439">
        <f t="shared" si="245"/>
        <v>0</v>
      </c>
      <c r="G246" s="439">
        <v>0</v>
      </c>
      <c r="H246" s="439">
        <v>0</v>
      </c>
      <c r="I246" s="435">
        <f t="shared" si="213"/>
        <v>0</v>
      </c>
      <c r="J246" s="435">
        <f t="shared" si="214"/>
        <v>0</v>
      </c>
      <c r="K246" s="439">
        <v>0</v>
      </c>
      <c r="L246" s="439">
        <v>0</v>
      </c>
      <c r="M246" s="439">
        <f t="shared" si="215"/>
        <v>0</v>
      </c>
      <c r="N246" s="439">
        <v>0</v>
      </c>
      <c r="O246" s="439">
        <v>0</v>
      </c>
      <c r="P246" s="440">
        <v>0</v>
      </c>
      <c r="Q246" s="439">
        <v>0</v>
      </c>
      <c r="R246" s="439">
        <f t="shared" si="210"/>
        <v>0</v>
      </c>
      <c r="S246" s="439">
        <f t="shared" si="211"/>
        <v>0</v>
      </c>
      <c r="T246" s="441"/>
      <c r="U246" s="439">
        <v>0</v>
      </c>
      <c r="V246" s="439">
        <f t="shared" si="246"/>
        <v>0</v>
      </c>
      <c r="W246" s="439">
        <v>0</v>
      </c>
      <c r="X246" s="439">
        <v>0</v>
      </c>
      <c r="Y246" s="435">
        <f t="shared" si="212"/>
        <v>0</v>
      </c>
      <c r="Z246" s="439">
        <v>0</v>
      </c>
      <c r="AA246" s="439">
        <v>0</v>
      </c>
      <c r="AB246" s="439">
        <v>0</v>
      </c>
      <c r="AC246" s="439">
        <v>0</v>
      </c>
      <c r="AD246" s="439">
        <v>0</v>
      </c>
      <c r="AE246" s="439"/>
      <c r="AF246" s="439">
        <v>0</v>
      </c>
      <c r="AG246" s="439">
        <v>0</v>
      </c>
      <c r="AH246" s="419">
        <f t="shared" si="209"/>
        <v>0</v>
      </c>
      <c r="AI246" s="439">
        <v>0</v>
      </c>
      <c r="AJ246" s="439">
        <v>0</v>
      </c>
      <c r="AK246" s="439">
        <f t="shared" si="247"/>
        <v>0</v>
      </c>
      <c r="AL246" s="439">
        <f t="shared" si="248"/>
        <v>0</v>
      </c>
      <c r="AM246" s="439">
        <f t="shared" si="249"/>
        <v>0</v>
      </c>
      <c r="AN246" s="438"/>
      <c r="AO246" s="438"/>
      <c r="AP246" s="438"/>
    </row>
    <row r="247" spans="1:42" ht="25.5">
      <c r="A247" s="412">
        <v>245</v>
      </c>
      <c r="B247" s="431"/>
      <c r="C247" s="432" t="s">
        <v>370</v>
      </c>
      <c r="D247" s="433" t="s">
        <v>6758</v>
      </c>
      <c r="E247" s="434">
        <f>'PROSPETTO CE_IV TRIM 2024'!BM742</f>
        <v>0</v>
      </c>
      <c r="F247" s="439">
        <f t="shared" si="245"/>
        <v>0</v>
      </c>
      <c r="G247" s="439">
        <v>0</v>
      </c>
      <c r="H247" s="439">
        <v>0</v>
      </c>
      <c r="I247" s="435">
        <f t="shared" si="213"/>
        <v>0</v>
      </c>
      <c r="J247" s="435">
        <f t="shared" si="214"/>
        <v>0</v>
      </c>
      <c r="K247" s="439">
        <v>0</v>
      </c>
      <c r="L247" s="439">
        <v>0</v>
      </c>
      <c r="M247" s="439">
        <f t="shared" si="215"/>
        <v>0</v>
      </c>
      <c r="N247" s="439">
        <v>0</v>
      </c>
      <c r="O247" s="439">
        <v>0</v>
      </c>
      <c r="P247" s="440">
        <v>0</v>
      </c>
      <c r="Q247" s="439">
        <v>0</v>
      </c>
      <c r="R247" s="439">
        <f t="shared" si="210"/>
        <v>0</v>
      </c>
      <c r="S247" s="439">
        <f t="shared" si="211"/>
        <v>0</v>
      </c>
      <c r="T247" s="441"/>
      <c r="U247" s="439">
        <v>0</v>
      </c>
      <c r="V247" s="439">
        <f t="shared" si="246"/>
        <v>0</v>
      </c>
      <c r="W247" s="439">
        <v>0</v>
      </c>
      <c r="X247" s="439">
        <v>0</v>
      </c>
      <c r="Y247" s="435">
        <f t="shared" si="212"/>
        <v>0</v>
      </c>
      <c r="Z247" s="439">
        <v>0</v>
      </c>
      <c r="AA247" s="439">
        <v>0</v>
      </c>
      <c r="AB247" s="439">
        <v>0</v>
      </c>
      <c r="AC247" s="439">
        <v>0</v>
      </c>
      <c r="AD247" s="439">
        <v>0</v>
      </c>
      <c r="AE247" s="439"/>
      <c r="AF247" s="439">
        <v>0</v>
      </c>
      <c r="AG247" s="439">
        <v>0</v>
      </c>
      <c r="AH247" s="419">
        <f t="shared" si="209"/>
        <v>0</v>
      </c>
      <c r="AI247" s="439">
        <v>0</v>
      </c>
      <c r="AJ247" s="439">
        <v>0</v>
      </c>
      <c r="AK247" s="439">
        <f t="shared" si="247"/>
        <v>0</v>
      </c>
      <c r="AL247" s="439">
        <f t="shared" si="248"/>
        <v>0</v>
      </c>
      <c r="AM247" s="439">
        <f t="shared" si="249"/>
        <v>0</v>
      </c>
      <c r="AN247" s="438"/>
      <c r="AO247" s="438"/>
      <c r="AP247" s="438"/>
    </row>
    <row r="248" spans="1:42" ht="12.75">
      <c r="A248" s="412">
        <v>246</v>
      </c>
      <c r="B248" s="431"/>
      <c r="C248" s="432" t="s">
        <v>6759</v>
      </c>
      <c r="D248" s="433" t="s">
        <v>6761</v>
      </c>
      <c r="E248" s="434"/>
      <c r="F248" s="435">
        <f>SUM(F249:F253)</f>
        <v>0</v>
      </c>
      <c r="G248" s="435">
        <v>0</v>
      </c>
      <c r="H248" s="435">
        <v>0</v>
      </c>
      <c r="I248" s="435">
        <f t="shared" si="213"/>
        <v>0</v>
      </c>
      <c r="J248" s="435">
        <f t="shared" si="214"/>
        <v>0</v>
      </c>
      <c r="K248" s="435">
        <v>0</v>
      </c>
      <c r="L248" s="435">
        <v>0</v>
      </c>
      <c r="M248" s="435">
        <f t="shared" si="215"/>
        <v>0</v>
      </c>
      <c r="N248" s="435">
        <v>0</v>
      </c>
      <c r="O248" s="435">
        <v>0</v>
      </c>
      <c r="P248" s="436">
        <v>0</v>
      </c>
      <c r="Q248" s="435">
        <f t="shared" ref="Q248" si="250">SUM(Q249:Q253)</f>
        <v>0</v>
      </c>
      <c r="R248" s="435">
        <f t="shared" si="210"/>
        <v>0</v>
      </c>
      <c r="S248" s="435">
        <f t="shared" si="211"/>
        <v>0</v>
      </c>
      <c r="T248" s="437"/>
      <c r="U248" s="435">
        <v>0</v>
      </c>
      <c r="V248" s="435">
        <f>SUM(V249:V253)</f>
        <v>0</v>
      </c>
      <c r="W248" s="435">
        <f>SUM(W249:W253)</f>
        <v>0</v>
      </c>
      <c r="X248" s="435">
        <f t="shared" ref="X248" si="251">SUM(X249:X253)</f>
        <v>0</v>
      </c>
      <c r="Y248" s="435">
        <f t="shared" si="212"/>
        <v>0</v>
      </c>
      <c r="Z248" s="435">
        <v>0</v>
      </c>
      <c r="AA248" s="435">
        <v>0</v>
      </c>
      <c r="AB248" s="435">
        <f t="shared" ref="AB248:AM248" si="252">SUM(AB249:AB253)</f>
        <v>0</v>
      </c>
      <c r="AC248" s="435">
        <f t="shared" si="252"/>
        <v>0</v>
      </c>
      <c r="AD248" s="435">
        <f t="shared" si="252"/>
        <v>0</v>
      </c>
      <c r="AE248" s="435"/>
      <c r="AF248" s="435">
        <f t="shared" si="252"/>
        <v>0</v>
      </c>
      <c r="AG248" s="435">
        <f t="shared" si="252"/>
        <v>0</v>
      </c>
      <c r="AH248" s="419">
        <f t="shared" si="209"/>
        <v>0</v>
      </c>
      <c r="AI248" s="435">
        <f t="shared" si="252"/>
        <v>0</v>
      </c>
      <c r="AJ248" s="435">
        <f t="shared" si="252"/>
        <v>0</v>
      </c>
      <c r="AK248" s="435">
        <f t="shared" si="252"/>
        <v>0</v>
      </c>
      <c r="AL248" s="435">
        <f t="shared" si="252"/>
        <v>0</v>
      </c>
      <c r="AM248" s="435">
        <f t="shared" si="252"/>
        <v>0</v>
      </c>
      <c r="AN248" s="438"/>
      <c r="AO248" s="438"/>
      <c r="AP248" s="438"/>
    </row>
    <row r="249" spans="1:42" ht="25.5">
      <c r="A249" s="412">
        <v>247</v>
      </c>
      <c r="B249" s="431" t="s">
        <v>1519</v>
      </c>
      <c r="C249" s="432" t="s">
        <v>371</v>
      </c>
      <c r="D249" s="433" t="s">
        <v>6765</v>
      </c>
      <c r="E249" s="434">
        <f>'PROSPETTO CE_IV TRIM 2024'!BM744</f>
        <v>0</v>
      </c>
      <c r="F249" s="439">
        <f>+E249</f>
        <v>0</v>
      </c>
      <c r="G249" s="439">
        <v>0</v>
      </c>
      <c r="H249" s="439">
        <v>0</v>
      </c>
      <c r="I249" s="435">
        <f t="shared" si="213"/>
        <v>0</v>
      </c>
      <c r="J249" s="435">
        <f t="shared" si="214"/>
        <v>0</v>
      </c>
      <c r="K249" s="439">
        <v>0</v>
      </c>
      <c r="L249" s="439">
        <v>0</v>
      </c>
      <c r="M249" s="439">
        <f t="shared" si="215"/>
        <v>0</v>
      </c>
      <c r="N249" s="439">
        <v>0</v>
      </c>
      <c r="O249" s="439">
        <v>0</v>
      </c>
      <c r="P249" s="440">
        <v>0</v>
      </c>
      <c r="Q249" s="439">
        <v>0</v>
      </c>
      <c r="R249" s="439">
        <f t="shared" si="210"/>
        <v>0</v>
      </c>
      <c r="S249" s="439">
        <f t="shared" si="211"/>
        <v>0</v>
      </c>
      <c r="T249" s="441"/>
      <c r="U249" s="439">
        <v>0</v>
      </c>
      <c r="V249" s="439">
        <f>+AA249</f>
        <v>0</v>
      </c>
      <c r="W249" s="439">
        <v>0</v>
      </c>
      <c r="X249" s="439">
        <v>0</v>
      </c>
      <c r="Y249" s="435">
        <f t="shared" si="212"/>
        <v>0</v>
      </c>
      <c r="Z249" s="439">
        <v>0</v>
      </c>
      <c r="AA249" s="439">
        <v>0</v>
      </c>
      <c r="AB249" s="439">
        <v>0</v>
      </c>
      <c r="AC249" s="439">
        <v>0</v>
      </c>
      <c r="AD249" s="439">
        <v>0</v>
      </c>
      <c r="AE249" s="439"/>
      <c r="AF249" s="439">
        <v>0</v>
      </c>
      <c r="AG249" s="439">
        <v>0</v>
      </c>
      <c r="AH249" s="419">
        <f t="shared" si="209"/>
        <v>0</v>
      </c>
      <c r="AI249" s="439">
        <v>0</v>
      </c>
      <c r="AJ249" s="439">
        <v>0</v>
      </c>
      <c r="AK249" s="439">
        <f>AA249-W249</f>
        <v>0</v>
      </c>
      <c r="AL249" s="439">
        <f>AA249-AF249</f>
        <v>0</v>
      </c>
      <c r="AM249" s="439">
        <f>AA249-AD249</f>
        <v>0</v>
      </c>
      <c r="AN249" s="438"/>
      <c r="AO249" s="438"/>
      <c r="AP249" s="438"/>
    </row>
    <row r="250" spans="1:42" ht="12.75">
      <c r="A250" s="412">
        <v>248</v>
      </c>
      <c r="B250" s="431"/>
      <c r="C250" s="432" t="s">
        <v>372</v>
      </c>
      <c r="D250" s="433" t="s">
        <v>6769</v>
      </c>
      <c r="E250" s="434">
        <f>'PROSPETTO CE_IV TRIM 2024'!BM745</f>
        <v>0</v>
      </c>
      <c r="F250" s="439">
        <f>+E250</f>
        <v>0</v>
      </c>
      <c r="G250" s="439">
        <v>0</v>
      </c>
      <c r="H250" s="439">
        <v>0</v>
      </c>
      <c r="I250" s="435">
        <f t="shared" si="213"/>
        <v>0</v>
      </c>
      <c r="J250" s="435">
        <f t="shared" si="214"/>
        <v>0</v>
      </c>
      <c r="K250" s="439">
        <v>0</v>
      </c>
      <c r="L250" s="439">
        <v>0</v>
      </c>
      <c r="M250" s="439">
        <f t="shared" si="215"/>
        <v>0</v>
      </c>
      <c r="N250" s="439">
        <v>0</v>
      </c>
      <c r="O250" s="439">
        <v>0</v>
      </c>
      <c r="P250" s="440">
        <v>0</v>
      </c>
      <c r="Q250" s="439">
        <v>0</v>
      </c>
      <c r="R250" s="439">
        <f t="shared" si="210"/>
        <v>0</v>
      </c>
      <c r="S250" s="439">
        <f t="shared" si="211"/>
        <v>0</v>
      </c>
      <c r="T250" s="441"/>
      <c r="U250" s="439">
        <v>0</v>
      </c>
      <c r="V250" s="439">
        <f>+AA250</f>
        <v>0</v>
      </c>
      <c r="W250" s="439">
        <v>0</v>
      </c>
      <c r="X250" s="439">
        <v>0</v>
      </c>
      <c r="Y250" s="435">
        <f t="shared" si="212"/>
        <v>0</v>
      </c>
      <c r="Z250" s="439">
        <v>0</v>
      </c>
      <c r="AA250" s="439">
        <v>0</v>
      </c>
      <c r="AB250" s="439">
        <v>0</v>
      </c>
      <c r="AC250" s="439">
        <v>0</v>
      </c>
      <c r="AD250" s="439">
        <v>0</v>
      </c>
      <c r="AE250" s="439"/>
      <c r="AF250" s="439">
        <v>0</v>
      </c>
      <c r="AG250" s="439">
        <v>0</v>
      </c>
      <c r="AH250" s="419">
        <f t="shared" si="209"/>
        <v>0</v>
      </c>
      <c r="AI250" s="439">
        <v>0</v>
      </c>
      <c r="AJ250" s="439">
        <v>0</v>
      </c>
      <c r="AK250" s="439">
        <f>AA250-W250</f>
        <v>0</v>
      </c>
      <c r="AL250" s="439">
        <f>AA250-AF250</f>
        <v>0</v>
      </c>
      <c r="AM250" s="439">
        <f>AA250-AD250</f>
        <v>0</v>
      </c>
      <c r="AN250" s="438"/>
      <c r="AO250" s="438"/>
      <c r="AP250" s="438"/>
    </row>
    <row r="251" spans="1:42" ht="12.75">
      <c r="A251" s="412">
        <v>249</v>
      </c>
      <c r="B251" s="431" t="s">
        <v>1349</v>
      </c>
      <c r="C251" s="432" t="s">
        <v>373</v>
      </c>
      <c r="D251" s="433" t="s">
        <v>6773</v>
      </c>
      <c r="E251" s="434">
        <f>'PROSPETTO CE_IV TRIM 2024'!BM746</f>
        <v>0</v>
      </c>
      <c r="F251" s="439">
        <f>+E251</f>
        <v>0</v>
      </c>
      <c r="G251" s="439">
        <v>0</v>
      </c>
      <c r="H251" s="439">
        <v>0</v>
      </c>
      <c r="I251" s="435">
        <f t="shared" si="213"/>
        <v>0</v>
      </c>
      <c r="J251" s="435">
        <f t="shared" si="214"/>
        <v>0</v>
      </c>
      <c r="K251" s="439">
        <v>0</v>
      </c>
      <c r="L251" s="439">
        <v>0</v>
      </c>
      <c r="M251" s="439">
        <f t="shared" si="215"/>
        <v>0</v>
      </c>
      <c r="N251" s="439">
        <v>0</v>
      </c>
      <c r="O251" s="439">
        <v>0</v>
      </c>
      <c r="P251" s="440">
        <v>0</v>
      </c>
      <c r="Q251" s="439">
        <v>0</v>
      </c>
      <c r="R251" s="439">
        <f t="shared" si="210"/>
        <v>0</v>
      </c>
      <c r="S251" s="439">
        <f t="shared" si="211"/>
        <v>0</v>
      </c>
      <c r="T251" s="441"/>
      <c r="U251" s="439">
        <v>0</v>
      </c>
      <c r="V251" s="439">
        <f>+AA251</f>
        <v>0</v>
      </c>
      <c r="W251" s="439">
        <v>0</v>
      </c>
      <c r="X251" s="439">
        <v>0</v>
      </c>
      <c r="Y251" s="435">
        <f t="shared" si="212"/>
        <v>0</v>
      </c>
      <c r="Z251" s="439">
        <v>0</v>
      </c>
      <c r="AA251" s="439">
        <v>0</v>
      </c>
      <c r="AB251" s="439">
        <v>0</v>
      </c>
      <c r="AC251" s="439">
        <v>0</v>
      </c>
      <c r="AD251" s="439">
        <v>0</v>
      </c>
      <c r="AE251" s="439"/>
      <c r="AF251" s="439">
        <v>0</v>
      </c>
      <c r="AG251" s="439">
        <v>0</v>
      </c>
      <c r="AH251" s="419">
        <f t="shared" si="209"/>
        <v>0</v>
      </c>
      <c r="AI251" s="439">
        <v>0</v>
      </c>
      <c r="AJ251" s="439">
        <v>0</v>
      </c>
      <c r="AK251" s="439">
        <f>AA251-W251</f>
        <v>0</v>
      </c>
      <c r="AL251" s="439">
        <f>AA251-AF251</f>
        <v>0</v>
      </c>
      <c r="AM251" s="439">
        <f>AA251-AD251</f>
        <v>0</v>
      </c>
      <c r="AN251" s="438"/>
      <c r="AO251" s="438"/>
      <c r="AP251" s="438"/>
    </row>
    <row r="252" spans="1:42" ht="12.75">
      <c r="A252" s="412">
        <v>250</v>
      </c>
      <c r="B252" s="431"/>
      <c r="C252" s="432" t="s">
        <v>374</v>
      </c>
      <c r="D252" s="433" t="s">
        <v>6777</v>
      </c>
      <c r="E252" s="434">
        <f>'PROSPETTO CE_IV TRIM 2024'!BM747</f>
        <v>0</v>
      </c>
      <c r="F252" s="439">
        <f>+E252</f>
        <v>0</v>
      </c>
      <c r="G252" s="439">
        <v>0</v>
      </c>
      <c r="H252" s="439">
        <v>0</v>
      </c>
      <c r="I252" s="435">
        <f t="shared" si="213"/>
        <v>0</v>
      </c>
      <c r="J252" s="435">
        <f t="shared" si="214"/>
        <v>0</v>
      </c>
      <c r="K252" s="439">
        <v>0</v>
      </c>
      <c r="L252" s="439">
        <v>0</v>
      </c>
      <c r="M252" s="439">
        <f t="shared" si="215"/>
        <v>0</v>
      </c>
      <c r="N252" s="439">
        <v>0</v>
      </c>
      <c r="O252" s="439">
        <v>0</v>
      </c>
      <c r="P252" s="440">
        <v>0</v>
      </c>
      <c r="Q252" s="439">
        <v>0</v>
      </c>
      <c r="R252" s="439">
        <f t="shared" si="210"/>
        <v>0</v>
      </c>
      <c r="S252" s="439">
        <f t="shared" si="211"/>
        <v>0</v>
      </c>
      <c r="T252" s="441"/>
      <c r="U252" s="439">
        <v>0</v>
      </c>
      <c r="V252" s="439">
        <f>+AA252</f>
        <v>0</v>
      </c>
      <c r="W252" s="439">
        <v>0</v>
      </c>
      <c r="X252" s="439">
        <v>0</v>
      </c>
      <c r="Y252" s="435">
        <f t="shared" si="212"/>
        <v>0</v>
      </c>
      <c r="Z252" s="439">
        <v>0</v>
      </c>
      <c r="AA252" s="439">
        <v>0</v>
      </c>
      <c r="AB252" s="439">
        <v>0</v>
      </c>
      <c r="AC252" s="439">
        <v>0</v>
      </c>
      <c r="AD252" s="439">
        <v>0</v>
      </c>
      <c r="AE252" s="439"/>
      <c r="AF252" s="439">
        <v>0</v>
      </c>
      <c r="AG252" s="439">
        <v>0</v>
      </c>
      <c r="AH252" s="419">
        <f t="shared" si="209"/>
        <v>0</v>
      </c>
      <c r="AI252" s="439">
        <v>0</v>
      </c>
      <c r="AJ252" s="439">
        <v>0</v>
      </c>
      <c r="AK252" s="439">
        <f>AA252-W252</f>
        <v>0</v>
      </c>
      <c r="AL252" s="439">
        <f>AA252-AF252</f>
        <v>0</v>
      </c>
      <c r="AM252" s="439">
        <f>AA252-AD252</f>
        <v>0</v>
      </c>
      <c r="AN252" s="438"/>
      <c r="AO252" s="438"/>
      <c r="AP252" s="438"/>
    </row>
    <row r="253" spans="1:42" ht="25.5">
      <c r="A253" s="412">
        <v>251</v>
      </c>
      <c r="B253" s="431"/>
      <c r="C253" s="432" t="s">
        <v>375</v>
      </c>
      <c r="D253" s="433" t="s">
        <v>6781</v>
      </c>
      <c r="E253" s="434">
        <f>'PROSPETTO CE_IV TRIM 2024'!BM748</f>
        <v>0</v>
      </c>
      <c r="F253" s="439">
        <f>+E253</f>
        <v>0</v>
      </c>
      <c r="G253" s="439">
        <v>0</v>
      </c>
      <c r="H253" s="439">
        <v>0</v>
      </c>
      <c r="I253" s="435">
        <f t="shared" si="213"/>
        <v>0</v>
      </c>
      <c r="J253" s="435">
        <f t="shared" si="214"/>
        <v>0</v>
      </c>
      <c r="K253" s="439">
        <v>0</v>
      </c>
      <c r="L253" s="439">
        <v>0</v>
      </c>
      <c r="M253" s="439">
        <f t="shared" si="215"/>
        <v>0</v>
      </c>
      <c r="N253" s="439">
        <v>0</v>
      </c>
      <c r="O253" s="439">
        <v>0</v>
      </c>
      <c r="P253" s="440">
        <v>0</v>
      </c>
      <c r="Q253" s="439">
        <v>0</v>
      </c>
      <c r="R253" s="439">
        <f t="shared" si="210"/>
        <v>0</v>
      </c>
      <c r="S253" s="439">
        <f t="shared" si="211"/>
        <v>0</v>
      </c>
      <c r="T253" s="441"/>
      <c r="U253" s="439">
        <v>0</v>
      </c>
      <c r="V253" s="439">
        <f>+AA253</f>
        <v>0</v>
      </c>
      <c r="W253" s="439">
        <v>0</v>
      </c>
      <c r="X253" s="439">
        <v>0</v>
      </c>
      <c r="Y253" s="435">
        <f t="shared" si="212"/>
        <v>0</v>
      </c>
      <c r="Z253" s="439">
        <v>0</v>
      </c>
      <c r="AA253" s="439">
        <v>0</v>
      </c>
      <c r="AB253" s="439">
        <v>0</v>
      </c>
      <c r="AC253" s="439">
        <v>0</v>
      </c>
      <c r="AD253" s="439">
        <v>0</v>
      </c>
      <c r="AE253" s="439"/>
      <c r="AF253" s="439">
        <v>0</v>
      </c>
      <c r="AG253" s="439">
        <v>0</v>
      </c>
      <c r="AH253" s="419">
        <f t="shared" si="209"/>
        <v>0</v>
      </c>
      <c r="AI253" s="439">
        <v>0</v>
      </c>
      <c r="AJ253" s="439">
        <v>0</v>
      </c>
      <c r="AK253" s="439">
        <f>AA253-W253</f>
        <v>0</v>
      </c>
      <c r="AL253" s="439">
        <f>AA253-AF253</f>
        <v>0</v>
      </c>
      <c r="AM253" s="439">
        <f>AA253-AD253</f>
        <v>0</v>
      </c>
      <c r="AN253" s="438"/>
      <c r="AO253" s="438"/>
      <c r="AP253" s="438"/>
    </row>
    <row r="254" spans="1:42" ht="12.75">
      <c r="A254" s="412">
        <v>252</v>
      </c>
      <c r="B254" s="431"/>
      <c r="C254" s="432" t="s">
        <v>6782</v>
      </c>
      <c r="D254" s="433" t="s">
        <v>6785</v>
      </c>
      <c r="E254" s="434"/>
      <c r="F254" s="435">
        <f>SUM(F255:F258)</f>
        <v>2847146.73</v>
      </c>
      <c r="G254" s="435">
        <v>2838614.64</v>
      </c>
      <c r="H254" s="435">
        <v>2847146.73</v>
      </c>
      <c r="I254" s="435">
        <f t="shared" si="213"/>
        <v>0</v>
      </c>
      <c r="J254" s="435">
        <f t="shared" si="214"/>
        <v>0</v>
      </c>
      <c r="K254" s="435">
        <v>2847146.73</v>
      </c>
      <c r="L254" s="435">
        <v>2847146.73</v>
      </c>
      <c r="M254" s="435">
        <f t="shared" si="215"/>
        <v>363664.14899999974</v>
      </c>
      <c r="N254" s="435">
        <v>2842827.9339999999</v>
      </c>
      <c r="O254" s="435">
        <v>2842827.9339999999</v>
      </c>
      <c r="P254" s="436">
        <v>2483482.5810000002</v>
      </c>
      <c r="Q254" s="435">
        <f t="shared" ref="Q254" si="253">SUM(Q255:Q258)</f>
        <v>2838614.64</v>
      </c>
      <c r="R254" s="435">
        <f t="shared" si="210"/>
        <v>-359345.35299999965</v>
      </c>
      <c r="S254" s="435">
        <f t="shared" si="211"/>
        <v>-4213.2939999997616</v>
      </c>
      <c r="T254" s="437">
        <f>(F254-P254)/F254*100</f>
        <v>12.772933167374894</v>
      </c>
      <c r="U254" s="435">
        <v>2127445.4739999999</v>
      </c>
      <c r="V254" s="435">
        <f>SUM(V255:V258)</f>
        <v>2483482.5810000002</v>
      </c>
      <c r="W254" s="435">
        <f>SUM(W255:W258)</f>
        <v>2837454</v>
      </c>
      <c r="X254" s="435">
        <f t="shared" ref="X254" si="254">SUM(X255:X258)</f>
        <v>2838614.64</v>
      </c>
      <c r="Y254" s="435">
        <f t="shared" si="212"/>
        <v>3105978.250909091</v>
      </c>
      <c r="Z254" s="435">
        <v>2483482.5810000002</v>
      </c>
      <c r="AA254" s="435">
        <v>2483482.5810000002</v>
      </c>
      <c r="AB254" s="435">
        <f t="shared" ref="AB254:AM254" si="255">SUM(AB255:AB258)</f>
        <v>709591</v>
      </c>
      <c r="AC254" s="435">
        <f t="shared" si="255"/>
        <v>1419307.32</v>
      </c>
      <c r="AD254" s="435">
        <f t="shared" si="255"/>
        <v>2838614.64</v>
      </c>
      <c r="AE254" s="435"/>
      <c r="AF254" s="435">
        <f t="shared" si="255"/>
        <v>2838614.64</v>
      </c>
      <c r="AG254" s="435">
        <f t="shared" si="255"/>
        <v>0</v>
      </c>
      <c r="AH254" s="419">
        <f t="shared" si="209"/>
        <v>-2847146.73</v>
      </c>
      <c r="AI254" s="435">
        <f t="shared" si="255"/>
        <v>0</v>
      </c>
      <c r="AJ254" s="435">
        <f t="shared" si="255"/>
        <v>0</v>
      </c>
      <c r="AK254" s="435">
        <f t="shared" si="255"/>
        <v>-353971.41899999976</v>
      </c>
      <c r="AL254" s="435">
        <f t="shared" si="255"/>
        <v>-355132.05899999989</v>
      </c>
      <c r="AM254" s="435">
        <f t="shared" si="255"/>
        <v>-355132.05899999989</v>
      </c>
      <c r="AN254" s="438"/>
      <c r="AO254" s="438"/>
      <c r="AP254" s="438"/>
    </row>
    <row r="255" spans="1:42" ht="25.5">
      <c r="A255" s="412">
        <v>253</v>
      </c>
      <c r="B255" s="431" t="s">
        <v>1519</v>
      </c>
      <c r="C255" s="432" t="s">
        <v>376</v>
      </c>
      <c r="D255" s="433" t="s">
        <v>6789</v>
      </c>
      <c r="E255" s="434">
        <f>'PROSPETTO CE_IV TRIM 2024'!BM750</f>
        <v>0</v>
      </c>
      <c r="F255" s="439">
        <f>+E255</f>
        <v>0</v>
      </c>
      <c r="G255" s="439">
        <v>0</v>
      </c>
      <c r="H255" s="439">
        <v>0</v>
      </c>
      <c r="I255" s="435">
        <f t="shared" si="213"/>
        <v>0</v>
      </c>
      <c r="J255" s="435">
        <f t="shared" si="214"/>
        <v>0</v>
      </c>
      <c r="K255" s="439">
        <v>0</v>
      </c>
      <c r="L255" s="439">
        <v>0</v>
      </c>
      <c r="M255" s="439">
        <f t="shared" si="215"/>
        <v>0</v>
      </c>
      <c r="N255" s="439">
        <v>0</v>
      </c>
      <c r="O255" s="439">
        <v>0</v>
      </c>
      <c r="P255" s="440">
        <v>0</v>
      </c>
      <c r="Q255" s="439">
        <v>0</v>
      </c>
      <c r="R255" s="439">
        <f t="shared" si="210"/>
        <v>0</v>
      </c>
      <c r="S255" s="439">
        <f t="shared" si="211"/>
        <v>0</v>
      </c>
      <c r="T255" s="441"/>
      <c r="U255" s="439">
        <v>0</v>
      </c>
      <c r="V255" s="439">
        <f>+AA255</f>
        <v>0</v>
      </c>
      <c r="W255" s="439">
        <v>0</v>
      </c>
      <c r="X255" s="439">
        <v>0</v>
      </c>
      <c r="Y255" s="435">
        <f t="shared" si="212"/>
        <v>0</v>
      </c>
      <c r="Z255" s="439">
        <v>0</v>
      </c>
      <c r="AA255" s="439">
        <v>0</v>
      </c>
      <c r="AB255" s="439">
        <v>0</v>
      </c>
      <c r="AC255" s="439">
        <v>0</v>
      </c>
      <c r="AD255" s="439">
        <v>0</v>
      </c>
      <c r="AE255" s="439"/>
      <c r="AF255" s="439">
        <f>AC255*2</f>
        <v>0</v>
      </c>
      <c r="AG255" s="439">
        <v>0</v>
      </c>
      <c r="AH255" s="419">
        <f t="shared" si="209"/>
        <v>0</v>
      </c>
      <c r="AI255" s="439">
        <v>0</v>
      </c>
      <c r="AJ255" s="439">
        <v>0</v>
      </c>
      <c r="AK255" s="439">
        <f>AA255-W255</f>
        <v>0</v>
      </c>
      <c r="AL255" s="439">
        <f>AA255-AF255</f>
        <v>0</v>
      </c>
      <c r="AM255" s="439">
        <f>AA255-AD255</f>
        <v>0</v>
      </c>
      <c r="AN255" s="438"/>
      <c r="AO255" s="438"/>
      <c r="AP255" s="438"/>
    </row>
    <row r="256" spans="1:42" ht="12.75">
      <c r="A256" s="412">
        <v>254</v>
      </c>
      <c r="B256" s="431"/>
      <c r="C256" s="432" t="s">
        <v>377</v>
      </c>
      <c r="D256" s="433" t="s">
        <v>6793</v>
      </c>
      <c r="E256" s="434">
        <f>'PROSPETTO CE_IV TRIM 2024'!BM751</f>
        <v>0</v>
      </c>
      <c r="F256" s="439">
        <f>+E256</f>
        <v>0</v>
      </c>
      <c r="G256" s="439">
        <v>0</v>
      </c>
      <c r="H256" s="439">
        <v>0</v>
      </c>
      <c r="I256" s="435">
        <f t="shared" si="213"/>
        <v>0</v>
      </c>
      <c r="J256" s="435">
        <f t="shared" si="214"/>
        <v>0</v>
      </c>
      <c r="K256" s="439">
        <v>0</v>
      </c>
      <c r="L256" s="439">
        <v>0</v>
      </c>
      <c r="M256" s="439">
        <f t="shared" si="215"/>
        <v>0</v>
      </c>
      <c r="N256" s="439">
        <v>0</v>
      </c>
      <c r="O256" s="439">
        <v>0</v>
      </c>
      <c r="P256" s="440">
        <v>0</v>
      </c>
      <c r="Q256" s="439">
        <v>0</v>
      </c>
      <c r="R256" s="439">
        <f t="shared" si="210"/>
        <v>0</v>
      </c>
      <c r="S256" s="439">
        <f t="shared" si="211"/>
        <v>0</v>
      </c>
      <c r="T256" s="441"/>
      <c r="U256" s="439">
        <v>0</v>
      </c>
      <c r="V256" s="439">
        <f>+AA256</f>
        <v>0</v>
      </c>
      <c r="W256" s="439">
        <v>0</v>
      </c>
      <c r="X256" s="439">
        <v>0</v>
      </c>
      <c r="Y256" s="435">
        <f t="shared" si="212"/>
        <v>0</v>
      </c>
      <c r="Z256" s="439">
        <v>0</v>
      </c>
      <c r="AA256" s="439">
        <v>0</v>
      </c>
      <c r="AB256" s="439">
        <v>0</v>
      </c>
      <c r="AC256" s="439">
        <v>0</v>
      </c>
      <c r="AD256" s="439">
        <v>0</v>
      </c>
      <c r="AE256" s="439"/>
      <c r="AF256" s="439">
        <f>AC256*2</f>
        <v>0</v>
      </c>
      <c r="AG256" s="439">
        <v>0</v>
      </c>
      <c r="AH256" s="419">
        <f t="shared" si="209"/>
        <v>0</v>
      </c>
      <c r="AI256" s="439">
        <v>0</v>
      </c>
      <c r="AJ256" s="439">
        <v>0</v>
      </c>
      <c r="AK256" s="439">
        <f>AA256-W256</f>
        <v>0</v>
      </c>
      <c r="AL256" s="439">
        <f>AA256-AF256</f>
        <v>0</v>
      </c>
      <c r="AM256" s="439">
        <f>AA256-AD256</f>
        <v>0</v>
      </c>
      <c r="AN256" s="438"/>
      <c r="AO256" s="438"/>
      <c r="AP256" s="438"/>
    </row>
    <row r="257" spans="1:42" ht="12.75">
      <c r="A257" s="412">
        <v>255</v>
      </c>
      <c r="B257" s="431" t="s">
        <v>1349</v>
      </c>
      <c r="C257" s="432" t="s">
        <v>378</v>
      </c>
      <c r="D257" s="433" t="s">
        <v>6797</v>
      </c>
      <c r="E257" s="434">
        <f>'PROSPETTO CE_IV TRIM 2024'!BM752</f>
        <v>0</v>
      </c>
      <c r="F257" s="439">
        <f>+E257</f>
        <v>0</v>
      </c>
      <c r="G257" s="439">
        <v>0</v>
      </c>
      <c r="H257" s="439">
        <v>0</v>
      </c>
      <c r="I257" s="435">
        <f t="shared" si="213"/>
        <v>0</v>
      </c>
      <c r="J257" s="435">
        <f t="shared" si="214"/>
        <v>0</v>
      </c>
      <c r="K257" s="439">
        <v>0</v>
      </c>
      <c r="L257" s="439">
        <v>0</v>
      </c>
      <c r="M257" s="439">
        <f t="shared" si="215"/>
        <v>0</v>
      </c>
      <c r="N257" s="439">
        <v>0</v>
      </c>
      <c r="O257" s="439">
        <v>0</v>
      </c>
      <c r="P257" s="440">
        <v>0</v>
      </c>
      <c r="Q257" s="439">
        <v>0</v>
      </c>
      <c r="R257" s="439">
        <f t="shared" si="210"/>
        <v>0</v>
      </c>
      <c r="S257" s="439">
        <f t="shared" si="211"/>
        <v>0</v>
      </c>
      <c r="T257" s="441"/>
      <c r="U257" s="439">
        <v>0</v>
      </c>
      <c r="V257" s="439">
        <f>+AA257</f>
        <v>0</v>
      </c>
      <c r="W257" s="439">
        <v>0</v>
      </c>
      <c r="X257" s="439">
        <v>0</v>
      </c>
      <c r="Y257" s="435">
        <f t="shared" si="212"/>
        <v>0</v>
      </c>
      <c r="Z257" s="439">
        <v>0</v>
      </c>
      <c r="AA257" s="439">
        <v>0</v>
      </c>
      <c r="AB257" s="439">
        <v>0</v>
      </c>
      <c r="AC257" s="439">
        <v>0</v>
      </c>
      <c r="AD257" s="439">
        <v>0</v>
      </c>
      <c r="AE257" s="439"/>
      <c r="AF257" s="439">
        <f>AC257*2</f>
        <v>0</v>
      </c>
      <c r="AG257" s="439">
        <v>0</v>
      </c>
      <c r="AH257" s="419">
        <f t="shared" si="209"/>
        <v>0</v>
      </c>
      <c r="AI257" s="439">
        <v>0</v>
      </c>
      <c r="AJ257" s="439">
        <v>0</v>
      </c>
      <c r="AK257" s="439">
        <f>AA257-W257</f>
        <v>0</v>
      </c>
      <c r="AL257" s="439">
        <f>AA257-AF257</f>
        <v>0</v>
      </c>
      <c r="AM257" s="439">
        <f>AA257-AD257</f>
        <v>0</v>
      </c>
      <c r="AN257" s="438"/>
      <c r="AO257" s="438"/>
      <c r="AP257" s="438"/>
    </row>
    <row r="258" spans="1:42" ht="12.75">
      <c r="A258" s="412">
        <v>256</v>
      </c>
      <c r="B258" s="431"/>
      <c r="C258" s="432" t="s">
        <v>379</v>
      </c>
      <c r="D258" s="433" t="s">
        <v>6802</v>
      </c>
      <c r="E258" s="434">
        <f>'PROSPETTO CE_IV TRIM 2024'!BM753+'PROSPETTO CE_IV TRIM 2024'!BM754+'PROSPETTO CE_IV TRIM 2024'!BM755+'PROSPETTO CE_IV TRIM 2024'!BM756</f>
        <v>2847146.73</v>
      </c>
      <c r="F258" s="439">
        <f>+E258</f>
        <v>2847146.73</v>
      </c>
      <c r="G258" s="439">
        <v>2838614.64</v>
      </c>
      <c r="H258" s="439">
        <v>2847146.73</v>
      </c>
      <c r="I258" s="435">
        <f t="shared" si="213"/>
        <v>0</v>
      </c>
      <c r="J258" s="435">
        <f t="shared" si="214"/>
        <v>0</v>
      </c>
      <c r="K258" s="439">
        <v>2847146.73</v>
      </c>
      <c r="L258" s="439">
        <v>2847146.73</v>
      </c>
      <c r="M258" s="439">
        <f t="shared" si="215"/>
        <v>363664.14899999974</v>
      </c>
      <c r="N258" s="439">
        <v>2842827.9339999999</v>
      </c>
      <c r="O258" s="439">
        <v>2842827.9339999999</v>
      </c>
      <c r="P258" s="443">
        <v>2483482.5810000002</v>
      </c>
      <c r="Q258" s="439">
        <v>2838614.64</v>
      </c>
      <c r="R258" s="439">
        <f t="shared" si="210"/>
        <v>-359345.35299999965</v>
      </c>
      <c r="S258" s="439">
        <f t="shared" si="211"/>
        <v>-4213.2939999997616</v>
      </c>
      <c r="T258" s="441">
        <f>(F258-P258)/F258*100</f>
        <v>12.772933167374894</v>
      </c>
      <c r="U258" s="439">
        <v>2127445.4739999999</v>
      </c>
      <c r="V258" s="439">
        <f>+AA258</f>
        <v>2483482.5810000002</v>
      </c>
      <c r="W258" s="439">
        <v>2837454</v>
      </c>
      <c r="X258" s="439">
        <v>2838614.64</v>
      </c>
      <c r="Y258" s="435">
        <f t="shared" si="212"/>
        <v>3105978.250909091</v>
      </c>
      <c r="Z258" s="439">
        <v>2483482.5810000002</v>
      </c>
      <c r="AA258" s="439">
        <v>2483482.5810000002</v>
      </c>
      <c r="AB258" s="439">
        <v>709591</v>
      </c>
      <c r="AC258" s="439">
        <v>1419307.32</v>
      </c>
      <c r="AD258" s="439">
        <v>2838614.64</v>
      </c>
      <c r="AE258" s="439"/>
      <c r="AF258" s="439">
        <f>AC258*2</f>
        <v>2838614.64</v>
      </c>
      <c r="AG258" s="439"/>
      <c r="AH258" s="419">
        <f t="shared" ref="AH258:AH321" si="256">AG258-F258</f>
        <v>-2847146.73</v>
      </c>
      <c r="AI258" s="439"/>
      <c r="AJ258" s="439"/>
      <c r="AK258" s="439">
        <f>AA258-W258</f>
        <v>-353971.41899999976</v>
      </c>
      <c r="AL258" s="439">
        <f>AA258-AF258</f>
        <v>-355132.05899999989</v>
      </c>
      <c r="AM258" s="439">
        <f>AA258-AD258</f>
        <v>-355132.05899999989</v>
      </c>
      <c r="AN258" s="438"/>
      <c r="AO258" s="438"/>
      <c r="AP258" s="438"/>
    </row>
    <row r="259" spans="1:42" ht="25.5">
      <c r="A259" s="412">
        <v>257</v>
      </c>
      <c r="B259" s="431"/>
      <c r="C259" s="432" t="s">
        <v>6814</v>
      </c>
      <c r="D259" s="433" t="s">
        <v>6816</v>
      </c>
      <c r="E259" s="434"/>
      <c r="F259" s="435">
        <f>+F260+F263+F265+F266+F267+F264</f>
        <v>296809.97000000003</v>
      </c>
      <c r="G259" s="435">
        <v>75812.579999999987</v>
      </c>
      <c r="H259" s="435">
        <v>296809.97000000003</v>
      </c>
      <c r="I259" s="435">
        <f t="shared" si="213"/>
        <v>0</v>
      </c>
      <c r="J259" s="435">
        <f t="shared" si="214"/>
        <v>0</v>
      </c>
      <c r="K259" s="435">
        <v>296809.97000000003</v>
      </c>
      <c r="L259" s="435">
        <v>549507.27</v>
      </c>
      <c r="M259" s="435">
        <f t="shared" si="215"/>
        <v>193612.76000000004</v>
      </c>
      <c r="N259" s="435">
        <v>327045.34000000003</v>
      </c>
      <c r="O259" s="435">
        <v>327045.34000000003</v>
      </c>
      <c r="P259" s="436">
        <v>103197.20999999999</v>
      </c>
      <c r="Q259" s="435">
        <f t="shared" ref="Q259" si="257">+Q260+Q263+Q265+Q266+Q267+Q264</f>
        <v>75812.579999999987</v>
      </c>
      <c r="R259" s="435">
        <f t="shared" si="210"/>
        <v>-223848.13000000003</v>
      </c>
      <c r="S259" s="435">
        <f t="shared" si="211"/>
        <v>-251232.76000000004</v>
      </c>
      <c r="T259" s="437">
        <f>(F259-P259)/F259*100</f>
        <v>65.23121847962183</v>
      </c>
      <c r="U259" s="435">
        <v>207204.78</v>
      </c>
      <c r="V259" s="435">
        <f>+V260+V263+V265+V266+V267+V264</f>
        <v>103197.20999999999</v>
      </c>
      <c r="W259" s="435">
        <f>+W260+W263+W265+W266+W267+W264</f>
        <v>325370</v>
      </c>
      <c r="X259" s="435">
        <f t="shared" ref="X259" si="258">+X260+X263+X265+X266+X267+X264</f>
        <v>75812.579999999987</v>
      </c>
      <c r="Y259" s="435">
        <f t="shared" si="212"/>
        <v>323792.69454545458</v>
      </c>
      <c r="Z259" s="435">
        <v>103197.20999999999</v>
      </c>
      <c r="AA259" s="435">
        <v>103197.20999999999</v>
      </c>
      <c r="AB259" s="435">
        <f t="shared" ref="AB259:AM259" si="259">+AB260+AB263+AB265+AB266+AB267+AB264</f>
        <v>386</v>
      </c>
      <c r="AC259" s="435">
        <f t="shared" si="259"/>
        <v>63672.98</v>
      </c>
      <c r="AD259" s="435">
        <f t="shared" si="259"/>
        <v>75812.579999999987</v>
      </c>
      <c r="AE259" s="435"/>
      <c r="AF259" s="435">
        <f t="shared" si="259"/>
        <v>127345.96</v>
      </c>
      <c r="AG259" s="435">
        <f t="shared" si="259"/>
        <v>0</v>
      </c>
      <c r="AH259" s="419">
        <f t="shared" si="256"/>
        <v>-296809.97000000003</v>
      </c>
      <c r="AI259" s="435">
        <f t="shared" si="259"/>
        <v>0</v>
      </c>
      <c r="AJ259" s="435">
        <f t="shared" si="259"/>
        <v>0</v>
      </c>
      <c r="AK259" s="435">
        <f t="shared" si="259"/>
        <v>-222172.79</v>
      </c>
      <c r="AL259" s="435">
        <f t="shared" si="259"/>
        <v>-24148.750000000007</v>
      </c>
      <c r="AM259" s="435">
        <f t="shared" si="259"/>
        <v>27384.62999999999</v>
      </c>
      <c r="AN259" s="438"/>
      <c r="AO259" s="438"/>
      <c r="AP259" s="438"/>
    </row>
    <row r="260" spans="1:42" ht="25.5">
      <c r="A260" s="412">
        <v>258</v>
      </c>
      <c r="B260" s="431" t="s">
        <v>1519</v>
      </c>
      <c r="C260" s="432" t="s">
        <v>380</v>
      </c>
      <c r="D260" s="433" t="s">
        <v>11225</v>
      </c>
      <c r="E260" s="434"/>
      <c r="F260" s="435">
        <f>+F261+F262</f>
        <v>0</v>
      </c>
      <c r="G260" s="435">
        <v>51722.15</v>
      </c>
      <c r="H260" s="435">
        <v>0</v>
      </c>
      <c r="I260" s="435">
        <f t="shared" si="213"/>
        <v>0</v>
      </c>
      <c r="J260" s="435">
        <f t="shared" si="214"/>
        <v>-293272.32000000001</v>
      </c>
      <c r="K260" s="435">
        <v>293272.32000000001</v>
      </c>
      <c r="L260" s="435">
        <v>543697.62</v>
      </c>
      <c r="M260" s="435">
        <f t="shared" si="215"/>
        <v>-100948.56</v>
      </c>
      <c r="N260" s="435">
        <v>322137.69</v>
      </c>
      <c r="O260" s="435">
        <v>322137.69</v>
      </c>
      <c r="P260" s="436">
        <v>100948.56</v>
      </c>
      <c r="Q260" s="435">
        <f t="shared" ref="Q260" si="260">+Q261+Q262</f>
        <v>51722.15</v>
      </c>
      <c r="R260" s="435">
        <f t="shared" ref="R260:R323" si="261">P260-N260</f>
        <v>-221189.13</v>
      </c>
      <c r="S260" s="435">
        <f t="shared" ref="S260:S323" si="262">Q260-N260</f>
        <v>-270415.53999999998</v>
      </c>
      <c r="T260" s="437" t="e">
        <f>(F260-P260)/F260*100</f>
        <v>#DIV/0!</v>
      </c>
      <c r="U260" s="435">
        <v>202684.13</v>
      </c>
      <c r="V260" s="435">
        <f>+V261+V262</f>
        <v>100948.56</v>
      </c>
      <c r="W260" s="435">
        <f>+W261+W262</f>
        <v>311584</v>
      </c>
      <c r="X260" s="435">
        <f t="shared" ref="X260" si="263">+X261+X262</f>
        <v>51722.15</v>
      </c>
      <c r="Y260" s="435">
        <f t="shared" ref="Y260:Y323" si="264">F260/11*12</f>
        <v>0</v>
      </c>
      <c r="Z260" s="435">
        <v>100948.56</v>
      </c>
      <c r="AA260" s="435">
        <v>100948.56</v>
      </c>
      <c r="AB260" s="435">
        <f t="shared" ref="AB260:AM260" si="265">+AB261+AB262</f>
        <v>0</v>
      </c>
      <c r="AC260" s="435">
        <f t="shared" si="265"/>
        <v>61810.66</v>
      </c>
      <c r="AD260" s="435">
        <f t="shared" si="265"/>
        <v>51722.15</v>
      </c>
      <c r="AE260" s="435"/>
      <c r="AF260" s="435">
        <f t="shared" si="265"/>
        <v>123621.32</v>
      </c>
      <c r="AG260" s="435">
        <f t="shared" si="265"/>
        <v>0</v>
      </c>
      <c r="AH260" s="419">
        <f t="shared" si="256"/>
        <v>0</v>
      </c>
      <c r="AI260" s="435">
        <f t="shared" si="265"/>
        <v>0</v>
      </c>
      <c r="AJ260" s="435">
        <f t="shared" si="265"/>
        <v>0</v>
      </c>
      <c r="AK260" s="435">
        <f t="shared" si="265"/>
        <v>-210635.44</v>
      </c>
      <c r="AL260" s="435">
        <f t="shared" si="265"/>
        <v>-22672.760000000009</v>
      </c>
      <c r="AM260" s="435">
        <f t="shared" si="265"/>
        <v>49226.409999999996</v>
      </c>
      <c r="AN260" s="438"/>
      <c r="AO260" s="438"/>
      <c r="AP260" s="438"/>
    </row>
    <row r="261" spans="1:42" ht="12.75">
      <c r="A261" s="412">
        <v>259</v>
      </c>
      <c r="B261" s="431" t="s">
        <v>1519</v>
      </c>
      <c r="C261" s="432" t="s">
        <v>6873</v>
      </c>
      <c r="D261" s="433" t="s">
        <v>6877</v>
      </c>
      <c r="E261" s="434">
        <f>'PROSPETTO CE_IV TRIM 2024'!BM777</f>
        <v>0</v>
      </c>
      <c r="F261" s="439">
        <f t="shared" ref="F261:F267" si="266">+E261</f>
        <v>0</v>
      </c>
      <c r="G261" s="439">
        <v>0</v>
      </c>
      <c r="H261" s="439">
        <v>0</v>
      </c>
      <c r="I261" s="435">
        <f t="shared" ref="I261:I324" si="267">F261-H261</f>
        <v>0</v>
      </c>
      <c r="J261" s="435">
        <f t="shared" ref="J261:J324" si="268">F261-K261</f>
        <v>0</v>
      </c>
      <c r="K261" s="439">
        <v>0</v>
      </c>
      <c r="L261" s="439">
        <v>0</v>
      </c>
      <c r="M261" s="439">
        <f t="shared" ref="M261:M324" si="269">F261-P261</f>
        <v>0</v>
      </c>
      <c r="N261" s="439">
        <v>0</v>
      </c>
      <c r="O261" s="439">
        <v>0</v>
      </c>
      <c r="P261" s="440">
        <v>0</v>
      </c>
      <c r="Q261" s="439">
        <v>0</v>
      </c>
      <c r="R261" s="439">
        <f t="shared" si="261"/>
        <v>0</v>
      </c>
      <c r="S261" s="439">
        <f t="shared" si="262"/>
        <v>0</v>
      </c>
      <c r="T261" s="441"/>
      <c r="U261" s="439">
        <v>0</v>
      </c>
      <c r="V261" s="439">
        <f t="shared" ref="V261:V267" si="270">+AA261</f>
        <v>0</v>
      </c>
      <c r="W261" s="439">
        <v>0</v>
      </c>
      <c r="X261" s="439">
        <v>0</v>
      </c>
      <c r="Y261" s="435">
        <f t="shared" si="264"/>
        <v>0</v>
      </c>
      <c r="Z261" s="439">
        <v>0</v>
      </c>
      <c r="AA261" s="439">
        <v>0</v>
      </c>
      <c r="AB261" s="439">
        <v>0</v>
      </c>
      <c r="AC261" s="439">
        <v>0</v>
      </c>
      <c r="AD261" s="439">
        <v>0</v>
      </c>
      <c r="AE261" s="439"/>
      <c r="AF261" s="439">
        <f t="shared" ref="AF261:AF267" si="271">AC261*2</f>
        <v>0</v>
      </c>
      <c r="AG261" s="439"/>
      <c r="AH261" s="419">
        <f t="shared" si="256"/>
        <v>0</v>
      </c>
      <c r="AI261" s="439"/>
      <c r="AJ261" s="439"/>
      <c r="AK261" s="439">
        <f t="shared" ref="AK261:AK267" si="272">AA261-W261</f>
        <v>0</v>
      </c>
      <c r="AL261" s="439">
        <f t="shared" ref="AL261:AL267" si="273">AA261-AF261</f>
        <v>0</v>
      </c>
      <c r="AM261" s="439">
        <f t="shared" ref="AM261:AM267" si="274">AA261-AD261</f>
        <v>0</v>
      </c>
      <c r="AN261" s="438"/>
      <c r="AO261" s="438"/>
      <c r="AP261" s="438"/>
    </row>
    <row r="262" spans="1:42" ht="12.75">
      <c r="A262" s="412">
        <v>260</v>
      </c>
      <c r="B262" s="431" t="s">
        <v>1519</v>
      </c>
      <c r="C262" s="432" t="s">
        <v>6817</v>
      </c>
      <c r="D262" s="433" t="s">
        <v>6821</v>
      </c>
      <c r="E262" s="434">
        <f>'PROSPETTO CE_IV TRIM 2024'!BM759+'PROSPETTO CE_IV TRIM 2024'!BM771+'PROSPETTO CE_IV TRIM 2024'!BM782</f>
        <v>0</v>
      </c>
      <c r="F262" s="439">
        <f t="shared" si="266"/>
        <v>0</v>
      </c>
      <c r="G262" s="439">
        <v>51722.15</v>
      </c>
      <c r="H262" s="439">
        <v>0</v>
      </c>
      <c r="I262" s="435">
        <f t="shared" si="267"/>
        <v>0</v>
      </c>
      <c r="J262" s="435">
        <f t="shared" si="268"/>
        <v>-293272.32000000001</v>
      </c>
      <c r="K262" s="439">
        <v>293272.32000000001</v>
      </c>
      <c r="L262" s="439">
        <v>543697.62</v>
      </c>
      <c r="M262" s="439">
        <f t="shared" si="269"/>
        <v>-100948.56</v>
      </c>
      <c r="N262" s="439">
        <v>322137.69</v>
      </c>
      <c r="O262" s="439">
        <v>322137.69</v>
      </c>
      <c r="P262" s="443">
        <v>100948.56</v>
      </c>
      <c r="Q262" s="439">
        <v>51722.15</v>
      </c>
      <c r="R262" s="439">
        <f t="shared" si="261"/>
        <v>-221189.13</v>
      </c>
      <c r="S262" s="439">
        <f t="shared" si="262"/>
        <v>-270415.53999999998</v>
      </c>
      <c r="T262" s="441" t="e">
        <f>(F262-P262)/F262*100</f>
        <v>#DIV/0!</v>
      </c>
      <c r="U262" s="439">
        <v>202684.13</v>
      </c>
      <c r="V262" s="439">
        <f t="shared" si="270"/>
        <v>100948.56</v>
      </c>
      <c r="W262" s="439">
        <v>311584</v>
      </c>
      <c r="X262" s="439">
        <v>51722.15</v>
      </c>
      <c r="Y262" s="435">
        <f t="shared" si="264"/>
        <v>0</v>
      </c>
      <c r="Z262" s="439">
        <v>100948.56</v>
      </c>
      <c r="AA262" s="439">
        <v>100948.56</v>
      </c>
      <c r="AB262" s="439">
        <v>0</v>
      </c>
      <c r="AC262" s="439">
        <v>61810.66</v>
      </c>
      <c r="AD262" s="439">
        <v>51722.15</v>
      </c>
      <c r="AE262" s="439"/>
      <c r="AF262" s="439">
        <f t="shared" si="271"/>
        <v>123621.32</v>
      </c>
      <c r="AG262" s="439"/>
      <c r="AH262" s="419">
        <f t="shared" si="256"/>
        <v>0</v>
      </c>
      <c r="AI262" s="439"/>
      <c r="AJ262" s="439"/>
      <c r="AK262" s="439">
        <f t="shared" si="272"/>
        <v>-210635.44</v>
      </c>
      <c r="AL262" s="439">
        <f t="shared" si="273"/>
        <v>-22672.760000000009</v>
      </c>
      <c r="AM262" s="439">
        <f t="shared" si="274"/>
        <v>49226.409999999996</v>
      </c>
      <c r="AN262" s="438"/>
      <c r="AO262" s="438"/>
      <c r="AP262" s="438"/>
    </row>
    <row r="263" spans="1:42" ht="12.75">
      <c r="A263" s="412">
        <v>261</v>
      </c>
      <c r="B263" s="431"/>
      <c r="C263" s="432" t="s">
        <v>381</v>
      </c>
      <c r="D263" s="433" t="s">
        <v>6825</v>
      </c>
      <c r="E263" s="434">
        <f>'PROSPETTO CE_IV TRIM 2024'!BM760+'PROSPETTO CE_IV TRIM 2024'!BM772+'PROSPETTO CE_IV TRIM 2024'!BM783</f>
        <v>293272.32000000001</v>
      </c>
      <c r="F263" s="439">
        <f t="shared" si="266"/>
        <v>293272.32000000001</v>
      </c>
      <c r="G263" s="439">
        <v>0</v>
      </c>
      <c r="H263" s="439">
        <v>293272.32000000001</v>
      </c>
      <c r="I263" s="435">
        <f t="shared" si="267"/>
        <v>0</v>
      </c>
      <c r="J263" s="435">
        <f t="shared" si="268"/>
        <v>293272.32000000001</v>
      </c>
      <c r="K263" s="439">
        <v>0</v>
      </c>
      <c r="L263" s="439">
        <v>0</v>
      </c>
      <c r="M263" s="439">
        <f t="shared" si="269"/>
        <v>293272.32000000001</v>
      </c>
      <c r="N263" s="439">
        <v>0</v>
      </c>
      <c r="O263" s="439">
        <v>0</v>
      </c>
      <c r="P263" s="440">
        <v>0</v>
      </c>
      <c r="Q263" s="439">
        <v>0</v>
      </c>
      <c r="R263" s="439">
        <f t="shared" si="261"/>
        <v>0</v>
      </c>
      <c r="S263" s="439">
        <f t="shared" si="262"/>
        <v>0</v>
      </c>
      <c r="T263" s="441"/>
      <c r="U263" s="439">
        <v>0</v>
      </c>
      <c r="V263" s="439">
        <f t="shared" si="270"/>
        <v>0</v>
      </c>
      <c r="W263" s="439">
        <v>0</v>
      </c>
      <c r="X263" s="439">
        <v>0</v>
      </c>
      <c r="Y263" s="435">
        <f t="shared" si="264"/>
        <v>319933.44</v>
      </c>
      <c r="Z263" s="439">
        <v>0</v>
      </c>
      <c r="AA263" s="439">
        <v>0</v>
      </c>
      <c r="AB263" s="439">
        <v>0</v>
      </c>
      <c r="AC263" s="439">
        <v>0</v>
      </c>
      <c r="AD263" s="439">
        <v>0</v>
      </c>
      <c r="AE263" s="439"/>
      <c r="AF263" s="439">
        <f t="shared" si="271"/>
        <v>0</v>
      </c>
      <c r="AG263" s="439"/>
      <c r="AH263" s="419">
        <f t="shared" si="256"/>
        <v>-293272.32000000001</v>
      </c>
      <c r="AI263" s="439"/>
      <c r="AJ263" s="439"/>
      <c r="AK263" s="439">
        <f t="shared" si="272"/>
        <v>0</v>
      </c>
      <c r="AL263" s="439">
        <f t="shared" si="273"/>
        <v>0</v>
      </c>
      <c r="AM263" s="439">
        <f t="shared" si="274"/>
        <v>0</v>
      </c>
      <c r="AN263" s="438"/>
      <c r="AO263" s="438"/>
      <c r="AP263" s="438"/>
    </row>
    <row r="264" spans="1:42" ht="38.25">
      <c r="A264" s="412">
        <v>262</v>
      </c>
      <c r="B264" s="431" t="s">
        <v>1349</v>
      </c>
      <c r="C264" s="432" t="s">
        <v>6826</v>
      </c>
      <c r="D264" s="433" t="s">
        <v>6830</v>
      </c>
      <c r="E264" s="434">
        <f>'PROSPETTO CE_IV TRIM 2024'!BM761+'PROSPETTO CE_IV TRIM 2024'!BM767+'PROSPETTO CE_IV TRIM 2024'!BM773+'PROSPETTO CE_IV TRIM 2024'!BM784</f>
        <v>0</v>
      </c>
      <c r="F264" s="439">
        <f t="shared" si="266"/>
        <v>0</v>
      </c>
      <c r="G264" s="439">
        <v>0</v>
      </c>
      <c r="H264" s="439">
        <v>0</v>
      </c>
      <c r="I264" s="435">
        <f t="shared" si="267"/>
        <v>0</v>
      </c>
      <c r="J264" s="435">
        <f t="shared" si="268"/>
        <v>0</v>
      </c>
      <c r="K264" s="439">
        <v>0</v>
      </c>
      <c r="L264" s="439">
        <v>0</v>
      </c>
      <c r="M264" s="439">
        <f t="shared" si="269"/>
        <v>0</v>
      </c>
      <c r="N264" s="439">
        <v>0</v>
      </c>
      <c r="O264" s="439">
        <v>0</v>
      </c>
      <c r="P264" s="440">
        <v>0</v>
      </c>
      <c r="Q264" s="439">
        <v>0</v>
      </c>
      <c r="R264" s="439">
        <f t="shared" si="261"/>
        <v>0</v>
      </c>
      <c r="S264" s="439">
        <f t="shared" si="262"/>
        <v>0</v>
      </c>
      <c r="T264" s="441"/>
      <c r="U264" s="439">
        <v>0</v>
      </c>
      <c r="V264" s="439">
        <f t="shared" si="270"/>
        <v>0</v>
      </c>
      <c r="W264" s="439">
        <v>0</v>
      </c>
      <c r="X264" s="439">
        <v>0</v>
      </c>
      <c r="Y264" s="435">
        <f t="shared" si="264"/>
        <v>0</v>
      </c>
      <c r="Z264" s="439">
        <v>0</v>
      </c>
      <c r="AA264" s="439">
        <v>0</v>
      </c>
      <c r="AB264" s="439">
        <v>0</v>
      </c>
      <c r="AC264" s="439">
        <v>0</v>
      </c>
      <c r="AD264" s="439">
        <v>0</v>
      </c>
      <c r="AE264" s="439"/>
      <c r="AF264" s="439">
        <f t="shared" si="271"/>
        <v>0</v>
      </c>
      <c r="AG264" s="439"/>
      <c r="AH264" s="419">
        <f t="shared" si="256"/>
        <v>0</v>
      </c>
      <c r="AI264" s="439"/>
      <c r="AJ264" s="439"/>
      <c r="AK264" s="439">
        <f t="shared" si="272"/>
        <v>0</v>
      </c>
      <c r="AL264" s="439">
        <f t="shared" si="273"/>
        <v>0</v>
      </c>
      <c r="AM264" s="439">
        <f t="shared" si="274"/>
        <v>0</v>
      </c>
      <c r="AN264" s="438"/>
      <c r="AO264" s="438"/>
      <c r="AP264" s="438"/>
    </row>
    <row r="265" spans="1:42" ht="25.5">
      <c r="A265" s="412">
        <v>263</v>
      </c>
      <c r="B265" s="444" t="s">
        <v>1340</v>
      </c>
      <c r="C265" s="432" t="s">
        <v>382</v>
      </c>
      <c r="D265" s="433" t="s">
        <v>6834</v>
      </c>
      <c r="E265" s="434">
        <f>'PROSPETTO CE_IV TRIM 2024'!BM762+'PROSPETTO CE_IV TRIM 2024'!BM774+'PROSPETTO CE_IV TRIM 2024'!BM779+'PROSPETTO CE_IV TRIM 2024'!BM785+'PROSPETTO CE_IV TRIM 2024'!BM768</f>
        <v>3537.65</v>
      </c>
      <c r="F265" s="439">
        <f t="shared" si="266"/>
        <v>3537.65</v>
      </c>
      <c r="G265" s="439">
        <v>12447.99</v>
      </c>
      <c r="H265" s="439">
        <v>3537.65</v>
      </c>
      <c r="I265" s="435">
        <f t="shared" si="267"/>
        <v>0</v>
      </c>
      <c r="J265" s="435">
        <f t="shared" si="268"/>
        <v>0</v>
      </c>
      <c r="K265" s="439">
        <v>3537.65</v>
      </c>
      <c r="L265" s="439">
        <v>5809.65</v>
      </c>
      <c r="M265" s="439">
        <f t="shared" si="269"/>
        <v>1289</v>
      </c>
      <c r="N265" s="439">
        <v>4907.6499999999996</v>
      </c>
      <c r="O265" s="439">
        <v>4907.6499999999996</v>
      </c>
      <c r="P265" s="440">
        <v>2248.65</v>
      </c>
      <c r="Q265" s="439">
        <v>12447.99</v>
      </c>
      <c r="R265" s="439">
        <f t="shared" si="261"/>
        <v>-2658.9999999999995</v>
      </c>
      <c r="S265" s="439">
        <f t="shared" si="262"/>
        <v>7540.34</v>
      </c>
      <c r="T265" s="441">
        <f>(F265-P265)/F265*100</f>
        <v>36.436617528585359</v>
      </c>
      <c r="U265" s="439">
        <v>4520.6499999999996</v>
      </c>
      <c r="V265" s="439">
        <f t="shared" si="270"/>
        <v>2248.65</v>
      </c>
      <c r="W265" s="439">
        <v>10564</v>
      </c>
      <c r="X265" s="439">
        <v>12447.99</v>
      </c>
      <c r="Y265" s="435">
        <f t="shared" si="264"/>
        <v>3859.2545454545457</v>
      </c>
      <c r="Z265" s="439">
        <v>2248.65</v>
      </c>
      <c r="AA265" s="439">
        <v>2248.65</v>
      </c>
      <c r="AB265" s="439">
        <v>386</v>
      </c>
      <c r="AC265" s="439">
        <v>1862.32</v>
      </c>
      <c r="AD265" s="439">
        <v>12447.99</v>
      </c>
      <c r="AE265" s="439"/>
      <c r="AF265" s="439">
        <f t="shared" si="271"/>
        <v>3724.64</v>
      </c>
      <c r="AG265" s="439"/>
      <c r="AH265" s="419">
        <f t="shared" si="256"/>
        <v>-3537.65</v>
      </c>
      <c r="AI265" s="439"/>
      <c r="AJ265" s="439"/>
      <c r="AK265" s="439">
        <f t="shared" si="272"/>
        <v>-8315.35</v>
      </c>
      <c r="AL265" s="439">
        <f t="shared" si="273"/>
        <v>-1475.9899999999998</v>
      </c>
      <c r="AM265" s="439">
        <f t="shared" si="274"/>
        <v>-10199.34</v>
      </c>
      <c r="AN265" s="438"/>
      <c r="AO265" s="438"/>
      <c r="AP265" s="438"/>
    </row>
    <row r="266" spans="1:42" ht="12.75">
      <c r="A266" s="412">
        <v>264</v>
      </c>
      <c r="B266" s="431"/>
      <c r="C266" s="432" t="s">
        <v>383</v>
      </c>
      <c r="D266" s="433" t="s">
        <v>6838</v>
      </c>
      <c r="E266" s="434">
        <f>'PROSPETTO CE_IV TRIM 2024'!BM763+'PROSPETTO CE_IV TRIM 2024'!BM769+'PROSPETTO CE_IV TRIM 2024'!BM775+'PROSPETTO CE_IV TRIM 2024'!BM786</f>
        <v>0</v>
      </c>
      <c r="F266" s="439">
        <f t="shared" si="266"/>
        <v>0</v>
      </c>
      <c r="G266" s="439">
        <v>3222.04</v>
      </c>
      <c r="H266" s="439">
        <v>0</v>
      </c>
      <c r="I266" s="435">
        <f t="shared" si="267"/>
        <v>0</v>
      </c>
      <c r="J266" s="435">
        <f t="shared" si="268"/>
        <v>0</v>
      </c>
      <c r="K266" s="439">
        <v>0</v>
      </c>
      <c r="L266" s="439">
        <v>0</v>
      </c>
      <c r="M266" s="439">
        <f t="shared" si="269"/>
        <v>0</v>
      </c>
      <c r="N266" s="439">
        <v>0</v>
      </c>
      <c r="O266" s="439">
        <v>0</v>
      </c>
      <c r="P266" s="440">
        <v>0</v>
      </c>
      <c r="Q266" s="439">
        <v>3222.04</v>
      </c>
      <c r="R266" s="439">
        <f t="shared" si="261"/>
        <v>0</v>
      </c>
      <c r="S266" s="439">
        <f t="shared" si="262"/>
        <v>3222.04</v>
      </c>
      <c r="T266" s="441"/>
      <c r="U266" s="439">
        <v>0</v>
      </c>
      <c r="V266" s="439">
        <f t="shared" si="270"/>
        <v>0</v>
      </c>
      <c r="W266" s="439">
        <v>3222</v>
      </c>
      <c r="X266" s="439">
        <v>3222.04</v>
      </c>
      <c r="Y266" s="435">
        <f t="shared" si="264"/>
        <v>0</v>
      </c>
      <c r="Z266" s="439">
        <v>0</v>
      </c>
      <c r="AA266" s="439">
        <v>0</v>
      </c>
      <c r="AB266" s="439">
        <v>0</v>
      </c>
      <c r="AC266" s="439">
        <v>0</v>
      </c>
      <c r="AD266" s="439">
        <v>3222.04</v>
      </c>
      <c r="AE266" s="439"/>
      <c r="AF266" s="439">
        <f t="shared" si="271"/>
        <v>0</v>
      </c>
      <c r="AG266" s="439"/>
      <c r="AH266" s="419">
        <f t="shared" si="256"/>
        <v>0</v>
      </c>
      <c r="AI266" s="439"/>
      <c r="AJ266" s="439"/>
      <c r="AK266" s="439">
        <f t="shared" si="272"/>
        <v>-3222</v>
      </c>
      <c r="AL266" s="439">
        <f t="shared" si="273"/>
        <v>0</v>
      </c>
      <c r="AM266" s="439">
        <f t="shared" si="274"/>
        <v>-3222.04</v>
      </c>
      <c r="AN266" s="438"/>
      <c r="AO266" s="438"/>
      <c r="AP266" s="438"/>
    </row>
    <row r="267" spans="1:42" ht="12.75">
      <c r="A267" s="412">
        <v>265</v>
      </c>
      <c r="B267" s="431"/>
      <c r="C267" s="432" t="s">
        <v>384</v>
      </c>
      <c r="D267" s="433" t="s">
        <v>6842</v>
      </c>
      <c r="E267" s="434">
        <f>'PROSPETTO CE_IV TRIM 2024'!BM764+'PROSPETTO CE_IV TRIM 2024'!BM770+'PROSPETTO CE_IV TRIM 2024'!BM776+'PROSPETTO CE_IV TRIM 2024'!BM781+'PROSPETTO CE_IV TRIM 2024'!BM787</f>
        <v>0</v>
      </c>
      <c r="F267" s="439">
        <f t="shared" si="266"/>
        <v>0</v>
      </c>
      <c r="G267" s="439">
        <v>8420.4</v>
      </c>
      <c r="H267" s="439">
        <v>0</v>
      </c>
      <c r="I267" s="435">
        <f t="shared" si="267"/>
        <v>0</v>
      </c>
      <c r="J267" s="435">
        <f t="shared" si="268"/>
        <v>0</v>
      </c>
      <c r="K267" s="439">
        <v>0</v>
      </c>
      <c r="L267" s="439">
        <v>0</v>
      </c>
      <c r="M267" s="439">
        <f t="shared" si="269"/>
        <v>0</v>
      </c>
      <c r="N267" s="439">
        <v>0</v>
      </c>
      <c r="O267" s="439">
        <v>0</v>
      </c>
      <c r="P267" s="440">
        <v>0</v>
      </c>
      <c r="Q267" s="439">
        <v>8420.4</v>
      </c>
      <c r="R267" s="439">
        <f t="shared" si="261"/>
        <v>0</v>
      </c>
      <c r="S267" s="439">
        <f t="shared" si="262"/>
        <v>8420.4</v>
      </c>
      <c r="T267" s="441"/>
      <c r="U267" s="439">
        <v>0</v>
      </c>
      <c r="V267" s="439">
        <f t="shared" si="270"/>
        <v>0</v>
      </c>
      <c r="W267" s="439">
        <v>0</v>
      </c>
      <c r="X267" s="439">
        <v>8420.4</v>
      </c>
      <c r="Y267" s="435">
        <f t="shared" si="264"/>
        <v>0</v>
      </c>
      <c r="Z267" s="439">
        <v>0</v>
      </c>
      <c r="AA267" s="439">
        <v>0</v>
      </c>
      <c r="AB267" s="439">
        <v>0</v>
      </c>
      <c r="AC267" s="439">
        <v>0</v>
      </c>
      <c r="AD267" s="439">
        <v>8420.4</v>
      </c>
      <c r="AE267" s="439"/>
      <c r="AF267" s="439">
        <f t="shared" si="271"/>
        <v>0</v>
      </c>
      <c r="AG267" s="439"/>
      <c r="AH267" s="419">
        <f t="shared" si="256"/>
        <v>0</v>
      </c>
      <c r="AI267" s="439"/>
      <c r="AJ267" s="439"/>
      <c r="AK267" s="439">
        <f t="shared" si="272"/>
        <v>0</v>
      </c>
      <c r="AL267" s="439">
        <f t="shared" si="273"/>
        <v>0</v>
      </c>
      <c r="AM267" s="439">
        <f t="shared" si="274"/>
        <v>-8420.4</v>
      </c>
      <c r="AN267" s="438"/>
      <c r="AO267" s="438"/>
      <c r="AP267" s="438"/>
    </row>
    <row r="268" spans="1:42" ht="25.5">
      <c r="A268" s="412">
        <v>266</v>
      </c>
      <c r="B268" s="431"/>
      <c r="C268" s="432" t="s">
        <v>6906</v>
      </c>
      <c r="D268" s="433" t="s">
        <v>6910</v>
      </c>
      <c r="E268" s="434"/>
      <c r="F268" s="435">
        <f>SUM(F269:F275)</f>
        <v>3019139.1900000004</v>
      </c>
      <c r="G268" s="435">
        <v>2638358.94</v>
      </c>
      <c r="H268" s="435">
        <v>3019139.1900000004</v>
      </c>
      <c r="I268" s="435">
        <f t="shared" si="267"/>
        <v>0</v>
      </c>
      <c r="J268" s="435">
        <f t="shared" si="268"/>
        <v>0</v>
      </c>
      <c r="K268" s="435">
        <v>3019139.1900000004</v>
      </c>
      <c r="L268" s="435">
        <v>2981306.9200000004</v>
      </c>
      <c r="M268" s="435">
        <f t="shared" si="269"/>
        <v>166604.37000000058</v>
      </c>
      <c r="N268" s="435">
        <v>2981306.9200000004</v>
      </c>
      <c r="O268" s="435">
        <v>2981306.9200000004</v>
      </c>
      <c r="P268" s="436">
        <v>2852534.82</v>
      </c>
      <c r="Q268" s="435">
        <f t="shared" ref="Q268" si="275">SUM(Q269:Q275)</f>
        <v>2638358.94</v>
      </c>
      <c r="R268" s="435">
        <f t="shared" si="261"/>
        <v>-128772.10000000056</v>
      </c>
      <c r="S268" s="435">
        <f t="shared" si="262"/>
        <v>-342947.98000000045</v>
      </c>
      <c r="T268" s="437">
        <f>(F268-P268)/F268*100</f>
        <v>5.5182739024364276</v>
      </c>
      <c r="U268" s="435">
        <v>2062060.21</v>
      </c>
      <c r="V268" s="435">
        <f>SUM(V269:V275)</f>
        <v>2852534.82</v>
      </c>
      <c r="W268" s="435">
        <f>SUM(W269:W275)</f>
        <v>2619381</v>
      </c>
      <c r="X268" s="435">
        <f t="shared" ref="X268" si="276">SUM(X269:X275)</f>
        <v>2638358.94</v>
      </c>
      <c r="Y268" s="435">
        <f t="shared" si="264"/>
        <v>3293606.3890909096</v>
      </c>
      <c r="Z268" s="435">
        <v>2852535.1885714279</v>
      </c>
      <c r="AA268" s="435">
        <v>2852534.82</v>
      </c>
      <c r="AB268" s="435">
        <f t="shared" ref="AB268:AN268" si="277">SUM(AB269:AB275)</f>
        <v>451991</v>
      </c>
      <c r="AC268" s="435">
        <f t="shared" si="277"/>
        <v>1363004.8699999999</v>
      </c>
      <c r="AD268" s="435">
        <f t="shared" si="277"/>
        <v>2638358.94</v>
      </c>
      <c r="AE268" s="435"/>
      <c r="AF268" s="435">
        <f t="shared" si="277"/>
        <v>2726009.7399999998</v>
      </c>
      <c r="AG268" s="435">
        <f t="shared" si="277"/>
        <v>0</v>
      </c>
      <c r="AH268" s="419">
        <f t="shared" si="256"/>
        <v>-3019139.1900000004</v>
      </c>
      <c r="AI268" s="435">
        <f t="shared" si="277"/>
        <v>0</v>
      </c>
      <c r="AJ268" s="435">
        <f t="shared" si="277"/>
        <v>0</v>
      </c>
      <c r="AK268" s="435">
        <f t="shared" si="277"/>
        <v>233153.82000000004</v>
      </c>
      <c r="AL268" s="435">
        <f t="shared" si="277"/>
        <v>126525.08000000005</v>
      </c>
      <c r="AM268" s="435">
        <f t="shared" si="277"/>
        <v>214175.88000000009</v>
      </c>
      <c r="AN268" s="435">
        <f t="shared" si="277"/>
        <v>0</v>
      </c>
      <c r="AO268" s="438"/>
      <c r="AP268" s="438"/>
    </row>
    <row r="269" spans="1:42" ht="25.5">
      <c r="A269" s="412">
        <v>267</v>
      </c>
      <c r="B269" s="431"/>
      <c r="C269" s="432" t="s">
        <v>539</v>
      </c>
      <c r="D269" s="433" t="s">
        <v>11226</v>
      </c>
      <c r="E269" s="434">
        <f>'PROSPETTO CE_IV TRIM 2024'!BM789+'PROSPETTO CE_IV TRIM 2024'!BM792+'PROSPETTO CE_IV TRIM 2024'!BM802+'PROSPETTO CE_IV TRIM 2024'!BM804</f>
        <v>264315.44</v>
      </c>
      <c r="F269" s="439">
        <f t="shared" ref="F269:F275" si="278">+E269</f>
        <v>264315.44</v>
      </c>
      <c r="G269" s="439">
        <v>188071.49</v>
      </c>
      <c r="H269" s="439">
        <v>264315.44</v>
      </c>
      <c r="I269" s="435">
        <f t="shared" si="267"/>
        <v>0</v>
      </c>
      <c r="J269" s="435">
        <f t="shared" si="268"/>
        <v>0</v>
      </c>
      <c r="K269" s="439">
        <v>264315.44</v>
      </c>
      <c r="L269" s="439">
        <v>264315.44</v>
      </c>
      <c r="M269" s="439">
        <f t="shared" si="269"/>
        <v>9832.1499999999942</v>
      </c>
      <c r="N269" s="439">
        <v>264315.44</v>
      </c>
      <c r="O269" s="439">
        <v>264315.44</v>
      </c>
      <c r="P269" s="440">
        <v>254483.29</v>
      </c>
      <c r="Q269" s="439">
        <v>188071.49</v>
      </c>
      <c r="R269" s="439">
        <f t="shared" si="261"/>
        <v>-9832.1499999999942</v>
      </c>
      <c r="S269" s="439">
        <f t="shared" si="262"/>
        <v>-76243.950000000012</v>
      </c>
      <c r="T269" s="441">
        <f>(F269-P269)/F269*100</f>
        <v>3.7198545798156908</v>
      </c>
      <c r="U269" s="439">
        <v>185075.99</v>
      </c>
      <c r="V269" s="439">
        <f t="shared" ref="V269:V275" si="279">+AA269</f>
        <v>254483.29</v>
      </c>
      <c r="W269" s="439">
        <v>193374</v>
      </c>
      <c r="X269" s="439">
        <v>188071.49</v>
      </c>
      <c r="Y269" s="435">
        <f t="shared" si="264"/>
        <v>288344.11636363639</v>
      </c>
      <c r="Z269" s="439">
        <v>254482.78285714288</v>
      </c>
      <c r="AA269" s="439">
        <v>254483.29</v>
      </c>
      <c r="AB269" s="439">
        <v>44441</v>
      </c>
      <c r="AC269" s="439">
        <v>129383.43</v>
      </c>
      <c r="AD269" s="439">
        <v>188071.49</v>
      </c>
      <c r="AE269" s="439"/>
      <c r="AF269" s="439">
        <f t="shared" ref="AF269:AF275" si="280">AC269*2</f>
        <v>258766.86</v>
      </c>
      <c r="AG269" s="439"/>
      <c r="AH269" s="419">
        <f t="shared" si="256"/>
        <v>-264315.44</v>
      </c>
      <c r="AI269" s="439"/>
      <c r="AJ269" s="439"/>
      <c r="AK269" s="439">
        <f t="shared" ref="AK269:AK275" si="281">AA269-W269</f>
        <v>61109.290000000008</v>
      </c>
      <c r="AL269" s="439">
        <f t="shared" ref="AL269:AL275" si="282">AA269-AF269</f>
        <v>-4283.5699999999779</v>
      </c>
      <c r="AM269" s="439">
        <f t="shared" ref="AM269:AM275" si="283">AA269-AD269</f>
        <v>66411.800000000017</v>
      </c>
      <c r="AN269" s="438"/>
      <c r="AO269" s="438"/>
      <c r="AP269" s="438"/>
    </row>
    <row r="270" spans="1:42" ht="25.5">
      <c r="A270" s="412">
        <v>268</v>
      </c>
      <c r="B270" s="431"/>
      <c r="C270" s="432" t="s">
        <v>540</v>
      </c>
      <c r="D270" s="433" t="s">
        <v>11227</v>
      </c>
      <c r="E270" s="434">
        <f>'PROSPETTO CE_IV TRIM 2024'!BM811+'PROSPETTO CE_IV TRIM 2024'!BM816+'PROSPETTO CE_IV TRIM 2024'!BM831+'PROSPETTO CE_IV TRIM 2024'!BM835</f>
        <v>2086763.86</v>
      </c>
      <c r="F270" s="439">
        <f t="shared" si="278"/>
        <v>2086763.86</v>
      </c>
      <c r="G270" s="439">
        <v>1798063.96</v>
      </c>
      <c r="H270" s="439">
        <v>2086763.86</v>
      </c>
      <c r="I270" s="435">
        <f t="shared" si="267"/>
        <v>0</v>
      </c>
      <c r="J270" s="435">
        <f t="shared" si="268"/>
        <v>0</v>
      </c>
      <c r="K270" s="439">
        <v>2086763.86</v>
      </c>
      <c r="L270" s="439">
        <v>2086763.86</v>
      </c>
      <c r="M270" s="439">
        <f t="shared" si="269"/>
        <v>108475.65000000014</v>
      </c>
      <c r="N270" s="439">
        <v>2086763.86</v>
      </c>
      <c r="O270" s="439">
        <v>2086763.86</v>
      </c>
      <c r="P270" s="443">
        <v>1978288.21</v>
      </c>
      <c r="Q270" s="439">
        <v>1798063.96</v>
      </c>
      <c r="R270" s="439">
        <f t="shared" si="261"/>
        <v>-108475.65000000014</v>
      </c>
      <c r="S270" s="439">
        <f t="shared" si="262"/>
        <v>-288699.90000000014</v>
      </c>
      <c r="T270" s="441">
        <f>(F270-P270)/F270*100</f>
        <v>5.1982714517588073</v>
      </c>
      <c r="U270" s="439">
        <v>1453416.4000000001</v>
      </c>
      <c r="V270" s="439">
        <f t="shared" si="279"/>
        <v>1978288.21</v>
      </c>
      <c r="W270" s="439">
        <v>1843980</v>
      </c>
      <c r="X270" s="439">
        <v>1798063.96</v>
      </c>
      <c r="Y270" s="435">
        <f t="shared" si="264"/>
        <v>2276469.6654545455</v>
      </c>
      <c r="Z270" s="439">
        <v>1978287.8571428568</v>
      </c>
      <c r="AA270" s="439">
        <v>1978288.21</v>
      </c>
      <c r="AB270" s="439">
        <v>386607</v>
      </c>
      <c r="AC270" s="439">
        <v>963737.24</v>
      </c>
      <c r="AD270" s="439">
        <v>1798063.96</v>
      </c>
      <c r="AE270" s="439"/>
      <c r="AF270" s="439">
        <f t="shared" si="280"/>
        <v>1927474.48</v>
      </c>
      <c r="AG270" s="439"/>
      <c r="AH270" s="419">
        <f t="shared" si="256"/>
        <v>-2086763.86</v>
      </c>
      <c r="AI270" s="439"/>
      <c r="AJ270" s="439"/>
      <c r="AK270" s="439">
        <f t="shared" si="281"/>
        <v>134308.20999999996</v>
      </c>
      <c r="AL270" s="439">
        <f t="shared" si="282"/>
        <v>50813.729999999981</v>
      </c>
      <c r="AM270" s="439">
        <f t="shared" si="283"/>
        <v>180224.25</v>
      </c>
      <c r="AN270" s="438"/>
      <c r="AO270" s="438"/>
      <c r="AP270" s="438"/>
    </row>
    <row r="271" spans="1:42" ht="25.5">
      <c r="A271" s="412">
        <v>269</v>
      </c>
      <c r="B271" s="431"/>
      <c r="C271" s="432" t="s">
        <v>541</v>
      </c>
      <c r="D271" s="433" t="s">
        <v>11228</v>
      </c>
      <c r="E271" s="434">
        <f>'PROSPETTO CE_IV TRIM 2024'!BM847+'PROSPETTO CE_IV TRIM 2024'!BM848+'PROSPETTO CE_IV TRIM 2024'!BM849+'PROSPETTO CE_IV TRIM 2024'!BM850</f>
        <v>0</v>
      </c>
      <c r="F271" s="439">
        <f t="shared" si="278"/>
        <v>0</v>
      </c>
      <c r="G271" s="439">
        <v>0</v>
      </c>
      <c r="H271" s="439">
        <v>0</v>
      </c>
      <c r="I271" s="435">
        <f t="shared" si="267"/>
        <v>0</v>
      </c>
      <c r="J271" s="435">
        <f t="shared" si="268"/>
        <v>0</v>
      </c>
      <c r="K271" s="439">
        <v>0</v>
      </c>
      <c r="L271" s="439">
        <v>0</v>
      </c>
      <c r="M271" s="439">
        <f t="shared" si="269"/>
        <v>0</v>
      </c>
      <c r="N271" s="439">
        <v>0</v>
      </c>
      <c r="O271" s="439">
        <v>0</v>
      </c>
      <c r="P271" s="440">
        <v>0</v>
      </c>
      <c r="Q271" s="439">
        <v>0</v>
      </c>
      <c r="R271" s="439">
        <f t="shared" si="261"/>
        <v>0</v>
      </c>
      <c r="S271" s="439">
        <f t="shared" si="262"/>
        <v>0</v>
      </c>
      <c r="T271" s="441"/>
      <c r="U271" s="439">
        <v>0</v>
      </c>
      <c r="V271" s="439">
        <f t="shared" si="279"/>
        <v>0</v>
      </c>
      <c r="W271" s="439">
        <v>0</v>
      </c>
      <c r="X271" s="439">
        <v>0</v>
      </c>
      <c r="Y271" s="435">
        <f t="shared" si="264"/>
        <v>0</v>
      </c>
      <c r="Z271" s="439">
        <v>0</v>
      </c>
      <c r="AA271" s="439">
        <v>0</v>
      </c>
      <c r="AB271" s="439">
        <v>0</v>
      </c>
      <c r="AC271" s="439">
        <v>0</v>
      </c>
      <c r="AD271" s="439">
        <v>0</v>
      </c>
      <c r="AE271" s="439"/>
      <c r="AF271" s="439">
        <f t="shared" si="280"/>
        <v>0</v>
      </c>
      <c r="AG271" s="439"/>
      <c r="AH271" s="419">
        <f t="shared" si="256"/>
        <v>0</v>
      </c>
      <c r="AI271" s="439"/>
      <c r="AJ271" s="439"/>
      <c r="AK271" s="439">
        <f t="shared" si="281"/>
        <v>0</v>
      </c>
      <c r="AL271" s="439">
        <f t="shared" si="282"/>
        <v>0</v>
      </c>
      <c r="AM271" s="439">
        <f t="shared" si="283"/>
        <v>0</v>
      </c>
      <c r="AN271" s="438"/>
      <c r="AO271" s="438"/>
      <c r="AP271" s="438"/>
    </row>
    <row r="272" spans="1:42" ht="38.25">
      <c r="A272" s="412">
        <v>270</v>
      </c>
      <c r="B272" s="431"/>
      <c r="C272" s="432" t="s">
        <v>542</v>
      </c>
      <c r="D272" s="433" t="s">
        <v>11229</v>
      </c>
      <c r="E272" s="434">
        <f>'PROSPETTO CE_IV TRIM 2024'!BM851+'PROSPETTO CE_IV TRIM 2024'!BM852+'PROSPETTO CE_IV TRIM 2024'!BM858+'PROSPETTO CE_IV TRIM 2024'!BM866</f>
        <v>130174.67</v>
      </c>
      <c r="F272" s="439">
        <f t="shared" si="278"/>
        <v>130174.67</v>
      </c>
      <c r="G272" s="439">
        <v>194768.38</v>
      </c>
      <c r="H272" s="439">
        <v>130174.67</v>
      </c>
      <c r="I272" s="435">
        <f t="shared" si="267"/>
        <v>0</v>
      </c>
      <c r="J272" s="435">
        <f t="shared" si="268"/>
        <v>0</v>
      </c>
      <c r="K272" s="439">
        <v>130174.67</v>
      </c>
      <c r="L272" s="439">
        <v>130174.67</v>
      </c>
      <c r="M272" s="439">
        <f t="shared" si="269"/>
        <v>64682.159999999996</v>
      </c>
      <c r="N272" s="439">
        <v>130174.67</v>
      </c>
      <c r="O272" s="439">
        <v>130174.67</v>
      </c>
      <c r="P272" s="443">
        <v>65492.51</v>
      </c>
      <c r="Q272" s="439">
        <v>194768.38</v>
      </c>
      <c r="R272" s="439">
        <f t="shared" si="261"/>
        <v>-64682.159999999996</v>
      </c>
      <c r="S272" s="439">
        <f t="shared" si="262"/>
        <v>64593.710000000006</v>
      </c>
      <c r="T272" s="441">
        <f>(F272-P272)/F272*100</f>
        <v>49.688745129908909</v>
      </c>
      <c r="U272" s="439">
        <v>74405.2</v>
      </c>
      <c r="V272" s="439">
        <f t="shared" si="279"/>
        <v>65492.51</v>
      </c>
      <c r="W272" s="439">
        <v>194768</v>
      </c>
      <c r="X272" s="439">
        <v>194768.38</v>
      </c>
      <c r="Y272" s="435">
        <f t="shared" si="264"/>
        <v>142008.7309090909</v>
      </c>
      <c r="Z272" s="439">
        <v>65493.445714285721</v>
      </c>
      <c r="AA272" s="439">
        <v>65492.51</v>
      </c>
      <c r="AB272" s="439">
        <v>20943</v>
      </c>
      <c r="AC272" s="439">
        <v>35579.51</v>
      </c>
      <c r="AD272" s="439">
        <v>194768.38</v>
      </c>
      <c r="AE272" s="439"/>
      <c r="AF272" s="439">
        <f t="shared" si="280"/>
        <v>71159.02</v>
      </c>
      <c r="AG272" s="439"/>
      <c r="AH272" s="419">
        <f t="shared" si="256"/>
        <v>-130174.67</v>
      </c>
      <c r="AI272" s="439"/>
      <c r="AJ272" s="439"/>
      <c r="AK272" s="439">
        <f t="shared" si="281"/>
        <v>-129275.48999999999</v>
      </c>
      <c r="AL272" s="439">
        <f t="shared" si="282"/>
        <v>-5666.510000000002</v>
      </c>
      <c r="AM272" s="439">
        <f t="shared" si="283"/>
        <v>-129275.87</v>
      </c>
      <c r="AN272" s="438"/>
      <c r="AO272" s="438"/>
      <c r="AP272" s="438"/>
    </row>
    <row r="273" spans="1:42" ht="38.25">
      <c r="A273" s="412">
        <v>271</v>
      </c>
      <c r="B273" s="431" t="s">
        <v>1519</v>
      </c>
      <c r="C273" s="432" t="s">
        <v>7086</v>
      </c>
      <c r="D273" s="433" t="s">
        <v>11230</v>
      </c>
      <c r="E273" s="434">
        <f>'PROSPETTO CE_IV TRIM 2024'!BM867+'PROSPETTO CE_IV TRIM 2024'!BM868+'PROSPETTO CE_IV TRIM 2024'!BM869+'PROSPETTO CE_IV TRIM 2024'!BM870</f>
        <v>0</v>
      </c>
      <c r="F273" s="439">
        <f t="shared" si="278"/>
        <v>0</v>
      </c>
      <c r="G273" s="439">
        <v>0</v>
      </c>
      <c r="H273" s="439">
        <v>0</v>
      </c>
      <c r="I273" s="435">
        <f t="shared" si="267"/>
        <v>0</v>
      </c>
      <c r="J273" s="435">
        <f t="shared" si="268"/>
        <v>0</v>
      </c>
      <c r="K273" s="439">
        <v>0</v>
      </c>
      <c r="L273" s="439">
        <v>0</v>
      </c>
      <c r="M273" s="439">
        <f t="shared" si="269"/>
        <v>0</v>
      </c>
      <c r="N273" s="439">
        <v>0</v>
      </c>
      <c r="O273" s="439">
        <v>0</v>
      </c>
      <c r="P273" s="440">
        <v>0</v>
      </c>
      <c r="Q273" s="439">
        <v>0</v>
      </c>
      <c r="R273" s="439">
        <f t="shared" si="261"/>
        <v>0</v>
      </c>
      <c r="S273" s="439">
        <f t="shared" si="262"/>
        <v>0</v>
      </c>
      <c r="T273" s="441"/>
      <c r="U273" s="439">
        <v>0</v>
      </c>
      <c r="V273" s="439">
        <f t="shared" si="279"/>
        <v>0</v>
      </c>
      <c r="W273" s="439">
        <v>0</v>
      </c>
      <c r="X273" s="439">
        <v>0</v>
      </c>
      <c r="Y273" s="435">
        <f t="shared" si="264"/>
        <v>0</v>
      </c>
      <c r="Z273" s="439">
        <v>0</v>
      </c>
      <c r="AA273" s="439">
        <v>0</v>
      </c>
      <c r="AB273" s="439">
        <v>0</v>
      </c>
      <c r="AC273" s="439">
        <v>0</v>
      </c>
      <c r="AD273" s="439">
        <v>0</v>
      </c>
      <c r="AE273" s="439"/>
      <c r="AF273" s="439">
        <f t="shared" si="280"/>
        <v>0</v>
      </c>
      <c r="AG273" s="439"/>
      <c r="AH273" s="419">
        <f t="shared" si="256"/>
        <v>0</v>
      </c>
      <c r="AI273" s="439"/>
      <c r="AJ273" s="439"/>
      <c r="AK273" s="439">
        <f t="shared" si="281"/>
        <v>0</v>
      </c>
      <c r="AL273" s="439">
        <f t="shared" si="282"/>
        <v>0</v>
      </c>
      <c r="AM273" s="439">
        <f t="shared" si="283"/>
        <v>0</v>
      </c>
      <c r="AN273" s="438"/>
      <c r="AO273" s="438"/>
      <c r="AP273" s="438"/>
    </row>
    <row r="274" spans="1:42" ht="25.5">
      <c r="A274" s="412">
        <v>272</v>
      </c>
      <c r="B274" s="431"/>
      <c r="C274" s="432" t="s">
        <v>543</v>
      </c>
      <c r="D274" s="433" t="s">
        <v>11231</v>
      </c>
      <c r="E274" s="434">
        <f>'PROSPETTO CE_IV TRIM 2024'!BM875</f>
        <v>537885.22</v>
      </c>
      <c r="F274" s="439">
        <f t="shared" si="278"/>
        <v>537885.22</v>
      </c>
      <c r="G274" s="439">
        <v>457455.11</v>
      </c>
      <c r="H274" s="439">
        <v>537885.22</v>
      </c>
      <c r="I274" s="435">
        <f t="shared" si="267"/>
        <v>0</v>
      </c>
      <c r="J274" s="435">
        <f t="shared" si="268"/>
        <v>0</v>
      </c>
      <c r="K274" s="439">
        <v>537885.22</v>
      </c>
      <c r="L274" s="439">
        <v>500052.95</v>
      </c>
      <c r="M274" s="439">
        <f t="shared" si="269"/>
        <v>-16385.590000000084</v>
      </c>
      <c r="N274" s="439">
        <v>500052.95</v>
      </c>
      <c r="O274" s="439">
        <v>500052.95</v>
      </c>
      <c r="P274" s="440">
        <v>554270.81000000006</v>
      </c>
      <c r="Q274" s="439">
        <v>457455.11</v>
      </c>
      <c r="R274" s="439">
        <f t="shared" si="261"/>
        <v>54217.860000000044</v>
      </c>
      <c r="S274" s="439">
        <f t="shared" si="262"/>
        <v>-42597.840000000026</v>
      </c>
      <c r="T274" s="441">
        <f>(F274-P274)/F274*100</f>
        <v>-3.0462986136707908</v>
      </c>
      <c r="U274" s="439">
        <v>349162.62</v>
      </c>
      <c r="V274" s="439">
        <f t="shared" si="279"/>
        <v>554270.81000000006</v>
      </c>
      <c r="W274" s="439">
        <v>387259</v>
      </c>
      <c r="X274" s="439">
        <v>457455.11</v>
      </c>
      <c r="Y274" s="435">
        <f t="shared" si="264"/>
        <v>586783.87636363634</v>
      </c>
      <c r="Z274" s="439">
        <v>554271.10285714292</v>
      </c>
      <c r="AA274" s="439">
        <v>554270.81000000006</v>
      </c>
      <c r="AB274" s="439">
        <v>0</v>
      </c>
      <c r="AC274" s="439">
        <v>234304.69</v>
      </c>
      <c r="AD274" s="439">
        <v>457455.11</v>
      </c>
      <c r="AE274" s="439"/>
      <c r="AF274" s="439">
        <f t="shared" si="280"/>
        <v>468609.38</v>
      </c>
      <c r="AG274" s="439"/>
      <c r="AH274" s="419">
        <f t="shared" si="256"/>
        <v>-537885.22</v>
      </c>
      <c r="AI274" s="439"/>
      <c r="AJ274" s="439"/>
      <c r="AK274" s="439">
        <f t="shared" si="281"/>
        <v>167011.81000000006</v>
      </c>
      <c r="AL274" s="439">
        <f t="shared" si="282"/>
        <v>85661.430000000051</v>
      </c>
      <c r="AM274" s="439">
        <f t="shared" si="283"/>
        <v>96815.70000000007</v>
      </c>
      <c r="AN274" s="438"/>
      <c r="AO274" s="438"/>
      <c r="AP274" s="438"/>
    </row>
    <row r="275" spans="1:42" ht="38.25">
      <c r="A275" s="412">
        <v>273</v>
      </c>
      <c r="B275" s="431" t="s">
        <v>1519</v>
      </c>
      <c r="C275" s="432" t="s">
        <v>544</v>
      </c>
      <c r="D275" s="433" t="s">
        <v>11232</v>
      </c>
      <c r="E275" s="434">
        <f>'PROSPETTO CE_IV TRIM 2024'!BM876</f>
        <v>0</v>
      </c>
      <c r="F275" s="439">
        <f t="shared" si="278"/>
        <v>0</v>
      </c>
      <c r="G275" s="439">
        <v>0</v>
      </c>
      <c r="H275" s="439">
        <v>0</v>
      </c>
      <c r="I275" s="435">
        <f t="shared" si="267"/>
        <v>0</v>
      </c>
      <c r="J275" s="435">
        <f t="shared" si="268"/>
        <v>0</v>
      </c>
      <c r="K275" s="439">
        <v>0</v>
      </c>
      <c r="L275" s="439">
        <v>0</v>
      </c>
      <c r="M275" s="439">
        <f t="shared" si="269"/>
        <v>0</v>
      </c>
      <c r="N275" s="439">
        <v>0</v>
      </c>
      <c r="O275" s="439">
        <v>0</v>
      </c>
      <c r="P275" s="440">
        <v>0</v>
      </c>
      <c r="Q275" s="439">
        <v>0</v>
      </c>
      <c r="R275" s="439">
        <f t="shared" si="261"/>
        <v>0</v>
      </c>
      <c r="S275" s="439">
        <f t="shared" si="262"/>
        <v>0</v>
      </c>
      <c r="T275" s="441"/>
      <c r="U275" s="439">
        <v>0</v>
      </c>
      <c r="V275" s="439">
        <f t="shared" si="279"/>
        <v>0</v>
      </c>
      <c r="W275" s="439">
        <v>0</v>
      </c>
      <c r="X275" s="439">
        <v>0</v>
      </c>
      <c r="Y275" s="435">
        <f t="shared" si="264"/>
        <v>0</v>
      </c>
      <c r="Z275" s="439">
        <v>0</v>
      </c>
      <c r="AA275" s="439">
        <v>0</v>
      </c>
      <c r="AB275" s="439">
        <v>0</v>
      </c>
      <c r="AC275" s="439">
        <v>0</v>
      </c>
      <c r="AD275" s="439">
        <v>0</v>
      </c>
      <c r="AE275" s="439"/>
      <c r="AF275" s="439">
        <f t="shared" si="280"/>
        <v>0</v>
      </c>
      <c r="AG275" s="439">
        <v>0</v>
      </c>
      <c r="AH275" s="419">
        <f t="shared" si="256"/>
        <v>0</v>
      </c>
      <c r="AI275" s="439">
        <v>0</v>
      </c>
      <c r="AJ275" s="439">
        <v>0</v>
      </c>
      <c r="AK275" s="439">
        <f t="shared" si="281"/>
        <v>0</v>
      </c>
      <c r="AL275" s="439">
        <f t="shared" si="282"/>
        <v>0</v>
      </c>
      <c r="AM275" s="439">
        <f t="shared" si="283"/>
        <v>0</v>
      </c>
      <c r="AN275" s="438"/>
      <c r="AO275" s="438"/>
      <c r="AP275" s="438"/>
    </row>
    <row r="276" spans="1:42" ht="12.75">
      <c r="A276" s="412">
        <v>274</v>
      </c>
      <c r="B276" s="431"/>
      <c r="C276" s="432" t="s">
        <v>7123</v>
      </c>
      <c r="D276" s="433" t="s">
        <v>7126</v>
      </c>
      <c r="E276" s="434"/>
      <c r="F276" s="435">
        <f>SUM(F277:F283)</f>
        <v>380458.84</v>
      </c>
      <c r="G276" s="435">
        <v>358824.96000000002</v>
      </c>
      <c r="H276" s="435">
        <v>672028.84</v>
      </c>
      <c r="I276" s="435">
        <f t="shared" si="267"/>
        <v>-291569.99999999994</v>
      </c>
      <c r="J276" s="435">
        <f t="shared" si="268"/>
        <v>-276849.99999999994</v>
      </c>
      <c r="K276" s="435">
        <v>657308.84</v>
      </c>
      <c r="L276" s="435">
        <v>640776.24</v>
      </c>
      <c r="M276" s="435">
        <f t="shared" si="269"/>
        <v>86758.840000000026</v>
      </c>
      <c r="N276" s="435">
        <v>294060</v>
      </c>
      <c r="O276" s="435">
        <v>294060</v>
      </c>
      <c r="P276" s="436">
        <v>293700</v>
      </c>
      <c r="Q276" s="435">
        <f t="shared" ref="Q276" si="284">SUM(Q277:Q283)</f>
        <v>358824.96000000002</v>
      </c>
      <c r="R276" s="435">
        <f t="shared" si="261"/>
        <v>-360</v>
      </c>
      <c r="S276" s="435">
        <f t="shared" si="262"/>
        <v>64764.960000000021</v>
      </c>
      <c r="T276" s="437">
        <f>(F276-P276)/F276*100</f>
        <v>22.803738769744452</v>
      </c>
      <c r="U276" s="435">
        <v>293700</v>
      </c>
      <c r="V276" s="435">
        <f>SUM(V277:V283)</f>
        <v>293700</v>
      </c>
      <c r="W276" s="435">
        <f>SUM(W277:W283)</f>
        <v>100000</v>
      </c>
      <c r="X276" s="435">
        <f t="shared" ref="X276" si="285">SUM(X277:X283)</f>
        <v>358824.96000000002</v>
      </c>
      <c r="Y276" s="435">
        <f t="shared" si="264"/>
        <v>415046.00727272732</v>
      </c>
      <c r="Z276" s="435">
        <v>293700</v>
      </c>
      <c r="AA276" s="435">
        <v>293700</v>
      </c>
      <c r="AB276" s="435">
        <f t="shared" ref="AB276:AM276" si="286">SUM(AB277:AB283)</f>
        <v>0</v>
      </c>
      <c r="AC276" s="435">
        <f t="shared" si="286"/>
        <v>179412.48000000001</v>
      </c>
      <c r="AD276" s="435">
        <f t="shared" si="286"/>
        <v>358824.96000000002</v>
      </c>
      <c r="AE276" s="435"/>
      <c r="AF276" s="435">
        <f t="shared" si="286"/>
        <v>358824.96000000002</v>
      </c>
      <c r="AG276" s="435">
        <f t="shared" si="286"/>
        <v>0</v>
      </c>
      <c r="AH276" s="419">
        <f t="shared" si="256"/>
        <v>-380458.84</v>
      </c>
      <c r="AI276" s="435">
        <f t="shared" si="286"/>
        <v>0</v>
      </c>
      <c r="AJ276" s="435">
        <f t="shared" si="286"/>
        <v>0</v>
      </c>
      <c r="AK276" s="435">
        <f t="shared" si="286"/>
        <v>193700</v>
      </c>
      <c r="AL276" s="435">
        <f t="shared" si="286"/>
        <v>-65124.960000000021</v>
      </c>
      <c r="AM276" s="435">
        <f t="shared" si="286"/>
        <v>-65124.960000000021</v>
      </c>
      <c r="AN276" s="438"/>
      <c r="AO276" s="438"/>
      <c r="AP276" s="438"/>
    </row>
    <row r="277" spans="1:42" ht="12.75">
      <c r="A277" s="412">
        <v>275</v>
      </c>
      <c r="B277" s="431"/>
      <c r="C277" s="432" t="s">
        <v>385</v>
      </c>
      <c r="D277" s="433" t="s">
        <v>11233</v>
      </c>
      <c r="E277" s="434">
        <f>'PROSPETTO CE_IV TRIM 2024'!BM878</f>
        <v>0</v>
      </c>
      <c r="F277" s="439">
        <f t="shared" ref="F277:F283" si="287">+E277</f>
        <v>0</v>
      </c>
      <c r="G277" s="439">
        <v>0</v>
      </c>
      <c r="H277" s="439">
        <v>0</v>
      </c>
      <c r="I277" s="435">
        <f t="shared" si="267"/>
        <v>0</v>
      </c>
      <c r="J277" s="435">
        <f t="shared" si="268"/>
        <v>0</v>
      </c>
      <c r="K277" s="439">
        <v>0</v>
      </c>
      <c r="L277" s="439">
        <v>0</v>
      </c>
      <c r="M277" s="439">
        <f t="shared" si="269"/>
        <v>0</v>
      </c>
      <c r="N277" s="439">
        <v>0</v>
      </c>
      <c r="O277" s="439">
        <v>0</v>
      </c>
      <c r="P277" s="440">
        <v>0</v>
      </c>
      <c r="Q277" s="439">
        <v>0</v>
      </c>
      <c r="R277" s="439">
        <f t="shared" si="261"/>
        <v>0</v>
      </c>
      <c r="S277" s="439">
        <f t="shared" si="262"/>
        <v>0</v>
      </c>
      <c r="T277" s="441"/>
      <c r="U277" s="439">
        <v>0</v>
      </c>
      <c r="V277" s="439">
        <f t="shared" ref="V277:V283" si="288">+AA277</f>
        <v>0</v>
      </c>
      <c r="W277" s="439">
        <v>0</v>
      </c>
      <c r="X277" s="439">
        <v>0</v>
      </c>
      <c r="Y277" s="435">
        <f t="shared" si="264"/>
        <v>0</v>
      </c>
      <c r="Z277" s="439">
        <v>0</v>
      </c>
      <c r="AA277" s="439">
        <v>0</v>
      </c>
      <c r="AB277" s="439">
        <v>0</v>
      </c>
      <c r="AC277" s="439">
        <v>0</v>
      </c>
      <c r="AD277" s="439">
        <v>0</v>
      </c>
      <c r="AE277" s="439"/>
      <c r="AF277" s="439">
        <f t="shared" ref="AF277:AF283" si="289">AC277*2</f>
        <v>0</v>
      </c>
      <c r="AG277" s="439">
        <v>0</v>
      </c>
      <c r="AH277" s="419">
        <f t="shared" si="256"/>
        <v>0</v>
      </c>
      <c r="AI277" s="439">
        <v>0</v>
      </c>
      <c r="AJ277" s="439">
        <v>0</v>
      </c>
      <c r="AK277" s="439">
        <f t="shared" ref="AK277:AK283" si="290">AA277-W277</f>
        <v>0</v>
      </c>
      <c r="AL277" s="439">
        <f t="shared" ref="AL277:AL283" si="291">AA277-AF277</f>
        <v>0</v>
      </c>
      <c r="AM277" s="439">
        <f t="shared" ref="AM277:AM283" si="292">AA277-AD277</f>
        <v>0</v>
      </c>
      <c r="AN277" s="438"/>
      <c r="AO277" s="438"/>
      <c r="AP277" s="438"/>
    </row>
    <row r="278" spans="1:42" ht="12.75">
      <c r="A278" s="412">
        <v>276</v>
      </c>
      <c r="B278" s="431"/>
      <c r="C278" s="432" t="s">
        <v>387</v>
      </c>
      <c r="D278" s="433" t="s">
        <v>11234</v>
      </c>
      <c r="E278" s="434">
        <f>'PROSPETTO CE_IV TRIM 2024'!BM879</f>
        <v>0</v>
      </c>
      <c r="F278" s="439">
        <f t="shared" si="287"/>
        <v>0</v>
      </c>
      <c r="G278" s="439">
        <v>0</v>
      </c>
      <c r="H278" s="439">
        <v>0</v>
      </c>
      <c r="I278" s="435">
        <f t="shared" si="267"/>
        <v>0</v>
      </c>
      <c r="J278" s="435">
        <f t="shared" si="268"/>
        <v>0</v>
      </c>
      <c r="K278" s="439">
        <v>0</v>
      </c>
      <c r="L278" s="439">
        <v>0</v>
      </c>
      <c r="M278" s="439">
        <f t="shared" si="269"/>
        <v>0</v>
      </c>
      <c r="N278" s="439">
        <v>0</v>
      </c>
      <c r="O278" s="439">
        <v>0</v>
      </c>
      <c r="P278" s="440">
        <v>0</v>
      </c>
      <c r="Q278" s="439">
        <v>0</v>
      </c>
      <c r="R278" s="439">
        <f t="shared" si="261"/>
        <v>0</v>
      </c>
      <c r="S278" s="439">
        <f t="shared" si="262"/>
        <v>0</v>
      </c>
      <c r="T278" s="441"/>
      <c r="U278" s="439">
        <v>0</v>
      </c>
      <c r="V278" s="439">
        <f t="shared" si="288"/>
        <v>0</v>
      </c>
      <c r="W278" s="439">
        <v>0</v>
      </c>
      <c r="X278" s="439">
        <v>0</v>
      </c>
      <c r="Y278" s="435">
        <f t="shared" si="264"/>
        <v>0</v>
      </c>
      <c r="Z278" s="439">
        <v>0</v>
      </c>
      <c r="AA278" s="439">
        <v>0</v>
      </c>
      <c r="AB278" s="439">
        <v>0</v>
      </c>
      <c r="AC278" s="439">
        <v>0</v>
      </c>
      <c r="AD278" s="439">
        <v>0</v>
      </c>
      <c r="AE278" s="439"/>
      <c r="AF278" s="439">
        <f t="shared" si="289"/>
        <v>0</v>
      </c>
      <c r="AG278" s="439">
        <v>0</v>
      </c>
      <c r="AH278" s="419">
        <f t="shared" si="256"/>
        <v>0</v>
      </c>
      <c r="AI278" s="439">
        <v>0</v>
      </c>
      <c r="AJ278" s="439">
        <v>0</v>
      </c>
      <c r="AK278" s="439">
        <f t="shared" si="290"/>
        <v>0</v>
      </c>
      <c r="AL278" s="439">
        <f t="shared" si="291"/>
        <v>0</v>
      </c>
      <c r="AM278" s="439">
        <f t="shared" si="292"/>
        <v>0</v>
      </c>
      <c r="AN278" s="438"/>
      <c r="AO278" s="438"/>
      <c r="AP278" s="438"/>
    </row>
    <row r="279" spans="1:42" ht="25.5">
      <c r="A279" s="412">
        <v>277</v>
      </c>
      <c r="B279" s="431"/>
      <c r="C279" s="432" t="s">
        <v>389</v>
      </c>
      <c r="D279" s="433" t="s">
        <v>11235</v>
      </c>
      <c r="E279" s="434">
        <f>'PROSPETTO CE_IV TRIM 2024'!BM880+'PROSPETTO CE_IV TRIM 2024'!BM881</f>
        <v>0</v>
      </c>
      <c r="F279" s="439">
        <f t="shared" si="287"/>
        <v>0</v>
      </c>
      <c r="G279" s="439">
        <v>0</v>
      </c>
      <c r="H279" s="439">
        <v>0</v>
      </c>
      <c r="I279" s="435">
        <f t="shared" si="267"/>
        <v>0</v>
      </c>
      <c r="J279" s="435">
        <f t="shared" si="268"/>
        <v>0</v>
      </c>
      <c r="K279" s="439">
        <v>0</v>
      </c>
      <c r="L279" s="439">
        <v>0</v>
      </c>
      <c r="M279" s="439">
        <f t="shared" si="269"/>
        <v>0</v>
      </c>
      <c r="N279" s="439">
        <v>0</v>
      </c>
      <c r="O279" s="439">
        <v>0</v>
      </c>
      <c r="P279" s="440">
        <v>0</v>
      </c>
      <c r="Q279" s="439">
        <v>0</v>
      </c>
      <c r="R279" s="439">
        <f t="shared" si="261"/>
        <v>0</v>
      </c>
      <c r="S279" s="439">
        <f t="shared" si="262"/>
        <v>0</v>
      </c>
      <c r="T279" s="441"/>
      <c r="U279" s="439">
        <v>0</v>
      </c>
      <c r="V279" s="439">
        <f t="shared" si="288"/>
        <v>0</v>
      </c>
      <c r="W279" s="439">
        <v>0</v>
      </c>
      <c r="X279" s="439">
        <v>0</v>
      </c>
      <c r="Y279" s="435">
        <f t="shared" si="264"/>
        <v>0</v>
      </c>
      <c r="Z279" s="439">
        <v>0</v>
      </c>
      <c r="AA279" s="439">
        <v>0</v>
      </c>
      <c r="AB279" s="439">
        <v>0</v>
      </c>
      <c r="AC279" s="439">
        <v>0</v>
      </c>
      <c r="AD279" s="439">
        <v>0</v>
      </c>
      <c r="AE279" s="439"/>
      <c r="AF279" s="439">
        <f t="shared" si="289"/>
        <v>0</v>
      </c>
      <c r="AG279" s="439">
        <v>0</v>
      </c>
      <c r="AH279" s="419">
        <f t="shared" si="256"/>
        <v>0</v>
      </c>
      <c r="AI279" s="439">
        <v>0</v>
      </c>
      <c r="AJ279" s="439">
        <v>0</v>
      </c>
      <c r="AK279" s="439">
        <f t="shared" si="290"/>
        <v>0</v>
      </c>
      <c r="AL279" s="439">
        <f t="shared" si="291"/>
        <v>0</v>
      </c>
      <c r="AM279" s="439">
        <f t="shared" si="292"/>
        <v>0</v>
      </c>
      <c r="AN279" s="438"/>
      <c r="AO279" s="438"/>
      <c r="AP279" s="438"/>
    </row>
    <row r="280" spans="1:42" ht="12.75">
      <c r="A280" s="412">
        <v>278</v>
      </c>
      <c r="B280" s="431"/>
      <c r="C280" s="432" t="s">
        <v>391</v>
      </c>
      <c r="D280" s="433" t="s">
        <v>11236</v>
      </c>
      <c r="E280" s="434">
        <f>'PROSPETTO CE_IV TRIM 2024'!BM882</f>
        <v>0</v>
      </c>
      <c r="F280" s="439">
        <f t="shared" si="287"/>
        <v>0</v>
      </c>
      <c r="G280" s="439">
        <v>0</v>
      </c>
      <c r="H280" s="439">
        <v>0</v>
      </c>
      <c r="I280" s="435">
        <f t="shared" si="267"/>
        <v>0</v>
      </c>
      <c r="J280" s="435">
        <f t="shared" si="268"/>
        <v>0</v>
      </c>
      <c r="K280" s="439">
        <v>0</v>
      </c>
      <c r="L280" s="439">
        <v>0</v>
      </c>
      <c r="M280" s="439">
        <f t="shared" si="269"/>
        <v>0</v>
      </c>
      <c r="N280" s="439">
        <v>0</v>
      </c>
      <c r="O280" s="439">
        <v>0</v>
      </c>
      <c r="P280" s="440">
        <v>0</v>
      </c>
      <c r="Q280" s="439">
        <v>0</v>
      </c>
      <c r="R280" s="439">
        <f t="shared" si="261"/>
        <v>0</v>
      </c>
      <c r="S280" s="439">
        <f t="shared" si="262"/>
        <v>0</v>
      </c>
      <c r="T280" s="441"/>
      <c r="U280" s="439">
        <v>0</v>
      </c>
      <c r="V280" s="439">
        <f t="shared" si="288"/>
        <v>0</v>
      </c>
      <c r="W280" s="439">
        <v>0</v>
      </c>
      <c r="X280" s="439">
        <v>0</v>
      </c>
      <c r="Y280" s="435">
        <f t="shared" si="264"/>
        <v>0</v>
      </c>
      <c r="Z280" s="439">
        <v>0</v>
      </c>
      <c r="AA280" s="439">
        <v>0</v>
      </c>
      <c r="AB280" s="439">
        <v>0</v>
      </c>
      <c r="AC280" s="439">
        <v>0</v>
      </c>
      <c r="AD280" s="439">
        <v>0</v>
      </c>
      <c r="AE280" s="439"/>
      <c r="AF280" s="439">
        <f t="shared" si="289"/>
        <v>0</v>
      </c>
      <c r="AG280" s="439">
        <v>0</v>
      </c>
      <c r="AH280" s="419">
        <f t="shared" si="256"/>
        <v>0</v>
      </c>
      <c r="AI280" s="439">
        <v>0</v>
      </c>
      <c r="AJ280" s="439">
        <v>0</v>
      </c>
      <c r="AK280" s="439">
        <f t="shared" si="290"/>
        <v>0</v>
      </c>
      <c r="AL280" s="439">
        <f t="shared" si="291"/>
        <v>0</v>
      </c>
      <c r="AM280" s="439">
        <f t="shared" si="292"/>
        <v>0</v>
      </c>
      <c r="AN280" s="438"/>
      <c r="AO280" s="438"/>
      <c r="AP280" s="438"/>
    </row>
    <row r="281" spans="1:42" ht="12.75">
      <c r="A281" s="412">
        <v>279</v>
      </c>
      <c r="B281" s="431"/>
      <c r="C281" s="432" t="s">
        <v>393</v>
      </c>
      <c r="D281" s="433" t="s">
        <v>11237</v>
      </c>
      <c r="E281" s="434">
        <f>'PROSPETTO CE_IV TRIM 2024'!BM883</f>
        <v>0</v>
      </c>
      <c r="F281" s="439">
        <f t="shared" si="287"/>
        <v>0</v>
      </c>
      <c r="G281" s="439">
        <v>0</v>
      </c>
      <c r="H281" s="439">
        <v>291600</v>
      </c>
      <c r="I281" s="435">
        <f t="shared" si="267"/>
        <v>-291600</v>
      </c>
      <c r="J281" s="435">
        <f t="shared" si="268"/>
        <v>-291600</v>
      </c>
      <c r="K281" s="439">
        <v>291600</v>
      </c>
      <c r="L281" s="439">
        <v>291600</v>
      </c>
      <c r="M281" s="439">
        <f t="shared" si="269"/>
        <v>-291600</v>
      </c>
      <c r="N281" s="439">
        <v>291600</v>
      </c>
      <c r="O281" s="439">
        <v>291600</v>
      </c>
      <c r="P281" s="440">
        <v>291600</v>
      </c>
      <c r="Q281" s="439">
        <v>0</v>
      </c>
      <c r="R281" s="439">
        <f t="shared" si="261"/>
        <v>0</v>
      </c>
      <c r="S281" s="439">
        <f t="shared" si="262"/>
        <v>-291600</v>
      </c>
      <c r="T281" s="441"/>
      <c r="U281" s="439">
        <v>291600</v>
      </c>
      <c r="V281" s="439">
        <f t="shared" si="288"/>
        <v>291600</v>
      </c>
      <c r="W281" s="439">
        <v>0</v>
      </c>
      <c r="X281" s="439">
        <v>0</v>
      </c>
      <c r="Y281" s="435">
        <f t="shared" si="264"/>
        <v>0</v>
      </c>
      <c r="Z281" s="439">
        <v>291600</v>
      </c>
      <c r="AA281" s="439">
        <v>291600</v>
      </c>
      <c r="AB281" s="439">
        <v>0</v>
      </c>
      <c r="AC281" s="439">
        <v>0</v>
      </c>
      <c r="AD281" s="439">
        <v>0</v>
      </c>
      <c r="AE281" s="439"/>
      <c r="AF281" s="439">
        <f t="shared" si="289"/>
        <v>0</v>
      </c>
      <c r="AG281" s="439">
        <v>0</v>
      </c>
      <c r="AH281" s="419">
        <f t="shared" si="256"/>
        <v>0</v>
      </c>
      <c r="AI281" s="439">
        <v>0</v>
      </c>
      <c r="AJ281" s="439">
        <v>0</v>
      </c>
      <c r="AK281" s="439">
        <f t="shared" si="290"/>
        <v>291600</v>
      </c>
      <c r="AL281" s="439">
        <f t="shared" si="291"/>
        <v>291600</v>
      </c>
      <c r="AM281" s="439">
        <f t="shared" si="292"/>
        <v>291600</v>
      </c>
      <c r="AN281" s="438"/>
      <c r="AO281" s="438"/>
      <c r="AP281" s="438"/>
    </row>
    <row r="282" spans="1:42" ht="25.5">
      <c r="A282" s="412">
        <v>280</v>
      </c>
      <c r="B282" s="431" t="s">
        <v>1519</v>
      </c>
      <c r="C282" s="432" t="s">
        <v>395</v>
      </c>
      <c r="D282" s="433" t="s">
        <v>11238</v>
      </c>
      <c r="E282" s="434">
        <f>'PROSPETTO CE_IV TRIM 2024'!BM889</f>
        <v>380458.84</v>
      </c>
      <c r="F282" s="439">
        <f t="shared" si="287"/>
        <v>380458.84</v>
      </c>
      <c r="G282" s="439">
        <v>358824.96000000002</v>
      </c>
      <c r="H282" s="439">
        <v>380428.83999999997</v>
      </c>
      <c r="I282" s="435">
        <f t="shared" si="267"/>
        <v>30.000000000058208</v>
      </c>
      <c r="J282" s="435">
        <f t="shared" si="268"/>
        <v>14750.000000000058</v>
      </c>
      <c r="K282" s="439">
        <v>365708.83999999997</v>
      </c>
      <c r="L282" s="439">
        <v>349176.24</v>
      </c>
      <c r="M282" s="439">
        <f t="shared" si="269"/>
        <v>378358.84</v>
      </c>
      <c r="N282" s="439">
        <v>2460</v>
      </c>
      <c r="O282" s="439">
        <v>2460</v>
      </c>
      <c r="P282" s="443">
        <v>2100</v>
      </c>
      <c r="Q282" s="439">
        <v>358824.96000000002</v>
      </c>
      <c r="R282" s="439">
        <f t="shared" si="261"/>
        <v>-360</v>
      </c>
      <c r="S282" s="439">
        <f t="shared" si="262"/>
        <v>356364.96</v>
      </c>
      <c r="T282" s="441">
        <f>(F282-P282)/F282*100</f>
        <v>99.448034904380194</v>
      </c>
      <c r="U282" s="439">
        <v>2100</v>
      </c>
      <c r="V282" s="439">
        <f t="shared" si="288"/>
        <v>2100</v>
      </c>
      <c r="W282" s="439">
        <v>100000</v>
      </c>
      <c r="X282" s="439">
        <v>358824.96000000002</v>
      </c>
      <c r="Y282" s="435">
        <f t="shared" si="264"/>
        <v>415046.00727272732</v>
      </c>
      <c r="Z282" s="439">
        <v>2100</v>
      </c>
      <c r="AA282" s="439">
        <v>2100</v>
      </c>
      <c r="AB282" s="439">
        <v>0</v>
      </c>
      <c r="AC282" s="439">
        <v>179412.48000000001</v>
      </c>
      <c r="AD282" s="439">
        <v>358824.96000000002</v>
      </c>
      <c r="AE282" s="439"/>
      <c r="AF282" s="439">
        <f t="shared" si="289"/>
        <v>358824.96000000002</v>
      </c>
      <c r="AG282" s="439"/>
      <c r="AH282" s="419">
        <f t="shared" si="256"/>
        <v>-380458.84</v>
      </c>
      <c r="AI282" s="439"/>
      <c r="AJ282" s="439"/>
      <c r="AK282" s="439">
        <f t="shared" si="290"/>
        <v>-97900</v>
      </c>
      <c r="AL282" s="439">
        <f t="shared" si="291"/>
        <v>-356724.96</v>
      </c>
      <c r="AM282" s="439">
        <f t="shared" si="292"/>
        <v>-356724.96</v>
      </c>
      <c r="AN282" s="438"/>
      <c r="AO282" s="438"/>
      <c r="AP282" s="438"/>
    </row>
    <row r="283" spans="1:42" ht="12.75">
      <c r="A283" s="412">
        <v>281</v>
      </c>
      <c r="B283" s="431" t="s">
        <v>1519</v>
      </c>
      <c r="C283" s="432" t="s">
        <v>7166</v>
      </c>
      <c r="D283" s="433" t="s">
        <v>11239</v>
      </c>
      <c r="E283" s="434">
        <f>'PROSPETTO CE_IV TRIM 2024'!BM890</f>
        <v>0</v>
      </c>
      <c r="F283" s="439">
        <f t="shared" si="287"/>
        <v>0</v>
      </c>
      <c r="G283" s="439">
        <v>0</v>
      </c>
      <c r="H283" s="439">
        <v>0</v>
      </c>
      <c r="I283" s="435">
        <f t="shared" si="267"/>
        <v>0</v>
      </c>
      <c r="J283" s="435">
        <f t="shared" si="268"/>
        <v>0</v>
      </c>
      <c r="K283" s="439">
        <v>0</v>
      </c>
      <c r="L283" s="439">
        <v>0</v>
      </c>
      <c r="M283" s="439">
        <f t="shared" si="269"/>
        <v>0</v>
      </c>
      <c r="N283" s="439">
        <v>0</v>
      </c>
      <c r="O283" s="439">
        <v>0</v>
      </c>
      <c r="P283" s="440">
        <v>0</v>
      </c>
      <c r="Q283" s="439">
        <v>0</v>
      </c>
      <c r="R283" s="439">
        <f t="shared" si="261"/>
        <v>0</v>
      </c>
      <c r="S283" s="439">
        <f t="shared" si="262"/>
        <v>0</v>
      </c>
      <c r="T283" s="441"/>
      <c r="U283" s="439">
        <v>0</v>
      </c>
      <c r="V283" s="439">
        <f t="shared" si="288"/>
        <v>0</v>
      </c>
      <c r="W283" s="439">
        <v>0</v>
      </c>
      <c r="X283" s="439">
        <v>0</v>
      </c>
      <c r="Y283" s="435">
        <f t="shared" si="264"/>
        <v>0</v>
      </c>
      <c r="Z283" s="439">
        <v>0</v>
      </c>
      <c r="AA283" s="439">
        <v>0</v>
      </c>
      <c r="AB283" s="439">
        <v>0</v>
      </c>
      <c r="AC283" s="439">
        <v>0</v>
      </c>
      <c r="AD283" s="439">
        <v>0</v>
      </c>
      <c r="AE283" s="439"/>
      <c r="AF283" s="439">
        <f t="shared" si="289"/>
        <v>0</v>
      </c>
      <c r="AG283" s="439">
        <v>0</v>
      </c>
      <c r="AH283" s="419">
        <f t="shared" si="256"/>
        <v>0</v>
      </c>
      <c r="AI283" s="439">
        <v>0</v>
      </c>
      <c r="AJ283" s="439">
        <v>0</v>
      </c>
      <c r="AK283" s="439">
        <f t="shared" si="290"/>
        <v>0</v>
      </c>
      <c r="AL283" s="439">
        <f t="shared" si="291"/>
        <v>0</v>
      </c>
      <c r="AM283" s="439">
        <f t="shared" si="292"/>
        <v>0</v>
      </c>
      <c r="AN283" s="438"/>
      <c r="AO283" s="438"/>
      <c r="AP283" s="438"/>
    </row>
    <row r="284" spans="1:42" ht="25.5">
      <c r="A284" s="412">
        <v>282</v>
      </c>
      <c r="B284" s="431"/>
      <c r="C284" s="432" t="s">
        <v>7171</v>
      </c>
      <c r="D284" s="433" t="s">
        <v>7174</v>
      </c>
      <c r="E284" s="434"/>
      <c r="F284" s="435">
        <f>SUM(F285:F287,F294)</f>
        <v>20719882.59</v>
      </c>
      <c r="G284" s="435">
        <v>20320489.370000005</v>
      </c>
      <c r="H284" s="435">
        <v>20044400.276688863</v>
      </c>
      <c r="I284" s="435">
        <f t="shared" si="267"/>
        <v>675482.31331113726</v>
      </c>
      <c r="J284" s="435">
        <f t="shared" si="268"/>
        <v>662722.31331114098</v>
      </c>
      <c r="K284" s="435">
        <v>20057160.276688859</v>
      </c>
      <c r="L284" s="435">
        <v>19281049.272088859</v>
      </c>
      <c r="M284" s="435">
        <f t="shared" si="269"/>
        <v>1234666.3763812594</v>
      </c>
      <c r="N284" s="435">
        <v>19244292.781514876</v>
      </c>
      <c r="O284" s="435">
        <v>18844292.781514876</v>
      </c>
      <c r="P284" s="436">
        <v>19485216.21361874</v>
      </c>
      <c r="Q284" s="435">
        <f t="shared" ref="Q284" si="293">SUM(Q285:Q287,Q294)</f>
        <v>20320489.370000005</v>
      </c>
      <c r="R284" s="435">
        <f t="shared" si="261"/>
        <v>240923.43210386485</v>
      </c>
      <c r="S284" s="435">
        <f t="shared" si="262"/>
        <v>1076196.5884851292</v>
      </c>
      <c r="T284" s="437">
        <f>(F284-P284)/F284*100</f>
        <v>5.9588483236731475</v>
      </c>
      <c r="U284" s="435">
        <v>14026694.398636151</v>
      </c>
      <c r="V284" s="435">
        <f>SUM(V285:V287,V294)</f>
        <v>19485216.21361874</v>
      </c>
      <c r="W284" s="435">
        <f>SUM(W285:W287,W294)</f>
        <v>19907307</v>
      </c>
      <c r="X284" s="435">
        <f t="shared" ref="X284" si="294">SUM(X285:X287,X294)</f>
        <v>20320489.370000005</v>
      </c>
      <c r="Y284" s="435">
        <f t="shared" si="264"/>
        <v>22603508.280000001</v>
      </c>
      <c r="Z284" s="435">
        <v>19485216.23361874</v>
      </c>
      <c r="AA284" s="435">
        <v>19485216.21361874</v>
      </c>
      <c r="AB284" s="435">
        <f t="shared" ref="AB284:AM284" si="295">SUM(AB285:AB287,AB294)</f>
        <v>3790523</v>
      </c>
      <c r="AC284" s="435">
        <f t="shared" si="295"/>
        <v>9413219.8318093698</v>
      </c>
      <c r="AD284" s="435">
        <f t="shared" si="295"/>
        <v>20320489.370000005</v>
      </c>
      <c r="AE284" s="435"/>
      <c r="AF284" s="435">
        <f t="shared" si="295"/>
        <v>18826439.66361874</v>
      </c>
      <c r="AG284" s="435">
        <f t="shared" si="295"/>
        <v>0</v>
      </c>
      <c r="AH284" s="419">
        <f t="shared" si="256"/>
        <v>-20719882.59</v>
      </c>
      <c r="AI284" s="435">
        <f t="shared" si="295"/>
        <v>0</v>
      </c>
      <c r="AJ284" s="435">
        <f t="shared" si="295"/>
        <v>0</v>
      </c>
      <c r="AK284" s="435">
        <f t="shared" si="295"/>
        <v>-422090.78638126259</v>
      </c>
      <c r="AL284" s="435">
        <f t="shared" si="295"/>
        <v>658776.54999999772</v>
      </c>
      <c r="AM284" s="435">
        <f t="shared" si="295"/>
        <v>-835273.15638126631</v>
      </c>
      <c r="AN284" s="438"/>
      <c r="AO284" s="438"/>
      <c r="AP284" s="438"/>
    </row>
    <row r="285" spans="1:42" ht="25.5">
      <c r="A285" s="412">
        <v>283</v>
      </c>
      <c r="B285" s="431" t="s">
        <v>1519</v>
      </c>
      <c r="C285" s="432" t="s">
        <v>397</v>
      </c>
      <c r="D285" s="433" t="s">
        <v>11240</v>
      </c>
      <c r="E285" s="434">
        <f>'PROSPETTO CE_IV TRIM 2024'!BM892</f>
        <v>0</v>
      </c>
      <c r="F285" s="439">
        <f>+E285</f>
        <v>0</v>
      </c>
      <c r="G285" s="439">
        <v>261594.6</v>
      </c>
      <c r="H285" s="439">
        <v>0</v>
      </c>
      <c r="I285" s="435">
        <f t="shared" si="267"/>
        <v>0</v>
      </c>
      <c r="J285" s="435">
        <f t="shared" si="268"/>
        <v>-14637.83</v>
      </c>
      <c r="K285" s="439">
        <v>14637.83</v>
      </c>
      <c r="L285" s="439">
        <v>14637.83</v>
      </c>
      <c r="M285" s="439">
        <f t="shared" si="269"/>
        <v>-138.80000000000001</v>
      </c>
      <c r="N285" s="439">
        <v>14637.83</v>
      </c>
      <c r="O285" s="439">
        <v>14637.83</v>
      </c>
      <c r="P285" s="440">
        <v>138.80000000000001</v>
      </c>
      <c r="Q285" s="439">
        <v>261594.6</v>
      </c>
      <c r="R285" s="439">
        <f t="shared" si="261"/>
        <v>-14499.03</v>
      </c>
      <c r="S285" s="439">
        <f t="shared" si="262"/>
        <v>246956.77000000002</v>
      </c>
      <c r="T285" s="441" t="e">
        <f>(F285-P285)/F285*100</f>
        <v>#DIV/0!</v>
      </c>
      <c r="U285" s="439">
        <v>15136.51</v>
      </c>
      <c r="V285" s="439">
        <f>+AA285</f>
        <v>138.80000000000001</v>
      </c>
      <c r="W285" s="439">
        <v>2306</v>
      </c>
      <c r="X285" s="439">
        <v>261594.6</v>
      </c>
      <c r="Y285" s="435">
        <f t="shared" si="264"/>
        <v>0</v>
      </c>
      <c r="Z285" s="439">
        <v>138.80000000000001</v>
      </c>
      <c r="AA285" s="439">
        <v>138.80000000000001</v>
      </c>
      <c r="AB285" s="439">
        <v>0</v>
      </c>
      <c r="AC285" s="439">
        <v>130797.29999999999</v>
      </c>
      <c r="AD285" s="439">
        <v>261594.6</v>
      </c>
      <c r="AE285" s="439"/>
      <c r="AF285" s="439">
        <f>AC285*2</f>
        <v>261594.59999999998</v>
      </c>
      <c r="AG285" s="439"/>
      <c r="AH285" s="419">
        <f t="shared" si="256"/>
        <v>0</v>
      </c>
      <c r="AI285" s="439"/>
      <c r="AJ285" s="439"/>
      <c r="AK285" s="439">
        <f>AA285-W285</f>
        <v>-2167.1999999999998</v>
      </c>
      <c r="AL285" s="439">
        <f>AA285-AF285</f>
        <v>-261455.8</v>
      </c>
      <c r="AM285" s="439">
        <f>AA285-AD285</f>
        <v>-261455.80000000002</v>
      </c>
      <c r="AN285" s="438"/>
      <c r="AO285" s="438"/>
      <c r="AP285" s="438"/>
    </row>
    <row r="286" spans="1:42" ht="25.5">
      <c r="A286" s="412">
        <v>284</v>
      </c>
      <c r="B286" s="431"/>
      <c r="C286" s="432" t="s">
        <v>398</v>
      </c>
      <c r="D286" s="433" t="s">
        <v>11241</v>
      </c>
      <c r="E286" s="434">
        <f>'PROSPETTO CE_IV TRIM 2024'!BM898</f>
        <v>2184.52</v>
      </c>
      <c r="F286" s="439">
        <f>+E286</f>
        <v>2184.52</v>
      </c>
      <c r="G286" s="439">
        <v>0</v>
      </c>
      <c r="H286" s="439">
        <v>2184.52</v>
      </c>
      <c r="I286" s="435">
        <f t="shared" si="267"/>
        <v>0</v>
      </c>
      <c r="J286" s="435">
        <f t="shared" si="268"/>
        <v>2184.52</v>
      </c>
      <c r="K286" s="439">
        <v>0</v>
      </c>
      <c r="L286" s="439">
        <v>0</v>
      </c>
      <c r="M286" s="439">
        <f t="shared" si="269"/>
        <v>2184.52</v>
      </c>
      <c r="N286" s="439">
        <v>0</v>
      </c>
      <c r="O286" s="439">
        <v>0</v>
      </c>
      <c r="P286" s="440">
        <v>0</v>
      </c>
      <c r="Q286" s="439">
        <v>0</v>
      </c>
      <c r="R286" s="439">
        <f t="shared" si="261"/>
        <v>0</v>
      </c>
      <c r="S286" s="439">
        <f t="shared" si="262"/>
        <v>0</v>
      </c>
      <c r="T286" s="441"/>
      <c r="U286" s="439">
        <v>0</v>
      </c>
      <c r="V286" s="439">
        <f>+AA286</f>
        <v>0</v>
      </c>
      <c r="W286" s="439">
        <v>0</v>
      </c>
      <c r="X286" s="439">
        <v>0</v>
      </c>
      <c r="Y286" s="435">
        <f t="shared" si="264"/>
        <v>2383.1127272727272</v>
      </c>
      <c r="Z286" s="439">
        <v>0</v>
      </c>
      <c r="AA286" s="439">
        <v>0</v>
      </c>
      <c r="AB286" s="439">
        <v>0</v>
      </c>
      <c r="AC286" s="439">
        <v>0</v>
      </c>
      <c r="AD286" s="439">
        <v>0</v>
      </c>
      <c r="AE286" s="439"/>
      <c r="AF286" s="439">
        <f>AC286*2</f>
        <v>0</v>
      </c>
      <c r="AG286" s="439">
        <v>0</v>
      </c>
      <c r="AH286" s="419">
        <f t="shared" si="256"/>
        <v>-2184.52</v>
      </c>
      <c r="AI286" s="439">
        <v>0</v>
      </c>
      <c r="AJ286" s="439">
        <v>0</v>
      </c>
      <c r="AK286" s="439">
        <f>AA286-W286</f>
        <v>0</v>
      </c>
      <c r="AL286" s="439">
        <f>AA286-AF286</f>
        <v>0</v>
      </c>
      <c r="AM286" s="439">
        <f>AA286-AD286</f>
        <v>0</v>
      </c>
      <c r="AN286" s="438"/>
      <c r="AO286" s="438"/>
      <c r="AP286" s="438"/>
    </row>
    <row r="287" spans="1:42" ht="25.5">
      <c r="A287" s="412">
        <v>285</v>
      </c>
      <c r="B287" s="431"/>
      <c r="C287" s="432" t="s">
        <v>399</v>
      </c>
      <c r="D287" s="433" t="s">
        <v>11242</v>
      </c>
      <c r="E287" s="434"/>
      <c r="F287" s="435">
        <f>SUM(F288:F293)</f>
        <v>20717698.07</v>
      </c>
      <c r="G287" s="435">
        <v>19976583.770000003</v>
      </c>
      <c r="H287" s="435">
        <v>20042215.756688863</v>
      </c>
      <c r="I287" s="435">
        <f t="shared" si="267"/>
        <v>675482.31331113726</v>
      </c>
      <c r="J287" s="435">
        <f t="shared" si="268"/>
        <v>675175.62331113964</v>
      </c>
      <c r="K287" s="435">
        <v>20042522.446688861</v>
      </c>
      <c r="L287" s="435">
        <v>19266411.442088861</v>
      </c>
      <c r="M287" s="435">
        <f t="shared" si="269"/>
        <v>1232620.6563812606</v>
      </c>
      <c r="N287" s="435">
        <v>19229654.951514877</v>
      </c>
      <c r="O287" s="435">
        <v>18829654.951514877</v>
      </c>
      <c r="P287" s="436">
        <v>19485077.41361874</v>
      </c>
      <c r="Q287" s="435">
        <f t="shared" ref="Q287" si="296">SUM(Q288:Q293)</f>
        <v>19976583.770000003</v>
      </c>
      <c r="R287" s="435">
        <f t="shared" si="261"/>
        <v>255422.46210386232</v>
      </c>
      <c r="S287" s="435">
        <f t="shared" si="262"/>
        <v>746928.8184851259</v>
      </c>
      <c r="T287" s="437">
        <f>(F287-P287)/F287*100</f>
        <v>5.9496023748224287</v>
      </c>
      <c r="U287" s="435">
        <v>14011557.888636151</v>
      </c>
      <c r="V287" s="435">
        <f>SUM(V288:V293)</f>
        <v>19485077.41361874</v>
      </c>
      <c r="W287" s="435">
        <f>SUM(W288:W293)</f>
        <v>19905001</v>
      </c>
      <c r="X287" s="435">
        <f t="shared" ref="X287" si="297">SUM(X288:X293)</f>
        <v>19976583.770000003</v>
      </c>
      <c r="Y287" s="435">
        <f t="shared" si="264"/>
        <v>22601125.167272728</v>
      </c>
      <c r="Z287" s="435">
        <v>19485077.433618739</v>
      </c>
      <c r="AA287" s="435">
        <v>19485077.41361874</v>
      </c>
      <c r="AB287" s="435">
        <f t="shared" ref="AB287:AM287" si="298">SUM(AB288:AB293)</f>
        <v>3790523</v>
      </c>
      <c r="AC287" s="435">
        <f t="shared" si="298"/>
        <v>9241267.0318093691</v>
      </c>
      <c r="AD287" s="435">
        <f t="shared" si="298"/>
        <v>19976583.770000003</v>
      </c>
      <c r="AE287" s="435"/>
      <c r="AF287" s="435">
        <f t="shared" si="298"/>
        <v>18482534.063618738</v>
      </c>
      <c r="AG287" s="435">
        <f t="shared" si="298"/>
        <v>0</v>
      </c>
      <c r="AH287" s="419">
        <f t="shared" si="256"/>
        <v>-20717698.07</v>
      </c>
      <c r="AI287" s="435">
        <f t="shared" si="298"/>
        <v>0</v>
      </c>
      <c r="AJ287" s="435">
        <f t="shared" si="298"/>
        <v>0</v>
      </c>
      <c r="AK287" s="435">
        <f t="shared" si="298"/>
        <v>-419923.58638126258</v>
      </c>
      <c r="AL287" s="435">
        <f t="shared" si="298"/>
        <v>1002543.3499999978</v>
      </c>
      <c r="AM287" s="435">
        <f t="shared" si="298"/>
        <v>-491506.35638126626</v>
      </c>
      <c r="AN287" s="438"/>
      <c r="AO287" s="438"/>
      <c r="AP287" s="438"/>
    </row>
    <row r="288" spans="1:42" ht="25.5">
      <c r="A288" s="412">
        <v>286</v>
      </c>
      <c r="B288" s="431"/>
      <c r="C288" s="432" t="s">
        <v>400</v>
      </c>
      <c r="D288" s="433" t="s">
        <v>7200</v>
      </c>
      <c r="E288" s="434">
        <f>'PROSPETTO CE_IV TRIM 2024'!BM899</f>
        <v>0</v>
      </c>
      <c r="F288" s="439">
        <f t="shared" ref="F288:F293" si="299">+E288</f>
        <v>0</v>
      </c>
      <c r="G288" s="439">
        <v>0</v>
      </c>
      <c r="H288" s="439">
        <v>0</v>
      </c>
      <c r="I288" s="435">
        <f t="shared" si="267"/>
        <v>0</v>
      </c>
      <c r="J288" s="435">
        <f t="shared" si="268"/>
        <v>0</v>
      </c>
      <c r="K288" s="439">
        <v>0</v>
      </c>
      <c r="L288" s="439">
        <v>0</v>
      </c>
      <c r="M288" s="439">
        <f t="shared" si="269"/>
        <v>0</v>
      </c>
      <c r="N288" s="439">
        <v>0</v>
      </c>
      <c r="O288" s="439">
        <v>0</v>
      </c>
      <c r="P288" s="440">
        <v>0</v>
      </c>
      <c r="Q288" s="439">
        <v>0</v>
      </c>
      <c r="R288" s="439">
        <f t="shared" si="261"/>
        <v>0</v>
      </c>
      <c r="S288" s="439">
        <f t="shared" si="262"/>
        <v>0</v>
      </c>
      <c r="T288" s="441"/>
      <c r="U288" s="439">
        <v>0</v>
      </c>
      <c r="V288" s="439">
        <f t="shared" ref="V288:V293" si="300">+AA288</f>
        <v>0</v>
      </c>
      <c r="W288" s="439">
        <v>42029</v>
      </c>
      <c r="X288" s="439">
        <v>0</v>
      </c>
      <c r="Y288" s="435">
        <f t="shared" si="264"/>
        <v>0</v>
      </c>
      <c r="Z288" s="439">
        <v>0</v>
      </c>
      <c r="AA288" s="439">
        <v>0</v>
      </c>
      <c r="AB288" s="439">
        <v>0</v>
      </c>
      <c r="AC288" s="439">
        <v>0</v>
      </c>
      <c r="AD288" s="439">
        <v>0</v>
      </c>
      <c r="AE288" s="439"/>
      <c r="AF288" s="439">
        <f t="shared" ref="AF288:AF293" si="301">AC288*2</f>
        <v>0</v>
      </c>
      <c r="AG288" s="439"/>
      <c r="AH288" s="419">
        <f t="shared" si="256"/>
        <v>0</v>
      </c>
      <c r="AI288" s="439"/>
      <c r="AJ288" s="439"/>
      <c r="AK288" s="439">
        <f t="shared" ref="AK288:AK293" si="302">AA288-W288</f>
        <v>-42029</v>
      </c>
      <c r="AL288" s="439">
        <f t="shared" ref="AL288:AL293" si="303">AA288-AF288</f>
        <v>0</v>
      </c>
      <c r="AM288" s="439">
        <f t="shared" ref="AM288:AM293" si="304">AA288-AD288</f>
        <v>0</v>
      </c>
      <c r="AN288" s="438"/>
      <c r="AO288" s="438"/>
      <c r="AP288" s="438"/>
    </row>
    <row r="289" spans="1:42" ht="25.5">
      <c r="A289" s="412">
        <v>287</v>
      </c>
      <c r="B289" s="431"/>
      <c r="C289" s="432" t="s">
        <v>402</v>
      </c>
      <c r="D289" s="433" t="s">
        <v>7205</v>
      </c>
      <c r="E289" s="434">
        <f>'PROSPETTO CE_IV TRIM 2024'!BM900+'PROSPETTO CE_IV TRIM 2024'!BM901+'PROSPETTO CE_IV TRIM 2024'!BM902</f>
        <v>880629.65</v>
      </c>
      <c r="F289" s="439">
        <f t="shared" si="299"/>
        <v>880629.65</v>
      </c>
      <c r="G289" s="439">
        <v>150754.53</v>
      </c>
      <c r="H289" s="439">
        <v>893082.96000000008</v>
      </c>
      <c r="I289" s="435">
        <f t="shared" si="267"/>
        <v>-12453.310000000056</v>
      </c>
      <c r="J289" s="435">
        <f t="shared" si="268"/>
        <v>0</v>
      </c>
      <c r="K289" s="439">
        <v>880629.65</v>
      </c>
      <c r="L289" s="439">
        <v>90686.045400000003</v>
      </c>
      <c r="M289" s="439">
        <f t="shared" si="269"/>
        <v>852462.98</v>
      </c>
      <c r="N289" s="439">
        <v>115689.2</v>
      </c>
      <c r="O289" s="439">
        <v>115689.2</v>
      </c>
      <c r="P289" s="443">
        <v>28166.67</v>
      </c>
      <c r="Q289" s="439">
        <v>150754.53</v>
      </c>
      <c r="R289" s="439">
        <f t="shared" si="261"/>
        <v>-87522.53</v>
      </c>
      <c r="S289" s="439">
        <f t="shared" si="262"/>
        <v>35065.33</v>
      </c>
      <c r="T289" s="441">
        <f>(F289-P289)/F289*100</f>
        <v>96.801530586666033</v>
      </c>
      <c r="U289" s="439">
        <v>32333.33</v>
      </c>
      <c r="V289" s="439">
        <f t="shared" si="300"/>
        <v>28166.67</v>
      </c>
      <c r="W289" s="439">
        <v>134863</v>
      </c>
      <c r="X289" s="439">
        <v>150754.53</v>
      </c>
      <c r="Y289" s="435">
        <f t="shared" si="264"/>
        <v>960686.89090909087</v>
      </c>
      <c r="Z289" s="439">
        <v>28166.67</v>
      </c>
      <c r="AA289" s="439">
        <v>28166.67</v>
      </c>
      <c r="AB289" s="439">
        <v>11833</v>
      </c>
      <c r="AC289" s="439">
        <v>15833.33</v>
      </c>
      <c r="AD289" s="439">
        <v>150754.53</v>
      </c>
      <c r="AE289" s="439"/>
      <c r="AF289" s="439">
        <f t="shared" si="301"/>
        <v>31666.66</v>
      </c>
      <c r="AG289" s="439"/>
      <c r="AH289" s="419">
        <f t="shared" si="256"/>
        <v>-880629.65</v>
      </c>
      <c r="AI289" s="439"/>
      <c r="AJ289" s="439"/>
      <c r="AK289" s="439">
        <f t="shared" si="302"/>
        <v>-106696.33</v>
      </c>
      <c r="AL289" s="439">
        <f t="shared" si="303"/>
        <v>-3499.9900000000016</v>
      </c>
      <c r="AM289" s="439">
        <f t="shared" si="304"/>
        <v>-122587.86</v>
      </c>
      <c r="AN289" s="438"/>
      <c r="AO289" s="438"/>
      <c r="AP289" s="438"/>
    </row>
    <row r="290" spans="1:42" ht="25.5">
      <c r="A290" s="412">
        <v>288</v>
      </c>
      <c r="B290" s="431"/>
      <c r="C290" s="432" t="s">
        <v>404</v>
      </c>
      <c r="D290" s="433" t="s">
        <v>11243</v>
      </c>
      <c r="E290" s="434">
        <f>'PROSPETTO CE_IV TRIM 2024'!BM903</f>
        <v>0</v>
      </c>
      <c r="F290" s="439">
        <f t="shared" si="299"/>
        <v>0</v>
      </c>
      <c r="G290" s="439">
        <v>1014351.97</v>
      </c>
      <c r="H290" s="439">
        <v>0</v>
      </c>
      <c r="I290" s="435">
        <f t="shared" si="267"/>
        <v>0</v>
      </c>
      <c r="J290" s="435">
        <f t="shared" si="268"/>
        <v>0</v>
      </c>
      <c r="K290" s="439">
        <v>0</v>
      </c>
      <c r="L290" s="439">
        <v>0</v>
      </c>
      <c r="M290" s="439">
        <f t="shared" si="269"/>
        <v>-609133</v>
      </c>
      <c r="N290" s="439">
        <v>0</v>
      </c>
      <c r="O290" s="439">
        <v>0</v>
      </c>
      <c r="P290" s="440">
        <v>609133</v>
      </c>
      <c r="Q290" s="439">
        <v>1014351.97</v>
      </c>
      <c r="R290" s="439">
        <f t="shared" si="261"/>
        <v>609133</v>
      </c>
      <c r="S290" s="439">
        <f t="shared" si="262"/>
        <v>1014351.97</v>
      </c>
      <c r="T290" s="441"/>
      <c r="U290" s="439">
        <v>0</v>
      </c>
      <c r="V290" s="439">
        <f t="shared" si="300"/>
        <v>609133</v>
      </c>
      <c r="W290" s="439">
        <v>609133</v>
      </c>
      <c r="X290" s="439">
        <v>1014351.97</v>
      </c>
      <c r="Y290" s="435">
        <f t="shared" si="264"/>
        <v>0</v>
      </c>
      <c r="Z290" s="439">
        <v>609133</v>
      </c>
      <c r="AA290" s="439">
        <v>609133</v>
      </c>
      <c r="AB290" s="439">
        <v>86634</v>
      </c>
      <c r="AC290" s="439">
        <v>0</v>
      </c>
      <c r="AD290" s="439">
        <v>1014351.97</v>
      </c>
      <c r="AE290" s="439"/>
      <c r="AF290" s="439">
        <f t="shared" si="301"/>
        <v>0</v>
      </c>
      <c r="AG290" s="439"/>
      <c r="AH290" s="419">
        <f t="shared" si="256"/>
        <v>0</v>
      </c>
      <c r="AI290" s="439"/>
      <c r="AJ290" s="439"/>
      <c r="AK290" s="439">
        <f t="shared" si="302"/>
        <v>0</v>
      </c>
      <c r="AL290" s="439">
        <f t="shared" si="303"/>
        <v>609133</v>
      </c>
      <c r="AM290" s="439">
        <f t="shared" si="304"/>
        <v>-405218.97</v>
      </c>
      <c r="AN290" s="438"/>
      <c r="AO290" s="438"/>
      <c r="AP290" s="438"/>
    </row>
    <row r="291" spans="1:42" ht="12.75">
      <c r="A291" s="412">
        <v>289</v>
      </c>
      <c r="B291" s="431"/>
      <c r="C291" s="432" t="s">
        <v>405</v>
      </c>
      <c r="D291" s="433" t="s">
        <v>11244</v>
      </c>
      <c r="E291" s="434">
        <f>'PROSPETTO CE_IV TRIM 2024'!BM940</f>
        <v>18681821.050000001</v>
      </c>
      <c r="F291" s="439">
        <f t="shared" si="299"/>
        <v>18681821.050000001</v>
      </c>
      <c r="G291" s="439">
        <v>17687555.250000004</v>
      </c>
      <c r="H291" s="439">
        <v>17993885.426688861</v>
      </c>
      <c r="I291" s="435">
        <f t="shared" si="267"/>
        <v>687935.62331113964</v>
      </c>
      <c r="J291" s="435">
        <f t="shared" si="268"/>
        <v>687935.62331113964</v>
      </c>
      <c r="K291" s="439">
        <v>17993885.426688861</v>
      </c>
      <c r="L291" s="439">
        <v>17993885.426688861</v>
      </c>
      <c r="M291" s="439">
        <f t="shared" si="269"/>
        <v>975340.28638126329</v>
      </c>
      <c r="N291" s="439">
        <v>18125106.491514876</v>
      </c>
      <c r="O291" s="439">
        <v>17725106.491514876</v>
      </c>
      <c r="P291" s="443">
        <v>17706480.763618737</v>
      </c>
      <c r="Q291" s="439">
        <v>17687555.250000004</v>
      </c>
      <c r="R291" s="439">
        <f t="shared" si="261"/>
        <v>-418625.72789613903</v>
      </c>
      <c r="S291" s="439">
        <f t="shared" si="262"/>
        <v>-437551.24151487276</v>
      </c>
      <c r="T291" s="441">
        <f>(F291-P291)/F291*100</f>
        <v>5.2207987849303548</v>
      </c>
      <c r="U291" s="439">
        <v>13293829.868636152</v>
      </c>
      <c r="V291" s="439">
        <f t="shared" si="300"/>
        <v>17706480.763618737</v>
      </c>
      <c r="W291" s="439">
        <v>17977679</v>
      </c>
      <c r="X291" s="439">
        <v>17687555.250000004</v>
      </c>
      <c r="Y291" s="435">
        <f t="shared" si="264"/>
        <v>20380168.418181818</v>
      </c>
      <c r="Z291" s="439">
        <v>17706480.763618737</v>
      </c>
      <c r="AA291" s="439">
        <v>17706480.763618737</v>
      </c>
      <c r="AB291" s="439">
        <v>3551699</v>
      </c>
      <c r="AC291" s="439">
        <v>8852467.0818093698</v>
      </c>
      <c r="AD291" s="439">
        <v>17687555.250000004</v>
      </c>
      <c r="AE291" s="439"/>
      <c r="AF291" s="439">
        <f t="shared" si="301"/>
        <v>17704934.16361874</v>
      </c>
      <c r="AG291" s="439"/>
      <c r="AH291" s="419">
        <f t="shared" si="256"/>
        <v>-18681821.050000001</v>
      </c>
      <c r="AI291" s="439"/>
      <c r="AJ291" s="439"/>
      <c r="AK291" s="439">
        <f t="shared" si="302"/>
        <v>-271198.23638126254</v>
      </c>
      <c r="AL291" s="439">
        <f t="shared" si="303"/>
        <v>1546.5999999977648</v>
      </c>
      <c r="AM291" s="439">
        <f t="shared" si="304"/>
        <v>18925.513618733734</v>
      </c>
      <c r="AN291" s="438"/>
      <c r="AO291" s="438"/>
      <c r="AP291" s="438"/>
    </row>
    <row r="292" spans="1:42" ht="12.75">
      <c r="A292" s="412">
        <v>290</v>
      </c>
      <c r="B292" s="431"/>
      <c r="C292" s="432" t="s">
        <v>406</v>
      </c>
      <c r="D292" s="433" t="s">
        <v>11245</v>
      </c>
      <c r="E292" s="434">
        <f>'PROSPETTO CE_IV TRIM 2024'!BM904</f>
        <v>0</v>
      </c>
      <c r="F292" s="439">
        <f t="shared" si="299"/>
        <v>0</v>
      </c>
      <c r="G292" s="439">
        <v>0</v>
      </c>
      <c r="H292" s="439">
        <v>0</v>
      </c>
      <c r="I292" s="435">
        <f t="shared" si="267"/>
        <v>0</v>
      </c>
      <c r="J292" s="435">
        <f t="shared" si="268"/>
        <v>0</v>
      </c>
      <c r="K292" s="439">
        <v>0</v>
      </c>
      <c r="L292" s="439">
        <v>0</v>
      </c>
      <c r="M292" s="439">
        <f t="shared" si="269"/>
        <v>0</v>
      </c>
      <c r="N292" s="439">
        <v>0</v>
      </c>
      <c r="O292" s="439">
        <v>0</v>
      </c>
      <c r="P292" s="440">
        <v>0</v>
      </c>
      <c r="Q292" s="439">
        <v>0</v>
      </c>
      <c r="R292" s="439">
        <f t="shared" si="261"/>
        <v>0</v>
      </c>
      <c r="S292" s="439">
        <f t="shared" si="262"/>
        <v>0</v>
      </c>
      <c r="T292" s="441"/>
      <c r="U292" s="439">
        <v>0</v>
      </c>
      <c r="V292" s="439">
        <f t="shared" si="300"/>
        <v>0</v>
      </c>
      <c r="W292" s="439">
        <v>0</v>
      </c>
      <c r="X292" s="439">
        <v>0</v>
      </c>
      <c r="Y292" s="435">
        <f t="shared" si="264"/>
        <v>0</v>
      </c>
      <c r="Z292" s="439">
        <v>0</v>
      </c>
      <c r="AA292" s="439">
        <v>0</v>
      </c>
      <c r="AB292" s="439">
        <v>0</v>
      </c>
      <c r="AC292" s="439">
        <v>0</v>
      </c>
      <c r="AD292" s="439">
        <v>0</v>
      </c>
      <c r="AE292" s="439"/>
      <c r="AF292" s="439">
        <f t="shared" si="301"/>
        <v>0</v>
      </c>
      <c r="AG292" s="439"/>
      <c r="AH292" s="419">
        <f t="shared" si="256"/>
        <v>0</v>
      </c>
      <c r="AI292" s="439"/>
      <c r="AJ292" s="439"/>
      <c r="AK292" s="439">
        <f t="shared" si="302"/>
        <v>0</v>
      </c>
      <c r="AL292" s="439">
        <f t="shared" si="303"/>
        <v>0</v>
      </c>
      <c r="AM292" s="439">
        <f t="shared" si="304"/>
        <v>0</v>
      </c>
      <c r="AN292" s="438"/>
      <c r="AO292" s="438"/>
      <c r="AP292" s="438"/>
    </row>
    <row r="293" spans="1:42" ht="25.5">
      <c r="A293" s="412">
        <v>291</v>
      </c>
      <c r="B293" s="431"/>
      <c r="C293" s="432" t="s">
        <v>407</v>
      </c>
      <c r="D293" s="433" t="s">
        <v>11246</v>
      </c>
      <c r="E293" s="434">
        <f>'PROSPETTO CE_IV TRIM 2024'!BM905+'PROSPETTO CE_IV TRIM 2024'!BM906+'PROSPETTO CE_IV TRIM 2024'!BM907+'PROSPETTO CE_IV TRIM 2024'!BM927</f>
        <v>1155247.3700000001</v>
      </c>
      <c r="F293" s="439">
        <f t="shared" si="299"/>
        <v>1155247.3700000001</v>
      </c>
      <c r="G293" s="439">
        <v>1123922.02</v>
      </c>
      <c r="H293" s="439">
        <v>1155247.3700000001</v>
      </c>
      <c r="I293" s="435">
        <f t="shared" si="267"/>
        <v>0</v>
      </c>
      <c r="J293" s="435">
        <f t="shared" si="268"/>
        <v>-12760</v>
      </c>
      <c r="K293" s="439">
        <v>1168007.3700000001</v>
      </c>
      <c r="L293" s="439">
        <v>1181839.9700000002</v>
      </c>
      <c r="M293" s="439">
        <f t="shared" si="269"/>
        <v>13950.39000000013</v>
      </c>
      <c r="N293" s="439">
        <v>988859.26</v>
      </c>
      <c r="O293" s="439">
        <v>988859.26</v>
      </c>
      <c r="P293" s="440">
        <v>1141296.98</v>
      </c>
      <c r="Q293" s="439">
        <v>1123922.02</v>
      </c>
      <c r="R293" s="439">
        <f t="shared" si="261"/>
        <v>152437.71999999997</v>
      </c>
      <c r="S293" s="439">
        <f t="shared" si="262"/>
        <v>135062.76</v>
      </c>
      <c r="T293" s="441">
        <f>(F293-P293)/F293*100</f>
        <v>1.2075673455114753</v>
      </c>
      <c r="U293" s="439">
        <v>685394.69</v>
      </c>
      <c r="V293" s="439">
        <f t="shared" si="300"/>
        <v>1141296.98</v>
      </c>
      <c r="W293" s="439">
        <v>1141297</v>
      </c>
      <c r="X293" s="439">
        <v>1123922.02</v>
      </c>
      <c r="Y293" s="435">
        <f t="shared" si="264"/>
        <v>1260269.8581818184</v>
      </c>
      <c r="Z293" s="439">
        <v>1141297</v>
      </c>
      <c r="AA293" s="439">
        <v>1141296.98</v>
      </c>
      <c r="AB293" s="439">
        <v>140357</v>
      </c>
      <c r="AC293" s="439">
        <v>372966.62</v>
      </c>
      <c r="AD293" s="439">
        <v>1123922.02</v>
      </c>
      <c r="AE293" s="439"/>
      <c r="AF293" s="439">
        <f t="shared" si="301"/>
        <v>745933.24</v>
      </c>
      <c r="AG293" s="439"/>
      <c r="AH293" s="419">
        <f t="shared" si="256"/>
        <v>-1155247.3700000001</v>
      </c>
      <c r="AI293" s="439"/>
      <c r="AJ293" s="439"/>
      <c r="AK293" s="439">
        <f t="shared" si="302"/>
        <v>-2.0000000018626451E-2</v>
      </c>
      <c r="AL293" s="439">
        <f t="shared" si="303"/>
        <v>395363.74</v>
      </c>
      <c r="AM293" s="439">
        <f t="shared" si="304"/>
        <v>17374.959999999963</v>
      </c>
      <c r="AN293" s="438"/>
      <c r="AO293" s="438">
        <f>1141297-E293</f>
        <v>-13950.370000000112</v>
      </c>
      <c r="AP293" s="438"/>
    </row>
    <row r="294" spans="1:42" ht="25.5">
      <c r="A294" s="412">
        <v>292</v>
      </c>
      <c r="B294" s="431"/>
      <c r="C294" s="432" t="s">
        <v>408</v>
      </c>
      <c r="D294" s="433" t="s">
        <v>11247</v>
      </c>
      <c r="E294" s="434"/>
      <c r="F294" s="435">
        <f>SUM(F295:F297)</f>
        <v>0</v>
      </c>
      <c r="G294" s="435">
        <v>82311</v>
      </c>
      <c r="H294" s="435">
        <v>0</v>
      </c>
      <c r="I294" s="435">
        <f t="shared" si="267"/>
        <v>0</v>
      </c>
      <c r="J294" s="435">
        <f t="shared" si="268"/>
        <v>0</v>
      </c>
      <c r="K294" s="435">
        <v>0</v>
      </c>
      <c r="L294" s="435">
        <v>0</v>
      </c>
      <c r="M294" s="435">
        <f t="shared" si="269"/>
        <v>0</v>
      </c>
      <c r="N294" s="435">
        <v>0</v>
      </c>
      <c r="O294" s="435">
        <v>0</v>
      </c>
      <c r="P294" s="436">
        <v>0</v>
      </c>
      <c r="Q294" s="435">
        <f t="shared" ref="Q294" si="305">SUM(Q295:Q297)</f>
        <v>82311</v>
      </c>
      <c r="R294" s="435">
        <f t="shared" si="261"/>
        <v>0</v>
      </c>
      <c r="S294" s="435">
        <f t="shared" si="262"/>
        <v>82311</v>
      </c>
      <c r="T294" s="437"/>
      <c r="U294" s="435">
        <v>0</v>
      </c>
      <c r="V294" s="435">
        <f>SUM(V295:V297)</f>
        <v>0</v>
      </c>
      <c r="W294" s="435">
        <f>SUM(W295:W297)</f>
        <v>0</v>
      </c>
      <c r="X294" s="435">
        <f t="shared" ref="X294" si="306">SUM(X295:X297)</f>
        <v>82311</v>
      </c>
      <c r="Y294" s="435">
        <f t="shared" si="264"/>
        <v>0</v>
      </c>
      <c r="Z294" s="435">
        <v>0</v>
      </c>
      <c r="AA294" s="435">
        <v>0</v>
      </c>
      <c r="AB294" s="435">
        <f t="shared" ref="AB294:AM294" si="307">SUM(AB295:AB297)</f>
        <v>0</v>
      </c>
      <c r="AC294" s="435">
        <f t="shared" si="307"/>
        <v>41155.5</v>
      </c>
      <c r="AD294" s="435">
        <f t="shared" si="307"/>
        <v>82311</v>
      </c>
      <c r="AE294" s="435"/>
      <c r="AF294" s="435">
        <f t="shared" si="307"/>
        <v>82311</v>
      </c>
      <c r="AG294" s="435">
        <f t="shared" si="307"/>
        <v>0</v>
      </c>
      <c r="AH294" s="419">
        <f t="shared" si="256"/>
        <v>0</v>
      </c>
      <c r="AI294" s="435">
        <f t="shared" si="307"/>
        <v>0</v>
      </c>
      <c r="AJ294" s="435">
        <f t="shared" si="307"/>
        <v>0</v>
      </c>
      <c r="AK294" s="435">
        <f t="shared" si="307"/>
        <v>0</v>
      </c>
      <c r="AL294" s="435">
        <f t="shared" si="307"/>
        <v>-82311</v>
      </c>
      <c r="AM294" s="435">
        <f t="shared" si="307"/>
        <v>-82311</v>
      </c>
      <c r="AN294" s="438"/>
      <c r="AO294" s="438"/>
      <c r="AP294" s="438"/>
    </row>
    <row r="295" spans="1:42" ht="25.5">
      <c r="A295" s="412">
        <v>293</v>
      </c>
      <c r="B295" s="431" t="s">
        <v>1519</v>
      </c>
      <c r="C295" s="432" t="s">
        <v>409</v>
      </c>
      <c r="D295" s="433" t="s">
        <v>7291</v>
      </c>
      <c r="E295" s="434">
        <f>'PROSPETTO CE_IV TRIM 2024'!BM934</f>
        <v>0</v>
      </c>
      <c r="F295" s="439">
        <f>+E295</f>
        <v>0</v>
      </c>
      <c r="G295" s="439">
        <v>82311</v>
      </c>
      <c r="H295" s="439">
        <v>0</v>
      </c>
      <c r="I295" s="435">
        <f t="shared" si="267"/>
        <v>0</v>
      </c>
      <c r="J295" s="435">
        <f t="shared" si="268"/>
        <v>0</v>
      </c>
      <c r="K295" s="439">
        <v>0</v>
      </c>
      <c r="L295" s="439">
        <v>0</v>
      </c>
      <c r="M295" s="439">
        <f t="shared" si="269"/>
        <v>0</v>
      </c>
      <c r="N295" s="439">
        <v>0</v>
      </c>
      <c r="O295" s="439">
        <v>0</v>
      </c>
      <c r="P295" s="440">
        <v>0</v>
      </c>
      <c r="Q295" s="439">
        <v>82311</v>
      </c>
      <c r="R295" s="439">
        <f t="shared" si="261"/>
        <v>0</v>
      </c>
      <c r="S295" s="439">
        <f t="shared" si="262"/>
        <v>82311</v>
      </c>
      <c r="T295" s="441"/>
      <c r="U295" s="439">
        <v>0</v>
      </c>
      <c r="V295" s="439">
        <f>+AA295</f>
        <v>0</v>
      </c>
      <c r="W295" s="439">
        <v>0</v>
      </c>
      <c r="X295" s="439">
        <v>82311</v>
      </c>
      <c r="Y295" s="435">
        <f t="shared" si="264"/>
        <v>0</v>
      </c>
      <c r="Z295" s="439">
        <v>0</v>
      </c>
      <c r="AA295" s="439">
        <v>0</v>
      </c>
      <c r="AB295" s="439">
        <v>0</v>
      </c>
      <c r="AC295" s="439">
        <v>41155.5</v>
      </c>
      <c r="AD295" s="439">
        <v>82311</v>
      </c>
      <c r="AE295" s="439"/>
      <c r="AF295" s="439">
        <f>AC295*2</f>
        <v>82311</v>
      </c>
      <c r="AG295" s="439"/>
      <c r="AH295" s="419">
        <f t="shared" si="256"/>
        <v>0</v>
      </c>
      <c r="AI295" s="439"/>
      <c r="AJ295" s="439"/>
      <c r="AK295" s="439">
        <f>AA295-W295</f>
        <v>0</v>
      </c>
      <c r="AL295" s="439">
        <f>AA295-AF295</f>
        <v>-82311</v>
      </c>
      <c r="AM295" s="439">
        <f>AA295-AD295</f>
        <v>-82311</v>
      </c>
      <c r="AN295" s="438"/>
      <c r="AO295" s="438"/>
      <c r="AP295" s="438"/>
    </row>
    <row r="296" spans="1:42" ht="25.5">
      <c r="A296" s="412">
        <v>294</v>
      </c>
      <c r="B296" s="431"/>
      <c r="C296" s="432" t="s">
        <v>411</v>
      </c>
      <c r="D296" s="433" t="s">
        <v>7304</v>
      </c>
      <c r="E296" s="434">
        <f>'PROSPETTO CE_IV TRIM 2024'!BM938</f>
        <v>0</v>
      </c>
      <c r="F296" s="439">
        <f>+E296</f>
        <v>0</v>
      </c>
      <c r="G296" s="439">
        <v>0</v>
      </c>
      <c r="H296" s="439">
        <v>0</v>
      </c>
      <c r="I296" s="435">
        <f t="shared" si="267"/>
        <v>0</v>
      </c>
      <c r="J296" s="435">
        <f t="shared" si="268"/>
        <v>0</v>
      </c>
      <c r="K296" s="439">
        <v>0</v>
      </c>
      <c r="L296" s="439">
        <v>0</v>
      </c>
      <c r="M296" s="439">
        <f t="shared" si="269"/>
        <v>0</v>
      </c>
      <c r="N296" s="439">
        <v>0</v>
      </c>
      <c r="O296" s="439">
        <v>0</v>
      </c>
      <c r="P296" s="440">
        <v>0</v>
      </c>
      <c r="Q296" s="439">
        <v>0</v>
      </c>
      <c r="R296" s="439">
        <f t="shared" si="261"/>
        <v>0</v>
      </c>
      <c r="S296" s="439">
        <f t="shared" si="262"/>
        <v>0</v>
      </c>
      <c r="T296" s="441"/>
      <c r="U296" s="439">
        <v>0</v>
      </c>
      <c r="V296" s="439">
        <f>+AA296</f>
        <v>0</v>
      </c>
      <c r="W296" s="439">
        <v>0</v>
      </c>
      <c r="X296" s="439">
        <v>0</v>
      </c>
      <c r="Y296" s="435">
        <f t="shared" si="264"/>
        <v>0</v>
      </c>
      <c r="Z296" s="439">
        <v>0</v>
      </c>
      <c r="AA296" s="439">
        <v>0</v>
      </c>
      <c r="AB296" s="439">
        <v>0</v>
      </c>
      <c r="AC296" s="439">
        <v>0</v>
      </c>
      <c r="AD296" s="439">
        <v>0</v>
      </c>
      <c r="AE296" s="439"/>
      <c r="AF296" s="439">
        <f>AC296*2</f>
        <v>0</v>
      </c>
      <c r="AG296" s="439">
        <v>0</v>
      </c>
      <c r="AH296" s="419">
        <f t="shared" si="256"/>
        <v>0</v>
      </c>
      <c r="AI296" s="439">
        <v>0</v>
      </c>
      <c r="AJ296" s="439">
        <v>0</v>
      </c>
      <c r="AK296" s="439">
        <f>AA296-W296</f>
        <v>0</v>
      </c>
      <c r="AL296" s="439">
        <f>AA296-AF296</f>
        <v>0</v>
      </c>
      <c r="AM296" s="439">
        <f>AA296-AD296</f>
        <v>0</v>
      </c>
      <c r="AN296" s="438"/>
      <c r="AO296" s="438"/>
      <c r="AP296" s="438"/>
    </row>
    <row r="297" spans="1:42" ht="25.5">
      <c r="A297" s="412">
        <v>295</v>
      </c>
      <c r="B297" s="431" t="s">
        <v>1340</v>
      </c>
      <c r="C297" s="432" t="s">
        <v>413</v>
      </c>
      <c r="D297" s="433" t="s">
        <v>7308</v>
      </c>
      <c r="E297" s="434">
        <f>'PROSPETTO CE_IV TRIM 2024'!BM939</f>
        <v>0</v>
      </c>
      <c r="F297" s="439">
        <f>+E297</f>
        <v>0</v>
      </c>
      <c r="G297" s="439">
        <v>0</v>
      </c>
      <c r="H297" s="439">
        <v>0</v>
      </c>
      <c r="I297" s="435">
        <f t="shared" si="267"/>
        <v>0</v>
      </c>
      <c r="J297" s="435">
        <f t="shared" si="268"/>
        <v>0</v>
      </c>
      <c r="K297" s="439">
        <v>0</v>
      </c>
      <c r="L297" s="439">
        <v>0</v>
      </c>
      <c r="M297" s="439">
        <f t="shared" si="269"/>
        <v>0</v>
      </c>
      <c r="N297" s="439">
        <v>0</v>
      </c>
      <c r="O297" s="439">
        <v>0</v>
      </c>
      <c r="P297" s="440">
        <v>0</v>
      </c>
      <c r="Q297" s="439">
        <v>0</v>
      </c>
      <c r="R297" s="439">
        <f t="shared" si="261"/>
        <v>0</v>
      </c>
      <c r="S297" s="439">
        <f t="shared" si="262"/>
        <v>0</v>
      </c>
      <c r="T297" s="441"/>
      <c r="U297" s="439">
        <v>0</v>
      </c>
      <c r="V297" s="439">
        <f>+AA297</f>
        <v>0</v>
      </c>
      <c r="W297" s="439">
        <v>0</v>
      </c>
      <c r="X297" s="439">
        <v>0</v>
      </c>
      <c r="Y297" s="435">
        <f t="shared" si="264"/>
        <v>0</v>
      </c>
      <c r="Z297" s="439">
        <v>0</v>
      </c>
      <c r="AA297" s="439">
        <v>0</v>
      </c>
      <c r="AB297" s="439">
        <v>0</v>
      </c>
      <c r="AC297" s="439">
        <v>0</v>
      </c>
      <c r="AD297" s="439">
        <v>0</v>
      </c>
      <c r="AE297" s="439"/>
      <c r="AF297" s="439">
        <f>AC297*2</f>
        <v>0</v>
      </c>
      <c r="AG297" s="439">
        <v>0</v>
      </c>
      <c r="AH297" s="419">
        <f t="shared" si="256"/>
        <v>0</v>
      </c>
      <c r="AI297" s="439">
        <v>0</v>
      </c>
      <c r="AJ297" s="439">
        <v>0</v>
      </c>
      <c r="AK297" s="439">
        <f>AA297-W297</f>
        <v>0</v>
      </c>
      <c r="AL297" s="439">
        <f>AA297-AF297</f>
        <v>0</v>
      </c>
      <c r="AM297" s="439">
        <f>AA297-AD297</f>
        <v>0</v>
      </c>
      <c r="AN297" s="438"/>
      <c r="AP297" s="438"/>
    </row>
    <row r="298" spans="1:42" ht="12.75">
      <c r="A298" s="412">
        <v>296</v>
      </c>
      <c r="B298" s="431"/>
      <c r="C298" s="432" t="s">
        <v>7439</v>
      </c>
      <c r="D298" s="433" t="s">
        <v>7442</v>
      </c>
      <c r="E298" s="434"/>
      <c r="F298" s="435">
        <f>SUM(F299:F305)</f>
        <v>466756.77999999997</v>
      </c>
      <c r="G298" s="435">
        <v>319207.82</v>
      </c>
      <c r="H298" s="435">
        <v>463538.22</v>
      </c>
      <c r="I298" s="435">
        <f t="shared" si="267"/>
        <v>3218.5599999999977</v>
      </c>
      <c r="J298" s="435">
        <f t="shared" si="268"/>
        <v>3218.5599999999977</v>
      </c>
      <c r="K298" s="435">
        <v>463538.22</v>
      </c>
      <c r="L298" s="435">
        <v>213580.91999999998</v>
      </c>
      <c r="M298" s="435">
        <f t="shared" si="269"/>
        <v>432181.12999999995</v>
      </c>
      <c r="N298" s="435">
        <v>213580.9</v>
      </c>
      <c r="O298" s="435">
        <v>213580.9</v>
      </c>
      <c r="P298" s="436">
        <v>34575.65</v>
      </c>
      <c r="Q298" s="435">
        <f t="shared" ref="Q298" si="308">SUM(Q299:Q305)</f>
        <v>319207.82</v>
      </c>
      <c r="R298" s="435">
        <f t="shared" si="261"/>
        <v>-179005.25</v>
      </c>
      <c r="S298" s="435">
        <f t="shared" si="262"/>
        <v>105626.92000000001</v>
      </c>
      <c r="T298" s="437">
        <f>(F298-P298)/F298*100</f>
        <v>92.592362557647263</v>
      </c>
      <c r="U298" s="435">
        <v>51838.51</v>
      </c>
      <c r="V298" s="435">
        <f>SUM(V299:V305)</f>
        <v>34575.65</v>
      </c>
      <c r="W298" s="435">
        <f>SUM(W299:W305)</f>
        <v>141772</v>
      </c>
      <c r="X298" s="435">
        <f t="shared" ref="X298" si="309">SUM(X299:X305)</f>
        <v>319207.82</v>
      </c>
      <c r="Y298" s="435">
        <f t="shared" si="264"/>
        <v>509189.21454545448</v>
      </c>
      <c r="Z298" s="435">
        <v>34575.65</v>
      </c>
      <c r="AA298" s="435">
        <v>34575.65</v>
      </c>
      <c r="AB298" s="435">
        <f t="shared" ref="AB298:AM298" si="310">SUM(AB299:AB305)</f>
        <v>4800</v>
      </c>
      <c r="AC298" s="435">
        <f t="shared" si="310"/>
        <v>32033.5</v>
      </c>
      <c r="AD298" s="435">
        <f t="shared" si="310"/>
        <v>319207.82</v>
      </c>
      <c r="AE298" s="435"/>
      <c r="AF298" s="435">
        <f t="shared" si="310"/>
        <v>64067</v>
      </c>
      <c r="AG298" s="435">
        <f t="shared" si="310"/>
        <v>0</v>
      </c>
      <c r="AH298" s="419">
        <f t="shared" si="256"/>
        <v>-466756.77999999997</v>
      </c>
      <c r="AI298" s="435">
        <f t="shared" si="310"/>
        <v>0</v>
      </c>
      <c r="AJ298" s="435">
        <f t="shared" si="310"/>
        <v>0</v>
      </c>
      <c r="AK298" s="435">
        <f t="shared" si="310"/>
        <v>-107196.35</v>
      </c>
      <c r="AL298" s="435">
        <f t="shared" si="310"/>
        <v>-29491.35</v>
      </c>
      <c r="AM298" s="435">
        <f t="shared" si="310"/>
        <v>-284632.17000000004</v>
      </c>
      <c r="AN298" s="438"/>
      <c r="AO298" s="438">
        <v>20083278</v>
      </c>
      <c r="AP298" s="438"/>
    </row>
    <row r="299" spans="1:42" ht="25.5">
      <c r="A299" s="412">
        <v>297</v>
      </c>
      <c r="B299" s="431" t="s">
        <v>1519</v>
      </c>
      <c r="C299" s="432" t="s">
        <v>415</v>
      </c>
      <c r="D299" s="433" t="s">
        <v>11248</v>
      </c>
      <c r="E299" s="434">
        <f>'PROSPETTO CE_IV TRIM 2024'!BM996</f>
        <v>253199.3</v>
      </c>
      <c r="F299" s="439">
        <f t="shared" ref="F299:F306" si="311">+E299</f>
        <v>253199.3</v>
      </c>
      <c r="G299" s="439">
        <v>36467</v>
      </c>
      <c r="H299" s="439">
        <v>249957.3</v>
      </c>
      <c r="I299" s="435">
        <f t="shared" si="267"/>
        <v>3242</v>
      </c>
      <c r="J299" s="435">
        <f t="shared" si="268"/>
        <v>3242</v>
      </c>
      <c r="K299" s="439">
        <v>249957.3</v>
      </c>
      <c r="L299" s="439">
        <v>0</v>
      </c>
      <c r="M299" s="439">
        <f t="shared" si="269"/>
        <v>253199.3</v>
      </c>
      <c r="N299" s="439">
        <v>0</v>
      </c>
      <c r="O299" s="439">
        <v>0</v>
      </c>
      <c r="P299" s="440">
        <v>0</v>
      </c>
      <c r="Q299" s="439">
        <v>36467</v>
      </c>
      <c r="R299" s="439">
        <f t="shared" si="261"/>
        <v>0</v>
      </c>
      <c r="S299" s="439">
        <f t="shared" si="262"/>
        <v>36467</v>
      </c>
      <c r="T299" s="441"/>
      <c r="U299" s="439">
        <v>0</v>
      </c>
      <c r="V299" s="439">
        <f t="shared" ref="V299:V306" si="312">+AA299</f>
        <v>0</v>
      </c>
      <c r="W299" s="439">
        <v>34669</v>
      </c>
      <c r="X299" s="439">
        <v>36467</v>
      </c>
      <c r="Y299" s="435">
        <f t="shared" si="264"/>
        <v>276217.41818181815</v>
      </c>
      <c r="Z299" s="439">
        <v>0</v>
      </c>
      <c r="AA299" s="439">
        <v>0</v>
      </c>
      <c r="AB299" s="439">
        <v>0</v>
      </c>
      <c r="AC299" s="439">
        <v>18233.5</v>
      </c>
      <c r="AD299" s="439">
        <v>36467</v>
      </c>
      <c r="AE299" s="439"/>
      <c r="AF299" s="439">
        <f t="shared" ref="AF299:AF306" si="313">AC299*2</f>
        <v>36467</v>
      </c>
      <c r="AG299" s="439"/>
      <c r="AH299" s="419">
        <f t="shared" si="256"/>
        <v>-253199.3</v>
      </c>
      <c r="AI299" s="439"/>
      <c r="AJ299" s="439"/>
      <c r="AK299" s="439">
        <f t="shared" ref="AK299:AK306" si="314">AA299-W299</f>
        <v>-34669</v>
      </c>
      <c r="AL299" s="439">
        <f t="shared" ref="AL299:AL306" si="315">AA299-AF299</f>
        <v>-36467</v>
      </c>
      <c r="AM299" s="439">
        <f t="shared" ref="AM299:AM306" si="316">AA299-AD299</f>
        <v>-36467</v>
      </c>
      <c r="AN299" s="438"/>
      <c r="AO299" s="438">
        <v>80416224</v>
      </c>
      <c r="AP299" s="438"/>
    </row>
    <row r="300" spans="1:42" ht="25.5">
      <c r="A300" s="412">
        <v>298</v>
      </c>
      <c r="B300" s="431"/>
      <c r="C300" s="432" t="s">
        <v>417</v>
      </c>
      <c r="D300" s="433" t="s">
        <v>11249</v>
      </c>
      <c r="E300" s="434">
        <f>'PROSPETTO CE_IV TRIM 2024'!BM997</f>
        <v>0</v>
      </c>
      <c r="F300" s="439">
        <f t="shared" si="311"/>
        <v>0</v>
      </c>
      <c r="G300" s="439">
        <v>0</v>
      </c>
      <c r="H300" s="439">
        <v>0</v>
      </c>
      <c r="I300" s="435">
        <f t="shared" si="267"/>
        <v>0</v>
      </c>
      <c r="J300" s="435">
        <f t="shared" si="268"/>
        <v>0</v>
      </c>
      <c r="K300" s="439">
        <v>0</v>
      </c>
      <c r="L300" s="439">
        <v>0</v>
      </c>
      <c r="M300" s="439">
        <f t="shared" si="269"/>
        <v>0</v>
      </c>
      <c r="N300" s="439">
        <v>0</v>
      </c>
      <c r="O300" s="439">
        <v>0</v>
      </c>
      <c r="P300" s="440">
        <v>0</v>
      </c>
      <c r="Q300" s="439">
        <v>0</v>
      </c>
      <c r="R300" s="439">
        <f t="shared" si="261"/>
        <v>0</v>
      </c>
      <c r="S300" s="439">
        <f t="shared" si="262"/>
        <v>0</v>
      </c>
      <c r="T300" s="441"/>
      <c r="U300" s="439">
        <v>0</v>
      </c>
      <c r="V300" s="439">
        <f t="shared" si="312"/>
        <v>0</v>
      </c>
      <c r="W300" s="439">
        <v>0</v>
      </c>
      <c r="X300" s="439">
        <v>0</v>
      </c>
      <c r="Y300" s="435">
        <f t="shared" si="264"/>
        <v>0</v>
      </c>
      <c r="Z300" s="439">
        <v>0</v>
      </c>
      <c r="AA300" s="439">
        <v>0</v>
      </c>
      <c r="AB300" s="439">
        <v>0</v>
      </c>
      <c r="AC300" s="439">
        <v>0</v>
      </c>
      <c r="AD300" s="439">
        <v>0</v>
      </c>
      <c r="AE300" s="439"/>
      <c r="AF300" s="439">
        <f t="shared" si="313"/>
        <v>0</v>
      </c>
      <c r="AG300" s="439"/>
      <c r="AH300" s="419">
        <f t="shared" si="256"/>
        <v>0</v>
      </c>
      <c r="AI300" s="439"/>
      <c r="AJ300" s="439"/>
      <c r="AK300" s="439">
        <f t="shared" si="314"/>
        <v>0</v>
      </c>
      <c r="AL300" s="439">
        <f t="shared" si="315"/>
        <v>0</v>
      </c>
      <c r="AM300" s="439">
        <f t="shared" si="316"/>
        <v>0</v>
      </c>
      <c r="AN300" s="438"/>
      <c r="AO300" s="438">
        <v>4230196.57</v>
      </c>
      <c r="AP300" s="438"/>
    </row>
    <row r="301" spans="1:42" ht="25.5">
      <c r="A301" s="412">
        <v>299</v>
      </c>
      <c r="B301" s="431" t="s">
        <v>1340</v>
      </c>
      <c r="C301" s="432" t="s">
        <v>419</v>
      </c>
      <c r="D301" s="433" t="s">
        <v>7455</v>
      </c>
      <c r="E301" s="434">
        <f>'PROSPETTO CE_IV TRIM 2024'!BM998</f>
        <v>0</v>
      </c>
      <c r="F301" s="439">
        <f t="shared" si="311"/>
        <v>0</v>
      </c>
      <c r="G301" s="439">
        <v>0</v>
      </c>
      <c r="H301" s="439">
        <v>0</v>
      </c>
      <c r="I301" s="435">
        <f t="shared" si="267"/>
        <v>0</v>
      </c>
      <c r="J301" s="435">
        <f t="shared" si="268"/>
        <v>0</v>
      </c>
      <c r="K301" s="439">
        <v>0</v>
      </c>
      <c r="L301" s="439">
        <v>0</v>
      </c>
      <c r="M301" s="439">
        <f t="shared" si="269"/>
        <v>0</v>
      </c>
      <c r="N301" s="439">
        <v>0</v>
      </c>
      <c r="O301" s="439">
        <v>0</v>
      </c>
      <c r="P301" s="440">
        <v>0</v>
      </c>
      <c r="Q301" s="439">
        <v>0</v>
      </c>
      <c r="R301" s="439">
        <f t="shared" si="261"/>
        <v>0</v>
      </c>
      <c r="S301" s="439">
        <f t="shared" si="262"/>
        <v>0</v>
      </c>
      <c r="T301" s="441"/>
      <c r="U301" s="439">
        <v>0</v>
      </c>
      <c r="V301" s="439">
        <f t="shared" si="312"/>
        <v>0</v>
      </c>
      <c r="W301" s="439">
        <v>0</v>
      </c>
      <c r="X301" s="439">
        <v>0</v>
      </c>
      <c r="Y301" s="435">
        <f t="shared" si="264"/>
        <v>0</v>
      </c>
      <c r="Z301" s="439">
        <v>0</v>
      </c>
      <c r="AA301" s="439">
        <v>0</v>
      </c>
      <c r="AB301" s="439">
        <v>0</v>
      </c>
      <c r="AC301" s="439">
        <v>0</v>
      </c>
      <c r="AD301" s="439">
        <v>0</v>
      </c>
      <c r="AE301" s="439"/>
      <c r="AF301" s="439">
        <f t="shared" si="313"/>
        <v>0</v>
      </c>
      <c r="AG301" s="439"/>
      <c r="AH301" s="419">
        <f t="shared" si="256"/>
        <v>0</v>
      </c>
      <c r="AI301" s="439"/>
      <c r="AJ301" s="439"/>
      <c r="AK301" s="439">
        <f t="shared" si="314"/>
        <v>0</v>
      </c>
      <c r="AL301" s="439">
        <f t="shared" si="315"/>
        <v>0</v>
      </c>
      <c r="AM301" s="439">
        <f t="shared" si="316"/>
        <v>0</v>
      </c>
      <c r="AN301" s="438"/>
      <c r="AO301" s="438">
        <v>1555692.01</v>
      </c>
      <c r="AP301" s="438"/>
    </row>
    <row r="302" spans="1:42" ht="12.75">
      <c r="A302" s="412">
        <v>300</v>
      </c>
      <c r="B302" s="431"/>
      <c r="C302" s="432" t="s">
        <v>421</v>
      </c>
      <c r="D302" s="433" t="s">
        <v>11250</v>
      </c>
      <c r="E302" s="434">
        <f>'PROSPETTO CE_IV TRIM 2024'!BM999</f>
        <v>213557.47999999998</v>
      </c>
      <c r="F302" s="439">
        <f t="shared" si="311"/>
        <v>213557.47999999998</v>
      </c>
      <c r="G302" s="439">
        <v>282740.82</v>
      </c>
      <c r="H302" s="439">
        <v>213580.91999999998</v>
      </c>
      <c r="I302" s="435">
        <f t="shared" si="267"/>
        <v>-23.440000000002328</v>
      </c>
      <c r="J302" s="435">
        <f t="shared" si="268"/>
        <v>-23.440000000002328</v>
      </c>
      <c r="K302" s="439">
        <v>213580.91999999998</v>
      </c>
      <c r="L302" s="439">
        <v>213580.91999999998</v>
      </c>
      <c r="M302" s="439">
        <f t="shared" si="269"/>
        <v>178981.83</v>
      </c>
      <c r="N302" s="439">
        <v>213580.9</v>
      </c>
      <c r="O302" s="439">
        <v>213580.9</v>
      </c>
      <c r="P302" s="443">
        <v>34575.65</v>
      </c>
      <c r="Q302" s="439">
        <v>282740.82</v>
      </c>
      <c r="R302" s="439">
        <f t="shared" si="261"/>
        <v>-179005.25</v>
      </c>
      <c r="S302" s="439">
        <f t="shared" si="262"/>
        <v>69159.920000000013</v>
      </c>
      <c r="T302" s="441">
        <f>(F302-P302)/F302*100</f>
        <v>83.809675034562119</v>
      </c>
      <c r="U302" s="439">
        <v>51838.51</v>
      </c>
      <c r="V302" s="439">
        <f t="shared" si="312"/>
        <v>34575.65</v>
      </c>
      <c r="W302" s="439">
        <v>107103</v>
      </c>
      <c r="X302" s="439">
        <v>282740.82</v>
      </c>
      <c r="Y302" s="435">
        <f t="shared" si="264"/>
        <v>232971.79636363633</v>
      </c>
      <c r="Z302" s="439">
        <v>34575.65</v>
      </c>
      <c r="AA302" s="439">
        <v>34575.65</v>
      </c>
      <c r="AB302" s="439">
        <v>4800</v>
      </c>
      <c r="AC302" s="439">
        <v>13800</v>
      </c>
      <c r="AD302" s="439">
        <v>282740.82</v>
      </c>
      <c r="AE302" s="439"/>
      <c r="AF302" s="439">
        <f t="shared" si="313"/>
        <v>27600</v>
      </c>
      <c r="AG302" s="439"/>
      <c r="AH302" s="419">
        <f t="shared" si="256"/>
        <v>-213557.47999999998</v>
      </c>
      <c r="AI302" s="439"/>
      <c r="AJ302" s="439"/>
      <c r="AK302" s="439">
        <f t="shared" si="314"/>
        <v>-72527.350000000006</v>
      </c>
      <c r="AL302" s="439">
        <f t="shared" si="315"/>
        <v>6975.6500000000015</v>
      </c>
      <c r="AM302" s="439">
        <f t="shared" si="316"/>
        <v>-248165.17</v>
      </c>
      <c r="AN302" s="438"/>
      <c r="AO302" s="438"/>
      <c r="AP302" s="438"/>
    </row>
    <row r="303" spans="1:42" ht="25.5">
      <c r="A303" s="412">
        <v>301</v>
      </c>
      <c r="B303" s="431"/>
      <c r="C303" s="432" t="s">
        <v>422</v>
      </c>
      <c r="D303" s="433" t="s">
        <v>11251</v>
      </c>
      <c r="E303" s="434">
        <f>'PROSPETTO CE_IV TRIM 2024'!BM1023</f>
        <v>0</v>
      </c>
      <c r="F303" s="439">
        <f t="shared" si="311"/>
        <v>0</v>
      </c>
      <c r="G303" s="439">
        <v>0</v>
      </c>
      <c r="H303" s="439">
        <v>0</v>
      </c>
      <c r="I303" s="435">
        <f t="shared" si="267"/>
        <v>0</v>
      </c>
      <c r="J303" s="435">
        <f t="shared" si="268"/>
        <v>0</v>
      </c>
      <c r="K303" s="439">
        <v>0</v>
      </c>
      <c r="L303" s="439">
        <v>0</v>
      </c>
      <c r="M303" s="439">
        <f t="shared" si="269"/>
        <v>0</v>
      </c>
      <c r="N303" s="439">
        <v>0</v>
      </c>
      <c r="O303" s="439">
        <v>0</v>
      </c>
      <c r="P303" s="440">
        <v>0</v>
      </c>
      <c r="Q303" s="439">
        <v>0</v>
      </c>
      <c r="R303" s="439">
        <f t="shared" si="261"/>
        <v>0</v>
      </c>
      <c r="S303" s="439">
        <f t="shared" si="262"/>
        <v>0</v>
      </c>
      <c r="T303" s="441"/>
      <c r="U303" s="439">
        <v>0</v>
      </c>
      <c r="V303" s="439">
        <f t="shared" si="312"/>
        <v>0</v>
      </c>
      <c r="W303" s="439">
        <v>0</v>
      </c>
      <c r="X303" s="439">
        <v>0</v>
      </c>
      <c r="Y303" s="435">
        <f t="shared" si="264"/>
        <v>0</v>
      </c>
      <c r="Z303" s="439">
        <v>0</v>
      </c>
      <c r="AA303" s="439">
        <v>0</v>
      </c>
      <c r="AB303" s="439">
        <v>0</v>
      </c>
      <c r="AC303" s="439">
        <v>0</v>
      </c>
      <c r="AD303" s="439">
        <v>0</v>
      </c>
      <c r="AE303" s="439"/>
      <c r="AF303" s="439">
        <f t="shared" si="313"/>
        <v>0</v>
      </c>
      <c r="AG303" s="439">
        <v>0</v>
      </c>
      <c r="AH303" s="419">
        <f t="shared" si="256"/>
        <v>0</v>
      </c>
      <c r="AI303" s="439">
        <v>0</v>
      </c>
      <c r="AJ303" s="439">
        <v>0</v>
      </c>
      <c r="AK303" s="439">
        <f t="shared" si="314"/>
        <v>0</v>
      </c>
      <c r="AL303" s="439">
        <f t="shared" si="315"/>
        <v>0</v>
      </c>
      <c r="AM303" s="439">
        <f t="shared" si="316"/>
        <v>0</v>
      </c>
      <c r="AN303" s="438"/>
      <c r="AO303" s="438"/>
      <c r="AP303" s="438"/>
    </row>
    <row r="304" spans="1:42" ht="25.5">
      <c r="A304" s="412">
        <v>302</v>
      </c>
      <c r="B304" s="431" t="s">
        <v>1519</v>
      </c>
      <c r="C304" s="432" t="s">
        <v>7511</v>
      </c>
      <c r="D304" s="433" t="s">
        <v>7516</v>
      </c>
      <c r="E304" s="434">
        <f>'PROSPETTO CE_IV TRIM 2024'!BM1024</f>
        <v>0</v>
      </c>
      <c r="F304" s="439">
        <f t="shared" si="311"/>
        <v>0</v>
      </c>
      <c r="G304" s="439">
        <v>0</v>
      </c>
      <c r="H304" s="439">
        <v>0</v>
      </c>
      <c r="I304" s="435">
        <f t="shared" si="267"/>
        <v>0</v>
      </c>
      <c r="J304" s="435">
        <f t="shared" si="268"/>
        <v>0</v>
      </c>
      <c r="K304" s="439">
        <v>0</v>
      </c>
      <c r="L304" s="439">
        <v>0</v>
      </c>
      <c r="M304" s="439">
        <f t="shared" si="269"/>
        <v>0</v>
      </c>
      <c r="N304" s="439">
        <v>0</v>
      </c>
      <c r="O304" s="439">
        <v>0</v>
      </c>
      <c r="P304" s="440">
        <v>0</v>
      </c>
      <c r="Q304" s="439">
        <v>0</v>
      </c>
      <c r="R304" s="439">
        <f t="shared" si="261"/>
        <v>0</v>
      </c>
      <c r="S304" s="439">
        <f t="shared" si="262"/>
        <v>0</v>
      </c>
      <c r="T304" s="441"/>
      <c r="U304" s="439">
        <v>0</v>
      </c>
      <c r="V304" s="439">
        <f t="shared" si="312"/>
        <v>0</v>
      </c>
      <c r="W304" s="439">
        <v>0</v>
      </c>
      <c r="X304" s="439">
        <v>0</v>
      </c>
      <c r="Y304" s="435">
        <f t="shared" si="264"/>
        <v>0</v>
      </c>
      <c r="Z304" s="439">
        <v>0</v>
      </c>
      <c r="AA304" s="439">
        <v>0</v>
      </c>
      <c r="AB304" s="439">
        <v>0</v>
      </c>
      <c r="AC304" s="439">
        <v>0</v>
      </c>
      <c r="AD304" s="439">
        <v>0</v>
      </c>
      <c r="AE304" s="439"/>
      <c r="AF304" s="439">
        <f t="shared" si="313"/>
        <v>0</v>
      </c>
      <c r="AG304" s="439">
        <v>0</v>
      </c>
      <c r="AH304" s="419">
        <f t="shared" si="256"/>
        <v>0</v>
      </c>
      <c r="AI304" s="439">
        <v>0</v>
      </c>
      <c r="AJ304" s="439">
        <v>0</v>
      </c>
      <c r="AK304" s="439">
        <f t="shared" si="314"/>
        <v>0</v>
      </c>
      <c r="AL304" s="439">
        <f t="shared" si="315"/>
        <v>0</v>
      </c>
      <c r="AM304" s="439">
        <f t="shared" si="316"/>
        <v>0</v>
      </c>
      <c r="AN304" s="438"/>
      <c r="AO304" s="438"/>
      <c r="AP304" s="438"/>
    </row>
    <row r="305" spans="1:42" ht="25.5">
      <c r="A305" s="412">
        <v>303</v>
      </c>
      <c r="B305" s="431" t="s">
        <v>1340</v>
      </c>
      <c r="C305" s="432" t="s">
        <v>7517</v>
      </c>
      <c r="D305" s="433" t="s">
        <v>7521</v>
      </c>
      <c r="E305" s="434">
        <f>'PROSPETTO CE_IV TRIM 2024'!BM1025</f>
        <v>0</v>
      </c>
      <c r="F305" s="439">
        <f t="shared" si="311"/>
        <v>0</v>
      </c>
      <c r="G305" s="439">
        <v>0</v>
      </c>
      <c r="H305" s="439">
        <v>0</v>
      </c>
      <c r="I305" s="435">
        <f t="shared" si="267"/>
        <v>0</v>
      </c>
      <c r="J305" s="435">
        <f t="shared" si="268"/>
        <v>0</v>
      </c>
      <c r="K305" s="439">
        <v>0</v>
      </c>
      <c r="L305" s="439">
        <v>0</v>
      </c>
      <c r="M305" s="439">
        <f t="shared" si="269"/>
        <v>0</v>
      </c>
      <c r="N305" s="439">
        <v>0</v>
      </c>
      <c r="O305" s="439">
        <v>0</v>
      </c>
      <c r="P305" s="440">
        <v>0</v>
      </c>
      <c r="Q305" s="439">
        <v>0</v>
      </c>
      <c r="R305" s="439">
        <f t="shared" si="261"/>
        <v>0</v>
      </c>
      <c r="S305" s="439">
        <f t="shared" si="262"/>
        <v>0</v>
      </c>
      <c r="T305" s="441"/>
      <c r="U305" s="439">
        <v>0</v>
      </c>
      <c r="V305" s="439">
        <f t="shared" si="312"/>
        <v>0</v>
      </c>
      <c r="W305" s="439">
        <v>0</v>
      </c>
      <c r="X305" s="439">
        <v>0</v>
      </c>
      <c r="Y305" s="435">
        <f t="shared" si="264"/>
        <v>0</v>
      </c>
      <c r="Z305" s="439">
        <v>0</v>
      </c>
      <c r="AA305" s="439">
        <v>0</v>
      </c>
      <c r="AB305" s="439">
        <v>0</v>
      </c>
      <c r="AC305" s="439">
        <v>0</v>
      </c>
      <c r="AD305" s="439">
        <v>0</v>
      </c>
      <c r="AE305" s="439"/>
      <c r="AF305" s="439">
        <f t="shared" si="313"/>
        <v>0</v>
      </c>
      <c r="AG305" s="439">
        <v>0</v>
      </c>
      <c r="AH305" s="419">
        <f t="shared" si="256"/>
        <v>0</v>
      </c>
      <c r="AI305" s="439">
        <v>0</v>
      </c>
      <c r="AJ305" s="439">
        <v>0</v>
      </c>
      <c r="AK305" s="439">
        <f t="shared" si="314"/>
        <v>0</v>
      </c>
      <c r="AL305" s="439">
        <f t="shared" si="315"/>
        <v>0</v>
      </c>
      <c r="AM305" s="439">
        <f t="shared" si="316"/>
        <v>0</v>
      </c>
      <c r="AN305" s="438"/>
      <c r="AO305" s="438"/>
      <c r="AP305" s="438"/>
    </row>
    <row r="306" spans="1:42" ht="12.75">
      <c r="A306" s="412">
        <v>304</v>
      </c>
      <c r="B306" s="431" t="s">
        <v>1349</v>
      </c>
      <c r="C306" s="432" t="s">
        <v>424</v>
      </c>
      <c r="D306" s="433" t="s">
        <v>7524</v>
      </c>
      <c r="E306" s="434">
        <f>'PROSPETTO CE_IV TRIM 2024'!BM1026</f>
        <v>0</v>
      </c>
      <c r="F306" s="439">
        <f t="shared" si="311"/>
        <v>0</v>
      </c>
      <c r="G306" s="439">
        <v>0</v>
      </c>
      <c r="H306" s="439">
        <v>0</v>
      </c>
      <c r="I306" s="435">
        <f t="shared" si="267"/>
        <v>0</v>
      </c>
      <c r="J306" s="435">
        <f t="shared" si="268"/>
        <v>0</v>
      </c>
      <c r="K306" s="439">
        <v>0</v>
      </c>
      <c r="L306" s="439">
        <v>0</v>
      </c>
      <c r="M306" s="439">
        <f t="shared" si="269"/>
        <v>0</v>
      </c>
      <c r="N306" s="439">
        <v>0</v>
      </c>
      <c r="O306" s="439">
        <v>0</v>
      </c>
      <c r="P306" s="440">
        <v>0</v>
      </c>
      <c r="Q306" s="439">
        <v>0</v>
      </c>
      <c r="R306" s="439">
        <f t="shared" si="261"/>
        <v>0</v>
      </c>
      <c r="S306" s="439">
        <f t="shared" si="262"/>
        <v>0</v>
      </c>
      <c r="T306" s="441"/>
      <c r="U306" s="439">
        <v>0</v>
      </c>
      <c r="V306" s="439">
        <f t="shared" si="312"/>
        <v>0</v>
      </c>
      <c r="W306" s="439">
        <v>0</v>
      </c>
      <c r="X306" s="439">
        <v>0</v>
      </c>
      <c r="Y306" s="435">
        <f t="shared" si="264"/>
        <v>0</v>
      </c>
      <c r="Z306" s="439">
        <v>0</v>
      </c>
      <c r="AA306" s="439">
        <v>0</v>
      </c>
      <c r="AB306" s="439">
        <v>0</v>
      </c>
      <c r="AC306" s="439">
        <v>0</v>
      </c>
      <c r="AD306" s="439">
        <v>0</v>
      </c>
      <c r="AE306" s="439"/>
      <c r="AF306" s="439">
        <f t="shared" si="313"/>
        <v>0</v>
      </c>
      <c r="AG306" s="439">
        <v>0</v>
      </c>
      <c r="AH306" s="419">
        <f t="shared" si="256"/>
        <v>0</v>
      </c>
      <c r="AI306" s="439">
        <v>0</v>
      </c>
      <c r="AJ306" s="439">
        <v>0</v>
      </c>
      <c r="AK306" s="439">
        <f t="shared" si="314"/>
        <v>0</v>
      </c>
      <c r="AL306" s="439">
        <f t="shared" si="315"/>
        <v>0</v>
      </c>
      <c r="AM306" s="439">
        <f t="shared" si="316"/>
        <v>0</v>
      </c>
      <c r="AN306" s="438"/>
      <c r="AO306" s="438"/>
      <c r="AP306" s="438"/>
    </row>
    <row r="307" spans="1:42" ht="12.75">
      <c r="A307" s="412">
        <v>305</v>
      </c>
      <c r="B307" s="431"/>
      <c r="C307" s="432" t="s">
        <v>7526</v>
      </c>
      <c r="D307" s="433" t="s">
        <v>7529</v>
      </c>
      <c r="E307" s="434"/>
      <c r="F307" s="435">
        <f>+F308+F328+F342</f>
        <v>43413799.649999991</v>
      </c>
      <c r="G307" s="435">
        <v>40078437.270000003</v>
      </c>
      <c r="H307" s="435">
        <v>42966732.651261918</v>
      </c>
      <c r="I307" s="435">
        <f t="shared" si="267"/>
        <v>447066.99873807281</v>
      </c>
      <c r="J307" s="435">
        <f t="shared" si="268"/>
        <v>447066.99873807281</v>
      </c>
      <c r="K307" s="435">
        <v>42966732.651261918</v>
      </c>
      <c r="L307" s="435">
        <v>42966768.714261919</v>
      </c>
      <c r="M307" s="435">
        <f t="shared" si="269"/>
        <v>1657907.0613195822</v>
      </c>
      <c r="N307" s="435">
        <v>44230987.330452502</v>
      </c>
      <c r="O307" s="435">
        <v>43830987.330452502</v>
      </c>
      <c r="P307" s="436">
        <v>41755892.588680409</v>
      </c>
      <c r="Q307" s="435">
        <f t="shared" ref="Q307" si="317">+Q308+Q328+Q342</f>
        <v>40078437.270000003</v>
      </c>
      <c r="R307" s="435">
        <f t="shared" si="261"/>
        <v>-2475094.7417720929</v>
      </c>
      <c r="S307" s="435">
        <f t="shared" si="262"/>
        <v>-4152550.0604524985</v>
      </c>
      <c r="T307" s="437">
        <f t="shared" ref="T307:T313" si="318">(F307-P307)/F307*100</f>
        <v>3.8188480959638427</v>
      </c>
      <c r="U307" s="435">
        <v>31860442.408344388</v>
      </c>
      <c r="V307" s="435">
        <f>+V308+V328+V342</f>
        <v>41755892.588680409</v>
      </c>
      <c r="W307" s="435">
        <f>+W308+W328+W342</f>
        <v>38844655</v>
      </c>
      <c r="X307" s="435">
        <f t="shared" ref="X307" si="319">+X308+X328+X342</f>
        <v>40078437.270000003</v>
      </c>
      <c r="Y307" s="435">
        <f t="shared" si="264"/>
        <v>47360508.709090896</v>
      </c>
      <c r="Z307" s="435">
        <v>41755891.44483041</v>
      </c>
      <c r="AA307" s="435">
        <v>41755892.588680409</v>
      </c>
      <c r="AB307" s="435">
        <f t="shared" ref="AB307:AM307" si="320">+AB308+AB328+AB342</f>
        <v>8964485</v>
      </c>
      <c r="AC307" s="435">
        <f t="shared" si="320"/>
        <v>19885625.081865206</v>
      </c>
      <c r="AD307" s="435">
        <f t="shared" si="320"/>
        <v>40078437.270000003</v>
      </c>
      <c r="AE307" s="435"/>
      <c r="AF307" s="435">
        <f t="shared" si="320"/>
        <v>39771250.163730413</v>
      </c>
      <c r="AG307" s="435">
        <f t="shared" si="320"/>
        <v>0</v>
      </c>
      <c r="AH307" s="419">
        <f t="shared" si="256"/>
        <v>-43413799.649999991</v>
      </c>
      <c r="AI307" s="435">
        <f t="shared" si="320"/>
        <v>0</v>
      </c>
      <c r="AJ307" s="435">
        <f t="shared" si="320"/>
        <v>0</v>
      </c>
      <c r="AK307" s="435">
        <f t="shared" si="320"/>
        <v>2911237.5886804089</v>
      </c>
      <c r="AL307" s="435">
        <f t="shared" si="320"/>
        <v>1984642.4249499994</v>
      </c>
      <c r="AM307" s="435">
        <f t="shared" si="320"/>
        <v>1677455.3186804079</v>
      </c>
      <c r="AN307" s="438"/>
      <c r="AO307" s="438"/>
      <c r="AP307" s="438"/>
    </row>
    <row r="308" spans="1:42" ht="12.75">
      <c r="A308" s="412">
        <v>306</v>
      </c>
      <c r="B308" s="431"/>
      <c r="C308" s="432" t="s">
        <v>7530</v>
      </c>
      <c r="D308" s="433" t="s">
        <v>7533</v>
      </c>
      <c r="E308" s="434"/>
      <c r="F308" s="435">
        <f>+F309+F310+F311+F314+F315+F316+F317+F318+F319+F320+F321+F324</f>
        <v>32632387.119999997</v>
      </c>
      <c r="G308" s="435">
        <v>28733631.349999998</v>
      </c>
      <c r="H308" s="435">
        <v>32632387.11256</v>
      </c>
      <c r="I308" s="435">
        <f t="shared" si="267"/>
        <v>7.4399970471858978E-3</v>
      </c>
      <c r="J308" s="435">
        <f t="shared" si="268"/>
        <v>7.4399970471858978E-3</v>
      </c>
      <c r="K308" s="435">
        <v>32632387.11256</v>
      </c>
      <c r="L308" s="435">
        <v>32632423.175560001</v>
      </c>
      <c r="M308" s="435">
        <f t="shared" si="269"/>
        <v>2080107.3950499967</v>
      </c>
      <c r="N308" s="435">
        <v>32543976.862859998</v>
      </c>
      <c r="O308" s="435">
        <v>32543976.862859998</v>
      </c>
      <c r="P308" s="436">
        <v>30552279.724950001</v>
      </c>
      <c r="Q308" s="435">
        <f t="shared" ref="Q308" si="321">+Q309+Q310+Q311+Q314+Q315+Q316+Q317+Q318+Q319+Q320+Q321+Q324</f>
        <v>28733631.349999998</v>
      </c>
      <c r="R308" s="435">
        <f t="shared" si="261"/>
        <v>-1991697.1379099973</v>
      </c>
      <c r="S308" s="435">
        <f t="shared" si="262"/>
        <v>-3810345.5128600001</v>
      </c>
      <c r="T308" s="437">
        <f t="shared" si="318"/>
        <v>6.3743647910303318</v>
      </c>
      <c r="U308" s="435">
        <v>23445513.029600002</v>
      </c>
      <c r="V308" s="435">
        <f>+V309+V310+V311+V314+V315+V316+V317+V318+V319+V320+V321+V324</f>
        <v>30552279.724950001</v>
      </c>
      <c r="W308" s="435">
        <f>+W309+W310+W311+W314+W315+W316+W317+W318+W319+W320+W321+W324</f>
        <v>27540410</v>
      </c>
      <c r="X308" s="435">
        <f t="shared" ref="X308" si="322">+X309+X310+X311+X314+X315+X316+X317+X318+X319+X320+X321+X324</f>
        <v>28733631.349999998</v>
      </c>
      <c r="Y308" s="435">
        <f t="shared" si="264"/>
        <v>35598967.767272726</v>
      </c>
      <c r="Z308" s="435">
        <v>30552278.581099998</v>
      </c>
      <c r="AA308" s="435">
        <v>30552279.724950001</v>
      </c>
      <c r="AB308" s="435">
        <f t="shared" ref="AB308:AM308" si="323">+AB309+AB310+AB311+AB314+AB315+AB316+AB317+AB318+AB319+AB320+AB321+AB324</f>
        <v>6357204</v>
      </c>
      <c r="AC308" s="435">
        <f t="shared" si="323"/>
        <v>14260840.715</v>
      </c>
      <c r="AD308" s="435">
        <f t="shared" si="323"/>
        <v>28733631.349999998</v>
      </c>
      <c r="AE308" s="435"/>
      <c r="AF308" s="435">
        <f t="shared" si="323"/>
        <v>28521681.43</v>
      </c>
      <c r="AG308" s="435">
        <f t="shared" si="323"/>
        <v>0</v>
      </c>
      <c r="AH308" s="419">
        <f t="shared" si="256"/>
        <v>-32632387.119999997</v>
      </c>
      <c r="AI308" s="435">
        <f t="shared" si="323"/>
        <v>0</v>
      </c>
      <c r="AJ308" s="435">
        <f t="shared" si="323"/>
        <v>0</v>
      </c>
      <c r="AK308" s="435">
        <f t="shared" si="323"/>
        <v>3011869.7249500006</v>
      </c>
      <c r="AL308" s="435">
        <f t="shared" si="323"/>
        <v>2030598.2949500009</v>
      </c>
      <c r="AM308" s="435">
        <f t="shared" si="323"/>
        <v>1818648.3749500015</v>
      </c>
      <c r="AN308" s="438"/>
      <c r="AO308" s="438"/>
      <c r="AP308" s="438"/>
    </row>
    <row r="309" spans="1:42" ht="12.75">
      <c r="A309" s="412">
        <v>307</v>
      </c>
      <c r="B309" s="431"/>
      <c r="C309" s="432" t="s">
        <v>425</v>
      </c>
      <c r="D309" s="433" t="s">
        <v>11252</v>
      </c>
      <c r="E309" s="434">
        <f>'PROSPETTO CE_IV TRIM 2024'!BM1030</f>
        <v>383276.28</v>
      </c>
      <c r="F309" s="439">
        <f>+E309</f>
        <v>383276.28</v>
      </c>
      <c r="G309" s="439">
        <v>278789.09999999998</v>
      </c>
      <c r="H309" s="439">
        <v>383276.28</v>
      </c>
      <c r="I309" s="435">
        <f t="shared" si="267"/>
        <v>0</v>
      </c>
      <c r="J309" s="435">
        <f t="shared" si="268"/>
        <v>0</v>
      </c>
      <c r="K309" s="439">
        <v>383276.28</v>
      </c>
      <c r="L309" s="439">
        <v>383276.28</v>
      </c>
      <c r="M309" s="439">
        <f t="shared" si="269"/>
        <v>104487.18000000005</v>
      </c>
      <c r="N309" s="439">
        <v>410938.34</v>
      </c>
      <c r="O309" s="439">
        <v>410938.34</v>
      </c>
      <c r="P309" s="443">
        <v>278789.09999999998</v>
      </c>
      <c r="Q309" s="439">
        <v>278789.09999999998</v>
      </c>
      <c r="R309" s="439">
        <f t="shared" si="261"/>
        <v>-132149.24000000005</v>
      </c>
      <c r="S309" s="439">
        <f t="shared" si="262"/>
        <v>-132149.24000000005</v>
      </c>
      <c r="T309" s="441">
        <f t="shared" si="318"/>
        <v>27.26158268912442</v>
      </c>
      <c r="U309" s="439">
        <v>326593</v>
      </c>
      <c r="V309" s="439">
        <f>+AA309</f>
        <v>278789.09999999998</v>
      </c>
      <c r="W309" s="439">
        <v>350000</v>
      </c>
      <c r="X309" s="439">
        <v>278789.09999999998</v>
      </c>
      <c r="Y309" s="435">
        <f t="shared" si="264"/>
        <v>418119.57818181824</v>
      </c>
      <c r="Z309" s="439">
        <v>278789.09999999998</v>
      </c>
      <c r="AA309" s="439">
        <v>278789.09999999998</v>
      </c>
      <c r="AB309" s="439">
        <v>83781</v>
      </c>
      <c r="AC309" s="439">
        <v>139394.54999999999</v>
      </c>
      <c r="AD309" s="439">
        <v>278789.09999999998</v>
      </c>
      <c r="AE309" s="439"/>
      <c r="AF309" s="439">
        <f>AC309*2</f>
        <v>278789.09999999998</v>
      </c>
      <c r="AG309" s="439"/>
      <c r="AH309" s="419">
        <f t="shared" si="256"/>
        <v>-383276.28</v>
      </c>
      <c r="AI309" s="439"/>
      <c r="AJ309" s="439"/>
      <c r="AK309" s="439">
        <f>AA309-W309</f>
        <v>-71210.900000000023</v>
      </c>
      <c r="AL309" s="439">
        <f>AA309-AF309</f>
        <v>0</v>
      </c>
      <c r="AM309" s="439">
        <f>AA309-AD309</f>
        <v>0</v>
      </c>
      <c r="AN309" s="438"/>
      <c r="AO309" s="438"/>
      <c r="AP309" s="438"/>
    </row>
    <row r="310" spans="1:42" ht="12.75">
      <c r="A310" s="412">
        <v>308</v>
      </c>
      <c r="B310" s="431"/>
      <c r="C310" s="432" t="s">
        <v>426</v>
      </c>
      <c r="D310" s="433" t="s">
        <v>11253</v>
      </c>
      <c r="E310" s="434">
        <f>'PROSPETTO CE_IV TRIM 2024'!BM1031</f>
        <v>5697398.2999999998</v>
      </c>
      <c r="F310" s="439">
        <f>+E310</f>
        <v>5697398.2999999998</v>
      </c>
      <c r="G310" s="439">
        <v>5764260.3399999999</v>
      </c>
      <c r="H310" s="439">
        <v>5697398.2999999998</v>
      </c>
      <c r="I310" s="435">
        <f t="shared" si="267"/>
        <v>0</v>
      </c>
      <c r="J310" s="435">
        <f t="shared" si="268"/>
        <v>0</v>
      </c>
      <c r="K310" s="439">
        <v>5697398.2999999998</v>
      </c>
      <c r="L310" s="439">
        <v>5697398.2999999998</v>
      </c>
      <c r="M310" s="439">
        <f t="shared" si="269"/>
        <v>-492525.70000000019</v>
      </c>
      <c r="N310" s="439">
        <v>5697398.2999999998</v>
      </c>
      <c r="O310" s="439">
        <v>5697398.2999999998</v>
      </c>
      <c r="P310" s="440">
        <v>6189924</v>
      </c>
      <c r="Q310" s="439">
        <v>5764260.3399999999</v>
      </c>
      <c r="R310" s="439">
        <f t="shared" si="261"/>
        <v>492525.70000000019</v>
      </c>
      <c r="S310" s="439">
        <f t="shared" si="262"/>
        <v>66862.040000000037</v>
      </c>
      <c r="T310" s="441">
        <f t="shared" si="318"/>
        <v>-8.6447475508250875</v>
      </c>
      <c r="U310" s="439">
        <v>4358786.72</v>
      </c>
      <c r="V310" s="439">
        <f>+AA310</f>
        <v>6189924</v>
      </c>
      <c r="W310" s="439">
        <v>6439457</v>
      </c>
      <c r="X310" s="439">
        <v>5764260.3399999999</v>
      </c>
      <c r="Y310" s="435">
        <f t="shared" si="264"/>
        <v>6215343.5999999996</v>
      </c>
      <c r="Z310" s="439">
        <v>6189924</v>
      </c>
      <c r="AA310" s="439">
        <v>6189924</v>
      </c>
      <c r="AB310" s="439">
        <v>1416258</v>
      </c>
      <c r="AC310" s="439">
        <v>2882130.17</v>
      </c>
      <c r="AD310" s="439">
        <v>5764260.3399999999</v>
      </c>
      <c r="AE310" s="439"/>
      <c r="AF310" s="439">
        <f>AC310*2</f>
        <v>5764260.3399999999</v>
      </c>
      <c r="AG310" s="439"/>
      <c r="AH310" s="419">
        <f t="shared" si="256"/>
        <v>-5697398.2999999998</v>
      </c>
      <c r="AI310" s="439"/>
      <c r="AJ310" s="439"/>
      <c r="AK310" s="439">
        <f>AA310-W310</f>
        <v>-249533</v>
      </c>
      <c r="AL310" s="439">
        <f>AA310-AF310</f>
        <v>425663.66000000015</v>
      </c>
      <c r="AM310" s="439">
        <f>AA310-AD310</f>
        <v>425663.66000000015</v>
      </c>
      <c r="AN310" s="438"/>
      <c r="AO310" s="438"/>
      <c r="AP310" s="438"/>
    </row>
    <row r="311" spans="1:42" ht="12.75">
      <c r="A311" s="412">
        <v>309</v>
      </c>
      <c r="B311" s="431"/>
      <c r="C311" s="432" t="s">
        <v>427</v>
      </c>
      <c r="D311" s="433" t="s">
        <v>11254</v>
      </c>
      <c r="E311" s="434"/>
      <c r="F311" s="435">
        <f>+F312+F313</f>
        <v>3045542.8499999996</v>
      </c>
      <c r="G311" s="435">
        <v>2883544.27</v>
      </c>
      <c r="H311" s="435">
        <v>3045542.8499999996</v>
      </c>
      <c r="I311" s="435">
        <f t="shared" si="267"/>
        <v>0</v>
      </c>
      <c r="J311" s="435">
        <f t="shared" si="268"/>
        <v>0</v>
      </c>
      <c r="K311" s="435">
        <v>3045542.8499999996</v>
      </c>
      <c r="L311" s="435">
        <v>3045578.9129999997</v>
      </c>
      <c r="M311" s="435">
        <f t="shared" si="269"/>
        <v>111592.75999999978</v>
      </c>
      <c r="N311" s="435">
        <v>3045542.8499999996</v>
      </c>
      <c r="O311" s="435">
        <v>3045542.8499999996</v>
      </c>
      <c r="P311" s="436">
        <v>2933950.09</v>
      </c>
      <c r="Q311" s="435">
        <f t="shared" ref="Q311" si="324">+Q312+Q313</f>
        <v>2883544.27</v>
      </c>
      <c r="R311" s="435">
        <f t="shared" si="261"/>
        <v>-111592.75999999978</v>
      </c>
      <c r="S311" s="435">
        <f t="shared" si="262"/>
        <v>-161998.57999999961</v>
      </c>
      <c r="T311" s="437">
        <f t="shared" si="318"/>
        <v>3.6641336371280997</v>
      </c>
      <c r="U311" s="435">
        <v>3164735.71</v>
      </c>
      <c r="V311" s="435">
        <f>+V312+V313</f>
        <v>2933950.09</v>
      </c>
      <c r="W311" s="435">
        <f>+W312+W313</f>
        <v>2731128</v>
      </c>
      <c r="X311" s="435">
        <f t="shared" ref="X311" si="325">+X312+X313</f>
        <v>2883544.27</v>
      </c>
      <c r="Y311" s="435">
        <f t="shared" si="264"/>
        <v>3322410.3818181818</v>
      </c>
      <c r="Z311" s="435">
        <v>2933950.09</v>
      </c>
      <c r="AA311" s="435">
        <v>2933950.09</v>
      </c>
      <c r="AB311" s="435">
        <f t="shared" ref="AB311:AM311" si="326">+AB312+AB313</f>
        <v>520695.25</v>
      </c>
      <c r="AC311" s="435">
        <f t="shared" si="326"/>
        <v>1356565.28</v>
      </c>
      <c r="AD311" s="435">
        <f t="shared" si="326"/>
        <v>2883544.27</v>
      </c>
      <c r="AE311" s="435"/>
      <c r="AF311" s="435">
        <f t="shared" si="326"/>
        <v>2713130.56</v>
      </c>
      <c r="AG311" s="435">
        <f t="shared" si="326"/>
        <v>0</v>
      </c>
      <c r="AH311" s="419">
        <f t="shared" si="256"/>
        <v>-3045542.8499999996</v>
      </c>
      <c r="AI311" s="435">
        <f t="shared" si="326"/>
        <v>0</v>
      </c>
      <c r="AJ311" s="435">
        <f t="shared" si="326"/>
        <v>0</v>
      </c>
      <c r="AK311" s="435">
        <f t="shared" si="326"/>
        <v>202822.08999999997</v>
      </c>
      <c r="AL311" s="435">
        <f t="shared" si="326"/>
        <v>220819.52999999991</v>
      </c>
      <c r="AM311" s="435">
        <f t="shared" si="326"/>
        <v>50405.819999999832</v>
      </c>
      <c r="AN311" s="438"/>
      <c r="AO311" s="438"/>
      <c r="AP311" s="438"/>
    </row>
    <row r="312" spans="1:42" ht="12.75">
      <c r="A312" s="412">
        <v>310</v>
      </c>
      <c r="B312" s="431"/>
      <c r="C312" s="432" t="s">
        <v>7543</v>
      </c>
      <c r="D312" s="433" t="s">
        <v>7549</v>
      </c>
      <c r="E312" s="434">
        <f>'PROSPETTO CE_IV TRIM 2024'!BM1032</f>
        <v>813372.97</v>
      </c>
      <c r="F312" s="439">
        <f t="shared" ref="F312:F320" si="327">+E312</f>
        <v>813372.97</v>
      </c>
      <c r="G312" s="439">
        <v>727897.63</v>
      </c>
      <c r="H312" s="439">
        <v>813372.97</v>
      </c>
      <c r="I312" s="435">
        <f t="shared" si="267"/>
        <v>0</v>
      </c>
      <c r="J312" s="435">
        <f t="shared" si="268"/>
        <v>0</v>
      </c>
      <c r="K312" s="439">
        <v>813372.97</v>
      </c>
      <c r="L312" s="439">
        <v>813372.97</v>
      </c>
      <c r="M312" s="439">
        <f t="shared" si="269"/>
        <v>35069.880000000005</v>
      </c>
      <c r="N312" s="439">
        <v>813372.97</v>
      </c>
      <c r="O312" s="439">
        <v>813372.97</v>
      </c>
      <c r="P312" s="440">
        <v>778303.09</v>
      </c>
      <c r="Q312" s="439">
        <v>727897.63</v>
      </c>
      <c r="R312" s="439">
        <f t="shared" si="261"/>
        <v>-35069.880000000005</v>
      </c>
      <c r="S312" s="439">
        <f t="shared" si="262"/>
        <v>-85475.339999999967</v>
      </c>
      <c r="T312" s="441">
        <f t="shared" si="318"/>
        <v>4.3116603690432456</v>
      </c>
      <c r="U312" s="439">
        <v>714769.86</v>
      </c>
      <c r="V312" s="439">
        <f t="shared" ref="V312:V320" si="328">+AA312</f>
        <v>778303.09</v>
      </c>
      <c r="W312" s="439">
        <v>575481</v>
      </c>
      <c r="X312" s="439">
        <v>727897.63</v>
      </c>
      <c r="Y312" s="435">
        <f t="shared" si="264"/>
        <v>887315.96727272728</v>
      </c>
      <c r="Z312" s="439">
        <v>778303.09</v>
      </c>
      <c r="AA312" s="439">
        <v>778303.09</v>
      </c>
      <c r="AB312" s="439">
        <v>143870.25</v>
      </c>
      <c r="AC312" s="439">
        <v>409773.89</v>
      </c>
      <c r="AD312" s="439">
        <v>727897.63</v>
      </c>
      <c r="AE312" s="439"/>
      <c r="AF312" s="439">
        <f t="shared" ref="AF312:AF320" si="329">AC312*2</f>
        <v>819547.78</v>
      </c>
      <c r="AG312" s="439"/>
      <c r="AH312" s="419">
        <f t="shared" si="256"/>
        <v>-813372.97</v>
      </c>
      <c r="AI312" s="439"/>
      <c r="AJ312" s="439"/>
      <c r="AK312" s="439">
        <f t="shared" ref="AK312:AK320" si="330">AA312-W312</f>
        <v>202822.08999999997</v>
      </c>
      <c r="AL312" s="439">
        <f t="shared" ref="AL312:AL320" si="331">AA312-AF312</f>
        <v>-41244.690000000061</v>
      </c>
      <c r="AM312" s="439">
        <f t="shared" ref="AM312:AM320" si="332">AA312-AD312</f>
        <v>50405.459999999963</v>
      </c>
      <c r="AN312" s="438"/>
      <c r="AO312" s="438"/>
      <c r="AP312" s="438"/>
    </row>
    <row r="313" spans="1:42" ht="12.75">
      <c r="A313" s="412">
        <v>311</v>
      </c>
      <c r="B313" s="431"/>
      <c r="C313" s="432" t="s">
        <v>7550</v>
      </c>
      <c r="D313" s="433" t="s">
        <v>7556</v>
      </c>
      <c r="E313" s="434">
        <f>'PROSPETTO CE_IV TRIM 2024'!BM1033</f>
        <v>2232169.88</v>
      </c>
      <c r="F313" s="439">
        <f t="shared" si="327"/>
        <v>2232169.88</v>
      </c>
      <c r="G313" s="439">
        <v>2155646.64</v>
      </c>
      <c r="H313" s="439">
        <v>2232169.88</v>
      </c>
      <c r="I313" s="435">
        <f t="shared" si="267"/>
        <v>0</v>
      </c>
      <c r="J313" s="435">
        <f t="shared" si="268"/>
        <v>0</v>
      </c>
      <c r="K313" s="439">
        <v>2232169.88</v>
      </c>
      <c r="L313" s="439">
        <v>2232205.943</v>
      </c>
      <c r="M313" s="439">
        <f t="shared" si="269"/>
        <v>76522.879999999888</v>
      </c>
      <c r="N313" s="439">
        <v>2232169.88</v>
      </c>
      <c r="O313" s="439">
        <v>2232169.88</v>
      </c>
      <c r="P313" s="440">
        <v>2155647</v>
      </c>
      <c r="Q313" s="439">
        <v>2155646.64</v>
      </c>
      <c r="R313" s="439">
        <f t="shared" si="261"/>
        <v>-76522.879999999888</v>
      </c>
      <c r="S313" s="439">
        <f t="shared" si="262"/>
        <v>-76523.239999999758</v>
      </c>
      <c r="T313" s="441">
        <f t="shared" si="318"/>
        <v>3.4281835215875187</v>
      </c>
      <c r="U313" s="439">
        <v>2449965.85</v>
      </c>
      <c r="V313" s="439">
        <f t="shared" si="328"/>
        <v>2155647</v>
      </c>
      <c r="W313" s="439">
        <v>2155647</v>
      </c>
      <c r="X313" s="439">
        <v>2155646.64</v>
      </c>
      <c r="Y313" s="435">
        <f t="shared" si="264"/>
        <v>2435094.4145454546</v>
      </c>
      <c r="Z313" s="439">
        <v>2155647</v>
      </c>
      <c r="AA313" s="439">
        <v>2155647</v>
      </c>
      <c r="AB313" s="439">
        <v>376825</v>
      </c>
      <c r="AC313" s="439">
        <v>946791.39</v>
      </c>
      <c r="AD313" s="439">
        <v>2155646.64</v>
      </c>
      <c r="AE313" s="439"/>
      <c r="AF313" s="439">
        <f t="shared" si="329"/>
        <v>1893582.78</v>
      </c>
      <c r="AG313" s="439"/>
      <c r="AH313" s="419">
        <f t="shared" si="256"/>
        <v>-2232169.88</v>
      </c>
      <c r="AI313" s="439"/>
      <c r="AJ313" s="439"/>
      <c r="AK313" s="439">
        <f t="shared" si="330"/>
        <v>0</v>
      </c>
      <c r="AL313" s="439">
        <f t="shared" si="331"/>
        <v>262064.21999999997</v>
      </c>
      <c r="AM313" s="439">
        <f t="shared" si="332"/>
        <v>0.35999999986961484</v>
      </c>
      <c r="AN313" s="438"/>
      <c r="AO313" s="438"/>
      <c r="AP313" s="438"/>
    </row>
    <row r="314" spans="1:42" ht="12.75">
      <c r="A314" s="412">
        <v>312</v>
      </c>
      <c r="B314" s="431"/>
      <c r="C314" s="432" t="s">
        <v>428</v>
      </c>
      <c r="D314" s="433" t="s">
        <v>11255</v>
      </c>
      <c r="E314" s="434">
        <f>'PROSPETTO CE_IV TRIM 2024'!BM1034</f>
        <v>0</v>
      </c>
      <c r="F314" s="439">
        <f t="shared" si="327"/>
        <v>0</v>
      </c>
      <c r="G314" s="439">
        <v>0</v>
      </c>
      <c r="H314" s="439">
        <v>0</v>
      </c>
      <c r="I314" s="435">
        <f t="shared" si="267"/>
        <v>0</v>
      </c>
      <c r="J314" s="435">
        <f t="shared" si="268"/>
        <v>0</v>
      </c>
      <c r="K314" s="439">
        <v>0</v>
      </c>
      <c r="L314" s="439">
        <v>0</v>
      </c>
      <c r="M314" s="439">
        <f t="shared" si="269"/>
        <v>0</v>
      </c>
      <c r="N314" s="439">
        <v>0</v>
      </c>
      <c r="O314" s="439">
        <v>0</v>
      </c>
      <c r="P314" s="440">
        <v>0</v>
      </c>
      <c r="Q314" s="439">
        <v>0</v>
      </c>
      <c r="R314" s="439">
        <f t="shared" si="261"/>
        <v>0</v>
      </c>
      <c r="S314" s="439">
        <f t="shared" si="262"/>
        <v>0</v>
      </c>
      <c r="T314" s="441"/>
      <c r="U314" s="439">
        <v>0</v>
      </c>
      <c r="V314" s="439">
        <f t="shared" si="328"/>
        <v>0</v>
      </c>
      <c r="W314" s="439">
        <v>0</v>
      </c>
      <c r="X314" s="439">
        <v>0</v>
      </c>
      <c r="Y314" s="435">
        <f t="shared" si="264"/>
        <v>0</v>
      </c>
      <c r="Z314" s="439">
        <v>0</v>
      </c>
      <c r="AA314" s="439">
        <v>0</v>
      </c>
      <c r="AB314" s="439">
        <v>0</v>
      </c>
      <c r="AC314" s="439">
        <v>0</v>
      </c>
      <c r="AD314" s="439">
        <v>0</v>
      </c>
      <c r="AE314" s="439"/>
      <c r="AF314" s="439">
        <f t="shared" si="329"/>
        <v>0</v>
      </c>
      <c r="AG314" s="439"/>
      <c r="AH314" s="419">
        <f t="shared" si="256"/>
        <v>0</v>
      </c>
      <c r="AI314" s="439"/>
      <c r="AJ314" s="439"/>
      <c r="AK314" s="439">
        <f t="shared" si="330"/>
        <v>0</v>
      </c>
      <c r="AL314" s="439">
        <f t="shared" si="331"/>
        <v>0</v>
      </c>
      <c r="AM314" s="439">
        <f t="shared" si="332"/>
        <v>0</v>
      </c>
      <c r="AN314" s="438"/>
      <c r="AO314" s="438"/>
      <c r="AP314" s="438"/>
    </row>
    <row r="315" spans="1:42" ht="12.75">
      <c r="A315" s="412">
        <v>313</v>
      </c>
      <c r="B315" s="431"/>
      <c r="C315" s="432" t="s">
        <v>429</v>
      </c>
      <c r="D315" s="433" t="s">
        <v>11256</v>
      </c>
      <c r="E315" s="434">
        <f>'PROSPETTO CE_IV TRIM 2024'!BM1035</f>
        <v>7162647.9199999999</v>
      </c>
      <c r="F315" s="439">
        <f t="shared" si="327"/>
        <v>7162647.9199999999</v>
      </c>
      <c r="G315" s="439">
        <v>3513579.05</v>
      </c>
      <c r="H315" s="439">
        <v>7162647.91273</v>
      </c>
      <c r="I315" s="435">
        <f t="shared" si="267"/>
        <v>7.2699999436736107E-3</v>
      </c>
      <c r="J315" s="435">
        <f t="shared" si="268"/>
        <v>7.2699999436736107E-3</v>
      </c>
      <c r="K315" s="439">
        <v>7162647.91273</v>
      </c>
      <c r="L315" s="439">
        <v>7162647.91273</v>
      </c>
      <c r="M315" s="439">
        <f t="shared" si="269"/>
        <v>2944747.0149999997</v>
      </c>
      <c r="N315" s="439">
        <v>7191398.7377300002</v>
      </c>
      <c r="O315" s="439">
        <v>7191398.7377300002</v>
      </c>
      <c r="P315" s="443">
        <v>4217900.9050000003</v>
      </c>
      <c r="Q315" s="439">
        <v>3513579.05</v>
      </c>
      <c r="R315" s="439">
        <f t="shared" si="261"/>
        <v>-2973497.8327299999</v>
      </c>
      <c r="S315" s="439">
        <f t="shared" si="262"/>
        <v>-3677819.6877300004</v>
      </c>
      <c r="T315" s="441">
        <f>(F315-P315)/F315*100</f>
        <v>41.112547313368431</v>
      </c>
      <c r="U315" s="439">
        <v>3655297.99</v>
      </c>
      <c r="V315" s="439">
        <f t="shared" si="328"/>
        <v>4217900.9050000003</v>
      </c>
      <c r="W315" s="439">
        <v>2141701</v>
      </c>
      <c r="X315" s="439">
        <v>3513579.05</v>
      </c>
      <c r="Y315" s="435">
        <f t="shared" si="264"/>
        <v>7813797.7309090905</v>
      </c>
      <c r="Z315" s="439">
        <v>4217900.9050000003</v>
      </c>
      <c r="AA315" s="439">
        <v>4217900.9050000003</v>
      </c>
      <c r="AB315" s="439">
        <v>535425.25</v>
      </c>
      <c r="AC315" s="439">
        <v>1513863.56</v>
      </c>
      <c r="AD315" s="439">
        <v>3513579.05</v>
      </c>
      <c r="AE315" s="439"/>
      <c r="AF315" s="439">
        <f t="shared" si="329"/>
        <v>3027727.12</v>
      </c>
      <c r="AG315" s="439"/>
      <c r="AH315" s="419">
        <f t="shared" si="256"/>
        <v>-7162647.9199999999</v>
      </c>
      <c r="AI315" s="439"/>
      <c r="AJ315" s="439"/>
      <c r="AK315" s="439">
        <f t="shared" si="330"/>
        <v>2076199.9050000003</v>
      </c>
      <c r="AL315" s="439">
        <f t="shared" si="331"/>
        <v>1190173.7850000001</v>
      </c>
      <c r="AM315" s="439">
        <f t="shared" si="332"/>
        <v>704321.85500000045</v>
      </c>
      <c r="AN315" s="438"/>
      <c r="AO315" s="438"/>
      <c r="AP315" s="438"/>
    </row>
    <row r="316" spans="1:42" ht="12.75">
      <c r="A316" s="412">
        <v>314</v>
      </c>
      <c r="B316" s="431"/>
      <c r="C316" s="432" t="s">
        <v>430</v>
      </c>
      <c r="D316" s="433" t="s">
        <v>11257</v>
      </c>
      <c r="E316" s="434">
        <f>'PROSPETTO CE_IV TRIM 2024'!BM1037</f>
        <v>0</v>
      </c>
      <c r="F316" s="439">
        <f t="shared" si="327"/>
        <v>0</v>
      </c>
      <c r="G316" s="439">
        <v>0</v>
      </c>
      <c r="H316" s="439">
        <v>0</v>
      </c>
      <c r="I316" s="435">
        <f t="shared" si="267"/>
        <v>0</v>
      </c>
      <c r="J316" s="435">
        <f t="shared" si="268"/>
        <v>0</v>
      </c>
      <c r="K316" s="439">
        <v>0</v>
      </c>
      <c r="L316" s="439">
        <v>0</v>
      </c>
      <c r="M316" s="439">
        <f t="shared" si="269"/>
        <v>0</v>
      </c>
      <c r="N316" s="439">
        <v>0</v>
      </c>
      <c r="O316" s="439">
        <v>0</v>
      </c>
      <c r="P316" s="440">
        <v>0</v>
      </c>
      <c r="Q316" s="439">
        <v>0</v>
      </c>
      <c r="R316" s="439">
        <f t="shared" si="261"/>
        <v>0</v>
      </c>
      <c r="S316" s="439">
        <f t="shared" si="262"/>
        <v>0</v>
      </c>
      <c r="T316" s="441"/>
      <c r="U316" s="439">
        <v>0</v>
      </c>
      <c r="V316" s="439">
        <f t="shared" si="328"/>
        <v>0</v>
      </c>
      <c r="W316" s="439">
        <v>0</v>
      </c>
      <c r="X316" s="439">
        <v>0</v>
      </c>
      <c r="Y316" s="435">
        <f t="shared" si="264"/>
        <v>0</v>
      </c>
      <c r="Z316" s="439">
        <v>0</v>
      </c>
      <c r="AA316" s="439">
        <v>0</v>
      </c>
      <c r="AB316" s="439">
        <v>0</v>
      </c>
      <c r="AC316" s="439">
        <v>0</v>
      </c>
      <c r="AD316" s="439">
        <v>0</v>
      </c>
      <c r="AE316" s="439"/>
      <c r="AF316" s="439">
        <f t="shared" si="329"/>
        <v>0</v>
      </c>
      <c r="AG316" s="439"/>
      <c r="AH316" s="419">
        <f t="shared" si="256"/>
        <v>0</v>
      </c>
      <c r="AI316" s="439"/>
      <c r="AJ316" s="439"/>
      <c r="AK316" s="439">
        <f t="shared" si="330"/>
        <v>0</v>
      </c>
      <c r="AL316" s="439">
        <f t="shared" si="331"/>
        <v>0</v>
      </c>
      <c r="AM316" s="439">
        <f t="shared" si="332"/>
        <v>0</v>
      </c>
      <c r="AN316" s="438"/>
      <c r="AO316" s="438"/>
      <c r="AP316" s="438"/>
    </row>
    <row r="317" spans="1:42" ht="12.75">
      <c r="A317" s="412">
        <v>315</v>
      </c>
      <c r="B317" s="431"/>
      <c r="C317" s="432" t="s">
        <v>431</v>
      </c>
      <c r="D317" s="433" t="s">
        <v>11258</v>
      </c>
      <c r="E317" s="434">
        <f>'PROSPETTO CE_IV TRIM 2024'!BM1038</f>
        <v>950140.46</v>
      </c>
      <c r="F317" s="439">
        <f t="shared" si="327"/>
        <v>950140.46</v>
      </c>
      <c r="G317" s="439">
        <v>875726.1</v>
      </c>
      <c r="H317" s="439">
        <v>950140.45810000005</v>
      </c>
      <c r="I317" s="435">
        <f t="shared" si="267"/>
        <v>1.8999999156221747E-3</v>
      </c>
      <c r="J317" s="435">
        <f t="shared" si="268"/>
        <v>1.8999999156221747E-3</v>
      </c>
      <c r="K317" s="439">
        <v>950140.45810000005</v>
      </c>
      <c r="L317" s="439">
        <v>950140.45810000005</v>
      </c>
      <c r="M317" s="439">
        <f t="shared" si="269"/>
        <v>152340.45999999996</v>
      </c>
      <c r="N317" s="439">
        <v>948765.5</v>
      </c>
      <c r="O317" s="439">
        <v>948765.5</v>
      </c>
      <c r="P317" s="443">
        <v>797800</v>
      </c>
      <c r="Q317" s="439">
        <v>875726.1</v>
      </c>
      <c r="R317" s="439">
        <f t="shared" si="261"/>
        <v>-150965.5</v>
      </c>
      <c r="S317" s="439">
        <f t="shared" si="262"/>
        <v>-73039.400000000023</v>
      </c>
      <c r="T317" s="441">
        <f>(F317-P317)/F317*100</f>
        <v>16.033467304402549</v>
      </c>
      <c r="U317" s="439">
        <v>622206.75879999995</v>
      </c>
      <c r="V317" s="439">
        <f t="shared" si="328"/>
        <v>797800</v>
      </c>
      <c r="W317" s="439">
        <v>909729</v>
      </c>
      <c r="X317" s="439">
        <v>875726.1</v>
      </c>
      <c r="Y317" s="435">
        <f t="shared" si="264"/>
        <v>1036516.8654545455</v>
      </c>
      <c r="Z317" s="439">
        <v>797800</v>
      </c>
      <c r="AA317" s="439">
        <v>797800</v>
      </c>
      <c r="AB317" s="439">
        <v>200000</v>
      </c>
      <c r="AC317" s="439">
        <v>437863.05000000005</v>
      </c>
      <c r="AD317" s="439">
        <v>875726.1</v>
      </c>
      <c r="AE317" s="439"/>
      <c r="AF317" s="439">
        <f t="shared" si="329"/>
        <v>875726.10000000009</v>
      </c>
      <c r="AG317" s="439"/>
      <c r="AH317" s="419">
        <f t="shared" si="256"/>
        <v>-950140.46</v>
      </c>
      <c r="AI317" s="439"/>
      <c r="AJ317" s="439"/>
      <c r="AK317" s="439">
        <f t="shared" si="330"/>
        <v>-111929</v>
      </c>
      <c r="AL317" s="439">
        <f t="shared" si="331"/>
        <v>-77926.100000000093</v>
      </c>
      <c r="AM317" s="439">
        <f t="shared" si="332"/>
        <v>-77926.099999999977</v>
      </c>
      <c r="AN317" s="438"/>
      <c r="AO317" s="438"/>
      <c r="AP317" s="438"/>
    </row>
    <row r="318" spans="1:42" ht="12.75">
      <c r="A318" s="412">
        <v>316</v>
      </c>
      <c r="B318" s="431"/>
      <c r="C318" s="432" t="s">
        <v>432</v>
      </c>
      <c r="D318" s="433" t="s">
        <v>11259</v>
      </c>
      <c r="E318" s="434">
        <f>'PROSPETTO CE_IV TRIM 2024'!BM1039</f>
        <v>518690.27</v>
      </c>
      <c r="F318" s="439">
        <f t="shared" si="327"/>
        <v>518690.27</v>
      </c>
      <c r="G318" s="439">
        <v>633443.81999999995</v>
      </c>
      <c r="H318" s="439">
        <v>518690.2696</v>
      </c>
      <c r="I318" s="435">
        <f t="shared" si="267"/>
        <v>4.0000001899898052E-4</v>
      </c>
      <c r="J318" s="435">
        <f t="shared" si="268"/>
        <v>4.0000001899898052E-4</v>
      </c>
      <c r="K318" s="439">
        <v>518690.2696</v>
      </c>
      <c r="L318" s="439">
        <v>518690.2696</v>
      </c>
      <c r="M318" s="439">
        <f t="shared" si="269"/>
        <v>-187871.72999999998</v>
      </c>
      <c r="N318" s="439">
        <v>447298.47</v>
      </c>
      <c r="O318" s="439">
        <v>447298.47</v>
      </c>
      <c r="P318" s="440">
        <v>706562</v>
      </c>
      <c r="Q318" s="439">
        <v>633443.81999999995</v>
      </c>
      <c r="R318" s="439">
        <f t="shared" si="261"/>
        <v>259263.53000000003</v>
      </c>
      <c r="S318" s="439">
        <f t="shared" si="262"/>
        <v>186145.34999999998</v>
      </c>
      <c r="T318" s="441">
        <f>(F318-P318)/F318*100</f>
        <v>-36.220407604715618</v>
      </c>
      <c r="U318" s="439">
        <v>544803.65</v>
      </c>
      <c r="V318" s="439">
        <f t="shared" si="328"/>
        <v>706562</v>
      </c>
      <c r="W318" s="439">
        <v>510275</v>
      </c>
      <c r="X318" s="439">
        <v>633443.81999999995</v>
      </c>
      <c r="Y318" s="435">
        <f t="shared" si="264"/>
        <v>565843.93090909091</v>
      </c>
      <c r="Z318" s="439">
        <v>706562</v>
      </c>
      <c r="AA318" s="439">
        <v>706562</v>
      </c>
      <c r="AB318" s="439">
        <v>128189</v>
      </c>
      <c r="AC318" s="439">
        <v>316721.90999999997</v>
      </c>
      <c r="AD318" s="439">
        <v>633443.81999999995</v>
      </c>
      <c r="AE318" s="439"/>
      <c r="AF318" s="439">
        <f t="shared" si="329"/>
        <v>633443.81999999995</v>
      </c>
      <c r="AG318" s="439"/>
      <c r="AH318" s="419">
        <f t="shared" si="256"/>
        <v>-518690.27</v>
      </c>
      <c r="AI318" s="439"/>
      <c r="AJ318" s="439"/>
      <c r="AK318" s="439">
        <f t="shared" si="330"/>
        <v>196287</v>
      </c>
      <c r="AL318" s="439">
        <f t="shared" si="331"/>
        <v>73118.180000000051</v>
      </c>
      <c r="AM318" s="439">
        <f t="shared" si="332"/>
        <v>73118.180000000051</v>
      </c>
      <c r="AN318" s="438"/>
      <c r="AO318" s="438"/>
      <c r="AP318" s="438"/>
    </row>
    <row r="319" spans="1:42" ht="12.75">
      <c r="A319" s="412">
        <v>317</v>
      </c>
      <c r="B319" s="431"/>
      <c r="C319" s="432" t="s">
        <v>433</v>
      </c>
      <c r="D319" s="433" t="s">
        <v>11260</v>
      </c>
      <c r="E319" s="434">
        <f>'PROSPETTO CE_IV TRIM 2024'!BM1040</f>
        <v>5568052.3399999999</v>
      </c>
      <c r="F319" s="439">
        <f t="shared" si="327"/>
        <v>5568052.3399999999</v>
      </c>
      <c r="G319" s="439">
        <v>5497410.3099999996</v>
      </c>
      <c r="H319" s="439">
        <v>5568052.3399999999</v>
      </c>
      <c r="I319" s="435">
        <f t="shared" si="267"/>
        <v>0</v>
      </c>
      <c r="J319" s="435">
        <f t="shared" si="268"/>
        <v>0</v>
      </c>
      <c r="K319" s="439">
        <v>5568052.3399999999</v>
      </c>
      <c r="L319" s="439">
        <v>5568052.3399999999</v>
      </c>
      <c r="M319" s="439">
        <f t="shared" si="269"/>
        <v>-1356947.6500000004</v>
      </c>
      <c r="N319" s="439">
        <v>5729260.6660000002</v>
      </c>
      <c r="O319" s="439">
        <v>5729260.6660000002</v>
      </c>
      <c r="P319" s="440">
        <v>6924999.9900000002</v>
      </c>
      <c r="Q319" s="439">
        <v>5497410.3099999996</v>
      </c>
      <c r="R319" s="439">
        <f t="shared" si="261"/>
        <v>1195739.324</v>
      </c>
      <c r="S319" s="439">
        <f t="shared" si="262"/>
        <v>-231850.35600000061</v>
      </c>
      <c r="T319" s="441">
        <f>(F319-P319)/F319*100</f>
        <v>-24.370238768265608</v>
      </c>
      <c r="U319" s="439">
        <v>5166183</v>
      </c>
      <c r="V319" s="439">
        <f t="shared" si="328"/>
        <v>6924999.9900000002</v>
      </c>
      <c r="W319" s="439">
        <v>5575982</v>
      </c>
      <c r="X319" s="439">
        <v>5497410.3099999996</v>
      </c>
      <c r="Y319" s="435">
        <f t="shared" si="264"/>
        <v>6074238.916363636</v>
      </c>
      <c r="Z319" s="439">
        <v>6924999</v>
      </c>
      <c r="AA319" s="439">
        <v>6924999.9900000002</v>
      </c>
      <c r="AB319" s="439">
        <v>1378400</v>
      </c>
      <c r="AC319" s="439">
        <v>2748705.1549999998</v>
      </c>
      <c r="AD319" s="439">
        <v>5497410.3099999996</v>
      </c>
      <c r="AE319" s="439"/>
      <c r="AF319" s="439">
        <f t="shared" si="329"/>
        <v>5497410.3099999996</v>
      </c>
      <c r="AG319" s="439"/>
      <c r="AH319" s="419">
        <f t="shared" si="256"/>
        <v>-5568052.3399999999</v>
      </c>
      <c r="AI319" s="439"/>
      <c r="AJ319" s="439"/>
      <c r="AK319" s="439">
        <f t="shared" si="330"/>
        <v>1349017.9900000002</v>
      </c>
      <c r="AL319" s="439">
        <f t="shared" si="331"/>
        <v>1427589.6800000006</v>
      </c>
      <c r="AM319" s="439">
        <f t="shared" si="332"/>
        <v>1427589.6800000006</v>
      </c>
      <c r="AN319" s="438"/>
      <c r="AO319" s="438"/>
      <c r="AP319" s="438"/>
    </row>
    <row r="320" spans="1:42" ht="12.75">
      <c r="A320" s="412">
        <v>318</v>
      </c>
      <c r="B320" s="431"/>
      <c r="C320" s="432" t="s">
        <v>434</v>
      </c>
      <c r="D320" s="433" t="s">
        <v>11261</v>
      </c>
      <c r="E320" s="434">
        <f>'PROSPETTO CE_IV TRIM 2024'!BM1041+'PROSPETTO CE_IV TRIM 2024'!BM1042+'PROSPETTO CE_IV TRIM 2024'!BM1043</f>
        <v>1392778.16</v>
      </c>
      <c r="F320" s="439">
        <f t="shared" si="327"/>
        <v>1392778.16</v>
      </c>
      <c r="G320" s="439">
        <v>1340937.93</v>
      </c>
      <c r="H320" s="439">
        <v>1392778.1657999998</v>
      </c>
      <c r="I320" s="435">
        <f t="shared" si="267"/>
        <v>-5.7999999262392521E-3</v>
      </c>
      <c r="J320" s="435">
        <f t="shared" si="268"/>
        <v>-5.7999999262392521E-3</v>
      </c>
      <c r="K320" s="439">
        <v>1392778.1657999998</v>
      </c>
      <c r="L320" s="439">
        <v>1392778.1657999998</v>
      </c>
      <c r="M320" s="439">
        <f t="shared" si="269"/>
        <v>27411.293899999931</v>
      </c>
      <c r="N320" s="439">
        <v>1380388.6757999999</v>
      </c>
      <c r="O320" s="439">
        <v>1380388.6757999999</v>
      </c>
      <c r="P320" s="440">
        <v>1365366.8661</v>
      </c>
      <c r="Q320" s="439">
        <v>1340937.93</v>
      </c>
      <c r="R320" s="439">
        <f t="shared" si="261"/>
        <v>-15021.809699999867</v>
      </c>
      <c r="S320" s="439">
        <f t="shared" si="262"/>
        <v>-39450.745799999917</v>
      </c>
      <c r="T320" s="441">
        <f>(F320-P320)/F320*100</f>
        <v>1.9681019337638044</v>
      </c>
      <c r="U320" s="439">
        <v>742900.84080000001</v>
      </c>
      <c r="V320" s="439">
        <f t="shared" si="328"/>
        <v>1365366.8661</v>
      </c>
      <c r="W320" s="439">
        <v>1388669</v>
      </c>
      <c r="X320" s="439">
        <v>1340937.93</v>
      </c>
      <c r="Y320" s="435">
        <f t="shared" si="264"/>
        <v>1519394.3563636362</v>
      </c>
      <c r="Z320" s="439">
        <v>1365366.8661</v>
      </c>
      <c r="AA320" s="439">
        <v>1365366.8661</v>
      </c>
      <c r="AB320" s="439">
        <v>338036.5</v>
      </c>
      <c r="AC320" s="439">
        <v>657906.38500000001</v>
      </c>
      <c r="AD320" s="439">
        <v>1340937.93</v>
      </c>
      <c r="AE320" s="439"/>
      <c r="AF320" s="439">
        <f t="shared" si="329"/>
        <v>1315812.77</v>
      </c>
      <c r="AG320" s="439"/>
      <c r="AH320" s="419">
        <f t="shared" si="256"/>
        <v>-1392778.16</v>
      </c>
      <c r="AI320" s="439"/>
      <c r="AJ320" s="439"/>
      <c r="AK320" s="439">
        <f t="shared" si="330"/>
        <v>-23302.133900000015</v>
      </c>
      <c r="AL320" s="439">
        <f t="shared" si="331"/>
        <v>49554.096099999966</v>
      </c>
      <c r="AM320" s="439">
        <f t="shared" si="332"/>
        <v>24428.93610000005</v>
      </c>
      <c r="AN320" s="438"/>
      <c r="AO320" s="438"/>
      <c r="AP320" s="438"/>
    </row>
    <row r="321" spans="1:42" ht="12.75">
      <c r="A321" s="412">
        <v>319</v>
      </c>
      <c r="B321" s="431"/>
      <c r="C321" s="432" t="s">
        <v>435</v>
      </c>
      <c r="D321" s="433" t="s">
        <v>11262</v>
      </c>
      <c r="E321" s="434"/>
      <c r="F321" s="435">
        <f>+F322+F323</f>
        <v>233912.02</v>
      </c>
      <c r="G321" s="435">
        <v>422756</v>
      </c>
      <c r="H321" s="435">
        <v>233912.02</v>
      </c>
      <c r="I321" s="435">
        <f t="shared" si="267"/>
        <v>0</v>
      </c>
      <c r="J321" s="435">
        <f t="shared" si="268"/>
        <v>0</v>
      </c>
      <c r="K321" s="435">
        <v>233912.02</v>
      </c>
      <c r="L321" s="435">
        <v>233912.02</v>
      </c>
      <c r="M321" s="435">
        <f t="shared" si="269"/>
        <v>221094.39999999999</v>
      </c>
      <c r="N321" s="435">
        <v>12817.619999999999</v>
      </c>
      <c r="O321" s="435">
        <v>12817.619999999999</v>
      </c>
      <c r="P321" s="436">
        <v>12817.619999999999</v>
      </c>
      <c r="Q321" s="435">
        <f t="shared" ref="Q321" si="333">+Q322+Q323</f>
        <v>422756</v>
      </c>
      <c r="R321" s="435">
        <f t="shared" si="261"/>
        <v>0</v>
      </c>
      <c r="S321" s="435">
        <f t="shared" si="262"/>
        <v>409938.38</v>
      </c>
      <c r="T321" s="437">
        <f>(F321-P321)/F321*100</f>
        <v>94.52032435101026</v>
      </c>
      <c r="U321" s="435">
        <v>12817.619999999999</v>
      </c>
      <c r="V321" s="435">
        <f>+V322+V323</f>
        <v>12817.619999999999</v>
      </c>
      <c r="W321" s="435">
        <f>+W322+W323</f>
        <v>422756</v>
      </c>
      <c r="X321" s="435">
        <f t="shared" ref="X321" si="334">+X322+X323</f>
        <v>422756</v>
      </c>
      <c r="Y321" s="435">
        <f t="shared" si="264"/>
        <v>255176.74909090908</v>
      </c>
      <c r="Z321" s="435">
        <v>12817.619999999999</v>
      </c>
      <c r="AA321" s="435">
        <v>12817.619999999999</v>
      </c>
      <c r="AB321" s="435">
        <f t="shared" ref="AB321:AM321" si="335">+AB322+AB323</f>
        <v>2426</v>
      </c>
      <c r="AC321" s="435">
        <f t="shared" si="335"/>
        <v>447105.55499999999</v>
      </c>
      <c r="AD321" s="435">
        <f t="shared" si="335"/>
        <v>422756</v>
      </c>
      <c r="AE321" s="435"/>
      <c r="AF321" s="435">
        <f t="shared" si="335"/>
        <v>894211.11</v>
      </c>
      <c r="AG321" s="435">
        <f t="shared" si="335"/>
        <v>0</v>
      </c>
      <c r="AH321" s="419">
        <f t="shared" si="256"/>
        <v>-233912.02</v>
      </c>
      <c r="AI321" s="435">
        <f t="shared" si="335"/>
        <v>0</v>
      </c>
      <c r="AJ321" s="435">
        <f t="shared" si="335"/>
        <v>0</v>
      </c>
      <c r="AK321" s="435">
        <f t="shared" si="335"/>
        <v>-409938.38</v>
      </c>
      <c r="AL321" s="435">
        <f t="shared" si="335"/>
        <v>-881393.49</v>
      </c>
      <c r="AM321" s="435">
        <f t="shared" si="335"/>
        <v>-409938.38</v>
      </c>
      <c r="AN321" s="438"/>
      <c r="AO321" s="438"/>
      <c r="AP321" s="438"/>
    </row>
    <row r="322" spans="1:42" ht="12.75">
      <c r="A322" s="412">
        <v>320</v>
      </c>
      <c r="B322" s="431"/>
      <c r="C322" s="432" t="s">
        <v>7596</v>
      </c>
      <c r="D322" s="433" t="s">
        <v>11263</v>
      </c>
      <c r="E322" s="434">
        <f>'PROSPETTO CE_IV TRIM 2024'!BM1044</f>
        <v>0</v>
      </c>
      <c r="F322" s="439">
        <f>+E322</f>
        <v>0</v>
      </c>
      <c r="G322" s="439">
        <v>0</v>
      </c>
      <c r="H322" s="439">
        <v>0</v>
      </c>
      <c r="I322" s="435">
        <f t="shared" si="267"/>
        <v>0</v>
      </c>
      <c r="J322" s="435">
        <f t="shared" si="268"/>
        <v>0</v>
      </c>
      <c r="K322" s="439">
        <v>0</v>
      </c>
      <c r="L322" s="439">
        <v>0</v>
      </c>
      <c r="M322" s="439">
        <f t="shared" si="269"/>
        <v>0</v>
      </c>
      <c r="N322" s="439">
        <v>0</v>
      </c>
      <c r="O322" s="439">
        <v>0</v>
      </c>
      <c r="P322" s="440">
        <v>0</v>
      </c>
      <c r="Q322" s="439">
        <v>0</v>
      </c>
      <c r="R322" s="439">
        <f t="shared" si="261"/>
        <v>0</v>
      </c>
      <c r="S322" s="439">
        <f t="shared" si="262"/>
        <v>0</v>
      </c>
      <c r="T322" s="441"/>
      <c r="U322" s="439">
        <v>0</v>
      </c>
      <c r="V322" s="439">
        <f>+AA322</f>
        <v>0</v>
      </c>
      <c r="W322" s="439">
        <v>0</v>
      </c>
      <c r="X322" s="439">
        <v>0</v>
      </c>
      <c r="Y322" s="435">
        <f t="shared" si="264"/>
        <v>0</v>
      </c>
      <c r="Z322" s="439">
        <v>0</v>
      </c>
      <c r="AA322" s="439">
        <v>0</v>
      </c>
      <c r="AB322" s="439">
        <v>0</v>
      </c>
      <c r="AC322" s="439">
        <v>0</v>
      </c>
      <c r="AD322" s="439">
        <v>0</v>
      </c>
      <c r="AE322" s="439"/>
      <c r="AF322" s="439">
        <f>AC322*2</f>
        <v>0</v>
      </c>
      <c r="AG322" s="439"/>
      <c r="AH322" s="419">
        <f t="shared" ref="AH322:AH385" si="336">AG322-F322</f>
        <v>0</v>
      </c>
      <c r="AI322" s="439"/>
      <c r="AJ322" s="439"/>
      <c r="AK322" s="439">
        <f>AA322-W322</f>
        <v>0</v>
      </c>
      <c r="AL322" s="439">
        <f>AA322-AF322</f>
        <v>0</v>
      </c>
      <c r="AM322" s="439">
        <f>AA322-AD322</f>
        <v>0</v>
      </c>
      <c r="AN322" s="438"/>
      <c r="AO322" s="438"/>
      <c r="AP322" s="438"/>
    </row>
    <row r="323" spans="1:42" ht="12.75">
      <c r="A323" s="412">
        <v>321</v>
      </c>
      <c r="B323" s="431"/>
      <c r="C323" s="432" t="s">
        <v>7602</v>
      </c>
      <c r="D323" s="433" t="s">
        <v>11264</v>
      </c>
      <c r="E323" s="434">
        <f>'PROSPETTO CE_IV TRIM 2024'!BM1045</f>
        <v>233912.02</v>
      </c>
      <c r="F323" s="439">
        <f>+E323</f>
        <v>233912.02</v>
      </c>
      <c r="G323" s="439">
        <v>422756</v>
      </c>
      <c r="H323" s="439">
        <v>233912.02</v>
      </c>
      <c r="I323" s="435">
        <f t="shared" si="267"/>
        <v>0</v>
      </c>
      <c r="J323" s="435">
        <f t="shared" si="268"/>
        <v>0</v>
      </c>
      <c r="K323" s="439">
        <v>233912.02</v>
      </c>
      <c r="L323" s="439">
        <v>233912.02</v>
      </c>
      <c r="M323" s="439">
        <f t="shared" si="269"/>
        <v>221094.39999999999</v>
      </c>
      <c r="N323" s="439">
        <v>12817.619999999999</v>
      </c>
      <c r="O323" s="439">
        <v>12817.619999999999</v>
      </c>
      <c r="P323" s="443">
        <v>12817.619999999999</v>
      </c>
      <c r="Q323" s="439">
        <v>422756</v>
      </c>
      <c r="R323" s="439">
        <f t="shared" si="261"/>
        <v>0</v>
      </c>
      <c r="S323" s="439">
        <f t="shared" si="262"/>
        <v>409938.38</v>
      </c>
      <c r="T323" s="441">
        <f t="shared" ref="T323:T328" si="337">(F323-P323)/F323*100</f>
        <v>94.52032435101026</v>
      </c>
      <c r="U323" s="439">
        <v>12817.619999999999</v>
      </c>
      <c r="V323" s="439">
        <f>+AA323</f>
        <v>12817.619999999999</v>
      </c>
      <c r="W323" s="439">
        <v>422756</v>
      </c>
      <c r="X323" s="439">
        <v>422756</v>
      </c>
      <c r="Y323" s="435">
        <f t="shared" si="264"/>
        <v>255176.74909090908</v>
      </c>
      <c r="Z323" s="439">
        <v>12817.619999999999</v>
      </c>
      <c r="AA323" s="439">
        <v>12817.619999999999</v>
      </c>
      <c r="AB323" s="439">
        <v>2426</v>
      </c>
      <c r="AC323" s="439">
        <v>447105.55499999999</v>
      </c>
      <c r="AD323" s="439">
        <v>422756</v>
      </c>
      <c r="AE323" s="439"/>
      <c r="AF323" s="439">
        <f>AC323*2</f>
        <v>894211.11</v>
      </c>
      <c r="AG323" s="439"/>
      <c r="AH323" s="419">
        <f t="shared" si="336"/>
        <v>-233912.02</v>
      </c>
      <c r="AI323" s="439"/>
      <c r="AJ323" s="439"/>
      <c r="AK323" s="439">
        <f>AA323-W323</f>
        <v>-409938.38</v>
      </c>
      <c r="AL323" s="439">
        <f>AA323-AF323</f>
        <v>-881393.49</v>
      </c>
      <c r="AM323" s="439">
        <f>AA323-AD323</f>
        <v>-409938.38</v>
      </c>
      <c r="AN323" s="438"/>
      <c r="AO323" s="438"/>
      <c r="AP323" s="438"/>
    </row>
    <row r="324" spans="1:42" ht="12.75">
      <c r="A324" s="412">
        <v>322</v>
      </c>
      <c r="B324" s="431"/>
      <c r="C324" s="432" t="s">
        <v>11265</v>
      </c>
      <c r="D324" s="433" t="s">
        <v>11266</v>
      </c>
      <c r="E324" s="434"/>
      <c r="F324" s="435">
        <f>+F325+F326+F327</f>
        <v>7679948.5200000005</v>
      </c>
      <c r="G324" s="435">
        <v>7523184.4299999997</v>
      </c>
      <c r="H324" s="435">
        <v>7679948.5163300009</v>
      </c>
      <c r="I324" s="435">
        <f t="shared" si="267"/>
        <v>3.6699995398521423E-3</v>
      </c>
      <c r="J324" s="435">
        <f t="shared" si="268"/>
        <v>3.6699995398521423E-3</v>
      </c>
      <c r="K324" s="435">
        <v>7679948.5163300009</v>
      </c>
      <c r="L324" s="435">
        <v>7679948.5163300009</v>
      </c>
      <c r="M324" s="435">
        <f t="shared" si="269"/>
        <v>555779.36615000013</v>
      </c>
      <c r="N324" s="435">
        <v>7680167.7033299999</v>
      </c>
      <c r="O324" s="435">
        <v>7680167.7033299999</v>
      </c>
      <c r="P324" s="436">
        <v>7124169.1538500004</v>
      </c>
      <c r="Q324" s="435">
        <f t="shared" ref="Q324" si="338">+Q325+Q326+Q327</f>
        <v>7523184.4299999997</v>
      </c>
      <c r="R324" s="435">
        <f t="shared" ref="R324:R387" si="339">P324-N324</f>
        <v>-555998.54947999958</v>
      </c>
      <c r="S324" s="435">
        <f t="shared" ref="S324:S387" si="340">Q324-N324</f>
        <v>-156983.27333000023</v>
      </c>
      <c r="T324" s="437">
        <f t="shared" si="337"/>
        <v>7.236759005645002</v>
      </c>
      <c r="U324" s="435">
        <v>4851187.74</v>
      </c>
      <c r="V324" s="435">
        <f>+V325+V326+V327</f>
        <v>7124169.1538500004</v>
      </c>
      <c r="W324" s="435">
        <f>+W325+W326+W327</f>
        <v>7070713</v>
      </c>
      <c r="X324" s="435">
        <f t="shared" ref="X324" si="341">+X325+X326+X327</f>
        <v>7523184.4299999997</v>
      </c>
      <c r="Y324" s="435">
        <f t="shared" ref="Y324:Y387" si="342">F324/11*12</f>
        <v>8378125.6581818182</v>
      </c>
      <c r="Z324" s="435">
        <v>7124169</v>
      </c>
      <c r="AA324" s="435">
        <v>7124169.1538500004</v>
      </c>
      <c r="AB324" s="435">
        <f t="shared" ref="AB324:AM324" si="343">+AB325+AB326+AB327</f>
        <v>1753993</v>
      </c>
      <c r="AC324" s="435">
        <f t="shared" si="343"/>
        <v>3760585.1</v>
      </c>
      <c r="AD324" s="435">
        <f t="shared" si="343"/>
        <v>7523184.4299999997</v>
      </c>
      <c r="AE324" s="435"/>
      <c r="AF324" s="435">
        <f t="shared" si="343"/>
        <v>7521170.2000000002</v>
      </c>
      <c r="AG324" s="435">
        <f t="shared" si="343"/>
        <v>0</v>
      </c>
      <c r="AH324" s="419">
        <f t="shared" si="336"/>
        <v>-7679948.5200000005</v>
      </c>
      <c r="AI324" s="435">
        <f t="shared" si="343"/>
        <v>0</v>
      </c>
      <c r="AJ324" s="435">
        <f t="shared" si="343"/>
        <v>0</v>
      </c>
      <c r="AK324" s="435">
        <f t="shared" si="343"/>
        <v>53456.153850000352</v>
      </c>
      <c r="AL324" s="435">
        <f t="shared" si="343"/>
        <v>-397001.04614999972</v>
      </c>
      <c r="AM324" s="435">
        <f t="shared" si="343"/>
        <v>-399015.2761499997</v>
      </c>
      <c r="AN324" s="438"/>
      <c r="AO324" s="438"/>
      <c r="AP324" s="438"/>
    </row>
    <row r="325" spans="1:42" ht="25.5">
      <c r="A325" s="412">
        <v>323</v>
      </c>
      <c r="B325" s="431" t="s">
        <v>1519</v>
      </c>
      <c r="C325" s="432" t="s">
        <v>436</v>
      </c>
      <c r="D325" s="433" t="s">
        <v>7618</v>
      </c>
      <c r="E325" s="434">
        <f>'PROSPETTO CE_IV TRIM 2024'!BM1049</f>
        <v>20952.32</v>
      </c>
      <c r="F325" s="439">
        <f>+E325</f>
        <v>20952.32</v>
      </c>
      <c r="G325" s="439">
        <v>24762.87</v>
      </c>
      <c r="H325" s="439">
        <v>20952.32</v>
      </c>
      <c r="I325" s="435">
        <f t="shared" ref="I325:I388" si="344">F325-H325</f>
        <v>0</v>
      </c>
      <c r="J325" s="435">
        <f t="shared" ref="J325:J388" si="345">F325-K325</f>
        <v>0</v>
      </c>
      <c r="K325" s="439">
        <v>20952.32</v>
      </c>
      <c r="L325" s="439">
        <v>20952.32</v>
      </c>
      <c r="M325" s="439">
        <f t="shared" ref="M325:M388" si="346">F325-P325</f>
        <v>20952.32</v>
      </c>
      <c r="N325" s="439">
        <v>8375.7999999999993</v>
      </c>
      <c r="O325" s="439">
        <v>8375.7999999999993</v>
      </c>
      <c r="P325" s="440">
        <v>0</v>
      </c>
      <c r="Q325" s="439">
        <v>24762.87</v>
      </c>
      <c r="R325" s="439">
        <f t="shared" si="339"/>
        <v>-8375.7999999999993</v>
      </c>
      <c r="S325" s="439">
        <f t="shared" si="340"/>
        <v>16387.07</v>
      </c>
      <c r="T325" s="441">
        <f t="shared" si="337"/>
        <v>100</v>
      </c>
      <c r="U325" s="439">
        <v>0</v>
      </c>
      <c r="V325" s="439">
        <f>+AA325</f>
        <v>0</v>
      </c>
      <c r="W325" s="439">
        <v>12344</v>
      </c>
      <c r="X325" s="439">
        <v>24762.87</v>
      </c>
      <c r="Y325" s="435">
        <f t="shared" si="342"/>
        <v>22857.076363636363</v>
      </c>
      <c r="Z325" s="439">
        <v>0</v>
      </c>
      <c r="AA325" s="439">
        <v>0</v>
      </c>
      <c r="AB325" s="439">
        <v>0</v>
      </c>
      <c r="AC325" s="439">
        <v>12381.434999999998</v>
      </c>
      <c r="AD325" s="439">
        <v>24762.87</v>
      </c>
      <c r="AE325" s="439"/>
      <c r="AF325" s="439">
        <f>AC325*2</f>
        <v>24762.869999999995</v>
      </c>
      <c r="AG325" s="439"/>
      <c r="AH325" s="419">
        <f t="shared" si="336"/>
        <v>-20952.32</v>
      </c>
      <c r="AI325" s="439"/>
      <c r="AJ325" s="439"/>
      <c r="AK325" s="439">
        <f>AA325-W325</f>
        <v>-12344</v>
      </c>
      <c r="AL325" s="439">
        <f>AA325-AF325</f>
        <v>-24762.869999999995</v>
      </c>
      <c r="AM325" s="439">
        <f>AA325-AD325</f>
        <v>-24762.87</v>
      </c>
      <c r="AN325" s="438"/>
      <c r="AO325" s="438"/>
      <c r="AP325" s="438"/>
    </row>
    <row r="326" spans="1:42" ht="12.75">
      <c r="A326" s="412">
        <v>324</v>
      </c>
      <c r="B326" s="431"/>
      <c r="C326" s="432" t="s">
        <v>438</v>
      </c>
      <c r="D326" s="433" t="s">
        <v>7627</v>
      </c>
      <c r="E326" s="434">
        <f>'PROSPETTO CE_IV TRIM 2024'!BM1053</f>
        <v>23460.37</v>
      </c>
      <c r="F326" s="439">
        <f>+E326</f>
        <v>23460.37</v>
      </c>
      <c r="G326" s="439">
        <v>2014.23</v>
      </c>
      <c r="H326" s="439">
        <v>23460.37</v>
      </c>
      <c r="I326" s="435">
        <f t="shared" si="344"/>
        <v>0</v>
      </c>
      <c r="J326" s="435">
        <f t="shared" si="345"/>
        <v>0</v>
      </c>
      <c r="K326" s="439">
        <v>23460.37</v>
      </c>
      <c r="L326" s="439">
        <v>23460.37</v>
      </c>
      <c r="M326" s="439">
        <f t="shared" si="346"/>
        <v>23460.37</v>
      </c>
      <c r="N326" s="439">
        <v>23460.37</v>
      </c>
      <c r="O326" s="439">
        <v>23460.37</v>
      </c>
      <c r="P326" s="440">
        <v>0</v>
      </c>
      <c r="Q326" s="439">
        <v>2014.23</v>
      </c>
      <c r="R326" s="439">
        <f t="shared" si="339"/>
        <v>-23460.37</v>
      </c>
      <c r="S326" s="439">
        <f t="shared" si="340"/>
        <v>-21446.14</v>
      </c>
      <c r="T326" s="441">
        <f t="shared" si="337"/>
        <v>100</v>
      </c>
      <c r="U326" s="439">
        <v>0</v>
      </c>
      <c r="V326" s="439">
        <f>+AA326</f>
        <v>0</v>
      </c>
      <c r="W326" s="439">
        <v>2014</v>
      </c>
      <c r="X326" s="439">
        <v>2014.23</v>
      </c>
      <c r="Y326" s="435">
        <f t="shared" si="342"/>
        <v>25593.130909090909</v>
      </c>
      <c r="Z326" s="439">
        <v>0</v>
      </c>
      <c r="AA326" s="439">
        <v>0</v>
      </c>
      <c r="AB326" s="439">
        <v>0</v>
      </c>
      <c r="AC326" s="439">
        <v>0</v>
      </c>
      <c r="AD326" s="439">
        <v>2014.23</v>
      </c>
      <c r="AE326" s="439"/>
      <c r="AF326" s="439">
        <f>AC326*2</f>
        <v>0</v>
      </c>
      <c r="AG326" s="439"/>
      <c r="AH326" s="419">
        <f t="shared" si="336"/>
        <v>-23460.37</v>
      </c>
      <c r="AI326" s="439"/>
      <c r="AJ326" s="439"/>
      <c r="AK326" s="439">
        <f>AA326-W326</f>
        <v>-2014</v>
      </c>
      <c r="AL326" s="439">
        <f>AA326-AF326</f>
        <v>0</v>
      </c>
      <c r="AM326" s="439">
        <f>AA326-AD326</f>
        <v>-2014.23</v>
      </c>
      <c r="AN326" s="438"/>
      <c r="AO326" s="438"/>
      <c r="AP326" s="438"/>
    </row>
    <row r="327" spans="1:42" ht="12.75">
      <c r="A327" s="412">
        <v>325</v>
      </c>
      <c r="B327" s="431"/>
      <c r="C327" s="432" t="s">
        <v>440</v>
      </c>
      <c r="D327" s="433" t="s">
        <v>7636</v>
      </c>
      <c r="E327" s="434">
        <f>'PROSPETTO CE_IV TRIM 2024'!BM1056+'PROSPETTO CE_IV TRIM 2024'!BM1057+'PROSPETTO CE_IV TRIM 2024'!BM1058+'PROSPETTO CE_IV TRIM 2024'!BM1063+'PROSPETTO CE_IV TRIM 2024'!BM1064</f>
        <v>7635535.8300000001</v>
      </c>
      <c r="F327" s="439">
        <f>+E327</f>
        <v>7635535.8300000001</v>
      </c>
      <c r="G327" s="439">
        <v>7496407.3300000001</v>
      </c>
      <c r="H327" s="439">
        <v>7635535.8263300005</v>
      </c>
      <c r="I327" s="435">
        <f t="shared" si="344"/>
        <v>3.6699995398521423E-3</v>
      </c>
      <c r="J327" s="435">
        <f t="shared" si="345"/>
        <v>3.6699995398521423E-3</v>
      </c>
      <c r="K327" s="439">
        <v>7635535.8263300005</v>
      </c>
      <c r="L327" s="439">
        <v>7635535.8263300005</v>
      </c>
      <c r="M327" s="439">
        <f t="shared" si="346"/>
        <v>511366.67614999972</v>
      </c>
      <c r="N327" s="439">
        <v>7648331.53333</v>
      </c>
      <c r="O327" s="439">
        <v>7648331.53333</v>
      </c>
      <c r="P327" s="443">
        <v>7124169.1538500004</v>
      </c>
      <c r="Q327" s="439">
        <v>7496407.3300000001</v>
      </c>
      <c r="R327" s="439">
        <f t="shared" si="339"/>
        <v>-524162.37947999965</v>
      </c>
      <c r="S327" s="439">
        <f t="shared" si="340"/>
        <v>-151924.20332999993</v>
      </c>
      <c r="T327" s="441">
        <f t="shared" si="337"/>
        <v>6.6971943755517644</v>
      </c>
      <c r="U327" s="439">
        <v>4851187.74</v>
      </c>
      <c r="V327" s="439">
        <f>+AA327</f>
        <v>7124169.1538500004</v>
      </c>
      <c r="W327" s="439">
        <v>7056355</v>
      </c>
      <c r="X327" s="439">
        <v>7496407.3300000001</v>
      </c>
      <c r="Y327" s="435">
        <f t="shared" si="342"/>
        <v>8329675.4509090912</v>
      </c>
      <c r="Z327" s="439">
        <v>7124169</v>
      </c>
      <c r="AA327" s="439">
        <v>7124169.1538500004</v>
      </c>
      <c r="AB327" s="439">
        <v>1753993</v>
      </c>
      <c r="AC327" s="439">
        <v>3748203.665</v>
      </c>
      <c r="AD327" s="439">
        <v>7496407.3300000001</v>
      </c>
      <c r="AE327" s="439"/>
      <c r="AF327" s="439">
        <f>AC327*2</f>
        <v>7496407.3300000001</v>
      </c>
      <c r="AG327" s="439"/>
      <c r="AH327" s="419">
        <f t="shared" si="336"/>
        <v>-7635535.8300000001</v>
      </c>
      <c r="AI327" s="439"/>
      <c r="AJ327" s="439"/>
      <c r="AK327" s="439">
        <f>AA327-W327</f>
        <v>67814.153850000352</v>
      </c>
      <c r="AL327" s="439">
        <f>AA327-AF327</f>
        <v>-372238.17614999972</v>
      </c>
      <c r="AM327" s="439">
        <f>AA327-AD327</f>
        <v>-372238.17614999972</v>
      </c>
      <c r="AN327" s="438">
        <f>E327+2000000</f>
        <v>9635535.8300000001</v>
      </c>
      <c r="AO327" s="438"/>
      <c r="AP327" s="438"/>
    </row>
    <row r="328" spans="1:42" ht="25.5">
      <c r="A328" s="412">
        <v>326</v>
      </c>
      <c r="B328" s="431"/>
      <c r="C328" s="432" t="s">
        <v>7666</v>
      </c>
      <c r="D328" s="433" t="s">
        <v>7669</v>
      </c>
      <c r="E328" s="434"/>
      <c r="F328" s="435">
        <f>+F329+F330+F331+F338</f>
        <v>10670767.619999999</v>
      </c>
      <c r="G328" s="435">
        <v>11271643.710000001</v>
      </c>
      <c r="H328" s="435">
        <v>10223700.62870192</v>
      </c>
      <c r="I328" s="435">
        <f t="shared" si="344"/>
        <v>447066.99129807949</v>
      </c>
      <c r="J328" s="435">
        <f t="shared" si="345"/>
        <v>447066.99129807949</v>
      </c>
      <c r="K328" s="435">
        <v>10223700.62870192</v>
      </c>
      <c r="L328" s="435">
        <v>10223700.62870192</v>
      </c>
      <c r="M328" s="435">
        <f t="shared" si="346"/>
        <v>-517649.64373040944</v>
      </c>
      <c r="N328" s="435">
        <v>11579146.130192509</v>
      </c>
      <c r="O328" s="435">
        <v>11179146.130192509</v>
      </c>
      <c r="P328" s="436">
        <v>11188417.263730409</v>
      </c>
      <c r="Q328" s="435">
        <f t="shared" ref="Q328" si="347">+Q329+Q330+Q331+Q338</f>
        <v>11271643.710000001</v>
      </c>
      <c r="R328" s="435">
        <f t="shared" si="339"/>
        <v>-390728.8664621003</v>
      </c>
      <c r="S328" s="435">
        <f t="shared" si="340"/>
        <v>-307502.42019250803</v>
      </c>
      <c r="T328" s="437">
        <f t="shared" si="337"/>
        <v>-4.8511003347143404</v>
      </c>
      <c r="U328" s="435">
        <v>8399733.7787443828</v>
      </c>
      <c r="V328" s="435">
        <f>+V329+V330+V331+V338</f>
        <v>11188417.263730409</v>
      </c>
      <c r="W328" s="435">
        <f>+W329+W330+W331+W338</f>
        <v>10993370</v>
      </c>
      <c r="X328" s="435">
        <f t="shared" ref="X328" si="348">+X329+X330+X331+X338</f>
        <v>11271643.710000001</v>
      </c>
      <c r="Y328" s="435">
        <f t="shared" si="342"/>
        <v>11640837.403636362</v>
      </c>
      <c r="Z328" s="435">
        <v>11188417.263730409</v>
      </c>
      <c r="AA328" s="435">
        <v>11188417.263730409</v>
      </c>
      <c r="AB328" s="435">
        <f t="shared" ref="AB328:AM328" si="349">+AB329+AB330+AB331+AB338</f>
        <v>2552431</v>
      </c>
      <c r="AC328" s="435">
        <f t="shared" si="349"/>
        <v>5593234.4268652042</v>
      </c>
      <c r="AD328" s="435">
        <f t="shared" si="349"/>
        <v>11271643.710000001</v>
      </c>
      <c r="AE328" s="435"/>
      <c r="AF328" s="435">
        <f t="shared" si="349"/>
        <v>11186468.853730408</v>
      </c>
      <c r="AG328" s="435">
        <f t="shared" si="349"/>
        <v>0</v>
      </c>
      <c r="AH328" s="419">
        <f t="shared" si="336"/>
        <v>-10670767.619999999</v>
      </c>
      <c r="AI328" s="435">
        <f t="shared" si="349"/>
        <v>0</v>
      </c>
      <c r="AJ328" s="435">
        <f t="shared" si="349"/>
        <v>0</v>
      </c>
      <c r="AK328" s="435">
        <f t="shared" si="349"/>
        <v>195047.26373040798</v>
      </c>
      <c r="AL328" s="435">
        <f t="shared" si="349"/>
        <v>1948.4099999985028</v>
      </c>
      <c r="AM328" s="435">
        <f t="shared" si="349"/>
        <v>-83226.446269593507</v>
      </c>
      <c r="AN328" s="438"/>
      <c r="AO328" s="438"/>
      <c r="AP328" s="438"/>
    </row>
    <row r="329" spans="1:42" ht="25.5">
      <c r="A329" s="412">
        <v>327</v>
      </c>
      <c r="B329" s="431" t="s">
        <v>1519</v>
      </c>
      <c r="C329" s="432" t="s">
        <v>443</v>
      </c>
      <c r="D329" s="433" t="s">
        <v>7673</v>
      </c>
      <c r="E329" s="434">
        <f>'PROSPETTO CE_IV TRIM 2024'!BM1069</f>
        <v>0</v>
      </c>
      <c r="F329" s="439">
        <f>+E329</f>
        <v>0</v>
      </c>
      <c r="G329" s="439">
        <v>0</v>
      </c>
      <c r="H329" s="439">
        <v>0</v>
      </c>
      <c r="I329" s="435">
        <f t="shared" si="344"/>
        <v>0</v>
      </c>
      <c r="J329" s="435">
        <f t="shared" si="345"/>
        <v>0</v>
      </c>
      <c r="K329" s="439">
        <v>0</v>
      </c>
      <c r="L329" s="439">
        <v>0</v>
      </c>
      <c r="M329" s="439">
        <f t="shared" si="346"/>
        <v>0</v>
      </c>
      <c r="N329" s="439">
        <v>0</v>
      </c>
      <c r="O329" s="439">
        <v>0</v>
      </c>
      <c r="P329" s="440">
        <v>0</v>
      </c>
      <c r="Q329" s="439">
        <v>0</v>
      </c>
      <c r="R329" s="439">
        <f t="shared" si="339"/>
        <v>0</v>
      </c>
      <c r="S329" s="439">
        <f t="shared" si="340"/>
        <v>0</v>
      </c>
      <c r="T329" s="441"/>
      <c r="U329" s="439">
        <v>0</v>
      </c>
      <c r="V329" s="439">
        <f>+AA329</f>
        <v>0</v>
      </c>
      <c r="W329" s="439">
        <v>0</v>
      </c>
      <c r="X329" s="439">
        <v>0</v>
      </c>
      <c r="Y329" s="435">
        <f t="shared" si="342"/>
        <v>0</v>
      </c>
      <c r="Z329" s="439">
        <v>0</v>
      </c>
      <c r="AA329" s="439">
        <v>0</v>
      </c>
      <c r="AB329" s="439">
        <v>0</v>
      </c>
      <c r="AC329" s="439">
        <v>0</v>
      </c>
      <c r="AD329" s="439">
        <v>0</v>
      </c>
      <c r="AE329" s="439"/>
      <c r="AF329" s="439">
        <v>0</v>
      </c>
      <c r="AG329" s="439">
        <v>0</v>
      </c>
      <c r="AH329" s="419">
        <f t="shared" si="336"/>
        <v>0</v>
      </c>
      <c r="AI329" s="439">
        <v>0</v>
      </c>
      <c r="AJ329" s="439">
        <v>0</v>
      </c>
      <c r="AK329" s="439">
        <f>AA329-W329</f>
        <v>0</v>
      </c>
      <c r="AL329" s="439">
        <f>AA329-AF329</f>
        <v>0</v>
      </c>
      <c r="AM329" s="439">
        <f>AA329-AD329</f>
        <v>0</v>
      </c>
      <c r="AN329" s="438"/>
      <c r="AO329" s="438"/>
      <c r="AP329" s="438"/>
    </row>
    <row r="330" spans="1:42" ht="25.5">
      <c r="A330" s="412">
        <v>328</v>
      </c>
      <c r="B330" s="431"/>
      <c r="C330" s="432" t="s">
        <v>445</v>
      </c>
      <c r="D330" s="433" t="s">
        <v>7683</v>
      </c>
      <c r="E330" s="434">
        <f>'PROSPETTO CE_IV TRIM 2024'!BM1073</f>
        <v>0</v>
      </c>
      <c r="F330" s="439">
        <f>+E330</f>
        <v>0</v>
      </c>
      <c r="G330" s="439">
        <v>0</v>
      </c>
      <c r="H330" s="439">
        <v>0</v>
      </c>
      <c r="I330" s="435">
        <f t="shared" si="344"/>
        <v>0</v>
      </c>
      <c r="J330" s="435">
        <f t="shared" si="345"/>
        <v>0</v>
      </c>
      <c r="K330" s="439">
        <v>0</v>
      </c>
      <c r="L330" s="439">
        <v>0</v>
      </c>
      <c r="M330" s="439">
        <f t="shared" si="346"/>
        <v>0</v>
      </c>
      <c r="N330" s="439">
        <v>0</v>
      </c>
      <c r="O330" s="439">
        <v>0</v>
      </c>
      <c r="P330" s="440">
        <v>0</v>
      </c>
      <c r="Q330" s="439">
        <v>0</v>
      </c>
      <c r="R330" s="439">
        <f t="shared" si="339"/>
        <v>0</v>
      </c>
      <c r="S330" s="439">
        <f t="shared" si="340"/>
        <v>0</v>
      </c>
      <c r="T330" s="441"/>
      <c r="U330" s="439">
        <v>0</v>
      </c>
      <c r="V330" s="439">
        <f>+AA330</f>
        <v>0</v>
      </c>
      <c r="W330" s="439">
        <v>0</v>
      </c>
      <c r="X330" s="439">
        <v>0</v>
      </c>
      <c r="Y330" s="435">
        <f t="shared" si="342"/>
        <v>0</v>
      </c>
      <c r="Z330" s="439">
        <v>0</v>
      </c>
      <c r="AA330" s="439">
        <v>0</v>
      </c>
      <c r="AB330" s="439">
        <v>0</v>
      </c>
      <c r="AC330" s="439">
        <v>0</v>
      </c>
      <c r="AD330" s="439">
        <v>0</v>
      </c>
      <c r="AE330" s="439"/>
      <c r="AF330" s="439">
        <v>0</v>
      </c>
      <c r="AG330" s="439">
        <v>0</v>
      </c>
      <c r="AH330" s="419">
        <f t="shared" si="336"/>
        <v>0</v>
      </c>
      <c r="AI330" s="439">
        <v>0</v>
      </c>
      <c r="AJ330" s="439">
        <v>0</v>
      </c>
      <c r="AK330" s="439">
        <f>AA330-W330</f>
        <v>0</v>
      </c>
      <c r="AL330" s="439">
        <f>AA330-AF330</f>
        <v>0</v>
      </c>
      <c r="AM330" s="439">
        <f>AA330-AD330</f>
        <v>0</v>
      </c>
      <c r="AN330" s="438"/>
      <c r="AO330" s="438"/>
      <c r="AP330" s="438"/>
    </row>
    <row r="331" spans="1:42" ht="25.5">
      <c r="A331" s="412">
        <v>329</v>
      </c>
      <c r="B331" s="431"/>
      <c r="C331" s="432" t="s">
        <v>447</v>
      </c>
      <c r="D331" s="433" t="s">
        <v>11267</v>
      </c>
      <c r="E331" s="434"/>
      <c r="F331" s="435">
        <f>SUM(F332:F337)</f>
        <v>10670767.619999999</v>
      </c>
      <c r="G331" s="435">
        <v>11271643.710000001</v>
      </c>
      <c r="H331" s="435">
        <v>10223700.62870192</v>
      </c>
      <c r="I331" s="435">
        <f t="shared" si="344"/>
        <v>447066.99129807949</v>
      </c>
      <c r="J331" s="435">
        <f t="shared" si="345"/>
        <v>447066.99129807949</v>
      </c>
      <c r="K331" s="435">
        <v>10223700.62870192</v>
      </c>
      <c r="L331" s="435">
        <v>10223700.62870192</v>
      </c>
      <c r="M331" s="435">
        <f t="shared" si="346"/>
        <v>-517649.64373040944</v>
      </c>
      <c r="N331" s="435">
        <v>11579146.130192509</v>
      </c>
      <c r="O331" s="435">
        <v>11179146.130192509</v>
      </c>
      <c r="P331" s="436">
        <v>11188417.263730409</v>
      </c>
      <c r="Q331" s="435">
        <f t="shared" ref="Q331" si="350">SUM(Q332:Q337)</f>
        <v>11271643.710000001</v>
      </c>
      <c r="R331" s="435">
        <f t="shared" si="339"/>
        <v>-390728.8664621003</v>
      </c>
      <c r="S331" s="435">
        <f t="shared" si="340"/>
        <v>-307502.42019250803</v>
      </c>
      <c r="T331" s="437">
        <f>(F331-P331)/F331*100</f>
        <v>-4.8511003347143404</v>
      </c>
      <c r="U331" s="435">
        <v>8399733.7787443828</v>
      </c>
      <c r="V331" s="435">
        <f>SUM(V332:V337)</f>
        <v>11188417.263730409</v>
      </c>
      <c r="W331" s="435">
        <f>SUM(W332:W337)</f>
        <v>10993370</v>
      </c>
      <c r="X331" s="435">
        <f t="shared" ref="X331" si="351">SUM(X332:X337)</f>
        <v>11271643.710000001</v>
      </c>
      <c r="Y331" s="435">
        <f t="shared" si="342"/>
        <v>11640837.403636362</v>
      </c>
      <c r="Z331" s="435">
        <v>11188417.263730409</v>
      </c>
      <c r="AA331" s="435">
        <v>11188417.263730409</v>
      </c>
      <c r="AB331" s="435">
        <f t="shared" ref="AB331:AM331" si="352">SUM(AB332:AB337)</f>
        <v>2552431</v>
      </c>
      <c r="AC331" s="435">
        <f t="shared" si="352"/>
        <v>5593234.4268652042</v>
      </c>
      <c r="AD331" s="435">
        <f t="shared" si="352"/>
        <v>11271643.710000001</v>
      </c>
      <c r="AE331" s="435"/>
      <c r="AF331" s="435">
        <f t="shared" si="352"/>
        <v>11186468.853730408</v>
      </c>
      <c r="AG331" s="435">
        <f t="shared" si="352"/>
        <v>0</v>
      </c>
      <c r="AH331" s="419">
        <f t="shared" si="336"/>
        <v>-10670767.619999999</v>
      </c>
      <c r="AI331" s="435">
        <f t="shared" si="352"/>
        <v>0</v>
      </c>
      <c r="AJ331" s="435">
        <f t="shared" si="352"/>
        <v>0</v>
      </c>
      <c r="AK331" s="435">
        <f t="shared" si="352"/>
        <v>195047.26373040798</v>
      </c>
      <c r="AL331" s="435">
        <f t="shared" si="352"/>
        <v>1948.4099999985028</v>
      </c>
      <c r="AM331" s="435">
        <f t="shared" si="352"/>
        <v>-83226.446269593507</v>
      </c>
      <c r="AN331" s="438"/>
      <c r="AO331" s="438"/>
      <c r="AP331" s="438"/>
    </row>
    <row r="332" spans="1:42" ht="12.75">
      <c r="A332" s="412">
        <v>330</v>
      </c>
      <c r="B332" s="431"/>
      <c r="C332" s="432" t="s">
        <v>448</v>
      </c>
      <c r="D332" s="433" t="s">
        <v>7689</v>
      </c>
      <c r="E332" s="434">
        <f>'PROSPETTO CE_IV TRIM 2024'!BM1075</f>
        <v>72992.649999999994</v>
      </c>
      <c r="F332" s="439">
        <f t="shared" ref="F332:F337" si="353">+E332</f>
        <v>72992.649999999994</v>
      </c>
      <c r="G332" s="439">
        <v>0</v>
      </c>
      <c r="H332" s="439">
        <v>72992.649999999994</v>
      </c>
      <c r="I332" s="435">
        <f t="shared" si="344"/>
        <v>0</v>
      </c>
      <c r="J332" s="435">
        <f t="shared" si="345"/>
        <v>0</v>
      </c>
      <c r="K332" s="439">
        <v>72992.649999999994</v>
      </c>
      <c r="L332" s="439">
        <v>72992.649999999994</v>
      </c>
      <c r="M332" s="439">
        <f t="shared" si="346"/>
        <v>42181.989999999991</v>
      </c>
      <c r="N332" s="439">
        <v>68495.645199999999</v>
      </c>
      <c r="O332" s="439">
        <v>68495.645199999999</v>
      </c>
      <c r="P332" s="443">
        <v>30810.66</v>
      </c>
      <c r="Q332" s="439">
        <v>0</v>
      </c>
      <c r="R332" s="439">
        <f t="shared" si="339"/>
        <v>-37684.985199999996</v>
      </c>
      <c r="S332" s="439">
        <f t="shared" si="340"/>
        <v>-68495.645199999999</v>
      </c>
      <c r="T332" s="441">
        <f>(F332-P332)/F332*100</f>
        <v>57.789366463609682</v>
      </c>
      <c r="U332" s="439">
        <v>44690.31</v>
      </c>
      <c r="V332" s="439">
        <f t="shared" ref="V332:V337" si="354">+AA332</f>
        <v>30810.66</v>
      </c>
      <c r="W332" s="439">
        <v>0</v>
      </c>
      <c r="X332" s="439">
        <v>0</v>
      </c>
      <c r="Y332" s="435">
        <f t="shared" si="342"/>
        <v>79628.345454545444</v>
      </c>
      <c r="Z332" s="439">
        <v>30810.66</v>
      </c>
      <c r="AA332" s="439">
        <v>30810.66</v>
      </c>
      <c r="AB332" s="439">
        <v>8333</v>
      </c>
      <c r="AC332" s="439">
        <v>8333.33</v>
      </c>
      <c r="AD332" s="439">
        <v>0</v>
      </c>
      <c r="AE332" s="439"/>
      <c r="AF332" s="439">
        <f t="shared" ref="AF332:AF337" si="355">AC332*2</f>
        <v>16666.66</v>
      </c>
      <c r="AG332" s="439"/>
      <c r="AH332" s="419">
        <f t="shared" si="336"/>
        <v>-72992.649999999994</v>
      </c>
      <c r="AI332" s="439"/>
      <c r="AJ332" s="439"/>
      <c r="AK332" s="439">
        <f t="shared" ref="AK332:AK337" si="356">AA332-W332</f>
        <v>30810.66</v>
      </c>
      <c r="AL332" s="439">
        <f t="shared" ref="AL332:AL337" si="357">AA332-AF332</f>
        <v>14144</v>
      </c>
      <c r="AM332" s="439">
        <f t="shared" ref="AM332:AM337" si="358">AA332-AD332</f>
        <v>30810.66</v>
      </c>
      <c r="AN332" s="438"/>
      <c r="AO332" s="438"/>
      <c r="AP332" s="438"/>
    </row>
    <row r="333" spans="1:42" ht="25.5">
      <c r="A333" s="412">
        <v>331</v>
      </c>
      <c r="B333" s="431"/>
      <c r="C333" s="432" t="s">
        <v>450</v>
      </c>
      <c r="D333" s="433" t="s">
        <v>7693</v>
      </c>
      <c r="E333" s="434">
        <f>'PROSPETTO CE_IV TRIM 2024'!BM1076</f>
        <v>234279.93</v>
      </c>
      <c r="F333" s="439">
        <f t="shared" si="353"/>
        <v>234279.93</v>
      </c>
      <c r="G333" s="439">
        <v>277103.86</v>
      </c>
      <c r="H333" s="439">
        <v>234279.93</v>
      </c>
      <c r="I333" s="435">
        <f t="shared" si="344"/>
        <v>0</v>
      </c>
      <c r="J333" s="435">
        <f t="shared" si="345"/>
        <v>0</v>
      </c>
      <c r="K333" s="439">
        <v>234279.93</v>
      </c>
      <c r="L333" s="439">
        <v>234279.93</v>
      </c>
      <c r="M333" s="439">
        <f t="shared" si="346"/>
        <v>60878.789999999979</v>
      </c>
      <c r="N333" s="439">
        <v>234279.93</v>
      </c>
      <c r="O333" s="439">
        <v>234279.93</v>
      </c>
      <c r="P333" s="443">
        <v>173401.14</v>
      </c>
      <c r="Q333" s="439">
        <v>277103.86</v>
      </c>
      <c r="R333" s="439">
        <f t="shared" si="339"/>
        <v>-60878.789999999979</v>
      </c>
      <c r="S333" s="439">
        <f t="shared" si="340"/>
        <v>42823.929999999993</v>
      </c>
      <c r="T333" s="441">
        <f>(F333-P333)/F333*100</f>
        <v>25.985490946663671</v>
      </c>
      <c r="U333" s="439">
        <v>198488.07</v>
      </c>
      <c r="V333" s="439">
        <f t="shared" si="354"/>
        <v>173401.14</v>
      </c>
      <c r="W333" s="439">
        <v>277104</v>
      </c>
      <c r="X333" s="439">
        <v>277103.86</v>
      </c>
      <c r="Y333" s="435">
        <f t="shared" si="342"/>
        <v>255578.10545454544</v>
      </c>
      <c r="Z333" s="439">
        <v>173401.14</v>
      </c>
      <c r="AA333" s="439">
        <v>173401.14</v>
      </c>
      <c r="AB333" s="439">
        <v>77552</v>
      </c>
      <c r="AC333" s="439">
        <v>161519.23000000001</v>
      </c>
      <c r="AD333" s="439">
        <v>277103.86</v>
      </c>
      <c r="AE333" s="439"/>
      <c r="AF333" s="439">
        <f t="shared" si="355"/>
        <v>323038.46000000002</v>
      </c>
      <c r="AG333" s="439"/>
      <c r="AH333" s="419">
        <f t="shared" si="336"/>
        <v>-234279.93</v>
      </c>
      <c r="AI333" s="439"/>
      <c r="AJ333" s="439"/>
      <c r="AK333" s="439">
        <f t="shared" si="356"/>
        <v>-103702.85999999999</v>
      </c>
      <c r="AL333" s="439">
        <f t="shared" si="357"/>
        <v>-149637.32</v>
      </c>
      <c r="AM333" s="439">
        <f t="shared" si="358"/>
        <v>-103702.71999999997</v>
      </c>
      <c r="AN333" s="438"/>
      <c r="AO333" s="438"/>
      <c r="AP333" s="438"/>
    </row>
    <row r="334" spans="1:42" ht="25.5">
      <c r="A334" s="412">
        <v>332</v>
      </c>
      <c r="B334" s="431"/>
      <c r="C334" s="432" t="s">
        <v>452</v>
      </c>
      <c r="D334" s="433" t="s">
        <v>11268</v>
      </c>
      <c r="E334" s="434">
        <f>'PROSPETTO CE_IV TRIM 2024'!BM1089</f>
        <v>10293111.699999999</v>
      </c>
      <c r="F334" s="439">
        <f t="shared" si="353"/>
        <v>10293111.699999999</v>
      </c>
      <c r="G334" s="439">
        <v>10994539.850000001</v>
      </c>
      <c r="H334" s="439">
        <v>9846044.7087019198</v>
      </c>
      <c r="I334" s="435">
        <f t="shared" si="344"/>
        <v>447066.99129807949</v>
      </c>
      <c r="J334" s="435">
        <f t="shared" si="345"/>
        <v>447066.99129807949</v>
      </c>
      <c r="K334" s="439">
        <v>9846044.7087019198</v>
      </c>
      <c r="L334" s="439">
        <v>9846044.7087019198</v>
      </c>
      <c r="M334" s="439">
        <f t="shared" si="346"/>
        <v>-688294.8437304087</v>
      </c>
      <c r="N334" s="439">
        <v>11271675.304992508</v>
      </c>
      <c r="O334" s="439">
        <v>10871675.304992508</v>
      </c>
      <c r="P334" s="440">
        <v>10981406.543730408</v>
      </c>
      <c r="Q334" s="439">
        <v>10994539.850000001</v>
      </c>
      <c r="R334" s="439">
        <f t="shared" si="339"/>
        <v>-290268.76126210019</v>
      </c>
      <c r="S334" s="439">
        <f t="shared" si="340"/>
        <v>-277135.45499250665</v>
      </c>
      <c r="T334" s="441">
        <f>(F334-P334)/F334*100</f>
        <v>-6.6869462198725458</v>
      </c>
      <c r="U334" s="439">
        <v>8153756.478744382</v>
      </c>
      <c r="V334" s="439">
        <f t="shared" si="354"/>
        <v>10981406.543730408</v>
      </c>
      <c r="W334" s="439">
        <v>10716266</v>
      </c>
      <c r="X334" s="439">
        <v>10994539.850000001</v>
      </c>
      <c r="Y334" s="435">
        <f t="shared" si="342"/>
        <v>11228849.127272727</v>
      </c>
      <c r="Z334" s="439">
        <v>10981406.543730408</v>
      </c>
      <c r="AA334" s="439">
        <v>10981406.543730408</v>
      </c>
      <c r="AB334" s="439">
        <v>2466546</v>
      </c>
      <c r="AC334" s="439">
        <v>5420582.9468652047</v>
      </c>
      <c r="AD334" s="439">
        <v>10994539.850000001</v>
      </c>
      <c r="AE334" s="439"/>
      <c r="AF334" s="439">
        <f t="shared" si="355"/>
        <v>10841165.893730409</v>
      </c>
      <c r="AG334" s="439"/>
      <c r="AH334" s="419">
        <f t="shared" si="336"/>
        <v>-10293111.699999999</v>
      </c>
      <c r="AI334" s="439"/>
      <c r="AJ334" s="439"/>
      <c r="AK334" s="439">
        <f t="shared" si="356"/>
        <v>265140.54373040795</v>
      </c>
      <c r="AL334" s="439">
        <f t="shared" si="357"/>
        <v>140240.64999999851</v>
      </c>
      <c r="AM334" s="439">
        <f t="shared" si="358"/>
        <v>-13133.306269593537</v>
      </c>
      <c r="AN334" s="438"/>
      <c r="AO334" s="438"/>
      <c r="AP334" s="438"/>
    </row>
    <row r="335" spans="1:42" ht="12.75">
      <c r="A335" s="412">
        <v>333</v>
      </c>
      <c r="B335" s="431"/>
      <c r="C335" s="432" t="s">
        <v>453</v>
      </c>
      <c r="D335" s="433" t="s">
        <v>11269</v>
      </c>
      <c r="E335" s="434">
        <f>'PROSPETTO CE_IV TRIM 2024'!BM1078</f>
        <v>0</v>
      </c>
      <c r="F335" s="439">
        <f t="shared" si="353"/>
        <v>0</v>
      </c>
      <c r="G335" s="439">
        <v>0</v>
      </c>
      <c r="H335" s="439">
        <v>0</v>
      </c>
      <c r="I335" s="435">
        <f t="shared" si="344"/>
        <v>0</v>
      </c>
      <c r="J335" s="435">
        <f t="shared" si="345"/>
        <v>0</v>
      </c>
      <c r="K335" s="439">
        <v>0</v>
      </c>
      <c r="L335" s="439">
        <v>0</v>
      </c>
      <c r="M335" s="439">
        <f t="shared" si="346"/>
        <v>0</v>
      </c>
      <c r="N335" s="439">
        <v>0</v>
      </c>
      <c r="O335" s="439">
        <v>0</v>
      </c>
      <c r="P335" s="440">
        <v>0</v>
      </c>
      <c r="Q335" s="439">
        <v>0</v>
      </c>
      <c r="R335" s="439">
        <f t="shared" si="339"/>
        <v>0</v>
      </c>
      <c r="S335" s="439">
        <f t="shared" si="340"/>
        <v>0</v>
      </c>
      <c r="T335" s="441"/>
      <c r="U335" s="439">
        <v>0</v>
      </c>
      <c r="V335" s="439">
        <f t="shared" si="354"/>
        <v>0</v>
      </c>
      <c r="W335" s="439">
        <v>0</v>
      </c>
      <c r="X335" s="439">
        <v>0</v>
      </c>
      <c r="Y335" s="435">
        <f t="shared" si="342"/>
        <v>0</v>
      </c>
      <c r="Z335" s="439">
        <v>0</v>
      </c>
      <c r="AA335" s="439">
        <v>0</v>
      </c>
      <c r="AB335" s="439">
        <v>0</v>
      </c>
      <c r="AC335" s="439">
        <v>0</v>
      </c>
      <c r="AD335" s="439">
        <v>0</v>
      </c>
      <c r="AE335" s="439"/>
      <c r="AF335" s="439">
        <f t="shared" si="355"/>
        <v>0</v>
      </c>
      <c r="AG335" s="439"/>
      <c r="AH335" s="419">
        <f t="shared" si="336"/>
        <v>0</v>
      </c>
      <c r="AI335" s="439"/>
      <c r="AJ335" s="439"/>
      <c r="AK335" s="439">
        <f t="shared" si="356"/>
        <v>0</v>
      </c>
      <c r="AL335" s="439">
        <f t="shared" si="357"/>
        <v>0</v>
      </c>
      <c r="AM335" s="439">
        <f t="shared" si="358"/>
        <v>0</v>
      </c>
      <c r="AN335" s="438"/>
      <c r="AO335" s="438"/>
      <c r="AP335" s="438"/>
    </row>
    <row r="336" spans="1:42" ht="25.5">
      <c r="A336" s="412">
        <v>334</v>
      </c>
      <c r="B336" s="431"/>
      <c r="C336" s="432" t="s">
        <v>454</v>
      </c>
      <c r="D336" s="433" t="s">
        <v>11270</v>
      </c>
      <c r="E336" s="434">
        <f>'PROSPETTO CE_IV TRIM 2024'!BM1079</f>
        <v>70383.34</v>
      </c>
      <c r="F336" s="439">
        <f t="shared" si="353"/>
        <v>70383.34</v>
      </c>
      <c r="G336" s="439">
        <v>0</v>
      </c>
      <c r="H336" s="439">
        <v>70383.34</v>
      </c>
      <c r="I336" s="435">
        <f t="shared" si="344"/>
        <v>0</v>
      </c>
      <c r="J336" s="435">
        <f t="shared" si="345"/>
        <v>0</v>
      </c>
      <c r="K336" s="439">
        <v>70383.34</v>
      </c>
      <c r="L336" s="439">
        <v>70383.34</v>
      </c>
      <c r="M336" s="439">
        <f t="shared" si="346"/>
        <v>67584.42</v>
      </c>
      <c r="N336" s="439">
        <v>4695.25</v>
      </c>
      <c r="O336" s="439">
        <v>4695.25</v>
      </c>
      <c r="P336" s="443">
        <v>2798.92</v>
      </c>
      <c r="Q336" s="439">
        <v>0</v>
      </c>
      <c r="R336" s="439">
        <f t="shared" si="339"/>
        <v>-1896.33</v>
      </c>
      <c r="S336" s="439">
        <f t="shared" si="340"/>
        <v>-4695.25</v>
      </c>
      <c r="T336" s="441">
        <f>(F336-P336)/F336*100</f>
        <v>96.023320291421243</v>
      </c>
      <c r="U336" s="439">
        <v>2798.92</v>
      </c>
      <c r="V336" s="439">
        <f t="shared" si="354"/>
        <v>2798.92</v>
      </c>
      <c r="W336" s="439">
        <v>0</v>
      </c>
      <c r="X336" s="439">
        <v>0</v>
      </c>
      <c r="Y336" s="435">
        <f t="shared" si="342"/>
        <v>76781.825454545455</v>
      </c>
      <c r="Z336" s="439">
        <v>2798.92</v>
      </c>
      <c r="AA336" s="439">
        <v>2798.92</v>
      </c>
      <c r="AB336" s="439">
        <v>0</v>
      </c>
      <c r="AC336" s="439">
        <v>2798.92</v>
      </c>
      <c r="AD336" s="439">
        <v>0</v>
      </c>
      <c r="AE336" s="439"/>
      <c r="AF336" s="439">
        <f t="shared" si="355"/>
        <v>5597.84</v>
      </c>
      <c r="AG336" s="439">
        <v>0</v>
      </c>
      <c r="AH336" s="419">
        <f t="shared" si="336"/>
        <v>-70383.34</v>
      </c>
      <c r="AI336" s="439">
        <v>0</v>
      </c>
      <c r="AJ336" s="439">
        <v>0</v>
      </c>
      <c r="AK336" s="439">
        <f t="shared" si="356"/>
        <v>2798.92</v>
      </c>
      <c r="AL336" s="439">
        <f t="shared" si="357"/>
        <v>-2798.92</v>
      </c>
      <c r="AM336" s="439">
        <f t="shared" si="358"/>
        <v>2798.92</v>
      </c>
      <c r="AN336" s="438"/>
      <c r="AO336" s="438"/>
      <c r="AP336" s="438"/>
    </row>
    <row r="337" spans="1:42" ht="51">
      <c r="A337" s="412">
        <v>335</v>
      </c>
      <c r="B337" s="431"/>
      <c r="C337" s="432" t="s">
        <v>7715</v>
      </c>
      <c r="D337" s="433" t="s">
        <v>11271</v>
      </c>
      <c r="E337" s="434">
        <f>'PROSPETTO CE_IV TRIM 2024'!BM1084</f>
        <v>0</v>
      </c>
      <c r="F337" s="439">
        <f t="shared" si="353"/>
        <v>0</v>
      </c>
      <c r="G337" s="439">
        <v>0</v>
      </c>
      <c r="H337" s="439">
        <v>0</v>
      </c>
      <c r="I337" s="435">
        <f t="shared" si="344"/>
        <v>0</v>
      </c>
      <c r="J337" s="435">
        <f t="shared" si="345"/>
        <v>0</v>
      </c>
      <c r="K337" s="439">
        <v>0</v>
      </c>
      <c r="L337" s="439">
        <v>0</v>
      </c>
      <c r="M337" s="439">
        <f t="shared" si="346"/>
        <v>0</v>
      </c>
      <c r="N337" s="439">
        <v>0</v>
      </c>
      <c r="O337" s="439">
        <v>0</v>
      </c>
      <c r="P337" s="440">
        <v>0</v>
      </c>
      <c r="Q337" s="439">
        <v>0</v>
      </c>
      <c r="R337" s="439">
        <f t="shared" si="339"/>
        <v>0</v>
      </c>
      <c r="S337" s="439">
        <f t="shared" si="340"/>
        <v>0</v>
      </c>
      <c r="T337" s="441"/>
      <c r="U337" s="439">
        <v>0</v>
      </c>
      <c r="V337" s="439">
        <f t="shared" si="354"/>
        <v>0</v>
      </c>
      <c r="W337" s="439">
        <v>0</v>
      </c>
      <c r="X337" s="439">
        <v>0</v>
      </c>
      <c r="Y337" s="435">
        <f t="shared" si="342"/>
        <v>0</v>
      </c>
      <c r="Z337" s="439">
        <v>0</v>
      </c>
      <c r="AA337" s="439">
        <v>0</v>
      </c>
      <c r="AB337" s="439">
        <v>0</v>
      </c>
      <c r="AC337" s="439">
        <v>0</v>
      </c>
      <c r="AD337" s="439">
        <v>0</v>
      </c>
      <c r="AE337" s="439"/>
      <c r="AF337" s="439">
        <f t="shared" si="355"/>
        <v>0</v>
      </c>
      <c r="AG337" s="439">
        <v>0</v>
      </c>
      <c r="AH337" s="419">
        <f t="shared" si="336"/>
        <v>0</v>
      </c>
      <c r="AI337" s="439">
        <v>0</v>
      </c>
      <c r="AJ337" s="439">
        <v>0</v>
      </c>
      <c r="AK337" s="439">
        <f t="shared" si="356"/>
        <v>0</v>
      </c>
      <c r="AL337" s="439">
        <f t="shared" si="357"/>
        <v>0</v>
      </c>
      <c r="AM337" s="439">
        <f t="shared" si="358"/>
        <v>0</v>
      </c>
      <c r="AN337" s="438"/>
      <c r="AO337" s="438"/>
      <c r="AP337" s="438"/>
    </row>
    <row r="338" spans="1:42" ht="25.5">
      <c r="A338" s="412">
        <v>336</v>
      </c>
      <c r="B338" s="431"/>
      <c r="C338" s="432" t="s">
        <v>455</v>
      </c>
      <c r="D338" s="433" t="s">
        <v>11272</v>
      </c>
      <c r="E338" s="434"/>
      <c r="F338" s="435">
        <f>SUM(F339:F341)</f>
        <v>0</v>
      </c>
      <c r="G338" s="435">
        <v>0</v>
      </c>
      <c r="H338" s="435">
        <v>0</v>
      </c>
      <c r="I338" s="435">
        <f t="shared" si="344"/>
        <v>0</v>
      </c>
      <c r="J338" s="435">
        <f t="shared" si="345"/>
        <v>0</v>
      </c>
      <c r="K338" s="435">
        <v>0</v>
      </c>
      <c r="L338" s="435">
        <v>0</v>
      </c>
      <c r="M338" s="435">
        <f t="shared" si="346"/>
        <v>0</v>
      </c>
      <c r="N338" s="435">
        <v>0</v>
      </c>
      <c r="O338" s="435">
        <v>0</v>
      </c>
      <c r="P338" s="436">
        <v>0</v>
      </c>
      <c r="Q338" s="435">
        <f t="shared" ref="Q338" si="359">SUM(Q339:Q341)</f>
        <v>0</v>
      </c>
      <c r="R338" s="435">
        <f t="shared" si="339"/>
        <v>0</v>
      </c>
      <c r="S338" s="435">
        <f t="shared" si="340"/>
        <v>0</v>
      </c>
      <c r="T338" s="437"/>
      <c r="U338" s="435">
        <v>0</v>
      </c>
      <c r="V338" s="435">
        <f>SUM(V339:V341)</f>
        <v>0</v>
      </c>
      <c r="W338" s="435">
        <f>SUM(W339:W341)</f>
        <v>0</v>
      </c>
      <c r="X338" s="435">
        <f t="shared" ref="X338" si="360">SUM(X339:X341)</f>
        <v>0</v>
      </c>
      <c r="Y338" s="435">
        <f t="shared" si="342"/>
        <v>0</v>
      </c>
      <c r="Z338" s="435">
        <v>0</v>
      </c>
      <c r="AA338" s="435">
        <v>0</v>
      </c>
      <c r="AB338" s="435">
        <f t="shared" ref="AB338:AM338" si="361">SUM(AB339:AB341)</f>
        <v>0</v>
      </c>
      <c r="AC338" s="435">
        <f t="shared" si="361"/>
        <v>0</v>
      </c>
      <c r="AD338" s="435">
        <f t="shared" si="361"/>
        <v>0</v>
      </c>
      <c r="AE338" s="435"/>
      <c r="AF338" s="435">
        <f t="shared" si="361"/>
        <v>0</v>
      </c>
      <c r="AG338" s="435">
        <f t="shared" si="361"/>
        <v>0</v>
      </c>
      <c r="AH338" s="419">
        <f t="shared" si="336"/>
        <v>0</v>
      </c>
      <c r="AI338" s="435">
        <f t="shared" si="361"/>
        <v>0</v>
      </c>
      <c r="AJ338" s="435">
        <f t="shared" si="361"/>
        <v>0</v>
      </c>
      <c r="AK338" s="435">
        <f t="shared" si="361"/>
        <v>0</v>
      </c>
      <c r="AL338" s="435">
        <f t="shared" si="361"/>
        <v>0</v>
      </c>
      <c r="AM338" s="435">
        <f t="shared" si="361"/>
        <v>0</v>
      </c>
      <c r="AN338" s="438"/>
      <c r="AO338" s="438"/>
      <c r="AP338" s="438"/>
    </row>
    <row r="339" spans="1:42" ht="25.5">
      <c r="A339" s="412">
        <v>337</v>
      </c>
      <c r="B339" s="431" t="s">
        <v>1519</v>
      </c>
      <c r="C339" s="432" t="s">
        <v>456</v>
      </c>
      <c r="D339" s="433" t="s">
        <v>7724</v>
      </c>
      <c r="E339" s="434">
        <f>'PROSPETTO CE_IV TRIM 2024'!BM1085</f>
        <v>0</v>
      </c>
      <c r="F339" s="439">
        <f>+E339</f>
        <v>0</v>
      </c>
      <c r="G339" s="439">
        <v>0</v>
      </c>
      <c r="H339" s="439">
        <v>0</v>
      </c>
      <c r="I339" s="435">
        <f t="shared" si="344"/>
        <v>0</v>
      </c>
      <c r="J339" s="435">
        <f t="shared" si="345"/>
        <v>0</v>
      </c>
      <c r="K339" s="439">
        <v>0</v>
      </c>
      <c r="L339" s="439">
        <v>0</v>
      </c>
      <c r="M339" s="439">
        <f t="shared" si="346"/>
        <v>0</v>
      </c>
      <c r="N339" s="439">
        <v>0</v>
      </c>
      <c r="O339" s="439">
        <v>0</v>
      </c>
      <c r="P339" s="440">
        <v>0</v>
      </c>
      <c r="Q339" s="439">
        <v>0</v>
      </c>
      <c r="R339" s="439">
        <f t="shared" si="339"/>
        <v>0</v>
      </c>
      <c r="S339" s="439">
        <f t="shared" si="340"/>
        <v>0</v>
      </c>
      <c r="T339" s="441"/>
      <c r="U339" s="439">
        <v>0</v>
      </c>
      <c r="V339" s="439">
        <f>+AA339</f>
        <v>0</v>
      </c>
      <c r="W339" s="439">
        <v>0</v>
      </c>
      <c r="X339" s="439">
        <v>0</v>
      </c>
      <c r="Y339" s="435">
        <f t="shared" si="342"/>
        <v>0</v>
      </c>
      <c r="Z339" s="439">
        <v>0</v>
      </c>
      <c r="AA339" s="439">
        <v>0</v>
      </c>
      <c r="AB339" s="439">
        <v>0</v>
      </c>
      <c r="AC339" s="439">
        <v>0</v>
      </c>
      <c r="AD339" s="439">
        <v>0</v>
      </c>
      <c r="AE339" s="439"/>
      <c r="AF339" s="439">
        <v>0</v>
      </c>
      <c r="AG339" s="439">
        <v>0</v>
      </c>
      <c r="AH339" s="419">
        <f t="shared" si="336"/>
        <v>0</v>
      </c>
      <c r="AI339" s="439">
        <v>0</v>
      </c>
      <c r="AJ339" s="439">
        <v>0</v>
      </c>
      <c r="AK339" s="439">
        <f>AA339-W339</f>
        <v>0</v>
      </c>
      <c r="AL339" s="439">
        <f>AA339-AF339</f>
        <v>0</v>
      </c>
      <c r="AM339" s="439">
        <f>AA339-AD339</f>
        <v>0</v>
      </c>
      <c r="AN339" s="438"/>
      <c r="AO339" s="438"/>
      <c r="AP339" s="438"/>
    </row>
    <row r="340" spans="1:42" ht="25.5">
      <c r="A340" s="412">
        <v>338</v>
      </c>
      <c r="B340" s="431"/>
      <c r="C340" s="432" t="s">
        <v>458</v>
      </c>
      <c r="D340" s="433" t="s">
        <v>7729</v>
      </c>
      <c r="E340" s="434">
        <f>'PROSPETTO CE_IV TRIM 2024'!BM1087</f>
        <v>0</v>
      </c>
      <c r="F340" s="439">
        <f>+E340</f>
        <v>0</v>
      </c>
      <c r="G340" s="439">
        <v>0</v>
      </c>
      <c r="H340" s="439">
        <v>0</v>
      </c>
      <c r="I340" s="435">
        <f t="shared" si="344"/>
        <v>0</v>
      </c>
      <c r="J340" s="435">
        <f t="shared" si="345"/>
        <v>0</v>
      </c>
      <c r="K340" s="439">
        <v>0</v>
      </c>
      <c r="L340" s="439">
        <v>0</v>
      </c>
      <c r="M340" s="439">
        <f t="shared" si="346"/>
        <v>0</v>
      </c>
      <c r="N340" s="439">
        <v>0</v>
      </c>
      <c r="O340" s="439">
        <v>0</v>
      </c>
      <c r="P340" s="440">
        <v>0</v>
      </c>
      <c r="Q340" s="439">
        <v>0</v>
      </c>
      <c r="R340" s="439">
        <f t="shared" si="339"/>
        <v>0</v>
      </c>
      <c r="S340" s="439">
        <f t="shared" si="340"/>
        <v>0</v>
      </c>
      <c r="T340" s="441"/>
      <c r="U340" s="439">
        <v>0</v>
      </c>
      <c r="V340" s="439">
        <f>+AA340</f>
        <v>0</v>
      </c>
      <c r="W340" s="439">
        <v>0</v>
      </c>
      <c r="X340" s="439">
        <v>0</v>
      </c>
      <c r="Y340" s="435">
        <f t="shared" si="342"/>
        <v>0</v>
      </c>
      <c r="Z340" s="439">
        <v>0</v>
      </c>
      <c r="AA340" s="439">
        <v>0</v>
      </c>
      <c r="AB340" s="439">
        <v>0</v>
      </c>
      <c r="AC340" s="439">
        <v>0</v>
      </c>
      <c r="AD340" s="439">
        <v>0</v>
      </c>
      <c r="AE340" s="439"/>
      <c r="AF340" s="439">
        <v>0</v>
      </c>
      <c r="AG340" s="439">
        <v>0</v>
      </c>
      <c r="AH340" s="419">
        <f t="shared" si="336"/>
        <v>0</v>
      </c>
      <c r="AI340" s="439">
        <v>0</v>
      </c>
      <c r="AJ340" s="439">
        <v>0</v>
      </c>
      <c r="AK340" s="439">
        <f>AA340-W340</f>
        <v>0</v>
      </c>
      <c r="AL340" s="439">
        <f>AA340-AF340</f>
        <v>0</v>
      </c>
      <c r="AM340" s="439">
        <f>AA340-AD340</f>
        <v>0</v>
      </c>
      <c r="AN340" s="438"/>
      <c r="AO340" s="438"/>
      <c r="AP340" s="438"/>
    </row>
    <row r="341" spans="1:42" ht="25.5">
      <c r="A341" s="412">
        <v>339</v>
      </c>
      <c r="B341" s="431" t="s">
        <v>1340</v>
      </c>
      <c r="C341" s="432" t="s">
        <v>460</v>
      </c>
      <c r="D341" s="433" t="s">
        <v>7732</v>
      </c>
      <c r="E341" s="434">
        <f>'PROSPETTO CE_IV TRIM 2024'!BM1088</f>
        <v>0</v>
      </c>
      <c r="F341" s="439">
        <f>+E341</f>
        <v>0</v>
      </c>
      <c r="G341" s="439">
        <v>0</v>
      </c>
      <c r="H341" s="439">
        <v>0</v>
      </c>
      <c r="I341" s="435">
        <f t="shared" si="344"/>
        <v>0</v>
      </c>
      <c r="J341" s="435">
        <f t="shared" si="345"/>
        <v>0</v>
      </c>
      <c r="K341" s="439">
        <v>0</v>
      </c>
      <c r="L341" s="439">
        <v>0</v>
      </c>
      <c r="M341" s="439">
        <f t="shared" si="346"/>
        <v>0</v>
      </c>
      <c r="N341" s="439">
        <v>0</v>
      </c>
      <c r="O341" s="439">
        <v>0</v>
      </c>
      <c r="P341" s="440">
        <v>0</v>
      </c>
      <c r="Q341" s="439">
        <v>0</v>
      </c>
      <c r="R341" s="439">
        <f t="shared" si="339"/>
        <v>0</v>
      </c>
      <c r="S341" s="439">
        <f t="shared" si="340"/>
        <v>0</v>
      </c>
      <c r="T341" s="441"/>
      <c r="U341" s="439">
        <v>0</v>
      </c>
      <c r="V341" s="439">
        <f>+AA341</f>
        <v>0</v>
      </c>
      <c r="W341" s="439">
        <v>0</v>
      </c>
      <c r="X341" s="439">
        <v>0</v>
      </c>
      <c r="Y341" s="435">
        <f t="shared" si="342"/>
        <v>0</v>
      </c>
      <c r="Z341" s="439">
        <v>0</v>
      </c>
      <c r="AA341" s="439">
        <v>0</v>
      </c>
      <c r="AB341" s="439">
        <v>0</v>
      </c>
      <c r="AC341" s="439">
        <v>0</v>
      </c>
      <c r="AD341" s="439">
        <v>0</v>
      </c>
      <c r="AE341" s="439"/>
      <c r="AF341" s="439">
        <v>0</v>
      </c>
      <c r="AG341" s="439">
        <v>0</v>
      </c>
      <c r="AH341" s="419">
        <f t="shared" si="336"/>
        <v>0</v>
      </c>
      <c r="AI341" s="439">
        <v>0</v>
      </c>
      <c r="AJ341" s="439">
        <v>0</v>
      </c>
      <c r="AK341" s="439">
        <f>AA341-W341</f>
        <v>0</v>
      </c>
      <c r="AL341" s="439">
        <f>AA341-AF341</f>
        <v>0</v>
      </c>
      <c r="AM341" s="439">
        <f>AA341-AD341</f>
        <v>0</v>
      </c>
      <c r="AN341" s="438"/>
      <c r="AO341" s="438"/>
      <c r="AP341" s="438"/>
    </row>
    <row r="342" spans="1:42" ht="12.75">
      <c r="A342" s="412">
        <v>340</v>
      </c>
      <c r="B342" s="431"/>
      <c r="C342" s="432" t="s">
        <v>8046</v>
      </c>
      <c r="D342" s="433" t="s">
        <v>8049</v>
      </c>
      <c r="E342" s="434"/>
      <c r="F342" s="435">
        <f>+F343+F344</f>
        <v>110644.91</v>
      </c>
      <c r="G342" s="435">
        <v>73162.210000000006</v>
      </c>
      <c r="H342" s="435">
        <v>110644.91</v>
      </c>
      <c r="I342" s="435">
        <f t="shared" si="344"/>
        <v>0</v>
      </c>
      <c r="J342" s="435">
        <f t="shared" si="345"/>
        <v>0</v>
      </c>
      <c r="K342" s="435">
        <v>110644.91</v>
      </c>
      <c r="L342" s="435">
        <v>110644.91</v>
      </c>
      <c r="M342" s="435">
        <f t="shared" si="346"/>
        <v>95449.31</v>
      </c>
      <c r="N342" s="435">
        <v>107864.33739999999</v>
      </c>
      <c r="O342" s="435">
        <v>107864.33739999999</v>
      </c>
      <c r="P342" s="436">
        <v>15195.6</v>
      </c>
      <c r="Q342" s="435">
        <f t="shared" ref="Q342" si="362">+Q343+Q344</f>
        <v>73162.210000000006</v>
      </c>
      <c r="R342" s="435">
        <f t="shared" si="339"/>
        <v>-92668.737399999984</v>
      </c>
      <c r="S342" s="435">
        <f t="shared" si="340"/>
        <v>-34702.127399999983</v>
      </c>
      <c r="T342" s="437">
        <f t="shared" ref="T342:T348" si="363">(F342-P342)/F342*100</f>
        <v>86.266336155906316</v>
      </c>
      <c r="U342" s="435">
        <v>15195.6</v>
      </c>
      <c r="V342" s="435">
        <f>+V343+V344</f>
        <v>15195.6</v>
      </c>
      <c r="W342" s="435">
        <f>+W343+W344</f>
        <v>310875</v>
      </c>
      <c r="X342" s="435">
        <f t="shared" ref="X342" si="364">+X343+X344</f>
        <v>73162.210000000006</v>
      </c>
      <c r="Y342" s="435">
        <f t="shared" si="342"/>
        <v>120703.53818181818</v>
      </c>
      <c r="Z342" s="435">
        <v>15195.6</v>
      </c>
      <c r="AA342" s="435">
        <v>15195.6</v>
      </c>
      <c r="AB342" s="435">
        <f t="shared" ref="AB342:AM342" si="365">+AB343+AB344</f>
        <v>54850</v>
      </c>
      <c r="AC342" s="435">
        <f t="shared" si="365"/>
        <v>31549.940000000002</v>
      </c>
      <c r="AD342" s="435">
        <f t="shared" si="365"/>
        <v>73162.210000000006</v>
      </c>
      <c r="AE342" s="435"/>
      <c r="AF342" s="435">
        <f t="shared" si="365"/>
        <v>63099.880000000005</v>
      </c>
      <c r="AG342" s="435">
        <f t="shared" si="365"/>
        <v>0</v>
      </c>
      <c r="AH342" s="419">
        <f t="shared" si="336"/>
        <v>-110644.91</v>
      </c>
      <c r="AI342" s="435">
        <f t="shared" si="365"/>
        <v>0</v>
      </c>
      <c r="AJ342" s="435">
        <f t="shared" si="365"/>
        <v>0</v>
      </c>
      <c r="AK342" s="435">
        <f t="shared" si="365"/>
        <v>-295679.40000000002</v>
      </c>
      <c r="AL342" s="435">
        <f t="shared" si="365"/>
        <v>-47904.28</v>
      </c>
      <c r="AM342" s="435">
        <f t="shared" si="365"/>
        <v>-57966.61</v>
      </c>
      <c r="AN342" s="438"/>
      <c r="AO342" s="438"/>
      <c r="AP342" s="438"/>
    </row>
    <row r="343" spans="1:42" ht="12.75">
      <c r="A343" s="412">
        <v>341</v>
      </c>
      <c r="B343" s="431"/>
      <c r="C343" s="432" t="s">
        <v>462</v>
      </c>
      <c r="D343" s="433" t="s">
        <v>8053</v>
      </c>
      <c r="E343" s="434">
        <f>'PROSPETTO CE_IV TRIM 2024'!BM1238</f>
        <v>75000</v>
      </c>
      <c r="F343" s="439">
        <f>+E343</f>
        <v>75000</v>
      </c>
      <c r="G343" s="439">
        <v>42861.58</v>
      </c>
      <c r="H343" s="439">
        <v>75000</v>
      </c>
      <c r="I343" s="435">
        <f t="shared" si="344"/>
        <v>0</v>
      </c>
      <c r="J343" s="435">
        <f t="shared" si="345"/>
        <v>0</v>
      </c>
      <c r="K343" s="439">
        <v>75000</v>
      </c>
      <c r="L343" s="439">
        <v>75000</v>
      </c>
      <c r="M343" s="439">
        <f t="shared" si="346"/>
        <v>75000</v>
      </c>
      <c r="N343" s="439">
        <v>75000</v>
      </c>
      <c r="O343" s="439">
        <v>75000</v>
      </c>
      <c r="P343" s="440">
        <v>0</v>
      </c>
      <c r="Q343" s="439">
        <v>42861.58</v>
      </c>
      <c r="R343" s="439">
        <f t="shared" si="339"/>
        <v>-75000</v>
      </c>
      <c r="S343" s="439">
        <f t="shared" si="340"/>
        <v>-32138.42</v>
      </c>
      <c r="T343" s="441">
        <f t="shared" si="363"/>
        <v>100</v>
      </c>
      <c r="U343" s="439">
        <v>0</v>
      </c>
      <c r="V343" s="439">
        <f>+AA343</f>
        <v>0</v>
      </c>
      <c r="W343" s="439">
        <v>300000</v>
      </c>
      <c r="X343" s="439">
        <v>42861.58</v>
      </c>
      <c r="Y343" s="435">
        <f t="shared" si="342"/>
        <v>81818.181818181823</v>
      </c>
      <c r="Z343" s="439">
        <v>0</v>
      </c>
      <c r="AA343" s="439">
        <v>0</v>
      </c>
      <c r="AB343" s="439">
        <v>50000</v>
      </c>
      <c r="AC343" s="439">
        <v>21430.79</v>
      </c>
      <c r="AD343" s="439">
        <v>42861.58</v>
      </c>
      <c r="AE343" s="439"/>
      <c r="AF343" s="439">
        <f>AC343*2</f>
        <v>42861.58</v>
      </c>
      <c r="AG343" s="439"/>
      <c r="AH343" s="419">
        <f t="shared" si="336"/>
        <v>-75000</v>
      </c>
      <c r="AI343" s="439"/>
      <c r="AJ343" s="439"/>
      <c r="AK343" s="439">
        <f>AA343-W343</f>
        <v>-300000</v>
      </c>
      <c r="AL343" s="439">
        <f>AA343-AF343</f>
        <v>-42861.58</v>
      </c>
      <c r="AM343" s="439">
        <f>AA343-AD343</f>
        <v>-42861.58</v>
      </c>
      <c r="AN343" s="438"/>
      <c r="AO343" s="438"/>
      <c r="AP343" s="438"/>
    </row>
    <row r="344" spans="1:42" ht="12.75">
      <c r="A344" s="412">
        <v>342</v>
      </c>
      <c r="B344" s="431"/>
      <c r="C344" s="432" t="s">
        <v>463</v>
      </c>
      <c r="D344" s="433" t="s">
        <v>8067</v>
      </c>
      <c r="E344" s="434">
        <f>'PROSPETTO CE_IV TRIM 2024'!BM1244</f>
        <v>35644.910000000003</v>
      </c>
      <c r="F344" s="439">
        <f>+E344</f>
        <v>35644.910000000003</v>
      </c>
      <c r="G344" s="439">
        <v>30300.63</v>
      </c>
      <c r="H344" s="439">
        <v>35644.910000000003</v>
      </c>
      <c r="I344" s="435">
        <f t="shared" si="344"/>
        <v>0</v>
      </c>
      <c r="J344" s="435">
        <f t="shared" si="345"/>
        <v>0</v>
      </c>
      <c r="K344" s="439">
        <v>35644.910000000003</v>
      </c>
      <c r="L344" s="439">
        <v>35644.910000000003</v>
      </c>
      <c r="M344" s="439">
        <f t="shared" si="346"/>
        <v>20449.310000000005</v>
      </c>
      <c r="N344" s="439">
        <v>32864.337399999997</v>
      </c>
      <c r="O344" s="439">
        <v>32864.337399999997</v>
      </c>
      <c r="P344" s="440">
        <v>15195.6</v>
      </c>
      <c r="Q344" s="439">
        <v>30300.63</v>
      </c>
      <c r="R344" s="439">
        <f t="shared" si="339"/>
        <v>-17668.737399999998</v>
      </c>
      <c r="S344" s="439">
        <f t="shared" si="340"/>
        <v>-2563.7073999999957</v>
      </c>
      <c r="T344" s="441">
        <f t="shared" si="363"/>
        <v>57.369509419437456</v>
      </c>
      <c r="U344" s="439">
        <v>15195.6</v>
      </c>
      <c r="V344" s="439">
        <f>+AA344</f>
        <v>15195.6</v>
      </c>
      <c r="W344" s="439">
        <v>10875</v>
      </c>
      <c r="X344" s="439">
        <v>30300.63</v>
      </c>
      <c r="Y344" s="435">
        <f t="shared" si="342"/>
        <v>38885.356363636369</v>
      </c>
      <c r="Z344" s="439">
        <v>15195.6</v>
      </c>
      <c r="AA344" s="439">
        <v>15195.6</v>
      </c>
      <c r="AB344" s="439">
        <v>4850</v>
      </c>
      <c r="AC344" s="439">
        <v>10119.15</v>
      </c>
      <c r="AD344" s="439">
        <v>30300.63</v>
      </c>
      <c r="AE344" s="439"/>
      <c r="AF344" s="439">
        <f>AC344*2</f>
        <v>20238.3</v>
      </c>
      <c r="AG344" s="439"/>
      <c r="AH344" s="419">
        <f t="shared" si="336"/>
        <v>-35644.910000000003</v>
      </c>
      <c r="AI344" s="439"/>
      <c r="AJ344" s="439"/>
      <c r="AK344" s="439">
        <f>AA344-W344</f>
        <v>4320.6000000000004</v>
      </c>
      <c r="AL344" s="439">
        <f>AA344-AF344</f>
        <v>-5042.6999999999989</v>
      </c>
      <c r="AM344" s="439">
        <f>AA344-AD344</f>
        <v>-15105.03</v>
      </c>
      <c r="AN344" s="438"/>
      <c r="AO344" s="438"/>
      <c r="AP344" s="438"/>
    </row>
    <row r="345" spans="1:42" ht="12.75">
      <c r="A345" s="412">
        <v>343</v>
      </c>
      <c r="B345" s="431"/>
      <c r="C345" s="432" t="s">
        <v>565</v>
      </c>
      <c r="D345" s="433" t="s">
        <v>8096</v>
      </c>
      <c r="E345" s="434"/>
      <c r="F345" s="435">
        <f>SUM(F346:F352)</f>
        <v>6729867.25</v>
      </c>
      <c r="G345" s="435">
        <v>8745166.0199999996</v>
      </c>
      <c r="H345" s="435">
        <v>6694825.3801799994</v>
      </c>
      <c r="I345" s="435">
        <f t="shared" si="344"/>
        <v>35041.869820000604</v>
      </c>
      <c r="J345" s="435">
        <f t="shared" si="345"/>
        <v>35041.869820000604</v>
      </c>
      <c r="K345" s="435">
        <v>6694825.3801799994</v>
      </c>
      <c r="L345" s="435">
        <v>7533166.2101799995</v>
      </c>
      <c r="M345" s="435">
        <f t="shared" si="346"/>
        <v>-1261656.7649999997</v>
      </c>
      <c r="N345" s="435">
        <v>7533166.2101799995</v>
      </c>
      <c r="O345" s="435">
        <v>7533166.2101799995</v>
      </c>
      <c r="P345" s="436">
        <v>7991524.0149999997</v>
      </c>
      <c r="Q345" s="435">
        <f t="shared" ref="Q345" si="366">SUM(Q346:Q352)</f>
        <v>8745166.0199999996</v>
      </c>
      <c r="R345" s="435">
        <f t="shared" si="339"/>
        <v>458357.80482000019</v>
      </c>
      <c r="S345" s="435">
        <f t="shared" si="340"/>
        <v>1211999.8098200001</v>
      </c>
      <c r="T345" s="437">
        <f t="shared" si="363"/>
        <v>-18.747127070002751</v>
      </c>
      <c r="U345" s="435">
        <v>4574154.7699999996</v>
      </c>
      <c r="V345" s="435">
        <f>SUM(V346:V352)</f>
        <v>7991524.0149999997</v>
      </c>
      <c r="W345" s="435">
        <f>SUM(W346:W352)</f>
        <v>8686811</v>
      </c>
      <c r="X345" s="435">
        <f t="shared" ref="X345" si="367">SUM(X346:X352)</f>
        <v>8745166.0199999996</v>
      </c>
      <c r="Y345" s="435">
        <f t="shared" si="342"/>
        <v>7341673.3636363633</v>
      </c>
      <c r="Z345" s="435">
        <v>7991881.836666666</v>
      </c>
      <c r="AA345" s="435">
        <v>7991524.0149999997</v>
      </c>
      <c r="AB345" s="435">
        <f t="shared" ref="AB345:AM345" si="368">SUM(AB346:AB352)</f>
        <v>2194364.75</v>
      </c>
      <c r="AC345" s="435">
        <f t="shared" si="368"/>
        <v>4376730.3099999996</v>
      </c>
      <c r="AD345" s="435">
        <f t="shared" si="368"/>
        <v>8745166.0199999996</v>
      </c>
      <c r="AE345" s="435"/>
      <c r="AF345" s="435">
        <f t="shared" si="368"/>
        <v>8753460.6199999992</v>
      </c>
      <c r="AG345" s="435">
        <f t="shared" si="368"/>
        <v>0</v>
      </c>
      <c r="AH345" s="419">
        <f t="shared" si="336"/>
        <v>-6729867.25</v>
      </c>
      <c r="AI345" s="435">
        <f t="shared" si="368"/>
        <v>0</v>
      </c>
      <c r="AJ345" s="435">
        <f t="shared" si="368"/>
        <v>0</v>
      </c>
      <c r="AK345" s="435">
        <f t="shared" si="368"/>
        <v>-695286.98499999987</v>
      </c>
      <c r="AL345" s="435">
        <f t="shared" si="368"/>
        <v>-761936.60499999986</v>
      </c>
      <c r="AM345" s="435">
        <f t="shared" si="368"/>
        <v>-753642.00499999989</v>
      </c>
      <c r="AN345" s="438"/>
      <c r="AO345" s="438"/>
      <c r="AP345" s="438"/>
    </row>
    <row r="346" spans="1:42" ht="12.75">
      <c r="A346" s="412">
        <v>344</v>
      </c>
      <c r="B346" s="431"/>
      <c r="C346" s="432" t="s">
        <v>464</v>
      </c>
      <c r="D346" s="433" t="s">
        <v>11273</v>
      </c>
      <c r="E346" s="434">
        <f>'PROSPETTO CE_IV TRIM 2024'!BM1260</f>
        <v>212556.79</v>
      </c>
      <c r="F346" s="439">
        <f t="shared" ref="F346:F352" si="369">+E346</f>
        <v>212556.79</v>
      </c>
      <c r="G346" s="439">
        <v>1727528.75</v>
      </c>
      <c r="H346" s="439">
        <v>212556.79</v>
      </c>
      <c r="I346" s="435">
        <f t="shared" si="344"/>
        <v>0</v>
      </c>
      <c r="J346" s="435">
        <f t="shared" si="345"/>
        <v>0</v>
      </c>
      <c r="K346" s="439">
        <v>212556.79000000004</v>
      </c>
      <c r="L346" s="439">
        <v>1050897.6200000001</v>
      </c>
      <c r="M346" s="439">
        <f t="shared" si="346"/>
        <v>-1331536.58</v>
      </c>
      <c r="N346" s="439">
        <v>1050897.6200000001</v>
      </c>
      <c r="O346" s="439">
        <v>1050897.6200000001</v>
      </c>
      <c r="P346" s="440">
        <v>1544093.37</v>
      </c>
      <c r="Q346" s="439">
        <v>1727528.75</v>
      </c>
      <c r="R346" s="439">
        <f t="shared" si="339"/>
        <v>493195.75</v>
      </c>
      <c r="S346" s="439">
        <f t="shared" si="340"/>
        <v>676631.12999999989</v>
      </c>
      <c r="T346" s="441">
        <f t="shared" si="363"/>
        <v>-626.43803568919157</v>
      </c>
      <c r="U346" s="439">
        <v>829665.13</v>
      </c>
      <c r="V346" s="439">
        <f t="shared" ref="V346:V352" si="370">+AA346</f>
        <v>1544093.37</v>
      </c>
      <c r="W346" s="439">
        <v>1727529</v>
      </c>
      <c r="X346" s="439">
        <v>1727528.75</v>
      </c>
      <c r="Y346" s="435">
        <f t="shared" si="342"/>
        <v>231880.13454545458</v>
      </c>
      <c r="Z346" s="439">
        <v>1544451.0100000002</v>
      </c>
      <c r="AA346" s="439">
        <v>1544093.37</v>
      </c>
      <c r="AB346" s="439">
        <v>524873</v>
      </c>
      <c r="AC346" s="439">
        <v>863857.745</v>
      </c>
      <c r="AD346" s="439">
        <v>1727528.75</v>
      </c>
      <c r="AE346" s="439"/>
      <c r="AF346" s="439">
        <f t="shared" ref="AF346:AF352" si="371">AC346*2</f>
        <v>1727715.49</v>
      </c>
      <c r="AG346" s="439"/>
      <c r="AH346" s="419">
        <f t="shared" si="336"/>
        <v>-212556.79</v>
      </c>
      <c r="AI346" s="439"/>
      <c r="AJ346" s="439"/>
      <c r="AK346" s="439">
        <f t="shared" ref="AK346:AK352" si="372">AA346-W346</f>
        <v>-183435.62999999989</v>
      </c>
      <c r="AL346" s="439">
        <f t="shared" ref="AL346:AL352" si="373">AA346-AF346</f>
        <v>-183622.11999999988</v>
      </c>
      <c r="AM346" s="439">
        <f t="shared" ref="AM346:AM352" si="374">AA346-AD346</f>
        <v>-183435.37999999989</v>
      </c>
      <c r="AN346" s="438"/>
      <c r="AO346" s="438"/>
      <c r="AP346" s="438"/>
    </row>
    <row r="347" spans="1:42" ht="12.75">
      <c r="A347" s="412">
        <v>345</v>
      </c>
      <c r="B347" s="431"/>
      <c r="C347" s="432" t="s">
        <v>465</v>
      </c>
      <c r="D347" s="433" t="s">
        <v>11274</v>
      </c>
      <c r="E347" s="434">
        <f>'PROSPETTO CE_IV TRIM 2024'!BM1266</f>
        <v>2414747.92</v>
      </c>
      <c r="F347" s="439">
        <f t="shared" si="369"/>
        <v>2414747.92</v>
      </c>
      <c r="G347" s="439">
        <v>2955143.6</v>
      </c>
      <c r="H347" s="439">
        <v>2379706.0506000002</v>
      </c>
      <c r="I347" s="435">
        <f t="shared" si="344"/>
        <v>35041.869399999734</v>
      </c>
      <c r="J347" s="435">
        <f t="shared" si="345"/>
        <v>35041.869399999734</v>
      </c>
      <c r="K347" s="439">
        <v>2379706.0506000002</v>
      </c>
      <c r="L347" s="439">
        <v>2379706.0506000002</v>
      </c>
      <c r="M347" s="439">
        <f t="shared" si="346"/>
        <v>-107024.08000000007</v>
      </c>
      <c r="N347" s="439">
        <v>2379706.0506000002</v>
      </c>
      <c r="O347" s="439">
        <v>2379706.0506000002</v>
      </c>
      <c r="P347" s="440">
        <v>2521772</v>
      </c>
      <c r="Q347" s="439">
        <v>2955143.6</v>
      </c>
      <c r="R347" s="439">
        <f t="shared" si="339"/>
        <v>142065.94939999981</v>
      </c>
      <c r="S347" s="439">
        <f t="shared" si="340"/>
        <v>575437.5493999999</v>
      </c>
      <c r="T347" s="441">
        <f t="shared" si="363"/>
        <v>-4.4321015503763261</v>
      </c>
      <c r="U347" s="439">
        <v>1117982.8600000001</v>
      </c>
      <c r="V347" s="439">
        <f t="shared" si="370"/>
        <v>2521772</v>
      </c>
      <c r="W347" s="439">
        <v>2864555</v>
      </c>
      <c r="X347" s="439">
        <v>2955143.6</v>
      </c>
      <c r="Y347" s="435">
        <f t="shared" si="342"/>
        <v>2634270.458181818</v>
      </c>
      <c r="Z347" s="439">
        <v>2521772.166666667</v>
      </c>
      <c r="AA347" s="439">
        <v>2521772</v>
      </c>
      <c r="AB347" s="439">
        <v>716138.75</v>
      </c>
      <c r="AC347" s="439">
        <v>1477571.8</v>
      </c>
      <c r="AD347" s="439">
        <v>2955143.6</v>
      </c>
      <c r="AE347" s="439"/>
      <c r="AF347" s="439">
        <f t="shared" si="371"/>
        <v>2955143.6</v>
      </c>
      <c r="AG347" s="439"/>
      <c r="AH347" s="419">
        <f t="shared" si="336"/>
        <v>-2414747.92</v>
      </c>
      <c r="AI347" s="439"/>
      <c r="AJ347" s="439"/>
      <c r="AK347" s="439">
        <f t="shared" si="372"/>
        <v>-342783</v>
      </c>
      <c r="AL347" s="439">
        <f t="shared" si="373"/>
        <v>-433371.60000000009</v>
      </c>
      <c r="AM347" s="439">
        <f t="shared" si="374"/>
        <v>-433371.60000000009</v>
      </c>
      <c r="AN347" s="438"/>
      <c r="AO347" s="438"/>
      <c r="AP347" s="438"/>
    </row>
    <row r="348" spans="1:42" ht="25.5">
      <c r="A348" s="412">
        <v>346</v>
      </c>
      <c r="B348" s="431"/>
      <c r="C348" s="432" t="s">
        <v>466</v>
      </c>
      <c r="D348" s="433" t="s">
        <v>11275</v>
      </c>
      <c r="E348" s="434">
        <f>'PROSPETTO CE_IV TRIM 2024'!BM1274</f>
        <v>4097117.36</v>
      </c>
      <c r="F348" s="439">
        <f t="shared" si="369"/>
        <v>4097117.36</v>
      </c>
      <c r="G348" s="439">
        <v>4061788.67</v>
      </c>
      <c r="H348" s="439">
        <v>4097117.3595799999</v>
      </c>
      <c r="I348" s="435">
        <f t="shared" si="344"/>
        <v>4.1999993845820427E-4</v>
      </c>
      <c r="J348" s="435">
        <f t="shared" si="345"/>
        <v>4.1999993845820427E-4</v>
      </c>
      <c r="K348" s="439">
        <v>4097117.3595799999</v>
      </c>
      <c r="L348" s="439">
        <v>4097117.3595799999</v>
      </c>
      <c r="M348" s="439">
        <f t="shared" si="346"/>
        <v>178068.35999999987</v>
      </c>
      <c r="N348" s="439">
        <v>4097117.3595799999</v>
      </c>
      <c r="O348" s="439">
        <v>4097117.3595799999</v>
      </c>
      <c r="P348" s="443">
        <v>3919049</v>
      </c>
      <c r="Q348" s="439">
        <v>4061788.67</v>
      </c>
      <c r="R348" s="439">
        <f t="shared" si="339"/>
        <v>-178068.35957999993</v>
      </c>
      <c r="S348" s="439">
        <f t="shared" si="340"/>
        <v>-35328.689580000006</v>
      </c>
      <c r="T348" s="441">
        <f t="shared" si="363"/>
        <v>4.3461864612050043</v>
      </c>
      <c r="U348" s="439">
        <v>2621505.35</v>
      </c>
      <c r="V348" s="439">
        <f t="shared" si="370"/>
        <v>3919049</v>
      </c>
      <c r="W348" s="439">
        <v>4094727</v>
      </c>
      <c r="X348" s="439">
        <v>4061788.67</v>
      </c>
      <c r="Y348" s="435">
        <f t="shared" si="342"/>
        <v>4469582.5745454542</v>
      </c>
      <c r="Z348" s="439">
        <v>3919049.0149999997</v>
      </c>
      <c r="AA348" s="439">
        <v>3919049</v>
      </c>
      <c r="AB348" s="439">
        <v>948947</v>
      </c>
      <c r="AC348" s="439">
        <v>2030894.335</v>
      </c>
      <c r="AD348" s="439">
        <v>4061788.67</v>
      </c>
      <c r="AE348" s="439"/>
      <c r="AF348" s="439">
        <f t="shared" si="371"/>
        <v>4061788.67</v>
      </c>
      <c r="AG348" s="439"/>
      <c r="AH348" s="419">
        <f t="shared" si="336"/>
        <v>-4097117.36</v>
      </c>
      <c r="AI348" s="439"/>
      <c r="AJ348" s="439"/>
      <c r="AK348" s="439">
        <f t="shared" si="372"/>
        <v>-175678</v>
      </c>
      <c r="AL348" s="439">
        <f t="shared" si="373"/>
        <v>-142739.66999999993</v>
      </c>
      <c r="AM348" s="439">
        <f t="shared" si="374"/>
        <v>-142739.66999999993</v>
      </c>
      <c r="AN348" s="438"/>
      <c r="AO348" s="438"/>
      <c r="AP348" s="438"/>
    </row>
    <row r="349" spans="1:42" ht="12.75">
      <c r="A349" s="412">
        <v>347</v>
      </c>
      <c r="B349" s="431"/>
      <c r="C349" s="432" t="s">
        <v>467</v>
      </c>
      <c r="D349" s="433" t="s">
        <v>11276</v>
      </c>
      <c r="E349" s="434">
        <f>'PROSPETTO CE_IV TRIM 2024'!BM1280</f>
        <v>0</v>
      </c>
      <c r="F349" s="439">
        <f t="shared" si="369"/>
        <v>0</v>
      </c>
      <c r="G349" s="439">
        <v>0</v>
      </c>
      <c r="H349" s="439">
        <v>0</v>
      </c>
      <c r="I349" s="435">
        <f t="shared" si="344"/>
        <v>0</v>
      </c>
      <c r="J349" s="435">
        <f t="shared" si="345"/>
        <v>0</v>
      </c>
      <c r="K349" s="439">
        <v>0</v>
      </c>
      <c r="L349" s="439">
        <v>0</v>
      </c>
      <c r="M349" s="439">
        <f t="shared" si="346"/>
        <v>0</v>
      </c>
      <c r="N349" s="439">
        <v>0</v>
      </c>
      <c r="O349" s="439">
        <v>0</v>
      </c>
      <c r="P349" s="440">
        <v>0</v>
      </c>
      <c r="Q349" s="439">
        <v>0</v>
      </c>
      <c r="R349" s="439">
        <f t="shared" si="339"/>
        <v>0</v>
      </c>
      <c r="S349" s="439">
        <f t="shared" si="340"/>
        <v>0</v>
      </c>
      <c r="T349" s="441"/>
      <c r="U349" s="439">
        <v>0</v>
      </c>
      <c r="V349" s="439">
        <f t="shared" si="370"/>
        <v>0</v>
      </c>
      <c r="W349" s="439">
        <v>0</v>
      </c>
      <c r="X349" s="439">
        <v>0</v>
      </c>
      <c r="Y349" s="435">
        <f t="shared" si="342"/>
        <v>0</v>
      </c>
      <c r="Z349" s="439">
        <v>0</v>
      </c>
      <c r="AA349" s="439">
        <v>0</v>
      </c>
      <c r="AB349" s="439">
        <v>0</v>
      </c>
      <c r="AC349" s="439">
        <v>0</v>
      </c>
      <c r="AD349" s="439">
        <v>0</v>
      </c>
      <c r="AE349" s="439"/>
      <c r="AF349" s="439">
        <f t="shared" si="371"/>
        <v>0</v>
      </c>
      <c r="AG349" s="439"/>
      <c r="AH349" s="419">
        <f t="shared" si="336"/>
        <v>0</v>
      </c>
      <c r="AI349" s="439"/>
      <c r="AJ349" s="439"/>
      <c r="AK349" s="439">
        <f t="shared" si="372"/>
        <v>0</v>
      </c>
      <c r="AL349" s="439">
        <f t="shared" si="373"/>
        <v>0</v>
      </c>
      <c r="AM349" s="439">
        <f t="shared" si="374"/>
        <v>0</v>
      </c>
      <c r="AN349" s="438"/>
      <c r="AO349" s="438"/>
      <c r="AP349" s="438"/>
    </row>
    <row r="350" spans="1:42" ht="12.75">
      <c r="A350" s="412">
        <v>348</v>
      </c>
      <c r="B350" s="431"/>
      <c r="C350" s="432" t="s">
        <v>468</v>
      </c>
      <c r="D350" s="433" t="s">
        <v>11277</v>
      </c>
      <c r="E350" s="434">
        <f>'PROSPETTO CE_IV TRIM 2024'!BM1283</f>
        <v>5280.18</v>
      </c>
      <c r="F350" s="439">
        <f t="shared" si="369"/>
        <v>5280.18</v>
      </c>
      <c r="G350" s="439">
        <v>0</v>
      </c>
      <c r="H350" s="439">
        <v>5280.18</v>
      </c>
      <c r="I350" s="435">
        <f t="shared" si="344"/>
        <v>0</v>
      </c>
      <c r="J350" s="435">
        <f t="shared" si="345"/>
        <v>0</v>
      </c>
      <c r="K350" s="439">
        <v>5280.18</v>
      </c>
      <c r="L350" s="439">
        <v>5280.18</v>
      </c>
      <c r="M350" s="439">
        <f t="shared" si="346"/>
        <v>-1329.4650000000001</v>
      </c>
      <c r="N350" s="439">
        <v>5280.18</v>
      </c>
      <c r="O350" s="439">
        <v>5280.18</v>
      </c>
      <c r="P350" s="440">
        <v>6609.6450000000004</v>
      </c>
      <c r="Q350" s="439">
        <v>0</v>
      </c>
      <c r="R350" s="439">
        <f t="shared" si="339"/>
        <v>1329.4650000000001</v>
      </c>
      <c r="S350" s="439">
        <f t="shared" si="340"/>
        <v>-5280.18</v>
      </c>
      <c r="T350" s="441">
        <f>(F350-P350)/F350*100</f>
        <v>-25.178403008988333</v>
      </c>
      <c r="U350" s="439">
        <v>4906.43</v>
      </c>
      <c r="V350" s="439">
        <f t="shared" si="370"/>
        <v>6609.6450000000004</v>
      </c>
      <c r="W350" s="439">
        <v>0</v>
      </c>
      <c r="X350" s="439">
        <v>0</v>
      </c>
      <c r="Y350" s="435">
        <f t="shared" si="342"/>
        <v>5760.1963636363644</v>
      </c>
      <c r="Z350" s="439">
        <v>6609.6450000000004</v>
      </c>
      <c r="AA350" s="439">
        <v>6609.6450000000004</v>
      </c>
      <c r="AB350" s="439">
        <v>4406</v>
      </c>
      <c r="AC350" s="439">
        <v>4406.43</v>
      </c>
      <c r="AD350" s="439">
        <v>0</v>
      </c>
      <c r="AE350" s="439"/>
      <c r="AF350" s="439">
        <f t="shared" si="371"/>
        <v>8812.86</v>
      </c>
      <c r="AG350" s="439"/>
      <c r="AH350" s="419">
        <f t="shared" si="336"/>
        <v>-5280.18</v>
      </c>
      <c r="AI350" s="439"/>
      <c r="AJ350" s="439"/>
      <c r="AK350" s="439">
        <f t="shared" si="372"/>
        <v>6609.6450000000004</v>
      </c>
      <c r="AL350" s="439">
        <f t="shared" si="373"/>
        <v>-2203.2150000000001</v>
      </c>
      <c r="AM350" s="439">
        <f t="shared" si="374"/>
        <v>6609.6450000000004</v>
      </c>
      <c r="AN350" s="438"/>
      <c r="AO350" s="438"/>
      <c r="AP350" s="438"/>
    </row>
    <row r="351" spans="1:42" ht="12.75">
      <c r="A351" s="412">
        <v>349</v>
      </c>
      <c r="B351" s="431"/>
      <c r="C351" s="432" t="s">
        <v>469</v>
      </c>
      <c r="D351" s="433" t="s">
        <v>11278</v>
      </c>
      <c r="E351" s="434">
        <f>'PROSPETTO CE_IV TRIM 2024'!BM1287</f>
        <v>165</v>
      </c>
      <c r="F351" s="439">
        <f t="shared" si="369"/>
        <v>165</v>
      </c>
      <c r="G351" s="439">
        <v>705</v>
      </c>
      <c r="H351" s="439">
        <v>165</v>
      </c>
      <c r="I351" s="435">
        <f t="shared" si="344"/>
        <v>0</v>
      </c>
      <c r="J351" s="435">
        <f t="shared" si="345"/>
        <v>0</v>
      </c>
      <c r="K351" s="439">
        <v>165</v>
      </c>
      <c r="L351" s="439">
        <v>165</v>
      </c>
      <c r="M351" s="439">
        <f t="shared" si="346"/>
        <v>165</v>
      </c>
      <c r="N351" s="439">
        <v>165</v>
      </c>
      <c r="O351" s="439">
        <v>165</v>
      </c>
      <c r="P351" s="440">
        <v>0</v>
      </c>
      <c r="Q351" s="439">
        <v>705</v>
      </c>
      <c r="R351" s="439">
        <f t="shared" si="339"/>
        <v>-165</v>
      </c>
      <c r="S351" s="439">
        <f t="shared" si="340"/>
        <v>540</v>
      </c>
      <c r="T351" s="441">
        <f>(F351-P351)/F351*100</f>
        <v>100</v>
      </c>
      <c r="U351" s="439">
        <v>95</v>
      </c>
      <c r="V351" s="439">
        <f t="shared" si="370"/>
        <v>0</v>
      </c>
      <c r="W351" s="439">
        <v>0</v>
      </c>
      <c r="X351" s="439">
        <v>705</v>
      </c>
      <c r="Y351" s="435">
        <f t="shared" si="342"/>
        <v>180</v>
      </c>
      <c r="Z351" s="439">
        <v>0</v>
      </c>
      <c r="AA351" s="439">
        <v>0</v>
      </c>
      <c r="AB351" s="439">
        <v>0</v>
      </c>
      <c r="AC351" s="439">
        <v>0</v>
      </c>
      <c r="AD351" s="439">
        <v>705</v>
      </c>
      <c r="AE351" s="439"/>
      <c r="AF351" s="439">
        <f t="shared" si="371"/>
        <v>0</v>
      </c>
      <c r="AG351" s="439"/>
      <c r="AH351" s="419">
        <f t="shared" si="336"/>
        <v>-165</v>
      </c>
      <c r="AI351" s="439"/>
      <c r="AJ351" s="439"/>
      <c r="AK351" s="439">
        <f t="shared" si="372"/>
        <v>0</v>
      </c>
      <c r="AL351" s="439">
        <f t="shared" si="373"/>
        <v>0</v>
      </c>
      <c r="AM351" s="439">
        <f t="shared" si="374"/>
        <v>-705</v>
      </c>
      <c r="AN351" s="438"/>
      <c r="AO351" s="438"/>
      <c r="AP351" s="438"/>
    </row>
    <row r="352" spans="1:42" ht="25.5">
      <c r="A352" s="412">
        <v>350</v>
      </c>
      <c r="B352" s="431" t="s">
        <v>1519</v>
      </c>
      <c r="C352" s="432" t="s">
        <v>470</v>
      </c>
      <c r="D352" s="433" t="s">
        <v>11279</v>
      </c>
      <c r="E352" s="434">
        <f>'PROSPETTO CE_IV TRIM 2024'!BM1290</f>
        <v>0</v>
      </c>
      <c r="F352" s="439">
        <f t="shared" si="369"/>
        <v>0</v>
      </c>
      <c r="G352" s="439">
        <v>0</v>
      </c>
      <c r="H352" s="439">
        <v>0</v>
      </c>
      <c r="I352" s="435">
        <f t="shared" si="344"/>
        <v>0</v>
      </c>
      <c r="J352" s="435">
        <f t="shared" si="345"/>
        <v>0</v>
      </c>
      <c r="K352" s="439">
        <v>0</v>
      </c>
      <c r="L352" s="439">
        <v>0</v>
      </c>
      <c r="M352" s="439">
        <f t="shared" si="346"/>
        <v>0</v>
      </c>
      <c r="N352" s="439">
        <v>0</v>
      </c>
      <c r="O352" s="439">
        <v>0</v>
      </c>
      <c r="P352" s="440">
        <v>0</v>
      </c>
      <c r="Q352" s="439">
        <v>0</v>
      </c>
      <c r="R352" s="439">
        <f t="shared" si="339"/>
        <v>0</v>
      </c>
      <c r="S352" s="439">
        <f t="shared" si="340"/>
        <v>0</v>
      </c>
      <c r="T352" s="441"/>
      <c r="U352" s="439">
        <v>0</v>
      </c>
      <c r="V352" s="439">
        <f t="shared" si="370"/>
        <v>0</v>
      </c>
      <c r="W352" s="439">
        <v>0</v>
      </c>
      <c r="X352" s="439">
        <v>0</v>
      </c>
      <c r="Y352" s="435">
        <f t="shared" si="342"/>
        <v>0</v>
      </c>
      <c r="Z352" s="439">
        <v>0</v>
      </c>
      <c r="AA352" s="439">
        <v>0</v>
      </c>
      <c r="AB352" s="439">
        <v>0</v>
      </c>
      <c r="AC352" s="439">
        <v>0</v>
      </c>
      <c r="AD352" s="439">
        <v>0</v>
      </c>
      <c r="AE352" s="439"/>
      <c r="AF352" s="439">
        <f t="shared" si="371"/>
        <v>0</v>
      </c>
      <c r="AG352" s="439"/>
      <c r="AH352" s="419">
        <f t="shared" si="336"/>
        <v>0</v>
      </c>
      <c r="AI352" s="439"/>
      <c r="AJ352" s="439"/>
      <c r="AK352" s="439">
        <f t="shared" si="372"/>
        <v>0</v>
      </c>
      <c r="AL352" s="439">
        <f t="shared" si="373"/>
        <v>0</v>
      </c>
      <c r="AM352" s="439">
        <f t="shared" si="374"/>
        <v>0</v>
      </c>
      <c r="AN352" s="438"/>
      <c r="AO352" s="438"/>
      <c r="AP352" s="438"/>
    </row>
    <row r="353" spans="1:42" ht="12.75">
      <c r="A353" s="412">
        <v>351</v>
      </c>
      <c r="B353" s="431"/>
      <c r="C353" s="432" t="s">
        <v>8163</v>
      </c>
      <c r="D353" s="433" t="s">
        <v>8166</v>
      </c>
      <c r="E353" s="434"/>
      <c r="F353" s="435">
        <f>+F354+F355+F358+F361+F362</f>
        <v>5057221.67</v>
      </c>
      <c r="G353" s="435">
        <v>5076331.74</v>
      </c>
      <c r="H353" s="435">
        <v>5057221.6654199995</v>
      </c>
      <c r="I353" s="435">
        <f t="shared" si="344"/>
        <v>4.5800004154443741E-3</v>
      </c>
      <c r="J353" s="435">
        <f t="shared" si="345"/>
        <v>4.5800004154443741E-3</v>
      </c>
      <c r="K353" s="435">
        <v>5057221.6654199995</v>
      </c>
      <c r="L353" s="435">
        <v>5056975.2601199998</v>
      </c>
      <c r="M353" s="435">
        <f t="shared" si="346"/>
        <v>360404.08527000062</v>
      </c>
      <c r="N353" s="435">
        <v>4917834.1716200002</v>
      </c>
      <c r="O353" s="435">
        <v>4917834.1716200002</v>
      </c>
      <c r="P353" s="436">
        <v>4696817.5847299993</v>
      </c>
      <c r="Q353" s="435">
        <f t="shared" ref="Q353" si="375">+Q354+Q355+Q358+Q361+Q362</f>
        <v>5076331.74</v>
      </c>
      <c r="R353" s="435">
        <f t="shared" si="339"/>
        <v>-221016.58689000085</v>
      </c>
      <c r="S353" s="435">
        <f t="shared" si="340"/>
        <v>158497.56838000007</v>
      </c>
      <c r="T353" s="437">
        <f t="shared" ref="T353:T359" si="376">(F353-P353)/F353*100</f>
        <v>7.1265233914494521</v>
      </c>
      <c r="U353" s="435">
        <v>4198699.93</v>
      </c>
      <c r="V353" s="435">
        <f>+V354+V355+V358+V361+V362</f>
        <v>4696817.5847299993</v>
      </c>
      <c r="W353" s="435">
        <f>+W354+W355+W358+W361+W362</f>
        <v>5241052</v>
      </c>
      <c r="X353" s="435">
        <f t="shared" ref="X353" si="377">+X354+X355+X358+X361+X362</f>
        <v>5076331.74</v>
      </c>
      <c r="Y353" s="435">
        <f t="shared" si="342"/>
        <v>5516969.0945454547</v>
      </c>
      <c r="Z353" s="435">
        <v>4696817.5847299993</v>
      </c>
      <c r="AA353" s="435">
        <v>4696817.5847299993</v>
      </c>
      <c r="AB353" s="435">
        <f t="shared" ref="AB353:AM353" si="378">+AB354+AB355+AB358+AB361+AB362</f>
        <v>1232921.75</v>
      </c>
      <c r="AC353" s="435">
        <f t="shared" si="378"/>
        <v>2461810.84</v>
      </c>
      <c r="AD353" s="435">
        <f t="shared" si="378"/>
        <v>5076331.74</v>
      </c>
      <c r="AE353" s="435"/>
      <c r="AF353" s="435">
        <f t="shared" si="378"/>
        <v>4923621.68</v>
      </c>
      <c r="AG353" s="435">
        <f t="shared" si="378"/>
        <v>0</v>
      </c>
      <c r="AH353" s="419">
        <f t="shared" si="336"/>
        <v>-5057221.67</v>
      </c>
      <c r="AI353" s="435">
        <f t="shared" si="378"/>
        <v>0</v>
      </c>
      <c r="AJ353" s="435">
        <f t="shared" si="378"/>
        <v>0</v>
      </c>
      <c r="AK353" s="435">
        <f t="shared" si="378"/>
        <v>-544234.41527000023</v>
      </c>
      <c r="AL353" s="435">
        <f t="shared" si="378"/>
        <v>-226804.09527000005</v>
      </c>
      <c r="AM353" s="435">
        <f t="shared" si="378"/>
        <v>-379514.15526999999</v>
      </c>
      <c r="AN353" s="438"/>
      <c r="AO353" s="438"/>
      <c r="AP353" s="438"/>
    </row>
    <row r="354" spans="1:42" ht="12.75">
      <c r="A354" s="412">
        <v>352</v>
      </c>
      <c r="B354" s="431"/>
      <c r="C354" s="432" t="s">
        <v>8167</v>
      </c>
      <c r="D354" s="433" t="s">
        <v>8170</v>
      </c>
      <c r="E354" s="434">
        <f>'PROSPETTO CE_IV TRIM 2024'!BM1294+'PROSPETTO CE_IV TRIM 2024'!BM1296</f>
        <v>140984.5</v>
      </c>
      <c r="F354" s="439">
        <f>+E354</f>
        <v>140984.5</v>
      </c>
      <c r="G354" s="439">
        <v>117958.58</v>
      </c>
      <c r="H354" s="439">
        <v>140984.5</v>
      </c>
      <c r="I354" s="435">
        <f t="shared" si="344"/>
        <v>0</v>
      </c>
      <c r="J354" s="435">
        <f t="shared" si="345"/>
        <v>0</v>
      </c>
      <c r="K354" s="439">
        <v>140984.5</v>
      </c>
      <c r="L354" s="439">
        <v>140738.09669999999</v>
      </c>
      <c r="M354" s="439">
        <f t="shared" si="346"/>
        <v>46879.520000000004</v>
      </c>
      <c r="N354" s="439">
        <v>151430.23000000001</v>
      </c>
      <c r="O354" s="439">
        <v>151430.23000000001</v>
      </c>
      <c r="P354" s="440">
        <v>94104.98</v>
      </c>
      <c r="Q354" s="439">
        <v>117958.58</v>
      </c>
      <c r="R354" s="439">
        <f t="shared" si="339"/>
        <v>-57325.250000000015</v>
      </c>
      <c r="S354" s="439">
        <f t="shared" si="340"/>
        <v>-33471.650000000009</v>
      </c>
      <c r="T354" s="441">
        <f t="shared" si="376"/>
        <v>33.251541836159298</v>
      </c>
      <c r="U354" s="439">
        <v>99676.44</v>
      </c>
      <c r="V354" s="439">
        <f>+AA354</f>
        <v>94104.98</v>
      </c>
      <c r="W354" s="439">
        <v>90000</v>
      </c>
      <c r="X354" s="439">
        <v>117958.58</v>
      </c>
      <c r="Y354" s="435">
        <f t="shared" si="342"/>
        <v>153801.27272727274</v>
      </c>
      <c r="Z354" s="439">
        <v>94104.98</v>
      </c>
      <c r="AA354" s="439">
        <v>94104.98</v>
      </c>
      <c r="AB354" s="439">
        <v>35319</v>
      </c>
      <c r="AC354" s="439">
        <v>58979.289999999994</v>
      </c>
      <c r="AD354" s="439">
        <v>117958.58</v>
      </c>
      <c r="AE354" s="439"/>
      <c r="AF354" s="439">
        <f>AC354*2</f>
        <v>117958.57999999999</v>
      </c>
      <c r="AG354" s="439"/>
      <c r="AH354" s="419">
        <f t="shared" si="336"/>
        <v>-140984.5</v>
      </c>
      <c r="AI354" s="439"/>
      <c r="AJ354" s="439"/>
      <c r="AK354" s="439">
        <f>AA354-W354</f>
        <v>4104.9799999999959</v>
      </c>
      <c r="AL354" s="439">
        <f>AA354-AF354</f>
        <v>-23853.599999999991</v>
      </c>
      <c r="AM354" s="439">
        <f>AA354-AD354</f>
        <v>-23853.600000000006</v>
      </c>
      <c r="AN354" s="438"/>
      <c r="AO354" s="438"/>
      <c r="AP354" s="438"/>
    </row>
    <row r="355" spans="1:42" ht="12.75">
      <c r="A355" s="412">
        <v>353</v>
      </c>
      <c r="B355" s="431"/>
      <c r="C355" s="432" t="s">
        <v>8182</v>
      </c>
      <c r="D355" s="433" t="s">
        <v>8185</v>
      </c>
      <c r="E355" s="434"/>
      <c r="F355" s="435">
        <f>+F356+F357</f>
        <v>2732918.19</v>
      </c>
      <c r="G355" s="435">
        <v>2780979.2399999998</v>
      </c>
      <c r="H355" s="435">
        <v>2732918.18542</v>
      </c>
      <c r="I355" s="435">
        <f t="shared" si="344"/>
        <v>4.5799999497830868E-3</v>
      </c>
      <c r="J355" s="435">
        <f t="shared" si="345"/>
        <v>4.5799999497830868E-3</v>
      </c>
      <c r="K355" s="435">
        <v>2732918.18542</v>
      </c>
      <c r="L355" s="435">
        <v>2732918.1834199997</v>
      </c>
      <c r="M355" s="435">
        <f t="shared" si="346"/>
        <v>56221.655270000454</v>
      </c>
      <c r="N355" s="435">
        <v>2782039.4216200002</v>
      </c>
      <c r="O355" s="435">
        <v>2782039.4216200002</v>
      </c>
      <c r="P355" s="436">
        <v>2676696.5347299995</v>
      </c>
      <c r="Q355" s="435">
        <f t="shared" ref="Q355" si="379">+Q356+Q357</f>
        <v>2780979.2399999998</v>
      </c>
      <c r="R355" s="435">
        <f t="shared" si="339"/>
        <v>-105342.88689000066</v>
      </c>
      <c r="S355" s="435">
        <f t="shared" si="340"/>
        <v>-1060.1816200003959</v>
      </c>
      <c r="T355" s="437">
        <f t="shared" si="376"/>
        <v>2.0572022783455677</v>
      </c>
      <c r="U355" s="435">
        <v>2363756.7400000002</v>
      </c>
      <c r="V355" s="435">
        <f>+V356+V357</f>
        <v>2676696.5347299995</v>
      </c>
      <c r="W355" s="435">
        <f>+W356+W357</f>
        <v>2973658</v>
      </c>
      <c r="X355" s="435">
        <f t="shared" ref="X355" si="380">+X356+X357</f>
        <v>2780979.2399999998</v>
      </c>
      <c r="Y355" s="435">
        <f t="shared" si="342"/>
        <v>2981365.2981818183</v>
      </c>
      <c r="Z355" s="435">
        <v>2676696.5347299995</v>
      </c>
      <c r="AA355" s="435">
        <v>2676696.5347299995</v>
      </c>
      <c r="AB355" s="435">
        <f t="shared" ref="AB355:AM355" si="381">+AB356+AB357</f>
        <v>653254.25</v>
      </c>
      <c r="AC355" s="435">
        <f t="shared" si="381"/>
        <v>1314134.5899999999</v>
      </c>
      <c r="AD355" s="435">
        <f t="shared" si="381"/>
        <v>2780979.2399999998</v>
      </c>
      <c r="AE355" s="435"/>
      <c r="AF355" s="435">
        <f t="shared" si="381"/>
        <v>2628269.1799999997</v>
      </c>
      <c r="AG355" s="435">
        <f t="shared" si="381"/>
        <v>0</v>
      </c>
      <c r="AH355" s="419">
        <f t="shared" si="336"/>
        <v>-2732918.19</v>
      </c>
      <c r="AI355" s="435">
        <f t="shared" si="381"/>
        <v>0</v>
      </c>
      <c r="AJ355" s="435">
        <f t="shared" si="381"/>
        <v>0</v>
      </c>
      <c r="AK355" s="435">
        <f t="shared" si="381"/>
        <v>-296961.46527000028</v>
      </c>
      <c r="AL355" s="435">
        <f t="shared" si="381"/>
        <v>48427.354729999788</v>
      </c>
      <c r="AM355" s="435">
        <f t="shared" si="381"/>
        <v>-104282.70527000015</v>
      </c>
      <c r="AN355" s="438"/>
      <c r="AO355" s="438"/>
      <c r="AP355" s="438"/>
    </row>
    <row r="356" spans="1:42" ht="12.75">
      <c r="A356" s="412">
        <v>354</v>
      </c>
      <c r="B356" s="431"/>
      <c r="C356" s="432" t="s">
        <v>8186</v>
      </c>
      <c r="D356" s="433" t="s">
        <v>8189</v>
      </c>
      <c r="E356" s="434">
        <f>'PROSPETTO CE_IV TRIM 2024'!BM1300</f>
        <v>2412898.7799999998</v>
      </c>
      <c r="F356" s="439">
        <f>+E356</f>
        <v>2412898.7799999998</v>
      </c>
      <c r="G356" s="439">
        <v>2223238.19</v>
      </c>
      <c r="H356" s="439">
        <v>2412898.7754199998</v>
      </c>
      <c r="I356" s="435">
        <f t="shared" si="344"/>
        <v>4.5799999497830868E-3</v>
      </c>
      <c r="J356" s="435">
        <f t="shared" si="345"/>
        <v>4.5799999497830868E-3</v>
      </c>
      <c r="K356" s="439">
        <v>2412898.7754199998</v>
      </c>
      <c r="L356" s="439">
        <v>2412898.7754199998</v>
      </c>
      <c r="M356" s="439">
        <f t="shared" si="346"/>
        <v>260720.64000000013</v>
      </c>
      <c r="N356" s="439">
        <v>2405893.5354200001</v>
      </c>
      <c r="O356" s="439">
        <v>2405893.5354200001</v>
      </c>
      <c r="P356" s="443">
        <v>2152178.1399999997</v>
      </c>
      <c r="Q356" s="439">
        <v>2223238.19</v>
      </c>
      <c r="R356" s="439">
        <f t="shared" si="339"/>
        <v>-253715.39542000042</v>
      </c>
      <c r="S356" s="439">
        <f t="shared" si="340"/>
        <v>-182655.34542000014</v>
      </c>
      <c r="T356" s="441">
        <f t="shared" si="376"/>
        <v>10.805287074661297</v>
      </c>
      <c r="U356" s="439">
        <v>2112246.9700000002</v>
      </c>
      <c r="V356" s="439">
        <f>+AA356</f>
        <v>2152178.1399999997</v>
      </c>
      <c r="W356" s="439">
        <v>2405585</v>
      </c>
      <c r="X356" s="439">
        <v>2223238.19</v>
      </c>
      <c r="Y356" s="435">
        <f t="shared" si="342"/>
        <v>2632253.2145454544</v>
      </c>
      <c r="Z356" s="439">
        <v>2152178.1399999997</v>
      </c>
      <c r="AA356" s="439">
        <v>2152178.1399999997</v>
      </c>
      <c r="AB356" s="439">
        <v>576396.25</v>
      </c>
      <c r="AC356" s="439">
        <v>1111619.095</v>
      </c>
      <c r="AD356" s="439">
        <v>2223238.19</v>
      </c>
      <c r="AE356" s="439"/>
      <c r="AF356" s="439">
        <f>AC356*2</f>
        <v>2223238.19</v>
      </c>
      <c r="AG356" s="439"/>
      <c r="AH356" s="419">
        <f t="shared" si="336"/>
        <v>-2412898.7799999998</v>
      </c>
      <c r="AI356" s="439"/>
      <c r="AJ356" s="439"/>
      <c r="AK356" s="439">
        <f>AA356-W356</f>
        <v>-253406.86000000034</v>
      </c>
      <c r="AL356" s="439">
        <f>AA356-AF356</f>
        <v>-71060.050000000279</v>
      </c>
      <c r="AM356" s="439">
        <f>AA356-AD356</f>
        <v>-71060.050000000279</v>
      </c>
      <c r="AN356" s="438"/>
      <c r="AO356" s="438"/>
      <c r="AP356" s="438"/>
    </row>
    <row r="357" spans="1:42" ht="12.75">
      <c r="A357" s="412">
        <v>355</v>
      </c>
      <c r="B357" s="431"/>
      <c r="C357" s="432" t="s">
        <v>8201</v>
      </c>
      <c r="D357" s="433" t="s">
        <v>8204</v>
      </c>
      <c r="E357" s="434">
        <f>'PROSPETTO CE_IV TRIM 2024'!BM1306</f>
        <v>320019.41000000003</v>
      </c>
      <c r="F357" s="439">
        <f>+E357</f>
        <v>320019.41000000003</v>
      </c>
      <c r="G357" s="439">
        <v>557741.04999999993</v>
      </c>
      <c r="H357" s="439">
        <v>320019.41000000003</v>
      </c>
      <c r="I357" s="435">
        <f t="shared" si="344"/>
        <v>0</v>
      </c>
      <c r="J357" s="435">
        <f t="shared" si="345"/>
        <v>0</v>
      </c>
      <c r="K357" s="439">
        <v>320019.41000000003</v>
      </c>
      <c r="L357" s="439">
        <v>320019.40800000005</v>
      </c>
      <c r="M357" s="439">
        <f t="shared" si="346"/>
        <v>-204498.98473000003</v>
      </c>
      <c r="N357" s="439">
        <v>376145.88620000001</v>
      </c>
      <c r="O357" s="439">
        <v>376145.88620000001</v>
      </c>
      <c r="P357" s="440">
        <v>524518.39473000006</v>
      </c>
      <c r="Q357" s="439">
        <v>557741.04999999993</v>
      </c>
      <c r="R357" s="439">
        <f t="shared" si="339"/>
        <v>148372.50853000005</v>
      </c>
      <c r="S357" s="439">
        <f t="shared" si="340"/>
        <v>181595.16379999992</v>
      </c>
      <c r="T357" s="441">
        <f t="shared" si="376"/>
        <v>-63.902056669000174</v>
      </c>
      <c r="U357" s="439">
        <v>251509.77</v>
      </c>
      <c r="V357" s="439">
        <f>+AA357</f>
        <v>524518.39473000006</v>
      </c>
      <c r="W357" s="439">
        <v>568073</v>
      </c>
      <c r="X357" s="439">
        <v>557741.04999999993</v>
      </c>
      <c r="Y357" s="435">
        <f t="shared" si="342"/>
        <v>349112.08363636368</v>
      </c>
      <c r="Z357" s="439">
        <v>524518.39473000006</v>
      </c>
      <c r="AA357" s="439">
        <v>524518.39473000006</v>
      </c>
      <c r="AB357" s="439">
        <v>76858</v>
      </c>
      <c r="AC357" s="439">
        <v>202515.495</v>
      </c>
      <c r="AD357" s="439">
        <v>557741.04999999993</v>
      </c>
      <c r="AE357" s="439"/>
      <c r="AF357" s="439">
        <f>AC357*2</f>
        <v>405030.99</v>
      </c>
      <c r="AG357" s="439"/>
      <c r="AH357" s="419">
        <f t="shared" si="336"/>
        <v>-320019.41000000003</v>
      </c>
      <c r="AI357" s="439"/>
      <c r="AJ357" s="439"/>
      <c r="AK357" s="439">
        <f>AA357-W357</f>
        <v>-43554.605269999942</v>
      </c>
      <c r="AL357" s="439">
        <f>AA357-AF357</f>
        <v>119487.40473000007</v>
      </c>
      <c r="AM357" s="439">
        <f>AA357-AD357</f>
        <v>-33222.655269999872</v>
      </c>
      <c r="AN357" s="438"/>
      <c r="AO357" s="438"/>
      <c r="AP357" s="438"/>
    </row>
    <row r="358" spans="1:42" ht="12.75">
      <c r="A358" s="412">
        <v>356</v>
      </c>
      <c r="B358" s="431"/>
      <c r="C358" s="432" t="s">
        <v>8233</v>
      </c>
      <c r="D358" s="433" t="s">
        <v>8236</v>
      </c>
      <c r="E358" s="434"/>
      <c r="F358" s="435">
        <f>+F359+F360</f>
        <v>2183318.98</v>
      </c>
      <c r="G358" s="435">
        <v>2177393.92</v>
      </c>
      <c r="H358" s="435">
        <v>2183318.98</v>
      </c>
      <c r="I358" s="435">
        <f t="shared" si="344"/>
        <v>0</v>
      </c>
      <c r="J358" s="435">
        <f t="shared" si="345"/>
        <v>0</v>
      </c>
      <c r="K358" s="435">
        <v>2183318.98</v>
      </c>
      <c r="L358" s="435">
        <v>2183318.98</v>
      </c>
      <c r="M358" s="435">
        <f t="shared" si="346"/>
        <v>257302.90999999992</v>
      </c>
      <c r="N358" s="435">
        <v>1984364.52</v>
      </c>
      <c r="O358" s="435">
        <v>1984364.52</v>
      </c>
      <c r="P358" s="436">
        <v>1926016.07</v>
      </c>
      <c r="Q358" s="435">
        <f t="shared" ref="Q358" si="382">+Q359+Q360</f>
        <v>2177393.92</v>
      </c>
      <c r="R358" s="435">
        <f t="shared" si="339"/>
        <v>-58348.449999999953</v>
      </c>
      <c r="S358" s="435">
        <f t="shared" si="340"/>
        <v>193029.39999999991</v>
      </c>
      <c r="T358" s="437">
        <f t="shared" si="376"/>
        <v>11.784943581629099</v>
      </c>
      <c r="U358" s="435">
        <v>1735266.75</v>
      </c>
      <c r="V358" s="435">
        <f>+V359+V360</f>
        <v>1926016.07</v>
      </c>
      <c r="W358" s="435">
        <f>+W359+W360</f>
        <v>2177394</v>
      </c>
      <c r="X358" s="435">
        <f t="shared" ref="X358" si="383">+X359+X360</f>
        <v>2177393.92</v>
      </c>
      <c r="Y358" s="435">
        <f t="shared" si="342"/>
        <v>2381802.5236363634</v>
      </c>
      <c r="Z358" s="435">
        <v>1926016.07</v>
      </c>
      <c r="AA358" s="435">
        <v>1926016.07</v>
      </c>
      <c r="AB358" s="435">
        <f t="shared" ref="AB358:AM358" si="384">+AB359+AB360</f>
        <v>544348.5</v>
      </c>
      <c r="AC358" s="435">
        <f t="shared" si="384"/>
        <v>1088696.96</v>
      </c>
      <c r="AD358" s="435">
        <f t="shared" si="384"/>
        <v>2177393.92</v>
      </c>
      <c r="AE358" s="435"/>
      <c r="AF358" s="435">
        <f t="shared" si="384"/>
        <v>2177393.92</v>
      </c>
      <c r="AG358" s="435">
        <f t="shared" si="384"/>
        <v>0</v>
      </c>
      <c r="AH358" s="419">
        <f t="shared" si="336"/>
        <v>-2183318.98</v>
      </c>
      <c r="AI358" s="435">
        <f t="shared" si="384"/>
        <v>0</v>
      </c>
      <c r="AJ358" s="435">
        <f t="shared" si="384"/>
        <v>0</v>
      </c>
      <c r="AK358" s="435">
        <f t="shared" si="384"/>
        <v>-251377.92999999993</v>
      </c>
      <c r="AL358" s="435">
        <f t="shared" si="384"/>
        <v>-251377.84999999986</v>
      </c>
      <c r="AM358" s="435">
        <f t="shared" si="384"/>
        <v>-251377.84999999986</v>
      </c>
      <c r="AN358" s="438"/>
      <c r="AO358" s="438"/>
      <c r="AP358" s="438"/>
    </row>
    <row r="359" spans="1:42" ht="12.75">
      <c r="A359" s="412">
        <v>357</v>
      </c>
      <c r="B359" s="431"/>
      <c r="C359" s="432" t="s">
        <v>8237</v>
      </c>
      <c r="D359" s="433" t="s">
        <v>8240</v>
      </c>
      <c r="E359" s="434">
        <f>'PROSPETTO CE_IV TRIM 2024'!BM1322</f>
        <v>2183318.98</v>
      </c>
      <c r="F359" s="439">
        <f>+E359</f>
        <v>2183318.98</v>
      </c>
      <c r="G359" s="439">
        <v>2177393.92</v>
      </c>
      <c r="H359" s="439">
        <v>2183318.98</v>
      </c>
      <c r="I359" s="435">
        <f t="shared" si="344"/>
        <v>0</v>
      </c>
      <c r="J359" s="435">
        <f t="shared" si="345"/>
        <v>0</v>
      </c>
      <c r="K359" s="439">
        <v>2183318.98</v>
      </c>
      <c r="L359" s="439">
        <v>2183318.98</v>
      </c>
      <c r="M359" s="439">
        <f t="shared" si="346"/>
        <v>257302.90999999992</v>
      </c>
      <c r="N359" s="439">
        <v>1984364.52</v>
      </c>
      <c r="O359" s="439">
        <v>1984364.52</v>
      </c>
      <c r="P359" s="443">
        <v>1926016.07</v>
      </c>
      <c r="Q359" s="439">
        <v>2177393.92</v>
      </c>
      <c r="R359" s="439">
        <f t="shared" si="339"/>
        <v>-58348.449999999953</v>
      </c>
      <c r="S359" s="439">
        <f t="shared" si="340"/>
        <v>193029.39999999991</v>
      </c>
      <c r="T359" s="441">
        <f t="shared" si="376"/>
        <v>11.784943581629099</v>
      </c>
      <c r="U359" s="439">
        <v>1735266.75</v>
      </c>
      <c r="V359" s="439">
        <f>+AA359</f>
        <v>1926016.07</v>
      </c>
      <c r="W359" s="439">
        <v>2177394</v>
      </c>
      <c r="X359" s="439">
        <v>2177393.92</v>
      </c>
      <c r="Y359" s="435">
        <f t="shared" si="342"/>
        <v>2381802.5236363634</v>
      </c>
      <c r="Z359" s="439">
        <v>1926016.07</v>
      </c>
      <c r="AA359" s="439">
        <v>1926016.07</v>
      </c>
      <c r="AB359" s="439">
        <v>544348.5</v>
      </c>
      <c r="AC359" s="439">
        <v>1088696.96</v>
      </c>
      <c r="AD359" s="439">
        <v>2177393.92</v>
      </c>
      <c r="AE359" s="439"/>
      <c r="AF359" s="439">
        <f>AC359*2</f>
        <v>2177393.92</v>
      </c>
      <c r="AG359" s="439"/>
      <c r="AH359" s="419">
        <f t="shared" si="336"/>
        <v>-2183318.98</v>
      </c>
      <c r="AI359" s="439"/>
      <c r="AJ359" s="439"/>
      <c r="AK359" s="439">
        <f>AA359-W359</f>
        <v>-251377.92999999993</v>
      </c>
      <c r="AL359" s="439">
        <f>AA359-AF359</f>
        <v>-251377.84999999986</v>
      </c>
      <c r="AM359" s="439">
        <f>AA359-AD359</f>
        <v>-251377.84999999986</v>
      </c>
      <c r="AN359" s="438"/>
      <c r="AO359" s="438"/>
      <c r="AP359" s="438"/>
    </row>
    <row r="360" spans="1:42" ht="12.75">
      <c r="A360" s="412">
        <v>358</v>
      </c>
      <c r="B360" s="431"/>
      <c r="C360" s="432" t="s">
        <v>8262</v>
      </c>
      <c r="D360" s="433" t="s">
        <v>8265</v>
      </c>
      <c r="E360" s="434">
        <f>'PROSPETTO CE_IV TRIM 2024'!BM1333</f>
        <v>0</v>
      </c>
      <c r="F360" s="439">
        <f>+E360</f>
        <v>0</v>
      </c>
      <c r="G360" s="439">
        <v>0</v>
      </c>
      <c r="H360" s="439">
        <v>0</v>
      </c>
      <c r="I360" s="435">
        <f t="shared" si="344"/>
        <v>0</v>
      </c>
      <c r="J360" s="435">
        <f t="shared" si="345"/>
        <v>0</v>
      </c>
      <c r="K360" s="439">
        <v>0</v>
      </c>
      <c r="L360" s="439">
        <v>0</v>
      </c>
      <c r="M360" s="439">
        <f t="shared" si="346"/>
        <v>0</v>
      </c>
      <c r="N360" s="439">
        <v>0</v>
      </c>
      <c r="O360" s="439">
        <v>0</v>
      </c>
      <c r="P360" s="440">
        <v>0</v>
      </c>
      <c r="Q360" s="439">
        <v>0</v>
      </c>
      <c r="R360" s="439">
        <f t="shared" si="339"/>
        <v>0</v>
      </c>
      <c r="S360" s="439">
        <f t="shared" si="340"/>
        <v>0</v>
      </c>
      <c r="T360" s="441"/>
      <c r="U360" s="439">
        <v>0</v>
      </c>
      <c r="V360" s="439">
        <f>+AA360</f>
        <v>0</v>
      </c>
      <c r="W360" s="439">
        <v>0</v>
      </c>
      <c r="X360" s="439">
        <v>0</v>
      </c>
      <c r="Y360" s="435">
        <f t="shared" si="342"/>
        <v>0</v>
      </c>
      <c r="Z360" s="439">
        <v>0</v>
      </c>
      <c r="AA360" s="439">
        <v>0</v>
      </c>
      <c r="AB360" s="439">
        <v>0</v>
      </c>
      <c r="AC360" s="439">
        <v>0</v>
      </c>
      <c r="AD360" s="439">
        <v>0</v>
      </c>
      <c r="AE360" s="439"/>
      <c r="AF360" s="439">
        <f>AC360*2</f>
        <v>0</v>
      </c>
      <c r="AG360" s="439"/>
      <c r="AH360" s="419">
        <f t="shared" si="336"/>
        <v>0</v>
      </c>
      <c r="AI360" s="439"/>
      <c r="AJ360" s="439"/>
      <c r="AK360" s="439">
        <f>AA360-W360</f>
        <v>0</v>
      </c>
      <c r="AL360" s="439">
        <f>AA360-AF360</f>
        <v>0</v>
      </c>
      <c r="AM360" s="439">
        <f>AA360-AD360</f>
        <v>0</v>
      </c>
      <c r="AN360" s="438"/>
      <c r="AO360" s="438"/>
      <c r="AP360" s="438"/>
    </row>
    <row r="361" spans="1:42" ht="12.75">
      <c r="A361" s="412">
        <v>359</v>
      </c>
      <c r="B361" s="431"/>
      <c r="C361" s="432" t="s">
        <v>8280</v>
      </c>
      <c r="D361" s="433" t="s">
        <v>8283</v>
      </c>
      <c r="E361" s="434">
        <f>'PROSPETTO CE_IV TRIM 2024'!BM1342</f>
        <v>0</v>
      </c>
      <c r="F361" s="439">
        <f>+E361</f>
        <v>0</v>
      </c>
      <c r="G361" s="439">
        <v>0</v>
      </c>
      <c r="H361" s="439">
        <v>0</v>
      </c>
      <c r="I361" s="435">
        <f t="shared" si="344"/>
        <v>0</v>
      </c>
      <c r="J361" s="435">
        <f t="shared" si="345"/>
        <v>0</v>
      </c>
      <c r="K361" s="439">
        <v>0</v>
      </c>
      <c r="L361" s="439">
        <v>0</v>
      </c>
      <c r="M361" s="439">
        <f t="shared" si="346"/>
        <v>0</v>
      </c>
      <c r="N361" s="439">
        <v>0</v>
      </c>
      <c r="O361" s="439">
        <v>0</v>
      </c>
      <c r="P361" s="440">
        <v>0</v>
      </c>
      <c r="Q361" s="439">
        <v>0</v>
      </c>
      <c r="R361" s="439">
        <f t="shared" si="339"/>
        <v>0</v>
      </c>
      <c r="S361" s="439">
        <f t="shared" si="340"/>
        <v>0</v>
      </c>
      <c r="T361" s="441"/>
      <c r="U361" s="439">
        <v>0</v>
      </c>
      <c r="V361" s="439">
        <f>+AA361</f>
        <v>0</v>
      </c>
      <c r="W361" s="439">
        <v>0</v>
      </c>
      <c r="X361" s="439">
        <v>0</v>
      </c>
      <c r="Y361" s="435">
        <f t="shared" si="342"/>
        <v>0</v>
      </c>
      <c r="Z361" s="439">
        <v>0</v>
      </c>
      <c r="AA361" s="439">
        <v>0</v>
      </c>
      <c r="AB361" s="439">
        <v>0</v>
      </c>
      <c r="AC361" s="439">
        <v>0</v>
      </c>
      <c r="AD361" s="439">
        <v>0</v>
      </c>
      <c r="AE361" s="439"/>
      <c r="AF361" s="439">
        <f>AC361*2</f>
        <v>0</v>
      </c>
      <c r="AG361" s="439"/>
      <c r="AH361" s="419">
        <f t="shared" si="336"/>
        <v>0</v>
      </c>
      <c r="AI361" s="439"/>
      <c r="AJ361" s="439"/>
      <c r="AK361" s="439">
        <f>AA361-W361</f>
        <v>0</v>
      </c>
      <c r="AL361" s="439">
        <f>AA361-AF361</f>
        <v>0</v>
      </c>
      <c r="AM361" s="439">
        <f>AA361-AD361</f>
        <v>0</v>
      </c>
      <c r="AN361" s="438"/>
      <c r="AO361" s="438"/>
      <c r="AP361" s="438"/>
    </row>
    <row r="362" spans="1:42" ht="25.5">
      <c r="A362" s="412">
        <v>360</v>
      </c>
      <c r="B362" s="431" t="s">
        <v>1519</v>
      </c>
      <c r="C362" s="432" t="s">
        <v>8285</v>
      </c>
      <c r="D362" s="433" t="s">
        <v>8288</v>
      </c>
      <c r="E362" s="434"/>
      <c r="F362" s="435">
        <f>+E362</f>
        <v>0</v>
      </c>
      <c r="G362" s="435">
        <v>0</v>
      </c>
      <c r="H362" s="435">
        <v>0</v>
      </c>
      <c r="I362" s="435">
        <f t="shared" si="344"/>
        <v>0</v>
      </c>
      <c r="J362" s="435">
        <f t="shared" si="345"/>
        <v>0</v>
      </c>
      <c r="K362" s="435">
        <v>0</v>
      </c>
      <c r="L362" s="435">
        <v>0</v>
      </c>
      <c r="M362" s="435">
        <f t="shared" si="346"/>
        <v>0</v>
      </c>
      <c r="N362" s="435">
        <v>0</v>
      </c>
      <c r="O362" s="435">
        <v>0</v>
      </c>
      <c r="P362" s="436">
        <v>0</v>
      </c>
      <c r="Q362" s="435">
        <v>0</v>
      </c>
      <c r="R362" s="435">
        <f t="shared" si="339"/>
        <v>0</v>
      </c>
      <c r="S362" s="435">
        <f t="shared" si="340"/>
        <v>0</v>
      </c>
      <c r="T362" s="437"/>
      <c r="U362" s="435">
        <v>0</v>
      </c>
      <c r="V362" s="435">
        <f>+AA362</f>
        <v>0</v>
      </c>
      <c r="W362" s="435">
        <v>0</v>
      </c>
      <c r="X362" s="435">
        <v>0</v>
      </c>
      <c r="Y362" s="435">
        <f t="shared" si="342"/>
        <v>0</v>
      </c>
      <c r="Z362" s="435">
        <v>0</v>
      </c>
      <c r="AA362" s="435">
        <v>0</v>
      </c>
      <c r="AB362" s="435">
        <v>0</v>
      </c>
      <c r="AC362" s="435">
        <v>0</v>
      </c>
      <c r="AD362" s="435">
        <v>0</v>
      </c>
      <c r="AE362" s="435"/>
      <c r="AF362" s="435">
        <v>0</v>
      </c>
      <c r="AG362" s="435">
        <v>0</v>
      </c>
      <c r="AH362" s="419">
        <f t="shared" si="336"/>
        <v>0</v>
      </c>
      <c r="AI362" s="435">
        <v>0</v>
      </c>
      <c r="AJ362" s="435">
        <v>0</v>
      </c>
      <c r="AK362" s="435">
        <v>0</v>
      </c>
      <c r="AL362" s="435">
        <v>0</v>
      </c>
      <c r="AM362" s="435">
        <v>0</v>
      </c>
      <c r="AN362" s="438"/>
      <c r="AO362" s="438"/>
      <c r="AP362" s="438"/>
    </row>
    <row r="363" spans="1:42" ht="12.75">
      <c r="A363" s="412">
        <v>361</v>
      </c>
      <c r="B363" s="431"/>
      <c r="C363" s="432" t="s">
        <v>11280</v>
      </c>
      <c r="D363" s="433" t="s">
        <v>11281</v>
      </c>
      <c r="E363" s="434"/>
      <c r="F363" s="435">
        <f>+F364+F378+F387+F396</f>
        <v>107330701.87</v>
      </c>
      <c r="G363" s="435">
        <v>100319784.52000001</v>
      </c>
      <c r="H363" s="435">
        <v>107317225.0800961</v>
      </c>
      <c r="I363" s="435">
        <f t="shared" si="344"/>
        <v>13476.789903908968</v>
      </c>
      <c r="J363" s="435">
        <f t="shared" si="345"/>
        <v>13476.789903908968</v>
      </c>
      <c r="K363" s="435">
        <v>107317225.0800961</v>
      </c>
      <c r="L363" s="435">
        <v>107317225.0800961</v>
      </c>
      <c r="M363" s="435">
        <f t="shared" si="346"/>
        <v>3496837.686959967</v>
      </c>
      <c r="N363" s="435">
        <v>104634201.66066498</v>
      </c>
      <c r="O363" s="435">
        <v>102656006.03066498</v>
      </c>
      <c r="P363" s="456">
        <v>103833864.18304004</v>
      </c>
      <c r="Q363" s="435">
        <f t="shared" ref="Q363" si="385">+Q364+Q378+Q387+Q396</f>
        <v>100319784.52000001</v>
      </c>
      <c r="R363" s="435">
        <f t="shared" si="339"/>
        <v>-800337.47762493789</v>
      </c>
      <c r="S363" s="435">
        <f t="shared" si="340"/>
        <v>-4314417.1406649649</v>
      </c>
      <c r="T363" s="437">
        <f t="shared" ref="T363:T372" si="386">(F363-P363)/F363*100</f>
        <v>3.2580031864464751</v>
      </c>
      <c r="U363" s="435">
        <v>76992004.522998735</v>
      </c>
      <c r="V363" s="435">
        <f>+V364+V378+V387+V396</f>
        <v>103833864.18304004</v>
      </c>
      <c r="W363" s="435">
        <f>+W364+W378+W387+W396</f>
        <v>106130739</v>
      </c>
      <c r="X363" s="435">
        <f t="shared" ref="X363" si="387">+X364+X378+X387+X396</f>
        <v>100319784.52000001</v>
      </c>
      <c r="Y363" s="435">
        <f t="shared" si="342"/>
        <v>117088038.40363637</v>
      </c>
      <c r="Z363" s="435">
        <v>103833864.18304004</v>
      </c>
      <c r="AA363" s="435">
        <v>103833864.18304004</v>
      </c>
      <c r="AB363" s="435">
        <f t="shared" ref="AB363:AM363" si="388">+AB364+AB378+AB387+AB396</f>
        <v>25488663</v>
      </c>
      <c r="AC363" s="435">
        <f t="shared" si="388"/>
        <v>51184438.071520008</v>
      </c>
      <c r="AD363" s="435">
        <f t="shared" si="388"/>
        <v>100319784.52000001</v>
      </c>
      <c r="AE363" s="435">
        <f t="shared" ref="AE363:AE426" si="389">F363-AD363</f>
        <v>7010917.349999994</v>
      </c>
      <c r="AF363" s="435">
        <f t="shared" si="388"/>
        <v>102368876.14304002</v>
      </c>
      <c r="AG363" s="435">
        <f t="shared" si="388"/>
        <v>0</v>
      </c>
      <c r="AH363" s="419">
        <f t="shared" si="336"/>
        <v>-107330701.87</v>
      </c>
      <c r="AI363" s="435">
        <f t="shared" si="388"/>
        <v>0</v>
      </c>
      <c r="AJ363" s="435">
        <f t="shared" si="388"/>
        <v>0</v>
      </c>
      <c r="AK363" s="435">
        <f t="shared" si="388"/>
        <v>-2296874.8169599711</v>
      </c>
      <c r="AL363" s="435">
        <f t="shared" si="388"/>
        <v>1464988.040000001</v>
      </c>
      <c r="AM363" s="435">
        <f t="shared" si="388"/>
        <v>3514079.6630400256</v>
      </c>
      <c r="AN363" s="438"/>
      <c r="AO363" s="438"/>
      <c r="AP363" s="438"/>
    </row>
    <row r="364" spans="1:42" ht="12.75">
      <c r="A364" s="412">
        <v>362</v>
      </c>
      <c r="B364" s="431"/>
      <c r="C364" s="432" t="s">
        <v>566</v>
      </c>
      <c r="D364" s="433" t="s">
        <v>8297</v>
      </c>
      <c r="E364" s="434"/>
      <c r="F364" s="435">
        <f>+F365+F374</f>
        <v>98107478.960000008</v>
      </c>
      <c r="G364" s="435">
        <v>92796988.420000017</v>
      </c>
      <c r="H364" s="435">
        <v>98087478.963429421</v>
      </c>
      <c r="I364" s="435">
        <f t="shared" si="344"/>
        <v>19999.996570587158</v>
      </c>
      <c r="J364" s="435">
        <f t="shared" si="345"/>
        <v>19999.996570587158</v>
      </c>
      <c r="K364" s="435">
        <v>98087478.963429421</v>
      </c>
      <c r="L364" s="435">
        <v>98087478.963429421</v>
      </c>
      <c r="M364" s="435">
        <f t="shared" si="346"/>
        <v>3138394.6232530475</v>
      </c>
      <c r="N364" s="435">
        <v>93969515.656922072</v>
      </c>
      <c r="O364" s="435">
        <v>93969515.656922072</v>
      </c>
      <c r="P364" s="436">
        <v>94969084.336746961</v>
      </c>
      <c r="Q364" s="435">
        <f t="shared" ref="Q364" si="390">+Q365+Q374</f>
        <v>92796988.420000017</v>
      </c>
      <c r="R364" s="435">
        <f t="shared" si="339"/>
        <v>999568.67982488871</v>
      </c>
      <c r="S364" s="435">
        <f t="shared" si="340"/>
        <v>-1172527.2369220555</v>
      </c>
      <c r="T364" s="437">
        <f t="shared" si="386"/>
        <v>3.19893514390745</v>
      </c>
      <c r="U364" s="435">
        <v>70477136.742691547</v>
      </c>
      <c r="V364" s="435">
        <f>+V365+V374</f>
        <v>94969084.336746961</v>
      </c>
      <c r="W364" s="435">
        <f>+W365+W374</f>
        <v>97251584</v>
      </c>
      <c r="X364" s="435">
        <f t="shared" ref="X364" si="391">+X365+X374</f>
        <v>92796988.420000017</v>
      </c>
      <c r="Y364" s="435">
        <f t="shared" si="342"/>
        <v>107026340.68363637</v>
      </c>
      <c r="Z364" s="435">
        <v>94969084.336746961</v>
      </c>
      <c r="AA364" s="435">
        <v>94969084.336746961</v>
      </c>
      <c r="AB364" s="435">
        <f t="shared" ref="AB364:AM364" si="392">+AB365+AB374</f>
        <v>23376404</v>
      </c>
      <c r="AC364" s="435">
        <f t="shared" si="392"/>
        <v>46832077.948373474</v>
      </c>
      <c r="AD364" s="435">
        <f t="shared" si="392"/>
        <v>92796988.420000017</v>
      </c>
      <c r="AE364" s="435">
        <f t="shared" si="389"/>
        <v>5310490.5399999917</v>
      </c>
      <c r="AF364" s="435">
        <f t="shared" si="392"/>
        <v>93664155.896746948</v>
      </c>
      <c r="AG364" s="435">
        <f t="shared" si="392"/>
        <v>0</v>
      </c>
      <c r="AH364" s="419">
        <f t="shared" si="336"/>
        <v>-98107478.960000008</v>
      </c>
      <c r="AI364" s="435">
        <f t="shared" si="392"/>
        <v>0</v>
      </c>
      <c r="AJ364" s="435">
        <f t="shared" si="392"/>
        <v>0</v>
      </c>
      <c r="AK364" s="435">
        <f t="shared" si="392"/>
        <v>-2282499.6632530461</v>
      </c>
      <c r="AL364" s="435">
        <f t="shared" si="392"/>
        <v>1304928.4400000011</v>
      </c>
      <c r="AM364" s="435">
        <f t="shared" si="392"/>
        <v>2172095.9167469507</v>
      </c>
      <c r="AN364" s="438"/>
      <c r="AO364" s="438"/>
      <c r="AP364" s="438"/>
    </row>
    <row r="365" spans="1:42" ht="12.75">
      <c r="A365" s="412">
        <v>363</v>
      </c>
      <c r="B365" s="431"/>
      <c r="C365" s="432" t="s">
        <v>567</v>
      </c>
      <c r="D365" s="433" t="s">
        <v>8299</v>
      </c>
      <c r="E365" s="434"/>
      <c r="F365" s="435">
        <f>+F366+F370</f>
        <v>45451911.409999996</v>
      </c>
      <c r="G365" s="435">
        <v>41664572.500000007</v>
      </c>
      <c r="H365" s="435">
        <v>45431911.413429432</v>
      </c>
      <c r="I365" s="435">
        <f t="shared" si="344"/>
        <v>19999.996570564806</v>
      </c>
      <c r="J365" s="435">
        <f t="shared" si="345"/>
        <v>19999.996570564806</v>
      </c>
      <c r="K365" s="435">
        <v>45431911.413429432</v>
      </c>
      <c r="L365" s="435">
        <v>45431911.413429432</v>
      </c>
      <c r="M365" s="435">
        <f t="shared" si="346"/>
        <v>2398342.9668046311</v>
      </c>
      <c r="N365" s="435">
        <v>43734381.196185917</v>
      </c>
      <c r="O365" s="435">
        <v>43734381.196185917</v>
      </c>
      <c r="P365" s="436">
        <v>43053568.443195365</v>
      </c>
      <c r="Q365" s="435">
        <f t="shared" ref="Q365" si="393">+Q366+Q370</f>
        <v>41664572.500000007</v>
      </c>
      <c r="R365" s="435">
        <f t="shared" si="339"/>
        <v>-680812.75299055129</v>
      </c>
      <c r="S365" s="435">
        <f t="shared" si="340"/>
        <v>-2069808.6961859092</v>
      </c>
      <c r="T365" s="437">
        <f t="shared" si="386"/>
        <v>5.2766603040526157</v>
      </c>
      <c r="U365" s="435">
        <v>32800785.897139437</v>
      </c>
      <c r="V365" s="435">
        <f>+V366+V370</f>
        <v>43053568.443195365</v>
      </c>
      <c r="W365" s="435">
        <f>+W366+W370</f>
        <v>44780301</v>
      </c>
      <c r="X365" s="435">
        <f t="shared" ref="X365" si="394">+X366+X370</f>
        <v>41664572.500000007</v>
      </c>
      <c r="Y365" s="435">
        <f t="shared" si="342"/>
        <v>49583903.356363632</v>
      </c>
      <c r="Z365" s="435">
        <v>43053568.443195365</v>
      </c>
      <c r="AA365" s="435">
        <v>43053568.443195365</v>
      </c>
      <c r="AB365" s="435">
        <f t="shared" ref="AB365:AM365" si="395">+AB366+AB370</f>
        <v>10603575</v>
      </c>
      <c r="AC365" s="435">
        <f t="shared" si="395"/>
        <v>21286975.621597685</v>
      </c>
      <c r="AD365" s="435">
        <f t="shared" si="395"/>
        <v>41664572.500000007</v>
      </c>
      <c r="AE365" s="435">
        <f t="shared" si="389"/>
        <v>3787338.909999989</v>
      </c>
      <c r="AF365" s="435">
        <f t="shared" si="395"/>
        <v>42573951.24319537</v>
      </c>
      <c r="AG365" s="435">
        <f t="shared" si="395"/>
        <v>0</v>
      </c>
      <c r="AH365" s="419">
        <f t="shared" si="336"/>
        <v>-45451911.409999996</v>
      </c>
      <c r="AI365" s="435">
        <f t="shared" si="395"/>
        <v>0</v>
      </c>
      <c r="AJ365" s="435">
        <f t="shared" si="395"/>
        <v>0</v>
      </c>
      <c r="AK365" s="435">
        <f t="shared" si="395"/>
        <v>-1726732.5568046304</v>
      </c>
      <c r="AL365" s="435">
        <f t="shared" si="395"/>
        <v>479617.19999999902</v>
      </c>
      <c r="AM365" s="435">
        <f t="shared" si="395"/>
        <v>1388995.9431953679</v>
      </c>
      <c r="AN365" s="438"/>
      <c r="AO365" s="438"/>
      <c r="AP365" s="438"/>
    </row>
    <row r="366" spans="1:42" ht="12.75">
      <c r="A366" s="412">
        <v>364</v>
      </c>
      <c r="B366" s="431"/>
      <c r="C366" s="432" t="s">
        <v>568</v>
      </c>
      <c r="D366" s="433" t="s">
        <v>8301</v>
      </c>
      <c r="E366" s="434"/>
      <c r="F366" s="435">
        <f>SUM(F367:F369)</f>
        <v>42954500.379999995</v>
      </c>
      <c r="G366" s="435">
        <v>39515143.800000004</v>
      </c>
      <c r="H366" s="435">
        <v>42934500.382473439</v>
      </c>
      <c r="I366" s="435">
        <f t="shared" si="344"/>
        <v>19999.997526556253</v>
      </c>
      <c r="J366" s="435">
        <f t="shared" si="345"/>
        <v>19999.997526556253</v>
      </c>
      <c r="K366" s="435">
        <v>42934500.382473439</v>
      </c>
      <c r="L366" s="435">
        <v>42934500.382473439</v>
      </c>
      <c r="M366" s="435">
        <f t="shared" si="346"/>
        <v>2297804.0993916392</v>
      </c>
      <c r="N366" s="435">
        <v>41380084.666748665</v>
      </c>
      <c r="O366" s="435">
        <v>41380084.666748665</v>
      </c>
      <c r="P366" s="436">
        <v>40656696.280608356</v>
      </c>
      <c r="Q366" s="435">
        <f t="shared" ref="Q366" si="396">SUM(Q367:Q369)</f>
        <v>39515143.800000004</v>
      </c>
      <c r="R366" s="435">
        <f t="shared" si="339"/>
        <v>-723388.38614030927</v>
      </c>
      <c r="S366" s="435">
        <f t="shared" si="340"/>
        <v>-1864940.8667486608</v>
      </c>
      <c r="T366" s="437">
        <f t="shared" si="386"/>
        <v>5.3493908183402308</v>
      </c>
      <c r="U366" s="435">
        <v>31035063.500061501</v>
      </c>
      <c r="V366" s="435">
        <f>SUM(V367:V369)</f>
        <v>40656696.280608356</v>
      </c>
      <c r="W366" s="435">
        <f>SUM(W367:W369)</f>
        <v>42329676</v>
      </c>
      <c r="X366" s="435">
        <f t="shared" ref="X366" si="397">SUM(X367:X369)</f>
        <v>39515143.800000004</v>
      </c>
      <c r="Y366" s="435">
        <f t="shared" si="342"/>
        <v>46859454.959999993</v>
      </c>
      <c r="Z366" s="435">
        <v>40656696.280608356</v>
      </c>
      <c r="AA366" s="435">
        <v>40656696.280608356</v>
      </c>
      <c r="AB366" s="435">
        <f t="shared" ref="AB366:AM366" si="398">SUM(AB367:AB369)</f>
        <v>9962257</v>
      </c>
      <c r="AC366" s="435">
        <f t="shared" si="398"/>
        <v>20123993.16530418</v>
      </c>
      <c r="AD366" s="435">
        <f t="shared" si="398"/>
        <v>39515143.800000004</v>
      </c>
      <c r="AE366" s="435">
        <f t="shared" si="389"/>
        <v>3439356.5799999908</v>
      </c>
      <c r="AF366" s="435">
        <f t="shared" si="398"/>
        <v>40247986.33060836</v>
      </c>
      <c r="AG366" s="435">
        <f t="shared" si="398"/>
        <v>0</v>
      </c>
      <c r="AH366" s="419">
        <f t="shared" si="336"/>
        <v>-42954500.379999995</v>
      </c>
      <c r="AI366" s="435">
        <f t="shared" si="398"/>
        <v>0</v>
      </c>
      <c r="AJ366" s="435">
        <f t="shared" si="398"/>
        <v>0</v>
      </c>
      <c r="AK366" s="435">
        <f t="shared" si="398"/>
        <v>-1672979.7193916403</v>
      </c>
      <c r="AL366" s="435">
        <f t="shared" si="398"/>
        <v>408709.94999999925</v>
      </c>
      <c r="AM366" s="435">
        <f t="shared" si="398"/>
        <v>1141552.480608358</v>
      </c>
      <c r="AN366" s="438"/>
      <c r="AO366" s="438"/>
      <c r="AP366" s="438"/>
    </row>
    <row r="367" spans="1:42" ht="25.5">
      <c r="A367" s="412">
        <v>365</v>
      </c>
      <c r="B367" s="431"/>
      <c r="C367" s="432" t="s">
        <v>569</v>
      </c>
      <c r="D367" s="433" t="s">
        <v>8307</v>
      </c>
      <c r="E367" s="434">
        <f>'PROSPETTO CE_IV TRIM 2024'!BM1351+'PROSPETTO CE_IV TRIM 2024'!BM1352+'PROSPETTO CE_IV TRIM 2024'!BM1353+'PROSPETTO CE_IV TRIM 2024'!BM1354+'PROSPETTO CE_IV TRIM 2024'!BM1355+'PROSPETTO CE_IV TRIM 2024'!BM1360+'PROSPETTO CE_IV TRIM 2024'!BM1361+'PROSPETTO CE_IV TRIM 2024'!BM1362+'PROSPETTO CE_IV TRIM 2024'!BM1363+'PROSPETTO CE_IV TRIM 2024'!BM1387</f>
        <v>37481542.359999999</v>
      </c>
      <c r="F367" s="439">
        <f>+E367</f>
        <v>37481542.359999999</v>
      </c>
      <c r="G367" s="439">
        <v>34872062.600000001</v>
      </c>
      <c r="H367" s="439">
        <v>37461542.35852807</v>
      </c>
      <c r="I367" s="435">
        <f t="shared" si="344"/>
        <v>20000.001471929252</v>
      </c>
      <c r="J367" s="435">
        <f t="shared" si="345"/>
        <v>20000.001471929252</v>
      </c>
      <c r="K367" s="439">
        <v>37461542.35852807</v>
      </c>
      <c r="L367" s="439">
        <v>37461542.35852807</v>
      </c>
      <c r="M367" s="439">
        <f t="shared" si="346"/>
        <v>2624848.4557436779</v>
      </c>
      <c r="N367" s="439">
        <v>35888937.705463648</v>
      </c>
      <c r="O367" s="439">
        <v>35888937.705463648</v>
      </c>
      <c r="P367" s="443">
        <v>34856693.904256321</v>
      </c>
      <c r="Q367" s="439">
        <v>34872062.600000001</v>
      </c>
      <c r="R367" s="439">
        <f t="shared" si="339"/>
        <v>-1032243.8012073264</v>
      </c>
      <c r="S367" s="439">
        <f t="shared" si="340"/>
        <v>-1016875.1054636464</v>
      </c>
      <c r="T367" s="441">
        <f t="shared" si="386"/>
        <v>7.0030428057968468</v>
      </c>
      <c r="U367" s="439">
        <v>26916703.279097736</v>
      </c>
      <c r="V367" s="439">
        <f>+AA367</f>
        <v>34856693.904256321</v>
      </c>
      <c r="W367" s="439">
        <v>37625224</v>
      </c>
      <c r="X367" s="439">
        <v>34872062.600000001</v>
      </c>
      <c r="Y367" s="435">
        <f t="shared" si="342"/>
        <v>40888955.301818185</v>
      </c>
      <c r="Z367" s="439">
        <v>34856693.904256321</v>
      </c>
      <c r="AA367" s="439">
        <v>34856693.904256321</v>
      </c>
      <c r="AB367" s="439">
        <v>8672215</v>
      </c>
      <c r="AC367" s="439">
        <v>17428346.952128161</v>
      </c>
      <c r="AD367" s="439">
        <v>34872062.600000001</v>
      </c>
      <c r="AE367" s="435">
        <f t="shared" si="389"/>
        <v>2609479.7599999979</v>
      </c>
      <c r="AF367" s="439">
        <f>AC367*2</f>
        <v>34856693.904256321</v>
      </c>
      <c r="AG367" s="439"/>
      <c r="AH367" s="419">
        <f t="shared" si="336"/>
        <v>-37481542.359999999</v>
      </c>
      <c r="AI367" s="439"/>
      <c r="AJ367" s="439"/>
      <c r="AK367" s="439">
        <f>AA367-W367</f>
        <v>-2768530.0957436785</v>
      </c>
      <c r="AL367" s="439">
        <f>AA367-AF367</f>
        <v>0</v>
      </c>
      <c r="AM367" s="439">
        <f>AA367-AD367</f>
        <v>-15368.69574368</v>
      </c>
      <c r="AN367" s="438"/>
      <c r="AO367" s="438"/>
      <c r="AP367" s="438"/>
    </row>
    <row r="368" spans="1:42" ht="25.5">
      <c r="A368" s="412">
        <v>366</v>
      </c>
      <c r="B368" s="431"/>
      <c r="C368" s="432" t="s">
        <v>570</v>
      </c>
      <c r="D368" s="433" t="s">
        <v>8361</v>
      </c>
      <c r="E368" s="434">
        <f>'PROSPETTO CE_IV TRIM 2024'!BM1372+'PROSPETTO CE_IV TRIM 2024'!BM1373+'PROSPETTO CE_IV TRIM 2024'!BM1374+'PROSPETTO CE_IV TRIM 2024'!BM1375+'PROSPETTO CE_IV TRIM 2024'!BM1376+'PROSPETTO CE_IV TRIM 2024'!BM1384+'PROSPETTO CE_IV TRIM 2024'!BM1385+'PROSPETTO CE_IV TRIM 2024'!BM1386</f>
        <v>5472958.0199999996</v>
      </c>
      <c r="F368" s="439">
        <f>+E368</f>
        <v>5472958.0199999996</v>
      </c>
      <c r="G368" s="439">
        <v>4643081.2</v>
      </c>
      <c r="H368" s="439">
        <v>5472958.0239453716</v>
      </c>
      <c r="I368" s="435">
        <f t="shared" si="344"/>
        <v>-3.9453720673918724E-3</v>
      </c>
      <c r="J368" s="435">
        <f t="shared" si="345"/>
        <v>-3.9453720673918724E-3</v>
      </c>
      <c r="K368" s="439">
        <v>5472958.0239453716</v>
      </c>
      <c r="L368" s="439">
        <v>5472958.0239453716</v>
      </c>
      <c r="M368" s="439">
        <f t="shared" si="346"/>
        <v>-327044.35635203868</v>
      </c>
      <c r="N368" s="439">
        <v>5491146.9612850193</v>
      </c>
      <c r="O368" s="439">
        <v>5491146.9612850193</v>
      </c>
      <c r="P368" s="440">
        <v>5800002.3763520382</v>
      </c>
      <c r="Q368" s="439">
        <v>4643081.2</v>
      </c>
      <c r="R368" s="439">
        <f t="shared" si="339"/>
        <v>308855.41506701894</v>
      </c>
      <c r="S368" s="439">
        <f t="shared" si="340"/>
        <v>-848065.76128501911</v>
      </c>
      <c r="T368" s="441">
        <f t="shared" si="386"/>
        <v>-5.9756416028939077</v>
      </c>
      <c r="U368" s="439">
        <v>4118360.2209637645</v>
      </c>
      <c r="V368" s="439">
        <f>+AA368</f>
        <v>5800002.3763520382</v>
      </c>
      <c r="W368" s="439">
        <v>4704452</v>
      </c>
      <c r="X368" s="439">
        <v>4643081.2</v>
      </c>
      <c r="Y368" s="435">
        <f t="shared" si="342"/>
        <v>5970499.6581818173</v>
      </c>
      <c r="Z368" s="439">
        <v>5800002.3763520382</v>
      </c>
      <c r="AA368" s="439">
        <v>5800002.3763520382</v>
      </c>
      <c r="AB368" s="439">
        <v>1290042</v>
      </c>
      <c r="AC368" s="439">
        <v>2695646.2131760195</v>
      </c>
      <c r="AD368" s="439">
        <v>4643081.2</v>
      </c>
      <c r="AE368" s="435">
        <f t="shared" si="389"/>
        <v>829876.81999999937</v>
      </c>
      <c r="AF368" s="439">
        <f>AC368*2</f>
        <v>5391292.426352039</v>
      </c>
      <c r="AG368" s="439"/>
      <c r="AH368" s="419">
        <f t="shared" si="336"/>
        <v>-5472958.0199999996</v>
      </c>
      <c r="AI368" s="439"/>
      <c r="AJ368" s="439"/>
      <c r="AK368" s="439">
        <f>AA368-W368</f>
        <v>1095550.3763520382</v>
      </c>
      <c r="AL368" s="439">
        <f>AA368-AF368</f>
        <v>408709.94999999925</v>
      </c>
      <c r="AM368" s="439">
        <f>AA368-AD368</f>
        <v>1156921.176352038</v>
      </c>
      <c r="AN368" s="438"/>
      <c r="AO368" s="438"/>
      <c r="AP368" s="438"/>
    </row>
    <row r="369" spans="1:42" ht="12.75">
      <c r="A369" s="412">
        <v>367</v>
      </c>
      <c r="B369" s="431"/>
      <c r="C369" s="432" t="s">
        <v>571</v>
      </c>
      <c r="D369" s="433" t="s">
        <v>8424</v>
      </c>
      <c r="E369" s="434">
        <f>'PROSPETTO CE_IV TRIM 2024'!BM1398</f>
        <v>0</v>
      </c>
      <c r="F369" s="439">
        <f>+E369</f>
        <v>0</v>
      </c>
      <c r="G369" s="439">
        <v>0</v>
      </c>
      <c r="H369" s="439">
        <v>0</v>
      </c>
      <c r="I369" s="435">
        <f t="shared" si="344"/>
        <v>0</v>
      </c>
      <c r="J369" s="435">
        <f t="shared" si="345"/>
        <v>0</v>
      </c>
      <c r="K369" s="439">
        <v>0</v>
      </c>
      <c r="L369" s="439">
        <v>0</v>
      </c>
      <c r="M369" s="439">
        <f t="shared" si="346"/>
        <v>0</v>
      </c>
      <c r="N369" s="439">
        <v>0</v>
      </c>
      <c r="O369" s="439">
        <v>0</v>
      </c>
      <c r="P369" s="440">
        <v>0</v>
      </c>
      <c r="Q369" s="439">
        <v>0</v>
      </c>
      <c r="R369" s="439">
        <f t="shared" si="339"/>
        <v>0</v>
      </c>
      <c r="S369" s="439">
        <f t="shared" si="340"/>
        <v>0</v>
      </c>
      <c r="T369" s="441" t="e">
        <f t="shared" si="386"/>
        <v>#DIV/0!</v>
      </c>
      <c r="U369" s="439">
        <v>0</v>
      </c>
      <c r="V369" s="439">
        <f>+AA369</f>
        <v>0</v>
      </c>
      <c r="W369" s="439">
        <v>0</v>
      </c>
      <c r="X369" s="439">
        <v>0</v>
      </c>
      <c r="Y369" s="435">
        <f t="shared" si="342"/>
        <v>0</v>
      </c>
      <c r="Z369" s="439">
        <v>0</v>
      </c>
      <c r="AA369" s="439">
        <v>0</v>
      </c>
      <c r="AB369" s="439">
        <v>0</v>
      </c>
      <c r="AC369" s="439">
        <v>0</v>
      </c>
      <c r="AD369" s="439">
        <v>0</v>
      </c>
      <c r="AE369" s="435">
        <f t="shared" si="389"/>
        <v>0</v>
      </c>
      <c r="AF369" s="439">
        <f>AC369*2</f>
        <v>0</v>
      </c>
      <c r="AG369" s="439"/>
      <c r="AH369" s="419">
        <f t="shared" si="336"/>
        <v>0</v>
      </c>
      <c r="AI369" s="439"/>
      <c r="AJ369" s="439"/>
      <c r="AK369" s="439">
        <f>AA369-W369</f>
        <v>0</v>
      </c>
      <c r="AL369" s="439">
        <f>AA369-AF369</f>
        <v>0</v>
      </c>
      <c r="AM369" s="439">
        <f>AA369-AD369</f>
        <v>0</v>
      </c>
      <c r="AN369" s="438"/>
      <c r="AO369" s="438"/>
      <c r="AP369" s="438"/>
    </row>
    <row r="370" spans="1:42" ht="12.75">
      <c r="A370" s="412">
        <v>368</v>
      </c>
      <c r="B370" s="431"/>
      <c r="C370" s="432" t="s">
        <v>572</v>
      </c>
      <c r="D370" s="433" t="s">
        <v>8426</v>
      </c>
      <c r="E370" s="434"/>
      <c r="F370" s="435">
        <f>SUM(F371:F373)</f>
        <v>2497411.0300000003</v>
      </c>
      <c r="G370" s="435">
        <v>2149428.7000000002</v>
      </c>
      <c r="H370" s="435">
        <v>2497411.0309559936</v>
      </c>
      <c r="I370" s="435">
        <f t="shared" si="344"/>
        <v>-9.5599330961704254E-4</v>
      </c>
      <c r="J370" s="435">
        <f t="shared" si="345"/>
        <v>-9.5599330961704254E-4</v>
      </c>
      <c r="K370" s="435">
        <v>2497411.0309559936</v>
      </c>
      <c r="L370" s="435">
        <v>2497411.0309559936</v>
      </c>
      <c r="M370" s="435">
        <f t="shared" si="346"/>
        <v>100538.86741299042</v>
      </c>
      <c r="N370" s="435">
        <v>2354296.5294372509</v>
      </c>
      <c r="O370" s="435">
        <v>2354296.5294372509</v>
      </c>
      <c r="P370" s="436">
        <v>2396872.1625870098</v>
      </c>
      <c r="Q370" s="435">
        <f t="shared" ref="Q370" si="399">SUM(Q371:Q373)</f>
        <v>2149428.7000000002</v>
      </c>
      <c r="R370" s="435">
        <f t="shared" si="339"/>
        <v>42575.633149758913</v>
      </c>
      <c r="S370" s="435">
        <f t="shared" si="340"/>
        <v>-204867.82943725074</v>
      </c>
      <c r="T370" s="437">
        <f t="shared" si="386"/>
        <v>4.0257236876618752</v>
      </c>
      <c r="U370" s="435">
        <v>1765722.3970779385</v>
      </c>
      <c r="V370" s="435">
        <f>SUM(V371:V373)</f>
        <v>2396872.1625870098</v>
      </c>
      <c r="W370" s="435">
        <f>SUM(W371:W373)</f>
        <v>2450625</v>
      </c>
      <c r="X370" s="435">
        <f t="shared" ref="X370" si="400">SUM(X371:X373)</f>
        <v>2149428.7000000002</v>
      </c>
      <c r="Y370" s="435">
        <f t="shared" si="342"/>
        <v>2724448.3963636365</v>
      </c>
      <c r="Z370" s="435">
        <v>2396872.1625870098</v>
      </c>
      <c r="AA370" s="435">
        <v>2396872.1625870098</v>
      </c>
      <c r="AB370" s="435">
        <f t="shared" ref="AB370:AM370" si="401">SUM(AB371:AB373)</f>
        <v>641318</v>
      </c>
      <c r="AC370" s="435">
        <f t="shared" si="401"/>
        <v>1162982.4562935052</v>
      </c>
      <c r="AD370" s="435">
        <f t="shared" si="401"/>
        <v>2149428.7000000002</v>
      </c>
      <c r="AE370" s="435">
        <f t="shared" si="389"/>
        <v>347982.33000000007</v>
      </c>
      <c r="AF370" s="435">
        <f t="shared" si="401"/>
        <v>2325964.9125870103</v>
      </c>
      <c r="AG370" s="435">
        <f t="shared" si="401"/>
        <v>0</v>
      </c>
      <c r="AH370" s="419">
        <f t="shared" si="336"/>
        <v>-2497411.0300000003</v>
      </c>
      <c r="AI370" s="435">
        <f t="shared" si="401"/>
        <v>0</v>
      </c>
      <c r="AJ370" s="435">
        <f t="shared" si="401"/>
        <v>0</v>
      </c>
      <c r="AK370" s="435">
        <f t="shared" si="401"/>
        <v>-53752.837412990164</v>
      </c>
      <c r="AL370" s="435">
        <f t="shared" si="401"/>
        <v>70907.249999999767</v>
      </c>
      <c r="AM370" s="435">
        <f t="shared" si="401"/>
        <v>247443.46258700988</v>
      </c>
      <c r="AN370" s="438"/>
      <c r="AO370" s="438"/>
      <c r="AP370" s="438"/>
    </row>
    <row r="371" spans="1:42" ht="25.5">
      <c r="A371" s="412">
        <v>369</v>
      </c>
      <c r="B371" s="431"/>
      <c r="C371" s="432" t="s">
        <v>573</v>
      </c>
      <c r="D371" s="433" t="s">
        <v>8431</v>
      </c>
      <c r="E371" s="434">
        <f>'PROSPETTO CE_IV TRIM 2024'!BM1400+'PROSPETTO CE_IV TRIM 2024'!BM1401+'PROSPETTO CE_IV TRIM 2024'!BM1402+'PROSPETTO CE_IV TRIM 2024'!BM1403+'PROSPETTO CE_IV TRIM 2024'!BM1404+'PROSPETTO CE_IV TRIM 2024'!BM1410+'PROSPETTO CE_IV TRIM 2024'!BM1411+'PROSPETTO CE_IV TRIM 2024'!BM1412+'PROSPETTO CE_IV TRIM 2024'!BM1413</f>
        <v>2225580.08</v>
      </c>
      <c r="F371" s="439">
        <f>+E371</f>
        <v>2225580.08</v>
      </c>
      <c r="G371" s="439">
        <v>1873009.69</v>
      </c>
      <c r="H371" s="439">
        <v>2225580.0789226098</v>
      </c>
      <c r="I371" s="435">
        <f t="shared" si="344"/>
        <v>1.0773902758955956E-3</v>
      </c>
      <c r="J371" s="435">
        <f t="shared" si="345"/>
        <v>1.0773902758955956E-3</v>
      </c>
      <c r="K371" s="439">
        <v>2225580.0789226098</v>
      </c>
      <c r="L371" s="439">
        <v>2225580.0789226098</v>
      </c>
      <c r="M371" s="439">
        <f t="shared" si="346"/>
        <v>106832.79510617955</v>
      </c>
      <c r="N371" s="439">
        <v>2051300.3669847841</v>
      </c>
      <c r="O371" s="439">
        <v>2051300.3669847841</v>
      </c>
      <c r="P371" s="443">
        <v>2118747.2848938205</v>
      </c>
      <c r="Q371" s="439">
        <v>1873009.69</v>
      </c>
      <c r="R371" s="439">
        <f t="shared" si="339"/>
        <v>67446.91790903639</v>
      </c>
      <c r="S371" s="439">
        <f t="shared" si="340"/>
        <v>-178290.67698478419</v>
      </c>
      <c r="T371" s="441">
        <f t="shared" si="386"/>
        <v>4.8002224708166663</v>
      </c>
      <c r="U371" s="439">
        <v>1538475.2752385885</v>
      </c>
      <c r="V371" s="439">
        <f>+AA371</f>
        <v>2118747.2848938205</v>
      </c>
      <c r="W371" s="439">
        <v>2167520</v>
      </c>
      <c r="X371" s="439">
        <v>1873009.69</v>
      </c>
      <c r="Y371" s="435">
        <f t="shared" si="342"/>
        <v>2427905.541818182</v>
      </c>
      <c r="Z371" s="439">
        <v>2118747.2848938205</v>
      </c>
      <c r="AA371" s="439">
        <v>2118747.2848938205</v>
      </c>
      <c r="AB371" s="439">
        <v>559119</v>
      </c>
      <c r="AC371" s="439">
        <v>1023920.0174469104</v>
      </c>
      <c r="AD371" s="439">
        <v>1873009.69</v>
      </c>
      <c r="AE371" s="435">
        <f t="shared" si="389"/>
        <v>352570.39000000013</v>
      </c>
      <c r="AF371" s="439">
        <f>AC371*2</f>
        <v>2047840.0348938208</v>
      </c>
      <c r="AG371" s="439"/>
      <c r="AH371" s="419">
        <f t="shared" si="336"/>
        <v>-2225580.08</v>
      </c>
      <c r="AI371" s="439"/>
      <c r="AJ371" s="439"/>
      <c r="AK371" s="439">
        <f>AA371-W371</f>
        <v>-48772.715106179472</v>
      </c>
      <c r="AL371" s="439">
        <f>AA371-AF371</f>
        <v>70907.249999999767</v>
      </c>
      <c r="AM371" s="439">
        <f>AA371-AD371</f>
        <v>245737.59489382058</v>
      </c>
      <c r="AN371" s="438"/>
      <c r="AO371" s="438"/>
      <c r="AP371" s="438"/>
    </row>
    <row r="372" spans="1:42" ht="25.5">
      <c r="A372" s="412">
        <v>370</v>
      </c>
      <c r="B372" s="431"/>
      <c r="C372" s="432" t="s">
        <v>574</v>
      </c>
      <c r="D372" s="433" t="s">
        <v>8480</v>
      </c>
      <c r="E372" s="434">
        <f>'PROSPETTO CE_IV TRIM 2024'!BM1419+'PROSPETTO CE_IV TRIM 2024'!BM1420+'PROSPETTO CE_IV TRIM 2024'!BM1421+'PROSPETTO CE_IV TRIM 2024'!BM1422+'PROSPETTO CE_IV TRIM 2024'!BM1423+'PROSPETTO CE_IV TRIM 2024'!BM1432+'PROSPETTO CE_IV TRIM 2024'!BM1433+'PROSPETTO CE_IV TRIM 2024'!BM1434+'PROSPETTO CE_IV TRIM 2024'!BM1435</f>
        <v>271830.95</v>
      </c>
      <c r="F372" s="439">
        <f>+E372</f>
        <v>271830.95</v>
      </c>
      <c r="G372" s="439">
        <v>276419.01</v>
      </c>
      <c r="H372" s="439">
        <v>271830.95203338395</v>
      </c>
      <c r="I372" s="435">
        <f t="shared" si="344"/>
        <v>-2.0333839347586036E-3</v>
      </c>
      <c r="J372" s="435">
        <f t="shared" si="345"/>
        <v>-2.0333839347586036E-3</v>
      </c>
      <c r="K372" s="439">
        <v>271830.95203338395</v>
      </c>
      <c r="L372" s="439">
        <v>271830.95203338395</v>
      </c>
      <c r="M372" s="439">
        <f t="shared" si="346"/>
        <v>-6293.9276931892964</v>
      </c>
      <c r="N372" s="439">
        <v>302996.1624524669</v>
      </c>
      <c r="O372" s="439">
        <v>302996.1624524669</v>
      </c>
      <c r="P372" s="440">
        <v>278124.87769318931</v>
      </c>
      <c r="Q372" s="439">
        <v>276419.01</v>
      </c>
      <c r="R372" s="439">
        <f t="shared" si="339"/>
        <v>-24871.284759277594</v>
      </c>
      <c r="S372" s="439">
        <f t="shared" si="340"/>
        <v>-26577.152452466893</v>
      </c>
      <c r="T372" s="441">
        <f t="shared" si="386"/>
        <v>-2.3153830324285356</v>
      </c>
      <c r="U372" s="439">
        <v>227247.12183935018</v>
      </c>
      <c r="V372" s="439">
        <f>+AA372</f>
        <v>278124.87769318931</v>
      </c>
      <c r="W372" s="439">
        <v>283105</v>
      </c>
      <c r="X372" s="439">
        <v>276419.01</v>
      </c>
      <c r="Y372" s="435">
        <f t="shared" si="342"/>
        <v>296542.85454545455</v>
      </c>
      <c r="Z372" s="439">
        <v>278124.87769318931</v>
      </c>
      <c r="AA372" s="439">
        <v>278124.87769318931</v>
      </c>
      <c r="AB372" s="439">
        <v>82199</v>
      </c>
      <c r="AC372" s="439">
        <v>139062.43884659465</v>
      </c>
      <c r="AD372" s="439">
        <v>276419.01</v>
      </c>
      <c r="AE372" s="435">
        <f t="shared" si="389"/>
        <v>-4588.0599999999977</v>
      </c>
      <c r="AF372" s="439">
        <f>AC372*2</f>
        <v>278124.87769318931</v>
      </c>
      <c r="AG372" s="439"/>
      <c r="AH372" s="419">
        <f t="shared" si="336"/>
        <v>-271830.95</v>
      </c>
      <c r="AI372" s="439"/>
      <c r="AJ372" s="439"/>
      <c r="AK372" s="439">
        <f>AA372-W372</f>
        <v>-4980.122306810692</v>
      </c>
      <c r="AL372" s="439">
        <f>AA372-AF372</f>
        <v>0</v>
      </c>
      <c r="AM372" s="439">
        <f>AA372-AD372</f>
        <v>1705.8676931892987</v>
      </c>
      <c r="AN372" s="438"/>
      <c r="AO372" s="438"/>
      <c r="AP372" s="438"/>
    </row>
    <row r="373" spans="1:42" ht="12.75">
      <c r="A373" s="412">
        <v>371</v>
      </c>
      <c r="B373" s="431"/>
      <c r="C373" s="432" t="s">
        <v>575</v>
      </c>
      <c r="D373" s="433" t="s">
        <v>8547</v>
      </c>
      <c r="E373" s="434">
        <f>'PROSPETTO CE_IV TRIM 2024'!BM1447</f>
        <v>0</v>
      </c>
      <c r="F373" s="439">
        <f>+E373</f>
        <v>0</v>
      </c>
      <c r="G373" s="439">
        <v>0</v>
      </c>
      <c r="H373" s="439">
        <v>0</v>
      </c>
      <c r="I373" s="435">
        <f t="shared" si="344"/>
        <v>0</v>
      </c>
      <c r="J373" s="435">
        <f t="shared" si="345"/>
        <v>0</v>
      </c>
      <c r="K373" s="439">
        <v>0</v>
      </c>
      <c r="L373" s="439">
        <v>0</v>
      </c>
      <c r="M373" s="439">
        <f t="shared" si="346"/>
        <v>0</v>
      </c>
      <c r="N373" s="439">
        <v>0</v>
      </c>
      <c r="O373" s="439">
        <v>0</v>
      </c>
      <c r="P373" s="440">
        <v>0</v>
      </c>
      <c r="Q373" s="439">
        <v>0</v>
      </c>
      <c r="R373" s="439">
        <f t="shared" si="339"/>
        <v>0</v>
      </c>
      <c r="S373" s="439">
        <f t="shared" si="340"/>
        <v>0</v>
      </c>
      <c r="T373" s="441"/>
      <c r="U373" s="439">
        <v>0</v>
      </c>
      <c r="V373" s="439">
        <f>+AA373</f>
        <v>0</v>
      </c>
      <c r="W373" s="439">
        <v>0</v>
      </c>
      <c r="X373" s="439">
        <v>0</v>
      </c>
      <c r="Y373" s="435">
        <f t="shared" si="342"/>
        <v>0</v>
      </c>
      <c r="Z373" s="439">
        <v>0</v>
      </c>
      <c r="AA373" s="439">
        <v>0</v>
      </c>
      <c r="AB373" s="439">
        <v>0</v>
      </c>
      <c r="AC373" s="439">
        <v>0</v>
      </c>
      <c r="AD373" s="439">
        <v>0</v>
      </c>
      <c r="AE373" s="435">
        <f t="shared" si="389"/>
        <v>0</v>
      </c>
      <c r="AF373" s="439">
        <f>AC373*2</f>
        <v>0</v>
      </c>
      <c r="AG373" s="439"/>
      <c r="AH373" s="419">
        <f t="shared" si="336"/>
        <v>0</v>
      </c>
      <c r="AI373" s="439"/>
      <c r="AJ373" s="439"/>
      <c r="AK373" s="439">
        <f>AA373-W373</f>
        <v>0</v>
      </c>
      <c r="AL373" s="439">
        <f>AA373-AF373</f>
        <v>0</v>
      </c>
      <c r="AM373" s="439">
        <f>AA373-AD373</f>
        <v>0</v>
      </c>
      <c r="AN373" s="438"/>
      <c r="AO373" s="438"/>
      <c r="AP373" s="438"/>
    </row>
    <row r="374" spans="1:42" ht="12.75">
      <c r="A374" s="412">
        <v>372</v>
      </c>
      <c r="B374" s="431"/>
      <c r="C374" s="432" t="s">
        <v>576</v>
      </c>
      <c r="D374" s="433" t="s">
        <v>8549</v>
      </c>
      <c r="E374" s="434"/>
      <c r="F374" s="435">
        <f>SUM(F375:F377)</f>
        <v>52655567.550000004</v>
      </c>
      <c r="G374" s="435">
        <v>51132415.920000002</v>
      </c>
      <c r="H374" s="435">
        <v>52655567.549999997</v>
      </c>
      <c r="I374" s="435">
        <f t="shared" si="344"/>
        <v>0</v>
      </c>
      <c r="J374" s="435">
        <f t="shared" si="345"/>
        <v>0</v>
      </c>
      <c r="K374" s="435">
        <v>52655567.549999997</v>
      </c>
      <c r="L374" s="435">
        <v>52655567.549999997</v>
      </c>
      <c r="M374" s="435">
        <f t="shared" si="346"/>
        <v>740051.65644841641</v>
      </c>
      <c r="N374" s="435">
        <v>50235134.460736156</v>
      </c>
      <c r="O374" s="435">
        <v>50235134.460736156</v>
      </c>
      <c r="P374" s="436">
        <v>51915515.893551588</v>
      </c>
      <c r="Q374" s="435">
        <f t="shared" ref="Q374" si="402">SUM(Q375:Q377)</f>
        <v>51132415.920000002</v>
      </c>
      <c r="R374" s="435">
        <f t="shared" si="339"/>
        <v>1680381.4328154325</v>
      </c>
      <c r="S374" s="435">
        <f t="shared" si="340"/>
        <v>897281.45926384628</v>
      </c>
      <c r="T374" s="437">
        <f t="shared" ref="T374:T381" si="403">(F374-P374)/F374*100</f>
        <v>1.4054575629551189</v>
      </c>
      <c r="U374" s="435">
        <v>37676350.845552102</v>
      </c>
      <c r="V374" s="435">
        <f>SUM(V375:V377)</f>
        <v>51915515.893551588</v>
      </c>
      <c r="W374" s="435">
        <f>SUM(W375:W377)</f>
        <v>52471283</v>
      </c>
      <c r="X374" s="435">
        <f t="shared" ref="X374" si="404">SUM(X375:X377)</f>
        <v>51132415.920000002</v>
      </c>
      <c r="Y374" s="435">
        <f t="shared" si="342"/>
        <v>57442437.327272728</v>
      </c>
      <c r="Z374" s="435">
        <v>51915515.893551588</v>
      </c>
      <c r="AA374" s="435">
        <v>51915515.893551588</v>
      </c>
      <c r="AB374" s="435">
        <f t="shared" ref="AB374:AM374" si="405">SUM(AB375:AB377)</f>
        <v>12772829</v>
      </c>
      <c r="AC374" s="435">
        <f t="shared" si="405"/>
        <v>25545102.326775789</v>
      </c>
      <c r="AD374" s="435">
        <f t="shared" si="405"/>
        <v>51132415.920000002</v>
      </c>
      <c r="AE374" s="435">
        <f t="shared" si="389"/>
        <v>1523151.6300000027</v>
      </c>
      <c r="AF374" s="435">
        <f t="shared" si="405"/>
        <v>51090204.653551579</v>
      </c>
      <c r="AG374" s="435">
        <f t="shared" si="405"/>
        <v>0</v>
      </c>
      <c r="AH374" s="419">
        <f t="shared" si="336"/>
        <v>-52655567.550000004</v>
      </c>
      <c r="AI374" s="435">
        <f t="shared" si="405"/>
        <v>0</v>
      </c>
      <c r="AJ374" s="435">
        <f t="shared" si="405"/>
        <v>0</v>
      </c>
      <c r="AK374" s="435">
        <f t="shared" si="405"/>
        <v>-555767.10644841567</v>
      </c>
      <c r="AL374" s="435">
        <f t="shared" si="405"/>
        <v>825311.24000000209</v>
      </c>
      <c r="AM374" s="435">
        <f t="shared" si="405"/>
        <v>783099.97355158255</v>
      </c>
      <c r="AN374" s="438"/>
      <c r="AO374" s="438"/>
      <c r="AP374" s="438"/>
    </row>
    <row r="375" spans="1:42" ht="25.5">
      <c r="A375" s="412">
        <v>373</v>
      </c>
      <c r="B375" s="431"/>
      <c r="C375" s="432" t="s">
        <v>577</v>
      </c>
      <c r="D375" s="433" t="s">
        <v>8551</v>
      </c>
      <c r="E375" s="434">
        <f>'PROSPETTO CE_IV TRIM 2024'!BM1449</f>
        <v>41867392.420000002</v>
      </c>
      <c r="F375" s="439">
        <f>+E375</f>
        <v>41867392.420000002</v>
      </c>
      <c r="G375" s="439">
        <v>39064563.810000002</v>
      </c>
      <c r="H375" s="439">
        <v>41867392.420000002</v>
      </c>
      <c r="I375" s="435">
        <f t="shared" si="344"/>
        <v>0</v>
      </c>
      <c r="J375" s="435">
        <f t="shared" si="345"/>
        <v>0</v>
      </c>
      <c r="K375" s="439">
        <v>41867392.420000002</v>
      </c>
      <c r="L375" s="439">
        <v>41867392.420000002</v>
      </c>
      <c r="M375" s="439">
        <f t="shared" si="346"/>
        <v>2405947.3000558317</v>
      </c>
      <c r="N375" s="439">
        <v>38031710.497439444</v>
      </c>
      <c r="O375" s="439">
        <v>38031710.497439444</v>
      </c>
      <c r="P375" s="443">
        <v>39461445.11994417</v>
      </c>
      <c r="Q375" s="439">
        <v>39064563.810000002</v>
      </c>
      <c r="R375" s="439">
        <f t="shared" si="339"/>
        <v>1429734.6225047261</v>
      </c>
      <c r="S375" s="439">
        <f t="shared" si="340"/>
        <v>1032853.3125605583</v>
      </c>
      <c r="T375" s="441">
        <f t="shared" si="403"/>
        <v>5.746589794559342</v>
      </c>
      <c r="U375" s="439">
        <v>28523782.873079576</v>
      </c>
      <c r="V375" s="439">
        <f>+AA375</f>
        <v>39461445.11994417</v>
      </c>
      <c r="W375" s="439">
        <v>40403431</v>
      </c>
      <c r="X375" s="439">
        <v>39064563.810000002</v>
      </c>
      <c r="Y375" s="435">
        <f t="shared" si="342"/>
        <v>45673519.003636368</v>
      </c>
      <c r="Z375" s="439">
        <v>39461445.11994417</v>
      </c>
      <c r="AA375" s="439">
        <v>39461445.11994417</v>
      </c>
      <c r="AB375" s="439">
        <v>9861012</v>
      </c>
      <c r="AC375" s="439">
        <v>19702193.789972086</v>
      </c>
      <c r="AD375" s="439">
        <v>39064563.810000002</v>
      </c>
      <c r="AE375" s="435">
        <f t="shared" si="389"/>
        <v>2802828.6099999994</v>
      </c>
      <c r="AF375" s="439">
        <f>AC375*2</f>
        <v>39404387.579944171</v>
      </c>
      <c r="AG375" s="439"/>
      <c r="AH375" s="419">
        <f t="shared" si="336"/>
        <v>-41867392.420000002</v>
      </c>
      <c r="AI375" s="439"/>
      <c r="AJ375" s="439"/>
      <c r="AK375" s="439">
        <f>AA375-W375</f>
        <v>-941985.88005582988</v>
      </c>
      <c r="AL375" s="439">
        <f>AA375-AF375</f>
        <v>57057.539999999106</v>
      </c>
      <c r="AM375" s="439">
        <f>AA375-AD375</f>
        <v>396881.30994416773</v>
      </c>
      <c r="AN375" s="438"/>
      <c r="AO375" s="438"/>
      <c r="AP375" s="438"/>
    </row>
    <row r="376" spans="1:42" ht="25.5">
      <c r="A376" s="412">
        <v>374</v>
      </c>
      <c r="B376" s="431"/>
      <c r="C376" s="432" t="s">
        <v>578</v>
      </c>
      <c r="D376" s="433" t="s">
        <v>8607</v>
      </c>
      <c r="E376" s="434">
        <f>'PROSPETTO CE_IV TRIM 2024'!BM1473</f>
        <v>10788175.130000001</v>
      </c>
      <c r="F376" s="439">
        <f>+E376</f>
        <v>10788175.130000001</v>
      </c>
      <c r="G376" s="439">
        <v>12067852.109999999</v>
      </c>
      <c r="H376" s="439">
        <v>10788175.129999999</v>
      </c>
      <c r="I376" s="435">
        <f t="shared" si="344"/>
        <v>0</v>
      </c>
      <c r="J376" s="435">
        <f t="shared" si="345"/>
        <v>0</v>
      </c>
      <c r="K376" s="439">
        <v>10788175.129999999</v>
      </c>
      <c r="L376" s="439">
        <v>10788175.129999999</v>
      </c>
      <c r="M376" s="439">
        <f t="shared" si="346"/>
        <v>-1665895.6436074134</v>
      </c>
      <c r="N376" s="439">
        <v>12203423.963296708</v>
      </c>
      <c r="O376" s="439">
        <v>12203423.963296708</v>
      </c>
      <c r="P376" s="440">
        <v>12454070.773607414</v>
      </c>
      <c r="Q376" s="439">
        <v>12067852.109999999</v>
      </c>
      <c r="R376" s="439">
        <f t="shared" si="339"/>
        <v>250646.8103107065</v>
      </c>
      <c r="S376" s="439">
        <f t="shared" si="340"/>
        <v>-135571.85329670832</v>
      </c>
      <c r="T376" s="441">
        <f t="shared" si="403"/>
        <v>-15.441866891601094</v>
      </c>
      <c r="U376" s="439">
        <v>9152567.9724725299</v>
      </c>
      <c r="V376" s="439">
        <f>+AA376</f>
        <v>12454070.773607414</v>
      </c>
      <c r="W376" s="439">
        <v>12067852</v>
      </c>
      <c r="X376" s="439">
        <v>12067852.109999999</v>
      </c>
      <c r="Y376" s="435">
        <f t="shared" si="342"/>
        <v>11768918.323636364</v>
      </c>
      <c r="Z376" s="439">
        <v>12454070.773607414</v>
      </c>
      <c r="AA376" s="439">
        <v>12454070.773607414</v>
      </c>
      <c r="AB376" s="439">
        <v>2911817</v>
      </c>
      <c r="AC376" s="439">
        <v>5842908.5368037056</v>
      </c>
      <c r="AD376" s="439">
        <v>12067852.109999999</v>
      </c>
      <c r="AE376" s="435">
        <f t="shared" si="389"/>
        <v>-1279676.9799999986</v>
      </c>
      <c r="AF376" s="439">
        <f>AC376*2</f>
        <v>11685817.073607411</v>
      </c>
      <c r="AG376" s="439"/>
      <c r="AH376" s="419">
        <f t="shared" si="336"/>
        <v>-10788175.130000001</v>
      </c>
      <c r="AI376" s="439"/>
      <c r="AJ376" s="439"/>
      <c r="AK376" s="439">
        <f>AA376-W376</f>
        <v>386218.77360741422</v>
      </c>
      <c r="AL376" s="439">
        <f>AA376-AF376</f>
        <v>768253.70000000298</v>
      </c>
      <c r="AM376" s="439">
        <f>AA376-AD376</f>
        <v>386218.66360741481</v>
      </c>
      <c r="AN376" s="438"/>
      <c r="AO376" s="438"/>
      <c r="AP376" s="438"/>
    </row>
    <row r="377" spans="1:42" ht="12.75">
      <c r="A377" s="412">
        <v>375</v>
      </c>
      <c r="B377" s="431"/>
      <c r="C377" s="432" t="s">
        <v>579</v>
      </c>
      <c r="D377" s="433" t="s">
        <v>8678</v>
      </c>
      <c r="E377" s="434">
        <f>'PROSPETTO CE_IV TRIM 2024'!BM1503</f>
        <v>0</v>
      </c>
      <c r="F377" s="439">
        <f>+E377</f>
        <v>0</v>
      </c>
      <c r="G377" s="439">
        <v>0</v>
      </c>
      <c r="H377" s="439">
        <v>0</v>
      </c>
      <c r="I377" s="435">
        <f t="shared" si="344"/>
        <v>0</v>
      </c>
      <c r="J377" s="435">
        <f t="shared" si="345"/>
        <v>0</v>
      </c>
      <c r="K377" s="439">
        <v>0</v>
      </c>
      <c r="L377" s="439">
        <v>0</v>
      </c>
      <c r="M377" s="439">
        <f t="shared" si="346"/>
        <v>0</v>
      </c>
      <c r="N377" s="439">
        <v>0</v>
      </c>
      <c r="O377" s="439">
        <v>0</v>
      </c>
      <c r="P377" s="440">
        <v>0</v>
      </c>
      <c r="Q377" s="439">
        <v>0</v>
      </c>
      <c r="R377" s="439">
        <f t="shared" si="339"/>
        <v>0</v>
      </c>
      <c r="S377" s="439">
        <f t="shared" si="340"/>
        <v>0</v>
      </c>
      <c r="T377" s="441" t="e">
        <f t="shared" si="403"/>
        <v>#DIV/0!</v>
      </c>
      <c r="U377" s="439">
        <v>0</v>
      </c>
      <c r="V377" s="439">
        <f>+AA377</f>
        <v>0</v>
      </c>
      <c r="W377" s="439">
        <v>0</v>
      </c>
      <c r="X377" s="439">
        <v>0</v>
      </c>
      <c r="Y377" s="435">
        <f t="shared" si="342"/>
        <v>0</v>
      </c>
      <c r="Z377" s="439">
        <v>0</v>
      </c>
      <c r="AA377" s="439">
        <v>0</v>
      </c>
      <c r="AB377" s="439">
        <v>0</v>
      </c>
      <c r="AC377" s="439">
        <v>0</v>
      </c>
      <c r="AD377" s="439">
        <v>0</v>
      </c>
      <c r="AE377" s="435">
        <f t="shared" si="389"/>
        <v>0</v>
      </c>
      <c r="AF377" s="439">
        <f>AC377*2</f>
        <v>0</v>
      </c>
      <c r="AG377" s="439"/>
      <c r="AH377" s="419">
        <f t="shared" si="336"/>
        <v>0</v>
      </c>
      <c r="AI377" s="439"/>
      <c r="AJ377" s="439"/>
      <c r="AK377" s="439">
        <f>AA377-W377</f>
        <v>0</v>
      </c>
      <c r="AL377" s="439">
        <f>AA377-AF377</f>
        <v>0</v>
      </c>
      <c r="AM377" s="439">
        <f>AA377-AD377</f>
        <v>0</v>
      </c>
      <c r="AN377" s="438"/>
      <c r="AO377" s="438"/>
      <c r="AP377" s="438"/>
    </row>
    <row r="378" spans="1:42" ht="12.75">
      <c r="A378" s="412">
        <v>376</v>
      </c>
      <c r="B378" s="431"/>
      <c r="C378" s="432" t="s">
        <v>580</v>
      </c>
      <c r="D378" s="433" t="s">
        <v>8737</v>
      </c>
      <c r="E378" s="434"/>
      <c r="F378" s="435">
        <f>+F379+F383</f>
        <v>941417.89</v>
      </c>
      <c r="G378" s="435">
        <v>988117.89</v>
      </c>
      <c r="H378" s="435">
        <v>942587.53</v>
      </c>
      <c r="I378" s="435">
        <f t="shared" si="344"/>
        <v>-1169.640000000014</v>
      </c>
      <c r="J378" s="435">
        <f t="shared" si="345"/>
        <v>-1169.640000000014</v>
      </c>
      <c r="K378" s="435">
        <v>942587.53</v>
      </c>
      <c r="L378" s="435">
        <v>942587.53</v>
      </c>
      <c r="M378" s="435">
        <f t="shared" si="346"/>
        <v>78560.483313082252</v>
      </c>
      <c r="N378" s="435">
        <v>897395.55631137476</v>
      </c>
      <c r="O378" s="435">
        <v>897395.55631137476</v>
      </c>
      <c r="P378" s="436">
        <v>862857.40668691776</v>
      </c>
      <c r="Q378" s="435">
        <f t="shared" ref="Q378" si="406">+Q379+Q383</f>
        <v>988117.89</v>
      </c>
      <c r="R378" s="435">
        <f t="shared" si="339"/>
        <v>-34538.149624457001</v>
      </c>
      <c r="S378" s="435">
        <f t="shared" si="340"/>
        <v>90722.333688625251</v>
      </c>
      <c r="T378" s="437">
        <f t="shared" si="403"/>
        <v>8.3449108145886459</v>
      </c>
      <c r="U378" s="435">
        <v>673046.66723353101</v>
      </c>
      <c r="V378" s="435">
        <f>+V379+V383</f>
        <v>862857.40668691776</v>
      </c>
      <c r="W378" s="435">
        <f>+W379+W383</f>
        <v>1081650</v>
      </c>
      <c r="X378" s="435">
        <f t="shared" ref="X378" si="407">+X379+X383</f>
        <v>988117.89</v>
      </c>
      <c r="Y378" s="435">
        <f t="shared" si="342"/>
        <v>1027001.3345454546</v>
      </c>
      <c r="Z378" s="435">
        <v>862857.40668691776</v>
      </c>
      <c r="AA378" s="435">
        <v>862857.40668691776</v>
      </c>
      <c r="AB378" s="435">
        <f t="shared" ref="AB378:AM378" si="408">+AB379+AB383</f>
        <v>189380</v>
      </c>
      <c r="AC378" s="435">
        <f t="shared" si="408"/>
        <v>419981.2833434589</v>
      </c>
      <c r="AD378" s="435">
        <f t="shared" si="408"/>
        <v>988117.89</v>
      </c>
      <c r="AE378" s="435">
        <f t="shared" si="389"/>
        <v>-46700</v>
      </c>
      <c r="AF378" s="435">
        <f t="shared" si="408"/>
        <v>839962.56668691779</v>
      </c>
      <c r="AG378" s="435">
        <f t="shared" si="408"/>
        <v>0</v>
      </c>
      <c r="AH378" s="419">
        <f t="shared" si="336"/>
        <v>-941417.89</v>
      </c>
      <c r="AI378" s="435">
        <f t="shared" si="408"/>
        <v>0</v>
      </c>
      <c r="AJ378" s="435">
        <f t="shared" si="408"/>
        <v>0</v>
      </c>
      <c r="AK378" s="435">
        <f t="shared" si="408"/>
        <v>-218792.5933130823</v>
      </c>
      <c r="AL378" s="435">
        <f t="shared" si="408"/>
        <v>22894.839999999967</v>
      </c>
      <c r="AM378" s="435">
        <f t="shared" si="408"/>
        <v>-125260.48331308225</v>
      </c>
      <c r="AN378" s="438"/>
      <c r="AO378" s="438"/>
      <c r="AP378" s="438"/>
    </row>
    <row r="379" spans="1:42" ht="12.75">
      <c r="A379" s="412">
        <v>377</v>
      </c>
      <c r="B379" s="431"/>
      <c r="C379" s="432" t="s">
        <v>581</v>
      </c>
      <c r="D379" s="433" t="s">
        <v>8739</v>
      </c>
      <c r="E379" s="434"/>
      <c r="F379" s="435">
        <f>SUM(F380:F382)</f>
        <v>824968.04</v>
      </c>
      <c r="G379" s="435">
        <v>673236.53</v>
      </c>
      <c r="H379" s="435">
        <v>824968.04</v>
      </c>
      <c r="I379" s="435">
        <f t="shared" si="344"/>
        <v>0</v>
      </c>
      <c r="J379" s="435">
        <f t="shared" si="345"/>
        <v>0</v>
      </c>
      <c r="K379" s="435">
        <v>824968.04</v>
      </c>
      <c r="L379" s="435">
        <v>824968.04</v>
      </c>
      <c r="M379" s="435">
        <f t="shared" si="346"/>
        <v>109630.91242092312</v>
      </c>
      <c r="N379" s="435">
        <v>778529.51537958975</v>
      </c>
      <c r="O379" s="435">
        <v>778529.51537958975</v>
      </c>
      <c r="P379" s="436">
        <v>715337.12757907691</v>
      </c>
      <c r="Q379" s="435">
        <f t="shared" ref="Q379" si="409">SUM(Q380:Q382)</f>
        <v>673236.53</v>
      </c>
      <c r="R379" s="435">
        <f t="shared" si="339"/>
        <v>-63192.387800512835</v>
      </c>
      <c r="S379" s="435">
        <f t="shared" si="340"/>
        <v>-105292.98537958972</v>
      </c>
      <c r="T379" s="437">
        <f t="shared" si="403"/>
        <v>13.289110257037729</v>
      </c>
      <c r="U379" s="435">
        <v>583897.13653469225</v>
      </c>
      <c r="V379" s="435">
        <f>SUM(V380:V382)</f>
        <v>715337.12757907691</v>
      </c>
      <c r="W379" s="435">
        <f>SUM(W380:W382)</f>
        <v>766768</v>
      </c>
      <c r="X379" s="435">
        <f t="shared" ref="X379" si="410">SUM(X380:X382)</f>
        <v>673236.53</v>
      </c>
      <c r="Y379" s="435">
        <f t="shared" si="342"/>
        <v>899965.13454545452</v>
      </c>
      <c r="Z379" s="435">
        <v>715337.12757907691</v>
      </c>
      <c r="AA379" s="435">
        <v>715337.12757907691</v>
      </c>
      <c r="AB379" s="435">
        <f t="shared" ref="AB379:AM379" si="411">SUM(AB380:AB382)</f>
        <v>160676</v>
      </c>
      <c r="AC379" s="435">
        <f t="shared" si="411"/>
        <v>346221.14378953847</v>
      </c>
      <c r="AD379" s="435">
        <f t="shared" si="411"/>
        <v>673236.53</v>
      </c>
      <c r="AE379" s="435">
        <f t="shared" si="389"/>
        <v>151731.51</v>
      </c>
      <c r="AF379" s="435">
        <f t="shared" si="411"/>
        <v>692442.28757907695</v>
      </c>
      <c r="AG379" s="435">
        <f t="shared" si="411"/>
        <v>0</v>
      </c>
      <c r="AH379" s="419">
        <f t="shared" si="336"/>
        <v>-824968.04</v>
      </c>
      <c r="AI379" s="435">
        <f t="shared" si="411"/>
        <v>0</v>
      </c>
      <c r="AJ379" s="435">
        <f t="shared" si="411"/>
        <v>0</v>
      </c>
      <c r="AK379" s="435">
        <f t="shared" si="411"/>
        <v>-51430.872420923086</v>
      </c>
      <c r="AL379" s="435">
        <f t="shared" si="411"/>
        <v>22894.839999999967</v>
      </c>
      <c r="AM379" s="435">
        <f t="shared" si="411"/>
        <v>42100.597579076944</v>
      </c>
      <c r="AN379" s="438"/>
      <c r="AO379" s="438"/>
      <c r="AP379" s="438"/>
    </row>
    <row r="380" spans="1:42" ht="25.5">
      <c r="A380" s="412">
        <v>378</v>
      </c>
      <c r="B380" s="431"/>
      <c r="C380" s="432" t="s">
        <v>582</v>
      </c>
      <c r="D380" s="433" t="s">
        <v>8741</v>
      </c>
      <c r="E380" s="434">
        <f>'PROSPETTO CE_IV TRIM 2024'!BM1534</f>
        <v>338360.01</v>
      </c>
      <c r="F380" s="439">
        <f>+E380</f>
        <v>338360.01</v>
      </c>
      <c r="G380" s="439">
        <v>342070.44999999995</v>
      </c>
      <c r="H380" s="439">
        <v>338360.01</v>
      </c>
      <c r="I380" s="435">
        <f t="shared" si="344"/>
        <v>0</v>
      </c>
      <c r="J380" s="435">
        <f t="shared" si="345"/>
        <v>0</v>
      </c>
      <c r="K380" s="439">
        <v>338360.01</v>
      </c>
      <c r="L380" s="439">
        <v>338360.01</v>
      </c>
      <c r="M380" s="439">
        <f t="shared" si="346"/>
        <v>-19913.657257538463</v>
      </c>
      <c r="N380" s="439">
        <v>353307.6976708718</v>
      </c>
      <c r="O380" s="439">
        <v>353307.6976708718</v>
      </c>
      <c r="P380" s="440">
        <v>358273.66725753847</v>
      </c>
      <c r="Q380" s="439">
        <v>342070.44999999995</v>
      </c>
      <c r="R380" s="439">
        <f t="shared" si="339"/>
        <v>4965.9695866666734</v>
      </c>
      <c r="S380" s="439">
        <f t="shared" si="340"/>
        <v>-11237.247670871846</v>
      </c>
      <c r="T380" s="441">
        <f t="shared" si="403"/>
        <v>-5.885345983273397</v>
      </c>
      <c r="U380" s="439">
        <v>264980.77325315383</v>
      </c>
      <c r="V380" s="439">
        <f>+AA380</f>
        <v>358273.66725753847</v>
      </c>
      <c r="W380" s="439">
        <v>435402</v>
      </c>
      <c r="X380" s="439">
        <v>342070.44999999995</v>
      </c>
      <c r="Y380" s="435">
        <f t="shared" si="342"/>
        <v>369120.01090909092</v>
      </c>
      <c r="Z380" s="439">
        <v>358273.66725753847</v>
      </c>
      <c r="AA380" s="439">
        <v>358273.66725753847</v>
      </c>
      <c r="AB380" s="439">
        <v>80221</v>
      </c>
      <c r="AC380" s="439">
        <v>167689.41362876925</v>
      </c>
      <c r="AD380" s="439">
        <v>342070.44999999995</v>
      </c>
      <c r="AE380" s="435">
        <f t="shared" si="389"/>
        <v>-3710.4399999999441</v>
      </c>
      <c r="AF380" s="439">
        <f>AC380*2</f>
        <v>335378.82725753851</v>
      </c>
      <c r="AG380" s="439"/>
      <c r="AH380" s="419">
        <f t="shared" si="336"/>
        <v>-338360.01</v>
      </c>
      <c r="AI380" s="439"/>
      <c r="AJ380" s="439"/>
      <c r="AK380" s="439">
        <f>AA380-W380</f>
        <v>-77128.332742461527</v>
      </c>
      <c r="AL380" s="439">
        <f>AA380-AF380</f>
        <v>22894.839999999967</v>
      </c>
      <c r="AM380" s="439">
        <f>AA380-AD380</f>
        <v>16203.217257538519</v>
      </c>
      <c r="AN380" s="438"/>
      <c r="AO380" s="438"/>
      <c r="AP380" s="438"/>
    </row>
    <row r="381" spans="1:42" ht="25.5">
      <c r="A381" s="412">
        <v>379</v>
      </c>
      <c r="B381" s="431"/>
      <c r="C381" s="432" t="s">
        <v>583</v>
      </c>
      <c r="D381" s="433" t="s">
        <v>8805</v>
      </c>
      <c r="E381" s="434">
        <f>'PROSPETTO CE_IV TRIM 2024'!BM1562</f>
        <v>486608.02999999997</v>
      </c>
      <c r="F381" s="439">
        <f>+E381</f>
        <v>486608.02999999997</v>
      </c>
      <c r="G381" s="439">
        <v>331166.08000000002</v>
      </c>
      <c r="H381" s="439">
        <v>486608.02999999997</v>
      </c>
      <c r="I381" s="435">
        <f t="shared" si="344"/>
        <v>0</v>
      </c>
      <c r="J381" s="435">
        <f t="shared" si="345"/>
        <v>0</v>
      </c>
      <c r="K381" s="439">
        <v>486608.02999999997</v>
      </c>
      <c r="L381" s="439">
        <v>486608.02999999997</v>
      </c>
      <c r="M381" s="439">
        <f t="shared" si="346"/>
        <v>129544.56967846153</v>
      </c>
      <c r="N381" s="439">
        <v>425221.81770871795</v>
      </c>
      <c r="O381" s="439">
        <v>425221.81770871795</v>
      </c>
      <c r="P381" s="443">
        <v>357063.46032153844</v>
      </c>
      <c r="Q381" s="439">
        <v>331166.08000000002</v>
      </c>
      <c r="R381" s="439">
        <f t="shared" si="339"/>
        <v>-68158.357387179509</v>
      </c>
      <c r="S381" s="439">
        <f t="shared" si="340"/>
        <v>-94055.737708717934</v>
      </c>
      <c r="T381" s="441">
        <f t="shared" si="403"/>
        <v>26.62195477507051</v>
      </c>
      <c r="U381" s="439">
        <v>318916.36328153848</v>
      </c>
      <c r="V381" s="439">
        <f>+AA381</f>
        <v>357063.46032153844</v>
      </c>
      <c r="W381" s="439">
        <v>331366</v>
      </c>
      <c r="X381" s="439">
        <v>331166.08000000002</v>
      </c>
      <c r="Y381" s="435">
        <f t="shared" si="342"/>
        <v>530845.12363636366</v>
      </c>
      <c r="Z381" s="439">
        <v>357063.46032153844</v>
      </c>
      <c r="AA381" s="439">
        <v>357063.46032153844</v>
      </c>
      <c r="AB381" s="439">
        <v>80455</v>
      </c>
      <c r="AC381" s="439">
        <v>178531.73016076922</v>
      </c>
      <c r="AD381" s="439">
        <v>331166.08000000002</v>
      </c>
      <c r="AE381" s="435">
        <f t="shared" si="389"/>
        <v>155441.94999999995</v>
      </c>
      <c r="AF381" s="439">
        <f>AC381*2</f>
        <v>357063.46032153844</v>
      </c>
      <c r="AG381" s="439"/>
      <c r="AH381" s="419">
        <f t="shared" si="336"/>
        <v>-486608.02999999997</v>
      </c>
      <c r="AI381" s="439"/>
      <c r="AJ381" s="439"/>
      <c r="AK381" s="439">
        <f>AA381-W381</f>
        <v>25697.460321538441</v>
      </c>
      <c r="AL381" s="439">
        <f>AA381-AF381</f>
        <v>0</v>
      </c>
      <c r="AM381" s="439">
        <f>AA381-AD381</f>
        <v>25897.380321538425</v>
      </c>
      <c r="AN381" s="438"/>
      <c r="AO381" s="438"/>
      <c r="AP381" s="438"/>
    </row>
    <row r="382" spans="1:42" ht="12.75">
      <c r="A382" s="412">
        <v>380</v>
      </c>
      <c r="B382" s="431"/>
      <c r="C382" s="432" t="s">
        <v>584</v>
      </c>
      <c r="D382" s="433" t="s">
        <v>8868</v>
      </c>
      <c r="E382" s="434">
        <f>'PROSPETTO CE_IV TRIM 2024'!BM1590</f>
        <v>0</v>
      </c>
      <c r="F382" s="439">
        <f>+E382</f>
        <v>0</v>
      </c>
      <c r="G382" s="439">
        <v>0</v>
      </c>
      <c r="H382" s="439">
        <v>0</v>
      </c>
      <c r="I382" s="435">
        <f t="shared" si="344"/>
        <v>0</v>
      </c>
      <c r="J382" s="435">
        <f t="shared" si="345"/>
        <v>0</v>
      </c>
      <c r="K382" s="439">
        <v>0</v>
      </c>
      <c r="L382" s="439">
        <v>0</v>
      </c>
      <c r="M382" s="439">
        <f t="shared" si="346"/>
        <v>0</v>
      </c>
      <c r="N382" s="439">
        <v>0</v>
      </c>
      <c r="O382" s="439">
        <v>0</v>
      </c>
      <c r="P382" s="440">
        <v>0</v>
      </c>
      <c r="Q382" s="439">
        <v>0</v>
      </c>
      <c r="R382" s="439">
        <f t="shared" si="339"/>
        <v>0</v>
      </c>
      <c r="S382" s="439">
        <f t="shared" si="340"/>
        <v>0</v>
      </c>
      <c r="T382" s="441"/>
      <c r="U382" s="439">
        <v>0</v>
      </c>
      <c r="V382" s="439">
        <f>+AA382</f>
        <v>0</v>
      </c>
      <c r="W382" s="439">
        <v>0</v>
      </c>
      <c r="X382" s="439">
        <v>0</v>
      </c>
      <c r="Y382" s="435">
        <f t="shared" si="342"/>
        <v>0</v>
      </c>
      <c r="Z382" s="439">
        <v>0</v>
      </c>
      <c r="AA382" s="439">
        <v>0</v>
      </c>
      <c r="AB382" s="439">
        <v>0</v>
      </c>
      <c r="AC382" s="439">
        <v>0</v>
      </c>
      <c r="AD382" s="439">
        <v>0</v>
      </c>
      <c r="AE382" s="435">
        <f t="shared" si="389"/>
        <v>0</v>
      </c>
      <c r="AF382" s="439">
        <f>AC382*2</f>
        <v>0</v>
      </c>
      <c r="AG382" s="439"/>
      <c r="AH382" s="419">
        <f t="shared" si="336"/>
        <v>0</v>
      </c>
      <c r="AI382" s="439"/>
      <c r="AJ382" s="439"/>
      <c r="AK382" s="439">
        <f>AA382-W382</f>
        <v>0</v>
      </c>
      <c r="AL382" s="439">
        <f>AA382-AF382</f>
        <v>0</v>
      </c>
      <c r="AM382" s="439">
        <f>AA382-AD382</f>
        <v>0</v>
      </c>
      <c r="AN382" s="438"/>
      <c r="AO382" s="438"/>
      <c r="AP382" s="438"/>
    </row>
    <row r="383" spans="1:42" ht="12.75">
      <c r="A383" s="412">
        <v>381</v>
      </c>
      <c r="B383" s="431"/>
      <c r="C383" s="432" t="s">
        <v>585</v>
      </c>
      <c r="D383" s="433" t="s">
        <v>8872</v>
      </c>
      <c r="E383" s="434"/>
      <c r="F383" s="435">
        <f>SUM(F384:F386)</f>
        <v>116449.85</v>
      </c>
      <c r="G383" s="435">
        <v>314881.36</v>
      </c>
      <c r="H383" s="435">
        <v>117619.49</v>
      </c>
      <c r="I383" s="435">
        <f t="shared" si="344"/>
        <v>-1169.6399999999994</v>
      </c>
      <c r="J383" s="435">
        <f t="shared" si="345"/>
        <v>-1169.6399999999994</v>
      </c>
      <c r="K383" s="435">
        <v>117619.49</v>
      </c>
      <c r="L383" s="435">
        <v>117619.49</v>
      </c>
      <c r="M383" s="435">
        <f t="shared" si="346"/>
        <v>-31070.429107840813</v>
      </c>
      <c r="N383" s="435">
        <v>118866.04093178501</v>
      </c>
      <c r="O383" s="435">
        <v>118866.04093178501</v>
      </c>
      <c r="P383" s="436">
        <v>147520.27910784082</v>
      </c>
      <c r="Q383" s="435">
        <f t="shared" ref="Q383" si="412">SUM(Q384:Q386)</f>
        <v>314881.36</v>
      </c>
      <c r="R383" s="435">
        <f t="shared" si="339"/>
        <v>28654.238176055806</v>
      </c>
      <c r="S383" s="435">
        <f t="shared" si="340"/>
        <v>196015.31906821497</v>
      </c>
      <c r="T383" s="437">
        <f>(F383-P383)/F383*100</f>
        <v>-26.681381820449584</v>
      </c>
      <c r="U383" s="435">
        <v>89149.53069883876</v>
      </c>
      <c r="V383" s="435">
        <f>SUM(V384:V386)</f>
        <v>147520.27910784082</v>
      </c>
      <c r="W383" s="435">
        <f>SUM(W384:W386)</f>
        <v>314882</v>
      </c>
      <c r="X383" s="435">
        <f t="shared" ref="X383" si="413">SUM(X384:X386)</f>
        <v>314881.36</v>
      </c>
      <c r="Y383" s="435">
        <f t="shared" si="342"/>
        <v>127036.20000000001</v>
      </c>
      <c r="Z383" s="435">
        <v>147520.27910784082</v>
      </c>
      <c r="AA383" s="435">
        <v>147520.27910784082</v>
      </c>
      <c r="AB383" s="435">
        <f t="shared" ref="AB383:AM383" si="414">SUM(AB384:AB386)</f>
        <v>28704</v>
      </c>
      <c r="AC383" s="435">
        <f t="shared" si="414"/>
        <v>73760.13955392041</v>
      </c>
      <c r="AD383" s="435">
        <f t="shared" si="414"/>
        <v>314881.36</v>
      </c>
      <c r="AE383" s="435">
        <f t="shared" si="389"/>
        <v>-198431.50999999998</v>
      </c>
      <c r="AF383" s="435">
        <f t="shared" si="414"/>
        <v>147520.27910784082</v>
      </c>
      <c r="AG383" s="435">
        <f t="shared" si="414"/>
        <v>0</v>
      </c>
      <c r="AH383" s="419">
        <f t="shared" si="336"/>
        <v>-116449.85</v>
      </c>
      <c r="AI383" s="435">
        <f t="shared" si="414"/>
        <v>0</v>
      </c>
      <c r="AJ383" s="435">
        <f t="shared" si="414"/>
        <v>0</v>
      </c>
      <c r="AK383" s="435">
        <f t="shared" si="414"/>
        <v>-167361.72089215921</v>
      </c>
      <c r="AL383" s="435">
        <f t="shared" si="414"/>
        <v>0</v>
      </c>
      <c r="AM383" s="435">
        <f t="shared" si="414"/>
        <v>-167361.0808921592</v>
      </c>
      <c r="AN383" s="438"/>
      <c r="AO383" s="438"/>
      <c r="AP383" s="438"/>
    </row>
    <row r="384" spans="1:42" ht="25.5">
      <c r="A384" s="412">
        <v>382</v>
      </c>
      <c r="B384" s="431"/>
      <c r="C384" s="432" t="s">
        <v>586</v>
      </c>
      <c r="D384" s="433" t="s">
        <v>8874</v>
      </c>
      <c r="E384" s="434">
        <f>'PROSPETTO CE_IV TRIM 2024'!BM1593</f>
        <v>50761.759999999995</v>
      </c>
      <c r="F384" s="439">
        <f>+E384</f>
        <v>50761.759999999995</v>
      </c>
      <c r="G384" s="439">
        <v>200402.86</v>
      </c>
      <c r="H384" s="439">
        <v>51931.399999999994</v>
      </c>
      <c r="I384" s="435">
        <f t="shared" si="344"/>
        <v>-1169.6399999999994</v>
      </c>
      <c r="J384" s="435">
        <f t="shared" si="345"/>
        <v>-1169.6399999999994</v>
      </c>
      <c r="K384" s="439">
        <v>51931.399999999994</v>
      </c>
      <c r="L384" s="439">
        <v>51931.399999999994</v>
      </c>
      <c r="M384" s="439">
        <f t="shared" si="346"/>
        <v>1501.1670218308354</v>
      </c>
      <c r="N384" s="439">
        <v>48196.014265118349</v>
      </c>
      <c r="O384" s="439">
        <v>48196.014265118349</v>
      </c>
      <c r="P384" s="440">
        <v>49260.592978169159</v>
      </c>
      <c r="Q384" s="439">
        <v>200402.86</v>
      </c>
      <c r="R384" s="439">
        <f t="shared" si="339"/>
        <v>1064.5787130508106</v>
      </c>
      <c r="S384" s="439">
        <f t="shared" si="340"/>
        <v>152206.84573488164</v>
      </c>
      <c r="T384" s="441">
        <f>(F384-P384)/F384*100</f>
        <v>2.9572793020392432</v>
      </c>
      <c r="U384" s="439">
        <v>36147.010698838763</v>
      </c>
      <c r="V384" s="439">
        <f>+AA384</f>
        <v>49260.592978169159</v>
      </c>
      <c r="W384" s="439">
        <v>200403</v>
      </c>
      <c r="X384" s="439">
        <v>200402.86</v>
      </c>
      <c r="Y384" s="435">
        <f t="shared" si="342"/>
        <v>55376.465454545447</v>
      </c>
      <c r="Z384" s="439">
        <v>49260.592978169159</v>
      </c>
      <c r="AA384" s="439">
        <v>49260.592978169159</v>
      </c>
      <c r="AB384" s="439">
        <v>12439</v>
      </c>
      <c r="AC384" s="439">
        <v>24630.29648908458</v>
      </c>
      <c r="AD384" s="439">
        <v>200402.86</v>
      </c>
      <c r="AE384" s="435">
        <f t="shared" si="389"/>
        <v>-149641.09999999998</v>
      </c>
      <c r="AF384" s="439">
        <f>AC384*2</f>
        <v>49260.592978169159</v>
      </c>
      <c r="AG384" s="439"/>
      <c r="AH384" s="419">
        <f t="shared" si="336"/>
        <v>-50761.759999999995</v>
      </c>
      <c r="AI384" s="439"/>
      <c r="AJ384" s="439"/>
      <c r="AK384" s="439">
        <f>AA384-W384</f>
        <v>-151142.40702183085</v>
      </c>
      <c r="AL384" s="439">
        <f>AA384-AF384</f>
        <v>0</v>
      </c>
      <c r="AM384" s="439">
        <f>AA384-AD384</f>
        <v>-151142.26702183083</v>
      </c>
      <c r="AN384" s="438"/>
      <c r="AO384" s="438"/>
      <c r="AP384" s="438"/>
    </row>
    <row r="385" spans="1:42" ht="25.5">
      <c r="A385" s="412">
        <v>383</v>
      </c>
      <c r="B385" s="431"/>
      <c r="C385" s="432" t="s">
        <v>587</v>
      </c>
      <c r="D385" s="433" t="s">
        <v>8914</v>
      </c>
      <c r="E385" s="434">
        <f>'PROSPETTO CE_IV TRIM 2024'!BM1610</f>
        <v>0</v>
      </c>
      <c r="F385" s="439">
        <f>+E385</f>
        <v>0</v>
      </c>
      <c r="G385" s="439">
        <v>0</v>
      </c>
      <c r="H385" s="439">
        <v>0</v>
      </c>
      <c r="I385" s="435">
        <f t="shared" si="344"/>
        <v>0</v>
      </c>
      <c r="J385" s="435">
        <f t="shared" si="345"/>
        <v>0</v>
      </c>
      <c r="K385" s="439">
        <v>0</v>
      </c>
      <c r="L385" s="439">
        <v>0</v>
      </c>
      <c r="M385" s="439">
        <f t="shared" si="346"/>
        <v>0</v>
      </c>
      <c r="N385" s="439">
        <v>0</v>
      </c>
      <c r="O385" s="439">
        <v>0</v>
      </c>
      <c r="P385" s="440">
        <v>0</v>
      </c>
      <c r="Q385" s="439">
        <v>0</v>
      </c>
      <c r="R385" s="439">
        <f t="shared" si="339"/>
        <v>0</v>
      </c>
      <c r="S385" s="439">
        <f t="shared" si="340"/>
        <v>0</v>
      </c>
      <c r="T385" s="441"/>
      <c r="U385" s="439">
        <v>0</v>
      </c>
      <c r="V385" s="439">
        <f>+AA385</f>
        <v>0</v>
      </c>
      <c r="W385" s="439">
        <v>0</v>
      </c>
      <c r="X385" s="439">
        <v>0</v>
      </c>
      <c r="Y385" s="435">
        <f t="shared" si="342"/>
        <v>0</v>
      </c>
      <c r="Z385" s="439">
        <v>0</v>
      </c>
      <c r="AA385" s="439">
        <v>0</v>
      </c>
      <c r="AB385" s="439">
        <v>0</v>
      </c>
      <c r="AC385" s="439">
        <v>0</v>
      </c>
      <c r="AD385" s="439">
        <v>0</v>
      </c>
      <c r="AE385" s="435">
        <f t="shared" si="389"/>
        <v>0</v>
      </c>
      <c r="AF385" s="439">
        <f>AC385*2</f>
        <v>0</v>
      </c>
      <c r="AG385" s="439"/>
      <c r="AH385" s="419">
        <f t="shared" si="336"/>
        <v>0</v>
      </c>
      <c r="AI385" s="439"/>
      <c r="AJ385" s="439"/>
      <c r="AK385" s="439">
        <f>AA385-W385</f>
        <v>0</v>
      </c>
      <c r="AL385" s="439">
        <f>AA385-AF385</f>
        <v>0</v>
      </c>
      <c r="AM385" s="439">
        <f>AA385-AD385</f>
        <v>0</v>
      </c>
      <c r="AN385" s="438"/>
      <c r="AO385" s="438"/>
      <c r="AP385" s="438"/>
    </row>
    <row r="386" spans="1:42" ht="12.75">
      <c r="A386" s="412">
        <v>384</v>
      </c>
      <c r="B386" s="431"/>
      <c r="C386" s="432" t="s">
        <v>588</v>
      </c>
      <c r="D386" s="433" t="s">
        <v>8973</v>
      </c>
      <c r="E386" s="434">
        <f>'PROSPETTO CE_IV TRIM 2024'!BM1636</f>
        <v>65688.090000000011</v>
      </c>
      <c r="F386" s="439">
        <f>+E386</f>
        <v>65688.090000000011</v>
      </c>
      <c r="G386" s="439">
        <v>114478.5</v>
      </c>
      <c r="H386" s="439">
        <v>65688.090000000011</v>
      </c>
      <c r="I386" s="435">
        <f t="shared" si="344"/>
        <v>0</v>
      </c>
      <c r="J386" s="435">
        <f t="shared" si="345"/>
        <v>0</v>
      </c>
      <c r="K386" s="439">
        <v>65688.090000000011</v>
      </c>
      <c r="L386" s="439">
        <v>65688.090000000011</v>
      </c>
      <c r="M386" s="439">
        <f t="shared" si="346"/>
        <v>-32571.596129671641</v>
      </c>
      <c r="N386" s="439">
        <v>70670.026666666658</v>
      </c>
      <c r="O386" s="439">
        <v>70670.026666666658</v>
      </c>
      <c r="P386" s="440">
        <v>98259.686129671652</v>
      </c>
      <c r="Q386" s="439">
        <v>114478.5</v>
      </c>
      <c r="R386" s="439">
        <f t="shared" si="339"/>
        <v>27589.659463004995</v>
      </c>
      <c r="S386" s="439">
        <f t="shared" si="340"/>
        <v>43808.473333333342</v>
      </c>
      <c r="T386" s="441">
        <f>(F386-P386)/F386*100</f>
        <v>-49.585238556443997</v>
      </c>
      <c r="U386" s="439">
        <v>53002.52</v>
      </c>
      <c r="V386" s="439">
        <f>+AA386</f>
        <v>98259.686129671652</v>
      </c>
      <c r="W386" s="439">
        <v>114479</v>
      </c>
      <c r="X386" s="439">
        <v>114478.5</v>
      </c>
      <c r="Y386" s="435">
        <f t="shared" si="342"/>
        <v>71659.734545454558</v>
      </c>
      <c r="Z386" s="439">
        <v>98259.686129671652</v>
      </c>
      <c r="AA386" s="439">
        <v>98259.686129671652</v>
      </c>
      <c r="AB386" s="439">
        <v>16265</v>
      </c>
      <c r="AC386" s="439">
        <v>49129.843064835826</v>
      </c>
      <c r="AD386" s="439">
        <v>114478.5</v>
      </c>
      <c r="AE386" s="435">
        <f t="shared" si="389"/>
        <v>-48790.409999999989</v>
      </c>
      <c r="AF386" s="439">
        <f>AC386*2</f>
        <v>98259.686129671652</v>
      </c>
      <c r="AG386" s="439"/>
      <c r="AH386" s="419">
        <f t="shared" ref="AH386:AH449" si="415">AG386-F386</f>
        <v>-65688.090000000011</v>
      </c>
      <c r="AI386" s="439"/>
      <c r="AJ386" s="439"/>
      <c r="AK386" s="439">
        <f>AA386-W386</f>
        <v>-16219.313870328348</v>
      </c>
      <c r="AL386" s="439">
        <f>AA386-AF386</f>
        <v>0</v>
      </c>
      <c r="AM386" s="439">
        <f>AA386-AD386</f>
        <v>-16218.813870328348</v>
      </c>
      <c r="AN386" s="438"/>
      <c r="AO386" s="438"/>
      <c r="AP386" s="438"/>
    </row>
    <row r="387" spans="1:42" ht="12.75">
      <c r="A387" s="412">
        <v>385</v>
      </c>
      <c r="B387" s="431"/>
      <c r="C387" s="432" t="s">
        <v>589</v>
      </c>
      <c r="D387" s="433" t="s">
        <v>9022</v>
      </c>
      <c r="E387" s="434"/>
      <c r="F387" s="435">
        <f>+F388+F392</f>
        <v>3654313.3800000004</v>
      </c>
      <c r="G387" s="435">
        <v>2999571.14</v>
      </c>
      <c r="H387" s="435">
        <v>3659666.9466666663</v>
      </c>
      <c r="I387" s="435">
        <f t="shared" si="344"/>
        <v>-5353.5666666659527</v>
      </c>
      <c r="J387" s="435">
        <f t="shared" si="345"/>
        <v>-5353.5666666659527</v>
      </c>
      <c r="K387" s="435">
        <v>3659666.9466666663</v>
      </c>
      <c r="L387" s="435">
        <v>3659666.9466666663</v>
      </c>
      <c r="M387" s="435">
        <f t="shared" si="346"/>
        <v>284655.41937047802</v>
      </c>
      <c r="N387" s="435">
        <v>3286071.8233474465</v>
      </c>
      <c r="O387" s="435">
        <v>3286071.8233474465</v>
      </c>
      <c r="P387" s="436">
        <v>3369657.9606295223</v>
      </c>
      <c r="Q387" s="435">
        <f t="shared" ref="Q387" si="416">+Q388+Q392</f>
        <v>2999571.14</v>
      </c>
      <c r="R387" s="435">
        <f t="shared" si="339"/>
        <v>83586.137282075826</v>
      </c>
      <c r="S387" s="435">
        <f t="shared" si="340"/>
        <v>-286500.68334744638</v>
      </c>
      <c r="T387" s="437">
        <f>(F387-P387)/F387*100</f>
        <v>7.7895733006477395</v>
      </c>
      <c r="U387" s="435">
        <v>2464553.8675105846</v>
      </c>
      <c r="V387" s="435">
        <f>+V388+V392</f>
        <v>3369657.9606295223</v>
      </c>
      <c r="W387" s="435">
        <f>+W388+W392</f>
        <v>3689474</v>
      </c>
      <c r="X387" s="435">
        <f t="shared" ref="X387" si="417">+X388+X392</f>
        <v>2999571.14</v>
      </c>
      <c r="Y387" s="435">
        <f t="shared" si="342"/>
        <v>3986523.6872727275</v>
      </c>
      <c r="Z387" s="435">
        <v>3369657.9606295223</v>
      </c>
      <c r="AA387" s="435">
        <v>3369657.9606295223</v>
      </c>
      <c r="AB387" s="435">
        <f t="shared" ref="AB387:AM387" si="418">+AB388+AB392</f>
        <v>837754</v>
      </c>
      <c r="AC387" s="435">
        <f t="shared" si="418"/>
        <v>1658418.9253147612</v>
      </c>
      <c r="AD387" s="435">
        <f t="shared" si="418"/>
        <v>2999571.14</v>
      </c>
      <c r="AE387" s="435">
        <f t="shared" si="389"/>
        <v>654742.24000000022</v>
      </c>
      <c r="AF387" s="435">
        <f t="shared" si="418"/>
        <v>3316837.8506295225</v>
      </c>
      <c r="AG387" s="435">
        <f t="shared" si="418"/>
        <v>0</v>
      </c>
      <c r="AH387" s="419">
        <f t="shared" si="415"/>
        <v>-3654313.3800000004</v>
      </c>
      <c r="AI387" s="435">
        <f t="shared" si="418"/>
        <v>0</v>
      </c>
      <c r="AJ387" s="435">
        <f t="shared" si="418"/>
        <v>0</v>
      </c>
      <c r="AK387" s="435">
        <f t="shared" si="418"/>
        <v>-319816.03937047772</v>
      </c>
      <c r="AL387" s="435">
        <f t="shared" si="418"/>
        <v>52820.10999999979</v>
      </c>
      <c r="AM387" s="435">
        <f t="shared" si="418"/>
        <v>370086.82062952215</v>
      </c>
      <c r="AN387" s="438"/>
      <c r="AO387" s="438"/>
      <c r="AP387" s="438"/>
    </row>
    <row r="388" spans="1:42" ht="12.75">
      <c r="A388" s="412">
        <v>386</v>
      </c>
      <c r="B388" s="431"/>
      <c r="C388" s="432" t="s">
        <v>590</v>
      </c>
      <c r="D388" s="433" t="s">
        <v>9024</v>
      </c>
      <c r="E388" s="434"/>
      <c r="F388" s="435">
        <f>SUM(F389:F391)</f>
        <v>16943.849999999999</v>
      </c>
      <c r="G388" s="435">
        <v>0</v>
      </c>
      <c r="H388" s="435">
        <v>16943.846666666665</v>
      </c>
      <c r="I388" s="435">
        <f t="shared" si="344"/>
        <v>3.3333333340124227E-3</v>
      </c>
      <c r="J388" s="435">
        <f t="shared" si="345"/>
        <v>3.3333333340124227E-3</v>
      </c>
      <c r="K388" s="435">
        <v>16943.846666666665</v>
      </c>
      <c r="L388" s="435">
        <v>16943.846666666665</v>
      </c>
      <c r="M388" s="435">
        <f t="shared" si="346"/>
        <v>-16101.349999999999</v>
      </c>
      <c r="N388" s="435">
        <v>19830.893333333333</v>
      </c>
      <c r="O388" s="435">
        <v>19830.893333333333</v>
      </c>
      <c r="P388" s="436">
        <v>33045.199999999997</v>
      </c>
      <c r="Q388" s="435">
        <f t="shared" ref="Q388" si="419">SUM(Q389:Q391)</f>
        <v>0</v>
      </c>
      <c r="R388" s="435">
        <f t="shared" ref="R388:R451" si="420">P388-N388</f>
        <v>13214.306666666664</v>
      </c>
      <c r="S388" s="435">
        <f t="shared" ref="S388:S451" si="421">Q388-N388</f>
        <v>-19830.893333333333</v>
      </c>
      <c r="T388" s="437">
        <f>(F388-P388)/F388*100</f>
        <v>-95.027694414197484</v>
      </c>
      <c r="U388" s="435">
        <v>14873.17</v>
      </c>
      <c r="V388" s="435">
        <f>SUM(V389:V391)</f>
        <v>33045.199999999997</v>
      </c>
      <c r="W388" s="435">
        <f>SUM(W389:W391)</f>
        <v>0</v>
      </c>
      <c r="X388" s="435">
        <f t="shared" ref="X388" si="422">SUM(X389:X391)</f>
        <v>0</v>
      </c>
      <c r="Y388" s="435">
        <f t="shared" ref="Y388:Y451" si="423">F388/11*12</f>
        <v>18484.199999999997</v>
      </c>
      <c r="Z388" s="435">
        <v>33045.199999999997</v>
      </c>
      <c r="AA388" s="435">
        <v>33045.199999999997</v>
      </c>
      <c r="AB388" s="435">
        <f t="shared" ref="AB388:AM388" si="424">SUM(AB389:AB391)</f>
        <v>21778</v>
      </c>
      <c r="AC388" s="435">
        <f t="shared" si="424"/>
        <v>14376.060000000001</v>
      </c>
      <c r="AD388" s="435">
        <f t="shared" si="424"/>
        <v>0</v>
      </c>
      <c r="AE388" s="435">
        <f t="shared" si="389"/>
        <v>16943.849999999999</v>
      </c>
      <c r="AF388" s="435">
        <f t="shared" si="424"/>
        <v>28752.120000000003</v>
      </c>
      <c r="AG388" s="435">
        <f t="shared" si="424"/>
        <v>0</v>
      </c>
      <c r="AH388" s="419">
        <f t="shared" si="415"/>
        <v>-16943.849999999999</v>
      </c>
      <c r="AI388" s="435">
        <f t="shared" si="424"/>
        <v>0</v>
      </c>
      <c r="AJ388" s="435">
        <f t="shared" si="424"/>
        <v>0</v>
      </c>
      <c r="AK388" s="435">
        <f t="shared" si="424"/>
        <v>33045.199999999997</v>
      </c>
      <c r="AL388" s="435">
        <f t="shared" si="424"/>
        <v>4293.0799999999945</v>
      </c>
      <c r="AM388" s="435">
        <f t="shared" si="424"/>
        <v>33045.199999999997</v>
      </c>
      <c r="AN388" s="438"/>
      <c r="AO388" s="438"/>
      <c r="AP388" s="438"/>
    </row>
    <row r="389" spans="1:42" ht="25.5">
      <c r="A389" s="412">
        <v>387</v>
      </c>
      <c r="B389" s="431"/>
      <c r="C389" s="432" t="s">
        <v>591</v>
      </c>
      <c r="D389" s="433" t="s">
        <v>9026</v>
      </c>
      <c r="E389" s="434">
        <f>'PROSPETTO CE_IV TRIM 2024'!BM1662</f>
        <v>16943.849999999999</v>
      </c>
      <c r="F389" s="439">
        <f>+E389</f>
        <v>16943.849999999999</v>
      </c>
      <c r="G389" s="439">
        <v>0</v>
      </c>
      <c r="H389" s="439">
        <v>16943.846666666665</v>
      </c>
      <c r="I389" s="435">
        <f t="shared" ref="I389:I452" si="425">F389-H389</f>
        <v>3.3333333340124227E-3</v>
      </c>
      <c r="J389" s="435">
        <f t="shared" ref="J389:J452" si="426">F389-K389</f>
        <v>3.3333333340124227E-3</v>
      </c>
      <c r="K389" s="439">
        <v>16943.846666666665</v>
      </c>
      <c r="L389" s="439">
        <v>16943.846666666665</v>
      </c>
      <c r="M389" s="439">
        <f t="shared" ref="M389:M452" si="427">F389-P389</f>
        <v>-16101.349999999999</v>
      </c>
      <c r="N389" s="439">
        <v>19830.893333333333</v>
      </c>
      <c r="O389" s="439">
        <v>19830.893333333333</v>
      </c>
      <c r="P389" s="440">
        <v>33045.199999999997</v>
      </c>
      <c r="Q389" s="439">
        <v>0</v>
      </c>
      <c r="R389" s="439">
        <f t="shared" si="420"/>
        <v>13214.306666666664</v>
      </c>
      <c r="S389" s="439">
        <f t="shared" si="421"/>
        <v>-19830.893333333333</v>
      </c>
      <c r="T389" s="441">
        <f>(F389-P389)/F389*100</f>
        <v>-95.027694414197484</v>
      </c>
      <c r="U389" s="439">
        <v>14873.17</v>
      </c>
      <c r="V389" s="439">
        <f>+AA389</f>
        <v>33045.199999999997</v>
      </c>
      <c r="W389" s="439">
        <v>0</v>
      </c>
      <c r="X389" s="439">
        <v>0</v>
      </c>
      <c r="Y389" s="435">
        <f t="shared" si="423"/>
        <v>18484.199999999997</v>
      </c>
      <c r="Z389" s="439">
        <v>33045.199999999997</v>
      </c>
      <c r="AA389" s="439">
        <v>33045.199999999997</v>
      </c>
      <c r="AB389" s="439">
        <v>21778</v>
      </c>
      <c r="AC389" s="439">
        <v>14376.060000000001</v>
      </c>
      <c r="AD389" s="439">
        <v>0</v>
      </c>
      <c r="AE389" s="435">
        <f t="shared" si="389"/>
        <v>16943.849999999999</v>
      </c>
      <c r="AF389" s="439">
        <f>AC389*2</f>
        <v>28752.120000000003</v>
      </c>
      <c r="AG389" s="439">
        <v>0</v>
      </c>
      <c r="AH389" s="419">
        <f t="shared" si="415"/>
        <v>-16943.849999999999</v>
      </c>
      <c r="AI389" s="439">
        <v>0</v>
      </c>
      <c r="AJ389" s="439">
        <v>0</v>
      </c>
      <c r="AK389" s="439">
        <f>AA389-W389</f>
        <v>33045.199999999997</v>
      </c>
      <c r="AL389" s="439">
        <f>AA389-AF389</f>
        <v>4293.0799999999945</v>
      </c>
      <c r="AM389" s="439">
        <f>AA389-AD389</f>
        <v>33045.199999999997</v>
      </c>
      <c r="AN389" s="438"/>
      <c r="AO389" s="438"/>
      <c r="AP389" s="438"/>
    </row>
    <row r="390" spans="1:42" ht="25.5">
      <c r="A390" s="412">
        <v>388</v>
      </c>
      <c r="B390" s="431"/>
      <c r="C390" s="432" t="s">
        <v>592</v>
      </c>
      <c r="D390" s="433" t="s">
        <v>9087</v>
      </c>
      <c r="E390" s="434">
        <f>'PROSPETTO CE_IV TRIM 2024'!BM1689</f>
        <v>0</v>
      </c>
      <c r="F390" s="439">
        <f>+E390</f>
        <v>0</v>
      </c>
      <c r="G390" s="439">
        <v>0</v>
      </c>
      <c r="H390" s="439">
        <v>0</v>
      </c>
      <c r="I390" s="435">
        <f t="shared" si="425"/>
        <v>0</v>
      </c>
      <c r="J390" s="435">
        <f t="shared" si="426"/>
        <v>0</v>
      </c>
      <c r="K390" s="439">
        <v>0</v>
      </c>
      <c r="L390" s="439">
        <v>0</v>
      </c>
      <c r="M390" s="439">
        <f t="shared" si="427"/>
        <v>0</v>
      </c>
      <c r="N390" s="439">
        <v>0</v>
      </c>
      <c r="O390" s="439">
        <v>0</v>
      </c>
      <c r="P390" s="440">
        <v>0</v>
      </c>
      <c r="Q390" s="439">
        <v>0</v>
      </c>
      <c r="R390" s="439">
        <f t="shared" si="420"/>
        <v>0</v>
      </c>
      <c r="S390" s="439">
        <f t="shared" si="421"/>
        <v>0</v>
      </c>
      <c r="T390" s="441"/>
      <c r="U390" s="439">
        <v>0</v>
      </c>
      <c r="V390" s="439">
        <f>+AA390</f>
        <v>0</v>
      </c>
      <c r="W390" s="439">
        <v>0</v>
      </c>
      <c r="X390" s="439">
        <v>0</v>
      </c>
      <c r="Y390" s="435">
        <f t="shared" si="423"/>
        <v>0</v>
      </c>
      <c r="Z390" s="439">
        <v>0</v>
      </c>
      <c r="AA390" s="439">
        <v>0</v>
      </c>
      <c r="AB390" s="439">
        <v>0</v>
      </c>
      <c r="AC390" s="439">
        <v>0</v>
      </c>
      <c r="AD390" s="439">
        <v>0</v>
      </c>
      <c r="AE390" s="435">
        <f t="shared" si="389"/>
        <v>0</v>
      </c>
      <c r="AF390" s="439">
        <f>AC390*2</f>
        <v>0</v>
      </c>
      <c r="AG390" s="439">
        <v>0</v>
      </c>
      <c r="AH390" s="419">
        <f t="shared" si="415"/>
        <v>0</v>
      </c>
      <c r="AI390" s="439">
        <v>0</v>
      </c>
      <c r="AJ390" s="439">
        <v>0</v>
      </c>
      <c r="AK390" s="439">
        <f>AA390-W390</f>
        <v>0</v>
      </c>
      <c r="AL390" s="439">
        <f>AA390-AF390</f>
        <v>0</v>
      </c>
      <c r="AM390" s="439">
        <f>AA390-AD390</f>
        <v>0</v>
      </c>
      <c r="AN390" s="438"/>
      <c r="AO390" s="438"/>
      <c r="AP390" s="438"/>
    </row>
    <row r="391" spans="1:42" ht="12.75">
      <c r="A391" s="412">
        <v>389</v>
      </c>
      <c r="B391" s="431"/>
      <c r="C391" s="432" t="s">
        <v>593</v>
      </c>
      <c r="D391" s="433" t="s">
        <v>9148</v>
      </c>
      <c r="E391" s="434">
        <f>'PROSPETTO CE_IV TRIM 2024'!BM1716</f>
        <v>0</v>
      </c>
      <c r="F391" s="439">
        <f>+E391</f>
        <v>0</v>
      </c>
      <c r="G391" s="439">
        <v>0</v>
      </c>
      <c r="H391" s="439">
        <v>0</v>
      </c>
      <c r="I391" s="435">
        <f t="shared" si="425"/>
        <v>0</v>
      </c>
      <c r="J391" s="435">
        <f t="shared" si="426"/>
        <v>0</v>
      </c>
      <c r="K391" s="439">
        <v>0</v>
      </c>
      <c r="L391" s="439">
        <v>0</v>
      </c>
      <c r="M391" s="439">
        <f t="shared" si="427"/>
        <v>0</v>
      </c>
      <c r="N391" s="439">
        <v>0</v>
      </c>
      <c r="O391" s="439">
        <v>0</v>
      </c>
      <c r="P391" s="440">
        <v>0</v>
      </c>
      <c r="Q391" s="439">
        <v>0</v>
      </c>
      <c r="R391" s="439">
        <f t="shared" si="420"/>
        <v>0</v>
      </c>
      <c r="S391" s="439">
        <f t="shared" si="421"/>
        <v>0</v>
      </c>
      <c r="T391" s="441"/>
      <c r="U391" s="439">
        <v>0</v>
      </c>
      <c r="V391" s="439">
        <f>+AA391</f>
        <v>0</v>
      </c>
      <c r="W391" s="439">
        <v>0</v>
      </c>
      <c r="X391" s="439">
        <v>0</v>
      </c>
      <c r="Y391" s="435">
        <f t="shared" si="423"/>
        <v>0</v>
      </c>
      <c r="Z391" s="439">
        <v>0</v>
      </c>
      <c r="AA391" s="439">
        <v>0</v>
      </c>
      <c r="AB391" s="439">
        <v>0</v>
      </c>
      <c r="AC391" s="439">
        <v>0</v>
      </c>
      <c r="AD391" s="439">
        <v>0</v>
      </c>
      <c r="AE391" s="435">
        <f t="shared" si="389"/>
        <v>0</v>
      </c>
      <c r="AF391" s="439">
        <f>AC391*2</f>
        <v>0</v>
      </c>
      <c r="AG391" s="439">
        <v>0</v>
      </c>
      <c r="AH391" s="419">
        <f t="shared" si="415"/>
        <v>0</v>
      </c>
      <c r="AI391" s="439">
        <v>0</v>
      </c>
      <c r="AJ391" s="439">
        <v>0</v>
      </c>
      <c r="AK391" s="439">
        <f>AA391-W391</f>
        <v>0</v>
      </c>
      <c r="AL391" s="439">
        <f>AA391-AF391</f>
        <v>0</v>
      </c>
      <c r="AM391" s="439">
        <f>AA391-AD391</f>
        <v>0</v>
      </c>
      <c r="AN391" s="438"/>
      <c r="AO391" s="438"/>
      <c r="AP391" s="438"/>
    </row>
    <row r="392" spans="1:42" ht="12.75">
      <c r="A392" s="412">
        <v>390</v>
      </c>
      <c r="B392" s="431"/>
      <c r="C392" s="432" t="s">
        <v>594</v>
      </c>
      <c r="D392" s="433" t="s">
        <v>9186</v>
      </c>
      <c r="E392" s="434"/>
      <c r="F392" s="435">
        <f>SUM(F393:F395)</f>
        <v>3637369.5300000003</v>
      </c>
      <c r="G392" s="435">
        <v>2999571.14</v>
      </c>
      <c r="H392" s="435">
        <v>3642723.0999999996</v>
      </c>
      <c r="I392" s="435">
        <f t="shared" si="425"/>
        <v>-5353.5699999993667</v>
      </c>
      <c r="J392" s="435">
        <f t="shared" si="426"/>
        <v>-5353.5699999993667</v>
      </c>
      <c r="K392" s="435">
        <v>3642723.0999999996</v>
      </c>
      <c r="L392" s="435">
        <v>3642723.0999999996</v>
      </c>
      <c r="M392" s="435">
        <f t="shared" si="427"/>
        <v>300756.76937047811</v>
      </c>
      <c r="N392" s="435">
        <v>3266240.930014113</v>
      </c>
      <c r="O392" s="435">
        <v>3266240.930014113</v>
      </c>
      <c r="P392" s="436">
        <v>3336612.7606295221</v>
      </c>
      <c r="Q392" s="435">
        <f t="shared" ref="Q392" si="428">SUM(Q393:Q395)</f>
        <v>2999571.14</v>
      </c>
      <c r="R392" s="435">
        <f t="shared" si="420"/>
        <v>70371.830615409184</v>
      </c>
      <c r="S392" s="435">
        <f t="shared" si="421"/>
        <v>-266669.79001411283</v>
      </c>
      <c r="T392" s="437">
        <f>(F392-P392)/F392*100</f>
        <v>8.2685239124021059</v>
      </c>
      <c r="U392" s="435">
        <v>2449680.6975105847</v>
      </c>
      <c r="V392" s="435">
        <f>SUM(V393:V395)</f>
        <v>3336612.7606295221</v>
      </c>
      <c r="W392" s="435">
        <f>SUM(W393:W395)</f>
        <v>3689474</v>
      </c>
      <c r="X392" s="435">
        <f t="shared" ref="X392" si="429">SUM(X393:X395)</f>
        <v>2999571.14</v>
      </c>
      <c r="Y392" s="435">
        <f t="shared" si="423"/>
        <v>3968039.4872727273</v>
      </c>
      <c r="Z392" s="435">
        <v>3336612.7606295221</v>
      </c>
      <c r="AA392" s="435">
        <v>3336612.7606295221</v>
      </c>
      <c r="AB392" s="435">
        <f t="shared" ref="AB392:AM392" si="430">SUM(AB393:AB395)</f>
        <v>815976</v>
      </c>
      <c r="AC392" s="435">
        <f t="shared" si="430"/>
        <v>1644042.8653147612</v>
      </c>
      <c r="AD392" s="435">
        <f t="shared" si="430"/>
        <v>2999571.14</v>
      </c>
      <c r="AE392" s="435">
        <f t="shared" si="389"/>
        <v>637798.39000000013</v>
      </c>
      <c r="AF392" s="435">
        <f t="shared" si="430"/>
        <v>3288085.7306295224</v>
      </c>
      <c r="AG392" s="435">
        <f t="shared" si="430"/>
        <v>0</v>
      </c>
      <c r="AH392" s="419">
        <f t="shared" si="415"/>
        <v>-3637369.5300000003</v>
      </c>
      <c r="AI392" s="435">
        <f t="shared" si="430"/>
        <v>0</v>
      </c>
      <c r="AJ392" s="435">
        <f t="shared" si="430"/>
        <v>0</v>
      </c>
      <c r="AK392" s="435">
        <f t="shared" si="430"/>
        <v>-352861.23937047774</v>
      </c>
      <c r="AL392" s="435">
        <f t="shared" si="430"/>
        <v>48527.029999999795</v>
      </c>
      <c r="AM392" s="435">
        <f t="shared" si="430"/>
        <v>337041.62062952213</v>
      </c>
      <c r="AN392" s="438"/>
      <c r="AO392" s="438"/>
      <c r="AP392" s="438"/>
    </row>
    <row r="393" spans="1:42" ht="25.5">
      <c r="A393" s="412">
        <v>391</v>
      </c>
      <c r="B393" s="431"/>
      <c r="C393" s="432" t="s">
        <v>595</v>
      </c>
      <c r="D393" s="433" t="s">
        <v>9188</v>
      </c>
      <c r="E393" s="434">
        <f>'PROSPETTO CE_IV TRIM 2024'!BM1736</f>
        <v>3552553.43</v>
      </c>
      <c r="F393" s="439">
        <f>+E393</f>
        <v>3552553.43</v>
      </c>
      <c r="G393" s="439">
        <v>2999571.14</v>
      </c>
      <c r="H393" s="439">
        <v>3552553.4299999997</v>
      </c>
      <c r="I393" s="435">
        <f t="shared" si="425"/>
        <v>0</v>
      </c>
      <c r="J393" s="435">
        <f t="shared" si="426"/>
        <v>0</v>
      </c>
      <c r="K393" s="439">
        <v>3552553.4299999997</v>
      </c>
      <c r="L393" s="439">
        <v>3552553.4299999997</v>
      </c>
      <c r="M393" s="439">
        <f t="shared" si="427"/>
        <v>300920.33336614957</v>
      </c>
      <c r="N393" s="439">
        <v>3177853.1271905429</v>
      </c>
      <c r="O393" s="439">
        <v>3177853.1271905429</v>
      </c>
      <c r="P393" s="443">
        <v>3251633.0966338506</v>
      </c>
      <c r="Q393" s="439">
        <v>2999571.14</v>
      </c>
      <c r="R393" s="439">
        <f t="shared" si="420"/>
        <v>73779.969443307724</v>
      </c>
      <c r="S393" s="439">
        <f t="shared" si="421"/>
        <v>-178281.98719054274</v>
      </c>
      <c r="T393" s="441">
        <f>(F393-P393)/F393*100</f>
        <v>8.4705364548493112</v>
      </c>
      <c r="U393" s="439">
        <v>2383389.845392907</v>
      </c>
      <c r="V393" s="439">
        <f>+AA393</f>
        <v>3251633.0966338506</v>
      </c>
      <c r="W393" s="439">
        <v>3689474</v>
      </c>
      <c r="X393" s="439">
        <v>2999571.14</v>
      </c>
      <c r="Y393" s="435">
        <f t="shared" si="423"/>
        <v>3875512.832727273</v>
      </c>
      <c r="Z393" s="439">
        <v>3251633.0966338506</v>
      </c>
      <c r="AA393" s="439">
        <v>3251633.0966338506</v>
      </c>
      <c r="AB393" s="439">
        <v>797911</v>
      </c>
      <c r="AC393" s="439">
        <v>1601553.0333169254</v>
      </c>
      <c r="AD393" s="439">
        <v>2999571.14</v>
      </c>
      <c r="AE393" s="435">
        <f t="shared" si="389"/>
        <v>552982.29</v>
      </c>
      <c r="AF393" s="439">
        <f>AC393*2</f>
        <v>3203106.0666338508</v>
      </c>
      <c r="AG393" s="439"/>
      <c r="AH393" s="419">
        <f t="shared" si="415"/>
        <v>-3552553.43</v>
      </c>
      <c r="AI393" s="439"/>
      <c r="AJ393" s="439"/>
      <c r="AK393" s="439">
        <f>AA393-W393</f>
        <v>-437840.9033661494</v>
      </c>
      <c r="AL393" s="439">
        <f>AA393-AF393</f>
        <v>48527.029999999795</v>
      </c>
      <c r="AM393" s="439">
        <f>AA393-AD393</f>
        <v>252061.95663385047</v>
      </c>
      <c r="AN393" s="438"/>
      <c r="AO393" s="438"/>
      <c r="AP393" s="438"/>
    </row>
    <row r="394" spans="1:42" ht="25.5">
      <c r="A394" s="412">
        <v>392</v>
      </c>
      <c r="B394" s="431"/>
      <c r="C394" s="432" t="s">
        <v>596</v>
      </c>
      <c r="D394" s="433" t="s">
        <v>9255</v>
      </c>
      <c r="E394" s="434">
        <f>'PROSPETTO CE_IV TRIM 2024'!BM1765</f>
        <v>0</v>
      </c>
      <c r="F394" s="439">
        <f>+E394</f>
        <v>0</v>
      </c>
      <c r="G394" s="439">
        <v>0</v>
      </c>
      <c r="H394" s="439">
        <v>0</v>
      </c>
      <c r="I394" s="435">
        <f t="shared" si="425"/>
        <v>0</v>
      </c>
      <c r="J394" s="435">
        <f t="shared" si="426"/>
        <v>0</v>
      </c>
      <c r="K394" s="439">
        <v>0</v>
      </c>
      <c r="L394" s="439">
        <v>0</v>
      </c>
      <c r="M394" s="439">
        <f t="shared" si="427"/>
        <v>0</v>
      </c>
      <c r="N394" s="439">
        <v>0</v>
      </c>
      <c r="O394" s="439">
        <v>0</v>
      </c>
      <c r="P394" s="440">
        <v>0</v>
      </c>
      <c r="Q394" s="439">
        <v>0</v>
      </c>
      <c r="R394" s="439">
        <f t="shared" si="420"/>
        <v>0</v>
      </c>
      <c r="S394" s="439">
        <f t="shared" si="421"/>
        <v>0</v>
      </c>
      <c r="T394" s="441"/>
      <c r="U394" s="439">
        <v>0</v>
      </c>
      <c r="V394" s="439">
        <f>+AA394</f>
        <v>0</v>
      </c>
      <c r="W394" s="439">
        <v>0</v>
      </c>
      <c r="X394" s="439">
        <v>0</v>
      </c>
      <c r="Y394" s="435">
        <f t="shared" si="423"/>
        <v>0</v>
      </c>
      <c r="Z394" s="439">
        <v>0</v>
      </c>
      <c r="AA394" s="439">
        <v>0</v>
      </c>
      <c r="AB394" s="439">
        <v>0</v>
      </c>
      <c r="AC394" s="439">
        <v>0</v>
      </c>
      <c r="AD394" s="439">
        <v>0</v>
      </c>
      <c r="AE394" s="435">
        <f t="shared" si="389"/>
        <v>0</v>
      </c>
      <c r="AF394" s="439">
        <f>AC394*2</f>
        <v>0</v>
      </c>
      <c r="AG394" s="439"/>
      <c r="AH394" s="419">
        <f t="shared" si="415"/>
        <v>0</v>
      </c>
      <c r="AI394" s="439"/>
      <c r="AJ394" s="439"/>
      <c r="AK394" s="439">
        <f>AA394-W394</f>
        <v>0</v>
      </c>
      <c r="AL394" s="439">
        <f>AA394-AF394</f>
        <v>0</v>
      </c>
      <c r="AM394" s="439">
        <f>AA394-AD394</f>
        <v>0</v>
      </c>
      <c r="AN394" s="438"/>
      <c r="AO394" s="438"/>
      <c r="AP394" s="438"/>
    </row>
    <row r="395" spans="1:42" ht="12.75">
      <c r="A395" s="412">
        <v>393</v>
      </c>
      <c r="B395" s="431"/>
      <c r="C395" s="432" t="s">
        <v>597</v>
      </c>
      <c r="D395" s="433" t="s">
        <v>9319</v>
      </c>
      <c r="E395" s="434">
        <f>'PROSPETTO CE_IV TRIM 2024'!BM1793</f>
        <v>84816.099999999991</v>
      </c>
      <c r="F395" s="439">
        <f>+E395</f>
        <v>84816.099999999991</v>
      </c>
      <c r="G395" s="439">
        <v>0</v>
      </c>
      <c r="H395" s="439">
        <v>90169.669999999984</v>
      </c>
      <c r="I395" s="435">
        <f t="shared" si="425"/>
        <v>-5353.5699999999924</v>
      </c>
      <c r="J395" s="435">
        <f t="shared" si="426"/>
        <v>-5353.5699999999924</v>
      </c>
      <c r="K395" s="439">
        <v>90169.669999999984</v>
      </c>
      <c r="L395" s="439">
        <v>90169.669999999984</v>
      </c>
      <c r="M395" s="439">
        <f t="shared" si="427"/>
        <v>-163.56399567164772</v>
      </c>
      <c r="N395" s="439">
        <v>88387.802823570077</v>
      </c>
      <c r="O395" s="439">
        <v>88387.802823570077</v>
      </c>
      <c r="P395" s="440">
        <v>84979.663995671639</v>
      </c>
      <c r="Q395" s="439">
        <v>0</v>
      </c>
      <c r="R395" s="439">
        <f t="shared" si="420"/>
        <v>-3408.1388278984377</v>
      </c>
      <c r="S395" s="439">
        <f t="shared" si="421"/>
        <v>-88387.802823570077</v>
      </c>
      <c r="T395" s="441">
        <f>(F395-P395)/F395*100</f>
        <v>-0.19284545702012676</v>
      </c>
      <c r="U395" s="439">
        <v>66290.852117677568</v>
      </c>
      <c r="V395" s="439">
        <f>+AA395</f>
        <v>84979.663995671639</v>
      </c>
      <c r="W395" s="439">
        <v>0</v>
      </c>
      <c r="X395" s="439">
        <v>0</v>
      </c>
      <c r="Y395" s="435">
        <f t="shared" si="423"/>
        <v>92526.654545454541</v>
      </c>
      <c r="Z395" s="439">
        <v>84979.663995671639</v>
      </c>
      <c r="AA395" s="439">
        <v>84979.663995671639</v>
      </c>
      <c r="AB395" s="439">
        <v>18065</v>
      </c>
      <c r="AC395" s="439">
        <v>42489.831997835819</v>
      </c>
      <c r="AD395" s="439">
        <v>0</v>
      </c>
      <c r="AE395" s="435">
        <f t="shared" si="389"/>
        <v>84816.099999999991</v>
      </c>
      <c r="AF395" s="439">
        <f>AC395*2</f>
        <v>84979.663995671639</v>
      </c>
      <c r="AG395" s="439"/>
      <c r="AH395" s="419">
        <f t="shared" si="415"/>
        <v>-84816.099999999991</v>
      </c>
      <c r="AI395" s="439"/>
      <c r="AJ395" s="439"/>
      <c r="AK395" s="439">
        <f>AA395-W395</f>
        <v>84979.663995671639</v>
      </c>
      <c r="AL395" s="439">
        <f>AA395-AF395</f>
        <v>0</v>
      </c>
      <c r="AM395" s="439">
        <f>AA395-AD395</f>
        <v>84979.663995671639</v>
      </c>
      <c r="AN395" s="438"/>
      <c r="AO395" s="438"/>
      <c r="AP395" s="438"/>
    </row>
    <row r="396" spans="1:42" ht="12.75">
      <c r="A396" s="412">
        <v>394</v>
      </c>
      <c r="B396" s="431"/>
      <c r="C396" s="432" t="s">
        <v>598</v>
      </c>
      <c r="D396" s="433" t="s">
        <v>9376</v>
      </c>
      <c r="E396" s="434"/>
      <c r="F396" s="435">
        <f>+F397+F401</f>
        <v>4627491.6399999997</v>
      </c>
      <c r="G396" s="435">
        <v>3535107.07</v>
      </c>
      <c r="H396" s="435">
        <v>4627491.6400000006</v>
      </c>
      <c r="I396" s="435">
        <f t="shared" si="425"/>
        <v>0</v>
      </c>
      <c r="J396" s="435">
        <f t="shared" si="426"/>
        <v>0</v>
      </c>
      <c r="K396" s="435">
        <v>4627491.6400000006</v>
      </c>
      <c r="L396" s="435">
        <v>4627491.6400000006</v>
      </c>
      <c r="M396" s="435">
        <f t="shared" si="427"/>
        <v>-4772.8389766355976</v>
      </c>
      <c r="N396" s="435">
        <v>4503022.99408409</v>
      </c>
      <c r="O396" s="435">
        <v>4503022.99408409</v>
      </c>
      <c r="P396" s="436">
        <v>4632264.4789766353</v>
      </c>
      <c r="Q396" s="435">
        <f t="shared" ref="Q396" si="431">+Q397+Q401</f>
        <v>3535107.07</v>
      </c>
      <c r="R396" s="435">
        <f t="shared" si="420"/>
        <v>129241.48489254527</v>
      </c>
      <c r="S396" s="435">
        <f t="shared" si="421"/>
        <v>-967915.92408409016</v>
      </c>
      <c r="T396" s="437">
        <f>(F396-P396)/F396*100</f>
        <v>-0.10314095298150766</v>
      </c>
      <c r="U396" s="435">
        <v>3377267.245563068</v>
      </c>
      <c r="V396" s="435">
        <f>+V397+V401</f>
        <v>4632264.4789766353</v>
      </c>
      <c r="W396" s="435">
        <f>+W397+W401</f>
        <v>4108031</v>
      </c>
      <c r="X396" s="435">
        <f t="shared" ref="X396" si="432">+X397+X401</f>
        <v>3535107.07</v>
      </c>
      <c r="Y396" s="435">
        <f t="shared" si="423"/>
        <v>5048172.6981818182</v>
      </c>
      <c r="Z396" s="435">
        <v>4632264.4789766353</v>
      </c>
      <c r="AA396" s="435">
        <v>4632264.4789766353</v>
      </c>
      <c r="AB396" s="435">
        <f t="shared" ref="AB396:AM396" si="433">+AB397+AB401</f>
        <v>1085125</v>
      </c>
      <c r="AC396" s="435">
        <f t="shared" si="433"/>
        <v>2273959.9144883174</v>
      </c>
      <c r="AD396" s="435">
        <f t="shared" si="433"/>
        <v>3535107.07</v>
      </c>
      <c r="AE396" s="435">
        <f t="shared" si="389"/>
        <v>1092384.5699999998</v>
      </c>
      <c r="AF396" s="435">
        <f t="shared" si="433"/>
        <v>4547919.8289766349</v>
      </c>
      <c r="AG396" s="435">
        <f t="shared" si="433"/>
        <v>0</v>
      </c>
      <c r="AH396" s="419">
        <f t="shared" si="415"/>
        <v>-4627491.6399999997</v>
      </c>
      <c r="AI396" s="435">
        <f t="shared" si="433"/>
        <v>0</v>
      </c>
      <c r="AJ396" s="435">
        <f t="shared" si="433"/>
        <v>0</v>
      </c>
      <c r="AK396" s="435">
        <f t="shared" si="433"/>
        <v>524233.47897663468</v>
      </c>
      <c r="AL396" s="435">
        <f t="shared" si="433"/>
        <v>84344.650000000023</v>
      </c>
      <c r="AM396" s="435">
        <f t="shared" si="433"/>
        <v>1097157.408976635</v>
      </c>
      <c r="AN396" s="438"/>
      <c r="AO396" s="438"/>
      <c r="AP396" s="438"/>
    </row>
    <row r="397" spans="1:42" ht="12.75">
      <c r="A397" s="412">
        <v>395</v>
      </c>
      <c r="B397" s="431"/>
      <c r="C397" s="432" t="s">
        <v>599</v>
      </c>
      <c r="D397" s="433" t="s">
        <v>9378</v>
      </c>
      <c r="E397" s="434"/>
      <c r="F397" s="435">
        <f>SUM(F398:F400)</f>
        <v>1055304.1599999999</v>
      </c>
      <c r="G397" s="435">
        <v>772339.89000000013</v>
      </c>
      <c r="H397" s="435">
        <v>1055304.1599999999</v>
      </c>
      <c r="I397" s="435">
        <f t="shared" si="425"/>
        <v>0</v>
      </c>
      <c r="J397" s="435">
        <f t="shared" si="426"/>
        <v>0</v>
      </c>
      <c r="K397" s="435">
        <v>1055304.1599999999</v>
      </c>
      <c r="L397" s="435">
        <v>1055304.1599999999</v>
      </c>
      <c r="M397" s="435">
        <f t="shared" si="427"/>
        <v>-47293.500163948862</v>
      </c>
      <c r="N397" s="435">
        <v>995912.11122283747</v>
      </c>
      <c r="O397" s="435">
        <v>995912.11122283747</v>
      </c>
      <c r="P397" s="436">
        <v>1102597.6601639488</v>
      </c>
      <c r="Q397" s="435">
        <f t="shared" ref="Q397" si="434">SUM(Q398:Q400)</f>
        <v>772339.89000000013</v>
      </c>
      <c r="R397" s="435">
        <f t="shared" si="420"/>
        <v>106685.54894111131</v>
      </c>
      <c r="S397" s="435">
        <f t="shared" si="421"/>
        <v>-223572.22122283734</v>
      </c>
      <c r="T397" s="437">
        <f>(F397-P397)/F397*100</f>
        <v>-4.4815041915450102</v>
      </c>
      <c r="U397" s="435">
        <v>746934.08341712819</v>
      </c>
      <c r="V397" s="435">
        <f>SUM(V398:V400)</f>
        <v>1102597.6601639488</v>
      </c>
      <c r="W397" s="435">
        <f>SUM(W398:W400)</f>
        <v>1056123</v>
      </c>
      <c r="X397" s="435">
        <f t="shared" ref="X397" si="435">SUM(X398:X400)</f>
        <v>772339.89000000013</v>
      </c>
      <c r="Y397" s="435">
        <f t="shared" si="423"/>
        <v>1151240.9018181816</v>
      </c>
      <c r="Z397" s="435">
        <v>1102597.6601639488</v>
      </c>
      <c r="AA397" s="435">
        <v>1102597.6601639488</v>
      </c>
      <c r="AB397" s="435">
        <f t="shared" ref="AB397:AM397" si="436">SUM(AB398:AB400)</f>
        <v>221969</v>
      </c>
      <c r="AC397" s="435">
        <f t="shared" si="436"/>
        <v>509126.50508197438</v>
      </c>
      <c r="AD397" s="435">
        <f t="shared" si="436"/>
        <v>772339.89000000013</v>
      </c>
      <c r="AE397" s="435">
        <f t="shared" si="389"/>
        <v>282964.26999999979</v>
      </c>
      <c r="AF397" s="435">
        <f t="shared" si="436"/>
        <v>1018253.0101639488</v>
      </c>
      <c r="AG397" s="435">
        <f t="shared" si="436"/>
        <v>0</v>
      </c>
      <c r="AH397" s="419">
        <f t="shared" si="415"/>
        <v>-1055304.1599999999</v>
      </c>
      <c r="AI397" s="435">
        <f t="shared" si="436"/>
        <v>0</v>
      </c>
      <c r="AJ397" s="435">
        <f t="shared" si="436"/>
        <v>0</v>
      </c>
      <c r="AK397" s="435">
        <f t="shared" si="436"/>
        <v>46474.660163948749</v>
      </c>
      <c r="AL397" s="435">
        <f t="shared" si="436"/>
        <v>84344.650000000023</v>
      </c>
      <c r="AM397" s="435">
        <f t="shared" si="436"/>
        <v>330257.77016394865</v>
      </c>
      <c r="AN397" s="438"/>
      <c r="AO397" s="438"/>
      <c r="AP397" s="438"/>
    </row>
    <row r="398" spans="1:42" ht="25.5">
      <c r="A398" s="412">
        <v>396</v>
      </c>
      <c r="B398" s="431"/>
      <c r="C398" s="432" t="s">
        <v>600</v>
      </c>
      <c r="D398" s="433" t="s">
        <v>9380</v>
      </c>
      <c r="E398" s="434">
        <f>'PROSPETTO CE_IV TRIM 2024'!BM1823</f>
        <v>940729.73</v>
      </c>
      <c r="F398" s="439">
        <f>+E398</f>
        <v>940729.73</v>
      </c>
      <c r="G398" s="439">
        <v>669272.96000000008</v>
      </c>
      <c r="H398" s="439">
        <v>940729.73</v>
      </c>
      <c r="I398" s="435">
        <f t="shared" si="425"/>
        <v>0</v>
      </c>
      <c r="J398" s="435">
        <f t="shared" si="426"/>
        <v>0</v>
      </c>
      <c r="K398" s="439">
        <v>940729.73</v>
      </c>
      <c r="L398" s="439">
        <v>940729.73</v>
      </c>
      <c r="M398" s="439">
        <f t="shared" si="427"/>
        <v>795.0900738973869</v>
      </c>
      <c r="N398" s="439">
        <v>881941.31549432466</v>
      </c>
      <c r="O398" s="439">
        <v>881941.31549432466</v>
      </c>
      <c r="P398" s="440">
        <v>939934.63992610259</v>
      </c>
      <c r="Q398" s="439">
        <v>669272.96000000008</v>
      </c>
      <c r="R398" s="439">
        <f t="shared" si="420"/>
        <v>57993.324431777932</v>
      </c>
      <c r="S398" s="439">
        <f t="shared" si="421"/>
        <v>-212668.35549432458</v>
      </c>
      <c r="T398" s="441">
        <f>(F398-P398)/F398*100</f>
        <v>8.4518438031865636E-2</v>
      </c>
      <c r="U398" s="439">
        <v>661455.98662074353</v>
      </c>
      <c r="V398" s="439">
        <f>+AA398</f>
        <v>939934.63992610259</v>
      </c>
      <c r="W398" s="439">
        <v>953057</v>
      </c>
      <c r="X398" s="439">
        <v>669272.96000000008</v>
      </c>
      <c r="Y398" s="435">
        <f t="shared" si="423"/>
        <v>1026250.6145454545</v>
      </c>
      <c r="Z398" s="439">
        <v>939934.63992610259</v>
      </c>
      <c r="AA398" s="439">
        <v>939934.63992610259</v>
      </c>
      <c r="AB398" s="439">
        <v>194925</v>
      </c>
      <c r="AC398" s="439">
        <v>452794.99496305129</v>
      </c>
      <c r="AD398" s="439">
        <v>669272.96000000008</v>
      </c>
      <c r="AE398" s="435">
        <f t="shared" si="389"/>
        <v>271456.7699999999</v>
      </c>
      <c r="AF398" s="439">
        <f>AC398*2</f>
        <v>905589.98992610257</v>
      </c>
      <c r="AG398" s="439"/>
      <c r="AH398" s="419">
        <f t="shared" si="415"/>
        <v>-940729.73</v>
      </c>
      <c r="AI398" s="439"/>
      <c r="AJ398" s="439"/>
      <c r="AK398" s="439">
        <f>AA398-W398</f>
        <v>-13122.360073897406</v>
      </c>
      <c r="AL398" s="439">
        <f>AA398-AF398</f>
        <v>34344.650000000023</v>
      </c>
      <c r="AM398" s="439">
        <f>AA398-AD398</f>
        <v>270661.67992610252</v>
      </c>
      <c r="AN398" s="438"/>
      <c r="AO398" s="438"/>
      <c r="AP398" s="438"/>
    </row>
    <row r="399" spans="1:42" ht="25.5">
      <c r="A399" s="412">
        <v>397</v>
      </c>
      <c r="B399" s="431"/>
      <c r="C399" s="432" t="s">
        <v>601</v>
      </c>
      <c r="D399" s="433" t="s">
        <v>9444</v>
      </c>
      <c r="E399" s="434">
        <f>'PROSPETTO CE_IV TRIM 2024'!BM1851</f>
        <v>114574.43</v>
      </c>
      <c r="F399" s="439">
        <f>+E399</f>
        <v>114574.43</v>
      </c>
      <c r="G399" s="439">
        <v>103066.93000000001</v>
      </c>
      <c r="H399" s="439">
        <v>114574.43</v>
      </c>
      <c r="I399" s="435">
        <f t="shared" si="425"/>
        <v>0</v>
      </c>
      <c r="J399" s="435">
        <f t="shared" si="426"/>
        <v>0</v>
      </c>
      <c r="K399" s="439">
        <v>114574.43</v>
      </c>
      <c r="L399" s="439">
        <v>114574.43</v>
      </c>
      <c r="M399" s="439">
        <f t="shared" si="427"/>
        <v>-48088.590237846161</v>
      </c>
      <c r="N399" s="439">
        <v>113970.79572851281</v>
      </c>
      <c r="O399" s="439">
        <v>113970.79572851281</v>
      </c>
      <c r="P399" s="440">
        <v>162663.02023784615</v>
      </c>
      <c r="Q399" s="439">
        <v>103066.93000000001</v>
      </c>
      <c r="R399" s="439">
        <f t="shared" si="420"/>
        <v>48692.224509333348</v>
      </c>
      <c r="S399" s="439">
        <f t="shared" si="421"/>
        <v>-10903.865728512799</v>
      </c>
      <c r="T399" s="441">
        <f>(F399-P399)/F399*100</f>
        <v>-41.971485468307513</v>
      </c>
      <c r="U399" s="439">
        <v>85478.09679638462</v>
      </c>
      <c r="V399" s="439">
        <f>+AA399</f>
        <v>162663.02023784615</v>
      </c>
      <c r="W399" s="439">
        <v>103066</v>
      </c>
      <c r="X399" s="439">
        <v>103066.93000000001</v>
      </c>
      <c r="Y399" s="435">
        <f t="shared" si="423"/>
        <v>124990.28727272726</v>
      </c>
      <c r="Z399" s="439">
        <v>162663.02023784615</v>
      </c>
      <c r="AA399" s="439">
        <v>162663.02023784615</v>
      </c>
      <c r="AB399" s="439">
        <v>27044</v>
      </c>
      <c r="AC399" s="439">
        <v>56331.510118923077</v>
      </c>
      <c r="AD399" s="439">
        <v>103066.93000000001</v>
      </c>
      <c r="AE399" s="435">
        <f t="shared" si="389"/>
        <v>11507.499999999985</v>
      </c>
      <c r="AF399" s="439">
        <f>AC399*2</f>
        <v>112663.02023784615</v>
      </c>
      <c r="AG399" s="439"/>
      <c r="AH399" s="419">
        <f t="shared" si="415"/>
        <v>-114574.43</v>
      </c>
      <c r="AI399" s="439"/>
      <c r="AJ399" s="439"/>
      <c r="AK399" s="439">
        <f>AA399-W399</f>
        <v>59597.020237846154</v>
      </c>
      <c r="AL399" s="439">
        <f>AA399-AF399</f>
        <v>50000</v>
      </c>
      <c r="AM399" s="439">
        <f>AA399-AD399</f>
        <v>59596.090237846147</v>
      </c>
      <c r="AN399" s="438"/>
      <c r="AO399" s="438"/>
      <c r="AP399" s="438"/>
    </row>
    <row r="400" spans="1:42" ht="25.5">
      <c r="A400" s="412">
        <v>398</v>
      </c>
      <c r="B400" s="431"/>
      <c r="C400" s="432" t="s">
        <v>602</v>
      </c>
      <c r="D400" s="433" t="s">
        <v>9505</v>
      </c>
      <c r="E400" s="434">
        <f>'PROSPETTO CE_IV TRIM 2024'!BM1878</f>
        <v>0</v>
      </c>
      <c r="F400" s="439">
        <f>+E400</f>
        <v>0</v>
      </c>
      <c r="G400" s="439">
        <v>0</v>
      </c>
      <c r="H400" s="439">
        <v>0</v>
      </c>
      <c r="I400" s="435">
        <f t="shared" si="425"/>
        <v>0</v>
      </c>
      <c r="J400" s="435">
        <f t="shared" si="426"/>
        <v>0</v>
      </c>
      <c r="K400" s="439">
        <v>0</v>
      </c>
      <c r="L400" s="439">
        <v>0</v>
      </c>
      <c r="M400" s="439">
        <f t="shared" si="427"/>
        <v>0</v>
      </c>
      <c r="N400" s="439">
        <v>0</v>
      </c>
      <c r="O400" s="439">
        <v>0</v>
      </c>
      <c r="P400" s="440">
        <v>0</v>
      </c>
      <c r="Q400" s="439">
        <v>0</v>
      </c>
      <c r="R400" s="439">
        <f t="shared" si="420"/>
        <v>0</v>
      </c>
      <c r="S400" s="439">
        <f t="shared" si="421"/>
        <v>0</v>
      </c>
      <c r="T400" s="441"/>
      <c r="U400" s="439">
        <v>0</v>
      </c>
      <c r="V400" s="439">
        <f>+AA400</f>
        <v>0</v>
      </c>
      <c r="W400" s="439">
        <v>0</v>
      </c>
      <c r="X400" s="439">
        <v>0</v>
      </c>
      <c r="Y400" s="435">
        <f t="shared" si="423"/>
        <v>0</v>
      </c>
      <c r="Z400" s="439">
        <v>0</v>
      </c>
      <c r="AA400" s="439">
        <v>0</v>
      </c>
      <c r="AB400" s="439">
        <v>0</v>
      </c>
      <c r="AC400" s="439">
        <v>0</v>
      </c>
      <c r="AD400" s="439">
        <v>0</v>
      </c>
      <c r="AE400" s="435">
        <f t="shared" si="389"/>
        <v>0</v>
      </c>
      <c r="AF400" s="439">
        <f>AC400*2</f>
        <v>0</v>
      </c>
      <c r="AG400" s="439"/>
      <c r="AH400" s="419">
        <f t="shared" si="415"/>
        <v>0</v>
      </c>
      <c r="AI400" s="439"/>
      <c r="AJ400" s="439"/>
      <c r="AK400" s="439">
        <f>AA400-W400</f>
        <v>0</v>
      </c>
      <c r="AL400" s="439">
        <f>AA400-AF400</f>
        <v>0</v>
      </c>
      <c r="AM400" s="439">
        <f>AA400-AD400</f>
        <v>0</v>
      </c>
      <c r="AN400" s="438"/>
      <c r="AO400" s="438"/>
      <c r="AP400" s="438"/>
    </row>
    <row r="401" spans="1:42" ht="12.75">
      <c r="A401" s="412">
        <v>399</v>
      </c>
      <c r="B401" s="431"/>
      <c r="C401" s="432" t="s">
        <v>603</v>
      </c>
      <c r="D401" s="433" t="s">
        <v>9509</v>
      </c>
      <c r="E401" s="434"/>
      <c r="F401" s="435">
        <f>SUM(F402:F404)</f>
        <v>3572187.48</v>
      </c>
      <c r="G401" s="435">
        <v>2762767.1799999997</v>
      </c>
      <c r="H401" s="435">
        <v>3572187.4800000004</v>
      </c>
      <c r="I401" s="435">
        <f t="shared" si="425"/>
        <v>0</v>
      </c>
      <c r="J401" s="435">
        <f t="shared" si="426"/>
        <v>0</v>
      </c>
      <c r="K401" s="435">
        <v>3572187.4800000004</v>
      </c>
      <c r="L401" s="435">
        <v>3572187.4800000004</v>
      </c>
      <c r="M401" s="435">
        <f t="shared" si="427"/>
        <v>42520.661187313963</v>
      </c>
      <c r="N401" s="435">
        <v>3507110.8828612529</v>
      </c>
      <c r="O401" s="435">
        <v>3507110.8828612529</v>
      </c>
      <c r="P401" s="436">
        <v>3529666.818812686</v>
      </c>
      <c r="Q401" s="435">
        <f t="shared" ref="Q401" si="437">SUM(Q402:Q404)</f>
        <v>2762767.1799999997</v>
      </c>
      <c r="R401" s="435">
        <f t="shared" si="420"/>
        <v>22555.935951433145</v>
      </c>
      <c r="S401" s="435">
        <f t="shared" si="421"/>
        <v>-744343.70286125317</v>
      </c>
      <c r="T401" s="437">
        <f>(F401-P401)/F401*100</f>
        <v>1.1903255757257725</v>
      </c>
      <c r="U401" s="435">
        <v>2630333.1621459397</v>
      </c>
      <c r="V401" s="435">
        <f>SUM(V402:V404)</f>
        <v>3529666.818812686</v>
      </c>
      <c r="W401" s="435">
        <f>SUM(W402:W404)</f>
        <v>3051908</v>
      </c>
      <c r="X401" s="435">
        <f t="shared" ref="X401" si="438">SUM(X402:X404)</f>
        <v>2762767.1799999997</v>
      </c>
      <c r="Y401" s="435">
        <f t="shared" si="423"/>
        <v>3896931.7963636359</v>
      </c>
      <c r="Z401" s="435">
        <v>3529666.818812686</v>
      </c>
      <c r="AA401" s="435">
        <v>3529666.818812686</v>
      </c>
      <c r="AB401" s="435">
        <f t="shared" ref="AB401:AM401" si="439">SUM(AB402:AB404)</f>
        <v>863156</v>
      </c>
      <c r="AC401" s="435">
        <f t="shared" si="439"/>
        <v>1764833.409406343</v>
      </c>
      <c r="AD401" s="435">
        <f t="shared" si="439"/>
        <v>2762767.1799999997</v>
      </c>
      <c r="AE401" s="435">
        <f t="shared" si="389"/>
        <v>809420.30000000028</v>
      </c>
      <c r="AF401" s="435">
        <f t="shared" si="439"/>
        <v>3529666.818812686</v>
      </c>
      <c r="AG401" s="435">
        <f t="shared" si="439"/>
        <v>0</v>
      </c>
      <c r="AH401" s="419">
        <f t="shared" si="415"/>
        <v>-3572187.48</v>
      </c>
      <c r="AI401" s="435">
        <f t="shared" si="439"/>
        <v>0</v>
      </c>
      <c r="AJ401" s="435">
        <f t="shared" si="439"/>
        <v>0</v>
      </c>
      <c r="AK401" s="435">
        <f t="shared" si="439"/>
        <v>477758.8188126859</v>
      </c>
      <c r="AL401" s="435">
        <f t="shared" si="439"/>
        <v>0</v>
      </c>
      <c r="AM401" s="435">
        <f t="shared" si="439"/>
        <v>766899.63881268632</v>
      </c>
      <c r="AN401" s="438"/>
      <c r="AO401" s="438"/>
      <c r="AP401" s="438"/>
    </row>
    <row r="402" spans="1:42" ht="25.5">
      <c r="A402" s="412">
        <v>400</v>
      </c>
      <c r="B402" s="431"/>
      <c r="C402" s="432" t="s">
        <v>604</v>
      </c>
      <c r="D402" s="433" t="s">
        <v>9511</v>
      </c>
      <c r="E402" s="434">
        <f>'PROSPETTO CE_IV TRIM 2024'!BM1881</f>
        <v>3439559.81</v>
      </c>
      <c r="F402" s="439">
        <f>+E402</f>
        <v>3439559.81</v>
      </c>
      <c r="G402" s="439">
        <v>2756502.1199999996</v>
      </c>
      <c r="H402" s="439">
        <v>3439559.8100000005</v>
      </c>
      <c r="I402" s="435">
        <f t="shared" si="425"/>
        <v>0</v>
      </c>
      <c r="J402" s="435">
        <f t="shared" si="426"/>
        <v>0</v>
      </c>
      <c r="K402" s="439">
        <v>3439559.8100000005</v>
      </c>
      <c r="L402" s="439">
        <v>3439559.8100000005</v>
      </c>
      <c r="M402" s="439">
        <f t="shared" si="427"/>
        <v>56425.950428159907</v>
      </c>
      <c r="N402" s="439">
        <v>3364361.4495889945</v>
      </c>
      <c r="O402" s="439">
        <v>3364361.4495889945</v>
      </c>
      <c r="P402" s="440">
        <v>3383133.8595718401</v>
      </c>
      <c r="Q402" s="439">
        <v>2756502.1199999996</v>
      </c>
      <c r="R402" s="439">
        <f t="shared" si="420"/>
        <v>18772.409982845653</v>
      </c>
      <c r="S402" s="439">
        <f t="shared" si="421"/>
        <v>-607859.32958899485</v>
      </c>
      <c r="T402" s="441">
        <f>(F402-P402)/F402*100</f>
        <v>1.6404991785317988</v>
      </c>
      <c r="U402" s="439">
        <v>2523271.0871917456</v>
      </c>
      <c r="V402" s="439">
        <f>+AA402</f>
        <v>3383133.8595718401</v>
      </c>
      <c r="W402" s="439">
        <v>3045643</v>
      </c>
      <c r="X402" s="439">
        <v>2756502.1199999996</v>
      </c>
      <c r="Y402" s="435">
        <f t="shared" si="423"/>
        <v>3752247.0654545454</v>
      </c>
      <c r="Z402" s="439">
        <v>3383133.8595718401</v>
      </c>
      <c r="AA402" s="439">
        <v>3383133.8595718401</v>
      </c>
      <c r="AB402" s="439">
        <v>852864</v>
      </c>
      <c r="AC402" s="439">
        <v>1691566.9297859201</v>
      </c>
      <c r="AD402" s="439">
        <v>2756502.1199999996</v>
      </c>
      <c r="AE402" s="435">
        <f t="shared" si="389"/>
        <v>683057.69000000041</v>
      </c>
      <c r="AF402" s="439">
        <f>AC402*2</f>
        <v>3383133.8595718401</v>
      </c>
      <c r="AG402" s="439"/>
      <c r="AH402" s="419">
        <f t="shared" si="415"/>
        <v>-3439559.81</v>
      </c>
      <c r="AI402" s="439"/>
      <c r="AJ402" s="439"/>
      <c r="AK402" s="439">
        <f>AA402-W402</f>
        <v>337490.85957184015</v>
      </c>
      <c r="AL402" s="439">
        <f>AA402-AF402</f>
        <v>0</v>
      </c>
      <c r="AM402" s="439">
        <f>AA402-AD402</f>
        <v>626631.7395718405</v>
      </c>
      <c r="AN402" s="438"/>
      <c r="AO402" s="438"/>
      <c r="AP402" s="438"/>
    </row>
    <row r="403" spans="1:42" ht="25.5">
      <c r="A403" s="412">
        <v>401</v>
      </c>
      <c r="B403" s="431"/>
      <c r="C403" s="432" t="s">
        <v>605</v>
      </c>
      <c r="D403" s="433" t="s">
        <v>9584</v>
      </c>
      <c r="E403" s="434">
        <f>'PROSPETTO CE_IV TRIM 2024'!BM1913</f>
        <v>0</v>
      </c>
      <c r="F403" s="439">
        <f>+E403</f>
        <v>0</v>
      </c>
      <c r="G403" s="439">
        <v>0</v>
      </c>
      <c r="H403" s="439">
        <v>0</v>
      </c>
      <c r="I403" s="435">
        <f t="shared" si="425"/>
        <v>0</v>
      </c>
      <c r="J403" s="435">
        <f t="shared" si="426"/>
        <v>0</v>
      </c>
      <c r="K403" s="439">
        <v>0</v>
      </c>
      <c r="L403" s="439">
        <v>0</v>
      </c>
      <c r="M403" s="439">
        <f t="shared" si="427"/>
        <v>0</v>
      </c>
      <c r="N403" s="439">
        <v>0</v>
      </c>
      <c r="O403" s="439">
        <v>0</v>
      </c>
      <c r="P403" s="440">
        <v>0</v>
      </c>
      <c r="Q403" s="439">
        <v>0</v>
      </c>
      <c r="R403" s="439">
        <f t="shared" si="420"/>
        <v>0</v>
      </c>
      <c r="S403" s="439">
        <f t="shared" si="421"/>
        <v>0</v>
      </c>
      <c r="T403" s="441"/>
      <c r="U403" s="439">
        <v>0</v>
      </c>
      <c r="V403" s="439">
        <f>+AA403</f>
        <v>0</v>
      </c>
      <c r="W403" s="439">
        <v>0</v>
      </c>
      <c r="X403" s="439">
        <v>0</v>
      </c>
      <c r="Y403" s="435">
        <f t="shared" si="423"/>
        <v>0</v>
      </c>
      <c r="Z403" s="439">
        <v>0</v>
      </c>
      <c r="AA403" s="439">
        <v>0</v>
      </c>
      <c r="AB403" s="439">
        <v>0</v>
      </c>
      <c r="AC403" s="439">
        <v>0</v>
      </c>
      <c r="AD403" s="439">
        <v>0</v>
      </c>
      <c r="AE403" s="435">
        <f t="shared" si="389"/>
        <v>0</v>
      </c>
      <c r="AF403" s="439">
        <f>AC403*2</f>
        <v>0</v>
      </c>
      <c r="AG403" s="439"/>
      <c r="AH403" s="419">
        <f t="shared" si="415"/>
        <v>0</v>
      </c>
      <c r="AI403" s="439"/>
      <c r="AJ403" s="439"/>
      <c r="AK403" s="439">
        <f>AA403-W403</f>
        <v>0</v>
      </c>
      <c r="AL403" s="439">
        <f>AA403-AF403</f>
        <v>0</v>
      </c>
      <c r="AM403" s="439">
        <f>AA403-AD403</f>
        <v>0</v>
      </c>
      <c r="AN403" s="438"/>
      <c r="AO403" s="438"/>
      <c r="AP403" s="438"/>
    </row>
    <row r="404" spans="1:42" ht="25.5">
      <c r="A404" s="412"/>
      <c r="B404" s="431"/>
      <c r="C404" s="432" t="s">
        <v>606</v>
      </c>
      <c r="D404" s="433" t="s">
        <v>9650</v>
      </c>
      <c r="E404" s="434">
        <f>'PROSPETTO CE_IV TRIM 2024'!BM1942</f>
        <v>132627.66999999998</v>
      </c>
      <c r="F404" s="439">
        <f>+E404</f>
        <v>132627.66999999998</v>
      </c>
      <c r="G404" s="439">
        <v>6265.06</v>
      </c>
      <c r="H404" s="439">
        <v>132627.66999999998</v>
      </c>
      <c r="I404" s="435">
        <f t="shared" si="425"/>
        <v>0</v>
      </c>
      <c r="J404" s="435">
        <f t="shared" si="426"/>
        <v>0</v>
      </c>
      <c r="K404" s="439">
        <v>132627.66999999998</v>
      </c>
      <c r="L404" s="439">
        <v>132627.66999999998</v>
      </c>
      <c r="M404" s="439">
        <f t="shared" si="427"/>
        <v>-13905.28924084577</v>
      </c>
      <c r="N404" s="439">
        <v>142749.43327225844</v>
      </c>
      <c r="O404" s="439">
        <v>142749.43327225844</v>
      </c>
      <c r="P404" s="440">
        <v>146532.95924084575</v>
      </c>
      <c r="Q404" s="439">
        <v>6265.06</v>
      </c>
      <c r="R404" s="439">
        <f t="shared" si="420"/>
        <v>3783.525968587317</v>
      </c>
      <c r="S404" s="439">
        <f t="shared" si="421"/>
        <v>-136484.37327225844</v>
      </c>
      <c r="T404" s="441">
        <f>(F404-P404)/F404*100</f>
        <v>-10.484455650050831</v>
      </c>
      <c r="U404" s="439">
        <v>107062.07495419381</v>
      </c>
      <c r="V404" s="439">
        <f>+AA404</f>
        <v>146532.95924084575</v>
      </c>
      <c r="W404" s="439">
        <v>6265</v>
      </c>
      <c r="X404" s="439">
        <v>6265.06</v>
      </c>
      <c r="Y404" s="435">
        <f t="shared" si="423"/>
        <v>144684.7309090909</v>
      </c>
      <c r="Z404" s="439">
        <v>146532.95924084575</v>
      </c>
      <c r="AA404" s="439">
        <v>146532.95924084575</v>
      </c>
      <c r="AB404" s="439">
        <v>10292</v>
      </c>
      <c r="AC404" s="439">
        <v>73266.479620422877</v>
      </c>
      <c r="AD404" s="439">
        <v>6265.06</v>
      </c>
      <c r="AE404" s="435">
        <f t="shared" si="389"/>
        <v>126362.60999999999</v>
      </c>
      <c r="AF404" s="439">
        <f>AC404*2</f>
        <v>146532.95924084575</v>
      </c>
      <c r="AG404" s="439"/>
      <c r="AH404" s="419">
        <f t="shared" si="415"/>
        <v>-132627.66999999998</v>
      </c>
      <c r="AI404" s="439"/>
      <c r="AJ404" s="439"/>
      <c r="AK404" s="439">
        <f>AA404-W404</f>
        <v>140267.95924084575</v>
      </c>
      <c r="AL404" s="439">
        <f>AA404-AF404</f>
        <v>0</v>
      </c>
      <c r="AM404" s="439">
        <f>AA404-AD404</f>
        <v>140267.89924084576</v>
      </c>
      <c r="AN404" s="438"/>
      <c r="AO404" s="438"/>
      <c r="AP404" s="438"/>
    </row>
    <row r="405" spans="1:42" ht="12.75">
      <c r="A405" s="412"/>
      <c r="B405" s="431"/>
      <c r="C405" s="432" t="s">
        <v>9709</v>
      </c>
      <c r="D405" s="433" t="s">
        <v>9712</v>
      </c>
      <c r="E405" s="434"/>
      <c r="F405" s="435">
        <f>+F406+F407+F408</f>
        <v>3850860.6799999997</v>
      </c>
      <c r="G405" s="435">
        <v>4048095.48</v>
      </c>
      <c r="H405" s="435">
        <v>3850861.0799999991</v>
      </c>
      <c r="I405" s="435">
        <f t="shared" si="425"/>
        <v>-0.39999999944120646</v>
      </c>
      <c r="J405" s="435">
        <f t="shared" si="426"/>
        <v>-1960.3999999994412</v>
      </c>
      <c r="K405" s="435">
        <v>3852821.0799999991</v>
      </c>
      <c r="L405" s="435">
        <v>5777032.2399999993</v>
      </c>
      <c r="M405" s="435">
        <f t="shared" si="427"/>
        <v>-282721.48</v>
      </c>
      <c r="N405" s="435">
        <v>5365791.9400000004</v>
      </c>
      <c r="O405" s="435">
        <v>5365791.9400000004</v>
      </c>
      <c r="P405" s="436">
        <v>4133582.1599999997</v>
      </c>
      <c r="Q405" s="435">
        <f t="shared" ref="Q405" si="440">+Q406+Q407+Q408</f>
        <v>4048095.48</v>
      </c>
      <c r="R405" s="435">
        <f t="shared" si="420"/>
        <v>-1232209.7800000007</v>
      </c>
      <c r="S405" s="435">
        <f t="shared" si="421"/>
        <v>-1317696.4600000004</v>
      </c>
      <c r="T405" s="437">
        <f>(F405-P405)/F405*100</f>
        <v>-7.3417737875679263</v>
      </c>
      <c r="U405" s="435">
        <v>2068911.8837599996</v>
      </c>
      <c r="V405" s="435">
        <f>+V406+V407+V408</f>
        <v>4133582.1599999997</v>
      </c>
      <c r="W405" s="435">
        <f>+W406+W407+W408</f>
        <v>4277003</v>
      </c>
      <c r="X405" s="435">
        <f t="shared" ref="X405" si="441">+X406+X407+X408</f>
        <v>4048095.48</v>
      </c>
      <c r="Y405" s="435">
        <f t="shared" si="423"/>
        <v>4200938.9236363629</v>
      </c>
      <c r="Z405" s="435">
        <v>4133582.32</v>
      </c>
      <c r="AA405" s="435">
        <v>4133582.1599999997</v>
      </c>
      <c r="AB405" s="435">
        <f t="shared" ref="AB405:AM405" si="442">+AB406+AB407+AB408</f>
        <v>1696326</v>
      </c>
      <c r="AC405" s="435">
        <f t="shared" si="442"/>
        <v>4942444.3464599997</v>
      </c>
      <c r="AD405" s="435">
        <f t="shared" si="442"/>
        <v>4048095.48</v>
      </c>
      <c r="AE405" s="435">
        <f t="shared" si="389"/>
        <v>-197234.80000000028</v>
      </c>
      <c r="AF405" s="435">
        <f t="shared" si="442"/>
        <v>9884888.6929199994</v>
      </c>
      <c r="AG405" s="435">
        <f t="shared" si="442"/>
        <v>0</v>
      </c>
      <c r="AH405" s="419">
        <f t="shared" si="415"/>
        <v>-3850860.6799999997</v>
      </c>
      <c r="AI405" s="435">
        <f t="shared" si="442"/>
        <v>0</v>
      </c>
      <c r="AJ405" s="435">
        <f t="shared" si="442"/>
        <v>0</v>
      </c>
      <c r="AK405" s="435">
        <f t="shared" si="442"/>
        <v>-143420.84000000014</v>
      </c>
      <c r="AL405" s="435">
        <f t="shared" si="442"/>
        <v>-5751306.5329200001</v>
      </c>
      <c r="AM405" s="435">
        <f t="shared" si="442"/>
        <v>85486.679999999964</v>
      </c>
      <c r="AN405" s="438"/>
      <c r="AO405" s="438"/>
      <c r="AP405" s="438"/>
    </row>
    <row r="406" spans="1:42" ht="12.75">
      <c r="A406" s="412"/>
      <c r="B406" s="431"/>
      <c r="C406" s="432" t="s">
        <v>487</v>
      </c>
      <c r="D406" s="433" t="s">
        <v>9714</v>
      </c>
      <c r="E406" s="434">
        <f>'PROSPETTO CE_IV TRIM 2024'!BM1974</f>
        <v>421002.76</v>
      </c>
      <c r="F406" s="439">
        <f>+E406</f>
        <v>421002.76</v>
      </c>
      <c r="G406" s="439">
        <v>258391.79</v>
      </c>
      <c r="H406" s="439">
        <v>421002.76</v>
      </c>
      <c r="I406" s="435">
        <f t="shared" si="425"/>
        <v>0</v>
      </c>
      <c r="J406" s="435">
        <f t="shared" si="426"/>
        <v>0</v>
      </c>
      <c r="K406" s="439">
        <v>421002.76</v>
      </c>
      <c r="L406" s="439">
        <v>421002.76</v>
      </c>
      <c r="M406" s="439">
        <f t="shared" si="427"/>
        <v>179315.95</v>
      </c>
      <c r="N406" s="439">
        <v>417756.15999999997</v>
      </c>
      <c r="O406" s="439">
        <v>417756.15999999997</v>
      </c>
      <c r="P406" s="443">
        <v>241686.81</v>
      </c>
      <c r="Q406" s="439">
        <v>258391.79</v>
      </c>
      <c r="R406" s="439">
        <f t="shared" si="420"/>
        <v>-176069.34999999998</v>
      </c>
      <c r="S406" s="439">
        <f t="shared" si="421"/>
        <v>-159364.36999999997</v>
      </c>
      <c r="T406" s="441">
        <f>(F406-P406)/F406*100</f>
        <v>42.59258300349385</v>
      </c>
      <c r="U406" s="439">
        <v>214207.03749999998</v>
      </c>
      <c r="V406" s="439">
        <f>+AA406</f>
        <v>241686.81</v>
      </c>
      <c r="W406" s="439">
        <v>258386</v>
      </c>
      <c r="X406" s="439">
        <v>258391.79</v>
      </c>
      <c r="Y406" s="435">
        <f t="shared" si="423"/>
        <v>459275.73818181816</v>
      </c>
      <c r="Z406" s="439">
        <v>241686.81</v>
      </c>
      <c r="AA406" s="439">
        <v>241686.81</v>
      </c>
      <c r="AB406" s="439">
        <v>41612</v>
      </c>
      <c r="AC406" s="439">
        <v>156002.42499999999</v>
      </c>
      <c r="AD406" s="439">
        <v>258391.79</v>
      </c>
      <c r="AE406" s="435">
        <f t="shared" si="389"/>
        <v>162610.97</v>
      </c>
      <c r="AF406" s="439">
        <f>AC406*2</f>
        <v>312004.84999999998</v>
      </c>
      <c r="AG406" s="439"/>
      <c r="AH406" s="419">
        <f t="shared" si="415"/>
        <v>-421002.76</v>
      </c>
      <c r="AI406" s="439"/>
      <c r="AJ406" s="439"/>
      <c r="AK406" s="439">
        <f>AA406-W406</f>
        <v>-16699.190000000002</v>
      </c>
      <c r="AL406" s="439">
        <f>AA406-AF406</f>
        <v>-70318.039999999979</v>
      </c>
      <c r="AM406" s="439">
        <f>AA406-AD406</f>
        <v>-16704.98000000001</v>
      </c>
      <c r="AN406" s="438"/>
      <c r="AO406" s="438"/>
      <c r="AP406" s="438"/>
    </row>
    <row r="407" spans="1:42" ht="12.75">
      <c r="A407" s="412"/>
      <c r="B407" s="431"/>
      <c r="C407" s="432" t="s">
        <v>488</v>
      </c>
      <c r="D407" s="433" t="s">
        <v>9729</v>
      </c>
      <c r="E407" s="434">
        <f>'PROSPETTO CE_IV TRIM 2024'!BM1982</f>
        <v>0</v>
      </c>
      <c r="F407" s="439">
        <f>+E407</f>
        <v>0</v>
      </c>
      <c r="G407" s="439">
        <v>0</v>
      </c>
      <c r="H407" s="439">
        <v>0</v>
      </c>
      <c r="I407" s="435">
        <f t="shared" si="425"/>
        <v>0</v>
      </c>
      <c r="J407" s="435">
        <f t="shared" si="426"/>
        <v>0</v>
      </c>
      <c r="K407" s="439">
        <v>0</v>
      </c>
      <c r="L407" s="439">
        <v>0</v>
      </c>
      <c r="M407" s="439">
        <f t="shared" si="427"/>
        <v>0</v>
      </c>
      <c r="N407" s="439">
        <v>0</v>
      </c>
      <c r="O407" s="439">
        <v>0</v>
      </c>
      <c r="P407" s="440">
        <v>0</v>
      </c>
      <c r="Q407" s="439">
        <v>0</v>
      </c>
      <c r="R407" s="439">
        <f t="shared" si="420"/>
        <v>0</v>
      </c>
      <c r="S407" s="439">
        <f t="shared" si="421"/>
        <v>0</v>
      </c>
      <c r="T407" s="441"/>
      <c r="U407" s="439">
        <v>0</v>
      </c>
      <c r="V407" s="439">
        <f>+AA407</f>
        <v>0</v>
      </c>
      <c r="W407" s="439">
        <v>0</v>
      </c>
      <c r="X407" s="439">
        <v>0</v>
      </c>
      <c r="Y407" s="435">
        <f t="shared" si="423"/>
        <v>0</v>
      </c>
      <c r="Z407" s="439">
        <v>0</v>
      </c>
      <c r="AA407" s="439">
        <v>0</v>
      </c>
      <c r="AB407" s="439">
        <v>0</v>
      </c>
      <c r="AC407" s="439">
        <v>0</v>
      </c>
      <c r="AD407" s="439">
        <v>0</v>
      </c>
      <c r="AE407" s="435">
        <f t="shared" si="389"/>
        <v>0</v>
      </c>
      <c r="AF407" s="439">
        <f>AC407*2</f>
        <v>0</v>
      </c>
      <c r="AG407" s="439"/>
      <c r="AH407" s="419">
        <f t="shared" si="415"/>
        <v>0</v>
      </c>
      <c r="AI407" s="439"/>
      <c r="AJ407" s="439"/>
      <c r="AK407" s="439">
        <f>AA407-W407</f>
        <v>0</v>
      </c>
      <c r="AL407" s="439">
        <f>AA407-AF407</f>
        <v>0</v>
      </c>
      <c r="AM407" s="439">
        <f>AA407-AD407</f>
        <v>0</v>
      </c>
      <c r="AN407" s="438"/>
      <c r="AO407" s="438"/>
      <c r="AP407" s="438"/>
    </row>
    <row r="408" spans="1:42" ht="12.75">
      <c r="A408" s="412"/>
      <c r="B408" s="431"/>
      <c r="C408" s="432" t="s">
        <v>9733</v>
      </c>
      <c r="D408" s="433" t="s">
        <v>9735</v>
      </c>
      <c r="E408" s="434"/>
      <c r="F408" s="435">
        <f>+F409+F410+F411+F412</f>
        <v>3429857.92</v>
      </c>
      <c r="G408" s="435">
        <v>3789703.69</v>
      </c>
      <c r="H408" s="435">
        <v>3429858.3199999994</v>
      </c>
      <c r="I408" s="435">
        <f t="shared" si="425"/>
        <v>-0.39999999944120646</v>
      </c>
      <c r="J408" s="435">
        <f t="shared" si="426"/>
        <v>-1960.3999999994412</v>
      </c>
      <c r="K408" s="435">
        <v>3431818.3199999994</v>
      </c>
      <c r="L408" s="435">
        <v>5356029.4799999995</v>
      </c>
      <c r="M408" s="435">
        <f t="shared" si="427"/>
        <v>-462037.4299999997</v>
      </c>
      <c r="N408" s="435">
        <v>4948035.78</v>
      </c>
      <c r="O408" s="435">
        <v>4948035.78</v>
      </c>
      <c r="P408" s="436">
        <v>3891895.3499999996</v>
      </c>
      <c r="Q408" s="435">
        <f t="shared" ref="Q408" si="443">+Q409+Q410+Q411+Q412</f>
        <v>3789703.69</v>
      </c>
      <c r="R408" s="435">
        <f t="shared" si="420"/>
        <v>-1056140.4300000006</v>
      </c>
      <c r="S408" s="435">
        <f t="shared" si="421"/>
        <v>-1158332.0900000003</v>
      </c>
      <c r="T408" s="437">
        <f>(F408-P408)/F408*100</f>
        <v>-13.471037016017263</v>
      </c>
      <c r="U408" s="435">
        <v>1854704.8462599996</v>
      </c>
      <c r="V408" s="435">
        <f>+V409+V410+V411+V412</f>
        <v>3891895.3499999996</v>
      </c>
      <c r="W408" s="435">
        <f>+W409+W410+W411+W412</f>
        <v>4018617</v>
      </c>
      <c r="X408" s="435">
        <f t="shared" ref="X408" si="444">+X409+X410+X411+X412</f>
        <v>3789703.69</v>
      </c>
      <c r="Y408" s="435">
        <f t="shared" si="423"/>
        <v>3741663.1854545455</v>
      </c>
      <c r="Z408" s="435">
        <v>3891895.51</v>
      </c>
      <c r="AA408" s="435">
        <v>3891895.3499999996</v>
      </c>
      <c r="AB408" s="435">
        <f t="shared" ref="AB408:AM408" si="445">+AB409+AB410+AB411+AB412</f>
        <v>1654714</v>
      </c>
      <c r="AC408" s="435">
        <f t="shared" si="445"/>
        <v>4786441.9214599999</v>
      </c>
      <c r="AD408" s="435">
        <f t="shared" si="445"/>
        <v>3789703.69</v>
      </c>
      <c r="AE408" s="435">
        <f t="shared" si="389"/>
        <v>-359845.77</v>
      </c>
      <c r="AF408" s="435">
        <f t="shared" si="445"/>
        <v>9572883.8429199997</v>
      </c>
      <c r="AG408" s="435">
        <f t="shared" si="445"/>
        <v>0</v>
      </c>
      <c r="AH408" s="419">
        <f t="shared" si="415"/>
        <v>-3429857.92</v>
      </c>
      <c r="AI408" s="435">
        <f t="shared" si="445"/>
        <v>0</v>
      </c>
      <c r="AJ408" s="435">
        <f t="shared" si="445"/>
        <v>0</v>
      </c>
      <c r="AK408" s="435">
        <f t="shared" si="445"/>
        <v>-126721.65000000014</v>
      </c>
      <c r="AL408" s="435">
        <f t="shared" si="445"/>
        <v>-5680988.4929200001</v>
      </c>
      <c r="AM408" s="435">
        <f t="shared" si="445"/>
        <v>102191.65999999997</v>
      </c>
      <c r="AN408" s="438"/>
      <c r="AO408" s="438"/>
      <c r="AP408" s="438"/>
    </row>
    <row r="409" spans="1:42" ht="25.5">
      <c r="A409" s="412"/>
      <c r="B409" s="431"/>
      <c r="C409" s="432" t="s">
        <v>489</v>
      </c>
      <c r="D409" s="433" t="s">
        <v>11282</v>
      </c>
      <c r="E409" s="434">
        <f>'PROSPETTO CE_IV TRIM 2024'!BM1985</f>
        <v>637196.92999999993</v>
      </c>
      <c r="F409" s="439">
        <f>+E409</f>
        <v>637196.92999999993</v>
      </c>
      <c r="G409" s="439">
        <v>445696.29</v>
      </c>
      <c r="H409" s="439">
        <v>637196.92999999993</v>
      </c>
      <c r="I409" s="435">
        <f t="shared" si="425"/>
        <v>0</v>
      </c>
      <c r="J409" s="435">
        <f t="shared" si="426"/>
        <v>0</v>
      </c>
      <c r="K409" s="439">
        <v>637196.92999999993</v>
      </c>
      <c r="L409" s="439">
        <v>637196.92999999993</v>
      </c>
      <c r="M409" s="439">
        <f t="shared" si="427"/>
        <v>285452.41999999993</v>
      </c>
      <c r="N409" s="439">
        <v>618101.89</v>
      </c>
      <c r="O409" s="439">
        <v>618101.89</v>
      </c>
      <c r="P409" s="443">
        <v>351744.51</v>
      </c>
      <c r="Q409" s="439">
        <v>445696.29</v>
      </c>
      <c r="R409" s="439">
        <f t="shared" si="420"/>
        <v>-266357.38</v>
      </c>
      <c r="S409" s="439">
        <f t="shared" si="421"/>
        <v>-172405.60000000003</v>
      </c>
      <c r="T409" s="441">
        <f>(F409-P409)/F409*100</f>
        <v>44.798147411036645</v>
      </c>
      <c r="U409" s="439">
        <v>464421.13</v>
      </c>
      <c r="V409" s="439">
        <f>+AA409</f>
        <v>351744.51</v>
      </c>
      <c r="W409" s="439">
        <v>528883</v>
      </c>
      <c r="X409" s="439">
        <v>445696.29</v>
      </c>
      <c r="Y409" s="435">
        <f t="shared" si="423"/>
        <v>695123.92363636359</v>
      </c>
      <c r="Z409" s="439">
        <v>351744.51</v>
      </c>
      <c r="AA409" s="439">
        <v>351744.51</v>
      </c>
      <c r="AB409" s="439">
        <v>141447</v>
      </c>
      <c r="AC409" s="439">
        <v>313000.34999999998</v>
      </c>
      <c r="AD409" s="439">
        <v>445696.29</v>
      </c>
      <c r="AE409" s="435">
        <f t="shared" si="389"/>
        <v>191500.63999999996</v>
      </c>
      <c r="AF409" s="439">
        <f>AC409*2</f>
        <v>626000.69999999995</v>
      </c>
      <c r="AG409" s="439"/>
      <c r="AH409" s="419">
        <f t="shared" si="415"/>
        <v>-637196.92999999993</v>
      </c>
      <c r="AI409" s="439"/>
      <c r="AJ409" s="439"/>
      <c r="AK409" s="439">
        <f>AA409-W409</f>
        <v>-177138.49</v>
      </c>
      <c r="AL409" s="439">
        <f>AA409-AF409</f>
        <v>-274256.18999999994</v>
      </c>
      <c r="AM409" s="439">
        <f>AA409-AD409</f>
        <v>-93951.77999999997</v>
      </c>
      <c r="AN409" s="438"/>
      <c r="AO409" s="438"/>
      <c r="AP409" s="438"/>
    </row>
    <row r="410" spans="1:42" ht="12.75">
      <c r="A410" s="412"/>
      <c r="B410" s="431"/>
      <c r="C410" s="432" t="s">
        <v>491</v>
      </c>
      <c r="D410" s="433" t="s">
        <v>11283</v>
      </c>
      <c r="E410" s="434">
        <f>'PROSPETTO CE_IV TRIM 2024'!BM1990+'PROSPETTO CE_IV TRIM 2024'!BM1992</f>
        <v>2792660.99</v>
      </c>
      <c r="F410" s="439">
        <f>+E410</f>
        <v>2792660.99</v>
      </c>
      <c r="G410" s="439">
        <v>3344007.4</v>
      </c>
      <c r="H410" s="439">
        <v>2792661.3899999997</v>
      </c>
      <c r="I410" s="435">
        <f t="shared" si="425"/>
        <v>-0.39999999944120646</v>
      </c>
      <c r="J410" s="435">
        <f t="shared" si="426"/>
        <v>-1960.3999999994412</v>
      </c>
      <c r="K410" s="439">
        <v>2794621.3899999997</v>
      </c>
      <c r="L410" s="439">
        <v>4718832.55</v>
      </c>
      <c r="M410" s="439">
        <f t="shared" si="427"/>
        <v>-747489.84999999963</v>
      </c>
      <c r="N410" s="439">
        <v>4329933.8900000006</v>
      </c>
      <c r="O410" s="439">
        <v>4329933.8900000006</v>
      </c>
      <c r="P410" s="440">
        <v>3540150.84</v>
      </c>
      <c r="Q410" s="439">
        <v>3344007.4</v>
      </c>
      <c r="R410" s="439">
        <f t="shared" si="420"/>
        <v>-789783.05000000075</v>
      </c>
      <c r="S410" s="439">
        <f t="shared" si="421"/>
        <v>-985926.49000000069</v>
      </c>
      <c r="T410" s="441">
        <f>(F410-P410)/F410*100</f>
        <v>-26.766222347668471</v>
      </c>
      <c r="U410" s="439">
        <v>1390283.7162599994</v>
      </c>
      <c r="V410" s="439">
        <f>+AA410</f>
        <v>3540150.84</v>
      </c>
      <c r="W410" s="439">
        <v>3489734</v>
      </c>
      <c r="X410" s="439">
        <v>3344007.4</v>
      </c>
      <c r="Y410" s="435">
        <f t="shared" si="423"/>
        <v>3046539.2618181822</v>
      </c>
      <c r="Z410" s="439">
        <v>3540151</v>
      </c>
      <c r="AA410" s="439">
        <v>3540150.84</v>
      </c>
      <c r="AB410" s="439">
        <v>1513267</v>
      </c>
      <c r="AC410" s="439">
        <v>4473441.5714600002</v>
      </c>
      <c r="AD410" s="439">
        <v>3344007.4</v>
      </c>
      <c r="AE410" s="435">
        <f t="shared" si="389"/>
        <v>-551346.40999999968</v>
      </c>
      <c r="AF410" s="439">
        <f>AC410*2</f>
        <v>8946883.1429200005</v>
      </c>
      <c r="AG410" s="439"/>
      <c r="AH410" s="419">
        <f t="shared" si="415"/>
        <v>-2792660.99</v>
      </c>
      <c r="AI410" s="439"/>
      <c r="AJ410" s="439"/>
      <c r="AK410" s="439">
        <f>AA410-W410</f>
        <v>50416.839999999851</v>
      </c>
      <c r="AL410" s="439">
        <f>AA410-AF410</f>
        <v>-5406732.3029200006</v>
      </c>
      <c r="AM410" s="439">
        <f>AA410-AD410</f>
        <v>196143.43999999994</v>
      </c>
      <c r="AN410" s="438" t="s">
        <v>11284</v>
      </c>
      <c r="AO410" s="438"/>
      <c r="AP410" s="438"/>
    </row>
    <row r="411" spans="1:42" ht="25.5">
      <c r="A411" s="412"/>
      <c r="B411" s="431" t="s">
        <v>1519</v>
      </c>
      <c r="C411" s="432" t="s">
        <v>9830</v>
      </c>
      <c r="D411" s="433" t="s">
        <v>9834</v>
      </c>
      <c r="E411" s="434">
        <f>'PROSPETTO CE_IV TRIM 2024'!BM2028</f>
        <v>0</v>
      </c>
      <c r="F411" s="439">
        <f>+E411</f>
        <v>0</v>
      </c>
      <c r="G411" s="439">
        <v>0</v>
      </c>
      <c r="H411" s="439">
        <v>0</v>
      </c>
      <c r="I411" s="435">
        <f t="shared" si="425"/>
        <v>0</v>
      </c>
      <c r="J411" s="435">
        <f t="shared" si="426"/>
        <v>0</v>
      </c>
      <c r="K411" s="439">
        <v>0</v>
      </c>
      <c r="L411" s="439">
        <v>0</v>
      </c>
      <c r="M411" s="439">
        <f t="shared" si="427"/>
        <v>0</v>
      </c>
      <c r="N411" s="439">
        <v>0</v>
      </c>
      <c r="O411" s="439">
        <v>0</v>
      </c>
      <c r="P411" s="440">
        <v>0</v>
      </c>
      <c r="Q411" s="439">
        <v>0</v>
      </c>
      <c r="R411" s="439">
        <f t="shared" si="420"/>
        <v>0</v>
      </c>
      <c r="S411" s="439">
        <f t="shared" si="421"/>
        <v>0</v>
      </c>
      <c r="T411" s="441"/>
      <c r="U411" s="439">
        <v>0</v>
      </c>
      <c r="V411" s="439">
        <f>+AA411</f>
        <v>0</v>
      </c>
      <c r="W411" s="439">
        <v>0</v>
      </c>
      <c r="X411" s="439">
        <v>0</v>
      </c>
      <c r="Y411" s="435">
        <f t="shared" si="423"/>
        <v>0</v>
      </c>
      <c r="Z411" s="439">
        <v>0</v>
      </c>
      <c r="AA411" s="439">
        <v>0</v>
      </c>
      <c r="AB411" s="439">
        <v>0</v>
      </c>
      <c r="AC411" s="439">
        <v>0</v>
      </c>
      <c r="AD411" s="439">
        <v>0</v>
      </c>
      <c r="AE411" s="435">
        <f t="shared" si="389"/>
        <v>0</v>
      </c>
      <c r="AF411" s="439">
        <f>AC411*2</f>
        <v>0</v>
      </c>
      <c r="AG411" s="439"/>
      <c r="AH411" s="419">
        <f t="shared" si="415"/>
        <v>0</v>
      </c>
      <c r="AI411" s="439"/>
      <c r="AJ411" s="439"/>
      <c r="AK411" s="439">
        <f>AA411-W411</f>
        <v>0</v>
      </c>
      <c r="AL411" s="439">
        <f>AA411-AF411</f>
        <v>0</v>
      </c>
      <c r="AM411" s="439">
        <f>AA411-AD411</f>
        <v>0</v>
      </c>
      <c r="AN411" s="438"/>
      <c r="AO411" s="438"/>
      <c r="AP411" s="438"/>
    </row>
    <row r="412" spans="1:42" ht="12.75">
      <c r="A412" s="412"/>
      <c r="B412" s="431"/>
      <c r="C412" s="432" t="s">
        <v>9835</v>
      </c>
      <c r="D412" s="433" t="s">
        <v>9839</v>
      </c>
      <c r="E412" s="434">
        <f>'PROSPETTO CE_IV TRIM 2024'!BM2029</f>
        <v>0</v>
      </c>
      <c r="F412" s="439">
        <f>+E412</f>
        <v>0</v>
      </c>
      <c r="G412" s="439">
        <v>0</v>
      </c>
      <c r="H412" s="439">
        <v>0</v>
      </c>
      <c r="I412" s="435">
        <f t="shared" si="425"/>
        <v>0</v>
      </c>
      <c r="J412" s="435">
        <f t="shared" si="426"/>
        <v>0</v>
      </c>
      <c r="K412" s="439">
        <v>0</v>
      </c>
      <c r="L412" s="439">
        <v>0</v>
      </c>
      <c r="M412" s="439">
        <f t="shared" si="427"/>
        <v>0</v>
      </c>
      <c r="N412" s="439">
        <v>0</v>
      </c>
      <c r="O412" s="439">
        <v>0</v>
      </c>
      <c r="P412" s="440">
        <v>0</v>
      </c>
      <c r="Q412" s="439">
        <v>0</v>
      </c>
      <c r="R412" s="439">
        <f t="shared" si="420"/>
        <v>0</v>
      </c>
      <c r="S412" s="439">
        <f t="shared" si="421"/>
        <v>0</v>
      </c>
      <c r="T412" s="441"/>
      <c r="U412" s="439">
        <v>0</v>
      </c>
      <c r="V412" s="439">
        <f>+AA412</f>
        <v>0</v>
      </c>
      <c r="W412" s="439">
        <v>0</v>
      </c>
      <c r="X412" s="439">
        <v>0</v>
      </c>
      <c r="Y412" s="435">
        <f t="shared" si="423"/>
        <v>0</v>
      </c>
      <c r="Z412" s="439">
        <v>0</v>
      </c>
      <c r="AA412" s="439">
        <v>0</v>
      </c>
      <c r="AB412" s="439">
        <v>0</v>
      </c>
      <c r="AC412" s="439">
        <v>0</v>
      </c>
      <c r="AD412" s="439">
        <v>0</v>
      </c>
      <c r="AE412" s="435">
        <f t="shared" si="389"/>
        <v>0</v>
      </c>
      <c r="AF412" s="439">
        <f>AC412*2</f>
        <v>0</v>
      </c>
      <c r="AG412" s="439"/>
      <c r="AH412" s="419">
        <f t="shared" si="415"/>
        <v>0</v>
      </c>
      <c r="AI412" s="439"/>
      <c r="AJ412" s="439"/>
      <c r="AK412" s="439">
        <f>AA412-W412</f>
        <v>0</v>
      </c>
      <c r="AL412" s="439">
        <f>AA412-AF412</f>
        <v>0</v>
      </c>
      <c r="AM412" s="439">
        <f>AA412-AD412</f>
        <v>0</v>
      </c>
      <c r="AN412" s="438"/>
      <c r="AO412" s="438"/>
      <c r="AP412" s="438"/>
    </row>
    <row r="413" spans="1:42" ht="12.75">
      <c r="A413" s="412"/>
      <c r="B413" s="431"/>
      <c r="C413" s="432" t="s">
        <v>11285</v>
      </c>
      <c r="D413" s="433" t="s">
        <v>11286</v>
      </c>
      <c r="E413" s="434"/>
      <c r="F413" s="435">
        <f>+F414+F415</f>
        <v>7221324.1500000004</v>
      </c>
      <c r="G413" s="435">
        <v>6847045.5199999996</v>
      </c>
      <c r="H413" s="435">
        <v>7192916.1799999941</v>
      </c>
      <c r="I413" s="435">
        <f t="shared" si="425"/>
        <v>28407.970000006258</v>
      </c>
      <c r="J413" s="435">
        <f t="shared" si="426"/>
        <v>143469.50000000559</v>
      </c>
      <c r="K413" s="435">
        <v>7077854.6499999948</v>
      </c>
      <c r="L413" s="435">
        <v>7065423.3199999947</v>
      </c>
      <c r="M413" s="435">
        <f t="shared" si="427"/>
        <v>281565.49499999918</v>
      </c>
      <c r="N413" s="435">
        <v>7043345.620000001</v>
      </c>
      <c r="O413" s="435">
        <v>7043345.620000001</v>
      </c>
      <c r="P413" s="436">
        <v>6939758.6550000012</v>
      </c>
      <c r="Q413" s="435">
        <f t="shared" ref="Q413" si="446">+Q414+Q415</f>
        <v>6847045.5199999996</v>
      </c>
      <c r="R413" s="435">
        <f t="shared" si="420"/>
        <v>-103586.96499999985</v>
      </c>
      <c r="S413" s="435">
        <f t="shared" si="421"/>
        <v>-196300.10000000149</v>
      </c>
      <c r="T413" s="437">
        <f>(F413-P413)/F413*100</f>
        <v>3.8990840066360848</v>
      </c>
      <c r="U413" s="435">
        <v>5237031.0600000005</v>
      </c>
      <c r="V413" s="435">
        <f>+V414+V415</f>
        <v>6939758.6550000012</v>
      </c>
      <c r="W413" s="435">
        <f>+W414+W415</f>
        <v>6938555</v>
      </c>
      <c r="X413" s="435">
        <f t="shared" ref="X413" si="447">+X414+X415</f>
        <v>6847045.5199999996</v>
      </c>
      <c r="Y413" s="435">
        <f t="shared" si="423"/>
        <v>7877808.163636364</v>
      </c>
      <c r="Z413" s="435">
        <v>6939758.6550000012</v>
      </c>
      <c r="AA413" s="435">
        <v>6939758.6550000012</v>
      </c>
      <c r="AB413" s="435">
        <f t="shared" ref="AB413:AM413" si="448">+AB414+AB415</f>
        <v>1734638.25</v>
      </c>
      <c r="AC413" s="435">
        <f t="shared" si="448"/>
        <v>3425699.06</v>
      </c>
      <c r="AD413" s="435">
        <f t="shared" si="448"/>
        <v>6847045.5199999996</v>
      </c>
      <c r="AE413" s="435">
        <f t="shared" si="389"/>
        <v>374278.63000000082</v>
      </c>
      <c r="AF413" s="435">
        <f t="shared" si="448"/>
        <v>6851398.1200000001</v>
      </c>
      <c r="AG413" s="435">
        <f t="shared" si="448"/>
        <v>0</v>
      </c>
      <c r="AH413" s="419">
        <f t="shared" si="415"/>
        <v>-7221324.1500000004</v>
      </c>
      <c r="AI413" s="435">
        <f t="shared" si="448"/>
        <v>0</v>
      </c>
      <c r="AJ413" s="435">
        <f t="shared" si="448"/>
        <v>0</v>
      </c>
      <c r="AK413" s="435">
        <f t="shared" si="448"/>
        <v>1203.6550000010611</v>
      </c>
      <c r="AL413" s="435">
        <f t="shared" si="448"/>
        <v>88360.535000001284</v>
      </c>
      <c r="AM413" s="435">
        <f t="shared" si="448"/>
        <v>92713.135000002105</v>
      </c>
      <c r="AN413" s="438"/>
      <c r="AO413" s="438"/>
      <c r="AP413" s="438"/>
    </row>
    <row r="414" spans="1:42" ht="12.75">
      <c r="A414" s="412"/>
      <c r="B414" s="431"/>
      <c r="C414" s="432" t="s">
        <v>9840</v>
      </c>
      <c r="D414" s="433" t="s">
        <v>9844</v>
      </c>
      <c r="E414" s="434">
        <f>'PROSPETTO CE_IV TRIM 2024'!BM2032</f>
        <v>1385115.4</v>
      </c>
      <c r="F414" s="439">
        <f>+E414</f>
        <v>1385115.4</v>
      </c>
      <c r="G414" s="439">
        <v>1242276.8600000001</v>
      </c>
      <c r="H414" s="439">
        <v>1378479.27</v>
      </c>
      <c r="I414" s="435">
        <f t="shared" si="425"/>
        <v>6636.1299999998882</v>
      </c>
      <c r="J414" s="435">
        <f t="shared" si="426"/>
        <v>121697.65999999992</v>
      </c>
      <c r="K414" s="439">
        <v>1263417.74</v>
      </c>
      <c r="L414" s="439">
        <v>1258993.81</v>
      </c>
      <c r="M414" s="439">
        <f t="shared" si="427"/>
        <v>138584.91999999993</v>
      </c>
      <c r="N414" s="439">
        <v>1256594.28</v>
      </c>
      <c r="O414" s="439">
        <v>1256594.28</v>
      </c>
      <c r="P414" s="440">
        <v>1246530.48</v>
      </c>
      <c r="Q414" s="439">
        <v>1242276.8600000001</v>
      </c>
      <c r="R414" s="439">
        <f t="shared" si="420"/>
        <v>-10063.800000000047</v>
      </c>
      <c r="S414" s="439">
        <f t="shared" si="421"/>
        <v>-14317.419999999925</v>
      </c>
      <c r="T414" s="441">
        <f>(F414-P414)/F414*100</f>
        <v>10.005297753530135</v>
      </c>
      <c r="U414" s="439">
        <v>941483.85999999987</v>
      </c>
      <c r="V414" s="439">
        <f>+AA414</f>
        <v>1246530.48</v>
      </c>
      <c r="W414" s="439">
        <v>1286678</v>
      </c>
      <c r="X414" s="439">
        <v>1242276.8600000001</v>
      </c>
      <c r="Y414" s="435">
        <f t="shared" si="423"/>
        <v>1511034.9818181817</v>
      </c>
      <c r="Z414" s="439">
        <v>1246530.48</v>
      </c>
      <c r="AA414" s="439">
        <v>1246530.48</v>
      </c>
      <c r="AB414" s="439">
        <v>321669</v>
      </c>
      <c r="AC414" s="439">
        <v>623149.81000000006</v>
      </c>
      <c r="AD414" s="439">
        <v>1242276.8600000001</v>
      </c>
      <c r="AE414" s="435">
        <f t="shared" si="389"/>
        <v>142838.5399999998</v>
      </c>
      <c r="AF414" s="439">
        <f>AC414*2</f>
        <v>1246299.6200000001</v>
      </c>
      <c r="AG414" s="439"/>
      <c r="AH414" s="419">
        <f t="shared" si="415"/>
        <v>-1385115.4</v>
      </c>
      <c r="AI414" s="439"/>
      <c r="AJ414" s="439"/>
      <c r="AK414" s="439">
        <f>AA414-W414</f>
        <v>-40147.520000000019</v>
      </c>
      <c r="AL414" s="439">
        <f>AA414-AF414</f>
        <v>230.85999999986961</v>
      </c>
      <c r="AM414" s="439">
        <f>AA414-AD414</f>
        <v>4253.6199999998789</v>
      </c>
      <c r="AN414" s="438"/>
      <c r="AO414" s="438"/>
      <c r="AP414" s="438"/>
    </row>
    <row r="415" spans="1:42" ht="12.75">
      <c r="A415" s="412"/>
      <c r="B415" s="431"/>
      <c r="C415" s="432" t="s">
        <v>11287</v>
      </c>
      <c r="D415" s="433" t="s">
        <v>11288</v>
      </c>
      <c r="E415" s="434"/>
      <c r="F415" s="435">
        <f>+F416+F419</f>
        <v>5836208.7500000009</v>
      </c>
      <c r="G415" s="435">
        <v>5604768.6599999992</v>
      </c>
      <c r="H415" s="435">
        <v>5814436.9099999946</v>
      </c>
      <c r="I415" s="435">
        <f t="shared" si="425"/>
        <v>21771.84000000637</v>
      </c>
      <c r="J415" s="435">
        <f t="shared" si="426"/>
        <v>21771.84000000637</v>
      </c>
      <c r="K415" s="435">
        <v>5814436.9099999946</v>
      </c>
      <c r="L415" s="435">
        <v>5806429.5099999951</v>
      </c>
      <c r="M415" s="435">
        <f t="shared" si="427"/>
        <v>142980.57500000019</v>
      </c>
      <c r="N415" s="435">
        <v>5786751.3400000008</v>
      </c>
      <c r="O415" s="435">
        <v>5786751.3400000008</v>
      </c>
      <c r="P415" s="436">
        <v>5693228.1750000007</v>
      </c>
      <c r="Q415" s="435">
        <f t="shared" ref="Q415" si="449">+Q416+Q419</f>
        <v>5604768.6599999992</v>
      </c>
      <c r="R415" s="435">
        <f t="shared" si="420"/>
        <v>-93523.165000000037</v>
      </c>
      <c r="S415" s="435">
        <f t="shared" si="421"/>
        <v>-181982.68000000156</v>
      </c>
      <c r="T415" s="437">
        <f>(F415-P415)/F415*100</f>
        <v>2.449887951660402</v>
      </c>
      <c r="U415" s="435">
        <v>4295547.2</v>
      </c>
      <c r="V415" s="435">
        <f>+V416+V419</f>
        <v>5693228.1750000007</v>
      </c>
      <c r="W415" s="435">
        <f>+W416+W419</f>
        <v>5651877</v>
      </c>
      <c r="X415" s="435">
        <f t="shared" ref="X415" si="450">+X416+X419</f>
        <v>5604768.6599999992</v>
      </c>
      <c r="Y415" s="435">
        <f t="shared" si="423"/>
        <v>6366773.1818181826</v>
      </c>
      <c r="Z415" s="435">
        <v>5693228.1750000007</v>
      </c>
      <c r="AA415" s="435">
        <v>5693228.1750000007</v>
      </c>
      <c r="AB415" s="435">
        <f t="shared" ref="AB415:AM415" si="451">+AB416+AB419</f>
        <v>1412969.25</v>
      </c>
      <c r="AC415" s="435">
        <f t="shared" si="451"/>
        <v>2802549.25</v>
      </c>
      <c r="AD415" s="435">
        <f t="shared" si="451"/>
        <v>5604768.6599999992</v>
      </c>
      <c r="AE415" s="435">
        <f t="shared" si="389"/>
        <v>231440.09000000171</v>
      </c>
      <c r="AF415" s="435">
        <f t="shared" si="451"/>
        <v>5605098.5</v>
      </c>
      <c r="AG415" s="435">
        <f t="shared" si="451"/>
        <v>0</v>
      </c>
      <c r="AH415" s="419">
        <f t="shared" si="415"/>
        <v>-5836208.7500000009</v>
      </c>
      <c r="AI415" s="435">
        <f t="shared" si="451"/>
        <v>0</v>
      </c>
      <c r="AJ415" s="435">
        <f t="shared" si="451"/>
        <v>0</v>
      </c>
      <c r="AK415" s="435">
        <f t="shared" si="451"/>
        <v>41351.17500000108</v>
      </c>
      <c r="AL415" s="435">
        <f t="shared" si="451"/>
        <v>88129.675000001414</v>
      </c>
      <c r="AM415" s="435">
        <f t="shared" si="451"/>
        <v>88459.515000002226</v>
      </c>
      <c r="AN415" s="438"/>
      <c r="AO415" s="438"/>
      <c r="AP415" s="438"/>
    </row>
    <row r="416" spans="1:42" ht="12.75">
      <c r="A416" s="412"/>
      <c r="B416" s="431"/>
      <c r="C416" s="432" t="s">
        <v>9867</v>
      </c>
      <c r="D416" s="433" t="s">
        <v>9870</v>
      </c>
      <c r="E416" s="434"/>
      <c r="F416" s="435">
        <f>+F417+F418</f>
        <v>46994.73</v>
      </c>
      <c r="G416" s="435">
        <v>61465.15</v>
      </c>
      <c r="H416" s="435">
        <v>46994.73</v>
      </c>
      <c r="I416" s="435">
        <f t="shared" si="425"/>
        <v>0</v>
      </c>
      <c r="J416" s="435">
        <f t="shared" si="426"/>
        <v>0</v>
      </c>
      <c r="K416" s="435">
        <v>46994.73</v>
      </c>
      <c r="L416" s="435">
        <v>46994.73</v>
      </c>
      <c r="M416" s="435">
        <f t="shared" si="427"/>
        <v>-128.53499999999622</v>
      </c>
      <c r="N416" s="435">
        <v>46994.73</v>
      </c>
      <c r="O416" s="435">
        <v>46994.73</v>
      </c>
      <c r="P416" s="436">
        <v>47123.264999999999</v>
      </c>
      <c r="Q416" s="435">
        <f t="shared" ref="Q416" si="452">+Q417+Q418</f>
        <v>61465.15</v>
      </c>
      <c r="R416" s="435">
        <f t="shared" si="420"/>
        <v>128.53499999999622</v>
      </c>
      <c r="S416" s="435">
        <f t="shared" si="421"/>
        <v>14470.419999999998</v>
      </c>
      <c r="T416" s="437">
        <f>(F416-P416)/F416*100</f>
        <v>-0.27350939137217345</v>
      </c>
      <c r="U416" s="435">
        <v>35277.96</v>
      </c>
      <c r="V416" s="435">
        <f>+V417+V418</f>
        <v>47123.264999999999</v>
      </c>
      <c r="W416" s="435">
        <f>+W417+W418</f>
        <v>0</v>
      </c>
      <c r="X416" s="435">
        <f t="shared" ref="X416" si="453">+X417+X418</f>
        <v>61465.15</v>
      </c>
      <c r="Y416" s="435">
        <f t="shared" si="423"/>
        <v>51266.978181818187</v>
      </c>
      <c r="Z416" s="435">
        <v>47123.264999999999</v>
      </c>
      <c r="AA416" s="435">
        <v>47123.264999999999</v>
      </c>
      <c r="AB416" s="435">
        <f t="shared" ref="AB416:AM416" si="454">+AB417+AB418</f>
        <v>0</v>
      </c>
      <c r="AC416" s="435">
        <f t="shared" si="454"/>
        <v>23432.93</v>
      </c>
      <c r="AD416" s="435">
        <f t="shared" si="454"/>
        <v>61465.15</v>
      </c>
      <c r="AE416" s="435">
        <f t="shared" si="389"/>
        <v>-14470.419999999998</v>
      </c>
      <c r="AF416" s="435">
        <f t="shared" si="454"/>
        <v>46865.86</v>
      </c>
      <c r="AG416" s="435">
        <f t="shared" si="454"/>
        <v>0</v>
      </c>
      <c r="AH416" s="419">
        <f t="shared" si="415"/>
        <v>-46994.73</v>
      </c>
      <c r="AI416" s="435">
        <f t="shared" si="454"/>
        <v>0</v>
      </c>
      <c r="AJ416" s="435">
        <f t="shared" si="454"/>
        <v>0</v>
      </c>
      <c r="AK416" s="435">
        <f t="shared" si="454"/>
        <v>47123.264999999999</v>
      </c>
      <c r="AL416" s="435">
        <f t="shared" si="454"/>
        <v>257.40499999999884</v>
      </c>
      <c r="AM416" s="435">
        <f t="shared" si="454"/>
        <v>-14341.885000000002</v>
      </c>
      <c r="AN416" s="438"/>
      <c r="AO416" s="438"/>
      <c r="AP416" s="438"/>
    </row>
    <row r="417" spans="1:42" ht="12.75">
      <c r="A417" s="412"/>
      <c r="B417" s="431"/>
      <c r="C417" s="432" t="s">
        <v>9871</v>
      </c>
      <c r="D417" s="433" t="s">
        <v>9874</v>
      </c>
      <c r="E417" s="434">
        <f>'PROSPETTO CE_IV TRIM 2024'!BM2045</f>
        <v>46994.73</v>
      </c>
      <c r="F417" s="439">
        <f>+E417</f>
        <v>46994.73</v>
      </c>
      <c r="G417" s="439">
        <v>61465.15</v>
      </c>
      <c r="H417" s="439">
        <v>46994.73</v>
      </c>
      <c r="I417" s="435">
        <f t="shared" si="425"/>
        <v>0</v>
      </c>
      <c r="J417" s="435">
        <f t="shared" si="426"/>
        <v>0</v>
      </c>
      <c r="K417" s="439">
        <v>46994.73</v>
      </c>
      <c r="L417" s="439">
        <v>46994.73</v>
      </c>
      <c r="M417" s="439">
        <f t="shared" si="427"/>
        <v>-128.53499999999622</v>
      </c>
      <c r="N417" s="439">
        <v>46994.73</v>
      </c>
      <c r="O417" s="439">
        <v>46994.73</v>
      </c>
      <c r="P417" s="440">
        <v>47123.264999999999</v>
      </c>
      <c r="Q417" s="439">
        <v>61465.15</v>
      </c>
      <c r="R417" s="439">
        <f t="shared" si="420"/>
        <v>128.53499999999622</v>
      </c>
      <c r="S417" s="439">
        <f t="shared" si="421"/>
        <v>14470.419999999998</v>
      </c>
      <c r="T417" s="441">
        <f>(F417-P417)/F417*100</f>
        <v>-0.27350939137217345</v>
      </c>
      <c r="U417" s="439">
        <v>35277.96</v>
      </c>
      <c r="V417" s="439">
        <f>+AA417</f>
        <v>47123.264999999999</v>
      </c>
      <c r="W417" s="439">
        <v>0</v>
      </c>
      <c r="X417" s="439">
        <v>61465.15</v>
      </c>
      <c r="Y417" s="435">
        <f t="shared" si="423"/>
        <v>51266.978181818187</v>
      </c>
      <c r="Z417" s="439">
        <v>47123.264999999999</v>
      </c>
      <c r="AA417" s="439">
        <v>47123.264999999999</v>
      </c>
      <c r="AB417" s="439">
        <v>0</v>
      </c>
      <c r="AC417" s="439">
        <v>23432.93</v>
      </c>
      <c r="AD417" s="439">
        <v>61465.15</v>
      </c>
      <c r="AE417" s="435">
        <f t="shared" si="389"/>
        <v>-14470.419999999998</v>
      </c>
      <c r="AF417" s="439">
        <f>AC417*2</f>
        <v>46865.86</v>
      </c>
      <c r="AG417" s="439"/>
      <c r="AH417" s="419">
        <f t="shared" si="415"/>
        <v>-46994.73</v>
      </c>
      <c r="AI417" s="439"/>
      <c r="AJ417" s="439"/>
      <c r="AK417" s="439">
        <f>AA417-W417</f>
        <v>47123.264999999999</v>
      </c>
      <c r="AL417" s="439">
        <f>AA417-AF417</f>
        <v>257.40499999999884</v>
      </c>
      <c r="AM417" s="439">
        <f>AA417-AD417</f>
        <v>-14341.885000000002</v>
      </c>
      <c r="AN417" s="438"/>
      <c r="AO417" s="438"/>
      <c r="AP417" s="438"/>
    </row>
    <row r="418" spans="1:42" ht="12.75">
      <c r="A418" s="412"/>
      <c r="B418" s="431"/>
      <c r="C418" s="432" t="s">
        <v>9876</v>
      </c>
      <c r="D418" s="433" t="s">
        <v>9879</v>
      </c>
      <c r="E418" s="434">
        <f>'PROSPETTO CE_IV TRIM 2024'!BM2048</f>
        <v>0</v>
      </c>
      <c r="F418" s="439">
        <f>+E418</f>
        <v>0</v>
      </c>
      <c r="G418" s="439">
        <v>0</v>
      </c>
      <c r="H418" s="439">
        <v>0</v>
      </c>
      <c r="I418" s="435">
        <f t="shared" si="425"/>
        <v>0</v>
      </c>
      <c r="J418" s="435">
        <f t="shared" si="426"/>
        <v>0</v>
      </c>
      <c r="K418" s="439">
        <v>0</v>
      </c>
      <c r="L418" s="439">
        <v>0</v>
      </c>
      <c r="M418" s="439">
        <f t="shared" si="427"/>
        <v>0</v>
      </c>
      <c r="N418" s="439">
        <v>0</v>
      </c>
      <c r="O418" s="439">
        <v>0</v>
      </c>
      <c r="P418" s="440">
        <v>0</v>
      </c>
      <c r="Q418" s="439">
        <v>0</v>
      </c>
      <c r="R418" s="439">
        <f t="shared" si="420"/>
        <v>0</v>
      </c>
      <c r="S418" s="439">
        <f t="shared" si="421"/>
        <v>0</v>
      </c>
      <c r="T418" s="441"/>
      <c r="U418" s="439">
        <v>0</v>
      </c>
      <c r="V418" s="439">
        <f>+AA418</f>
        <v>0</v>
      </c>
      <c r="W418" s="439">
        <v>0</v>
      </c>
      <c r="X418" s="439">
        <v>0</v>
      </c>
      <c r="Y418" s="435">
        <f t="shared" si="423"/>
        <v>0</v>
      </c>
      <c r="Z418" s="439">
        <v>0</v>
      </c>
      <c r="AA418" s="439">
        <v>0</v>
      </c>
      <c r="AB418" s="439">
        <v>0</v>
      </c>
      <c r="AC418" s="439">
        <v>0</v>
      </c>
      <c r="AD418" s="439">
        <v>0</v>
      </c>
      <c r="AE418" s="435">
        <f t="shared" si="389"/>
        <v>0</v>
      </c>
      <c r="AF418" s="439">
        <f>AC418*2</f>
        <v>0</v>
      </c>
      <c r="AG418" s="439"/>
      <c r="AH418" s="419">
        <f t="shared" si="415"/>
        <v>0</v>
      </c>
      <c r="AI418" s="439"/>
      <c r="AJ418" s="439"/>
      <c r="AK418" s="439">
        <f>AA418-W418</f>
        <v>0</v>
      </c>
      <c r="AL418" s="439">
        <f>AA418-AF418</f>
        <v>0</v>
      </c>
      <c r="AM418" s="439">
        <f>AA418-AD418</f>
        <v>0</v>
      </c>
      <c r="AN418" s="438"/>
      <c r="AO418" s="438"/>
      <c r="AP418" s="438"/>
    </row>
    <row r="419" spans="1:42" ht="12.75">
      <c r="A419" s="412"/>
      <c r="B419" s="431"/>
      <c r="C419" s="432" t="s">
        <v>9881</v>
      </c>
      <c r="D419" s="433" t="s">
        <v>9884</v>
      </c>
      <c r="E419" s="434">
        <f>'PROSPETTO CE_IV TRIM 2024'!BM2052</f>
        <v>5789214.0200000005</v>
      </c>
      <c r="F419" s="439">
        <f>+E419</f>
        <v>5789214.0200000005</v>
      </c>
      <c r="G419" s="439">
        <v>5543303.5099999988</v>
      </c>
      <c r="H419" s="439">
        <v>5767442.1799999941</v>
      </c>
      <c r="I419" s="435">
        <f t="shared" si="425"/>
        <v>21771.84000000637</v>
      </c>
      <c r="J419" s="435">
        <f t="shared" si="426"/>
        <v>21771.84000000637</v>
      </c>
      <c r="K419" s="439">
        <v>5767442.1799999941</v>
      </c>
      <c r="L419" s="439">
        <v>5759434.7799999947</v>
      </c>
      <c r="M419" s="439">
        <f t="shared" si="427"/>
        <v>143109.1099999994</v>
      </c>
      <c r="N419" s="439">
        <v>5739756.6100000003</v>
      </c>
      <c r="O419" s="439">
        <v>5739756.6100000003</v>
      </c>
      <c r="P419" s="440">
        <v>5646104.9100000011</v>
      </c>
      <c r="Q419" s="439">
        <v>5543303.5099999988</v>
      </c>
      <c r="R419" s="439">
        <f t="shared" si="420"/>
        <v>-93651.699999999255</v>
      </c>
      <c r="S419" s="439">
        <f t="shared" si="421"/>
        <v>-196453.10000000149</v>
      </c>
      <c r="T419" s="441">
        <f>(F419-P419)/F419*100</f>
        <v>2.4719954989675679</v>
      </c>
      <c r="U419" s="439">
        <v>4260269.24</v>
      </c>
      <c r="V419" s="439">
        <f>+AA419</f>
        <v>5646104.9100000011</v>
      </c>
      <c r="W419" s="439">
        <v>5651877</v>
      </c>
      <c r="X419" s="439">
        <v>5543303.5099999988</v>
      </c>
      <c r="Y419" s="435">
        <f t="shared" si="423"/>
        <v>6315506.203636365</v>
      </c>
      <c r="Z419" s="439">
        <v>5646104.9100000011</v>
      </c>
      <c r="AA419" s="439">
        <v>5646104.9100000011</v>
      </c>
      <c r="AB419" s="439">
        <v>1412969.25</v>
      </c>
      <c r="AC419" s="439">
        <v>2779116.32</v>
      </c>
      <c r="AD419" s="439">
        <v>5543303.5099999988</v>
      </c>
      <c r="AE419" s="435">
        <f t="shared" si="389"/>
        <v>245910.51000000164</v>
      </c>
      <c r="AF419" s="439">
        <f>AC419*2</f>
        <v>5558232.6399999997</v>
      </c>
      <c r="AG419" s="439"/>
      <c r="AH419" s="419">
        <f t="shared" si="415"/>
        <v>-5789214.0200000005</v>
      </c>
      <c r="AI419" s="439"/>
      <c r="AJ419" s="439"/>
      <c r="AK419" s="439">
        <f>AA419-W419</f>
        <v>-5772.0899999989197</v>
      </c>
      <c r="AL419" s="439">
        <f>AA419-AF419</f>
        <v>87872.270000001416</v>
      </c>
      <c r="AM419" s="439">
        <f>AA419-AD419</f>
        <v>102801.40000000224</v>
      </c>
      <c r="AN419" s="438"/>
      <c r="AO419" s="438"/>
      <c r="AP419" s="438"/>
    </row>
    <row r="420" spans="1:42" ht="12.75">
      <c r="A420" s="412"/>
      <c r="B420" s="431"/>
      <c r="C420" s="432" t="s">
        <v>11289</v>
      </c>
      <c r="D420" s="433" t="s">
        <v>11290</v>
      </c>
      <c r="E420" s="434"/>
      <c r="F420" s="435">
        <f>+F421+F422</f>
        <v>0</v>
      </c>
      <c r="G420" s="435">
        <v>0</v>
      </c>
      <c r="H420" s="435">
        <v>0</v>
      </c>
      <c r="I420" s="435">
        <f t="shared" si="425"/>
        <v>0</v>
      </c>
      <c r="J420" s="435">
        <f t="shared" si="426"/>
        <v>0</v>
      </c>
      <c r="K420" s="435">
        <v>0</v>
      </c>
      <c r="L420" s="435">
        <v>0</v>
      </c>
      <c r="M420" s="435">
        <f t="shared" si="427"/>
        <v>0</v>
      </c>
      <c r="N420" s="435">
        <v>0</v>
      </c>
      <c r="O420" s="435">
        <v>0</v>
      </c>
      <c r="P420" s="436">
        <v>0</v>
      </c>
      <c r="Q420" s="435">
        <f t="shared" ref="Q420" si="455">+Q421+Q422</f>
        <v>0</v>
      </c>
      <c r="R420" s="435">
        <f t="shared" si="420"/>
        <v>0</v>
      </c>
      <c r="S420" s="435">
        <f t="shared" si="421"/>
        <v>0</v>
      </c>
      <c r="T420" s="437"/>
      <c r="U420" s="435">
        <v>0</v>
      </c>
      <c r="V420" s="435">
        <f>+V421+V422</f>
        <v>0</v>
      </c>
      <c r="W420" s="435">
        <f>+W421+W422</f>
        <v>0</v>
      </c>
      <c r="X420" s="435">
        <f t="shared" ref="X420" si="456">+X421+X422</f>
        <v>0</v>
      </c>
      <c r="Y420" s="435">
        <f t="shared" si="423"/>
        <v>0</v>
      </c>
      <c r="Z420" s="435">
        <v>0</v>
      </c>
      <c r="AA420" s="435">
        <v>0</v>
      </c>
      <c r="AB420" s="435">
        <f t="shared" ref="AB420:AM420" si="457">+AB421+AB422</f>
        <v>0</v>
      </c>
      <c r="AC420" s="435">
        <f t="shared" si="457"/>
        <v>0</v>
      </c>
      <c r="AD420" s="435">
        <f t="shared" si="457"/>
        <v>0</v>
      </c>
      <c r="AE420" s="435">
        <f t="shared" si="389"/>
        <v>0</v>
      </c>
      <c r="AF420" s="435">
        <f t="shared" si="457"/>
        <v>0</v>
      </c>
      <c r="AG420" s="435">
        <f t="shared" si="457"/>
        <v>0</v>
      </c>
      <c r="AH420" s="419">
        <f t="shared" si="415"/>
        <v>0</v>
      </c>
      <c r="AI420" s="435">
        <f t="shared" si="457"/>
        <v>0</v>
      </c>
      <c r="AJ420" s="435">
        <f t="shared" si="457"/>
        <v>0</v>
      </c>
      <c r="AK420" s="435">
        <f t="shared" si="457"/>
        <v>0</v>
      </c>
      <c r="AL420" s="435">
        <f t="shared" si="457"/>
        <v>0</v>
      </c>
      <c r="AM420" s="435">
        <f t="shared" si="457"/>
        <v>0</v>
      </c>
      <c r="AN420" s="438"/>
      <c r="AO420" s="438"/>
      <c r="AP420" s="438"/>
    </row>
    <row r="421" spans="1:42" ht="25.5">
      <c r="A421" s="412"/>
      <c r="B421" s="431"/>
      <c r="C421" s="432" t="s">
        <v>9947</v>
      </c>
      <c r="D421" s="433" t="s">
        <v>9950</v>
      </c>
      <c r="E421" s="434">
        <f>'PROSPETTO CE_IV TRIM 2024'!BM2084</f>
        <v>0</v>
      </c>
      <c r="F421" s="439">
        <f>+E421</f>
        <v>0</v>
      </c>
      <c r="G421" s="439">
        <v>0</v>
      </c>
      <c r="H421" s="439">
        <v>0</v>
      </c>
      <c r="I421" s="435">
        <f t="shared" si="425"/>
        <v>0</v>
      </c>
      <c r="J421" s="435">
        <f t="shared" si="426"/>
        <v>0</v>
      </c>
      <c r="K421" s="439">
        <v>0</v>
      </c>
      <c r="L421" s="439">
        <v>0</v>
      </c>
      <c r="M421" s="439">
        <f t="shared" si="427"/>
        <v>0</v>
      </c>
      <c r="N421" s="439">
        <v>0</v>
      </c>
      <c r="O421" s="439">
        <v>0</v>
      </c>
      <c r="P421" s="440">
        <v>0</v>
      </c>
      <c r="Q421" s="439">
        <v>0</v>
      </c>
      <c r="R421" s="439">
        <f t="shared" si="420"/>
        <v>0</v>
      </c>
      <c r="S421" s="439">
        <f t="shared" si="421"/>
        <v>0</v>
      </c>
      <c r="T421" s="441"/>
      <c r="U421" s="439">
        <v>0</v>
      </c>
      <c r="V421" s="439">
        <f>+AA421</f>
        <v>0</v>
      </c>
      <c r="W421" s="439">
        <v>0</v>
      </c>
      <c r="X421" s="439">
        <v>0</v>
      </c>
      <c r="Y421" s="435">
        <f t="shared" si="423"/>
        <v>0</v>
      </c>
      <c r="Z421" s="439">
        <v>0</v>
      </c>
      <c r="AA421" s="439">
        <v>0</v>
      </c>
      <c r="AB421" s="439">
        <v>0</v>
      </c>
      <c r="AC421" s="439">
        <v>0</v>
      </c>
      <c r="AD421" s="439">
        <v>0</v>
      </c>
      <c r="AE421" s="435">
        <f t="shared" si="389"/>
        <v>0</v>
      </c>
      <c r="AF421" s="439">
        <v>0</v>
      </c>
      <c r="AG421" s="439">
        <v>0</v>
      </c>
      <c r="AH421" s="419">
        <f t="shared" si="415"/>
        <v>0</v>
      </c>
      <c r="AI421" s="439">
        <v>0</v>
      </c>
      <c r="AJ421" s="439">
        <v>0</v>
      </c>
      <c r="AK421" s="439">
        <f>AA421-W421</f>
        <v>0</v>
      </c>
      <c r="AL421" s="439">
        <f>AA421-AF421</f>
        <v>0</v>
      </c>
      <c r="AM421" s="439">
        <f>AA421-AD421</f>
        <v>0</v>
      </c>
      <c r="AN421" s="438"/>
      <c r="AO421" s="438"/>
      <c r="AP421" s="438"/>
    </row>
    <row r="422" spans="1:42" ht="12.75">
      <c r="A422" s="412"/>
      <c r="B422" s="431"/>
      <c r="C422" s="432" t="s">
        <v>9953</v>
      </c>
      <c r="D422" s="433" t="s">
        <v>9956</v>
      </c>
      <c r="E422" s="434">
        <f>'PROSPETTO CE_IV TRIM 2024'!BM2088</f>
        <v>0</v>
      </c>
      <c r="F422" s="439">
        <f>+E422</f>
        <v>0</v>
      </c>
      <c r="G422" s="439">
        <v>0</v>
      </c>
      <c r="H422" s="439">
        <v>0</v>
      </c>
      <c r="I422" s="435">
        <f t="shared" si="425"/>
        <v>0</v>
      </c>
      <c r="J422" s="435">
        <f t="shared" si="426"/>
        <v>0</v>
      </c>
      <c r="K422" s="439">
        <v>0</v>
      </c>
      <c r="L422" s="439">
        <v>0</v>
      </c>
      <c r="M422" s="439">
        <f t="shared" si="427"/>
        <v>0</v>
      </c>
      <c r="N422" s="439">
        <v>0</v>
      </c>
      <c r="O422" s="439">
        <v>0</v>
      </c>
      <c r="P422" s="440">
        <v>0</v>
      </c>
      <c r="Q422" s="439">
        <v>0</v>
      </c>
      <c r="R422" s="439">
        <f t="shared" si="420"/>
        <v>0</v>
      </c>
      <c r="S422" s="439">
        <f t="shared" si="421"/>
        <v>0</v>
      </c>
      <c r="T422" s="441"/>
      <c r="U422" s="439">
        <v>0</v>
      </c>
      <c r="V422" s="439">
        <f>+AA422</f>
        <v>0</v>
      </c>
      <c r="W422" s="439">
        <v>0</v>
      </c>
      <c r="X422" s="439">
        <v>0</v>
      </c>
      <c r="Y422" s="435">
        <f t="shared" si="423"/>
        <v>0</v>
      </c>
      <c r="Z422" s="439">
        <v>0</v>
      </c>
      <c r="AA422" s="439">
        <v>0</v>
      </c>
      <c r="AB422" s="439">
        <v>0</v>
      </c>
      <c r="AC422" s="439">
        <v>0</v>
      </c>
      <c r="AD422" s="439">
        <v>0</v>
      </c>
      <c r="AE422" s="435">
        <f t="shared" si="389"/>
        <v>0</v>
      </c>
      <c r="AF422" s="439">
        <v>0</v>
      </c>
      <c r="AG422" s="439">
        <v>0</v>
      </c>
      <c r="AH422" s="419">
        <f t="shared" si="415"/>
        <v>0</v>
      </c>
      <c r="AI422" s="439">
        <v>0</v>
      </c>
      <c r="AJ422" s="439">
        <v>0</v>
      </c>
      <c r="AK422" s="439">
        <f>AA422-W422</f>
        <v>0</v>
      </c>
      <c r="AL422" s="439">
        <f>AA422-AF422</f>
        <v>0</v>
      </c>
      <c r="AM422" s="439">
        <f>AA422-AD422</f>
        <v>0</v>
      </c>
      <c r="AN422" s="438"/>
      <c r="AO422" s="438"/>
      <c r="AP422" s="438"/>
    </row>
    <row r="423" spans="1:42" ht="12.75">
      <c r="A423" s="412"/>
      <c r="B423" s="431"/>
      <c r="C423" s="432" t="s">
        <v>5854</v>
      </c>
      <c r="D423" s="433" t="s">
        <v>9961</v>
      </c>
      <c r="E423" s="434"/>
      <c r="F423" s="435">
        <f>+F424+F433</f>
        <v>-8522344.8899999987</v>
      </c>
      <c r="G423" s="435">
        <v>2505866.7299999972</v>
      </c>
      <c r="H423" s="435">
        <v>-8523329.7699999977</v>
      </c>
      <c r="I423" s="435">
        <f t="shared" si="425"/>
        <v>984.87999999895692</v>
      </c>
      <c r="J423" s="435">
        <f t="shared" si="426"/>
        <v>984.3899999987334</v>
      </c>
      <c r="K423" s="435">
        <v>-8523329.2799999975</v>
      </c>
      <c r="L423" s="435">
        <v>-2088153.1399999994</v>
      </c>
      <c r="M423" s="435">
        <f t="shared" si="427"/>
        <v>-8522343.9099999983</v>
      </c>
      <c r="N423" s="435">
        <v>-1862864.7999999998</v>
      </c>
      <c r="O423" s="435">
        <v>1915225.4733333346</v>
      </c>
      <c r="P423" s="436">
        <v>-0.98</v>
      </c>
      <c r="Q423" s="435">
        <f t="shared" ref="Q423" si="458">+Q424+Q433</f>
        <v>2505866.7299999972</v>
      </c>
      <c r="R423" s="435">
        <f t="shared" si="420"/>
        <v>1862863.8199999998</v>
      </c>
      <c r="S423" s="435">
        <f t="shared" si="421"/>
        <v>4368731.5299999975</v>
      </c>
      <c r="T423" s="437">
        <f>(F423-P423)/F423*100</f>
        <v>99.999988500817409</v>
      </c>
      <c r="U423" s="435">
        <v>-700845.31999999925</v>
      </c>
      <c r="V423" s="435">
        <f>+V424+V433</f>
        <v>-0.98</v>
      </c>
      <c r="W423" s="435">
        <f>+W424+W433</f>
        <v>0</v>
      </c>
      <c r="X423" s="435">
        <f t="shared" ref="X423" si="459">+X424+X433</f>
        <v>2505866.7299999972</v>
      </c>
      <c r="Y423" s="435">
        <f t="shared" si="423"/>
        <v>-9297103.5163636357</v>
      </c>
      <c r="Z423" s="435">
        <v>-0.49</v>
      </c>
      <c r="AA423" s="435">
        <v>-0.49</v>
      </c>
      <c r="AB423" s="435">
        <f t="shared" ref="AB423:AM423" si="460">+AB424+AB433</f>
        <v>281059</v>
      </c>
      <c r="AC423" s="435">
        <f t="shared" si="460"/>
        <v>-1758191.0799999977</v>
      </c>
      <c r="AD423" s="435">
        <f t="shared" si="460"/>
        <v>2505866.7299999972</v>
      </c>
      <c r="AE423" s="435">
        <f t="shared" si="389"/>
        <v>-11028211.619999995</v>
      </c>
      <c r="AF423" s="435">
        <f t="shared" si="460"/>
        <v>-3516382.1599999955</v>
      </c>
      <c r="AG423" s="435">
        <f t="shared" si="460"/>
        <v>0</v>
      </c>
      <c r="AH423" s="419">
        <f t="shared" si="415"/>
        <v>8522344.8899999987</v>
      </c>
      <c r="AI423" s="435">
        <f t="shared" si="460"/>
        <v>0</v>
      </c>
      <c r="AJ423" s="435">
        <f t="shared" si="460"/>
        <v>0</v>
      </c>
      <c r="AK423" s="435">
        <f t="shared" si="460"/>
        <v>-0.49</v>
      </c>
      <c r="AL423" s="435">
        <f t="shared" si="460"/>
        <v>3516381.6699999953</v>
      </c>
      <c r="AM423" s="435">
        <f t="shared" si="460"/>
        <v>-2505867.2199999969</v>
      </c>
      <c r="AN423" s="438"/>
      <c r="AO423" s="438"/>
      <c r="AP423" s="438"/>
    </row>
    <row r="424" spans="1:42" ht="12.75">
      <c r="A424" s="412"/>
      <c r="B424" s="431"/>
      <c r="C424" s="432" t="s">
        <v>5860</v>
      </c>
      <c r="D424" s="433" t="s">
        <v>5863</v>
      </c>
      <c r="E424" s="434"/>
      <c r="F424" s="435">
        <f t="shared" ref="F424:AM424" si="461">SUM(F425:F432)</f>
        <v>-8475028.1699999981</v>
      </c>
      <c r="G424" s="435">
        <v>2494366.7699999972</v>
      </c>
      <c r="H424" s="435">
        <v>-8476013.049999997</v>
      </c>
      <c r="I424" s="435">
        <f t="shared" si="425"/>
        <v>984.87999999895692</v>
      </c>
      <c r="J424" s="435">
        <f t="shared" si="426"/>
        <v>984.3899999987334</v>
      </c>
      <c r="K424" s="435">
        <v>-8476012.5599999968</v>
      </c>
      <c r="L424" s="435">
        <v>-1857238.4399999995</v>
      </c>
      <c r="M424" s="435">
        <f t="shared" si="427"/>
        <v>-8475027.1899999976</v>
      </c>
      <c r="N424" s="435">
        <v>-1632070.5899999999</v>
      </c>
      <c r="O424" s="435">
        <v>1993542.5100000012</v>
      </c>
      <c r="P424" s="436">
        <v>-0.98</v>
      </c>
      <c r="Q424" s="435">
        <f t="shared" ref="Q424" si="462">SUM(Q425:Q432)</f>
        <v>2494366.7699999972</v>
      </c>
      <c r="R424" s="435">
        <f t="shared" si="420"/>
        <v>1632069.6099999999</v>
      </c>
      <c r="S424" s="435">
        <f t="shared" si="421"/>
        <v>4126437.3599999971</v>
      </c>
      <c r="T424" s="437">
        <f>(F424-P424)/F424*100</f>
        <v>99.999988436616604</v>
      </c>
      <c r="U424" s="435">
        <v>-703473.1399999992</v>
      </c>
      <c r="V424" s="435">
        <f>SUM(V425:V432)</f>
        <v>-0.98</v>
      </c>
      <c r="W424" s="435">
        <f>SUM(W425:W432)</f>
        <v>0</v>
      </c>
      <c r="X424" s="435">
        <f t="shared" ref="X424" si="463">SUM(X425:X432)</f>
        <v>2494366.7699999972</v>
      </c>
      <c r="Y424" s="435">
        <f t="shared" si="423"/>
        <v>-9245485.2763636336</v>
      </c>
      <c r="Z424" s="435">
        <v>-0.49</v>
      </c>
      <c r="AA424" s="435">
        <v>-0.49</v>
      </c>
      <c r="AB424" s="435">
        <f t="shared" si="461"/>
        <v>266331</v>
      </c>
      <c r="AC424" s="435">
        <f t="shared" si="461"/>
        <v>-1779885.0999999978</v>
      </c>
      <c r="AD424" s="435">
        <f t="shared" si="461"/>
        <v>2494366.7699999972</v>
      </c>
      <c r="AE424" s="435">
        <f t="shared" si="389"/>
        <v>-10969394.939999996</v>
      </c>
      <c r="AF424" s="435">
        <f t="shared" si="461"/>
        <v>-3559770.1999999955</v>
      </c>
      <c r="AG424" s="435">
        <f t="shared" si="461"/>
        <v>0</v>
      </c>
      <c r="AH424" s="419">
        <f t="shared" si="415"/>
        <v>8475028.1699999981</v>
      </c>
      <c r="AI424" s="435">
        <f t="shared" si="461"/>
        <v>0</v>
      </c>
      <c r="AJ424" s="435">
        <f t="shared" si="461"/>
        <v>0</v>
      </c>
      <c r="AK424" s="435">
        <f t="shared" si="461"/>
        <v>-0.49</v>
      </c>
      <c r="AL424" s="435">
        <f t="shared" si="461"/>
        <v>3559769.7099999953</v>
      </c>
      <c r="AM424" s="435">
        <f t="shared" si="461"/>
        <v>-2494367.259999997</v>
      </c>
      <c r="AN424" s="438"/>
      <c r="AO424" s="438"/>
      <c r="AP424" s="438"/>
    </row>
    <row r="425" spans="1:42" ht="12.75">
      <c r="A425" s="412"/>
      <c r="B425" s="431"/>
      <c r="C425" s="432" t="s">
        <v>5864</v>
      </c>
      <c r="D425" s="433" t="s">
        <v>5868</v>
      </c>
      <c r="E425" s="434">
        <f>'PROSPETTO CE_IV TRIM 2024'!BM2093+'PROSPETTO CE_IV TRIM 2024'!BM2099+'PROSPETTO CE_IV TRIM 2024'!BM2100+'PROSPETTO CE_IV TRIM 2024'!BM2101+'PROSPETTO CE_IV TRIM 2024'!BM2104+'PROSPETTO CE_IV TRIM 2024'!BM2105+'PROSPETTO CE_IV TRIM 2024'!BM2106+'PROSPETTO CE_IV TRIM 2024'!BM2107+'PROSPETTO CE_IV TRIM 2024'!BM2108+'PROSPETTO CE_IV TRIM 2024'!BM2109+'PROSPETTO CE_IV TRIM 2024'!BM2110+'PROSPETTO CE_IV TRIM 2024'!BM2111+'PROSPETTO CE_IV TRIM 2024'!BM2112+'PROSPETTO CE_IV TRIM 2024'!BM2113-'PROSPETTO CE_IV TRIM 2024'!BM439-'PROSPETTO CE_IV TRIM 2024'!BM444-'PROSPETTO CE_IV TRIM 2024'!BM445-'PROSPETTO CE_IV TRIM 2024'!BM446-'PROSPETTO CE_IV TRIM 2024'!BM447-'PROSPETTO CE_IV TRIM 2024'!BM448-'PROSPETTO CE_IV TRIM 2024'!BM449-'PROSPETTO CE_IV TRIM 2024'!BM450-'PROSPETTO CE_IV TRIM 2024'!BM451-'PROSPETTO CE_IV TRIM 2024'!BM452-'PROSPETTO CE_IV TRIM 2024'!BM453-'PROSPETTO CE_IV TRIM 2024'!BM454-'PROSPETTO CE_IV TRIM 2024'!BM455-'PROSPETTO CE_IV TRIM 2024'!BM456</f>
        <v>2027387.9800000025</v>
      </c>
      <c r="F425" s="439">
        <f>+E425-0.49</f>
        <v>2027387.4900000026</v>
      </c>
      <c r="G425" s="439">
        <v>-501660.65000000224</v>
      </c>
      <c r="H425" s="439">
        <v>2028667.0000000026</v>
      </c>
      <c r="I425" s="435">
        <f t="shared" si="425"/>
        <v>-1279.5100000000093</v>
      </c>
      <c r="J425" s="435">
        <f t="shared" si="426"/>
        <v>-1280</v>
      </c>
      <c r="K425" s="439">
        <v>2028667.4900000026</v>
      </c>
      <c r="L425" s="439">
        <v>2101352.1700000009</v>
      </c>
      <c r="M425" s="439">
        <f t="shared" si="427"/>
        <v>2027388.4700000025</v>
      </c>
      <c r="N425" s="439">
        <v>2101351.6800000006</v>
      </c>
      <c r="O425" s="439">
        <v>4422554.4200000009</v>
      </c>
      <c r="P425" s="440">
        <v>-0.98</v>
      </c>
      <c r="Q425" s="439">
        <v>-501660.65000000224</v>
      </c>
      <c r="R425" s="439">
        <f t="shared" si="420"/>
        <v>-2101352.6600000006</v>
      </c>
      <c r="S425" s="439">
        <f t="shared" si="421"/>
        <v>-2603012.3300000029</v>
      </c>
      <c r="T425" s="441">
        <f>(F425-P425)/F425*100</f>
        <v>100.0000483380708</v>
      </c>
      <c r="U425" s="439">
        <v>-732953.00999999873</v>
      </c>
      <c r="V425" s="439">
        <f>+AA425-0.49</f>
        <v>-0.98</v>
      </c>
      <c r="W425" s="439">
        <v>0</v>
      </c>
      <c r="X425" s="439">
        <v>-501660.65000000224</v>
      </c>
      <c r="Y425" s="435">
        <f t="shared" si="423"/>
        <v>2211695.4436363666</v>
      </c>
      <c r="Z425" s="439">
        <v>-0.49</v>
      </c>
      <c r="AA425" s="439">
        <v>-0.49</v>
      </c>
      <c r="AB425" s="439">
        <v>-1788973</v>
      </c>
      <c r="AC425" s="439">
        <v>-1627338.7699999975</v>
      </c>
      <c r="AD425" s="439">
        <v>-501660.65000000224</v>
      </c>
      <c r="AE425" s="435">
        <f t="shared" si="389"/>
        <v>2529048.1400000048</v>
      </c>
      <c r="AF425" s="439">
        <f t="shared" ref="AF425:AF432" si="464">AC425*2</f>
        <v>-3254677.5399999949</v>
      </c>
      <c r="AG425" s="439"/>
      <c r="AH425" s="419">
        <f t="shared" si="415"/>
        <v>-2027387.4900000026</v>
      </c>
      <c r="AI425" s="439"/>
      <c r="AJ425" s="439"/>
      <c r="AK425" s="439">
        <f t="shared" ref="AK425:AK432" si="465">AA425-W425</f>
        <v>-0.49</v>
      </c>
      <c r="AL425" s="439">
        <f t="shared" ref="AL425:AL432" si="466">AA425-AF425</f>
        <v>3254677.0499999947</v>
      </c>
      <c r="AM425" s="439">
        <f t="shared" ref="AM425:AM432" si="467">AA425-AD425</f>
        <v>501660.16000000224</v>
      </c>
      <c r="AN425" s="438"/>
      <c r="AO425" s="438"/>
      <c r="AP425" s="438"/>
    </row>
    <row r="426" spans="1:42" ht="12.75">
      <c r="A426" s="412"/>
      <c r="B426" s="431"/>
      <c r="C426" s="432" t="s">
        <v>5902</v>
      </c>
      <c r="D426" s="433" t="s">
        <v>5905</v>
      </c>
      <c r="E426" s="434">
        <f>'PROSPETTO CE_IV TRIM 2024'!BM2114+'PROSPETTO CE_IV TRIM 2024'!BM2115+'PROSPETTO CE_IV TRIM 2024'!BM2116-'PROSPETTO CE_IV TRIM 2024'!BM459</f>
        <v>-221555.19</v>
      </c>
      <c r="F426" s="439">
        <f t="shared" ref="F426:F432" si="468">+E426</f>
        <v>-221555.19</v>
      </c>
      <c r="G426" s="439">
        <v>0</v>
      </c>
      <c r="H426" s="439">
        <v>-222835.19</v>
      </c>
      <c r="I426" s="435">
        <f t="shared" si="425"/>
        <v>1280</v>
      </c>
      <c r="J426" s="435">
        <f t="shared" si="426"/>
        <v>1280</v>
      </c>
      <c r="K426" s="439">
        <v>-222835.19</v>
      </c>
      <c r="L426" s="439">
        <v>0</v>
      </c>
      <c r="M426" s="439">
        <f t="shared" si="427"/>
        <v>-221555.19</v>
      </c>
      <c r="N426" s="439">
        <v>0</v>
      </c>
      <c r="O426" s="439">
        <v>0</v>
      </c>
      <c r="P426" s="440">
        <v>0</v>
      </c>
      <c r="Q426" s="439">
        <v>0</v>
      </c>
      <c r="R426" s="439">
        <f t="shared" si="420"/>
        <v>0</v>
      </c>
      <c r="S426" s="439">
        <f t="shared" si="421"/>
        <v>0</v>
      </c>
      <c r="T426" s="441"/>
      <c r="U426" s="439">
        <v>0</v>
      </c>
      <c r="V426" s="439">
        <f t="shared" ref="V426:V432" si="469">+AA426</f>
        <v>0</v>
      </c>
      <c r="W426" s="439">
        <v>0</v>
      </c>
      <c r="X426" s="439">
        <v>0</v>
      </c>
      <c r="Y426" s="435">
        <f t="shared" si="423"/>
        <v>-241696.57090909092</v>
      </c>
      <c r="Z426" s="439">
        <v>0</v>
      </c>
      <c r="AA426" s="439">
        <v>0</v>
      </c>
      <c r="AB426" s="439">
        <v>0</v>
      </c>
      <c r="AC426" s="439">
        <v>0</v>
      </c>
      <c r="AD426" s="439">
        <v>0</v>
      </c>
      <c r="AE426" s="435">
        <f t="shared" si="389"/>
        <v>-221555.19</v>
      </c>
      <c r="AF426" s="439">
        <f t="shared" si="464"/>
        <v>0</v>
      </c>
      <c r="AG426" s="439"/>
      <c r="AH426" s="419">
        <f t="shared" si="415"/>
        <v>221555.19</v>
      </c>
      <c r="AI426" s="439"/>
      <c r="AJ426" s="439"/>
      <c r="AK426" s="439">
        <f t="shared" si="465"/>
        <v>0</v>
      </c>
      <c r="AL426" s="439">
        <f t="shared" si="466"/>
        <v>0</v>
      </c>
      <c r="AM426" s="439">
        <f t="shared" si="467"/>
        <v>0</v>
      </c>
      <c r="AN426" s="438"/>
      <c r="AO426" s="438"/>
      <c r="AP426" s="438"/>
    </row>
    <row r="427" spans="1:42" ht="12.75">
      <c r="A427" s="412"/>
      <c r="B427" s="431"/>
      <c r="C427" s="432" t="s">
        <v>5910</v>
      </c>
      <c r="D427" s="433" t="s">
        <v>5913</v>
      </c>
      <c r="E427" s="434">
        <f>'PROSPETTO CE_IV TRIM 2024'!BM2117+'PROSPETTO CE_IV TRIM 2024'!BM2118+'PROSPETTO CE_IV TRIM 2024'!BM2119+'PROSPETTO CE_IV TRIM 2024'!BM2120+'PROSPETTO CE_IV TRIM 2024'!BM2121+'PROSPETTO CE_IV TRIM 2024'!BM2122+'PROSPETTO CE_IV TRIM 2024'!BM2123+'PROSPETTO CE_IV TRIM 2024'!BM2124+'PROSPETTO CE_IV TRIM 2024'!BM2125+'PROSPETTO CE_IV TRIM 2024'!BM2126+'PROSPETTO CE_IV TRIM 2024'!BM2127+'PROSPETTO CE_IV TRIM 2024'!BM2133+'PROSPETTO CE_IV TRIM 2024'!BM2134+'PROSPETTO CE_IV TRIM 2024'!BM2135+'PROSPETTO CE_IV TRIM 2024'!BM2136-'PROSPETTO CE_IV TRIM 2024'!BM460-'PROSPETTO CE_IV TRIM 2024'!BM461-'PROSPETTO CE_IV TRIM 2024'!BM462-'PROSPETTO CE_IV TRIM 2024'!BM463-'PROSPETTO CE_IV TRIM 2024'!BM464-'PROSPETTO CE_IV TRIM 2024'!BM465-'PROSPETTO CE_IV TRIM 2024'!BM466-'PROSPETTO CE_IV TRIM 2024'!BM467-'PROSPETTO CE_IV TRIM 2024'!BM468-'PROSPETTO CE_IV TRIM 2024'!BM470-'PROSPETTO CE_IV TRIM 2024'!BM476-'PROSPETTO CE_IV TRIM 2024'!BM477-'PROSPETTO CE_IV TRIM 2024'!BM478-'PROSPETTO CE_IV TRIM 2024'!BM479-'PROSPETTO CE_IV TRIM 2024'!BM469</f>
        <v>-9097638.040000001</v>
      </c>
      <c r="F427" s="439">
        <f t="shared" si="468"/>
        <v>-9097638.040000001</v>
      </c>
      <c r="G427" s="439">
        <v>3053473.7399999998</v>
      </c>
      <c r="H427" s="439">
        <v>-9097665.4299999997</v>
      </c>
      <c r="I427" s="435">
        <f t="shared" si="425"/>
        <v>27.389999998733401</v>
      </c>
      <c r="J427" s="435">
        <f t="shared" si="426"/>
        <v>27.389999998733401</v>
      </c>
      <c r="K427" s="439">
        <v>-9097665.4299999997</v>
      </c>
      <c r="L427" s="439">
        <v>-2814845.68</v>
      </c>
      <c r="M427" s="439">
        <f t="shared" si="427"/>
        <v>-9097638.040000001</v>
      </c>
      <c r="N427" s="439">
        <v>-2467551.9200000004</v>
      </c>
      <c r="O427" s="439">
        <v>-1584124.9266666663</v>
      </c>
      <c r="P427" s="440">
        <v>0</v>
      </c>
      <c r="Q427" s="439">
        <v>3053473.7399999998</v>
      </c>
      <c r="R427" s="439">
        <f t="shared" si="420"/>
        <v>2467551.9200000004</v>
      </c>
      <c r="S427" s="439">
        <f t="shared" si="421"/>
        <v>5521025.6600000001</v>
      </c>
      <c r="T427" s="441">
        <f>(F427-P427)/F427*100</f>
        <v>100</v>
      </c>
      <c r="U427" s="439">
        <v>-108231.0400000004</v>
      </c>
      <c r="V427" s="439">
        <f t="shared" si="469"/>
        <v>0</v>
      </c>
      <c r="W427" s="439">
        <v>0</v>
      </c>
      <c r="X427" s="439">
        <v>3053473.7399999998</v>
      </c>
      <c r="Y427" s="435">
        <f t="shared" si="423"/>
        <v>-9924696.0436363649</v>
      </c>
      <c r="Z427" s="439">
        <v>0</v>
      </c>
      <c r="AA427" s="439">
        <v>0</v>
      </c>
      <c r="AB427" s="439">
        <v>2016159</v>
      </c>
      <c r="AC427" s="439">
        <v>-259610.10000000024</v>
      </c>
      <c r="AD427" s="439">
        <v>3053473.7399999998</v>
      </c>
      <c r="AE427" s="435">
        <f t="shared" ref="AE427:AE490" si="470">F427-AD427</f>
        <v>-12151111.780000001</v>
      </c>
      <c r="AF427" s="439">
        <f t="shared" si="464"/>
        <v>-519220.20000000048</v>
      </c>
      <c r="AG427" s="439"/>
      <c r="AH427" s="419">
        <f t="shared" si="415"/>
        <v>9097638.040000001</v>
      </c>
      <c r="AI427" s="439"/>
      <c r="AJ427" s="439"/>
      <c r="AK427" s="439">
        <f t="shared" si="465"/>
        <v>0</v>
      </c>
      <c r="AL427" s="439">
        <f t="shared" si="466"/>
        <v>519220.20000000048</v>
      </c>
      <c r="AM427" s="439">
        <f t="shared" si="467"/>
        <v>-3053473.7399999998</v>
      </c>
      <c r="AN427" s="438"/>
      <c r="AO427" s="438"/>
      <c r="AP427" s="438"/>
    </row>
    <row r="428" spans="1:42" ht="12.75">
      <c r="A428" s="412"/>
      <c r="B428" s="431"/>
      <c r="C428" s="432" t="s">
        <v>5944</v>
      </c>
      <c r="D428" s="433" t="s">
        <v>5947</v>
      </c>
      <c r="E428" s="434">
        <f>'PROSPETTO CE_IV TRIM 2024'!BM2137-'PROSPETTO CE_IV TRIM 2024'!BM480</f>
        <v>-2148.7699999999995</v>
      </c>
      <c r="F428" s="439">
        <f t="shared" si="468"/>
        <v>-2148.7699999999995</v>
      </c>
      <c r="G428" s="439">
        <v>3422.1099999999997</v>
      </c>
      <c r="H428" s="439">
        <v>-2148.7699999999995</v>
      </c>
      <c r="I428" s="435">
        <f t="shared" si="425"/>
        <v>0</v>
      </c>
      <c r="J428" s="435">
        <f t="shared" si="426"/>
        <v>0</v>
      </c>
      <c r="K428" s="439">
        <v>-2148.7699999999995</v>
      </c>
      <c r="L428" s="439">
        <v>-2087.5600000000004</v>
      </c>
      <c r="M428" s="439">
        <f t="shared" si="427"/>
        <v>-2148.7699999999995</v>
      </c>
      <c r="N428" s="439">
        <v>-2087.5600000000004</v>
      </c>
      <c r="O428" s="439">
        <v>-7005.4533333333338</v>
      </c>
      <c r="P428" s="440">
        <v>0</v>
      </c>
      <c r="Q428" s="439">
        <v>3422.1099999999997</v>
      </c>
      <c r="R428" s="439">
        <f t="shared" si="420"/>
        <v>2087.5600000000004</v>
      </c>
      <c r="S428" s="439">
        <f t="shared" si="421"/>
        <v>5509.67</v>
      </c>
      <c r="T428" s="441">
        <f>(F428-P428)/F428*100</f>
        <v>100</v>
      </c>
      <c r="U428" s="439">
        <v>-3283.6799999999994</v>
      </c>
      <c r="V428" s="439">
        <f t="shared" si="469"/>
        <v>0</v>
      </c>
      <c r="W428" s="439">
        <v>0</v>
      </c>
      <c r="X428" s="439">
        <v>3422.1099999999997</v>
      </c>
      <c r="Y428" s="435">
        <f t="shared" si="423"/>
        <v>-2344.1127272727267</v>
      </c>
      <c r="Z428" s="439">
        <v>0</v>
      </c>
      <c r="AA428" s="439">
        <v>0</v>
      </c>
      <c r="AB428" s="439">
        <v>3603</v>
      </c>
      <c r="AC428" s="439">
        <v>-3370.4199999999992</v>
      </c>
      <c r="AD428" s="439">
        <v>3422.1099999999997</v>
      </c>
      <c r="AE428" s="435">
        <f t="shared" si="470"/>
        <v>-5570.8799999999992</v>
      </c>
      <c r="AF428" s="439">
        <f t="shared" si="464"/>
        <v>-6740.8399999999983</v>
      </c>
      <c r="AG428" s="439"/>
      <c r="AH428" s="419">
        <f t="shared" si="415"/>
        <v>2148.7699999999995</v>
      </c>
      <c r="AI428" s="439"/>
      <c r="AJ428" s="439"/>
      <c r="AK428" s="439">
        <f t="shared" si="465"/>
        <v>0</v>
      </c>
      <c r="AL428" s="439">
        <f t="shared" si="466"/>
        <v>6740.8399999999983</v>
      </c>
      <c r="AM428" s="439">
        <f t="shared" si="467"/>
        <v>-3422.1099999999997</v>
      </c>
      <c r="AN428" s="438"/>
      <c r="AO428" s="438"/>
      <c r="AP428" s="438"/>
    </row>
    <row r="429" spans="1:42" ht="12.75">
      <c r="A429" s="412"/>
      <c r="B429" s="431"/>
      <c r="C429" s="432" t="s">
        <v>5948</v>
      </c>
      <c r="D429" s="433" t="s">
        <v>5951</v>
      </c>
      <c r="E429" s="434">
        <f>'PROSPETTO CE_IV TRIM 2024'!BM2138+'PROSPETTO CE_IV TRIM 2024'!BM2139+'PROSPETTO CE_IV TRIM 2024'!BM2140</f>
        <v>0</v>
      </c>
      <c r="F429" s="439">
        <f t="shared" si="468"/>
        <v>0</v>
      </c>
      <c r="G429" s="439">
        <v>0</v>
      </c>
      <c r="H429" s="439">
        <v>0</v>
      </c>
      <c r="I429" s="435">
        <f t="shared" si="425"/>
        <v>0</v>
      </c>
      <c r="J429" s="435">
        <f t="shared" si="426"/>
        <v>0</v>
      </c>
      <c r="K429" s="439">
        <v>0</v>
      </c>
      <c r="L429" s="439">
        <v>0</v>
      </c>
      <c r="M429" s="439">
        <f t="shared" si="427"/>
        <v>0</v>
      </c>
      <c r="N429" s="439">
        <v>0</v>
      </c>
      <c r="O429" s="439">
        <v>0</v>
      </c>
      <c r="P429" s="440">
        <v>0</v>
      </c>
      <c r="Q429" s="439">
        <v>0</v>
      </c>
      <c r="R429" s="439">
        <f t="shared" si="420"/>
        <v>0</v>
      </c>
      <c r="S429" s="439">
        <f t="shared" si="421"/>
        <v>0</v>
      </c>
      <c r="T429" s="441"/>
      <c r="U429" s="439">
        <v>0</v>
      </c>
      <c r="V429" s="439">
        <f t="shared" si="469"/>
        <v>0</v>
      </c>
      <c r="W429" s="439">
        <v>0</v>
      </c>
      <c r="X429" s="439">
        <v>0</v>
      </c>
      <c r="Y429" s="435">
        <f t="shared" si="423"/>
        <v>0</v>
      </c>
      <c r="Z429" s="439">
        <v>0</v>
      </c>
      <c r="AA429" s="439">
        <v>0</v>
      </c>
      <c r="AB429" s="439">
        <v>0</v>
      </c>
      <c r="AC429" s="439">
        <v>0</v>
      </c>
      <c r="AD429" s="439">
        <v>0</v>
      </c>
      <c r="AE429" s="435">
        <f t="shared" si="470"/>
        <v>0</v>
      </c>
      <c r="AF429" s="439">
        <f t="shared" si="464"/>
        <v>0</v>
      </c>
      <c r="AG429" s="439"/>
      <c r="AH429" s="419">
        <f t="shared" si="415"/>
        <v>0</v>
      </c>
      <c r="AI429" s="439"/>
      <c r="AJ429" s="439"/>
      <c r="AK429" s="439">
        <f t="shared" si="465"/>
        <v>0</v>
      </c>
      <c r="AL429" s="439">
        <f t="shared" si="466"/>
        <v>0</v>
      </c>
      <c r="AM429" s="439">
        <f t="shared" si="467"/>
        <v>0</v>
      </c>
      <c r="AN429" s="438"/>
      <c r="AO429" s="438"/>
      <c r="AP429" s="438"/>
    </row>
    <row r="430" spans="1:42" ht="12.75">
      <c r="A430" s="412"/>
      <c r="B430" s="431"/>
      <c r="C430" s="432" t="s">
        <v>5954</v>
      </c>
      <c r="D430" s="433" t="s">
        <v>5957</v>
      </c>
      <c r="E430" s="434">
        <f>'PROSPETTO CE_IV TRIM 2024'!BM2141</f>
        <v>0</v>
      </c>
      <c r="F430" s="439">
        <f t="shared" si="468"/>
        <v>0</v>
      </c>
      <c r="G430" s="439">
        <v>0</v>
      </c>
      <c r="H430" s="439">
        <v>0</v>
      </c>
      <c r="I430" s="435">
        <f t="shared" si="425"/>
        <v>0</v>
      </c>
      <c r="J430" s="435">
        <f t="shared" si="426"/>
        <v>0</v>
      </c>
      <c r="K430" s="439">
        <v>0</v>
      </c>
      <c r="L430" s="439">
        <v>0</v>
      </c>
      <c r="M430" s="439">
        <f t="shared" si="427"/>
        <v>0</v>
      </c>
      <c r="N430" s="439">
        <v>0</v>
      </c>
      <c r="O430" s="439">
        <v>0</v>
      </c>
      <c r="P430" s="440">
        <v>0</v>
      </c>
      <c r="Q430" s="439">
        <v>0</v>
      </c>
      <c r="R430" s="439">
        <f t="shared" si="420"/>
        <v>0</v>
      </c>
      <c r="S430" s="439">
        <f t="shared" si="421"/>
        <v>0</v>
      </c>
      <c r="T430" s="441"/>
      <c r="U430" s="439">
        <v>0</v>
      </c>
      <c r="V430" s="439">
        <f t="shared" si="469"/>
        <v>0</v>
      </c>
      <c r="W430" s="439">
        <v>0</v>
      </c>
      <c r="X430" s="439">
        <v>0</v>
      </c>
      <c r="Y430" s="435">
        <f t="shared" si="423"/>
        <v>0</v>
      </c>
      <c r="Z430" s="439">
        <v>0</v>
      </c>
      <c r="AA430" s="439">
        <v>0</v>
      </c>
      <c r="AB430" s="439">
        <v>0</v>
      </c>
      <c r="AC430" s="439">
        <v>0</v>
      </c>
      <c r="AD430" s="439">
        <v>0</v>
      </c>
      <c r="AE430" s="435">
        <f t="shared" si="470"/>
        <v>0</v>
      </c>
      <c r="AF430" s="439">
        <f t="shared" si="464"/>
        <v>0</v>
      </c>
      <c r="AG430" s="439"/>
      <c r="AH430" s="419">
        <f t="shared" si="415"/>
        <v>0</v>
      </c>
      <c r="AI430" s="439"/>
      <c r="AJ430" s="439"/>
      <c r="AK430" s="439">
        <f t="shared" si="465"/>
        <v>0</v>
      </c>
      <c r="AL430" s="439">
        <f t="shared" si="466"/>
        <v>0</v>
      </c>
      <c r="AM430" s="439">
        <f t="shared" si="467"/>
        <v>0</v>
      </c>
      <c r="AN430" s="438"/>
      <c r="AO430" s="438"/>
      <c r="AP430" s="438"/>
    </row>
    <row r="431" spans="1:42" ht="12.75">
      <c r="A431" s="412"/>
      <c r="B431" s="431"/>
      <c r="C431" s="432" t="s">
        <v>5958</v>
      </c>
      <c r="D431" s="433" t="s">
        <v>5961</v>
      </c>
      <c r="E431" s="434">
        <f>'PROSPETTO CE_IV TRIM 2024'!BM2142+'PROSPETTO CE_IV TRIM 2024'!BM2143</f>
        <v>0</v>
      </c>
      <c r="F431" s="439">
        <f t="shared" si="468"/>
        <v>0</v>
      </c>
      <c r="G431" s="439">
        <v>0</v>
      </c>
      <c r="H431" s="439">
        <v>0</v>
      </c>
      <c r="I431" s="435">
        <f t="shared" si="425"/>
        <v>0</v>
      </c>
      <c r="J431" s="435">
        <f t="shared" si="426"/>
        <v>0</v>
      </c>
      <c r="K431" s="439">
        <v>0</v>
      </c>
      <c r="L431" s="439">
        <v>0</v>
      </c>
      <c r="M431" s="439">
        <f t="shared" si="427"/>
        <v>0</v>
      </c>
      <c r="N431" s="439">
        <v>0</v>
      </c>
      <c r="O431" s="439">
        <v>0</v>
      </c>
      <c r="P431" s="440">
        <v>0</v>
      </c>
      <c r="Q431" s="439">
        <v>0</v>
      </c>
      <c r="R431" s="439">
        <f t="shared" si="420"/>
        <v>0</v>
      </c>
      <c r="S431" s="439">
        <f t="shared" si="421"/>
        <v>0</v>
      </c>
      <c r="T431" s="441"/>
      <c r="U431" s="439">
        <v>0</v>
      </c>
      <c r="V431" s="439">
        <f t="shared" si="469"/>
        <v>0</v>
      </c>
      <c r="W431" s="439">
        <v>0</v>
      </c>
      <c r="X431" s="439">
        <v>0</v>
      </c>
      <c r="Y431" s="435">
        <f t="shared" si="423"/>
        <v>0</v>
      </c>
      <c r="Z431" s="439">
        <v>0</v>
      </c>
      <c r="AA431" s="439">
        <v>0</v>
      </c>
      <c r="AB431" s="439">
        <v>0</v>
      </c>
      <c r="AC431" s="439">
        <v>0</v>
      </c>
      <c r="AD431" s="439">
        <v>0</v>
      </c>
      <c r="AE431" s="435">
        <f t="shared" si="470"/>
        <v>0</v>
      </c>
      <c r="AF431" s="439">
        <f t="shared" si="464"/>
        <v>0</v>
      </c>
      <c r="AG431" s="439"/>
      <c r="AH431" s="419">
        <f t="shared" si="415"/>
        <v>0</v>
      </c>
      <c r="AI431" s="439"/>
      <c r="AJ431" s="439"/>
      <c r="AK431" s="439">
        <f t="shared" si="465"/>
        <v>0</v>
      </c>
      <c r="AL431" s="439">
        <f t="shared" si="466"/>
        <v>0</v>
      </c>
      <c r="AM431" s="439">
        <f t="shared" si="467"/>
        <v>0</v>
      </c>
      <c r="AN431" s="438"/>
      <c r="AO431" s="438"/>
      <c r="AP431" s="438"/>
    </row>
    <row r="432" spans="1:42" ht="12.75">
      <c r="A432" s="412"/>
      <c r="B432" s="431"/>
      <c r="C432" s="432" t="s">
        <v>5963</v>
      </c>
      <c r="D432" s="433" t="s">
        <v>5968</v>
      </c>
      <c r="E432" s="434">
        <f>'PROSPETTO CE_IV TRIM 2024'!BM2144-'PROSPETTO CE_IV TRIM 2024'!BM487</f>
        <v>-1181073.6600000001</v>
      </c>
      <c r="F432" s="439">
        <f t="shared" si="468"/>
        <v>-1181073.6600000001</v>
      </c>
      <c r="G432" s="439">
        <v>-60868.430000000051</v>
      </c>
      <c r="H432" s="439">
        <v>-1182030.6600000001</v>
      </c>
      <c r="I432" s="435">
        <f t="shared" si="425"/>
        <v>957</v>
      </c>
      <c r="J432" s="435">
        <f t="shared" si="426"/>
        <v>957</v>
      </c>
      <c r="K432" s="439">
        <v>-1182030.6600000001</v>
      </c>
      <c r="L432" s="439">
        <v>-1141657.3700000001</v>
      </c>
      <c r="M432" s="439">
        <f t="shared" si="427"/>
        <v>-1181073.6600000001</v>
      </c>
      <c r="N432" s="439">
        <v>-1263782.79</v>
      </c>
      <c r="O432" s="439">
        <v>-837881.53000000014</v>
      </c>
      <c r="P432" s="440">
        <v>0</v>
      </c>
      <c r="Q432" s="439">
        <v>-60868.430000000051</v>
      </c>
      <c r="R432" s="439">
        <f t="shared" si="420"/>
        <v>1263782.79</v>
      </c>
      <c r="S432" s="439">
        <f t="shared" si="421"/>
        <v>1202914.3599999999</v>
      </c>
      <c r="T432" s="441">
        <f>(F432-P432)/F432*100</f>
        <v>100</v>
      </c>
      <c r="U432" s="439">
        <v>140994.58999999997</v>
      </c>
      <c r="V432" s="439">
        <f t="shared" si="469"/>
        <v>0</v>
      </c>
      <c r="W432" s="439">
        <v>0</v>
      </c>
      <c r="X432" s="439">
        <v>-60868.430000000051</v>
      </c>
      <c r="Y432" s="435">
        <f t="shared" si="423"/>
        <v>-1288443.9927272729</v>
      </c>
      <c r="Z432" s="439">
        <v>0</v>
      </c>
      <c r="AA432" s="439">
        <v>0</v>
      </c>
      <c r="AB432" s="439">
        <v>35542</v>
      </c>
      <c r="AC432" s="439">
        <v>110434.19000000006</v>
      </c>
      <c r="AD432" s="439">
        <v>-60868.430000000051</v>
      </c>
      <c r="AE432" s="435">
        <f t="shared" si="470"/>
        <v>-1120205.23</v>
      </c>
      <c r="AF432" s="439">
        <f t="shared" si="464"/>
        <v>220868.38000000012</v>
      </c>
      <c r="AG432" s="439"/>
      <c r="AH432" s="419">
        <f t="shared" si="415"/>
        <v>1181073.6600000001</v>
      </c>
      <c r="AI432" s="439"/>
      <c r="AJ432" s="439"/>
      <c r="AK432" s="439">
        <f t="shared" si="465"/>
        <v>0</v>
      </c>
      <c r="AL432" s="439">
        <f t="shared" si="466"/>
        <v>-220868.38000000012</v>
      </c>
      <c r="AM432" s="439">
        <f t="shared" si="467"/>
        <v>60868.430000000051</v>
      </c>
      <c r="AN432" s="438"/>
      <c r="AO432" s="438"/>
      <c r="AP432" s="438"/>
    </row>
    <row r="433" spans="1:42" ht="12.75">
      <c r="A433" s="412"/>
      <c r="B433" s="431"/>
      <c r="C433" s="432" t="s">
        <v>5970</v>
      </c>
      <c r="D433" s="433" t="s">
        <v>5973</v>
      </c>
      <c r="E433" s="434"/>
      <c r="F433" s="435">
        <f t="shared" ref="F433:AM433" si="471">SUM(F434:F439)</f>
        <v>-47316.720000000008</v>
      </c>
      <c r="G433" s="435">
        <v>11499.96</v>
      </c>
      <c r="H433" s="435">
        <v>-47316.720000000008</v>
      </c>
      <c r="I433" s="435">
        <f t="shared" si="425"/>
        <v>0</v>
      </c>
      <c r="J433" s="435">
        <f t="shared" si="426"/>
        <v>0</v>
      </c>
      <c r="K433" s="435">
        <v>-47316.720000000008</v>
      </c>
      <c r="L433" s="435">
        <v>-230914.7</v>
      </c>
      <c r="M433" s="435">
        <f t="shared" si="427"/>
        <v>-47316.720000000008</v>
      </c>
      <c r="N433" s="435">
        <v>-230794.21</v>
      </c>
      <c r="O433" s="435">
        <v>-78317.036666666652</v>
      </c>
      <c r="P433" s="436">
        <v>0</v>
      </c>
      <c r="Q433" s="435">
        <f t="shared" ref="Q433" si="472">SUM(Q434:Q439)</f>
        <v>11499.96</v>
      </c>
      <c r="R433" s="435">
        <f t="shared" si="420"/>
        <v>230794.21</v>
      </c>
      <c r="S433" s="435">
        <f t="shared" si="421"/>
        <v>242294.16999999998</v>
      </c>
      <c r="T433" s="437">
        <f>(F433-P433)/F433*100</f>
        <v>100</v>
      </c>
      <c r="U433" s="435">
        <v>2627.8199999999988</v>
      </c>
      <c r="V433" s="435">
        <f>SUM(V434:V439)</f>
        <v>0</v>
      </c>
      <c r="W433" s="435">
        <f>SUM(W434:W439)</f>
        <v>0</v>
      </c>
      <c r="X433" s="435">
        <f t="shared" ref="X433" si="473">SUM(X434:X439)</f>
        <v>11499.96</v>
      </c>
      <c r="Y433" s="435">
        <f t="shared" si="423"/>
        <v>-51618.240000000005</v>
      </c>
      <c r="Z433" s="435">
        <v>0</v>
      </c>
      <c r="AA433" s="435">
        <v>0</v>
      </c>
      <c r="AB433" s="435">
        <f t="shared" si="471"/>
        <v>14728</v>
      </c>
      <c r="AC433" s="435">
        <f t="shared" si="471"/>
        <v>21694.019999999997</v>
      </c>
      <c r="AD433" s="435">
        <f t="shared" si="471"/>
        <v>11499.96</v>
      </c>
      <c r="AE433" s="435">
        <f t="shared" si="470"/>
        <v>-58816.680000000008</v>
      </c>
      <c r="AF433" s="435">
        <f t="shared" si="471"/>
        <v>43388.039999999994</v>
      </c>
      <c r="AG433" s="435">
        <f t="shared" si="471"/>
        <v>0</v>
      </c>
      <c r="AH433" s="419">
        <f t="shared" si="415"/>
        <v>47316.720000000008</v>
      </c>
      <c r="AI433" s="435">
        <f t="shared" si="471"/>
        <v>0</v>
      </c>
      <c r="AJ433" s="435">
        <f t="shared" si="471"/>
        <v>0</v>
      </c>
      <c r="AK433" s="435">
        <f t="shared" si="471"/>
        <v>0</v>
      </c>
      <c r="AL433" s="435">
        <f t="shared" si="471"/>
        <v>-43388.039999999994</v>
      </c>
      <c r="AM433" s="435">
        <f t="shared" si="471"/>
        <v>-11499.96</v>
      </c>
      <c r="AN433" s="438"/>
      <c r="AO433" s="438"/>
      <c r="AP433" s="438"/>
    </row>
    <row r="434" spans="1:42" ht="12.75">
      <c r="A434" s="412"/>
      <c r="B434" s="431"/>
      <c r="C434" s="432" t="s">
        <v>5974</v>
      </c>
      <c r="D434" s="433" t="s">
        <v>5977</v>
      </c>
      <c r="E434" s="434">
        <f>'PROSPETTO CE_IV TRIM 2024'!BM2147-'PROSPETTO CE_IV TRIM 2024'!BM490</f>
        <v>-1079.06</v>
      </c>
      <c r="F434" s="439">
        <f t="shared" ref="F434:F439" si="474">+E434</f>
        <v>-1079.06</v>
      </c>
      <c r="G434" s="439">
        <v>0</v>
      </c>
      <c r="H434" s="439">
        <v>-1079.06</v>
      </c>
      <c r="I434" s="435">
        <f t="shared" si="425"/>
        <v>0</v>
      </c>
      <c r="J434" s="435">
        <f t="shared" si="426"/>
        <v>0</v>
      </c>
      <c r="K434" s="439">
        <v>-1079.06</v>
      </c>
      <c r="L434" s="439">
        <v>-114.51</v>
      </c>
      <c r="M434" s="439">
        <f t="shared" si="427"/>
        <v>-1079.06</v>
      </c>
      <c r="N434" s="439">
        <v>0</v>
      </c>
      <c r="O434" s="439">
        <v>0</v>
      </c>
      <c r="P434" s="440">
        <v>0</v>
      </c>
      <c r="Q434" s="439">
        <v>0</v>
      </c>
      <c r="R434" s="439">
        <f t="shared" si="420"/>
        <v>0</v>
      </c>
      <c r="S434" s="439">
        <f t="shared" si="421"/>
        <v>0</v>
      </c>
      <c r="T434" s="441"/>
      <c r="U434" s="439">
        <v>0</v>
      </c>
      <c r="V434" s="439">
        <f t="shared" ref="V434:V439" si="475">+AA434</f>
        <v>0</v>
      </c>
      <c r="W434" s="439">
        <v>0</v>
      </c>
      <c r="X434" s="439">
        <v>0</v>
      </c>
      <c r="Y434" s="435">
        <f t="shared" si="423"/>
        <v>-1177.1563636363635</v>
      </c>
      <c r="Z434" s="439">
        <v>0</v>
      </c>
      <c r="AA434" s="439">
        <v>0</v>
      </c>
      <c r="AB434" s="439">
        <v>0</v>
      </c>
      <c r="AC434" s="439">
        <v>0</v>
      </c>
      <c r="AD434" s="439">
        <v>0</v>
      </c>
      <c r="AE434" s="435">
        <f t="shared" si="470"/>
        <v>-1079.06</v>
      </c>
      <c r="AF434" s="439">
        <f t="shared" ref="AF434:AF439" si="476">AC434*2</f>
        <v>0</v>
      </c>
      <c r="AG434" s="439"/>
      <c r="AH434" s="419">
        <f t="shared" si="415"/>
        <v>1079.06</v>
      </c>
      <c r="AI434" s="439"/>
      <c r="AJ434" s="439"/>
      <c r="AK434" s="439">
        <f t="shared" ref="AK434:AK439" si="477">AA434-W434</f>
        <v>0</v>
      </c>
      <c r="AL434" s="439">
        <f t="shared" ref="AL434:AL439" si="478">AA434-AF434</f>
        <v>0</v>
      </c>
      <c r="AM434" s="439">
        <f t="shared" ref="AM434:AM439" si="479">AA434-AD434</f>
        <v>0</v>
      </c>
      <c r="AN434" s="438"/>
      <c r="AO434" s="438"/>
      <c r="AP434" s="438"/>
    </row>
    <row r="435" spans="1:42" ht="25.5">
      <c r="A435" s="412"/>
      <c r="B435" s="431"/>
      <c r="C435" s="432" t="s">
        <v>5978</v>
      </c>
      <c r="D435" s="433" t="s">
        <v>5981</v>
      </c>
      <c r="E435" s="434">
        <f>'PROSPETTO CE_IV TRIM 2024'!BM2148-'PROSPETTO CE_IV TRIM 2024'!BM491</f>
        <v>1668.2300000000002</v>
      </c>
      <c r="F435" s="439">
        <f t="shared" si="474"/>
        <v>1668.2300000000002</v>
      </c>
      <c r="G435" s="439">
        <v>0</v>
      </c>
      <c r="H435" s="439">
        <v>1668.23</v>
      </c>
      <c r="I435" s="435">
        <f t="shared" si="425"/>
        <v>0</v>
      </c>
      <c r="J435" s="435">
        <f t="shared" si="426"/>
        <v>0</v>
      </c>
      <c r="K435" s="439">
        <v>1668.23</v>
      </c>
      <c r="L435" s="439">
        <v>-135558.93</v>
      </c>
      <c r="M435" s="439">
        <f t="shared" si="427"/>
        <v>1668.2300000000002</v>
      </c>
      <c r="N435" s="439">
        <v>-135552.94999999998</v>
      </c>
      <c r="O435" s="439">
        <v>-732.42666666666673</v>
      </c>
      <c r="P435" s="440">
        <v>0</v>
      </c>
      <c r="Q435" s="439">
        <v>0</v>
      </c>
      <c r="R435" s="439">
        <f t="shared" si="420"/>
        <v>135552.94999999998</v>
      </c>
      <c r="S435" s="439">
        <f t="shared" si="421"/>
        <v>135552.94999999998</v>
      </c>
      <c r="T435" s="441">
        <f>(F435-P435)/F435*100</f>
        <v>100</v>
      </c>
      <c r="U435" s="439">
        <v>0</v>
      </c>
      <c r="V435" s="439">
        <f t="shared" si="475"/>
        <v>0</v>
      </c>
      <c r="W435" s="439">
        <v>0</v>
      </c>
      <c r="X435" s="439">
        <v>0</v>
      </c>
      <c r="Y435" s="435">
        <f t="shared" si="423"/>
        <v>1819.8872727272731</v>
      </c>
      <c r="Z435" s="439">
        <v>0</v>
      </c>
      <c r="AA435" s="439">
        <v>0</v>
      </c>
      <c r="AB435" s="439">
        <v>220</v>
      </c>
      <c r="AC435" s="439">
        <v>249.56000000000017</v>
      </c>
      <c r="AD435" s="439">
        <v>0</v>
      </c>
      <c r="AE435" s="435">
        <f t="shared" si="470"/>
        <v>1668.2300000000002</v>
      </c>
      <c r="AF435" s="439">
        <f t="shared" si="476"/>
        <v>499.12000000000035</v>
      </c>
      <c r="AG435" s="439"/>
      <c r="AH435" s="419">
        <f t="shared" si="415"/>
        <v>-1668.2300000000002</v>
      </c>
      <c r="AI435" s="439"/>
      <c r="AJ435" s="439"/>
      <c r="AK435" s="439">
        <f t="shared" si="477"/>
        <v>0</v>
      </c>
      <c r="AL435" s="439">
        <f t="shared" si="478"/>
        <v>-499.12000000000035</v>
      </c>
      <c r="AM435" s="439">
        <f t="shared" si="479"/>
        <v>0</v>
      </c>
      <c r="AN435" s="438"/>
      <c r="AO435" s="438"/>
      <c r="AP435" s="438"/>
    </row>
    <row r="436" spans="1:42" ht="12.75">
      <c r="A436" s="412"/>
      <c r="B436" s="431"/>
      <c r="C436" s="432" t="s">
        <v>5982</v>
      </c>
      <c r="D436" s="433" t="s">
        <v>5986</v>
      </c>
      <c r="E436" s="434">
        <f>'PROSPETTO CE_IV TRIM 2024'!BM2150+'PROSPETTO CE_IV TRIM 2024'!BM2151</f>
        <v>0</v>
      </c>
      <c r="F436" s="439">
        <f t="shared" si="474"/>
        <v>0</v>
      </c>
      <c r="G436" s="439">
        <v>0</v>
      </c>
      <c r="H436" s="439">
        <v>0</v>
      </c>
      <c r="I436" s="435">
        <f t="shared" si="425"/>
        <v>0</v>
      </c>
      <c r="J436" s="435">
        <f t="shared" si="426"/>
        <v>0</v>
      </c>
      <c r="K436" s="439">
        <v>0</v>
      </c>
      <c r="L436" s="439">
        <v>0</v>
      </c>
      <c r="M436" s="439">
        <f t="shared" si="427"/>
        <v>0</v>
      </c>
      <c r="N436" s="439">
        <v>0</v>
      </c>
      <c r="O436" s="439">
        <v>0</v>
      </c>
      <c r="P436" s="440">
        <v>0</v>
      </c>
      <c r="Q436" s="439">
        <v>0</v>
      </c>
      <c r="R436" s="439">
        <f t="shared" si="420"/>
        <v>0</v>
      </c>
      <c r="S436" s="439">
        <f t="shared" si="421"/>
        <v>0</v>
      </c>
      <c r="T436" s="441"/>
      <c r="U436" s="439">
        <v>0</v>
      </c>
      <c r="V436" s="439">
        <f t="shared" si="475"/>
        <v>0</v>
      </c>
      <c r="W436" s="439">
        <v>0</v>
      </c>
      <c r="X436" s="439">
        <v>0</v>
      </c>
      <c r="Y436" s="435">
        <f t="shared" si="423"/>
        <v>0</v>
      </c>
      <c r="Z436" s="439">
        <v>0</v>
      </c>
      <c r="AA436" s="439">
        <v>0</v>
      </c>
      <c r="AB436" s="439">
        <v>0</v>
      </c>
      <c r="AC436" s="439">
        <v>0</v>
      </c>
      <c r="AD436" s="439">
        <v>0</v>
      </c>
      <c r="AE436" s="435">
        <f t="shared" si="470"/>
        <v>0</v>
      </c>
      <c r="AF436" s="439">
        <f t="shared" si="476"/>
        <v>0</v>
      </c>
      <c r="AG436" s="439"/>
      <c r="AH436" s="419">
        <f t="shared" si="415"/>
        <v>0</v>
      </c>
      <c r="AI436" s="439"/>
      <c r="AJ436" s="439"/>
      <c r="AK436" s="439">
        <f t="shared" si="477"/>
        <v>0</v>
      </c>
      <c r="AL436" s="439">
        <f t="shared" si="478"/>
        <v>0</v>
      </c>
      <c r="AM436" s="439">
        <f t="shared" si="479"/>
        <v>0</v>
      </c>
      <c r="AN436" s="438"/>
      <c r="AO436" s="438"/>
      <c r="AP436" s="438"/>
    </row>
    <row r="437" spans="1:42" ht="12.75">
      <c r="A437" s="412"/>
      <c r="B437" s="431"/>
      <c r="C437" s="432" t="s">
        <v>5989</v>
      </c>
      <c r="D437" s="433" t="s">
        <v>5992</v>
      </c>
      <c r="E437" s="434">
        <f>'PROSPETTO CE_IV TRIM 2024'!BM2152-'PROSPETTO CE_IV TRIM 2024'!BM494</f>
        <v>-47994.380000000005</v>
      </c>
      <c r="F437" s="439">
        <f t="shared" si="474"/>
        <v>-47994.380000000005</v>
      </c>
      <c r="G437" s="439">
        <v>5832.1699999999983</v>
      </c>
      <c r="H437" s="439">
        <v>-47994.380000000005</v>
      </c>
      <c r="I437" s="435">
        <f t="shared" si="425"/>
        <v>0</v>
      </c>
      <c r="J437" s="435">
        <f t="shared" si="426"/>
        <v>0</v>
      </c>
      <c r="K437" s="439">
        <v>-47994.380000000005</v>
      </c>
      <c r="L437" s="439">
        <v>-36578.57</v>
      </c>
      <c r="M437" s="439">
        <f t="shared" si="427"/>
        <v>-47994.380000000005</v>
      </c>
      <c r="N437" s="439">
        <v>-36578.57</v>
      </c>
      <c r="O437" s="439">
        <v>-21458</v>
      </c>
      <c r="P437" s="440">
        <v>0</v>
      </c>
      <c r="Q437" s="439">
        <v>5832.1699999999983</v>
      </c>
      <c r="R437" s="439">
        <f t="shared" si="420"/>
        <v>36578.57</v>
      </c>
      <c r="S437" s="439">
        <f t="shared" si="421"/>
        <v>42410.74</v>
      </c>
      <c r="T437" s="441">
        <f>(F437-P437)/F437*100</f>
        <v>100</v>
      </c>
      <c r="U437" s="439">
        <v>1330.4599999999991</v>
      </c>
      <c r="V437" s="439">
        <f t="shared" si="475"/>
        <v>0</v>
      </c>
      <c r="W437" s="439">
        <v>0</v>
      </c>
      <c r="X437" s="439">
        <v>5832.1699999999983</v>
      </c>
      <c r="Y437" s="435">
        <f t="shared" si="423"/>
        <v>-52357.505454545462</v>
      </c>
      <c r="Z437" s="439">
        <v>0</v>
      </c>
      <c r="AA437" s="439">
        <v>0</v>
      </c>
      <c r="AB437" s="439">
        <v>8029</v>
      </c>
      <c r="AC437" s="439">
        <v>17677.629999999997</v>
      </c>
      <c r="AD437" s="439">
        <v>5832.1699999999983</v>
      </c>
      <c r="AE437" s="435">
        <f t="shared" si="470"/>
        <v>-53826.55</v>
      </c>
      <c r="AF437" s="439">
        <f t="shared" si="476"/>
        <v>35355.259999999995</v>
      </c>
      <c r="AG437" s="439"/>
      <c r="AH437" s="419">
        <f t="shared" si="415"/>
        <v>47994.380000000005</v>
      </c>
      <c r="AI437" s="439"/>
      <c r="AJ437" s="439"/>
      <c r="AK437" s="439">
        <f t="shared" si="477"/>
        <v>0</v>
      </c>
      <c r="AL437" s="439">
        <f t="shared" si="478"/>
        <v>-35355.259999999995</v>
      </c>
      <c r="AM437" s="439">
        <f t="shared" si="479"/>
        <v>-5832.1699999999983</v>
      </c>
      <c r="AN437" s="438"/>
      <c r="AO437" s="438"/>
      <c r="AP437" s="438"/>
    </row>
    <row r="438" spans="1:42" ht="12.75">
      <c r="A438" s="412"/>
      <c r="B438" s="431"/>
      <c r="C438" s="432" t="s">
        <v>5993</v>
      </c>
      <c r="D438" s="433" t="s">
        <v>5996</v>
      </c>
      <c r="E438" s="434">
        <f>'PROSPETTO CE_IV TRIM 2024'!BM2153-'PROSPETTO CE_IV TRIM 2024'!BM495</f>
        <v>88.489999999999782</v>
      </c>
      <c r="F438" s="439">
        <f t="shared" si="474"/>
        <v>88.489999999999782</v>
      </c>
      <c r="G438" s="439">
        <v>5667.79</v>
      </c>
      <c r="H438" s="439">
        <v>88.489999999999782</v>
      </c>
      <c r="I438" s="435">
        <f t="shared" si="425"/>
        <v>0</v>
      </c>
      <c r="J438" s="435">
        <f t="shared" si="426"/>
        <v>0</v>
      </c>
      <c r="K438" s="439">
        <v>88.489999999999782</v>
      </c>
      <c r="L438" s="439">
        <v>-58662.689999999995</v>
      </c>
      <c r="M438" s="439">
        <f t="shared" si="427"/>
        <v>88.489999999999782</v>
      </c>
      <c r="N438" s="439">
        <v>-58662.689999999995</v>
      </c>
      <c r="O438" s="439">
        <v>-56126.609999999993</v>
      </c>
      <c r="P438" s="440">
        <v>0</v>
      </c>
      <c r="Q438" s="439">
        <v>5667.79</v>
      </c>
      <c r="R438" s="439">
        <f t="shared" si="420"/>
        <v>58662.689999999995</v>
      </c>
      <c r="S438" s="439">
        <f t="shared" si="421"/>
        <v>64330.479999999996</v>
      </c>
      <c r="T438" s="441">
        <f>(F438-P438)/F438*100</f>
        <v>100</v>
      </c>
      <c r="U438" s="439">
        <v>1297.3599999999997</v>
      </c>
      <c r="V438" s="439">
        <f t="shared" si="475"/>
        <v>0</v>
      </c>
      <c r="W438" s="439">
        <v>0</v>
      </c>
      <c r="X438" s="439">
        <v>5667.79</v>
      </c>
      <c r="Y438" s="435">
        <f t="shared" si="423"/>
        <v>96.534545454545224</v>
      </c>
      <c r="Z438" s="439">
        <v>0</v>
      </c>
      <c r="AA438" s="439">
        <v>0</v>
      </c>
      <c r="AB438" s="439">
        <v>6479</v>
      </c>
      <c r="AC438" s="439">
        <v>3766.83</v>
      </c>
      <c r="AD438" s="439">
        <v>5667.79</v>
      </c>
      <c r="AE438" s="435">
        <f t="shared" si="470"/>
        <v>-5579.3</v>
      </c>
      <c r="AF438" s="439">
        <f t="shared" si="476"/>
        <v>7533.66</v>
      </c>
      <c r="AG438" s="439"/>
      <c r="AH438" s="419">
        <f t="shared" si="415"/>
        <v>-88.489999999999782</v>
      </c>
      <c r="AI438" s="439"/>
      <c r="AJ438" s="439"/>
      <c r="AK438" s="439">
        <f t="shared" si="477"/>
        <v>0</v>
      </c>
      <c r="AL438" s="439">
        <f t="shared" si="478"/>
        <v>-7533.66</v>
      </c>
      <c r="AM438" s="439">
        <f t="shared" si="479"/>
        <v>-5667.79</v>
      </c>
      <c r="AN438" s="438"/>
      <c r="AO438" s="438"/>
      <c r="AP438" s="438"/>
    </row>
    <row r="439" spans="1:42" ht="12.75">
      <c r="A439" s="412"/>
      <c r="B439" s="431"/>
      <c r="C439" s="432" t="s">
        <v>5997</v>
      </c>
      <c r="D439" s="433" t="s">
        <v>6000</v>
      </c>
      <c r="E439" s="434">
        <f>'PROSPETTO CE_IV TRIM 2024'!BM2159+'PROSPETTO CE_IV TRIM 2024'!BM2158-'PROSPETTO CE_IV TRIM 2024'!BM497-'PROSPETTO CE_IV TRIM 2024'!BM496</f>
        <v>0</v>
      </c>
      <c r="F439" s="439">
        <f t="shared" si="474"/>
        <v>0</v>
      </c>
      <c r="G439" s="439">
        <v>0</v>
      </c>
      <c r="H439" s="439">
        <v>0</v>
      </c>
      <c r="I439" s="435">
        <f t="shared" si="425"/>
        <v>0</v>
      </c>
      <c r="J439" s="435">
        <f t="shared" si="426"/>
        <v>0</v>
      </c>
      <c r="K439" s="439">
        <v>0</v>
      </c>
      <c r="L439" s="439">
        <v>0</v>
      </c>
      <c r="M439" s="439">
        <f t="shared" si="427"/>
        <v>0</v>
      </c>
      <c r="N439" s="439">
        <v>0</v>
      </c>
      <c r="O439" s="439">
        <v>0</v>
      </c>
      <c r="P439" s="440">
        <v>0</v>
      </c>
      <c r="Q439" s="439">
        <v>0</v>
      </c>
      <c r="R439" s="439">
        <f t="shared" si="420"/>
        <v>0</v>
      </c>
      <c r="S439" s="439">
        <f t="shared" si="421"/>
        <v>0</v>
      </c>
      <c r="T439" s="441"/>
      <c r="U439" s="439">
        <v>0</v>
      </c>
      <c r="V439" s="439">
        <f t="shared" si="475"/>
        <v>0</v>
      </c>
      <c r="W439" s="439">
        <v>0</v>
      </c>
      <c r="X439" s="439">
        <v>0</v>
      </c>
      <c r="Y439" s="435">
        <f t="shared" si="423"/>
        <v>0</v>
      </c>
      <c r="Z439" s="439">
        <v>0</v>
      </c>
      <c r="AA439" s="439">
        <v>0</v>
      </c>
      <c r="AB439" s="439">
        <v>0</v>
      </c>
      <c r="AC439" s="439">
        <v>0</v>
      </c>
      <c r="AD439" s="439">
        <v>0</v>
      </c>
      <c r="AE439" s="435">
        <f t="shared" si="470"/>
        <v>0</v>
      </c>
      <c r="AF439" s="439">
        <f t="shared" si="476"/>
        <v>0</v>
      </c>
      <c r="AG439" s="439"/>
      <c r="AH439" s="419">
        <f t="shared" si="415"/>
        <v>0</v>
      </c>
      <c r="AI439" s="439"/>
      <c r="AJ439" s="439"/>
      <c r="AK439" s="439">
        <f t="shared" si="477"/>
        <v>0</v>
      </c>
      <c r="AL439" s="439">
        <f t="shared" si="478"/>
        <v>0</v>
      </c>
      <c r="AM439" s="439">
        <f t="shared" si="479"/>
        <v>0</v>
      </c>
      <c r="AN439" s="438"/>
      <c r="AO439" s="438"/>
      <c r="AP439" s="438"/>
    </row>
    <row r="440" spans="1:42" ht="12.75">
      <c r="A440" s="412"/>
      <c r="B440" s="431"/>
      <c r="C440" s="432" t="s">
        <v>10130</v>
      </c>
      <c r="D440" s="433" t="s">
        <v>10133</v>
      </c>
      <c r="E440" s="434"/>
      <c r="F440" s="435">
        <f>+F441+F449+F450+F457</f>
        <v>15634401.369999999</v>
      </c>
      <c r="G440" s="435">
        <v>12907902.15</v>
      </c>
      <c r="H440" s="435">
        <v>12251319.68</v>
      </c>
      <c r="I440" s="435">
        <f t="shared" si="425"/>
        <v>3383081.6899999995</v>
      </c>
      <c r="J440" s="435">
        <f t="shared" si="426"/>
        <v>4423081.6899999995</v>
      </c>
      <c r="K440" s="435">
        <v>11211319.68</v>
      </c>
      <c r="L440" s="435">
        <v>12373194.68</v>
      </c>
      <c r="M440" s="435">
        <f t="shared" si="427"/>
        <v>11674734.703333333</v>
      </c>
      <c r="N440" s="435">
        <v>8478291.2725000009</v>
      </c>
      <c r="O440" s="435">
        <v>8478291.2725000009</v>
      </c>
      <c r="P440" s="436">
        <v>3959666.6666666665</v>
      </c>
      <c r="Q440" s="435">
        <f t="shared" ref="Q440" si="480">+Q441+Q449+Q450+Q457</f>
        <v>12907902.15</v>
      </c>
      <c r="R440" s="435">
        <f t="shared" si="420"/>
        <v>-4518624.6058333348</v>
      </c>
      <c r="S440" s="435">
        <f t="shared" si="421"/>
        <v>4429610.8774999995</v>
      </c>
      <c r="T440" s="437">
        <f>(F440-P440)/F440*100</f>
        <v>74.673372053344778</v>
      </c>
      <c r="U440" s="435">
        <v>3460078.9249999998</v>
      </c>
      <c r="V440" s="435">
        <f>+V441+V449+V450+V457</f>
        <v>3959666.6666666665</v>
      </c>
      <c r="W440" s="435">
        <f>+W441+W449+W450+W457</f>
        <v>4799132</v>
      </c>
      <c r="X440" s="435">
        <f t="shared" ref="X440" si="481">+X441+X449+X450+X457</f>
        <v>12907902.15</v>
      </c>
      <c r="Y440" s="435">
        <f t="shared" si="423"/>
        <v>17055710.585454546</v>
      </c>
      <c r="Z440" s="435">
        <v>3959666.6666666665</v>
      </c>
      <c r="AA440" s="435">
        <v>3959666.6666666665</v>
      </c>
      <c r="AB440" s="435">
        <f t="shared" ref="AB440:AM440" si="482">+AB441+AB449+AB450+AB457</f>
        <v>1169916.75</v>
      </c>
      <c r="AC440" s="435">
        <f t="shared" si="482"/>
        <v>2306719.2833333332</v>
      </c>
      <c r="AD440" s="435">
        <f t="shared" si="482"/>
        <v>12907902.15</v>
      </c>
      <c r="AE440" s="435">
        <f t="shared" si="470"/>
        <v>2726499.2199999988</v>
      </c>
      <c r="AF440" s="435">
        <f t="shared" si="482"/>
        <v>4613438.5666666664</v>
      </c>
      <c r="AG440" s="435">
        <f t="shared" si="482"/>
        <v>0</v>
      </c>
      <c r="AH440" s="419">
        <f t="shared" si="415"/>
        <v>-15634401.369999999</v>
      </c>
      <c r="AI440" s="435">
        <f t="shared" si="482"/>
        <v>0</v>
      </c>
      <c r="AJ440" s="435">
        <f t="shared" si="482"/>
        <v>0</v>
      </c>
      <c r="AK440" s="435">
        <f t="shared" si="482"/>
        <v>-839465.33333333349</v>
      </c>
      <c r="AL440" s="435">
        <f t="shared" si="482"/>
        <v>-653771.9</v>
      </c>
      <c r="AM440" s="435">
        <f t="shared" si="482"/>
        <v>-8948235.4833333343</v>
      </c>
      <c r="AN440" s="438"/>
      <c r="AO440" s="438"/>
      <c r="AP440" s="438"/>
    </row>
    <row r="441" spans="1:42" ht="12.75">
      <c r="A441" s="412"/>
      <c r="B441" s="431"/>
      <c r="C441" s="432" t="s">
        <v>10134</v>
      </c>
      <c r="D441" s="433" t="s">
        <v>10137</v>
      </c>
      <c r="E441" s="434"/>
      <c r="F441" s="435">
        <f>SUM(F442:F448)</f>
        <v>8480793</v>
      </c>
      <c r="G441" s="435">
        <v>7471479.6699999999</v>
      </c>
      <c r="H441" s="435">
        <v>7938625</v>
      </c>
      <c r="I441" s="435">
        <f t="shared" si="425"/>
        <v>542168</v>
      </c>
      <c r="J441" s="435">
        <f t="shared" si="426"/>
        <v>1242168</v>
      </c>
      <c r="K441" s="435">
        <v>7238625</v>
      </c>
      <c r="L441" s="435">
        <v>8650500</v>
      </c>
      <c r="M441" s="435">
        <f t="shared" si="427"/>
        <v>4521126.333333334</v>
      </c>
      <c r="N441" s="435">
        <v>7238625</v>
      </c>
      <c r="O441" s="435">
        <v>7238625</v>
      </c>
      <c r="P441" s="436">
        <v>3959666.6666666665</v>
      </c>
      <c r="Q441" s="435">
        <f t="shared" ref="Q441" si="483">SUM(Q442:Q448)</f>
        <v>7471479.6699999999</v>
      </c>
      <c r="R441" s="435">
        <f t="shared" si="420"/>
        <v>-3278958.3333333335</v>
      </c>
      <c r="S441" s="435">
        <f t="shared" si="421"/>
        <v>232854.66999999993</v>
      </c>
      <c r="T441" s="437">
        <f>(F441-P441)/F441*100</f>
        <v>53.310183768585482</v>
      </c>
      <c r="U441" s="435">
        <v>3419750</v>
      </c>
      <c r="V441" s="435">
        <f>SUM(V442:V448)</f>
        <v>3959666.6666666665</v>
      </c>
      <c r="W441" s="435">
        <f>SUM(W442:W448)</f>
        <v>4559667</v>
      </c>
      <c r="X441" s="435">
        <f t="shared" ref="X441" si="484">SUM(X442:X448)</f>
        <v>7471479.6699999999</v>
      </c>
      <c r="Y441" s="435">
        <f t="shared" si="423"/>
        <v>9251774.1818181816</v>
      </c>
      <c r="Z441" s="435">
        <v>3959666.6666666665</v>
      </c>
      <c r="AA441" s="435">
        <v>3959666.6666666665</v>
      </c>
      <c r="AB441" s="435">
        <f t="shared" ref="AB441:AM441" si="485">SUM(AB442:AB448)</f>
        <v>1139916.75</v>
      </c>
      <c r="AC441" s="435">
        <f t="shared" si="485"/>
        <v>2279833.333333333</v>
      </c>
      <c r="AD441" s="435">
        <f t="shared" si="485"/>
        <v>7471479.6699999999</v>
      </c>
      <c r="AE441" s="435">
        <f t="shared" si="470"/>
        <v>1009313.3300000001</v>
      </c>
      <c r="AF441" s="435">
        <f t="shared" si="485"/>
        <v>4559666.666666666</v>
      </c>
      <c r="AG441" s="435">
        <f t="shared" si="485"/>
        <v>0</v>
      </c>
      <c r="AH441" s="419">
        <f t="shared" si="415"/>
        <v>-8480793</v>
      </c>
      <c r="AI441" s="435">
        <f t="shared" si="485"/>
        <v>0</v>
      </c>
      <c r="AJ441" s="435">
        <f t="shared" si="485"/>
        <v>0</v>
      </c>
      <c r="AK441" s="435">
        <f t="shared" si="485"/>
        <v>-600000.33333333349</v>
      </c>
      <c r="AL441" s="435">
        <f t="shared" si="485"/>
        <v>-600000</v>
      </c>
      <c r="AM441" s="435">
        <f t="shared" si="485"/>
        <v>-3511813.0033333334</v>
      </c>
      <c r="AN441" s="438"/>
      <c r="AO441" s="438"/>
      <c r="AP441" s="438"/>
    </row>
    <row r="442" spans="1:42" ht="12.75">
      <c r="A442" s="412"/>
      <c r="B442" s="431"/>
      <c r="C442" s="432" t="s">
        <v>471</v>
      </c>
      <c r="D442" s="433" t="s">
        <v>11291</v>
      </c>
      <c r="E442" s="434">
        <f>'PROSPETTO CE_IV TRIM 2024'!BM2163</f>
        <v>4600000</v>
      </c>
      <c r="F442" s="439">
        <f t="shared" ref="F442:F449" si="486">+E442</f>
        <v>4600000</v>
      </c>
      <c r="G442" s="439">
        <v>4552479.67</v>
      </c>
      <c r="H442" s="439">
        <v>4600000</v>
      </c>
      <c r="I442" s="435">
        <f t="shared" si="425"/>
        <v>0</v>
      </c>
      <c r="J442" s="435">
        <f t="shared" si="426"/>
        <v>0</v>
      </c>
      <c r="K442" s="439">
        <v>4600000</v>
      </c>
      <c r="L442" s="439">
        <v>7010000</v>
      </c>
      <c r="M442" s="439">
        <f t="shared" si="427"/>
        <v>1959333.3333333335</v>
      </c>
      <c r="N442" s="439">
        <v>4600000</v>
      </c>
      <c r="O442" s="439">
        <v>4600000</v>
      </c>
      <c r="P442" s="443">
        <v>2640666.6666666665</v>
      </c>
      <c r="Q442" s="439">
        <v>4552479.67</v>
      </c>
      <c r="R442" s="439">
        <f t="shared" si="420"/>
        <v>-1959333.3333333335</v>
      </c>
      <c r="S442" s="439">
        <f t="shared" si="421"/>
        <v>-47520.330000000075</v>
      </c>
      <c r="T442" s="441">
        <f>(F442-P442)/F442*100</f>
        <v>42.594202898550726</v>
      </c>
      <c r="U442" s="439">
        <v>1980499.9999999998</v>
      </c>
      <c r="V442" s="439">
        <f t="shared" ref="V442:V449" si="487">+AA442</f>
        <v>2640666.6666666665</v>
      </c>
      <c r="W442" s="439">
        <v>2640667</v>
      </c>
      <c r="X442" s="439">
        <v>4552479.67</v>
      </c>
      <c r="Y442" s="435">
        <f t="shared" si="423"/>
        <v>5018181.8181818184</v>
      </c>
      <c r="Z442" s="439">
        <v>2640666.6666666665</v>
      </c>
      <c r="AA442" s="439">
        <v>2640666.6666666665</v>
      </c>
      <c r="AB442" s="439">
        <v>660166.75</v>
      </c>
      <c r="AC442" s="439">
        <v>1320333.3333333333</v>
      </c>
      <c r="AD442" s="439">
        <v>4552479.67</v>
      </c>
      <c r="AE442" s="435">
        <f t="shared" si="470"/>
        <v>47520.330000000075</v>
      </c>
      <c r="AF442" s="439">
        <f t="shared" ref="AF442:AF449" si="488">AC442*2</f>
        <v>2640666.6666666665</v>
      </c>
      <c r="AG442" s="439"/>
      <c r="AH442" s="419">
        <f t="shared" si="415"/>
        <v>-4600000</v>
      </c>
      <c r="AI442" s="439"/>
      <c r="AJ442" s="439"/>
      <c r="AK442" s="439">
        <f t="shared" ref="AK442:AK449" si="489">AA442-W442</f>
        <v>-0.33333333348855376</v>
      </c>
      <c r="AL442" s="439">
        <f t="shared" ref="AL442:AL449" si="490">AA442-AF442</f>
        <v>0</v>
      </c>
      <c r="AM442" s="439">
        <f t="shared" ref="AM442:AM449" si="491">AA442-AD442</f>
        <v>-1911813.0033333334</v>
      </c>
      <c r="AN442" s="438"/>
      <c r="AO442" s="438"/>
      <c r="AP442" s="438"/>
    </row>
    <row r="443" spans="1:42" ht="25.5">
      <c r="A443" s="412"/>
      <c r="B443" s="431"/>
      <c r="C443" s="432" t="s">
        <v>472</v>
      </c>
      <c r="D443" s="433" t="s">
        <v>11292</v>
      </c>
      <c r="E443" s="434">
        <f>'PROSPETTO CE_IV TRIM 2024'!BM2164</f>
        <v>2350000</v>
      </c>
      <c r="F443" s="439">
        <f t="shared" si="486"/>
        <v>2350000</v>
      </c>
      <c r="G443" s="439">
        <v>2200000</v>
      </c>
      <c r="H443" s="439">
        <v>2350000</v>
      </c>
      <c r="I443" s="435">
        <f t="shared" si="425"/>
        <v>0</v>
      </c>
      <c r="J443" s="435">
        <f t="shared" si="426"/>
        <v>700000</v>
      </c>
      <c r="K443" s="439">
        <v>1650000</v>
      </c>
      <c r="L443" s="439">
        <v>655500</v>
      </c>
      <c r="M443" s="439">
        <f t="shared" si="427"/>
        <v>1750000</v>
      </c>
      <c r="N443" s="439">
        <v>1650000</v>
      </c>
      <c r="O443" s="439">
        <v>1650000</v>
      </c>
      <c r="P443" s="443">
        <v>600000</v>
      </c>
      <c r="Q443" s="439">
        <v>2200000</v>
      </c>
      <c r="R443" s="439">
        <f t="shared" si="420"/>
        <v>-1050000</v>
      </c>
      <c r="S443" s="439">
        <f t="shared" si="421"/>
        <v>550000</v>
      </c>
      <c r="T443" s="441">
        <f>(F443-P443)/F443*100</f>
        <v>74.468085106382972</v>
      </c>
      <c r="U443" s="439">
        <v>900000</v>
      </c>
      <c r="V443" s="439">
        <f t="shared" si="487"/>
        <v>600000</v>
      </c>
      <c r="W443" s="439">
        <v>1200000</v>
      </c>
      <c r="X443" s="439">
        <v>2200000</v>
      </c>
      <c r="Y443" s="435">
        <f t="shared" si="423"/>
        <v>2563636.3636363638</v>
      </c>
      <c r="Z443" s="439">
        <v>600000</v>
      </c>
      <c r="AA443" s="439">
        <v>600000</v>
      </c>
      <c r="AB443" s="439">
        <v>300000</v>
      </c>
      <c r="AC443" s="439">
        <v>600000</v>
      </c>
      <c r="AD443" s="439">
        <v>2200000</v>
      </c>
      <c r="AE443" s="435">
        <f t="shared" si="470"/>
        <v>150000</v>
      </c>
      <c r="AF443" s="439">
        <f t="shared" si="488"/>
        <v>1200000</v>
      </c>
      <c r="AG443" s="439"/>
      <c r="AH443" s="419">
        <f t="shared" si="415"/>
        <v>-2350000</v>
      </c>
      <c r="AI443" s="439"/>
      <c r="AJ443" s="439"/>
      <c r="AK443" s="439">
        <f t="shared" si="489"/>
        <v>-600000</v>
      </c>
      <c r="AL443" s="439">
        <f t="shared" si="490"/>
        <v>-600000</v>
      </c>
      <c r="AM443" s="439">
        <f t="shared" si="491"/>
        <v>-1600000</v>
      </c>
      <c r="AN443" s="438"/>
      <c r="AO443" s="438"/>
      <c r="AP443" s="438"/>
    </row>
    <row r="444" spans="1:42" ht="25.5">
      <c r="A444" s="412"/>
      <c r="B444" s="431"/>
      <c r="C444" s="432" t="s">
        <v>473</v>
      </c>
      <c r="D444" s="433" t="s">
        <v>11293</v>
      </c>
      <c r="E444" s="434">
        <f>'PROSPETTO CE_IV TRIM 2024'!BM2165</f>
        <v>0</v>
      </c>
      <c r="F444" s="439">
        <f t="shared" si="486"/>
        <v>0</v>
      </c>
      <c r="G444" s="439">
        <v>0</v>
      </c>
      <c r="H444" s="439">
        <v>0</v>
      </c>
      <c r="I444" s="435">
        <f t="shared" si="425"/>
        <v>0</v>
      </c>
      <c r="J444" s="435">
        <f t="shared" si="426"/>
        <v>0</v>
      </c>
      <c r="K444" s="439">
        <v>0</v>
      </c>
      <c r="L444" s="439">
        <v>0</v>
      </c>
      <c r="M444" s="439">
        <f t="shared" si="427"/>
        <v>0</v>
      </c>
      <c r="N444" s="439">
        <v>0</v>
      </c>
      <c r="O444" s="439">
        <v>0</v>
      </c>
      <c r="P444" s="440">
        <v>0</v>
      </c>
      <c r="Q444" s="439">
        <v>0</v>
      </c>
      <c r="R444" s="439">
        <f t="shared" si="420"/>
        <v>0</v>
      </c>
      <c r="S444" s="439">
        <f t="shared" si="421"/>
        <v>0</v>
      </c>
      <c r="T444" s="441"/>
      <c r="U444" s="439">
        <v>0</v>
      </c>
      <c r="V444" s="439">
        <f t="shared" si="487"/>
        <v>0</v>
      </c>
      <c r="W444" s="439">
        <v>0</v>
      </c>
      <c r="X444" s="439">
        <v>0</v>
      </c>
      <c r="Y444" s="435">
        <f t="shared" si="423"/>
        <v>0</v>
      </c>
      <c r="Z444" s="439">
        <v>0</v>
      </c>
      <c r="AA444" s="439">
        <v>0</v>
      </c>
      <c r="AB444" s="439">
        <v>0</v>
      </c>
      <c r="AC444" s="439">
        <v>0</v>
      </c>
      <c r="AD444" s="439">
        <v>0</v>
      </c>
      <c r="AE444" s="435">
        <f t="shared" si="470"/>
        <v>0</v>
      </c>
      <c r="AF444" s="439">
        <f t="shared" si="488"/>
        <v>0</v>
      </c>
      <c r="AG444" s="439"/>
      <c r="AH444" s="419">
        <f t="shared" si="415"/>
        <v>0</v>
      </c>
      <c r="AI444" s="439"/>
      <c r="AJ444" s="439"/>
      <c r="AK444" s="439">
        <f t="shared" si="489"/>
        <v>0</v>
      </c>
      <c r="AL444" s="439">
        <f t="shared" si="490"/>
        <v>0</v>
      </c>
      <c r="AM444" s="439">
        <f t="shared" si="491"/>
        <v>0</v>
      </c>
      <c r="AN444" s="438"/>
      <c r="AO444" s="438"/>
      <c r="AP444" s="438"/>
    </row>
    <row r="445" spans="1:42" ht="25.5">
      <c r="A445" s="412"/>
      <c r="B445" s="431"/>
      <c r="C445" s="432" t="s">
        <v>474</v>
      </c>
      <c r="D445" s="433" t="s">
        <v>11294</v>
      </c>
      <c r="E445" s="434">
        <f>'PROSPETTO CE_IV TRIM 2024'!BM2166</f>
        <v>1530793</v>
      </c>
      <c r="F445" s="439">
        <f t="shared" si="486"/>
        <v>1530793</v>
      </c>
      <c r="G445" s="439">
        <v>719000</v>
      </c>
      <c r="H445" s="439">
        <v>988625</v>
      </c>
      <c r="I445" s="435">
        <f t="shared" si="425"/>
        <v>542168</v>
      </c>
      <c r="J445" s="435">
        <f t="shared" si="426"/>
        <v>542168</v>
      </c>
      <c r="K445" s="439">
        <v>988625</v>
      </c>
      <c r="L445" s="439">
        <v>985000</v>
      </c>
      <c r="M445" s="439">
        <f t="shared" si="427"/>
        <v>811793</v>
      </c>
      <c r="N445" s="439">
        <v>988625</v>
      </c>
      <c r="O445" s="439">
        <v>988625</v>
      </c>
      <c r="P445" s="443">
        <v>719000</v>
      </c>
      <c r="Q445" s="439">
        <v>719000</v>
      </c>
      <c r="R445" s="439">
        <f t="shared" si="420"/>
        <v>-269625</v>
      </c>
      <c r="S445" s="439">
        <f t="shared" si="421"/>
        <v>-269625</v>
      </c>
      <c r="T445" s="441">
        <f>(F445-P445)/F445*100</f>
        <v>53.030880073269216</v>
      </c>
      <c r="U445" s="439">
        <v>539250</v>
      </c>
      <c r="V445" s="439">
        <f t="shared" si="487"/>
        <v>719000</v>
      </c>
      <c r="W445" s="439">
        <v>719000</v>
      </c>
      <c r="X445" s="439">
        <v>719000</v>
      </c>
      <c r="Y445" s="435">
        <f t="shared" si="423"/>
        <v>1669956</v>
      </c>
      <c r="Z445" s="439">
        <v>719000</v>
      </c>
      <c r="AA445" s="439">
        <v>719000</v>
      </c>
      <c r="AB445" s="439">
        <v>179750</v>
      </c>
      <c r="AC445" s="439">
        <v>359500</v>
      </c>
      <c r="AD445" s="439">
        <v>719000</v>
      </c>
      <c r="AE445" s="435">
        <f t="shared" si="470"/>
        <v>811793</v>
      </c>
      <c r="AF445" s="439">
        <f t="shared" si="488"/>
        <v>719000</v>
      </c>
      <c r="AG445" s="439"/>
      <c r="AH445" s="419">
        <f t="shared" si="415"/>
        <v>-1530793</v>
      </c>
      <c r="AI445" s="439"/>
      <c r="AJ445" s="439"/>
      <c r="AK445" s="439">
        <f t="shared" si="489"/>
        <v>0</v>
      </c>
      <c r="AL445" s="439">
        <f t="shared" si="490"/>
        <v>0</v>
      </c>
      <c r="AM445" s="439">
        <f t="shared" si="491"/>
        <v>0</v>
      </c>
      <c r="AN445" s="438"/>
      <c r="AO445" s="438"/>
      <c r="AP445" s="438"/>
    </row>
    <row r="446" spans="1:42" ht="12.75">
      <c r="A446" s="412"/>
      <c r="B446" s="431"/>
      <c r="C446" s="432" t="s">
        <v>10158</v>
      </c>
      <c r="D446" s="433" t="s">
        <v>10162</v>
      </c>
      <c r="E446" s="434">
        <f>'PROSPETTO CE_IV TRIM 2024'!BM2167</f>
        <v>0</v>
      </c>
      <c r="F446" s="439">
        <f t="shared" si="486"/>
        <v>0</v>
      </c>
      <c r="G446" s="439">
        <v>0</v>
      </c>
      <c r="H446" s="439">
        <v>0</v>
      </c>
      <c r="I446" s="435">
        <f t="shared" si="425"/>
        <v>0</v>
      </c>
      <c r="J446" s="435">
        <f t="shared" si="426"/>
        <v>0</v>
      </c>
      <c r="K446" s="439">
        <v>0</v>
      </c>
      <c r="L446" s="439">
        <v>0</v>
      </c>
      <c r="M446" s="439">
        <f t="shared" si="427"/>
        <v>0</v>
      </c>
      <c r="N446" s="439">
        <v>0</v>
      </c>
      <c r="O446" s="439">
        <v>0</v>
      </c>
      <c r="P446" s="440">
        <v>0</v>
      </c>
      <c r="Q446" s="439">
        <v>0</v>
      </c>
      <c r="R446" s="439">
        <f t="shared" si="420"/>
        <v>0</v>
      </c>
      <c r="S446" s="439">
        <f t="shared" si="421"/>
        <v>0</v>
      </c>
      <c r="T446" s="441"/>
      <c r="U446" s="439">
        <v>0</v>
      </c>
      <c r="V446" s="439">
        <f t="shared" si="487"/>
        <v>0</v>
      </c>
      <c r="W446" s="439">
        <v>0</v>
      </c>
      <c r="X446" s="439">
        <v>0</v>
      </c>
      <c r="Y446" s="435">
        <f t="shared" si="423"/>
        <v>0</v>
      </c>
      <c r="Z446" s="439">
        <v>0</v>
      </c>
      <c r="AA446" s="439">
        <v>0</v>
      </c>
      <c r="AB446" s="439">
        <v>0</v>
      </c>
      <c r="AC446" s="439">
        <v>0</v>
      </c>
      <c r="AD446" s="439">
        <v>0</v>
      </c>
      <c r="AE446" s="435">
        <f t="shared" si="470"/>
        <v>0</v>
      </c>
      <c r="AF446" s="439">
        <f t="shared" si="488"/>
        <v>0</v>
      </c>
      <c r="AG446" s="439"/>
      <c r="AH446" s="419">
        <f t="shared" si="415"/>
        <v>0</v>
      </c>
      <c r="AI446" s="439"/>
      <c r="AJ446" s="439"/>
      <c r="AK446" s="439">
        <f t="shared" si="489"/>
        <v>0</v>
      </c>
      <c r="AL446" s="439">
        <f t="shared" si="490"/>
        <v>0</v>
      </c>
      <c r="AM446" s="439">
        <f t="shared" si="491"/>
        <v>0</v>
      </c>
      <c r="AN446" s="438"/>
      <c r="AO446" s="438"/>
      <c r="AP446" s="438"/>
    </row>
    <row r="447" spans="1:42" ht="12.75">
      <c r="A447" s="412"/>
      <c r="B447" s="431"/>
      <c r="C447" s="432" t="s">
        <v>475</v>
      </c>
      <c r="D447" s="433" t="s">
        <v>11295</v>
      </c>
      <c r="E447" s="434">
        <f>'PROSPETTO CE_IV TRIM 2024'!BM2168</f>
        <v>0</v>
      </c>
      <c r="F447" s="439">
        <f t="shared" si="486"/>
        <v>0</v>
      </c>
      <c r="G447" s="439">
        <v>0</v>
      </c>
      <c r="H447" s="439">
        <v>0</v>
      </c>
      <c r="I447" s="435">
        <f t="shared" si="425"/>
        <v>0</v>
      </c>
      <c r="J447" s="435">
        <f t="shared" si="426"/>
        <v>0</v>
      </c>
      <c r="K447" s="439">
        <v>0</v>
      </c>
      <c r="L447" s="439">
        <v>0</v>
      </c>
      <c r="M447" s="439">
        <f t="shared" si="427"/>
        <v>0</v>
      </c>
      <c r="N447" s="439">
        <v>0</v>
      </c>
      <c r="O447" s="439">
        <v>0</v>
      </c>
      <c r="P447" s="440">
        <v>0</v>
      </c>
      <c r="Q447" s="439">
        <v>0</v>
      </c>
      <c r="R447" s="439">
        <f t="shared" si="420"/>
        <v>0</v>
      </c>
      <c r="S447" s="439">
        <f t="shared" si="421"/>
        <v>0</v>
      </c>
      <c r="T447" s="441"/>
      <c r="U447" s="439">
        <v>0</v>
      </c>
      <c r="V447" s="439">
        <f t="shared" si="487"/>
        <v>0</v>
      </c>
      <c r="W447" s="439">
        <v>0</v>
      </c>
      <c r="X447" s="439">
        <v>0</v>
      </c>
      <c r="Y447" s="435">
        <f t="shared" si="423"/>
        <v>0</v>
      </c>
      <c r="Z447" s="439">
        <v>0</v>
      </c>
      <c r="AA447" s="439">
        <v>0</v>
      </c>
      <c r="AB447" s="439">
        <v>0</v>
      </c>
      <c r="AC447" s="439">
        <v>0</v>
      </c>
      <c r="AD447" s="439">
        <v>0</v>
      </c>
      <c r="AE447" s="435">
        <f t="shared" si="470"/>
        <v>0</v>
      </c>
      <c r="AF447" s="439">
        <f t="shared" si="488"/>
        <v>0</v>
      </c>
      <c r="AG447" s="439"/>
      <c r="AH447" s="419">
        <f t="shared" si="415"/>
        <v>0</v>
      </c>
      <c r="AI447" s="439"/>
      <c r="AJ447" s="439"/>
      <c r="AK447" s="439">
        <f t="shared" si="489"/>
        <v>0</v>
      </c>
      <c r="AL447" s="439">
        <f t="shared" si="490"/>
        <v>0</v>
      </c>
      <c r="AM447" s="439">
        <f t="shared" si="491"/>
        <v>0</v>
      </c>
      <c r="AN447" s="438"/>
      <c r="AO447" s="438"/>
      <c r="AP447" s="438"/>
    </row>
    <row r="448" spans="1:42" ht="12.75">
      <c r="A448" s="412"/>
      <c r="B448" s="431"/>
      <c r="C448" s="432" t="s">
        <v>10177</v>
      </c>
      <c r="D448" s="433" t="s">
        <v>11296</v>
      </c>
      <c r="E448" s="434">
        <f>'PROSPETTO CE_IV TRIM 2024'!BM2174</f>
        <v>0</v>
      </c>
      <c r="F448" s="439">
        <f t="shared" si="486"/>
        <v>0</v>
      </c>
      <c r="G448" s="439">
        <v>0</v>
      </c>
      <c r="H448" s="439">
        <v>0</v>
      </c>
      <c r="I448" s="435">
        <f t="shared" si="425"/>
        <v>0</v>
      </c>
      <c r="J448" s="435">
        <f t="shared" si="426"/>
        <v>0</v>
      </c>
      <c r="K448" s="439">
        <v>0</v>
      </c>
      <c r="L448" s="439">
        <v>0</v>
      </c>
      <c r="M448" s="439">
        <f t="shared" si="427"/>
        <v>0</v>
      </c>
      <c r="N448" s="439">
        <v>0</v>
      </c>
      <c r="O448" s="439">
        <v>0</v>
      </c>
      <c r="P448" s="440">
        <v>0</v>
      </c>
      <c r="Q448" s="439">
        <v>0</v>
      </c>
      <c r="R448" s="439">
        <f t="shared" si="420"/>
        <v>0</v>
      </c>
      <c r="S448" s="439">
        <f t="shared" si="421"/>
        <v>0</v>
      </c>
      <c r="T448" s="441"/>
      <c r="U448" s="439">
        <v>0</v>
      </c>
      <c r="V448" s="439">
        <f t="shared" si="487"/>
        <v>0</v>
      </c>
      <c r="W448" s="439">
        <v>0</v>
      </c>
      <c r="X448" s="439">
        <v>0</v>
      </c>
      <c r="Y448" s="435">
        <f t="shared" si="423"/>
        <v>0</v>
      </c>
      <c r="Z448" s="439">
        <v>0</v>
      </c>
      <c r="AA448" s="439">
        <v>0</v>
      </c>
      <c r="AB448" s="439">
        <v>0</v>
      </c>
      <c r="AC448" s="439">
        <v>0</v>
      </c>
      <c r="AD448" s="439">
        <v>0</v>
      </c>
      <c r="AE448" s="435">
        <f t="shared" si="470"/>
        <v>0</v>
      </c>
      <c r="AF448" s="439">
        <f t="shared" si="488"/>
        <v>0</v>
      </c>
      <c r="AG448" s="439"/>
      <c r="AH448" s="419">
        <f t="shared" si="415"/>
        <v>0</v>
      </c>
      <c r="AI448" s="439"/>
      <c r="AJ448" s="439"/>
      <c r="AK448" s="439">
        <f t="shared" si="489"/>
        <v>0</v>
      </c>
      <c r="AL448" s="439">
        <f t="shared" si="490"/>
        <v>0</v>
      </c>
      <c r="AM448" s="439">
        <f t="shared" si="491"/>
        <v>0</v>
      </c>
      <c r="AN448" s="438"/>
      <c r="AO448" s="438"/>
      <c r="AP448" s="438"/>
    </row>
    <row r="449" spans="1:42" ht="12.75">
      <c r="A449" s="412"/>
      <c r="B449" s="431"/>
      <c r="C449" s="432" t="s">
        <v>10183</v>
      </c>
      <c r="D449" s="433" t="s">
        <v>10185</v>
      </c>
      <c r="E449" s="434">
        <f>'PROSPETTO CE_IV TRIM 2024'!BM2176</f>
        <v>0</v>
      </c>
      <c r="F449" s="439">
        <f t="shared" si="486"/>
        <v>0</v>
      </c>
      <c r="G449" s="439">
        <v>0</v>
      </c>
      <c r="H449" s="439">
        <v>0</v>
      </c>
      <c r="I449" s="435">
        <f t="shared" si="425"/>
        <v>0</v>
      </c>
      <c r="J449" s="435">
        <f t="shared" si="426"/>
        <v>0</v>
      </c>
      <c r="K449" s="439">
        <v>0</v>
      </c>
      <c r="L449" s="439">
        <v>0</v>
      </c>
      <c r="M449" s="439">
        <f t="shared" si="427"/>
        <v>0</v>
      </c>
      <c r="N449" s="439">
        <v>0</v>
      </c>
      <c r="O449" s="439">
        <v>0</v>
      </c>
      <c r="P449" s="440">
        <v>0</v>
      </c>
      <c r="Q449" s="439">
        <v>0</v>
      </c>
      <c r="R449" s="439">
        <f t="shared" si="420"/>
        <v>0</v>
      </c>
      <c r="S449" s="439">
        <f t="shared" si="421"/>
        <v>0</v>
      </c>
      <c r="T449" s="441"/>
      <c r="U449" s="439">
        <v>0</v>
      </c>
      <c r="V449" s="439">
        <f t="shared" si="487"/>
        <v>0</v>
      </c>
      <c r="W449" s="439">
        <v>0</v>
      </c>
      <c r="X449" s="439">
        <v>0</v>
      </c>
      <c r="Y449" s="435">
        <f t="shared" si="423"/>
        <v>0</v>
      </c>
      <c r="Z449" s="439">
        <v>0</v>
      </c>
      <c r="AA449" s="439">
        <v>0</v>
      </c>
      <c r="AB449" s="439">
        <v>0</v>
      </c>
      <c r="AC449" s="439">
        <v>0</v>
      </c>
      <c r="AD449" s="439">
        <v>0</v>
      </c>
      <c r="AE449" s="435">
        <f t="shared" si="470"/>
        <v>0</v>
      </c>
      <c r="AF449" s="439">
        <f t="shared" si="488"/>
        <v>0</v>
      </c>
      <c r="AG449" s="439">
        <v>0</v>
      </c>
      <c r="AH449" s="419">
        <f t="shared" si="415"/>
        <v>0</v>
      </c>
      <c r="AI449" s="439">
        <v>0</v>
      </c>
      <c r="AJ449" s="439">
        <v>0</v>
      </c>
      <c r="AK449" s="439">
        <f t="shared" si="489"/>
        <v>0</v>
      </c>
      <c r="AL449" s="439">
        <f t="shared" si="490"/>
        <v>0</v>
      </c>
      <c r="AM449" s="439">
        <f t="shared" si="491"/>
        <v>0</v>
      </c>
      <c r="AN449" s="438"/>
      <c r="AO449" s="438"/>
      <c r="AP449" s="438"/>
    </row>
    <row r="450" spans="1:42" ht="25.5">
      <c r="A450" s="412"/>
      <c r="B450" s="431"/>
      <c r="C450" s="432" t="s">
        <v>10188</v>
      </c>
      <c r="D450" s="433" t="s">
        <v>10191</v>
      </c>
      <c r="E450" s="434"/>
      <c r="F450" s="435">
        <f>SUM(F451:F456)</f>
        <v>3722694.68</v>
      </c>
      <c r="G450" s="435">
        <v>4411436.9000000004</v>
      </c>
      <c r="H450" s="435">
        <v>3722694.68</v>
      </c>
      <c r="I450" s="435">
        <f t="shared" si="425"/>
        <v>0</v>
      </c>
      <c r="J450" s="435">
        <f t="shared" si="426"/>
        <v>0</v>
      </c>
      <c r="K450" s="435">
        <v>3722694.68</v>
      </c>
      <c r="L450" s="435">
        <v>3722694.68</v>
      </c>
      <c r="M450" s="435">
        <f t="shared" si="427"/>
        <v>3722694.68</v>
      </c>
      <c r="N450" s="435">
        <v>1239666.2725</v>
      </c>
      <c r="O450" s="435">
        <v>1239666.2725</v>
      </c>
      <c r="P450" s="436">
        <v>0</v>
      </c>
      <c r="Q450" s="435">
        <f t="shared" ref="Q450" si="492">SUM(Q451:Q456)</f>
        <v>4411436.9000000004</v>
      </c>
      <c r="R450" s="435">
        <f t="shared" si="420"/>
        <v>-1239666.2725</v>
      </c>
      <c r="S450" s="435">
        <f t="shared" si="421"/>
        <v>3171770.6275000004</v>
      </c>
      <c r="T450" s="437">
        <f>(F450-P450)/F450*100</f>
        <v>100</v>
      </c>
      <c r="U450" s="435">
        <v>40328.925000000003</v>
      </c>
      <c r="V450" s="435">
        <f>SUM(V451:V456)</f>
        <v>0</v>
      </c>
      <c r="W450" s="435">
        <f>SUM(W451:W456)</f>
        <v>119465</v>
      </c>
      <c r="X450" s="435">
        <f t="shared" ref="X450" si="493">SUM(X451:X456)</f>
        <v>4411436.9000000004</v>
      </c>
      <c r="Y450" s="435">
        <f t="shared" si="423"/>
        <v>4061121.4690909097</v>
      </c>
      <c r="Z450" s="435">
        <v>0</v>
      </c>
      <c r="AA450" s="435">
        <v>0</v>
      </c>
      <c r="AB450" s="435">
        <f t="shared" ref="AB450:AM450" si="494">SUM(AB451:AB456)</f>
        <v>0</v>
      </c>
      <c r="AC450" s="435">
        <f t="shared" si="494"/>
        <v>26885.95</v>
      </c>
      <c r="AD450" s="435">
        <f t="shared" si="494"/>
        <v>4411436.9000000004</v>
      </c>
      <c r="AE450" s="435">
        <f t="shared" si="470"/>
        <v>-688742.2200000002</v>
      </c>
      <c r="AF450" s="435">
        <f t="shared" si="494"/>
        <v>53771.9</v>
      </c>
      <c r="AG450" s="435">
        <f t="shared" si="494"/>
        <v>0</v>
      </c>
      <c r="AH450" s="419">
        <f t="shared" ref="AH450:AH513" si="495">AG450-F450</f>
        <v>-3722694.68</v>
      </c>
      <c r="AI450" s="435">
        <f t="shared" si="494"/>
        <v>0</v>
      </c>
      <c r="AJ450" s="435">
        <f t="shared" si="494"/>
        <v>0</v>
      </c>
      <c r="AK450" s="435">
        <f t="shared" si="494"/>
        <v>-119465</v>
      </c>
      <c r="AL450" s="435">
        <f t="shared" si="494"/>
        <v>-53771.9</v>
      </c>
      <c r="AM450" s="435">
        <f t="shared" si="494"/>
        <v>-4411436.9000000004</v>
      </c>
      <c r="AN450" s="438"/>
      <c r="AO450" s="438"/>
      <c r="AP450" s="438"/>
    </row>
    <row r="451" spans="1:42" ht="25.5">
      <c r="A451" s="412"/>
      <c r="B451" s="431"/>
      <c r="C451" s="432" t="s">
        <v>10192</v>
      </c>
      <c r="D451" s="433" t="s">
        <v>10195</v>
      </c>
      <c r="E451" s="434">
        <f>'PROSPETTO CE_IV TRIM 2024'!BM2179</f>
        <v>0</v>
      </c>
      <c r="F451" s="439">
        <f t="shared" ref="F451:F456" si="496">+E451</f>
        <v>0</v>
      </c>
      <c r="G451" s="439">
        <v>53771.9</v>
      </c>
      <c r="H451" s="439">
        <v>0</v>
      </c>
      <c r="I451" s="435">
        <f t="shared" si="425"/>
        <v>0</v>
      </c>
      <c r="J451" s="435">
        <f t="shared" si="426"/>
        <v>0</v>
      </c>
      <c r="K451" s="439">
        <v>0</v>
      </c>
      <c r="L451" s="439">
        <v>0</v>
      </c>
      <c r="M451" s="439">
        <f t="shared" si="427"/>
        <v>0</v>
      </c>
      <c r="N451" s="439">
        <v>1229666.2725</v>
      </c>
      <c r="O451" s="439">
        <v>1229666.2725</v>
      </c>
      <c r="P451" s="440">
        <v>0</v>
      </c>
      <c r="Q451" s="439">
        <v>53771.9</v>
      </c>
      <c r="R451" s="439">
        <f t="shared" si="420"/>
        <v>-1229666.2725</v>
      </c>
      <c r="S451" s="439">
        <f t="shared" si="421"/>
        <v>-1175894.3725000001</v>
      </c>
      <c r="T451" s="441" t="e">
        <f>(F451-P451)/F451*100</f>
        <v>#DIV/0!</v>
      </c>
      <c r="U451" s="439">
        <v>40328.925000000003</v>
      </c>
      <c r="V451" s="439">
        <f t="shared" ref="V451:V456" si="497">+AA451</f>
        <v>0</v>
      </c>
      <c r="W451" s="439">
        <v>119465</v>
      </c>
      <c r="X451" s="439">
        <v>53771.9</v>
      </c>
      <c r="Y451" s="435">
        <f t="shared" si="423"/>
        <v>0</v>
      </c>
      <c r="Z451" s="439">
        <v>0</v>
      </c>
      <c r="AA451" s="439">
        <v>0</v>
      </c>
      <c r="AB451" s="439">
        <v>0</v>
      </c>
      <c r="AC451" s="439">
        <v>26885.95</v>
      </c>
      <c r="AD451" s="439">
        <v>53771.9</v>
      </c>
      <c r="AE451" s="435">
        <f t="shared" si="470"/>
        <v>-53771.9</v>
      </c>
      <c r="AF451" s="439">
        <f t="shared" ref="AF451:AF456" si="498">AC451*2</f>
        <v>53771.9</v>
      </c>
      <c r="AG451" s="439"/>
      <c r="AH451" s="419">
        <f t="shared" si="495"/>
        <v>0</v>
      </c>
      <c r="AI451" s="439"/>
      <c r="AJ451" s="439"/>
      <c r="AK451" s="439">
        <f t="shared" ref="AK451:AK456" si="499">AA451-W451</f>
        <v>-119465</v>
      </c>
      <c r="AL451" s="439">
        <f t="shared" ref="AL451:AL456" si="500">AA451-AF451</f>
        <v>-53771.9</v>
      </c>
      <c r="AM451" s="439">
        <f t="shared" ref="AM451:AM456" si="501">AA451-AD451</f>
        <v>-53771.9</v>
      </c>
      <c r="AN451" s="438"/>
      <c r="AO451" s="438"/>
      <c r="AP451" s="438"/>
    </row>
    <row r="452" spans="1:42" ht="25.5">
      <c r="A452" s="412"/>
      <c r="B452" s="431"/>
      <c r="C452" s="432" t="s">
        <v>476</v>
      </c>
      <c r="D452" s="433" t="s">
        <v>10199</v>
      </c>
      <c r="E452" s="434">
        <f>'PROSPETTO CE_IV TRIM 2024'!BM2181</f>
        <v>0</v>
      </c>
      <c r="F452" s="439">
        <f t="shared" si="496"/>
        <v>0</v>
      </c>
      <c r="G452" s="439">
        <v>0</v>
      </c>
      <c r="H452" s="439">
        <v>0</v>
      </c>
      <c r="I452" s="435">
        <f t="shared" si="425"/>
        <v>0</v>
      </c>
      <c r="J452" s="435">
        <f t="shared" si="426"/>
        <v>0</v>
      </c>
      <c r="K452" s="439">
        <v>0</v>
      </c>
      <c r="L452" s="439">
        <v>0</v>
      </c>
      <c r="M452" s="439">
        <f t="shared" si="427"/>
        <v>0</v>
      </c>
      <c r="N452" s="439">
        <v>0</v>
      </c>
      <c r="O452" s="439">
        <v>0</v>
      </c>
      <c r="P452" s="440">
        <v>0</v>
      </c>
      <c r="Q452" s="439">
        <v>0</v>
      </c>
      <c r="R452" s="439">
        <f t="shared" ref="R452:R515" si="502">P452-N452</f>
        <v>0</v>
      </c>
      <c r="S452" s="439">
        <f t="shared" ref="S452:S515" si="503">Q452-N452</f>
        <v>0</v>
      </c>
      <c r="T452" s="441"/>
      <c r="U452" s="439">
        <v>0</v>
      </c>
      <c r="V452" s="439">
        <f t="shared" si="497"/>
        <v>0</v>
      </c>
      <c r="W452" s="439">
        <v>0</v>
      </c>
      <c r="X452" s="439">
        <v>0</v>
      </c>
      <c r="Y452" s="435">
        <f t="shared" ref="Y452:Y515" si="504">F452/11*12</f>
        <v>0</v>
      </c>
      <c r="Z452" s="439">
        <v>0</v>
      </c>
      <c r="AA452" s="439">
        <v>0</v>
      </c>
      <c r="AB452" s="439">
        <v>0</v>
      </c>
      <c r="AC452" s="439">
        <v>0</v>
      </c>
      <c r="AD452" s="439">
        <v>0</v>
      </c>
      <c r="AE452" s="435">
        <f t="shared" si="470"/>
        <v>0</v>
      </c>
      <c r="AF452" s="439">
        <f t="shared" si="498"/>
        <v>0</v>
      </c>
      <c r="AG452" s="439"/>
      <c r="AH452" s="419">
        <f t="shared" si="495"/>
        <v>0</v>
      </c>
      <c r="AI452" s="439"/>
      <c r="AJ452" s="439"/>
      <c r="AK452" s="439">
        <f t="shared" si="499"/>
        <v>0</v>
      </c>
      <c r="AL452" s="439">
        <f t="shared" si="500"/>
        <v>0</v>
      </c>
      <c r="AM452" s="439">
        <f t="shared" si="501"/>
        <v>0</v>
      </c>
      <c r="AN452" s="438"/>
      <c r="AO452" s="438"/>
      <c r="AP452" s="438"/>
    </row>
    <row r="453" spans="1:42" ht="25.5">
      <c r="A453" s="412"/>
      <c r="B453" s="431"/>
      <c r="C453" s="432" t="s">
        <v>477</v>
      </c>
      <c r="D453" s="433" t="s">
        <v>10239</v>
      </c>
      <c r="E453" s="434">
        <f>'PROSPETTO CE_IV TRIM 2024'!BM2196</f>
        <v>0</v>
      </c>
      <c r="F453" s="439">
        <f t="shared" si="496"/>
        <v>0</v>
      </c>
      <c r="G453" s="439">
        <v>55200</v>
      </c>
      <c r="H453" s="439">
        <v>0</v>
      </c>
      <c r="I453" s="435">
        <f t="shared" ref="I453:I516" si="505">F453-H453</f>
        <v>0</v>
      </c>
      <c r="J453" s="435">
        <f t="shared" ref="J453:J516" si="506">F453-K453</f>
        <v>0</v>
      </c>
      <c r="K453" s="439">
        <v>0</v>
      </c>
      <c r="L453" s="439">
        <v>0</v>
      </c>
      <c r="M453" s="439">
        <f t="shared" ref="M453:M516" si="507">F453-P453</f>
        <v>0</v>
      </c>
      <c r="N453" s="439">
        <v>0</v>
      </c>
      <c r="O453" s="439">
        <v>0</v>
      </c>
      <c r="P453" s="440">
        <v>0</v>
      </c>
      <c r="Q453" s="439">
        <v>55200</v>
      </c>
      <c r="R453" s="439">
        <f t="shared" si="502"/>
        <v>0</v>
      </c>
      <c r="S453" s="439">
        <f t="shared" si="503"/>
        <v>55200</v>
      </c>
      <c r="T453" s="441"/>
      <c r="U453" s="439">
        <v>0</v>
      </c>
      <c r="V453" s="439">
        <f t="shared" si="497"/>
        <v>0</v>
      </c>
      <c r="W453" s="439">
        <v>0</v>
      </c>
      <c r="X453" s="439">
        <v>55200</v>
      </c>
      <c r="Y453" s="435">
        <f t="shared" si="504"/>
        <v>0</v>
      </c>
      <c r="Z453" s="439">
        <v>0</v>
      </c>
      <c r="AA453" s="439">
        <v>0</v>
      </c>
      <c r="AB453" s="439">
        <v>0</v>
      </c>
      <c r="AC453" s="439">
        <v>0</v>
      </c>
      <c r="AD453" s="439">
        <v>55200</v>
      </c>
      <c r="AE453" s="435">
        <f t="shared" si="470"/>
        <v>-55200</v>
      </c>
      <c r="AF453" s="439">
        <f t="shared" si="498"/>
        <v>0</v>
      </c>
      <c r="AG453" s="439"/>
      <c r="AH453" s="419">
        <f t="shared" si="495"/>
        <v>0</v>
      </c>
      <c r="AI453" s="439"/>
      <c r="AJ453" s="439"/>
      <c r="AK453" s="439">
        <f t="shared" si="499"/>
        <v>0</v>
      </c>
      <c r="AL453" s="439">
        <f t="shared" si="500"/>
        <v>0</v>
      </c>
      <c r="AM453" s="439">
        <f t="shared" si="501"/>
        <v>-55200</v>
      </c>
      <c r="AN453" s="438"/>
      <c r="AO453" s="438"/>
      <c r="AP453" s="438"/>
    </row>
    <row r="454" spans="1:42" ht="25.5">
      <c r="A454" s="412"/>
      <c r="B454" s="431"/>
      <c r="C454" s="432" t="s">
        <v>478</v>
      </c>
      <c r="D454" s="433" t="s">
        <v>10244</v>
      </c>
      <c r="E454" s="434">
        <f>'PROSPETTO CE_IV TRIM 2024'!BM2198</f>
        <v>3712694.68</v>
      </c>
      <c r="F454" s="439">
        <f t="shared" si="496"/>
        <v>3712694.68</v>
      </c>
      <c r="G454" s="439">
        <v>4302465</v>
      </c>
      <c r="H454" s="439">
        <v>3712694.68</v>
      </c>
      <c r="I454" s="435">
        <f t="shared" si="505"/>
        <v>0</v>
      </c>
      <c r="J454" s="435">
        <f t="shared" si="506"/>
        <v>0</v>
      </c>
      <c r="K454" s="439">
        <v>3712694.68</v>
      </c>
      <c r="L454" s="439">
        <v>3712694.68</v>
      </c>
      <c r="M454" s="439">
        <f t="shared" si="507"/>
        <v>3712694.68</v>
      </c>
      <c r="N454" s="439">
        <v>0</v>
      </c>
      <c r="O454" s="439">
        <v>0</v>
      </c>
      <c r="P454" s="440">
        <v>0</v>
      </c>
      <c r="Q454" s="439">
        <v>4302465</v>
      </c>
      <c r="R454" s="439">
        <f t="shared" si="502"/>
        <v>0</v>
      </c>
      <c r="S454" s="439">
        <f t="shared" si="503"/>
        <v>4302465</v>
      </c>
      <c r="T454" s="441"/>
      <c r="U454" s="439">
        <v>0</v>
      </c>
      <c r="V454" s="439">
        <f t="shared" si="497"/>
        <v>0</v>
      </c>
      <c r="W454" s="439">
        <v>0</v>
      </c>
      <c r="X454" s="439">
        <v>4302465</v>
      </c>
      <c r="Y454" s="435">
        <f t="shared" si="504"/>
        <v>4050212.3781818179</v>
      </c>
      <c r="Z454" s="439">
        <v>0</v>
      </c>
      <c r="AA454" s="439">
        <v>0</v>
      </c>
      <c r="AB454" s="439">
        <v>0</v>
      </c>
      <c r="AC454" s="439">
        <v>0</v>
      </c>
      <c r="AD454" s="439">
        <v>4302465</v>
      </c>
      <c r="AE454" s="435">
        <f t="shared" si="470"/>
        <v>-589770.31999999983</v>
      </c>
      <c r="AF454" s="439">
        <f t="shared" si="498"/>
        <v>0</v>
      </c>
      <c r="AG454" s="439"/>
      <c r="AH454" s="419">
        <f t="shared" si="495"/>
        <v>-3712694.68</v>
      </c>
      <c r="AI454" s="439"/>
      <c r="AJ454" s="439"/>
      <c r="AK454" s="439">
        <f t="shared" si="499"/>
        <v>0</v>
      </c>
      <c r="AL454" s="439">
        <f t="shared" si="500"/>
        <v>0</v>
      </c>
      <c r="AM454" s="439">
        <f t="shared" si="501"/>
        <v>-4302465</v>
      </c>
      <c r="AN454" s="438"/>
      <c r="AO454" s="438"/>
      <c r="AP454" s="438"/>
    </row>
    <row r="455" spans="1:42" ht="25.5">
      <c r="A455" s="412"/>
      <c r="B455" s="431"/>
      <c r="C455" s="432" t="s">
        <v>479</v>
      </c>
      <c r="D455" s="433" t="s">
        <v>10250</v>
      </c>
      <c r="E455" s="434">
        <f>'PROSPETTO CE_IV TRIM 2024'!BM2200</f>
        <v>10000</v>
      </c>
      <c r="F455" s="439">
        <f t="shared" si="496"/>
        <v>10000</v>
      </c>
      <c r="G455" s="439">
        <v>0</v>
      </c>
      <c r="H455" s="439">
        <v>10000</v>
      </c>
      <c r="I455" s="435">
        <f t="shared" si="505"/>
        <v>0</v>
      </c>
      <c r="J455" s="435">
        <f t="shared" si="506"/>
        <v>0</v>
      </c>
      <c r="K455" s="439">
        <v>10000</v>
      </c>
      <c r="L455" s="439">
        <v>10000</v>
      </c>
      <c r="M455" s="439">
        <f t="shared" si="507"/>
        <v>10000</v>
      </c>
      <c r="N455" s="439">
        <v>10000</v>
      </c>
      <c r="O455" s="439">
        <v>10000</v>
      </c>
      <c r="P455" s="440">
        <v>0</v>
      </c>
      <c r="Q455" s="439">
        <v>0</v>
      </c>
      <c r="R455" s="439">
        <f t="shared" si="502"/>
        <v>-10000</v>
      </c>
      <c r="S455" s="439">
        <f t="shared" si="503"/>
        <v>-10000</v>
      </c>
      <c r="T455" s="441">
        <f>(F455-P455)/F455*100</f>
        <v>100</v>
      </c>
      <c r="U455" s="439">
        <v>0</v>
      </c>
      <c r="V455" s="439">
        <f t="shared" si="497"/>
        <v>0</v>
      </c>
      <c r="W455" s="439">
        <v>0</v>
      </c>
      <c r="X455" s="439">
        <v>0</v>
      </c>
      <c r="Y455" s="435">
        <f t="shared" si="504"/>
        <v>10909.09090909091</v>
      </c>
      <c r="Z455" s="439">
        <v>0</v>
      </c>
      <c r="AA455" s="439">
        <v>0</v>
      </c>
      <c r="AB455" s="439">
        <v>0</v>
      </c>
      <c r="AC455" s="439">
        <v>0</v>
      </c>
      <c r="AD455" s="439">
        <v>0</v>
      </c>
      <c r="AE455" s="435">
        <f t="shared" si="470"/>
        <v>10000</v>
      </c>
      <c r="AF455" s="439">
        <f t="shared" si="498"/>
        <v>0</v>
      </c>
      <c r="AG455" s="439">
        <v>0</v>
      </c>
      <c r="AH455" s="419">
        <f t="shared" si="495"/>
        <v>-10000</v>
      </c>
      <c r="AI455" s="439">
        <v>0</v>
      </c>
      <c r="AJ455" s="439">
        <v>0</v>
      </c>
      <c r="AK455" s="439">
        <f t="shared" si="499"/>
        <v>0</v>
      </c>
      <c r="AL455" s="439">
        <f t="shared" si="500"/>
        <v>0</v>
      </c>
      <c r="AM455" s="439">
        <f t="shared" si="501"/>
        <v>0</v>
      </c>
      <c r="AN455" s="438"/>
      <c r="AO455" s="438"/>
      <c r="AP455" s="438"/>
    </row>
    <row r="456" spans="1:42" ht="25.5">
      <c r="A456" s="412"/>
      <c r="B456" s="431"/>
      <c r="C456" s="432" t="s">
        <v>10253</v>
      </c>
      <c r="D456" s="433" t="s">
        <v>10256</v>
      </c>
      <c r="E456" s="434">
        <f>'PROSPETTO CE_IV TRIM 2024'!BM2202</f>
        <v>0</v>
      </c>
      <c r="F456" s="439">
        <f t="shared" si="496"/>
        <v>0</v>
      </c>
      <c r="G456" s="439">
        <v>0</v>
      </c>
      <c r="H456" s="439">
        <v>0</v>
      </c>
      <c r="I456" s="435">
        <f t="shared" si="505"/>
        <v>0</v>
      </c>
      <c r="J456" s="435">
        <f t="shared" si="506"/>
        <v>0</v>
      </c>
      <c r="K456" s="439">
        <v>0</v>
      </c>
      <c r="L456" s="439">
        <v>0</v>
      </c>
      <c r="M456" s="439">
        <f t="shared" si="507"/>
        <v>0</v>
      </c>
      <c r="N456" s="439">
        <v>0</v>
      </c>
      <c r="O456" s="439">
        <v>0</v>
      </c>
      <c r="P456" s="440">
        <v>0</v>
      </c>
      <c r="Q456" s="439">
        <v>0</v>
      </c>
      <c r="R456" s="439">
        <f t="shared" si="502"/>
        <v>0</v>
      </c>
      <c r="S456" s="439">
        <f t="shared" si="503"/>
        <v>0</v>
      </c>
      <c r="T456" s="441"/>
      <c r="U456" s="439">
        <v>0</v>
      </c>
      <c r="V456" s="439">
        <f t="shared" si="497"/>
        <v>0</v>
      </c>
      <c r="W456" s="439">
        <v>0</v>
      </c>
      <c r="X456" s="439">
        <v>0</v>
      </c>
      <c r="Y456" s="435">
        <f t="shared" si="504"/>
        <v>0</v>
      </c>
      <c r="Z456" s="439">
        <v>0</v>
      </c>
      <c r="AA456" s="439">
        <v>0</v>
      </c>
      <c r="AB456" s="439">
        <v>0</v>
      </c>
      <c r="AC456" s="439">
        <v>0</v>
      </c>
      <c r="AD456" s="439">
        <v>0</v>
      </c>
      <c r="AE456" s="435">
        <f t="shared" si="470"/>
        <v>0</v>
      </c>
      <c r="AF456" s="439">
        <f t="shared" si="498"/>
        <v>0</v>
      </c>
      <c r="AG456" s="439">
        <v>0</v>
      </c>
      <c r="AH456" s="419">
        <f t="shared" si="495"/>
        <v>0</v>
      </c>
      <c r="AI456" s="439">
        <v>0</v>
      </c>
      <c r="AJ456" s="439">
        <v>0</v>
      </c>
      <c r="AK456" s="439">
        <f t="shared" si="499"/>
        <v>0</v>
      </c>
      <c r="AL456" s="439">
        <f t="shared" si="500"/>
        <v>0</v>
      </c>
      <c r="AM456" s="439">
        <f t="shared" si="501"/>
        <v>0</v>
      </c>
      <c r="AN456" s="438"/>
      <c r="AO456" s="438"/>
      <c r="AP456" s="438"/>
    </row>
    <row r="457" spans="1:42" ht="12.75">
      <c r="A457" s="412"/>
      <c r="B457" s="431"/>
      <c r="C457" s="432" t="s">
        <v>10258</v>
      </c>
      <c r="D457" s="433" t="s">
        <v>10260</v>
      </c>
      <c r="E457" s="434"/>
      <c r="F457" s="435">
        <f>SUM(F458:F467)</f>
        <v>3430913.69</v>
      </c>
      <c r="G457" s="435">
        <v>1024985.58</v>
      </c>
      <c r="H457" s="435">
        <v>590000</v>
      </c>
      <c r="I457" s="435">
        <f t="shared" si="505"/>
        <v>2840913.69</v>
      </c>
      <c r="J457" s="435">
        <f t="shared" si="506"/>
        <v>3180913.69</v>
      </c>
      <c r="K457" s="435">
        <v>250000</v>
      </c>
      <c r="L457" s="435">
        <v>0</v>
      </c>
      <c r="M457" s="435">
        <f t="shared" si="507"/>
        <v>3430913.69</v>
      </c>
      <c r="N457" s="435">
        <v>0</v>
      </c>
      <c r="O457" s="435">
        <v>0</v>
      </c>
      <c r="P457" s="436">
        <v>0</v>
      </c>
      <c r="Q457" s="435">
        <f t="shared" ref="Q457" si="508">SUM(Q458:Q467)</f>
        <v>1024985.58</v>
      </c>
      <c r="R457" s="435">
        <f t="shared" si="502"/>
        <v>0</v>
      </c>
      <c r="S457" s="435">
        <f t="shared" si="503"/>
        <v>1024985.58</v>
      </c>
      <c r="T457" s="437"/>
      <c r="U457" s="435">
        <v>0</v>
      </c>
      <c r="V457" s="435">
        <f>SUM(V458:V467)</f>
        <v>0</v>
      </c>
      <c r="W457" s="435">
        <f>SUM(W458:W467)</f>
        <v>120000</v>
      </c>
      <c r="X457" s="435">
        <f t="shared" ref="X457" si="509">SUM(X458:X467)</f>
        <v>1024985.58</v>
      </c>
      <c r="Y457" s="435">
        <f t="shared" si="504"/>
        <v>3742814.9345454546</v>
      </c>
      <c r="Z457" s="435">
        <v>0</v>
      </c>
      <c r="AA457" s="435">
        <v>0</v>
      </c>
      <c r="AB457" s="435">
        <f t="shared" ref="AB457:AM457" si="510">SUM(AB458:AB467)</f>
        <v>30000</v>
      </c>
      <c r="AC457" s="435">
        <f t="shared" si="510"/>
        <v>0</v>
      </c>
      <c r="AD457" s="435">
        <f t="shared" si="510"/>
        <v>1024985.58</v>
      </c>
      <c r="AE457" s="435">
        <f t="shared" si="470"/>
        <v>2405928.11</v>
      </c>
      <c r="AF457" s="435">
        <f t="shared" si="510"/>
        <v>0</v>
      </c>
      <c r="AG457" s="435">
        <f t="shared" si="510"/>
        <v>0</v>
      </c>
      <c r="AH457" s="419">
        <f t="shared" si="495"/>
        <v>-3430913.69</v>
      </c>
      <c r="AI457" s="435">
        <f t="shared" si="510"/>
        <v>0</v>
      </c>
      <c r="AJ457" s="435">
        <f t="shared" si="510"/>
        <v>0</v>
      </c>
      <c r="AK457" s="435">
        <f t="shared" si="510"/>
        <v>-120000</v>
      </c>
      <c r="AL457" s="435">
        <f t="shared" si="510"/>
        <v>0</v>
      </c>
      <c r="AM457" s="435">
        <f t="shared" si="510"/>
        <v>-1024985.58</v>
      </c>
      <c r="AN457" s="438"/>
      <c r="AO457" s="438"/>
      <c r="AP457" s="438"/>
    </row>
    <row r="458" spans="1:42" ht="12.75">
      <c r="A458" s="412"/>
      <c r="B458" s="431"/>
      <c r="C458" s="432" t="s">
        <v>480</v>
      </c>
      <c r="D458" s="433" t="s">
        <v>11297</v>
      </c>
      <c r="E458" s="434">
        <f>'PROSPETTO CE_IV TRIM 2024'!BM2205</f>
        <v>0</v>
      </c>
      <c r="F458" s="439">
        <f t="shared" ref="F458:F467" si="511">+E458</f>
        <v>0</v>
      </c>
      <c r="G458" s="439">
        <v>0</v>
      </c>
      <c r="H458" s="439">
        <v>0</v>
      </c>
      <c r="I458" s="435">
        <f t="shared" si="505"/>
        <v>0</v>
      </c>
      <c r="J458" s="435">
        <f t="shared" si="506"/>
        <v>0</v>
      </c>
      <c r="K458" s="439">
        <v>0</v>
      </c>
      <c r="L458" s="439">
        <v>0</v>
      </c>
      <c r="M458" s="439">
        <f t="shared" si="507"/>
        <v>0</v>
      </c>
      <c r="N458" s="439">
        <v>0</v>
      </c>
      <c r="O458" s="439">
        <v>0</v>
      </c>
      <c r="P458" s="440">
        <v>0</v>
      </c>
      <c r="Q458" s="439">
        <v>0</v>
      </c>
      <c r="R458" s="439">
        <f t="shared" si="502"/>
        <v>0</v>
      </c>
      <c r="S458" s="439">
        <f t="shared" si="503"/>
        <v>0</v>
      </c>
      <c r="T458" s="441"/>
      <c r="U458" s="439">
        <v>0</v>
      </c>
      <c r="V458" s="439">
        <f t="shared" ref="V458:V467" si="512">+AA458</f>
        <v>0</v>
      </c>
      <c r="W458" s="439">
        <v>0</v>
      </c>
      <c r="X458" s="439">
        <v>0</v>
      </c>
      <c r="Y458" s="435">
        <f t="shared" si="504"/>
        <v>0</v>
      </c>
      <c r="Z458" s="439">
        <v>0</v>
      </c>
      <c r="AA458" s="439">
        <v>0</v>
      </c>
      <c r="AB458" s="439">
        <v>0</v>
      </c>
      <c r="AC458" s="439">
        <v>0</v>
      </c>
      <c r="AD458" s="439">
        <v>0</v>
      </c>
      <c r="AE458" s="435">
        <f t="shared" si="470"/>
        <v>0</v>
      </c>
      <c r="AF458" s="439">
        <f t="shared" ref="AF458:AF467" si="513">AC458*2</f>
        <v>0</v>
      </c>
      <c r="AG458" s="439"/>
      <c r="AH458" s="419">
        <f t="shared" si="495"/>
        <v>0</v>
      </c>
      <c r="AI458" s="439"/>
      <c r="AJ458" s="439"/>
      <c r="AK458" s="439">
        <f t="shared" ref="AK458:AK467" si="514">AA458-W458</f>
        <v>0</v>
      </c>
      <c r="AL458" s="439">
        <f t="shared" ref="AL458:AL467" si="515">AA458-AF458</f>
        <v>0</v>
      </c>
      <c r="AM458" s="439">
        <f t="shared" ref="AM458:AM467" si="516">AA458-AD458</f>
        <v>0</v>
      </c>
      <c r="AN458" s="438"/>
      <c r="AO458" s="438"/>
      <c r="AP458" s="438"/>
    </row>
    <row r="459" spans="1:42" ht="12.75">
      <c r="A459" s="412"/>
      <c r="B459" s="431"/>
      <c r="C459" s="432" t="s">
        <v>481</v>
      </c>
      <c r="D459" s="433" t="s">
        <v>11298</v>
      </c>
      <c r="E459" s="434">
        <f>'PROSPETTO CE_IV TRIM 2024'!BM2207</f>
        <v>0</v>
      </c>
      <c r="F459" s="439">
        <f t="shared" si="511"/>
        <v>0</v>
      </c>
      <c r="G459" s="439">
        <v>0</v>
      </c>
      <c r="H459" s="439">
        <v>0</v>
      </c>
      <c r="I459" s="435">
        <f t="shared" si="505"/>
        <v>0</v>
      </c>
      <c r="J459" s="435">
        <f t="shared" si="506"/>
        <v>0</v>
      </c>
      <c r="K459" s="439">
        <v>0</v>
      </c>
      <c r="L459" s="439">
        <v>0</v>
      </c>
      <c r="M459" s="439">
        <f t="shared" si="507"/>
        <v>0</v>
      </c>
      <c r="N459" s="439">
        <v>0</v>
      </c>
      <c r="O459" s="439">
        <v>0</v>
      </c>
      <c r="P459" s="440">
        <v>0</v>
      </c>
      <c r="Q459" s="439">
        <v>0</v>
      </c>
      <c r="R459" s="439">
        <f t="shared" si="502"/>
        <v>0</v>
      </c>
      <c r="S459" s="439">
        <f t="shared" si="503"/>
        <v>0</v>
      </c>
      <c r="T459" s="441"/>
      <c r="U459" s="439">
        <v>0</v>
      </c>
      <c r="V459" s="439">
        <f t="shared" si="512"/>
        <v>0</v>
      </c>
      <c r="W459" s="439">
        <v>0</v>
      </c>
      <c r="X459" s="439">
        <v>0</v>
      </c>
      <c r="Y459" s="435">
        <f t="shared" si="504"/>
        <v>0</v>
      </c>
      <c r="Z459" s="439">
        <v>0</v>
      </c>
      <c r="AA459" s="439">
        <v>0</v>
      </c>
      <c r="AB459" s="439">
        <v>0</v>
      </c>
      <c r="AC459" s="439">
        <v>0</v>
      </c>
      <c r="AD459" s="439">
        <v>0</v>
      </c>
      <c r="AE459" s="435">
        <f t="shared" si="470"/>
        <v>0</v>
      </c>
      <c r="AF459" s="439">
        <f t="shared" si="513"/>
        <v>0</v>
      </c>
      <c r="AG459" s="439"/>
      <c r="AH459" s="419">
        <f t="shared" si="495"/>
        <v>0</v>
      </c>
      <c r="AI459" s="439"/>
      <c r="AJ459" s="439"/>
      <c r="AK459" s="439">
        <f t="shared" si="514"/>
        <v>0</v>
      </c>
      <c r="AL459" s="439">
        <f t="shared" si="515"/>
        <v>0</v>
      </c>
      <c r="AM459" s="439">
        <f t="shared" si="516"/>
        <v>0</v>
      </c>
      <c r="AN459" s="438"/>
      <c r="AO459" s="438"/>
      <c r="AP459" s="438"/>
    </row>
    <row r="460" spans="1:42" ht="12.75">
      <c r="A460" s="412"/>
      <c r="B460" s="431"/>
      <c r="C460" s="432" t="s">
        <v>482</v>
      </c>
      <c r="D460" s="433" t="s">
        <v>11299</v>
      </c>
      <c r="E460" s="434">
        <f>'PROSPETTO CE_IV TRIM 2024'!BM2209</f>
        <v>1079971.29</v>
      </c>
      <c r="F460" s="439">
        <f t="shared" si="511"/>
        <v>1079971.29</v>
      </c>
      <c r="G460" s="439">
        <v>946954.74</v>
      </c>
      <c r="H460" s="439">
        <v>0</v>
      </c>
      <c r="I460" s="435">
        <f t="shared" si="505"/>
        <v>1079971.29</v>
      </c>
      <c r="J460" s="435">
        <f t="shared" si="506"/>
        <v>1079971.29</v>
      </c>
      <c r="K460" s="439">
        <v>0</v>
      </c>
      <c r="L460" s="439">
        <v>0</v>
      </c>
      <c r="M460" s="439">
        <f t="shared" si="507"/>
        <v>1079971.29</v>
      </c>
      <c r="N460" s="439">
        <v>0</v>
      </c>
      <c r="O460" s="439">
        <v>0</v>
      </c>
      <c r="P460" s="440">
        <v>0</v>
      </c>
      <c r="Q460" s="439">
        <v>946954.74</v>
      </c>
      <c r="R460" s="439">
        <f t="shared" si="502"/>
        <v>0</v>
      </c>
      <c r="S460" s="439">
        <f t="shared" si="503"/>
        <v>946954.74</v>
      </c>
      <c r="T460" s="441"/>
      <c r="U460" s="439">
        <v>0</v>
      </c>
      <c r="V460" s="439">
        <f t="shared" si="512"/>
        <v>0</v>
      </c>
      <c r="W460" s="439">
        <v>0</v>
      </c>
      <c r="X460" s="439">
        <v>946954.74</v>
      </c>
      <c r="Y460" s="435">
        <f t="shared" si="504"/>
        <v>1178150.4981818183</v>
      </c>
      <c r="Z460" s="439">
        <v>0</v>
      </c>
      <c r="AA460" s="439">
        <v>0</v>
      </c>
      <c r="AB460" s="439">
        <v>0</v>
      </c>
      <c r="AC460" s="439">
        <v>0</v>
      </c>
      <c r="AD460" s="439">
        <v>946954.74</v>
      </c>
      <c r="AE460" s="435">
        <f t="shared" si="470"/>
        <v>133016.55000000005</v>
      </c>
      <c r="AF460" s="439">
        <f t="shared" si="513"/>
        <v>0</v>
      </c>
      <c r="AG460" s="439"/>
      <c r="AH460" s="419">
        <f t="shared" si="495"/>
        <v>-1079971.29</v>
      </c>
      <c r="AI460" s="439"/>
      <c r="AJ460" s="439"/>
      <c r="AK460" s="439">
        <f t="shared" si="514"/>
        <v>0</v>
      </c>
      <c r="AL460" s="439">
        <f t="shared" si="515"/>
        <v>0</v>
      </c>
      <c r="AM460" s="439">
        <f t="shared" si="516"/>
        <v>-946954.74</v>
      </c>
      <c r="AN460" s="438"/>
      <c r="AO460" s="438"/>
      <c r="AP460" s="438"/>
    </row>
    <row r="461" spans="1:42" ht="12.75">
      <c r="A461" s="412"/>
      <c r="B461" s="431"/>
      <c r="C461" s="432" t="s">
        <v>483</v>
      </c>
      <c r="D461" s="433" t="s">
        <v>11300</v>
      </c>
      <c r="E461" s="434">
        <f>'PROSPETTO CE_IV TRIM 2024'!BM2211</f>
        <v>95159.27</v>
      </c>
      <c r="F461" s="439">
        <f t="shared" si="511"/>
        <v>95159.27</v>
      </c>
      <c r="G461" s="439">
        <v>78030.84</v>
      </c>
      <c r="H461" s="439">
        <v>0</v>
      </c>
      <c r="I461" s="435">
        <f t="shared" si="505"/>
        <v>95159.27</v>
      </c>
      <c r="J461" s="435">
        <f t="shared" si="506"/>
        <v>95159.27</v>
      </c>
      <c r="K461" s="439">
        <v>0</v>
      </c>
      <c r="L461" s="439">
        <v>0</v>
      </c>
      <c r="M461" s="439">
        <f t="shared" si="507"/>
        <v>95159.27</v>
      </c>
      <c r="N461" s="439">
        <v>0</v>
      </c>
      <c r="O461" s="439">
        <v>0</v>
      </c>
      <c r="P461" s="440">
        <v>0</v>
      </c>
      <c r="Q461" s="439">
        <v>78030.84</v>
      </c>
      <c r="R461" s="439">
        <f t="shared" si="502"/>
        <v>0</v>
      </c>
      <c r="S461" s="439">
        <f t="shared" si="503"/>
        <v>78030.84</v>
      </c>
      <c r="T461" s="441"/>
      <c r="U461" s="439">
        <v>0</v>
      </c>
      <c r="V461" s="439">
        <f t="shared" si="512"/>
        <v>0</v>
      </c>
      <c r="W461" s="439">
        <v>0</v>
      </c>
      <c r="X461" s="439">
        <v>78030.84</v>
      </c>
      <c r="Y461" s="435">
        <f t="shared" si="504"/>
        <v>103810.11272727273</v>
      </c>
      <c r="Z461" s="439">
        <v>0</v>
      </c>
      <c r="AA461" s="439">
        <v>0</v>
      </c>
      <c r="AB461" s="439">
        <v>0</v>
      </c>
      <c r="AC461" s="439">
        <v>0</v>
      </c>
      <c r="AD461" s="439">
        <v>78030.84</v>
      </c>
      <c r="AE461" s="435">
        <f t="shared" si="470"/>
        <v>17128.430000000008</v>
      </c>
      <c r="AF461" s="439">
        <f t="shared" si="513"/>
        <v>0</v>
      </c>
      <c r="AG461" s="439"/>
      <c r="AH461" s="419">
        <f t="shared" si="495"/>
        <v>-95159.27</v>
      </c>
      <c r="AI461" s="439"/>
      <c r="AJ461" s="439"/>
      <c r="AK461" s="439">
        <f t="shared" si="514"/>
        <v>0</v>
      </c>
      <c r="AL461" s="439">
        <f t="shared" si="515"/>
        <v>0</v>
      </c>
      <c r="AM461" s="439">
        <f t="shared" si="516"/>
        <v>-78030.84</v>
      </c>
      <c r="AN461" s="438"/>
      <c r="AO461" s="438"/>
      <c r="AP461" s="438"/>
    </row>
    <row r="462" spans="1:42" ht="12.75">
      <c r="A462" s="412"/>
      <c r="B462" s="431"/>
      <c r="C462" s="432" t="s">
        <v>484</v>
      </c>
      <c r="D462" s="433" t="s">
        <v>11301</v>
      </c>
      <c r="E462" s="434">
        <f>'PROSPETTO CE_IV TRIM 2024'!BM2213</f>
        <v>1665783.13</v>
      </c>
      <c r="F462" s="439">
        <f t="shared" si="511"/>
        <v>1665783.13</v>
      </c>
      <c r="G462" s="439">
        <v>0</v>
      </c>
      <c r="H462" s="439">
        <v>0</v>
      </c>
      <c r="I462" s="435">
        <f t="shared" si="505"/>
        <v>1665783.13</v>
      </c>
      <c r="J462" s="435">
        <f t="shared" si="506"/>
        <v>1665783.13</v>
      </c>
      <c r="K462" s="439">
        <v>0</v>
      </c>
      <c r="L462" s="439">
        <v>0</v>
      </c>
      <c r="M462" s="439">
        <f t="shared" si="507"/>
        <v>1665783.13</v>
      </c>
      <c r="N462" s="439">
        <v>0</v>
      </c>
      <c r="O462" s="439">
        <v>0</v>
      </c>
      <c r="P462" s="440">
        <v>0</v>
      </c>
      <c r="Q462" s="439">
        <v>0</v>
      </c>
      <c r="R462" s="439">
        <f t="shared" si="502"/>
        <v>0</v>
      </c>
      <c r="S462" s="439">
        <f t="shared" si="503"/>
        <v>0</v>
      </c>
      <c r="T462" s="441"/>
      <c r="U462" s="439">
        <v>0</v>
      </c>
      <c r="V462" s="439">
        <f t="shared" si="512"/>
        <v>0</v>
      </c>
      <c r="W462" s="439">
        <v>0</v>
      </c>
      <c r="X462" s="439">
        <v>0</v>
      </c>
      <c r="Y462" s="435">
        <f t="shared" si="504"/>
        <v>1817217.96</v>
      </c>
      <c r="Z462" s="439">
        <v>0</v>
      </c>
      <c r="AA462" s="439">
        <v>0</v>
      </c>
      <c r="AB462" s="439">
        <v>0</v>
      </c>
      <c r="AC462" s="439">
        <v>0</v>
      </c>
      <c r="AD462" s="439">
        <v>0</v>
      </c>
      <c r="AE462" s="435">
        <f t="shared" si="470"/>
        <v>1665783.13</v>
      </c>
      <c r="AF462" s="439">
        <f t="shared" si="513"/>
        <v>0</v>
      </c>
      <c r="AG462" s="439"/>
      <c r="AH462" s="419">
        <f t="shared" si="495"/>
        <v>-1665783.13</v>
      </c>
      <c r="AI462" s="439"/>
      <c r="AJ462" s="439"/>
      <c r="AK462" s="439">
        <f t="shared" si="514"/>
        <v>0</v>
      </c>
      <c r="AL462" s="439">
        <f t="shared" si="515"/>
        <v>0</v>
      </c>
      <c r="AM462" s="439">
        <f t="shared" si="516"/>
        <v>0</v>
      </c>
      <c r="AN462" s="438"/>
      <c r="AO462" s="438"/>
      <c r="AP462" s="438"/>
    </row>
    <row r="463" spans="1:42" ht="12.75">
      <c r="A463" s="412"/>
      <c r="B463" s="431"/>
      <c r="C463" s="432" t="s">
        <v>10287</v>
      </c>
      <c r="D463" s="433" t="s">
        <v>10290</v>
      </c>
      <c r="E463" s="434">
        <f>'PROSPETTO CE_IV TRIM 2024'!BM2215</f>
        <v>0</v>
      </c>
      <c r="F463" s="439">
        <f t="shared" si="511"/>
        <v>0</v>
      </c>
      <c r="G463" s="439">
        <v>0</v>
      </c>
      <c r="H463" s="439">
        <v>0</v>
      </c>
      <c r="I463" s="435">
        <f t="shared" si="505"/>
        <v>0</v>
      </c>
      <c r="J463" s="435">
        <f t="shared" si="506"/>
        <v>0</v>
      </c>
      <c r="K463" s="439">
        <v>0</v>
      </c>
      <c r="L463" s="439">
        <v>0</v>
      </c>
      <c r="M463" s="439">
        <f t="shared" si="507"/>
        <v>0</v>
      </c>
      <c r="N463" s="439">
        <v>0</v>
      </c>
      <c r="O463" s="439">
        <v>0</v>
      </c>
      <c r="P463" s="440">
        <v>0</v>
      </c>
      <c r="Q463" s="439">
        <v>0</v>
      </c>
      <c r="R463" s="439">
        <f t="shared" si="502"/>
        <v>0</v>
      </c>
      <c r="S463" s="439">
        <f t="shared" si="503"/>
        <v>0</v>
      </c>
      <c r="T463" s="441"/>
      <c r="U463" s="439">
        <v>0</v>
      </c>
      <c r="V463" s="439">
        <f t="shared" si="512"/>
        <v>0</v>
      </c>
      <c r="W463" s="439">
        <v>0</v>
      </c>
      <c r="X463" s="439">
        <v>0</v>
      </c>
      <c r="Y463" s="435">
        <f t="shared" si="504"/>
        <v>0</v>
      </c>
      <c r="Z463" s="439">
        <v>0</v>
      </c>
      <c r="AA463" s="439">
        <v>0</v>
      </c>
      <c r="AB463" s="439">
        <v>0</v>
      </c>
      <c r="AC463" s="439">
        <v>0</v>
      </c>
      <c r="AD463" s="439">
        <v>0</v>
      </c>
      <c r="AE463" s="435">
        <f t="shared" si="470"/>
        <v>0</v>
      </c>
      <c r="AF463" s="439">
        <f t="shared" si="513"/>
        <v>0</v>
      </c>
      <c r="AG463" s="439"/>
      <c r="AH463" s="419">
        <f t="shared" si="495"/>
        <v>0</v>
      </c>
      <c r="AI463" s="439"/>
      <c r="AJ463" s="439"/>
      <c r="AK463" s="439">
        <f t="shared" si="514"/>
        <v>0</v>
      </c>
      <c r="AL463" s="439">
        <f t="shared" si="515"/>
        <v>0</v>
      </c>
      <c r="AM463" s="439">
        <f t="shared" si="516"/>
        <v>0</v>
      </c>
      <c r="AN463" s="438"/>
      <c r="AO463" s="438"/>
      <c r="AP463" s="438"/>
    </row>
    <row r="464" spans="1:42" ht="12.75">
      <c r="A464" s="412"/>
      <c r="B464" s="431"/>
      <c r="C464" s="432" t="s">
        <v>10292</v>
      </c>
      <c r="D464" s="433" t="s">
        <v>10295</v>
      </c>
      <c r="E464" s="434">
        <f>'PROSPETTO CE_IV TRIM 2024'!BM2217</f>
        <v>0</v>
      </c>
      <c r="F464" s="439">
        <f t="shared" si="511"/>
        <v>0</v>
      </c>
      <c r="G464" s="439">
        <v>0</v>
      </c>
      <c r="H464" s="439">
        <v>0</v>
      </c>
      <c r="I464" s="435">
        <f t="shared" si="505"/>
        <v>0</v>
      </c>
      <c r="J464" s="435">
        <f t="shared" si="506"/>
        <v>0</v>
      </c>
      <c r="K464" s="439">
        <v>0</v>
      </c>
      <c r="L464" s="439">
        <v>0</v>
      </c>
      <c r="M464" s="439">
        <f t="shared" si="507"/>
        <v>0</v>
      </c>
      <c r="N464" s="439">
        <v>0</v>
      </c>
      <c r="O464" s="439">
        <v>0</v>
      </c>
      <c r="P464" s="440">
        <v>0</v>
      </c>
      <c r="Q464" s="439">
        <v>0</v>
      </c>
      <c r="R464" s="439">
        <f t="shared" si="502"/>
        <v>0</v>
      </c>
      <c r="S464" s="439">
        <f t="shared" si="503"/>
        <v>0</v>
      </c>
      <c r="T464" s="441"/>
      <c r="U464" s="439">
        <v>0</v>
      </c>
      <c r="V464" s="439">
        <f t="shared" si="512"/>
        <v>0</v>
      </c>
      <c r="W464" s="439">
        <v>0</v>
      </c>
      <c r="X464" s="439">
        <v>0</v>
      </c>
      <c r="Y464" s="435">
        <f t="shared" si="504"/>
        <v>0</v>
      </c>
      <c r="Z464" s="439">
        <v>0</v>
      </c>
      <c r="AA464" s="439">
        <v>0</v>
      </c>
      <c r="AB464" s="439">
        <v>0</v>
      </c>
      <c r="AC464" s="439">
        <v>0</v>
      </c>
      <c r="AD464" s="439">
        <v>0</v>
      </c>
      <c r="AE464" s="435">
        <f t="shared" si="470"/>
        <v>0</v>
      </c>
      <c r="AF464" s="439">
        <f t="shared" si="513"/>
        <v>0</v>
      </c>
      <c r="AG464" s="439">
        <v>0</v>
      </c>
      <c r="AH464" s="419">
        <f t="shared" si="495"/>
        <v>0</v>
      </c>
      <c r="AI464" s="439">
        <v>0</v>
      </c>
      <c r="AJ464" s="439">
        <v>0</v>
      </c>
      <c r="AK464" s="439">
        <f t="shared" si="514"/>
        <v>0</v>
      </c>
      <c r="AL464" s="439">
        <f t="shared" si="515"/>
        <v>0</v>
      </c>
      <c r="AM464" s="439">
        <f t="shared" si="516"/>
        <v>0</v>
      </c>
      <c r="AN464" s="438"/>
      <c r="AO464" s="438"/>
      <c r="AP464" s="438"/>
    </row>
    <row r="465" spans="1:42" ht="12.75">
      <c r="A465" s="412"/>
      <c r="B465" s="431"/>
      <c r="C465" s="432" t="s">
        <v>10297</v>
      </c>
      <c r="D465" s="433" t="s">
        <v>10300</v>
      </c>
      <c r="E465" s="434">
        <f>'PROSPETTO CE_IV TRIM 2024'!BM2219</f>
        <v>0</v>
      </c>
      <c r="F465" s="439">
        <f t="shared" si="511"/>
        <v>0</v>
      </c>
      <c r="G465" s="439">
        <v>0</v>
      </c>
      <c r="H465" s="439">
        <v>0</v>
      </c>
      <c r="I465" s="435">
        <f t="shared" si="505"/>
        <v>0</v>
      </c>
      <c r="J465" s="435">
        <f t="shared" si="506"/>
        <v>0</v>
      </c>
      <c r="K465" s="439">
        <v>0</v>
      </c>
      <c r="L465" s="439">
        <v>0</v>
      </c>
      <c r="M465" s="439">
        <f t="shared" si="507"/>
        <v>0</v>
      </c>
      <c r="N465" s="439">
        <v>0</v>
      </c>
      <c r="O465" s="439">
        <v>0</v>
      </c>
      <c r="P465" s="440">
        <v>0</v>
      </c>
      <c r="Q465" s="439">
        <v>0</v>
      </c>
      <c r="R465" s="439">
        <f t="shared" si="502"/>
        <v>0</v>
      </c>
      <c r="S465" s="439">
        <f t="shared" si="503"/>
        <v>0</v>
      </c>
      <c r="T465" s="441"/>
      <c r="U465" s="439">
        <v>0</v>
      </c>
      <c r="V465" s="439">
        <f t="shared" si="512"/>
        <v>0</v>
      </c>
      <c r="W465" s="439">
        <v>0</v>
      </c>
      <c r="X465" s="439">
        <v>0</v>
      </c>
      <c r="Y465" s="435">
        <f t="shared" si="504"/>
        <v>0</v>
      </c>
      <c r="Z465" s="439">
        <v>0</v>
      </c>
      <c r="AA465" s="439">
        <v>0</v>
      </c>
      <c r="AB465" s="439">
        <v>0</v>
      </c>
      <c r="AC465" s="439">
        <v>0</v>
      </c>
      <c r="AD465" s="439">
        <v>0</v>
      </c>
      <c r="AE465" s="435">
        <f t="shared" si="470"/>
        <v>0</v>
      </c>
      <c r="AF465" s="439">
        <f t="shared" si="513"/>
        <v>0</v>
      </c>
      <c r="AG465" s="439">
        <v>0</v>
      </c>
      <c r="AH465" s="419">
        <f t="shared" si="495"/>
        <v>0</v>
      </c>
      <c r="AI465" s="439">
        <v>0</v>
      </c>
      <c r="AJ465" s="439">
        <v>0</v>
      </c>
      <c r="AK465" s="439">
        <f t="shared" si="514"/>
        <v>0</v>
      </c>
      <c r="AL465" s="439">
        <f t="shared" si="515"/>
        <v>0</v>
      </c>
      <c r="AM465" s="439">
        <f t="shared" si="516"/>
        <v>0</v>
      </c>
      <c r="AN465" s="438"/>
      <c r="AO465" s="438"/>
      <c r="AP465" s="438"/>
    </row>
    <row r="466" spans="1:42" ht="12.75">
      <c r="A466" s="412"/>
      <c r="B466" s="431"/>
      <c r="C466" s="432" t="s">
        <v>10302</v>
      </c>
      <c r="D466" s="433" t="s">
        <v>10305</v>
      </c>
      <c r="E466" s="434">
        <f>'PROSPETTO CE_IV TRIM 2024'!BM2221</f>
        <v>340000</v>
      </c>
      <c r="F466" s="439">
        <f t="shared" si="511"/>
        <v>340000</v>
      </c>
      <c r="G466" s="439">
        <v>0</v>
      </c>
      <c r="H466" s="439">
        <v>340000</v>
      </c>
      <c r="I466" s="435">
        <f t="shared" si="505"/>
        <v>0</v>
      </c>
      <c r="J466" s="435">
        <f t="shared" si="506"/>
        <v>340000</v>
      </c>
      <c r="K466" s="439">
        <v>0</v>
      </c>
      <c r="L466" s="439">
        <v>0</v>
      </c>
      <c r="M466" s="439">
        <f t="shared" si="507"/>
        <v>340000</v>
      </c>
      <c r="N466" s="439">
        <v>0</v>
      </c>
      <c r="O466" s="439">
        <v>0</v>
      </c>
      <c r="P466" s="440">
        <v>0</v>
      </c>
      <c r="Q466" s="439">
        <v>0</v>
      </c>
      <c r="R466" s="439">
        <f t="shared" si="502"/>
        <v>0</v>
      </c>
      <c r="S466" s="439">
        <f t="shared" si="503"/>
        <v>0</v>
      </c>
      <c r="T466" s="441"/>
      <c r="U466" s="439">
        <v>0</v>
      </c>
      <c r="V466" s="439">
        <f t="shared" si="512"/>
        <v>0</v>
      </c>
      <c r="W466" s="439">
        <v>0</v>
      </c>
      <c r="X466" s="439">
        <v>0</v>
      </c>
      <c r="Y466" s="435">
        <f t="shared" si="504"/>
        <v>370909.09090909088</v>
      </c>
      <c r="Z466" s="439">
        <v>0</v>
      </c>
      <c r="AA466" s="439">
        <v>0</v>
      </c>
      <c r="AB466" s="439">
        <v>0</v>
      </c>
      <c r="AC466" s="439">
        <v>0</v>
      </c>
      <c r="AD466" s="439">
        <v>0</v>
      </c>
      <c r="AE466" s="435">
        <f t="shared" si="470"/>
        <v>340000</v>
      </c>
      <c r="AF466" s="439">
        <f t="shared" si="513"/>
        <v>0</v>
      </c>
      <c r="AG466" s="439">
        <v>0</v>
      </c>
      <c r="AH466" s="419">
        <f t="shared" si="495"/>
        <v>-340000</v>
      </c>
      <c r="AI466" s="439">
        <v>0</v>
      </c>
      <c r="AJ466" s="439">
        <v>0</v>
      </c>
      <c r="AK466" s="439">
        <f t="shared" si="514"/>
        <v>0</v>
      </c>
      <c r="AL466" s="439">
        <f t="shared" si="515"/>
        <v>0</v>
      </c>
      <c r="AM466" s="439">
        <f t="shared" si="516"/>
        <v>0</v>
      </c>
      <c r="AN466" s="438"/>
      <c r="AO466" s="438"/>
      <c r="AP466" s="438"/>
    </row>
    <row r="467" spans="1:42" ht="12.75">
      <c r="A467" s="412"/>
      <c r="B467" s="431"/>
      <c r="C467" s="432" t="s">
        <v>485</v>
      </c>
      <c r="D467" s="433" t="s">
        <v>10309</v>
      </c>
      <c r="E467" s="434">
        <f>'PROSPETTO CE_IV TRIM 2024'!BM2223</f>
        <v>250000</v>
      </c>
      <c r="F467" s="439">
        <f t="shared" si="511"/>
        <v>250000</v>
      </c>
      <c r="G467" s="439">
        <v>0</v>
      </c>
      <c r="H467" s="439">
        <v>250000</v>
      </c>
      <c r="I467" s="435">
        <f t="shared" si="505"/>
        <v>0</v>
      </c>
      <c r="J467" s="435">
        <f t="shared" si="506"/>
        <v>0</v>
      </c>
      <c r="K467" s="439">
        <v>250000</v>
      </c>
      <c r="L467" s="439">
        <v>0</v>
      </c>
      <c r="M467" s="439">
        <f t="shared" si="507"/>
        <v>250000</v>
      </c>
      <c r="N467" s="439">
        <v>0</v>
      </c>
      <c r="O467" s="439">
        <v>0</v>
      </c>
      <c r="P467" s="440">
        <v>0</v>
      </c>
      <c r="Q467" s="439">
        <v>0</v>
      </c>
      <c r="R467" s="439">
        <f t="shared" si="502"/>
        <v>0</v>
      </c>
      <c r="S467" s="439">
        <f t="shared" si="503"/>
        <v>0</v>
      </c>
      <c r="T467" s="441"/>
      <c r="U467" s="439">
        <v>0</v>
      </c>
      <c r="V467" s="439">
        <f t="shared" si="512"/>
        <v>0</v>
      </c>
      <c r="W467" s="439">
        <v>120000</v>
      </c>
      <c r="X467" s="439">
        <v>0</v>
      </c>
      <c r="Y467" s="435">
        <f t="shared" si="504"/>
        <v>272727.27272727271</v>
      </c>
      <c r="Z467" s="439">
        <v>0</v>
      </c>
      <c r="AA467" s="439">
        <v>0</v>
      </c>
      <c r="AB467" s="439">
        <v>30000</v>
      </c>
      <c r="AC467" s="439">
        <v>0</v>
      </c>
      <c r="AD467" s="439">
        <v>0</v>
      </c>
      <c r="AE467" s="435">
        <f t="shared" si="470"/>
        <v>250000</v>
      </c>
      <c r="AF467" s="439">
        <f t="shared" si="513"/>
        <v>0</v>
      </c>
      <c r="AG467" s="439">
        <v>0</v>
      </c>
      <c r="AH467" s="419">
        <f t="shared" si="495"/>
        <v>-250000</v>
      </c>
      <c r="AI467" s="439">
        <v>0</v>
      </c>
      <c r="AJ467" s="439">
        <v>0</v>
      </c>
      <c r="AK467" s="439">
        <f t="shared" si="514"/>
        <v>-120000</v>
      </c>
      <c r="AL467" s="439">
        <f t="shared" si="515"/>
        <v>0</v>
      </c>
      <c r="AM467" s="439">
        <f t="shared" si="516"/>
        <v>0</v>
      </c>
      <c r="AN467" s="438"/>
      <c r="AO467" s="438"/>
      <c r="AP467" s="438"/>
    </row>
    <row r="468" spans="1:42" ht="12.75">
      <c r="A468" s="412"/>
      <c r="B468" s="431"/>
      <c r="C468" s="447" t="s">
        <v>11302</v>
      </c>
      <c r="D468" s="448" t="s">
        <v>11303</v>
      </c>
      <c r="E468" s="449"/>
      <c r="F468" s="450">
        <f>+F440+F423+F413+F405+F363+F353+F345+F176+F137+F420</f>
        <v>343816219.11000001</v>
      </c>
      <c r="G468" s="450">
        <v>332725954.62</v>
      </c>
      <c r="H468" s="450">
        <v>339805218.59960687</v>
      </c>
      <c r="I468" s="435">
        <f t="shared" si="505"/>
        <v>4011000.5103931427</v>
      </c>
      <c r="J468" s="451">
        <f t="shared" si="506"/>
        <v>5166061.5503931642</v>
      </c>
      <c r="K468" s="450">
        <v>338650157.55960685</v>
      </c>
      <c r="L468" s="450">
        <v>348172122.41270685</v>
      </c>
      <c r="M468" s="450">
        <f t="shared" si="507"/>
        <v>6011097.3529891968</v>
      </c>
      <c r="N468" s="450">
        <v>342029993.04050231</v>
      </c>
      <c r="O468" s="450">
        <v>343029887.68383569</v>
      </c>
      <c r="P468" s="452">
        <v>337805121.75701082</v>
      </c>
      <c r="Q468" s="450">
        <f>+Q440+Q423+Q413+Q405+Q363+Q353+Q345+Q176+Q137+Q420</f>
        <v>332725954.62</v>
      </c>
      <c r="R468" s="450">
        <f t="shared" si="502"/>
        <v>-4224871.2834914923</v>
      </c>
      <c r="S468" s="450">
        <f t="shared" si="503"/>
        <v>-9304038.420502305</v>
      </c>
      <c r="T468" s="453">
        <f>(F468-P468)/F468*100</f>
        <v>1.7483460694639352</v>
      </c>
      <c r="U468" s="450">
        <v>248395240.42212927</v>
      </c>
      <c r="V468" s="450">
        <f>+V440+V423+V413+V405+V363+V353+V345+V176+V137+V420</f>
        <v>337805121.75701082</v>
      </c>
      <c r="W468" s="450">
        <f>+W440+W423+W413+W405+W363+W353+W345+W176+W137+W420</f>
        <v>330390423.42000002</v>
      </c>
      <c r="X468" s="450">
        <f>+X440+X423+X413+X405+X363+X353+X345+X176+X137+X420</f>
        <v>332725954.62</v>
      </c>
      <c r="Y468" s="435">
        <f t="shared" si="504"/>
        <v>375072239.02909094</v>
      </c>
      <c r="Z468" s="450">
        <v>338643064.14339894</v>
      </c>
      <c r="AA468" s="450">
        <v>337805122.24701083</v>
      </c>
      <c r="AB468" s="450">
        <f>+AB440+AB423+AB413+AB405+AB363+AB353+AB345+AB176+AB137+AB420</f>
        <v>81878643.5</v>
      </c>
      <c r="AC468" s="450">
        <f>+AC440+AC423+AC413+AC405+AC363+AC353+AC345+AC176+AC137+AC420</f>
        <v>168997959.97805792</v>
      </c>
      <c r="AD468" s="450">
        <f>+AD440+AD423+AD413+AD405+AD363+AD353+AD345+AD176+AD137+AD420</f>
        <v>332725954.62</v>
      </c>
      <c r="AE468" s="435">
        <f t="shared" si="470"/>
        <v>11090264.49000001</v>
      </c>
      <c r="AF468" s="450">
        <f t="shared" ref="AF468:AM468" si="517">+AF440+AF423+AF413+AF405+AF363+AF353+AF345+AF176+AF137+AF420</f>
        <v>337995919.95611584</v>
      </c>
      <c r="AG468" s="450">
        <f t="shared" si="517"/>
        <v>0</v>
      </c>
      <c r="AH468" s="419">
        <f t="shared" si="495"/>
        <v>-343816219.11000001</v>
      </c>
      <c r="AI468" s="450">
        <f t="shared" si="517"/>
        <v>0</v>
      </c>
      <c r="AJ468" s="450">
        <f t="shared" si="517"/>
        <v>0</v>
      </c>
      <c r="AK468" s="450">
        <f t="shared" si="517"/>
        <v>7414698.8270108402</v>
      </c>
      <c r="AL468" s="450">
        <f t="shared" si="517"/>
        <v>-190797.70910499798</v>
      </c>
      <c r="AM468" s="450">
        <f t="shared" si="517"/>
        <v>5079167.6270108297</v>
      </c>
      <c r="AN468" s="438"/>
      <c r="AO468" s="438"/>
      <c r="AP468" s="438"/>
    </row>
    <row r="469" spans="1:42" ht="12.75">
      <c r="A469" s="412"/>
      <c r="B469" s="431"/>
      <c r="C469" s="432" t="s">
        <v>10329</v>
      </c>
      <c r="D469" s="433" t="s">
        <v>10332</v>
      </c>
      <c r="E469" s="434"/>
      <c r="F469" s="435">
        <f>+F470+F471+F472</f>
        <v>5915.46</v>
      </c>
      <c r="G469" s="435">
        <v>35845.54</v>
      </c>
      <c r="H469" s="435">
        <v>5915.46</v>
      </c>
      <c r="I469" s="435">
        <f t="shared" si="505"/>
        <v>0</v>
      </c>
      <c r="J469" s="435">
        <f t="shared" si="506"/>
        <v>0</v>
      </c>
      <c r="K469" s="435">
        <v>5915.46</v>
      </c>
      <c r="L469" s="435">
        <v>5915.46</v>
      </c>
      <c r="M469" s="435">
        <f t="shared" si="507"/>
        <v>3052.105</v>
      </c>
      <c r="N469" s="435">
        <v>55203.077499999999</v>
      </c>
      <c r="O469" s="435">
        <v>55203.077499999999</v>
      </c>
      <c r="P469" s="436">
        <v>2863.355</v>
      </c>
      <c r="Q469" s="435">
        <f t="shared" ref="Q469" si="518">+Q470+Q471+Q472</f>
        <v>35845.54</v>
      </c>
      <c r="R469" s="435">
        <f t="shared" si="502"/>
        <v>-52339.722499999996</v>
      </c>
      <c r="S469" s="435">
        <f t="shared" si="503"/>
        <v>-19357.537499999999</v>
      </c>
      <c r="T469" s="437">
        <f>(F469-P469)/F469*100</f>
        <v>51.595395793395618</v>
      </c>
      <c r="U469" s="435">
        <v>32720.635000000002</v>
      </c>
      <c r="V469" s="435">
        <f>+V470+V471+V472</f>
        <v>2863.355</v>
      </c>
      <c r="W469" s="435">
        <f>+W470+W471+W472</f>
        <v>0</v>
      </c>
      <c r="X469" s="435">
        <f t="shared" ref="X469" si="519">+X470+X471+X472</f>
        <v>35845.54</v>
      </c>
      <c r="Y469" s="435">
        <f t="shared" si="504"/>
        <v>6453.2290909090907</v>
      </c>
      <c r="Z469" s="435">
        <v>2863.355</v>
      </c>
      <c r="AA469" s="435">
        <v>2863.355</v>
      </c>
      <c r="AB469" s="435">
        <f t="shared" ref="AB469:AM469" si="520">+AB470+AB471+AB472</f>
        <v>5727</v>
      </c>
      <c r="AC469" s="435">
        <f t="shared" si="520"/>
        <v>17922.77</v>
      </c>
      <c r="AD469" s="435">
        <f t="shared" si="520"/>
        <v>35845.54</v>
      </c>
      <c r="AE469" s="435">
        <f t="shared" si="470"/>
        <v>-29930.080000000002</v>
      </c>
      <c r="AF469" s="435">
        <f t="shared" si="520"/>
        <v>35845.54</v>
      </c>
      <c r="AG469" s="435">
        <f t="shared" si="520"/>
        <v>0</v>
      </c>
      <c r="AH469" s="419">
        <f t="shared" si="495"/>
        <v>-5915.46</v>
      </c>
      <c r="AI469" s="435">
        <f t="shared" si="520"/>
        <v>0</v>
      </c>
      <c r="AJ469" s="435">
        <f t="shared" si="520"/>
        <v>0</v>
      </c>
      <c r="AK469" s="435">
        <f t="shared" si="520"/>
        <v>2863.355</v>
      </c>
      <c r="AL469" s="435">
        <f t="shared" si="520"/>
        <v>-32982.184999999998</v>
      </c>
      <c r="AM469" s="435">
        <f t="shared" si="520"/>
        <v>-32982.184999999998</v>
      </c>
      <c r="AN469" s="438"/>
      <c r="AO469" s="438"/>
      <c r="AP469" s="438"/>
    </row>
    <row r="470" spans="1:42" ht="12.75">
      <c r="A470" s="412"/>
      <c r="B470" s="431"/>
      <c r="C470" s="432" t="s">
        <v>10333</v>
      </c>
      <c r="D470" s="433" t="s">
        <v>10336</v>
      </c>
      <c r="E470" s="434">
        <f>'PROSPETTO CE_IV TRIM 2024'!BM2235</f>
        <v>0</v>
      </c>
      <c r="F470" s="439">
        <f>+E470</f>
        <v>0</v>
      </c>
      <c r="G470" s="439">
        <v>0</v>
      </c>
      <c r="H470" s="439">
        <v>0</v>
      </c>
      <c r="I470" s="435">
        <f t="shared" si="505"/>
        <v>0</v>
      </c>
      <c r="J470" s="435">
        <f t="shared" si="506"/>
        <v>0</v>
      </c>
      <c r="K470" s="439">
        <v>0</v>
      </c>
      <c r="L470" s="439">
        <v>0</v>
      </c>
      <c r="M470" s="439">
        <f t="shared" si="507"/>
        <v>0</v>
      </c>
      <c r="N470" s="439">
        <v>0</v>
      </c>
      <c r="O470" s="439">
        <v>0</v>
      </c>
      <c r="P470" s="440">
        <v>0</v>
      </c>
      <c r="Q470" s="439">
        <v>0</v>
      </c>
      <c r="R470" s="439">
        <f t="shared" si="502"/>
        <v>0</v>
      </c>
      <c r="S470" s="439">
        <f t="shared" si="503"/>
        <v>0</v>
      </c>
      <c r="T470" s="441"/>
      <c r="U470" s="439">
        <v>0</v>
      </c>
      <c r="V470" s="439">
        <f>+AA470</f>
        <v>0</v>
      </c>
      <c r="W470" s="439">
        <v>0</v>
      </c>
      <c r="X470" s="439">
        <v>0</v>
      </c>
      <c r="Y470" s="435">
        <f t="shared" si="504"/>
        <v>0</v>
      </c>
      <c r="Z470" s="439">
        <v>0</v>
      </c>
      <c r="AA470" s="439">
        <v>0</v>
      </c>
      <c r="AB470" s="439">
        <v>0</v>
      </c>
      <c r="AC470" s="439">
        <v>0</v>
      </c>
      <c r="AD470" s="439">
        <v>0</v>
      </c>
      <c r="AE470" s="435">
        <f t="shared" si="470"/>
        <v>0</v>
      </c>
      <c r="AF470" s="439">
        <f>AC470*2</f>
        <v>0</v>
      </c>
      <c r="AG470" s="439"/>
      <c r="AH470" s="419">
        <f t="shared" si="495"/>
        <v>0</v>
      </c>
      <c r="AI470" s="439"/>
      <c r="AJ470" s="439"/>
      <c r="AK470" s="439">
        <f>AA470-W470</f>
        <v>0</v>
      </c>
      <c r="AL470" s="439">
        <f>AA470-AF470</f>
        <v>0</v>
      </c>
      <c r="AM470" s="439">
        <f>AA470-AD470</f>
        <v>0</v>
      </c>
      <c r="AN470" s="438"/>
      <c r="AO470" s="438"/>
      <c r="AP470" s="438"/>
    </row>
    <row r="471" spans="1:42" ht="12.75">
      <c r="A471" s="412"/>
      <c r="B471" s="431"/>
      <c r="C471" s="432" t="s">
        <v>10339</v>
      </c>
      <c r="D471" s="433" t="s">
        <v>10342</v>
      </c>
      <c r="E471" s="434">
        <f>'PROSPETTO CE_IV TRIM 2024'!BM2238</f>
        <v>0</v>
      </c>
      <c r="F471" s="439">
        <f>+E471</f>
        <v>0</v>
      </c>
      <c r="G471" s="439">
        <v>0</v>
      </c>
      <c r="H471" s="439">
        <v>0</v>
      </c>
      <c r="I471" s="435">
        <f t="shared" si="505"/>
        <v>0</v>
      </c>
      <c r="J471" s="435">
        <f t="shared" si="506"/>
        <v>0</v>
      </c>
      <c r="K471" s="439">
        <v>0</v>
      </c>
      <c r="L471" s="439">
        <v>0</v>
      </c>
      <c r="M471" s="439">
        <f t="shared" si="507"/>
        <v>0</v>
      </c>
      <c r="N471" s="439">
        <v>0</v>
      </c>
      <c r="O471" s="439">
        <v>0</v>
      </c>
      <c r="P471" s="440">
        <v>0</v>
      </c>
      <c r="Q471" s="439">
        <v>0</v>
      </c>
      <c r="R471" s="439">
        <f t="shared" si="502"/>
        <v>0</v>
      </c>
      <c r="S471" s="439">
        <f t="shared" si="503"/>
        <v>0</v>
      </c>
      <c r="T471" s="441"/>
      <c r="U471" s="439">
        <v>0</v>
      </c>
      <c r="V471" s="439">
        <f>+AA471</f>
        <v>0</v>
      </c>
      <c r="W471" s="439">
        <v>0</v>
      </c>
      <c r="X471" s="439">
        <v>0</v>
      </c>
      <c r="Y471" s="435">
        <f t="shared" si="504"/>
        <v>0</v>
      </c>
      <c r="Z471" s="439">
        <v>0</v>
      </c>
      <c r="AA471" s="439">
        <v>0</v>
      </c>
      <c r="AB471" s="439">
        <v>0</v>
      </c>
      <c r="AC471" s="439">
        <v>0</v>
      </c>
      <c r="AD471" s="439">
        <v>0</v>
      </c>
      <c r="AE471" s="435">
        <f t="shared" si="470"/>
        <v>0</v>
      </c>
      <c r="AF471" s="439">
        <f>AC471*2</f>
        <v>0</v>
      </c>
      <c r="AG471" s="439"/>
      <c r="AH471" s="419">
        <f t="shared" si="495"/>
        <v>0</v>
      </c>
      <c r="AI471" s="439"/>
      <c r="AJ471" s="439"/>
      <c r="AK471" s="439">
        <f>AA471-W471</f>
        <v>0</v>
      </c>
      <c r="AL471" s="439">
        <f>AA471-AF471</f>
        <v>0</v>
      </c>
      <c r="AM471" s="439">
        <f>AA471-AD471</f>
        <v>0</v>
      </c>
      <c r="AN471" s="438"/>
      <c r="AO471" s="438"/>
      <c r="AP471" s="438"/>
    </row>
    <row r="472" spans="1:42" ht="12.75">
      <c r="A472" s="412"/>
      <c r="B472" s="431"/>
      <c r="C472" s="432" t="s">
        <v>10347</v>
      </c>
      <c r="D472" s="433" t="s">
        <v>10350</v>
      </c>
      <c r="E472" s="434">
        <f>'PROSPETTO CE_IV TRIM 2024'!BM2242</f>
        <v>5915.46</v>
      </c>
      <c r="F472" s="439">
        <f>+E472</f>
        <v>5915.46</v>
      </c>
      <c r="G472" s="439">
        <v>35845.54</v>
      </c>
      <c r="H472" s="439">
        <v>5915.46</v>
      </c>
      <c r="I472" s="435">
        <f t="shared" si="505"/>
        <v>0</v>
      </c>
      <c r="J472" s="435">
        <f t="shared" si="506"/>
        <v>0</v>
      </c>
      <c r="K472" s="439">
        <v>5915.46</v>
      </c>
      <c r="L472" s="439">
        <v>5915.46</v>
      </c>
      <c r="M472" s="439">
        <f t="shared" si="507"/>
        <v>3052.105</v>
      </c>
      <c r="N472" s="439">
        <v>55203.077499999999</v>
      </c>
      <c r="O472" s="439">
        <v>55203.077499999999</v>
      </c>
      <c r="P472" s="440">
        <v>2863.355</v>
      </c>
      <c r="Q472" s="439">
        <v>35845.54</v>
      </c>
      <c r="R472" s="439">
        <f t="shared" si="502"/>
        <v>-52339.722499999996</v>
      </c>
      <c r="S472" s="439">
        <f t="shared" si="503"/>
        <v>-19357.537499999999</v>
      </c>
      <c r="T472" s="441">
        <f>(F472-P472)/F472*100</f>
        <v>51.595395793395618</v>
      </c>
      <c r="U472" s="439">
        <v>32720.635000000002</v>
      </c>
      <c r="V472" s="439">
        <f>+AA472</f>
        <v>2863.355</v>
      </c>
      <c r="W472" s="439">
        <v>0</v>
      </c>
      <c r="X472" s="439">
        <v>35845.54</v>
      </c>
      <c r="Y472" s="435">
        <f t="shared" si="504"/>
        <v>6453.2290909090907</v>
      </c>
      <c r="Z472" s="439">
        <v>2863.355</v>
      </c>
      <c r="AA472" s="439">
        <v>2863.355</v>
      </c>
      <c r="AB472" s="439">
        <v>5727</v>
      </c>
      <c r="AC472" s="439">
        <v>17922.77</v>
      </c>
      <c r="AD472" s="439">
        <v>35845.54</v>
      </c>
      <c r="AE472" s="435">
        <f t="shared" si="470"/>
        <v>-29930.080000000002</v>
      </c>
      <c r="AF472" s="439">
        <f>AC472*2</f>
        <v>35845.54</v>
      </c>
      <c r="AG472" s="439"/>
      <c r="AH472" s="419">
        <f t="shared" si="495"/>
        <v>-5915.46</v>
      </c>
      <c r="AI472" s="439"/>
      <c r="AJ472" s="439"/>
      <c r="AK472" s="439">
        <f>AA472-W472</f>
        <v>2863.355</v>
      </c>
      <c r="AL472" s="439">
        <f>AA472-AF472</f>
        <v>-32982.184999999998</v>
      </c>
      <c r="AM472" s="439">
        <f>AA472-AD472</f>
        <v>-32982.184999999998</v>
      </c>
      <c r="AN472" s="438"/>
      <c r="AO472" s="438"/>
      <c r="AP472" s="438"/>
    </row>
    <row r="473" spans="1:42" ht="12.75">
      <c r="A473" s="412"/>
      <c r="B473" s="431"/>
      <c r="C473" s="432" t="s">
        <v>10354</v>
      </c>
      <c r="D473" s="433" t="s">
        <v>10357</v>
      </c>
      <c r="E473" s="434"/>
      <c r="F473" s="435">
        <f>SUM(F474:F478)</f>
        <v>0</v>
      </c>
      <c r="G473" s="435">
        <v>53166.96</v>
      </c>
      <c r="H473" s="435">
        <v>0</v>
      </c>
      <c r="I473" s="435">
        <f t="shared" si="505"/>
        <v>0</v>
      </c>
      <c r="J473" s="435">
        <f t="shared" si="506"/>
        <v>0</v>
      </c>
      <c r="K473" s="435">
        <v>0</v>
      </c>
      <c r="L473" s="435">
        <v>0</v>
      </c>
      <c r="M473" s="435">
        <f t="shared" si="507"/>
        <v>0</v>
      </c>
      <c r="N473" s="435">
        <v>0</v>
      </c>
      <c r="O473" s="435">
        <v>0</v>
      </c>
      <c r="P473" s="436">
        <v>0</v>
      </c>
      <c r="Q473" s="435">
        <f t="shared" ref="Q473" si="521">SUM(Q474:Q478)</f>
        <v>53166.96</v>
      </c>
      <c r="R473" s="435">
        <f t="shared" si="502"/>
        <v>0</v>
      </c>
      <c r="S473" s="435">
        <f t="shared" si="503"/>
        <v>53166.96</v>
      </c>
      <c r="T473" s="437"/>
      <c r="U473" s="435">
        <v>0</v>
      </c>
      <c r="V473" s="435">
        <f>SUM(V474:V478)</f>
        <v>0</v>
      </c>
      <c r="W473" s="435">
        <f>SUM(W474:W478)</f>
        <v>0</v>
      </c>
      <c r="X473" s="435">
        <f t="shared" ref="X473" si="522">SUM(X474:X478)</f>
        <v>53166.96</v>
      </c>
      <c r="Y473" s="435">
        <f t="shared" si="504"/>
        <v>0</v>
      </c>
      <c r="Z473" s="435">
        <v>0</v>
      </c>
      <c r="AA473" s="435">
        <v>0</v>
      </c>
      <c r="AB473" s="435">
        <f t="shared" ref="AB473:AM473" si="523">SUM(AB474:AB478)</f>
        <v>0</v>
      </c>
      <c r="AC473" s="435">
        <f t="shared" si="523"/>
        <v>0</v>
      </c>
      <c r="AD473" s="435">
        <f t="shared" si="523"/>
        <v>53166.96</v>
      </c>
      <c r="AE473" s="435">
        <f t="shared" si="470"/>
        <v>-53166.96</v>
      </c>
      <c r="AF473" s="435">
        <f t="shared" si="523"/>
        <v>0</v>
      </c>
      <c r="AG473" s="435">
        <f t="shared" si="523"/>
        <v>0</v>
      </c>
      <c r="AH473" s="419">
        <f t="shared" si="495"/>
        <v>0</v>
      </c>
      <c r="AI473" s="435">
        <f t="shared" si="523"/>
        <v>0</v>
      </c>
      <c r="AJ473" s="435">
        <f t="shared" si="523"/>
        <v>0</v>
      </c>
      <c r="AK473" s="435">
        <f t="shared" si="523"/>
        <v>0</v>
      </c>
      <c r="AL473" s="435">
        <f t="shared" si="523"/>
        <v>0</v>
      </c>
      <c r="AM473" s="435">
        <f t="shared" si="523"/>
        <v>-53166.96</v>
      </c>
      <c r="AN473" s="438"/>
      <c r="AO473" s="438"/>
      <c r="AP473" s="438"/>
    </row>
    <row r="474" spans="1:42" ht="12.75">
      <c r="A474" s="412"/>
      <c r="B474" s="431"/>
      <c r="C474" s="432" t="s">
        <v>10358</v>
      </c>
      <c r="D474" s="433" t="s">
        <v>10361</v>
      </c>
      <c r="E474" s="434">
        <f>'PROSPETTO CE_IV TRIM 2024'!BM2246</f>
        <v>0</v>
      </c>
      <c r="F474" s="439">
        <f>+E474</f>
        <v>0</v>
      </c>
      <c r="G474" s="439">
        <v>0</v>
      </c>
      <c r="H474" s="439">
        <v>0</v>
      </c>
      <c r="I474" s="435">
        <f t="shared" si="505"/>
        <v>0</v>
      </c>
      <c r="J474" s="435">
        <f t="shared" si="506"/>
        <v>0</v>
      </c>
      <c r="K474" s="439">
        <v>0</v>
      </c>
      <c r="L474" s="439">
        <v>0</v>
      </c>
      <c r="M474" s="439">
        <f t="shared" si="507"/>
        <v>0</v>
      </c>
      <c r="N474" s="439">
        <v>0</v>
      </c>
      <c r="O474" s="439">
        <v>0</v>
      </c>
      <c r="P474" s="440">
        <v>0</v>
      </c>
      <c r="Q474" s="439">
        <v>0</v>
      </c>
      <c r="R474" s="439">
        <f t="shared" si="502"/>
        <v>0</v>
      </c>
      <c r="S474" s="439">
        <f t="shared" si="503"/>
        <v>0</v>
      </c>
      <c r="T474" s="441"/>
      <c r="U474" s="439">
        <v>0</v>
      </c>
      <c r="V474" s="439">
        <f>+AA474</f>
        <v>0</v>
      </c>
      <c r="W474" s="439">
        <v>0</v>
      </c>
      <c r="X474" s="439">
        <v>0</v>
      </c>
      <c r="Y474" s="435">
        <f t="shared" si="504"/>
        <v>0</v>
      </c>
      <c r="Z474" s="439">
        <v>0</v>
      </c>
      <c r="AA474" s="439">
        <v>0</v>
      </c>
      <c r="AB474" s="439">
        <v>0</v>
      </c>
      <c r="AC474" s="439">
        <v>0</v>
      </c>
      <c r="AD474" s="439">
        <v>0</v>
      </c>
      <c r="AE474" s="435">
        <f t="shared" si="470"/>
        <v>0</v>
      </c>
      <c r="AF474" s="439">
        <f>AC474*2</f>
        <v>0</v>
      </c>
      <c r="AG474" s="439"/>
      <c r="AH474" s="419">
        <f t="shared" si="495"/>
        <v>0</v>
      </c>
      <c r="AI474" s="439"/>
      <c r="AJ474" s="439"/>
      <c r="AK474" s="439">
        <f>AA474-W474</f>
        <v>0</v>
      </c>
      <c r="AL474" s="439">
        <f>AA474-AF474</f>
        <v>0</v>
      </c>
      <c r="AM474" s="439">
        <f>AA474-AD474</f>
        <v>0</v>
      </c>
      <c r="AN474" s="438"/>
      <c r="AO474" s="438"/>
      <c r="AP474" s="438"/>
    </row>
    <row r="475" spans="1:42" ht="12.75">
      <c r="A475" s="412"/>
      <c r="B475" s="431"/>
      <c r="C475" s="432" t="s">
        <v>10372</v>
      </c>
      <c r="D475" s="433" t="s">
        <v>10375</v>
      </c>
      <c r="E475" s="434">
        <f>'PROSPETTO CE_IV TRIM 2024'!BM2253</f>
        <v>0</v>
      </c>
      <c r="F475" s="439">
        <f>+E475</f>
        <v>0</v>
      </c>
      <c r="G475" s="439">
        <v>0</v>
      </c>
      <c r="H475" s="439">
        <v>0</v>
      </c>
      <c r="I475" s="435">
        <f t="shared" si="505"/>
        <v>0</v>
      </c>
      <c r="J475" s="435">
        <f t="shared" si="506"/>
        <v>0</v>
      </c>
      <c r="K475" s="439">
        <v>0</v>
      </c>
      <c r="L475" s="439">
        <v>0</v>
      </c>
      <c r="M475" s="439">
        <f t="shared" si="507"/>
        <v>0</v>
      </c>
      <c r="N475" s="439">
        <v>0</v>
      </c>
      <c r="O475" s="439">
        <v>0</v>
      </c>
      <c r="P475" s="440">
        <v>0</v>
      </c>
      <c r="Q475" s="439">
        <v>0</v>
      </c>
      <c r="R475" s="439">
        <f t="shared" si="502"/>
        <v>0</v>
      </c>
      <c r="S475" s="439">
        <f t="shared" si="503"/>
        <v>0</v>
      </c>
      <c r="T475" s="441"/>
      <c r="U475" s="439">
        <v>0</v>
      </c>
      <c r="V475" s="439">
        <f>+AA475</f>
        <v>0</v>
      </c>
      <c r="W475" s="439">
        <v>0</v>
      </c>
      <c r="X475" s="439">
        <v>0</v>
      </c>
      <c r="Y475" s="435">
        <f t="shared" si="504"/>
        <v>0</v>
      </c>
      <c r="Z475" s="439">
        <v>0</v>
      </c>
      <c r="AA475" s="439">
        <v>0</v>
      </c>
      <c r="AB475" s="439">
        <v>0</v>
      </c>
      <c r="AC475" s="439">
        <v>0</v>
      </c>
      <c r="AD475" s="439">
        <v>0</v>
      </c>
      <c r="AE475" s="435">
        <f t="shared" si="470"/>
        <v>0</v>
      </c>
      <c r="AF475" s="439">
        <f>AC475*2</f>
        <v>0</v>
      </c>
      <c r="AG475" s="439"/>
      <c r="AH475" s="419">
        <f t="shared" si="495"/>
        <v>0</v>
      </c>
      <c r="AI475" s="439"/>
      <c r="AJ475" s="439"/>
      <c r="AK475" s="439">
        <f>AA475-W475</f>
        <v>0</v>
      </c>
      <c r="AL475" s="439">
        <f>AA475-AF475</f>
        <v>0</v>
      </c>
      <c r="AM475" s="439">
        <f>AA475-AD475</f>
        <v>0</v>
      </c>
      <c r="AN475" s="438"/>
      <c r="AO475" s="438"/>
      <c r="AP475" s="438"/>
    </row>
    <row r="476" spans="1:42" ht="12.75">
      <c r="A476" s="412"/>
      <c r="B476" s="431"/>
      <c r="C476" s="432" t="s">
        <v>10378</v>
      </c>
      <c r="D476" s="433" t="s">
        <v>10381</v>
      </c>
      <c r="E476" s="434">
        <f>'PROSPETTO CE_IV TRIM 2024'!BM2256</f>
        <v>0</v>
      </c>
      <c r="F476" s="439">
        <f>+E476</f>
        <v>0</v>
      </c>
      <c r="G476" s="439">
        <v>0</v>
      </c>
      <c r="H476" s="439">
        <v>0</v>
      </c>
      <c r="I476" s="435">
        <f t="shared" si="505"/>
        <v>0</v>
      </c>
      <c r="J476" s="435">
        <f t="shared" si="506"/>
        <v>0</v>
      </c>
      <c r="K476" s="439">
        <v>0</v>
      </c>
      <c r="L476" s="439">
        <v>0</v>
      </c>
      <c r="M476" s="439">
        <f t="shared" si="507"/>
        <v>0</v>
      </c>
      <c r="N476" s="439">
        <v>0</v>
      </c>
      <c r="O476" s="439">
        <v>0</v>
      </c>
      <c r="P476" s="440">
        <v>0</v>
      </c>
      <c r="Q476" s="439">
        <v>0</v>
      </c>
      <c r="R476" s="439">
        <f t="shared" si="502"/>
        <v>0</v>
      </c>
      <c r="S476" s="439">
        <f t="shared" si="503"/>
        <v>0</v>
      </c>
      <c r="T476" s="441"/>
      <c r="U476" s="439">
        <v>0</v>
      </c>
      <c r="V476" s="439">
        <f>+AA476</f>
        <v>0</v>
      </c>
      <c r="W476" s="439">
        <v>0</v>
      </c>
      <c r="X476" s="439">
        <v>0</v>
      </c>
      <c r="Y476" s="435">
        <f t="shared" si="504"/>
        <v>0</v>
      </c>
      <c r="Z476" s="439">
        <v>0</v>
      </c>
      <c r="AA476" s="439">
        <v>0</v>
      </c>
      <c r="AB476" s="439">
        <v>0</v>
      </c>
      <c r="AC476" s="439">
        <v>0</v>
      </c>
      <c r="AD476" s="439">
        <v>0</v>
      </c>
      <c r="AE476" s="435">
        <f t="shared" si="470"/>
        <v>0</v>
      </c>
      <c r="AF476" s="439">
        <f>AC476*2</f>
        <v>0</v>
      </c>
      <c r="AG476" s="439"/>
      <c r="AH476" s="419">
        <f t="shared" si="495"/>
        <v>0</v>
      </c>
      <c r="AI476" s="439"/>
      <c r="AJ476" s="439"/>
      <c r="AK476" s="439">
        <f>AA476-W476</f>
        <v>0</v>
      </c>
      <c r="AL476" s="439">
        <f>AA476-AF476</f>
        <v>0</v>
      </c>
      <c r="AM476" s="439">
        <f>AA476-AD476</f>
        <v>0</v>
      </c>
      <c r="AN476" s="438"/>
      <c r="AO476" s="438"/>
      <c r="AP476" s="438"/>
    </row>
    <row r="477" spans="1:42" ht="12.75">
      <c r="A477" s="412"/>
      <c r="B477" s="431"/>
      <c r="C477" s="432" t="s">
        <v>10384</v>
      </c>
      <c r="D477" s="433" t="s">
        <v>10387</v>
      </c>
      <c r="E477" s="434">
        <f>'PROSPETTO CE_IV TRIM 2024'!BM2259</f>
        <v>0</v>
      </c>
      <c r="F477" s="439">
        <f>+E477</f>
        <v>0</v>
      </c>
      <c r="G477" s="439">
        <v>53166.96</v>
      </c>
      <c r="H477" s="439">
        <v>0</v>
      </c>
      <c r="I477" s="435">
        <f t="shared" si="505"/>
        <v>0</v>
      </c>
      <c r="J477" s="435">
        <f t="shared" si="506"/>
        <v>0</v>
      </c>
      <c r="K477" s="439">
        <v>0</v>
      </c>
      <c r="L477" s="439">
        <v>0</v>
      </c>
      <c r="M477" s="439">
        <f t="shared" si="507"/>
        <v>0</v>
      </c>
      <c r="N477" s="439">
        <v>0</v>
      </c>
      <c r="O477" s="439">
        <v>0</v>
      </c>
      <c r="P477" s="440">
        <v>0</v>
      </c>
      <c r="Q477" s="439">
        <v>53166.96</v>
      </c>
      <c r="R477" s="439">
        <f t="shared" si="502"/>
        <v>0</v>
      </c>
      <c r="S477" s="439">
        <f t="shared" si="503"/>
        <v>53166.96</v>
      </c>
      <c r="T477" s="441"/>
      <c r="U477" s="439">
        <v>0</v>
      </c>
      <c r="V477" s="439">
        <f>+AA477</f>
        <v>0</v>
      </c>
      <c r="W477" s="439">
        <v>0</v>
      </c>
      <c r="X477" s="439">
        <v>53166.96</v>
      </c>
      <c r="Y477" s="435">
        <f t="shared" si="504"/>
        <v>0</v>
      </c>
      <c r="Z477" s="439">
        <v>0</v>
      </c>
      <c r="AA477" s="439">
        <v>0</v>
      </c>
      <c r="AB477" s="439">
        <v>0</v>
      </c>
      <c r="AC477" s="439">
        <v>0</v>
      </c>
      <c r="AD477" s="439">
        <v>53166.96</v>
      </c>
      <c r="AE477" s="435">
        <f t="shared" si="470"/>
        <v>-53166.96</v>
      </c>
      <c r="AF477" s="439">
        <f>AC477*2</f>
        <v>0</v>
      </c>
      <c r="AG477" s="439"/>
      <c r="AH477" s="419">
        <f t="shared" si="495"/>
        <v>0</v>
      </c>
      <c r="AI477" s="439"/>
      <c r="AJ477" s="439"/>
      <c r="AK477" s="439">
        <f>AA477-W477</f>
        <v>0</v>
      </c>
      <c r="AL477" s="439">
        <f>AA477-AF477</f>
        <v>0</v>
      </c>
      <c r="AM477" s="439">
        <f>AA477-AD477</f>
        <v>-53166.96</v>
      </c>
      <c r="AN477" s="438"/>
      <c r="AO477" s="438"/>
      <c r="AP477" s="438"/>
    </row>
    <row r="478" spans="1:42" ht="12.75">
      <c r="A478" s="412"/>
      <c r="B478" s="431"/>
      <c r="C478" s="432" t="s">
        <v>10390</v>
      </c>
      <c r="D478" s="433" t="s">
        <v>10393</v>
      </c>
      <c r="E478" s="434">
        <f>'PROSPETTO CE_IV TRIM 2024'!BM2262</f>
        <v>0</v>
      </c>
      <c r="F478" s="439">
        <f>+E478</f>
        <v>0</v>
      </c>
      <c r="G478" s="439">
        <v>0</v>
      </c>
      <c r="H478" s="439">
        <v>0</v>
      </c>
      <c r="I478" s="435">
        <f t="shared" si="505"/>
        <v>0</v>
      </c>
      <c r="J478" s="435">
        <f t="shared" si="506"/>
        <v>0</v>
      </c>
      <c r="K478" s="439">
        <v>0</v>
      </c>
      <c r="L478" s="439">
        <v>0</v>
      </c>
      <c r="M478" s="439">
        <f t="shared" si="507"/>
        <v>0</v>
      </c>
      <c r="N478" s="439">
        <v>0</v>
      </c>
      <c r="O478" s="439">
        <v>0</v>
      </c>
      <c r="P478" s="440">
        <v>0</v>
      </c>
      <c r="Q478" s="439">
        <v>0</v>
      </c>
      <c r="R478" s="439">
        <f t="shared" si="502"/>
        <v>0</v>
      </c>
      <c r="S478" s="439">
        <f t="shared" si="503"/>
        <v>0</v>
      </c>
      <c r="T478" s="441"/>
      <c r="U478" s="439">
        <v>0</v>
      </c>
      <c r="V478" s="439">
        <f>+AA478</f>
        <v>0</v>
      </c>
      <c r="W478" s="439">
        <v>0</v>
      </c>
      <c r="X478" s="439">
        <v>0</v>
      </c>
      <c r="Y478" s="435">
        <f t="shared" si="504"/>
        <v>0</v>
      </c>
      <c r="Z478" s="439">
        <v>0</v>
      </c>
      <c r="AA478" s="439">
        <v>0</v>
      </c>
      <c r="AB478" s="439">
        <v>0</v>
      </c>
      <c r="AC478" s="439">
        <v>0</v>
      </c>
      <c r="AD478" s="439">
        <v>0</v>
      </c>
      <c r="AE478" s="435">
        <f t="shared" si="470"/>
        <v>0</v>
      </c>
      <c r="AF478" s="439">
        <f>AC478*2</f>
        <v>0</v>
      </c>
      <c r="AG478" s="439">
        <v>0</v>
      </c>
      <c r="AH478" s="419">
        <f t="shared" si="495"/>
        <v>0</v>
      </c>
      <c r="AI478" s="439">
        <v>0</v>
      </c>
      <c r="AJ478" s="439">
        <v>0</v>
      </c>
      <c r="AK478" s="439">
        <f>AA478-W478</f>
        <v>0</v>
      </c>
      <c r="AL478" s="439">
        <f>AA478-AF478</f>
        <v>0</v>
      </c>
      <c r="AM478" s="439">
        <f>AA478-AD478</f>
        <v>0</v>
      </c>
      <c r="AN478" s="438"/>
      <c r="AO478" s="438"/>
      <c r="AP478" s="438"/>
    </row>
    <row r="479" spans="1:42" ht="12.75">
      <c r="A479" s="412"/>
      <c r="B479" s="431"/>
      <c r="C479" s="432" t="s">
        <v>10396</v>
      </c>
      <c r="D479" s="433" t="s">
        <v>10399</v>
      </c>
      <c r="E479" s="434"/>
      <c r="F479" s="435">
        <f>SUM(F480:F482)</f>
        <v>811711.42</v>
      </c>
      <c r="G479" s="435">
        <v>1530734.42</v>
      </c>
      <c r="H479" s="435">
        <v>811711.42</v>
      </c>
      <c r="I479" s="435">
        <f t="shared" si="505"/>
        <v>0</v>
      </c>
      <c r="J479" s="435">
        <f t="shared" si="506"/>
        <v>0</v>
      </c>
      <c r="K479" s="435">
        <v>811711.42</v>
      </c>
      <c r="L479" s="435">
        <v>811711.42</v>
      </c>
      <c r="M479" s="435">
        <f t="shared" si="507"/>
        <v>-756888.62</v>
      </c>
      <c r="N479" s="435">
        <v>1481046.2200000002</v>
      </c>
      <c r="O479" s="435">
        <v>1481046.2200000002</v>
      </c>
      <c r="P479" s="436">
        <v>1568600.04</v>
      </c>
      <c r="Q479" s="435">
        <f t="shared" ref="Q479" si="524">SUM(Q480:Q482)</f>
        <v>1530734.42</v>
      </c>
      <c r="R479" s="435">
        <f t="shared" si="502"/>
        <v>87553.819999999832</v>
      </c>
      <c r="S479" s="435">
        <f t="shared" si="503"/>
        <v>49688.199999999721</v>
      </c>
      <c r="T479" s="437">
        <f>(F479-P479)/F479*100</f>
        <v>-93.246023321933791</v>
      </c>
      <c r="U479" s="435">
        <v>1385713.86</v>
      </c>
      <c r="V479" s="435">
        <f>SUM(V480:V482)</f>
        <v>1568600.04</v>
      </c>
      <c r="W479" s="435">
        <f>SUM(W480:W482)</f>
        <v>1489915</v>
      </c>
      <c r="X479" s="435">
        <f t="shared" ref="X479" si="525">SUM(X480:X482)</f>
        <v>1530734.42</v>
      </c>
      <c r="Y479" s="435">
        <f t="shared" si="504"/>
        <v>885503.36727272742</v>
      </c>
      <c r="Z479" s="435">
        <v>1568600.4650000001</v>
      </c>
      <c r="AA479" s="435">
        <v>1568600.04</v>
      </c>
      <c r="AB479" s="435">
        <f t="shared" ref="AB479:AM479" si="526">SUM(AB480:AB482)</f>
        <v>582111</v>
      </c>
      <c r="AC479" s="435">
        <f t="shared" si="526"/>
        <v>1117962.4300000002</v>
      </c>
      <c r="AD479" s="435">
        <f t="shared" si="526"/>
        <v>1530734.42</v>
      </c>
      <c r="AE479" s="435">
        <f t="shared" si="470"/>
        <v>-719022.99999999988</v>
      </c>
      <c r="AF479" s="435">
        <f t="shared" si="526"/>
        <v>2235924.8600000003</v>
      </c>
      <c r="AG479" s="435">
        <f t="shared" si="526"/>
        <v>0</v>
      </c>
      <c r="AH479" s="419">
        <f t="shared" si="495"/>
        <v>-811711.42</v>
      </c>
      <c r="AI479" s="435">
        <f t="shared" si="526"/>
        <v>0</v>
      </c>
      <c r="AJ479" s="435">
        <f t="shared" si="526"/>
        <v>0</v>
      </c>
      <c r="AK479" s="435">
        <f t="shared" si="526"/>
        <v>78685.040000000037</v>
      </c>
      <c r="AL479" s="435">
        <f t="shared" si="526"/>
        <v>-667324.82000000007</v>
      </c>
      <c r="AM479" s="435">
        <f t="shared" si="526"/>
        <v>37865.619999999995</v>
      </c>
      <c r="AN479" s="438"/>
      <c r="AO479" s="438"/>
      <c r="AP479" s="438"/>
    </row>
    <row r="480" spans="1:42" ht="12.75">
      <c r="A480" s="412"/>
      <c r="B480" s="431"/>
      <c r="C480" s="432" t="s">
        <v>10400</v>
      </c>
      <c r="D480" s="433" t="s">
        <v>10403</v>
      </c>
      <c r="E480" s="434">
        <f>'PROSPETTO CE_IV TRIM 2024'!BM2266</f>
        <v>555090.04</v>
      </c>
      <c r="F480" s="439">
        <f>+E480</f>
        <v>555090.04</v>
      </c>
      <c r="G480" s="439">
        <v>404989.64</v>
      </c>
      <c r="H480" s="439">
        <v>555090.04</v>
      </c>
      <c r="I480" s="435">
        <f t="shared" si="505"/>
        <v>0</v>
      </c>
      <c r="J480" s="435">
        <f t="shared" si="506"/>
        <v>0</v>
      </c>
      <c r="K480" s="439">
        <v>555090.04</v>
      </c>
      <c r="L480" s="439">
        <v>555090.04</v>
      </c>
      <c r="M480" s="439">
        <f t="shared" si="507"/>
        <v>0</v>
      </c>
      <c r="N480" s="439">
        <v>555090.04</v>
      </c>
      <c r="O480" s="439">
        <v>555090.04</v>
      </c>
      <c r="P480" s="440">
        <v>555090.04</v>
      </c>
      <c r="Q480" s="439">
        <v>404989.64</v>
      </c>
      <c r="R480" s="439">
        <f t="shared" si="502"/>
        <v>0</v>
      </c>
      <c r="S480" s="439">
        <f t="shared" si="503"/>
        <v>-150100.40000000002</v>
      </c>
      <c r="T480" s="441">
        <f>(F480-P480)/F480*100</f>
        <v>0</v>
      </c>
      <c r="U480" s="439">
        <v>555090.04</v>
      </c>
      <c r="V480" s="439">
        <f>+AA480</f>
        <v>555090.04</v>
      </c>
      <c r="W480" s="439">
        <v>404990</v>
      </c>
      <c r="X480" s="439">
        <v>404989.64</v>
      </c>
      <c r="Y480" s="435">
        <f t="shared" si="504"/>
        <v>605552.77090909099</v>
      </c>
      <c r="Z480" s="439">
        <v>555090.04</v>
      </c>
      <c r="AA480" s="439">
        <v>555090.04</v>
      </c>
      <c r="AB480" s="439">
        <v>555090</v>
      </c>
      <c r="AC480" s="439">
        <v>555090.04</v>
      </c>
      <c r="AD480" s="439">
        <v>404989.64</v>
      </c>
      <c r="AE480" s="435">
        <f t="shared" si="470"/>
        <v>150100.40000000002</v>
      </c>
      <c r="AF480" s="439">
        <f>AC480*2</f>
        <v>1110180.08</v>
      </c>
      <c r="AG480" s="439"/>
      <c r="AH480" s="419">
        <f t="shared" si="495"/>
        <v>-555090.04</v>
      </c>
      <c r="AI480" s="439"/>
      <c r="AJ480" s="439"/>
      <c r="AK480" s="439">
        <f>AA480-W480</f>
        <v>150100.04000000004</v>
      </c>
      <c r="AL480" s="439">
        <f>AA480-AF480</f>
        <v>-555090.04</v>
      </c>
      <c r="AM480" s="439">
        <f>AA480-AD480</f>
        <v>150100.40000000002</v>
      </c>
      <c r="AN480" s="438"/>
      <c r="AO480" s="438"/>
      <c r="AP480" s="438"/>
    </row>
    <row r="481" spans="1:42" ht="12.75">
      <c r="A481" s="412"/>
      <c r="B481" s="431"/>
      <c r="C481" s="432" t="s">
        <v>10408</v>
      </c>
      <c r="D481" s="433" t="s">
        <v>10411</v>
      </c>
      <c r="E481" s="434">
        <f>'PROSPETTO CE_IV TRIM 2024'!BM2269</f>
        <v>0</v>
      </c>
      <c r="F481" s="439">
        <f>+E481</f>
        <v>0</v>
      </c>
      <c r="G481" s="439">
        <v>0</v>
      </c>
      <c r="H481" s="439">
        <v>0</v>
      </c>
      <c r="I481" s="435">
        <f t="shared" si="505"/>
        <v>0</v>
      </c>
      <c r="J481" s="435">
        <f t="shared" si="506"/>
        <v>0</v>
      </c>
      <c r="K481" s="439">
        <v>0</v>
      </c>
      <c r="L481" s="439">
        <v>0</v>
      </c>
      <c r="M481" s="439">
        <f t="shared" si="507"/>
        <v>0</v>
      </c>
      <c r="N481" s="439">
        <v>0</v>
      </c>
      <c r="O481" s="439">
        <v>0</v>
      </c>
      <c r="P481" s="440">
        <v>0</v>
      </c>
      <c r="Q481" s="439">
        <v>0</v>
      </c>
      <c r="R481" s="439">
        <f t="shared" si="502"/>
        <v>0</v>
      </c>
      <c r="S481" s="439">
        <f t="shared" si="503"/>
        <v>0</v>
      </c>
      <c r="T481" s="441"/>
      <c r="U481" s="439">
        <v>0</v>
      </c>
      <c r="V481" s="439">
        <f>+AA481</f>
        <v>0</v>
      </c>
      <c r="W481" s="439">
        <v>0</v>
      </c>
      <c r="X481" s="439">
        <v>0</v>
      </c>
      <c r="Y481" s="435">
        <f t="shared" si="504"/>
        <v>0</v>
      </c>
      <c r="Z481" s="439">
        <v>0</v>
      </c>
      <c r="AA481" s="439">
        <v>0</v>
      </c>
      <c r="AB481" s="439">
        <v>0</v>
      </c>
      <c r="AC481" s="439">
        <v>0</v>
      </c>
      <c r="AD481" s="439">
        <v>0</v>
      </c>
      <c r="AE481" s="435">
        <f t="shared" si="470"/>
        <v>0</v>
      </c>
      <c r="AF481" s="439">
        <f>AC481*2</f>
        <v>0</v>
      </c>
      <c r="AG481" s="439"/>
      <c r="AH481" s="419">
        <f t="shared" si="495"/>
        <v>0</v>
      </c>
      <c r="AI481" s="439"/>
      <c r="AJ481" s="439"/>
      <c r="AK481" s="439">
        <f>AA481-W481</f>
        <v>0</v>
      </c>
      <c r="AL481" s="439">
        <f>AA481-AF481</f>
        <v>0</v>
      </c>
      <c r="AM481" s="439">
        <f>AA481-AD481</f>
        <v>0</v>
      </c>
      <c r="AN481" s="438"/>
      <c r="AO481" s="438"/>
      <c r="AP481" s="438"/>
    </row>
    <row r="482" spans="1:42" ht="12.75">
      <c r="A482" s="412"/>
      <c r="B482" s="431"/>
      <c r="C482" s="432" t="s">
        <v>10414</v>
      </c>
      <c r="D482" s="433" t="s">
        <v>10417</v>
      </c>
      <c r="E482" s="434">
        <f>'PROSPETTO CE_IV TRIM 2024'!BM2272</f>
        <v>256621.38</v>
      </c>
      <c r="F482" s="439">
        <f>+E482</f>
        <v>256621.38</v>
      </c>
      <c r="G482" s="439">
        <v>1125744.78</v>
      </c>
      <c r="H482" s="439">
        <v>256621.38</v>
      </c>
      <c r="I482" s="435">
        <f t="shared" si="505"/>
        <v>0</v>
      </c>
      <c r="J482" s="435">
        <f t="shared" si="506"/>
        <v>0</v>
      </c>
      <c r="K482" s="439">
        <v>256621.38</v>
      </c>
      <c r="L482" s="439">
        <v>256621.38</v>
      </c>
      <c r="M482" s="439">
        <f t="shared" si="507"/>
        <v>-756888.62</v>
      </c>
      <c r="N482" s="439">
        <v>925956.18</v>
      </c>
      <c r="O482" s="439">
        <v>925956.18</v>
      </c>
      <c r="P482" s="440">
        <v>1013510</v>
      </c>
      <c r="Q482" s="439">
        <v>1125744.78</v>
      </c>
      <c r="R482" s="439">
        <f t="shared" si="502"/>
        <v>87553.819999999949</v>
      </c>
      <c r="S482" s="439">
        <f t="shared" si="503"/>
        <v>199788.59999999998</v>
      </c>
      <c r="T482" s="441">
        <f>(F482-P482)/F482*100</f>
        <v>-294.94371045779582</v>
      </c>
      <c r="U482" s="439">
        <v>830623.82000000007</v>
      </c>
      <c r="V482" s="439">
        <f>+AA482</f>
        <v>1013510</v>
      </c>
      <c r="W482" s="439">
        <v>1084925</v>
      </c>
      <c r="X482" s="439">
        <v>1125744.78</v>
      </c>
      <c r="Y482" s="435">
        <f t="shared" si="504"/>
        <v>279950.59636363637</v>
      </c>
      <c r="Z482" s="439">
        <v>1013510.425</v>
      </c>
      <c r="AA482" s="439">
        <v>1013510</v>
      </c>
      <c r="AB482" s="439">
        <v>27021</v>
      </c>
      <c r="AC482" s="439">
        <v>562872.39</v>
      </c>
      <c r="AD482" s="439">
        <v>1125744.78</v>
      </c>
      <c r="AE482" s="435">
        <f t="shared" si="470"/>
        <v>-869123.4</v>
      </c>
      <c r="AF482" s="439">
        <f>AC482*2</f>
        <v>1125744.78</v>
      </c>
      <c r="AG482" s="439"/>
      <c r="AH482" s="419">
        <f t="shared" si="495"/>
        <v>-256621.38</v>
      </c>
      <c r="AI482" s="439"/>
      <c r="AJ482" s="439"/>
      <c r="AK482" s="439">
        <f>AA482-W482</f>
        <v>-71415</v>
      </c>
      <c r="AL482" s="439">
        <f>AA482-AF482</f>
        <v>-112234.78000000003</v>
      </c>
      <c r="AM482" s="439">
        <f>AA482-AD482</f>
        <v>-112234.78000000003</v>
      </c>
      <c r="AN482" s="438"/>
      <c r="AO482" s="438"/>
      <c r="AP482" s="438"/>
    </row>
    <row r="483" spans="1:42" ht="12.75">
      <c r="A483" s="412"/>
      <c r="B483" s="431"/>
      <c r="C483" s="432" t="s">
        <v>10426</v>
      </c>
      <c r="D483" s="433" t="s">
        <v>10429</v>
      </c>
      <c r="E483" s="434"/>
      <c r="F483" s="435">
        <f>SUM(F484:F485)</f>
        <v>466.32</v>
      </c>
      <c r="G483" s="435">
        <v>2052.2399999999998</v>
      </c>
      <c r="H483" s="435">
        <v>466.32</v>
      </c>
      <c r="I483" s="435">
        <f t="shared" si="505"/>
        <v>0</v>
      </c>
      <c r="J483" s="435">
        <f t="shared" si="506"/>
        <v>0</v>
      </c>
      <c r="K483" s="435">
        <v>466.32</v>
      </c>
      <c r="L483" s="435">
        <v>466.32</v>
      </c>
      <c r="M483" s="435">
        <f t="shared" si="507"/>
        <v>100.25</v>
      </c>
      <c r="N483" s="435">
        <v>466.32</v>
      </c>
      <c r="O483" s="435">
        <v>466.32</v>
      </c>
      <c r="P483" s="436">
        <v>366.07</v>
      </c>
      <c r="Q483" s="435">
        <f t="shared" ref="Q483" si="527">SUM(Q484:Q485)</f>
        <v>2052.2399999999998</v>
      </c>
      <c r="R483" s="435">
        <f t="shared" si="502"/>
        <v>-100.25</v>
      </c>
      <c r="S483" s="435">
        <f t="shared" si="503"/>
        <v>1585.9199999999998</v>
      </c>
      <c r="T483" s="437">
        <f>(F483-P483)/F483*100</f>
        <v>21.498112883856578</v>
      </c>
      <c r="U483" s="435">
        <v>419.45</v>
      </c>
      <c r="V483" s="435">
        <f>SUM(V484:V485)</f>
        <v>366.07</v>
      </c>
      <c r="W483" s="435">
        <f>SUM(W484:W485)</f>
        <v>2052</v>
      </c>
      <c r="X483" s="435">
        <f t="shared" ref="X483" si="528">SUM(X484:X485)</f>
        <v>2052.2399999999998</v>
      </c>
      <c r="Y483" s="435">
        <f t="shared" si="504"/>
        <v>508.71272727272725</v>
      </c>
      <c r="Z483" s="435">
        <v>366.07</v>
      </c>
      <c r="AA483" s="435">
        <v>366.07</v>
      </c>
      <c r="AB483" s="435">
        <f t="shared" ref="AB483:AM483" si="529">SUM(AB484:AB485)</f>
        <v>151</v>
      </c>
      <c r="AC483" s="435">
        <f t="shared" si="529"/>
        <v>303.12</v>
      </c>
      <c r="AD483" s="435">
        <f t="shared" si="529"/>
        <v>2052.2399999999998</v>
      </c>
      <c r="AE483" s="435">
        <f t="shared" si="470"/>
        <v>-1585.9199999999998</v>
      </c>
      <c r="AF483" s="435">
        <f t="shared" si="529"/>
        <v>606.24</v>
      </c>
      <c r="AG483" s="435">
        <f t="shared" si="529"/>
        <v>0</v>
      </c>
      <c r="AH483" s="419">
        <f t="shared" si="495"/>
        <v>-466.32</v>
      </c>
      <c r="AI483" s="435">
        <f t="shared" si="529"/>
        <v>0</v>
      </c>
      <c r="AJ483" s="435">
        <f t="shared" si="529"/>
        <v>0</v>
      </c>
      <c r="AK483" s="435">
        <f t="shared" si="529"/>
        <v>-1685.93</v>
      </c>
      <c r="AL483" s="435">
        <f t="shared" si="529"/>
        <v>-240.17000000000002</v>
      </c>
      <c r="AM483" s="435">
        <f t="shared" si="529"/>
        <v>-1686.1699999999998</v>
      </c>
      <c r="AN483" s="438"/>
      <c r="AO483" s="438"/>
      <c r="AP483" s="438"/>
    </row>
    <row r="484" spans="1:42" ht="12.75">
      <c r="A484" s="412"/>
      <c r="B484" s="431"/>
      <c r="C484" s="432" t="s">
        <v>10430</v>
      </c>
      <c r="D484" s="433" t="s">
        <v>10433</v>
      </c>
      <c r="E484" s="434">
        <f>'PROSPETTO CE_IV TRIM 2024'!BM2279</f>
        <v>466.32</v>
      </c>
      <c r="F484" s="439">
        <f>+E484</f>
        <v>466.32</v>
      </c>
      <c r="G484" s="439">
        <v>2052.2399999999998</v>
      </c>
      <c r="H484" s="439">
        <v>466.32</v>
      </c>
      <c r="I484" s="435">
        <f t="shared" si="505"/>
        <v>0</v>
      </c>
      <c r="J484" s="435">
        <f t="shared" si="506"/>
        <v>0</v>
      </c>
      <c r="K484" s="439">
        <v>466.32</v>
      </c>
      <c r="L484" s="439">
        <v>466.32</v>
      </c>
      <c r="M484" s="439">
        <f t="shared" si="507"/>
        <v>100.25</v>
      </c>
      <c r="N484" s="439">
        <v>466.32</v>
      </c>
      <c r="O484" s="439">
        <v>466.32</v>
      </c>
      <c r="P484" s="440">
        <v>366.07</v>
      </c>
      <c r="Q484" s="439">
        <v>2052.2399999999998</v>
      </c>
      <c r="R484" s="439">
        <f t="shared" si="502"/>
        <v>-100.25</v>
      </c>
      <c r="S484" s="439">
        <f t="shared" si="503"/>
        <v>1585.9199999999998</v>
      </c>
      <c r="T484" s="441">
        <f>(F484-P484)/F484*100</f>
        <v>21.498112883856578</v>
      </c>
      <c r="U484" s="439">
        <v>419.45</v>
      </c>
      <c r="V484" s="439">
        <f>+AA484</f>
        <v>366.07</v>
      </c>
      <c r="W484" s="439">
        <v>2052</v>
      </c>
      <c r="X484" s="439">
        <v>2052.2399999999998</v>
      </c>
      <c r="Y484" s="435">
        <f t="shared" si="504"/>
        <v>508.71272727272725</v>
      </c>
      <c r="Z484" s="439">
        <v>366.07</v>
      </c>
      <c r="AA484" s="439">
        <v>366.07</v>
      </c>
      <c r="AB484" s="439">
        <v>151</v>
      </c>
      <c r="AC484" s="439">
        <v>303.12</v>
      </c>
      <c r="AD484" s="439">
        <v>2052.2399999999998</v>
      </c>
      <c r="AE484" s="435">
        <f t="shared" si="470"/>
        <v>-1585.9199999999998</v>
      </c>
      <c r="AF484" s="439">
        <f>AC484*2</f>
        <v>606.24</v>
      </c>
      <c r="AG484" s="439"/>
      <c r="AH484" s="419">
        <f t="shared" si="495"/>
        <v>-466.32</v>
      </c>
      <c r="AI484" s="439"/>
      <c r="AJ484" s="439"/>
      <c r="AK484" s="439">
        <f>AA484-W484</f>
        <v>-1685.93</v>
      </c>
      <c r="AL484" s="439">
        <f>AA484-AF484</f>
        <v>-240.17000000000002</v>
      </c>
      <c r="AM484" s="439">
        <f>AA484-AD484</f>
        <v>-1686.1699999999998</v>
      </c>
      <c r="AN484" s="438"/>
      <c r="AO484" s="438"/>
      <c r="AP484" s="438"/>
    </row>
    <row r="485" spans="1:42" ht="12.75">
      <c r="A485" s="412"/>
      <c r="B485" s="431"/>
      <c r="C485" s="432" t="s">
        <v>10438</v>
      </c>
      <c r="D485" s="433" t="s">
        <v>10441</v>
      </c>
      <c r="E485" s="434">
        <f>'PROSPETTO CE_IV TRIM 2024'!BM2283</f>
        <v>0</v>
      </c>
      <c r="F485" s="439">
        <f>+E485</f>
        <v>0</v>
      </c>
      <c r="G485" s="439">
        <v>0</v>
      </c>
      <c r="H485" s="439">
        <v>0</v>
      </c>
      <c r="I485" s="435">
        <f t="shared" si="505"/>
        <v>0</v>
      </c>
      <c r="J485" s="435">
        <f t="shared" si="506"/>
        <v>0</v>
      </c>
      <c r="K485" s="439">
        <v>0</v>
      </c>
      <c r="L485" s="439">
        <v>0</v>
      </c>
      <c r="M485" s="439">
        <f t="shared" si="507"/>
        <v>0</v>
      </c>
      <c r="N485" s="439">
        <v>0</v>
      </c>
      <c r="O485" s="439">
        <v>0</v>
      </c>
      <c r="P485" s="440">
        <v>0</v>
      </c>
      <c r="Q485" s="439">
        <v>0</v>
      </c>
      <c r="R485" s="439">
        <f t="shared" si="502"/>
        <v>0</v>
      </c>
      <c r="S485" s="439">
        <f t="shared" si="503"/>
        <v>0</v>
      </c>
      <c r="T485" s="441"/>
      <c r="U485" s="439">
        <v>0</v>
      </c>
      <c r="V485" s="439">
        <f>+AA485</f>
        <v>0</v>
      </c>
      <c r="W485" s="439">
        <v>0</v>
      </c>
      <c r="X485" s="439">
        <v>0</v>
      </c>
      <c r="Y485" s="435">
        <f t="shared" si="504"/>
        <v>0</v>
      </c>
      <c r="Z485" s="439">
        <v>0</v>
      </c>
      <c r="AA485" s="439">
        <v>0</v>
      </c>
      <c r="AB485" s="439">
        <v>0</v>
      </c>
      <c r="AC485" s="439">
        <v>0</v>
      </c>
      <c r="AD485" s="439">
        <v>0</v>
      </c>
      <c r="AE485" s="435">
        <f t="shared" si="470"/>
        <v>0</v>
      </c>
      <c r="AF485" s="439">
        <f>AC485*2</f>
        <v>0</v>
      </c>
      <c r="AG485" s="439"/>
      <c r="AH485" s="419">
        <f t="shared" si="495"/>
        <v>0</v>
      </c>
      <c r="AI485" s="439"/>
      <c r="AJ485" s="439"/>
      <c r="AK485" s="439">
        <f>AA485-W485</f>
        <v>0</v>
      </c>
      <c r="AL485" s="439">
        <f>AA485-AF485</f>
        <v>0</v>
      </c>
      <c r="AM485" s="439">
        <f>AA485-AD485</f>
        <v>0</v>
      </c>
      <c r="AN485" s="438"/>
      <c r="AO485" s="438"/>
      <c r="AP485" s="438"/>
    </row>
    <row r="486" spans="1:42" ht="12.75">
      <c r="A486" s="412"/>
      <c r="B486" s="431"/>
      <c r="C486" s="432" t="s">
        <v>11304</v>
      </c>
      <c r="D486" s="433" t="s">
        <v>11305</v>
      </c>
      <c r="E486" s="434"/>
      <c r="F486" s="435">
        <f>+F469+F473-F479-F483</f>
        <v>-806262.28</v>
      </c>
      <c r="G486" s="435">
        <v>-1443774.16</v>
      </c>
      <c r="H486" s="435">
        <v>-806262.28</v>
      </c>
      <c r="I486" s="435">
        <f t="shared" si="505"/>
        <v>0</v>
      </c>
      <c r="J486" s="435">
        <f t="shared" si="506"/>
        <v>0</v>
      </c>
      <c r="K486" s="435">
        <v>-806262.28</v>
      </c>
      <c r="L486" s="435">
        <v>-806262.28</v>
      </c>
      <c r="M486" s="435">
        <f t="shared" si="507"/>
        <v>759840.47500000009</v>
      </c>
      <c r="N486" s="435">
        <v>-1426309.4625000004</v>
      </c>
      <c r="O486" s="435">
        <v>-1426309.4625000004</v>
      </c>
      <c r="P486" s="436">
        <v>-1566102.7550000001</v>
      </c>
      <c r="Q486" s="435">
        <f>+Q469+Q473-Q479-Q483</f>
        <v>-1443774.16</v>
      </c>
      <c r="R486" s="435">
        <f t="shared" si="502"/>
        <v>-139793.29249999975</v>
      </c>
      <c r="S486" s="435">
        <f t="shared" si="503"/>
        <v>-17464.697499999544</v>
      </c>
      <c r="T486" s="437">
        <f>(F486-P486)/F486*100</f>
        <v>-94.242344439082544</v>
      </c>
      <c r="U486" s="435">
        <v>-1353412.675</v>
      </c>
      <c r="V486" s="435">
        <f>+V469+V473-V479-V483</f>
        <v>-1566102.7550000001</v>
      </c>
      <c r="W486" s="435">
        <f>+W469+W473-W479-W483</f>
        <v>-1491967</v>
      </c>
      <c r="X486" s="435">
        <f>+X469+X473-X479-X483</f>
        <v>-1443774.16</v>
      </c>
      <c r="Y486" s="435">
        <f t="shared" si="504"/>
        <v>-879558.85090909083</v>
      </c>
      <c r="Z486" s="435">
        <v>-1566103.1800000002</v>
      </c>
      <c r="AA486" s="435">
        <v>-1566102.7550000001</v>
      </c>
      <c r="AB486" s="435">
        <f>+AB469+AB473-AB479-AB483</f>
        <v>-576535</v>
      </c>
      <c r="AC486" s="435">
        <f>+AC469+AC473-AC479-AC483</f>
        <v>-1100342.7800000003</v>
      </c>
      <c r="AD486" s="435">
        <f>+AD469+AD473-AD479-AD483</f>
        <v>-1443774.16</v>
      </c>
      <c r="AE486" s="435">
        <f t="shared" si="470"/>
        <v>637511.87999999989</v>
      </c>
      <c r="AF486" s="435">
        <f t="shared" ref="AF486:AM486" si="530">+AF469+AF473-AF479-AF483</f>
        <v>-2200685.5600000005</v>
      </c>
      <c r="AG486" s="435">
        <f t="shared" si="530"/>
        <v>0</v>
      </c>
      <c r="AH486" s="419">
        <f t="shared" si="495"/>
        <v>806262.28</v>
      </c>
      <c r="AI486" s="435">
        <f t="shared" si="530"/>
        <v>0</v>
      </c>
      <c r="AJ486" s="435">
        <f t="shared" si="530"/>
        <v>0</v>
      </c>
      <c r="AK486" s="435">
        <f t="shared" si="530"/>
        <v>-74135.755000000048</v>
      </c>
      <c r="AL486" s="435">
        <f t="shared" si="530"/>
        <v>634582.80500000005</v>
      </c>
      <c r="AM486" s="435">
        <f t="shared" si="530"/>
        <v>-122328.59499999999</v>
      </c>
      <c r="AN486" s="438"/>
      <c r="AO486" s="438"/>
      <c r="AP486" s="438"/>
    </row>
    <row r="487" spans="1:42" ht="12.75">
      <c r="A487" s="412"/>
      <c r="B487" s="431"/>
      <c r="C487" s="432" t="s">
        <v>10446</v>
      </c>
      <c r="D487" s="433" t="s">
        <v>11306</v>
      </c>
      <c r="E487" s="434">
        <f>'PROSPETTO CE_IV TRIM 2024'!BM2288</f>
        <v>0</v>
      </c>
      <c r="F487" s="439">
        <f>+E487</f>
        <v>0</v>
      </c>
      <c r="G487" s="439">
        <v>0</v>
      </c>
      <c r="H487" s="439">
        <v>0</v>
      </c>
      <c r="I487" s="435">
        <f t="shared" si="505"/>
        <v>0</v>
      </c>
      <c r="J487" s="435">
        <f t="shared" si="506"/>
        <v>0</v>
      </c>
      <c r="K487" s="439">
        <v>0</v>
      </c>
      <c r="L487" s="439">
        <v>0</v>
      </c>
      <c r="M487" s="439">
        <f t="shared" si="507"/>
        <v>0</v>
      </c>
      <c r="N487" s="439">
        <v>0</v>
      </c>
      <c r="O487" s="439">
        <v>0</v>
      </c>
      <c r="P487" s="440">
        <v>0</v>
      </c>
      <c r="Q487" s="439">
        <v>0</v>
      </c>
      <c r="R487" s="439">
        <f t="shared" si="502"/>
        <v>0</v>
      </c>
      <c r="S487" s="439">
        <f t="shared" si="503"/>
        <v>0</v>
      </c>
      <c r="T487" s="441"/>
      <c r="U487" s="439">
        <v>0</v>
      </c>
      <c r="V487" s="439">
        <f>+AA487</f>
        <v>0</v>
      </c>
      <c r="W487" s="439">
        <v>0</v>
      </c>
      <c r="X487" s="439">
        <v>0</v>
      </c>
      <c r="Y487" s="435">
        <f t="shared" si="504"/>
        <v>0</v>
      </c>
      <c r="Z487" s="439">
        <v>0</v>
      </c>
      <c r="AA487" s="439">
        <v>0</v>
      </c>
      <c r="AB487" s="439">
        <v>0</v>
      </c>
      <c r="AC487" s="439">
        <v>0</v>
      </c>
      <c r="AD487" s="439">
        <v>0</v>
      </c>
      <c r="AE487" s="435">
        <f t="shared" si="470"/>
        <v>0</v>
      </c>
      <c r="AF487" s="439">
        <f>AC487*2</f>
        <v>0</v>
      </c>
      <c r="AG487" s="439">
        <v>0</v>
      </c>
      <c r="AH487" s="419">
        <f t="shared" si="495"/>
        <v>0</v>
      </c>
      <c r="AI487" s="439">
        <v>0</v>
      </c>
      <c r="AJ487" s="439">
        <v>0</v>
      </c>
      <c r="AK487" s="439">
        <f>AA487-W487</f>
        <v>0</v>
      </c>
      <c r="AL487" s="439">
        <f>AA487-AF487</f>
        <v>0</v>
      </c>
      <c r="AM487" s="439">
        <f>AA487-AD487</f>
        <v>0</v>
      </c>
      <c r="AN487" s="438"/>
      <c r="AO487" s="438"/>
      <c r="AP487" s="438"/>
    </row>
    <row r="488" spans="1:42" ht="12.75">
      <c r="A488" s="412"/>
      <c r="B488" s="431"/>
      <c r="C488" s="432" t="s">
        <v>10455</v>
      </c>
      <c r="D488" s="433" t="s">
        <v>11307</v>
      </c>
      <c r="E488" s="434">
        <f>'PROSPETTO CE_IV TRIM 2024'!BM2294</f>
        <v>0</v>
      </c>
      <c r="F488" s="439">
        <f>+E488</f>
        <v>0</v>
      </c>
      <c r="G488" s="439">
        <v>0</v>
      </c>
      <c r="H488" s="439">
        <v>0</v>
      </c>
      <c r="I488" s="435">
        <f t="shared" si="505"/>
        <v>0</v>
      </c>
      <c r="J488" s="435">
        <f t="shared" si="506"/>
        <v>0</v>
      </c>
      <c r="K488" s="439">
        <v>0</v>
      </c>
      <c r="L488" s="439">
        <v>0</v>
      </c>
      <c r="M488" s="439">
        <f t="shared" si="507"/>
        <v>0</v>
      </c>
      <c r="N488" s="439">
        <v>0</v>
      </c>
      <c r="O488" s="439">
        <v>0</v>
      </c>
      <c r="P488" s="440">
        <v>0</v>
      </c>
      <c r="Q488" s="439">
        <v>0</v>
      </c>
      <c r="R488" s="439">
        <f t="shared" si="502"/>
        <v>0</v>
      </c>
      <c r="S488" s="439">
        <f t="shared" si="503"/>
        <v>0</v>
      </c>
      <c r="T488" s="441"/>
      <c r="U488" s="439">
        <v>0</v>
      </c>
      <c r="V488" s="439">
        <f>+AA488</f>
        <v>0</v>
      </c>
      <c r="W488" s="439">
        <v>0</v>
      </c>
      <c r="X488" s="439">
        <v>0</v>
      </c>
      <c r="Y488" s="435">
        <f t="shared" si="504"/>
        <v>0</v>
      </c>
      <c r="Z488" s="439">
        <v>0</v>
      </c>
      <c r="AA488" s="439">
        <v>0</v>
      </c>
      <c r="AB488" s="439">
        <v>0</v>
      </c>
      <c r="AC488" s="439">
        <v>0</v>
      </c>
      <c r="AD488" s="439">
        <v>0</v>
      </c>
      <c r="AE488" s="435">
        <f t="shared" si="470"/>
        <v>0</v>
      </c>
      <c r="AF488" s="439">
        <f>AC488*2</f>
        <v>0</v>
      </c>
      <c r="AG488" s="439">
        <v>0</v>
      </c>
      <c r="AH488" s="419">
        <f t="shared" si="495"/>
        <v>0</v>
      </c>
      <c r="AI488" s="439">
        <v>0</v>
      </c>
      <c r="AJ488" s="439">
        <v>0</v>
      </c>
      <c r="AK488" s="439">
        <f>AA488-W488</f>
        <v>0</v>
      </c>
      <c r="AL488" s="439">
        <f>AA488-AF488</f>
        <v>0</v>
      </c>
      <c r="AM488" s="439">
        <f>AA488-AD488</f>
        <v>0</v>
      </c>
      <c r="AN488" s="438"/>
      <c r="AO488" s="438"/>
      <c r="AP488" s="438"/>
    </row>
    <row r="489" spans="1:42" s="455" customFormat="1" ht="12.75">
      <c r="A489" s="445"/>
      <c r="B489" s="446"/>
      <c r="C489" s="457" t="s">
        <v>11308</v>
      </c>
      <c r="D489" s="458" t="s">
        <v>11309</v>
      </c>
      <c r="E489" s="459"/>
      <c r="F489" s="451">
        <f>+F487-F488</f>
        <v>0</v>
      </c>
      <c r="G489" s="451">
        <v>0</v>
      </c>
      <c r="H489" s="451">
        <v>0</v>
      </c>
      <c r="I489" s="435">
        <f t="shared" si="505"/>
        <v>0</v>
      </c>
      <c r="J489" s="435">
        <f t="shared" si="506"/>
        <v>0</v>
      </c>
      <c r="K489" s="451">
        <v>0</v>
      </c>
      <c r="L489" s="451">
        <v>0</v>
      </c>
      <c r="M489" s="451">
        <f t="shared" si="507"/>
        <v>0</v>
      </c>
      <c r="N489" s="451">
        <v>0</v>
      </c>
      <c r="O489" s="451">
        <v>0</v>
      </c>
      <c r="P489" s="460">
        <v>0</v>
      </c>
      <c r="Q489" s="451">
        <f t="shared" ref="Q489" si="531">+Q487-Q488</f>
        <v>0</v>
      </c>
      <c r="R489" s="451">
        <f t="shared" si="502"/>
        <v>0</v>
      </c>
      <c r="S489" s="451">
        <f t="shared" si="503"/>
        <v>0</v>
      </c>
      <c r="T489" s="461"/>
      <c r="U489" s="451">
        <v>0</v>
      </c>
      <c r="V489" s="451">
        <f>+V487-V488</f>
        <v>0</v>
      </c>
      <c r="W489" s="451">
        <f>+W487-W488</f>
        <v>0</v>
      </c>
      <c r="X489" s="451">
        <f t="shared" ref="X489" si="532">+X487-X488</f>
        <v>0</v>
      </c>
      <c r="Y489" s="451">
        <f t="shared" si="504"/>
        <v>0</v>
      </c>
      <c r="Z489" s="451">
        <v>0</v>
      </c>
      <c r="AA489" s="451">
        <v>0</v>
      </c>
      <c r="AB489" s="451">
        <f t="shared" ref="AB489:AM489" si="533">+AB487-AB488</f>
        <v>0</v>
      </c>
      <c r="AC489" s="451">
        <f t="shared" si="533"/>
        <v>0</v>
      </c>
      <c r="AD489" s="451">
        <f t="shared" si="533"/>
        <v>0</v>
      </c>
      <c r="AE489" s="451">
        <f t="shared" si="470"/>
        <v>0</v>
      </c>
      <c r="AF489" s="451">
        <f t="shared" si="533"/>
        <v>0</v>
      </c>
      <c r="AG489" s="451">
        <f t="shared" si="533"/>
        <v>0</v>
      </c>
      <c r="AH489" s="415">
        <f t="shared" si="495"/>
        <v>0</v>
      </c>
      <c r="AI489" s="451">
        <f t="shared" si="533"/>
        <v>0</v>
      </c>
      <c r="AJ489" s="451">
        <f t="shared" si="533"/>
        <v>0</v>
      </c>
      <c r="AK489" s="451">
        <f t="shared" si="533"/>
        <v>0</v>
      </c>
      <c r="AL489" s="451">
        <f t="shared" si="533"/>
        <v>0</v>
      </c>
      <c r="AM489" s="451">
        <f t="shared" si="533"/>
        <v>0</v>
      </c>
      <c r="AN489" s="454"/>
      <c r="AO489" s="454"/>
      <c r="AP489" s="454"/>
    </row>
    <row r="490" spans="1:42" ht="12.75">
      <c r="A490" s="412"/>
      <c r="B490" s="431"/>
      <c r="C490" s="432" t="s">
        <v>10466</v>
      </c>
      <c r="D490" s="433" t="s">
        <v>10469</v>
      </c>
      <c r="E490" s="434"/>
      <c r="F490" s="435">
        <f>+F491+F492</f>
        <v>8969096.0200000014</v>
      </c>
      <c r="G490" s="435">
        <v>4812044.5599999996</v>
      </c>
      <c r="H490" s="435">
        <v>600850.22</v>
      </c>
      <c r="I490" s="435">
        <f t="shared" si="505"/>
        <v>8368245.8000000017</v>
      </c>
      <c r="J490" s="435">
        <f t="shared" si="506"/>
        <v>8461729.2300000023</v>
      </c>
      <c r="K490" s="435">
        <v>507366.79</v>
      </c>
      <c r="L490" s="435">
        <v>511777.05</v>
      </c>
      <c r="M490" s="435">
        <f t="shared" si="507"/>
        <v>8817328.2300000023</v>
      </c>
      <c r="N490" s="435">
        <v>561393.98</v>
      </c>
      <c r="O490" s="435">
        <v>561393.98</v>
      </c>
      <c r="P490" s="436">
        <v>151767.79</v>
      </c>
      <c r="Q490" s="435">
        <f t="shared" ref="Q490" si="534">+Q491+Q492</f>
        <v>4812044.5599999996</v>
      </c>
      <c r="R490" s="435">
        <f t="shared" si="502"/>
        <v>-409626.18999999994</v>
      </c>
      <c r="S490" s="435">
        <f t="shared" si="503"/>
        <v>4250650.58</v>
      </c>
      <c r="T490" s="437">
        <f>(F490-P490)/F490*100</f>
        <v>98.307880864899033</v>
      </c>
      <c r="U490" s="435">
        <v>189290.08000000002</v>
      </c>
      <c r="V490" s="435">
        <f>+V491+V492</f>
        <v>151767.79</v>
      </c>
      <c r="W490" s="435">
        <f>+W491+W492</f>
        <v>0</v>
      </c>
      <c r="X490" s="435">
        <f t="shared" ref="X490" si="535">+X491+X492</f>
        <v>4812044.5599999996</v>
      </c>
      <c r="Y490" s="435">
        <f t="shared" si="504"/>
        <v>9784468.3854545467</v>
      </c>
      <c r="Z490" s="435">
        <v>151767.79</v>
      </c>
      <c r="AA490" s="435">
        <v>151767.79</v>
      </c>
      <c r="AB490" s="435">
        <f t="shared" ref="AB490:AM490" si="536">+AB491+AB492</f>
        <v>68383</v>
      </c>
      <c r="AC490" s="435">
        <f t="shared" si="536"/>
        <v>91681.290000000008</v>
      </c>
      <c r="AD490" s="435">
        <f t="shared" si="536"/>
        <v>4812044.5599999996</v>
      </c>
      <c r="AE490" s="435">
        <f t="shared" si="470"/>
        <v>4157051.4600000018</v>
      </c>
      <c r="AF490" s="435">
        <f t="shared" si="536"/>
        <v>183362.58000000002</v>
      </c>
      <c r="AG490" s="435">
        <f t="shared" si="536"/>
        <v>0</v>
      </c>
      <c r="AH490" s="419">
        <f t="shared" si="495"/>
        <v>-8969096.0200000014</v>
      </c>
      <c r="AI490" s="435">
        <f t="shared" si="536"/>
        <v>0</v>
      </c>
      <c r="AJ490" s="435">
        <f t="shared" si="536"/>
        <v>0</v>
      </c>
      <c r="AK490" s="435">
        <f t="shared" si="536"/>
        <v>151767.79</v>
      </c>
      <c r="AL490" s="435">
        <f t="shared" si="536"/>
        <v>-31594.789999999994</v>
      </c>
      <c r="AM490" s="435">
        <f t="shared" si="536"/>
        <v>-4660276.7699999996</v>
      </c>
      <c r="AN490" s="438"/>
      <c r="AO490" s="438"/>
      <c r="AP490" s="438"/>
    </row>
    <row r="491" spans="1:42" ht="12.75">
      <c r="A491" s="412"/>
      <c r="B491" s="431"/>
      <c r="C491" s="432" t="s">
        <v>10470</v>
      </c>
      <c r="D491" s="433" t="s">
        <v>10473</v>
      </c>
      <c r="E491" s="434">
        <f>'PROSPETTO CE_IV TRIM 2024'!BM2301</f>
        <v>0</v>
      </c>
      <c r="F491" s="439">
        <f>+E491</f>
        <v>0</v>
      </c>
      <c r="G491" s="439">
        <v>0</v>
      </c>
      <c r="H491" s="439">
        <v>0</v>
      </c>
      <c r="I491" s="435">
        <f t="shared" si="505"/>
        <v>0</v>
      </c>
      <c r="J491" s="435">
        <f t="shared" si="506"/>
        <v>0</v>
      </c>
      <c r="K491" s="439">
        <v>0</v>
      </c>
      <c r="L491" s="439">
        <v>0</v>
      </c>
      <c r="M491" s="439">
        <f t="shared" si="507"/>
        <v>0</v>
      </c>
      <c r="N491" s="439">
        <v>0</v>
      </c>
      <c r="O491" s="439">
        <v>0</v>
      </c>
      <c r="P491" s="440">
        <v>0</v>
      </c>
      <c r="Q491" s="439">
        <v>0</v>
      </c>
      <c r="R491" s="439">
        <f t="shared" si="502"/>
        <v>0</v>
      </c>
      <c r="S491" s="439">
        <f t="shared" si="503"/>
        <v>0</v>
      </c>
      <c r="T491" s="441"/>
      <c r="U491" s="439">
        <v>0</v>
      </c>
      <c r="V491" s="439">
        <f>+AA491</f>
        <v>0</v>
      </c>
      <c r="W491" s="439">
        <v>0</v>
      </c>
      <c r="X491" s="439">
        <v>0</v>
      </c>
      <c r="Y491" s="435">
        <f t="shared" si="504"/>
        <v>0</v>
      </c>
      <c r="Z491" s="439">
        <v>0</v>
      </c>
      <c r="AA491" s="439">
        <v>0</v>
      </c>
      <c r="AB491" s="439">
        <v>0</v>
      </c>
      <c r="AC491" s="439">
        <v>0</v>
      </c>
      <c r="AD491" s="439">
        <v>0</v>
      </c>
      <c r="AE491" s="435">
        <f t="shared" ref="AE491:AE554" si="537">F491-AD491</f>
        <v>0</v>
      </c>
      <c r="AF491" s="439">
        <f>AC491*2</f>
        <v>0</v>
      </c>
      <c r="AG491" s="439">
        <v>0</v>
      </c>
      <c r="AH491" s="419">
        <f t="shared" si="495"/>
        <v>0</v>
      </c>
      <c r="AI491" s="439">
        <v>0</v>
      </c>
      <c r="AJ491" s="439">
        <v>0</v>
      </c>
      <c r="AK491" s="439">
        <f>AA491-W491</f>
        <v>0</v>
      </c>
      <c r="AL491" s="439">
        <f>AA491-AF491</f>
        <v>0</v>
      </c>
      <c r="AM491" s="439">
        <f>AA491-AD491</f>
        <v>0</v>
      </c>
      <c r="AN491" s="438"/>
      <c r="AO491" s="438"/>
      <c r="AP491" s="438"/>
    </row>
    <row r="492" spans="1:42" ht="12.75">
      <c r="A492" s="412"/>
      <c r="B492" s="431"/>
      <c r="C492" s="432" t="s">
        <v>10565</v>
      </c>
      <c r="D492" s="433" t="s">
        <v>10568</v>
      </c>
      <c r="E492" s="434"/>
      <c r="F492" s="435">
        <f>+F493+F494+F505+F515</f>
        <v>8969096.0200000014</v>
      </c>
      <c r="G492" s="435">
        <v>4812044.5599999996</v>
      </c>
      <c r="H492" s="435">
        <v>600850.22</v>
      </c>
      <c r="I492" s="435">
        <f t="shared" si="505"/>
        <v>8368245.8000000017</v>
      </c>
      <c r="J492" s="435">
        <f t="shared" si="506"/>
        <v>8461729.2300000023</v>
      </c>
      <c r="K492" s="435">
        <v>507366.79</v>
      </c>
      <c r="L492" s="435">
        <v>511777.05</v>
      </c>
      <c r="M492" s="435">
        <f t="shared" si="507"/>
        <v>8817328.2300000023</v>
      </c>
      <c r="N492" s="435">
        <v>561393.98</v>
      </c>
      <c r="O492" s="435">
        <v>561393.98</v>
      </c>
      <c r="P492" s="436">
        <v>151767.79</v>
      </c>
      <c r="Q492" s="435">
        <f t="shared" ref="Q492" si="538">+Q493+Q494+Q505+Q515</f>
        <v>4812044.5599999996</v>
      </c>
      <c r="R492" s="435">
        <f t="shared" si="502"/>
        <v>-409626.18999999994</v>
      </c>
      <c r="S492" s="435">
        <f t="shared" si="503"/>
        <v>4250650.58</v>
      </c>
      <c r="T492" s="437">
        <f>(F492-P492)/F492*100</f>
        <v>98.307880864899033</v>
      </c>
      <c r="U492" s="435">
        <v>189290.08000000002</v>
      </c>
      <c r="V492" s="435">
        <f>+V493+V494+V505+V515</f>
        <v>151767.79</v>
      </c>
      <c r="W492" s="435">
        <f>+W493+W494+W505+W515</f>
        <v>0</v>
      </c>
      <c r="X492" s="435">
        <f t="shared" ref="X492" si="539">+X493+X494+X505+X515</f>
        <v>4812044.5599999996</v>
      </c>
      <c r="Y492" s="435">
        <f t="shared" si="504"/>
        <v>9784468.3854545467</v>
      </c>
      <c r="Z492" s="435">
        <v>151767.79</v>
      </c>
      <c r="AA492" s="435">
        <v>151767.79</v>
      </c>
      <c r="AB492" s="435">
        <f t="shared" ref="AB492:AM492" si="540">+AB493+AB494+AB505+AB515</f>
        <v>68383</v>
      </c>
      <c r="AC492" s="435">
        <f t="shared" si="540"/>
        <v>91681.290000000008</v>
      </c>
      <c r="AD492" s="435">
        <f t="shared" si="540"/>
        <v>4812044.5599999996</v>
      </c>
      <c r="AE492" s="435">
        <f t="shared" si="537"/>
        <v>4157051.4600000018</v>
      </c>
      <c r="AF492" s="435">
        <f t="shared" si="540"/>
        <v>183362.58000000002</v>
      </c>
      <c r="AG492" s="435">
        <f t="shared" si="540"/>
        <v>0</v>
      </c>
      <c r="AH492" s="419">
        <f t="shared" si="495"/>
        <v>-8969096.0200000014</v>
      </c>
      <c r="AI492" s="435">
        <f t="shared" si="540"/>
        <v>0</v>
      </c>
      <c r="AJ492" s="435">
        <f t="shared" si="540"/>
        <v>0</v>
      </c>
      <c r="AK492" s="435">
        <f t="shared" si="540"/>
        <v>151767.79</v>
      </c>
      <c r="AL492" s="435">
        <f t="shared" si="540"/>
        <v>-31594.789999999994</v>
      </c>
      <c r="AM492" s="435">
        <f t="shared" si="540"/>
        <v>-4660276.7699999996</v>
      </c>
      <c r="AN492" s="438"/>
      <c r="AO492" s="438"/>
      <c r="AP492" s="438"/>
    </row>
    <row r="493" spans="1:42" ht="12.75">
      <c r="A493" s="412"/>
      <c r="B493" s="431"/>
      <c r="C493" s="432" t="s">
        <v>10569</v>
      </c>
      <c r="D493" s="433" t="s">
        <v>10572</v>
      </c>
      <c r="E493" s="434">
        <f>'PROSPETTO CE_IV TRIM 2024'!BM2348</f>
        <v>0</v>
      </c>
      <c r="F493" s="439">
        <f>+E493</f>
        <v>0</v>
      </c>
      <c r="G493" s="439">
        <v>0</v>
      </c>
      <c r="H493" s="439">
        <v>0</v>
      </c>
      <c r="I493" s="435">
        <f t="shared" si="505"/>
        <v>0</v>
      </c>
      <c r="J493" s="435">
        <f t="shared" si="506"/>
        <v>0</v>
      </c>
      <c r="K493" s="439">
        <v>0</v>
      </c>
      <c r="L493" s="439">
        <v>0</v>
      </c>
      <c r="M493" s="439">
        <f t="shared" si="507"/>
        <v>0</v>
      </c>
      <c r="N493" s="439">
        <v>0</v>
      </c>
      <c r="O493" s="439">
        <v>0</v>
      </c>
      <c r="P493" s="440">
        <v>0</v>
      </c>
      <c r="Q493" s="439">
        <v>0</v>
      </c>
      <c r="R493" s="439">
        <f t="shared" si="502"/>
        <v>0</v>
      </c>
      <c r="S493" s="439">
        <f t="shared" si="503"/>
        <v>0</v>
      </c>
      <c r="T493" s="441"/>
      <c r="U493" s="439">
        <v>0</v>
      </c>
      <c r="V493" s="439">
        <f>+AA493</f>
        <v>0</v>
      </c>
      <c r="W493" s="439">
        <v>0</v>
      </c>
      <c r="X493" s="439">
        <v>0</v>
      </c>
      <c r="Y493" s="435">
        <f t="shared" si="504"/>
        <v>0</v>
      </c>
      <c r="Z493" s="439">
        <v>0</v>
      </c>
      <c r="AA493" s="439">
        <v>0</v>
      </c>
      <c r="AB493" s="439">
        <v>0</v>
      </c>
      <c r="AC493" s="439">
        <v>0</v>
      </c>
      <c r="AD493" s="439">
        <v>0</v>
      </c>
      <c r="AE493" s="435">
        <f t="shared" si="537"/>
        <v>0</v>
      </c>
      <c r="AF493" s="439">
        <f>AC493*2</f>
        <v>0</v>
      </c>
      <c r="AG493" s="439">
        <v>0</v>
      </c>
      <c r="AH493" s="419">
        <f t="shared" si="495"/>
        <v>0</v>
      </c>
      <c r="AI493" s="439">
        <v>0</v>
      </c>
      <c r="AJ493" s="439">
        <v>0</v>
      </c>
      <c r="AK493" s="439">
        <f>AA493-W493</f>
        <v>0</v>
      </c>
      <c r="AL493" s="439">
        <f>AA493-AF493</f>
        <v>0</v>
      </c>
      <c r="AM493" s="439">
        <f>AA493-AD493</f>
        <v>0</v>
      </c>
      <c r="AN493" s="438"/>
      <c r="AO493" s="438"/>
      <c r="AP493" s="438"/>
    </row>
    <row r="494" spans="1:42" ht="12.75">
      <c r="A494" s="412"/>
      <c r="B494" s="431"/>
      <c r="C494" s="432" t="s">
        <v>10576</v>
      </c>
      <c r="D494" s="433" t="s">
        <v>10579</v>
      </c>
      <c r="E494" s="434"/>
      <c r="F494" s="435">
        <f>+F495+F496+F497</f>
        <v>8909047.9700000007</v>
      </c>
      <c r="G494" s="435">
        <v>4812044.5599999996</v>
      </c>
      <c r="H494" s="435">
        <v>540802.22</v>
      </c>
      <c r="I494" s="435">
        <f t="shared" si="505"/>
        <v>8368245.7500000009</v>
      </c>
      <c r="J494" s="435">
        <f t="shared" si="506"/>
        <v>8461729.1800000016</v>
      </c>
      <c r="K494" s="435">
        <v>447318.79</v>
      </c>
      <c r="L494" s="435">
        <v>451729</v>
      </c>
      <c r="M494" s="435">
        <f t="shared" si="507"/>
        <v>8757280.1800000016</v>
      </c>
      <c r="N494" s="435">
        <v>501345.98</v>
      </c>
      <c r="O494" s="435">
        <v>501345.98</v>
      </c>
      <c r="P494" s="436">
        <v>151767.79</v>
      </c>
      <c r="Q494" s="435">
        <f t="shared" ref="Q494" si="541">+Q495+Q496+Q497</f>
        <v>4812044.5599999996</v>
      </c>
      <c r="R494" s="435">
        <f t="shared" si="502"/>
        <v>-349578.18999999994</v>
      </c>
      <c r="S494" s="435">
        <f t="shared" si="503"/>
        <v>4310698.58</v>
      </c>
      <c r="T494" s="437">
        <f>(F494-P494)/F494*100</f>
        <v>98.296475779330677</v>
      </c>
      <c r="U494" s="435">
        <v>189290.08000000002</v>
      </c>
      <c r="V494" s="435">
        <f>+V495+V496+V497</f>
        <v>151767.79</v>
      </c>
      <c r="W494" s="435">
        <f>+W495+W496+W497</f>
        <v>0</v>
      </c>
      <c r="X494" s="435">
        <f t="shared" ref="X494" si="542">+X495+X496+X497</f>
        <v>4812044.5599999996</v>
      </c>
      <c r="Y494" s="435">
        <f t="shared" si="504"/>
        <v>9718961.4218181819</v>
      </c>
      <c r="Z494" s="435">
        <v>151767.79</v>
      </c>
      <c r="AA494" s="435">
        <v>151767.79</v>
      </c>
      <c r="AB494" s="435">
        <f t="shared" ref="AB494:AM494" si="543">+AB495+AB496+AB497</f>
        <v>68383</v>
      </c>
      <c r="AC494" s="435">
        <f t="shared" si="543"/>
        <v>91681.290000000008</v>
      </c>
      <c r="AD494" s="435">
        <f t="shared" si="543"/>
        <v>4812044.5599999996</v>
      </c>
      <c r="AE494" s="435">
        <f t="shared" si="537"/>
        <v>4097003.4100000011</v>
      </c>
      <c r="AF494" s="435">
        <f t="shared" si="543"/>
        <v>183362.58000000002</v>
      </c>
      <c r="AG494" s="435">
        <f t="shared" si="543"/>
        <v>0</v>
      </c>
      <c r="AH494" s="419">
        <f t="shared" si="495"/>
        <v>-8909047.9700000007</v>
      </c>
      <c r="AI494" s="435">
        <f t="shared" si="543"/>
        <v>0</v>
      </c>
      <c r="AJ494" s="435">
        <f t="shared" si="543"/>
        <v>0</v>
      </c>
      <c r="AK494" s="435">
        <f t="shared" si="543"/>
        <v>151767.79</v>
      </c>
      <c r="AL494" s="435">
        <f t="shared" si="543"/>
        <v>-31594.789999999994</v>
      </c>
      <c r="AM494" s="435">
        <f t="shared" si="543"/>
        <v>-4660276.7699999996</v>
      </c>
      <c r="AN494" s="438"/>
      <c r="AO494" s="438"/>
      <c r="AP494" s="438"/>
    </row>
    <row r="495" spans="1:42" ht="12.75">
      <c r="A495" s="412"/>
      <c r="B495" s="431"/>
      <c r="C495" s="432" t="s">
        <v>10580</v>
      </c>
      <c r="D495" s="433" t="s">
        <v>10584</v>
      </c>
      <c r="E495" s="434">
        <f>'PROSPETTO CE_IV TRIM 2024'!BM2352</f>
        <v>0</v>
      </c>
      <c r="F495" s="439">
        <f>+E495</f>
        <v>0</v>
      </c>
      <c r="G495" s="439">
        <v>0</v>
      </c>
      <c r="H495" s="439">
        <v>0</v>
      </c>
      <c r="I495" s="435">
        <f t="shared" si="505"/>
        <v>0</v>
      </c>
      <c r="J495" s="435">
        <f t="shared" si="506"/>
        <v>0</v>
      </c>
      <c r="K495" s="439">
        <v>0</v>
      </c>
      <c r="L495" s="439">
        <v>0</v>
      </c>
      <c r="M495" s="439">
        <f t="shared" si="507"/>
        <v>0</v>
      </c>
      <c r="N495" s="439">
        <v>0</v>
      </c>
      <c r="O495" s="439">
        <v>0</v>
      </c>
      <c r="P495" s="440">
        <v>0</v>
      </c>
      <c r="Q495" s="439">
        <v>0</v>
      </c>
      <c r="R495" s="439">
        <f t="shared" si="502"/>
        <v>0</v>
      </c>
      <c r="S495" s="439">
        <f t="shared" si="503"/>
        <v>0</v>
      </c>
      <c r="T495" s="441"/>
      <c r="U495" s="439">
        <v>0</v>
      </c>
      <c r="V495" s="439">
        <f>+AA495</f>
        <v>0</v>
      </c>
      <c r="W495" s="439">
        <v>0</v>
      </c>
      <c r="X495" s="439">
        <v>0</v>
      </c>
      <c r="Y495" s="435">
        <f t="shared" si="504"/>
        <v>0</v>
      </c>
      <c r="Z495" s="439">
        <v>0</v>
      </c>
      <c r="AA495" s="439">
        <v>0</v>
      </c>
      <c r="AB495" s="439">
        <v>0</v>
      </c>
      <c r="AC495" s="439">
        <v>0</v>
      </c>
      <c r="AD495" s="439">
        <v>0</v>
      </c>
      <c r="AE495" s="435">
        <f t="shared" si="537"/>
        <v>0</v>
      </c>
      <c r="AF495" s="439">
        <f>AC495*2</f>
        <v>0</v>
      </c>
      <c r="AG495" s="439">
        <v>0</v>
      </c>
      <c r="AH495" s="419">
        <f t="shared" si="495"/>
        <v>0</v>
      </c>
      <c r="AI495" s="439">
        <v>0</v>
      </c>
      <c r="AJ495" s="439">
        <v>0</v>
      </c>
      <c r="AK495" s="439">
        <f>AA495-W495</f>
        <v>0</v>
      </c>
      <c r="AL495" s="439">
        <f>AA495-AF495</f>
        <v>0</v>
      </c>
      <c r="AM495" s="439">
        <f>AA495-AD495</f>
        <v>0</v>
      </c>
      <c r="AN495" s="438"/>
      <c r="AO495" s="438"/>
      <c r="AP495" s="438"/>
    </row>
    <row r="496" spans="1:42" ht="25.5">
      <c r="A496" s="412"/>
      <c r="B496" s="431" t="s">
        <v>1519</v>
      </c>
      <c r="C496" s="432" t="s">
        <v>10585</v>
      </c>
      <c r="D496" s="433" t="s">
        <v>11310</v>
      </c>
      <c r="E496" s="434">
        <f>'PROSPETTO CE_IV TRIM 2024'!BM2353</f>
        <v>255906.64</v>
      </c>
      <c r="F496" s="439">
        <f>+E496</f>
        <v>255906.64</v>
      </c>
      <c r="G496" s="439">
        <v>32475.350000000002</v>
      </c>
      <c r="H496" s="439">
        <v>255906.64</v>
      </c>
      <c r="I496" s="435">
        <f t="shared" si="505"/>
        <v>0</v>
      </c>
      <c r="J496" s="435">
        <f t="shared" si="506"/>
        <v>81409.030000000028</v>
      </c>
      <c r="K496" s="439">
        <v>174497.61</v>
      </c>
      <c r="L496" s="439">
        <v>178030.81</v>
      </c>
      <c r="M496" s="439">
        <f t="shared" si="507"/>
        <v>255306.64</v>
      </c>
      <c r="N496" s="439">
        <v>180598.7</v>
      </c>
      <c r="O496" s="439">
        <v>180598.7</v>
      </c>
      <c r="P496" s="440">
        <v>600</v>
      </c>
      <c r="Q496" s="439">
        <v>32475.350000000002</v>
      </c>
      <c r="R496" s="439">
        <f t="shared" si="502"/>
        <v>-179998.7</v>
      </c>
      <c r="S496" s="439">
        <f t="shared" si="503"/>
        <v>-148123.35</v>
      </c>
      <c r="T496" s="441">
        <f>(F496-P496)/F496*100</f>
        <v>99.765539495184655</v>
      </c>
      <c r="U496" s="439">
        <v>1200</v>
      </c>
      <c r="V496" s="439">
        <f>+AA496</f>
        <v>600</v>
      </c>
      <c r="W496" s="439">
        <v>0</v>
      </c>
      <c r="X496" s="439">
        <v>32475.350000000002</v>
      </c>
      <c r="Y496" s="435">
        <f t="shared" si="504"/>
        <v>279170.88</v>
      </c>
      <c r="Z496" s="439">
        <v>600</v>
      </c>
      <c r="AA496" s="439">
        <v>600</v>
      </c>
      <c r="AB496" s="439">
        <v>7543</v>
      </c>
      <c r="AC496" s="439">
        <v>0</v>
      </c>
      <c r="AD496" s="439">
        <v>32475.350000000002</v>
      </c>
      <c r="AE496" s="435">
        <f t="shared" si="537"/>
        <v>223431.29</v>
      </c>
      <c r="AF496" s="439">
        <f>AC496*2</f>
        <v>0</v>
      </c>
      <c r="AG496" s="439"/>
      <c r="AH496" s="419">
        <f t="shared" si="495"/>
        <v>-255906.64</v>
      </c>
      <c r="AI496" s="439"/>
      <c r="AJ496" s="439"/>
      <c r="AK496" s="439">
        <f>AA496-W496</f>
        <v>600</v>
      </c>
      <c r="AL496" s="439">
        <f>AA496-AF496</f>
        <v>600</v>
      </c>
      <c r="AM496" s="439">
        <f>AA496-AD496</f>
        <v>-31875.350000000002</v>
      </c>
      <c r="AN496" s="438"/>
      <c r="AO496" s="438"/>
      <c r="AP496" s="438"/>
    </row>
    <row r="497" spans="1:42" ht="12.75">
      <c r="A497" s="412"/>
      <c r="B497" s="431"/>
      <c r="C497" s="432" t="s">
        <v>11311</v>
      </c>
      <c r="D497" s="433" t="s">
        <v>11312</v>
      </c>
      <c r="E497" s="434"/>
      <c r="F497" s="435">
        <f>SUM(F498:F504)</f>
        <v>8653141.3300000001</v>
      </c>
      <c r="G497" s="435">
        <v>4779569.21</v>
      </c>
      <c r="H497" s="435">
        <v>284895.57999999996</v>
      </c>
      <c r="I497" s="435">
        <f t="shared" si="505"/>
        <v>8368245.75</v>
      </c>
      <c r="J497" s="435">
        <f t="shared" si="506"/>
        <v>8380320.1500000004</v>
      </c>
      <c r="K497" s="435">
        <v>272821.18</v>
      </c>
      <c r="L497" s="435">
        <v>273698.19</v>
      </c>
      <c r="M497" s="435">
        <f t="shared" si="507"/>
        <v>8501973.540000001</v>
      </c>
      <c r="N497" s="435">
        <v>320747.27999999997</v>
      </c>
      <c r="O497" s="435">
        <v>320747.27999999997</v>
      </c>
      <c r="P497" s="436">
        <v>151167.79</v>
      </c>
      <c r="Q497" s="435">
        <f t="shared" ref="Q497" si="544">SUM(Q498:Q504)</f>
        <v>4779569.21</v>
      </c>
      <c r="R497" s="435">
        <f t="shared" si="502"/>
        <v>-169579.48999999996</v>
      </c>
      <c r="S497" s="435">
        <f t="shared" si="503"/>
        <v>4458821.93</v>
      </c>
      <c r="T497" s="437">
        <f>(F497-P497)/F497*100</f>
        <v>98.253029920175834</v>
      </c>
      <c r="U497" s="435">
        <v>188090.08000000002</v>
      </c>
      <c r="V497" s="435">
        <f>SUM(V498:V504)</f>
        <v>151167.79</v>
      </c>
      <c r="W497" s="435">
        <f>SUM(W498:W504)</f>
        <v>0</v>
      </c>
      <c r="X497" s="435">
        <f t="shared" ref="X497" si="545">SUM(X498:X504)</f>
        <v>4779569.21</v>
      </c>
      <c r="Y497" s="435">
        <f t="shared" si="504"/>
        <v>9439790.5418181811</v>
      </c>
      <c r="Z497" s="435">
        <v>151167.79</v>
      </c>
      <c r="AA497" s="435">
        <v>151167.79</v>
      </c>
      <c r="AB497" s="435">
        <f t="shared" ref="AB497:AM497" si="546">SUM(AB498:AB504)</f>
        <v>60840</v>
      </c>
      <c r="AC497" s="435">
        <f t="shared" si="546"/>
        <v>91681.290000000008</v>
      </c>
      <c r="AD497" s="435">
        <f t="shared" si="546"/>
        <v>4779569.21</v>
      </c>
      <c r="AE497" s="435">
        <f t="shared" si="537"/>
        <v>3873572.12</v>
      </c>
      <c r="AF497" s="435">
        <f t="shared" si="546"/>
        <v>183362.58000000002</v>
      </c>
      <c r="AG497" s="435">
        <f t="shared" si="546"/>
        <v>0</v>
      </c>
      <c r="AH497" s="419">
        <f t="shared" si="495"/>
        <v>-8653141.3300000001</v>
      </c>
      <c r="AI497" s="435">
        <f t="shared" si="546"/>
        <v>0</v>
      </c>
      <c r="AJ497" s="435">
        <f t="shared" si="546"/>
        <v>0</v>
      </c>
      <c r="AK497" s="435">
        <f t="shared" si="546"/>
        <v>151167.79</v>
      </c>
      <c r="AL497" s="435">
        <f t="shared" si="546"/>
        <v>-32194.789999999994</v>
      </c>
      <c r="AM497" s="435">
        <f t="shared" si="546"/>
        <v>-4628401.42</v>
      </c>
      <c r="AN497" s="438"/>
      <c r="AO497" s="438"/>
      <c r="AP497" s="438"/>
    </row>
    <row r="498" spans="1:42" ht="25.5">
      <c r="A498" s="412"/>
      <c r="B498" s="431" t="s">
        <v>1349</v>
      </c>
      <c r="C498" s="432" t="s">
        <v>10598</v>
      </c>
      <c r="D498" s="433" t="s">
        <v>10603</v>
      </c>
      <c r="E498" s="434">
        <f>'PROSPETTO CE_IV TRIM 2024'!BM2356</f>
        <v>0</v>
      </c>
      <c r="F498" s="439">
        <f t="shared" ref="F498:F504" si="547">+E498</f>
        <v>0</v>
      </c>
      <c r="G498" s="439">
        <v>0</v>
      </c>
      <c r="H498" s="439">
        <v>0</v>
      </c>
      <c r="I498" s="435">
        <f t="shared" si="505"/>
        <v>0</v>
      </c>
      <c r="J498" s="435">
        <f t="shared" si="506"/>
        <v>0</v>
      </c>
      <c r="K498" s="439">
        <v>0</v>
      </c>
      <c r="L498" s="439">
        <v>0</v>
      </c>
      <c r="M498" s="439">
        <f t="shared" si="507"/>
        <v>0</v>
      </c>
      <c r="N498" s="439">
        <v>0</v>
      </c>
      <c r="O498" s="439">
        <v>0</v>
      </c>
      <c r="P498" s="440">
        <v>0</v>
      </c>
      <c r="Q498" s="439">
        <v>0</v>
      </c>
      <c r="R498" s="439">
        <f t="shared" si="502"/>
        <v>0</v>
      </c>
      <c r="S498" s="439">
        <f t="shared" si="503"/>
        <v>0</v>
      </c>
      <c r="T498" s="441"/>
      <c r="U498" s="439">
        <v>0</v>
      </c>
      <c r="V498" s="439">
        <f t="shared" ref="V498:V504" si="548">+AA498</f>
        <v>0</v>
      </c>
      <c r="W498" s="439">
        <v>0</v>
      </c>
      <c r="X498" s="439">
        <v>0</v>
      </c>
      <c r="Y498" s="435">
        <f t="shared" si="504"/>
        <v>0</v>
      </c>
      <c r="Z498" s="439">
        <v>0</v>
      </c>
      <c r="AA498" s="439">
        <v>0</v>
      </c>
      <c r="AB498" s="439">
        <v>0</v>
      </c>
      <c r="AC498" s="439">
        <v>0</v>
      </c>
      <c r="AD498" s="439">
        <v>0</v>
      </c>
      <c r="AE498" s="435">
        <f t="shared" si="537"/>
        <v>0</v>
      </c>
      <c r="AF498" s="439">
        <f t="shared" ref="AF498:AF504" si="549">AC498*2</f>
        <v>0</v>
      </c>
      <c r="AG498" s="439"/>
      <c r="AH498" s="419">
        <f t="shared" si="495"/>
        <v>0</v>
      </c>
      <c r="AI498" s="439"/>
      <c r="AJ498" s="439"/>
      <c r="AK498" s="439">
        <f t="shared" ref="AK498:AK504" si="550">AA498-W498</f>
        <v>0</v>
      </c>
      <c r="AL498" s="439">
        <f t="shared" ref="AL498:AL504" si="551">AA498-AF498</f>
        <v>0</v>
      </c>
      <c r="AM498" s="439">
        <f t="shared" ref="AM498:AM504" si="552">AA498-AD498</f>
        <v>0</v>
      </c>
      <c r="AN498" s="438"/>
      <c r="AO498" s="438"/>
      <c r="AP498" s="438"/>
    </row>
    <row r="499" spans="1:42" ht="12.75">
      <c r="A499" s="412"/>
      <c r="B499" s="431"/>
      <c r="C499" s="432" t="s">
        <v>10604</v>
      </c>
      <c r="D499" s="433" t="s">
        <v>10609</v>
      </c>
      <c r="E499" s="434">
        <f>'PROSPETTO CE_IV TRIM 2024'!BM2357</f>
        <v>0</v>
      </c>
      <c r="F499" s="439">
        <f t="shared" si="547"/>
        <v>0</v>
      </c>
      <c r="G499" s="439">
        <v>1212.6500000000001</v>
      </c>
      <c r="H499" s="439">
        <v>0</v>
      </c>
      <c r="I499" s="435">
        <f t="shared" si="505"/>
        <v>0</v>
      </c>
      <c r="J499" s="435">
        <f t="shared" si="506"/>
        <v>0</v>
      </c>
      <c r="K499" s="439">
        <v>0</v>
      </c>
      <c r="L499" s="439">
        <v>0</v>
      </c>
      <c r="M499" s="439">
        <f t="shared" si="507"/>
        <v>0</v>
      </c>
      <c r="N499" s="439">
        <v>0</v>
      </c>
      <c r="O499" s="439">
        <v>0</v>
      </c>
      <c r="P499" s="440">
        <v>0</v>
      </c>
      <c r="Q499" s="439">
        <v>1212.6500000000001</v>
      </c>
      <c r="R499" s="439">
        <f t="shared" si="502"/>
        <v>0</v>
      </c>
      <c r="S499" s="439">
        <f t="shared" si="503"/>
        <v>1212.6500000000001</v>
      </c>
      <c r="T499" s="441"/>
      <c r="U499" s="439">
        <v>0</v>
      </c>
      <c r="V499" s="439">
        <f t="shared" si="548"/>
        <v>0</v>
      </c>
      <c r="W499" s="439">
        <v>0</v>
      </c>
      <c r="X499" s="439">
        <v>1212.6500000000001</v>
      </c>
      <c r="Y499" s="435">
        <f t="shared" si="504"/>
        <v>0</v>
      </c>
      <c r="Z499" s="439">
        <v>0</v>
      </c>
      <c r="AA499" s="439">
        <v>0</v>
      </c>
      <c r="AB499" s="439">
        <v>0</v>
      </c>
      <c r="AC499" s="439">
        <v>0</v>
      </c>
      <c r="AD499" s="439">
        <v>1212.6500000000001</v>
      </c>
      <c r="AE499" s="435">
        <f t="shared" si="537"/>
        <v>-1212.6500000000001</v>
      </c>
      <c r="AF499" s="439">
        <f t="shared" si="549"/>
        <v>0</v>
      </c>
      <c r="AG499" s="439"/>
      <c r="AH499" s="419">
        <f t="shared" si="495"/>
        <v>0</v>
      </c>
      <c r="AI499" s="439"/>
      <c r="AJ499" s="439"/>
      <c r="AK499" s="439">
        <f t="shared" si="550"/>
        <v>0</v>
      </c>
      <c r="AL499" s="439">
        <f t="shared" si="551"/>
        <v>0</v>
      </c>
      <c r="AM499" s="439">
        <f t="shared" si="552"/>
        <v>-1212.6500000000001</v>
      </c>
      <c r="AN499" s="438"/>
      <c r="AO499" s="438"/>
      <c r="AP499" s="438"/>
    </row>
    <row r="500" spans="1:42" ht="25.5">
      <c r="A500" s="412"/>
      <c r="B500" s="431"/>
      <c r="C500" s="432" t="s">
        <v>10620</v>
      </c>
      <c r="D500" s="433" t="s">
        <v>10625</v>
      </c>
      <c r="E500" s="434">
        <f>'PROSPETTO CE_IV TRIM 2024'!BM2363</f>
        <v>0</v>
      </c>
      <c r="F500" s="439">
        <f t="shared" si="547"/>
        <v>0</v>
      </c>
      <c r="G500" s="439">
        <v>0</v>
      </c>
      <c r="H500" s="439">
        <v>0</v>
      </c>
      <c r="I500" s="435">
        <f t="shared" si="505"/>
        <v>0</v>
      </c>
      <c r="J500" s="435">
        <f t="shared" si="506"/>
        <v>0</v>
      </c>
      <c r="K500" s="439">
        <v>0</v>
      </c>
      <c r="L500" s="439">
        <v>0</v>
      </c>
      <c r="M500" s="439">
        <f t="shared" si="507"/>
        <v>0</v>
      </c>
      <c r="N500" s="439">
        <v>0</v>
      </c>
      <c r="O500" s="439">
        <v>0</v>
      </c>
      <c r="P500" s="440">
        <v>0</v>
      </c>
      <c r="Q500" s="439">
        <v>0</v>
      </c>
      <c r="R500" s="439">
        <f t="shared" si="502"/>
        <v>0</v>
      </c>
      <c r="S500" s="439">
        <f t="shared" si="503"/>
        <v>0</v>
      </c>
      <c r="T500" s="441"/>
      <c r="U500" s="439">
        <v>0</v>
      </c>
      <c r="V500" s="439">
        <f t="shared" si="548"/>
        <v>0</v>
      </c>
      <c r="W500" s="439">
        <v>0</v>
      </c>
      <c r="X500" s="439">
        <v>0</v>
      </c>
      <c r="Y500" s="435">
        <f t="shared" si="504"/>
        <v>0</v>
      </c>
      <c r="Z500" s="439">
        <v>0</v>
      </c>
      <c r="AA500" s="439">
        <v>0</v>
      </c>
      <c r="AB500" s="439">
        <v>0</v>
      </c>
      <c r="AC500" s="439">
        <v>0</v>
      </c>
      <c r="AD500" s="439">
        <v>0</v>
      </c>
      <c r="AE500" s="435">
        <f t="shared" si="537"/>
        <v>0</v>
      </c>
      <c r="AF500" s="439">
        <f t="shared" si="549"/>
        <v>0</v>
      </c>
      <c r="AG500" s="439"/>
      <c r="AH500" s="419">
        <f t="shared" si="495"/>
        <v>0</v>
      </c>
      <c r="AI500" s="439"/>
      <c r="AJ500" s="439"/>
      <c r="AK500" s="439">
        <f t="shared" si="550"/>
        <v>0</v>
      </c>
      <c r="AL500" s="439">
        <f t="shared" si="551"/>
        <v>0</v>
      </c>
      <c r="AM500" s="439">
        <f t="shared" si="552"/>
        <v>0</v>
      </c>
      <c r="AN500" s="438"/>
      <c r="AO500" s="438"/>
      <c r="AP500" s="438"/>
    </row>
    <row r="501" spans="1:42" ht="25.5">
      <c r="A501" s="412"/>
      <c r="B501" s="431"/>
      <c r="C501" s="432" t="s">
        <v>10626</v>
      </c>
      <c r="D501" s="433" t="s">
        <v>10631</v>
      </c>
      <c r="E501" s="434">
        <f>'PROSPETTO CE_IV TRIM 2024'!BM2364</f>
        <v>0</v>
      </c>
      <c r="F501" s="439">
        <f t="shared" si="547"/>
        <v>0</v>
      </c>
      <c r="G501" s="439">
        <v>0</v>
      </c>
      <c r="H501" s="439">
        <v>0</v>
      </c>
      <c r="I501" s="435">
        <f t="shared" si="505"/>
        <v>0</v>
      </c>
      <c r="J501" s="435">
        <f t="shared" si="506"/>
        <v>0</v>
      </c>
      <c r="K501" s="439">
        <v>0</v>
      </c>
      <c r="L501" s="439">
        <v>0</v>
      </c>
      <c r="M501" s="439">
        <f t="shared" si="507"/>
        <v>0</v>
      </c>
      <c r="N501" s="439">
        <v>0</v>
      </c>
      <c r="O501" s="439">
        <v>0</v>
      </c>
      <c r="P501" s="440">
        <v>0</v>
      </c>
      <c r="Q501" s="439">
        <v>0</v>
      </c>
      <c r="R501" s="439">
        <f t="shared" si="502"/>
        <v>0</v>
      </c>
      <c r="S501" s="439">
        <f t="shared" si="503"/>
        <v>0</v>
      </c>
      <c r="T501" s="441"/>
      <c r="U501" s="439">
        <v>0</v>
      </c>
      <c r="V501" s="439">
        <f t="shared" si="548"/>
        <v>0</v>
      </c>
      <c r="W501" s="439">
        <v>0</v>
      </c>
      <c r="X501" s="439">
        <v>0</v>
      </c>
      <c r="Y501" s="435">
        <f t="shared" si="504"/>
        <v>0</v>
      </c>
      <c r="Z501" s="439">
        <v>0</v>
      </c>
      <c r="AA501" s="439">
        <v>0</v>
      </c>
      <c r="AB501" s="439">
        <v>0</v>
      </c>
      <c r="AC501" s="439">
        <v>0</v>
      </c>
      <c r="AD501" s="439">
        <v>0</v>
      </c>
      <c r="AE501" s="435">
        <f t="shared" si="537"/>
        <v>0</v>
      </c>
      <c r="AF501" s="439">
        <f t="shared" si="549"/>
        <v>0</v>
      </c>
      <c r="AG501" s="439"/>
      <c r="AH501" s="419">
        <f t="shared" si="495"/>
        <v>0</v>
      </c>
      <c r="AI501" s="439"/>
      <c r="AJ501" s="439"/>
      <c r="AK501" s="439">
        <f t="shared" si="550"/>
        <v>0</v>
      </c>
      <c r="AL501" s="439">
        <f t="shared" si="551"/>
        <v>0</v>
      </c>
      <c r="AM501" s="439">
        <f t="shared" si="552"/>
        <v>0</v>
      </c>
      <c r="AN501" s="438"/>
      <c r="AO501" s="438"/>
      <c r="AP501" s="438"/>
    </row>
    <row r="502" spans="1:42" ht="25.5">
      <c r="A502" s="412"/>
      <c r="B502" s="431"/>
      <c r="C502" s="432" t="s">
        <v>10632</v>
      </c>
      <c r="D502" s="433" t="s">
        <v>10637</v>
      </c>
      <c r="E502" s="434">
        <f>'PROSPETTO CE_IV TRIM 2024'!BM2365</f>
        <v>0</v>
      </c>
      <c r="F502" s="439">
        <f t="shared" si="547"/>
        <v>0</v>
      </c>
      <c r="G502" s="439">
        <v>0</v>
      </c>
      <c r="H502" s="439">
        <v>0</v>
      </c>
      <c r="I502" s="435">
        <f t="shared" si="505"/>
        <v>0</v>
      </c>
      <c r="J502" s="435">
        <f t="shared" si="506"/>
        <v>0</v>
      </c>
      <c r="K502" s="439">
        <v>0</v>
      </c>
      <c r="L502" s="439">
        <v>0</v>
      </c>
      <c r="M502" s="439">
        <f t="shared" si="507"/>
        <v>0</v>
      </c>
      <c r="N502" s="439">
        <v>0</v>
      </c>
      <c r="O502" s="439">
        <v>0</v>
      </c>
      <c r="P502" s="440">
        <v>0</v>
      </c>
      <c r="Q502" s="439">
        <v>0</v>
      </c>
      <c r="R502" s="439">
        <f t="shared" si="502"/>
        <v>0</v>
      </c>
      <c r="S502" s="439">
        <f t="shared" si="503"/>
        <v>0</v>
      </c>
      <c r="T502" s="441"/>
      <c r="U502" s="439">
        <v>0</v>
      </c>
      <c r="V502" s="439">
        <f t="shared" si="548"/>
        <v>0</v>
      </c>
      <c r="W502" s="439">
        <v>0</v>
      </c>
      <c r="X502" s="439">
        <v>0</v>
      </c>
      <c r="Y502" s="435">
        <f t="shared" si="504"/>
        <v>0</v>
      </c>
      <c r="Z502" s="439">
        <v>0</v>
      </c>
      <c r="AA502" s="439">
        <v>0</v>
      </c>
      <c r="AB502" s="439">
        <v>0</v>
      </c>
      <c r="AC502" s="439">
        <v>0</v>
      </c>
      <c r="AD502" s="439">
        <v>0</v>
      </c>
      <c r="AE502" s="435">
        <f t="shared" si="537"/>
        <v>0</v>
      </c>
      <c r="AF502" s="439">
        <f t="shared" si="549"/>
        <v>0</v>
      </c>
      <c r="AG502" s="439"/>
      <c r="AH502" s="419">
        <f t="shared" si="495"/>
        <v>0</v>
      </c>
      <c r="AI502" s="439"/>
      <c r="AJ502" s="439"/>
      <c r="AK502" s="439">
        <f t="shared" si="550"/>
        <v>0</v>
      </c>
      <c r="AL502" s="439">
        <f t="shared" si="551"/>
        <v>0</v>
      </c>
      <c r="AM502" s="439">
        <f t="shared" si="552"/>
        <v>0</v>
      </c>
      <c r="AN502" s="438"/>
      <c r="AO502" s="438"/>
      <c r="AP502" s="438"/>
    </row>
    <row r="503" spans="1:42" ht="25.5">
      <c r="A503" s="412"/>
      <c r="B503" s="431"/>
      <c r="C503" s="432" t="s">
        <v>10640</v>
      </c>
      <c r="D503" s="433" t="s">
        <v>10645</v>
      </c>
      <c r="E503" s="434">
        <f>'PROSPETTO CE_IV TRIM 2024'!BM2367</f>
        <v>165721.79999999999</v>
      </c>
      <c r="F503" s="439">
        <f t="shared" si="547"/>
        <v>165721.79999999999</v>
      </c>
      <c r="G503" s="439">
        <v>401090.85</v>
      </c>
      <c r="H503" s="439">
        <v>165721.79999999999</v>
      </c>
      <c r="I503" s="435">
        <f t="shared" si="505"/>
        <v>0</v>
      </c>
      <c r="J503" s="435">
        <f t="shared" si="506"/>
        <v>0</v>
      </c>
      <c r="K503" s="439">
        <v>165721.79999999999</v>
      </c>
      <c r="L503" s="439">
        <v>165721.79999999999</v>
      </c>
      <c r="M503" s="439">
        <f t="shared" si="507"/>
        <v>49739.949999999983</v>
      </c>
      <c r="N503" s="439">
        <v>165721.79999999999</v>
      </c>
      <c r="O503" s="439">
        <v>165721.79999999999</v>
      </c>
      <c r="P503" s="440">
        <v>115981.85</v>
      </c>
      <c r="Q503" s="439">
        <v>401090.85</v>
      </c>
      <c r="R503" s="439">
        <f t="shared" si="502"/>
        <v>-49739.949999999983</v>
      </c>
      <c r="S503" s="439">
        <f t="shared" si="503"/>
        <v>235369.05</v>
      </c>
      <c r="T503" s="441">
        <f>(F503-P503)/F503*100</f>
        <v>30.014126083593094</v>
      </c>
      <c r="U503" s="439">
        <v>115981.85</v>
      </c>
      <c r="V503" s="439">
        <f t="shared" si="548"/>
        <v>115981.85</v>
      </c>
      <c r="W503" s="439">
        <v>0</v>
      </c>
      <c r="X503" s="439">
        <v>401090.85</v>
      </c>
      <c r="Y503" s="435">
        <f t="shared" si="504"/>
        <v>180787.41818181818</v>
      </c>
      <c r="Z503" s="439">
        <v>115981.85</v>
      </c>
      <c r="AA503" s="439">
        <v>115981.85</v>
      </c>
      <c r="AB503" s="439">
        <v>60840</v>
      </c>
      <c r="AC503" s="439">
        <v>60981.25</v>
      </c>
      <c r="AD503" s="439">
        <v>401090.85</v>
      </c>
      <c r="AE503" s="435">
        <f t="shared" si="537"/>
        <v>-235369.05</v>
      </c>
      <c r="AF503" s="439">
        <f t="shared" si="549"/>
        <v>121962.5</v>
      </c>
      <c r="AG503" s="439"/>
      <c r="AH503" s="419">
        <f t="shared" si="495"/>
        <v>-165721.79999999999</v>
      </c>
      <c r="AI503" s="439"/>
      <c r="AJ503" s="439"/>
      <c r="AK503" s="439">
        <f t="shared" si="550"/>
        <v>115981.85</v>
      </c>
      <c r="AL503" s="439">
        <f t="shared" si="551"/>
        <v>-5980.6499999999942</v>
      </c>
      <c r="AM503" s="439">
        <f t="shared" si="552"/>
        <v>-285109</v>
      </c>
      <c r="AN503" s="438"/>
      <c r="AO503" s="438"/>
      <c r="AP503" s="438"/>
    </row>
    <row r="504" spans="1:42" ht="12.75">
      <c r="A504" s="412"/>
      <c r="B504" s="431"/>
      <c r="C504" s="432" t="s">
        <v>10648</v>
      </c>
      <c r="D504" s="433" t="s">
        <v>10653</v>
      </c>
      <c r="E504" s="434">
        <f>'PROSPETTO CE_IV TRIM 2024'!BM2369</f>
        <v>8487419.5299999993</v>
      </c>
      <c r="F504" s="439">
        <f t="shared" si="547"/>
        <v>8487419.5299999993</v>
      </c>
      <c r="G504" s="439">
        <v>4377265.71</v>
      </c>
      <c r="H504" s="439">
        <v>119173.78</v>
      </c>
      <c r="I504" s="435">
        <f t="shared" si="505"/>
        <v>8368245.7499999991</v>
      </c>
      <c r="J504" s="435">
        <f t="shared" si="506"/>
        <v>8380320.1499999994</v>
      </c>
      <c r="K504" s="439">
        <v>107099.38</v>
      </c>
      <c r="L504" s="439">
        <v>107976.39</v>
      </c>
      <c r="M504" s="439">
        <f t="shared" si="507"/>
        <v>8452233.5899999999</v>
      </c>
      <c r="N504" s="439">
        <v>155025.47999999998</v>
      </c>
      <c r="O504" s="439">
        <v>155025.47999999998</v>
      </c>
      <c r="P504" s="443">
        <v>35185.94</v>
      </c>
      <c r="Q504" s="439">
        <v>4377265.71</v>
      </c>
      <c r="R504" s="439">
        <f t="shared" si="502"/>
        <v>-119839.53999999998</v>
      </c>
      <c r="S504" s="439">
        <f t="shared" si="503"/>
        <v>4222240.2300000004</v>
      </c>
      <c r="T504" s="441">
        <f>(F504-P504)/F504*100</f>
        <v>99.585434184375714</v>
      </c>
      <c r="U504" s="439">
        <v>72108.23</v>
      </c>
      <c r="V504" s="439">
        <f t="shared" si="548"/>
        <v>35185.94</v>
      </c>
      <c r="W504" s="439">
        <v>0</v>
      </c>
      <c r="X504" s="439">
        <v>4377265.71</v>
      </c>
      <c r="Y504" s="435">
        <f t="shared" si="504"/>
        <v>9259003.1236363631</v>
      </c>
      <c r="Z504" s="439">
        <v>35185.94</v>
      </c>
      <c r="AA504" s="439">
        <v>35185.94</v>
      </c>
      <c r="AB504" s="439">
        <v>0</v>
      </c>
      <c r="AC504" s="439">
        <v>30700.04</v>
      </c>
      <c r="AD504" s="439">
        <v>4377265.71</v>
      </c>
      <c r="AE504" s="435">
        <f t="shared" si="537"/>
        <v>4110153.8199999994</v>
      </c>
      <c r="AF504" s="439">
        <f t="shared" si="549"/>
        <v>61400.08</v>
      </c>
      <c r="AG504" s="439"/>
      <c r="AH504" s="419">
        <f t="shared" si="495"/>
        <v>-8487419.5299999993</v>
      </c>
      <c r="AI504" s="439"/>
      <c r="AJ504" s="439"/>
      <c r="AK504" s="439">
        <f t="shared" si="550"/>
        <v>35185.94</v>
      </c>
      <c r="AL504" s="439">
        <f t="shared" si="551"/>
        <v>-26214.14</v>
      </c>
      <c r="AM504" s="439">
        <f t="shared" si="552"/>
        <v>-4342079.7699999996</v>
      </c>
      <c r="AN504" s="438"/>
      <c r="AO504" s="438"/>
      <c r="AP504" s="438"/>
    </row>
    <row r="505" spans="1:42" ht="12.75">
      <c r="A505" s="412"/>
      <c r="B505" s="431"/>
      <c r="C505" s="432" t="s">
        <v>10658</v>
      </c>
      <c r="D505" s="433" t="s">
        <v>10661</v>
      </c>
      <c r="E505" s="434"/>
      <c r="F505" s="435">
        <f>+F506+F507</f>
        <v>60048</v>
      </c>
      <c r="G505" s="435">
        <v>0</v>
      </c>
      <c r="H505" s="435">
        <v>60048</v>
      </c>
      <c r="I505" s="435">
        <f t="shared" si="505"/>
        <v>0</v>
      </c>
      <c r="J505" s="435">
        <f t="shared" si="506"/>
        <v>0</v>
      </c>
      <c r="K505" s="435">
        <v>60048</v>
      </c>
      <c r="L505" s="435">
        <v>60048</v>
      </c>
      <c r="M505" s="435">
        <f t="shared" si="507"/>
        <v>60048</v>
      </c>
      <c r="N505" s="435">
        <v>60048</v>
      </c>
      <c r="O505" s="435">
        <v>60048</v>
      </c>
      <c r="P505" s="436">
        <v>0</v>
      </c>
      <c r="Q505" s="435">
        <f t="shared" ref="Q505" si="553">+Q506+Q507</f>
        <v>0</v>
      </c>
      <c r="R505" s="435">
        <f t="shared" si="502"/>
        <v>-60048</v>
      </c>
      <c r="S505" s="435">
        <f t="shared" si="503"/>
        <v>-60048</v>
      </c>
      <c r="T505" s="437">
        <f>(F505-P505)/F505*100</f>
        <v>100</v>
      </c>
      <c r="U505" s="435">
        <v>0</v>
      </c>
      <c r="V505" s="435">
        <f>+V506+V507</f>
        <v>0</v>
      </c>
      <c r="W505" s="435">
        <f>+W506+W507</f>
        <v>0</v>
      </c>
      <c r="X505" s="435">
        <f t="shared" ref="X505" si="554">+X506+X507</f>
        <v>0</v>
      </c>
      <c r="Y505" s="435">
        <f t="shared" si="504"/>
        <v>65506.909090909088</v>
      </c>
      <c r="Z505" s="435">
        <v>0</v>
      </c>
      <c r="AA505" s="435">
        <v>0</v>
      </c>
      <c r="AB505" s="435">
        <f t="shared" ref="AB505:AM505" si="555">+AB506+AB507</f>
        <v>0</v>
      </c>
      <c r="AC505" s="435">
        <f t="shared" si="555"/>
        <v>0</v>
      </c>
      <c r="AD505" s="435">
        <f t="shared" si="555"/>
        <v>0</v>
      </c>
      <c r="AE505" s="435">
        <f t="shared" si="537"/>
        <v>60048</v>
      </c>
      <c r="AF505" s="435">
        <f t="shared" si="555"/>
        <v>0</v>
      </c>
      <c r="AG505" s="435">
        <f t="shared" si="555"/>
        <v>0</v>
      </c>
      <c r="AH505" s="419">
        <f t="shared" si="495"/>
        <v>-60048</v>
      </c>
      <c r="AI505" s="435">
        <f t="shared" si="555"/>
        <v>0</v>
      </c>
      <c r="AJ505" s="435">
        <f t="shared" si="555"/>
        <v>0</v>
      </c>
      <c r="AK505" s="435">
        <f t="shared" si="555"/>
        <v>0</v>
      </c>
      <c r="AL505" s="435">
        <f t="shared" si="555"/>
        <v>0</v>
      </c>
      <c r="AM505" s="435">
        <f t="shared" si="555"/>
        <v>0</v>
      </c>
      <c r="AN505" s="438"/>
      <c r="AO505" s="438"/>
      <c r="AP505" s="438"/>
    </row>
    <row r="506" spans="1:42" ht="25.5">
      <c r="A506" s="412"/>
      <c r="B506" s="431" t="s">
        <v>1519</v>
      </c>
      <c r="C506" s="432" t="s">
        <v>10662</v>
      </c>
      <c r="D506" s="433" t="s">
        <v>10667</v>
      </c>
      <c r="E506" s="434">
        <f>'PROSPETTO CE_IV TRIM 2024'!BM2373</f>
        <v>0</v>
      </c>
      <c r="F506" s="439">
        <f>+E506</f>
        <v>0</v>
      </c>
      <c r="G506" s="439">
        <v>0</v>
      </c>
      <c r="H506" s="439">
        <v>0</v>
      </c>
      <c r="I506" s="435">
        <f t="shared" si="505"/>
        <v>0</v>
      </c>
      <c r="J506" s="435">
        <f t="shared" si="506"/>
        <v>0</v>
      </c>
      <c r="K506" s="439">
        <v>0</v>
      </c>
      <c r="L506" s="439">
        <v>0</v>
      </c>
      <c r="M506" s="439">
        <f t="shared" si="507"/>
        <v>0</v>
      </c>
      <c r="N506" s="439">
        <v>0</v>
      </c>
      <c r="O506" s="439">
        <v>0</v>
      </c>
      <c r="P506" s="440">
        <v>0</v>
      </c>
      <c r="Q506" s="439">
        <v>0</v>
      </c>
      <c r="R506" s="439">
        <f t="shared" si="502"/>
        <v>0</v>
      </c>
      <c r="S506" s="439">
        <f t="shared" si="503"/>
        <v>0</v>
      </c>
      <c r="T506" s="441"/>
      <c r="U506" s="439">
        <v>0</v>
      </c>
      <c r="V506" s="439">
        <f>+AA506</f>
        <v>0</v>
      </c>
      <c r="W506" s="439">
        <v>0</v>
      </c>
      <c r="X506" s="439">
        <v>0</v>
      </c>
      <c r="Y506" s="435">
        <f t="shared" si="504"/>
        <v>0</v>
      </c>
      <c r="Z506" s="439">
        <v>0</v>
      </c>
      <c r="AA506" s="439">
        <v>0</v>
      </c>
      <c r="AB506" s="439">
        <v>0</v>
      </c>
      <c r="AC506" s="439">
        <v>0</v>
      </c>
      <c r="AD506" s="439">
        <v>0</v>
      </c>
      <c r="AE506" s="435">
        <f t="shared" si="537"/>
        <v>0</v>
      </c>
      <c r="AF506" s="439">
        <f>AC506*2</f>
        <v>0</v>
      </c>
      <c r="AG506" s="439">
        <v>0</v>
      </c>
      <c r="AH506" s="419">
        <f t="shared" si="495"/>
        <v>0</v>
      </c>
      <c r="AI506" s="439">
        <v>0</v>
      </c>
      <c r="AJ506" s="439">
        <v>0</v>
      </c>
      <c r="AK506" s="439">
        <f>AA506-W506</f>
        <v>0</v>
      </c>
      <c r="AL506" s="439">
        <f>AA506-AF506</f>
        <v>0</v>
      </c>
      <c r="AM506" s="439">
        <f>AA506-AD506</f>
        <v>0</v>
      </c>
      <c r="AN506" s="438"/>
      <c r="AO506" s="438"/>
      <c r="AP506" s="438"/>
    </row>
    <row r="507" spans="1:42" ht="12.75">
      <c r="A507" s="412"/>
      <c r="B507" s="431"/>
      <c r="C507" s="432" t="s">
        <v>11313</v>
      </c>
      <c r="D507" s="433" t="s">
        <v>11314</v>
      </c>
      <c r="E507" s="434"/>
      <c r="F507" s="435">
        <f>SUM(F508:F514)</f>
        <v>60048</v>
      </c>
      <c r="G507" s="435">
        <v>0</v>
      </c>
      <c r="H507" s="435">
        <v>60048</v>
      </c>
      <c r="I507" s="435">
        <f t="shared" si="505"/>
        <v>0</v>
      </c>
      <c r="J507" s="435">
        <f t="shared" si="506"/>
        <v>0</v>
      </c>
      <c r="K507" s="435">
        <v>60048</v>
      </c>
      <c r="L507" s="435">
        <v>60048</v>
      </c>
      <c r="M507" s="435">
        <f t="shared" si="507"/>
        <v>60048</v>
      </c>
      <c r="N507" s="435">
        <v>60048</v>
      </c>
      <c r="O507" s="435">
        <v>60048</v>
      </c>
      <c r="P507" s="436">
        <v>0</v>
      </c>
      <c r="Q507" s="435">
        <f t="shared" ref="Q507" si="556">SUM(Q508:Q514)</f>
        <v>0</v>
      </c>
      <c r="R507" s="435">
        <f t="shared" si="502"/>
        <v>-60048</v>
      </c>
      <c r="S507" s="435">
        <f t="shared" si="503"/>
        <v>-60048</v>
      </c>
      <c r="T507" s="437">
        <f>(F507-P507)/F507*100</f>
        <v>100</v>
      </c>
      <c r="U507" s="435">
        <v>0</v>
      </c>
      <c r="V507" s="435">
        <f>SUM(V508:V514)</f>
        <v>0</v>
      </c>
      <c r="W507" s="435">
        <f>SUM(W508:W514)</f>
        <v>0</v>
      </c>
      <c r="X507" s="435">
        <f t="shared" ref="X507" si="557">SUM(X508:X514)</f>
        <v>0</v>
      </c>
      <c r="Y507" s="435">
        <f t="shared" si="504"/>
        <v>65506.909090909088</v>
      </c>
      <c r="Z507" s="435">
        <v>0</v>
      </c>
      <c r="AA507" s="435">
        <v>0</v>
      </c>
      <c r="AB507" s="435">
        <f t="shared" ref="AB507:AM507" si="558">SUM(AB508:AB514)</f>
        <v>0</v>
      </c>
      <c r="AC507" s="435">
        <f t="shared" si="558"/>
        <v>0</v>
      </c>
      <c r="AD507" s="435">
        <f t="shared" si="558"/>
        <v>0</v>
      </c>
      <c r="AE507" s="435">
        <f t="shared" si="537"/>
        <v>60048</v>
      </c>
      <c r="AF507" s="435">
        <f t="shared" si="558"/>
        <v>0</v>
      </c>
      <c r="AG507" s="435">
        <f t="shared" si="558"/>
        <v>0</v>
      </c>
      <c r="AH507" s="419">
        <f t="shared" si="495"/>
        <v>-60048</v>
      </c>
      <c r="AI507" s="435">
        <f t="shared" si="558"/>
        <v>0</v>
      </c>
      <c r="AJ507" s="435">
        <f t="shared" si="558"/>
        <v>0</v>
      </c>
      <c r="AK507" s="435">
        <f t="shared" si="558"/>
        <v>0</v>
      </c>
      <c r="AL507" s="435">
        <f t="shared" si="558"/>
        <v>0</v>
      </c>
      <c r="AM507" s="435">
        <f t="shared" si="558"/>
        <v>0</v>
      </c>
      <c r="AN507" s="438"/>
      <c r="AO507" s="438"/>
      <c r="AP507" s="438"/>
    </row>
    <row r="508" spans="1:42" ht="25.5">
      <c r="A508" s="412"/>
      <c r="B508" s="431" t="s">
        <v>1349</v>
      </c>
      <c r="C508" s="432" t="s">
        <v>10672</v>
      </c>
      <c r="D508" s="433" t="s">
        <v>10677</v>
      </c>
      <c r="E508" s="434">
        <f>'PROSPETTO CE_IV TRIM 2024'!BM2376</f>
        <v>0</v>
      </c>
      <c r="F508" s="439">
        <f t="shared" ref="F508:F515" si="559">+E508</f>
        <v>0</v>
      </c>
      <c r="G508" s="439">
        <v>0</v>
      </c>
      <c r="H508" s="439">
        <v>0</v>
      </c>
      <c r="I508" s="435">
        <f t="shared" si="505"/>
        <v>0</v>
      </c>
      <c r="J508" s="435">
        <f t="shared" si="506"/>
        <v>0</v>
      </c>
      <c r="K508" s="439">
        <v>0</v>
      </c>
      <c r="L508" s="439">
        <v>0</v>
      </c>
      <c r="M508" s="439">
        <f t="shared" si="507"/>
        <v>0</v>
      </c>
      <c r="N508" s="439">
        <v>0</v>
      </c>
      <c r="O508" s="439">
        <v>0</v>
      </c>
      <c r="P508" s="440">
        <v>0</v>
      </c>
      <c r="Q508" s="439">
        <v>0</v>
      </c>
      <c r="R508" s="439">
        <f t="shared" si="502"/>
        <v>0</v>
      </c>
      <c r="S508" s="439">
        <f t="shared" si="503"/>
        <v>0</v>
      </c>
      <c r="T508" s="441"/>
      <c r="U508" s="439">
        <v>0</v>
      </c>
      <c r="V508" s="439">
        <f t="shared" ref="V508:V515" si="560">+AA508</f>
        <v>0</v>
      </c>
      <c r="W508" s="439">
        <v>0</v>
      </c>
      <c r="X508" s="439">
        <v>0</v>
      </c>
      <c r="Y508" s="435">
        <f t="shared" si="504"/>
        <v>0</v>
      </c>
      <c r="Z508" s="439">
        <v>0</v>
      </c>
      <c r="AA508" s="439">
        <v>0</v>
      </c>
      <c r="AB508" s="439">
        <v>0</v>
      </c>
      <c r="AC508" s="439">
        <v>0</v>
      </c>
      <c r="AD508" s="439">
        <v>0</v>
      </c>
      <c r="AE508" s="435">
        <f t="shared" si="537"/>
        <v>0</v>
      </c>
      <c r="AF508" s="439">
        <f t="shared" ref="AF508:AF515" si="561">AC508*2</f>
        <v>0</v>
      </c>
      <c r="AG508" s="439">
        <v>0</v>
      </c>
      <c r="AH508" s="419">
        <f t="shared" si="495"/>
        <v>0</v>
      </c>
      <c r="AI508" s="439">
        <v>0</v>
      </c>
      <c r="AJ508" s="439">
        <v>0</v>
      </c>
      <c r="AK508" s="439">
        <f t="shared" ref="AK508:AK515" si="562">AA508-W508</f>
        <v>0</v>
      </c>
      <c r="AL508" s="439">
        <f t="shared" ref="AL508:AL515" si="563">AA508-AF508</f>
        <v>0</v>
      </c>
      <c r="AM508" s="439">
        <f t="shared" ref="AM508:AM515" si="564">AA508-AD508</f>
        <v>0</v>
      </c>
      <c r="AN508" s="438"/>
      <c r="AO508" s="438"/>
      <c r="AP508" s="438"/>
    </row>
    <row r="509" spans="1:42" ht="12.75">
      <c r="A509" s="412"/>
      <c r="B509" s="431"/>
      <c r="C509" s="432" t="s">
        <v>10678</v>
      </c>
      <c r="D509" s="433" t="s">
        <v>10683</v>
      </c>
      <c r="E509" s="434">
        <f>'PROSPETTO CE_IV TRIM 2024'!BM2377</f>
        <v>0</v>
      </c>
      <c r="F509" s="439">
        <f t="shared" si="559"/>
        <v>0</v>
      </c>
      <c r="G509" s="439">
        <v>0</v>
      </c>
      <c r="H509" s="439">
        <v>0</v>
      </c>
      <c r="I509" s="435">
        <f t="shared" si="505"/>
        <v>0</v>
      </c>
      <c r="J509" s="435">
        <f t="shared" si="506"/>
        <v>0</v>
      </c>
      <c r="K509" s="439">
        <v>0</v>
      </c>
      <c r="L509" s="439">
        <v>0</v>
      </c>
      <c r="M509" s="439">
        <f t="shared" si="507"/>
        <v>0</v>
      </c>
      <c r="N509" s="439">
        <v>0</v>
      </c>
      <c r="O509" s="439">
        <v>0</v>
      </c>
      <c r="P509" s="440">
        <v>0</v>
      </c>
      <c r="Q509" s="439">
        <v>0</v>
      </c>
      <c r="R509" s="439">
        <f t="shared" si="502"/>
        <v>0</v>
      </c>
      <c r="S509" s="439">
        <f t="shared" si="503"/>
        <v>0</v>
      </c>
      <c r="T509" s="441"/>
      <c r="U509" s="439">
        <v>0</v>
      </c>
      <c r="V509" s="439">
        <f t="shared" si="560"/>
        <v>0</v>
      </c>
      <c r="W509" s="439">
        <v>0</v>
      </c>
      <c r="X509" s="439">
        <v>0</v>
      </c>
      <c r="Y509" s="435">
        <f t="shared" si="504"/>
        <v>0</v>
      </c>
      <c r="Z509" s="439">
        <v>0</v>
      </c>
      <c r="AA509" s="439">
        <v>0</v>
      </c>
      <c r="AB509" s="439">
        <v>0</v>
      </c>
      <c r="AC509" s="439">
        <v>0</v>
      </c>
      <c r="AD509" s="439">
        <v>0</v>
      </c>
      <c r="AE509" s="435">
        <f t="shared" si="537"/>
        <v>0</v>
      </c>
      <c r="AF509" s="439">
        <f t="shared" si="561"/>
        <v>0</v>
      </c>
      <c r="AG509" s="439">
        <v>0</v>
      </c>
      <c r="AH509" s="419">
        <f t="shared" si="495"/>
        <v>0</v>
      </c>
      <c r="AI509" s="439">
        <v>0</v>
      </c>
      <c r="AJ509" s="439">
        <v>0</v>
      </c>
      <c r="AK509" s="439">
        <f t="shared" si="562"/>
        <v>0</v>
      </c>
      <c r="AL509" s="439">
        <f t="shared" si="563"/>
        <v>0</v>
      </c>
      <c r="AM509" s="439">
        <f t="shared" si="564"/>
        <v>0</v>
      </c>
      <c r="AN509" s="438"/>
      <c r="AO509" s="438"/>
      <c r="AP509" s="438"/>
    </row>
    <row r="510" spans="1:42" ht="25.5">
      <c r="A510" s="412"/>
      <c r="B510" s="431"/>
      <c r="C510" s="432" t="s">
        <v>10684</v>
      </c>
      <c r="D510" s="433" t="s">
        <v>10689</v>
      </c>
      <c r="E510" s="434">
        <f>'PROSPETTO CE_IV TRIM 2024'!BM2378</f>
        <v>0</v>
      </c>
      <c r="F510" s="439">
        <f t="shared" si="559"/>
        <v>0</v>
      </c>
      <c r="G510" s="439">
        <v>0</v>
      </c>
      <c r="H510" s="439">
        <v>0</v>
      </c>
      <c r="I510" s="435">
        <f t="shared" si="505"/>
        <v>0</v>
      </c>
      <c r="J510" s="435">
        <f t="shared" si="506"/>
        <v>0</v>
      </c>
      <c r="K510" s="439">
        <v>0</v>
      </c>
      <c r="L510" s="439">
        <v>0</v>
      </c>
      <c r="M510" s="439">
        <f t="shared" si="507"/>
        <v>0</v>
      </c>
      <c r="N510" s="439">
        <v>0</v>
      </c>
      <c r="O510" s="439">
        <v>0</v>
      </c>
      <c r="P510" s="440">
        <v>0</v>
      </c>
      <c r="Q510" s="439">
        <v>0</v>
      </c>
      <c r="R510" s="439">
        <f t="shared" si="502"/>
        <v>0</v>
      </c>
      <c r="S510" s="439">
        <f t="shared" si="503"/>
        <v>0</v>
      </c>
      <c r="T510" s="441"/>
      <c r="U510" s="439">
        <v>0</v>
      </c>
      <c r="V510" s="439">
        <f t="shared" si="560"/>
        <v>0</v>
      </c>
      <c r="W510" s="439">
        <v>0</v>
      </c>
      <c r="X510" s="439">
        <v>0</v>
      </c>
      <c r="Y510" s="435">
        <f t="shared" si="504"/>
        <v>0</v>
      </c>
      <c r="Z510" s="439">
        <v>0</v>
      </c>
      <c r="AA510" s="439">
        <v>0</v>
      </c>
      <c r="AB510" s="439">
        <v>0</v>
      </c>
      <c r="AC510" s="439">
        <v>0</v>
      </c>
      <c r="AD510" s="439">
        <v>0</v>
      </c>
      <c r="AE510" s="435">
        <f t="shared" si="537"/>
        <v>0</v>
      </c>
      <c r="AF510" s="439">
        <f t="shared" si="561"/>
        <v>0</v>
      </c>
      <c r="AG510" s="439">
        <v>0</v>
      </c>
      <c r="AH510" s="419">
        <f t="shared" si="495"/>
        <v>0</v>
      </c>
      <c r="AI510" s="439">
        <v>0</v>
      </c>
      <c r="AJ510" s="439">
        <v>0</v>
      </c>
      <c r="AK510" s="439">
        <f t="shared" si="562"/>
        <v>0</v>
      </c>
      <c r="AL510" s="439">
        <f t="shared" si="563"/>
        <v>0</v>
      </c>
      <c r="AM510" s="439">
        <f t="shared" si="564"/>
        <v>0</v>
      </c>
      <c r="AN510" s="438"/>
      <c r="AO510" s="438"/>
      <c r="AP510" s="438"/>
    </row>
    <row r="511" spans="1:42" ht="25.5">
      <c r="A511" s="412"/>
      <c r="B511" s="431"/>
      <c r="C511" s="432" t="s">
        <v>10690</v>
      </c>
      <c r="D511" s="433" t="s">
        <v>10695</v>
      </c>
      <c r="E511" s="434">
        <f>'PROSPETTO CE_IV TRIM 2024'!BM2379</f>
        <v>0</v>
      </c>
      <c r="F511" s="439">
        <f t="shared" si="559"/>
        <v>0</v>
      </c>
      <c r="G511" s="439">
        <v>0</v>
      </c>
      <c r="H511" s="439">
        <v>0</v>
      </c>
      <c r="I511" s="435">
        <f t="shared" si="505"/>
        <v>0</v>
      </c>
      <c r="J511" s="435">
        <f t="shared" si="506"/>
        <v>0</v>
      </c>
      <c r="K511" s="439">
        <v>0</v>
      </c>
      <c r="L511" s="439">
        <v>0</v>
      </c>
      <c r="M511" s="439">
        <f t="shared" si="507"/>
        <v>0</v>
      </c>
      <c r="N511" s="439">
        <v>0</v>
      </c>
      <c r="O511" s="439">
        <v>0</v>
      </c>
      <c r="P511" s="440">
        <v>0</v>
      </c>
      <c r="Q511" s="439">
        <v>0</v>
      </c>
      <c r="R511" s="439">
        <f t="shared" si="502"/>
        <v>0</v>
      </c>
      <c r="S511" s="439">
        <f t="shared" si="503"/>
        <v>0</v>
      </c>
      <c r="T511" s="441"/>
      <c r="U511" s="439">
        <v>0</v>
      </c>
      <c r="V511" s="439">
        <f t="shared" si="560"/>
        <v>0</v>
      </c>
      <c r="W511" s="439">
        <v>0</v>
      </c>
      <c r="X511" s="439">
        <v>0</v>
      </c>
      <c r="Y511" s="435">
        <f t="shared" si="504"/>
        <v>0</v>
      </c>
      <c r="Z511" s="439">
        <v>0</v>
      </c>
      <c r="AA511" s="439">
        <v>0</v>
      </c>
      <c r="AB511" s="439">
        <v>0</v>
      </c>
      <c r="AC511" s="439">
        <v>0</v>
      </c>
      <c r="AD511" s="439">
        <v>0</v>
      </c>
      <c r="AE511" s="435">
        <f t="shared" si="537"/>
        <v>0</v>
      </c>
      <c r="AF511" s="439">
        <f t="shared" si="561"/>
        <v>0</v>
      </c>
      <c r="AG511" s="439">
        <v>0</v>
      </c>
      <c r="AH511" s="419">
        <f t="shared" si="495"/>
        <v>0</v>
      </c>
      <c r="AI511" s="439">
        <v>0</v>
      </c>
      <c r="AJ511" s="439">
        <v>0</v>
      </c>
      <c r="AK511" s="439">
        <f t="shared" si="562"/>
        <v>0</v>
      </c>
      <c r="AL511" s="439">
        <f t="shared" si="563"/>
        <v>0</v>
      </c>
      <c r="AM511" s="439">
        <f t="shared" si="564"/>
        <v>0</v>
      </c>
      <c r="AN511" s="438"/>
      <c r="AO511" s="438"/>
      <c r="AP511" s="438"/>
    </row>
    <row r="512" spans="1:42" ht="25.5">
      <c r="A512" s="412"/>
      <c r="B512" s="431"/>
      <c r="C512" s="432" t="s">
        <v>10696</v>
      </c>
      <c r="D512" s="433" t="s">
        <v>10700</v>
      </c>
      <c r="E512" s="434">
        <f>'PROSPETTO CE_IV TRIM 2024'!BM2380</f>
        <v>0</v>
      </c>
      <c r="F512" s="439">
        <f t="shared" si="559"/>
        <v>0</v>
      </c>
      <c r="G512" s="439">
        <v>0</v>
      </c>
      <c r="H512" s="439">
        <v>0</v>
      </c>
      <c r="I512" s="435">
        <f t="shared" si="505"/>
        <v>0</v>
      </c>
      <c r="J512" s="435">
        <f t="shared" si="506"/>
        <v>0</v>
      </c>
      <c r="K512" s="439">
        <v>0</v>
      </c>
      <c r="L512" s="439">
        <v>0</v>
      </c>
      <c r="M512" s="439">
        <f t="shared" si="507"/>
        <v>0</v>
      </c>
      <c r="N512" s="439">
        <v>0</v>
      </c>
      <c r="O512" s="439">
        <v>0</v>
      </c>
      <c r="P512" s="440">
        <v>0</v>
      </c>
      <c r="Q512" s="439">
        <v>0</v>
      </c>
      <c r="R512" s="439">
        <f t="shared" si="502"/>
        <v>0</v>
      </c>
      <c r="S512" s="439">
        <f t="shared" si="503"/>
        <v>0</v>
      </c>
      <c r="T512" s="441"/>
      <c r="U512" s="439">
        <v>0</v>
      </c>
      <c r="V512" s="439">
        <f t="shared" si="560"/>
        <v>0</v>
      </c>
      <c r="W512" s="439">
        <v>0</v>
      </c>
      <c r="X512" s="439">
        <v>0</v>
      </c>
      <c r="Y512" s="435">
        <f t="shared" si="504"/>
        <v>0</v>
      </c>
      <c r="Z512" s="439">
        <v>0</v>
      </c>
      <c r="AA512" s="439">
        <v>0</v>
      </c>
      <c r="AB512" s="439">
        <v>0</v>
      </c>
      <c r="AC512" s="439">
        <v>0</v>
      </c>
      <c r="AD512" s="439">
        <v>0</v>
      </c>
      <c r="AE512" s="435">
        <f t="shared" si="537"/>
        <v>0</v>
      </c>
      <c r="AF512" s="439">
        <f t="shared" si="561"/>
        <v>0</v>
      </c>
      <c r="AG512" s="439">
        <v>0</v>
      </c>
      <c r="AH512" s="419">
        <f t="shared" si="495"/>
        <v>0</v>
      </c>
      <c r="AI512" s="439">
        <v>0</v>
      </c>
      <c r="AJ512" s="439">
        <v>0</v>
      </c>
      <c r="AK512" s="439">
        <f t="shared" si="562"/>
        <v>0</v>
      </c>
      <c r="AL512" s="439">
        <f t="shared" si="563"/>
        <v>0</v>
      </c>
      <c r="AM512" s="439">
        <f t="shared" si="564"/>
        <v>0</v>
      </c>
      <c r="AN512" s="438"/>
      <c r="AO512" s="438"/>
      <c r="AP512" s="438"/>
    </row>
    <row r="513" spans="1:42" ht="25.5">
      <c r="A513" s="412"/>
      <c r="B513" s="431"/>
      <c r="C513" s="432" t="s">
        <v>10701</v>
      </c>
      <c r="D513" s="433" t="s">
        <v>10706</v>
      </c>
      <c r="E513" s="434">
        <f>'PROSPETTO CE_IV TRIM 2024'!BM2381</f>
        <v>0</v>
      </c>
      <c r="F513" s="439">
        <f t="shared" si="559"/>
        <v>0</v>
      </c>
      <c r="G513" s="439">
        <v>0</v>
      </c>
      <c r="H513" s="439">
        <v>0</v>
      </c>
      <c r="I513" s="435">
        <f t="shared" si="505"/>
        <v>0</v>
      </c>
      <c r="J513" s="435">
        <f t="shared" si="506"/>
        <v>0</v>
      </c>
      <c r="K513" s="439">
        <v>0</v>
      </c>
      <c r="L513" s="439">
        <v>0</v>
      </c>
      <c r="M513" s="439">
        <f t="shared" si="507"/>
        <v>0</v>
      </c>
      <c r="N513" s="439">
        <v>0</v>
      </c>
      <c r="O513" s="439">
        <v>0</v>
      </c>
      <c r="P513" s="440">
        <v>0</v>
      </c>
      <c r="Q513" s="439">
        <v>0</v>
      </c>
      <c r="R513" s="439">
        <f t="shared" si="502"/>
        <v>0</v>
      </c>
      <c r="S513" s="439">
        <f t="shared" si="503"/>
        <v>0</v>
      </c>
      <c r="T513" s="441"/>
      <c r="U513" s="439">
        <v>0</v>
      </c>
      <c r="V513" s="439">
        <f t="shared" si="560"/>
        <v>0</v>
      </c>
      <c r="W513" s="439">
        <v>0</v>
      </c>
      <c r="X513" s="439">
        <v>0</v>
      </c>
      <c r="Y513" s="435">
        <f t="shared" si="504"/>
        <v>0</v>
      </c>
      <c r="Z513" s="439">
        <v>0</v>
      </c>
      <c r="AA513" s="439">
        <v>0</v>
      </c>
      <c r="AB513" s="439">
        <v>0</v>
      </c>
      <c r="AC513" s="439">
        <v>0</v>
      </c>
      <c r="AD513" s="439">
        <v>0</v>
      </c>
      <c r="AE513" s="435">
        <f t="shared" si="537"/>
        <v>0</v>
      </c>
      <c r="AF513" s="439">
        <f t="shared" si="561"/>
        <v>0</v>
      </c>
      <c r="AG513" s="439">
        <v>0</v>
      </c>
      <c r="AH513" s="419">
        <f t="shared" si="495"/>
        <v>0</v>
      </c>
      <c r="AI513" s="439">
        <v>0</v>
      </c>
      <c r="AJ513" s="439">
        <v>0</v>
      </c>
      <c r="AK513" s="439">
        <f t="shared" si="562"/>
        <v>0</v>
      </c>
      <c r="AL513" s="439">
        <f t="shared" si="563"/>
        <v>0</v>
      </c>
      <c r="AM513" s="439">
        <f t="shared" si="564"/>
        <v>0</v>
      </c>
      <c r="AN513" s="438"/>
      <c r="AO513" s="438"/>
      <c r="AP513" s="438"/>
    </row>
    <row r="514" spans="1:42" ht="12.75">
      <c r="A514" s="412"/>
      <c r="B514" s="431"/>
      <c r="C514" s="432" t="s">
        <v>10707</v>
      </c>
      <c r="D514" s="433" t="s">
        <v>10712</v>
      </c>
      <c r="E514" s="434">
        <f>'PROSPETTO CE_IV TRIM 2024'!BM2382</f>
        <v>60048</v>
      </c>
      <c r="F514" s="439">
        <f t="shared" si="559"/>
        <v>60048</v>
      </c>
      <c r="G514" s="439">
        <v>0</v>
      </c>
      <c r="H514" s="439">
        <v>60048</v>
      </c>
      <c r="I514" s="435">
        <f t="shared" si="505"/>
        <v>0</v>
      </c>
      <c r="J514" s="435">
        <f t="shared" si="506"/>
        <v>0</v>
      </c>
      <c r="K514" s="439">
        <v>60048</v>
      </c>
      <c r="L514" s="439">
        <v>60048</v>
      </c>
      <c r="M514" s="439">
        <f t="shared" si="507"/>
        <v>60048</v>
      </c>
      <c r="N514" s="439">
        <v>60048</v>
      </c>
      <c r="O514" s="439">
        <v>60048</v>
      </c>
      <c r="P514" s="440">
        <v>0</v>
      </c>
      <c r="Q514" s="439">
        <v>0</v>
      </c>
      <c r="R514" s="439">
        <f t="shared" si="502"/>
        <v>-60048</v>
      </c>
      <c r="S514" s="439">
        <f t="shared" si="503"/>
        <v>-60048</v>
      </c>
      <c r="T514" s="441">
        <f>(F514-P514)/F514*100</f>
        <v>100</v>
      </c>
      <c r="U514" s="439">
        <v>0</v>
      </c>
      <c r="V514" s="439">
        <f t="shared" si="560"/>
        <v>0</v>
      </c>
      <c r="W514" s="439">
        <v>0</v>
      </c>
      <c r="X514" s="439">
        <v>0</v>
      </c>
      <c r="Y514" s="435">
        <f t="shared" si="504"/>
        <v>65506.909090909088</v>
      </c>
      <c r="Z514" s="439">
        <v>0</v>
      </c>
      <c r="AA514" s="439">
        <v>0</v>
      </c>
      <c r="AB514" s="439">
        <v>0</v>
      </c>
      <c r="AC514" s="439">
        <v>0</v>
      </c>
      <c r="AD514" s="439">
        <v>0</v>
      </c>
      <c r="AE514" s="435">
        <f t="shared" si="537"/>
        <v>60048</v>
      </c>
      <c r="AF514" s="439">
        <f t="shared" si="561"/>
        <v>0</v>
      </c>
      <c r="AG514" s="439">
        <v>0</v>
      </c>
      <c r="AH514" s="419">
        <f t="shared" ref="AH514:AH577" si="565">AG514-F514</f>
        <v>-60048</v>
      </c>
      <c r="AI514" s="439">
        <v>0</v>
      </c>
      <c r="AJ514" s="439">
        <v>0</v>
      </c>
      <c r="AK514" s="439">
        <f t="shared" si="562"/>
        <v>0</v>
      </c>
      <c r="AL514" s="439">
        <f t="shared" si="563"/>
        <v>0</v>
      </c>
      <c r="AM514" s="439">
        <f t="shared" si="564"/>
        <v>0</v>
      </c>
      <c r="AN514" s="438"/>
      <c r="AO514" s="438"/>
      <c r="AP514" s="438"/>
    </row>
    <row r="515" spans="1:42" ht="12.75">
      <c r="A515" s="412"/>
      <c r="B515" s="431"/>
      <c r="C515" s="432" t="s">
        <v>10713</v>
      </c>
      <c r="D515" s="433" t="s">
        <v>10715</v>
      </c>
      <c r="E515" s="434">
        <f>'PROSPETTO CE_IV TRIM 2024'!BM2383</f>
        <v>0.05</v>
      </c>
      <c r="F515" s="439">
        <f t="shared" si="559"/>
        <v>0.05</v>
      </c>
      <c r="G515" s="439">
        <v>0</v>
      </c>
      <c r="H515" s="439">
        <v>0</v>
      </c>
      <c r="I515" s="435">
        <f t="shared" si="505"/>
        <v>0.05</v>
      </c>
      <c r="J515" s="435">
        <f t="shared" si="506"/>
        <v>0.05</v>
      </c>
      <c r="K515" s="439">
        <v>0</v>
      </c>
      <c r="L515" s="439">
        <v>0.05</v>
      </c>
      <c r="M515" s="439">
        <f t="shared" si="507"/>
        <v>0.05</v>
      </c>
      <c r="N515" s="439">
        <v>0</v>
      </c>
      <c r="O515" s="439">
        <v>0</v>
      </c>
      <c r="P515" s="440">
        <v>0</v>
      </c>
      <c r="Q515" s="439">
        <v>0</v>
      </c>
      <c r="R515" s="439">
        <f t="shared" si="502"/>
        <v>0</v>
      </c>
      <c r="S515" s="439">
        <f t="shared" si="503"/>
        <v>0</v>
      </c>
      <c r="T515" s="441"/>
      <c r="U515" s="439">
        <v>0</v>
      </c>
      <c r="V515" s="439">
        <f t="shared" si="560"/>
        <v>0</v>
      </c>
      <c r="W515" s="439">
        <v>0</v>
      </c>
      <c r="X515" s="439">
        <v>0</v>
      </c>
      <c r="Y515" s="435">
        <f t="shared" si="504"/>
        <v>5.454545454545455E-2</v>
      </c>
      <c r="Z515" s="439">
        <v>0</v>
      </c>
      <c r="AA515" s="439">
        <v>0</v>
      </c>
      <c r="AB515" s="439">
        <v>0</v>
      </c>
      <c r="AC515" s="439">
        <v>0</v>
      </c>
      <c r="AD515" s="439">
        <v>0</v>
      </c>
      <c r="AE515" s="435">
        <f t="shared" si="537"/>
        <v>0.05</v>
      </c>
      <c r="AF515" s="439">
        <f t="shared" si="561"/>
        <v>0</v>
      </c>
      <c r="AG515" s="439">
        <v>0</v>
      </c>
      <c r="AH515" s="419">
        <f t="shared" si="565"/>
        <v>-0.05</v>
      </c>
      <c r="AI515" s="439">
        <v>0</v>
      </c>
      <c r="AJ515" s="439">
        <v>0</v>
      </c>
      <c r="AK515" s="439">
        <f t="shared" si="562"/>
        <v>0</v>
      </c>
      <c r="AL515" s="439">
        <f t="shared" si="563"/>
        <v>0</v>
      </c>
      <c r="AM515" s="439">
        <f t="shared" si="564"/>
        <v>0</v>
      </c>
      <c r="AN515" s="438"/>
      <c r="AO515" s="438"/>
      <c r="AP515" s="438"/>
    </row>
    <row r="516" spans="1:42" ht="12.75">
      <c r="A516" s="412"/>
      <c r="B516" s="431"/>
      <c r="C516" s="432" t="s">
        <v>10720</v>
      </c>
      <c r="D516" s="433" t="s">
        <v>10723</v>
      </c>
      <c r="E516" s="434"/>
      <c r="F516" s="435">
        <f>+F517+F518</f>
        <v>3310662.34</v>
      </c>
      <c r="G516" s="435">
        <v>1777578.0099999998</v>
      </c>
      <c r="H516" s="435">
        <v>3887035.1900000004</v>
      </c>
      <c r="I516" s="435">
        <f t="shared" si="505"/>
        <v>-576372.85000000056</v>
      </c>
      <c r="J516" s="435">
        <f t="shared" si="506"/>
        <v>-750731.48</v>
      </c>
      <c r="K516" s="435">
        <v>4061393.82</v>
      </c>
      <c r="L516" s="435">
        <v>4426067.99</v>
      </c>
      <c r="M516" s="435">
        <f t="shared" si="507"/>
        <v>1299292.5999999996</v>
      </c>
      <c r="N516" s="435">
        <v>6850471.0699999994</v>
      </c>
      <c r="O516" s="435">
        <v>6850471.0699999994</v>
      </c>
      <c r="P516" s="436">
        <v>2011369.7400000002</v>
      </c>
      <c r="Q516" s="435">
        <f t="shared" ref="Q516" si="566">+Q517+Q518</f>
        <v>1777578.0099999998</v>
      </c>
      <c r="R516" s="435">
        <f t="shared" ref="R516:R560" si="567">P516-N516</f>
        <v>-4839101.3299999991</v>
      </c>
      <c r="S516" s="435">
        <f t="shared" ref="S516:S560" si="568">Q516-N516</f>
        <v>-5072893.0599999996</v>
      </c>
      <c r="T516" s="437">
        <f>(F516-P516)/F516*100</f>
        <v>39.245699698870517</v>
      </c>
      <c r="U516" s="435">
        <v>3103572</v>
      </c>
      <c r="V516" s="435">
        <f>+V517+V518</f>
        <v>2011369.7400000002</v>
      </c>
      <c r="W516" s="435">
        <f>+W517+W518</f>
        <v>0</v>
      </c>
      <c r="X516" s="435">
        <f t="shared" ref="X516" si="569">+X517+X518</f>
        <v>1777578.0099999998</v>
      </c>
      <c r="Y516" s="435">
        <f t="shared" ref="Y516:Y560" si="570">F516/11*12</f>
        <v>3611631.6436363636</v>
      </c>
      <c r="Z516" s="435">
        <v>1973168.2524999999</v>
      </c>
      <c r="AA516" s="435">
        <v>2011369.7400000002</v>
      </c>
      <c r="AB516" s="435">
        <f t="shared" ref="AB516:AM516" si="571">+AB517+AB518</f>
        <v>133532</v>
      </c>
      <c r="AC516" s="435">
        <f t="shared" si="571"/>
        <v>2893014.9050000003</v>
      </c>
      <c r="AD516" s="435">
        <f t="shared" si="571"/>
        <v>1777578.0099999998</v>
      </c>
      <c r="AE516" s="435">
        <f t="shared" si="537"/>
        <v>1533084.33</v>
      </c>
      <c r="AF516" s="435">
        <f t="shared" si="571"/>
        <v>5786029.8100000005</v>
      </c>
      <c r="AG516" s="435">
        <f t="shared" si="571"/>
        <v>0</v>
      </c>
      <c r="AH516" s="419">
        <f t="shared" si="565"/>
        <v>-3310662.34</v>
      </c>
      <c r="AI516" s="435">
        <f t="shared" si="571"/>
        <v>0</v>
      </c>
      <c r="AJ516" s="435">
        <f t="shared" si="571"/>
        <v>0</v>
      </c>
      <c r="AK516" s="435">
        <f t="shared" si="571"/>
        <v>2011369.7400000002</v>
      </c>
      <c r="AL516" s="435">
        <f t="shared" si="571"/>
        <v>-3774660.0700000003</v>
      </c>
      <c r="AM516" s="435">
        <f t="shared" si="571"/>
        <v>233791.73</v>
      </c>
      <c r="AN516" s="438"/>
      <c r="AO516" s="438"/>
      <c r="AP516" s="438"/>
    </row>
    <row r="517" spans="1:42" ht="12.75">
      <c r="A517" s="412"/>
      <c r="B517" s="431"/>
      <c r="C517" s="432" t="s">
        <v>10724</v>
      </c>
      <c r="D517" s="433" t="s">
        <v>10727</v>
      </c>
      <c r="E517" s="434">
        <f>'PROSPETTO CE_IV TRIM 2024'!BM2388</f>
        <v>0</v>
      </c>
      <c r="F517" s="439">
        <f>+E517</f>
        <v>0</v>
      </c>
      <c r="G517" s="439">
        <v>0</v>
      </c>
      <c r="H517" s="439">
        <v>0</v>
      </c>
      <c r="I517" s="435">
        <f t="shared" ref="I517:I560" si="572">F517-H517</f>
        <v>0</v>
      </c>
      <c r="J517" s="435">
        <f t="shared" ref="J517:J560" si="573">F517-K517</f>
        <v>0</v>
      </c>
      <c r="K517" s="439">
        <v>0</v>
      </c>
      <c r="L517" s="439">
        <v>0</v>
      </c>
      <c r="M517" s="439">
        <f t="shared" ref="M517:M560" si="574">F517-P517</f>
        <v>0</v>
      </c>
      <c r="N517" s="439">
        <v>0</v>
      </c>
      <c r="O517" s="439">
        <v>0</v>
      </c>
      <c r="P517" s="440">
        <v>0</v>
      </c>
      <c r="Q517" s="439">
        <v>0</v>
      </c>
      <c r="R517" s="439">
        <f t="shared" si="567"/>
        <v>0</v>
      </c>
      <c r="S517" s="439">
        <f t="shared" si="568"/>
        <v>0</v>
      </c>
      <c r="T517" s="441"/>
      <c r="U517" s="439">
        <v>0</v>
      </c>
      <c r="V517" s="439">
        <f>+AA517</f>
        <v>0</v>
      </c>
      <c r="W517" s="439">
        <v>0</v>
      </c>
      <c r="X517" s="439">
        <v>0</v>
      </c>
      <c r="Y517" s="435">
        <f t="shared" si="570"/>
        <v>0</v>
      </c>
      <c r="Z517" s="439">
        <v>0</v>
      </c>
      <c r="AA517" s="439">
        <v>0</v>
      </c>
      <c r="AB517" s="439">
        <v>0</v>
      </c>
      <c r="AC517" s="439">
        <v>0</v>
      </c>
      <c r="AD517" s="439">
        <v>0</v>
      </c>
      <c r="AE517" s="435">
        <f t="shared" si="537"/>
        <v>0</v>
      </c>
      <c r="AF517" s="439">
        <f>AC517*2</f>
        <v>0</v>
      </c>
      <c r="AG517" s="439">
        <v>0</v>
      </c>
      <c r="AH517" s="419">
        <f t="shared" si="565"/>
        <v>0</v>
      </c>
      <c r="AI517" s="439">
        <v>0</v>
      </c>
      <c r="AJ517" s="439">
        <v>0</v>
      </c>
      <c r="AK517" s="439">
        <f>AA517-W517</f>
        <v>0</v>
      </c>
      <c r="AL517" s="439">
        <f>AA517-AF517</f>
        <v>0</v>
      </c>
      <c r="AM517" s="439">
        <f>AA517-AD517</f>
        <v>0</v>
      </c>
      <c r="AN517" s="438"/>
      <c r="AO517" s="438"/>
      <c r="AP517" s="438"/>
    </row>
    <row r="518" spans="1:42" ht="12.75">
      <c r="A518" s="412"/>
      <c r="B518" s="431"/>
      <c r="C518" s="432" t="s">
        <v>10821</v>
      </c>
      <c r="D518" s="433" t="s">
        <v>10824</v>
      </c>
      <c r="E518" s="434"/>
      <c r="F518" s="435">
        <f>+F519+F520+F521+F536+F547</f>
        <v>3310662.34</v>
      </c>
      <c r="G518" s="435">
        <v>1777578.0099999998</v>
      </c>
      <c r="H518" s="435">
        <v>3887035.1900000004</v>
      </c>
      <c r="I518" s="435">
        <f t="shared" si="572"/>
        <v>-576372.85000000056</v>
      </c>
      <c r="J518" s="435">
        <f t="shared" si="573"/>
        <v>-750731.48</v>
      </c>
      <c r="K518" s="435">
        <v>4061393.82</v>
      </c>
      <c r="L518" s="435">
        <v>4426067.99</v>
      </c>
      <c r="M518" s="435">
        <f t="shared" si="574"/>
        <v>1299292.5999999996</v>
      </c>
      <c r="N518" s="435">
        <v>6850471.0699999994</v>
      </c>
      <c r="O518" s="435">
        <v>6850471.0699999994</v>
      </c>
      <c r="P518" s="436">
        <v>2011369.7400000002</v>
      </c>
      <c r="Q518" s="435">
        <f t="shared" ref="Q518" si="575">+Q519+Q520+Q521+Q536+Q547</f>
        <v>1777578.0099999998</v>
      </c>
      <c r="R518" s="435">
        <f t="shared" si="567"/>
        <v>-4839101.3299999991</v>
      </c>
      <c r="S518" s="435">
        <f t="shared" si="568"/>
        <v>-5072893.0599999996</v>
      </c>
      <c r="T518" s="437">
        <f>(F518-P518)/F518*100</f>
        <v>39.245699698870517</v>
      </c>
      <c r="U518" s="435">
        <v>3103572</v>
      </c>
      <c r="V518" s="435">
        <f>+V519+V520+V521+V536+V547</f>
        <v>2011369.7400000002</v>
      </c>
      <c r="W518" s="435">
        <f>+W519+W520+W521+W536+W547</f>
        <v>0</v>
      </c>
      <c r="X518" s="435">
        <f t="shared" ref="X518" si="576">+X519+X520+X521+X536+X547</f>
        <v>1777578.0099999998</v>
      </c>
      <c r="Y518" s="435">
        <f t="shared" si="570"/>
        <v>3611631.6436363636</v>
      </c>
      <c r="Z518" s="435">
        <v>1973168.2524999999</v>
      </c>
      <c r="AA518" s="435">
        <v>2011369.7400000002</v>
      </c>
      <c r="AB518" s="435">
        <f t="shared" ref="AB518:AM518" si="577">+AB519+AB520+AB521+AB536+AB547</f>
        <v>133532</v>
      </c>
      <c r="AC518" s="435">
        <f t="shared" si="577"/>
        <v>2893014.9050000003</v>
      </c>
      <c r="AD518" s="435">
        <f t="shared" si="577"/>
        <v>1777578.0099999998</v>
      </c>
      <c r="AE518" s="435">
        <f t="shared" si="537"/>
        <v>1533084.33</v>
      </c>
      <c r="AF518" s="435">
        <f t="shared" si="577"/>
        <v>5786029.8100000005</v>
      </c>
      <c r="AG518" s="435">
        <f t="shared" si="577"/>
        <v>0</v>
      </c>
      <c r="AH518" s="419">
        <f t="shared" si="565"/>
        <v>-3310662.34</v>
      </c>
      <c r="AI518" s="435">
        <f t="shared" si="577"/>
        <v>0</v>
      </c>
      <c r="AJ518" s="435">
        <f t="shared" si="577"/>
        <v>0</v>
      </c>
      <c r="AK518" s="435">
        <f t="shared" si="577"/>
        <v>2011369.7400000002</v>
      </c>
      <c r="AL518" s="435">
        <f t="shared" si="577"/>
        <v>-3774660.0700000003</v>
      </c>
      <c r="AM518" s="435">
        <f t="shared" si="577"/>
        <v>233791.73</v>
      </c>
      <c r="AN518" s="438"/>
      <c r="AO518" s="438"/>
      <c r="AP518" s="438"/>
    </row>
    <row r="519" spans="1:42" ht="12.75">
      <c r="A519" s="412"/>
      <c r="B519" s="431"/>
      <c r="C519" s="432" t="s">
        <v>10825</v>
      </c>
      <c r="D519" s="433" t="s">
        <v>10828</v>
      </c>
      <c r="E519" s="434">
        <f>'PROSPETTO CE_IV TRIM 2024'!BM2436</f>
        <v>10371</v>
      </c>
      <c r="F519" s="439">
        <f>+E519</f>
        <v>10371</v>
      </c>
      <c r="G519" s="439">
        <v>56958.46</v>
      </c>
      <c r="H519" s="439">
        <v>10371</v>
      </c>
      <c r="I519" s="435">
        <f t="shared" si="572"/>
        <v>0</v>
      </c>
      <c r="J519" s="435">
        <f t="shared" si="573"/>
        <v>0</v>
      </c>
      <c r="K519" s="439">
        <v>10371</v>
      </c>
      <c r="L519" s="439">
        <v>10371</v>
      </c>
      <c r="M519" s="439">
        <f t="shared" si="574"/>
        <v>10371</v>
      </c>
      <c r="N519" s="439">
        <v>2350947.0099999998</v>
      </c>
      <c r="O519" s="439">
        <v>2350947.0099999998</v>
      </c>
      <c r="P519" s="440">
        <v>0</v>
      </c>
      <c r="Q519" s="439">
        <v>56958.46</v>
      </c>
      <c r="R519" s="439">
        <f t="shared" si="567"/>
        <v>-2350947.0099999998</v>
      </c>
      <c r="S519" s="439">
        <f t="shared" si="568"/>
        <v>-2293988.5499999998</v>
      </c>
      <c r="T519" s="441">
        <f>(F519-P519)/F519*100</f>
        <v>100</v>
      </c>
      <c r="U519" s="439">
        <v>0</v>
      </c>
      <c r="V519" s="439">
        <f>+AA519</f>
        <v>0</v>
      </c>
      <c r="W519" s="439">
        <v>0</v>
      </c>
      <c r="X519" s="439">
        <v>56958.46</v>
      </c>
      <c r="Y519" s="435">
        <f t="shared" si="570"/>
        <v>11313.818181818182</v>
      </c>
      <c r="Z519" s="439">
        <v>0</v>
      </c>
      <c r="AA519" s="439">
        <v>0</v>
      </c>
      <c r="AB519" s="439">
        <v>0</v>
      </c>
      <c r="AC519" s="439">
        <v>0</v>
      </c>
      <c r="AD519" s="439">
        <v>56958.46</v>
      </c>
      <c r="AE519" s="435">
        <f t="shared" si="537"/>
        <v>-46587.46</v>
      </c>
      <c r="AF519" s="439">
        <f>AC519*2</f>
        <v>0</v>
      </c>
      <c r="AG519" s="439"/>
      <c r="AH519" s="419">
        <f t="shared" si="565"/>
        <v>-10371</v>
      </c>
      <c r="AI519" s="439"/>
      <c r="AJ519" s="439"/>
      <c r="AK519" s="439">
        <f>AA519-W519</f>
        <v>0</v>
      </c>
      <c r="AL519" s="439">
        <f>AA519-AF519</f>
        <v>0</v>
      </c>
      <c r="AM519" s="439">
        <f>AA519-AD519</f>
        <v>-56958.46</v>
      </c>
      <c r="AN519" s="438"/>
      <c r="AO519" s="438"/>
      <c r="AP519" s="438"/>
    </row>
    <row r="520" spans="1:42" ht="12.75">
      <c r="A520" s="412"/>
      <c r="B520" s="431"/>
      <c r="C520" s="432" t="s">
        <v>10846</v>
      </c>
      <c r="D520" s="433" t="s">
        <v>10849</v>
      </c>
      <c r="E520" s="434">
        <f>'PROSPETTO CE_IV TRIM 2024'!BM2445</f>
        <v>239915.5</v>
      </c>
      <c r="F520" s="439">
        <f>+E520</f>
        <v>239915.5</v>
      </c>
      <c r="G520" s="439">
        <v>338024.83</v>
      </c>
      <c r="H520" s="439">
        <v>239915.5</v>
      </c>
      <c r="I520" s="435">
        <f t="shared" si="572"/>
        <v>0</v>
      </c>
      <c r="J520" s="435">
        <f t="shared" si="573"/>
        <v>0</v>
      </c>
      <c r="K520" s="439">
        <v>239915.5</v>
      </c>
      <c r="L520" s="439">
        <v>239915.5</v>
      </c>
      <c r="M520" s="439">
        <f t="shared" si="574"/>
        <v>69849</v>
      </c>
      <c r="N520" s="439">
        <v>239915.5</v>
      </c>
      <c r="O520" s="439">
        <v>239915.5</v>
      </c>
      <c r="P520" s="443">
        <v>170066.5</v>
      </c>
      <c r="Q520" s="439">
        <v>338024.83</v>
      </c>
      <c r="R520" s="439">
        <f t="shared" si="567"/>
        <v>-69849</v>
      </c>
      <c r="S520" s="439">
        <f t="shared" si="568"/>
        <v>98109.330000000016</v>
      </c>
      <c r="T520" s="441">
        <f>(F520-P520)/F520*100</f>
        <v>29.114000554361848</v>
      </c>
      <c r="U520" s="439">
        <v>724896.83</v>
      </c>
      <c r="V520" s="439">
        <f>+AA520</f>
        <v>170066.5</v>
      </c>
      <c r="W520" s="439">
        <v>0</v>
      </c>
      <c r="X520" s="439">
        <v>338024.83</v>
      </c>
      <c r="Y520" s="435">
        <f t="shared" si="570"/>
        <v>261726</v>
      </c>
      <c r="Z520" s="439">
        <v>170066.5</v>
      </c>
      <c r="AA520" s="439">
        <v>170066.5</v>
      </c>
      <c r="AB520" s="439">
        <v>115154</v>
      </c>
      <c r="AC520" s="439">
        <v>170066.5</v>
      </c>
      <c r="AD520" s="439">
        <v>338024.83</v>
      </c>
      <c r="AE520" s="435">
        <f t="shared" si="537"/>
        <v>-98109.330000000016</v>
      </c>
      <c r="AF520" s="439">
        <f>AC520*2</f>
        <v>340133</v>
      </c>
      <c r="AG520" s="439"/>
      <c r="AH520" s="419">
        <f t="shared" si="565"/>
        <v>-239915.5</v>
      </c>
      <c r="AI520" s="439"/>
      <c r="AJ520" s="439"/>
      <c r="AK520" s="439">
        <f>AA520-W520</f>
        <v>170066.5</v>
      </c>
      <c r="AL520" s="439">
        <f>AA520-AF520</f>
        <v>-170066.5</v>
      </c>
      <c r="AM520" s="439">
        <f>AA520-AD520</f>
        <v>-167958.33000000002</v>
      </c>
      <c r="AN520" s="438"/>
      <c r="AO520" s="438"/>
      <c r="AP520" s="438"/>
    </row>
    <row r="521" spans="1:42" ht="12.75">
      <c r="A521" s="412"/>
      <c r="B521" s="431"/>
      <c r="C521" s="432" t="s">
        <v>10853</v>
      </c>
      <c r="D521" s="433" t="s">
        <v>10856</v>
      </c>
      <c r="E521" s="434"/>
      <c r="F521" s="435">
        <f>+F522+F525</f>
        <v>3000327.84</v>
      </c>
      <c r="G521" s="435">
        <v>1378389.4699999997</v>
      </c>
      <c r="H521" s="435">
        <v>3576700.6900000004</v>
      </c>
      <c r="I521" s="435">
        <f t="shared" si="572"/>
        <v>-576372.85000000056</v>
      </c>
      <c r="J521" s="435">
        <f t="shared" si="573"/>
        <v>-750731.48</v>
      </c>
      <c r="K521" s="435">
        <v>3751059.32</v>
      </c>
      <c r="L521" s="435">
        <v>4115733.4899999998</v>
      </c>
      <c r="M521" s="435">
        <f t="shared" si="574"/>
        <v>1159024.5999999996</v>
      </c>
      <c r="N521" s="435">
        <v>4199560.5599999996</v>
      </c>
      <c r="O521" s="435">
        <v>4199560.5599999996</v>
      </c>
      <c r="P521" s="436">
        <v>1841303.2400000002</v>
      </c>
      <c r="Q521" s="435">
        <f t="shared" ref="Q521" si="578">+Q522+Q525</f>
        <v>1378389.4699999997</v>
      </c>
      <c r="R521" s="435">
        <f t="shared" si="567"/>
        <v>-2358257.3199999994</v>
      </c>
      <c r="S521" s="435">
        <f t="shared" si="568"/>
        <v>-2821171.09</v>
      </c>
      <c r="T521" s="437">
        <f>(F521-P521)/F521*100</f>
        <v>38.629931854380281</v>
      </c>
      <c r="U521" s="435">
        <v>2378675.17</v>
      </c>
      <c r="V521" s="435">
        <f>+V522+V525</f>
        <v>1841303.2400000002</v>
      </c>
      <c r="W521" s="435">
        <f>+W522+W525</f>
        <v>0</v>
      </c>
      <c r="X521" s="435">
        <f t="shared" ref="X521" si="579">+X522+X525</f>
        <v>1378389.4699999997</v>
      </c>
      <c r="Y521" s="435">
        <f t="shared" si="570"/>
        <v>3273084.916363636</v>
      </c>
      <c r="Z521" s="435">
        <v>1803101.7524999999</v>
      </c>
      <c r="AA521" s="435">
        <v>1841303.2400000002</v>
      </c>
      <c r="AB521" s="435">
        <f t="shared" ref="AB521:AM521" si="580">+AB522+AB525</f>
        <v>18378</v>
      </c>
      <c r="AC521" s="435">
        <f t="shared" si="580"/>
        <v>2722948.4050000003</v>
      </c>
      <c r="AD521" s="435">
        <f t="shared" si="580"/>
        <v>1378389.4699999997</v>
      </c>
      <c r="AE521" s="435">
        <f t="shared" si="537"/>
        <v>1621938.37</v>
      </c>
      <c r="AF521" s="435">
        <f t="shared" si="580"/>
        <v>5445896.8100000005</v>
      </c>
      <c r="AG521" s="435">
        <f t="shared" si="580"/>
        <v>0</v>
      </c>
      <c r="AH521" s="419">
        <f t="shared" si="565"/>
        <v>-3000327.84</v>
      </c>
      <c r="AI521" s="435">
        <f t="shared" si="580"/>
        <v>0</v>
      </c>
      <c r="AJ521" s="435">
        <f t="shared" si="580"/>
        <v>0</v>
      </c>
      <c r="AK521" s="435">
        <f t="shared" si="580"/>
        <v>1841303.2400000002</v>
      </c>
      <c r="AL521" s="435">
        <f t="shared" si="580"/>
        <v>-3604593.5700000003</v>
      </c>
      <c r="AM521" s="435">
        <f t="shared" si="580"/>
        <v>462913.77</v>
      </c>
      <c r="AN521" s="438"/>
      <c r="AO521" s="438"/>
      <c r="AP521" s="438"/>
    </row>
    <row r="522" spans="1:42" ht="25.5">
      <c r="A522" s="412"/>
      <c r="B522" s="431" t="s">
        <v>1519</v>
      </c>
      <c r="C522" s="432" t="s">
        <v>11315</v>
      </c>
      <c r="D522" s="433" t="s">
        <v>11316</v>
      </c>
      <c r="E522" s="434"/>
      <c r="F522" s="435">
        <f>+F523+F524</f>
        <v>8968.4599999999991</v>
      </c>
      <c r="G522" s="435">
        <v>46447.14</v>
      </c>
      <c r="H522" s="435">
        <v>8968.4599999999991</v>
      </c>
      <c r="I522" s="435">
        <f t="shared" si="572"/>
        <v>0</v>
      </c>
      <c r="J522" s="435">
        <f t="shared" si="573"/>
        <v>-794</v>
      </c>
      <c r="K522" s="435">
        <v>9762.4599999999991</v>
      </c>
      <c r="L522" s="435">
        <v>7023.19</v>
      </c>
      <c r="M522" s="435">
        <f t="shared" si="574"/>
        <v>7426.8599999999988</v>
      </c>
      <c r="N522" s="435">
        <v>1541.6</v>
      </c>
      <c r="O522" s="435">
        <v>1541.6</v>
      </c>
      <c r="P522" s="436">
        <v>1541.6</v>
      </c>
      <c r="Q522" s="435">
        <f t="shared" ref="Q522" si="581">+Q523+Q524</f>
        <v>46447.14</v>
      </c>
      <c r="R522" s="435">
        <f t="shared" si="567"/>
        <v>0</v>
      </c>
      <c r="S522" s="435">
        <f t="shared" si="568"/>
        <v>44905.54</v>
      </c>
      <c r="T522" s="437">
        <f>(F522-P522)/F522*100</f>
        <v>82.810872769683968</v>
      </c>
      <c r="U522" s="435">
        <v>1541.6</v>
      </c>
      <c r="V522" s="435">
        <f>+V523+V524</f>
        <v>1541.6</v>
      </c>
      <c r="W522" s="435">
        <f>+W523+W524</f>
        <v>0</v>
      </c>
      <c r="X522" s="435">
        <f t="shared" ref="X522" si="582">+X523+X524</f>
        <v>46447.14</v>
      </c>
      <c r="Y522" s="435">
        <f t="shared" si="570"/>
        <v>9783.7745454545438</v>
      </c>
      <c r="Z522" s="435">
        <v>1541.6</v>
      </c>
      <c r="AA522" s="435">
        <v>1541.6</v>
      </c>
      <c r="AB522" s="435">
        <f t="shared" ref="AB522:AM522" si="583">+AB523+AB524</f>
        <v>0</v>
      </c>
      <c r="AC522" s="435">
        <f t="shared" si="583"/>
        <v>1541.6</v>
      </c>
      <c r="AD522" s="435">
        <f t="shared" si="583"/>
        <v>46447.14</v>
      </c>
      <c r="AE522" s="435">
        <f t="shared" si="537"/>
        <v>-37478.68</v>
      </c>
      <c r="AF522" s="435">
        <f t="shared" si="583"/>
        <v>3083.2</v>
      </c>
      <c r="AG522" s="435">
        <f t="shared" si="583"/>
        <v>0</v>
      </c>
      <c r="AH522" s="419">
        <f t="shared" si="565"/>
        <v>-8968.4599999999991</v>
      </c>
      <c r="AI522" s="435">
        <f t="shared" si="583"/>
        <v>0</v>
      </c>
      <c r="AJ522" s="435">
        <f t="shared" si="583"/>
        <v>0</v>
      </c>
      <c r="AK522" s="435">
        <f t="shared" si="583"/>
        <v>1541.6</v>
      </c>
      <c r="AL522" s="435">
        <f t="shared" si="583"/>
        <v>-1541.6</v>
      </c>
      <c r="AM522" s="435">
        <f t="shared" si="583"/>
        <v>-44905.54</v>
      </c>
      <c r="AN522" s="438"/>
      <c r="AO522" s="438"/>
      <c r="AP522" s="438"/>
    </row>
    <row r="523" spans="1:42" ht="25.5">
      <c r="A523" s="412"/>
      <c r="B523" s="431" t="s">
        <v>1519</v>
      </c>
      <c r="C523" s="432" t="s">
        <v>10857</v>
      </c>
      <c r="D523" s="433" t="s">
        <v>10862</v>
      </c>
      <c r="E523" s="434">
        <f>'PROSPETTO CE_IV TRIM 2024'!BM2448</f>
        <v>0</v>
      </c>
      <c r="F523" s="439">
        <f>+E523</f>
        <v>0</v>
      </c>
      <c r="G523" s="439">
        <v>0</v>
      </c>
      <c r="H523" s="439">
        <v>0</v>
      </c>
      <c r="I523" s="435">
        <f t="shared" si="572"/>
        <v>0</v>
      </c>
      <c r="J523" s="435">
        <f t="shared" si="573"/>
        <v>0</v>
      </c>
      <c r="K523" s="439">
        <v>0</v>
      </c>
      <c r="L523" s="439">
        <v>0</v>
      </c>
      <c r="M523" s="439">
        <f t="shared" si="574"/>
        <v>0</v>
      </c>
      <c r="N523" s="439">
        <v>0</v>
      </c>
      <c r="O523" s="439">
        <v>0</v>
      </c>
      <c r="P523" s="440">
        <v>0</v>
      </c>
      <c r="Q523" s="439">
        <v>0</v>
      </c>
      <c r="R523" s="439">
        <f t="shared" si="567"/>
        <v>0</v>
      </c>
      <c r="S523" s="439">
        <f t="shared" si="568"/>
        <v>0</v>
      </c>
      <c r="T523" s="441"/>
      <c r="U523" s="439">
        <v>0</v>
      </c>
      <c r="V523" s="439">
        <f>+AA523</f>
        <v>0</v>
      </c>
      <c r="W523" s="439">
        <v>0</v>
      </c>
      <c r="X523" s="439">
        <v>0</v>
      </c>
      <c r="Y523" s="435">
        <f t="shared" si="570"/>
        <v>0</v>
      </c>
      <c r="Z523" s="439">
        <v>0</v>
      </c>
      <c r="AA523" s="439">
        <v>0</v>
      </c>
      <c r="AB523" s="439">
        <v>0</v>
      </c>
      <c r="AC523" s="439">
        <v>0</v>
      </c>
      <c r="AD523" s="439">
        <v>0</v>
      </c>
      <c r="AE523" s="435">
        <f t="shared" si="537"/>
        <v>0</v>
      </c>
      <c r="AF523" s="439">
        <f>AC523*2</f>
        <v>0</v>
      </c>
      <c r="AG523" s="439"/>
      <c r="AH523" s="419">
        <f t="shared" si="565"/>
        <v>0</v>
      </c>
      <c r="AI523" s="439"/>
      <c r="AJ523" s="439"/>
      <c r="AK523" s="439">
        <f>AA523-W523</f>
        <v>0</v>
      </c>
      <c r="AL523" s="439">
        <f>AA523-AF523</f>
        <v>0</v>
      </c>
      <c r="AM523" s="439">
        <f>AA523-AD523</f>
        <v>0</v>
      </c>
      <c r="AN523" s="438"/>
      <c r="AO523" s="438"/>
      <c r="AP523" s="438"/>
    </row>
    <row r="524" spans="1:42" ht="25.5">
      <c r="A524" s="412"/>
      <c r="B524" s="431" t="s">
        <v>1519</v>
      </c>
      <c r="C524" s="432" t="s">
        <v>10863</v>
      </c>
      <c r="D524" s="433" t="s">
        <v>10868</v>
      </c>
      <c r="E524" s="434">
        <f>'PROSPETTO CE_IV TRIM 2024'!BM2449</f>
        <v>8968.4599999999991</v>
      </c>
      <c r="F524" s="439">
        <f>+E524</f>
        <v>8968.4599999999991</v>
      </c>
      <c r="G524" s="439">
        <v>46447.14</v>
      </c>
      <c r="H524" s="439">
        <v>8968.4599999999991</v>
      </c>
      <c r="I524" s="435">
        <f t="shared" si="572"/>
        <v>0</v>
      </c>
      <c r="J524" s="435">
        <f t="shared" si="573"/>
        <v>-794</v>
      </c>
      <c r="K524" s="439">
        <v>9762.4599999999991</v>
      </c>
      <c r="L524" s="439">
        <v>7023.19</v>
      </c>
      <c r="M524" s="439">
        <f t="shared" si="574"/>
        <v>7426.8599999999988</v>
      </c>
      <c r="N524" s="439">
        <v>1541.6</v>
      </c>
      <c r="O524" s="439">
        <v>1541.6</v>
      </c>
      <c r="P524" s="440">
        <v>1541.6</v>
      </c>
      <c r="Q524" s="439">
        <v>46447.14</v>
      </c>
      <c r="R524" s="439">
        <f t="shared" si="567"/>
        <v>0</v>
      </c>
      <c r="S524" s="439">
        <f t="shared" si="568"/>
        <v>44905.54</v>
      </c>
      <c r="T524" s="441">
        <f>(F524-P524)/F524*100</f>
        <v>82.810872769683968</v>
      </c>
      <c r="U524" s="439">
        <v>1541.6</v>
      </c>
      <c r="V524" s="439">
        <f>+AA524</f>
        <v>1541.6</v>
      </c>
      <c r="W524" s="439">
        <v>0</v>
      </c>
      <c r="X524" s="439">
        <v>46447.14</v>
      </c>
      <c r="Y524" s="435">
        <f t="shared" si="570"/>
        <v>9783.7745454545438</v>
      </c>
      <c r="Z524" s="439">
        <v>1541.6</v>
      </c>
      <c r="AA524" s="439">
        <v>1541.6</v>
      </c>
      <c r="AB524" s="439">
        <v>0</v>
      </c>
      <c r="AC524" s="439">
        <v>1541.6</v>
      </c>
      <c r="AD524" s="439">
        <v>46447.14</v>
      </c>
      <c r="AE524" s="435">
        <f t="shared" si="537"/>
        <v>-37478.68</v>
      </c>
      <c r="AF524" s="439">
        <f>AC524*2</f>
        <v>3083.2</v>
      </c>
      <c r="AG524" s="439"/>
      <c r="AH524" s="419">
        <f t="shared" si="565"/>
        <v>-8968.4599999999991</v>
      </c>
      <c r="AI524" s="439"/>
      <c r="AJ524" s="439"/>
      <c r="AK524" s="439">
        <f>AA524-W524</f>
        <v>1541.6</v>
      </c>
      <c r="AL524" s="439">
        <f>AA524-AF524</f>
        <v>-1541.6</v>
      </c>
      <c r="AM524" s="439">
        <f>AA524-AD524</f>
        <v>-44905.54</v>
      </c>
      <c r="AN524" s="438"/>
      <c r="AO524" s="438"/>
      <c r="AP524" s="438"/>
    </row>
    <row r="525" spans="1:42" ht="12.75">
      <c r="A525" s="412"/>
      <c r="B525" s="431"/>
      <c r="C525" s="432" t="s">
        <v>11317</v>
      </c>
      <c r="D525" s="433" t="s">
        <v>11318</v>
      </c>
      <c r="E525" s="434"/>
      <c r="F525" s="435">
        <f>+F526+F527+F531+F532+F533+F534+F535</f>
        <v>2991359.38</v>
      </c>
      <c r="G525" s="435">
        <v>1331942.3299999998</v>
      </c>
      <c r="H525" s="435">
        <v>3567732.2300000004</v>
      </c>
      <c r="I525" s="435">
        <f t="shared" si="572"/>
        <v>-576372.85000000056</v>
      </c>
      <c r="J525" s="435">
        <f t="shared" si="573"/>
        <v>-749937.48</v>
      </c>
      <c r="K525" s="435">
        <v>3741296.86</v>
      </c>
      <c r="L525" s="435">
        <v>4108710.3</v>
      </c>
      <c r="M525" s="435">
        <f t="shared" si="574"/>
        <v>1151597.7399999998</v>
      </c>
      <c r="N525" s="435">
        <v>4198018.96</v>
      </c>
      <c r="O525" s="435">
        <v>4198018.96</v>
      </c>
      <c r="P525" s="436">
        <v>1839761.6400000001</v>
      </c>
      <c r="Q525" s="435">
        <f t="shared" ref="Q525" si="584">+Q526+Q527+Q531+Q532+Q533+Q534+Q535</f>
        <v>1331942.3299999998</v>
      </c>
      <c r="R525" s="435">
        <f t="shared" si="567"/>
        <v>-2358257.3199999998</v>
      </c>
      <c r="S525" s="435">
        <f t="shared" si="568"/>
        <v>-2866076.63</v>
      </c>
      <c r="T525" s="437">
        <f>(F525-P525)/F525*100</f>
        <v>38.497472008863063</v>
      </c>
      <c r="U525" s="435">
        <v>2377133.5699999998</v>
      </c>
      <c r="V525" s="435">
        <f>+V526+V527+V531+V532+V533+V534+V535</f>
        <v>1839761.6400000001</v>
      </c>
      <c r="W525" s="435">
        <f>+W526+W527+W531+W532+W533+W534+W535</f>
        <v>0</v>
      </c>
      <c r="X525" s="435">
        <f t="shared" ref="X525" si="585">+X526+X527+X531+X532+X533+X534+X535</f>
        <v>1331942.3299999998</v>
      </c>
      <c r="Y525" s="435">
        <f t="shared" si="570"/>
        <v>3263301.1418181816</v>
      </c>
      <c r="Z525" s="435">
        <v>1801560.1524999999</v>
      </c>
      <c r="AA525" s="435">
        <v>1839761.6400000001</v>
      </c>
      <c r="AB525" s="435">
        <f t="shared" ref="AB525:AM525" si="586">+AB526+AB527+AB531+AB532+AB533+AB534+AB535</f>
        <v>18378</v>
      </c>
      <c r="AC525" s="435">
        <f t="shared" si="586"/>
        <v>2721406.8050000002</v>
      </c>
      <c r="AD525" s="435">
        <f t="shared" si="586"/>
        <v>1331942.3299999998</v>
      </c>
      <c r="AE525" s="435">
        <f t="shared" si="537"/>
        <v>1659417.05</v>
      </c>
      <c r="AF525" s="435">
        <f t="shared" si="586"/>
        <v>5442813.6100000003</v>
      </c>
      <c r="AG525" s="435">
        <f t="shared" si="586"/>
        <v>0</v>
      </c>
      <c r="AH525" s="419">
        <f t="shared" si="565"/>
        <v>-2991359.38</v>
      </c>
      <c r="AI525" s="435">
        <f t="shared" si="586"/>
        <v>0</v>
      </c>
      <c r="AJ525" s="435">
        <f t="shared" si="586"/>
        <v>0</v>
      </c>
      <c r="AK525" s="435">
        <f t="shared" si="586"/>
        <v>1839761.6400000001</v>
      </c>
      <c r="AL525" s="435">
        <f t="shared" si="586"/>
        <v>-3603051.97</v>
      </c>
      <c r="AM525" s="435">
        <f t="shared" si="586"/>
        <v>507819.31</v>
      </c>
      <c r="AN525" s="438"/>
      <c r="AO525" s="438"/>
      <c r="AP525" s="438"/>
    </row>
    <row r="526" spans="1:42" ht="25.5">
      <c r="A526" s="412"/>
      <c r="B526" s="431" t="s">
        <v>1349</v>
      </c>
      <c r="C526" s="432" t="s">
        <v>10869</v>
      </c>
      <c r="D526" s="433" t="s">
        <v>10874</v>
      </c>
      <c r="E526" s="434">
        <f>'PROSPETTO CE_IV TRIM 2024'!BM2450</f>
        <v>0</v>
      </c>
      <c r="F526" s="439">
        <f>+E526</f>
        <v>0</v>
      </c>
      <c r="G526" s="439">
        <v>0</v>
      </c>
      <c r="H526" s="439">
        <v>0</v>
      </c>
      <c r="I526" s="435">
        <f t="shared" si="572"/>
        <v>0</v>
      </c>
      <c r="J526" s="435">
        <f t="shared" si="573"/>
        <v>0</v>
      </c>
      <c r="K526" s="439">
        <v>0</v>
      </c>
      <c r="L526" s="439">
        <v>0</v>
      </c>
      <c r="M526" s="439">
        <f t="shared" si="574"/>
        <v>0</v>
      </c>
      <c r="N526" s="439">
        <v>0</v>
      </c>
      <c r="O526" s="439">
        <v>0</v>
      </c>
      <c r="P526" s="440">
        <v>0</v>
      </c>
      <c r="Q526" s="439">
        <v>0</v>
      </c>
      <c r="R526" s="439">
        <f t="shared" si="567"/>
        <v>0</v>
      </c>
      <c r="S526" s="439">
        <f t="shared" si="568"/>
        <v>0</v>
      </c>
      <c r="T526" s="441"/>
      <c r="U526" s="439">
        <v>0</v>
      </c>
      <c r="V526" s="439">
        <f>+AA526</f>
        <v>0</v>
      </c>
      <c r="W526" s="439">
        <v>0</v>
      </c>
      <c r="X526" s="439">
        <v>0</v>
      </c>
      <c r="Y526" s="435">
        <f t="shared" si="570"/>
        <v>0</v>
      </c>
      <c r="Z526" s="439">
        <v>0</v>
      </c>
      <c r="AA526" s="439">
        <v>0</v>
      </c>
      <c r="AB526" s="439">
        <v>0</v>
      </c>
      <c r="AC526" s="439">
        <v>0</v>
      </c>
      <c r="AD526" s="439">
        <v>0</v>
      </c>
      <c r="AE526" s="435">
        <f t="shared" si="537"/>
        <v>0</v>
      </c>
      <c r="AF526" s="439">
        <f>AC526*2</f>
        <v>0</v>
      </c>
      <c r="AG526" s="439">
        <v>0</v>
      </c>
      <c r="AH526" s="419">
        <f t="shared" si="565"/>
        <v>0</v>
      </c>
      <c r="AI526" s="439">
        <v>0</v>
      </c>
      <c r="AJ526" s="439">
        <v>0</v>
      </c>
      <c r="AK526" s="439">
        <f>AA526-W526</f>
        <v>0</v>
      </c>
      <c r="AL526" s="439">
        <f>AA526-AF526</f>
        <v>0</v>
      </c>
      <c r="AM526" s="439">
        <f>AA526-AD526</f>
        <v>0</v>
      </c>
      <c r="AN526" s="438"/>
      <c r="AO526" s="438"/>
      <c r="AP526" s="438"/>
    </row>
    <row r="527" spans="1:42" ht="12.75">
      <c r="A527" s="412"/>
      <c r="B527" s="431"/>
      <c r="C527" s="432" t="s">
        <v>11319</v>
      </c>
      <c r="D527" s="433" t="s">
        <v>11320</v>
      </c>
      <c r="E527" s="434"/>
      <c r="F527" s="435">
        <f>+F528+F529+F530</f>
        <v>2117564.13</v>
      </c>
      <c r="G527" s="435">
        <v>755347.03999999992</v>
      </c>
      <c r="H527" s="435">
        <v>2697536.9800000004</v>
      </c>
      <c r="I527" s="435">
        <f t="shared" si="572"/>
        <v>-579972.85000000056</v>
      </c>
      <c r="J527" s="435">
        <f t="shared" si="573"/>
        <v>-754331.48</v>
      </c>
      <c r="K527" s="435">
        <v>2871895.61</v>
      </c>
      <c r="L527" s="435">
        <v>3239309.05</v>
      </c>
      <c r="M527" s="435">
        <f t="shared" si="574"/>
        <v>789246.7799999998</v>
      </c>
      <c r="N527" s="435">
        <v>3239309.05</v>
      </c>
      <c r="O527" s="435">
        <v>3239309.05</v>
      </c>
      <c r="P527" s="436">
        <v>1328317.3500000001</v>
      </c>
      <c r="Q527" s="435">
        <f t="shared" ref="Q527" si="587">+Q528+Q529+Q530</f>
        <v>755347.03999999992</v>
      </c>
      <c r="R527" s="435">
        <f t="shared" si="567"/>
        <v>-1910991.6999999997</v>
      </c>
      <c r="S527" s="435">
        <f t="shared" si="568"/>
        <v>-2483962.0099999998</v>
      </c>
      <c r="T527" s="437">
        <f>(F527-P527)/F527*100</f>
        <v>37.271446414234447</v>
      </c>
      <c r="U527" s="435">
        <v>2017746.73</v>
      </c>
      <c r="V527" s="435">
        <f>+V528+V529+V530</f>
        <v>1328317.3500000001</v>
      </c>
      <c r="W527" s="435">
        <f>+W528+W529+W530</f>
        <v>0</v>
      </c>
      <c r="X527" s="435">
        <f t="shared" ref="X527" si="588">+X528+X529+X530</f>
        <v>755347.03999999992</v>
      </c>
      <c r="Y527" s="435">
        <f t="shared" si="570"/>
        <v>2310069.96</v>
      </c>
      <c r="Z527" s="435">
        <v>1290115.8624999998</v>
      </c>
      <c r="AA527" s="435">
        <v>1328317.3500000001</v>
      </c>
      <c r="AB527" s="435">
        <f t="shared" ref="AB527:AM527" si="589">+AB528+AB529+AB530</f>
        <v>0</v>
      </c>
      <c r="AC527" s="435">
        <f t="shared" si="589"/>
        <v>2507691.6950000003</v>
      </c>
      <c r="AD527" s="435">
        <f t="shared" si="589"/>
        <v>755347.03999999992</v>
      </c>
      <c r="AE527" s="435">
        <f t="shared" si="537"/>
        <v>1362217.0899999999</v>
      </c>
      <c r="AF527" s="435">
        <f t="shared" si="589"/>
        <v>5015383.3900000006</v>
      </c>
      <c r="AG527" s="435">
        <f t="shared" si="589"/>
        <v>0</v>
      </c>
      <c r="AH527" s="419">
        <f t="shared" si="565"/>
        <v>-2117564.13</v>
      </c>
      <c r="AI527" s="435">
        <f t="shared" si="589"/>
        <v>0</v>
      </c>
      <c r="AJ527" s="435">
        <f t="shared" si="589"/>
        <v>0</v>
      </c>
      <c r="AK527" s="435">
        <f t="shared" si="589"/>
        <v>1328317.3500000001</v>
      </c>
      <c r="AL527" s="435">
        <f t="shared" si="589"/>
        <v>-3687066.04</v>
      </c>
      <c r="AM527" s="435">
        <f t="shared" si="589"/>
        <v>572970.31000000006</v>
      </c>
      <c r="AN527" s="438"/>
      <c r="AO527" s="438"/>
      <c r="AP527" s="438"/>
    </row>
    <row r="528" spans="1:42" ht="25.5">
      <c r="A528" s="412"/>
      <c r="B528" s="431"/>
      <c r="C528" s="432" t="s">
        <v>10875</v>
      </c>
      <c r="D528" s="433" t="s">
        <v>10880</v>
      </c>
      <c r="E528" s="434">
        <f>'PROSPETTO CE_IV TRIM 2024'!BM2451+'PROSPETTO CE_IV TRIM 2024'!BM2453</f>
        <v>496466.23</v>
      </c>
      <c r="F528" s="439">
        <f t="shared" ref="F528:F535" si="590">+E528</f>
        <v>496466.23</v>
      </c>
      <c r="G528" s="439">
        <v>288307.58999999997</v>
      </c>
      <c r="H528" s="439">
        <v>1181789.9800000002</v>
      </c>
      <c r="I528" s="435">
        <f t="shared" si="572"/>
        <v>-685323.75000000023</v>
      </c>
      <c r="J528" s="435">
        <f t="shared" si="573"/>
        <v>-847626.64999999991</v>
      </c>
      <c r="K528" s="439">
        <v>1344092.88</v>
      </c>
      <c r="L528" s="439">
        <v>1711506.3199999998</v>
      </c>
      <c r="M528" s="439">
        <f t="shared" si="574"/>
        <v>6522.2299999999814</v>
      </c>
      <c r="N528" s="439">
        <v>1711506.3199999998</v>
      </c>
      <c r="O528" s="439">
        <v>1711506.3199999998</v>
      </c>
      <c r="P528" s="443">
        <v>489944</v>
      </c>
      <c r="Q528" s="439">
        <v>288307.58999999997</v>
      </c>
      <c r="R528" s="439">
        <f t="shared" si="567"/>
        <v>-1221562.3199999998</v>
      </c>
      <c r="S528" s="439">
        <f t="shared" si="568"/>
        <v>-1423198.73</v>
      </c>
      <c r="T528" s="441">
        <f>(F528-P528)/F528*100</f>
        <v>1.3137308452983765</v>
      </c>
      <c r="U528" s="439">
        <v>489944</v>
      </c>
      <c r="V528" s="439">
        <f t="shared" ref="V528:V535" si="591">+AA528</f>
        <v>489944</v>
      </c>
      <c r="W528" s="439">
        <v>0</v>
      </c>
      <c r="X528" s="439">
        <v>288307.58999999997</v>
      </c>
      <c r="Y528" s="435">
        <f t="shared" si="570"/>
        <v>541599.52363636356</v>
      </c>
      <c r="Z528" s="439">
        <v>489944.48249999998</v>
      </c>
      <c r="AA528" s="439">
        <v>489944</v>
      </c>
      <c r="AB528" s="439">
        <v>0</v>
      </c>
      <c r="AC528" s="439">
        <v>979888.96499999997</v>
      </c>
      <c r="AD528" s="439">
        <v>288307.58999999997</v>
      </c>
      <c r="AE528" s="435">
        <f t="shared" si="537"/>
        <v>208158.64</v>
      </c>
      <c r="AF528" s="439">
        <f t="shared" ref="AF528:AF535" si="592">AC528*2</f>
        <v>1959777.93</v>
      </c>
      <c r="AG528" s="439"/>
      <c r="AH528" s="419">
        <f t="shared" si="565"/>
        <v>-496466.23</v>
      </c>
      <c r="AI528" s="439"/>
      <c r="AJ528" s="439"/>
      <c r="AK528" s="439">
        <f t="shared" ref="AK528:AK535" si="593">AA528-W528</f>
        <v>489944</v>
      </c>
      <c r="AL528" s="439">
        <f t="shared" ref="AL528:AL535" si="594">AA528-AF528</f>
        <v>-1469833.93</v>
      </c>
      <c r="AM528" s="439">
        <f t="shared" ref="AM528:AM535" si="595">AA528-AD528</f>
        <v>201636.41000000003</v>
      </c>
      <c r="AN528" s="438"/>
      <c r="AO528" s="438"/>
      <c r="AP528" s="438"/>
    </row>
    <row r="529" spans="1:42" ht="25.5">
      <c r="A529" s="412"/>
      <c r="B529" s="431"/>
      <c r="C529" s="432" t="s">
        <v>10889</v>
      </c>
      <c r="D529" s="433" t="s">
        <v>10894</v>
      </c>
      <c r="E529" s="434">
        <f>'PROSPETTO CE_IV TRIM 2024'!BM2455+'PROSPETTO CE_IV TRIM 2024'!BM2459</f>
        <v>220691.58</v>
      </c>
      <c r="F529" s="439">
        <f t="shared" si="590"/>
        <v>220691.58</v>
      </c>
      <c r="G529" s="439">
        <v>67472.849999999991</v>
      </c>
      <c r="H529" s="439">
        <v>360842.55000000005</v>
      </c>
      <c r="I529" s="435">
        <f t="shared" si="572"/>
        <v>-140150.97000000006</v>
      </c>
      <c r="J529" s="435">
        <f t="shared" si="573"/>
        <v>-152206.70000000004</v>
      </c>
      <c r="K529" s="439">
        <v>372898.28</v>
      </c>
      <c r="L529" s="439">
        <v>372898.28</v>
      </c>
      <c r="M529" s="439">
        <f t="shared" si="574"/>
        <v>-23795.700000000041</v>
      </c>
      <c r="N529" s="439">
        <v>372898.28</v>
      </c>
      <c r="O529" s="439">
        <v>372898.28</v>
      </c>
      <c r="P529" s="443">
        <v>244487.28000000003</v>
      </c>
      <c r="Q529" s="439">
        <v>67472.849999999991</v>
      </c>
      <c r="R529" s="439">
        <f t="shared" si="567"/>
        <v>-128411</v>
      </c>
      <c r="S529" s="439">
        <f t="shared" si="568"/>
        <v>-305425.43000000005</v>
      </c>
      <c r="T529" s="441">
        <f>(F529-P529)/F529*100</f>
        <v>-10.782332520343568</v>
      </c>
      <c r="U529" s="439">
        <v>372898.28</v>
      </c>
      <c r="V529" s="439">
        <f t="shared" si="591"/>
        <v>244487.28000000003</v>
      </c>
      <c r="W529" s="439">
        <v>0</v>
      </c>
      <c r="X529" s="439">
        <v>67472.849999999991</v>
      </c>
      <c r="Y529" s="435">
        <f t="shared" si="570"/>
        <v>240754.45090909087</v>
      </c>
      <c r="Z529" s="439">
        <v>206285.31000000003</v>
      </c>
      <c r="AA529" s="439">
        <v>244487.28000000003</v>
      </c>
      <c r="AB529" s="439">
        <v>0</v>
      </c>
      <c r="AC529" s="439">
        <v>372898.28</v>
      </c>
      <c r="AD529" s="439">
        <v>67472.849999999991</v>
      </c>
      <c r="AE529" s="435">
        <f t="shared" si="537"/>
        <v>153218.72999999998</v>
      </c>
      <c r="AF529" s="439">
        <f t="shared" si="592"/>
        <v>745796.56</v>
      </c>
      <c r="AG529" s="439"/>
      <c r="AH529" s="419">
        <f t="shared" si="565"/>
        <v>-220691.58</v>
      </c>
      <c r="AI529" s="439"/>
      <c r="AJ529" s="439"/>
      <c r="AK529" s="439">
        <f t="shared" si="593"/>
        <v>244487.28000000003</v>
      </c>
      <c r="AL529" s="439">
        <f t="shared" si="594"/>
        <v>-501309.28</v>
      </c>
      <c r="AM529" s="439">
        <f t="shared" si="595"/>
        <v>177014.43000000005</v>
      </c>
      <c r="AN529" s="438"/>
      <c r="AO529" s="438"/>
      <c r="AP529" s="438"/>
    </row>
    <row r="530" spans="1:42" ht="25.5">
      <c r="A530" s="412"/>
      <c r="B530" s="431"/>
      <c r="C530" s="432" t="s">
        <v>10921</v>
      </c>
      <c r="D530" s="433" t="s">
        <v>10926</v>
      </c>
      <c r="E530" s="434">
        <f>'PROSPETTO CE_IV TRIM 2024'!BM2468+'PROSPETTO CE_IV TRIM 2024'!BM2472</f>
        <v>1400406.32</v>
      </c>
      <c r="F530" s="439">
        <f t="shared" si="590"/>
        <v>1400406.32</v>
      </c>
      <c r="G530" s="439">
        <v>399566.6</v>
      </c>
      <c r="H530" s="439">
        <v>1154904.45</v>
      </c>
      <c r="I530" s="435">
        <f t="shared" si="572"/>
        <v>245501.87000000011</v>
      </c>
      <c r="J530" s="435">
        <f t="shared" si="573"/>
        <v>245501.87000000011</v>
      </c>
      <c r="K530" s="439">
        <v>1154904.45</v>
      </c>
      <c r="L530" s="439">
        <v>1154904.45</v>
      </c>
      <c r="M530" s="439">
        <f t="shared" si="574"/>
        <v>806520.25000000012</v>
      </c>
      <c r="N530" s="439">
        <v>1154904.45</v>
      </c>
      <c r="O530" s="439">
        <v>1154904.45</v>
      </c>
      <c r="P530" s="443">
        <v>593886.06999999995</v>
      </c>
      <c r="Q530" s="439">
        <v>399566.6</v>
      </c>
      <c r="R530" s="439">
        <f t="shared" si="567"/>
        <v>-561018.38</v>
      </c>
      <c r="S530" s="439">
        <f t="shared" si="568"/>
        <v>-755337.85</v>
      </c>
      <c r="T530" s="441">
        <f>(F530-P530)/F530*100</f>
        <v>57.591874478258575</v>
      </c>
      <c r="U530" s="439">
        <v>1154904.45</v>
      </c>
      <c r="V530" s="439">
        <f t="shared" si="591"/>
        <v>593886.06999999995</v>
      </c>
      <c r="W530" s="439">
        <v>0</v>
      </c>
      <c r="X530" s="439">
        <v>399566.6</v>
      </c>
      <c r="Y530" s="435">
        <f t="shared" si="570"/>
        <v>1527715.9854545456</v>
      </c>
      <c r="Z530" s="439">
        <v>593886.06999999995</v>
      </c>
      <c r="AA530" s="439">
        <v>593886.06999999995</v>
      </c>
      <c r="AB530" s="439">
        <v>0</v>
      </c>
      <c r="AC530" s="439">
        <v>1154904.45</v>
      </c>
      <c r="AD530" s="439">
        <v>399566.6</v>
      </c>
      <c r="AE530" s="435">
        <f t="shared" si="537"/>
        <v>1000839.7200000001</v>
      </c>
      <c r="AF530" s="439">
        <f t="shared" si="592"/>
        <v>2309808.9</v>
      </c>
      <c r="AG530" s="439"/>
      <c r="AH530" s="419">
        <f t="shared" si="565"/>
        <v>-1400406.32</v>
      </c>
      <c r="AI530" s="439"/>
      <c r="AJ530" s="439"/>
      <c r="AK530" s="439">
        <f t="shared" si="593"/>
        <v>593886.06999999995</v>
      </c>
      <c r="AL530" s="439">
        <f t="shared" si="594"/>
        <v>-1715922.83</v>
      </c>
      <c r="AM530" s="439">
        <f t="shared" si="595"/>
        <v>194319.46999999997</v>
      </c>
      <c r="AN530" s="438"/>
      <c r="AO530" s="438"/>
      <c r="AP530" s="438"/>
    </row>
    <row r="531" spans="1:42" ht="25.5">
      <c r="A531" s="412"/>
      <c r="B531" s="431"/>
      <c r="C531" s="432" t="s">
        <v>10952</v>
      </c>
      <c r="D531" s="433" t="s">
        <v>10957</v>
      </c>
      <c r="E531" s="434">
        <f>'PROSPETTO CE_IV TRIM 2024'!BM2480+'PROSPETTO CE_IV TRIM 2024'!BM2481+'PROSPETTO CE_IV TRIM 2024'!BM2482+'PROSPETTO CE_IV TRIM 2024'!BM2483+'PROSPETTO CE_IV TRIM 2024'!BM2484</f>
        <v>0</v>
      </c>
      <c r="F531" s="439">
        <f t="shared" si="590"/>
        <v>0</v>
      </c>
      <c r="G531" s="439">
        <v>0</v>
      </c>
      <c r="H531" s="439">
        <v>0</v>
      </c>
      <c r="I531" s="435">
        <f t="shared" si="572"/>
        <v>0</v>
      </c>
      <c r="J531" s="435">
        <f t="shared" si="573"/>
        <v>0</v>
      </c>
      <c r="K531" s="439">
        <v>0</v>
      </c>
      <c r="L531" s="439">
        <v>0</v>
      </c>
      <c r="M531" s="439">
        <f t="shared" si="574"/>
        <v>0</v>
      </c>
      <c r="N531" s="439">
        <v>0</v>
      </c>
      <c r="O531" s="439">
        <v>0</v>
      </c>
      <c r="P531" s="440">
        <v>0</v>
      </c>
      <c r="Q531" s="439">
        <v>0</v>
      </c>
      <c r="R531" s="439">
        <f t="shared" si="567"/>
        <v>0</v>
      </c>
      <c r="S531" s="439">
        <f t="shared" si="568"/>
        <v>0</v>
      </c>
      <c r="T531" s="441"/>
      <c r="U531" s="439">
        <v>0</v>
      </c>
      <c r="V531" s="439">
        <f t="shared" si="591"/>
        <v>0</v>
      </c>
      <c r="W531" s="439">
        <v>0</v>
      </c>
      <c r="X531" s="439">
        <v>0</v>
      </c>
      <c r="Y531" s="435">
        <f t="shared" si="570"/>
        <v>0</v>
      </c>
      <c r="Z531" s="439">
        <v>0</v>
      </c>
      <c r="AA531" s="439">
        <v>0</v>
      </c>
      <c r="AB531" s="439">
        <v>0</v>
      </c>
      <c r="AC531" s="439">
        <v>0</v>
      </c>
      <c r="AD531" s="439">
        <v>0</v>
      </c>
      <c r="AE531" s="435">
        <f t="shared" si="537"/>
        <v>0</v>
      </c>
      <c r="AF531" s="439">
        <f t="shared" si="592"/>
        <v>0</v>
      </c>
      <c r="AG531" s="439"/>
      <c r="AH531" s="419">
        <f t="shared" si="565"/>
        <v>0</v>
      </c>
      <c r="AI531" s="439"/>
      <c r="AJ531" s="439"/>
      <c r="AK531" s="439">
        <f t="shared" si="593"/>
        <v>0</v>
      </c>
      <c r="AL531" s="439">
        <f t="shared" si="594"/>
        <v>0</v>
      </c>
      <c r="AM531" s="439">
        <f t="shared" si="595"/>
        <v>0</v>
      </c>
      <c r="AN531" s="438"/>
      <c r="AO531" s="438"/>
      <c r="AP531" s="438"/>
    </row>
    <row r="532" spans="1:42" ht="25.5">
      <c r="A532" s="412"/>
      <c r="B532" s="431"/>
      <c r="C532" s="432" t="s">
        <v>10970</v>
      </c>
      <c r="D532" s="433" t="s">
        <v>10975</v>
      </c>
      <c r="E532" s="434">
        <f>'PROSPETTO CE_IV TRIM 2024'!BM2485</f>
        <v>0</v>
      </c>
      <c r="F532" s="439">
        <f t="shared" si="590"/>
        <v>0</v>
      </c>
      <c r="G532" s="439">
        <v>0</v>
      </c>
      <c r="H532" s="439">
        <v>0</v>
      </c>
      <c r="I532" s="435">
        <f t="shared" si="572"/>
        <v>0</v>
      </c>
      <c r="J532" s="435">
        <f t="shared" si="573"/>
        <v>0</v>
      </c>
      <c r="K532" s="439">
        <v>0</v>
      </c>
      <c r="L532" s="439">
        <v>0</v>
      </c>
      <c r="M532" s="439">
        <f t="shared" si="574"/>
        <v>0</v>
      </c>
      <c r="N532" s="439">
        <v>0</v>
      </c>
      <c r="O532" s="439">
        <v>0</v>
      </c>
      <c r="P532" s="440">
        <v>0</v>
      </c>
      <c r="Q532" s="439">
        <v>0</v>
      </c>
      <c r="R532" s="439">
        <f t="shared" si="567"/>
        <v>0</v>
      </c>
      <c r="S532" s="439">
        <f t="shared" si="568"/>
        <v>0</v>
      </c>
      <c r="T532" s="441"/>
      <c r="U532" s="439">
        <v>0</v>
      </c>
      <c r="V532" s="439">
        <f t="shared" si="591"/>
        <v>0</v>
      </c>
      <c r="W532" s="439">
        <v>0</v>
      </c>
      <c r="X532" s="439">
        <v>0</v>
      </c>
      <c r="Y532" s="435">
        <f t="shared" si="570"/>
        <v>0</v>
      </c>
      <c r="Z532" s="439">
        <v>0</v>
      </c>
      <c r="AA532" s="439">
        <v>0</v>
      </c>
      <c r="AB532" s="439">
        <v>0</v>
      </c>
      <c r="AC532" s="439">
        <v>0</v>
      </c>
      <c r="AD532" s="439">
        <v>0</v>
      </c>
      <c r="AE532" s="435">
        <f t="shared" si="537"/>
        <v>0</v>
      </c>
      <c r="AF532" s="439">
        <f t="shared" si="592"/>
        <v>0</v>
      </c>
      <c r="AG532" s="439"/>
      <c r="AH532" s="419">
        <f t="shared" si="565"/>
        <v>0</v>
      </c>
      <c r="AI532" s="439"/>
      <c r="AJ532" s="439"/>
      <c r="AK532" s="439">
        <f t="shared" si="593"/>
        <v>0</v>
      </c>
      <c r="AL532" s="439">
        <f t="shared" si="594"/>
        <v>0</v>
      </c>
      <c r="AM532" s="439">
        <f t="shared" si="595"/>
        <v>0</v>
      </c>
      <c r="AN532" s="438"/>
      <c r="AO532" s="438"/>
      <c r="AP532" s="438"/>
    </row>
    <row r="533" spans="1:42" ht="25.5">
      <c r="A533" s="412"/>
      <c r="B533" s="431"/>
      <c r="C533" s="432" t="s">
        <v>10976</v>
      </c>
      <c r="D533" s="433" t="s">
        <v>10981</v>
      </c>
      <c r="E533" s="434">
        <f>'PROSPETTO CE_IV TRIM 2024'!BM2486</f>
        <v>0</v>
      </c>
      <c r="F533" s="439">
        <f t="shared" si="590"/>
        <v>0</v>
      </c>
      <c r="G533" s="439">
        <v>3029.1</v>
      </c>
      <c r="H533" s="439">
        <v>0</v>
      </c>
      <c r="I533" s="435">
        <f t="shared" si="572"/>
        <v>0</v>
      </c>
      <c r="J533" s="435">
        <f t="shared" si="573"/>
        <v>0</v>
      </c>
      <c r="K533" s="439">
        <v>0</v>
      </c>
      <c r="L533" s="439">
        <v>0</v>
      </c>
      <c r="M533" s="439">
        <f t="shared" si="574"/>
        <v>-2693.29</v>
      </c>
      <c r="N533" s="439">
        <v>2693.29</v>
      </c>
      <c r="O533" s="439">
        <v>2693.29</v>
      </c>
      <c r="P533" s="440">
        <v>2693.29</v>
      </c>
      <c r="Q533" s="439">
        <v>3029.1</v>
      </c>
      <c r="R533" s="439">
        <f t="shared" si="567"/>
        <v>0</v>
      </c>
      <c r="S533" s="439">
        <f t="shared" si="568"/>
        <v>335.80999999999995</v>
      </c>
      <c r="T533" s="441" t="e">
        <f>(F533-P533)/F533*100</f>
        <v>#DIV/0!</v>
      </c>
      <c r="U533" s="439">
        <v>2693.29</v>
      </c>
      <c r="V533" s="439">
        <f t="shared" si="591"/>
        <v>2693.29</v>
      </c>
      <c r="W533" s="439">
        <v>0</v>
      </c>
      <c r="X533" s="439">
        <v>3029.1</v>
      </c>
      <c r="Y533" s="435">
        <f t="shared" si="570"/>
        <v>0</v>
      </c>
      <c r="Z533" s="439">
        <v>2693.29</v>
      </c>
      <c r="AA533" s="439">
        <v>2693.29</v>
      </c>
      <c r="AB533" s="439">
        <v>0</v>
      </c>
      <c r="AC533" s="439">
        <v>2693.29</v>
      </c>
      <c r="AD533" s="439">
        <v>3029.1</v>
      </c>
      <c r="AE533" s="435">
        <f t="shared" si="537"/>
        <v>-3029.1</v>
      </c>
      <c r="AF533" s="439">
        <f t="shared" si="592"/>
        <v>5386.58</v>
      </c>
      <c r="AG533" s="439"/>
      <c r="AH533" s="419">
        <f t="shared" si="565"/>
        <v>0</v>
      </c>
      <c r="AI533" s="439"/>
      <c r="AJ533" s="439"/>
      <c r="AK533" s="439">
        <f t="shared" si="593"/>
        <v>2693.29</v>
      </c>
      <c r="AL533" s="439">
        <f t="shared" si="594"/>
        <v>-2693.29</v>
      </c>
      <c r="AM533" s="439">
        <f t="shared" si="595"/>
        <v>-335.80999999999995</v>
      </c>
      <c r="AN533" s="438"/>
      <c r="AO533" s="438"/>
      <c r="AP533" s="438"/>
    </row>
    <row r="534" spans="1:42" ht="25.5">
      <c r="A534" s="412"/>
      <c r="B534" s="431"/>
      <c r="C534" s="432" t="s">
        <v>10982</v>
      </c>
      <c r="D534" s="433" t="s">
        <v>10987</v>
      </c>
      <c r="E534" s="434">
        <f>'PROSPETTO CE_IV TRIM 2024'!BM2487</f>
        <v>645811.38</v>
      </c>
      <c r="F534" s="439">
        <f t="shared" si="590"/>
        <v>645811.38</v>
      </c>
      <c r="G534" s="439">
        <v>534240.01</v>
      </c>
      <c r="H534" s="439">
        <v>645811.38</v>
      </c>
      <c r="I534" s="435">
        <f t="shared" si="572"/>
        <v>0</v>
      </c>
      <c r="J534" s="435">
        <f t="shared" si="573"/>
        <v>0</v>
      </c>
      <c r="K534" s="439">
        <v>645811.38</v>
      </c>
      <c r="L534" s="439">
        <v>645811.38</v>
      </c>
      <c r="M534" s="439">
        <f t="shared" si="574"/>
        <v>137060.38</v>
      </c>
      <c r="N534" s="439">
        <v>623485.44999999995</v>
      </c>
      <c r="O534" s="439">
        <v>623485.44999999995</v>
      </c>
      <c r="P534" s="443">
        <v>508751</v>
      </c>
      <c r="Q534" s="439">
        <v>534240.01</v>
      </c>
      <c r="R534" s="439">
        <f t="shared" si="567"/>
        <v>-114734.44999999995</v>
      </c>
      <c r="S534" s="439">
        <f t="shared" si="568"/>
        <v>-89245.439999999944</v>
      </c>
      <c r="T534" s="441">
        <f>(F534-P534)/F534*100</f>
        <v>21.222973803899215</v>
      </c>
      <c r="U534" s="439">
        <v>356693.55</v>
      </c>
      <c r="V534" s="439">
        <f t="shared" si="591"/>
        <v>508751</v>
      </c>
      <c r="W534" s="439">
        <v>0</v>
      </c>
      <c r="X534" s="439">
        <v>534240.01</v>
      </c>
      <c r="Y534" s="435">
        <f t="shared" si="570"/>
        <v>704521.50545454549</v>
      </c>
      <c r="Z534" s="439">
        <v>508751</v>
      </c>
      <c r="AA534" s="439">
        <v>508751</v>
      </c>
      <c r="AB534" s="439">
        <v>18378</v>
      </c>
      <c r="AC534" s="439">
        <v>211021.82</v>
      </c>
      <c r="AD534" s="439">
        <v>534240.01</v>
      </c>
      <c r="AE534" s="435">
        <f t="shared" si="537"/>
        <v>111571.37</v>
      </c>
      <c r="AF534" s="439">
        <f t="shared" si="592"/>
        <v>422043.64</v>
      </c>
      <c r="AG534" s="439"/>
      <c r="AH534" s="419">
        <f t="shared" si="565"/>
        <v>-645811.38</v>
      </c>
      <c r="AI534" s="439"/>
      <c r="AJ534" s="439"/>
      <c r="AK534" s="439">
        <f t="shared" si="593"/>
        <v>508751</v>
      </c>
      <c r="AL534" s="439">
        <f t="shared" si="594"/>
        <v>86707.359999999986</v>
      </c>
      <c r="AM534" s="439">
        <f t="shared" si="595"/>
        <v>-25489.010000000009</v>
      </c>
      <c r="AN534" s="438"/>
      <c r="AO534" s="438"/>
      <c r="AP534" s="438"/>
    </row>
    <row r="535" spans="1:42" ht="12.75">
      <c r="A535" s="412"/>
      <c r="B535" s="431"/>
      <c r="C535" s="432" t="s">
        <v>10988</v>
      </c>
      <c r="D535" s="433" t="s">
        <v>10993</v>
      </c>
      <c r="E535" s="434">
        <f>'PROSPETTO CE_IV TRIM 2024'!BM2488</f>
        <v>227983.87</v>
      </c>
      <c r="F535" s="439">
        <f t="shared" si="590"/>
        <v>227983.87</v>
      </c>
      <c r="G535" s="439">
        <v>39326.18</v>
      </c>
      <c r="H535" s="439">
        <v>224383.87</v>
      </c>
      <c r="I535" s="435">
        <f t="shared" si="572"/>
        <v>3600</v>
      </c>
      <c r="J535" s="435">
        <f t="shared" si="573"/>
        <v>4394</v>
      </c>
      <c r="K535" s="439">
        <v>223589.87</v>
      </c>
      <c r="L535" s="439">
        <v>223589.87</v>
      </c>
      <c r="M535" s="439">
        <f t="shared" si="574"/>
        <v>227983.87</v>
      </c>
      <c r="N535" s="439">
        <v>332531.17</v>
      </c>
      <c r="O535" s="439">
        <v>332531.17</v>
      </c>
      <c r="P535" s="440">
        <v>0</v>
      </c>
      <c r="Q535" s="439">
        <v>39326.18</v>
      </c>
      <c r="R535" s="439">
        <f t="shared" si="567"/>
        <v>-332531.17</v>
      </c>
      <c r="S535" s="439">
        <f t="shared" si="568"/>
        <v>-293204.99</v>
      </c>
      <c r="T535" s="441">
        <f>(F535-P535)/F535*100</f>
        <v>100</v>
      </c>
      <c r="U535" s="439">
        <v>0</v>
      </c>
      <c r="V535" s="439">
        <f t="shared" si="591"/>
        <v>0</v>
      </c>
      <c r="W535" s="439">
        <v>0</v>
      </c>
      <c r="X535" s="439">
        <v>39326.18</v>
      </c>
      <c r="Y535" s="435">
        <f t="shared" si="570"/>
        <v>248709.67636363633</v>
      </c>
      <c r="Z535" s="439">
        <v>0</v>
      </c>
      <c r="AA535" s="439">
        <v>0</v>
      </c>
      <c r="AB535" s="439">
        <v>0</v>
      </c>
      <c r="AC535" s="439">
        <v>0</v>
      </c>
      <c r="AD535" s="439">
        <v>39326.18</v>
      </c>
      <c r="AE535" s="435">
        <f t="shared" si="537"/>
        <v>188657.69</v>
      </c>
      <c r="AF535" s="439">
        <f t="shared" si="592"/>
        <v>0</v>
      </c>
      <c r="AG535" s="439"/>
      <c r="AH535" s="419">
        <f t="shared" si="565"/>
        <v>-227983.87</v>
      </c>
      <c r="AI535" s="439"/>
      <c r="AJ535" s="439"/>
      <c r="AK535" s="439">
        <f t="shared" si="593"/>
        <v>0</v>
      </c>
      <c r="AL535" s="439">
        <f t="shared" si="594"/>
        <v>0</v>
      </c>
      <c r="AM535" s="439">
        <f t="shared" si="595"/>
        <v>-39326.18</v>
      </c>
      <c r="AN535" s="438"/>
      <c r="AO535" s="438"/>
      <c r="AP535" s="438"/>
    </row>
    <row r="536" spans="1:42" ht="12.75">
      <c r="A536" s="412"/>
      <c r="B536" s="431"/>
      <c r="C536" s="432" t="s">
        <v>10994</v>
      </c>
      <c r="D536" s="433" t="s">
        <v>10997</v>
      </c>
      <c r="E536" s="434"/>
      <c r="F536" s="435">
        <f>+F537+F538+F539</f>
        <v>60048</v>
      </c>
      <c r="G536" s="435">
        <v>4205.25</v>
      </c>
      <c r="H536" s="435">
        <v>60048</v>
      </c>
      <c r="I536" s="435">
        <f t="shared" si="572"/>
        <v>0</v>
      </c>
      <c r="J536" s="435">
        <f t="shared" si="573"/>
        <v>0</v>
      </c>
      <c r="K536" s="435">
        <v>60048</v>
      </c>
      <c r="L536" s="435">
        <v>60048</v>
      </c>
      <c r="M536" s="435">
        <f t="shared" si="574"/>
        <v>60048</v>
      </c>
      <c r="N536" s="435">
        <v>60048</v>
      </c>
      <c r="O536" s="435">
        <v>60048</v>
      </c>
      <c r="P536" s="436">
        <v>0</v>
      </c>
      <c r="Q536" s="435">
        <f t="shared" ref="Q536" si="596">+Q537+Q538+Q539</f>
        <v>4205.25</v>
      </c>
      <c r="R536" s="435">
        <f t="shared" si="567"/>
        <v>-60048</v>
      </c>
      <c r="S536" s="435">
        <f t="shared" si="568"/>
        <v>-55842.75</v>
      </c>
      <c r="T536" s="437">
        <f>(F536-P536)/F536*100</f>
        <v>100</v>
      </c>
      <c r="U536" s="435">
        <v>0</v>
      </c>
      <c r="V536" s="435">
        <f>+V537+V538+V539</f>
        <v>0</v>
      </c>
      <c r="W536" s="435">
        <f>+W537+W538+W539</f>
        <v>0</v>
      </c>
      <c r="X536" s="435">
        <f t="shared" ref="X536" si="597">+X537+X538+X539</f>
        <v>4205.25</v>
      </c>
      <c r="Y536" s="435">
        <f t="shared" si="570"/>
        <v>65506.909090909088</v>
      </c>
      <c r="Z536" s="435">
        <v>0</v>
      </c>
      <c r="AA536" s="435">
        <v>0</v>
      </c>
      <c r="AB536" s="435">
        <f t="shared" ref="AB536:AM536" si="598">+AB537+AB538+AB539</f>
        <v>0</v>
      </c>
      <c r="AC536" s="435">
        <f t="shared" si="598"/>
        <v>0</v>
      </c>
      <c r="AD536" s="435">
        <f t="shared" si="598"/>
        <v>4205.25</v>
      </c>
      <c r="AE536" s="435">
        <f t="shared" si="537"/>
        <v>55842.75</v>
      </c>
      <c r="AF536" s="435">
        <f t="shared" si="598"/>
        <v>0</v>
      </c>
      <c r="AG536" s="435">
        <f t="shared" si="598"/>
        <v>0</v>
      </c>
      <c r="AH536" s="419">
        <f t="shared" si="565"/>
        <v>-60048</v>
      </c>
      <c r="AI536" s="435">
        <f t="shared" si="598"/>
        <v>0</v>
      </c>
      <c r="AJ536" s="435">
        <f t="shared" si="598"/>
        <v>0</v>
      </c>
      <c r="AK536" s="435">
        <f t="shared" si="598"/>
        <v>0</v>
      </c>
      <c r="AL536" s="435">
        <f t="shared" si="598"/>
        <v>0</v>
      </c>
      <c r="AM536" s="435">
        <f t="shared" si="598"/>
        <v>-4205.25</v>
      </c>
      <c r="AN536" s="438"/>
      <c r="AO536" s="438"/>
      <c r="AP536" s="438"/>
    </row>
    <row r="537" spans="1:42" ht="12.75">
      <c r="A537" s="412"/>
      <c r="B537" s="431"/>
      <c r="C537" s="432" t="s">
        <v>10998</v>
      </c>
      <c r="D537" s="433" t="s">
        <v>11002</v>
      </c>
      <c r="E537" s="434">
        <f>'PROSPETTO CE_IV TRIM 2024'!BM2490</f>
        <v>0</v>
      </c>
      <c r="F537" s="439">
        <f>+E537</f>
        <v>0</v>
      </c>
      <c r="G537" s="439">
        <v>0</v>
      </c>
      <c r="H537" s="439">
        <v>0</v>
      </c>
      <c r="I537" s="435">
        <f t="shared" si="572"/>
        <v>0</v>
      </c>
      <c r="J537" s="435">
        <f t="shared" si="573"/>
        <v>0</v>
      </c>
      <c r="K537" s="439">
        <v>0</v>
      </c>
      <c r="L537" s="439">
        <v>0</v>
      </c>
      <c r="M537" s="439">
        <f t="shared" si="574"/>
        <v>0</v>
      </c>
      <c r="N537" s="439">
        <v>0</v>
      </c>
      <c r="O537" s="439">
        <v>0</v>
      </c>
      <c r="P537" s="440">
        <v>0</v>
      </c>
      <c r="Q537" s="439">
        <v>0</v>
      </c>
      <c r="R537" s="439">
        <f t="shared" si="567"/>
        <v>0</v>
      </c>
      <c r="S537" s="439">
        <f t="shared" si="568"/>
        <v>0</v>
      </c>
      <c r="T537" s="441"/>
      <c r="U537" s="439">
        <v>0</v>
      </c>
      <c r="V537" s="439">
        <f>+AA537</f>
        <v>0</v>
      </c>
      <c r="W537" s="439">
        <v>0</v>
      </c>
      <c r="X537" s="439">
        <v>0</v>
      </c>
      <c r="Y537" s="435">
        <f t="shared" si="570"/>
        <v>0</v>
      </c>
      <c r="Z537" s="439">
        <v>0</v>
      </c>
      <c r="AA537" s="439">
        <v>0</v>
      </c>
      <c r="AB537" s="439">
        <v>0</v>
      </c>
      <c r="AC537" s="439">
        <v>0</v>
      </c>
      <c r="AD537" s="439">
        <v>0</v>
      </c>
      <c r="AE537" s="435">
        <f t="shared" si="537"/>
        <v>0</v>
      </c>
      <c r="AF537" s="439">
        <f>AC537*2</f>
        <v>0</v>
      </c>
      <c r="AG537" s="439">
        <v>0</v>
      </c>
      <c r="AH537" s="419">
        <f t="shared" si="565"/>
        <v>0</v>
      </c>
      <c r="AI537" s="439">
        <v>0</v>
      </c>
      <c r="AJ537" s="439">
        <v>0</v>
      </c>
      <c r="AK537" s="439">
        <f>AA537-W537</f>
        <v>0</v>
      </c>
      <c r="AL537" s="439">
        <f>AA537-AF537</f>
        <v>0</v>
      </c>
      <c r="AM537" s="439">
        <f>AA537-AD537</f>
        <v>0</v>
      </c>
      <c r="AN537" s="438"/>
      <c r="AO537" s="438"/>
      <c r="AP537" s="438"/>
    </row>
    <row r="538" spans="1:42" ht="25.5">
      <c r="A538" s="412"/>
      <c r="B538" s="431" t="s">
        <v>1519</v>
      </c>
      <c r="C538" s="432" t="s">
        <v>11003</v>
      </c>
      <c r="D538" s="433" t="s">
        <v>11008</v>
      </c>
      <c r="E538" s="434">
        <f>'PROSPETTO CE_IV TRIM 2024'!BM2491</f>
        <v>0</v>
      </c>
      <c r="F538" s="439">
        <f>+E538</f>
        <v>0</v>
      </c>
      <c r="G538" s="439">
        <v>0</v>
      </c>
      <c r="H538" s="439">
        <v>0</v>
      </c>
      <c r="I538" s="435">
        <f t="shared" si="572"/>
        <v>0</v>
      </c>
      <c r="J538" s="435">
        <f t="shared" si="573"/>
        <v>0</v>
      </c>
      <c r="K538" s="439">
        <v>0</v>
      </c>
      <c r="L538" s="439">
        <v>0</v>
      </c>
      <c r="M538" s="439">
        <f t="shared" si="574"/>
        <v>0</v>
      </c>
      <c r="N538" s="439">
        <v>0</v>
      </c>
      <c r="O538" s="439">
        <v>0</v>
      </c>
      <c r="P538" s="440">
        <v>0</v>
      </c>
      <c r="Q538" s="439">
        <v>0</v>
      </c>
      <c r="R538" s="439">
        <f t="shared" si="567"/>
        <v>0</v>
      </c>
      <c r="S538" s="439">
        <f t="shared" si="568"/>
        <v>0</v>
      </c>
      <c r="T538" s="441"/>
      <c r="U538" s="439">
        <v>0</v>
      </c>
      <c r="V538" s="439">
        <f>+AA538</f>
        <v>0</v>
      </c>
      <c r="W538" s="439">
        <v>0</v>
      </c>
      <c r="X538" s="439">
        <v>0</v>
      </c>
      <c r="Y538" s="435">
        <f t="shared" si="570"/>
        <v>0</v>
      </c>
      <c r="Z538" s="439">
        <v>0</v>
      </c>
      <c r="AA538" s="439">
        <v>0</v>
      </c>
      <c r="AB538" s="439">
        <v>0</v>
      </c>
      <c r="AC538" s="439">
        <v>0</v>
      </c>
      <c r="AD538" s="439">
        <v>0</v>
      </c>
      <c r="AE538" s="435">
        <f t="shared" si="537"/>
        <v>0</v>
      </c>
      <c r="AF538" s="439">
        <f>AC538*2</f>
        <v>0</v>
      </c>
      <c r="AG538" s="439">
        <v>0</v>
      </c>
      <c r="AH538" s="419">
        <f t="shared" si="565"/>
        <v>0</v>
      </c>
      <c r="AI538" s="439">
        <v>0</v>
      </c>
      <c r="AJ538" s="439">
        <v>0</v>
      </c>
      <c r="AK538" s="439">
        <f>AA538-W538</f>
        <v>0</v>
      </c>
      <c r="AL538" s="439">
        <f>AA538-AF538</f>
        <v>0</v>
      </c>
      <c r="AM538" s="439">
        <f>AA538-AD538</f>
        <v>0</v>
      </c>
      <c r="AN538" s="438"/>
      <c r="AO538" s="438"/>
      <c r="AP538" s="438"/>
    </row>
    <row r="539" spans="1:42" ht="12.75">
      <c r="A539" s="412"/>
      <c r="B539" s="431"/>
      <c r="C539" s="432" t="s">
        <v>11321</v>
      </c>
      <c r="D539" s="433" t="s">
        <v>11322</v>
      </c>
      <c r="E539" s="434"/>
      <c r="F539" s="435">
        <f>SUM(F540:F546)</f>
        <v>60048</v>
      </c>
      <c r="G539" s="435">
        <v>4205.25</v>
      </c>
      <c r="H539" s="435">
        <v>60048</v>
      </c>
      <c r="I539" s="435">
        <f t="shared" si="572"/>
        <v>0</v>
      </c>
      <c r="J539" s="435">
        <f t="shared" si="573"/>
        <v>0</v>
      </c>
      <c r="K539" s="435">
        <v>60048</v>
      </c>
      <c r="L539" s="435">
        <v>60048</v>
      </c>
      <c r="M539" s="435">
        <f t="shared" si="574"/>
        <v>60048</v>
      </c>
      <c r="N539" s="435">
        <v>60048</v>
      </c>
      <c r="O539" s="435">
        <v>60048</v>
      </c>
      <c r="P539" s="436">
        <v>0</v>
      </c>
      <c r="Q539" s="435">
        <f t="shared" ref="Q539" si="599">SUM(Q540:Q546)</f>
        <v>4205.25</v>
      </c>
      <c r="R539" s="435">
        <f t="shared" si="567"/>
        <v>-60048</v>
      </c>
      <c r="S539" s="435">
        <f t="shared" si="568"/>
        <v>-55842.75</v>
      </c>
      <c r="T539" s="437">
        <f>(F539-P539)/F539*100</f>
        <v>100</v>
      </c>
      <c r="U539" s="435">
        <v>0</v>
      </c>
      <c r="V539" s="435">
        <f>SUM(V540:V546)</f>
        <v>0</v>
      </c>
      <c r="W539" s="435">
        <f>SUM(W540:W546)</f>
        <v>0</v>
      </c>
      <c r="X539" s="435">
        <f t="shared" ref="X539" si="600">SUM(X540:X546)</f>
        <v>4205.25</v>
      </c>
      <c r="Y539" s="435">
        <f t="shared" si="570"/>
        <v>65506.909090909088</v>
      </c>
      <c r="Z539" s="435">
        <v>0</v>
      </c>
      <c r="AA539" s="435">
        <v>0</v>
      </c>
      <c r="AB539" s="435">
        <f t="shared" ref="AB539:AM539" si="601">SUM(AB540:AB546)</f>
        <v>0</v>
      </c>
      <c r="AC539" s="435">
        <f t="shared" si="601"/>
        <v>0</v>
      </c>
      <c r="AD539" s="435">
        <f t="shared" si="601"/>
        <v>4205.25</v>
      </c>
      <c r="AE539" s="435">
        <f t="shared" si="537"/>
        <v>55842.75</v>
      </c>
      <c r="AF539" s="435">
        <f t="shared" si="601"/>
        <v>0</v>
      </c>
      <c r="AG539" s="435">
        <f t="shared" si="601"/>
        <v>0</v>
      </c>
      <c r="AH539" s="419">
        <f t="shared" si="565"/>
        <v>-60048</v>
      </c>
      <c r="AI539" s="435">
        <f t="shared" si="601"/>
        <v>0</v>
      </c>
      <c r="AJ539" s="435">
        <f t="shared" si="601"/>
        <v>0</v>
      </c>
      <c r="AK539" s="435">
        <f t="shared" si="601"/>
        <v>0</v>
      </c>
      <c r="AL539" s="435">
        <f t="shared" si="601"/>
        <v>0</v>
      </c>
      <c r="AM539" s="435">
        <f t="shared" si="601"/>
        <v>-4205.25</v>
      </c>
      <c r="AN539" s="438"/>
      <c r="AO539" s="438"/>
      <c r="AP539" s="438"/>
    </row>
    <row r="540" spans="1:42" ht="25.5">
      <c r="A540" s="412"/>
      <c r="B540" s="431" t="s">
        <v>1349</v>
      </c>
      <c r="C540" s="432" t="s">
        <v>11009</v>
      </c>
      <c r="D540" s="433" t="s">
        <v>11014</v>
      </c>
      <c r="E540" s="434">
        <f>'PROSPETTO CE_IV TRIM 2024'!BM2492</f>
        <v>0</v>
      </c>
      <c r="F540" s="439">
        <f t="shared" ref="F540:F547" si="602">+E540</f>
        <v>0</v>
      </c>
      <c r="G540" s="439">
        <v>0</v>
      </c>
      <c r="H540" s="439">
        <v>0</v>
      </c>
      <c r="I540" s="435">
        <f t="shared" si="572"/>
        <v>0</v>
      </c>
      <c r="J540" s="435">
        <f t="shared" si="573"/>
        <v>0</v>
      </c>
      <c r="K540" s="439">
        <v>0</v>
      </c>
      <c r="L540" s="439">
        <v>0</v>
      </c>
      <c r="M540" s="439">
        <f t="shared" si="574"/>
        <v>0</v>
      </c>
      <c r="N540" s="439">
        <v>0</v>
      </c>
      <c r="O540" s="439">
        <v>0</v>
      </c>
      <c r="P540" s="440">
        <v>0</v>
      </c>
      <c r="Q540" s="439">
        <v>0</v>
      </c>
      <c r="R540" s="439">
        <f t="shared" si="567"/>
        <v>0</v>
      </c>
      <c r="S540" s="439">
        <f t="shared" si="568"/>
        <v>0</v>
      </c>
      <c r="T540" s="441"/>
      <c r="U540" s="439">
        <v>0</v>
      </c>
      <c r="V540" s="439">
        <f t="shared" ref="V540:V547" si="603">+AA540</f>
        <v>0</v>
      </c>
      <c r="W540" s="439">
        <v>0</v>
      </c>
      <c r="X540" s="439">
        <v>0</v>
      </c>
      <c r="Y540" s="435">
        <f t="shared" si="570"/>
        <v>0</v>
      </c>
      <c r="Z540" s="439">
        <v>0</v>
      </c>
      <c r="AA540" s="439">
        <v>0</v>
      </c>
      <c r="AB540" s="439">
        <v>0</v>
      </c>
      <c r="AC540" s="439">
        <v>0</v>
      </c>
      <c r="AD540" s="439">
        <v>0</v>
      </c>
      <c r="AE540" s="435">
        <f t="shared" si="537"/>
        <v>0</v>
      </c>
      <c r="AF540" s="439">
        <f t="shared" ref="AF540:AF547" si="604">AC540*2</f>
        <v>0</v>
      </c>
      <c r="AG540" s="439">
        <v>0</v>
      </c>
      <c r="AH540" s="419">
        <f t="shared" si="565"/>
        <v>0</v>
      </c>
      <c r="AI540" s="439">
        <v>0</v>
      </c>
      <c r="AJ540" s="439">
        <v>0</v>
      </c>
      <c r="AK540" s="439">
        <f t="shared" ref="AK540:AK547" si="605">AA540-W540</f>
        <v>0</v>
      </c>
      <c r="AL540" s="439">
        <f t="shared" ref="AL540:AL547" si="606">AA540-AF540</f>
        <v>0</v>
      </c>
      <c r="AM540" s="439">
        <f t="shared" ref="AM540:AM547" si="607">AA540-AD540</f>
        <v>0</v>
      </c>
      <c r="AN540" s="438"/>
      <c r="AO540" s="438"/>
      <c r="AP540" s="438"/>
    </row>
    <row r="541" spans="1:42" ht="12.75">
      <c r="A541" s="412"/>
      <c r="B541" s="431"/>
      <c r="C541" s="432" t="s">
        <v>11015</v>
      </c>
      <c r="D541" s="433" t="s">
        <v>11020</v>
      </c>
      <c r="E541" s="434">
        <f>'PROSPETTO CE_IV TRIM 2024'!BM2493</f>
        <v>0</v>
      </c>
      <c r="F541" s="439">
        <f t="shared" si="602"/>
        <v>0</v>
      </c>
      <c r="G541" s="439">
        <v>0</v>
      </c>
      <c r="H541" s="439">
        <v>0</v>
      </c>
      <c r="I541" s="435">
        <f t="shared" si="572"/>
        <v>0</v>
      </c>
      <c r="J541" s="435">
        <f t="shared" si="573"/>
        <v>0</v>
      </c>
      <c r="K541" s="439">
        <v>0</v>
      </c>
      <c r="L541" s="439">
        <v>0</v>
      </c>
      <c r="M541" s="439">
        <f t="shared" si="574"/>
        <v>0</v>
      </c>
      <c r="N541" s="439">
        <v>0</v>
      </c>
      <c r="O541" s="439">
        <v>0</v>
      </c>
      <c r="P541" s="440">
        <v>0</v>
      </c>
      <c r="Q541" s="439">
        <v>0</v>
      </c>
      <c r="R541" s="439">
        <f t="shared" si="567"/>
        <v>0</v>
      </c>
      <c r="S541" s="439">
        <f t="shared" si="568"/>
        <v>0</v>
      </c>
      <c r="T541" s="441"/>
      <c r="U541" s="439">
        <v>0</v>
      </c>
      <c r="V541" s="439">
        <f t="shared" si="603"/>
        <v>0</v>
      </c>
      <c r="W541" s="439">
        <v>0</v>
      </c>
      <c r="X541" s="439">
        <v>0</v>
      </c>
      <c r="Y541" s="435">
        <f t="shared" si="570"/>
        <v>0</v>
      </c>
      <c r="Z541" s="439">
        <v>0</v>
      </c>
      <c r="AA541" s="439">
        <v>0</v>
      </c>
      <c r="AB541" s="439">
        <v>0</v>
      </c>
      <c r="AC541" s="439">
        <v>0</v>
      </c>
      <c r="AD541" s="439">
        <v>0</v>
      </c>
      <c r="AE541" s="435">
        <f t="shared" si="537"/>
        <v>0</v>
      </c>
      <c r="AF541" s="439">
        <f t="shared" si="604"/>
        <v>0</v>
      </c>
      <c r="AG541" s="439">
        <v>0</v>
      </c>
      <c r="AH541" s="419">
        <f t="shared" si="565"/>
        <v>0</v>
      </c>
      <c r="AI541" s="439">
        <v>0</v>
      </c>
      <c r="AJ541" s="439">
        <v>0</v>
      </c>
      <c r="AK541" s="439">
        <f t="shared" si="605"/>
        <v>0</v>
      </c>
      <c r="AL541" s="439">
        <f t="shared" si="606"/>
        <v>0</v>
      </c>
      <c r="AM541" s="439">
        <f t="shared" si="607"/>
        <v>0</v>
      </c>
      <c r="AN541" s="438"/>
      <c r="AO541" s="438"/>
      <c r="AP541" s="438"/>
    </row>
    <row r="542" spans="1:42" ht="25.5">
      <c r="A542" s="412"/>
      <c r="B542" s="431"/>
      <c r="C542" s="432" t="s">
        <v>11021</v>
      </c>
      <c r="D542" s="433" t="s">
        <v>11026</v>
      </c>
      <c r="E542" s="434">
        <f>'PROSPETTO CE_IV TRIM 2024'!BM2494</f>
        <v>0</v>
      </c>
      <c r="F542" s="439">
        <f t="shared" si="602"/>
        <v>0</v>
      </c>
      <c r="G542" s="439">
        <v>0</v>
      </c>
      <c r="H542" s="439">
        <v>0</v>
      </c>
      <c r="I542" s="435">
        <f t="shared" si="572"/>
        <v>0</v>
      </c>
      <c r="J542" s="435">
        <f t="shared" si="573"/>
        <v>0</v>
      </c>
      <c r="K542" s="439">
        <v>0</v>
      </c>
      <c r="L542" s="439">
        <v>0</v>
      </c>
      <c r="M542" s="439">
        <f t="shared" si="574"/>
        <v>0</v>
      </c>
      <c r="N542" s="439">
        <v>0</v>
      </c>
      <c r="O542" s="439">
        <v>0</v>
      </c>
      <c r="P542" s="440">
        <v>0</v>
      </c>
      <c r="Q542" s="439">
        <v>0</v>
      </c>
      <c r="R542" s="439">
        <f t="shared" si="567"/>
        <v>0</v>
      </c>
      <c r="S542" s="439">
        <f t="shared" si="568"/>
        <v>0</v>
      </c>
      <c r="T542" s="441"/>
      <c r="U542" s="439">
        <v>0</v>
      </c>
      <c r="V542" s="439">
        <f t="shared" si="603"/>
        <v>0</v>
      </c>
      <c r="W542" s="439">
        <v>0</v>
      </c>
      <c r="X542" s="439">
        <v>0</v>
      </c>
      <c r="Y542" s="435">
        <f t="shared" si="570"/>
        <v>0</v>
      </c>
      <c r="Z542" s="439">
        <v>0</v>
      </c>
      <c r="AA542" s="439">
        <v>0</v>
      </c>
      <c r="AB542" s="439">
        <v>0</v>
      </c>
      <c r="AC542" s="439">
        <v>0</v>
      </c>
      <c r="AD542" s="439">
        <v>0</v>
      </c>
      <c r="AE542" s="435">
        <f t="shared" si="537"/>
        <v>0</v>
      </c>
      <c r="AF542" s="439">
        <f t="shared" si="604"/>
        <v>0</v>
      </c>
      <c r="AG542" s="439">
        <v>0</v>
      </c>
      <c r="AH542" s="419">
        <f t="shared" si="565"/>
        <v>0</v>
      </c>
      <c r="AI542" s="439">
        <v>0</v>
      </c>
      <c r="AJ542" s="439">
        <v>0</v>
      </c>
      <c r="AK542" s="439">
        <f t="shared" si="605"/>
        <v>0</v>
      </c>
      <c r="AL542" s="439">
        <f t="shared" si="606"/>
        <v>0</v>
      </c>
      <c r="AM542" s="439">
        <f t="shared" si="607"/>
        <v>0</v>
      </c>
      <c r="AN542" s="438"/>
      <c r="AO542" s="438"/>
      <c r="AP542" s="438"/>
    </row>
    <row r="543" spans="1:42" ht="25.5">
      <c r="A543" s="412"/>
      <c r="B543" s="431"/>
      <c r="C543" s="432" t="s">
        <v>11027</v>
      </c>
      <c r="D543" s="433" t="s">
        <v>11032</v>
      </c>
      <c r="E543" s="434">
        <f>'PROSPETTO CE_IV TRIM 2024'!BM2495</f>
        <v>0</v>
      </c>
      <c r="F543" s="439">
        <f t="shared" si="602"/>
        <v>0</v>
      </c>
      <c r="G543" s="439">
        <v>0</v>
      </c>
      <c r="H543" s="439">
        <v>0</v>
      </c>
      <c r="I543" s="435">
        <f t="shared" si="572"/>
        <v>0</v>
      </c>
      <c r="J543" s="435">
        <f t="shared" si="573"/>
        <v>0</v>
      </c>
      <c r="K543" s="439">
        <v>0</v>
      </c>
      <c r="L543" s="439">
        <v>0</v>
      </c>
      <c r="M543" s="439">
        <f t="shared" si="574"/>
        <v>0</v>
      </c>
      <c r="N543" s="439">
        <v>0</v>
      </c>
      <c r="O543" s="439">
        <v>0</v>
      </c>
      <c r="P543" s="440">
        <v>0</v>
      </c>
      <c r="Q543" s="439">
        <v>0</v>
      </c>
      <c r="R543" s="439">
        <f t="shared" si="567"/>
        <v>0</v>
      </c>
      <c r="S543" s="439">
        <f t="shared" si="568"/>
        <v>0</v>
      </c>
      <c r="T543" s="441"/>
      <c r="U543" s="439">
        <v>0</v>
      </c>
      <c r="V543" s="439">
        <f t="shared" si="603"/>
        <v>0</v>
      </c>
      <c r="W543" s="439">
        <v>0</v>
      </c>
      <c r="X543" s="439">
        <v>0</v>
      </c>
      <c r="Y543" s="435">
        <f t="shared" si="570"/>
        <v>0</v>
      </c>
      <c r="Z543" s="439">
        <v>0</v>
      </c>
      <c r="AA543" s="439">
        <v>0</v>
      </c>
      <c r="AB543" s="439">
        <v>0</v>
      </c>
      <c r="AC543" s="439">
        <v>0</v>
      </c>
      <c r="AD543" s="439">
        <v>0</v>
      </c>
      <c r="AE543" s="435">
        <f t="shared" si="537"/>
        <v>0</v>
      </c>
      <c r="AF543" s="439">
        <f t="shared" si="604"/>
        <v>0</v>
      </c>
      <c r="AG543" s="439">
        <v>0</v>
      </c>
      <c r="AH543" s="419">
        <f t="shared" si="565"/>
        <v>0</v>
      </c>
      <c r="AI543" s="439">
        <v>0</v>
      </c>
      <c r="AJ543" s="439">
        <v>0</v>
      </c>
      <c r="AK543" s="439">
        <f t="shared" si="605"/>
        <v>0</v>
      </c>
      <c r="AL543" s="439">
        <f t="shared" si="606"/>
        <v>0</v>
      </c>
      <c r="AM543" s="439">
        <f t="shared" si="607"/>
        <v>0</v>
      </c>
      <c r="AN543" s="438"/>
      <c r="AO543" s="438"/>
      <c r="AP543" s="438"/>
    </row>
    <row r="544" spans="1:42" ht="25.5">
      <c r="A544" s="412"/>
      <c r="B544" s="431"/>
      <c r="C544" s="432" t="s">
        <v>11033</v>
      </c>
      <c r="D544" s="433" t="s">
        <v>11038</v>
      </c>
      <c r="E544" s="434">
        <f>'PROSPETTO CE_IV TRIM 2024'!BM2496</f>
        <v>0</v>
      </c>
      <c r="F544" s="439">
        <f t="shared" si="602"/>
        <v>0</v>
      </c>
      <c r="G544" s="439">
        <v>0</v>
      </c>
      <c r="H544" s="439">
        <v>0</v>
      </c>
      <c r="I544" s="435">
        <f t="shared" si="572"/>
        <v>0</v>
      </c>
      <c r="J544" s="435">
        <f t="shared" si="573"/>
        <v>0</v>
      </c>
      <c r="K544" s="439">
        <v>0</v>
      </c>
      <c r="L544" s="439">
        <v>0</v>
      </c>
      <c r="M544" s="439">
        <f t="shared" si="574"/>
        <v>0</v>
      </c>
      <c r="N544" s="439">
        <v>0</v>
      </c>
      <c r="O544" s="439">
        <v>0</v>
      </c>
      <c r="P544" s="440">
        <v>0</v>
      </c>
      <c r="Q544" s="439">
        <v>0</v>
      </c>
      <c r="R544" s="439">
        <f t="shared" si="567"/>
        <v>0</v>
      </c>
      <c r="S544" s="439">
        <f t="shared" si="568"/>
        <v>0</v>
      </c>
      <c r="T544" s="441"/>
      <c r="U544" s="439">
        <v>0</v>
      </c>
      <c r="V544" s="439">
        <f t="shared" si="603"/>
        <v>0</v>
      </c>
      <c r="W544" s="439">
        <v>0</v>
      </c>
      <c r="X544" s="439">
        <v>0</v>
      </c>
      <c r="Y544" s="435">
        <f t="shared" si="570"/>
        <v>0</v>
      </c>
      <c r="Z544" s="439">
        <v>0</v>
      </c>
      <c r="AA544" s="439">
        <v>0</v>
      </c>
      <c r="AB544" s="439">
        <v>0</v>
      </c>
      <c r="AC544" s="439">
        <v>0</v>
      </c>
      <c r="AD544" s="439">
        <v>0</v>
      </c>
      <c r="AE544" s="435">
        <f t="shared" si="537"/>
        <v>0</v>
      </c>
      <c r="AF544" s="439">
        <f t="shared" si="604"/>
        <v>0</v>
      </c>
      <c r="AG544" s="439">
        <v>0</v>
      </c>
      <c r="AH544" s="419">
        <f t="shared" si="565"/>
        <v>0</v>
      </c>
      <c r="AI544" s="439">
        <v>0</v>
      </c>
      <c r="AJ544" s="439">
        <v>0</v>
      </c>
      <c r="AK544" s="439">
        <f t="shared" si="605"/>
        <v>0</v>
      </c>
      <c r="AL544" s="439">
        <f t="shared" si="606"/>
        <v>0</v>
      </c>
      <c r="AM544" s="439">
        <f t="shared" si="607"/>
        <v>0</v>
      </c>
      <c r="AN544" s="438"/>
      <c r="AO544" s="438"/>
      <c r="AP544" s="438"/>
    </row>
    <row r="545" spans="1:42" ht="25.5">
      <c r="A545" s="412"/>
      <c r="B545" s="431"/>
      <c r="C545" s="432" t="s">
        <v>11039</v>
      </c>
      <c r="D545" s="433" t="s">
        <v>11044</v>
      </c>
      <c r="E545" s="434">
        <f>'PROSPETTO CE_IV TRIM 2024'!BM2497</f>
        <v>0</v>
      </c>
      <c r="F545" s="439">
        <f t="shared" si="602"/>
        <v>0</v>
      </c>
      <c r="G545" s="439">
        <v>4205.25</v>
      </c>
      <c r="H545" s="439">
        <v>0</v>
      </c>
      <c r="I545" s="435">
        <f t="shared" si="572"/>
        <v>0</v>
      </c>
      <c r="J545" s="435">
        <f t="shared" si="573"/>
        <v>0</v>
      </c>
      <c r="K545" s="439">
        <v>0</v>
      </c>
      <c r="L545" s="439">
        <v>0</v>
      </c>
      <c r="M545" s="439">
        <f t="shared" si="574"/>
        <v>0</v>
      </c>
      <c r="N545" s="439">
        <v>0</v>
      </c>
      <c r="O545" s="439">
        <v>0</v>
      </c>
      <c r="P545" s="440">
        <v>0</v>
      </c>
      <c r="Q545" s="439">
        <v>4205.25</v>
      </c>
      <c r="R545" s="439">
        <f t="shared" si="567"/>
        <v>0</v>
      </c>
      <c r="S545" s="439">
        <f t="shared" si="568"/>
        <v>4205.25</v>
      </c>
      <c r="T545" s="441"/>
      <c r="U545" s="439">
        <v>0</v>
      </c>
      <c r="V545" s="439">
        <f t="shared" si="603"/>
        <v>0</v>
      </c>
      <c r="W545" s="439">
        <v>0</v>
      </c>
      <c r="X545" s="439">
        <v>4205.25</v>
      </c>
      <c r="Y545" s="435">
        <f t="shared" si="570"/>
        <v>0</v>
      </c>
      <c r="Z545" s="439">
        <v>0</v>
      </c>
      <c r="AA545" s="439">
        <v>0</v>
      </c>
      <c r="AB545" s="439">
        <v>0</v>
      </c>
      <c r="AC545" s="439">
        <v>0</v>
      </c>
      <c r="AD545" s="439">
        <v>4205.25</v>
      </c>
      <c r="AE545" s="435">
        <f t="shared" si="537"/>
        <v>-4205.25</v>
      </c>
      <c r="AF545" s="439">
        <f t="shared" si="604"/>
        <v>0</v>
      </c>
      <c r="AG545" s="439"/>
      <c r="AH545" s="419">
        <f t="shared" si="565"/>
        <v>0</v>
      </c>
      <c r="AI545" s="439"/>
      <c r="AJ545" s="439"/>
      <c r="AK545" s="439">
        <f t="shared" si="605"/>
        <v>0</v>
      </c>
      <c r="AL545" s="439">
        <f t="shared" si="606"/>
        <v>0</v>
      </c>
      <c r="AM545" s="439">
        <f t="shared" si="607"/>
        <v>-4205.25</v>
      </c>
      <c r="AN545" s="438"/>
      <c r="AO545" s="438"/>
      <c r="AP545" s="438"/>
    </row>
    <row r="546" spans="1:42" ht="12.75">
      <c r="A546" s="412"/>
      <c r="B546" s="431"/>
      <c r="C546" s="432" t="s">
        <v>11045</v>
      </c>
      <c r="D546" s="433" t="s">
        <v>11050</v>
      </c>
      <c r="E546" s="434">
        <f>'PROSPETTO CE_IV TRIM 2024'!BM2498</f>
        <v>60048</v>
      </c>
      <c r="F546" s="439">
        <f t="shared" si="602"/>
        <v>60048</v>
      </c>
      <c r="G546" s="439">
        <v>0</v>
      </c>
      <c r="H546" s="439">
        <v>60048</v>
      </c>
      <c r="I546" s="435">
        <f t="shared" si="572"/>
        <v>0</v>
      </c>
      <c r="J546" s="435">
        <f t="shared" si="573"/>
        <v>0</v>
      </c>
      <c r="K546" s="439">
        <v>60048</v>
      </c>
      <c r="L546" s="439">
        <v>60048</v>
      </c>
      <c r="M546" s="439">
        <f t="shared" si="574"/>
        <v>60048</v>
      </c>
      <c r="N546" s="439">
        <v>60048</v>
      </c>
      <c r="O546" s="439">
        <v>60048</v>
      </c>
      <c r="P546" s="440">
        <v>0</v>
      </c>
      <c r="Q546" s="439">
        <v>0</v>
      </c>
      <c r="R546" s="439">
        <f t="shared" si="567"/>
        <v>-60048</v>
      </c>
      <c r="S546" s="439">
        <f t="shared" si="568"/>
        <v>-60048</v>
      </c>
      <c r="T546" s="441">
        <f>(F546-P546)/F546*100</f>
        <v>100</v>
      </c>
      <c r="U546" s="439">
        <v>0</v>
      </c>
      <c r="V546" s="439">
        <f t="shared" si="603"/>
        <v>0</v>
      </c>
      <c r="W546" s="439">
        <v>0</v>
      </c>
      <c r="X546" s="439">
        <v>0</v>
      </c>
      <c r="Y546" s="435">
        <f t="shared" si="570"/>
        <v>65506.909090909088</v>
      </c>
      <c r="Z546" s="439">
        <v>0</v>
      </c>
      <c r="AA546" s="439">
        <v>0</v>
      </c>
      <c r="AB546" s="439">
        <v>0</v>
      </c>
      <c r="AC546" s="439">
        <v>0</v>
      </c>
      <c r="AD546" s="439">
        <v>0</v>
      </c>
      <c r="AE546" s="435">
        <f t="shared" si="537"/>
        <v>60048</v>
      </c>
      <c r="AF546" s="439">
        <f t="shared" si="604"/>
        <v>0</v>
      </c>
      <c r="AG546" s="439">
        <v>0</v>
      </c>
      <c r="AH546" s="419">
        <f t="shared" si="565"/>
        <v>-60048</v>
      </c>
      <c r="AI546" s="439">
        <v>0</v>
      </c>
      <c r="AJ546" s="439">
        <v>0</v>
      </c>
      <c r="AK546" s="439">
        <f t="shared" si="605"/>
        <v>0</v>
      </c>
      <c r="AL546" s="439">
        <f t="shared" si="606"/>
        <v>0</v>
      </c>
      <c r="AM546" s="439">
        <f t="shared" si="607"/>
        <v>0</v>
      </c>
      <c r="AN546" s="438"/>
      <c r="AO546" s="438"/>
      <c r="AP546" s="438"/>
    </row>
    <row r="547" spans="1:42" ht="12.75">
      <c r="A547" s="412"/>
      <c r="B547" s="431"/>
      <c r="C547" s="432" t="s">
        <v>11051</v>
      </c>
      <c r="D547" s="433" t="s">
        <v>11053</v>
      </c>
      <c r="E547" s="434">
        <f>'PROSPETTO CE_IV TRIM 2024'!BM2499</f>
        <v>0</v>
      </c>
      <c r="F547" s="439">
        <f t="shared" si="602"/>
        <v>0</v>
      </c>
      <c r="G547" s="439">
        <v>0</v>
      </c>
      <c r="H547" s="439">
        <v>0</v>
      </c>
      <c r="I547" s="435">
        <f t="shared" si="572"/>
        <v>0</v>
      </c>
      <c r="J547" s="435">
        <f t="shared" si="573"/>
        <v>0</v>
      </c>
      <c r="K547" s="439">
        <v>0</v>
      </c>
      <c r="L547" s="439">
        <v>0</v>
      </c>
      <c r="M547" s="439">
        <f t="shared" si="574"/>
        <v>0</v>
      </c>
      <c r="N547" s="439">
        <v>0</v>
      </c>
      <c r="O547" s="439">
        <v>0</v>
      </c>
      <c r="P547" s="440">
        <v>0</v>
      </c>
      <c r="Q547" s="439">
        <v>0</v>
      </c>
      <c r="R547" s="439">
        <f t="shared" si="567"/>
        <v>0</v>
      </c>
      <c r="S547" s="439">
        <f t="shared" si="568"/>
        <v>0</v>
      </c>
      <c r="T547" s="441"/>
      <c r="U547" s="439">
        <v>0</v>
      </c>
      <c r="V547" s="439">
        <f t="shared" si="603"/>
        <v>0</v>
      </c>
      <c r="W547" s="439">
        <v>0</v>
      </c>
      <c r="X547" s="439">
        <v>0</v>
      </c>
      <c r="Y547" s="435">
        <f t="shared" si="570"/>
        <v>0</v>
      </c>
      <c r="Z547" s="439">
        <v>0</v>
      </c>
      <c r="AA547" s="439">
        <v>0</v>
      </c>
      <c r="AB547" s="439">
        <v>0</v>
      </c>
      <c r="AC547" s="439">
        <v>0</v>
      </c>
      <c r="AD547" s="439">
        <v>0</v>
      </c>
      <c r="AE547" s="435">
        <f t="shared" si="537"/>
        <v>0</v>
      </c>
      <c r="AF547" s="439">
        <f t="shared" si="604"/>
        <v>0</v>
      </c>
      <c r="AG547" s="439">
        <v>0</v>
      </c>
      <c r="AH547" s="419">
        <f t="shared" si="565"/>
        <v>0</v>
      </c>
      <c r="AI547" s="439">
        <v>0</v>
      </c>
      <c r="AJ547" s="439">
        <v>0</v>
      </c>
      <c r="AK547" s="439">
        <f t="shared" si="605"/>
        <v>0</v>
      </c>
      <c r="AL547" s="439">
        <f t="shared" si="606"/>
        <v>0</v>
      </c>
      <c r="AM547" s="439">
        <f t="shared" si="607"/>
        <v>0</v>
      </c>
      <c r="AN547" s="438"/>
      <c r="AO547" s="438"/>
      <c r="AP547" s="438"/>
    </row>
    <row r="548" spans="1:42" s="455" customFormat="1" ht="12.75">
      <c r="A548" s="445"/>
      <c r="B548" s="446"/>
      <c r="C548" s="457" t="s">
        <v>11323</v>
      </c>
      <c r="D548" s="458" t="s">
        <v>11324</v>
      </c>
      <c r="E548" s="459"/>
      <c r="F548" s="451">
        <f>+F490-F516</f>
        <v>5658433.6800000016</v>
      </c>
      <c r="G548" s="451">
        <v>3034466.55</v>
      </c>
      <c r="H548" s="451">
        <v>-3286184.9700000007</v>
      </c>
      <c r="I548" s="435">
        <f t="shared" si="572"/>
        <v>8944618.6500000022</v>
      </c>
      <c r="J548" s="435">
        <f t="shared" si="573"/>
        <v>9212460.7100000009</v>
      </c>
      <c r="K548" s="451">
        <v>-3554027.03</v>
      </c>
      <c r="L548" s="451">
        <v>-3914290.9400000004</v>
      </c>
      <c r="M548" s="451">
        <f t="shared" si="574"/>
        <v>7518035.6300000018</v>
      </c>
      <c r="N548" s="451">
        <v>-6289077.0899999999</v>
      </c>
      <c r="O548" s="451">
        <v>-6289077.0899999999</v>
      </c>
      <c r="P548" s="460">
        <v>-1859601.9500000002</v>
      </c>
      <c r="Q548" s="451">
        <f>+Q490-Q516</f>
        <v>3034466.55</v>
      </c>
      <c r="R548" s="451">
        <f t="shared" si="567"/>
        <v>4429475.1399999997</v>
      </c>
      <c r="S548" s="451">
        <f t="shared" si="568"/>
        <v>9323543.6400000006</v>
      </c>
      <c r="T548" s="461">
        <f t="shared" ref="T548:T553" si="608">(F548-P548)/F548*100</f>
        <v>132.86425281563078</v>
      </c>
      <c r="U548" s="451">
        <v>-2914281.92</v>
      </c>
      <c r="V548" s="451">
        <f>+V490-V516</f>
        <v>-1859601.9500000002</v>
      </c>
      <c r="W548" s="451">
        <f>+W490-W516</f>
        <v>0</v>
      </c>
      <c r="X548" s="451">
        <f>+X490-X516</f>
        <v>3034466.55</v>
      </c>
      <c r="Y548" s="451">
        <f t="shared" si="570"/>
        <v>6172836.7418181831</v>
      </c>
      <c r="Z548" s="451">
        <v>-1821400.4624999999</v>
      </c>
      <c r="AA548" s="451">
        <v>-1859601.9500000002</v>
      </c>
      <c r="AB548" s="451">
        <f>+AB490-AB516</f>
        <v>-65149</v>
      </c>
      <c r="AC548" s="451">
        <f>+AC490-AC516</f>
        <v>-2801333.6150000002</v>
      </c>
      <c r="AD548" s="451">
        <f>+AD490-AD516</f>
        <v>3034466.55</v>
      </c>
      <c r="AE548" s="451">
        <f t="shared" si="537"/>
        <v>2623967.1300000018</v>
      </c>
      <c r="AF548" s="451">
        <f t="shared" ref="AF548:AM548" si="609">+AF490-AF516</f>
        <v>-5602667.2300000004</v>
      </c>
      <c r="AG548" s="451">
        <f t="shared" si="609"/>
        <v>0</v>
      </c>
      <c r="AH548" s="415">
        <f t="shared" si="565"/>
        <v>-5658433.6800000016</v>
      </c>
      <c r="AI548" s="451">
        <f t="shared" si="609"/>
        <v>0</v>
      </c>
      <c r="AJ548" s="451">
        <f t="shared" si="609"/>
        <v>0</v>
      </c>
      <c r="AK548" s="451">
        <f t="shared" si="609"/>
        <v>-1859601.9500000002</v>
      </c>
      <c r="AL548" s="451">
        <f t="shared" si="609"/>
        <v>3743065.2800000003</v>
      </c>
      <c r="AM548" s="451">
        <f t="shared" si="609"/>
        <v>-4894068.5</v>
      </c>
      <c r="AN548" s="454"/>
      <c r="AO548" s="454"/>
      <c r="AP548" s="454"/>
    </row>
    <row r="549" spans="1:42" s="455" customFormat="1" ht="12.75">
      <c r="A549" s="445"/>
      <c r="B549" s="446"/>
      <c r="C549" s="457" t="s">
        <v>11325</v>
      </c>
      <c r="D549" s="458" t="s">
        <v>11326</v>
      </c>
      <c r="E549" s="459"/>
      <c r="F549" s="451">
        <f>+F136-F468+F486+F489+F548</f>
        <v>9484695.8800000213</v>
      </c>
      <c r="G549" s="451">
        <v>8679608.1299998909</v>
      </c>
      <c r="H549" s="451">
        <v>9369982.6303931475</v>
      </c>
      <c r="I549" s="435">
        <f t="shared" si="572"/>
        <v>114713.24960687384</v>
      </c>
      <c r="J549" s="435">
        <f t="shared" si="573"/>
        <v>-44665.180393137038</v>
      </c>
      <c r="K549" s="451">
        <v>9529361.0603931583</v>
      </c>
      <c r="L549" s="451">
        <v>-74357736.86270687</v>
      </c>
      <c r="M549" s="451">
        <f t="shared" si="574"/>
        <v>73636718.7415943</v>
      </c>
      <c r="N549" s="451">
        <v>-73972457.633002281</v>
      </c>
      <c r="O549" s="451">
        <v>-75872352.276335657</v>
      </c>
      <c r="P549" s="460">
        <v>-64152022.861594282</v>
      </c>
      <c r="Q549" s="451">
        <f t="shared" ref="Q549" si="610">+Q136-Q468+Q486+Q489+Q548</f>
        <v>8679608.1299998909</v>
      </c>
      <c r="R549" s="451">
        <f t="shared" si="567"/>
        <v>9820434.7714079991</v>
      </c>
      <c r="S549" s="451">
        <f t="shared" si="568"/>
        <v>82652065.763002172</v>
      </c>
      <c r="T549" s="461">
        <f t="shared" si="608"/>
        <v>776.37406273477825</v>
      </c>
      <c r="U549" s="451">
        <v>-49618799.987129271</v>
      </c>
      <c r="V549" s="451">
        <f>+V136-V468+V486+V489+V548</f>
        <v>-64152022.861594282</v>
      </c>
      <c r="W549" s="451">
        <f>+W136-W468+W486+W489+W548</f>
        <v>9402853.9937086701</v>
      </c>
      <c r="X549" s="451">
        <f t="shared" ref="X549" si="611">+X136-X468+X486+X489+X548</f>
        <v>8679608.1299998909</v>
      </c>
      <c r="Y549" s="451">
        <f t="shared" si="570"/>
        <v>10346940.960000023</v>
      </c>
      <c r="Z549" s="451">
        <v>-73836472.364602536</v>
      </c>
      <c r="AA549" s="451">
        <v>-72339245.750714377</v>
      </c>
      <c r="AB549" s="451">
        <f t="shared" ref="AB549:AM549" si="612">+AB136-AB468+AB486+AB489+AB548</f>
        <v>-11819527.5</v>
      </c>
      <c r="AC549" s="451">
        <f t="shared" si="612"/>
        <v>-42160730.597751908</v>
      </c>
      <c r="AD549" s="451">
        <f t="shared" si="612"/>
        <v>8679608.1299998909</v>
      </c>
      <c r="AE549" s="451">
        <f t="shared" si="537"/>
        <v>805087.75000013039</v>
      </c>
      <c r="AF549" s="451">
        <f t="shared" si="612"/>
        <v>-86612286.79550381</v>
      </c>
      <c r="AG549" s="451">
        <f t="shared" si="612"/>
        <v>0</v>
      </c>
      <c r="AH549" s="415">
        <f t="shared" si="565"/>
        <v>-9484695.8800000213</v>
      </c>
      <c r="AI549" s="451">
        <f t="shared" si="612"/>
        <v>0</v>
      </c>
      <c r="AJ549" s="451">
        <f t="shared" si="612"/>
        <v>0</v>
      </c>
      <c r="AK549" s="451">
        <f t="shared" si="612"/>
        <v>-81742099.744423121</v>
      </c>
      <c r="AL549" s="451">
        <f t="shared" si="612"/>
        <v>14273041.044789352</v>
      </c>
      <c r="AM549" s="451">
        <f t="shared" si="612"/>
        <v>-81018853.880714387</v>
      </c>
      <c r="AN549" s="454"/>
      <c r="AO549" s="454"/>
      <c r="AP549" s="454"/>
    </row>
    <row r="550" spans="1:42" ht="12.75">
      <c r="A550" s="412"/>
      <c r="B550" s="431"/>
      <c r="C550" s="432" t="s">
        <v>11059</v>
      </c>
      <c r="D550" s="433" t="s">
        <v>11062</v>
      </c>
      <c r="E550" s="434"/>
      <c r="F550" s="435">
        <f t="shared" ref="F550:AM550" si="613">+F551+F552+F553+F554</f>
        <v>9335293.1999999974</v>
      </c>
      <c r="G550" s="435">
        <v>8548068.4000000004</v>
      </c>
      <c r="H550" s="435">
        <v>9240068.4701299779</v>
      </c>
      <c r="I550" s="435">
        <f t="shared" si="572"/>
        <v>95224.729870019481</v>
      </c>
      <c r="J550" s="435">
        <f t="shared" si="573"/>
        <v>95224.729870019481</v>
      </c>
      <c r="K550" s="435">
        <v>9240068.4701299779</v>
      </c>
      <c r="L550" s="435">
        <v>9243786.0301299784</v>
      </c>
      <c r="M550" s="435">
        <f t="shared" si="574"/>
        <v>169624.83917155117</v>
      </c>
      <c r="N550" s="435">
        <v>9309979.4901299793</v>
      </c>
      <c r="O550" s="435">
        <v>9309979.4901299793</v>
      </c>
      <c r="P550" s="436">
        <v>9165668.3608284462</v>
      </c>
      <c r="Q550" s="435">
        <f t="shared" ref="Q550" si="614">+Q551+Q552+Q553+Q554</f>
        <v>8548068.4000000004</v>
      </c>
      <c r="R550" s="435">
        <f t="shared" si="567"/>
        <v>-144311.1293015331</v>
      </c>
      <c r="S550" s="435">
        <f t="shared" si="568"/>
        <v>-761911.09012997895</v>
      </c>
      <c r="T550" s="437">
        <f t="shared" si="608"/>
        <v>1.8170274413186212</v>
      </c>
      <c r="U550" s="435">
        <v>6958986.0400974853</v>
      </c>
      <c r="V550" s="435">
        <f>+V551+V552+V553+V554</f>
        <v>9165668.3608284462</v>
      </c>
      <c r="W550" s="435">
        <f>+W551+W552+W553+W554</f>
        <v>9402854</v>
      </c>
      <c r="X550" s="435">
        <f t="shared" ref="X550" si="615">+X551+X552+X553+X554</f>
        <v>8548068.4000000004</v>
      </c>
      <c r="Y550" s="435">
        <f t="shared" si="570"/>
        <v>10183956.218181815</v>
      </c>
      <c r="Z550" s="435">
        <v>9165668.3608284462</v>
      </c>
      <c r="AA550" s="435">
        <v>9165668.3608284462</v>
      </c>
      <c r="AB550" s="435">
        <f t="shared" si="613"/>
        <v>2232506</v>
      </c>
      <c r="AC550" s="435">
        <f t="shared" si="613"/>
        <v>4698070.329804101</v>
      </c>
      <c r="AD550" s="435">
        <f t="shared" si="613"/>
        <v>8548068.4000000004</v>
      </c>
      <c r="AE550" s="435">
        <f t="shared" si="537"/>
        <v>787224.79999999702</v>
      </c>
      <c r="AF550" s="435">
        <f t="shared" si="613"/>
        <v>9396140.6596082021</v>
      </c>
      <c r="AG550" s="435">
        <f t="shared" si="613"/>
        <v>0</v>
      </c>
      <c r="AH550" s="419">
        <f t="shared" si="565"/>
        <v>-9335293.1999999974</v>
      </c>
      <c r="AI550" s="435">
        <f t="shared" si="613"/>
        <v>0</v>
      </c>
      <c r="AJ550" s="435">
        <f t="shared" si="613"/>
        <v>0</v>
      </c>
      <c r="AK550" s="435">
        <f t="shared" si="613"/>
        <v>-237185.63917155415</v>
      </c>
      <c r="AL550" s="435">
        <f t="shared" si="613"/>
        <v>-230472.29877975592</v>
      </c>
      <c r="AM550" s="435">
        <f t="shared" si="613"/>
        <v>617599.9608284455</v>
      </c>
      <c r="AN550" s="438"/>
      <c r="AO550" s="438"/>
      <c r="AP550" s="438"/>
    </row>
    <row r="551" spans="1:42" ht="12.75">
      <c r="A551" s="412"/>
      <c r="B551" s="431"/>
      <c r="C551" s="432" t="s">
        <v>11063</v>
      </c>
      <c r="D551" s="433" t="s">
        <v>11066</v>
      </c>
      <c r="E551" s="434">
        <f>'PROSPETTO CE_IV TRIM 2024'!BM2504</f>
        <v>8994231.5599999987</v>
      </c>
      <c r="F551" s="439">
        <f>+E551</f>
        <v>8994231.5599999987</v>
      </c>
      <c r="G551" s="439">
        <v>8204182.4400000004</v>
      </c>
      <c r="H551" s="439">
        <v>8899006.8334633112</v>
      </c>
      <c r="I551" s="435">
        <f t="shared" si="572"/>
        <v>95224.726536687464</v>
      </c>
      <c r="J551" s="435">
        <f t="shared" si="573"/>
        <v>95224.726536687464</v>
      </c>
      <c r="K551" s="439">
        <v>8899006.8334633112</v>
      </c>
      <c r="L551" s="439">
        <v>8899006.8334633112</v>
      </c>
      <c r="M551" s="439">
        <f t="shared" si="574"/>
        <v>-34709.650828447193</v>
      </c>
      <c r="N551" s="439">
        <v>8965200.2934633121</v>
      </c>
      <c r="O551" s="439">
        <v>8965200.2934633121</v>
      </c>
      <c r="P551" s="440">
        <v>9028941.2108284459</v>
      </c>
      <c r="Q551" s="439">
        <v>8204182.4400000004</v>
      </c>
      <c r="R551" s="439">
        <f t="shared" si="567"/>
        <v>63740.917365133762</v>
      </c>
      <c r="S551" s="439">
        <f t="shared" si="568"/>
        <v>-761017.85346331168</v>
      </c>
      <c r="T551" s="441">
        <f t="shared" si="608"/>
        <v>-0.38591013136476549</v>
      </c>
      <c r="U551" s="439">
        <v>6723900.220097485</v>
      </c>
      <c r="V551" s="439">
        <f>+AA551</f>
        <v>9028941.2108284459</v>
      </c>
      <c r="W551" s="439">
        <v>8840104</v>
      </c>
      <c r="X551" s="439">
        <v>8204182.4400000004</v>
      </c>
      <c r="Y551" s="435">
        <f t="shared" si="570"/>
        <v>9811888.9745454527</v>
      </c>
      <c r="Z551" s="439">
        <v>9028941.2108284459</v>
      </c>
      <c r="AA551" s="439">
        <v>9028941.2108284459</v>
      </c>
      <c r="AB551" s="439">
        <v>2063094</v>
      </c>
      <c r="AC551" s="439">
        <v>4599813.4198041009</v>
      </c>
      <c r="AD551" s="439">
        <v>8204182.4400000004</v>
      </c>
      <c r="AE551" s="435">
        <f t="shared" si="537"/>
        <v>790049.11999999825</v>
      </c>
      <c r="AF551" s="439">
        <f>AC551*2</f>
        <v>9199626.8396082018</v>
      </c>
      <c r="AG551" s="439"/>
      <c r="AH551" s="419">
        <f t="shared" si="565"/>
        <v>-8994231.5599999987</v>
      </c>
      <c r="AI551" s="439"/>
      <c r="AJ551" s="439"/>
      <c r="AK551" s="439">
        <f>AA551-W551</f>
        <v>188837.21082844585</v>
      </c>
      <c r="AL551" s="439">
        <f>AA551-AF551</f>
        <v>-170685.62877975591</v>
      </c>
      <c r="AM551" s="439">
        <f>AA551-AD551</f>
        <v>824758.77082844544</v>
      </c>
      <c r="AN551" s="438"/>
      <c r="AO551" s="438"/>
      <c r="AP551" s="438"/>
    </row>
    <row r="552" spans="1:42" ht="25.5">
      <c r="A552" s="412"/>
      <c r="B552" s="431"/>
      <c r="C552" s="432" t="s">
        <v>11078</v>
      </c>
      <c r="D552" s="433" t="s">
        <v>11081</v>
      </c>
      <c r="E552" s="434">
        <f>'PROSPETTO CE_IV TRIM 2024'!BM2511</f>
        <v>111517.27</v>
      </c>
      <c r="F552" s="439">
        <f>+E552</f>
        <v>111517.27</v>
      </c>
      <c r="G552" s="439">
        <v>146083.20000000001</v>
      </c>
      <c r="H552" s="439">
        <v>111517.26666666666</v>
      </c>
      <c r="I552" s="435">
        <f t="shared" si="572"/>
        <v>3.3333333412883803E-3</v>
      </c>
      <c r="J552" s="435">
        <f t="shared" si="573"/>
        <v>3.3333333412883803E-3</v>
      </c>
      <c r="K552" s="439">
        <v>111517.26666666666</v>
      </c>
      <c r="L552" s="439">
        <v>111517.26666666666</v>
      </c>
      <c r="M552" s="439">
        <f t="shared" si="574"/>
        <v>56011.770000000004</v>
      </c>
      <c r="N552" s="439">
        <v>111517.26666666666</v>
      </c>
      <c r="O552" s="439">
        <v>111517.26666666666</v>
      </c>
      <c r="P552" s="440">
        <v>55505.5</v>
      </c>
      <c r="Q552" s="439">
        <v>146083.20000000001</v>
      </c>
      <c r="R552" s="439">
        <f t="shared" si="567"/>
        <v>-56011.766666666663</v>
      </c>
      <c r="S552" s="439">
        <f t="shared" si="568"/>
        <v>34565.933333333349</v>
      </c>
      <c r="T552" s="441">
        <f t="shared" si="608"/>
        <v>50.226991747556241</v>
      </c>
      <c r="U552" s="439">
        <v>83637.95</v>
      </c>
      <c r="V552" s="439">
        <f>+AA552</f>
        <v>55505.5</v>
      </c>
      <c r="W552" s="439">
        <v>406083</v>
      </c>
      <c r="X552" s="439">
        <v>146083.20000000001</v>
      </c>
      <c r="Y552" s="435">
        <f t="shared" si="570"/>
        <v>121655.20363636364</v>
      </c>
      <c r="Z552" s="439">
        <v>55505.5</v>
      </c>
      <c r="AA552" s="439">
        <v>55505.5</v>
      </c>
      <c r="AB552" s="439">
        <v>22745</v>
      </c>
      <c r="AC552" s="439">
        <v>55505.5</v>
      </c>
      <c r="AD552" s="439">
        <v>146083.20000000001</v>
      </c>
      <c r="AE552" s="435">
        <f t="shared" si="537"/>
        <v>-34565.930000000008</v>
      </c>
      <c r="AF552" s="439">
        <f>AC552*2</f>
        <v>111011</v>
      </c>
      <c r="AG552" s="439"/>
      <c r="AH552" s="419">
        <f t="shared" si="565"/>
        <v>-111517.27</v>
      </c>
      <c r="AI552" s="439"/>
      <c r="AJ552" s="439"/>
      <c r="AK552" s="439">
        <f>AA552-W552</f>
        <v>-350577.5</v>
      </c>
      <c r="AL552" s="439">
        <f>AA552-AF552</f>
        <v>-55505.5</v>
      </c>
      <c r="AM552" s="439">
        <f>AA552-AD552</f>
        <v>-90577.700000000012</v>
      </c>
      <c r="AN552" s="438"/>
      <c r="AO552" s="438"/>
      <c r="AP552" s="438"/>
    </row>
    <row r="553" spans="1:42" ht="12.75">
      <c r="A553" s="412"/>
      <c r="B553" s="431"/>
      <c r="C553" s="432" t="s">
        <v>11092</v>
      </c>
      <c r="D553" s="433" t="s">
        <v>11327</v>
      </c>
      <c r="E553" s="434">
        <f>'PROSPETTO CE_IV TRIM 2024'!BM2518</f>
        <v>229544.37</v>
      </c>
      <c r="F553" s="439">
        <f>+E553</f>
        <v>229544.37</v>
      </c>
      <c r="G553" s="439">
        <v>197802.76</v>
      </c>
      <c r="H553" s="439">
        <v>229544.37</v>
      </c>
      <c r="I553" s="435">
        <f t="shared" si="572"/>
        <v>0</v>
      </c>
      <c r="J553" s="435">
        <f t="shared" si="573"/>
        <v>0</v>
      </c>
      <c r="K553" s="439">
        <v>229544.37</v>
      </c>
      <c r="L553" s="439">
        <v>233261.93</v>
      </c>
      <c r="M553" s="439">
        <f t="shared" si="574"/>
        <v>148322.72</v>
      </c>
      <c r="N553" s="439">
        <v>233261.93</v>
      </c>
      <c r="O553" s="439">
        <v>233261.93</v>
      </c>
      <c r="P553" s="440">
        <v>81221.649999999994</v>
      </c>
      <c r="Q553" s="439">
        <v>197802.76</v>
      </c>
      <c r="R553" s="439">
        <f t="shared" si="567"/>
        <v>-152040.28</v>
      </c>
      <c r="S553" s="439">
        <f t="shared" si="568"/>
        <v>-35459.169999999984</v>
      </c>
      <c r="T553" s="441">
        <f t="shared" si="608"/>
        <v>64.616143711126526</v>
      </c>
      <c r="U553" s="439">
        <v>151447.87</v>
      </c>
      <c r="V553" s="439">
        <f>+AA553</f>
        <v>81221.649999999994</v>
      </c>
      <c r="W553" s="439">
        <v>156667</v>
      </c>
      <c r="X553" s="439">
        <v>197802.76</v>
      </c>
      <c r="Y553" s="435">
        <f t="shared" si="570"/>
        <v>250412.03999999998</v>
      </c>
      <c r="Z553" s="439">
        <v>81221.649999999994</v>
      </c>
      <c r="AA553" s="439">
        <v>81221.649999999994</v>
      </c>
      <c r="AB553" s="439">
        <v>146667</v>
      </c>
      <c r="AC553" s="439">
        <v>42751.41</v>
      </c>
      <c r="AD553" s="439">
        <v>197802.76</v>
      </c>
      <c r="AE553" s="435">
        <f t="shared" si="537"/>
        <v>31741.609999999986</v>
      </c>
      <c r="AF553" s="439">
        <f>AC553*2</f>
        <v>85502.82</v>
      </c>
      <c r="AG553" s="439"/>
      <c r="AH553" s="419">
        <f t="shared" si="565"/>
        <v>-229544.37</v>
      </c>
      <c r="AI553" s="439"/>
      <c r="AJ553" s="439"/>
      <c r="AK553" s="439">
        <f>AA553-W553</f>
        <v>-75445.350000000006</v>
      </c>
      <c r="AL553" s="439">
        <f>AA553-AF553</f>
        <v>-4281.1700000000128</v>
      </c>
      <c r="AM553" s="439">
        <f>AA553-AD553</f>
        <v>-116581.11000000002</v>
      </c>
      <c r="AN553" s="438"/>
      <c r="AO553" s="438"/>
      <c r="AP553" s="438"/>
    </row>
    <row r="554" spans="1:42" ht="12.75">
      <c r="A554" s="412"/>
      <c r="B554" s="431"/>
      <c r="C554" s="432" t="s">
        <v>11098</v>
      </c>
      <c r="D554" s="433" t="s">
        <v>11328</v>
      </c>
      <c r="E554" s="434">
        <f>'PROSPETTO CE_IV TRIM 2024'!BM2521</f>
        <v>0</v>
      </c>
      <c r="F554" s="439">
        <f>+E554</f>
        <v>0</v>
      </c>
      <c r="G554" s="439">
        <v>0</v>
      </c>
      <c r="H554" s="439">
        <v>0</v>
      </c>
      <c r="I554" s="435">
        <f t="shared" si="572"/>
        <v>0</v>
      </c>
      <c r="J554" s="435">
        <f t="shared" si="573"/>
        <v>0</v>
      </c>
      <c r="K554" s="439">
        <v>0</v>
      </c>
      <c r="L554" s="439">
        <v>0</v>
      </c>
      <c r="M554" s="439">
        <f t="shared" si="574"/>
        <v>0</v>
      </c>
      <c r="N554" s="439">
        <v>0</v>
      </c>
      <c r="O554" s="439">
        <v>0</v>
      </c>
      <c r="P554" s="440">
        <v>0</v>
      </c>
      <c r="Q554" s="439">
        <v>0</v>
      </c>
      <c r="R554" s="439">
        <f t="shared" si="567"/>
        <v>0</v>
      </c>
      <c r="S554" s="439">
        <f t="shared" si="568"/>
        <v>0</v>
      </c>
      <c r="T554" s="441"/>
      <c r="U554" s="439">
        <v>0</v>
      </c>
      <c r="V554" s="439">
        <f>+AA554</f>
        <v>0</v>
      </c>
      <c r="W554" s="439">
        <v>0</v>
      </c>
      <c r="X554" s="439">
        <v>0</v>
      </c>
      <c r="Y554" s="435">
        <f t="shared" si="570"/>
        <v>0</v>
      </c>
      <c r="Z554" s="439">
        <v>0</v>
      </c>
      <c r="AA554" s="439">
        <v>0</v>
      </c>
      <c r="AB554" s="439">
        <v>0</v>
      </c>
      <c r="AC554" s="439">
        <v>0</v>
      </c>
      <c r="AD554" s="439">
        <v>0</v>
      </c>
      <c r="AE554" s="435">
        <f t="shared" si="537"/>
        <v>0</v>
      </c>
      <c r="AF554" s="439">
        <f>AC554*2</f>
        <v>0</v>
      </c>
      <c r="AG554" s="439">
        <v>0</v>
      </c>
      <c r="AH554" s="419">
        <f t="shared" si="565"/>
        <v>0</v>
      </c>
      <c r="AI554" s="439">
        <v>0</v>
      </c>
      <c r="AJ554" s="439">
        <v>0</v>
      </c>
      <c r="AK554" s="439">
        <f>AA554-W554</f>
        <v>0</v>
      </c>
      <c r="AL554" s="439">
        <f>AA554-AF554</f>
        <v>0</v>
      </c>
      <c r="AM554" s="439">
        <f>AA554-AD554</f>
        <v>0</v>
      </c>
      <c r="AN554" s="438"/>
      <c r="AO554" s="438"/>
      <c r="AP554" s="438"/>
    </row>
    <row r="555" spans="1:42" ht="12.75">
      <c r="A555" s="412"/>
      <c r="B555" s="431"/>
      <c r="C555" s="432" t="s">
        <v>11104</v>
      </c>
      <c r="D555" s="433" t="s">
        <v>11107</v>
      </c>
      <c r="E555" s="434"/>
      <c r="F555" s="435">
        <f>+F556+F557</f>
        <v>0</v>
      </c>
      <c r="G555" s="435">
        <v>0</v>
      </c>
      <c r="H555" s="435">
        <v>0</v>
      </c>
      <c r="I555" s="435">
        <f t="shared" si="572"/>
        <v>0</v>
      </c>
      <c r="J555" s="435">
        <f t="shared" si="573"/>
        <v>0</v>
      </c>
      <c r="K555" s="435">
        <v>0</v>
      </c>
      <c r="L555" s="435">
        <v>0</v>
      </c>
      <c r="M555" s="435">
        <f t="shared" si="574"/>
        <v>0</v>
      </c>
      <c r="N555" s="435">
        <v>0</v>
      </c>
      <c r="O555" s="435">
        <v>0</v>
      </c>
      <c r="P555" s="436">
        <v>0</v>
      </c>
      <c r="Q555" s="435">
        <f t="shared" ref="Q555" si="616">+Q556+Q557</f>
        <v>0</v>
      </c>
      <c r="R555" s="435">
        <f t="shared" si="567"/>
        <v>0</v>
      </c>
      <c r="S555" s="435">
        <f t="shared" si="568"/>
        <v>0</v>
      </c>
      <c r="T555" s="437"/>
      <c r="U555" s="435">
        <v>0</v>
      </c>
      <c r="V555" s="435">
        <f>+V556+V557</f>
        <v>0</v>
      </c>
      <c r="W555" s="435">
        <f>+W556+W557</f>
        <v>0</v>
      </c>
      <c r="X555" s="435">
        <f t="shared" ref="X555" si="617">+X556+X557</f>
        <v>0</v>
      </c>
      <c r="Y555" s="435">
        <f t="shared" si="570"/>
        <v>0</v>
      </c>
      <c r="Z555" s="435">
        <v>0</v>
      </c>
      <c r="AA555" s="435">
        <v>0</v>
      </c>
      <c r="AB555" s="435">
        <f t="shared" ref="AB555:AM555" si="618">+AB556+AB557</f>
        <v>0</v>
      </c>
      <c r="AC555" s="435">
        <f t="shared" si="618"/>
        <v>0</v>
      </c>
      <c r="AD555" s="435">
        <f t="shared" si="618"/>
        <v>0</v>
      </c>
      <c r="AE555" s="435">
        <f t="shared" ref="AE555:AE560" si="619">F555-AD555</f>
        <v>0</v>
      </c>
      <c r="AF555" s="435">
        <f t="shared" si="618"/>
        <v>0</v>
      </c>
      <c r="AG555" s="435">
        <f t="shared" si="618"/>
        <v>0</v>
      </c>
      <c r="AH555" s="419">
        <f t="shared" si="565"/>
        <v>0</v>
      </c>
      <c r="AI555" s="435">
        <f t="shared" si="618"/>
        <v>0</v>
      </c>
      <c r="AJ555" s="435">
        <f t="shared" si="618"/>
        <v>0</v>
      </c>
      <c r="AK555" s="435">
        <f t="shared" si="618"/>
        <v>0</v>
      </c>
      <c r="AL555" s="435">
        <f t="shared" si="618"/>
        <v>0</v>
      </c>
      <c r="AM555" s="435">
        <f t="shared" si="618"/>
        <v>0</v>
      </c>
      <c r="AN555" s="438"/>
      <c r="AO555" s="438"/>
      <c r="AP555" s="438"/>
    </row>
    <row r="556" spans="1:42" ht="12.75">
      <c r="A556" s="412"/>
      <c r="B556" s="431"/>
      <c r="C556" s="432" t="s">
        <v>11108</v>
      </c>
      <c r="D556" s="433" t="s">
        <v>11329</v>
      </c>
      <c r="E556" s="434">
        <f>'PROSPETTO CE_IV TRIM 2024'!BM2525</f>
        <v>0</v>
      </c>
      <c r="F556" s="439">
        <f>+E556</f>
        <v>0</v>
      </c>
      <c r="G556" s="439">
        <v>0</v>
      </c>
      <c r="H556" s="439">
        <v>0</v>
      </c>
      <c r="I556" s="435">
        <f t="shared" si="572"/>
        <v>0</v>
      </c>
      <c r="J556" s="435">
        <f t="shared" si="573"/>
        <v>0</v>
      </c>
      <c r="K556" s="439">
        <v>0</v>
      </c>
      <c r="L556" s="439">
        <v>0</v>
      </c>
      <c r="M556" s="439">
        <f t="shared" si="574"/>
        <v>0</v>
      </c>
      <c r="N556" s="439">
        <v>0</v>
      </c>
      <c r="O556" s="439">
        <v>0</v>
      </c>
      <c r="P556" s="440">
        <v>0</v>
      </c>
      <c r="Q556" s="439">
        <v>0</v>
      </c>
      <c r="R556" s="439">
        <f t="shared" si="567"/>
        <v>0</v>
      </c>
      <c r="S556" s="439">
        <f t="shared" si="568"/>
        <v>0</v>
      </c>
      <c r="T556" s="441"/>
      <c r="U556" s="439">
        <v>0</v>
      </c>
      <c r="V556" s="439">
        <f>+AA556</f>
        <v>0</v>
      </c>
      <c r="W556" s="439">
        <v>0</v>
      </c>
      <c r="X556" s="439">
        <v>0</v>
      </c>
      <c r="Y556" s="435">
        <f t="shared" si="570"/>
        <v>0</v>
      </c>
      <c r="Z556" s="439">
        <v>0</v>
      </c>
      <c r="AA556" s="439">
        <v>0</v>
      </c>
      <c r="AB556" s="439">
        <v>0</v>
      </c>
      <c r="AC556" s="439">
        <v>0</v>
      </c>
      <c r="AD556" s="439">
        <v>0</v>
      </c>
      <c r="AE556" s="435">
        <f t="shared" si="619"/>
        <v>0</v>
      </c>
      <c r="AF556" s="439">
        <f>AC556*2</f>
        <v>0</v>
      </c>
      <c r="AG556" s="439">
        <v>0</v>
      </c>
      <c r="AH556" s="419">
        <f t="shared" si="565"/>
        <v>0</v>
      </c>
      <c r="AI556" s="439">
        <v>0</v>
      </c>
      <c r="AJ556" s="439">
        <v>0</v>
      </c>
      <c r="AK556" s="439">
        <f>AA556-W556</f>
        <v>0</v>
      </c>
      <c r="AL556" s="439">
        <f>AA556-AF556</f>
        <v>0</v>
      </c>
      <c r="AM556" s="439">
        <f>AA556-AD556</f>
        <v>0</v>
      </c>
      <c r="AN556" s="438"/>
      <c r="AO556" s="438"/>
      <c r="AP556" s="438"/>
    </row>
    <row r="557" spans="1:42" ht="12.75">
      <c r="A557" s="412"/>
      <c r="B557" s="431"/>
      <c r="C557" s="432" t="s">
        <v>11114</v>
      </c>
      <c r="D557" s="433" t="s">
        <v>11330</v>
      </c>
      <c r="E557" s="434">
        <f>'PROSPETTO CE_IV TRIM 2024'!BM2528</f>
        <v>0</v>
      </c>
      <c r="F557" s="439">
        <f>+E557</f>
        <v>0</v>
      </c>
      <c r="G557" s="439">
        <v>0</v>
      </c>
      <c r="H557" s="439">
        <v>0</v>
      </c>
      <c r="I557" s="435">
        <f t="shared" si="572"/>
        <v>0</v>
      </c>
      <c r="J557" s="435">
        <f t="shared" si="573"/>
        <v>0</v>
      </c>
      <c r="K557" s="439">
        <v>0</v>
      </c>
      <c r="L557" s="439">
        <v>0</v>
      </c>
      <c r="M557" s="439">
        <f t="shared" si="574"/>
        <v>0</v>
      </c>
      <c r="N557" s="439">
        <v>0</v>
      </c>
      <c r="O557" s="439">
        <v>0</v>
      </c>
      <c r="P557" s="440">
        <v>0</v>
      </c>
      <c r="Q557" s="439">
        <v>0</v>
      </c>
      <c r="R557" s="439">
        <f t="shared" si="567"/>
        <v>0</v>
      </c>
      <c r="S557" s="439">
        <f t="shared" si="568"/>
        <v>0</v>
      </c>
      <c r="T557" s="441"/>
      <c r="U557" s="439">
        <v>0</v>
      </c>
      <c r="V557" s="439">
        <f>+AA557</f>
        <v>0</v>
      </c>
      <c r="W557" s="439">
        <v>0</v>
      </c>
      <c r="X557" s="439">
        <v>0</v>
      </c>
      <c r="Y557" s="435">
        <f t="shared" si="570"/>
        <v>0</v>
      </c>
      <c r="Z557" s="439">
        <v>0</v>
      </c>
      <c r="AA557" s="439">
        <v>0</v>
      </c>
      <c r="AB557" s="439">
        <v>0</v>
      </c>
      <c r="AC557" s="439">
        <v>0</v>
      </c>
      <c r="AD557" s="439">
        <v>0</v>
      </c>
      <c r="AE557" s="435">
        <f t="shared" si="619"/>
        <v>0</v>
      </c>
      <c r="AF557" s="439">
        <f>AC557*2</f>
        <v>0</v>
      </c>
      <c r="AG557" s="439">
        <v>0</v>
      </c>
      <c r="AH557" s="419">
        <f t="shared" si="565"/>
        <v>0</v>
      </c>
      <c r="AI557" s="439">
        <v>0</v>
      </c>
      <c r="AJ557" s="439">
        <v>0</v>
      </c>
      <c r="AK557" s="439">
        <f>AA557-W557</f>
        <v>0</v>
      </c>
      <c r="AL557" s="439">
        <f>AA557-AF557</f>
        <v>0</v>
      </c>
      <c r="AM557" s="439">
        <f>AA557-AD557</f>
        <v>0</v>
      </c>
      <c r="AN557" s="438"/>
      <c r="AO557" s="438"/>
      <c r="AP557" s="438"/>
    </row>
    <row r="558" spans="1:42" ht="25.5">
      <c r="A558" s="412"/>
      <c r="B558" s="431"/>
      <c r="C558" s="432" t="s">
        <v>11120</v>
      </c>
      <c r="D558" s="433" t="s">
        <v>11123</v>
      </c>
      <c r="E558" s="434">
        <f>'PROSPETTO CE_IV TRIM 2024'!BM2532</f>
        <v>0</v>
      </c>
      <c r="F558" s="439">
        <f>+E558</f>
        <v>0</v>
      </c>
      <c r="G558" s="439">
        <v>0</v>
      </c>
      <c r="H558" s="439">
        <v>0</v>
      </c>
      <c r="I558" s="435">
        <f t="shared" si="572"/>
        <v>0</v>
      </c>
      <c r="J558" s="435">
        <f t="shared" si="573"/>
        <v>0</v>
      </c>
      <c r="K558" s="439">
        <v>0</v>
      </c>
      <c r="L558" s="439">
        <v>0</v>
      </c>
      <c r="M558" s="439">
        <f t="shared" si="574"/>
        <v>0</v>
      </c>
      <c r="N558" s="439">
        <v>0</v>
      </c>
      <c r="O558" s="439">
        <v>0</v>
      </c>
      <c r="P558" s="440">
        <v>0</v>
      </c>
      <c r="Q558" s="439">
        <v>0</v>
      </c>
      <c r="R558" s="439">
        <f t="shared" si="567"/>
        <v>0</v>
      </c>
      <c r="S558" s="439">
        <f t="shared" si="568"/>
        <v>0</v>
      </c>
      <c r="T558" s="441"/>
      <c r="U558" s="439">
        <v>0</v>
      </c>
      <c r="V558" s="439">
        <f>+AA558</f>
        <v>0</v>
      </c>
      <c r="W558" s="439">
        <v>0</v>
      </c>
      <c r="X558" s="439">
        <v>0</v>
      </c>
      <c r="Y558" s="435">
        <f t="shared" si="570"/>
        <v>0</v>
      </c>
      <c r="Z558" s="439">
        <v>0</v>
      </c>
      <c r="AA558" s="439">
        <v>0</v>
      </c>
      <c r="AB558" s="439">
        <v>0</v>
      </c>
      <c r="AC558" s="439">
        <v>0</v>
      </c>
      <c r="AD558" s="439">
        <v>0</v>
      </c>
      <c r="AE558" s="435">
        <f t="shared" si="619"/>
        <v>0</v>
      </c>
      <c r="AF558" s="439">
        <f>AC558*2</f>
        <v>0</v>
      </c>
      <c r="AG558" s="439">
        <v>0</v>
      </c>
      <c r="AH558" s="419">
        <f t="shared" si="565"/>
        <v>0</v>
      </c>
      <c r="AI558" s="439">
        <v>0</v>
      </c>
      <c r="AJ558" s="439">
        <v>0</v>
      </c>
      <c r="AK558" s="439">
        <f>AA558-W558</f>
        <v>0</v>
      </c>
      <c r="AL558" s="439">
        <f>AA558-AF558</f>
        <v>0</v>
      </c>
      <c r="AM558" s="439">
        <f>AA558-AD558</f>
        <v>0</v>
      </c>
      <c r="AN558" s="438"/>
      <c r="AO558" s="438"/>
      <c r="AP558" s="438"/>
    </row>
    <row r="559" spans="1:42" s="455" customFormat="1" ht="12.75">
      <c r="A559" s="445"/>
      <c r="B559" s="446"/>
      <c r="C559" s="457" t="s">
        <v>11331</v>
      </c>
      <c r="D559" s="458" t="s">
        <v>11332</v>
      </c>
      <c r="E559" s="462"/>
      <c r="F559" s="451">
        <f t="shared" ref="F559:L559" si="620">+F550+F555+F558</f>
        <v>9335293.1999999974</v>
      </c>
      <c r="G559" s="451">
        <v>8548068.4000000004</v>
      </c>
      <c r="H559" s="451">
        <v>9240068.4701299779</v>
      </c>
      <c r="I559" s="435">
        <f t="shared" si="572"/>
        <v>95224.729870019481</v>
      </c>
      <c r="J559" s="435">
        <f t="shared" si="573"/>
        <v>95224.729870019481</v>
      </c>
      <c r="K559" s="451">
        <v>9240068.4701299779</v>
      </c>
      <c r="L559" s="451">
        <f t="shared" si="620"/>
        <v>9243786.0301299784</v>
      </c>
      <c r="M559" s="451">
        <f t="shared" si="574"/>
        <v>169624.83917155117</v>
      </c>
      <c r="N559" s="451">
        <v>9309979.4901299793</v>
      </c>
      <c r="O559" s="451">
        <v>9309979.4901299793</v>
      </c>
      <c r="P559" s="460">
        <v>9165668.3608284462</v>
      </c>
      <c r="Q559" s="451">
        <f t="shared" ref="Q559" si="621">+Q550+Q555+Q558</f>
        <v>8548068.4000000004</v>
      </c>
      <c r="R559" s="451">
        <f t="shared" si="567"/>
        <v>-144311.1293015331</v>
      </c>
      <c r="S559" s="451">
        <f t="shared" si="568"/>
        <v>-761911.09012997895</v>
      </c>
      <c r="T559" s="461">
        <f>(F559-P559)/F559*100</f>
        <v>1.8170274413186212</v>
      </c>
      <c r="U559" s="451">
        <v>6958986.0400974853</v>
      </c>
      <c r="V559" s="451">
        <f>+V550+V555+V558</f>
        <v>9165668.3608284462</v>
      </c>
      <c r="W559" s="451">
        <f>+W550+W555+W558</f>
        <v>9402854</v>
      </c>
      <c r="X559" s="451">
        <f t="shared" ref="X559" si="622">+X550+X555+X558</f>
        <v>8548068.4000000004</v>
      </c>
      <c r="Y559" s="451">
        <f t="shared" si="570"/>
        <v>10183956.218181815</v>
      </c>
      <c r="Z559" s="451">
        <v>9165668.3608284462</v>
      </c>
      <c r="AA559" s="451">
        <v>9165668.3608284462</v>
      </c>
      <c r="AB559" s="451">
        <f t="shared" ref="AB559:AM559" si="623">+AB550+AB555+AB558</f>
        <v>2232506</v>
      </c>
      <c r="AC559" s="451">
        <f t="shared" si="623"/>
        <v>4698070.329804101</v>
      </c>
      <c r="AD559" s="451">
        <f t="shared" si="623"/>
        <v>8548068.4000000004</v>
      </c>
      <c r="AE559" s="451">
        <f t="shared" si="619"/>
        <v>787224.79999999702</v>
      </c>
      <c r="AF559" s="451">
        <f t="shared" si="623"/>
        <v>9396140.6596082021</v>
      </c>
      <c r="AG559" s="451">
        <f t="shared" si="623"/>
        <v>0</v>
      </c>
      <c r="AH559" s="415">
        <f t="shared" si="565"/>
        <v>-9335293.1999999974</v>
      </c>
      <c r="AI559" s="451">
        <f t="shared" si="623"/>
        <v>0</v>
      </c>
      <c r="AJ559" s="451">
        <f t="shared" si="623"/>
        <v>0</v>
      </c>
      <c r="AK559" s="451">
        <f t="shared" si="623"/>
        <v>-237185.63917155415</v>
      </c>
      <c r="AL559" s="451">
        <f t="shared" si="623"/>
        <v>-230472.29877975592</v>
      </c>
      <c r="AM559" s="451">
        <f t="shared" si="623"/>
        <v>617599.9608284455</v>
      </c>
      <c r="AN559" s="454"/>
      <c r="AO559" s="454"/>
      <c r="AP559" s="454"/>
    </row>
    <row r="560" spans="1:42" ht="12.75">
      <c r="A560" s="412"/>
      <c r="B560" s="431"/>
      <c r="C560" s="432" t="s">
        <v>11333</v>
      </c>
      <c r="D560" s="433" t="s">
        <v>11334</v>
      </c>
      <c r="E560" s="463"/>
      <c r="F560" s="435">
        <f t="shared" ref="F560:AM560" si="624">+F549-F559</f>
        <v>149402.68000002392</v>
      </c>
      <c r="G560" s="435">
        <v>131539.72999989055</v>
      </c>
      <c r="H560" s="435">
        <v>129914.16026316956</v>
      </c>
      <c r="I560" s="435">
        <f t="shared" si="572"/>
        <v>19488.51973685436</v>
      </c>
      <c r="J560" s="435">
        <f t="shared" si="573"/>
        <v>-139889.91026315652</v>
      </c>
      <c r="K560" s="435">
        <v>289292.59026318043</v>
      </c>
      <c r="L560" s="435">
        <v>-83601522.892836854</v>
      </c>
      <c r="M560" s="435">
        <f t="shared" si="574"/>
        <v>73467093.902422756</v>
      </c>
      <c r="N560" s="435">
        <v>-83282437.123132259</v>
      </c>
      <c r="O560" s="435">
        <v>-85182331.766465634</v>
      </c>
      <c r="P560" s="436">
        <v>-73317691.222422734</v>
      </c>
      <c r="Q560" s="435">
        <f>+Q549-Q559</f>
        <v>131539.72999989055</v>
      </c>
      <c r="R560" s="435">
        <f t="shared" si="567"/>
        <v>9964745.9007095248</v>
      </c>
      <c r="S560" s="435">
        <f t="shared" si="568"/>
        <v>83413976.853132144</v>
      </c>
      <c r="T560" s="437">
        <f>(F560-P560)/F560*100</f>
        <v>49173.879546478682</v>
      </c>
      <c r="U560" s="435">
        <v>-56577786.027226754</v>
      </c>
      <c r="V560" s="464">
        <f>+V549-V559</f>
        <v>-73317691.222422734</v>
      </c>
      <c r="W560" s="435">
        <f>+W549-W559</f>
        <v>-6.2913298606872559E-3</v>
      </c>
      <c r="X560" s="435">
        <f t="shared" ref="X560" si="625">+X549-X559</f>
        <v>131539.72999989055</v>
      </c>
      <c r="Y560" s="435">
        <f t="shared" si="570"/>
        <v>162984.7418182079</v>
      </c>
      <c r="Z560" s="435">
        <v>-83002140.72543098</v>
      </c>
      <c r="AA560" s="435">
        <v>-81504914.111542821</v>
      </c>
      <c r="AB560" s="435">
        <f t="shared" si="624"/>
        <v>-14052033.5</v>
      </c>
      <c r="AC560" s="435">
        <f t="shared" si="624"/>
        <v>-46858800.927556008</v>
      </c>
      <c r="AD560" s="435">
        <f t="shared" si="624"/>
        <v>131539.72999989055</v>
      </c>
      <c r="AE560" s="435">
        <f t="shared" si="619"/>
        <v>17862.950000133365</v>
      </c>
      <c r="AF560" s="435">
        <f t="shared" si="624"/>
        <v>-96008427.45511201</v>
      </c>
      <c r="AG560" s="435">
        <f t="shared" si="624"/>
        <v>0</v>
      </c>
      <c r="AH560" s="419">
        <f t="shared" si="565"/>
        <v>-149402.68000002392</v>
      </c>
      <c r="AI560" s="435">
        <f t="shared" si="624"/>
        <v>0</v>
      </c>
      <c r="AJ560" s="435">
        <f t="shared" si="624"/>
        <v>0</v>
      </c>
      <c r="AK560" s="435">
        <f t="shared" si="624"/>
        <v>-81504914.105251566</v>
      </c>
      <c r="AL560" s="435">
        <f t="shared" si="624"/>
        <v>14503513.343569107</v>
      </c>
      <c r="AM560" s="435">
        <f t="shared" si="624"/>
        <v>-81636453.841542825</v>
      </c>
      <c r="AN560" s="438"/>
      <c r="AO560" s="438"/>
      <c r="AP560" s="438"/>
    </row>
    <row r="561" spans="1:41" ht="12.75">
      <c r="A561" s="412"/>
      <c r="B561" s="413"/>
      <c r="C561" s="413"/>
      <c r="D561" s="465"/>
      <c r="E561" s="413"/>
      <c r="P561" s="466"/>
      <c r="Q561" s="467"/>
      <c r="R561" s="467"/>
      <c r="S561" s="467"/>
      <c r="T561" s="468"/>
      <c r="U561" s="413"/>
      <c r="V561" s="467"/>
      <c r="W561" s="467"/>
      <c r="X561" s="467"/>
      <c r="Z561" s="413"/>
      <c r="AA561" s="467"/>
      <c r="AB561" s="467"/>
      <c r="AC561" s="467"/>
      <c r="AD561" s="467"/>
      <c r="AE561" s="467"/>
      <c r="AF561" s="467"/>
      <c r="AG561" s="467"/>
      <c r="AH561" s="419">
        <f t="shared" si="565"/>
        <v>0</v>
      </c>
      <c r="AI561" s="467"/>
      <c r="AJ561" s="467"/>
      <c r="AK561" s="467"/>
      <c r="AL561" s="467"/>
      <c r="AM561" s="467"/>
    </row>
    <row r="562" spans="1:41" ht="12.75">
      <c r="A562" s="412"/>
      <c r="B562" s="413"/>
      <c r="C562" s="413"/>
      <c r="D562" s="465"/>
      <c r="E562" s="413"/>
      <c r="L562" s="469"/>
      <c r="M562" s="469"/>
      <c r="N562" s="469">
        <f>E563-N560</f>
        <v>-991663.87686774135</v>
      </c>
      <c r="O562" s="469">
        <f>E563-O560</f>
        <v>908230.76646563411</v>
      </c>
      <c r="P562" s="466">
        <f>F560-P560</f>
        <v>73467093.902422756</v>
      </c>
      <c r="Q562" s="467"/>
      <c r="R562" s="467"/>
      <c r="S562" s="467"/>
      <c r="T562" s="468"/>
      <c r="U562" s="413"/>
      <c r="V562" s="467"/>
      <c r="W562" s="467"/>
      <c r="X562" s="467"/>
      <c r="Z562" s="413"/>
      <c r="AA562" s="467"/>
      <c r="AB562" s="467"/>
      <c r="AC562" s="467"/>
      <c r="AD562" s="467"/>
      <c r="AE562" s="467"/>
      <c r="AF562" s="467"/>
      <c r="AG562" s="467"/>
      <c r="AH562" s="419">
        <f>AG562-F570</f>
        <v>84423503.680000022</v>
      </c>
      <c r="AI562" s="467"/>
      <c r="AJ562" s="467"/>
      <c r="AK562" s="467"/>
      <c r="AL562" s="467"/>
      <c r="AM562" s="467"/>
    </row>
    <row r="563" spans="1:41" ht="12.75">
      <c r="A563" s="412"/>
      <c r="B563" s="413"/>
      <c r="C563" s="413"/>
      <c r="D563" s="470" t="s">
        <v>11335</v>
      </c>
      <c r="E563" s="471">
        <v>-84274101</v>
      </c>
      <c r="F563" s="413"/>
      <c r="G563" s="413"/>
      <c r="H563" s="413"/>
      <c r="I563" s="413"/>
      <c r="J563" s="413"/>
      <c r="K563" s="413"/>
      <c r="L563" s="413"/>
      <c r="M563" s="413"/>
      <c r="N563" s="413"/>
      <c r="O563" s="413"/>
      <c r="P563" s="472"/>
      <c r="Q563" s="413"/>
      <c r="R563" s="413"/>
      <c r="S563" s="413"/>
      <c r="T563" s="473"/>
      <c r="U563" s="413"/>
      <c r="V563" s="413"/>
      <c r="W563" s="413"/>
      <c r="X563" s="413"/>
      <c r="Y563" s="413"/>
      <c r="Z563" s="413"/>
      <c r="AA563" s="413"/>
      <c r="AB563" s="413"/>
      <c r="AC563" s="413"/>
      <c r="AD563" s="413"/>
      <c r="AE563" s="413"/>
      <c r="AF563" s="413"/>
      <c r="AG563" s="413"/>
      <c r="AH563" s="419">
        <f t="shared" si="565"/>
        <v>0</v>
      </c>
      <c r="AI563" s="413"/>
      <c r="AJ563" s="413"/>
      <c r="AK563" s="413"/>
      <c r="AL563" s="413"/>
      <c r="AM563" s="413"/>
      <c r="AN563" s="474"/>
    </row>
    <row r="564" spans="1:41" ht="12.75">
      <c r="A564" s="412"/>
      <c r="B564" s="413"/>
      <c r="C564" s="413"/>
      <c r="D564" s="465" t="s">
        <v>11336</v>
      </c>
      <c r="E564" s="475">
        <v>-73317691</v>
      </c>
      <c r="F564" s="476"/>
      <c r="G564" s="476"/>
      <c r="H564" s="476"/>
      <c r="I564" s="476"/>
      <c r="J564" s="476"/>
      <c r="K564" s="476">
        <v>73025000</v>
      </c>
      <c r="L564" s="413" t="s">
        <v>11337</v>
      </c>
      <c r="M564" s="413"/>
      <c r="N564" s="413"/>
      <c r="O564" s="477">
        <v>800000</v>
      </c>
      <c r="P564" s="472"/>
      <c r="Q564" s="413"/>
      <c r="R564" s="413"/>
      <c r="S564" s="413"/>
      <c r="T564" s="473"/>
      <c r="U564" s="413"/>
      <c r="V564" s="413"/>
      <c r="W564" s="413"/>
      <c r="X564" s="413"/>
      <c r="Y564" s="413"/>
      <c r="Z564" s="413"/>
      <c r="AA564" s="413"/>
      <c r="AB564" s="413"/>
      <c r="AC564" s="413"/>
      <c r="AD564" s="413"/>
      <c r="AE564" s="413"/>
      <c r="AF564" s="413"/>
      <c r="AG564" s="413"/>
      <c r="AH564" s="419">
        <f t="shared" si="565"/>
        <v>0</v>
      </c>
      <c r="AI564" s="413"/>
      <c r="AJ564" s="413"/>
      <c r="AK564" s="413"/>
      <c r="AL564" s="413"/>
      <c r="AM564" s="413"/>
      <c r="AN564" s="474"/>
    </row>
    <row r="565" spans="1:41" ht="12.75">
      <c r="A565" s="412"/>
      <c r="B565" s="413"/>
      <c r="C565" s="413"/>
      <c r="D565" s="478" t="s">
        <v>11338</v>
      </c>
      <c r="E565" s="479">
        <f>E563-E564</f>
        <v>-10956410</v>
      </c>
      <c r="F565" s="413"/>
      <c r="G565" s="413"/>
      <c r="H565" s="467">
        <f>F560-200000</f>
        <v>-50597.319999976084</v>
      </c>
      <c r="I565" s="413"/>
      <c r="J565" s="413"/>
      <c r="K565" s="413"/>
      <c r="L565" s="413"/>
      <c r="M565" s="413"/>
      <c r="N565" s="413"/>
      <c r="O565" s="477">
        <v>1000000</v>
      </c>
      <c r="P565" s="472"/>
      <c r="Q565" s="413"/>
      <c r="R565" s="413"/>
      <c r="S565" s="413"/>
      <c r="T565" s="473"/>
      <c r="U565" s="413"/>
      <c r="V565" s="413"/>
      <c r="W565" s="413"/>
      <c r="X565" s="413"/>
      <c r="Y565" s="413"/>
      <c r="Z565" s="413"/>
      <c r="AA565" s="413"/>
      <c r="AB565" s="413"/>
      <c r="AC565" s="413"/>
      <c r="AD565" s="413"/>
      <c r="AE565" s="413"/>
      <c r="AF565" s="413"/>
      <c r="AG565" s="413"/>
      <c r="AH565" s="419">
        <f t="shared" si="565"/>
        <v>0</v>
      </c>
      <c r="AI565" s="413"/>
      <c r="AJ565" s="413"/>
      <c r="AK565" s="413"/>
      <c r="AL565" s="413"/>
      <c r="AM565" s="413"/>
      <c r="AN565" s="474"/>
    </row>
    <row r="566" spans="1:41" ht="12.75">
      <c r="A566" s="412"/>
      <c r="B566" s="413"/>
      <c r="C566" s="413"/>
      <c r="D566" s="465"/>
      <c r="E566" s="476"/>
      <c r="F566" s="476"/>
      <c r="G566" s="476"/>
      <c r="H566" s="476"/>
      <c r="I566" s="476"/>
      <c r="J566" s="476"/>
      <c r="K566" s="476"/>
      <c r="L566" s="476"/>
      <c r="M566" s="476"/>
      <c r="N566" s="413"/>
      <c r="O566" s="480"/>
      <c r="P566" s="481"/>
      <c r="Q566" s="480"/>
      <c r="R566" s="413"/>
      <c r="S566" s="413"/>
      <c r="T566" s="473"/>
      <c r="U566" s="413"/>
      <c r="V566" s="413"/>
      <c r="W566" s="413"/>
      <c r="X566" s="413"/>
      <c r="Y566" s="476">
        <v>107534316.5</v>
      </c>
      <c r="Z566" s="476">
        <v>9813558</v>
      </c>
      <c r="AA566" s="476">
        <v>17167931</v>
      </c>
      <c r="AB566" s="480">
        <f>SUM(Y566:AA566)</f>
        <v>134515805.5</v>
      </c>
      <c r="AC566" s="413"/>
      <c r="AD566" s="413"/>
      <c r="AE566" s="413"/>
      <c r="AF566" s="413"/>
      <c r="AG566" s="413"/>
      <c r="AH566" s="419">
        <f t="shared" si="565"/>
        <v>0</v>
      </c>
      <c r="AI566" s="413"/>
      <c r="AJ566" s="413"/>
      <c r="AK566" s="413"/>
      <c r="AL566" s="413"/>
      <c r="AM566" s="413"/>
      <c r="AN566" s="474"/>
    </row>
    <row r="567" spans="1:41" ht="12.75">
      <c r="A567" s="412"/>
      <c r="B567" s="413"/>
      <c r="C567" s="413"/>
      <c r="D567" s="465"/>
      <c r="E567" s="482"/>
      <c r="F567" s="467"/>
      <c r="G567" s="467"/>
      <c r="H567" s="476"/>
      <c r="I567" s="476"/>
      <c r="J567" s="413"/>
      <c r="K567" s="413"/>
      <c r="L567" s="413"/>
      <c r="M567" s="413"/>
      <c r="N567" s="413"/>
      <c r="O567" s="477"/>
      <c r="P567" s="466"/>
      <c r="Q567" s="467"/>
      <c r="R567" s="467"/>
      <c r="S567" s="467"/>
      <c r="T567" s="468"/>
      <c r="U567" s="413"/>
      <c r="V567" s="467"/>
      <c r="W567" s="467"/>
      <c r="X567" s="467"/>
      <c r="Y567" s="476">
        <v>107338373.73</v>
      </c>
      <c r="Z567" s="476">
        <v>9846044.7100000009</v>
      </c>
      <c r="AA567" s="476">
        <v>17993885.43</v>
      </c>
      <c r="AB567" s="480">
        <f>SUM(Y567:AA567)</f>
        <v>135178303.87</v>
      </c>
      <c r="AC567" s="467"/>
      <c r="AD567" s="467"/>
      <c r="AE567" s="467"/>
      <c r="AF567" s="467"/>
      <c r="AG567" s="467"/>
      <c r="AH567" s="419">
        <f t="shared" si="565"/>
        <v>0</v>
      </c>
      <c r="AI567" s="467"/>
      <c r="AJ567" s="467"/>
      <c r="AK567" s="467"/>
      <c r="AL567" s="467"/>
      <c r="AM567" s="467"/>
      <c r="AN567" s="474"/>
    </row>
    <row r="568" spans="1:41" ht="12.75">
      <c r="A568" s="412"/>
      <c r="B568" s="413"/>
      <c r="C568" s="413"/>
      <c r="D568" s="465"/>
      <c r="E568" s="482"/>
      <c r="F568" s="480"/>
      <c r="G568" s="480"/>
      <c r="H568" s="480"/>
      <c r="I568" s="480"/>
      <c r="J568" s="480"/>
      <c r="K568" s="480"/>
      <c r="L568" s="480"/>
      <c r="M568" s="480"/>
      <c r="N568" s="413"/>
      <c r="O568" s="469"/>
      <c r="P568" s="483"/>
      <c r="Q568" s="413"/>
      <c r="R568" s="413"/>
      <c r="S568" s="413"/>
      <c r="T568" s="473"/>
      <c r="U568" s="413"/>
      <c r="V568" s="413"/>
      <c r="W568" s="413"/>
      <c r="X568" s="413"/>
      <c r="Z568" s="413"/>
      <c r="AA568" s="413"/>
      <c r="AB568" s="413"/>
      <c r="AC568" s="480">
        <f>AB567-AB566</f>
        <v>662498.37000000477</v>
      </c>
      <c r="AD568" s="413"/>
      <c r="AE568" s="413"/>
      <c r="AF568" s="413"/>
      <c r="AG568" s="413"/>
      <c r="AH568" s="419">
        <f t="shared" si="565"/>
        <v>0</v>
      </c>
      <c r="AI568" s="413"/>
      <c r="AJ568" s="413"/>
      <c r="AK568" s="413"/>
      <c r="AL568" s="413"/>
      <c r="AM568" s="413"/>
      <c r="AN568" s="474"/>
      <c r="AO568" s="484"/>
    </row>
    <row r="569" spans="1:41" ht="12.75">
      <c r="A569" s="412"/>
      <c r="B569" s="413"/>
      <c r="C569" s="413"/>
      <c r="D569" s="465"/>
      <c r="E569" s="482"/>
      <c r="F569" s="413"/>
      <c r="G569" s="413"/>
      <c r="H569" s="413"/>
      <c r="I569" s="413"/>
      <c r="J569" s="413"/>
      <c r="K569" s="413"/>
      <c r="L569" s="413"/>
      <c r="M569" s="413"/>
      <c r="N569" s="413"/>
      <c r="O569" s="413"/>
      <c r="P569" s="472"/>
      <c r="Q569" s="413"/>
      <c r="R569" s="413"/>
      <c r="S569" s="413"/>
      <c r="T569" s="473"/>
      <c r="U569" s="413"/>
      <c r="V569" s="413"/>
      <c r="W569" s="413"/>
      <c r="X569" s="413"/>
      <c r="Y569" s="480">
        <f>Y567-Y566</f>
        <v>-195942.76999999583</v>
      </c>
      <c r="Z569" s="480">
        <f>Z567-Z566</f>
        <v>32486.710000000894</v>
      </c>
      <c r="AA569" s="480">
        <f>AA567-AA566</f>
        <v>825954.4299999997</v>
      </c>
      <c r="AB569" s="480">
        <f>AB567-AB566</f>
        <v>662498.37000000477</v>
      </c>
      <c r="AC569" s="413"/>
      <c r="AD569" s="413"/>
      <c r="AE569" s="413"/>
      <c r="AF569" s="413"/>
      <c r="AG569" s="413"/>
      <c r="AH569" s="419">
        <f t="shared" si="565"/>
        <v>0</v>
      </c>
      <c r="AI569" s="413"/>
      <c r="AJ569" s="413"/>
      <c r="AK569" s="413"/>
      <c r="AL569" s="413"/>
      <c r="AM569" s="413"/>
      <c r="AN569" s="474"/>
    </row>
    <row r="570" spans="1:41" ht="12.75">
      <c r="A570" s="412"/>
      <c r="B570" s="413"/>
      <c r="C570" s="413"/>
      <c r="D570" s="465"/>
      <c r="E570" s="413"/>
      <c r="F570" s="469">
        <f>E563-F560</f>
        <v>-84423503.680000022</v>
      </c>
      <c r="G570" s="469"/>
      <c r="H570" s="469">
        <v>-129914.16026316956</v>
      </c>
      <c r="I570" s="469"/>
      <c r="J570" s="469"/>
      <c r="K570" s="469">
        <v>-84448332.060263157</v>
      </c>
      <c r="L570" s="413"/>
      <c r="M570" s="413"/>
      <c r="N570" s="413"/>
      <c r="O570" s="413"/>
      <c r="P570" s="472"/>
      <c r="Q570" s="413"/>
      <c r="R570" s="413"/>
      <c r="S570" s="413"/>
      <c r="T570" s="473"/>
      <c r="U570" s="413"/>
      <c r="V570" s="413"/>
      <c r="W570" s="413"/>
      <c r="X570" s="413"/>
      <c r="Y570" s="413"/>
      <c r="Z570" s="413"/>
      <c r="AA570" s="413"/>
      <c r="AB570" s="413"/>
      <c r="AC570" s="413"/>
      <c r="AD570" s="413"/>
      <c r="AE570" s="413"/>
      <c r="AF570" s="413"/>
      <c r="AG570" s="413"/>
      <c r="AH570" s="419" t="e">
        <f>AG570-#REF!</f>
        <v>#REF!</v>
      </c>
      <c r="AI570" s="413"/>
      <c r="AJ570" s="413"/>
      <c r="AK570" s="413"/>
      <c r="AL570" s="413"/>
      <c r="AM570" s="413"/>
    </row>
    <row r="571" spans="1:41" ht="12.75">
      <c r="A571" s="412"/>
      <c r="B571" s="413"/>
      <c r="C571" s="413"/>
      <c r="D571" s="465"/>
      <c r="E571" s="413"/>
      <c r="F571" s="476">
        <v>-85367502.384114593</v>
      </c>
      <c r="G571" s="476"/>
      <c r="H571" s="476">
        <v>-85367502.384114593</v>
      </c>
      <c r="I571" s="476"/>
      <c r="J571" s="476"/>
      <c r="K571" s="476">
        <v>-85367502.384114593</v>
      </c>
      <c r="L571" s="476"/>
      <c r="M571" s="476"/>
      <c r="N571" s="413"/>
      <c r="O571" s="413"/>
      <c r="P571" s="466">
        <f>F571-F560</f>
        <v>-85516905.064114615</v>
      </c>
      <c r="Q571" s="413"/>
      <c r="R571" s="413"/>
      <c r="S571" s="413"/>
      <c r="T571" s="473"/>
      <c r="U571" s="413"/>
      <c r="V571" s="413"/>
      <c r="W571" s="413"/>
      <c r="X571" s="413"/>
      <c r="Y571" s="413"/>
      <c r="Z571" s="413"/>
      <c r="AA571" s="413"/>
      <c r="AB571" s="413"/>
      <c r="AC571" s="413"/>
      <c r="AD571" s="413"/>
      <c r="AE571" s="413"/>
      <c r="AF571" s="413"/>
      <c r="AG571" s="413"/>
      <c r="AH571" s="419">
        <f t="shared" si="565"/>
        <v>85367502.384114593</v>
      </c>
      <c r="AI571" s="413"/>
      <c r="AJ571" s="413"/>
      <c r="AK571" s="413"/>
      <c r="AL571" s="413"/>
      <c r="AM571" s="413"/>
    </row>
    <row r="572" spans="1:41" ht="12.75">
      <c r="A572" s="412"/>
      <c r="B572" s="413"/>
      <c r="C572" s="413"/>
      <c r="D572" s="465"/>
      <c r="E572" s="413"/>
      <c r="F572" s="413"/>
      <c r="G572" s="413"/>
      <c r="H572" s="413"/>
      <c r="I572" s="413"/>
      <c r="J572" s="413"/>
      <c r="K572" s="413"/>
      <c r="L572" s="413"/>
      <c r="M572" s="413"/>
      <c r="N572" s="413"/>
      <c r="O572" s="413"/>
      <c r="P572" s="472"/>
      <c r="Q572" s="413"/>
      <c r="R572" s="413"/>
      <c r="S572" s="413"/>
      <c r="T572" s="473"/>
      <c r="U572" s="413"/>
      <c r="V572" s="413"/>
      <c r="W572" s="413"/>
      <c r="X572" s="413"/>
      <c r="Y572" s="413"/>
      <c r="Z572" s="413"/>
      <c r="AA572" s="413"/>
      <c r="AB572" s="413"/>
      <c r="AC572" s="413"/>
      <c r="AD572" s="413"/>
      <c r="AE572" s="413"/>
      <c r="AF572" s="413"/>
      <c r="AG572" s="413"/>
      <c r="AH572" s="419">
        <f t="shared" si="565"/>
        <v>0</v>
      </c>
      <c r="AI572" s="413"/>
      <c r="AJ572" s="413"/>
      <c r="AK572" s="413"/>
      <c r="AL572" s="413"/>
      <c r="AM572" s="413"/>
    </row>
    <row r="573" spans="1:41" ht="12.75">
      <c r="A573" s="412"/>
      <c r="B573" s="413"/>
      <c r="C573" s="413"/>
      <c r="D573" s="465"/>
      <c r="E573" s="413"/>
      <c r="F573" s="413"/>
      <c r="G573" s="413"/>
      <c r="H573" s="413"/>
      <c r="I573" s="413"/>
      <c r="J573" s="413"/>
      <c r="K573" s="413"/>
      <c r="L573" s="413"/>
      <c r="M573" s="413"/>
      <c r="N573" s="413"/>
      <c r="O573" s="413"/>
      <c r="P573" s="472"/>
      <c r="Q573" s="413"/>
      <c r="R573" s="413"/>
      <c r="S573" s="413"/>
      <c r="T573" s="473"/>
      <c r="U573" s="413"/>
      <c r="V573" s="413"/>
      <c r="W573" s="413"/>
      <c r="X573" s="413"/>
      <c r="Y573" s="476">
        <v>37236549</v>
      </c>
      <c r="Z573" s="413"/>
      <c r="AA573" s="413"/>
      <c r="AB573" s="413"/>
      <c r="AC573" s="413"/>
      <c r="AD573" s="413"/>
      <c r="AE573" s="413"/>
      <c r="AF573" s="413"/>
      <c r="AG573" s="413"/>
      <c r="AH573" s="419">
        <f t="shared" si="565"/>
        <v>0</v>
      </c>
      <c r="AI573" s="413"/>
      <c r="AJ573" s="413"/>
      <c r="AK573" s="413"/>
      <c r="AL573" s="413"/>
      <c r="AM573" s="413"/>
    </row>
    <row r="574" spans="1:41" ht="12.75">
      <c r="A574" s="412"/>
      <c r="B574" s="413"/>
      <c r="C574" s="413"/>
      <c r="D574" s="465"/>
      <c r="E574" s="413"/>
      <c r="F574" s="413"/>
      <c r="G574" s="413"/>
      <c r="H574" s="413"/>
      <c r="I574" s="413"/>
      <c r="J574" s="413"/>
      <c r="K574" s="413"/>
      <c r="L574" s="413"/>
      <c r="M574" s="413"/>
      <c r="N574" s="413"/>
      <c r="O574" s="413"/>
      <c r="P574" s="472"/>
      <c r="Q574" s="413"/>
      <c r="R574" s="413"/>
      <c r="S574" s="413"/>
      <c r="T574" s="473"/>
      <c r="U574" s="413"/>
      <c r="V574" s="413"/>
      <c r="W574" s="413"/>
      <c r="X574" s="413"/>
      <c r="Y574" s="476">
        <v>38490793</v>
      </c>
      <c r="Z574" s="413"/>
      <c r="AA574" s="413"/>
      <c r="AB574" s="413"/>
      <c r="AC574" s="413"/>
      <c r="AD574" s="413"/>
      <c r="AE574" s="413"/>
      <c r="AF574" s="413"/>
      <c r="AG574" s="413"/>
      <c r="AH574" s="419">
        <f t="shared" si="565"/>
        <v>0</v>
      </c>
      <c r="AI574" s="413"/>
      <c r="AJ574" s="413"/>
      <c r="AK574" s="413"/>
      <c r="AL574" s="413"/>
      <c r="AM574" s="413"/>
    </row>
    <row r="575" spans="1:41" ht="12.75">
      <c r="A575" s="412"/>
      <c r="B575" s="413"/>
      <c r="C575" s="413"/>
      <c r="D575" s="465"/>
      <c r="E575" s="413"/>
      <c r="F575" s="413"/>
      <c r="G575" s="413"/>
      <c r="H575" s="413"/>
      <c r="I575" s="413"/>
      <c r="J575" s="413"/>
      <c r="K575" s="413"/>
      <c r="L575" s="413"/>
      <c r="M575" s="413"/>
      <c r="N575" s="413"/>
      <c r="O575" s="413"/>
      <c r="P575" s="472"/>
      <c r="Q575" s="413"/>
      <c r="R575" s="413"/>
      <c r="S575" s="413"/>
      <c r="T575" s="473"/>
      <c r="U575" s="413"/>
      <c r="V575" s="413"/>
      <c r="W575" s="413"/>
      <c r="X575" s="413"/>
      <c r="Y575" s="476">
        <f>Y574-Y573</f>
        <v>1254244</v>
      </c>
      <c r="Z575" s="413"/>
      <c r="AA575" s="413"/>
      <c r="AB575" s="413"/>
      <c r="AC575" s="413"/>
      <c r="AD575" s="413"/>
      <c r="AE575" s="413"/>
      <c r="AF575" s="413"/>
      <c r="AG575" s="413"/>
      <c r="AH575" s="419">
        <f t="shared" si="565"/>
        <v>0</v>
      </c>
      <c r="AI575" s="413"/>
      <c r="AJ575" s="413"/>
      <c r="AK575" s="413"/>
      <c r="AL575" s="413"/>
      <c r="AM575" s="413"/>
    </row>
    <row r="576" spans="1:41" ht="12.75">
      <c r="A576" s="412"/>
      <c r="B576" s="413"/>
      <c r="C576" s="413"/>
      <c r="D576" s="465"/>
      <c r="E576" s="413"/>
      <c r="F576" s="413"/>
      <c r="G576" s="413"/>
      <c r="H576" s="413"/>
      <c r="I576" s="413"/>
      <c r="J576" s="413"/>
      <c r="K576" s="413"/>
      <c r="L576" s="413"/>
      <c r="M576" s="413"/>
      <c r="N576" s="413"/>
      <c r="O576" s="413"/>
      <c r="P576" s="472"/>
      <c r="Q576" s="413"/>
      <c r="R576" s="413"/>
      <c r="S576" s="413"/>
      <c r="T576" s="473"/>
      <c r="U576" s="413"/>
      <c r="V576" s="413"/>
      <c r="W576" s="413"/>
      <c r="X576" s="413"/>
      <c r="Y576" s="485">
        <v>303527.04800000001</v>
      </c>
      <c r="Z576" s="413"/>
      <c r="AA576" s="413"/>
      <c r="AB576" s="480">
        <f>AB569-Y575-Y576</f>
        <v>-895272.67799999518</v>
      </c>
      <c r="AC576" s="413"/>
      <c r="AD576" s="413"/>
      <c r="AE576" s="413"/>
      <c r="AF576" s="413"/>
      <c r="AG576" s="413"/>
      <c r="AH576" s="419">
        <f t="shared" si="565"/>
        <v>0</v>
      </c>
      <c r="AI576" s="413"/>
      <c r="AJ576" s="413"/>
      <c r="AK576" s="413"/>
      <c r="AL576" s="413"/>
      <c r="AM576" s="413"/>
    </row>
    <row r="577" spans="1:39" ht="12.75">
      <c r="A577" s="412"/>
      <c r="B577" s="413"/>
      <c r="C577" s="413"/>
      <c r="D577" s="465"/>
      <c r="E577" s="413"/>
      <c r="F577" s="413"/>
      <c r="G577" s="413"/>
      <c r="H577" s="413"/>
      <c r="I577" s="413"/>
      <c r="J577" s="413"/>
      <c r="K577" s="413"/>
      <c r="L577" s="413"/>
      <c r="M577" s="413"/>
      <c r="N577" s="413"/>
      <c r="O577" s="413"/>
      <c r="P577" s="472"/>
      <c r="Q577" s="413"/>
      <c r="R577" s="413"/>
      <c r="S577" s="413"/>
      <c r="T577" s="473"/>
      <c r="U577" s="413"/>
      <c r="V577" s="413"/>
      <c r="W577" s="413"/>
      <c r="X577" s="413"/>
      <c r="Y577" s="413"/>
      <c r="Z577" s="413"/>
      <c r="AA577" s="413"/>
      <c r="AB577" s="413"/>
      <c r="AC577" s="413"/>
      <c r="AD577" s="413"/>
      <c r="AE577" s="413"/>
      <c r="AF577" s="413"/>
      <c r="AG577" s="413"/>
      <c r="AH577" s="419">
        <f t="shared" si="565"/>
        <v>0</v>
      </c>
      <c r="AI577" s="413"/>
      <c r="AJ577" s="413"/>
      <c r="AK577" s="413"/>
      <c r="AL577" s="413"/>
      <c r="AM577" s="413"/>
    </row>
    <row r="578" spans="1:39" ht="12.75">
      <c r="A578" s="412"/>
      <c r="B578" s="413"/>
      <c r="C578" s="413"/>
      <c r="D578" s="465"/>
      <c r="E578" s="413"/>
      <c r="F578" s="413"/>
      <c r="G578" s="413"/>
      <c r="H578" s="413"/>
      <c r="I578" s="413"/>
      <c r="J578" s="413"/>
      <c r="K578" s="413"/>
      <c r="L578" s="413"/>
      <c r="M578" s="413"/>
      <c r="N578" s="413"/>
      <c r="O578" s="413"/>
      <c r="P578" s="472"/>
      <c r="Q578" s="413"/>
      <c r="R578" s="413"/>
      <c r="S578" s="413"/>
      <c r="T578" s="473"/>
      <c r="U578" s="413"/>
      <c r="V578" s="413"/>
      <c r="W578" s="413"/>
      <c r="X578" s="413"/>
      <c r="Y578" s="413"/>
      <c r="Z578" s="413"/>
      <c r="AA578" s="413"/>
      <c r="AB578" s="413"/>
      <c r="AC578" s="413"/>
      <c r="AD578" s="413"/>
      <c r="AE578" s="413"/>
      <c r="AF578" s="413"/>
      <c r="AG578" s="413"/>
      <c r="AH578" s="419">
        <f t="shared" ref="AH578:AH641" si="626">AG578-F578</f>
        <v>0</v>
      </c>
      <c r="AI578" s="413"/>
      <c r="AJ578" s="413"/>
      <c r="AK578" s="413"/>
      <c r="AL578" s="413"/>
      <c r="AM578" s="413"/>
    </row>
    <row r="579" spans="1:39" ht="12.75">
      <c r="A579" s="412"/>
      <c r="B579" s="413"/>
      <c r="C579" s="413"/>
      <c r="D579" s="465"/>
      <c r="E579" s="413"/>
      <c r="F579" s="413"/>
      <c r="G579" s="413"/>
      <c r="H579" s="413"/>
      <c r="I579" s="413"/>
      <c r="J579" s="413"/>
      <c r="K579" s="413"/>
      <c r="L579" s="413"/>
      <c r="M579" s="413"/>
      <c r="N579" s="413"/>
      <c r="O579" s="413"/>
      <c r="P579" s="472"/>
      <c r="Q579" s="413"/>
      <c r="R579" s="413"/>
      <c r="S579" s="413"/>
      <c r="T579" s="473"/>
      <c r="U579" s="413"/>
      <c r="V579" s="413"/>
      <c r="W579" s="413"/>
      <c r="X579" s="413"/>
      <c r="Y579" s="413"/>
      <c r="Z579" s="413"/>
      <c r="AA579" s="413"/>
      <c r="AB579" s="413"/>
      <c r="AC579" s="413"/>
      <c r="AD579" s="413"/>
      <c r="AE579" s="413"/>
      <c r="AF579" s="413"/>
      <c r="AG579" s="413"/>
      <c r="AH579" s="419">
        <f t="shared" si="626"/>
        <v>0</v>
      </c>
      <c r="AI579" s="413"/>
      <c r="AJ579" s="413"/>
      <c r="AK579" s="413"/>
      <c r="AL579" s="413"/>
      <c r="AM579" s="413"/>
    </row>
    <row r="580" spans="1:39" ht="12.75">
      <c r="A580" s="412"/>
      <c r="B580" s="413"/>
      <c r="C580" s="413"/>
      <c r="D580" s="465"/>
      <c r="E580" s="413"/>
      <c r="F580" s="413"/>
      <c r="G580" s="413"/>
      <c r="H580" s="413"/>
      <c r="I580" s="413"/>
      <c r="J580" s="413"/>
      <c r="K580" s="413"/>
      <c r="L580" s="413"/>
      <c r="M580" s="413"/>
      <c r="N580" s="413"/>
      <c r="O580" s="413"/>
      <c r="P580" s="472"/>
      <c r="Q580" s="413"/>
      <c r="R580" s="413"/>
      <c r="S580" s="413"/>
      <c r="T580" s="473"/>
      <c r="U580" s="413"/>
      <c r="V580" s="413"/>
      <c r="W580" s="413"/>
      <c r="X580" s="413"/>
      <c r="Y580" s="413"/>
      <c r="Z580" s="413"/>
      <c r="AA580" s="413"/>
      <c r="AB580" s="413"/>
      <c r="AC580" s="413"/>
      <c r="AD580" s="413"/>
      <c r="AE580" s="413"/>
      <c r="AF580" s="413"/>
      <c r="AG580" s="413"/>
      <c r="AH580" s="419">
        <f t="shared" si="626"/>
        <v>0</v>
      </c>
      <c r="AI580" s="413"/>
      <c r="AJ580" s="413"/>
      <c r="AK580" s="413"/>
      <c r="AL580" s="413"/>
      <c r="AM580" s="413"/>
    </row>
    <row r="581" spans="1:39" ht="12.75">
      <c r="A581" s="412"/>
      <c r="B581" s="413"/>
      <c r="C581" s="413"/>
      <c r="D581" s="465"/>
      <c r="E581" s="413"/>
      <c r="F581" s="413"/>
      <c r="G581" s="413"/>
      <c r="H581" s="413"/>
      <c r="I581" s="413"/>
      <c r="J581" s="413"/>
      <c r="K581" s="413"/>
      <c r="L581" s="413"/>
      <c r="M581" s="413"/>
      <c r="N581" s="413"/>
      <c r="O581" s="413"/>
      <c r="P581" s="472"/>
      <c r="Q581" s="413"/>
      <c r="R581" s="413"/>
      <c r="S581" s="413"/>
      <c r="T581" s="473"/>
      <c r="U581" s="413"/>
      <c r="V581" s="413"/>
      <c r="W581" s="413"/>
      <c r="X581" s="413"/>
      <c r="Y581" s="413"/>
      <c r="Z581" s="413"/>
      <c r="AA581" s="413"/>
      <c r="AB581" s="413"/>
      <c r="AC581" s="413"/>
      <c r="AD581" s="413"/>
      <c r="AE581" s="413"/>
      <c r="AF581" s="413"/>
      <c r="AG581" s="413"/>
      <c r="AH581" s="419">
        <f t="shared" si="626"/>
        <v>0</v>
      </c>
      <c r="AI581" s="413"/>
      <c r="AJ581" s="413"/>
      <c r="AK581" s="413"/>
      <c r="AL581" s="413"/>
      <c r="AM581" s="413"/>
    </row>
    <row r="582" spans="1:39" ht="12.75">
      <c r="A582" s="412"/>
      <c r="B582" s="413"/>
      <c r="C582" s="413"/>
      <c r="D582" s="465"/>
      <c r="E582" s="413"/>
      <c r="F582" s="413"/>
      <c r="G582" s="413"/>
      <c r="H582" s="413"/>
      <c r="I582" s="413"/>
      <c r="J582" s="413"/>
      <c r="K582" s="413"/>
      <c r="L582" s="413"/>
      <c r="M582" s="413"/>
      <c r="N582" s="413"/>
      <c r="O582" s="413"/>
      <c r="P582" s="472"/>
      <c r="Q582" s="413"/>
      <c r="R582" s="413"/>
      <c r="S582" s="413"/>
      <c r="T582" s="473"/>
      <c r="U582" s="413"/>
      <c r="V582" s="413"/>
      <c r="W582" s="413"/>
      <c r="X582" s="413"/>
      <c r="Y582" s="413"/>
      <c r="Z582" s="413"/>
      <c r="AA582" s="413"/>
      <c r="AB582" s="413"/>
      <c r="AC582" s="413"/>
      <c r="AD582" s="413"/>
      <c r="AE582" s="413"/>
      <c r="AF582" s="413"/>
      <c r="AG582" s="413"/>
      <c r="AH582" s="419">
        <f t="shared" si="626"/>
        <v>0</v>
      </c>
      <c r="AI582" s="413"/>
      <c r="AJ582" s="413"/>
      <c r="AK582" s="413"/>
      <c r="AL582" s="413"/>
      <c r="AM582" s="413"/>
    </row>
    <row r="583" spans="1:39" ht="12.75">
      <c r="A583" s="412"/>
      <c r="B583" s="413"/>
      <c r="C583" s="413"/>
      <c r="D583" s="465"/>
      <c r="E583" s="413"/>
      <c r="F583" s="413"/>
      <c r="G583" s="413"/>
      <c r="H583" s="413"/>
      <c r="I583" s="413"/>
      <c r="J583" s="413"/>
      <c r="K583" s="413"/>
      <c r="L583" s="413"/>
      <c r="M583" s="413"/>
      <c r="N583" s="413"/>
      <c r="O583" s="413"/>
      <c r="P583" s="472"/>
      <c r="Q583" s="413"/>
      <c r="R583" s="413"/>
      <c r="S583" s="413"/>
      <c r="T583" s="473"/>
      <c r="U583" s="413"/>
      <c r="V583" s="413"/>
      <c r="W583" s="413"/>
      <c r="X583" s="413"/>
      <c r="Y583" s="413"/>
      <c r="Z583" s="413"/>
      <c r="AA583" s="413"/>
      <c r="AB583" s="413"/>
      <c r="AC583" s="413"/>
      <c r="AD583" s="413"/>
      <c r="AE583" s="413"/>
      <c r="AF583" s="413"/>
      <c r="AG583" s="413"/>
      <c r="AH583" s="419">
        <f t="shared" si="626"/>
        <v>0</v>
      </c>
      <c r="AI583" s="413"/>
      <c r="AJ583" s="413"/>
      <c r="AK583" s="413"/>
      <c r="AL583" s="413"/>
      <c r="AM583" s="413"/>
    </row>
    <row r="584" spans="1:39" ht="12.75">
      <c r="A584" s="412"/>
      <c r="B584" s="413"/>
      <c r="C584" s="413"/>
      <c r="D584" s="465"/>
      <c r="E584" s="413"/>
      <c r="F584" s="413"/>
      <c r="G584" s="413"/>
      <c r="H584" s="413"/>
      <c r="I584" s="413"/>
      <c r="J584" s="413"/>
      <c r="K584" s="413"/>
      <c r="L584" s="413"/>
      <c r="M584" s="413"/>
      <c r="N584" s="413"/>
      <c r="O584" s="413"/>
      <c r="P584" s="472"/>
      <c r="Q584" s="413"/>
      <c r="R584" s="413"/>
      <c r="S584" s="413"/>
      <c r="T584" s="473"/>
      <c r="U584" s="413"/>
      <c r="V584" s="413"/>
      <c r="W584" s="413"/>
      <c r="X584" s="413"/>
      <c r="Y584" s="413"/>
      <c r="Z584" s="413"/>
      <c r="AA584" s="413"/>
      <c r="AB584" s="413"/>
      <c r="AC584" s="413"/>
      <c r="AD584" s="413"/>
      <c r="AE584" s="413"/>
      <c r="AF584" s="413"/>
      <c r="AG584" s="413"/>
      <c r="AH584" s="419">
        <f t="shared" si="626"/>
        <v>0</v>
      </c>
      <c r="AI584" s="413"/>
      <c r="AJ584" s="413"/>
      <c r="AK584" s="413"/>
      <c r="AL584" s="413"/>
      <c r="AM584" s="413"/>
    </row>
    <row r="585" spans="1:39" ht="12.75">
      <c r="A585" s="412"/>
      <c r="B585" s="413"/>
      <c r="C585" s="413"/>
      <c r="D585" s="465"/>
      <c r="E585" s="413"/>
      <c r="F585" s="413"/>
      <c r="G585" s="413"/>
      <c r="H585" s="413"/>
      <c r="I585" s="413"/>
      <c r="J585" s="413"/>
      <c r="K585" s="413"/>
      <c r="L585" s="413"/>
      <c r="M585" s="413"/>
      <c r="N585" s="413"/>
      <c r="O585" s="413"/>
      <c r="P585" s="472"/>
      <c r="Q585" s="413"/>
      <c r="R585" s="413"/>
      <c r="S585" s="413"/>
      <c r="T585" s="473"/>
      <c r="U585" s="413"/>
      <c r="V585" s="413"/>
      <c r="W585" s="413"/>
      <c r="X585" s="413"/>
      <c r="Y585" s="413"/>
      <c r="Z585" s="413"/>
      <c r="AA585" s="413"/>
      <c r="AB585" s="413"/>
      <c r="AC585" s="413"/>
      <c r="AD585" s="413"/>
      <c r="AE585" s="413"/>
      <c r="AF585" s="413"/>
      <c r="AG585" s="413"/>
      <c r="AH585" s="419">
        <f t="shared" si="626"/>
        <v>0</v>
      </c>
      <c r="AI585" s="413"/>
      <c r="AJ585" s="413"/>
      <c r="AK585" s="413"/>
      <c r="AL585" s="413"/>
      <c r="AM585" s="413"/>
    </row>
    <row r="586" spans="1:39" ht="12.75">
      <c r="A586" s="412"/>
      <c r="B586" s="413"/>
      <c r="C586" s="413"/>
      <c r="D586" s="465"/>
      <c r="E586" s="413"/>
      <c r="F586" s="413"/>
      <c r="G586" s="413"/>
      <c r="H586" s="413"/>
      <c r="I586" s="413"/>
      <c r="J586" s="413"/>
      <c r="K586" s="413"/>
      <c r="L586" s="413"/>
      <c r="M586" s="413"/>
      <c r="N586" s="413"/>
      <c r="O586" s="413"/>
      <c r="P586" s="472"/>
      <c r="Q586" s="413"/>
      <c r="R586" s="413"/>
      <c r="S586" s="413"/>
      <c r="T586" s="473"/>
      <c r="U586" s="413"/>
      <c r="V586" s="413"/>
      <c r="W586" s="413"/>
      <c r="X586" s="413"/>
      <c r="Y586" s="413"/>
      <c r="Z586" s="413"/>
      <c r="AA586" s="413"/>
      <c r="AB586" s="413"/>
      <c r="AC586" s="413"/>
      <c r="AD586" s="413"/>
      <c r="AE586" s="413"/>
      <c r="AF586" s="413"/>
      <c r="AG586" s="413"/>
      <c r="AH586" s="419">
        <f t="shared" si="626"/>
        <v>0</v>
      </c>
      <c r="AI586" s="413"/>
      <c r="AJ586" s="413"/>
      <c r="AK586" s="413"/>
      <c r="AL586" s="413"/>
      <c r="AM586" s="413"/>
    </row>
    <row r="587" spans="1:39" ht="12.75">
      <c r="A587" s="412"/>
      <c r="B587" s="413"/>
      <c r="C587" s="413"/>
      <c r="D587" s="465"/>
      <c r="E587" s="413"/>
      <c r="F587" s="413"/>
      <c r="G587" s="413"/>
      <c r="H587" s="413"/>
      <c r="I587" s="413"/>
      <c r="J587" s="413"/>
      <c r="K587" s="413"/>
      <c r="L587" s="413"/>
      <c r="M587" s="413"/>
      <c r="N587" s="413"/>
      <c r="O587" s="413"/>
      <c r="P587" s="472"/>
      <c r="Q587" s="413"/>
      <c r="R587" s="413"/>
      <c r="S587" s="413"/>
      <c r="T587" s="473"/>
      <c r="U587" s="413"/>
      <c r="V587" s="413"/>
      <c r="W587" s="413"/>
      <c r="X587" s="413"/>
      <c r="Y587" s="413"/>
      <c r="Z587" s="413"/>
      <c r="AA587" s="413"/>
      <c r="AB587" s="413"/>
      <c r="AC587" s="413"/>
      <c r="AD587" s="413"/>
      <c r="AE587" s="413"/>
      <c r="AF587" s="413"/>
      <c r="AG587" s="413"/>
      <c r="AH587" s="419">
        <f t="shared" si="626"/>
        <v>0</v>
      </c>
      <c r="AI587" s="413"/>
      <c r="AJ587" s="413"/>
      <c r="AK587" s="413"/>
      <c r="AL587" s="413"/>
      <c r="AM587" s="413"/>
    </row>
    <row r="588" spans="1:39" ht="12.75">
      <c r="A588" s="412"/>
      <c r="B588" s="413"/>
      <c r="C588" s="413"/>
      <c r="D588" s="465"/>
      <c r="E588" s="413"/>
      <c r="F588" s="413"/>
      <c r="G588" s="413"/>
      <c r="H588" s="413"/>
      <c r="I588" s="413"/>
      <c r="J588" s="413"/>
      <c r="K588" s="413"/>
      <c r="L588" s="413"/>
      <c r="M588" s="413"/>
      <c r="N588" s="413"/>
      <c r="O588" s="413"/>
      <c r="P588" s="472"/>
      <c r="Q588" s="413"/>
      <c r="R588" s="413"/>
      <c r="S588" s="413"/>
      <c r="T588" s="473"/>
      <c r="U588" s="413"/>
      <c r="V588" s="413"/>
      <c r="W588" s="413"/>
      <c r="X588" s="413"/>
      <c r="Y588" s="413"/>
      <c r="Z588" s="413"/>
      <c r="AA588" s="413"/>
      <c r="AB588" s="413"/>
      <c r="AC588" s="413"/>
      <c r="AD588" s="413"/>
      <c r="AE588" s="413"/>
      <c r="AF588" s="413"/>
      <c r="AG588" s="413"/>
      <c r="AH588" s="419">
        <f t="shared" si="626"/>
        <v>0</v>
      </c>
      <c r="AI588" s="413"/>
      <c r="AJ588" s="413"/>
      <c r="AK588" s="413"/>
      <c r="AL588" s="413"/>
      <c r="AM588" s="413"/>
    </row>
    <row r="589" spans="1:39" ht="12.75">
      <c r="A589" s="412"/>
      <c r="B589" s="413"/>
      <c r="C589" s="413"/>
      <c r="D589" s="465"/>
      <c r="E589" s="413"/>
      <c r="F589" s="413"/>
      <c r="G589" s="413"/>
      <c r="H589" s="413"/>
      <c r="I589" s="413"/>
      <c r="J589" s="413"/>
      <c r="K589" s="413"/>
      <c r="L589" s="413"/>
      <c r="M589" s="413"/>
      <c r="N589" s="413"/>
      <c r="O589" s="413"/>
      <c r="P589" s="472"/>
      <c r="Q589" s="413"/>
      <c r="R589" s="413"/>
      <c r="S589" s="413"/>
      <c r="T589" s="473"/>
      <c r="U589" s="413"/>
      <c r="V589" s="413"/>
      <c r="W589" s="413"/>
      <c r="X589" s="413"/>
      <c r="Y589" s="413"/>
      <c r="Z589" s="413"/>
      <c r="AA589" s="413"/>
      <c r="AB589" s="413"/>
      <c r="AC589" s="413"/>
      <c r="AD589" s="413"/>
      <c r="AE589" s="413"/>
      <c r="AF589" s="413"/>
      <c r="AG589" s="413"/>
      <c r="AH589" s="419">
        <f t="shared" si="626"/>
        <v>0</v>
      </c>
      <c r="AI589" s="413"/>
      <c r="AJ589" s="413"/>
      <c r="AK589" s="413"/>
      <c r="AL589" s="413"/>
      <c r="AM589" s="413"/>
    </row>
    <row r="590" spans="1:39" ht="12.75">
      <c r="A590" s="412"/>
      <c r="B590" s="413"/>
      <c r="C590" s="413"/>
      <c r="D590" s="465"/>
      <c r="E590" s="413"/>
      <c r="F590" s="413"/>
      <c r="G590" s="413"/>
      <c r="H590" s="413"/>
      <c r="I590" s="413"/>
      <c r="J590" s="413"/>
      <c r="K590" s="413"/>
      <c r="L590" s="413"/>
      <c r="M590" s="413"/>
      <c r="N590" s="413"/>
      <c r="O590" s="413"/>
      <c r="P590" s="472"/>
      <c r="Q590" s="413"/>
      <c r="R590" s="413"/>
      <c r="S590" s="413"/>
      <c r="T590" s="473"/>
      <c r="U590" s="413"/>
      <c r="V590" s="413"/>
      <c r="W590" s="413"/>
      <c r="X590" s="413"/>
      <c r="Y590" s="413"/>
      <c r="Z590" s="413"/>
      <c r="AA590" s="413"/>
      <c r="AB590" s="413"/>
      <c r="AC590" s="413"/>
      <c r="AD590" s="413"/>
      <c r="AE590" s="413"/>
      <c r="AF590" s="413"/>
      <c r="AG590" s="413"/>
      <c r="AH590" s="419">
        <f t="shared" si="626"/>
        <v>0</v>
      </c>
      <c r="AI590" s="413"/>
      <c r="AJ590" s="413"/>
      <c r="AK590" s="413"/>
      <c r="AL590" s="413"/>
      <c r="AM590" s="413"/>
    </row>
    <row r="591" spans="1:39" ht="12.75">
      <c r="A591" s="412"/>
      <c r="B591" s="413"/>
      <c r="C591" s="413"/>
      <c r="D591" s="465"/>
      <c r="E591" s="413"/>
      <c r="F591" s="413"/>
      <c r="G591" s="413"/>
      <c r="H591" s="413"/>
      <c r="I591" s="413"/>
      <c r="J591" s="413"/>
      <c r="K591" s="413"/>
      <c r="L591" s="413"/>
      <c r="M591" s="413"/>
      <c r="N591" s="413"/>
      <c r="O591" s="413"/>
      <c r="P591" s="472"/>
      <c r="Q591" s="413"/>
      <c r="R591" s="413"/>
      <c r="S591" s="413"/>
      <c r="T591" s="473"/>
      <c r="U591" s="413"/>
      <c r="V591" s="413"/>
      <c r="W591" s="413"/>
      <c r="X591" s="413"/>
      <c r="Y591" s="413"/>
      <c r="Z591" s="413"/>
      <c r="AA591" s="413"/>
      <c r="AB591" s="413"/>
      <c r="AC591" s="413"/>
      <c r="AD591" s="413"/>
      <c r="AE591" s="413"/>
      <c r="AF591" s="413"/>
      <c r="AG591" s="413"/>
      <c r="AH591" s="419">
        <f t="shared" si="626"/>
        <v>0</v>
      </c>
      <c r="AI591" s="413"/>
      <c r="AJ591" s="413"/>
      <c r="AK591" s="413"/>
      <c r="AL591" s="413"/>
      <c r="AM591" s="413"/>
    </row>
    <row r="592" spans="1:39" ht="12.75">
      <c r="A592" s="412"/>
      <c r="B592" s="413"/>
      <c r="C592" s="413"/>
      <c r="D592" s="465"/>
      <c r="E592" s="413"/>
      <c r="F592" s="413"/>
      <c r="G592" s="413"/>
      <c r="H592" s="413"/>
      <c r="I592" s="413"/>
      <c r="J592" s="413"/>
      <c r="K592" s="413"/>
      <c r="L592" s="413"/>
      <c r="M592" s="413"/>
      <c r="N592" s="413"/>
      <c r="O592" s="413"/>
      <c r="P592" s="472"/>
      <c r="Q592" s="413"/>
      <c r="R592" s="413"/>
      <c r="S592" s="413"/>
      <c r="T592" s="473"/>
      <c r="U592" s="413"/>
      <c r="V592" s="413"/>
      <c r="W592" s="413"/>
      <c r="X592" s="413"/>
      <c r="Y592" s="413"/>
      <c r="Z592" s="413"/>
      <c r="AA592" s="413"/>
      <c r="AB592" s="413"/>
      <c r="AC592" s="413"/>
      <c r="AD592" s="413"/>
      <c r="AE592" s="413"/>
      <c r="AF592" s="413"/>
      <c r="AG592" s="413"/>
      <c r="AH592" s="419">
        <f t="shared" si="626"/>
        <v>0</v>
      </c>
      <c r="AI592" s="413"/>
      <c r="AJ592" s="413"/>
      <c r="AK592" s="413"/>
      <c r="AL592" s="413"/>
      <c r="AM592" s="413"/>
    </row>
    <row r="593" spans="1:39" ht="12.75">
      <c r="A593" s="412"/>
      <c r="B593" s="413"/>
      <c r="C593" s="413"/>
      <c r="D593" s="465"/>
      <c r="E593" s="413"/>
      <c r="F593" s="413"/>
      <c r="G593" s="413"/>
      <c r="H593" s="413"/>
      <c r="I593" s="413"/>
      <c r="J593" s="413"/>
      <c r="K593" s="413"/>
      <c r="L593" s="413"/>
      <c r="M593" s="413"/>
      <c r="N593" s="413"/>
      <c r="O593" s="413"/>
      <c r="P593" s="472"/>
      <c r="Q593" s="413"/>
      <c r="R593" s="413"/>
      <c r="S593" s="413"/>
      <c r="T593" s="473"/>
      <c r="U593" s="413"/>
      <c r="V593" s="413"/>
      <c r="W593" s="413"/>
      <c r="X593" s="413"/>
      <c r="Y593" s="413"/>
      <c r="Z593" s="413"/>
      <c r="AA593" s="413"/>
      <c r="AB593" s="413"/>
      <c r="AC593" s="413"/>
      <c r="AD593" s="413"/>
      <c r="AE593" s="413"/>
      <c r="AF593" s="413"/>
      <c r="AG593" s="413"/>
      <c r="AH593" s="419">
        <f t="shared" si="626"/>
        <v>0</v>
      </c>
      <c r="AI593" s="413"/>
      <c r="AJ593" s="413"/>
      <c r="AK593" s="413"/>
      <c r="AL593" s="413"/>
      <c r="AM593" s="413"/>
    </row>
    <row r="594" spans="1:39" ht="12.75">
      <c r="A594" s="412"/>
      <c r="B594" s="413"/>
      <c r="C594" s="413"/>
      <c r="D594" s="465"/>
      <c r="E594" s="413"/>
      <c r="F594" s="413"/>
      <c r="G594" s="413"/>
      <c r="H594" s="413"/>
      <c r="I594" s="413"/>
      <c r="J594" s="413"/>
      <c r="K594" s="413"/>
      <c r="L594" s="413"/>
      <c r="M594" s="413"/>
      <c r="N594" s="413"/>
      <c r="O594" s="413"/>
      <c r="P594" s="472"/>
      <c r="Q594" s="413"/>
      <c r="R594" s="413"/>
      <c r="S594" s="413"/>
      <c r="T594" s="473"/>
      <c r="U594" s="413"/>
      <c r="V594" s="413"/>
      <c r="W594" s="413"/>
      <c r="X594" s="413"/>
      <c r="Y594" s="413"/>
      <c r="Z594" s="413"/>
      <c r="AA594" s="413"/>
      <c r="AB594" s="413"/>
      <c r="AC594" s="413"/>
      <c r="AD594" s="413"/>
      <c r="AE594" s="413"/>
      <c r="AF594" s="413"/>
      <c r="AG594" s="413"/>
      <c r="AH594" s="419">
        <f t="shared" si="626"/>
        <v>0</v>
      </c>
      <c r="AI594" s="413"/>
      <c r="AJ594" s="413"/>
      <c r="AK594" s="413"/>
      <c r="AL594" s="413"/>
      <c r="AM594" s="413"/>
    </row>
    <row r="595" spans="1:39" ht="12.75">
      <c r="A595" s="412"/>
      <c r="B595" s="413"/>
      <c r="C595" s="413"/>
      <c r="D595" s="465"/>
      <c r="E595" s="413"/>
      <c r="F595" s="413"/>
      <c r="G595" s="413"/>
      <c r="H595" s="413"/>
      <c r="I595" s="413"/>
      <c r="J595" s="413"/>
      <c r="K595" s="413"/>
      <c r="L595" s="413"/>
      <c r="M595" s="413"/>
      <c r="N595" s="413"/>
      <c r="O595" s="413"/>
      <c r="P595" s="472"/>
      <c r="Q595" s="413"/>
      <c r="R595" s="413"/>
      <c r="S595" s="413"/>
      <c r="T595" s="473"/>
      <c r="U595" s="413"/>
      <c r="V595" s="413"/>
      <c r="W595" s="413"/>
      <c r="X595" s="413"/>
      <c r="Y595" s="413"/>
      <c r="Z595" s="413"/>
      <c r="AA595" s="413"/>
      <c r="AB595" s="413"/>
      <c r="AC595" s="413"/>
      <c r="AD595" s="413"/>
      <c r="AE595" s="413"/>
      <c r="AF595" s="413"/>
      <c r="AG595" s="413"/>
      <c r="AH595" s="419">
        <f t="shared" si="626"/>
        <v>0</v>
      </c>
      <c r="AI595" s="413"/>
      <c r="AJ595" s="413"/>
      <c r="AK595" s="413"/>
      <c r="AL595" s="413"/>
      <c r="AM595" s="413"/>
    </row>
    <row r="596" spans="1:39" ht="12.75">
      <c r="A596" s="412"/>
      <c r="B596" s="413"/>
      <c r="C596" s="413"/>
      <c r="D596" s="465"/>
      <c r="E596" s="413"/>
      <c r="F596" s="413"/>
      <c r="G596" s="413"/>
      <c r="H596" s="413"/>
      <c r="I596" s="413"/>
      <c r="J596" s="413"/>
      <c r="K596" s="413"/>
      <c r="L596" s="413"/>
      <c r="M596" s="413"/>
      <c r="N596" s="413"/>
      <c r="O596" s="413"/>
      <c r="P596" s="472"/>
      <c r="Q596" s="413"/>
      <c r="R596" s="413"/>
      <c r="S596" s="413"/>
      <c r="T596" s="473"/>
      <c r="U596" s="413"/>
      <c r="V596" s="413"/>
      <c r="W596" s="413"/>
      <c r="X596" s="413"/>
      <c r="Y596" s="413"/>
      <c r="Z596" s="413"/>
      <c r="AA596" s="413"/>
      <c r="AB596" s="413"/>
      <c r="AC596" s="413"/>
      <c r="AD596" s="413"/>
      <c r="AE596" s="413"/>
      <c r="AF596" s="413"/>
      <c r="AG596" s="413"/>
      <c r="AH596" s="419">
        <f t="shared" si="626"/>
        <v>0</v>
      </c>
      <c r="AI596" s="413"/>
      <c r="AJ596" s="413"/>
      <c r="AK596" s="413"/>
      <c r="AL596" s="413"/>
      <c r="AM596" s="413"/>
    </row>
    <row r="597" spans="1:39" ht="12.75">
      <c r="A597" s="412"/>
      <c r="B597" s="413"/>
      <c r="C597" s="413"/>
      <c r="D597" s="465"/>
      <c r="E597" s="413"/>
      <c r="F597" s="413"/>
      <c r="G597" s="413"/>
      <c r="H597" s="413"/>
      <c r="I597" s="413"/>
      <c r="J597" s="413"/>
      <c r="K597" s="413"/>
      <c r="L597" s="413"/>
      <c r="M597" s="413"/>
      <c r="N597" s="413"/>
      <c r="O597" s="413"/>
      <c r="P597" s="472"/>
      <c r="Q597" s="413"/>
      <c r="R597" s="413"/>
      <c r="S597" s="413"/>
      <c r="T597" s="473"/>
      <c r="U597" s="413"/>
      <c r="V597" s="413"/>
      <c r="W597" s="413"/>
      <c r="X597" s="413"/>
      <c r="Y597" s="413"/>
      <c r="Z597" s="413"/>
      <c r="AA597" s="413"/>
      <c r="AB597" s="413"/>
      <c r="AC597" s="413"/>
      <c r="AD597" s="413"/>
      <c r="AE597" s="413"/>
      <c r="AF597" s="413"/>
      <c r="AG597" s="413"/>
      <c r="AH597" s="419">
        <f t="shared" si="626"/>
        <v>0</v>
      </c>
      <c r="AI597" s="413"/>
      <c r="AJ597" s="413"/>
      <c r="AK597" s="413"/>
      <c r="AL597" s="413"/>
      <c r="AM597" s="413"/>
    </row>
    <row r="598" spans="1:39" ht="12.75">
      <c r="A598" s="412"/>
      <c r="B598" s="413"/>
      <c r="C598" s="413"/>
      <c r="D598" s="465"/>
      <c r="E598" s="413"/>
      <c r="F598" s="413"/>
      <c r="G598" s="413"/>
      <c r="H598" s="413"/>
      <c r="I598" s="413"/>
      <c r="J598" s="413"/>
      <c r="K598" s="413"/>
      <c r="L598" s="413"/>
      <c r="M598" s="413"/>
      <c r="N598" s="413"/>
      <c r="O598" s="413"/>
      <c r="P598" s="472"/>
      <c r="Q598" s="413"/>
      <c r="R598" s="413"/>
      <c r="S598" s="413"/>
      <c r="T598" s="473"/>
      <c r="U598" s="413"/>
      <c r="V598" s="413"/>
      <c r="W598" s="413"/>
      <c r="X598" s="413"/>
      <c r="Y598" s="413"/>
      <c r="Z598" s="413"/>
      <c r="AA598" s="413"/>
      <c r="AB598" s="413"/>
      <c r="AC598" s="413"/>
      <c r="AD598" s="413"/>
      <c r="AE598" s="413"/>
      <c r="AF598" s="413"/>
      <c r="AG598" s="413"/>
      <c r="AH598" s="419">
        <f t="shared" si="626"/>
        <v>0</v>
      </c>
      <c r="AI598" s="413"/>
      <c r="AJ598" s="413"/>
      <c r="AK598" s="413"/>
      <c r="AL598" s="413"/>
      <c r="AM598" s="413"/>
    </row>
    <row r="599" spans="1:39" ht="12.75">
      <c r="A599" s="412"/>
      <c r="B599" s="413"/>
      <c r="C599" s="413"/>
      <c r="D599" s="465"/>
      <c r="E599" s="413"/>
      <c r="F599" s="413"/>
      <c r="G599" s="413"/>
      <c r="H599" s="413"/>
      <c r="I599" s="413"/>
      <c r="J599" s="413"/>
      <c r="K599" s="413"/>
      <c r="L599" s="413"/>
      <c r="M599" s="413"/>
      <c r="N599" s="413"/>
      <c r="O599" s="413"/>
      <c r="P599" s="472"/>
      <c r="Q599" s="413"/>
      <c r="R599" s="413"/>
      <c r="S599" s="413"/>
      <c r="T599" s="473"/>
      <c r="U599" s="413"/>
      <c r="V599" s="413"/>
      <c r="W599" s="413"/>
      <c r="X599" s="413"/>
      <c r="Y599" s="413"/>
      <c r="Z599" s="413"/>
      <c r="AA599" s="413"/>
      <c r="AB599" s="413"/>
      <c r="AC599" s="413"/>
      <c r="AD599" s="413"/>
      <c r="AE599" s="413"/>
      <c r="AF599" s="413"/>
      <c r="AG599" s="413"/>
      <c r="AH599" s="419">
        <f t="shared" si="626"/>
        <v>0</v>
      </c>
      <c r="AI599" s="413"/>
      <c r="AJ599" s="413"/>
      <c r="AK599" s="413"/>
      <c r="AL599" s="413"/>
      <c r="AM599" s="413"/>
    </row>
    <row r="600" spans="1:39" ht="12.75">
      <c r="A600" s="412"/>
      <c r="B600" s="413"/>
      <c r="C600" s="413"/>
      <c r="D600" s="465"/>
      <c r="E600" s="413"/>
      <c r="F600" s="413"/>
      <c r="G600" s="413"/>
      <c r="H600" s="413"/>
      <c r="I600" s="413"/>
      <c r="J600" s="413"/>
      <c r="K600" s="413"/>
      <c r="L600" s="413"/>
      <c r="M600" s="413"/>
      <c r="N600" s="413"/>
      <c r="O600" s="413"/>
      <c r="P600" s="472"/>
      <c r="Q600" s="413"/>
      <c r="R600" s="413"/>
      <c r="S600" s="413"/>
      <c r="T600" s="473"/>
      <c r="U600" s="413"/>
      <c r="V600" s="413"/>
      <c r="W600" s="413"/>
      <c r="X600" s="413"/>
      <c r="Y600" s="413"/>
      <c r="Z600" s="413"/>
      <c r="AA600" s="413"/>
      <c r="AB600" s="413"/>
      <c r="AC600" s="413"/>
      <c r="AD600" s="413"/>
      <c r="AE600" s="413"/>
      <c r="AF600" s="413"/>
      <c r="AG600" s="413"/>
      <c r="AH600" s="419">
        <f t="shared" si="626"/>
        <v>0</v>
      </c>
      <c r="AI600" s="413"/>
      <c r="AJ600" s="413"/>
      <c r="AK600" s="413"/>
      <c r="AL600" s="413"/>
      <c r="AM600" s="413"/>
    </row>
    <row r="601" spans="1:39" ht="12.75">
      <c r="A601" s="412"/>
      <c r="B601" s="413"/>
      <c r="C601" s="413"/>
      <c r="D601" s="465"/>
      <c r="E601" s="413"/>
      <c r="F601" s="413"/>
      <c r="G601" s="413"/>
      <c r="H601" s="413"/>
      <c r="I601" s="413"/>
      <c r="J601" s="413"/>
      <c r="K601" s="413"/>
      <c r="L601" s="413"/>
      <c r="M601" s="413"/>
      <c r="N601" s="413"/>
      <c r="O601" s="413"/>
      <c r="P601" s="472"/>
      <c r="Q601" s="413"/>
      <c r="R601" s="413"/>
      <c r="S601" s="413"/>
      <c r="T601" s="473"/>
      <c r="U601" s="413"/>
      <c r="V601" s="413"/>
      <c r="W601" s="413"/>
      <c r="X601" s="413"/>
      <c r="Y601" s="413"/>
      <c r="Z601" s="413"/>
      <c r="AA601" s="413"/>
      <c r="AB601" s="413"/>
      <c r="AC601" s="413"/>
      <c r="AD601" s="413"/>
      <c r="AE601" s="413"/>
      <c r="AF601" s="413"/>
      <c r="AG601" s="413"/>
      <c r="AH601" s="419">
        <f t="shared" si="626"/>
        <v>0</v>
      </c>
      <c r="AI601" s="413"/>
      <c r="AJ601" s="413"/>
      <c r="AK601" s="413"/>
      <c r="AL601" s="413"/>
      <c r="AM601" s="413"/>
    </row>
    <row r="602" spans="1:39" ht="12.75">
      <c r="A602" s="412"/>
      <c r="B602" s="413"/>
      <c r="C602" s="413"/>
      <c r="D602" s="465"/>
      <c r="E602" s="413"/>
      <c r="F602" s="413"/>
      <c r="G602" s="413"/>
      <c r="H602" s="413"/>
      <c r="I602" s="413"/>
      <c r="J602" s="413"/>
      <c r="K602" s="413"/>
      <c r="L602" s="413"/>
      <c r="M602" s="413"/>
      <c r="N602" s="413"/>
      <c r="O602" s="413"/>
      <c r="P602" s="472"/>
      <c r="Q602" s="413"/>
      <c r="R602" s="413"/>
      <c r="S602" s="413"/>
      <c r="T602" s="473"/>
      <c r="U602" s="413"/>
      <c r="V602" s="413"/>
      <c r="W602" s="413"/>
      <c r="X602" s="413"/>
      <c r="Y602" s="413"/>
      <c r="Z602" s="413"/>
      <c r="AA602" s="413"/>
      <c r="AB602" s="413"/>
      <c r="AC602" s="413"/>
      <c r="AD602" s="413"/>
      <c r="AE602" s="413"/>
      <c r="AF602" s="413"/>
      <c r="AG602" s="413"/>
      <c r="AH602" s="419">
        <f t="shared" si="626"/>
        <v>0</v>
      </c>
      <c r="AI602" s="413"/>
      <c r="AJ602" s="413"/>
      <c r="AK602" s="413"/>
      <c r="AL602" s="413"/>
      <c r="AM602" s="413"/>
    </row>
    <row r="603" spans="1:39" ht="12.75">
      <c r="A603" s="412"/>
      <c r="B603" s="413"/>
      <c r="C603" s="413"/>
      <c r="D603" s="465"/>
      <c r="E603" s="413"/>
      <c r="F603" s="413"/>
      <c r="G603" s="413"/>
      <c r="H603" s="413"/>
      <c r="I603" s="413"/>
      <c r="J603" s="413"/>
      <c r="K603" s="413"/>
      <c r="L603" s="413"/>
      <c r="M603" s="413"/>
      <c r="N603" s="413"/>
      <c r="O603" s="413"/>
      <c r="P603" s="472"/>
      <c r="Q603" s="413"/>
      <c r="R603" s="413"/>
      <c r="S603" s="413"/>
      <c r="T603" s="473"/>
      <c r="U603" s="413"/>
      <c r="V603" s="413"/>
      <c r="W603" s="413"/>
      <c r="X603" s="413"/>
      <c r="Y603" s="413"/>
      <c r="Z603" s="413"/>
      <c r="AA603" s="413"/>
      <c r="AB603" s="413"/>
      <c r="AC603" s="413"/>
      <c r="AD603" s="413"/>
      <c r="AE603" s="413"/>
      <c r="AF603" s="413"/>
      <c r="AG603" s="413"/>
      <c r="AH603" s="419">
        <f t="shared" si="626"/>
        <v>0</v>
      </c>
      <c r="AI603" s="413"/>
      <c r="AJ603" s="413"/>
      <c r="AK603" s="413"/>
      <c r="AL603" s="413"/>
      <c r="AM603" s="413"/>
    </row>
    <row r="604" spans="1:39" ht="12.75">
      <c r="A604" s="412"/>
      <c r="B604" s="413"/>
      <c r="C604" s="413"/>
      <c r="D604" s="465"/>
      <c r="E604" s="413"/>
      <c r="F604" s="413"/>
      <c r="G604" s="413"/>
      <c r="H604" s="413"/>
      <c r="I604" s="413"/>
      <c r="J604" s="413"/>
      <c r="K604" s="413"/>
      <c r="L604" s="413"/>
      <c r="M604" s="413"/>
      <c r="N604" s="413"/>
      <c r="O604" s="413"/>
      <c r="P604" s="472"/>
      <c r="Q604" s="413"/>
      <c r="R604" s="413"/>
      <c r="S604" s="413"/>
      <c r="T604" s="473"/>
      <c r="U604" s="413"/>
      <c r="V604" s="413"/>
      <c r="W604" s="413"/>
      <c r="X604" s="413"/>
      <c r="Y604" s="413"/>
      <c r="Z604" s="413"/>
      <c r="AA604" s="413"/>
      <c r="AB604" s="413"/>
      <c r="AC604" s="413"/>
      <c r="AD604" s="413"/>
      <c r="AE604" s="413"/>
      <c r="AF604" s="413"/>
      <c r="AG604" s="413"/>
      <c r="AH604" s="419">
        <f t="shared" si="626"/>
        <v>0</v>
      </c>
      <c r="AI604" s="413"/>
      <c r="AJ604" s="413"/>
      <c r="AK604" s="413"/>
      <c r="AL604" s="413"/>
      <c r="AM604" s="413"/>
    </row>
    <row r="605" spans="1:39" ht="12.75">
      <c r="A605" s="412"/>
      <c r="B605" s="413"/>
      <c r="C605" s="413"/>
      <c r="D605" s="465"/>
      <c r="E605" s="413"/>
      <c r="F605" s="413"/>
      <c r="G605" s="413"/>
      <c r="H605" s="413"/>
      <c r="I605" s="413"/>
      <c r="J605" s="413"/>
      <c r="K605" s="413"/>
      <c r="L605" s="413"/>
      <c r="M605" s="413"/>
      <c r="N605" s="413"/>
      <c r="O605" s="413"/>
      <c r="P605" s="472"/>
      <c r="Q605" s="413"/>
      <c r="R605" s="413"/>
      <c r="S605" s="413"/>
      <c r="T605" s="473"/>
      <c r="U605" s="413"/>
      <c r="V605" s="413"/>
      <c r="W605" s="413"/>
      <c r="X605" s="413"/>
      <c r="Y605" s="413"/>
      <c r="Z605" s="413"/>
      <c r="AA605" s="413"/>
      <c r="AB605" s="413"/>
      <c r="AC605" s="413"/>
      <c r="AD605" s="413"/>
      <c r="AE605" s="413"/>
      <c r="AF605" s="413"/>
      <c r="AG605" s="413"/>
      <c r="AH605" s="419">
        <f t="shared" si="626"/>
        <v>0</v>
      </c>
      <c r="AI605" s="413"/>
      <c r="AJ605" s="413"/>
      <c r="AK605" s="413"/>
      <c r="AL605" s="413"/>
      <c r="AM605" s="413"/>
    </row>
    <row r="606" spans="1:39" ht="12.75">
      <c r="A606" s="412"/>
      <c r="B606" s="413"/>
      <c r="C606" s="413"/>
      <c r="D606" s="465"/>
      <c r="E606" s="413"/>
      <c r="F606" s="413"/>
      <c r="G606" s="413"/>
      <c r="H606" s="413"/>
      <c r="I606" s="413"/>
      <c r="J606" s="413"/>
      <c r="K606" s="413"/>
      <c r="L606" s="413"/>
      <c r="M606" s="413"/>
      <c r="N606" s="413"/>
      <c r="O606" s="413"/>
      <c r="P606" s="472"/>
      <c r="Q606" s="413"/>
      <c r="R606" s="413"/>
      <c r="S606" s="413"/>
      <c r="T606" s="473"/>
      <c r="U606" s="413"/>
      <c r="V606" s="413"/>
      <c r="W606" s="413"/>
      <c r="X606" s="413"/>
      <c r="Y606" s="413"/>
      <c r="Z606" s="413"/>
      <c r="AA606" s="413"/>
      <c r="AB606" s="413"/>
      <c r="AC606" s="413"/>
      <c r="AD606" s="413"/>
      <c r="AE606" s="413"/>
      <c r="AF606" s="413"/>
      <c r="AG606" s="413"/>
      <c r="AH606" s="419">
        <f t="shared" si="626"/>
        <v>0</v>
      </c>
      <c r="AI606" s="413"/>
      <c r="AJ606" s="413"/>
      <c r="AK606" s="413"/>
      <c r="AL606" s="413"/>
      <c r="AM606" s="413"/>
    </row>
    <row r="607" spans="1:39" ht="12.75">
      <c r="A607" s="412"/>
      <c r="B607" s="413"/>
      <c r="C607" s="413"/>
      <c r="D607" s="465"/>
      <c r="E607" s="413"/>
      <c r="F607" s="413"/>
      <c r="G607" s="413"/>
      <c r="H607" s="413"/>
      <c r="I607" s="413"/>
      <c r="J607" s="413"/>
      <c r="K607" s="413"/>
      <c r="L607" s="413"/>
      <c r="M607" s="413"/>
      <c r="N607" s="413"/>
      <c r="O607" s="413"/>
      <c r="P607" s="472"/>
      <c r="Q607" s="413"/>
      <c r="R607" s="413"/>
      <c r="S607" s="413"/>
      <c r="T607" s="473"/>
      <c r="U607" s="413"/>
      <c r="V607" s="413"/>
      <c r="W607" s="413"/>
      <c r="X607" s="413"/>
      <c r="Y607" s="413"/>
      <c r="Z607" s="413"/>
      <c r="AA607" s="413"/>
      <c r="AB607" s="413"/>
      <c r="AC607" s="413"/>
      <c r="AD607" s="413"/>
      <c r="AE607" s="413"/>
      <c r="AF607" s="413"/>
      <c r="AG607" s="413"/>
      <c r="AH607" s="419">
        <f t="shared" si="626"/>
        <v>0</v>
      </c>
      <c r="AI607" s="413"/>
      <c r="AJ607" s="413"/>
      <c r="AK607" s="413"/>
      <c r="AL607" s="413"/>
      <c r="AM607" s="413"/>
    </row>
    <row r="608" spans="1:39" ht="12.75">
      <c r="A608" s="412"/>
      <c r="B608" s="413"/>
      <c r="C608" s="413"/>
      <c r="D608" s="465"/>
      <c r="E608" s="413"/>
      <c r="F608" s="413"/>
      <c r="G608" s="413"/>
      <c r="H608" s="413"/>
      <c r="I608" s="413"/>
      <c r="J608" s="413"/>
      <c r="K608" s="413"/>
      <c r="L608" s="413"/>
      <c r="M608" s="413"/>
      <c r="N608" s="413"/>
      <c r="O608" s="413"/>
      <c r="P608" s="472"/>
      <c r="Q608" s="413"/>
      <c r="R608" s="413"/>
      <c r="S608" s="413"/>
      <c r="T608" s="473"/>
      <c r="U608" s="413"/>
      <c r="V608" s="413"/>
      <c r="W608" s="413"/>
      <c r="X608" s="413"/>
      <c r="Y608" s="413"/>
      <c r="Z608" s="413"/>
      <c r="AA608" s="413"/>
      <c r="AB608" s="413"/>
      <c r="AC608" s="413"/>
      <c r="AD608" s="413"/>
      <c r="AE608" s="413"/>
      <c r="AF608" s="413"/>
      <c r="AG608" s="413"/>
      <c r="AH608" s="419">
        <f t="shared" si="626"/>
        <v>0</v>
      </c>
      <c r="AI608" s="413"/>
      <c r="AJ608" s="413"/>
      <c r="AK608" s="413"/>
      <c r="AL608" s="413"/>
      <c r="AM608" s="413"/>
    </row>
    <row r="609" spans="1:39" ht="12.75">
      <c r="A609" s="412"/>
      <c r="B609" s="413"/>
      <c r="C609" s="413"/>
      <c r="D609" s="465"/>
      <c r="E609" s="413"/>
      <c r="F609" s="413"/>
      <c r="G609" s="413"/>
      <c r="H609" s="413"/>
      <c r="I609" s="413"/>
      <c r="J609" s="413"/>
      <c r="K609" s="413"/>
      <c r="L609" s="413"/>
      <c r="M609" s="413"/>
      <c r="N609" s="413"/>
      <c r="O609" s="413"/>
      <c r="P609" s="472"/>
      <c r="Q609" s="413"/>
      <c r="R609" s="413"/>
      <c r="S609" s="413"/>
      <c r="T609" s="473"/>
      <c r="U609" s="413"/>
      <c r="V609" s="413"/>
      <c r="W609" s="413"/>
      <c r="X609" s="413"/>
      <c r="Y609" s="413"/>
      <c r="Z609" s="413"/>
      <c r="AA609" s="413"/>
      <c r="AB609" s="413"/>
      <c r="AC609" s="413"/>
      <c r="AD609" s="413"/>
      <c r="AE609" s="413"/>
      <c r="AF609" s="413"/>
      <c r="AG609" s="413"/>
      <c r="AH609" s="419">
        <f t="shared" si="626"/>
        <v>0</v>
      </c>
      <c r="AI609" s="413"/>
      <c r="AJ609" s="413"/>
      <c r="AK609" s="413"/>
      <c r="AL609" s="413"/>
      <c r="AM609" s="413"/>
    </row>
    <row r="610" spans="1:39" ht="12.75">
      <c r="A610" s="412"/>
      <c r="B610" s="413"/>
      <c r="C610" s="413"/>
      <c r="D610" s="465"/>
      <c r="E610" s="413"/>
      <c r="F610" s="413"/>
      <c r="G610" s="413"/>
      <c r="H610" s="413"/>
      <c r="I610" s="413"/>
      <c r="J610" s="413"/>
      <c r="K610" s="413"/>
      <c r="L610" s="413"/>
      <c r="M610" s="413"/>
      <c r="N610" s="413"/>
      <c r="O610" s="413"/>
      <c r="P610" s="472"/>
      <c r="Q610" s="413"/>
      <c r="R610" s="413"/>
      <c r="S610" s="413"/>
      <c r="T610" s="473"/>
      <c r="U610" s="413"/>
      <c r="V610" s="413"/>
      <c r="W610" s="413"/>
      <c r="X610" s="413"/>
      <c r="Y610" s="413"/>
      <c r="Z610" s="413"/>
      <c r="AA610" s="413"/>
      <c r="AB610" s="413"/>
      <c r="AC610" s="413"/>
      <c r="AD610" s="413"/>
      <c r="AE610" s="413"/>
      <c r="AF610" s="413"/>
      <c r="AG610" s="413"/>
      <c r="AH610" s="419">
        <f t="shared" si="626"/>
        <v>0</v>
      </c>
      <c r="AI610" s="413"/>
      <c r="AJ610" s="413"/>
      <c r="AK610" s="413"/>
      <c r="AL610" s="413"/>
      <c r="AM610" s="413"/>
    </row>
    <row r="611" spans="1:39" ht="12.75">
      <c r="A611" s="412"/>
      <c r="B611" s="413"/>
      <c r="C611" s="413"/>
      <c r="D611" s="465"/>
      <c r="E611" s="413"/>
      <c r="F611" s="413"/>
      <c r="G611" s="413"/>
      <c r="H611" s="413"/>
      <c r="I611" s="413"/>
      <c r="J611" s="413"/>
      <c r="K611" s="413"/>
      <c r="L611" s="413"/>
      <c r="M611" s="413"/>
      <c r="N611" s="413"/>
      <c r="O611" s="413"/>
      <c r="P611" s="472"/>
      <c r="Q611" s="413"/>
      <c r="R611" s="413"/>
      <c r="S611" s="413"/>
      <c r="T611" s="473"/>
      <c r="U611" s="413"/>
      <c r="V611" s="413"/>
      <c r="W611" s="413"/>
      <c r="X611" s="413"/>
      <c r="Y611" s="413"/>
      <c r="Z611" s="413"/>
      <c r="AA611" s="413"/>
      <c r="AB611" s="413"/>
      <c r="AC611" s="413"/>
      <c r="AD611" s="413"/>
      <c r="AE611" s="413"/>
      <c r="AF611" s="413"/>
      <c r="AG611" s="413"/>
      <c r="AH611" s="419">
        <f t="shared" si="626"/>
        <v>0</v>
      </c>
      <c r="AI611" s="413"/>
      <c r="AJ611" s="413"/>
      <c r="AK611" s="413"/>
      <c r="AL611" s="413"/>
      <c r="AM611" s="413"/>
    </row>
    <row r="612" spans="1:39" ht="12.75">
      <c r="A612" s="412"/>
      <c r="B612" s="413"/>
      <c r="C612" s="413"/>
      <c r="D612" s="465"/>
      <c r="E612" s="413"/>
      <c r="F612" s="413"/>
      <c r="G612" s="413"/>
      <c r="H612" s="413"/>
      <c r="I612" s="413"/>
      <c r="J612" s="413"/>
      <c r="K612" s="413"/>
      <c r="L612" s="413"/>
      <c r="M612" s="413"/>
      <c r="N612" s="413"/>
      <c r="O612" s="413"/>
      <c r="P612" s="472"/>
      <c r="Q612" s="413"/>
      <c r="R612" s="413"/>
      <c r="S612" s="413"/>
      <c r="T612" s="473"/>
      <c r="U612" s="413"/>
      <c r="V612" s="413"/>
      <c r="W612" s="413"/>
      <c r="X612" s="413"/>
      <c r="Y612" s="413"/>
      <c r="Z612" s="413"/>
      <c r="AA612" s="413"/>
      <c r="AB612" s="413"/>
      <c r="AC612" s="413"/>
      <c r="AD612" s="413"/>
      <c r="AE612" s="413"/>
      <c r="AF612" s="413"/>
      <c r="AG612" s="413"/>
      <c r="AH612" s="419">
        <f t="shared" si="626"/>
        <v>0</v>
      </c>
      <c r="AI612" s="413"/>
      <c r="AJ612" s="413"/>
      <c r="AK612" s="413"/>
      <c r="AL612" s="413"/>
      <c r="AM612" s="413"/>
    </row>
    <row r="613" spans="1:39" ht="12.75">
      <c r="A613" s="412"/>
      <c r="B613" s="413"/>
      <c r="C613" s="413"/>
      <c r="D613" s="465"/>
      <c r="E613" s="413"/>
      <c r="F613" s="413"/>
      <c r="G613" s="413"/>
      <c r="H613" s="413"/>
      <c r="I613" s="413"/>
      <c r="J613" s="413"/>
      <c r="K613" s="413"/>
      <c r="L613" s="413"/>
      <c r="M613" s="413"/>
      <c r="N613" s="413"/>
      <c r="O613" s="413"/>
      <c r="P613" s="472"/>
      <c r="Q613" s="413"/>
      <c r="R613" s="413"/>
      <c r="S613" s="413"/>
      <c r="T613" s="473"/>
      <c r="U613" s="413"/>
      <c r="V613" s="413"/>
      <c r="W613" s="413"/>
      <c r="X613" s="413"/>
      <c r="Y613" s="413"/>
      <c r="Z613" s="413"/>
      <c r="AA613" s="413"/>
      <c r="AB613" s="413"/>
      <c r="AC613" s="413"/>
      <c r="AD613" s="413"/>
      <c r="AE613" s="413"/>
      <c r="AF613" s="413"/>
      <c r="AG613" s="413"/>
      <c r="AH613" s="419">
        <f t="shared" si="626"/>
        <v>0</v>
      </c>
      <c r="AI613" s="413"/>
      <c r="AJ613" s="413"/>
      <c r="AK613" s="413"/>
      <c r="AL613" s="413"/>
      <c r="AM613" s="413"/>
    </row>
    <row r="614" spans="1:39" ht="12.75">
      <c r="A614" s="412"/>
      <c r="B614" s="413"/>
      <c r="C614" s="413"/>
      <c r="D614" s="465"/>
      <c r="E614" s="413"/>
      <c r="F614" s="413"/>
      <c r="G614" s="413"/>
      <c r="H614" s="413"/>
      <c r="I614" s="413"/>
      <c r="J614" s="413"/>
      <c r="K614" s="413"/>
      <c r="L614" s="413"/>
      <c r="M614" s="413"/>
      <c r="N614" s="413"/>
      <c r="O614" s="413"/>
      <c r="P614" s="472"/>
      <c r="Q614" s="413"/>
      <c r="R614" s="413"/>
      <c r="S614" s="413"/>
      <c r="T614" s="473"/>
      <c r="U614" s="413"/>
      <c r="V614" s="413"/>
      <c r="W614" s="413"/>
      <c r="X614" s="413"/>
      <c r="Y614" s="413"/>
      <c r="Z614" s="413"/>
      <c r="AA614" s="413"/>
      <c r="AB614" s="413"/>
      <c r="AC614" s="413"/>
      <c r="AD614" s="413"/>
      <c r="AE614" s="413"/>
      <c r="AF614" s="413"/>
      <c r="AG614" s="413"/>
      <c r="AH614" s="419">
        <f t="shared" si="626"/>
        <v>0</v>
      </c>
      <c r="AI614" s="413"/>
      <c r="AJ614" s="413"/>
      <c r="AK614" s="413"/>
      <c r="AL614" s="413"/>
      <c r="AM614" s="413"/>
    </row>
    <row r="615" spans="1:39" ht="12.75">
      <c r="A615" s="412"/>
      <c r="B615" s="413"/>
      <c r="C615" s="413"/>
      <c r="D615" s="465"/>
      <c r="E615" s="413"/>
      <c r="F615" s="413"/>
      <c r="G615" s="413"/>
      <c r="H615" s="413"/>
      <c r="I615" s="413"/>
      <c r="J615" s="413"/>
      <c r="K615" s="413"/>
      <c r="L615" s="413"/>
      <c r="M615" s="413"/>
      <c r="N615" s="413"/>
      <c r="O615" s="413"/>
      <c r="P615" s="472"/>
      <c r="Q615" s="413"/>
      <c r="R615" s="413"/>
      <c r="S615" s="413"/>
      <c r="T615" s="473"/>
      <c r="U615" s="413"/>
      <c r="V615" s="413"/>
      <c r="W615" s="413"/>
      <c r="X615" s="413"/>
      <c r="Y615" s="413"/>
      <c r="Z615" s="413"/>
      <c r="AA615" s="413"/>
      <c r="AB615" s="413"/>
      <c r="AC615" s="413"/>
      <c r="AD615" s="413"/>
      <c r="AE615" s="413"/>
      <c r="AF615" s="413"/>
      <c r="AG615" s="413"/>
      <c r="AH615" s="419">
        <f t="shared" si="626"/>
        <v>0</v>
      </c>
      <c r="AI615" s="413"/>
      <c r="AJ615" s="413"/>
      <c r="AK615" s="413"/>
      <c r="AL615" s="413"/>
      <c r="AM615" s="413"/>
    </row>
    <row r="616" spans="1:39" ht="12.75">
      <c r="A616" s="412"/>
      <c r="B616" s="413"/>
      <c r="C616" s="413"/>
      <c r="D616" s="465"/>
      <c r="E616" s="413"/>
      <c r="F616" s="413"/>
      <c r="G616" s="413"/>
      <c r="H616" s="413"/>
      <c r="I616" s="413"/>
      <c r="J616" s="413"/>
      <c r="K616" s="413"/>
      <c r="L616" s="413"/>
      <c r="M616" s="413"/>
      <c r="N616" s="413"/>
      <c r="O616" s="413"/>
      <c r="P616" s="472"/>
      <c r="Q616" s="413"/>
      <c r="R616" s="413"/>
      <c r="S616" s="413"/>
      <c r="T616" s="473"/>
      <c r="U616" s="413"/>
      <c r="V616" s="413"/>
      <c r="W616" s="413"/>
      <c r="X616" s="413"/>
      <c r="Y616" s="413"/>
      <c r="Z616" s="413"/>
      <c r="AA616" s="413"/>
      <c r="AB616" s="413"/>
      <c r="AC616" s="413"/>
      <c r="AD616" s="413"/>
      <c r="AE616" s="413"/>
      <c r="AF616" s="413"/>
      <c r="AG616" s="413"/>
      <c r="AH616" s="419">
        <f t="shared" si="626"/>
        <v>0</v>
      </c>
      <c r="AI616" s="413"/>
      <c r="AJ616" s="413"/>
      <c r="AK616" s="413"/>
      <c r="AL616" s="413"/>
      <c r="AM616" s="413"/>
    </row>
    <row r="617" spans="1:39" ht="12.75">
      <c r="A617" s="412"/>
      <c r="B617" s="413"/>
      <c r="C617" s="413"/>
      <c r="D617" s="465"/>
      <c r="E617" s="413"/>
      <c r="F617" s="413"/>
      <c r="G617" s="413"/>
      <c r="H617" s="413"/>
      <c r="I617" s="413"/>
      <c r="J617" s="413"/>
      <c r="K617" s="413"/>
      <c r="L617" s="413"/>
      <c r="M617" s="413"/>
      <c r="N617" s="413"/>
      <c r="O617" s="413"/>
      <c r="P617" s="472"/>
      <c r="Q617" s="413"/>
      <c r="R617" s="413"/>
      <c r="S617" s="413"/>
      <c r="T617" s="473"/>
      <c r="U617" s="413"/>
      <c r="V617" s="413"/>
      <c r="W617" s="413"/>
      <c r="X617" s="413"/>
      <c r="Y617" s="413"/>
      <c r="Z617" s="413"/>
      <c r="AA617" s="413"/>
      <c r="AB617" s="413"/>
      <c r="AC617" s="413"/>
      <c r="AD617" s="413"/>
      <c r="AE617" s="413"/>
      <c r="AF617" s="413"/>
      <c r="AG617" s="413"/>
      <c r="AH617" s="419">
        <f t="shared" si="626"/>
        <v>0</v>
      </c>
      <c r="AI617" s="413"/>
      <c r="AJ617" s="413"/>
      <c r="AK617" s="413"/>
      <c r="AL617" s="413"/>
      <c r="AM617" s="413"/>
    </row>
    <row r="618" spans="1:39" ht="12.75">
      <c r="A618" s="412"/>
      <c r="B618" s="413"/>
      <c r="C618" s="413"/>
      <c r="D618" s="465"/>
      <c r="E618" s="413"/>
      <c r="F618" s="413"/>
      <c r="G618" s="413"/>
      <c r="H618" s="413"/>
      <c r="I618" s="413"/>
      <c r="J618" s="413"/>
      <c r="K618" s="413"/>
      <c r="L618" s="413"/>
      <c r="M618" s="413"/>
      <c r="N618" s="413"/>
      <c r="O618" s="413"/>
      <c r="P618" s="472"/>
      <c r="Q618" s="413"/>
      <c r="R618" s="413"/>
      <c r="S618" s="413"/>
      <c r="T618" s="473"/>
      <c r="U618" s="413"/>
      <c r="V618" s="413"/>
      <c r="W618" s="413"/>
      <c r="X618" s="413"/>
      <c r="Y618" s="413"/>
      <c r="Z618" s="413"/>
      <c r="AA618" s="413"/>
      <c r="AB618" s="413"/>
      <c r="AC618" s="413"/>
      <c r="AD618" s="413"/>
      <c r="AE618" s="413"/>
      <c r="AF618" s="413"/>
      <c r="AG618" s="413"/>
      <c r="AH618" s="419">
        <f t="shared" si="626"/>
        <v>0</v>
      </c>
      <c r="AI618" s="413"/>
      <c r="AJ618" s="413"/>
      <c r="AK618" s="413"/>
      <c r="AL618" s="413"/>
      <c r="AM618" s="413"/>
    </row>
    <row r="619" spans="1:39" ht="12.75">
      <c r="A619" s="412"/>
      <c r="B619" s="413"/>
      <c r="C619" s="413"/>
      <c r="D619" s="465"/>
      <c r="E619" s="413"/>
      <c r="F619" s="413"/>
      <c r="G619" s="413"/>
      <c r="H619" s="413"/>
      <c r="I619" s="413"/>
      <c r="J619" s="413"/>
      <c r="K619" s="413"/>
      <c r="L619" s="413"/>
      <c r="M619" s="413"/>
      <c r="N619" s="413"/>
      <c r="O619" s="413"/>
      <c r="P619" s="472"/>
      <c r="Q619" s="413"/>
      <c r="R619" s="413"/>
      <c r="S619" s="413"/>
      <c r="T619" s="473"/>
      <c r="U619" s="413"/>
      <c r="V619" s="413"/>
      <c r="W619" s="413"/>
      <c r="X619" s="413"/>
      <c r="Y619" s="413"/>
      <c r="Z619" s="413"/>
      <c r="AA619" s="413"/>
      <c r="AB619" s="413"/>
      <c r="AC619" s="413"/>
      <c r="AD619" s="413"/>
      <c r="AE619" s="413"/>
      <c r="AF619" s="413"/>
      <c r="AG619" s="413"/>
      <c r="AH619" s="419">
        <f t="shared" si="626"/>
        <v>0</v>
      </c>
      <c r="AI619" s="413"/>
      <c r="AJ619" s="413"/>
      <c r="AK619" s="413"/>
      <c r="AL619" s="413"/>
      <c r="AM619" s="413"/>
    </row>
    <row r="620" spans="1:39" ht="12.75">
      <c r="A620" s="412"/>
      <c r="B620" s="413"/>
      <c r="C620" s="413"/>
      <c r="D620" s="465"/>
      <c r="E620" s="413"/>
      <c r="F620" s="413"/>
      <c r="G620" s="413"/>
      <c r="H620" s="413"/>
      <c r="I620" s="413"/>
      <c r="J620" s="413"/>
      <c r="K620" s="413"/>
      <c r="L620" s="413"/>
      <c r="M620" s="413"/>
      <c r="N620" s="413"/>
      <c r="O620" s="413"/>
      <c r="P620" s="472"/>
      <c r="Q620" s="413"/>
      <c r="R620" s="413"/>
      <c r="S620" s="413"/>
      <c r="T620" s="473"/>
      <c r="U620" s="413"/>
      <c r="V620" s="413"/>
      <c r="W620" s="413"/>
      <c r="X620" s="413"/>
      <c r="Y620" s="413"/>
      <c r="Z620" s="413"/>
      <c r="AA620" s="413"/>
      <c r="AB620" s="413"/>
      <c r="AC620" s="413"/>
      <c r="AD620" s="413"/>
      <c r="AE620" s="413"/>
      <c r="AF620" s="413"/>
      <c r="AG620" s="413"/>
      <c r="AH620" s="419">
        <f t="shared" si="626"/>
        <v>0</v>
      </c>
      <c r="AI620" s="413"/>
      <c r="AJ620" s="413"/>
      <c r="AK620" s="413"/>
      <c r="AL620" s="413"/>
      <c r="AM620" s="413"/>
    </row>
    <row r="621" spans="1:39" ht="12.75">
      <c r="A621" s="412"/>
      <c r="B621" s="413"/>
      <c r="C621" s="413"/>
      <c r="D621" s="465"/>
      <c r="E621" s="413"/>
      <c r="F621" s="413"/>
      <c r="G621" s="413"/>
      <c r="H621" s="413"/>
      <c r="I621" s="413"/>
      <c r="J621" s="413"/>
      <c r="K621" s="413"/>
      <c r="L621" s="413"/>
      <c r="M621" s="413"/>
      <c r="N621" s="413"/>
      <c r="O621" s="413"/>
      <c r="P621" s="472"/>
      <c r="Q621" s="413"/>
      <c r="R621" s="413"/>
      <c r="S621" s="413"/>
      <c r="T621" s="473"/>
      <c r="U621" s="413"/>
      <c r="V621" s="413"/>
      <c r="W621" s="413"/>
      <c r="X621" s="413"/>
      <c r="Y621" s="413"/>
      <c r="Z621" s="413"/>
      <c r="AA621" s="413"/>
      <c r="AB621" s="413"/>
      <c r="AC621" s="413"/>
      <c r="AD621" s="413"/>
      <c r="AE621" s="413"/>
      <c r="AF621" s="413"/>
      <c r="AG621" s="413"/>
      <c r="AH621" s="419">
        <f t="shared" si="626"/>
        <v>0</v>
      </c>
      <c r="AI621" s="413"/>
      <c r="AJ621" s="413"/>
      <c r="AK621" s="413"/>
      <c r="AL621" s="413"/>
      <c r="AM621" s="413"/>
    </row>
    <row r="622" spans="1:39" ht="12.75">
      <c r="A622" s="412"/>
      <c r="B622" s="413"/>
      <c r="C622" s="413"/>
      <c r="D622" s="465"/>
      <c r="E622" s="413"/>
      <c r="F622" s="413"/>
      <c r="G622" s="413"/>
      <c r="H622" s="413"/>
      <c r="I622" s="413"/>
      <c r="J622" s="413"/>
      <c r="K622" s="413"/>
      <c r="L622" s="413"/>
      <c r="M622" s="413"/>
      <c r="N622" s="413"/>
      <c r="O622" s="413"/>
      <c r="P622" s="472"/>
      <c r="Q622" s="413"/>
      <c r="R622" s="413"/>
      <c r="S622" s="413"/>
      <c r="T622" s="473"/>
      <c r="U622" s="413"/>
      <c r="V622" s="413"/>
      <c r="W622" s="413"/>
      <c r="X622" s="413"/>
      <c r="Y622" s="413"/>
      <c r="Z622" s="413"/>
      <c r="AA622" s="413"/>
      <c r="AB622" s="413"/>
      <c r="AC622" s="413"/>
      <c r="AD622" s="413"/>
      <c r="AE622" s="413"/>
      <c r="AF622" s="413"/>
      <c r="AG622" s="413"/>
      <c r="AH622" s="419">
        <f t="shared" si="626"/>
        <v>0</v>
      </c>
      <c r="AI622" s="413"/>
      <c r="AJ622" s="413"/>
      <c r="AK622" s="413"/>
      <c r="AL622" s="413"/>
      <c r="AM622" s="413"/>
    </row>
    <row r="623" spans="1:39" ht="12.75">
      <c r="A623" s="412"/>
      <c r="B623" s="413"/>
      <c r="C623" s="413"/>
      <c r="D623" s="465"/>
      <c r="E623" s="413"/>
      <c r="F623" s="413"/>
      <c r="G623" s="413"/>
      <c r="H623" s="413"/>
      <c r="I623" s="413"/>
      <c r="J623" s="413"/>
      <c r="K623" s="413"/>
      <c r="L623" s="413"/>
      <c r="M623" s="413"/>
      <c r="N623" s="413"/>
      <c r="O623" s="413"/>
      <c r="P623" s="472"/>
      <c r="Q623" s="413"/>
      <c r="R623" s="413"/>
      <c r="S623" s="413"/>
      <c r="T623" s="473"/>
      <c r="U623" s="413"/>
      <c r="V623" s="413"/>
      <c r="W623" s="413"/>
      <c r="X623" s="413"/>
      <c r="Y623" s="413"/>
      <c r="Z623" s="413"/>
      <c r="AA623" s="413"/>
      <c r="AB623" s="413"/>
      <c r="AC623" s="413"/>
      <c r="AD623" s="413"/>
      <c r="AE623" s="413"/>
      <c r="AF623" s="413"/>
      <c r="AG623" s="413"/>
      <c r="AH623" s="419">
        <f t="shared" si="626"/>
        <v>0</v>
      </c>
      <c r="AI623" s="413"/>
      <c r="AJ623" s="413"/>
      <c r="AK623" s="413"/>
      <c r="AL623" s="413"/>
      <c r="AM623" s="413"/>
    </row>
    <row r="624" spans="1:39" ht="12.75">
      <c r="A624" s="412"/>
      <c r="B624" s="413"/>
      <c r="C624" s="413"/>
      <c r="D624" s="465"/>
      <c r="E624" s="413"/>
      <c r="F624" s="413"/>
      <c r="G624" s="413"/>
      <c r="H624" s="413"/>
      <c r="I624" s="413"/>
      <c r="J624" s="413"/>
      <c r="K624" s="413"/>
      <c r="L624" s="413"/>
      <c r="M624" s="413"/>
      <c r="N624" s="413"/>
      <c r="O624" s="413"/>
      <c r="P624" s="472"/>
      <c r="Q624" s="413"/>
      <c r="R624" s="413"/>
      <c r="S624" s="413"/>
      <c r="T624" s="473"/>
      <c r="U624" s="413"/>
      <c r="V624" s="413"/>
      <c r="W624" s="413"/>
      <c r="X624" s="413"/>
      <c r="Y624" s="413"/>
      <c r="Z624" s="413"/>
      <c r="AA624" s="413"/>
      <c r="AB624" s="413"/>
      <c r="AC624" s="413"/>
      <c r="AD624" s="413"/>
      <c r="AE624" s="413"/>
      <c r="AF624" s="413"/>
      <c r="AG624" s="413"/>
      <c r="AH624" s="419">
        <f t="shared" si="626"/>
        <v>0</v>
      </c>
      <c r="AI624" s="413"/>
      <c r="AJ624" s="413"/>
      <c r="AK624" s="413"/>
      <c r="AL624" s="413"/>
      <c r="AM624" s="413"/>
    </row>
    <row r="625" spans="1:39" ht="12.75">
      <c r="A625" s="412"/>
      <c r="B625" s="413"/>
      <c r="C625" s="413"/>
      <c r="D625" s="465"/>
      <c r="E625" s="413"/>
      <c r="F625" s="413"/>
      <c r="G625" s="413"/>
      <c r="H625" s="413"/>
      <c r="I625" s="413"/>
      <c r="J625" s="413"/>
      <c r="K625" s="413"/>
      <c r="L625" s="413"/>
      <c r="M625" s="413"/>
      <c r="N625" s="413"/>
      <c r="O625" s="413"/>
      <c r="P625" s="472"/>
      <c r="Q625" s="413"/>
      <c r="R625" s="413"/>
      <c r="S625" s="413"/>
      <c r="T625" s="473"/>
      <c r="U625" s="413"/>
      <c r="V625" s="413"/>
      <c r="W625" s="413"/>
      <c r="X625" s="413"/>
      <c r="Y625" s="413"/>
      <c r="Z625" s="413"/>
      <c r="AA625" s="413"/>
      <c r="AB625" s="413"/>
      <c r="AC625" s="413"/>
      <c r="AD625" s="413"/>
      <c r="AE625" s="413"/>
      <c r="AF625" s="413"/>
      <c r="AG625" s="413"/>
      <c r="AH625" s="419">
        <f t="shared" si="626"/>
        <v>0</v>
      </c>
      <c r="AI625" s="413"/>
      <c r="AJ625" s="413"/>
      <c r="AK625" s="413"/>
      <c r="AL625" s="413"/>
      <c r="AM625" s="413"/>
    </row>
    <row r="626" spans="1:39" ht="12.75">
      <c r="A626" s="412"/>
      <c r="B626" s="413"/>
      <c r="C626" s="413"/>
      <c r="D626" s="465"/>
      <c r="E626" s="413"/>
      <c r="F626" s="413"/>
      <c r="G626" s="413"/>
      <c r="H626" s="413"/>
      <c r="I626" s="413"/>
      <c r="J626" s="413"/>
      <c r="K626" s="413"/>
      <c r="L626" s="413"/>
      <c r="M626" s="413"/>
      <c r="N626" s="413"/>
      <c r="O626" s="413"/>
      <c r="P626" s="472"/>
      <c r="Q626" s="413"/>
      <c r="R626" s="413"/>
      <c r="S626" s="413"/>
      <c r="T626" s="473"/>
      <c r="U626" s="413"/>
      <c r="V626" s="413"/>
      <c r="W626" s="413"/>
      <c r="X626" s="413"/>
      <c r="Y626" s="413"/>
      <c r="Z626" s="413"/>
      <c r="AA626" s="413"/>
      <c r="AB626" s="413"/>
      <c r="AC626" s="413"/>
      <c r="AD626" s="413"/>
      <c r="AE626" s="413"/>
      <c r="AF626" s="413"/>
      <c r="AG626" s="413"/>
      <c r="AH626" s="419">
        <f t="shared" si="626"/>
        <v>0</v>
      </c>
      <c r="AI626" s="413"/>
      <c r="AJ626" s="413"/>
      <c r="AK626" s="413"/>
      <c r="AL626" s="413"/>
      <c r="AM626" s="413"/>
    </row>
    <row r="627" spans="1:39" ht="12.75">
      <c r="A627" s="412"/>
      <c r="B627" s="413"/>
      <c r="C627" s="413"/>
      <c r="D627" s="465"/>
      <c r="E627" s="413"/>
      <c r="F627" s="413"/>
      <c r="G627" s="413"/>
      <c r="H627" s="413"/>
      <c r="I627" s="413"/>
      <c r="J627" s="413"/>
      <c r="K627" s="413"/>
      <c r="L627" s="413"/>
      <c r="M627" s="413"/>
      <c r="N627" s="413"/>
      <c r="O627" s="413"/>
      <c r="P627" s="472"/>
      <c r="Q627" s="413"/>
      <c r="R627" s="413"/>
      <c r="S627" s="413"/>
      <c r="T627" s="473"/>
      <c r="U627" s="413"/>
      <c r="V627" s="413"/>
      <c r="W627" s="413"/>
      <c r="X627" s="413"/>
      <c r="Y627" s="413"/>
      <c r="Z627" s="413"/>
      <c r="AA627" s="413"/>
      <c r="AB627" s="413"/>
      <c r="AC627" s="413"/>
      <c r="AD627" s="413"/>
      <c r="AE627" s="413"/>
      <c r="AF627" s="413"/>
      <c r="AG627" s="413"/>
      <c r="AH627" s="419">
        <f t="shared" si="626"/>
        <v>0</v>
      </c>
      <c r="AI627" s="413"/>
      <c r="AJ627" s="413"/>
      <c r="AK627" s="413"/>
      <c r="AL627" s="413"/>
      <c r="AM627" s="413"/>
    </row>
    <row r="628" spans="1:39" ht="12.75">
      <c r="A628" s="412"/>
      <c r="B628" s="413"/>
      <c r="C628" s="413"/>
      <c r="D628" s="465"/>
      <c r="E628" s="413"/>
      <c r="F628" s="413"/>
      <c r="G628" s="413"/>
      <c r="H628" s="413"/>
      <c r="I628" s="413"/>
      <c r="J628" s="413"/>
      <c r="K628" s="413"/>
      <c r="L628" s="413"/>
      <c r="M628" s="413"/>
      <c r="N628" s="413"/>
      <c r="O628" s="413"/>
      <c r="P628" s="472"/>
      <c r="Q628" s="413"/>
      <c r="R628" s="413"/>
      <c r="S628" s="413"/>
      <c r="T628" s="473"/>
      <c r="U628" s="413"/>
      <c r="V628" s="413"/>
      <c r="W628" s="413"/>
      <c r="X628" s="413"/>
      <c r="Y628" s="413"/>
      <c r="Z628" s="413"/>
      <c r="AA628" s="413"/>
      <c r="AB628" s="413"/>
      <c r="AC628" s="413"/>
      <c r="AD628" s="413"/>
      <c r="AE628" s="413"/>
      <c r="AF628" s="413"/>
      <c r="AG628" s="413"/>
      <c r="AH628" s="419">
        <f t="shared" si="626"/>
        <v>0</v>
      </c>
      <c r="AI628" s="413"/>
      <c r="AJ628" s="413"/>
      <c r="AK628" s="413"/>
      <c r="AL628" s="413"/>
      <c r="AM628" s="413"/>
    </row>
    <row r="629" spans="1:39" ht="12.75">
      <c r="A629" s="412"/>
      <c r="B629" s="413"/>
      <c r="C629" s="413"/>
      <c r="D629" s="465"/>
      <c r="E629" s="413"/>
      <c r="F629" s="413"/>
      <c r="G629" s="413"/>
      <c r="H629" s="413"/>
      <c r="I629" s="413"/>
      <c r="J629" s="413"/>
      <c r="K629" s="413"/>
      <c r="L629" s="413"/>
      <c r="M629" s="413"/>
      <c r="N629" s="413"/>
      <c r="O629" s="413"/>
      <c r="P629" s="472"/>
      <c r="Q629" s="413"/>
      <c r="R629" s="413"/>
      <c r="S629" s="413"/>
      <c r="T629" s="473"/>
      <c r="U629" s="413"/>
      <c r="V629" s="413"/>
      <c r="W629" s="413"/>
      <c r="X629" s="413"/>
      <c r="Y629" s="413"/>
      <c r="Z629" s="413"/>
      <c r="AA629" s="413"/>
      <c r="AB629" s="413"/>
      <c r="AC629" s="413"/>
      <c r="AD629" s="413"/>
      <c r="AE629" s="413"/>
      <c r="AF629" s="413"/>
      <c r="AG629" s="413"/>
      <c r="AH629" s="419">
        <f t="shared" si="626"/>
        <v>0</v>
      </c>
      <c r="AI629" s="413"/>
      <c r="AJ629" s="413"/>
      <c r="AK629" s="413"/>
      <c r="AL629" s="413"/>
      <c r="AM629" s="413"/>
    </row>
    <row r="630" spans="1:39" ht="12.75">
      <c r="A630" s="412"/>
      <c r="B630" s="413"/>
      <c r="C630" s="413"/>
      <c r="D630" s="465"/>
      <c r="E630" s="413"/>
      <c r="F630" s="413"/>
      <c r="G630" s="413"/>
      <c r="H630" s="413"/>
      <c r="I630" s="413"/>
      <c r="J630" s="413"/>
      <c r="K630" s="413"/>
      <c r="L630" s="413"/>
      <c r="M630" s="413"/>
      <c r="N630" s="413"/>
      <c r="O630" s="413"/>
      <c r="P630" s="472"/>
      <c r="Q630" s="413"/>
      <c r="R630" s="413"/>
      <c r="S630" s="413"/>
      <c r="T630" s="473"/>
      <c r="U630" s="413"/>
      <c r="V630" s="413"/>
      <c r="W630" s="413"/>
      <c r="X630" s="413"/>
      <c r="Y630" s="413"/>
      <c r="Z630" s="413"/>
      <c r="AA630" s="413"/>
      <c r="AB630" s="413"/>
      <c r="AC630" s="413"/>
      <c r="AD630" s="413"/>
      <c r="AE630" s="413"/>
      <c r="AF630" s="413"/>
      <c r="AG630" s="413"/>
      <c r="AH630" s="419">
        <f t="shared" si="626"/>
        <v>0</v>
      </c>
      <c r="AI630" s="413"/>
      <c r="AJ630" s="413"/>
      <c r="AK630" s="413"/>
      <c r="AL630" s="413"/>
      <c r="AM630" s="413"/>
    </row>
    <row r="631" spans="1:39" ht="12.75">
      <c r="A631" s="412"/>
      <c r="B631" s="413"/>
      <c r="C631" s="413"/>
      <c r="D631" s="465"/>
      <c r="E631" s="413"/>
      <c r="F631" s="413"/>
      <c r="G631" s="413"/>
      <c r="H631" s="413"/>
      <c r="I631" s="413"/>
      <c r="J631" s="413"/>
      <c r="K631" s="413"/>
      <c r="L631" s="413"/>
      <c r="M631" s="413"/>
      <c r="N631" s="413"/>
      <c r="O631" s="413"/>
      <c r="P631" s="472"/>
      <c r="Q631" s="413"/>
      <c r="R631" s="413"/>
      <c r="S631" s="413"/>
      <c r="T631" s="473"/>
      <c r="U631" s="413"/>
      <c r="V631" s="413"/>
      <c r="W631" s="413"/>
      <c r="X631" s="413"/>
      <c r="Y631" s="413"/>
      <c r="Z631" s="413"/>
      <c r="AA631" s="413"/>
      <c r="AB631" s="413"/>
      <c r="AC631" s="413"/>
      <c r="AD631" s="413"/>
      <c r="AE631" s="413"/>
      <c r="AF631" s="413"/>
      <c r="AG631" s="413"/>
      <c r="AH631" s="419">
        <f t="shared" si="626"/>
        <v>0</v>
      </c>
      <c r="AI631" s="413"/>
      <c r="AJ631" s="413"/>
      <c r="AK631" s="413"/>
      <c r="AL631" s="413"/>
      <c r="AM631" s="413"/>
    </row>
    <row r="632" spans="1:39" ht="12.75">
      <c r="A632" s="412"/>
      <c r="B632" s="413"/>
      <c r="C632" s="413"/>
      <c r="D632" s="465"/>
      <c r="E632" s="413"/>
      <c r="F632" s="413"/>
      <c r="G632" s="413"/>
      <c r="H632" s="413"/>
      <c r="I632" s="413"/>
      <c r="J632" s="413"/>
      <c r="K632" s="413"/>
      <c r="L632" s="413"/>
      <c r="M632" s="413"/>
      <c r="N632" s="413"/>
      <c r="O632" s="413"/>
      <c r="P632" s="472"/>
      <c r="Q632" s="413"/>
      <c r="R632" s="413"/>
      <c r="S632" s="413"/>
      <c r="T632" s="473"/>
      <c r="U632" s="413"/>
      <c r="V632" s="413"/>
      <c r="W632" s="413"/>
      <c r="X632" s="413"/>
      <c r="Y632" s="413"/>
      <c r="Z632" s="413"/>
      <c r="AA632" s="413"/>
      <c r="AB632" s="413"/>
      <c r="AC632" s="413"/>
      <c r="AD632" s="413"/>
      <c r="AE632" s="413"/>
      <c r="AF632" s="413"/>
      <c r="AG632" s="413"/>
      <c r="AH632" s="419">
        <f t="shared" si="626"/>
        <v>0</v>
      </c>
      <c r="AI632" s="413"/>
      <c r="AJ632" s="413"/>
      <c r="AK632" s="413"/>
      <c r="AL632" s="413"/>
      <c r="AM632" s="413"/>
    </row>
    <row r="633" spans="1:39" ht="12.75">
      <c r="A633" s="412"/>
      <c r="B633" s="413"/>
      <c r="C633" s="413"/>
      <c r="D633" s="465"/>
      <c r="E633" s="413"/>
      <c r="F633" s="413"/>
      <c r="G633" s="413"/>
      <c r="H633" s="413"/>
      <c r="I633" s="413"/>
      <c r="J633" s="413"/>
      <c r="K633" s="413"/>
      <c r="L633" s="413"/>
      <c r="M633" s="413"/>
      <c r="N633" s="413"/>
      <c r="O633" s="413"/>
      <c r="P633" s="472"/>
      <c r="Q633" s="413"/>
      <c r="R633" s="413"/>
      <c r="S633" s="413"/>
      <c r="T633" s="473"/>
      <c r="U633" s="413"/>
      <c r="V633" s="413"/>
      <c r="W633" s="413"/>
      <c r="X633" s="413"/>
      <c r="Y633" s="413"/>
      <c r="Z633" s="413"/>
      <c r="AA633" s="413"/>
      <c r="AB633" s="413"/>
      <c r="AC633" s="413"/>
      <c r="AD633" s="413"/>
      <c r="AE633" s="413"/>
      <c r="AF633" s="413"/>
      <c r="AG633" s="413"/>
      <c r="AH633" s="419">
        <f t="shared" si="626"/>
        <v>0</v>
      </c>
      <c r="AI633" s="413"/>
      <c r="AJ633" s="413"/>
      <c r="AK633" s="413"/>
      <c r="AL633" s="413"/>
      <c r="AM633" s="413"/>
    </row>
    <row r="634" spans="1:39" ht="12.75">
      <c r="A634" s="412"/>
      <c r="B634" s="413"/>
      <c r="C634" s="413"/>
      <c r="D634" s="465"/>
      <c r="E634" s="413"/>
      <c r="F634" s="413"/>
      <c r="G634" s="413"/>
      <c r="H634" s="413"/>
      <c r="I634" s="413"/>
      <c r="J634" s="413"/>
      <c r="K634" s="413"/>
      <c r="L634" s="413"/>
      <c r="M634" s="413"/>
      <c r="N634" s="413"/>
      <c r="O634" s="413"/>
      <c r="P634" s="472"/>
      <c r="Q634" s="413"/>
      <c r="R634" s="413"/>
      <c r="S634" s="413"/>
      <c r="T634" s="473"/>
      <c r="U634" s="413"/>
      <c r="V634" s="413"/>
      <c r="W634" s="413"/>
      <c r="X634" s="413"/>
      <c r="Y634" s="413"/>
      <c r="Z634" s="413"/>
      <c r="AA634" s="413"/>
      <c r="AB634" s="413"/>
      <c r="AC634" s="413"/>
      <c r="AD634" s="413"/>
      <c r="AE634" s="413"/>
      <c r="AF634" s="413"/>
      <c r="AG634" s="413"/>
      <c r="AH634" s="419">
        <f t="shared" si="626"/>
        <v>0</v>
      </c>
      <c r="AI634" s="413"/>
      <c r="AJ634" s="413"/>
      <c r="AK634" s="413"/>
      <c r="AL634" s="413"/>
      <c r="AM634" s="413"/>
    </row>
    <row r="635" spans="1:39" ht="12.75">
      <c r="A635" s="412"/>
      <c r="B635" s="413"/>
      <c r="C635" s="413"/>
      <c r="D635" s="465"/>
      <c r="E635" s="413"/>
      <c r="F635" s="413"/>
      <c r="G635" s="413"/>
      <c r="H635" s="413"/>
      <c r="I635" s="413"/>
      <c r="J635" s="413"/>
      <c r="K635" s="413"/>
      <c r="L635" s="413"/>
      <c r="M635" s="413"/>
      <c r="N635" s="413"/>
      <c r="O635" s="413"/>
      <c r="P635" s="472"/>
      <c r="Q635" s="413"/>
      <c r="R635" s="413"/>
      <c r="S635" s="413"/>
      <c r="T635" s="473"/>
      <c r="U635" s="413"/>
      <c r="V635" s="413"/>
      <c r="W635" s="413"/>
      <c r="X635" s="413"/>
      <c r="Y635" s="413"/>
      <c r="Z635" s="413"/>
      <c r="AA635" s="413"/>
      <c r="AB635" s="413"/>
      <c r="AC635" s="413"/>
      <c r="AD635" s="413"/>
      <c r="AE635" s="413"/>
      <c r="AF635" s="413"/>
      <c r="AG635" s="413"/>
      <c r="AH635" s="419">
        <f t="shared" si="626"/>
        <v>0</v>
      </c>
      <c r="AI635" s="413"/>
      <c r="AJ635" s="413"/>
      <c r="AK635" s="413"/>
      <c r="AL635" s="413"/>
      <c r="AM635" s="413"/>
    </row>
    <row r="636" spans="1:39" ht="12.75">
      <c r="A636" s="412"/>
      <c r="B636" s="413"/>
      <c r="C636" s="413"/>
      <c r="D636" s="465"/>
      <c r="E636" s="413"/>
      <c r="F636" s="413"/>
      <c r="G636" s="413"/>
      <c r="H636" s="413"/>
      <c r="I636" s="413"/>
      <c r="J636" s="413"/>
      <c r="K636" s="413"/>
      <c r="L636" s="413"/>
      <c r="M636" s="413"/>
      <c r="N636" s="413"/>
      <c r="O636" s="413"/>
      <c r="P636" s="472"/>
      <c r="Q636" s="413"/>
      <c r="R636" s="413"/>
      <c r="S636" s="413"/>
      <c r="T636" s="473"/>
      <c r="U636" s="413"/>
      <c r="V636" s="413"/>
      <c r="W636" s="413"/>
      <c r="X636" s="413"/>
      <c r="Y636" s="413"/>
      <c r="Z636" s="413"/>
      <c r="AA636" s="413"/>
      <c r="AB636" s="413"/>
      <c r="AC636" s="413"/>
      <c r="AD636" s="413"/>
      <c r="AE636" s="413"/>
      <c r="AF636" s="413"/>
      <c r="AG636" s="413"/>
      <c r="AH636" s="419">
        <f t="shared" si="626"/>
        <v>0</v>
      </c>
      <c r="AI636" s="413"/>
      <c r="AJ636" s="413"/>
      <c r="AK636" s="413"/>
      <c r="AL636" s="413"/>
      <c r="AM636" s="413"/>
    </row>
    <row r="637" spans="1:39" ht="12.75">
      <c r="A637" s="412"/>
      <c r="B637" s="413"/>
      <c r="C637" s="413"/>
      <c r="D637" s="465"/>
      <c r="E637" s="413"/>
      <c r="F637" s="413"/>
      <c r="G637" s="413"/>
      <c r="H637" s="413"/>
      <c r="I637" s="413"/>
      <c r="J637" s="413"/>
      <c r="K637" s="413"/>
      <c r="L637" s="413"/>
      <c r="M637" s="413"/>
      <c r="N637" s="413"/>
      <c r="O637" s="413"/>
      <c r="P637" s="472"/>
      <c r="Q637" s="413"/>
      <c r="R637" s="413"/>
      <c r="S637" s="413"/>
      <c r="T637" s="473"/>
      <c r="U637" s="413"/>
      <c r="V637" s="413"/>
      <c r="W637" s="413"/>
      <c r="X637" s="413"/>
      <c r="Y637" s="413"/>
      <c r="Z637" s="413"/>
      <c r="AA637" s="413"/>
      <c r="AB637" s="413"/>
      <c r="AC637" s="413"/>
      <c r="AD637" s="413"/>
      <c r="AE637" s="413"/>
      <c r="AF637" s="413"/>
      <c r="AG637" s="413"/>
      <c r="AH637" s="419">
        <f t="shared" si="626"/>
        <v>0</v>
      </c>
      <c r="AI637" s="413"/>
      <c r="AJ637" s="413"/>
      <c r="AK637" s="413"/>
      <c r="AL637" s="413"/>
      <c r="AM637" s="413"/>
    </row>
    <row r="638" spans="1:39" ht="12.75">
      <c r="A638" s="412"/>
      <c r="B638" s="413"/>
      <c r="C638" s="413"/>
      <c r="D638" s="465"/>
      <c r="E638" s="413"/>
      <c r="F638" s="413"/>
      <c r="G638" s="413"/>
      <c r="H638" s="413"/>
      <c r="I638" s="413"/>
      <c r="J638" s="413"/>
      <c r="K638" s="413"/>
      <c r="L638" s="413"/>
      <c r="M638" s="413"/>
      <c r="N638" s="413"/>
      <c r="O638" s="413"/>
      <c r="P638" s="472"/>
      <c r="Q638" s="413"/>
      <c r="R638" s="413"/>
      <c r="S638" s="413"/>
      <c r="T638" s="473"/>
      <c r="U638" s="413"/>
      <c r="V638" s="413"/>
      <c r="W638" s="413"/>
      <c r="X638" s="413"/>
      <c r="Y638" s="413"/>
      <c r="Z638" s="413"/>
      <c r="AA638" s="413"/>
      <c r="AB638" s="413"/>
      <c r="AC638" s="413"/>
      <c r="AD638" s="413"/>
      <c r="AE638" s="413"/>
      <c r="AF638" s="413"/>
      <c r="AG638" s="413"/>
      <c r="AH638" s="419">
        <f t="shared" si="626"/>
        <v>0</v>
      </c>
      <c r="AI638" s="413"/>
      <c r="AJ638" s="413"/>
      <c r="AK638" s="413"/>
      <c r="AL638" s="413"/>
      <c r="AM638" s="413"/>
    </row>
    <row r="639" spans="1:39" ht="12.75">
      <c r="A639" s="412"/>
      <c r="B639" s="413"/>
      <c r="C639" s="413"/>
      <c r="D639" s="465"/>
      <c r="E639" s="413"/>
      <c r="F639" s="413"/>
      <c r="G639" s="413"/>
      <c r="H639" s="413"/>
      <c r="I639" s="413"/>
      <c r="J639" s="413"/>
      <c r="K639" s="413"/>
      <c r="L639" s="413"/>
      <c r="M639" s="413"/>
      <c r="N639" s="413"/>
      <c r="O639" s="413"/>
      <c r="P639" s="472"/>
      <c r="Q639" s="413"/>
      <c r="R639" s="413"/>
      <c r="S639" s="413"/>
      <c r="T639" s="473"/>
      <c r="U639" s="413"/>
      <c r="V639" s="413"/>
      <c r="W639" s="413"/>
      <c r="X639" s="413"/>
      <c r="Y639" s="413"/>
      <c r="Z639" s="413"/>
      <c r="AA639" s="413"/>
      <c r="AB639" s="413"/>
      <c r="AC639" s="413"/>
      <c r="AD639" s="413"/>
      <c r="AE639" s="413"/>
      <c r="AF639" s="413"/>
      <c r="AG639" s="413"/>
      <c r="AH639" s="419">
        <f t="shared" si="626"/>
        <v>0</v>
      </c>
      <c r="AI639" s="413"/>
      <c r="AJ639" s="413"/>
      <c r="AK639" s="413"/>
      <c r="AL639" s="413"/>
      <c r="AM639" s="413"/>
    </row>
    <row r="640" spans="1:39" ht="12.75">
      <c r="A640" s="412"/>
      <c r="B640" s="413"/>
      <c r="C640" s="413"/>
      <c r="D640" s="465"/>
      <c r="E640" s="413"/>
      <c r="F640" s="413"/>
      <c r="G640" s="413"/>
      <c r="H640" s="413"/>
      <c r="I640" s="413"/>
      <c r="J640" s="413"/>
      <c r="K640" s="413"/>
      <c r="L640" s="413"/>
      <c r="M640" s="413"/>
      <c r="N640" s="413"/>
      <c r="O640" s="413"/>
      <c r="P640" s="472"/>
      <c r="Q640" s="413"/>
      <c r="R640" s="413"/>
      <c r="S640" s="413"/>
      <c r="T640" s="473"/>
      <c r="U640" s="413"/>
      <c r="V640" s="413"/>
      <c r="W640" s="413"/>
      <c r="X640" s="413"/>
      <c r="Y640" s="413"/>
      <c r="Z640" s="413"/>
      <c r="AA640" s="413"/>
      <c r="AB640" s="413"/>
      <c r="AC640" s="413"/>
      <c r="AD640" s="413"/>
      <c r="AE640" s="413"/>
      <c r="AF640" s="413"/>
      <c r="AG640" s="413"/>
      <c r="AH640" s="419">
        <f t="shared" si="626"/>
        <v>0</v>
      </c>
      <c r="AI640" s="413"/>
      <c r="AJ640" s="413"/>
      <c r="AK640" s="413"/>
      <c r="AL640" s="413"/>
      <c r="AM640" s="413"/>
    </row>
    <row r="641" spans="1:39" ht="12.75">
      <c r="A641" s="412"/>
      <c r="B641" s="413"/>
      <c r="C641" s="413"/>
      <c r="D641" s="465"/>
      <c r="E641" s="413"/>
      <c r="F641" s="413"/>
      <c r="G641" s="413"/>
      <c r="H641" s="413"/>
      <c r="I641" s="413"/>
      <c r="J641" s="413"/>
      <c r="K641" s="413"/>
      <c r="L641" s="413"/>
      <c r="M641" s="413"/>
      <c r="N641" s="413"/>
      <c r="O641" s="413"/>
      <c r="P641" s="472"/>
      <c r="Q641" s="413"/>
      <c r="R641" s="413"/>
      <c r="S641" s="413"/>
      <c r="T641" s="473"/>
      <c r="U641" s="413"/>
      <c r="V641" s="413"/>
      <c r="W641" s="413"/>
      <c r="X641" s="413"/>
      <c r="Y641" s="413"/>
      <c r="Z641" s="413"/>
      <c r="AA641" s="413"/>
      <c r="AB641" s="413"/>
      <c r="AC641" s="413"/>
      <c r="AD641" s="413"/>
      <c r="AE641" s="413"/>
      <c r="AF641" s="413"/>
      <c r="AG641" s="413"/>
      <c r="AH641" s="419">
        <f t="shared" si="626"/>
        <v>0</v>
      </c>
      <c r="AI641" s="413"/>
      <c r="AJ641" s="413"/>
      <c r="AK641" s="413"/>
      <c r="AL641" s="413"/>
      <c r="AM641" s="413"/>
    </row>
    <row r="642" spans="1:39" ht="12.75">
      <c r="A642" s="412"/>
      <c r="B642" s="413"/>
      <c r="C642" s="413"/>
      <c r="D642" s="465"/>
      <c r="E642" s="413"/>
      <c r="F642" s="413"/>
      <c r="G642" s="413"/>
      <c r="H642" s="413"/>
      <c r="I642" s="413"/>
      <c r="J642" s="413"/>
      <c r="K642" s="413"/>
      <c r="L642" s="413"/>
      <c r="M642" s="413"/>
      <c r="N642" s="413"/>
      <c r="O642" s="413"/>
      <c r="P642" s="472"/>
      <c r="Q642" s="413"/>
      <c r="R642" s="413"/>
      <c r="S642" s="413"/>
      <c r="T642" s="473"/>
      <c r="U642" s="413"/>
      <c r="V642" s="413"/>
      <c r="W642" s="413"/>
      <c r="X642" s="413"/>
      <c r="Y642" s="413"/>
      <c r="Z642" s="413"/>
      <c r="AA642" s="413"/>
      <c r="AB642" s="413"/>
      <c r="AC642" s="413"/>
      <c r="AD642" s="413"/>
      <c r="AE642" s="413"/>
      <c r="AF642" s="413"/>
      <c r="AG642" s="413"/>
      <c r="AH642" s="419">
        <f t="shared" ref="AH642:AH705" si="627">AG642-F642</f>
        <v>0</v>
      </c>
      <c r="AI642" s="413"/>
      <c r="AJ642" s="413"/>
      <c r="AK642" s="413"/>
      <c r="AL642" s="413"/>
      <c r="AM642" s="413"/>
    </row>
    <row r="643" spans="1:39" ht="12.75">
      <c r="A643" s="412"/>
      <c r="B643" s="413"/>
      <c r="C643" s="413"/>
      <c r="D643" s="465"/>
      <c r="E643" s="413"/>
      <c r="F643" s="413"/>
      <c r="G643" s="413"/>
      <c r="H643" s="413"/>
      <c r="I643" s="413"/>
      <c r="J643" s="413"/>
      <c r="K643" s="413"/>
      <c r="L643" s="413"/>
      <c r="M643" s="413"/>
      <c r="N643" s="413"/>
      <c r="O643" s="413"/>
      <c r="P643" s="472"/>
      <c r="Q643" s="413"/>
      <c r="R643" s="413"/>
      <c r="S643" s="413"/>
      <c r="T643" s="473"/>
      <c r="U643" s="413"/>
      <c r="V643" s="413"/>
      <c r="W643" s="413"/>
      <c r="X643" s="413"/>
      <c r="Y643" s="413"/>
      <c r="Z643" s="413"/>
      <c r="AA643" s="413"/>
      <c r="AB643" s="413"/>
      <c r="AC643" s="413"/>
      <c r="AD643" s="413"/>
      <c r="AE643" s="413"/>
      <c r="AF643" s="413"/>
      <c r="AG643" s="413"/>
      <c r="AH643" s="419">
        <f t="shared" si="627"/>
        <v>0</v>
      </c>
      <c r="AI643" s="413"/>
      <c r="AJ643" s="413"/>
      <c r="AK643" s="413"/>
      <c r="AL643" s="413"/>
      <c r="AM643" s="413"/>
    </row>
    <row r="644" spans="1:39" ht="12.75">
      <c r="A644" s="412"/>
      <c r="B644" s="413"/>
      <c r="C644" s="413"/>
      <c r="D644" s="465"/>
      <c r="E644" s="413"/>
      <c r="F644" s="413"/>
      <c r="G644" s="413"/>
      <c r="H644" s="413"/>
      <c r="I644" s="413"/>
      <c r="J644" s="413"/>
      <c r="K644" s="413"/>
      <c r="L644" s="413"/>
      <c r="M644" s="413"/>
      <c r="N644" s="413"/>
      <c r="O644" s="413"/>
      <c r="P644" s="472"/>
      <c r="Q644" s="413"/>
      <c r="R644" s="413"/>
      <c r="S644" s="413"/>
      <c r="T644" s="473"/>
      <c r="U644" s="413"/>
      <c r="V644" s="413"/>
      <c r="W644" s="413"/>
      <c r="X644" s="413"/>
      <c r="Y644" s="413"/>
      <c r="Z644" s="413"/>
      <c r="AA644" s="413"/>
      <c r="AB644" s="413"/>
      <c r="AC644" s="413"/>
      <c r="AD644" s="413"/>
      <c r="AE644" s="413"/>
      <c r="AF644" s="413"/>
      <c r="AG644" s="413"/>
      <c r="AH644" s="419">
        <f t="shared" si="627"/>
        <v>0</v>
      </c>
      <c r="AI644" s="413"/>
      <c r="AJ644" s="413"/>
      <c r="AK644" s="413"/>
      <c r="AL644" s="413"/>
      <c r="AM644" s="413"/>
    </row>
    <row r="645" spans="1:39" ht="12.75">
      <c r="A645" s="412"/>
      <c r="B645" s="413"/>
      <c r="C645" s="413"/>
      <c r="D645" s="465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72"/>
      <c r="Q645" s="413"/>
      <c r="R645" s="413"/>
      <c r="S645" s="413"/>
      <c r="T645" s="47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9">
        <f t="shared" si="627"/>
        <v>0</v>
      </c>
      <c r="AI645" s="413"/>
      <c r="AJ645" s="413"/>
      <c r="AK645" s="413"/>
      <c r="AL645" s="413"/>
      <c r="AM645" s="413"/>
    </row>
    <row r="646" spans="1:39" ht="12.75">
      <c r="A646" s="412"/>
      <c r="B646" s="413"/>
      <c r="C646" s="413"/>
      <c r="D646" s="465"/>
      <c r="E646" s="413"/>
      <c r="F646" s="413"/>
      <c r="G646" s="413"/>
      <c r="H646" s="413"/>
      <c r="I646" s="413"/>
      <c r="J646" s="413"/>
      <c r="K646" s="413"/>
      <c r="L646" s="413"/>
      <c r="M646" s="413"/>
      <c r="N646" s="413"/>
      <c r="O646" s="413"/>
      <c r="P646" s="472"/>
      <c r="Q646" s="413"/>
      <c r="R646" s="413"/>
      <c r="S646" s="413"/>
      <c r="T646" s="473"/>
      <c r="U646" s="413"/>
      <c r="V646" s="413"/>
      <c r="W646" s="413"/>
      <c r="X646" s="413"/>
      <c r="Y646" s="413"/>
      <c r="Z646" s="413"/>
      <c r="AA646" s="413"/>
      <c r="AB646" s="413"/>
      <c r="AC646" s="413"/>
      <c r="AD646" s="413"/>
      <c r="AE646" s="413"/>
      <c r="AF646" s="413"/>
      <c r="AG646" s="413"/>
      <c r="AH646" s="419">
        <f t="shared" si="627"/>
        <v>0</v>
      </c>
      <c r="AI646" s="413"/>
      <c r="AJ646" s="413"/>
      <c r="AK646" s="413"/>
      <c r="AL646" s="413"/>
      <c r="AM646" s="413"/>
    </row>
    <row r="647" spans="1:39" ht="12.75">
      <c r="A647" s="412"/>
      <c r="B647" s="413"/>
      <c r="C647" s="413"/>
      <c r="D647" s="465"/>
      <c r="E647" s="413"/>
      <c r="F647" s="413"/>
      <c r="G647" s="413"/>
      <c r="H647" s="413"/>
      <c r="I647" s="413"/>
      <c r="J647" s="413"/>
      <c r="K647" s="413"/>
      <c r="L647" s="413"/>
      <c r="M647" s="413"/>
      <c r="N647" s="413"/>
      <c r="O647" s="413"/>
      <c r="P647" s="472"/>
      <c r="Q647" s="413"/>
      <c r="R647" s="413"/>
      <c r="S647" s="413"/>
      <c r="T647" s="473"/>
      <c r="U647" s="413"/>
      <c r="V647" s="413"/>
      <c r="W647" s="413"/>
      <c r="X647" s="413"/>
      <c r="Y647" s="413"/>
      <c r="Z647" s="413"/>
      <c r="AA647" s="413"/>
      <c r="AB647" s="413"/>
      <c r="AC647" s="413"/>
      <c r="AD647" s="413"/>
      <c r="AE647" s="413"/>
      <c r="AF647" s="413"/>
      <c r="AG647" s="413"/>
      <c r="AH647" s="419">
        <f t="shared" si="627"/>
        <v>0</v>
      </c>
      <c r="AI647" s="413"/>
      <c r="AJ647" s="413"/>
      <c r="AK647" s="413"/>
      <c r="AL647" s="413"/>
      <c r="AM647" s="413"/>
    </row>
    <row r="648" spans="1:39" ht="12.75">
      <c r="A648" s="412"/>
      <c r="B648" s="413"/>
      <c r="C648" s="413"/>
      <c r="D648" s="465"/>
      <c r="E648" s="413"/>
      <c r="F648" s="413"/>
      <c r="G648" s="413"/>
      <c r="H648" s="413"/>
      <c r="I648" s="413"/>
      <c r="J648" s="413"/>
      <c r="K648" s="413"/>
      <c r="L648" s="413"/>
      <c r="M648" s="413"/>
      <c r="N648" s="413"/>
      <c r="O648" s="413"/>
      <c r="P648" s="472"/>
      <c r="Q648" s="413"/>
      <c r="R648" s="413"/>
      <c r="S648" s="413"/>
      <c r="T648" s="473"/>
      <c r="U648" s="413"/>
      <c r="V648" s="413"/>
      <c r="W648" s="413"/>
      <c r="X648" s="413"/>
      <c r="Y648" s="413"/>
      <c r="Z648" s="413"/>
      <c r="AA648" s="413"/>
      <c r="AB648" s="413"/>
      <c r="AC648" s="413"/>
      <c r="AD648" s="413"/>
      <c r="AE648" s="413"/>
      <c r="AF648" s="413"/>
      <c r="AG648" s="413"/>
      <c r="AH648" s="419">
        <f t="shared" si="627"/>
        <v>0</v>
      </c>
      <c r="AI648" s="413"/>
      <c r="AJ648" s="413"/>
      <c r="AK648" s="413"/>
      <c r="AL648" s="413"/>
      <c r="AM648" s="413"/>
    </row>
    <row r="649" spans="1:39" ht="12.75">
      <c r="A649" s="412"/>
      <c r="B649" s="413"/>
      <c r="C649" s="413"/>
      <c r="D649" s="465"/>
      <c r="E649" s="413"/>
      <c r="F649" s="413"/>
      <c r="G649" s="413"/>
      <c r="H649" s="413"/>
      <c r="I649" s="413"/>
      <c r="J649" s="413"/>
      <c r="K649" s="413"/>
      <c r="L649" s="413"/>
      <c r="M649" s="413"/>
      <c r="N649" s="413"/>
      <c r="O649" s="413"/>
      <c r="P649" s="472"/>
      <c r="Q649" s="413"/>
      <c r="R649" s="413"/>
      <c r="S649" s="413"/>
      <c r="T649" s="473"/>
      <c r="U649" s="413"/>
      <c r="V649" s="413"/>
      <c r="W649" s="413"/>
      <c r="X649" s="413"/>
      <c r="Y649" s="413"/>
      <c r="Z649" s="413"/>
      <c r="AA649" s="413"/>
      <c r="AB649" s="413"/>
      <c r="AC649" s="413"/>
      <c r="AD649" s="413"/>
      <c r="AE649" s="413"/>
      <c r="AF649" s="413"/>
      <c r="AG649" s="413"/>
      <c r="AH649" s="419">
        <f t="shared" si="627"/>
        <v>0</v>
      </c>
      <c r="AI649" s="413"/>
      <c r="AJ649" s="413"/>
      <c r="AK649" s="413"/>
      <c r="AL649" s="413"/>
      <c r="AM649" s="413"/>
    </row>
    <row r="650" spans="1:39" ht="12.75">
      <c r="A650" s="412"/>
      <c r="B650" s="413"/>
      <c r="C650" s="413"/>
      <c r="D650" s="465"/>
      <c r="E650" s="413"/>
      <c r="F650" s="413"/>
      <c r="G650" s="413"/>
      <c r="H650" s="413"/>
      <c r="I650" s="413"/>
      <c r="J650" s="413"/>
      <c r="K650" s="413"/>
      <c r="L650" s="413"/>
      <c r="M650" s="413"/>
      <c r="N650" s="413"/>
      <c r="O650" s="413"/>
      <c r="P650" s="472"/>
      <c r="Q650" s="413"/>
      <c r="R650" s="413"/>
      <c r="S650" s="413"/>
      <c r="T650" s="473"/>
      <c r="U650" s="413"/>
      <c r="V650" s="413"/>
      <c r="W650" s="413"/>
      <c r="X650" s="413"/>
      <c r="Y650" s="413"/>
      <c r="Z650" s="413"/>
      <c r="AA650" s="413"/>
      <c r="AB650" s="413"/>
      <c r="AC650" s="413"/>
      <c r="AD650" s="413"/>
      <c r="AE650" s="413"/>
      <c r="AF650" s="413"/>
      <c r="AG650" s="413"/>
      <c r="AH650" s="419">
        <f t="shared" si="627"/>
        <v>0</v>
      </c>
      <c r="AI650" s="413"/>
      <c r="AJ650" s="413"/>
      <c r="AK650" s="413"/>
      <c r="AL650" s="413"/>
      <c r="AM650" s="413"/>
    </row>
    <row r="651" spans="1:39" ht="12.75">
      <c r="A651" s="412"/>
      <c r="B651" s="413"/>
      <c r="C651" s="413"/>
      <c r="D651" s="465"/>
      <c r="E651" s="413"/>
      <c r="F651" s="413"/>
      <c r="G651" s="413"/>
      <c r="H651" s="413"/>
      <c r="I651" s="413"/>
      <c r="J651" s="413"/>
      <c r="K651" s="413"/>
      <c r="L651" s="413"/>
      <c r="M651" s="413"/>
      <c r="N651" s="413"/>
      <c r="O651" s="413"/>
      <c r="P651" s="472"/>
      <c r="Q651" s="413"/>
      <c r="R651" s="413"/>
      <c r="S651" s="413"/>
      <c r="T651" s="473"/>
      <c r="U651" s="413"/>
      <c r="V651" s="413"/>
      <c r="W651" s="413"/>
      <c r="X651" s="413"/>
      <c r="Y651" s="413"/>
      <c r="Z651" s="413"/>
      <c r="AA651" s="413"/>
      <c r="AB651" s="413"/>
      <c r="AC651" s="413"/>
      <c r="AD651" s="413"/>
      <c r="AE651" s="413"/>
      <c r="AF651" s="413"/>
      <c r="AG651" s="413"/>
      <c r="AH651" s="419">
        <f t="shared" si="627"/>
        <v>0</v>
      </c>
      <c r="AI651" s="413"/>
      <c r="AJ651" s="413"/>
      <c r="AK651" s="413"/>
      <c r="AL651" s="413"/>
      <c r="AM651" s="413"/>
    </row>
    <row r="652" spans="1:39" ht="12.75">
      <c r="A652" s="412"/>
      <c r="B652" s="413"/>
      <c r="C652" s="413"/>
      <c r="D652" s="465"/>
      <c r="E652" s="413"/>
      <c r="F652" s="413"/>
      <c r="G652" s="413"/>
      <c r="H652" s="413"/>
      <c r="I652" s="413"/>
      <c r="J652" s="413"/>
      <c r="K652" s="413"/>
      <c r="L652" s="413"/>
      <c r="M652" s="413"/>
      <c r="N652" s="413"/>
      <c r="O652" s="413"/>
      <c r="P652" s="472"/>
      <c r="Q652" s="413"/>
      <c r="R652" s="413"/>
      <c r="S652" s="413"/>
      <c r="T652" s="473"/>
      <c r="U652" s="413"/>
      <c r="V652" s="413"/>
      <c r="W652" s="413"/>
      <c r="X652" s="413"/>
      <c r="Y652" s="413"/>
      <c r="Z652" s="413"/>
      <c r="AA652" s="413"/>
      <c r="AB652" s="413"/>
      <c r="AC652" s="413"/>
      <c r="AD652" s="413"/>
      <c r="AE652" s="413"/>
      <c r="AF652" s="413"/>
      <c r="AG652" s="413"/>
      <c r="AH652" s="419">
        <f t="shared" si="627"/>
        <v>0</v>
      </c>
      <c r="AI652" s="413"/>
      <c r="AJ652" s="413"/>
      <c r="AK652" s="413"/>
      <c r="AL652" s="413"/>
      <c r="AM652" s="413"/>
    </row>
    <row r="653" spans="1:39" ht="12.75">
      <c r="A653" s="412"/>
      <c r="B653" s="413"/>
      <c r="C653" s="413"/>
      <c r="D653" s="465"/>
      <c r="E653" s="413"/>
      <c r="F653" s="413"/>
      <c r="G653" s="413"/>
      <c r="H653" s="413"/>
      <c r="I653" s="413"/>
      <c r="J653" s="413"/>
      <c r="K653" s="413"/>
      <c r="L653" s="413"/>
      <c r="M653" s="413"/>
      <c r="N653" s="413"/>
      <c r="O653" s="413"/>
      <c r="P653" s="472"/>
      <c r="Q653" s="413"/>
      <c r="R653" s="413"/>
      <c r="S653" s="413"/>
      <c r="T653" s="473"/>
      <c r="U653" s="413"/>
      <c r="V653" s="413"/>
      <c r="W653" s="413"/>
      <c r="X653" s="413"/>
      <c r="Y653" s="413"/>
      <c r="Z653" s="413"/>
      <c r="AA653" s="413"/>
      <c r="AB653" s="413"/>
      <c r="AC653" s="413"/>
      <c r="AD653" s="413"/>
      <c r="AE653" s="413"/>
      <c r="AF653" s="413"/>
      <c r="AG653" s="413"/>
      <c r="AH653" s="419">
        <f t="shared" si="627"/>
        <v>0</v>
      </c>
      <c r="AI653" s="413"/>
      <c r="AJ653" s="413"/>
      <c r="AK653" s="413"/>
      <c r="AL653" s="413"/>
      <c r="AM653" s="413"/>
    </row>
    <row r="654" spans="1:39" ht="12.75">
      <c r="A654" s="412"/>
      <c r="B654" s="413"/>
      <c r="C654" s="413"/>
      <c r="D654" s="465"/>
      <c r="E654" s="413"/>
      <c r="F654" s="413"/>
      <c r="G654" s="413"/>
      <c r="H654" s="413"/>
      <c r="I654" s="413"/>
      <c r="J654" s="413"/>
      <c r="K654" s="413"/>
      <c r="L654" s="413"/>
      <c r="M654" s="413"/>
      <c r="N654" s="413"/>
      <c r="O654" s="413"/>
      <c r="P654" s="472"/>
      <c r="Q654" s="413"/>
      <c r="R654" s="413"/>
      <c r="S654" s="413"/>
      <c r="T654" s="473"/>
      <c r="U654" s="413"/>
      <c r="V654" s="413"/>
      <c r="W654" s="413"/>
      <c r="X654" s="413"/>
      <c r="Y654" s="413"/>
      <c r="Z654" s="413"/>
      <c r="AA654" s="413"/>
      <c r="AB654" s="413"/>
      <c r="AC654" s="413"/>
      <c r="AD654" s="413"/>
      <c r="AE654" s="413"/>
      <c r="AF654" s="413"/>
      <c r="AG654" s="413"/>
      <c r="AH654" s="419">
        <f t="shared" si="627"/>
        <v>0</v>
      </c>
      <c r="AI654" s="413"/>
      <c r="AJ654" s="413"/>
      <c r="AK654" s="413"/>
      <c r="AL654" s="413"/>
      <c r="AM654" s="413"/>
    </row>
    <row r="655" spans="1:39" ht="12.75">
      <c r="A655" s="412"/>
      <c r="B655" s="413"/>
      <c r="C655" s="413"/>
      <c r="D655" s="465"/>
      <c r="E655" s="413"/>
      <c r="F655" s="413"/>
      <c r="G655" s="413"/>
      <c r="H655" s="413"/>
      <c r="I655" s="413"/>
      <c r="J655" s="413"/>
      <c r="K655" s="413"/>
      <c r="L655" s="413"/>
      <c r="M655" s="413"/>
      <c r="N655" s="413"/>
      <c r="O655" s="413"/>
      <c r="P655" s="472"/>
      <c r="Q655" s="413"/>
      <c r="R655" s="413"/>
      <c r="S655" s="413"/>
      <c r="T655" s="473"/>
      <c r="U655" s="413"/>
      <c r="V655" s="413"/>
      <c r="W655" s="413"/>
      <c r="X655" s="413"/>
      <c r="Y655" s="413"/>
      <c r="Z655" s="413"/>
      <c r="AA655" s="413"/>
      <c r="AB655" s="413"/>
      <c r="AC655" s="413"/>
      <c r="AD655" s="413"/>
      <c r="AE655" s="413"/>
      <c r="AF655" s="413"/>
      <c r="AG655" s="413"/>
      <c r="AH655" s="419">
        <f t="shared" si="627"/>
        <v>0</v>
      </c>
      <c r="AI655" s="413"/>
      <c r="AJ655" s="413"/>
      <c r="AK655" s="413"/>
      <c r="AL655" s="413"/>
      <c r="AM655" s="413"/>
    </row>
    <row r="656" spans="1:39" ht="12.75">
      <c r="A656" s="412"/>
      <c r="B656" s="413"/>
      <c r="C656" s="413"/>
      <c r="D656" s="465"/>
      <c r="E656" s="413"/>
      <c r="F656" s="413"/>
      <c r="G656" s="413"/>
      <c r="H656" s="413"/>
      <c r="I656" s="413"/>
      <c r="J656" s="413"/>
      <c r="K656" s="413"/>
      <c r="L656" s="413"/>
      <c r="M656" s="413"/>
      <c r="N656" s="413"/>
      <c r="O656" s="413"/>
      <c r="P656" s="472"/>
      <c r="Q656" s="413"/>
      <c r="R656" s="413"/>
      <c r="S656" s="413"/>
      <c r="T656" s="473"/>
      <c r="U656" s="413"/>
      <c r="V656" s="413"/>
      <c r="W656" s="413"/>
      <c r="X656" s="413"/>
      <c r="Y656" s="413"/>
      <c r="Z656" s="413"/>
      <c r="AA656" s="413"/>
      <c r="AB656" s="413"/>
      <c r="AC656" s="413"/>
      <c r="AD656" s="413"/>
      <c r="AE656" s="413"/>
      <c r="AF656" s="413"/>
      <c r="AG656" s="413"/>
      <c r="AH656" s="419">
        <f t="shared" si="627"/>
        <v>0</v>
      </c>
      <c r="AI656" s="413"/>
      <c r="AJ656" s="413"/>
      <c r="AK656" s="413"/>
      <c r="AL656" s="413"/>
      <c r="AM656" s="413"/>
    </row>
    <row r="657" spans="1:39" ht="12.75">
      <c r="A657" s="412"/>
      <c r="B657" s="413"/>
      <c r="C657" s="413"/>
      <c r="D657" s="465"/>
      <c r="E657" s="413"/>
      <c r="F657" s="413"/>
      <c r="G657" s="413"/>
      <c r="H657" s="413"/>
      <c r="I657" s="413"/>
      <c r="J657" s="413"/>
      <c r="K657" s="413"/>
      <c r="L657" s="413"/>
      <c r="M657" s="413"/>
      <c r="N657" s="413"/>
      <c r="O657" s="413"/>
      <c r="P657" s="472"/>
      <c r="Q657" s="413"/>
      <c r="R657" s="413"/>
      <c r="S657" s="413"/>
      <c r="T657" s="473"/>
      <c r="U657" s="413"/>
      <c r="V657" s="413"/>
      <c r="W657" s="413"/>
      <c r="X657" s="413"/>
      <c r="Y657" s="413"/>
      <c r="Z657" s="413"/>
      <c r="AA657" s="413"/>
      <c r="AB657" s="413"/>
      <c r="AC657" s="413"/>
      <c r="AD657" s="413"/>
      <c r="AE657" s="413"/>
      <c r="AF657" s="413"/>
      <c r="AG657" s="413"/>
      <c r="AH657" s="419">
        <f t="shared" si="627"/>
        <v>0</v>
      </c>
      <c r="AI657" s="413"/>
      <c r="AJ657" s="413"/>
      <c r="AK657" s="413"/>
      <c r="AL657" s="413"/>
      <c r="AM657" s="413"/>
    </row>
    <row r="658" spans="1:39" ht="12.75">
      <c r="A658" s="412"/>
      <c r="B658" s="413"/>
      <c r="C658" s="412"/>
      <c r="D658" s="486"/>
      <c r="E658" s="413"/>
      <c r="F658" s="413"/>
      <c r="G658" s="413"/>
      <c r="H658" s="413"/>
      <c r="I658" s="413"/>
      <c r="J658" s="413"/>
      <c r="K658" s="413"/>
      <c r="L658" s="413"/>
      <c r="M658" s="413"/>
      <c r="N658" s="413"/>
      <c r="O658" s="413"/>
      <c r="P658" s="472"/>
      <c r="Q658" s="413"/>
      <c r="R658" s="413"/>
      <c r="S658" s="413"/>
      <c r="T658" s="473"/>
      <c r="U658" s="413"/>
      <c r="V658" s="413"/>
      <c r="W658" s="413"/>
      <c r="X658" s="413"/>
      <c r="Y658" s="413"/>
      <c r="Z658" s="413"/>
      <c r="AA658" s="413"/>
      <c r="AB658" s="413"/>
      <c r="AC658" s="413"/>
      <c r="AD658" s="413"/>
      <c r="AE658" s="413"/>
      <c r="AF658" s="413"/>
      <c r="AG658" s="413"/>
      <c r="AH658" s="419">
        <f t="shared" si="627"/>
        <v>0</v>
      </c>
      <c r="AI658" s="413"/>
      <c r="AJ658" s="413"/>
      <c r="AK658" s="413"/>
      <c r="AL658" s="413"/>
      <c r="AM658" s="413"/>
    </row>
    <row r="659" spans="1:39" ht="12.75">
      <c r="A659" s="412"/>
      <c r="B659" s="413"/>
      <c r="C659" s="412"/>
      <c r="D659" s="486"/>
      <c r="E659" s="413"/>
      <c r="F659" s="413"/>
      <c r="G659" s="413"/>
      <c r="H659" s="413"/>
      <c r="I659" s="413"/>
      <c r="J659" s="413"/>
      <c r="K659" s="413"/>
      <c r="L659" s="413"/>
      <c r="M659" s="413"/>
      <c r="N659" s="413"/>
      <c r="O659" s="413"/>
      <c r="P659" s="472"/>
      <c r="Q659" s="413"/>
      <c r="R659" s="413"/>
      <c r="S659" s="413"/>
      <c r="T659" s="473"/>
      <c r="U659" s="413"/>
      <c r="V659" s="413"/>
      <c r="W659" s="413"/>
      <c r="X659" s="413"/>
      <c r="Y659" s="413"/>
      <c r="Z659" s="413"/>
      <c r="AA659" s="413"/>
      <c r="AB659" s="413"/>
      <c r="AC659" s="413"/>
      <c r="AD659" s="413"/>
      <c r="AE659" s="413"/>
      <c r="AF659" s="413"/>
      <c r="AG659" s="413"/>
      <c r="AH659" s="419">
        <f t="shared" si="627"/>
        <v>0</v>
      </c>
      <c r="AI659" s="413"/>
      <c r="AJ659" s="413"/>
      <c r="AK659" s="413"/>
      <c r="AL659" s="413"/>
      <c r="AM659" s="413"/>
    </row>
    <row r="660" spans="1:39" ht="12.75">
      <c r="A660" s="412"/>
      <c r="B660" s="413"/>
      <c r="C660" s="412"/>
      <c r="D660" s="486"/>
      <c r="E660" s="413"/>
      <c r="F660" s="413"/>
      <c r="G660" s="413"/>
      <c r="H660" s="413"/>
      <c r="I660" s="413"/>
      <c r="J660" s="413"/>
      <c r="K660" s="413"/>
      <c r="L660" s="413"/>
      <c r="M660" s="413"/>
      <c r="N660" s="413"/>
      <c r="O660" s="413"/>
      <c r="P660" s="487"/>
      <c r="Q660" s="412"/>
      <c r="R660" s="412"/>
      <c r="S660" s="412"/>
      <c r="T660" s="488"/>
      <c r="U660" s="413"/>
      <c r="V660" s="412"/>
      <c r="W660" s="412"/>
      <c r="X660" s="412"/>
      <c r="Y660" s="413"/>
      <c r="Z660" s="413"/>
      <c r="AA660" s="412"/>
      <c r="AB660" s="412"/>
      <c r="AC660" s="412"/>
      <c r="AD660" s="412"/>
      <c r="AE660" s="412"/>
      <c r="AF660" s="412"/>
      <c r="AG660" s="412"/>
      <c r="AH660" s="419">
        <f t="shared" si="627"/>
        <v>0</v>
      </c>
      <c r="AI660" s="412"/>
      <c r="AJ660" s="412"/>
      <c r="AK660" s="412"/>
      <c r="AL660" s="412"/>
      <c r="AM660" s="412"/>
    </row>
    <row r="661" spans="1:39" ht="12.75">
      <c r="A661" s="412"/>
      <c r="B661" s="413"/>
      <c r="C661" s="412"/>
      <c r="D661" s="486"/>
      <c r="E661" s="413"/>
      <c r="F661" s="413"/>
      <c r="G661" s="413"/>
      <c r="H661" s="413"/>
      <c r="I661" s="413"/>
      <c r="J661" s="413"/>
      <c r="K661" s="413"/>
      <c r="L661" s="413"/>
      <c r="M661" s="413"/>
      <c r="N661" s="413"/>
      <c r="O661" s="413"/>
      <c r="P661" s="487"/>
      <c r="Q661" s="412"/>
      <c r="R661" s="412"/>
      <c r="S661" s="412"/>
      <c r="T661" s="488"/>
      <c r="U661" s="413"/>
      <c r="V661" s="412"/>
      <c r="W661" s="412"/>
      <c r="X661" s="412"/>
      <c r="Y661" s="413"/>
      <c r="Z661" s="413"/>
      <c r="AA661" s="412"/>
      <c r="AB661" s="412"/>
      <c r="AC661" s="412"/>
      <c r="AD661" s="412"/>
      <c r="AE661" s="412"/>
      <c r="AF661" s="412"/>
      <c r="AG661" s="412"/>
      <c r="AH661" s="419">
        <f t="shared" si="627"/>
        <v>0</v>
      </c>
      <c r="AI661" s="412"/>
      <c r="AJ661" s="412"/>
      <c r="AK661" s="412"/>
      <c r="AL661" s="412"/>
      <c r="AM661" s="412"/>
    </row>
    <row r="662" spans="1:39" ht="12.75">
      <c r="A662" s="412"/>
      <c r="B662" s="413"/>
      <c r="C662" s="412"/>
      <c r="D662" s="486"/>
      <c r="E662" s="412"/>
      <c r="F662" s="412"/>
      <c r="G662" s="412"/>
      <c r="H662" s="412"/>
      <c r="I662" s="412"/>
      <c r="J662" s="412"/>
      <c r="K662" s="412"/>
      <c r="L662" s="412"/>
      <c r="M662" s="412"/>
      <c r="N662" s="412"/>
      <c r="O662" s="412"/>
      <c r="P662" s="487"/>
      <c r="Q662" s="412"/>
      <c r="R662" s="412"/>
      <c r="S662" s="412"/>
      <c r="T662" s="488"/>
      <c r="U662" s="412"/>
      <c r="V662" s="412"/>
      <c r="W662" s="412"/>
      <c r="X662" s="412"/>
      <c r="Y662" s="412"/>
      <c r="Z662" s="412"/>
      <c r="AA662" s="412"/>
      <c r="AB662" s="412"/>
      <c r="AC662" s="412"/>
      <c r="AD662" s="412"/>
      <c r="AE662" s="412"/>
      <c r="AF662" s="412"/>
      <c r="AG662" s="412"/>
      <c r="AH662" s="419">
        <f t="shared" si="627"/>
        <v>0</v>
      </c>
      <c r="AI662" s="412"/>
      <c r="AJ662" s="412"/>
      <c r="AK662" s="412"/>
      <c r="AL662" s="412"/>
      <c r="AM662" s="412"/>
    </row>
    <row r="663" spans="1:39" ht="12.75">
      <c r="A663" s="412"/>
      <c r="B663" s="413"/>
      <c r="C663" s="412"/>
      <c r="D663" s="486"/>
      <c r="E663" s="412"/>
      <c r="F663" s="412"/>
      <c r="G663" s="412"/>
      <c r="H663" s="412"/>
      <c r="I663" s="412"/>
      <c r="J663" s="412"/>
      <c r="K663" s="412"/>
      <c r="L663" s="412"/>
      <c r="M663" s="412"/>
      <c r="N663" s="412"/>
      <c r="O663" s="412"/>
      <c r="P663" s="487"/>
      <c r="Q663" s="412"/>
      <c r="R663" s="412"/>
      <c r="S663" s="412"/>
      <c r="T663" s="488"/>
      <c r="U663" s="412"/>
      <c r="V663" s="412"/>
      <c r="W663" s="412"/>
      <c r="X663" s="412"/>
      <c r="Y663" s="412"/>
      <c r="Z663" s="412"/>
      <c r="AA663" s="412"/>
      <c r="AB663" s="412"/>
      <c r="AC663" s="412"/>
      <c r="AD663" s="412"/>
      <c r="AE663" s="412"/>
      <c r="AF663" s="412"/>
      <c r="AG663" s="412"/>
      <c r="AH663" s="419">
        <f t="shared" si="627"/>
        <v>0</v>
      </c>
      <c r="AI663" s="412"/>
      <c r="AJ663" s="412"/>
      <c r="AK663" s="412"/>
      <c r="AL663" s="412"/>
      <c r="AM663" s="412"/>
    </row>
    <row r="664" spans="1:39" ht="12.75">
      <c r="A664" s="412"/>
      <c r="B664" s="413"/>
      <c r="C664" s="412"/>
      <c r="D664" s="486"/>
      <c r="E664" s="412"/>
      <c r="F664" s="412"/>
      <c r="G664" s="412"/>
      <c r="H664" s="412"/>
      <c r="I664" s="412"/>
      <c r="J664" s="412"/>
      <c r="K664" s="412"/>
      <c r="L664" s="412"/>
      <c r="M664" s="412"/>
      <c r="N664" s="412"/>
      <c r="O664" s="412"/>
      <c r="P664" s="487"/>
      <c r="Q664" s="412"/>
      <c r="R664" s="412"/>
      <c r="S664" s="412"/>
      <c r="T664" s="488"/>
      <c r="U664" s="412"/>
      <c r="V664" s="412"/>
      <c r="W664" s="412"/>
      <c r="X664" s="412"/>
      <c r="Y664" s="412"/>
      <c r="Z664" s="412"/>
      <c r="AA664" s="412"/>
      <c r="AB664" s="412"/>
      <c r="AC664" s="412"/>
      <c r="AD664" s="412"/>
      <c r="AE664" s="412"/>
      <c r="AF664" s="412"/>
      <c r="AG664" s="412"/>
      <c r="AH664" s="419">
        <f t="shared" si="627"/>
        <v>0</v>
      </c>
      <c r="AI664" s="412"/>
      <c r="AJ664" s="412"/>
      <c r="AK664" s="412"/>
      <c r="AL664" s="412"/>
      <c r="AM664" s="412"/>
    </row>
    <row r="665" spans="1:39" ht="12.75">
      <c r="A665" s="412"/>
      <c r="B665" s="413"/>
      <c r="C665" s="412"/>
      <c r="D665" s="486"/>
      <c r="E665" s="412"/>
      <c r="F665" s="412"/>
      <c r="G665" s="412"/>
      <c r="H665" s="412"/>
      <c r="I665" s="412"/>
      <c r="J665" s="412"/>
      <c r="K665" s="412"/>
      <c r="L665" s="412"/>
      <c r="M665" s="412"/>
      <c r="N665" s="412"/>
      <c r="O665" s="412"/>
      <c r="P665" s="487"/>
      <c r="Q665" s="412"/>
      <c r="R665" s="412"/>
      <c r="S665" s="412"/>
      <c r="T665" s="488"/>
      <c r="U665" s="412"/>
      <c r="V665" s="412"/>
      <c r="W665" s="412"/>
      <c r="X665" s="412"/>
      <c r="Y665" s="412"/>
      <c r="Z665" s="412"/>
      <c r="AA665" s="412"/>
      <c r="AB665" s="412"/>
      <c r="AC665" s="412"/>
      <c r="AD665" s="412"/>
      <c r="AE665" s="412"/>
      <c r="AF665" s="412"/>
      <c r="AG665" s="412"/>
      <c r="AH665" s="419">
        <f t="shared" si="627"/>
        <v>0</v>
      </c>
      <c r="AI665" s="412"/>
      <c r="AJ665" s="412"/>
      <c r="AK665" s="412"/>
      <c r="AL665" s="412"/>
      <c r="AM665" s="412"/>
    </row>
    <row r="666" spans="1:39" ht="12.75">
      <c r="A666" s="412"/>
      <c r="B666" s="413"/>
      <c r="C666" s="412"/>
      <c r="D666" s="486"/>
      <c r="E666" s="412"/>
      <c r="F666" s="412"/>
      <c r="G666" s="412"/>
      <c r="H666" s="412"/>
      <c r="I666" s="412"/>
      <c r="J666" s="412"/>
      <c r="K666" s="412"/>
      <c r="L666" s="412"/>
      <c r="M666" s="412"/>
      <c r="N666" s="412"/>
      <c r="O666" s="412"/>
      <c r="P666" s="487"/>
      <c r="Q666" s="412"/>
      <c r="R666" s="412"/>
      <c r="S666" s="412"/>
      <c r="T666" s="488"/>
      <c r="U666" s="412"/>
      <c r="V666" s="412"/>
      <c r="W666" s="412"/>
      <c r="X666" s="412"/>
      <c r="Y666" s="412"/>
      <c r="Z666" s="412"/>
      <c r="AA666" s="412"/>
      <c r="AB666" s="412"/>
      <c r="AC666" s="412"/>
      <c r="AD666" s="412"/>
      <c r="AE666" s="412"/>
      <c r="AF666" s="412"/>
      <c r="AG666" s="412"/>
      <c r="AH666" s="419">
        <f t="shared" si="627"/>
        <v>0</v>
      </c>
      <c r="AI666" s="412"/>
      <c r="AJ666" s="412"/>
      <c r="AK666" s="412"/>
      <c r="AL666" s="412"/>
      <c r="AM666" s="412"/>
    </row>
    <row r="667" spans="1:39" ht="12.75">
      <c r="A667" s="412"/>
      <c r="B667" s="413"/>
      <c r="C667" s="412"/>
      <c r="D667" s="486"/>
      <c r="E667" s="412"/>
      <c r="F667" s="412"/>
      <c r="G667" s="412"/>
      <c r="H667" s="412"/>
      <c r="I667" s="412"/>
      <c r="J667" s="412"/>
      <c r="K667" s="412"/>
      <c r="L667" s="412"/>
      <c r="M667" s="412"/>
      <c r="N667" s="412"/>
      <c r="O667" s="412"/>
      <c r="P667" s="487"/>
      <c r="Q667" s="412"/>
      <c r="R667" s="412"/>
      <c r="S667" s="412"/>
      <c r="T667" s="488"/>
      <c r="U667" s="412"/>
      <c r="V667" s="412"/>
      <c r="W667" s="412"/>
      <c r="X667" s="412"/>
      <c r="Y667" s="412"/>
      <c r="Z667" s="412"/>
      <c r="AA667" s="412"/>
      <c r="AB667" s="412"/>
      <c r="AC667" s="412"/>
      <c r="AD667" s="412"/>
      <c r="AE667" s="412"/>
      <c r="AF667" s="412"/>
      <c r="AG667" s="412"/>
      <c r="AH667" s="419">
        <f t="shared" si="627"/>
        <v>0</v>
      </c>
      <c r="AI667" s="412"/>
      <c r="AJ667" s="412"/>
      <c r="AK667" s="412"/>
      <c r="AL667" s="412"/>
      <c r="AM667" s="412"/>
    </row>
    <row r="668" spans="1:39" ht="12.75">
      <c r="A668" s="412"/>
      <c r="B668" s="413"/>
      <c r="C668" s="412"/>
      <c r="D668" s="486"/>
      <c r="E668" s="412"/>
      <c r="F668" s="412"/>
      <c r="G668" s="412"/>
      <c r="H668" s="412"/>
      <c r="I668" s="412"/>
      <c r="J668" s="412"/>
      <c r="K668" s="412"/>
      <c r="L668" s="412"/>
      <c r="M668" s="412"/>
      <c r="N668" s="412"/>
      <c r="O668" s="412"/>
      <c r="P668" s="487"/>
      <c r="Q668" s="412"/>
      <c r="R668" s="412"/>
      <c r="S668" s="412"/>
      <c r="T668" s="488"/>
      <c r="U668" s="412"/>
      <c r="V668" s="412"/>
      <c r="W668" s="412"/>
      <c r="X668" s="412"/>
      <c r="Y668" s="412"/>
      <c r="Z668" s="412"/>
      <c r="AA668" s="412"/>
      <c r="AB668" s="412"/>
      <c r="AC668" s="412"/>
      <c r="AD668" s="412"/>
      <c r="AE668" s="412"/>
      <c r="AF668" s="412"/>
      <c r="AG668" s="412"/>
      <c r="AH668" s="419">
        <f t="shared" si="627"/>
        <v>0</v>
      </c>
      <c r="AI668" s="412"/>
      <c r="AJ668" s="412"/>
      <c r="AK668" s="412"/>
      <c r="AL668" s="412"/>
      <c r="AM668" s="412"/>
    </row>
    <row r="669" spans="1:39" ht="12.75">
      <c r="A669" s="412"/>
      <c r="B669" s="413"/>
      <c r="C669" s="412"/>
      <c r="D669" s="486"/>
      <c r="E669" s="412"/>
      <c r="F669" s="412"/>
      <c r="G669" s="412"/>
      <c r="H669" s="412"/>
      <c r="I669" s="412"/>
      <c r="J669" s="412"/>
      <c r="K669" s="412"/>
      <c r="L669" s="412"/>
      <c r="M669" s="412"/>
      <c r="N669" s="412"/>
      <c r="O669" s="412"/>
      <c r="P669" s="487"/>
      <c r="Q669" s="412"/>
      <c r="R669" s="412"/>
      <c r="S669" s="412"/>
      <c r="T669" s="488"/>
      <c r="U669" s="412"/>
      <c r="V669" s="412"/>
      <c r="W669" s="412"/>
      <c r="X669" s="412"/>
      <c r="Y669" s="412"/>
      <c r="Z669" s="412"/>
      <c r="AA669" s="412"/>
      <c r="AB669" s="412"/>
      <c r="AC669" s="412"/>
      <c r="AD669" s="412"/>
      <c r="AE669" s="412"/>
      <c r="AF669" s="412"/>
      <c r="AG669" s="412"/>
      <c r="AH669" s="419">
        <f t="shared" si="627"/>
        <v>0</v>
      </c>
      <c r="AI669" s="412"/>
      <c r="AJ669" s="412"/>
      <c r="AK669" s="412"/>
      <c r="AL669" s="412"/>
      <c r="AM669" s="412"/>
    </row>
    <row r="670" spans="1:39" ht="12.75">
      <c r="A670" s="412"/>
      <c r="B670" s="413"/>
      <c r="C670" s="412"/>
      <c r="D670" s="486"/>
      <c r="E670" s="412"/>
      <c r="F670" s="412"/>
      <c r="G670" s="412"/>
      <c r="H670" s="412"/>
      <c r="I670" s="412"/>
      <c r="J670" s="412"/>
      <c r="K670" s="412"/>
      <c r="L670" s="412"/>
      <c r="M670" s="412"/>
      <c r="N670" s="412"/>
      <c r="O670" s="412"/>
      <c r="P670" s="487"/>
      <c r="Q670" s="412"/>
      <c r="R670" s="412"/>
      <c r="S670" s="412"/>
      <c r="T670" s="488"/>
      <c r="U670" s="412"/>
      <c r="V670" s="412"/>
      <c r="W670" s="412"/>
      <c r="X670" s="412"/>
      <c r="Y670" s="412"/>
      <c r="Z670" s="412"/>
      <c r="AA670" s="412"/>
      <c r="AB670" s="412"/>
      <c r="AC670" s="412"/>
      <c r="AD670" s="412"/>
      <c r="AE670" s="412"/>
      <c r="AF670" s="412"/>
      <c r="AG670" s="412"/>
      <c r="AH670" s="419">
        <f t="shared" si="627"/>
        <v>0</v>
      </c>
      <c r="AI670" s="412"/>
      <c r="AJ670" s="412"/>
      <c r="AK670" s="412"/>
      <c r="AL670" s="412"/>
      <c r="AM670" s="412"/>
    </row>
    <row r="671" spans="1:39" ht="12.75">
      <c r="A671" s="412"/>
      <c r="B671" s="413"/>
      <c r="C671" s="412"/>
      <c r="D671" s="486"/>
      <c r="E671" s="412"/>
      <c r="F671" s="412"/>
      <c r="G671" s="412"/>
      <c r="H671" s="412"/>
      <c r="I671" s="412"/>
      <c r="J671" s="412"/>
      <c r="K671" s="412"/>
      <c r="L671" s="412"/>
      <c r="M671" s="412"/>
      <c r="N671" s="412"/>
      <c r="O671" s="412"/>
      <c r="P671" s="487"/>
      <c r="Q671" s="412"/>
      <c r="R671" s="412"/>
      <c r="S671" s="412"/>
      <c r="T671" s="488"/>
      <c r="U671" s="412"/>
      <c r="V671" s="412"/>
      <c r="W671" s="412"/>
      <c r="X671" s="412"/>
      <c r="Y671" s="412"/>
      <c r="Z671" s="412"/>
      <c r="AA671" s="412"/>
      <c r="AB671" s="412"/>
      <c r="AC671" s="412"/>
      <c r="AD671" s="412"/>
      <c r="AE671" s="412"/>
      <c r="AF671" s="412"/>
      <c r="AG671" s="412"/>
      <c r="AH671" s="419">
        <f t="shared" si="627"/>
        <v>0</v>
      </c>
      <c r="AI671" s="412"/>
      <c r="AJ671" s="412"/>
      <c r="AK671" s="412"/>
      <c r="AL671" s="412"/>
      <c r="AM671" s="412"/>
    </row>
    <row r="672" spans="1:39" ht="12.75">
      <c r="A672" s="412"/>
      <c r="B672" s="413"/>
      <c r="C672" s="412"/>
      <c r="D672" s="486"/>
      <c r="E672" s="412"/>
      <c r="F672" s="412"/>
      <c r="G672" s="412"/>
      <c r="H672" s="412"/>
      <c r="I672" s="412"/>
      <c r="J672" s="412"/>
      <c r="K672" s="412"/>
      <c r="L672" s="412"/>
      <c r="M672" s="412"/>
      <c r="N672" s="412"/>
      <c r="O672" s="412"/>
      <c r="P672" s="487"/>
      <c r="Q672" s="412"/>
      <c r="R672" s="412"/>
      <c r="S672" s="412"/>
      <c r="T672" s="488"/>
      <c r="U672" s="412"/>
      <c r="V672" s="412"/>
      <c r="W672" s="412"/>
      <c r="X672" s="412"/>
      <c r="Y672" s="412"/>
      <c r="Z672" s="412"/>
      <c r="AA672" s="412"/>
      <c r="AB672" s="412"/>
      <c r="AC672" s="412"/>
      <c r="AD672" s="412"/>
      <c r="AE672" s="412"/>
      <c r="AF672" s="412"/>
      <c r="AG672" s="412"/>
      <c r="AH672" s="419">
        <f t="shared" si="627"/>
        <v>0</v>
      </c>
      <c r="AI672" s="412"/>
      <c r="AJ672" s="412"/>
      <c r="AK672" s="412"/>
      <c r="AL672" s="412"/>
      <c r="AM672" s="412"/>
    </row>
    <row r="673" spans="1:39" ht="12.75">
      <c r="A673" s="412"/>
      <c r="B673" s="413"/>
      <c r="C673" s="412"/>
      <c r="D673" s="486"/>
      <c r="E673" s="412"/>
      <c r="F673" s="412"/>
      <c r="G673" s="412"/>
      <c r="H673" s="412"/>
      <c r="I673" s="412"/>
      <c r="J673" s="412"/>
      <c r="K673" s="412"/>
      <c r="L673" s="412"/>
      <c r="M673" s="412"/>
      <c r="N673" s="412"/>
      <c r="O673" s="412"/>
      <c r="P673" s="487"/>
      <c r="Q673" s="412"/>
      <c r="R673" s="412"/>
      <c r="S673" s="412"/>
      <c r="T673" s="488"/>
      <c r="U673" s="412"/>
      <c r="V673" s="412"/>
      <c r="W673" s="412"/>
      <c r="X673" s="412"/>
      <c r="Y673" s="412"/>
      <c r="Z673" s="412"/>
      <c r="AA673" s="412"/>
      <c r="AB673" s="412"/>
      <c r="AC673" s="412"/>
      <c r="AD673" s="412"/>
      <c r="AE673" s="412"/>
      <c r="AF673" s="412"/>
      <c r="AG673" s="412"/>
      <c r="AH673" s="419">
        <f t="shared" si="627"/>
        <v>0</v>
      </c>
      <c r="AI673" s="412"/>
      <c r="AJ673" s="412"/>
      <c r="AK673" s="412"/>
      <c r="AL673" s="412"/>
      <c r="AM673" s="412"/>
    </row>
    <row r="674" spans="1:39" ht="12.75">
      <c r="A674" s="412"/>
      <c r="B674" s="413"/>
      <c r="C674" s="412"/>
      <c r="D674" s="486"/>
      <c r="E674" s="412"/>
      <c r="F674" s="412"/>
      <c r="G674" s="412"/>
      <c r="H674" s="412"/>
      <c r="I674" s="412"/>
      <c r="J674" s="412"/>
      <c r="K674" s="412"/>
      <c r="L674" s="412"/>
      <c r="M674" s="412"/>
      <c r="N674" s="412"/>
      <c r="O674" s="412"/>
      <c r="P674" s="487"/>
      <c r="Q674" s="412"/>
      <c r="R674" s="412"/>
      <c r="S674" s="412"/>
      <c r="T674" s="488"/>
      <c r="U674" s="412"/>
      <c r="V674" s="412"/>
      <c r="W674" s="412"/>
      <c r="X674" s="412"/>
      <c r="Y674" s="412"/>
      <c r="Z674" s="412"/>
      <c r="AA674" s="412"/>
      <c r="AB674" s="412"/>
      <c r="AC674" s="412"/>
      <c r="AD674" s="412"/>
      <c r="AE674" s="412"/>
      <c r="AF674" s="412"/>
      <c r="AG674" s="412"/>
      <c r="AH674" s="419">
        <f t="shared" si="627"/>
        <v>0</v>
      </c>
      <c r="AI674" s="412"/>
      <c r="AJ674" s="412"/>
      <c r="AK674" s="412"/>
      <c r="AL674" s="412"/>
      <c r="AM674" s="412"/>
    </row>
    <row r="675" spans="1:39" ht="12.75">
      <c r="A675" s="412"/>
      <c r="B675" s="413"/>
      <c r="C675" s="412"/>
      <c r="D675" s="486"/>
      <c r="E675" s="412"/>
      <c r="F675" s="412"/>
      <c r="G675" s="412"/>
      <c r="H675" s="412"/>
      <c r="I675" s="412"/>
      <c r="J675" s="412"/>
      <c r="K675" s="412"/>
      <c r="L675" s="412"/>
      <c r="M675" s="412"/>
      <c r="N675" s="412"/>
      <c r="O675" s="412"/>
      <c r="P675" s="487"/>
      <c r="Q675" s="412"/>
      <c r="R675" s="412"/>
      <c r="S675" s="412"/>
      <c r="T675" s="488"/>
      <c r="U675" s="412"/>
      <c r="V675" s="412"/>
      <c r="W675" s="412"/>
      <c r="X675" s="412"/>
      <c r="Y675" s="412"/>
      <c r="Z675" s="412"/>
      <c r="AA675" s="412"/>
      <c r="AB675" s="412"/>
      <c r="AC675" s="412"/>
      <c r="AD675" s="412"/>
      <c r="AE675" s="412"/>
      <c r="AF675" s="412"/>
      <c r="AG675" s="412"/>
      <c r="AH675" s="419">
        <f t="shared" si="627"/>
        <v>0</v>
      </c>
      <c r="AI675" s="412"/>
      <c r="AJ675" s="412"/>
      <c r="AK675" s="412"/>
      <c r="AL675" s="412"/>
      <c r="AM675" s="412"/>
    </row>
    <row r="676" spans="1:39" ht="12.75">
      <c r="A676" s="412"/>
      <c r="B676" s="413"/>
      <c r="C676" s="412"/>
      <c r="D676" s="486"/>
      <c r="E676" s="412"/>
      <c r="F676" s="412"/>
      <c r="G676" s="412"/>
      <c r="H676" s="412"/>
      <c r="I676" s="412"/>
      <c r="J676" s="412"/>
      <c r="K676" s="412"/>
      <c r="L676" s="412"/>
      <c r="M676" s="412"/>
      <c r="N676" s="412"/>
      <c r="O676" s="412"/>
      <c r="P676" s="487"/>
      <c r="Q676" s="412"/>
      <c r="R676" s="412"/>
      <c r="S676" s="412"/>
      <c r="T676" s="488"/>
      <c r="U676" s="412"/>
      <c r="V676" s="412"/>
      <c r="W676" s="412"/>
      <c r="X676" s="412"/>
      <c r="Y676" s="412"/>
      <c r="Z676" s="412"/>
      <c r="AA676" s="412"/>
      <c r="AB676" s="412"/>
      <c r="AC676" s="412"/>
      <c r="AD676" s="412"/>
      <c r="AE676" s="412"/>
      <c r="AF676" s="412"/>
      <c r="AG676" s="412"/>
      <c r="AH676" s="419">
        <f t="shared" si="627"/>
        <v>0</v>
      </c>
      <c r="AI676" s="412"/>
      <c r="AJ676" s="412"/>
      <c r="AK676" s="412"/>
      <c r="AL676" s="412"/>
      <c r="AM676" s="412"/>
    </row>
    <row r="677" spans="1:39" ht="12.75">
      <c r="A677" s="412"/>
      <c r="B677" s="413"/>
      <c r="C677" s="412"/>
      <c r="D677" s="486"/>
      <c r="E677" s="412"/>
      <c r="F677" s="412"/>
      <c r="G677" s="412"/>
      <c r="H677" s="412"/>
      <c r="I677" s="412"/>
      <c r="J677" s="412"/>
      <c r="K677" s="412"/>
      <c r="L677" s="412"/>
      <c r="M677" s="412"/>
      <c r="N677" s="412"/>
      <c r="O677" s="412"/>
      <c r="P677" s="487"/>
      <c r="Q677" s="412"/>
      <c r="R677" s="412"/>
      <c r="S677" s="412"/>
      <c r="T677" s="488"/>
      <c r="U677" s="412"/>
      <c r="V677" s="412"/>
      <c r="W677" s="412"/>
      <c r="X677" s="412"/>
      <c r="Y677" s="412"/>
      <c r="Z677" s="412"/>
      <c r="AA677" s="412"/>
      <c r="AB677" s="412"/>
      <c r="AC677" s="412"/>
      <c r="AD677" s="412"/>
      <c r="AE677" s="412"/>
      <c r="AF677" s="412"/>
      <c r="AG677" s="412"/>
      <c r="AH677" s="419">
        <f t="shared" si="627"/>
        <v>0</v>
      </c>
      <c r="AI677" s="412"/>
      <c r="AJ677" s="412"/>
      <c r="AK677" s="412"/>
      <c r="AL677" s="412"/>
      <c r="AM677" s="412"/>
    </row>
    <row r="678" spans="1:39" ht="12.75">
      <c r="A678" s="412"/>
      <c r="B678" s="413"/>
      <c r="C678" s="412"/>
      <c r="D678" s="486"/>
      <c r="E678" s="412"/>
      <c r="F678" s="412"/>
      <c r="G678" s="412"/>
      <c r="H678" s="412"/>
      <c r="I678" s="412"/>
      <c r="J678" s="412"/>
      <c r="K678" s="412"/>
      <c r="L678" s="412"/>
      <c r="M678" s="412"/>
      <c r="N678" s="412"/>
      <c r="O678" s="412"/>
      <c r="P678" s="487"/>
      <c r="Q678" s="412"/>
      <c r="R678" s="412"/>
      <c r="S678" s="412"/>
      <c r="T678" s="488"/>
      <c r="U678" s="412"/>
      <c r="V678" s="412"/>
      <c r="W678" s="412"/>
      <c r="X678" s="412"/>
      <c r="Y678" s="412"/>
      <c r="Z678" s="412"/>
      <c r="AA678" s="412"/>
      <c r="AB678" s="412"/>
      <c r="AC678" s="412"/>
      <c r="AD678" s="412"/>
      <c r="AE678" s="412"/>
      <c r="AF678" s="412"/>
      <c r="AG678" s="412"/>
      <c r="AH678" s="419">
        <f t="shared" si="627"/>
        <v>0</v>
      </c>
      <c r="AI678" s="412"/>
      <c r="AJ678" s="412"/>
      <c r="AK678" s="412"/>
      <c r="AL678" s="412"/>
      <c r="AM678" s="412"/>
    </row>
    <row r="679" spans="1:39" ht="12.75">
      <c r="A679" s="412"/>
      <c r="B679" s="413"/>
      <c r="C679" s="412"/>
      <c r="D679" s="486"/>
      <c r="E679" s="412"/>
      <c r="F679" s="412"/>
      <c r="G679" s="412"/>
      <c r="H679" s="412"/>
      <c r="I679" s="412"/>
      <c r="J679" s="412"/>
      <c r="K679" s="412"/>
      <c r="L679" s="412"/>
      <c r="M679" s="412"/>
      <c r="N679" s="412"/>
      <c r="O679" s="412"/>
      <c r="P679" s="487"/>
      <c r="Q679" s="412"/>
      <c r="R679" s="412"/>
      <c r="S679" s="412"/>
      <c r="T679" s="488"/>
      <c r="U679" s="412"/>
      <c r="V679" s="412"/>
      <c r="W679" s="412"/>
      <c r="X679" s="412"/>
      <c r="Y679" s="412"/>
      <c r="Z679" s="412"/>
      <c r="AA679" s="412"/>
      <c r="AB679" s="412"/>
      <c r="AC679" s="412"/>
      <c r="AD679" s="412"/>
      <c r="AE679" s="412"/>
      <c r="AF679" s="412"/>
      <c r="AG679" s="412"/>
      <c r="AH679" s="419">
        <f t="shared" si="627"/>
        <v>0</v>
      </c>
      <c r="AI679" s="412"/>
      <c r="AJ679" s="412"/>
      <c r="AK679" s="412"/>
      <c r="AL679" s="412"/>
      <c r="AM679" s="412"/>
    </row>
    <row r="680" spans="1:39" ht="12.75">
      <c r="A680" s="412"/>
      <c r="B680" s="413"/>
      <c r="C680" s="412"/>
      <c r="D680" s="486"/>
      <c r="E680" s="412"/>
      <c r="F680" s="412"/>
      <c r="G680" s="412"/>
      <c r="H680" s="412"/>
      <c r="I680" s="412"/>
      <c r="J680" s="412"/>
      <c r="K680" s="412"/>
      <c r="L680" s="412"/>
      <c r="M680" s="412"/>
      <c r="N680" s="412"/>
      <c r="O680" s="412"/>
      <c r="P680" s="487"/>
      <c r="Q680" s="412"/>
      <c r="R680" s="412"/>
      <c r="S680" s="412"/>
      <c r="T680" s="488"/>
      <c r="U680" s="412"/>
      <c r="V680" s="412"/>
      <c r="W680" s="412"/>
      <c r="X680" s="412"/>
      <c r="Y680" s="412"/>
      <c r="Z680" s="412"/>
      <c r="AA680" s="412"/>
      <c r="AB680" s="412"/>
      <c r="AC680" s="412"/>
      <c r="AD680" s="412"/>
      <c r="AE680" s="412"/>
      <c r="AF680" s="412"/>
      <c r="AG680" s="412"/>
      <c r="AH680" s="419">
        <f t="shared" si="627"/>
        <v>0</v>
      </c>
      <c r="AI680" s="412"/>
      <c r="AJ680" s="412"/>
      <c r="AK680" s="412"/>
      <c r="AL680" s="412"/>
      <c r="AM680" s="412"/>
    </row>
    <row r="681" spans="1:39" ht="12.75">
      <c r="A681" s="412"/>
      <c r="B681" s="413"/>
      <c r="C681" s="412"/>
      <c r="D681" s="486"/>
      <c r="E681" s="412"/>
      <c r="F681" s="412"/>
      <c r="G681" s="412"/>
      <c r="H681" s="412"/>
      <c r="I681" s="412"/>
      <c r="J681" s="412"/>
      <c r="K681" s="412"/>
      <c r="L681" s="412"/>
      <c r="M681" s="412"/>
      <c r="N681" s="412"/>
      <c r="O681" s="412"/>
      <c r="P681" s="487"/>
      <c r="Q681" s="412"/>
      <c r="R681" s="412"/>
      <c r="S681" s="412"/>
      <c r="T681" s="488"/>
      <c r="U681" s="412"/>
      <c r="V681" s="412"/>
      <c r="W681" s="412"/>
      <c r="X681" s="412"/>
      <c r="Y681" s="412"/>
      <c r="Z681" s="412"/>
      <c r="AA681" s="412"/>
      <c r="AB681" s="412"/>
      <c r="AC681" s="412"/>
      <c r="AD681" s="412"/>
      <c r="AE681" s="412"/>
      <c r="AF681" s="412"/>
      <c r="AG681" s="412"/>
      <c r="AH681" s="419">
        <f t="shared" si="627"/>
        <v>0</v>
      </c>
      <c r="AI681" s="412"/>
      <c r="AJ681" s="412"/>
      <c r="AK681" s="412"/>
      <c r="AL681" s="412"/>
      <c r="AM681" s="412"/>
    </row>
    <row r="682" spans="1:39" ht="12.75">
      <c r="A682" s="412"/>
      <c r="B682" s="413"/>
      <c r="C682" s="412"/>
      <c r="D682" s="486"/>
      <c r="E682" s="412"/>
      <c r="F682" s="412"/>
      <c r="G682" s="412"/>
      <c r="H682" s="412"/>
      <c r="I682" s="412"/>
      <c r="J682" s="412"/>
      <c r="K682" s="412"/>
      <c r="L682" s="412"/>
      <c r="M682" s="412"/>
      <c r="N682" s="412"/>
      <c r="O682" s="412"/>
      <c r="P682" s="487"/>
      <c r="Q682" s="412"/>
      <c r="R682" s="412"/>
      <c r="S682" s="412"/>
      <c r="T682" s="488"/>
      <c r="U682" s="412"/>
      <c r="V682" s="412"/>
      <c r="W682" s="412"/>
      <c r="X682" s="412"/>
      <c r="Y682" s="412"/>
      <c r="Z682" s="412"/>
      <c r="AA682" s="412"/>
      <c r="AB682" s="412"/>
      <c r="AC682" s="412"/>
      <c r="AD682" s="412"/>
      <c r="AE682" s="412"/>
      <c r="AF682" s="412"/>
      <c r="AG682" s="412"/>
      <c r="AH682" s="419">
        <f t="shared" si="627"/>
        <v>0</v>
      </c>
      <c r="AI682" s="412"/>
      <c r="AJ682" s="412"/>
      <c r="AK682" s="412"/>
      <c r="AL682" s="412"/>
      <c r="AM682" s="412"/>
    </row>
    <row r="683" spans="1:39" ht="12.75">
      <c r="A683" s="412"/>
      <c r="B683" s="413"/>
      <c r="C683" s="412"/>
      <c r="D683" s="486"/>
      <c r="E683" s="412"/>
      <c r="F683" s="412"/>
      <c r="G683" s="412"/>
      <c r="H683" s="412"/>
      <c r="I683" s="412"/>
      <c r="J683" s="412"/>
      <c r="K683" s="412"/>
      <c r="L683" s="412"/>
      <c r="M683" s="412"/>
      <c r="N683" s="412"/>
      <c r="O683" s="412"/>
      <c r="P683" s="487"/>
      <c r="Q683" s="412"/>
      <c r="R683" s="412"/>
      <c r="S683" s="412"/>
      <c r="T683" s="488"/>
      <c r="U683" s="412"/>
      <c r="V683" s="412"/>
      <c r="W683" s="412"/>
      <c r="X683" s="412"/>
      <c r="Y683" s="412"/>
      <c r="Z683" s="412"/>
      <c r="AA683" s="412"/>
      <c r="AB683" s="412"/>
      <c r="AC683" s="412"/>
      <c r="AD683" s="412"/>
      <c r="AE683" s="412"/>
      <c r="AF683" s="412"/>
      <c r="AG683" s="412"/>
      <c r="AH683" s="419">
        <f t="shared" si="627"/>
        <v>0</v>
      </c>
      <c r="AI683" s="412"/>
      <c r="AJ683" s="412"/>
      <c r="AK683" s="412"/>
      <c r="AL683" s="412"/>
      <c r="AM683" s="412"/>
    </row>
    <row r="684" spans="1:39" ht="12.75">
      <c r="A684" s="412"/>
      <c r="B684" s="413"/>
      <c r="C684" s="412"/>
      <c r="D684" s="486"/>
      <c r="E684" s="412"/>
      <c r="F684" s="412"/>
      <c r="G684" s="412"/>
      <c r="H684" s="412"/>
      <c r="I684" s="412"/>
      <c r="J684" s="412"/>
      <c r="K684" s="412"/>
      <c r="L684" s="412"/>
      <c r="M684" s="412"/>
      <c r="N684" s="412"/>
      <c r="O684" s="412"/>
      <c r="P684" s="487"/>
      <c r="Q684" s="412"/>
      <c r="R684" s="412"/>
      <c r="S684" s="412"/>
      <c r="T684" s="488"/>
      <c r="U684" s="412"/>
      <c r="V684" s="412"/>
      <c r="W684" s="412"/>
      <c r="X684" s="412"/>
      <c r="Y684" s="412"/>
      <c r="Z684" s="412"/>
      <c r="AA684" s="412"/>
      <c r="AB684" s="412"/>
      <c r="AC684" s="412"/>
      <c r="AD684" s="412"/>
      <c r="AE684" s="412"/>
      <c r="AF684" s="412"/>
      <c r="AG684" s="412"/>
      <c r="AH684" s="419">
        <f t="shared" si="627"/>
        <v>0</v>
      </c>
      <c r="AI684" s="412"/>
      <c r="AJ684" s="412"/>
      <c r="AK684" s="412"/>
      <c r="AL684" s="412"/>
      <c r="AM684" s="412"/>
    </row>
    <row r="685" spans="1:39" ht="12.75">
      <c r="A685" s="412"/>
      <c r="B685" s="413"/>
      <c r="C685" s="412"/>
      <c r="D685" s="486"/>
      <c r="E685" s="412"/>
      <c r="F685" s="412"/>
      <c r="G685" s="412"/>
      <c r="H685" s="412"/>
      <c r="I685" s="412"/>
      <c r="J685" s="412"/>
      <c r="K685" s="412"/>
      <c r="L685" s="412"/>
      <c r="M685" s="412"/>
      <c r="N685" s="412"/>
      <c r="O685" s="412"/>
      <c r="P685" s="487"/>
      <c r="Q685" s="412"/>
      <c r="R685" s="412"/>
      <c r="S685" s="412"/>
      <c r="T685" s="488"/>
      <c r="U685" s="412"/>
      <c r="V685" s="412"/>
      <c r="W685" s="412"/>
      <c r="X685" s="412"/>
      <c r="Y685" s="412"/>
      <c r="Z685" s="412"/>
      <c r="AA685" s="412"/>
      <c r="AB685" s="412"/>
      <c r="AC685" s="412"/>
      <c r="AD685" s="412"/>
      <c r="AE685" s="412"/>
      <c r="AF685" s="412"/>
      <c r="AG685" s="412"/>
      <c r="AH685" s="419">
        <f t="shared" si="627"/>
        <v>0</v>
      </c>
      <c r="AI685" s="412"/>
      <c r="AJ685" s="412"/>
      <c r="AK685" s="412"/>
      <c r="AL685" s="412"/>
      <c r="AM685" s="412"/>
    </row>
    <row r="686" spans="1:39" ht="12.75">
      <c r="A686" s="412"/>
      <c r="B686" s="413"/>
      <c r="C686" s="412"/>
      <c r="D686" s="486"/>
      <c r="E686" s="412"/>
      <c r="F686" s="412"/>
      <c r="G686" s="412"/>
      <c r="H686" s="412"/>
      <c r="I686" s="412"/>
      <c r="J686" s="412"/>
      <c r="K686" s="412"/>
      <c r="L686" s="412"/>
      <c r="M686" s="412"/>
      <c r="N686" s="412"/>
      <c r="O686" s="412"/>
      <c r="P686" s="487"/>
      <c r="Q686" s="412"/>
      <c r="R686" s="412"/>
      <c r="S686" s="412"/>
      <c r="T686" s="488"/>
      <c r="U686" s="412"/>
      <c r="V686" s="412"/>
      <c r="W686" s="412"/>
      <c r="X686" s="412"/>
      <c r="Y686" s="412"/>
      <c r="Z686" s="412"/>
      <c r="AA686" s="412"/>
      <c r="AB686" s="412"/>
      <c r="AC686" s="412"/>
      <c r="AD686" s="412"/>
      <c r="AE686" s="412"/>
      <c r="AF686" s="412"/>
      <c r="AG686" s="412"/>
      <c r="AH686" s="419">
        <f t="shared" si="627"/>
        <v>0</v>
      </c>
      <c r="AI686" s="412"/>
      <c r="AJ686" s="412"/>
      <c r="AK686" s="412"/>
      <c r="AL686" s="412"/>
      <c r="AM686" s="412"/>
    </row>
    <row r="687" spans="1:39" ht="12.75">
      <c r="A687" s="412"/>
      <c r="B687" s="413"/>
      <c r="C687" s="412"/>
      <c r="D687" s="486"/>
      <c r="E687" s="412"/>
      <c r="F687" s="412"/>
      <c r="G687" s="412"/>
      <c r="H687" s="412"/>
      <c r="I687" s="412"/>
      <c r="J687" s="412"/>
      <c r="K687" s="412"/>
      <c r="L687" s="412"/>
      <c r="M687" s="412"/>
      <c r="N687" s="412"/>
      <c r="O687" s="412"/>
      <c r="P687" s="487"/>
      <c r="Q687" s="412"/>
      <c r="R687" s="412"/>
      <c r="S687" s="412"/>
      <c r="T687" s="488"/>
      <c r="U687" s="412"/>
      <c r="V687" s="412"/>
      <c r="W687" s="412"/>
      <c r="X687" s="412"/>
      <c r="Y687" s="412"/>
      <c r="Z687" s="412"/>
      <c r="AA687" s="412"/>
      <c r="AB687" s="412"/>
      <c r="AC687" s="412"/>
      <c r="AD687" s="412"/>
      <c r="AE687" s="412"/>
      <c r="AF687" s="412"/>
      <c r="AG687" s="412"/>
      <c r="AH687" s="419">
        <f t="shared" si="627"/>
        <v>0</v>
      </c>
      <c r="AI687" s="412"/>
      <c r="AJ687" s="412"/>
      <c r="AK687" s="412"/>
      <c r="AL687" s="412"/>
      <c r="AM687" s="412"/>
    </row>
    <row r="688" spans="1:39" ht="12.75">
      <c r="A688" s="412"/>
      <c r="B688" s="413"/>
      <c r="C688" s="412"/>
      <c r="D688" s="486"/>
      <c r="E688" s="412"/>
      <c r="F688" s="412"/>
      <c r="G688" s="412"/>
      <c r="H688" s="412"/>
      <c r="I688" s="412"/>
      <c r="J688" s="412"/>
      <c r="K688" s="412"/>
      <c r="L688" s="412"/>
      <c r="M688" s="412"/>
      <c r="N688" s="412"/>
      <c r="O688" s="412"/>
      <c r="P688" s="487"/>
      <c r="Q688" s="412"/>
      <c r="R688" s="412"/>
      <c r="S688" s="412"/>
      <c r="T688" s="488"/>
      <c r="U688" s="412"/>
      <c r="V688" s="412"/>
      <c r="W688" s="412"/>
      <c r="X688" s="412"/>
      <c r="Y688" s="412"/>
      <c r="Z688" s="412"/>
      <c r="AA688" s="412"/>
      <c r="AB688" s="412"/>
      <c r="AC688" s="412"/>
      <c r="AD688" s="412"/>
      <c r="AE688" s="412"/>
      <c r="AF688" s="412"/>
      <c r="AG688" s="412"/>
      <c r="AH688" s="419">
        <f t="shared" si="627"/>
        <v>0</v>
      </c>
      <c r="AI688" s="412"/>
      <c r="AJ688" s="412"/>
      <c r="AK688" s="412"/>
      <c r="AL688" s="412"/>
      <c r="AM688" s="412"/>
    </row>
    <row r="689" spans="1:39" ht="12.75">
      <c r="A689" s="412"/>
      <c r="B689" s="413"/>
      <c r="C689" s="412"/>
      <c r="D689" s="486"/>
      <c r="E689" s="412"/>
      <c r="F689" s="412"/>
      <c r="G689" s="412"/>
      <c r="H689" s="412"/>
      <c r="I689" s="412"/>
      <c r="J689" s="412"/>
      <c r="K689" s="412"/>
      <c r="L689" s="412"/>
      <c r="M689" s="412"/>
      <c r="N689" s="412"/>
      <c r="O689" s="412"/>
      <c r="P689" s="487"/>
      <c r="Q689" s="412"/>
      <c r="R689" s="412"/>
      <c r="S689" s="412"/>
      <c r="T689" s="488"/>
      <c r="U689" s="412"/>
      <c r="V689" s="412"/>
      <c r="W689" s="412"/>
      <c r="X689" s="412"/>
      <c r="Y689" s="412"/>
      <c r="Z689" s="412"/>
      <c r="AA689" s="412"/>
      <c r="AB689" s="412"/>
      <c r="AC689" s="412"/>
      <c r="AD689" s="412"/>
      <c r="AE689" s="412"/>
      <c r="AF689" s="412"/>
      <c r="AG689" s="412"/>
      <c r="AH689" s="419">
        <f t="shared" si="627"/>
        <v>0</v>
      </c>
      <c r="AI689" s="412"/>
      <c r="AJ689" s="412"/>
      <c r="AK689" s="412"/>
      <c r="AL689" s="412"/>
      <c r="AM689" s="412"/>
    </row>
    <row r="690" spans="1:39" ht="12.75">
      <c r="A690" s="412"/>
      <c r="B690" s="413"/>
      <c r="C690" s="412"/>
      <c r="D690" s="486"/>
      <c r="E690" s="412"/>
      <c r="F690" s="412"/>
      <c r="G690" s="412"/>
      <c r="H690" s="412"/>
      <c r="I690" s="412"/>
      <c r="J690" s="412"/>
      <c r="K690" s="412"/>
      <c r="L690" s="412"/>
      <c r="M690" s="412"/>
      <c r="N690" s="412"/>
      <c r="O690" s="412"/>
      <c r="P690" s="487"/>
      <c r="Q690" s="412"/>
      <c r="R690" s="412"/>
      <c r="S690" s="412"/>
      <c r="T690" s="488"/>
      <c r="U690" s="412"/>
      <c r="V690" s="412"/>
      <c r="W690" s="412"/>
      <c r="X690" s="412"/>
      <c r="Y690" s="412"/>
      <c r="Z690" s="412"/>
      <c r="AA690" s="412"/>
      <c r="AB690" s="412"/>
      <c r="AC690" s="412"/>
      <c r="AD690" s="412"/>
      <c r="AE690" s="412"/>
      <c r="AF690" s="412"/>
      <c r="AG690" s="412"/>
      <c r="AH690" s="419">
        <f t="shared" si="627"/>
        <v>0</v>
      </c>
      <c r="AI690" s="412"/>
      <c r="AJ690" s="412"/>
      <c r="AK690" s="412"/>
      <c r="AL690" s="412"/>
      <c r="AM690" s="412"/>
    </row>
    <row r="691" spans="1:39" ht="12.75">
      <c r="A691" s="412"/>
      <c r="B691" s="413"/>
      <c r="C691" s="412"/>
      <c r="D691" s="486"/>
      <c r="E691" s="412"/>
      <c r="F691" s="412"/>
      <c r="G691" s="412"/>
      <c r="H691" s="412"/>
      <c r="I691" s="412"/>
      <c r="J691" s="412"/>
      <c r="K691" s="412"/>
      <c r="L691" s="412"/>
      <c r="M691" s="412"/>
      <c r="N691" s="412"/>
      <c r="O691" s="412"/>
      <c r="P691" s="487"/>
      <c r="Q691" s="412"/>
      <c r="R691" s="412"/>
      <c r="S691" s="412"/>
      <c r="T691" s="488"/>
      <c r="U691" s="412"/>
      <c r="V691" s="412"/>
      <c r="W691" s="412"/>
      <c r="X691" s="412"/>
      <c r="Y691" s="412"/>
      <c r="Z691" s="412"/>
      <c r="AA691" s="412"/>
      <c r="AB691" s="412"/>
      <c r="AC691" s="412"/>
      <c r="AD691" s="412"/>
      <c r="AE691" s="412"/>
      <c r="AF691" s="412"/>
      <c r="AG691" s="412"/>
      <c r="AH691" s="419">
        <f t="shared" si="627"/>
        <v>0</v>
      </c>
      <c r="AI691" s="412"/>
      <c r="AJ691" s="412"/>
      <c r="AK691" s="412"/>
      <c r="AL691" s="412"/>
      <c r="AM691" s="412"/>
    </row>
    <row r="692" spans="1:39" ht="12.75">
      <c r="A692" s="412"/>
      <c r="B692" s="413"/>
      <c r="C692" s="412"/>
      <c r="D692" s="486"/>
      <c r="E692" s="412"/>
      <c r="F692" s="412"/>
      <c r="G692" s="412"/>
      <c r="H692" s="412"/>
      <c r="I692" s="412"/>
      <c r="J692" s="412"/>
      <c r="K692" s="412"/>
      <c r="L692" s="412"/>
      <c r="M692" s="412"/>
      <c r="N692" s="412"/>
      <c r="O692" s="412"/>
      <c r="P692" s="487"/>
      <c r="Q692" s="412"/>
      <c r="R692" s="412"/>
      <c r="S692" s="412"/>
      <c r="T692" s="488"/>
      <c r="U692" s="412"/>
      <c r="V692" s="412"/>
      <c r="W692" s="412"/>
      <c r="X692" s="412"/>
      <c r="Y692" s="412"/>
      <c r="Z692" s="412"/>
      <c r="AA692" s="412"/>
      <c r="AB692" s="412"/>
      <c r="AC692" s="412"/>
      <c r="AD692" s="412"/>
      <c r="AE692" s="412"/>
      <c r="AF692" s="412"/>
      <c r="AG692" s="412"/>
      <c r="AH692" s="419">
        <f t="shared" si="627"/>
        <v>0</v>
      </c>
      <c r="AI692" s="412"/>
      <c r="AJ692" s="412"/>
      <c r="AK692" s="412"/>
      <c r="AL692" s="412"/>
      <c r="AM692" s="412"/>
    </row>
    <row r="693" spans="1:39" ht="12.75">
      <c r="A693" s="412"/>
      <c r="B693" s="413"/>
      <c r="C693" s="412"/>
      <c r="D693" s="486"/>
      <c r="E693" s="412"/>
      <c r="F693" s="412"/>
      <c r="G693" s="412"/>
      <c r="H693" s="412"/>
      <c r="I693" s="412"/>
      <c r="J693" s="412"/>
      <c r="K693" s="412"/>
      <c r="L693" s="412"/>
      <c r="M693" s="412"/>
      <c r="N693" s="412"/>
      <c r="O693" s="412"/>
      <c r="P693" s="487"/>
      <c r="Q693" s="412"/>
      <c r="R693" s="412"/>
      <c r="S693" s="412"/>
      <c r="T693" s="488"/>
      <c r="U693" s="412"/>
      <c r="V693" s="412"/>
      <c r="W693" s="412"/>
      <c r="X693" s="412"/>
      <c r="Y693" s="412"/>
      <c r="Z693" s="412"/>
      <c r="AA693" s="412"/>
      <c r="AB693" s="412"/>
      <c r="AC693" s="412"/>
      <c r="AD693" s="412"/>
      <c r="AE693" s="412"/>
      <c r="AF693" s="412"/>
      <c r="AG693" s="412"/>
      <c r="AH693" s="419">
        <f t="shared" si="627"/>
        <v>0</v>
      </c>
      <c r="AI693" s="412"/>
      <c r="AJ693" s="412"/>
      <c r="AK693" s="412"/>
      <c r="AL693" s="412"/>
      <c r="AM693" s="412"/>
    </row>
    <row r="694" spans="1:39" ht="12.75">
      <c r="A694" s="412"/>
      <c r="B694" s="413"/>
      <c r="C694" s="412"/>
      <c r="D694" s="486"/>
      <c r="E694" s="412"/>
      <c r="F694" s="412"/>
      <c r="G694" s="412"/>
      <c r="H694" s="412"/>
      <c r="I694" s="412"/>
      <c r="J694" s="412"/>
      <c r="K694" s="412"/>
      <c r="L694" s="412"/>
      <c r="M694" s="412"/>
      <c r="N694" s="412"/>
      <c r="O694" s="412"/>
      <c r="P694" s="487"/>
      <c r="Q694" s="412"/>
      <c r="R694" s="412"/>
      <c r="S694" s="412"/>
      <c r="T694" s="488"/>
      <c r="U694" s="412"/>
      <c r="V694" s="412"/>
      <c r="W694" s="412"/>
      <c r="X694" s="412"/>
      <c r="Y694" s="412"/>
      <c r="Z694" s="412"/>
      <c r="AA694" s="412"/>
      <c r="AB694" s="412"/>
      <c r="AC694" s="412"/>
      <c r="AD694" s="412"/>
      <c r="AE694" s="412"/>
      <c r="AF694" s="412"/>
      <c r="AG694" s="412"/>
      <c r="AH694" s="419">
        <f t="shared" si="627"/>
        <v>0</v>
      </c>
      <c r="AI694" s="412"/>
      <c r="AJ694" s="412"/>
      <c r="AK694" s="412"/>
      <c r="AL694" s="412"/>
      <c r="AM694" s="412"/>
    </row>
    <row r="695" spans="1:39" ht="12.75">
      <c r="A695" s="412"/>
      <c r="B695" s="413"/>
      <c r="C695" s="412"/>
      <c r="D695" s="486"/>
      <c r="E695" s="412"/>
      <c r="F695" s="412"/>
      <c r="G695" s="412"/>
      <c r="H695" s="412"/>
      <c r="I695" s="412"/>
      <c r="J695" s="412"/>
      <c r="K695" s="412"/>
      <c r="L695" s="412"/>
      <c r="M695" s="412"/>
      <c r="N695" s="412"/>
      <c r="O695" s="412"/>
      <c r="P695" s="487"/>
      <c r="Q695" s="412"/>
      <c r="R695" s="412"/>
      <c r="S695" s="412"/>
      <c r="T695" s="488"/>
      <c r="U695" s="412"/>
      <c r="V695" s="412"/>
      <c r="W695" s="412"/>
      <c r="X695" s="412"/>
      <c r="Y695" s="412"/>
      <c r="Z695" s="412"/>
      <c r="AA695" s="412"/>
      <c r="AB695" s="412"/>
      <c r="AC695" s="412"/>
      <c r="AD695" s="412"/>
      <c r="AE695" s="412"/>
      <c r="AF695" s="412"/>
      <c r="AG695" s="412"/>
      <c r="AH695" s="419">
        <f t="shared" si="627"/>
        <v>0</v>
      </c>
      <c r="AI695" s="412"/>
      <c r="AJ695" s="412"/>
      <c r="AK695" s="412"/>
      <c r="AL695" s="412"/>
      <c r="AM695" s="412"/>
    </row>
    <row r="696" spans="1:39" ht="12.75">
      <c r="A696" s="412"/>
      <c r="B696" s="413"/>
      <c r="C696" s="412"/>
      <c r="D696" s="486"/>
      <c r="E696" s="412"/>
      <c r="F696" s="412"/>
      <c r="G696" s="412"/>
      <c r="H696" s="412"/>
      <c r="I696" s="412"/>
      <c r="J696" s="412"/>
      <c r="K696" s="412"/>
      <c r="L696" s="412"/>
      <c r="M696" s="412"/>
      <c r="N696" s="412"/>
      <c r="O696" s="412"/>
      <c r="P696" s="487"/>
      <c r="Q696" s="412"/>
      <c r="R696" s="412"/>
      <c r="S696" s="412"/>
      <c r="T696" s="488"/>
      <c r="U696" s="412"/>
      <c r="V696" s="412"/>
      <c r="W696" s="412"/>
      <c r="X696" s="412"/>
      <c r="Y696" s="412"/>
      <c r="Z696" s="412"/>
      <c r="AA696" s="412"/>
      <c r="AB696" s="412"/>
      <c r="AC696" s="412"/>
      <c r="AD696" s="412"/>
      <c r="AE696" s="412"/>
      <c r="AF696" s="412"/>
      <c r="AG696" s="412"/>
      <c r="AH696" s="419">
        <f t="shared" si="627"/>
        <v>0</v>
      </c>
      <c r="AI696" s="412"/>
      <c r="AJ696" s="412"/>
      <c r="AK696" s="412"/>
      <c r="AL696" s="412"/>
      <c r="AM696" s="412"/>
    </row>
    <row r="697" spans="1:39" ht="12.75">
      <c r="A697" s="412"/>
      <c r="B697" s="413"/>
      <c r="C697" s="412"/>
      <c r="D697" s="486"/>
      <c r="E697" s="412"/>
      <c r="F697" s="412"/>
      <c r="G697" s="412"/>
      <c r="H697" s="412"/>
      <c r="I697" s="412"/>
      <c r="J697" s="412"/>
      <c r="K697" s="412"/>
      <c r="L697" s="412"/>
      <c r="M697" s="412"/>
      <c r="N697" s="412"/>
      <c r="O697" s="412"/>
      <c r="P697" s="487"/>
      <c r="Q697" s="412"/>
      <c r="R697" s="412"/>
      <c r="S697" s="412"/>
      <c r="T697" s="488"/>
      <c r="U697" s="412"/>
      <c r="V697" s="412"/>
      <c r="W697" s="412"/>
      <c r="X697" s="412"/>
      <c r="Y697" s="412"/>
      <c r="Z697" s="412"/>
      <c r="AA697" s="412"/>
      <c r="AB697" s="412"/>
      <c r="AC697" s="412"/>
      <c r="AD697" s="412"/>
      <c r="AE697" s="412"/>
      <c r="AF697" s="412"/>
      <c r="AG697" s="412"/>
      <c r="AH697" s="419">
        <f t="shared" si="627"/>
        <v>0</v>
      </c>
      <c r="AI697" s="412"/>
      <c r="AJ697" s="412"/>
      <c r="AK697" s="412"/>
      <c r="AL697" s="412"/>
      <c r="AM697" s="412"/>
    </row>
    <row r="698" spans="1:39" ht="12.75">
      <c r="A698" s="412"/>
      <c r="B698" s="413"/>
      <c r="C698" s="412"/>
      <c r="D698" s="486"/>
      <c r="E698" s="412"/>
      <c r="F698" s="412"/>
      <c r="G698" s="412"/>
      <c r="H698" s="412"/>
      <c r="I698" s="412"/>
      <c r="J698" s="412"/>
      <c r="K698" s="412"/>
      <c r="L698" s="412"/>
      <c r="M698" s="412"/>
      <c r="N698" s="412"/>
      <c r="O698" s="412"/>
      <c r="P698" s="487"/>
      <c r="Q698" s="412"/>
      <c r="R698" s="412"/>
      <c r="S698" s="412"/>
      <c r="T698" s="488"/>
      <c r="U698" s="412"/>
      <c r="V698" s="412"/>
      <c r="W698" s="412"/>
      <c r="X698" s="412"/>
      <c r="Y698" s="412"/>
      <c r="Z698" s="412"/>
      <c r="AA698" s="412"/>
      <c r="AB698" s="412"/>
      <c r="AC698" s="412"/>
      <c r="AD698" s="412"/>
      <c r="AE698" s="412"/>
      <c r="AF698" s="412"/>
      <c r="AG698" s="412"/>
      <c r="AH698" s="419">
        <f t="shared" si="627"/>
        <v>0</v>
      </c>
      <c r="AI698" s="412"/>
      <c r="AJ698" s="412"/>
      <c r="AK698" s="412"/>
      <c r="AL698" s="412"/>
      <c r="AM698" s="412"/>
    </row>
    <row r="699" spans="1:39" ht="12.75">
      <c r="A699" s="412"/>
      <c r="B699" s="413"/>
      <c r="C699" s="412"/>
      <c r="D699" s="486"/>
      <c r="E699" s="412"/>
      <c r="F699" s="412"/>
      <c r="G699" s="412"/>
      <c r="H699" s="412"/>
      <c r="I699" s="412"/>
      <c r="J699" s="412"/>
      <c r="K699" s="412"/>
      <c r="L699" s="412"/>
      <c r="M699" s="412"/>
      <c r="N699" s="412"/>
      <c r="O699" s="412"/>
      <c r="P699" s="487"/>
      <c r="Q699" s="412"/>
      <c r="R699" s="412"/>
      <c r="S699" s="412"/>
      <c r="T699" s="488"/>
      <c r="U699" s="412"/>
      <c r="V699" s="412"/>
      <c r="W699" s="412"/>
      <c r="X699" s="412"/>
      <c r="Y699" s="412"/>
      <c r="Z699" s="412"/>
      <c r="AA699" s="412"/>
      <c r="AB699" s="412"/>
      <c r="AC699" s="412"/>
      <c r="AD699" s="412"/>
      <c r="AE699" s="412"/>
      <c r="AF699" s="412"/>
      <c r="AG699" s="412"/>
      <c r="AH699" s="419">
        <f t="shared" si="627"/>
        <v>0</v>
      </c>
      <c r="AI699" s="412"/>
      <c r="AJ699" s="412"/>
      <c r="AK699" s="412"/>
      <c r="AL699" s="412"/>
      <c r="AM699" s="412"/>
    </row>
    <row r="700" spans="1:39" ht="12.75">
      <c r="A700" s="412"/>
      <c r="B700" s="413"/>
      <c r="C700" s="412"/>
      <c r="D700" s="486"/>
      <c r="E700" s="412"/>
      <c r="F700" s="412"/>
      <c r="G700" s="412"/>
      <c r="H700" s="412"/>
      <c r="I700" s="412"/>
      <c r="J700" s="412"/>
      <c r="K700" s="412"/>
      <c r="L700" s="412"/>
      <c r="M700" s="412"/>
      <c r="N700" s="412"/>
      <c r="O700" s="412"/>
      <c r="P700" s="487"/>
      <c r="Q700" s="412"/>
      <c r="R700" s="412"/>
      <c r="S700" s="412"/>
      <c r="T700" s="488"/>
      <c r="U700" s="412"/>
      <c r="V700" s="412"/>
      <c r="W700" s="412"/>
      <c r="X700" s="412"/>
      <c r="Y700" s="412"/>
      <c r="Z700" s="412"/>
      <c r="AA700" s="412"/>
      <c r="AB700" s="412"/>
      <c r="AC700" s="412"/>
      <c r="AD700" s="412"/>
      <c r="AE700" s="412"/>
      <c r="AF700" s="412"/>
      <c r="AG700" s="412"/>
      <c r="AH700" s="419">
        <f t="shared" si="627"/>
        <v>0</v>
      </c>
      <c r="AI700" s="412"/>
      <c r="AJ700" s="412"/>
      <c r="AK700" s="412"/>
      <c r="AL700" s="412"/>
      <c r="AM700" s="412"/>
    </row>
    <row r="701" spans="1:39" ht="12.75">
      <c r="A701" s="412"/>
      <c r="B701" s="413"/>
      <c r="C701" s="412"/>
      <c r="D701" s="486"/>
      <c r="E701" s="412"/>
      <c r="F701" s="412"/>
      <c r="G701" s="412"/>
      <c r="H701" s="412"/>
      <c r="I701" s="412"/>
      <c r="J701" s="412"/>
      <c r="K701" s="412"/>
      <c r="L701" s="412"/>
      <c r="M701" s="412"/>
      <c r="N701" s="412"/>
      <c r="O701" s="412"/>
      <c r="P701" s="487"/>
      <c r="Q701" s="412"/>
      <c r="R701" s="412"/>
      <c r="S701" s="412"/>
      <c r="T701" s="488"/>
      <c r="U701" s="412"/>
      <c r="V701" s="412"/>
      <c r="W701" s="412"/>
      <c r="X701" s="412"/>
      <c r="Y701" s="412"/>
      <c r="Z701" s="412"/>
      <c r="AA701" s="412"/>
      <c r="AB701" s="412"/>
      <c r="AC701" s="412"/>
      <c r="AD701" s="412"/>
      <c r="AE701" s="412"/>
      <c r="AF701" s="412"/>
      <c r="AG701" s="412"/>
      <c r="AH701" s="419">
        <f t="shared" si="627"/>
        <v>0</v>
      </c>
      <c r="AI701" s="412"/>
      <c r="AJ701" s="412"/>
      <c r="AK701" s="412"/>
      <c r="AL701" s="412"/>
      <c r="AM701" s="412"/>
    </row>
    <row r="702" spans="1:39" ht="12.75">
      <c r="A702" s="412"/>
      <c r="B702" s="413"/>
      <c r="C702" s="412"/>
      <c r="D702" s="486"/>
      <c r="E702" s="412"/>
      <c r="F702" s="412"/>
      <c r="G702" s="412"/>
      <c r="H702" s="412"/>
      <c r="I702" s="412"/>
      <c r="J702" s="412"/>
      <c r="K702" s="412"/>
      <c r="L702" s="412"/>
      <c r="M702" s="412"/>
      <c r="N702" s="412"/>
      <c r="O702" s="412"/>
      <c r="P702" s="487"/>
      <c r="Q702" s="412"/>
      <c r="R702" s="412"/>
      <c r="S702" s="412"/>
      <c r="T702" s="488"/>
      <c r="U702" s="412"/>
      <c r="V702" s="412"/>
      <c r="W702" s="412"/>
      <c r="X702" s="412"/>
      <c r="Y702" s="412"/>
      <c r="Z702" s="412"/>
      <c r="AA702" s="412"/>
      <c r="AB702" s="412"/>
      <c r="AC702" s="412"/>
      <c r="AD702" s="412"/>
      <c r="AE702" s="412"/>
      <c r="AF702" s="412"/>
      <c r="AG702" s="412"/>
      <c r="AH702" s="419">
        <f t="shared" si="627"/>
        <v>0</v>
      </c>
      <c r="AI702" s="412"/>
      <c r="AJ702" s="412"/>
      <c r="AK702" s="412"/>
      <c r="AL702" s="412"/>
      <c r="AM702" s="412"/>
    </row>
    <row r="703" spans="1:39" ht="12.75">
      <c r="A703" s="412"/>
      <c r="B703" s="413"/>
      <c r="C703" s="412"/>
      <c r="D703" s="486"/>
      <c r="E703" s="412"/>
      <c r="F703" s="412"/>
      <c r="G703" s="412"/>
      <c r="H703" s="412"/>
      <c r="I703" s="412"/>
      <c r="J703" s="412"/>
      <c r="K703" s="412"/>
      <c r="L703" s="412"/>
      <c r="M703" s="412"/>
      <c r="N703" s="412"/>
      <c r="O703" s="412"/>
      <c r="P703" s="487"/>
      <c r="Q703" s="412"/>
      <c r="R703" s="412"/>
      <c r="S703" s="412"/>
      <c r="T703" s="488"/>
      <c r="U703" s="412"/>
      <c r="V703" s="412"/>
      <c r="W703" s="412"/>
      <c r="X703" s="412"/>
      <c r="Y703" s="412"/>
      <c r="Z703" s="412"/>
      <c r="AA703" s="412"/>
      <c r="AB703" s="412"/>
      <c r="AC703" s="412"/>
      <c r="AD703" s="412"/>
      <c r="AE703" s="412"/>
      <c r="AF703" s="412"/>
      <c r="AG703" s="412"/>
      <c r="AH703" s="419">
        <f t="shared" si="627"/>
        <v>0</v>
      </c>
      <c r="AI703" s="412"/>
      <c r="AJ703" s="412"/>
      <c r="AK703" s="412"/>
      <c r="AL703" s="412"/>
      <c r="AM703" s="412"/>
    </row>
    <row r="704" spans="1:39" ht="12.75">
      <c r="A704" s="412"/>
      <c r="B704" s="413"/>
      <c r="C704" s="412"/>
      <c r="D704" s="486"/>
      <c r="E704" s="412"/>
      <c r="F704" s="412"/>
      <c r="G704" s="412"/>
      <c r="H704" s="412"/>
      <c r="I704" s="412"/>
      <c r="J704" s="412"/>
      <c r="K704" s="412"/>
      <c r="L704" s="412"/>
      <c r="M704" s="412"/>
      <c r="N704" s="412"/>
      <c r="O704" s="412"/>
      <c r="P704" s="487"/>
      <c r="Q704" s="412"/>
      <c r="R704" s="412"/>
      <c r="S704" s="412"/>
      <c r="T704" s="488"/>
      <c r="U704" s="412"/>
      <c r="V704" s="412"/>
      <c r="W704" s="412"/>
      <c r="X704" s="412"/>
      <c r="Y704" s="412"/>
      <c r="Z704" s="412"/>
      <c r="AA704" s="412"/>
      <c r="AB704" s="412"/>
      <c r="AC704" s="412"/>
      <c r="AD704" s="412"/>
      <c r="AE704" s="412"/>
      <c r="AF704" s="412"/>
      <c r="AG704" s="412"/>
      <c r="AH704" s="419">
        <f t="shared" si="627"/>
        <v>0</v>
      </c>
      <c r="AI704" s="412"/>
      <c r="AJ704" s="412"/>
      <c r="AK704" s="412"/>
      <c r="AL704" s="412"/>
      <c r="AM704" s="412"/>
    </row>
    <row r="705" spans="1:39" ht="12.75">
      <c r="A705" s="412"/>
      <c r="B705" s="413"/>
      <c r="C705" s="412"/>
      <c r="D705" s="486"/>
      <c r="E705" s="412"/>
      <c r="F705" s="412"/>
      <c r="G705" s="412"/>
      <c r="H705" s="412"/>
      <c r="I705" s="412"/>
      <c r="J705" s="412"/>
      <c r="K705" s="412"/>
      <c r="L705" s="412"/>
      <c r="M705" s="412"/>
      <c r="N705" s="412"/>
      <c r="O705" s="412"/>
      <c r="P705" s="487"/>
      <c r="Q705" s="412"/>
      <c r="R705" s="412"/>
      <c r="S705" s="412"/>
      <c r="T705" s="488"/>
      <c r="U705" s="412"/>
      <c r="V705" s="412"/>
      <c r="W705" s="412"/>
      <c r="X705" s="412"/>
      <c r="Y705" s="412"/>
      <c r="Z705" s="412"/>
      <c r="AA705" s="412"/>
      <c r="AB705" s="412"/>
      <c r="AC705" s="412"/>
      <c r="AD705" s="412"/>
      <c r="AE705" s="412"/>
      <c r="AF705" s="412"/>
      <c r="AG705" s="412"/>
      <c r="AH705" s="419">
        <f t="shared" si="627"/>
        <v>0</v>
      </c>
      <c r="AI705" s="412"/>
      <c r="AJ705" s="412"/>
      <c r="AK705" s="412"/>
      <c r="AL705" s="412"/>
      <c r="AM705" s="412"/>
    </row>
    <row r="706" spans="1:39" ht="12.75">
      <c r="A706" s="412"/>
      <c r="B706" s="413"/>
      <c r="C706" s="412"/>
      <c r="D706" s="486"/>
      <c r="E706" s="412"/>
      <c r="F706" s="412"/>
      <c r="G706" s="412"/>
      <c r="H706" s="412"/>
      <c r="I706" s="412"/>
      <c r="J706" s="412"/>
      <c r="K706" s="412"/>
      <c r="L706" s="412"/>
      <c r="M706" s="412"/>
      <c r="N706" s="412"/>
      <c r="O706" s="412"/>
      <c r="P706" s="487"/>
      <c r="Q706" s="412"/>
      <c r="R706" s="412"/>
      <c r="S706" s="412"/>
      <c r="T706" s="488"/>
      <c r="U706" s="412"/>
      <c r="V706" s="412"/>
      <c r="W706" s="412"/>
      <c r="X706" s="412"/>
      <c r="Y706" s="412"/>
      <c r="Z706" s="412"/>
      <c r="AA706" s="412"/>
      <c r="AB706" s="412"/>
      <c r="AC706" s="412"/>
      <c r="AD706" s="412"/>
      <c r="AE706" s="412"/>
      <c r="AF706" s="412"/>
      <c r="AG706" s="412"/>
      <c r="AH706" s="419">
        <f t="shared" ref="AH706:AH769" si="628">AG706-F706</f>
        <v>0</v>
      </c>
      <c r="AI706" s="412"/>
      <c r="AJ706" s="412"/>
      <c r="AK706" s="412"/>
      <c r="AL706" s="412"/>
      <c r="AM706" s="412"/>
    </row>
    <row r="707" spans="1:39" ht="12.75">
      <c r="A707" s="412"/>
      <c r="B707" s="413"/>
      <c r="C707" s="412"/>
      <c r="D707" s="486"/>
      <c r="E707" s="412"/>
      <c r="F707" s="412"/>
      <c r="G707" s="412"/>
      <c r="H707" s="412"/>
      <c r="I707" s="412"/>
      <c r="J707" s="412"/>
      <c r="K707" s="412"/>
      <c r="L707" s="412"/>
      <c r="M707" s="412"/>
      <c r="N707" s="412"/>
      <c r="O707" s="412"/>
      <c r="P707" s="487"/>
      <c r="Q707" s="412"/>
      <c r="R707" s="412"/>
      <c r="S707" s="412"/>
      <c r="T707" s="488"/>
      <c r="U707" s="412"/>
      <c r="V707" s="412"/>
      <c r="W707" s="412"/>
      <c r="X707" s="412"/>
      <c r="Y707" s="412"/>
      <c r="Z707" s="412"/>
      <c r="AA707" s="412"/>
      <c r="AB707" s="412"/>
      <c r="AC707" s="412"/>
      <c r="AD707" s="412"/>
      <c r="AE707" s="412"/>
      <c r="AF707" s="412"/>
      <c r="AG707" s="412"/>
      <c r="AH707" s="419">
        <f t="shared" si="628"/>
        <v>0</v>
      </c>
      <c r="AI707" s="412"/>
      <c r="AJ707" s="412"/>
      <c r="AK707" s="412"/>
      <c r="AL707" s="412"/>
      <c r="AM707" s="412"/>
    </row>
    <row r="708" spans="1:39" ht="12.75">
      <c r="A708" s="412"/>
      <c r="B708" s="413"/>
      <c r="C708" s="412"/>
      <c r="D708" s="486"/>
      <c r="E708" s="412"/>
      <c r="F708" s="412"/>
      <c r="G708" s="412"/>
      <c r="H708" s="412"/>
      <c r="I708" s="412"/>
      <c r="J708" s="412"/>
      <c r="K708" s="412"/>
      <c r="L708" s="412"/>
      <c r="M708" s="412"/>
      <c r="N708" s="412"/>
      <c r="O708" s="412"/>
      <c r="P708" s="487"/>
      <c r="Q708" s="412"/>
      <c r="R708" s="412"/>
      <c r="S708" s="412"/>
      <c r="T708" s="488"/>
      <c r="U708" s="412"/>
      <c r="V708" s="412"/>
      <c r="W708" s="412"/>
      <c r="X708" s="412"/>
      <c r="Y708" s="412"/>
      <c r="Z708" s="412"/>
      <c r="AA708" s="412"/>
      <c r="AB708" s="412"/>
      <c r="AC708" s="412"/>
      <c r="AD708" s="412"/>
      <c r="AE708" s="412"/>
      <c r="AF708" s="412"/>
      <c r="AG708" s="412"/>
      <c r="AH708" s="419">
        <f t="shared" si="628"/>
        <v>0</v>
      </c>
      <c r="AI708" s="412"/>
      <c r="AJ708" s="412"/>
      <c r="AK708" s="412"/>
      <c r="AL708" s="412"/>
      <c r="AM708" s="412"/>
    </row>
    <row r="709" spans="1:39" ht="12.75">
      <c r="A709" s="412"/>
      <c r="B709" s="413"/>
      <c r="C709" s="412"/>
      <c r="D709" s="486"/>
      <c r="E709" s="412"/>
      <c r="F709" s="412"/>
      <c r="G709" s="412"/>
      <c r="H709" s="412"/>
      <c r="I709" s="412"/>
      <c r="J709" s="412"/>
      <c r="K709" s="412"/>
      <c r="L709" s="412"/>
      <c r="M709" s="412"/>
      <c r="N709" s="412"/>
      <c r="O709" s="412"/>
      <c r="P709" s="487"/>
      <c r="Q709" s="412"/>
      <c r="R709" s="412"/>
      <c r="S709" s="412"/>
      <c r="T709" s="488"/>
      <c r="U709" s="412"/>
      <c r="V709" s="412"/>
      <c r="W709" s="412"/>
      <c r="X709" s="412"/>
      <c r="Y709" s="412"/>
      <c r="Z709" s="412"/>
      <c r="AA709" s="412"/>
      <c r="AB709" s="412"/>
      <c r="AC709" s="412"/>
      <c r="AD709" s="412"/>
      <c r="AE709" s="412"/>
      <c r="AF709" s="412"/>
      <c r="AG709" s="412"/>
      <c r="AH709" s="419">
        <f t="shared" si="628"/>
        <v>0</v>
      </c>
      <c r="AI709" s="412"/>
      <c r="AJ709" s="412"/>
      <c r="AK709" s="412"/>
      <c r="AL709" s="412"/>
      <c r="AM709" s="412"/>
    </row>
    <row r="710" spans="1:39" ht="12.75">
      <c r="A710" s="412"/>
      <c r="B710" s="413"/>
      <c r="C710" s="412"/>
      <c r="D710" s="486"/>
      <c r="E710" s="412"/>
      <c r="F710" s="412"/>
      <c r="G710" s="412"/>
      <c r="H710" s="412"/>
      <c r="I710" s="412"/>
      <c r="J710" s="412"/>
      <c r="K710" s="412"/>
      <c r="L710" s="412"/>
      <c r="M710" s="412"/>
      <c r="N710" s="412"/>
      <c r="O710" s="412"/>
      <c r="P710" s="487"/>
      <c r="Q710" s="412"/>
      <c r="R710" s="412"/>
      <c r="S710" s="412"/>
      <c r="T710" s="488"/>
      <c r="U710" s="412"/>
      <c r="V710" s="412"/>
      <c r="W710" s="412"/>
      <c r="X710" s="412"/>
      <c r="Y710" s="412"/>
      <c r="Z710" s="412"/>
      <c r="AA710" s="412"/>
      <c r="AB710" s="412"/>
      <c r="AC710" s="412"/>
      <c r="AD710" s="412"/>
      <c r="AE710" s="412"/>
      <c r="AF710" s="412"/>
      <c r="AG710" s="412"/>
      <c r="AH710" s="419">
        <f t="shared" si="628"/>
        <v>0</v>
      </c>
      <c r="AI710" s="412"/>
      <c r="AJ710" s="412"/>
      <c r="AK710" s="412"/>
      <c r="AL710" s="412"/>
      <c r="AM710" s="412"/>
    </row>
    <row r="711" spans="1:39" ht="12.75">
      <c r="A711" s="412"/>
      <c r="B711" s="413"/>
      <c r="C711" s="412"/>
      <c r="D711" s="486"/>
      <c r="E711" s="412"/>
      <c r="F711" s="412"/>
      <c r="G711" s="412"/>
      <c r="H711" s="412"/>
      <c r="I711" s="412"/>
      <c r="J711" s="412"/>
      <c r="K711" s="412"/>
      <c r="L711" s="412"/>
      <c r="M711" s="412"/>
      <c r="N711" s="412"/>
      <c r="O711" s="412"/>
      <c r="P711" s="487"/>
      <c r="Q711" s="412"/>
      <c r="R711" s="412"/>
      <c r="S711" s="412"/>
      <c r="T711" s="488"/>
      <c r="U711" s="412"/>
      <c r="V711" s="412"/>
      <c r="W711" s="412"/>
      <c r="X711" s="412"/>
      <c r="Y711" s="412"/>
      <c r="Z711" s="412"/>
      <c r="AA711" s="412"/>
      <c r="AB711" s="412"/>
      <c r="AC711" s="412"/>
      <c r="AD711" s="412"/>
      <c r="AE711" s="412"/>
      <c r="AF711" s="412"/>
      <c r="AG711" s="412"/>
      <c r="AH711" s="419">
        <f t="shared" si="628"/>
        <v>0</v>
      </c>
      <c r="AI711" s="412"/>
      <c r="AJ711" s="412"/>
      <c r="AK711" s="412"/>
      <c r="AL711" s="412"/>
      <c r="AM711" s="412"/>
    </row>
    <row r="712" spans="1:39" ht="12.75">
      <c r="A712" s="412"/>
      <c r="B712" s="413"/>
      <c r="C712" s="412"/>
      <c r="D712" s="486"/>
      <c r="E712" s="412"/>
      <c r="F712" s="412"/>
      <c r="G712" s="412"/>
      <c r="H712" s="412"/>
      <c r="I712" s="412"/>
      <c r="J712" s="412"/>
      <c r="K712" s="412"/>
      <c r="L712" s="412"/>
      <c r="M712" s="412"/>
      <c r="N712" s="412"/>
      <c r="O712" s="412"/>
      <c r="P712" s="487"/>
      <c r="Q712" s="412"/>
      <c r="R712" s="412"/>
      <c r="S712" s="412"/>
      <c r="T712" s="488"/>
      <c r="U712" s="412"/>
      <c r="V712" s="412"/>
      <c r="W712" s="412"/>
      <c r="X712" s="412"/>
      <c r="Y712" s="412"/>
      <c r="Z712" s="412"/>
      <c r="AA712" s="412"/>
      <c r="AB712" s="412"/>
      <c r="AC712" s="412"/>
      <c r="AD712" s="412"/>
      <c r="AE712" s="412"/>
      <c r="AF712" s="412"/>
      <c r="AG712" s="412"/>
      <c r="AH712" s="419">
        <f t="shared" si="628"/>
        <v>0</v>
      </c>
      <c r="AI712" s="412"/>
      <c r="AJ712" s="412"/>
      <c r="AK712" s="412"/>
      <c r="AL712" s="412"/>
      <c r="AM712" s="412"/>
    </row>
    <row r="713" spans="1:39" ht="12.75">
      <c r="A713" s="412"/>
      <c r="B713" s="413"/>
      <c r="C713" s="412"/>
      <c r="D713" s="486"/>
      <c r="E713" s="412"/>
      <c r="F713" s="412"/>
      <c r="G713" s="412"/>
      <c r="H713" s="412"/>
      <c r="I713" s="412"/>
      <c r="J713" s="412"/>
      <c r="K713" s="412"/>
      <c r="L713" s="412"/>
      <c r="M713" s="412"/>
      <c r="N713" s="412"/>
      <c r="O713" s="412"/>
      <c r="P713" s="487"/>
      <c r="Q713" s="412"/>
      <c r="R713" s="412"/>
      <c r="S713" s="412"/>
      <c r="T713" s="488"/>
      <c r="U713" s="412"/>
      <c r="V713" s="412"/>
      <c r="W713" s="412"/>
      <c r="X713" s="412"/>
      <c r="Y713" s="412"/>
      <c r="Z713" s="412"/>
      <c r="AA713" s="412"/>
      <c r="AB713" s="412"/>
      <c r="AC713" s="412"/>
      <c r="AD713" s="412"/>
      <c r="AE713" s="412"/>
      <c r="AF713" s="412"/>
      <c r="AG713" s="412"/>
      <c r="AH713" s="419">
        <f t="shared" si="628"/>
        <v>0</v>
      </c>
      <c r="AI713" s="412"/>
      <c r="AJ713" s="412"/>
      <c r="AK713" s="412"/>
      <c r="AL713" s="412"/>
      <c r="AM713" s="412"/>
    </row>
    <row r="714" spans="1:39" ht="12.75">
      <c r="A714" s="412"/>
      <c r="B714" s="413"/>
      <c r="C714" s="412"/>
      <c r="D714" s="486"/>
      <c r="E714" s="412"/>
      <c r="F714" s="412"/>
      <c r="G714" s="412"/>
      <c r="H714" s="412"/>
      <c r="I714" s="412"/>
      <c r="J714" s="412"/>
      <c r="K714" s="412"/>
      <c r="L714" s="412"/>
      <c r="M714" s="412"/>
      <c r="N714" s="412"/>
      <c r="O714" s="412"/>
      <c r="P714" s="487"/>
      <c r="Q714" s="412"/>
      <c r="R714" s="412"/>
      <c r="S714" s="412"/>
      <c r="T714" s="488"/>
      <c r="U714" s="412"/>
      <c r="V714" s="412"/>
      <c r="W714" s="412"/>
      <c r="X714" s="412"/>
      <c r="Y714" s="412"/>
      <c r="Z714" s="412"/>
      <c r="AA714" s="412"/>
      <c r="AB714" s="412"/>
      <c r="AC714" s="412"/>
      <c r="AD714" s="412"/>
      <c r="AE714" s="412"/>
      <c r="AF714" s="412"/>
      <c r="AG714" s="412"/>
      <c r="AH714" s="419">
        <f t="shared" si="628"/>
        <v>0</v>
      </c>
      <c r="AI714" s="412"/>
      <c r="AJ714" s="412"/>
      <c r="AK714" s="412"/>
      <c r="AL714" s="412"/>
      <c r="AM714" s="412"/>
    </row>
    <row r="715" spans="1:39" ht="12.75">
      <c r="A715" s="412"/>
      <c r="B715" s="413"/>
      <c r="C715" s="412"/>
      <c r="D715" s="486"/>
      <c r="E715" s="412"/>
      <c r="F715" s="412"/>
      <c r="G715" s="412"/>
      <c r="H715" s="412"/>
      <c r="I715" s="412"/>
      <c r="J715" s="412"/>
      <c r="K715" s="412"/>
      <c r="L715" s="412"/>
      <c r="M715" s="412"/>
      <c r="N715" s="412"/>
      <c r="O715" s="412"/>
      <c r="P715" s="487"/>
      <c r="Q715" s="412"/>
      <c r="R715" s="412"/>
      <c r="S715" s="412"/>
      <c r="T715" s="488"/>
      <c r="U715" s="412"/>
      <c r="V715" s="412"/>
      <c r="W715" s="412"/>
      <c r="X715" s="412"/>
      <c r="Y715" s="412"/>
      <c r="Z715" s="412"/>
      <c r="AA715" s="412"/>
      <c r="AB715" s="412"/>
      <c r="AC715" s="412"/>
      <c r="AD715" s="412"/>
      <c r="AE715" s="412"/>
      <c r="AF715" s="412"/>
      <c r="AG715" s="412"/>
      <c r="AH715" s="419">
        <f t="shared" si="628"/>
        <v>0</v>
      </c>
      <c r="AI715" s="412"/>
      <c r="AJ715" s="412"/>
      <c r="AK715" s="412"/>
      <c r="AL715" s="412"/>
      <c r="AM715" s="412"/>
    </row>
    <row r="716" spans="1:39" ht="12.75">
      <c r="A716" s="412"/>
      <c r="B716" s="413"/>
      <c r="C716" s="412"/>
      <c r="D716" s="486"/>
      <c r="E716" s="412"/>
      <c r="F716" s="412"/>
      <c r="G716" s="412"/>
      <c r="H716" s="412"/>
      <c r="I716" s="412"/>
      <c r="J716" s="412"/>
      <c r="K716" s="412"/>
      <c r="L716" s="412"/>
      <c r="M716" s="412"/>
      <c r="N716" s="412"/>
      <c r="O716" s="412"/>
      <c r="P716" s="487"/>
      <c r="Q716" s="412"/>
      <c r="R716" s="412"/>
      <c r="S716" s="412"/>
      <c r="T716" s="488"/>
      <c r="U716" s="412"/>
      <c r="V716" s="412"/>
      <c r="W716" s="412"/>
      <c r="X716" s="412"/>
      <c r="Y716" s="412"/>
      <c r="Z716" s="412"/>
      <c r="AA716" s="412"/>
      <c r="AB716" s="412"/>
      <c r="AC716" s="412"/>
      <c r="AD716" s="412"/>
      <c r="AE716" s="412"/>
      <c r="AF716" s="412"/>
      <c r="AG716" s="412"/>
      <c r="AH716" s="419">
        <f t="shared" si="628"/>
        <v>0</v>
      </c>
      <c r="AI716" s="412"/>
      <c r="AJ716" s="412"/>
      <c r="AK716" s="412"/>
      <c r="AL716" s="412"/>
      <c r="AM716" s="412"/>
    </row>
    <row r="717" spans="1:39" ht="12.75">
      <c r="A717" s="412"/>
      <c r="B717" s="413"/>
      <c r="C717" s="412"/>
      <c r="D717" s="486"/>
      <c r="E717" s="412"/>
      <c r="F717" s="412"/>
      <c r="G717" s="412"/>
      <c r="H717" s="412"/>
      <c r="I717" s="412"/>
      <c r="J717" s="412"/>
      <c r="K717" s="412"/>
      <c r="L717" s="412"/>
      <c r="M717" s="412"/>
      <c r="N717" s="412"/>
      <c r="O717" s="412"/>
      <c r="P717" s="487"/>
      <c r="Q717" s="412"/>
      <c r="R717" s="412"/>
      <c r="S717" s="412"/>
      <c r="T717" s="488"/>
      <c r="U717" s="412"/>
      <c r="V717" s="412"/>
      <c r="W717" s="412"/>
      <c r="X717" s="412"/>
      <c r="Y717" s="412"/>
      <c r="Z717" s="412"/>
      <c r="AA717" s="412"/>
      <c r="AB717" s="412"/>
      <c r="AC717" s="412"/>
      <c r="AD717" s="412"/>
      <c r="AE717" s="412"/>
      <c r="AF717" s="412"/>
      <c r="AG717" s="412"/>
      <c r="AH717" s="419">
        <f t="shared" si="628"/>
        <v>0</v>
      </c>
      <c r="AI717" s="412"/>
      <c r="AJ717" s="412"/>
      <c r="AK717" s="412"/>
      <c r="AL717" s="412"/>
      <c r="AM717" s="412"/>
    </row>
    <row r="718" spans="1:39" ht="12.75">
      <c r="A718" s="412"/>
      <c r="B718" s="413"/>
      <c r="C718" s="412"/>
      <c r="D718" s="486"/>
      <c r="E718" s="412"/>
      <c r="F718" s="412"/>
      <c r="G718" s="412"/>
      <c r="H718" s="412"/>
      <c r="I718" s="412"/>
      <c r="J718" s="412"/>
      <c r="K718" s="412"/>
      <c r="L718" s="412"/>
      <c r="M718" s="412"/>
      <c r="N718" s="412"/>
      <c r="O718" s="412"/>
      <c r="P718" s="487"/>
      <c r="Q718" s="412"/>
      <c r="R718" s="412"/>
      <c r="S718" s="412"/>
      <c r="T718" s="488"/>
      <c r="U718" s="412"/>
      <c r="V718" s="412"/>
      <c r="W718" s="412"/>
      <c r="X718" s="412"/>
      <c r="Y718" s="412"/>
      <c r="Z718" s="412"/>
      <c r="AA718" s="412"/>
      <c r="AB718" s="412"/>
      <c r="AC718" s="412"/>
      <c r="AD718" s="412"/>
      <c r="AE718" s="412"/>
      <c r="AF718" s="412"/>
      <c r="AG718" s="412"/>
      <c r="AH718" s="419">
        <f t="shared" si="628"/>
        <v>0</v>
      </c>
      <c r="AI718" s="412"/>
      <c r="AJ718" s="412"/>
      <c r="AK718" s="412"/>
      <c r="AL718" s="412"/>
      <c r="AM718" s="412"/>
    </row>
    <row r="719" spans="1:39" ht="12.75">
      <c r="A719" s="412"/>
      <c r="B719" s="413"/>
      <c r="C719" s="412"/>
      <c r="D719" s="486"/>
      <c r="E719" s="412"/>
      <c r="F719" s="412"/>
      <c r="G719" s="412"/>
      <c r="H719" s="412"/>
      <c r="I719" s="412"/>
      <c r="J719" s="412"/>
      <c r="K719" s="412"/>
      <c r="L719" s="412"/>
      <c r="M719" s="412"/>
      <c r="N719" s="412"/>
      <c r="O719" s="412"/>
      <c r="P719" s="487"/>
      <c r="Q719" s="412"/>
      <c r="R719" s="412"/>
      <c r="S719" s="412"/>
      <c r="T719" s="488"/>
      <c r="U719" s="412"/>
      <c r="V719" s="412"/>
      <c r="W719" s="412"/>
      <c r="X719" s="412"/>
      <c r="Y719" s="412"/>
      <c r="Z719" s="412"/>
      <c r="AA719" s="412"/>
      <c r="AB719" s="412"/>
      <c r="AC719" s="412"/>
      <c r="AD719" s="412"/>
      <c r="AE719" s="412"/>
      <c r="AF719" s="412"/>
      <c r="AG719" s="412"/>
      <c r="AH719" s="419">
        <f t="shared" si="628"/>
        <v>0</v>
      </c>
      <c r="AI719" s="412"/>
      <c r="AJ719" s="412"/>
      <c r="AK719" s="412"/>
      <c r="AL719" s="412"/>
      <c r="AM719" s="412"/>
    </row>
    <row r="720" spans="1:39" ht="12.75">
      <c r="A720" s="412"/>
      <c r="B720" s="413"/>
      <c r="C720" s="412"/>
      <c r="D720" s="486"/>
      <c r="E720" s="412"/>
      <c r="F720" s="412"/>
      <c r="G720" s="412"/>
      <c r="H720" s="412"/>
      <c r="I720" s="412"/>
      <c r="J720" s="412"/>
      <c r="K720" s="412"/>
      <c r="L720" s="412"/>
      <c r="M720" s="412"/>
      <c r="N720" s="412"/>
      <c r="O720" s="412"/>
      <c r="P720" s="487"/>
      <c r="Q720" s="412"/>
      <c r="R720" s="412"/>
      <c r="S720" s="412"/>
      <c r="T720" s="488"/>
      <c r="U720" s="412"/>
      <c r="V720" s="412"/>
      <c r="W720" s="412"/>
      <c r="X720" s="412"/>
      <c r="Y720" s="412"/>
      <c r="Z720" s="412"/>
      <c r="AA720" s="412"/>
      <c r="AB720" s="412"/>
      <c r="AC720" s="412"/>
      <c r="AD720" s="412"/>
      <c r="AE720" s="412"/>
      <c r="AF720" s="412"/>
      <c r="AG720" s="412"/>
      <c r="AH720" s="419">
        <f t="shared" si="628"/>
        <v>0</v>
      </c>
      <c r="AI720" s="412"/>
      <c r="AJ720" s="412"/>
      <c r="AK720" s="412"/>
      <c r="AL720" s="412"/>
      <c r="AM720" s="412"/>
    </row>
    <row r="721" spans="1:39" ht="12.75">
      <c r="A721" s="412"/>
      <c r="B721" s="413"/>
      <c r="C721" s="412"/>
      <c r="D721" s="486"/>
      <c r="E721" s="412"/>
      <c r="F721" s="412"/>
      <c r="G721" s="412"/>
      <c r="H721" s="412"/>
      <c r="I721" s="412"/>
      <c r="J721" s="412"/>
      <c r="K721" s="412"/>
      <c r="L721" s="412"/>
      <c r="M721" s="412"/>
      <c r="N721" s="412"/>
      <c r="O721" s="412"/>
      <c r="P721" s="487"/>
      <c r="Q721" s="412"/>
      <c r="R721" s="412"/>
      <c r="S721" s="412"/>
      <c r="T721" s="488"/>
      <c r="U721" s="412"/>
      <c r="V721" s="412"/>
      <c r="W721" s="412"/>
      <c r="X721" s="412"/>
      <c r="Y721" s="412"/>
      <c r="Z721" s="412"/>
      <c r="AA721" s="412"/>
      <c r="AB721" s="412"/>
      <c r="AC721" s="412"/>
      <c r="AD721" s="412"/>
      <c r="AE721" s="412"/>
      <c r="AF721" s="412"/>
      <c r="AG721" s="412"/>
      <c r="AH721" s="419">
        <f t="shared" si="628"/>
        <v>0</v>
      </c>
      <c r="AI721" s="412"/>
      <c r="AJ721" s="412"/>
      <c r="AK721" s="412"/>
      <c r="AL721" s="412"/>
      <c r="AM721" s="412"/>
    </row>
    <row r="722" spans="1:39" ht="12.75">
      <c r="A722" s="412"/>
      <c r="B722" s="413"/>
      <c r="C722" s="412"/>
      <c r="D722" s="486"/>
      <c r="E722" s="412"/>
      <c r="F722" s="412"/>
      <c r="G722" s="412"/>
      <c r="H722" s="412"/>
      <c r="I722" s="412"/>
      <c r="J722" s="412"/>
      <c r="K722" s="412"/>
      <c r="L722" s="412"/>
      <c r="M722" s="412"/>
      <c r="N722" s="412"/>
      <c r="O722" s="412"/>
      <c r="P722" s="487"/>
      <c r="Q722" s="412"/>
      <c r="R722" s="412"/>
      <c r="S722" s="412"/>
      <c r="T722" s="488"/>
      <c r="U722" s="412"/>
      <c r="V722" s="412"/>
      <c r="W722" s="412"/>
      <c r="X722" s="412"/>
      <c r="Y722" s="412"/>
      <c r="Z722" s="412"/>
      <c r="AA722" s="412"/>
      <c r="AB722" s="412"/>
      <c r="AC722" s="412"/>
      <c r="AD722" s="412"/>
      <c r="AE722" s="412"/>
      <c r="AF722" s="412"/>
      <c r="AG722" s="412"/>
      <c r="AH722" s="419">
        <f t="shared" si="628"/>
        <v>0</v>
      </c>
      <c r="AI722" s="412"/>
      <c r="AJ722" s="412"/>
      <c r="AK722" s="412"/>
      <c r="AL722" s="412"/>
      <c r="AM722" s="412"/>
    </row>
    <row r="723" spans="1:39" ht="12.75">
      <c r="A723" s="412"/>
      <c r="B723" s="413"/>
      <c r="C723" s="412"/>
      <c r="D723" s="486"/>
      <c r="E723" s="412"/>
      <c r="F723" s="412"/>
      <c r="G723" s="412"/>
      <c r="H723" s="412"/>
      <c r="I723" s="412"/>
      <c r="J723" s="412"/>
      <c r="K723" s="412"/>
      <c r="L723" s="412"/>
      <c r="M723" s="412"/>
      <c r="N723" s="412"/>
      <c r="O723" s="412"/>
      <c r="P723" s="487"/>
      <c r="Q723" s="412"/>
      <c r="R723" s="412"/>
      <c r="S723" s="412"/>
      <c r="T723" s="488"/>
      <c r="U723" s="412"/>
      <c r="V723" s="412"/>
      <c r="W723" s="412"/>
      <c r="X723" s="412"/>
      <c r="Y723" s="412"/>
      <c r="Z723" s="412"/>
      <c r="AA723" s="412"/>
      <c r="AB723" s="412"/>
      <c r="AC723" s="412"/>
      <c r="AD723" s="412"/>
      <c r="AE723" s="412"/>
      <c r="AF723" s="412"/>
      <c r="AG723" s="412"/>
      <c r="AH723" s="419">
        <f t="shared" si="628"/>
        <v>0</v>
      </c>
      <c r="AI723" s="412"/>
      <c r="AJ723" s="412"/>
      <c r="AK723" s="412"/>
      <c r="AL723" s="412"/>
      <c r="AM723" s="412"/>
    </row>
    <row r="724" spans="1:39" ht="12.75">
      <c r="A724" s="412"/>
      <c r="B724" s="413"/>
      <c r="C724" s="412"/>
      <c r="D724" s="486"/>
      <c r="E724" s="412"/>
      <c r="F724" s="412"/>
      <c r="G724" s="412"/>
      <c r="H724" s="412"/>
      <c r="I724" s="412"/>
      <c r="J724" s="412"/>
      <c r="K724" s="412"/>
      <c r="L724" s="412"/>
      <c r="M724" s="412"/>
      <c r="N724" s="412"/>
      <c r="O724" s="412"/>
      <c r="P724" s="487"/>
      <c r="Q724" s="412"/>
      <c r="R724" s="412"/>
      <c r="S724" s="412"/>
      <c r="T724" s="488"/>
      <c r="U724" s="412"/>
      <c r="V724" s="412"/>
      <c r="W724" s="412"/>
      <c r="X724" s="412"/>
      <c r="Y724" s="412"/>
      <c r="Z724" s="412"/>
      <c r="AA724" s="412"/>
      <c r="AB724" s="412"/>
      <c r="AC724" s="412"/>
      <c r="AD724" s="412"/>
      <c r="AE724" s="412"/>
      <c r="AF724" s="412"/>
      <c r="AG724" s="412"/>
      <c r="AH724" s="419">
        <f t="shared" si="628"/>
        <v>0</v>
      </c>
      <c r="AI724" s="412"/>
      <c r="AJ724" s="412"/>
      <c r="AK724" s="412"/>
      <c r="AL724" s="412"/>
      <c r="AM724" s="412"/>
    </row>
    <row r="725" spans="1:39" ht="12.75">
      <c r="A725" s="412"/>
      <c r="B725" s="413"/>
      <c r="C725" s="412"/>
      <c r="D725" s="486"/>
      <c r="E725" s="412"/>
      <c r="F725" s="412"/>
      <c r="G725" s="412"/>
      <c r="H725" s="412"/>
      <c r="I725" s="412"/>
      <c r="J725" s="412"/>
      <c r="K725" s="412"/>
      <c r="L725" s="412"/>
      <c r="M725" s="412"/>
      <c r="N725" s="412"/>
      <c r="O725" s="412"/>
      <c r="P725" s="487"/>
      <c r="Q725" s="412"/>
      <c r="R725" s="412"/>
      <c r="S725" s="412"/>
      <c r="T725" s="488"/>
      <c r="U725" s="412"/>
      <c r="V725" s="412"/>
      <c r="W725" s="412"/>
      <c r="X725" s="412"/>
      <c r="Y725" s="412"/>
      <c r="Z725" s="412"/>
      <c r="AA725" s="412"/>
      <c r="AB725" s="412"/>
      <c r="AC725" s="412"/>
      <c r="AD725" s="412"/>
      <c r="AE725" s="412"/>
      <c r="AF725" s="412"/>
      <c r="AG725" s="412"/>
      <c r="AH725" s="419">
        <f t="shared" si="628"/>
        <v>0</v>
      </c>
      <c r="AI725" s="412"/>
      <c r="AJ725" s="412"/>
      <c r="AK725" s="412"/>
      <c r="AL725" s="412"/>
      <c r="AM725" s="412"/>
    </row>
    <row r="726" spans="1:39" ht="12.75">
      <c r="A726" s="412"/>
      <c r="B726" s="413"/>
      <c r="C726" s="412"/>
      <c r="D726" s="486"/>
      <c r="E726" s="412"/>
      <c r="F726" s="412"/>
      <c r="G726" s="412"/>
      <c r="H726" s="412"/>
      <c r="I726" s="412"/>
      <c r="J726" s="412"/>
      <c r="K726" s="412"/>
      <c r="L726" s="412"/>
      <c r="M726" s="412"/>
      <c r="N726" s="412"/>
      <c r="O726" s="412"/>
      <c r="P726" s="487"/>
      <c r="Q726" s="412"/>
      <c r="R726" s="412"/>
      <c r="S726" s="412"/>
      <c r="T726" s="488"/>
      <c r="U726" s="412"/>
      <c r="V726" s="412"/>
      <c r="W726" s="412"/>
      <c r="X726" s="412"/>
      <c r="Y726" s="412"/>
      <c r="Z726" s="412"/>
      <c r="AA726" s="412"/>
      <c r="AB726" s="412"/>
      <c r="AC726" s="412"/>
      <c r="AD726" s="412"/>
      <c r="AE726" s="412"/>
      <c r="AF726" s="412"/>
      <c r="AG726" s="412"/>
      <c r="AH726" s="419">
        <f t="shared" si="628"/>
        <v>0</v>
      </c>
      <c r="AI726" s="412"/>
      <c r="AJ726" s="412"/>
      <c r="AK726" s="412"/>
      <c r="AL726" s="412"/>
      <c r="AM726" s="412"/>
    </row>
    <row r="727" spans="1:39" ht="12.75">
      <c r="A727" s="412"/>
      <c r="B727" s="413"/>
      <c r="C727" s="412"/>
      <c r="D727" s="486"/>
      <c r="E727" s="412"/>
      <c r="F727" s="412"/>
      <c r="G727" s="412"/>
      <c r="H727" s="412"/>
      <c r="I727" s="412"/>
      <c r="J727" s="412"/>
      <c r="K727" s="412"/>
      <c r="L727" s="412"/>
      <c r="M727" s="412"/>
      <c r="N727" s="412"/>
      <c r="O727" s="412"/>
      <c r="P727" s="487"/>
      <c r="Q727" s="412"/>
      <c r="R727" s="412"/>
      <c r="S727" s="412"/>
      <c r="T727" s="488"/>
      <c r="U727" s="412"/>
      <c r="V727" s="412"/>
      <c r="W727" s="412"/>
      <c r="X727" s="412"/>
      <c r="Y727" s="412"/>
      <c r="Z727" s="412"/>
      <c r="AA727" s="412"/>
      <c r="AB727" s="412"/>
      <c r="AC727" s="412"/>
      <c r="AD727" s="412"/>
      <c r="AE727" s="412"/>
      <c r="AF727" s="412"/>
      <c r="AG727" s="412"/>
      <c r="AH727" s="419">
        <f t="shared" si="628"/>
        <v>0</v>
      </c>
      <c r="AI727" s="412"/>
      <c r="AJ727" s="412"/>
      <c r="AK727" s="412"/>
      <c r="AL727" s="412"/>
      <c r="AM727" s="412"/>
    </row>
    <row r="728" spans="1:39" ht="12.75">
      <c r="A728" s="412"/>
      <c r="B728" s="413"/>
      <c r="C728" s="412"/>
      <c r="D728" s="486"/>
      <c r="E728" s="412"/>
      <c r="F728" s="412"/>
      <c r="G728" s="412"/>
      <c r="H728" s="412"/>
      <c r="I728" s="412"/>
      <c r="J728" s="412"/>
      <c r="K728" s="412"/>
      <c r="L728" s="412"/>
      <c r="M728" s="412"/>
      <c r="N728" s="412"/>
      <c r="O728" s="412"/>
      <c r="P728" s="487"/>
      <c r="Q728" s="412"/>
      <c r="R728" s="412"/>
      <c r="S728" s="412"/>
      <c r="T728" s="488"/>
      <c r="U728" s="412"/>
      <c r="V728" s="412"/>
      <c r="W728" s="412"/>
      <c r="X728" s="412"/>
      <c r="Y728" s="412"/>
      <c r="Z728" s="412"/>
      <c r="AA728" s="412"/>
      <c r="AB728" s="412"/>
      <c r="AC728" s="412"/>
      <c r="AD728" s="412"/>
      <c r="AE728" s="412"/>
      <c r="AF728" s="412"/>
      <c r="AG728" s="412"/>
      <c r="AH728" s="419">
        <f t="shared" si="628"/>
        <v>0</v>
      </c>
      <c r="AI728" s="412"/>
      <c r="AJ728" s="412"/>
      <c r="AK728" s="412"/>
      <c r="AL728" s="412"/>
      <c r="AM728" s="412"/>
    </row>
    <row r="729" spans="1:39" ht="12.75">
      <c r="A729" s="412"/>
      <c r="B729" s="413"/>
      <c r="C729" s="412"/>
      <c r="D729" s="486"/>
      <c r="E729" s="412"/>
      <c r="F729" s="412"/>
      <c r="G729" s="412"/>
      <c r="H729" s="412"/>
      <c r="I729" s="412"/>
      <c r="J729" s="412"/>
      <c r="K729" s="412"/>
      <c r="L729" s="412"/>
      <c r="M729" s="412"/>
      <c r="N729" s="412"/>
      <c r="O729" s="412"/>
      <c r="P729" s="487"/>
      <c r="Q729" s="412"/>
      <c r="R729" s="412"/>
      <c r="S729" s="412"/>
      <c r="T729" s="488"/>
      <c r="U729" s="412"/>
      <c r="V729" s="412"/>
      <c r="W729" s="412"/>
      <c r="X729" s="412"/>
      <c r="Y729" s="412"/>
      <c r="Z729" s="412"/>
      <c r="AA729" s="412"/>
      <c r="AB729" s="412"/>
      <c r="AC729" s="412"/>
      <c r="AD729" s="412"/>
      <c r="AE729" s="412"/>
      <c r="AF729" s="412"/>
      <c r="AG729" s="412"/>
      <c r="AH729" s="419">
        <f t="shared" si="628"/>
        <v>0</v>
      </c>
      <c r="AI729" s="412"/>
      <c r="AJ729" s="412"/>
      <c r="AK729" s="412"/>
      <c r="AL729" s="412"/>
      <c r="AM729" s="412"/>
    </row>
    <row r="730" spans="1:39" ht="12.75">
      <c r="A730" s="412"/>
      <c r="B730" s="413"/>
      <c r="C730" s="412"/>
      <c r="D730" s="486"/>
      <c r="E730" s="412"/>
      <c r="F730" s="412"/>
      <c r="G730" s="412"/>
      <c r="H730" s="412"/>
      <c r="I730" s="412"/>
      <c r="J730" s="412"/>
      <c r="K730" s="412"/>
      <c r="L730" s="412"/>
      <c r="M730" s="412"/>
      <c r="N730" s="412"/>
      <c r="O730" s="412"/>
      <c r="P730" s="487"/>
      <c r="Q730" s="412"/>
      <c r="R730" s="412"/>
      <c r="S730" s="412"/>
      <c r="T730" s="488"/>
      <c r="U730" s="412"/>
      <c r="V730" s="412"/>
      <c r="W730" s="412"/>
      <c r="X730" s="412"/>
      <c r="Y730" s="412"/>
      <c r="Z730" s="412"/>
      <c r="AA730" s="412"/>
      <c r="AB730" s="412"/>
      <c r="AC730" s="412"/>
      <c r="AD730" s="412"/>
      <c r="AE730" s="412"/>
      <c r="AF730" s="412"/>
      <c r="AG730" s="412"/>
      <c r="AH730" s="419">
        <f t="shared" si="628"/>
        <v>0</v>
      </c>
      <c r="AI730" s="412"/>
      <c r="AJ730" s="412"/>
      <c r="AK730" s="412"/>
      <c r="AL730" s="412"/>
      <c r="AM730" s="412"/>
    </row>
    <row r="731" spans="1:39" ht="12.75">
      <c r="A731" s="412"/>
      <c r="B731" s="413"/>
      <c r="C731" s="412"/>
      <c r="D731" s="486"/>
      <c r="E731" s="412"/>
      <c r="F731" s="412"/>
      <c r="G731" s="412"/>
      <c r="H731" s="412"/>
      <c r="I731" s="412"/>
      <c r="J731" s="412"/>
      <c r="K731" s="412"/>
      <c r="L731" s="412"/>
      <c r="M731" s="412"/>
      <c r="N731" s="412"/>
      <c r="O731" s="412"/>
      <c r="P731" s="487"/>
      <c r="Q731" s="412"/>
      <c r="R731" s="412"/>
      <c r="S731" s="412"/>
      <c r="T731" s="488"/>
      <c r="U731" s="412"/>
      <c r="V731" s="412"/>
      <c r="W731" s="412"/>
      <c r="X731" s="412"/>
      <c r="Y731" s="412"/>
      <c r="Z731" s="412"/>
      <c r="AA731" s="412"/>
      <c r="AB731" s="412"/>
      <c r="AC731" s="412"/>
      <c r="AD731" s="412"/>
      <c r="AE731" s="412"/>
      <c r="AF731" s="412"/>
      <c r="AG731" s="412"/>
      <c r="AH731" s="419">
        <f t="shared" si="628"/>
        <v>0</v>
      </c>
      <c r="AI731" s="412"/>
      <c r="AJ731" s="412"/>
      <c r="AK731" s="412"/>
      <c r="AL731" s="412"/>
      <c r="AM731" s="412"/>
    </row>
    <row r="732" spans="1:39" ht="12.75">
      <c r="A732" s="412"/>
      <c r="B732" s="413"/>
      <c r="C732" s="412"/>
      <c r="D732" s="486"/>
      <c r="E732" s="412"/>
      <c r="F732" s="412"/>
      <c r="G732" s="412"/>
      <c r="H732" s="412"/>
      <c r="I732" s="412"/>
      <c r="J732" s="412"/>
      <c r="K732" s="412"/>
      <c r="L732" s="412"/>
      <c r="M732" s="412"/>
      <c r="N732" s="412"/>
      <c r="O732" s="412"/>
      <c r="P732" s="487"/>
      <c r="Q732" s="412"/>
      <c r="R732" s="412"/>
      <c r="S732" s="412"/>
      <c r="T732" s="488"/>
      <c r="U732" s="412"/>
      <c r="V732" s="412"/>
      <c r="W732" s="412"/>
      <c r="X732" s="412"/>
      <c r="Y732" s="412"/>
      <c r="Z732" s="412"/>
      <c r="AA732" s="412"/>
      <c r="AB732" s="412"/>
      <c r="AC732" s="412"/>
      <c r="AD732" s="412"/>
      <c r="AE732" s="412"/>
      <c r="AF732" s="412"/>
      <c r="AG732" s="412"/>
      <c r="AH732" s="419">
        <f t="shared" si="628"/>
        <v>0</v>
      </c>
      <c r="AI732" s="412"/>
      <c r="AJ732" s="412"/>
      <c r="AK732" s="412"/>
      <c r="AL732" s="412"/>
      <c r="AM732" s="412"/>
    </row>
    <row r="733" spans="1:39" ht="12.75">
      <c r="A733" s="412"/>
      <c r="B733" s="413"/>
      <c r="C733" s="412"/>
      <c r="D733" s="486"/>
      <c r="E733" s="412"/>
      <c r="F733" s="412"/>
      <c r="G733" s="412"/>
      <c r="H733" s="412"/>
      <c r="I733" s="412"/>
      <c r="J733" s="412"/>
      <c r="K733" s="412"/>
      <c r="L733" s="412"/>
      <c r="M733" s="412"/>
      <c r="N733" s="412"/>
      <c r="O733" s="412"/>
      <c r="P733" s="487"/>
      <c r="Q733" s="412"/>
      <c r="R733" s="412"/>
      <c r="S733" s="412"/>
      <c r="T733" s="488"/>
      <c r="U733" s="412"/>
      <c r="V733" s="412"/>
      <c r="W733" s="412"/>
      <c r="X733" s="412"/>
      <c r="Y733" s="412"/>
      <c r="Z733" s="412"/>
      <c r="AA733" s="412"/>
      <c r="AB733" s="412"/>
      <c r="AC733" s="412"/>
      <c r="AD733" s="412"/>
      <c r="AE733" s="412"/>
      <c r="AF733" s="412"/>
      <c r="AG733" s="412"/>
      <c r="AH733" s="419">
        <f t="shared" si="628"/>
        <v>0</v>
      </c>
      <c r="AI733" s="412"/>
      <c r="AJ733" s="412"/>
      <c r="AK733" s="412"/>
      <c r="AL733" s="412"/>
      <c r="AM733" s="412"/>
    </row>
    <row r="734" spans="1:39" ht="12.75">
      <c r="A734" s="412"/>
      <c r="B734" s="413"/>
      <c r="C734" s="412"/>
      <c r="D734" s="486"/>
      <c r="E734" s="412"/>
      <c r="F734" s="412"/>
      <c r="G734" s="412"/>
      <c r="H734" s="412"/>
      <c r="I734" s="412"/>
      <c r="J734" s="412"/>
      <c r="K734" s="412"/>
      <c r="L734" s="412"/>
      <c r="M734" s="412"/>
      <c r="N734" s="412"/>
      <c r="O734" s="412"/>
      <c r="P734" s="487"/>
      <c r="Q734" s="412"/>
      <c r="R734" s="412"/>
      <c r="S734" s="412"/>
      <c r="T734" s="488"/>
      <c r="U734" s="412"/>
      <c r="V734" s="412"/>
      <c r="W734" s="412"/>
      <c r="X734" s="412"/>
      <c r="Y734" s="412"/>
      <c r="Z734" s="412"/>
      <c r="AA734" s="412"/>
      <c r="AB734" s="412"/>
      <c r="AC734" s="412"/>
      <c r="AD734" s="412"/>
      <c r="AE734" s="412"/>
      <c r="AF734" s="412"/>
      <c r="AG734" s="412"/>
      <c r="AH734" s="419">
        <f t="shared" si="628"/>
        <v>0</v>
      </c>
      <c r="AI734" s="412"/>
      <c r="AJ734" s="412"/>
      <c r="AK734" s="412"/>
      <c r="AL734" s="412"/>
      <c r="AM734" s="412"/>
    </row>
    <row r="735" spans="1:39" ht="12.75">
      <c r="A735" s="412"/>
      <c r="B735" s="413"/>
      <c r="C735" s="412"/>
      <c r="D735" s="486"/>
      <c r="E735" s="412"/>
      <c r="F735" s="412"/>
      <c r="G735" s="412"/>
      <c r="H735" s="412"/>
      <c r="I735" s="412"/>
      <c r="J735" s="412"/>
      <c r="K735" s="412"/>
      <c r="L735" s="412"/>
      <c r="M735" s="412"/>
      <c r="N735" s="412"/>
      <c r="O735" s="412"/>
      <c r="P735" s="487"/>
      <c r="Q735" s="412"/>
      <c r="R735" s="412"/>
      <c r="S735" s="412"/>
      <c r="T735" s="488"/>
      <c r="U735" s="412"/>
      <c r="V735" s="412"/>
      <c r="W735" s="412"/>
      <c r="X735" s="412"/>
      <c r="Y735" s="412"/>
      <c r="Z735" s="412"/>
      <c r="AA735" s="412"/>
      <c r="AB735" s="412"/>
      <c r="AC735" s="412"/>
      <c r="AD735" s="412"/>
      <c r="AE735" s="412"/>
      <c r="AF735" s="412"/>
      <c r="AG735" s="412"/>
      <c r="AH735" s="419">
        <f t="shared" si="628"/>
        <v>0</v>
      </c>
      <c r="AI735" s="412"/>
      <c r="AJ735" s="412"/>
      <c r="AK735" s="412"/>
      <c r="AL735" s="412"/>
      <c r="AM735" s="412"/>
    </row>
    <row r="736" spans="1:39" ht="12.75">
      <c r="A736" s="412"/>
      <c r="B736" s="413"/>
      <c r="C736" s="412"/>
      <c r="D736" s="486"/>
      <c r="E736" s="412"/>
      <c r="F736" s="412"/>
      <c r="G736" s="412"/>
      <c r="H736" s="412"/>
      <c r="I736" s="412"/>
      <c r="J736" s="412"/>
      <c r="K736" s="412"/>
      <c r="L736" s="412"/>
      <c r="M736" s="412"/>
      <c r="N736" s="412"/>
      <c r="O736" s="412"/>
      <c r="P736" s="487"/>
      <c r="Q736" s="412"/>
      <c r="R736" s="412"/>
      <c r="S736" s="412"/>
      <c r="T736" s="488"/>
      <c r="U736" s="412"/>
      <c r="V736" s="412"/>
      <c r="W736" s="412"/>
      <c r="X736" s="412"/>
      <c r="Y736" s="412"/>
      <c r="Z736" s="412"/>
      <c r="AA736" s="412"/>
      <c r="AB736" s="412"/>
      <c r="AC736" s="412"/>
      <c r="AD736" s="412"/>
      <c r="AE736" s="412"/>
      <c r="AF736" s="412"/>
      <c r="AG736" s="412"/>
      <c r="AH736" s="419">
        <f t="shared" si="628"/>
        <v>0</v>
      </c>
      <c r="AI736" s="412"/>
      <c r="AJ736" s="412"/>
      <c r="AK736" s="412"/>
      <c r="AL736" s="412"/>
      <c r="AM736" s="412"/>
    </row>
    <row r="737" spans="1:39" ht="12.75">
      <c r="A737" s="412"/>
      <c r="B737" s="413"/>
      <c r="C737" s="412"/>
      <c r="D737" s="486"/>
      <c r="E737" s="412"/>
      <c r="F737" s="412"/>
      <c r="G737" s="412"/>
      <c r="H737" s="412"/>
      <c r="I737" s="412"/>
      <c r="J737" s="412"/>
      <c r="K737" s="412"/>
      <c r="L737" s="412"/>
      <c r="M737" s="412"/>
      <c r="N737" s="412"/>
      <c r="O737" s="412"/>
      <c r="P737" s="487"/>
      <c r="Q737" s="412"/>
      <c r="R737" s="412"/>
      <c r="S737" s="412"/>
      <c r="T737" s="488"/>
      <c r="U737" s="412"/>
      <c r="V737" s="412"/>
      <c r="W737" s="412"/>
      <c r="X737" s="412"/>
      <c r="Y737" s="412"/>
      <c r="Z737" s="412"/>
      <c r="AA737" s="412"/>
      <c r="AB737" s="412"/>
      <c r="AC737" s="412"/>
      <c r="AD737" s="412"/>
      <c r="AE737" s="412"/>
      <c r="AF737" s="412"/>
      <c r="AG737" s="412"/>
      <c r="AH737" s="419">
        <f t="shared" si="628"/>
        <v>0</v>
      </c>
      <c r="AI737" s="412"/>
      <c r="AJ737" s="412"/>
      <c r="AK737" s="412"/>
      <c r="AL737" s="412"/>
      <c r="AM737" s="412"/>
    </row>
    <row r="738" spans="1:39" ht="12.75">
      <c r="A738" s="412"/>
      <c r="B738" s="413"/>
      <c r="C738" s="412"/>
      <c r="D738" s="486"/>
      <c r="E738" s="412"/>
      <c r="F738" s="412"/>
      <c r="G738" s="412"/>
      <c r="H738" s="412"/>
      <c r="I738" s="412"/>
      <c r="J738" s="412"/>
      <c r="K738" s="412"/>
      <c r="L738" s="412"/>
      <c r="M738" s="412"/>
      <c r="N738" s="412"/>
      <c r="O738" s="412"/>
      <c r="P738" s="487"/>
      <c r="Q738" s="412"/>
      <c r="R738" s="412"/>
      <c r="S738" s="412"/>
      <c r="T738" s="488"/>
      <c r="U738" s="412"/>
      <c r="V738" s="412"/>
      <c r="W738" s="412"/>
      <c r="X738" s="412"/>
      <c r="Y738" s="412"/>
      <c r="Z738" s="412"/>
      <c r="AA738" s="412"/>
      <c r="AB738" s="412"/>
      <c r="AC738" s="412"/>
      <c r="AD738" s="412"/>
      <c r="AE738" s="412"/>
      <c r="AF738" s="412"/>
      <c r="AG738" s="412"/>
      <c r="AH738" s="419">
        <f t="shared" si="628"/>
        <v>0</v>
      </c>
      <c r="AI738" s="412"/>
      <c r="AJ738" s="412"/>
      <c r="AK738" s="412"/>
      <c r="AL738" s="412"/>
      <c r="AM738" s="412"/>
    </row>
    <row r="739" spans="1:39" ht="12.75">
      <c r="A739" s="412"/>
      <c r="B739" s="413"/>
      <c r="C739" s="412"/>
      <c r="D739" s="486"/>
      <c r="E739" s="412"/>
      <c r="F739" s="412"/>
      <c r="G739" s="412"/>
      <c r="H739" s="412"/>
      <c r="I739" s="412"/>
      <c r="J739" s="412"/>
      <c r="K739" s="412"/>
      <c r="L739" s="412"/>
      <c r="M739" s="412"/>
      <c r="N739" s="412"/>
      <c r="O739" s="412"/>
      <c r="P739" s="487"/>
      <c r="Q739" s="412"/>
      <c r="R739" s="412"/>
      <c r="S739" s="412"/>
      <c r="T739" s="488"/>
      <c r="U739" s="412"/>
      <c r="V739" s="412"/>
      <c r="W739" s="412"/>
      <c r="X739" s="412"/>
      <c r="Y739" s="412"/>
      <c r="Z739" s="412"/>
      <c r="AA739" s="412"/>
      <c r="AB739" s="412"/>
      <c r="AC739" s="412"/>
      <c r="AD739" s="412"/>
      <c r="AE739" s="412"/>
      <c r="AF739" s="412"/>
      <c r="AG739" s="412"/>
      <c r="AH739" s="419">
        <f t="shared" si="628"/>
        <v>0</v>
      </c>
      <c r="AI739" s="412"/>
      <c r="AJ739" s="412"/>
      <c r="AK739" s="412"/>
      <c r="AL739" s="412"/>
      <c r="AM739" s="412"/>
    </row>
    <row r="740" spans="1:39" ht="12.75">
      <c r="A740" s="412"/>
      <c r="B740" s="413"/>
      <c r="C740" s="412"/>
      <c r="D740" s="486"/>
      <c r="E740" s="412"/>
      <c r="F740" s="412"/>
      <c r="G740" s="412"/>
      <c r="H740" s="412"/>
      <c r="I740" s="412"/>
      <c r="J740" s="412"/>
      <c r="K740" s="412"/>
      <c r="L740" s="412"/>
      <c r="M740" s="412"/>
      <c r="N740" s="412"/>
      <c r="O740" s="412"/>
      <c r="P740" s="487"/>
      <c r="Q740" s="412"/>
      <c r="R740" s="412"/>
      <c r="S740" s="412"/>
      <c r="T740" s="488"/>
      <c r="U740" s="412"/>
      <c r="V740" s="412"/>
      <c r="W740" s="412"/>
      <c r="X740" s="412"/>
      <c r="Y740" s="412"/>
      <c r="Z740" s="412"/>
      <c r="AA740" s="412"/>
      <c r="AB740" s="412"/>
      <c r="AC740" s="412"/>
      <c r="AD740" s="412"/>
      <c r="AE740" s="412"/>
      <c r="AF740" s="412"/>
      <c r="AG740" s="412"/>
      <c r="AH740" s="419">
        <f t="shared" si="628"/>
        <v>0</v>
      </c>
      <c r="AI740" s="412"/>
      <c r="AJ740" s="412"/>
      <c r="AK740" s="412"/>
      <c r="AL740" s="412"/>
      <c r="AM740" s="412"/>
    </row>
    <row r="741" spans="1:39" ht="12.75">
      <c r="A741" s="412"/>
      <c r="B741" s="413"/>
      <c r="C741" s="412"/>
      <c r="D741" s="486"/>
      <c r="E741" s="412"/>
      <c r="F741" s="412"/>
      <c r="G741" s="412"/>
      <c r="H741" s="412"/>
      <c r="I741" s="412"/>
      <c r="J741" s="412"/>
      <c r="K741" s="412"/>
      <c r="L741" s="412"/>
      <c r="M741" s="412"/>
      <c r="N741" s="412"/>
      <c r="O741" s="412"/>
      <c r="P741" s="487"/>
      <c r="Q741" s="412"/>
      <c r="R741" s="412"/>
      <c r="S741" s="412"/>
      <c r="T741" s="488"/>
      <c r="U741" s="412"/>
      <c r="V741" s="412"/>
      <c r="W741" s="412"/>
      <c r="X741" s="412"/>
      <c r="Y741" s="412"/>
      <c r="Z741" s="412"/>
      <c r="AA741" s="412"/>
      <c r="AB741" s="412"/>
      <c r="AC741" s="412"/>
      <c r="AD741" s="412"/>
      <c r="AE741" s="412"/>
      <c r="AF741" s="412"/>
      <c r="AG741" s="412"/>
      <c r="AH741" s="419">
        <f t="shared" si="628"/>
        <v>0</v>
      </c>
      <c r="AI741" s="412"/>
      <c r="AJ741" s="412"/>
      <c r="AK741" s="412"/>
      <c r="AL741" s="412"/>
      <c r="AM741" s="412"/>
    </row>
    <row r="742" spans="1:39" ht="12.75">
      <c r="A742" s="412"/>
      <c r="B742" s="413"/>
      <c r="C742" s="412"/>
      <c r="D742" s="486"/>
      <c r="E742" s="412"/>
      <c r="F742" s="412"/>
      <c r="G742" s="412"/>
      <c r="H742" s="412"/>
      <c r="I742" s="412"/>
      <c r="J742" s="412"/>
      <c r="K742" s="412"/>
      <c r="L742" s="412"/>
      <c r="M742" s="412"/>
      <c r="N742" s="412"/>
      <c r="O742" s="412"/>
      <c r="P742" s="487"/>
      <c r="Q742" s="412"/>
      <c r="R742" s="412"/>
      <c r="S742" s="412"/>
      <c r="T742" s="488"/>
      <c r="U742" s="412"/>
      <c r="V742" s="412"/>
      <c r="W742" s="412"/>
      <c r="X742" s="412"/>
      <c r="Y742" s="412"/>
      <c r="Z742" s="412"/>
      <c r="AA742" s="412"/>
      <c r="AB742" s="412"/>
      <c r="AC742" s="412"/>
      <c r="AD742" s="412"/>
      <c r="AE742" s="412"/>
      <c r="AF742" s="412"/>
      <c r="AG742" s="412"/>
      <c r="AH742" s="419">
        <f t="shared" si="628"/>
        <v>0</v>
      </c>
      <c r="AI742" s="412"/>
      <c r="AJ742" s="412"/>
      <c r="AK742" s="412"/>
      <c r="AL742" s="412"/>
      <c r="AM742" s="412"/>
    </row>
    <row r="743" spans="1:39" ht="12.75">
      <c r="A743" s="412"/>
      <c r="B743" s="413"/>
      <c r="C743" s="412"/>
      <c r="D743" s="486"/>
      <c r="E743" s="412"/>
      <c r="F743" s="412"/>
      <c r="G743" s="412"/>
      <c r="H743" s="412"/>
      <c r="I743" s="412"/>
      <c r="J743" s="412"/>
      <c r="K743" s="412"/>
      <c r="L743" s="412"/>
      <c r="M743" s="412"/>
      <c r="N743" s="412"/>
      <c r="O743" s="412"/>
      <c r="P743" s="487"/>
      <c r="Q743" s="412"/>
      <c r="R743" s="412"/>
      <c r="S743" s="412"/>
      <c r="T743" s="488"/>
      <c r="U743" s="412"/>
      <c r="V743" s="412"/>
      <c r="W743" s="412"/>
      <c r="X743" s="412"/>
      <c r="Y743" s="412"/>
      <c r="Z743" s="412"/>
      <c r="AA743" s="412"/>
      <c r="AB743" s="412"/>
      <c r="AC743" s="412"/>
      <c r="AD743" s="412"/>
      <c r="AE743" s="412"/>
      <c r="AF743" s="412"/>
      <c r="AG743" s="412"/>
      <c r="AH743" s="419">
        <f t="shared" si="628"/>
        <v>0</v>
      </c>
      <c r="AI743" s="412"/>
      <c r="AJ743" s="412"/>
      <c r="AK743" s="412"/>
      <c r="AL743" s="412"/>
      <c r="AM743" s="412"/>
    </row>
    <row r="744" spans="1:39" ht="12.75">
      <c r="A744" s="412"/>
      <c r="B744" s="413"/>
      <c r="C744" s="412"/>
      <c r="D744" s="486"/>
      <c r="E744" s="412"/>
      <c r="F744" s="412"/>
      <c r="G744" s="412"/>
      <c r="H744" s="412"/>
      <c r="I744" s="412"/>
      <c r="J744" s="412"/>
      <c r="K744" s="412"/>
      <c r="L744" s="412"/>
      <c r="M744" s="412"/>
      <c r="N744" s="412"/>
      <c r="O744" s="412"/>
      <c r="P744" s="487"/>
      <c r="Q744" s="412"/>
      <c r="R744" s="412"/>
      <c r="S744" s="412"/>
      <c r="T744" s="488"/>
      <c r="U744" s="412"/>
      <c r="V744" s="412"/>
      <c r="W744" s="412"/>
      <c r="X744" s="412"/>
      <c r="Y744" s="412"/>
      <c r="Z744" s="412"/>
      <c r="AA744" s="412"/>
      <c r="AB744" s="412"/>
      <c r="AC744" s="412"/>
      <c r="AD744" s="412"/>
      <c r="AE744" s="412"/>
      <c r="AF744" s="412"/>
      <c r="AG744" s="412"/>
      <c r="AH744" s="419">
        <f t="shared" si="628"/>
        <v>0</v>
      </c>
      <c r="AI744" s="412"/>
      <c r="AJ744" s="412"/>
      <c r="AK744" s="412"/>
      <c r="AL744" s="412"/>
      <c r="AM744" s="412"/>
    </row>
    <row r="745" spans="1:39" ht="12.75">
      <c r="A745" s="412"/>
      <c r="B745" s="413"/>
      <c r="C745" s="412"/>
      <c r="D745" s="486"/>
      <c r="E745" s="412"/>
      <c r="F745" s="412"/>
      <c r="G745" s="412"/>
      <c r="H745" s="412"/>
      <c r="I745" s="412"/>
      <c r="J745" s="412"/>
      <c r="K745" s="412"/>
      <c r="L745" s="412"/>
      <c r="M745" s="412"/>
      <c r="N745" s="412"/>
      <c r="O745" s="412"/>
      <c r="P745" s="487"/>
      <c r="Q745" s="412"/>
      <c r="R745" s="412"/>
      <c r="S745" s="412"/>
      <c r="T745" s="488"/>
      <c r="U745" s="412"/>
      <c r="V745" s="412"/>
      <c r="W745" s="412"/>
      <c r="X745" s="412"/>
      <c r="Y745" s="412"/>
      <c r="Z745" s="412"/>
      <c r="AA745" s="412"/>
      <c r="AB745" s="412"/>
      <c r="AC745" s="412"/>
      <c r="AD745" s="412"/>
      <c r="AE745" s="412"/>
      <c r="AF745" s="412"/>
      <c r="AG745" s="412"/>
      <c r="AH745" s="419">
        <f t="shared" si="628"/>
        <v>0</v>
      </c>
      <c r="AI745" s="412"/>
      <c r="AJ745" s="412"/>
      <c r="AK745" s="412"/>
      <c r="AL745" s="412"/>
      <c r="AM745" s="412"/>
    </row>
    <row r="746" spans="1:39" ht="12.75">
      <c r="A746" s="412"/>
      <c r="B746" s="413"/>
      <c r="C746" s="412"/>
      <c r="D746" s="486"/>
      <c r="E746" s="412"/>
      <c r="F746" s="412"/>
      <c r="G746" s="412"/>
      <c r="H746" s="412"/>
      <c r="I746" s="412"/>
      <c r="J746" s="412"/>
      <c r="K746" s="412"/>
      <c r="L746" s="412"/>
      <c r="M746" s="412"/>
      <c r="N746" s="412"/>
      <c r="O746" s="412"/>
      <c r="P746" s="487"/>
      <c r="Q746" s="412"/>
      <c r="R746" s="412"/>
      <c r="S746" s="412"/>
      <c r="T746" s="488"/>
      <c r="U746" s="412"/>
      <c r="V746" s="412"/>
      <c r="W746" s="412"/>
      <c r="X746" s="412"/>
      <c r="Y746" s="412"/>
      <c r="Z746" s="412"/>
      <c r="AA746" s="412"/>
      <c r="AB746" s="412"/>
      <c r="AC746" s="412"/>
      <c r="AD746" s="412"/>
      <c r="AE746" s="412"/>
      <c r="AF746" s="412"/>
      <c r="AG746" s="412"/>
      <c r="AH746" s="419">
        <f t="shared" si="628"/>
        <v>0</v>
      </c>
      <c r="AI746" s="412"/>
      <c r="AJ746" s="412"/>
      <c r="AK746" s="412"/>
      <c r="AL746" s="412"/>
      <c r="AM746" s="412"/>
    </row>
    <row r="747" spans="1:39" ht="12.75">
      <c r="A747" s="412"/>
      <c r="B747" s="413"/>
      <c r="C747" s="412"/>
      <c r="D747" s="486"/>
      <c r="E747" s="412"/>
      <c r="F747" s="412"/>
      <c r="G747" s="412"/>
      <c r="H747" s="412"/>
      <c r="I747" s="412"/>
      <c r="J747" s="412"/>
      <c r="K747" s="412"/>
      <c r="L747" s="412"/>
      <c r="M747" s="412"/>
      <c r="N747" s="412"/>
      <c r="O747" s="412"/>
      <c r="P747" s="487"/>
      <c r="Q747" s="412"/>
      <c r="R747" s="412"/>
      <c r="S747" s="412"/>
      <c r="T747" s="488"/>
      <c r="U747" s="412"/>
      <c r="V747" s="412"/>
      <c r="W747" s="412"/>
      <c r="X747" s="412"/>
      <c r="Y747" s="412"/>
      <c r="Z747" s="412"/>
      <c r="AA747" s="412"/>
      <c r="AB747" s="412"/>
      <c r="AC747" s="412"/>
      <c r="AD747" s="412"/>
      <c r="AE747" s="412"/>
      <c r="AF747" s="412"/>
      <c r="AG747" s="412"/>
      <c r="AH747" s="419">
        <f t="shared" si="628"/>
        <v>0</v>
      </c>
      <c r="AI747" s="412"/>
      <c r="AJ747" s="412"/>
      <c r="AK747" s="412"/>
      <c r="AL747" s="412"/>
      <c r="AM747" s="412"/>
    </row>
    <row r="748" spans="1:39" ht="12.75">
      <c r="A748" s="412"/>
      <c r="B748" s="413"/>
      <c r="C748" s="412"/>
      <c r="D748" s="486"/>
      <c r="E748" s="412"/>
      <c r="F748" s="412"/>
      <c r="G748" s="412"/>
      <c r="H748" s="412"/>
      <c r="I748" s="412"/>
      <c r="J748" s="412"/>
      <c r="K748" s="412"/>
      <c r="L748" s="412"/>
      <c r="M748" s="412"/>
      <c r="N748" s="412"/>
      <c r="O748" s="412"/>
      <c r="P748" s="487"/>
      <c r="Q748" s="412"/>
      <c r="R748" s="412"/>
      <c r="S748" s="412"/>
      <c r="T748" s="488"/>
      <c r="U748" s="412"/>
      <c r="V748" s="412"/>
      <c r="W748" s="412"/>
      <c r="X748" s="412"/>
      <c r="Y748" s="412"/>
      <c r="Z748" s="412"/>
      <c r="AA748" s="412"/>
      <c r="AB748" s="412"/>
      <c r="AC748" s="412"/>
      <c r="AD748" s="412"/>
      <c r="AE748" s="412"/>
      <c r="AF748" s="412"/>
      <c r="AG748" s="412"/>
      <c r="AH748" s="419">
        <f t="shared" si="628"/>
        <v>0</v>
      </c>
      <c r="AI748" s="412"/>
      <c r="AJ748" s="412"/>
      <c r="AK748" s="412"/>
      <c r="AL748" s="412"/>
      <c r="AM748" s="412"/>
    </row>
    <row r="749" spans="1:39" ht="12.75">
      <c r="A749" s="412"/>
      <c r="B749" s="413"/>
      <c r="C749" s="412"/>
      <c r="D749" s="486"/>
      <c r="E749" s="412"/>
      <c r="F749" s="412"/>
      <c r="G749" s="412"/>
      <c r="H749" s="412"/>
      <c r="I749" s="412"/>
      <c r="J749" s="412"/>
      <c r="K749" s="412"/>
      <c r="L749" s="412"/>
      <c r="M749" s="412"/>
      <c r="N749" s="412"/>
      <c r="O749" s="412"/>
      <c r="P749" s="487"/>
      <c r="Q749" s="412"/>
      <c r="R749" s="412"/>
      <c r="S749" s="412"/>
      <c r="T749" s="488"/>
      <c r="U749" s="412"/>
      <c r="V749" s="412"/>
      <c r="W749" s="412"/>
      <c r="X749" s="412"/>
      <c r="Y749" s="412"/>
      <c r="Z749" s="412"/>
      <c r="AA749" s="412"/>
      <c r="AB749" s="412"/>
      <c r="AC749" s="412"/>
      <c r="AD749" s="412"/>
      <c r="AE749" s="412"/>
      <c r="AF749" s="412"/>
      <c r="AG749" s="412"/>
      <c r="AH749" s="419">
        <f t="shared" si="628"/>
        <v>0</v>
      </c>
      <c r="AI749" s="412"/>
      <c r="AJ749" s="412"/>
      <c r="AK749" s="412"/>
      <c r="AL749" s="412"/>
      <c r="AM749" s="412"/>
    </row>
    <row r="750" spans="1:39" ht="12.75">
      <c r="A750" s="412"/>
      <c r="B750" s="413"/>
      <c r="C750" s="412"/>
      <c r="D750" s="486"/>
      <c r="E750" s="412"/>
      <c r="F750" s="412"/>
      <c r="G750" s="412"/>
      <c r="H750" s="412"/>
      <c r="I750" s="412"/>
      <c r="J750" s="412"/>
      <c r="K750" s="412"/>
      <c r="L750" s="412"/>
      <c r="M750" s="412"/>
      <c r="N750" s="412"/>
      <c r="O750" s="412"/>
      <c r="P750" s="487"/>
      <c r="Q750" s="412"/>
      <c r="R750" s="412"/>
      <c r="S750" s="412"/>
      <c r="T750" s="488"/>
      <c r="U750" s="412"/>
      <c r="V750" s="412"/>
      <c r="W750" s="412"/>
      <c r="X750" s="412"/>
      <c r="Y750" s="412"/>
      <c r="Z750" s="412"/>
      <c r="AA750" s="412"/>
      <c r="AB750" s="412"/>
      <c r="AC750" s="412"/>
      <c r="AD750" s="412"/>
      <c r="AE750" s="412"/>
      <c r="AF750" s="412"/>
      <c r="AG750" s="412"/>
      <c r="AH750" s="419">
        <f t="shared" si="628"/>
        <v>0</v>
      </c>
      <c r="AI750" s="412"/>
      <c r="AJ750" s="412"/>
      <c r="AK750" s="412"/>
      <c r="AL750" s="412"/>
      <c r="AM750" s="412"/>
    </row>
    <row r="751" spans="1:39" ht="12.75">
      <c r="A751" s="412"/>
      <c r="B751" s="413"/>
      <c r="C751" s="412"/>
      <c r="D751" s="486"/>
      <c r="E751" s="412"/>
      <c r="F751" s="412"/>
      <c r="G751" s="412"/>
      <c r="H751" s="412"/>
      <c r="I751" s="412"/>
      <c r="J751" s="412"/>
      <c r="K751" s="412"/>
      <c r="L751" s="412"/>
      <c r="M751" s="412"/>
      <c r="N751" s="412"/>
      <c r="O751" s="412"/>
      <c r="P751" s="487"/>
      <c r="Q751" s="412"/>
      <c r="R751" s="412"/>
      <c r="S751" s="412"/>
      <c r="T751" s="488"/>
      <c r="U751" s="412"/>
      <c r="V751" s="412"/>
      <c r="W751" s="412"/>
      <c r="X751" s="412"/>
      <c r="Y751" s="412"/>
      <c r="Z751" s="412"/>
      <c r="AA751" s="412"/>
      <c r="AB751" s="412"/>
      <c r="AC751" s="412"/>
      <c r="AD751" s="412"/>
      <c r="AE751" s="412"/>
      <c r="AF751" s="412"/>
      <c r="AG751" s="412"/>
      <c r="AH751" s="419">
        <f t="shared" si="628"/>
        <v>0</v>
      </c>
      <c r="AI751" s="412"/>
      <c r="AJ751" s="412"/>
      <c r="AK751" s="412"/>
      <c r="AL751" s="412"/>
      <c r="AM751" s="412"/>
    </row>
    <row r="752" spans="1:39" ht="12.75">
      <c r="A752" s="412"/>
      <c r="B752" s="413"/>
      <c r="C752" s="412"/>
      <c r="D752" s="486"/>
      <c r="E752" s="412"/>
      <c r="F752" s="412"/>
      <c r="G752" s="412"/>
      <c r="H752" s="412"/>
      <c r="I752" s="412"/>
      <c r="J752" s="412"/>
      <c r="K752" s="412"/>
      <c r="L752" s="412"/>
      <c r="M752" s="412"/>
      <c r="N752" s="412"/>
      <c r="O752" s="412"/>
      <c r="P752" s="487"/>
      <c r="Q752" s="412"/>
      <c r="R752" s="412"/>
      <c r="S752" s="412"/>
      <c r="T752" s="488"/>
      <c r="U752" s="412"/>
      <c r="V752" s="412"/>
      <c r="W752" s="412"/>
      <c r="X752" s="412"/>
      <c r="Y752" s="412"/>
      <c r="Z752" s="412"/>
      <c r="AA752" s="412"/>
      <c r="AB752" s="412"/>
      <c r="AC752" s="412"/>
      <c r="AD752" s="412"/>
      <c r="AE752" s="412"/>
      <c r="AF752" s="412"/>
      <c r="AG752" s="412"/>
      <c r="AH752" s="419">
        <f t="shared" si="628"/>
        <v>0</v>
      </c>
      <c r="AI752" s="412"/>
      <c r="AJ752" s="412"/>
      <c r="AK752" s="412"/>
      <c r="AL752" s="412"/>
      <c r="AM752" s="412"/>
    </row>
    <row r="753" spans="1:39" ht="12.75">
      <c r="A753" s="412"/>
      <c r="B753" s="413"/>
      <c r="C753" s="412"/>
      <c r="D753" s="486"/>
      <c r="E753" s="412"/>
      <c r="F753" s="412"/>
      <c r="G753" s="412"/>
      <c r="H753" s="412"/>
      <c r="I753" s="412"/>
      <c r="J753" s="412"/>
      <c r="K753" s="412"/>
      <c r="L753" s="412"/>
      <c r="M753" s="412"/>
      <c r="N753" s="412"/>
      <c r="O753" s="412"/>
      <c r="P753" s="487"/>
      <c r="Q753" s="412"/>
      <c r="R753" s="412"/>
      <c r="S753" s="412"/>
      <c r="T753" s="488"/>
      <c r="U753" s="412"/>
      <c r="V753" s="412"/>
      <c r="W753" s="412"/>
      <c r="X753" s="412"/>
      <c r="Y753" s="412"/>
      <c r="Z753" s="412"/>
      <c r="AA753" s="412"/>
      <c r="AB753" s="412"/>
      <c r="AC753" s="412"/>
      <c r="AD753" s="412"/>
      <c r="AE753" s="412"/>
      <c r="AF753" s="412"/>
      <c r="AG753" s="412"/>
      <c r="AH753" s="419">
        <f t="shared" si="628"/>
        <v>0</v>
      </c>
      <c r="AI753" s="412"/>
      <c r="AJ753" s="412"/>
      <c r="AK753" s="412"/>
      <c r="AL753" s="412"/>
      <c r="AM753" s="412"/>
    </row>
    <row r="754" spans="1:39" ht="12.75">
      <c r="A754" s="412"/>
      <c r="B754" s="413"/>
      <c r="C754" s="412"/>
      <c r="D754" s="486"/>
      <c r="E754" s="412"/>
      <c r="F754" s="412"/>
      <c r="G754" s="412"/>
      <c r="H754" s="412"/>
      <c r="I754" s="412"/>
      <c r="J754" s="412"/>
      <c r="K754" s="412"/>
      <c r="L754" s="412"/>
      <c r="M754" s="412"/>
      <c r="N754" s="412"/>
      <c r="O754" s="412"/>
      <c r="P754" s="487"/>
      <c r="Q754" s="412"/>
      <c r="R754" s="412"/>
      <c r="S754" s="412"/>
      <c r="T754" s="488"/>
      <c r="U754" s="412"/>
      <c r="V754" s="412"/>
      <c r="W754" s="412"/>
      <c r="X754" s="412"/>
      <c r="Y754" s="412"/>
      <c r="Z754" s="412"/>
      <c r="AA754" s="412"/>
      <c r="AB754" s="412"/>
      <c r="AC754" s="412"/>
      <c r="AD754" s="412"/>
      <c r="AE754" s="412"/>
      <c r="AF754" s="412"/>
      <c r="AG754" s="412"/>
      <c r="AH754" s="419">
        <f t="shared" si="628"/>
        <v>0</v>
      </c>
      <c r="AI754" s="412"/>
      <c r="AJ754" s="412"/>
      <c r="AK754" s="412"/>
      <c r="AL754" s="412"/>
      <c r="AM754" s="412"/>
    </row>
    <row r="755" spans="1:39" ht="12.75">
      <c r="A755" s="412"/>
      <c r="B755" s="413"/>
      <c r="C755" s="412"/>
      <c r="D755" s="486"/>
      <c r="E755" s="412"/>
      <c r="F755" s="412"/>
      <c r="G755" s="412"/>
      <c r="H755" s="412"/>
      <c r="I755" s="412"/>
      <c r="J755" s="412"/>
      <c r="K755" s="412"/>
      <c r="L755" s="412"/>
      <c r="M755" s="412"/>
      <c r="N755" s="412"/>
      <c r="O755" s="412"/>
      <c r="P755" s="487"/>
      <c r="Q755" s="412"/>
      <c r="R755" s="412"/>
      <c r="S755" s="412"/>
      <c r="T755" s="488"/>
      <c r="U755" s="412"/>
      <c r="V755" s="412"/>
      <c r="W755" s="412"/>
      <c r="X755" s="412"/>
      <c r="Y755" s="412"/>
      <c r="Z755" s="412"/>
      <c r="AA755" s="412"/>
      <c r="AB755" s="412"/>
      <c r="AC755" s="412"/>
      <c r="AD755" s="412"/>
      <c r="AE755" s="412"/>
      <c r="AF755" s="412"/>
      <c r="AG755" s="412"/>
      <c r="AH755" s="419">
        <f t="shared" si="628"/>
        <v>0</v>
      </c>
      <c r="AI755" s="412"/>
      <c r="AJ755" s="412"/>
      <c r="AK755" s="412"/>
      <c r="AL755" s="412"/>
      <c r="AM755" s="412"/>
    </row>
    <row r="756" spans="1:39" ht="12.75">
      <c r="A756" s="412"/>
      <c r="B756" s="413"/>
      <c r="C756" s="412"/>
      <c r="D756" s="486"/>
      <c r="E756" s="412"/>
      <c r="F756" s="412"/>
      <c r="G756" s="412"/>
      <c r="H756" s="412"/>
      <c r="I756" s="412"/>
      <c r="J756" s="412"/>
      <c r="K756" s="412"/>
      <c r="L756" s="412"/>
      <c r="M756" s="412"/>
      <c r="N756" s="412"/>
      <c r="O756" s="412"/>
      <c r="P756" s="487"/>
      <c r="Q756" s="412"/>
      <c r="R756" s="412"/>
      <c r="S756" s="412"/>
      <c r="T756" s="488"/>
      <c r="U756" s="412"/>
      <c r="V756" s="412"/>
      <c r="W756" s="412"/>
      <c r="X756" s="412"/>
      <c r="Y756" s="412"/>
      <c r="Z756" s="412"/>
      <c r="AA756" s="412"/>
      <c r="AB756" s="412"/>
      <c r="AC756" s="412"/>
      <c r="AD756" s="412"/>
      <c r="AE756" s="412"/>
      <c r="AF756" s="412"/>
      <c r="AG756" s="412"/>
      <c r="AH756" s="419">
        <f t="shared" si="628"/>
        <v>0</v>
      </c>
      <c r="AI756" s="412"/>
      <c r="AJ756" s="412"/>
      <c r="AK756" s="412"/>
      <c r="AL756" s="412"/>
      <c r="AM756" s="412"/>
    </row>
    <row r="757" spans="1:39" ht="12.75">
      <c r="A757" s="412"/>
      <c r="B757" s="413"/>
      <c r="C757" s="412"/>
      <c r="D757" s="486"/>
      <c r="E757" s="412"/>
      <c r="F757" s="412"/>
      <c r="G757" s="412"/>
      <c r="H757" s="412"/>
      <c r="I757" s="412"/>
      <c r="J757" s="412"/>
      <c r="K757" s="412"/>
      <c r="L757" s="412"/>
      <c r="M757" s="412"/>
      <c r="N757" s="412"/>
      <c r="O757" s="412"/>
      <c r="P757" s="487"/>
      <c r="Q757" s="412"/>
      <c r="R757" s="412"/>
      <c r="S757" s="412"/>
      <c r="T757" s="488"/>
      <c r="U757" s="412"/>
      <c r="V757" s="412"/>
      <c r="W757" s="412"/>
      <c r="X757" s="412"/>
      <c r="Y757" s="412"/>
      <c r="Z757" s="412"/>
      <c r="AA757" s="412"/>
      <c r="AB757" s="412"/>
      <c r="AC757" s="412"/>
      <c r="AD757" s="412"/>
      <c r="AE757" s="412"/>
      <c r="AF757" s="412"/>
      <c r="AG757" s="412"/>
      <c r="AH757" s="419">
        <f t="shared" si="628"/>
        <v>0</v>
      </c>
      <c r="AI757" s="412"/>
      <c r="AJ757" s="412"/>
      <c r="AK757" s="412"/>
      <c r="AL757" s="412"/>
      <c r="AM757" s="412"/>
    </row>
    <row r="758" spans="1:39" ht="12.75">
      <c r="A758" s="412"/>
      <c r="B758" s="413"/>
      <c r="C758" s="412"/>
      <c r="D758" s="486"/>
      <c r="E758" s="412"/>
      <c r="F758" s="412"/>
      <c r="G758" s="412"/>
      <c r="H758" s="412"/>
      <c r="I758" s="412"/>
      <c r="J758" s="412"/>
      <c r="K758" s="412"/>
      <c r="L758" s="412"/>
      <c r="M758" s="412"/>
      <c r="N758" s="412"/>
      <c r="O758" s="412"/>
      <c r="P758" s="487"/>
      <c r="Q758" s="412"/>
      <c r="R758" s="412"/>
      <c r="S758" s="412"/>
      <c r="T758" s="488"/>
      <c r="U758" s="412"/>
      <c r="V758" s="412"/>
      <c r="W758" s="412"/>
      <c r="X758" s="412"/>
      <c r="Y758" s="412"/>
      <c r="Z758" s="412"/>
      <c r="AA758" s="412"/>
      <c r="AB758" s="412"/>
      <c r="AC758" s="412"/>
      <c r="AD758" s="412"/>
      <c r="AE758" s="412"/>
      <c r="AF758" s="412"/>
      <c r="AG758" s="412"/>
      <c r="AH758" s="419">
        <f t="shared" si="628"/>
        <v>0</v>
      </c>
      <c r="AI758" s="412"/>
      <c r="AJ758" s="412"/>
      <c r="AK758" s="412"/>
      <c r="AL758" s="412"/>
      <c r="AM758" s="412"/>
    </row>
    <row r="759" spans="1:39" ht="12.75">
      <c r="A759" s="412"/>
      <c r="B759" s="413"/>
      <c r="C759" s="412"/>
      <c r="D759" s="486"/>
      <c r="E759" s="412"/>
      <c r="F759" s="412"/>
      <c r="G759" s="412"/>
      <c r="H759" s="412"/>
      <c r="I759" s="412"/>
      <c r="J759" s="412"/>
      <c r="K759" s="412"/>
      <c r="L759" s="412"/>
      <c r="M759" s="412"/>
      <c r="N759" s="412"/>
      <c r="O759" s="412"/>
      <c r="P759" s="487"/>
      <c r="Q759" s="412"/>
      <c r="R759" s="412"/>
      <c r="S759" s="412"/>
      <c r="T759" s="488"/>
      <c r="U759" s="412"/>
      <c r="V759" s="412"/>
      <c r="W759" s="412"/>
      <c r="X759" s="412"/>
      <c r="Y759" s="412"/>
      <c r="Z759" s="412"/>
      <c r="AA759" s="412"/>
      <c r="AB759" s="412"/>
      <c r="AC759" s="412"/>
      <c r="AD759" s="412"/>
      <c r="AE759" s="412"/>
      <c r="AF759" s="412"/>
      <c r="AG759" s="412"/>
      <c r="AH759" s="419">
        <f t="shared" si="628"/>
        <v>0</v>
      </c>
      <c r="AI759" s="412"/>
      <c r="AJ759" s="412"/>
      <c r="AK759" s="412"/>
      <c r="AL759" s="412"/>
      <c r="AM759" s="412"/>
    </row>
    <row r="760" spans="1:39" ht="12.75">
      <c r="A760" s="412"/>
      <c r="B760" s="413"/>
      <c r="C760" s="412"/>
      <c r="D760" s="486"/>
      <c r="E760" s="412"/>
      <c r="F760" s="412"/>
      <c r="G760" s="412"/>
      <c r="H760" s="412"/>
      <c r="I760" s="412"/>
      <c r="J760" s="412"/>
      <c r="K760" s="412"/>
      <c r="L760" s="412"/>
      <c r="M760" s="412"/>
      <c r="N760" s="412"/>
      <c r="O760" s="412"/>
      <c r="P760" s="487"/>
      <c r="Q760" s="412"/>
      <c r="R760" s="412"/>
      <c r="S760" s="412"/>
      <c r="T760" s="488"/>
      <c r="U760" s="412"/>
      <c r="V760" s="412"/>
      <c r="W760" s="412"/>
      <c r="X760" s="412"/>
      <c r="Y760" s="412"/>
      <c r="Z760" s="412"/>
      <c r="AA760" s="412"/>
      <c r="AB760" s="412"/>
      <c r="AC760" s="412"/>
      <c r="AD760" s="412"/>
      <c r="AE760" s="412"/>
      <c r="AF760" s="412"/>
      <c r="AG760" s="412"/>
      <c r="AH760" s="419">
        <f t="shared" si="628"/>
        <v>0</v>
      </c>
      <c r="AI760" s="412"/>
      <c r="AJ760" s="412"/>
      <c r="AK760" s="412"/>
      <c r="AL760" s="412"/>
      <c r="AM760" s="412"/>
    </row>
    <row r="761" spans="1:39" ht="12.75">
      <c r="A761" s="412"/>
      <c r="B761" s="413"/>
      <c r="C761" s="412"/>
      <c r="D761" s="486"/>
      <c r="E761" s="412"/>
      <c r="F761" s="412"/>
      <c r="G761" s="412"/>
      <c r="H761" s="412"/>
      <c r="I761" s="412"/>
      <c r="J761" s="412"/>
      <c r="K761" s="412"/>
      <c r="L761" s="412"/>
      <c r="M761" s="412"/>
      <c r="N761" s="412"/>
      <c r="O761" s="412"/>
      <c r="P761" s="487"/>
      <c r="Q761" s="412"/>
      <c r="R761" s="412"/>
      <c r="S761" s="412"/>
      <c r="T761" s="488"/>
      <c r="U761" s="412"/>
      <c r="V761" s="412"/>
      <c r="W761" s="412"/>
      <c r="X761" s="412"/>
      <c r="Y761" s="412"/>
      <c r="Z761" s="412"/>
      <c r="AA761" s="412"/>
      <c r="AB761" s="412"/>
      <c r="AC761" s="412"/>
      <c r="AD761" s="412"/>
      <c r="AE761" s="412"/>
      <c r="AF761" s="412"/>
      <c r="AG761" s="412"/>
      <c r="AH761" s="419">
        <f t="shared" si="628"/>
        <v>0</v>
      </c>
      <c r="AI761" s="412"/>
      <c r="AJ761" s="412"/>
      <c r="AK761" s="412"/>
      <c r="AL761" s="412"/>
      <c r="AM761" s="412"/>
    </row>
    <row r="762" spans="1:39" ht="12.75">
      <c r="A762" s="412"/>
      <c r="B762" s="413"/>
      <c r="C762" s="412"/>
      <c r="D762" s="486"/>
      <c r="E762" s="412"/>
      <c r="F762" s="412"/>
      <c r="G762" s="412"/>
      <c r="H762" s="412"/>
      <c r="I762" s="412"/>
      <c r="J762" s="412"/>
      <c r="K762" s="412"/>
      <c r="L762" s="412"/>
      <c r="M762" s="412"/>
      <c r="N762" s="412"/>
      <c r="O762" s="412"/>
      <c r="P762" s="487"/>
      <c r="Q762" s="412"/>
      <c r="R762" s="412"/>
      <c r="S762" s="412"/>
      <c r="T762" s="488"/>
      <c r="U762" s="412"/>
      <c r="V762" s="412"/>
      <c r="W762" s="412"/>
      <c r="X762" s="412"/>
      <c r="Y762" s="412"/>
      <c r="Z762" s="412"/>
      <c r="AA762" s="412"/>
      <c r="AB762" s="412"/>
      <c r="AC762" s="412"/>
      <c r="AD762" s="412"/>
      <c r="AE762" s="412"/>
      <c r="AF762" s="412"/>
      <c r="AG762" s="412"/>
      <c r="AH762" s="419">
        <f t="shared" si="628"/>
        <v>0</v>
      </c>
      <c r="AI762" s="412"/>
      <c r="AJ762" s="412"/>
      <c r="AK762" s="412"/>
      <c r="AL762" s="412"/>
      <c r="AM762" s="412"/>
    </row>
    <row r="763" spans="1:39" ht="12.75">
      <c r="A763" s="412"/>
      <c r="B763" s="413"/>
      <c r="C763" s="412"/>
      <c r="D763" s="486"/>
      <c r="E763" s="412"/>
      <c r="F763" s="412"/>
      <c r="G763" s="412"/>
      <c r="H763" s="412"/>
      <c r="I763" s="412"/>
      <c r="J763" s="412"/>
      <c r="K763" s="412"/>
      <c r="L763" s="412"/>
      <c r="M763" s="412"/>
      <c r="N763" s="412"/>
      <c r="O763" s="412"/>
      <c r="P763" s="487"/>
      <c r="Q763" s="412"/>
      <c r="R763" s="412"/>
      <c r="S763" s="412"/>
      <c r="T763" s="488"/>
      <c r="U763" s="412"/>
      <c r="V763" s="412"/>
      <c r="W763" s="412"/>
      <c r="X763" s="412"/>
      <c r="Y763" s="412"/>
      <c r="Z763" s="412"/>
      <c r="AA763" s="412"/>
      <c r="AB763" s="412"/>
      <c r="AC763" s="412"/>
      <c r="AD763" s="412"/>
      <c r="AE763" s="412"/>
      <c r="AF763" s="412"/>
      <c r="AG763" s="412"/>
      <c r="AH763" s="419">
        <f t="shared" si="628"/>
        <v>0</v>
      </c>
      <c r="AI763" s="412"/>
      <c r="AJ763" s="412"/>
      <c r="AK763" s="412"/>
      <c r="AL763" s="412"/>
      <c r="AM763" s="412"/>
    </row>
    <row r="764" spans="1:39" ht="12.75">
      <c r="A764" s="412"/>
      <c r="B764" s="413"/>
      <c r="C764" s="412"/>
      <c r="D764" s="486"/>
      <c r="E764" s="412"/>
      <c r="F764" s="412"/>
      <c r="G764" s="412"/>
      <c r="H764" s="412"/>
      <c r="I764" s="412"/>
      <c r="J764" s="412"/>
      <c r="K764" s="412"/>
      <c r="L764" s="412"/>
      <c r="M764" s="412"/>
      <c r="N764" s="412"/>
      <c r="O764" s="412"/>
      <c r="P764" s="487"/>
      <c r="Q764" s="412"/>
      <c r="R764" s="412"/>
      <c r="S764" s="412"/>
      <c r="T764" s="488"/>
      <c r="U764" s="412"/>
      <c r="V764" s="412"/>
      <c r="W764" s="412"/>
      <c r="X764" s="412"/>
      <c r="Y764" s="412"/>
      <c r="Z764" s="412"/>
      <c r="AA764" s="412"/>
      <c r="AB764" s="412"/>
      <c r="AC764" s="412"/>
      <c r="AD764" s="412"/>
      <c r="AE764" s="412"/>
      <c r="AF764" s="412"/>
      <c r="AG764" s="412"/>
      <c r="AH764" s="419">
        <f t="shared" si="628"/>
        <v>0</v>
      </c>
      <c r="AI764" s="412"/>
      <c r="AJ764" s="412"/>
      <c r="AK764" s="412"/>
      <c r="AL764" s="412"/>
      <c r="AM764" s="412"/>
    </row>
    <row r="765" spans="1:39" ht="12.75">
      <c r="A765" s="412"/>
      <c r="B765" s="413"/>
      <c r="C765" s="412"/>
      <c r="D765" s="486"/>
      <c r="E765" s="412"/>
      <c r="F765" s="412"/>
      <c r="G765" s="412"/>
      <c r="H765" s="412"/>
      <c r="I765" s="412"/>
      <c r="J765" s="412"/>
      <c r="K765" s="412"/>
      <c r="L765" s="412"/>
      <c r="M765" s="412"/>
      <c r="N765" s="412"/>
      <c r="O765" s="412"/>
      <c r="P765" s="487"/>
      <c r="Q765" s="412"/>
      <c r="R765" s="412"/>
      <c r="S765" s="412"/>
      <c r="T765" s="488"/>
      <c r="U765" s="412"/>
      <c r="V765" s="412"/>
      <c r="W765" s="412"/>
      <c r="X765" s="412"/>
      <c r="Y765" s="412"/>
      <c r="Z765" s="412"/>
      <c r="AA765" s="412"/>
      <c r="AB765" s="412"/>
      <c r="AC765" s="412"/>
      <c r="AD765" s="412"/>
      <c r="AE765" s="412"/>
      <c r="AF765" s="412"/>
      <c r="AG765" s="412"/>
      <c r="AH765" s="419">
        <f t="shared" si="628"/>
        <v>0</v>
      </c>
      <c r="AI765" s="412"/>
      <c r="AJ765" s="412"/>
      <c r="AK765" s="412"/>
      <c r="AL765" s="412"/>
      <c r="AM765" s="412"/>
    </row>
    <row r="766" spans="1:39" ht="12.75">
      <c r="A766" s="412"/>
      <c r="B766" s="413"/>
      <c r="C766" s="412"/>
      <c r="D766" s="486"/>
      <c r="E766" s="412"/>
      <c r="F766" s="412"/>
      <c r="G766" s="412"/>
      <c r="H766" s="412"/>
      <c r="I766" s="412"/>
      <c r="J766" s="412"/>
      <c r="K766" s="412"/>
      <c r="L766" s="412"/>
      <c r="M766" s="412"/>
      <c r="N766" s="412"/>
      <c r="O766" s="412"/>
      <c r="P766" s="487"/>
      <c r="Q766" s="412"/>
      <c r="R766" s="412"/>
      <c r="S766" s="412"/>
      <c r="T766" s="488"/>
      <c r="U766" s="412"/>
      <c r="V766" s="412"/>
      <c r="W766" s="412"/>
      <c r="X766" s="412"/>
      <c r="Y766" s="412"/>
      <c r="Z766" s="412"/>
      <c r="AA766" s="412"/>
      <c r="AB766" s="412"/>
      <c r="AC766" s="412"/>
      <c r="AD766" s="412"/>
      <c r="AE766" s="412"/>
      <c r="AF766" s="412"/>
      <c r="AG766" s="412"/>
      <c r="AH766" s="419">
        <f t="shared" si="628"/>
        <v>0</v>
      </c>
      <c r="AI766" s="412"/>
      <c r="AJ766" s="412"/>
      <c r="AK766" s="412"/>
      <c r="AL766" s="412"/>
      <c r="AM766" s="412"/>
    </row>
    <row r="767" spans="1:39" ht="12.75">
      <c r="A767" s="412"/>
      <c r="B767" s="413"/>
      <c r="C767" s="412"/>
      <c r="D767" s="486"/>
      <c r="E767" s="412"/>
      <c r="F767" s="412"/>
      <c r="G767" s="412"/>
      <c r="H767" s="412"/>
      <c r="I767" s="412"/>
      <c r="J767" s="412"/>
      <c r="K767" s="412"/>
      <c r="L767" s="412"/>
      <c r="M767" s="412"/>
      <c r="N767" s="412"/>
      <c r="O767" s="412"/>
      <c r="P767" s="487"/>
      <c r="Q767" s="412"/>
      <c r="R767" s="412"/>
      <c r="S767" s="412"/>
      <c r="T767" s="488"/>
      <c r="U767" s="412"/>
      <c r="V767" s="412"/>
      <c r="W767" s="412"/>
      <c r="X767" s="412"/>
      <c r="Y767" s="412"/>
      <c r="Z767" s="412"/>
      <c r="AA767" s="412"/>
      <c r="AB767" s="412"/>
      <c r="AC767" s="412"/>
      <c r="AD767" s="412"/>
      <c r="AE767" s="412"/>
      <c r="AF767" s="412"/>
      <c r="AG767" s="412"/>
      <c r="AH767" s="419">
        <f t="shared" si="628"/>
        <v>0</v>
      </c>
      <c r="AI767" s="412"/>
      <c r="AJ767" s="412"/>
      <c r="AK767" s="412"/>
      <c r="AL767" s="412"/>
      <c r="AM767" s="412"/>
    </row>
    <row r="768" spans="1:39" ht="12.75">
      <c r="A768" s="412"/>
      <c r="B768" s="413"/>
      <c r="C768" s="412"/>
      <c r="D768" s="486"/>
      <c r="E768" s="412"/>
      <c r="F768" s="412"/>
      <c r="G768" s="412"/>
      <c r="H768" s="412"/>
      <c r="I768" s="412"/>
      <c r="J768" s="412"/>
      <c r="K768" s="412"/>
      <c r="L768" s="412"/>
      <c r="M768" s="412"/>
      <c r="N768" s="412"/>
      <c r="O768" s="412"/>
      <c r="P768" s="487"/>
      <c r="Q768" s="412"/>
      <c r="R768" s="412"/>
      <c r="S768" s="412"/>
      <c r="T768" s="488"/>
      <c r="U768" s="412"/>
      <c r="V768" s="412"/>
      <c r="W768" s="412"/>
      <c r="X768" s="412"/>
      <c r="Y768" s="412"/>
      <c r="Z768" s="412"/>
      <c r="AA768" s="412"/>
      <c r="AB768" s="412"/>
      <c r="AC768" s="412"/>
      <c r="AD768" s="412"/>
      <c r="AE768" s="412"/>
      <c r="AF768" s="412"/>
      <c r="AG768" s="412"/>
      <c r="AH768" s="419">
        <f t="shared" si="628"/>
        <v>0</v>
      </c>
      <c r="AI768" s="412"/>
      <c r="AJ768" s="412"/>
      <c r="AK768" s="412"/>
      <c r="AL768" s="412"/>
      <c r="AM768" s="412"/>
    </row>
    <row r="769" spans="1:39" ht="12.75">
      <c r="A769" s="412"/>
      <c r="B769" s="413"/>
      <c r="C769" s="412"/>
      <c r="D769" s="486"/>
      <c r="E769" s="412"/>
      <c r="F769" s="412"/>
      <c r="G769" s="412"/>
      <c r="H769" s="412"/>
      <c r="I769" s="412"/>
      <c r="J769" s="412"/>
      <c r="K769" s="412"/>
      <c r="L769" s="412"/>
      <c r="M769" s="412"/>
      <c r="N769" s="412"/>
      <c r="O769" s="412"/>
      <c r="P769" s="487"/>
      <c r="Q769" s="412"/>
      <c r="R769" s="412"/>
      <c r="S769" s="412"/>
      <c r="T769" s="488"/>
      <c r="U769" s="412"/>
      <c r="V769" s="412"/>
      <c r="W769" s="412"/>
      <c r="X769" s="412"/>
      <c r="Y769" s="412"/>
      <c r="Z769" s="412"/>
      <c r="AA769" s="412"/>
      <c r="AB769" s="412"/>
      <c r="AC769" s="412"/>
      <c r="AD769" s="412"/>
      <c r="AE769" s="412"/>
      <c r="AF769" s="412"/>
      <c r="AG769" s="412"/>
      <c r="AH769" s="419">
        <f t="shared" si="628"/>
        <v>0</v>
      </c>
      <c r="AI769" s="412"/>
      <c r="AJ769" s="412"/>
      <c r="AK769" s="412"/>
      <c r="AL769" s="412"/>
      <c r="AM769" s="412"/>
    </row>
    <row r="770" spans="1:39" ht="12.75">
      <c r="A770" s="412"/>
      <c r="B770" s="413"/>
      <c r="C770" s="412"/>
      <c r="D770" s="486"/>
      <c r="E770" s="412"/>
      <c r="F770" s="412"/>
      <c r="G770" s="412"/>
      <c r="H770" s="412"/>
      <c r="I770" s="412"/>
      <c r="J770" s="412"/>
      <c r="K770" s="412"/>
      <c r="L770" s="412"/>
      <c r="M770" s="412"/>
      <c r="N770" s="412"/>
      <c r="O770" s="412"/>
      <c r="P770" s="487"/>
      <c r="Q770" s="412"/>
      <c r="R770" s="412"/>
      <c r="S770" s="412"/>
      <c r="T770" s="488"/>
      <c r="U770" s="412"/>
      <c r="V770" s="412"/>
      <c r="W770" s="412"/>
      <c r="X770" s="412"/>
      <c r="Y770" s="412"/>
      <c r="Z770" s="412"/>
      <c r="AA770" s="412"/>
      <c r="AB770" s="412"/>
      <c r="AC770" s="412"/>
      <c r="AD770" s="412"/>
      <c r="AE770" s="412"/>
      <c r="AF770" s="412"/>
      <c r="AG770" s="412"/>
      <c r="AH770" s="419">
        <f t="shared" ref="AH770:AH833" si="629">AG770-F770</f>
        <v>0</v>
      </c>
      <c r="AI770" s="412"/>
      <c r="AJ770" s="412"/>
      <c r="AK770" s="412"/>
      <c r="AL770" s="412"/>
      <c r="AM770" s="412"/>
    </row>
    <row r="771" spans="1:39" ht="12.75">
      <c r="A771" s="412"/>
      <c r="B771" s="413"/>
      <c r="C771" s="412"/>
      <c r="D771" s="486"/>
      <c r="E771" s="412"/>
      <c r="F771" s="412"/>
      <c r="G771" s="412"/>
      <c r="H771" s="412"/>
      <c r="I771" s="412"/>
      <c r="J771" s="412"/>
      <c r="K771" s="412"/>
      <c r="L771" s="412"/>
      <c r="M771" s="412"/>
      <c r="N771" s="412"/>
      <c r="O771" s="412"/>
      <c r="P771" s="487"/>
      <c r="Q771" s="412"/>
      <c r="R771" s="412"/>
      <c r="S771" s="412"/>
      <c r="T771" s="488"/>
      <c r="U771" s="412"/>
      <c r="V771" s="412"/>
      <c r="W771" s="412"/>
      <c r="X771" s="412"/>
      <c r="Y771" s="412"/>
      <c r="Z771" s="412"/>
      <c r="AA771" s="412"/>
      <c r="AB771" s="412"/>
      <c r="AC771" s="412"/>
      <c r="AD771" s="412"/>
      <c r="AE771" s="412"/>
      <c r="AF771" s="412"/>
      <c r="AG771" s="412"/>
      <c r="AH771" s="419">
        <f t="shared" si="629"/>
        <v>0</v>
      </c>
      <c r="AI771" s="412"/>
      <c r="AJ771" s="412"/>
      <c r="AK771" s="412"/>
      <c r="AL771" s="412"/>
      <c r="AM771" s="412"/>
    </row>
    <row r="772" spans="1:39" ht="12.75">
      <c r="A772" s="412"/>
      <c r="B772" s="413"/>
      <c r="C772" s="412"/>
      <c r="D772" s="486"/>
      <c r="E772" s="412"/>
      <c r="F772" s="412"/>
      <c r="G772" s="412"/>
      <c r="H772" s="412"/>
      <c r="I772" s="412"/>
      <c r="J772" s="412"/>
      <c r="K772" s="412"/>
      <c r="L772" s="412"/>
      <c r="M772" s="412"/>
      <c r="N772" s="412"/>
      <c r="O772" s="412"/>
      <c r="P772" s="487"/>
      <c r="Q772" s="412"/>
      <c r="R772" s="412"/>
      <c r="S772" s="412"/>
      <c r="T772" s="488"/>
      <c r="U772" s="412"/>
      <c r="V772" s="412"/>
      <c r="W772" s="412"/>
      <c r="X772" s="412"/>
      <c r="Y772" s="412"/>
      <c r="Z772" s="412"/>
      <c r="AA772" s="412"/>
      <c r="AB772" s="412"/>
      <c r="AC772" s="412"/>
      <c r="AD772" s="412"/>
      <c r="AE772" s="412"/>
      <c r="AF772" s="412"/>
      <c r="AG772" s="412"/>
      <c r="AH772" s="419">
        <f t="shared" si="629"/>
        <v>0</v>
      </c>
      <c r="AI772" s="412"/>
      <c r="AJ772" s="412"/>
      <c r="AK772" s="412"/>
      <c r="AL772" s="412"/>
      <c r="AM772" s="412"/>
    </row>
    <row r="773" spans="1:39" ht="12.75">
      <c r="A773" s="412"/>
      <c r="B773" s="413"/>
      <c r="C773" s="412"/>
      <c r="D773" s="486"/>
      <c r="E773" s="412"/>
      <c r="F773" s="412"/>
      <c r="G773" s="412"/>
      <c r="H773" s="412"/>
      <c r="I773" s="412"/>
      <c r="J773" s="412"/>
      <c r="K773" s="412"/>
      <c r="L773" s="412"/>
      <c r="M773" s="412"/>
      <c r="N773" s="412"/>
      <c r="O773" s="412"/>
      <c r="P773" s="487"/>
      <c r="Q773" s="412"/>
      <c r="R773" s="412"/>
      <c r="S773" s="412"/>
      <c r="T773" s="488"/>
      <c r="U773" s="412"/>
      <c r="V773" s="412"/>
      <c r="W773" s="412"/>
      <c r="X773" s="412"/>
      <c r="Y773" s="412"/>
      <c r="Z773" s="412"/>
      <c r="AA773" s="412"/>
      <c r="AB773" s="412"/>
      <c r="AC773" s="412"/>
      <c r="AD773" s="412"/>
      <c r="AE773" s="412"/>
      <c r="AF773" s="412"/>
      <c r="AG773" s="412"/>
      <c r="AH773" s="419">
        <f t="shared" si="629"/>
        <v>0</v>
      </c>
      <c r="AI773" s="412"/>
      <c r="AJ773" s="412"/>
      <c r="AK773" s="412"/>
      <c r="AL773" s="412"/>
      <c r="AM773" s="412"/>
    </row>
    <row r="774" spans="1:39" ht="12.75">
      <c r="A774" s="412"/>
      <c r="B774" s="413"/>
      <c r="C774" s="412"/>
      <c r="D774" s="486"/>
      <c r="E774" s="412"/>
      <c r="F774" s="412"/>
      <c r="G774" s="412"/>
      <c r="H774" s="412"/>
      <c r="I774" s="412"/>
      <c r="J774" s="412"/>
      <c r="K774" s="412"/>
      <c r="L774" s="412"/>
      <c r="M774" s="412"/>
      <c r="N774" s="412"/>
      <c r="O774" s="412"/>
      <c r="P774" s="487"/>
      <c r="Q774" s="412"/>
      <c r="R774" s="412"/>
      <c r="S774" s="412"/>
      <c r="T774" s="488"/>
      <c r="U774" s="412"/>
      <c r="V774" s="412"/>
      <c r="W774" s="412"/>
      <c r="X774" s="412"/>
      <c r="Y774" s="412"/>
      <c r="Z774" s="412"/>
      <c r="AA774" s="412"/>
      <c r="AB774" s="412"/>
      <c r="AC774" s="412"/>
      <c r="AD774" s="412"/>
      <c r="AE774" s="412"/>
      <c r="AF774" s="412"/>
      <c r="AG774" s="412"/>
      <c r="AH774" s="419">
        <f t="shared" si="629"/>
        <v>0</v>
      </c>
      <c r="AI774" s="412"/>
      <c r="AJ774" s="412"/>
      <c r="AK774" s="412"/>
      <c r="AL774" s="412"/>
      <c r="AM774" s="412"/>
    </row>
    <row r="775" spans="1:39" ht="12.75">
      <c r="A775" s="412"/>
      <c r="B775" s="413"/>
      <c r="C775" s="412"/>
      <c r="D775" s="486"/>
      <c r="E775" s="412"/>
      <c r="F775" s="412"/>
      <c r="G775" s="412"/>
      <c r="H775" s="412"/>
      <c r="I775" s="412"/>
      <c r="J775" s="412"/>
      <c r="K775" s="412"/>
      <c r="L775" s="412"/>
      <c r="M775" s="412"/>
      <c r="N775" s="412"/>
      <c r="O775" s="412"/>
      <c r="P775" s="487"/>
      <c r="Q775" s="412"/>
      <c r="R775" s="412"/>
      <c r="S775" s="412"/>
      <c r="T775" s="488"/>
      <c r="U775" s="412"/>
      <c r="V775" s="412"/>
      <c r="W775" s="412"/>
      <c r="X775" s="412"/>
      <c r="Y775" s="412"/>
      <c r="Z775" s="412"/>
      <c r="AA775" s="412"/>
      <c r="AB775" s="412"/>
      <c r="AC775" s="412"/>
      <c r="AD775" s="412"/>
      <c r="AE775" s="412"/>
      <c r="AF775" s="412"/>
      <c r="AG775" s="412"/>
      <c r="AH775" s="419">
        <f t="shared" si="629"/>
        <v>0</v>
      </c>
      <c r="AI775" s="412"/>
      <c r="AJ775" s="412"/>
      <c r="AK775" s="412"/>
      <c r="AL775" s="412"/>
      <c r="AM775" s="412"/>
    </row>
    <row r="776" spans="1:39" ht="12.75">
      <c r="A776" s="412"/>
      <c r="B776" s="413"/>
      <c r="C776" s="412"/>
      <c r="D776" s="486"/>
      <c r="E776" s="412"/>
      <c r="F776" s="412"/>
      <c r="G776" s="412"/>
      <c r="H776" s="412"/>
      <c r="I776" s="412"/>
      <c r="J776" s="412"/>
      <c r="K776" s="412"/>
      <c r="L776" s="412"/>
      <c r="M776" s="412"/>
      <c r="N776" s="412"/>
      <c r="O776" s="412"/>
      <c r="P776" s="487"/>
      <c r="Q776" s="412"/>
      <c r="R776" s="412"/>
      <c r="S776" s="412"/>
      <c r="T776" s="488"/>
      <c r="U776" s="412"/>
      <c r="V776" s="412"/>
      <c r="W776" s="412"/>
      <c r="X776" s="412"/>
      <c r="Y776" s="412"/>
      <c r="Z776" s="412"/>
      <c r="AA776" s="412"/>
      <c r="AB776" s="412"/>
      <c r="AC776" s="412"/>
      <c r="AD776" s="412"/>
      <c r="AE776" s="412"/>
      <c r="AF776" s="412"/>
      <c r="AG776" s="412"/>
      <c r="AH776" s="419">
        <f t="shared" si="629"/>
        <v>0</v>
      </c>
      <c r="AI776" s="412"/>
      <c r="AJ776" s="412"/>
      <c r="AK776" s="412"/>
      <c r="AL776" s="412"/>
      <c r="AM776" s="412"/>
    </row>
    <row r="777" spans="1:39" ht="12.75">
      <c r="A777" s="412"/>
      <c r="B777" s="413"/>
      <c r="C777" s="412"/>
      <c r="D777" s="486"/>
      <c r="E777" s="412"/>
      <c r="F777" s="412"/>
      <c r="G777" s="412"/>
      <c r="H777" s="412"/>
      <c r="I777" s="412"/>
      <c r="J777" s="412"/>
      <c r="K777" s="412"/>
      <c r="L777" s="412"/>
      <c r="M777" s="412"/>
      <c r="N777" s="412"/>
      <c r="O777" s="412"/>
      <c r="P777" s="487"/>
      <c r="Q777" s="412"/>
      <c r="R777" s="412"/>
      <c r="S777" s="412"/>
      <c r="T777" s="488"/>
      <c r="U777" s="412"/>
      <c r="V777" s="412"/>
      <c r="W777" s="412"/>
      <c r="X777" s="412"/>
      <c r="Y777" s="412"/>
      <c r="Z777" s="412"/>
      <c r="AA777" s="412"/>
      <c r="AB777" s="412"/>
      <c r="AC777" s="412"/>
      <c r="AD777" s="412"/>
      <c r="AE777" s="412"/>
      <c r="AF777" s="412"/>
      <c r="AG777" s="412"/>
      <c r="AH777" s="419">
        <f t="shared" si="629"/>
        <v>0</v>
      </c>
      <c r="AI777" s="412"/>
      <c r="AJ777" s="412"/>
      <c r="AK777" s="412"/>
      <c r="AL777" s="412"/>
      <c r="AM777" s="412"/>
    </row>
    <row r="778" spans="1:39" ht="12.75">
      <c r="A778" s="412"/>
      <c r="B778" s="413"/>
      <c r="C778" s="412"/>
      <c r="D778" s="486"/>
      <c r="E778" s="412"/>
      <c r="F778" s="412"/>
      <c r="G778" s="412"/>
      <c r="H778" s="412"/>
      <c r="I778" s="412"/>
      <c r="J778" s="412"/>
      <c r="K778" s="412"/>
      <c r="L778" s="412"/>
      <c r="M778" s="412"/>
      <c r="N778" s="412"/>
      <c r="O778" s="412"/>
      <c r="P778" s="487"/>
      <c r="Q778" s="412"/>
      <c r="R778" s="412"/>
      <c r="S778" s="412"/>
      <c r="T778" s="488"/>
      <c r="U778" s="412"/>
      <c r="V778" s="412"/>
      <c r="W778" s="412"/>
      <c r="X778" s="412"/>
      <c r="Y778" s="412"/>
      <c r="Z778" s="412"/>
      <c r="AA778" s="412"/>
      <c r="AB778" s="412"/>
      <c r="AC778" s="412"/>
      <c r="AD778" s="412"/>
      <c r="AE778" s="412"/>
      <c r="AF778" s="412"/>
      <c r="AG778" s="412"/>
      <c r="AH778" s="419">
        <f t="shared" si="629"/>
        <v>0</v>
      </c>
      <c r="AI778" s="412"/>
      <c r="AJ778" s="412"/>
      <c r="AK778" s="412"/>
      <c r="AL778" s="412"/>
      <c r="AM778" s="412"/>
    </row>
    <row r="779" spans="1:39" ht="12.75">
      <c r="A779" s="412"/>
      <c r="B779" s="413"/>
      <c r="C779" s="412"/>
      <c r="D779" s="486"/>
      <c r="E779" s="412"/>
      <c r="F779" s="412"/>
      <c r="G779" s="412"/>
      <c r="H779" s="412"/>
      <c r="I779" s="412"/>
      <c r="J779" s="412"/>
      <c r="K779" s="412"/>
      <c r="L779" s="412"/>
      <c r="M779" s="412"/>
      <c r="N779" s="412"/>
      <c r="O779" s="412"/>
      <c r="P779" s="487"/>
      <c r="Q779" s="412"/>
      <c r="R779" s="412"/>
      <c r="S779" s="412"/>
      <c r="T779" s="488"/>
      <c r="U779" s="412"/>
      <c r="V779" s="412"/>
      <c r="W779" s="412"/>
      <c r="X779" s="412"/>
      <c r="Y779" s="412"/>
      <c r="Z779" s="412"/>
      <c r="AA779" s="412"/>
      <c r="AB779" s="412"/>
      <c r="AC779" s="412"/>
      <c r="AD779" s="412"/>
      <c r="AE779" s="412"/>
      <c r="AF779" s="412"/>
      <c r="AG779" s="412"/>
      <c r="AH779" s="419">
        <f t="shared" si="629"/>
        <v>0</v>
      </c>
      <c r="AI779" s="412"/>
      <c r="AJ779" s="412"/>
      <c r="AK779" s="412"/>
      <c r="AL779" s="412"/>
      <c r="AM779" s="412"/>
    </row>
    <row r="780" spans="1:39" ht="12.75">
      <c r="A780" s="412"/>
      <c r="B780" s="413"/>
      <c r="C780" s="412"/>
      <c r="D780" s="486"/>
      <c r="E780" s="412"/>
      <c r="F780" s="412"/>
      <c r="G780" s="412"/>
      <c r="H780" s="412"/>
      <c r="I780" s="412"/>
      <c r="J780" s="412"/>
      <c r="K780" s="412"/>
      <c r="L780" s="412"/>
      <c r="M780" s="412"/>
      <c r="N780" s="412"/>
      <c r="O780" s="412"/>
      <c r="P780" s="487"/>
      <c r="Q780" s="412"/>
      <c r="R780" s="412"/>
      <c r="S780" s="412"/>
      <c r="T780" s="488"/>
      <c r="U780" s="412"/>
      <c r="V780" s="412"/>
      <c r="W780" s="412"/>
      <c r="X780" s="412"/>
      <c r="Y780" s="412"/>
      <c r="Z780" s="412"/>
      <c r="AA780" s="412"/>
      <c r="AB780" s="412"/>
      <c r="AC780" s="412"/>
      <c r="AD780" s="412"/>
      <c r="AE780" s="412"/>
      <c r="AF780" s="412"/>
      <c r="AG780" s="412"/>
      <c r="AH780" s="419">
        <f t="shared" si="629"/>
        <v>0</v>
      </c>
      <c r="AI780" s="412"/>
      <c r="AJ780" s="412"/>
      <c r="AK780" s="412"/>
      <c r="AL780" s="412"/>
      <c r="AM780" s="412"/>
    </row>
    <row r="781" spans="1:39" ht="12.75">
      <c r="A781" s="412"/>
      <c r="B781" s="413"/>
      <c r="C781" s="412"/>
      <c r="D781" s="486"/>
      <c r="E781" s="412"/>
      <c r="F781" s="412"/>
      <c r="G781" s="412"/>
      <c r="H781" s="412"/>
      <c r="I781" s="412"/>
      <c r="J781" s="412"/>
      <c r="K781" s="412"/>
      <c r="L781" s="412"/>
      <c r="M781" s="412"/>
      <c r="N781" s="412"/>
      <c r="O781" s="412"/>
      <c r="P781" s="487"/>
      <c r="Q781" s="412"/>
      <c r="R781" s="412"/>
      <c r="S781" s="412"/>
      <c r="T781" s="488"/>
      <c r="U781" s="412"/>
      <c r="V781" s="412"/>
      <c r="W781" s="412"/>
      <c r="X781" s="412"/>
      <c r="Y781" s="412"/>
      <c r="Z781" s="412"/>
      <c r="AA781" s="412"/>
      <c r="AB781" s="412"/>
      <c r="AC781" s="412"/>
      <c r="AD781" s="412"/>
      <c r="AE781" s="412"/>
      <c r="AF781" s="412"/>
      <c r="AG781" s="412"/>
      <c r="AH781" s="419">
        <f t="shared" si="629"/>
        <v>0</v>
      </c>
      <c r="AI781" s="412"/>
      <c r="AJ781" s="412"/>
      <c r="AK781" s="412"/>
      <c r="AL781" s="412"/>
      <c r="AM781" s="412"/>
    </row>
    <row r="782" spans="1:39" ht="12.75">
      <c r="A782" s="412"/>
      <c r="B782" s="413"/>
      <c r="C782" s="412"/>
      <c r="D782" s="486"/>
      <c r="E782" s="412"/>
      <c r="F782" s="412"/>
      <c r="G782" s="412"/>
      <c r="H782" s="412"/>
      <c r="I782" s="412"/>
      <c r="J782" s="412"/>
      <c r="K782" s="412"/>
      <c r="L782" s="412"/>
      <c r="M782" s="412"/>
      <c r="N782" s="412"/>
      <c r="O782" s="412"/>
      <c r="P782" s="487"/>
      <c r="Q782" s="412"/>
      <c r="R782" s="412"/>
      <c r="S782" s="412"/>
      <c r="T782" s="488"/>
      <c r="U782" s="412"/>
      <c r="V782" s="412"/>
      <c r="W782" s="412"/>
      <c r="X782" s="412"/>
      <c r="Y782" s="412"/>
      <c r="Z782" s="412"/>
      <c r="AA782" s="412"/>
      <c r="AB782" s="412"/>
      <c r="AC782" s="412"/>
      <c r="AD782" s="412"/>
      <c r="AE782" s="412"/>
      <c r="AF782" s="412"/>
      <c r="AG782" s="412"/>
      <c r="AH782" s="419">
        <f t="shared" si="629"/>
        <v>0</v>
      </c>
      <c r="AI782" s="412"/>
      <c r="AJ782" s="412"/>
      <c r="AK782" s="412"/>
      <c r="AL782" s="412"/>
      <c r="AM782" s="412"/>
    </row>
    <row r="783" spans="1:39" ht="12.75">
      <c r="A783" s="412"/>
      <c r="B783" s="413"/>
      <c r="C783" s="412"/>
      <c r="D783" s="486"/>
      <c r="E783" s="412"/>
      <c r="F783" s="412"/>
      <c r="G783" s="412"/>
      <c r="H783" s="412"/>
      <c r="I783" s="412"/>
      <c r="J783" s="412"/>
      <c r="K783" s="412"/>
      <c r="L783" s="412"/>
      <c r="M783" s="412"/>
      <c r="N783" s="412"/>
      <c r="O783" s="412"/>
      <c r="P783" s="487"/>
      <c r="Q783" s="412"/>
      <c r="R783" s="412"/>
      <c r="S783" s="412"/>
      <c r="T783" s="488"/>
      <c r="U783" s="412"/>
      <c r="V783" s="412"/>
      <c r="W783" s="412"/>
      <c r="X783" s="412"/>
      <c r="Y783" s="412"/>
      <c r="Z783" s="412"/>
      <c r="AA783" s="412"/>
      <c r="AB783" s="412"/>
      <c r="AC783" s="412"/>
      <c r="AD783" s="412"/>
      <c r="AE783" s="412"/>
      <c r="AF783" s="412"/>
      <c r="AG783" s="412"/>
      <c r="AH783" s="419">
        <f t="shared" si="629"/>
        <v>0</v>
      </c>
      <c r="AI783" s="412"/>
      <c r="AJ783" s="412"/>
      <c r="AK783" s="412"/>
      <c r="AL783" s="412"/>
      <c r="AM783" s="412"/>
    </row>
    <row r="784" spans="1:39" ht="12.75">
      <c r="A784" s="412"/>
      <c r="B784" s="413"/>
      <c r="C784" s="412"/>
      <c r="D784" s="486"/>
      <c r="E784" s="412"/>
      <c r="F784" s="412"/>
      <c r="G784" s="412"/>
      <c r="H784" s="412"/>
      <c r="I784" s="412"/>
      <c r="J784" s="412"/>
      <c r="K784" s="412"/>
      <c r="L784" s="412"/>
      <c r="M784" s="412"/>
      <c r="N784" s="412"/>
      <c r="O784" s="412"/>
      <c r="P784" s="487"/>
      <c r="Q784" s="412"/>
      <c r="R784" s="412"/>
      <c r="S784" s="412"/>
      <c r="T784" s="488"/>
      <c r="U784" s="412"/>
      <c r="V784" s="412"/>
      <c r="W784" s="412"/>
      <c r="X784" s="412"/>
      <c r="Y784" s="412"/>
      <c r="Z784" s="412"/>
      <c r="AA784" s="412"/>
      <c r="AB784" s="412"/>
      <c r="AC784" s="412"/>
      <c r="AD784" s="412"/>
      <c r="AE784" s="412"/>
      <c r="AF784" s="412"/>
      <c r="AG784" s="412"/>
      <c r="AH784" s="419">
        <f t="shared" si="629"/>
        <v>0</v>
      </c>
      <c r="AI784" s="412"/>
      <c r="AJ784" s="412"/>
      <c r="AK784" s="412"/>
      <c r="AL784" s="412"/>
      <c r="AM784" s="412"/>
    </row>
    <row r="785" spans="1:39" ht="12.75">
      <c r="A785" s="412"/>
      <c r="B785" s="413"/>
      <c r="C785" s="412"/>
      <c r="D785" s="486"/>
      <c r="E785" s="412"/>
      <c r="F785" s="412"/>
      <c r="G785" s="412"/>
      <c r="H785" s="412"/>
      <c r="I785" s="412"/>
      <c r="J785" s="412"/>
      <c r="K785" s="412"/>
      <c r="L785" s="412"/>
      <c r="M785" s="412"/>
      <c r="N785" s="412"/>
      <c r="O785" s="412"/>
      <c r="P785" s="487"/>
      <c r="Q785" s="412"/>
      <c r="R785" s="412"/>
      <c r="S785" s="412"/>
      <c r="T785" s="488"/>
      <c r="U785" s="412"/>
      <c r="V785" s="412"/>
      <c r="W785" s="412"/>
      <c r="X785" s="412"/>
      <c r="Y785" s="412"/>
      <c r="Z785" s="412"/>
      <c r="AA785" s="412"/>
      <c r="AB785" s="412"/>
      <c r="AC785" s="412"/>
      <c r="AD785" s="412"/>
      <c r="AE785" s="412"/>
      <c r="AF785" s="412"/>
      <c r="AG785" s="412"/>
      <c r="AH785" s="419">
        <f t="shared" si="629"/>
        <v>0</v>
      </c>
      <c r="AI785" s="412"/>
      <c r="AJ785" s="412"/>
      <c r="AK785" s="412"/>
      <c r="AL785" s="412"/>
      <c r="AM785" s="412"/>
    </row>
    <row r="786" spans="1:39" ht="12.75">
      <c r="A786" s="412"/>
      <c r="B786" s="413"/>
      <c r="C786" s="412"/>
      <c r="D786" s="486"/>
      <c r="E786" s="412"/>
      <c r="F786" s="412"/>
      <c r="G786" s="412"/>
      <c r="H786" s="412"/>
      <c r="I786" s="412"/>
      <c r="J786" s="412"/>
      <c r="K786" s="412"/>
      <c r="L786" s="412"/>
      <c r="M786" s="412"/>
      <c r="N786" s="412"/>
      <c r="O786" s="412"/>
      <c r="P786" s="487"/>
      <c r="Q786" s="412"/>
      <c r="R786" s="412"/>
      <c r="S786" s="412"/>
      <c r="T786" s="488"/>
      <c r="U786" s="412"/>
      <c r="V786" s="412"/>
      <c r="W786" s="412"/>
      <c r="X786" s="412"/>
      <c r="Y786" s="412"/>
      <c r="Z786" s="412"/>
      <c r="AA786" s="412"/>
      <c r="AB786" s="412"/>
      <c r="AC786" s="412"/>
      <c r="AD786" s="412"/>
      <c r="AE786" s="412"/>
      <c r="AF786" s="412"/>
      <c r="AG786" s="412"/>
      <c r="AH786" s="419">
        <f t="shared" si="629"/>
        <v>0</v>
      </c>
      <c r="AI786" s="412"/>
      <c r="AJ786" s="412"/>
      <c r="AK786" s="412"/>
      <c r="AL786" s="412"/>
      <c r="AM786" s="412"/>
    </row>
    <row r="787" spans="1:39" ht="12.75">
      <c r="A787" s="412"/>
      <c r="B787" s="413"/>
      <c r="C787" s="412"/>
      <c r="D787" s="486"/>
      <c r="E787" s="412"/>
      <c r="F787" s="412"/>
      <c r="G787" s="412"/>
      <c r="H787" s="412"/>
      <c r="I787" s="412"/>
      <c r="J787" s="412"/>
      <c r="K787" s="412"/>
      <c r="L787" s="412"/>
      <c r="M787" s="412"/>
      <c r="N787" s="412"/>
      <c r="O787" s="412"/>
      <c r="P787" s="487"/>
      <c r="Q787" s="412"/>
      <c r="R787" s="412"/>
      <c r="S787" s="412"/>
      <c r="T787" s="488"/>
      <c r="U787" s="412"/>
      <c r="V787" s="412"/>
      <c r="W787" s="412"/>
      <c r="X787" s="412"/>
      <c r="Y787" s="412"/>
      <c r="Z787" s="412"/>
      <c r="AA787" s="412"/>
      <c r="AB787" s="412"/>
      <c r="AC787" s="412"/>
      <c r="AD787" s="412"/>
      <c r="AE787" s="412"/>
      <c r="AF787" s="412"/>
      <c r="AG787" s="412"/>
      <c r="AH787" s="419">
        <f t="shared" si="629"/>
        <v>0</v>
      </c>
      <c r="AI787" s="412"/>
      <c r="AJ787" s="412"/>
      <c r="AK787" s="412"/>
      <c r="AL787" s="412"/>
      <c r="AM787" s="412"/>
    </row>
    <row r="788" spans="1:39" ht="12.75">
      <c r="A788" s="412"/>
      <c r="B788" s="413"/>
      <c r="C788" s="412"/>
      <c r="D788" s="486"/>
      <c r="E788" s="412"/>
      <c r="F788" s="412"/>
      <c r="G788" s="412"/>
      <c r="H788" s="412"/>
      <c r="I788" s="412"/>
      <c r="J788" s="412"/>
      <c r="K788" s="412"/>
      <c r="L788" s="412"/>
      <c r="M788" s="412"/>
      <c r="N788" s="412"/>
      <c r="O788" s="412"/>
      <c r="P788" s="487"/>
      <c r="Q788" s="412"/>
      <c r="R788" s="412"/>
      <c r="S788" s="412"/>
      <c r="T788" s="488"/>
      <c r="U788" s="412"/>
      <c r="V788" s="412"/>
      <c r="W788" s="412"/>
      <c r="X788" s="412"/>
      <c r="Y788" s="412"/>
      <c r="Z788" s="412"/>
      <c r="AA788" s="412"/>
      <c r="AB788" s="412"/>
      <c r="AC788" s="412"/>
      <c r="AD788" s="412"/>
      <c r="AE788" s="412"/>
      <c r="AF788" s="412"/>
      <c r="AG788" s="412"/>
      <c r="AH788" s="419">
        <f t="shared" si="629"/>
        <v>0</v>
      </c>
      <c r="AI788" s="412"/>
      <c r="AJ788" s="412"/>
      <c r="AK788" s="412"/>
      <c r="AL788" s="412"/>
      <c r="AM788" s="412"/>
    </row>
    <row r="789" spans="1:39" ht="12.75">
      <c r="A789" s="412"/>
      <c r="B789" s="413"/>
      <c r="C789" s="412"/>
      <c r="D789" s="486"/>
      <c r="E789" s="412"/>
      <c r="F789" s="412"/>
      <c r="G789" s="412"/>
      <c r="H789" s="412"/>
      <c r="I789" s="412"/>
      <c r="J789" s="412"/>
      <c r="K789" s="412"/>
      <c r="L789" s="412"/>
      <c r="M789" s="412"/>
      <c r="N789" s="412"/>
      <c r="O789" s="412"/>
      <c r="P789" s="487"/>
      <c r="Q789" s="412"/>
      <c r="R789" s="412"/>
      <c r="S789" s="412"/>
      <c r="T789" s="488"/>
      <c r="U789" s="412"/>
      <c r="V789" s="412"/>
      <c r="W789" s="412"/>
      <c r="X789" s="412"/>
      <c r="Y789" s="412"/>
      <c r="Z789" s="412"/>
      <c r="AA789" s="412"/>
      <c r="AB789" s="412"/>
      <c r="AC789" s="412"/>
      <c r="AD789" s="412"/>
      <c r="AE789" s="412"/>
      <c r="AF789" s="412"/>
      <c r="AG789" s="412"/>
      <c r="AH789" s="419">
        <f t="shared" si="629"/>
        <v>0</v>
      </c>
      <c r="AI789" s="412"/>
      <c r="AJ789" s="412"/>
      <c r="AK789" s="412"/>
      <c r="AL789" s="412"/>
      <c r="AM789" s="412"/>
    </row>
    <row r="790" spans="1:39" ht="12.75">
      <c r="A790" s="412"/>
      <c r="B790" s="413"/>
      <c r="C790" s="412"/>
      <c r="D790" s="486"/>
      <c r="E790" s="412"/>
      <c r="F790" s="412"/>
      <c r="G790" s="412"/>
      <c r="H790" s="412"/>
      <c r="I790" s="412"/>
      <c r="J790" s="412"/>
      <c r="K790" s="412"/>
      <c r="L790" s="412"/>
      <c r="M790" s="412"/>
      <c r="N790" s="412"/>
      <c r="O790" s="412"/>
      <c r="P790" s="487"/>
      <c r="Q790" s="412"/>
      <c r="R790" s="412"/>
      <c r="S790" s="412"/>
      <c r="T790" s="488"/>
      <c r="U790" s="412"/>
      <c r="V790" s="412"/>
      <c r="W790" s="412"/>
      <c r="X790" s="412"/>
      <c r="Y790" s="412"/>
      <c r="Z790" s="412"/>
      <c r="AA790" s="412"/>
      <c r="AB790" s="412"/>
      <c r="AC790" s="412"/>
      <c r="AD790" s="412"/>
      <c r="AE790" s="412"/>
      <c r="AF790" s="412"/>
      <c r="AG790" s="412"/>
      <c r="AH790" s="419">
        <f t="shared" si="629"/>
        <v>0</v>
      </c>
      <c r="AI790" s="412"/>
      <c r="AJ790" s="412"/>
      <c r="AK790" s="412"/>
      <c r="AL790" s="412"/>
      <c r="AM790" s="412"/>
    </row>
    <row r="791" spans="1:39" ht="12.75">
      <c r="A791" s="412"/>
      <c r="B791" s="413"/>
      <c r="C791" s="412"/>
      <c r="D791" s="486"/>
      <c r="E791" s="412"/>
      <c r="F791" s="412"/>
      <c r="G791" s="412"/>
      <c r="H791" s="412"/>
      <c r="I791" s="412"/>
      <c r="J791" s="412"/>
      <c r="K791" s="412"/>
      <c r="L791" s="412"/>
      <c r="M791" s="412"/>
      <c r="N791" s="412"/>
      <c r="O791" s="412"/>
      <c r="P791" s="487"/>
      <c r="Q791" s="412"/>
      <c r="R791" s="412"/>
      <c r="S791" s="412"/>
      <c r="T791" s="488"/>
      <c r="U791" s="412"/>
      <c r="V791" s="412"/>
      <c r="W791" s="412"/>
      <c r="X791" s="412"/>
      <c r="Y791" s="412"/>
      <c r="Z791" s="412"/>
      <c r="AA791" s="412"/>
      <c r="AB791" s="412"/>
      <c r="AC791" s="412"/>
      <c r="AD791" s="412"/>
      <c r="AE791" s="412"/>
      <c r="AF791" s="412"/>
      <c r="AG791" s="412"/>
      <c r="AH791" s="419">
        <f t="shared" si="629"/>
        <v>0</v>
      </c>
      <c r="AI791" s="412"/>
      <c r="AJ791" s="412"/>
      <c r="AK791" s="412"/>
      <c r="AL791" s="412"/>
      <c r="AM791" s="412"/>
    </row>
    <row r="792" spans="1:39" ht="12.75">
      <c r="A792" s="412"/>
      <c r="B792" s="413"/>
      <c r="C792" s="412"/>
      <c r="D792" s="486"/>
      <c r="E792" s="412"/>
      <c r="F792" s="412"/>
      <c r="G792" s="412"/>
      <c r="H792" s="412"/>
      <c r="I792" s="412"/>
      <c r="J792" s="412"/>
      <c r="K792" s="412"/>
      <c r="L792" s="412"/>
      <c r="M792" s="412"/>
      <c r="N792" s="412"/>
      <c r="O792" s="412"/>
      <c r="P792" s="487"/>
      <c r="Q792" s="412"/>
      <c r="R792" s="412"/>
      <c r="S792" s="412"/>
      <c r="T792" s="488"/>
      <c r="U792" s="412"/>
      <c r="V792" s="412"/>
      <c r="W792" s="412"/>
      <c r="X792" s="412"/>
      <c r="Y792" s="412"/>
      <c r="Z792" s="412"/>
      <c r="AA792" s="412"/>
      <c r="AB792" s="412"/>
      <c r="AC792" s="412"/>
      <c r="AD792" s="412"/>
      <c r="AE792" s="412"/>
      <c r="AF792" s="412"/>
      <c r="AG792" s="412"/>
      <c r="AH792" s="419">
        <f t="shared" si="629"/>
        <v>0</v>
      </c>
      <c r="AI792" s="412"/>
      <c r="AJ792" s="412"/>
      <c r="AK792" s="412"/>
      <c r="AL792" s="412"/>
      <c r="AM792" s="412"/>
    </row>
    <row r="793" spans="1:39" ht="12.75">
      <c r="A793" s="412"/>
      <c r="B793" s="413"/>
      <c r="C793" s="412"/>
      <c r="D793" s="486"/>
      <c r="E793" s="412"/>
      <c r="F793" s="412"/>
      <c r="G793" s="412"/>
      <c r="H793" s="412"/>
      <c r="I793" s="412"/>
      <c r="J793" s="412"/>
      <c r="K793" s="412"/>
      <c r="L793" s="412"/>
      <c r="M793" s="412"/>
      <c r="N793" s="412"/>
      <c r="O793" s="412"/>
      <c r="P793" s="487"/>
      <c r="Q793" s="412"/>
      <c r="R793" s="412"/>
      <c r="S793" s="412"/>
      <c r="T793" s="488"/>
      <c r="U793" s="412"/>
      <c r="V793" s="412"/>
      <c r="W793" s="412"/>
      <c r="X793" s="412"/>
      <c r="Y793" s="412"/>
      <c r="Z793" s="412"/>
      <c r="AA793" s="412"/>
      <c r="AB793" s="412"/>
      <c r="AC793" s="412"/>
      <c r="AD793" s="412"/>
      <c r="AE793" s="412"/>
      <c r="AF793" s="412"/>
      <c r="AG793" s="412"/>
      <c r="AH793" s="419">
        <f t="shared" si="629"/>
        <v>0</v>
      </c>
      <c r="AI793" s="412"/>
      <c r="AJ793" s="412"/>
      <c r="AK793" s="412"/>
      <c r="AL793" s="412"/>
      <c r="AM793" s="412"/>
    </row>
    <row r="794" spans="1:39" ht="12.75">
      <c r="A794" s="412"/>
      <c r="B794" s="413"/>
      <c r="C794" s="412"/>
      <c r="D794" s="486"/>
      <c r="E794" s="412"/>
      <c r="F794" s="412"/>
      <c r="G794" s="412"/>
      <c r="H794" s="412"/>
      <c r="I794" s="412"/>
      <c r="J794" s="412"/>
      <c r="K794" s="412"/>
      <c r="L794" s="412"/>
      <c r="M794" s="412"/>
      <c r="N794" s="412"/>
      <c r="O794" s="412"/>
      <c r="P794" s="487"/>
      <c r="Q794" s="412"/>
      <c r="R794" s="412"/>
      <c r="S794" s="412"/>
      <c r="T794" s="488"/>
      <c r="U794" s="412"/>
      <c r="V794" s="412"/>
      <c r="W794" s="412"/>
      <c r="X794" s="412"/>
      <c r="Y794" s="412"/>
      <c r="Z794" s="412"/>
      <c r="AA794" s="412"/>
      <c r="AB794" s="412"/>
      <c r="AC794" s="412"/>
      <c r="AD794" s="412"/>
      <c r="AE794" s="412"/>
      <c r="AF794" s="412"/>
      <c r="AG794" s="412"/>
      <c r="AH794" s="419">
        <f t="shared" si="629"/>
        <v>0</v>
      </c>
      <c r="AI794" s="412"/>
      <c r="AJ794" s="412"/>
      <c r="AK794" s="412"/>
      <c r="AL794" s="412"/>
      <c r="AM794" s="412"/>
    </row>
    <row r="795" spans="1:39" ht="12.75">
      <c r="A795" s="412"/>
      <c r="B795" s="413"/>
      <c r="C795" s="412"/>
      <c r="D795" s="486"/>
      <c r="E795" s="412"/>
      <c r="F795" s="412"/>
      <c r="G795" s="412"/>
      <c r="H795" s="412"/>
      <c r="I795" s="412"/>
      <c r="J795" s="412"/>
      <c r="K795" s="412"/>
      <c r="L795" s="412"/>
      <c r="M795" s="412"/>
      <c r="N795" s="412"/>
      <c r="O795" s="412"/>
      <c r="P795" s="487"/>
      <c r="Q795" s="412"/>
      <c r="R795" s="412"/>
      <c r="S795" s="412"/>
      <c r="T795" s="488"/>
      <c r="U795" s="412"/>
      <c r="V795" s="412"/>
      <c r="W795" s="412"/>
      <c r="X795" s="412"/>
      <c r="Y795" s="412"/>
      <c r="Z795" s="412"/>
      <c r="AA795" s="412"/>
      <c r="AB795" s="412"/>
      <c r="AC795" s="412"/>
      <c r="AD795" s="412"/>
      <c r="AE795" s="412"/>
      <c r="AF795" s="412"/>
      <c r="AG795" s="412"/>
      <c r="AH795" s="419">
        <f t="shared" si="629"/>
        <v>0</v>
      </c>
      <c r="AI795" s="412"/>
      <c r="AJ795" s="412"/>
      <c r="AK795" s="412"/>
      <c r="AL795" s="412"/>
      <c r="AM795" s="412"/>
    </row>
    <row r="796" spans="1:39" ht="12.75">
      <c r="A796" s="412"/>
      <c r="B796" s="413"/>
      <c r="C796" s="412"/>
      <c r="D796" s="486"/>
      <c r="E796" s="412"/>
      <c r="F796" s="412"/>
      <c r="G796" s="412"/>
      <c r="H796" s="412"/>
      <c r="I796" s="412"/>
      <c r="J796" s="412"/>
      <c r="K796" s="412"/>
      <c r="L796" s="412"/>
      <c r="M796" s="412"/>
      <c r="N796" s="412"/>
      <c r="O796" s="412"/>
      <c r="P796" s="487"/>
      <c r="Q796" s="412"/>
      <c r="R796" s="412"/>
      <c r="S796" s="412"/>
      <c r="T796" s="488"/>
      <c r="U796" s="412"/>
      <c r="V796" s="412"/>
      <c r="W796" s="412"/>
      <c r="X796" s="412"/>
      <c r="Y796" s="412"/>
      <c r="Z796" s="412"/>
      <c r="AA796" s="412"/>
      <c r="AB796" s="412"/>
      <c r="AC796" s="412"/>
      <c r="AD796" s="412"/>
      <c r="AE796" s="412"/>
      <c r="AF796" s="412"/>
      <c r="AG796" s="412"/>
      <c r="AH796" s="419">
        <f t="shared" si="629"/>
        <v>0</v>
      </c>
      <c r="AI796" s="412"/>
      <c r="AJ796" s="412"/>
      <c r="AK796" s="412"/>
      <c r="AL796" s="412"/>
      <c r="AM796" s="412"/>
    </row>
    <row r="797" spans="1:39" ht="12.75">
      <c r="A797" s="412"/>
      <c r="B797" s="413"/>
      <c r="C797" s="412"/>
      <c r="D797" s="486"/>
      <c r="E797" s="412"/>
      <c r="F797" s="412"/>
      <c r="G797" s="412"/>
      <c r="H797" s="412"/>
      <c r="I797" s="412"/>
      <c r="J797" s="412"/>
      <c r="K797" s="412"/>
      <c r="L797" s="412"/>
      <c r="M797" s="412"/>
      <c r="N797" s="412"/>
      <c r="O797" s="412"/>
      <c r="P797" s="487"/>
      <c r="Q797" s="412"/>
      <c r="R797" s="412"/>
      <c r="S797" s="412"/>
      <c r="T797" s="488"/>
      <c r="U797" s="412"/>
      <c r="V797" s="412"/>
      <c r="W797" s="412"/>
      <c r="X797" s="412"/>
      <c r="Y797" s="412"/>
      <c r="Z797" s="412"/>
      <c r="AA797" s="412"/>
      <c r="AB797" s="412"/>
      <c r="AC797" s="412"/>
      <c r="AD797" s="412"/>
      <c r="AE797" s="412"/>
      <c r="AF797" s="412"/>
      <c r="AG797" s="412"/>
      <c r="AH797" s="419">
        <f t="shared" si="629"/>
        <v>0</v>
      </c>
      <c r="AI797" s="412"/>
      <c r="AJ797" s="412"/>
      <c r="AK797" s="412"/>
      <c r="AL797" s="412"/>
      <c r="AM797" s="412"/>
    </row>
    <row r="798" spans="1:39" ht="12.75">
      <c r="A798" s="412"/>
      <c r="B798" s="413"/>
      <c r="C798" s="412"/>
      <c r="D798" s="486"/>
      <c r="E798" s="412"/>
      <c r="F798" s="412"/>
      <c r="G798" s="412"/>
      <c r="H798" s="412"/>
      <c r="I798" s="412"/>
      <c r="J798" s="412"/>
      <c r="K798" s="412"/>
      <c r="L798" s="412"/>
      <c r="M798" s="412"/>
      <c r="N798" s="412"/>
      <c r="O798" s="412"/>
      <c r="P798" s="487"/>
      <c r="Q798" s="412"/>
      <c r="R798" s="412"/>
      <c r="S798" s="412"/>
      <c r="T798" s="488"/>
      <c r="U798" s="412"/>
      <c r="V798" s="412"/>
      <c r="W798" s="412"/>
      <c r="X798" s="412"/>
      <c r="Y798" s="412"/>
      <c r="Z798" s="412"/>
      <c r="AA798" s="412"/>
      <c r="AB798" s="412"/>
      <c r="AC798" s="412"/>
      <c r="AD798" s="412"/>
      <c r="AE798" s="412"/>
      <c r="AF798" s="412"/>
      <c r="AG798" s="412"/>
      <c r="AH798" s="419">
        <f t="shared" si="629"/>
        <v>0</v>
      </c>
      <c r="AI798" s="412"/>
      <c r="AJ798" s="412"/>
      <c r="AK798" s="412"/>
      <c r="AL798" s="412"/>
      <c r="AM798" s="412"/>
    </row>
    <row r="799" spans="1:39" ht="12.75">
      <c r="A799" s="412"/>
      <c r="B799" s="413"/>
      <c r="C799" s="412"/>
      <c r="D799" s="486"/>
      <c r="E799" s="412"/>
      <c r="F799" s="412"/>
      <c r="G799" s="412"/>
      <c r="H799" s="412"/>
      <c r="I799" s="412"/>
      <c r="J799" s="412"/>
      <c r="K799" s="412"/>
      <c r="L799" s="412"/>
      <c r="M799" s="412"/>
      <c r="N799" s="412"/>
      <c r="O799" s="412"/>
      <c r="P799" s="487"/>
      <c r="Q799" s="412"/>
      <c r="R799" s="412"/>
      <c r="S799" s="412"/>
      <c r="T799" s="488"/>
      <c r="U799" s="412"/>
      <c r="V799" s="412"/>
      <c r="W799" s="412"/>
      <c r="X799" s="412"/>
      <c r="Y799" s="412"/>
      <c r="Z799" s="412"/>
      <c r="AA799" s="412"/>
      <c r="AB799" s="412"/>
      <c r="AC799" s="412"/>
      <c r="AD799" s="412"/>
      <c r="AE799" s="412"/>
      <c r="AF799" s="412"/>
      <c r="AG799" s="412"/>
      <c r="AH799" s="419">
        <f t="shared" si="629"/>
        <v>0</v>
      </c>
      <c r="AI799" s="412"/>
      <c r="AJ799" s="412"/>
      <c r="AK799" s="412"/>
      <c r="AL799" s="412"/>
      <c r="AM799" s="412"/>
    </row>
    <row r="800" spans="1:39" ht="12.75">
      <c r="A800" s="412"/>
      <c r="B800" s="413"/>
      <c r="C800" s="412"/>
      <c r="D800" s="486"/>
      <c r="E800" s="412"/>
      <c r="F800" s="412"/>
      <c r="G800" s="412"/>
      <c r="H800" s="412"/>
      <c r="I800" s="412"/>
      <c r="J800" s="412"/>
      <c r="K800" s="412"/>
      <c r="L800" s="412"/>
      <c r="M800" s="412"/>
      <c r="N800" s="412"/>
      <c r="O800" s="412"/>
      <c r="P800" s="487"/>
      <c r="Q800" s="412"/>
      <c r="R800" s="412"/>
      <c r="S800" s="412"/>
      <c r="T800" s="488"/>
      <c r="U800" s="412"/>
      <c r="V800" s="412"/>
      <c r="W800" s="412"/>
      <c r="X800" s="412"/>
      <c r="Y800" s="412"/>
      <c r="Z800" s="412"/>
      <c r="AA800" s="412"/>
      <c r="AB800" s="412"/>
      <c r="AC800" s="412"/>
      <c r="AD800" s="412"/>
      <c r="AE800" s="412"/>
      <c r="AF800" s="412"/>
      <c r="AG800" s="412"/>
      <c r="AH800" s="419">
        <f t="shared" si="629"/>
        <v>0</v>
      </c>
      <c r="AI800" s="412"/>
      <c r="AJ800" s="412"/>
      <c r="AK800" s="412"/>
      <c r="AL800" s="412"/>
      <c r="AM800" s="412"/>
    </row>
    <row r="801" spans="1:39" ht="12.75">
      <c r="A801" s="412"/>
      <c r="B801" s="413"/>
      <c r="C801" s="412"/>
      <c r="D801" s="486"/>
      <c r="E801" s="412"/>
      <c r="F801" s="412"/>
      <c r="G801" s="412"/>
      <c r="H801" s="412"/>
      <c r="I801" s="412"/>
      <c r="J801" s="412"/>
      <c r="K801" s="412"/>
      <c r="L801" s="412"/>
      <c r="M801" s="412"/>
      <c r="N801" s="412"/>
      <c r="O801" s="412"/>
      <c r="P801" s="487"/>
      <c r="Q801" s="412"/>
      <c r="R801" s="412"/>
      <c r="S801" s="412"/>
      <c r="T801" s="488"/>
      <c r="U801" s="412"/>
      <c r="V801" s="412"/>
      <c r="W801" s="412"/>
      <c r="X801" s="412"/>
      <c r="Y801" s="412"/>
      <c r="Z801" s="412"/>
      <c r="AA801" s="412"/>
      <c r="AB801" s="412"/>
      <c r="AC801" s="412"/>
      <c r="AD801" s="412"/>
      <c r="AE801" s="412"/>
      <c r="AF801" s="412"/>
      <c r="AG801" s="412"/>
      <c r="AH801" s="419">
        <f t="shared" si="629"/>
        <v>0</v>
      </c>
      <c r="AI801" s="412"/>
      <c r="AJ801" s="412"/>
      <c r="AK801" s="412"/>
      <c r="AL801" s="412"/>
      <c r="AM801" s="412"/>
    </row>
    <row r="802" spans="1:39" ht="12.75">
      <c r="A802" s="412"/>
      <c r="B802" s="413"/>
      <c r="C802" s="412"/>
      <c r="D802" s="486"/>
      <c r="E802" s="412"/>
      <c r="F802" s="412"/>
      <c r="G802" s="412"/>
      <c r="H802" s="412"/>
      <c r="I802" s="412"/>
      <c r="J802" s="412"/>
      <c r="K802" s="412"/>
      <c r="L802" s="412"/>
      <c r="M802" s="412"/>
      <c r="N802" s="412"/>
      <c r="O802" s="412"/>
      <c r="P802" s="487"/>
      <c r="Q802" s="412"/>
      <c r="R802" s="412"/>
      <c r="S802" s="412"/>
      <c r="T802" s="488"/>
      <c r="U802" s="412"/>
      <c r="V802" s="412"/>
      <c r="W802" s="412"/>
      <c r="X802" s="412"/>
      <c r="Y802" s="412"/>
      <c r="Z802" s="412"/>
      <c r="AA802" s="412"/>
      <c r="AB802" s="412"/>
      <c r="AC802" s="412"/>
      <c r="AD802" s="412"/>
      <c r="AE802" s="412"/>
      <c r="AF802" s="412"/>
      <c r="AG802" s="412"/>
      <c r="AH802" s="419">
        <f t="shared" si="629"/>
        <v>0</v>
      </c>
      <c r="AI802" s="412"/>
      <c r="AJ802" s="412"/>
      <c r="AK802" s="412"/>
      <c r="AL802" s="412"/>
      <c r="AM802" s="412"/>
    </row>
    <row r="803" spans="1:39" ht="12.75">
      <c r="A803" s="412"/>
      <c r="B803" s="413"/>
      <c r="C803" s="412"/>
      <c r="D803" s="486"/>
      <c r="E803" s="412"/>
      <c r="F803" s="412"/>
      <c r="G803" s="412"/>
      <c r="H803" s="412"/>
      <c r="I803" s="412"/>
      <c r="J803" s="412"/>
      <c r="K803" s="412"/>
      <c r="L803" s="412"/>
      <c r="M803" s="412"/>
      <c r="N803" s="412"/>
      <c r="O803" s="412"/>
      <c r="P803" s="487"/>
      <c r="Q803" s="412"/>
      <c r="R803" s="412"/>
      <c r="S803" s="412"/>
      <c r="T803" s="488"/>
      <c r="U803" s="412"/>
      <c r="V803" s="412"/>
      <c r="W803" s="412"/>
      <c r="X803" s="412"/>
      <c r="Y803" s="412"/>
      <c r="Z803" s="412"/>
      <c r="AA803" s="412"/>
      <c r="AB803" s="412"/>
      <c r="AC803" s="412"/>
      <c r="AD803" s="412"/>
      <c r="AE803" s="412"/>
      <c r="AF803" s="412"/>
      <c r="AG803" s="412"/>
      <c r="AH803" s="419">
        <f t="shared" si="629"/>
        <v>0</v>
      </c>
      <c r="AI803" s="412"/>
      <c r="AJ803" s="412"/>
      <c r="AK803" s="412"/>
      <c r="AL803" s="412"/>
      <c r="AM803" s="412"/>
    </row>
    <row r="804" spans="1:39" ht="12.75">
      <c r="A804" s="412"/>
      <c r="B804" s="413"/>
      <c r="C804" s="412"/>
      <c r="D804" s="486"/>
      <c r="E804" s="412"/>
      <c r="F804" s="412"/>
      <c r="G804" s="412"/>
      <c r="H804" s="412"/>
      <c r="I804" s="412"/>
      <c r="J804" s="412"/>
      <c r="K804" s="412"/>
      <c r="L804" s="412"/>
      <c r="M804" s="412"/>
      <c r="N804" s="412"/>
      <c r="O804" s="412"/>
      <c r="P804" s="487"/>
      <c r="Q804" s="412"/>
      <c r="R804" s="412"/>
      <c r="S804" s="412"/>
      <c r="T804" s="488"/>
      <c r="U804" s="412"/>
      <c r="V804" s="412"/>
      <c r="W804" s="412"/>
      <c r="X804" s="412"/>
      <c r="Y804" s="412"/>
      <c r="Z804" s="412"/>
      <c r="AA804" s="412"/>
      <c r="AB804" s="412"/>
      <c r="AC804" s="412"/>
      <c r="AD804" s="412"/>
      <c r="AE804" s="412"/>
      <c r="AF804" s="412"/>
      <c r="AG804" s="412"/>
      <c r="AH804" s="419">
        <f t="shared" si="629"/>
        <v>0</v>
      </c>
      <c r="AI804" s="412"/>
      <c r="AJ804" s="412"/>
      <c r="AK804" s="412"/>
      <c r="AL804" s="412"/>
      <c r="AM804" s="412"/>
    </row>
    <row r="805" spans="1:39" ht="12.75">
      <c r="A805" s="412"/>
      <c r="B805" s="413"/>
      <c r="C805" s="412"/>
      <c r="D805" s="486"/>
      <c r="E805" s="412"/>
      <c r="F805" s="412"/>
      <c r="G805" s="412"/>
      <c r="H805" s="412"/>
      <c r="I805" s="412"/>
      <c r="J805" s="412"/>
      <c r="K805" s="412"/>
      <c r="L805" s="412"/>
      <c r="M805" s="412"/>
      <c r="N805" s="412"/>
      <c r="O805" s="412"/>
      <c r="P805" s="487"/>
      <c r="Q805" s="412"/>
      <c r="R805" s="412"/>
      <c r="S805" s="412"/>
      <c r="T805" s="488"/>
      <c r="U805" s="412"/>
      <c r="V805" s="412"/>
      <c r="W805" s="412"/>
      <c r="X805" s="412"/>
      <c r="Y805" s="412"/>
      <c r="Z805" s="412"/>
      <c r="AA805" s="412"/>
      <c r="AB805" s="412"/>
      <c r="AC805" s="412"/>
      <c r="AD805" s="412"/>
      <c r="AE805" s="412"/>
      <c r="AF805" s="412"/>
      <c r="AG805" s="412"/>
      <c r="AH805" s="419">
        <f t="shared" si="629"/>
        <v>0</v>
      </c>
      <c r="AI805" s="412"/>
      <c r="AJ805" s="412"/>
      <c r="AK805" s="412"/>
      <c r="AL805" s="412"/>
      <c r="AM805" s="412"/>
    </row>
    <row r="806" spans="1:39" ht="12.75">
      <c r="A806" s="412"/>
      <c r="B806" s="413"/>
      <c r="C806" s="412"/>
      <c r="D806" s="486"/>
      <c r="E806" s="412"/>
      <c r="F806" s="412"/>
      <c r="G806" s="412"/>
      <c r="H806" s="412"/>
      <c r="I806" s="412"/>
      <c r="J806" s="412"/>
      <c r="K806" s="412"/>
      <c r="L806" s="412"/>
      <c r="M806" s="412"/>
      <c r="N806" s="412"/>
      <c r="O806" s="412"/>
      <c r="P806" s="487"/>
      <c r="Q806" s="412"/>
      <c r="R806" s="412"/>
      <c r="S806" s="412"/>
      <c r="T806" s="488"/>
      <c r="U806" s="412"/>
      <c r="V806" s="412"/>
      <c r="W806" s="412"/>
      <c r="X806" s="412"/>
      <c r="Y806" s="412"/>
      <c r="Z806" s="412"/>
      <c r="AA806" s="412"/>
      <c r="AB806" s="412"/>
      <c r="AC806" s="412"/>
      <c r="AD806" s="412"/>
      <c r="AE806" s="412"/>
      <c r="AF806" s="412"/>
      <c r="AG806" s="412"/>
      <c r="AH806" s="419">
        <f t="shared" si="629"/>
        <v>0</v>
      </c>
      <c r="AI806" s="412"/>
      <c r="AJ806" s="412"/>
      <c r="AK806" s="412"/>
      <c r="AL806" s="412"/>
      <c r="AM806" s="412"/>
    </row>
    <row r="807" spans="1:39" ht="12.75">
      <c r="A807" s="412"/>
      <c r="B807" s="413"/>
      <c r="C807" s="412"/>
      <c r="D807" s="486"/>
      <c r="E807" s="412"/>
      <c r="F807" s="412"/>
      <c r="G807" s="412"/>
      <c r="H807" s="412"/>
      <c r="I807" s="412"/>
      <c r="J807" s="412"/>
      <c r="K807" s="412"/>
      <c r="L807" s="412"/>
      <c r="M807" s="412"/>
      <c r="N807" s="412"/>
      <c r="O807" s="412"/>
      <c r="P807" s="487"/>
      <c r="Q807" s="412"/>
      <c r="R807" s="412"/>
      <c r="S807" s="412"/>
      <c r="T807" s="488"/>
      <c r="U807" s="412"/>
      <c r="V807" s="412"/>
      <c r="W807" s="412"/>
      <c r="X807" s="412"/>
      <c r="Y807" s="412"/>
      <c r="Z807" s="412"/>
      <c r="AA807" s="412"/>
      <c r="AB807" s="412"/>
      <c r="AC807" s="412"/>
      <c r="AD807" s="412"/>
      <c r="AE807" s="412"/>
      <c r="AF807" s="412"/>
      <c r="AG807" s="412"/>
      <c r="AH807" s="419">
        <f t="shared" si="629"/>
        <v>0</v>
      </c>
      <c r="AI807" s="412"/>
      <c r="AJ807" s="412"/>
      <c r="AK807" s="412"/>
      <c r="AL807" s="412"/>
      <c r="AM807" s="412"/>
    </row>
    <row r="808" spans="1:39" ht="12.75">
      <c r="A808" s="412"/>
      <c r="B808" s="413"/>
      <c r="C808" s="412"/>
      <c r="D808" s="486"/>
      <c r="E808" s="412"/>
      <c r="F808" s="412"/>
      <c r="G808" s="412"/>
      <c r="H808" s="412"/>
      <c r="I808" s="412"/>
      <c r="J808" s="412"/>
      <c r="K808" s="412"/>
      <c r="L808" s="412"/>
      <c r="M808" s="412"/>
      <c r="N808" s="412"/>
      <c r="O808" s="412"/>
      <c r="P808" s="487"/>
      <c r="Q808" s="412"/>
      <c r="R808" s="412"/>
      <c r="S808" s="412"/>
      <c r="T808" s="488"/>
      <c r="U808" s="412"/>
      <c r="V808" s="412"/>
      <c r="W808" s="412"/>
      <c r="X808" s="412"/>
      <c r="Y808" s="412"/>
      <c r="Z808" s="412"/>
      <c r="AA808" s="412"/>
      <c r="AB808" s="412"/>
      <c r="AC808" s="412"/>
      <c r="AD808" s="412"/>
      <c r="AE808" s="412"/>
      <c r="AF808" s="412"/>
      <c r="AG808" s="412"/>
      <c r="AH808" s="419">
        <f t="shared" si="629"/>
        <v>0</v>
      </c>
      <c r="AI808" s="412"/>
      <c r="AJ808" s="412"/>
      <c r="AK808" s="412"/>
      <c r="AL808" s="412"/>
      <c r="AM808" s="412"/>
    </row>
    <row r="809" spans="1:39" ht="12.75">
      <c r="A809" s="412"/>
      <c r="B809" s="413"/>
      <c r="C809" s="412"/>
      <c r="D809" s="486"/>
      <c r="E809" s="412"/>
      <c r="F809" s="412"/>
      <c r="G809" s="412"/>
      <c r="H809" s="412"/>
      <c r="I809" s="412"/>
      <c r="J809" s="412"/>
      <c r="K809" s="412"/>
      <c r="L809" s="412"/>
      <c r="M809" s="412"/>
      <c r="N809" s="412"/>
      <c r="O809" s="412"/>
      <c r="P809" s="487"/>
      <c r="Q809" s="412"/>
      <c r="R809" s="412"/>
      <c r="S809" s="412"/>
      <c r="T809" s="488"/>
      <c r="U809" s="412"/>
      <c r="V809" s="412"/>
      <c r="W809" s="412"/>
      <c r="X809" s="412"/>
      <c r="Y809" s="412"/>
      <c r="Z809" s="412"/>
      <c r="AA809" s="412"/>
      <c r="AB809" s="412"/>
      <c r="AC809" s="412"/>
      <c r="AD809" s="412"/>
      <c r="AE809" s="412"/>
      <c r="AF809" s="412"/>
      <c r="AG809" s="412"/>
      <c r="AH809" s="419">
        <f t="shared" si="629"/>
        <v>0</v>
      </c>
      <c r="AI809" s="412"/>
      <c r="AJ809" s="412"/>
      <c r="AK809" s="412"/>
      <c r="AL809" s="412"/>
      <c r="AM809" s="412"/>
    </row>
    <row r="810" spans="1:39" ht="12.75">
      <c r="A810" s="412"/>
      <c r="B810" s="413"/>
      <c r="C810" s="412"/>
      <c r="D810" s="486"/>
      <c r="E810" s="412"/>
      <c r="F810" s="412"/>
      <c r="G810" s="412"/>
      <c r="H810" s="412"/>
      <c r="I810" s="412"/>
      <c r="J810" s="412"/>
      <c r="K810" s="412"/>
      <c r="L810" s="412"/>
      <c r="M810" s="412"/>
      <c r="N810" s="412"/>
      <c r="O810" s="412"/>
      <c r="P810" s="487"/>
      <c r="Q810" s="412"/>
      <c r="R810" s="412"/>
      <c r="S810" s="412"/>
      <c r="T810" s="488"/>
      <c r="U810" s="412"/>
      <c r="V810" s="412"/>
      <c r="W810" s="412"/>
      <c r="X810" s="412"/>
      <c r="Y810" s="412"/>
      <c r="Z810" s="412"/>
      <c r="AA810" s="412"/>
      <c r="AB810" s="412"/>
      <c r="AC810" s="412"/>
      <c r="AD810" s="412"/>
      <c r="AE810" s="412"/>
      <c r="AF810" s="412"/>
      <c r="AG810" s="412"/>
      <c r="AH810" s="419">
        <f t="shared" si="629"/>
        <v>0</v>
      </c>
      <c r="AI810" s="412"/>
      <c r="AJ810" s="412"/>
      <c r="AK810" s="412"/>
      <c r="AL810" s="412"/>
      <c r="AM810" s="412"/>
    </row>
    <row r="811" spans="1:39" ht="12.75">
      <c r="A811" s="412"/>
      <c r="B811" s="413"/>
      <c r="C811" s="412"/>
      <c r="D811" s="486"/>
      <c r="E811" s="412"/>
      <c r="F811" s="412"/>
      <c r="G811" s="412"/>
      <c r="H811" s="412"/>
      <c r="I811" s="412"/>
      <c r="J811" s="412"/>
      <c r="K811" s="412"/>
      <c r="L811" s="412"/>
      <c r="M811" s="412"/>
      <c r="N811" s="412"/>
      <c r="O811" s="412"/>
      <c r="P811" s="487"/>
      <c r="Q811" s="412"/>
      <c r="R811" s="412"/>
      <c r="S811" s="412"/>
      <c r="T811" s="488"/>
      <c r="U811" s="412"/>
      <c r="V811" s="412"/>
      <c r="W811" s="412"/>
      <c r="X811" s="412"/>
      <c r="Y811" s="412"/>
      <c r="Z811" s="412"/>
      <c r="AA811" s="412"/>
      <c r="AB811" s="412"/>
      <c r="AC811" s="412"/>
      <c r="AD811" s="412"/>
      <c r="AE811" s="412"/>
      <c r="AF811" s="412"/>
      <c r="AG811" s="412"/>
      <c r="AH811" s="419">
        <f t="shared" si="629"/>
        <v>0</v>
      </c>
      <c r="AI811" s="412"/>
      <c r="AJ811" s="412"/>
      <c r="AK811" s="412"/>
      <c r="AL811" s="412"/>
      <c r="AM811" s="412"/>
    </row>
    <row r="812" spans="1:39" ht="12.75">
      <c r="A812" s="412"/>
      <c r="B812" s="413"/>
      <c r="C812" s="412"/>
      <c r="D812" s="486"/>
      <c r="E812" s="412"/>
      <c r="F812" s="412"/>
      <c r="G812" s="412"/>
      <c r="H812" s="412"/>
      <c r="I812" s="412"/>
      <c r="J812" s="412"/>
      <c r="K812" s="412"/>
      <c r="L812" s="412"/>
      <c r="M812" s="412"/>
      <c r="N812" s="412"/>
      <c r="O812" s="412"/>
      <c r="P812" s="487"/>
      <c r="Q812" s="412"/>
      <c r="R812" s="412"/>
      <c r="S812" s="412"/>
      <c r="T812" s="488"/>
      <c r="U812" s="412"/>
      <c r="V812" s="412"/>
      <c r="W812" s="412"/>
      <c r="X812" s="412"/>
      <c r="Y812" s="412"/>
      <c r="Z812" s="412"/>
      <c r="AA812" s="412"/>
      <c r="AB812" s="412"/>
      <c r="AC812" s="412"/>
      <c r="AD812" s="412"/>
      <c r="AE812" s="412"/>
      <c r="AF812" s="412"/>
      <c r="AG812" s="412"/>
      <c r="AH812" s="419">
        <f t="shared" si="629"/>
        <v>0</v>
      </c>
      <c r="AI812" s="412"/>
      <c r="AJ812" s="412"/>
      <c r="AK812" s="412"/>
      <c r="AL812" s="412"/>
      <c r="AM812" s="412"/>
    </row>
    <row r="813" spans="1:39" ht="12.75">
      <c r="A813" s="412"/>
      <c r="B813" s="413"/>
      <c r="C813" s="412"/>
      <c r="D813" s="486"/>
      <c r="E813" s="412"/>
      <c r="F813" s="412"/>
      <c r="G813" s="412"/>
      <c r="H813" s="412"/>
      <c r="I813" s="412"/>
      <c r="J813" s="412"/>
      <c r="K813" s="412"/>
      <c r="L813" s="412"/>
      <c r="M813" s="412"/>
      <c r="N813" s="412"/>
      <c r="O813" s="412"/>
      <c r="P813" s="487"/>
      <c r="Q813" s="412"/>
      <c r="R813" s="412"/>
      <c r="S813" s="412"/>
      <c r="T813" s="488"/>
      <c r="U813" s="412"/>
      <c r="V813" s="412"/>
      <c r="W813" s="412"/>
      <c r="X813" s="412"/>
      <c r="Y813" s="412"/>
      <c r="Z813" s="412"/>
      <c r="AA813" s="412"/>
      <c r="AB813" s="412"/>
      <c r="AC813" s="412"/>
      <c r="AD813" s="412"/>
      <c r="AE813" s="412"/>
      <c r="AF813" s="412"/>
      <c r="AG813" s="412"/>
      <c r="AH813" s="419">
        <f t="shared" si="629"/>
        <v>0</v>
      </c>
      <c r="AI813" s="412"/>
      <c r="AJ813" s="412"/>
      <c r="AK813" s="412"/>
      <c r="AL813" s="412"/>
      <c r="AM813" s="412"/>
    </row>
    <row r="814" spans="1:39" ht="12.75">
      <c r="A814" s="412"/>
      <c r="B814" s="413"/>
      <c r="C814" s="412"/>
      <c r="D814" s="486"/>
      <c r="E814" s="412"/>
      <c r="F814" s="412"/>
      <c r="G814" s="412"/>
      <c r="H814" s="412"/>
      <c r="I814" s="412"/>
      <c r="J814" s="412"/>
      <c r="K814" s="412"/>
      <c r="L814" s="412"/>
      <c r="M814" s="412"/>
      <c r="N814" s="412"/>
      <c r="O814" s="412"/>
      <c r="P814" s="487"/>
      <c r="Q814" s="412"/>
      <c r="R814" s="412"/>
      <c r="S814" s="412"/>
      <c r="T814" s="488"/>
      <c r="U814" s="412"/>
      <c r="V814" s="412"/>
      <c r="W814" s="412"/>
      <c r="X814" s="412"/>
      <c r="Y814" s="412"/>
      <c r="Z814" s="412"/>
      <c r="AA814" s="412"/>
      <c r="AB814" s="412"/>
      <c r="AC814" s="412"/>
      <c r="AD814" s="412"/>
      <c r="AE814" s="412"/>
      <c r="AF814" s="412"/>
      <c r="AG814" s="412"/>
      <c r="AH814" s="419">
        <f t="shared" si="629"/>
        <v>0</v>
      </c>
      <c r="AI814" s="412"/>
      <c r="AJ814" s="412"/>
      <c r="AK814" s="412"/>
      <c r="AL814" s="412"/>
      <c r="AM814" s="412"/>
    </row>
    <row r="815" spans="1:39" ht="12.75">
      <c r="A815" s="412"/>
      <c r="B815" s="413"/>
      <c r="C815" s="412"/>
      <c r="D815" s="486"/>
      <c r="E815" s="412"/>
      <c r="F815" s="412"/>
      <c r="G815" s="412"/>
      <c r="H815" s="412"/>
      <c r="I815" s="412"/>
      <c r="J815" s="412"/>
      <c r="K815" s="412"/>
      <c r="L815" s="412"/>
      <c r="M815" s="412"/>
      <c r="N815" s="412"/>
      <c r="O815" s="412"/>
      <c r="P815" s="487"/>
      <c r="Q815" s="412"/>
      <c r="R815" s="412"/>
      <c r="S815" s="412"/>
      <c r="T815" s="488"/>
      <c r="U815" s="412"/>
      <c r="V815" s="412"/>
      <c r="W815" s="412"/>
      <c r="X815" s="412"/>
      <c r="Y815" s="412"/>
      <c r="Z815" s="412"/>
      <c r="AA815" s="412"/>
      <c r="AB815" s="412"/>
      <c r="AC815" s="412"/>
      <c r="AD815" s="412"/>
      <c r="AE815" s="412"/>
      <c r="AF815" s="412"/>
      <c r="AG815" s="412"/>
      <c r="AH815" s="419">
        <f t="shared" si="629"/>
        <v>0</v>
      </c>
      <c r="AI815" s="412"/>
      <c r="AJ815" s="412"/>
      <c r="AK815" s="412"/>
      <c r="AL815" s="412"/>
      <c r="AM815" s="412"/>
    </row>
    <row r="816" spans="1:39" ht="12.75">
      <c r="A816" s="412"/>
      <c r="B816" s="413"/>
      <c r="C816" s="412"/>
      <c r="D816" s="486"/>
      <c r="E816" s="412"/>
      <c r="F816" s="412"/>
      <c r="G816" s="412"/>
      <c r="H816" s="412"/>
      <c r="I816" s="412"/>
      <c r="J816" s="412"/>
      <c r="K816" s="412"/>
      <c r="L816" s="412"/>
      <c r="M816" s="412"/>
      <c r="N816" s="412"/>
      <c r="O816" s="412"/>
      <c r="P816" s="487"/>
      <c r="Q816" s="412"/>
      <c r="R816" s="412"/>
      <c r="S816" s="412"/>
      <c r="T816" s="488"/>
      <c r="U816" s="412"/>
      <c r="V816" s="412"/>
      <c r="W816" s="412"/>
      <c r="X816" s="412"/>
      <c r="Y816" s="412"/>
      <c r="Z816" s="412"/>
      <c r="AA816" s="412"/>
      <c r="AB816" s="412"/>
      <c r="AC816" s="412"/>
      <c r="AD816" s="412"/>
      <c r="AE816" s="412"/>
      <c r="AF816" s="412"/>
      <c r="AG816" s="412"/>
      <c r="AH816" s="419">
        <f t="shared" si="629"/>
        <v>0</v>
      </c>
      <c r="AI816" s="412"/>
      <c r="AJ816" s="412"/>
      <c r="AK816" s="412"/>
      <c r="AL816" s="412"/>
      <c r="AM816" s="412"/>
    </row>
    <row r="817" spans="1:39" ht="12.75">
      <c r="A817" s="412"/>
      <c r="B817" s="413"/>
      <c r="C817" s="412"/>
      <c r="D817" s="486"/>
      <c r="E817" s="412"/>
      <c r="F817" s="412"/>
      <c r="G817" s="412"/>
      <c r="H817" s="412"/>
      <c r="I817" s="412"/>
      <c r="J817" s="412"/>
      <c r="K817" s="412"/>
      <c r="L817" s="412"/>
      <c r="M817" s="412"/>
      <c r="N817" s="412"/>
      <c r="O817" s="412"/>
      <c r="P817" s="487"/>
      <c r="Q817" s="412"/>
      <c r="R817" s="412"/>
      <c r="S817" s="412"/>
      <c r="T817" s="488"/>
      <c r="U817" s="412"/>
      <c r="V817" s="412"/>
      <c r="W817" s="412"/>
      <c r="X817" s="412"/>
      <c r="Y817" s="412"/>
      <c r="Z817" s="412"/>
      <c r="AA817" s="412"/>
      <c r="AB817" s="412"/>
      <c r="AC817" s="412"/>
      <c r="AD817" s="412"/>
      <c r="AE817" s="412"/>
      <c r="AF817" s="412"/>
      <c r="AG817" s="412"/>
      <c r="AH817" s="419">
        <f t="shared" si="629"/>
        <v>0</v>
      </c>
      <c r="AI817" s="412"/>
      <c r="AJ817" s="412"/>
      <c r="AK817" s="412"/>
      <c r="AL817" s="412"/>
      <c r="AM817" s="412"/>
    </row>
    <row r="818" spans="1:39" ht="12.75">
      <c r="A818" s="412"/>
      <c r="B818" s="413"/>
      <c r="C818" s="412"/>
      <c r="D818" s="486"/>
      <c r="E818" s="412"/>
      <c r="F818" s="412"/>
      <c r="G818" s="412"/>
      <c r="H818" s="412"/>
      <c r="I818" s="412"/>
      <c r="J818" s="412"/>
      <c r="K818" s="412"/>
      <c r="L818" s="412"/>
      <c r="M818" s="412"/>
      <c r="N818" s="412"/>
      <c r="O818" s="412"/>
      <c r="P818" s="487"/>
      <c r="Q818" s="412"/>
      <c r="R818" s="412"/>
      <c r="S818" s="412"/>
      <c r="T818" s="488"/>
      <c r="U818" s="412"/>
      <c r="V818" s="412"/>
      <c r="W818" s="412"/>
      <c r="X818" s="412"/>
      <c r="Y818" s="412"/>
      <c r="Z818" s="412"/>
      <c r="AA818" s="412"/>
      <c r="AB818" s="412"/>
      <c r="AC818" s="412"/>
      <c r="AD818" s="412"/>
      <c r="AE818" s="412"/>
      <c r="AF818" s="412"/>
      <c r="AG818" s="412"/>
      <c r="AH818" s="419">
        <f t="shared" si="629"/>
        <v>0</v>
      </c>
      <c r="AI818" s="412"/>
      <c r="AJ818" s="412"/>
      <c r="AK818" s="412"/>
      <c r="AL818" s="412"/>
      <c r="AM818" s="412"/>
    </row>
    <row r="819" spans="1:39" ht="12.75">
      <c r="A819" s="412"/>
      <c r="B819" s="413"/>
      <c r="C819" s="412"/>
      <c r="D819" s="486"/>
      <c r="E819" s="412"/>
      <c r="F819" s="412"/>
      <c r="G819" s="412"/>
      <c r="H819" s="412"/>
      <c r="I819" s="412"/>
      <c r="J819" s="412"/>
      <c r="K819" s="412"/>
      <c r="L819" s="412"/>
      <c r="M819" s="412"/>
      <c r="N819" s="412"/>
      <c r="O819" s="412"/>
      <c r="P819" s="487"/>
      <c r="Q819" s="412"/>
      <c r="R819" s="412"/>
      <c r="S819" s="412"/>
      <c r="T819" s="488"/>
      <c r="U819" s="412"/>
      <c r="V819" s="412"/>
      <c r="W819" s="412"/>
      <c r="X819" s="412"/>
      <c r="Y819" s="412"/>
      <c r="Z819" s="412"/>
      <c r="AA819" s="412"/>
      <c r="AB819" s="412"/>
      <c r="AC819" s="412"/>
      <c r="AD819" s="412"/>
      <c r="AE819" s="412"/>
      <c r="AF819" s="412"/>
      <c r="AG819" s="412"/>
      <c r="AH819" s="419">
        <f t="shared" si="629"/>
        <v>0</v>
      </c>
      <c r="AI819" s="412"/>
      <c r="AJ819" s="412"/>
      <c r="AK819" s="412"/>
      <c r="AL819" s="412"/>
      <c r="AM819" s="412"/>
    </row>
    <row r="820" spans="1:39" ht="12.75">
      <c r="A820" s="412"/>
      <c r="B820" s="413"/>
      <c r="C820" s="412"/>
      <c r="D820" s="486"/>
      <c r="E820" s="412"/>
      <c r="F820" s="412"/>
      <c r="G820" s="412"/>
      <c r="H820" s="412"/>
      <c r="I820" s="412"/>
      <c r="J820" s="412"/>
      <c r="K820" s="412"/>
      <c r="L820" s="412"/>
      <c r="M820" s="412"/>
      <c r="N820" s="412"/>
      <c r="O820" s="412"/>
      <c r="P820" s="487"/>
      <c r="Q820" s="412"/>
      <c r="R820" s="412"/>
      <c r="S820" s="412"/>
      <c r="T820" s="488"/>
      <c r="U820" s="412"/>
      <c r="V820" s="412"/>
      <c r="W820" s="412"/>
      <c r="X820" s="412"/>
      <c r="Y820" s="412"/>
      <c r="Z820" s="412"/>
      <c r="AA820" s="412"/>
      <c r="AB820" s="412"/>
      <c r="AC820" s="412"/>
      <c r="AD820" s="412"/>
      <c r="AE820" s="412"/>
      <c r="AF820" s="412"/>
      <c r="AG820" s="412"/>
      <c r="AH820" s="419">
        <f t="shared" si="629"/>
        <v>0</v>
      </c>
      <c r="AI820" s="412"/>
      <c r="AJ820" s="412"/>
      <c r="AK820" s="412"/>
      <c r="AL820" s="412"/>
      <c r="AM820" s="412"/>
    </row>
    <row r="821" spans="1:39" ht="12.75">
      <c r="A821" s="412"/>
      <c r="B821" s="413"/>
      <c r="C821" s="412"/>
      <c r="D821" s="486"/>
      <c r="E821" s="412"/>
      <c r="F821" s="412"/>
      <c r="G821" s="412"/>
      <c r="H821" s="412"/>
      <c r="I821" s="412"/>
      <c r="J821" s="412"/>
      <c r="K821" s="412"/>
      <c r="L821" s="412"/>
      <c r="M821" s="412"/>
      <c r="N821" s="412"/>
      <c r="O821" s="412"/>
      <c r="P821" s="487"/>
      <c r="Q821" s="412"/>
      <c r="R821" s="412"/>
      <c r="S821" s="412"/>
      <c r="T821" s="488"/>
      <c r="U821" s="412"/>
      <c r="V821" s="412"/>
      <c r="W821" s="412"/>
      <c r="X821" s="412"/>
      <c r="Y821" s="412"/>
      <c r="Z821" s="412"/>
      <c r="AA821" s="412"/>
      <c r="AB821" s="412"/>
      <c r="AC821" s="412"/>
      <c r="AD821" s="412"/>
      <c r="AE821" s="412"/>
      <c r="AF821" s="412"/>
      <c r="AG821" s="412"/>
      <c r="AH821" s="419">
        <f t="shared" si="629"/>
        <v>0</v>
      </c>
      <c r="AI821" s="412"/>
      <c r="AJ821" s="412"/>
      <c r="AK821" s="412"/>
      <c r="AL821" s="412"/>
      <c r="AM821" s="412"/>
    </row>
    <row r="822" spans="1:39" ht="12.75">
      <c r="A822" s="412"/>
      <c r="B822" s="413"/>
      <c r="C822" s="412"/>
      <c r="D822" s="486"/>
      <c r="E822" s="412"/>
      <c r="F822" s="412"/>
      <c r="G822" s="412"/>
      <c r="H822" s="412"/>
      <c r="I822" s="412"/>
      <c r="J822" s="412"/>
      <c r="K822" s="412"/>
      <c r="L822" s="412"/>
      <c r="M822" s="412"/>
      <c r="N822" s="412"/>
      <c r="O822" s="412"/>
      <c r="P822" s="487"/>
      <c r="Q822" s="412"/>
      <c r="R822" s="412"/>
      <c r="S822" s="412"/>
      <c r="T822" s="488"/>
      <c r="U822" s="412"/>
      <c r="V822" s="412"/>
      <c r="W822" s="412"/>
      <c r="X822" s="412"/>
      <c r="Y822" s="412"/>
      <c r="Z822" s="412"/>
      <c r="AA822" s="412"/>
      <c r="AB822" s="412"/>
      <c r="AC822" s="412"/>
      <c r="AD822" s="412"/>
      <c r="AE822" s="412"/>
      <c r="AF822" s="412"/>
      <c r="AG822" s="412"/>
      <c r="AH822" s="419">
        <f t="shared" si="629"/>
        <v>0</v>
      </c>
      <c r="AI822" s="412"/>
      <c r="AJ822" s="412"/>
      <c r="AK822" s="412"/>
      <c r="AL822" s="412"/>
      <c r="AM822" s="412"/>
    </row>
    <row r="823" spans="1:39" ht="12.75">
      <c r="A823" s="412"/>
      <c r="B823" s="413"/>
      <c r="C823" s="412"/>
      <c r="D823" s="486"/>
      <c r="E823" s="412"/>
      <c r="F823" s="412"/>
      <c r="G823" s="412"/>
      <c r="H823" s="412"/>
      <c r="I823" s="412"/>
      <c r="J823" s="412"/>
      <c r="K823" s="412"/>
      <c r="L823" s="412"/>
      <c r="M823" s="412"/>
      <c r="N823" s="412"/>
      <c r="O823" s="412"/>
      <c r="P823" s="487"/>
      <c r="Q823" s="412"/>
      <c r="R823" s="412"/>
      <c r="S823" s="412"/>
      <c r="T823" s="488"/>
      <c r="U823" s="412"/>
      <c r="V823" s="412"/>
      <c r="W823" s="412"/>
      <c r="X823" s="412"/>
      <c r="Y823" s="412"/>
      <c r="Z823" s="412"/>
      <c r="AA823" s="412"/>
      <c r="AB823" s="412"/>
      <c r="AC823" s="412"/>
      <c r="AD823" s="412"/>
      <c r="AE823" s="412"/>
      <c r="AF823" s="412"/>
      <c r="AG823" s="412"/>
      <c r="AH823" s="419">
        <f t="shared" si="629"/>
        <v>0</v>
      </c>
      <c r="AI823" s="412"/>
      <c r="AJ823" s="412"/>
      <c r="AK823" s="412"/>
      <c r="AL823" s="412"/>
      <c r="AM823" s="412"/>
    </row>
    <row r="824" spans="1:39" ht="12.75">
      <c r="A824" s="412"/>
      <c r="B824" s="413"/>
      <c r="C824" s="412"/>
      <c r="D824" s="486"/>
      <c r="E824" s="412"/>
      <c r="F824" s="412"/>
      <c r="G824" s="412"/>
      <c r="H824" s="412"/>
      <c r="I824" s="412"/>
      <c r="J824" s="412"/>
      <c r="K824" s="412"/>
      <c r="L824" s="412"/>
      <c r="M824" s="412"/>
      <c r="N824" s="412"/>
      <c r="O824" s="412"/>
      <c r="P824" s="487"/>
      <c r="Q824" s="412"/>
      <c r="R824" s="412"/>
      <c r="S824" s="412"/>
      <c r="T824" s="488"/>
      <c r="U824" s="412"/>
      <c r="V824" s="412"/>
      <c r="W824" s="412"/>
      <c r="X824" s="412"/>
      <c r="Y824" s="412"/>
      <c r="Z824" s="412"/>
      <c r="AA824" s="412"/>
      <c r="AB824" s="412"/>
      <c r="AC824" s="412"/>
      <c r="AD824" s="412"/>
      <c r="AE824" s="412"/>
      <c r="AF824" s="412"/>
      <c r="AG824" s="412"/>
      <c r="AH824" s="419">
        <f t="shared" si="629"/>
        <v>0</v>
      </c>
      <c r="AI824" s="412"/>
      <c r="AJ824" s="412"/>
      <c r="AK824" s="412"/>
      <c r="AL824" s="412"/>
      <c r="AM824" s="412"/>
    </row>
    <row r="825" spans="1:39" ht="12.75">
      <c r="A825" s="412"/>
      <c r="B825" s="413"/>
      <c r="C825" s="412"/>
      <c r="D825" s="486"/>
      <c r="E825" s="412"/>
      <c r="F825" s="412"/>
      <c r="G825" s="412"/>
      <c r="H825" s="412"/>
      <c r="I825" s="412"/>
      <c r="J825" s="412"/>
      <c r="K825" s="412"/>
      <c r="L825" s="412"/>
      <c r="M825" s="412"/>
      <c r="N825" s="412"/>
      <c r="O825" s="412"/>
      <c r="P825" s="487"/>
      <c r="Q825" s="412"/>
      <c r="R825" s="412"/>
      <c r="S825" s="412"/>
      <c r="T825" s="488"/>
      <c r="U825" s="412"/>
      <c r="V825" s="412"/>
      <c r="W825" s="412"/>
      <c r="X825" s="412"/>
      <c r="Y825" s="412"/>
      <c r="Z825" s="412"/>
      <c r="AA825" s="412"/>
      <c r="AB825" s="412"/>
      <c r="AC825" s="412"/>
      <c r="AD825" s="412"/>
      <c r="AE825" s="412"/>
      <c r="AF825" s="412"/>
      <c r="AG825" s="412"/>
      <c r="AH825" s="419">
        <f t="shared" si="629"/>
        <v>0</v>
      </c>
      <c r="AI825" s="412"/>
      <c r="AJ825" s="412"/>
      <c r="AK825" s="412"/>
      <c r="AL825" s="412"/>
      <c r="AM825" s="412"/>
    </row>
    <row r="826" spans="1:39" ht="12.75">
      <c r="A826" s="412"/>
      <c r="B826" s="413"/>
      <c r="C826" s="412"/>
      <c r="D826" s="486"/>
      <c r="E826" s="412"/>
      <c r="F826" s="412"/>
      <c r="G826" s="412"/>
      <c r="H826" s="412"/>
      <c r="I826" s="412"/>
      <c r="J826" s="412"/>
      <c r="K826" s="412"/>
      <c r="L826" s="412"/>
      <c r="M826" s="412"/>
      <c r="N826" s="412"/>
      <c r="O826" s="412"/>
      <c r="P826" s="487"/>
      <c r="Q826" s="412"/>
      <c r="R826" s="412"/>
      <c r="S826" s="412"/>
      <c r="T826" s="488"/>
      <c r="U826" s="412"/>
      <c r="V826" s="412"/>
      <c r="W826" s="412"/>
      <c r="X826" s="412"/>
      <c r="Y826" s="412"/>
      <c r="Z826" s="412"/>
      <c r="AA826" s="412"/>
      <c r="AB826" s="412"/>
      <c r="AC826" s="412"/>
      <c r="AD826" s="412"/>
      <c r="AE826" s="412"/>
      <c r="AF826" s="412"/>
      <c r="AG826" s="412"/>
      <c r="AH826" s="419">
        <f t="shared" si="629"/>
        <v>0</v>
      </c>
      <c r="AI826" s="412"/>
      <c r="AJ826" s="412"/>
      <c r="AK826" s="412"/>
      <c r="AL826" s="412"/>
      <c r="AM826" s="412"/>
    </row>
    <row r="827" spans="1:39" ht="12.75">
      <c r="A827" s="412"/>
      <c r="B827" s="413"/>
      <c r="C827" s="412"/>
      <c r="D827" s="486"/>
      <c r="E827" s="412"/>
      <c r="F827" s="412"/>
      <c r="G827" s="412"/>
      <c r="H827" s="412"/>
      <c r="I827" s="412"/>
      <c r="J827" s="412"/>
      <c r="K827" s="412"/>
      <c r="L827" s="412"/>
      <c r="M827" s="412"/>
      <c r="N827" s="412"/>
      <c r="O827" s="412"/>
      <c r="P827" s="487"/>
      <c r="Q827" s="412"/>
      <c r="R827" s="412"/>
      <c r="S827" s="412"/>
      <c r="T827" s="488"/>
      <c r="U827" s="412"/>
      <c r="V827" s="412"/>
      <c r="W827" s="412"/>
      <c r="X827" s="412"/>
      <c r="Y827" s="412"/>
      <c r="Z827" s="412"/>
      <c r="AA827" s="412"/>
      <c r="AB827" s="412"/>
      <c r="AC827" s="412"/>
      <c r="AD827" s="412"/>
      <c r="AE827" s="412"/>
      <c r="AF827" s="412"/>
      <c r="AG827" s="412"/>
      <c r="AH827" s="419">
        <f t="shared" si="629"/>
        <v>0</v>
      </c>
      <c r="AI827" s="412"/>
      <c r="AJ827" s="412"/>
      <c r="AK827" s="412"/>
      <c r="AL827" s="412"/>
      <c r="AM827" s="412"/>
    </row>
    <row r="828" spans="1:39" ht="12.75">
      <c r="A828" s="412"/>
      <c r="B828" s="413"/>
      <c r="C828" s="412"/>
      <c r="D828" s="486"/>
      <c r="E828" s="412"/>
      <c r="F828" s="412"/>
      <c r="G828" s="412"/>
      <c r="H828" s="412"/>
      <c r="I828" s="412"/>
      <c r="J828" s="412"/>
      <c r="K828" s="412"/>
      <c r="L828" s="412"/>
      <c r="M828" s="412"/>
      <c r="N828" s="412"/>
      <c r="O828" s="412"/>
      <c r="P828" s="487"/>
      <c r="Q828" s="412"/>
      <c r="R828" s="412"/>
      <c r="S828" s="412"/>
      <c r="T828" s="488"/>
      <c r="U828" s="412"/>
      <c r="V828" s="412"/>
      <c r="W828" s="412"/>
      <c r="X828" s="412"/>
      <c r="Y828" s="412"/>
      <c r="Z828" s="412"/>
      <c r="AA828" s="412"/>
      <c r="AB828" s="412"/>
      <c r="AC828" s="412"/>
      <c r="AD828" s="412"/>
      <c r="AE828" s="412"/>
      <c r="AF828" s="412"/>
      <c r="AG828" s="412"/>
      <c r="AH828" s="419">
        <f t="shared" si="629"/>
        <v>0</v>
      </c>
      <c r="AI828" s="412"/>
      <c r="AJ828" s="412"/>
      <c r="AK828" s="412"/>
      <c r="AL828" s="412"/>
      <c r="AM828" s="412"/>
    </row>
    <row r="829" spans="1:39" ht="12.75">
      <c r="A829" s="412"/>
      <c r="B829" s="413"/>
      <c r="C829" s="412"/>
      <c r="D829" s="486"/>
      <c r="E829" s="412"/>
      <c r="F829" s="412"/>
      <c r="G829" s="412"/>
      <c r="H829" s="412"/>
      <c r="I829" s="412"/>
      <c r="J829" s="412"/>
      <c r="K829" s="412"/>
      <c r="L829" s="412"/>
      <c r="M829" s="412"/>
      <c r="N829" s="412"/>
      <c r="O829" s="412"/>
      <c r="P829" s="487"/>
      <c r="Q829" s="412"/>
      <c r="R829" s="412"/>
      <c r="S829" s="412"/>
      <c r="T829" s="488"/>
      <c r="U829" s="412"/>
      <c r="V829" s="412"/>
      <c r="W829" s="412"/>
      <c r="X829" s="412"/>
      <c r="Y829" s="412"/>
      <c r="Z829" s="412"/>
      <c r="AA829" s="412"/>
      <c r="AB829" s="412"/>
      <c r="AC829" s="412"/>
      <c r="AD829" s="412"/>
      <c r="AE829" s="412"/>
      <c r="AF829" s="412"/>
      <c r="AG829" s="412"/>
      <c r="AH829" s="419">
        <f t="shared" si="629"/>
        <v>0</v>
      </c>
      <c r="AI829" s="412"/>
      <c r="AJ829" s="412"/>
      <c r="AK829" s="412"/>
      <c r="AL829" s="412"/>
      <c r="AM829" s="412"/>
    </row>
    <row r="830" spans="1:39" ht="12.75">
      <c r="A830" s="412"/>
      <c r="B830" s="413"/>
      <c r="C830" s="412"/>
      <c r="D830" s="486"/>
      <c r="E830" s="412"/>
      <c r="F830" s="412"/>
      <c r="G830" s="412"/>
      <c r="H830" s="412"/>
      <c r="I830" s="412"/>
      <c r="J830" s="412"/>
      <c r="K830" s="412"/>
      <c r="L830" s="412"/>
      <c r="M830" s="412"/>
      <c r="N830" s="412"/>
      <c r="O830" s="412"/>
      <c r="P830" s="487"/>
      <c r="Q830" s="412"/>
      <c r="R830" s="412"/>
      <c r="S830" s="412"/>
      <c r="T830" s="488"/>
      <c r="U830" s="412"/>
      <c r="V830" s="412"/>
      <c r="W830" s="412"/>
      <c r="X830" s="412"/>
      <c r="Y830" s="412"/>
      <c r="Z830" s="412"/>
      <c r="AA830" s="412"/>
      <c r="AB830" s="412"/>
      <c r="AC830" s="412"/>
      <c r="AD830" s="412"/>
      <c r="AE830" s="412"/>
      <c r="AF830" s="412"/>
      <c r="AG830" s="412"/>
      <c r="AH830" s="419">
        <f t="shared" si="629"/>
        <v>0</v>
      </c>
      <c r="AI830" s="412"/>
      <c r="AJ830" s="412"/>
      <c r="AK830" s="412"/>
      <c r="AL830" s="412"/>
      <c r="AM830" s="412"/>
    </row>
    <row r="831" spans="1:39" ht="12.75">
      <c r="A831" s="412"/>
      <c r="B831" s="413"/>
      <c r="C831" s="412"/>
      <c r="D831" s="486"/>
      <c r="E831" s="412"/>
      <c r="F831" s="412"/>
      <c r="G831" s="412"/>
      <c r="H831" s="412"/>
      <c r="I831" s="412"/>
      <c r="J831" s="412"/>
      <c r="K831" s="412"/>
      <c r="L831" s="412"/>
      <c r="M831" s="412"/>
      <c r="N831" s="412"/>
      <c r="O831" s="412"/>
      <c r="P831" s="487"/>
      <c r="Q831" s="412"/>
      <c r="R831" s="412"/>
      <c r="S831" s="412"/>
      <c r="T831" s="488"/>
      <c r="U831" s="412"/>
      <c r="V831" s="412"/>
      <c r="W831" s="412"/>
      <c r="X831" s="412"/>
      <c r="Y831" s="412"/>
      <c r="Z831" s="412"/>
      <c r="AA831" s="412"/>
      <c r="AB831" s="412"/>
      <c r="AC831" s="412"/>
      <c r="AD831" s="412"/>
      <c r="AE831" s="412"/>
      <c r="AF831" s="412"/>
      <c r="AG831" s="412"/>
      <c r="AH831" s="419">
        <f t="shared" si="629"/>
        <v>0</v>
      </c>
      <c r="AI831" s="412"/>
      <c r="AJ831" s="412"/>
      <c r="AK831" s="412"/>
      <c r="AL831" s="412"/>
      <c r="AM831" s="412"/>
    </row>
    <row r="832" spans="1:39" ht="12.75">
      <c r="A832" s="412"/>
      <c r="B832" s="413"/>
      <c r="C832" s="412"/>
      <c r="D832" s="486"/>
      <c r="E832" s="412"/>
      <c r="F832" s="412"/>
      <c r="G832" s="412"/>
      <c r="H832" s="412"/>
      <c r="I832" s="412"/>
      <c r="J832" s="412"/>
      <c r="K832" s="412"/>
      <c r="L832" s="412"/>
      <c r="M832" s="412"/>
      <c r="N832" s="412"/>
      <c r="O832" s="412"/>
      <c r="P832" s="487"/>
      <c r="Q832" s="412"/>
      <c r="R832" s="412"/>
      <c r="S832" s="412"/>
      <c r="T832" s="488"/>
      <c r="U832" s="412"/>
      <c r="V832" s="412"/>
      <c r="W832" s="412"/>
      <c r="X832" s="412"/>
      <c r="Y832" s="412"/>
      <c r="Z832" s="412"/>
      <c r="AA832" s="412"/>
      <c r="AB832" s="412"/>
      <c r="AC832" s="412"/>
      <c r="AD832" s="412"/>
      <c r="AE832" s="412"/>
      <c r="AF832" s="412"/>
      <c r="AG832" s="412"/>
      <c r="AH832" s="419">
        <f t="shared" si="629"/>
        <v>0</v>
      </c>
      <c r="AI832" s="412"/>
      <c r="AJ832" s="412"/>
      <c r="AK832" s="412"/>
      <c r="AL832" s="412"/>
      <c r="AM832" s="412"/>
    </row>
    <row r="833" spans="1:39" ht="12.75">
      <c r="A833" s="412"/>
      <c r="B833" s="413"/>
      <c r="C833" s="412"/>
      <c r="D833" s="486"/>
      <c r="E833" s="412"/>
      <c r="F833" s="412"/>
      <c r="G833" s="412"/>
      <c r="H833" s="412"/>
      <c r="I833" s="412"/>
      <c r="J833" s="412"/>
      <c r="K833" s="412"/>
      <c r="L833" s="412"/>
      <c r="M833" s="412"/>
      <c r="N833" s="412"/>
      <c r="O833" s="412"/>
      <c r="P833" s="487"/>
      <c r="Q833" s="412"/>
      <c r="R833" s="412"/>
      <c r="S833" s="412"/>
      <c r="T833" s="488"/>
      <c r="U833" s="412"/>
      <c r="V833" s="412"/>
      <c r="W833" s="412"/>
      <c r="X833" s="412"/>
      <c r="Y833" s="412"/>
      <c r="Z833" s="412"/>
      <c r="AA833" s="412"/>
      <c r="AB833" s="412"/>
      <c r="AC833" s="412"/>
      <c r="AD833" s="412"/>
      <c r="AE833" s="412"/>
      <c r="AF833" s="412"/>
      <c r="AG833" s="412"/>
      <c r="AH833" s="419">
        <f t="shared" si="629"/>
        <v>0</v>
      </c>
      <c r="AI833" s="412"/>
      <c r="AJ833" s="412"/>
      <c r="AK833" s="412"/>
      <c r="AL833" s="412"/>
      <c r="AM833" s="412"/>
    </row>
    <row r="834" spans="1:39" ht="12.75">
      <c r="A834" s="412"/>
      <c r="B834" s="413"/>
      <c r="C834" s="412"/>
      <c r="D834" s="486"/>
      <c r="E834" s="412"/>
      <c r="F834" s="412"/>
      <c r="G834" s="412"/>
      <c r="H834" s="412"/>
      <c r="I834" s="412"/>
      <c r="J834" s="412"/>
      <c r="K834" s="412"/>
      <c r="L834" s="412"/>
      <c r="M834" s="412"/>
      <c r="N834" s="412"/>
      <c r="O834" s="412"/>
      <c r="P834" s="487"/>
      <c r="Q834" s="412"/>
      <c r="R834" s="412"/>
      <c r="S834" s="412"/>
      <c r="T834" s="488"/>
      <c r="U834" s="412"/>
      <c r="V834" s="412"/>
      <c r="W834" s="412"/>
      <c r="X834" s="412"/>
      <c r="Y834" s="412"/>
      <c r="Z834" s="412"/>
      <c r="AA834" s="412"/>
      <c r="AB834" s="412"/>
      <c r="AC834" s="412"/>
      <c r="AD834" s="412"/>
      <c r="AE834" s="412"/>
      <c r="AF834" s="412"/>
      <c r="AG834" s="412"/>
      <c r="AH834" s="419">
        <f t="shared" ref="AH834:AH897" si="630">AG834-F834</f>
        <v>0</v>
      </c>
      <c r="AI834" s="412"/>
      <c r="AJ834" s="412"/>
      <c r="AK834" s="412"/>
      <c r="AL834" s="412"/>
      <c r="AM834" s="412"/>
    </row>
    <row r="835" spans="1:39" ht="12.75">
      <c r="A835" s="412"/>
      <c r="B835" s="413"/>
      <c r="C835" s="412"/>
      <c r="D835" s="486"/>
      <c r="E835" s="412"/>
      <c r="F835" s="412"/>
      <c r="G835" s="412"/>
      <c r="H835" s="412"/>
      <c r="I835" s="412"/>
      <c r="J835" s="412"/>
      <c r="K835" s="412"/>
      <c r="L835" s="412"/>
      <c r="M835" s="412"/>
      <c r="N835" s="412"/>
      <c r="O835" s="412"/>
      <c r="P835" s="487"/>
      <c r="Q835" s="412"/>
      <c r="R835" s="412"/>
      <c r="S835" s="412"/>
      <c r="T835" s="488"/>
      <c r="U835" s="412"/>
      <c r="V835" s="412"/>
      <c r="W835" s="412"/>
      <c r="X835" s="412"/>
      <c r="Y835" s="412"/>
      <c r="Z835" s="412"/>
      <c r="AA835" s="412"/>
      <c r="AB835" s="412"/>
      <c r="AC835" s="412"/>
      <c r="AD835" s="412"/>
      <c r="AE835" s="412"/>
      <c r="AF835" s="412"/>
      <c r="AG835" s="412"/>
      <c r="AH835" s="419">
        <f t="shared" si="630"/>
        <v>0</v>
      </c>
      <c r="AI835" s="412"/>
      <c r="AJ835" s="412"/>
      <c r="AK835" s="412"/>
      <c r="AL835" s="412"/>
      <c r="AM835" s="412"/>
    </row>
    <row r="836" spans="1:39" ht="12.75">
      <c r="A836" s="412"/>
      <c r="B836" s="413"/>
      <c r="C836" s="412"/>
      <c r="D836" s="486"/>
      <c r="E836" s="412"/>
      <c r="F836" s="412"/>
      <c r="G836" s="412"/>
      <c r="H836" s="412"/>
      <c r="I836" s="412"/>
      <c r="J836" s="412"/>
      <c r="K836" s="412"/>
      <c r="L836" s="412"/>
      <c r="M836" s="412"/>
      <c r="N836" s="412"/>
      <c r="O836" s="412"/>
      <c r="P836" s="487"/>
      <c r="Q836" s="412"/>
      <c r="R836" s="412"/>
      <c r="S836" s="412"/>
      <c r="T836" s="488"/>
      <c r="U836" s="412"/>
      <c r="V836" s="412"/>
      <c r="W836" s="412"/>
      <c r="X836" s="412"/>
      <c r="Y836" s="412"/>
      <c r="Z836" s="412"/>
      <c r="AA836" s="412"/>
      <c r="AB836" s="412"/>
      <c r="AC836" s="412"/>
      <c r="AD836" s="412"/>
      <c r="AE836" s="412"/>
      <c r="AF836" s="412"/>
      <c r="AG836" s="412"/>
      <c r="AH836" s="419">
        <f t="shared" si="630"/>
        <v>0</v>
      </c>
      <c r="AI836" s="412"/>
      <c r="AJ836" s="412"/>
      <c r="AK836" s="412"/>
      <c r="AL836" s="412"/>
      <c r="AM836" s="412"/>
    </row>
    <row r="837" spans="1:39" ht="12.75">
      <c r="A837" s="412"/>
      <c r="B837" s="413"/>
      <c r="C837" s="412"/>
      <c r="D837" s="486"/>
      <c r="E837" s="412"/>
      <c r="F837" s="412"/>
      <c r="G837" s="412"/>
      <c r="H837" s="412"/>
      <c r="I837" s="412"/>
      <c r="J837" s="412"/>
      <c r="K837" s="412"/>
      <c r="L837" s="412"/>
      <c r="M837" s="412"/>
      <c r="N837" s="412"/>
      <c r="O837" s="412"/>
      <c r="P837" s="487"/>
      <c r="Q837" s="412"/>
      <c r="R837" s="412"/>
      <c r="S837" s="412"/>
      <c r="T837" s="488"/>
      <c r="U837" s="412"/>
      <c r="V837" s="412"/>
      <c r="W837" s="412"/>
      <c r="X837" s="412"/>
      <c r="Y837" s="412"/>
      <c r="Z837" s="412"/>
      <c r="AA837" s="412"/>
      <c r="AB837" s="412"/>
      <c r="AC837" s="412"/>
      <c r="AD837" s="412"/>
      <c r="AE837" s="412"/>
      <c r="AF837" s="412"/>
      <c r="AG837" s="412"/>
      <c r="AH837" s="419">
        <f t="shared" si="630"/>
        <v>0</v>
      </c>
      <c r="AI837" s="412"/>
      <c r="AJ837" s="412"/>
      <c r="AK837" s="412"/>
      <c r="AL837" s="412"/>
      <c r="AM837" s="412"/>
    </row>
    <row r="838" spans="1:39" ht="12.75">
      <c r="A838" s="412"/>
      <c r="B838" s="413"/>
      <c r="C838" s="412"/>
      <c r="D838" s="486"/>
      <c r="E838" s="412"/>
      <c r="F838" s="412"/>
      <c r="G838" s="412"/>
      <c r="H838" s="412"/>
      <c r="I838" s="412"/>
      <c r="J838" s="412"/>
      <c r="K838" s="412"/>
      <c r="L838" s="412"/>
      <c r="M838" s="412"/>
      <c r="N838" s="412"/>
      <c r="O838" s="412"/>
      <c r="P838" s="487"/>
      <c r="Q838" s="412"/>
      <c r="R838" s="412"/>
      <c r="S838" s="412"/>
      <c r="T838" s="488"/>
      <c r="U838" s="412"/>
      <c r="V838" s="412"/>
      <c r="W838" s="412"/>
      <c r="X838" s="412"/>
      <c r="Y838" s="412"/>
      <c r="Z838" s="412"/>
      <c r="AA838" s="412"/>
      <c r="AB838" s="412"/>
      <c r="AC838" s="412"/>
      <c r="AD838" s="412"/>
      <c r="AE838" s="412"/>
      <c r="AF838" s="412"/>
      <c r="AG838" s="412"/>
      <c r="AH838" s="419">
        <f t="shared" si="630"/>
        <v>0</v>
      </c>
      <c r="AI838" s="412"/>
      <c r="AJ838" s="412"/>
      <c r="AK838" s="412"/>
      <c r="AL838" s="412"/>
      <c r="AM838" s="412"/>
    </row>
    <row r="839" spans="1:39" ht="12.75">
      <c r="A839" s="412"/>
      <c r="B839" s="413"/>
      <c r="C839" s="412"/>
      <c r="D839" s="486"/>
      <c r="E839" s="412"/>
      <c r="F839" s="412"/>
      <c r="G839" s="412"/>
      <c r="H839" s="412"/>
      <c r="I839" s="412"/>
      <c r="J839" s="412"/>
      <c r="K839" s="412"/>
      <c r="L839" s="412"/>
      <c r="M839" s="412"/>
      <c r="N839" s="412"/>
      <c r="O839" s="412"/>
      <c r="P839" s="487"/>
      <c r="Q839" s="412"/>
      <c r="R839" s="412"/>
      <c r="S839" s="412"/>
      <c r="T839" s="488"/>
      <c r="U839" s="412"/>
      <c r="V839" s="412"/>
      <c r="W839" s="412"/>
      <c r="X839" s="412"/>
      <c r="Y839" s="412"/>
      <c r="Z839" s="412"/>
      <c r="AA839" s="412"/>
      <c r="AB839" s="412"/>
      <c r="AC839" s="412"/>
      <c r="AD839" s="412"/>
      <c r="AE839" s="412"/>
      <c r="AF839" s="412"/>
      <c r="AG839" s="412"/>
      <c r="AH839" s="419">
        <f t="shared" si="630"/>
        <v>0</v>
      </c>
      <c r="AI839" s="412"/>
      <c r="AJ839" s="412"/>
      <c r="AK839" s="412"/>
      <c r="AL839" s="412"/>
      <c r="AM839" s="412"/>
    </row>
    <row r="840" spans="1:39" ht="12.75">
      <c r="A840" s="412"/>
      <c r="B840" s="413"/>
      <c r="C840" s="412"/>
      <c r="D840" s="486"/>
      <c r="E840" s="412"/>
      <c r="F840" s="412"/>
      <c r="G840" s="412"/>
      <c r="H840" s="412"/>
      <c r="I840" s="412"/>
      <c r="J840" s="412"/>
      <c r="K840" s="412"/>
      <c r="L840" s="412"/>
      <c r="M840" s="412"/>
      <c r="N840" s="412"/>
      <c r="O840" s="412"/>
      <c r="P840" s="487"/>
      <c r="Q840" s="412"/>
      <c r="R840" s="412"/>
      <c r="S840" s="412"/>
      <c r="T840" s="488"/>
      <c r="U840" s="412"/>
      <c r="V840" s="412"/>
      <c r="W840" s="412"/>
      <c r="X840" s="412"/>
      <c r="Y840" s="412"/>
      <c r="Z840" s="412"/>
      <c r="AA840" s="412"/>
      <c r="AB840" s="412"/>
      <c r="AC840" s="412"/>
      <c r="AD840" s="412"/>
      <c r="AE840" s="412"/>
      <c r="AF840" s="412"/>
      <c r="AG840" s="412"/>
      <c r="AH840" s="419">
        <f t="shared" si="630"/>
        <v>0</v>
      </c>
      <c r="AI840" s="412"/>
      <c r="AJ840" s="412"/>
      <c r="AK840" s="412"/>
      <c r="AL840" s="412"/>
      <c r="AM840" s="412"/>
    </row>
    <row r="841" spans="1:39" ht="12.75">
      <c r="A841" s="412"/>
      <c r="B841" s="413"/>
      <c r="C841" s="412"/>
      <c r="D841" s="486"/>
      <c r="E841" s="412"/>
      <c r="F841" s="412"/>
      <c r="G841" s="412"/>
      <c r="H841" s="412"/>
      <c r="I841" s="412"/>
      <c r="J841" s="412"/>
      <c r="K841" s="412"/>
      <c r="L841" s="412"/>
      <c r="M841" s="412"/>
      <c r="N841" s="412"/>
      <c r="O841" s="412"/>
      <c r="P841" s="487"/>
      <c r="Q841" s="412"/>
      <c r="R841" s="412"/>
      <c r="S841" s="412"/>
      <c r="T841" s="488"/>
      <c r="U841" s="412"/>
      <c r="V841" s="412"/>
      <c r="W841" s="412"/>
      <c r="X841" s="412"/>
      <c r="Y841" s="412"/>
      <c r="Z841" s="412"/>
      <c r="AA841" s="412"/>
      <c r="AB841" s="412"/>
      <c r="AC841" s="412"/>
      <c r="AD841" s="412"/>
      <c r="AE841" s="412"/>
      <c r="AF841" s="412"/>
      <c r="AG841" s="412"/>
      <c r="AH841" s="419">
        <f t="shared" si="630"/>
        <v>0</v>
      </c>
      <c r="AI841" s="412"/>
      <c r="AJ841" s="412"/>
      <c r="AK841" s="412"/>
      <c r="AL841" s="412"/>
      <c r="AM841" s="412"/>
    </row>
    <row r="842" spans="1:39" ht="12.75">
      <c r="A842" s="412"/>
      <c r="B842" s="413"/>
      <c r="C842" s="412"/>
      <c r="D842" s="486"/>
      <c r="E842" s="412"/>
      <c r="F842" s="412"/>
      <c r="G842" s="412"/>
      <c r="H842" s="412"/>
      <c r="I842" s="412"/>
      <c r="J842" s="412"/>
      <c r="K842" s="412"/>
      <c r="L842" s="412"/>
      <c r="M842" s="412"/>
      <c r="N842" s="412"/>
      <c r="O842" s="412"/>
      <c r="P842" s="487"/>
      <c r="Q842" s="412"/>
      <c r="R842" s="412"/>
      <c r="S842" s="412"/>
      <c r="T842" s="488"/>
      <c r="U842" s="412"/>
      <c r="V842" s="412"/>
      <c r="W842" s="412"/>
      <c r="X842" s="412"/>
      <c r="Y842" s="412"/>
      <c r="Z842" s="412"/>
      <c r="AA842" s="412"/>
      <c r="AB842" s="412"/>
      <c r="AC842" s="412"/>
      <c r="AD842" s="412"/>
      <c r="AE842" s="412"/>
      <c r="AF842" s="412"/>
      <c r="AG842" s="412"/>
      <c r="AH842" s="419">
        <f t="shared" si="630"/>
        <v>0</v>
      </c>
      <c r="AI842" s="412"/>
      <c r="AJ842" s="412"/>
      <c r="AK842" s="412"/>
      <c r="AL842" s="412"/>
      <c r="AM842" s="412"/>
    </row>
    <row r="843" spans="1:39" ht="12.75">
      <c r="A843" s="412"/>
      <c r="B843" s="413"/>
      <c r="C843" s="412"/>
      <c r="D843" s="486"/>
      <c r="E843" s="412"/>
      <c r="F843" s="412"/>
      <c r="G843" s="412"/>
      <c r="H843" s="412"/>
      <c r="I843" s="412"/>
      <c r="J843" s="412"/>
      <c r="K843" s="412"/>
      <c r="L843" s="412"/>
      <c r="M843" s="412"/>
      <c r="N843" s="412"/>
      <c r="O843" s="412"/>
      <c r="P843" s="487"/>
      <c r="Q843" s="412"/>
      <c r="R843" s="412"/>
      <c r="S843" s="412"/>
      <c r="T843" s="488"/>
      <c r="U843" s="412"/>
      <c r="V843" s="412"/>
      <c r="W843" s="412"/>
      <c r="X843" s="412"/>
      <c r="Y843" s="412"/>
      <c r="Z843" s="412"/>
      <c r="AA843" s="412"/>
      <c r="AB843" s="412"/>
      <c r="AC843" s="412"/>
      <c r="AD843" s="412"/>
      <c r="AE843" s="412"/>
      <c r="AF843" s="412"/>
      <c r="AG843" s="412"/>
      <c r="AH843" s="419">
        <f t="shared" si="630"/>
        <v>0</v>
      </c>
      <c r="AI843" s="412"/>
      <c r="AJ843" s="412"/>
      <c r="AK843" s="412"/>
      <c r="AL843" s="412"/>
      <c r="AM843" s="412"/>
    </row>
    <row r="844" spans="1:39" ht="12.75">
      <c r="A844" s="412"/>
      <c r="B844" s="413"/>
      <c r="C844" s="412"/>
      <c r="D844" s="486"/>
      <c r="E844" s="412"/>
      <c r="F844" s="412"/>
      <c r="G844" s="412"/>
      <c r="H844" s="412"/>
      <c r="I844" s="412"/>
      <c r="J844" s="412"/>
      <c r="K844" s="412"/>
      <c r="L844" s="412"/>
      <c r="M844" s="412"/>
      <c r="N844" s="412"/>
      <c r="O844" s="412"/>
      <c r="P844" s="487"/>
      <c r="Q844" s="412"/>
      <c r="R844" s="412"/>
      <c r="S844" s="412"/>
      <c r="T844" s="488"/>
      <c r="U844" s="412"/>
      <c r="V844" s="412"/>
      <c r="W844" s="412"/>
      <c r="X844" s="412"/>
      <c r="Y844" s="412"/>
      <c r="Z844" s="412"/>
      <c r="AA844" s="412"/>
      <c r="AB844" s="412"/>
      <c r="AC844" s="412"/>
      <c r="AD844" s="412"/>
      <c r="AE844" s="412"/>
      <c r="AF844" s="412"/>
      <c r="AG844" s="412"/>
      <c r="AH844" s="419">
        <f t="shared" si="630"/>
        <v>0</v>
      </c>
      <c r="AI844" s="412"/>
      <c r="AJ844" s="412"/>
      <c r="AK844" s="412"/>
      <c r="AL844" s="412"/>
      <c r="AM844" s="412"/>
    </row>
    <row r="845" spans="1:39" ht="12.75">
      <c r="A845" s="412"/>
      <c r="B845" s="413"/>
      <c r="C845" s="412"/>
      <c r="D845" s="486"/>
      <c r="E845" s="412"/>
      <c r="F845" s="412"/>
      <c r="G845" s="412"/>
      <c r="H845" s="412"/>
      <c r="I845" s="412"/>
      <c r="J845" s="412"/>
      <c r="K845" s="412"/>
      <c r="L845" s="412"/>
      <c r="M845" s="412"/>
      <c r="N845" s="412"/>
      <c r="O845" s="412"/>
      <c r="P845" s="487"/>
      <c r="Q845" s="412"/>
      <c r="R845" s="412"/>
      <c r="S845" s="412"/>
      <c r="T845" s="488"/>
      <c r="U845" s="412"/>
      <c r="V845" s="412"/>
      <c r="W845" s="412"/>
      <c r="X845" s="412"/>
      <c r="Y845" s="412"/>
      <c r="Z845" s="412"/>
      <c r="AA845" s="412"/>
      <c r="AB845" s="412"/>
      <c r="AC845" s="412"/>
      <c r="AD845" s="412"/>
      <c r="AE845" s="412"/>
      <c r="AF845" s="412"/>
      <c r="AG845" s="412"/>
      <c r="AH845" s="419">
        <f t="shared" si="630"/>
        <v>0</v>
      </c>
      <c r="AI845" s="412"/>
      <c r="AJ845" s="412"/>
      <c r="AK845" s="412"/>
      <c r="AL845" s="412"/>
      <c r="AM845" s="412"/>
    </row>
    <row r="846" spans="1:39" ht="12.75">
      <c r="A846" s="412"/>
      <c r="B846" s="413"/>
      <c r="C846" s="412"/>
      <c r="D846" s="486"/>
      <c r="E846" s="412"/>
      <c r="F846" s="412"/>
      <c r="G846" s="412"/>
      <c r="H846" s="412"/>
      <c r="I846" s="412"/>
      <c r="J846" s="412"/>
      <c r="K846" s="412"/>
      <c r="L846" s="412"/>
      <c r="M846" s="412"/>
      <c r="N846" s="412"/>
      <c r="O846" s="412"/>
      <c r="P846" s="487"/>
      <c r="Q846" s="412"/>
      <c r="R846" s="412"/>
      <c r="S846" s="412"/>
      <c r="T846" s="488"/>
      <c r="U846" s="412"/>
      <c r="V846" s="412"/>
      <c r="W846" s="412"/>
      <c r="X846" s="412"/>
      <c r="Y846" s="412"/>
      <c r="Z846" s="412"/>
      <c r="AA846" s="412"/>
      <c r="AB846" s="412"/>
      <c r="AC846" s="412"/>
      <c r="AD846" s="412"/>
      <c r="AE846" s="412"/>
      <c r="AF846" s="412"/>
      <c r="AG846" s="412"/>
      <c r="AH846" s="419">
        <f t="shared" si="630"/>
        <v>0</v>
      </c>
      <c r="AI846" s="412"/>
      <c r="AJ846" s="412"/>
      <c r="AK846" s="412"/>
      <c r="AL846" s="412"/>
      <c r="AM846" s="412"/>
    </row>
    <row r="847" spans="1:39" ht="12.75">
      <c r="A847" s="412"/>
      <c r="B847" s="413"/>
      <c r="C847" s="412"/>
      <c r="D847" s="486"/>
      <c r="E847" s="412"/>
      <c r="F847" s="412"/>
      <c r="G847" s="412"/>
      <c r="H847" s="412"/>
      <c r="I847" s="412"/>
      <c r="J847" s="412"/>
      <c r="K847" s="412"/>
      <c r="L847" s="412"/>
      <c r="M847" s="412"/>
      <c r="N847" s="412"/>
      <c r="O847" s="412"/>
      <c r="P847" s="487"/>
      <c r="Q847" s="412"/>
      <c r="R847" s="412"/>
      <c r="S847" s="412"/>
      <c r="T847" s="488"/>
      <c r="U847" s="412"/>
      <c r="V847" s="412"/>
      <c r="W847" s="412"/>
      <c r="X847" s="412"/>
      <c r="Y847" s="412"/>
      <c r="Z847" s="412"/>
      <c r="AA847" s="412"/>
      <c r="AB847" s="412"/>
      <c r="AC847" s="412"/>
      <c r="AD847" s="412"/>
      <c r="AE847" s="412"/>
      <c r="AF847" s="412"/>
      <c r="AG847" s="412"/>
      <c r="AH847" s="419">
        <f t="shared" si="630"/>
        <v>0</v>
      </c>
      <c r="AI847" s="412"/>
      <c r="AJ847" s="412"/>
      <c r="AK847" s="412"/>
      <c r="AL847" s="412"/>
      <c r="AM847" s="412"/>
    </row>
    <row r="848" spans="1:39" ht="12.75">
      <c r="A848" s="412"/>
      <c r="B848" s="413"/>
      <c r="C848" s="412"/>
      <c r="D848" s="486"/>
      <c r="E848" s="412"/>
      <c r="F848" s="412"/>
      <c r="G848" s="412"/>
      <c r="H848" s="412"/>
      <c r="I848" s="412"/>
      <c r="J848" s="412"/>
      <c r="K848" s="412"/>
      <c r="L848" s="412"/>
      <c r="M848" s="412"/>
      <c r="N848" s="412"/>
      <c r="O848" s="412"/>
      <c r="P848" s="487"/>
      <c r="Q848" s="412"/>
      <c r="R848" s="412"/>
      <c r="S848" s="412"/>
      <c r="T848" s="488"/>
      <c r="U848" s="412"/>
      <c r="V848" s="412"/>
      <c r="W848" s="412"/>
      <c r="X848" s="412"/>
      <c r="Y848" s="412"/>
      <c r="Z848" s="412"/>
      <c r="AA848" s="412"/>
      <c r="AB848" s="412"/>
      <c r="AC848" s="412"/>
      <c r="AD848" s="412"/>
      <c r="AE848" s="412"/>
      <c r="AF848" s="412"/>
      <c r="AG848" s="412"/>
      <c r="AH848" s="419">
        <f t="shared" si="630"/>
        <v>0</v>
      </c>
      <c r="AI848" s="412"/>
      <c r="AJ848" s="412"/>
      <c r="AK848" s="412"/>
      <c r="AL848" s="412"/>
      <c r="AM848" s="412"/>
    </row>
    <row r="849" spans="1:39" ht="12.75">
      <c r="A849" s="412"/>
      <c r="B849" s="413"/>
      <c r="C849" s="412"/>
      <c r="D849" s="486"/>
      <c r="E849" s="412"/>
      <c r="F849" s="412"/>
      <c r="G849" s="412"/>
      <c r="H849" s="412"/>
      <c r="I849" s="412"/>
      <c r="J849" s="412"/>
      <c r="K849" s="412"/>
      <c r="L849" s="412"/>
      <c r="M849" s="412"/>
      <c r="N849" s="412"/>
      <c r="O849" s="412"/>
      <c r="P849" s="487"/>
      <c r="Q849" s="412"/>
      <c r="R849" s="412"/>
      <c r="S849" s="412"/>
      <c r="T849" s="488"/>
      <c r="U849" s="412"/>
      <c r="V849" s="412"/>
      <c r="W849" s="412"/>
      <c r="X849" s="412"/>
      <c r="Y849" s="412"/>
      <c r="Z849" s="412"/>
      <c r="AA849" s="412"/>
      <c r="AB849" s="412"/>
      <c r="AC849" s="412"/>
      <c r="AD849" s="412"/>
      <c r="AE849" s="412"/>
      <c r="AF849" s="412"/>
      <c r="AG849" s="412"/>
      <c r="AH849" s="419">
        <f t="shared" si="630"/>
        <v>0</v>
      </c>
      <c r="AI849" s="412"/>
      <c r="AJ849" s="412"/>
      <c r="AK849" s="412"/>
      <c r="AL849" s="412"/>
      <c r="AM849" s="412"/>
    </row>
    <row r="850" spans="1:39" ht="12.75">
      <c r="A850" s="412"/>
      <c r="B850" s="413"/>
      <c r="C850" s="412"/>
      <c r="D850" s="486"/>
      <c r="E850" s="412"/>
      <c r="F850" s="412"/>
      <c r="G850" s="412"/>
      <c r="H850" s="412"/>
      <c r="I850" s="412"/>
      <c r="J850" s="412"/>
      <c r="K850" s="412"/>
      <c r="L850" s="412"/>
      <c r="M850" s="412"/>
      <c r="N850" s="412"/>
      <c r="O850" s="412"/>
      <c r="P850" s="487"/>
      <c r="Q850" s="412"/>
      <c r="R850" s="412"/>
      <c r="S850" s="412"/>
      <c r="T850" s="488"/>
      <c r="U850" s="412"/>
      <c r="V850" s="412"/>
      <c r="W850" s="412"/>
      <c r="X850" s="412"/>
      <c r="Y850" s="412"/>
      <c r="Z850" s="412"/>
      <c r="AA850" s="412"/>
      <c r="AB850" s="412"/>
      <c r="AC850" s="412"/>
      <c r="AD850" s="412"/>
      <c r="AE850" s="412"/>
      <c r="AF850" s="412"/>
      <c r="AG850" s="412"/>
      <c r="AH850" s="419">
        <f t="shared" si="630"/>
        <v>0</v>
      </c>
      <c r="AI850" s="412"/>
      <c r="AJ850" s="412"/>
      <c r="AK850" s="412"/>
      <c r="AL850" s="412"/>
      <c r="AM850" s="412"/>
    </row>
    <row r="851" spans="1:39" ht="12.75">
      <c r="A851" s="412"/>
      <c r="B851" s="413"/>
      <c r="C851" s="412"/>
      <c r="D851" s="486"/>
      <c r="E851" s="412"/>
      <c r="F851" s="412"/>
      <c r="G851" s="412"/>
      <c r="H851" s="412"/>
      <c r="I851" s="412"/>
      <c r="J851" s="412"/>
      <c r="K851" s="412"/>
      <c r="L851" s="412"/>
      <c r="M851" s="412"/>
      <c r="N851" s="412"/>
      <c r="O851" s="412"/>
      <c r="P851" s="487"/>
      <c r="Q851" s="412"/>
      <c r="R851" s="412"/>
      <c r="S851" s="412"/>
      <c r="T851" s="488"/>
      <c r="U851" s="412"/>
      <c r="V851" s="412"/>
      <c r="W851" s="412"/>
      <c r="X851" s="412"/>
      <c r="Y851" s="412"/>
      <c r="Z851" s="412"/>
      <c r="AA851" s="412"/>
      <c r="AB851" s="412"/>
      <c r="AC851" s="412"/>
      <c r="AD851" s="412"/>
      <c r="AE851" s="412"/>
      <c r="AF851" s="412"/>
      <c r="AG851" s="412"/>
      <c r="AH851" s="419">
        <f t="shared" si="630"/>
        <v>0</v>
      </c>
      <c r="AI851" s="412"/>
      <c r="AJ851" s="412"/>
      <c r="AK851" s="412"/>
      <c r="AL851" s="412"/>
      <c r="AM851" s="412"/>
    </row>
    <row r="852" spans="1:39" ht="12.75">
      <c r="A852" s="412"/>
      <c r="B852" s="413"/>
      <c r="C852" s="412"/>
      <c r="D852" s="486"/>
      <c r="E852" s="412"/>
      <c r="F852" s="412"/>
      <c r="G852" s="412"/>
      <c r="H852" s="412"/>
      <c r="I852" s="412"/>
      <c r="J852" s="412"/>
      <c r="K852" s="412"/>
      <c r="L852" s="412"/>
      <c r="M852" s="412"/>
      <c r="N852" s="412"/>
      <c r="O852" s="412"/>
      <c r="P852" s="487"/>
      <c r="Q852" s="412"/>
      <c r="R852" s="412"/>
      <c r="S852" s="412"/>
      <c r="T852" s="488"/>
      <c r="U852" s="412"/>
      <c r="V852" s="412"/>
      <c r="W852" s="412"/>
      <c r="X852" s="412"/>
      <c r="Y852" s="412"/>
      <c r="Z852" s="412"/>
      <c r="AA852" s="412"/>
      <c r="AB852" s="412"/>
      <c r="AC852" s="412"/>
      <c r="AD852" s="412"/>
      <c r="AE852" s="412"/>
      <c r="AF852" s="412"/>
      <c r="AG852" s="412"/>
      <c r="AH852" s="419">
        <f t="shared" si="630"/>
        <v>0</v>
      </c>
      <c r="AI852" s="412"/>
      <c r="AJ852" s="412"/>
      <c r="AK852" s="412"/>
      <c r="AL852" s="412"/>
      <c r="AM852" s="412"/>
    </row>
    <row r="853" spans="1:39" ht="12.75">
      <c r="A853" s="412"/>
      <c r="B853" s="413"/>
      <c r="C853" s="412"/>
      <c r="D853" s="486"/>
      <c r="E853" s="412"/>
      <c r="F853" s="412"/>
      <c r="G853" s="412"/>
      <c r="H853" s="412"/>
      <c r="I853" s="412"/>
      <c r="J853" s="412"/>
      <c r="K853" s="412"/>
      <c r="L853" s="412"/>
      <c r="M853" s="412"/>
      <c r="N853" s="412"/>
      <c r="O853" s="412"/>
      <c r="P853" s="487"/>
      <c r="Q853" s="412"/>
      <c r="R853" s="412"/>
      <c r="S853" s="412"/>
      <c r="T853" s="488"/>
      <c r="U853" s="412"/>
      <c r="V853" s="412"/>
      <c r="W853" s="412"/>
      <c r="X853" s="412"/>
      <c r="Y853" s="412"/>
      <c r="Z853" s="412"/>
      <c r="AA853" s="412"/>
      <c r="AB853" s="412"/>
      <c r="AC853" s="412"/>
      <c r="AD853" s="412"/>
      <c r="AE853" s="412"/>
      <c r="AF853" s="412"/>
      <c r="AG853" s="412"/>
      <c r="AH853" s="419">
        <f t="shared" si="630"/>
        <v>0</v>
      </c>
      <c r="AI853" s="412"/>
      <c r="AJ853" s="412"/>
      <c r="AK853" s="412"/>
      <c r="AL853" s="412"/>
      <c r="AM853" s="412"/>
    </row>
    <row r="854" spans="1:39" ht="12.75">
      <c r="A854" s="412"/>
      <c r="B854" s="413"/>
      <c r="C854" s="412"/>
      <c r="D854" s="486"/>
      <c r="E854" s="412"/>
      <c r="F854" s="412"/>
      <c r="G854" s="412"/>
      <c r="H854" s="412"/>
      <c r="I854" s="412"/>
      <c r="J854" s="412"/>
      <c r="K854" s="412"/>
      <c r="L854" s="412"/>
      <c r="M854" s="412"/>
      <c r="N854" s="412"/>
      <c r="O854" s="412"/>
      <c r="P854" s="487"/>
      <c r="Q854" s="412"/>
      <c r="R854" s="412"/>
      <c r="S854" s="412"/>
      <c r="T854" s="488"/>
      <c r="U854" s="412"/>
      <c r="V854" s="412"/>
      <c r="W854" s="412"/>
      <c r="X854" s="412"/>
      <c r="Y854" s="412"/>
      <c r="Z854" s="412"/>
      <c r="AA854" s="412"/>
      <c r="AB854" s="412"/>
      <c r="AC854" s="412"/>
      <c r="AD854" s="412"/>
      <c r="AE854" s="412"/>
      <c r="AF854" s="412"/>
      <c r="AG854" s="412"/>
      <c r="AH854" s="419">
        <f t="shared" si="630"/>
        <v>0</v>
      </c>
      <c r="AI854" s="412"/>
      <c r="AJ854" s="412"/>
      <c r="AK854" s="412"/>
      <c r="AL854" s="412"/>
      <c r="AM854" s="412"/>
    </row>
    <row r="855" spans="1:39" ht="12.75">
      <c r="A855" s="412"/>
      <c r="B855" s="413"/>
      <c r="C855" s="412"/>
      <c r="D855" s="486"/>
      <c r="E855" s="412"/>
      <c r="F855" s="412"/>
      <c r="G855" s="412"/>
      <c r="H855" s="412"/>
      <c r="I855" s="412"/>
      <c r="J855" s="412"/>
      <c r="K855" s="412"/>
      <c r="L855" s="412"/>
      <c r="M855" s="412"/>
      <c r="N855" s="412"/>
      <c r="O855" s="412"/>
      <c r="P855" s="487"/>
      <c r="Q855" s="412"/>
      <c r="R855" s="412"/>
      <c r="S855" s="412"/>
      <c r="T855" s="488"/>
      <c r="U855" s="412"/>
      <c r="V855" s="412"/>
      <c r="W855" s="412"/>
      <c r="X855" s="412"/>
      <c r="Y855" s="412"/>
      <c r="Z855" s="412"/>
      <c r="AA855" s="412"/>
      <c r="AB855" s="412"/>
      <c r="AC855" s="412"/>
      <c r="AD855" s="412"/>
      <c r="AE855" s="412"/>
      <c r="AF855" s="412"/>
      <c r="AG855" s="412"/>
      <c r="AH855" s="419">
        <f t="shared" si="630"/>
        <v>0</v>
      </c>
      <c r="AI855" s="412"/>
      <c r="AJ855" s="412"/>
      <c r="AK855" s="412"/>
      <c r="AL855" s="412"/>
      <c r="AM855" s="412"/>
    </row>
    <row r="856" spans="1:39" ht="12.75">
      <c r="A856" s="412"/>
      <c r="B856" s="413"/>
      <c r="C856" s="412"/>
      <c r="D856" s="486"/>
      <c r="E856" s="412"/>
      <c r="F856" s="412"/>
      <c r="G856" s="412"/>
      <c r="H856" s="412"/>
      <c r="I856" s="412"/>
      <c r="J856" s="412"/>
      <c r="K856" s="412"/>
      <c r="L856" s="412"/>
      <c r="M856" s="412"/>
      <c r="N856" s="412"/>
      <c r="O856" s="412"/>
      <c r="P856" s="487"/>
      <c r="Q856" s="412"/>
      <c r="R856" s="412"/>
      <c r="S856" s="412"/>
      <c r="T856" s="488"/>
      <c r="U856" s="412"/>
      <c r="V856" s="412"/>
      <c r="W856" s="412"/>
      <c r="X856" s="412"/>
      <c r="Y856" s="412"/>
      <c r="Z856" s="412"/>
      <c r="AA856" s="412"/>
      <c r="AB856" s="412"/>
      <c r="AC856" s="412"/>
      <c r="AD856" s="412"/>
      <c r="AE856" s="412"/>
      <c r="AF856" s="412"/>
      <c r="AG856" s="412"/>
      <c r="AH856" s="419">
        <f t="shared" si="630"/>
        <v>0</v>
      </c>
      <c r="AI856" s="412"/>
      <c r="AJ856" s="412"/>
      <c r="AK856" s="412"/>
      <c r="AL856" s="412"/>
      <c r="AM856" s="412"/>
    </row>
    <row r="857" spans="1:39" ht="12.75">
      <c r="A857" s="412"/>
      <c r="B857" s="413"/>
      <c r="C857" s="412"/>
      <c r="D857" s="486"/>
      <c r="E857" s="412"/>
      <c r="F857" s="412"/>
      <c r="G857" s="412"/>
      <c r="H857" s="412"/>
      <c r="I857" s="412"/>
      <c r="J857" s="412"/>
      <c r="K857" s="412"/>
      <c r="L857" s="412"/>
      <c r="M857" s="412"/>
      <c r="N857" s="412"/>
      <c r="O857" s="412"/>
      <c r="P857" s="487"/>
      <c r="Q857" s="412"/>
      <c r="R857" s="412"/>
      <c r="S857" s="412"/>
      <c r="T857" s="488"/>
      <c r="U857" s="412"/>
      <c r="V857" s="412"/>
      <c r="W857" s="412"/>
      <c r="X857" s="412"/>
      <c r="Y857" s="412"/>
      <c r="Z857" s="412"/>
      <c r="AA857" s="412"/>
      <c r="AB857" s="412"/>
      <c r="AC857" s="412"/>
      <c r="AD857" s="412"/>
      <c r="AE857" s="412"/>
      <c r="AF857" s="412"/>
      <c r="AG857" s="412"/>
      <c r="AH857" s="419">
        <f t="shared" si="630"/>
        <v>0</v>
      </c>
      <c r="AI857" s="412"/>
      <c r="AJ857" s="412"/>
      <c r="AK857" s="412"/>
      <c r="AL857" s="412"/>
      <c r="AM857" s="412"/>
    </row>
    <row r="858" spans="1:39" ht="12.75">
      <c r="A858" s="412"/>
      <c r="B858" s="413"/>
      <c r="C858" s="412"/>
      <c r="D858" s="486"/>
      <c r="E858" s="412"/>
      <c r="F858" s="412"/>
      <c r="G858" s="412"/>
      <c r="H858" s="412"/>
      <c r="I858" s="412"/>
      <c r="J858" s="412"/>
      <c r="K858" s="412"/>
      <c r="L858" s="412"/>
      <c r="M858" s="412"/>
      <c r="N858" s="412"/>
      <c r="O858" s="412"/>
      <c r="P858" s="487"/>
      <c r="Q858" s="412"/>
      <c r="R858" s="412"/>
      <c r="S858" s="412"/>
      <c r="T858" s="488"/>
      <c r="U858" s="412"/>
      <c r="V858" s="412"/>
      <c r="W858" s="412"/>
      <c r="X858" s="412"/>
      <c r="Y858" s="412"/>
      <c r="Z858" s="412"/>
      <c r="AA858" s="412"/>
      <c r="AB858" s="412"/>
      <c r="AC858" s="412"/>
      <c r="AD858" s="412"/>
      <c r="AE858" s="412"/>
      <c r="AF858" s="412"/>
      <c r="AG858" s="412"/>
      <c r="AH858" s="419">
        <f t="shared" si="630"/>
        <v>0</v>
      </c>
      <c r="AI858" s="412"/>
      <c r="AJ858" s="412"/>
      <c r="AK858" s="412"/>
      <c r="AL858" s="412"/>
      <c r="AM858" s="412"/>
    </row>
    <row r="859" spans="1:39" ht="12.75">
      <c r="A859" s="412"/>
      <c r="B859" s="413"/>
      <c r="C859" s="412"/>
      <c r="D859" s="486"/>
      <c r="E859" s="412"/>
      <c r="F859" s="412"/>
      <c r="G859" s="412"/>
      <c r="H859" s="412"/>
      <c r="I859" s="412"/>
      <c r="J859" s="412"/>
      <c r="K859" s="412"/>
      <c r="L859" s="412"/>
      <c r="M859" s="412"/>
      <c r="N859" s="412"/>
      <c r="O859" s="412"/>
      <c r="P859" s="487"/>
      <c r="Q859" s="412"/>
      <c r="R859" s="412"/>
      <c r="S859" s="412"/>
      <c r="T859" s="488"/>
      <c r="U859" s="412"/>
      <c r="V859" s="412"/>
      <c r="W859" s="412"/>
      <c r="X859" s="412"/>
      <c r="Y859" s="412"/>
      <c r="Z859" s="412"/>
      <c r="AA859" s="412"/>
      <c r="AB859" s="412"/>
      <c r="AC859" s="412"/>
      <c r="AD859" s="412"/>
      <c r="AE859" s="412"/>
      <c r="AF859" s="412"/>
      <c r="AG859" s="412"/>
      <c r="AH859" s="419">
        <f t="shared" si="630"/>
        <v>0</v>
      </c>
      <c r="AI859" s="412"/>
      <c r="AJ859" s="412"/>
      <c r="AK859" s="412"/>
      <c r="AL859" s="412"/>
      <c r="AM859" s="412"/>
    </row>
    <row r="860" spans="1:39" ht="12.75">
      <c r="A860" s="412"/>
      <c r="B860" s="413"/>
      <c r="C860" s="412"/>
      <c r="D860" s="486"/>
      <c r="E860" s="412"/>
      <c r="F860" s="412"/>
      <c r="G860" s="412"/>
      <c r="H860" s="412"/>
      <c r="I860" s="412"/>
      <c r="J860" s="412"/>
      <c r="K860" s="412"/>
      <c r="L860" s="412"/>
      <c r="M860" s="412"/>
      <c r="N860" s="412"/>
      <c r="O860" s="412"/>
      <c r="P860" s="487"/>
      <c r="Q860" s="412"/>
      <c r="R860" s="412"/>
      <c r="S860" s="412"/>
      <c r="T860" s="488"/>
      <c r="U860" s="412"/>
      <c r="V860" s="412"/>
      <c r="W860" s="412"/>
      <c r="X860" s="412"/>
      <c r="Y860" s="412"/>
      <c r="Z860" s="412"/>
      <c r="AA860" s="412"/>
      <c r="AB860" s="412"/>
      <c r="AC860" s="412"/>
      <c r="AD860" s="412"/>
      <c r="AE860" s="412"/>
      <c r="AF860" s="412"/>
      <c r="AG860" s="412"/>
      <c r="AH860" s="419">
        <f t="shared" si="630"/>
        <v>0</v>
      </c>
      <c r="AI860" s="412"/>
      <c r="AJ860" s="412"/>
      <c r="AK860" s="412"/>
      <c r="AL860" s="412"/>
      <c r="AM860" s="412"/>
    </row>
    <row r="861" spans="1:39" ht="12.75">
      <c r="A861" s="412"/>
      <c r="B861" s="413"/>
      <c r="C861" s="412"/>
      <c r="D861" s="486"/>
      <c r="E861" s="412"/>
      <c r="F861" s="412"/>
      <c r="G861" s="412"/>
      <c r="H861" s="412"/>
      <c r="I861" s="412"/>
      <c r="J861" s="412"/>
      <c r="K861" s="412"/>
      <c r="L861" s="412"/>
      <c r="M861" s="412"/>
      <c r="N861" s="412"/>
      <c r="O861" s="412"/>
      <c r="P861" s="487"/>
      <c r="Q861" s="412"/>
      <c r="R861" s="412"/>
      <c r="S861" s="412"/>
      <c r="T861" s="488"/>
      <c r="U861" s="412"/>
      <c r="V861" s="412"/>
      <c r="W861" s="412"/>
      <c r="X861" s="412"/>
      <c r="Y861" s="412"/>
      <c r="Z861" s="412"/>
      <c r="AA861" s="412"/>
      <c r="AB861" s="412"/>
      <c r="AC861" s="412"/>
      <c r="AD861" s="412"/>
      <c r="AE861" s="412"/>
      <c r="AF861" s="412"/>
      <c r="AG861" s="412"/>
      <c r="AH861" s="419">
        <f t="shared" si="630"/>
        <v>0</v>
      </c>
      <c r="AI861" s="412"/>
      <c r="AJ861" s="412"/>
      <c r="AK861" s="412"/>
      <c r="AL861" s="412"/>
      <c r="AM861" s="412"/>
    </row>
    <row r="862" spans="1:39" ht="12.75">
      <c r="A862" s="412"/>
      <c r="B862" s="413"/>
      <c r="C862" s="412"/>
      <c r="D862" s="486"/>
      <c r="E862" s="412"/>
      <c r="F862" s="412"/>
      <c r="G862" s="412"/>
      <c r="H862" s="412"/>
      <c r="I862" s="412"/>
      <c r="J862" s="412"/>
      <c r="K862" s="412"/>
      <c r="L862" s="412"/>
      <c r="M862" s="412"/>
      <c r="N862" s="412"/>
      <c r="O862" s="412"/>
      <c r="P862" s="487"/>
      <c r="Q862" s="412"/>
      <c r="R862" s="412"/>
      <c r="S862" s="412"/>
      <c r="T862" s="488"/>
      <c r="U862" s="412"/>
      <c r="V862" s="412"/>
      <c r="W862" s="412"/>
      <c r="X862" s="412"/>
      <c r="Y862" s="412"/>
      <c r="Z862" s="412"/>
      <c r="AA862" s="412"/>
      <c r="AB862" s="412"/>
      <c r="AC862" s="412"/>
      <c r="AD862" s="412"/>
      <c r="AE862" s="412"/>
      <c r="AF862" s="412"/>
      <c r="AG862" s="412"/>
      <c r="AH862" s="419">
        <f t="shared" si="630"/>
        <v>0</v>
      </c>
      <c r="AI862" s="412"/>
      <c r="AJ862" s="412"/>
      <c r="AK862" s="412"/>
      <c r="AL862" s="412"/>
      <c r="AM862" s="412"/>
    </row>
    <row r="863" spans="1:39" ht="12.75">
      <c r="A863" s="412"/>
      <c r="B863" s="413"/>
      <c r="C863" s="412"/>
      <c r="D863" s="486"/>
      <c r="E863" s="412"/>
      <c r="F863" s="412"/>
      <c r="G863" s="412"/>
      <c r="H863" s="412"/>
      <c r="I863" s="412"/>
      <c r="J863" s="412"/>
      <c r="K863" s="412"/>
      <c r="L863" s="412"/>
      <c r="M863" s="412"/>
      <c r="N863" s="412"/>
      <c r="O863" s="412"/>
      <c r="P863" s="487"/>
      <c r="Q863" s="412"/>
      <c r="R863" s="412"/>
      <c r="S863" s="412"/>
      <c r="T863" s="488"/>
      <c r="U863" s="412"/>
      <c r="V863" s="412"/>
      <c r="W863" s="412"/>
      <c r="X863" s="412"/>
      <c r="Y863" s="412"/>
      <c r="Z863" s="412"/>
      <c r="AA863" s="412"/>
      <c r="AB863" s="412"/>
      <c r="AC863" s="412"/>
      <c r="AD863" s="412"/>
      <c r="AE863" s="412"/>
      <c r="AF863" s="412"/>
      <c r="AG863" s="412"/>
      <c r="AH863" s="419">
        <f t="shared" si="630"/>
        <v>0</v>
      </c>
      <c r="AI863" s="412"/>
      <c r="AJ863" s="412"/>
      <c r="AK863" s="412"/>
      <c r="AL863" s="412"/>
      <c r="AM863" s="412"/>
    </row>
    <row r="864" spans="1:39" ht="12.75">
      <c r="A864" s="412"/>
      <c r="B864" s="413"/>
      <c r="C864" s="412"/>
      <c r="D864" s="486"/>
      <c r="E864" s="412"/>
      <c r="F864" s="412"/>
      <c r="G864" s="412"/>
      <c r="H864" s="412"/>
      <c r="I864" s="412"/>
      <c r="J864" s="412"/>
      <c r="K864" s="412"/>
      <c r="L864" s="412"/>
      <c r="M864" s="412"/>
      <c r="N864" s="412"/>
      <c r="O864" s="412"/>
      <c r="P864" s="487"/>
      <c r="Q864" s="412"/>
      <c r="R864" s="412"/>
      <c r="S864" s="412"/>
      <c r="T864" s="488"/>
      <c r="U864" s="412"/>
      <c r="V864" s="412"/>
      <c r="W864" s="412"/>
      <c r="X864" s="412"/>
      <c r="Y864" s="412"/>
      <c r="Z864" s="412"/>
      <c r="AA864" s="412"/>
      <c r="AB864" s="412"/>
      <c r="AC864" s="412"/>
      <c r="AD864" s="412"/>
      <c r="AE864" s="412"/>
      <c r="AF864" s="412"/>
      <c r="AG864" s="412"/>
      <c r="AH864" s="419">
        <f t="shared" si="630"/>
        <v>0</v>
      </c>
      <c r="AI864" s="412"/>
      <c r="AJ864" s="412"/>
      <c r="AK864" s="412"/>
      <c r="AL864" s="412"/>
      <c r="AM864" s="412"/>
    </row>
    <row r="865" spans="1:39" ht="12.75">
      <c r="A865" s="412"/>
      <c r="B865" s="413"/>
      <c r="C865" s="412"/>
      <c r="D865" s="486"/>
      <c r="E865" s="412"/>
      <c r="F865" s="412"/>
      <c r="G865" s="412"/>
      <c r="H865" s="412"/>
      <c r="I865" s="412"/>
      <c r="J865" s="412"/>
      <c r="K865" s="412"/>
      <c r="L865" s="412"/>
      <c r="M865" s="412"/>
      <c r="N865" s="412"/>
      <c r="O865" s="412"/>
      <c r="P865" s="487"/>
      <c r="Q865" s="412"/>
      <c r="R865" s="412"/>
      <c r="S865" s="412"/>
      <c r="T865" s="488"/>
      <c r="U865" s="412"/>
      <c r="V865" s="412"/>
      <c r="W865" s="412"/>
      <c r="X865" s="412"/>
      <c r="Y865" s="412"/>
      <c r="Z865" s="412"/>
      <c r="AA865" s="412"/>
      <c r="AB865" s="412"/>
      <c r="AC865" s="412"/>
      <c r="AD865" s="412"/>
      <c r="AE865" s="412"/>
      <c r="AF865" s="412"/>
      <c r="AG865" s="412"/>
      <c r="AH865" s="419">
        <f t="shared" si="630"/>
        <v>0</v>
      </c>
      <c r="AI865" s="412"/>
      <c r="AJ865" s="412"/>
      <c r="AK865" s="412"/>
      <c r="AL865" s="412"/>
      <c r="AM865" s="412"/>
    </row>
    <row r="866" spans="1:39" ht="12.75">
      <c r="A866" s="412"/>
      <c r="B866" s="413"/>
      <c r="C866" s="412"/>
      <c r="D866" s="486"/>
      <c r="E866" s="412"/>
      <c r="F866" s="412"/>
      <c r="G866" s="412"/>
      <c r="H866" s="412"/>
      <c r="I866" s="412"/>
      <c r="J866" s="412"/>
      <c r="K866" s="412"/>
      <c r="L866" s="412"/>
      <c r="M866" s="412"/>
      <c r="N866" s="412"/>
      <c r="O866" s="412"/>
      <c r="P866" s="487"/>
      <c r="Q866" s="412"/>
      <c r="R866" s="412"/>
      <c r="S866" s="412"/>
      <c r="T866" s="488"/>
      <c r="U866" s="412"/>
      <c r="V866" s="412"/>
      <c r="W866" s="412"/>
      <c r="X866" s="412"/>
      <c r="Y866" s="412"/>
      <c r="Z866" s="412"/>
      <c r="AA866" s="412"/>
      <c r="AB866" s="412"/>
      <c r="AC866" s="412"/>
      <c r="AD866" s="412"/>
      <c r="AE866" s="412"/>
      <c r="AF866" s="412"/>
      <c r="AG866" s="412"/>
      <c r="AH866" s="419">
        <f t="shared" si="630"/>
        <v>0</v>
      </c>
      <c r="AI866" s="412"/>
      <c r="AJ866" s="412"/>
      <c r="AK866" s="412"/>
      <c r="AL866" s="412"/>
      <c r="AM866" s="412"/>
    </row>
    <row r="867" spans="1:39" ht="12.75">
      <c r="A867" s="412"/>
      <c r="B867" s="413"/>
      <c r="C867" s="412"/>
      <c r="D867" s="486"/>
      <c r="E867" s="412"/>
      <c r="F867" s="412"/>
      <c r="G867" s="412"/>
      <c r="H867" s="412"/>
      <c r="I867" s="412"/>
      <c r="J867" s="412"/>
      <c r="K867" s="412"/>
      <c r="L867" s="412"/>
      <c r="M867" s="412"/>
      <c r="N867" s="412"/>
      <c r="O867" s="412"/>
      <c r="P867" s="487"/>
      <c r="Q867" s="412"/>
      <c r="R867" s="412"/>
      <c r="S867" s="412"/>
      <c r="T867" s="488"/>
      <c r="U867" s="412"/>
      <c r="V867" s="412"/>
      <c r="W867" s="412"/>
      <c r="X867" s="412"/>
      <c r="Y867" s="412"/>
      <c r="Z867" s="412"/>
      <c r="AA867" s="412"/>
      <c r="AB867" s="412"/>
      <c r="AC867" s="412"/>
      <c r="AD867" s="412"/>
      <c r="AE867" s="412"/>
      <c r="AF867" s="412"/>
      <c r="AG867" s="412"/>
      <c r="AH867" s="419">
        <f t="shared" si="630"/>
        <v>0</v>
      </c>
      <c r="AI867" s="412"/>
      <c r="AJ867" s="412"/>
      <c r="AK867" s="412"/>
      <c r="AL867" s="412"/>
      <c r="AM867" s="412"/>
    </row>
    <row r="868" spans="1:39" ht="12.75">
      <c r="A868" s="412"/>
      <c r="B868" s="413"/>
      <c r="C868" s="412"/>
      <c r="D868" s="486"/>
      <c r="E868" s="412"/>
      <c r="F868" s="412"/>
      <c r="G868" s="412"/>
      <c r="H868" s="412"/>
      <c r="I868" s="412"/>
      <c r="J868" s="412"/>
      <c r="K868" s="412"/>
      <c r="L868" s="412"/>
      <c r="M868" s="412"/>
      <c r="N868" s="412"/>
      <c r="O868" s="412"/>
      <c r="P868" s="487"/>
      <c r="Q868" s="412"/>
      <c r="R868" s="412"/>
      <c r="S868" s="412"/>
      <c r="T868" s="488"/>
      <c r="U868" s="412"/>
      <c r="V868" s="412"/>
      <c r="W868" s="412"/>
      <c r="X868" s="412"/>
      <c r="Y868" s="412"/>
      <c r="Z868" s="412"/>
      <c r="AA868" s="412"/>
      <c r="AB868" s="412"/>
      <c r="AC868" s="412"/>
      <c r="AD868" s="412"/>
      <c r="AE868" s="412"/>
      <c r="AF868" s="412"/>
      <c r="AG868" s="412"/>
      <c r="AH868" s="419">
        <f t="shared" si="630"/>
        <v>0</v>
      </c>
      <c r="AI868" s="412"/>
      <c r="AJ868" s="412"/>
      <c r="AK868" s="412"/>
      <c r="AL868" s="412"/>
      <c r="AM868" s="412"/>
    </row>
    <row r="869" spans="1:39" ht="12.75">
      <c r="A869" s="412"/>
      <c r="B869" s="413"/>
      <c r="C869" s="412"/>
      <c r="D869" s="486"/>
      <c r="E869" s="412"/>
      <c r="F869" s="412"/>
      <c r="G869" s="412"/>
      <c r="H869" s="412"/>
      <c r="I869" s="412"/>
      <c r="J869" s="412"/>
      <c r="K869" s="412"/>
      <c r="L869" s="412"/>
      <c r="M869" s="412"/>
      <c r="N869" s="412"/>
      <c r="O869" s="412"/>
      <c r="P869" s="487"/>
      <c r="Q869" s="412"/>
      <c r="R869" s="412"/>
      <c r="S869" s="412"/>
      <c r="T869" s="488"/>
      <c r="U869" s="412"/>
      <c r="V869" s="412"/>
      <c r="W869" s="412"/>
      <c r="X869" s="412"/>
      <c r="Y869" s="412"/>
      <c r="Z869" s="412"/>
      <c r="AA869" s="412"/>
      <c r="AB869" s="412"/>
      <c r="AC869" s="412"/>
      <c r="AD869" s="412"/>
      <c r="AE869" s="412"/>
      <c r="AF869" s="412"/>
      <c r="AG869" s="412"/>
      <c r="AH869" s="419">
        <f t="shared" si="630"/>
        <v>0</v>
      </c>
      <c r="AI869" s="412"/>
      <c r="AJ869" s="412"/>
      <c r="AK869" s="412"/>
      <c r="AL869" s="412"/>
      <c r="AM869" s="412"/>
    </row>
    <row r="870" spans="1:39" ht="12.75">
      <c r="A870" s="412"/>
      <c r="B870" s="413"/>
      <c r="C870" s="412"/>
      <c r="D870" s="486"/>
      <c r="E870" s="412"/>
      <c r="F870" s="412"/>
      <c r="G870" s="412"/>
      <c r="H870" s="412"/>
      <c r="I870" s="412"/>
      <c r="J870" s="412"/>
      <c r="K870" s="412"/>
      <c r="L870" s="412"/>
      <c r="M870" s="412"/>
      <c r="N870" s="412"/>
      <c r="O870" s="412"/>
      <c r="P870" s="487"/>
      <c r="Q870" s="412"/>
      <c r="R870" s="412"/>
      <c r="S870" s="412"/>
      <c r="T870" s="488"/>
      <c r="U870" s="412"/>
      <c r="V870" s="412"/>
      <c r="W870" s="412"/>
      <c r="X870" s="412"/>
      <c r="Y870" s="412"/>
      <c r="Z870" s="412"/>
      <c r="AA870" s="412"/>
      <c r="AB870" s="412"/>
      <c r="AC870" s="412"/>
      <c r="AD870" s="412"/>
      <c r="AE870" s="412"/>
      <c r="AF870" s="412"/>
      <c r="AG870" s="412"/>
      <c r="AH870" s="419">
        <f t="shared" si="630"/>
        <v>0</v>
      </c>
      <c r="AI870" s="412"/>
      <c r="AJ870" s="412"/>
      <c r="AK870" s="412"/>
      <c r="AL870" s="412"/>
      <c r="AM870" s="412"/>
    </row>
    <row r="871" spans="1:39" ht="12.75">
      <c r="A871" s="412"/>
      <c r="B871" s="413"/>
      <c r="C871" s="412"/>
      <c r="D871" s="486"/>
      <c r="E871" s="412"/>
      <c r="F871" s="412"/>
      <c r="G871" s="412"/>
      <c r="H871" s="412"/>
      <c r="I871" s="412"/>
      <c r="J871" s="412"/>
      <c r="K871" s="412"/>
      <c r="L871" s="412"/>
      <c r="M871" s="412"/>
      <c r="N871" s="412"/>
      <c r="O871" s="412"/>
      <c r="P871" s="487"/>
      <c r="Q871" s="412"/>
      <c r="R871" s="412"/>
      <c r="S871" s="412"/>
      <c r="T871" s="488"/>
      <c r="U871" s="412"/>
      <c r="V871" s="412"/>
      <c r="W871" s="412"/>
      <c r="X871" s="412"/>
      <c r="Y871" s="412"/>
      <c r="Z871" s="412"/>
      <c r="AA871" s="412"/>
      <c r="AB871" s="412"/>
      <c r="AC871" s="412"/>
      <c r="AD871" s="412"/>
      <c r="AE871" s="412"/>
      <c r="AF871" s="412"/>
      <c r="AG871" s="412"/>
      <c r="AH871" s="419">
        <f t="shared" si="630"/>
        <v>0</v>
      </c>
      <c r="AI871" s="412"/>
      <c r="AJ871" s="412"/>
      <c r="AK871" s="412"/>
      <c r="AL871" s="412"/>
      <c r="AM871" s="412"/>
    </row>
    <row r="872" spans="1:39" ht="12.75">
      <c r="A872" s="412"/>
      <c r="B872" s="413"/>
      <c r="C872" s="412"/>
      <c r="D872" s="486"/>
      <c r="E872" s="412"/>
      <c r="F872" s="412"/>
      <c r="G872" s="412"/>
      <c r="H872" s="412"/>
      <c r="I872" s="412"/>
      <c r="J872" s="412"/>
      <c r="K872" s="412"/>
      <c r="L872" s="412"/>
      <c r="M872" s="412"/>
      <c r="N872" s="412"/>
      <c r="O872" s="412"/>
      <c r="P872" s="487"/>
      <c r="Q872" s="412"/>
      <c r="R872" s="412"/>
      <c r="S872" s="412"/>
      <c r="T872" s="488"/>
      <c r="U872" s="412"/>
      <c r="V872" s="412"/>
      <c r="W872" s="412"/>
      <c r="X872" s="412"/>
      <c r="Y872" s="412"/>
      <c r="Z872" s="412"/>
      <c r="AA872" s="412"/>
      <c r="AB872" s="412"/>
      <c r="AC872" s="412"/>
      <c r="AD872" s="412"/>
      <c r="AE872" s="412"/>
      <c r="AF872" s="412"/>
      <c r="AG872" s="412"/>
      <c r="AH872" s="419">
        <f t="shared" si="630"/>
        <v>0</v>
      </c>
      <c r="AI872" s="412"/>
      <c r="AJ872" s="412"/>
      <c r="AK872" s="412"/>
      <c r="AL872" s="412"/>
      <c r="AM872" s="412"/>
    </row>
    <row r="873" spans="1:39" ht="12.75">
      <c r="A873" s="412"/>
      <c r="B873" s="413"/>
      <c r="C873" s="412"/>
      <c r="D873" s="486"/>
      <c r="E873" s="412"/>
      <c r="F873" s="412"/>
      <c r="G873" s="412"/>
      <c r="H873" s="412"/>
      <c r="I873" s="412"/>
      <c r="J873" s="412"/>
      <c r="K873" s="412"/>
      <c r="L873" s="412"/>
      <c r="M873" s="412"/>
      <c r="N873" s="412"/>
      <c r="O873" s="412"/>
      <c r="P873" s="487"/>
      <c r="Q873" s="412"/>
      <c r="R873" s="412"/>
      <c r="S873" s="412"/>
      <c r="T873" s="488"/>
      <c r="U873" s="412"/>
      <c r="V873" s="412"/>
      <c r="W873" s="412"/>
      <c r="X873" s="412"/>
      <c r="Y873" s="412"/>
      <c r="Z873" s="412"/>
      <c r="AA873" s="412"/>
      <c r="AB873" s="412"/>
      <c r="AC873" s="412"/>
      <c r="AD873" s="412"/>
      <c r="AE873" s="412"/>
      <c r="AF873" s="412"/>
      <c r="AG873" s="412"/>
      <c r="AH873" s="419">
        <f t="shared" si="630"/>
        <v>0</v>
      </c>
      <c r="AI873" s="412"/>
      <c r="AJ873" s="412"/>
      <c r="AK873" s="412"/>
      <c r="AL873" s="412"/>
      <c r="AM873" s="412"/>
    </row>
    <row r="874" spans="1:39" ht="12.75">
      <c r="A874" s="412"/>
      <c r="B874" s="413"/>
      <c r="C874" s="412"/>
      <c r="D874" s="486"/>
      <c r="E874" s="412"/>
      <c r="F874" s="412"/>
      <c r="G874" s="412"/>
      <c r="H874" s="412"/>
      <c r="I874" s="412"/>
      <c r="J874" s="412"/>
      <c r="K874" s="412"/>
      <c r="L874" s="412"/>
      <c r="M874" s="412"/>
      <c r="N874" s="412"/>
      <c r="O874" s="412"/>
      <c r="P874" s="487"/>
      <c r="Q874" s="412"/>
      <c r="R874" s="412"/>
      <c r="S874" s="412"/>
      <c r="T874" s="488"/>
      <c r="U874" s="412"/>
      <c r="V874" s="412"/>
      <c r="W874" s="412"/>
      <c r="X874" s="412"/>
      <c r="Y874" s="412"/>
      <c r="Z874" s="412"/>
      <c r="AA874" s="412"/>
      <c r="AB874" s="412"/>
      <c r="AC874" s="412"/>
      <c r="AD874" s="412"/>
      <c r="AE874" s="412"/>
      <c r="AF874" s="412"/>
      <c r="AG874" s="412"/>
      <c r="AH874" s="419">
        <f t="shared" si="630"/>
        <v>0</v>
      </c>
      <c r="AI874" s="412"/>
      <c r="AJ874" s="412"/>
      <c r="AK874" s="412"/>
      <c r="AL874" s="412"/>
      <c r="AM874" s="412"/>
    </row>
    <row r="875" spans="1:39" ht="12.75">
      <c r="A875" s="412"/>
      <c r="B875" s="413"/>
      <c r="C875" s="412"/>
      <c r="D875" s="486"/>
      <c r="E875" s="412"/>
      <c r="F875" s="412"/>
      <c r="G875" s="412"/>
      <c r="H875" s="412"/>
      <c r="I875" s="412"/>
      <c r="J875" s="412"/>
      <c r="K875" s="412"/>
      <c r="L875" s="412"/>
      <c r="M875" s="412"/>
      <c r="N875" s="412"/>
      <c r="O875" s="412"/>
      <c r="P875" s="487"/>
      <c r="Q875" s="412"/>
      <c r="R875" s="412"/>
      <c r="S875" s="412"/>
      <c r="T875" s="488"/>
      <c r="U875" s="412"/>
      <c r="V875" s="412"/>
      <c r="W875" s="412"/>
      <c r="X875" s="412"/>
      <c r="Y875" s="412"/>
      <c r="Z875" s="412"/>
      <c r="AA875" s="412"/>
      <c r="AB875" s="412"/>
      <c r="AC875" s="412"/>
      <c r="AD875" s="412"/>
      <c r="AE875" s="412"/>
      <c r="AF875" s="412"/>
      <c r="AG875" s="412"/>
      <c r="AH875" s="419">
        <f t="shared" si="630"/>
        <v>0</v>
      </c>
      <c r="AI875" s="412"/>
      <c r="AJ875" s="412"/>
      <c r="AK875" s="412"/>
      <c r="AL875" s="412"/>
      <c r="AM875" s="412"/>
    </row>
    <row r="876" spans="1:39" ht="12.75">
      <c r="A876" s="412"/>
      <c r="B876" s="413"/>
      <c r="C876" s="412"/>
      <c r="D876" s="486"/>
      <c r="E876" s="412"/>
      <c r="F876" s="412"/>
      <c r="G876" s="412"/>
      <c r="H876" s="412"/>
      <c r="I876" s="412"/>
      <c r="J876" s="412"/>
      <c r="K876" s="412"/>
      <c r="L876" s="412"/>
      <c r="M876" s="412"/>
      <c r="N876" s="412"/>
      <c r="O876" s="412"/>
      <c r="P876" s="487"/>
      <c r="Q876" s="412"/>
      <c r="R876" s="412"/>
      <c r="S876" s="412"/>
      <c r="T876" s="488"/>
      <c r="U876" s="412"/>
      <c r="V876" s="412"/>
      <c r="W876" s="412"/>
      <c r="X876" s="412"/>
      <c r="Y876" s="412"/>
      <c r="Z876" s="412"/>
      <c r="AA876" s="412"/>
      <c r="AB876" s="412"/>
      <c r="AC876" s="412"/>
      <c r="AD876" s="412"/>
      <c r="AE876" s="412"/>
      <c r="AF876" s="412"/>
      <c r="AG876" s="412"/>
      <c r="AH876" s="419">
        <f t="shared" si="630"/>
        <v>0</v>
      </c>
      <c r="AI876" s="412"/>
      <c r="AJ876" s="412"/>
      <c r="AK876" s="412"/>
      <c r="AL876" s="412"/>
      <c r="AM876" s="412"/>
    </row>
    <row r="877" spans="1:39" ht="12.75">
      <c r="A877" s="412"/>
      <c r="B877" s="413"/>
      <c r="C877" s="412"/>
      <c r="D877" s="486"/>
      <c r="E877" s="412"/>
      <c r="F877" s="412"/>
      <c r="G877" s="412"/>
      <c r="H877" s="412"/>
      <c r="I877" s="412"/>
      <c r="J877" s="412"/>
      <c r="K877" s="412"/>
      <c r="L877" s="412"/>
      <c r="M877" s="412"/>
      <c r="N877" s="412"/>
      <c r="O877" s="412"/>
      <c r="P877" s="487"/>
      <c r="Q877" s="412"/>
      <c r="R877" s="412"/>
      <c r="S877" s="412"/>
      <c r="T877" s="488"/>
      <c r="U877" s="412"/>
      <c r="V877" s="412"/>
      <c r="W877" s="412"/>
      <c r="X877" s="412"/>
      <c r="Y877" s="412"/>
      <c r="Z877" s="412"/>
      <c r="AA877" s="412"/>
      <c r="AB877" s="412"/>
      <c r="AC877" s="412"/>
      <c r="AD877" s="412"/>
      <c r="AE877" s="412"/>
      <c r="AF877" s="412"/>
      <c r="AG877" s="412"/>
      <c r="AH877" s="419">
        <f t="shared" si="630"/>
        <v>0</v>
      </c>
      <c r="AI877" s="412"/>
      <c r="AJ877" s="412"/>
      <c r="AK877" s="412"/>
      <c r="AL877" s="412"/>
      <c r="AM877" s="412"/>
    </row>
    <row r="878" spans="1:39" ht="12.75">
      <c r="A878" s="412"/>
      <c r="B878" s="413"/>
      <c r="C878" s="412"/>
      <c r="D878" s="486"/>
      <c r="E878" s="412"/>
      <c r="F878" s="412"/>
      <c r="G878" s="412"/>
      <c r="H878" s="412"/>
      <c r="I878" s="412"/>
      <c r="J878" s="412"/>
      <c r="K878" s="412"/>
      <c r="L878" s="412"/>
      <c r="M878" s="412"/>
      <c r="N878" s="412"/>
      <c r="O878" s="412"/>
      <c r="P878" s="487"/>
      <c r="Q878" s="412"/>
      <c r="R878" s="412"/>
      <c r="S878" s="412"/>
      <c r="T878" s="488"/>
      <c r="U878" s="412"/>
      <c r="V878" s="412"/>
      <c r="W878" s="412"/>
      <c r="X878" s="412"/>
      <c r="Y878" s="412"/>
      <c r="Z878" s="412"/>
      <c r="AA878" s="412"/>
      <c r="AB878" s="412"/>
      <c r="AC878" s="412"/>
      <c r="AD878" s="412"/>
      <c r="AE878" s="412"/>
      <c r="AF878" s="412"/>
      <c r="AG878" s="412"/>
      <c r="AH878" s="419">
        <f t="shared" si="630"/>
        <v>0</v>
      </c>
      <c r="AI878" s="412"/>
      <c r="AJ878" s="412"/>
      <c r="AK878" s="412"/>
      <c r="AL878" s="412"/>
      <c r="AM878" s="412"/>
    </row>
    <row r="879" spans="1:39" ht="12.75">
      <c r="A879" s="412"/>
      <c r="B879" s="413"/>
      <c r="C879" s="412"/>
      <c r="D879" s="486"/>
      <c r="E879" s="412"/>
      <c r="F879" s="412"/>
      <c r="G879" s="412"/>
      <c r="H879" s="412"/>
      <c r="I879" s="412"/>
      <c r="J879" s="412"/>
      <c r="K879" s="412"/>
      <c r="L879" s="412"/>
      <c r="M879" s="412"/>
      <c r="N879" s="412"/>
      <c r="O879" s="412"/>
      <c r="P879" s="487"/>
      <c r="Q879" s="412"/>
      <c r="R879" s="412"/>
      <c r="S879" s="412"/>
      <c r="T879" s="488"/>
      <c r="U879" s="412"/>
      <c r="V879" s="412"/>
      <c r="W879" s="412"/>
      <c r="X879" s="412"/>
      <c r="Y879" s="412"/>
      <c r="Z879" s="412"/>
      <c r="AA879" s="412"/>
      <c r="AB879" s="412"/>
      <c r="AC879" s="412"/>
      <c r="AD879" s="412"/>
      <c r="AE879" s="412"/>
      <c r="AF879" s="412"/>
      <c r="AG879" s="412"/>
      <c r="AH879" s="419">
        <f t="shared" si="630"/>
        <v>0</v>
      </c>
      <c r="AI879" s="412"/>
      <c r="AJ879" s="412"/>
      <c r="AK879" s="412"/>
      <c r="AL879" s="412"/>
      <c r="AM879" s="412"/>
    </row>
    <row r="880" spans="1:39" ht="12.75">
      <c r="A880" s="412"/>
      <c r="B880" s="413"/>
      <c r="C880" s="412"/>
      <c r="D880" s="486"/>
      <c r="E880" s="412"/>
      <c r="F880" s="412"/>
      <c r="G880" s="412"/>
      <c r="H880" s="412"/>
      <c r="I880" s="412"/>
      <c r="J880" s="412"/>
      <c r="K880" s="412"/>
      <c r="L880" s="412"/>
      <c r="M880" s="412"/>
      <c r="N880" s="412"/>
      <c r="O880" s="412"/>
      <c r="P880" s="487"/>
      <c r="Q880" s="412"/>
      <c r="R880" s="412"/>
      <c r="S880" s="412"/>
      <c r="T880" s="488"/>
      <c r="U880" s="412"/>
      <c r="V880" s="412"/>
      <c r="W880" s="412"/>
      <c r="X880" s="412"/>
      <c r="Y880" s="412"/>
      <c r="Z880" s="412"/>
      <c r="AA880" s="412"/>
      <c r="AB880" s="412"/>
      <c r="AC880" s="412"/>
      <c r="AD880" s="412"/>
      <c r="AE880" s="412"/>
      <c r="AF880" s="412"/>
      <c r="AG880" s="412"/>
      <c r="AH880" s="419">
        <f t="shared" si="630"/>
        <v>0</v>
      </c>
      <c r="AI880" s="412"/>
      <c r="AJ880" s="412"/>
      <c r="AK880" s="412"/>
      <c r="AL880" s="412"/>
      <c r="AM880" s="412"/>
    </row>
    <row r="881" spans="1:39" ht="12.75">
      <c r="A881" s="412"/>
      <c r="B881" s="413"/>
      <c r="C881" s="412"/>
      <c r="D881" s="486"/>
      <c r="E881" s="412"/>
      <c r="F881" s="412"/>
      <c r="G881" s="412"/>
      <c r="H881" s="412"/>
      <c r="I881" s="412"/>
      <c r="J881" s="412"/>
      <c r="K881" s="412"/>
      <c r="L881" s="412"/>
      <c r="M881" s="412"/>
      <c r="N881" s="412"/>
      <c r="O881" s="412"/>
      <c r="P881" s="487"/>
      <c r="Q881" s="412"/>
      <c r="R881" s="412"/>
      <c r="S881" s="412"/>
      <c r="T881" s="488"/>
      <c r="U881" s="412"/>
      <c r="V881" s="412"/>
      <c r="W881" s="412"/>
      <c r="X881" s="412"/>
      <c r="Y881" s="412"/>
      <c r="Z881" s="412"/>
      <c r="AA881" s="412"/>
      <c r="AB881" s="412"/>
      <c r="AC881" s="412"/>
      <c r="AD881" s="412"/>
      <c r="AE881" s="412"/>
      <c r="AF881" s="412"/>
      <c r="AG881" s="412"/>
      <c r="AH881" s="419">
        <f t="shared" si="630"/>
        <v>0</v>
      </c>
      <c r="AI881" s="412"/>
      <c r="AJ881" s="412"/>
      <c r="AK881" s="412"/>
      <c r="AL881" s="412"/>
      <c r="AM881" s="412"/>
    </row>
    <row r="882" spans="1:39" ht="12.75">
      <c r="A882" s="412"/>
      <c r="B882" s="413"/>
      <c r="C882" s="412"/>
      <c r="D882" s="486"/>
      <c r="E882" s="412"/>
      <c r="F882" s="412"/>
      <c r="G882" s="412"/>
      <c r="H882" s="412"/>
      <c r="I882" s="412"/>
      <c r="J882" s="412"/>
      <c r="K882" s="412"/>
      <c r="L882" s="412"/>
      <c r="M882" s="412"/>
      <c r="N882" s="412"/>
      <c r="O882" s="412"/>
      <c r="P882" s="487"/>
      <c r="Q882" s="412"/>
      <c r="R882" s="412"/>
      <c r="S882" s="412"/>
      <c r="T882" s="488"/>
      <c r="U882" s="412"/>
      <c r="V882" s="412"/>
      <c r="W882" s="412"/>
      <c r="X882" s="412"/>
      <c r="Y882" s="412"/>
      <c r="Z882" s="412"/>
      <c r="AA882" s="412"/>
      <c r="AB882" s="412"/>
      <c r="AC882" s="412"/>
      <c r="AD882" s="412"/>
      <c r="AE882" s="412"/>
      <c r="AF882" s="412"/>
      <c r="AG882" s="412"/>
      <c r="AH882" s="419">
        <f t="shared" si="630"/>
        <v>0</v>
      </c>
      <c r="AI882" s="412"/>
      <c r="AJ882" s="412"/>
      <c r="AK882" s="412"/>
      <c r="AL882" s="412"/>
      <c r="AM882" s="412"/>
    </row>
    <row r="883" spans="1:39" ht="12.75">
      <c r="A883" s="412"/>
      <c r="B883" s="413"/>
      <c r="C883" s="412"/>
      <c r="D883" s="486"/>
      <c r="E883" s="412"/>
      <c r="F883" s="412"/>
      <c r="G883" s="412"/>
      <c r="H883" s="412"/>
      <c r="I883" s="412"/>
      <c r="J883" s="412"/>
      <c r="K883" s="412"/>
      <c r="L883" s="412"/>
      <c r="M883" s="412"/>
      <c r="N883" s="412"/>
      <c r="O883" s="412"/>
      <c r="P883" s="487"/>
      <c r="Q883" s="412"/>
      <c r="R883" s="412"/>
      <c r="S883" s="412"/>
      <c r="T883" s="488"/>
      <c r="U883" s="412"/>
      <c r="V883" s="412"/>
      <c r="W883" s="412"/>
      <c r="X883" s="412"/>
      <c r="Y883" s="412"/>
      <c r="Z883" s="412"/>
      <c r="AA883" s="412"/>
      <c r="AB883" s="412"/>
      <c r="AC883" s="412"/>
      <c r="AD883" s="412"/>
      <c r="AE883" s="412"/>
      <c r="AF883" s="412"/>
      <c r="AG883" s="412"/>
      <c r="AH883" s="419">
        <f t="shared" si="630"/>
        <v>0</v>
      </c>
      <c r="AI883" s="412"/>
      <c r="AJ883" s="412"/>
      <c r="AK883" s="412"/>
      <c r="AL883" s="412"/>
      <c r="AM883" s="412"/>
    </row>
    <row r="884" spans="1:39" ht="12.75">
      <c r="A884" s="412"/>
      <c r="B884" s="413"/>
      <c r="C884" s="412"/>
      <c r="D884" s="486"/>
      <c r="E884" s="412"/>
      <c r="F884" s="412"/>
      <c r="G884" s="412"/>
      <c r="H884" s="412"/>
      <c r="I884" s="412"/>
      <c r="J884" s="412"/>
      <c r="K884" s="412"/>
      <c r="L884" s="412"/>
      <c r="M884" s="412"/>
      <c r="N884" s="412"/>
      <c r="O884" s="412"/>
      <c r="P884" s="487"/>
      <c r="Q884" s="412"/>
      <c r="R884" s="412"/>
      <c r="S884" s="412"/>
      <c r="T884" s="488"/>
      <c r="U884" s="412"/>
      <c r="V884" s="412"/>
      <c r="W884" s="412"/>
      <c r="X884" s="412"/>
      <c r="Y884" s="412"/>
      <c r="Z884" s="412"/>
      <c r="AA884" s="412"/>
      <c r="AB884" s="412"/>
      <c r="AC884" s="412"/>
      <c r="AD884" s="412"/>
      <c r="AE884" s="412"/>
      <c r="AF884" s="412"/>
      <c r="AG884" s="412"/>
      <c r="AH884" s="419">
        <f t="shared" si="630"/>
        <v>0</v>
      </c>
      <c r="AI884" s="412"/>
      <c r="AJ884" s="412"/>
      <c r="AK884" s="412"/>
      <c r="AL884" s="412"/>
      <c r="AM884" s="412"/>
    </row>
    <row r="885" spans="1:39" ht="12.75">
      <c r="A885" s="412"/>
      <c r="B885" s="413"/>
      <c r="C885" s="412"/>
      <c r="D885" s="486"/>
      <c r="E885" s="412"/>
      <c r="F885" s="412"/>
      <c r="G885" s="412"/>
      <c r="H885" s="412"/>
      <c r="I885" s="412"/>
      <c r="J885" s="412"/>
      <c r="K885" s="412"/>
      <c r="L885" s="412"/>
      <c r="M885" s="412"/>
      <c r="N885" s="412"/>
      <c r="O885" s="412"/>
      <c r="P885" s="487"/>
      <c r="Q885" s="412"/>
      <c r="R885" s="412"/>
      <c r="S885" s="412"/>
      <c r="T885" s="488"/>
      <c r="U885" s="412"/>
      <c r="V885" s="412"/>
      <c r="W885" s="412"/>
      <c r="X885" s="412"/>
      <c r="Y885" s="412"/>
      <c r="Z885" s="412"/>
      <c r="AA885" s="412"/>
      <c r="AB885" s="412"/>
      <c r="AC885" s="412"/>
      <c r="AD885" s="412"/>
      <c r="AE885" s="412"/>
      <c r="AF885" s="412"/>
      <c r="AG885" s="412"/>
      <c r="AH885" s="419">
        <f t="shared" si="630"/>
        <v>0</v>
      </c>
      <c r="AI885" s="412"/>
      <c r="AJ885" s="412"/>
      <c r="AK885" s="412"/>
      <c r="AL885" s="412"/>
      <c r="AM885" s="412"/>
    </row>
    <row r="886" spans="1:39" ht="12.75">
      <c r="A886" s="412"/>
      <c r="B886" s="413"/>
      <c r="C886" s="412"/>
      <c r="D886" s="486"/>
      <c r="E886" s="412"/>
      <c r="F886" s="412"/>
      <c r="G886" s="412"/>
      <c r="H886" s="412"/>
      <c r="I886" s="412"/>
      <c r="J886" s="412"/>
      <c r="K886" s="412"/>
      <c r="L886" s="412"/>
      <c r="M886" s="412"/>
      <c r="N886" s="412"/>
      <c r="O886" s="412"/>
      <c r="P886" s="487"/>
      <c r="Q886" s="412"/>
      <c r="R886" s="412"/>
      <c r="S886" s="412"/>
      <c r="T886" s="488"/>
      <c r="U886" s="412"/>
      <c r="V886" s="412"/>
      <c r="W886" s="412"/>
      <c r="X886" s="412"/>
      <c r="Y886" s="412"/>
      <c r="Z886" s="412"/>
      <c r="AA886" s="412"/>
      <c r="AB886" s="412"/>
      <c r="AC886" s="412"/>
      <c r="AD886" s="412"/>
      <c r="AE886" s="412"/>
      <c r="AF886" s="412"/>
      <c r="AG886" s="412"/>
      <c r="AH886" s="419">
        <f t="shared" si="630"/>
        <v>0</v>
      </c>
      <c r="AI886" s="412"/>
      <c r="AJ886" s="412"/>
      <c r="AK886" s="412"/>
      <c r="AL886" s="412"/>
      <c r="AM886" s="412"/>
    </row>
    <row r="887" spans="1:39" ht="12.75">
      <c r="A887" s="412"/>
      <c r="B887" s="413"/>
      <c r="C887" s="412"/>
      <c r="D887" s="486"/>
      <c r="E887" s="412"/>
      <c r="F887" s="412"/>
      <c r="G887" s="412"/>
      <c r="H887" s="412"/>
      <c r="I887" s="412"/>
      <c r="J887" s="412"/>
      <c r="K887" s="412"/>
      <c r="L887" s="412"/>
      <c r="M887" s="412"/>
      <c r="N887" s="412"/>
      <c r="O887" s="412"/>
      <c r="P887" s="487"/>
      <c r="Q887" s="412"/>
      <c r="R887" s="412"/>
      <c r="S887" s="412"/>
      <c r="T887" s="488"/>
      <c r="U887" s="412"/>
      <c r="V887" s="412"/>
      <c r="W887" s="412"/>
      <c r="X887" s="412"/>
      <c r="Y887" s="412"/>
      <c r="Z887" s="412"/>
      <c r="AA887" s="412"/>
      <c r="AB887" s="412"/>
      <c r="AC887" s="412"/>
      <c r="AD887" s="412"/>
      <c r="AE887" s="412"/>
      <c r="AF887" s="412"/>
      <c r="AG887" s="412"/>
      <c r="AH887" s="419">
        <f t="shared" si="630"/>
        <v>0</v>
      </c>
      <c r="AI887" s="412"/>
      <c r="AJ887" s="412"/>
      <c r="AK887" s="412"/>
      <c r="AL887" s="412"/>
      <c r="AM887" s="412"/>
    </row>
    <row r="888" spans="1:39" ht="12.75">
      <c r="A888" s="412"/>
      <c r="B888" s="413"/>
      <c r="C888" s="412"/>
      <c r="D888" s="486"/>
      <c r="E888" s="412"/>
      <c r="F888" s="412"/>
      <c r="G888" s="412"/>
      <c r="H888" s="412"/>
      <c r="I888" s="412"/>
      <c r="J888" s="412"/>
      <c r="K888" s="412"/>
      <c r="L888" s="412"/>
      <c r="M888" s="412"/>
      <c r="N888" s="412"/>
      <c r="O888" s="412"/>
      <c r="P888" s="487"/>
      <c r="Q888" s="412"/>
      <c r="R888" s="412"/>
      <c r="S888" s="412"/>
      <c r="T888" s="488"/>
      <c r="U888" s="412"/>
      <c r="V888" s="412"/>
      <c r="W888" s="412"/>
      <c r="X888" s="412"/>
      <c r="Y888" s="412"/>
      <c r="Z888" s="412"/>
      <c r="AA888" s="412"/>
      <c r="AB888" s="412"/>
      <c r="AC888" s="412"/>
      <c r="AD888" s="412"/>
      <c r="AE888" s="412"/>
      <c r="AF888" s="412"/>
      <c r="AG888" s="412"/>
      <c r="AH888" s="419">
        <f t="shared" si="630"/>
        <v>0</v>
      </c>
      <c r="AI888" s="412"/>
      <c r="AJ888" s="412"/>
      <c r="AK888" s="412"/>
      <c r="AL888" s="412"/>
      <c r="AM888" s="412"/>
    </row>
    <row r="889" spans="1:39" ht="12.75">
      <c r="A889" s="412"/>
      <c r="B889" s="413"/>
      <c r="C889" s="412"/>
      <c r="D889" s="486"/>
      <c r="E889" s="412"/>
      <c r="F889" s="412"/>
      <c r="G889" s="412"/>
      <c r="H889" s="412"/>
      <c r="I889" s="412"/>
      <c r="J889" s="412"/>
      <c r="K889" s="412"/>
      <c r="L889" s="412"/>
      <c r="M889" s="412"/>
      <c r="N889" s="412"/>
      <c r="O889" s="412"/>
      <c r="P889" s="487"/>
      <c r="Q889" s="412"/>
      <c r="R889" s="412"/>
      <c r="S889" s="412"/>
      <c r="T889" s="488"/>
      <c r="U889" s="412"/>
      <c r="V889" s="412"/>
      <c r="W889" s="412"/>
      <c r="X889" s="412"/>
      <c r="Y889" s="412"/>
      <c r="Z889" s="412"/>
      <c r="AA889" s="412"/>
      <c r="AB889" s="412"/>
      <c r="AC889" s="412"/>
      <c r="AD889" s="412"/>
      <c r="AE889" s="412"/>
      <c r="AF889" s="412"/>
      <c r="AG889" s="412"/>
      <c r="AH889" s="419">
        <f t="shared" si="630"/>
        <v>0</v>
      </c>
      <c r="AI889" s="412"/>
      <c r="AJ889" s="412"/>
      <c r="AK889" s="412"/>
      <c r="AL889" s="412"/>
      <c r="AM889" s="412"/>
    </row>
    <row r="890" spans="1:39" ht="12.75">
      <c r="A890" s="412"/>
      <c r="B890" s="413"/>
      <c r="C890" s="412"/>
      <c r="D890" s="486"/>
      <c r="E890" s="412"/>
      <c r="F890" s="412"/>
      <c r="G890" s="412"/>
      <c r="H890" s="412"/>
      <c r="I890" s="412"/>
      <c r="J890" s="412"/>
      <c r="K890" s="412"/>
      <c r="L890" s="412"/>
      <c r="M890" s="412"/>
      <c r="N890" s="412"/>
      <c r="O890" s="412"/>
      <c r="P890" s="487"/>
      <c r="Q890" s="412"/>
      <c r="R890" s="412"/>
      <c r="S890" s="412"/>
      <c r="T890" s="488"/>
      <c r="U890" s="412"/>
      <c r="V890" s="412"/>
      <c r="W890" s="412"/>
      <c r="X890" s="412"/>
      <c r="Y890" s="412"/>
      <c r="Z890" s="412"/>
      <c r="AA890" s="412"/>
      <c r="AB890" s="412"/>
      <c r="AC890" s="412"/>
      <c r="AD890" s="412"/>
      <c r="AE890" s="412"/>
      <c r="AF890" s="412"/>
      <c r="AG890" s="412"/>
      <c r="AH890" s="419">
        <f t="shared" si="630"/>
        <v>0</v>
      </c>
      <c r="AI890" s="412"/>
      <c r="AJ890" s="412"/>
      <c r="AK890" s="412"/>
      <c r="AL890" s="412"/>
      <c r="AM890" s="412"/>
    </row>
    <row r="891" spans="1:39" ht="12.75">
      <c r="A891" s="412"/>
      <c r="B891" s="413"/>
      <c r="C891" s="412"/>
      <c r="D891" s="486"/>
      <c r="E891" s="412"/>
      <c r="F891" s="412"/>
      <c r="G891" s="412"/>
      <c r="H891" s="412"/>
      <c r="I891" s="412"/>
      <c r="J891" s="412"/>
      <c r="K891" s="412"/>
      <c r="L891" s="412"/>
      <c r="M891" s="412"/>
      <c r="N891" s="412"/>
      <c r="O891" s="412"/>
      <c r="P891" s="487"/>
      <c r="Q891" s="412"/>
      <c r="R891" s="412"/>
      <c r="S891" s="412"/>
      <c r="T891" s="488"/>
      <c r="U891" s="412"/>
      <c r="V891" s="412"/>
      <c r="W891" s="412"/>
      <c r="X891" s="412"/>
      <c r="Y891" s="412"/>
      <c r="Z891" s="412"/>
      <c r="AA891" s="412"/>
      <c r="AB891" s="412"/>
      <c r="AC891" s="412"/>
      <c r="AD891" s="412"/>
      <c r="AE891" s="412"/>
      <c r="AF891" s="412"/>
      <c r="AG891" s="412"/>
      <c r="AH891" s="419">
        <f t="shared" si="630"/>
        <v>0</v>
      </c>
      <c r="AI891" s="412"/>
      <c r="AJ891" s="412"/>
      <c r="AK891" s="412"/>
      <c r="AL891" s="412"/>
      <c r="AM891" s="412"/>
    </row>
    <row r="892" spans="1:39" ht="12.75">
      <c r="A892" s="412"/>
      <c r="B892" s="413"/>
      <c r="C892" s="412"/>
      <c r="D892" s="486"/>
      <c r="E892" s="412"/>
      <c r="F892" s="412"/>
      <c r="G892" s="412"/>
      <c r="H892" s="412"/>
      <c r="I892" s="412"/>
      <c r="J892" s="412"/>
      <c r="K892" s="412"/>
      <c r="L892" s="412"/>
      <c r="M892" s="412"/>
      <c r="N892" s="412"/>
      <c r="O892" s="412"/>
      <c r="P892" s="487"/>
      <c r="Q892" s="412"/>
      <c r="R892" s="412"/>
      <c r="S892" s="412"/>
      <c r="T892" s="488"/>
      <c r="U892" s="412"/>
      <c r="V892" s="412"/>
      <c r="W892" s="412"/>
      <c r="X892" s="412"/>
      <c r="Y892" s="412"/>
      <c r="Z892" s="412"/>
      <c r="AA892" s="412"/>
      <c r="AB892" s="412"/>
      <c r="AC892" s="412"/>
      <c r="AD892" s="412"/>
      <c r="AE892" s="412"/>
      <c r="AF892" s="412"/>
      <c r="AG892" s="412"/>
      <c r="AH892" s="419">
        <f t="shared" si="630"/>
        <v>0</v>
      </c>
      <c r="AI892" s="412"/>
      <c r="AJ892" s="412"/>
      <c r="AK892" s="412"/>
      <c r="AL892" s="412"/>
      <c r="AM892" s="412"/>
    </row>
    <row r="893" spans="1:39" ht="12.75">
      <c r="A893" s="412"/>
      <c r="B893" s="413"/>
      <c r="C893" s="412"/>
      <c r="D893" s="486"/>
      <c r="E893" s="412"/>
      <c r="F893" s="412"/>
      <c r="G893" s="412"/>
      <c r="H893" s="412"/>
      <c r="I893" s="412"/>
      <c r="J893" s="412"/>
      <c r="K893" s="412"/>
      <c r="L893" s="412"/>
      <c r="M893" s="412"/>
      <c r="N893" s="412"/>
      <c r="O893" s="412"/>
      <c r="P893" s="487"/>
      <c r="Q893" s="412"/>
      <c r="R893" s="412"/>
      <c r="S893" s="412"/>
      <c r="T893" s="488"/>
      <c r="U893" s="412"/>
      <c r="V893" s="412"/>
      <c r="W893" s="412"/>
      <c r="X893" s="412"/>
      <c r="Y893" s="412"/>
      <c r="Z893" s="412"/>
      <c r="AA893" s="412"/>
      <c r="AB893" s="412"/>
      <c r="AC893" s="412"/>
      <c r="AD893" s="412"/>
      <c r="AE893" s="412"/>
      <c r="AF893" s="412"/>
      <c r="AG893" s="412"/>
      <c r="AH893" s="419">
        <f t="shared" si="630"/>
        <v>0</v>
      </c>
      <c r="AI893" s="412"/>
      <c r="AJ893" s="412"/>
      <c r="AK893" s="412"/>
      <c r="AL893" s="412"/>
      <c r="AM893" s="412"/>
    </row>
    <row r="894" spans="1:39" ht="12.75">
      <c r="A894" s="412"/>
      <c r="B894" s="413"/>
      <c r="C894" s="412"/>
      <c r="D894" s="486"/>
      <c r="E894" s="412"/>
      <c r="F894" s="412"/>
      <c r="G894" s="412"/>
      <c r="H894" s="412"/>
      <c r="I894" s="412"/>
      <c r="J894" s="412"/>
      <c r="K894" s="412"/>
      <c r="L894" s="412"/>
      <c r="M894" s="412"/>
      <c r="N894" s="412"/>
      <c r="O894" s="412"/>
      <c r="P894" s="487"/>
      <c r="Q894" s="412"/>
      <c r="R894" s="412"/>
      <c r="S894" s="412"/>
      <c r="T894" s="488"/>
      <c r="U894" s="412"/>
      <c r="V894" s="412"/>
      <c r="W894" s="412"/>
      <c r="X894" s="412"/>
      <c r="Y894" s="412"/>
      <c r="Z894" s="412"/>
      <c r="AA894" s="412"/>
      <c r="AB894" s="412"/>
      <c r="AC894" s="412"/>
      <c r="AD894" s="412"/>
      <c r="AE894" s="412"/>
      <c r="AF894" s="412"/>
      <c r="AG894" s="412"/>
      <c r="AH894" s="419">
        <f t="shared" si="630"/>
        <v>0</v>
      </c>
      <c r="AI894" s="412"/>
      <c r="AJ894" s="412"/>
      <c r="AK894" s="412"/>
      <c r="AL894" s="412"/>
      <c r="AM894" s="412"/>
    </row>
    <row r="895" spans="1:39" ht="12.75">
      <c r="A895" s="412"/>
      <c r="B895" s="413"/>
      <c r="C895" s="412"/>
      <c r="D895" s="486"/>
      <c r="E895" s="412"/>
      <c r="F895" s="412"/>
      <c r="G895" s="412"/>
      <c r="H895" s="412"/>
      <c r="I895" s="412"/>
      <c r="J895" s="412"/>
      <c r="K895" s="412"/>
      <c r="L895" s="412"/>
      <c r="M895" s="412"/>
      <c r="N895" s="412"/>
      <c r="O895" s="412"/>
      <c r="P895" s="487"/>
      <c r="Q895" s="412"/>
      <c r="R895" s="412"/>
      <c r="S895" s="412"/>
      <c r="T895" s="488"/>
      <c r="U895" s="412"/>
      <c r="V895" s="412"/>
      <c r="W895" s="412"/>
      <c r="X895" s="412"/>
      <c r="Y895" s="412"/>
      <c r="Z895" s="412"/>
      <c r="AA895" s="412"/>
      <c r="AB895" s="412"/>
      <c r="AC895" s="412"/>
      <c r="AD895" s="412"/>
      <c r="AE895" s="412"/>
      <c r="AF895" s="412"/>
      <c r="AG895" s="412"/>
      <c r="AH895" s="419">
        <f t="shared" si="630"/>
        <v>0</v>
      </c>
      <c r="AI895" s="412"/>
      <c r="AJ895" s="412"/>
      <c r="AK895" s="412"/>
      <c r="AL895" s="412"/>
      <c r="AM895" s="412"/>
    </row>
    <row r="896" spans="1:39" ht="12.75">
      <c r="A896" s="412"/>
      <c r="B896" s="413"/>
      <c r="C896" s="412"/>
      <c r="D896" s="486"/>
      <c r="E896" s="412"/>
      <c r="F896" s="412"/>
      <c r="G896" s="412"/>
      <c r="H896" s="412"/>
      <c r="I896" s="412"/>
      <c r="J896" s="412"/>
      <c r="K896" s="412"/>
      <c r="L896" s="412"/>
      <c r="M896" s="412"/>
      <c r="N896" s="412"/>
      <c r="O896" s="412"/>
      <c r="P896" s="487"/>
      <c r="Q896" s="412"/>
      <c r="R896" s="412"/>
      <c r="S896" s="412"/>
      <c r="T896" s="488"/>
      <c r="U896" s="412"/>
      <c r="V896" s="412"/>
      <c r="W896" s="412"/>
      <c r="X896" s="412"/>
      <c r="Y896" s="412"/>
      <c r="Z896" s="412"/>
      <c r="AA896" s="412"/>
      <c r="AB896" s="412"/>
      <c r="AC896" s="412"/>
      <c r="AD896" s="412"/>
      <c r="AE896" s="412"/>
      <c r="AF896" s="412"/>
      <c r="AG896" s="412"/>
      <c r="AH896" s="419">
        <f t="shared" si="630"/>
        <v>0</v>
      </c>
      <c r="AI896" s="412"/>
      <c r="AJ896" s="412"/>
      <c r="AK896" s="412"/>
      <c r="AL896" s="412"/>
      <c r="AM896" s="412"/>
    </row>
    <row r="897" spans="1:39" ht="12.75">
      <c r="A897" s="412"/>
      <c r="B897" s="413"/>
      <c r="C897" s="412"/>
      <c r="D897" s="486"/>
      <c r="E897" s="412"/>
      <c r="F897" s="412"/>
      <c r="G897" s="412"/>
      <c r="H897" s="412"/>
      <c r="I897" s="412"/>
      <c r="J897" s="412"/>
      <c r="K897" s="412"/>
      <c r="L897" s="412"/>
      <c r="M897" s="412"/>
      <c r="N897" s="412"/>
      <c r="O897" s="412"/>
      <c r="P897" s="487"/>
      <c r="Q897" s="412"/>
      <c r="R897" s="412"/>
      <c r="S897" s="412"/>
      <c r="T897" s="488"/>
      <c r="U897" s="412"/>
      <c r="V897" s="412"/>
      <c r="W897" s="412"/>
      <c r="X897" s="412"/>
      <c r="Y897" s="412"/>
      <c r="Z897" s="412"/>
      <c r="AA897" s="412"/>
      <c r="AB897" s="412"/>
      <c r="AC897" s="412"/>
      <c r="AD897" s="412"/>
      <c r="AE897" s="412"/>
      <c r="AF897" s="412"/>
      <c r="AG897" s="412"/>
      <c r="AH897" s="419">
        <f t="shared" si="630"/>
        <v>0</v>
      </c>
      <c r="AI897" s="412"/>
      <c r="AJ897" s="412"/>
      <c r="AK897" s="412"/>
      <c r="AL897" s="412"/>
      <c r="AM897" s="412"/>
    </row>
    <row r="898" spans="1:39" ht="12.75">
      <c r="A898" s="412"/>
      <c r="B898" s="413"/>
      <c r="C898" s="412"/>
      <c r="D898" s="486"/>
      <c r="E898" s="412"/>
      <c r="F898" s="412"/>
      <c r="G898" s="412"/>
      <c r="H898" s="412"/>
      <c r="I898" s="412"/>
      <c r="J898" s="412"/>
      <c r="K898" s="412"/>
      <c r="L898" s="412"/>
      <c r="M898" s="412"/>
      <c r="N898" s="412"/>
      <c r="O898" s="412"/>
      <c r="P898" s="487"/>
      <c r="Q898" s="412"/>
      <c r="R898" s="412"/>
      <c r="S898" s="412"/>
      <c r="T898" s="488"/>
      <c r="U898" s="412"/>
      <c r="V898" s="412"/>
      <c r="W898" s="412"/>
      <c r="X898" s="412"/>
      <c r="Y898" s="412"/>
      <c r="Z898" s="412"/>
      <c r="AA898" s="412"/>
      <c r="AB898" s="412"/>
      <c r="AC898" s="412"/>
      <c r="AD898" s="412"/>
      <c r="AE898" s="412"/>
      <c r="AF898" s="412"/>
      <c r="AG898" s="412"/>
      <c r="AH898" s="419">
        <f t="shared" ref="AH898:AH961" si="631">AG898-F898</f>
        <v>0</v>
      </c>
      <c r="AI898" s="412"/>
      <c r="AJ898" s="412"/>
      <c r="AK898" s="412"/>
      <c r="AL898" s="412"/>
      <c r="AM898" s="412"/>
    </row>
    <row r="899" spans="1:39" ht="12.75">
      <c r="A899" s="412"/>
      <c r="B899" s="413"/>
      <c r="C899" s="412"/>
      <c r="D899" s="486"/>
      <c r="E899" s="412"/>
      <c r="F899" s="412"/>
      <c r="G899" s="412"/>
      <c r="H899" s="412"/>
      <c r="I899" s="412"/>
      <c r="J899" s="412"/>
      <c r="K899" s="412"/>
      <c r="L899" s="412"/>
      <c r="M899" s="412"/>
      <c r="N899" s="412"/>
      <c r="O899" s="412"/>
      <c r="P899" s="487"/>
      <c r="Q899" s="412"/>
      <c r="R899" s="412"/>
      <c r="S899" s="412"/>
      <c r="T899" s="488"/>
      <c r="U899" s="412"/>
      <c r="V899" s="412"/>
      <c r="W899" s="412"/>
      <c r="X899" s="412"/>
      <c r="Y899" s="412"/>
      <c r="Z899" s="412"/>
      <c r="AA899" s="412"/>
      <c r="AB899" s="412"/>
      <c r="AC899" s="412"/>
      <c r="AD899" s="412"/>
      <c r="AE899" s="412"/>
      <c r="AF899" s="412"/>
      <c r="AG899" s="412"/>
      <c r="AH899" s="419">
        <f t="shared" si="631"/>
        <v>0</v>
      </c>
      <c r="AI899" s="412"/>
      <c r="AJ899" s="412"/>
      <c r="AK899" s="412"/>
      <c r="AL899" s="412"/>
      <c r="AM899" s="412"/>
    </row>
    <row r="900" spans="1:39" ht="12.75">
      <c r="A900" s="412"/>
      <c r="B900" s="413"/>
      <c r="C900" s="412"/>
      <c r="D900" s="486"/>
      <c r="E900" s="412"/>
      <c r="F900" s="412"/>
      <c r="G900" s="412"/>
      <c r="H900" s="412"/>
      <c r="I900" s="412"/>
      <c r="J900" s="412"/>
      <c r="K900" s="412"/>
      <c r="L900" s="412"/>
      <c r="M900" s="412"/>
      <c r="N900" s="412"/>
      <c r="O900" s="412"/>
      <c r="P900" s="487"/>
      <c r="Q900" s="412"/>
      <c r="R900" s="412"/>
      <c r="S900" s="412"/>
      <c r="T900" s="488"/>
      <c r="U900" s="412"/>
      <c r="V900" s="412"/>
      <c r="W900" s="412"/>
      <c r="X900" s="412"/>
      <c r="Y900" s="412"/>
      <c r="Z900" s="412"/>
      <c r="AA900" s="412"/>
      <c r="AB900" s="412"/>
      <c r="AC900" s="412"/>
      <c r="AD900" s="412"/>
      <c r="AE900" s="412"/>
      <c r="AF900" s="412"/>
      <c r="AG900" s="412"/>
      <c r="AH900" s="419">
        <f t="shared" si="631"/>
        <v>0</v>
      </c>
      <c r="AI900" s="412"/>
      <c r="AJ900" s="412"/>
      <c r="AK900" s="412"/>
      <c r="AL900" s="412"/>
      <c r="AM900" s="412"/>
    </row>
    <row r="901" spans="1:39" ht="12.75">
      <c r="A901" s="412"/>
      <c r="B901" s="413"/>
      <c r="C901" s="412"/>
      <c r="D901" s="486"/>
      <c r="E901" s="412"/>
      <c r="F901" s="412"/>
      <c r="G901" s="412"/>
      <c r="H901" s="412"/>
      <c r="I901" s="412"/>
      <c r="J901" s="412"/>
      <c r="K901" s="412"/>
      <c r="L901" s="412"/>
      <c r="M901" s="412"/>
      <c r="N901" s="412"/>
      <c r="O901" s="412"/>
      <c r="P901" s="487"/>
      <c r="Q901" s="412"/>
      <c r="R901" s="412"/>
      <c r="S901" s="412"/>
      <c r="T901" s="488"/>
      <c r="U901" s="412"/>
      <c r="V901" s="412"/>
      <c r="W901" s="412"/>
      <c r="X901" s="412"/>
      <c r="Y901" s="412"/>
      <c r="Z901" s="412"/>
      <c r="AA901" s="412"/>
      <c r="AB901" s="412"/>
      <c r="AC901" s="412"/>
      <c r="AD901" s="412"/>
      <c r="AE901" s="412"/>
      <c r="AF901" s="412"/>
      <c r="AG901" s="412"/>
      <c r="AH901" s="419">
        <f t="shared" si="631"/>
        <v>0</v>
      </c>
      <c r="AI901" s="412"/>
      <c r="AJ901" s="412"/>
      <c r="AK901" s="412"/>
      <c r="AL901" s="412"/>
      <c r="AM901" s="412"/>
    </row>
    <row r="902" spans="1:39" ht="12.75">
      <c r="A902" s="412"/>
      <c r="B902" s="413"/>
      <c r="C902" s="412"/>
      <c r="D902" s="486"/>
      <c r="E902" s="412"/>
      <c r="F902" s="412"/>
      <c r="G902" s="412"/>
      <c r="H902" s="412"/>
      <c r="I902" s="412"/>
      <c r="J902" s="412"/>
      <c r="K902" s="412"/>
      <c r="L902" s="412"/>
      <c r="M902" s="412"/>
      <c r="N902" s="412"/>
      <c r="O902" s="412"/>
      <c r="P902" s="487"/>
      <c r="Q902" s="412"/>
      <c r="R902" s="412"/>
      <c r="S902" s="412"/>
      <c r="T902" s="488"/>
      <c r="U902" s="412"/>
      <c r="V902" s="412"/>
      <c r="W902" s="412"/>
      <c r="X902" s="412"/>
      <c r="Y902" s="412"/>
      <c r="Z902" s="412"/>
      <c r="AA902" s="412"/>
      <c r="AB902" s="412"/>
      <c r="AC902" s="412"/>
      <c r="AD902" s="412"/>
      <c r="AE902" s="412"/>
      <c r="AF902" s="412"/>
      <c r="AG902" s="412"/>
      <c r="AH902" s="419">
        <f t="shared" si="631"/>
        <v>0</v>
      </c>
      <c r="AI902" s="412"/>
      <c r="AJ902" s="412"/>
      <c r="AK902" s="412"/>
      <c r="AL902" s="412"/>
      <c r="AM902" s="412"/>
    </row>
    <row r="903" spans="1:39" ht="12.75">
      <c r="A903" s="412"/>
      <c r="B903" s="413"/>
      <c r="C903" s="412"/>
      <c r="D903" s="486"/>
      <c r="E903" s="412"/>
      <c r="F903" s="412"/>
      <c r="G903" s="412"/>
      <c r="H903" s="412"/>
      <c r="I903" s="412"/>
      <c r="J903" s="412"/>
      <c r="K903" s="412"/>
      <c r="L903" s="412"/>
      <c r="M903" s="412"/>
      <c r="N903" s="412"/>
      <c r="O903" s="412"/>
      <c r="P903" s="487"/>
      <c r="Q903" s="412"/>
      <c r="R903" s="412"/>
      <c r="S903" s="412"/>
      <c r="T903" s="488"/>
      <c r="U903" s="412"/>
      <c r="V903" s="412"/>
      <c r="W903" s="412"/>
      <c r="X903" s="412"/>
      <c r="Y903" s="412"/>
      <c r="Z903" s="412"/>
      <c r="AA903" s="412"/>
      <c r="AB903" s="412"/>
      <c r="AC903" s="412"/>
      <c r="AD903" s="412"/>
      <c r="AE903" s="412"/>
      <c r="AF903" s="412"/>
      <c r="AG903" s="412"/>
      <c r="AH903" s="419">
        <f t="shared" si="631"/>
        <v>0</v>
      </c>
      <c r="AI903" s="412"/>
      <c r="AJ903" s="412"/>
      <c r="AK903" s="412"/>
      <c r="AL903" s="412"/>
      <c r="AM903" s="412"/>
    </row>
    <row r="904" spans="1:39" ht="12.75">
      <c r="A904" s="412"/>
      <c r="B904" s="413"/>
      <c r="C904" s="412"/>
      <c r="D904" s="486"/>
      <c r="E904" s="412"/>
      <c r="F904" s="412"/>
      <c r="G904" s="412"/>
      <c r="H904" s="412"/>
      <c r="I904" s="412"/>
      <c r="J904" s="412"/>
      <c r="K904" s="412"/>
      <c r="L904" s="412"/>
      <c r="M904" s="412"/>
      <c r="N904" s="412"/>
      <c r="O904" s="412"/>
      <c r="P904" s="487"/>
      <c r="Q904" s="412"/>
      <c r="R904" s="412"/>
      <c r="S904" s="412"/>
      <c r="T904" s="488"/>
      <c r="U904" s="412"/>
      <c r="V904" s="412"/>
      <c r="W904" s="412"/>
      <c r="X904" s="412"/>
      <c r="Y904" s="412"/>
      <c r="Z904" s="412"/>
      <c r="AA904" s="412"/>
      <c r="AB904" s="412"/>
      <c r="AC904" s="412"/>
      <c r="AD904" s="412"/>
      <c r="AE904" s="412"/>
      <c r="AF904" s="412"/>
      <c r="AG904" s="412"/>
      <c r="AH904" s="419">
        <f t="shared" si="631"/>
        <v>0</v>
      </c>
      <c r="AI904" s="412"/>
      <c r="AJ904" s="412"/>
      <c r="AK904" s="412"/>
      <c r="AL904" s="412"/>
      <c r="AM904" s="412"/>
    </row>
    <row r="905" spans="1:39" ht="12.75">
      <c r="A905" s="412"/>
      <c r="B905" s="413"/>
      <c r="C905" s="412"/>
      <c r="D905" s="486"/>
      <c r="E905" s="412"/>
      <c r="F905" s="412"/>
      <c r="G905" s="412"/>
      <c r="H905" s="412"/>
      <c r="I905" s="412"/>
      <c r="J905" s="412"/>
      <c r="K905" s="412"/>
      <c r="L905" s="412"/>
      <c r="M905" s="412"/>
      <c r="N905" s="412"/>
      <c r="O905" s="412"/>
      <c r="P905" s="487"/>
      <c r="Q905" s="412"/>
      <c r="R905" s="412"/>
      <c r="S905" s="412"/>
      <c r="T905" s="488"/>
      <c r="U905" s="412"/>
      <c r="V905" s="412"/>
      <c r="W905" s="412"/>
      <c r="X905" s="412"/>
      <c r="Y905" s="412"/>
      <c r="Z905" s="412"/>
      <c r="AA905" s="412"/>
      <c r="AB905" s="412"/>
      <c r="AC905" s="412"/>
      <c r="AD905" s="412"/>
      <c r="AE905" s="412"/>
      <c r="AF905" s="412"/>
      <c r="AG905" s="412"/>
      <c r="AH905" s="419">
        <f t="shared" si="631"/>
        <v>0</v>
      </c>
      <c r="AI905" s="412"/>
      <c r="AJ905" s="412"/>
      <c r="AK905" s="412"/>
      <c r="AL905" s="412"/>
      <c r="AM905" s="412"/>
    </row>
    <row r="906" spans="1:39" ht="12.75">
      <c r="A906" s="412"/>
      <c r="B906" s="413"/>
      <c r="C906" s="412"/>
      <c r="D906" s="486"/>
      <c r="E906" s="412"/>
      <c r="F906" s="412"/>
      <c r="G906" s="412"/>
      <c r="H906" s="412"/>
      <c r="I906" s="412"/>
      <c r="J906" s="412"/>
      <c r="K906" s="412"/>
      <c r="L906" s="412"/>
      <c r="M906" s="412"/>
      <c r="N906" s="412"/>
      <c r="O906" s="412"/>
      <c r="P906" s="487"/>
      <c r="Q906" s="412"/>
      <c r="R906" s="412"/>
      <c r="S906" s="412"/>
      <c r="T906" s="488"/>
      <c r="U906" s="412"/>
      <c r="V906" s="412"/>
      <c r="W906" s="412"/>
      <c r="X906" s="412"/>
      <c r="Y906" s="412"/>
      <c r="Z906" s="412"/>
      <c r="AA906" s="412"/>
      <c r="AB906" s="412"/>
      <c r="AC906" s="412"/>
      <c r="AD906" s="412"/>
      <c r="AE906" s="412"/>
      <c r="AF906" s="412"/>
      <c r="AG906" s="412"/>
      <c r="AH906" s="419">
        <f t="shared" si="631"/>
        <v>0</v>
      </c>
      <c r="AI906" s="412"/>
      <c r="AJ906" s="412"/>
      <c r="AK906" s="412"/>
      <c r="AL906" s="412"/>
      <c r="AM906" s="412"/>
    </row>
    <row r="907" spans="1:39" ht="12.75">
      <c r="A907" s="412"/>
      <c r="B907" s="413"/>
      <c r="C907" s="412"/>
      <c r="D907" s="486"/>
      <c r="E907" s="412"/>
      <c r="F907" s="412"/>
      <c r="G907" s="412"/>
      <c r="H907" s="412"/>
      <c r="I907" s="412"/>
      <c r="J907" s="412"/>
      <c r="K907" s="412"/>
      <c r="L907" s="412"/>
      <c r="M907" s="412"/>
      <c r="N907" s="412"/>
      <c r="O907" s="412"/>
      <c r="P907" s="487"/>
      <c r="Q907" s="412"/>
      <c r="R907" s="412"/>
      <c r="S907" s="412"/>
      <c r="T907" s="488"/>
      <c r="U907" s="412"/>
      <c r="V907" s="412"/>
      <c r="W907" s="412"/>
      <c r="X907" s="412"/>
      <c r="Y907" s="412"/>
      <c r="Z907" s="412"/>
      <c r="AA907" s="412"/>
      <c r="AB907" s="412"/>
      <c r="AC907" s="412"/>
      <c r="AD907" s="412"/>
      <c r="AE907" s="412"/>
      <c r="AF907" s="412"/>
      <c r="AG907" s="412"/>
      <c r="AH907" s="419">
        <f t="shared" si="631"/>
        <v>0</v>
      </c>
      <c r="AI907" s="412"/>
      <c r="AJ907" s="412"/>
      <c r="AK907" s="412"/>
      <c r="AL907" s="412"/>
      <c r="AM907" s="412"/>
    </row>
    <row r="908" spans="1:39" ht="12.75">
      <c r="A908" s="412"/>
      <c r="B908" s="413"/>
      <c r="C908" s="412"/>
      <c r="D908" s="486"/>
      <c r="E908" s="412"/>
      <c r="F908" s="412"/>
      <c r="G908" s="412"/>
      <c r="H908" s="412"/>
      <c r="I908" s="412"/>
      <c r="J908" s="412"/>
      <c r="K908" s="412"/>
      <c r="L908" s="412"/>
      <c r="M908" s="412"/>
      <c r="N908" s="412"/>
      <c r="O908" s="412"/>
      <c r="P908" s="487"/>
      <c r="Q908" s="412"/>
      <c r="R908" s="412"/>
      <c r="S908" s="412"/>
      <c r="T908" s="488"/>
      <c r="U908" s="412"/>
      <c r="V908" s="412"/>
      <c r="W908" s="412"/>
      <c r="X908" s="412"/>
      <c r="Y908" s="412"/>
      <c r="Z908" s="412"/>
      <c r="AA908" s="412"/>
      <c r="AB908" s="412"/>
      <c r="AC908" s="412"/>
      <c r="AD908" s="412"/>
      <c r="AE908" s="412"/>
      <c r="AF908" s="412"/>
      <c r="AG908" s="412"/>
      <c r="AH908" s="419">
        <f t="shared" si="631"/>
        <v>0</v>
      </c>
      <c r="AI908" s="412"/>
      <c r="AJ908" s="412"/>
      <c r="AK908" s="412"/>
      <c r="AL908" s="412"/>
      <c r="AM908" s="412"/>
    </row>
    <row r="909" spans="1:39" ht="12.75">
      <c r="A909" s="412"/>
      <c r="B909" s="413"/>
      <c r="C909" s="412"/>
      <c r="D909" s="486"/>
      <c r="E909" s="412"/>
      <c r="F909" s="412"/>
      <c r="G909" s="412"/>
      <c r="H909" s="412"/>
      <c r="I909" s="412"/>
      <c r="J909" s="412"/>
      <c r="K909" s="412"/>
      <c r="L909" s="412"/>
      <c r="M909" s="412"/>
      <c r="N909" s="412"/>
      <c r="O909" s="412"/>
      <c r="P909" s="487"/>
      <c r="Q909" s="412"/>
      <c r="R909" s="412"/>
      <c r="S909" s="412"/>
      <c r="T909" s="488"/>
      <c r="U909" s="412"/>
      <c r="V909" s="412"/>
      <c r="W909" s="412"/>
      <c r="X909" s="412"/>
      <c r="Y909" s="412"/>
      <c r="Z909" s="412"/>
      <c r="AA909" s="412"/>
      <c r="AB909" s="412"/>
      <c r="AC909" s="412"/>
      <c r="AD909" s="412"/>
      <c r="AE909" s="412"/>
      <c r="AF909" s="412"/>
      <c r="AG909" s="412"/>
      <c r="AH909" s="419">
        <f t="shared" si="631"/>
        <v>0</v>
      </c>
      <c r="AI909" s="412"/>
      <c r="AJ909" s="412"/>
      <c r="AK909" s="412"/>
      <c r="AL909" s="412"/>
      <c r="AM909" s="412"/>
    </row>
    <row r="910" spans="1:39" ht="12.75">
      <c r="A910" s="412"/>
      <c r="B910" s="413"/>
      <c r="C910" s="412"/>
      <c r="D910" s="486"/>
      <c r="E910" s="412"/>
      <c r="F910" s="412"/>
      <c r="G910" s="412"/>
      <c r="H910" s="412"/>
      <c r="I910" s="412"/>
      <c r="J910" s="412"/>
      <c r="K910" s="412"/>
      <c r="L910" s="412"/>
      <c r="M910" s="412"/>
      <c r="N910" s="412"/>
      <c r="O910" s="412"/>
      <c r="P910" s="487"/>
      <c r="Q910" s="412"/>
      <c r="R910" s="412"/>
      <c r="S910" s="412"/>
      <c r="T910" s="488"/>
      <c r="U910" s="412"/>
      <c r="V910" s="412"/>
      <c r="W910" s="412"/>
      <c r="X910" s="412"/>
      <c r="Y910" s="412"/>
      <c r="Z910" s="412"/>
      <c r="AA910" s="412"/>
      <c r="AB910" s="412"/>
      <c r="AC910" s="412"/>
      <c r="AD910" s="412"/>
      <c r="AE910" s="412"/>
      <c r="AF910" s="412"/>
      <c r="AG910" s="412"/>
      <c r="AH910" s="419">
        <f t="shared" si="631"/>
        <v>0</v>
      </c>
      <c r="AI910" s="412"/>
      <c r="AJ910" s="412"/>
      <c r="AK910" s="412"/>
      <c r="AL910" s="412"/>
      <c r="AM910" s="412"/>
    </row>
    <row r="911" spans="1:39" ht="12.75">
      <c r="A911" s="412"/>
      <c r="B911" s="413"/>
      <c r="C911" s="412"/>
      <c r="D911" s="486"/>
      <c r="E911" s="412"/>
      <c r="F911" s="412"/>
      <c r="G911" s="412"/>
      <c r="H911" s="412"/>
      <c r="I911" s="412"/>
      <c r="J911" s="412"/>
      <c r="K911" s="412"/>
      <c r="L911" s="412"/>
      <c r="M911" s="412"/>
      <c r="N911" s="412"/>
      <c r="O911" s="412"/>
      <c r="P911" s="487"/>
      <c r="Q911" s="412"/>
      <c r="R911" s="412"/>
      <c r="S911" s="412"/>
      <c r="T911" s="488"/>
      <c r="U911" s="412"/>
      <c r="V911" s="412"/>
      <c r="W911" s="412"/>
      <c r="X911" s="412"/>
      <c r="Y911" s="412"/>
      <c r="Z911" s="412"/>
      <c r="AA911" s="412"/>
      <c r="AB911" s="412"/>
      <c r="AC911" s="412"/>
      <c r="AD911" s="412"/>
      <c r="AE911" s="412"/>
      <c r="AF911" s="412"/>
      <c r="AG911" s="412"/>
      <c r="AH911" s="419">
        <f t="shared" si="631"/>
        <v>0</v>
      </c>
      <c r="AI911" s="412"/>
      <c r="AJ911" s="412"/>
      <c r="AK911" s="412"/>
      <c r="AL911" s="412"/>
      <c r="AM911" s="412"/>
    </row>
    <row r="912" spans="1:39" ht="12.75">
      <c r="A912" s="412"/>
      <c r="B912" s="413"/>
      <c r="C912" s="412"/>
      <c r="D912" s="486"/>
      <c r="E912" s="412"/>
      <c r="F912" s="412"/>
      <c r="G912" s="412"/>
      <c r="H912" s="412"/>
      <c r="I912" s="412"/>
      <c r="J912" s="412"/>
      <c r="K912" s="412"/>
      <c r="L912" s="412"/>
      <c r="M912" s="412"/>
      <c r="N912" s="412"/>
      <c r="O912" s="412"/>
      <c r="P912" s="487"/>
      <c r="Q912" s="412"/>
      <c r="R912" s="412"/>
      <c r="S912" s="412"/>
      <c r="T912" s="488"/>
      <c r="U912" s="412"/>
      <c r="V912" s="412"/>
      <c r="W912" s="412"/>
      <c r="X912" s="412"/>
      <c r="Y912" s="412"/>
      <c r="Z912" s="412"/>
      <c r="AA912" s="412"/>
      <c r="AB912" s="412"/>
      <c r="AC912" s="412"/>
      <c r="AD912" s="412"/>
      <c r="AE912" s="412"/>
      <c r="AF912" s="412"/>
      <c r="AG912" s="412"/>
      <c r="AH912" s="419">
        <f t="shared" si="631"/>
        <v>0</v>
      </c>
      <c r="AI912" s="412"/>
      <c r="AJ912" s="412"/>
      <c r="AK912" s="412"/>
      <c r="AL912" s="412"/>
      <c r="AM912" s="412"/>
    </row>
    <row r="913" spans="1:39" ht="12.75">
      <c r="A913" s="412"/>
      <c r="B913" s="413"/>
      <c r="C913" s="412"/>
      <c r="D913" s="486"/>
      <c r="E913" s="412"/>
      <c r="F913" s="412"/>
      <c r="G913" s="412"/>
      <c r="H913" s="412"/>
      <c r="I913" s="412"/>
      <c r="J913" s="412"/>
      <c r="K913" s="412"/>
      <c r="L913" s="412"/>
      <c r="M913" s="412"/>
      <c r="N913" s="412"/>
      <c r="O913" s="412"/>
      <c r="P913" s="487"/>
      <c r="Q913" s="412"/>
      <c r="R913" s="412"/>
      <c r="S913" s="412"/>
      <c r="T913" s="488"/>
      <c r="U913" s="412"/>
      <c r="V913" s="412"/>
      <c r="W913" s="412"/>
      <c r="X913" s="412"/>
      <c r="Y913" s="412"/>
      <c r="Z913" s="412"/>
      <c r="AA913" s="412"/>
      <c r="AB913" s="412"/>
      <c r="AC913" s="412"/>
      <c r="AD913" s="412"/>
      <c r="AE913" s="412"/>
      <c r="AF913" s="412"/>
      <c r="AG913" s="412"/>
      <c r="AH913" s="419">
        <f t="shared" si="631"/>
        <v>0</v>
      </c>
      <c r="AI913" s="412"/>
      <c r="AJ913" s="412"/>
      <c r="AK913" s="412"/>
      <c r="AL913" s="412"/>
      <c r="AM913" s="412"/>
    </row>
    <row r="914" spans="1:39" ht="12.75">
      <c r="A914" s="412"/>
      <c r="B914" s="413"/>
      <c r="C914" s="412"/>
      <c r="D914" s="486"/>
      <c r="E914" s="412"/>
      <c r="F914" s="412"/>
      <c r="G914" s="412"/>
      <c r="H914" s="412"/>
      <c r="I914" s="412"/>
      <c r="J914" s="412"/>
      <c r="K914" s="412"/>
      <c r="L914" s="412"/>
      <c r="M914" s="412"/>
      <c r="N914" s="412"/>
      <c r="O914" s="412"/>
      <c r="P914" s="487"/>
      <c r="Q914" s="412"/>
      <c r="R914" s="412"/>
      <c r="S914" s="412"/>
      <c r="T914" s="488"/>
      <c r="U914" s="412"/>
      <c r="V914" s="412"/>
      <c r="W914" s="412"/>
      <c r="X914" s="412"/>
      <c r="Y914" s="412"/>
      <c r="Z914" s="412"/>
      <c r="AA914" s="412"/>
      <c r="AB914" s="412"/>
      <c r="AC914" s="412"/>
      <c r="AD914" s="412"/>
      <c r="AE914" s="412"/>
      <c r="AF914" s="412"/>
      <c r="AG914" s="412"/>
      <c r="AH914" s="419">
        <f t="shared" si="631"/>
        <v>0</v>
      </c>
      <c r="AI914" s="412"/>
      <c r="AJ914" s="412"/>
      <c r="AK914" s="412"/>
      <c r="AL914" s="412"/>
      <c r="AM914" s="412"/>
    </row>
    <row r="915" spans="1:39" ht="12.75">
      <c r="A915" s="412"/>
      <c r="B915" s="413"/>
      <c r="C915" s="412"/>
      <c r="D915" s="486"/>
      <c r="E915" s="412"/>
      <c r="F915" s="412"/>
      <c r="G915" s="412"/>
      <c r="H915" s="412"/>
      <c r="I915" s="412"/>
      <c r="J915" s="412"/>
      <c r="K915" s="412"/>
      <c r="L915" s="412"/>
      <c r="M915" s="412"/>
      <c r="N915" s="412"/>
      <c r="O915" s="412"/>
      <c r="P915" s="487"/>
      <c r="Q915" s="412"/>
      <c r="R915" s="412"/>
      <c r="S915" s="412"/>
      <c r="T915" s="488"/>
      <c r="U915" s="412"/>
      <c r="V915" s="412"/>
      <c r="W915" s="412"/>
      <c r="X915" s="412"/>
      <c r="Y915" s="412"/>
      <c r="Z915" s="412"/>
      <c r="AA915" s="412"/>
      <c r="AB915" s="412"/>
      <c r="AC915" s="412"/>
      <c r="AD915" s="412"/>
      <c r="AE915" s="412"/>
      <c r="AF915" s="412"/>
      <c r="AG915" s="412"/>
      <c r="AH915" s="419">
        <f t="shared" si="631"/>
        <v>0</v>
      </c>
      <c r="AI915" s="412"/>
      <c r="AJ915" s="412"/>
      <c r="AK915" s="412"/>
      <c r="AL915" s="412"/>
      <c r="AM915" s="412"/>
    </row>
    <row r="916" spans="1:39" ht="12.75">
      <c r="A916" s="412"/>
      <c r="B916" s="413"/>
      <c r="C916" s="412"/>
      <c r="D916" s="486"/>
      <c r="E916" s="412"/>
      <c r="F916" s="412"/>
      <c r="G916" s="412"/>
      <c r="H916" s="412"/>
      <c r="I916" s="412"/>
      <c r="J916" s="412"/>
      <c r="K916" s="412"/>
      <c r="L916" s="412"/>
      <c r="M916" s="412"/>
      <c r="N916" s="412"/>
      <c r="O916" s="412"/>
      <c r="P916" s="487"/>
      <c r="Q916" s="412"/>
      <c r="R916" s="412"/>
      <c r="S916" s="412"/>
      <c r="T916" s="488"/>
      <c r="U916" s="412"/>
      <c r="V916" s="412"/>
      <c r="W916" s="412"/>
      <c r="X916" s="412"/>
      <c r="Y916" s="412"/>
      <c r="Z916" s="412"/>
      <c r="AA916" s="412"/>
      <c r="AB916" s="412"/>
      <c r="AC916" s="412"/>
      <c r="AD916" s="412"/>
      <c r="AE916" s="412"/>
      <c r="AF916" s="412"/>
      <c r="AG916" s="412"/>
      <c r="AH916" s="419">
        <f t="shared" si="631"/>
        <v>0</v>
      </c>
      <c r="AI916" s="412"/>
      <c r="AJ916" s="412"/>
      <c r="AK916" s="412"/>
      <c r="AL916" s="412"/>
      <c r="AM916" s="412"/>
    </row>
    <row r="917" spans="1:39" ht="12.75">
      <c r="A917" s="412"/>
      <c r="B917" s="413"/>
      <c r="C917" s="412"/>
      <c r="D917" s="486"/>
      <c r="E917" s="412"/>
      <c r="F917" s="412"/>
      <c r="G917" s="412"/>
      <c r="H917" s="412"/>
      <c r="I917" s="412"/>
      <c r="J917" s="412"/>
      <c r="K917" s="412"/>
      <c r="L917" s="412"/>
      <c r="M917" s="412"/>
      <c r="N917" s="412"/>
      <c r="O917" s="412"/>
      <c r="P917" s="487"/>
      <c r="Q917" s="412"/>
      <c r="R917" s="412"/>
      <c r="S917" s="412"/>
      <c r="T917" s="488"/>
      <c r="U917" s="412"/>
      <c r="V917" s="412"/>
      <c r="W917" s="412"/>
      <c r="X917" s="412"/>
      <c r="Y917" s="412"/>
      <c r="Z917" s="412"/>
      <c r="AA917" s="412"/>
      <c r="AB917" s="412"/>
      <c r="AC917" s="412"/>
      <c r="AD917" s="412"/>
      <c r="AE917" s="412"/>
      <c r="AF917" s="412"/>
      <c r="AG917" s="412"/>
      <c r="AH917" s="419">
        <f t="shared" si="631"/>
        <v>0</v>
      </c>
      <c r="AI917" s="412"/>
      <c r="AJ917" s="412"/>
      <c r="AK917" s="412"/>
      <c r="AL917" s="412"/>
      <c r="AM917" s="412"/>
    </row>
    <row r="918" spans="1:39" ht="12.75">
      <c r="A918" s="412"/>
      <c r="B918" s="413"/>
      <c r="C918" s="412"/>
      <c r="D918" s="486"/>
      <c r="E918" s="412"/>
      <c r="F918" s="412"/>
      <c r="G918" s="412"/>
      <c r="H918" s="412"/>
      <c r="I918" s="412"/>
      <c r="J918" s="412"/>
      <c r="K918" s="412"/>
      <c r="L918" s="412"/>
      <c r="M918" s="412"/>
      <c r="N918" s="412"/>
      <c r="O918" s="412"/>
      <c r="P918" s="487"/>
      <c r="Q918" s="412"/>
      <c r="R918" s="412"/>
      <c r="S918" s="412"/>
      <c r="T918" s="488"/>
      <c r="U918" s="412"/>
      <c r="V918" s="412"/>
      <c r="W918" s="412"/>
      <c r="X918" s="412"/>
      <c r="Y918" s="412"/>
      <c r="Z918" s="412"/>
      <c r="AA918" s="412"/>
      <c r="AB918" s="412"/>
      <c r="AC918" s="412"/>
      <c r="AD918" s="412"/>
      <c r="AE918" s="412"/>
      <c r="AF918" s="412"/>
      <c r="AG918" s="412"/>
      <c r="AH918" s="419">
        <f t="shared" si="631"/>
        <v>0</v>
      </c>
      <c r="AI918" s="412"/>
      <c r="AJ918" s="412"/>
      <c r="AK918" s="412"/>
      <c r="AL918" s="412"/>
      <c r="AM918" s="412"/>
    </row>
    <row r="919" spans="1:39" ht="12.75">
      <c r="A919" s="412"/>
      <c r="B919" s="413"/>
      <c r="C919" s="412"/>
      <c r="D919" s="486"/>
      <c r="E919" s="412"/>
      <c r="F919" s="412"/>
      <c r="G919" s="412"/>
      <c r="H919" s="412"/>
      <c r="I919" s="412"/>
      <c r="J919" s="412"/>
      <c r="K919" s="412"/>
      <c r="L919" s="412"/>
      <c r="M919" s="412"/>
      <c r="N919" s="412"/>
      <c r="O919" s="412"/>
      <c r="P919" s="487"/>
      <c r="Q919" s="412"/>
      <c r="R919" s="412"/>
      <c r="S919" s="412"/>
      <c r="T919" s="488"/>
      <c r="U919" s="412"/>
      <c r="V919" s="412"/>
      <c r="W919" s="412"/>
      <c r="X919" s="412"/>
      <c r="Y919" s="412"/>
      <c r="Z919" s="412"/>
      <c r="AA919" s="412"/>
      <c r="AB919" s="412"/>
      <c r="AC919" s="412"/>
      <c r="AD919" s="412"/>
      <c r="AE919" s="412"/>
      <c r="AF919" s="412"/>
      <c r="AG919" s="412"/>
      <c r="AH919" s="419">
        <f t="shared" si="631"/>
        <v>0</v>
      </c>
      <c r="AI919" s="412"/>
      <c r="AJ919" s="412"/>
      <c r="AK919" s="412"/>
      <c r="AL919" s="412"/>
      <c r="AM919" s="412"/>
    </row>
    <row r="920" spans="1:39" ht="12.75">
      <c r="A920" s="412"/>
      <c r="B920" s="413"/>
      <c r="C920" s="412"/>
      <c r="D920" s="486"/>
      <c r="E920" s="412"/>
      <c r="F920" s="412"/>
      <c r="G920" s="412"/>
      <c r="H920" s="412"/>
      <c r="I920" s="412"/>
      <c r="J920" s="412"/>
      <c r="K920" s="412"/>
      <c r="L920" s="412"/>
      <c r="M920" s="412"/>
      <c r="N920" s="412"/>
      <c r="O920" s="412"/>
      <c r="P920" s="487"/>
      <c r="Q920" s="412"/>
      <c r="R920" s="412"/>
      <c r="S920" s="412"/>
      <c r="T920" s="488"/>
      <c r="U920" s="412"/>
      <c r="V920" s="412"/>
      <c r="W920" s="412"/>
      <c r="X920" s="412"/>
      <c r="Y920" s="412"/>
      <c r="Z920" s="412"/>
      <c r="AA920" s="412"/>
      <c r="AB920" s="412"/>
      <c r="AC920" s="412"/>
      <c r="AD920" s="412"/>
      <c r="AE920" s="412"/>
      <c r="AF920" s="412"/>
      <c r="AG920" s="412"/>
      <c r="AH920" s="419">
        <f t="shared" si="631"/>
        <v>0</v>
      </c>
      <c r="AI920" s="412"/>
      <c r="AJ920" s="412"/>
      <c r="AK920" s="412"/>
      <c r="AL920" s="412"/>
      <c r="AM920" s="412"/>
    </row>
    <row r="921" spans="1:39" ht="12.75">
      <c r="A921" s="412"/>
      <c r="B921" s="413"/>
      <c r="C921" s="412"/>
      <c r="D921" s="486"/>
      <c r="E921" s="412"/>
      <c r="F921" s="412"/>
      <c r="G921" s="412"/>
      <c r="H921" s="412"/>
      <c r="I921" s="412"/>
      <c r="J921" s="412"/>
      <c r="K921" s="412"/>
      <c r="L921" s="412"/>
      <c r="M921" s="412"/>
      <c r="N921" s="412"/>
      <c r="O921" s="412"/>
      <c r="P921" s="487"/>
      <c r="Q921" s="412"/>
      <c r="R921" s="412"/>
      <c r="S921" s="412"/>
      <c r="T921" s="488"/>
      <c r="U921" s="412"/>
      <c r="V921" s="412"/>
      <c r="W921" s="412"/>
      <c r="X921" s="412"/>
      <c r="Y921" s="412"/>
      <c r="Z921" s="412"/>
      <c r="AA921" s="412"/>
      <c r="AB921" s="412"/>
      <c r="AC921" s="412"/>
      <c r="AD921" s="412"/>
      <c r="AE921" s="412"/>
      <c r="AF921" s="412"/>
      <c r="AG921" s="412"/>
      <c r="AH921" s="419">
        <f t="shared" si="631"/>
        <v>0</v>
      </c>
      <c r="AI921" s="412"/>
      <c r="AJ921" s="412"/>
      <c r="AK921" s="412"/>
      <c r="AL921" s="412"/>
      <c r="AM921" s="412"/>
    </row>
    <row r="922" spans="1:39" ht="12.75">
      <c r="A922" s="412"/>
      <c r="B922" s="413"/>
      <c r="C922" s="412"/>
      <c r="D922" s="486"/>
      <c r="E922" s="412"/>
      <c r="F922" s="412"/>
      <c r="G922" s="412"/>
      <c r="H922" s="412"/>
      <c r="I922" s="412"/>
      <c r="J922" s="412"/>
      <c r="K922" s="412"/>
      <c r="L922" s="412"/>
      <c r="M922" s="412"/>
      <c r="N922" s="412"/>
      <c r="O922" s="412"/>
      <c r="P922" s="487"/>
      <c r="Q922" s="412"/>
      <c r="R922" s="412"/>
      <c r="S922" s="412"/>
      <c r="T922" s="488"/>
      <c r="U922" s="412"/>
      <c r="V922" s="412"/>
      <c r="W922" s="412"/>
      <c r="X922" s="412"/>
      <c r="Y922" s="412"/>
      <c r="Z922" s="412"/>
      <c r="AA922" s="412"/>
      <c r="AB922" s="412"/>
      <c r="AC922" s="412"/>
      <c r="AD922" s="412"/>
      <c r="AE922" s="412"/>
      <c r="AF922" s="412"/>
      <c r="AG922" s="412"/>
      <c r="AH922" s="419">
        <f t="shared" si="631"/>
        <v>0</v>
      </c>
      <c r="AI922" s="412"/>
      <c r="AJ922" s="412"/>
      <c r="AK922" s="412"/>
      <c r="AL922" s="412"/>
      <c r="AM922" s="412"/>
    </row>
    <row r="923" spans="1:39" ht="12.75">
      <c r="A923" s="412"/>
      <c r="B923" s="413"/>
      <c r="C923" s="412"/>
      <c r="D923" s="486"/>
      <c r="E923" s="412"/>
      <c r="F923" s="412"/>
      <c r="G923" s="412"/>
      <c r="H923" s="412"/>
      <c r="I923" s="412"/>
      <c r="J923" s="412"/>
      <c r="K923" s="412"/>
      <c r="L923" s="412"/>
      <c r="M923" s="412"/>
      <c r="N923" s="412"/>
      <c r="O923" s="412"/>
      <c r="P923" s="487"/>
      <c r="Q923" s="412"/>
      <c r="R923" s="412"/>
      <c r="S923" s="412"/>
      <c r="T923" s="488"/>
      <c r="U923" s="412"/>
      <c r="V923" s="412"/>
      <c r="W923" s="412"/>
      <c r="X923" s="412"/>
      <c r="Y923" s="412"/>
      <c r="Z923" s="412"/>
      <c r="AA923" s="412"/>
      <c r="AB923" s="412"/>
      <c r="AC923" s="412"/>
      <c r="AD923" s="412"/>
      <c r="AE923" s="412"/>
      <c r="AF923" s="412"/>
      <c r="AG923" s="412"/>
      <c r="AH923" s="419">
        <f t="shared" si="631"/>
        <v>0</v>
      </c>
      <c r="AI923" s="412"/>
      <c r="AJ923" s="412"/>
      <c r="AK923" s="412"/>
      <c r="AL923" s="412"/>
      <c r="AM923" s="412"/>
    </row>
    <row r="924" spans="1:39" ht="12.75">
      <c r="A924" s="412"/>
      <c r="B924" s="413"/>
      <c r="C924" s="412"/>
      <c r="D924" s="486"/>
      <c r="E924" s="412"/>
      <c r="F924" s="412"/>
      <c r="G924" s="412"/>
      <c r="H924" s="412"/>
      <c r="I924" s="412"/>
      <c r="J924" s="412"/>
      <c r="K924" s="412"/>
      <c r="L924" s="412"/>
      <c r="M924" s="412"/>
      <c r="N924" s="412"/>
      <c r="O924" s="412"/>
      <c r="P924" s="487"/>
      <c r="Q924" s="412"/>
      <c r="R924" s="412"/>
      <c r="S924" s="412"/>
      <c r="T924" s="488"/>
      <c r="U924" s="412"/>
      <c r="V924" s="412"/>
      <c r="W924" s="412"/>
      <c r="X924" s="412"/>
      <c r="Y924" s="412"/>
      <c r="Z924" s="412"/>
      <c r="AA924" s="412"/>
      <c r="AB924" s="412"/>
      <c r="AC924" s="412"/>
      <c r="AD924" s="412"/>
      <c r="AE924" s="412"/>
      <c r="AF924" s="412"/>
      <c r="AG924" s="412"/>
      <c r="AH924" s="419">
        <f t="shared" si="631"/>
        <v>0</v>
      </c>
      <c r="AI924" s="412"/>
      <c r="AJ924" s="412"/>
      <c r="AK924" s="412"/>
      <c r="AL924" s="412"/>
      <c r="AM924" s="412"/>
    </row>
    <row r="925" spans="1:39" ht="12.75">
      <c r="A925" s="412"/>
      <c r="B925" s="413"/>
      <c r="C925" s="412"/>
      <c r="D925" s="486"/>
      <c r="E925" s="412"/>
      <c r="F925" s="412"/>
      <c r="G925" s="412"/>
      <c r="H925" s="412"/>
      <c r="I925" s="412"/>
      <c r="J925" s="412"/>
      <c r="K925" s="412"/>
      <c r="L925" s="412"/>
      <c r="M925" s="412"/>
      <c r="N925" s="412"/>
      <c r="O925" s="412"/>
      <c r="P925" s="487"/>
      <c r="Q925" s="412"/>
      <c r="R925" s="412"/>
      <c r="S925" s="412"/>
      <c r="T925" s="488"/>
      <c r="U925" s="412"/>
      <c r="V925" s="412"/>
      <c r="W925" s="412"/>
      <c r="X925" s="412"/>
      <c r="Y925" s="412"/>
      <c r="Z925" s="412"/>
      <c r="AA925" s="412"/>
      <c r="AB925" s="412"/>
      <c r="AC925" s="412"/>
      <c r="AD925" s="412"/>
      <c r="AE925" s="412"/>
      <c r="AF925" s="412"/>
      <c r="AG925" s="412"/>
      <c r="AH925" s="419">
        <f t="shared" si="631"/>
        <v>0</v>
      </c>
      <c r="AI925" s="412"/>
      <c r="AJ925" s="412"/>
      <c r="AK925" s="412"/>
      <c r="AL925" s="412"/>
      <c r="AM925" s="412"/>
    </row>
    <row r="926" spans="1:39" ht="12.75">
      <c r="A926" s="412"/>
      <c r="B926" s="413"/>
      <c r="C926" s="412"/>
      <c r="D926" s="486"/>
      <c r="E926" s="412"/>
      <c r="F926" s="412"/>
      <c r="G926" s="412"/>
      <c r="H926" s="412"/>
      <c r="I926" s="412"/>
      <c r="J926" s="412"/>
      <c r="K926" s="412"/>
      <c r="L926" s="412"/>
      <c r="M926" s="412"/>
      <c r="N926" s="412"/>
      <c r="O926" s="412"/>
      <c r="P926" s="487"/>
      <c r="Q926" s="412"/>
      <c r="R926" s="412"/>
      <c r="S926" s="412"/>
      <c r="T926" s="488"/>
      <c r="U926" s="412"/>
      <c r="V926" s="412"/>
      <c r="W926" s="412"/>
      <c r="X926" s="412"/>
      <c r="Y926" s="412"/>
      <c r="Z926" s="412"/>
      <c r="AA926" s="412"/>
      <c r="AB926" s="412"/>
      <c r="AC926" s="412"/>
      <c r="AD926" s="412"/>
      <c r="AE926" s="412"/>
      <c r="AF926" s="412"/>
      <c r="AG926" s="412"/>
      <c r="AH926" s="419">
        <f t="shared" si="631"/>
        <v>0</v>
      </c>
      <c r="AI926" s="412"/>
      <c r="AJ926" s="412"/>
      <c r="AK926" s="412"/>
      <c r="AL926" s="412"/>
      <c r="AM926" s="412"/>
    </row>
    <row r="927" spans="1:39" ht="12.75">
      <c r="A927" s="412"/>
      <c r="B927" s="413"/>
      <c r="C927" s="412"/>
      <c r="D927" s="486"/>
      <c r="E927" s="412"/>
      <c r="F927" s="412"/>
      <c r="G927" s="412"/>
      <c r="H927" s="412"/>
      <c r="I927" s="412"/>
      <c r="J927" s="412"/>
      <c r="K927" s="412"/>
      <c r="L927" s="412"/>
      <c r="M927" s="412"/>
      <c r="N927" s="412"/>
      <c r="O927" s="412"/>
      <c r="P927" s="487"/>
      <c r="Q927" s="412"/>
      <c r="R927" s="412"/>
      <c r="S927" s="412"/>
      <c r="T927" s="488"/>
      <c r="U927" s="412"/>
      <c r="V927" s="412"/>
      <c r="W927" s="412"/>
      <c r="X927" s="412"/>
      <c r="Y927" s="412"/>
      <c r="Z927" s="412"/>
      <c r="AA927" s="412"/>
      <c r="AB927" s="412"/>
      <c r="AC927" s="412"/>
      <c r="AD927" s="412"/>
      <c r="AE927" s="412"/>
      <c r="AF927" s="412"/>
      <c r="AG927" s="412"/>
      <c r="AH927" s="419">
        <f t="shared" si="631"/>
        <v>0</v>
      </c>
      <c r="AI927" s="412"/>
      <c r="AJ927" s="412"/>
      <c r="AK927" s="412"/>
      <c r="AL927" s="412"/>
      <c r="AM927" s="412"/>
    </row>
    <row r="928" spans="1:39" ht="12.75">
      <c r="A928" s="412"/>
      <c r="B928" s="413"/>
      <c r="C928" s="412"/>
      <c r="D928" s="486"/>
      <c r="E928" s="412"/>
      <c r="F928" s="412"/>
      <c r="G928" s="412"/>
      <c r="H928" s="412"/>
      <c r="I928" s="412"/>
      <c r="J928" s="412"/>
      <c r="K928" s="412"/>
      <c r="L928" s="412"/>
      <c r="M928" s="412"/>
      <c r="N928" s="412"/>
      <c r="O928" s="412"/>
      <c r="P928" s="487"/>
      <c r="Q928" s="412"/>
      <c r="R928" s="412"/>
      <c r="S928" s="412"/>
      <c r="T928" s="488"/>
      <c r="U928" s="412"/>
      <c r="V928" s="412"/>
      <c r="W928" s="412"/>
      <c r="X928" s="412"/>
      <c r="Y928" s="412"/>
      <c r="Z928" s="412"/>
      <c r="AA928" s="412"/>
      <c r="AB928" s="412"/>
      <c r="AC928" s="412"/>
      <c r="AD928" s="412"/>
      <c r="AE928" s="412"/>
      <c r="AF928" s="412"/>
      <c r="AG928" s="412"/>
      <c r="AH928" s="419">
        <f t="shared" si="631"/>
        <v>0</v>
      </c>
      <c r="AI928" s="412"/>
      <c r="AJ928" s="412"/>
      <c r="AK928" s="412"/>
      <c r="AL928" s="412"/>
      <c r="AM928" s="412"/>
    </row>
    <row r="929" spans="1:39" ht="12.75">
      <c r="A929" s="412"/>
      <c r="B929" s="413"/>
      <c r="C929" s="412"/>
      <c r="D929" s="486"/>
      <c r="E929" s="412"/>
      <c r="F929" s="412"/>
      <c r="G929" s="412"/>
      <c r="H929" s="412"/>
      <c r="I929" s="412"/>
      <c r="J929" s="412"/>
      <c r="K929" s="412"/>
      <c r="L929" s="412"/>
      <c r="M929" s="412"/>
      <c r="N929" s="412"/>
      <c r="O929" s="412"/>
      <c r="P929" s="487"/>
      <c r="Q929" s="412"/>
      <c r="R929" s="412"/>
      <c r="S929" s="412"/>
      <c r="T929" s="488"/>
      <c r="U929" s="412"/>
      <c r="V929" s="412"/>
      <c r="W929" s="412"/>
      <c r="X929" s="412"/>
      <c r="Y929" s="412"/>
      <c r="Z929" s="412"/>
      <c r="AA929" s="412"/>
      <c r="AB929" s="412"/>
      <c r="AC929" s="412"/>
      <c r="AD929" s="412"/>
      <c r="AE929" s="412"/>
      <c r="AF929" s="412"/>
      <c r="AG929" s="412"/>
      <c r="AH929" s="419">
        <f t="shared" si="631"/>
        <v>0</v>
      </c>
      <c r="AI929" s="412"/>
      <c r="AJ929" s="412"/>
      <c r="AK929" s="412"/>
      <c r="AL929" s="412"/>
      <c r="AM929" s="412"/>
    </row>
    <row r="930" spans="1:39" ht="12.75">
      <c r="A930" s="412"/>
      <c r="B930" s="413"/>
      <c r="C930" s="412"/>
      <c r="D930" s="486"/>
      <c r="E930" s="412"/>
      <c r="F930" s="412"/>
      <c r="G930" s="412"/>
      <c r="H930" s="412"/>
      <c r="I930" s="412"/>
      <c r="J930" s="412"/>
      <c r="K930" s="412"/>
      <c r="L930" s="412"/>
      <c r="M930" s="412"/>
      <c r="N930" s="412"/>
      <c r="O930" s="412"/>
      <c r="P930" s="487"/>
      <c r="Q930" s="412"/>
      <c r="R930" s="412"/>
      <c r="S930" s="412"/>
      <c r="T930" s="488"/>
      <c r="U930" s="412"/>
      <c r="V930" s="412"/>
      <c r="W930" s="412"/>
      <c r="X930" s="412"/>
      <c r="Y930" s="412"/>
      <c r="Z930" s="412"/>
      <c r="AA930" s="412"/>
      <c r="AB930" s="412"/>
      <c r="AC930" s="412"/>
      <c r="AD930" s="412"/>
      <c r="AE930" s="412"/>
      <c r="AF930" s="412"/>
      <c r="AG930" s="412"/>
      <c r="AH930" s="419">
        <f t="shared" si="631"/>
        <v>0</v>
      </c>
      <c r="AI930" s="412"/>
      <c r="AJ930" s="412"/>
      <c r="AK930" s="412"/>
      <c r="AL930" s="412"/>
      <c r="AM930" s="412"/>
    </row>
    <row r="931" spans="1:39" ht="12.75">
      <c r="A931" s="412"/>
      <c r="B931" s="413"/>
      <c r="C931" s="412"/>
      <c r="D931" s="486"/>
      <c r="E931" s="412"/>
      <c r="F931" s="412"/>
      <c r="G931" s="412"/>
      <c r="H931" s="412"/>
      <c r="I931" s="412"/>
      <c r="J931" s="412"/>
      <c r="K931" s="412"/>
      <c r="L931" s="412"/>
      <c r="M931" s="412"/>
      <c r="N931" s="412"/>
      <c r="O931" s="412"/>
      <c r="P931" s="487"/>
      <c r="Q931" s="412"/>
      <c r="R931" s="412"/>
      <c r="S931" s="412"/>
      <c r="T931" s="488"/>
      <c r="U931" s="412"/>
      <c r="V931" s="412"/>
      <c r="W931" s="412"/>
      <c r="X931" s="412"/>
      <c r="Y931" s="412"/>
      <c r="Z931" s="412"/>
      <c r="AA931" s="412"/>
      <c r="AB931" s="412"/>
      <c r="AC931" s="412"/>
      <c r="AD931" s="412"/>
      <c r="AE931" s="412"/>
      <c r="AF931" s="412"/>
      <c r="AG931" s="412"/>
      <c r="AH931" s="419">
        <f t="shared" si="631"/>
        <v>0</v>
      </c>
      <c r="AI931" s="412"/>
      <c r="AJ931" s="412"/>
      <c r="AK931" s="412"/>
      <c r="AL931" s="412"/>
      <c r="AM931" s="412"/>
    </row>
    <row r="932" spans="1:39" ht="12.75">
      <c r="A932" s="412"/>
      <c r="B932" s="413"/>
      <c r="C932" s="412"/>
      <c r="D932" s="486"/>
      <c r="E932" s="412"/>
      <c r="F932" s="412"/>
      <c r="G932" s="412"/>
      <c r="H932" s="412"/>
      <c r="I932" s="412"/>
      <c r="J932" s="412"/>
      <c r="K932" s="412"/>
      <c r="L932" s="412"/>
      <c r="M932" s="412"/>
      <c r="N932" s="412"/>
      <c r="O932" s="412"/>
      <c r="P932" s="487"/>
      <c r="Q932" s="412"/>
      <c r="R932" s="412"/>
      <c r="S932" s="412"/>
      <c r="T932" s="488"/>
      <c r="U932" s="412"/>
      <c r="V932" s="412"/>
      <c r="W932" s="412"/>
      <c r="X932" s="412"/>
      <c r="Y932" s="412"/>
      <c r="Z932" s="412"/>
      <c r="AA932" s="412"/>
      <c r="AB932" s="412"/>
      <c r="AC932" s="412"/>
      <c r="AD932" s="412"/>
      <c r="AE932" s="412"/>
      <c r="AF932" s="412"/>
      <c r="AG932" s="412"/>
      <c r="AH932" s="419">
        <f t="shared" si="631"/>
        <v>0</v>
      </c>
      <c r="AI932" s="412"/>
      <c r="AJ932" s="412"/>
      <c r="AK932" s="412"/>
      <c r="AL932" s="412"/>
      <c r="AM932" s="412"/>
    </row>
    <row r="933" spans="1:39" ht="12.75">
      <c r="A933" s="412"/>
      <c r="B933" s="413"/>
      <c r="C933" s="412"/>
      <c r="D933" s="486"/>
      <c r="E933" s="412"/>
      <c r="F933" s="412"/>
      <c r="G933" s="412"/>
      <c r="H933" s="412"/>
      <c r="I933" s="412"/>
      <c r="J933" s="412"/>
      <c r="K933" s="412"/>
      <c r="L933" s="412"/>
      <c r="M933" s="412"/>
      <c r="N933" s="412"/>
      <c r="O933" s="412"/>
      <c r="P933" s="487"/>
      <c r="Q933" s="412"/>
      <c r="R933" s="412"/>
      <c r="S933" s="412"/>
      <c r="T933" s="488"/>
      <c r="U933" s="412"/>
      <c r="V933" s="412"/>
      <c r="W933" s="412"/>
      <c r="X933" s="412"/>
      <c r="Y933" s="412"/>
      <c r="Z933" s="412"/>
      <c r="AA933" s="412"/>
      <c r="AB933" s="412"/>
      <c r="AC933" s="412"/>
      <c r="AD933" s="412"/>
      <c r="AE933" s="412"/>
      <c r="AF933" s="412"/>
      <c r="AG933" s="412"/>
      <c r="AH933" s="419">
        <f t="shared" si="631"/>
        <v>0</v>
      </c>
      <c r="AI933" s="412"/>
      <c r="AJ933" s="412"/>
      <c r="AK933" s="412"/>
      <c r="AL933" s="412"/>
      <c r="AM933" s="412"/>
    </row>
    <row r="934" spans="1:39" ht="12.75">
      <c r="A934" s="412"/>
      <c r="B934" s="413"/>
      <c r="C934" s="412"/>
      <c r="D934" s="486"/>
      <c r="E934" s="412"/>
      <c r="F934" s="412"/>
      <c r="G934" s="412"/>
      <c r="H934" s="412"/>
      <c r="I934" s="412"/>
      <c r="J934" s="412"/>
      <c r="K934" s="412"/>
      <c r="L934" s="412"/>
      <c r="M934" s="412"/>
      <c r="N934" s="412"/>
      <c r="O934" s="412"/>
      <c r="P934" s="487"/>
      <c r="Q934" s="412"/>
      <c r="R934" s="412"/>
      <c r="S934" s="412"/>
      <c r="T934" s="488"/>
      <c r="U934" s="412"/>
      <c r="V934" s="412"/>
      <c r="W934" s="412"/>
      <c r="X934" s="412"/>
      <c r="Y934" s="412"/>
      <c r="Z934" s="412"/>
      <c r="AA934" s="412"/>
      <c r="AB934" s="412"/>
      <c r="AC934" s="412"/>
      <c r="AD934" s="412"/>
      <c r="AE934" s="412"/>
      <c r="AF934" s="412"/>
      <c r="AG934" s="412"/>
      <c r="AH934" s="419">
        <f t="shared" si="631"/>
        <v>0</v>
      </c>
      <c r="AI934" s="412"/>
      <c r="AJ934" s="412"/>
      <c r="AK934" s="412"/>
      <c r="AL934" s="412"/>
      <c r="AM934" s="412"/>
    </row>
    <row r="935" spans="1:39" ht="12.75">
      <c r="A935" s="412"/>
      <c r="B935" s="413"/>
      <c r="C935" s="412"/>
      <c r="D935" s="486"/>
      <c r="E935" s="412"/>
      <c r="F935" s="412"/>
      <c r="G935" s="412"/>
      <c r="H935" s="412"/>
      <c r="I935" s="412"/>
      <c r="J935" s="412"/>
      <c r="K935" s="412"/>
      <c r="L935" s="412"/>
      <c r="M935" s="412"/>
      <c r="N935" s="412"/>
      <c r="O935" s="412"/>
      <c r="P935" s="487"/>
      <c r="Q935" s="412"/>
      <c r="R935" s="412"/>
      <c r="S935" s="412"/>
      <c r="T935" s="488"/>
      <c r="U935" s="412"/>
      <c r="V935" s="412"/>
      <c r="W935" s="412"/>
      <c r="X935" s="412"/>
      <c r="Y935" s="412"/>
      <c r="Z935" s="412"/>
      <c r="AA935" s="412"/>
      <c r="AB935" s="412"/>
      <c r="AC935" s="412"/>
      <c r="AD935" s="412"/>
      <c r="AE935" s="412"/>
      <c r="AF935" s="412"/>
      <c r="AG935" s="412"/>
      <c r="AH935" s="419">
        <f t="shared" si="631"/>
        <v>0</v>
      </c>
      <c r="AI935" s="412"/>
      <c r="AJ935" s="412"/>
      <c r="AK935" s="412"/>
      <c r="AL935" s="412"/>
      <c r="AM935" s="412"/>
    </row>
    <row r="936" spans="1:39" ht="12.75">
      <c r="A936" s="412"/>
      <c r="B936" s="413"/>
      <c r="C936" s="412"/>
      <c r="D936" s="486"/>
      <c r="E936" s="412"/>
      <c r="F936" s="412"/>
      <c r="G936" s="412"/>
      <c r="H936" s="412"/>
      <c r="I936" s="412"/>
      <c r="J936" s="412"/>
      <c r="K936" s="412"/>
      <c r="L936" s="412"/>
      <c r="M936" s="412"/>
      <c r="N936" s="412"/>
      <c r="O936" s="412"/>
      <c r="P936" s="487"/>
      <c r="Q936" s="412"/>
      <c r="R936" s="412"/>
      <c r="S936" s="412"/>
      <c r="T936" s="488"/>
      <c r="U936" s="412"/>
      <c r="V936" s="412"/>
      <c r="W936" s="412"/>
      <c r="X936" s="412"/>
      <c r="Y936" s="412"/>
      <c r="Z936" s="412"/>
      <c r="AA936" s="412"/>
      <c r="AB936" s="412"/>
      <c r="AC936" s="412"/>
      <c r="AD936" s="412"/>
      <c r="AE936" s="412"/>
      <c r="AF936" s="412"/>
      <c r="AG936" s="412"/>
      <c r="AH936" s="419">
        <f t="shared" si="631"/>
        <v>0</v>
      </c>
      <c r="AI936" s="412"/>
      <c r="AJ936" s="412"/>
      <c r="AK936" s="412"/>
      <c r="AL936" s="412"/>
      <c r="AM936" s="412"/>
    </row>
    <row r="937" spans="1:39" ht="12.75">
      <c r="A937" s="412"/>
      <c r="B937" s="413"/>
      <c r="C937" s="412"/>
      <c r="D937" s="486"/>
      <c r="E937" s="412"/>
      <c r="F937" s="412"/>
      <c r="G937" s="412"/>
      <c r="H937" s="412"/>
      <c r="I937" s="412"/>
      <c r="J937" s="412"/>
      <c r="K937" s="412"/>
      <c r="L937" s="412"/>
      <c r="M937" s="412"/>
      <c r="N937" s="412"/>
      <c r="O937" s="412"/>
      <c r="P937" s="487"/>
      <c r="Q937" s="412"/>
      <c r="R937" s="412"/>
      <c r="S937" s="412"/>
      <c r="T937" s="488"/>
      <c r="U937" s="412"/>
      <c r="V937" s="412"/>
      <c r="W937" s="412"/>
      <c r="X937" s="412"/>
      <c r="Y937" s="412"/>
      <c r="Z937" s="412"/>
      <c r="AA937" s="412"/>
      <c r="AB937" s="412"/>
      <c r="AC937" s="412"/>
      <c r="AD937" s="412"/>
      <c r="AE937" s="412"/>
      <c r="AF937" s="412"/>
      <c r="AG937" s="412"/>
      <c r="AH937" s="419">
        <f t="shared" si="631"/>
        <v>0</v>
      </c>
      <c r="AI937" s="412"/>
      <c r="AJ937" s="412"/>
      <c r="AK937" s="412"/>
      <c r="AL937" s="412"/>
      <c r="AM937" s="412"/>
    </row>
    <row r="938" spans="1:39" ht="12.75">
      <c r="A938" s="412"/>
      <c r="B938" s="413"/>
      <c r="C938" s="412"/>
      <c r="D938" s="486"/>
      <c r="E938" s="412"/>
      <c r="F938" s="412"/>
      <c r="G938" s="412"/>
      <c r="H938" s="412"/>
      <c r="I938" s="412"/>
      <c r="J938" s="412"/>
      <c r="K938" s="412"/>
      <c r="L938" s="412"/>
      <c r="M938" s="412"/>
      <c r="N938" s="412"/>
      <c r="O938" s="412"/>
      <c r="P938" s="487"/>
      <c r="Q938" s="412"/>
      <c r="R938" s="412"/>
      <c r="S938" s="412"/>
      <c r="T938" s="488"/>
      <c r="U938" s="412"/>
      <c r="V938" s="412"/>
      <c r="W938" s="412"/>
      <c r="X938" s="412"/>
      <c r="Y938" s="412"/>
      <c r="Z938" s="412"/>
      <c r="AA938" s="412"/>
      <c r="AB938" s="412"/>
      <c r="AC938" s="412"/>
      <c r="AD938" s="412"/>
      <c r="AE938" s="412"/>
      <c r="AF938" s="412"/>
      <c r="AG938" s="412"/>
      <c r="AH938" s="419">
        <f t="shared" si="631"/>
        <v>0</v>
      </c>
      <c r="AI938" s="412"/>
      <c r="AJ938" s="412"/>
      <c r="AK938" s="412"/>
      <c r="AL938" s="412"/>
      <c r="AM938" s="412"/>
    </row>
    <row r="939" spans="1:39" ht="12.75">
      <c r="A939" s="412"/>
      <c r="B939" s="413"/>
      <c r="C939" s="412"/>
      <c r="D939" s="486"/>
      <c r="E939" s="412"/>
      <c r="F939" s="412"/>
      <c r="G939" s="412"/>
      <c r="H939" s="412"/>
      <c r="I939" s="412"/>
      <c r="J939" s="412"/>
      <c r="K939" s="412"/>
      <c r="L939" s="412"/>
      <c r="M939" s="412"/>
      <c r="N939" s="412"/>
      <c r="O939" s="412"/>
      <c r="P939" s="487"/>
      <c r="Q939" s="412"/>
      <c r="R939" s="412"/>
      <c r="S939" s="412"/>
      <c r="T939" s="488"/>
      <c r="U939" s="412"/>
      <c r="V939" s="412"/>
      <c r="W939" s="412"/>
      <c r="X939" s="412"/>
      <c r="Y939" s="412"/>
      <c r="Z939" s="412"/>
      <c r="AA939" s="412"/>
      <c r="AB939" s="412"/>
      <c r="AC939" s="412"/>
      <c r="AD939" s="412"/>
      <c r="AE939" s="412"/>
      <c r="AF939" s="412"/>
      <c r="AG939" s="412"/>
      <c r="AH939" s="419">
        <f t="shared" si="631"/>
        <v>0</v>
      </c>
      <c r="AI939" s="412"/>
      <c r="AJ939" s="412"/>
      <c r="AK939" s="412"/>
      <c r="AL939" s="412"/>
      <c r="AM939" s="412"/>
    </row>
    <row r="940" spans="1:39" ht="12.75">
      <c r="A940" s="412"/>
      <c r="B940" s="413"/>
      <c r="C940" s="412"/>
      <c r="D940" s="486"/>
      <c r="E940" s="412"/>
      <c r="F940" s="412"/>
      <c r="G940" s="412"/>
      <c r="H940" s="412"/>
      <c r="I940" s="412"/>
      <c r="J940" s="412"/>
      <c r="K940" s="412"/>
      <c r="L940" s="412"/>
      <c r="M940" s="412"/>
      <c r="N940" s="412"/>
      <c r="O940" s="412"/>
      <c r="P940" s="487"/>
      <c r="Q940" s="412"/>
      <c r="R940" s="412"/>
      <c r="S940" s="412"/>
      <c r="T940" s="488"/>
      <c r="U940" s="412"/>
      <c r="V940" s="412"/>
      <c r="W940" s="412"/>
      <c r="X940" s="412"/>
      <c r="Y940" s="412"/>
      <c r="Z940" s="412"/>
      <c r="AA940" s="412"/>
      <c r="AB940" s="412"/>
      <c r="AC940" s="412"/>
      <c r="AD940" s="412"/>
      <c r="AE940" s="412"/>
      <c r="AF940" s="412"/>
      <c r="AG940" s="412"/>
      <c r="AH940" s="419">
        <f t="shared" si="631"/>
        <v>0</v>
      </c>
      <c r="AI940" s="412"/>
      <c r="AJ940" s="412"/>
      <c r="AK940" s="412"/>
      <c r="AL940" s="412"/>
      <c r="AM940" s="412"/>
    </row>
    <row r="941" spans="1:39" ht="12.75">
      <c r="A941" s="412"/>
      <c r="B941" s="413"/>
      <c r="C941" s="412"/>
      <c r="D941" s="486"/>
      <c r="E941" s="412"/>
      <c r="F941" s="412"/>
      <c r="G941" s="412"/>
      <c r="H941" s="412"/>
      <c r="I941" s="412"/>
      <c r="J941" s="412"/>
      <c r="K941" s="412"/>
      <c r="L941" s="412"/>
      <c r="M941" s="412"/>
      <c r="N941" s="412"/>
      <c r="O941" s="412"/>
      <c r="P941" s="487"/>
      <c r="Q941" s="412"/>
      <c r="R941" s="412"/>
      <c r="S941" s="412"/>
      <c r="T941" s="488"/>
      <c r="U941" s="412"/>
      <c r="V941" s="412"/>
      <c r="W941" s="412"/>
      <c r="X941" s="412"/>
      <c r="Y941" s="412"/>
      <c r="Z941" s="412"/>
      <c r="AA941" s="412"/>
      <c r="AB941" s="412"/>
      <c r="AC941" s="412"/>
      <c r="AD941" s="412"/>
      <c r="AE941" s="412"/>
      <c r="AF941" s="412"/>
      <c r="AG941" s="412"/>
      <c r="AH941" s="419">
        <f t="shared" si="631"/>
        <v>0</v>
      </c>
      <c r="AI941" s="412"/>
      <c r="AJ941" s="412"/>
      <c r="AK941" s="412"/>
      <c r="AL941" s="412"/>
      <c r="AM941" s="412"/>
    </row>
    <row r="942" spans="1:39" ht="12.75">
      <c r="A942" s="412"/>
      <c r="B942" s="413"/>
      <c r="C942" s="412"/>
      <c r="D942" s="486"/>
      <c r="E942" s="412"/>
      <c r="F942" s="412"/>
      <c r="G942" s="412"/>
      <c r="H942" s="412"/>
      <c r="I942" s="412"/>
      <c r="J942" s="412"/>
      <c r="K942" s="412"/>
      <c r="L942" s="412"/>
      <c r="M942" s="412"/>
      <c r="N942" s="412"/>
      <c r="O942" s="412"/>
      <c r="P942" s="487"/>
      <c r="Q942" s="412"/>
      <c r="R942" s="412"/>
      <c r="S942" s="412"/>
      <c r="T942" s="488"/>
      <c r="U942" s="412"/>
      <c r="V942" s="412"/>
      <c r="W942" s="412"/>
      <c r="X942" s="412"/>
      <c r="Y942" s="412"/>
      <c r="Z942" s="412"/>
      <c r="AA942" s="412"/>
      <c r="AB942" s="412"/>
      <c r="AC942" s="412"/>
      <c r="AD942" s="412"/>
      <c r="AE942" s="412"/>
      <c r="AF942" s="412"/>
      <c r="AG942" s="412"/>
      <c r="AH942" s="419">
        <f t="shared" si="631"/>
        <v>0</v>
      </c>
      <c r="AI942" s="412"/>
      <c r="AJ942" s="412"/>
      <c r="AK942" s="412"/>
      <c r="AL942" s="412"/>
      <c r="AM942" s="412"/>
    </row>
    <row r="943" spans="1:39" ht="12.75">
      <c r="A943" s="412"/>
      <c r="B943" s="413"/>
      <c r="C943" s="412"/>
      <c r="D943" s="486"/>
      <c r="E943" s="412"/>
      <c r="F943" s="412"/>
      <c r="G943" s="412"/>
      <c r="H943" s="412"/>
      <c r="I943" s="412"/>
      <c r="J943" s="412"/>
      <c r="K943" s="412"/>
      <c r="L943" s="412"/>
      <c r="M943" s="412"/>
      <c r="N943" s="412"/>
      <c r="O943" s="412"/>
      <c r="P943" s="487"/>
      <c r="Q943" s="412"/>
      <c r="R943" s="412"/>
      <c r="S943" s="412"/>
      <c r="T943" s="488"/>
      <c r="U943" s="412"/>
      <c r="V943" s="412"/>
      <c r="W943" s="412"/>
      <c r="X943" s="412"/>
      <c r="Y943" s="412"/>
      <c r="Z943" s="412"/>
      <c r="AA943" s="412"/>
      <c r="AB943" s="412"/>
      <c r="AC943" s="412"/>
      <c r="AD943" s="412"/>
      <c r="AE943" s="412"/>
      <c r="AF943" s="412"/>
      <c r="AG943" s="412"/>
      <c r="AH943" s="419">
        <f t="shared" si="631"/>
        <v>0</v>
      </c>
      <c r="AI943" s="412"/>
      <c r="AJ943" s="412"/>
      <c r="AK943" s="412"/>
      <c r="AL943" s="412"/>
      <c r="AM943" s="412"/>
    </row>
    <row r="944" spans="1:39" ht="12.75">
      <c r="A944" s="412"/>
      <c r="B944" s="413"/>
      <c r="C944" s="412"/>
      <c r="D944" s="486"/>
      <c r="E944" s="412"/>
      <c r="F944" s="412"/>
      <c r="G944" s="412"/>
      <c r="H944" s="412"/>
      <c r="I944" s="412"/>
      <c r="J944" s="412"/>
      <c r="K944" s="412"/>
      <c r="L944" s="412"/>
      <c r="M944" s="412"/>
      <c r="N944" s="412"/>
      <c r="O944" s="412"/>
      <c r="P944" s="487"/>
      <c r="Q944" s="412"/>
      <c r="R944" s="412"/>
      <c r="S944" s="412"/>
      <c r="T944" s="488"/>
      <c r="U944" s="412"/>
      <c r="V944" s="412"/>
      <c r="W944" s="412"/>
      <c r="X944" s="412"/>
      <c r="Y944" s="412"/>
      <c r="Z944" s="412"/>
      <c r="AA944" s="412"/>
      <c r="AB944" s="412"/>
      <c r="AC944" s="412"/>
      <c r="AD944" s="412"/>
      <c r="AE944" s="412"/>
      <c r="AF944" s="412"/>
      <c r="AG944" s="412"/>
      <c r="AH944" s="419">
        <f t="shared" si="631"/>
        <v>0</v>
      </c>
      <c r="AI944" s="412"/>
      <c r="AJ944" s="412"/>
      <c r="AK944" s="412"/>
      <c r="AL944" s="412"/>
      <c r="AM944" s="412"/>
    </row>
    <row r="945" spans="1:39" ht="12.75">
      <c r="A945" s="412"/>
      <c r="B945" s="413"/>
      <c r="C945" s="412"/>
      <c r="D945" s="486"/>
      <c r="E945" s="412"/>
      <c r="F945" s="412"/>
      <c r="G945" s="412"/>
      <c r="H945" s="412"/>
      <c r="I945" s="412"/>
      <c r="J945" s="412"/>
      <c r="K945" s="412"/>
      <c r="L945" s="412"/>
      <c r="M945" s="412"/>
      <c r="N945" s="412"/>
      <c r="O945" s="412"/>
      <c r="P945" s="487"/>
      <c r="Q945" s="412"/>
      <c r="R945" s="412"/>
      <c r="S945" s="412"/>
      <c r="T945" s="488"/>
      <c r="U945" s="412"/>
      <c r="V945" s="412"/>
      <c r="W945" s="412"/>
      <c r="X945" s="412"/>
      <c r="Y945" s="412"/>
      <c r="Z945" s="412"/>
      <c r="AA945" s="412"/>
      <c r="AB945" s="412"/>
      <c r="AC945" s="412"/>
      <c r="AD945" s="412"/>
      <c r="AE945" s="412"/>
      <c r="AF945" s="412"/>
      <c r="AG945" s="412"/>
      <c r="AH945" s="419">
        <f t="shared" si="631"/>
        <v>0</v>
      </c>
      <c r="AI945" s="412"/>
      <c r="AJ945" s="412"/>
      <c r="AK945" s="412"/>
      <c r="AL945" s="412"/>
      <c r="AM945" s="412"/>
    </row>
    <row r="946" spans="1:39" ht="12.75">
      <c r="A946" s="412"/>
      <c r="B946" s="413"/>
      <c r="C946" s="412"/>
      <c r="D946" s="486"/>
      <c r="E946" s="412"/>
      <c r="F946" s="412"/>
      <c r="G946" s="412"/>
      <c r="H946" s="412"/>
      <c r="I946" s="412"/>
      <c r="J946" s="412"/>
      <c r="K946" s="412"/>
      <c r="L946" s="412"/>
      <c r="M946" s="412"/>
      <c r="N946" s="412"/>
      <c r="O946" s="412"/>
      <c r="P946" s="487"/>
      <c r="Q946" s="412"/>
      <c r="R946" s="412"/>
      <c r="S946" s="412"/>
      <c r="T946" s="488"/>
      <c r="U946" s="412"/>
      <c r="V946" s="412"/>
      <c r="W946" s="412"/>
      <c r="X946" s="412"/>
      <c r="Y946" s="412"/>
      <c r="Z946" s="412"/>
      <c r="AA946" s="412"/>
      <c r="AB946" s="412"/>
      <c r="AC946" s="412"/>
      <c r="AD946" s="412"/>
      <c r="AE946" s="412"/>
      <c r="AF946" s="412"/>
      <c r="AG946" s="412"/>
      <c r="AH946" s="419">
        <f t="shared" si="631"/>
        <v>0</v>
      </c>
      <c r="AI946" s="412"/>
      <c r="AJ946" s="412"/>
      <c r="AK946" s="412"/>
      <c r="AL946" s="412"/>
      <c r="AM946" s="412"/>
    </row>
    <row r="947" spans="1:39" ht="12.75">
      <c r="A947" s="412"/>
      <c r="B947" s="413"/>
      <c r="C947" s="412"/>
      <c r="D947" s="486"/>
      <c r="E947" s="412"/>
      <c r="F947" s="412"/>
      <c r="G947" s="412"/>
      <c r="H947" s="412"/>
      <c r="I947" s="412"/>
      <c r="J947" s="412"/>
      <c r="K947" s="412"/>
      <c r="L947" s="412"/>
      <c r="M947" s="412"/>
      <c r="N947" s="412"/>
      <c r="O947" s="412"/>
      <c r="P947" s="487"/>
      <c r="Q947" s="412"/>
      <c r="R947" s="412"/>
      <c r="S947" s="412"/>
      <c r="T947" s="488"/>
      <c r="U947" s="412"/>
      <c r="V947" s="412"/>
      <c r="W947" s="412"/>
      <c r="X947" s="412"/>
      <c r="Y947" s="412"/>
      <c r="Z947" s="412"/>
      <c r="AA947" s="412"/>
      <c r="AB947" s="412"/>
      <c r="AC947" s="412"/>
      <c r="AD947" s="412"/>
      <c r="AE947" s="412"/>
      <c r="AF947" s="412"/>
      <c r="AG947" s="412"/>
      <c r="AH947" s="419">
        <f t="shared" si="631"/>
        <v>0</v>
      </c>
      <c r="AI947" s="412"/>
      <c r="AJ947" s="412"/>
      <c r="AK947" s="412"/>
      <c r="AL947" s="412"/>
      <c r="AM947" s="412"/>
    </row>
    <row r="948" spans="1:39" ht="12.75">
      <c r="A948" s="412"/>
      <c r="B948" s="413"/>
      <c r="C948" s="412"/>
      <c r="D948" s="486"/>
      <c r="E948" s="412"/>
      <c r="F948" s="412"/>
      <c r="G948" s="412"/>
      <c r="H948" s="412"/>
      <c r="I948" s="412"/>
      <c r="J948" s="412"/>
      <c r="K948" s="412"/>
      <c r="L948" s="412"/>
      <c r="M948" s="412"/>
      <c r="N948" s="412"/>
      <c r="O948" s="412"/>
      <c r="P948" s="487"/>
      <c r="Q948" s="412"/>
      <c r="R948" s="412"/>
      <c r="S948" s="412"/>
      <c r="T948" s="488"/>
      <c r="U948" s="412"/>
      <c r="V948" s="412"/>
      <c r="W948" s="412"/>
      <c r="X948" s="412"/>
      <c r="Y948" s="412"/>
      <c r="Z948" s="412"/>
      <c r="AA948" s="412"/>
      <c r="AB948" s="412"/>
      <c r="AC948" s="412"/>
      <c r="AD948" s="412"/>
      <c r="AE948" s="412"/>
      <c r="AF948" s="412"/>
      <c r="AG948" s="412"/>
      <c r="AH948" s="419">
        <f t="shared" si="631"/>
        <v>0</v>
      </c>
      <c r="AI948" s="412"/>
      <c r="AJ948" s="412"/>
      <c r="AK948" s="412"/>
      <c r="AL948" s="412"/>
      <c r="AM948" s="412"/>
    </row>
    <row r="949" spans="1:39" ht="12.75">
      <c r="A949" s="412"/>
      <c r="B949" s="413"/>
      <c r="C949" s="412"/>
      <c r="D949" s="486"/>
      <c r="E949" s="412"/>
      <c r="F949" s="412"/>
      <c r="G949" s="412"/>
      <c r="H949" s="412"/>
      <c r="I949" s="412"/>
      <c r="J949" s="412"/>
      <c r="K949" s="412"/>
      <c r="L949" s="412"/>
      <c r="M949" s="412"/>
      <c r="N949" s="412"/>
      <c r="O949" s="412"/>
      <c r="P949" s="487"/>
      <c r="Q949" s="412"/>
      <c r="R949" s="412"/>
      <c r="S949" s="412"/>
      <c r="T949" s="488"/>
      <c r="U949" s="412"/>
      <c r="V949" s="412"/>
      <c r="W949" s="412"/>
      <c r="X949" s="412"/>
      <c r="Y949" s="412"/>
      <c r="Z949" s="412"/>
      <c r="AA949" s="412"/>
      <c r="AB949" s="412"/>
      <c r="AC949" s="412"/>
      <c r="AD949" s="412"/>
      <c r="AE949" s="412"/>
      <c r="AF949" s="412"/>
      <c r="AG949" s="412"/>
      <c r="AH949" s="419">
        <f t="shared" si="631"/>
        <v>0</v>
      </c>
      <c r="AI949" s="412"/>
      <c r="AJ949" s="412"/>
      <c r="AK949" s="412"/>
      <c r="AL949" s="412"/>
      <c r="AM949" s="412"/>
    </row>
    <row r="950" spans="1:39" ht="12.75">
      <c r="A950" s="412"/>
      <c r="B950" s="413"/>
      <c r="C950" s="412"/>
      <c r="D950" s="486"/>
      <c r="E950" s="412"/>
      <c r="F950" s="412"/>
      <c r="G950" s="412"/>
      <c r="H950" s="412"/>
      <c r="I950" s="412"/>
      <c r="J950" s="412"/>
      <c r="K950" s="412"/>
      <c r="L950" s="412"/>
      <c r="M950" s="412"/>
      <c r="N950" s="412"/>
      <c r="O950" s="412"/>
      <c r="P950" s="487"/>
      <c r="Q950" s="412"/>
      <c r="R950" s="412"/>
      <c r="S950" s="412"/>
      <c r="T950" s="488"/>
      <c r="U950" s="412"/>
      <c r="V950" s="412"/>
      <c r="W950" s="412"/>
      <c r="X950" s="412"/>
      <c r="Y950" s="412"/>
      <c r="Z950" s="412"/>
      <c r="AA950" s="412"/>
      <c r="AB950" s="412"/>
      <c r="AC950" s="412"/>
      <c r="AD950" s="412"/>
      <c r="AE950" s="412"/>
      <c r="AF950" s="412"/>
      <c r="AG950" s="412"/>
      <c r="AH950" s="419">
        <f t="shared" si="631"/>
        <v>0</v>
      </c>
      <c r="AI950" s="412"/>
      <c r="AJ950" s="412"/>
      <c r="AK950" s="412"/>
      <c r="AL950" s="412"/>
      <c r="AM950" s="412"/>
    </row>
    <row r="951" spans="1:39" ht="12.75">
      <c r="A951" s="412"/>
      <c r="B951" s="413"/>
      <c r="C951" s="412"/>
      <c r="D951" s="486"/>
      <c r="E951" s="412"/>
      <c r="F951" s="412"/>
      <c r="G951" s="412"/>
      <c r="H951" s="412"/>
      <c r="I951" s="412"/>
      <c r="J951" s="412"/>
      <c r="K951" s="412"/>
      <c r="L951" s="412"/>
      <c r="M951" s="412"/>
      <c r="N951" s="412"/>
      <c r="O951" s="412"/>
      <c r="P951" s="487"/>
      <c r="Q951" s="412"/>
      <c r="R951" s="412"/>
      <c r="S951" s="412"/>
      <c r="T951" s="488"/>
      <c r="U951" s="412"/>
      <c r="V951" s="412"/>
      <c r="W951" s="412"/>
      <c r="X951" s="412"/>
      <c r="Y951" s="412"/>
      <c r="Z951" s="412"/>
      <c r="AA951" s="412"/>
      <c r="AB951" s="412"/>
      <c r="AC951" s="412"/>
      <c r="AD951" s="412"/>
      <c r="AE951" s="412"/>
      <c r="AF951" s="412"/>
      <c r="AG951" s="412"/>
      <c r="AH951" s="419">
        <f t="shared" si="631"/>
        <v>0</v>
      </c>
      <c r="AI951" s="412"/>
      <c r="AJ951" s="412"/>
      <c r="AK951" s="412"/>
      <c r="AL951" s="412"/>
      <c r="AM951" s="412"/>
    </row>
    <row r="952" spans="1:39" ht="12.75">
      <c r="A952" s="412"/>
      <c r="B952" s="413"/>
      <c r="C952" s="412"/>
      <c r="D952" s="486"/>
      <c r="E952" s="412"/>
      <c r="F952" s="412"/>
      <c r="G952" s="412"/>
      <c r="H952" s="412"/>
      <c r="I952" s="412"/>
      <c r="J952" s="412"/>
      <c r="K952" s="412"/>
      <c r="L952" s="412"/>
      <c r="M952" s="412"/>
      <c r="N952" s="412"/>
      <c r="O952" s="412"/>
      <c r="P952" s="487"/>
      <c r="Q952" s="412"/>
      <c r="R952" s="412"/>
      <c r="S952" s="412"/>
      <c r="T952" s="488"/>
      <c r="U952" s="412"/>
      <c r="V952" s="412"/>
      <c r="W952" s="412"/>
      <c r="X952" s="412"/>
      <c r="Y952" s="412"/>
      <c r="Z952" s="412"/>
      <c r="AA952" s="412"/>
      <c r="AB952" s="412"/>
      <c r="AC952" s="412"/>
      <c r="AD952" s="412"/>
      <c r="AE952" s="412"/>
      <c r="AF952" s="412"/>
      <c r="AG952" s="412"/>
      <c r="AH952" s="419">
        <f t="shared" si="631"/>
        <v>0</v>
      </c>
      <c r="AI952" s="412"/>
      <c r="AJ952" s="412"/>
      <c r="AK952" s="412"/>
      <c r="AL952" s="412"/>
      <c r="AM952" s="412"/>
    </row>
    <row r="953" spans="1:39" ht="12.75">
      <c r="A953" s="412"/>
      <c r="B953" s="413"/>
      <c r="C953" s="412"/>
      <c r="D953" s="486"/>
      <c r="E953" s="412"/>
      <c r="F953" s="412"/>
      <c r="G953" s="412"/>
      <c r="H953" s="412"/>
      <c r="I953" s="412"/>
      <c r="J953" s="412"/>
      <c r="K953" s="412"/>
      <c r="L953" s="412"/>
      <c r="M953" s="412"/>
      <c r="N953" s="412"/>
      <c r="O953" s="412"/>
      <c r="P953" s="487"/>
      <c r="Q953" s="412"/>
      <c r="R953" s="412"/>
      <c r="S953" s="412"/>
      <c r="T953" s="488"/>
      <c r="U953" s="412"/>
      <c r="V953" s="412"/>
      <c r="W953" s="412"/>
      <c r="X953" s="412"/>
      <c r="Y953" s="412"/>
      <c r="Z953" s="412"/>
      <c r="AA953" s="412"/>
      <c r="AB953" s="412"/>
      <c r="AC953" s="412"/>
      <c r="AD953" s="412"/>
      <c r="AE953" s="412"/>
      <c r="AF953" s="412"/>
      <c r="AG953" s="412"/>
      <c r="AH953" s="419">
        <f t="shared" si="631"/>
        <v>0</v>
      </c>
      <c r="AI953" s="412"/>
      <c r="AJ953" s="412"/>
      <c r="AK953" s="412"/>
      <c r="AL953" s="412"/>
      <c r="AM953" s="412"/>
    </row>
    <row r="954" spans="1:39" ht="12.75">
      <c r="A954" s="412"/>
      <c r="B954" s="413"/>
      <c r="C954" s="412"/>
      <c r="D954" s="486"/>
      <c r="E954" s="412"/>
      <c r="F954" s="412"/>
      <c r="G954" s="412"/>
      <c r="H954" s="412"/>
      <c r="I954" s="412"/>
      <c r="J954" s="412"/>
      <c r="K954" s="412"/>
      <c r="L954" s="412"/>
      <c r="M954" s="412"/>
      <c r="N954" s="412"/>
      <c r="O954" s="412"/>
      <c r="P954" s="487"/>
      <c r="Q954" s="412"/>
      <c r="R954" s="412"/>
      <c r="S954" s="412"/>
      <c r="T954" s="488"/>
      <c r="U954" s="412"/>
      <c r="V954" s="412"/>
      <c r="W954" s="412"/>
      <c r="X954" s="412"/>
      <c r="Y954" s="412"/>
      <c r="Z954" s="412"/>
      <c r="AA954" s="412"/>
      <c r="AB954" s="412"/>
      <c r="AC954" s="412"/>
      <c r="AD954" s="412"/>
      <c r="AE954" s="412"/>
      <c r="AF954" s="412"/>
      <c r="AG954" s="412"/>
      <c r="AH954" s="419">
        <f t="shared" si="631"/>
        <v>0</v>
      </c>
      <c r="AI954" s="412"/>
      <c r="AJ954" s="412"/>
      <c r="AK954" s="412"/>
      <c r="AL954" s="412"/>
      <c r="AM954" s="412"/>
    </row>
    <row r="955" spans="1:39" ht="12.75">
      <c r="A955" s="412"/>
      <c r="B955" s="413"/>
      <c r="C955" s="412"/>
      <c r="D955" s="486"/>
      <c r="E955" s="412"/>
      <c r="F955" s="412"/>
      <c r="G955" s="412"/>
      <c r="H955" s="412"/>
      <c r="I955" s="412"/>
      <c r="J955" s="412"/>
      <c r="K955" s="412"/>
      <c r="L955" s="412"/>
      <c r="M955" s="412"/>
      <c r="N955" s="412"/>
      <c r="O955" s="412"/>
      <c r="P955" s="487"/>
      <c r="Q955" s="412"/>
      <c r="R955" s="412"/>
      <c r="S955" s="412"/>
      <c r="T955" s="488"/>
      <c r="U955" s="412"/>
      <c r="V955" s="412"/>
      <c r="W955" s="412"/>
      <c r="X955" s="412"/>
      <c r="Y955" s="412"/>
      <c r="Z955" s="412"/>
      <c r="AA955" s="412"/>
      <c r="AB955" s="412"/>
      <c r="AC955" s="412"/>
      <c r="AD955" s="412"/>
      <c r="AE955" s="412"/>
      <c r="AF955" s="412"/>
      <c r="AG955" s="412"/>
      <c r="AH955" s="419">
        <f t="shared" si="631"/>
        <v>0</v>
      </c>
      <c r="AI955" s="412"/>
      <c r="AJ955" s="412"/>
      <c r="AK955" s="412"/>
      <c r="AL955" s="412"/>
      <c r="AM955" s="412"/>
    </row>
    <row r="956" spans="1:39" ht="12.75">
      <c r="A956" s="412"/>
      <c r="B956" s="413"/>
      <c r="C956" s="412"/>
      <c r="D956" s="486"/>
      <c r="E956" s="412"/>
      <c r="F956" s="412"/>
      <c r="G956" s="412"/>
      <c r="H956" s="412"/>
      <c r="I956" s="412"/>
      <c r="J956" s="412"/>
      <c r="K956" s="412"/>
      <c r="L956" s="412"/>
      <c r="M956" s="412"/>
      <c r="N956" s="412"/>
      <c r="O956" s="412"/>
      <c r="P956" s="487"/>
      <c r="Q956" s="412"/>
      <c r="R956" s="412"/>
      <c r="S956" s="412"/>
      <c r="T956" s="488"/>
      <c r="U956" s="412"/>
      <c r="V956" s="412"/>
      <c r="W956" s="412"/>
      <c r="X956" s="412"/>
      <c r="Y956" s="412"/>
      <c r="Z956" s="412"/>
      <c r="AA956" s="412"/>
      <c r="AB956" s="412"/>
      <c r="AC956" s="412"/>
      <c r="AD956" s="412"/>
      <c r="AE956" s="412"/>
      <c r="AF956" s="412"/>
      <c r="AG956" s="412"/>
      <c r="AH956" s="419">
        <f t="shared" si="631"/>
        <v>0</v>
      </c>
      <c r="AI956" s="412"/>
      <c r="AJ956" s="412"/>
      <c r="AK956" s="412"/>
      <c r="AL956" s="412"/>
      <c r="AM956" s="412"/>
    </row>
    <row r="957" spans="1:39" ht="12.75">
      <c r="A957" s="412"/>
      <c r="B957" s="413"/>
      <c r="C957" s="412"/>
      <c r="D957" s="486"/>
      <c r="E957" s="412"/>
      <c r="F957" s="412"/>
      <c r="G957" s="412"/>
      <c r="H957" s="412"/>
      <c r="I957" s="412"/>
      <c r="J957" s="412"/>
      <c r="K957" s="412"/>
      <c r="L957" s="412"/>
      <c r="M957" s="412"/>
      <c r="N957" s="412"/>
      <c r="O957" s="412"/>
      <c r="P957" s="487"/>
      <c r="Q957" s="412"/>
      <c r="R957" s="412"/>
      <c r="S957" s="412"/>
      <c r="T957" s="488"/>
      <c r="U957" s="412"/>
      <c r="V957" s="412"/>
      <c r="W957" s="412"/>
      <c r="X957" s="412"/>
      <c r="Y957" s="412"/>
      <c r="Z957" s="412"/>
      <c r="AA957" s="412"/>
      <c r="AB957" s="412"/>
      <c r="AC957" s="412"/>
      <c r="AD957" s="412"/>
      <c r="AE957" s="412"/>
      <c r="AF957" s="412"/>
      <c r="AG957" s="412"/>
      <c r="AH957" s="419">
        <f t="shared" si="631"/>
        <v>0</v>
      </c>
      <c r="AI957" s="412"/>
      <c r="AJ957" s="412"/>
      <c r="AK957" s="412"/>
      <c r="AL957" s="412"/>
      <c r="AM957" s="412"/>
    </row>
    <row r="958" spans="1:39" ht="12.75">
      <c r="A958" s="412"/>
      <c r="B958" s="413"/>
      <c r="C958" s="412"/>
      <c r="D958" s="486"/>
      <c r="E958" s="412"/>
      <c r="F958" s="412"/>
      <c r="G958" s="412"/>
      <c r="H958" s="412"/>
      <c r="I958" s="412"/>
      <c r="J958" s="412"/>
      <c r="K958" s="412"/>
      <c r="L958" s="412"/>
      <c r="M958" s="412"/>
      <c r="N958" s="412"/>
      <c r="O958" s="412"/>
      <c r="P958" s="487"/>
      <c r="Q958" s="412"/>
      <c r="R958" s="412"/>
      <c r="S958" s="412"/>
      <c r="T958" s="488"/>
      <c r="U958" s="412"/>
      <c r="V958" s="412"/>
      <c r="W958" s="412"/>
      <c r="X958" s="412"/>
      <c r="Y958" s="412"/>
      <c r="Z958" s="412"/>
      <c r="AA958" s="412"/>
      <c r="AB958" s="412"/>
      <c r="AC958" s="412"/>
      <c r="AD958" s="412"/>
      <c r="AE958" s="412"/>
      <c r="AF958" s="412"/>
      <c r="AG958" s="412"/>
      <c r="AH958" s="419">
        <f t="shared" si="631"/>
        <v>0</v>
      </c>
      <c r="AI958" s="412"/>
      <c r="AJ958" s="412"/>
      <c r="AK958" s="412"/>
      <c r="AL958" s="412"/>
      <c r="AM958" s="412"/>
    </row>
    <row r="959" spans="1:39" ht="12.75">
      <c r="A959" s="412"/>
      <c r="B959" s="413"/>
      <c r="C959" s="412"/>
      <c r="D959" s="486"/>
      <c r="E959" s="412"/>
      <c r="F959" s="412"/>
      <c r="G959" s="412"/>
      <c r="H959" s="412"/>
      <c r="I959" s="412"/>
      <c r="J959" s="412"/>
      <c r="K959" s="412"/>
      <c r="L959" s="412"/>
      <c r="M959" s="412"/>
      <c r="N959" s="412"/>
      <c r="O959" s="412"/>
      <c r="P959" s="487"/>
      <c r="Q959" s="412"/>
      <c r="R959" s="412"/>
      <c r="S959" s="412"/>
      <c r="T959" s="488"/>
      <c r="U959" s="412"/>
      <c r="V959" s="412"/>
      <c r="W959" s="412"/>
      <c r="X959" s="412"/>
      <c r="Y959" s="412"/>
      <c r="Z959" s="412"/>
      <c r="AA959" s="412"/>
      <c r="AB959" s="412"/>
      <c r="AC959" s="412"/>
      <c r="AD959" s="412"/>
      <c r="AE959" s="412"/>
      <c r="AF959" s="412"/>
      <c r="AG959" s="412"/>
      <c r="AH959" s="419">
        <f t="shared" si="631"/>
        <v>0</v>
      </c>
      <c r="AI959" s="412"/>
      <c r="AJ959" s="412"/>
      <c r="AK959" s="412"/>
      <c r="AL959" s="412"/>
      <c r="AM959" s="412"/>
    </row>
    <row r="960" spans="1:39" ht="12.75">
      <c r="A960" s="412"/>
      <c r="B960" s="413"/>
      <c r="C960" s="412"/>
      <c r="D960" s="486"/>
      <c r="E960" s="412"/>
      <c r="F960" s="412"/>
      <c r="G960" s="412"/>
      <c r="H960" s="412"/>
      <c r="I960" s="412"/>
      <c r="J960" s="412"/>
      <c r="K960" s="412"/>
      <c r="L960" s="412"/>
      <c r="M960" s="412"/>
      <c r="N960" s="412"/>
      <c r="O960" s="412"/>
      <c r="P960" s="487"/>
      <c r="Q960" s="412"/>
      <c r="R960" s="412"/>
      <c r="S960" s="412"/>
      <c r="T960" s="488"/>
      <c r="U960" s="412"/>
      <c r="V960" s="412"/>
      <c r="W960" s="412"/>
      <c r="X960" s="412"/>
      <c r="Y960" s="412"/>
      <c r="Z960" s="412"/>
      <c r="AA960" s="412"/>
      <c r="AB960" s="412"/>
      <c r="AC960" s="412"/>
      <c r="AD960" s="412"/>
      <c r="AE960" s="412"/>
      <c r="AF960" s="412"/>
      <c r="AG960" s="412"/>
      <c r="AH960" s="419">
        <f t="shared" si="631"/>
        <v>0</v>
      </c>
      <c r="AI960" s="412"/>
      <c r="AJ960" s="412"/>
      <c r="AK960" s="412"/>
      <c r="AL960" s="412"/>
      <c r="AM960" s="412"/>
    </row>
    <row r="961" spans="1:39" ht="12.75">
      <c r="A961" s="412"/>
      <c r="B961" s="413"/>
      <c r="C961" s="412"/>
      <c r="D961" s="486"/>
      <c r="E961" s="412"/>
      <c r="F961" s="412"/>
      <c r="G961" s="412"/>
      <c r="H961" s="412"/>
      <c r="I961" s="412"/>
      <c r="J961" s="412"/>
      <c r="K961" s="412"/>
      <c r="L961" s="412"/>
      <c r="M961" s="412"/>
      <c r="N961" s="412"/>
      <c r="O961" s="412"/>
      <c r="P961" s="487"/>
      <c r="Q961" s="412"/>
      <c r="R961" s="412"/>
      <c r="S961" s="412"/>
      <c r="T961" s="488"/>
      <c r="U961" s="412"/>
      <c r="V961" s="412"/>
      <c r="W961" s="412"/>
      <c r="X961" s="412"/>
      <c r="Y961" s="412"/>
      <c r="Z961" s="412"/>
      <c r="AA961" s="412"/>
      <c r="AB961" s="412"/>
      <c r="AC961" s="412"/>
      <c r="AD961" s="412"/>
      <c r="AE961" s="412"/>
      <c r="AF961" s="412"/>
      <c r="AG961" s="412"/>
      <c r="AH961" s="419">
        <f t="shared" si="631"/>
        <v>0</v>
      </c>
      <c r="AI961" s="412"/>
      <c r="AJ961" s="412"/>
      <c r="AK961" s="412"/>
      <c r="AL961" s="412"/>
      <c r="AM961" s="412"/>
    </row>
    <row r="962" spans="1:39" ht="12.75">
      <c r="A962" s="412"/>
      <c r="B962" s="413"/>
      <c r="C962" s="412"/>
      <c r="D962" s="486"/>
      <c r="E962" s="412"/>
      <c r="F962" s="412"/>
      <c r="G962" s="412"/>
      <c r="H962" s="412"/>
      <c r="I962" s="412"/>
      <c r="J962" s="412"/>
      <c r="K962" s="412"/>
      <c r="L962" s="412"/>
      <c r="M962" s="412"/>
      <c r="N962" s="412"/>
      <c r="O962" s="412"/>
      <c r="P962" s="487"/>
      <c r="Q962" s="412"/>
      <c r="R962" s="412"/>
      <c r="S962" s="412"/>
      <c r="T962" s="488"/>
      <c r="U962" s="412"/>
      <c r="V962" s="412"/>
      <c r="W962" s="412"/>
      <c r="X962" s="412"/>
      <c r="Y962" s="412"/>
      <c r="Z962" s="412"/>
      <c r="AA962" s="412"/>
      <c r="AB962" s="412"/>
      <c r="AC962" s="412"/>
      <c r="AD962" s="412"/>
      <c r="AE962" s="412"/>
      <c r="AF962" s="412"/>
      <c r="AG962" s="412"/>
      <c r="AH962" s="419">
        <f t="shared" ref="AH962:AH1025" si="632">AG962-F962</f>
        <v>0</v>
      </c>
      <c r="AI962" s="412"/>
      <c r="AJ962" s="412"/>
      <c r="AK962" s="412"/>
      <c r="AL962" s="412"/>
      <c r="AM962" s="412"/>
    </row>
    <row r="963" spans="1:39" ht="12.75">
      <c r="A963" s="412"/>
      <c r="B963" s="413"/>
      <c r="C963" s="412"/>
      <c r="D963" s="486"/>
      <c r="E963" s="412"/>
      <c r="F963" s="412"/>
      <c r="G963" s="412"/>
      <c r="H963" s="412"/>
      <c r="I963" s="412"/>
      <c r="J963" s="412"/>
      <c r="K963" s="412"/>
      <c r="L963" s="412"/>
      <c r="M963" s="412"/>
      <c r="N963" s="412"/>
      <c r="O963" s="412"/>
      <c r="P963" s="487"/>
      <c r="Q963" s="412"/>
      <c r="R963" s="412"/>
      <c r="S963" s="412"/>
      <c r="T963" s="488"/>
      <c r="U963" s="412"/>
      <c r="V963" s="412"/>
      <c r="W963" s="412"/>
      <c r="X963" s="412"/>
      <c r="Y963" s="412"/>
      <c r="Z963" s="412"/>
      <c r="AA963" s="412"/>
      <c r="AB963" s="412"/>
      <c r="AC963" s="412"/>
      <c r="AD963" s="412"/>
      <c r="AE963" s="412"/>
      <c r="AF963" s="412"/>
      <c r="AG963" s="412"/>
      <c r="AH963" s="419">
        <f t="shared" si="632"/>
        <v>0</v>
      </c>
      <c r="AI963" s="412"/>
      <c r="AJ963" s="412"/>
      <c r="AK963" s="412"/>
      <c r="AL963" s="412"/>
      <c r="AM963" s="412"/>
    </row>
    <row r="964" spans="1:39" ht="12.75">
      <c r="A964" s="412"/>
      <c r="B964" s="413"/>
      <c r="C964" s="412"/>
      <c r="D964" s="486"/>
      <c r="E964" s="412"/>
      <c r="F964" s="412"/>
      <c r="G964" s="412"/>
      <c r="H964" s="412"/>
      <c r="I964" s="412"/>
      <c r="J964" s="412"/>
      <c r="K964" s="412"/>
      <c r="L964" s="412"/>
      <c r="M964" s="412"/>
      <c r="N964" s="412"/>
      <c r="O964" s="412"/>
      <c r="P964" s="487"/>
      <c r="Q964" s="412"/>
      <c r="R964" s="412"/>
      <c r="S964" s="412"/>
      <c r="T964" s="488"/>
      <c r="U964" s="412"/>
      <c r="V964" s="412"/>
      <c r="W964" s="412"/>
      <c r="X964" s="412"/>
      <c r="Y964" s="412"/>
      <c r="Z964" s="412"/>
      <c r="AA964" s="412"/>
      <c r="AB964" s="412"/>
      <c r="AC964" s="412"/>
      <c r="AD964" s="412"/>
      <c r="AE964" s="412"/>
      <c r="AF964" s="412"/>
      <c r="AG964" s="412"/>
      <c r="AH964" s="419">
        <f t="shared" si="632"/>
        <v>0</v>
      </c>
      <c r="AI964" s="412"/>
      <c r="AJ964" s="412"/>
      <c r="AK964" s="412"/>
      <c r="AL964" s="412"/>
      <c r="AM964" s="412"/>
    </row>
    <row r="965" spans="1:39" ht="12.75">
      <c r="A965" s="412"/>
      <c r="B965" s="413"/>
      <c r="C965" s="412"/>
      <c r="D965" s="486"/>
      <c r="E965" s="412"/>
      <c r="F965" s="412"/>
      <c r="G965" s="412"/>
      <c r="H965" s="412"/>
      <c r="I965" s="412"/>
      <c r="J965" s="412"/>
      <c r="K965" s="412"/>
      <c r="L965" s="412"/>
      <c r="M965" s="412"/>
      <c r="N965" s="412"/>
      <c r="O965" s="412"/>
      <c r="P965" s="487"/>
      <c r="Q965" s="412"/>
      <c r="R965" s="412"/>
      <c r="S965" s="412"/>
      <c r="T965" s="488"/>
      <c r="U965" s="412"/>
      <c r="V965" s="412"/>
      <c r="W965" s="412"/>
      <c r="X965" s="412"/>
      <c r="Y965" s="412"/>
      <c r="Z965" s="412"/>
      <c r="AA965" s="412"/>
      <c r="AB965" s="412"/>
      <c r="AC965" s="412"/>
      <c r="AD965" s="412"/>
      <c r="AE965" s="412"/>
      <c r="AF965" s="412"/>
      <c r="AG965" s="412"/>
      <c r="AH965" s="419">
        <f t="shared" si="632"/>
        <v>0</v>
      </c>
      <c r="AI965" s="412"/>
      <c r="AJ965" s="412"/>
      <c r="AK965" s="412"/>
      <c r="AL965" s="412"/>
      <c r="AM965" s="412"/>
    </row>
    <row r="966" spans="1:39" ht="12.75">
      <c r="A966" s="412"/>
      <c r="B966" s="413"/>
      <c r="C966" s="412"/>
      <c r="D966" s="486"/>
      <c r="E966" s="412"/>
      <c r="F966" s="412"/>
      <c r="G966" s="412"/>
      <c r="H966" s="412"/>
      <c r="I966" s="412"/>
      <c r="J966" s="412"/>
      <c r="K966" s="412"/>
      <c r="L966" s="412"/>
      <c r="M966" s="412"/>
      <c r="N966" s="412"/>
      <c r="O966" s="412"/>
      <c r="P966" s="487"/>
      <c r="Q966" s="412"/>
      <c r="R966" s="412"/>
      <c r="S966" s="412"/>
      <c r="T966" s="488"/>
      <c r="U966" s="412"/>
      <c r="V966" s="412"/>
      <c r="W966" s="412"/>
      <c r="X966" s="412"/>
      <c r="Y966" s="412"/>
      <c r="Z966" s="412"/>
      <c r="AA966" s="412"/>
      <c r="AB966" s="412"/>
      <c r="AC966" s="412"/>
      <c r="AD966" s="412"/>
      <c r="AE966" s="412"/>
      <c r="AF966" s="412"/>
      <c r="AG966" s="412"/>
      <c r="AH966" s="419">
        <f t="shared" si="632"/>
        <v>0</v>
      </c>
      <c r="AI966" s="412"/>
      <c r="AJ966" s="412"/>
      <c r="AK966" s="412"/>
      <c r="AL966" s="412"/>
      <c r="AM966" s="412"/>
    </row>
    <row r="967" spans="1:39" ht="12.75">
      <c r="A967" s="412"/>
      <c r="B967" s="413"/>
      <c r="C967" s="412"/>
      <c r="D967" s="486"/>
      <c r="E967" s="412"/>
      <c r="F967" s="412"/>
      <c r="G967" s="412"/>
      <c r="H967" s="412"/>
      <c r="I967" s="412"/>
      <c r="J967" s="412"/>
      <c r="K967" s="412"/>
      <c r="L967" s="412"/>
      <c r="M967" s="412"/>
      <c r="N967" s="412"/>
      <c r="O967" s="412"/>
      <c r="P967" s="487"/>
      <c r="Q967" s="412"/>
      <c r="R967" s="412"/>
      <c r="S967" s="412"/>
      <c r="T967" s="488"/>
      <c r="U967" s="412"/>
      <c r="V967" s="412"/>
      <c r="W967" s="412"/>
      <c r="X967" s="412"/>
      <c r="Y967" s="412"/>
      <c r="Z967" s="412"/>
      <c r="AA967" s="412"/>
      <c r="AB967" s="412"/>
      <c r="AC967" s="412"/>
      <c r="AD967" s="412"/>
      <c r="AE967" s="412"/>
      <c r="AF967" s="412"/>
      <c r="AG967" s="412"/>
      <c r="AH967" s="419">
        <f t="shared" si="632"/>
        <v>0</v>
      </c>
      <c r="AI967" s="412"/>
      <c r="AJ967" s="412"/>
      <c r="AK967" s="412"/>
      <c r="AL967" s="412"/>
      <c r="AM967" s="412"/>
    </row>
    <row r="968" spans="1:39" ht="12.75">
      <c r="A968" s="412"/>
      <c r="B968" s="413"/>
      <c r="C968" s="412"/>
      <c r="D968" s="486"/>
      <c r="E968" s="412"/>
      <c r="F968" s="412"/>
      <c r="G968" s="412"/>
      <c r="H968" s="412"/>
      <c r="I968" s="412"/>
      <c r="J968" s="412"/>
      <c r="K968" s="412"/>
      <c r="L968" s="412"/>
      <c r="M968" s="412"/>
      <c r="N968" s="412"/>
      <c r="O968" s="412"/>
      <c r="P968" s="487"/>
      <c r="Q968" s="412"/>
      <c r="R968" s="412"/>
      <c r="S968" s="412"/>
      <c r="T968" s="488"/>
      <c r="U968" s="412"/>
      <c r="V968" s="412"/>
      <c r="W968" s="412"/>
      <c r="X968" s="412"/>
      <c r="Y968" s="412"/>
      <c r="Z968" s="412"/>
      <c r="AA968" s="412"/>
      <c r="AB968" s="412"/>
      <c r="AC968" s="412"/>
      <c r="AD968" s="412"/>
      <c r="AE968" s="412"/>
      <c r="AF968" s="412"/>
      <c r="AG968" s="412"/>
      <c r="AH968" s="419">
        <f t="shared" si="632"/>
        <v>0</v>
      </c>
      <c r="AI968" s="412"/>
      <c r="AJ968" s="412"/>
      <c r="AK968" s="412"/>
      <c r="AL968" s="412"/>
      <c r="AM968" s="412"/>
    </row>
    <row r="969" spans="1:39" ht="12.75">
      <c r="A969" s="412"/>
      <c r="B969" s="412"/>
      <c r="C969" s="412"/>
      <c r="D969" s="486"/>
      <c r="E969" s="412"/>
      <c r="F969" s="412"/>
      <c r="G969" s="412"/>
      <c r="H969" s="412"/>
      <c r="I969" s="412"/>
      <c r="J969" s="412"/>
      <c r="K969" s="412"/>
      <c r="L969" s="412"/>
      <c r="M969" s="412"/>
      <c r="N969" s="412"/>
      <c r="O969" s="412"/>
      <c r="P969" s="487"/>
      <c r="Q969" s="412"/>
      <c r="R969" s="412"/>
      <c r="S969" s="412"/>
      <c r="T969" s="488"/>
      <c r="U969" s="412"/>
      <c r="V969" s="412"/>
      <c r="W969" s="412"/>
      <c r="X969" s="412"/>
      <c r="Y969" s="412"/>
      <c r="Z969" s="412"/>
      <c r="AA969" s="412"/>
      <c r="AB969" s="412"/>
      <c r="AC969" s="412"/>
      <c r="AD969" s="412"/>
      <c r="AE969" s="412"/>
      <c r="AF969" s="412"/>
      <c r="AG969" s="412"/>
      <c r="AH969" s="419">
        <f t="shared" si="632"/>
        <v>0</v>
      </c>
      <c r="AI969" s="412"/>
      <c r="AJ969" s="412"/>
      <c r="AK969" s="412"/>
      <c r="AL969" s="412"/>
      <c r="AM969" s="412"/>
    </row>
    <row r="970" spans="1:39" ht="12.75">
      <c r="A970" s="412"/>
      <c r="B970" s="412"/>
      <c r="C970" s="412"/>
      <c r="D970" s="486"/>
      <c r="E970" s="412"/>
      <c r="F970" s="412"/>
      <c r="G970" s="412"/>
      <c r="H970" s="412"/>
      <c r="I970" s="412"/>
      <c r="J970" s="412"/>
      <c r="K970" s="412"/>
      <c r="L970" s="412"/>
      <c r="M970" s="412"/>
      <c r="N970" s="412"/>
      <c r="O970" s="412"/>
      <c r="P970" s="487"/>
      <c r="Q970" s="412"/>
      <c r="R970" s="412"/>
      <c r="S970" s="412"/>
      <c r="T970" s="488"/>
      <c r="U970" s="412"/>
      <c r="V970" s="412"/>
      <c r="W970" s="412"/>
      <c r="X970" s="412"/>
      <c r="Y970" s="412"/>
      <c r="Z970" s="412"/>
      <c r="AA970" s="412"/>
      <c r="AB970" s="412"/>
      <c r="AC970" s="412"/>
      <c r="AD970" s="412"/>
      <c r="AE970" s="412"/>
      <c r="AF970" s="412"/>
      <c r="AG970" s="412"/>
      <c r="AH970" s="419">
        <f t="shared" si="632"/>
        <v>0</v>
      </c>
      <c r="AI970" s="412"/>
      <c r="AJ970" s="412"/>
      <c r="AK970" s="412"/>
      <c r="AL970" s="412"/>
      <c r="AM970" s="412"/>
    </row>
    <row r="971" spans="1:39" ht="12.75">
      <c r="A971" s="412"/>
      <c r="B971" s="412"/>
      <c r="C971" s="412"/>
      <c r="D971" s="486"/>
      <c r="E971" s="412"/>
      <c r="F971" s="412"/>
      <c r="G971" s="412"/>
      <c r="H971" s="412"/>
      <c r="I971" s="412"/>
      <c r="J971" s="412"/>
      <c r="K971" s="412"/>
      <c r="L971" s="412"/>
      <c r="M971" s="412"/>
      <c r="N971" s="412"/>
      <c r="O971" s="412"/>
      <c r="P971" s="487"/>
      <c r="Q971" s="412"/>
      <c r="R971" s="412"/>
      <c r="S971" s="412"/>
      <c r="T971" s="488"/>
      <c r="U971" s="412"/>
      <c r="V971" s="412"/>
      <c r="W971" s="412"/>
      <c r="X971" s="412"/>
      <c r="Y971" s="412"/>
      <c r="Z971" s="412"/>
      <c r="AA971" s="412"/>
      <c r="AB971" s="412"/>
      <c r="AC971" s="412"/>
      <c r="AD971" s="412"/>
      <c r="AE971" s="412"/>
      <c r="AF971" s="412"/>
      <c r="AG971" s="412"/>
      <c r="AH971" s="419">
        <f t="shared" si="632"/>
        <v>0</v>
      </c>
      <c r="AI971" s="412"/>
      <c r="AJ971" s="412"/>
      <c r="AK971" s="412"/>
      <c r="AL971" s="412"/>
      <c r="AM971" s="412"/>
    </row>
    <row r="972" spans="1:39" ht="12.75">
      <c r="A972" s="412"/>
      <c r="B972" s="413"/>
      <c r="C972" s="412"/>
      <c r="D972" s="486"/>
      <c r="E972" s="412"/>
      <c r="F972" s="412"/>
      <c r="G972" s="412"/>
      <c r="H972" s="412"/>
      <c r="I972" s="412"/>
      <c r="J972" s="412"/>
      <c r="K972" s="412"/>
      <c r="L972" s="412"/>
      <c r="M972" s="412"/>
      <c r="N972" s="412"/>
      <c r="O972" s="412"/>
      <c r="P972" s="487"/>
      <c r="Q972" s="412"/>
      <c r="R972" s="412"/>
      <c r="S972" s="412"/>
      <c r="T972" s="488"/>
      <c r="U972" s="412"/>
      <c r="V972" s="412"/>
      <c r="W972" s="412"/>
      <c r="X972" s="412"/>
      <c r="Y972" s="412"/>
      <c r="Z972" s="412"/>
      <c r="AA972" s="412"/>
      <c r="AB972" s="412"/>
      <c r="AC972" s="412"/>
      <c r="AD972" s="412"/>
      <c r="AE972" s="412"/>
      <c r="AF972" s="412"/>
      <c r="AG972" s="412"/>
      <c r="AH972" s="419">
        <f t="shared" si="632"/>
        <v>0</v>
      </c>
      <c r="AI972" s="412"/>
      <c r="AJ972" s="412"/>
      <c r="AK972" s="412"/>
      <c r="AL972" s="412"/>
      <c r="AM972" s="412"/>
    </row>
    <row r="973" spans="1:39" ht="12.75">
      <c r="A973" s="412"/>
      <c r="B973" s="412"/>
      <c r="C973" s="412"/>
      <c r="D973" s="486"/>
      <c r="E973" s="412"/>
      <c r="F973" s="412"/>
      <c r="G973" s="412"/>
      <c r="H973" s="412"/>
      <c r="I973" s="412"/>
      <c r="J973" s="412"/>
      <c r="K973" s="412"/>
      <c r="L973" s="412"/>
      <c r="M973" s="412"/>
      <c r="N973" s="412"/>
      <c r="O973" s="412"/>
      <c r="P973" s="487"/>
      <c r="Q973" s="412"/>
      <c r="R973" s="412"/>
      <c r="S973" s="412"/>
      <c r="T973" s="488"/>
      <c r="U973" s="412"/>
      <c r="V973" s="412"/>
      <c r="W973" s="412"/>
      <c r="X973" s="412"/>
      <c r="Y973" s="412"/>
      <c r="Z973" s="412"/>
      <c r="AA973" s="412"/>
      <c r="AB973" s="412"/>
      <c r="AC973" s="412"/>
      <c r="AD973" s="412"/>
      <c r="AE973" s="412"/>
      <c r="AF973" s="412"/>
      <c r="AG973" s="412"/>
      <c r="AH973" s="419">
        <f t="shared" si="632"/>
        <v>0</v>
      </c>
      <c r="AI973" s="412"/>
      <c r="AJ973" s="412"/>
      <c r="AK973" s="412"/>
      <c r="AL973" s="412"/>
      <c r="AM973" s="412"/>
    </row>
    <row r="974" spans="1:39" ht="12.75">
      <c r="A974" s="412"/>
      <c r="B974" s="413"/>
      <c r="C974" s="412"/>
      <c r="D974" s="486"/>
      <c r="E974" s="412"/>
      <c r="F974" s="412"/>
      <c r="G974" s="412"/>
      <c r="H974" s="412"/>
      <c r="I974" s="412"/>
      <c r="J974" s="412"/>
      <c r="K974" s="412"/>
      <c r="L974" s="412"/>
      <c r="M974" s="412"/>
      <c r="N974" s="412"/>
      <c r="O974" s="412"/>
      <c r="P974" s="487"/>
      <c r="Q974" s="412"/>
      <c r="R974" s="412"/>
      <c r="S974" s="412"/>
      <c r="T974" s="488"/>
      <c r="U974" s="412"/>
      <c r="V974" s="412"/>
      <c r="W974" s="412"/>
      <c r="X974" s="412"/>
      <c r="Y974" s="412"/>
      <c r="Z974" s="412"/>
      <c r="AA974" s="412"/>
      <c r="AB974" s="412"/>
      <c r="AC974" s="412"/>
      <c r="AD974" s="412"/>
      <c r="AE974" s="412"/>
      <c r="AF974" s="412"/>
      <c r="AG974" s="412"/>
      <c r="AH974" s="419">
        <f t="shared" si="632"/>
        <v>0</v>
      </c>
      <c r="AI974" s="412"/>
      <c r="AJ974" s="412"/>
      <c r="AK974" s="412"/>
      <c r="AL974" s="412"/>
      <c r="AM974" s="412"/>
    </row>
    <row r="975" spans="1:39" ht="12.75">
      <c r="A975" s="412"/>
      <c r="B975" s="413"/>
      <c r="C975" s="412"/>
      <c r="D975" s="486"/>
      <c r="E975" s="412"/>
      <c r="F975" s="412"/>
      <c r="G975" s="412"/>
      <c r="H975" s="412"/>
      <c r="I975" s="412"/>
      <c r="J975" s="412"/>
      <c r="K975" s="412"/>
      <c r="L975" s="412"/>
      <c r="M975" s="412"/>
      <c r="N975" s="412"/>
      <c r="O975" s="412"/>
      <c r="P975" s="487"/>
      <c r="Q975" s="412"/>
      <c r="R975" s="412"/>
      <c r="S975" s="412"/>
      <c r="T975" s="488"/>
      <c r="U975" s="412"/>
      <c r="V975" s="412"/>
      <c r="W975" s="412"/>
      <c r="X975" s="412"/>
      <c r="Y975" s="412"/>
      <c r="Z975" s="412"/>
      <c r="AA975" s="412"/>
      <c r="AB975" s="412"/>
      <c r="AC975" s="412"/>
      <c r="AD975" s="412"/>
      <c r="AE975" s="412"/>
      <c r="AF975" s="412"/>
      <c r="AG975" s="412"/>
      <c r="AH975" s="419">
        <f t="shared" si="632"/>
        <v>0</v>
      </c>
      <c r="AI975" s="412"/>
      <c r="AJ975" s="412"/>
      <c r="AK975" s="412"/>
      <c r="AL975" s="412"/>
      <c r="AM975" s="412"/>
    </row>
    <row r="976" spans="1:39" ht="12.75">
      <c r="A976" s="412"/>
      <c r="B976" s="413"/>
      <c r="C976" s="412"/>
      <c r="D976" s="486"/>
      <c r="E976" s="412"/>
      <c r="F976" s="412"/>
      <c r="G976" s="412"/>
      <c r="H976" s="412"/>
      <c r="I976" s="412"/>
      <c r="J976" s="412"/>
      <c r="K976" s="412"/>
      <c r="L976" s="412"/>
      <c r="M976" s="412"/>
      <c r="N976" s="412"/>
      <c r="O976" s="412"/>
      <c r="P976" s="487"/>
      <c r="Q976" s="412"/>
      <c r="R976" s="412"/>
      <c r="S976" s="412"/>
      <c r="T976" s="488"/>
      <c r="U976" s="412"/>
      <c r="V976" s="412"/>
      <c r="W976" s="412"/>
      <c r="X976" s="412"/>
      <c r="Y976" s="412"/>
      <c r="Z976" s="412"/>
      <c r="AA976" s="412"/>
      <c r="AB976" s="412"/>
      <c r="AC976" s="412"/>
      <c r="AD976" s="412"/>
      <c r="AE976" s="412"/>
      <c r="AF976" s="412"/>
      <c r="AG976" s="412"/>
      <c r="AH976" s="419">
        <f t="shared" si="632"/>
        <v>0</v>
      </c>
      <c r="AI976" s="412"/>
      <c r="AJ976" s="412"/>
      <c r="AK976" s="412"/>
      <c r="AL976" s="412"/>
      <c r="AM976" s="412"/>
    </row>
    <row r="977" spans="1:39" ht="12.75">
      <c r="A977" s="412"/>
      <c r="B977" s="413"/>
      <c r="C977" s="412"/>
      <c r="D977" s="486"/>
      <c r="E977" s="412"/>
      <c r="F977" s="412"/>
      <c r="G977" s="412"/>
      <c r="H977" s="412"/>
      <c r="I977" s="412"/>
      <c r="J977" s="412"/>
      <c r="K977" s="412"/>
      <c r="L977" s="412"/>
      <c r="M977" s="412"/>
      <c r="N977" s="412"/>
      <c r="O977" s="412"/>
      <c r="P977" s="487"/>
      <c r="Q977" s="412"/>
      <c r="R977" s="412"/>
      <c r="S977" s="412"/>
      <c r="T977" s="488"/>
      <c r="U977" s="412"/>
      <c r="V977" s="412"/>
      <c r="W977" s="412"/>
      <c r="X977" s="412"/>
      <c r="Y977" s="412"/>
      <c r="Z977" s="412"/>
      <c r="AA977" s="412"/>
      <c r="AB977" s="412"/>
      <c r="AC977" s="412"/>
      <c r="AD977" s="412"/>
      <c r="AE977" s="412"/>
      <c r="AF977" s="412"/>
      <c r="AG977" s="412"/>
      <c r="AH977" s="419">
        <f t="shared" si="632"/>
        <v>0</v>
      </c>
      <c r="AI977" s="412"/>
      <c r="AJ977" s="412"/>
      <c r="AK977" s="412"/>
      <c r="AL977" s="412"/>
      <c r="AM977" s="412"/>
    </row>
    <row r="978" spans="1:39" ht="12.75">
      <c r="A978" s="412"/>
      <c r="B978" s="413"/>
      <c r="C978" s="412"/>
      <c r="D978" s="486"/>
      <c r="E978" s="412"/>
      <c r="F978" s="412"/>
      <c r="G978" s="412"/>
      <c r="H978" s="412"/>
      <c r="I978" s="412"/>
      <c r="J978" s="412"/>
      <c r="K978" s="412"/>
      <c r="L978" s="412"/>
      <c r="M978" s="412"/>
      <c r="N978" s="412"/>
      <c r="O978" s="412"/>
      <c r="P978" s="487"/>
      <c r="Q978" s="412"/>
      <c r="R978" s="412"/>
      <c r="S978" s="412"/>
      <c r="T978" s="488"/>
      <c r="U978" s="412"/>
      <c r="V978" s="412"/>
      <c r="W978" s="412"/>
      <c r="X978" s="412"/>
      <c r="Y978" s="412"/>
      <c r="Z978" s="412"/>
      <c r="AA978" s="412"/>
      <c r="AB978" s="412"/>
      <c r="AC978" s="412"/>
      <c r="AD978" s="412"/>
      <c r="AE978" s="412"/>
      <c r="AF978" s="412"/>
      <c r="AG978" s="412"/>
      <c r="AH978" s="419">
        <f t="shared" si="632"/>
        <v>0</v>
      </c>
      <c r="AI978" s="412"/>
      <c r="AJ978" s="412"/>
      <c r="AK978" s="412"/>
      <c r="AL978" s="412"/>
      <c r="AM978" s="412"/>
    </row>
    <row r="979" spans="1:39" ht="12.75">
      <c r="A979" s="412"/>
      <c r="B979" s="413"/>
      <c r="C979" s="412"/>
      <c r="D979" s="486"/>
      <c r="E979" s="412"/>
      <c r="F979" s="412"/>
      <c r="G979" s="412"/>
      <c r="H979" s="412"/>
      <c r="I979" s="412"/>
      <c r="J979" s="412"/>
      <c r="K979" s="412"/>
      <c r="L979" s="412"/>
      <c r="M979" s="412"/>
      <c r="N979" s="412"/>
      <c r="O979" s="412"/>
      <c r="P979" s="487"/>
      <c r="Q979" s="412"/>
      <c r="R979" s="412"/>
      <c r="S979" s="412"/>
      <c r="T979" s="488"/>
      <c r="U979" s="412"/>
      <c r="V979" s="412"/>
      <c r="W979" s="412"/>
      <c r="X979" s="412"/>
      <c r="Y979" s="412"/>
      <c r="Z979" s="412"/>
      <c r="AA979" s="412"/>
      <c r="AB979" s="412"/>
      <c r="AC979" s="412"/>
      <c r="AD979" s="412"/>
      <c r="AE979" s="412"/>
      <c r="AF979" s="412"/>
      <c r="AG979" s="412"/>
      <c r="AH979" s="419">
        <f t="shared" si="632"/>
        <v>0</v>
      </c>
      <c r="AI979" s="412"/>
      <c r="AJ979" s="412"/>
      <c r="AK979" s="412"/>
      <c r="AL979" s="412"/>
      <c r="AM979" s="412"/>
    </row>
    <row r="980" spans="1:39" ht="12.75">
      <c r="A980" s="412"/>
      <c r="B980" s="413"/>
      <c r="C980" s="412"/>
      <c r="D980" s="486"/>
      <c r="E980" s="412"/>
      <c r="F980" s="412"/>
      <c r="G980" s="412"/>
      <c r="H980" s="412"/>
      <c r="I980" s="412"/>
      <c r="J980" s="412"/>
      <c r="K980" s="412"/>
      <c r="L980" s="412"/>
      <c r="M980" s="412"/>
      <c r="N980" s="412"/>
      <c r="O980" s="412"/>
      <c r="P980" s="487"/>
      <c r="Q980" s="412"/>
      <c r="R980" s="412"/>
      <c r="S980" s="412"/>
      <c r="T980" s="488"/>
      <c r="U980" s="412"/>
      <c r="V980" s="412"/>
      <c r="W980" s="412"/>
      <c r="X980" s="412"/>
      <c r="Y980" s="412"/>
      <c r="Z980" s="412"/>
      <c r="AA980" s="412"/>
      <c r="AB980" s="412"/>
      <c r="AC980" s="412"/>
      <c r="AD980" s="412"/>
      <c r="AE980" s="412"/>
      <c r="AF980" s="412"/>
      <c r="AG980" s="412"/>
      <c r="AH980" s="419">
        <f t="shared" si="632"/>
        <v>0</v>
      </c>
      <c r="AI980" s="412"/>
      <c r="AJ980" s="412"/>
      <c r="AK980" s="412"/>
      <c r="AL980" s="412"/>
      <c r="AM980" s="412"/>
    </row>
    <row r="981" spans="1:39" ht="12.75">
      <c r="A981" s="412"/>
      <c r="B981" s="413"/>
      <c r="C981" s="412"/>
      <c r="D981" s="486"/>
      <c r="E981" s="412"/>
      <c r="F981" s="412"/>
      <c r="G981" s="412"/>
      <c r="H981" s="412"/>
      <c r="I981" s="412"/>
      <c r="J981" s="412"/>
      <c r="K981" s="412"/>
      <c r="L981" s="412"/>
      <c r="M981" s="412"/>
      <c r="N981" s="412"/>
      <c r="O981" s="412"/>
      <c r="P981" s="487"/>
      <c r="Q981" s="412"/>
      <c r="R981" s="412"/>
      <c r="S981" s="412"/>
      <c r="T981" s="488"/>
      <c r="U981" s="412"/>
      <c r="V981" s="412"/>
      <c r="W981" s="412"/>
      <c r="X981" s="412"/>
      <c r="Y981" s="412"/>
      <c r="Z981" s="412"/>
      <c r="AA981" s="412"/>
      <c r="AB981" s="412"/>
      <c r="AC981" s="412"/>
      <c r="AD981" s="412"/>
      <c r="AE981" s="412"/>
      <c r="AF981" s="412"/>
      <c r="AG981" s="412"/>
      <c r="AH981" s="419">
        <f t="shared" si="632"/>
        <v>0</v>
      </c>
      <c r="AI981" s="412"/>
      <c r="AJ981" s="412"/>
      <c r="AK981" s="412"/>
      <c r="AL981" s="412"/>
      <c r="AM981" s="412"/>
    </row>
    <row r="982" spans="1:39" ht="12.75">
      <c r="A982" s="412"/>
      <c r="B982" s="413"/>
      <c r="C982" s="412"/>
      <c r="D982" s="486"/>
      <c r="E982" s="412"/>
      <c r="F982" s="412"/>
      <c r="G982" s="412"/>
      <c r="H982" s="412"/>
      <c r="I982" s="412"/>
      <c r="J982" s="412"/>
      <c r="K982" s="412"/>
      <c r="L982" s="412"/>
      <c r="M982" s="412"/>
      <c r="N982" s="412"/>
      <c r="O982" s="412"/>
      <c r="P982" s="487"/>
      <c r="Q982" s="412"/>
      <c r="R982" s="412"/>
      <c r="S982" s="412"/>
      <c r="T982" s="488"/>
      <c r="U982" s="412"/>
      <c r="V982" s="412"/>
      <c r="W982" s="412"/>
      <c r="X982" s="412"/>
      <c r="Y982" s="412"/>
      <c r="Z982" s="412"/>
      <c r="AA982" s="412"/>
      <c r="AB982" s="412"/>
      <c r="AC982" s="412"/>
      <c r="AD982" s="412"/>
      <c r="AE982" s="412"/>
      <c r="AF982" s="412"/>
      <c r="AG982" s="412"/>
      <c r="AH982" s="419">
        <f t="shared" si="632"/>
        <v>0</v>
      </c>
      <c r="AI982" s="412"/>
      <c r="AJ982" s="412"/>
      <c r="AK982" s="412"/>
      <c r="AL982" s="412"/>
      <c r="AM982" s="412"/>
    </row>
    <row r="983" spans="1:39" ht="12.75">
      <c r="A983" s="412"/>
      <c r="B983" s="412"/>
      <c r="C983" s="412"/>
      <c r="D983" s="486"/>
      <c r="E983" s="412"/>
      <c r="F983" s="412"/>
      <c r="G983" s="412"/>
      <c r="H983" s="412"/>
      <c r="I983" s="412"/>
      <c r="J983" s="412"/>
      <c r="K983" s="412"/>
      <c r="L983" s="412"/>
      <c r="M983" s="412"/>
      <c r="N983" s="412"/>
      <c r="O983" s="412"/>
      <c r="P983" s="487"/>
      <c r="Q983" s="412"/>
      <c r="R983" s="412"/>
      <c r="S983" s="412"/>
      <c r="T983" s="488"/>
      <c r="U983" s="412"/>
      <c r="V983" s="412"/>
      <c r="W983" s="412"/>
      <c r="X983" s="412"/>
      <c r="Y983" s="412"/>
      <c r="Z983" s="412"/>
      <c r="AA983" s="412"/>
      <c r="AB983" s="412"/>
      <c r="AC983" s="412"/>
      <c r="AD983" s="412"/>
      <c r="AE983" s="412"/>
      <c r="AF983" s="412"/>
      <c r="AG983" s="412"/>
      <c r="AH983" s="419">
        <f t="shared" si="632"/>
        <v>0</v>
      </c>
      <c r="AI983" s="412"/>
      <c r="AJ983" s="412"/>
      <c r="AK983" s="412"/>
      <c r="AL983" s="412"/>
      <c r="AM983" s="412"/>
    </row>
    <row r="984" spans="1:39" ht="12.75">
      <c r="A984" s="412"/>
      <c r="B984" s="412"/>
      <c r="C984" s="412"/>
      <c r="D984" s="486"/>
      <c r="E984" s="412"/>
      <c r="F984" s="412"/>
      <c r="G984" s="412"/>
      <c r="H984" s="412"/>
      <c r="I984" s="412"/>
      <c r="J984" s="412"/>
      <c r="K984" s="412"/>
      <c r="L984" s="412"/>
      <c r="M984" s="412"/>
      <c r="N984" s="412"/>
      <c r="O984" s="412"/>
      <c r="P984" s="487"/>
      <c r="Q984" s="412"/>
      <c r="R984" s="412"/>
      <c r="S984" s="412"/>
      <c r="T984" s="488"/>
      <c r="U984" s="412"/>
      <c r="V984" s="412"/>
      <c r="W984" s="412"/>
      <c r="X984" s="412"/>
      <c r="Y984" s="412"/>
      <c r="Z984" s="412"/>
      <c r="AA984" s="412"/>
      <c r="AB984" s="412"/>
      <c r="AC984" s="412"/>
      <c r="AD984" s="412"/>
      <c r="AE984" s="412"/>
      <c r="AF984" s="412"/>
      <c r="AG984" s="412"/>
      <c r="AH984" s="419">
        <f t="shared" si="632"/>
        <v>0</v>
      </c>
      <c r="AI984" s="412"/>
      <c r="AJ984" s="412"/>
      <c r="AK984" s="412"/>
      <c r="AL984" s="412"/>
      <c r="AM984" s="412"/>
    </row>
    <row r="985" spans="1:39" ht="12.75">
      <c r="A985" s="412"/>
      <c r="B985" s="413"/>
      <c r="C985" s="412"/>
      <c r="D985" s="486"/>
      <c r="E985" s="412"/>
      <c r="F985" s="412"/>
      <c r="G985" s="412"/>
      <c r="H985" s="412"/>
      <c r="I985" s="412"/>
      <c r="J985" s="412"/>
      <c r="K985" s="412"/>
      <c r="L985" s="412"/>
      <c r="M985" s="412"/>
      <c r="N985" s="412"/>
      <c r="O985" s="412"/>
      <c r="P985" s="487"/>
      <c r="Q985" s="412"/>
      <c r="R985" s="412"/>
      <c r="S985" s="412"/>
      <c r="T985" s="488"/>
      <c r="U985" s="412"/>
      <c r="V985" s="412"/>
      <c r="W985" s="412"/>
      <c r="X985" s="412"/>
      <c r="Y985" s="412"/>
      <c r="Z985" s="412"/>
      <c r="AA985" s="412"/>
      <c r="AB985" s="412"/>
      <c r="AC985" s="412"/>
      <c r="AD985" s="412"/>
      <c r="AE985" s="412"/>
      <c r="AF985" s="412"/>
      <c r="AG985" s="412"/>
      <c r="AH985" s="419">
        <f t="shared" si="632"/>
        <v>0</v>
      </c>
      <c r="AI985" s="412"/>
      <c r="AJ985" s="412"/>
      <c r="AK985" s="412"/>
      <c r="AL985" s="412"/>
      <c r="AM985" s="412"/>
    </row>
    <row r="986" spans="1:39" ht="12.75">
      <c r="A986" s="412"/>
      <c r="B986" s="412"/>
      <c r="C986" s="412"/>
      <c r="D986" s="486"/>
      <c r="E986" s="412"/>
      <c r="F986" s="412"/>
      <c r="G986" s="412"/>
      <c r="H986" s="412"/>
      <c r="I986" s="412"/>
      <c r="J986" s="412"/>
      <c r="K986" s="412"/>
      <c r="L986" s="412"/>
      <c r="M986" s="412"/>
      <c r="N986" s="412"/>
      <c r="O986" s="412"/>
      <c r="P986" s="487"/>
      <c r="Q986" s="412"/>
      <c r="R986" s="412"/>
      <c r="S986" s="412"/>
      <c r="T986" s="488"/>
      <c r="U986" s="412"/>
      <c r="V986" s="412"/>
      <c r="W986" s="412"/>
      <c r="X986" s="412"/>
      <c r="Y986" s="412"/>
      <c r="Z986" s="412"/>
      <c r="AA986" s="412"/>
      <c r="AB986" s="412"/>
      <c r="AC986" s="412"/>
      <c r="AD986" s="412"/>
      <c r="AE986" s="412"/>
      <c r="AF986" s="412"/>
      <c r="AG986" s="412"/>
      <c r="AH986" s="419">
        <f t="shared" si="632"/>
        <v>0</v>
      </c>
      <c r="AI986" s="412"/>
      <c r="AJ986" s="412"/>
      <c r="AK986" s="412"/>
      <c r="AL986" s="412"/>
      <c r="AM986" s="412"/>
    </row>
    <row r="987" spans="1:39" ht="12.75">
      <c r="A987" s="412"/>
      <c r="B987" s="413"/>
      <c r="C987" s="412"/>
      <c r="D987" s="486"/>
      <c r="E987" s="412"/>
      <c r="F987" s="412"/>
      <c r="G987" s="412"/>
      <c r="H987" s="412"/>
      <c r="I987" s="412"/>
      <c r="J987" s="412"/>
      <c r="K987" s="412"/>
      <c r="L987" s="412"/>
      <c r="M987" s="412"/>
      <c r="N987" s="412"/>
      <c r="O987" s="412"/>
      <c r="P987" s="487"/>
      <c r="Q987" s="412"/>
      <c r="R987" s="412"/>
      <c r="S987" s="412"/>
      <c r="T987" s="488"/>
      <c r="U987" s="412"/>
      <c r="V987" s="412"/>
      <c r="W987" s="412"/>
      <c r="X987" s="412"/>
      <c r="Y987" s="412"/>
      <c r="Z987" s="412"/>
      <c r="AA987" s="412"/>
      <c r="AB987" s="412"/>
      <c r="AC987" s="412"/>
      <c r="AD987" s="412"/>
      <c r="AE987" s="412"/>
      <c r="AF987" s="412"/>
      <c r="AG987" s="412"/>
      <c r="AH987" s="419">
        <f t="shared" si="632"/>
        <v>0</v>
      </c>
      <c r="AI987" s="412"/>
      <c r="AJ987" s="412"/>
      <c r="AK987" s="412"/>
      <c r="AL987" s="412"/>
      <c r="AM987" s="412"/>
    </row>
    <row r="988" spans="1:39" ht="12.75">
      <c r="A988" s="412"/>
      <c r="B988" s="412"/>
      <c r="C988" s="412"/>
      <c r="D988" s="486"/>
      <c r="E988" s="412"/>
      <c r="F988" s="412"/>
      <c r="G988" s="412"/>
      <c r="H988" s="412"/>
      <c r="I988" s="412"/>
      <c r="J988" s="412"/>
      <c r="K988" s="412"/>
      <c r="L988" s="412"/>
      <c r="M988" s="412"/>
      <c r="N988" s="412"/>
      <c r="O988" s="412"/>
      <c r="P988" s="487"/>
      <c r="Q988" s="412"/>
      <c r="R988" s="412"/>
      <c r="S988" s="412"/>
      <c r="T988" s="488"/>
      <c r="U988" s="412"/>
      <c r="V988" s="412"/>
      <c r="W988" s="412"/>
      <c r="X988" s="412"/>
      <c r="Y988" s="412"/>
      <c r="Z988" s="412"/>
      <c r="AA988" s="412"/>
      <c r="AB988" s="412"/>
      <c r="AC988" s="412"/>
      <c r="AD988" s="412"/>
      <c r="AE988" s="412"/>
      <c r="AF988" s="412"/>
      <c r="AG988" s="412"/>
      <c r="AH988" s="419">
        <f t="shared" si="632"/>
        <v>0</v>
      </c>
      <c r="AI988" s="412"/>
      <c r="AJ988" s="412"/>
      <c r="AK988" s="412"/>
      <c r="AL988" s="412"/>
      <c r="AM988" s="412"/>
    </row>
    <row r="989" spans="1:39" ht="12.75">
      <c r="A989" s="412"/>
      <c r="B989" s="413"/>
      <c r="C989" s="412"/>
      <c r="D989" s="486"/>
      <c r="E989" s="412"/>
      <c r="F989" s="412"/>
      <c r="G989" s="412"/>
      <c r="H989" s="412"/>
      <c r="I989" s="412"/>
      <c r="J989" s="412"/>
      <c r="K989" s="412"/>
      <c r="L989" s="412"/>
      <c r="M989" s="412"/>
      <c r="N989" s="412"/>
      <c r="O989" s="412"/>
      <c r="P989" s="487"/>
      <c r="Q989" s="412"/>
      <c r="R989" s="412"/>
      <c r="S989" s="412"/>
      <c r="T989" s="488"/>
      <c r="U989" s="412"/>
      <c r="V989" s="412"/>
      <c r="W989" s="412"/>
      <c r="X989" s="412"/>
      <c r="Y989" s="412"/>
      <c r="Z989" s="412"/>
      <c r="AA989" s="412"/>
      <c r="AB989" s="412"/>
      <c r="AC989" s="412"/>
      <c r="AD989" s="412"/>
      <c r="AE989" s="412"/>
      <c r="AF989" s="412"/>
      <c r="AG989" s="412"/>
      <c r="AH989" s="419">
        <f t="shared" si="632"/>
        <v>0</v>
      </c>
      <c r="AI989" s="412"/>
      <c r="AJ989" s="412"/>
      <c r="AK989" s="412"/>
      <c r="AL989" s="412"/>
      <c r="AM989" s="412"/>
    </row>
    <row r="990" spans="1:39" ht="12.75">
      <c r="A990" s="412"/>
      <c r="B990" s="413"/>
      <c r="C990" s="412"/>
      <c r="D990" s="486"/>
      <c r="E990" s="412"/>
      <c r="F990" s="412"/>
      <c r="G990" s="412"/>
      <c r="H990" s="412"/>
      <c r="I990" s="412"/>
      <c r="J990" s="412"/>
      <c r="K990" s="412"/>
      <c r="L990" s="412"/>
      <c r="M990" s="412"/>
      <c r="N990" s="412"/>
      <c r="O990" s="412"/>
      <c r="P990" s="487"/>
      <c r="Q990" s="412"/>
      <c r="R990" s="412"/>
      <c r="S990" s="412"/>
      <c r="T990" s="488"/>
      <c r="U990" s="412"/>
      <c r="V990" s="412"/>
      <c r="W990" s="412"/>
      <c r="X990" s="412"/>
      <c r="Y990" s="412"/>
      <c r="Z990" s="412"/>
      <c r="AA990" s="412"/>
      <c r="AB990" s="412"/>
      <c r="AC990" s="412"/>
      <c r="AD990" s="412"/>
      <c r="AE990" s="412"/>
      <c r="AF990" s="412"/>
      <c r="AG990" s="412"/>
      <c r="AH990" s="419">
        <f t="shared" si="632"/>
        <v>0</v>
      </c>
      <c r="AI990" s="412"/>
      <c r="AJ990" s="412"/>
      <c r="AK990" s="412"/>
      <c r="AL990" s="412"/>
      <c r="AM990" s="412"/>
    </row>
    <row r="991" spans="1:39" ht="12.75">
      <c r="A991" s="412"/>
      <c r="B991" s="413"/>
      <c r="C991" s="412"/>
      <c r="D991" s="486"/>
      <c r="E991" s="412"/>
      <c r="F991" s="412"/>
      <c r="G991" s="412"/>
      <c r="H991" s="412"/>
      <c r="I991" s="412"/>
      <c r="J991" s="412"/>
      <c r="K991" s="412"/>
      <c r="L991" s="412"/>
      <c r="M991" s="412"/>
      <c r="N991" s="412"/>
      <c r="O991" s="412"/>
      <c r="P991" s="487"/>
      <c r="Q991" s="412"/>
      <c r="R991" s="412"/>
      <c r="S991" s="412"/>
      <c r="T991" s="488"/>
      <c r="U991" s="412"/>
      <c r="V991" s="412"/>
      <c r="W991" s="412"/>
      <c r="X991" s="412"/>
      <c r="Y991" s="412"/>
      <c r="Z991" s="412"/>
      <c r="AA991" s="412"/>
      <c r="AB991" s="412"/>
      <c r="AC991" s="412"/>
      <c r="AD991" s="412"/>
      <c r="AE991" s="412"/>
      <c r="AF991" s="412"/>
      <c r="AG991" s="412"/>
      <c r="AH991" s="419">
        <f t="shared" si="632"/>
        <v>0</v>
      </c>
      <c r="AI991" s="412"/>
      <c r="AJ991" s="412"/>
      <c r="AK991" s="412"/>
      <c r="AL991" s="412"/>
      <c r="AM991" s="412"/>
    </row>
    <row r="992" spans="1:39" ht="12.75">
      <c r="A992" s="412"/>
      <c r="B992" s="413"/>
      <c r="C992" s="412"/>
      <c r="D992" s="486"/>
      <c r="E992" s="412"/>
      <c r="F992" s="412"/>
      <c r="G992" s="412"/>
      <c r="H992" s="412"/>
      <c r="I992" s="412"/>
      <c r="J992" s="412"/>
      <c r="K992" s="412"/>
      <c r="L992" s="412"/>
      <c r="M992" s="412"/>
      <c r="N992" s="412"/>
      <c r="O992" s="412"/>
      <c r="P992" s="487"/>
      <c r="Q992" s="412"/>
      <c r="R992" s="412"/>
      <c r="S992" s="412"/>
      <c r="T992" s="488"/>
      <c r="U992" s="412"/>
      <c r="V992" s="412"/>
      <c r="W992" s="412"/>
      <c r="X992" s="412"/>
      <c r="Y992" s="412"/>
      <c r="Z992" s="412"/>
      <c r="AA992" s="412"/>
      <c r="AB992" s="412"/>
      <c r="AC992" s="412"/>
      <c r="AD992" s="412"/>
      <c r="AE992" s="412"/>
      <c r="AF992" s="412"/>
      <c r="AG992" s="412"/>
      <c r="AH992" s="419">
        <f t="shared" si="632"/>
        <v>0</v>
      </c>
      <c r="AI992" s="412"/>
      <c r="AJ992" s="412"/>
      <c r="AK992" s="412"/>
      <c r="AL992" s="412"/>
      <c r="AM992" s="412"/>
    </row>
    <row r="993" spans="1:39" ht="12.75">
      <c r="A993" s="412"/>
      <c r="B993" s="413"/>
      <c r="C993" s="412"/>
      <c r="D993" s="486"/>
      <c r="E993" s="412"/>
      <c r="F993" s="412"/>
      <c r="G993" s="412"/>
      <c r="H993" s="412"/>
      <c r="I993" s="412"/>
      <c r="J993" s="412"/>
      <c r="K993" s="412"/>
      <c r="L993" s="412"/>
      <c r="M993" s="412"/>
      <c r="N993" s="412"/>
      <c r="O993" s="412"/>
      <c r="P993" s="487"/>
      <c r="Q993" s="412"/>
      <c r="R993" s="412"/>
      <c r="S993" s="412"/>
      <c r="T993" s="488"/>
      <c r="U993" s="412"/>
      <c r="V993" s="412"/>
      <c r="W993" s="412"/>
      <c r="X993" s="412"/>
      <c r="Y993" s="412"/>
      <c r="Z993" s="412"/>
      <c r="AA993" s="412"/>
      <c r="AB993" s="412"/>
      <c r="AC993" s="412"/>
      <c r="AD993" s="412"/>
      <c r="AE993" s="412"/>
      <c r="AF993" s="412"/>
      <c r="AG993" s="412"/>
      <c r="AH993" s="419">
        <f t="shared" si="632"/>
        <v>0</v>
      </c>
      <c r="AI993" s="412"/>
      <c r="AJ993" s="412"/>
      <c r="AK993" s="412"/>
      <c r="AL993" s="412"/>
      <c r="AM993" s="412"/>
    </row>
    <row r="994" spans="1:39" ht="12.75">
      <c r="A994" s="412"/>
      <c r="B994" s="413"/>
      <c r="C994" s="412"/>
      <c r="D994" s="486"/>
      <c r="E994" s="412"/>
      <c r="F994" s="412"/>
      <c r="G994" s="412"/>
      <c r="H994" s="412"/>
      <c r="I994" s="412"/>
      <c r="J994" s="412"/>
      <c r="K994" s="412"/>
      <c r="L994" s="412"/>
      <c r="M994" s="412"/>
      <c r="N994" s="412"/>
      <c r="O994" s="412"/>
      <c r="P994" s="487"/>
      <c r="Q994" s="412"/>
      <c r="R994" s="412"/>
      <c r="S994" s="412"/>
      <c r="T994" s="488"/>
      <c r="U994" s="412"/>
      <c r="V994" s="412"/>
      <c r="W994" s="412"/>
      <c r="X994" s="412"/>
      <c r="Y994" s="412"/>
      <c r="Z994" s="412"/>
      <c r="AA994" s="412"/>
      <c r="AB994" s="412"/>
      <c r="AC994" s="412"/>
      <c r="AD994" s="412"/>
      <c r="AE994" s="412"/>
      <c r="AF994" s="412"/>
      <c r="AG994" s="412"/>
      <c r="AH994" s="419">
        <f t="shared" si="632"/>
        <v>0</v>
      </c>
      <c r="AI994" s="412"/>
      <c r="AJ994" s="412"/>
      <c r="AK994" s="412"/>
      <c r="AL994" s="412"/>
      <c r="AM994" s="412"/>
    </row>
    <row r="995" spans="1:39" ht="12.75">
      <c r="A995" s="412"/>
      <c r="B995" s="413"/>
      <c r="C995" s="412"/>
      <c r="D995" s="486"/>
      <c r="E995" s="412"/>
      <c r="F995" s="412"/>
      <c r="G995" s="412"/>
      <c r="H995" s="412"/>
      <c r="I995" s="412"/>
      <c r="J995" s="412"/>
      <c r="K995" s="412"/>
      <c r="L995" s="412"/>
      <c r="M995" s="412"/>
      <c r="N995" s="412"/>
      <c r="O995" s="412"/>
      <c r="P995" s="487"/>
      <c r="Q995" s="412"/>
      <c r="R995" s="412"/>
      <c r="S995" s="412"/>
      <c r="T995" s="488"/>
      <c r="U995" s="412"/>
      <c r="V995" s="412"/>
      <c r="W995" s="412"/>
      <c r="X995" s="412"/>
      <c r="Y995" s="412"/>
      <c r="Z995" s="412"/>
      <c r="AA995" s="412"/>
      <c r="AB995" s="412"/>
      <c r="AC995" s="412"/>
      <c r="AD995" s="412"/>
      <c r="AE995" s="412"/>
      <c r="AF995" s="412"/>
      <c r="AG995" s="412"/>
      <c r="AH995" s="419">
        <f t="shared" si="632"/>
        <v>0</v>
      </c>
      <c r="AI995" s="412"/>
      <c r="AJ995" s="412"/>
      <c r="AK995" s="412"/>
      <c r="AL995" s="412"/>
      <c r="AM995" s="412"/>
    </row>
    <row r="996" spans="1:39" ht="12.75">
      <c r="A996" s="412"/>
      <c r="B996" s="413"/>
      <c r="C996" s="412"/>
      <c r="D996" s="486"/>
      <c r="E996" s="412"/>
      <c r="F996" s="412"/>
      <c r="G996" s="412"/>
      <c r="H996" s="412"/>
      <c r="I996" s="412"/>
      <c r="J996" s="412"/>
      <c r="K996" s="412"/>
      <c r="L996" s="412"/>
      <c r="M996" s="412"/>
      <c r="N996" s="412"/>
      <c r="O996" s="412"/>
      <c r="P996" s="487"/>
      <c r="Q996" s="412"/>
      <c r="R996" s="412"/>
      <c r="S996" s="412"/>
      <c r="T996" s="488"/>
      <c r="U996" s="412"/>
      <c r="V996" s="412"/>
      <c r="W996" s="412"/>
      <c r="X996" s="412"/>
      <c r="Y996" s="412"/>
      <c r="Z996" s="412"/>
      <c r="AA996" s="412"/>
      <c r="AB996" s="412"/>
      <c r="AC996" s="412"/>
      <c r="AD996" s="412"/>
      <c r="AE996" s="412"/>
      <c r="AF996" s="412"/>
      <c r="AG996" s="412"/>
      <c r="AH996" s="419">
        <f t="shared" si="632"/>
        <v>0</v>
      </c>
      <c r="AI996" s="412"/>
      <c r="AJ996" s="412"/>
      <c r="AK996" s="412"/>
      <c r="AL996" s="412"/>
      <c r="AM996" s="412"/>
    </row>
    <row r="997" spans="1:39" ht="12.75">
      <c r="A997" s="412"/>
      <c r="B997" s="413"/>
      <c r="C997" s="412"/>
      <c r="D997" s="486"/>
      <c r="E997" s="412"/>
      <c r="F997" s="412"/>
      <c r="G997" s="412"/>
      <c r="H997" s="412"/>
      <c r="I997" s="412"/>
      <c r="J997" s="412"/>
      <c r="K997" s="412"/>
      <c r="L997" s="412"/>
      <c r="M997" s="412"/>
      <c r="N997" s="412"/>
      <c r="O997" s="412"/>
      <c r="P997" s="487"/>
      <c r="Q997" s="412"/>
      <c r="R997" s="412"/>
      <c r="S997" s="412"/>
      <c r="T997" s="488"/>
      <c r="U997" s="412"/>
      <c r="V997" s="412"/>
      <c r="W997" s="412"/>
      <c r="X997" s="412"/>
      <c r="Y997" s="412"/>
      <c r="Z997" s="412"/>
      <c r="AA997" s="412"/>
      <c r="AB997" s="412"/>
      <c r="AC997" s="412"/>
      <c r="AD997" s="412"/>
      <c r="AE997" s="412"/>
      <c r="AF997" s="412"/>
      <c r="AG997" s="412"/>
      <c r="AH997" s="419">
        <f t="shared" si="632"/>
        <v>0</v>
      </c>
      <c r="AI997" s="412"/>
      <c r="AJ997" s="412"/>
      <c r="AK997" s="412"/>
      <c r="AL997" s="412"/>
      <c r="AM997" s="412"/>
    </row>
    <row r="998" spans="1:39" ht="12.75">
      <c r="A998" s="412"/>
      <c r="B998" s="413"/>
      <c r="C998" s="412"/>
      <c r="D998" s="486"/>
      <c r="E998" s="412"/>
      <c r="F998" s="412"/>
      <c r="G998" s="412"/>
      <c r="H998" s="412"/>
      <c r="I998" s="412"/>
      <c r="J998" s="412"/>
      <c r="K998" s="412"/>
      <c r="L998" s="412"/>
      <c r="M998" s="412"/>
      <c r="N998" s="412"/>
      <c r="O998" s="412"/>
      <c r="P998" s="487"/>
      <c r="Q998" s="412"/>
      <c r="R998" s="412"/>
      <c r="S998" s="412"/>
      <c r="T998" s="488"/>
      <c r="U998" s="412"/>
      <c r="V998" s="412"/>
      <c r="W998" s="412"/>
      <c r="X998" s="412"/>
      <c r="Y998" s="412"/>
      <c r="Z998" s="412"/>
      <c r="AA998" s="412"/>
      <c r="AB998" s="412"/>
      <c r="AC998" s="412"/>
      <c r="AD998" s="412"/>
      <c r="AE998" s="412"/>
      <c r="AF998" s="412"/>
      <c r="AG998" s="412"/>
      <c r="AH998" s="419">
        <f t="shared" si="632"/>
        <v>0</v>
      </c>
      <c r="AI998" s="412"/>
      <c r="AJ998" s="412"/>
      <c r="AK998" s="412"/>
      <c r="AL998" s="412"/>
      <c r="AM998" s="412"/>
    </row>
    <row r="999" spans="1:39" ht="12.75">
      <c r="A999" s="412"/>
      <c r="B999" s="413"/>
      <c r="C999" s="412"/>
      <c r="D999" s="486"/>
      <c r="E999" s="412"/>
      <c r="F999" s="412"/>
      <c r="G999" s="412"/>
      <c r="H999" s="412"/>
      <c r="I999" s="412"/>
      <c r="J999" s="412"/>
      <c r="K999" s="412"/>
      <c r="L999" s="412"/>
      <c r="M999" s="412"/>
      <c r="N999" s="412"/>
      <c r="O999" s="412"/>
      <c r="P999" s="487"/>
      <c r="Q999" s="412"/>
      <c r="R999" s="412"/>
      <c r="S999" s="412"/>
      <c r="T999" s="488"/>
      <c r="U999" s="412"/>
      <c r="V999" s="412"/>
      <c r="W999" s="412"/>
      <c r="X999" s="412"/>
      <c r="Y999" s="412"/>
      <c r="Z999" s="412"/>
      <c r="AA999" s="412"/>
      <c r="AB999" s="412"/>
      <c r="AC999" s="412"/>
      <c r="AD999" s="412"/>
      <c r="AE999" s="412"/>
      <c r="AF999" s="412"/>
      <c r="AG999" s="412"/>
      <c r="AH999" s="419">
        <f t="shared" si="632"/>
        <v>0</v>
      </c>
      <c r="AI999" s="412"/>
      <c r="AJ999" s="412"/>
      <c r="AK999" s="412"/>
      <c r="AL999" s="412"/>
      <c r="AM999" s="412"/>
    </row>
    <row r="1000" spans="1:39" ht="12.75">
      <c r="A1000" s="412"/>
      <c r="B1000" s="413"/>
      <c r="C1000" s="412"/>
      <c r="D1000" s="486"/>
      <c r="E1000" s="412"/>
      <c r="F1000" s="412"/>
      <c r="G1000" s="412"/>
      <c r="H1000" s="412"/>
      <c r="I1000" s="412"/>
      <c r="J1000" s="412"/>
      <c r="K1000" s="412"/>
      <c r="L1000" s="412"/>
      <c r="M1000" s="412"/>
      <c r="N1000" s="412"/>
      <c r="O1000" s="412"/>
      <c r="P1000" s="487"/>
      <c r="Q1000" s="412"/>
      <c r="R1000" s="412"/>
      <c r="S1000" s="412"/>
      <c r="T1000" s="488"/>
      <c r="U1000" s="412"/>
      <c r="V1000" s="412"/>
      <c r="W1000" s="412"/>
      <c r="X1000" s="412"/>
      <c r="Y1000" s="412"/>
      <c r="Z1000" s="412"/>
      <c r="AA1000" s="412"/>
      <c r="AB1000" s="412"/>
      <c r="AC1000" s="412"/>
      <c r="AD1000" s="412"/>
      <c r="AE1000" s="412"/>
      <c r="AF1000" s="412"/>
      <c r="AG1000" s="412"/>
      <c r="AH1000" s="419">
        <f t="shared" si="632"/>
        <v>0</v>
      </c>
      <c r="AI1000" s="412"/>
      <c r="AJ1000" s="412"/>
      <c r="AK1000" s="412"/>
      <c r="AL1000" s="412"/>
      <c r="AM1000" s="412"/>
    </row>
    <row r="1001" spans="1:39" ht="12.75">
      <c r="AH1001" s="419">
        <f t="shared" si="632"/>
        <v>0</v>
      </c>
    </row>
    <row r="1002" spans="1:39" ht="12.75">
      <c r="AH1002" s="419">
        <f t="shared" si="632"/>
        <v>0</v>
      </c>
    </row>
    <row r="1003" spans="1:39" ht="12.75">
      <c r="AH1003" s="419">
        <f t="shared" si="632"/>
        <v>0</v>
      </c>
    </row>
    <row r="1004" spans="1:39" ht="12.75">
      <c r="AH1004" s="419">
        <f t="shared" si="632"/>
        <v>0</v>
      </c>
    </row>
    <row r="1005" spans="1:39" ht="12.75">
      <c r="AH1005" s="419">
        <f t="shared" si="632"/>
        <v>0</v>
      </c>
    </row>
    <row r="1006" spans="1:39" ht="12.75">
      <c r="AH1006" s="419">
        <f t="shared" si="632"/>
        <v>0</v>
      </c>
    </row>
    <row r="1007" spans="1:39" ht="12.75">
      <c r="AH1007" s="419">
        <f t="shared" si="632"/>
        <v>0</v>
      </c>
    </row>
    <row r="1008" spans="1:39" ht="12.75">
      <c r="AH1008" s="419">
        <f t="shared" si="632"/>
        <v>0</v>
      </c>
    </row>
    <row r="1009" spans="34:34" ht="12.75">
      <c r="AH1009" s="419">
        <f t="shared" si="632"/>
        <v>0</v>
      </c>
    </row>
    <row r="1010" spans="34:34" ht="12.75">
      <c r="AH1010" s="419">
        <f t="shared" si="632"/>
        <v>0</v>
      </c>
    </row>
    <row r="1011" spans="34:34" ht="12.75">
      <c r="AH1011" s="419">
        <f t="shared" si="632"/>
        <v>0</v>
      </c>
    </row>
    <row r="1012" spans="34:34" ht="12.75">
      <c r="AH1012" s="419">
        <f t="shared" si="632"/>
        <v>0</v>
      </c>
    </row>
    <row r="1013" spans="34:34" ht="12.75">
      <c r="AH1013" s="419">
        <f t="shared" si="632"/>
        <v>0</v>
      </c>
    </row>
    <row r="1014" spans="34:34" ht="12.75">
      <c r="AH1014" s="419">
        <f t="shared" si="632"/>
        <v>0</v>
      </c>
    </row>
    <row r="1015" spans="34:34" ht="12.75">
      <c r="AH1015" s="419">
        <f t="shared" si="632"/>
        <v>0</v>
      </c>
    </row>
    <row r="1016" spans="34:34" ht="12.75">
      <c r="AH1016" s="419">
        <f t="shared" si="632"/>
        <v>0</v>
      </c>
    </row>
    <row r="1017" spans="34:34" ht="12.75">
      <c r="AH1017" s="419">
        <f t="shared" si="632"/>
        <v>0</v>
      </c>
    </row>
    <row r="1018" spans="34:34" ht="12.75">
      <c r="AH1018" s="419">
        <f t="shared" si="632"/>
        <v>0</v>
      </c>
    </row>
    <row r="1019" spans="34:34" ht="12.75">
      <c r="AH1019" s="419">
        <f t="shared" si="632"/>
        <v>0</v>
      </c>
    </row>
    <row r="1020" spans="34:34" ht="12.75">
      <c r="AH1020" s="419">
        <f t="shared" si="632"/>
        <v>0</v>
      </c>
    </row>
    <row r="1021" spans="34:34" ht="12.75">
      <c r="AH1021" s="419">
        <f t="shared" si="632"/>
        <v>0</v>
      </c>
    </row>
    <row r="1022" spans="34:34" ht="12.75">
      <c r="AH1022" s="419">
        <f t="shared" si="632"/>
        <v>0</v>
      </c>
    </row>
    <row r="1023" spans="34:34" ht="12.75">
      <c r="AH1023" s="419">
        <f t="shared" si="632"/>
        <v>0</v>
      </c>
    </row>
    <row r="1024" spans="34:34" ht="12.75">
      <c r="AH1024" s="419">
        <f t="shared" si="632"/>
        <v>0</v>
      </c>
    </row>
    <row r="1025" spans="34:34" ht="12.75">
      <c r="AH1025" s="419">
        <f t="shared" si="632"/>
        <v>0</v>
      </c>
    </row>
    <row r="1026" spans="34:34" ht="12.75">
      <c r="AH1026" s="419">
        <f t="shared" ref="AH1026:AH1089" si="633">AG1026-F1026</f>
        <v>0</v>
      </c>
    </row>
    <row r="1027" spans="34:34" ht="12.75">
      <c r="AH1027" s="419">
        <f t="shared" si="633"/>
        <v>0</v>
      </c>
    </row>
    <row r="1028" spans="34:34" ht="12.75">
      <c r="AH1028" s="419">
        <f t="shared" si="633"/>
        <v>0</v>
      </c>
    </row>
    <row r="1029" spans="34:34" ht="12.75">
      <c r="AH1029" s="419">
        <f t="shared" si="633"/>
        <v>0</v>
      </c>
    </row>
    <row r="1030" spans="34:34" ht="12.75">
      <c r="AH1030" s="419">
        <f t="shared" si="633"/>
        <v>0</v>
      </c>
    </row>
    <row r="1031" spans="34:34" ht="12.75">
      <c r="AH1031" s="419">
        <f t="shared" si="633"/>
        <v>0</v>
      </c>
    </row>
    <row r="1032" spans="34:34" ht="12.75">
      <c r="AH1032" s="419">
        <f t="shared" si="633"/>
        <v>0</v>
      </c>
    </row>
    <row r="1033" spans="34:34" ht="12.75">
      <c r="AH1033" s="419">
        <f t="shared" si="633"/>
        <v>0</v>
      </c>
    </row>
    <row r="1034" spans="34:34" ht="12.75">
      <c r="AH1034" s="419">
        <f t="shared" si="633"/>
        <v>0</v>
      </c>
    </row>
    <row r="1035" spans="34:34" ht="12.75">
      <c r="AH1035" s="419">
        <f t="shared" si="633"/>
        <v>0</v>
      </c>
    </row>
    <row r="1036" spans="34:34" ht="12.75">
      <c r="AH1036" s="419">
        <f t="shared" si="633"/>
        <v>0</v>
      </c>
    </row>
    <row r="1037" spans="34:34" ht="12.75">
      <c r="AH1037" s="419">
        <f t="shared" si="633"/>
        <v>0</v>
      </c>
    </row>
    <row r="1038" spans="34:34" ht="12.75">
      <c r="AH1038" s="419">
        <f t="shared" si="633"/>
        <v>0</v>
      </c>
    </row>
    <row r="1039" spans="34:34" ht="12.75">
      <c r="AH1039" s="419">
        <f t="shared" si="633"/>
        <v>0</v>
      </c>
    </row>
    <row r="1040" spans="34:34" ht="12.75">
      <c r="AH1040" s="419">
        <f t="shared" si="633"/>
        <v>0</v>
      </c>
    </row>
    <row r="1041" spans="34:34" ht="12.75">
      <c r="AH1041" s="419">
        <f t="shared" si="633"/>
        <v>0</v>
      </c>
    </row>
    <row r="1042" spans="34:34" ht="12.75">
      <c r="AH1042" s="419">
        <f t="shared" si="633"/>
        <v>0</v>
      </c>
    </row>
    <row r="1043" spans="34:34" ht="12.75">
      <c r="AH1043" s="419">
        <f t="shared" si="633"/>
        <v>0</v>
      </c>
    </row>
    <row r="1044" spans="34:34" ht="12.75">
      <c r="AH1044" s="419">
        <f t="shared" si="633"/>
        <v>0</v>
      </c>
    </row>
    <row r="1045" spans="34:34" ht="12.75">
      <c r="AH1045" s="419">
        <f t="shared" si="633"/>
        <v>0</v>
      </c>
    </row>
    <row r="1046" spans="34:34" ht="12.75">
      <c r="AH1046" s="419">
        <f t="shared" si="633"/>
        <v>0</v>
      </c>
    </row>
    <row r="1047" spans="34:34" ht="12.75">
      <c r="AH1047" s="419">
        <f t="shared" si="633"/>
        <v>0</v>
      </c>
    </row>
    <row r="1048" spans="34:34" ht="12.75">
      <c r="AH1048" s="419">
        <f t="shared" si="633"/>
        <v>0</v>
      </c>
    </row>
    <row r="1049" spans="34:34" ht="12.75">
      <c r="AH1049" s="419">
        <f t="shared" si="633"/>
        <v>0</v>
      </c>
    </row>
    <row r="1050" spans="34:34" ht="12.75">
      <c r="AH1050" s="419">
        <f t="shared" si="633"/>
        <v>0</v>
      </c>
    </row>
    <row r="1051" spans="34:34" ht="12.75">
      <c r="AH1051" s="419">
        <f t="shared" si="633"/>
        <v>0</v>
      </c>
    </row>
    <row r="1052" spans="34:34" ht="12.75">
      <c r="AH1052" s="419">
        <f t="shared" si="633"/>
        <v>0</v>
      </c>
    </row>
    <row r="1053" spans="34:34" ht="12.75">
      <c r="AH1053" s="419">
        <f t="shared" si="633"/>
        <v>0</v>
      </c>
    </row>
    <row r="1054" spans="34:34" ht="12.75">
      <c r="AH1054" s="419">
        <f t="shared" si="633"/>
        <v>0</v>
      </c>
    </row>
    <row r="1055" spans="34:34" ht="12.75">
      <c r="AH1055" s="419">
        <f t="shared" si="633"/>
        <v>0</v>
      </c>
    </row>
    <row r="1056" spans="34:34" ht="12.75">
      <c r="AH1056" s="419">
        <f t="shared" si="633"/>
        <v>0</v>
      </c>
    </row>
    <row r="1057" spans="34:34" ht="12.75">
      <c r="AH1057" s="419">
        <f t="shared" si="633"/>
        <v>0</v>
      </c>
    </row>
    <row r="1058" spans="34:34" ht="12.75">
      <c r="AH1058" s="419">
        <f t="shared" si="633"/>
        <v>0</v>
      </c>
    </row>
    <row r="1059" spans="34:34" ht="12.75">
      <c r="AH1059" s="419">
        <f t="shared" si="633"/>
        <v>0</v>
      </c>
    </row>
    <row r="1060" spans="34:34" ht="12.75">
      <c r="AH1060" s="419">
        <f t="shared" si="633"/>
        <v>0</v>
      </c>
    </row>
    <row r="1061" spans="34:34" ht="12.75">
      <c r="AH1061" s="419">
        <f t="shared" si="633"/>
        <v>0</v>
      </c>
    </row>
    <row r="1062" spans="34:34" ht="12.75">
      <c r="AH1062" s="419">
        <f t="shared" si="633"/>
        <v>0</v>
      </c>
    </row>
    <row r="1063" spans="34:34" ht="12.75">
      <c r="AH1063" s="419">
        <f t="shared" si="633"/>
        <v>0</v>
      </c>
    </row>
    <row r="1064" spans="34:34" ht="12.75">
      <c r="AH1064" s="419">
        <f t="shared" si="633"/>
        <v>0</v>
      </c>
    </row>
    <row r="1065" spans="34:34" ht="12.75">
      <c r="AH1065" s="419">
        <f t="shared" si="633"/>
        <v>0</v>
      </c>
    </row>
    <row r="1066" spans="34:34" ht="12.75">
      <c r="AH1066" s="419">
        <f t="shared" si="633"/>
        <v>0</v>
      </c>
    </row>
    <row r="1067" spans="34:34" ht="12.75">
      <c r="AH1067" s="419">
        <f t="shared" si="633"/>
        <v>0</v>
      </c>
    </row>
    <row r="1068" spans="34:34" ht="12.75">
      <c r="AH1068" s="419">
        <f t="shared" si="633"/>
        <v>0</v>
      </c>
    </row>
    <row r="1069" spans="34:34" ht="12.75">
      <c r="AH1069" s="419">
        <f t="shared" si="633"/>
        <v>0</v>
      </c>
    </row>
    <row r="1070" spans="34:34" ht="12.75">
      <c r="AH1070" s="419">
        <f t="shared" si="633"/>
        <v>0</v>
      </c>
    </row>
    <row r="1071" spans="34:34" ht="12.75">
      <c r="AH1071" s="419">
        <f t="shared" si="633"/>
        <v>0</v>
      </c>
    </row>
    <row r="1072" spans="34:34" ht="12.75">
      <c r="AH1072" s="419">
        <f t="shared" si="633"/>
        <v>0</v>
      </c>
    </row>
    <row r="1073" spans="34:34" ht="12.75">
      <c r="AH1073" s="419">
        <f t="shared" si="633"/>
        <v>0</v>
      </c>
    </row>
    <row r="1074" spans="34:34" ht="12.75">
      <c r="AH1074" s="419">
        <f t="shared" si="633"/>
        <v>0</v>
      </c>
    </row>
    <row r="1075" spans="34:34" ht="12.75">
      <c r="AH1075" s="419">
        <f t="shared" si="633"/>
        <v>0</v>
      </c>
    </row>
    <row r="1076" spans="34:34" ht="12.75">
      <c r="AH1076" s="419">
        <f t="shared" si="633"/>
        <v>0</v>
      </c>
    </row>
    <row r="1077" spans="34:34" ht="12.75">
      <c r="AH1077" s="419">
        <f t="shared" si="633"/>
        <v>0</v>
      </c>
    </row>
    <row r="1078" spans="34:34" ht="12.75">
      <c r="AH1078" s="419">
        <f t="shared" si="633"/>
        <v>0</v>
      </c>
    </row>
    <row r="1079" spans="34:34" ht="12.75">
      <c r="AH1079" s="419">
        <f t="shared" si="633"/>
        <v>0</v>
      </c>
    </row>
    <row r="1080" spans="34:34" ht="12.75">
      <c r="AH1080" s="419">
        <f t="shared" si="633"/>
        <v>0</v>
      </c>
    </row>
    <row r="1081" spans="34:34" ht="12.75">
      <c r="AH1081" s="419">
        <f t="shared" si="633"/>
        <v>0</v>
      </c>
    </row>
    <row r="1082" spans="34:34" ht="12.75">
      <c r="AH1082" s="419">
        <f t="shared" si="633"/>
        <v>0</v>
      </c>
    </row>
    <row r="1083" spans="34:34" ht="12.75">
      <c r="AH1083" s="419">
        <f t="shared" si="633"/>
        <v>0</v>
      </c>
    </row>
    <row r="1084" spans="34:34" ht="12.75">
      <c r="AH1084" s="419">
        <f t="shared" si="633"/>
        <v>0</v>
      </c>
    </row>
    <row r="1085" spans="34:34" ht="12.75">
      <c r="AH1085" s="419">
        <f t="shared" si="633"/>
        <v>0</v>
      </c>
    </row>
    <row r="1086" spans="34:34" ht="12.75">
      <c r="AH1086" s="419">
        <f t="shared" si="633"/>
        <v>0</v>
      </c>
    </row>
    <row r="1087" spans="34:34" ht="12.75">
      <c r="AH1087" s="419">
        <f t="shared" si="633"/>
        <v>0</v>
      </c>
    </row>
    <row r="1088" spans="34:34" ht="12.75">
      <c r="AH1088" s="419">
        <f t="shared" si="633"/>
        <v>0</v>
      </c>
    </row>
    <row r="1089" spans="34:34" ht="12.75">
      <c r="AH1089" s="419">
        <f t="shared" si="633"/>
        <v>0</v>
      </c>
    </row>
    <row r="1090" spans="34:34" ht="12.75">
      <c r="AH1090" s="419">
        <f t="shared" ref="AH1090:AH1153" si="634">AG1090-F1090</f>
        <v>0</v>
      </c>
    </row>
    <row r="1091" spans="34:34" ht="12.75">
      <c r="AH1091" s="419">
        <f t="shared" si="634"/>
        <v>0</v>
      </c>
    </row>
    <row r="1092" spans="34:34" ht="12.75">
      <c r="AH1092" s="419">
        <f t="shared" si="634"/>
        <v>0</v>
      </c>
    </row>
    <row r="1093" spans="34:34" ht="12.75">
      <c r="AH1093" s="419">
        <f t="shared" si="634"/>
        <v>0</v>
      </c>
    </row>
    <row r="1094" spans="34:34" ht="12.75">
      <c r="AH1094" s="419">
        <f t="shared" si="634"/>
        <v>0</v>
      </c>
    </row>
    <row r="1095" spans="34:34" ht="12.75">
      <c r="AH1095" s="419">
        <f t="shared" si="634"/>
        <v>0</v>
      </c>
    </row>
    <row r="1096" spans="34:34" ht="12.75">
      <c r="AH1096" s="419">
        <f t="shared" si="634"/>
        <v>0</v>
      </c>
    </row>
    <row r="1097" spans="34:34" ht="12.75">
      <c r="AH1097" s="419">
        <f t="shared" si="634"/>
        <v>0</v>
      </c>
    </row>
    <row r="1098" spans="34:34" ht="12.75">
      <c r="AH1098" s="419">
        <f t="shared" si="634"/>
        <v>0</v>
      </c>
    </row>
    <row r="1099" spans="34:34" ht="12.75">
      <c r="AH1099" s="419">
        <f t="shared" si="634"/>
        <v>0</v>
      </c>
    </row>
    <row r="1100" spans="34:34" ht="12.75">
      <c r="AH1100" s="419">
        <f t="shared" si="634"/>
        <v>0</v>
      </c>
    </row>
    <row r="1101" spans="34:34" ht="12.75">
      <c r="AH1101" s="419">
        <f t="shared" si="634"/>
        <v>0</v>
      </c>
    </row>
    <row r="1102" spans="34:34" ht="12.75">
      <c r="AH1102" s="419">
        <f t="shared" si="634"/>
        <v>0</v>
      </c>
    </row>
    <row r="1103" spans="34:34" ht="12.75">
      <c r="AH1103" s="419">
        <f t="shared" si="634"/>
        <v>0</v>
      </c>
    </row>
    <row r="1104" spans="34:34" ht="12.75">
      <c r="AH1104" s="419">
        <f t="shared" si="634"/>
        <v>0</v>
      </c>
    </row>
    <row r="1105" spans="34:34" ht="12.75">
      <c r="AH1105" s="419">
        <f t="shared" si="634"/>
        <v>0</v>
      </c>
    </row>
    <row r="1106" spans="34:34" ht="12.75">
      <c r="AH1106" s="419">
        <f t="shared" si="634"/>
        <v>0</v>
      </c>
    </row>
    <row r="1107" spans="34:34" ht="12.75">
      <c r="AH1107" s="419">
        <f t="shared" si="634"/>
        <v>0</v>
      </c>
    </row>
    <row r="1108" spans="34:34" ht="12.75">
      <c r="AH1108" s="419">
        <f t="shared" si="634"/>
        <v>0</v>
      </c>
    </row>
    <row r="1109" spans="34:34" ht="12.75">
      <c r="AH1109" s="419">
        <f t="shared" si="634"/>
        <v>0</v>
      </c>
    </row>
    <row r="1110" spans="34:34" ht="12.75">
      <c r="AH1110" s="419">
        <f t="shared" si="634"/>
        <v>0</v>
      </c>
    </row>
    <row r="1111" spans="34:34" ht="12.75">
      <c r="AH1111" s="419">
        <f t="shared" si="634"/>
        <v>0</v>
      </c>
    </row>
    <row r="1112" spans="34:34" ht="12.75">
      <c r="AH1112" s="419">
        <f t="shared" si="634"/>
        <v>0</v>
      </c>
    </row>
    <row r="1113" spans="34:34" ht="12.75">
      <c r="AH1113" s="419">
        <f t="shared" si="634"/>
        <v>0</v>
      </c>
    </row>
    <row r="1114" spans="34:34" ht="12.75">
      <c r="AH1114" s="419">
        <f t="shared" si="634"/>
        <v>0</v>
      </c>
    </row>
    <row r="1115" spans="34:34" ht="12.75">
      <c r="AH1115" s="419">
        <f t="shared" si="634"/>
        <v>0</v>
      </c>
    </row>
    <row r="1116" spans="34:34" ht="12.75">
      <c r="AH1116" s="419">
        <f t="shared" si="634"/>
        <v>0</v>
      </c>
    </row>
    <row r="1117" spans="34:34" ht="12.75">
      <c r="AH1117" s="419">
        <f t="shared" si="634"/>
        <v>0</v>
      </c>
    </row>
    <row r="1118" spans="34:34" ht="12.75">
      <c r="AH1118" s="419">
        <f t="shared" si="634"/>
        <v>0</v>
      </c>
    </row>
    <row r="1119" spans="34:34" ht="12.75">
      <c r="AH1119" s="419">
        <f t="shared" si="634"/>
        <v>0</v>
      </c>
    </row>
    <row r="1120" spans="34:34" ht="12.75">
      <c r="AH1120" s="419">
        <f t="shared" si="634"/>
        <v>0</v>
      </c>
    </row>
    <row r="1121" spans="34:34" ht="12.75">
      <c r="AH1121" s="419">
        <f t="shared" si="634"/>
        <v>0</v>
      </c>
    </row>
    <row r="1122" spans="34:34" ht="12.75">
      <c r="AH1122" s="419">
        <f t="shared" si="634"/>
        <v>0</v>
      </c>
    </row>
    <row r="1123" spans="34:34" ht="12.75">
      <c r="AH1123" s="419">
        <f t="shared" si="634"/>
        <v>0</v>
      </c>
    </row>
    <row r="1124" spans="34:34" ht="12.75">
      <c r="AH1124" s="419">
        <f t="shared" si="634"/>
        <v>0</v>
      </c>
    </row>
    <row r="1125" spans="34:34" ht="12.75">
      <c r="AH1125" s="419">
        <f t="shared" si="634"/>
        <v>0</v>
      </c>
    </row>
    <row r="1126" spans="34:34" ht="12.75">
      <c r="AH1126" s="419">
        <f t="shared" si="634"/>
        <v>0</v>
      </c>
    </row>
    <row r="1127" spans="34:34" ht="12.75">
      <c r="AH1127" s="419">
        <f t="shared" si="634"/>
        <v>0</v>
      </c>
    </row>
    <row r="1128" spans="34:34" ht="12.75">
      <c r="AH1128" s="419">
        <f t="shared" si="634"/>
        <v>0</v>
      </c>
    </row>
    <row r="1129" spans="34:34" ht="12.75">
      <c r="AH1129" s="419">
        <f t="shared" si="634"/>
        <v>0</v>
      </c>
    </row>
    <row r="1130" spans="34:34" ht="12.75">
      <c r="AH1130" s="419">
        <f t="shared" si="634"/>
        <v>0</v>
      </c>
    </row>
    <row r="1131" spans="34:34" ht="12.75">
      <c r="AH1131" s="419">
        <f t="shared" si="634"/>
        <v>0</v>
      </c>
    </row>
    <row r="1132" spans="34:34" ht="12.75">
      <c r="AH1132" s="419">
        <f t="shared" si="634"/>
        <v>0</v>
      </c>
    </row>
    <row r="1133" spans="34:34" ht="12.75">
      <c r="AH1133" s="419">
        <f t="shared" si="634"/>
        <v>0</v>
      </c>
    </row>
    <row r="1134" spans="34:34" ht="12.75">
      <c r="AH1134" s="419">
        <f t="shared" si="634"/>
        <v>0</v>
      </c>
    </row>
    <row r="1135" spans="34:34" ht="12.75">
      <c r="AH1135" s="419">
        <f t="shared" si="634"/>
        <v>0</v>
      </c>
    </row>
    <row r="1136" spans="34:34" ht="12.75">
      <c r="AH1136" s="419">
        <f t="shared" si="634"/>
        <v>0</v>
      </c>
    </row>
    <row r="1137" spans="34:34" ht="12.75">
      <c r="AH1137" s="419">
        <f t="shared" si="634"/>
        <v>0</v>
      </c>
    </row>
    <row r="1138" spans="34:34" ht="12.75">
      <c r="AH1138" s="419">
        <f t="shared" si="634"/>
        <v>0</v>
      </c>
    </row>
    <row r="1139" spans="34:34" ht="12.75">
      <c r="AH1139" s="419">
        <f t="shared" si="634"/>
        <v>0</v>
      </c>
    </row>
    <row r="1140" spans="34:34" ht="12.75">
      <c r="AH1140" s="419">
        <f t="shared" si="634"/>
        <v>0</v>
      </c>
    </row>
    <row r="1141" spans="34:34" ht="12.75">
      <c r="AH1141" s="419">
        <f t="shared" si="634"/>
        <v>0</v>
      </c>
    </row>
    <row r="1142" spans="34:34" ht="12.75">
      <c r="AH1142" s="419">
        <f t="shared" si="634"/>
        <v>0</v>
      </c>
    </row>
    <row r="1143" spans="34:34" ht="12.75">
      <c r="AH1143" s="419">
        <f t="shared" si="634"/>
        <v>0</v>
      </c>
    </row>
    <row r="1144" spans="34:34" ht="12.75">
      <c r="AH1144" s="419">
        <f t="shared" si="634"/>
        <v>0</v>
      </c>
    </row>
    <row r="1145" spans="34:34" ht="12.75">
      <c r="AH1145" s="419">
        <f t="shared" si="634"/>
        <v>0</v>
      </c>
    </row>
    <row r="1146" spans="34:34" ht="12.75">
      <c r="AH1146" s="419">
        <f t="shared" si="634"/>
        <v>0</v>
      </c>
    </row>
    <row r="1147" spans="34:34" ht="12.75">
      <c r="AH1147" s="419">
        <f t="shared" si="634"/>
        <v>0</v>
      </c>
    </row>
    <row r="1148" spans="34:34" ht="12.75">
      <c r="AH1148" s="419">
        <f t="shared" si="634"/>
        <v>0</v>
      </c>
    </row>
    <row r="1149" spans="34:34" ht="12.75">
      <c r="AH1149" s="419">
        <f t="shared" si="634"/>
        <v>0</v>
      </c>
    </row>
    <row r="1150" spans="34:34" ht="12.75">
      <c r="AH1150" s="419">
        <f t="shared" si="634"/>
        <v>0</v>
      </c>
    </row>
    <row r="1151" spans="34:34" ht="12.75">
      <c r="AH1151" s="419">
        <f t="shared" si="634"/>
        <v>0</v>
      </c>
    </row>
    <row r="1152" spans="34:34" ht="12.75">
      <c r="AH1152" s="419">
        <f t="shared" si="634"/>
        <v>0</v>
      </c>
    </row>
    <row r="1153" spans="34:34" ht="12.75">
      <c r="AH1153" s="419">
        <f t="shared" si="634"/>
        <v>0</v>
      </c>
    </row>
    <row r="1154" spans="34:34" ht="12.75">
      <c r="AH1154" s="419">
        <f t="shared" ref="AH1154:AH1217" si="635">AG1154-F1154</f>
        <v>0</v>
      </c>
    </row>
    <row r="1155" spans="34:34" ht="12.75">
      <c r="AH1155" s="419">
        <f t="shared" si="635"/>
        <v>0</v>
      </c>
    </row>
    <row r="1156" spans="34:34" ht="12.75">
      <c r="AH1156" s="419">
        <f t="shared" si="635"/>
        <v>0</v>
      </c>
    </row>
    <row r="1157" spans="34:34" ht="12.75">
      <c r="AH1157" s="419">
        <f t="shared" si="635"/>
        <v>0</v>
      </c>
    </row>
    <row r="1158" spans="34:34" ht="12.75">
      <c r="AH1158" s="419">
        <f t="shared" si="635"/>
        <v>0</v>
      </c>
    </row>
    <row r="1159" spans="34:34" ht="12.75">
      <c r="AH1159" s="419">
        <f t="shared" si="635"/>
        <v>0</v>
      </c>
    </row>
    <row r="1160" spans="34:34" ht="12.75">
      <c r="AH1160" s="419">
        <f t="shared" si="635"/>
        <v>0</v>
      </c>
    </row>
    <row r="1161" spans="34:34" ht="12.75">
      <c r="AH1161" s="419">
        <f t="shared" si="635"/>
        <v>0</v>
      </c>
    </row>
    <row r="1162" spans="34:34" ht="12.75">
      <c r="AH1162" s="419">
        <f t="shared" si="635"/>
        <v>0</v>
      </c>
    </row>
    <row r="1163" spans="34:34" ht="12.75">
      <c r="AH1163" s="419">
        <f t="shared" si="635"/>
        <v>0</v>
      </c>
    </row>
    <row r="1164" spans="34:34" ht="12.75">
      <c r="AH1164" s="419">
        <f t="shared" si="635"/>
        <v>0</v>
      </c>
    </row>
    <row r="1165" spans="34:34" ht="12.75">
      <c r="AH1165" s="419">
        <f t="shared" si="635"/>
        <v>0</v>
      </c>
    </row>
    <row r="1166" spans="34:34" ht="12.75">
      <c r="AH1166" s="419">
        <f t="shared" si="635"/>
        <v>0</v>
      </c>
    </row>
    <row r="1167" spans="34:34" ht="12.75">
      <c r="AH1167" s="419">
        <f t="shared" si="635"/>
        <v>0</v>
      </c>
    </row>
    <row r="1168" spans="34:34" ht="12.75">
      <c r="AH1168" s="419">
        <f t="shared" si="635"/>
        <v>0</v>
      </c>
    </row>
    <row r="1169" spans="34:34" ht="12.75">
      <c r="AH1169" s="419">
        <f t="shared" si="635"/>
        <v>0</v>
      </c>
    </row>
    <row r="1170" spans="34:34" ht="12.75">
      <c r="AH1170" s="419">
        <f t="shared" si="635"/>
        <v>0</v>
      </c>
    </row>
    <row r="1171" spans="34:34" ht="12.75">
      <c r="AH1171" s="419">
        <f t="shared" si="635"/>
        <v>0</v>
      </c>
    </row>
    <row r="1172" spans="34:34" ht="12.75">
      <c r="AH1172" s="419">
        <f t="shared" si="635"/>
        <v>0</v>
      </c>
    </row>
    <row r="1173" spans="34:34" ht="12.75">
      <c r="AH1173" s="419">
        <f t="shared" si="635"/>
        <v>0</v>
      </c>
    </row>
    <row r="1174" spans="34:34" ht="12.75">
      <c r="AH1174" s="419">
        <f t="shared" si="635"/>
        <v>0</v>
      </c>
    </row>
    <row r="1175" spans="34:34" ht="12.75">
      <c r="AH1175" s="419">
        <f t="shared" si="635"/>
        <v>0</v>
      </c>
    </row>
    <row r="1176" spans="34:34" ht="12.75">
      <c r="AH1176" s="419">
        <f t="shared" si="635"/>
        <v>0</v>
      </c>
    </row>
    <row r="1177" spans="34:34" ht="12.75">
      <c r="AH1177" s="419">
        <f t="shared" si="635"/>
        <v>0</v>
      </c>
    </row>
    <row r="1178" spans="34:34" ht="12.75">
      <c r="AH1178" s="419">
        <f t="shared" si="635"/>
        <v>0</v>
      </c>
    </row>
    <row r="1179" spans="34:34" ht="12.75">
      <c r="AH1179" s="419">
        <f t="shared" si="635"/>
        <v>0</v>
      </c>
    </row>
    <row r="1180" spans="34:34" ht="12.75">
      <c r="AH1180" s="419">
        <f t="shared" si="635"/>
        <v>0</v>
      </c>
    </row>
    <row r="1181" spans="34:34" ht="12.75">
      <c r="AH1181" s="419">
        <f t="shared" si="635"/>
        <v>0</v>
      </c>
    </row>
    <row r="1182" spans="34:34" ht="12.75">
      <c r="AH1182" s="419">
        <f t="shared" si="635"/>
        <v>0</v>
      </c>
    </row>
    <row r="1183" spans="34:34" ht="12.75">
      <c r="AH1183" s="419">
        <f t="shared" si="635"/>
        <v>0</v>
      </c>
    </row>
    <row r="1184" spans="34:34" ht="12.75">
      <c r="AH1184" s="419">
        <f t="shared" si="635"/>
        <v>0</v>
      </c>
    </row>
    <row r="1185" spans="34:34" ht="12.75">
      <c r="AH1185" s="419">
        <f t="shared" si="635"/>
        <v>0</v>
      </c>
    </row>
    <row r="1186" spans="34:34" ht="12.75">
      <c r="AH1186" s="419">
        <f t="shared" si="635"/>
        <v>0</v>
      </c>
    </row>
    <row r="1187" spans="34:34" ht="12.75">
      <c r="AH1187" s="419">
        <f t="shared" si="635"/>
        <v>0</v>
      </c>
    </row>
    <row r="1188" spans="34:34" ht="12.75">
      <c r="AH1188" s="419">
        <f t="shared" si="635"/>
        <v>0</v>
      </c>
    </row>
    <row r="1189" spans="34:34" ht="12.75">
      <c r="AH1189" s="419">
        <f t="shared" si="635"/>
        <v>0</v>
      </c>
    </row>
    <row r="1190" spans="34:34" ht="12.75">
      <c r="AH1190" s="419">
        <f t="shared" si="635"/>
        <v>0</v>
      </c>
    </row>
    <row r="1191" spans="34:34" ht="12.75">
      <c r="AH1191" s="419">
        <f t="shared" si="635"/>
        <v>0</v>
      </c>
    </row>
    <row r="1192" spans="34:34" ht="12.75">
      <c r="AH1192" s="419">
        <f t="shared" si="635"/>
        <v>0</v>
      </c>
    </row>
    <row r="1193" spans="34:34" ht="12.75">
      <c r="AH1193" s="419">
        <f t="shared" si="635"/>
        <v>0</v>
      </c>
    </row>
    <row r="1194" spans="34:34" ht="12.75">
      <c r="AH1194" s="419">
        <f t="shared" si="635"/>
        <v>0</v>
      </c>
    </row>
    <row r="1195" spans="34:34" ht="12.75">
      <c r="AH1195" s="419">
        <f t="shared" si="635"/>
        <v>0</v>
      </c>
    </row>
    <row r="1196" spans="34:34" ht="12.75">
      <c r="AH1196" s="419">
        <f t="shared" si="635"/>
        <v>0</v>
      </c>
    </row>
    <row r="1197" spans="34:34" ht="12.75">
      <c r="AH1197" s="419">
        <f t="shared" si="635"/>
        <v>0</v>
      </c>
    </row>
    <row r="1198" spans="34:34" ht="12.75">
      <c r="AH1198" s="419">
        <f t="shared" si="635"/>
        <v>0</v>
      </c>
    </row>
    <row r="1199" spans="34:34" ht="12.75">
      <c r="AH1199" s="419">
        <f t="shared" si="635"/>
        <v>0</v>
      </c>
    </row>
    <row r="1200" spans="34:34" ht="12.75">
      <c r="AH1200" s="419">
        <f t="shared" si="635"/>
        <v>0</v>
      </c>
    </row>
    <row r="1201" spans="34:34" ht="12.75">
      <c r="AH1201" s="419">
        <f t="shared" si="635"/>
        <v>0</v>
      </c>
    </row>
    <row r="1202" spans="34:34" ht="12.75">
      <c r="AH1202" s="419">
        <f t="shared" si="635"/>
        <v>0</v>
      </c>
    </row>
    <row r="1203" spans="34:34" ht="12.75">
      <c r="AH1203" s="419">
        <f t="shared" si="635"/>
        <v>0</v>
      </c>
    </row>
    <row r="1204" spans="34:34" ht="12.75">
      <c r="AH1204" s="419">
        <f t="shared" si="635"/>
        <v>0</v>
      </c>
    </row>
    <row r="1205" spans="34:34" ht="12.75">
      <c r="AH1205" s="419">
        <f t="shared" si="635"/>
        <v>0</v>
      </c>
    </row>
    <row r="1206" spans="34:34" ht="12.75">
      <c r="AH1206" s="419">
        <f t="shared" si="635"/>
        <v>0</v>
      </c>
    </row>
    <row r="1207" spans="34:34" ht="12.75">
      <c r="AH1207" s="419">
        <f t="shared" si="635"/>
        <v>0</v>
      </c>
    </row>
    <row r="1208" spans="34:34" ht="12.75">
      <c r="AH1208" s="419">
        <f t="shared" si="635"/>
        <v>0</v>
      </c>
    </row>
    <row r="1209" spans="34:34" ht="12.75">
      <c r="AH1209" s="419">
        <f t="shared" si="635"/>
        <v>0</v>
      </c>
    </row>
    <row r="1210" spans="34:34" ht="12.75">
      <c r="AH1210" s="419">
        <f t="shared" si="635"/>
        <v>0</v>
      </c>
    </row>
    <row r="1211" spans="34:34" ht="12.75">
      <c r="AH1211" s="419">
        <f t="shared" si="635"/>
        <v>0</v>
      </c>
    </row>
    <row r="1212" spans="34:34" ht="12.75">
      <c r="AH1212" s="419">
        <f t="shared" si="635"/>
        <v>0</v>
      </c>
    </row>
    <row r="1213" spans="34:34" ht="12.75">
      <c r="AH1213" s="419">
        <f t="shared" si="635"/>
        <v>0</v>
      </c>
    </row>
    <row r="1214" spans="34:34" ht="12.75">
      <c r="AH1214" s="419">
        <f t="shared" si="635"/>
        <v>0</v>
      </c>
    </row>
    <row r="1215" spans="34:34" ht="12.75">
      <c r="AH1215" s="419">
        <f t="shared" si="635"/>
        <v>0</v>
      </c>
    </row>
    <row r="1216" spans="34:34" ht="12.75">
      <c r="AH1216" s="419">
        <f t="shared" si="635"/>
        <v>0</v>
      </c>
    </row>
    <row r="1217" spans="34:34" ht="12.75">
      <c r="AH1217" s="419">
        <f t="shared" si="635"/>
        <v>0</v>
      </c>
    </row>
    <row r="1218" spans="34:34" ht="12.75">
      <c r="AH1218" s="419">
        <f t="shared" ref="AH1218:AH1281" si="636">AG1218-F1218</f>
        <v>0</v>
      </c>
    </row>
    <row r="1219" spans="34:34" ht="12.75">
      <c r="AH1219" s="419">
        <f t="shared" si="636"/>
        <v>0</v>
      </c>
    </row>
    <row r="1220" spans="34:34" ht="12.75">
      <c r="AH1220" s="419">
        <f t="shared" si="636"/>
        <v>0</v>
      </c>
    </row>
    <row r="1221" spans="34:34" ht="12.75">
      <c r="AH1221" s="419">
        <f t="shared" si="636"/>
        <v>0</v>
      </c>
    </row>
    <row r="1222" spans="34:34" ht="12.75">
      <c r="AH1222" s="419">
        <f t="shared" si="636"/>
        <v>0</v>
      </c>
    </row>
    <row r="1223" spans="34:34" ht="12.75">
      <c r="AH1223" s="419">
        <f t="shared" si="636"/>
        <v>0</v>
      </c>
    </row>
    <row r="1224" spans="34:34" ht="12.75">
      <c r="AH1224" s="419">
        <f t="shared" si="636"/>
        <v>0</v>
      </c>
    </row>
    <row r="1225" spans="34:34" ht="12.75">
      <c r="AH1225" s="419">
        <f t="shared" si="636"/>
        <v>0</v>
      </c>
    </row>
    <row r="1226" spans="34:34" ht="12.75">
      <c r="AH1226" s="419">
        <f t="shared" si="636"/>
        <v>0</v>
      </c>
    </row>
    <row r="1227" spans="34:34" ht="12.75">
      <c r="AH1227" s="419">
        <f t="shared" si="636"/>
        <v>0</v>
      </c>
    </row>
    <row r="1228" spans="34:34" ht="12.75">
      <c r="AH1228" s="419">
        <f t="shared" si="636"/>
        <v>0</v>
      </c>
    </row>
    <row r="1229" spans="34:34" ht="12.75">
      <c r="AH1229" s="419">
        <f t="shared" si="636"/>
        <v>0</v>
      </c>
    </row>
    <row r="1230" spans="34:34" ht="12.75">
      <c r="AH1230" s="419">
        <f t="shared" si="636"/>
        <v>0</v>
      </c>
    </row>
    <row r="1231" spans="34:34" ht="12.75">
      <c r="AH1231" s="419">
        <f t="shared" si="636"/>
        <v>0</v>
      </c>
    </row>
    <row r="1232" spans="34:34" ht="12.75">
      <c r="AH1232" s="419">
        <f t="shared" si="636"/>
        <v>0</v>
      </c>
    </row>
    <row r="1233" spans="34:34" ht="12.75">
      <c r="AH1233" s="419">
        <f t="shared" si="636"/>
        <v>0</v>
      </c>
    </row>
    <row r="1234" spans="34:34" ht="12.75">
      <c r="AH1234" s="419">
        <f t="shared" si="636"/>
        <v>0</v>
      </c>
    </row>
    <row r="1235" spans="34:34" ht="12.75">
      <c r="AH1235" s="419">
        <f t="shared" si="636"/>
        <v>0</v>
      </c>
    </row>
    <row r="1236" spans="34:34" ht="12.75">
      <c r="AH1236" s="419">
        <f t="shared" si="636"/>
        <v>0</v>
      </c>
    </row>
    <row r="1237" spans="34:34" ht="12.75">
      <c r="AH1237" s="419">
        <f t="shared" si="636"/>
        <v>0</v>
      </c>
    </row>
    <row r="1238" spans="34:34" ht="12.75">
      <c r="AH1238" s="419">
        <f t="shared" si="636"/>
        <v>0</v>
      </c>
    </row>
    <row r="1239" spans="34:34" ht="12.75">
      <c r="AH1239" s="419">
        <f t="shared" si="636"/>
        <v>0</v>
      </c>
    </row>
    <row r="1240" spans="34:34" ht="12.75">
      <c r="AH1240" s="419">
        <f t="shared" si="636"/>
        <v>0</v>
      </c>
    </row>
    <row r="1241" spans="34:34" ht="12.75">
      <c r="AH1241" s="419">
        <f t="shared" si="636"/>
        <v>0</v>
      </c>
    </row>
    <row r="1242" spans="34:34" ht="12.75">
      <c r="AH1242" s="419">
        <f t="shared" si="636"/>
        <v>0</v>
      </c>
    </row>
    <row r="1243" spans="34:34" ht="12.75">
      <c r="AH1243" s="419">
        <f t="shared" si="636"/>
        <v>0</v>
      </c>
    </row>
    <row r="1244" spans="34:34" ht="12.75">
      <c r="AH1244" s="419">
        <f t="shared" si="636"/>
        <v>0</v>
      </c>
    </row>
    <row r="1245" spans="34:34" ht="12.75">
      <c r="AH1245" s="419">
        <f t="shared" si="636"/>
        <v>0</v>
      </c>
    </row>
    <row r="1246" spans="34:34" ht="12.75">
      <c r="AH1246" s="419">
        <f t="shared" si="636"/>
        <v>0</v>
      </c>
    </row>
    <row r="1247" spans="34:34" ht="12.75">
      <c r="AH1247" s="419">
        <f t="shared" si="636"/>
        <v>0</v>
      </c>
    </row>
    <row r="1248" spans="34:34" ht="12.75">
      <c r="AH1248" s="419">
        <f t="shared" si="636"/>
        <v>0</v>
      </c>
    </row>
    <row r="1249" spans="34:34" ht="12.75">
      <c r="AH1249" s="419">
        <f t="shared" si="636"/>
        <v>0</v>
      </c>
    </row>
    <row r="1250" spans="34:34" ht="12.75">
      <c r="AH1250" s="419">
        <f t="shared" si="636"/>
        <v>0</v>
      </c>
    </row>
    <row r="1251" spans="34:34" ht="12.75">
      <c r="AH1251" s="419">
        <f t="shared" si="636"/>
        <v>0</v>
      </c>
    </row>
    <row r="1252" spans="34:34" ht="12.75">
      <c r="AH1252" s="419">
        <f t="shared" si="636"/>
        <v>0</v>
      </c>
    </row>
    <row r="1253" spans="34:34" ht="12.75">
      <c r="AH1253" s="419">
        <f t="shared" si="636"/>
        <v>0</v>
      </c>
    </row>
    <row r="1254" spans="34:34" ht="12.75">
      <c r="AH1254" s="419">
        <f t="shared" si="636"/>
        <v>0</v>
      </c>
    </row>
    <row r="1255" spans="34:34" ht="12.75">
      <c r="AH1255" s="419">
        <f t="shared" si="636"/>
        <v>0</v>
      </c>
    </row>
    <row r="1256" spans="34:34" ht="12.75">
      <c r="AH1256" s="419">
        <f t="shared" si="636"/>
        <v>0</v>
      </c>
    </row>
    <row r="1257" spans="34:34" ht="12.75">
      <c r="AH1257" s="419">
        <f t="shared" si="636"/>
        <v>0</v>
      </c>
    </row>
    <row r="1258" spans="34:34" ht="12.75">
      <c r="AH1258" s="419">
        <f t="shared" si="636"/>
        <v>0</v>
      </c>
    </row>
    <row r="1259" spans="34:34" ht="12.75">
      <c r="AH1259" s="419">
        <f t="shared" si="636"/>
        <v>0</v>
      </c>
    </row>
    <row r="1260" spans="34:34" ht="12.75">
      <c r="AH1260" s="419">
        <f t="shared" si="636"/>
        <v>0</v>
      </c>
    </row>
    <row r="1261" spans="34:34" ht="12.75">
      <c r="AH1261" s="419">
        <f t="shared" si="636"/>
        <v>0</v>
      </c>
    </row>
    <row r="1262" spans="34:34" ht="12.75">
      <c r="AH1262" s="419">
        <f t="shared" si="636"/>
        <v>0</v>
      </c>
    </row>
    <row r="1263" spans="34:34" ht="12.75">
      <c r="AH1263" s="419">
        <f t="shared" si="636"/>
        <v>0</v>
      </c>
    </row>
    <row r="1264" spans="34:34" ht="12.75">
      <c r="AH1264" s="419">
        <f t="shared" si="636"/>
        <v>0</v>
      </c>
    </row>
    <row r="1265" spans="34:34" ht="12.75">
      <c r="AH1265" s="419">
        <f t="shared" si="636"/>
        <v>0</v>
      </c>
    </row>
    <row r="1266" spans="34:34" ht="12.75">
      <c r="AH1266" s="419">
        <f t="shared" si="636"/>
        <v>0</v>
      </c>
    </row>
    <row r="1267" spans="34:34" ht="12.75">
      <c r="AH1267" s="419">
        <f t="shared" si="636"/>
        <v>0</v>
      </c>
    </row>
    <row r="1268" spans="34:34" ht="12.75">
      <c r="AH1268" s="419">
        <f t="shared" si="636"/>
        <v>0</v>
      </c>
    </row>
    <row r="1269" spans="34:34" ht="12.75">
      <c r="AH1269" s="419">
        <f t="shared" si="636"/>
        <v>0</v>
      </c>
    </row>
    <row r="1270" spans="34:34" ht="12.75">
      <c r="AH1270" s="419">
        <f t="shared" si="636"/>
        <v>0</v>
      </c>
    </row>
    <row r="1271" spans="34:34" ht="12.75">
      <c r="AH1271" s="419">
        <f t="shared" si="636"/>
        <v>0</v>
      </c>
    </row>
    <row r="1272" spans="34:34" ht="12.75">
      <c r="AH1272" s="419">
        <f t="shared" si="636"/>
        <v>0</v>
      </c>
    </row>
    <row r="1273" spans="34:34" ht="12.75">
      <c r="AH1273" s="419">
        <f t="shared" si="636"/>
        <v>0</v>
      </c>
    </row>
    <row r="1274" spans="34:34" ht="12.75">
      <c r="AH1274" s="419">
        <f t="shared" si="636"/>
        <v>0</v>
      </c>
    </row>
    <row r="1275" spans="34:34" ht="12.75">
      <c r="AH1275" s="419">
        <f t="shared" si="636"/>
        <v>0</v>
      </c>
    </row>
    <row r="1276" spans="34:34" ht="12.75">
      <c r="AH1276" s="419">
        <f t="shared" si="636"/>
        <v>0</v>
      </c>
    </row>
    <row r="1277" spans="34:34" ht="12.75">
      <c r="AH1277" s="419">
        <f t="shared" si="636"/>
        <v>0</v>
      </c>
    </row>
    <row r="1278" spans="34:34" ht="12.75">
      <c r="AH1278" s="419">
        <f t="shared" si="636"/>
        <v>0</v>
      </c>
    </row>
    <row r="1279" spans="34:34" ht="12.75">
      <c r="AH1279" s="419">
        <f t="shared" si="636"/>
        <v>0</v>
      </c>
    </row>
    <row r="1280" spans="34:34" ht="12.75">
      <c r="AH1280" s="419">
        <f t="shared" si="636"/>
        <v>0</v>
      </c>
    </row>
    <row r="1281" spans="34:34" ht="12.75">
      <c r="AH1281" s="419">
        <f t="shared" si="636"/>
        <v>0</v>
      </c>
    </row>
    <row r="1282" spans="34:34" ht="12.75">
      <c r="AH1282" s="419">
        <f t="shared" ref="AH1282:AH1345" si="637">AG1282-F1282</f>
        <v>0</v>
      </c>
    </row>
    <row r="1283" spans="34:34" ht="12.75">
      <c r="AH1283" s="419">
        <f t="shared" si="637"/>
        <v>0</v>
      </c>
    </row>
    <row r="1284" spans="34:34" ht="12.75">
      <c r="AH1284" s="419">
        <f t="shared" si="637"/>
        <v>0</v>
      </c>
    </row>
    <row r="1285" spans="34:34" ht="12.75">
      <c r="AH1285" s="419">
        <f t="shared" si="637"/>
        <v>0</v>
      </c>
    </row>
    <row r="1286" spans="34:34" ht="12.75">
      <c r="AH1286" s="419">
        <f t="shared" si="637"/>
        <v>0</v>
      </c>
    </row>
    <row r="1287" spans="34:34" ht="12.75">
      <c r="AH1287" s="419">
        <f t="shared" si="637"/>
        <v>0</v>
      </c>
    </row>
    <row r="1288" spans="34:34" ht="12.75">
      <c r="AH1288" s="419">
        <f t="shared" si="637"/>
        <v>0</v>
      </c>
    </row>
    <row r="1289" spans="34:34" ht="12.75">
      <c r="AH1289" s="419">
        <f t="shared" si="637"/>
        <v>0</v>
      </c>
    </row>
    <row r="1290" spans="34:34" ht="12.75">
      <c r="AH1290" s="419">
        <f t="shared" si="637"/>
        <v>0</v>
      </c>
    </row>
    <row r="1291" spans="34:34" ht="12.75">
      <c r="AH1291" s="419">
        <f t="shared" si="637"/>
        <v>0</v>
      </c>
    </row>
    <row r="1292" spans="34:34" ht="12.75">
      <c r="AH1292" s="419">
        <f t="shared" si="637"/>
        <v>0</v>
      </c>
    </row>
    <row r="1293" spans="34:34" ht="12.75">
      <c r="AH1293" s="419">
        <f t="shared" si="637"/>
        <v>0</v>
      </c>
    </row>
    <row r="1294" spans="34:34" ht="12.75">
      <c r="AH1294" s="419">
        <f t="shared" si="637"/>
        <v>0</v>
      </c>
    </row>
    <row r="1295" spans="34:34" ht="12.75">
      <c r="AH1295" s="419">
        <f t="shared" si="637"/>
        <v>0</v>
      </c>
    </row>
    <row r="1296" spans="34:34" ht="12.75">
      <c r="AH1296" s="419">
        <f t="shared" si="637"/>
        <v>0</v>
      </c>
    </row>
    <row r="1297" spans="34:34" ht="12.75">
      <c r="AH1297" s="419">
        <f t="shared" si="637"/>
        <v>0</v>
      </c>
    </row>
    <row r="1298" spans="34:34" ht="12.75">
      <c r="AH1298" s="419">
        <f t="shared" si="637"/>
        <v>0</v>
      </c>
    </row>
    <row r="1299" spans="34:34" ht="12.75">
      <c r="AH1299" s="419">
        <f t="shared" si="637"/>
        <v>0</v>
      </c>
    </row>
    <row r="1300" spans="34:34" ht="12.75">
      <c r="AH1300" s="419">
        <f t="shared" si="637"/>
        <v>0</v>
      </c>
    </row>
    <row r="1301" spans="34:34" ht="12.75">
      <c r="AH1301" s="419">
        <f t="shared" si="637"/>
        <v>0</v>
      </c>
    </row>
    <row r="1302" spans="34:34" ht="12.75">
      <c r="AH1302" s="419">
        <f t="shared" si="637"/>
        <v>0</v>
      </c>
    </row>
    <row r="1303" spans="34:34" ht="12.75">
      <c r="AH1303" s="419">
        <f t="shared" si="637"/>
        <v>0</v>
      </c>
    </row>
    <row r="1304" spans="34:34" ht="12.75">
      <c r="AH1304" s="419">
        <f t="shared" si="637"/>
        <v>0</v>
      </c>
    </row>
    <row r="1305" spans="34:34" ht="12.75">
      <c r="AH1305" s="419">
        <f t="shared" si="637"/>
        <v>0</v>
      </c>
    </row>
    <row r="1306" spans="34:34" ht="12.75">
      <c r="AH1306" s="419">
        <f t="shared" si="637"/>
        <v>0</v>
      </c>
    </row>
    <row r="1307" spans="34:34" ht="12.75">
      <c r="AH1307" s="419">
        <f t="shared" si="637"/>
        <v>0</v>
      </c>
    </row>
    <row r="1308" spans="34:34" ht="12.75">
      <c r="AH1308" s="419">
        <f t="shared" si="637"/>
        <v>0</v>
      </c>
    </row>
    <row r="1309" spans="34:34" ht="12.75">
      <c r="AH1309" s="419">
        <f t="shared" si="637"/>
        <v>0</v>
      </c>
    </row>
    <row r="1310" spans="34:34" ht="12.75">
      <c r="AH1310" s="419">
        <f t="shared" si="637"/>
        <v>0</v>
      </c>
    </row>
    <row r="1311" spans="34:34" ht="12.75">
      <c r="AH1311" s="419">
        <f t="shared" si="637"/>
        <v>0</v>
      </c>
    </row>
    <row r="1312" spans="34:34" ht="12.75">
      <c r="AH1312" s="419">
        <f t="shared" si="637"/>
        <v>0</v>
      </c>
    </row>
    <row r="1313" spans="34:34" ht="12.75">
      <c r="AH1313" s="419">
        <f t="shared" si="637"/>
        <v>0</v>
      </c>
    </row>
    <row r="1314" spans="34:34" ht="12.75">
      <c r="AH1314" s="419">
        <f t="shared" si="637"/>
        <v>0</v>
      </c>
    </row>
    <row r="1315" spans="34:34" ht="12.75">
      <c r="AH1315" s="419">
        <f t="shared" si="637"/>
        <v>0</v>
      </c>
    </row>
    <row r="1316" spans="34:34" ht="12.75">
      <c r="AH1316" s="419">
        <f t="shared" si="637"/>
        <v>0</v>
      </c>
    </row>
    <row r="1317" spans="34:34" ht="12.75">
      <c r="AH1317" s="419">
        <f t="shared" si="637"/>
        <v>0</v>
      </c>
    </row>
    <row r="1318" spans="34:34" ht="12.75">
      <c r="AH1318" s="419">
        <f t="shared" si="637"/>
        <v>0</v>
      </c>
    </row>
    <row r="1319" spans="34:34" ht="12.75">
      <c r="AH1319" s="419">
        <f t="shared" si="637"/>
        <v>0</v>
      </c>
    </row>
    <row r="1320" spans="34:34" ht="12.75">
      <c r="AH1320" s="419">
        <f t="shared" si="637"/>
        <v>0</v>
      </c>
    </row>
    <row r="1321" spans="34:34" ht="12.75">
      <c r="AH1321" s="419">
        <f t="shared" si="637"/>
        <v>0</v>
      </c>
    </row>
    <row r="1322" spans="34:34" ht="12.75">
      <c r="AH1322" s="419">
        <f t="shared" si="637"/>
        <v>0</v>
      </c>
    </row>
    <row r="1323" spans="34:34" ht="12.75">
      <c r="AH1323" s="419">
        <f t="shared" si="637"/>
        <v>0</v>
      </c>
    </row>
    <row r="1324" spans="34:34" ht="12.75">
      <c r="AH1324" s="419">
        <f t="shared" si="637"/>
        <v>0</v>
      </c>
    </row>
    <row r="1325" spans="34:34" ht="12.75">
      <c r="AH1325" s="419">
        <f t="shared" si="637"/>
        <v>0</v>
      </c>
    </row>
    <row r="1326" spans="34:34" ht="12.75">
      <c r="AH1326" s="419">
        <f t="shared" si="637"/>
        <v>0</v>
      </c>
    </row>
    <row r="1327" spans="34:34" ht="12.75">
      <c r="AH1327" s="419">
        <f t="shared" si="637"/>
        <v>0</v>
      </c>
    </row>
    <row r="1328" spans="34:34" ht="12.75">
      <c r="AH1328" s="419">
        <f t="shared" si="637"/>
        <v>0</v>
      </c>
    </row>
    <row r="1329" spans="34:34" ht="12.75">
      <c r="AH1329" s="419">
        <f t="shared" si="637"/>
        <v>0</v>
      </c>
    </row>
    <row r="1330" spans="34:34" ht="12.75">
      <c r="AH1330" s="419">
        <f t="shared" si="637"/>
        <v>0</v>
      </c>
    </row>
    <row r="1331" spans="34:34" ht="12.75">
      <c r="AH1331" s="419">
        <f t="shared" si="637"/>
        <v>0</v>
      </c>
    </row>
    <row r="1332" spans="34:34" ht="12.75">
      <c r="AH1332" s="419">
        <f t="shared" si="637"/>
        <v>0</v>
      </c>
    </row>
    <row r="1333" spans="34:34" ht="12.75">
      <c r="AH1333" s="419">
        <f t="shared" si="637"/>
        <v>0</v>
      </c>
    </row>
    <row r="1334" spans="34:34" ht="12.75">
      <c r="AH1334" s="419">
        <f t="shared" si="637"/>
        <v>0</v>
      </c>
    </row>
    <row r="1335" spans="34:34" ht="12.75">
      <c r="AH1335" s="419">
        <f t="shared" si="637"/>
        <v>0</v>
      </c>
    </row>
    <row r="1336" spans="34:34" ht="12.75">
      <c r="AH1336" s="419">
        <f t="shared" si="637"/>
        <v>0</v>
      </c>
    </row>
    <row r="1337" spans="34:34" ht="12.75">
      <c r="AH1337" s="419">
        <f t="shared" si="637"/>
        <v>0</v>
      </c>
    </row>
    <row r="1338" spans="34:34" ht="12.75">
      <c r="AH1338" s="419">
        <f t="shared" si="637"/>
        <v>0</v>
      </c>
    </row>
    <row r="1339" spans="34:34" ht="12.75">
      <c r="AH1339" s="419">
        <f t="shared" si="637"/>
        <v>0</v>
      </c>
    </row>
    <row r="1340" spans="34:34" ht="12.75">
      <c r="AH1340" s="419">
        <f t="shared" si="637"/>
        <v>0</v>
      </c>
    </row>
    <row r="1341" spans="34:34" ht="12.75">
      <c r="AH1341" s="419">
        <f t="shared" si="637"/>
        <v>0</v>
      </c>
    </row>
    <row r="1342" spans="34:34" ht="12.75">
      <c r="AH1342" s="419">
        <f t="shared" si="637"/>
        <v>0</v>
      </c>
    </row>
    <row r="1343" spans="34:34" ht="12.75">
      <c r="AH1343" s="419">
        <f t="shared" si="637"/>
        <v>0</v>
      </c>
    </row>
    <row r="1344" spans="34:34" ht="12.75">
      <c r="AH1344" s="419">
        <f t="shared" si="637"/>
        <v>0</v>
      </c>
    </row>
    <row r="1345" spans="34:34" ht="12.75">
      <c r="AH1345" s="419">
        <f t="shared" si="637"/>
        <v>0</v>
      </c>
    </row>
    <row r="1346" spans="34:34" ht="12.75">
      <c r="AH1346" s="419">
        <f t="shared" ref="AH1346:AH1409" si="638">AG1346-F1346</f>
        <v>0</v>
      </c>
    </row>
    <row r="1347" spans="34:34" ht="12.75">
      <c r="AH1347" s="419">
        <f t="shared" si="638"/>
        <v>0</v>
      </c>
    </row>
    <row r="1348" spans="34:34" ht="12.75">
      <c r="AH1348" s="419">
        <f t="shared" si="638"/>
        <v>0</v>
      </c>
    </row>
    <row r="1349" spans="34:34" ht="12.75">
      <c r="AH1349" s="419">
        <f t="shared" si="638"/>
        <v>0</v>
      </c>
    </row>
    <row r="1350" spans="34:34" ht="12.75">
      <c r="AH1350" s="419">
        <f t="shared" si="638"/>
        <v>0</v>
      </c>
    </row>
    <row r="1351" spans="34:34" ht="12.75">
      <c r="AH1351" s="419">
        <f t="shared" si="638"/>
        <v>0</v>
      </c>
    </row>
    <row r="1352" spans="34:34" ht="12.75">
      <c r="AH1352" s="419">
        <f t="shared" si="638"/>
        <v>0</v>
      </c>
    </row>
    <row r="1353" spans="34:34" ht="12.75">
      <c r="AH1353" s="419">
        <f t="shared" si="638"/>
        <v>0</v>
      </c>
    </row>
    <row r="1354" spans="34:34" ht="12.75">
      <c r="AH1354" s="419">
        <f t="shared" si="638"/>
        <v>0</v>
      </c>
    </row>
    <row r="1355" spans="34:34" ht="12.75">
      <c r="AH1355" s="419">
        <f t="shared" si="638"/>
        <v>0</v>
      </c>
    </row>
    <row r="1356" spans="34:34" ht="12.75">
      <c r="AH1356" s="419">
        <f t="shared" si="638"/>
        <v>0</v>
      </c>
    </row>
    <row r="1357" spans="34:34" ht="12.75">
      <c r="AH1357" s="419">
        <f t="shared" si="638"/>
        <v>0</v>
      </c>
    </row>
    <row r="1358" spans="34:34" ht="12.75">
      <c r="AH1358" s="419">
        <f t="shared" si="638"/>
        <v>0</v>
      </c>
    </row>
    <row r="1359" spans="34:34" ht="12.75">
      <c r="AH1359" s="419">
        <f t="shared" si="638"/>
        <v>0</v>
      </c>
    </row>
    <row r="1360" spans="34:34" ht="12.75">
      <c r="AH1360" s="419">
        <f t="shared" si="638"/>
        <v>0</v>
      </c>
    </row>
    <row r="1361" spans="34:34" ht="12.75">
      <c r="AH1361" s="419">
        <f t="shared" si="638"/>
        <v>0</v>
      </c>
    </row>
    <row r="1362" spans="34:34" ht="12.75">
      <c r="AH1362" s="419">
        <f t="shared" si="638"/>
        <v>0</v>
      </c>
    </row>
    <row r="1363" spans="34:34" ht="12.75">
      <c r="AH1363" s="419">
        <f t="shared" si="638"/>
        <v>0</v>
      </c>
    </row>
    <row r="1364" spans="34:34" ht="12.75">
      <c r="AH1364" s="419">
        <f t="shared" si="638"/>
        <v>0</v>
      </c>
    </row>
    <row r="1365" spans="34:34" ht="12.75">
      <c r="AH1365" s="419">
        <f t="shared" si="638"/>
        <v>0</v>
      </c>
    </row>
    <row r="1366" spans="34:34" ht="12.75">
      <c r="AH1366" s="419">
        <f t="shared" si="638"/>
        <v>0</v>
      </c>
    </row>
    <row r="1367" spans="34:34" ht="12.75">
      <c r="AH1367" s="419">
        <f t="shared" si="638"/>
        <v>0</v>
      </c>
    </row>
    <row r="1368" spans="34:34" ht="12.75">
      <c r="AH1368" s="419">
        <f t="shared" si="638"/>
        <v>0</v>
      </c>
    </row>
    <row r="1369" spans="34:34" ht="12.75">
      <c r="AH1369" s="419">
        <f t="shared" si="638"/>
        <v>0</v>
      </c>
    </row>
    <row r="1370" spans="34:34" ht="12.75">
      <c r="AH1370" s="419">
        <f t="shared" si="638"/>
        <v>0</v>
      </c>
    </row>
    <row r="1371" spans="34:34" ht="12.75">
      <c r="AH1371" s="419">
        <f t="shared" si="638"/>
        <v>0</v>
      </c>
    </row>
    <row r="1372" spans="34:34" ht="12.75">
      <c r="AH1372" s="419">
        <f t="shared" si="638"/>
        <v>0</v>
      </c>
    </row>
    <row r="1373" spans="34:34" ht="12.75">
      <c r="AH1373" s="419">
        <f t="shared" si="638"/>
        <v>0</v>
      </c>
    </row>
    <row r="1374" spans="34:34" ht="12.75">
      <c r="AH1374" s="419">
        <f t="shared" si="638"/>
        <v>0</v>
      </c>
    </row>
    <row r="1375" spans="34:34" ht="12.75">
      <c r="AH1375" s="419">
        <f t="shared" si="638"/>
        <v>0</v>
      </c>
    </row>
    <row r="1376" spans="34:34" ht="12.75">
      <c r="AH1376" s="419">
        <f t="shared" si="638"/>
        <v>0</v>
      </c>
    </row>
    <row r="1377" spans="34:34" ht="12.75">
      <c r="AH1377" s="419">
        <f t="shared" si="638"/>
        <v>0</v>
      </c>
    </row>
    <row r="1378" spans="34:34" ht="12.75">
      <c r="AH1378" s="419">
        <f t="shared" si="638"/>
        <v>0</v>
      </c>
    </row>
    <row r="1379" spans="34:34" ht="12.75">
      <c r="AH1379" s="419">
        <f t="shared" si="638"/>
        <v>0</v>
      </c>
    </row>
    <row r="1380" spans="34:34" ht="12.75">
      <c r="AH1380" s="419">
        <f t="shared" si="638"/>
        <v>0</v>
      </c>
    </row>
    <row r="1381" spans="34:34" ht="12.75">
      <c r="AH1381" s="419">
        <f t="shared" si="638"/>
        <v>0</v>
      </c>
    </row>
    <row r="1382" spans="34:34" ht="12.75">
      <c r="AH1382" s="419">
        <f t="shared" si="638"/>
        <v>0</v>
      </c>
    </row>
    <row r="1383" spans="34:34" ht="12.75">
      <c r="AH1383" s="419">
        <f t="shared" si="638"/>
        <v>0</v>
      </c>
    </row>
    <row r="1384" spans="34:34" ht="12.75">
      <c r="AH1384" s="419">
        <f t="shared" si="638"/>
        <v>0</v>
      </c>
    </row>
    <row r="1385" spans="34:34" ht="12.75">
      <c r="AH1385" s="419">
        <f t="shared" si="638"/>
        <v>0</v>
      </c>
    </row>
    <row r="1386" spans="34:34" ht="12.75">
      <c r="AH1386" s="419">
        <f t="shared" si="638"/>
        <v>0</v>
      </c>
    </row>
    <row r="1387" spans="34:34" ht="12.75">
      <c r="AH1387" s="419">
        <f t="shared" si="638"/>
        <v>0</v>
      </c>
    </row>
    <row r="1388" spans="34:34" ht="12.75">
      <c r="AH1388" s="419">
        <f t="shared" si="638"/>
        <v>0</v>
      </c>
    </row>
    <row r="1389" spans="34:34" ht="12.75">
      <c r="AH1389" s="419">
        <f t="shared" si="638"/>
        <v>0</v>
      </c>
    </row>
    <row r="1390" spans="34:34" ht="12.75">
      <c r="AH1390" s="419">
        <f t="shared" si="638"/>
        <v>0</v>
      </c>
    </row>
    <row r="1391" spans="34:34" ht="12.75">
      <c r="AH1391" s="419">
        <f t="shared" si="638"/>
        <v>0</v>
      </c>
    </row>
    <row r="1392" spans="34:34" ht="12.75">
      <c r="AH1392" s="419">
        <f t="shared" si="638"/>
        <v>0</v>
      </c>
    </row>
    <row r="1393" spans="34:34" ht="12.75">
      <c r="AH1393" s="419">
        <f t="shared" si="638"/>
        <v>0</v>
      </c>
    </row>
    <row r="1394" spans="34:34" ht="12.75">
      <c r="AH1394" s="419">
        <f t="shared" si="638"/>
        <v>0</v>
      </c>
    </row>
    <row r="1395" spans="34:34" ht="12.75">
      <c r="AH1395" s="419">
        <f t="shared" si="638"/>
        <v>0</v>
      </c>
    </row>
    <row r="1396" spans="34:34" ht="12.75">
      <c r="AH1396" s="419">
        <f t="shared" si="638"/>
        <v>0</v>
      </c>
    </row>
    <row r="1397" spans="34:34" ht="12.75">
      <c r="AH1397" s="419">
        <f t="shared" si="638"/>
        <v>0</v>
      </c>
    </row>
    <row r="1398" spans="34:34" ht="12.75">
      <c r="AH1398" s="419">
        <f t="shared" si="638"/>
        <v>0</v>
      </c>
    </row>
    <row r="1399" spans="34:34" ht="12.75">
      <c r="AH1399" s="419">
        <f t="shared" si="638"/>
        <v>0</v>
      </c>
    </row>
    <row r="1400" spans="34:34" ht="12.75">
      <c r="AH1400" s="419">
        <f t="shared" si="638"/>
        <v>0</v>
      </c>
    </row>
    <row r="1401" spans="34:34" ht="12.75">
      <c r="AH1401" s="419">
        <f t="shared" si="638"/>
        <v>0</v>
      </c>
    </row>
    <row r="1402" spans="34:34" ht="12.75">
      <c r="AH1402" s="419">
        <f t="shared" si="638"/>
        <v>0</v>
      </c>
    </row>
    <row r="1403" spans="34:34" ht="12.75">
      <c r="AH1403" s="419">
        <f t="shared" si="638"/>
        <v>0</v>
      </c>
    </row>
    <row r="1404" spans="34:34" ht="12.75">
      <c r="AH1404" s="419">
        <f t="shared" si="638"/>
        <v>0</v>
      </c>
    </row>
    <row r="1405" spans="34:34" ht="12.75">
      <c r="AH1405" s="419">
        <f t="shared" si="638"/>
        <v>0</v>
      </c>
    </row>
    <row r="1406" spans="34:34" ht="12.75">
      <c r="AH1406" s="419">
        <f t="shared" si="638"/>
        <v>0</v>
      </c>
    </row>
    <row r="1407" spans="34:34" ht="12.75">
      <c r="AH1407" s="419">
        <f t="shared" si="638"/>
        <v>0</v>
      </c>
    </row>
    <row r="1408" spans="34:34" ht="12.75">
      <c r="AH1408" s="419">
        <f t="shared" si="638"/>
        <v>0</v>
      </c>
    </row>
    <row r="1409" spans="34:34" ht="12.75">
      <c r="AH1409" s="419">
        <f t="shared" si="638"/>
        <v>0</v>
      </c>
    </row>
    <row r="1410" spans="34:34" ht="12.75">
      <c r="AH1410" s="419">
        <f t="shared" ref="AH1410:AH1473" si="639">AG1410-F1410</f>
        <v>0</v>
      </c>
    </row>
    <row r="1411" spans="34:34" ht="12.75">
      <c r="AH1411" s="419">
        <f t="shared" si="639"/>
        <v>0</v>
      </c>
    </row>
    <row r="1412" spans="34:34" ht="12.75">
      <c r="AH1412" s="419">
        <f t="shared" si="639"/>
        <v>0</v>
      </c>
    </row>
    <row r="1413" spans="34:34" ht="12.75">
      <c r="AH1413" s="419">
        <f t="shared" si="639"/>
        <v>0</v>
      </c>
    </row>
    <row r="1414" spans="34:34" ht="12.75">
      <c r="AH1414" s="419">
        <f t="shared" si="639"/>
        <v>0</v>
      </c>
    </row>
    <row r="1415" spans="34:34" ht="12.75">
      <c r="AH1415" s="419">
        <f t="shared" si="639"/>
        <v>0</v>
      </c>
    </row>
    <row r="1416" spans="34:34" ht="12.75">
      <c r="AH1416" s="419">
        <f t="shared" si="639"/>
        <v>0</v>
      </c>
    </row>
    <row r="1417" spans="34:34" ht="12.75">
      <c r="AH1417" s="419">
        <f t="shared" si="639"/>
        <v>0</v>
      </c>
    </row>
    <row r="1418" spans="34:34" ht="12.75">
      <c r="AH1418" s="419">
        <f t="shared" si="639"/>
        <v>0</v>
      </c>
    </row>
    <row r="1419" spans="34:34" ht="12.75">
      <c r="AH1419" s="419">
        <f t="shared" si="639"/>
        <v>0</v>
      </c>
    </row>
    <row r="1420" spans="34:34" ht="12.75">
      <c r="AH1420" s="419">
        <f t="shared" si="639"/>
        <v>0</v>
      </c>
    </row>
    <row r="1421" spans="34:34" ht="12.75">
      <c r="AH1421" s="419">
        <f t="shared" si="639"/>
        <v>0</v>
      </c>
    </row>
    <row r="1422" spans="34:34" ht="12.75">
      <c r="AH1422" s="419">
        <f t="shared" si="639"/>
        <v>0</v>
      </c>
    </row>
    <row r="1423" spans="34:34" ht="12.75">
      <c r="AH1423" s="419">
        <f t="shared" si="639"/>
        <v>0</v>
      </c>
    </row>
    <row r="1424" spans="34:34" ht="12.75">
      <c r="AH1424" s="419">
        <f t="shared" si="639"/>
        <v>0</v>
      </c>
    </row>
    <row r="1425" spans="34:34" ht="12.75">
      <c r="AH1425" s="419">
        <f t="shared" si="639"/>
        <v>0</v>
      </c>
    </row>
    <row r="1426" spans="34:34" ht="12.75">
      <c r="AH1426" s="419">
        <f t="shared" si="639"/>
        <v>0</v>
      </c>
    </row>
    <row r="1427" spans="34:34" ht="12.75">
      <c r="AH1427" s="419">
        <f t="shared" si="639"/>
        <v>0</v>
      </c>
    </row>
    <row r="1428" spans="34:34" ht="12.75">
      <c r="AH1428" s="419">
        <f t="shared" si="639"/>
        <v>0</v>
      </c>
    </row>
    <row r="1429" spans="34:34" ht="12.75">
      <c r="AH1429" s="419">
        <f t="shared" si="639"/>
        <v>0</v>
      </c>
    </row>
    <row r="1430" spans="34:34" ht="12.75">
      <c r="AH1430" s="419">
        <f t="shared" si="639"/>
        <v>0</v>
      </c>
    </row>
    <row r="1431" spans="34:34" ht="12.75">
      <c r="AH1431" s="419">
        <f t="shared" si="639"/>
        <v>0</v>
      </c>
    </row>
    <row r="1432" spans="34:34" ht="12.75">
      <c r="AH1432" s="419">
        <f t="shared" si="639"/>
        <v>0</v>
      </c>
    </row>
    <row r="1433" spans="34:34" ht="12.75">
      <c r="AH1433" s="419">
        <f t="shared" si="639"/>
        <v>0</v>
      </c>
    </row>
    <row r="1434" spans="34:34" ht="12.75">
      <c r="AH1434" s="419">
        <f t="shared" si="639"/>
        <v>0</v>
      </c>
    </row>
    <row r="1435" spans="34:34" ht="12.75">
      <c r="AH1435" s="419">
        <f t="shared" si="639"/>
        <v>0</v>
      </c>
    </row>
    <row r="1436" spans="34:34" ht="12.75">
      <c r="AH1436" s="419">
        <f t="shared" si="639"/>
        <v>0</v>
      </c>
    </row>
    <row r="1437" spans="34:34" ht="12.75">
      <c r="AH1437" s="419">
        <f t="shared" si="639"/>
        <v>0</v>
      </c>
    </row>
    <row r="1438" spans="34:34" ht="12.75">
      <c r="AH1438" s="419">
        <f t="shared" si="639"/>
        <v>0</v>
      </c>
    </row>
    <row r="1439" spans="34:34" ht="12.75">
      <c r="AH1439" s="419">
        <f t="shared" si="639"/>
        <v>0</v>
      </c>
    </row>
    <row r="1440" spans="34:34" ht="12.75">
      <c r="AH1440" s="419">
        <f t="shared" si="639"/>
        <v>0</v>
      </c>
    </row>
    <row r="1441" spans="34:34" ht="12.75">
      <c r="AH1441" s="419">
        <f t="shared" si="639"/>
        <v>0</v>
      </c>
    </row>
    <row r="1442" spans="34:34" ht="12.75">
      <c r="AH1442" s="419">
        <f t="shared" si="639"/>
        <v>0</v>
      </c>
    </row>
    <row r="1443" spans="34:34" ht="12.75">
      <c r="AH1443" s="419">
        <f t="shared" si="639"/>
        <v>0</v>
      </c>
    </row>
    <row r="1444" spans="34:34" ht="12.75">
      <c r="AH1444" s="419">
        <f t="shared" si="639"/>
        <v>0</v>
      </c>
    </row>
    <row r="1445" spans="34:34" ht="12.75">
      <c r="AH1445" s="419">
        <f t="shared" si="639"/>
        <v>0</v>
      </c>
    </row>
    <row r="1446" spans="34:34" ht="12.75">
      <c r="AH1446" s="419">
        <f t="shared" si="639"/>
        <v>0</v>
      </c>
    </row>
    <row r="1447" spans="34:34" ht="12.75">
      <c r="AH1447" s="419">
        <f t="shared" si="639"/>
        <v>0</v>
      </c>
    </row>
    <row r="1448" spans="34:34" ht="12.75">
      <c r="AH1448" s="419">
        <f t="shared" si="639"/>
        <v>0</v>
      </c>
    </row>
    <row r="1449" spans="34:34" ht="12.75">
      <c r="AH1449" s="419">
        <f t="shared" si="639"/>
        <v>0</v>
      </c>
    </row>
    <row r="1450" spans="34:34" ht="12.75">
      <c r="AH1450" s="419">
        <f t="shared" si="639"/>
        <v>0</v>
      </c>
    </row>
    <row r="1451" spans="34:34" ht="12.75">
      <c r="AH1451" s="419">
        <f t="shared" si="639"/>
        <v>0</v>
      </c>
    </row>
    <row r="1452" spans="34:34" ht="12.75">
      <c r="AH1452" s="419">
        <f t="shared" si="639"/>
        <v>0</v>
      </c>
    </row>
    <row r="1453" spans="34:34" ht="12.75">
      <c r="AH1453" s="419">
        <f t="shared" si="639"/>
        <v>0</v>
      </c>
    </row>
    <row r="1454" spans="34:34" ht="12.75">
      <c r="AH1454" s="419">
        <f t="shared" si="639"/>
        <v>0</v>
      </c>
    </row>
    <row r="1455" spans="34:34" ht="12.75">
      <c r="AH1455" s="419">
        <f t="shared" si="639"/>
        <v>0</v>
      </c>
    </row>
    <row r="1456" spans="34:34" ht="12.75">
      <c r="AH1456" s="419">
        <f t="shared" si="639"/>
        <v>0</v>
      </c>
    </row>
    <row r="1457" spans="34:34" ht="12.75">
      <c r="AH1457" s="419">
        <f t="shared" si="639"/>
        <v>0</v>
      </c>
    </row>
    <row r="1458" spans="34:34" ht="12.75">
      <c r="AH1458" s="419">
        <f t="shared" si="639"/>
        <v>0</v>
      </c>
    </row>
    <row r="1459" spans="34:34" ht="12.75">
      <c r="AH1459" s="419">
        <f t="shared" si="639"/>
        <v>0</v>
      </c>
    </row>
    <row r="1460" spans="34:34" ht="12.75">
      <c r="AH1460" s="419">
        <f t="shared" si="639"/>
        <v>0</v>
      </c>
    </row>
    <row r="1461" spans="34:34" ht="12.75">
      <c r="AH1461" s="419">
        <f t="shared" si="639"/>
        <v>0</v>
      </c>
    </row>
    <row r="1462" spans="34:34" ht="12.75">
      <c r="AH1462" s="419">
        <f t="shared" si="639"/>
        <v>0</v>
      </c>
    </row>
    <row r="1463" spans="34:34" ht="12.75">
      <c r="AH1463" s="419">
        <f t="shared" si="639"/>
        <v>0</v>
      </c>
    </row>
    <row r="1464" spans="34:34" ht="12.75">
      <c r="AH1464" s="419">
        <f t="shared" si="639"/>
        <v>0</v>
      </c>
    </row>
    <row r="1465" spans="34:34" ht="12.75">
      <c r="AH1465" s="419">
        <f t="shared" si="639"/>
        <v>0</v>
      </c>
    </row>
    <row r="1466" spans="34:34" ht="12.75">
      <c r="AH1466" s="419">
        <f t="shared" si="639"/>
        <v>0</v>
      </c>
    </row>
    <row r="1467" spans="34:34" ht="12.75">
      <c r="AH1467" s="419">
        <f t="shared" si="639"/>
        <v>0</v>
      </c>
    </row>
    <row r="1468" spans="34:34" ht="12.75">
      <c r="AH1468" s="419">
        <f t="shared" si="639"/>
        <v>0</v>
      </c>
    </row>
    <row r="1469" spans="34:34" ht="12.75">
      <c r="AH1469" s="419">
        <f t="shared" si="639"/>
        <v>0</v>
      </c>
    </row>
    <row r="1470" spans="34:34" ht="12.75">
      <c r="AH1470" s="419">
        <f t="shared" si="639"/>
        <v>0</v>
      </c>
    </row>
    <row r="1471" spans="34:34" ht="12.75">
      <c r="AH1471" s="419">
        <f t="shared" si="639"/>
        <v>0</v>
      </c>
    </row>
    <row r="1472" spans="34:34" ht="12.75">
      <c r="AH1472" s="419">
        <f t="shared" si="639"/>
        <v>0</v>
      </c>
    </row>
    <row r="1473" spans="34:34" ht="12.75">
      <c r="AH1473" s="419">
        <f t="shared" si="639"/>
        <v>0</v>
      </c>
    </row>
    <row r="1474" spans="34:34" ht="12.75">
      <c r="AH1474" s="419">
        <f t="shared" ref="AH1474:AH1537" si="640">AG1474-F1474</f>
        <v>0</v>
      </c>
    </row>
    <row r="1475" spans="34:34" ht="12.75">
      <c r="AH1475" s="419">
        <f t="shared" si="640"/>
        <v>0</v>
      </c>
    </row>
    <row r="1476" spans="34:34" ht="12.75">
      <c r="AH1476" s="419">
        <f t="shared" si="640"/>
        <v>0</v>
      </c>
    </row>
    <row r="1477" spans="34:34" ht="12.75">
      <c r="AH1477" s="419">
        <f t="shared" si="640"/>
        <v>0</v>
      </c>
    </row>
    <row r="1478" spans="34:34" ht="12.75">
      <c r="AH1478" s="419">
        <f t="shared" si="640"/>
        <v>0</v>
      </c>
    </row>
    <row r="1479" spans="34:34" ht="12.75">
      <c r="AH1479" s="419">
        <f t="shared" si="640"/>
        <v>0</v>
      </c>
    </row>
    <row r="1480" spans="34:34" ht="12.75">
      <c r="AH1480" s="419">
        <f t="shared" si="640"/>
        <v>0</v>
      </c>
    </row>
    <row r="1481" spans="34:34" ht="12.75">
      <c r="AH1481" s="419">
        <f t="shared" si="640"/>
        <v>0</v>
      </c>
    </row>
    <row r="1482" spans="34:34" ht="12.75">
      <c r="AH1482" s="419">
        <f t="shared" si="640"/>
        <v>0</v>
      </c>
    </row>
    <row r="1483" spans="34:34" ht="12.75">
      <c r="AH1483" s="419">
        <f t="shared" si="640"/>
        <v>0</v>
      </c>
    </row>
    <row r="1484" spans="34:34" ht="12.75">
      <c r="AH1484" s="419">
        <f t="shared" si="640"/>
        <v>0</v>
      </c>
    </row>
    <row r="1485" spans="34:34" ht="12.75">
      <c r="AH1485" s="419">
        <f t="shared" si="640"/>
        <v>0</v>
      </c>
    </row>
    <row r="1486" spans="34:34" ht="12.75">
      <c r="AH1486" s="419">
        <f t="shared" si="640"/>
        <v>0</v>
      </c>
    </row>
    <row r="1487" spans="34:34" ht="12.75">
      <c r="AH1487" s="419">
        <f t="shared" si="640"/>
        <v>0</v>
      </c>
    </row>
    <row r="1488" spans="34:34" ht="12.75">
      <c r="AH1488" s="419">
        <f t="shared" si="640"/>
        <v>0</v>
      </c>
    </row>
    <row r="1489" spans="34:34" ht="12.75">
      <c r="AH1489" s="419">
        <f t="shared" si="640"/>
        <v>0</v>
      </c>
    </row>
    <row r="1490" spans="34:34" ht="12.75">
      <c r="AH1490" s="419">
        <f t="shared" si="640"/>
        <v>0</v>
      </c>
    </row>
    <row r="1491" spans="34:34" ht="12.75">
      <c r="AH1491" s="419">
        <f t="shared" si="640"/>
        <v>0</v>
      </c>
    </row>
    <row r="1492" spans="34:34" ht="12.75">
      <c r="AH1492" s="419">
        <f t="shared" si="640"/>
        <v>0</v>
      </c>
    </row>
    <row r="1493" spans="34:34" ht="12.75">
      <c r="AH1493" s="419">
        <f t="shared" si="640"/>
        <v>0</v>
      </c>
    </row>
    <row r="1494" spans="34:34" ht="12.75">
      <c r="AH1494" s="419">
        <f t="shared" si="640"/>
        <v>0</v>
      </c>
    </row>
    <row r="1495" spans="34:34" ht="12.75">
      <c r="AH1495" s="419">
        <f t="shared" si="640"/>
        <v>0</v>
      </c>
    </row>
    <row r="1496" spans="34:34" ht="12.75">
      <c r="AH1496" s="419">
        <f t="shared" si="640"/>
        <v>0</v>
      </c>
    </row>
    <row r="1497" spans="34:34" ht="12.75">
      <c r="AH1497" s="419">
        <f t="shared" si="640"/>
        <v>0</v>
      </c>
    </row>
    <row r="1498" spans="34:34" ht="12.75">
      <c r="AH1498" s="419">
        <f t="shared" si="640"/>
        <v>0</v>
      </c>
    </row>
    <row r="1499" spans="34:34" ht="12.75">
      <c r="AH1499" s="419">
        <f t="shared" si="640"/>
        <v>0</v>
      </c>
    </row>
    <row r="1500" spans="34:34" ht="12.75">
      <c r="AH1500" s="419">
        <f t="shared" si="640"/>
        <v>0</v>
      </c>
    </row>
    <row r="1501" spans="34:34" ht="12.75">
      <c r="AH1501" s="419">
        <f t="shared" si="640"/>
        <v>0</v>
      </c>
    </row>
    <row r="1502" spans="34:34" ht="12.75">
      <c r="AH1502" s="419">
        <f t="shared" si="640"/>
        <v>0</v>
      </c>
    </row>
    <row r="1503" spans="34:34" ht="12.75">
      <c r="AH1503" s="419">
        <f t="shared" si="640"/>
        <v>0</v>
      </c>
    </row>
    <row r="1504" spans="34:34" ht="12.75">
      <c r="AH1504" s="419">
        <f t="shared" si="640"/>
        <v>0</v>
      </c>
    </row>
    <row r="1505" spans="34:34" ht="12.75">
      <c r="AH1505" s="419">
        <f t="shared" si="640"/>
        <v>0</v>
      </c>
    </row>
    <row r="1506" spans="34:34" ht="12.75">
      <c r="AH1506" s="419">
        <f t="shared" si="640"/>
        <v>0</v>
      </c>
    </row>
    <row r="1507" spans="34:34" ht="12.75">
      <c r="AH1507" s="419">
        <f t="shared" si="640"/>
        <v>0</v>
      </c>
    </row>
    <row r="1508" spans="34:34" ht="12.75">
      <c r="AH1508" s="419">
        <f t="shared" si="640"/>
        <v>0</v>
      </c>
    </row>
    <row r="1509" spans="34:34" ht="12.75">
      <c r="AH1509" s="419">
        <f t="shared" si="640"/>
        <v>0</v>
      </c>
    </row>
    <row r="1510" spans="34:34" ht="12.75">
      <c r="AH1510" s="419">
        <f t="shared" si="640"/>
        <v>0</v>
      </c>
    </row>
    <row r="1511" spans="34:34" ht="12.75">
      <c r="AH1511" s="419">
        <f t="shared" si="640"/>
        <v>0</v>
      </c>
    </row>
    <row r="1512" spans="34:34" ht="12.75">
      <c r="AH1512" s="419">
        <f t="shared" si="640"/>
        <v>0</v>
      </c>
    </row>
    <row r="1513" spans="34:34" ht="12.75">
      <c r="AH1513" s="419">
        <f t="shared" si="640"/>
        <v>0</v>
      </c>
    </row>
    <row r="1514" spans="34:34" ht="12.75">
      <c r="AH1514" s="419">
        <f t="shared" si="640"/>
        <v>0</v>
      </c>
    </row>
    <row r="1515" spans="34:34" ht="12.75">
      <c r="AH1515" s="419">
        <f t="shared" si="640"/>
        <v>0</v>
      </c>
    </row>
    <row r="1516" spans="34:34" ht="12.75">
      <c r="AH1516" s="419">
        <f t="shared" si="640"/>
        <v>0</v>
      </c>
    </row>
    <row r="1517" spans="34:34" ht="12.75">
      <c r="AH1517" s="419">
        <f t="shared" si="640"/>
        <v>0</v>
      </c>
    </row>
    <row r="1518" spans="34:34" ht="12.75">
      <c r="AH1518" s="419">
        <f t="shared" si="640"/>
        <v>0</v>
      </c>
    </row>
    <row r="1519" spans="34:34" ht="12.75">
      <c r="AH1519" s="419">
        <f t="shared" si="640"/>
        <v>0</v>
      </c>
    </row>
    <row r="1520" spans="34:34" ht="12.75">
      <c r="AH1520" s="419">
        <f t="shared" si="640"/>
        <v>0</v>
      </c>
    </row>
    <row r="1521" spans="34:34" ht="12.75">
      <c r="AH1521" s="419">
        <f t="shared" si="640"/>
        <v>0</v>
      </c>
    </row>
    <row r="1522" spans="34:34" ht="12.75">
      <c r="AH1522" s="419">
        <f t="shared" si="640"/>
        <v>0</v>
      </c>
    </row>
    <row r="1523" spans="34:34" ht="12.75">
      <c r="AH1523" s="419">
        <f t="shared" si="640"/>
        <v>0</v>
      </c>
    </row>
    <row r="1524" spans="34:34" ht="12.75">
      <c r="AH1524" s="419">
        <f t="shared" si="640"/>
        <v>0</v>
      </c>
    </row>
    <row r="1525" spans="34:34" ht="12.75">
      <c r="AH1525" s="419">
        <f t="shared" si="640"/>
        <v>0</v>
      </c>
    </row>
    <row r="1526" spans="34:34" ht="12.75">
      <c r="AH1526" s="419">
        <f t="shared" si="640"/>
        <v>0</v>
      </c>
    </row>
    <row r="1527" spans="34:34" ht="12.75">
      <c r="AH1527" s="419">
        <f t="shared" si="640"/>
        <v>0</v>
      </c>
    </row>
    <row r="1528" spans="34:34" ht="12.75">
      <c r="AH1528" s="419">
        <f t="shared" si="640"/>
        <v>0</v>
      </c>
    </row>
    <row r="1529" spans="34:34" ht="12.75">
      <c r="AH1529" s="419">
        <f t="shared" si="640"/>
        <v>0</v>
      </c>
    </row>
    <row r="1530" spans="34:34" ht="12.75">
      <c r="AH1530" s="419">
        <f t="shared" si="640"/>
        <v>0</v>
      </c>
    </row>
    <row r="1531" spans="34:34" ht="12.75">
      <c r="AH1531" s="419">
        <f t="shared" si="640"/>
        <v>0</v>
      </c>
    </row>
    <row r="1532" spans="34:34" ht="12.75">
      <c r="AH1532" s="419">
        <f t="shared" si="640"/>
        <v>0</v>
      </c>
    </row>
    <row r="1533" spans="34:34" ht="12.75">
      <c r="AH1533" s="419">
        <f t="shared" si="640"/>
        <v>0</v>
      </c>
    </row>
    <row r="1534" spans="34:34" ht="12.75">
      <c r="AH1534" s="419">
        <f t="shared" si="640"/>
        <v>0</v>
      </c>
    </row>
    <row r="1535" spans="34:34" ht="12.75">
      <c r="AH1535" s="419">
        <f t="shared" si="640"/>
        <v>0</v>
      </c>
    </row>
    <row r="1536" spans="34:34" ht="12.75">
      <c r="AH1536" s="419">
        <f t="shared" si="640"/>
        <v>0</v>
      </c>
    </row>
    <row r="1537" spans="34:34" ht="12.75">
      <c r="AH1537" s="419">
        <f t="shared" si="640"/>
        <v>0</v>
      </c>
    </row>
    <row r="1538" spans="34:34" ht="12.75">
      <c r="AH1538" s="419">
        <f t="shared" ref="AH1538:AH1601" si="641">AG1538-F1538</f>
        <v>0</v>
      </c>
    </row>
    <row r="1539" spans="34:34" ht="12.75">
      <c r="AH1539" s="419">
        <f t="shared" si="641"/>
        <v>0</v>
      </c>
    </row>
    <row r="1540" spans="34:34" ht="12.75">
      <c r="AH1540" s="419">
        <f t="shared" si="641"/>
        <v>0</v>
      </c>
    </row>
    <row r="1541" spans="34:34" ht="12.75">
      <c r="AH1541" s="419">
        <f t="shared" si="641"/>
        <v>0</v>
      </c>
    </row>
    <row r="1542" spans="34:34" ht="12.75">
      <c r="AH1542" s="419">
        <f t="shared" si="641"/>
        <v>0</v>
      </c>
    </row>
    <row r="1543" spans="34:34" ht="12.75">
      <c r="AH1543" s="419">
        <f t="shared" si="641"/>
        <v>0</v>
      </c>
    </row>
    <row r="1544" spans="34:34" ht="12.75">
      <c r="AH1544" s="419">
        <f t="shared" si="641"/>
        <v>0</v>
      </c>
    </row>
    <row r="1545" spans="34:34" ht="12.75">
      <c r="AH1545" s="419">
        <f t="shared" si="641"/>
        <v>0</v>
      </c>
    </row>
    <row r="1546" spans="34:34" ht="12.75">
      <c r="AH1546" s="419">
        <f t="shared" si="641"/>
        <v>0</v>
      </c>
    </row>
    <row r="1547" spans="34:34" ht="12.75">
      <c r="AH1547" s="419">
        <f t="shared" si="641"/>
        <v>0</v>
      </c>
    </row>
    <row r="1548" spans="34:34" ht="12.75">
      <c r="AH1548" s="419">
        <f t="shared" si="641"/>
        <v>0</v>
      </c>
    </row>
    <row r="1549" spans="34:34" ht="12.75">
      <c r="AH1549" s="419">
        <f t="shared" si="641"/>
        <v>0</v>
      </c>
    </row>
    <row r="1550" spans="34:34" ht="12.75">
      <c r="AH1550" s="419">
        <f t="shared" si="641"/>
        <v>0</v>
      </c>
    </row>
    <row r="1551" spans="34:34" ht="12.75">
      <c r="AH1551" s="419">
        <f t="shared" si="641"/>
        <v>0</v>
      </c>
    </row>
    <row r="1552" spans="34:34" ht="12.75">
      <c r="AH1552" s="419">
        <f t="shared" si="641"/>
        <v>0</v>
      </c>
    </row>
    <row r="1553" spans="34:34" ht="12.75">
      <c r="AH1553" s="419">
        <f t="shared" si="641"/>
        <v>0</v>
      </c>
    </row>
    <row r="1554" spans="34:34" ht="12.75">
      <c r="AH1554" s="419">
        <f t="shared" si="641"/>
        <v>0</v>
      </c>
    </row>
    <row r="1555" spans="34:34" ht="12.75">
      <c r="AH1555" s="419">
        <f t="shared" si="641"/>
        <v>0</v>
      </c>
    </row>
    <row r="1556" spans="34:34" ht="12.75">
      <c r="AH1556" s="419">
        <f t="shared" si="641"/>
        <v>0</v>
      </c>
    </row>
    <row r="1557" spans="34:34" ht="12.75">
      <c r="AH1557" s="419">
        <f t="shared" si="641"/>
        <v>0</v>
      </c>
    </row>
    <row r="1558" spans="34:34" ht="12.75">
      <c r="AH1558" s="419">
        <f t="shared" si="641"/>
        <v>0</v>
      </c>
    </row>
    <row r="1559" spans="34:34" ht="12.75">
      <c r="AH1559" s="419">
        <f t="shared" si="641"/>
        <v>0</v>
      </c>
    </row>
    <row r="1560" spans="34:34" ht="12.75">
      <c r="AH1560" s="419">
        <f t="shared" si="641"/>
        <v>0</v>
      </c>
    </row>
    <row r="1561" spans="34:34" ht="12.75">
      <c r="AH1561" s="419">
        <f t="shared" si="641"/>
        <v>0</v>
      </c>
    </row>
    <row r="1562" spans="34:34" ht="12.75">
      <c r="AH1562" s="419">
        <f t="shared" si="641"/>
        <v>0</v>
      </c>
    </row>
    <row r="1563" spans="34:34" ht="12.75">
      <c r="AH1563" s="419">
        <f t="shared" si="641"/>
        <v>0</v>
      </c>
    </row>
    <row r="1564" spans="34:34" ht="12.75">
      <c r="AH1564" s="419">
        <f t="shared" si="641"/>
        <v>0</v>
      </c>
    </row>
    <row r="1565" spans="34:34" ht="12.75">
      <c r="AH1565" s="419">
        <f t="shared" si="641"/>
        <v>0</v>
      </c>
    </row>
    <row r="1566" spans="34:34" ht="12.75">
      <c r="AH1566" s="419">
        <f t="shared" si="641"/>
        <v>0</v>
      </c>
    </row>
    <row r="1567" spans="34:34" ht="12.75">
      <c r="AH1567" s="419">
        <f t="shared" si="641"/>
        <v>0</v>
      </c>
    </row>
    <row r="1568" spans="34:34" ht="12.75">
      <c r="AH1568" s="419">
        <f t="shared" si="641"/>
        <v>0</v>
      </c>
    </row>
    <row r="1569" spans="34:34" ht="12.75">
      <c r="AH1569" s="419">
        <f t="shared" si="641"/>
        <v>0</v>
      </c>
    </row>
    <row r="1570" spans="34:34" ht="12.75">
      <c r="AH1570" s="419">
        <f t="shared" si="641"/>
        <v>0</v>
      </c>
    </row>
    <row r="1571" spans="34:34" ht="12.75">
      <c r="AH1571" s="419">
        <f t="shared" si="641"/>
        <v>0</v>
      </c>
    </row>
    <row r="1572" spans="34:34" ht="12.75">
      <c r="AH1572" s="419">
        <f t="shared" si="641"/>
        <v>0</v>
      </c>
    </row>
    <row r="1573" spans="34:34" ht="12.75">
      <c r="AH1573" s="419">
        <f t="shared" si="641"/>
        <v>0</v>
      </c>
    </row>
    <row r="1574" spans="34:34" ht="12.75">
      <c r="AH1574" s="419">
        <f t="shared" si="641"/>
        <v>0</v>
      </c>
    </row>
    <row r="1575" spans="34:34" ht="12.75">
      <c r="AH1575" s="419">
        <f t="shared" si="641"/>
        <v>0</v>
      </c>
    </row>
    <row r="1576" spans="34:34" ht="12.75">
      <c r="AH1576" s="419">
        <f t="shared" si="641"/>
        <v>0</v>
      </c>
    </row>
    <row r="1577" spans="34:34" ht="12.75">
      <c r="AH1577" s="419">
        <f t="shared" si="641"/>
        <v>0</v>
      </c>
    </row>
    <row r="1578" spans="34:34" ht="12.75">
      <c r="AH1578" s="419">
        <f t="shared" si="641"/>
        <v>0</v>
      </c>
    </row>
    <row r="1579" spans="34:34" ht="12.75">
      <c r="AH1579" s="419">
        <f t="shared" si="641"/>
        <v>0</v>
      </c>
    </row>
    <row r="1580" spans="34:34" ht="12.75">
      <c r="AH1580" s="419">
        <f t="shared" si="641"/>
        <v>0</v>
      </c>
    </row>
    <row r="1581" spans="34:34" ht="12.75">
      <c r="AH1581" s="419">
        <f t="shared" si="641"/>
        <v>0</v>
      </c>
    </row>
    <row r="1582" spans="34:34" ht="12.75">
      <c r="AH1582" s="419">
        <f t="shared" si="641"/>
        <v>0</v>
      </c>
    </row>
    <row r="1583" spans="34:34" ht="12.75">
      <c r="AH1583" s="419">
        <f t="shared" si="641"/>
        <v>0</v>
      </c>
    </row>
    <row r="1584" spans="34:34" ht="12.75">
      <c r="AH1584" s="419">
        <f t="shared" si="641"/>
        <v>0</v>
      </c>
    </row>
    <row r="1585" spans="34:34" ht="12.75">
      <c r="AH1585" s="419">
        <f t="shared" si="641"/>
        <v>0</v>
      </c>
    </row>
    <row r="1586" spans="34:34" ht="12.75">
      <c r="AH1586" s="419">
        <f t="shared" si="641"/>
        <v>0</v>
      </c>
    </row>
    <row r="1587" spans="34:34" ht="12.75">
      <c r="AH1587" s="419">
        <f t="shared" si="641"/>
        <v>0</v>
      </c>
    </row>
    <row r="1588" spans="34:34" ht="12.75">
      <c r="AH1588" s="419">
        <f t="shared" si="641"/>
        <v>0</v>
      </c>
    </row>
    <row r="1589" spans="34:34" ht="12.75">
      <c r="AH1589" s="419">
        <f t="shared" si="641"/>
        <v>0</v>
      </c>
    </row>
    <row r="1590" spans="34:34" ht="12.75">
      <c r="AH1590" s="419">
        <f t="shared" si="641"/>
        <v>0</v>
      </c>
    </row>
    <row r="1591" spans="34:34" ht="12.75">
      <c r="AH1591" s="419">
        <f t="shared" si="641"/>
        <v>0</v>
      </c>
    </row>
    <row r="1592" spans="34:34" ht="12.75">
      <c r="AH1592" s="419">
        <f t="shared" si="641"/>
        <v>0</v>
      </c>
    </row>
    <row r="1593" spans="34:34" ht="12.75">
      <c r="AH1593" s="419">
        <f t="shared" si="641"/>
        <v>0</v>
      </c>
    </row>
    <row r="1594" spans="34:34" ht="12.75">
      <c r="AH1594" s="419">
        <f t="shared" si="641"/>
        <v>0</v>
      </c>
    </row>
    <row r="1595" spans="34:34" ht="12.75">
      <c r="AH1595" s="419">
        <f t="shared" si="641"/>
        <v>0</v>
      </c>
    </row>
    <row r="1596" spans="34:34" ht="12.75">
      <c r="AH1596" s="419">
        <f t="shared" si="641"/>
        <v>0</v>
      </c>
    </row>
    <row r="1597" spans="34:34" ht="12.75">
      <c r="AH1597" s="419">
        <f t="shared" si="641"/>
        <v>0</v>
      </c>
    </row>
    <row r="1598" spans="34:34" ht="12.75">
      <c r="AH1598" s="419">
        <f t="shared" si="641"/>
        <v>0</v>
      </c>
    </row>
    <row r="1599" spans="34:34" ht="12.75">
      <c r="AH1599" s="419">
        <f t="shared" si="641"/>
        <v>0</v>
      </c>
    </row>
    <row r="1600" spans="34:34" ht="12.75">
      <c r="AH1600" s="419">
        <f t="shared" si="641"/>
        <v>0</v>
      </c>
    </row>
    <row r="1601" spans="34:34" ht="12.75">
      <c r="AH1601" s="419">
        <f t="shared" si="641"/>
        <v>0</v>
      </c>
    </row>
    <row r="1602" spans="34:34" ht="12.75">
      <c r="AH1602" s="419">
        <f t="shared" ref="AH1602:AH1665" si="642">AG1602-F1602</f>
        <v>0</v>
      </c>
    </row>
    <row r="1603" spans="34:34" ht="12.75">
      <c r="AH1603" s="419">
        <f t="shared" si="642"/>
        <v>0</v>
      </c>
    </row>
    <row r="1604" spans="34:34" ht="12.75">
      <c r="AH1604" s="419">
        <f t="shared" si="642"/>
        <v>0</v>
      </c>
    </row>
    <row r="1605" spans="34:34" ht="12.75">
      <c r="AH1605" s="419">
        <f t="shared" si="642"/>
        <v>0</v>
      </c>
    </row>
    <row r="1606" spans="34:34" ht="12.75">
      <c r="AH1606" s="419">
        <f t="shared" si="642"/>
        <v>0</v>
      </c>
    </row>
    <row r="1607" spans="34:34" ht="12.75">
      <c r="AH1607" s="419">
        <f t="shared" si="642"/>
        <v>0</v>
      </c>
    </row>
    <row r="1608" spans="34:34" ht="12.75">
      <c r="AH1608" s="419">
        <f t="shared" si="642"/>
        <v>0</v>
      </c>
    </row>
    <row r="1609" spans="34:34" ht="12.75">
      <c r="AH1609" s="419">
        <f t="shared" si="642"/>
        <v>0</v>
      </c>
    </row>
    <row r="1610" spans="34:34" ht="12.75">
      <c r="AH1610" s="419">
        <f t="shared" si="642"/>
        <v>0</v>
      </c>
    </row>
    <row r="1611" spans="34:34" ht="12.75">
      <c r="AH1611" s="419">
        <f t="shared" si="642"/>
        <v>0</v>
      </c>
    </row>
    <row r="1612" spans="34:34" ht="12.75">
      <c r="AH1612" s="419">
        <f t="shared" si="642"/>
        <v>0</v>
      </c>
    </row>
    <row r="1613" spans="34:34" ht="12.75">
      <c r="AH1613" s="419">
        <f t="shared" si="642"/>
        <v>0</v>
      </c>
    </row>
    <row r="1614" spans="34:34" ht="12.75">
      <c r="AH1614" s="419">
        <f t="shared" si="642"/>
        <v>0</v>
      </c>
    </row>
    <row r="1615" spans="34:34" ht="12.75">
      <c r="AH1615" s="419">
        <f t="shared" si="642"/>
        <v>0</v>
      </c>
    </row>
    <row r="1616" spans="34:34" ht="12.75">
      <c r="AH1616" s="419">
        <f t="shared" si="642"/>
        <v>0</v>
      </c>
    </row>
    <row r="1617" spans="34:34" ht="12.75">
      <c r="AH1617" s="419">
        <f t="shared" si="642"/>
        <v>0</v>
      </c>
    </row>
    <row r="1618" spans="34:34" ht="12.75">
      <c r="AH1618" s="419">
        <f t="shared" si="642"/>
        <v>0</v>
      </c>
    </row>
    <row r="1619" spans="34:34" ht="12.75">
      <c r="AH1619" s="419">
        <f t="shared" si="642"/>
        <v>0</v>
      </c>
    </row>
    <row r="1620" spans="34:34" ht="12.75">
      <c r="AH1620" s="419">
        <f t="shared" si="642"/>
        <v>0</v>
      </c>
    </row>
    <row r="1621" spans="34:34" ht="12.75">
      <c r="AH1621" s="419">
        <f t="shared" si="642"/>
        <v>0</v>
      </c>
    </row>
    <row r="1622" spans="34:34" ht="12.75">
      <c r="AH1622" s="419">
        <f t="shared" si="642"/>
        <v>0</v>
      </c>
    </row>
    <row r="1623" spans="34:34" ht="12.75">
      <c r="AH1623" s="419">
        <f t="shared" si="642"/>
        <v>0</v>
      </c>
    </row>
    <row r="1624" spans="34:34" ht="12.75">
      <c r="AH1624" s="419">
        <f t="shared" si="642"/>
        <v>0</v>
      </c>
    </row>
    <row r="1625" spans="34:34" ht="12.75">
      <c r="AH1625" s="419">
        <f t="shared" si="642"/>
        <v>0</v>
      </c>
    </row>
    <row r="1626" spans="34:34" ht="12.75">
      <c r="AH1626" s="419">
        <f t="shared" si="642"/>
        <v>0</v>
      </c>
    </row>
    <row r="1627" spans="34:34" ht="12.75">
      <c r="AH1627" s="419">
        <f t="shared" si="642"/>
        <v>0</v>
      </c>
    </row>
    <row r="1628" spans="34:34" ht="12.75">
      <c r="AH1628" s="419">
        <f t="shared" si="642"/>
        <v>0</v>
      </c>
    </row>
    <row r="1629" spans="34:34" ht="12.75">
      <c r="AH1629" s="419">
        <f t="shared" si="642"/>
        <v>0</v>
      </c>
    </row>
    <row r="1630" spans="34:34" ht="12.75">
      <c r="AH1630" s="419">
        <f t="shared" si="642"/>
        <v>0</v>
      </c>
    </row>
    <row r="1631" spans="34:34" ht="12.75">
      <c r="AH1631" s="419">
        <f t="shared" si="642"/>
        <v>0</v>
      </c>
    </row>
    <row r="1632" spans="34:34" ht="12.75">
      <c r="AH1632" s="419">
        <f t="shared" si="642"/>
        <v>0</v>
      </c>
    </row>
    <row r="1633" spans="34:34" ht="12.75">
      <c r="AH1633" s="419">
        <f t="shared" si="642"/>
        <v>0</v>
      </c>
    </row>
    <row r="1634" spans="34:34" ht="12.75">
      <c r="AH1634" s="419">
        <f t="shared" si="642"/>
        <v>0</v>
      </c>
    </row>
    <row r="1635" spans="34:34" ht="12.75">
      <c r="AH1635" s="419">
        <f t="shared" si="642"/>
        <v>0</v>
      </c>
    </row>
    <row r="1636" spans="34:34" ht="12.75">
      <c r="AH1636" s="419">
        <f t="shared" si="642"/>
        <v>0</v>
      </c>
    </row>
    <row r="1637" spans="34:34" ht="12.75">
      <c r="AH1637" s="419">
        <f t="shared" si="642"/>
        <v>0</v>
      </c>
    </row>
    <row r="1638" spans="34:34" ht="12.75">
      <c r="AH1638" s="419">
        <f t="shared" si="642"/>
        <v>0</v>
      </c>
    </row>
    <row r="1639" spans="34:34" ht="12.75">
      <c r="AH1639" s="419">
        <f t="shared" si="642"/>
        <v>0</v>
      </c>
    </row>
    <row r="1640" spans="34:34" ht="12.75">
      <c r="AH1640" s="419">
        <f t="shared" si="642"/>
        <v>0</v>
      </c>
    </row>
    <row r="1641" spans="34:34" ht="12.75">
      <c r="AH1641" s="419">
        <f t="shared" si="642"/>
        <v>0</v>
      </c>
    </row>
    <row r="1642" spans="34:34" ht="12.75">
      <c r="AH1642" s="419">
        <f t="shared" si="642"/>
        <v>0</v>
      </c>
    </row>
    <row r="1643" spans="34:34" ht="12.75">
      <c r="AH1643" s="419">
        <f t="shared" si="642"/>
        <v>0</v>
      </c>
    </row>
    <row r="1644" spans="34:34" ht="12.75">
      <c r="AH1644" s="419">
        <f t="shared" si="642"/>
        <v>0</v>
      </c>
    </row>
    <row r="1645" spans="34:34" ht="12.75">
      <c r="AH1645" s="419">
        <f t="shared" si="642"/>
        <v>0</v>
      </c>
    </row>
    <row r="1646" spans="34:34" ht="12.75">
      <c r="AH1646" s="419">
        <f t="shared" si="642"/>
        <v>0</v>
      </c>
    </row>
    <row r="1647" spans="34:34" ht="12.75">
      <c r="AH1647" s="419">
        <f t="shared" si="642"/>
        <v>0</v>
      </c>
    </row>
    <row r="1648" spans="34:34" ht="12.75">
      <c r="AH1648" s="419">
        <f t="shared" si="642"/>
        <v>0</v>
      </c>
    </row>
    <row r="1649" spans="34:34" ht="12.75">
      <c r="AH1649" s="419">
        <f t="shared" si="642"/>
        <v>0</v>
      </c>
    </row>
    <row r="1650" spans="34:34" ht="12.75">
      <c r="AH1650" s="419">
        <f t="shared" si="642"/>
        <v>0</v>
      </c>
    </row>
    <row r="1651" spans="34:34" ht="12.75">
      <c r="AH1651" s="419">
        <f t="shared" si="642"/>
        <v>0</v>
      </c>
    </row>
    <row r="1652" spans="34:34" ht="12.75">
      <c r="AH1652" s="419">
        <f t="shared" si="642"/>
        <v>0</v>
      </c>
    </row>
    <row r="1653" spans="34:34" ht="12.75">
      <c r="AH1653" s="419">
        <f t="shared" si="642"/>
        <v>0</v>
      </c>
    </row>
    <row r="1654" spans="34:34" ht="12.75">
      <c r="AH1654" s="419">
        <f t="shared" si="642"/>
        <v>0</v>
      </c>
    </row>
    <row r="1655" spans="34:34" ht="12.75">
      <c r="AH1655" s="419">
        <f t="shared" si="642"/>
        <v>0</v>
      </c>
    </row>
    <row r="1656" spans="34:34" ht="12.75">
      <c r="AH1656" s="419">
        <f t="shared" si="642"/>
        <v>0</v>
      </c>
    </row>
    <row r="1657" spans="34:34" ht="12.75">
      <c r="AH1657" s="419">
        <f t="shared" si="642"/>
        <v>0</v>
      </c>
    </row>
    <row r="1658" spans="34:34" ht="12.75">
      <c r="AH1658" s="419">
        <f t="shared" si="642"/>
        <v>0</v>
      </c>
    </row>
    <row r="1659" spans="34:34" ht="12.75">
      <c r="AH1659" s="419">
        <f t="shared" si="642"/>
        <v>0</v>
      </c>
    </row>
    <row r="1660" spans="34:34" ht="12.75">
      <c r="AH1660" s="419">
        <f t="shared" si="642"/>
        <v>0</v>
      </c>
    </row>
    <row r="1661" spans="34:34" ht="12.75">
      <c r="AH1661" s="419">
        <f t="shared" si="642"/>
        <v>0</v>
      </c>
    </row>
    <row r="1662" spans="34:34" ht="12.75">
      <c r="AH1662" s="419">
        <f t="shared" si="642"/>
        <v>0</v>
      </c>
    </row>
    <row r="1663" spans="34:34" ht="12.75">
      <c r="AH1663" s="419">
        <f t="shared" si="642"/>
        <v>0</v>
      </c>
    </row>
    <row r="1664" spans="34:34" ht="12.75">
      <c r="AH1664" s="419">
        <f t="shared" si="642"/>
        <v>0</v>
      </c>
    </row>
    <row r="1665" spans="34:34" ht="12.75">
      <c r="AH1665" s="419">
        <f t="shared" si="642"/>
        <v>0</v>
      </c>
    </row>
    <row r="1666" spans="34:34" ht="12.75">
      <c r="AH1666" s="419">
        <f t="shared" ref="AH1666:AH1729" si="643">AG1666-F1666</f>
        <v>0</v>
      </c>
    </row>
    <row r="1667" spans="34:34" ht="12.75">
      <c r="AH1667" s="419">
        <f t="shared" si="643"/>
        <v>0</v>
      </c>
    </row>
    <row r="1668" spans="34:34" ht="12.75">
      <c r="AH1668" s="419">
        <f t="shared" si="643"/>
        <v>0</v>
      </c>
    </row>
    <row r="1669" spans="34:34" ht="12.75">
      <c r="AH1669" s="419">
        <f t="shared" si="643"/>
        <v>0</v>
      </c>
    </row>
    <row r="1670" spans="34:34" ht="12.75">
      <c r="AH1670" s="419">
        <f t="shared" si="643"/>
        <v>0</v>
      </c>
    </row>
    <row r="1671" spans="34:34" ht="12.75">
      <c r="AH1671" s="419">
        <f t="shared" si="643"/>
        <v>0</v>
      </c>
    </row>
    <row r="1672" spans="34:34" ht="12.75">
      <c r="AH1672" s="419">
        <f t="shared" si="643"/>
        <v>0</v>
      </c>
    </row>
    <row r="1673" spans="34:34" ht="12.75">
      <c r="AH1673" s="419">
        <f t="shared" si="643"/>
        <v>0</v>
      </c>
    </row>
    <row r="1674" spans="34:34" ht="12.75">
      <c r="AH1674" s="419">
        <f t="shared" si="643"/>
        <v>0</v>
      </c>
    </row>
    <row r="1675" spans="34:34" ht="12.75">
      <c r="AH1675" s="419">
        <f t="shared" si="643"/>
        <v>0</v>
      </c>
    </row>
    <row r="1676" spans="34:34" ht="12.75">
      <c r="AH1676" s="419">
        <f t="shared" si="643"/>
        <v>0</v>
      </c>
    </row>
    <row r="1677" spans="34:34" ht="12.75">
      <c r="AH1677" s="419">
        <f t="shared" si="643"/>
        <v>0</v>
      </c>
    </row>
    <row r="1678" spans="34:34" ht="12.75">
      <c r="AH1678" s="419">
        <f t="shared" si="643"/>
        <v>0</v>
      </c>
    </row>
    <row r="1679" spans="34:34" ht="12.75">
      <c r="AH1679" s="419">
        <f t="shared" si="643"/>
        <v>0</v>
      </c>
    </row>
    <row r="1680" spans="34:34" ht="12.75">
      <c r="AH1680" s="419">
        <f t="shared" si="643"/>
        <v>0</v>
      </c>
    </row>
    <row r="1681" spans="34:34" ht="12.75">
      <c r="AH1681" s="419">
        <f t="shared" si="643"/>
        <v>0</v>
      </c>
    </row>
    <row r="1682" spans="34:34" ht="12.75">
      <c r="AH1682" s="419">
        <f t="shared" si="643"/>
        <v>0</v>
      </c>
    </row>
    <row r="1683" spans="34:34" ht="12.75">
      <c r="AH1683" s="419">
        <f t="shared" si="643"/>
        <v>0</v>
      </c>
    </row>
    <row r="1684" spans="34:34" ht="12.75">
      <c r="AH1684" s="419">
        <f t="shared" si="643"/>
        <v>0</v>
      </c>
    </row>
    <row r="1685" spans="34:34" ht="12.75">
      <c r="AH1685" s="419">
        <f t="shared" si="643"/>
        <v>0</v>
      </c>
    </row>
    <row r="1686" spans="34:34" ht="12.75">
      <c r="AH1686" s="419">
        <f t="shared" si="643"/>
        <v>0</v>
      </c>
    </row>
    <row r="1687" spans="34:34" ht="12.75">
      <c r="AH1687" s="419">
        <f t="shared" si="643"/>
        <v>0</v>
      </c>
    </row>
    <row r="1688" spans="34:34" ht="12.75">
      <c r="AH1688" s="419">
        <f t="shared" si="643"/>
        <v>0</v>
      </c>
    </row>
    <row r="1689" spans="34:34" ht="12.75">
      <c r="AH1689" s="419">
        <f t="shared" si="643"/>
        <v>0</v>
      </c>
    </row>
    <row r="1690" spans="34:34" ht="12.75">
      <c r="AH1690" s="419">
        <f t="shared" si="643"/>
        <v>0</v>
      </c>
    </row>
    <row r="1691" spans="34:34" ht="12.75">
      <c r="AH1691" s="419">
        <f t="shared" si="643"/>
        <v>0</v>
      </c>
    </row>
    <row r="1692" spans="34:34" ht="12.75">
      <c r="AH1692" s="419">
        <f t="shared" si="643"/>
        <v>0</v>
      </c>
    </row>
    <row r="1693" spans="34:34" ht="12.75">
      <c r="AH1693" s="419">
        <f t="shared" si="643"/>
        <v>0</v>
      </c>
    </row>
    <row r="1694" spans="34:34" ht="12.75">
      <c r="AH1694" s="419">
        <f t="shared" si="643"/>
        <v>0</v>
      </c>
    </row>
    <row r="1695" spans="34:34" ht="12.75">
      <c r="AH1695" s="419">
        <f t="shared" si="643"/>
        <v>0</v>
      </c>
    </row>
    <row r="1696" spans="34:34" ht="12.75">
      <c r="AH1696" s="419">
        <f t="shared" si="643"/>
        <v>0</v>
      </c>
    </row>
    <row r="1697" spans="34:34" ht="12.75">
      <c r="AH1697" s="419">
        <f t="shared" si="643"/>
        <v>0</v>
      </c>
    </row>
    <row r="1698" spans="34:34" ht="12.75">
      <c r="AH1698" s="419">
        <f t="shared" si="643"/>
        <v>0</v>
      </c>
    </row>
    <row r="1699" spans="34:34" ht="12.75">
      <c r="AH1699" s="419">
        <f t="shared" si="643"/>
        <v>0</v>
      </c>
    </row>
    <row r="1700" spans="34:34" ht="12.75">
      <c r="AH1700" s="419">
        <f t="shared" si="643"/>
        <v>0</v>
      </c>
    </row>
    <row r="1701" spans="34:34" ht="12.75">
      <c r="AH1701" s="419">
        <f t="shared" si="643"/>
        <v>0</v>
      </c>
    </row>
    <row r="1702" spans="34:34" ht="12.75">
      <c r="AH1702" s="419">
        <f t="shared" si="643"/>
        <v>0</v>
      </c>
    </row>
    <row r="1703" spans="34:34" ht="12.75">
      <c r="AH1703" s="419">
        <f t="shared" si="643"/>
        <v>0</v>
      </c>
    </row>
    <row r="1704" spans="34:34" ht="12.75">
      <c r="AH1704" s="419">
        <f t="shared" si="643"/>
        <v>0</v>
      </c>
    </row>
    <row r="1705" spans="34:34" ht="12.75">
      <c r="AH1705" s="419">
        <f t="shared" si="643"/>
        <v>0</v>
      </c>
    </row>
    <row r="1706" spans="34:34" ht="12.75">
      <c r="AH1706" s="419">
        <f t="shared" si="643"/>
        <v>0</v>
      </c>
    </row>
    <row r="1707" spans="34:34" ht="12.75">
      <c r="AH1707" s="419">
        <f t="shared" si="643"/>
        <v>0</v>
      </c>
    </row>
    <row r="1708" spans="34:34" ht="12.75">
      <c r="AH1708" s="419">
        <f t="shared" si="643"/>
        <v>0</v>
      </c>
    </row>
    <row r="1709" spans="34:34" ht="12.75">
      <c r="AH1709" s="419">
        <f t="shared" si="643"/>
        <v>0</v>
      </c>
    </row>
    <row r="1710" spans="34:34" ht="12.75">
      <c r="AH1710" s="419">
        <f t="shared" si="643"/>
        <v>0</v>
      </c>
    </row>
    <row r="1711" spans="34:34" ht="12.75">
      <c r="AH1711" s="419">
        <f t="shared" si="643"/>
        <v>0</v>
      </c>
    </row>
    <row r="1712" spans="34:34" ht="12.75">
      <c r="AH1712" s="419">
        <f t="shared" si="643"/>
        <v>0</v>
      </c>
    </row>
    <row r="1713" spans="34:34" ht="12.75">
      <c r="AH1713" s="419">
        <f t="shared" si="643"/>
        <v>0</v>
      </c>
    </row>
    <row r="1714" spans="34:34" ht="12.75">
      <c r="AH1714" s="419">
        <f t="shared" si="643"/>
        <v>0</v>
      </c>
    </row>
    <row r="1715" spans="34:34" ht="12.75">
      <c r="AH1715" s="419">
        <f t="shared" si="643"/>
        <v>0</v>
      </c>
    </row>
    <row r="1716" spans="34:34" ht="12.75">
      <c r="AH1716" s="419">
        <f t="shared" si="643"/>
        <v>0</v>
      </c>
    </row>
    <row r="1717" spans="34:34" ht="12.75">
      <c r="AH1717" s="419">
        <f t="shared" si="643"/>
        <v>0</v>
      </c>
    </row>
    <row r="1718" spans="34:34" ht="12.75">
      <c r="AH1718" s="419">
        <f t="shared" si="643"/>
        <v>0</v>
      </c>
    </row>
    <row r="1719" spans="34:34" ht="12.75">
      <c r="AH1719" s="419">
        <f t="shared" si="643"/>
        <v>0</v>
      </c>
    </row>
    <row r="1720" spans="34:34" ht="12.75">
      <c r="AH1720" s="419">
        <f t="shared" si="643"/>
        <v>0</v>
      </c>
    </row>
    <row r="1721" spans="34:34" ht="12.75">
      <c r="AH1721" s="419">
        <f t="shared" si="643"/>
        <v>0</v>
      </c>
    </row>
    <row r="1722" spans="34:34" ht="12.75">
      <c r="AH1722" s="419">
        <f t="shared" si="643"/>
        <v>0</v>
      </c>
    </row>
    <row r="1723" spans="34:34" ht="12.75">
      <c r="AH1723" s="419">
        <f t="shared" si="643"/>
        <v>0</v>
      </c>
    </row>
    <row r="1724" spans="34:34" ht="12.75">
      <c r="AH1724" s="419">
        <f t="shared" si="643"/>
        <v>0</v>
      </c>
    </row>
    <row r="1725" spans="34:34" ht="12.75">
      <c r="AH1725" s="419">
        <f t="shared" si="643"/>
        <v>0</v>
      </c>
    </row>
    <row r="1726" spans="34:34" ht="12.75">
      <c r="AH1726" s="419">
        <f t="shared" si="643"/>
        <v>0</v>
      </c>
    </row>
    <row r="1727" spans="34:34" ht="12.75">
      <c r="AH1727" s="419">
        <f t="shared" si="643"/>
        <v>0</v>
      </c>
    </row>
    <row r="1728" spans="34:34" ht="12.75">
      <c r="AH1728" s="419">
        <f t="shared" si="643"/>
        <v>0</v>
      </c>
    </row>
    <row r="1729" spans="34:34" ht="12.75">
      <c r="AH1729" s="419">
        <f t="shared" si="643"/>
        <v>0</v>
      </c>
    </row>
    <row r="1730" spans="34:34" ht="12.75">
      <c r="AH1730" s="419">
        <f t="shared" ref="AH1730:AH1793" si="644">AG1730-F1730</f>
        <v>0</v>
      </c>
    </row>
    <row r="1731" spans="34:34" ht="12.75">
      <c r="AH1731" s="419">
        <f t="shared" si="644"/>
        <v>0</v>
      </c>
    </row>
    <row r="1732" spans="34:34" ht="12.75">
      <c r="AH1732" s="419">
        <f t="shared" si="644"/>
        <v>0</v>
      </c>
    </row>
    <row r="1733" spans="34:34" ht="12.75">
      <c r="AH1733" s="419">
        <f t="shared" si="644"/>
        <v>0</v>
      </c>
    </row>
    <row r="1734" spans="34:34" ht="12.75">
      <c r="AH1734" s="419">
        <f t="shared" si="644"/>
        <v>0</v>
      </c>
    </row>
    <row r="1735" spans="34:34" ht="12.75">
      <c r="AH1735" s="419">
        <f t="shared" si="644"/>
        <v>0</v>
      </c>
    </row>
    <row r="1736" spans="34:34" ht="12.75">
      <c r="AH1736" s="419">
        <f t="shared" si="644"/>
        <v>0</v>
      </c>
    </row>
    <row r="1737" spans="34:34" ht="12.75">
      <c r="AH1737" s="419">
        <f t="shared" si="644"/>
        <v>0</v>
      </c>
    </row>
    <row r="1738" spans="34:34" ht="12.75">
      <c r="AH1738" s="419">
        <f t="shared" si="644"/>
        <v>0</v>
      </c>
    </row>
    <row r="1739" spans="34:34" ht="12.75">
      <c r="AH1739" s="419">
        <f t="shared" si="644"/>
        <v>0</v>
      </c>
    </row>
    <row r="1740" spans="34:34" ht="12.75">
      <c r="AH1740" s="419">
        <f t="shared" si="644"/>
        <v>0</v>
      </c>
    </row>
    <row r="1741" spans="34:34" ht="12.75">
      <c r="AH1741" s="419">
        <f t="shared" si="644"/>
        <v>0</v>
      </c>
    </row>
    <row r="1742" spans="34:34" ht="12.75">
      <c r="AH1742" s="419">
        <f t="shared" si="644"/>
        <v>0</v>
      </c>
    </row>
    <row r="1743" spans="34:34" ht="12.75">
      <c r="AH1743" s="419">
        <f t="shared" si="644"/>
        <v>0</v>
      </c>
    </row>
    <row r="1744" spans="34:34" ht="12.75">
      <c r="AH1744" s="419">
        <f t="shared" si="644"/>
        <v>0</v>
      </c>
    </row>
    <row r="1745" spans="34:34" ht="12.75">
      <c r="AH1745" s="419">
        <f t="shared" si="644"/>
        <v>0</v>
      </c>
    </row>
    <row r="1746" spans="34:34" ht="12.75">
      <c r="AH1746" s="419">
        <f t="shared" si="644"/>
        <v>0</v>
      </c>
    </row>
    <row r="1747" spans="34:34" ht="12.75">
      <c r="AH1747" s="419">
        <f t="shared" si="644"/>
        <v>0</v>
      </c>
    </row>
    <row r="1748" spans="34:34" ht="12.75">
      <c r="AH1748" s="419">
        <f t="shared" si="644"/>
        <v>0</v>
      </c>
    </row>
    <row r="1749" spans="34:34" ht="12.75">
      <c r="AH1749" s="419">
        <f t="shared" si="644"/>
        <v>0</v>
      </c>
    </row>
    <row r="1750" spans="34:34" ht="12.75">
      <c r="AH1750" s="419">
        <f t="shared" si="644"/>
        <v>0</v>
      </c>
    </row>
    <row r="1751" spans="34:34" ht="12.75">
      <c r="AH1751" s="419">
        <f t="shared" si="644"/>
        <v>0</v>
      </c>
    </row>
    <row r="1752" spans="34:34" ht="12.75">
      <c r="AH1752" s="419">
        <f t="shared" si="644"/>
        <v>0</v>
      </c>
    </row>
    <row r="1753" spans="34:34" ht="12.75">
      <c r="AH1753" s="419">
        <f t="shared" si="644"/>
        <v>0</v>
      </c>
    </row>
    <row r="1754" spans="34:34" ht="12.75">
      <c r="AH1754" s="419">
        <f t="shared" si="644"/>
        <v>0</v>
      </c>
    </row>
    <row r="1755" spans="34:34" ht="12.75">
      <c r="AH1755" s="419">
        <f t="shared" si="644"/>
        <v>0</v>
      </c>
    </row>
    <row r="1756" spans="34:34" ht="12.75">
      <c r="AH1756" s="419">
        <f t="shared" si="644"/>
        <v>0</v>
      </c>
    </row>
    <row r="1757" spans="34:34" ht="12.75">
      <c r="AH1757" s="419">
        <f t="shared" si="644"/>
        <v>0</v>
      </c>
    </row>
    <row r="1758" spans="34:34" ht="12.75">
      <c r="AH1758" s="419">
        <f t="shared" si="644"/>
        <v>0</v>
      </c>
    </row>
    <row r="1759" spans="34:34" ht="12.75">
      <c r="AH1759" s="419">
        <f t="shared" si="644"/>
        <v>0</v>
      </c>
    </row>
    <row r="1760" spans="34:34" ht="12.75">
      <c r="AH1760" s="419">
        <f t="shared" si="644"/>
        <v>0</v>
      </c>
    </row>
    <row r="1761" spans="34:34" ht="12.75">
      <c r="AH1761" s="419">
        <f t="shared" si="644"/>
        <v>0</v>
      </c>
    </row>
    <row r="1762" spans="34:34" ht="12.75">
      <c r="AH1762" s="419">
        <f t="shared" si="644"/>
        <v>0</v>
      </c>
    </row>
    <row r="1763" spans="34:34" ht="12.75">
      <c r="AH1763" s="419">
        <f t="shared" si="644"/>
        <v>0</v>
      </c>
    </row>
    <row r="1764" spans="34:34" ht="12.75">
      <c r="AH1764" s="419">
        <f t="shared" si="644"/>
        <v>0</v>
      </c>
    </row>
    <row r="1765" spans="34:34" ht="12.75">
      <c r="AH1765" s="419">
        <f t="shared" si="644"/>
        <v>0</v>
      </c>
    </row>
    <row r="1766" spans="34:34" ht="12.75">
      <c r="AH1766" s="419">
        <f t="shared" si="644"/>
        <v>0</v>
      </c>
    </row>
    <row r="1767" spans="34:34" ht="12.75">
      <c r="AH1767" s="419">
        <f t="shared" si="644"/>
        <v>0</v>
      </c>
    </row>
    <row r="1768" spans="34:34" ht="12.75">
      <c r="AH1768" s="419">
        <f t="shared" si="644"/>
        <v>0</v>
      </c>
    </row>
    <row r="1769" spans="34:34" ht="12.75">
      <c r="AH1769" s="419">
        <f t="shared" si="644"/>
        <v>0</v>
      </c>
    </row>
    <row r="1770" spans="34:34" ht="12.75">
      <c r="AH1770" s="419">
        <f t="shared" si="644"/>
        <v>0</v>
      </c>
    </row>
    <row r="1771" spans="34:34" ht="12.75">
      <c r="AH1771" s="419">
        <f t="shared" si="644"/>
        <v>0</v>
      </c>
    </row>
    <row r="1772" spans="34:34" ht="12.75">
      <c r="AH1772" s="419">
        <f t="shared" si="644"/>
        <v>0</v>
      </c>
    </row>
    <row r="1773" spans="34:34" ht="12.75">
      <c r="AH1773" s="419">
        <f t="shared" si="644"/>
        <v>0</v>
      </c>
    </row>
    <row r="1774" spans="34:34" ht="12.75">
      <c r="AH1774" s="419">
        <f t="shared" si="644"/>
        <v>0</v>
      </c>
    </row>
    <row r="1775" spans="34:34" ht="12.75">
      <c r="AH1775" s="419">
        <f t="shared" si="644"/>
        <v>0</v>
      </c>
    </row>
    <row r="1776" spans="34:34" ht="12.75">
      <c r="AH1776" s="419">
        <f t="shared" si="644"/>
        <v>0</v>
      </c>
    </row>
    <row r="1777" spans="34:34" ht="12.75">
      <c r="AH1777" s="419">
        <f t="shared" si="644"/>
        <v>0</v>
      </c>
    </row>
    <row r="1778" spans="34:34" ht="12.75">
      <c r="AH1778" s="419">
        <f t="shared" si="644"/>
        <v>0</v>
      </c>
    </row>
    <row r="1779" spans="34:34" ht="12.75">
      <c r="AH1779" s="419">
        <f t="shared" si="644"/>
        <v>0</v>
      </c>
    </row>
    <row r="1780" spans="34:34" ht="12.75">
      <c r="AH1780" s="419">
        <f t="shared" si="644"/>
        <v>0</v>
      </c>
    </row>
    <row r="1781" spans="34:34" ht="12.75">
      <c r="AH1781" s="419">
        <f t="shared" si="644"/>
        <v>0</v>
      </c>
    </row>
    <row r="1782" spans="34:34" ht="12.75">
      <c r="AH1782" s="419">
        <f t="shared" si="644"/>
        <v>0</v>
      </c>
    </row>
    <row r="1783" spans="34:34" ht="12.75">
      <c r="AH1783" s="419">
        <f t="shared" si="644"/>
        <v>0</v>
      </c>
    </row>
    <row r="1784" spans="34:34" ht="12.75">
      <c r="AH1784" s="419">
        <f t="shared" si="644"/>
        <v>0</v>
      </c>
    </row>
    <row r="1785" spans="34:34" ht="12.75">
      <c r="AH1785" s="419">
        <f t="shared" si="644"/>
        <v>0</v>
      </c>
    </row>
    <row r="1786" spans="34:34" ht="12.75">
      <c r="AH1786" s="419">
        <f t="shared" si="644"/>
        <v>0</v>
      </c>
    </row>
    <row r="1787" spans="34:34" ht="12.75">
      <c r="AH1787" s="419">
        <f t="shared" si="644"/>
        <v>0</v>
      </c>
    </row>
    <row r="1788" spans="34:34" ht="12.75">
      <c r="AH1788" s="419">
        <f t="shared" si="644"/>
        <v>0</v>
      </c>
    </row>
    <row r="1789" spans="34:34" ht="12.75">
      <c r="AH1789" s="419">
        <f t="shared" si="644"/>
        <v>0</v>
      </c>
    </row>
    <row r="1790" spans="34:34" ht="12.75">
      <c r="AH1790" s="419">
        <f t="shared" si="644"/>
        <v>0</v>
      </c>
    </row>
    <row r="1791" spans="34:34" ht="12.75">
      <c r="AH1791" s="419">
        <f t="shared" si="644"/>
        <v>0</v>
      </c>
    </row>
    <row r="1792" spans="34:34" ht="12.75">
      <c r="AH1792" s="419">
        <f t="shared" si="644"/>
        <v>0</v>
      </c>
    </row>
    <row r="1793" spans="34:34" ht="12.75">
      <c r="AH1793" s="419">
        <f t="shared" si="644"/>
        <v>0</v>
      </c>
    </row>
    <row r="1794" spans="34:34" ht="12.75">
      <c r="AH1794" s="419">
        <f t="shared" ref="AH1794:AH1857" si="645">AG1794-F1794</f>
        <v>0</v>
      </c>
    </row>
    <row r="1795" spans="34:34" ht="12.75">
      <c r="AH1795" s="419">
        <f t="shared" si="645"/>
        <v>0</v>
      </c>
    </row>
    <row r="1796" spans="34:34" ht="12.75">
      <c r="AH1796" s="419">
        <f t="shared" si="645"/>
        <v>0</v>
      </c>
    </row>
    <row r="1797" spans="34:34" ht="12.75">
      <c r="AH1797" s="419">
        <f t="shared" si="645"/>
        <v>0</v>
      </c>
    </row>
    <row r="1798" spans="34:34" ht="12.75">
      <c r="AH1798" s="419">
        <f t="shared" si="645"/>
        <v>0</v>
      </c>
    </row>
    <row r="1799" spans="34:34" ht="12.75">
      <c r="AH1799" s="419">
        <f t="shared" si="645"/>
        <v>0</v>
      </c>
    </row>
    <row r="1800" spans="34:34" ht="12.75">
      <c r="AH1800" s="419">
        <f t="shared" si="645"/>
        <v>0</v>
      </c>
    </row>
    <row r="1801" spans="34:34" ht="12.75">
      <c r="AH1801" s="419">
        <f t="shared" si="645"/>
        <v>0</v>
      </c>
    </row>
    <row r="1802" spans="34:34" ht="12.75">
      <c r="AH1802" s="419">
        <f t="shared" si="645"/>
        <v>0</v>
      </c>
    </row>
    <row r="1803" spans="34:34" ht="12.75">
      <c r="AH1803" s="419">
        <f t="shared" si="645"/>
        <v>0</v>
      </c>
    </row>
    <row r="1804" spans="34:34" ht="12.75">
      <c r="AH1804" s="419">
        <f t="shared" si="645"/>
        <v>0</v>
      </c>
    </row>
    <row r="1805" spans="34:34" ht="12.75">
      <c r="AH1805" s="419">
        <f t="shared" si="645"/>
        <v>0</v>
      </c>
    </row>
    <row r="1806" spans="34:34" ht="12.75">
      <c r="AH1806" s="419">
        <f t="shared" si="645"/>
        <v>0</v>
      </c>
    </row>
    <row r="1807" spans="34:34" ht="12.75">
      <c r="AH1807" s="419">
        <f t="shared" si="645"/>
        <v>0</v>
      </c>
    </row>
    <row r="1808" spans="34:34" ht="12.75">
      <c r="AH1808" s="419">
        <f t="shared" si="645"/>
        <v>0</v>
      </c>
    </row>
    <row r="1809" spans="34:34" ht="12.75">
      <c r="AH1809" s="419">
        <f t="shared" si="645"/>
        <v>0</v>
      </c>
    </row>
    <row r="1810" spans="34:34" ht="12.75">
      <c r="AH1810" s="419">
        <f t="shared" si="645"/>
        <v>0</v>
      </c>
    </row>
    <row r="1811" spans="34:34" ht="12.75">
      <c r="AH1811" s="419">
        <f t="shared" si="645"/>
        <v>0</v>
      </c>
    </row>
    <row r="1812" spans="34:34" ht="12.75">
      <c r="AH1812" s="419">
        <f t="shared" si="645"/>
        <v>0</v>
      </c>
    </row>
    <row r="1813" spans="34:34" ht="12.75">
      <c r="AH1813" s="419">
        <f t="shared" si="645"/>
        <v>0</v>
      </c>
    </row>
    <row r="1814" spans="34:34" ht="12.75">
      <c r="AH1814" s="419">
        <f t="shared" si="645"/>
        <v>0</v>
      </c>
    </row>
    <row r="1815" spans="34:34" ht="12.75">
      <c r="AH1815" s="419">
        <f t="shared" si="645"/>
        <v>0</v>
      </c>
    </row>
    <row r="1816" spans="34:34" ht="12.75">
      <c r="AH1816" s="419">
        <f t="shared" si="645"/>
        <v>0</v>
      </c>
    </row>
    <row r="1817" spans="34:34" ht="12.75">
      <c r="AH1817" s="419">
        <f t="shared" si="645"/>
        <v>0</v>
      </c>
    </row>
    <row r="1818" spans="34:34" ht="12.75">
      <c r="AH1818" s="419">
        <f t="shared" si="645"/>
        <v>0</v>
      </c>
    </row>
    <row r="1819" spans="34:34" ht="12.75">
      <c r="AH1819" s="419">
        <f t="shared" si="645"/>
        <v>0</v>
      </c>
    </row>
    <row r="1820" spans="34:34" ht="12.75">
      <c r="AH1820" s="419">
        <f t="shared" si="645"/>
        <v>0</v>
      </c>
    </row>
    <row r="1821" spans="34:34" ht="12.75">
      <c r="AH1821" s="419">
        <f t="shared" si="645"/>
        <v>0</v>
      </c>
    </row>
    <row r="1822" spans="34:34" ht="12.75">
      <c r="AH1822" s="419">
        <f t="shared" si="645"/>
        <v>0</v>
      </c>
    </row>
    <row r="1823" spans="34:34" ht="12.75">
      <c r="AH1823" s="419">
        <f t="shared" si="645"/>
        <v>0</v>
      </c>
    </row>
    <row r="1824" spans="34:34" ht="12.75">
      <c r="AH1824" s="419">
        <f t="shared" si="645"/>
        <v>0</v>
      </c>
    </row>
    <row r="1825" spans="34:34" ht="12.75">
      <c r="AH1825" s="419">
        <f t="shared" si="645"/>
        <v>0</v>
      </c>
    </row>
    <row r="1826" spans="34:34" ht="12.75">
      <c r="AH1826" s="419">
        <f t="shared" si="645"/>
        <v>0</v>
      </c>
    </row>
    <row r="1827" spans="34:34" ht="12.75">
      <c r="AH1827" s="419">
        <f t="shared" si="645"/>
        <v>0</v>
      </c>
    </row>
    <row r="1828" spans="34:34" ht="12.75">
      <c r="AH1828" s="419">
        <f t="shared" si="645"/>
        <v>0</v>
      </c>
    </row>
    <row r="1829" spans="34:34" ht="12.75">
      <c r="AH1829" s="419">
        <f t="shared" si="645"/>
        <v>0</v>
      </c>
    </row>
    <row r="1830" spans="34:34" ht="12.75">
      <c r="AH1830" s="419">
        <f t="shared" si="645"/>
        <v>0</v>
      </c>
    </row>
    <row r="1831" spans="34:34" ht="12.75">
      <c r="AH1831" s="419">
        <f t="shared" si="645"/>
        <v>0</v>
      </c>
    </row>
    <row r="1832" spans="34:34" ht="12.75">
      <c r="AH1832" s="419">
        <f t="shared" si="645"/>
        <v>0</v>
      </c>
    </row>
    <row r="1833" spans="34:34" ht="12.75">
      <c r="AH1833" s="419">
        <f t="shared" si="645"/>
        <v>0</v>
      </c>
    </row>
    <row r="1834" spans="34:34" ht="12.75">
      <c r="AH1834" s="419">
        <f t="shared" si="645"/>
        <v>0</v>
      </c>
    </row>
    <row r="1835" spans="34:34" ht="12.75">
      <c r="AH1835" s="419">
        <f t="shared" si="645"/>
        <v>0</v>
      </c>
    </row>
    <row r="1836" spans="34:34" ht="12.75">
      <c r="AH1836" s="419">
        <f t="shared" si="645"/>
        <v>0</v>
      </c>
    </row>
    <row r="1837" spans="34:34" ht="12.75">
      <c r="AH1837" s="419">
        <f t="shared" si="645"/>
        <v>0</v>
      </c>
    </row>
    <row r="1838" spans="34:34" ht="12.75">
      <c r="AH1838" s="419">
        <f t="shared" si="645"/>
        <v>0</v>
      </c>
    </row>
    <row r="1839" spans="34:34" ht="12.75">
      <c r="AH1839" s="419">
        <f t="shared" si="645"/>
        <v>0</v>
      </c>
    </row>
    <row r="1840" spans="34:34" ht="12.75">
      <c r="AH1840" s="419">
        <f t="shared" si="645"/>
        <v>0</v>
      </c>
    </row>
    <row r="1841" spans="34:34" ht="12.75">
      <c r="AH1841" s="419">
        <f t="shared" si="645"/>
        <v>0</v>
      </c>
    </row>
    <row r="1842" spans="34:34" ht="12.75">
      <c r="AH1842" s="419">
        <f t="shared" si="645"/>
        <v>0</v>
      </c>
    </row>
    <row r="1843" spans="34:34" ht="12.75">
      <c r="AH1843" s="419">
        <f t="shared" si="645"/>
        <v>0</v>
      </c>
    </row>
    <row r="1844" spans="34:34" ht="12.75">
      <c r="AH1844" s="419">
        <f t="shared" si="645"/>
        <v>0</v>
      </c>
    </row>
    <row r="1845" spans="34:34" ht="12.75">
      <c r="AH1845" s="419">
        <f t="shared" si="645"/>
        <v>0</v>
      </c>
    </row>
    <row r="1846" spans="34:34" ht="12.75">
      <c r="AH1846" s="419">
        <f t="shared" si="645"/>
        <v>0</v>
      </c>
    </row>
    <row r="1847" spans="34:34" ht="12.75">
      <c r="AH1847" s="419">
        <f t="shared" si="645"/>
        <v>0</v>
      </c>
    </row>
    <row r="1848" spans="34:34" ht="12.75">
      <c r="AH1848" s="419">
        <f t="shared" si="645"/>
        <v>0</v>
      </c>
    </row>
    <row r="1849" spans="34:34" ht="12.75">
      <c r="AH1849" s="419">
        <f t="shared" si="645"/>
        <v>0</v>
      </c>
    </row>
    <row r="1850" spans="34:34" ht="12.75">
      <c r="AH1850" s="419">
        <f t="shared" si="645"/>
        <v>0</v>
      </c>
    </row>
    <row r="1851" spans="34:34" ht="12.75">
      <c r="AH1851" s="419">
        <f t="shared" si="645"/>
        <v>0</v>
      </c>
    </row>
    <row r="1852" spans="34:34" ht="12.75">
      <c r="AH1852" s="419">
        <f t="shared" si="645"/>
        <v>0</v>
      </c>
    </row>
    <row r="1853" spans="34:34" ht="12.75">
      <c r="AH1853" s="419">
        <f t="shared" si="645"/>
        <v>0</v>
      </c>
    </row>
    <row r="1854" spans="34:34" ht="12.75">
      <c r="AH1854" s="419">
        <f t="shared" si="645"/>
        <v>0</v>
      </c>
    </row>
    <row r="1855" spans="34:34" ht="12.75">
      <c r="AH1855" s="419">
        <f t="shared" si="645"/>
        <v>0</v>
      </c>
    </row>
    <row r="1856" spans="34:34" ht="12.75">
      <c r="AH1856" s="419">
        <f t="shared" si="645"/>
        <v>0</v>
      </c>
    </row>
    <row r="1857" spans="34:34" ht="12.75">
      <c r="AH1857" s="419">
        <f t="shared" si="645"/>
        <v>0</v>
      </c>
    </row>
    <row r="1858" spans="34:34" ht="12.75">
      <c r="AH1858" s="419">
        <f t="shared" ref="AH1858:AH1921" si="646">AG1858-F1858</f>
        <v>0</v>
      </c>
    </row>
    <row r="1859" spans="34:34" ht="12.75">
      <c r="AH1859" s="419">
        <f t="shared" si="646"/>
        <v>0</v>
      </c>
    </row>
    <row r="1860" spans="34:34" ht="12.75">
      <c r="AH1860" s="419">
        <f t="shared" si="646"/>
        <v>0</v>
      </c>
    </row>
    <row r="1861" spans="34:34" ht="12.75">
      <c r="AH1861" s="419">
        <f t="shared" si="646"/>
        <v>0</v>
      </c>
    </row>
    <row r="1862" spans="34:34" ht="12.75">
      <c r="AH1862" s="419">
        <f t="shared" si="646"/>
        <v>0</v>
      </c>
    </row>
    <row r="1863" spans="34:34" ht="12.75">
      <c r="AH1863" s="419">
        <f t="shared" si="646"/>
        <v>0</v>
      </c>
    </row>
    <row r="1864" spans="34:34" ht="12.75">
      <c r="AH1864" s="419">
        <f t="shared" si="646"/>
        <v>0</v>
      </c>
    </row>
    <row r="1865" spans="34:34" ht="12.75">
      <c r="AH1865" s="419">
        <f t="shared" si="646"/>
        <v>0</v>
      </c>
    </row>
    <row r="1866" spans="34:34" ht="12.75">
      <c r="AH1866" s="419">
        <f t="shared" si="646"/>
        <v>0</v>
      </c>
    </row>
    <row r="1867" spans="34:34" ht="12.75">
      <c r="AH1867" s="419">
        <f t="shared" si="646"/>
        <v>0</v>
      </c>
    </row>
    <row r="1868" spans="34:34" ht="12.75">
      <c r="AH1868" s="419">
        <f t="shared" si="646"/>
        <v>0</v>
      </c>
    </row>
    <row r="1869" spans="34:34" ht="12.75">
      <c r="AH1869" s="419">
        <f t="shared" si="646"/>
        <v>0</v>
      </c>
    </row>
    <row r="1870" spans="34:34" ht="12.75">
      <c r="AH1870" s="419">
        <f t="shared" si="646"/>
        <v>0</v>
      </c>
    </row>
    <row r="1871" spans="34:34" ht="12.75">
      <c r="AH1871" s="419">
        <f t="shared" si="646"/>
        <v>0</v>
      </c>
    </row>
    <row r="1872" spans="34:34" ht="12.75">
      <c r="AH1872" s="419">
        <f t="shared" si="646"/>
        <v>0</v>
      </c>
    </row>
    <row r="1873" spans="34:34" ht="12.75">
      <c r="AH1873" s="419">
        <f t="shared" si="646"/>
        <v>0</v>
      </c>
    </row>
    <row r="1874" spans="34:34" ht="12.75">
      <c r="AH1874" s="419">
        <f t="shared" si="646"/>
        <v>0</v>
      </c>
    </row>
    <row r="1875" spans="34:34" ht="12.75">
      <c r="AH1875" s="419">
        <f t="shared" si="646"/>
        <v>0</v>
      </c>
    </row>
    <row r="1876" spans="34:34" ht="12.75">
      <c r="AH1876" s="419">
        <f t="shared" si="646"/>
        <v>0</v>
      </c>
    </row>
    <row r="1877" spans="34:34" ht="12.75">
      <c r="AH1877" s="419">
        <f t="shared" si="646"/>
        <v>0</v>
      </c>
    </row>
    <row r="1878" spans="34:34" ht="12.75">
      <c r="AH1878" s="419">
        <f t="shared" si="646"/>
        <v>0</v>
      </c>
    </row>
    <row r="1879" spans="34:34" ht="12.75">
      <c r="AH1879" s="419">
        <f t="shared" si="646"/>
        <v>0</v>
      </c>
    </row>
    <row r="1880" spans="34:34" ht="12.75">
      <c r="AH1880" s="419">
        <f t="shared" si="646"/>
        <v>0</v>
      </c>
    </row>
    <row r="1881" spans="34:34" ht="12.75">
      <c r="AH1881" s="419">
        <f t="shared" si="646"/>
        <v>0</v>
      </c>
    </row>
    <row r="1882" spans="34:34" ht="12.75">
      <c r="AH1882" s="419">
        <f t="shared" si="646"/>
        <v>0</v>
      </c>
    </row>
    <row r="1883" spans="34:34" ht="12.75">
      <c r="AH1883" s="419">
        <f t="shared" si="646"/>
        <v>0</v>
      </c>
    </row>
    <row r="1884" spans="34:34" ht="12.75">
      <c r="AH1884" s="419">
        <f t="shared" si="646"/>
        <v>0</v>
      </c>
    </row>
    <row r="1885" spans="34:34" ht="12.75">
      <c r="AH1885" s="419">
        <f t="shared" si="646"/>
        <v>0</v>
      </c>
    </row>
    <row r="1886" spans="34:34" ht="12.75">
      <c r="AH1886" s="419">
        <f t="shared" si="646"/>
        <v>0</v>
      </c>
    </row>
    <row r="1887" spans="34:34" ht="12.75">
      <c r="AH1887" s="419">
        <f t="shared" si="646"/>
        <v>0</v>
      </c>
    </row>
    <row r="1888" spans="34:34" ht="12.75">
      <c r="AH1888" s="419">
        <f t="shared" si="646"/>
        <v>0</v>
      </c>
    </row>
    <row r="1889" spans="34:34" ht="12.75">
      <c r="AH1889" s="419">
        <f t="shared" si="646"/>
        <v>0</v>
      </c>
    </row>
    <row r="1890" spans="34:34" ht="12.75">
      <c r="AH1890" s="419">
        <f t="shared" si="646"/>
        <v>0</v>
      </c>
    </row>
    <row r="1891" spans="34:34" ht="12.75">
      <c r="AH1891" s="419">
        <f t="shared" si="646"/>
        <v>0</v>
      </c>
    </row>
    <row r="1892" spans="34:34" ht="12.75">
      <c r="AH1892" s="419">
        <f t="shared" si="646"/>
        <v>0</v>
      </c>
    </row>
    <row r="1893" spans="34:34" ht="12.75">
      <c r="AH1893" s="419">
        <f t="shared" si="646"/>
        <v>0</v>
      </c>
    </row>
    <row r="1894" spans="34:34" ht="12.75">
      <c r="AH1894" s="419">
        <f t="shared" si="646"/>
        <v>0</v>
      </c>
    </row>
    <row r="1895" spans="34:34" ht="12.75">
      <c r="AH1895" s="419">
        <f t="shared" si="646"/>
        <v>0</v>
      </c>
    </row>
    <row r="1896" spans="34:34" ht="12.75">
      <c r="AH1896" s="419">
        <f t="shared" si="646"/>
        <v>0</v>
      </c>
    </row>
    <row r="1897" spans="34:34" ht="12.75">
      <c r="AH1897" s="419">
        <f t="shared" si="646"/>
        <v>0</v>
      </c>
    </row>
    <row r="1898" spans="34:34" ht="12.75">
      <c r="AH1898" s="419">
        <f t="shared" si="646"/>
        <v>0</v>
      </c>
    </row>
    <row r="1899" spans="34:34" ht="12.75">
      <c r="AH1899" s="419">
        <f t="shared" si="646"/>
        <v>0</v>
      </c>
    </row>
    <row r="1900" spans="34:34" ht="12.75">
      <c r="AH1900" s="419">
        <f t="shared" si="646"/>
        <v>0</v>
      </c>
    </row>
    <row r="1901" spans="34:34" ht="12.75">
      <c r="AH1901" s="419">
        <f t="shared" si="646"/>
        <v>0</v>
      </c>
    </row>
    <row r="1902" spans="34:34" ht="12.75">
      <c r="AH1902" s="419">
        <f t="shared" si="646"/>
        <v>0</v>
      </c>
    </row>
    <row r="1903" spans="34:34" ht="12.75">
      <c r="AH1903" s="419">
        <f t="shared" si="646"/>
        <v>0</v>
      </c>
    </row>
    <row r="1904" spans="34:34" ht="12.75">
      <c r="AH1904" s="419">
        <f t="shared" si="646"/>
        <v>0</v>
      </c>
    </row>
    <row r="1905" spans="34:34" ht="12.75">
      <c r="AH1905" s="419">
        <f t="shared" si="646"/>
        <v>0</v>
      </c>
    </row>
    <row r="1906" spans="34:34" ht="12.75">
      <c r="AH1906" s="419">
        <f t="shared" si="646"/>
        <v>0</v>
      </c>
    </row>
    <row r="1907" spans="34:34" ht="12.75">
      <c r="AH1907" s="419">
        <f t="shared" si="646"/>
        <v>0</v>
      </c>
    </row>
    <row r="1908" spans="34:34" ht="12.75">
      <c r="AH1908" s="419">
        <f t="shared" si="646"/>
        <v>0</v>
      </c>
    </row>
    <row r="1909" spans="34:34" ht="12.75">
      <c r="AH1909" s="419">
        <f t="shared" si="646"/>
        <v>0</v>
      </c>
    </row>
    <row r="1910" spans="34:34" ht="12.75">
      <c r="AH1910" s="419">
        <f t="shared" si="646"/>
        <v>0</v>
      </c>
    </row>
    <row r="1911" spans="34:34" ht="12.75">
      <c r="AH1911" s="419">
        <f t="shared" si="646"/>
        <v>0</v>
      </c>
    </row>
    <row r="1912" spans="34:34" ht="12.75">
      <c r="AH1912" s="419">
        <f t="shared" si="646"/>
        <v>0</v>
      </c>
    </row>
    <row r="1913" spans="34:34" ht="12.75">
      <c r="AH1913" s="419">
        <f t="shared" si="646"/>
        <v>0</v>
      </c>
    </row>
    <row r="1914" spans="34:34" ht="12.75">
      <c r="AH1914" s="419">
        <f t="shared" si="646"/>
        <v>0</v>
      </c>
    </row>
    <row r="1915" spans="34:34" ht="12.75">
      <c r="AH1915" s="419">
        <f t="shared" si="646"/>
        <v>0</v>
      </c>
    </row>
    <row r="1916" spans="34:34" ht="12.75">
      <c r="AH1916" s="419">
        <f t="shared" si="646"/>
        <v>0</v>
      </c>
    </row>
    <row r="1917" spans="34:34" ht="12.75">
      <c r="AH1917" s="419">
        <f t="shared" si="646"/>
        <v>0</v>
      </c>
    </row>
    <row r="1918" spans="34:34" ht="12.75">
      <c r="AH1918" s="419">
        <f t="shared" si="646"/>
        <v>0</v>
      </c>
    </row>
    <row r="1919" spans="34:34" ht="12.75">
      <c r="AH1919" s="419">
        <f t="shared" si="646"/>
        <v>0</v>
      </c>
    </row>
    <row r="1920" spans="34:34" ht="12.75">
      <c r="AH1920" s="419">
        <f t="shared" si="646"/>
        <v>0</v>
      </c>
    </row>
    <row r="1921" spans="34:34" ht="12.75">
      <c r="AH1921" s="419">
        <f t="shared" si="646"/>
        <v>0</v>
      </c>
    </row>
    <row r="1922" spans="34:34" ht="12.75">
      <c r="AH1922" s="419">
        <f t="shared" ref="AH1922:AH1985" si="647">AG1922-F1922</f>
        <v>0</v>
      </c>
    </row>
    <row r="1923" spans="34:34" ht="12.75">
      <c r="AH1923" s="419">
        <f t="shared" si="647"/>
        <v>0</v>
      </c>
    </row>
    <row r="1924" spans="34:34" ht="12.75">
      <c r="AH1924" s="419">
        <f t="shared" si="647"/>
        <v>0</v>
      </c>
    </row>
    <row r="1925" spans="34:34" ht="12.75">
      <c r="AH1925" s="419">
        <f t="shared" si="647"/>
        <v>0</v>
      </c>
    </row>
    <row r="1926" spans="34:34" ht="12.75">
      <c r="AH1926" s="419">
        <f t="shared" si="647"/>
        <v>0</v>
      </c>
    </row>
    <row r="1927" spans="34:34" ht="12.75">
      <c r="AH1927" s="419">
        <f t="shared" si="647"/>
        <v>0</v>
      </c>
    </row>
    <row r="1928" spans="34:34" ht="12.75">
      <c r="AH1928" s="419">
        <f t="shared" si="647"/>
        <v>0</v>
      </c>
    </row>
    <row r="1929" spans="34:34" ht="12.75">
      <c r="AH1929" s="419">
        <f t="shared" si="647"/>
        <v>0</v>
      </c>
    </row>
    <row r="1930" spans="34:34" ht="12.75">
      <c r="AH1930" s="419">
        <f t="shared" si="647"/>
        <v>0</v>
      </c>
    </row>
    <row r="1931" spans="34:34" ht="12.75">
      <c r="AH1931" s="419">
        <f t="shared" si="647"/>
        <v>0</v>
      </c>
    </row>
    <row r="1932" spans="34:34" ht="12.75">
      <c r="AH1932" s="419">
        <f t="shared" si="647"/>
        <v>0</v>
      </c>
    </row>
    <row r="1933" spans="34:34" ht="12.75">
      <c r="AH1933" s="419">
        <f t="shared" si="647"/>
        <v>0</v>
      </c>
    </row>
    <row r="1934" spans="34:34" ht="12.75">
      <c r="AH1934" s="419">
        <f t="shared" si="647"/>
        <v>0</v>
      </c>
    </row>
    <row r="1935" spans="34:34" ht="12.75">
      <c r="AH1935" s="419">
        <f t="shared" si="647"/>
        <v>0</v>
      </c>
    </row>
    <row r="1936" spans="34:34" ht="12.75">
      <c r="AH1936" s="419">
        <f t="shared" si="647"/>
        <v>0</v>
      </c>
    </row>
    <row r="1937" spans="34:34" ht="12.75">
      <c r="AH1937" s="419">
        <f t="shared" si="647"/>
        <v>0</v>
      </c>
    </row>
    <row r="1938" spans="34:34" ht="12.75">
      <c r="AH1938" s="419">
        <f t="shared" si="647"/>
        <v>0</v>
      </c>
    </row>
    <row r="1939" spans="34:34" ht="12.75">
      <c r="AH1939" s="419">
        <f t="shared" si="647"/>
        <v>0</v>
      </c>
    </row>
    <row r="1940" spans="34:34" ht="12.75">
      <c r="AH1940" s="419">
        <f t="shared" si="647"/>
        <v>0</v>
      </c>
    </row>
    <row r="1941" spans="34:34" ht="12.75">
      <c r="AH1941" s="419">
        <f t="shared" si="647"/>
        <v>0</v>
      </c>
    </row>
    <row r="1942" spans="34:34" ht="12.75">
      <c r="AH1942" s="419">
        <f t="shared" si="647"/>
        <v>0</v>
      </c>
    </row>
    <row r="1943" spans="34:34" ht="12.75">
      <c r="AH1943" s="419">
        <f t="shared" si="647"/>
        <v>0</v>
      </c>
    </row>
    <row r="1944" spans="34:34" ht="12.75">
      <c r="AH1944" s="419">
        <f t="shared" si="647"/>
        <v>0</v>
      </c>
    </row>
    <row r="1945" spans="34:34" ht="12.75">
      <c r="AH1945" s="419">
        <f t="shared" si="647"/>
        <v>0</v>
      </c>
    </row>
    <row r="1946" spans="34:34" ht="12.75">
      <c r="AH1946" s="419">
        <f t="shared" si="647"/>
        <v>0</v>
      </c>
    </row>
    <row r="1947" spans="34:34" ht="12.75">
      <c r="AH1947" s="419">
        <f t="shared" si="647"/>
        <v>0</v>
      </c>
    </row>
    <row r="1948" spans="34:34" ht="12.75">
      <c r="AH1948" s="419">
        <f t="shared" si="647"/>
        <v>0</v>
      </c>
    </row>
    <row r="1949" spans="34:34" ht="12.75">
      <c r="AH1949" s="419">
        <f t="shared" si="647"/>
        <v>0</v>
      </c>
    </row>
    <row r="1950" spans="34:34" ht="12.75">
      <c r="AH1950" s="419">
        <f t="shared" si="647"/>
        <v>0</v>
      </c>
    </row>
    <row r="1951" spans="34:34" ht="12.75">
      <c r="AH1951" s="419">
        <f t="shared" si="647"/>
        <v>0</v>
      </c>
    </row>
    <row r="1952" spans="34:34" ht="12.75">
      <c r="AH1952" s="419">
        <f t="shared" si="647"/>
        <v>0</v>
      </c>
    </row>
    <row r="1953" spans="34:34" ht="12.75">
      <c r="AH1953" s="419">
        <f t="shared" si="647"/>
        <v>0</v>
      </c>
    </row>
    <row r="1954" spans="34:34" ht="12.75">
      <c r="AH1954" s="419">
        <f t="shared" si="647"/>
        <v>0</v>
      </c>
    </row>
    <row r="1955" spans="34:34" ht="12.75">
      <c r="AH1955" s="419">
        <f t="shared" si="647"/>
        <v>0</v>
      </c>
    </row>
    <row r="1956" spans="34:34" ht="12.75">
      <c r="AH1956" s="419">
        <f t="shared" si="647"/>
        <v>0</v>
      </c>
    </row>
    <row r="1957" spans="34:34" ht="12.75">
      <c r="AH1957" s="419">
        <f t="shared" si="647"/>
        <v>0</v>
      </c>
    </row>
    <row r="1958" spans="34:34" ht="12.75">
      <c r="AH1958" s="419">
        <f t="shared" si="647"/>
        <v>0</v>
      </c>
    </row>
    <row r="1959" spans="34:34" ht="12.75">
      <c r="AH1959" s="419">
        <f t="shared" si="647"/>
        <v>0</v>
      </c>
    </row>
    <row r="1960" spans="34:34" ht="12.75">
      <c r="AH1960" s="419">
        <f t="shared" si="647"/>
        <v>0</v>
      </c>
    </row>
    <row r="1961" spans="34:34" ht="12.75">
      <c r="AH1961" s="419">
        <f t="shared" si="647"/>
        <v>0</v>
      </c>
    </row>
    <row r="1962" spans="34:34" ht="12.75">
      <c r="AH1962" s="419">
        <f t="shared" si="647"/>
        <v>0</v>
      </c>
    </row>
    <row r="1963" spans="34:34" ht="12.75">
      <c r="AH1963" s="419">
        <f t="shared" si="647"/>
        <v>0</v>
      </c>
    </row>
    <row r="1964" spans="34:34" ht="12.75">
      <c r="AH1964" s="419">
        <f t="shared" si="647"/>
        <v>0</v>
      </c>
    </row>
    <row r="1965" spans="34:34" ht="12.75">
      <c r="AH1965" s="419">
        <f t="shared" si="647"/>
        <v>0</v>
      </c>
    </row>
    <row r="1966" spans="34:34" ht="12.75">
      <c r="AH1966" s="419">
        <f t="shared" si="647"/>
        <v>0</v>
      </c>
    </row>
    <row r="1967" spans="34:34" ht="12.75">
      <c r="AH1967" s="419">
        <f t="shared" si="647"/>
        <v>0</v>
      </c>
    </row>
    <row r="1968" spans="34:34" ht="12.75">
      <c r="AH1968" s="419">
        <f t="shared" si="647"/>
        <v>0</v>
      </c>
    </row>
    <row r="1969" spans="34:34" ht="12.75">
      <c r="AH1969" s="419">
        <f t="shared" si="647"/>
        <v>0</v>
      </c>
    </row>
    <row r="1970" spans="34:34" ht="12.75">
      <c r="AH1970" s="419">
        <f t="shared" si="647"/>
        <v>0</v>
      </c>
    </row>
    <row r="1971" spans="34:34" ht="12.75">
      <c r="AH1971" s="419">
        <f t="shared" si="647"/>
        <v>0</v>
      </c>
    </row>
    <row r="1972" spans="34:34" ht="12.75">
      <c r="AH1972" s="419">
        <f t="shared" si="647"/>
        <v>0</v>
      </c>
    </row>
    <row r="1973" spans="34:34" ht="12.75">
      <c r="AH1973" s="419">
        <f t="shared" si="647"/>
        <v>0</v>
      </c>
    </row>
    <row r="1974" spans="34:34" ht="12.75">
      <c r="AH1974" s="419">
        <f t="shared" si="647"/>
        <v>0</v>
      </c>
    </row>
    <row r="1975" spans="34:34" ht="12.75">
      <c r="AH1975" s="419">
        <f t="shared" si="647"/>
        <v>0</v>
      </c>
    </row>
    <row r="1976" spans="34:34" ht="12.75">
      <c r="AH1976" s="419">
        <f t="shared" si="647"/>
        <v>0</v>
      </c>
    </row>
    <row r="1977" spans="34:34" ht="12.75">
      <c r="AH1977" s="419">
        <f t="shared" si="647"/>
        <v>0</v>
      </c>
    </row>
    <row r="1978" spans="34:34" ht="12.75">
      <c r="AH1978" s="419">
        <f t="shared" si="647"/>
        <v>0</v>
      </c>
    </row>
    <row r="1979" spans="34:34" ht="12.75">
      <c r="AH1979" s="419">
        <f t="shared" si="647"/>
        <v>0</v>
      </c>
    </row>
    <row r="1980" spans="34:34" ht="12.75">
      <c r="AH1980" s="419">
        <f t="shared" si="647"/>
        <v>0</v>
      </c>
    </row>
    <row r="1981" spans="34:34" ht="12.75">
      <c r="AH1981" s="419">
        <f t="shared" si="647"/>
        <v>0</v>
      </c>
    </row>
    <row r="1982" spans="34:34" ht="12.75">
      <c r="AH1982" s="419">
        <f t="shared" si="647"/>
        <v>0</v>
      </c>
    </row>
    <row r="1983" spans="34:34" ht="12.75">
      <c r="AH1983" s="419">
        <f t="shared" si="647"/>
        <v>0</v>
      </c>
    </row>
    <row r="1984" spans="34:34" ht="12.75">
      <c r="AH1984" s="419">
        <f t="shared" si="647"/>
        <v>0</v>
      </c>
    </row>
    <row r="1985" spans="34:34" ht="12.75">
      <c r="AH1985" s="419">
        <f t="shared" si="647"/>
        <v>0</v>
      </c>
    </row>
    <row r="1986" spans="34:34" ht="12.75">
      <c r="AH1986" s="419">
        <f t="shared" ref="AH1986:AH2049" si="648">AG1986-F1986</f>
        <v>0</v>
      </c>
    </row>
    <row r="1987" spans="34:34" ht="12.75">
      <c r="AH1987" s="419">
        <f t="shared" si="648"/>
        <v>0</v>
      </c>
    </row>
    <row r="1988" spans="34:34" ht="12.75">
      <c r="AH1988" s="419">
        <f t="shared" si="648"/>
        <v>0</v>
      </c>
    </row>
    <row r="1989" spans="34:34" ht="12.75">
      <c r="AH1989" s="419">
        <f t="shared" si="648"/>
        <v>0</v>
      </c>
    </row>
    <row r="1990" spans="34:34" ht="12.75">
      <c r="AH1990" s="419">
        <f t="shared" si="648"/>
        <v>0</v>
      </c>
    </row>
    <row r="1991" spans="34:34" ht="12.75">
      <c r="AH1991" s="419">
        <f t="shared" si="648"/>
        <v>0</v>
      </c>
    </row>
    <row r="1992" spans="34:34" ht="12.75">
      <c r="AH1992" s="419">
        <f t="shared" si="648"/>
        <v>0</v>
      </c>
    </row>
    <row r="1993" spans="34:34" ht="12.75">
      <c r="AH1993" s="419">
        <f t="shared" si="648"/>
        <v>0</v>
      </c>
    </row>
    <row r="1994" spans="34:34" ht="12.75">
      <c r="AH1994" s="419">
        <f t="shared" si="648"/>
        <v>0</v>
      </c>
    </row>
    <row r="1995" spans="34:34" ht="12.75">
      <c r="AH1995" s="419">
        <f t="shared" si="648"/>
        <v>0</v>
      </c>
    </row>
    <row r="1996" spans="34:34" ht="12.75">
      <c r="AH1996" s="419">
        <f t="shared" si="648"/>
        <v>0</v>
      </c>
    </row>
    <row r="1997" spans="34:34" ht="12.75">
      <c r="AH1997" s="419">
        <f t="shared" si="648"/>
        <v>0</v>
      </c>
    </row>
    <row r="1998" spans="34:34" ht="12.75">
      <c r="AH1998" s="419">
        <f t="shared" si="648"/>
        <v>0</v>
      </c>
    </row>
    <row r="1999" spans="34:34" ht="12.75">
      <c r="AH1999" s="419">
        <f t="shared" si="648"/>
        <v>0</v>
      </c>
    </row>
    <row r="2000" spans="34:34" ht="12.75">
      <c r="AH2000" s="419">
        <f t="shared" si="648"/>
        <v>0</v>
      </c>
    </row>
    <row r="2001" spans="34:34" ht="12.75">
      <c r="AH2001" s="419">
        <f t="shared" si="648"/>
        <v>0</v>
      </c>
    </row>
    <row r="2002" spans="34:34" ht="12.75">
      <c r="AH2002" s="419">
        <f t="shared" si="648"/>
        <v>0</v>
      </c>
    </row>
    <row r="2003" spans="34:34" ht="12.75">
      <c r="AH2003" s="419">
        <f t="shared" si="648"/>
        <v>0</v>
      </c>
    </row>
    <row r="2004" spans="34:34" ht="12.75">
      <c r="AH2004" s="419">
        <f t="shared" si="648"/>
        <v>0</v>
      </c>
    </row>
    <row r="2005" spans="34:34" ht="12.75">
      <c r="AH2005" s="419">
        <f t="shared" si="648"/>
        <v>0</v>
      </c>
    </row>
    <row r="2006" spans="34:34" ht="12.75">
      <c r="AH2006" s="419">
        <f t="shared" si="648"/>
        <v>0</v>
      </c>
    </row>
    <row r="2007" spans="34:34" ht="12.75">
      <c r="AH2007" s="419">
        <f t="shared" si="648"/>
        <v>0</v>
      </c>
    </row>
    <row r="2008" spans="34:34" ht="12.75">
      <c r="AH2008" s="419">
        <f t="shared" si="648"/>
        <v>0</v>
      </c>
    </row>
    <row r="2009" spans="34:34" ht="12.75">
      <c r="AH2009" s="419">
        <f t="shared" si="648"/>
        <v>0</v>
      </c>
    </row>
    <row r="2010" spans="34:34" ht="12.75">
      <c r="AH2010" s="419">
        <f t="shared" si="648"/>
        <v>0</v>
      </c>
    </row>
    <row r="2011" spans="34:34" ht="12.75">
      <c r="AH2011" s="419">
        <f t="shared" si="648"/>
        <v>0</v>
      </c>
    </row>
    <row r="2012" spans="34:34" ht="12.75">
      <c r="AH2012" s="419">
        <f t="shared" si="648"/>
        <v>0</v>
      </c>
    </row>
    <row r="2013" spans="34:34" ht="12.75">
      <c r="AH2013" s="419">
        <f t="shared" si="648"/>
        <v>0</v>
      </c>
    </row>
    <row r="2014" spans="34:34" ht="12.75">
      <c r="AH2014" s="419">
        <f t="shared" si="648"/>
        <v>0</v>
      </c>
    </row>
    <row r="2015" spans="34:34" ht="12.75">
      <c r="AH2015" s="419">
        <f t="shared" si="648"/>
        <v>0</v>
      </c>
    </row>
    <row r="2016" spans="34:34" ht="12.75">
      <c r="AH2016" s="419">
        <f t="shared" si="648"/>
        <v>0</v>
      </c>
    </row>
    <row r="2017" spans="34:34" ht="12.75">
      <c r="AH2017" s="419">
        <f t="shared" si="648"/>
        <v>0</v>
      </c>
    </row>
    <row r="2018" spans="34:34" ht="12.75">
      <c r="AH2018" s="419">
        <f t="shared" si="648"/>
        <v>0</v>
      </c>
    </row>
    <row r="2019" spans="34:34" ht="12.75">
      <c r="AH2019" s="419">
        <f t="shared" si="648"/>
        <v>0</v>
      </c>
    </row>
    <row r="2020" spans="34:34" ht="12.75">
      <c r="AH2020" s="419">
        <f t="shared" si="648"/>
        <v>0</v>
      </c>
    </row>
    <row r="2021" spans="34:34" ht="12.75">
      <c r="AH2021" s="419">
        <f t="shared" si="648"/>
        <v>0</v>
      </c>
    </row>
    <row r="2022" spans="34:34" ht="12.75">
      <c r="AH2022" s="419">
        <f t="shared" si="648"/>
        <v>0</v>
      </c>
    </row>
    <row r="2023" spans="34:34" ht="12.75">
      <c r="AH2023" s="419">
        <f t="shared" si="648"/>
        <v>0</v>
      </c>
    </row>
    <row r="2024" spans="34:34" ht="12.75">
      <c r="AH2024" s="419">
        <f t="shared" si="648"/>
        <v>0</v>
      </c>
    </row>
    <row r="2025" spans="34:34" ht="12.75">
      <c r="AH2025" s="419">
        <f t="shared" si="648"/>
        <v>0</v>
      </c>
    </row>
    <row r="2026" spans="34:34" ht="12.75">
      <c r="AH2026" s="419">
        <f t="shared" si="648"/>
        <v>0</v>
      </c>
    </row>
    <row r="2027" spans="34:34" ht="12.75">
      <c r="AH2027" s="419">
        <f t="shared" si="648"/>
        <v>0</v>
      </c>
    </row>
    <row r="2028" spans="34:34" ht="12.75">
      <c r="AH2028" s="419">
        <f t="shared" si="648"/>
        <v>0</v>
      </c>
    </row>
    <row r="2029" spans="34:34" ht="12.75">
      <c r="AH2029" s="419">
        <f t="shared" si="648"/>
        <v>0</v>
      </c>
    </row>
    <row r="2030" spans="34:34" ht="12.75">
      <c r="AH2030" s="419">
        <f t="shared" si="648"/>
        <v>0</v>
      </c>
    </row>
    <row r="2031" spans="34:34" ht="12.75">
      <c r="AH2031" s="419">
        <f t="shared" si="648"/>
        <v>0</v>
      </c>
    </row>
    <row r="2032" spans="34:34" ht="12.75">
      <c r="AH2032" s="419">
        <f t="shared" si="648"/>
        <v>0</v>
      </c>
    </row>
    <row r="2033" spans="34:34" ht="12.75">
      <c r="AH2033" s="419">
        <f t="shared" si="648"/>
        <v>0</v>
      </c>
    </row>
    <row r="2034" spans="34:34" ht="12.75">
      <c r="AH2034" s="419">
        <f t="shared" si="648"/>
        <v>0</v>
      </c>
    </row>
    <row r="2035" spans="34:34" ht="12.75">
      <c r="AH2035" s="419">
        <f t="shared" si="648"/>
        <v>0</v>
      </c>
    </row>
    <row r="2036" spans="34:34" ht="12.75">
      <c r="AH2036" s="419">
        <f t="shared" si="648"/>
        <v>0</v>
      </c>
    </row>
    <row r="2037" spans="34:34" ht="12.75">
      <c r="AH2037" s="419">
        <f t="shared" si="648"/>
        <v>0</v>
      </c>
    </row>
    <row r="2038" spans="34:34" ht="12.75">
      <c r="AH2038" s="419">
        <f t="shared" si="648"/>
        <v>0</v>
      </c>
    </row>
    <row r="2039" spans="34:34" ht="12.75">
      <c r="AH2039" s="419">
        <f t="shared" si="648"/>
        <v>0</v>
      </c>
    </row>
    <row r="2040" spans="34:34" ht="12.75">
      <c r="AH2040" s="419">
        <f t="shared" si="648"/>
        <v>0</v>
      </c>
    </row>
    <row r="2041" spans="34:34" ht="12.75">
      <c r="AH2041" s="419">
        <f t="shared" si="648"/>
        <v>0</v>
      </c>
    </row>
    <row r="2042" spans="34:34" ht="12.75">
      <c r="AH2042" s="419">
        <f t="shared" si="648"/>
        <v>0</v>
      </c>
    </row>
    <row r="2043" spans="34:34" ht="12.75">
      <c r="AH2043" s="419">
        <f t="shared" si="648"/>
        <v>0</v>
      </c>
    </row>
    <row r="2044" spans="34:34" ht="12.75">
      <c r="AH2044" s="419">
        <f t="shared" si="648"/>
        <v>0</v>
      </c>
    </row>
    <row r="2045" spans="34:34" ht="12.75">
      <c r="AH2045" s="419">
        <f t="shared" si="648"/>
        <v>0</v>
      </c>
    </row>
    <row r="2046" spans="34:34" ht="12.75">
      <c r="AH2046" s="419">
        <f t="shared" si="648"/>
        <v>0</v>
      </c>
    </row>
    <row r="2047" spans="34:34" ht="12.75">
      <c r="AH2047" s="419">
        <f t="shared" si="648"/>
        <v>0</v>
      </c>
    </row>
    <row r="2048" spans="34:34" ht="12.75">
      <c r="AH2048" s="419">
        <f t="shared" si="648"/>
        <v>0</v>
      </c>
    </row>
    <row r="2049" spans="34:34" ht="12.75">
      <c r="AH2049" s="419">
        <f t="shared" si="648"/>
        <v>0</v>
      </c>
    </row>
    <row r="2050" spans="34:34" ht="12.75">
      <c r="AH2050" s="419">
        <f t="shared" ref="AH2050:AH2113" si="649">AG2050-F2050</f>
        <v>0</v>
      </c>
    </row>
    <row r="2051" spans="34:34" ht="12.75">
      <c r="AH2051" s="419">
        <f t="shared" si="649"/>
        <v>0</v>
      </c>
    </row>
    <row r="2052" spans="34:34" ht="12.75">
      <c r="AH2052" s="419">
        <f t="shared" si="649"/>
        <v>0</v>
      </c>
    </row>
    <row r="2053" spans="34:34" ht="12.75">
      <c r="AH2053" s="419">
        <f t="shared" si="649"/>
        <v>0</v>
      </c>
    </row>
    <row r="2054" spans="34:34" ht="12.75">
      <c r="AH2054" s="419">
        <f t="shared" si="649"/>
        <v>0</v>
      </c>
    </row>
    <row r="2055" spans="34:34" ht="12.75">
      <c r="AH2055" s="419">
        <f t="shared" si="649"/>
        <v>0</v>
      </c>
    </row>
    <row r="2056" spans="34:34" ht="12.75">
      <c r="AH2056" s="419">
        <f t="shared" si="649"/>
        <v>0</v>
      </c>
    </row>
    <row r="2057" spans="34:34" ht="12.75">
      <c r="AH2057" s="419">
        <f t="shared" si="649"/>
        <v>0</v>
      </c>
    </row>
    <row r="2058" spans="34:34" ht="12.75">
      <c r="AH2058" s="419">
        <f t="shared" si="649"/>
        <v>0</v>
      </c>
    </row>
    <row r="2059" spans="34:34" ht="12.75">
      <c r="AH2059" s="419">
        <f t="shared" si="649"/>
        <v>0</v>
      </c>
    </row>
    <row r="2060" spans="34:34" ht="12.75">
      <c r="AH2060" s="419">
        <f t="shared" si="649"/>
        <v>0</v>
      </c>
    </row>
    <row r="2061" spans="34:34" ht="12.75">
      <c r="AH2061" s="419">
        <f t="shared" si="649"/>
        <v>0</v>
      </c>
    </row>
    <row r="2062" spans="34:34" ht="12.75">
      <c r="AH2062" s="419">
        <f t="shared" si="649"/>
        <v>0</v>
      </c>
    </row>
    <row r="2063" spans="34:34" ht="12.75">
      <c r="AH2063" s="419">
        <f t="shared" si="649"/>
        <v>0</v>
      </c>
    </row>
    <row r="2064" spans="34:34" ht="12.75">
      <c r="AH2064" s="419">
        <f t="shared" si="649"/>
        <v>0</v>
      </c>
    </row>
    <row r="2065" spans="34:34" ht="12.75">
      <c r="AH2065" s="419">
        <f t="shared" si="649"/>
        <v>0</v>
      </c>
    </row>
    <row r="2066" spans="34:34" ht="12.75">
      <c r="AH2066" s="419">
        <f t="shared" si="649"/>
        <v>0</v>
      </c>
    </row>
    <row r="2067" spans="34:34" ht="12.75">
      <c r="AH2067" s="419">
        <f t="shared" si="649"/>
        <v>0</v>
      </c>
    </row>
    <row r="2068" spans="34:34" ht="12.75">
      <c r="AH2068" s="419">
        <f t="shared" si="649"/>
        <v>0</v>
      </c>
    </row>
    <row r="2069" spans="34:34" ht="12.75">
      <c r="AH2069" s="419">
        <f t="shared" si="649"/>
        <v>0</v>
      </c>
    </row>
    <row r="2070" spans="34:34" ht="12.75">
      <c r="AH2070" s="419">
        <f t="shared" si="649"/>
        <v>0</v>
      </c>
    </row>
    <row r="2071" spans="34:34" ht="12.75">
      <c r="AH2071" s="419">
        <f t="shared" si="649"/>
        <v>0</v>
      </c>
    </row>
    <row r="2072" spans="34:34" ht="12.75">
      <c r="AH2072" s="419">
        <f t="shared" si="649"/>
        <v>0</v>
      </c>
    </row>
    <row r="2073" spans="34:34" ht="12.75">
      <c r="AH2073" s="419">
        <f t="shared" si="649"/>
        <v>0</v>
      </c>
    </row>
    <row r="2074" spans="34:34" ht="12.75">
      <c r="AH2074" s="419">
        <f t="shared" si="649"/>
        <v>0</v>
      </c>
    </row>
    <row r="2075" spans="34:34" ht="12.75">
      <c r="AH2075" s="419">
        <f t="shared" si="649"/>
        <v>0</v>
      </c>
    </row>
    <row r="2076" spans="34:34" ht="12.75">
      <c r="AH2076" s="419">
        <f t="shared" si="649"/>
        <v>0</v>
      </c>
    </row>
    <row r="2077" spans="34:34" ht="12.75">
      <c r="AH2077" s="419">
        <f t="shared" si="649"/>
        <v>0</v>
      </c>
    </row>
    <row r="2078" spans="34:34" ht="12.75">
      <c r="AH2078" s="419">
        <f t="shared" si="649"/>
        <v>0</v>
      </c>
    </row>
    <row r="2079" spans="34:34" ht="12.75">
      <c r="AH2079" s="419">
        <f t="shared" si="649"/>
        <v>0</v>
      </c>
    </row>
    <row r="2080" spans="34:34" ht="12.75">
      <c r="AH2080" s="419">
        <f t="shared" si="649"/>
        <v>0</v>
      </c>
    </row>
    <row r="2081" spans="34:34" ht="12.75">
      <c r="AH2081" s="419">
        <f t="shared" si="649"/>
        <v>0</v>
      </c>
    </row>
    <row r="2082" spans="34:34" ht="12.75">
      <c r="AH2082" s="419">
        <f t="shared" si="649"/>
        <v>0</v>
      </c>
    </row>
    <row r="2083" spans="34:34" ht="12.75">
      <c r="AH2083" s="419">
        <f t="shared" si="649"/>
        <v>0</v>
      </c>
    </row>
    <row r="2084" spans="34:34" ht="12.75">
      <c r="AH2084" s="419">
        <f t="shared" si="649"/>
        <v>0</v>
      </c>
    </row>
    <row r="2085" spans="34:34" ht="12.75">
      <c r="AH2085" s="419">
        <f t="shared" si="649"/>
        <v>0</v>
      </c>
    </row>
    <row r="2086" spans="34:34" ht="12.75">
      <c r="AH2086" s="419">
        <f t="shared" si="649"/>
        <v>0</v>
      </c>
    </row>
    <row r="2087" spans="34:34" ht="12.75">
      <c r="AH2087" s="419">
        <f t="shared" si="649"/>
        <v>0</v>
      </c>
    </row>
    <row r="2088" spans="34:34" ht="12.75">
      <c r="AH2088" s="419">
        <f t="shared" si="649"/>
        <v>0</v>
      </c>
    </row>
    <row r="2089" spans="34:34" ht="12.75">
      <c r="AH2089" s="419">
        <f t="shared" si="649"/>
        <v>0</v>
      </c>
    </row>
    <row r="2090" spans="34:34" ht="12.75">
      <c r="AH2090" s="419">
        <f t="shared" si="649"/>
        <v>0</v>
      </c>
    </row>
    <row r="2091" spans="34:34" ht="12.75">
      <c r="AH2091" s="419">
        <f t="shared" si="649"/>
        <v>0</v>
      </c>
    </row>
    <row r="2092" spans="34:34" ht="12.75">
      <c r="AH2092" s="419">
        <f t="shared" si="649"/>
        <v>0</v>
      </c>
    </row>
    <row r="2093" spans="34:34" ht="12.75">
      <c r="AH2093" s="419">
        <f t="shared" si="649"/>
        <v>0</v>
      </c>
    </row>
    <row r="2094" spans="34:34" ht="12.75">
      <c r="AH2094" s="419">
        <f t="shared" si="649"/>
        <v>0</v>
      </c>
    </row>
    <row r="2095" spans="34:34" ht="12.75">
      <c r="AH2095" s="419">
        <f t="shared" si="649"/>
        <v>0</v>
      </c>
    </row>
    <row r="2096" spans="34:34" ht="12.75">
      <c r="AH2096" s="419">
        <f t="shared" si="649"/>
        <v>0</v>
      </c>
    </row>
    <row r="2097" spans="34:34" ht="12.75">
      <c r="AH2097" s="419">
        <f t="shared" si="649"/>
        <v>0</v>
      </c>
    </row>
    <row r="2098" spans="34:34" ht="12.75">
      <c r="AH2098" s="419">
        <f t="shared" si="649"/>
        <v>0</v>
      </c>
    </row>
    <row r="2099" spans="34:34" ht="12.75">
      <c r="AH2099" s="419">
        <f t="shared" si="649"/>
        <v>0</v>
      </c>
    </row>
    <row r="2100" spans="34:34" ht="12.75">
      <c r="AH2100" s="419">
        <f t="shared" si="649"/>
        <v>0</v>
      </c>
    </row>
    <row r="2101" spans="34:34" ht="12.75">
      <c r="AH2101" s="419">
        <f t="shared" si="649"/>
        <v>0</v>
      </c>
    </row>
    <row r="2102" spans="34:34" ht="12.75">
      <c r="AH2102" s="419">
        <f t="shared" si="649"/>
        <v>0</v>
      </c>
    </row>
    <row r="2103" spans="34:34" ht="12.75">
      <c r="AH2103" s="419">
        <f t="shared" si="649"/>
        <v>0</v>
      </c>
    </row>
    <row r="2104" spans="34:34" ht="12.75">
      <c r="AH2104" s="419">
        <f t="shared" si="649"/>
        <v>0</v>
      </c>
    </row>
    <row r="2105" spans="34:34" ht="12.75">
      <c r="AH2105" s="419">
        <f t="shared" si="649"/>
        <v>0</v>
      </c>
    </row>
    <row r="2106" spans="34:34" ht="12.75">
      <c r="AH2106" s="419">
        <f t="shared" si="649"/>
        <v>0</v>
      </c>
    </row>
    <row r="2107" spans="34:34" ht="12.75">
      <c r="AH2107" s="419">
        <f t="shared" si="649"/>
        <v>0</v>
      </c>
    </row>
    <row r="2108" spans="34:34" ht="12.75">
      <c r="AH2108" s="419">
        <f t="shared" si="649"/>
        <v>0</v>
      </c>
    </row>
    <row r="2109" spans="34:34" ht="12.75">
      <c r="AH2109" s="419">
        <f t="shared" si="649"/>
        <v>0</v>
      </c>
    </row>
    <row r="2110" spans="34:34" ht="12.75">
      <c r="AH2110" s="419">
        <f t="shared" si="649"/>
        <v>0</v>
      </c>
    </row>
    <row r="2111" spans="34:34" ht="12.75">
      <c r="AH2111" s="419">
        <f t="shared" si="649"/>
        <v>0</v>
      </c>
    </row>
    <row r="2112" spans="34:34" ht="12.75">
      <c r="AH2112" s="419">
        <f t="shared" si="649"/>
        <v>0</v>
      </c>
    </row>
    <row r="2113" spans="34:34" ht="12.75">
      <c r="AH2113" s="419">
        <f t="shared" si="649"/>
        <v>0</v>
      </c>
    </row>
    <row r="2114" spans="34:34" ht="12.75">
      <c r="AH2114" s="419">
        <f t="shared" ref="AH2114:AH2177" si="650">AG2114-F2114</f>
        <v>0</v>
      </c>
    </row>
    <row r="2115" spans="34:34" ht="12.75">
      <c r="AH2115" s="419">
        <f t="shared" si="650"/>
        <v>0</v>
      </c>
    </row>
    <row r="2116" spans="34:34" ht="12.75">
      <c r="AH2116" s="419">
        <f t="shared" si="650"/>
        <v>0</v>
      </c>
    </row>
    <row r="2117" spans="34:34" ht="12.75">
      <c r="AH2117" s="419">
        <f t="shared" si="650"/>
        <v>0</v>
      </c>
    </row>
    <row r="2118" spans="34:34" ht="12.75">
      <c r="AH2118" s="419">
        <f t="shared" si="650"/>
        <v>0</v>
      </c>
    </row>
    <row r="2119" spans="34:34" ht="12.75">
      <c r="AH2119" s="419">
        <f t="shared" si="650"/>
        <v>0</v>
      </c>
    </row>
    <row r="2120" spans="34:34" ht="12.75">
      <c r="AH2120" s="419">
        <f t="shared" si="650"/>
        <v>0</v>
      </c>
    </row>
    <row r="2121" spans="34:34" ht="12.75">
      <c r="AH2121" s="419">
        <f t="shared" si="650"/>
        <v>0</v>
      </c>
    </row>
    <row r="2122" spans="34:34" ht="12.75">
      <c r="AH2122" s="419">
        <f t="shared" si="650"/>
        <v>0</v>
      </c>
    </row>
    <row r="2123" spans="34:34" ht="12.75">
      <c r="AH2123" s="419">
        <f t="shared" si="650"/>
        <v>0</v>
      </c>
    </row>
    <row r="2124" spans="34:34" ht="12.75">
      <c r="AH2124" s="419">
        <f t="shared" si="650"/>
        <v>0</v>
      </c>
    </row>
    <row r="2125" spans="34:34" ht="12.75">
      <c r="AH2125" s="419">
        <f t="shared" si="650"/>
        <v>0</v>
      </c>
    </row>
    <row r="2126" spans="34:34" ht="12.75">
      <c r="AH2126" s="419">
        <f t="shared" si="650"/>
        <v>0</v>
      </c>
    </row>
    <row r="2127" spans="34:34" ht="12.75">
      <c r="AH2127" s="419">
        <f t="shared" si="650"/>
        <v>0</v>
      </c>
    </row>
    <row r="2128" spans="34:34" ht="12.75">
      <c r="AH2128" s="419">
        <f t="shared" si="650"/>
        <v>0</v>
      </c>
    </row>
    <row r="2129" spans="34:34" ht="12.75">
      <c r="AH2129" s="419">
        <f t="shared" si="650"/>
        <v>0</v>
      </c>
    </row>
    <row r="2130" spans="34:34" ht="12.75">
      <c r="AH2130" s="419">
        <f t="shared" si="650"/>
        <v>0</v>
      </c>
    </row>
    <row r="2131" spans="34:34" ht="12.75">
      <c r="AH2131" s="419">
        <f t="shared" si="650"/>
        <v>0</v>
      </c>
    </row>
    <row r="2132" spans="34:34" ht="12.75">
      <c r="AH2132" s="419">
        <f t="shared" si="650"/>
        <v>0</v>
      </c>
    </row>
    <row r="2133" spans="34:34" ht="12.75">
      <c r="AH2133" s="419">
        <f t="shared" si="650"/>
        <v>0</v>
      </c>
    </row>
    <row r="2134" spans="34:34" ht="12.75">
      <c r="AH2134" s="419">
        <f t="shared" si="650"/>
        <v>0</v>
      </c>
    </row>
    <row r="2135" spans="34:34" ht="12.75">
      <c r="AH2135" s="419">
        <f t="shared" si="650"/>
        <v>0</v>
      </c>
    </row>
    <row r="2136" spans="34:34" ht="12.75">
      <c r="AH2136" s="419">
        <f t="shared" si="650"/>
        <v>0</v>
      </c>
    </row>
    <row r="2137" spans="34:34" ht="12.75">
      <c r="AH2137" s="419">
        <f t="shared" si="650"/>
        <v>0</v>
      </c>
    </row>
    <row r="2138" spans="34:34" ht="12.75">
      <c r="AH2138" s="419">
        <f t="shared" si="650"/>
        <v>0</v>
      </c>
    </row>
    <row r="2139" spans="34:34" ht="12.75">
      <c r="AH2139" s="419">
        <f t="shared" si="650"/>
        <v>0</v>
      </c>
    </row>
    <row r="2140" spans="34:34" ht="12.75">
      <c r="AH2140" s="419">
        <f t="shared" si="650"/>
        <v>0</v>
      </c>
    </row>
    <row r="2141" spans="34:34" ht="12.75">
      <c r="AH2141" s="419">
        <f t="shared" si="650"/>
        <v>0</v>
      </c>
    </row>
    <row r="2142" spans="34:34" ht="12.75">
      <c r="AH2142" s="419">
        <f t="shared" si="650"/>
        <v>0</v>
      </c>
    </row>
    <row r="2143" spans="34:34" ht="12.75">
      <c r="AH2143" s="419">
        <f t="shared" si="650"/>
        <v>0</v>
      </c>
    </row>
    <row r="2144" spans="34:34" ht="12.75">
      <c r="AH2144" s="419">
        <f t="shared" si="650"/>
        <v>0</v>
      </c>
    </row>
    <row r="2145" spans="34:34" ht="12.75">
      <c r="AH2145" s="419">
        <f t="shared" si="650"/>
        <v>0</v>
      </c>
    </row>
    <row r="2146" spans="34:34" ht="12.75">
      <c r="AH2146" s="419">
        <f t="shared" si="650"/>
        <v>0</v>
      </c>
    </row>
    <row r="2147" spans="34:34" ht="12.75">
      <c r="AH2147" s="419">
        <f t="shared" si="650"/>
        <v>0</v>
      </c>
    </row>
    <row r="2148" spans="34:34" ht="12.75">
      <c r="AH2148" s="419">
        <f t="shared" si="650"/>
        <v>0</v>
      </c>
    </row>
    <row r="2149" spans="34:34" ht="12.75">
      <c r="AH2149" s="419">
        <f t="shared" si="650"/>
        <v>0</v>
      </c>
    </row>
    <row r="2150" spans="34:34" ht="12.75">
      <c r="AH2150" s="419">
        <f t="shared" si="650"/>
        <v>0</v>
      </c>
    </row>
    <row r="2151" spans="34:34" ht="12.75">
      <c r="AH2151" s="419">
        <f t="shared" si="650"/>
        <v>0</v>
      </c>
    </row>
    <row r="2152" spans="34:34" ht="12.75">
      <c r="AH2152" s="419">
        <f t="shared" si="650"/>
        <v>0</v>
      </c>
    </row>
    <row r="2153" spans="34:34" ht="12.75">
      <c r="AH2153" s="419">
        <f t="shared" si="650"/>
        <v>0</v>
      </c>
    </row>
    <row r="2154" spans="34:34" ht="12.75">
      <c r="AH2154" s="419">
        <f t="shared" si="650"/>
        <v>0</v>
      </c>
    </row>
    <row r="2155" spans="34:34" ht="12.75">
      <c r="AH2155" s="419">
        <f t="shared" si="650"/>
        <v>0</v>
      </c>
    </row>
    <row r="2156" spans="34:34" ht="12.75">
      <c r="AH2156" s="419">
        <f t="shared" si="650"/>
        <v>0</v>
      </c>
    </row>
    <row r="2157" spans="34:34" ht="12.75">
      <c r="AH2157" s="419">
        <f t="shared" si="650"/>
        <v>0</v>
      </c>
    </row>
    <row r="2158" spans="34:34" ht="12.75">
      <c r="AH2158" s="419">
        <f t="shared" si="650"/>
        <v>0</v>
      </c>
    </row>
    <row r="2159" spans="34:34" ht="12.75">
      <c r="AH2159" s="419">
        <f t="shared" si="650"/>
        <v>0</v>
      </c>
    </row>
    <row r="2160" spans="34:34" ht="12.75">
      <c r="AH2160" s="419">
        <f t="shared" si="650"/>
        <v>0</v>
      </c>
    </row>
    <row r="2161" spans="34:34" ht="12.75">
      <c r="AH2161" s="419">
        <f t="shared" si="650"/>
        <v>0</v>
      </c>
    </row>
    <row r="2162" spans="34:34" ht="12.75">
      <c r="AH2162" s="419">
        <f t="shared" si="650"/>
        <v>0</v>
      </c>
    </row>
    <row r="2163" spans="34:34" ht="12.75">
      <c r="AH2163" s="419">
        <f t="shared" si="650"/>
        <v>0</v>
      </c>
    </row>
    <row r="2164" spans="34:34" ht="12.75">
      <c r="AH2164" s="419">
        <f t="shared" si="650"/>
        <v>0</v>
      </c>
    </row>
    <row r="2165" spans="34:34" ht="12.75">
      <c r="AH2165" s="419">
        <f t="shared" si="650"/>
        <v>0</v>
      </c>
    </row>
    <row r="2166" spans="34:34" ht="12.75">
      <c r="AH2166" s="419">
        <f t="shared" si="650"/>
        <v>0</v>
      </c>
    </row>
    <row r="2167" spans="34:34" ht="12.75">
      <c r="AH2167" s="419">
        <f t="shared" si="650"/>
        <v>0</v>
      </c>
    </row>
    <row r="2168" spans="34:34" ht="12.75">
      <c r="AH2168" s="419">
        <f t="shared" si="650"/>
        <v>0</v>
      </c>
    </row>
    <row r="2169" spans="34:34" ht="12.75">
      <c r="AH2169" s="419">
        <f t="shared" si="650"/>
        <v>0</v>
      </c>
    </row>
    <row r="2170" spans="34:34" ht="12.75">
      <c r="AH2170" s="419">
        <f t="shared" si="650"/>
        <v>0</v>
      </c>
    </row>
    <row r="2171" spans="34:34" ht="12.75">
      <c r="AH2171" s="419">
        <f t="shared" si="650"/>
        <v>0</v>
      </c>
    </row>
    <row r="2172" spans="34:34" ht="12.75">
      <c r="AH2172" s="419">
        <f t="shared" si="650"/>
        <v>0</v>
      </c>
    </row>
    <row r="2173" spans="34:34" ht="12.75">
      <c r="AH2173" s="419">
        <f t="shared" si="650"/>
        <v>0</v>
      </c>
    </row>
    <row r="2174" spans="34:34" ht="12.75">
      <c r="AH2174" s="419">
        <f t="shared" si="650"/>
        <v>0</v>
      </c>
    </row>
    <row r="2175" spans="34:34" ht="12.75">
      <c r="AH2175" s="419">
        <f t="shared" si="650"/>
        <v>0</v>
      </c>
    </row>
    <row r="2176" spans="34:34" ht="12.75">
      <c r="AH2176" s="419">
        <f t="shared" si="650"/>
        <v>0</v>
      </c>
    </row>
    <row r="2177" spans="34:34" ht="12.75">
      <c r="AH2177" s="419">
        <f t="shared" si="650"/>
        <v>0</v>
      </c>
    </row>
    <row r="2178" spans="34:34" ht="12.75">
      <c r="AH2178" s="419">
        <f t="shared" ref="AH2178:AH2241" si="651">AG2178-F2178</f>
        <v>0</v>
      </c>
    </row>
    <row r="2179" spans="34:34" ht="12.75">
      <c r="AH2179" s="419">
        <f t="shared" si="651"/>
        <v>0</v>
      </c>
    </row>
    <row r="2180" spans="34:34" ht="12.75">
      <c r="AH2180" s="419">
        <f t="shared" si="651"/>
        <v>0</v>
      </c>
    </row>
    <row r="2181" spans="34:34" ht="12.75">
      <c r="AH2181" s="419">
        <f t="shared" si="651"/>
        <v>0</v>
      </c>
    </row>
    <row r="2182" spans="34:34" ht="12.75">
      <c r="AH2182" s="419">
        <f t="shared" si="651"/>
        <v>0</v>
      </c>
    </row>
    <row r="2183" spans="34:34" ht="12.75">
      <c r="AH2183" s="419">
        <f t="shared" si="651"/>
        <v>0</v>
      </c>
    </row>
    <row r="2184" spans="34:34" ht="12.75">
      <c r="AH2184" s="419">
        <f t="shared" si="651"/>
        <v>0</v>
      </c>
    </row>
    <row r="2185" spans="34:34" ht="12.75">
      <c r="AH2185" s="419">
        <f t="shared" si="651"/>
        <v>0</v>
      </c>
    </row>
    <row r="2186" spans="34:34" ht="12.75">
      <c r="AH2186" s="419">
        <f t="shared" si="651"/>
        <v>0</v>
      </c>
    </row>
    <row r="2187" spans="34:34" ht="12.75">
      <c r="AH2187" s="419">
        <f t="shared" si="651"/>
        <v>0</v>
      </c>
    </row>
    <row r="2188" spans="34:34" ht="12.75">
      <c r="AH2188" s="419">
        <f t="shared" si="651"/>
        <v>0</v>
      </c>
    </row>
    <row r="2189" spans="34:34" ht="12.75">
      <c r="AH2189" s="419">
        <f t="shared" si="651"/>
        <v>0</v>
      </c>
    </row>
    <row r="2190" spans="34:34" ht="12.75">
      <c r="AH2190" s="419">
        <f t="shared" si="651"/>
        <v>0</v>
      </c>
    </row>
    <row r="2191" spans="34:34" ht="12.75">
      <c r="AH2191" s="419">
        <f t="shared" si="651"/>
        <v>0</v>
      </c>
    </row>
    <row r="2192" spans="34:34" ht="12.75">
      <c r="AH2192" s="419">
        <f t="shared" si="651"/>
        <v>0</v>
      </c>
    </row>
    <row r="2193" spans="34:34" ht="12.75">
      <c r="AH2193" s="419">
        <f t="shared" si="651"/>
        <v>0</v>
      </c>
    </row>
    <row r="2194" spans="34:34" ht="12.75">
      <c r="AH2194" s="419">
        <f t="shared" si="651"/>
        <v>0</v>
      </c>
    </row>
    <row r="2195" spans="34:34" ht="12.75">
      <c r="AH2195" s="419">
        <f t="shared" si="651"/>
        <v>0</v>
      </c>
    </row>
    <row r="2196" spans="34:34" ht="12.75">
      <c r="AH2196" s="419">
        <f t="shared" si="651"/>
        <v>0</v>
      </c>
    </row>
    <row r="2197" spans="34:34" ht="12.75">
      <c r="AH2197" s="419">
        <f t="shared" si="651"/>
        <v>0</v>
      </c>
    </row>
    <row r="2198" spans="34:34" ht="12.75">
      <c r="AH2198" s="419">
        <f t="shared" si="651"/>
        <v>0</v>
      </c>
    </row>
    <row r="2199" spans="34:34" ht="12.75">
      <c r="AH2199" s="419">
        <f t="shared" si="651"/>
        <v>0</v>
      </c>
    </row>
    <row r="2200" spans="34:34" ht="12.75">
      <c r="AH2200" s="419">
        <f t="shared" si="651"/>
        <v>0</v>
      </c>
    </row>
    <row r="2201" spans="34:34" ht="12.75">
      <c r="AH2201" s="419">
        <f t="shared" si="651"/>
        <v>0</v>
      </c>
    </row>
    <row r="2202" spans="34:34" ht="12.75">
      <c r="AH2202" s="419">
        <f t="shared" si="651"/>
        <v>0</v>
      </c>
    </row>
    <row r="2203" spans="34:34" ht="12.75">
      <c r="AH2203" s="419">
        <f t="shared" si="651"/>
        <v>0</v>
      </c>
    </row>
    <row r="2204" spans="34:34" ht="12.75">
      <c r="AH2204" s="419">
        <f t="shared" si="651"/>
        <v>0</v>
      </c>
    </row>
    <row r="2205" spans="34:34" ht="12.75">
      <c r="AH2205" s="419">
        <f t="shared" si="651"/>
        <v>0</v>
      </c>
    </row>
    <row r="2206" spans="34:34" ht="12.75">
      <c r="AH2206" s="419">
        <f t="shared" si="651"/>
        <v>0</v>
      </c>
    </row>
    <row r="2207" spans="34:34" ht="12.75">
      <c r="AH2207" s="419">
        <f t="shared" si="651"/>
        <v>0</v>
      </c>
    </row>
    <row r="2208" spans="34:34" ht="12.75">
      <c r="AH2208" s="419">
        <f t="shared" si="651"/>
        <v>0</v>
      </c>
    </row>
    <row r="2209" spans="34:34" ht="12.75">
      <c r="AH2209" s="419">
        <f t="shared" si="651"/>
        <v>0</v>
      </c>
    </row>
    <row r="2210" spans="34:34" ht="12.75">
      <c r="AH2210" s="419">
        <f t="shared" si="651"/>
        <v>0</v>
      </c>
    </row>
    <row r="2211" spans="34:34" ht="12.75">
      <c r="AH2211" s="419">
        <f t="shared" si="651"/>
        <v>0</v>
      </c>
    </row>
    <row r="2212" spans="34:34" ht="12.75">
      <c r="AH2212" s="419">
        <f t="shared" si="651"/>
        <v>0</v>
      </c>
    </row>
    <row r="2213" spans="34:34" ht="12.75">
      <c r="AH2213" s="419">
        <f t="shared" si="651"/>
        <v>0</v>
      </c>
    </row>
    <row r="2214" spans="34:34" ht="12.75">
      <c r="AH2214" s="419">
        <f t="shared" si="651"/>
        <v>0</v>
      </c>
    </row>
    <row r="2215" spans="34:34" ht="12.75">
      <c r="AH2215" s="419">
        <f t="shared" si="651"/>
        <v>0</v>
      </c>
    </row>
    <row r="2216" spans="34:34" ht="12.75">
      <c r="AH2216" s="419">
        <f t="shared" si="651"/>
        <v>0</v>
      </c>
    </row>
    <row r="2217" spans="34:34" ht="12.75">
      <c r="AH2217" s="419">
        <f t="shared" si="651"/>
        <v>0</v>
      </c>
    </row>
    <row r="2218" spans="34:34" ht="12.75">
      <c r="AH2218" s="419">
        <f t="shared" si="651"/>
        <v>0</v>
      </c>
    </row>
    <row r="2219" spans="34:34" ht="12.75">
      <c r="AH2219" s="419">
        <f t="shared" si="651"/>
        <v>0</v>
      </c>
    </row>
    <row r="2220" spans="34:34" ht="12.75">
      <c r="AH2220" s="419">
        <f t="shared" si="651"/>
        <v>0</v>
      </c>
    </row>
    <row r="2221" spans="34:34" ht="12.75">
      <c r="AH2221" s="419">
        <f t="shared" si="651"/>
        <v>0</v>
      </c>
    </row>
    <row r="2222" spans="34:34" ht="12.75">
      <c r="AH2222" s="419">
        <f t="shared" si="651"/>
        <v>0</v>
      </c>
    </row>
    <row r="2223" spans="34:34" ht="12.75">
      <c r="AH2223" s="419">
        <f t="shared" si="651"/>
        <v>0</v>
      </c>
    </row>
    <row r="2224" spans="34:34" ht="12.75">
      <c r="AH2224" s="419">
        <f t="shared" si="651"/>
        <v>0</v>
      </c>
    </row>
    <row r="2225" spans="34:34" ht="12.75">
      <c r="AH2225" s="419">
        <f t="shared" si="651"/>
        <v>0</v>
      </c>
    </row>
    <row r="2226" spans="34:34" ht="12.75">
      <c r="AH2226" s="419">
        <f t="shared" si="651"/>
        <v>0</v>
      </c>
    </row>
    <row r="2227" spans="34:34" ht="12.75">
      <c r="AH2227" s="419">
        <f t="shared" si="651"/>
        <v>0</v>
      </c>
    </row>
    <row r="2228" spans="34:34" ht="12.75">
      <c r="AH2228" s="419">
        <f t="shared" si="651"/>
        <v>0</v>
      </c>
    </row>
    <row r="2229" spans="34:34" ht="12.75">
      <c r="AH2229" s="419">
        <f t="shared" si="651"/>
        <v>0</v>
      </c>
    </row>
    <row r="2230" spans="34:34" ht="12.75">
      <c r="AH2230" s="419">
        <f t="shared" si="651"/>
        <v>0</v>
      </c>
    </row>
    <row r="2231" spans="34:34" ht="12.75">
      <c r="AH2231" s="419">
        <f t="shared" si="651"/>
        <v>0</v>
      </c>
    </row>
    <row r="2232" spans="34:34" ht="12.75">
      <c r="AH2232" s="419">
        <f t="shared" si="651"/>
        <v>0</v>
      </c>
    </row>
    <row r="2233" spans="34:34" ht="12.75">
      <c r="AH2233" s="419">
        <f t="shared" si="651"/>
        <v>0</v>
      </c>
    </row>
    <row r="2234" spans="34:34" ht="12.75">
      <c r="AH2234" s="419">
        <f t="shared" si="651"/>
        <v>0</v>
      </c>
    </row>
    <row r="2235" spans="34:34" ht="12.75">
      <c r="AH2235" s="419">
        <f t="shared" si="651"/>
        <v>0</v>
      </c>
    </row>
    <row r="2236" spans="34:34" ht="12.75">
      <c r="AH2236" s="419">
        <f t="shared" si="651"/>
        <v>0</v>
      </c>
    </row>
    <row r="2237" spans="34:34" ht="12.75">
      <c r="AH2237" s="419">
        <f t="shared" si="651"/>
        <v>0</v>
      </c>
    </row>
    <row r="2238" spans="34:34" ht="12.75">
      <c r="AH2238" s="419">
        <f t="shared" si="651"/>
        <v>0</v>
      </c>
    </row>
    <row r="2239" spans="34:34" ht="12.75">
      <c r="AH2239" s="419">
        <f t="shared" si="651"/>
        <v>0</v>
      </c>
    </row>
    <row r="2240" spans="34:34" ht="12.75">
      <c r="AH2240" s="419">
        <f t="shared" si="651"/>
        <v>0</v>
      </c>
    </row>
    <row r="2241" spans="34:34" ht="12.75">
      <c r="AH2241" s="419">
        <f t="shared" si="651"/>
        <v>0</v>
      </c>
    </row>
    <row r="2242" spans="34:34" ht="12.75">
      <c r="AH2242" s="419">
        <f t="shared" ref="AH2242:AH2305" si="652">AG2242-F2242</f>
        <v>0</v>
      </c>
    </row>
    <row r="2243" spans="34:34" ht="12.75">
      <c r="AH2243" s="419">
        <f t="shared" si="652"/>
        <v>0</v>
      </c>
    </row>
    <row r="2244" spans="34:34" ht="12.75">
      <c r="AH2244" s="419">
        <f t="shared" si="652"/>
        <v>0</v>
      </c>
    </row>
    <row r="2245" spans="34:34" ht="12.75">
      <c r="AH2245" s="419">
        <f t="shared" si="652"/>
        <v>0</v>
      </c>
    </row>
    <row r="2246" spans="34:34" ht="12.75">
      <c r="AH2246" s="419">
        <f t="shared" si="652"/>
        <v>0</v>
      </c>
    </row>
    <row r="2247" spans="34:34" ht="12.75">
      <c r="AH2247" s="419">
        <f t="shared" si="652"/>
        <v>0</v>
      </c>
    </row>
    <row r="2248" spans="34:34" ht="12.75">
      <c r="AH2248" s="419">
        <f t="shared" si="652"/>
        <v>0</v>
      </c>
    </row>
    <row r="2249" spans="34:34" ht="12.75">
      <c r="AH2249" s="419">
        <f t="shared" si="652"/>
        <v>0</v>
      </c>
    </row>
    <row r="2250" spans="34:34" ht="12.75">
      <c r="AH2250" s="419">
        <f t="shared" si="652"/>
        <v>0</v>
      </c>
    </row>
    <row r="2251" spans="34:34" ht="12.75">
      <c r="AH2251" s="419">
        <f t="shared" si="652"/>
        <v>0</v>
      </c>
    </row>
    <row r="2252" spans="34:34" ht="12.75">
      <c r="AH2252" s="419">
        <f t="shared" si="652"/>
        <v>0</v>
      </c>
    </row>
    <row r="2253" spans="34:34" ht="12.75">
      <c r="AH2253" s="419">
        <f t="shared" si="652"/>
        <v>0</v>
      </c>
    </row>
    <row r="2254" spans="34:34" ht="12.75">
      <c r="AH2254" s="419">
        <f t="shared" si="652"/>
        <v>0</v>
      </c>
    </row>
    <row r="2255" spans="34:34" ht="12.75">
      <c r="AH2255" s="419">
        <f t="shared" si="652"/>
        <v>0</v>
      </c>
    </row>
    <row r="2256" spans="34:34" ht="12.75">
      <c r="AH2256" s="419">
        <f t="shared" si="652"/>
        <v>0</v>
      </c>
    </row>
    <row r="2257" spans="34:34" ht="12.75">
      <c r="AH2257" s="419">
        <f t="shared" si="652"/>
        <v>0</v>
      </c>
    </row>
    <row r="2258" spans="34:34" ht="12.75">
      <c r="AH2258" s="419">
        <f t="shared" si="652"/>
        <v>0</v>
      </c>
    </row>
    <row r="2259" spans="34:34" ht="12.75">
      <c r="AH2259" s="419">
        <f t="shared" si="652"/>
        <v>0</v>
      </c>
    </row>
    <row r="2260" spans="34:34" ht="12.75">
      <c r="AH2260" s="419">
        <f t="shared" si="652"/>
        <v>0</v>
      </c>
    </row>
    <row r="2261" spans="34:34" ht="12.75">
      <c r="AH2261" s="419">
        <f t="shared" si="652"/>
        <v>0</v>
      </c>
    </row>
    <row r="2262" spans="34:34" ht="12.75">
      <c r="AH2262" s="419">
        <f t="shared" si="652"/>
        <v>0</v>
      </c>
    </row>
    <row r="2263" spans="34:34" ht="12.75">
      <c r="AH2263" s="419">
        <f t="shared" si="652"/>
        <v>0</v>
      </c>
    </row>
    <row r="2264" spans="34:34" ht="12.75">
      <c r="AH2264" s="419">
        <f t="shared" si="652"/>
        <v>0</v>
      </c>
    </row>
    <row r="2265" spans="34:34" ht="12.75">
      <c r="AH2265" s="419">
        <f t="shared" si="652"/>
        <v>0</v>
      </c>
    </row>
    <row r="2266" spans="34:34" ht="12.75">
      <c r="AH2266" s="419">
        <f t="shared" si="652"/>
        <v>0</v>
      </c>
    </row>
    <row r="2267" spans="34:34" ht="12.75">
      <c r="AH2267" s="419">
        <f t="shared" si="652"/>
        <v>0</v>
      </c>
    </row>
    <row r="2268" spans="34:34" ht="12.75">
      <c r="AH2268" s="419">
        <f t="shared" si="652"/>
        <v>0</v>
      </c>
    </row>
    <row r="2269" spans="34:34" ht="12.75">
      <c r="AH2269" s="419">
        <f t="shared" si="652"/>
        <v>0</v>
      </c>
    </row>
    <row r="2270" spans="34:34" ht="12.75">
      <c r="AH2270" s="419">
        <f t="shared" si="652"/>
        <v>0</v>
      </c>
    </row>
    <row r="2271" spans="34:34" ht="12.75">
      <c r="AH2271" s="419">
        <f t="shared" si="652"/>
        <v>0</v>
      </c>
    </row>
    <row r="2272" spans="34:34" ht="12.75">
      <c r="AH2272" s="419">
        <f t="shared" si="652"/>
        <v>0</v>
      </c>
    </row>
    <row r="2273" spans="34:34" ht="12.75">
      <c r="AH2273" s="419">
        <f t="shared" si="652"/>
        <v>0</v>
      </c>
    </row>
    <row r="2274" spans="34:34" ht="12.75">
      <c r="AH2274" s="419">
        <f t="shared" si="652"/>
        <v>0</v>
      </c>
    </row>
    <row r="2275" spans="34:34" ht="12.75">
      <c r="AH2275" s="419">
        <f t="shared" si="652"/>
        <v>0</v>
      </c>
    </row>
    <row r="2276" spans="34:34" ht="12.75">
      <c r="AH2276" s="419">
        <f t="shared" si="652"/>
        <v>0</v>
      </c>
    </row>
    <row r="2277" spans="34:34" ht="12.75">
      <c r="AH2277" s="419">
        <f t="shared" si="652"/>
        <v>0</v>
      </c>
    </row>
    <row r="2278" spans="34:34" ht="12.75">
      <c r="AH2278" s="419">
        <f t="shared" si="652"/>
        <v>0</v>
      </c>
    </row>
    <row r="2279" spans="34:34" ht="12.75">
      <c r="AH2279" s="419">
        <f t="shared" si="652"/>
        <v>0</v>
      </c>
    </row>
    <row r="2280" spans="34:34" ht="12.75">
      <c r="AH2280" s="419">
        <f t="shared" si="652"/>
        <v>0</v>
      </c>
    </row>
    <row r="2281" spans="34:34" ht="12.75">
      <c r="AH2281" s="419">
        <f t="shared" si="652"/>
        <v>0</v>
      </c>
    </row>
    <row r="2282" spans="34:34" ht="12.75">
      <c r="AH2282" s="419">
        <f t="shared" si="652"/>
        <v>0</v>
      </c>
    </row>
    <row r="2283" spans="34:34" ht="12.75">
      <c r="AH2283" s="419">
        <f t="shared" si="652"/>
        <v>0</v>
      </c>
    </row>
    <row r="2284" spans="34:34" ht="12.75">
      <c r="AH2284" s="419">
        <f t="shared" si="652"/>
        <v>0</v>
      </c>
    </row>
    <row r="2285" spans="34:34" ht="12.75">
      <c r="AH2285" s="419">
        <f t="shared" si="652"/>
        <v>0</v>
      </c>
    </row>
    <row r="2286" spans="34:34" ht="12.75">
      <c r="AH2286" s="419">
        <f t="shared" si="652"/>
        <v>0</v>
      </c>
    </row>
    <row r="2287" spans="34:34" ht="12.75">
      <c r="AH2287" s="419">
        <f t="shared" si="652"/>
        <v>0</v>
      </c>
    </row>
    <row r="2288" spans="34:34" ht="12.75">
      <c r="AH2288" s="419">
        <f t="shared" si="652"/>
        <v>0</v>
      </c>
    </row>
    <row r="2289" spans="34:34" ht="12.75">
      <c r="AH2289" s="419">
        <f t="shared" si="652"/>
        <v>0</v>
      </c>
    </row>
    <row r="2290" spans="34:34" ht="12.75">
      <c r="AH2290" s="419">
        <f t="shared" si="652"/>
        <v>0</v>
      </c>
    </row>
    <row r="2291" spans="34:34" ht="12.75">
      <c r="AH2291" s="419">
        <f t="shared" si="652"/>
        <v>0</v>
      </c>
    </row>
    <row r="2292" spans="34:34" ht="12.75">
      <c r="AH2292" s="419">
        <f t="shared" si="652"/>
        <v>0</v>
      </c>
    </row>
    <row r="2293" spans="34:34" ht="12.75">
      <c r="AH2293" s="419">
        <f t="shared" si="652"/>
        <v>0</v>
      </c>
    </row>
    <row r="2294" spans="34:34" ht="12.75">
      <c r="AH2294" s="419">
        <f t="shared" si="652"/>
        <v>0</v>
      </c>
    </row>
    <row r="2295" spans="34:34" ht="12.75">
      <c r="AH2295" s="419">
        <f t="shared" si="652"/>
        <v>0</v>
      </c>
    </row>
    <row r="2296" spans="34:34" ht="12.75">
      <c r="AH2296" s="419">
        <f t="shared" si="652"/>
        <v>0</v>
      </c>
    </row>
    <row r="2297" spans="34:34" ht="12.75">
      <c r="AH2297" s="419">
        <f t="shared" si="652"/>
        <v>0</v>
      </c>
    </row>
    <row r="2298" spans="34:34" ht="12.75">
      <c r="AH2298" s="419">
        <f t="shared" si="652"/>
        <v>0</v>
      </c>
    </row>
    <row r="2299" spans="34:34" ht="12.75">
      <c r="AH2299" s="419">
        <f t="shared" si="652"/>
        <v>0</v>
      </c>
    </row>
    <row r="2300" spans="34:34" ht="12.75">
      <c r="AH2300" s="419">
        <f t="shared" si="652"/>
        <v>0</v>
      </c>
    </row>
    <row r="2301" spans="34:34" ht="12.75">
      <c r="AH2301" s="419">
        <f t="shared" si="652"/>
        <v>0</v>
      </c>
    </row>
    <row r="2302" spans="34:34" ht="12.75">
      <c r="AH2302" s="419">
        <f t="shared" si="652"/>
        <v>0</v>
      </c>
    </row>
    <row r="2303" spans="34:34" ht="12.75">
      <c r="AH2303" s="419">
        <f t="shared" si="652"/>
        <v>0</v>
      </c>
    </row>
    <row r="2304" spans="34:34" ht="12.75">
      <c r="AH2304" s="419">
        <f t="shared" si="652"/>
        <v>0</v>
      </c>
    </row>
    <row r="2305" spans="34:34" ht="12.75">
      <c r="AH2305" s="419">
        <f t="shared" si="652"/>
        <v>0</v>
      </c>
    </row>
    <row r="2306" spans="34:34" ht="12.75">
      <c r="AH2306" s="419">
        <f t="shared" ref="AH2306:AH2369" si="653">AG2306-F2306</f>
        <v>0</v>
      </c>
    </row>
    <row r="2307" spans="34:34" ht="12.75">
      <c r="AH2307" s="419">
        <f t="shared" si="653"/>
        <v>0</v>
      </c>
    </row>
    <row r="2308" spans="34:34" ht="12.75">
      <c r="AH2308" s="419">
        <f t="shared" si="653"/>
        <v>0</v>
      </c>
    </row>
    <row r="2309" spans="34:34" ht="12.75">
      <c r="AH2309" s="419">
        <f t="shared" si="653"/>
        <v>0</v>
      </c>
    </row>
    <row r="2310" spans="34:34" ht="12.75">
      <c r="AH2310" s="419">
        <f t="shared" si="653"/>
        <v>0</v>
      </c>
    </row>
    <row r="2311" spans="34:34" ht="12.75">
      <c r="AH2311" s="419">
        <f t="shared" si="653"/>
        <v>0</v>
      </c>
    </row>
    <row r="2312" spans="34:34" ht="12.75">
      <c r="AH2312" s="419">
        <f t="shared" si="653"/>
        <v>0</v>
      </c>
    </row>
    <row r="2313" spans="34:34" ht="12.75">
      <c r="AH2313" s="419">
        <f t="shared" si="653"/>
        <v>0</v>
      </c>
    </row>
    <row r="2314" spans="34:34" ht="12.75">
      <c r="AH2314" s="419">
        <f t="shared" si="653"/>
        <v>0</v>
      </c>
    </row>
    <row r="2315" spans="34:34" ht="12.75">
      <c r="AH2315" s="419">
        <f t="shared" si="653"/>
        <v>0</v>
      </c>
    </row>
    <row r="2316" spans="34:34" ht="12.75">
      <c r="AH2316" s="419">
        <f t="shared" si="653"/>
        <v>0</v>
      </c>
    </row>
    <row r="2317" spans="34:34" ht="12.75">
      <c r="AH2317" s="419">
        <f t="shared" si="653"/>
        <v>0</v>
      </c>
    </row>
    <row r="2318" spans="34:34" ht="12.75">
      <c r="AH2318" s="419">
        <f t="shared" si="653"/>
        <v>0</v>
      </c>
    </row>
    <row r="2319" spans="34:34" ht="12.75">
      <c r="AH2319" s="419">
        <f t="shared" si="653"/>
        <v>0</v>
      </c>
    </row>
    <row r="2320" spans="34:34" ht="12.75">
      <c r="AH2320" s="419">
        <f t="shared" si="653"/>
        <v>0</v>
      </c>
    </row>
    <row r="2321" spans="34:34" ht="12.75">
      <c r="AH2321" s="419">
        <f t="shared" si="653"/>
        <v>0</v>
      </c>
    </row>
    <row r="2322" spans="34:34" ht="12.75">
      <c r="AH2322" s="419">
        <f t="shared" si="653"/>
        <v>0</v>
      </c>
    </row>
    <row r="2323" spans="34:34" ht="12.75">
      <c r="AH2323" s="419">
        <f t="shared" si="653"/>
        <v>0</v>
      </c>
    </row>
    <row r="2324" spans="34:34" ht="12.75">
      <c r="AH2324" s="419">
        <f t="shared" si="653"/>
        <v>0</v>
      </c>
    </row>
    <row r="2325" spans="34:34" ht="12.75">
      <c r="AH2325" s="419">
        <f t="shared" si="653"/>
        <v>0</v>
      </c>
    </row>
    <row r="2326" spans="34:34" ht="12.75">
      <c r="AH2326" s="419">
        <f t="shared" si="653"/>
        <v>0</v>
      </c>
    </row>
    <row r="2327" spans="34:34" ht="12.75">
      <c r="AH2327" s="419">
        <f t="shared" si="653"/>
        <v>0</v>
      </c>
    </row>
    <row r="2328" spans="34:34" ht="12.75">
      <c r="AH2328" s="419">
        <f t="shared" si="653"/>
        <v>0</v>
      </c>
    </row>
    <row r="2329" spans="34:34" ht="12.75">
      <c r="AH2329" s="419">
        <f t="shared" si="653"/>
        <v>0</v>
      </c>
    </row>
    <row r="2330" spans="34:34" ht="12.75">
      <c r="AH2330" s="419">
        <f t="shared" si="653"/>
        <v>0</v>
      </c>
    </row>
    <row r="2331" spans="34:34" ht="12.75">
      <c r="AH2331" s="419">
        <f t="shared" si="653"/>
        <v>0</v>
      </c>
    </row>
    <row r="2332" spans="34:34" ht="12.75">
      <c r="AH2332" s="419">
        <f t="shared" si="653"/>
        <v>0</v>
      </c>
    </row>
    <row r="2333" spans="34:34" ht="12.75">
      <c r="AH2333" s="419">
        <f t="shared" si="653"/>
        <v>0</v>
      </c>
    </row>
    <row r="2334" spans="34:34" ht="12.75">
      <c r="AH2334" s="419">
        <f t="shared" si="653"/>
        <v>0</v>
      </c>
    </row>
    <row r="2335" spans="34:34" ht="12.75">
      <c r="AH2335" s="419">
        <f t="shared" si="653"/>
        <v>0</v>
      </c>
    </row>
    <row r="2336" spans="34:34" ht="12.75">
      <c r="AH2336" s="419">
        <f t="shared" si="653"/>
        <v>0</v>
      </c>
    </row>
    <row r="2337" spans="34:34" ht="12.75">
      <c r="AH2337" s="419">
        <f t="shared" si="653"/>
        <v>0</v>
      </c>
    </row>
    <row r="2338" spans="34:34" ht="12.75">
      <c r="AH2338" s="419">
        <f t="shared" si="653"/>
        <v>0</v>
      </c>
    </row>
    <row r="2339" spans="34:34" ht="12.75">
      <c r="AH2339" s="419">
        <f t="shared" si="653"/>
        <v>0</v>
      </c>
    </row>
    <row r="2340" spans="34:34" ht="12.75">
      <c r="AH2340" s="419">
        <f t="shared" si="653"/>
        <v>0</v>
      </c>
    </row>
    <row r="2341" spans="34:34" ht="12.75">
      <c r="AH2341" s="419">
        <f t="shared" si="653"/>
        <v>0</v>
      </c>
    </row>
    <row r="2342" spans="34:34" ht="12.75">
      <c r="AH2342" s="419">
        <f t="shared" si="653"/>
        <v>0</v>
      </c>
    </row>
    <row r="2343" spans="34:34" ht="12.75">
      <c r="AH2343" s="419">
        <f t="shared" si="653"/>
        <v>0</v>
      </c>
    </row>
    <row r="2344" spans="34:34" ht="12.75">
      <c r="AH2344" s="419">
        <f t="shared" si="653"/>
        <v>0</v>
      </c>
    </row>
    <row r="2345" spans="34:34" ht="12.75">
      <c r="AH2345" s="419">
        <f t="shared" si="653"/>
        <v>0</v>
      </c>
    </row>
    <row r="2346" spans="34:34" ht="12.75">
      <c r="AH2346" s="419">
        <f t="shared" si="653"/>
        <v>0</v>
      </c>
    </row>
    <row r="2347" spans="34:34" ht="12.75">
      <c r="AH2347" s="419">
        <f t="shared" si="653"/>
        <v>0</v>
      </c>
    </row>
    <row r="2348" spans="34:34" ht="12.75">
      <c r="AH2348" s="419">
        <f t="shared" si="653"/>
        <v>0</v>
      </c>
    </row>
    <row r="2349" spans="34:34" ht="12.75">
      <c r="AH2349" s="419">
        <f t="shared" si="653"/>
        <v>0</v>
      </c>
    </row>
    <row r="2350" spans="34:34" ht="12.75">
      <c r="AH2350" s="419">
        <f t="shared" si="653"/>
        <v>0</v>
      </c>
    </row>
    <row r="2351" spans="34:34" ht="12.75">
      <c r="AH2351" s="419">
        <f t="shared" si="653"/>
        <v>0</v>
      </c>
    </row>
    <row r="2352" spans="34:34" ht="12.75">
      <c r="AH2352" s="419">
        <f t="shared" si="653"/>
        <v>0</v>
      </c>
    </row>
    <row r="2353" spans="34:34" ht="12.75">
      <c r="AH2353" s="419">
        <f t="shared" si="653"/>
        <v>0</v>
      </c>
    </row>
    <row r="2354" spans="34:34" ht="12.75">
      <c r="AH2354" s="419">
        <f t="shared" si="653"/>
        <v>0</v>
      </c>
    </row>
    <row r="2355" spans="34:34" ht="12.75">
      <c r="AH2355" s="419">
        <f t="shared" si="653"/>
        <v>0</v>
      </c>
    </row>
    <row r="2356" spans="34:34" ht="12.75">
      <c r="AH2356" s="419">
        <f t="shared" si="653"/>
        <v>0</v>
      </c>
    </row>
    <row r="2357" spans="34:34" ht="12.75">
      <c r="AH2357" s="419">
        <f t="shared" si="653"/>
        <v>0</v>
      </c>
    </row>
    <row r="2358" spans="34:34" ht="12.75">
      <c r="AH2358" s="419">
        <f t="shared" si="653"/>
        <v>0</v>
      </c>
    </row>
    <row r="2359" spans="34:34" ht="12.75">
      <c r="AH2359" s="419">
        <f t="shared" si="653"/>
        <v>0</v>
      </c>
    </row>
    <row r="2360" spans="34:34" ht="12.75">
      <c r="AH2360" s="419">
        <f t="shared" si="653"/>
        <v>0</v>
      </c>
    </row>
    <row r="2361" spans="34:34" ht="12.75">
      <c r="AH2361" s="419">
        <f t="shared" si="653"/>
        <v>0</v>
      </c>
    </row>
    <row r="2362" spans="34:34" ht="12.75">
      <c r="AH2362" s="419">
        <f t="shared" si="653"/>
        <v>0</v>
      </c>
    </row>
    <row r="2363" spans="34:34" ht="12.75">
      <c r="AH2363" s="419">
        <f t="shared" si="653"/>
        <v>0</v>
      </c>
    </row>
    <row r="2364" spans="34:34" ht="12.75">
      <c r="AH2364" s="419">
        <f t="shared" si="653"/>
        <v>0</v>
      </c>
    </row>
    <row r="2365" spans="34:34" ht="12.75">
      <c r="AH2365" s="419">
        <f t="shared" si="653"/>
        <v>0</v>
      </c>
    </row>
    <row r="2366" spans="34:34" ht="12.75">
      <c r="AH2366" s="419">
        <f t="shared" si="653"/>
        <v>0</v>
      </c>
    </row>
    <row r="2367" spans="34:34" ht="12.75">
      <c r="AH2367" s="419">
        <f t="shared" si="653"/>
        <v>0</v>
      </c>
    </row>
    <row r="2368" spans="34:34" ht="12.75">
      <c r="AH2368" s="419">
        <f t="shared" si="653"/>
        <v>0</v>
      </c>
    </row>
    <row r="2369" spans="34:34" ht="12.75">
      <c r="AH2369" s="419">
        <f t="shared" si="653"/>
        <v>0</v>
      </c>
    </row>
    <row r="2370" spans="34:34" ht="12.75">
      <c r="AH2370" s="419">
        <f t="shared" ref="AH2370:AH2433" si="654">AG2370-F2370</f>
        <v>0</v>
      </c>
    </row>
    <row r="2371" spans="34:34" ht="12.75">
      <c r="AH2371" s="419">
        <f t="shared" si="654"/>
        <v>0</v>
      </c>
    </row>
    <row r="2372" spans="34:34" ht="12.75">
      <c r="AH2372" s="419">
        <f t="shared" si="654"/>
        <v>0</v>
      </c>
    </row>
    <row r="2373" spans="34:34" ht="12.75">
      <c r="AH2373" s="419">
        <f t="shared" si="654"/>
        <v>0</v>
      </c>
    </row>
    <row r="2374" spans="34:34" ht="12.75">
      <c r="AH2374" s="419">
        <f t="shared" si="654"/>
        <v>0</v>
      </c>
    </row>
    <row r="2375" spans="34:34" ht="12.75">
      <c r="AH2375" s="419">
        <f t="shared" si="654"/>
        <v>0</v>
      </c>
    </row>
    <row r="2376" spans="34:34" ht="12.75">
      <c r="AH2376" s="419">
        <f t="shared" si="654"/>
        <v>0</v>
      </c>
    </row>
    <row r="2377" spans="34:34" ht="12.75">
      <c r="AH2377" s="419">
        <f t="shared" si="654"/>
        <v>0</v>
      </c>
    </row>
    <row r="2378" spans="34:34" ht="12.75">
      <c r="AH2378" s="419">
        <f t="shared" si="654"/>
        <v>0</v>
      </c>
    </row>
    <row r="2379" spans="34:34" ht="12.75">
      <c r="AH2379" s="419">
        <f t="shared" si="654"/>
        <v>0</v>
      </c>
    </row>
    <row r="2380" spans="34:34" ht="12.75">
      <c r="AH2380" s="419">
        <f t="shared" si="654"/>
        <v>0</v>
      </c>
    </row>
    <row r="2381" spans="34:34" ht="12.75">
      <c r="AH2381" s="419">
        <f t="shared" si="654"/>
        <v>0</v>
      </c>
    </row>
    <row r="2382" spans="34:34" ht="12.75">
      <c r="AH2382" s="419">
        <f t="shared" si="654"/>
        <v>0</v>
      </c>
    </row>
    <row r="2383" spans="34:34" ht="12.75">
      <c r="AH2383" s="419">
        <f t="shared" si="654"/>
        <v>0</v>
      </c>
    </row>
    <row r="2384" spans="34:34" ht="12.75">
      <c r="AH2384" s="419">
        <f t="shared" si="654"/>
        <v>0</v>
      </c>
    </row>
    <row r="2385" spans="34:34" ht="12.75">
      <c r="AH2385" s="419">
        <f t="shared" si="654"/>
        <v>0</v>
      </c>
    </row>
    <row r="2386" spans="34:34" ht="12.75">
      <c r="AH2386" s="419">
        <f t="shared" si="654"/>
        <v>0</v>
      </c>
    </row>
    <row r="2387" spans="34:34" ht="12.75">
      <c r="AH2387" s="419">
        <f t="shared" si="654"/>
        <v>0</v>
      </c>
    </row>
    <row r="2388" spans="34:34" ht="12.75">
      <c r="AH2388" s="419">
        <f t="shared" si="654"/>
        <v>0</v>
      </c>
    </row>
    <row r="2389" spans="34:34" ht="12.75">
      <c r="AH2389" s="419">
        <f t="shared" si="654"/>
        <v>0</v>
      </c>
    </row>
    <row r="2390" spans="34:34" ht="12.75">
      <c r="AH2390" s="419">
        <f t="shared" si="654"/>
        <v>0</v>
      </c>
    </row>
    <row r="2391" spans="34:34" ht="12.75">
      <c r="AH2391" s="419">
        <f t="shared" si="654"/>
        <v>0</v>
      </c>
    </row>
    <row r="2392" spans="34:34" ht="12.75">
      <c r="AH2392" s="419">
        <f t="shared" si="654"/>
        <v>0</v>
      </c>
    </row>
    <row r="2393" spans="34:34" ht="12.75">
      <c r="AH2393" s="419">
        <f t="shared" si="654"/>
        <v>0</v>
      </c>
    </row>
    <row r="2394" spans="34:34" ht="12.75">
      <c r="AH2394" s="419">
        <f t="shared" si="654"/>
        <v>0</v>
      </c>
    </row>
    <row r="2395" spans="34:34" ht="12.75">
      <c r="AH2395" s="419">
        <f t="shared" si="654"/>
        <v>0</v>
      </c>
    </row>
    <row r="2396" spans="34:34" ht="12.75">
      <c r="AH2396" s="419">
        <f t="shared" si="654"/>
        <v>0</v>
      </c>
    </row>
    <row r="2397" spans="34:34" ht="12.75">
      <c r="AH2397" s="419">
        <f t="shared" si="654"/>
        <v>0</v>
      </c>
    </row>
    <row r="2398" spans="34:34" ht="12.75">
      <c r="AH2398" s="419">
        <f t="shared" si="654"/>
        <v>0</v>
      </c>
    </row>
    <row r="2399" spans="34:34" ht="12.75">
      <c r="AH2399" s="419">
        <f t="shared" si="654"/>
        <v>0</v>
      </c>
    </row>
    <row r="2400" spans="34:34" ht="12.75">
      <c r="AH2400" s="419">
        <f t="shared" si="654"/>
        <v>0</v>
      </c>
    </row>
    <row r="2401" spans="34:34" ht="12.75">
      <c r="AH2401" s="419">
        <f t="shared" si="654"/>
        <v>0</v>
      </c>
    </row>
    <row r="2402" spans="34:34" ht="12.75">
      <c r="AH2402" s="419">
        <f t="shared" si="654"/>
        <v>0</v>
      </c>
    </row>
    <row r="2403" spans="34:34" ht="12.75">
      <c r="AH2403" s="419">
        <f t="shared" si="654"/>
        <v>0</v>
      </c>
    </row>
    <row r="2404" spans="34:34" ht="12.75">
      <c r="AH2404" s="419">
        <f t="shared" si="654"/>
        <v>0</v>
      </c>
    </row>
    <row r="2405" spans="34:34" ht="12.75">
      <c r="AH2405" s="419">
        <f t="shared" si="654"/>
        <v>0</v>
      </c>
    </row>
    <row r="2406" spans="34:34" ht="12.75">
      <c r="AH2406" s="419">
        <f t="shared" si="654"/>
        <v>0</v>
      </c>
    </row>
    <row r="2407" spans="34:34" ht="12.75">
      <c r="AH2407" s="419">
        <f t="shared" si="654"/>
        <v>0</v>
      </c>
    </row>
    <row r="2408" spans="34:34" ht="12.75">
      <c r="AH2408" s="419">
        <f t="shared" si="654"/>
        <v>0</v>
      </c>
    </row>
    <row r="2409" spans="34:34" ht="12.75">
      <c r="AH2409" s="419">
        <f t="shared" si="654"/>
        <v>0</v>
      </c>
    </row>
    <row r="2410" spans="34:34" ht="12.75">
      <c r="AH2410" s="419">
        <f t="shared" si="654"/>
        <v>0</v>
      </c>
    </row>
    <row r="2411" spans="34:34" ht="12.75">
      <c r="AH2411" s="419">
        <f t="shared" si="654"/>
        <v>0</v>
      </c>
    </row>
    <row r="2412" spans="34:34" ht="12.75">
      <c r="AH2412" s="419">
        <f t="shared" si="654"/>
        <v>0</v>
      </c>
    </row>
    <row r="2413" spans="34:34" ht="12.75">
      <c r="AH2413" s="419">
        <f t="shared" si="654"/>
        <v>0</v>
      </c>
    </row>
    <row r="2414" spans="34:34" ht="12.75">
      <c r="AH2414" s="419">
        <f t="shared" si="654"/>
        <v>0</v>
      </c>
    </row>
    <row r="2415" spans="34:34" ht="12.75">
      <c r="AH2415" s="419">
        <f t="shared" si="654"/>
        <v>0</v>
      </c>
    </row>
    <row r="2416" spans="34:34" ht="12.75">
      <c r="AH2416" s="419">
        <f t="shared" si="654"/>
        <v>0</v>
      </c>
    </row>
    <row r="2417" spans="34:34" ht="12.75">
      <c r="AH2417" s="419">
        <f t="shared" si="654"/>
        <v>0</v>
      </c>
    </row>
    <row r="2418" spans="34:34" ht="12.75">
      <c r="AH2418" s="419">
        <f t="shared" si="654"/>
        <v>0</v>
      </c>
    </row>
    <row r="2419" spans="34:34" ht="12.75">
      <c r="AH2419" s="419">
        <f t="shared" si="654"/>
        <v>0</v>
      </c>
    </row>
    <row r="2420" spans="34:34" ht="12.75">
      <c r="AH2420" s="419">
        <f t="shared" si="654"/>
        <v>0</v>
      </c>
    </row>
    <row r="2421" spans="34:34" ht="12.75">
      <c r="AH2421" s="419">
        <f t="shared" si="654"/>
        <v>0</v>
      </c>
    </row>
    <row r="2422" spans="34:34" ht="12.75">
      <c r="AH2422" s="419">
        <f t="shared" si="654"/>
        <v>0</v>
      </c>
    </row>
    <row r="2423" spans="34:34" ht="12.75">
      <c r="AH2423" s="419">
        <f t="shared" si="654"/>
        <v>0</v>
      </c>
    </row>
    <row r="2424" spans="34:34" ht="12.75">
      <c r="AH2424" s="419">
        <f t="shared" si="654"/>
        <v>0</v>
      </c>
    </row>
    <row r="2425" spans="34:34" ht="12.75">
      <c r="AH2425" s="419">
        <f t="shared" si="654"/>
        <v>0</v>
      </c>
    </row>
    <row r="2426" spans="34:34" ht="12.75">
      <c r="AH2426" s="419">
        <f t="shared" si="654"/>
        <v>0</v>
      </c>
    </row>
    <row r="2427" spans="34:34" ht="12.75">
      <c r="AH2427" s="419">
        <f t="shared" si="654"/>
        <v>0</v>
      </c>
    </row>
    <row r="2428" spans="34:34" ht="12.75">
      <c r="AH2428" s="419">
        <f t="shared" si="654"/>
        <v>0</v>
      </c>
    </row>
    <row r="2429" spans="34:34" ht="12.75">
      <c r="AH2429" s="419">
        <f t="shared" si="654"/>
        <v>0</v>
      </c>
    </row>
    <row r="2430" spans="34:34" ht="12.75">
      <c r="AH2430" s="419">
        <f t="shared" si="654"/>
        <v>0</v>
      </c>
    </row>
    <row r="2431" spans="34:34" ht="12.75">
      <c r="AH2431" s="419">
        <f t="shared" si="654"/>
        <v>0</v>
      </c>
    </row>
    <row r="2432" spans="34:34" ht="12.75">
      <c r="AH2432" s="419">
        <f t="shared" si="654"/>
        <v>0</v>
      </c>
    </row>
    <row r="2433" spans="34:34" ht="12.75">
      <c r="AH2433" s="419">
        <f t="shared" si="654"/>
        <v>0</v>
      </c>
    </row>
    <row r="2434" spans="34:34" ht="12.75">
      <c r="AH2434" s="419">
        <f t="shared" ref="AH2434:AH2497" si="655">AG2434-F2434</f>
        <v>0</v>
      </c>
    </row>
    <row r="2435" spans="34:34" ht="12.75">
      <c r="AH2435" s="419">
        <f t="shared" si="655"/>
        <v>0</v>
      </c>
    </row>
    <row r="2436" spans="34:34" ht="12.75">
      <c r="AH2436" s="419">
        <f t="shared" si="655"/>
        <v>0</v>
      </c>
    </row>
    <row r="2437" spans="34:34" ht="12.75">
      <c r="AH2437" s="419">
        <f t="shared" si="655"/>
        <v>0</v>
      </c>
    </row>
    <row r="2438" spans="34:34" ht="12.75">
      <c r="AH2438" s="419">
        <f t="shared" si="655"/>
        <v>0</v>
      </c>
    </row>
    <row r="2439" spans="34:34" ht="12.75">
      <c r="AH2439" s="419">
        <f t="shared" si="655"/>
        <v>0</v>
      </c>
    </row>
    <row r="2440" spans="34:34" ht="12.75">
      <c r="AH2440" s="419">
        <f t="shared" si="655"/>
        <v>0</v>
      </c>
    </row>
    <row r="2441" spans="34:34" ht="12.75">
      <c r="AH2441" s="419">
        <f t="shared" si="655"/>
        <v>0</v>
      </c>
    </row>
    <row r="2442" spans="34:34" ht="12.75">
      <c r="AH2442" s="419">
        <f t="shared" si="655"/>
        <v>0</v>
      </c>
    </row>
    <row r="2443" spans="34:34" ht="12.75">
      <c r="AH2443" s="419">
        <f t="shared" si="655"/>
        <v>0</v>
      </c>
    </row>
    <row r="2444" spans="34:34" ht="12.75">
      <c r="AH2444" s="419">
        <f t="shared" si="655"/>
        <v>0</v>
      </c>
    </row>
    <row r="2445" spans="34:34" ht="12.75">
      <c r="AH2445" s="419">
        <f t="shared" si="655"/>
        <v>0</v>
      </c>
    </row>
    <row r="2446" spans="34:34" ht="12.75">
      <c r="AH2446" s="419">
        <f t="shared" si="655"/>
        <v>0</v>
      </c>
    </row>
    <row r="2447" spans="34:34" ht="12.75">
      <c r="AH2447" s="419">
        <f t="shared" si="655"/>
        <v>0</v>
      </c>
    </row>
    <row r="2448" spans="34:34" ht="12.75">
      <c r="AH2448" s="419">
        <f t="shared" si="655"/>
        <v>0</v>
      </c>
    </row>
    <row r="2449" spans="34:34" ht="12.75">
      <c r="AH2449" s="419">
        <f t="shared" si="655"/>
        <v>0</v>
      </c>
    </row>
    <row r="2450" spans="34:34" ht="12.75">
      <c r="AH2450" s="419">
        <f t="shared" si="655"/>
        <v>0</v>
      </c>
    </row>
    <row r="2451" spans="34:34" ht="12.75">
      <c r="AH2451" s="419">
        <f t="shared" si="655"/>
        <v>0</v>
      </c>
    </row>
    <row r="2452" spans="34:34" ht="12.75">
      <c r="AH2452" s="419">
        <f t="shared" si="655"/>
        <v>0</v>
      </c>
    </row>
    <row r="2453" spans="34:34" ht="12.75">
      <c r="AH2453" s="419">
        <f t="shared" si="655"/>
        <v>0</v>
      </c>
    </row>
    <row r="2454" spans="34:34" ht="12.75">
      <c r="AH2454" s="419">
        <f t="shared" si="655"/>
        <v>0</v>
      </c>
    </row>
    <row r="2455" spans="34:34" ht="12.75">
      <c r="AH2455" s="419">
        <f t="shared" si="655"/>
        <v>0</v>
      </c>
    </row>
    <row r="2456" spans="34:34" ht="12.75">
      <c r="AH2456" s="419">
        <f t="shared" si="655"/>
        <v>0</v>
      </c>
    </row>
    <row r="2457" spans="34:34" ht="12.75">
      <c r="AH2457" s="419">
        <f t="shared" si="655"/>
        <v>0</v>
      </c>
    </row>
    <row r="2458" spans="34:34" ht="12.75">
      <c r="AH2458" s="419">
        <f t="shared" si="655"/>
        <v>0</v>
      </c>
    </row>
    <row r="2459" spans="34:34" ht="12.75">
      <c r="AH2459" s="419">
        <f t="shared" si="655"/>
        <v>0</v>
      </c>
    </row>
    <row r="2460" spans="34:34" ht="12.75">
      <c r="AH2460" s="419">
        <f t="shared" si="655"/>
        <v>0</v>
      </c>
    </row>
    <row r="2461" spans="34:34" ht="12.75">
      <c r="AH2461" s="419">
        <f t="shared" si="655"/>
        <v>0</v>
      </c>
    </row>
    <row r="2462" spans="34:34" ht="12.75">
      <c r="AH2462" s="419">
        <f t="shared" si="655"/>
        <v>0</v>
      </c>
    </row>
    <row r="2463" spans="34:34" ht="12.75">
      <c r="AH2463" s="419">
        <f t="shared" si="655"/>
        <v>0</v>
      </c>
    </row>
    <row r="2464" spans="34:34" ht="12.75">
      <c r="AH2464" s="419">
        <f t="shared" si="655"/>
        <v>0</v>
      </c>
    </row>
    <row r="2465" spans="34:34" ht="12.75">
      <c r="AH2465" s="419">
        <f t="shared" si="655"/>
        <v>0</v>
      </c>
    </row>
    <row r="2466" spans="34:34" ht="12.75">
      <c r="AH2466" s="419">
        <f t="shared" si="655"/>
        <v>0</v>
      </c>
    </row>
    <row r="2467" spans="34:34" ht="12.75">
      <c r="AH2467" s="419">
        <f t="shared" si="655"/>
        <v>0</v>
      </c>
    </row>
    <row r="2468" spans="34:34" ht="12.75">
      <c r="AH2468" s="419">
        <f t="shared" si="655"/>
        <v>0</v>
      </c>
    </row>
    <row r="2469" spans="34:34" ht="12.75">
      <c r="AH2469" s="419">
        <f t="shared" si="655"/>
        <v>0</v>
      </c>
    </row>
    <row r="2470" spans="34:34" ht="12.75">
      <c r="AH2470" s="419">
        <f t="shared" si="655"/>
        <v>0</v>
      </c>
    </row>
    <row r="2471" spans="34:34" ht="12.75">
      <c r="AH2471" s="419">
        <f t="shared" si="655"/>
        <v>0</v>
      </c>
    </row>
    <row r="2472" spans="34:34" ht="12.75">
      <c r="AH2472" s="419">
        <f t="shared" si="655"/>
        <v>0</v>
      </c>
    </row>
    <row r="2473" spans="34:34" ht="12.75">
      <c r="AH2473" s="419">
        <f t="shared" si="655"/>
        <v>0</v>
      </c>
    </row>
    <row r="2474" spans="34:34" ht="12.75">
      <c r="AH2474" s="419">
        <f t="shared" si="655"/>
        <v>0</v>
      </c>
    </row>
    <row r="2475" spans="34:34" ht="12.75">
      <c r="AH2475" s="419">
        <f t="shared" si="655"/>
        <v>0</v>
      </c>
    </row>
    <row r="2476" spans="34:34" ht="12.75">
      <c r="AH2476" s="419">
        <f t="shared" si="655"/>
        <v>0</v>
      </c>
    </row>
    <row r="2477" spans="34:34" ht="12.75">
      <c r="AH2477" s="419">
        <f t="shared" si="655"/>
        <v>0</v>
      </c>
    </row>
    <row r="2478" spans="34:34" ht="12.75">
      <c r="AH2478" s="419">
        <f t="shared" si="655"/>
        <v>0</v>
      </c>
    </row>
    <row r="2479" spans="34:34" ht="12.75">
      <c r="AH2479" s="419">
        <f t="shared" si="655"/>
        <v>0</v>
      </c>
    </row>
    <row r="2480" spans="34:34" ht="12.75">
      <c r="AH2480" s="419">
        <f t="shared" si="655"/>
        <v>0</v>
      </c>
    </row>
    <row r="2481" spans="34:34" ht="12.75">
      <c r="AH2481" s="419">
        <f t="shared" si="655"/>
        <v>0</v>
      </c>
    </row>
    <row r="2482" spans="34:34" ht="12.75">
      <c r="AH2482" s="419">
        <f t="shared" si="655"/>
        <v>0</v>
      </c>
    </row>
    <row r="2483" spans="34:34" ht="12.75">
      <c r="AH2483" s="419">
        <f t="shared" si="655"/>
        <v>0</v>
      </c>
    </row>
    <row r="2484" spans="34:34" ht="12.75">
      <c r="AH2484" s="419">
        <f t="shared" si="655"/>
        <v>0</v>
      </c>
    </row>
    <row r="2485" spans="34:34" ht="12.75">
      <c r="AH2485" s="419">
        <f t="shared" si="655"/>
        <v>0</v>
      </c>
    </row>
    <row r="2486" spans="34:34" ht="12.75">
      <c r="AH2486" s="419">
        <f t="shared" si="655"/>
        <v>0</v>
      </c>
    </row>
    <row r="2487" spans="34:34" ht="12.75">
      <c r="AH2487" s="419">
        <f t="shared" si="655"/>
        <v>0</v>
      </c>
    </row>
    <row r="2488" spans="34:34" ht="12.75">
      <c r="AH2488" s="419">
        <f t="shared" si="655"/>
        <v>0</v>
      </c>
    </row>
    <row r="2489" spans="34:34" ht="12.75">
      <c r="AH2489" s="419">
        <f t="shared" si="655"/>
        <v>0</v>
      </c>
    </row>
    <row r="2490" spans="34:34" ht="12.75">
      <c r="AH2490" s="419">
        <f t="shared" si="655"/>
        <v>0</v>
      </c>
    </row>
    <row r="2491" spans="34:34" ht="12.75">
      <c r="AH2491" s="419">
        <f t="shared" si="655"/>
        <v>0</v>
      </c>
    </row>
    <row r="2492" spans="34:34" ht="12.75">
      <c r="AH2492" s="419">
        <f t="shared" si="655"/>
        <v>0</v>
      </c>
    </row>
    <row r="2493" spans="34:34" ht="12.75">
      <c r="AH2493" s="419">
        <f t="shared" si="655"/>
        <v>0</v>
      </c>
    </row>
    <row r="2494" spans="34:34" ht="12.75">
      <c r="AH2494" s="419">
        <f t="shared" si="655"/>
        <v>0</v>
      </c>
    </row>
    <row r="2495" spans="34:34" ht="12.75">
      <c r="AH2495" s="419">
        <f t="shared" si="655"/>
        <v>0</v>
      </c>
    </row>
    <row r="2496" spans="34:34" ht="12.75">
      <c r="AH2496" s="419">
        <f t="shared" si="655"/>
        <v>0</v>
      </c>
    </row>
    <row r="2497" spans="34:34" ht="12.75">
      <c r="AH2497" s="419">
        <f t="shared" si="655"/>
        <v>0</v>
      </c>
    </row>
    <row r="2498" spans="34:34" ht="12.75">
      <c r="AH2498" s="419">
        <f t="shared" ref="AH2498:AH2538" si="656">AG2498-F2498</f>
        <v>0</v>
      </c>
    </row>
    <row r="2499" spans="34:34" ht="12.75">
      <c r="AH2499" s="419">
        <f t="shared" si="656"/>
        <v>0</v>
      </c>
    </row>
    <row r="2500" spans="34:34" ht="12.75">
      <c r="AH2500" s="419">
        <f t="shared" si="656"/>
        <v>0</v>
      </c>
    </row>
    <row r="2501" spans="34:34" ht="12.75">
      <c r="AH2501" s="419">
        <f t="shared" si="656"/>
        <v>0</v>
      </c>
    </row>
    <row r="2502" spans="34:34" ht="12.75">
      <c r="AH2502" s="419">
        <f t="shared" si="656"/>
        <v>0</v>
      </c>
    </row>
    <row r="2503" spans="34:34" ht="12.75">
      <c r="AH2503" s="419">
        <f t="shared" si="656"/>
        <v>0</v>
      </c>
    </row>
    <row r="2504" spans="34:34" ht="12.75">
      <c r="AH2504" s="419">
        <f t="shared" si="656"/>
        <v>0</v>
      </c>
    </row>
    <row r="2505" spans="34:34" ht="12.75">
      <c r="AH2505" s="419">
        <f t="shared" si="656"/>
        <v>0</v>
      </c>
    </row>
    <row r="2506" spans="34:34" ht="12.75">
      <c r="AH2506" s="419">
        <f t="shared" si="656"/>
        <v>0</v>
      </c>
    </row>
    <row r="2507" spans="34:34" ht="12.75">
      <c r="AH2507" s="419">
        <f t="shared" si="656"/>
        <v>0</v>
      </c>
    </row>
    <row r="2508" spans="34:34" ht="12.75">
      <c r="AH2508" s="419">
        <f t="shared" si="656"/>
        <v>0</v>
      </c>
    </row>
    <row r="2509" spans="34:34" ht="12.75">
      <c r="AH2509" s="419">
        <f t="shared" si="656"/>
        <v>0</v>
      </c>
    </row>
    <row r="2510" spans="34:34" ht="12.75">
      <c r="AH2510" s="419">
        <f t="shared" si="656"/>
        <v>0</v>
      </c>
    </row>
    <row r="2511" spans="34:34" ht="12.75">
      <c r="AH2511" s="419">
        <f t="shared" si="656"/>
        <v>0</v>
      </c>
    </row>
    <row r="2512" spans="34:34" ht="12.75">
      <c r="AH2512" s="419">
        <f t="shared" si="656"/>
        <v>0</v>
      </c>
    </row>
    <row r="2513" spans="34:34" ht="12.75">
      <c r="AH2513" s="419">
        <f t="shared" si="656"/>
        <v>0</v>
      </c>
    </row>
    <row r="2514" spans="34:34" ht="12.75">
      <c r="AH2514" s="419">
        <f t="shared" si="656"/>
        <v>0</v>
      </c>
    </row>
    <row r="2515" spans="34:34" ht="12.75">
      <c r="AH2515" s="419">
        <f t="shared" si="656"/>
        <v>0</v>
      </c>
    </row>
    <row r="2516" spans="34:34" ht="12.75">
      <c r="AH2516" s="419">
        <f t="shared" si="656"/>
        <v>0</v>
      </c>
    </row>
    <row r="2517" spans="34:34" ht="12.75">
      <c r="AH2517" s="419">
        <f t="shared" si="656"/>
        <v>0</v>
      </c>
    </row>
    <row r="2518" spans="34:34" ht="12.75">
      <c r="AH2518" s="419">
        <f t="shared" si="656"/>
        <v>0</v>
      </c>
    </row>
    <row r="2519" spans="34:34" ht="12.75">
      <c r="AH2519" s="419">
        <f t="shared" si="656"/>
        <v>0</v>
      </c>
    </row>
    <row r="2520" spans="34:34" ht="12.75">
      <c r="AH2520" s="419">
        <f t="shared" si="656"/>
        <v>0</v>
      </c>
    </row>
    <row r="2521" spans="34:34" ht="12.75">
      <c r="AH2521" s="419">
        <f t="shared" si="656"/>
        <v>0</v>
      </c>
    </row>
    <row r="2522" spans="34:34" ht="12.75">
      <c r="AH2522" s="419">
        <f t="shared" si="656"/>
        <v>0</v>
      </c>
    </row>
    <row r="2523" spans="34:34" ht="12.75">
      <c r="AH2523" s="419">
        <f t="shared" si="656"/>
        <v>0</v>
      </c>
    </row>
    <row r="2524" spans="34:34" ht="12.75">
      <c r="AH2524" s="419">
        <f t="shared" si="656"/>
        <v>0</v>
      </c>
    </row>
    <row r="2525" spans="34:34" ht="12.75">
      <c r="AH2525" s="419">
        <f t="shared" si="656"/>
        <v>0</v>
      </c>
    </row>
    <row r="2526" spans="34:34" ht="12.75">
      <c r="AH2526" s="419">
        <f t="shared" si="656"/>
        <v>0</v>
      </c>
    </row>
    <row r="2527" spans="34:34" ht="12.75">
      <c r="AH2527" s="419">
        <f t="shared" si="656"/>
        <v>0</v>
      </c>
    </row>
    <row r="2528" spans="34:34" ht="12.75">
      <c r="AH2528" s="419">
        <f t="shared" si="656"/>
        <v>0</v>
      </c>
    </row>
    <row r="2529" spans="34:34" ht="12.75">
      <c r="AH2529" s="419">
        <f t="shared" si="656"/>
        <v>0</v>
      </c>
    </row>
    <row r="2530" spans="34:34" ht="12.75">
      <c r="AH2530" s="419">
        <f t="shared" si="656"/>
        <v>0</v>
      </c>
    </row>
    <row r="2531" spans="34:34" ht="12.75">
      <c r="AH2531" s="419">
        <f t="shared" si="656"/>
        <v>0</v>
      </c>
    </row>
    <row r="2532" spans="34:34" ht="12.75">
      <c r="AH2532" s="419">
        <f t="shared" si="656"/>
        <v>0</v>
      </c>
    </row>
    <row r="2533" spans="34:34" ht="12.75">
      <c r="AH2533" s="419">
        <f t="shared" si="656"/>
        <v>0</v>
      </c>
    </row>
    <row r="2534" spans="34:34" ht="12.75">
      <c r="AH2534" s="419">
        <f t="shared" si="656"/>
        <v>0</v>
      </c>
    </row>
    <row r="2535" spans="34:34" ht="12.75">
      <c r="AH2535" s="419">
        <f t="shared" si="656"/>
        <v>0</v>
      </c>
    </row>
    <row r="2536" spans="34:34" ht="12.75">
      <c r="AH2536" s="419">
        <f t="shared" si="656"/>
        <v>0</v>
      </c>
    </row>
    <row r="2537" spans="34:34" ht="12.75">
      <c r="AH2537" s="419">
        <f t="shared" si="656"/>
        <v>0</v>
      </c>
    </row>
    <row r="2538" spans="34:34" ht="12.75">
      <c r="AH2538" s="419">
        <f t="shared" si="656"/>
        <v>0</v>
      </c>
    </row>
  </sheetData>
  <autoFilter ref="A3:AA560" xr:uid="{00000000-0009-0000-0000-000011000000}"/>
  <pageMargins left="0.7" right="0.7" top="0.75" bottom="0.75" header="0.3" footer="0.3"/>
  <pageSetup paperSize="8" scale="22" fitToHeight="0" orientation="portrait" r:id="rId1"/>
  <headerFooter>
    <oddFooter>Pagina &amp;P di &amp;N</oddFoot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02"/>
  <sheetViews>
    <sheetView view="pageBreakPreview" topLeftCell="A74" zoomScale="115" zoomScaleNormal="100" zoomScaleSheetLayoutView="115" workbookViewId="0">
      <selection activeCell="A74" sqref="A1:XFD1048576"/>
    </sheetView>
  </sheetViews>
  <sheetFormatPr defaultRowHeight="15"/>
  <cols>
    <col min="1" max="1" width="2.140625" customWidth="1"/>
    <col min="2" max="2" width="3" customWidth="1"/>
    <col min="3" max="3" width="6.42578125" customWidth="1"/>
    <col min="4" max="4" width="5.7109375" customWidth="1"/>
    <col min="5" max="5" width="19.140625" customWidth="1"/>
    <col min="6" max="6" width="24.5703125" customWidth="1"/>
    <col min="7" max="7" width="10.5703125" bestFit="1" customWidth="1"/>
    <col min="8" max="8" width="7.85546875" customWidth="1"/>
    <col min="9" max="9" width="16" style="1063" bestFit="1" customWidth="1"/>
    <col min="10" max="10" width="16.28515625" style="1064" bestFit="1" customWidth="1"/>
    <col min="11" max="11" width="14.42578125" style="1064" bestFit="1" customWidth="1"/>
    <col min="12" max="12" width="8" customWidth="1"/>
    <col min="13" max="14" width="16.140625" bestFit="1" customWidth="1"/>
    <col min="15" max="15" width="12.7109375" bestFit="1" customWidth="1"/>
  </cols>
  <sheetData>
    <row r="1" spans="1:14">
      <c r="A1" s="1331" t="s">
        <v>13283</v>
      </c>
      <c r="B1" s="1332"/>
      <c r="C1" s="1332"/>
      <c r="D1" s="1332"/>
      <c r="E1" s="1332"/>
      <c r="F1" s="1332"/>
      <c r="G1" s="1332"/>
      <c r="H1" s="1332"/>
      <c r="I1" s="1332"/>
      <c r="J1" s="1332"/>
      <c r="K1" s="1332"/>
      <c r="L1" s="1333"/>
    </row>
    <row r="2" spans="1:14">
      <c r="A2" s="1334"/>
      <c r="B2" s="1335"/>
      <c r="C2" s="1335"/>
      <c r="D2" s="1335"/>
      <c r="E2" s="1335"/>
      <c r="F2" s="1335"/>
      <c r="G2" s="1335"/>
      <c r="H2" s="1335"/>
      <c r="I2" s="1335"/>
      <c r="J2" s="1335"/>
      <c r="K2" s="1335"/>
      <c r="L2" s="1336"/>
    </row>
    <row r="3" spans="1:14">
      <c r="A3" s="923"/>
      <c r="B3" s="923"/>
      <c r="C3" s="923"/>
      <c r="D3" s="923"/>
      <c r="E3" s="923"/>
      <c r="F3" s="923"/>
      <c r="G3" s="923"/>
      <c r="H3" s="923"/>
      <c r="I3" s="1036"/>
      <c r="J3" s="1036"/>
      <c r="K3" s="1065"/>
      <c r="L3" s="924"/>
    </row>
    <row r="4" spans="1:14" ht="24" customHeight="1">
      <c r="A4" s="1337" t="s">
        <v>13031</v>
      </c>
      <c r="B4" s="1337"/>
      <c r="C4" s="1337"/>
      <c r="D4" s="1337"/>
      <c r="E4" s="1337"/>
      <c r="F4" s="1337"/>
      <c r="G4" s="1337"/>
      <c r="H4" s="1337"/>
      <c r="I4" s="1338" t="s">
        <v>13284</v>
      </c>
      <c r="J4" s="1338" t="s">
        <v>13032</v>
      </c>
      <c r="K4" s="1339" t="s">
        <v>13282</v>
      </c>
      <c r="L4" s="1339"/>
    </row>
    <row r="5" spans="1:14">
      <c r="A5" s="1337"/>
      <c r="B5" s="1337"/>
      <c r="C5" s="1337"/>
      <c r="D5" s="1337"/>
      <c r="E5" s="1337"/>
      <c r="F5" s="1337"/>
      <c r="G5" s="1337"/>
      <c r="H5" s="1337"/>
      <c r="I5" s="1338"/>
      <c r="J5" s="1338"/>
      <c r="K5" s="1066" t="s">
        <v>0</v>
      </c>
      <c r="L5" s="925" t="s">
        <v>12930</v>
      </c>
    </row>
    <row r="6" spans="1:14">
      <c r="A6" s="926" t="s">
        <v>634</v>
      </c>
      <c r="B6" s="927"/>
      <c r="C6" s="927"/>
      <c r="D6" s="927"/>
      <c r="E6" s="927"/>
      <c r="F6" s="927"/>
      <c r="G6" s="928"/>
      <c r="H6" s="929"/>
      <c r="I6" s="1037">
        <v>104779660.38</v>
      </c>
      <c r="J6" s="1037">
        <v>105731140.41</v>
      </c>
      <c r="K6" s="1067">
        <v>-951480.03000000119</v>
      </c>
      <c r="L6" s="930">
        <v>-8.9990519946194659E-3</v>
      </c>
    </row>
    <row r="7" spans="1:14">
      <c r="A7" s="1173"/>
      <c r="B7" s="1340" t="s">
        <v>13033</v>
      </c>
      <c r="C7" s="1340"/>
      <c r="D7" s="1340"/>
      <c r="E7" s="1340"/>
      <c r="F7" s="1030"/>
      <c r="G7" s="933"/>
      <c r="H7" s="934"/>
      <c r="I7" s="1038">
        <v>60829895.950000003</v>
      </c>
      <c r="J7" s="1038">
        <v>59095217.780000001</v>
      </c>
      <c r="K7" s="1068">
        <v>1734678.1700000018</v>
      </c>
      <c r="L7" s="935">
        <v>2.9353951726819438E-2</v>
      </c>
      <c r="M7" s="764"/>
    </row>
    <row r="8" spans="1:14">
      <c r="A8" s="1174"/>
      <c r="B8" s="1026"/>
      <c r="C8" s="1031" t="s">
        <v>13034</v>
      </c>
      <c r="D8" s="1031"/>
      <c r="E8" s="1031"/>
      <c r="F8" s="1031"/>
      <c r="G8" s="939"/>
      <c r="H8" s="940"/>
      <c r="I8" s="1039"/>
      <c r="J8" s="1039"/>
      <c r="K8" s="1069"/>
      <c r="L8" s="935">
        <v>0</v>
      </c>
    </row>
    <row r="9" spans="1:14">
      <c r="A9" s="1174"/>
      <c r="B9" s="1026"/>
      <c r="C9" s="1031" t="s">
        <v>13035</v>
      </c>
      <c r="D9" s="1031"/>
      <c r="E9" s="1031"/>
      <c r="F9" s="1023"/>
      <c r="G9" s="939"/>
      <c r="H9" s="940"/>
      <c r="I9" s="1039"/>
      <c r="J9" s="1039"/>
      <c r="K9" s="1069"/>
      <c r="L9" s="935">
        <v>0</v>
      </c>
    </row>
    <row r="10" spans="1:14">
      <c r="A10" s="1175"/>
      <c r="B10" s="1026"/>
      <c r="C10" s="1031" t="s">
        <v>13036</v>
      </c>
      <c r="D10" s="1031"/>
      <c r="E10" s="1031"/>
      <c r="F10" s="1023"/>
      <c r="G10" s="939"/>
      <c r="H10" s="940"/>
      <c r="I10" s="1039"/>
      <c r="J10" s="1039"/>
      <c r="K10" s="1069"/>
      <c r="L10" s="935">
        <v>0</v>
      </c>
    </row>
    <row r="11" spans="1:14">
      <c r="A11" s="1175"/>
      <c r="B11" s="1026"/>
      <c r="C11" s="1023" t="s">
        <v>13037</v>
      </c>
      <c r="D11" s="1031"/>
      <c r="E11" s="1031"/>
      <c r="F11" s="1023"/>
      <c r="G11" s="939"/>
      <c r="H11" s="940"/>
      <c r="I11" s="1039">
        <v>37102646.579999998</v>
      </c>
      <c r="J11" s="1039">
        <v>34646048.910000004</v>
      </c>
      <c r="K11" s="1069">
        <v>2456597.6699999943</v>
      </c>
      <c r="L11" s="935">
        <v>7.0905564913952959E-2</v>
      </c>
    </row>
    <row r="12" spans="1:14">
      <c r="A12" s="1175"/>
      <c r="B12" s="1026"/>
      <c r="C12" s="1023" t="s">
        <v>13038</v>
      </c>
      <c r="D12" s="1031"/>
      <c r="E12" s="1031"/>
      <c r="F12" s="1023"/>
      <c r="G12" s="939"/>
      <c r="H12" s="940"/>
      <c r="I12" s="1039">
        <v>23727249.370000001</v>
      </c>
      <c r="J12" s="1039">
        <v>24449168.870000001</v>
      </c>
      <c r="K12" s="1069">
        <v>-721919.5</v>
      </c>
      <c r="L12" s="935">
        <v>-2.9527363643261546E-2</v>
      </c>
    </row>
    <row r="13" spans="1:14">
      <c r="A13" s="1173"/>
      <c r="B13" s="1340" t="s">
        <v>13039</v>
      </c>
      <c r="C13" s="1340"/>
      <c r="D13" s="1340"/>
      <c r="E13" s="1340"/>
      <c r="F13" s="1030"/>
      <c r="G13" s="933"/>
      <c r="H13" s="934"/>
      <c r="I13" s="1038">
        <v>43771764.43</v>
      </c>
      <c r="J13" s="1038">
        <v>46457922.629999995</v>
      </c>
      <c r="K13" s="1068">
        <v>-2686158.1999999955</v>
      </c>
      <c r="L13" s="935">
        <v>-5.7819162974485236E-2</v>
      </c>
      <c r="M13" s="764"/>
      <c r="N13" s="764"/>
    </row>
    <row r="14" spans="1:14">
      <c r="A14" s="1174"/>
      <c r="B14" s="1021"/>
      <c r="C14" s="1330" t="s">
        <v>13040</v>
      </c>
      <c r="D14" s="1330"/>
      <c r="E14" s="1023"/>
      <c r="F14" s="1023"/>
      <c r="G14" s="939"/>
      <c r="H14" s="940"/>
      <c r="I14" s="1039">
        <v>0</v>
      </c>
      <c r="J14" s="1039">
        <v>0</v>
      </c>
      <c r="K14" s="1069">
        <v>0</v>
      </c>
      <c r="L14" s="935">
        <v>0</v>
      </c>
    </row>
    <row r="15" spans="1:14">
      <c r="A15" s="1174"/>
      <c r="B15" s="1021"/>
      <c r="C15" s="1024" t="s">
        <v>13041</v>
      </c>
      <c r="D15" s="1026"/>
      <c r="E15" s="1026"/>
      <c r="F15" s="1024"/>
      <c r="G15" s="944"/>
      <c r="H15" s="945"/>
      <c r="I15" s="1040">
        <v>0</v>
      </c>
      <c r="J15" s="1040">
        <v>0</v>
      </c>
      <c r="K15" s="1069">
        <v>0</v>
      </c>
      <c r="L15" s="935">
        <v>0</v>
      </c>
    </row>
    <row r="16" spans="1:14">
      <c r="A16" s="1174"/>
      <c r="B16" s="1021"/>
      <c r="C16" s="1024" t="s">
        <v>13042</v>
      </c>
      <c r="D16" s="1026"/>
      <c r="E16" s="1026"/>
      <c r="F16" s="1024"/>
      <c r="G16" s="944"/>
      <c r="H16" s="945"/>
      <c r="I16" s="1040">
        <v>0</v>
      </c>
      <c r="J16" s="1040">
        <v>0</v>
      </c>
      <c r="K16" s="1069">
        <v>0</v>
      </c>
      <c r="L16" s="935">
        <v>0</v>
      </c>
    </row>
    <row r="17" spans="1:12">
      <c r="A17" s="1174"/>
      <c r="B17" s="1021"/>
      <c r="C17" s="1330" t="s">
        <v>13043</v>
      </c>
      <c r="D17" s="1330"/>
      <c r="E17" s="1023"/>
      <c r="F17" s="1023"/>
      <c r="G17" s="939"/>
      <c r="H17" s="940"/>
      <c r="I17" s="1039">
        <v>202453.02999999997</v>
      </c>
      <c r="J17" s="1039">
        <v>240555.97999999998</v>
      </c>
      <c r="K17" s="1039">
        <v>-38102.950000000012</v>
      </c>
      <c r="L17" s="935">
        <v>-0.15839535562574672</v>
      </c>
    </row>
    <row r="18" spans="1:12">
      <c r="A18" s="1176"/>
      <c r="B18" s="1177"/>
      <c r="C18" s="1024" t="s">
        <v>13044</v>
      </c>
      <c r="D18" s="1178"/>
      <c r="E18" s="1026"/>
      <c r="F18" s="1024"/>
      <c r="G18" s="944"/>
      <c r="H18" s="945"/>
      <c r="I18" s="1040">
        <v>202453.02999999997</v>
      </c>
      <c r="J18" s="1040">
        <v>240555.97999999998</v>
      </c>
      <c r="K18" s="1069">
        <v>-38102.950000000012</v>
      </c>
      <c r="L18" s="935">
        <v>-0.15839535562574672</v>
      </c>
    </row>
    <row r="19" spans="1:12">
      <c r="A19" s="1176"/>
      <c r="B19" s="1177"/>
      <c r="C19" s="1024" t="s">
        <v>13045</v>
      </c>
      <c r="D19" s="1178"/>
      <c r="E19" s="1026"/>
      <c r="F19" s="1024"/>
      <c r="G19" s="944"/>
      <c r="H19" s="945"/>
      <c r="I19" s="1040">
        <v>0</v>
      </c>
      <c r="J19" s="1040">
        <v>0</v>
      </c>
      <c r="K19" s="1069">
        <v>0</v>
      </c>
      <c r="L19" s="935">
        <v>0</v>
      </c>
    </row>
    <row r="20" spans="1:12">
      <c r="A20" s="1175"/>
      <c r="B20" s="1021"/>
      <c r="C20" s="1031" t="s">
        <v>13046</v>
      </c>
      <c r="D20" s="1031"/>
      <c r="E20" s="1023"/>
      <c r="F20" s="1023"/>
      <c r="G20" s="939"/>
      <c r="H20" s="940"/>
      <c r="I20" s="1039">
        <v>6668660.8500000015</v>
      </c>
      <c r="J20" s="1039">
        <v>7463158.5599999987</v>
      </c>
      <c r="K20" s="1069">
        <v>-794497.70999999717</v>
      </c>
      <c r="L20" s="935">
        <v>-0.10645596011563196</v>
      </c>
    </row>
    <row r="21" spans="1:12">
      <c r="A21" s="1175"/>
      <c r="B21" s="1021"/>
      <c r="C21" s="1330" t="s">
        <v>13047</v>
      </c>
      <c r="D21" s="1330"/>
      <c r="E21" s="1330"/>
      <c r="F21" s="1023"/>
      <c r="G21" s="939"/>
      <c r="H21" s="940"/>
      <c r="I21" s="1039">
        <v>7250102.0599999949</v>
      </c>
      <c r="J21" s="1039">
        <v>9841148.599999994</v>
      </c>
      <c r="K21" s="1069">
        <v>-2591046.5399999991</v>
      </c>
      <c r="L21" s="935">
        <v>-0.26328700493355023</v>
      </c>
    </row>
    <row r="22" spans="1:12">
      <c r="A22" s="1175"/>
      <c r="B22" s="1021"/>
      <c r="C22" s="1330" t="s">
        <v>13048</v>
      </c>
      <c r="D22" s="1330"/>
      <c r="E22" s="1330"/>
      <c r="F22" s="1023"/>
      <c r="G22" s="939"/>
      <c r="H22" s="940"/>
      <c r="I22" s="1039">
        <v>455096.83000000007</v>
      </c>
      <c r="J22" s="1039">
        <v>533398.12000000011</v>
      </c>
      <c r="K22" s="1069">
        <v>-78301.290000000037</v>
      </c>
      <c r="L22" s="935">
        <v>-0.14679708657390847</v>
      </c>
    </row>
    <row r="23" spans="1:12">
      <c r="A23" s="1175"/>
      <c r="B23" s="1021"/>
      <c r="C23" s="1330" t="s">
        <v>13049</v>
      </c>
      <c r="D23" s="1330"/>
      <c r="E23" s="1330"/>
      <c r="F23" s="1023"/>
      <c r="G23" s="939"/>
      <c r="H23" s="940"/>
      <c r="I23" s="1039">
        <v>44531.639999999985</v>
      </c>
      <c r="J23" s="1039">
        <v>68329.669999999984</v>
      </c>
      <c r="K23" s="1069">
        <v>-23798.03</v>
      </c>
      <c r="L23" s="935">
        <v>-0.34828252499975493</v>
      </c>
    </row>
    <row r="24" spans="1:12">
      <c r="A24" s="1175"/>
      <c r="B24" s="1021"/>
      <c r="C24" s="1330" t="s">
        <v>13050</v>
      </c>
      <c r="D24" s="1330"/>
      <c r="E24" s="1330"/>
      <c r="F24" s="1023"/>
      <c r="G24" s="939"/>
      <c r="H24" s="940"/>
      <c r="I24" s="1039">
        <v>0</v>
      </c>
      <c r="J24" s="1039">
        <v>0</v>
      </c>
      <c r="K24" s="1069">
        <v>0</v>
      </c>
      <c r="L24" s="935">
        <v>0</v>
      </c>
    </row>
    <row r="25" spans="1:12">
      <c r="A25" s="1175"/>
      <c r="B25" s="1021"/>
      <c r="C25" s="1330" t="s">
        <v>13051</v>
      </c>
      <c r="D25" s="1330"/>
      <c r="E25" s="1330"/>
      <c r="F25" s="1023"/>
      <c r="G25" s="939"/>
      <c r="H25" s="940"/>
      <c r="I25" s="1039">
        <v>288427.50000000023</v>
      </c>
      <c r="J25" s="1039">
        <v>97126.019999999902</v>
      </c>
      <c r="K25" s="1069">
        <v>191301.48000000033</v>
      </c>
      <c r="L25" s="935">
        <v>1.9696213228957649</v>
      </c>
    </row>
    <row r="26" spans="1:12">
      <c r="A26" s="1175"/>
      <c r="B26" s="1021"/>
      <c r="C26" s="1330" t="s">
        <v>13052</v>
      </c>
      <c r="D26" s="1330"/>
      <c r="E26" s="1330"/>
      <c r="F26" s="1179"/>
      <c r="G26" s="946"/>
      <c r="H26" s="947"/>
      <c r="I26" s="1039">
        <v>28862492.52</v>
      </c>
      <c r="J26" s="1039">
        <v>28214205.68</v>
      </c>
      <c r="K26" s="1069">
        <v>648286.83999999985</v>
      </c>
      <c r="L26" s="935">
        <v>2.2977320267412182E-2</v>
      </c>
    </row>
    <row r="27" spans="1:12">
      <c r="A27" s="1175"/>
      <c r="B27" s="1021"/>
      <c r="C27" s="1021"/>
      <c r="D27" s="1025"/>
      <c r="E27" s="1179"/>
      <c r="F27" s="1179"/>
      <c r="G27" s="949" t="s">
        <v>13053</v>
      </c>
      <c r="H27" s="949" t="s">
        <v>13054</v>
      </c>
      <c r="I27" s="1041"/>
      <c r="J27" s="1041"/>
      <c r="K27" s="1069">
        <v>0</v>
      </c>
      <c r="L27" s="935">
        <v>0</v>
      </c>
    </row>
    <row r="28" spans="1:12" ht="23.25" customHeight="1">
      <c r="A28" s="1173"/>
      <c r="B28" s="1341" t="s">
        <v>13055</v>
      </c>
      <c r="C28" s="1341"/>
      <c r="D28" s="1341"/>
      <c r="E28" s="1341"/>
      <c r="F28" s="1342"/>
      <c r="G28" s="950">
        <v>0</v>
      </c>
      <c r="H28" s="950">
        <v>0</v>
      </c>
      <c r="I28" s="1041">
        <v>178000</v>
      </c>
      <c r="J28" s="1041">
        <v>178000</v>
      </c>
      <c r="K28" s="1070">
        <v>0</v>
      </c>
      <c r="L28" s="935">
        <v>0</v>
      </c>
    </row>
    <row r="29" spans="1:12">
      <c r="A29" s="1175"/>
      <c r="B29" s="1021"/>
      <c r="C29" s="1330" t="s">
        <v>13056</v>
      </c>
      <c r="D29" s="1330"/>
      <c r="E29" s="1330"/>
      <c r="F29" s="1180"/>
      <c r="G29" s="951">
        <v>0</v>
      </c>
      <c r="H29" s="951">
        <v>0</v>
      </c>
      <c r="I29" s="1042">
        <v>0</v>
      </c>
      <c r="J29" s="1042">
        <v>0</v>
      </c>
      <c r="K29" s="1069">
        <v>0</v>
      </c>
      <c r="L29" s="935">
        <v>0</v>
      </c>
    </row>
    <row r="30" spans="1:12">
      <c r="A30" s="1174"/>
      <c r="B30" s="1021"/>
      <c r="C30" s="1024" t="s">
        <v>13057</v>
      </c>
      <c r="D30" s="1025"/>
      <c r="E30" s="1026"/>
      <c r="F30" s="1024"/>
      <c r="G30" s="952">
        <v>0</v>
      </c>
      <c r="H30" s="945"/>
      <c r="I30" s="1040">
        <v>0</v>
      </c>
      <c r="J30" s="1040">
        <v>0</v>
      </c>
      <c r="K30" s="1069">
        <v>0</v>
      </c>
      <c r="L30" s="935">
        <v>0</v>
      </c>
    </row>
    <row r="31" spans="1:12">
      <c r="A31" s="1174"/>
      <c r="B31" s="1021"/>
      <c r="C31" s="1024" t="s">
        <v>13058</v>
      </c>
      <c r="D31" s="1025"/>
      <c r="E31" s="1026"/>
      <c r="F31" s="1024"/>
      <c r="G31" s="952">
        <v>0</v>
      </c>
      <c r="H31" s="945"/>
      <c r="I31" s="1040">
        <v>0</v>
      </c>
      <c r="J31" s="1040">
        <v>0</v>
      </c>
      <c r="K31" s="1069">
        <v>0</v>
      </c>
      <c r="L31" s="935">
        <v>0</v>
      </c>
    </row>
    <row r="32" spans="1:12">
      <c r="A32" s="1174"/>
      <c r="B32" s="1021"/>
      <c r="C32" s="1024" t="s">
        <v>13059</v>
      </c>
      <c r="D32" s="1025"/>
      <c r="E32" s="1026"/>
      <c r="F32" s="1024"/>
      <c r="G32" s="945">
        <v>0</v>
      </c>
      <c r="H32" s="945"/>
      <c r="I32" s="1040">
        <v>0</v>
      </c>
      <c r="J32" s="1040">
        <v>0</v>
      </c>
      <c r="K32" s="1069">
        <v>0</v>
      </c>
      <c r="L32" s="935">
        <v>0</v>
      </c>
    </row>
    <row r="33" spans="1:12">
      <c r="A33" s="1174"/>
      <c r="B33" s="1021"/>
      <c r="C33" s="1024" t="s">
        <v>13060</v>
      </c>
      <c r="D33" s="1024"/>
      <c r="E33" s="1026"/>
      <c r="F33" s="1024"/>
      <c r="G33" s="953">
        <v>0</v>
      </c>
      <c r="H33" s="954"/>
      <c r="I33" s="1040">
        <v>0</v>
      </c>
      <c r="J33" s="1040">
        <v>0</v>
      </c>
      <c r="K33" s="1069">
        <v>0</v>
      </c>
      <c r="L33" s="935">
        <v>0</v>
      </c>
    </row>
    <row r="34" spans="1:12">
      <c r="A34" s="1174"/>
      <c r="B34" s="1021"/>
      <c r="C34" s="1330" t="s">
        <v>13061</v>
      </c>
      <c r="D34" s="1330"/>
      <c r="E34" s="1330"/>
      <c r="F34" s="1024"/>
      <c r="G34" s="1345"/>
      <c r="H34" s="1345"/>
      <c r="I34" s="1041">
        <v>178000</v>
      </c>
      <c r="J34" s="1041">
        <v>178000</v>
      </c>
      <c r="K34" s="1069">
        <v>0</v>
      </c>
      <c r="L34" s="935">
        <v>0</v>
      </c>
    </row>
    <row r="35" spans="1:12">
      <c r="A35" s="1174"/>
      <c r="B35" s="1021"/>
      <c r="C35" s="1024" t="s">
        <v>13062</v>
      </c>
      <c r="D35" s="1025"/>
      <c r="E35" s="1026"/>
      <c r="F35" s="1024"/>
      <c r="G35" s="941"/>
      <c r="H35" s="955"/>
      <c r="I35" s="1043">
        <v>178000</v>
      </c>
      <c r="J35" s="1043">
        <v>178000</v>
      </c>
      <c r="K35" s="1069">
        <v>0</v>
      </c>
      <c r="L35" s="935">
        <v>0</v>
      </c>
    </row>
    <row r="36" spans="1:12">
      <c r="A36" s="1174"/>
      <c r="B36" s="1021"/>
      <c r="C36" s="1024" t="s">
        <v>13063</v>
      </c>
      <c r="D36" s="1025"/>
      <c r="E36" s="1026"/>
      <c r="F36" s="1024"/>
      <c r="G36" s="956"/>
      <c r="H36" s="957"/>
      <c r="I36" s="1039">
        <v>0</v>
      </c>
      <c r="J36" s="1039">
        <v>0</v>
      </c>
      <c r="K36" s="1069">
        <v>0</v>
      </c>
      <c r="L36" s="935">
        <v>0</v>
      </c>
    </row>
    <row r="37" spans="1:12">
      <c r="A37" s="958"/>
      <c r="B37" s="959" t="s">
        <v>12963</v>
      </c>
      <c r="C37" s="960"/>
      <c r="D37" s="960"/>
      <c r="E37" s="960"/>
      <c r="F37" s="960"/>
      <c r="G37" s="961"/>
      <c r="H37" s="962"/>
      <c r="I37" s="1044">
        <v>104779660.38</v>
      </c>
      <c r="J37" s="1044">
        <v>105731140.41</v>
      </c>
      <c r="K37" s="1071">
        <v>-951480.03000000119</v>
      </c>
      <c r="L37" s="935">
        <v>-8.9990519946194659E-3</v>
      </c>
    </row>
    <row r="38" spans="1:12">
      <c r="A38" s="942"/>
      <c r="B38" s="963"/>
      <c r="C38" s="941"/>
      <c r="D38" s="941"/>
      <c r="E38" s="941"/>
      <c r="F38" s="941"/>
      <c r="G38" s="939"/>
      <c r="H38" s="940"/>
      <c r="I38" s="1039"/>
      <c r="J38" s="1039"/>
      <c r="K38" s="1069">
        <v>0</v>
      </c>
      <c r="L38" s="935">
        <v>0</v>
      </c>
    </row>
    <row r="39" spans="1:12">
      <c r="A39" s="931" t="s">
        <v>11852</v>
      </c>
      <c r="B39" s="964"/>
      <c r="C39" s="965"/>
      <c r="D39" s="965"/>
      <c r="E39" s="965"/>
      <c r="F39" s="965"/>
      <c r="G39" s="933"/>
      <c r="H39" s="934"/>
      <c r="I39" s="1038">
        <v>211497814.83999997</v>
      </c>
      <c r="J39" s="1038">
        <v>198572307.47</v>
      </c>
      <c r="K39" s="1069">
        <v>12925507.369999975</v>
      </c>
      <c r="L39" s="935">
        <v>6.5092195053193608E-2</v>
      </c>
    </row>
    <row r="40" spans="1:12">
      <c r="A40" s="931"/>
      <c r="B40" s="1346" t="s">
        <v>13064</v>
      </c>
      <c r="C40" s="1346"/>
      <c r="D40" s="932"/>
      <c r="E40" s="932"/>
      <c r="F40" s="932"/>
      <c r="G40" s="933"/>
      <c r="H40" s="934"/>
      <c r="I40" s="1045">
        <v>27585759.890000001</v>
      </c>
      <c r="J40" s="1045">
        <v>24861543.75</v>
      </c>
      <c r="K40" s="1068">
        <v>2724216.1400000006</v>
      </c>
      <c r="L40" s="935">
        <v>0.10957550212464182</v>
      </c>
    </row>
    <row r="41" spans="1:12">
      <c r="A41" s="936"/>
      <c r="B41" s="937"/>
      <c r="C41" s="1347" t="s">
        <v>13065</v>
      </c>
      <c r="D41" s="1347"/>
      <c r="E41" s="1347"/>
      <c r="F41" s="941"/>
      <c r="G41" s="939"/>
      <c r="H41" s="940"/>
      <c r="I41" s="1039">
        <v>27468865.27</v>
      </c>
      <c r="J41" s="1039">
        <v>24781958.800000001</v>
      </c>
      <c r="K41" s="1069">
        <v>2686906.4699999988</v>
      </c>
      <c r="L41" s="935">
        <v>0.10842187624006536</v>
      </c>
    </row>
    <row r="42" spans="1:12">
      <c r="A42" s="936"/>
      <c r="B42" s="943"/>
      <c r="C42" s="1347" t="s">
        <v>13066</v>
      </c>
      <c r="D42" s="1347"/>
      <c r="E42" s="1347"/>
      <c r="F42" s="941"/>
      <c r="G42" s="939"/>
      <c r="H42" s="940"/>
      <c r="I42" s="1039">
        <v>116894.62000000001</v>
      </c>
      <c r="J42" s="1039">
        <v>79584.95</v>
      </c>
      <c r="K42" s="1069">
        <v>37309.670000000013</v>
      </c>
      <c r="L42" s="935">
        <v>0.46880308400017862</v>
      </c>
    </row>
    <row r="43" spans="1:12">
      <c r="A43" s="936"/>
      <c r="B43" s="943"/>
      <c r="C43" s="1347" t="s">
        <v>13067</v>
      </c>
      <c r="D43" s="1347"/>
      <c r="E43" s="1347"/>
      <c r="F43" s="948"/>
      <c r="G43" s="939"/>
      <c r="H43" s="940"/>
      <c r="I43" s="1039">
        <v>0</v>
      </c>
      <c r="J43" s="1039">
        <v>0</v>
      </c>
      <c r="K43" s="1069">
        <v>0</v>
      </c>
      <c r="L43" s="935">
        <v>0</v>
      </c>
    </row>
    <row r="44" spans="1:12">
      <c r="A44" s="942"/>
      <c r="B44" s="963"/>
      <c r="C44" s="1347" t="s">
        <v>13068</v>
      </c>
      <c r="D44" s="1347"/>
      <c r="E44" s="1347"/>
      <c r="F44" s="948"/>
      <c r="G44" s="939"/>
      <c r="H44" s="940"/>
      <c r="I44" s="1039">
        <v>0</v>
      </c>
      <c r="J44" s="1039">
        <v>0</v>
      </c>
      <c r="K44" s="1069">
        <v>0</v>
      </c>
      <c r="L44" s="935">
        <v>0</v>
      </c>
    </row>
    <row r="45" spans="1:12">
      <c r="A45" s="942"/>
      <c r="B45" s="963"/>
      <c r="C45" s="941"/>
      <c r="D45" s="948"/>
      <c r="E45" s="941"/>
      <c r="F45" s="948"/>
      <c r="G45" s="966" t="s">
        <v>13053</v>
      </c>
      <c r="H45" s="966" t="s">
        <v>13054</v>
      </c>
      <c r="I45" s="1046"/>
      <c r="J45" s="1046"/>
      <c r="K45" s="1069">
        <v>0</v>
      </c>
      <c r="L45" s="935">
        <v>0</v>
      </c>
    </row>
    <row r="46" spans="1:12" ht="27" customHeight="1">
      <c r="A46" s="931"/>
      <c r="B46" s="1341" t="s">
        <v>13069</v>
      </c>
      <c r="C46" s="1341"/>
      <c r="D46" s="1341"/>
      <c r="E46" s="1341"/>
      <c r="F46" s="1342"/>
      <c r="G46" s="967">
        <v>105640648.64999999</v>
      </c>
      <c r="H46" s="967">
        <v>74011577.5</v>
      </c>
      <c r="I46" s="1047">
        <v>179652226.14999998</v>
      </c>
      <c r="J46" s="1047">
        <v>169519614.80000001</v>
      </c>
      <c r="K46" s="1070">
        <v>10132611.349999964</v>
      </c>
      <c r="L46" s="935">
        <v>5.9772501028594618E-2</v>
      </c>
    </row>
    <row r="47" spans="1:12">
      <c r="A47" s="936"/>
      <c r="B47" s="1021"/>
      <c r="C47" s="1348" t="s">
        <v>13070</v>
      </c>
      <c r="D47" s="1348"/>
      <c r="E47" s="1348"/>
      <c r="F47" s="1023"/>
      <c r="G47" s="970">
        <v>2444697.61</v>
      </c>
      <c r="H47" s="968">
        <v>0</v>
      </c>
      <c r="I47" s="1048">
        <v>2444697.61</v>
      </c>
      <c r="J47" s="1048">
        <v>3350361.4499999997</v>
      </c>
      <c r="K47" s="1069">
        <v>-905663.83999999985</v>
      </c>
      <c r="L47" s="935">
        <v>-0.27031824879670818</v>
      </c>
    </row>
    <row r="48" spans="1:12">
      <c r="A48" s="936"/>
      <c r="B48" s="1021"/>
      <c r="C48" s="1024" t="s">
        <v>13071</v>
      </c>
      <c r="D48" s="1025"/>
      <c r="E48" s="1026"/>
      <c r="F48" s="1024"/>
      <c r="G48" s="969">
        <v>0</v>
      </c>
      <c r="H48" s="969">
        <v>0</v>
      </c>
      <c r="I48" s="1049">
        <v>0</v>
      </c>
      <c r="J48" s="1049">
        <v>0</v>
      </c>
      <c r="K48" s="1069">
        <v>0</v>
      </c>
      <c r="L48" s="935">
        <v>0</v>
      </c>
    </row>
    <row r="49" spans="1:16">
      <c r="A49" s="936"/>
      <c r="B49" s="1021"/>
      <c r="C49" s="1023" t="s">
        <v>13072</v>
      </c>
      <c r="D49" s="1025"/>
      <c r="E49" s="1023"/>
      <c r="F49" s="1026"/>
      <c r="G49" s="968">
        <v>0</v>
      </c>
      <c r="H49" s="968"/>
      <c r="I49" s="1049">
        <v>0</v>
      </c>
      <c r="J49" s="1049">
        <v>0</v>
      </c>
      <c r="K49" s="1069">
        <v>0</v>
      </c>
      <c r="L49" s="935">
        <v>0</v>
      </c>
    </row>
    <row r="50" spans="1:16">
      <c r="A50" s="936"/>
      <c r="B50" s="1021"/>
      <c r="C50" s="1023" t="s">
        <v>13073</v>
      </c>
      <c r="D50" s="1025"/>
      <c r="E50" s="1023"/>
      <c r="F50" s="1026"/>
      <c r="G50" s="968">
        <v>0</v>
      </c>
      <c r="H50" s="968"/>
      <c r="I50" s="1049">
        <v>0</v>
      </c>
      <c r="J50" s="1049">
        <v>0</v>
      </c>
      <c r="K50" s="1069">
        <v>0</v>
      </c>
      <c r="L50" s="935">
        <v>0</v>
      </c>
    </row>
    <row r="51" spans="1:16">
      <c r="A51" s="936"/>
      <c r="B51" s="1021"/>
      <c r="C51" s="1024" t="s">
        <v>13074</v>
      </c>
      <c r="D51" s="1025"/>
      <c r="E51" s="1026"/>
      <c r="F51" s="1024"/>
      <c r="G51" s="969"/>
      <c r="H51" s="969">
        <v>1254272</v>
      </c>
      <c r="I51" s="1049">
        <v>1254272</v>
      </c>
      <c r="J51" s="1049">
        <v>1770138</v>
      </c>
      <c r="K51" s="1069">
        <v>-515866</v>
      </c>
      <c r="L51" s="935">
        <v>-0.29142699608731071</v>
      </c>
    </row>
    <row r="52" spans="1:16">
      <c r="A52" s="936"/>
      <c r="B52" s="1021"/>
      <c r="C52" s="1024" t="s">
        <v>13075</v>
      </c>
      <c r="D52" s="1025"/>
      <c r="E52" s="1026"/>
      <c r="F52" s="1024"/>
      <c r="G52" s="969"/>
      <c r="H52" s="969">
        <v>1184699.75</v>
      </c>
      <c r="I52" s="1049">
        <v>1184699.75</v>
      </c>
      <c r="J52" s="1049">
        <v>1574499.59</v>
      </c>
      <c r="K52" s="1069">
        <v>-389799.84000000008</v>
      </c>
      <c r="L52" s="935">
        <v>-0.2475706201993994</v>
      </c>
    </row>
    <row r="53" spans="1:16">
      <c r="A53" s="936"/>
      <c r="B53" s="1021"/>
      <c r="C53" s="1023" t="s">
        <v>13076</v>
      </c>
      <c r="D53" s="1025"/>
      <c r="E53" s="1023"/>
      <c r="F53" s="1026"/>
      <c r="G53" s="968"/>
      <c r="H53" s="968">
        <v>0</v>
      </c>
      <c r="I53" s="1049">
        <v>0</v>
      </c>
      <c r="J53" s="1049">
        <v>0</v>
      </c>
      <c r="K53" s="1069">
        <v>0</v>
      </c>
      <c r="L53" s="935">
        <v>0</v>
      </c>
    </row>
    <row r="54" spans="1:16">
      <c r="A54" s="936"/>
      <c r="B54" s="1021"/>
      <c r="C54" s="1023" t="s">
        <v>13077</v>
      </c>
      <c r="D54" s="1025"/>
      <c r="E54" s="1023"/>
      <c r="F54" s="1026"/>
      <c r="G54" s="969"/>
      <c r="H54" s="969">
        <v>1184699.75</v>
      </c>
      <c r="I54" s="1049">
        <v>1184699.75</v>
      </c>
      <c r="J54" s="1049">
        <v>1574499.59</v>
      </c>
      <c r="K54" s="1069">
        <v>-389799.84000000008</v>
      </c>
      <c r="L54" s="935">
        <v>-0.2475706201993994</v>
      </c>
    </row>
    <row r="55" spans="1:16">
      <c r="A55" s="936"/>
      <c r="B55" s="1021"/>
      <c r="C55" s="1023" t="s">
        <v>13078</v>
      </c>
      <c r="D55" s="1025"/>
      <c r="E55" s="1023"/>
      <c r="F55" s="1026"/>
      <c r="G55" s="968">
        <v>0</v>
      </c>
      <c r="H55" s="968"/>
      <c r="I55" s="1049">
        <v>0</v>
      </c>
      <c r="J55" s="1049">
        <v>0</v>
      </c>
      <c r="K55" s="1069">
        <v>0</v>
      </c>
      <c r="L55" s="935">
        <v>0</v>
      </c>
    </row>
    <row r="56" spans="1:16">
      <c r="A56" s="936"/>
      <c r="B56" s="1021"/>
      <c r="C56" s="1023" t="s">
        <v>13079</v>
      </c>
      <c r="D56" s="1025"/>
      <c r="E56" s="1023"/>
      <c r="F56" s="1026"/>
      <c r="G56" s="968">
        <v>0</v>
      </c>
      <c r="H56" s="968"/>
      <c r="I56" s="1049">
        <v>0</v>
      </c>
      <c r="J56" s="1049">
        <v>0</v>
      </c>
      <c r="K56" s="1069">
        <v>0</v>
      </c>
      <c r="L56" s="935">
        <v>0</v>
      </c>
    </row>
    <row r="57" spans="1:16">
      <c r="A57" s="936"/>
      <c r="B57" s="1021"/>
      <c r="C57" s="1024" t="s">
        <v>13080</v>
      </c>
      <c r="D57" s="1025"/>
      <c r="E57" s="1026"/>
      <c r="F57" s="1024"/>
      <c r="G57" s="969"/>
      <c r="H57" s="968">
        <v>5725.86</v>
      </c>
      <c r="I57" s="1049">
        <v>5725.86</v>
      </c>
      <c r="J57" s="1049">
        <v>5723.86</v>
      </c>
      <c r="K57" s="1069">
        <v>2</v>
      </c>
      <c r="L57" s="935">
        <v>3.4941455591157018E-4</v>
      </c>
    </row>
    <row r="58" spans="1:16">
      <c r="A58" s="936"/>
      <c r="B58" s="1021"/>
      <c r="C58" s="1348" t="s">
        <v>13081</v>
      </c>
      <c r="D58" s="1348"/>
      <c r="E58" s="1348"/>
      <c r="F58" s="1349"/>
      <c r="G58" s="968">
        <v>101975308.78999999</v>
      </c>
      <c r="H58" s="968">
        <v>34420037.32</v>
      </c>
      <c r="I58" s="1050">
        <v>136395346.10999998</v>
      </c>
      <c r="J58" s="1050">
        <v>120984388.96000001</v>
      </c>
      <c r="K58" s="1072">
        <v>15410957.149999976</v>
      </c>
      <c r="L58" s="935">
        <v>0.12737971636237436</v>
      </c>
    </row>
    <row r="59" spans="1:16">
      <c r="A59" s="936"/>
      <c r="B59" s="1021"/>
      <c r="C59" s="1024" t="s">
        <v>13082</v>
      </c>
      <c r="D59" s="1025"/>
      <c r="E59" s="1026"/>
      <c r="F59" s="1024"/>
      <c r="G59" s="969">
        <v>101975308.78999999</v>
      </c>
      <c r="H59" s="969">
        <v>0</v>
      </c>
      <c r="I59" s="1051">
        <v>101975308.78999999</v>
      </c>
      <c r="J59" s="1051">
        <v>81816058.459999993</v>
      </c>
      <c r="K59" s="1073">
        <v>20159250.329999998</v>
      </c>
      <c r="L59" s="935">
        <v>0.24639723190595755</v>
      </c>
    </row>
    <row r="60" spans="1:16">
      <c r="A60" s="936"/>
      <c r="B60" s="1021"/>
      <c r="C60" s="1023" t="s">
        <v>13083</v>
      </c>
      <c r="D60" s="1025"/>
      <c r="E60" s="1023"/>
      <c r="F60" s="1026"/>
      <c r="G60" s="968">
        <v>101383911.64999999</v>
      </c>
      <c r="H60" s="968">
        <v>0</v>
      </c>
      <c r="I60" s="1050">
        <v>101383911.64999999</v>
      </c>
      <c r="J60" s="1050">
        <v>81264661.319999993</v>
      </c>
      <c r="K60" s="1072">
        <v>20119250.329999998</v>
      </c>
      <c r="L60" s="935">
        <v>0.24757686801616513</v>
      </c>
      <c r="N60" s="764"/>
      <c r="P60" s="764"/>
    </row>
    <row r="61" spans="1:16" ht="19.899999999999999" customHeight="1">
      <c r="A61" s="936"/>
      <c r="B61" s="1021"/>
      <c r="C61" s="1343" t="s">
        <v>13084</v>
      </c>
      <c r="D61" s="1343"/>
      <c r="E61" s="1343"/>
      <c r="F61" s="1344"/>
      <c r="G61" s="968">
        <v>81690668.149999991</v>
      </c>
      <c r="H61" s="968"/>
      <c r="I61" s="1052">
        <v>81690668.149999991</v>
      </c>
      <c r="J61" s="1052">
        <v>60763028.899999991</v>
      </c>
      <c r="K61" s="1069">
        <v>20927639.25</v>
      </c>
      <c r="L61" s="935">
        <v>0.34441402327789494</v>
      </c>
      <c r="N61" s="764"/>
    </row>
    <row r="62" spans="1:16" ht="19.899999999999999" customHeight="1">
      <c r="A62" s="936"/>
      <c r="B62" s="1021"/>
      <c r="C62" s="1343" t="s">
        <v>13085</v>
      </c>
      <c r="D62" s="1343"/>
      <c r="E62" s="1343"/>
      <c r="F62" s="1344"/>
      <c r="G62" s="968"/>
      <c r="H62" s="968"/>
      <c r="I62" s="1052"/>
      <c r="J62" s="1052">
        <v>0</v>
      </c>
      <c r="K62" s="1069">
        <v>0</v>
      </c>
      <c r="L62" s="935">
        <v>0</v>
      </c>
    </row>
    <row r="63" spans="1:16" ht="19.899999999999999" customHeight="1">
      <c r="A63" s="936"/>
      <c r="B63" s="1021"/>
      <c r="C63" s="1343" t="s">
        <v>13086</v>
      </c>
      <c r="D63" s="1343"/>
      <c r="E63" s="1343"/>
      <c r="F63" s="1344"/>
      <c r="G63" s="968"/>
      <c r="H63" s="968"/>
      <c r="I63" s="1052"/>
      <c r="J63" s="1052">
        <v>0</v>
      </c>
      <c r="K63" s="1069">
        <v>0</v>
      </c>
      <c r="L63" s="935">
        <v>0</v>
      </c>
    </row>
    <row r="64" spans="1:16">
      <c r="A64" s="936"/>
      <c r="B64" s="1021"/>
      <c r="C64" s="1351" t="s">
        <v>13087</v>
      </c>
      <c r="D64" s="1351"/>
      <c r="E64" s="1351"/>
      <c r="F64" s="1351"/>
      <c r="G64" s="968">
        <v>19693243.5</v>
      </c>
      <c r="H64" s="968"/>
      <c r="I64" s="1052">
        <v>19693243.5</v>
      </c>
      <c r="J64" s="1052">
        <v>20501632.419999998</v>
      </c>
      <c r="K64" s="1069">
        <v>-808388.91999999806</v>
      </c>
      <c r="L64" s="935">
        <v>-3.9430465996033996E-2</v>
      </c>
    </row>
    <row r="65" spans="1:12">
      <c r="A65" s="936"/>
      <c r="B65" s="1021"/>
      <c r="C65" s="1023" t="s">
        <v>13088</v>
      </c>
      <c r="D65" s="1025"/>
      <c r="E65" s="1023"/>
      <c r="F65" s="1026"/>
      <c r="G65" s="968">
        <v>591397.14</v>
      </c>
      <c r="H65" s="968"/>
      <c r="I65" s="1052">
        <v>591397.14</v>
      </c>
      <c r="J65" s="1052">
        <v>551397.14</v>
      </c>
      <c r="K65" s="1069">
        <v>40000</v>
      </c>
      <c r="L65" s="935">
        <v>7.2542995054345041E-2</v>
      </c>
    </row>
    <row r="66" spans="1:12">
      <c r="A66" s="936"/>
      <c r="B66" s="1021"/>
      <c r="C66" s="1024" t="s">
        <v>13089</v>
      </c>
      <c r="D66" s="1025"/>
      <c r="E66" s="1026"/>
      <c r="F66" s="1024"/>
      <c r="G66" s="970"/>
      <c r="H66" s="970">
        <v>34420037.32</v>
      </c>
      <c r="I66" s="1050">
        <v>34420037.32</v>
      </c>
      <c r="J66" s="1050">
        <v>39168330.500000007</v>
      </c>
      <c r="K66" s="1069">
        <v>-4748293.1800000072</v>
      </c>
      <c r="L66" s="935">
        <v>-0.12122786749871829</v>
      </c>
    </row>
    <row r="67" spans="1:12" ht="33" customHeight="1">
      <c r="A67" s="936"/>
      <c r="B67" s="1021"/>
      <c r="C67" s="1352" t="s">
        <v>13090</v>
      </c>
      <c r="D67" s="1352"/>
      <c r="E67" s="1352"/>
      <c r="F67" s="1353"/>
      <c r="G67" s="969"/>
      <c r="H67" s="969">
        <v>34420037.32</v>
      </c>
      <c r="I67" s="1053">
        <v>34420037.32</v>
      </c>
      <c r="J67" s="1053">
        <v>39168330.500000007</v>
      </c>
      <c r="K67" s="1069">
        <v>-4748293.1800000072</v>
      </c>
      <c r="L67" s="935">
        <v>-0.12122786749871829</v>
      </c>
    </row>
    <row r="68" spans="1:12" ht="31.15" customHeight="1">
      <c r="A68" s="936"/>
      <c r="B68" s="1021"/>
      <c r="C68" s="1352" t="s">
        <v>13091</v>
      </c>
      <c r="D68" s="1352"/>
      <c r="E68" s="1352"/>
      <c r="F68" s="1353"/>
      <c r="G68" s="969">
        <v>0</v>
      </c>
      <c r="H68" s="969"/>
      <c r="I68" s="1053">
        <v>0</v>
      </c>
      <c r="J68" s="1053">
        <v>0</v>
      </c>
      <c r="K68" s="1069">
        <v>0</v>
      </c>
      <c r="L68" s="935">
        <v>0</v>
      </c>
    </row>
    <row r="69" spans="1:12">
      <c r="A69" s="936"/>
      <c r="B69" s="1021"/>
      <c r="C69" s="1023" t="s">
        <v>13092</v>
      </c>
      <c r="D69" s="1025"/>
      <c r="E69" s="1024"/>
      <c r="F69" s="1026"/>
      <c r="G69" s="969">
        <v>0</v>
      </c>
      <c r="H69" s="969"/>
      <c r="I69" s="1053">
        <v>0</v>
      </c>
      <c r="J69" s="1053">
        <v>0</v>
      </c>
      <c r="K69" s="1069">
        <v>0</v>
      </c>
      <c r="L69" s="935">
        <v>0</v>
      </c>
    </row>
    <row r="70" spans="1:12" ht="33" customHeight="1">
      <c r="A70" s="936"/>
      <c r="B70" s="1021"/>
      <c r="C70" s="1354" t="s">
        <v>13093</v>
      </c>
      <c r="D70" s="1354"/>
      <c r="E70" s="1354"/>
      <c r="F70" s="1355"/>
      <c r="G70" s="969">
        <v>0</v>
      </c>
      <c r="H70" s="969"/>
      <c r="I70" s="1053">
        <v>0</v>
      </c>
      <c r="J70" s="1053">
        <v>0</v>
      </c>
      <c r="K70" s="1069">
        <v>0</v>
      </c>
      <c r="L70" s="935">
        <v>0</v>
      </c>
    </row>
    <row r="71" spans="1:12">
      <c r="A71" s="936"/>
      <c r="B71" s="1021"/>
      <c r="C71" s="1348" t="s">
        <v>13094</v>
      </c>
      <c r="D71" s="1348"/>
      <c r="E71" s="1348"/>
      <c r="F71" s="1023"/>
      <c r="G71" s="968">
        <v>4</v>
      </c>
      <c r="H71" s="968"/>
      <c r="I71" s="1053">
        <v>4</v>
      </c>
      <c r="J71" s="1053">
        <v>2102</v>
      </c>
      <c r="K71" s="1069">
        <v>-2098</v>
      </c>
      <c r="L71" s="935">
        <v>-0.99809705042816366</v>
      </c>
    </row>
    <row r="72" spans="1:12" ht="33" customHeight="1">
      <c r="A72" s="936"/>
      <c r="B72" s="1021"/>
      <c r="C72" s="1356" t="s">
        <v>13095</v>
      </c>
      <c r="D72" s="1356"/>
      <c r="E72" s="1356"/>
      <c r="F72" s="1357"/>
      <c r="G72" s="968">
        <v>0</v>
      </c>
      <c r="H72" s="968">
        <v>8647645.3200000003</v>
      </c>
      <c r="I72" s="1050">
        <v>8647645.3200000003</v>
      </c>
      <c r="J72" s="1050">
        <v>9565772.3399999999</v>
      </c>
      <c r="K72" s="1072">
        <v>-918127.01999999955</v>
      </c>
      <c r="L72" s="935">
        <v>-9.5980438104384114E-2</v>
      </c>
    </row>
    <row r="73" spans="1:12">
      <c r="A73" s="936"/>
      <c r="B73" s="1021"/>
      <c r="C73" s="1024" t="s">
        <v>13096</v>
      </c>
      <c r="D73" s="1025"/>
      <c r="E73" s="1026"/>
      <c r="F73" s="1024"/>
      <c r="G73" s="969"/>
      <c r="H73" s="969">
        <v>3530141.7799999993</v>
      </c>
      <c r="I73" s="1053">
        <v>3530141.7799999993</v>
      </c>
      <c r="J73" s="1053">
        <v>3325392.4000000004</v>
      </c>
      <c r="K73" s="1069">
        <v>204749.37999999896</v>
      </c>
      <c r="L73" s="935">
        <v>6.1571494540012463E-2</v>
      </c>
    </row>
    <row r="74" spans="1:12">
      <c r="A74" s="936"/>
      <c r="B74" s="1021"/>
      <c r="C74" s="1024" t="s">
        <v>13097</v>
      </c>
      <c r="D74" s="1025"/>
      <c r="E74" s="1026"/>
      <c r="F74" s="1024"/>
      <c r="G74" s="969"/>
      <c r="H74" s="969">
        <v>5117503.54</v>
      </c>
      <c r="I74" s="1053">
        <v>5117503.54</v>
      </c>
      <c r="J74" s="1053">
        <v>6240379.9400000004</v>
      </c>
      <c r="K74" s="1069">
        <v>-1122876.4000000004</v>
      </c>
      <c r="L74" s="935">
        <v>-0.17993718504261461</v>
      </c>
    </row>
    <row r="75" spans="1:12">
      <c r="A75" s="936"/>
      <c r="B75" s="1027"/>
      <c r="C75" s="1022" t="s">
        <v>13098</v>
      </c>
      <c r="D75" s="1026"/>
      <c r="E75" s="1028"/>
      <c r="F75" s="1028"/>
      <c r="G75" s="969">
        <v>0</v>
      </c>
      <c r="H75" s="969"/>
      <c r="I75" s="1053">
        <v>0</v>
      </c>
      <c r="J75" s="1053">
        <v>0</v>
      </c>
      <c r="K75" s="1069">
        <v>0</v>
      </c>
      <c r="L75" s="935">
        <v>0</v>
      </c>
    </row>
    <row r="76" spans="1:12">
      <c r="A76" s="942"/>
      <c r="B76" s="1027"/>
      <c r="C76" s="1022" t="s">
        <v>13099</v>
      </c>
      <c r="D76" s="1026"/>
      <c r="E76" s="1023"/>
      <c r="F76" s="1025"/>
      <c r="G76" s="968">
        <v>1214406.6000000001</v>
      </c>
      <c r="H76" s="968"/>
      <c r="I76" s="1053">
        <v>1214406.6000000001</v>
      </c>
      <c r="J76" s="1053">
        <v>1208595.1099999999</v>
      </c>
      <c r="K76" s="1069">
        <v>5811.4900000002235</v>
      </c>
      <c r="L76" s="935">
        <v>4.808467245908536E-3</v>
      </c>
    </row>
    <row r="77" spans="1:12">
      <c r="A77" s="942"/>
      <c r="B77" s="1027"/>
      <c r="C77" s="1022" t="s">
        <v>13100</v>
      </c>
      <c r="D77" s="1026"/>
      <c r="E77" s="1023"/>
      <c r="F77" s="1025"/>
      <c r="G77" s="971">
        <v>6231.6499999999942</v>
      </c>
      <c r="H77" s="971">
        <v>30943894.859999999</v>
      </c>
      <c r="I77" s="1054">
        <v>30950126.509999998</v>
      </c>
      <c r="J77" s="1054">
        <v>34408394.939999998</v>
      </c>
      <c r="K77" s="1074">
        <v>-3458268.4299999997</v>
      </c>
      <c r="L77" s="935">
        <v>-0.10050653150286121</v>
      </c>
    </row>
    <row r="78" spans="1:12">
      <c r="A78" s="931"/>
      <c r="B78" s="1029" t="s">
        <v>13101</v>
      </c>
      <c r="C78" s="1026"/>
      <c r="D78" s="1030"/>
      <c r="E78" s="1030"/>
      <c r="F78" s="1030"/>
      <c r="G78" s="973"/>
      <c r="H78" s="974"/>
      <c r="I78" s="1055">
        <v>0</v>
      </c>
      <c r="J78" s="1055">
        <v>0</v>
      </c>
      <c r="K78" s="1074">
        <v>0</v>
      </c>
      <c r="L78" s="935">
        <v>0</v>
      </c>
    </row>
    <row r="79" spans="1:12">
      <c r="A79" s="936"/>
      <c r="B79" s="1021"/>
      <c r="C79" s="1023" t="s">
        <v>13102</v>
      </c>
      <c r="D79" s="1026"/>
      <c r="E79" s="1023"/>
      <c r="F79" s="1023"/>
      <c r="G79" s="976"/>
      <c r="H79" s="977"/>
      <c r="I79" s="1056">
        <v>0</v>
      </c>
      <c r="J79" s="1056">
        <v>0</v>
      </c>
      <c r="K79" s="1074">
        <v>0</v>
      </c>
      <c r="L79" s="935">
        <v>0</v>
      </c>
    </row>
    <row r="80" spans="1:12">
      <c r="A80" s="936"/>
      <c r="B80" s="1021"/>
      <c r="C80" s="1023" t="s">
        <v>13103</v>
      </c>
      <c r="D80" s="1026"/>
      <c r="E80" s="1023"/>
      <c r="F80" s="1023"/>
      <c r="G80" s="976"/>
      <c r="H80" s="977"/>
      <c r="I80" s="1056">
        <v>0</v>
      </c>
      <c r="J80" s="1056">
        <v>0</v>
      </c>
      <c r="K80" s="1074">
        <v>0</v>
      </c>
      <c r="L80" s="935">
        <v>0</v>
      </c>
    </row>
    <row r="81" spans="1:15">
      <c r="A81" s="931"/>
      <c r="B81" s="1029" t="s">
        <v>13104</v>
      </c>
      <c r="C81" s="1030"/>
      <c r="D81" s="1030"/>
      <c r="E81" s="1030"/>
      <c r="F81" s="1030"/>
      <c r="G81" s="978"/>
      <c r="H81" s="975"/>
      <c r="I81" s="1057">
        <v>4259828.8</v>
      </c>
      <c r="J81" s="1057">
        <v>4191148.92</v>
      </c>
      <c r="K81" s="1068">
        <v>68679.879999999888</v>
      </c>
      <c r="L81" s="935">
        <v>1.6386886104729461E-2</v>
      </c>
    </row>
    <row r="82" spans="1:15">
      <c r="A82" s="936"/>
      <c r="B82" s="1021"/>
      <c r="C82" s="1023" t="s">
        <v>13105</v>
      </c>
      <c r="D82" s="1026"/>
      <c r="E82" s="1023"/>
      <c r="F82" s="1023"/>
      <c r="G82" s="976"/>
      <c r="H82" s="977"/>
      <c r="I82" s="1056">
        <v>27140.300000000003</v>
      </c>
      <c r="J82" s="1056">
        <v>22578.9</v>
      </c>
      <c r="K82" s="1069">
        <v>4561.4000000000015</v>
      </c>
      <c r="L82" s="935">
        <v>0.20202047043921542</v>
      </c>
    </row>
    <row r="83" spans="1:15">
      <c r="A83" s="936"/>
      <c r="B83" s="1021"/>
      <c r="C83" s="1031"/>
      <c r="D83" s="1025" t="s">
        <v>13106</v>
      </c>
      <c r="E83" s="1023"/>
      <c r="F83" s="1023"/>
      <c r="G83" s="976"/>
      <c r="H83" s="977"/>
      <c r="I83" s="1056">
        <v>4226076.91</v>
      </c>
      <c r="J83" s="1056">
        <v>4162598.87</v>
      </c>
      <c r="K83" s="1069">
        <v>63478.040000000037</v>
      </c>
      <c r="L83" s="935">
        <v>1.5249617362241785E-2</v>
      </c>
    </row>
    <row r="84" spans="1:15">
      <c r="A84" s="936"/>
      <c r="B84" s="1021"/>
      <c r="C84" s="1023" t="s">
        <v>13107</v>
      </c>
      <c r="D84" s="1026"/>
      <c r="E84" s="1023"/>
      <c r="F84" s="1023"/>
      <c r="G84" s="976"/>
      <c r="H84" s="977"/>
      <c r="I84" s="1056">
        <v>0</v>
      </c>
      <c r="J84" s="1056">
        <v>0</v>
      </c>
      <c r="K84" s="1069">
        <v>0</v>
      </c>
      <c r="L84" s="935">
        <v>0</v>
      </c>
    </row>
    <row r="85" spans="1:15">
      <c r="A85" s="942"/>
      <c r="B85" s="1027"/>
      <c r="C85" s="1023" t="s">
        <v>13108</v>
      </c>
      <c r="D85" s="1026"/>
      <c r="E85" s="1023"/>
      <c r="F85" s="1025"/>
      <c r="G85" s="976"/>
      <c r="H85" s="977"/>
      <c r="I85" s="1056">
        <v>6611.59</v>
      </c>
      <c r="J85" s="1056">
        <v>5971.15</v>
      </c>
      <c r="K85" s="1069">
        <v>640.44000000000051</v>
      </c>
      <c r="L85" s="935">
        <v>0.10725572125972394</v>
      </c>
    </row>
    <row r="86" spans="1:15">
      <c r="A86" s="958"/>
      <c r="B86" s="959" t="s">
        <v>13013</v>
      </c>
      <c r="C86" s="960"/>
      <c r="D86" s="960"/>
      <c r="E86" s="960"/>
      <c r="F86" s="960"/>
      <c r="G86" s="979"/>
      <c r="H86" s="980"/>
      <c r="I86" s="1058">
        <v>211497814.83999997</v>
      </c>
      <c r="J86" s="1058">
        <v>198572307.47</v>
      </c>
      <c r="K86" s="1071">
        <v>12925507.369999975</v>
      </c>
      <c r="L86" s="935">
        <v>6.5092195053193608E-2</v>
      </c>
    </row>
    <row r="87" spans="1:15">
      <c r="A87" s="942"/>
      <c r="B87" s="963"/>
      <c r="C87" s="941"/>
      <c r="D87" s="941"/>
      <c r="E87" s="941"/>
      <c r="F87" s="941"/>
      <c r="G87" s="981"/>
      <c r="H87" s="982"/>
      <c r="I87" s="1059"/>
      <c r="J87" s="1059"/>
      <c r="K87" s="1069">
        <v>0</v>
      </c>
      <c r="L87" s="935">
        <v>0</v>
      </c>
    </row>
    <row r="88" spans="1:15">
      <c r="A88" s="931" t="s">
        <v>11882</v>
      </c>
      <c r="B88" s="964"/>
      <c r="C88" s="965"/>
      <c r="D88" s="965"/>
      <c r="E88" s="965"/>
      <c r="F88" s="965"/>
      <c r="G88" s="983"/>
      <c r="H88" s="984"/>
      <c r="I88" s="1057">
        <v>0</v>
      </c>
      <c r="J88" s="1057">
        <v>0</v>
      </c>
      <c r="K88" s="1069">
        <v>0</v>
      </c>
      <c r="L88" s="935">
        <v>0</v>
      </c>
    </row>
    <row r="89" spans="1:15">
      <c r="A89" s="931"/>
      <c r="B89" s="972" t="s">
        <v>13109</v>
      </c>
      <c r="C89" s="932"/>
      <c r="D89" s="932"/>
      <c r="E89" s="932"/>
      <c r="F89" s="932"/>
      <c r="G89" s="983"/>
      <c r="H89" s="984"/>
      <c r="I89" s="1057">
        <v>0</v>
      </c>
      <c r="J89" s="1057">
        <v>0</v>
      </c>
      <c r="K89" s="1069">
        <v>0</v>
      </c>
      <c r="L89" s="935">
        <v>0</v>
      </c>
    </row>
    <row r="90" spans="1:15">
      <c r="A90" s="931"/>
      <c r="B90" s="972" t="s">
        <v>13110</v>
      </c>
      <c r="C90" s="932"/>
      <c r="D90" s="932"/>
      <c r="E90" s="932"/>
      <c r="F90" s="932"/>
      <c r="G90" s="983"/>
      <c r="H90" s="984"/>
      <c r="I90" s="1057">
        <v>0</v>
      </c>
      <c r="J90" s="1057">
        <v>0</v>
      </c>
      <c r="K90" s="1075">
        <v>0</v>
      </c>
      <c r="L90" s="935">
        <v>0</v>
      </c>
    </row>
    <row r="91" spans="1:15">
      <c r="A91" s="958"/>
      <c r="B91" s="959" t="s">
        <v>13018</v>
      </c>
      <c r="C91" s="960"/>
      <c r="D91" s="960"/>
      <c r="E91" s="960"/>
      <c r="F91" s="960"/>
      <c r="G91" s="979"/>
      <c r="H91" s="980"/>
      <c r="I91" s="1058">
        <v>0</v>
      </c>
      <c r="J91" s="1058">
        <v>0</v>
      </c>
      <c r="K91" s="1071">
        <v>0</v>
      </c>
      <c r="L91" s="935">
        <v>0</v>
      </c>
    </row>
    <row r="92" spans="1:15">
      <c r="A92" s="942"/>
      <c r="B92" s="963"/>
      <c r="C92" s="941"/>
      <c r="D92" s="941"/>
      <c r="E92" s="941"/>
      <c r="F92" s="941"/>
      <c r="G92" s="981"/>
      <c r="H92" s="982"/>
      <c r="I92" s="1059"/>
      <c r="J92" s="1059"/>
      <c r="K92" s="1069">
        <v>0</v>
      </c>
      <c r="L92" s="935">
        <v>0</v>
      </c>
      <c r="M92" s="732"/>
      <c r="N92" s="732"/>
    </row>
    <row r="93" spans="1:15">
      <c r="A93" s="985" t="s">
        <v>13111</v>
      </c>
      <c r="B93" s="963"/>
      <c r="C93" s="938"/>
      <c r="D93" s="986"/>
      <c r="E93" s="986"/>
      <c r="F93" s="986"/>
      <c r="G93" s="983"/>
      <c r="H93" s="984"/>
      <c r="I93" s="1057">
        <v>316277475.21999997</v>
      </c>
      <c r="J93" s="1057">
        <v>304303447.88</v>
      </c>
      <c r="K93" s="1068">
        <v>11974027.339999974</v>
      </c>
      <c r="L93" s="935">
        <v>3.9348970323602281E-2</v>
      </c>
      <c r="M93" s="732"/>
      <c r="N93" s="732"/>
      <c r="O93" s="824"/>
    </row>
    <row r="94" spans="1:15">
      <c r="A94" s="942"/>
      <c r="B94" s="963"/>
      <c r="C94" s="941"/>
      <c r="D94" s="941"/>
      <c r="E94" s="941"/>
      <c r="F94" s="941"/>
      <c r="G94" s="981"/>
      <c r="H94" s="982"/>
      <c r="I94" s="1059"/>
      <c r="J94" s="1059"/>
      <c r="K94" s="1069">
        <v>0</v>
      </c>
      <c r="L94" s="935">
        <v>0</v>
      </c>
    </row>
    <row r="95" spans="1:15">
      <c r="A95" s="931" t="s">
        <v>13112</v>
      </c>
      <c r="B95" s="964"/>
      <c r="C95" s="965"/>
      <c r="D95" s="986"/>
      <c r="E95" s="986"/>
      <c r="F95" s="986"/>
      <c r="G95" s="983"/>
      <c r="H95" s="984"/>
      <c r="I95" s="1057">
        <v>290984078.96999997</v>
      </c>
      <c r="J95" s="1057">
        <v>290984078.96999997</v>
      </c>
      <c r="K95" s="1069">
        <v>0</v>
      </c>
      <c r="L95" s="935">
        <v>0</v>
      </c>
    </row>
    <row r="96" spans="1:15">
      <c r="A96" s="942"/>
      <c r="B96" s="972" t="s">
        <v>13113</v>
      </c>
      <c r="C96" s="987"/>
      <c r="D96" s="965"/>
      <c r="E96" s="986"/>
      <c r="F96" s="986"/>
      <c r="G96" s="981"/>
      <c r="H96" s="982"/>
      <c r="I96" s="1059">
        <v>0</v>
      </c>
      <c r="J96" s="1059">
        <v>0</v>
      </c>
      <c r="K96" s="1069">
        <v>0</v>
      </c>
      <c r="L96" s="935">
        <v>0</v>
      </c>
    </row>
    <row r="97" spans="1:12">
      <c r="A97" s="942"/>
      <c r="B97" s="972" t="s">
        <v>13114</v>
      </c>
      <c r="C97" s="987"/>
      <c r="D97" s="965"/>
      <c r="E97" s="986"/>
      <c r="F97" s="986"/>
      <c r="G97" s="981"/>
      <c r="H97" s="982"/>
      <c r="I97" s="1059">
        <v>0</v>
      </c>
      <c r="J97" s="1059">
        <v>0</v>
      </c>
      <c r="K97" s="1069">
        <v>0</v>
      </c>
      <c r="L97" s="935">
        <v>0</v>
      </c>
    </row>
    <row r="98" spans="1:12">
      <c r="A98" s="942"/>
      <c r="B98" s="972" t="s">
        <v>13115</v>
      </c>
      <c r="C98" s="987"/>
      <c r="D98" s="965"/>
      <c r="E98" s="986"/>
      <c r="F98" s="986"/>
      <c r="G98" s="981"/>
      <c r="H98" s="982"/>
      <c r="I98" s="1059">
        <v>287897837.58999997</v>
      </c>
      <c r="J98" s="1059">
        <v>287897837.58999997</v>
      </c>
      <c r="K98" s="1069">
        <v>0</v>
      </c>
      <c r="L98" s="935">
        <v>0</v>
      </c>
    </row>
    <row r="99" spans="1:12">
      <c r="A99" s="942"/>
      <c r="B99" s="972" t="s">
        <v>13116</v>
      </c>
      <c r="C99" s="987"/>
      <c r="D99" s="965"/>
      <c r="E99" s="986"/>
      <c r="F99" s="986"/>
      <c r="G99" s="981"/>
      <c r="H99" s="982"/>
      <c r="I99" s="1059">
        <v>3086241.38</v>
      </c>
      <c r="J99" s="1059">
        <v>3086241.38</v>
      </c>
      <c r="K99" s="1069">
        <v>0</v>
      </c>
      <c r="L99" s="935">
        <v>0</v>
      </c>
    </row>
    <row r="100" spans="1:12">
      <c r="A100" s="958"/>
      <c r="B100" s="959" t="s">
        <v>13021</v>
      </c>
      <c r="C100" s="960"/>
      <c r="D100" s="960"/>
      <c r="E100" s="960"/>
      <c r="F100" s="960"/>
      <c r="G100" s="979"/>
      <c r="H100" s="979"/>
      <c r="I100" s="1060">
        <v>290984078.96999997</v>
      </c>
      <c r="J100" s="1060">
        <v>290984078.96999997</v>
      </c>
      <c r="K100" s="1076">
        <v>0</v>
      </c>
      <c r="L100" s="988">
        <v>0</v>
      </c>
    </row>
    <row r="101" spans="1:12">
      <c r="A101" s="989"/>
      <c r="B101" s="1350"/>
      <c r="C101" s="1350"/>
      <c r="D101" s="1350"/>
      <c r="E101" s="1350"/>
      <c r="F101" s="1350"/>
      <c r="G101" s="990"/>
      <c r="H101" s="990"/>
      <c r="I101" s="1061"/>
      <c r="J101" s="1061"/>
      <c r="K101" s="1077"/>
      <c r="L101" s="937"/>
    </row>
    <row r="102" spans="1:12">
      <c r="A102" s="937"/>
      <c r="B102" s="937"/>
      <c r="C102" s="937"/>
      <c r="D102" s="937"/>
      <c r="E102" s="937"/>
      <c r="F102" s="937"/>
      <c r="G102" s="937"/>
      <c r="H102" s="937"/>
      <c r="I102" s="1062"/>
      <c r="J102" s="1062"/>
      <c r="K102" s="1078"/>
      <c r="L102" s="937"/>
    </row>
  </sheetData>
  <mergeCells count="37">
    <mergeCell ref="B101:F101"/>
    <mergeCell ref="C64:F64"/>
    <mergeCell ref="C67:F67"/>
    <mergeCell ref="C68:F68"/>
    <mergeCell ref="C70:F70"/>
    <mergeCell ref="C71:E71"/>
    <mergeCell ref="C72:F72"/>
    <mergeCell ref="C63:F63"/>
    <mergeCell ref="G34:H34"/>
    <mergeCell ref="B40:C40"/>
    <mergeCell ref="C41:E41"/>
    <mergeCell ref="C42:E42"/>
    <mergeCell ref="C43:E43"/>
    <mergeCell ref="C44:E44"/>
    <mergeCell ref="C34:E34"/>
    <mergeCell ref="B46:F46"/>
    <mergeCell ref="C47:E47"/>
    <mergeCell ref="C61:F61"/>
    <mergeCell ref="C62:F62"/>
    <mergeCell ref="C58:F58"/>
    <mergeCell ref="C24:E24"/>
    <mergeCell ref="C25:E25"/>
    <mergeCell ref="C26:E26"/>
    <mergeCell ref="B28:F28"/>
    <mergeCell ref="C29:E29"/>
    <mergeCell ref="C23:E23"/>
    <mergeCell ref="A1:L2"/>
    <mergeCell ref="A4:H5"/>
    <mergeCell ref="I4:I5"/>
    <mergeCell ref="J4:J5"/>
    <mergeCell ref="K4:L4"/>
    <mergeCell ref="B7:E7"/>
    <mergeCell ref="B13:E13"/>
    <mergeCell ref="C14:D14"/>
    <mergeCell ref="C17:D17"/>
    <mergeCell ref="C21:E21"/>
    <mergeCell ref="C22:E2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&amp;R&amp;"-,Grassetto"ALLEGATO 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11"/>
  <sheetViews>
    <sheetView view="pageBreakPreview" topLeftCell="A47" zoomScaleNormal="100" zoomScaleSheetLayoutView="100" workbookViewId="0">
      <selection activeCell="A47" sqref="A1:XFD1048576"/>
    </sheetView>
  </sheetViews>
  <sheetFormatPr defaultColWidth="9.28515625" defaultRowHeight="15"/>
  <cols>
    <col min="1" max="1" width="5.42578125" customWidth="1"/>
    <col min="2" max="2" width="7.5703125" customWidth="1"/>
    <col min="3" max="3" width="3.5703125" customWidth="1"/>
    <col min="4" max="4" width="4" customWidth="1"/>
    <col min="5" max="5" width="3.42578125" customWidth="1"/>
    <col min="6" max="6" width="4.140625" customWidth="1"/>
    <col min="7" max="7" width="12.5703125" customWidth="1"/>
    <col min="8" max="8" width="10.5703125" customWidth="1"/>
    <col min="9" max="9" width="9" customWidth="1"/>
    <col min="10" max="10" width="10.7109375" customWidth="1"/>
    <col min="11" max="11" width="10.140625" customWidth="1"/>
    <col min="12" max="12" width="11.5703125" style="1096" customWidth="1"/>
    <col min="13" max="13" width="7" style="1033" bestFit="1" customWidth="1"/>
    <col min="14" max="14" width="9.28515625" style="1033"/>
    <col min="15" max="15" width="19.7109375" customWidth="1"/>
    <col min="16" max="16" width="18.28515625" customWidth="1"/>
  </cols>
  <sheetData>
    <row r="1" spans="1:16" ht="23.25" customHeight="1">
      <c r="A1" s="1360" t="s">
        <v>13281</v>
      </c>
      <c r="B1" s="1361"/>
      <c r="C1" s="1361"/>
      <c r="D1" s="1361"/>
      <c r="E1" s="1361"/>
      <c r="F1" s="1361"/>
      <c r="G1" s="1361"/>
      <c r="H1" s="1361"/>
      <c r="I1" s="1361"/>
      <c r="J1" s="1361"/>
      <c r="K1" s="1361"/>
      <c r="L1" s="1361"/>
      <c r="M1" s="1362"/>
    </row>
    <row r="2" spans="1:16" ht="24" customHeight="1">
      <c r="A2" s="1363"/>
      <c r="B2" s="1364"/>
      <c r="C2" s="1364"/>
      <c r="D2" s="1364"/>
      <c r="E2" s="1364"/>
      <c r="F2" s="1364"/>
      <c r="G2" s="1364"/>
      <c r="H2" s="1364"/>
      <c r="I2" s="1364"/>
      <c r="J2" s="1364"/>
      <c r="K2" s="1364"/>
      <c r="L2" s="1364"/>
      <c r="M2" s="1365"/>
    </row>
    <row r="3" spans="1:16" ht="18.75">
      <c r="A3" s="992"/>
      <c r="B3" s="992"/>
      <c r="C3" s="992"/>
      <c r="D3" s="992"/>
      <c r="E3" s="992"/>
      <c r="F3" s="992"/>
      <c r="G3" s="992"/>
      <c r="H3" s="993"/>
      <c r="I3" s="993"/>
      <c r="J3" s="993"/>
      <c r="K3" s="993"/>
      <c r="L3" s="1084"/>
      <c r="M3" s="1079"/>
    </row>
    <row r="4" spans="1:16" ht="23.45" customHeight="1">
      <c r="A4" s="1366" t="s">
        <v>13031</v>
      </c>
      <c r="B4" s="1367"/>
      <c r="C4" s="1367"/>
      <c r="D4" s="1367"/>
      <c r="E4" s="1367"/>
      <c r="F4" s="1367"/>
      <c r="G4" s="1367"/>
      <c r="H4" s="1367"/>
      <c r="I4" s="1367"/>
      <c r="J4" s="1370">
        <v>2025</v>
      </c>
      <c r="K4" s="1370">
        <v>2024</v>
      </c>
      <c r="L4" s="1372" t="s">
        <v>13282</v>
      </c>
      <c r="M4" s="1373"/>
    </row>
    <row r="5" spans="1:16" ht="20.45" customHeight="1">
      <c r="A5" s="1368"/>
      <c r="B5" s="1369"/>
      <c r="C5" s="1369"/>
      <c r="D5" s="1369"/>
      <c r="E5" s="1369"/>
      <c r="F5" s="1369"/>
      <c r="G5" s="1369"/>
      <c r="H5" s="1369"/>
      <c r="I5" s="1369"/>
      <c r="J5" s="1371"/>
      <c r="K5" s="1371"/>
      <c r="L5" s="1085" t="s">
        <v>0</v>
      </c>
      <c r="M5" s="1080" t="s">
        <v>12930</v>
      </c>
    </row>
    <row r="6" spans="1:16">
      <c r="A6" s="1121" t="s">
        <v>11887</v>
      </c>
      <c r="B6" s="1122"/>
      <c r="C6" s="1122"/>
      <c r="D6" s="1122"/>
      <c r="E6" s="1122"/>
      <c r="F6" s="1122"/>
      <c r="G6" s="1122"/>
      <c r="H6" s="1123"/>
      <c r="I6" s="1123"/>
      <c r="J6" s="1124">
        <v>112017119.74000001</v>
      </c>
      <c r="K6" s="994">
        <v>137777441.82999992</v>
      </c>
      <c r="L6" s="1086">
        <v>-25760322.089999914</v>
      </c>
      <c r="M6" s="1081">
        <v>-0.18697053558147</v>
      </c>
    </row>
    <row r="7" spans="1:16">
      <c r="A7" s="1109"/>
      <c r="B7" s="1104" t="s">
        <v>13117</v>
      </c>
      <c r="C7" s="1083"/>
      <c r="D7" s="1104"/>
      <c r="E7" s="1118"/>
      <c r="F7" s="1099"/>
      <c r="G7" s="1099"/>
      <c r="H7" s="1125"/>
      <c r="I7" s="1125"/>
      <c r="J7" s="1034">
        <v>10821541.51</v>
      </c>
      <c r="K7" s="996">
        <v>10821542</v>
      </c>
      <c r="L7" s="1087">
        <v>-0.49000000022351742</v>
      </c>
      <c r="M7" s="1032">
        <v>-4.5280053454814241E-8</v>
      </c>
      <c r="O7" s="997"/>
      <c r="P7" s="824"/>
    </row>
    <row r="8" spans="1:16">
      <c r="A8" s="1109"/>
      <c r="B8" s="1104" t="s">
        <v>13118</v>
      </c>
      <c r="C8" s="1083"/>
      <c r="D8" s="1104"/>
      <c r="E8" s="1118"/>
      <c r="F8" s="1099"/>
      <c r="G8" s="1099"/>
      <c r="H8" s="1125"/>
      <c r="I8" s="1125"/>
      <c r="J8" s="1034">
        <v>95346674.460000008</v>
      </c>
      <c r="K8" s="995">
        <v>108428615.37999998</v>
      </c>
      <c r="L8" s="1087">
        <v>-13081940.919999972</v>
      </c>
      <c r="M8" s="1032">
        <v>-0.12065026260967066</v>
      </c>
      <c r="O8" s="997"/>
      <c r="P8" s="824"/>
    </row>
    <row r="9" spans="1:16">
      <c r="A9" s="1109"/>
      <c r="B9" s="1099" t="s">
        <v>13119</v>
      </c>
      <c r="C9" s="1106"/>
      <c r="D9" s="1083"/>
      <c r="E9" s="1099"/>
      <c r="F9" s="1099"/>
      <c r="G9" s="1099"/>
      <c r="H9" s="1125"/>
      <c r="I9" s="1125"/>
      <c r="J9" s="1034">
        <v>0</v>
      </c>
      <c r="K9" s="995">
        <v>0</v>
      </c>
      <c r="L9" s="1087">
        <v>0</v>
      </c>
      <c r="M9" s="1032">
        <v>0</v>
      </c>
      <c r="O9" s="997"/>
      <c r="P9" s="824"/>
    </row>
    <row r="10" spans="1:16">
      <c r="A10" s="1109"/>
      <c r="B10" s="1099" t="s">
        <v>13120</v>
      </c>
      <c r="C10" s="1098"/>
      <c r="D10" s="1083"/>
      <c r="E10" s="1099"/>
      <c r="F10" s="1099"/>
      <c r="G10" s="1099"/>
      <c r="H10" s="1126"/>
      <c r="I10" s="1126"/>
      <c r="J10" s="1127">
        <v>18958045.139999997</v>
      </c>
      <c r="K10" s="999">
        <v>24877957.209999997</v>
      </c>
      <c r="L10" s="1087">
        <v>-5919912.0700000003</v>
      </c>
      <c r="M10" s="1032">
        <v>-0.23795812574275269</v>
      </c>
      <c r="O10" s="997"/>
      <c r="P10" s="824"/>
    </row>
    <row r="11" spans="1:16">
      <c r="A11" s="1109"/>
      <c r="B11" s="1128" t="s">
        <v>13121</v>
      </c>
      <c r="C11" s="1098"/>
      <c r="D11" s="1098"/>
      <c r="E11" s="1083"/>
      <c r="F11" s="1128"/>
      <c r="G11" s="1099"/>
      <c r="H11" s="1126"/>
      <c r="I11" s="1126"/>
      <c r="J11" s="1127">
        <v>129454.79</v>
      </c>
      <c r="K11" s="999">
        <v>129454.79</v>
      </c>
      <c r="L11" s="1087">
        <v>0</v>
      </c>
      <c r="M11" s="1032">
        <v>0</v>
      </c>
      <c r="O11" s="997"/>
      <c r="P11" s="824"/>
    </row>
    <row r="12" spans="1:16">
      <c r="A12" s="1109"/>
      <c r="B12" s="1128" t="s">
        <v>13122</v>
      </c>
      <c r="C12" s="1098"/>
      <c r="D12" s="1098"/>
      <c r="E12" s="1083"/>
      <c r="F12" s="1128"/>
      <c r="G12" s="1099"/>
      <c r="H12" s="1129"/>
      <c r="I12" s="1129"/>
      <c r="J12" s="1130">
        <v>0</v>
      </c>
      <c r="K12" s="1001">
        <v>0</v>
      </c>
      <c r="L12" s="1087">
        <v>0</v>
      </c>
      <c r="M12" s="1032">
        <v>0</v>
      </c>
      <c r="O12" s="997"/>
      <c r="P12" s="824"/>
    </row>
    <row r="13" spans="1:16">
      <c r="A13" s="1109"/>
      <c r="B13" s="1128" t="s">
        <v>13123</v>
      </c>
      <c r="C13" s="1098"/>
      <c r="D13" s="1098"/>
      <c r="E13" s="1083"/>
      <c r="F13" s="1128"/>
      <c r="G13" s="1099"/>
      <c r="H13" s="1129"/>
      <c r="I13" s="1129"/>
      <c r="J13" s="1130">
        <v>18828590.349999998</v>
      </c>
      <c r="K13" s="1001">
        <v>24748502.419999998</v>
      </c>
      <c r="L13" s="1087">
        <v>-5919912.0700000003</v>
      </c>
      <c r="M13" s="1032">
        <v>-0.23920284021775573</v>
      </c>
      <c r="O13" s="997"/>
      <c r="P13" s="824"/>
    </row>
    <row r="14" spans="1:16">
      <c r="A14" s="1109"/>
      <c r="B14" s="1099" t="s">
        <v>13124</v>
      </c>
      <c r="C14" s="1098"/>
      <c r="D14" s="1083"/>
      <c r="E14" s="1099"/>
      <c r="F14" s="1099"/>
      <c r="G14" s="1099"/>
      <c r="H14" s="1126"/>
      <c r="I14" s="1126"/>
      <c r="J14" s="1127">
        <v>27305090.610000003</v>
      </c>
      <c r="K14" s="1000">
        <v>25776094.859999999</v>
      </c>
      <c r="L14" s="1087">
        <v>1528995.7500000037</v>
      </c>
      <c r="M14" s="1032">
        <v>5.9318362936844178E-2</v>
      </c>
      <c r="O14" s="997"/>
      <c r="P14" s="824"/>
    </row>
    <row r="15" spans="1:16">
      <c r="A15" s="1109"/>
      <c r="B15" s="1099" t="s">
        <v>13125</v>
      </c>
      <c r="C15" s="1098"/>
      <c r="D15" s="1083"/>
      <c r="E15" s="1099"/>
      <c r="F15" s="1099"/>
      <c r="G15" s="1099"/>
      <c r="H15" s="1126"/>
      <c r="I15" s="1126"/>
      <c r="J15" s="1127">
        <v>1473145.72</v>
      </c>
      <c r="K15" s="999">
        <v>1708767.73</v>
      </c>
      <c r="L15" s="1087">
        <v>-235622.01</v>
      </c>
      <c r="M15" s="1032">
        <v>-0.13789001621653987</v>
      </c>
      <c r="O15" s="997"/>
      <c r="P15" s="824"/>
    </row>
    <row r="16" spans="1:16">
      <c r="A16" s="1109"/>
      <c r="B16" s="1099" t="s">
        <v>13126</v>
      </c>
      <c r="C16" s="1098"/>
      <c r="D16" s="1083"/>
      <c r="E16" s="1099"/>
      <c r="F16" s="1099"/>
      <c r="G16" s="1099"/>
      <c r="H16" s="1126"/>
      <c r="I16" s="1126"/>
      <c r="J16" s="1127">
        <v>47610392.990000002</v>
      </c>
      <c r="K16" s="999">
        <v>56065795.579999991</v>
      </c>
      <c r="L16" s="1087">
        <v>-8455402.5899999887</v>
      </c>
      <c r="M16" s="1032">
        <v>-0.15081213960363798</v>
      </c>
      <c r="O16" s="997"/>
      <c r="P16" s="824"/>
    </row>
    <row r="17" spans="1:16">
      <c r="A17" s="1109"/>
      <c r="B17" s="1104" t="s">
        <v>13127</v>
      </c>
      <c r="C17" s="1083"/>
      <c r="D17" s="1104"/>
      <c r="E17" s="1118"/>
      <c r="F17" s="1099"/>
      <c r="G17" s="1099"/>
      <c r="H17" s="1125"/>
      <c r="I17" s="1125"/>
      <c r="J17" s="1034">
        <v>567827.35</v>
      </c>
      <c r="K17" s="995">
        <v>1296320.1199999999</v>
      </c>
      <c r="L17" s="1087">
        <v>-728492.7699999999</v>
      </c>
      <c r="M17" s="1032">
        <v>-0.56196980881543357</v>
      </c>
      <c r="O17" s="997"/>
      <c r="P17" s="824"/>
    </row>
    <row r="18" spans="1:16">
      <c r="A18" s="1109"/>
      <c r="B18" s="1104" t="s">
        <v>13128</v>
      </c>
      <c r="C18" s="1083"/>
      <c r="D18" s="1104"/>
      <c r="E18" s="1118"/>
      <c r="F18" s="1099"/>
      <c r="G18" s="1099"/>
      <c r="H18" s="1125"/>
      <c r="I18" s="1125"/>
      <c r="J18" s="1034">
        <v>0</v>
      </c>
      <c r="K18" s="995">
        <v>0</v>
      </c>
      <c r="L18" s="1087">
        <v>0</v>
      </c>
      <c r="M18" s="1032">
        <v>0</v>
      </c>
      <c r="O18" s="997"/>
      <c r="P18" s="824"/>
    </row>
    <row r="19" spans="1:16">
      <c r="A19" s="1109"/>
      <c r="B19" s="1104" t="s">
        <v>13129</v>
      </c>
      <c r="C19" s="1083"/>
      <c r="D19" s="1104"/>
      <c r="E19" s="1118"/>
      <c r="F19" s="1099"/>
      <c r="G19" s="1099"/>
      <c r="H19" s="1125"/>
      <c r="I19" s="1125"/>
      <c r="J19" s="1034">
        <v>0</v>
      </c>
      <c r="K19" s="995">
        <v>0</v>
      </c>
      <c r="L19" s="1087">
        <v>0</v>
      </c>
      <c r="M19" s="1032">
        <v>0</v>
      </c>
      <c r="O19" s="997"/>
      <c r="P19" s="824"/>
    </row>
    <row r="20" spans="1:16">
      <c r="A20" s="1109"/>
      <c r="B20" s="1104" t="s">
        <v>13130</v>
      </c>
      <c r="C20" s="1083"/>
      <c r="D20" s="1104"/>
      <c r="E20" s="1118"/>
      <c r="F20" s="1099"/>
      <c r="G20" s="1099"/>
      <c r="H20" s="1125"/>
      <c r="I20" s="1125"/>
      <c r="J20" s="1034">
        <v>17248226.120000001</v>
      </c>
      <c r="K20" s="1034">
        <v>17098821.120000001</v>
      </c>
      <c r="L20" s="1087">
        <v>149405</v>
      </c>
      <c r="M20" s="1032">
        <v>8.7377368855707394E-3</v>
      </c>
      <c r="O20" s="997"/>
      <c r="P20" s="824"/>
    </row>
    <row r="21" spans="1:16">
      <c r="A21" s="1109"/>
      <c r="B21" s="1104" t="s">
        <v>13131</v>
      </c>
      <c r="C21" s="1083"/>
      <c r="D21" s="1104"/>
      <c r="E21" s="1118"/>
      <c r="F21" s="1099"/>
      <c r="G21" s="1099"/>
      <c r="H21" s="1125"/>
      <c r="I21" s="1125"/>
      <c r="J21" s="1034">
        <v>-11967149.699999999</v>
      </c>
      <c r="K21" s="1034">
        <v>132143.20999995401</v>
      </c>
      <c r="L21" s="1087">
        <v>-12099292.909999954</v>
      </c>
      <c r="M21" s="1032">
        <v>-91.561972121035694</v>
      </c>
      <c r="O21" s="997"/>
      <c r="P21" s="824"/>
    </row>
    <row r="22" spans="1:16">
      <c r="A22" s="1113"/>
      <c r="B22" s="1114" t="s">
        <v>12963</v>
      </c>
      <c r="C22" s="1114"/>
      <c r="D22" s="1114"/>
      <c r="E22" s="1114"/>
      <c r="F22" s="1114"/>
      <c r="G22" s="1114"/>
      <c r="H22" s="1131"/>
      <c r="I22" s="1131"/>
      <c r="J22" s="1035">
        <v>112017119.74000001</v>
      </c>
      <c r="K22" s="1035">
        <v>137777441.82999992</v>
      </c>
      <c r="L22" s="1088">
        <v>-25760322.089999914</v>
      </c>
      <c r="M22" s="1032">
        <v>-0.18697053558147</v>
      </c>
      <c r="O22" s="997"/>
      <c r="P22" s="824"/>
    </row>
    <row r="23" spans="1:16">
      <c r="A23" s="1097"/>
      <c r="B23" s="1098"/>
      <c r="C23" s="1099"/>
      <c r="D23" s="1099"/>
      <c r="E23" s="1099"/>
      <c r="F23" s="1099"/>
      <c r="G23" s="1099"/>
      <c r="H23" s="1132"/>
      <c r="I23" s="1132"/>
      <c r="J23" s="1127"/>
      <c r="K23" s="1000"/>
      <c r="L23" s="1089">
        <v>0</v>
      </c>
      <c r="M23" s="1032">
        <v>0</v>
      </c>
      <c r="O23" s="997"/>
      <c r="P23" s="824"/>
    </row>
    <row r="24" spans="1:16">
      <c r="A24" s="1101" t="s">
        <v>13132</v>
      </c>
      <c r="B24" s="1104"/>
      <c r="C24" s="1104"/>
      <c r="D24" s="1104"/>
      <c r="E24" s="1104"/>
      <c r="F24" s="1104"/>
      <c r="G24" s="1104"/>
      <c r="H24" s="1125"/>
      <c r="I24" s="1125"/>
      <c r="J24" s="1034">
        <v>69433600.659999996</v>
      </c>
      <c r="K24" s="995">
        <v>61809855.740000002</v>
      </c>
      <c r="L24" s="1087">
        <v>7623744.9199999943</v>
      </c>
      <c r="M24" s="1032">
        <v>0.12334189796638399</v>
      </c>
      <c r="O24" s="997"/>
      <c r="P24" s="824"/>
    </row>
    <row r="25" spans="1:16">
      <c r="A25" s="1109"/>
      <c r="B25" s="1104" t="s">
        <v>13133</v>
      </c>
      <c r="C25" s="1083"/>
      <c r="D25" s="1104"/>
      <c r="E25" s="1099"/>
      <c r="F25" s="1099"/>
      <c r="G25" s="1099"/>
      <c r="H25" s="1125"/>
      <c r="I25" s="1125"/>
      <c r="J25" s="1034">
        <v>0</v>
      </c>
      <c r="K25" s="995">
        <v>0</v>
      </c>
      <c r="L25" s="1087">
        <v>0</v>
      </c>
      <c r="M25" s="1032">
        <v>0</v>
      </c>
      <c r="O25" s="997"/>
      <c r="P25" s="824"/>
    </row>
    <row r="26" spans="1:16">
      <c r="A26" s="1109"/>
      <c r="B26" s="1104" t="s">
        <v>13134</v>
      </c>
      <c r="C26" s="1083"/>
      <c r="D26" s="1104"/>
      <c r="E26" s="1099"/>
      <c r="F26" s="1099"/>
      <c r="G26" s="1099"/>
      <c r="H26" s="1125"/>
      <c r="I26" s="1125"/>
      <c r="J26" s="1133">
        <v>29334296.639999997</v>
      </c>
      <c r="K26" s="1004">
        <v>23268722.379999999</v>
      </c>
      <c r="L26" s="1087">
        <v>6065574.2599999979</v>
      </c>
      <c r="M26" s="1032">
        <v>0.26067500230324198</v>
      </c>
      <c r="O26" s="997"/>
      <c r="P26" s="824"/>
    </row>
    <row r="27" spans="1:16">
      <c r="A27" s="1109"/>
      <c r="B27" s="1104" t="s">
        <v>13135</v>
      </c>
      <c r="C27" s="1083"/>
      <c r="D27" s="1104"/>
      <c r="E27" s="1099"/>
      <c r="F27" s="1099"/>
      <c r="G27" s="1099"/>
      <c r="H27" s="1125"/>
      <c r="I27" s="1125"/>
      <c r="J27" s="1034">
        <v>678649.51</v>
      </c>
      <c r="K27" s="995">
        <v>650804.80000000005</v>
      </c>
      <c r="L27" s="1087">
        <v>27844.709999999963</v>
      </c>
      <c r="M27" s="1032">
        <v>4.2785040921640344E-2</v>
      </c>
      <c r="O27" s="997"/>
      <c r="P27" s="824"/>
    </row>
    <row r="28" spans="1:16">
      <c r="A28" s="1109"/>
      <c r="B28" s="1104" t="s">
        <v>13136</v>
      </c>
      <c r="C28" s="1083"/>
      <c r="D28" s="1104"/>
      <c r="E28" s="1099"/>
      <c r="F28" s="1099"/>
      <c r="G28" s="1099"/>
      <c r="H28" s="1125"/>
      <c r="I28" s="1125"/>
      <c r="J28" s="1034">
        <v>28223549.650000002</v>
      </c>
      <c r="K28" s="995">
        <v>29618288.890000001</v>
      </c>
      <c r="L28" s="1087">
        <v>-1394739.2399999984</v>
      </c>
      <c r="M28" s="1032">
        <v>-4.7090473226861634E-2</v>
      </c>
      <c r="O28" s="997"/>
      <c r="P28" s="824"/>
    </row>
    <row r="29" spans="1:16">
      <c r="A29" s="1109"/>
      <c r="B29" s="1104" t="s">
        <v>13137</v>
      </c>
      <c r="C29" s="1083"/>
      <c r="D29" s="1104"/>
      <c r="E29" s="1099"/>
      <c r="F29" s="1099"/>
      <c r="G29" s="1099"/>
      <c r="H29" s="1125"/>
      <c r="I29" s="1125"/>
      <c r="J29" s="1034">
        <v>11197104.859999999</v>
      </c>
      <c r="K29" s="995">
        <v>8272039.6699999999</v>
      </c>
      <c r="L29" s="1087">
        <v>2925065.1899999995</v>
      </c>
      <c r="M29" s="1032">
        <v>0.35360869950953699</v>
      </c>
      <c r="O29" s="997"/>
      <c r="P29" s="824"/>
    </row>
    <row r="30" spans="1:16">
      <c r="A30" s="1113"/>
      <c r="B30" s="1114" t="s">
        <v>13013</v>
      </c>
      <c r="C30" s="1114"/>
      <c r="D30" s="1114"/>
      <c r="E30" s="1114"/>
      <c r="F30" s="1114"/>
      <c r="G30" s="1114"/>
      <c r="H30" s="1131"/>
      <c r="I30" s="1131"/>
      <c r="J30" s="1035">
        <v>69433600.659999996</v>
      </c>
      <c r="K30" s="1003">
        <v>61809855.740000002</v>
      </c>
      <c r="L30" s="1088">
        <v>7623744.9199999943</v>
      </c>
      <c r="M30" s="1032">
        <v>0.12334189796638399</v>
      </c>
      <c r="O30" s="997"/>
      <c r="P30" s="824"/>
    </row>
    <row r="31" spans="1:16">
      <c r="A31" s="1097"/>
      <c r="B31" s="1098"/>
      <c r="C31" s="1099"/>
      <c r="D31" s="1099"/>
      <c r="E31" s="1099"/>
      <c r="F31" s="1099"/>
      <c r="G31" s="1099"/>
      <c r="H31" s="1132"/>
      <c r="I31" s="1132"/>
      <c r="J31" s="1127"/>
      <c r="K31" s="1000"/>
      <c r="L31" s="1089">
        <v>0</v>
      </c>
      <c r="M31" s="1032">
        <v>0</v>
      </c>
      <c r="O31" s="997"/>
      <c r="P31" s="824"/>
    </row>
    <row r="32" spans="1:16">
      <c r="A32" s="1101" t="s">
        <v>11896</v>
      </c>
      <c r="B32" s="1104" t="s">
        <v>3149</v>
      </c>
      <c r="C32" s="1104"/>
      <c r="D32" s="1104"/>
      <c r="E32" s="1104"/>
      <c r="F32" s="1104"/>
      <c r="G32" s="1104"/>
      <c r="H32" s="1125"/>
      <c r="I32" s="1125"/>
      <c r="J32" s="1034">
        <v>367699.49</v>
      </c>
      <c r="K32" s="995">
        <v>367699.49</v>
      </c>
      <c r="L32" s="1087">
        <v>0</v>
      </c>
      <c r="M32" s="1032">
        <v>0</v>
      </c>
      <c r="O32" s="997"/>
      <c r="P32" s="824"/>
    </row>
    <row r="33" spans="1:16">
      <c r="A33" s="1109"/>
      <c r="B33" s="1104" t="s">
        <v>13138</v>
      </c>
      <c r="C33" s="1083"/>
      <c r="D33" s="1104"/>
      <c r="E33" s="1118"/>
      <c r="F33" s="1099"/>
      <c r="G33" s="1099"/>
      <c r="H33" s="1125"/>
      <c r="I33" s="1125"/>
      <c r="J33" s="1034">
        <v>0</v>
      </c>
      <c r="K33" s="995">
        <v>0</v>
      </c>
      <c r="L33" s="1087">
        <v>0</v>
      </c>
      <c r="M33" s="1032">
        <v>0</v>
      </c>
      <c r="O33" s="997"/>
      <c r="P33" s="824"/>
    </row>
    <row r="34" spans="1:16">
      <c r="A34" s="1109"/>
      <c r="B34" s="1104" t="s">
        <v>13139</v>
      </c>
      <c r="C34" s="1083"/>
      <c r="D34" s="1104"/>
      <c r="E34" s="1118"/>
      <c r="F34" s="1099"/>
      <c r="G34" s="1099"/>
      <c r="H34" s="1125"/>
      <c r="I34" s="1125"/>
      <c r="J34" s="1034">
        <v>367699.49</v>
      </c>
      <c r="K34" s="995">
        <v>367699.49</v>
      </c>
      <c r="L34" s="1087">
        <v>0</v>
      </c>
      <c r="M34" s="1032">
        <v>0</v>
      </c>
      <c r="O34" s="997"/>
      <c r="P34" s="824"/>
    </row>
    <row r="35" spans="1:16">
      <c r="A35" s="1113"/>
      <c r="B35" s="1114" t="s">
        <v>13018</v>
      </c>
      <c r="C35" s="1114"/>
      <c r="D35" s="1114"/>
      <c r="E35" s="1114"/>
      <c r="F35" s="1114"/>
      <c r="G35" s="1114"/>
      <c r="H35" s="1131"/>
      <c r="I35" s="1131"/>
      <c r="J35" s="1134">
        <v>367699.49</v>
      </c>
      <c r="K35" s="1005">
        <v>367699.49</v>
      </c>
      <c r="L35" s="1086">
        <v>0</v>
      </c>
      <c r="M35" s="1032">
        <v>0</v>
      </c>
      <c r="O35" s="997"/>
      <c r="P35" s="824"/>
    </row>
    <row r="36" spans="1:16">
      <c r="A36" s="1097"/>
      <c r="B36" s="1098"/>
      <c r="C36" s="1099"/>
      <c r="D36" s="1099"/>
      <c r="E36" s="1099"/>
      <c r="F36" s="1099"/>
      <c r="G36" s="1100"/>
      <c r="H36" s="1135"/>
      <c r="I36" s="1135"/>
      <c r="J36" s="1136"/>
      <c r="K36" s="1007"/>
      <c r="L36" s="1090">
        <v>0</v>
      </c>
      <c r="M36" s="1032">
        <v>0</v>
      </c>
      <c r="O36" s="997"/>
      <c r="P36" s="824"/>
    </row>
    <row r="37" spans="1:16" ht="15.75" customHeight="1">
      <c r="A37" s="1101" t="s">
        <v>13140</v>
      </c>
      <c r="B37" s="1102"/>
      <c r="C37" s="1102"/>
      <c r="D37" s="1102"/>
      <c r="E37" s="1102"/>
      <c r="F37" s="1102"/>
      <c r="G37" s="1102"/>
      <c r="H37" s="1137"/>
      <c r="I37" s="1138"/>
      <c r="J37" s="1139">
        <v>134459055.33000001</v>
      </c>
      <c r="K37" s="1008">
        <v>102427517.65000001</v>
      </c>
      <c r="L37" s="1087">
        <v>32031537.680000007</v>
      </c>
      <c r="M37" s="1032">
        <v>0.31272394777205659</v>
      </c>
      <c r="O37" s="997"/>
      <c r="P37" s="824"/>
    </row>
    <row r="38" spans="1:16">
      <c r="A38" s="1101"/>
      <c r="B38" s="1103"/>
      <c r="C38" s="1103"/>
      <c r="D38" s="1103"/>
      <c r="E38" s="1103"/>
      <c r="F38" s="1103"/>
      <c r="G38" s="1103"/>
      <c r="H38" s="1140" t="s">
        <v>13053</v>
      </c>
      <c r="I38" s="1141" t="s">
        <v>13054</v>
      </c>
      <c r="J38" s="1139"/>
      <c r="K38" s="1009"/>
      <c r="L38" s="1087">
        <v>0</v>
      </c>
      <c r="M38" s="1032">
        <v>0</v>
      </c>
      <c r="O38" s="997"/>
      <c r="P38" s="824"/>
    </row>
    <row r="39" spans="1:16">
      <c r="A39" s="1101"/>
      <c r="B39" s="1104" t="s">
        <v>13141</v>
      </c>
      <c r="C39" s="1083"/>
      <c r="D39" s="1104"/>
      <c r="E39" s="1104"/>
      <c r="F39" s="1104"/>
      <c r="G39" s="1105"/>
      <c r="H39" s="1142">
        <v>0</v>
      </c>
      <c r="I39" s="1143">
        <v>59522.04</v>
      </c>
      <c r="J39" s="1139">
        <v>59522.04</v>
      </c>
      <c r="K39" s="1008">
        <v>0</v>
      </c>
      <c r="L39" s="1087">
        <v>59522.04</v>
      </c>
      <c r="M39" s="1032">
        <v>1</v>
      </c>
      <c r="O39" s="997"/>
      <c r="P39" s="824"/>
    </row>
    <row r="40" spans="1:16">
      <c r="A40" s="1101"/>
      <c r="B40" s="1104" t="s">
        <v>13142</v>
      </c>
      <c r="C40" s="1083"/>
      <c r="D40" s="1104"/>
      <c r="E40" s="1104"/>
      <c r="F40" s="1106"/>
      <c r="G40" s="1105"/>
      <c r="H40" s="1125">
        <v>0</v>
      </c>
      <c r="I40" s="1144"/>
      <c r="J40" s="1139">
        <v>0</v>
      </c>
      <c r="K40" s="1008">
        <v>0</v>
      </c>
      <c r="L40" s="1087">
        <v>0</v>
      </c>
      <c r="M40" s="1032">
        <v>0</v>
      </c>
      <c r="O40" s="997"/>
      <c r="P40" s="824"/>
    </row>
    <row r="41" spans="1:16" ht="21.6" customHeight="1">
      <c r="A41" s="1101"/>
      <c r="B41" s="1104" t="s">
        <v>13143</v>
      </c>
      <c r="C41" s="1083"/>
      <c r="D41" s="1104"/>
      <c r="E41" s="1104"/>
      <c r="F41" s="1104"/>
      <c r="G41" s="1105"/>
      <c r="H41" s="1011">
        <v>0</v>
      </c>
      <c r="I41" s="1010"/>
      <c r="J41" s="1008">
        <v>0.02</v>
      </c>
      <c r="K41" s="1008">
        <v>807211</v>
      </c>
      <c r="L41" s="1087">
        <v>-807210.98</v>
      </c>
      <c r="M41" s="1032">
        <v>-0.99999997522333073</v>
      </c>
      <c r="O41" s="997"/>
      <c r="P41" s="824"/>
    </row>
    <row r="42" spans="1:16">
      <c r="A42" s="1101"/>
      <c r="B42" s="1104" t="s">
        <v>13144</v>
      </c>
      <c r="C42" s="1083"/>
      <c r="D42" s="1104"/>
      <c r="E42" s="1104"/>
      <c r="F42" s="1104"/>
      <c r="G42" s="1105"/>
      <c r="H42" s="1012">
        <v>400</v>
      </c>
      <c r="I42" s="1010"/>
      <c r="J42" s="1008">
        <v>400</v>
      </c>
      <c r="K42" s="1008">
        <v>400</v>
      </c>
      <c r="L42" s="1087">
        <v>0</v>
      </c>
      <c r="M42" s="1032">
        <v>0</v>
      </c>
      <c r="O42" s="997"/>
      <c r="P42" s="824"/>
    </row>
    <row r="43" spans="1:16">
      <c r="A43" s="1101"/>
      <c r="B43" s="1104" t="s">
        <v>13145</v>
      </c>
      <c r="C43" s="1083"/>
      <c r="D43" s="1104"/>
      <c r="E43" s="1104"/>
      <c r="F43" s="1106"/>
      <c r="G43" s="1105"/>
      <c r="H43" s="1013">
        <v>5735732.2299999995</v>
      </c>
      <c r="I43" s="1010">
        <v>0</v>
      </c>
      <c r="J43" s="1009">
        <v>5735732.2299999995</v>
      </c>
      <c r="K43" s="1009">
        <v>8358018.29</v>
      </c>
      <c r="L43" s="1087">
        <v>-2622286.0600000005</v>
      </c>
      <c r="M43" s="1032">
        <v>-0.31374495353012688</v>
      </c>
      <c r="O43" s="997"/>
      <c r="P43" s="824"/>
    </row>
    <row r="44" spans="1:16" ht="33.75" customHeight="1">
      <c r="A44" s="1101"/>
      <c r="B44" s="1358" t="s">
        <v>13146</v>
      </c>
      <c r="C44" s="1358"/>
      <c r="D44" s="1358"/>
      <c r="E44" s="1358"/>
      <c r="F44" s="1358"/>
      <c r="G44" s="1359"/>
      <c r="H44" s="1145">
        <v>0</v>
      </c>
      <c r="I44" s="1010"/>
      <c r="J44" s="1008">
        <v>0</v>
      </c>
      <c r="K44" s="1008">
        <v>16636.2</v>
      </c>
      <c r="L44" s="1087">
        <v>-16636.2</v>
      </c>
      <c r="M44" s="1032">
        <v>-1</v>
      </c>
      <c r="O44" s="997"/>
      <c r="P44" s="824"/>
    </row>
    <row r="45" spans="1:16" ht="31.7" customHeight="1">
      <c r="A45" s="1101"/>
      <c r="B45" s="1358" t="s">
        <v>13147</v>
      </c>
      <c r="C45" s="1358"/>
      <c r="D45" s="1358"/>
      <c r="E45" s="1358"/>
      <c r="F45" s="1358"/>
      <c r="G45" s="1359"/>
      <c r="H45" s="1012">
        <v>0</v>
      </c>
      <c r="I45" s="1010"/>
      <c r="J45" s="1008">
        <v>0</v>
      </c>
      <c r="K45" s="1008">
        <v>0</v>
      </c>
      <c r="L45" s="1087">
        <v>0</v>
      </c>
      <c r="M45" s="1032">
        <v>0</v>
      </c>
      <c r="O45" s="997"/>
      <c r="P45" s="824"/>
    </row>
    <row r="46" spans="1:16" ht="30" customHeight="1">
      <c r="A46" s="1101"/>
      <c r="B46" s="1358" t="s">
        <v>13148</v>
      </c>
      <c r="C46" s="1358"/>
      <c r="D46" s="1358"/>
      <c r="E46" s="1358"/>
      <c r="F46" s="1358"/>
      <c r="G46" s="1359"/>
      <c r="H46" s="1012">
        <v>0</v>
      </c>
      <c r="I46" s="1010"/>
      <c r="J46" s="1008">
        <v>0</v>
      </c>
      <c r="K46" s="1008">
        <v>0</v>
      </c>
      <c r="L46" s="1087">
        <v>0</v>
      </c>
      <c r="M46" s="1032">
        <v>0</v>
      </c>
      <c r="O46" s="997"/>
      <c r="P46" s="824"/>
    </row>
    <row r="47" spans="1:16" ht="35.450000000000003" customHeight="1">
      <c r="A47" s="1101"/>
      <c r="B47" s="1358" t="s">
        <v>13149</v>
      </c>
      <c r="C47" s="1358"/>
      <c r="D47" s="1358"/>
      <c r="E47" s="1358"/>
      <c r="F47" s="1358"/>
      <c r="G47" s="1359"/>
      <c r="H47" s="1012">
        <v>5681730.2999999998</v>
      </c>
      <c r="I47" s="1010"/>
      <c r="J47" s="1008">
        <v>5681730.2999999998</v>
      </c>
      <c r="K47" s="1008">
        <v>8286281.1600000001</v>
      </c>
      <c r="L47" s="1087">
        <v>-2604550.8600000003</v>
      </c>
      <c r="M47" s="1032">
        <v>-0.31432084064113514</v>
      </c>
      <c r="O47" s="997"/>
      <c r="P47" s="824"/>
    </row>
    <row r="48" spans="1:16" ht="35.450000000000003" customHeight="1">
      <c r="A48" s="1101"/>
      <c r="B48" s="1358" t="s">
        <v>13150</v>
      </c>
      <c r="C48" s="1358"/>
      <c r="D48" s="1358"/>
      <c r="E48" s="1358"/>
      <c r="F48" s="1358"/>
      <c r="G48" s="1359"/>
      <c r="H48" s="1012">
        <v>0</v>
      </c>
      <c r="I48" s="1010"/>
      <c r="J48" s="1008">
        <v>0</v>
      </c>
      <c r="K48" s="1008">
        <v>0</v>
      </c>
      <c r="L48" s="1087">
        <v>0</v>
      </c>
      <c r="M48" s="1032">
        <v>0</v>
      </c>
      <c r="O48" s="997"/>
      <c r="P48" s="824"/>
    </row>
    <row r="49" spans="1:18" ht="15.6" customHeight="1">
      <c r="A49" s="1101"/>
      <c r="B49" s="1358" t="s">
        <v>13151</v>
      </c>
      <c r="C49" s="1358"/>
      <c r="D49" s="1358"/>
      <c r="E49" s="1358"/>
      <c r="F49" s="1358"/>
      <c r="G49" s="1359"/>
      <c r="H49" s="1012">
        <v>54001.93</v>
      </c>
      <c r="I49" s="1010"/>
      <c r="J49" s="1008">
        <v>54001.93</v>
      </c>
      <c r="K49" s="1008">
        <v>55100.93</v>
      </c>
      <c r="L49" s="1087">
        <v>-1099</v>
      </c>
      <c r="M49" s="1032">
        <v>-1.9945216895613196E-2</v>
      </c>
      <c r="O49" s="997"/>
      <c r="P49" s="824"/>
    </row>
    <row r="50" spans="1:18" ht="15.75" customHeight="1">
      <c r="A50" s="1101"/>
      <c r="B50" s="1104" t="s">
        <v>13152</v>
      </c>
      <c r="C50" s="1083"/>
      <c r="D50" s="1102"/>
      <c r="E50" s="1102"/>
      <c r="F50" s="1102"/>
      <c r="G50" s="1107"/>
      <c r="H50" s="1012">
        <v>7682.02</v>
      </c>
      <c r="I50" s="1010"/>
      <c r="J50" s="1008">
        <v>7682.02</v>
      </c>
      <c r="K50" s="1008">
        <v>0</v>
      </c>
      <c r="L50" s="1087">
        <v>7682.02</v>
      </c>
      <c r="M50" s="1032">
        <v>1</v>
      </c>
      <c r="O50" s="997"/>
      <c r="P50" s="824"/>
    </row>
    <row r="51" spans="1:18">
      <c r="A51" s="1101"/>
      <c r="B51" s="1104" t="s">
        <v>13153</v>
      </c>
      <c r="C51" s="1083"/>
      <c r="D51" s="1104"/>
      <c r="E51" s="1104"/>
      <c r="F51" s="1104"/>
      <c r="G51" s="1105"/>
      <c r="H51" s="1012">
        <v>48350437.269999996</v>
      </c>
      <c r="I51" s="1010"/>
      <c r="J51" s="1008">
        <v>48350437.269999996</v>
      </c>
      <c r="K51" s="1008">
        <v>42371216.859999999</v>
      </c>
      <c r="L51" s="1087">
        <v>5979220.4099999964</v>
      </c>
      <c r="M51" s="1032">
        <v>0.14111514497580083</v>
      </c>
      <c r="O51" s="997"/>
      <c r="P51" s="824"/>
    </row>
    <row r="52" spans="1:18">
      <c r="A52" s="1108"/>
      <c r="B52" s="1104" t="s">
        <v>13154</v>
      </c>
      <c r="C52" s="1083"/>
      <c r="D52" s="1104"/>
      <c r="E52" s="1104"/>
      <c r="F52" s="1106"/>
      <c r="G52" s="1105"/>
      <c r="H52" s="1012">
        <v>43226346.560000002</v>
      </c>
      <c r="I52" s="1010"/>
      <c r="J52" s="1008">
        <v>43226346.560000002</v>
      </c>
      <c r="K52" s="1008">
        <v>12457277.880000001</v>
      </c>
      <c r="L52" s="1087">
        <v>30769068.68</v>
      </c>
      <c r="M52" s="1032">
        <v>2.4699672734602269</v>
      </c>
      <c r="O52" s="997"/>
      <c r="P52" s="824"/>
    </row>
    <row r="53" spans="1:18">
      <c r="A53" s="1108"/>
      <c r="B53" s="1104" t="s">
        <v>13155</v>
      </c>
      <c r="C53" s="1083"/>
      <c r="D53" s="1104"/>
      <c r="E53" s="1104"/>
      <c r="F53" s="1104"/>
      <c r="G53" s="1105"/>
      <c r="H53" s="1012">
        <v>9229246.3400000017</v>
      </c>
      <c r="I53" s="1010"/>
      <c r="J53" s="1008">
        <v>9229246.3400000017</v>
      </c>
      <c r="K53" s="1008">
        <v>7192014.6200000001</v>
      </c>
      <c r="L53" s="1087">
        <v>2037231.7200000016</v>
      </c>
      <c r="M53" s="1032">
        <v>0.28326301149816091</v>
      </c>
      <c r="O53" s="997"/>
      <c r="P53" s="824"/>
    </row>
    <row r="54" spans="1:18">
      <c r="A54" s="1108"/>
      <c r="B54" s="1104" t="s">
        <v>13156</v>
      </c>
      <c r="C54" s="1083"/>
      <c r="D54" s="1104"/>
      <c r="E54" s="1104"/>
      <c r="F54" s="1106"/>
      <c r="G54" s="1105"/>
      <c r="H54" s="1012">
        <v>0</v>
      </c>
      <c r="I54" s="1010"/>
      <c r="J54" s="1008">
        <v>0</v>
      </c>
      <c r="K54" s="1008">
        <v>0</v>
      </c>
      <c r="L54" s="1087">
        <v>0</v>
      </c>
      <c r="M54" s="1032">
        <v>0</v>
      </c>
      <c r="O54" s="997"/>
      <c r="P54" s="824"/>
    </row>
    <row r="55" spans="1:18">
      <c r="A55" s="1108"/>
      <c r="B55" s="1104" t="s">
        <v>13157</v>
      </c>
      <c r="C55" s="1083"/>
      <c r="D55" s="1104"/>
      <c r="E55" s="1104"/>
      <c r="F55" s="1104"/>
      <c r="G55" s="1105"/>
      <c r="H55" s="1012">
        <v>6935379.4600000009</v>
      </c>
      <c r="I55" s="1010"/>
      <c r="J55" s="1008">
        <v>6935379.4600000009</v>
      </c>
      <c r="K55" s="1008">
        <v>12348374.17</v>
      </c>
      <c r="L55" s="1087">
        <v>-5412994.709999999</v>
      </c>
      <c r="M55" s="1032">
        <v>-0.43835687479819857</v>
      </c>
      <c r="O55" s="997"/>
      <c r="P55" s="824"/>
    </row>
    <row r="56" spans="1:18">
      <c r="A56" s="1109"/>
      <c r="B56" s="1110" t="s">
        <v>13158</v>
      </c>
      <c r="C56" s="1083"/>
      <c r="D56" s="1110"/>
      <c r="E56" s="1110"/>
      <c r="F56" s="1111"/>
      <c r="G56" s="1112"/>
      <c r="H56" s="1012">
        <v>20914309.390000001</v>
      </c>
      <c r="I56" s="1014"/>
      <c r="J56" s="1008">
        <v>20914309.390000001</v>
      </c>
      <c r="K56" s="1008">
        <v>18893004.829999994</v>
      </c>
      <c r="L56" s="1087">
        <v>2021304.5600000061</v>
      </c>
      <c r="M56" s="1032">
        <v>0.10698692866422174</v>
      </c>
      <c r="O56" s="997"/>
      <c r="P56" s="824"/>
    </row>
    <row r="57" spans="1:18">
      <c r="A57" s="1113"/>
      <c r="B57" s="1114" t="s">
        <v>13021</v>
      </c>
      <c r="C57" s="1114"/>
      <c r="D57" s="1114"/>
      <c r="E57" s="1114"/>
      <c r="F57" s="1114"/>
      <c r="G57" s="1115"/>
      <c r="H57" s="1015">
        <v>134459055.33000001</v>
      </c>
      <c r="I57" s="1016">
        <v>0</v>
      </c>
      <c r="J57" s="1005">
        <v>134459055.33000001</v>
      </c>
      <c r="K57" s="1005">
        <v>102427517.65000001</v>
      </c>
      <c r="L57" s="1087">
        <v>32031537.680000007</v>
      </c>
      <c r="M57" s="1032">
        <v>0.31272394777205659</v>
      </c>
      <c r="O57" s="997"/>
      <c r="P57" s="824"/>
    </row>
    <row r="58" spans="1:18">
      <c r="A58" s="1097"/>
      <c r="B58" s="1098"/>
      <c r="C58" s="1099"/>
      <c r="D58" s="1099"/>
      <c r="E58" s="1099"/>
      <c r="F58" s="1099"/>
      <c r="G58" s="1100"/>
      <c r="H58" s="1017"/>
      <c r="I58" s="1017"/>
      <c r="J58" s="1006"/>
      <c r="K58" s="1007"/>
      <c r="L58" s="1089">
        <v>0</v>
      </c>
      <c r="M58" s="1032">
        <v>0</v>
      </c>
      <c r="O58" s="997"/>
      <c r="P58" s="824"/>
    </row>
    <row r="59" spans="1:18">
      <c r="A59" s="1101" t="s">
        <v>11907</v>
      </c>
      <c r="B59" s="1104"/>
      <c r="C59" s="1116"/>
      <c r="D59" s="1116"/>
      <c r="E59" s="1116"/>
      <c r="F59" s="1116"/>
      <c r="G59" s="1116"/>
      <c r="H59" s="1018"/>
      <c r="I59" s="1018"/>
      <c r="J59" s="1008">
        <v>0</v>
      </c>
      <c r="K59" s="1008">
        <v>1920933.66</v>
      </c>
      <c r="L59" s="1087">
        <v>-1920933.66</v>
      </c>
      <c r="M59" s="1032">
        <v>-1</v>
      </c>
      <c r="O59" s="997"/>
      <c r="P59" s="824"/>
    </row>
    <row r="60" spans="1:18">
      <c r="A60" s="1101"/>
      <c r="B60" s="1104" t="s">
        <v>13159</v>
      </c>
      <c r="C60" s="1104"/>
      <c r="D60" s="1104"/>
      <c r="E60" s="1104"/>
      <c r="F60" s="1104"/>
      <c r="G60" s="1104"/>
      <c r="H60" s="1018"/>
      <c r="I60" s="1018"/>
      <c r="J60" s="1008">
        <v>0</v>
      </c>
      <c r="K60" s="1008">
        <v>0</v>
      </c>
      <c r="L60" s="1087">
        <v>0</v>
      </c>
      <c r="M60" s="1032">
        <v>0</v>
      </c>
      <c r="O60" s="997"/>
      <c r="P60" s="824"/>
    </row>
    <row r="61" spans="1:18">
      <c r="A61" s="1101"/>
      <c r="B61" s="1104" t="s">
        <v>13160</v>
      </c>
      <c r="C61" s="1104"/>
      <c r="D61" s="1104"/>
      <c r="E61" s="1104"/>
      <c r="F61" s="1104"/>
      <c r="G61" s="1104"/>
      <c r="H61" s="1018"/>
      <c r="I61" s="1018"/>
      <c r="J61" s="1009">
        <v>0</v>
      </c>
      <c r="K61" s="1009">
        <v>1920933.66</v>
      </c>
      <c r="L61" s="1087">
        <v>-1920933.66</v>
      </c>
      <c r="M61" s="1032">
        <v>-1</v>
      </c>
      <c r="O61" s="997"/>
      <c r="P61" s="824"/>
    </row>
    <row r="62" spans="1:18">
      <c r="A62" s="1113"/>
      <c r="B62" s="1114" t="s">
        <v>13023</v>
      </c>
      <c r="C62" s="1114"/>
      <c r="D62" s="1114"/>
      <c r="E62" s="1114"/>
      <c r="F62" s="1114"/>
      <c r="G62" s="1114"/>
      <c r="H62" s="1002"/>
      <c r="I62" s="1002"/>
      <c r="J62" s="1005">
        <v>0</v>
      </c>
      <c r="K62" s="1005">
        <v>1920933.66</v>
      </c>
      <c r="L62" s="1087">
        <v>-1920933.66</v>
      </c>
      <c r="M62" s="1032">
        <v>-1</v>
      </c>
      <c r="O62" s="997"/>
      <c r="P62" s="824"/>
    </row>
    <row r="63" spans="1:18">
      <c r="A63" s="1097"/>
      <c r="B63" s="1098"/>
      <c r="C63" s="1099"/>
      <c r="D63" s="1099"/>
      <c r="E63" s="1099"/>
      <c r="F63" s="1099"/>
      <c r="G63" s="1099"/>
      <c r="H63" s="998"/>
      <c r="I63" s="998"/>
      <c r="J63" s="1006"/>
      <c r="K63" s="1019"/>
      <c r="L63" s="1091">
        <v>0</v>
      </c>
      <c r="M63" s="1032">
        <v>0</v>
      </c>
      <c r="O63" s="997"/>
      <c r="P63" s="824"/>
    </row>
    <row r="64" spans="1:18">
      <c r="A64" s="1117" t="s">
        <v>13161</v>
      </c>
      <c r="B64" s="1098"/>
      <c r="C64" s="1118"/>
      <c r="D64" s="1119"/>
      <c r="E64" s="1119"/>
      <c r="F64" s="1119"/>
      <c r="G64" s="1118"/>
      <c r="H64" s="1018"/>
      <c r="I64" s="1018"/>
      <c r="J64" s="1009">
        <v>316277475.22000003</v>
      </c>
      <c r="K64" s="1009">
        <v>304303448.36999995</v>
      </c>
      <c r="L64" s="1092">
        <v>11974026.850000083</v>
      </c>
      <c r="M64" s="1032">
        <v>3.9348968650006776E-2</v>
      </c>
      <c r="O64" s="997"/>
      <c r="P64" s="824"/>
      <c r="R64" s="764"/>
    </row>
    <row r="65" spans="1:16">
      <c r="A65" s="1097"/>
      <c r="B65" s="1098"/>
      <c r="C65" s="1099"/>
      <c r="D65" s="1099"/>
      <c r="E65" s="1099"/>
      <c r="F65" s="1099"/>
      <c r="G65" s="1099"/>
      <c r="H65" s="998"/>
      <c r="I65" s="998"/>
      <c r="J65" s="1006"/>
      <c r="K65" s="1019"/>
      <c r="L65" s="1093">
        <v>0</v>
      </c>
      <c r="M65" s="1032">
        <v>0</v>
      </c>
      <c r="O65" s="997"/>
      <c r="P65" s="824"/>
    </row>
    <row r="66" spans="1:16">
      <c r="A66" s="1101" t="s">
        <v>13162</v>
      </c>
      <c r="B66" s="1104"/>
      <c r="C66" s="1116"/>
      <c r="D66" s="1119"/>
      <c r="E66" s="1119"/>
      <c r="F66" s="1119"/>
      <c r="G66" s="1118"/>
      <c r="H66" s="1018"/>
      <c r="I66" s="1018"/>
      <c r="J66" s="1008">
        <v>290984078.96999997</v>
      </c>
      <c r="K66" s="1008">
        <v>290984078.96999997</v>
      </c>
      <c r="L66" s="1093">
        <v>0</v>
      </c>
      <c r="M66" s="1032">
        <v>0</v>
      </c>
      <c r="O66" s="997"/>
      <c r="P66" s="824"/>
    </row>
    <row r="67" spans="1:16">
      <c r="A67" s="1097"/>
      <c r="B67" s="1104" t="s">
        <v>13113</v>
      </c>
      <c r="C67" s="1120"/>
      <c r="D67" s="1119"/>
      <c r="E67" s="1119"/>
      <c r="F67" s="1119"/>
      <c r="G67" s="1118"/>
      <c r="H67" s="998"/>
      <c r="I67" s="998"/>
      <c r="J67" s="1006">
        <v>0</v>
      </c>
      <c r="K67" s="1006">
        <v>0</v>
      </c>
      <c r="L67" s="1087">
        <v>0</v>
      </c>
      <c r="M67" s="1032">
        <v>0</v>
      </c>
      <c r="O67" s="997"/>
      <c r="P67" s="824"/>
    </row>
    <row r="68" spans="1:16">
      <c r="A68" s="1097"/>
      <c r="B68" s="1104" t="s">
        <v>13114</v>
      </c>
      <c r="C68" s="1120"/>
      <c r="D68" s="1119"/>
      <c r="E68" s="1119"/>
      <c r="F68" s="1119"/>
      <c r="G68" s="1118"/>
      <c r="H68" s="998"/>
      <c r="I68" s="998"/>
      <c r="J68" s="1006">
        <v>0</v>
      </c>
      <c r="K68" s="1006">
        <v>0</v>
      </c>
      <c r="L68" s="1087">
        <v>0</v>
      </c>
      <c r="M68" s="1032">
        <v>0</v>
      </c>
      <c r="O68" s="997"/>
      <c r="P68" s="824"/>
    </row>
    <row r="69" spans="1:16">
      <c r="A69" s="1097"/>
      <c r="B69" s="1104" t="s">
        <v>13115</v>
      </c>
      <c r="C69" s="1120"/>
      <c r="D69" s="1119"/>
      <c r="E69" s="1119"/>
      <c r="F69" s="1119"/>
      <c r="G69" s="1118"/>
      <c r="H69" s="998"/>
      <c r="I69" s="998"/>
      <c r="J69" s="1006">
        <v>287897837.58999997</v>
      </c>
      <c r="K69" s="1006">
        <v>287897837.58999997</v>
      </c>
      <c r="L69" s="1087">
        <v>0</v>
      </c>
      <c r="M69" s="1032">
        <v>0</v>
      </c>
      <c r="O69" s="997"/>
      <c r="P69" s="824"/>
    </row>
    <row r="70" spans="1:16">
      <c r="A70" s="1097"/>
      <c r="B70" s="1104" t="s">
        <v>13116</v>
      </c>
      <c r="C70" s="1120"/>
      <c r="D70" s="1119"/>
      <c r="E70" s="1119"/>
      <c r="F70" s="1119"/>
      <c r="G70" s="1118"/>
      <c r="H70" s="998"/>
      <c r="I70" s="998"/>
      <c r="J70" s="1006">
        <v>3086241.38</v>
      </c>
      <c r="K70" s="1006">
        <v>3086241.38</v>
      </c>
      <c r="L70" s="1087">
        <v>0</v>
      </c>
      <c r="M70" s="1032">
        <v>0</v>
      </c>
      <c r="O70" s="997"/>
      <c r="P70" s="824"/>
    </row>
    <row r="71" spans="1:16">
      <c r="A71" s="1113"/>
      <c r="B71" s="1114" t="s">
        <v>13163</v>
      </c>
      <c r="C71" s="1114"/>
      <c r="D71" s="1114"/>
      <c r="E71" s="1114"/>
      <c r="F71" s="1114"/>
      <c r="G71" s="1114"/>
      <c r="H71" s="1002"/>
      <c r="I71" s="1002"/>
      <c r="J71" s="1005">
        <v>290984078.96999997</v>
      </c>
      <c r="K71" s="1005">
        <v>290984078.96999997</v>
      </c>
      <c r="L71" s="1094">
        <v>0</v>
      </c>
      <c r="M71" s="1082">
        <v>0</v>
      </c>
      <c r="O71" s="997"/>
      <c r="P71" s="824"/>
    </row>
    <row r="72" spans="1:16">
      <c r="A72" s="991"/>
      <c r="B72" s="991"/>
      <c r="C72" s="991"/>
      <c r="D72" s="991"/>
      <c r="E72" s="991"/>
      <c r="F72" s="991"/>
      <c r="G72" s="991"/>
      <c r="H72" s="991"/>
      <c r="I72" s="991"/>
      <c r="J72" s="1020"/>
      <c r="K72" s="991"/>
      <c r="L72" s="1095"/>
      <c r="M72" s="1083"/>
    </row>
    <row r="73" spans="1:16">
      <c r="A73" s="991"/>
      <c r="B73" s="991"/>
      <c r="C73" s="991"/>
      <c r="D73" s="991"/>
      <c r="E73" s="991"/>
      <c r="F73" s="991"/>
      <c r="G73" s="991"/>
      <c r="H73" s="991"/>
      <c r="I73" s="991"/>
      <c r="J73" s="1020"/>
      <c r="K73" s="991"/>
      <c r="L73" s="1095"/>
      <c r="M73" s="1083"/>
    </row>
    <row r="74" spans="1:16">
      <c r="A74" s="991"/>
      <c r="B74" s="991"/>
      <c r="C74" s="991"/>
      <c r="D74" s="991"/>
      <c r="E74" s="991"/>
      <c r="F74" s="991"/>
      <c r="G74" s="991"/>
      <c r="H74" s="991"/>
      <c r="I74" s="991"/>
      <c r="J74" s="1020"/>
      <c r="K74" s="991"/>
      <c r="L74" s="1095"/>
      <c r="M74" s="1083"/>
    </row>
    <row r="75" spans="1:16">
      <c r="A75" s="991"/>
      <c r="B75" s="991"/>
      <c r="C75" s="991"/>
      <c r="D75" s="991"/>
      <c r="E75" s="991"/>
      <c r="F75" s="991"/>
      <c r="G75" s="991"/>
      <c r="H75" s="991"/>
      <c r="I75" s="991"/>
      <c r="J75" s="1020"/>
      <c r="K75" s="991"/>
      <c r="L75" s="1095"/>
      <c r="M75" s="1083"/>
    </row>
    <row r="76" spans="1:16">
      <c r="A76" s="991"/>
      <c r="B76" s="991"/>
      <c r="C76" s="991"/>
      <c r="D76" s="991"/>
      <c r="E76" s="991"/>
      <c r="F76" s="991"/>
      <c r="G76" s="991"/>
      <c r="H76" s="991"/>
      <c r="I76" s="991"/>
      <c r="J76" s="1020"/>
      <c r="K76" s="991"/>
      <c r="L76" s="1095"/>
      <c r="M76" s="1083"/>
    </row>
    <row r="77" spans="1:16">
      <c r="A77" s="991"/>
      <c r="B77" s="991"/>
      <c r="C77" s="991"/>
      <c r="D77" s="991"/>
      <c r="E77" s="991"/>
      <c r="F77" s="991"/>
      <c r="G77" s="991"/>
      <c r="H77" s="991"/>
      <c r="I77" s="991"/>
      <c r="J77" s="1020"/>
      <c r="K77" s="991"/>
      <c r="L77" s="1095"/>
      <c r="M77" s="1083"/>
    </row>
    <row r="78" spans="1:16">
      <c r="A78" s="991"/>
      <c r="B78" s="991"/>
      <c r="C78" s="991"/>
      <c r="D78" s="991"/>
      <c r="E78" s="991"/>
      <c r="F78" s="991"/>
      <c r="G78" s="991"/>
      <c r="H78" s="991"/>
      <c r="I78" s="991"/>
      <c r="J78" s="1020"/>
      <c r="K78" s="991"/>
      <c r="L78" s="1095"/>
      <c r="M78" s="1083"/>
    </row>
    <row r="79" spans="1:16">
      <c r="A79" s="991"/>
      <c r="B79" s="991"/>
      <c r="C79" s="991"/>
      <c r="D79" s="991"/>
      <c r="E79" s="991"/>
      <c r="F79" s="991"/>
      <c r="G79" s="991"/>
      <c r="H79" s="991"/>
      <c r="I79" s="991"/>
      <c r="J79" s="1020"/>
      <c r="K79" s="991"/>
      <c r="L79" s="1095"/>
      <c r="M79" s="1083"/>
    </row>
    <row r="80" spans="1:16">
      <c r="A80" s="991"/>
      <c r="B80" s="991"/>
      <c r="C80" s="991"/>
      <c r="D80" s="991"/>
      <c r="E80" s="991"/>
      <c r="F80" s="991"/>
      <c r="G80" s="991"/>
      <c r="H80" s="991"/>
      <c r="I80" s="991"/>
      <c r="J80" s="1020"/>
      <c r="K80" s="991"/>
      <c r="L80" s="1095"/>
      <c r="M80" s="1083"/>
    </row>
    <row r="81" spans="1:13">
      <c r="A81" s="991"/>
      <c r="B81" s="991"/>
      <c r="C81" s="991"/>
      <c r="D81" s="991"/>
      <c r="E81" s="991"/>
      <c r="F81" s="991"/>
      <c r="G81" s="991"/>
      <c r="H81" s="991"/>
      <c r="I81" s="991"/>
      <c r="J81" s="1020"/>
      <c r="K81" s="991"/>
      <c r="L81" s="1095"/>
      <c r="M81" s="1083"/>
    </row>
    <row r="82" spans="1:13">
      <c r="A82" s="991"/>
      <c r="B82" s="991"/>
      <c r="C82" s="991"/>
      <c r="D82" s="991"/>
      <c r="E82" s="991"/>
      <c r="F82" s="991"/>
      <c r="G82" s="991"/>
      <c r="H82" s="991"/>
      <c r="I82" s="991"/>
      <c r="J82" s="1020"/>
      <c r="K82" s="991"/>
      <c r="L82" s="1095"/>
      <c r="M82" s="1083"/>
    </row>
    <row r="83" spans="1:13">
      <c r="A83" s="991"/>
      <c r="B83" s="991"/>
      <c r="C83" s="991"/>
      <c r="D83" s="991"/>
      <c r="E83" s="991"/>
      <c r="F83" s="991"/>
      <c r="G83" s="991"/>
      <c r="H83" s="991"/>
      <c r="I83" s="991"/>
      <c r="J83" s="1020"/>
      <c r="K83" s="991"/>
      <c r="L83" s="1095"/>
      <c r="M83" s="1083"/>
    </row>
    <row r="84" spans="1:13">
      <c r="A84" s="991"/>
      <c r="B84" s="991"/>
      <c r="C84" s="991"/>
      <c r="D84" s="991"/>
      <c r="E84" s="991"/>
      <c r="F84" s="991"/>
      <c r="G84" s="991"/>
      <c r="H84" s="991"/>
      <c r="I84" s="991"/>
      <c r="J84" s="1020"/>
      <c r="K84" s="991"/>
      <c r="L84" s="1095"/>
      <c r="M84" s="1083"/>
    </row>
    <row r="85" spans="1:13">
      <c r="A85" s="991"/>
      <c r="B85" s="991"/>
      <c r="C85" s="991"/>
      <c r="D85" s="991"/>
      <c r="E85" s="991"/>
      <c r="F85" s="991"/>
      <c r="G85" s="991"/>
      <c r="H85" s="991"/>
      <c r="I85" s="991"/>
      <c r="J85" s="1020"/>
      <c r="K85" s="991"/>
      <c r="L85" s="1095"/>
      <c r="M85" s="1083"/>
    </row>
    <row r="86" spans="1:13">
      <c r="A86" s="991"/>
      <c r="B86" s="991"/>
      <c r="C86" s="991"/>
      <c r="D86" s="991"/>
      <c r="E86" s="991"/>
      <c r="F86" s="991"/>
      <c r="G86" s="991"/>
      <c r="H86" s="991"/>
      <c r="I86" s="991"/>
      <c r="J86" s="1020"/>
      <c r="K86" s="991"/>
      <c r="L86" s="1095"/>
      <c r="M86" s="1083"/>
    </row>
    <row r="87" spans="1:13">
      <c r="A87" s="991"/>
      <c r="B87" s="991"/>
      <c r="C87" s="991"/>
      <c r="D87" s="991"/>
      <c r="E87" s="991"/>
      <c r="F87" s="991"/>
      <c r="G87" s="991"/>
      <c r="H87" s="991"/>
      <c r="I87" s="991"/>
      <c r="J87" s="1020"/>
      <c r="K87" s="991"/>
      <c r="L87" s="1095"/>
      <c r="M87" s="1083"/>
    </row>
    <row r="88" spans="1:13">
      <c r="A88" s="991"/>
      <c r="B88" s="991"/>
      <c r="C88" s="991"/>
      <c r="D88" s="991"/>
      <c r="E88" s="991"/>
      <c r="F88" s="991"/>
      <c r="G88" s="991"/>
      <c r="H88" s="991"/>
      <c r="I88" s="991"/>
      <c r="J88" s="1020"/>
      <c r="K88" s="991"/>
      <c r="L88" s="1095"/>
      <c r="M88" s="1083"/>
    </row>
    <row r="89" spans="1:13">
      <c r="A89" s="991"/>
      <c r="B89" s="991"/>
      <c r="C89" s="991"/>
      <c r="D89" s="991"/>
      <c r="E89" s="991"/>
      <c r="F89" s="991"/>
      <c r="G89" s="991"/>
      <c r="H89" s="991"/>
      <c r="I89" s="991"/>
      <c r="J89" s="1020"/>
      <c r="K89" s="991"/>
      <c r="L89" s="1095"/>
      <c r="M89" s="1083"/>
    </row>
    <row r="90" spans="1:13">
      <c r="A90" s="991"/>
      <c r="B90" s="991"/>
      <c r="C90" s="991"/>
      <c r="D90" s="991"/>
      <c r="E90" s="991"/>
      <c r="F90" s="991"/>
      <c r="G90" s="991"/>
      <c r="H90" s="991"/>
      <c r="I90" s="991"/>
      <c r="J90" s="1020"/>
      <c r="K90" s="991"/>
      <c r="L90" s="1095"/>
      <c r="M90" s="1083"/>
    </row>
    <row r="91" spans="1:13">
      <c r="A91" s="991"/>
      <c r="B91" s="991"/>
      <c r="C91" s="991"/>
      <c r="D91" s="991"/>
      <c r="E91" s="991"/>
      <c r="F91" s="991"/>
      <c r="G91" s="991"/>
      <c r="H91" s="991"/>
      <c r="I91" s="991"/>
      <c r="J91" s="1020"/>
      <c r="K91" s="991"/>
      <c r="L91" s="1095"/>
      <c r="M91" s="1083"/>
    </row>
    <row r="92" spans="1:13">
      <c r="A92" s="991"/>
      <c r="B92" s="991"/>
      <c r="C92" s="991"/>
      <c r="D92" s="991"/>
      <c r="E92" s="991"/>
      <c r="F92" s="991"/>
      <c r="G92" s="991"/>
      <c r="H92" s="991"/>
      <c r="I92" s="991"/>
      <c r="J92" s="1020"/>
      <c r="K92" s="991"/>
      <c r="L92" s="1095"/>
      <c r="M92" s="1083"/>
    </row>
    <row r="93" spans="1:13">
      <c r="A93" s="991"/>
      <c r="B93" s="991"/>
      <c r="C93" s="991"/>
      <c r="D93" s="991"/>
      <c r="E93" s="991"/>
      <c r="F93" s="991"/>
      <c r="G93" s="991"/>
      <c r="H93" s="991"/>
      <c r="I93" s="991"/>
      <c r="J93" s="1020"/>
      <c r="K93" s="991"/>
      <c r="L93" s="1095"/>
      <c r="M93" s="1083"/>
    </row>
    <row r="94" spans="1:13">
      <c r="A94" s="991"/>
      <c r="B94" s="991"/>
      <c r="C94" s="991"/>
      <c r="D94" s="991"/>
      <c r="E94" s="991"/>
      <c r="F94" s="991"/>
      <c r="G94" s="991"/>
      <c r="H94" s="991"/>
      <c r="I94" s="991"/>
      <c r="J94" s="1020"/>
      <c r="K94" s="991"/>
      <c r="L94" s="1095"/>
      <c r="M94" s="1083"/>
    </row>
    <row r="95" spans="1:13">
      <c r="A95" s="991"/>
      <c r="B95" s="991"/>
      <c r="C95" s="991"/>
      <c r="D95" s="991"/>
      <c r="E95" s="991"/>
      <c r="F95" s="991"/>
      <c r="G95" s="991"/>
      <c r="H95" s="991"/>
      <c r="I95" s="991"/>
      <c r="J95" s="1020"/>
      <c r="K95" s="991"/>
      <c r="L95" s="1095"/>
      <c r="M95" s="1083"/>
    </row>
    <row r="96" spans="1:13">
      <c r="A96" s="991"/>
      <c r="B96" s="991"/>
      <c r="C96" s="991"/>
      <c r="D96" s="991"/>
      <c r="E96" s="991"/>
      <c r="F96" s="991"/>
      <c r="G96" s="991"/>
      <c r="H96" s="991"/>
      <c r="I96" s="991"/>
      <c r="J96" s="1020"/>
      <c r="K96" s="991"/>
      <c r="L96" s="1095"/>
      <c r="M96" s="1083"/>
    </row>
    <row r="97" spans="1:13">
      <c r="A97" s="991"/>
      <c r="B97" s="991"/>
      <c r="C97" s="991"/>
      <c r="D97" s="991"/>
      <c r="E97" s="991"/>
      <c r="F97" s="991"/>
      <c r="G97" s="991"/>
      <c r="H97" s="991"/>
      <c r="I97" s="991"/>
      <c r="J97" s="1020"/>
      <c r="K97" s="991"/>
      <c r="L97" s="1095"/>
      <c r="M97" s="1083"/>
    </row>
    <row r="98" spans="1:13">
      <c r="A98" s="991"/>
      <c r="B98" s="991"/>
      <c r="C98" s="991"/>
      <c r="D98" s="991"/>
      <c r="E98" s="991"/>
      <c r="F98" s="991"/>
      <c r="G98" s="991"/>
      <c r="H98" s="991"/>
      <c r="I98" s="991"/>
      <c r="J98" s="1020"/>
      <c r="K98" s="991"/>
      <c r="L98" s="1095"/>
      <c r="M98" s="1083"/>
    </row>
    <row r="99" spans="1:13">
      <c r="A99" s="991"/>
      <c r="B99" s="991"/>
      <c r="C99" s="991"/>
      <c r="D99" s="991"/>
      <c r="E99" s="991"/>
      <c r="F99" s="991"/>
      <c r="G99" s="991"/>
      <c r="H99" s="991"/>
      <c r="I99" s="991"/>
      <c r="J99" s="1020"/>
      <c r="K99" s="991"/>
      <c r="L99" s="1095"/>
      <c r="M99" s="1083"/>
    </row>
    <row r="100" spans="1:13">
      <c r="A100" s="991"/>
      <c r="B100" s="991"/>
      <c r="C100" s="991"/>
      <c r="D100" s="991"/>
      <c r="E100" s="991"/>
      <c r="F100" s="991"/>
      <c r="G100" s="991"/>
      <c r="H100" s="991"/>
      <c r="I100" s="991"/>
      <c r="J100" s="1020"/>
      <c r="K100" s="991"/>
      <c r="L100" s="1095"/>
      <c r="M100" s="1083"/>
    </row>
    <row r="101" spans="1:13">
      <c r="J101" s="764"/>
    </row>
    <row r="102" spans="1:13">
      <c r="J102" s="764"/>
    </row>
    <row r="103" spans="1:13">
      <c r="J103" s="764"/>
    </row>
    <row r="104" spans="1:13">
      <c r="J104" s="764"/>
    </row>
    <row r="105" spans="1:13">
      <c r="J105" s="764"/>
    </row>
    <row r="106" spans="1:13">
      <c r="J106" s="764"/>
    </row>
    <row r="107" spans="1:13">
      <c r="J107" s="764"/>
    </row>
    <row r="108" spans="1:13">
      <c r="J108" s="764"/>
    </row>
    <row r="109" spans="1:13">
      <c r="J109" s="764"/>
    </row>
    <row r="110" spans="1:13">
      <c r="J110" s="764"/>
    </row>
    <row r="111" spans="1:13">
      <c r="J111" s="764"/>
    </row>
  </sheetData>
  <mergeCells count="11">
    <mergeCell ref="B45:G45"/>
    <mergeCell ref="B46:G46"/>
    <mergeCell ref="B47:G47"/>
    <mergeCell ref="B48:G48"/>
    <mergeCell ref="B49:G49"/>
    <mergeCell ref="B44:G44"/>
    <mergeCell ref="A1:M2"/>
    <mergeCell ref="A4:I5"/>
    <mergeCell ref="J4:J5"/>
    <mergeCell ref="K4:K5"/>
    <mergeCell ref="L4:M4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r:id="rId1"/>
  <headerFooter>
    <oddHeader>&amp;R&amp;"-,Grassetto"ALLEGATO A</oddHeader>
  </headerFooter>
  <rowBreaks count="1" manualBreakCount="1">
    <brk id="43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L659"/>
  <sheetViews>
    <sheetView topLeftCell="B539" workbookViewId="0">
      <selection activeCell="B539" sqref="A1:XFD1048576"/>
    </sheetView>
  </sheetViews>
  <sheetFormatPr defaultColWidth="9.140625" defaultRowHeight="11.25"/>
  <cols>
    <col min="1" max="1" width="12.140625" style="1214" hidden="1" customWidth="1"/>
    <col min="2" max="2" width="5.28515625" style="1211" bestFit="1" customWidth="1"/>
    <col min="3" max="3" width="7.85546875" style="1214" bestFit="1" customWidth="1"/>
    <col min="4" max="4" width="44.85546875" style="1214" customWidth="1"/>
    <col min="5" max="5" width="4.42578125" style="1214" hidden="1" customWidth="1"/>
    <col min="6" max="6" width="9.28515625" style="1214" hidden="1" customWidth="1"/>
    <col min="7" max="7" width="10.42578125" style="1213" bestFit="1" customWidth="1"/>
    <col min="8" max="8" width="11" style="1213" bestFit="1" customWidth="1"/>
    <col min="9" max="9" width="9.5703125" style="1213" bestFit="1" customWidth="1"/>
    <col min="10" max="10" width="12.140625" style="1221" bestFit="1" customWidth="1"/>
    <col min="11" max="11" width="17.140625" style="1214" bestFit="1" customWidth="1"/>
    <col min="12" max="12" width="14.7109375" style="1214" bestFit="1" customWidth="1"/>
    <col min="13" max="16384" width="9.140625" style="1214"/>
  </cols>
  <sheetData>
    <row r="1" spans="1:11" ht="22.5">
      <c r="A1" s="1182" t="s">
        <v>11128</v>
      </c>
      <c r="B1" s="1183" t="s">
        <v>11129</v>
      </c>
      <c r="C1" s="1183" t="s">
        <v>11130</v>
      </c>
      <c r="D1" s="1184" t="s">
        <v>11131</v>
      </c>
      <c r="E1" s="1185"/>
      <c r="F1" s="1185"/>
      <c r="G1" s="1181">
        <v>2025</v>
      </c>
      <c r="H1" s="1181">
        <v>2024</v>
      </c>
      <c r="I1" s="1186" t="s">
        <v>12926</v>
      </c>
      <c r="J1" s="1219" t="s">
        <v>12930</v>
      </c>
      <c r="K1" s="1211"/>
    </row>
    <row r="2" spans="1:11">
      <c r="A2" s="1187">
        <v>1</v>
      </c>
      <c r="B2" s="1188"/>
      <c r="C2" s="1189" t="s">
        <v>4678</v>
      </c>
      <c r="D2" s="1190" t="s">
        <v>11157</v>
      </c>
      <c r="E2" s="1191">
        <v>2025</v>
      </c>
      <c r="F2" s="1192">
        <v>46022</v>
      </c>
      <c r="G2" s="1193">
        <v>143335953.13</v>
      </c>
      <c r="H2" s="1194">
        <v>137579257.44</v>
      </c>
      <c r="I2" s="1194">
        <v>5756695.6899999976</v>
      </c>
      <c r="J2" s="1295">
        <v>4.1842758836742253E-2</v>
      </c>
      <c r="K2" s="1211"/>
    </row>
    <row r="3" spans="1:11" ht="22.5">
      <c r="A3" s="1187">
        <v>2</v>
      </c>
      <c r="B3" s="1188"/>
      <c r="C3" s="1189" t="s">
        <v>496</v>
      </c>
      <c r="D3" s="1190" t="s">
        <v>11158</v>
      </c>
      <c r="E3" s="1191">
        <v>2025</v>
      </c>
      <c r="F3" s="1192">
        <v>46022</v>
      </c>
      <c r="G3" s="1193">
        <v>141042139.46000001</v>
      </c>
      <c r="H3" s="1193">
        <v>133516926.47</v>
      </c>
      <c r="I3" s="1193">
        <v>7525212.9900000095</v>
      </c>
      <c r="J3" s="1296">
        <v>5.6361490553715331E-2</v>
      </c>
      <c r="K3" s="1211"/>
    </row>
    <row r="4" spans="1:11" ht="22.5">
      <c r="A4" s="1187">
        <v>3</v>
      </c>
      <c r="B4" s="1195"/>
      <c r="C4" s="1196" t="s">
        <v>493</v>
      </c>
      <c r="D4" s="1197" t="s">
        <v>4688</v>
      </c>
      <c r="E4" s="1191">
        <v>2025</v>
      </c>
      <c r="F4" s="1192">
        <v>46022</v>
      </c>
      <c r="G4" s="1198">
        <v>140877992.92000002</v>
      </c>
      <c r="H4" s="1199">
        <v>133410915.03999999</v>
      </c>
      <c r="I4" s="1199">
        <v>7467077.880000025</v>
      </c>
      <c r="J4" s="1297">
        <v>5.5970516938297028E-2</v>
      </c>
    </row>
    <row r="5" spans="1:11">
      <c r="A5" s="1187">
        <v>4</v>
      </c>
      <c r="B5" s="1195"/>
      <c r="C5" s="1196" t="s">
        <v>4689</v>
      </c>
      <c r="D5" s="1197" t="s">
        <v>4695</v>
      </c>
      <c r="E5" s="1191">
        <v>2025</v>
      </c>
      <c r="F5" s="1192">
        <v>46022</v>
      </c>
      <c r="G5" s="1200">
        <v>62004429.420000002</v>
      </c>
      <c r="H5" s="1199">
        <v>57378129.549999997</v>
      </c>
      <c r="I5" s="1199">
        <v>4626299.8700000048</v>
      </c>
      <c r="J5" s="1297">
        <v>8.0628279560221477E-2</v>
      </c>
    </row>
    <row r="6" spans="1:11">
      <c r="A6" s="1187">
        <v>5</v>
      </c>
      <c r="B6" s="1195"/>
      <c r="C6" s="1196" t="s">
        <v>4696</v>
      </c>
      <c r="D6" s="1197" t="s">
        <v>4702</v>
      </c>
      <c r="E6" s="1191">
        <v>2025</v>
      </c>
      <c r="F6" s="1192">
        <v>46022</v>
      </c>
      <c r="G6" s="1200">
        <v>10715194.5</v>
      </c>
      <c r="H6" s="1199">
        <v>9488222.4900000002</v>
      </c>
      <c r="I6" s="1199">
        <v>1226972.0099999998</v>
      </c>
      <c r="J6" s="1297">
        <v>0.12931526545600636</v>
      </c>
    </row>
    <row r="7" spans="1:11">
      <c r="A7" s="1187">
        <v>6</v>
      </c>
      <c r="B7" s="1195"/>
      <c r="C7" s="1196" t="s">
        <v>11160</v>
      </c>
      <c r="D7" s="1197" t="s">
        <v>11161</v>
      </c>
      <c r="E7" s="1191">
        <v>2025</v>
      </c>
      <c r="F7" s="1192">
        <v>46022</v>
      </c>
      <c r="G7" s="1200">
        <v>68158369</v>
      </c>
      <c r="H7" s="1199">
        <v>66544563</v>
      </c>
      <c r="I7" s="1199">
        <v>1613806</v>
      </c>
      <c r="J7" s="1297">
        <v>2.4251507970681242E-2</v>
      </c>
    </row>
    <row r="8" spans="1:11">
      <c r="A8" s="1187">
        <v>7</v>
      </c>
      <c r="B8" s="1195"/>
      <c r="C8" s="1196" t="s">
        <v>4709</v>
      </c>
      <c r="D8" s="1197" t="s">
        <v>4714</v>
      </c>
      <c r="E8" s="1191">
        <v>2025</v>
      </c>
      <c r="F8" s="1192">
        <v>46022</v>
      </c>
      <c r="G8" s="1200">
        <v>11808011</v>
      </c>
      <c r="H8" s="1199">
        <v>11808011</v>
      </c>
      <c r="I8" s="1199">
        <v>0</v>
      </c>
      <c r="J8" s="1297">
        <v>0</v>
      </c>
    </row>
    <row r="9" spans="1:11">
      <c r="A9" s="1187">
        <v>8</v>
      </c>
      <c r="B9" s="1196"/>
      <c r="C9" s="1196" t="s">
        <v>4715</v>
      </c>
      <c r="D9" s="1197" t="s">
        <v>4720</v>
      </c>
      <c r="E9" s="1191">
        <v>2025</v>
      </c>
      <c r="F9" s="1192">
        <v>46022</v>
      </c>
      <c r="G9" s="1200">
        <v>56350358</v>
      </c>
      <c r="H9" s="1199">
        <v>54736552</v>
      </c>
      <c r="I9" s="1199">
        <v>1613806</v>
      </c>
      <c r="J9" s="1297">
        <v>2.9483150491466836E-2</v>
      </c>
    </row>
    <row r="10" spans="1:11" ht="22.5">
      <c r="A10" s="1187">
        <v>9</v>
      </c>
      <c r="B10" s="1195"/>
      <c r="C10" s="1196" t="s">
        <v>4721</v>
      </c>
      <c r="D10" s="1197" t="s">
        <v>4725</v>
      </c>
      <c r="E10" s="1191">
        <v>2025</v>
      </c>
      <c r="F10" s="1192">
        <v>46022</v>
      </c>
      <c r="G10" s="1200">
        <v>0</v>
      </c>
      <c r="H10" s="1199">
        <v>0</v>
      </c>
      <c r="I10" s="1199">
        <v>0</v>
      </c>
      <c r="J10" s="1297">
        <v>0</v>
      </c>
    </row>
    <row r="11" spans="1:11" ht="22.5">
      <c r="A11" s="1187">
        <v>10</v>
      </c>
      <c r="B11" s="1195"/>
      <c r="C11" s="1196" t="s">
        <v>497</v>
      </c>
      <c r="D11" s="1197" t="s">
        <v>4728</v>
      </c>
      <c r="E11" s="1191">
        <v>2025</v>
      </c>
      <c r="F11" s="1192">
        <v>46022</v>
      </c>
      <c r="G11" s="1200">
        <v>164146.54</v>
      </c>
      <c r="H11" s="1199">
        <v>106011.43</v>
      </c>
      <c r="I11" s="1199">
        <v>58135.110000000015</v>
      </c>
      <c r="J11" s="1297">
        <v>0.5483853014717377</v>
      </c>
    </row>
    <row r="12" spans="1:11">
      <c r="A12" s="1187">
        <v>11</v>
      </c>
      <c r="B12" s="1195"/>
      <c r="C12" s="1196" t="s">
        <v>498</v>
      </c>
      <c r="D12" s="1197" t="s">
        <v>4765</v>
      </c>
      <c r="E12" s="1191">
        <v>2025</v>
      </c>
      <c r="F12" s="1192">
        <v>46022</v>
      </c>
      <c r="G12" s="1200">
        <v>2293813.67</v>
      </c>
      <c r="H12" s="1199">
        <v>4062330.97</v>
      </c>
      <c r="I12" s="1199">
        <v>-1768517.3000000003</v>
      </c>
      <c r="J12" s="1297">
        <v>-0.43534544897015132</v>
      </c>
    </row>
    <row r="13" spans="1:11">
      <c r="A13" s="1187">
        <v>12</v>
      </c>
      <c r="B13" s="1195"/>
      <c r="C13" s="1196" t="s">
        <v>614</v>
      </c>
      <c r="D13" s="1197" t="s">
        <v>4768</v>
      </c>
      <c r="E13" s="1191">
        <v>2025</v>
      </c>
      <c r="F13" s="1192">
        <v>46022</v>
      </c>
      <c r="G13" s="1200">
        <v>1852526</v>
      </c>
      <c r="H13" s="1199">
        <v>0</v>
      </c>
      <c r="I13" s="1199">
        <v>1852526</v>
      </c>
      <c r="J13" s="1297">
        <v>1</v>
      </c>
    </row>
    <row r="14" spans="1:11" ht="22.5">
      <c r="A14" s="1187">
        <v>13</v>
      </c>
      <c r="B14" s="1195"/>
      <c r="C14" s="1196" t="s">
        <v>499</v>
      </c>
      <c r="D14" s="1197" t="s">
        <v>11162</v>
      </c>
      <c r="E14" s="1191">
        <v>2025</v>
      </c>
      <c r="F14" s="1192">
        <v>46022</v>
      </c>
      <c r="G14" s="1200">
        <v>1852526</v>
      </c>
      <c r="H14" s="1199">
        <v>0</v>
      </c>
      <c r="I14" s="1199">
        <v>1852526</v>
      </c>
      <c r="J14" s="1297">
        <v>1</v>
      </c>
    </row>
    <row r="15" spans="1:11" ht="33.75">
      <c r="A15" s="1187">
        <v>14</v>
      </c>
      <c r="B15" s="1196"/>
      <c r="C15" s="1196" t="s">
        <v>494</v>
      </c>
      <c r="D15" s="1197" t="s">
        <v>11163</v>
      </c>
      <c r="E15" s="1191">
        <v>2025</v>
      </c>
      <c r="F15" s="1192">
        <v>46022</v>
      </c>
      <c r="G15" s="1200">
        <v>0</v>
      </c>
      <c r="H15" s="1199">
        <v>0</v>
      </c>
      <c r="I15" s="1199">
        <v>0</v>
      </c>
      <c r="J15" s="1297">
        <v>0</v>
      </c>
    </row>
    <row r="16" spans="1:11" ht="33.75">
      <c r="A16" s="1187">
        <v>15</v>
      </c>
      <c r="B16" s="1195"/>
      <c r="C16" s="1196" t="s">
        <v>495</v>
      </c>
      <c r="D16" s="1197" t="s">
        <v>11164</v>
      </c>
      <c r="E16" s="1191">
        <v>2025</v>
      </c>
      <c r="F16" s="1192">
        <v>46022</v>
      </c>
      <c r="G16" s="1200">
        <v>0</v>
      </c>
      <c r="H16" s="1199">
        <v>0</v>
      </c>
      <c r="I16" s="1199">
        <v>0</v>
      </c>
      <c r="J16" s="1297">
        <v>0</v>
      </c>
    </row>
    <row r="17" spans="1:11">
      <c r="A17" s="1187">
        <v>16</v>
      </c>
      <c r="B17" s="1195"/>
      <c r="C17" s="1196" t="s">
        <v>500</v>
      </c>
      <c r="D17" s="1197" t="s">
        <v>11165</v>
      </c>
      <c r="E17" s="1191">
        <v>2025</v>
      </c>
      <c r="F17" s="1192">
        <v>46022</v>
      </c>
      <c r="G17" s="1200">
        <v>0</v>
      </c>
      <c r="H17" s="1199">
        <v>0</v>
      </c>
      <c r="I17" s="1199">
        <v>0</v>
      </c>
      <c r="J17" s="1297">
        <v>0</v>
      </c>
    </row>
    <row r="18" spans="1:11" ht="22.5">
      <c r="A18" s="1187">
        <v>17</v>
      </c>
      <c r="B18" s="1195"/>
      <c r="C18" s="1196" t="s">
        <v>512</v>
      </c>
      <c r="D18" s="1197" t="s">
        <v>11166</v>
      </c>
      <c r="E18" s="1191">
        <v>2025</v>
      </c>
      <c r="F18" s="1192">
        <v>46022</v>
      </c>
      <c r="G18" s="1200">
        <v>0</v>
      </c>
      <c r="H18" s="1199">
        <v>0</v>
      </c>
      <c r="I18" s="1199">
        <v>0</v>
      </c>
      <c r="J18" s="1297">
        <v>0</v>
      </c>
    </row>
    <row r="19" spans="1:11" ht="22.5">
      <c r="A19" s="1187">
        <v>18</v>
      </c>
      <c r="B19" s="1195" t="s">
        <v>1519</v>
      </c>
      <c r="C19" s="1196" t="s">
        <v>501</v>
      </c>
      <c r="D19" s="1197" t="s">
        <v>11167</v>
      </c>
      <c r="E19" s="1191">
        <v>2025</v>
      </c>
      <c r="F19" s="1192">
        <v>46022</v>
      </c>
      <c r="G19" s="1200">
        <v>0</v>
      </c>
      <c r="H19" s="1199">
        <v>0</v>
      </c>
      <c r="I19" s="1199">
        <v>0</v>
      </c>
      <c r="J19" s="1297">
        <v>0</v>
      </c>
    </row>
    <row r="20" spans="1:11" ht="22.5">
      <c r="A20" s="1187">
        <v>19</v>
      </c>
      <c r="B20" s="1196" t="s">
        <v>1519</v>
      </c>
      <c r="C20" s="1196" t="s">
        <v>502</v>
      </c>
      <c r="D20" s="1197" t="s">
        <v>11168</v>
      </c>
      <c r="E20" s="1191">
        <v>2025</v>
      </c>
      <c r="F20" s="1192">
        <v>46022</v>
      </c>
      <c r="G20" s="1200">
        <v>0</v>
      </c>
      <c r="H20" s="1199">
        <v>0</v>
      </c>
      <c r="I20" s="1199">
        <v>0</v>
      </c>
      <c r="J20" s="1297">
        <v>0</v>
      </c>
    </row>
    <row r="21" spans="1:11" ht="22.5">
      <c r="A21" s="1187">
        <v>20</v>
      </c>
      <c r="B21" s="1196"/>
      <c r="C21" s="1196" t="s">
        <v>4804</v>
      </c>
      <c r="D21" s="1197" t="s">
        <v>4807</v>
      </c>
      <c r="E21" s="1191">
        <v>2025</v>
      </c>
      <c r="F21" s="1192">
        <v>46022</v>
      </c>
      <c r="G21" s="1200">
        <v>441287.67</v>
      </c>
      <c r="H21" s="1199">
        <v>4062330.97</v>
      </c>
      <c r="I21" s="1199">
        <v>-3621043.3000000003</v>
      </c>
      <c r="J21" s="1297">
        <v>-0.89137082299328263</v>
      </c>
    </row>
    <row r="22" spans="1:11">
      <c r="A22" s="1187">
        <v>21</v>
      </c>
      <c r="B22" s="1196"/>
      <c r="C22" s="1196" t="s">
        <v>4808</v>
      </c>
      <c r="D22" s="1197" t="s">
        <v>4814</v>
      </c>
      <c r="E22" s="1191">
        <v>2025</v>
      </c>
      <c r="F22" s="1192">
        <v>46022</v>
      </c>
      <c r="G22" s="1200">
        <v>441287.67</v>
      </c>
      <c r="H22" s="1199">
        <v>349636.29</v>
      </c>
      <c r="I22" s="1199">
        <v>91651.38</v>
      </c>
      <c r="J22" s="1297">
        <v>0.26213348734480624</v>
      </c>
    </row>
    <row r="23" spans="1:11" ht="22.5">
      <c r="A23" s="1187">
        <v>22</v>
      </c>
      <c r="B23" s="1196"/>
      <c r="C23" s="1196" t="s">
        <v>503</v>
      </c>
      <c r="D23" s="1197" t="s">
        <v>11169</v>
      </c>
      <c r="E23" s="1191">
        <v>2025</v>
      </c>
      <c r="F23" s="1192">
        <v>46022</v>
      </c>
      <c r="G23" s="1200">
        <v>0</v>
      </c>
      <c r="H23" s="1199">
        <v>3712694.68</v>
      </c>
      <c r="I23" s="1199">
        <v>-3712694.68</v>
      </c>
      <c r="J23" s="1297">
        <v>-1</v>
      </c>
    </row>
    <row r="24" spans="1:11" ht="22.5">
      <c r="A24" s="1187">
        <v>23</v>
      </c>
      <c r="B24" s="1201"/>
      <c r="C24" s="1189" t="s">
        <v>504</v>
      </c>
      <c r="D24" s="1190" t="s">
        <v>11170</v>
      </c>
      <c r="E24" s="1191">
        <v>2025</v>
      </c>
      <c r="F24" s="1192">
        <v>46022</v>
      </c>
      <c r="G24" s="1202">
        <v>0</v>
      </c>
      <c r="H24" s="1203">
        <v>0</v>
      </c>
      <c r="I24" s="1203">
        <v>0</v>
      </c>
      <c r="J24" s="1298">
        <v>0</v>
      </c>
      <c r="K24" s="1211"/>
    </row>
    <row r="25" spans="1:11" ht="22.5">
      <c r="A25" s="1187">
        <v>24</v>
      </c>
      <c r="B25" s="1201"/>
      <c r="C25" s="1189" t="s">
        <v>505</v>
      </c>
      <c r="D25" s="1190" t="s">
        <v>11171</v>
      </c>
      <c r="E25" s="1191">
        <v>2025</v>
      </c>
      <c r="F25" s="1192">
        <v>46022</v>
      </c>
      <c r="G25" s="1202">
        <v>0</v>
      </c>
      <c r="H25" s="1203">
        <v>0</v>
      </c>
      <c r="I25" s="1203">
        <v>0</v>
      </c>
      <c r="J25" s="1298">
        <v>0</v>
      </c>
      <c r="K25" s="1211"/>
    </row>
    <row r="26" spans="1:11" ht="45">
      <c r="A26" s="1187">
        <v>25</v>
      </c>
      <c r="B26" s="1201"/>
      <c r="C26" s="1189" t="s">
        <v>4858</v>
      </c>
      <c r="D26" s="1190" t="s">
        <v>11172</v>
      </c>
      <c r="E26" s="1191">
        <v>2025</v>
      </c>
      <c r="F26" s="1192">
        <v>46022</v>
      </c>
      <c r="G26" s="1202">
        <v>0</v>
      </c>
      <c r="H26" s="1203">
        <v>0</v>
      </c>
      <c r="I26" s="1203">
        <v>0</v>
      </c>
      <c r="J26" s="1298">
        <v>0</v>
      </c>
      <c r="K26" s="1211"/>
    </row>
    <row r="27" spans="1:11">
      <c r="A27" s="1187">
        <v>26</v>
      </c>
      <c r="B27" s="1201"/>
      <c r="C27" s="1189" t="s">
        <v>506</v>
      </c>
      <c r="D27" s="1190" t="s">
        <v>4866</v>
      </c>
      <c r="E27" s="1191">
        <v>2025</v>
      </c>
      <c r="F27" s="1192">
        <v>46022</v>
      </c>
      <c r="G27" s="1204">
        <v>0</v>
      </c>
      <c r="H27" s="1194">
        <v>0</v>
      </c>
      <c r="I27" s="1194">
        <v>0</v>
      </c>
      <c r="J27" s="1295">
        <v>0</v>
      </c>
      <c r="K27" s="1211"/>
    </row>
    <row r="28" spans="1:11" ht="22.5">
      <c r="A28" s="1187">
        <v>27</v>
      </c>
      <c r="B28" s="1201"/>
      <c r="C28" s="1189" t="s">
        <v>507</v>
      </c>
      <c r="D28" s="1190" t="s">
        <v>11173</v>
      </c>
      <c r="E28" s="1191">
        <v>2025</v>
      </c>
      <c r="F28" s="1192">
        <v>46022</v>
      </c>
      <c r="G28" s="1202">
        <v>0</v>
      </c>
      <c r="H28" s="1203">
        <v>0</v>
      </c>
      <c r="I28" s="1203">
        <v>0</v>
      </c>
      <c r="J28" s="1298">
        <v>0</v>
      </c>
      <c r="K28" s="1211"/>
    </row>
    <row r="29" spans="1:11" ht="22.5">
      <c r="A29" s="1187">
        <v>28</v>
      </c>
      <c r="B29" s="1201"/>
      <c r="C29" s="1189" t="s">
        <v>508</v>
      </c>
      <c r="D29" s="1190" t="s">
        <v>11174</v>
      </c>
      <c r="E29" s="1191">
        <v>2025</v>
      </c>
      <c r="F29" s="1192">
        <v>46022</v>
      </c>
      <c r="G29" s="1202">
        <v>0</v>
      </c>
      <c r="H29" s="1203">
        <v>0</v>
      </c>
      <c r="I29" s="1203">
        <v>0</v>
      </c>
      <c r="J29" s="1298">
        <v>0</v>
      </c>
      <c r="K29" s="1211"/>
    </row>
    <row r="30" spans="1:11" ht="22.5">
      <c r="A30" s="1187">
        <v>29</v>
      </c>
      <c r="B30" s="1201"/>
      <c r="C30" s="1189" t="s">
        <v>509</v>
      </c>
      <c r="D30" s="1190" t="s">
        <v>11175</v>
      </c>
      <c r="E30" s="1191">
        <v>2025</v>
      </c>
      <c r="F30" s="1192">
        <v>46022</v>
      </c>
      <c r="G30" s="1202">
        <v>0</v>
      </c>
      <c r="H30" s="1203">
        <v>0</v>
      </c>
      <c r="I30" s="1203">
        <v>0</v>
      </c>
      <c r="J30" s="1298">
        <v>0</v>
      </c>
      <c r="K30" s="1211"/>
    </row>
    <row r="31" spans="1:11">
      <c r="A31" s="1187">
        <v>30</v>
      </c>
      <c r="B31" s="1188"/>
      <c r="C31" s="1189" t="s">
        <v>510</v>
      </c>
      <c r="D31" s="1190" t="s">
        <v>11176</v>
      </c>
      <c r="E31" s="1191">
        <v>2025</v>
      </c>
      <c r="F31" s="1192">
        <v>46022</v>
      </c>
      <c r="G31" s="1202">
        <v>0</v>
      </c>
      <c r="H31" s="1203">
        <v>0</v>
      </c>
      <c r="I31" s="1203">
        <v>0</v>
      </c>
      <c r="J31" s="1298">
        <v>0</v>
      </c>
      <c r="K31" s="1211"/>
    </row>
    <row r="32" spans="1:11">
      <c r="A32" s="1187">
        <v>31</v>
      </c>
      <c r="B32" s="1188"/>
      <c r="C32" s="1189" t="s">
        <v>511</v>
      </c>
      <c r="D32" s="1190" t="s">
        <v>4893</v>
      </c>
      <c r="E32" s="1191">
        <v>2025</v>
      </c>
      <c r="F32" s="1192">
        <v>46022</v>
      </c>
      <c r="G32" s="1204">
        <v>0</v>
      </c>
      <c r="H32" s="1194">
        <v>0</v>
      </c>
      <c r="I32" s="1194">
        <v>0</v>
      </c>
      <c r="J32" s="1295">
        <v>0</v>
      </c>
      <c r="K32" s="1211"/>
    </row>
    <row r="33" spans="1:11" ht="22.5">
      <c r="A33" s="1187">
        <v>32</v>
      </c>
      <c r="B33" s="1196"/>
      <c r="C33" s="1196" t="s">
        <v>4897</v>
      </c>
      <c r="D33" s="1197" t="s">
        <v>11177</v>
      </c>
      <c r="E33" s="1191">
        <v>2025</v>
      </c>
      <c r="F33" s="1192">
        <v>46022</v>
      </c>
      <c r="G33" s="1200">
        <v>-500000</v>
      </c>
      <c r="H33" s="1199">
        <v>-3466830.95</v>
      </c>
      <c r="I33" s="1199">
        <v>2966830.95</v>
      </c>
      <c r="J33" s="1297">
        <v>-0.85577606545828255</v>
      </c>
    </row>
    <row r="34" spans="1:11" ht="22.5">
      <c r="A34" s="1187">
        <v>33</v>
      </c>
      <c r="B34" s="1196"/>
      <c r="C34" s="1196" t="s">
        <v>4901</v>
      </c>
      <c r="D34" s="1197" t="s">
        <v>11178</v>
      </c>
      <c r="E34" s="1191">
        <v>2025</v>
      </c>
      <c r="F34" s="1192">
        <v>46022</v>
      </c>
      <c r="G34" s="1200">
        <v>-500000</v>
      </c>
      <c r="H34" s="1199">
        <v>-3466830.95</v>
      </c>
      <c r="I34" s="1199">
        <v>2966830.95</v>
      </c>
      <c r="J34" s="1297">
        <v>-0.85577606545828255</v>
      </c>
    </row>
    <row r="35" spans="1:11" ht="22.5">
      <c r="A35" s="1187">
        <v>34</v>
      </c>
      <c r="B35" s="1196"/>
      <c r="C35" s="1196" t="s">
        <v>4911</v>
      </c>
      <c r="D35" s="1197" t="s">
        <v>11179</v>
      </c>
      <c r="E35" s="1191">
        <v>2025</v>
      </c>
      <c r="F35" s="1192">
        <v>46022</v>
      </c>
      <c r="G35" s="1200">
        <v>0</v>
      </c>
      <c r="H35" s="1199">
        <v>0</v>
      </c>
      <c r="I35" s="1199">
        <v>0</v>
      </c>
      <c r="J35" s="1297">
        <v>0</v>
      </c>
    </row>
    <row r="36" spans="1:11" ht="22.5">
      <c r="A36" s="1187">
        <v>35</v>
      </c>
      <c r="B36" s="1196"/>
      <c r="C36" s="1196" t="s">
        <v>4917</v>
      </c>
      <c r="D36" s="1197" t="s">
        <v>11180</v>
      </c>
      <c r="E36" s="1191">
        <v>2025</v>
      </c>
      <c r="F36" s="1192">
        <v>46022</v>
      </c>
      <c r="G36" s="1200">
        <v>6168866.3200000003</v>
      </c>
      <c r="H36" s="1199">
        <v>1978447.06</v>
      </c>
      <c r="I36" s="1199">
        <v>4190419.2600000002</v>
      </c>
      <c r="J36" s="1297">
        <v>2.1180345659590203</v>
      </c>
    </row>
    <row r="37" spans="1:11" ht="33.75">
      <c r="A37" s="1187">
        <v>36</v>
      </c>
      <c r="B37" s="1196"/>
      <c r="C37" s="1196" t="s">
        <v>4921</v>
      </c>
      <c r="D37" s="1197" t="s">
        <v>4928</v>
      </c>
      <c r="E37" s="1191">
        <v>2025</v>
      </c>
      <c r="F37" s="1192">
        <v>46022</v>
      </c>
      <c r="G37" s="1200">
        <v>0</v>
      </c>
      <c r="H37" s="1199">
        <v>0</v>
      </c>
      <c r="I37" s="1199">
        <v>0</v>
      </c>
      <c r="J37" s="1297">
        <v>0</v>
      </c>
    </row>
    <row r="38" spans="1:11" ht="33.75">
      <c r="A38" s="1187">
        <v>37</v>
      </c>
      <c r="B38" s="1196"/>
      <c r="C38" s="1196" t="s">
        <v>4929</v>
      </c>
      <c r="D38" s="1197" t="s">
        <v>11181</v>
      </c>
      <c r="E38" s="1191">
        <v>2025</v>
      </c>
      <c r="F38" s="1192">
        <v>46022</v>
      </c>
      <c r="G38" s="1200">
        <v>1892093.6099999999</v>
      </c>
      <c r="H38" s="1199">
        <v>1366981.47</v>
      </c>
      <c r="I38" s="1199">
        <v>525112.1399999999</v>
      </c>
      <c r="J38" s="1297">
        <v>0.38413991083580667</v>
      </c>
    </row>
    <row r="39" spans="1:11" ht="22.5">
      <c r="A39" s="1187">
        <v>38</v>
      </c>
      <c r="B39" s="1196"/>
      <c r="C39" s="1196" t="s">
        <v>4991</v>
      </c>
      <c r="D39" s="1197" t="s">
        <v>4994</v>
      </c>
      <c r="E39" s="1191">
        <v>2025</v>
      </c>
      <c r="F39" s="1192">
        <v>46022</v>
      </c>
      <c r="G39" s="1200">
        <v>3068201.96</v>
      </c>
      <c r="H39" s="1199">
        <v>611465.59</v>
      </c>
      <c r="I39" s="1199">
        <v>2456736.37</v>
      </c>
      <c r="J39" s="1297">
        <v>4.0177835191020321</v>
      </c>
    </row>
    <row r="40" spans="1:11" ht="22.5">
      <c r="A40" s="1187">
        <v>39</v>
      </c>
      <c r="B40" s="1196"/>
      <c r="C40" s="1196" t="s">
        <v>4999</v>
      </c>
      <c r="D40" s="1197" t="s">
        <v>11182</v>
      </c>
      <c r="E40" s="1191">
        <v>2025</v>
      </c>
      <c r="F40" s="1192">
        <v>46022</v>
      </c>
      <c r="G40" s="1200">
        <v>1208570.75</v>
      </c>
      <c r="H40" s="1199">
        <v>0</v>
      </c>
      <c r="I40" s="1199">
        <v>1208570.75</v>
      </c>
      <c r="J40" s="1297">
        <v>1</v>
      </c>
    </row>
    <row r="41" spans="1:11" ht="22.5">
      <c r="A41" s="1187">
        <v>40</v>
      </c>
      <c r="B41" s="1196"/>
      <c r="C41" s="1196" t="s">
        <v>5006</v>
      </c>
      <c r="D41" s="1197" t="s">
        <v>5009</v>
      </c>
      <c r="E41" s="1191">
        <v>2025</v>
      </c>
      <c r="F41" s="1192">
        <v>46022</v>
      </c>
      <c r="G41" s="1200">
        <v>0</v>
      </c>
      <c r="H41" s="1199">
        <v>0</v>
      </c>
      <c r="I41" s="1199">
        <v>0</v>
      </c>
      <c r="J41" s="1297">
        <v>0</v>
      </c>
    </row>
    <row r="42" spans="1:11" ht="22.5">
      <c r="A42" s="1187">
        <v>41</v>
      </c>
      <c r="B42" s="1201"/>
      <c r="C42" s="1189" t="s">
        <v>5012</v>
      </c>
      <c r="D42" s="1190" t="s">
        <v>5015</v>
      </c>
      <c r="E42" s="1191">
        <v>2025</v>
      </c>
      <c r="F42" s="1192">
        <v>46022</v>
      </c>
      <c r="G42" s="1204">
        <v>195968466.94999999</v>
      </c>
      <c r="H42" s="1194">
        <v>190779621.37</v>
      </c>
      <c r="I42" s="1194">
        <v>5188845.5799999833</v>
      </c>
      <c r="J42" s="1295">
        <v>2.719811237038091E-2</v>
      </c>
      <c r="K42" s="1211"/>
    </row>
    <row r="43" spans="1:11" ht="22.5">
      <c r="A43" s="1187">
        <v>42</v>
      </c>
      <c r="B43" s="1201"/>
      <c r="C43" s="1189" t="s">
        <v>5016</v>
      </c>
      <c r="D43" s="1190" t="s">
        <v>5019</v>
      </c>
      <c r="E43" s="1191">
        <v>2025</v>
      </c>
      <c r="F43" s="1192">
        <v>46022</v>
      </c>
      <c r="G43" s="1204">
        <v>189998690.03</v>
      </c>
      <c r="H43" s="1194">
        <v>184560041.31</v>
      </c>
      <c r="I43" s="1194">
        <v>5438648.7199999988</v>
      </c>
      <c r="J43" s="1295">
        <v>2.9468181093787592E-2</v>
      </c>
      <c r="K43" s="1211"/>
    </row>
    <row r="44" spans="1:11" ht="33.75">
      <c r="A44" s="1187">
        <v>43</v>
      </c>
      <c r="B44" s="1196" t="s">
        <v>1519</v>
      </c>
      <c r="C44" s="1196" t="s">
        <v>5020</v>
      </c>
      <c r="D44" s="1197" t="s">
        <v>5023</v>
      </c>
      <c r="E44" s="1191">
        <v>2025</v>
      </c>
      <c r="F44" s="1192">
        <v>46022</v>
      </c>
      <c r="G44" s="1200">
        <v>187469788.32000002</v>
      </c>
      <c r="H44" s="1199">
        <v>181837828.15000001</v>
      </c>
      <c r="I44" s="1199">
        <v>5631960.1700000167</v>
      </c>
      <c r="J44" s="1297">
        <v>3.0972434214041267E-2</v>
      </c>
    </row>
    <row r="45" spans="1:11">
      <c r="A45" s="1187">
        <v>44</v>
      </c>
      <c r="B45" s="1196" t="s">
        <v>1519</v>
      </c>
      <c r="C45" s="1196" t="s">
        <v>513</v>
      </c>
      <c r="D45" s="1197" t="s">
        <v>5030</v>
      </c>
      <c r="E45" s="1191">
        <v>2025</v>
      </c>
      <c r="F45" s="1192">
        <v>46022</v>
      </c>
      <c r="G45" s="1200">
        <v>79256136</v>
      </c>
      <c r="H45" s="1199">
        <v>80301371.659999996</v>
      </c>
      <c r="I45" s="1199">
        <v>-1045235.6599999964</v>
      </c>
      <c r="J45" s="1297">
        <v>-1.3016411032498626E-2</v>
      </c>
    </row>
    <row r="46" spans="1:11">
      <c r="A46" s="1187">
        <v>45</v>
      </c>
      <c r="B46" s="1195" t="s">
        <v>1519</v>
      </c>
      <c r="C46" s="1196" t="s">
        <v>514</v>
      </c>
      <c r="D46" s="1197" t="s">
        <v>5038</v>
      </c>
      <c r="E46" s="1191">
        <v>2025</v>
      </c>
      <c r="F46" s="1192">
        <v>46022</v>
      </c>
      <c r="G46" s="1200">
        <v>18318854</v>
      </c>
      <c r="H46" s="1199">
        <v>16801541</v>
      </c>
      <c r="I46" s="1199">
        <v>1517313</v>
      </c>
      <c r="J46" s="1297">
        <v>9.0307966394273007E-2</v>
      </c>
    </row>
    <row r="47" spans="1:11" ht="22.5">
      <c r="A47" s="1187">
        <v>46</v>
      </c>
      <c r="B47" s="1196" t="s">
        <v>1519</v>
      </c>
      <c r="C47" s="1196" t="s">
        <v>5042</v>
      </c>
      <c r="D47" s="1197" t="s">
        <v>5046</v>
      </c>
      <c r="E47" s="1191">
        <v>2025</v>
      </c>
      <c r="F47" s="1192">
        <v>46022</v>
      </c>
      <c r="G47" s="1200">
        <v>3507216</v>
      </c>
      <c r="H47" s="1199">
        <v>3665206</v>
      </c>
      <c r="I47" s="1199">
        <v>-157990</v>
      </c>
      <c r="J47" s="1297">
        <v>-4.3105353423518351E-2</v>
      </c>
    </row>
    <row r="48" spans="1:11" ht="22.5">
      <c r="A48" s="1187">
        <v>47</v>
      </c>
      <c r="B48" s="1196" t="s">
        <v>1519</v>
      </c>
      <c r="C48" s="1196" t="s">
        <v>515</v>
      </c>
      <c r="D48" s="1197" t="s">
        <v>5050</v>
      </c>
      <c r="E48" s="1191">
        <v>2025</v>
      </c>
      <c r="F48" s="1192">
        <v>46022</v>
      </c>
      <c r="G48" s="1200">
        <v>0</v>
      </c>
      <c r="H48" s="1199">
        <v>0</v>
      </c>
      <c r="I48" s="1199">
        <v>0</v>
      </c>
      <c r="J48" s="1297">
        <v>0</v>
      </c>
    </row>
    <row r="49" spans="1:11">
      <c r="A49" s="1187">
        <v>48</v>
      </c>
      <c r="B49" s="1196" t="s">
        <v>1519</v>
      </c>
      <c r="C49" s="1196" t="s">
        <v>516</v>
      </c>
      <c r="D49" s="1197" t="s">
        <v>5054</v>
      </c>
      <c r="E49" s="1191">
        <v>2025</v>
      </c>
      <c r="F49" s="1192">
        <v>46022</v>
      </c>
      <c r="G49" s="1200">
        <v>85827495.150000006</v>
      </c>
      <c r="H49" s="1199">
        <v>80515585</v>
      </c>
      <c r="I49" s="1199">
        <v>5311910.150000006</v>
      </c>
      <c r="J49" s="1297">
        <v>6.597368882061784E-2</v>
      </c>
    </row>
    <row r="50" spans="1:11">
      <c r="A50" s="1187">
        <v>49</v>
      </c>
      <c r="B50" s="1196" t="s">
        <v>1519</v>
      </c>
      <c r="C50" s="1196" t="s">
        <v>517</v>
      </c>
      <c r="D50" s="1197" t="s">
        <v>5062</v>
      </c>
      <c r="E50" s="1191">
        <v>2025</v>
      </c>
      <c r="F50" s="1192">
        <v>46022</v>
      </c>
      <c r="G50" s="1200">
        <v>0</v>
      </c>
      <c r="H50" s="1199">
        <v>0</v>
      </c>
      <c r="I50" s="1199">
        <v>0</v>
      </c>
      <c r="J50" s="1297">
        <v>0</v>
      </c>
    </row>
    <row r="51" spans="1:11">
      <c r="A51" s="1187">
        <v>50</v>
      </c>
      <c r="B51" s="1196" t="s">
        <v>1519</v>
      </c>
      <c r="C51" s="1196" t="s">
        <v>518</v>
      </c>
      <c r="D51" s="1197" t="s">
        <v>5066</v>
      </c>
      <c r="E51" s="1191">
        <v>2025</v>
      </c>
      <c r="F51" s="1192">
        <v>46022</v>
      </c>
      <c r="G51" s="1200">
        <v>0</v>
      </c>
      <c r="H51" s="1199">
        <v>0</v>
      </c>
      <c r="I51" s="1199">
        <v>0</v>
      </c>
      <c r="J51" s="1297">
        <v>0</v>
      </c>
    </row>
    <row r="52" spans="1:11">
      <c r="A52" s="1187">
        <v>51</v>
      </c>
      <c r="B52" s="1195" t="s">
        <v>1519</v>
      </c>
      <c r="C52" s="1196" t="s">
        <v>519</v>
      </c>
      <c r="D52" s="1197" t="s">
        <v>5070</v>
      </c>
      <c r="E52" s="1191">
        <v>2025</v>
      </c>
      <c r="F52" s="1192">
        <v>46022</v>
      </c>
      <c r="G52" s="1200">
        <v>0</v>
      </c>
      <c r="H52" s="1199">
        <v>0</v>
      </c>
      <c r="I52" s="1199">
        <v>0</v>
      </c>
      <c r="J52" s="1297">
        <v>0</v>
      </c>
    </row>
    <row r="53" spans="1:11">
      <c r="A53" s="1187">
        <v>52</v>
      </c>
      <c r="B53" s="1195" t="s">
        <v>1519</v>
      </c>
      <c r="C53" s="1196" t="s">
        <v>520</v>
      </c>
      <c r="D53" s="1197" t="s">
        <v>5074</v>
      </c>
      <c r="E53" s="1191">
        <v>2025</v>
      </c>
      <c r="F53" s="1192">
        <v>46022</v>
      </c>
      <c r="G53" s="1200">
        <v>0</v>
      </c>
      <c r="H53" s="1199">
        <v>0</v>
      </c>
      <c r="I53" s="1199">
        <v>0</v>
      </c>
      <c r="J53" s="1297">
        <v>0</v>
      </c>
    </row>
    <row r="54" spans="1:11">
      <c r="A54" s="1187">
        <v>53</v>
      </c>
      <c r="B54" s="1195" t="s">
        <v>1519</v>
      </c>
      <c r="C54" s="1196" t="s">
        <v>5075</v>
      </c>
      <c r="D54" s="1197" t="s">
        <v>5080</v>
      </c>
      <c r="E54" s="1191">
        <v>2025</v>
      </c>
      <c r="F54" s="1192">
        <v>46022</v>
      </c>
      <c r="G54" s="1200">
        <v>0</v>
      </c>
      <c r="H54" s="1199">
        <v>0</v>
      </c>
      <c r="I54" s="1199">
        <v>0</v>
      </c>
      <c r="J54" s="1297">
        <v>0</v>
      </c>
    </row>
    <row r="55" spans="1:11">
      <c r="A55" s="1187">
        <v>54</v>
      </c>
      <c r="B55" s="1195" t="s">
        <v>1519</v>
      </c>
      <c r="C55" s="1196" t="s">
        <v>5081</v>
      </c>
      <c r="D55" s="1197" t="s">
        <v>5086</v>
      </c>
      <c r="E55" s="1191">
        <v>2025</v>
      </c>
      <c r="F55" s="1192">
        <v>46022</v>
      </c>
      <c r="G55" s="1200">
        <v>0</v>
      </c>
      <c r="H55" s="1199">
        <v>0</v>
      </c>
      <c r="I55" s="1199">
        <v>0</v>
      </c>
      <c r="J55" s="1297">
        <v>0</v>
      </c>
    </row>
    <row r="56" spans="1:11" ht="22.5">
      <c r="A56" s="1187">
        <v>55</v>
      </c>
      <c r="B56" s="1195" t="s">
        <v>1519</v>
      </c>
      <c r="C56" s="1196" t="s">
        <v>5087</v>
      </c>
      <c r="D56" s="1197" t="s">
        <v>5092</v>
      </c>
      <c r="E56" s="1191">
        <v>2025</v>
      </c>
      <c r="F56" s="1192">
        <v>46022</v>
      </c>
      <c r="G56" s="1200">
        <v>0</v>
      </c>
      <c r="H56" s="1199">
        <v>0</v>
      </c>
      <c r="I56" s="1199">
        <v>0</v>
      </c>
      <c r="J56" s="1297">
        <v>0</v>
      </c>
    </row>
    <row r="57" spans="1:11" ht="22.5">
      <c r="A57" s="1187">
        <v>56</v>
      </c>
      <c r="B57" s="1195" t="s">
        <v>1519</v>
      </c>
      <c r="C57" s="1196" t="s">
        <v>5093</v>
      </c>
      <c r="D57" s="1197" t="s">
        <v>5096</v>
      </c>
      <c r="E57" s="1191">
        <v>2025</v>
      </c>
      <c r="F57" s="1192">
        <v>46022</v>
      </c>
      <c r="G57" s="1200">
        <v>497262.4</v>
      </c>
      <c r="H57" s="1199">
        <v>433099</v>
      </c>
      <c r="I57" s="1199">
        <v>64163.400000000023</v>
      </c>
      <c r="J57" s="1297">
        <v>0.14814949930616331</v>
      </c>
    </row>
    <row r="58" spans="1:11">
      <c r="A58" s="1187">
        <v>57</v>
      </c>
      <c r="B58" s="1196" t="s">
        <v>1519</v>
      </c>
      <c r="C58" s="1196" t="s">
        <v>5097</v>
      </c>
      <c r="D58" s="1197" t="s">
        <v>5101</v>
      </c>
      <c r="E58" s="1191">
        <v>2025</v>
      </c>
      <c r="F58" s="1192">
        <v>46022</v>
      </c>
      <c r="G58" s="1200">
        <v>0</v>
      </c>
      <c r="H58" s="1199">
        <v>0</v>
      </c>
      <c r="I58" s="1199">
        <v>0</v>
      </c>
      <c r="J58" s="1297">
        <v>0</v>
      </c>
    </row>
    <row r="59" spans="1:11" ht="22.5">
      <c r="A59" s="1187">
        <v>58</v>
      </c>
      <c r="B59" s="1196" t="s">
        <v>1519</v>
      </c>
      <c r="C59" s="1196" t="s">
        <v>521</v>
      </c>
      <c r="D59" s="1197" t="s">
        <v>11184</v>
      </c>
      <c r="E59" s="1191">
        <v>2025</v>
      </c>
      <c r="F59" s="1192">
        <v>46022</v>
      </c>
      <c r="G59" s="1200">
        <v>62824.77</v>
      </c>
      <c r="H59" s="1199">
        <v>121025.49</v>
      </c>
      <c r="I59" s="1199">
        <v>-58200.720000000008</v>
      </c>
      <c r="J59" s="1297">
        <v>-0.48089637976264343</v>
      </c>
    </row>
    <row r="60" spans="1:11" ht="22.5">
      <c r="A60" s="1187">
        <v>59</v>
      </c>
      <c r="B60" s="1188"/>
      <c r="C60" s="1189" t="s">
        <v>5121</v>
      </c>
      <c r="D60" s="1190" t="s">
        <v>11185</v>
      </c>
      <c r="E60" s="1191">
        <v>2025</v>
      </c>
      <c r="F60" s="1192">
        <v>46022</v>
      </c>
      <c r="G60" s="1200">
        <v>56040.7</v>
      </c>
      <c r="H60" s="1203">
        <v>32989.339999999997</v>
      </c>
      <c r="I60" s="1203">
        <v>23051.360000000001</v>
      </c>
      <c r="J60" s="1298">
        <v>0.69875177860484639</v>
      </c>
      <c r="K60" s="1211"/>
    </row>
    <row r="61" spans="1:11" ht="22.5">
      <c r="A61" s="1187">
        <v>60</v>
      </c>
      <c r="B61" s="1188"/>
      <c r="C61" s="1189" t="s">
        <v>5142</v>
      </c>
      <c r="D61" s="1190" t="s">
        <v>11186</v>
      </c>
      <c r="E61" s="1191">
        <v>2025</v>
      </c>
      <c r="F61" s="1192">
        <v>46022</v>
      </c>
      <c r="G61" s="1194">
        <v>2472861.0099999998</v>
      </c>
      <c r="H61" s="1194">
        <v>2689223.8200000003</v>
      </c>
      <c r="I61" s="1194">
        <v>-216362.81000000052</v>
      </c>
      <c r="J61" s="1295">
        <v>-8.0455486222786948E-2</v>
      </c>
      <c r="K61" s="1211"/>
    </row>
    <row r="62" spans="1:11">
      <c r="A62" s="1187">
        <v>61</v>
      </c>
      <c r="B62" s="1188" t="s">
        <v>1349</v>
      </c>
      <c r="C62" s="1189" t="s">
        <v>522</v>
      </c>
      <c r="D62" s="1190" t="s">
        <v>5151</v>
      </c>
      <c r="E62" s="1191">
        <v>2025</v>
      </c>
      <c r="F62" s="1192">
        <v>46022</v>
      </c>
      <c r="G62" s="1202">
        <v>1254545</v>
      </c>
      <c r="H62" s="1203">
        <v>1024517.95</v>
      </c>
      <c r="I62" s="1203">
        <v>230027.05000000005</v>
      </c>
      <c r="J62" s="1298">
        <v>0.22452222530605739</v>
      </c>
      <c r="K62" s="1211"/>
    </row>
    <row r="63" spans="1:11">
      <c r="A63" s="1187">
        <v>62</v>
      </c>
      <c r="B63" s="1188" t="s">
        <v>1349</v>
      </c>
      <c r="C63" s="1189" t="s">
        <v>523</v>
      </c>
      <c r="D63" s="1190" t="s">
        <v>5156</v>
      </c>
      <c r="E63" s="1191">
        <v>2025</v>
      </c>
      <c r="F63" s="1192">
        <v>46022</v>
      </c>
      <c r="G63" s="1202">
        <v>79444</v>
      </c>
      <c r="H63" s="1203">
        <v>76898</v>
      </c>
      <c r="I63" s="1203">
        <v>2546</v>
      </c>
      <c r="J63" s="1298">
        <v>3.3108793466670138E-2</v>
      </c>
      <c r="K63" s="1211"/>
    </row>
    <row r="64" spans="1:11">
      <c r="A64" s="1187">
        <v>63</v>
      </c>
      <c r="B64" s="1188" t="s">
        <v>1349</v>
      </c>
      <c r="C64" s="1189" t="s">
        <v>5157</v>
      </c>
      <c r="D64" s="1190" t="s">
        <v>5162</v>
      </c>
      <c r="E64" s="1191">
        <v>2025</v>
      </c>
      <c r="F64" s="1192">
        <v>46022</v>
      </c>
      <c r="G64" s="1202">
        <v>45005</v>
      </c>
      <c r="H64" s="1203">
        <v>53234</v>
      </c>
      <c r="I64" s="1203">
        <v>-8229</v>
      </c>
      <c r="J64" s="1298">
        <v>-0.15458165833865575</v>
      </c>
      <c r="K64" s="1211"/>
    </row>
    <row r="65" spans="1:11" ht="22.5">
      <c r="A65" s="1187">
        <v>64</v>
      </c>
      <c r="B65" s="1188" t="s">
        <v>1340</v>
      </c>
      <c r="C65" s="1189" t="s">
        <v>524</v>
      </c>
      <c r="D65" s="1190" t="s">
        <v>5167</v>
      </c>
      <c r="E65" s="1191">
        <v>2025</v>
      </c>
      <c r="F65" s="1192">
        <v>46022</v>
      </c>
      <c r="G65" s="1202">
        <v>0</v>
      </c>
      <c r="H65" s="1203">
        <v>0</v>
      </c>
      <c r="I65" s="1203">
        <v>0</v>
      </c>
      <c r="J65" s="1298">
        <v>0</v>
      </c>
      <c r="K65" s="1211"/>
    </row>
    <row r="66" spans="1:11">
      <c r="A66" s="1187">
        <v>65</v>
      </c>
      <c r="B66" s="1188" t="s">
        <v>1349</v>
      </c>
      <c r="C66" s="1189" t="s">
        <v>525</v>
      </c>
      <c r="D66" s="1190" t="s">
        <v>5172</v>
      </c>
      <c r="E66" s="1191">
        <v>2025</v>
      </c>
      <c r="F66" s="1192">
        <v>46022</v>
      </c>
      <c r="G66" s="1202">
        <v>290300.78000000003</v>
      </c>
      <c r="H66" s="1203">
        <v>399095</v>
      </c>
      <c r="I66" s="1203">
        <v>-108794.21999999997</v>
      </c>
      <c r="J66" s="1298">
        <v>-0.27260231273255736</v>
      </c>
      <c r="K66" s="1211"/>
    </row>
    <row r="67" spans="1:11" ht="22.5">
      <c r="A67" s="1187">
        <v>66</v>
      </c>
      <c r="B67" s="1188" t="s">
        <v>1349</v>
      </c>
      <c r="C67" s="1189" t="s">
        <v>526</v>
      </c>
      <c r="D67" s="1190" t="s">
        <v>5180</v>
      </c>
      <c r="E67" s="1191">
        <v>2025</v>
      </c>
      <c r="F67" s="1192">
        <v>46022</v>
      </c>
      <c r="G67" s="1202">
        <v>0</v>
      </c>
      <c r="H67" s="1203">
        <v>0</v>
      </c>
      <c r="I67" s="1203">
        <v>0</v>
      </c>
      <c r="J67" s="1298">
        <v>0</v>
      </c>
      <c r="K67" s="1211"/>
    </row>
    <row r="68" spans="1:11" ht="22.5">
      <c r="A68" s="1187">
        <v>67</v>
      </c>
      <c r="B68" s="1188" t="s">
        <v>1349</v>
      </c>
      <c r="C68" s="1189" t="s">
        <v>527</v>
      </c>
      <c r="D68" s="1190" t="s">
        <v>5185</v>
      </c>
      <c r="E68" s="1191">
        <v>2025</v>
      </c>
      <c r="F68" s="1192">
        <v>46022</v>
      </c>
      <c r="G68" s="1202">
        <v>0</v>
      </c>
      <c r="H68" s="1203">
        <v>0</v>
      </c>
      <c r="I68" s="1203">
        <v>0</v>
      </c>
      <c r="J68" s="1298">
        <v>0</v>
      </c>
      <c r="K68" s="1211"/>
    </row>
    <row r="69" spans="1:11">
      <c r="A69" s="1187">
        <v>68</v>
      </c>
      <c r="B69" s="1188" t="s">
        <v>1349</v>
      </c>
      <c r="C69" s="1189" t="s">
        <v>528</v>
      </c>
      <c r="D69" s="1190" t="s">
        <v>5190</v>
      </c>
      <c r="E69" s="1191">
        <v>2025</v>
      </c>
      <c r="F69" s="1192">
        <v>46022</v>
      </c>
      <c r="G69" s="1202">
        <v>0</v>
      </c>
      <c r="H69" s="1203">
        <v>0</v>
      </c>
      <c r="I69" s="1203">
        <v>0</v>
      </c>
      <c r="J69" s="1298">
        <v>0</v>
      </c>
      <c r="K69" s="1211"/>
    </row>
    <row r="70" spans="1:11" ht="22.5">
      <c r="A70" s="1187">
        <v>69</v>
      </c>
      <c r="B70" s="1201" t="s">
        <v>1349</v>
      </c>
      <c r="C70" s="1189" t="s">
        <v>529</v>
      </c>
      <c r="D70" s="1190" t="s">
        <v>5195</v>
      </c>
      <c r="E70" s="1191">
        <v>2025</v>
      </c>
      <c r="F70" s="1192">
        <v>46022</v>
      </c>
      <c r="G70" s="1202">
        <v>0</v>
      </c>
      <c r="H70" s="1203">
        <v>0</v>
      </c>
      <c r="I70" s="1203">
        <v>0</v>
      </c>
      <c r="J70" s="1298">
        <v>0</v>
      </c>
      <c r="K70" s="1211"/>
    </row>
    <row r="71" spans="1:11" ht="22.5">
      <c r="A71" s="1187">
        <v>70</v>
      </c>
      <c r="B71" s="1201" t="s">
        <v>1340</v>
      </c>
      <c r="C71" s="1189" t="s">
        <v>5196</v>
      </c>
      <c r="D71" s="1190" t="s">
        <v>5200</v>
      </c>
      <c r="E71" s="1191">
        <v>2025</v>
      </c>
      <c r="F71" s="1192">
        <v>46022</v>
      </c>
      <c r="G71" s="1202">
        <v>0</v>
      </c>
      <c r="H71" s="1203">
        <v>0</v>
      </c>
      <c r="I71" s="1203">
        <v>0</v>
      </c>
      <c r="J71" s="1298">
        <v>0</v>
      </c>
      <c r="K71" s="1211"/>
    </row>
    <row r="72" spans="1:11" ht="22.5">
      <c r="A72" s="1187">
        <v>71</v>
      </c>
      <c r="B72" s="1201" t="s">
        <v>1340</v>
      </c>
      <c r="C72" s="1189" t="s">
        <v>5201</v>
      </c>
      <c r="D72" s="1190" t="s">
        <v>5205</v>
      </c>
      <c r="E72" s="1191">
        <v>2025</v>
      </c>
      <c r="F72" s="1192">
        <v>46022</v>
      </c>
      <c r="G72" s="1202">
        <v>0</v>
      </c>
      <c r="H72" s="1203">
        <v>0</v>
      </c>
      <c r="I72" s="1203">
        <v>0</v>
      </c>
      <c r="J72" s="1298">
        <v>0</v>
      </c>
      <c r="K72" s="1211"/>
    </row>
    <row r="73" spans="1:11" ht="22.5">
      <c r="A73" s="1187">
        <v>72</v>
      </c>
      <c r="B73" s="1201" t="s">
        <v>1349</v>
      </c>
      <c r="C73" s="1189" t="s">
        <v>530</v>
      </c>
      <c r="D73" s="1190" t="s">
        <v>5209</v>
      </c>
      <c r="E73" s="1191">
        <v>2025</v>
      </c>
      <c r="F73" s="1192">
        <v>46022</v>
      </c>
      <c r="G73" s="1202">
        <v>0</v>
      </c>
      <c r="H73" s="1203">
        <v>0</v>
      </c>
      <c r="I73" s="1203">
        <v>0</v>
      </c>
      <c r="J73" s="1298">
        <v>0</v>
      </c>
      <c r="K73" s="1211"/>
    </row>
    <row r="74" spans="1:11" ht="22.5">
      <c r="A74" s="1187">
        <v>73</v>
      </c>
      <c r="B74" s="1188" t="s">
        <v>1349</v>
      </c>
      <c r="C74" s="1189" t="s">
        <v>531</v>
      </c>
      <c r="D74" s="1190" t="s">
        <v>5214</v>
      </c>
      <c r="E74" s="1191">
        <v>2025</v>
      </c>
      <c r="F74" s="1192">
        <v>46022</v>
      </c>
      <c r="G74" s="1202">
        <v>0</v>
      </c>
      <c r="H74" s="1203">
        <v>0</v>
      </c>
      <c r="I74" s="1203">
        <v>0</v>
      </c>
      <c r="J74" s="1298">
        <v>0</v>
      </c>
      <c r="K74" s="1211"/>
    </row>
    <row r="75" spans="1:11" ht="22.5">
      <c r="A75" s="1187">
        <v>74</v>
      </c>
      <c r="B75" s="1188" t="s">
        <v>1349</v>
      </c>
      <c r="C75" s="1189" t="s">
        <v>5215</v>
      </c>
      <c r="D75" s="1190" t="s">
        <v>5220</v>
      </c>
      <c r="E75" s="1191">
        <v>2025</v>
      </c>
      <c r="F75" s="1192">
        <v>46022</v>
      </c>
      <c r="G75" s="1202">
        <v>0</v>
      </c>
      <c r="H75" s="1203">
        <v>0</v>
      </c>
      <c r="I75" s="1203">
        <v>0</v>
      </c>
      <c r="J75" s="1298">
        <v>0</v>
      </c>
      <c r="K75" s="1211"/>
    </row>
    <row r="76" spans="1:11" ht="22.5">
      <c r="A76" s="1187">
        <v>75</v>
      </c>
      <c r="B76" s="1188" t="s">
        <v>1340</v>
      </c>
      <c r="C76" s="1189" t="s">
        <v>11187</v>
      </c>
      <c r="D76" s="1190" t="s">
        <v>11188</v>
      </c>
      <c r="E76" s="1191">
        <v>2025</v>
      </c>
      <c r="F76" s="1192">
        <v>46022</v>
      </c>
      <c r="G76" s="1204">
        <v>0</v>
      </c>
      <c r="H76" s="1194">
        <v>0</v>
      </c>
      <c r="I76" s="1194">
        <v>0</v>
      </c>
      <c r="J76" s="1295">
        <v>0</v>
      </c>
      <c r="K76" s="1211"/>
    </row>
    <row r="77" spans="1:11" ht="22.5">
      <c r="A77" s="1187">
        <v>76</v>
      </c>
      <c r="B77" s="1188" t="s">
        <v>1340</v>
      </c>
      <c r="C77" s="1189" t="s">
        <v>5238</v>
      </c>
      <c r="D77" s="1190" t="s">
        <v>5243</v>
      </c>
      <c r="E77" s="1191">
        <v>2025</v>
      </c>
      <c r="F77" s="1192">
        <v>46022</v>
      </c>
      <c r="G77" s="1202">
        <v>0</v>
      </c>
      <c r="H77" s="1203">
        <v>0</v>
      </c>
      <c r="I77" s="1203">
        <v>0</v>
      </c>
      <c r="J77" s="1298">
        <v>0</v>
      </c>
      <c r="K77" s="1211"/>
    </row>
    <row r="78" spans="1:11" ht="22.5">
      <c r="A78" s="1187">
        <v>77</v>
      </c>
      <c r="B78" s="1201" t="s">
        <v>1340</v>
      </c>
      <c r="C78" s="1189" t="s">
        <v>5244</v>
      </c>
      <c r="D78" s="1190" t="s">
        <v>5249</v>
      </c>
      <c r="E78" s="1191">
        <v>2025</v>
      </c>
      <c r="F78" s="1192">
        <v>46022</v>
      </c>
      <c r="G78" s="1202">
        <v>0</v>
      </c>
      <c r="H78" s="1203">
        <v>0</v>
      </c>
      <c r="I78" s="1203">
        <v>0</v>
      </c>
      <c r="J78" s="1298">
        <v>0</v>
      </c>
      <c r="K78" s="1211"/>
    </row>
    <row r="79" spans="1:11" ht="22.5">
      <c r="A79" s="1187">
        <v>78</v>
      </c>
      <c r="B79" s="1201"/>
      <c r="C79" s="1189" t="s">
        <v>5250</v>
      </c>
      <c r="D79" s="1190" t="s">
        <v>5256</v>
      </c>
      <c r="E79" s="1191">
        <v>2025</v>
      </c>
      <c r="F79" s="1192">
        <v>46022</v>
      </c>
      <c r="G79" s="1202">
        <v>803566.23</v>
      </c>
      <c r="H79" s="1203">
        <v>1135478.8700000001</v>
      </c>
      <c r="I79" s="1203">
        <v>-331912.64000000013</v>
      </c>
      <c r="J79" s="1298">
        <v>-0.29231071468551423</v>
      </c>
      <c r="K79" s="1211"/>
    </row>
    <row r="80" spans="1:11" ht="22.5">
      <c r="A80" s="1187">
        <v>79</v>
      </c>
      <c r="B80" s="1201" t="s">
        <v>1519</v>
      </c>
      <c r="C80" s="1189" t="s">
        <v>5257</v>
      </c>
      <c r="D80" s="1190" t="s">
        <v>5261</v>
      </c>
      <c r="E80" s="1191">
        <v>2025</v>
      </c>
      <c r="F80" s="1192">
        <v>46022</v>
      </c>
      <c r="G80" s="1202">
        <v>0</v>
      </c>
      <c r="H80" s="1203">
        <v>0</v>
      </c>
      <c r="I80" s="1203">
        <v>0</v>
      </c>
      <c r="J80" s="1298">
        <v>0</v>
      </c>
      <c r="K80" s="1211"/>
    </row>
    <row r="81" spans="1:11" ht="33.75">
      <c r="A81" s="1187">
        <v>80</v>
      </c>
      <c r="B81" s="1188" t="s">
        <v>1340</v>
      </c>
      <c r="C81" s="1189" t="s">
        <v>5262</v>
      </c>
      <c r="D81" s="1190" t="s">
        <v>5267</v>
      </c>
      <c r="E81" s="1191">
        <v>2025</v>
      </c>
      <c r="F81" s="1192">
        <v>46022</v>
      </c>
      <c r="G81" s="1202">
        <v>0</v>
      </c>
      <c r="H81" s="1203">
        <v>0</v>
      </c>
      <c r="I81" s="1203">
        <v>0</v>
      </c>
      <c r="J81" s="1298">
        <v>0</v>
      </c>
      <c r="K81" s="1211"/>
    </row>
    <row r="82" spans="1:11" ht="33.75">
      <c r="A82" s="1187">
        <v>81</v>
      </c>
      <c r="B82" s="1188" t="s">
        <v>1349</v>
      </c>
      <c r="C82" s="1189" t="s">
        <v>5268</v>
      </c>
      <c r="D82" s="1190" t="s">
        <v>5271</v>
      </c>
      <c r="E82" s="1191">
        <v>2025</v>
      </c>
      <c r="F82" s="1192">
        <v>46022</v>
      </c>
      <c r="G82" s="1204">
        <v>0</v>
      </c>
      <c r="H82" s="1194">
        <v>0</v>
      </c>
      <c r="I82" s="1194">
        <v>0</v>
      </c>
      <c r="J82" s="1295">
        <v>0</v>
      </c>
      <c r="K82" s="1211"/>
    </row>
    <row r="83" spans="1:11" ht="22.5">
      <c r="A83" s="1187">
        <v>82</v>
      </c>
      <c r="B83" s="1188" t="s">
        <v>1349</v>
      </c>
      <c r="C83" s="1189" t="s">
        <v>5272</v>
      </c>
      <c r="D83" s="1190" t="s">
        <v>5275</v>
      </c>
      <c r="E83" s="1191">
        <v>2025</v>
      </c>
      <c r="F83" s="1192">
        <v>46022</v>
      </c>
      <c r="G83" s="1202">
        <v>0</v>
      </c>
      <c r="H83" s="1203">
        <v>0</v>
      </c>
      <c r="I83" s="1203">
        <v>0</v>
      </c>
      <c r="J83" s="1298">
        <v>0</v>
      </c>
      <c r="K83" s="1211"/>
    </row>
    <row r="84" spans="1:11" ht="22.5">
      <c r="A84" s="1187">
        <v>83</v>
      </c>
      <c r="B84" s="1188" t="s">
        <v>1349</v>
      </c>
      <c r="C84" s="1189" t="s">
        <v>5279</v>
      </c>
      <c r="D84" s="1190" t="s">
        <v>5282</v>
      </c>
      <c r="E84" s="1191">
        <v>2025</v>
      </c>
      <c r="F84" s="1192">
        <v>46022</v>
      </c>
      <c r="G84" s="1202">
        <v>0</v>
      </c>
      <c r="H84" s="1203">
        <v>0</v>
      </c>
      <c r="I84" s="1203">
        <v>0</v>
      </c>
      <c r="J84" s="1298">
        <v>0</v>
      </c>
      <c r="K84" s="1211"/>
    </row>
    <row r="85" spans="1:11" ht="22.5">
      <c r="A85" s="1187">
        <v>84</v>
      </c>
      <c r="B85" s="1188" t="s">
        <v>1349</v>
      </c>
      <c r="C85" s="1189" t="s">
        <v>5286</v>
      </c>
      <c r="D85" s="1190" t="s">
        <v>11189</v>
      </c>
      <c r="E85" s="1191">
        <v>2025</v>
      </c>
      <c r="F85" s="1192">
        <v>46022</v>
      </c>
      <c r="G85" s="1202">
        <v>0</v>
      </c>
      <c r="H85" s="1203">
        <v>0</v>
      </c>
      <c r="I85" s="1203">
        <v>0</v>
      </c>
      <c r="J85" s="1298">
        <v>0</v>
      </c>
      <c r="K85" s="1211"/>
    </row>
    <row r="86" spans="1:11" ht="22.5">
      <c r="A86" s="1187">
        <v>85</v>
      </c>
      <c r="B86" s="1188" t="s">
        <v>1349</v>
      </c>
      <c r="C86" s="1189" t="s">
        <v>5292</v>
      </c>
      <c r="D86" s="1190" t="s">
        <v>5295</v>
      </c>
      <c r="E86" s="1191">
        <v>2025</v>
      </c>
      <c r="F86" s="1192">
        <v>46022</v>
      </c>
      <c r="G86" s="1202">
        <v>0</v>
      </c>
      <c r="H86" s="1203">
        <v>0</v>
      </c>
      <c r="I86" s="1203">
        <v>0</v>
      </c>
      <c r="J86" s="1298">
        <v>0</v>
      </c>
      <c r="K86" s="1211"/>
    </row>
    <row r="87" spans="1:11" ht="33.75">
      <c r="A87" s="1187">
        <v>86</v>
      </c>
      <c r="B87" s="1188" t="s">
        <v>1349</v>
      </c>
      <c r="C87" s="1189" t="s">
        <v>5298</v>
      </c>
      <c r="D87" s="1190" t="s">
        <v>11190</v>
      </c>
      <c r="E87" s="1191">
        <v>2025</v>
      </c>
      <c r="F87" s="1192">
        <v>46022</v>
      </c>
      <c r="G87" s="1202">
        <v>0</v>
      </c>
      <c r="H87" s="1203">
        <v>0</v>
      </c>
      <c r="I87" s="1203">
        <v>0</v>
      </c>
      <c r="J87" s="1298">
        <v>0</v>
      </c>
      <c r="K87" s="1211"/>
    </row>
    <row r="88" spans="1:11" ht="22.5">
      <c r="A88" s="1187">
        <v>87</v>
      </c>
      <c r="B88" s="1195"/>
      <c r="C88" s="1196" t="s">
        <v>5306</v>
      </c>
      <c r="D88" s="1197" t="s">
        <v>11191</v>
      </c>
      <c r="E88" s="1191">
        <v>2025</v>
      </c>
      <c r="F88" s="1192">
        <v>46022</v>
      </c>
      <c r="G88" s="1200">
        <v>1611860.72</v>
      </c>
      <c r="H88" s="1199">
        <v>2046777.59</v>
      </c>
      <c r="I88" s="1199">
        <v>-434916.87000000011</v>
      </c>
      <c r="J88" s="1297">
        <v>-0.21248858309026145</v>
      </c>
    </row>
    <row r="89" spans="1:11" ht="22.5">
      <c r="A89" s="1187">
        <v>88</v>
      </c>
      <c r="B89" s="1195"/>
      <c r="C89" s="1196" t="s">
        <v>5339</v>
      </c>
      <c r="D89" s="1197" t="s">
        <v>5342</v>
      </c>
      <c r="E89" s="1191">
        <v>2025</v>
      </c>
      <c r="F89" s="1192">
        <v>46022</v>
      </c>
      <c r="G89" s="1200">
        <v>4357916.2</v>
      </c>
      <c r="H89" s="1199">
        <v>4172802.4699999997</v>
      </c>
      <c r="I89" s="1199">
        <v>185113.73000000045</v>
      </c>
      <c r="J89" s="1297">
        <v>4.4361968085204012E-2</v>
      </c>
    </row>
    <row r="90" spans="1:11" ht="22.5">
      <c r="A90" s="1187">
        <v>89</v>
      </c>
      <c r="B90" s="1195"/>
      <c r="C90" s="1196" t="s">
        <v>532</v>
      </c>
      <c r="D90" s="1197" t="s">
        <v>5345</v>
      </c>
      <c r="E90" s="1191">
        <v>2025</v>
      </c>
      <c r="F90" s="1192">
        <v>46022</v>
      </c>
      <c r="G90" s="1200">
        <v>574723.80000000005</v>
      </c>
      <c r="H90" s="1199">
        <v>443210.31</v>
      </c>
      <c r="I90" s="1199">
        <v>131513.49000000005</v>
      </c>
      <c r="J90" s="1297">
        <v>0.2967293111931445</v>
      </c>
    </row>
    <row r="91" spans="1:11" ht="22.5">
      <c r="A91" s="1187">
        <v>90</v>
      </c>
      <c r="B91" s="1188"/>
      <c r="C91" s="1189" t="s">
        <v>533</v>
      </c>
      <c r="D91" s="1190" t="s">
        <v>11192</v>
      </c>
      <c r="E91" s="1191">
        <v>2025</v>
      </c>
      <c r="F91" s="1192">
        <v>46022</v>
      </c>
      <c r="G91" s="1202">
        <v>3497698.23</v>
      </c>
      <c r="H91" s="1203">
        <v>3526693.8</v>
      </c>
      <c r="I91" s="1203">
        <v>-28995.569999999832</v>
      </c>
      <c r="J91" s="1298">
        <v>-8.2217429820530021E-3</v>
      </c>
      <c r="K91" s="1211"/>
    </row>
    <row r="92" spans="1:11" ht="22.5">
      <c r="A92" s="1187">
        <v>91</v>
      </c>
      <c r="B92" s="1188"/>
      <c r="C92" s="1189" t="s">
        <v>534</v>
      </c>
      <c r="D92" s="1190" t="s">
        <v>11193</v>
      </c>
      <c r="E92" s="1191">
        <v>2025</v>
      </c>
      <c r="F92" s="1192">
        <v>46022</v>
      </c>
      <c r="G92" s="1202">
        <v>0</v>
      </c>
      <c r="H92" s="1203">
        <v>0</v>
      </c>
      <c r="I92" s="1203">
        <v>0</v>
      </c>
      <c r="J92" s="1298">
        <v>0</v>
      </c>
      <c r="K92" s="1211"/>
    </row>
    <row r="93" spans="1:11" ht="22.5">
      <c r="A93" s="1187">
        <v>92</v>
      </c>
      <c r="B93" s="1188"/>
      <c r="C93" s="1189" t="s">
        <v>535</v>
      </c>
      <c r="D93" s="1190" t="s">
        <v>11194</v>
      </c>
      <c r="E93" s="1191">
        <v>2025</v>
      </c>
      <c r="F93" s="1192">
        <v>46022</v>
      </c>
      <c r="G93" s="1202">
        <v>50250</v>
      </c>
      <c r="H93" s="1203">
        <v>78250</v>
      </c>
      <c r="I93" s="1203">
        <v>-28000</v>
      </c>
      <c r="J93" s="1298">
        <v>-0.35782747603833864</v>
      </c>
      <c r="K93" s="1211"/>
    </row>
    <row r="94" spans="1:11" ht="33.75">
      <c r="A94" s="1187">
        <v>93</v>
      </c>
      <c r="B94" s="1188" t="s">
        <v>1519</v>
      </c>
      <c r="C94" s="1189" t="s">
        <v>536</v>
      </c>
      <c r="D94" s="1190" t="s">
        <v>11195</v>
      </c>
      <c r="E94" s="1191">
        <v>2025</v>
      </c>
      <c r="F94" s="1192">
        <v>46022</v>
      </c>
      <c r="G94" s="1202">
        <v>0</v>
      </c>
      <c r="H94" s="1203">
        <v>0</v>
      </c>
      <c r="I94" s="1203">
        <v>0</v>
      </c>
      <c r="J94" s="1298">
        <v>0</v>
      </c>
      <c r="K94" s="1211"/>
    </row>
    <row r="95" spans="1:11">
      <c r="A95" s="1187">
        <v>94</v>
      </c>
      <c r="B95" s="1188"/>
      <c r="C95" s="1189" t="s">
        <v>537</v>
      </c>
      <c r="D95" s="1190" t="s">
        <v>11196</v>
      </c>
      <c r="E95" s="1191">
        <v>2025</v>
      </c>
      <c r="F95" s="1192">
        <v>46022</v>
      </c>
      <c r="G95" s="1202">
        <v>7906.56</v>
      </c>
      <c r="H95" s="1203">
        <v>15848.36</v>
      </c>
      <c r="I95" s="1203">
        <v>-7941.8</v>
      </c>
      <c r="J95" s="1298">
        <v>-0.50111178696092218</v>
      </c>
      <c r="K95" s="1211"/>
    </row>
    <row r="96" spans="1:11" ht="22.5">
      <c r="A96" s="1187">
        <v>95</v>
      </c>
      <c r="B96" s="1188" t="s">
        <v>1519</v>
      </c>
      <c r="C96" s="1189" t="s">
        <v>538</v>
      </c>
      <c r="D96" s="1190" t="s">
        <v>11197</v>
      </c>
      <c r="E96" s="1191">
        <v>2025</v>
      </c>
      <c r="F96" s="1192">
        <v>46022</v>
      </c>
      <c r="G96" s="1202">
        <v>227337.61</v>
      </c>
      <c r="H96" s="1203">
        <v>108800</v>
      </c>
      <c r="I96" s="1203">
        <v>118537.60999999999</v>
      </c>
      <c r="J96" s="1298">
        <v>1.0895000919117646</v>
      </c>
      <c r="K96" s="1211"/>
    </row>
    <row r="97" spans="1:11">
      <c r="A97" s="1187">
        <v>96</v>
      </c>
      <c r="B97" s="1188"/>
      <c r="C97" s="1189" t="s">
        <v>5391</v>
      </c>
      <c r="D97" s="1190" t="s">
        <v>5394</v>
      </c>
      <c r="E97" s="1191">
        <v>2025</v>
      </c>
      <c r="F97" s="1192">
        <v>46022</v>
      </c>
      <c r="G97" s="1204">
        <v>6903028.54</v>
      </c>
      <c r="H97" s="1194">
        <v>6801081.2199999997</v>
      </c>
      <c r="I97" s="1194">
        <v>101947.3200000003</v>
      </c>
      <c r="J97" s="1295">
        <v>1.4989869507836918E-2</v>
      </c>
      <c r="K97" s="1211"/>
    </row>
    <row r="98" spans="1:11">
      <c r="A98" s="1187">
        <v>97</v>
      </c>
      <c r="B98" s="1188"/>
      <c r="C98" s="1189" t="s">
        <v>5395</v>
      </c>
      <c r="D98" s="1190" t="s">
        <v>5398</v>
      </c>
      <c r="E98" s="1191">
        <v>2025</v>
      </c>
      <c r="F98" s="1192">
        <v>46022</v>
      </c>
      <c r="G98" s="1202">
        <v>73245.14</v>
      </c>
      <c r="H98" s="1203">
        <v>65506.96</v>
      </c>
      <c r="I98" s="1203">
        <v>7738.18</v>
      </c>
      <c r="J98" s="1298">
        <v>0.11812760048703222</v>
      </c>
      <c r="K98" s="1211"/>
    </row>
    <row r="99" spans="1:11">
      <c r="A99" s="1187">
        <v>98</v>
      </c>
      <c r="B99" s="1188"/>
      <c r="C99" s="1189" t="s">
        <v>5403</v>
      </c>
      <c r="D99" s="1190" t="s">
        <v>5406</v>
      </c>
      <c r="E99" s="1191">
        <v>2025</v>
      </c>
      <c r="F99" s="1192">
        <v>46022</v>
      </c>
      <c r="G99" s="1204">
        <v>335922.83</v>
      </c>
      <c r="H99" s="1194">
        <v>0</v>
      </c>
      <c r="I99" s="1194">
        <v>335922.83</v>
      </c>
      <c r="J99" s="1295">
        <v>1</v>
      </c>
      <c r="K99" s="1211"/>
    </row>
    <row r="100" spans="1:11" ht="22.5">
      <c r="A100" s="1187">
        <v>99</v>
      </c>
      <c r="B100" s="1188"/>
      <c r="C100" s="1189" t="s">
        <v>5407</v>
      </c>
      <c r="D100" s="1190" t="s">
        <v>5410</v>
      </c>
      <c r="E100" s="1191">
        <v>2025</v>
      </c>
      <c r="F100" s="1192">
        <v>46022</v>
      </c>
      <c r="G100" s="1202">
        <v>335922.83</v>
      </c>
      <c r="H100" s="1203">
        <v>0</v>
      </c>
      <c r="I100" s="1203">
        <v>335922.83</v>
      </c>
      <c r="J100" s="1298">
        <v>1</v>
      </c>
      <c r="K100" s="1211"/>
    </row>
    <row r="101" spans="1:11" ht="22.5">
      <c r="A101" s="1187">
        <v>100</v>
      </c>
      <c r="B101" s="1188"/>
      <c r="C101" s="1189" t="s">
        <v>5413</v>
      </c>
      <c r="D101" s="1190" t="s">
        <v>5416</v>
      </c>
      <c r="E101" s="1191">
        <v>2025</v>
      </c>
      <c r="F101" s="1192">
        <v>46022</v>
      </c>
      <c r="G101" s="1202">
        <v>0</v>
      </c>
      <c r="H101" s="1203">
        <v>0</v>
      </c>
      <c r="I101" s="1203">
        <v>0</v>
      </c>
      <c r="J101" s="1298">
        <v>0</v>
      </c>
      <c r="K101" s="1211"/>
    </row>
    <row r="102" spans="1:11" ht="22.5">
      <c r="A102" s="1187">
        <v>101</v>
      </c>
      <c r="B102" s="1188" t="s">
        <v>1519</v>
      </c>
      <c r="C102" s="1189" t="s">
        <v>5419</v>
      </c>
      <c r="D102" s="1190" t="s">
        <v>5422</v>
      </c>
      <c r="E102" s="1191">
        <v>2025</v>
      </c>
      <c r="F102" s="1192">
        <v>46022</v>
      </c>
      <c r="G102" s="1204">
        <v>2868021.26</v>
      </c>
      <c r="H102" s="1194">
        <v>3537771.73</v>
      </c>
      <c r="I102" s="1194">
        <v>-669750.4700000002</v>
      </c>
      <c r="J102" s="1295">
        <v>-0.18931421276295862</v>
      </c>
      <c r="K102" s="1211"/>
    </row>
    <row r="103" spans="1:11" ht="33.75">
      <c r="A103" s="1187">
        <v>102</v>
      </c>
      <c r="B103" s="1188" t="s">
        <v>1519</v>
      </c>
      <c r="C103" s="1189" t="s">
        <v>5423</v>
      </c>
      <c r="D103" s="1190" t="s">
        <v>5426</v>
      </c>
      <c r="E103" s="1191">
        <v>2025</v>
      </c>
      <c r="F103" s="1192">
        <v>46022</v>
      </c>
      <c r="G103" s="1202">
        <v>857141</v>
      </c>
      <c r="H103" s="1203">
        <v>918704.33</v>
      </c>
      <c r="I103" s="1203">
        <v>-61563.329999999958</v>
      </c>
      <c r="J103" s="1298">
        <v>-6.7011037163610579E-2</v>
      </c>
      <c r="K103" s="1211"/>
    </row>
    <row r="104" spans="1:11" ht="22.5">
      <c r="A104" s="1187">
        <v>103</v>
      </c>
      <c r="B104" s="1188" t="s">
        <v>1519</v>
      </c>
      <c r="C104" s="1189" t="s">
        <v>5429</v>
      </c>
      <c r="D104" s="1190" t="s">
        <v>5432</v>
      </c>
      <c r="E104" s="1191">
        <v>2025</v>
      </c>
      <c r="F104" s="1192">
        <v>46022</v>
      </c>
      <c r="G104" s="1202">
        <v>0</v>
      </c>
      <c r="H104" s="1203">
        <v>0</v>
      </c>
      <c r="I104" s="1203">
        <v>0</v>
      </c>
      <c r="J104" s="1298">
        <v>0</v>
      </c>
      <c r="K104" s="1211"/>
    </row>
    <row r="105" spans="1:11" ht="22.5">
      <c r="A105" s="1187">
        <v>104</v>
      </c>
      <c r="B105" s="1188" t="s">
        <v>1519</v>
      </c>
      <c r="C105" s="1189" t="s">
        <v>5435</v>
      </c>
      <c r="D105" s="1190" t="s">
        <v>5438</v>
      </c>
      <c r="E105" s="1191">
        <v>2025</v>
      </c>
      <c r="F105" s="1192">
        <v>46022</v>
      </c>
      <c r="G105" s="1202">
        <v>2010880.26</v>
      </c>
      <c r="H105" s="1203">
        <v>2619067.4</v>
      </c>
      <c r="I105" s="1203">
        <v>-608187.1399999999</v>
      </c>
      <c r="J105" s="1298">
        <v>-0.23221515414227215</v>
      </c>
      <c r="K105" s="1211"/>
    </row>
    <row r="106" spans="1:11" ht="22.5">
      <c r="A106" s="1187">
        <v>105</v>
      </c>
      <c r="B106" s="1188" t="s">
        <v>1519</v>
      </c>
      <c r="C106" s="1189" t="s">
        <v>5442</v>
      </c>
      <c r="D106" s="1190" t="s">
        <v>5444</v>
      </c>
      <c r="E106" s="1191">
        <v>2025</v>
      </c>
      <c r="F106" s="1192">
        <v>46022</v>
      </c>
      <c r="G106" s="1202">
        <v>0</v>
      </c>
      <c r="H106" s="1203">
        <v>0</v>
      </c>
      <c r="I106" s="1203">
        <v>0</v>
      </c>
      <c r="J106" s="1298">
        <v>0</v>
      </c>
      <c r="K106" s="1211"/>
    </row>
    <row r="107" spans="1:11">
      <c r="A107" s="1187">
        <v>106</v>
      </c>
      <c r="B107" s="1188"/>
      <c r="C107" s="1189" t="s">
        <v>5447</v>
      </c>
      <c r="D107" s="1190" t="s">
        <v>5450</v>
      </c>
      <c r="E107" s="1191">
        <v>2025</v>
      </c>
      <c r="F107" s="1192">
        <v>46022</v>
      </c>
      <c r="G107" s="1204">
        <v>0</v>
      </c>
      <c r="H107" s="1194">
        <v>9418.1</v>
      </c>
      <c r="I107" s="1194">
        <v>-9418.1</v>
      </c>
      <c r="J107" s="1295">
        <v>-1</v>
      </c>
      <c r="K107" s="1211"/>
    </row>
    <row r="108" spans="1:11" ht="33.75">
      <c r="A108" s="1187">
        <v>107</v>
      </c>
      <c r="B108" s="1201"/>
      <c r="C108" s="1189" t="s">
        <v>5451</v>
      </c>
      <c r="D108" s="1190" t="s">
        <v>5454</v>
      </c>
      <c r="E108" s="1191">
        <v>2025</v>
      </c>
      <c r="F108" s="1192">
        <v>46022</v>
      </c>
      <c r="G108" s="1202">
        <v>0</v>
      </c>
      <c r="H108" s="1203">
        <v>0</v>
      </c>
      <c r="I108" s="1203">
        <v>0</v>
      </c>
      <c r="J108" s="1298">
        <v>0</v>
      </c>
      <c r="K108" s="1211"/>
    </row>
    <row r="109" spans="1:11" ht="22.5">
      <c r="A109" s="1187">
        <v>108</v>
      </c>
      <c r="B109" s="1188"/>
      <c r="C109" s="1189" t="s">
        <v>5457</v>
      </c>
      <c r="D109" s="1190" t="s">
        <v>5460</v>
      </c>
      <c r="E109" s="1191">
        <v>2025</v>
      </c>
      <c r="F109" s="1192">
        <v>46022</v>
      </c>
      <c r="G109" s="1202">
        <v>0</v>
      </c>
      <c r="H109" s="1203">
        <v>0</v>
      </c>
      <c r="I109" s="1203">
        <v>0</v>
      </c>
      <c r="J109" s="1298">
        <v>0</v>
      </c>
      <c r="K109" s="1211"/>
    </row>
    <row r="110" spans="1:11" ht="22.5">
      <c r="A110" s="1187">
        <v>109</v>
      </c>
      <c r="B110" s="1188"/>
      <c r="C110" s="1189" t="s">
        <v>5463</v>
      </c>
      <c r="D110" s="1190" t="s">
        <v>5466</v>
      </c>
      <c r="E110" s="1191">
        <v>2025</v>
      </c>
      <c r="F110" s="1192">
        <v>46022</v>
      </c>
      <c r="G110" s="1202">
        <v>0</v>
      </c>
      <c r="H110" s="1203">
        <v>9418.1</v>
      </c>
      <c r="I110" s="1203">
        <v>-9418.1</v>
      </c>
      <c r="J110" s="1298">
        <v>-1</v>
      </c>
      <c r="K110" s="1211"/>
    </row>
    <row r="111" spans="1:11">
      <c r="A111" s="1187">
        <v>110</v>
      </c>
      <c r="B111" s="1188"/>
      <c r="C111" s="1189" t="s">
        <v>5472</v>
      </c>
      <c r="D111" s="1190" t="s">
        <v>5475</v>
      </c>
      <c r="E111" s="1191">
        <v>2025</v>
      </c>
      <c r="F111" s="1192">
        <v>46022</v>
      </c>
      <c r="G111" s="1204">
        <v>3625839.31</v>
      </c>
      <c r="H111" s="1194">
        <v>3188384.4299999997</v>
      </c>
      <c r="I111" s="1194">
        <v>437454.88000000035</v>
      </c>
      <c r="J111" s="1295">
        <v>0.13720267728192376</v>
      </c>
      <c r="K111" s="1211"/>
    </row>
    <row r="112" spans="1:11">
      <c r="A112" s="1187">
        <v>111</v>
      </c>
      <c r="B112" s="1188"/>
      <c r="C112" s="1189" t="s">
        <v>5476</v>
      </c>
      <c r="D112" s="1190" t="s">
        <v>5479</v>
      </c>
      <c r="E112" s="1191">
        <v>2025</v>
      </c>
      <c r="F112" s="1192">
        <v>46022</v>
      </c>
      <c r="G112" s="1204">
        <v>2199569</v>
      </c>
      <c r="H112" s="1194">
        <v>1923901</v>
      </c>
      <c r="I112" s="1194">
        <v>275668</v>
      </c>
      <c r="J112" s="1295">
        <v>0.14328595910080613</v>
      </c>
      <c r="K112" s="1211"/>
    </row>
    <row r="113" spans="1:11" ht="22.5">
      <c r="A113" s="1187">
        <v>112</v>
      </c>
      <c r="B113" s="1188"/>
      <c r="C113" s="1189" t="s">
        <v>5480</v>
      </c>
      <c r="D113" s="1190" t="s">
        <v>5485</v>
      </c>
      <c r="E113" s="1191">
        <v>2025</v>
      </c>
      <c r="F113" s="1192">
        <v>46022</v>
      </c>
      <c r="G113" s="1202">
        <v>0</v>
      </c>
      <c r="H113" s="1203">
        <v>0</v>
      </c>
      <c r="I113" s="1203">
        <v>0</v>
      </c>
      <c r="J113" s="1298">
        <v>0</v>
      </c>
      <c r="K113" s="1211"/>
    </row>
    <row r="114" spans="1:11" ht="22.5">
      <c r="A114" s="1187">
        <v>113</v>
      </c>
      <c r="B114" s="1188"/>
      <c r="C114" s="1189" t="s">
        <v>5486</v>
      </c>
      <c r="D114" s="1190" t="s">
        <v>5491</v>
      </c>
      <c r="E114" s="1191">
        <v>2025</v>
      </c>
      <c r="F114" s="1192">
        <v>46022</v>
      </c>
      <c r="G114" s="1202">
        <v>1758270</v>
      </c>
      <c r="H114" s="1203">
        <v>1624274</v>
      </c>
      <c r="I114" s="1203">
        <v>133996</v>
      </c>
      <c r="J114" s="1298">
        <v>8.2495933567858629E-2</v>
      </c>
      <c r="K114" s="1211"/>
    </row>
    <row r="115" spans="1:11">
      <c r="A115" s="1187">
        <v>114</v>
      </c>
      <c r="B115" s="1188"/>
      <c r="C115" s="1189" t="s">
        <v>5492</v>
      </c>
      <c r="D115" s="1190" t="s">
        <v>5496</v>
      </c>
      <c r="E115" s="1191">
        <v>2025</v>
      </c>
      <c r="F115" s="1192">
        <v>46022</v>
      </c>
      <c r="G115" s="1202">
        <v>441299</v>
      </c>
      <c r="H115" s="1203">
        <v>299627</v>
      </c>
      <c r="I115" s="1203">
        <v>141672</v>
      </c>
      <c r="J115" s="1298">
        <v>0.47282788266744985</v>
      </c>
      <c r="K115" s="1211"/>
    </row>
    <row r="116" spans="1:11">
      <c r="A116" s="1187">
        <v>115</v>
      </c>
      <c r="B116" s="1201"/>
      <c r="C116" s="1189" t="s">
        <v>5497</v>
      </c>
      <c r="D116" s="1190" t="s">
        <v>5499</v>
      </c>
      <c r="E116" s="1191">
        <v>2025</v>
      </c>
      <c r="F116" s="1192">
        <v>46022</v>
      </c>
      <c r="G116" s="1202">
        <v>0</v>
      </c>
      <c r="H116" s="1203">
        <v>0</v>
      </c>
      <c r="I116" s="1203">
        <v>0</v>
      </c>
      <c r="J116" s="1298">
        <v>0</v>
      </c>
      <c r="K116" s="1211"/>
    </row>
    <row r="117" spans="1:11">
      <c r="A117" s="1187">
        <v>116</v>
      </c>
      <c r="B117" s="1188"/>
      <c r="C117" s="1189" t="s">
        <v>5503</v>
      </c>
      <c r="D117" s="1190" t="s">
        <v>5506</v>
      </c>
      <c r="E117" s="1191">
        <v>2025</v>
      </c>
      <c r="F117" s="1192">
        <v>46022</v>
      </c>
      <c r="G117" s="1202">
        <v>1426270.31</v>
      </c>
      <c r="H117" s="1203">
        <v>1264483.43</v>
      </c>
      <c r="I117" s="1203">
        <v>161786.88000000012</v>
      </c>
      <c r="J117" s="1298">
        <v>0.12794701469516301</v>
      </c>
      <c r="K117" s="1211"/>
    </row>
    <row r="118" spans="1:11" ht="22.5">
      <c r="A118" s="1187">
        <v>117</v>
      </c>
      <c r="B118" s="1188"/>
      <c r="C118" s="1189" t="s">
        <v>5527</v>
      </c>
      <c r="D118" s="1190" t="s">
        <v>5530</v>
      </c>
      <c r="E118" s="1191">
        <v>2025</v>
      </c>
      <c r="F118" s="1192">
        <v>46022</v>
      </c>
      <c r="G118" s="1193">
        <v>1733001.46</v>
      </c>
      <c r="H118" s="1194">
        <v>1567718.42</v>
      </c>
      <c r="I118" s="1194">
        <v>165283.04000000004</v>
      </c>
      <c r="J118" s="1295">
        <v>0.10542903489007933</v>
      </c>
      <c r="K118" s="1211"/>
    </row>
    <row r="119" spans="1:11" ht="33.75">
      <c r="A119" s="1187">
        <v>118</v>
      </c>
      <c r="B119" s="1188"/>
      <c r="C119" s="1189" t="s">
        <v>5531</v>
      </c>
      <c r="D119" s="1190" t="s">
        <v>5534</v>
      </c>
      <c r="E119" s="1191">
        <v>2025</v>
      </c>
      <c r="F119" s="1192">
        <v>46022</v>
      </c>
      <c r="G119" s="1205">
        <v>1730926.46</v>
      </c>
      <c r="H119" s="1203">
        <v>1555243.42</v>
      </c>
      <c r="I119" s="1203">
        <v>175683.04000000004</v>
      </c>
      <c r="J119" s="1298">
        <v>0.11296176388902519</v>
      </c>
      <c r="K119" s="1211"/>
    </row>
    <row r="120" spans="1:11" ht="22.5">
      <c r="A120" s="1187">
        <v>119</v>
      </c>
      <c r="B120" s="1188"/>
      <c r="C120" s="1189" t="s">
        <v>5543</v>
      </c>
      <c r="D120" s="1190" t="s">
        <v>11200</v>
      </c>
      <c r="E120" s="1191">
        <v>2025</v>
      </c>
      <c r="F120" s="1192">
        <v>46022</v>
      </c>
      <c r="G120" s="1205">
        <v>2075</v>
      </c>
      <c r="H120" s="1203">
        <v>12475</v>
      </c>
      <c r="I120" s="1203">
        <v>-10400</v>
      </c>
      <c r="J120" s="1298">
        <v>-0.83366733466933862</v>
      </c>
      <c r="K120" s="1211"/>
    </row>
    <row r="121" spans="1:11" ht="22.5">
      <c r="A121" s="1187">
        <v>120</v>
      </c>
      <c r="B121" s="1188"/>
      <c r="C121" s="1189" t="s">
        <v>5549</v>
      </c>
      <c r="D121" s="1190" t="s">
        <v>11201</v>
      </c>
      <c r="E121" s="1191">
        <v>2025</v>
      </c>
      <c r="F121" s="1192">
        <v>46022</v>
      </c>
      <c r="G121" s="1205">
        <v>0</v>
      </c>
      <c r="H121" s="1203">
        <v>0</v>
      </c>
      <c r="I121" s="1203">
        <v>0</v>
      </c>
      <c r="J121" s="1298">
        <v>0</v>
      </c>
      <c r="K121" s="1211"/>
    </row>
    <row r="122" spans="1:11">
      <c r="A122" s="1187">
        <v>121</v>
      </c>
      <c r="B122" s="1188"/>
      <c r="C122" s="1189" t="s">
        <v>5555</v>
      </c>
      <c r="D122" s="1190" t="s">
        <v>5558</v>
      </c>
      <c r="E122" s="1191">
        <v>2025</v>
      </c>
      <c r="F122" s="1192">
        <v>46022</v>
      </c>
      <c r="G122" s="1193">
        <v>12995848.530000001</v>
      </c>
      <c r="H122" s="1194">
        <v>12538764.879999999</v>
      </c>
      <c r="I122" s="1194">
        <v>457083.65000000224</v>
      </c>
      <c r="J122" s="1295">
        <v>3.6453642314409701E-2</v>
      </c>
      <c r="K122" s="1211"/>
    </row>
    <row r="123" spans="1:11" ht="22.5">
      <c r="A123" s="1187">
        <v>122</v>
      </c>
      <c r="B123" s="1188"/>
      <c r="C123" s="1189" t="s">
        <v>5559</v>
      </c>
      <c r="D123" s="1190" t="s">
        <v>5562</v>
      </c>
      <c r="E123" s="1191">
        <v>2025</v>
      </c>
      <c r="F123" s="1192">
        <v>46022</v>
      </c>
      <c r="G123" s="1202">
        <v>5558050</v>
      </c>
      <c r="H123" s="1203">
        <v>5562710.0099999998</v>
      </c>
      <c r="I123" s="1203">
        <v>-4660.0099999997765</v>
      </c>
      <c r="J123" s="1298">
        <v>-8.3772297883990838E-4</v>
      </c>
      <c r="K123" s="1211"/>
    </row>
    <row r="124" spans="1:11" ht="22.5">
      <c r="A124" s="1187">
        <v>123</v>
      </c>
      <c r="B124" s="1188"/>
      <c r="C124" s="1189" t="s">
        <v>5645</v>
      </c>
      <c r="D124" s="1190" t="s">
        <v>11202</v>
      </c>
      <c r="E124" s="1191">
        <v>2025</v>
      </c>
      <c r="F124" s="1192">
        <v>46022</v>
      </c>
      <c r="G124" s="1202">
        <v>3250215.57</v>
      </c>
      <c r="H124" s="1203">
        <v>2785933.5900000003</v>
      </c>
      <c r="I124" s="1203">
        <v>464281.97999999952</v>
      </c>
      <c r="J124" s="1298">
        <v>0.16665220652298443</v>
      </c>
      <c r="K124" s="1211"/>
    </row>
    <row r="125" spans="1:11" ht="22.5">
      <c r="A125" s="1187">
        <v>124</v>
      </c>
      <c r="B125" s="1201"/>
      <c r="C125" s="1189" t="s">
        <v>5695</v>
      </c>
      <c r="D125" s="1190" t="s">
        <v>11203</v>
      </c>
      <c r="E125" s="1191">
        <v>2025</v>
      </c>
      <c r="F125" s="1192">
        <v>46022</v>
      </c>
      <c r="G125" s="1202">
        <v>0</v>
      </c>
      <c r="H125" s="1203">
        <v>0</v>
      </c>
      <c r="I125" s="1203">
        <v>0</v>
      </c>
      <c r="J125" s="1298">
        <v>0</v>
      </c>
      <c r="K125" s="1211"/>
    </row>
    <row r="126" spans="1:11" ht="22.5">
      <c r="A126" s="1187">
        <v>125</v>
      </c>
      <c r="B126" s="1201"/>
      <c r="C126" s="1189" t="s">
        <v>5702</v>
      </c>
      <c r="D126" s="1190" t="s">
        <v>5705</v>
      </c>
      <c r="E126" s="1191">
        <v>2025</v>
      </c>
      <c r="F126" s="1192">
        <v>46022</v>
      </c>
      <c r="G126" s="1202">
        <v>4187582.96</v>
      </c>
      <c r="H126" s="1203">
        <v>4190121.28</v>
      </c>
      <c r="I126" s="1203">
        <v>-2538.3199999998324</v>
      </c>
      <c r="J126" s="1298">
        <v>-6.0578676137981204E-4</v>
      </c>
      <c r="K126" s="1211"/>
    </row>
    <row r="127" spans="1:11" ht="22.5">
      <c r="A127" s="1187">
        <v>126</v>
      </c>
      <c r="B127" s="1188"/>
      <c r="C127" s="1189" t="s">
        <v>5744</v>
      </c>
      <c r="D127" s="1190" t="s">
        <v>5747</v>
      </c>
      <c r="E127" s="1191">
        <v>2025</v>
      </c>
      <c r="F127" s="1192">
        <v>46022</v>
      </c>
      <c r="G127" s="1202">
        <v>0</v>
      </c>
      <c r="H127" s="1203">
        <v>0</v>
      </c>
      <c r="I127" s="1203">
        <v>0</v>
      </c>
      <c r="J127" s="1298">
        <v>0</v>
      </c>
      <c r="K127" s="1211"/>
    </row>
    <row r="128" spans="1:11" ht="22.5">
      <c r="A128" s="1187">
        <v>127</v>
      </c>
      <c r="B128" s="1188"/>
      <c r="C128" s="1189" t="s">
        <v>5750</v>
      </c>
      <c r="D128" s="1190" t="s">
        <v>5753</v>
      </c>
      <c r="E128" s="1191">
        <v>2025</v>
      </c>
      <c r="F128" s="1192">
        <v>46022</v>
      </c>
      <c r="G128" s="1202">
        <v>0</v>
      </c>
      <c r="H128" s="1203">
        <v>0</v>
      </c>
      <c r="I128" s="1203">
        <v>0</v>
      </c>
      <c r="J128" s="1298">
        <v>0</v>
      </c>
      <c r="K128" s="1211"/>
    </row>
    <row r="129" spans="1:12">
      <c r="A129" s="1187">
        <v>128</v>
      </c>
      <c r="B129" s="1201"/>
      <c r="C129" s="1189" t="s">
        <v>5756</v>
      </c>
      <c r="D129" s="1190" t="s">
        <v>5759</v>
      </c>
      <c r="E129" s="1191">
        <v>2025</v>
      </c>
      <c r="F129" s="1192">
        <v>46022</v>
      </c>
      <c r="G129" s="1202">
        <v>0</v>
      </c>
      <c r="H129" s="1203">
        <v>0</v>
      </c>
      <c r="I129" s="1203">
        <v>0</v>
      </c>
      <c r="J129" s="1298">
        <v>0</v>
      </c>
      <c r="K129" s="1211"/>
    </row>
    <row r="130" spans="1:12">
      <c r="A130" s="1187">
        <v>129</v>
      </c>
      <c r="B130" s="1201"/>
      <c r="C130" s="1189" t="s">
        <v>5764</v>
      </c>
      <c r="D130" s="1190" t="s">
        <v>5767</v>
      </c>
      <c r="E130" s="1191">
        <v>2025</v>
      </c>
      <c r="F130" s="1192">
        <v>46022</v>
      </c>
      <c r="G130" s="1204">
        <v>1320308.1599999999</v>
      </c>
      <c r="H130" s="1194">
        <v>653425.27</v>
      </c>
      <c r="I130" s="1194">
        <v>666882.8899999999</v>
      </c>
      <c r="J130" s="1295">
        <v>1.0205954997730649</v>
      </c>
      <c r="K130" s="1211"/>
    </row>
    <row r="131" spans="1:12">
      <c r="A131" s="1187">
        <v>130</v>
      </c>
      <c r="B131" s="1188"/>
      <c r="C131" s="1189" t="s">
        <v>5768</v>
      </c>
      <c r="D131" s="1190" t="s">
        <v>5771</v>
      </c>
      <c r="E131" s="1191">
        <v>2025</v>
      </c>
      <c r="F131" s="1192">
        <v>46022</v>
      </c>
      <c r="G131" s="1202">
        <v>1037768.32</v>
      </c>
      <c r="H131" s="1203">
        <v>311496</v>
      </c>
      <c r="I131" s="1203">
        <v>726272.32</v>
      </c>
      <c r="J131" s="1298">
        <v>2.3315622672522278</v>
      </c>
      <c r="K131" s="1211"/>
    </row>
    <row r="132" spans="1:12">
      <c r="A132" s="1187">
        <v>131</v>
      </c>
      <c r="B132" s="1201"/>
      <c r="C132" s="1189" t="s">
        <v>5790</v>
      </c>
      <c r="D132" s="1190" t="s">
        <v>5793</v>
      </c>
      <c r="E132" s="1191">
        <v>2025</v>
      </c>
      <c r="F132" s="1192">
        <v>46022</v>
      </c>
      <c r="G132" s="1202">
        <v>0</v>
      </c>
      <c r="H132" s="1203">
        <v>0</v>
      </c>
      <c r="I132" s="1203">
        <v>0</v>
      </c>
      <c r="J132" s="1298">
        <v>0</v>
      </c>
      <c r="K132" s="1211"/>
    </row>
    <row r="133" spans="1:12">
      <c r="A133" s="1187">
        <v>132</v>
      </c>
      <c r="B133" s="1188"/>
      <c r="C133" s="1189" t="s">
        <v>5805</v>
      </c>
      <c r="D133" s="1190" t="s">
        <v>5808</v>
      </c>
      <c r="E133" s="1191">
        <v>2025</v>
      </c>
      <c r="F133" s="1192">
        <v>46022</v>
      </c>
      <c r="G133" s="1202">
        <v>282539.84000000003</v>
      </c>
      <c r="H133" s="1203">
        <v>341929.27</v>
      </c>
      <c r="I133" s="1203">
        <v>-59389.429999999993</v>
      </c>
      <c r="J133" s="1298">
        <v>-0.1736892252599492</v>
      </c>
      <c r="K133" s="1211"/>
    </row>
    <row r="134" spans="1:12" s="1217" customFormat="1">
      <c r="A134" s="1206">
        <v>133</v>
      </c>
      <c r="B134" s="1207"/>
      <c r="C134" s="1208" t="s">
        <v>11204</v>
      </c>
      <c r="D134" s="1190" t="s">
        <v>11205</v>
      </c>
      <c r="E134" s="1191">
        <v>2025</v>
      </c>
      <c r="F134" s="1192">
        <v>46022</v>
      </c>
      <c r="G134" s="1204">
        <v>367925473.08999997</v>
      </c>
      <c r="H134" s="1209">
        <v>348431484.71000004</v>
      </c>
      <c r="I134" s="1209">
        <v>19493988.379999936</v>
      </c>
      <c r="J134" s="1299">
        <v>5.5947838342521795E-2</v>
      </c>
      <c r="K134" s="1215"/>
      <c r="L134" s="1216"/>
    </row>
    <row r="135" spans="1:12">
      <c r="A135" s="1187">
        <v>134</v>
      </c>
      <c r="B135" s="1188"/>
      <c r="C135" s="1189" t="s">
        <v>6004</v>
      </c>
      <c r="D135" s="1190" t="s">
        <v>6007</v>
      </c>
      <c r="E135" s="1191">
        <v>2025</v>
      </c>
      <c r="F135" s="1192">
        <v>46022</v>
      </c>
      <c r="G135" s="1204">
        <v>147037275.66999999</v>
      </c>
      <c r="H135" s="1194">
        <v>135321772.22</v>
      </c>
      <c r="I135" s="1194">
        <v>11715503.449999988</v>
      </c>
      <c r="J135" s="1295">
        <v>8.6575155333861981E-2</v>
      </c>
      <c r="K135" s="1211"/>
    </row>
    <row r="136" spans="1:12">
      <c r="A136" s="1187">
        <v>135</v>
      </c>
      <c r="B136" s="1188"/>
      <c r="C136" s="1189" t="s">
        <v>6008</v>
      </c>
      <c r="D136" s="1190" t="s">
        <v>6011</v>
      </c>
      <c r="E136" s="1191">
        <v>2025</v>
      </c>
      <c r="F136" s="1192">
        <v>46022</v>
      </c>
      <c r="G136" s="1204">
        <v>146634598.03999999</v>
      </c>
      <c r="H136" s="1194">
        <v>135031458.85999998</v>
      </c>
      <c r="I136" s="1194">
        <v>11603139.180000007</v>
      </c>
      <c r="J136" s="1295">
        <v>8.5929155161021328E-2</v>
      </c>
      <c r="K136" s="1211"/>
    </row>
    <row r="137" spans="1:12">
      <c r="A137" s="1187">
        <v>136</v>
      </c>
      <c r="B137" s="1188"/>
      <c r="C137" s="1189" t="s">
        <v>545</v>
      </c>
      <c r="D137" s="1190" t="s">
        <v>11206</v>
      </c>
      <c r="E137" s="1191">
        <v>2025</v>
      </c>
      <c r="F137" s="1192">
        <v>46022</v>
      </c>
      <c r="G137" s="1204">
        <v>109015725.86999999</v>
      </c>
      <c r="H137" s="1194">
        <v>98626169.109999999</v>
      </c>
      <c r="I137" s="1194">
        <v>10389556.75999999</v>
      </c>
      <c r="J137" s="1295">
        <v>0.10534279952019918</v>
      </c>
      <c r="K137" s="1211"/>
    </row>
    <row r="138" spans="1:12" ht="33.75">
      <c r="A138" s="1187">
        <v>137</v>
      </c>
      <c r="B138" s="1188"/>
      <c r="C138" s="1189" t="s">
        <v>546</v>
      </c>
      <c r="D138" s="1190" t="s">
        <v>6014</v>
      </c>
      <c r="E138" s="1191">
        <v>2025</v>
      </c>
      <c r="F138" s="1192">
        <v>46022</v>
      </c>
      <c r="G138" s="1202">
        <v>106378781.64999999</v>
      </c>
      <c r="H138" s="1203">
        <v>96147593.36999999</v>
      </c>
      <c r="I138" s="1203">
        <v>10231188.280000001</v>
      </c>
      <c r="J138" s="1298">
        <v>0.10641127792588452</v>
      </c>
      <c r="K138" s="1211"/>
    </row>
    <row r="139" spans="1:12">
      <c r="A139" s="1187">
        <v>138</v>
      </c>
      <c r="B139" s="1188"/>
      <c r="C139" s="1189" t="s">
        <v>547</v>
      </c>
      <c r="D139" s="1190" t="s">
        <v>6063</v>
      </c>
      <c r="E139" s="1191">
        <v>2025</v>
      </c>
      <c r="F139" s="1192">
        <v>46022</v>
      </c>
      <c r="G139" s="1202">
        <v>1086051.55</v>
      </c>
      <c r="H139" s="1203">
        <v>1056295.01</v>
      </c>
      <c r="I139" s="1203">
        <v>29756.540000000037</v>
      </c>
      <c r="J139" s="1298">
        <v>2.8170671752013706E-2</v>
      </c>
      <c r="K139" s="1211"/>
    </row>
    <row r="140" spans="1:12">
      <c r="A140" s="1187">
        <v>139</v>
      </c>
      <c r="B140" s="1188"/>
      <c r="C140" s="1189" t="s">
        <v>6081</v>
      </c>
      <c r="D140" s="1190" t="s">
        <v>6084</v>
      </c>
      <c r="E140" s="1191">
        <v>2025</v>
      </c>
      <c r="F140" s="1192">
        <v>46022</v>
      </c>
      <c r="G140" s="1202">
        <v>660072.67000000004</v>
      </c>
      <c r="H140" s="1203">
        <v>615069.73</v>
      </c>
      <c r="I140" s="1203">
        <v>45002.940000000061</v>
      </c>
      <c r="J140" s="1298">
        <v>7.3167216341470845E-2</v>
      </c>
      <c r="K140" s="1211"/>
    </row>
    <row r="141" spans="1:12">
      <c r="A141" s="1187">
        <v>140</v>
      </c>
      <c r="B141" s="1201"/>
      <c r="C141" s="1189" t="s">
        <v>548</v>
      </c>
      <c r="D141" s="1190" t="s">
        <v>6088</v>
      </c>
      <c r="E141" s="1191">
        <v>2025</v>
      </c>
      <c r="F141" s="1192">
        <v>46022</v>
      </c>
      <c r="G141" s="1204">
        <v>890820</v>
      </c>
      <c r="H141" s="1194">
        <v>807211</v>
      </c>
      <c r="I141" s="1194">
        <v>83609</v>
      </c>
      <c r="J141" s="1295">
        <v>0.10357762716315809</v>
      </c>
      <c r="K141" s="1211"/>
    </row>
    <row r="142" spans="1:12" ht="33.75">
      <c r="A142" s="1187">
        <v>141</v>
      </c>
      <c r="B142" s="1188" t="s">
        <v>1519</v>
      </c>
      <c r="C142" s="1189" t="s">
        <v>6089</v>
      </c>
      <c r="D142" s="1190" t="s">
        <v>6093</v>
      </c>
      <c r="E142" s="1191">
        <v>2025</v>
      </c>
      <c r="F142" s="1192">
        <v>46022</v>
      </c>
      <c r="G142" s="1205">
        <v>0</v>
      </c>
      <c r="H142" s="1203">
        <v>0</v>
      </c>
      <c r="I142" s="1203">
        <v>0</v>
      </c>
      <c r="J142" s="1298">
        <v>0</v>
      </c>
      <c r="K142" s="1211"/>
    </row>
    <row r="143" spans="1:12" ht="33.75">
      <c r="A143" s="1187">
        <v>142</v>
      </c>
      <c r="B143" s="1201" t="s">
        <v>1349</v>
      </c>
      <c r="C143" s="1189" t="s">
        <v>6094</v>
      </c>
      <c r="D143" s="1190" t="s">
        <v>6098</v>
      </c>
      <c r="E143" s="1191">
        <v>2025</v>
      </c>
      <c r="F143" s="1192">
        <v>46022</v>
      </c>
      <c r="G143" s="1205">
        <v>0</v>
      </c>
      <c r="H143" s="1203">
        <v>0</v>
      </c>
      <c r="I143" s="1203">
        <v>0</v>
      </c>
      <c r="J143" s="1298">
        <v>0</v>
      </c>
      <c r="K143" s="1211"/>
    </row>
    <row r="144" spans="1:12" ht="22.5">
      <c r="A144" s="1187">
        <v>143</v>
      </c>
      <c r="B144" s="1188"/>
      <c r="C144" s="1189" t="s">
        <v>6099</v>
      </c>
      <c r="D144" s="1190" t="s">
        <v>6103</v>
      </c>
      <c r="E144" s="1191">
        <v>2025</v>
      </c>
      <c r="F144" s="1192">
        <v>46022</v>
      </c>
      <c r="G144" s="1205">
        <v>890820</v>
      </c>
      <c r="H144" s="1203">
        <v>807211</v>
      </c>
      <c r="I144" s="1203">
        <v>83609</v>
      </c>
      <c r="J144" s="1298">
        <v>0.10357762716315809</v>
      </c>
      <c r="K144" s="1211"/>
    </row>
    <row r="145" spans="1:11">
      <c r="A145" s="1187">
        <v>144</v>
      </c>
      <c r="B145" s="1188"/>
      <c r="C145" s="1189" t="s">
        <v>549</v>
      </c>
      <c r="D145" s="1190" t="s">
        <v>6105</v>
      </c>
      <c r="E145" s="1191">
        <v>2025</v>
      </c>
      <c r="F145" s="1192">
        <v>46022</v>
      </c>
      <c r="G145" s="1204">
        <v>596367.84</v>
      </c>
      <c r="H145" s="1194">
        <v>550154.78</v>
      </c>
      <c r="I145" s="1194">
        <v>46213.059999999939</v>
      </c>
      <c r="J145" s="1295">
        <v>8.4000106297358601E-2</v>
      </c>
      <c r="K145" s="1211"/>
    </row>
    <row r="146" spans="1:11" ht="22.5">
      <c r="A146" s="1187">
        <v>145</v>
      </c>
      <c r="B146" s="1201" t="s">
        <v>1519</v>
      </c>
      <c r="C146" s="1189" t="s">
        <v>6106</v>
      </c>
      <c r="D146" s="1190" t="s">
        <v>6111</v>
      </c>
      <c r="E146" s="1191">
        <v>2025</v>
      </c>
      <c r="F146" s="1192">
        <v>46022</v>
      </c>
      <c r="G146" s="1205">
        <v>0</v>
      </c>
      <c r="H146" s="1203">
        <v>0</v>
      </c>
      <c r="I146" s="1203">
        <v>0</v>
      </c>
      <c r="J146" s="1298">
        <v>0</v>
      </c>
      <c r="K146" s="1211"/>
    </row>
    <row r="147" spans="1:11" ht="22.5">
      <c r="A147" s="1187">
        <v>146</v>
      </c>
      <c r="B147" s="1188" t="s">
        <v>1349</v>
      </c>
      <c r="C147" s="1189" t="s">
        <v>6112</v>
      </c>
      <c r="D147" s="1190" t="s">
        <v>6117</v>
      </c>
      <c r="E147" s="1191">
        <v>2025</v>
      </c>
      <c r="F147" s="1192">
        <v>46022</v>
      </c>
      <c r="G147" s="1205">
        <v>0</v>
      </c>
      <c r="H147" s="1203">
        <v>0</v>
      </c>
      <c r="I147" s="1203">
        <v>0</v>
      </c>
      <c r="J147" s="1298">
        <v>0</v>
      </c>
      <c r="K147" s="1211"/>
    </row>
    <row r="148" spans="1:11">
      <c r="A148" s="1187">
        <v>147</v>
      </c>
      <c r="B148" s="1201"/>
      <c r="C148" s="1189" t="s">
        <v>6118</v>
      </c>
      <c r="D148" s="1190" t="s">
        <v>6123</v>
      </c>
      <c r="E148" s="1191">
        <v>2025</v>
      </c>
      <c r="F148" s="1192">
        <v>46022</v>
      </c>
      <c r="G148" s="1205">
        <v>596367.84</v>
      </c>
      <c r="H148" s="1203">
        <v>550154.78</v>
      </c>
      <c r="I148" s="1203">
        <v>46213.059999999939</v>
      </c>
      <c r="J148" s="1298">
        <v>8.4000106297358601E-2</v>
      </c>
      <c r="K148" s="1211"/>
    </row>
    <row r="149" spans="1:11">
      <c r="A149" s="1187">
        <v>148</v>
      </c>
      <c r="B149" s="1188"/>
      <c r="C149" s="1189" t="s">
        <v>551</v>
      </c>
      <c r="D149" s="1190" t="s">
        <v>11208</v>
      </c>
      <c r="E149" s="1191">
        <v>2025</v>
      </c>
      <c r="F149" s="1192">
        <v>46022</v>
      </c>
      <c r="G149" s="1204">
        <v>35120697.290000007</v>
      </c>
      <c r="H149" s="1194">
        <v>34534419.249999993</v>
      </c>
      <c r="I149" s="1194">
        <v>586278.04000001401</v>
      </c>
      <c r="J149" s="1295">
        <v>1.6976629482484032E-2</v>
      </c>
      <c r="K149" s="1211"/>
    </row>
    <row r="150" spans="1:11">
      <c r="A150" s="1187">
        <v>149</v>
      </c>
      <c r="B150" s="1188"/>
      <c r="C150" s="1189" t="s">
        <v>550</v>
      </c>
      <c r="D150" s="1190" t="s">
        <v>11209</v>
      </c>
      <c r="E150" s="1191">
        <v>2025</v>
      </c>
      <c r="F150" s="1192">
        <v>46022</v>
      </c>
      <c r="G150" s="1202">
        <v>26067574.870000005</v>
      </c>
      <c r="H150" s="1203">
        <v>25239873.969999995</v>
      </c>
      <c r="I150" s="1203">
        <v>827700.90000000969</v>
      </c>
      <c r="J150" s="1298">
        <v>3.2793384823704405E-2</v>
      </c>
      <c r="K150" s="1211"/>
    </row>
    <row r="151" spans="1:11">
      <c r="A151" s="1187">
        <v>150</v>
      </c>
      <c r="B151" s="1201"/>
      <c r="C151" s="1189" t="s">
        <v>552</v>
      </c>
      <c r="D151" s="1190" t="s">
        <v>11211</v>
      </c>
      <c r="E151" s="1191">
        <v>2025</v>
      </c>
      <c r="F151" s="1192">
        <v>46022</v>
      </c>
      <c r="G151" s="1202">
        <v>2678346.94</v>
      </c>
      <c r="H151" s="1203">
        <v>2701962.48</v>
      </c>
      <c r="I151" s="1203">
        <v>-23615.540000000037</v>
      </c>
      <c r="J151" s="1298">
        <v>-8.7401435714977195E-3</v>
      </c>
      <c r="K151" s="1211"/>
    </row>
    <row r="152" spans="1:11">
      <c r="A152" s="1187">
        <v>151</v>
      </c>
      <c r="B152" s="1188"/>
      <c r="C152" s="1189" t="s">
        <v>553</v>
      </c>
      <c r="D152" s="1190" t="s">
        <v>11212</v>
      </c>
      <c r="E152" s="1191">
        <v>2025</v>
      </c>
      <c r="F152" s="1192">
        <v>46022</v>
      </c>
      <c r="G152" s="1205">
        <v>6374775.4800000004</v>
      </c>
      <c r="H152" s="1203">
        <v>6592582.7999999998</v>
      </c>
      <c r="I152" s="1203">
        <v>-217807.31999999937</v>
      </c>
      <c r="J152" s="1298">
        <v>-3.3038238063540039E-2</v>
      </c>
      <c r="K152" s="1211"/>
    </row>
    <row r="153" spans="1:11">
      <c r="A153" s="1187">
        <v>152</v>
      </c>
      <c r="B153" s="1201"/>
      <c r="C153" s="1189" t="s">
        <v>554</v>
      </c>
      <c r="D153" s="1190" t="s">
        <v>6308</v>
      </c>
      <c r="E153" s="1191">
        <v>2025</v>
      </c>
      <c r="F153" s="1192">
        <v>46022</v>
      </c>
      <c r="G153" s="1202">
        <v>36423.39</v>
      </c>
      <c r="H153" s="1203">
        <v>37656.589999999997</v>
      </c>
      <c r="I153" s="1203">
        <v>-1233.1999999999971</v>
      </c>
      <c r="J153" s="1298">
        <v>-3.2748583979590219E-2</v>
      </c>
      <c r="K153" s="1211"/>
    </row>
    <row r="154" spans="1:11">
      <c r="A154" s="1187">
        <v>153</v>
      </c>
      <c r="B154" s="1188"/>
      <c r="C154" s="1189" t="s">
        <v>555</v>
      </c>
      <c r="D154" s="1190" t="s">
        <v>6311</v>
      </c>
      <c r="E154" s="1191">
        <v>2025</v>
      </c>
      <c r="F154" s="1192">
        <v>46022</v>
      </c>
      <c r="G154" s="1202">
        <v>0</v>
      </c>
      <c r="H154" s="1203">
        <v>0</v>
      </c>
      <c r="I154" s="1203">
        <v>0</v>
      </c>
      <c r="J154" s="1298">
        <v>0</v>
      </c>
      <c r="K154" s="1211"/>
    </row>
    <row r="155" spans="1:11">
      <c r="A155" s="1187">
        <v>154</v>
      </c>
      <c r="B155" s="1188"/>
      <c r="C155" s="1189" t="s">
        <v>556</v>
      </c>
      <c r="D155" s="1190" t="s">
        <v>6316</v>
      </c>
      <c r="E155" s="1191">
        <v>2025</v>
      </c>
      <c r="F155" s="1192">
        <v>46022</v>
      </c>
      <c r="G155" s="1202">
        <v>0</v>
      </c>
      <c r="H155" s="1203">
        <v>0</v>
      </c>
      <c r="I155" s="1203">
        <v>0</v>
      </c>
      <c r="J155" s="1298">
        <v>0</v>
      </c>
      <c r="K155" s="1211"/>
    </row>
    <row r="156" spans="1:11">
      <c r="A156" s="1187">
        <v>155</v>
      </c>
      <c r="B156" s="1188"/>
      <c r="C156" s="1189" t="s">
        <v>557</v>
      </c>
      <c r="D156" s="1190" t="s">
        <v>6319</v>
      </c>
      <c r="E156" s="1191">
        <v>2025</v>
      </c>
      <c r="F156" s="1192">
        <v>46022</v>
      </c>
      <c r="G156" s="1202">
        <v>0</v>
      </c>
      <c r="H156" s="1203">
        <v>0</v>
      </c>
      <c r="I156" s="1203">
        <v>0</v>
      </c>
      <c r="J156" s="1298">
        <v>0</v>
      </c>
      <c r="K156" s="1211"/>
    </row>
    <row r="157" spans="1:11">
      <c r="A157" s="1187">
        <v>156</v>
      </c>
      <c r="B157" s="1188"/>
      <c r="C157" s="1189" t="s">
        <v>558</v>
      </c>
      <c r="D157" s="1190" t="s">
        <v>11213</v>
      </c>
      <c r="E157" s="1191">
        <v>2025</v>
      </c>
      <c r="F157" s="1192">
        <v>46022</v>
      </c>
      <c r="G157" s="1202">
        <v>1824129.65</v>
      </c>
      <c r="H157" s="1203">
        <v>1105201.82</v>
      </c>
      <c r="I157" s="1203">
        <v>718927.82999999984</v>
      </c>
      <c r="J157" s="1298">
        <v>0.65049461283008003</v>
      </c>
      <c r="K157" s="1211"/>
    </row>
    <row r="158" spans="1:11" ht="22.5">
      <c r="A158" s="1187">
        <v>157</v>
      </c>
      <c r="B158" s="1188" t="s">
        <v>1519</v>
      </c>
      <c r="C158" s="1189" t="s">
        <v>6338</v>
      </c>
      <c r="D158" s="1190" t="s">
        <v>11214</v>
      </c>
      <c r="E158" s="1191">
        <v>2025</v>
      </c>
      <c r="F158" s="1192">
        <v>46022</v>
      </c>
      <c r="G158" s="1204">
        <v>41254</v>
      </c>
      <c r="H158" s="1194">
        <v>177857.31</v>
      </c>
      <c r="I158" s="1194">
        <v>-136603.31</v>
      </c>
      <c r="J158" s="1295">
        <v>-0.76805001717387944</v>
      </c>
      <c r="K158" s="1211"/>
    </row>
    <row r="159" spans="1:11">
      <c r="A159" s="1187">
        <v>158</v>
      </c>
      <c r="B159" s="1188" t="s">
        <v>1519</v>
      </c>
      <c r="C159" s="1189" t="s">
        <v>6342</v>
      </c>
      <c r="D159" s="1190" t="s">
        <v>6346</v>
      </c>
      <c r="E159" s="1191">
        <v>2025</v>
      </c>
      <c r="F159" s="1192">
        <v>46022</v>
      </c>
      <c r="G159" s="1205">
        <v>41254</v>
      </c>
      <c r="H159" s="1203">
        <v>177857.31</v>
      </c>
      <c r="I159" s="1203">
        <v>-136603.31</v>
      </c>
      <c r="J159" s="1298">
        <v>-0.76805001717387944</v>
      </c>
      <c r="K159" s="1211"/>
    </row>
    <row r="160" spans="1:11">
      <c r="A160" s="1187">
        <v>160</v>
      </c>
      <c r="B160" s="1201" t="s">
        <v>1519</v>
      </c>
      <c r="C160" s="1189" t="s">
        <v>6347</v>
      </c>
      <c r="D160" s="1190" t="s">
        <v>6351</v>
      </c>
      <c r="E160" s="1191">
        <v>2025</v>
      </c>
      <c r="F160" s="1192">
        <v>46022</v>
      </c>
      <c r="G160" s="1205">
        <v>0</v>
      </c>
      <c r="H160" s="1203">
        <v>0</v>
      </c>
      <c r="I160" s="1203">
        <v>0</v>
      </c>
      <c r="J160" s="1298">
        <v>0</v>
      </c>
      <c r="K160" s="1211"/>
    </row>
    <row r="161" spans="1:11">
      <c r="A161" s="1187">
        <v>161</v>
      </c>
      <c r="B161" s="1188" t="s">
        <v>1519</v>
      </c>
      <c r="C161" s="1189" t="s">
        <v>6352</v>
      </c>
      <c r="D161" s="1190" t="s">
        <v>6356</v>
      </c>
      <c r="E161" s="1191">
        <v>2025</v>
      </c>
      <c r="F161" s="1192">
        <v>46022</v>
      </c>
      <c r="G161" s="1205">
        <v>0</v>
      </c>
      <c r="H161" s="1203">
        <v>0</v>
      </c>
      <c r="I161" s="1203">
        <v>0</v>
      </c>
      <c r="J161" s="1298">
        <v>0</v>
      </c>
      <c r="K161" s="1211"/>
    </row>
    <row r="162" spans="1:11">
      <c r="A162" s="1187">
        <v>162</v>
      </c>
      <c r="B162" s="1201" t="s">
        <v>1519</v>
      </c>
      <c r="C162" s="1189" t="s">
        <v>6357</v>
      </c>
      <c r="D162" s="1190" t="s">
        <v>6361</v>
      </c>
      <c r="E162" s="1191">
        <v>2025</v>
      </c>
      <c r="F162" s="1192">
        <v>46022</v>
      </c>
      <c r="G162" s="1205">
        <v>0</v>
      </c>
      <c r="H162" s="1203">
        <v>0</v>
      </c>
      <c r="I162" s="1203">
        <v>0</v>
      </c>
      <c r="J162" s="1298">
        <v>0</v>
      </c>
      <c r="K162" s="1211"/>
    </row>
    <row r="163" spans="1:11">
      <c r="A163" s="1187">
        <v>163</v>
      </c>
      <c r="B163" s="1188" t="s">
        <v>1519</v>
      </c>
      <c r="C163" s="1189" t="s">
        <v>6362</v>
      </c>
      <c r="D163" s="1190" t="s">
        <v>6366</v>
      </c>
      <c r="E163" s="1191">
        <v>2025</v>
      </c>
      <c r="F163" s="1192">
        <v>46022</v>
      </c>
      <c r="G163" s="1205">
        <v>0</v>
      </c>
      <c r="H163" s="1203">
        <v>0</v>
      </c>
      <c r="I163" s="1203">
        <v>0</v>
      </c>
      <c r="J163" s="1298">
        <v>0</v>
      </c>
      <c r="K163" s="1211"/>
    </row>
    <row r="164" spans="1:11">
      <c r="A164" s="1187">
        <v>164</v>
      </c>
      <c r="B164" s="1188" t="s">
        <v>1519</v>
      </c>
      <c r="C164" s="1189" t="s">
        <v>6367</v>
      </c>
      <c r="D164" s="1190" t="s">
        <v>6371</v>
      </c>
      <c r="E164" s="1191">
        <v>2025</v>
      </c>
      <c r="F164" s="1192">
        <v>46022</v>
      </c>
      <c r="G164" s="1205">
        <v>0</v>
      </c>
      <c r="H164" s="1203">
        <v>0</v>
      </c>
      <c r="I164" s="1203">
        <v>0</v>
      </c>
      <c r="J164" s="1298">
        <v>0</v>
      </c>
      <c r="K164" s="1211"/>
    </row>
    <row r="165" spans="1:11">
      <c r="A165" s="1187">
        <v>165</v>
      </c>
      <c r="B165" s="1201" t="s">
        <v>1519</v>
      </c>
      <c r="C165" s="1189" t="s">
        <v>6372</v>
      </c>
      <c r="D165" s="1190" t="s">
        <v>6376</v>
      </c>
      <c r="E165" s="1191">
        <v>2025</v>
      </c>
      <c r="F165" s="1192">
        <v>46022</v>
      </c>
      <c r="G165" s="1205">
        <v>0</v>
      </c>
      <c r="H165" s="1203">
        <v>0</v>
      </c>
      <c r="I165" s="1203">
        <v>0</v>
      </c>
      <c r="J165" s="1298">
        <v>0</v>
      </c>
      <c r="K165" s="1211"/>
    </row>
    <row r="166" spans="1:11">
      <c r="A166" s="1187">
        <v>166</v>
      </c>
      <c r="B166" s="1188"/>
      <c r="C166" s="1189" t="s">
        <v>6377</v>
      </c>
      <c r="D166" s="1190" t="s">
        <v>6380</v>
      </c>
      <c r="E166" s="1191">
        <v>2025</v>
      </c>
      <c r="F166" s="1192">
        <v>46022</v>
      </c>
      <c r="G166" s="1204">
        <v>402677.63</v>
      </c>
      <c r="H166" s="1194">
        <v>290313.36</v>
      </c>
      <c r="I166" s="1194">
        <v>112364.27000000002</v>
      </c>
      <c r="J166" s="1295">
        <v>0.38704477809770804</v>
      </c>
      <c r="K166" s="1211"/>
    </row>
    <row r="167" spans="1:11">
      <c r="A167" s="1187">
        <v>167</v>
      </c>
      <c r="B167" s="1201"/>
      <c r="C167" s="1189" t="s">
        <v>559</v>
      </c>
      <c r="D167" s="1190" t="s">
        <v>6</v>
      </c>
      <c r="E167" s="1191">
        <v>2025</v>
      </c>
      <c r="F167" s="1192">
        <v>46022</v>
      </c>
      <c r="G167" s="1202">
        <v>1881.73</v>
      </c>
      <c r="H167" s="1203">
        <v>2783.68</v>
      </c>
      <c r="I167" s="1203">
        <v>-901.94999999999982</v>
      </c>
      <c r="J167" s="1298">
        <v>-0.32401353603862509</v>
      </c>
      <c r="K167" s="1211"/>
    </row>
    <row r="168" spans="1:11" ht="22.5">
      <c r="A168" s="1187">
        <v>168</v>
      </c>
      <c r="B168" s="1188"/>
      <c r="C168" s="1189" t="s">
        <v>560</v>
      </c>
      <c r="D168" s="1190" t="s">
        <v>7</v>
      </c>
      <c r="E168" s="1191">
        <v>2025</v>
      </c>
      <c r="F168" s="1192">
        <v>46022</v>
      </c>
      <c r="G168" s="1202">
        <v>254140.77000000002</v>
      </c>
      <c r="H168" s="1203">
        <v>106092.4</v>
      </c>
      <c r="I168" s="1203">
        <v>148048.37000000002</v>
      </c>
      <c r="J168" s="1298">
        <v>1.39546631049915</v>
      </c>
      <c r="K168" s="1211"/>
    </row>
    <row r="169" spans="1:11">
      <c r="A169" s="1187">
        <v>169</v>
      </c>
      <c r="B169" s="1188"/>
      <c r="C169" s="1189" t="s">
        <v>561</v>
      </c>
      <c r="D169" s="1190" t="s">
        <v>8</v>
      </c>
      <c r="E169" s="1191">
        <v>2025</v>
      </c>
      <c r="F169" s="1192">
        <v>46022</v>
      </c>
      <c r="G169" s="1202">
        <v>33171.019999999997</v>
      </c>
      <c r="H169" s="1203">
        <v>55833.64</v>
      </c>
      <c r="I169" s="1203">
        <v>-22662.620000000003</v>
      </c>
      <c r="J169" s="1298">
        <v>-0.40589544224592922</v>
      </c>
      <c r="K169" s="1211"/>
    </row>
    <row r="170" spans="1:11">
      <c r="A170" s="1187">
        <v>170</v>
      </c>
      <c r="B170" s="1188"/>
      <c r="C170" s="1189" t="s">
        <v>562</v>
      </c>
      <c r="D170" s="1190" t="s">
        <v>9</v>
      </c>
      <c r="E170" s="1191">
        <v>2025</v>
      </c>
      <c r="F170" s="1192">
        <v>46022</v>
      </c>
      <c r="G170" s="1202">
        <v>110045.22</v>
      </c>
      <c r="H170" s="1203">
        <v>124999.15</v>
      </c>
      <c r="I170" s="1203">
        <v>-14953.929999999993</v>
      </c>
      <c r="J170" s="1298">
        <v>-0.11963225349932374</v>
      </c>
      <c r="K170" s="1211"/>
    </row>
    <row r="171" spans="1:11">
      <c r="A171" s="1187">
        <v>171</v>
      </c>
      <c r="B171" s="1201"/>
      <c r="C171" s="1189" t="s">
        <v>563</v>
      </c>
      <c r="D171" s="1190" t="s">
        <v>10</v>
      </c>
      <c r="E171" s="1191">
        <v>2025</v>
      </c>
      <c r="F171" s="1192">
        <v>46022</v>
      </c>
      <c r="G171" s="1202">
        <v>3438.89</v>
      </c>
      <c r="H171" s="1203">
        <v>604.49</v>
      </c>
      <c r="I171" s="1203">
        <v>2834.3999999999996</v>
      </c>
      <c r="J171" s="1298">
        <v>4.6889113136693732</v>
      </c>
      <c r="K171" s="1211"/>
    </row>
    <row r="172" spans="1:11">
      <c r="A172" s="1187">
        <v>172</v>
      </c>
      <c r="B172" s="1188"/>
      <c r="C172" s="1189" t="s">
        <v>564</v>
      </c>
      <c r="D172" s="1190" t="s">
        <v>11215</v>
      </c>
      <c r="E172" s="1191">
        <v>2025</v>
      </c>
      <c r="F172" s="1192">
        <v>46022</v>
      </c>
      <c r="G172" s="1202">
        <v>0</v>
      </c>
      <c r="H172" s="1203">
        <v>0</v>
      </c>
      <c r="I172" s="1203">
        <v>0</v>
      </c>
      <c r="J172" s="1298">
        <v>0</v>
      </c>
      <c r="K172" s="1211"/>
    </row>
    <row r="173" spans="1:11" ht="22.5">
      <c r="A173" s="1187">
        <v>173</v>
      </c>
      <c r="B173" s="1201" t="s">
        <v>1519</v>
      </c>
      <c r="C173" s="1189" t="s">
        <v>6428</v>
      </c>
      <c r="D173" s="1190" t="s">
        <v>11216</v>
      </c>
      <c r="E173" s="1191">
        <v>2025</v>
      </c>
      <c r="F173" s="1192">
        <v>46022</v>
      </c>
      <c r="G173" s="1202">
        <v>0</v>
      </c>
      <c r="H173" s="1203">
        <v>0</v>
      </c>
      <c r="I173" s="1203">
        <v>0</v>
      </c>
      <c r="J173" s="1298">
        <v>0</v>
      </c>
      <c r="K173" s="1211"/>
    </row>
    <row r="174" spans="1:11">
      <c r="A174" s="1187">
        <v>174</v>
      </c>
      <c r="B174" s="1188"/>
      <c r="C174" s="1189" t="s">
        <v>6434</v>
      </c>
      <c r="D174" s="1190" t="s">
        <v>6437</v>
      </c>
      <c r="E174" s="1191">
        <v>2025</v>
      </c>
      <c r="F174" s="1192">
        <v>46022</v>
      </c>
      <c r="G174" s="1204">
        <v>71982030.219999999</v>
      </c>
      <c r="H174" s="1194">
        <v>71192414.789999992</v>
      </c>
      <c r="I174" s="1194">
        <v>789615.43000000715</v>
      </c>
      <c r="J174" s="1295">
        <v>1.1091285951307837E-2</v>
      </c>
      <c r="K174" s="1211"/>
    </row>
    <row r="175" spans="1:11">
      <c r="A175" s="1187">
        <v>175</v>
      </c>
      <c r="B175" s="1188"/>
      <c r="C175" s="1189" t="s">
        <v>6438</v>
      </c>
      <c r="D175" s="1190" t="s">
        <v>6441</v>
      </c>
      <c r="E175" s="1191">
        <v>2025</v>
      </c>
      <c r="F175" s="1192">
        <v>46022</v>
      </c>
      <c r="G175" s="1204">
        <v>30339543.699999988</v>
      </c>
      <c r="H175" s="1194">
        <v>27778615.140000001</v>
      </c>
      <c r="I175" s="1194">
        <v>2560928.5599999875</v>
      </c>
      <c r="J175" s="1295">
        <v>9.2190649069195732E-2</v>
      </c>
      <c r="K175" s="1211"/>
    </row>
    <row r="176" spans="1:11">
      <c r="A176" s="1187">
        <v>176</v>
      </c>
      <c r="B176" s="1188"/>
      <c r="C176" s="1189" t="s">
        <v>6442</v>
      </c>
      <c r="D176" s="1190" t="s">
        <v>6444</v>
      </c>
      <c r="E176" s="1191">
        <v>2025</v>
      </c>
      <c r="F176" s="1192">
        <v>46022</v>
      </c>
      <c r="G176" s="1204">
        <v>0</v>
      </c>
      <c r="H176" s="1194">
        <v>0</v>
      </c>
      <c r="I176" s="1194">
        <v>0</v>
      </c>
      <c r="J176" s="1295">
        <v>0</v>
      </c>
      <c r="K176" s="1211"/>
    </row>
    <row r="177" spans="1:11">
      <c r="A177" s="1187">
        <v>177</v>
      </c>
      <c r="B177" s="1201"/>
      <c r="C177" s="1189" t="s">
        <v>312</v>
      </c>
      <c r="D177" s="1190" t="s">
        <v>11217</v>
      </c>
      <c r="E177" s="1191">
        <v>2025</v>
      </c>
      <c r="F177" s="1192">
        <v>46022</v>
      </c>
      <c r="G177" s="1204">
        <v>0</v>
      </c>
      <c r="H177" s="1194">
        <v>0</v>
      </c>
      <c r="I177" s="1194">
        <v>0</v>
      </c>
      <c r="J177" s="1295">
        <v>0</v>
      </c>
      <c r="K177" s="1211"/>
    </row>
    <row r="178" spans="1:11">
      <c r="A178" s="1187">
        <v>178</v>
      </c>
      <c r="B178" s="1188"/>
      <c r="C178" s="1189" t="s">
        <v>313</v>
      </c>
      <c r="D178" s="1190" t="s">
        <v>6448</v>
      </c>
      <c r="E178" s="1191">
        <v>2025</v>
      </c>
      <c r="F178" s="1192">
        <v>46022</v>
      </c>
      <c r="G178" s="1202">
        <v>0</v>
      </c>
      <c r="H178" s="1203">
        <v>0</v>
      </c>
      <c r="I178" s="1203">
        <v>0</v>
      </c>
      <c r="J178" s="1298">
        <v>0</v>
      </c>
      <c r="K178" s="1211"/>
    </row>
    <row r="179" spans="1:11">
      <c r="A179" s="1187">
        <v>179</v>
      </c>
      <c r="B179" s="1201"/>
      <c r="C179" s="1189" t="s">
        <v>315</v>
      </c>
      <c r="D179" s="1190" t="s">
        <v>6452</v>
      </c>
      <c r="E179" s="1191">
        <v>2025</v>
      </c>
      <c r="F179" s="1192">
        <v>46022</v>
      </c>
      <c r="G179" s="1202">
        <v>0</v>
      </c>
      <c r="H179" s="1203">
        <v>0</v>
      </c>
      <c r="I179" s="1203">
        <v>0</v>
      </c>
      <c r="J179" s="1298">
        <v>0</v>
      </c>
      <c r="K179" s="1211"/>
    </row>
    <row r="180" spans="1:11">
      <c r="A180" s="1187">
        <v>180</v>
      </c>
      <c r="B180" s="1188"/>
      <c r="C180" s="1189" t="s">
        <v>317</v>
      </c>
      <c r="D180" s="1190" t="s">
        <v>6456</v>
      </c>
      <c r="E180" s="1191">
        <v>2025</v>
      </c>
      <c r="F180" s="1192">
        <v>46022</v>
      </c>
      <c r="G180" s="1202">
        <v>0</v>
      </c>
      <c r="H180" s="1203">
        <v>0</v>
      </c>
      <c r="I180" s="1203">
        <v>0</v>
      </c>
      <c r="J180" s="1298">
        <v>0</v>
      </c>
      <c r="K180" s="1211"/>
    </row>
    <row r="181" spans="1:11" ht="22.5">
      <c r="A181" s="1187">
        <v>181</v>
      </c>
      <c r="B181" s="1188"/>
      <c r="C181" s="1189" t="s">
        <v>319</v>
      </c>
      <c r="D181" s="1190" t="s">
        <v>6461</v>
      </c>
      <c r="E181" s="1191">
        <v>2025</v>
      </c>
      <c r="F181" s="1192">
        <v>46022</v>
      </c>
      <c r="G181" s="1202">
        <v>0</v>
      </c>
      <c r="H181" s="1203">
        <v>0</v>
      </c>
      <c r="I181" s="1203">
        <v>0</v>
      </c>
      <c r="J181" s="1298">
        <v>0</v>
      </c>
      <c r="K181" s="1211"/>
    </row>
    <row r="182" spans="1:11" ht="22.5">
      <c r="A182" s="1187">
        <v>182</v>
      </c>
      <c r="B182" s="1201" t="s">
        <v>1519</v>
      </c>
      <c r="C182" s="1189" t="s">
        <v>320</v>
      </c>
      <c r="D182" s="1190" t="s">
        <v>6472</v>
      </c>
      <c r="E182" s="1191">
        <v>2025</v>
      </c>
      <c r="F182" s="1192">
        <v>46022</v>
      </c>
      <c r="G182" s="1202">
        <v>0</v>
      </c>
      <c r="H182" s="1203">
        <v>0</v>
      </c>
      <c r="I182" s="1203">
        <v>0</v>
      </c>
      <c r="J182" s="1298">
        <v>0</v>
      </c>
      <c r="K182" s="1211"/>
    </row>
    <row r="183" spans="1:11" ht="22.5">
      <c r="A183" s="1187">
        <v>183</v>
      </c>
      <c r="B183" s="1188" t="s">
        <v>1349</v>
      </c>
      <c r="C183" s="1189" t="s">
        <v>321</v>
      </c>
      <c r="D183" s="1190" t="s">
        <v>6477</v>
      </c>
      <c r="E183" s="1191">
        <v>2025</v>
      </c>
      <c r="F183" s="1192">
        <v>46022</v>
      </c>
      <c r="G183" s="1202">
        <v>0</v>
      </c>
      <c r="H183" s="1203">
        <v>0</v>
      </c>
      <c r="I183" s="1203">
        <v>0</v>
      </c>
      <c r="J183" s="1298">
        <v>0</v>
      </c>
      <c r="K183" s="1211"/>
    </row>
    <row r="184" spans="1:11">
      <c r="A184" s="1187">
        <v>184</v>
      </c>
      <c r="B184" s="1201"/>
      <c r="C184" s="1189" t="s">
        <v>6478</v>
      </c>
      <c r="D184" s="1190" t="s">
        <v>6480</v>
      </c>
      <c r="E184" s="1191">
        <v>2025</v>
      </c>
      <c r="F184" s="1192">
        <v>46022</v>
      </c>
      <c r="G184" s="1204">
        <v>0</v>
      </c>
      <c r="H184" s="1194">
        <v>0</v>
      </c>
      <c r="I184" s="1194">
        <v>0</v>
      </c>
      <c r="J184" s="1295">
        <v>0</v>
      </c>
      <c r="K184" s="1211"/>
    </row>
    <row r="185" spans="1:11">
      <c r="A185" s="1187">
        <v>185</v>
      </c>
      <c r="B185" s="1188"/>
      <c r="C185" s="1189" t="s">
        <v>322</v>
      </c>
      <c r="D185" s="1190" t="s">
        <v>6485</v>
      </c>
      <c r="E185" s="1191">
        <v>2025</v>
      </c>
      <c r="F185" s="1192">
        <v>46022</v>
      </c>
      <c r="G185" s="1202">
        <v>0</v>
      </c>
      <c r="H185" s="1203">
        <v>0</v>
      </c>
      <c r="I185" s="1203">
        <v>0</v>
      </c>
      <c r="J185" s="1298">
        <v>0</v>
      </c>
      <c r="K185" s="1211"/>
    </row>
    <row r="186" spans="1:11" ht="22.5">
      <c r="A186" s="1187">
        <v>186</v>
      </c>
      <c r="B186" s="1188" t="s">
        <v>1519</v>
      </c>
      <c r="C186" s="1189" t="s">
        <v>323</v>
      </c>
      <c r="D186" s="1190" t="s">
        <v>6496</v>
      </c>
      <c r="E186" s="1191">
        <v>2025</v>
      </c>
      <c r="F186" s="1192">
        <v>46022</v>
      </c>
      <c r="G186" s="1202">
        <v>0</v>
      </c>
      <c r="H186" s="1203">
        <v>0</v>
      </c>
      <c r="I186" s="1203">
        <v>0</v>
      </c>
      <c r="J186" s="1298">
        <v>0</v>
      </c>
      <c r="K186" s="1211"/>
    </row>
    <row r="187" spans="1:11">
      <c r="A187" s="1187">
        <v>187</v>
      </c>
      <c r="B187" s="1188" t="s">
        <v>1349</v>
      </c>
      <c r="C187" s="1189" t="s">
        <v>324</v>
      </c>
      <c r="D187" s="1190" t="s">
        <v>6501</v>
      </c>
      <c r="E187" s="1191">
        <v>2025</v>
      </c>
      <c r="F187" s="1192">
        <v>46022</v>
      </c>
      <c r="G187" s="1202">
        <v>0</v>
      </c>
      <c r="H187" s="1203">
        <v>0</v>
      </c>
      <c r="I187" s="1203">
        <v>0</v>
      </c>
      <c r="J187" s="1298">
        <v>0</v>
      </c>
      <c r="K187" s="1211"/>
    </row>
    <row r="188" spans="1:11" ht="22.5">
      <c r="A188" s="1187">
        <v>188</v>
      </c>
      <c r="B188" s="1188"/>
      <c r="C188" s="1189" t="s">
        <v>6502</v>
      </c>
      <c r="D188" s="1190" t="s">
        <v>6504</v>
      </c>
      <c r="E188" s="1191">
        <v>2025</v>
      </c>
      <c r="F188" s="1192">
        <v>46022</v>
      </c>
      <c r="G188" s="1204">
        <v>0</v>
      </c>
      <c r="H188" s="1194">
        <v>0</v>
      </c>
      <c r="I188" s="1194">
        <v>0</v>
      </c>
      <c r="J188" s="1295">
        <v>0</v>
      </c>
      <c r="K188" s="1211"/>
    </row>
    <row r="189" spans="1:11" ht="22.5">
      <c r="A189" s="1187">
        <v>189</v>
      </c>
      <c r="B189" s="1188" t="s">
        <v>1519</v>
      </c>
      <c r="C189" s="1189" t="s">
        <v>325</v>
      </c>
      <c r="D189" s="1190" t="s">
        <v>6509</v>
      </c>
      <c r="E189" s="1191">
        <v>2025</v>
      </c>
      <c r="F189" s="1192">
        <v>46022</v>
      </c>
      <c r="G189" s="1205">
        <v>0</v>
      </c>
      <c r="H189" s="1203">
        <v>0</v>
      </c>
      <c r="I189" s="1203">
        <v>0</v>
      </c>
      <c r="J189" s="1298">
        <v>0</v>
      </c>
      <c r="K189" s="1211"/>
    </row>
    <row r="190" spans="1:11" ht="33.75">
      <c r="A190" s="1187">
        <v>190</v>
      </c>
      <c r="B190" s="1188" t="s">
        <v>1519</v>
      </c>
      <c r="C190" s="1189" t="s">
        <v>6510</v>
      </c>
      <c r="D190" s="1190" t="s">
        <v>11218</v>
      </c>
      <c r="E190" s="1191">
        <v>2025</v>
      </c>
      <c r="F190" s="1192">
        <v>46022</v>
      </c>
      <c r="G190" s="1205">
        <v>0</v>
      </c>
      <c r="H190" s="1203">
        <v>0</v>
      </c>
      <c r="I190" s="1203">
        <v>0</v>
      </c>
      <c r="J190" s="1298">
        <v>0</v>
      </c>
      <c r="K190" s="1211"/>
    </row>
    <row r="191" spans="1:11">
      <c r="A191" s="1187">
        <v>191</v>
      </c>
      <c r="B191" s="1188"/>
      <c r="C191" s="1189" t="s">
        <v>326</v>
      </c>
      <c r="D191" s="1190" t="s">
        <v>6520</v>
      </c>
      <c r="E191" s="1191">
        <v>2025</v>
      </c>
      <c r="F191" s="1192">
        <v>46022</v>
      </c>
      <c r="G191" s="1205">
        <v>0</v>
      </c>
      <c r="H191" s="1203">
        <v>0</v>
      </c>
      <c r="I191" s="1203">
        <v>0</v>
      </c>
      <c r="J191" s="1298">
        <v>0</v>
      </c>
      <c r="K191" s="1211"/>
    </row>
    <row r="192" spans="1:11" ht="22.5">
      <c r="A192" s="1187">
        <v>192</v>
      </c>
      <c r="B192" s="1188"/>
      <c r="C192" s="1189" t="s">
        <v>6521</v>
      </c>
      <c r="D192" s="1190" t="s">
        <v>11219</v>
      </c>
      <c r="E192" s="1191">
        <v>2025</v>
      </c>
      <c r="F192" s="1192">
        <v>46022</v>
      </c>
      <c r="G192" s="1205">
        <v>0</v>
      </c>
      <c r="H192" s="1203">
        <v>0</v>
      </c>
      <c r="I192" s="1203">
        <v>0</v>
      </c>
      <c r="J192" s="1298">
        <v>0</v>
      </c>
      <c r="K192" s="1211"/>
    </row>
    <row r="193" spans="1:11">
      <c r="A193" s="1187">
        <v>193</v>
      </c>
      <c r="B193" s="1188" t="s">
        <v>1349</v>
      </c>
      <c r="C193" s="1189" t="s">
        <v>327</v>
      </c>
      <c r="D193" s="1190" t="s">
        <v>6530</v>
      </c>
      <c r="E193" s="1191">
        <v>2025</v>
      </c>
      <c r="F193" s="1192">
        <v>46022</v>
      </c>
      <c r="G193" s="1205">
        <v>0</v>
      </c>
      <c r="H193" s="1203">
        <v>0</v>
      </c>
      <c r="I193" s="1203">
        <v>0</v>
      </c>
      <c r="J193" s="1298">
        <v>0</v>
      </c>
      <c r="K193" s="1211"/>
    </row>
    <row r="194" spans="1:11" ht="22.5">
      <c r="A194" s="1187">
        <v>194</v>
      </c>
      <c r="B194" s="1201" t="s">
        <v>1349</v>
      </c>
      <c r="C194" s="1189" t="s">
        <v>6531</v>
      </c>
      <c r="D194" s="1190" t="s">
        <v>11220</v>
      </c>
      <c r="E194" s="1191">
        <v>2025</v>
      </c>
      <c r="F194" s="1192">
        <v>46022</v>
      </c>
      <c r="G194" s="1205">
        <v>0</v>
      </c>
      <c r="H194" s="1203">
        <v>0</v>
      </c>
      <c r="I194" s="1203">
        <v>0</v>
      </c>
      <c r="J194" s="1298">
        <v>0</v>
      </c>
      <c r="K194" s="1211"/>
    </row>
    <row r="195" spans="1:11">
      <c r="A195" s="1187">
        <v>195</v>
      </c>
      <c r="B195" s="1188"/>
      <c r="C195" s="1189" t="s">
        <v>328</v>
      </c>
      <c r="D195" s="1190" t="s">
        <v>6541</v>
      </c>
      <c r="E195" s="1191">
        <v>2025</v>
      </c>
      <c r="F195" s="1192">
        <v>46022</v>
      </c>
      <c r="G195" s="1205">
        <v>0</v>
      </c>
      <c r="H195" s="1203">
        <v>0</v>
      </c>
      <c r="I195" s="1203">
        <v>0</v>
      </c>
      <c r="J195" s="1298">
        <v>0</v>
      </c>
      <c r="K195" s="1211"/>
    </row>
    <row r="196" spans="1:11">
      <c r="A196" s="1187">
        <v>196</v>
      </c>
      <c r="B196" s="1201"/>
      <c r="C196" s="1189" t="s">
        <v>329</v>
      </c>
      <c r="D196" s="1190" t="s">
        <v>11221</v>
      </c>
      <c r="E196" s="1191">
        <v>2025</v>
      </c>
      <c r="F196" s="1192">
        <v>46022</v>
      </c>
      <c r="G196" s="1204">
        <v>0</v>
      </c>
      <c r="H196" s="1194">
        <v>0</v>
      </c>
      <c r="I196" s="1194">
        <v>0</v>
      </c>
      <c r="J196" s="1295">
        <v>0</v>
      </c>
      <c r="K196" s="1211"/>
    </row>
    <row r="197" spans="1:11" ht="22.5">
      <c r="A197" s="1187">
        <v>197</v>
      </c>
      <c r="B197" s="1188"/>
      <c r="C197" s="1189" t="s">
        <v>330</v>
      </c>
      <c r="D197" s="1190" t="s">
        <v>6558</v>
      </c>
      <c r="E197" s="1191">
        <v>2025</v>
      </c>
      <c r="F197" s="1192">
        <v>46022</v>
      </c>
      <c r="G197" s="1205">
        <v>0</v>
      </c>
      <c r="H197" s="1203">
        <v>0</v>
      </c>
      <c r="I197" s="1203">
        <v>0</v>
      </c>
      <c r="J197" s="1298">
        <v>0</v>
      </c>
      <c r="K197" s="1211"/>
    </row>
    <row r="198" spans="1:11" ht="22.5">
      <c r="A198" s="1187">
        <v>198</v>
      </c>
      <c r="B198" s="1188"/>
      <c r="C198" s="1189" t="s">
        <v>6559</v>
      </c>
      <c r="D198" s="1190" t="s">
        <v>6563</v>
      </c>
      <c r="E198" s="1191">
        <v>2025</v>
      </c>
      <c r="F198" s="1192">
        <v>46022</v>
      </c>
      <c r="G198" s="1205">
        <v>0</v>
      </c>
      <c r="H198" s="1203">
        <v>0</v>
      </c>
      <c r="I198" s="1203">
        <v>0</v>
      </c>
      <c r="J198" s="1298">
        <v>0</v>
      </c>
      <c r="K198" s="1211"/>
    </row>
    <row r="199" spans="1:11" ht="22.5">
      <c r="A199" s="1187">
        <v>199</v>
      </c>
      <c r="B199" s="1188"/>
      <c r="C199" s="1189" t="s">
        <v>332</v>
      </c>
      <c r="D199" s="1190" t="s">
        <v>11222</v>
      </c>
      <c r="E199" s="1191">
        <v>2025</v>
      </c>
      <c r="F199" s="1192">
        <v>46022</v>
      </c>
      <c r="G199" s="1205">
        <v>0</v>
      </c>
      <c r="H199" s="1203">
        <v>0</v>
      </c>
      <c r="I199" s="1203">
        <v>0</v>
      </c>
      <c r="J199" s="1298">
        <v>0</v>
      </c>
      <c r="K199" s="1211"/>
    </row>
    <row r="200" spans="1:11" ht="22.5">
      <c r="A200" s="1187">
        <v>200</v>
      </c>
      <c r="B200" s="1188"/>
      <c r="C200" s="1189" t="s">
        <v>6568</v>
      </c>
      <c r="D200" s="1190" t="s">
        <v>6572</v>
      </c>
      <c r="E200" s="1191">
        <v>2025</v>
      </c>
      <c r="F200" s="1192">
        <v>46022</v>
      </c>
      <c r="G200" s="1205">
        <v>0</v>
      </c>
      <c r="H200" s="1203">
        <v>0</v>
      </c>
      <c r="I200" s="1203">
        <v>0</v>
      </c>
      <c r="J200" s="1298">
        <v>0</v>
      </c>
      <c r="K200" s="1211"/>
    </row>
    <row r="201" spans="1:11" ht="22.5">
      <c r="A201" s="1187">
        <v>201</v>
      </c>
      <c r="B201" s="1188"/>
      <c r="C201" s="1189" t="s">
        <v>333</v>
      </c>
      <c r="D201" s="1190" t="s">
        <v>6576</v>
      </c>
      <c r="E201" s="1191">
        <v>2025</v>
      </c>
      <c r="F201" s="1192">
        <v>46022</v>
      </c>
      <c r="G201" s="1205">
        <v>0</v>
      </c>
      <c r="H201" s="1203">
        <v>0</v>
      </c>
      <c r="I201" s="1203">
        <v>0</v>
      </c>
      <c r="J201" s="1298">
        <v>0</v>
      </c>
      <c r="K201" s="1211"/>
    </row>
    <row r="202" spans="1:11" ht="22.5">
      <c r="A202" s="1187">
        <v>202</v>
      </c>
      <c r="B202" s="1188"/>
      <c r="C202" s="1189" t="s">
        <v>6577</v>
      </c>
      <c r="D202" s="1190" t="s">
        <v>6581</v>
      </c>
      <c r="E202" s="1191">
        <v>2025</v>
      </c>
      <c r="F202" s="1192">
        <v>46022</v>
      </c>
      <c r="G202" s="1205">
        <v>0</v>
      </c>
      <c r="H202" s="1203">
        <v>0</v>
      </c>
      <c r="I202" s="1203">
        <v>0</v>
      </c>
      <c r="J202" s="1298">
        <v>0</v>
      </c>
      <c r="K202" s="1211"/>
    </row>
    <row r="203" spans="1:11" ht="22.5">
      <c r="A203" s="1187">
        <v>203</v>
      </c>
      <c r="B203" s="1188"/>
      <c r="C203" s="1189" t="s">
        <v>334</v>
      </c>
      <c r="D203" s="1190" t="s">
        <v>11223</v>
      </c>
      <c r="E203" s="1191">
        <v>2025</v>
      </c>
      <c r="F203" s="1192">
        <v>46022</v>
      </c>
      <c r="G203" s="1205">
        <v>0</v>
      </c>
      <c r="H203" s="1203">
        <v>0</v>
      </c>
      <c r="I203" s="1203">
        <v>0</v>
      </c>
      <c r="J203" s="1298">
        <v>0</v>
      </c>
      <c r="K203" s="1211"/>
    </row>
    <row r="204" spans="1:11" ht="22.5">
      <c r="A204" s="1187">
        <v>204</v>
      </c>
      <c r="B204" s="1188"/>
      <c r="C204" s="1189" t="s">
        <v>6586</v>
      </c>
      <c r="D204" s="1190" t="s">
        <v>6591</v>
      </c>
      <c r="E204" s="1191">
        <v>2025</v>
      </c>
      <c r="F204" s="1192">
        <v>46022</v>
      </c>
      <c r="G204" s="1205">
        <v>0</v>
      </c>
      <c r="H204" s="1203">
        <v>0</v>
      </c>
      <c r="I204" s="1203">
        <v>0</v>
      </c>
      <c r="J204" s="1298">
        <v>0</v>
      </c>
      <c r="K204" s="1211"/>
    </row>
    <row r="205" spans="1:11" ht="22.5">
      <c r="A205" s="1187">
        <v>205</v>
      </c>
      <c r="B205" s="1201"/>
      <c r="C205" s="1189" t="s">
        <v>336</v>
      </c>
      <c r="D205" s="1190" t="s">
        <v>6596</v>
      </c>
      <c r="E205" s="1191">
        <v>2025</v>
      </c>
      <c r="F205" s="1192">
        <v>46022</v>
      </c>
      <c r="G205" s="1205">
        <v>0</v>
      </c>
      <c r="H205" s="1203">
        <v>0</v>
      </c>
      <c r="I205" s="1203">
        <v>0</v>
      </c>
      <c r="J205" s="1298">
        <v>0</v>
      </c>
      <c r="K205" s="1211"/>
    </row>
    <row r="206" spans="1:11" ht="33.75">
      <c r="A206" s="1187">
        <v>206</v>
      </c>
      <c r="B206" s="1188"/>
      <c r="C206" s="1189" t="s">
        <v>6597</v>
      </c>
      <c r="D206" s="1190" t="s">
        <v>6601</v>
      </c>
      <c r="E206" s="1191">
        <v>2025</v>
      </c>
      <c r="F206" s="1192">
        <v>46022</v>
      </c>
      <c r="G206" s="1205">
        <v>0</v>
      </c>
      <c r="H206" s="1203">
        <v>0</v>
      </c>
      <c r="I206" s="1203">
        <v>0</v>
      </c>
      <c r="J206" s="1298">
        <v>0</v>
      </c>
      <c r="K206" s="1211"/>
    </row>
    <row r="207" spans="1:11">
      <c r="A207" s="1187">
        <v>207</v>
      </c>
      <c r="B207" s="1201"/>
      <c r="C207" s="1189" t="s">
        <v>6602</v>
      </c>
      <c r="D207" s="1190" t="s">
        <v>6604</v>
      </c>
      <c r="E207" s="1191">
        <v>2025</v>
      </c>
      <c r="F207" s="1192">
        <v>46022</v>
      </c>
      <c r="G207" s="1204">
        <v>0</v>
      </c>
      <c r="H207" s="1194">
        <v>0</v>
      </c>
      <c r="I207" s="1194">
        <v>0</v>
      </c>
      <c r="J207" s="1295">
        <v>0</v>
      </c>
      <c r="K207" s="1211"/>
    </row>
    <row r="208" spans="1:11" ht="22.5">
      <c r="A208" s="1187">
        <v>208</v>
      </c>
      <c r="B208" s="1188" t="s">
        <v>1519</v>
      </c>
      <c r="C208" s="1189" t="s">
        <v>337</v>
      </c>
      <c r="D208" s="1190" t="s">
        <v>6608</v>
      </c>
      <c r="E208" s="1191">
        <v>2025</v>
      </c>
      <c r="F208" s="1192">
        <v>46022</v>
      </c>
      <c r="G208" s="1202">
        <v>0</v>
      </c>
      <c r="H208" s="1203">
        <v>0</v>
      </c>
      <c r="I208" s="1203">
        <v>0</v>
      </c>
      <c r="J208" s="1298">
        <v>0</v>
      </c>
      <c r="K208" s="1211"/>
    </row>
    <row r="209" spans="1:11">
      <c r="A209" s="1187">
        <v>209</v>
      </c>
      <c r="B209" s="1201"/>
      <c r="C209" s="1189" t="s">
        <v>338</v>
      </c>
      <c r="D209" s="1190" t="s">
        <v>6612</v>
      </c>
      <c r="E209" s="1191">
        <v>2025</v>
      </c>
      <c r="F209" s="1192">
        <v>46022</v>
      </c>
      <c r="G209" s="1202">
        <v>0</v>
      </c>
      <c r="H209" s="1203">
        <v>0</v>
      </c>
      <c r="I209" s="1203">
        <v>0</v>
      </c>
      <c r="J209" s="1298">
        <v>0</v>
      </c>
      <c r="K209" s="1211"/>
    </row>
    <row r="210" spans="1:11" ht="22.5">
      <c r="A210" s="1187">
        <v>210</v>
      </c>
      <c r="B210" s="1188" t="s">
        <v>1340</v>
      </c>
      <c r="C210" s="1189" t="s">
        <v>339</v>
      </c>
      <c r="D210" s="1190" t="s">
        <v>6617</v>
      </c>
      <c r="E210" s="1191">
        <v>2025</v>
      </c>
      <c r="F210" s="1192">
        <v>46022</v>
      </c>
      <c r="G210" s="1202">
        <v>0</v>
      </c>
      <c r="H210" s="1203">
        <v>0</v>
      </c>
      <c r="I210" s="1203">
        <v>0</v>
      </c>
      <c r="J210" s="1298">
        <v>0</v>
      </c>
      <c r="K210" s="1211"/>
    </row>
    <row r="211" spans="1:11">
      <c r="A211" s="1187">
        <v>211</v>
      </c>
      <c r="B211" s="1188"/>
      <c r="C211" s="1189" t="s">
        <v>340</v>
      </c>
      <c r="D211" s="1190" t="s">
        <v>6622</v>
      </c>
      <c r="E211" s="1191">
        <v>2025</v>
      </c>
      <c r="F211" s="1192">
        <v>46022</v>
      </c>
      <c r="G211" s="1202">
        <v>0</v>
      </c>
      <c r="H211" s="1203">
        <v>0</v>
      </c>
      <c r="I211" s="1203">
        <v>0</v>
      </c>
      <c r="J211" s="1298">
        <v>0</v>
      </c>
      <c r="K211" s="1211"/>
    </row>
    <row r="212" spans="1:11">
      <c r="A212" s="1187">
        <v>212</v>
      </c>
      <c r="B212" s="1188"/>
      <c r="C212" s="1189" t="s">
        <v>341</v>
      </c>
      <c r="D212" s="1190" t="s">
        <v>6627</v>
      </c>
      <c r="E212" s="1191">
        <v>2025</v>
      </c>
      <c r="F212" s="1192">
        <v>46022</v>
      </c>
      <c r="G212" s="1202">
        <v>0</v>
      </c>
      <c r="H212" s="1203">
        <v>0</v>
      </c>
      <c r="I212" s="1203">
        <v>0</v>
      </c>
      <c r="J212" s="1298">
        <v>0</v>
      </c>
      <c r="K212" s="1211"/>
    </row>
    <row r="213" spans="1:11">
      <c r="A213" s="1187">
        <v>213</v>
      </c>
      <c r="B213" s="1188"/>
      <c r="C213" s="1189" t="s">
        <v>6628</v>
      </c>
      <c r="D213" s="1190" t="s">
        <v>6630</v>
      </c>
      <c r="E213" s="1191">
        <v>2025</v>
      </c>
      <c r="F213" s="1192">
        <v>46022</v>
      </c>
      <c r="G213" s="1204">
        <v>0</v>
      </c>
      <c r="H213" s="1194">
        <v>0</v>
      </c>
      <c r="I213" s="1194">
        <v>0</v>
      </c>
      <c r="J213" s="1295">
        <v>0</v>
      </c>
      <c r="K213" s="1211"/>
    </row>
    <row r="214" spans="1:11" ht="22.5">
      <c r="A214" s="1187">
        <v>214</v>
      </c>
      <c r="B214" s="1188" t="s">
        <v>1519</v>
      </c>
      <c r="C214" s="1189" t="s">
        <v>342</v>
      </c>
      <c r="D214" s="1190" t="s">
        <v>6634</v>
      </c>
      <c r="E214" s="1191">
        <v>2025</v>
      </c>
      <c r="F214" s="1192">
        <v>46022</v>
      </c>
      <c r="G214" s="1202">
        <v>0</v>
      </c>
      <c r="H214" s="1203">
        <v>0</v>
      </c>
      <c r="I214" s="1203">
        <v>0</v>
      </c>
      <c r="J214" s="1298">
        <v>0</v>
      </c>
      <c r="K214" s="1211"/>
    </row>
    <row r="215" spans="1:11">
      <c r="A215" s="1187">
        <v>215</v>
      </c>
      <c r="B215" s="1188"/>
      <c r="C215" s="1189" t="s">
        <v>343</v>
      </c>
      <c r="D215" s="1190" t="s">
        <v>6638</v>
      </c>
      <c r="E215" s="1191">
        <v>2025</v>
      </c>
      <c r="F215" s="1192">
        <v>46022</v>
      </c>
      <c r="G215" s="1202">
        <v>0</v>
      </c>
      <c r="H215" s="1203">
        <v>0</v>
      </c>
      <c r="I215" s="1203">
        <v>0</v>
      </c>
      <c r="J215" s="1298">
        <v>0</v>
      </c>
      <c r="K215" s="1211"/>
    </row>
    <row r="216" spans="1:11">
      <c r="A216" s="1187">
        <v>216</v>
      </c>
      <c r="B216" s="1188" t="s">
        <v>1349</v>
      </c>
      <c r="C216" s="1189" t="s">
        <v>344</v>
      </c>
      <c r="D216" s="1190" t="s">
        <v>6642</v>
      </c>
      <c r="E216" s="1191">
        <v>2025</v>
      </c>
      <c r="F216" s="1192">
        <v>46022</v>
      </c>
      <c r="G216" s="1202">
        <v>0</v>
      </c>
      <c r="H216" s="1203">
        <v>0</v>
      </c>
      <c r="I216" s="1203">
        <v>0</v>
      </c>
      <c r="J216" s="1298">
        <v>0</v>
      </c>
      <c r="K216" s="1211"/>
    </row>
    <row r="217" spans="1:11">
      <c r="A217" s="1187">
        <v>217</v>
      </c>
      <c r="B217" s="1188"/>
      <c r="C217" s="1189" t="s">
        <v>345</v>
      </c>
      <c r="D217" s="1190" t="s">
        <v>6647</v>
      </c>
      <c r="E217" s="1191">
        <v>2025</v>
      </c>
      <c r="F217" s="1192">
        <v>46022</v>
      </c>
      <c r="G217" s="1202">
        <v>0</v>
      </c>
      <c r="H217" s="1203">
        <v>0</v>
      </c>
      <c r="I217" s="1203">
        <v>0</v>
      </c>
      <c r="J217" s="1298">
        <v>0</v>
      </c>
      <c r="K217" s="1211"/>
    </row>
    <row r="218" spans="1:11">
      <c r="A218" s="1187">
        <v>218</v>
      </c>
      <c r="B218" s="1188"/>
      <c r="C218" s="1189" t="s">
        <v>6648</v>
      </c>
      <c r="D218" s="1190" t="s">
        <v>6650</v>
      </c>
      <c r="E218" s="1191">
        <v>2025</v>
      </c>
      <c r="F218" s="1192">
        <v>46022</v>
      </c>
      <c r="G218" s="1204">
        <v>0</v>
      </c>
      <c r="H218" s="1194">
        <v>0</v>
      </c>
      <c r="I218" s="1194">
        <v>0</v>
      </c>
      <c r="J218" s="1295">
        <v>0</v>
      </c>
      <c r="K218" s="1211"/>
    </row>
    <row r="219" spans="1:11" ht="22.5">
      <c r="A219" s="1187">
        <v>219</v>
      </c>
      <c r="B219" s="1188" t="s">
        <v>1519</v>
      </c>
      <c r="C219" s="1189" t="s">
        <v>346</v>
      </c>
      <c r="D219" s="1190" t="s">
        <v>6654</v>
      </c>
      <c r="E219" s="1191">
        <v>2025</v>
      </c>
      <c r="F219" s="1192">
        <v>46022</v>
      </c>
      <c r="G219" s="1202">
        <v>0</v>
      </c>
      <c r="H219" s="1203">
        <v>0</v>
      </c>
      <c r="I219" s="1203">
        <v>0</v>
      </c>
      <c r="J219" s="1298">
        <v>0</v>
      </c>
      <c r="K219" s="1211"/>
    </row>
    <row r="220" spans="1:11">
      <c r="A220" s="1187">
        <v>220</v>
      </c>
      <c r="B220" s="1188"/>
      <c r="C220" s="1189" t="s">
        <v>347</v>
      </c>
      <c r="D220" s="1190" t="s">
        <v>6658</v>
      </c>
      <c r="E220" s="1191">
        <v>2025</v>
      </c>
      <c r="F220" s="1192">
        <v>46022</v>
      </c>
      <c r="G220" s="1202">
        <v>0</v>
      </c>
      <c r="H220" s="1203">
        <v>0</v>
      </c>
      <c r="I220" s="1203">
        <v>0</v>
      </c>
      <c r="J220" s="1298">
        <v>0</v>
      </c>
      <c r="K220" s="1211"/>
    </row>
    <row r="221" spans="1:11">
      <c r="A221" s="1187">
        <v>221</v>
      </c>
      <c r="B221" s="1188" t="s">
        <v>1349</v>
      </c>
      <c r="C221" s="1189" t="s">
        <v>348</v>
      </c>
      <c r="D221" s="1190" t="s">
        <v>6662</v>
      </c>
      <c r="E221" s="1191">
        <v>2025</v>
      </c>
      <c r="F221" s="1192">
        <v>46022</v>
      </c>
      <c r="G221" s="1202">
        <v>0</v>
      </c>
      <c r="H221" s="1203">
        <v>0</v>
      </c>
      <c r="I221" s="1203">
        <v>0</v>
      </c>
      <c r="J221" s="1298">
        <v>0</v>
      </c>
      <c r="K221" s="1211"/>
    </row>
    <row r="222" spans="1:11">
      <c r="A222" s="1187">
        <v>222</v>
      </c>
      <c r="B222" s="1188"/>
      <c r="C222" s="1189" t="s">
        <v>349</v>
      </c>
      <c r="D222" s="1190" t="s">
        <v>6666</v>
      </c>
      <c r="E222" s="1191">
        <v>2025</v>
      </c>
      <c r="F222" s="1192">
        <v>46022</v>
      </c>
      <c r="G222" s="1202">
        <v>0</v>
      </c>
      <c r="H222" s="1203">
        <v>0</v>
      </c>
      <c r="I222" s="1203">
        <v>0</v>
      </c>
      <c r="J222" s="1298">
        <v>0</v>
      </c>
      <c r="K222" s="1211"/>
    </row>
    <row r="223" spans="1:11">
      <c r="A223" s="1187">
        <v>223</v>
      </c>
      <c r="B223" s="1188"/>
      <c r="C223" s="1189" t="s">
        <v>6667</v>
      </c>
      <c r="D223" s="1190" t="s">
        <v>6669</v>
      </c>
      <c r="E223" s="1191">
        <v>2025</v>
      </c>
      <c r="F223" s="1192">
        <v>46022</v>
      </c>
      <c r="G223" s="1204">
        <v>149372.12</v>
      </c>
      <c r="H223" s="1194">
        <v>48421.04</v>
      </c>
      <c r="I223" s="1194">
        <v>100951.07999999999</v>
      </c>
      <c r="J223" s="1295">
        <v>2.0848598047460358</v>
      </c>
      <c r="K223" s="1211"/>
    </row>
    <row r="224" spans="1:11" ht="22.5">
      <c r="A224" s="1187">
        <v>224</v>
      </c>
      <c r="B224" s="1188" t="s">
        <v>1519</v>
      </c>
      <c r="C224" s="1189" t="s">
        <v>350</v>
      </c>
      <c r="D224" s="1190" t="s">
        <v>6673</v>
      </c>
      <c r="E224" s="1191">
        <v>2025</v>
      </c>
      <c r="F224" s="1192">
        <v>46022</v>
      </c>
      <c r="G224" s="1202">
        <v>12256.56</v>
      </c>
      <c r="H224" s="1203">
        <v>0</v>
      </c>
      <c r="I224" s="1203">
        <v>12256.56</v>
      </c>
      <c r="J224" s="1298">
        <v>1</v>
      </c>
      <c r="K224" s="1211"/>
    </row>
    <row r="225" spans="1:11">
      <c r="A225" s="1187">
        <v>225</v>
      </c>
      <c r="B225" s="1188"/>
      <c r="C225" s="1189" t="s">
        <v>351</v>
      </c>
      <c r="D225" s="1190" t="s">
        <v>6677</v>
      </c>
      <c r="E225" s="1191">
        <v>2025</v>
      </c>
      <c r="F225" s="1192">
        <v>46022</v>
      </c>
      <c r="G225" s="1202">
        <v>82512.639999999999</v>
      </c>
      <c r="H225" s="1203">
        <v>48421.04</v>
      </c>
      <c r="I225" s="1203">
        <v>34091.599999999999</v>
      </c>
      <c r="J225" s="1298">
        <v>0.70406583584326143</v>
      </c>
      <c r="K225" s="1211"/>
    </row>
    <row r="226" spans="1:11">
      <c r="A226" s="1187">
        <v>226</v>
      </c>
      <c r="B226" s="1188" t="s">
        <v>1349</v>
      </c>
      <c r="C226" s="1189" t="s">
        <v>352</v>
      </c>
      <c r="D226" s="1190" t="s">
        <v>6680</v>
      </c>
      <c r="E226" s="1191">
        <v>2025</v>
      </c>
      <c r="F226" s="1192">
        <v>46022</v>
      </c>
      <c r="G226" s="1202">
        <v>0</v>
      </c>
      <c r="H226" s="1203">
        <v>0</v>
      </c>
      <c r="I226" s="1203">
        <v>0</v>
      </c>
      <c r="J226" s="1298">
        <v>0</v>
      </c>
      <c r="K226" s="1211"/>
    </row>
    <row r="227" spans="1:11">
      <c r="A227" s="1187">
        <v>227</v>
      </c>
      <c r="B227" s="1188"/>
      <c r="C227" s="1189" t="s">
        <v>353</v>
      </c>
      <c r="D227" s="1190" t="s">
        <v>11224</v>
      </c>
      <c r="E227" s="1191">
        <v>2025</v>
      </c>
      <c r="F227" s="1192">
        <v>46022</v>
      </c>
      <c r="G227" s="1204">
        <v>54602.92</v>
      </c>
      <c r="H227" s="1194">
        <v>0</v>
      </c>
      <c r="I227" s="1194">
        <v>54602.92</v>
      </c>
      <c r="J227" s="1295">
        <v>1</v>
      </c>
      <c r="K227" s="1211"/>
    </row>
    <row r="228" spans="1:11" ht="22.5">
      <c r="A228" s="1187">
        <v>228</v>
      </c>
      <c r="B228" s="1188"/>
      <c r="C228" s="1189" t="s">
        <v>354</v>
      </c>
      <c r="D228" s="1190" t="s">
        <v>6684</v>
      </c>
      <c r="E228" s="1191">
        <v>2025</v>
      </c>
      <c r="F228" s="1192">
        <v>46022</v>
      </c>
      <c r="G228" s="1202">
        <v>0</v>
      </c>
      <c r="H228" s="1203">
        <v>0</v>
      </c>
      <c r="I228" s="1203">
        <v>0</v>
      </c>
      <c r="J228" s="1298">
        <v>0</v>
      </c>
      <c r="K228" s="1211"/>
    </row>
    <row r="229" spans="1:11" ht="22.5">
      <c r="A229" s="1187">
        <v>229</v>
      </c>
      <c r="B229" s="1188"/>
      <c r="C229" s="1189" t="s">
        <v>355</v>
      </c>
      <c r="D229" s="1190" t="s">
        <v>6688</v>
      </c>
      <c r="E229" s="1191">
        <v>2025</v>
      </c>
      <c r="F229" s="1192">
        <v>46022</v>
      </c>
      <c r="G229" s="1202">
        <v>0</v>
      </c>
      <c r="H229" s="1203">
        <v>0</v>
      </c>
      <c r="I229" s="1203">
        <v>0</v>
      </c>
      <c r="J229" s="1298">
        <v>0</v>
      </c>
      <c r="K229" s="1211"/>
    </row>
    <row r="230" spans="1:11" ht="22.5">
      <c r="A230" s="1187">
        <v>230</v>
      </c>
      <c r="B230" s="1201"/>
      <c r="C230" s="1189" t="s">
        <v>356</v>
      </c>
      <c r="D230" s="1190" t="s">
        <v>6692</v>
      </c>
      <c r="E230" s="1191">
        <v>2025</v>
      </c>
      <c r="F230" s="1192">
        <v>46022</v>
      </c>
      <c r="G230" s="1202">
        <v>54602.92</v>
      </c>
      <c r="H230" s="1203">
        <v>0</v>
      </c>
      <c r="I230" s="1203">
        <v>54602.92</v>
      </c>
      <c r="J230" s="1298">
        <v>1</v>
      </c>
      <c r="K230" s="1211"/>
    </row>
    <row r="231" spans="1:11" ht="22.5">
      <c r="A231" s="1187">
        <v>231</v>
      </c>
      <c r="B231" s="1188"/>
      <c r="C231" s="1189" t="s">
        <v>357</v>
      </c>
      <c r="D231" s="1190" t="s">
        <v>6696</v>
      </c>
      <c r="E231" s="1191">
        <v>2025</v>
      </c>
      <c r="F231" s="1192">
        <v>46022</v>
      </c>
      <c r="G231" s="1202">
        <v>0</v>
      </c>
      <c r="H231" s="1203">
        <v>0</v>
      </c>
      <c r="I231" s="1203">
        <v>0</v>
      </c>
      <c r="J231" s="1298">
        <v>0</v>
      </c>
      <c r="K231" s="1211"/>
    </row>
    <row r="232" spans="1:11" ht="22.5">
      <c r="A232" s="1187">
        <v>232</v>
      </c>
      <c r="B232" s="1188"/>
      <c r="C232" s="1189" t="s">
        <v>359</v>
      </c>
      <c r="D232" s="1190" t="s">
        <v>6700</v>
      </c>
      <c r="E232" s="1191">
        <v>2025</v>
      </c>
      <c r="F232" s="1192">
        <v>46022</v>
      </c>
      <c r="G232" s="1202">
        <v>0</v>
      </c>
      <c r="H232" s="1203">
        <v>0</v>
      </c>
      <c r="I232" s="1203">
        <v>0</v>
      </c>
      <c r="J232" s="1298">
        <v>0</v>
      </c>
      <c r="K232" s="1211"/>
    </row>
    <row r="233" spans="1:11" ht="22.5">
      <c r="A233" s="1187">
        <v>233</v>
      </c>
      <c r="B233" s="1188"/>
      <c r="C233" s="1189" t="s">
        <v>6701</v>
      </c>
      <c r="D233" s="1190" t="s">
        <v>6703</v>
      </c>
      <c r="E233" s="1191">
        <v>2025</v>
      </c>
      <c r="F233" s="1192">
        <v>46022</v>
      </c>
      <c r="G233" s="1204">
        <v>0</v>
      </c>
      <c r="H233" s="1194">
        <v>0</v>
      </c>
      <c r="I233" s="1194">
        <v>0</v>
      </c>
      <c r="J233" s="1295">
        <v>0</v>
      </c>
      <c r="K233" s="1211"/>
    </row>
    <row r="234" spans="1:11" ht="22.5">
      <c r="A234" s="1187">
        <v>234</v>
      </c>
      <c r="B234" s="1201" t="s">
        <v>1519</v>
      </c>
      <c r="C234" s="1189" t="s">
        <v>360</v>
      </c>
      <c r="D234" s="1190" t="s">
        <v>6708</v>
      </c>
      <c r="E234" s="1191">
        <v>2025</v>
      </c>
      <c r="F234" s="1192">
        <v>46022</v>
      </c>
      <c r="G234" s="1205">
        <v>0</v>
      </c>
      <c r="H234" s="1203">
        <v>0</v>
      </c>
      <c r="I234" s="1203">
        <v>0</v>
      </c>
      <c r="J234" s="1298">
        <v>0</v>
      </c>
      <c r="K234" s="1211"/>
    </row>
    <row r="235" spans="1:11">
      <c r="A235" s="1187">
        <v>235</v>
      </c>
      <c r="B235" s="1188"/>
      <c r="C235" s="1189" t="s">
        <v>361</v>
      </c>
      <c r="D235" s="1190" t="s">
        <v>6713</v>
      </c>
      <c r="E235" s="1191">
        <v>2025</v>
      </c>
      <c r="F235" s="1192">
        <v>46022</v>
      </c>
      <c r="G235" s="1205">
        <v>0</v>
      </c>
      <c r="H235" s="1203">
        <v>0</v>
      </c>
      <c r="I235" s="1203">
        <v>0</v>
      </c>
      <c r="J235" s="1298">
        <v>0</v>
      </c>
      <c r="K235" s="1211"/>
    </row>
    <row r="236" spans="1:11" ht="22.5">
      <c r="A236" s="1187">
        <v>236</v>
      </c>
      <c r="B236" s="1188" t="s">
        <v>1340</v>
      </c>
      <c r="C236" s="1189" t="s">
        <v>362</v>
      </c>
      <c r="D236" s="1190" t="s">
        <v>6718</v>
      </c>
      <c r="E236" s="1191">
        <v>2025</v>
      </c>
      <c r="F236" s="1192">
        <v>46022</v>
      </c>
      <c r="G236" s="1205">
        <v>0</v>
      </c>
      <c r="H236" s="1203">
        <v>0</v>
      </c>
      <c r="I236" s="1203">
        <v>0</v>
      </c>
      <c r="J236" s="1298">
        <v>0</v>
      </c>
      <c r="K236" s="1211"/>
    </row>
    <row r="237" spans="1:11">
      <c r="A237" s="1187">
        <v>237</v>
      </c>
      <c r="B237" s="1188"/>
      <c r="C237" s="1189" t="s">
        <v>363</v>
      </c>
      <c r="D237" s="1190" t="s">
        <v>6723</v>
      </c>
      <c r="E237" s="1191">
        <v>2025</v>
      </c>
      <c r="F237" s="1192">
        <v>46022</v>
      </c>
      <c r="G237" s="1205">
        <v>0</v>
      </c>
      <c r="H237" s="1203">
        <v>0</v>
      </c>
      <c r="I237" s="1203">
        <v>0</v>
      </c>
      <c r="J237" s="1298">
        <v>0</v>
      </c>
      <c r="K237" s="1211"/>
    </row>
    <row r="238" spans="1:11">
      <c r="A238" s="1187">
        <v>238</v>
      </c>
      <c r="B238" s="1188"/>
      <c r="C238" s="1189" t="s">
        <v>364</v>
      </c>
      <c r="D238" s="1190" t="s">
        <v>6728</v>
      </c>
      <c r="E238" s="1191">
        <v>2025</v>
      </c>
      <c r="F238" s="1192">
        <v>46022</v>
      </c>
      <c r="G238" s="1205">
        <v>0</v>
      </c>
      <c r="H238" s="1203">
        <v>0</v>
      </c>
      <c r="I238" s="1203">
        <v>0</v>
      </c>
      <c r="J238" s="1298">
        <v>0</v>
      </c>
      <c r="K238" s="1211"/>
    </row>
    <row r="239" spans="1:11">
      <c r="A239" s="1187">
        <v>239</v>
      </c>
      <c r="B239" s="1188"/>
      <c r="C239" s="1189" t="s">
        <v>6729</v>
      </c>
      <c r="D239" s="1190" t="s">
        <v>6731</v>
      </c>
      <c r="E239" s="1191">
        <v>2025</v>
      </c>
      <c r="F239" s="1192">
        <v>46022</v>
      </c>
      <c r="G239" s="1204">
        <v>0</v>
      </c>
      <c r="H239" s="1194">
        <v>0</v>
      </c>
      <c r="I239" s="1194">
        <v>0</v>
      </c>
      <c r="J239" s="1295">
        <v>0</v>
      </c>
      <c r="K239" s="1211"/>
    </row>
    <row r="240" spans="1:11" ht="22.5">
      <c r="A240" s="1187">
        <v>240</v>
      </c>
      <c r="B240" s="1188" t="s">
        <v>1519</v>
      </c>
      <c r="C240" s="1189" t="s">
        <v>365</v>
      </c>
      <c r="D240" s="1190" t="s">
        <v>6735</v>
      </c>
      <c r="E240" s="1191">
        <v>2025</v>
      </c>
      <c r="F240" s="1192">
        <v>46022</v>
      </c>
      <c r="G240" s="1202">
        <v>0</v>
      </c>
      <c r="H240" s="1203">
        <v>0</v>
      </c>
      <c r="I240" s="1203">
        <v>0</v>
      </c>
      <c r="J240" s="1298">
        <v>0</v>
      </c>
      <c r="K240" s="1211"/>
    </row>
    <row r="241" spans="1:11">
      <c r="A241" s="1187">
        <v>241</v>
      </c>
      <c r="B241" s="1188"/>
      <c r="C241" s="1189" t="s">
        <v>366</v>
      </c>
      <c r="D241" s="1190" t="s">
        <v>6739</v>
      </c>
      <c r="E241" s="1191">
        <v>2025</v>
      </c>
      <c r="F241" s="1192">
        <v>46022</v>
      </c>
      <c r="G241" s="1202">
        <v>0</v>
      </c>
      <c r="H241" s="1203">
        <v>0</v>
      </c>
      <c r="I241" s="1203">
        <v>0</v>
      </c>
      <c r="J241" s="1298">
        <v>0</v>
      </c>
      <c r="K241" s="1211"/>
    </row>
    <row r="242" spans="1:11">
      <c r="A242" s="1187">
        <v>242</v>
      </c>
      <c r="B242" s="1201" t="s">
        <v>1349</v>
      </c>
      <c r="C242" s="1189" t="s">
        <v>367</v>
      </c>
      <c r="D242" s="1190" t="s">
        <v>6743</v>
      </c>
      <c r="E242" s="1191">
        <v>2025</v>
      </c>
      <c r="F242" s="1192">
        <v>46022</v>
      </c>
      <c r="G242" s="1202">
        <v>0</v>
      </c>
      <c r="H242" s="1203">
        <v>0</v>
      </c>
      <c r="I242" s="1203">
        <v>0</v>
      </c>
      <c r="J242" s="1298">
        <v>0</v>
      </c>
      <c r="K242" s="1211"/>
    </row>
    <row r="243" spans="1:11">
      <c r="A243" s="1187">
        <v>243</v>
      </c>
      <c r="B243" s="1188"/>
      <c r="C243" s="1189" t="s">
        <v>368</v>
      </c>
      <c r="D243" s="1190" t="s">
        <v>6747</v>
      </c>
      <c r="E243" s="1191">
        <v>2025</v>
      </c>
      <c r="F243" s="1192">
        <v>46022</v>
      </c>
      <c r="G243" s="1202">
        <v>0</v>
      </c>
      <c r="H243" s="1203">
        <v>0</v>
      </c>
      <c r="I243" s="1203">
        <v>0</v>
      </c>
      <c r="J243" s="1298">
        <v>0</v>
      </c>
      <c r="K243" s="1211"/>
    </row>
    <row r="244" spans="1:11">
      <c r="A244" s="1187">
        <v>244</v>
      </c>
      <c r="B244" s="1201"/>
      <c r="C244" s="1189" t="s">
        <v>369</v>
      </c>
      <c r="D244" s="1190" t="s">
        <v>6754</v>
      </c>
      <c r="E244" s="1191">
        <v>2025</v>
      </c>
      <c r="F244" s="1192">
        <v>46022</v>
      </c>
      <c r="G244" s="1202">
        <v>0</v>
      </c>
      <c r="H244" s="1203">
        <v>0</v>
      </c>
      <c r="I244" s="1203">
        <v>0</v>
      </c>
      <c r="J244" s="1298">
        <v>0</v>
      </c>
      <c r="K244" s="1211"/>
    </row>
    <row r="245" spans="1:11" ht="22.5">
      <c r="A245" s="1187">
        <v>245</v>
      </c>
      <c r="B245" s="1188"/>
      <c r="C245" s="1189" t="s">
        <v>370</v>
      </c>
      <c r="D245" s="1190" t="s">
        <v>6758</v>
      </c>
      <c r="E245" s="1191">
        <v>2025</v>
      </c>
      <c r="F245" s="1192">
        <v>46022</v>
      </c>
      <c r="G245" s="1202">
        <v>0</v>
      </c>
      <c r="H245" s="1203">
        <v>0</v>
      </c>
      <c r="I245" s="1203">
        <v>0</v>
      </c>
      <c r="J245" s="1298">
        <v>0</v>
      </c>
      <c r="K245" s="1211"/>
    </row>
    <row r="246" spans="1:11">
      <c r="A246" s="1187">
        <v>246</v>
      </c>
      <c r="B246" s="1188"/>
      <c r="C246" s="1189" t="s">
        <v>6759</v>
      </c>
      <c r="D246" s="1190" t="s">
        <v>6761</v>
      </c>
      <c r="E246" s="1191">
        <v>2025</v>
      </c>
      <c r="F246" s="1192">
        <v>46022</v>
      </c>
      <c r="G246" s="1204">
        <v>0</v>
      </c>
      <c r="H246" s="1194">
        <v>0</v>
      </c>
      <c r="I246" s="1194">
        <v>0</v>
      </c>
      <c r="J246" s="1295">
        <v>0</v>
      </c>
      <c r="K246" s="1211"/>
    </row>
    <row r="247" spans="1:11" ht="22.5">
      <c r="A247" s="1187">
        <v>247</v>
      </c>
      <c r="B247" s="1188" t="s">
        <v>1519</v>
      </c>
      <c r="C247" s="1189" t="s">
        <v>371</v>
      </c>
      <c r="D247" s="1190" t="s">
        <v>6765</v>
      </c>
      <c r="E247" s="1191">
        <v>2025</v>
      </c>
      <c r="F247" s="1192">
        <v>46022</v>
      </c>
      <c r="G247" s="1205">
        <v>0</v>
      </c>
      <c r="H247" s="1203">
        <v>0</v>
      </c>
      <c r="I247" s="1203">
        <v>0</v>
      </c>
      <c r="J247" s="1298">
        <v>0</v>
      </c>
      <c r="K247" s="1211"/>
    </row>
    <row r="248" spans="1:11">
      <c r="A248" s="1187">
        <v>248</v>
      </c>
      <c r="B248" s="1188"/>
      <c r="C248" s="1189" t="s">
        <v>372</v>
      </c>
      <c r="D248" s="1190" t="s">
        <v>6769</v>
      </c>
      <c r="E248" s="1191">
        <v>2025</v>
      </c>
      <c r="F248" s="1192">
        <v>46022</v>
      </c>
      <c r="G248" s="1205">
        <v>0</v>
      </c>
      <c r="H248" s="1203">
        <v>0</v>
      </c>
      <c r="I248" s="1203">
        <v>0</v>
      </c>
      <c r="J248" s="1298">
        <v>0</v>
      </c>
      <c r="K248" s="1211"/>
    </row>
    <row r="249" spans="1:11">
      <c r="A249" s="1187">
        <v>249</v>
      </c>
      <c r="B249" s="1188" t="s">
        <v>1349</v>
      </c>
      <c r="C249" s="1189" t="s">
        <v>373</v>
      </c>
      <c r="D249" s="1190" t="s">
        <v>6773</v>
      </c>
      <c r="E249" s="1191">
        <v>2025</v>
      </c>
      <c r="F249" s="1192">
        <v>46022</v>
      </c>
      <c r="G249" s="1205">
        <v>0</v>
      </c>
      <c r="H249" s="1203">
        <v>0</v>
      </c>
      <c r="I249" s="1203">
        <v>0</v>
      </c>
      <c r="J249" s="1298">
        <v>0</v>
      </c>
      <c r="K249" s="1211"/>
    </row>
    <row r="250" spans="1:11">
      <c r="A250" s="1187">
        <v>250</v>
      </c>
      <c r="B250" s="1188"/>
      <c r="C250" s="1189" t="s">
        <v>374</v>
      </c>
      <c r="D250" s="1190" t="s">
        <v>6777</v>
      </c>
      <c r="E250" s="1191">
        <v>2025</v>
      </c>
      <c r="F250" s="1192">
        <v>46022</v>
      </c>
      <c r="G250" s="1205">
        <v>0</v>
      </c>
      <c r="H250" s="1203">
        <v>0</v>
      </c>
      <c r="I250" s="1203">
        <v>0</v>
      </c>
      <c r="J250" s="1298">
        <v>0</v>
      </c>
      <c r="K250" s="1211"/>
    </row>
    <row r="251" spans="1:11" ht="22.5">
      <c r="A251" s="1187">
        <v>251</v>
      </c>
      <c r="B251" s="1188"/>
      <c r="C251" s="1189" t="s">
        <v>375</v>
      </c>
      <c r="D251" s="1190" t="s">
        <v>6781</v>
      </c>
      <c r="E251" s="1191">
        <v>2025</v>
      </c>
      <c r="F251" s="1192">
        <v>46022</v>
      </c>
      <c r="G251" s="1205">
        <v>0</v>
      </c>
      <c r="H251" s="1203">
        <v>0</v>
      </c>
      <c r="I251" s="1203">
        <v>0</v>
      </c>
      <c r="J251" s="1298">
        <v>0</v>
      </c>
      <c r="K251" s="1211"/>
    </row>
    <row r="252" spans="1:11">
      <c r="A252" s="1187">
        <v>252</v>
      </c>
      <c r="B252" s="1188"/>
      <c r="C252" s="1189" t="s">
        <v>6782</v>
      </c>
      <c r="D252" s="1190" t="s">
        <v>6785</v>
      </c>
      <c r="E252" s="1191">
        <v>2025</v>
      </c>
      <c r="F252" s="1192">
        <v>46022</v>
      </c>
      <c r="G252" s="1204">
        <v>2852384.53</v>
      </c>
      <c r="H252" s="1194">
        <v>2847146.73</v>
      </c>
      <c r="I252" s="1194">
        <v>5237.7999999998137</v>
      </c>
      <c r="J252" s="1295">
        <v>1.8396663385170226E-3</v>
      </c>
      <c r="K252" s="1211"/>
    </row>
    <row r="253" spans="1:11" ht="22.5">
      <c r="A253" s="1187">
        <v>253</v>
      </c>
      <c r="B253" s="1188" t="s">
        <v>1519</v>
      </c>
      <c r="C253" s="1189" t="s">
        <v>376</v>
      </c>
      <c r="D253" s="1190" t="s">
        <v>6789</v>
      </c>
      <c r="E253" s="1191">
        <v>2025</v>
      </c>
      <c r="F253" s="1192">
        <v>46022</v>
      </c>
      <c r="G253" s="1202">
        <v>0</v>
      </c>
      <c r="H253" s="1203">
        <v>0</v>
      </c>
      <c r="I253" s="1203">
        <v>0</v>
      </c>
      <c r="J253" s="1298">
        <v>0</v>
      </c>
      <c r="K253" s="1211"/>
    </row>
    <row r="254" spans="1:11">
      <c r="A254" s="1187">
        <v>254</v>
      </c>
      <c r="B254" s="1201"/>
      <c r="C254" s="1189" t="s">
        <v>377</v>
      </c>
      <c r="D254" s="1190" t="s">
        <v>6793</v>
      </c>
      <c r="E254" s="1191">
        <v>2025</v>
      </c>
      <c r="F254" s="1192">
        <v>46022</v>
      </c>
      <c r="G254" s="1202">
        <v>0</v>
      </c>
      <c r="H254" s="1203">
        <v>0</v>
      </c>
      <c r="I254" s="1203">
        <v>0</v>
      </c>
      <c r="J254" s="1298">
        <v>0</v>
      </c>
      <c r="K254" s="1211"/>
    </row>
    <row r="255" spans="1:11">
      <c r="A255" s="1187">
        <v>255</v>
      </c>
      <c r="B255" s="1188" t="s">
        <v>1349</v>
      </c>
      <c r="C255" s="1189" t="s">
        <v>378</v>
      </c>
      <c r="D255" s="1190" t="s">
        <v>6797</v>
      </c>
      <c r="E255" s="1191">
        <v>2025</v>
      </c>
      <c r="F255" s="1192">
        <v>46022</v>
      </c>
      <c r="G255" s="1202">
        <v>0</v>
      </c>
      <c r="H255" s="1203">
        <v>0</v>
      </c>
      <c r="I255" s="1203">
        <v>0</v>
      </c>
      <c r="J255" s="1298">
        <v>0</v>
      </c>
      <c r="K255" s="1211"/>
    </row>
    <row r="256" spans="1:11">
      <c r="A256" s="1187">
        <v>256</v>
      </c>
      <c r="B256" s="1188"/>
      <c r="C256" s="1189" t="s">
        <v>379</v>
      </c>
      <c r="D256" s="1190" t="s">
        <v>6802</v>
      </c>
      <c r="E256" s="1191">
        <v>2025</v>
      </c>
      <c r="F256" s="1192">
        <v>46022</v>
      </c>
      <c r="G256" s="1202">
        <v>2852384.53</v>
      </c>
      <c r="H256" s="1203">
        <v>2847146.73</v>
      </c>
      <c r="I256" s="1203">
        <v>5237.7999999998137</v>
      </c>
      <c r="J256" s="1298">
        <v>1.8396663385170226E-3</v>
      </c>
      <c r="K256" s="1211"/>
    </row>
    <row r="257" spans="1:11" ht="22.5">
      <c r="A257" s="1187">
        <v>257</v>
      </c>
      <c r="B257" s="1188"/>
      <c r="C257" s="1189" t="s">
        <v>6814</v>
      </c>
      <c r="D257" s="1190" t="s">
        <v>6816</v>
      </c>
      <c r="E257" s="1191">
        <v>2025</v>
      </c>
      <c r="F257" s="1192">
        <v>46022</v>
      </c>
      <c r="G257" s="1204">
        <v>1216595.1100000001</v>
      </c>
      <c r="H257" s="1194">
        <v>296809.97000000003</v>
      </c>
      <c r="I257" s="1194">
        <v>919785.14000000013</v>
      </c>
      <c r="J257" s="1295">
        <v>3.0989024391599784</v>
      </c>
      <c r="K257" s="1211"/>
    </row>
    <row r="258" spans="1:11" ht="22.5">
      <c r="A258" s="1187">
        <v>258</v>
      </c>
      <c r="B258" s="1188" t="s">
        <v>1519</v>
      </c>
      <c r="C258" s="1189" t="s">
        <v>380</v>
      </c>
      <c r="D258" s="1190" t="s">
        <v>11225</v>
      </c>
      <c r="E258" s="1191">
        <v>2025</v>
      </c>
      <c r="F258" s="1192">
        <v>46022</v>
      </c>
      <c r="G258" s="1204">
        <v>177030.63</v>
      </c>
      <c r="H258" s="1194">
        <v>0</v>
      </c>
      <c r="I258" s="1194">
        <v>177030.63</v>
      </c>
      <c r="J258" s="1295">
        <v>1</v>
      </c>
      <c r="K258" s="1211"/>
    </row>
    <row r="259" spans="1:11">
      <c r="A259" s="1187">
        <v>259</v>
      </c>
      <c r="B259" s="1188" t="s">
        <v>1519</v>
      </c>
      <c r="C259" s="1189" t="s">
        <v>6873</v>
      </c>
      <c r="D259" s="1190" t="s">
        <v>6877</v>
      </c>
      <c r="E259" s="1191">
        <v>2025</v>
      </c>
      <c r="F259" s="1192">
        <v>46022</v>
      </c>
      <c r="G259" s="1202">
        <v>0</v>
      </c>
      <c r="H259" s="1203">
        <v>0</v>
      </c>
      <c r="I259" s="1203">
        <v>0</v>
      </c>
      <c r="J259" s="1298">
        <v>0</v>
      </c>
      <c r="K259" s="1211"/>
    </row>
    <row r="260" spans="1:11" ht="22.5">
      <c r="A260" s="1187">
        <v>260</v>
      </c>
      <c r="B260" s="1188" t="s">
        <v>1519</v>
      </c>
      <c r="C260" s="1189" t="s">
        <v>6817</v>
      </c>
      <c r="D260" s="1190" t="s">
        <v>6821</v>
      </c>
      <c r="E260" s="1191">
        <v>2025</v>
      </c>
      <c r="F260" s="1192">
        <v>46022</v>
      </c>
      <c r="G260" s="1202">
        <v>177030.63</v>
      </c>
      <c r="H260" s="1203">
        <v>0</v>
      </c>
      <c r="I260" s="1203">
        <v>177030.63</v>
      </c>
      <c r="J260" s="1298">
        <v>1</v>
      </c>
      <c r="K260" s="1211"/>
    </row>
    <row r="261" spans="1:11">
      <c r="A261" s="1187">
        <v>261</v>
      </c>
      <c r="B261" s="1188"/>
      <c r="C261" s="1189" t="s">
        <v>381</v>
      </c>
      <c r="D261" s="1190" t="s">
        <v>6825</v>
      </c>
      <c r="E261" s="1191">
        <v>2025</v>
      </c>
      <c r="F261" s="1192">
        <v>46022</v>
      </c>
      <c r="G261" s="1202">
        <v>1013041.18</v>
      </c>
      <c r="H261" s="1203">
        <v>293272.32000000001</v>
      </c>
      <c r="I261" s="1203">
        <v>719768.8600000001</v>
      </c>
      <c r="J261" s="1298">
        <v>2.4542679650094494</v>
      </c>
      <c r="K261" s="1211"/>
    </row>
    <row r="262" spans="1:11" ht="33.75">
      <c r="A262" s="1187">
        <v>262</v>
      </c>
      <c r="B262" s="1188" t="s">
        <v>1349</v>
      </c>
      <c r="C262" s="1189" t="s">
        <v>6826</v>
      </c>
      <c r="D262" s="1190" t="s">
        <v>6830</v>
      </c>
      <c r="E262" s="1191">
        <v>2025</v>
      </c>
      <c r="F262" s="1192">
        <v>46022</v>
      </c>
      <c r="G262" s="1202">
        <v>0</v>
      </c>
      <c r="H262" s="1203">
        <v>0</v>
      </c>
      <c r="I262" s="1203">
        <v>0</v>
      </c>
      <c r="J262" s="1298">
        <v>0</v>
      </c>
      <c r="K262" s="1211"/>
    </row>
    <row r="263" spans="1:11" ht="22.5">
      <c r="A263" s="1187">
        <v>263</v>
      </c>
      <c r="B263" s="1201" t="s">
        <v>1340</v>
      </c>
      <c r="C263" s="1189" t="s">
        <v>382</v>
      </c>
      <c r="D263" s="1190" t="s">
        <v>6834</v>
      </c>
      <c r="E263" s="1191">
        <v>2025</v>
      </c>
      <c r="F263" s="1192">
        <v>46022</v>
      </c>
      <c r="G263" s="1202">
        <v>987</v>
      </c>
      <c r="H263" s="1203">
        <v>3537.65</v>
      </c>
      <c r="I263" s="1203">
        <v>-2550.65</v>
      </c>
      <c r="J263" s="1298">
        <v>-0.72100122962983904</v>
      </c>
      <c r="K263" s="1211"/>
    </row>
    <row r="264" spans="1:11">
      <c r="A264" s="1187">
        <v>264</v>
      </c>
      <c r="B264" s="1188"/>
      <c r="C264" s="1189" t="s">
        <v>383</v>
      </c>
      <c r="D264" s="1190" t="s">
        <v>6838</v>
      </c>
      <c r="E264" s="1191">
        <v>2025</v>
      </c>
      <c r="F264" s="1192">
        <v>46022</v>
      </c>
      <c r="G264" s="1202">
        <v>282</v>
      </c>
      <c r="H264" s="1203">
        <v>0</v>
      </c>
      <c r="I264" s="1203">
        <v>282</v>
      </c>
      <c r="J264" s="1298">
        <v>1</v>
      </c>
      <c r="K264" s="1211"/>
    </row>
    <row r="265" spans="1:11">
      <c r="A265" s="1187">
        <v>265</v>
      </c>
      <c r="B265" s="1188"/>
      <c r="C265" s="1189" t="s">
        <v>384</v>
      </c>
      <c r="D265" s="1190" t="s">
        <v>6842</v>
      </c>
      <c r="E265" s="1191">
        <v>2025</v>
      </c>
      <c r="F265" s="1192">
        <v>46022</v>
      </c>
      <c r="G265" s="1202">
        <v>25254.3</v>
      </c>
      <c r="H265" s="1203">
        <v>0</v>
      </c>
      <c r="I265" s="1203">
        <v>25254.3</v>
      </c>
      <c r="J265" s="1298">
        <v>1</v>
      </c>
      <c r="K265" s="1211"/>
    </row>
    <row r="266" spans="1:11" ht="22.5">
      <c r="A266" s="1187">
        <v>266</v>
      </c>
      <c r="B266" s="1188"/>
      <c r="C266" s="1189" t="s">
        <v>6906</v>
      </c>
      <c r="D266" s="1190" t="s">
        <v>6910</v>
      </c>
      <c r="E266" s="1191">
        <v>2025</v>
      </c>
      <c r="F266" s="1192">
        <v>46022</v>
      </c>
      <c r="G266" s="1193">
        <v>3613748.6000000006</v>
      </c>
      <c r="H266" s="1194">
        <v>3019139.1900000004</v>
      </c>
      <c r="I266" s="1194">
        <v>594609.41000000015</v>
      </c>
      <c r="J266" s="1295">
        <v>0.19694667008711184</v>
      </c>
      <c r="K266" s="1211"/>
    </row>
    <row r="267" spans="1:11" ht="22.5">
      <c r="A267" s="1187">
        <v>267</v>
      </c>
      <c r="B267" s="1188"/>
      <c r="C267" s="1189" t="s">
        <v>539</v>
      </c>
      <c r="D267" s="1190" t="s">
        <v>11226</v>
      </c>
      <c r="E267" s="1191">
        <v>2025</v>
      </c>
      <c r="F267" s="1192">
        <v>46022</v>
      </c>
      <c r="G267" s="1205">
        <v>299632.81</v>
      </c>
      <c r="H267" s="1203">
        <v>264315.44</v>
      </c>
      <c r="I267" s="1203">
        <v>35317.369999999995</v>
      </c>
      <c r="J267" s="1298">
        <v>0.13361826308746849</v>
      </c>
      <c r="K267" s="1211"/>
    </row>
    <row r="268" spans="1:11" ht="22.5">
      <c r="A268" s="1187">
        <v>268</v>
      </c>
      <c r="B268" s="1188"/>
      <c r="C268" s="1189" t="s">
        <v>540</v>
      </c>
      <c r="D268" s="1190" t="s">
        <v>11227</v>
      </c>
      <c r="E268" s="1191">
        <v>2025</v>
      </c>
      <c r="F268" s="1192">
        <v>46022</v>
      </c>
      <c r="G268" s="1205">
        <v>2212828.6200000006</v>
      </c>
      <c r="H268" s="1203">
        <v>2086763.86</v>
      </c>
      <c r="I268" s="1203">
        <v>126064.76000000047</v>
      </c>
      <c r="J268" s="1298">
        <v>6.0411607856770369E-2</v>
      </c>
      <c r="K268" s="1211"/>
    </row>
    <row r="269" spans="1:11" ht="22.5">
      <c r="A269" s="1187">
        <v>269</v>
      </c>
      <c r="B269" s="1188"/>
      <c r="C269" s="1189" t="s">
        <v>541</v>
      </c>
      <c r="D269" s="1190" t="s">
        <v>11228</v>
      </c>
      <c r="E269" s="1191">
        <v>2025</v>
      </c>
      <c r="F269" s="1192">
        <v>46022</v>
      </c>
      <c r="G269" s="1205">
        <v>0</v>
      </c>
      <c r="H269" s="1203">
        <v>0</v>
      </c>
      <c r="I269" s="1203">
        <v>0</v>
      </c>
      <c r="J269" s="1298">
        <v>0</v>
      </c>
      <c r="K269" s="1211"/>
    </row>
    <row r="270" spans="1:11" ht="33.75">
      <c r="A270" s="1187">
        <v>270</v>
      </c>
      <c r="B270" s="1188"/>
      <c r="C270" s="1189" t="s">
        <v>542</v>
      </c>
      <c r="D270" s="1190" t="s">
        <v>11229</v>
      </c>
      <c r="E270" s="1191">
        <v>2025</v>
      </c>
      <c r="F270" s="1192">
        <v>46022</v>
      </c>
      <c r="G270" s="1205">
        <v>522838.94999999995</v>
      </c>
      <c r="H270" s="1203">
        <v>130174.67</v>
      </c>
      <c r="I270" s="1203">
        <v>392664.27999999997</v>
      </c>
      <c r="J270" s="1298">
        <v>3.0164415242996196</v>
      </c>
      <c r="K270" s="1211"/>
    </row>
    <row r="271" spans="1:11" ht="33.75">
      <c r="A271" s="1187">
        <v>271</v>
      </c>
      <c r="B271" s="1188" t="s">
        <v>1519</v>
      </c>
      <c r="C271" s="1189" t="s">
        <v>7086</v>
      </c>
      <c r="D271" s="1190" t="s">
        <v>11230</v>
      </c>
      <c r="E271" s="1191">
        <v>2025</v>
      </c>
      <c r="F271" s="1192">
        <v>46022</v>
      </c>
      <c r="G271" s="1205">
        <v>0</v>
      </c>
      <c r="H271" s="1203">
        <v>0</v>
      </c>
      <c r="I271" s="1203">
        <v>0</v>
      </c>
      <c r="J271" s="1298">
        <v>0</v>
      </c>
      <c r="K271" s="1211"/>
    </row>
    <row r="272" spans="1:11" ht="22.5">
      <c r="A272" s="1187">
        <v>272</v>
      </c>
      <c r="B272" s="1188"/>
      <c r="C272" s="1189" t="s">
        <v>543</v>
      </c>
      <c r="D272" s="1190" t="s">
        <v>11231</v>
      </c>
      <c r="E272" s="1191">
        <v>2025</v>
      </c>
      <c r="F272" s="1192">
        <v>46022</v>
      </c>
      <c r="G272" s="1205">
        <v>578448.22</v>
      </c>
      <c r="H272" s="1203">
        <v>537885.22</v>
      </c>
      <c r="I272" s="1203">
        <v>40563</v>
      </c>
      <c r="J272" s="1298">
        <v>7.5411999608392288E-2</v>
      </c>
      <c r="K272" s="1211"/>
    </row>
    <row r="273" spans="1:11" ht="33.75">
      <c r="A273" s="1187">
        <v>273</v>
      </c>
      <c r="B273" s="1188" t="s">
        <v>1519</v>
      </c>
      <c r="C273" s="1189" t="s">
        <v>544</v>
      </c>
      <c r="D273" s="1190" t="s">
        <v>11232</v>
      </c>
      <c r="E273" s="1191">
        <v>2025</v>
      </c>
      <c r="F273" s="1192">
        <v>46022</v>
      </c>
      <c r="G273" s="1205">
        <v>0</v>
      </c>
      <c r="H273" s="1203">
        <v>0</v>
      </c>
      <c r="I273" s="1203">
        <v>0</v>
      </c>
      <c r="J273" s="1298">
        <v>0</v>
      </c>
      <c r="K273" s="1211"/>
    </row>
    <row r="274" spans="1:11">
      <c r="A274" s="1187">
        <v>274</v>
      </c>
      <c r="B274" s="1188"/>
      <c r="C274" s="1189" t="s">
        <v>7123</v>
      </c>
      <c r="D274" s="1190" t="s">
        <v>7126</v>
      </c>
      <c r="E274" s="1191">
        <v>2025</v>
      </c>
      <c r="F274" s="1192">
        <v>46022</v>
      </c>
      <c r="G274" s="1204">
        <v>702576.82000000007</v>
      </c>
      <c r="H274" s="1194">
        <v>380458.84</v>
      </c>
      <c r="I274" s="1194">
        <v>322117.98000000004</v>
      </c>
      <c r="J274" s="1295">
        <v>0.84665657919789694</v>
      </c>
      <c r="K274" s="1211"/>
    </row>
    <row r="275" spans="1:11">
      <c r="A275" s="1187">
        <v>275</v>
      </c>
      <c r="B275" s="1188"/>
      <c r="C275" s="1189" t="s">
        <v>385</v>
      </c>
      <c r="D275" s="1190" t="s">
        <v>11233</v>
      </c>
      <c r="E275" s="1191">
        <v>2025</v>
      </c>
      <c r="F275" s="1192">
        <v>46022</v>
      </c>
      <c r="G275" s="1202">
        <v>0</v>
      </c>
      <c r="H275" s="1203">
        <v>0</v>
      </c>
      <c r="I275" s="1203">
        <v>0</v>
      </c>
      <c r="J275" s="1298">
        <v>0</v>
      </c>
      <c r="K275" s="1211"/>
    </row>
    <row r="276" spans="1:11">
      <c r="A276" s="1187">
        <v>276</v>
      </c>
      <c r="B276" s="1188"/>
      <c r="C276" s="1189" t="s">
        <v>387</v>
      </c>
      <c r="D276" s="1190" t="s">
        <v>11234</v>
      </c>
      <c r="E276" s="1191">
        <v>2025</v>
      </c>
      <c r="F276" s="1192">
        <v>46022</v>
      </c>
      <c r="G276" s="1202">
        <v>0</v>
      </c>
      <c r="H276" s="1203">
        <v>0</v>
      </c>
      <c r="I276" s="1203">
        <v>0</v>
      </c>
      <c r="J276" s="1298">
        <v>0</v>
      </c>
      <c r="K276" s="1211"/>
    </row>
    <row r="277" spans="1:11" ht="22.5">
      <c r="A277" s="1187">
        <v>277</v>
      </c>
      <c r="B277" s="1188"/>
      <c r="C277" s="1189" t="s">
        <v>389</v>
      </c>
      <c r="D277" s="1190" t="s">
        <v>11235</v>
      </c>
      <c r="E277" s="1191">
        <v>2025</v>
      </c>
      <c r="F277" s="1192">
        <v>46022</v>
      </c>
      <c r="G277" s="1202">
        <v>0</v>
      </c>
      <c r="H277" s="1203">
        <v>0</v>
      </c>
      <c r="I277" s="1203">
        <v>0</v>
      </c>
      <c r="J277" s="1298">
        <v>0</v>
      </c>
      <c r="K277" s="1211"/>
    </row>
    <row r="278" spans="1:11">
      <c r="A278" s="1187">
        <v>278</v>
      </c>
      <c r="B278" s="1188"/>
      <c r="C278" s="1189" t="s">
        <v>391</v>
      </c>
      <c r="D278" s="1190" t="s">
        <v>11236</v>
      </c>
      <c r="E278" s="1191">
        <v>2025</v>
      </c>
      <c r="F278" s="1192">
        <v>46022</v>
      </c>
      <c r="G278" s="1202">
        <v>0</v>
      </c>
      <c r="H278" s="1203">
        <v>0</v>
      </c>
      <c r="I278" s="1203">
        <v>0</v>
      </c>
      <c r="J278" s="1298">
        <v>0</v>
      </c>
      <c r="K278" s="1211"/>
    </row>
    <row r="279" spans="1:11">
      <c r="A279" s="1187">
        <v>279</v>
      </c>
      <c r="B279" s="1188"/>
      <c r="C279" s="1189" t="s">
        <v>393</v>
      </c>
      <c r="D279" s="1190" t="s">
        <v>11237</v>
      </c>
      <c r="E279" s="1191">
        <v>2025</v>
      </c>
      <c r="F279" s="1192">
        <v>46022</v>
      </c>
      <c r="G279" s="1202">
        <v>248039.56</v>
      </c>
      <c r="H279" s="1203">
        <v>0</v>
      </c>
      <c r="I279" s="1203">
        <v>248039.56</v>
      </c>
      <c r="J279" s="1298">
        <v>1</v>
      </c>
      <c r="K279" s="1211"/>
    </row>
    <row r="280" spans="1:11" ht="22.5">
      <c r="A280" s="1187">
        <v>280</v>
      </c>
      <c r="B280" s="1188" t="s">
        <v>1519</v>
      </c>
      <c r="C280" s="1189" t="s">
        <v>395</v>
      </c>
      <c r="D280" s="1190" t="s">
        <v>11238</v>
      </c>
      <c r="E280" s="1191">
        <v>2025</v>
      </c>
      <c r="F280" s="1192">
        <v>46022</v>
      </c>
      <c r="G280" s="1202">
        <v>454537.26</v>
      </c>
      <c r="H280" s="1203">
        <v>380458.84</v>
      </c>
      <c r="I280" s="1203">
        <v>74078.419999999984</v>
      </c>
      <c r="J280" s="1298">
        <v>0.19470810561268592</v>
      </c>
      <c r="K280" s="1211"/>
    </row>
    <row r="281" spans="1:11">
      <c r="A281" s="1187">
        <v>281</v>
      </c>
      <c r="B281" s="1188" t="s">
        <v>1519</v>
      </c>
      <c r="C281" s="1189" t="s">
        <v>7166</v>
      </c>
      <c r="D281" s="1190" t="s">
        <v>11239</v>
      </c>
      <c r="E281" s="1191">
        <v>2025</v>
      </c>
      <c r="F281" s="1192">
        <v>46022</v>
      </c>
      <c r="G281" s="1202">
        <v>0</v>
      </c>
      <c r="H281" s="1203">
        <v>0</v>
      </c>
      <c r="I281" s="1203">
        <v>0</v>
      </c>
      <c r="J281" s="1298">
        <v>0</v>
      </c>
      <c r="K281" s="1211"/>
    </row>
    <row r="282" spans="1:11" ht="22.5">
      <c r="A282" s="1187">
        <v>282</v>
      </c>
      <c r="B282" s="1188"/>
      <c r="C282" s="1189" t="s">
        <v>7171</v>
      </c>
      <c r="D282" s="1190" t="s">
        <v>7174</v>
      </c>
      <c r="E282" s="1191">
        <v>2025</v>
      </c>
      <c r="F282" s="1192">
        <v>46022</v>
      </c>
      <c r="G282" s="1204">
        <v>21524098.61999999</v>
      </c>
      <c r="H282" s="1194">
        <v>20719882.59</v>
      </c>
      <c r="I282" s="1194">
        <v>804216.02999999002</v>
      </c>
      <c r="J282" s="1295">
        <v>3.8813734899643078E-2</v>
      </c>
      <c r="K282" s="1211"/>
    </row>
    <row r="283" spans="1:11" ht="22.5">
      <c r="A283" s="1187">
        <v>283</v>
      </c>
      <c r="B283" s="1188" t="s">
        <v>1519</v>
      </c>
      <c r="C283" s="1189" t="s">
        <v>397</v>
      </c>
      <c r="D283" s="1190" t="s">
        <v>11240</v>
      </c>
      <c r="E283" s="1191">
        <v>2025</v>
      </c>
      <c r="F283" s="1192">
        <v>46022</v>
      </c>
      <c r="G283" s="1202">
        <v>0</v>
      </c>
      <c r="H283" s="1203">
        <v>0</v>
      </c>
      <c r="I283" s="1203">
        <v>0</v>
      </c>
      <c r="J283" s="1298">
        <v>0</v>
      </c>
      <c r="K283" s="1211"/>
    </row>
    <row r="284" spans="1:11" ht="22.5">
      <c r="A284" s="1187">
        <v>284</v>
      </c>
      <c r="B284" s="1188"/>
      <c r="C284" s="1189" t="s">
        <v>398</v>
      </c>
      <c r="D284" s="1190" t="s">
        <v>11241</v>
      </c>
      <c r="E284" s="1191">
        <v>2025</v>
      </c>
      <c r="F284" s="1192">
        <v>46022</v>
      </c>
      <c r="G284" s="1202">
        <v>0</v>
      </c>
      <c r="H284" s="1203">
        <v>2184.52</v>
      </c>
      <c r="I284" s="1203">
        <v>-2184.52</v>
      </c>
      <c r="J284" s="1298">
        <v>-1</v>
      </c>
      <c r="K284" s="1211"/>
    </row>
    <row r="285" spans="1:11" ht="22.5">
      <c r="A285" s="1187">
        <v>285</v>
      </c>
      <c r="B285" s="1188"/>
      <c r="C285" s="1189" t="s">
        <v>399</v>
      </c>
      <c r="D285" s="1190" t="s">
        <v>11242</v>
      </c>
      <c r="E285" s="1191">
        <v>2025</v>
      </c>
      <c r="F285" s="1192">
        <v>46022</v>
      </c>
      <c r="G285" s="1204">
        <v>21524098.61999999</v>
      </c>
      <c r="H285" s="1194">
        <v>20717698.07</v>
      </c>
      <c r="I285" s="1194">
        <v>806400.54999998957</v>
      </c>
      <c r="J285" s="1295">
        <v>3.8923269722116842E-2</v>
      </c>
      <c r="K285" s="1211"/>
    </row>
    <row r="286" spans="1:11" ht="22.5">
      <c r="A286" s="1187">
        <v>286</v>
      </c>
      <c r="B286" s="1188"/>
      <c r="C286" s="1189" t="s">
        <v>400</v>
      </c>
      <c r="D286" s="1190" t="s">
        <v>7200</v>
      </c>
      <c r="E286" s="1191">
        <v>2025</v>
      </c>
      <c r="F286" s="1192">
        <v>46022</v>
      </c>
      <c r="G286" s="1202">
        <v>281081</v>
      </c>
      <c r="H286" s="1203">
        <v>0</v>
      </c>
      <c r="I286" s="1203">
        <v>281081</v>
      </c>
      <c r="J286" s="1298">
        <v>1</v>
      </c>
      <c r="K286" s="1211"/>
    </row>
    <row r="287" spans="1:11" ht="22.5">
      <c r="A287" s="1187">
        <v>287</v>
      </c>
      <c r="B287" s="1188"/>
      <c r="C287" s="1189" t="s">
        <v>402</v>
      </c>
      <c r="D287" s="1190" t="s">
        <v>7205</v>
      </c>
      <c r="E287" s="1191">
        <v>2025</v>
      </c>
      <c r="F287" s="1192">
        <v>46022</v>
      </c>
      <c r="G287" s="1202">
        <v>172190.59000000003</v>
      </c>
      <c r="H287" s="1203">
        <v>880629.65</v>
      </c>
      <c r="I287" s="1203">
        <v>-708439.06</v>
      </c>
      <c r="J287" s="1298">
        <v>-0.80446877980999165</v>
      </c>
      <c r="K287" s="1211"/>
    </row>
    <row r="288" spans="1:11" ht="22.5">
      <c r="A288" s="1187">
        <v>288</v>
      </c>
      <c r="B288" s="1188"/>
      <c r="C288" s="1189" t="s">
        <v>404</v>
      </c>
      <c r="D288" s="1190" t="s">
        <v>11243</v>
      </c>
      <c r="E288" s="1191">
        <v>2025</v>
      </c>
      <c r="F288" s="1192">
        <v>46022</v>
      </c>
      <c r="G288" s="1202">
        <v>67727.899999999994</v>
      </c>
      <c r="H288" s="1203">
        <v>0</v>
      </c>
      <c r="I288" s="1203">
        <v>67727.899999999994</v>
      </c>
      <c r="J288" s="1298">
        <v>1</v>
      </c>
      <c r="K288" s="1211"/>
    </row>
    <row r="289" spans="1:11" ht="22.5">
      <c r="A289" s="1187">
        <v>289</v>
      </c>
      <c r="B289" s="1188"/>
      <c r="C289" s="1189" t="s">
        <v>405</v>
      </c>
      <c r="D289" s="1190" t="s">
        <v>11244</v>
      </c>
      <c r="E289" s="1191">
        <v>2025</v>
      </c>
      <c r="F289" s="1192">
        <v>46022</v>
      </c>
      <c r="G289" s="1202">
        <v>19181176.589999992</v>
      </c>
      <c r="H289" s="1203">
        <v>18681821.050000001</v>
      </c>
      <c r="I289" s="1203">
        <v>499355.53999999166</v>
      </c>
      <c r="J289" s="1298">
        <v>2.6729489521579143E-2</v>
      </c>
      <c r="K289" s="1211"/>
    </row>
    <row r="290" spans="1:11">
      <c r="A290" s="1187">
        <v>290</v>
      </c>
      <c r="B290" s="1188"/>
      <c r="C290" s="1189" t="s">
        <v>406</v>
      </c>
      <c r="D290" s="1190" t="s">
        <v>11245</v>
      </c>
      <c r="E290" s="1191">
        <v>2025</v>
      </c>
      <c r="F290" s="1192">
        <v>46022</v>
      </c>
      <c r="G290" s="1202">
        <v>0</v>
      </c>
      <c r="H290" s="1203">
        <v>0</v>
      </c>
      <c r="I290" s="1203">
        <v>0</v>
      </c>
      <c r="J290" s="1298">
        <v>0</v>
      </c>
      <c r="K290" s="1211"/>
    </row>
    <row r="291" spans="1:11" ht="22.5">
      <c r="A291" s="1187">
        <v>291</v>
      </c>
      <c r="B291" s="1188"/>
      <c r="C291" s="1189" t="s">
        <v>407</v>
      </c>
      <c r="D291" s="1190" t="s">
        <v>11246</v>
      </c>
      <c r="E291" s="1191">
        <v>2025</v>
      </c>
      <c r="F291" s="1192">
        <v>46022</v>
      </c>
      <c r="G291" s="1202">
        <v>1821922.54</v>
      </c>
      <c r="H291" s="1203">
        <v>1155247.3700000001</v>
      </c>
      <c r="I291" s="1203">
        <v>666675.16999999993</v>
      </c>
      <c r="J291" s="1298">
        <v>0.57708434341642334</v>
      </c>
      <c r="K291" s="1211"/>
    </row>
    <row r="292" spans="1:11" ht="22.5">
      <c r="A292" s="1187">
        <v>292</v>
      </c>
      <c r="B292" s="1188"/>
      <c r="C292" s="1189" t="s">
        <v>408</v>
      </c>
      <c r="D292" s="1190" t="s">
        <v>11247</v>
      </c>
      <c r="E292" s="1191">
        <v>2025</v>
      </c>
      <c r="F292" s="1192">
        <v>46022</v>
      </c>
      <c r="G292" s="1204">
        <v>0</v>
      </c>
      <c r="H292" s="1194">
        <v>0</v>
      </c>
      <c r="I292" s="1194">
        <v>0</v>
      </c>
      <c r="J292" s="1295">
        <v>0</v>
      </c>
      <c r="K292" s="1211"/>
    </row>
    <row r="293" spans="1:11" ht="22.5">
      <c r="A293" s="1187">
        <v>293</v>
      </c>
      <c r="B293" s="1188" t="s">
        <v>1519</v>
      </c>
      <c r="C293" s="1189" t="s">
        <v>409</v>
      </c>
      <c r="D293" s="1190" t="s">
        <v>7291</v>
      </c>
      <c r="E293" s="1191">
        <v>2025</v>
      </c>
      <c r="F293" s="1192">
        <v>46022</v>
      </c>
      <c r="G293" s="1202">
        <v>0</v>
      </c>
      <c r="H293" s="1203">
        <v>0</v>
      </c>
      <c r="I293" s="1203">
        <v>0</v>
      </c>
      <c r="J293" s="1298">
        <v>0</v>
      </c>
      <c r="K293" s="1211"/>
    </row>
    <row r="294" spans="1:11" ht="22.5">
      <c r="A294" s="1187">
        <v>294</v>
      </c>
      <c r="B294" s="1188"/>
      <c r="C294" s="1189" t="s">
        <v>411</v>
      </c>
      <c r="D294" s="1190" t="s">
        <v>7304</v>
      </c>
      <c r="E294" s="1191">
        <v>2025</v>
      </c>
      <c r="F294" s="1192">
        <v>46022</v>
      </c>
      <c r="G294" s="1202">
        <v>0</v>
      </c>
      <c r="H294" s="1203">
        <v>0</v>
      </c>
      <c r="I294" s="1203">
        <v>0</v>
      </c>
      <c r="J294" s="1298">
        <v>0</v>
      </c>
      <c r="K294" s="1211"/>
    </row>
    <row r="295" spans="1:11" ht="22.5">
      <c r="A295" s="1187">
        <v>295</v>
      </c>
      <c r="B295" s="1188" t="s">
        <v>1340</v>
      </c>
      <c r="C295" s="1189" t="s">
        <v>413</v>
      </c>
      <c r="D295" s="1190" t="s">
        <v>7308</v>
      </c>
      <c r="E295" s="1191">
        <v>2025</v>
      </c>
      <c r="F295" s="1192">
        <v>46022</v>
      </c>
      <c r="G295" s="1202">
        <v>0</v>
      </c>
      <c r="H295" s="1203">
        <v>0</v>
      </c>
      <c r="I295" s="1203">
        <v>0</v>
      </c>
      <c r="J295" s="1298">
        <v>0</v>
      </c>
      <c r="K295" s="1211"/>
    </row>
    <row r="296" spans="1:11" ht="21.75" customHeight="1">
      <c r="A296" s="1187">
        <v>296</v>
      </c>
      <c r="B296" s="1188"/>
      <c r="C296" s="1189" t="s">
        <v>7439</v>
      </c>
      <c r="D296" s="1190" t="s">
        <v>7442</v>
      </c>
      <c r="E296" s="1191">
        <v>2025</v>
      </c>
      <c r="F296" s="1192">
        <v>46022</v>
      </c>
      <c r="G296" s="1204">
        <v>280767.90000000002</v>
      </c>
      <c r="H296" s="1194">
        <v>466756.77999999997</v>
      </c>
      <c r="I296" s="1194">
        <v>-185988.87999999995</v>
      </c>
      <c r="J296" s="1295">
        <v>-0.39847065531645831</v>
      </c>
      <c r="K296" s="1211"/>
    </row>
    <row r="297" spans="1:11" ht="33.75">
      <c r="A297" s="1187">
        <v>297</v>
      </c>
      <c r="B297" s="1188" t="s">
        <v>1519</v>
      </c>
      <c r="C297" s="1189" t="s">
        <v>415</v>
      </c>
      <c r="D297" s="1190" t="s">
        <v>11248</v>
      </c>
      <c r="E297" s="1191">
        <v>2025</v>
      </c>
      <c r="F297" s="1192">
        <v>46022</v>
      </c>
      <c r="G297" s="1202">
        <v>0</v>
      </c>
      <c r="H297" s="1203">
        <v>253199.3</v>
      </c>
      <c r="I297" s="1203">
        <v>-253199.3</v>
      </c>
      <c r="J297" s="1298">
        <v>-1</v>
      </c>
      <c r="K297" s="1211"/>
    </row>
    <row r="298" spans="1:11" ht="22.5">
      <c r="A298" s="1187">
        <v>298</v>
      </c>
      <c r="B298" s="1188"/>
      <c r="C298" s="1189" t="s">
        <v>417</v>
      </c>
      <c r="D298" s="1190" t="s">
        <v>11249</v>
      </c>
      <c r="E298" s="1191">
        <v>2025</v>
      </c>
      <c r="F298" s="1192">
        <v>46022</v>
      </c>
      <c r="G298" s="1202">
        <v>0</v>
      </c>
      <c r="H298" s="1203">
        <v>0</v>
      </c>
      <c r="I298" s="1203">
        <v>0</v>
      </c>
      <c r="J298" s="1298">
        <v>0</v>
      </c>
      <c r="K298" s="1211"/>
    </row>
    <row r="299" spans="1:11" ht="22.5">
      <c r="A299" s="1187">
        <v>299</v>
      </c>
      <c r="B299" s="1188" t="s">
        <v>1340</v>
      </c>
      <c r="C299" s="1189" t="s">
        <v>419</v>
      </c>
      <c r="D299" s="1190" t="s">
        <v>7455</v>
      </c>
      <c r="E299" s="1191">
        <v>2025</v>
      </c>
      <c r="F299" s="1192">
        <v>46022</v>
      </c>
      <c r="G299" s="1202">
        <v>0</v>
      </c>
      <c r="H299" s="1203">
        <v>0</v>
      </c>
      <c r="I299" s="1203">
        <v>0</v>
      </c>
      <c r="J299" s="1298">
        <v>0</v>
      </c>
      <c r="K299" s="1211"/>
    </row>
    <row r="300" spans="1:11">
      <c r="A300" s="1187">
        <v>300</v>
      </c>
      <c r="B300" s="1188"/>
      <c r="C300" s="1189" t="s">
        <v>421</v>
      </c>
      <c r="D300" s="1190" t="s">
        <v>11250</v>
      </c>
      <c r="E300" s="1191">
        <v>2025</v>
      </c>
      <c r="F300" s="1192">
        <v>46022</v>
      </c>
      <c r="G300" s="1202">
        <v>280767.90000000002</v>
      </c>
      <c r="H300" s="1203">
        <v>213557.47999999998</v>
      </c>
      <c r="I300" s="1203">
        <v>67210.420000000042</v>
      </c>
      <c r="J300" s="1298">
        <v>0.3147181732992918</v>
      </c>
      <c r="K300" s="1211"/>
    </row>
    <row r="301" spans="1:11" ht="22.5">
      <c r="A301" s="1187">
        <v>301</v>
      </c>
      <c r="B301" s="1188"/>
      <c r="C301" s="1189" t="s">
        <v>422</v>
      </c>
      <c r="D301" s="1190" t="s">
        <v>11251</v>
      </c>
      <c r="E301" s="1191">
        <v>2025</v>
      </c>
      <c r="F301" s="1192">
        <v>46022</v>
      </c>
      <c r="G301" s="1202">
        <v>0</v>
      </c>
      <c r="H301" s="1203">
        <v>0</v>
      </c>
      <c r="I301" s="1203">
        <v>0</v>
      </c>
      <c r="J301" s="1298">
        <v>0</v>
      </c>
      <c r="K301" s="1211"/>
    </row>
    <row r="302" spans="1:11" ht="22.5">
      <c r="A302" s="1187">
        <v>302</v>
      </c>
      <c r="B302" s="1188" t="s">
        <v>1519</v>
      </c>
      <c r="C302" s="1189" t="s">
        <v>7511</v>
      </c>
      <c r="D302" s="1190" t="s">
        <v>7516</v>
      </c>
      <c r="E302" s="1191">
        <v>2025</v>
      </c>
      <c r="F302" s="1192">
        <v>46022</v>
      </c>
      <c r="G302" s="1202">
        <v>0</v>
      </c>
      <c r="H302" s="1203">
        <v>0</v>
      </c>
      <c r="I302" s="1203">
        <v>0</v>
      </c>
      <c r="J302" s="1298">
        <v>0</v>
      </c>
      <c r="K302" s="1211"/>
    </row>
    <row r="303" spans="1:11" ht="22.5">
      <c r="A303" s="1187">
        <v>303</v>
      </c>
      <c r="B303" s="1188" t="s">
        <v>1340</v>
      </c>
      <c r="C303" s="1189" t="s">
        <v>7517</v>
      </c>
      <c r="D303" s="1190" t="s">
        <v>7521</v>
      </c>
      <c r="E303" s="1191">
        <v>2025</v>
      </c>
      <c r="F303" s="1192">
        <v>46022</v>
      </c>
      <c r="G303" s="1202">
        <v>0</v>
      </c>
      <c r="H303" s="1203">
        <v>0</v>
      </c>
      <c r="I303" s="1203">
        <v>0</v>
      </c>
      <c r="J303" s="1298">
        <v>0</v>
      </c>
      <c r="K303" s="1211"/>
    </row>
    <row r="304" spans="1:11" ht="22.5">
      <c r="A304" s="1187">
        <v>304</v>
      </c>
      <c r="B304" s="1188" t="s">
        <v>1349</v>
      </c>
      <c r="C304" s="1189" t="s">
        <v>424</v>
      </c>
      <c r="D304" s="1190" t="s">
        <v>7524</v>
      </c>
      <c r="E304" s="1191">
        <v>2025</v>
      </c>
      <c r="F304" s="1192">
        <v>46022</v>
      </c>
      <c r="G304" s="1202">
        <v>0</v>
      </c>
      <c r="H304" s="1203">
        <v>0</v>
      </c>
      <c r="I304" s="1203">
        <v>0</v>
      </c>
      <c r="J304" s="1298">
        <v>0</v>
      </c>
      <c r="K304" s="1211"/>
    </row>
    <row r="305" spans="1:11">
      <c r="A305" s="1187">
        <v>305</v>
      </c>
      <c r="B305" s="1195"/>
      <c r="C305" s="1196" t="s">
        <v>7526</v>
      </c>
      <c r="D305" s="1197" t="s">
        <v>7529</v>
      </c>
      <c r="E305" s="1191">
        <v>2025</v>
      </c>
      <c r="F305" s="1192">
        <v>46022</v>
      </c>
      <c r="G305" s="1204">
        <v>41642486.520000003</v>
      </c>
      <c r="H305" s="1204">
        <v>43413799.649999991</v>
      </c>
      <c r="I305" s="1204">
        <v>-1771313.1299999878</v>
      </c>
      <c r="J305" s="1300">
        <v>-4.0800693426519465E-2</v>
      </c>
    </row>
    <row r="306" spans="1:11">
      <c r="A306" s="1187">
        <v>306</v>
      </c>
      <c r="B306" s="1188"/>
      <c r="C306" s="1189" t="s">
        <v>7530</v>
      </c>
      <c r="D306" s="1190" t="s">
        <v>7533</v>
      </c>
      <c r="E306" s="1191">
        <v>2025</v>
      </c>
      <c r="F306" s="1192">
        <v>46022</v>
      </c>
      <c r="G306" s="1204">
        <v>32151583.66</v>
      </c>
      <c r="H306" s="1194">
        <v>32632387.119999997</v>
      </c>
      <c r="I306" s="1194">
        <v>-480803.45999999717</v>
      </c>
      <c r="J306" s="1295">
        <v>-1.4733934671463814E-2</v>
      </c>
      <c r="K306" s="1211"/>
    </row>
    <row r="307" spans="1:11">
      <c r="A307" s="1187">
        <v>307</v>
      </c>
      <c r="B307" s="1188"/>
      <c r="C307" s="1189" t="s">
        <v>425</v>
      </c>
      <c r="D307" s="1190" t="s">
        <v>11252</v>
      </c>
      <c r="E307" s="1191">
        <v>2025</v>
      </c>
      <c r="F307" s="1192">
        <v>46022</v>
      </c>
      <c r="G307" s="1202">
        <v>383339.18</v>
      </c>
      <c r="H307" s="1203">
        <v>383276.28</v>
      </c>
      <c r="I307" s="1203">
        <v>62.899999999965075</v>
      </c>
      <c r="J307" s="1298">
        <v>1.6411138200351212E-4</v>
      </c>
      <c r="K307" s="1211"/>
    </row>
    <row r="308" spans="1:11">
      <c r="A308" s="1187">
        <v>308</v>
      </c>
      <c r="B308" s="1188"/>
      <c r="C308" s="1189" t="s">
        <v>426</v>
      </c>
      <c r="D308" s="1190" t="s">
        <v>11253</v>
      </c>
      <c r="E308" s="1191">
        <v>2025</v>
      </c>
      <c r="F308" s="1192">
        <v>46022</v>
      </c>
      <c r="G308" s="1202">
        <v>6570326.2400000002</v>
      </c>
      <c r="H308" s="1203">
        <v>5697398.2999999998</v>
      </c>
      <c r="I308" s="1203">
        <v>872927.94000000041</v>
      </c>
      <c r="J308" s="1298">
        <v>0.15321518595601794</v>
      </c>
      <c r="K308" s="1211"/>
    </row>
    <row r="309" spans="1:11">
      <c r="A309" s="1187">
        <v>309</v>
      </c>
      <c r="B309" s="1188"/>
      <c r="C309" s="1189" t="s">
        <v>427</v>
      </c>
      <c r="D309" s="1190" t="s">
        <v>11254</v>
      </c>
      <c r="E309" s="1191">
        <v>2025</v>
      </c>
      <c r="F309" s="1192">
        <v>46022</v>
      </c>
      <c r="G309" s="1204">
        <v>3170649.4499999997</v>
      </c>
      <c r="H309" s="1194">
        <v>3045542.8499999996</v>
      </c>
      <c r="I309" s="1194">
        <v>125106.60000000009</v>
      </c>
      <c r="J309" s="1295">
        <v>4.1078588009359353E-2</v>
      </c>
      <c r="K309" s="1211"/>
    </row>
    <row r="310" spans="1:11">
      <c r="A310" s="1187">
        <v>310</v>
      </c>
      <c r="B310" s="1188"/>
      <c r="C310" s="1189" t="s">
        <v>7543</v>
      </c>
      <c r="D310" s="1190" t="s">
        <v>7549</v>
      </c>
      <c r="E310" s="1191">
        <v>2025</v>
      </c>
      <c r="F310" s="1192">
        <v>46022</v>
      </c>
      <c r="G310" s="1205">
        <v>831625.88</v>
      </c>
      <c r="H310" s="1203">
        <v>813372.97</v>
      </c>
      <c r="I310" s="1203">
        <v>18252.910000000033</v>
      </c>
      <c r="J310" s="1298">
        <v>2.2441008827721473E-2</v>
      </c>
      <c r="K310" s="1211"/>
    </row>
    <row r="311" spans="1:11">
      <c r="A311" s="1187">
        <v>311</v>
      </c>
      <c r="B311" s="1188"/>
      <c r="C311" s="1189" t="s">
        <v>7550</v>
      </c>
      <c r="D311" s="1190" t="s">
        <v>7556</v>
      </c>
      <c r="E311" s="1191">
        <v>2025</v>
      </c>
      <c r="F311" s="1192">
        <v>46022</v>
      </c>
      <c r="G311" s="1202">
        <v>2339023.5699999998</v>
      </c>
      <c r="H311" s="1203">
        <v>2232169.88</v>
      </c>
      <c r="I311" s="1203">
        <v>106853.68999999994</v>
      </c>
      <c r="J311" s="1298">
        <v>4.7869873595821455E-2</v>
      </c>
      <c r="K311" s="1211"/>
    </row>
    <row r="312" spans="1:11">
      <c r="A312" s="1187">
        <v>312</v>
      </c>
      <c r="B312" s="1188"/>
      <c r="C312" s="1189" t="s">
        <v>428</v>
      </c>
      <c r="D312" s="1190" t="s">
        <v>11255</v>
      </c>
      <c r="E312" s="1191">
        <v>2025</v>
      </c>
      <c r="F312" s="1192">
        <v>46022</v>
      </c>
      <c r="G312" s="1202">
        <v>0</v>
      </c>
      <c r="H312" s="1203">
        <v>0</v>
      </c>
      <c r="I312" s="1203">
        <v>0</v>
      </c>
      <c r="J312" s="1298">
        <v>0</v>
      </c>
      <c r="K312" s="1211"/>
    </row>
    <row r="313" spans="1:11">
      <c r="A313" s="1187">
        <v>313</v>
      </c>
      <c r="B313" s="1188"/>
      <c r="C313" s="1189" t="s">
        <v>429</v>
      </c>
      <c r="D313" s="1190" t="s">
        <v>11256</v>
      </c>
      <c r="E313" s="1191">
        <v>2025</v>
      </c>
      <c r="F313" s="1192">
        <v>46022</v>
      </c>
      <c r="G313" s="1202">
        <v>6001970.2199999997</v>
      </c>
      <c r="H313" s="1203">
        <v>7162647.9199999999</v>
      </c>
      <c r="I313" s="1203">
        <v>-1160677.7000000002</v>
      </c>
      <c r="J313" s="1298">
        <v>-0.16204589600992145</v>
      </c>
      <c r="K313" s="1211"/>
    </row>
    <row r="314" spans="1:11">
      <c r="A314" s="1187">
        <v>314</v>
      </c>
      <c r="B314" s="1188"/>
      <c r="C314" s="1189" t="s">
        <v>430</v>
      </c>
      <c r="D314" s="1190" t="s">
        <v>11257</v>
      </c>
      <c r="E314" s="1191">
        <v>2025</v>
      </c>
      <c r="F314" s="1192">
        <v>46022</v>
      </c>
      <c r="G314" s="1202">
        <v>0</v>
      </c>
      <c r="H314" s="1203">
        <v>0</v>
      </c>
      <c r="I314" s="1203">
        <v>0</v>
      </c>
      <c r="J314" s="1298">
        <v>0</v>
      </c>
      <c r="K314" s="1211"/>
    </row>
    <row r="315" spans="1:11">
      <c r="A315" s="1187">
        <v>315</v>
      </c>
      <c r="B315" s="1188"/>
      <c r="C315" s="1189" t="s">
        <v>431</v>
      </c>
      <c r="D315" s="1190" t="s">
        <v>11258</v>
      </c>
      <c r="E315" s="1191">
        <v>2025</v>
      </c>
      <c r="F315" s="1192">
        <v>46022</v>
      </c>
      <c r="G315" s="1202">
        <v>824664.96</v>
      </c>
      <c r="H315" s="1203">
        <v>950140.46</v>
      </c>
      <c r="I315" s="1203">
        <v>-125475.5</v>
      </c>
      <c r="J315" s="1298">
        <v>-0.13205994827333215</v>
      </c>
      <c r="K315" s="1211"/>
    </row>
    <row r="316" spans="1:11">
      <c r="A316" s="1187">
        <v>316</v>
      </c>
      <c r="B316" s="1188"/>
      <c r="C316" s="1189" t="s">
        <v>432</v>
      </c>
      <c r="D316" s="1190" t="s">
        <v>11259</v>
      </c>
      <c r="E316" s="1191">
        <v>2025</v>
      </c>
      <c r="F316" s="1192">
        <v>46022</v>
      </c>
      <c r="G316" s="1202">
        <v>446003.85</v>
      </c>
      <c r="H316" s="1203">
        <v>518690.27</v>
      </c>
      <c r="I316" s="1203">
        <v>-72686.420000000042</v>
      </c>
      <c r="J316" s="1298">
        <v>-0.14013453539431159</v>
      </c>
      <c r="K316" s="1211"/>
    </row>
    <row r="317" spans="1:11">
      <c r="A317" s="1187">
        <v>317</v>
      </c>
      <c r="B317" s="1188"/>
      <c r="C317" s="1189" t="s">
        <v>433</v>
      </c>
      <c r="D317" s="1190" t="s">
        <v>11260</v>
      </c>
      <c r="E317" s="1191">
        <v>2025</v>
      </c>
      <c r="F317" s="1192">
        <v>46022</v>
      </c>
      <c r="G317" s="1202">
        <v>4971724.84</v>
      </c>
      <c r="H317" s="1203">
        <v>5568052.3399999999</v>
      </c>
      <c r="I317" s="1203">
        <v>-596327.5</v>
      </c>
      <c r="J317" s="1298">
        <v>-0.10709804139520715</v>
      </c>
      <c r="K317" s="1211"/>
    </row>
    <row r="318" spans="1:11">
      <c r="A318" s="1187">
        <v>318</v>
      </c>
      <c r="B318" s="1188"/>
      <c r="C318" s="1189" t="s">
        <v>434</v>
      </c>
      <c r="D318" s="1190" t="s">
        <v>11261</v>
      </c>
      <c r="E318" s="1191">
        <v>2025</v>
      </c>
      <c r="F318" s="1192">
        <v>46022</v>
      </c>
      <c r="G318" s="1202">
        <v>1644581.4000000001</v>
      </c>
      <c r="H318" s="1203">
        <v>1392778.16</v>
      </c>
      <c r="I318" s="1203">
        <v>251803.24000000022</v>
      </c>
      <c r="J318" s="1298">
        <v>0.18079206526328662</v>
      </c>
      <c r="K318" s="1211"/>
    </row>
    <row r="319" spans="1:11">
      <c r="A319" s="1187">
        <v>319</v>
      </c>
      <c r="B319" s="1188"/>
      <c r="C319" s="1189" t="s">
        <v>435</v>
      </c>
      <c r="D319" s="1190" t="s">
        <v>11262</v>
      </c>
      <c r="E319" s="1191">
        <v>2025</v>
      </c>
      <c r="F319" s="1192">
        <v>46022</v>
      </c>
      <c r="G319" s="1204">
        <v>22819.5</v>
      </c>
      <c r="H319" s="1194">
        <v>233912.02</v>
      </c>
      <c r="I319" s="1194">
        <v>-211092.52</v>
      </c>
      <c r="J319" s="1295">
        <v>-0.90244408987618507</v>
      </c>
      <c r="K319" s="1211"/>
    </row>
    <row r="320" spans="1:11">
      <c r="A320" s="1187">
        <v>320</v>
      </c>
      <c r="B320" s="1188"/>
      <c r="C320" s="1189" t="s">
        <v>7596</v>
      </c>
      <c r="D320" s="1190" t="s">
        <v>11263</v>
      </c>
      <c r="E320" s="1191">
        <v>2025</v>
      </c>
      <c r="F320" s="1192">
        <v>46022</v>
      </c>
      <c r="G320" s="1202">
        <v>0</v>
      </c>
      <c r="H320" s="1203">
        <v>0</v>
      </c>
      <c r="I320" s="1203">
        <v>0</v>
      </c>
      <c r="J320" s="1298">
        <v>0</v>
      </c>
      <c r="K320" s="1211"/>
    </row>
    <row r="321" spans="1:11">
      <c r="A321" s="1187">
        <v>321</v>
      </c>
      <c r="B321" s="1188"/>
      <c r="C321" s="1189" t="s">
        <v>7602</v>
      </c>
      <c r="D321" s="1190" t="s">
        <v>11264</v>
      </c>
      <c r="E321" s="1191">
        <v>2025</v>
      </c>
      <c r="F321" s="1192">
        <v>46022</v>
      </c>
      <c r="G321" s="1202">
        <v>22819.5</v>
      </c>
      <c r="H321" s="1203">
        <v>233912.02</v>
      </c>
      <c r="I321" s="1203">
        <v>-211092.52</v>
      </c>
      <c r="J321" s="1298">
        <v>-0.90244408987618507</v>
      </c>
      <c r="K321" s="1211"/>
    </row>
    <row r="322" spans="1:11">
      <c r="A322" s="1187">
        <v>322</v>
      </c>
      <c r="B322" s="1188"/>
      <c r="C322" s="1189" t="s">
        <v>11265</v>
      </c>
      <c r="D322" s="1190" t="s">
        <v>11266</v>
      </c>
      <c r="E322" s="1191">
        <v>2025</v>
      </c>
      <c r="F322" s="1192">
        <v>46022</v>
      </c>
      <c r="G322" s="1204">
        <v>8115504.0199999996</v>
      </c>
      <c r="H322" s="1194">
        <v>7679948.5200000005</v>
      </c>
      <c r="I322" s="1194">
        <v>435555.49999999907</v>
      </c>
      <c r="J322" s="1295">
        <v>5.6713335885746154E-2</v>
      </c>
      <c r="K322" s="1211"/>
    </row>
    <row r="323" spans="1:11" ht="22.5">
      <c r="A323" s="1187">
        <v>323</v>
      </c>
      <c r="B323" s="1188" t="s">
        <v>1519</v>
      </c>
      <c r="C323" s="1189" t="s">
        <v>436</v>
      </c>
      <c r="D323" s="1190" t="s">
        <v>7618</v>
      </c>
      <c r="E323" s="1191">
        <v>2025</v>
      </c>
      <c r="F323" s="1192">
        <v>46022</v>
      </c>
      <c r="G323" s="1202">
        <v>23566.09</v>
      </c>
      <c r="H323" s="1203">
        <v>20952.32</v>
      </c>
      <c r="I323" s="1203">
        <v>2613.7700000000004</v>
      </c>
      <c r="J323" s="1298">
        <v>0.12474847654102268</v>
      </c>
      <c r="K323" s="1211"/>
    </row>
    <row r="324" spans="1:11">
      <c r="A324" s="1187">
        <v>324</v>
      </c>
      <c r="B324" s="1188"/>
      <c r="C324" s="1189" t="s">
        <v>438</v>
      </c>
      <c r="D324" s="1190" t="s">
        <v>7627</v>
      </c>
      <c r="E324" s="1191">
        <v>2025</v>
      </c>
      <c r="F324" s="1192">
        <v>46022</v>
      </c>
      <c r="G324" s="1202">
        <v>16960</v>
      </c>
      <c r="H324" s="1203">
        <v>23460.37</v>
      </c>
      <c r="I324" s="1203">
        <v>-6500.369999999999</v>
      </c>
      <c r="J324" s="1298">
        <v>-0.27707875024988948</v>
      </c>
      <c r="K324" s="1211"/>
    </row>
    <row r="325" spans="1:11">
      <c r="A325" s="1187">
        <v>325</v>
      </c>
      <c r="B325" s="1188"/>
      <c r="C325" s="1189" t="s">
        <v>440</v>
      </c>
      <c r="D325" s="1190" t="s">
        <v>7636</v>
      </c>
      <c r="E325" s="1191">
        <v>2025</v>
      </c>
      <c r="F325" s="1192">
        <v>46022</v>
      </c>
      <c r="G325" s="1202">
        <v>8074977.9299999997</v>
      </c>
      <c r="H325" s="1203">
        <v>7635535.8300000001</v>
      </c>
      <c r="I325" s="1203">
        <v>439442.09999999963</v>
      </c>
      <c r="J325" s="1298">
        <v>5.7552228132233076E-2</v>
      </c>
      <c r="K325" s="1211"/>
    </row>
    <row r="326" spans="1:11" ht="22.5">
      <c r="A326" s="1187">
        <v>326</v>
      </c>
      <c r="B326" s="1188"/>
      <c r="C326" s="1189" t="s">
        <v>7666</v>
      </c>
      <c r="D326" s="1190" t="s">
        <v>7669</v>
      </c>
      <c r="E326" s="1191">
        <v>2025</v>
      </c>
      <c r="F326" s="1192">
        <v>46022</v>
      </c>
      <c r="G326" s="1204">
        <v>9455019.4600000009</v>
      </c>
      <c r="H326" s="1194">
        <v>10670767.619999999</v>
      </c>
      <c r="I326" s="1194">
        <v>-1215748.1599999983</v>
      </c>
      <c r="J326" s="1295">
        <v>-0.11393258697915477</v>
      </c>
      <c r="K326" s="1211"/>
    </row>
    <row r="327" spans="1:11" ht="22.5">
      <c r="A327" s="1187">
        <v>327</v>
      </c>
      <c r="B327" s="1188" t="s">
        <v>1519</v>
      </c>
      <c r="C327" s="1189" t="s">
        <v>443</v>
      </c>
      <c r="D327" s="1190" t="s">
        <v>7673</v>
      </c>
      <c r="E327" s="1191">
        <v>2025</v>
      </c>
      <c r="F327" s="1192">
        <v>46022</v>
      </c>
      <c r="G327" s="1202">
        <v>0</v>
      </c>
      <c r="H327" s="1203">
        <v>0</v>
      </c>
      <c r="I327" s="1203">
        <v>0</v>
      </c>
      <c r="J327" s="1298">
        <v>0</v>
      </c>
      <c r="K327" s="1211"/>
    </row>
    <row r="328" spans="1:11" ht="22.5">
      <c r="A328" s="1187">
        <v>328</v>
      </c>
      <c r="B328" s="1188"/>
      <c r="C328" s="1189" t="s">
        <v>445</v>
      </c>
      <c r="D328" s="1190" t="s">
        <v>7683</v>
      </c>
      <c r="E328" s="1191">
        <v>2025</v>
      </c>
      <c r="F328" s="1192">
        <v>46022</v>
      </c>
      <c r="G328" s="1202">
        <v>0</v>
      </c>
      <c r="H328" s="1203">
        <v>0</v>
      </c>
      <c r="I328" s="1203">
        <v>0</v>
      </c>
      <c r="J328" s="1298">
        <v>0</v>
      </c>
      <c r="K328" s="1211"/>
    </row>
    <row r="329" spans="1:11" ht="22.5">
      <c r="A329" s="1187">
        <v>329</v>
      </c>
      <c r="B329" s="1188"/>
      <c r="C329" s="1189" t="s">
        <v>447</v>
      </c>
      <c r="D329" s="1190" t="s">
        <v>11267</v>
      </c>
      <c r="E329" s="1191">
        <v>2025</v>
      </c>
      <c r="F329" s="1192">
        <v>46022</v>
      </c>
      <c r="G329" s="1204">
        <v>9455019.4600000009</v>
      </c>
      <c r="H329" s="1194">
        <v>10670767.619999999</v>
      </c>
      <c r="I329" s="1194">
        <v>-1215748.1599999983</v>
      </c>
      <c r="J329" s="1295">
        <v>-0.11393258697915477</v>
      </c>
      <c r="K329" s="1211"/>
    </row>
    <row r="330" spans="1:11">
      <c r="A330" s="1187">
        <v>330</v>
      </c>
      <c r="B330" s="1188"/>
      <c r="C330" s="1189" t="s">
        <v>448</v>
      </c>
      <c r="D330" s="1190" t="s">
        <v>7689</v>
      </c>
      <c r="E330" s="1191">
        <v>2025</v>
      </c>
      <c r="F330" s="1192">
        <v>46022</v>
      </c>
      <c r="G330" s="1202">
        <v>127554.8</v>
      </c>
      <c r="H330" s="1203">
        <v>72992.649999999994</v>
      </c>
      <c r="I330" s="1203">
        <v>54562.150000000009</v>
      </c>
      <c r="J330" s="1298">
        <v>0.74750197451387246</v>
      </c>
      <c r="K330" s="1211"/>
    </row>
    <row r="331" spans="1:11" ht="22.5">
      <c r="A331" s="1187">
        <v>331</v>
      </c>
      <c r="B331" s="1188"/>
      <c r="C331" s="1189" t="s">
        <v>450</v>
      </c>
      <c r="D331" s="1190" t="s">
        <v>7693</v>
      </c>
      <c r="E331" s="1191">
        <v>2025</v>
      </c>
      <c r="F331" s="1192">
        <v>46022</v>
      </c>
      <c r="G331" s="1202">
        <v>35287.86</v>
      </c>
      <c r="H331" s="1203">
        <v>234279.93</v>
      </c>
      <c r="I331" s="1203">
        <v>-198992.07</v>
      </c>
      <c r="J331" s="1298">
        <v>-0.84937736663998498</v>
      </c>
      <c r="K331" s="1211"/>
    </row>
    <row r="332" spans="1:11" ht="22.5">
      <c r="A332" s="1187">
        <v>332</v>
      </c>
      <c r="B332" s="1188"/>
      <c r="C332" s="1189" t="s">
        <v>452</v>
      </c>
      <c r="D332" s="1190" t="s">
        <v>11268</v>
      </c>
      <c r="E332" s="1191">
        <v>2025</v>
      </c>
      <c r="F332" s="1192">
        <v>46022</v>
      </c>
      <c r="G332" s="1202">
        <v>9292176.8000000007</v>
      </c>
      <c r="H332" s="1203">
        <v>10293111.699999999</v>
      </c>
      <c r="I332" s="1203">
        <v>-1000934.8999999985</v>
      </c>
      <c r="J332" s="1298">
        <v>-9.7243178658985949E-2</v>
      </c>
      <c r="K332" s="1211"/>
    </row>
    <row r="333" spans="1:11">
      <c r="A333" s="1187">
        <v>333</v>
      </c>
      <c r="B333" s="1188"/>
      <c r="C333" s="1189" t="s">
        <v>453</v>
      </c>
      <c r="D333" s="1190" t="s">
        <v>11269</v>
      </c>
      <c r="E333" s="1191">
        <v>2025</v>
      </c>
      <c r="F333" s="1192">
        <v>46022</v>
      </c>
      <c r="G333" s="1202">
        <v>0</v>
      </c>
      <c r="H333" s="1203">
        <v>0</v>
      </c>
      <c r="I333" s="1203">
        <v>0</v>
      </c>
      <c r="J333" s="1298">
        <v>0</v>
      </c>
      <c r="K333" s="1211"/>
    </row>
    <row r="334" spans="1:11" ht="22.5">
      <c r="A334" s="1187">
        <v>334</v>
      </c>
      <c r="B334" s="1188"/>
      <c r="C334" s="1189" t="s">
        <v>454</v>
      </c>
      <c r="D334" s="1190" t="s">
        <v>11270</v>
      </c>
      <c r="E334" s="1191">
        <v>2025</v>
      </c>
      <c r="F334" s="1192">
        <v>46022</v>
      </c>
      <c r="G334" s="1202">
        <v>0</v>
      </c>
      <c r="H334" s="1203">
        <v>70383.34</v>
      </c>
      <c r="I334" s="1203">
        <v>-70383.34</v>
      </c>
      <c r="J334" s="1298">
        <v>-1</v>
      </c>
      <c r="K334" s="1211"/>
    </row>
    <row r="335" spans="1:11" ht="45">
      <c r="A335" s="1187">
        <v>335</v>
      </c>
      <c r="B335" s="1201"/>
      <c r="C335" s="1189" t="s">
        <v>7715</v>
      </c>
      <c r="D335" s="1190" t="s">
        <v>11271</v>
      </c>
      <c r="E335" s="1191">
        <v>2025</v>
      </c>
      <c r="F335" s="1192">
        <v>46022</v>
      </c>
      <c r="G335" s="1202">
        <v>0</v>
      </c>
      <c r="H335" s="1203">
        <v>0</v>
      </c>
      <c r="I335" s="1203">
        <v>0</v>
      </c>
      <c r="J335" s="1298">
        <v>0</v>
      </c>
      <c r="K335" s="1211"/>
    </row>
    <row r="336" spans="1:11" ht="22.5">
      <c r="A336" s="1187">
        <v>336</v>
      </c>
      <c r="B336" s="1188"/>
      <c r="C336" s="1189" t="s">
        <v>455</v>
      </c>
      <c r="D336" s="1190" t="s">
        <v>11272</v>
      </c>
      <c r="E336" s="1191">
        <v>2025</v>
      </c>
      <c r="F336" s="1192">
        <v>46022</v>
      </c>
      <c r="G336" s="1204">
        <v>0</v>
      </c>
      <c r="H336" s="1194">
        <v>0</v>
      </c>
      <c r="I336" s="1194">
        <v>0</v>
      </c>
      <c r="J336" s="1295">
        <v>0</v>
      </c>
      <c r="K336" s="1211"/>
    </row>
    <row r="337" spans="1:11" ht="22.5">
      <c r="A337" s="1187">
        <v>337</v>
      </c>
      <c r="B337" s="1188" t="s">
        <v>1519</v>
      </c>
      <c r="C337" s="1189" t="s">
        <v>456</v>
      </c>
      <c r="D337" s="1190" t="s">
        <v>7724</v>
      </c>
      <c r="E337" s="1191">
        <v>2025</v>
      </c>
      <c r="F337" s="1192">
        <v>46022</v>
      </c>
      <c r="G337" s="1202">
        <v>0</v>
      </c>
      <c r="H337" s="1203">
        <v>0</v>
      </c>
      <c r="I337" s="1203">
        <v>0</v>
      </c>
      <c r="J337" s="1298">
        <v>0</v>
      </c>
      <c r="K337" s="1211"/>
    </row>
    <row r="338" spans="1:11" ht="22.5">
      <c r="A338" s="1187">
        <v>338</v>
      </c>
      <c r="B338" s="1188"/>
      <c r="C338" s="1189" t="s">
        <v>458</v>
      </c>
      <c r="D338" s="1190" t="s">
        <v>7729</v>
      </c>
      <c r="E338" s="1191">
        <v>2025</v>
      </c>
      <c r="F338" s="1192">
        <v>46022</v>
      </c>
      <c r="G338" s="1202">
        <v>0</v>
      </c>
      <c r="H338" s="1203">
        <v>0</v>
      </c>
      <c r="I338" s="1203">
        <v>0</v>
      </c>
      <c r="J338" s="1298">
        <v>0</v>
      </c>
      <c r="K338" s="1211"/>
    </row>
    <row r="339" spans="1:11" ht="22.5">
      <c r="A339" s="1187">
        <v>339</v>
      </c>
      <c r="B339" s="1188" t="s">
        <v>1340</v>
      </c>
      <c r="C339" s="1189" t="s">
        <v>460</v>
      </c>
      <c r="D339" s="1190" t="s">
        <v>7732</v>
      </c>
      <c r="E339" s="1191">
        <v>2025</v>
      </c>
      <c r="F339" s="1192">
        <v>46022</v>
      </c>
      <c r="G339" s="1202">
        <v>0</v>
      </c>
      <c r="H339" s="1203">
        <v>0</v>
      </c>
      <c r="I339" s="1203">
        <v>0</v>
      </c>
      <c r="J339" s="1298">
        <v>0</v>
      </c>
      <c r="K339" s="1211"/>
    </row>
    <row r="340" spans="1:11">
      <c r="A340" s="1187">
        <v>340</v>
      </c>
      <c r="B340" s="1188"/>
      <c r="C340" s="1189" t="s">
        <v>8046</v>
      </c>
      <c r="D340" s="1190" t="s">
        <v>8049</v>
      </c>
      <c r="E340" s="1191">
        <v>2025</v>
      </c>
      <c r="F340" s="1192">
        <v>46022</v>
      </c>
      <c r="G340" s="1204">
        <v>35883.4</v>
      </c>
      <c r="H340" s="1194">
        <v>110644.91</v>
      </c>
      <c r="I340" s="1194">
        <v>-74761.510000000009</v>
      </c>
      <c r="J340" s="1295">
        <v>-0.67568865119958976</v>
      </c>
      <c r="K340" s="1211"/>
    </row>
    <row r="341" spans="1:11">
      <c r="A341" s="1187">
        <v>341</v>
      </c>
      <c r="B341" s="1188"/>
      <c r="C341" s="1189" t="s">
        <v>462</v>
      </c>
      <c r="D341" s="1190" t="s">
        <v>8053</v>
      </c>
      <c r="E341" s="1191">
        <v>2025</v>
      </c>
      <c r="F341" s="1192">
        <v>46022</v>
      </c>
      <c r="G341" s="1202">
        <v>0</v>
      </c>
      <c r="H341" s="1203">
        <v>75000</v>
      </c>
      <c r="I341" s="1203">
        <v>-75000</v>
      </c>
      <c r="J341" s="1298">
        <v>-1</v>
      </c>
      <c r="K341" s="1211"/>
    </row>
    <row r="342" spans="1:11">
      <c r="A342" s="1187">
        <v>342</v>
      </c>
      <c r="B342" s="1188"/>
      <c r="C342" s="1189" t="s">
        <v>463</v>
      </c>
      <c r="D342" s="1190" t="s">
        <v>8067</v>
      </c>
      <c r="E342" s="1191">
        <v>2025</v>
      </c>
      <c r="F342" s="1192">
        <v>46022</v>
      </c>
      <c r="G342" s="1202">
        <v>35883.4</v>
      </c>
      <c r="H342" s="1203">
        <v>35644.910000000003</v>
      </c>
      <c r="I342" s="1203">
        <v>238.48999999999796</v>
      </c>
      <c r="J342" s="1298">
        <v>6.6907168512979256E-3</v>
      </c>
      <c r="K342" s="1211"/>
    </row>
    <row r="343" spans="1:11">
      <c r="A343" s="1187">
        <v>343</v>
      </c>
      <c r="B343" s="1188"/>
      <c r="C343" s="1189" t="s">
        <v>565</v>
      </c>
      <c r="D343" s="1190" t="s">
        <v>8096</v>
      </c>
      <c r="E343" s="1191">
        <v>2025</v>
      </c>
      <c r="F343" s="1192">
        <v>46022</v>
      </c>
      <c r="G343" s="1204">
        <v>7103908.3099999996</v>
      </c>
      <c r="H343" s="1194">
        <v>6729867.25</v>
      </c>
      <c r="I343" s="1194">
        <v>374041.05999999959</v>
      </c>
      <c r="J343" s="1295">
        <v>5.5579262726170357E-2</v>
      </c>
      <c r="K343" s="1211"/>
    </row>
    <row r="344" spans="1:11" ht="22.5">
      <c r="A344" s="1187">
        <v>344</v>
      </c>
      <c r="B344" s="1188"/>
      <c r="C344" s="1189" t="s">
        <v>464</v>
      </c>
      <c r="D344" s="1190" t="s">
        <v>11273</v>
      </c>
      <c r="E344" s="1191">
        <v>2025</v>
      </c>
      <c r="F344" s="1192">
        <v>46022</v>
      </c>
      <c r="G344" s="1202">
        <v>400364.07</v>
      </c>
      <c r="H344" s="1203">
        <v>212556.79</v>
      </c>
      <c r="I344" s="1203">
        <v>187807.28</v>
      </c>
      <c r="J344" s="1298">
        <v>0.88356283513690614</v>
      </c>
      <c r="K344" s="1211"/>
    </row>
    <row r="345" spans="1:11">
      <c r="A345" s="1187">
        <v>345</v>
      </c>
      <c r="B345" s="1201"/>
      <c r="C345" s="1189" t="s">
        <v>465</v>
      </c>
      <c r="D345" s="1190" t="s">
        <v>11274</v>
      </c>
      <c r="E345" s="1191">
        <v>2025</v>
      </c>
      <c r="F345" s="1192">
        <v>46022</v>
      </c>
      <c r="G345" s="1202">
        <v>2975076.83</v>
      </c>
      <c r="H345" s="1203">
        <v>2414747.92</v>
      </c>
      <c r="I345" s="1203">
        <v>560328.91000000015</v>
      </c>
      <c r="J345" s="1298">
        <v>0.23204447361114205</v>
      </c>
      <c r="K345" s="1211"/>
    </row>
    <row r="346" spans="1:11" ht="22.5">
      <c r="A346" s="1187">
        <v>346</v>
      </c>
      <c r="B346" s="1188"/>
      <c r="C346" s="1189" t="s">
        <v>466</v>
      </c>
      <c r="D346" s="1190" t="s">
        <v>11275</v>
      </c>
      <c r="E346" s="1191">
        <v>2025</v>
      </c>
      <c r="F346" s="1192">
        <v>46022</v>
      </c>
      <c r="G346" s="1202">
        <v>3725580.78</v>
      </c>
      <c r="H346" s="1203">
        <v>4097117.36</v>
      </c>
      <c r="I346" s="1203">
        <v>-371536.58000000007</v>
      </c>
      <c r="J346" s="1298">
        <v>-9.0682435320817878E-2</v>
      </c>
      <c r="K346" s="1211"/>
    </row>
    <row r="347" spans="1:11">
      <c r="A347" s="1187">
        <v>347</v>
      </c>
      <c r="B347" s="1188"/>
      <c r="C347" s="1189" t="s">
        <v>467</v>
      </c>
      <c r="D347" s="1190" t="s">
        <v>11276</v>
      </c>
      <c r="E347" s="1191">
        <v>2025</v>
      </c>
      <c r="F347" s="1192">
        <v>46022</v>
      </c>
      <c r="G347" s="1202">
        <v>0</v>
      </c>
      <c r="H347" s="1203">
        <v>0</v>
      </c>
      <c r="I347" s="1203">
        <v>0</v>
      </c>
      <c r="J347" s="1298">
        <v>0</v>
      </c>
      <c r="K347" s="1211"/>
    </row>
    <row r="348" spans="1:11">
      <c r="A348" s="1187">
        <v>348</v>
      </c>
      <c r="B348" s="1188"/>
      <c r="C348" s="1189" t="s">
        <v>468</v>
      </c>
      <c r="D348" s="1190" t="s">
        <v>11277</v>
      </c>
      <c r="E348" s="1191">
        <v>2025</v>
      </c>
      <c r="F348" s="1192">
        <v>46022</v>
      </c>
      <c r="G348" s="1202">
        <v>873.63</v>
      </c>
      <c r="H348" s="1203">
        <v>5280.18</v>
      </c>
      <c r="I348" s="1203">
        <v>-4406.55</v>
      </c>
      <c r="J348" s="1298">
        <v>-0.83454541322454912</v>
      </c>
      <c r="K348" s="1211"/>
    </row>
    <row r="349" spans="1:11">
      <c r="A349" s="1187">
        <v>349</v>
      </c>
      <c r="B349" s="1188"/>
      <c r="C349" s="1189" t="s">
        <v>469</v>
      </c>
      <c r="D349" s="1190" t="s">
        <v>11278</v>
      </c>
      <c r="E349" s="1191">
        <v>2025</v>
      </c>
      <c r="F349" s="1192">
        <v>46022</v>
      </c>
      <c r="G349" s="1202">
        <v>2013</v>
      </c>
      <c r="H349" s="1203">
        <v>165</v>
      </c>
      <c r="I349" s="1203">
        <v>1848</v>
      </c>
      <c r="J349" s="1298">
        <v>11.2</v>
      </c>
      <c r="K349" s="1211"/>
    </row>
    <row r="350" spans="1:11" ht="22.5">
      <c r="A350" s="1187">
        <v>350</v>
      </c>
      <c r="B350" s="1188" t="s">
        <v>1519</v>
      </c>
      <c r="C350" s="1189" t="s">
        <v>470</v>
      </c>
      <c r="D350" s="1190" t="s">
        <v>11279</v>
      </c>
      <c r="E350" s="1191">
        <v>2025</v>
      </c>
      <c r="F350" s="1192">
        <v>46022</v>
      </c>
      <c r="G350" s="1202">
        <v>0</v>
      </c>
      <c r="H350" s="1203">
        <v>0</v>
      </c>
      <c r="I350" s="1203">
        <v>0</v>
      </c>
      <c r="J350" s="1298">
        <v>0</v>
      </c>
      <c r="K350" s="1211"/>
    </row>
    <row r="351" spans="1:11">
      <c r="A351" s="1187">
        <v>351</v>
      </c>
      <c r="B351" s="1188"/>
      <c r="C351" s="1189" t="s">
        <v>8163</v>
      </c>
      <c r="D351" s="1190" t="s">
        <v>8166</v>
      </c>
      <c r="E351" s="1191">
        <v>2025</v>
      </c>
      <c r="F351" s="1192">
        <v>46022</v>
      </c>
      <c r="G351" s="1204">
        <v>4925888.93</v>
      </c>
      <c r="H351" s="1194">
        <v>5057221.67</v>
      </c>
      <c r="I351" s="1194">
        <v>-131332.74000000022</v>
      </c>
      <c r="J351" s="1295">
        <v>-2.5969346129136598E-2</v>
      </c>
      <c r="K351" s="1211"/>
    </row>
    <row r="352" spans="1:11">
      <c r="A352" s="1187">
        <v>352</v>
      </c>
      <c r="B352" s="1188"/>
      <c r="C352" s="1189" t="s">
        <v>8167</v>
      </c>
      <c r="D352" s="1190" t="s">
        <v>8170</v>
      </c>
      <c r="E352" s="1191">
        <v>2025</v>
      </c>
      <c r="F352" s="1192">
        <v>46022</v>
      </c>
      <c r="G352" s="1202">
        <v>140892.44</v>
      </c>
      <c r="H352" s="1203">
        <v>140984.5</v>
      </c>
      <c r="I352" s="1203">
        <v>-92.059999999997672</v>
      </c>
      <c r="J352" s="1298">
        <v>-6.5297958286192933E-4</v>
      </c>
      <c r="K352" s="1211"/>
    </row>
    <row r="353" spans="1:11">
      <c r="A353" s="1187">
        <v>353</v>
      </c>
      <c r="B353" s="1188"/>
      <c r="C353" s="1189" t="s">
        <v>8182</v>
      </c>
      <c r="D353" s="1190" t="s">
        <v>8185</v>
      </c>
      <c r="E353" s="1191">
        <v>2025</v>
      </c>
      <c r="F353" s="1192">
        <v>46022</v>
      </c>
      <c r="G353" s="1204">
        <v>2696856.49</v>
      </c>
      <c r="H353" s="1194">
        <v>2732918.19</v>
      </c>
      <c r="I353" s="1194">
        <v>-36061.699999999721</v>
      </c>
      <c r="J353" s="1295">
        <v>-1.3195309004108799E-2</v>
      </c>
      <c r="K353" s="1211"/>
    </row>
    <row r="354" spans="1:11">
      <c r="A354" s="1187">
        <v>354</v>
      </c>
      <c r="B354" s="1188"/>
      <c r="C354" s="1189" t="s">
        <v>8186</v>
      </c>
      <c r="D354" s="1190" t="s">
        <v>8189</v>
      </c>
      <c r="E354" s="1191">
        <v>2025</v>
      </c>
      <c r="F354" s="1192">
        <v>46022</v>
      </c>
      <c r="G354" s="1202">
        <v>2217723.9500000002</v>
      </c>
      <c r="H354" s="1203">
        <v>2412898.7799999998</v>
      </c>
      <c r="I354" s="1203">
        <v>-195174.82999999961</v>
      </c>
      <c r="J354" s="1298">
        <v>-8.0888113342242898E-2</v>
      </c>
      <c r="K354" s="1211"/>
    </row>
    <row r="355" spans="1:11">
      <c r="A355" s="1187">
        <v>355</v>
      </c>
      <c r="B355" s="1188"/>
      <c r="C355" s="1189" t="s">
        <v>8201</v>
      </c>
      <c r="D355" s="1190" t="s">
        <v>8204</v>
      </c>
      <c r="E355" s="1191">
        <v>2025</v>
      </c>
      <c r="F355" s="1192">
        <v>46022</v>
      </c>
      <c r="G355" s="1202">
        <v>479132.53999999992</v>
      </c>
      <c r="H355" s="1203">
        <v>320019.41000000003</v>
      </c>
      <c r="I355" s="1203">
        <v>159113.12999999989</v>
      </c>
      <c r="J355" s="1298">
        <v>0.49719837306118358</v>
      </c>
      <c r="K355" s="1211"/>
    </row>
    <row r="356" spans="1:11">
      <c r="A356" s="1187">
        <v>356</v>
      </c>
      <c r="B356" s="1188"/>
      <c r="C356" s="1189" t="s">
        <v>8233</v>
      </c>
      <c r="D356" s="1190" t="s">
        <v>8236</v>
      </c>
      <c r="E356" s="1191">
        <v>2025</v>
      </c>
      <c r="F356" s="1192">
        <v>46022</v>
      </c>
      <c r="G356" s="1204">
        <v>2088140</v>
      </c>
      <c r="H356" s="1194">
        <v>2183318.98</v>
      </c>
      <c r="I356" s="1194">
        <v>-95178.979999999981</v>
      </c>
      <c r="J356" s="1295">
        <v>-4.3593712541261369E-2</v>
      </c>
      <c r="K356" s="1211"/>
    </row>
    <row r="357" spans="1:11">
      <c r="A357" s="1187">
        <v>357</v>
      </c>
      <c r="B357" s="1188"/>
      <c r="C357" s="1189" t="s">
        <v>8237</v>
      </c>
      <c r="D357" s="1190" t="s">
        <v>8240</v>
      </c>
      <c r="E357" s="1191">
        <v>2025</v>
      </c>
      <c r="F357" s="1192">
        <v>46022</v>
      </c>
      <c r="G357" s="1202">
        <v>2088140</v>
      </c>
      <c r="H357" s="1203">
        <v>2183318.98</v>
      </c>
      <c r="I357" s="1203">
        <v>-95178.979999999981</v>
      </c>
      <c r="J357" s="1298">
        <v>-4.3593712541261369E-2</v>
      </c>
      <c r="K357" s="1211"/>
    </row>
    <row r="358" spans="1:11">
      <c r="A358" s="1187">
        <v>358</v>
      </c>
      <c r="B358" s="1188"/>
      <c r="C358" s="1189" t="s">
        <v>8262</v>
      </c>
      <c r="D358" s="1190" t="s">
        <v>8265</v>
      </c>
      <c r="E358" s="1191">
        <v>2025</v>
      </c>
      <c r="F358" s="1192">
        <v>46022</v>
      </c>
      <c r="G358" s="1202">
        <v>0</v>
      </c>
      <c r="H358" s="1203">
        <v>0</v>
      </c>
      <c r="I358" s="1203">
        <v>0</v>
      </c>
      <c r="J358" s="1298">
        <v>0</v>
      </c>
      <c r="K358" s="1211"/>
    </row>
    <row r="359" spans="1:11">
      <c r="A359" s="1187">
        <v>359</v>
      </c>
      <c r="B359" s="1188"/>
      <c r="C359" s="1189" t="s">
        <v>8280</v>
      </c>
      <c r="D359" s="1190" t="s">
        <v>8283</v>
      </c>
      <c r="E359" s="1191">
        <v>2025</v>
      </c>
      <c r="F359" s="1192">
        <v>46022</v>
      </c>
      <c r="G359" s="1202">
        <v>0</v>
      </c>
      <c r="H359" s="1203">
        <v>0</v>
      </c>
      <c r="I359" s="1203">
        <v>0</v>
      </c>
      <c r="J359" s="1298">
        <v>0</v>
      </c>
      <c r="K359" s="1211"/>
    </row>
    <row r="360" spans="1:11" ht="22.5">
      <c r="A360" s="1187">
        <v>360</v>
      </c>
      <c r="B360" s="1188" t="s">
        <v>1519</v>
      </c>
      <c r="C360" s="1189" t="s">
        <v>8285</v>
      </c>
      <c r="D360" s="1190" t="s">
        <v>8288</v>
      </c>
      <c r="E360" s="1191">
        <v>2025</v>
      </c>
      <c r="F360" s="1192">
        <v>46022</v>
      </c>
      <c r="G360" s="1204">
        <v>0</v>
      </c>
      <c r="H360" s="1194">
        <v>0</v>
      </c>
      <c r="I360" s="1194">
        <v>0</v>
      </c>
      <c r="J360" s="1295">
        <v>0</v>
      </c>
      <c r="K360" s="1211"/>
    </row>
    <row r="361" spans="1:11" s="1217" customFormat="1">
      <c r="A361" s="1206">
        <v>361</v>
      </c>
      <c r="B361" s="1207"/>
      <c r="C361" s="1208" t="s">
        <v>11280</v>
      </c>
      <c r="D361" s="1210" t="s">
        <v>11281</v>
      </c>
      <c r="E361" s="1191">
        <v>2025</v>
      </c>
      <c r="F361" s="1192">
        <v>46022</v>
      </c>
      <c r="G361" s="1204">
        <v>115917405.23999999</v>
      </c>
      <c r="H361" s="1194">
        <v>107330701.87</v>
      </c>
      <c r="I361" s="1194">
        <v>8586703.3699999899</v>
      </c>
      <c r="J361" s="1295">
        <v>8.0002303352122758E-2</v>
      </c>
      <c r="K361" s="1218"/>
    </row>
    <row r="362" spans="1:11">
      <c r="A362" s="1187">
        <v>362</v>
      </c>
      <c r="B362" s="1201"/>
      <c r="C362" s="1189" t="s">
        <v>566</v>
      </c>
      <c r="D362" s="1190" t="s">
        <v>8297</v>
      </c>
      <c r="E362" s="1191">
        <v>2025</v>
      </c>
      <c r="F362" s="1192">
        <v>46022</v>
      </c>
      <c r="G362" s="1204">
        <v>105777673.84999999</v>
      </c>
      <c r="H362" s="1194">
        <v>98107478.960000008</v>
      </c>
      <c r="I362" s="1194">
        <v>7670194.8899999857</v>
      </c>
      <c r="J362" s="1295">
        <v>7.8181551205971228E-2</v>
      </c>
      <c r="K362" s="1211"/>
    </row>
    <row r="363" spans="1:11">
      <c r="A363" s="1187">
        <v>363</v>
      </c>
      <c r="B363" s="1201"/>
      <c r="C363" s="1189" t="s">
        <v>567</v>
      </c>
      <c r="D363" s="1190" t="s">
        <v>8299</v>
      </c>
      <c r="E363" s="1191">
        <v>2025</v>
      </c>
      <c r="F363" s="1192">
        <v>46022</v>
      </c>
      <c r="G363" s="1204">
        <v>47394870.079999998</v>
      </c>
      <c r="H363" s="1194">
        <v>45451911.409999996</v>
      </c>
      <c r="I363" s="1194">
        <v>1942958.6700000018</v>
      </c>
      <c r="J363" s="1295">
        <v>4.2747567917958369E-2</v>
      </c>
      <c r="K363" s="1211"/>
    </row>
    <row r="364" spans="1:11">
      <c r="A364" s="1187">
        <v>364</v>
      </c>
      <c r="B364" s="1188"/>
      <c r="C364" s="1189" t="s">
        <v>568</v>
      </c>
      <c r="D364" s="1190" t="s">
        <v>8301</v>
      </c>
      <c r="E364" s="1191">
        <v>2025</v>
      </c>
      <c r="F364" s="1192">
        <v>46022</v>
      </c>
      <c r="G364" s="1194">
        <v>44178058.600000001</v>
      </c>
      <c r="H364" s="1194">
        <v>42954500.379999995</v>
      </c>
      <c r="I364" s="1194">
        <v>1223558.2200000063</v>
      </c>
      <c r="J364" s="1295">
        <v>2.8484983160686605E-2</v>
      </c>
      <c r="K364" s="1211"/>
    </row>
    <row r="365" spans="1:11" ht="22.5">
      <c r="A365" s="1187">
        <v>365</v>
      </c>
      <c r="B365" s="1188"/>
      <c r="C365" s="1189" t="s">
        <v>569</v>
      </c>
      <c r="D365" s="1190" t="s">
        <v>8307</v>
      </c>
      <c r="E365" s="1191">
        <v>2025</v>
      </c>
      <c r="F365" s="1192">
        <v>46022</v>
      </c>
      <c r="G365" s="1202">
        <v>40546899.850000001</v>
      </c>
      <c r="H365" s="1203">
        <v>37481542.359999999</v>
      </c>
      <c r="I365" s="1203">
        <v>3065357.4900000021</v>
      </c>
      <c r="J365" s="1298">
        <v>8.1783120357163508E-2</v>
      </c>
      <c r="K365" s="1211"/>
    </row>
    <row r="366" spans="1:11" ht="22.5">
      <c r="A366" s="1187">
        <v>366</v>
      </c>
      <c r="B366" s="1188"/>
      <c r="C366" s="1189" t="s">
        <v>570</v>
      </c>
      <c r="D366" s="1190" t="s">
        <v>8361</v>
      </c>
      <c r="E366" s="1191">
        <v>2025</v>
      </c>
      <c r="F366" s="1192">
        <v>46022</v>
      </c>
      <c r="G366" s="1202">
        <v>3631158.75</v>
      </c>
      <c r="H366" s="1203">
        <v>5472958.0199999996</v>
      </c>
      <c r="I366" s="1203">
        <v>-1841799.2699999996</v>
      </c>
      <c r="J366" s="1298">
        <v>-0.33652720581255247</v>
      </c>
      <c r="K366" s="1211"/>
    </row>
    <row r="367" spans="1:11">
      <c r="A367" s="1187">
        <v>367</v>
      </c>
      <c r="B367" s="1188"/>
      <c r="C367" s="1189" t="s">
        <v>571</v>
      </c>
      <c r="D367" s="1190" t="s">
        <v>8424</v>
      </c>
      <c r="E367" s="1191">
        <v>2025</v>
      </c>
      <c r="F367" s="1192">
        <v>46022</v>
      </c>
      <c r="G367" s="1202">
        <v>0</v>
      </c>
      <c r="H367" s="1203">
        <v>0</v>
      </c>
      <c r="I367" s="1203">
        <v>0</v>
      </c>
      <c r="J367" s="1298">
        <v>0</v>
      </c>
      <c r="K367" s="1211"/>
    </row>
    <row r="368" spans="1:11">
      <c r="A368" s="1187">
        <v>368</v>
      </c>
      <c r="B368" s="1188"/>
      <c r="C368" s="1189" t="s">
        <v>572</v>
      </c>
      <c r="D368" s="1190" t="s">
        <v>8426</v>
      </c>
      <c r="E368" s="1191">
        <v>2025</v>
      </c>
      <c r="F368" s="1192">
        <v>46022</v>
      </c>
      <c r="G368" s="1194">
        <v>3216811.4799999995</v>
      </c>
      <c r="H368" s="1194">
        <v>2497411.0300000003</v>
      </c>
      <c r="I368" s="1194">
        <v>719400.44999999925</v>
      </c>
      <c r="J368" s="1295">
        <v>0.28805848991545424</v>
      </c>
      <c r="K368" s="1211"/>
    </row>
    <row r="369" spans="1:11" ht="22.5">
      <c r="A369" s="1187">
        <v>369</v>
      </c>
      <c r="B369" s="1188"/>
      <c r="C369" s="1189" t="s">
        <v>573</v>
      </c>
      <c r="D369" s="1190" t="s">
        <v>8431</v>
      </c>
      <c r="E369" s="1191">
        <v>2025</v>
      </c>
      <c r="F369" s="1192">
        <v>46022</v>
      </c>
      <c r="G369" s="1202">
        <v>3209812.6399999997</v>
      </c>
      <c r="H369" s="1203">
        <v>2225580.08</v>
      </c>
      <c r="I369" s="1203">
        <v>984232.55999999959</v>
      </c>
      <c r="J369" s="1298">
        <v>0.44223641685362297</v>
      </c>
      <c r="K369" s="1211"/>
    </row>
    <row r="370" spans="1:11" ht="22.5">
      <c r="A370" s="1187">
        <v>370</v>
      </c>
      <c r="B370" s="1188"/>
      <c r="C370" s="1189" t="s">
        <v>574</v>
      </c>
      <c r="D370" s="1190" t="s">
        <v>8480</v>
      </c>
      <c r="E370" s="1191">
        <v>2025</v>
      </c>
      <c r="F370" s="1192">
        <v>46022</v>
      </c>
      <c r="G370" s="1202">
        <v>6998.84</v>
      </c>
      <c r="H370" s="1203">
        <v>271830.95</v>
      </c>
      <c r="I370" s="1203">
        <v>-264832.11</v>
      </c>
      <c r="J370" s="1298">
        <v>-0.97425296861891542</v>
      </c>
      <c r="K370" s="1211"/>
    </row>
    <row r="371" spans="1:11">
      <c r="A371" s="1187">
        <v>371</v>
      </c>
      <c r="B371" s="1188"/>
      <c r="C371" s="1189" t="s">
        <v>575</v>
      </c>
      <c r="D371" s="1190" t="s">
        <v>8547</v>
      </c>
      <c r="E371" s="1191">
        <v>2025</v>
      </c>
      <c r="F371" s="1192">
        <v>46022</v>
      </c>
      <c r="G371" s="1202">
        <v>0</v>
      </c>
      <c r="H371" s="1203">
        <v>0</v>
      </c>
      <c r="I371" s="1203">
        <v>0</v>
      </c>
      <c r="J371" s="1298">
        <v>0</v>
      </c>
      <c r="K371" s="1211"/>
    </row>
    <row r="372" spans="1:11">
      <c r="A372" s="1187">
        <v>372</v>
      </c>
      <c r="B372" s="1188"/>
      <c r="C372" s="1189" t="s">
        <v>576</v>
      </c>
      <c r="D372" s="1190" t="s">
        <v>8549</v>
      </c>
      <c r="E372" s="1191">
        <v>2025</v>
      </c>
      <c r="F372" s="1192">
        <v>46022</v>
      </c>
      <c r="G372" s="1194">
        <v>58382803.770000003</v>
      </c>
      <c r="H372" s="1194">
        <v>52655567.550000004</v>
      </c>
      <c r="I372" s="1194">
        <v>5727236.2199999988</v>
      </c>
      <c r="J372" s="1295">
        <v>0.10876791356510596</v>
      </c>
      <c r="K372" s="1211"/>
    </row>
    <row r="373" spans="1:11" ht="22.5">
      <c r="A373" s="1187">
        <v>373</v>
      </c>
      <c r="B373" s="1188"/>
      <c r="C373" s="1189" t="s">
        <v>577</v>
      </c>
      <c r="D373" s="1190" t="s">
        <v>8551</v>
      </c>
      <c r="E373" s="1191">
        <v>2025</v>
      </c>
      <c r="F373" s="1192">
        <v>46022</v>
      </c>
      <c r="G373" s="1202">
        <v>46617364.950000003</v>
      </c>
      <c r="H373" s="1203">
        <v>41867392.420000002</v>
      </c>
      <c r="I373" s="1203">
        <v>4749972.5300000012</v>
      </c>
      <c r="J373" s="1298">
        <v>0.11345279119248289</v>
      </c>
      <c r="K373" s="1211"/>
    </row>
    <row r="374" spans="1:11" ht="22.5">
      <c r="A374" s="1187">
        <v>374</v>
      </c>
      <c r="B374" s="1188"/>
      <c r="C374" s="1189" t="s">
        <v>578</v>
      </c>
      <c r="D374" s="1190" t="s">
        <v>8607</v>
      </c>
      <c r="E374" s="1191">
        <v>2025</v>
      </c>
      <c r="F374" s="1192">
        <v>46022</v>
      </c>
      <c r="G374" s="1202">
        <v>11765438.82</v>
      </c>
      <c r="H374" s="1203">
        <v>10788175.130000001</v>
      </c>
      <c r="I374" s="1203">
        <v>977263.68999999948</v>
      </c>
      <c r="J374" s="1298">
        <v>9.058656151051929E-2</v>
      </c>
      <c r="K374" s="1211"/>
    </row>
    <row r="375" spans="1:11">
      <c r="A375" s="1187">
        <v>375</v>
      </c>
      <c r="B375" s="1188"/>
      <c r="C375" s="1189" t="s">
        <v>579</v>
      </c>
      <c r="D375" s="1190" t="s">
        <v>8678</v>
      </c>
      <c r="E375" s="1191">
        <v>2025</v>
      </c>
      <c r="F375" s="1192">
        <v>46022</v>
      </c>
      <c r="G375" s="1202">
        <v>0</v>
      </c>
      <c r="H375" s="1203">
        <v>0</v>
      </c>
      <c r="I375" s="1203">
        <v>0</v>
      </c>
      <c r="J375" s="1298">
        <v>0</v>
      </c>
      <c r="K375" s="1211"/>
    </row>
    <row r="376" spans="1:11">
      <c r="A376" s="1187">
        <v>376</v>
      </c>
      <c r="B376" s="1201"/>
      <c r="C376" s="1189" t="s">
        <v>580</v>
      </c>
      <c r="D376" s="1190" t="s">
        <v>8737</v>
      </c>
      <c r="E376" s="1191">
        <v>2025</v>
      </c>
      <c r="F376" s="1192">
        <v>46022</v>
      </c>
      <c r="G376" s="1204">
        <v>1227302.5900000001</v>
      </c>
      <c r="H376" s="1194">
        <v>941417.89</v>
      </c>
      <c r="I376" s="1194">
        <v>285884.70000000007</v>
      </c>
      <c r="J376" s="1295">
        <v>0.30367459874806507</v>
      </c>
      <c r="K376" s="1211"/>
    </row>
    <row r="377" spans="1:11">
      <c r="A377" s="1187">
        <v>377</v>
      </c>
      <c r="B377" s="1188"/>
      <c r="C377" s="1189" t="s">
        <v>581</v>
      </c>
      <c r="D377" s="1190" t="s">
        <v>8739</v>
      </c>
      <c r="E377" s="1191">
        <v>2025</v>
      </c>
      <c r="F377" s="1192">
        <v>46022</v>
      </c>
      <c r="G377" s="1194">
        <v>1098821.3900000001</v>
      </c>
      <c r="H377" s="1194">
        <v>824968.04</v>
      </c>
      <c r="I377" s="1194">
        <v>273853.35000000009</v>
      </c>
      <c r="J377" s="1295">
        <v>0.33195631433188622</v>
      </c>
      <c r="K377" s="1211"/>
    </row>
    <row r="378" spans="1:11" ht="22.5">
      <c r="A378" s="1187">
        <v>378</v>
      </c>
      <c r="B378" s="1188"/>
      <c r="C378" s="1189" t="s">
        <v>582</v>
      </c>
      <c r="D378" s="1190" t="s">
        <v>8741</v>
      </c>
      <c r="E378" s="1191">
        <v>2025</v>
      </c>
      <c r="F378" s="1192">
        <v>46022</v>
      </c>
      <c r="G378" s="1202">
        <v>920849.55</v>
      </c>
      <c r="H378" s="1203">
        <v>338360.01</v>
      </c>
      <c r="I378" s="1203">
        <v>582489.54</v>
      </c>
      <c r="J378" s="1298">
        <v>1.7215082243318294</v>
      </c>
      <c r="K378" s="1211"/>
    </row>
    <row r="379" spans="1:11" ht="22.5">
      <c r="A379" s="1187">
        <v>379</v>
      </c>
      <c r="B379" s="1188"/>
      <c r="C379" s="1189" t="s">
        <v>583</v>
      </c>
      <c r="D379" s="1190" t="s">
        <v>8805</v>
      </c>
      <c r="E379" s="1191">
        <v>2025</v>
      </c>
      <c r="F379" s="1192">
        <v>46022</v>
      </c>
      <c r="G379" s="1202">
        <v>177971.84</v>
      </c>
      <c r="H379" s="1203">
        <v>486608.02999999997</v>
      </c>
      <c r="I379" s="1203">
        <v>-308636.18999999994</v>
      </c>
      <c r="J379" s="1298">
        <v>-0.63426037174109096</v>
      </c>
      <c r="K379" s="1211"/>
    </row>
    <row r="380" spans="1:11" ht="20.25" customHeight="1">
      <c r="A380" s="1187">
        <v>380</v>
      </c>
      <c r="B380" s="1188"/>
      <c r="C380" s="1189" t="s">
        <v>584</v>
      </c>
      <c r="D380" s="1190" t="s">
        <v>8868</v>
      </c>
      <c r="E380" s="1191">
        <v>2025</v>
      </c>
      <c r="F380" s="1192">
        <v>46022</v>
      </c>
      <c r="G380" s="1202">
        <v>0</v>
      </c>
      <c r="H380" s="1203">
        <v>0</v>
      </c>
      <c r="I380" s="1203">
        <v>0</v>
      </c>
      <c r="J380" s="1298">
        <v>0</v>
      </c>
      <c r="K380" s="1211"/>
    </row>
    <row r="381" spans="1:11">
      <c r="A381" s="1187">
        <v>381</v>
      </c>
      <c r="B381" s="1188"/>
      <c r="C381" s="1189" t="s">
        <v>585</v>
      </c>
      <c r="D381" s="1190" t="s">
        <v>8872</v>
      </c>
      <c r="E381" s="1191">
        <v>2025</v>
      </c>
      <c r="F381" s="1192">
        <v>46022</v>
      </c>
      <c r="G381" s="1194">
        <v>128481.2</v>
      </c>
      <c r="H381" s="1194">
        <v>116449.85</v>
      </c>
      <c r="I381" s="1194">
        <v>12031.349999999991</v>
      </c>
      <c r="J381" s="1295">
        <v>0.10331786601700209</v>
      </c>
      <c r="K381" s="1211"/>
    </row>
    <row r="382" spans="1:11" ht="22.5">
      <c r="A382" s="1187">
        <v>382</v>
      </c>
      <c r="B382" s="1188"/>
      <c r="C382" s="1189" t="s">
        <v>586</v>
      </c>
      <c r="D382" s="1190" t="s">
        <v>8874</v>
      </c>
      <c r="E382" s="1191">
        <v>2025</v>
      </c>
      <c r="F382" s="1192">
        <v>46022</v>
      </c>
      <c r="G382" s="1202">
        <v>53242.11</v>
      </c>
      <c r="H382" s="1203">
        <v>50761.759999999995</v>
      </c>
      <c r="I382" s="1203">
        <v>2480.3500000000058</v>
      </c>
      <c r="J382" s="1298">
        <v>4.8862568988939828E-2</v>
      </c>
      <c r="K382" s="1211"/>
    </row>
    <row r="383" spans="1:11" ht="22.5">
      <c r="A383" s="1187">
        <v>383</v>
      </c>
      <c r="B383" s="1188"/>
      <c r="C383" s="1189" t="s">
        <v>587</v>
      </c>
      <c r="D383" s="1190" t="s">
        <v>8914</v>
      </c>
      <c r="E383" s="1191">
        <v>2025</v>
      </c>
      <c r="F383" s="1192">
        <v>46022</v>
      </c>
      <c r="G383" s="1202">
        <v>18044.099999999999</v>
      </c>
      <c r="H383" s="1203">
        <v>0</v>
      </c>
      <c r="I383" s="1203">
        <v>18044.099999999999</v>
      </c>
      <c r="J383" s="1298">
        <v>1</v>
      </c>
      <c r="K383" s="1211"/>
    </row>
    <row r="384" spans="1:11" ht="22.5">
      <c r="A384" s="1187">
        <v>384</v>
      </c>
      <c r="B384" s="1188"/>
      <c r="C384" s="1189" t="s">
        <v>588</v>
      </c>
      <c r="D384" s="1190" t="s">
        <v>8973</v>
      </c>
      <c r="E384" s="1191">
        <v>2025</v>
      </c>
      <c r="F384" s="1192">
        <v>46022</v>
      </c>
      <c r="G384" s="1202">
        <v>57194.990000000005</v>
      </c>
      <c r="H384" s="1203">
        <v>65688.090000000011</v>
      </c>
      <c r="I384" s="1203">
        <v>-8493.1000000000058</v>
      </c>
      <c r="J384" s="1298">
        <v>-0.1292943667565917</v>
      </c>
      <c r="K384" s="1211"/>
    </row>
    <row r="385" spans="1:11">
      <c r="A385" s="1187">
        <v>385</v>
      </c>
      <c r="B385" s="1188"/>
      <c r="C385" s="1189" t="s">
        <v>589</v>
      </c>
      <c r="D385" s="1190" t="s">
        <v>9022</v>
      </c>
      <c r="E385" s="1191">
        <v>2025</v>
      </c>
      <c r="F385" s="1192">
        <v>46022</v>
      </c>
      <c r="G385" s="1204">
        <v>3917246.3400000003</v>
      </c>
      <c r="H385" s="1194">
        <v>3654313.3800000004</v>
      </c>
      <c r="I385" s="1194">
        <v>262932.95999999996</v>
      </c>
      <c r="J385" s="1295">
        <v>7.195139897936173E-2</v>
      </c>
      <c r="K385" s="1211"/>
    </row>
    <row r="386" spans="1:11">
      <c r="A386" s="1187">
        <v>386</v>
      </c>
      <c r="B386" s="1188"/>
      <c r="C386" s="1189" t="s">
        <v>590</v>
      </c>
      <c r="D386" s="1190" t="s">
        <v>9024</v>
      </c>
      <c r="E386" s="1191">
        <v>2025</v>
      </c>
      <c r="F386" s="1192">
        <v>46022</v>
      </c>
      <c r="G386" s="1204">
        <v>0</v>
      </c>
      <c r="H386" s="1194">
        <v>16943.849999999999</v>
      </c>
      <c r="I386" s="1194">
        <v>-16943.849999999999</v>
      </c>
      <c r="J386" s="1295">
        <v>-1</v>
      </c>
      <c r="K386" s="1211"/>
    </row>
    <row r="387" spans="1:11" ht="22.5">
      <c r="A387" s="1187">
        <v>387</v>
      </c>
      <c r="B387" s="1188"/>
      <c r="C387" s="1189" t="s">
        <v>591</v>
      </c>
      <c r="D387" s="1190" t="s">
        <v>9026</v>
      </c>
      <c r="E387" s="1191">
        <v>2025</v>
      </c>
      <c r="F387" s="1192">
        <v>46022</v>
      </c>
      <c r="G387" s="1202">
        <v>0</v>
      </c>
      <c r="H387" s="1203">
        <v>16943.849999999999</v>
      </c>
      <c r="I387" s="1203">
        <v>-16943.849999999999</v>
      </c>
      <c r="J387" s="1298">
        <v>-1</v>
      </c>
      <c r="K387" s="1211"/>
    </row>
    <row r="388" spans="1:11" ht="22.5">
      <c r="A388" s="1187">
        <v>388</v>
      </c>
      <c r="B388" s="1188"/>
      <c r="C388" s="1189" t="s">
        <v>592</v>
      </c>
      <c r="D388" s="1190" t="s">
        <v>9087</v>
      </c>
      <c r="E388" s="1191">
        <v>2025</v>
      </c>
      <c r="F388" s="1192">
        <v>46022</v>
      </c>
      <c r="G388" s="1202">
        <v>0</v>
      </c>
      <c r="H388" s="1203">
        <v>0</v>
      </c>
      <c r="I388" s="1203">
        <v>0</v>
      </c>
      <c r="J388" s="1298">
        <v>0</v>
      </c>
      <c r="K388" s="1211"/>
    </row>
    <row r="389" spans="1:11">
      <c r="A389" s="1187">
        <v>389</v>
      </c>
      <c r="B389" s="1188"/>
      <c r="C389" s="1189" t="s">
        <v>593</v>
      </c>
      <c r="D389" s="1190" t="s">
        <v>9148</v>
      </c>
      <c r="E389" s="1191">
        <v>2025</v>
      </c>
      <c r="F389" s="1192">
        <v>46022</v>
      </c>
      <c r="G389" s="1202">
        <v>0</v>
      </c>
      <c r="H389" s="1203">
        <v>0</v>
      </c>
      <c r="I389" s="1203">
        <v>0</v>
      </c>
      <c r="J389" s="1298">
        <v>0</v>
      </c>
      <c r="K389" s="1211"/>
    </row>
    <row r="390" spans="1:11">
      <c r="A390" s="1187">
        <v>390</v>
      </c>
      <c r="B390" s="1188"/>
      <c r="C390" s="1189" t="s">
        <v>594</v>
      </c>
      <c r="D390" s="1190" t="s">
        <v>9186</v>
      </c>
      <c r="E390" s="1191">
        <v>2025</v>
      </c>
      <c r="F390" s="1192">
        <v>46022</v>
      </c>
      <c r="G390" s="1194">
        <v>3917246.3400000003</v>
      </c>
      <c r="H390" s="1194">
        <v>3637369.5300000003</v>
      </c>
      <c r="I390" s="1194">
        <v>279876.81000000006</v>
      </c>
      <c r="J390" s="1295">
        <v>7.6944838211145408E-2</v>
      </c>
      <c r="K390" s="1211"/>
    </row>
    <row r="391" spans="1:11" ht="22.5">
      <c r="A391" s="1187">
        <v>391</v>
      </c>
      <c r="B391" s="1188"/>
      <c r="C391" s="1189" t="s">
        <v>595</v>
      </c>
      <c r="D391" s="1190" t="s">
        <v>9188</v>
      </c>
      <c r="E391" s="1191">
        <v>2025</v>
      </c>
      <c r="F391" s="1192">
        <v>46022</v>
      </c>
      <c r="G391" s="1202">
        <v>3806767.6400000006</v>
      </c>
      <c r="H391" s="1203">
        <v>3552553.43</v>
      </c>
      <c r="I391" s="1203">
        <v>254214.21000000043</v>
      </c>
      <c r="J391" s="1298">
        <v>7.1558166543887955E-2</v>
      </c>
      <c r="K391" s="1211"/>
    </row>
    <row r="392" spans="1:11" ht="22.5">
      <c r="A392" s="1187">
        <v>392</v>
      </c>
      <c r="B392" s="1188"/>
      <c r="C392" s="1189" t="s">
        <v>596</v>
      </c>
      <c r="D392" s="1190" t="s">
        <v>9255</v>
      </c>
      <c r="E392" s="1191">
        <v>2025</v>
      </c>
      <c r="F392" s="1192">
        <v>46022</v>
      </c>
      <c r="G392" s="1202">
        <v>18993.36</v>
      </c>
      <c r="H392" s="1203">
        <v>0</v>
      </c>
      <c r="I392" s="1203">
        <v>18993.36</v>
      </c>
      <c r="J392" s="1298">
        <v>1</v>
      </c>
      <c r="K392" s="1211"/>
    </row>
    <row r="393" spans="1:11">
      <c r="A393" s="1187">
        <v>393</v>
      </c>
      <c r="B393" s="1188"/>
      <c r="C393" s="1189" t="s">
        <v>597</v>
      </c>
      <c r="D393" s="1190" t="s">
        <v>9319</v>
      </c>
      <c r="E393" s="1191">
        <v>2025</v>
      </c>
      <c r="F393" s="1192">
        <v>46022</v>
      </c>
      <c r="G393" s="1202">
        <v>91485.340000000011</v>
      </c>
      <c r="H393" s="1203">
        <v>84816.099999999991</v>
      </c>
      <c r="I393" s="1203">
        <v>6669.2400000000198</v>
      </c>
      <c r="J393" s="1298">
        <v>7.8631769204196136E-2</v>
      </c>
      <c r="K393" s="1211"/>
    </row>
    <row r="394" spans="1:11">
      <c r="A394" s="1187">
        <v>394</v>
      </c>
      <c r="B394" s="1188"/>
      <c r="C394" s="1189" t="s">
        <v>598</v>
      </c>
      <c r="D394" s="1190" t="s">
        <v>9376</v>
      </c>
      <c r="E394" s="1191">
        <v>2025</v>
      </c>
      <c r="F394" s="1192">
        <v>46022</v>
      </c>
      <c r="G394" s="1204">
        <v>4995182.459999999</v>
      </c>
      <c r="H394" s="1194">
        <v>4627491.6399999997</v>
      </c>
      <c r="I394" s="1194">
        <v>367690.81999999937</v>
      </c>
      <c r="J394" s="1295">
        <v>7.9457911241088572E-2</v>
      </c>
      <c r="K394" s="1211"/>
    </row>
    <row r="395" spans="1:11">
      <c r="A395" s="1187">
        <v>395</v>
      </c>
      <c r="B395" s="1188"/>
      <c r="C395" s="1189" t="s">
        <v>599</v>
      </c>
      <c r="D395" s="1190" t="s">
        <v>9378</v>
      </c>
      <c r="E395" s="1191">
        <v>2025</v>
      </c>
      <c r="F395" s="1192">
        <v>46022</v>
      </c>
      <c r="G395" s="1194">
        <v>1134069.55</v>
      </c>
      <c r="H395" s="1194">
        <v>1055304.1599999999</v>
      </c>
      <c r="I395" s="1194">
        <v>78765.39000000013</v>
      </c>
      <c r="J395" s="1295">
        <v>7.4637619167539471E-2</v>
      </c>
      <c r="K395" s="1211"/>
    </row>
    <row r="396" spans="1:11" ht="22.5">
      <c r="A396" s="1187">
        <v>396</v>
      </c>
      <c r="B396" s="1188"/>
      <c r="C396" s="1189" t="s">
        <v>600</v>
      </c>
      <c r="D396" s="1190" t="s">
        <v>9380</v>
      </c>
      <c r="E396" s="1191">
        <v>2025</v>
      </c>
      <c r="F396" s="1192">
        <v>46022</v>
      </c>
      <c r="G396" s="1202">
        <v>981025.91</v>
      </c>
      <c r="H396" s="1203">
        <v>940729.73</v>
      </c>
      <c r="I396" s="1203">
        <v>40296.180000000051</v>
      </c>
      <c r="J396" s="1298">
        <v>4.2835023402523965E-2</v>
      </c>
      <c r="K396" s="1211"/>
    </row>
    <row r="397" spans="1:11" ht="22.5">
      <c r="A397" s="1187">
        <v>397</v>
      </c>
      <c r="B397" s="1188"/>
      <c r="C397" s="1189" t="s">
        <v>601</v>
      </c>
      <c r="D397" s="1190" t="s">
        <v>9444</v>
      </c>
      <c r="E397" s="1191">
        <v>2025</v>
      </c>
      <c r="F397" s="1192">
        <v>46022</v>
      </c>
      <c r="G397" s="1202">
        <v>153043.64000000001</v>
      </c>
      <c r="H397" s="1203">
        <v>114574.43</v>
      </c>
      <c r="I397" s="1203">
        <v>38469.210000000021</v>
      </c>
      <c r="J397" s="1298">
        <v>0.33575737623132862</v>
      </c>
      <c r="K397" s="1211"/>
    </row>
    <row r="398" spans="1:11" ht="22.5">
      <c r="A398" s="1187">
        <v>398</v>
      </c>
      <c r="B398" s="1188"/>
      <c r="C398" s="1189" t="s">
        <v>602</v>
      </c>
      <c r="D398" s="1190" t="s">
        <v>9505</v>
      </c>
      <c r="E398" s="1191">
        <v>2025</v>
      </c>
      <c r="F398" s="1192">
        <v>46022</v>
      </c>
      <c r="G398" s="1202">
        <v>0</v>
      </c>
      <c r="H398" s="1203">
        <v>0</v>
      </c>
      <c r="I398" s="1203">
        <v>0</v>
      </c>
      <c r="J398" s="1298">
        <v>0</v>
      </c>
      <c r="K398" s="1211"/>
    </row>
    <row r="399" spans="1:11">
      <c r="A399" s="1187">
        <v>399</v>
      </c>
      <c r="B399" s="1188"/>
      <c r="C399" s="1189" t="s">
        <v>603</v>
      </c>
      <c r="D399" s="1190" t="s">
        <v>9509</v>
      </c>
      <c r="E399" s="1191">
        <v>2025</v>
      </c>
      <c r="F399" s="1192">
        <v>46022</v>
      </c>
      <c r="G399" s="1194">
        <v>3861112.9099999992</v>
      </c>
      <c r="H399" s="1194">
        <v>3572187.48</v>
      </c>
      <c r="I399" s="1194">
        <v>288925.42999999924</v>
      </c>
      <c r="J399" s="1295">
        <v>8.0881933442082166E-2</v>
      </c>
      <c r="K399" s="1211"/>
    </row>
    <row r="400" spans="1:11" ht="22.5">
      <c r="A400" s="1187">
        <v>400</v>
      </c>
      <c r="B400" s="1188"/>
      <c r="C400" s="1189" t="s">
        <v>604</v>
      </c>
      <c r="D400" s="1190" t="s">
        <v>9511</v>
      </c>
      <c r="E400" s="1191">
        <v>2025</v>
      </c>
      <c r="F400" s="1192">
        <v>46022</v>
      </c>
      <c r="G400" s="1202">
        <v>3726275.8299999996</v>
      </c>
      <c r="H400" s="1203">
        <v>3439559.81</v>
      </c>
      <c r="I400" s="1203">
        <v>286716.01999999955</v>
      </c>
      <c r="J400" s="1298">
        <v>8.3358346950797621E-2</v>
      </c>
      <c r="K400" s="1211"/>
    </row>
    <row r="401" spans="1:11" ht="22.5">
      <c r="A401" s="1187">
        <v>401</v>
      </c>
      <c r="B401" s="1188"/>
      <c r="C401" s="1189" t="s">
        <v>605</v>
      </c>
      <c r="D401" s="1190" t="s">
        <v>9584</v>
      </c>
      <c r="E401" s="1191">
        <v>2025</v>
      </c>
      <c r="F401" s="1192">
        <v>46022</v>
      </c>
      <c r="G401" s="1202">
        <v>32735.3</v>
      </c>
      <c r="H401" s="1203">
        <v>0</v>
      </c>
      <c r="I401" s="1203">
        <v>32735.3</v>
      </c>
      <c r="J401" s="1298">
        <v>1</v>
      </c>
      <c r="K401" s="1211"/>
    </row>
    <row r="402" spans="1:11" ht="22.5">
      <c r="B402" s="1188"/>
      <c r="C402" s="1189" t="s">
        <v>606</v>
      </c>
      <c r="D402" s="1190" t="s">
        <v>9650</v>
      </c>
      <c r="E402" s="1191">
        <v>2025</v>
      </c>
      <c r="F402" s="1192">
        <v>46022</v>
      </c>
      <c r="G402" s="1202">
        <v>102101.78</v>
      </c>
      <c r="H402" s="1203">
        <v>132627.66999999998</v>
      </c>
      <c r="I402" s="1203">
        <v>-30525.889999999985</v>
      </c>
      <c r="J402" s="1298">
        <v>-0.23016230323581791</v>
      </c>
      <c r="K402" s="1211"/>
    </row>
    <row r="403" spans="1:11">
      <c r="B403" s="1188"/>
      <c r="C403" s="1189" t="s">
        <v>9709</v>
      </c>
      <c r="D403" s="1190" t="s">
        <v>9712</v>
      </c>
      <c r="E403" s="1191">
        <v>2025</v>
      </c>
      <c r="F403" s="1192">
        <v>46022</v>
      </c>
      <c r="G403" s="1204">
        <v>4039973.81</v>
      </c>
      <c r="H403" s="1194">
        <v>3850860.6799999997</v>
      </c>
      <c r="I403" s="1194">
        <v>189113.13000000035</v>
      </c>
      <c r="J403" s="1295">
        <v>4.9109314959688538E-2</v>
      </c>
      <c r="K403" s="1211"/>
    </row>
    <row r="404" spans="1:11">
      <c r="B404" s="1188"/>
      <c r="C404" s="1189" t="s">
        <v>487</v>
      </c>
      <c r="D404" s="1190" t="s">
        <v>9714</v>
      </c>
      <c r="E404" s="1191">
        <v>2025</v>
      </c>
      <c r="F404" s="1192">
        <v>46022</v>
      </c>
      <c r="G404" s="1202">
        <v>469347.1</v>
      </c>
      <c r="H404" s="1203">
        <v>421002.76</v>
      </c>
      <c r="I404" s="1203">
        <v>48344.339999999967</v>
      </c>
      <c r="J404" s="1298">
        <v>0.11483140870620413</v>
      </c>
      <c r="K404" s="1211"/>
    </row>
    <row r="405" spans="1:11">
      <c r="B405" s="1188"/>
      <c r="C405" s="1189" t="s">
        <v>488</v>
      </c>
      <c r="D405" s="1190" t="s">
        <v>9729</v>
      </c>
      <c r="E405" s="1191">
        <v>2025</v>
      </c>
      <c r="F405" s="1192">
        <v>46022</v>
      </c>
      <c r="G405" s="1202">
        <v>0</v>
      </c>
      <c r="H405" s="1203">
        <v>0</v>
      </c>
      <c r="I405" s="1203">
        <v>0</v>
      </c>
      <c r="J405" s="1298">
        <v>0</v>
      </c>
      <c r="K405" s="1211"/>
    </row>
    <row r="406" spans="1:11">
      <c r="B406" s="1188"/>
      <c r="C406" s="1189" t="s">
        <v>9733</v>
      </c>
      <c r="D406" s="1190" t="s">
        <v>9735</v>
      </c>
      <c r="E406" s="1191">
        <v>2025</v>
      </c>
      <c r="F406" s="1192">
        <v>46022</v>
      </c>
      <c r="G406" s="1194">
        <v>3570626.71</v>
      </c>
      <c r="H406" s="1194">
        <v>3429857.92</v>
      </c>
      <c r="I406" s="1194">
        <v>140768.79000000004</v>
      </c>
      <c r="J406" s="1295">
        <v>4.1042163635746184E-2</v>
      </c>
      <c r="K406" s="1211"/>
    </row>
    <row r="407" spans="1:11" ht="22.5">
      <c r="B407" s="1188"/>
      <c r="C407" s="1189" t="s">
        <v>489</v>
      </c>
      <c r="D407" s="1190" t="s">
        <v>11282</v>
      </c>
      <c r="E407" s="1191">
        <v>2025</v>
      </c>
      <c r="F407" s="1192">
        <v>46022</v>
      </c>
      <c r="G407" s="1202">
        <v>668038.02</v>
      </c>
      <c r="H407" s="1203">
        <v>637196.92999999993</v>
      </c>
      <c r="I407" s="1203">
        <v>30841.090000000084</v>
      </c>
      <c r="J407" s="1298">
        <v>4.840119050793306E-2</v>
      </c>
      <c r="K407" s="1211"/>
    </row>
    <row r="408" spans="1:11">
      <c r="B408" s="1188"/>
      <c r="C408" s="1189" t="s">
        <v>491</v>
      </c>
      <c r="D408" s="1190" t="s">
        <v>11283</v>
      </c>
      <c r="E408" s="1191">
        <v>2025</v>
      </c>
      <c r="F408" s="1192">
        <v>46022</v>
      </c>
      <c r="G408" s="1202">
        <v>2902588.69</v>
      </c>
      <c r="H408" s="1203">
        <v>2792660.99</v>
      </c>
      <c r="I408" s="1203">
        <v>109927.69999999972</v>
      </c>
      <c r="J408" s="1298">
        <v>3.9363066406423973E-2</v>
      </c>
      <c r="K408" s="1211"/>
    </row>
    <row r="409" spans="1:11" ht="22.5">
      <c r="B409" s="1188" t="s">
        <v>1519</v>
      </c>
      <c r="C409" s="1189" t="s">
        <v>9830</v>
      </c>
      <c r="D409" s="1190" t="s">
        <v>9834</v>
      </c>
      <c r="E409" s="1191">
        <v>2025</v>
      </c>
      <c r="F409" s="1192">
        <v>46022</v>
      </c>
      <c r="G409" s="1202">
        <v>0</v>
      </c>
      <c r="H409" s="1203">
        <v>0</v>
      </c>
      <c r="I409" s="1203">
        <v>0</v>
      </c>
      <c r="J409" s="1298">
        <v>0</v>
      </c>
      <c r="K409" s="1211"/>
    </row>
    <row r="410" spans="1:11">
      <c r="B410" s="1188"/>
      <c r="C410" s="1189" t="s">
        <v>9835</v>
      </c>
      <c r="D410" s="1190" t="s">
        <v>9839</v>
      </c>
      <c r="E410" s="1191">
        <v>2025</v>
      </c>
      <c r="F410" s="1192">
        <v>46022</v>
      </c>
      <c r="G410" s="1202">
        <v>0</v>
      </c>
      <c r="H410" s="1203">
        <v>0</v>
      </c>
      <c r="I410" s="1203">
        <v>0</v>
      </c>
      <c r="J410" s="1298">
        <v>0</v>
      </c>
      <c r="K410" s="1211"/>
    </row>
    <row r="411" spans="1:11">
      <c r="B411" s="1188"/>
      <c r="C411" s="1189" t="s">
        <v>11285</v>
      </c>
      <c r="D411" s="1190" t="s">
        <v>11286</v>
      </c>
      <c r="E411" s="1191">
        <v>2025</v>
      </c>
      <c r="F411" s="1192">
        <v>46022</v>
      </c>
      <c r="G411" s="1204">
        <v>7437798.5300000003</v>
      </c>
      <c r="H411" s="1194">
        <v>7221324.1500000004</v>
      </c>
      <c r="I411" s="1194">
        <v>216474.37999999989</v>
      </c>
      <c r="J411" s="1295">
        <v>2.9977103298984283E-2</v>
      </c>
      <c r="K411" s="1211"/>
    </row>
    <row r="412" spans="1:11">
      <c r="B412" s="1188"/>
      <c r="C412" s="1189" t="s">
        <v>9840</v>
      </c>
      <c r="D412" s="1190" t="s">
        <v>9844</v>
      </c>
      <c r="E412" s="1191">
        <v>2025</v>
      </c>
      <c r="F412" s="1192">
        <v>46022</v>
      </c>
      <c r="G412" s="1202">
        <v>1394137.74</v>
      </c>
      <c r="H412" s="1203">
        <v>1385115.4</v>
      </c>
      <c r="I412" s="1203">
        <v>9022.3400000000838</v>
      </c>
      <c r="J412" s="1298">
        <v>6.5137821729511379E-3</v>
      </c>
      <c r="K412" s="1211"/>
    </row>
    <row r="413" spans="1:11">
      <c r="B413" s="1188"/>
      <c r="C413" s="1189" t="s">
        <v>11287</v>
      </c>
      <c r="D413" s="1190" t="s">
        <v>11288</v>
      </c>
      <c r="E413" s="1191">
        <v>2025</v>
      </c>
      <c r="F413" s="1192">
        <v>46022</v>
      </c>
      <c r="G413" s="1204">
        <v>6043660.79</v>
      </c>
      <c r="H413" s="1194">
        <v>5836208.7500000009</v>
      </c>
      <c r="I413" s="1194">
        <v>207452.03999999911</v>
      </c>
      <c r="J413" s="1295">
        <v>3.5545685373231224E-2</v>
      </c>
      <c r="K413" s="1211"/>
    </row>
    <row r="414" spans="1:11">
      <c r="B414" s="1188"/>
      <c r="C414" s="1189" t="s">
        <v>9867</v>
      </c>
      <c r="D414" s="1190" t="s">
        <v>9870</v>
      </c>
      <c r="E414" s="1191">
        <v>2025</v>
      </c>
      <c r="F414" s="1192">
        <v>46022</v>
      </c>
      <c r="G414" s="1204">
        <v>38102.949999999997</v>
      </c>
      <c r="H414" s="1194">
        <v>46994.73</v>
      </c>
      <c r="I414" s="1194">
        <v>-8891.7800000000061</v>
      </c>
      <c r="J414" s="1295">
        <v>-0.18920802396353817</v>
      </c>
      <c r="K414" s="1211"/>
    </row>
    <row r="415" spans="1:11" ht="22.5">
      <c r="B415" s="1188"/>
      <c r="C415" s="1189" t="s">
        <v>9871</v>
      </c>
      <c r="D415" s="1190" t="s">
        <v>9874</v>
      </c>
      <c r="E415" s="1191">
        <v>2025</v>
      </c>
      <c r="F415" s="1192">
        <v>46022</v>
      </c>
      <c r="G415" s="1202">
        <v>38102.949999999997</v>
      </c>
      <c r="H415" s="1203">
        <v>46994.73</v>
      </c>
      <c r="I415" s="1203">
        <v>-8891.7800000000061</v>
      </c>
      <c r="J415" s="1298">
        <v>-0.18920802396353817</v>
      </c>
      <c r="K415" s="1211"/>
    </row>
    <row r="416" spans="1:11">
      <c r="B416" s="1188"/>
      <c r="C416" s="1189" t="s">
        <v>9876</v>
      </c>
      <c r="D416" s="1190" t="s">
        <v>9879</v>
      </c>
      <c r="E416" s="1191">
        <v>2025</v>
      </c>
      <c r="F416" s="1192">
        <v>46022</v>
      </c>
      <c r="G416" s="1202">
        <v>0</v>
      </c>
      <c r="H416" s="1203">
        <v>0</v>
      </c>
      <c r="I416" s="1203">
        <v>0</v>
      </c>
      <c r="J416" s="1298">
        <v>0</v>
      </c>
      <c r="K416" s="1211"/>
    </row>
    <row r="417" spans="2:11">
      <c r="B417" s="1188"/>
      <c r="C417" s="1189" t="s">
        <v>9881</v>
      </c>
      <c r="D417" s="1190" t="s">
        <v>9884</v>
      </c>
      <c r="E417" s="1191">
        <v>2025</v>
      </c>
      <c r="F417" s="1192">
        <v>46022</v>
      </c>
      <c r="G417" s="1202">
        <v>6005557.8399999999</v>
      </c>
      <c r="H417" s="1203">
        <v>5789214.0200000005</v>
      </c>
      <c r="I417" s="1203">
        <v>216343.81999999937</v>
      </c>
      <c r="J417" s="1298">
        <v>3.7370154092178365E-2</v>
      </c>
      <c r="K417" s="1211"/>
    </row>
    <row r="418" spans="2:11">
      <c r="B418" s="1188"/>
      <c r="C418" s="1189" t="s">
        <v>11289</v>
      </c>
      <c r="D418" s="1190" t="s">
        <v>11290</v>
      </c>
      <c r="E418" s="1191">
        <v>2025</v>
      </c>
      <c r="F418" s="1192">
        <v>46022</v>
      </c>
      <c r="G418" s="1204">
        <v>1003343</v>
      </c>
      <c r="H418" s="1194">
        <v>0</v>
      </c>
      <c r="I418" s="1194">
        <v>1003343</v>
      </c>
      <c r="J418" s="1295">
        <v>1</v>
      </c>
      <c r="K418" s="1211"/>
    </row>
    <row r="419" spans="2:11" ht="22.5">
      <c r="B419" s="1188"/>
      <c r="C419" s="1189" t="s">
        <v>9947</v>
      </c>
      <c r="D419" s="1190" t="s">
        <v>9950</v>
      </c>
      <c r="E419" s="1191">
        <v>2025</v>
      </c>
      <c r="F419" s="1192">
        <v>46022</v>
      </c>
      <c r="G419" s="1202">
        <v>0</v>
      </c>
      <c r="H419" s="1203">
        <v>0</v>
      </c>
      <c r="I419" s="1203">
        <v>0</v>
      </c>
      <c r="J419" s="1298">
        <v>0</v>
      </c>
      <c r="K419" s="1211"/>
    </row>
    <row r="420" spans="2:11">
      <c r="B420" s="1188"/>
      <c r="C420" s="1189" t="s">
        <v>9953</v>
      </c>
      <c r="D420" s="1190" t="s">
        <v>9956</v>
      </c>
      <c r="E420" s="1191">
        <v>2025</v>
      </c>
      <c r="F420" s="1192">
        <v>46022</v>
      </c>
      <c r="G420" s="1202">
        <v>1003343</v>
      </c>
      <c r="H420" s="1203">
        <v>0</v>
      </c>
      <c r="I420" s="1203">
        <v>1003343</v>
      </c>
      <c r="J420" s="1298">
        <v>1</v>
      </c>
      <c r="K420" s="1211"/>
    </row>
    <row r="421" spans="2:11">
      <c r="B421" s="1188"/>
      <c r="C421" s="1189" t="s">
        <v>5854</v>
      </c>
      <c r="D421" s="1190" t="s">
        <v>9961</v>
      </c>
      <c r="E421" s="1191">
        <v>2025</v>
      </c>
      <c r="F421" s="1192">
        <v>46022</v>
      </c>
      <c r="G421" s="1204">
        <v>-2724215.6600000011</v>
      </c>
      <c r="H421" s="1194">
        <v>-8522344.3999999985</v>
      </c>
      <c r="I421" s="1194">
        <v>5798128.7399999974</v>
      </c>
      <c r="J421" s="1295">
        <v>-0.68034433576751463</v>
      </c>
      <c r="K421" s="1211"/>
    </row>
    <row r="422" spans="2:11">
      <c r="B422" s="1188"/>
      <c r="C422" s="1189" t="s">
        <v>5860</v>
      </c>
      <c r="D422" s="1190" t="s">
        <v>5863</v>
      </c>
      <c r="E422" s="1191">
        <v>2025</v>
      </c>
      <c r="F422" s="1192">
        <v>46022</v>
      </c>
      <c r="G422" s="1204">
        <v>-2686905.9900000012</v>
      </c>
      <c r="H422" s="1194">
        <v>-8475027.6799999978</v>
      </c>
      <c r="I422" s="1194">
        <v>5788121.6899999967</v>
      </c>
      <c r="J422" s="1295">
        <v>-0.6829619806032301</v>
      </c>
      <c r="K422" s="1211"/>
    </row>
    <row r="423" spans="2:11">
      <c r="B423" s="1188"/>
      <c r="C423" s="1189" t="s">
        <v>5864</v>
      </c>
      <c r="D423" s="1190" t="s">
        <v>5868</v>
      </c>
      <c r="E423" s="1191">
        <v>2025</v>
      </c>
      <c r="F423" s="1192">
        <v>46022</v>
      </c>
      <c r="G423" s="1202">
        <v>-4831046.6799999988</v>
      </c>
      <c r="H423" s="1203">
        <v>2027387.9800000025</v>
      </c>
      <c r="I423" s="1203">
        <v>-6858434.6600000011</v>
      </c>
      <c r="J423" s="1298">
        <v>-3.3828920402300069</v>
      </c>
      <c r="K423" s="1211"/>
    </row>
    <row r="424" spans="2:11">
      <c r="B424" s="1188"/>
      <c r="C424" s="1189" t="s">
        <v>5902</v>
      </c>
      <c r="D424" s="1190" t="s">
        <v>5905</v>
      </c>
      <c r="E424" s="1191">
        <v>2025</v>
      </c>
      <c r="F424" s="1192">
        <v>46022</v>
      </c>
      <c r="G424" s="1202">
        <v>-219611.22999999998</v>
      </c>
      <c r="H424" s="1203">
        <v>-221555.19</v>
      </c>
      <c r="I424" s="1203">
        <v>1943.960000000021</v>
      </c>
      <c r="J424" s="1298">
        <v>-8.7741569042008045E-3</v>
      </c>
      <c r="K424" s="1211"/>
    </row>
    <row r="425" spans="2:11">
      <c r="B425" s="1188"/>
      <c r="C425" s="1189" t="s">
        <v>5910</v>
      </c>
      <c r="D425" s="1190" t="s">
        <v>5913</v>
      </c>
      <c r="E425" s="1191">
        <v>2025</v>
      </c>
      <c r="F425" s="1192">
        <v>46022</v>
      </c>
      <c r="G425" s="1202">
        <v>2301209.4199999971</v>
      </c>
      <c r="H425" s="1203">
        <v>-9097638.040000001</v>
      </c>
      <c r="I425" s="1203">
        <v>11398847.459999997</v>
      </c>
      <c r="J425" s="1298">
        <v>-1.2529458096576456</v>
      </c>
      <c r="K425" s="1211"/>
    </row>
    <row r="426" spans="2:11">
      <c r="B426" s="1188"/>
      <c r="C426" s="1189" t="s">
        <v>5944</v>
      </c>
      <c r="D426" s="1190" t="s">
        <v>5947</v>
      </c>
      <c r="E426" s="1191">
        <v>2025</v>
      </c>
      <c r="F426" s="1192">
        <v>46022</v>
      </c>
      <c r="G426" s="1202">
        <v>-5067.630000000001</v>
      </c>
      <c r="H426" s="1203">
        <v>-2148.7699999999995</v>
      </c>
      <c r="I426" s="1203">
        <v>-2918.8600000000015</v>
      </c>
      <c r="J426" s="1298">
        <v>1.3583864257226237</v>
      </c>
      <c r="K426" s="1211"/>
    </row>
    <row r="427" spans="2:11">
      <c r="B427" s="1188"/>
      <c r="C427" s="1189" t="s">
        <v>5948</v>
      </c>
      <c r="D427" s="1190" t="s">
        <v>5951</v>
      </c>
      <c r="E427" s="1191">
        <v>2025</v>
      </c>
      <c r="F427" s="1192">
        <v>46022</v>
      </c>
      <c r="G427" s="1202">
        <v>0</v>
      </c>
      <c r="H427" s="1203">
        <v>0</v>
      </c>
      <c r="I427" s="1203">
        <v>0</v>
      </c>
      <c r="J427" s="1298">
        <v>0</v>
      </c>
      <c r="K427" s="1211"/>
    </row>
    <row r="428" spans="2:11">
      <c r="B428" s="1188"/>
      <c r="C428" s="1189" t="s">
        <v>5954</v>
      </c>
      <c r="D428" s="1190" t="s">
        <v>5957</v>
      </c>
      <c r="E428" s="1191">
        <v>2025</v>
      </c>
      <c r="F428" s="1192">
        <v>46022</v>
      </c>
      <c r="G428" s="1202">
        <v>0</v>
      </c>
      <c r="H428" s="1203">
        <v>0</v>
      </c>
      <c r="I428" s="1203">
        <v>0</v>
      </c>
      <c r="J428" s="1298">
        <v>0</v>
      </c>
      <c r="K428" s="1211"/>
    </row>
    <row r="429" spans="2:11">
      <c r="B429" s="1188"/>
      <c r="C429" s="1189" t="s">
        <v>5958</v>
      </c>
      <c r="D429" s="1190" t="s">
        <v>5961</v>
      </c>
      <c r="E429" s="1191">
        <v>2025</v>
      </c>
      <c r="F429" s="1192">
        <v>46022</v>
      </c>
      <c r="G429" s="1202">
        <v>0</v>
      </c>
      <c r="H429" s="1203">
        <v>0</v>
      </c>
      <c r="I429" s="1203">
        <v>0</v>
      </c>
      <c r="J429" s="1298">
        <v>0</v>
      </c>
      <c r="K429" s="1211"/>
    </row>
    <row r="430" spans="2:11">
      <c r="B430" s="1188"/>
      <c r="C430" s="1189" t="s">
        <v>5963</v>
      </c>
      <c r="D430" s="1190" t="s">
        <v>5968</v>
      </c>
      <c r="E430" s="1191">
        <v>2025</v>
      </c>
      <c r="F430" s="1192">
        <v>46022</v>
      </c>
      <c r="G430" s="1202">
        <v>67610.13</v>
      </c>
      <c r="H430" s="1203">
        <v>-1181073.6600000001</v>
      </c>
      <c r="I430" s="1203">
        <v>1248683.79</v>
      </c>
      <c r="J430" s="1298">
        <v>-1.0572446345133122</v>
      </c>
      <c r="K430" s="1211"/>
    </row>
    <row r="431" spans="2:11">
      <c r="B431" s="1188"/>
      <c r="C431" s="1189" t="s">
        <v>5970</v>
      </c>
      <c r="D431" s="1190" t="s">
        <v>5973</v>
      </c>
      <c r="E431" s="1191">
        <v>2025</v>
      </c>
      <c r="F431" s="1192">
        <v>46022</v>
      </c>
      <c r="G431" s="1204">
        <v>-37309.669999999984</v>
      </c>
      <c r="H431" s="1194">
        <v>-47316.720000000008</v>
      </c>
      <c r="I431" s="1194">
        <v>10007.050000000025</v>
      </c>
      <c r="J431" s="1295">
        <v>-0.21149077958066456</v>
      </c>
      <c r="K431" s="1211"/>
    </row>
    <row r="432" spans="2:11">
      <c r="B432" s="1188"/>
      <c r="C432" s="1189" t="s">
        <v>5974</v>
      </c>
      <c r="D432" s="1190" t="s">
        <v>5977</v>
      </c>
      <c r="E432" s="1191">
        <v>2025</v>
      </c>
      <c r="F432" s="1192">
        <v>46022</v>
      </c>
      <c r="G432" s="1202">
        <v>574.77</v>
      </c>
      <c r="H432" s="1203">
        <v>-1079.06</v>
      </c>
      <c r="I432" s="1203">
        <v>1653.83</v>
      </c>
      <c r="J432" s="1298">
        <v>-1.5326580542323875</v>
      </c>
      <c r="K432" s="1211"/>
    </row>
    <row r="433" spans="2:11" ht="22.5">
      <c r="B433" s="1188"/>
      <c r="C433" s="1189" t="s">
        <v>5978</v>
      </c>
      <c r="D433" s="1190" t="s">
        <v>5981</v>
      </c>
      <c r="E433" s="1191">
        <v>2025</v>
      </c>
      <c r="F433" s="1192">
        <v>46022</v>
      </c>
      <c r="G433" s="1202">
        <v>-3109.54</v>
      </c>
      <c r="H433" s="1203">
        <v>1668.2300000000002</v>
      </c>
      <c r="I433" s="1203">
        <v>-4777.7700000000004</v>
      </c>
      <c r="J433" s="1298">
        <v>-2.8639755908957398</v>
      </c>
      <c r="K433" s="1211"/>
    </row>
    <row r="434" spans="2:11">
      <c r="B434" s="1188"/>
      <c r="C434" s="1189" t="s">
        <v>5982</v>
      </c>
      <c r="D434" s="1190" t="s">
        <v>5986</v>
      </c>
      <c r="E434" s="1191">
        <v>2025</v>
      </c>
      <c r="F434" s="1192">
        <v>46022</v>
      </c>
      <c r="G434" s="1202">
        <v>0</v>
      </c>
      <c r="H434" s="1203">
        <v>0</v>
      </c>
      <c r="I434" s="1203">
        <v>0</v>
      </c>
      <c r="J434" s="1298">
        <v>0</v>
      </c>
      <c r="K434" s="1211"/>
    </row>
    <row r="435" spans="2:11">
      <c r="B435" s="1188"/>
      <c r="C435" s="1189" t="s">
        <v>5989</v>
      </c>
      <c r="D435" s="1190" t="s">
        <v>5992</v>
      </c>
      <c r="E435" s="1191">
        <v>2025</v>
      </c>
      <c r="F435" s="1192">
        <v>46022</v>
      </c>
      <c r="G435" s="1202">
        <v>-37636.12999999999</v>
      </c>
      <c r="H435" s="1203">
        <v>-47994.380000000005</v>
      </c>
      <c r="I435" s="1203">
        <v>10358.250000000015</v>
      </c>
      <c r="J435" s="1298">
        <v>-0.21582214417604756</v>
      </c>
      <c r="K435" s="1211"/>
    </row>
    <row r="436" spans="2:11">
      <c r="B436" s="1188"/>
      <c r="C436" s="1189" t="s">
        <v>5993</v>
      </c>
      <c r="D436" s="1190" t="s">
        <v>5996</v>
      </c>
      <c r="E436" s="1191">
        <v>2025</v>
      </c>
      <c r="F436" s="1192">
        <v>46022</v>
      </c>
      <c r="G436" s="1202">
        <v>2861.23</v>
      </c>
      <c r="H436" s="1203">
        <v>88.489999999999782</v>
      </c>
      <c r="I436" s="1203">
        <v>2772.7400000000002</v>
      </c>
      <c r="J436" s="1298">
        <v>31.333936037970471</v>
      </c>
      <c r="K436" s="1211"/>
    </row>
    <row r="437" spans="2:11">
      <c r="B437" s="1188"/>
      <c r="C437" s="1189" t="s">
        <v>5997</v>
      </c>
      <c r="D437" s="1190" t="s">
        <v>6000</v>
      </c>
      <c r="E437" s="1191">
        <v>2025</v>
      </c>
      <c r="F437" s="1192">
        <v>46022</v>
      </c>
      <c r="G437" s="1202">
        <v>0</v>
      </c>
      <c r="H437" s="1203">
        <v>0</v>
      </c>
      <c r="I437" s="1203">
        <v>0</v>
      </c>
      <c r="J437" s="1298">
        <v>0</v>
      </c>
      <c r="K437" s="1211"/>
    </row>
    <row r="438" spans="2:11">
      <c r="B438" s="1188"/>
      <c r="C438" s="1189" t="s">
        <v>10130</v>
      </c>
      <c r="D438" s="1190" t="s">
        <v>10133</v>
      </c>
      <c r="E438" s="1191">
        <v>2025</v>
      </c>
      <c r="F438" s="1192">
        <v>46022</v>
      </c>
      <c r="G438" s="1204">
        <v>11745411.51</v>
      </c>
      <c r="H438" s="1194">
        <v>15634401.369999999</v>
      </c>
      <c r="I438" s="1194">
        <v>-3888989.8599999994</v>
      </c>
      <c r="J438" s="1295">
        <v>-0.24874568382658835</v>
      </c>
      <c r="K438" s="1211"/>
    </row>
    <row r="439" spans="2:11">
      <c r="B439" s="1188"/>
      <c r="C439" s="1189" t="s">
        <v>10134</v>
      </c>
      <c r="D439" s="1190" t="s">
        <v>10137</v>
      </c>
      <c r="E439" s="1191">
        <v>2025</v>
      </c>
      <c r="F439" s="1192">
        <v>46022</v>
      </c>
      <c r="G439" s="1204">
        <v>7043645.4500000002</v>
      </c>
      <c r="H439" s="1194">
        <v>8480793</v>
      </c>
      <c r="I439" s="1194">
        <v>-1437147.5499999998</v>
      </c>
      <c r="J439" s="1295">
        <v>-0.16945910011009582</v>
      </c>
      <c r="K439" s="1211"/>
    </row>
    <row r="440" spans="2:11">
      <c r="B440" s="1188"/>
      <c r="C440" s="1189" t="s">
        <v>471</v>
      </c>
      <c r="D440" s="1190" t="s">
        <v>11291</v>
      </c>
      <c r="E440" s="1191">
        <v>2025</v>
      </c>
      <c r="F440" s="1192">
        <v>46022</v>
      </c>
      <c r="G440" s="1202">
        <v>4325000</v>
      </c>
      <c r="H440" s="1203">
        <v>4600000</v>
      </c>
      <c r="I440" s="1203">
        <v>-275000</v>
      </c>
      <c r="J440" s="1298">
        <v>-5.9782608695652176E-2</v>
      </c>
      <c r="K440" s="1211"/>
    </row>
    <row r="441" spans="2:11" ht="22.5">
      <c r="B441" s="1188"/>
      <c r="C441" s="1189" t="s">
        <v>472</v>
      </c>
      <c r="D441" s="1190" t="s">
        <v>11292</v>
      </c>
      <c r="E441" s="1191">
        <v>2025</v>
      </c>
      <c r="F441" s="1192">
        <v>46022</v>
      </c>
      <c r="G441" s="1202">
        <v>1925000</v>
      </c>
      <c r="H441" s="1203">
        <v>2350000</v>
      </c>
      <c r="I441" s="1203">
        <v>-425000</v>
      </c>
      <c r="J441" s="1298">
        <v>-0.18085106382978725</v>
      </c>
      <c r="K441" s="1211"/>
    </row>
    <row r="442" spans="2:11" ht="22.5">
      <c r="B442" s="1188"/>
      <c r="C442" s="1189" t="s">
        <v>473</v>
      </c>
      <c r="D442" s="1190" t="s">
        <v>11293</v>
      </c>
      <c r="E442" s="1191">
        <v>2025</v>
      </c>
      <c r="F442" s="1192">
        <v>46022</v>
      </c>
      <c r="G442" s="1202">
        <v>0</v>
      </c>
      <c r="H442" s="1203">
        <v>0</v>
      </c>
      <c r="I442" s="1203">
        <v>0</v>
      </c>
      <c r="J442" s="1298">
        <v>0</v>
      </c>
      <c r="K442" s="1211"/>
    </row>
    <row r="443" spans="2:11" ht="22.5">
      <c r="B443" s="1188"/>
      <c r="C443" s="1189" t="s">
        <v>474</v>
      </c>
      <c r="D443" s="1190" t="s">
        <v>11294</v>
      </c>
      <c r="E443" s="1191">
        <v>2025</v>
      </c>
      <c r="F443" s="1192">
        <v>46022</v>
      </c>
      <c r="G443" s="1202">
        <v>793645.45</v>
      </c>
      <c r="H443" s="1203">
        <v>1530793</v>
      </c>
      <c r="I443" s="1203">
        <v>-737147.55</v>
      </c>
      <c r="J443" s="1298">
        <v>-0.48154619860425285</v>
      </c>
      <c r="K443" s="1211"/>
    </row>
    <row r="444" spans="2:11">
      <c r="B444" s="1188"/>
      <c r="C444" s="1189" t="s">
        <v>10158</v>
      </c>
      <c r="D444" s="1190" t="s">
        <v>10162</v>
      </c>
      <c r="E444" s="1191">
        <v>2025</v>
      </c>
      <c r="F444" s="1192">
        <v>46022</v>
      </c>
      <c r="G444" s="1202">
        <v>0</v>
      </c>
      <c r="H444" s="1203">
        <v>0</v>
      </c>
      <c r="I444" s="1203">
        <v>0</v>
      </c>
      <c r="J444" s="1298">
        <v>0</v>
      </c>
      <c r="K444" s="1211"/>
    </row>
    <row r="445" spans="2:11">
      <c r="B445" s="1188"/>
      <c r="C445" s="1189" t="s">
        <v>475</v>
      </c>
      <c r="D445" s="1190" t="s">
        <v>11295</v>
      </c>
      <c r="E445" s="1191">
        <v>2025</v>
      </c>
      <c r="F445" s="1192">
        <v>46022</v>
      </c>
      <c r="G445" s="1202">
        <v>0</v>
      </c>
      <c r="H445" s="1203">
        <v>0</v>
      </c>
      <c r="I445" s="1203">
        <v>0</v>
      </c>
      <c r="J445" s="1298">
        <v>0</v>
      </c>
      <c r="K445" s="1211"/>
    </row>
    <row r="446" spans="2:11">
      <c r="B446" s="1188"/>
      <c r="C446" s="1189" t="s">
        <v>10177</v>
      </c>
      <c r="D446" s="1190" t="s">
        <v>11296</v>
      </c>
      <c r="E446" s="1191">
        <v>2025</v>
      </c>
      <c r="F446" s="1192">
        <v>46022</v>
      </c>
      <c r="G446" s="1202">
        <v>0</v>
      </c>
      <c r="H446" s="1203">
        <v>0</v>
      </c>
      <c r="I446" s="1203">
        <v>0</v>
      </c>
      <c r="J446" s="1298">
        <v>0</v>
      </c>
      <c r="K446" s="1211"/>
    </row>
    <row r="447" spans="2:11">
      <c r="B447" s="1188"/>
      <c r="C447" s="1189" t="s">
        <v>10183</v>
      </c>
      <c r="D447" s="1190" t="s">
        <v>10185</v>
      </c>
      <c r="E447" s="1191">
        <v>2025</v>
      </c>
      <c r="F447" s="1192">
        <v>46022</v>
      </c>
      <c r="G447" s="1202">
        <v>0</v>
      </c>
      <c r="H447" s="1203">
        <v>0</v>
      </c>
      <c r="I447" s="1203">
        <v>0</v>
      </c>
      <c r="J447" s="1298">
        <v>0</v>
      </c>
      <c r="K447" s="1211"/>
    </row>
    <row r="448" spans="2:11" ht="22.5">
      <c r="B448" s="1188"/>
      <c r="C448" s="1189" t="s">
        <v>10188</v>
      </c>
      <c r="D448" s="1190" t="s">
        <v>10191</v>
      </c>
      <c r="E448" s="1191">
        <v>2025</v>
      </c>
      <c r="F448" s="1192">
        <v>46022</v>
      </c>
      <c r="G448" s="1204">
        <v>1379100</v>
      </c>
      <c r="H448" s="1194">
        <v>3722694.68</v>
      </c>
      <c r="I448" s="1194">
        <v>-2343594.6800000002</v>
      </c>
      <c r="J448" s="1295">
        <v>-0.62954254416588362</v>
      </c>
      <c r="K448" s="1211"/>
    </row>
    <row r="449" spans="2:11" ht="22.5">
      <c r="B449" s="1188"/>
      <c r="C449" s="1189" t="s">
        <v>10192</v>
      </c>
      <c r="D449" s="1190" t="s">
        <v>10195</v>
      </c>
      <c r="E449" s="1191">
        <v>2025</v>
      </c>
      <c r="F449" s="1192">
        <v>46022</v>
      </c>
      <c r="G449" s="1202">
        <v>0</v>
      </c>
      <c r="H449" s="1203">
        <v>0</v>
      </c>
      <c r="I449" s="1203">
        <v>0</v>
      </c>
      <c r="J449" s="1298">
        <v>0</v>
      </c>
      <c r="K449" s="1211"/>
    </row>
    <row r="450" spans="2:11" ht="22.5">
      <c r="B450" s="1188"/>
      <c r="C450" s="1189" t="s">
        <v>476</v>
      </c>
      <c r="D450" s="1190" t="s">
        <v>10199</v>
      </c>
      <c r="E450" s="1191">
        <v>2025</v>
      </c>
      <c r="F450" s="1192">
        <v>46022</v>
      </c>
      <c r="G450" s="1202">
        <v>0</v>
      </c>
      <c r="H450" s="1203">
        <v>0</v>
      </c>
      <c r="I450" s="1203">
        <v>0</v>
      </c>
      <c r="J450" s="1298">
        <v>0</v>
      </c>
      <c r="K450" s="1211"/>
    </row>
    <row r="451" spans="2:11" ht="22.5">
      <c r="B451" s="1188"/>
      <c r="C451" s="1189" t="s">
        <v>477</v>
      </c>
      <c r="D451" s="1190" t="s">
        <v>10239</v>
      </c>
      <c r="E451" s="1191">
        <v>2025</v>
      </c>
      <c r="F451" s="1192">
        <v>46022</v>
      </c>
      <c r="G451" s="1202">
        <v>343000</v>
      </c>
      <c r="H451" s="1203">
        <v>0</v>
      </c>
      <c r="I451" s="1203">
        <v>343000</v>
      </c>
      <c r="J451" s="1298">
        <v>1</v>
      </c>
      <c r="K451" s="1211"/>
    </row>
    <row r="452" spans="2:11" ht="22.5">
      <c r="B452" s="1188"/>
      <c r="C452" s="1189" t="s">
        <v>478</v>
      </c>
      <c r="D452" s="1190" t="s">
        <v>10244</v>
      </c>
      <c r="E452" s="1191">
        <v>2025</v>
      </c>
      <c r="F452" s="1192">
        <v>46022</v>
      </c>
      <c r="G452" s="1202">
        <v>0</v>
      </c>
      <c r="H452" s="1203">
        <v>3712694.68</v>
      </c>
      <c r="I452" s="1203">
        <v>-3712694.68</v>
      </c>
      <c r="J452" s="1298">
        <v>-1</v>
      </c>
      <c r="K452" s="1211"/>
    </row>
    <row r="453" spans="2:11" ht="22.5">
      <c r="B453" s="1188"/>
      <c r="C453" s="1189" t="s">
        <v>479</v>
      </c>
      <c r="D453" s="1190" t="s">
        <v>10250</v>
      </c>
      <c r="E453" s="1191">
        <v>2025</v>
      </c>
      <c r="F453" s="1192">
        <v>46022</v>
      </c>
      <c r="G453" s="1202">
        <v>0</v>
      </c>
      <c r="H453" s="1203">
        <v>10000</v>
      </c>
      <c r="I453" s="1203">
        <v>-10000</v>
      </c>
      <c r="J453" s="1298">
        <v>-1</v>
      </c>
      <c r="K453" s="1211"/>
    </row>
    <row r="454" spans="2:11" ht="22.5">
      <c r="B454" s="1188"/>
      <c r="C454" s="1189" t="s">
        <v>10253</v>
      </c>
      <c r="D454" s="1190" t="s">
        <v>10256</v>
      </c>
      <c r="E454" s="1191">
        <v>2025</v>
      </c>
      <c r="F454" s="1192">
        <v>46022</v>
      </c>
      <c r="G454" s="1202">
        <v>1036100</v>
      </c>
      <c r="H454" s="1203">
        <v>0</v>
      </c>
      <c r="I454" s="1203">
        <v>1036100</v>
      </c>
      <c r="J454" s="1298">
        <v>1</v>
      </c>
      <c r="K454" s="1211"/>
    </row>
    <row r="455" spans="2:11">
      <c r="B455" s="1188"/>
      <c r="C455" s="1189" t="s">
        <v>10258</v>
      </c>
      <c r="D455" s="1190" t="s">
        <v>10260</v>
      </c>
      <c r="E455" s="1191">
        <v>2025</v>
      </c>
      <c r="F455" s="1192">
        <v>46022</v>
      </c>
      <c r="G455" s="1204">
        <v>3322666.06</v>
      </c>
      <c r="H455" s="1194">
        <v>3430913.69</v>
      </c>
      <c r="I455" s="1194">
        <v>-108247.62999999989</v>
      </c>
      <c r="J455" s="1295">
        <v>-3.1550671273225729E-2</v>
      </c>
      <c r="K455" s="1211"/>
    </row>
    <row r="456" spans="2:11">
      <c r="B456" s="1188"/>
      <c r="C456" s="1189" t="s">
        <v>480</v>
      </c>
      <c r="D456" s="1190" t="s">
        <v>11297</v>
      </c>
      <c r="E456" s="1191">
        <v>2025</v>
      </c>
      <c r="F456" s="1192">
        <v>46022</v>
      </c>
      <c r="G456" s="1202">
        <v>0</v>
      </c>
      <c r="H456" s="1203">
        <v>0</v>
      </c>
      <c r="I456" s="1203">
        <v>0</v>
      </c>
      <c r="J456" s="1298">
        <v>0</v>
      </c>
      <c r="K456" s="1211"/>
    </row>
    <row r="457" spans="2:11">
      <c r="B457" s="1188"/>
      <c r="C457" s="1189" t="s">
        <v>481</v>
      </c>
      <c r="D457" s="1190" t="s">
        <v>11298</v>
      </c>
      <c r="E457" s="1191">
        <v>2025</v>
      </c>
      <c r="F457" s="1192">
        <v>46022</v>
      </c>
      <c r="G457" s="1202">
        <v>0</v>
      </c>
      <c r="H457" s="1203">
        <v>0</v>
      </c>
      <c r="I457" s="1203">
        <v>0</v>
      </c>
      <c r="J457" s="1298">
        <v>0</v>
      </c>
      <c r="K457" s="1211"/>
    </row>
    <row r="458" spans="2:11">
      <c r="B458" s="1188"/>
      <c r="C458" s="1189" t="s">
        <v>482</v>
      </c>
      <c r="D458" s="1190" t="s">
        <v>11299</v>
      </c>
      <c r="E458" s="1191">
        <v>2025</v>
      </c>
      <c r="F458" s="1192">
        <v>46022</v>
      </c>
      <c r="G458" s="1202">
        <v>1706510.81</v>
      </c>
      <c r="H458" s="1203">
        <v>1079971.29</v>
      </c>
      <c r="I458" s="1203">
        <v>626539.52000000002</v>
      </c>
      <c r="J458" s="1298">
        <v>0.58014460736266427</v>
      </c>
      <c r="K458" s="1211"/>
    </row>
    <row r="459" spans="2:11">
      <c r="B459" s="1188"/>
      <c r="C459" s="1189" t="s">
        <v>483</v>
      </c>
      <c r="D459" s="1190" t="s">
        <v>11300</v>
      </c>
      <c r="E459" s="1191">
        <v>2025</v>
      </c>
      <c r="F459" s="1192">
        <v>46022</v>
      </c>
      <c r="G459" s="1202">
        <v>159203.26</v>
      </c>
      <c r="H459" s="1203">
        <v>95159.27</v>
      </c>
      <c r="I459" s="1203">
        <v>64043.990000000005</v>
      </c>
      <c r="J459" s="1298">
        <v>0.67301892921204631</v>
      </c>
      <c r="K459" s="1211"/>
    </row>
    <row r="460" spans="2:11">
      <c r="B460" s="1188"/>
      <c r="C460" s="1189" t="s">
        <v>484</v>
      </c>
      <c r="D460" s="1190" t="s">
        <v>11301</v>
      </c>
      <c r="E460" s="1191">
        <v>2025</v>
      </c>
      <c r="F460" s="1192">
        <v>46022</v>
      </c>
      <c r="G460" s="1202">
        <v>874898.47</v>
      </c>
      <c r="H460" s="1203">
        <v>1665783.13</v>
      </c>
      <c r="I460" s="1203">
        <v>-790884.65999999992</v>
      </c>
      <c r="J460" s="1298">
        <v>-0.4747824886424441</v>
      </c>
      <c r="K460" s="1211"/>
    </row>
    <row r="461" spans="2:11">
      <c r="B461" s="1188"/>
      <c r="C461" s="1189" t="s">
        <v>10287</v>
      </c>
      <c r="D461" s="1190" t="s">
        <v>10290</v>
      </c>
      <c r="E461" s="1191">
        <v>2025</v>
      </c>
      <c r="F461" s="1192">
        <v>46022</v>
      </c>
      <c r="G461" s="1202">
        <v>0</v>
      </c>
      <c r="H461" s="1203">
        <v>0</v>
      </c>
      <c r="I461" s="1203">
        <v>0</v>
      </c>
      <c r="J461" s="1298">
        <v>0</v>
      </c>
      <c r="K461" s="1211"/>
    </row>
    <row r="462" spans="2:11">
      <c r="B462" s="1188"/>
      <c r="C462" s="1189" t="s">
        <v>10292</v>
      </c>
      <c r="D462" s="1190" t="s">
        <v>10295</v>
      </c>
      <c r="E462" s="1191">
        <v>2025</v>
      </c>
      <c r="F462" s="1192">
        <v>46022</v>
      </c>
      <c r="G462" s="1202">
        <v>0</v>
      </c>
      <c r="H462" s="1203">
        <v>0</v>
      </c>
      <c r="I462" s="1203">
        <v>0</v>
      </c>
      <c r="J462" s="1298">
        <v>0</v>
      </c>
      <c r="K462" s="1211"/>
    </row>
    <row r="463" spans="2:11">
      <c r="B463" s="1188"/>
      <c r="C463" s="1189" t="s">
        <v>10297</v>
      </c>
      <c r="D463" s="1190" t="s">
        <v>10300</v>
      </c>
      <c r="E463" s="1191">
        <v>2025</v>
      </c>
      <c r="F463" s="1192">
        <v>46022</v>
      </c>
      <c r="G463" s="1202">
        <v>0</v>
      </c>
      <c r="H463" s="1203">
        <v>0</v>
      </c>
      <c r="I463" s="1203">
        <v>0</v>
      </c>
      <c r="J463" s="1298">
        <v>0</v>
      </c>
      <c r="K463" s="1211"/>
    </row>
    <row r="464" spans="2:11">
      <c r="B464" s="1188"/>
      <c r="C464" s="1189" t="s">
        <v>10302</v>
      </c>
      <c r="D464" s="1190" t="s">
        <v>10305</v>
      </c>
      <c r="E464" s="1191">
        <v>2025</v>
      </c>
      <c r="F464" s="1192">
        <v>46022</v>
      </c>
      <c r="G464" s="1202">
        <v>382053.51999999996</v>
      </c>
      <c r="H464" s="1203">
        <v>340000</v>
      </c>
      <c r="I464" s="1203">
        <v>42053.51999999996</v>
      </c>
      <c r="J464" s="1298">
        <v>0.12368682352941165</v>
      </c>
      <c r="K464" s="1211"/>
    </row>
    <row r="465" spans="2:11">
      <c r="B465" s="1188"/>
      <c r="C465" s="1189" t="s">
        <v>485</v>
      </c>
      <c r="D465" s="1190" t="s">
        <v>10309</v>
      </c>
      <c r="E465" s="1191">
        <v>2025</v>
      </c>
      <c r="F465" s="1192">
        <v>46022</v>
      </c>
      <c r="G465" s="1202">
        <v>200000</v>
      </c>
      <c r="H465" s="1203">
        <v>250000</v>
      </c>
      <c r="I465" s="1203">
        <v>-50000</v>
      </c>
      <c r="J465" s="1298">
        <v>-0.2</v>
      </c>
      <c r="K465" s="1211"/>
    </row>
    <row r="466" spans="2:11">
      <c r="B466" s="1188"/>
      <c r="C466" s="1189" t="s">
        <v>11302</v>
      </c>
      <c r="D466" s="1190" t="s">
        <v>11303</v>
      </c>
      <c r="E466" s="1191">
        <v>2025</v>
      </c>
      <c r="F466" s="1192">
        <v>46022</v>
      </c>
      <c r="G466" s="1204">
        <v>368468819.56</v>
      </c>
      <c r="H466" s="1209">
        <v>343816219.60000002</v>
      </c>
      <c r="I466" s="1209">
        <v>24652599.959999979</v>
      </c>
      <c r="J466" s="1299">
        <v>7.1702841677106194E-2</v>
      </c>
      <c r="K466" s="1211"/>
    </row>
    <row r="467" spans="2:11">
      <c r="B467" s="1188"/>
      <c r="C467" s="1189" t="s">
        <v>10329</v>
      </c>
      <c r="D467" s="1190" t="s">
        <v>10332</v>
      </c>
      <c r="E467" s="1191">
        <v>2025</v>
      </c>
      <c r="F467" s="1192">
        <v>46022</v>
      </c>
      <c r="G467" s="1204">
        <v>13.27</v>
      </c>
      <c r="H467" s="1194">
        <v>5915.46</v>
      </c>
      <c r="I467" s="1194">
        <v>-5902.19</v>
      </c>
      <c r="J467" s="1295">
        <v>-0.99775672559699491</v>
      </c>
      <c r="K467" s="1211"/>
    </row>
    <row r="468" spans="2:11">
      <c r="B468" s="1188"/>
      <c r="C468" s="1189" t="s">
        <v>10333</v>
      </c>
      <c r="D468" s="1190" t="s">
        <v>10336</v>
      </c>
      <c r="E468" s="1191">
        <v>2025</v>
      </c>
      <c r="F468" s="1192">
        <v>46022</v>
      </c>
      <c r="G468" s="1202">
        <v>0</v>
      </c>
      <c r="H468" s="1203">
        <v>0</v>
      </c>
      <c r="I468" s="1203">
        <v>0</v>
      </c>
      <c r="J468" s="1298">
        <v>0</v>
      </c>
      <c r="K468" s="1211"/>
    </row>
    <row r="469" spans="2:11">
      <c r="B469" s="1188"/>
      <c r="C469" s="1189" t="s">
        <v>10339</v>
      </c>
      <c r="D469" s="1190" t="s">
        <v>10342</v>
      </c>
      <c r="E469" s="1191">
        <v>2025</v>
      </c>
      <c r="F469" s="1192">
        <v>46022</v>
      </c>
      <c r="G469" s="1202">
        <v>0</v>
      </c>
      <c r="H469" s="1203">
        <v>0</v>
      </c>
      <c r="I469" s="1203">
        <v>0</v>
      </c>
      <c r="J469" s="1298">
        <v>0</v>
      </c>
      <c r="K469" s="1211"/>
    </row>
    <row r="470" spans="2:11">
      <c r="B470" s="1188"/>
      <c r="C470" s="1189" t="s">
        <v>10347</v>
      </c>
      <c r="D470" s="1190" t="s">
        <v>10350</v>
      </c>
      <c r="E470" s="1191">
        <v>2025</v>
      </c>
      <c r="F470" s="1192">
        <v>46022</v>
      </c>
      <c r="G470" s="1202">
        <v>13.27</v>
      </c>
      <c r="H470" s="1203">
        <v>5915.46</v>
      </c>
      <c r="I470" s="1203">
        <v>-5902.19</v>
      </c>
      <c r="J470" s="1298">
        <v>-0.99775672559699491</v>
      </c>
      <c r="K470" s="1211"/>
    </row>
    <row r="471" spans="2:11">
      <c r="B471" s="1188"/>
      <c r="C471" s="1189" t="s">
        <v>10354</v>
      </c>
      <c r="D471" s="1190" t="s">
        <v>10357</v>
      </c>
      <c r="E471" s="1191">
        <v>2025</v>
      </c>
      <c r="F471" s="1192">
        <v>46022</v>
      </c>
      <c r="G471" s="1204">
        <v>16718.509999999998</v>
      </c>
      <c r="H471" s="1194">
        <v>0</v>
      </c>
      <c r="I471" s="1194">
        <v>16718.509999999998</v>
      </c>
      <c r="J471" s="1295">
        <v>1</v>
      </c>
      <c r="K471" s="1211"/>
    </row>
    <row r="472" spans="2:11">
      <c r="B472" s="1188"/>
      <c r="C472" s="1189" t="s">
        <v>10358</v>
      </c>
      <c r="D472" s="1190" t="s">
        <v>10361</v>
      </c>
      <c r="E472" s="1191">
        <v>2025</v>
      </c>
      <c r="F472" s="1192">
        <v>46022</v>
      </c>
      <c r="G472" s="1202">
        <v>0</v>
      </c>
      <c r="H472" s="1203">
        <v>0</v>
      </c>
      <c r="I472" s="1203">
        <v>0</v>
      </c>
      <c r="J472" s="1298">
        <v>0</v>
      </c>
      <c r="K472" s="1211"/>
    </row>
    <row r="473" spans="2:11" ht="22.5">
      <c r="B473" s="1188"/>
      <c r="C473" s="1189" t="s">
        <v>10372</v>
      </c>
      <c r="D473" s="1190" t="s">
        <v>10375</v>
      </c>
      <c r="E473" s="1191">
        <v>2025</v>
      </c>
      <c r="F473" s="1192">
        <v>46022</v>
      </c>
      <c r="G473" s="1202">
        <v>0</v>
      </c>
      <c r="H473" s="1203">
        <v>0</v>
      </c>
      <c r="I473" s="1203">
        <v>0</v>
      </c>
      <c r="J473" s="1298">
        <v>0</v>
      </c>
      <c r="K473" s="1211"/>
    </row>
    <row r="474" spans="2:11">
      <c r="B474" s="1188"/>
      <c r="C474" s="1189" t="s">
        <v>10378</v>
      </c>
      <c r="D474" s="1190" t="s">
        <v>10381</v>
      </c>
      <c r="E474" s="1191">
        <v>2025</v>
      </c>
      <c r="F474" s="1192">
        <v>46022</v>
      </c>
      <c r="G474" s="1202">
        <v>0</v>
      </c>
      <c r="H474" s="1203">
        <v>0</v>
      </c>
      <c r="I474" s="1203">
        <v>0</v>
      </c>
      <c r="J474" s="1298">
        <v>0</v>
      </c>
      <c r="K474" s="1211"/>
    </row>
    <row r="475" spans="2:11">
      <c r="B475" s="1188"/>
      <c r="C475" s="1189" t="s">
        <v>10384</v>
      </c>
      <c r="D475" s="1190" t="s">
        <v>10387</v>
      </c>
      <c r="E475" s="1191">
        <v>2025</v>
      </c>
      <c r="F475" s="1192">
        <v>46022</v>
      </c>
      <c r="G475" s="1202">
        <v>16718.509999999998</v>
      </c>
      <c r="H475" s="1203">
        <v>0</v>
      </c>
      <c r="I475" s="1203">
        <v>16718.509999999998</v>
      </c>
      <c r="J475" s="1298">
        <v>1</v>
      </c>
      <c r="K475" s="1211"/>
    </row>
    <row r="476" spans="2:11">
      <c r="B476" s="1188"/>
      <c r="C476" s="1189" t="s">
        <v>10390</v>
      </c>
      <c r="D476" s="1190" t="s">
        <v>10393</v>
      </c>
      <c r="E476" s="1191">
        <v>2025</v>
      </c>
      <c r="F476" s="1192">
        <v>46022</v>
      </c>
      <c r="G476" s="1202">
        <v>0</v>
      </c>
      <c r="H476" s="1203">
        <v>0</v>
      </c>
      <c r="I476" s="1203">
        <v>0</v>
      </c>
      <c r="J476" s="1298">
        <v>0</v>
      </c>
      <c r="K476" s="1211"/>
    </row>
    <row r="477" spans="2:11">
      <c r="B477" s="1188"/>
      <c r="C477" s="1189" t="s">
        <v>10396</v>
      </c>
      <c r="D477" s="1190" t="s">
        <v>10399</v>
      </c>
      <c r="E477" s="1191">
        <v>2025</v>
      </c>
      <c r="F477" s="1192">
        <v>46022</v>
      </c>
      <c r="G477" s="1204">
        <v>1481910.1099999999</v>
      </c>
      <c r="H477" s="1194">
        <v>811711.42</v>
      </c>
      <c r="I477" s="1194">
        <v>670198.68999999983</v>
      </c>
      <c r="J477" s="1295">
        <v>0.82566127996572947</v>
      </c>
      <c r="K477" s="1211"/>
    </row>
    <row r="478" spans="2:11">
      <c r="B478" s="1188"/>
      <c r="C478" s="1189" t="s">
        <v>10400</v>
      </c>
      <c r="D478" s="1190" t="s">
        <v>10403</v>
      </c>
      <c r="E478" s="1191">
        <v>2025</v>
      </c>
      <c r="F478" s="1192">
        <v>46022</v>
      </c>
      <c r="G478" s="1202">
        <v>1203496.22</v>
      </c>
      <c r="H478" s="1203">
        <v>555090.04</v>
      </c>
      <c r="I478" s="1203">
        <v>648406.17999999993</v>
      </c>
      <c r="J478" s="1298">
        <v>1.1681099160056987</v>
      </c>
      <c r="K478" s="1211"/>
    </row>
    <row r="479" spans="2:11">
      <c r="B479" s="1188"/>
      <c r="C479" s="1189" t="s">
        <v>10408</v>
      </c>
      <c r="D479" s="1190" t="s">
        <v>10411</v>
      </c>
      <c r="E479" s="1191">
        <v>2025</v>
      </c>
      <c r="F479" s="1192">
        <v>46022</v>
      </c>
      <c r="G479" s="1202">
        <v>0</v>
      </c>
      <c r="H479" s="1203">
        <v>0</v>
      </c>
      <c r="I479" s="1203">
        <v>0</v>
      </c>
      <c r="J479" s="1298">
        <v>0</v>
      </c>
      <c r="K479" s="1211"/>
    </row>
    <row r="480" spans="2:11">
      <c r="B480" s="1188"/>
      <c r="C480" s="1189" t="s">
        <v>10414</v>
      </c>
      <c r="D480" s="1190" t="s">
        <v>10417</v>
      </c>
      <c r="E480" s="1191">
        <v>2025</v>
      </c>
      <c r="F480" s="1192">
        <v>46022</v>
      </c>
      <c r="G480" s="1202">
        <v>278413.89</v>
      </c>
      <c r="H480" s="1203">
        <v>256621.38</v>
      </c>
      <c r="I480" s="1203">
        <v>21792.510000000009</v>
      </c>
      <c r="J480" s="1298">
        <v>8.4920866686945609E-2</v>
      </c>
      <c r="K480" s="1211"/>
    </row>
    <row r="481" spans="2:11">
      <c r="B481" s="1188"/>
      <c r="C481" s="1189" t="s">
        <v>10426</v>
      </c>
      <c r="D481" s="1190" t="s">
        <v>10429</v>
      </c>
      <c r="E481" s="1191">
        <v>2025</v>
      </c>
      <c r="F481" s="1192">
        <v>46022</v>
      </c>
      <c r="G481" s="1204">
        <v>45.6</v>
      </c>
      <c r="H481" s="1194">
        <v>466.32</v>
      </c>
      <c r="I481" s="1194">
        <v>-420.71999999999997</v>
      </c>
      <c r="J481" s="1295">
        <v>-0.9022130725681935</v>
      </c>
      <c r="K481" s="1211"/>
    </row>
    <row r="482" spans="2:11">
      <c r="B482" s="1188"/>
      <c r="C482" s="1189" t="s">
        <v>10430</v>
      </c>
      <c r="D482" s="1190" t="s">
        <v>10433</v>
      </c>
      <c r="E482" s="1191">
        <v>2025</v>
      </c>
      <c r="F482" s="1192">
        <v>46022</v>
      </c>
      <c r="G482" s="1202">
        <v>45.6</v>
      </c>
      <c r="H482" s="1203">
        <v>466.32</v>
      </c>
      <c r="I482" s="1203">
        <v>-420.71999999999997</v>
      </c>
      <c r="J482" s="1298">
        <v>-0.9022130725681935</v>
      </c>
      <c r="K482" s="1211"/>
    </row>
    <row r="483" spans="2:11">
      <c r="B483" s="1188"/>
      <c r="C483" s="1189" t="s">
        <v>10438</v>
      </c>
      <c r="D483" s="1190" t="s">
        <v>10441</v>
      </c>
      <c r="E483" s="1191">
        <v>2025</v>
      </c>
      <c r="F483" s="1192">
        <v>46022</v>
      </c>
      <c r="G483" s="1202">
        <v>0</v>
      </c>
      <c r="H483" s="1203">
        <v>0</v>
      </c>
      <c r="I483" s="1203">
        <v>0</v>
      </c>
      <c r="J483" s="1298">
        <v>0</v>
      </c>
      <c r="K483" s="1211"/>
    </row>
    <row r="484" spans="2:11">
      <c r="B484" s="1188"/>
      <c r="C484" s="1189" t="s">
        <v>11304</v>
      </c>
      <c r="D484" s="1190" t="s">
        <v>11305</v>
      </c>
      <c r="E484" s="1191">
        <v>2025</v>
      </c>
      <c r="F484" s="1192">
        <v>46022</v>
      </c>
      <c r="G484" s="1204">
        <v>-1465223.93</v>
      </c>
      <c r="H484" s="1194">
        <v>-806262.28</v>
      </c>
      <c r="I484" s="1194">
        <v>-658961.64999999991</v>
      </c>
      <c r="J484" s="1295">
        <v>0.81730432682526077</v>
      </c>
      <c r="K484" s="1211"/>
    </row>
    <row r="485" spans="2:11">
      <c r="B485" s="1188"/>
      <c r="C485" s="1189" t="s">
        <v>10446</v>
      </c>
      <c r="D485" s="1190" t="s">
        <v>11306</v>
      </c>
      <c r="E485" s="1191">
        <v>2025</v>
      </c>
      <c r="F485" s="1192">
        <v>46022</v>
      </c>
      <c r="G485" s="1202">
        <v>0</v>
      </c>
      <c r="H485" s="1203">
        <v>0</v>
      </c>
      <c r="I485" s="1203">
        <v>0</v>
      </c>
      <c r="J485" s="1298">
        <v>0</v>
      </c>
      <c r="K485" s="1211"/>
    </row>
    <row r="486" spans="2:11">
      <c r="B486" s="1188"/>
      <c r="C486" s="1189" t="s">
        <v>10455</v>
      </c>
      <c r="D486" s="1190" t="s">
        <v>11307</v>
      </c>
      <c r="E486" s="1191">
        <v>2025</v>
      </c>
      <c r="F486" s="1192">
        <v>46022</v>
      </c>
      <c r="G486" s="1202">
        <v>0</v>
      </c>
      <c r="H486" s="1203">
        <v>0</v>
      </c>
      <c r="I486" s="1203">
        <v>0</v>
      </c>
      <c r="J486" s="1298">
        <v>0</v>
      </c>
      <c r="K486" s="1211"/>
    </row>
    <row r="487" spans="2:11">
      <c r="B487" s="1188"/>
      <c r="C487" s="1189" t="s">
        <v>11308</v>
      </c>
      <c r="D487" s="1190" t="s">
        <v>11309</v>
      </c>
      <c r="E487" s="1191">
        <v>2025</v>
      </c>
      <c r="F487" s="1192">
        <v>46022</v>
      </c>
      <c r="G487" s="1204">
        <v>0</v>
      </c>
      <c r="H487" s="1194">
        <v>0</v>
      </c>
      <c r="I487" s="1194">
        <v>0</v>
      </c>
      <c r="J487" s="1295">
        <v>0</v>
      </c>
      <c r="K487" s="1211"/>
    </row>
    <row r="488" spans="2:11">
      <c r="B488" s="1188"/>
      <c r="C488" s="1189" t="s">
        <v>10466</v>
      </c>
      <c r="D488" s="1190" t="s">
        <v>10469</v>
      </c>
      <c r="E488" s="1191">
        <v>2025</v>
      </c>
      <c r="F488" s="1192">
        <v>46022</v>
      </c>
      <c r="G488" s="1204">
        <v>11848753.189999999</v>
      </c>
      <c r="H488" s="1194">
        <v>8969095.9199999999</v>
      </c>
      <c r="I488" s="1194">
        <v>2879657.2699999996</v>
      </c>
      <c r="J488" s="1295">
        <v>0.32106438549494293</v>
      </c>
      <c r="K488" s="1211"/>
    </row>
    <row r="489" spans="2:11">
      <c r="B489" s="1188"/>
      <c r="C489" s="1189" t="s">
        <v>10470</v>
      </c>
      <c r="D489" s="1190" t="s">
        <v>10473</v>
      </c>
      <c r="E489" s="1191">
        <v>2025</v>
      </c>
      <c r="F489" s="1192">
        <v>46022</v>
      </c>
      <c r="G489" s="1202">
        <v>0</v>
      </c>
      <c r="H489" s="1203">
        <v>0</v>
      </c>
      <c r="I489" s="1203">
        <v>0</v>
      </c>
      <c r="J489" s="1298">
        <v>0</v>
      </c>
      <c r="K489" s="1211"/>
    </row>
    <row r="490" spans="2:11">
      <c r="B490" s="1188"/>
      <c r="C490" s="1189" t="s">
        <v>10565</v>
      </c>
      <c r="D490" s="1190" t="s">
        <v>10568</v>
      </c>
      <c r="E490" s="1191">
        <v>2025</v>
      </c>
      <c r="F490" s="1192">
        <v>46022</v>
      </c>
      <c r="G490" s="1204">
        <v>11848753.189999999</v>
      </c>
      <c r="H490" s="1194">
        <v>8969095.9199999999</v>
      </c>
      <c r="I490" s="1194">
        <v>2879657.2699999996</v>
      </c>
      <c r="J490" s="1295">
        <v>0.32106438549494293</v>
      </c>
      <c r="K490" s="1211"/>
    </row>
    <row r="491" spans="2:11">
      <c r="B491" s="1188"/>
      <c r="C491" s="1189" t="s">
        <v>10569</v>
      </c>
      <c r="D491" s="1190" t="s">
        <v>10572</v>
      </c>
      <c r="E491" s="1191">
        <v>2025</v>
      </c>
      <c r="F491" s="1192">
        <v>46022</v>
      </c>
      <c r="G491" s="1202">
        <v>0</v>
      </c>
      <c r="H491" s="1203">
        <v>0</v>
      </c>
      <c r="I491" s="1203">
        <v>0</v>
      </c>
      <c r="J491" s="1298">
        <v>0</v>
      </c>
      <c r="K491" s="1211"/>
    </row>
    <row r="492" spans="2:11">
      <c r="B492" s="1188"/>
      <c r="C492" s="1189" t="s">
        <v>10576</v>
      </c>
      <c r="D492" s="1190" t="s">
        <v>10579</v>
      </c>
      <c r="E492" s="1191">
        <v>2025</v>
      </c>
      <c r="F492" s="1192">
        <v>46022</v>
      </c>
      <c r="G492" s="1204">
        <v>4986072.33</v>
      </c>
      <c r="H492" s="1194">
        <v>8909047.9700000007</v>
      </c>
      <c r="I492" s="1194">
        <v>-3922975.6400000006</v>
      </c>
      <c r="J492" s="1295">
        <v>-0.44033612269347788</v>
      </c>
      <c r="K492" s="1211"/>
    </row>
    <row r="493" spans="2:11">
      <c r="B493" s="1188"/>
      <c r="C493" s="1189" t="s">
        <v>10580</v>
      </c>
      <c r="D493" s="1190" t="s">
        <v>10584</v>
      </c>
      <c r="E493" s="1191">
        <v>2025</v>
      </c>
      <c r="F493" s="1192">
        <v>46022</v>
      </c>
      <c r="G493" s="1202">
        <v>118000</v>
      </c>
      <c r="H493" s="1203">
        <v>0</v>
      </c>
      <c r="I493" s="1203">
        <v>118000</v>
      </c>
      <c r="J493" s="1298">
        <v>1</v>
      </c>
      <c r="K493" s="1211"/>
    </row>
    <row r="494" spans="2:11" ht="22.5">
      <c r="B494" s="1188" t="s">
        <v>1519</v>
      </c>
      <c r="C494" s="1189" t="s">
        <v>10585</v>
      </c>
      <c r="D494" s="1190" t="s">
        <v>11310</v>
      </c>
      <c r="E494" s="1191">
        <v>2025</v>
      </c>
      <c r="F494" s="1192">
        <v>46022</v>
      </c>
      <c r="G494" s="1202">
        <v>38556.730000000003</v>
      </c>
      <c r="H494" s="1203">
        <v>255906.64</v>
      </c>
      <c r="I494" s="1203">
        <v>-217349.91</v>
      </c>
      <c r="J494" s="1298">
        <v>-0.84933282700284762</v>
      </c>
      <c r="K494" s="1211"/>
    </row>
    <row r="495" spans="2:11">
      <c r="B495" s="1188"/>
      <c r="C495" s="1189" t="s">
        <v>11311</v>
      </c>
      <c r="D495" s="1190" t="s">
        <v>11312</v>
      </c>
      <c r="E495" s="1191">
        <v>2025</v>
      </c>
      <c r="F495" s="1192">
        <v>46022</v>
      </c>
      <c r="G495" s="1204">
        <v>4829515.5999999996</v>
      </c>
      <c r="H495" s="1194">
        <v>8653141.3300000001</v>
      </c>
      <c r="I495" s="1194">
        <v>-3823625.7300000004</v>
      </c>
      <c r="J495" s="1295">
        <v>-0.44187718473332743</v>
      </c>
      <c r="K495" s="1211"/>
    </row>
    <row r="496" spans="2:11" ht="22.5">
      <c r="B496" s="1188" t="s">
        <v>1349</v>
      </c>
      <c r="C496" s="1189" t="s">
        <v>10598</v>
      </c>
      <c r="D496" s="1190" t="s">
        <v>10603</v>
      </c>
      <c r="E496" s="1191">
        <v>2025</v>
      </c>
      <c r="F496" s="1192">
        <v>46022</v>
      </c>
      <c r="G496" s="1202">
        <v>0</v>
      </c>
      <c r="H496" s="1203">
        <v>0</v>
      </c>
      <c r="I496" s="1203">
        <v>0</v>
      </c>
      <c r="J496" s="1298">
        <v>0</v>
      </c>
      <c r="K496" s="1211"/>
    </row>
    <row r="497" spans="2:11">
      <c r="B497" s="1188"/>
      <c r="C497" s="1189" t="s">
        <v>10604</v>
      </c>
      <c r="D497" s="1190" t="s">
        <v>10609</v>
      </c>
      <c r="E497" s="1191">
        <v>2025</v>
      </c>
      <c r="F497" s="1192">
        <v>46022</v>
      </c>
      <c r="G497" s="1202">
        <v>247106.15</v>
      </c>
      <c r="H497" s="1203">
        <v>0</v>
      </c>
      <c r="I497" s="1203">
        <v>247106.15</v>
      </c>
      <c r="J497" s="1298">
        <v>1</v>
      </c>
      <c r="K497" s="1211"/>
    </row>
    <row r="498" spans="2:11" ht="22.5">
      <c r="B498" s="1188"/>
      <c r="C498" s="1189" t="s">
        <v>10620</v>
      </c>
      <c r="D498" s="1190" t="s">
        <v>10625</v>
      </c>
      <c r="E498" s="1191">
        <v>2025</v>
      </c>
      <c r="F498" s="1192">
        <v>46022</v>
      </c>
      <c r="G498" s="1202">
        <v>0</v>
      </c>
      <c r="H498" s="1203">
        <v>0</v>
      </c>
      <c r="I498" s="1203">
        <v>0</v>
      </c>
      <c r="J498" s="1298">
        <v>0</v>
      </c>
      <c r="K498" s="1211"/>
    </row>
    <row r="499" spans="2:11" ht="22.5">
      <c r="B499" s="1188"/>
      <c r="C499" s="1189" t="s">
        <v>10626</v>
      </c>
      <c r="D499" s="1190" t="s">
        <v>10631</v>
      </c>
      <c r="E499" s="1191">
        <v>2025</v>
      </c>
      <c r="F499" s="1192">
        <v>46022</v>
      </c>
      <c r="G499" s="1202">
        <v>0</v>
      </c>
      <c r="H499" s="1203">
        <v>0</v>
      </c>
      <c r="I499" s="1203">
        <v>0</v>
      </c>
      <c r="J499" s="1298">
        <v>0</v>
      </c>
      <c r="K499" s="1211"/>
    </row>
    <row r="500" spans="2:11" ht="22.5">
      <c r="B500" s="1188"/>
      <c r="C500" s="1189" t="s">
        <v>10632</v>
      </c>
      <c r="D500" s="1190" t="s">
        <v>10637</v>
      </c>
      <c r="E500" s="1191">
        <v>2025</v>
      </c>
      <c r="F500" s="1192">
        <v>46022</v>
      </c>
      <c r="G500" s="1202">
        <v>0</v>
      </c>
      <c r="H500" s="1203">
        <v>0</v>
      </c>
      <c r="I500" s="1203">
        <v>0</v>
      </c>
      <c r="J500" s="1298">
        <v>0</v>
      </c>
      <c r="K500" s="1211"/>
    </row>
    <row r="501" spans="2:11" ht="22.5">
      <c r="B501" s="1188"/>
      <c r="C501" s="1189" t="s">
        <v>10640</v>
      </c>
      <c r="D501" s="1190" t="s">
        <v>10645</v>
      </c>
      <c r="E501" s="1191">
        <v>2025</v>
      </c>
      <c r="F501" s="1192">
        <v>46022</v>
      </c>
      <c r="G501" s="1202">
        <v>87478.3</v>
      </c>
      <c r="H501" s="1203">
        <v>165721.79999999999</v>
      </c>
      <c r="I501" s="1203">
        <v>-78243.499999999985</v>
      </c>
      <c r="J501" s="1298">
        <v>-0.47213764272413161</v>
      </c>
      <c r="K501" s="1211"/>
    </row>
    <row r="502" spans="2:11">
      <c r="B502" s="1188"/>
      <c r="C502" s="1189" t="s">
        <v>10648</v>
      </c>
      <c r="D502" s="1190" t="s">
        <v>10653</v>
      </c>
      <c r="E502" s="1191">
        <v>2025</v>
      </c>
      <c r="F502" s="1192">
        <v>46022</v>
      </c>
      <c r="G502" s="1202">
        <v>4494931.1499999994</v>
      </c>
      <c r="H502" s="1203">
        <v>8487419.5299999993</v>
      </c>
      <c r="I502" s="1203">
        <v>-3992488.38</v>
      </c>
      <c r="J502" s="1298">
        <v>-0.4704007343914105</v>
      </c>
      <c r="K502" s="1211"/>
    </row>
    <row r="503" spans="2:11">
      <c r="B503" s="1188"/>
      <c r="C503" s="1189" t="s">
        <v>10658</v>
      </c>
      <c r="D503" s="1190" t="s">
        <v>10661</v>
      </c>
      <c r="E503" s="1191">
        <v>2025</v>
      </c>
      <c r="F503" s="1192">
        <v>46022</v>
      </c>
      <c r="G503" s="1204">
        <v>6862679.8499999996</v>
      </c>
      <c r="H503" s="1194">
        <v>60048</v>
      </c>
      <c r="I503" s="1194">
        <v>6802631.8499999996</v>
      </c>
      <c r="J503" s="1295">
        <v>113.28656824540367</v>
      </c>
      <c r="K503" s="1211"/>
    </row>
    <row r="504" spans="2:11" ht="22.5">
      <c r="B504" s="1188" t="s">
        <v>1519</v>
      </c>
      <c r="C504" s="1189" t="s">
        <v>10662</v>
      </c>
      <c r="D504" s="1190" t="s">
        <v>10667</v>
      </c>
      <c r="E504" s="1191">
        <v>2025</v>
      </c>
      <c r="F504" s="1192">
        <v>46022</v>
      </c>
      <c r="G504" s="1202">
        <v>0</v>
      </c>
      <c r="H504" s="1203">
        <v>0</v>
      </c>
      <c r="I504" s="1203">
        <v>0</v>
      </c>
      <c r="J504" s="1298">
        <v>0</v>
      </c>
      <c r="K504" s="1211"/>
    </row>
    <row r="505" spans="2:11">
      <c r="B505" s="1188"/>
      <c r="C505" s="1189" t="s">
        <v>11313</v>
      </c>
      <c r="D505" s="1190" t="s">
        <v>11314</v>
      </c>
      <c r="E505" s="1191">
        <v>2025</v>
      </c>
      <c r="F505" s="1192">
        <v>46022</v>
      </c>
      <c r="G505" s="1204">
        <v>6862679.8499999996</v>
      </c>
      <c r="H505" s="1194">
        <v>60048</v>
      </c>
      <c r="I505" s="1194">
        <v>6802631.8499999996</v>
      </c>
      <c r="J505" s="1295">
        <v>113.28656824540367</v>
      </c>
      <c r="K505" s="1211"/>
    </row>
    <row r="506" spans="2:11" ht="22.5">
      <c r="B506" s="1188" t="s">
        <v>1349</v>
      </c>
      <c r="C506" s="1189" t="s">
        <v>10672</v>
      </c>
      <c r="D506" s="1190" t="s">
        <v>10677</v>
      </c>
      <c r="E506" s="1191">
        <v>2025</v>
      </c>
      <c r="F506" s="1192">
        <v>46022</v>
      </c>
      <c r="G506" s="1202">
        <v>0</v>
      </c>
      <c r="H506" s="1203">
        <v>0</v>
      </c>
      <c r="I506" s="1203">
        <v>0</v>
      </c>
      <c r="J506" s="1298">
        <v>0</v>
      </c>
      <c r="K506" s="1211"/>
    </row>
    <row r="507" spans="2:11">
      <c r="B507" s="1188"/>
      <c r="C507" s="1189" t="s">
        <v>10678</v>
      </c>
      <c r="D507" s="1190" t="s">
        <v>10683</v>
      </c>
      <c r="E507" s="1191">
        <v>2025</v>
      </c>
      <c r="F507" s="1192">
        <v>46022</v>
      </c>
      <c r="G507" s="1202">
        <v>0</v>
      </c>
      <c r="H507" s="1203">
        <v>0</v>
      </c>
      <c r="I507" s="1203">
        <v>0</v>
      </c>
      <c r="J507" s="1298">
        <v>0</v>
      </c>
      <c r="K507" s="1211"/>
    </row>
    <row r="508" spans="2:11" ht="22.5">
      <c r="B508" s="1188"/>
      <c r="C508" s="1189" t="s">
        <v>10684</v>
      </c>
      <c r="D508" s="1190" t="s">
        <v>10689</v>
      </c>
      <c r="E508" s="1191">
        <v>2025</v>
      </c>
      <c r="F508" s="1192">
        <v>46022</v>
      </c>
      <c r="G508" s="1202">
        <v>0</v>
      </c>
      <c r="H508" s="1203">
        <v>0</v>
      </c>
      <c r="I508" s="1203">
        <v>0</v>
      </c>
      <c r="J508" s="1298">
        <v>0</v>
      </c>
      <c r="K508" s="1211"/>
    </row>
    <row r="509" spans="2:11" ht="22.5">
      <c r="B509" s="1188"/>
      <c r="C509" s="1189" t="s">
        <v>10690</v>
      </c>
      <c r="D509" s="1190" t="s">
        <v>10695</v>
      </c>
      <c r="E509" s="1191">
        <v>2025</v>
      </c>
      <c r="F509" s="1192">
        <v>46022</v>
      </c>
      <c r="G509" s="1202">
        <v>0</v>
      </c>
      <c r="H509" s="1203">
        <v>0</v>
      </c>
      <c r="I509" s="1203">
        <v>0</v>
      </c>
      <c r="J509" s="1298">
        <v>0</v>
      </c>
      <c r="K509" s="1211"/>
    </row>
    <row r="510" spans="2:11" ht="22.5">
      <c r="B510" s="1188"/>
      <c r="C510" s="1189" t="s">
        <v>10696</v>
      </c>
      <c r="D510" s="1190" t="s">
        <v>10700</v>
      </c>
      <c r="E510" s="1191">
        <v>2025</v>
      </c>
      <c r="F510" s="1192">
        <v>46022</v>
      </c>
      <c r="G510" s="1202">
        <v>0</v>
      </c>
      <c r="H510" s="1203">
        <v>0</v>
      </c>
      <c r="I510" s="1203">
        <v>0</v>
      </c>
      <c r="J510" s="1298">
        <v>0</v>
      </c>
      <c r="K510" s="1211"/>
    </row>
    <row r="511" spans="2:11" ht="22.5">
      <c r="B511" s="1188"/>
      <c r="C511" s="1189" t="s">
        <v>10701</v>
      </c>
      <c r="D511" s="1190" t="s">
        <v>10706</v>
      </c>
      <c r="E511" s="1191">
        <v>2025</v>
      </c>
      <c r="F511" s="1192">
        <v>46022</v>
      </c>
      <c r="G511" s="1202">
        <v>3518717.82</v>
      </c>
      <c r="H511" s="1203">
        <v>0</v>
      </c>
      <c r="I511" s="1203">
        <v>3518717.82</v>
      </c>
      <c r="J511" s="1298">
        <v>1</v>
      </c>
      <c r="K511" s="1211"/>
    </row>
    <row r="512" spans="2:11">
      <c r="B512" s="1188"/>
      <c r="C512" s="1189" t="s">
        <v>10707</v>
      </c>
      <c r="D512" s="1190" t="s">
        <v>10712</v>
      </c>
      <c r="E512" s="1191">
        <v>2025</v>
      </c>
      <c r="F512" s="1192">
        <v>46022</v>
      </c>
      <c r="G512" s="1202">
        <v>3343962.03</v>
      </c>
      <c r="H512" s="1203">
        <v>60048</v>
      </c>
      <c r="I512" s="1203">
        <v>3283914.03</v>
      </c>
      <c r="J512" s="1298">
        <v>54.688149980015986</v>
      </c>
      <c r="K512" s="1211"/>
    </row>
    <row r="513" spans="2:11">
      <c r="B513" s="1188"/>
      <c r="C513" s="1189" t="s">
        <v>10713</v>
      </c>
      <c r="D513" s="1190" t="s">
        <v>10715</v>
      </c>
      <c r="E513" s="1191">
        <v>2025</v>
      </c>
      <c r="F513" s="1192">
        <v>46022</v>
      </c>
      <c r="G513" s="1202">
        <v>1.01</v>
      </c>
      <c r="H513" s="1203">
        <v>-0.05</v>
      </c>
      <c r="I513" s="1203">
        <v>1.06</v>
      </c>
      <c r="J513" s="1298">
        <v>-21.2</v>
      </c>
      <c r="K513" s="1211"/>
    </row>
    <row r="514" spans="2:11">
      <c r="B514" s="1188"/>
      <c r="C514" s="1189" t="s">
        <v>10720</v>
      </c>
      <c r="D514" s="1190" t="s">
        <v>10723</v>
      </c>
      <c r="E514" s="1191">
        <v>2025</v>
      </c>
      <c r="F514" s="1192">
        <v>46022</v>
      </c>
      <c r="G514" s="1204">
        <v>11966369.42</v>
      </c>
      <c r="H514" s="1194">
        <v>3310662.34</v>
      </c>
      <c r="I514" s="1194">
        <v>8655707.0800000001</v>
      </c>
      <c r="J514" s="1295">
        <v>2.6144940773392191</v>
      </c>
      <c r="K514" s="1211"/>
    </row>
    <row r="515" spans="2:11">
      <c r="B515" s="1188"/>
      <c r="C515" s="1189" t="s">
        <v>10724</v>
      </c>
      <c r="D515" s="1190" t="s">
        <v>10727</v>
      </c>
      <c r="E515" s="1191">
        <v>2025</v>
      </c>
      <c r="F515" s="1192">
        <v>46022</v>
      </c>
      <c r="G515" s="1202">
        <v>0</v>
      </c>
      <c r="H515" s="1203">
        <v>0</v>
      </c>
      <c r="I515" s="1203">
        <v>0</v>
      </c>
      <c r="J515" s="1298">
        <v>0</v>
      </c>
      <c r="K515" s="1211"/>
    </row>
    <row r="516" spans="2:11">
      <c r="B516" s="1188"/>
      <c r="C516" s="1189" t="s">
        <v>10821</v>
      </c>
      <c r="D516" s="1190" t="s">
        <v>10824</v>
      </c>
      <c r="E516" s="1191">
        <v>2025</v>
      </c>
      <c r="F516" s="1192">
        <v>46022</v>
      </c>
      <c r="G516" s="1204">
        <v>11966369.42</v>
      </c>
      <c r="H516" s="1194">
        <v>3310662.34</v>
      </c>
      <c r="I516" s="1194">
        <v>8655707.0800000001</v>
      </c>
      <c r="J516" s="1295">
        <v>2.6144940773392191</v>
      </c>
      <c r="K516" s="1211"/>
    </row>
    <row r="517" spans="2:11">
      <c r="B517" s="1188"/>
      <c r="C517" s="1189" t="s">
        <v>10825</v>
      </c>
      <c r="D517" s="1190" t="s">
        <v>10828</v>
      </c>
      <c r="E517" s="1191">
        <v>2025</v>
      </c>
      <c r="F517" s="1192">
        <v>46022</v>
      </c>
      <c r="G517" s="1202">
        <v>0</v>
      </c>
      <c r="H517" s="1203">
        <v>10371</v>
      </c>
      <c r="I517" s="1203">
        <v>-10371</v>
      </c>
      <c r="J517" s="1298">
        <v>-1</v>
      </c>
      <c r="K517" s="1211"/>
    </row>
    <row r="518" spans="2:11">
      <c r="B518" s="1188"/>
      <c r="C518" s="1189" t="s">
        <v>10846</v>
      </c>
      <c r="D518" s="1190" t="s">
        <v>10849</v>
      </c>
      <c r="E518" s="1191">
        <v>2025</v>
      </c>
      <c r="F518" s="1192">
        <v>46022</v>
      </c>
      <c r="G518" s="1202">
        <v>0</v>
      </c>
      <c r="H518" s="1203">
        <v>239915.5</v>
      </c>
      <c r="I518" s="1203">
        <v>-239915.5</v>
      </c>
      <c r="J518" s="1298">
        <v>-1</v>
      </c>
      <c r="K518" s="1211"/>
    </row>
    <row r="519" spans="2:11">
      <c r="B519" s="1188"/>
      <c r="C519" s="1189" t="s">
        <v>10853</v>
      </c>
      <c r="D519" s="1190" t="s">
        <v>10856</v>
      </c>
      <c r="E519" s="1191">
        <v>2025</v>
      </c>
      <c r="F519" s="1192">
        <v>46022</v>
      </c>
      <c r="G519" s="1204">
        <v>3925815.27</v>
      </c>
      <c r="H519" s="1194">
        <v>3000327.84</v>
      </c>
      <c r="I519" s="1194">
        <v>925487.43000000017</v>
      </c>
      <c r="J519" s="1295">
        <v>0.3084621012615742</v>
      </c>
      <c r="K519" s="1211"/>
    </row>
    <row r="520" spans="2:11" ht="22.5">
      <c r="B520" s="1188" t="s">
        <v>1519</v>
      </c>
      <c r="C520" s="1189" t="s">
        <v>11315</v>
      </c>
      <c r="D520" s="1190" t="s">
        <v>11316</v>
      </c>
      <c r="E520" s="1191">
        <v>2025</v>
      </c>
      <c r="F520" s="1192">
        <v>46022</v>
      </c>
      <c r="G520" s="1204">
        <v>3094.18</v>
      </c>
      <c r="H520" s="1194">
        <v>8968.4599999999991</v>
      </c>
      <c r="I520" s="1194">
        <v>-5874.2799999999988</v>
      </c>
      <c r="J520" s="1295">
        <v>-0.65499316493578597</v>
      </c>
      <c r="K520" s="1211"/>
    </row>
    <row r="521" spans="2:11" ht="22.5">
      <c r="B521" s="1188" t="s">
        <v>1519</v>
      </c>
      <c r="C521" s="1189" t="s">
        <v>10857</v>
      </c>
      <c r="D521" s="1190" t="s">
        <v>10862</v>
      </c>
      <c r="E521" s="1191">
        <v>2025</v>
      </c>
      <c r="F521" s="1192">
        <v>46022</v>
      </c>
      <c r="G521" s="1202">
        <v>0</v>
      </c>
      <c r="H521" s="1203">
        <v>0</v>
      </c>
      <c r="I521" s="1203">
        <v>0</v>
      </c>
      <c r="J521" s="1298">
        <v>0</v>
      </c>
      <c r="K521" s="1211"/>
    </row>
    <row r="522" spans="2:11" ht="22.5">
      <c r="B522" s="1188" t="s">
        <v>1519</v>
      </c>
      <c r="C522" s="1189" t="s">
        <v>10863</v>
      </c>
      <c r="D522" s="1190" t="s">
        <v>10868</v>
      </c>
      <c r="E522" s="1191">
        <v>2025</v>
      </c>
      <c r="F522" s="1192">
        <v>46022</v>
      </c>
      <c r="G522" s="1202">
        <v>3094.18</v>
      </c>
      <c r="H522" s="1203">
        <v>8968.4599999999991</v>
      </c>
      <c r="I522" s="1203">
        <v>-5874.2799999999988</v>
      </c>
      <c r="J522" s="1298">
        <v>-0.65499316493578597</v>
      </c>
      <c r="K522" s="1211"/>
    </row>
    <row r="523" spans="2:11">
      <c r="B523" s="1188"/>
      <c r="C523" s="1189" t="s">
        <v>11317</v>
      </c>
      <c r="D523" s="1190" t="s">
        <v>11318</v>
      </c>
      <c r="E523" s="1191">
        <v>2025</v>
      </c>
      <c r="F523" s="1192">
        <v>46022</v>
      </c>
      <c r="G523" s="1204">
        <v>3922721.09</v>
      </c>
      <c r="H523" s="1194">
        <v>2991359.38</v>
      </c>
      <c r="I523" s="1194">
        <v>931361.71</v>
      </c>
      <c r="J523" s="1295">
        <v>0.311350657572946</v>
      </c>
      <c r="K523" s="1211"/>
    </row>
    <row r="524" spans="2:11" ht="22.5">
      <c r="B524" s="1188" t="s">
        <v>1349</v>
      </c>
      <c r="C524" s="1189" t="s">
        <v>10869</v>
      </c>
      <c r="D524" s="1190" t="s">
        <v>10874</v>
      </c>
      <c r="E524" s="1191">
        <v>2025</v>
      </c>
      <c r="F524" s="1192">
        <v>46022</v>
      </c>
      <c r="G524" s="1202">
        <v>0</v>
      </c>
      <c r="H524" s="1203">
        <v>0</v>
      </c>
      <c r="I524" s="1203">
        <v>0</v>
      </c>
      <c r="J524" s="1298">
        <v>0</v>
      </c>
      <c r="K524" s="1211"/>
    </row>
    <row r="525" spans="2:11">
      <c r="B525" s="1188"/>
      <c r="C525" s="1189" t="s">
        <v>11319</v>
      </c>
      <c r="D525" s="1190" t="s">
        <v>11320</v>
      </c>
      <c r="E525" s="1191">
        <v>2025</v>
      </c>
      <c r="F525" s="1192">
        <v>46022</v>
      </c>
      <c r="G525" s="1204">
        <v>108680</v>
      </c>
      <c r="H525" s="1194">
        <v>2117564.13</v>
      </c>
      <c r="I525" s="1194">
        <v>-2008884.13</v>
      </c>
      <c r="J525" s="1295">
        <v>-0.94867687903270259</v>
      </c>
      <c r="K525" s="1211"/>
    </row>
    <row r="526" spans="2:11" ht="22.5">
      <c r="B526" s="1188"/>
      <c r="C526" s="1189" t="s">
        <v>10875</v>
      </c>
      <c r="D526" s="1190" t="s">
        <v>10880</v>
      </c>
      <c r="E526" s="1191">
        <v>2025</v>
      </c>
      <c r="F526" s="1192">
        <v>46022</v>
      </c>
      <c r="G526" s="1202">
        <v>0</v>
      </c>
      <c r="H526" s="1203">
        <v>496466.23</v>
      </c>
      <c r="I526" s="1203">
        <v>-496466.23</v>
      </c>
      <c r="J526" s="1298">
        <v>-1</v>
      </c>
      <c r="K526" s="1211"/>
    </row>
    <row r="527" spans="2:11" ht="22.5">
      <c r="B527" s="1188"/>
      <c r="C527" s="1189" t="s">
        <v>10889</v>
      </c>
      <c r="D527" s="1190" t="s">
        <v>10894</v>
      </c>
      <c r="E527" s="1191">
        <v>2025</v>
      </c>
      <c r="F527" s="1192">
        <v>46022</v>
      </c>
      <c r="G527" s="1202">
        <v>0</v>
      </c>
      <c r="H527" s="1203">
        <v>220691.58</v>
      </c>
      <c r="I527" s="1203">
        <v>-220691.58</v>
      </c>
      <c r="J527" s="1298">
        <v>-1</v>
      </c>
      <c r="K527" s="1211"/>
    </row>
    <row r="528" spans="2:11" ht="22.5">
      <c r="B528" s="1188"/>
      <c r="C528" s="1189" t="s">
        <v>10921</v>
      </c>
      <c r="D528" s="1190" t="s">
        <v>10926</v>
      </c>
      <c r="E528" s="1191">
        <v>2025</v>
      </c>
      <c r="F528" s="1192">
        <v>46022</v>
      </c>
      <c r="G528" s="1202">
        <v>108680</v>
      </c>
      <c r="H528" s="1203">
        <v>1400406.32</v>
      </c>
      <c r="I528" s="1203">
        <v>-1291726.32</v>
      </c>
      <c r="J528" s="1298">
        <v>-0.92239395206385533</v>
      </c>
      <c r="K528" s="1211"/>
    </row>
    <row r="529" spans="2:11" ht="22.5">
      <c r="B529" s="1188"/>
      <c r="C529" s="1189" t="s">
        <v>10952</v>
      </c>
      <c r="D529" s="1190" t="s">
        <v>10957</v>
      </c>
      <c r="E529" s="1191">
        <v>2025</v>
      </c>
      <c r="F529" s="1192">
        <v>46022</v>
      </c>
      <c r="G529" s="1202">
        <v>0</v>
      </c>
      <c r="H529" s="1203">
        <v>0</v>
      </c>
      <c r="I529" s="1203">
        <v>0</v>
      </c>
      <c r="J529" s="1298">
        <v>0</v>
      </c>
      <c r="K529" s="1211"/>
    </row>
    <row r="530" spans="2:11" ht="22.5">
      <c r="B530" s="1188"/>
      <c r="C530" s="1189" t="s">
        <v>10970</v>
      </c>
      <c r="D530" s="1190" t="s">
        <v>10975</v>
      </c>
      <c r="E530" s="1191">
        <v>2025</v>
      </c>
      <c r="F530" s="1192">
        <v>46022</v>
      </c>
      <c r="G530" s="1202">
        <v>0</v>
      </c>
      <c r="H530" s="1203">
        <v>0</v>
      </c>
      <c r="I530" s="1203">
        <v>0</v>
      </c>
      <c r="J530" s="1298">
        <v>0</v>
      </c>
      <c r="K530" s="1211"/>
    </row>
    <row r="531" spans="2:11" ht="22.5">
      <c r="B531" s="1188"/>
      <c r="C531" s="1189" t="s">
        <v>10976</v>
      </c>
      <c r="D531" s="1190" t="s">
        <v>10981</v>
      </c>
      <c r="E531" s="1191">
        <v>2025</v>
      </c>
      <c r="F531" s="1192">
        <v>46022</v>
      </c>
      <c r="G531" s="1202">
        <v>0</v>
      </c>
      <c r="H531" s="1203">
        <v>0</v>
      </c>
      <c r="I531" s="1203">
        <v>0</v>
      </c>
      <c r="J531" s="1298">
        <v>0</v>
      </c>
      <c r="K531" s="1211"/>
    </row>
    <row r="532" spans="2:11" ht="22.5">
      <c r="B532" s="1188"/>
      <c r="C532" s="1189" t="s">
        <v>10982</v>
      </c>
      <c r="D532" s="1190" t="s">
        <v>10987</v>
      </c>
      <c r="E532" s="1191">
        <v>2025</v>
      </c>
      <c r="F532" s="1192">
        <v>46022</v>
      </c>
      <c r="G532" s="1202">
        <v>1281214.56</v>
      </c>
      <c r="H532" s="1203">
        <v>645811.38</v>
      </c>
      <c r="I532" s="1203">
        <v>635403.18000000005</v>
      </c>
      <c r="J532" s="1298">
        <v>0.9838835295841335</v>
      </c>
      <c r="K532" s="1211"/>
    </row>
    <row r="533" spans="2:11">
      <c r="B533" s="1188"/>
      <c r="C533" s="1189" t="s">
        <v>10988</v>
      </c>
      <c r="D533" s="1190" t="s">
        <v>10993</v>
      </c>
      <c r="E533" s="1191">
        <v>2025</v>
      </c>
      <c r="F533" s="1192">
        <v>46022</v>
      </c>
      <c r="G533" s="1202">
        <v>2532826.5299999998</v>
      </c>
      <c r="H533" s="1203">
        <v>227983.87</v>
      </c>
      <c r="I533" s="1203">
        <v>2304842.6599999997</v>
      </c>
      <c r="J533" s="1298">
        <v>10.109674250200243</v>
      </c>
      <c r="K533" s="1211"/>
    </row>
    <row r="534" spans="2:11">
      <c r="B534" s="1188"/>
      <c r="C534" s="1189" t="s">
        <v>10994</v>
      </c>
      <c r="D534" s="1190" t="s">
        <v>10997</v>
      </c>
      <c r="E534" s="1191">
        <v>2025</v>
      </c>
      <c r="F534" s="1192">
        <v>46022</v>
      </c>
      <c r="G534" s="1204">
        <v>1347248.3299999998</v>
      </c>
      <c r="H534" s="1194">
        <v>60048</v>
      </c>
      <c r="I534" s="1194">
        <v>1287200.3299999998</v>
      </c>
      <c r="J534" s="1295">
        <v>21.436189881428188</v>
      </c>
      <c r="K534" s="1211"/>
    </row>
    <row r="535" spans="2:11">
      <c r="B535" s="1188"/>
      <c r="C535" s="1189" t="s">
        <v>10998</v>
      </c>
      <c r="D535" s="1190" t="s">
        <v>11002</v>
      </c>
      <c r="E535" s="1191">
        <v>2025</v>
      </c>
      <c r="F535" s="1192">
        <v>46022</v>
      </c>
      <c r="G535" s="1202">
        <v>0</v>
      </c>
      <c r="H535" s="1203">
        <v>0</v>
      </c>
      <c r="I535" s="1203">
        <v>0</v>
      </c>
      <c r="J535" s="1298">
        <v>0</v>
      </c>
      <c r="K535" s="1211"/>
    </row>
    <row r="536" spans="2:11" ht="22.5">
      <c r="B536" s="1188" t="s">
        <v>1519</v>
      </c>
      <c r="C536" s="1189" t="s">
        <v>11003</v>
      </c>
      <c r="D536" s="1190" t="s">
        <v>11008</v>
      </c>
      <c r="E536" s="1191">
        <v>2025</v>
      </c>
      <c r="F536" s="1192">
        <v>46022</v>
      </c>
      <c r="G536" s="1202">
        <v>1341470.6299999999</v>
      </c>
      <c r="H536" s="1203">
        <v>0</v>
      </c>
      <c r="I536" s="1203">
        <v>1341470.6299999999</v>
      </c>
      <c r="J536" s="1298">
        <v>1</v>
      </c>
      <c r="K536" s="1211"/>
    </row>
    <row r="537" spans="2:11">
      <c r="B537" s="1188"/>
      <c r="C537" s="1189" t="s">
        <v>11321</v>
      </c>
      <c r="D537" s="1190" t="s">
        <v>11322</v>
      </c>
      <c r="E537" s="1191">
        <v>2025</v>
      </c>
      <c r="F537" s="1192">
        <v>46022</v>
      </c>
      <c r="G537" s="1204">
        <v>5777.7</v>
      </c>
      <c r="H537" s="1194">
        <v>60048</v>
      </c>
      <c r="I537" s="1194">
        <v>-54270.3</v>
      </c>
      <c r="J537" s="1295">
        <v>-0.90378197442046371</v>
      </c>
      <c r="K537" s="1211"/>
    </row>
    <row r="538" spans="2:11" ht="22.5">
      <c r="B538" s="1188" t="s">
        <v>1349</v>
      </c>
      <c r="C538" s="1189" t="s">
        <v>11009</v>
      </c>
      <c r="D538" s="1190" t="s">
        <v>11014</v>
      </c>
      <c r="E538" s="1191">
        <v>2025</v>
      </c>
      <c r="F538" s="1192">
        <v>46022</v>
      </c>
      <c r="G538" s="1202">
        <v>0</v>
      </c>
      <c r="H538" s="1203">
        <v>0</v>
      </c>
      <c r="I538" s="1203">
        <v>0</v>
      </c>
      <c r="J538" s="1298">
        <v>0</v>
      </c>
      <c r="K538" s="1211"/>
    </row>
    <row r="539" spans="2:11">
      <c r="B539" s="1188"/>
      <c r="C539" s="1189" t="s">
        <v>11015</v>
      </c>
      <c r="D539" s="1190" t="s">
        <v>11020</v>
      </c>
      <c r="E539" s="1191">
        <v>2025</v>
      </c>
      <c r="F539" s="1192">
        <v>46022</v>
      </c>
      <c r="G539" s="1202">
        <v>0</v>
      </c>
      <c r="H539" s="1203">
        <v>0</v>
      </c>
      <c r="I539" s="1203">
        <v>0</v>
      </c>
      <c r="J539" s="1298">
        <v>0</v>
      </c>
      <c r="K539" s="1211"/>
    </row>
    <row r="540" spans="2:11" ht="22.5">
      <c r="B540" s="1188"/>
      <c r="C540" s="1189" t="s">
        <v>11021</v>
      </c>
      <c r="D540" s="1190" t="s">
        <v>11026</v>
      </c>
      <c r="E540" s="1191">
        <v>2025</v>
      </c>
      <c r="F540" s="1192">
        <v>46022</v>
      </c>
      <c r="G540" s="1202">
        <v>0</v>
      </c>
      <c r="H540" s="1203">
        <v>0</v>
      </c>
      <c r="I540" s="1203">
        <v>0</v>
      </c>
      <c r="J540" s="1298">
        <v>0</v>
      </c>
      <c r="K540" s="1211"/>
    </row>
    <row r="541" spans="2:11" ht="22.5">
      <c r="B541" s="1188"/>
      <c r="C541" s="1189" t="s">
        <v>11027</v>
      </c>
      <c r="D541" s="1190" t="s">
        <v>11032</v>
      </c>
      <c r="E541" s="1191">
        <v>2025</v>
      </c>
      <c r="F541" s="1192">
        <v>46022</v>
      </c>
      <c r="G541" s="1202">
        <v>0</v>
      </c>
      <c r="H541" s="1203">
        <v>0</v>
      </c>
      <c r="I541" s="1203">
        <v>0</v>
      </c>
      <c r="J541" s="1298">
        <v>0</v>
      </c>
      <c r="K541" s="1211"/>
    </row>
    <row r="542" spans="2:11" ht="22.5">
      <c r="B542" s="1188"/>
      <c r="C542" s="1189" t="s">
        <v>11033</v>
      </c>
      <c r="D542" s="1190" t="s">
        <v>11038</v>
      </c>
      <c r="E542" s="1191">
        <v>2025</v>
      </c>
      <c r="F542" s="1192">
        <v>46022</v>
      </c>
      <c r="G542" s="1202">
        <v>0</v>
      </c>
      <c r="H542" s="1203">
        <v>0</v>
      </c>
      <c r="I542" s="1203">
        <v>0</v>
      </c>
      <c r="J542" s="1298">
        <v>0</v>
      </c>
      <c r="K542" s="1211"/>
    </row>
    <row r="543" spans="2:11" ht="22.5">
      <c r="B543" s="1188"/>
      <c r="C543" s="1189" t="s">
        <v>11039</v>
      </c>
      <c r="D543" s="1190" t="s">
        <v>11044</v>
      </c>
      <c r="E543" s="1191">
        <v>2025</v>
      </c>
      <c r="F543" s="1192">
        <v>46022</v>
      </c>
      <c r="G543" s="1202">
        <v>0</v>
      </c>
      <c r="H543" s="1203">
        <v>0</v>
      </c>
      <c r="I543" s="1203">
        <v>0</v>
      </c>
      <c r="J543" s="1298">
        <v>0</v>
      </c>
      <c r="K543" s="1211"/>
    </row>
    <row r="544" spans="2:11">
      <c r="B544" s="1188"/>
      <c r="C544" s="1189" t="s">
        <v>11045</v>
      </c>
      <c r="D544" s="1190" t="s">
        <v>11050</v>
      </c>
      <c r="E544" s="1191">
        <v>2025</v>
      </c>
      <c r="F544" s="1192">
        <v>46022</v>
      </c>
      <c r="G544" s="1202">
        <v>5777.7</v>
      </c>
      <c r="H544" s="1203">
        <v>60048</v>
      </c>
      <c r="I544" s="1203">
        <v>-54270.3</v>
      </c>
      <c r="J544" s="1298">
        <v>-0.90378197442046371</v>
      </c>
      <c r="K544" s="1211"/>
    </row>
    <row r="545" spans="2:11">
      <c r="B545" s="1188"/>
      <c r="C545" s="1189" t="s">
        <v>11051</v>
      </c>
      <c r="D545" s="1190" t="s">
        <v>11053</v>
      </c>
      <c r="E545" s="1191">
        <v>2025</v>
      </c>
      <c r="F545" s="1192">
        <v>46022</v>
      </c>
      <c r="G545" s="1202">
        <v>6693305.8200000003</v>
      </c>
      <c r="H545" s="1203">
        <v>0</v>
      </c>
      <c r="I545" s="1203">
        <v>6693305.8200000003</v>
      </c>
      <c r="J545" s="1298">
        <v>1</v>
      </c>
      <c r="K545" s="1211"/>
    </row>
    <row r="546" spans="2:11">
      <c r="B546" s="1188"/>
      <c r="C546" s="1189" t="s">
        <v>11323</v>
      </c>
      <c r="D546" s="1190" t="s">
        <v>11324</v>
      </c>
      <c r="E546" s="1191">
        <v>2025</v>
      </c>
      <c r="F546" s="1192">
        <v>46022</v>
      </c>
      <c r="G546" s="1204">
        <v>-117616.23000000045</v>
      </c>
      <c r="H546" s="1194">
        <v>5658433.5800000001</v>
      </c>
      <c r="I546" s="1194">
        <v>-5776049.8100000005</v>
      </c>
      <c r="J546" s="1295">
        <v>-1.0207860052322113</v>
      </c>
      <c r="K546" s="1211"/>
    </row>
    <row r="547" spans="2:11">
      <c r="B547" s="1188"/>
      <c r="C547" s="1189" t="s">
        <v>11325</v>
      </c>
      <c r="D547" s="1190" t="s">
        <v>11326</v>
      </c>
      <c r="E547" s="1191">
        <v>2025</v>
      </c>
      <c r="F547" s="1192">
        <v>46022</v>
      </c>
      <c r="G547" s="1204">
        <v>-2126186.6300000288</v>
      </c>
      <c r="H547" s="1194">
        <v>9467436.4100000151</v>
      </c>
      <c r="I547" s="1194">
        <v>-11593623.040000044</v>
      </c>
      <c r="J547" s="1295">
        <v>-1.2245789185078906</v>
      </c>
      <c r="K547" s="1211"/>
    </row>
    <row r="548" spans="2:11">
      <c r="B548" s="1188"/>
      <c r="C548" s="1189" t="s">
        <v>11059</v>
      </c>
      <c r="D548" s="1190" t="s">
        <v>11062</v>
      </c>
      <c r="E548" s="1191">
        <v>2025</v>
      </c>
      <c r="F548" s="1192">
        <v>46022</v>
      </c>
      <c r="G548" s="1204">
        <v>9840963.0699999984</v>
      </c>
      <c r="H548" s="1194">
        <v>9335293.1999999974</v>
      </c>
      <c r="I548" s="1194">
        <v>505669.87000000104</v>
      </c>
      <c r="J548" s="1295">
        <v>5.4167540233230296E-2</v>
      </c>
      <c r="K548" s="1211"/>
    </row>
    <row r="549" spans="2:11">
      <c r="B549" s="1188"/>
      <c r="C549" s="1189" t="s">
        <v>11063</v>
      </c>
      <c r="D549" s="1190" t="s">
        <v>11066</v>
      </c>
      <c r="E549" s="1191">
        <v>2025</v>
      </c>
      <c r="F549" s="1192">
        <v>46022</v>
      </c>
      <c r="G549" s="1202">
        <v>9469828.0199999977</v>
      </c>
      <c r="H549" s="1203">
        <v>8994231.5599999987</v>
      </c>
      <c r="I549" s="1203">
        <v>475596.45999999903</v>
      </c>
      <c r="J549" s="1298">
        <v>5.2877942582123055E-2</v>
      </c>
      <c r="K549" s="1211"/>
    </row>
    <row r="550" spans="2:11" ht="22.5">
      <c r="B550" s="1188"/>
      <c r="C550" s="1189" t="s">
        <v>11078</v>
      </c>
      <c r="D550" s="1190" t="s">
        <v>11081</v>
      </c>
      <c r="E550" s="1191">
        <v>2025</v>
      </c>
      <c r="F550" s="1192">
        <v>46022</v>
      </c>
      <c r="G550" s="1202">
        <v>118061.5</v>
      </c>
      <c r="H550" s="1203">
        <v>111517.27</v>
      </c>
      <c r="I550" s="1203">
        <v>6544.2299999999959</v>
      </c>
      <c r="J550" s="1298">
        <v>5.8683556367547338E-2</v>
      </c>
      <c r="K550" s="1211"/>
    </row>
    <row r="551" spans="2:11" ht="22.5">
      <c r="B551" s="1188"/>
      <c r="C551" s="1189" t="s">
        <v>11092</v>
      </c>
      <c r="D551" s="1190" t="s">
        <v>11327</v>
      </c>
      <c r="E551" s="1191">
        <v>2025</v>
      </c>
      <c r="F551" s="1192">
        <v>46022</v>
      </c>
      <c r="G551" s="1202">
        <v>253073.55</v>
      </c>
      <c r="H551" s="1203">
        <v>229544.37</v>
      </c>
      <c r="I551" s="1203">
        <v>23529.179999999993</v>
      </c>
      <c r="J551" s="1298">
        <v>0.10250384272112617</v>
      </c>
      <c r="K551" s="1211"/>
    </row>
    <row r="552" spans="2:11">
      <c r="B552" s="1188"/>
      <c r="C552" s="1189" t="s">
        <v>11098</v>
      </c>
      <c r="D552" s="1190" t="s">
        <v>11328</v>
      </c>
      <c r="E552" s="1191">
        <v>2025</v>
      </c>
      <c r="F552" s="1192">
        <v>46022</v>
      </c>
      <c r="G552" s="1202">
        <v>0</v>
      </c>
      <c r="H552" s="1203">
        <v>0</v>
      </c>
      <c r="I552" s="1203">
        <v>0</v>
      </c>
      <c r="J552" s="1298">
        <v>0</v>
      </c>
      <c r="K552" s="1211"/>
    </row>
    <row r="553" spans="2:11">
      <c r="B553" s="1188"/>
      <c r="C553" s="1189" t="s">
        <v>11104</v>
      </c>
      <c r="D553" s="1190" t="s">
        <v>11107</v>
      </c>
      <c r="E553" s="1191">
        <v>2025</v>
      </c>
      <c r="F553" s="1192">
        <v>46022</v>
      </c>
      <c r="G553" s="1204">
        <v>0</v>
      </c>
      <c r="H553" s="1194">
        <v>0</v>
      </c>
      <c r="I553" s="1194">
        <v>0</v>
      </c>
      <c r="J553" s="1295">
        <v>0</v>
      </c>
      <c r="K553" s="1211"/>
    </row>
    <row r="554" spans="2:11">
      <c r="B554" s="1188"/>
      <c r="C554" s="1189" t="s">
        <v>11108</v>
      </c>
      <c r="D554" s="1190" t="s">
        <v>11329</v>
      </c>
      <c r="E554" s="1191">
        <v>2025</v>
      </c>
      <c r="F554" s="1192">
        <v>46022</v>
      </c>
      <c r="G554" s="1202">
        <v>0</v>
      </c>
      <c r="H554" s="1203">
        <v>0</v>
      </c>
      <c r="I554" s="1203">
        <v>0</v>
      </c>
      <c r="J554" s="1298">
        <v>0</v>
      </c>
      <c r="K554" s="1211"/>
    </row>
    <row r="555" spans="2:11">
      <c r="B555" s="1188"/>
      <c r="C555" s="1189" t="s">
        <v>11114</v>
      </c>
      <c r="D555" s="1190" t="s">
        <v>11330</v>
      </c>
      <c r="E555" s="1191">
        <v>2025</v>
      </c>
      <c r="F555" s="1192">
        <v>46022</v>
      </c>
      <c r="G555" s="1202">
        <v>0</v>
      </c>
      <c r="H555" s="1203">
        <v>0</v>
      </c>
      <c r="I555" s="1203">
        <v>0</v>
      </c>
      <c r="J555" s="1298">
        <v>0</v>
      </c>
      <c r="K555" s="1211"/>
    </row>
    <row r="556" spans="2:11" ht="22.5">
      <c r="B556" s="1188"/>
      <c r="C556" s="1189" t="s">
        <v>11120</v>
      </c>
      <c r="D556" s="1190" t="s">
        <v>11123</v>
      </c>
      <c r="E556" s="1191">
        <v>2025</v>
      </c>
      <c r="F556" s="1192">
        <v>46022</v>
      </c>
      <c r="G556" s="1202">
        <v>0</v>
      </c>
      <c r="H556" s="1203">
        <v>0</v>
      </c>
      <c r="I556" s="1203">
        <v>0</v>
      </c>
      <c r="J556" s="1298">
        <v>0</v>
      </c>
      <c r="K556" s="1211"/>
    </row>
    <row r="557" spans="2:11">
      <c r="B557" s="1188"/>
      <c r="C557" s="1189" t="s">
        <v>11331</v>
      </c>
      <c r="D557" s="1190" t="s">
        <v>11332</v>
      </c>
      <c r="E557" s="1191">
        <v>2025</v>
      </c>
      <c r="F557" s="1192">
        <v>46022</v>
      </c>
      <c r="G557" s="1204">
        <v>9840963.0699999984</v>
      </c>
      <c r="H557" s="1194">
        <v>9335293.1999999974</v>
      </c>
      <c r="I557" s="1194">
        <v>505669.87000000104</v>
      </c>
      <c r="J557" s="1295">
        <v>5.4167540233230296E-2</v>
      </c>
      <c r="K557" s="1211"/>
    </row>
    <row r="558" spans="2:11">
      <c r="B558" s="1188"/>
      <c r="C558" s="1189" t="s">
        <v>11333</v>
      </c>
      <c r="D558" s="1210" t="s">
        <v>11334</v>
      </c>
      <c r="E558" s="1191">
        <v>2025</v>
      </c>
      <c r="F558" s="1192">
        <v>46022</v>
      </c>
      <c r="G558" s="1204">
        <v>-11967149.700000027</v>
      </c>
      <c r="H558" s="1194">
        <v>132143.21000001766</v>
      </c>
      <c r="I558" s="1194">
        <v>-12099292.910000045</v>
      </c>
      <c r="J558" s="1295">
        <v>-91.56197212099228</v>
      </c>
      <c r="K558" s="1211"/>
    </row>
    <row r="559" spans="2:11">
      <c r="C559" s="1211"/>
      <c r="D559" s="1211"/>
      <c r="E559" s="1211"/>
      <c r="F559" s="1211"/>
      <c r="G559" s="1212"/>
      <c r="H559" s="1212"/>
      <c r="I559" s="1212"/>
      <c r="J559" s="1220"/>
      <c r="K559" s="1211"/>
    </row>
    <row r="560" spans="2:11">
      <c r="C560" s="1211"/>
      <c r="D560" s="1211"/>
      <c r="E560" s="1211"/>
      <c r="F560" s="1211"/>
      <c r="G560" s="1212"/>
      <c r="H560" s="1212"/>
      <c r="I560" s="1306"/>
      <c r="J560" s="1220"/>
      <c r="K560" s="1211"/>
    </row>
    <row r="561" spans="3:11">
      <c r="C561" s="1211"/>
      <c r="D561" s="1211"/>
      <c r="E561" s="1211"/>
      <c r="F561" s="1211"/>
      <c r="G561" s="1212"/>
      <c r="H561" s="1212"/>
      <c r="I561" s="1212"/>
      <c r="J561" s="1220"/>
      <c r="K561" s="1211"/>
    </row>
    <row r="562" spans="3:11">
      <c r="C562" s="1211"/>
      <c r="D562" s="1211"/>
      <c r="E562" s="1211"/>
      <c r="F562" s="1211"/>
      <c r="G562" s="1212"/>
      <c r="H562" s="1212"/>
      <c r="I562" s="1212"/>
      <c r="J562" s="1220"/>
      <c r="K562" s="1211"/>
    </row>
    <row r="563" spans="3:11">
      <c r="C563" s="1211"/>
      <c r="D563" s="1211"/>
      <c r="E563" s="1211"/>
      <c r="F563" s="1211"/>
      <c r="G563" s="1212"/>
      <c r="H563" s="1212"/>
      <c r="I563" s="1212"/>
      <c r="J563" s="1220"/>
      <c r="K563" s="1211"/>
    </row>
    <row r="564" spans="3:11">
      <c r="C564" s="1211"/>
      <c r="D564" s="1211"/>
      <c r="E564" s="1211"/>
      <c r="F564" s="1211"/>
      <c r="G564" s="1212"/>
      <c r="H564" s="1212"/>
      <c r="I564" s="1212"/>
      <c r="J564" s="1220"/>
      <c r="K564" s="1211"/>
    </row>
    <row r="565" spans="3:11">
      <c r="C565" s="1211"/>
      <c r="D565" s="1211"/>
      <c r="E565" s="1211"/>
      <c r="F565" s="1211"/>
      <c r="G565" s="1212"/>
      <c r="H565" s="1212"/>
      <c r="I565" s="1212"/>
      <c r="J565" s="1220"/>
      <c r="K565" s="1211"/>
    </row>
    <row r="566" spans="3:11">
      <c r="C566" s="1211"/>
      <c r="D566" s="1211"/>
      <c r="E566" s="1211"/>
      <c r="F566" s="1211"/>
      <c r="G566" s="1212"/>
      <c r="H566" s="1212"/>
      <c r="I566" s="1212"/>
      <c r="J566" s="1220"/>
      <c r="K566" s="1211"/>
    </row>
    <row r="567" spans="3:11">
      <c r="C567" s="1211"/>
      <c r="D567" s="1211"/>
      <c r="E567" s="1211"/>
      <c r="F567" s="1211"/>
      <c r="G567" s="1212"/>
      <c r="H567" s="1212"/>
      <c r="I567" s="1212"/>
      <c r="J567" s="1220"/>
      <c r="K567" s="1211"/>
    </row>
    <row r="568" spans="3:11">
      <c r="C568" s="1211"/>
      <c r="D568" s="1211"/>
      <c r="E568" s="1211"/>
      <c r="F568" s="1211"/>
      <c r="G568" s="1212"/>
      <c r="H568" s="1212"/>
      <c r="I568" s="1212"/>
      <c r="J568" s="1220"/>
      <c r="K568" s="1211"/>
    </row>
    <row r="569" spans="3:11">
      <c r="C569" s="1211"/>
      <c r="D569" s="1211"/>
      <c r="E569" s="1211"/>
      <c r="F569" s="1211"/>
      <c r="G569" s="1212"/>
      <c r="H569" s="1212"/>
      <c r="I569" s="1212"/>
      <c r="J569" s="1220"/>
      <c r="K569" s="1211"/>
    </row>
    <row r="570" spans="3:11">
      <c r="C570" s="1211"/>
      <c r="D570" s="1211"/>
      <c r="E570" s="1211"/>
      <c r="F570" s="1211"/>
      <c r="G570" s="1212"/>
      <c r="H570" s="1212"/>
      <c r="I570" s="1212"/>
      <c r="J570" s="1220"/>
      <c r="K570" s="1211"/>
    </row>
    <row r="571" spans="3:11">
      <c r="C571" s="1211"/>
      <c r="D571" s="1211"/>
      <c r="E571" s="1211"/>
      <c r="F571" s="1211"/>
      <c r="G571" s="1212"/>
      <c r="H571" s="1212"/>
      <c r="I571" s="1212"/>
      <c r="J571" s="1220"/>
      <c r="K571" s="1211"/>
    </row>
    <row r="572" spans="3:11">
      <c r="C572" s="1211"/>
      <c r="D572" s="1211"/>
      <c r="E572" s="1211"/>
      <c r="F572" s="1211"/>
      <c r="G572" s="1212"/>
      <c r="H572" s="1212"/>
      <c r="I572" s="1212"/>
      <c r="J572" s="1220"/>
      <c r="K572" s="1211"/>
    </row>
    <row r="573" spans="3:11">
      <c r="C573" s="1211"/>
      <c r="D573" s="1211"/>
      <c r="E573" s="1211"/>
      <c r="F573" s="1211"/>
      <c r="G573" s="1212"/>
      <c r="H573" s="1212"/>
      <c r="I573" s="1212"/>
      <c r="J573" s="1220"/>
      <c r="K573" s="1211"/>
    </row>
    <row r="574" spans="3:11">
      <c r="C574" s="1211"/>
      <c r="D574" s="1211"/>
      <c r="E574" s="1211"/>
      <c r="F574" s="1211"/>
      <c r="G574" s="1212"/>
      <c r="H574" s="1212"/>
      <c r="I574" s="1212"/>
      <c r="J574" s="1220"/>
      <c r="K574" s="1211"/>
    </row>
    <row r="575" spans="3:11">
      <c r="C575" s="1211"/>
      <c r="D575" s="1211"/>
      <c r="E575" s="1211"/>
      <c r="F575" s="1211"/>
      <c r="G575" s="1212"/>
      <c r="H575" s="1212"/>
      <c r="I575" s="1212"/>
      <c r="J575" s="1220"/>
      <c r="K575" s="1211"/>
    </row>
    <row r="576" spans="3:11">
      <c r="C576" s="1211"/>
      <c r="D576" s="1211"/>
      <c r="E576" s="1211"/>
      <c r="F576" s="1211"/>
      <c r="G576" s="1212"/>
      <c r="H576" s="1212"/>
      <c r="I576" s="1212"/>
      <c r="J576" s="1220"/>
      <c r="K576" s="1211"/>
    </row>
    <row r="577" spans="3:11">
      <c r="C577" s="1211"/>
      <c r="D577" s="1211"/>
      <c r="E577" s="1211"/>
      <c r="F577" s="1211"/>
      <c r="G577" s="1212"/>
      <c r="H577" s="1212"/>
      <c r="I577" s="1212"/>
      <c r="J577" s="1220"/>
      <c r="K577" s="1211"/>
    </row>
    <row r="578" spans="3:11">
      <c r="C578" s="1211"/>
      <c r="D578" s="1211"/>
      <c r="E578" s="1211"/>
      <c r="F578" s="1211"/>
      <c r="G578" s="1212"/>
      <c r="H578" s="1212"/>
      <c r="I578" s="1212"/>
      <c r="J578" s="1220"/>
      <c r="K578" s="1211"/>
    </row>
    <row r="579" spans="3:11">
      <c r="C579" s="1211"/>
      <c r="D579" s="1211"/>
      <c r="E579" s="1211"/>
      <c r="F579" s="1211"/>
      <c r="G579" s="1212"/>
      <c r="H579" s="1212"/>
      <c r="I579" s="1212"/>
      <c r="J579" s="1220"/>
      <c r="K579" s="1211"/>
    </row>
    <row r="580" spans="3:11">
      <c r="C580" s="1211"/>
      <c r="D580" s="1211"/>
      <c r="E580" s="1211"/>
      <c r="F580" s="1211"/>
      <c r="G580" s="1212"/>
      <c r="H580" s="1212"/>
      <c r="I580" s="1212"/>
      <c r="J580" s="1220"/>
      <c r="K580" s="1211"/>
    </row>
    <row r="581" spans="3:11">
      <c r="C581" s="1211"/>
      <c r="D581" s="1211"/>
      <c r="E581" s="1211"/>
      <c r="F581" s="1211"/>
      <c r="G581" s="1212"/>
      <c r="H581" s="1212"/>
      <c r="I581" s="1212"/>
      <c r="J581" s="1220"/>
      <c r="K581" s="1211"/>
    </row>
    <row r="582" spans="3:11">
      <c r="C582" s="1211"/>
      <c r="D582" s="1211"/>
      <c r="E582" s="1211"/>
      <c r="F582" s="1211"/>
      <c r="G582" s="1212"/>
      <c r="H582" s="1212"/>
      <c r="I582" s="1212"/>
      <c r="J582" s="1220"/>
      <c r="K582" s="1211"/>
    </row>
    <row r="583" spans="3:11">
      <c r="C583" s="1211"/>
      <c r="D583" s="1211"/>
      <c r="E583" s="1211"/>
      <c r="F583" s="1211"/>
      <c r="G583" s="1212"/>
      <c r="H583" s="1212"/>
      <c r="I583" s="1212"/>
      <c r="J583" s="1220"/>
      <c r="K583" s="1211"/>
    </row>
    <row r="584" spans="3:11">
      <c r="C584" s="1211"/>
      <c r="D584" s="1211"/>
      <c r="E584" s="1211"/>
      <c r="F584" s="1211"/>
      <c r="G584" s="1212"/>
      <c r="H584" s="1212"/>
      <c r="I584" s="1212"/>
      <c r="J584" s="1220"/>
      <c r="K584" s="1211"/>
    </row>
    <row r="585" spans="3:11">
      <c r="C585" s="1211"/>
      <c r="D585" s="1211"/>
      <c r="E585" s="1211"/>
      <c r="F585" s="1211"/>
      <c r="G585" s="1212"/>
      <c r="H585" s="1212"/>
      <c r="I585" s="1212"/>
      <c r="J585" s="1220"/>
      <c r="K585" s="1211"/>
    </row>
    <row r="586" spans="3:11">
      <c r="C586" s="1211"/>
      <c r="D586" s="1211"/>
      <c r="E586" s="1211"/>
      <c r="F586" s="1211"/>
      <c r="G586" s="1212"/>
      <c r="H586" s="1212"/>
      <c r="I586" s="1212"/>
      <c r="J586" s="1220"/>
      <c r="K586" s="1211"/>
    </row>
    <row r="587" spans="3:11">
      <c r="C587" s="1211"/>
      <c r="D587" s="1211"/>
      <c r="E587" s="1211"/>
      <c r="F587" s="1211"/>
      <c r="G587" s="1212"/>
      <c r="H587" s="1212"/>
      <c r="I587" s="1212"/>
      <c r="J587" s="1220"/>
      <c r="K587" s="1211"/>
    </row>
    <row r="588" spans="3:11">
      <c r="C588" s="1211"/>
      <c r="D588" s="1211"/>
      <c r="E588" s="1211"/>
      <c r="F588" s="1211"/>
      <c r="G588" s="1212"/>
      <c r="H588" s="1212"/>
      <c r="I588" s="1212"/>
      <c r="J588" s="1220"/>
      <c r="K588" s="1211"/>
    </row>
    <row r="589" spans="3:11">
      <c r="C589" s="1211"/>
      <c r="D589" s="1211"/>
      <c r="E589" s="1211"/>
      <c r="F589" s="1211"/>
      <c r="G589" s="1212"/>
      <c r="H589" s="1212"/>
      <c r="I589" s="1212"/>
      <c r="J589" s="1220"/>
      <c r="K589" s="1211"/>
    </row>
    <row r="590" spans="3:11">
      <c r="C590" s="1211"/>
      <c r="D590" s="1211"/>
      <c r="E590" s="1211"/>
      <c r="F590" s="1211"/>
      <c r="G590" s="1212"/>
      <c r="H590" s="1212"/>
      <c r="I590" s="1212"/>
      <c r="J590" s="1220"/>
      <c r="K590" s="1211"/>
    </row>
    <row r="591" spans="3:11">
      <c r="C591" s="1211"/>
      <c r="D591" s="1211"/>
      <c r="E591" s="1211"/>
      <c r="F591" s="1211"/>
      <c r="G591" s="1212"/>
      <c r="H591" s="1212"/>
      <c r="I591" s="1212"/>
      <c r="J591" s="1220"/>
      <c r="K591" s="1211"/>
    </row>
    <row r="592" spans="3:11">
      <c r="C592" s="1211"/>
      <c r="D592" s="1211"/>
      <c r="E592" s="1211"/>
      <c r="F592" s="1211"/>
      <c r="G592" s="1212"/>
      <c r="H592" s="1212"/>
      <c r="I592" s="1212"/>
      <c r="J592" s="1220"/>
      <c r="K592" s="1211"/>
    </row>
    <row r="593" spans="3:11">
      <c r="C593" s="1211"/>
      <c r="D593" s="1211"/>
      <c r="E593" s="1211"/>
      <c r="F593" s="1211"/>
      <c r="G593" s="1212"/>
      <c r="H593" s="1212"/>
      <c r="I593" s="1212"/>
      <c r="J593" s="1220"/>
      <c r="K593" s="1211"/>
    </row>
    <row r="594" spans="3:11">
      <c r="C594" s="1211"/>
      <c r="D594" s="1211"/>
      <c r="E594" s="1211"/>
      <c r="F594" s="1211"/>
      <c r="G594" s="1212"/>
      <c r="H594" s="1212"/>
      <c r="I594" s="1212"/>
      <c r="J594" s="1220"/>
      <c r="K594" s="1211"/>
    </row>
    <row r="595" spans="3:11">
      <c r="C595" s="1211"/>
      <c r="D595" s="1211"/>
      <c r="E595" s="1211"/>
      <c r="F595" s="1211"/>
      <c r="G595" s="1212"/>
      <c r="H595" s="1212"/>
      <c r="I595" s="1212"/>
      <c r="J595" s="1220"/>
      <c r="K595" s="1211"/>
    </row>
    <row r="596" spans="3:11">
      <c r="C596" s="1211"/>
      <c r="D596" s="1211"/>
      <c r="E596" s="1211"/>
      <c r="F596" s="1211"/>
      <c r="G596" s="1212"/>
      <c r="H596" s="1212"/>
      <c r="I596" s="1212"/>
      <c r="J596" s="1220"/>
      <c r="K596" s="1211"/>
    </row>
    <row r="597" spans="3:11">
      <c r="C597" s="1211"/>
      <c r="D597" s="1211"/>
      <c r="E597" s="1211"/>
      <c r="F597" s="1211"/>
      <c r="G597" s="1212"/>
      <c r="H597" s="1212"/>
      <c r="I597" s="1212"/>
      <c r="J597" s="1220"/>
      <c r="K597" s="1211"/>
    </row>
    <row r="598" spans="3:11">
      <c r="C598" s="1211"/>
      <c r="D598" s="1211"/>
      <c r="E598" s="1211"/>
      <c r="F598" s="1211"/>
      <c r="G598" s="1212"/>
      <c r="H598" s="1212"/>
      <c r="I598" s="1212"/>
      <c r="J598" s="1220"/>
      <c r="K598" s="1211"/>
    </row>
    <row r="599" spans="3:11">
      <c r="C599" s="1211"/>
      <c r="D599" s="1211"/>
      <c r="E599" s="1211"/>
      <c r="F599" s="1211"/>
      <c r="G599" s="1212"/>
      <c r="H599" s="1212"/>
      <c r="I599" s="1212"/>
      <c r="J599" s="1220"/>
      <c r="K599" s="1211"/>
    </row>
    <row r="600" spans="3:11">
      <c r="C600" s="1211"/>
      <c r="D600" s="1211"/>
      <c r="E600" s="1211"/>
      <c r="F600" s="1211"/>
      <c r="G600" s="1212"/>
      <c r="H600" s="1212"/>
      <c r="I600" s="1212"/>
      <c r="J600" s="1220"/>
      <c r="K600" s="1211"/>
    </row>
    <row r="601" spans="3:11">
      <c r="C601" s="1211"/>
      <c r="D601" s="1211"/>
      <c r="E601" s="1211"/>
      <c r="F601" s="1211"/>
      <c r="G601" s="1212"/>
      <c r="H601" s="1212"/>
      <c r="I601" s="1212"/>
      <c r="J601" s="1220"/>
      <c r="K601" s="1211"/>
    </row>
    <row r="602" spans="3:11">
      <c r="C602" s="1211"/>
      <c r="D602" s="1211"/>
      <c r="E602" s="1211"/>
      <c r="F602" s="1211"/>
      <c r="G602" s="1212"/>
      <c r="H602" s="1212"/>
      <c r="I602" s="1212"/>
      <c r="J602" s="1220"/>
      <c r="K602" s="1211"/>
    </row>
    <row r="603" spans="3:11">
      <c r="C603" s="1211"/>
      <c r="D603" s="1211"/>
      <c r="E603" s="1211"/>
      <c r="F603" s="1211"/>
      <c r="G603" s="1212"/>
      <c r="H603" s="1212"/>
      <c r="I603" s="1212"/>
      <c r="J603" s="1220"/>
      <c r="K603" s="1211"/>
    </row>
    <row r="604" spans="3:11">
      <c r="C604" s="1211"/>
      <c r="D604" s="1211"/>
      <c r="E604" s="1211"/>
      <c r="F604" s="1211"/>
      <c r="G604" s="1212"/>
      <c r="H604" s="1212"/>
      <c r="I604" s="1212"/>
      <c r="J604" s="1220"/>
      <c r="K604" s="1211"/>
    </row>
    <row r="605" spans="3:11">
      <c r="C605" s="1211"/>
      <c r="D605" s="1211"/>
      <c r="E605" s="1211"/>
      <c r="F605" s="1211"/>
      <c r="G605" s="1212"/>
      <c r="H605" s="1212"/>
      <c r="I605" s="1212"/>
      <c r="J605" s="1220"/>
      <c r="K605" s="1211"/>
    </row>
    <row r="606" spans="3:11">
      <c r="C606" s="1211"/>
      <c r="D606" s="1211"/>
      <c r="E606" s="1211"/>
      <c r="F606" s="1211"/>
      <c r="G606" s="1212"/>
      <c r="H606" s="1212"/>
      <c r="I606" s="1212"/>
      <c r="J606" s="1220"/>
      <c r="K606" s="1211"/>
    </row>
    <row r="607" spans="3:11">
      <c r="C607" s="1211"/>
      <c r="D607" s="1211"/>
      <c r="E607" s="1211"/>
      <c r="F607" s="1211"/>
      <c r="G607" s="1212"/>
      <c r="H607" s="1212"/>
      <c r="I607" s="1212"/>
      <c r="J607" s="1220"/>
      <c r="K607" s="1211"/>
    </row>
    <row r="608" spans="3:11">
      <c r="C608" s="1211"/>
      <c r="D608" s="1211"/>
      <c r="E608" s="1211"/>
      <c r="F608" s="1211"/>
      <c r="G608" s="1212"/>
      <c r="H608" s="1212"/>
      <c r="I608" s="1212"/>
      <c r="J608" s="1220"/>
      <c r="K608" s="1211"/>
    </row>
    <row r="609" spans="3:11">
      <c r="C609" s="1211"/>
      <c r="D609" s="1211"/>
      <c r="E609" s="1211"/>
      <c r="F609" s="1211"/>
      <c r="G609" s="1212"/>
      <c r="H609" s="1212"/>
      <c r="I609" s="1212"/>
      <c r="J609" s="1220"/>
      <c r="K609" s="1211"/>
    </row>
    <row r="610" spans="3:11">
      <c r="C610" s="1211"/>
      <c r="D610" s="1211"/>
      <c r="E610" s="1211"/>
      <c r="F610" s="1211"/>
      <c r="G610" s="1212"/>
      <c r="H610" s="1212"/>
      <c r="I610" s="1212"/>
      <c r="J610" s="1220"/>
      <c r="K610" s="1211"/>
    </row>
    <row r="611" spans="3:11">
      <c r="C611" s="1211"/>
      <c r="D611" s="1211"/>
      <c r="E611" s="1211"/>
      <c r="F611" s="1211"/>
      <c r="G611" s="1212"/>
      <c r="H611" s="1212"/>
      <c r="I611" s="1212"/>
      <c r="J611" s="1220"/>
      <c r="K611" s="1211"/>
    </row>
    <row r="612" spans="3:11">
      <c r="C612" s="1211"/>
      <c r="D612" s="1211"/>
      <c r="E612" s="1211"/>
      <c r="F612" s="1211"/>
      <c r="G612" s="1212"/>
      <c r="H612" s="1212"/>
      <c r="I612" s="1212"/>
      <c r="J612" s="1220"/>
      <c r="K612" s="1211"/>
    </row>
    <row r="613" spans="3:11">
      <c r="C613" s="1211"/>
      <c r="D613" s="1211"/>
      <c r="E613" s="1211"/>
      <c r="F613" s="1211"/>
      <c r="G613" s="1212"/>
      <c r="H613" s="1212"/>
      <c r="I613" s="1212"/>
      <c r="J613" s="1220"/>
      <c r="K613" s="1211"/>
    </row>
    <row r="614" spans="3:11">
      <c r="C614" s="1211"/>
      <c r="D614" s="1211"/>
      <c r="E614" s="1211"/>
      <c r="F614" s="1211"/>
      <c r="G614" s="1212"/>
      <c r="H614" s="1212"/>
      <c r="I614" s="1212"/>
      <c r="J614" s="1220"/>
      <c r="K614" s="1211"/>
    </row>
    <row r="615" spans="3:11">
      <c r="C615" s="1211"/>
      <c r="D615" s="1211"/>
      <c r="E615" s="1211"/>
      <c r="F615" s="1211"/>
      <c r="G615" s="1212"/>
      <c r="H615" s="1212"/>
      <c r="I615" s="1212"/>
      <c r="J615" s="1220"/>
      <c r="K615" s="1211"/>
    </row>
    <row r="616" spans="3:11">
      <c r="C616" s="1211"/>
      <c r="D616" s="1211"/>
      <c r="E616" s="1211"/>
      <c r="F616" s="1211"/>
      <c r="G616" s="1212"/>
      <c r="H616" s="1212"/>
      <c r="I616" s="1212"/>
      <c r="J616" s="1220"/>
      <c r="K616" s="1211"/>
    </row>
    <row r="617" spans="3:11">
      <c r="C617" s="1211"/>
      <c r="D617" s="1211"/>
      <c r="E617" s="1211"/>
      <c r="F617" s="1211"/>
      <c r="G617" s="1212"/>
      <c r="H617" s="1212"/>
      <c r="I617" s="1212"/>
      <c r="J617" s="1220"/>
      <c r="K617" s="1211"/>
    </row>
    <row r="618" spans="3:11">
      <c r="C618" s="1211"/>
      <c r="D618" s="1211"/>
      <c r="E618" s="1211"/>
      <c r="F618" s="1211"/>
      <c r="G618" s="1212"/>
      <c r="H618" s="1212"/>
      <c r="I618" s="1212"/>
      <c r="J618" s="1220"/>
      <c r="K618" s="1211"/>
    </row>
    <row r="619" spans="3:11">
      <c r="C619" s="1211"/>
      <c r="D619" s="1211"/>
      <c r="E619" s="1211"/>
      <c r="F619" s="1211"/>
      <c r="G619" s="1212"/>
      <c r="H619" s="1212"/>
      <c r="I619" s="1212"/>
      <c r="J619" s="1220"/>
      <c r="K619" s="1211"/>
    </row>
    <row r="620" spans="3:11">
      <c r="C620" s="1211"/>
      <c r="D620" s="1211"/>
      <c r="E620" s="1211"/>
      <c r="F620" s="1211"/>
      <c r="G620" s="1212"/>
      <c r="H620" s="1212"/>
      <c r="I620" s="1212"/>
      <c r="J620" s="1220"/>
      <c r="K620" s="1211"/>
    </row>
    <row r="621" spans="3:11">
      <c r="C621" s="1211"/>
      <c r="D621" s="1211"/>
      <c r="E621" s="1211"/>
      <c r="F621" s="1211"/>
      <c r="G621" s="1212"/>
      <c r="H621" s="1212"/>
      <c r="I621" s="1212"/>
      <c r="J621" s="1220"/>
      <c r="K621" s="1211"/>
    </row>
    <row r="622" spans="3:11">
      <c r="C622" s="1211"/>
      <c r="D622" s="1211"/>
      <c r="E622" s="1211"/>
      <c r="F622" s="1211"/>
      <c r="G622" s="1212"/>
      <c r="H622" s="1212"/>
      <c r="I622" s="1212"/>
      <c r="J622" s="1220"/>
      <c r="K622" s="1211"/>
    </row>
    <row r="623" spans="3:11">
      <c r="C623" s="1211"/>
      <c r="D623" s="1211"/>
      <c r="E623" s="1211"/>
      <c r="F623" s="1211"/>
      <c r="G623" s="1212"/>
      <c r="H623" s="1212"/>
      <c r="I623" s="1212"/>
      <c r="J623" s="1220"/>
      <c r="K623" s="1211"/>
    </row>
    <row r="624" spans="3:11">
      <c r="C624" s="1211"/>
      <c r="D624" s="1211"/>
      <c r="E624" s="1211"/>
      <c r="F624" s="1211"/>
      <c r="G624" s="1212"/>
    </row>
    <row r="625" spans="3:7">
      <c r="C625" s="1211"/>
      <c r="D625" s="1211"/>
      <c r="E625" s="1211"/>
      <c r="F625" s="1211"/>
      <c r="G625" s="1212"/>
    </row>
    <row r="626" spans="3:7">
      <c r="C626" s="1211"/>
      <c r="D626" s="1211"/>
      <c r="E626" s="1211"/>
      <c r="F626" s="1211"/>
      <c r="G626" s="1212"/>
    </row>
    <row r="627" spans="3:7">
      <c r="C627" s="1211"/>
      <c r="D627" s="1211"/>
      <c r="E627" s="1211"/>
      <c r="F627" s="1211"/>
      <c r="G627" s="1212"/>
    </row>
    <row r="628" spans="3:7">
      <c r="C628" s="1211"/>
      <c r="D628" s="1211"/>
      <c r="E628" s="1211"/>
      <c r="F628" s="1211"/>
      <c r="G628" s="1212"/>
    </row>
    <row r="629" spans="3:7">
      <c r="C629" s="1211"/>
      <c r="D629" s="1211"/>
      <c r="E629" s="1211"/>
      <c r="F629" s="1211"/>
      <c r="G629" s="1212"/>
    </row>
    <row r="630" spans="3:7">
      <c r="C630" s="1211"/>
      <c r="D630" s="1211"/>
      <c r="E630" s="1211"/>
      <c r="F630" s="1211"/>
      <c r="G630" s="1212"/>
    </row>
    <row r="631" spans="3:7">
      <c r="C631" s="1211"/>
      <c r="D631" s="1211"/>
      <c r="E631" s="1211"/>
      <c r="F631" s="1211"/>
      <c r="G631" s="1212"/>
    </row>
    <row r="632" spans="3:7">
      <c r="C632" s="1211"/>
      <c r="D632" s="1211"/>
      <c r="E632" s="1211"/>
      <c r="F632" s="1211"/>
      <c r="G632" s="1212"/>
    </row>
    <row r="633" spans="3:7">
      <c r="C633" s="1211"/>
      <c r="D633" s="1211"/>
      <c r="E633" s="1211"/>
      <c r="F633" s="1211"/>
      <c r="G633" s="1212"/>
    </row>
    <row r="634" spans="3:7">
      <c r="C634" s="1211"/>
      <c r="D634" s="1211"/>
      <c r="E634" s="1211"/>
      <c r="F634" s="1211"/>
      <c r="G634" s="1212"/>
    </row>
    <row r="635" spans="3:7">
      <c r="C635" s="1211"/>
      <c r="D635" s="1211"/>
      <c r="E635" s="1211"/>
      <c r="F635" s="1211"/>
      <c r="G635" s="1212"/>
    </row>
    <row r="636" spans="3:7">
      <c r="C636" s="1211"/>
      <c r="D636" s="1211"/>
      <c r="E636" s="1211"/>
      <c r="F636" s="1211"/>
      <c r="G636" s="1212"/>
    </row>
    <row r="637" spans="3:7">
      <c r="C637" s="1211"/>
      <c r="D637" s="1211"/>
      <c r="E637" s="1211"/>
      <c r="F637" s="1211"/>
      <c r="G637" s="1212"/>
    </row>
    <row r="638" spans="3:7">
      <c r="C638" s="1211"/>
      <c r="D638" s="1211"/>
      <c r="E638" s="1211"/>
      <c r="F638" s="1211"/>
      <c r="G638" s="1212"/>
    </row>
    <row r="639" spans="3:7">
      <c r="C639" s="1211"/>
      <c r="D639" s="1211"/>
      <c r="E639" s="1211"/>
      <c r="F639" s="1211"/>
      <c r="G639" s="1212"/>
    </row>
    <row r="640" spans="3:7">
      <c r="C640" s="1211"/>
      <c r="D640" s="1211"/>
      <c r="E640" s="1211"/>
      <c r="F640" s="1211"/>
      <c r="G640" s="1212"/>
    </row>
    <row r="641" spans="3:7">
      <c r="C641" s="1211"/>
      <c r="D641" s="1211"/>
      <c r="E641" s="1211"/>
      <c r="F641" s="1211"/>
      <c r="G641" s="1212"/>
    </row>
    <row r="642" spans="3:7">
      <c r="C642" s="1211"/>
      <c r="D642" s="1211"/>
      <c r="E642" s="1211"/>
      <c r="F642" s="1211"/>
      <c r="G642" s="1212"/>
    </row>
    <row r="643" spans="3:7">
      <c r="C643" s="1211"/>
      <c r="D643" s="1211"/>
      <c r="E643" s="1211"/>
      <c r="F643" s="1211"/>
      <c r="G643" s="1212"/>
    </row>
    <row r="644" spans="3:7">
      <c r="C644" s="1211"/>
      <c r="D644" s="1211"/>
      <c r="E644" s="1211"/>
      <c r="F644" s="1211"/>
      <c r="G644" s="1212"/>
    </row>
    <row r="645" spans="3:7">
      <c r="C645" s="1211"/>
      <c r="D645" s="1211"/>
      <c r="E645" s="1211"/>
      <c r="F645" s="1211"/>
      <c r="G645" s="1212"/>
    </row>
    <row r="646" spans="3:7">
      <c r="C646" s="1211"/>
      <c r="D646" s="1211"/>
      <c r="E646" s="1211"/>
      <c r="F646" s="1211"/>
      <c r="G646" s="1212"/>
    </row>
    <row r="647" spans="3:7">
      <c r="C647" s="1211"/>
      <c r="D647" s="1211"/>
      <c r="E647" s="1211"/>
      <c r="F647" s="1211"/>
      <c r="G647" s="1212"/>
    </row>
    <row r="648" spans="3:7">
      <c r="C648" s="1211"/>
      <c r="D648" s="1211"/>
      <c r="E648" s="1211"/>
      <c r="F648" s="1211"/>
      <c r="G648" s="1212"/>
    </row>
    <row r="649" spans="3:7">
      <c r="C649" s="1211"/>
      <c r="D649" s="1211"/>
      <c r="E649" s="1211"/>
      <c r="F649" s="1211"/>
      <c r="G649" s="1212"/>
    </row>
    <row r="650" spans="3:7">
      <c r="C650" s="1211"/>
      <c r="D650" s="1211"/>
      <c r="E650" s="1211"/>
      <c r="F650" s="1211"/>
      <c r="G650" s="1212"/>
    </row>
    <row r="651" spans="3:7">
      <c r="C651" s="1211"/>
      <c r="D651" s="1211"/>
      <c r="E651" s="1211"/>
      <c r="F651" s="1211"/>
      <c r="G651" s="1212"/>
    </row>
    <row r="652" spans="3:7">
      <c r="C652" s="1211"/>
      <c r="D652" s="1211"/>
      <c r="E652" s="1211"/>
      <c r="F652" s="1211"/>
      <c r="G652" s="1212"/>
    </row>
    <row r="653" spans="3:7">
      <c r="C653" s="1211"/>
      <c r="D653" s="1211"/>
      <c r="E653" s="1211"/>
      <c r="F653" s="1211"/>
      <c r="G653" s="1212"/>
    </row>
    <row r="654" spans="3:7">
      <c r="C654" s="1211"/>
      <c r="D654" s="1211"/>
      <c r="E654" s="1211"/>
      <c r="F654" s="1211"/>
      <c r="G654" s="1212"/>
    </row>
    <row r="655" spans="3:7">
      <c r="C655" s="1211"/>
      <c r="D655" s="1211"/>
      <c r="E655" s="1211"/>
      <c r="F655" s="1211"/>
      <c r="G655" s="1212"/>
    </row>
    <row r="656" spans="3:7">
      <c r="E656" s="1211"/>
      <c r="F656" s="1211"/>
      <c r="G656" s="1212"/>
    </row>
    <row r="657" spans="5:7">
      <c r="E657" s="1211"/>
      <c r="F657" s="1211"/>
      <c r="G657" s="1212"/>
    </row>
    <row r="658" spans="5:7">
      <c r="E658" s="1211"/>
      <c r="F658" s="1211"/>
    </row>
    <row r="659" spans="5:7">
      <c r="E659" s="1211"/>
      <c r="F659" s="1211"/>
    </row>
  </sheetData>
  <autoFilter ref="A1:K558" xr:uid="{00000000-0009-0000-0000-000009000000}"/>
  <printOptions horizontalCentered="1"/>
  <pageMargins left="0.39370078740157483" right="0.39370078740157483" top="0.78740157480314965" bottom="0.59055118110236227" header="0.39370078740157483" footer="0.19685039370078741"/>
  <pageSetup paperSize="9" scale="94" fitToHeight="0" orientation="portrait" r:id="rId1"/>
  <headerFooter alignWithMargins="0">
    <oddHeader>&amp;R&amp;"-,Grassetto"ALLEGATO B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S661"/>
  <sheetViews>
    <sheetView topLeftCell="B1" workbookViewId="0"/>
  </sheetViews>
  <sheetFormatPr defaultColWidth="9.140625" defaultRowHeight="12.75"/>
  <cols>
    <col min="1" max="1" width="12.140625" style="631" hidden="1" customWidth="1"/>
    <col min="2" max="2" width="5.42578125" style="822" bestFit="1" customWidth="1"/>
    <col min="3" max="3" width="9.140625" style="823"/>
    <col min="4" max="4" width="60.85546875" style="823" customWidth="1"/>
    <col min="5" max="5" width="10.5703125" style="823" customWidth="1"/>
    <col min="6" max="6" width="12.5703125" style="823" customWidth="1"/>
    <col min="7" max="7" width="9.7109375" style="823" customWidth="1"/>
    <col min="8" max="8" width="10.42578125" style="822" bestFit="1" customWidth="1"/>
    <col min="9" max="9" width="11.7109375" style="822" bestFit="1" customWidth="1"/>
    <col min="10" max="10" width="10.85546875" style="822" bestFit="1" customWidth="1"/>
    <col min="11" max="11" width="9.140625" style="631"/>
    <col min="12" max="12" width="11" style="631" bestFit="1" customWidth="1"/>
    <col min="13" max="256" width="9.140625" style="631"/>
    <col min="257" max="257" width="0" style="631" hidden="1" customWidth="1"/>
    <col min="258" max="258" width="5.42578125" style="631" bestFit="1" customWidth="1"/>
    <col min="259" max="259" width="9.140625" style="631"/>
    <col min="260" max="260" width="75.42578125" style="631" bestFit="1" customWidth="1"/>
    <col min="261" max="261" width="10.5703125" style="631" customWidth="1"/>
    <col min="262" max="262" width="12.5703125" style="631" bestFit="1" customWidth="1"/>
    <col min="263" max="264" width="18.42578125" style="631" customWidth="1"/>
    <col min="265" max="512" width="9.140625" style="631"/>
    <col min="513" max="513" width="0" style="631" hidden="1" customWidth="1"/>
    <col min="514" max="514" width="5.42578125" style="631" bestFit="1" customWidth="1"/>
    <col min="515" max="515" width="9.140625" style="631"/>
    <col min="516" max="516" width="75.42578125" style="631" bestFit="1" customWidth="1"/>
    <col min="517" max="517" width="10.5703125" style="631" customWidth="1"/>
    <col min="518" max="518" width="12.5703125" style="631" bestFit="1" customWidth="1"/>
    <col min="519" max="520" width="18.42578125" style="631" customWidth="1"/>
    <col min="521" max="768" width="9.140625" style="631"/>
    <col min="769" max="769" width="0" style="631" hidden="1" customWidth="1"/>
    <col min="770" max="770" width="5.42578125" style="631" bestFit="1" customWidth="1"/>
    <col min="771" max="771" width="9.140625" style="631"/>
    <col min="772" max="772" width="75.42578125" style="631" bestFit="1" customWidth="1"/>
    <col min="773" max="773" width="10.5703125" style="631" customWidth="1"/>
    <col min="774" max="774" width="12.5703125" style="631" bestFit="1" customWidth="1"/>
    <col min="775" max="776" width="18.42578125" style="631" customWidth="1"/>
    <col min="777" max="1024" width="9.140625" style="631"/>
    <col min="1025" max="1025" width="0" style="631" hidden="1" customWidth="1"/>
    <col min="1026" max="1026" width="5.42578125" style="631" bestFit="1" customWidth="1"/>
    <col min="1027" max="1027" width="9.140625" style="631"/>
    <col min="1028" max="1028" width="75.42578125" style="631" bestFit="1" customWidth="1"/>
    <col min="1029" max="1029" width="10.5703125" style="631" customWidth="1"/>
    <col min="1030" max="1030" width="12.5703125" style="631" bestFit="1" customWidth="1"/>
    <col min="1031" max="1032" width="18.42578125" style="631" customWidth="1"/>
    <col min="1033" max="1280" width="9.140625" style="631"/>
    <col min="1281" max="1281" width="0" style="631" hidden="1" customWidth="1"/>
    <col min="1282" max="1282" width="5.42578125" style="631" bestFit="1" customWidth="1"/>
    <col min="1283" max="1283" width="9.140625" style="631"/>
    <col min="1284" max="1284" width="75.42578125" style="631" bestFit="1" customWidth="1"/>
    <col min="1285" max="1285" width="10.5703125" style="631" customWidth="1"/>
    <col min="1286" max="1286" width="12.5703125" style="631" bestFit="1" customWidth="1"/>
    <col min="1287" max="1288" width="18.42578125" style="631" customWidth="1"/>
    <col min="1289" max="1536" width="9.140625" style="631"/>
    <col min="1537" max="1537" width="0" style="631" hidden="1" customWidth="1"/>
    <col min="1538" max="1538" width="5.42578125" style="631" bestFit="1" customWidth="1"/>
    <col min="1539" max="1539" width="9.140625" style="631"/>
    <col min="1540" max="1540" width="75.42578125" style="631" bestFit="1" customWidth="1"/>
    <col min="1541" max="1541" width="10.5703125" style="631" customWidth="1"/>
    <col min="1542" max="1542" width="12.5703125" style="631" bestFit="1" customWidth="1"/>
    <col min="1543" max="1544" width="18.42578125" style="631" customWidth="1"/>
    <col min="1545" max="1792" width="9.140625" style="631"/>
    <col min="1793" max="1793" width="0" style="631" hidden="1" customWidth="1"/>
    <col min="1794" max="1794" width="5.42578125" style="631" bestFit="1" customWidth="1"/>
    <col min="1795" max="1795" width="9.140625" style="631"/>
    <col min="1796" max="1796" width="75.42578125" style="631" bestFit="1" customWidth="1"/>
    <col min="1797" max="1797" width="10.5703125" style="631" customWidth="1"/>
    <col min="1798" max="1798" width="12.5703125" style="631" bestFit="1" customWidth="1"/>
    <col min="1799" max="1800" width="18.42578125" style="631" customWidth="1"/>
    <col min="1801" max="2048" width="9.140625" style="631"/>
    <col min="2049" max="2049" width="0" style="631" hidden="1" customWidth="1"/>
    <col min="2050" max="2050" width="5.42578125" style="631" bestFit="1" customWidth="1"/>
    <col min="2051" max="2051" width="9.140625" style="631"/>
    <col min="2052" max="2052" width="75.42578125" style="631" bestFit="1" customWidth="1"/>
    <col min="2053" max="2053" width="10.5703125" style="631" customWidth="1"/>
    <col min="2054" max="2054" width="12.5703125" style="631" bestFit="1" customWidth="1"/>
    <col min="2055" max="2056" width="18.42578125" style="631" customWidth="1"/>
    <col min="2057" max="2304" width="9.140625" style="631"/>
    <col min="2305" max="2305" width="0" style="631" hidden="1" customWidth="1"/>
    <col min="2306" max="2306" width="5.42578125" style="631" bestFit="1" customWidth="1"/>
    <col min="2307" max="2307" width="9.140625" style="631"/>
    <col min="2308" max="2308" width="75.42578125" style="631" bestFit="1" customWidth="1"/>
    <col min="2309" max="2309" width="10.5703125" style="631" customWidth="1"/>
    <col min="2310" max="2310" width="12.5703125" style="631" bestFit="1" customWidth="1"/>
    <col min="2311" max="2312" width="18.42578125" style="631" customWidth="1"/>
    <col min="2313" max="2560" width="9.140625" style="631"/>
    <col min="2561" max="2561" width="0" style="631" hidden="1" customWidth="1"/>
    <col min="2562" max="2562" width="5.42578125" style="631" bestFit="1" customWidth="1"/>
    <col min="2563" max="2563" width="9.140625" style="631"/>
    <col min="2564" max="2564" width="75.42578125" style="631" bestFit="1" customWidth="1"/>
    <col min="2565" max="2565" width="10.5703125" style="631" customWidth="1"/>
    <col min="2566" max="2566" width="12.5703125" style="631" bestFit="1" customWidth="1"/>
    <col min="2567" max="2568" width="18.42578125" style="631" customWidth="1"/>
    <col min="2569" max="2816" width="9.140625" style="631"/>
    <col min="2817" max="2817" width="0" style="631" hidden="1" customWidth="1"/>
    <col min="2818" max="2818" width="5.42578125" style="631" bestFit="1" customWidth="1"/>
    <col min="2819" max="2819" width="9.140625" style="631"/>
    <col min="2820" max="2820" width="75.42578125" style="631" bestFit="1" customWidth="1"/>
    <col min="2821" max="2821" width="10.5703125" style="631" customWidth="1"/>
    <col min="2822" max="2822" width="12.5703125" style="631" bestFit="1" customWidth="1"/>
    <col min="2823" max="2824" width="18.42578125" style="631" customWidth="1"/>
    <col min="2825" max="3072" width="9.140625" style="631"/>
    <col min="3073" max="3073" width="0" style="631" hidden="1" customWidth="1"/>
    <col min="3074" max="3074" width="5.42578125" style="631" bestFit="1" customWidth="1"/>
    <col min="3075" max="3075" width="9.140625" style="631"/>
    <col min="3076" max="3076" width="75.42578125" style="631" bestFit="1" customWidth="1"/>
    <col min="3077" max="3077" width="10.5703125" style="631" customWidth="1"/>
    <col min="3078" max="3078" width="12.5703125" style="631" bestFit="1" customWidth="1"/>
    <col min="3079" max="3080" width="18.42578125" style="631" customWidth="1"/>
    <col min="3081" max="3328" width="9.140625" style="631"/>
    <col min="3329" max="3329" width="0" style="631" hidden="1" customWidth="1"/>
    <col min="3330" max="3330" width="5.42578125" style="631" bestFit="1" customWidth="1"/>
    <col min="3331" max="3331" width="9.140625" style="631"/>
    <col min="3332" max="3332" width="75.42578125" style="631" bestFit="1" customWidth="1"/>
    <col min="3333" max="3333" width="10.5703125" style="631" customWidth="1"/>
    <col min="3334" max="3334" width="12.5703125" style="631" bestFit="1" customWidth="1"/>
    <col min="3335" max="3336" width="18.42578125" style="631" customWidth="1"/>
    <col min="3337" max="3584" width="9.140625" style="631"/>
    <col min="3585" max="3585" width="0" style="631" hidden="1" customWidth="1"/>
    <col min="3586" max="3586" width="5.42578125" style="631" bestFit="1" customWidth="1"/>
    <col min="3587" max="3587" width="9.140625" style="631"/>
    <col min="3588" max="3588" width="75.42578125" style="631" bestFit="1" customWidth="1"/>
    <col min="3589" max="3589" width="10.5703125" style="631" customWidth="1"/>
    <col min="3590" max="3590" width="12.5703125" style="631" bestFit="1" customWidth="1"/>
    <col min="3591" max="3592" width="18.42578125" style="631" customWidth="1"/>
    <col min="3593" max="3840" width="9.140625" style="631"/>
    <col min="3841" max="3841" width="0" style="631" hidden="1" customWidth="1"/>
    <col min="3842" max="3842" width="5.42578125" style="631" bestFit="1" customWidth="1"/>
    <col min="3843" max="3843" width="9.140625" style="631"/>
    <col min="3844" max="3844" width="75.42578125" style="631" bestFit="1" customWidth="1"/>
    <col min="3845" max="3845" width="10.5703125" style="631" customWidth="1"/>
    <col min="3846" max="3846" width="12.5703125" style="631" bestFit="1" customWidth="1"/>
    <col min="3847" max="3848" width="18.42578125" style="631" customWidth="1"/>
    <col min="3849" max="4096" width="9.140625" style="631"/>
    <col min="4097" max="4097" width="0" style="631" hidden="1" customWidth="1"/>
    <col min="4098" max="4098" width="5.42578125" style="631" bestFit="1" customWidth="1"/>
    <col min="4099" max="4099" width="9.140625" style="631"/>
    <col min="4100" max="4100" width="75.42578125" style="631" bestFit="1" customWidth="1"/>
    <col min="4101" max="4101" width="10.5703125" style="631" customWidth="1"/>
    <col min="4102" max="4102" width="12.5703125" style="631" bestFit="1" customWidth="1"/>
    <col min="4103" max="4104" width="18.42578125" style="631" customWidth="1"/>
    <col min="4105" max="4352" width="9.140625" style="631"/>
    <col min="4353" max="4353" width="0" style="631" hidden="1" customWidth="1"/>
    <col min="4354" max="4354" width="5.42578125" style="631" bestFit="1" customWidth="1"/>
    <col min="4355" max="4355" width="9.140625" style="631"/>
    <col min="4356" max="4356" width="75.42578125" style="631" bestFit="1" customWidth="1"/>
    <col min="4357" max="4357" width="10.5703125" style="631" customWidth="1"/>
    <col min="4358" max="4358" width="12.5703125" style="631" bestFit="1" customWidth="1"/>
    <col min="4359" max="4360" width="18.42578125" style="631" customWidth="1"/>
    <col min="4361" max="4608" width="9.140625" style="631"/>
    <col min="4609" max="4609" width="0" style="631" hidden="1" customWidth="1"/>
    <col min="4610" max="4610" width="5.42578125" style="631" bestFit="1" customWidth="1"/>
    <col min="4611" max="4611" width="9.140625" style="631"/>
    <col min="4612" max="4612" width="75.42578125" style="631" bestFit="1" customWidth="1"/>
    <col min="4613" max="4613" width="10.5703125" style="631" customWidth="1"/>
    <col min="4614" max="4614" width="12.5703125" style="631" bestFit="1" customWidth="1"/>
    <col min="4615" max="4616" width="18.42578125" style="631" customWidth="1"/>
    <col min="4617" max="4864" width="9.140625" style="631"/>
    <col min="4865" max="4865" width="0" style="631" hidden="1" customWidth="1"/>
    <col min="4866" max="4866" width="5.42578125" style="631" bestFit="1" customWidth="1"/>
    <col min="4867" max="4867" width="9.140625" style="631"/>
    <col min="4868" max="4868" width="75.42578125" style="631" bestFit="1" customWidth="1"/>
    <col min="4869" max="4869" width="10.5703125" style="631" customWidth="1"/>
    <col min="4870" max="4870" width="12.5703125" style="631" bestFit="1" customWidth="1"/>
    <col min="4871" max="4872" width="18.42578125" style="631" customWidth="1"/>
    <col min="4873" max="5120" width="9.140625" style="631"/>
    <col min="5121" max="5121" width="0" style="631" hidden="1" customWidth="1"/>
    <col min="5122" max="5122" width="5.42578125" style="631" bestFit="1" customWidth="1"/>
    <col min="5123" max="5123" width="9.140625" style="631"/>
    <col min="5124" max="5124" width="75.42578125" style="631" bestFit="1" customWidth="1"/>
    <col min="5125" max="5125" width="10.5703125" style="631" customWidth="1"/>
    <col min="5126" max="5126" width="12.5703125" style="631" bestFit="1" customWidth="1"/>
    <col min="5127" max="5128" width="18.42578125" style="631" customWidth="1"/>
    <col min="5129" max="5376" width="9.140625" style="631"/>
    <col min="5377" max="5377" width="0" style="631" hidden="1" customWidth="1"/>
    <col min="5378" max="5378" width="5.42578125" style="631" bestFit="1" customWidth="1"/>
    <col min="5379" max="5379" width="9.140625" style="631"/>
    <col min="5380" max="5380" width="75.42578125" style="631" bestFit="1" customWidth="1"/>
    <col min="5381" max="5381" width="10.5703125" style="631" customWidth="1"/>
    <col min="5382" max="5382" width="12.5703125" style="631" bestFit="1" customWidth="1"/>
    <col min="5383" max="5384" width="18.42578125" style="631" customWidth="1"/>
    <col min="5385" max="5632" width="9.140625" style="631"/>
    <col min="5633" max="5633" width="0" style="631" hidden="1" customWidth="1"/>
    <col min="5634" max="5634" width="5.42578125" style="631" bestFit="1" customWidth="1"/>
    <col min="5635" max="5635" width="9.140625" style="631"/>
    <col min="5636" max="5636" width="75.42578125" style="631" bestFit="1" customWidth="1"/>
    <col min="5637" max="5637" width="10.5703125" style="631" customWidth="1"/>
    <col min="5638" max="5638" width="12.5703125" style="631" bestFit="1" customWidth="1"/>
    <col min="5639" max="5640" width="18.42578125" style="631" customWidth="1"/>
    <col min="5641" max="5888" width="9.140625" style="631"/>
    <col min="5889" max="5889" width="0" style="631" hidden="1" customWidth="1"/>
    <col min="5890" max="5890" width="5.42578125" style="631" bestFit="1" customWidth="1"/>
    <col min="5891" max="5891" width="9.140625" style="631"/>
    <col min="5892" max="5892" width="75.42578125" style="631" bestFit="1" customWidth="1"/>
    <col min="5893" max="5893" width="10.5703125" style="631" customWidth="1"/>
    <col min="5894" max="5894" width="12.5703125" style="631" bestFit="1" customWidth="1"/>
    <col min="5895" max="5896" width="18.42578125" style="631" customWidth="1"/>
    <col min="5897" max="6144" width="9.140625" style="631"/>
    <col min="6145" max="6145" width="0" style="631" hidden="1" customWidth="1"/>
    <col min="6146" max="6146" width="5.42578125" style="631" bestFit="1" customWidth="1"/>
    <col min="6147" max="6147" width="9.140625" style="631"/>
    <col min="6148" max="6148" width="75.42578125" style="631" bestFit="1" customWidth="1"/>
    <col min="6149" max="6149" width="10.5703125" style="631" customWidth="1"/>
    <col min="6150" max="6150" width="12.5703125" style="631" bestFit="1" customWidth="1"/>
    <col min="6151" max="6152" width="18.42578125" style="631" customWidth="1"/>
    <col min="6153" max="6400" width="9.140625" style="631"/>
    <col min="6401" max="6401" width="0" style="631" hidden="1" customWidth="1"/>
    <col min="6402" max="6402" width="5.42578125" style="631" bestFit="1" customWidth="1"/>
    <col min="6403" max="6403" width="9.140625" style="631"/>
    <col min="6404" max="6404" width="75.42578125" style="631" bestFit="1" customWidth="1"/>
    <col min="6405" max="6405" width="10.5703125" style="631" customWidth="1"/>
    <col min="6406" max="6406" width="12.5703125" style="631" bestFit="1" customWidth="1"/>
    <col min="6407" max="6408" width="18.42578125" style="631" customWidth="1"/>
    <col min="6409" max="6656" width="9.140625" style="631"/>
    <col min="6657" max="6657" width="0" style="631" hidden="1" customWidth="1"/>
    <col min="6658" max="6658" width="5.42578125" style="631" bestFit="1" customWidth="1"/>
    <col min="6659" max="6659" width="9.140625" style="631"/>
    <col min="6660" max="6660" width="75.42578125" style="631" bestFit="1" customWidth="1"/>
    <col min="6661" max="6661" width="10.5703125" style="631" customWidth="1"/>
    <col min="6662" max="6662" width="12.5703125" style="631" bestFit="1" customWidth="1"/>
    <col min="6663" max="6664" width="18.42578125" style="631" customWidth="1"/>
    <col min="6665" max="6912" width="9.140625" style="631"/>
    <col min="6913" max="6913" width="0" style="631" hidden="1" customWidth="1"/>
    <col min="6914" max="6914" width="5.42578125" style="631" bestFit="1" customWidth="1"/>
    <col min="6915" max="6915" width="9.140625" style="631"/>
    <col min="6916" max="6916" width="75.42578125" style="631" bestFit="1" customWidth="1"/>
    <col min="6917" max="6917" width="10.5703125" style="631" customWidth="1"/>
    <col min="6918" max="6918" width="12.5703125" style="631" bestFit="1" customWidth="1"/>
    <col min="6919" max="6920" width="18.42578125" style="631" customWidth="1"/>
    <col min="6921" max="7168" width="9.140625" style="631"/>
    <col min="7169" max="7169" width="0" style="631" hidden="1" customWidth="1"/>
    <col min="7170" max="7170" width="5.42578125" style="631" bestFit="1" customWidth="1"/>
    <col min="7171" max="7171" width="9.140625" style="631"/>
    <col min="7172" max="7172" width="75.42578125" style="631" bestFit="1" customWidth="1"/>
    <col min="7173" max="7173" width="10.5703125" style="631" customWidth="1"/>
    <col min="7174" max="7174" width="12.5703125" style="631" bestFit="1" customWidth="1"/>
    <col min="7175" max="7176" width="18.42578125" style="631" customWidth="1"/>
    <col min="7177" max="7424" width="9.140625" style="631"/>
    <col min="7425" max="7425" width="0" style="631" hidden="1" customWidth="1"/>
    <col min="7426" max="7426" width="5.42578125" style="631" bestFit="1" customWidth="1"/>
    <col min="7427" max="7427" width="9.140625" style="631"/>
    <col min="7428" max="7428" width="75.42578125" style="631" bestFit="1" customWidth="1"/>
    <col min="7429" max="7429" width="10.5703125" style="631" customWidth="1"/>
    <col min="7430" max="7430" width="12.5703125" style="631" bestFit="1" customWidth="1"/>
    <col min="7431" max="7432" width="18.42578125" style="631" customWidth="1"/>
    <col min="7433" max="7680" width="9.140625" style="631"/>
    <col min="7681" max="7681" width="0" style="631" hidden="1" customWidth="1"/>
    <col min="7682" max="7682" width="5.42578125" style="631" bestFit="1" customWidth="1"/>
    <col min="7683" max="7683" width="9.140625" style="631"/>
    <col min="7684" max="7684" width="75.42578125" style="631" bestFit="1" customWidth="1"/>
    <col min="7685" max="7685" width="10.5703125" style="631" customWidth="1"/>
    <col min="7686" max="7686" width="12.5703125" style="631" bestFit="1" customWidth="1"/>
    <col min="7687" max="7688" width="18.42578125" style="631" customWidth="1"/>
    <col min="7689" max="7936" width="9.140625" style="631"/>
    <col min="7937" max="7937" width="0" style="631" hidden="1" customWidth="1"/>
    <col min="7938" max="7938" width="5.42578125" style="631" bestFit="1" customWidth="1"/>
    <col min="7939" max="7939" width="9.140625" style="631"/>
    <col min="7940" max="7940" width="75.42578125" style="631" bestFit="1" customWidth="1"/>
    <col min="7941" max="7941" width="10.5703125" style="631" customWidth="1"/>
    <col min="7942" max="7942" width="12.5703125" style="631" bestFit="1" customWidth="1"/>
    <col min="7943" max="7944" width="18.42578125" style="631" customWidth="1"/>
    <col min="7945" max="8192" width="9.140625" style="631"/>
    <col min="8193" max="8193" width="0" style="631" hidden="1" customWidth="1"/>
    <col min="8194" max="8194" width="5.42578125" style="631" bestFit="1" customWidth="1"/>
    <col min="8195" max="8195" width="9.140625" style="631"/>
    <col min="8196" max="8196" width="75.42578125" style="631" bestFit="1" customWidth="1"/>
    <col min="8197" max="8197" width="10.5703125" style="631" customWidth="1"/>
    <col min="8198" max="8198" width="12.5703125" style="631" bestFit="1" customWidth="1"/>
    <col min="8199" max="8200" width="18.42578125" style="631" customWidth="1"/>
    <col min="8201" max="8448" width="9.140625" style="631"/>
    <col min="8449" max="8449" width="0" style="631" hidden="1" customWidth="1"/>
    <col min="8450" max="8450" width="5.42578125" style="631" bestFit="1" customWidth="1"/>
    <col min="8451" max="8451" width="9.140625" style="631"/>
    <col min="8452" max="8452" width="75.42578125" style="631" bestFit="1" customWidth="1"/>
    <col min="8453" max="8453" width="10.5703125" style="631" customWidth="1"/>
    <col min="8454" max="8454" width="12.5703125" style="631" bestFit="1" customWidth="1"/>
    <col min="8455" max="8456" width="18.42578125" style="631" customWidth="1"/>
    <col min="8457" max="8704" width="9.140625" style="631"/>
    <col min="8705" max="8705" width="0" style="631" hidden="1" customWidth="1"/>
    <col min="8706" max="8706" width="5.42578125" style="631" bestFit="1" customWidth="1"/>
    <col min="8707" max="8707" width="9.140625" style="631"/>
    <col min="8708" max="8708" width="75.42578125" style="631" bestFit="1" customWidth="1"/>
    <col min="8709" max="8709" width="10.5703125" style="631" customWidth="1"/>
    <col min="8710" max="8710" width="12.5703125" style="631" bestFit="1" customWidth="1"/>
    <col min="8711" max="8712" width="18.42578125" style="631" customWidth="1"/>
    <col min="8713" max="8960" width="9.140625" style="631"/>
    <col min="8961" max="8961" width="0" style="631" hidden="1" customWidth="1"/>
    <col min="8962" max="8962" width="5.42578125" style="631" bestFit="1" customWidth="1"/>
    <col min="8963" max="8963" width="9.140625" style="631"/>
    <col min="8964" max="8964" width="75.42578125" style="631" bestFit="1" customWidth="1"/>
    <col min="8965" max="8965" width="10.5703125" style="631" customWidth="1"/>
    <col min="8966" max="8966" width="12.5703125" style="631" bestFit="1" customWidth="1"/>
    <col min="8967" max="8968" width="18.42578125" style="631" customWidth="1"/>
    <col min="8969" max="9216" width="9.140625" style="631"/>
    <col min="9217" max="9217" width="0" style="631" hidden="1" customWidth="1"/>
    <col min="9218" max="9218" width="5.42578125" style="631" bestFit="1" customWidth="1"/>
    <col min="9219" max="9219" width="9.140625" style="631"/>
    <col min="9220" max="9220" width="75.42578125" style="631" bestFit="1" customWidth="1"/>
    <col min="9221" max="9221" width="10.5703125" style="631" customWidth="1"/>
    <col min="9222" max="9222" width="12.5703125" style="631" bestFit="1" customWidth="1"/>
    <col min="9223" max="9224" width="18.42578125" style="631" customWidth="1"/>
    <col min="9225" max="9472" width="9.140625" style="631"/>
    <col min="9473" max="9473" width="0" style="631" hidden="1" customWidth="1"/>
    <col min="9474" max="9474" width="5.42578125" style="631" bestFit="1" customWidth="1"/>
    <col min="9475" max="9475" width="9.140625" style="631"/>
    <col min="9476" max="9476" width="75.42578125" style="631" bestFit="1" customWidth="1"/>
    <col min="9477" max="9477" width="10.5703125" style="631" customWidth="1"/>
    <col min="9478" max="9478" width="12.5703125" style="631" bestFit="1" customWidth="1"/>
    <col min="9479" max="9480" width="18.42578125" style="631" customWidth="1"/>
    <col min="9481" max="9728" width="9.140625" style="631"/>
    <col min="9729" max="9729" width="0" style="631" hidden="1" customWidth="1"/>
    <col min="9730" max="9730" width="5.42578125" style="631" bestFit="1" customWidth="1"/>
    <col min="9731" max="9731" width="9.140625" style="631"/>
    <col min="9732" max="9732" width="75.42578125" style="631" bestFit="1" customWidth="1"/>
    <col min="9733" max="9733" width="10.5703125" style="631" customWidth="1"/>
    <col min="9734" max="9734" width="12.5703125" style="631" bestFit="1" customWidth="1"/>
    <col min="9735" max="9736" width="18.42578125" style="631" customWidth="1"/>
    <col min="9737" max="9984" width="9.140625" style="631"/>
    <col min="9985" max="9985" width="0" style="631" hidden="1" customWidth="1"/>
    <col min="9986" max="9986" width="5.42578125" style="631" bestFit="1" customWidth="1"/>
    <col min="9987" max="9987" width="9.140625" style="631"/>
    <col min="9988" max="9988" width="75.42578125" style="631" bestFit="1" customWidth="1"/>
    <col min="9989" max="9989" width="10.5703125" style="631" customWidth="1"/>
    <col min="9990" max="9990" width="12.5703125" style="631" bestFit="1" customWidth="1"/>
    <col min="9991" max="9992" width="18.42578125" style="631" customWidth="1"/>
    <col min="9993" max="10240" width="9.140625" style="631"/>
    <col min="10241" max="10241" width="0" style="631" hidden="1" customWidth="1"/>
    <col min="10242" max="10242" width="5.42578125" style="631" bestFit="1" customWidth="1"/>
    <col min="10243" max="10243" width="9.140625" style="631"/>
    <col min="10244" max="10244" width="75.42578125" style="631" bestFit="1" customWidth="1"/>
    <col min="10245" max="10245" width="10.5703125" style="631" customWidth="1"/>
    <col min="10246" max="10246" width="12.5703125" style="631" bestFit="1" customWidth="1"/>
    <col min="10247" max="10248" width="18.42578125" style="631" customWidth="1"/>
    <col min="10249" max="10496" width="9.140625" style="631"/>
    <col min="10497" max="10497" width="0" style="631" hidden="1" customWidth="1"/>
    <col min="10498" max="10498" width="5.42578125" style="631" bestFit="1" customWidth="1"/>
    <col min="10499" max="10499" width="9.140625" style="631"/>
    <col min="10500" max="10500" width="75.42578125" style="631" bestFit="1" customWidth="1"/>
    <col min="10501" max="10501" width="10.5703125" style="631" customWidth="1"/>
    <col min="10502" max="10502" width="12.5703125" style="631" bestFit="1" customWidth="1"/>
    <col min="10503" max="10504" width="18.42578125" style="631" customWidth="1"/>
    <col min="10505" max="10752" width="9.140625" style="631"/>
    <col min="10753" max="10753" width="0" style="631" hidden="1" customWidth="1"/>
    <col min="10754" max="10754" width="5.42578125" style="631" bestFit="1" customWidth="1"/>
    <col min="10755" max="10755" width="9.140625" style="631"/>
    <col min="10756" max="10756" width="75.42578125" style="631" bestFit="1" customWidth="1"/>
    <col min="10757" max="10757" width="10.5703125" style="631" customWidth="1"/>
    <col min="10758" max="10758" width="12.5703125" style="631" bestFit="1" customWidth="1"/>
    <col min="10759" max="10760" width="18.42578125" style="631" customWidth="1"/>
    <col min="10761" max="11008" width="9.140625" style="631"/>
    <col min="11009" max="11009" width="0" style="631" hidden="1" customWidth="1"/>
    <col min="11010" max="11010" width="5.42578125" style="631" bestFit="1" customWidth="1"/>
    <col min="11011" max="11011" width="9.140625" style="631"/>
    <col min="11012" max="11012" width="75.42578125" style="631" bestFit="1" customWidth="1"/>
    <col min="11013" max="11013" width="10.5703125" style="631" customWidth="1"/>
    <col min="11014" max="11014" width="12.5703125" style="631" bestFit="1" customWidth="1"/>
    <col min="11015" max="11016" width="18.42578125" style="631" customWidth="1"/>
    <col min="11017" max="11264" width="9.140625" style="631"/>
    <col min="11265" max="11265" width="0" style="631" hidden="1" customWidth="1"/>
    <col min="11266" max="11266" width="5.42578125" style="631" bestFit="1" customWidth="1"/>
    <col min="11267" max="11267" width="9.140625" style="631"/>
    <col min="11268" max="11268" width="75.42578125" style="631" bestFit="1" customWidth="1"/>
    <col min="11269" max="11269" width="10.5703125" style="631" customWidth="1"/>
    <col min="11270" max="11270" width="12.5703125" style="631" bestFit="1" customWidth="1"/>
    <col min="11271" max="11272" width="18.42578125" style="631" customWidth="1"/>
    <col min="11273" max="11520" width="9.140625" style="631"/>
    <col min="11521" max="11521" width="0" style="631" hidden="1" customWidth="1"/>
    <col min="11522" max="11522" width="5.42578125" style="631" bestFit="1" customWidth="1"/>
    <col min="11523" max="11523" width="9.140625" style="631"/>
    <col min="11524" max="11524" width="75.42578125" style="631" bestFit="1" customWidth="1"/>
    <col min="11525" max="11525" width="10.5703125" style="631" customWidth="1"/>
    <col min="11526" max="11526" width="12.5703125" style="631" bestFit="1" customWidth="1"/>
    <col min="11527" max="11528" width="18.42578125" style="631" customWidth="1"/>
    <col min="11529" max="11776" width="9.140625" style="631"/>
    <col min="11777" max="11777" width="0" style="631" hidden="1" customWidth="1"/>
    <col min="11778" max="11778" width="5.42578125" style="631" bestFit="1" customWidth="1"/>
    <col min="11779" max="11779" width="9.140625" style="631"/>
    <col min="11780" max="11780" width="75.42578125" style="631" bestFit="1" customWidth="1"/>
    <col min="11781" max="11781" width="10.5703125" style="631" customWidth="1"/>
    <col min="11782" max="11782" width="12.5703125" style="631" bestFit="1" customWidth="1"/>
    <col min="11783" max="11784" width="18.42578125" style="631" customWidth="1"/>
    <col min="11785" max="12032" width="9.140625" style="631"/>
    <col min="12033" max="12033" width="0" style="631" hidden="1" customWidth="1"/>
    <col min="12034" max="12034" width="5.42578125" style="631" bestFit="1" customWidth="1"/>
    <col min="12035" max="12035" width="9.140625" style="631"/>
    <col min="12036" max="12036" width="75.42578125" style="631" bestFit="1" customWidth="1"/>
    <col min="12037" max="12037" width="10.5703125" style="631" customWidth="1"/>
    <col min="12038" max="12038" width="12.5703125" style="631" bestFit="1" customWidth="1"/>
    <col min="12039" max="12040" width="18.42578125" style="631" customWidth="1"/>
    <col min="12041" max="12288" width="9.140625" style="631"/>
    <col min="12289" max="12289" width="0" style="631" hidden="1" customWidth="1"/>
    <col min="12290" max="12290" width="5.42578125" style="631" bestFit="1" customWidth="1"/>
    <col min="12291" max="12291" width="9.140625" style="631"/>
    <col min="12292" max="12292" width="75.42578125" style="631" bestFit="1" customWidth="1"/>
    <col min="12293" max="12293" width="10.5703125" style="631" customWidth="1"/>
    <col min="12294" max="12294" width="12.5703125" style="631" bestFit="1" customWidth="1"/>
    <col min="12295" max="12296" width="18.42578125" style="631" customWidth="1"/>
    <col min="12297" max="12544" width="9.140625" style="631"/>
    <col min="12545" max="12545" width="0" style="631" hidden="1" customWidth="1"/>
    <col min="12546" max="12546" width="5.42578125" style="631" bestFit="1" customWidth="1"/>
    <col min="12547" max="12547" width="9.140625" style="631"/>
    <col min="12548" max="12548" width="75.42578125" style="631" bestFit="1" customWidth="1"/>
    <col min="12549" max="12549" width="10.5703125" style="631" customWidth="1"/>
    <col min="12550" max="12550" width="12.5703125" style="631" bestFit="1" customWidth="1"/>
    <col min="12551" max="12552" width="18.42578125" style="631" customWidth="1"/>
    <col min="12553" max="12800" width="9.140625" style="631"/>
    <col min="12801" max="12801" width="0" style="631" hidden="1" customWidth="1"/>
    <col min="12802" max="12802" width="5.42578125" style="631" bestFit="1" customWidth="1"/>
    <col min="12803" max="12803" width="9.140625" style="631"/>
    <col min="12804" max="12804" width="75.42578125" style="631" bestFit="1" customWidth="1"/>
    <col min="12805" max="12805" width="10.5703125" style="631" customWidth="1"/>
    <col min="12806" max="12806" width="12.5703125" style="631" bestFit="1" customWidth="1"/>
    <col min="12807" max="12808" width="18.42578125" style="631" customWidth="1"/>
    <col min="12809" max="13056" width="9.140625" style="631"/>
    <col min="13057" max="13057" width="0" style="631" hidden="1" customWidth="1"/>
    <col min="13058" max="13058" width="5.42578125" style="631" bestFit="1" customWidth="1"/>
    <col min="13059" max="13059" width="9.140625" style="631"/>
    <col min="13060" max="13060" width="75.42578125" style="631" bestFit="1" customWidth="1"/>
    <col min="13061" max="13061" width="10.5703125" style="631" customWidth="1"/>
    <col min="13062" max="13062" width="12.5703125" style="631" bestFit="1" customWidth="1"/>
    <col min="13063" max="13064" width="18.42578125" style="631" customWidth="1"/>
    <col min="13065" max="13312" width="9.140625" style="631"/>
    <col min="13313" max="13313" width="0" style="631" hidden="1" customWidth="1"/>
    <col min="13314" max="13314" width="5.42578125" style="631" bestFit="1" customWidth="1"/>
    <col min="13315" max="13315" width="9.140625" style="631"/>
    <col min="13316" max="13316" width="75.42578125" style="631" bestFit="1" customWidth="1"/>
    <col min="13317" max="13317" width="10.5703125" style="631" customWidth="1"/>
    <col min="13318" max="13318" width="12.5703125" style="631" bestFit="1" customWidth="1"/>
    <col min="13319" max="13320" width="18.42578125" style="631" customWidth="1"/>
    <col min="13321" max="13568" width="9.140625" style="631"/>
    <col min="13569" max="13569" width="0" style="631" hidden="1" customWidth="1"/>
    <col min="13570" max="13570" width="5.42578125" style="631" bestFit="1" customWidth="1"/>
    <col min="13571" max="13571" width="9.140625" style="631"/>
    <col min="13572" max="13572" width="75.42578125" style="631" bestFit="1" customWidth="1"/>
    <col min="13573" max="13573" width="10.5703125" style="631" customWidth="1"/>
    <col min="13574" max="13574" width="12.5703125" style="631" bestFit="1" customWidth="1"/>
    <col min="13575" max="13576" width="18.42578125" style="631" customWidth="1"/>
    <col min="13577" max="13824" width="9.140625" style="631"/>
    <col min="13825" max="13825" width="0" style="631" hidden="1" customWidth="1"/>
    <col min="13826" max="13826" width="5.42578125" style="631" bestFit="1" customWidth="1"/>
    <col min="13827" max="13827" width="9.140625" style="631"/>
    <col min="13828" max="13828" width="75.42578125" style="631" bestFit="1" customWidth="1"/>
    <col min="13829" max="13829" width="10.5703125" style="631" customWidth="1"/>
    <col min="13830" max="13830" width="12.5703125" style="631" bestFit="1" customWidth="1"/>
    <col min="13831" max="13832" width="18.42578125" style="631" customWidth="1"/>
    <col min="13833" max="14080" width="9.140625" style="631"/>
    <col min="14081" max="14081" width="0" style="631" hidden="1" customWidth="1"/>
    <col min="14082" max="14082" width="5.42578125" style="631" bestFit="1" customWidth="1"/>
    <col min="14083" max="14083" width="9.140625" style="631"/>
    <col min="14084" max="14084" width="75.42578125" style="631" bestFit="1" customWidth="1"/>
    <col min="14085" max="14085" width="10.5703125" style="631" customWidth="1"/>
    <col min="14086" max="14086" width="12.5703125" style="631" bestFit="1" customWidth="1"/>
    <col min="14087" max="14088" width="18.42578125" style="631" customWidth="1"/>
    <col min="14089" max="14336" width="9.140625" style="631"/>
    <col min="14337" max="14337" width="0" style="631" hidden="1" customWidth="1"/>
    <col min="14338" max="14338" width="5.42578125" style="631" bestFit="1" customWidth="1"/>
    <col min="14339" max="14339" width="9.140625" style="631"/>
    <col min="14340" max="14340" width="75.42578125" style="631" bestFit="1" customWidth="1"/>
    <col min="14341" max="14341" width="10.5703125" style="631" customWidth="1"/>
    <col min="14342" max="14342" width="12.5703125" style="631" bestFit="1" customWidth="1"/>
    <col min="14343" max="14344" width="18.42578125" style="631" customWidth="1"/>
    <col min="14345" max="14592" width="9.140625" style="631"/>
    <col min="14593" max="14593" width="0" style="631" hidden="1" customWidth="1"/>
    <col min="14594" max="14594" width="5.42578125" style="631" bestFit="1" customWidth="1"/>
    <col min="14595" max="14595" width="9.140625" style="631"/>
    <col min="14596" max="14596" width="75.42578125" style="631" bestFit="1" customWidth="1"/>
    <col min="14597" max="14597" width="10.5703125" style="631" customWidth="1"/>
    <col min="14598" max="14598" width="12.5703125" style="631" bestFit="1" customWidth="1"/>
    <col min="14599" max="14600" width="18.42578125" style="631" customWidth="1"/>
    <col min="14601" max="14848" width="9.140625" style="631"/>
    <col min="14849" max="14849" width="0" style="631" hidden="1" customWidth="1"/>
    <col min="14850" max="14850" width="5.42578125" style="631" bestFit="1" customWidth="1"/>
    <col min="14851" max="14851" width="9.140625" style="631"/>
    <col min="14852" max="14852" width="75.42578125" style="631" bestFit="1" customWidth="1"/>
    <col min="14853" max="14853" width="10.5703125" style="631" customWidth="1"/>
    <col min="14854" max="14854" width="12.5703125" style="631" bestFit="1" customWidth="1"/>
    <col min="14855" max="14856" width="18.42578125" style="631" customWidth="1"/>
    <col min="14857" max="15104" width="9.140625" style="631"/>
    <col min="15105" max="15105" width="0" style="631" hidden="1" customWidth="1"/>
    <col min="15106" max="15106" width="5.42578125" style="631" bestFit="1" customWidth="1"/>
    <col min="15107" max="15107" width="9.140625" style="631"/>
    <col min="15108" max="15108" width="75.42578125" style="631" bestFit="1" customWidth="1"/>
    <col min="15109" max="15109" width="10.5703125" style="631" customWidth="1"/>
    <col min="15110" max="15110" width="12.5703125" style="631" bestFit="1" customWidth="1"/>
    <col min="15111" max="15112" width="18.42578125" style="631" customWidth="1"/>
    <col min="15113" max="15360" width="9.140625" style="631"/>
    <col min="15361" max="15361" width="0" style="631" hidden="1" customWidth="1"/>
    <col min="15362" max="15362" width="5.42578125" style="631" bestFit="1" customWidth="1"/>
    <col min="15363" max="15363" width="9.140625" style="631"/>
    <col min="15364" max="15364" width="75.42578125" style="631" bestFit="1" customWidth="1"/>
    <col min="15365" max="15365" width="10.5703125" style="631" customWidth="1"/>
    <col min="15366" max="15366" width="12.5703125" style="631" bestFit="1" customWidth="1"/>
    <col min="15367" max="15368" width="18.42578125" style="631" customWidth="1"/>
    <col min="15369" max="15616" width="9.140625" style="631"/>
    <col min="15617" max="15617" width="0" style="631" hidden="1" customWidth="1"/>
    <col min="15618" max="15618" width="5.42578125" style="631" bestFit="1" customWidth="1"/>
    <col min="15619" max="15619" width="9.140625" style="631"/>
    <col min="15620" max="15620" width="75.42578125" style="631" bestFit="1" customWidth="1"/>
    <col min="15621" max="15621" width="10.5703125" style="631" customWidth="1"/>
    <col min="15622" max="15622" width="12.5703125" style="631" bestFit="1" customWidth="1"/>
    <col min="15623" max="15624" width="18.42578125" style="631" customWidth="1"/>
    <col min="15625" max="15872" width="9.140625" style="631"/>
    <col min="15873" max="15873" width="0" style="631" hidden="1" customWidth="1"/>
    <col min="15874" max="15874" width="5.42578125" style="631" bestFit="1" customWidth="1"/>
    <col min="15875" max="15875" width="9.140625" style="631"/>
    <col min="15876" max="15876" width="75.42578125" style="631" bestFit="1" customWidth="1"/>
    <col min="15877" max="15877" width="10.5703125" style="631" customWidth="1"/>
    <col min="15878" max="15878" width="12.5703125" style="631" bestFit="1" customWidth="1"/>
    <col min="15879" max="15880" width="18.42578125" style="631" customWidth="1"/>
    <col min="15881" max="16128" width="9.140625" style="631"/>
    <col min="16129" max="16129" width="0" style="631" hidden="1" customWidth="1"/>
    <col min="16130" max="16130" width="5.42578125" style="631" bestFit="1" customWidth="1"/>
    <col min="16131" max="16131" width="9.140625" style="631"/>
    <col min="16132" max="16132" width="75.42578125" style="631" bestFit="1" customWidth="1"/>
    <col min="16133" max="16133" width="10.5703125" style="631" customWidth="1"/>
    <col min="16134" max="16134" width="12.5703125" style="631" bestFit="1" customWidth="1"/>
    <col min="16135" max="16136" width="18.42578125" style="631" customWidth="1"/>
    <col min="16137" max="16384" width="9.140625" style="631"/>
  </cols>
  <sheetData>
    <row r="1" spans="1:19" ht="13.5" thickBot="1">
      <c r="B1" s="632"/>
      <c r="C1" s="632"/>
      <c r="D1" s="766" t="s">
        <v>11831</v>
      </c>
      <c r="E1" s="634" t="s">
        <v>11832</v>
      </c>
      <c r="F1" s="632"/>
      <c r="G1" s="770"/>
      <c r="H1" s="771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</row>
    <row r="2" spans="1:19" ht="42">
      <c r="B2" s="632"/>
      <c r="C2" s="632"/>
      <c r="D2" s="767"/>
      <c r="E2" s="640" t="s">
        <v>11833</v>
      </c>
      <c r="F2" s="640" t="s">
        <v>11834</v>
      </c>
      <c r="G2" s="640" t="s">
        <v>11127</v>
      </c>
      <c r="H2" s="772"/>
      <c r="I2" s="632"/>
      <c r="J2" s="632"/>
      <c r="K2" s="632"/>
      <c r="L2" s="632"/>
      <c r="M2" s="632"/>
      <c r="N2" s="632"/>
      <c r="O2" s="632"/>
      <c r="P2" s="632"/>
      <c r="Q2" s="632"/>
      <c r="R2" s="632"/>
      <c r="S2" s="632"/>
    </row>
    <row r="3" spans="1:19" ht="22.5">
      <c r="A3" s="644" t="s">
        <v>11128</v>
      </c>
      <c r="B3" s="645" t="s">
        <v>11129</v>
      </c>
      <c r="C3" s="646" t="s">
        <v>11130</v>
      </c>
      <c r="D3" s="647" t="s">
        <v>11835</v>
      </c>
      <c r="E3" s="632"/>
      <c r="F3" s="648"/>
      <c r="G3" s="773"/>
      <c r="H3" s="774">
        <v>2024</v>
      </c>
      <c r="I3" s="775">
        <v>2023</v>
      </c>
      <c r="J3" s="768" t="s">
        <v>12926</v>
      </c>
      <c r="K3" s="768" t="s">
        <v>42</v>
      </c>
      <c r="L3" s="632"/>
      <c r="M3" s="632"/>
      <c r="N3" s="632"/>
      <c r="O3" s="632"/>
      <c r="P3" s="632"/>
      <c r="Q3" s="632"/>
      <c r="R3" s="632"/>
      <c r="S3" s="632"/>
    </row>
    <row r="4" spans="1:19">
      <c r="A4" s="650">
        <v>1</v>
      </c>
      <c r="B4" s="651"/>
      <c r="C4" s="652" t="s">
        <v>633</v>
      </c>
      <c r="D4" s="776" t="s">
        <v>634</v>
      </c>
      <c r="E4" s="777">
        <v>2024</v>
      </c>
      <c r="F4" s="778">
        <v>45657</v>
      </c>
      <c r="G4" s="779">
        <v>105731140</v>
      </c>
      <c r="H4" s="780">
        <f>+H5+H32+H69</f>
        <v>105731140</v>
      </c>
      <c r="I4" s="781">
        <v>102316345</v>
      </c>
      <c r="J4" s="781">
        <f>H4-I4</f>
        <v>3414795</v>
      </c>
      <c r="K4" s="769">
        <f>H4/I4*100-100</f>
        <v>3.3374872802581166</v>
      </c>
      <c r="L4" s="632"/>
      <c r="M4" s="632"/>
      <c r="N4" s="632"/>
      <c r="O4" s="632"/>
      <c r="P4" s="632"/>
      <c r="Q4" s="632"/>
      <c r="R4" s="632"/>
      <c r="S4" s="632"/>
    </row>
    <row r="5" spans="1:19">
      <c r="A5" s="650">
        <v>2</v>
      </c>
      <c r="B5" s="651"/>
      <c r="C5" s="652" t="s">
        <v>635</v>
      </c>
      <c r="D5" s="776" t="s">
        <v>636</v>
      </c>
      <c r="E5" s="782">
        <f>E4</f>
        <v>2024</v>
      </c>
      <c r="F5" s="778">
        <f>+F4</f>
        <v>45657</v>
      </c>
      <c r="G5" s="779">
        <v>59095217</v>
      </c>
      <c r="H5" s="780">
        <f>+H6+H9+H12+H17+H18-H274</f>
        <v>59095217</v>
      </c>
      <c r="I5" s="781">
        <v>53510493</v>
      </c>
      <c r="J5" s="781">
        <f t="shared" ref="J5:J68" si="0">H5-I5</f>
        <v>5584724</v>
      </c>
      <c r="K5" s="769">
        <f t="shared" ref="K5:K59" si="1">H5/I5*100-100</f>
        <v>10.436689491909561</v>
      </c>
      <c r="L5" s="632"/>
      <c r="M5" s="632"/>
      <c r="N5" s="632"/>
      <c r="O5" s="632"/>
      <c r="P5" s="632"/>
      <c r="Q5" s="632"/>
      <c r="R5" s="632"/>
      <c r="S5" s="632"/>
    </row>
    <row r="6" spans="1:19">
      <c r="A6" s="650">
        <v>3</v>
      </c>
      <c r="B6" s="661"/>
      <c r="C6" s="662" t="s">
        <v>140</v>
      </c>
      <c r="D6" s="783" t="s">
        <v>639</v>
      </c>
      <c r="E6" s="782">
        <f t="shared" ref="E6:E69" si="2">E5</f>
        <v>2024</v>
      </c>
      <c r="F6" s="778">
        <f t="shared" ref="F6:F69" si="3">+F5</f>
        <v>45657</v>
      </c>
      <c r="G6" s="779">
        <v>0</v>
      </c>
      <c r="H6" s="780">
        <f>+H7-H8</f>
        <v>0</v>
      </c>
      <c r="I6" s="781">
        <v>0</v>
      </c>
      <c r="J6" s="781">
        <f t="shared" si="0"/>
        <v>0</v>
      </c>
      <c r="K6" s="769"/>
      <c r="L6" s="632"/>
      <c r="M6" s="632"/>
      <c r="N6" s="632"/>
      <c r="O6" s="632"/>
      <c r="P6" s="632"/>
      <c r="Q6" s="632"/>
      <c r="R6" s="632"/>
      <c r="S6" s="632"/>
    </row>
    <row r="7" spans="1:19">
      <c r="A7" s="650">
        <v>4</v>
      </c>
      <c r="B7" s="651"/>
      <c r="C7" s="664" t="s">
        <v>643</v>
      </c>
      <c r="D7" s="784" t="s">
        <v>644</v>
      </c>
      <c r="E7" s="782">
        <f t="shared" si="2"/>
        <v>2024</v>
      </c>
      <c r="F7" s="778">
        <f t="shared" si="3"/>
        <v>45657</v>
      </c>
      <c r="G7" s="785">
        <v>0</v>
      </c>
      <c r="H7" s="786">
        <f>+G7</f>
        <v>0</v>
      </c>
      <c r="I7" s="787">
        <v>0</v>
      </c>
      <c r="J7" s="787">
        <f t="shared" si="0"/>
        <v>0</v>
      </c>
      <c r="K7" s="769"/>
      <c r="L7" s="632"/>
      <c r="M7" s="632"/>
      <c r="N7" s="632"/>
      <c r="O7" s="632"/>
      <c r="P7" s="632"/>
      <c r="Q7" s="632"/>
      <c r="R7" s="632"/>
      <c r="S7" s="632"/>
    </row>
    <row r="8" spans="1:19">
      <c r="A8" s="650">
        <v>5</v>
      </c>
      <c r="B8" s="651"/>
      <c r="C8" s="664" t="s">
        <v>649</v>
      </c>
      <c r="D8" s="784" t="s">
        <v>650</v>
      </c>
      <c r="E8" s="782">
        <f t="shared" si="2"/>
        <v>2024</v>
      </c>
      <c r="F8" s="778">
        <f t="shared" si="3"/>
        <v>45657</v>
      </c>
      <c r="G8" s="785">
        <v>0</v>
      </c>
      <c r="H8" s="786">
        <f>+G8</f>
        <v>0</v>
      </c>
      <c r="I8" s="787">
        <v>0</v>
      </c>
      <c r="J8" s="787">
        <f t="shared" si="0"/>
        <v>0</v>
      </c>
      <c r="K8" s="769"/>
      <c r="L8" s="632"/>
      <c r="M8" s="632"/>
      <c r="N8" s="632"/>
      <c r="O8" s="632"/>
      <c r="P8" s="632"/>
      <c r="Q8" s="632"/>
      <c r="R8" s="632"/>
      <c r="S8" s="632"/>
    </row>
    <row r="9" spans="1:19">
      <c r="A9" s="650">
        <v>6</v>
      </c>
      <c r="B9" s="651"/>
      <c r="C9" s="662" t="s">
        <v>141</v>
      </c>
      <c r="D9" s="783" t="s">
        <v>654</v>
      </c>
      <c r="E9" s="782">
        <f t="shared" si="2"/>
        <v>2024</v>
      </c>
      <c r="F9" s="778">
        <f t="shared" si="3"/>
        <v>45657</v>
      </c>
      <c r="G9" s="785">
        <v>0</v>
      </c>
      <c r="H9" s="780">
        <f>+H10-H11</f>
        <v>0</v>
      </c>
      <c r="I9" s="781">
        <v>0</v>
      </c>
      <c r="J9" s="781">
        <f t="shared" si="0"/>
        <v>0</v>
      </c>
      <c r="K9" s="769"/>
      <c r="L9" s="632"/>
      <c r="M9" s="632"/>
      <c r="N9" s="632"/>
      <c r="O9" s="632"/>
      <c r="P9" s="632"/>
      <c r="Q9" s="632"/>
      <c r="R9" s="632"/>
      <c r="S9" s="632"/>
    </row>
    <row r="10" spans="1:19">
      <c r="A10" s="650">
        <v>7</v>
      </c>
      <c r="B10" s="651"/>
      <c r="C10" s="664" t="s">
        <v>658</v>
      </c>
      <c r="D10" s="784" t="s">
        <v>659</v>
      </c>
      <c r="E10" s="782">
        <f t="shared" si="2"/>
        <v>2024</v>
      </c>
      <c r="F10" s="778">
        <f t="shared" si="3"/>
        <v>45657</v>
      </c>
      <c r="G10" s="785">
        <v>0</v>
      </c>
      <c r="H10" s="786">
        <f>+G10</f>
        <v>0</v>
      </c>
      <c r="I10" s="787">
        <v>0</v>
      </c>
      <c r="J10" s="787">
        <f t="shared" si="0"/>
        <v>0</v>
      </c>
      <c r="K10" s="769"/>
      <c r="L10" s="632"/>
      <c r="M10" s="632"/>
      <c r="N10" s="632"/>
      <c r="O10" s="632"/>
      <c r="P10" s="632"/>
      <c r="Q10" s="632"/>
      <c r="R10" s="632"/>
      <c r="S10" s="632"/>
    </row>
    <row r="11" spans="1:19">
      <c r="A11" s="650">
        <v>8</v>
      </c>
      <c r="B11" s="651"/>
      <c r="C11" s="664" t="s">
        <v>665</v>
      </c>
      <c r="D11" s="784" t="s">
        <v>666</v>
      </c>
      <c r="E11" s="782">
        <f t="shared" si="2"/>
        <v>2024</v>
      </c>
      <c r="F11" s="778">
        <f t="shared" si="3"/>
        <v>45657</v>
      </c>
      <c r="G11" s="785">
        <v>0</v>
      </c>
      <c r="H11" s="786">
        <f>+G11</f>
        <v>0</v>
      </c>
      <c r="I11" s="787">
        <v>0</v>
      </c>
      <c r="J11" s="787">
        <f t="shared" si="0"/>
        <v>0</v>
      </c>
      <c r="K11" s="769"/>
      <c r="L11" s="632"/>
      <c r="M11" s="632"/>
      <c r="N11" s="632"/>
      <c r="O11" s="632"/>
      <c r="P11" s="632"/>
      <c r="Q11" s="632"/>
      <c r="R11" s="632"/>
      <c r="S11" s="632"/>
    </row>
    <row r="12" spans="1:19">
      <c r="A12" s="650">
        <v>9</v>
      </c>
      <c r="B12" s="651"/>
      <c r="C12" s="662" t="s">
        <v>142</v>
      </c>
      <c r="D12" s="783" t="s">
        <v>673</v>
      </c>
      <c r="E12" s="782">
        <f t="shared" si="2"/>
        <v>2024</v>
      </c>
      <c r="F12" s="778">
        <f t="shared" si="3"/>
        <v>45657</v>
      </c>
      <c r="G12" s="785">
        <v>0</v>
      </c>
      <c r="H12" s="780">
        <f>+H13-H14+H15-H16</f>
        <v>0</v>
      </c>
      <c r="I12" s="781">
        <v>0</v>
      </c>
      <c r="J12" s="781">
        <f t="shared" si="0"/>
        <v>0</v>
      </c>
      <c r="K12" s="769"/>
      <c r="L12" s="632"/>
      <c r="M12" s="632"/>
      <c r="N12" s="632"/>
      <c r="O12" s="632"/>
      <c r="P12" s="632"/>
      <c r="Q12" s="632"/>
      <c r="R12" s="632"/>
      <c r="S12" s="632"/>
    </row>
    <row r="13" spans="1:19">
      <c r="A13" s="650">
        <v>10</v>
      </c>
      <c r="B13" s="651"/>
      <c r="C13" s="664" t="s">
        <v>677</v>
      </c>
      <c r="D13" s="784" t="s">
        <v>11836</v>
      </c>
      <c r="E13" s="782">
        <f t="shared" si="2"/>
        <v>2024</v>
      </c>
      <c r="F13" s="778">
        <f t="shared" si="3"/>
        <v>45657</v>
      </c>
      <c r="G13" s="785">
        <v>0</v>
      </c>
      <c r="H13" s="786">
        <f>+G13</f>
        <v>0</v>
      </c>
      <c r="I13" s="787">
        <v>0</v>
      </c>
      <c r="J13" s="787">
        <f t="shared" si="0"/>
        <v>0</v>
      </c>
      <c r="K13" s="769"/>
      <c r="L13" s="632"/>
      <c r="M13" s="632"/>
      <c r="N13" s="632"/>
      <c r="O13" s="632"/>
      <c r="P13" s="632"/>
      <c r="Q13" s="632"/>
      <c r="R13" s="632"/>
      <c r="S13" s="632"/>
    </row>
    <row r="14" spans="1:19">
      <c r="A14" s="650">
        <v>11</v>
      </c>
      <c r="B14" s="651"/>
      <c r="C14" s="664" t="s">
        <v>683</v>
      </c>
      <c r="D14" s="784" t="s">
        <v>11837</v>
      </c>
      <c r="E14" s="782">
        <f t="shared" si="2"/>
        <v>2024</v>
      </c>
      <c r="F14" s="778">
        <f t="shared" si="3"/>
        <v>45657</v>
      </c>
      <c r="G14" s="785">
        <v>0</v>
      </c>
      <c r="H14" s="786">
        <f>+G14</f>
        <v>0</v>
      </c>
      <c r="I14" s="787">
        <v>0</v>
      </c>
      <c r="J14" s="787">
        <f t="shared" si="0"/>
        <v>0</v>
      </c>
      <c r="K14" s="769"/>
      <c r="L14" s="632"/>
      <c r="M14" s="632"/>
      <c r="N14" s="632"/>
      <c r="O14" s="632"/>
      <c r="P14" s="632"/>
      <c r="Q14" s="632"/>
      <c r="R14" s="632"/>
      <c r="S14" s="632"/>
    </row>
    <row r="15" spans="1:19">
      <c r="A15" s="650">
        <v>12</v>
      </c>
      <c r="B15" s="651"/>
      <c r="C15" s="664" t="s">
        <v>689</v>
      </c>
      <c r="D15" s="784" t="s">
        <v>690</v>
      </c>
      <c r="E15" s="782">
        <f t="shared" si="2"/>
        <v>2024</v>
      </c>
      <c r="F15" s="778">
        <f t="shared" si="3"/>
        <v>45657</v>
      </c>
      <c r="G15" s="785">
        <v>0</v>
      </c>
      <c r="H15" s="786">
        <f>+G15</f>
        <v>0</v>
      </c>
      <c r="I15" s="787">
        <v>0</v>
      </c>
      <c r="J15" s="787">
        <f t="shared" si="0"/>
        <v>0</v>
      </c>
      <c r="K15" s="769"/>
      <c r="L15" s="632"/>
      <c r="M15" s="632"/>
      <c r="N15" s="632"/>
      <c r="O15" s="632"/>
      <c r="P15" s="632"/>
      <c r="Q15" s="632"/>
      <c r="R15" s="632"/>
      <c r="S15" s="632"/>
    </row>
    <row r="16" spans="1:19">
      <c r="A16" s="650">
        <v>13</v>
      </c>
      <c r="B16" s="651"/>
      <c r="C16" s="664" t="s">
        <v>695</v>
      </c>
      <c r="D16" s="784" t="s">
        <v>11838</v>
      </c>
      <c r="E16" s="782">
        <f t="shared" si="2"/>
        <v>2024</v>
      </c>
      <c r="F16" s="778">
        <f t="shared" si="3"/>
        <v>45657</v>
      </c>
      <c r="G16" s="785">
        <v>0</v>
      </c>
      <c r="H16" s="786">
        <f>+G16</f>
        <v>0</v>
      </c>
      <c r="I16" s="787">
        <v>0</v>
      </c>
      <c r="J16" s="787">
        <f t="shared" si="0"/>
        <v>0</v>
      </c>
      <c r="K16" s="769"/>
      <c r="L16" s="632"/>
      <c r="M16" s="632"/>
      <c r="N16" s="632"/>
      <c r="O16" s="632"/>
      <c r="P16" s="632"/>
      <c r="Q16" s="632"/>
      <c r="R16" s="632"/>
      <c r="S16" s="632"/>
    </row>
    <row r="17" spans="1:19">
      <c r="A17" s="650">
        <v>14</v>
      </c>
      <c r="B17" s="651"/>
      <c r="C17" s="662" t="s">
        <v>143</v>
      </c>
      <c r="D17" s="783" t="s">
        <v>699</v>
      </c>
      <c r="E17" s="782">
        <f t="shared" si="2"/>
        <v>2024</v>
      </c>
      <c r="F17" s="778">
        <f t="shared" si="3"/>
        <v>45657</v>
      </c>
      <c r="G17" s="785">
        <v>34646049</v>
      </c>
      <c r="H17" s="786">
        <f>+G17</f>
        <v>34646049</v>
      </c>
      <c r="I17" s="787">
        <v>33344224</v>
      </c>
      <c r="J17" s="787">
        <f t="shared" si="0"/>
        <v>1301825</v>
      </c>
      <c r="K17" s="769">
        <f t="shared" si="1"/>
        <v>3.9041994199655221</v>
      </c>
      <c r="L17" s="632"/>
      <c r="M17" s="632"/>
      <c r="N17" s="632"/>
      <c r="O17" s="632"/>
      <c r="P17" s="632"/>
      <c r="Q17" s="632"/>
      <c r="R17" s="632"/>
      <c r="S17" s="632"/>
    </row>
    <row r="18" spans="1:19">
      <c r="A18" s="650">
        <v>15</v>
      </c>
      <c r="B18" s="651"/>
      <c r="C18" s="662" t="s">
        <v>144</v>
      </c>
      <c r="D18" s="783" t="s">
        <v>715</v>
      </c>
      <c r="E18" s="782">
        <f t="shared" si="2"/>
        <v>2024</v>
      </c>
      <c r="F18" s="778">
        <f t="shared" si="3"/>
        <v>45657</v>
      </c>
      <c r="G18" s="785">
        <v>24449168</v>
      </c>
      <c r="H18" s="780">
        <f>+H19-H20+H21-H22+H23-H24+H25-H26</f>
        <v>24449168</v>
      </c>
      <c r="I18" s="781">
        <v>20166269</v>
      </c>
      <c r="J18" s="781">
        <f t="shared" si="0"/>
        <v>4282899</v>
      </c>
      <c r="K18" s="769">
        <f t="shared" si="1"/>
        <v>21.237934493485142</v>
      </c>
      <c r="L18" s="632"/>
      <c r="M18" s="632"/>
      <c r="N18" s="632"/>
      <c r="O18" s="632"/>
      <c r="P18" s="632"/>
      <c r="Q18" s="632"/>
      <c r="R18" s="632"/>
      <c r="S18" s="632"/>
    </row>
    <row r="19" spans="1:19">
      <c r="A19" s="650">
        <v>16</v>
      </c>
      <c r="B19" s="651"/>
      <c r="C19" s="664" t="s">
        <v>145</v>
      </c>
      <c r="D19" s="784" t="s">
        <v>719</v>
      </c>
      <c r="E19" s="782">
        <f t="shared" si="2"/>
        <v>2024</v>
      </c>
      <c r="F19" s="778">
        <f t="shared" si="3"/>
        <v>45657</v>
      </c>
      <c r="G19" s="785">
        <v>2608755</v>
      </c>
      <c r="H19" s="786">
        <f t="shared" ref="H19:H26" si="4">+G19</f>
        <v>2608755</v>
      </c>
      <c r="I19" s="787">
        <v>2581097</v>
      </c>
      <c r="J19" s="787">
        <f t="shared" si="0"/>
        <v>27658</v>
      </c>
      <c r="K19" s="769">
        <f t="shared" si="1"/>
        <v>1.0715598832589279</v>
      </c>
      <c r="L19" s="632"/>
      <c r="M19" s="632"/>
      <c r="N19" s="632"/>
      <c r="O19" s="632"/>
      <c r="P19" s="632"/>
      <c r="Q19" s="632"/>
      <c r="R19" s="632"/>
      <c r="S19" s="632"/>
    </row>
    <row r="20" spans="1:19">
      <c r="A20" s="650">
        <v>17</v>
      </c>
      <c r="B20" s="651"/>
      <c r="C20" s="664" t="s">
        <v>729</v>
      </c>
      <c r="D20" s="784" t="s">
        <v>730</v>
      </c>
      <c r="E20" s="782">
        <f t="shared" si="2"/>
        <v>2024</v>
      </c>
      <c r="F20" s="778">
        <f t="shared" si="3"/>
        <v>45657</v>
      </c>
      <c r="G20" s="785">
        <v>2033638</v>
      </c>
      <c r="H20" s="786">
        <f t="shared" si="4"/>
        <v>2033638</v>
      </c>
      <c r="I20" s="787">
        <v>1801327</v>
      </c>
      <c r="J20" s="787">
        <f t="shared" si="0"/>
        <v>232311</v>
      </c>
      <c r="K20" s="769">
        <f t="shared" si="1"/>
        <v>12.896658963086651</v>
      </c>
      <c r="L20" s="632"/>
      <c r="M20" s="632"/>
      <c r="N20" s="632"/>
      <c r="O20" s="632"/>
      <c r="P20" s="632"/>
      <c r="Q20" s="632"/>
      <c r="R20" s="632"/>
      <c r="S20" s="632"/>
    </row>
    <row r="21" spans="1:19">
      <c r="A21" s="650">
        <v>18</v>
      </c>
      <c r="B21" s="651"/>
      <c r="C21" s="664" t="s">
        <v>146</v>
      </c>
      <c r="D21" s="784" t="s">
        <v>743</v>
      </c>
      <c r="E21" s="782">
        <f t="shared" si="2"/>
        <v>2024</v>
      </c>
      <c r="F21" s="778">
        <f t="shared" si="3"/>
        <v>45657</v>
      </c>
      <c r="G21" s="785">
        <v>39495043</v>
      </c>
      <c r="H21" s="786">
        <f t="shared" si="4"/>
        <v>39495043</v>
      </c>
      <c r="I21" s="787">
        <v>33854687</v>
      </c>
      <c r="J21" s="787">
        <f t="shared" si="0"/>
        <v>5640356</v>
      </c>
      <c r="K21" s="769">
        <f t="shared" si="1"/>
        <v>16.660487807788613</v>
      </c>
      <c r="L21" s="632"/>
      <c r="M21" s="632"/>
      <c r="N21" s="632"/>
      <c r="O21" s="632"/>
      <c r="P21" s="632"/>
      <c r="Q21" s="632"/>
      <c r="R21" s="632"/>
      <c r="S21" s="632"/>
    </row>
    <row r="22" spans="1:19">
      <c r="A22" s="650">
        <v>19</v>
      </c>
      <c r="B22" s="651"/>
      <c r="C22" s="664" t="s">
        <v>751</v>
      </c>
      <c r="D22" s="784" t="s">
        <v>752</v>
      </c>
      <c r="E22" s="782">
        <f t="shared" si="2"/>
        <v>2024</v>
      </c>
      <c r="F22" s="778">
        <f t="shared" si="3"/>
        <v>45657</v>
      </c>
      <c r="G22" s="785">
        <v>15620992</v>
      </c>
      <c r="H22" s="786">
        <f t="shared" si="4"/>
        <v>15620992</v>
      </c>
      <c r="I22" s="787">
        <v>14468188</v>
      </c>
      <c r="J22" s="787">
        <f t="shared" si="0"/>
        <v>1152804</v>
      </c>
      <c r="K22" s="769">
        <f t="shared" si="1"/>
        <v>7.9678533345018678</v>
      </c>
      <c r="L22" s="632"/>
      <c r="M22" s="632"/>
      <c r="N22" s="632"/>
      <c r="O22" s="632"/>
      <c r="P22" s="632"/>
      <c r="Q22" s="632"/>
      <c r="R22" s="632"/>
      <c r="S22" s="632"/>
    </row>
    <row r="23" spans="1:19">
      <c r="A23" s="650">
        <v>20</v>
      </c>
      <c r="B23" s="651"/>
      <c r="C23" s="664" t="s">
        <v>147</v>
      </c>
      <c r="D23" s="784" t="s">
        <v>758</v>
      </c>
      <c r="E23" s="782">
        <f t="shared" si="2"/>
        <v>2024</v>
      </c>
      <c r="F23" s="778">
        <f t="shared" si="3"/>
        <v>45657</v>
      </c>
      <c r="G23" s="785">
        <v>0</v>
      </c>
      <c r="H23" s="786">
        <f t="shared" si="4"/>
        <v>0</v>
      </c>
      <c r="I23" s="787">
        <v>0</v>
      </c>
      <c r="J23" s="787">
        <f t="shared" si="0"/>
        <v>0</v>
      </c>
      <c r="K23" s="769"/>
      <c r="L23" s="632"/>
      <c r="M23" s="632"/>
      <c r="N23" s="632"/>
      <c r="O23" s="632"/>
      <c r="P23" s="632"/>
      <c r="Q23" s="632"/>
      <c r="R23" s="632"/>
      <c r="S23" s="632"/>
    </row>
    <row r="24" spans="1:19">
      <c r="A24" s="650">
        <v>21</v>
      </c>
      <c r="B24" s="651"/>
      <c r="C24" s="664" t="s">
        <v>762</v>
      </c>
      <c r="D24" s="784" t="s">
        <v>763</v>
      </c>
      <c r="E24" s="782">
        <f t="shared" si="2"/>
        <v>2024</v>
      </c>
      <c r="F24" s="778">
        <f t="shared" si="3"/>
        <v>45657</v>
      </c>
      <c r="G24" s="785">
        <v>0</v>
      </c>
      <c r="H24" s="786">
        <f t="shared" si="4"/>
        <v>0</v>
      </c>
      <c r="I24" s="787">
        <v>0</v>
      </c>
      <c r="J24" s="787">
        <f t="shared" si="0"/>
        <v>0</v>
      </c>
      <c r="K24" s="769"/>
      <c r="L24" s="632"/>
      <c r="M24" s="632"/>
      <c r="N24" s="632"/>
      <c r="O24" s="632"/>
      <c r="P24" s="632"/>
      <c r="Q24" s="632"/>
      <c r="R24" s="632"/>
      <c r="S24" s="632"/>
    </row>
    <row r="25" spans="1:19">
      <c r="A25" s="650">
        <v>22</v>
      </c>
      <c r="B25" s="651"/>
      <c r="C25" s="664" t="s">
        <v>770</v>
      </c>
      <c r="D25" s="784" t="s">
        <v>771</v>
      </c>
      <c r="E25" s="782">
        <f t="shared" si="2"/>
        <v>2024</v>
      </c>
      <c r="F25" s="778">
        <f t="shared" si="3"/>
        <v>45657</v>
      </c>
      <c r="G25" s="785">
        <v>0</v>
      </c>
      <c r="H25" s="786">
        <f t="shared" si="4"/>
        <v>0</v>
      </c>
      <c r="I25" s="787">
        <v>0</v>
      </c>
      <c r="J25" s="787">
        <f t="shared" si="0"/>
        <v>0</v>
      </c>
      <c r="K25" s="769"/>
      <c r="L25" s="632"/>
      <c r="M25" s="632"/>
      <c r="N25" s="632"/>
      <c r="O25" s="632"/>
      <c r="P25" s="632"/>
      <c r="Q25" s="632"/>
      <c r="R25" s="632"/>
      <c r="S25" s="632"/>
    </row>
    <row r="26" spans="1:19">
      <c r="A26" s="650">
        <v>23</v>
      </c>
      <c r="B26" s="651"/>
      <c r="C26" s="664" t="s">
        <v>775</v>
      </c>
      <c r="D26" s="784" t="s">
        <v>776</v>
      </c>
      <c r="E26" s="782">
        <f t="shared" si="2"/>
        <v>2024</v>
      </c>
      <c r="F26" s="778">
        <f t="shared" si="3"/>
        <v>45657</v>
      </c>
      <c r="G26" s="785">
        <v>0</v>
      </c>
      <c r="H26" s="786">
        <f t="shared" si="4"/>
        <v>0</v>
      </c>
      <c r="I26" s="787">
        <v>0</v>
      </c>
      <c r="J26" s="787">
        <f t="shared" si="0"/>
        <v>0</v>
      </c>
      <c r="K26" s="769"/>
      <c r="L26" s="632"/>
      <c r="M26" s="632"/>
      <c r="N26" s="632"/>
      <c r="O26" s="632"/>
      <c r="P26" s="632"/>
      <c r="Q26" s="632"/>
      <c r="R26" s="632"/>
      <c r="S26" s="632"/>
    </row>
    <row r="27" spans="1:19">
      <c r="A27" s="650">
        <v>24</v>
      </c>
      <c r="B27" s="651"/>
      <c r="C27" s="662" t="s">
        <v>11839</v>
      </c>
      <c r="D27" s="783" t="s">
        <v>11840</v>
      </c>
      <c r="E27" s="782">
        <f t="shared" si="2"/>
        <v>2024</v>
      </c>
      <c r="F27" s="778">
        <f t="shared" si="3"/>
        <v>45657</v>
      </c>
      <c r="G27" s="785">
        <v>0</v>
      </c>
      <c r="H27" s="780">
        <f>SUM(H28:H31)</f>
        <v>0</v>
      </c>
      <c r="I27" s="781">
        <v>0</v>
      </c>
      <c r="J27" s="781">
        <f t="shared" si="0"/>
        <v>0</v>
      </c>
      <c r="K27" s="769"/>
      <c r="L27" s="632"/>
      <c r="M27" s="632"/>
      <c r="N27" s="632"/>
      <c r="O27" s="632"/>
      <c r="P27" s="632"/>
      <c r="Q27" s="632"/>
      <c r="R27" s="632"/>
      <c r="S27" s="632"/>
    </row>
    <row r="28" spans="1:19">
      <c r="A28" s="650">
        <v>25</v>
      </c>
      <c r="B28" s="651"/>
      <c r="C28" s="664" t="s">
        <v>785</v>
      </c>
      <c r="D28" s="784" t="s">
        <v>786</v>
      </c>
      <c r="E28" s="782">
        <f t="shared" si="2"/>
        <v>2024</v>
      </c>
      <c r="F28" s="778">
        <f t="shared" si="3"/>
        <v>45657</v>
      </c>
      <c r="G28" s="785">
        <v>0</v>
      </c>
      <c r="H28" s="786">
        <f>+G28</f>
        <v>0</v>
      </c>
      <c r="I28" s="787">
        <v>0</v>
      </c>
      <c r="J28" s="787">
        <f t="shared" si="0"/>
        <v>0</v>
      </c>
      <c r="K28" s="769"/>
      <c r="L28" s="632"/>
      <c r="M28" s="632"/>
      <c r="N28" s="632"/>
      <c r="O28" s="632"/>
      <c r="P28" s="632"/>
      <c r="Q28" s="632"/>
      <c r="R28" s="632"/>
      <c r="S28" s="632"/>
    </row>
    <row r="29" spans="1:19">
      <c r="A29" s="650">
        <v>26</v>
      </c>
      <c r="B29" s="651"/>
      <c r="C29" s="664" t="s">
        <v>790</v>
      </c>
      <c r="D29" s="784" t="s">
        <v>791</v>
      </c>
      <c r="E29" s="782">
        <f t="shared" si="2"/>
        <v>2024</v>
      </c>
      <c r="F29" s="778">
        <f t="shared" si="3"/>
        <v>45657</v>
      </c>
      <c r="G29" s="785">
        <v>0</v>
      </c>
      <c r="H29" s="786">
        <f>+G29</f>
        <v>0</v>
      </c>
      <c r="I29" s="787">
        <v>0</v>
      </c>
      <c r="J29" s="787">
        <f t="shared" si="0"/>
        <v>0</v>
      </c>
      <c r="K29" s="769"/>
      <c r="L29" s="632"/>
      <c r="M29" s="632"/>
      <c r="N29" s="632"/>
      <c r="O29" s="632"/>
      <c r="P29" s="632"/>
      <c r="Q29" s="632"/>
      <c r="R29" s="632"/>
      <c r="S29" s="632"/>
    </row>
    <row r="30" spans="1:19">
      <c r="A30" s="650">
        <v>27</v>
      </c>
      <c r="B30" s="651"/>
      <c r="C30" s="664" t="s">
        <v>795</v>
      </c>
      <c r="D30" s="784" t="s">
        <v>796</v>
      </c>
      <c r="E30" s="782">
        <f t="shared" si="2"/>
        <v>2024</v>
      </c>
      <c r="F30" s="778">
        <f t="shared" si="3"/>
        <v>45657</v>
      </c>
      <c r="G30" s="785">
        <v>0</v>
      </c>
      <c r="H30" s="786">
        <f>+G30</f>
        <v>0</v>
      </c>
      <c r="I30" s="787">
        <v>0</v>
      </c>
      <c r="J30" s="787">
        <f t="shared" si="0"/>
        <v>0</v>
      </c>
      <c r="K30" s="769"/>
      <c r="L30" s="632"/>
      <c r="M30" s="632"/>
      <c r="N30" s="632"/>
      <c r="O30" s="632"/>
      <c r="P30" s="632"/>
      <c r="Q30" s="632"/>
      <c r="R30" s="632"/>
      <c r="S30" s="632"/>
    </row>
    <row r="31" spans="1:19">
      <c r="A31" s="650">
        <v>28</v>
      </c>
      <c r="B31" s="651"/>
      <c r="C31" s="664" t="s">
        <v>780</v>
      </c>
      <c r="D31" s="784" t="s">
        <v>781</v>
      </c>
      <c r="E31" s="782">
        <f t="shared" si="2"/>
        <v>2024</v>
      </c>
      <c r="F31" s="778">
        <f t="shared" si="3"/>
        <v>45657</v>
      </c>
      <c r="G31" s="785">
        <v>0</v>
      </c>
      <c r="H31" s="786">
        <f>+G31</f>
        <v>0</v>
      </c>
      <c r="I31" s="787">
        <v>0</v>
      </c>
      <c r="J31" s="787">
        <f t="shared" si="0"/>
        <v>0</v>
      </c>
      <c r="K31" s="769"/>
      <c r="L31" s="632"/>
      <c r="M31" s="632"/>
      <c r="N31" s="632"/>
      <c r="O31" s="632"/>
      <c r="P31" s="632"/>
      <c r="Q31" s="632"/>
      <c r="R31" s="632"/>
      <c r="S31" s="632"/>
    </row>
    <row r="32" spans="1:19">
      <c r="A32" s="650">
        <v>29</v>
      </c>
      <c r="B32" s="651"/>
      <c r="C32" s="652" t="s">
        <v>801</v>
      </c>
      <c r="D32" s="776" t="s">
        <v>11841</v>
      </c>
      <c r="E32" s="782">
        <f t="shared" si="2"/>
        <v>2024</v>
      </c>
      <c r="F32" s="778">
        <f t="shared" si="3"/>
        <v>45657</v>
      </c>
      <c r="G32" s="785">
        <v>46457923</v>
      </c>
      <c r="H32" s="780">
        <f>+H33+H36+H43+H46+H49+H52+H55+H56+H59-H60</f>
        <v>46457923</v>
      </c>
      <c r="I32" s="781">
        <v>48627852</v>
      </c>
      <c r="J32" s="781">
        <f t="shared" si="0"/>
        <v>-2169929</v>
      </c>
      <c r="K32" s="769">
        <f t="shared" si="1"/>
        <v>-4.4623171922132201</v>
      </c>
      <c r="L32" s="632"/>
      <c r="M32" s="632"/>
      <c r="N32" s="632"/>
      <c r="O32" s="632"/>
      <c r="P32" s="632"/>
      <c r="Q32" s="632"/>
      <c r="R32" s="632"/>
      <c r="S32" s="632"/>
    </row>
    <row r="33" spans="1:19">
      <c r="A33" s="650">
        <v>30</v>
      </c>
      <c r="B33" s="651"/>
      <c r="C33" s="662" t="s">
        <v>805</v>
      </c>
      <c r="D33" s="783" t="s">
        <v>11842</v>
      </c>
      <c r="E33" s="782">
        <f t="shared" si="2"/>
        <v>2024</v>
      </c>
      <c r="F33" s="778">
        <f t="shared" si="3"/>
        <v>45657</v>
      </c>
      <c r="G33" s="785">
        <v>0</v>
      </c>
      <c r="H33" s="780">
        <f>+H34+H35</f>
        <v>0</v>
      </c>
      <c r="I33" s="781">
        <v>0</v>
      </c>
      <c r="J33" s="781">
        <f t="shared" si="0"/>
        <v>0</v>
      </c>
      <c r="K33" s="769"/>
      <c r="L33" s="632"/>
      <c r="M33" s="632"/>
      <c r="N33" s="632"/>
      <c r="O33" s="632"/>
      <c r="P33" s="632"/>
      <c r="Q33" s="632"/>
      <c r="R33" s="632"/>
      <c r="S33" s="632"/>
    </row>
    <row r="34" spans="1:19">
      <c r="A34" s="650">
        <v>31</v>
      </c>
      <c r="B34" s="651"/>
      <c r="C34" s="664" t="s">
        <v>148</v>
      </c>
      <c r="D34" s="784" t="s">
        <v>808</v>
      </c>
      <c r="E34" s="782">
        <f t="shared" si="2"/>
        <v>2024</v>
      </c>
      <c r="F34" s="778">
        <f t="shared" si="3"/>
        <v>45657</v>
      </c>
      <c r="G34" s="785">
        <v>0</v>
      </c>
      <c r="H34" s="786">
        <f>+G34</f>
        <v>0</v>
      </c>
      <c r="I34" s="787">
        <v>0</v>
      </c>
      <c r="J34" s="787">
        <f t="shared" si="0"/>
        <v>0</v>
      </c>
      <c r="K34" s="769"/>
      <c r="L34" s="632"/>
      <c r="M34" s="632"/>
      <c r="N34" s="632"/>
      <c r="O34" s="632"/>
      <c r="P34" s="632"/>
      <c r="Q34" s="632"/>
      <c r="R34" s="632"/>
      <c r="S34" s="632"/>
    </row>
    <row r="35" spans="1:19">
      <c r="A35" s="650">
        <v>32</v>
      </c>
      <c r="B35" s="651"/>
      <c r="C35" s="664" t="s">
        <v>149</v>
      </c>
      <c r="D35" s="784" t="s">
        <v>815</v>
      </c>
      <c r="E35" s="782">
        <f t="shared" si="2"/>
        <v>2024</v>
      </c>
      <c r="F35" s="778">
        <f t="shared" si="3"/>
        <v>45657</v>
      </c>
      <c r="G35" s="785">
        <v>0</v>
      </c>
      <c r="H35" s="786">
        <f>+G35</f>
        <v>0</v>
      </c>
      <c r="I35" s="787">
        <v>0</v>
      </c>
      <c r="J35" s="787">
        <f t="shared" si="0"/>
        <v>0</v>
      </c>
      <c r="K35" s="769"/>
      <c r="L35" s="632"/>
      <c r="M35" s="632"/>
      <c r="N35" s="632"/>
      <c r="O35" s="632"/>
      <c r="P35" s="632"/>
      <c r="Q35" s="632"/>
      <c r="R35" s="632"/>
      <c r="S35" s="632"/>
    </row>
    <row r="36" spans="1:19">
      <c r="A36" s="650">
        <v>33</v>
      </c>
      <c r="B36" s="651"/>
      <c r="C36" s="662" t="s">
        <v>11843</v>
      </c>
      <c r="D36" s="783" t="s">
        <v>11844</v>
      </c>
      <c r="E36" s="782">
        <f t="shared" si="2"/>
        <v>2024</v>
      </c>
      <c r="F36" s="778">
        <f t="shared" si="3"/>
        <v>45657</v>
      </c>
      <c r="G36" s="785">
        <v>240556</v>
      </c>
      <c r="H36" s="780">
        <f>+H37+H40</f>
        <v>240556</v>
      </c>
      <c r="I36" s="781">
        <v>287550</v>
      </c>
      <c r="J36" s="781">
        <f t="shared" si="0"/>
        <v>-46994</v>
      </c>
      <c r="K36" s="769">
        <f t="shared" si="1"/>
        <v>-16.34289688749783</v>
      </c>
      <c r="L36" s="632"/>
      <c r="M36" s="632"/>
      <c r="N36" s="632"/>
      <c r="O36" s="632"/>
      <c r="P36" s="632"/>
      <c r="Q36" s="632"/>
      <c r="R36" s="632"/>
      <c r="S36" s="632"/>
    </row>
    <row r="37" spans="1:19">
      <c r="A37" s="650">
        <v>34</v>
      </c>
      <c r="B37" s="651"/>
      <c r="C37" s="664" t="s">
        <v>150</v>
      </c>
      <c r="D37" s="784" t="s">
        <v>818</v>
      </c>
      <c r="E37" s="782">
        <f t="shared" si="2"/>
        <v>2024</v>
      </c>
      <c r="F37" s="778">
        <f t="shared" si="3"/>
        <v>45657</v>
      </c>
      <c r="G37" s="785">
        <v>240556</v>
      </c>
      <c r="H37" s="788">
        <f>+H38-H39</f>
        <v>240556</v>
      </c>
      <c r="I37" s="789">
        <v>287550</v>
      </c>
      <c r="J37" s="789">
        <f t="shared" si="0"/>
        <v>-46994</v>
      </c>
      <c r="K37" s="769">
        <f t="shared" si="1"/>
        <v>-16.34289688749783</v>
      </c>
      <c r="L37" s="632"/>
      <c r="M37" s="632"/>
      <c r="N37" s="632"/>
      <c r="O37" s="632"/>
      <c r="P37" s="632"/>
      <c r="Q37" s="632"/>
      <c r="R37" s="632"/>
      <c r="S37" s="632"/>
    </row>
    <row r="38" spans="1:19">
      <c r="A38" s="650">
        <v>35</v>
      </c>
      <c r="B38" s="651"/>
      <c r="C38" s="664" t="s">
        <v>822</v>
      </c>
      <c r="D38" s="784" t="s">
        <v>823</v>
      </c>
      <c r="E38" s="782">
        <f t="shared" si="2"/>
        <v>2024</v>
      </c>
      <c r="F38" s="778">
        <f t="shared" si="3"/>
        <v>45657</v>
      </c>
      <c r="G38" s="785">
        <v>655743</v>
      </c>
      <c r="H38" s="786">
        <f>+G38</f>
        <v>655743</v>
      </c>
      <c r="I38" s="787">
        <v>655743</v>
      </c>
      <c r="J38" s="787">
        <f t="shared" si="0"/>
        <v>0</v>
      </c>
      <c r="K38" s="769">
        <f t="shared" si="1"/>
        <v>0</v>
      </c>
      <c r="L38" s="632"/>
      <c r="M38" s="632"/>
      <c r="N38" s="632"/>
      <c r="O38" s="632"/>
      <c r="P38" s="632"/>
      <c r="Q38" s="632"/>
      <c r="R38" s="632"/>
      <c r="S38" s="632"/>
    </row>
    <row r="39" spans="1:19">
      <c r="A39" s="650">
        <v>36</v>
      </c>
      <c r="B39" s="651"/>
      <c r="C39" s="664" t="s">
        <v>829</v>
      </c>
      <c r="D39" s="784" t="s">
        <v>830</v>
      </c>
      <c r="E39" s="782">
        <f t="shared" si="2"/>
        <v>2024</v>
      </c>
      <c r="F39" s="778">
        <f t="shared" si="3"/>
        <v>45657</v>
      </c>
      <c r="G39" s="785">
        <v>415187</v>
      </c>
      <c r="H39" s="786">
        <f>+G39</f>
        <v>415187</v>
      </c>
      <c r="I39" s="787">
        <v>368193</v>
      </c>
      <c r="J39" s="787">
        <f t="shared" si="0"/>
        <v>46994</v>
      </c>
      <c r="K39" s="769">
        <f t="shared" si="1"/>
        <v>12.763414839499944</v>
      </c>
      <c r="L39" s="632"/>
      <c r="M39" s="632"/>
      <c r="N39" s="632"/>
      <c r="O39" s="632"/>
      <c r="P39" s="632"/>
      <c r="Q39" s="632"/>
      <c r="R39" s="632"/>
      <c r="S39" s="632"/>
    </row>
    <row r="40" spans="1:19">
      <c r="A40" s="650">
        <v>37</v>
      </c>
      <c r="B40" s="651"/>
      <c r="C40" s="664" t="s">
        <v>151</v>
      </c>
      <c r="D40" s="784" t="s">
        <v>11845</v>
      </c>
      <c r="E40" s="782">
        <f t="shared" si="2"/>
        <v>2024</v>
      </c>
      <c r="F40" s="778">
        <f t="shared" si="3"/>
        <v>45657</v>
      </c>
      <c r="G40" s="785">
        <v>0</v>
      </c>
      <c r="H40" s="788">
        <f>+H41-H42</f>
        <v>0</v>
      </c>
      <c r="I40" s="789">
        <v>0</v>
      </c>
      <c r="J40" s="789">
        <f t="shared" si="0"/>
        <v>0</v>
      </c>
      <c r="K40" s="769"/>
      <c r="L40" s="632"/>
      <c r="M40" s="632"/>
      <c r="N40" s="632"/>
      <c r="O40" s="632"/>
      <c r="P40" s="632"/>
      <c r="Q40" s="632"/>
      <c r="R40" s="632"/>
      <c r="S40" s="632"/>
    </row>
    <row r="41" spans="1:19">
      <c r="A41" s="650">
        <v>38</v>
      </c>
      <c r="B41" s="651"/>
      <c r="C41" s="664" t="s">
        <v>839</v>
      </c>
      <c r="D41" s="784" t="s">
        <v>835</v>
      </c>
      <c r="E41" s="782">
        <f t="shared" si="2"/>
        <v>2024</v>
      </c>
      <c r="F41" s="778">
        <f t="shared" si="3"/>
        <v>45657</v>
      </c>
      <c r="G41" s="785">
        <v>0</v>
      </c>
      <c r="H41" s="786">
        <f>+G41</f>
        <v>0</v>
      </c>
      <c r="I41" s="787">
        <v>0</v>
      </c>
      <c r="J41" s="787">
        <f t="shared" si="0"/>
        <v>0</v>
      </c>
      <c r="K41" s="769"/>
      <c r="L41" s="632"/>
      <c r="M41" s="632"/>
      <c r="N41" s="632"/>
      <c r="O41" s="632"/>
      <c r="P41" s="632"/>
      <c r="Q41" s="632"/>
      <c r="R41" s="632"/>
      <c r="S41" s="632"/>
    </row>
    <row r="42" spans="1:19">
      <c r="A42" s="650">
        <v>39</v>
      </c>
      <c r="B42" s="651"/>
      <c r="C42" s="664" t="s">
        <v>843</v>
      </c>
      <c r="D42" s="784" t="s">
        <v>844</v>
      </c>
      <c r="E42" s="782">
        <f t="shared" si="2"/>
        <v>2024</v>
      </c>
      <c r="F42" s="778">
        <f t="shared" si="3"/>
        <v>45657</v>
      </c>
      <c r="G42" s="785">
        <v>0</v>
      </c>
      <c r="H42" s="786">
        <f>+G42</f>
        <v>0</v>
      </c>
      <c r="I42" s="787">
        <v>0</v>
      </c>
      <c r="J42" s="787">
        <f t="shared" si="0"/>
        <v>0</v>
      </c>
      <c r="K42" s="769"/>
      <c r="L42" s="632"/>
      <c r="M42" s="632"/>
      <c r="N42" s="632"/>
      <c r="O42" s="632"/>
      <c r="P42" s="632"/>
      <c r="Q42" s="632"/>
      <c r="R42" s="632"/>
      <c r="S42" s="632"/>
    </row>
    <row r="43" spans="1:19">
      <c r="A43" s="650">
        <v>40</v>
      </c>
      <c r="B43" s="651"/>
      <c r="C43" s="662" t="s">
        <v>152</v>
      </c>
      <c r="D43" s="783" t="s">
        <v>855</v>
      </c>
      <c r="E43" s="782">
        <f t="shared" si="2"/>
        <v>2024</v>
      </c>
      <c r="F43" s="778">
        <f t="shared" si="3"/>
        <v>45657</v>
      </c>
      <c r="G43" s="785">
        <v>7463158</v>
      </c>
      <c r="H43" s="780">
        <f>+H44-H45</f>
        <v>7463158</v>
      </c>
      <c r="I43" s="781">
        <v>5981989</v>
      </c>
      <c r="J43" s="781">
        <f t="shared" si="0"/>
        <v>1481169</v>
      </c>
      <c r="K43" s="769">
        <f t="shared" si="1"/>
        <v>24.760476824681561</v>
      </c>
      <c r="L43" s="632"/>
      <c r="M43" s="632"/>
      <c r="N43" s="632"/>
      <c r="O43" s="632"/>
      <c r="P43" s="632"/>
      <c r="Q43" s="632"/>
      <c r="R43" s="632"/>
      <c r="S43" s="632"/>
    </row>
    <row r="44" spans="1:19">
      <c r="A44" s="650">
        <v>41</v>
      </c>
      <c r="B44" s="651"/>
      <c r="C44" s="664" t="s">
        <v>859</v>
      </c>
      <c r="D44" s="784" t="s">
        <v>860</v>
      </c>
      <c r="E44" s="782">
        <f t="shared" si="2"/>
        <v>2024</v>
      </c>
      <c r="F44" s="778">
        <f t="shared" si="3"/>
        <v>45657</v>
      </c>
      <c r="G44" s="785">
        <v>29237809</v>
      </c>
      <c r="H44" s="786">
        <f>+G44</f>
        <v>29237809</v>
      </c>
      <c r="I44" s="787">
        <v>27824120</v>
      </c>
      <c r="J44" s="787">
        <f t="shared" si="0"/>
        <v>1413689</v>
      </c>
      <c r="K44" s="769">
        <f t="shared" si="1"/>
        <v>5.0808039930822559</v>
      </c>
      <c r="L44" s="632"/>
      <c r="M44" s="632"/>
      <c r="N44" s="632"/>
      <c r="O44" s="632"/>
      <c r="P44" s="632"/>
      <c r="Q44" s="632"/>
      <c r="R44" s="632"/>
      <c r="S44" s="632"/>
    </row>
    <row r="45" spans="1:19">
      <c r="A45" s="650">
        <v>42</v>
      </c>
      <c r="B45" s="651"/>
      <c r="C45" s="664" t="s">
        <v>890</v>
      </c>
      <c r="D45" s="784" t="s">
        <v>891</v>
      </c>
      <c r="E45" s="782">
        <f t="shared" si="2"/>
        <v>2024</v>
      </c>
      <c r="F45" s="778">
        <f t="shared" si="3"/>
        <v>45657</v>
      </c>
      <c r="G45" s="785">
        <v>21774651</v>
      </c>
      <c r="H45" s="786">
        <f>+G45</f>
        <v>21774651</v>
      </c>
      <c r="I45" s="787">
        <v>21842131</v>
      </c>
      <c r="J45" s="787">
        <f t="shared" si="0"/>
        <v>-67480</v>
      </c>
      <c r="K45" s="769">
        <f t="shared" si="1"/>
        <v>-0.30894421428018859</v>
      </c>
      <c r="L45" s="632"/>
      <c r="M45" s="632"/>
      <c r="N45" s="632"/>
      <c r="O45" s="632"/>
      <c r="P45" s="632"/>
      <c r="Q45" s="632"/>
      <c r="R45" s="632"/>
      <c r="S45" s="632"/>
    </row>
    <row r="46" spans="1:19">
      <c r="A46" s="650">
        <v>43</v>
      </c>
      <c r="B46" s="651"/>
      <c r="C46" s="662" t="s">
        <v>615</v>
      </c>
      <c r="D46" s="783" t="s">
        <v>920</v>
      </c>
      <c r="E46" s="782">
        <f t="shared" si="2"/>
        <v>2024</v>
      </c>
      <c r="F46" s="778">
        <f t="shared" si="3"/>
        <v>45657</v>
      </c>
      <c r="G46" s="785">
        <v>9841149</v>
      </c>
      <c r="H46" s="780">
        <f>+H47-H48</f>
        <v>9841149</v>
      </c>
      <c r="I46" s="781">
        <v>10904876</v>
      </c>
      <c r="J46" s="781">
        <f t="shared" si="0"/>
        <v>-1063727</v>
      </c>
      <c r="K46" s="769">
        <f t="shared" si="1"/>
        <v>-9.7545996854984907</v>
      </c>
      <c r="L46" s="632"/>
      <c r="M46" s="632"/>
      <c r="N46" s="632"/>
      <c r="O46" s="632"/>
      <c r="P46" s="632"/>
      <c r="Q46" s="632"/>
      <c r="R46" s="632"/>
      <c r="S46" s="632"/>
    </row>
    <row r="47" spans="1:19">
      <c r="A47" s="650">
        <v>44</v>
      </c>
      <c r="B47" s="651"/>
      <c r="C47" s="664" t="s">
        <v>924</v>
      </c>
      <c r="D47" s="784" t="s">
        <v>925</v>
      </c>
      <c r="E47" s="782">
        <f t="shared" si="2"/>
        <v>2024</v>
      </c>
      <c r="F47" s="778">
        <f t="shared" si="3"/>
        <v>45657</v>
      </c>
      <c r="G47" s="785">
        <v>60509482</v>
      </c>
      <c r="H47" s="786">
        <f>+G47</f>
        <v>60509482</v>
      </c>
      <c r="I47" s="787">
        <v>58292727</v>
      </c>
      <c r="J47" s="787">
        <f t="shared" si="0"/>
        <v>2216755</v>
      </c>
      <c r="K47" s="769">
        <f t="shared" si="1"/>
        <v>3.8027985892648246</v>
      </c>
      <c r="L47" s="632"/>
      <c r="M47" s="632"/>
      <c r="N47" s="632"/>
      <c r="O47" s="632"/>
      <c r="P47" s="632"/>
      <c r="Q47" s="632"/>
      <c r="R47" s="632"/>
      <c r="S47" s="632"/>
    </row>
    <row r="48" spans="1:19">
      <c r="A48" s="650">
        <v>45</v>
      </c>
      <c r="B48" s="651"/>
      <c r="C48" s="664" t="s">
        <v>941</v>
      </c>
      <c r="D48" s="784" t="s">
        <v>942</v>
      </c>
      <c r="E48" s="782">
        <f t="shared" si="2"/>
        <v>2024</v>
      </c>
      <c r="F48" s="778">
        <f t="shared" si="3"/>
        <v>45657</v>
      </c>
      <c r="G48" s="785">
        <v>50668333</v>
      </c>
      <c r="H48" s="786">
        <f>+G48</f>
        <v>50668333</v>
      </c>
      <c r="I48" s="787">
        <v>47387851</v>
      </c>
      <c r="J48" s="787">
        <f t="shared" si="0"/>
        <v>3280482</v>
      </c>
      <c r="K48" s="769">
        <f t="shared" si="1"/>
        <v>6.922622424891145</v>
      </c>
      <c r="L48" s="632"/>
      <c r="M48" s="632"/>
      <c r="N48" s="632"/>
      <c r="O48" s="632"/>
      <c r="P48" s="632"/>
      <c r="Q48" s="632"/>
      <c r="R48" s="632"/>
      <c r="S48" s="632"/>
    </row>
    <row r="49" spans="1:19">
      <c r="A49" s="650">
        <v>46</v>
      </c>
      <c r="B49" s="651"/>
      <c r="C49" s="662" t="s">
        <v>153</v>
      </c>
      <c r="D49" s="783" t="s">
        <v>11846</v>
      </c>
      <c r="E49" s="782">
        <f t="shared" si="2"/>
        <v>2024</v>
      </c>
      <c r="F49" s="778">
        <f t="shared" si="3"/>
        <v>45657</v>
      </c>
      <c r="G49" s="785">
        <v>533398</v>
      </c>
      <c r="H49" s="780">
        <f>+H50-H51</f>
        <v>533398</v>
      </c>
      <c r="I49" s="781">
        <v>556816</v>
      </c>
      <c r="J49" s="781">
        <f t="shared" si="0"/>
        <v>-23418</v>
      </c>
      <c r="K49" s="769">
        <f t="shared" si="1"/>
        <v>-4.2056981121232155</v>
      </c>
      <c r="L49" s="632"/>
      <c r="M49" s="632"/>
      <c r="N49" s="632"/>
      <c r="O49" s="632"/>
      <c r="P49" s="632"/>
      <c r="Q49" s="632"/>
      <c r="R49" s="632"/>
      <c r="S49" s="632"/>
    </row>
    <row r="50" spans="1:19">
      <c r="A50" s="650">
        <v>47</v>
      </c>
      <c r="B50" s="651"/>
      <c r="C50" s="664" t="s">
        <v>961</v>
      </c>
      <c r="D50" s="784" t="s">
        <v>957</v>
      </c>
      <c r="E50" s="782">
        <f t="shared" si="2"/>
        <v>2024</v>
      </c>
      <c r="F50" s="778">
        <f t="shared" si="3"/>
        <v>45657</v>
      </c>
      <c r="G50" s="785">
        <v>3695417</v>
      </c>
      <c r="H50" s="786">
        <f>+G50</f>
        <v>3695417</v>
      </c>
      <c r="I50" s="787">
        <v>3576758</v>
      </c>
      <c r="J50" s="787">
        <f t="shared" si="0"/>
        <v>118659</v>
      </c>
      <c r="K50" s="769">
        <f t="shared" si="1"/>
        <v>3.3175014915742196</v>
      </c>
      <c r="L50" s="632"/>
      <c r="M50" s="632"/>
      <c r="N50" s="632"/>
      <c r="O50" s="632"/>
      <c r="P50" s="632"/>
      <c r="Q50" s="632"/>
      <c r="R50" s="632"/>
      <c r="S50" s="632"/>
    </row>
    <row r="51" spans="1:19">
      <c r="A51" s="650">
        <v>48</v>
      </c>
      <c r="B51" s="651"/>
      <c r="C51" s="664" t="s">
        <v>973</v>
      </c>
      <c r="D51" s="784" t="s">
        <v>974</v>
      </c>
      <c r="E51" s="782">
        <f t="shared" si="2"/>
        <v>2024</v>
      </c>
      <c r="F51" s="778">
        <f t="shared" si="3"/>
        <v>45657</v>
      </c>
      <c r="G51" s="785">
        <v>3162019</v>
      </c>
      <c r="H51" s="786">
        <f>+G51</f>
        <v>3162019</v>
      </c>
      <c r="I51" s="787">
        <v>3019942</v>
      </c>
      <c r="J51" s="787">
        <f t="shared" si="0"/>
        <v>142077</v>
      </c>
      <c r="K51" s="769">
        <f t="shared" si="1"/>
        <v>4.7046267776003674</v>
      </c>
      <c r="L51" s="632"/>
      <c r="M51" s="632"/>
      <c r="N51" s="632"/>
      <c r="O51" s="632"/>
      <c r="P51" s="632"/>
      <c r="Q51" s="632"/>
      <c r="R51" s="632"/>
      <c r="S51" s="632"/>
    </row>
    <row r="52" spans="1:19">
      <c r="A52" s="650">
        <v>49</v>
      </c>
      <c r="B52" s="651"/>
      <c r="C52" s="662" t="s">
        <v>154</v>
      </c>
      <c r="D52" s="783" t="s">
        <v>981</v>
      </c>
      <c r="E52" s="782">
        <f t="shared" si="2"/>
        <v>2024</v>
      </c>
      <c r="F52" s="778">
        <f t="shared" si="3"/>
        <v>45657</v>
      </c>
      <c r="G52" s="785">
        <v>68330</v>
      </c>
      <c r="H52" s="780">
        <f>+H53-H54</f>
        <v>68330</v>
      </c>
      <c r="I52" s="781">
        <v>92128</v>
      </c>
      <c r="J52" s="781">
        <f t="shared" si="0"/>
        <v>-23798</v>
      </c>
      <c r="K52" s="769">
        <f t="shared" si="1"/>
        <v>-25.831451893018411</v>
      </c>
      <c r="L52" s="632"/>
      <c r="M52" s="632"/>
      <c r="N52" s="632"/>
      <c r="O52" s="632"/>
      <c r="P52" s="632"/>
      <c r="Q52" s="632"/>
      <c r="R52" s="632"/>
      <c r="S52" s="632"/>
    </row>
    <row r="53" spans="1:19">
      <c r="A53" s="650">
        <v>50</v>
      </c>
      <c r="B53" s="651"/>
      <c r="C53" s="664" t="s">
        <v>985</v>
      </c>
      <c r="D53" s="784" t="s">
        <v>986</v>
      </c>
      <c r="E53" s="782">
        <f t="shared" si="2"/>
        <v>2024</v>
      </c>
      <c r="F53" s="778">
        <f t="shared" si="3"/>
        <v>45657</v>
      </c>
      <c r="G53" s="785">
        <v>169134</v>
      </c>
      <c r="H53" s="786">
        <f>+G53</f>
        <v>169134</v>
      </c>
      <c r="I53" s="787">
        <v>169134</v>
      </c>
      <c r="J53" s="787">
        <f t="shared" si="0"/>
        <v>0</v>
      </c>
      <c r="K53" s="769">
        <f t="shared" si="1"/>
        <v>0</v>
      </c>
      <c r="L53" s="632"/>
      <c r="M53" s="632"/>
      <c r="N53" s="632"/>
      <c r="O53" s="632"/>
      <c r="P53" s="632"/>
      <c r="Q53" s="632"/>
      <c r="R53" s="632"/>
      <c r="S53" s="632"/>
    </row>
    <row r="54" spans="1:19">
      <c r="A54" s="650">
        <v>51</v>
      </c>
      <c r="B54" s="651"/>
      <c r="C54" s="664" t="s">
        <v>994</v>
      </c>
      <c r="D54" s="784" t="s">
        <v>995</v>
      </c>
      <c r="E54" s="782">
        <f t="shared" si="2"/>
        <v>2024</v>
      </c>
      <c r="F54" s="778">
        <f t="shared" si="3"/>
        <v>45657</v>
      </c>
      <c r="G54" s="785">
        <v>100804</v>
      </c>
      <c r="H54" s="786">
        <f>+G54</f>
        <v>100804</v>
      </c>
      <c r="I54" s="787">
        <v>77006</v>
      </c>
      <c r="J54" s="787">
        <f t="shared" si="0"/>
        <v>23798</v>
      </c>
      <c r="K54" s="769">
        <f t="shared" si="1"/>
        <v>30.904085395943184</v>
      </c>
      <c r="L54" s="632"/>
      <c r="M54" s="632"/>
      <c r="N54" s="632"/>
      <c r="O54" s="632"/>
      <c r="P54" s="632"/>
      <c r="Q54" s="632"/>
      <c r="R54" s="632"/>
      <c r="S54" s="632"/>
    </row>
    <row r="55" spans="1:19">
      <c r="A55" s="650">
        <v>52</v>
      </c>
      <c r="B55" s="651"/>
      <c r="C55" s="662" t="s">
        <v>155</v>
      </c>
      <c r="D55" s="783" t="s">
        <v>1001</v>
      </c>
      <c r="E55" s="782">
        <f t="shared" si="2"/>
        <v>2024</v>
      </c>
      <c r="F55" s="778">
        <f t="shared" si="3"/>
        <v>45657</v>
      </c>
      <c r="G55" s="785">
        <v>0</v>
      </c>
      <c r="H55" s="786">
        <f>+G55</f>
        <v>0</v>
      </c>
      <c r="I55" s="787">
        <v>0</v>
      </c>
      <c r="J55" s="787">
        <f t="shared" si="0"/>
        <v>0</v>
      </c>
      <c r="K55" s="769"/>
      <c r="L55" s="632"/>
      <c r="M55" s="632"/>
      <c r="N55" s="632"/>
      <c r="O55" s="632"/>
      <c r="P55" s="632"/>
      <c r="Q55" s="632"/>
      <c r="R55" s="632"/>
      <c r="S55" s="632"/>
    </row>
    <row r="56" spans="1:19">
      <c r="A56" s="650">
        <v>53</v>
      </c>
      <c r="B56" s="651"/>
      <c r="C56" s="662" t="s">
        <v>156</v>
      </c>
      <c r="D56" s="783" t="s">
        <v>1006</v>
      </c>
      <c r="E56" s="782">
        <f t="shared" si="2"/>
        <v>2024</v>
      </c>
      <c r="F56" s="778">
        <f t="shared" si="3"/>
        <v>45657</v>
      </c>
      <c r="G56" s="785">
        <v>97126</v>
      </c>
      <c r="H56" s="780">
        <f>+H57-H58</f>
        <v>97126</v>
      </c>
      <c r="I56" s="781">
        <v>123159</v>
      </c>
      <c r="J56" s="781">
        <f t="shared" si="0"/>
        <v>-26033</v>
      </c>
      <c r="K56" s="769">
        <f t="shared" si="1"/>
        <v>-21.137716285452129</v>
      </c>
      <c r="L56" s="632"/>
      <c r="M56" s="632"/>
      <c r="N56" s="632"/>
      <c r="O56" s="632"/>
      <c r="P56" s="632"/>
      <c r="Q56" s="632"/>
      <c r="R56" s="632"/>
      <c r="S56" s="632"/>
    </row>
    <row r="57" spans="1:19">
      <c r="A57" s="650">
        <v>54</v>
      </c>
      <c r="B57" s="651"/>
      <c r="C57" s="664" t="s">
        <v>1010</v>
      </c>
      <c r="D57" s="784" t="s">
        <v>1011</v>
      </c>
      <c r="E57" s="782">
        <f t="shared" si="2"/>
        <v>2024</v>
      </c>
      <c r="F57" s="778">
        <f t="shared" si="3"/>
        <v>45657</v>
      </c>
      <c r="G57" s="785">
        <v>966681</v>
      </c>
      <c r="H57" s="786">
        <f>+G57</f>
        <v>966681</v>
      </c>
      <c r="I57" s="787">
        <v>957694</v>
      </c>
      <c r="J57" s="787">
        <f t="shared" si="0"/>
        <v>8987</v>
      </c>
      <c r="K57" s="769">
        <f t="shared" si="1"/>
        <v>0.93839994820892514</v>
      </c>
      <c r="L57" s="632"/>
      <c r="M57" s="632"/>
      <c r="N57" s="632"/>
      <c r="O57" s="632"/>
      <c r="P57" s="632"/>
      <c r="Q57" s="632"/>
      <c r="R57" s="632"/>
      <c r="S57" s="632"/>
    </row>
    <row r="58" spans="1:19">
      <c r="A58" s="650">
        <v>55</v>
      </c>
      <c r="B58" s="651"/>
      <c r="C58" s="664" t="s">
        <v>1021</v>
      </c>
      <c r="D58" s="784" t="s">
        <v>1022</v>
      </c>
      <c r="E58" s="782">
        <f t="shared" si="2"/>
        <v>2024</v>
      </c>
      <c r="F58" s="778">
        <f t="shared" si="3"/>
        <v>45657</v>
      </c>
      <c r="G58" s="785">
        <v>869555</v>
      </c>
      <c r="H58" s="786">
        <f>+G58</f>
        <v>869555</v>
      </c>
      <c r="I58" s="787">
        <v>834535</v>
      </c>
      <c r="J58" s="787">
        <f t="shared" si="0"/>
        <v>35020</v>
      </c>
      <c r="K58" s="769">
        <f t="shared" si="1"/>
        <v>4.1963488649367662</v>
      </c>
      <c r="L58" s="632"/>
      <c r="M58" s="632"/>
      <c r="N58" s="632"/>
      <c r="O58" s="632"/>
      <c r="P58" s="632"/>
      <c r="Q58" s="632"/>
      <c r="R58" s="632"/>
      <c r="S58" s="632"/>
    </row>
    <row r="59" spans="1:19">
      <c r="A59" s="650">
        <v>56</v>
      </c>
      <c r="B59" s="651"/>
      <c r="C59" s="662" t="s">
        <v>157</v>
      </c>
      <c r="D59" s="783" t="s">
        <v>1032</v>
      </c>
      <c r="E59" s="782">
        <f t="shared" si="2"/>
        <v>2024</v>
      </c>
      <c r="F59" s="778">
        <f t="shared" si="3"/>
        <v>45657</v>
      </c>
      <c r="G59" s="785">
        <v>28214206</v>
      </c>
      <c r="H59" s="786">
        <f>+G59</f>
        <v>28214206</v>
      </c>
      <c r="I59" s="787">
        <v>30681334</v>
      </c>
      <c r="J59" s="787">
        <f t="shared" si="0"/>
        <v>-2467128</v>
      </c>
      <c r="K59" s="769">
        <f t="shared" si="1"/>
        <v>-8.0411366728708771</v>
      </c>
      <c r="L59" s="632"/>
      <c r="M59" s="632"/>
      <c r="N59" s="632"/>
      <c r="O59" s="632"/>
      <c r="P59" s="632"/>
      <c r="Q59" s="632"/>
      <c r="R59" s="632"/>
      <c r="S59" s="632"/>
    </row>
    <row r="60" spans="1:19">
      <c r="A60" s="650">
        <v>57</v>
      </c>
      <c r="B60" s="651"/>
      <c r="C60" s="662" t="s">
        <v>1036</v>
      </c>
      <c r="D60" s="783" t="s">
        <v>1037</v>
      </c>
      <c r="E60" s="782">
        <f t="shared" si="2"/>
        <v>2024</v>
      </c>
      <c r="F60" s="778">
        <f t="shared" si="3"/>
        <v>45657</v>
      </c>
      <c r="G60" s="785">
        <v>0</v>
      </c>
      <c r="H60" s="780">
        <f>SUM(H61:H68)</f>
        <v>0</v>
      </c>
      <c r="I60" s="781">
        <v>0</v>
      </c>
      <c r="J60" s="781">
        <f t="shared" si="0"/>
        <v>0</v>
      </c>
      <c r="K60" s="769"/>
      <c r="L60" s="632"/>
      <c r="M60" s="632"/>
      <c r="N60" s="632"/>
      <c r="O60" s="632"/>
      <c r="P60" s="632"/>
      <c r="Q60" s="632"/>
      <c r="R60" s="632"/>
      <c r="S60" s="632"/>
    </row>
    <row r="61" spans="1:19">
      <c r="A61" s="650">
        <v>58</v>
      </c>
      <c r="B61" s="651"/>
      <c r="C61" s="664" t="s">
        <v>1041</v>
      </c>
      <c r="D61" s="784" t="s">
        <v>1042</v>
      </c>
      <c r="E61" s="782">
        <f t="shared" si="2"/>
        <v>2024</v>
      </c>
      <c r="F61" s="778">
        <f t="shared" si="3"/>
        <v>45657</v>
      </c>
      <c r="G61" s="785">
        <v>0</v>
      </c>
      <c r="H61" s="786">
        <f t="shared" ref="H61:H68" si="5">+G61</f>
        <v>0</v>
      </c>
      <c r="I61" s="787">
        <v>0</v>
      </c>
      <c r="J61" s="787">
        <f t="shared" si="0"/>
        <v>0</v>
      </c>
      <c r="K61" s="769"/>
      <c r="L61" s="632"/>
      <c r="M61" s="632"/>
      <c r="N61" s="632"/>
      <c r="O61" s="632"/>
      <c r="P61" s="632"/>
      <c r="Q61" s="632"/>
      <c r="R61" s="632"/>
      <c r="S61" s="632"/>
    </row>
    <row r="62" spans="1:19">
      <c r="A62" s="650">
        <v>59</v>
      </c>
      <c r="B62" s="651"/>
      <c r="C62" s="664" t="s">
        <v>1046</v>
      </c>
      <c r="D62" s="784" t="s">
        <v>1047</v>
      </c>
      <c r="E62" s="782">
        <f t="shared" si="2"/>
        <v>2024</v>
      </c>
      <c r="F62" s="778">
        <f t="shared" si="3"/>
        <v>45657</v>
      </c>
      <c r="G62" s="785">
        <v>0</v>
      </c>
      <c r="H62" s="786">
        <f t="shared" si="5"/>
        <v>0</v>
      </c>
      <c r="I62" s="787">
        <v>0</v>
      </c>
      <c r="J62" s="787">
        <f t="shared" si="0"/>
        <v>0</v>
      </c>
      <c r="K62" s="769"/>
      <c r="L62" s="632"/>
      <c r="M62" s="632"/>
      <c r="N62" s="632"/>
      <c r="O62" s="632"/>
      <c r="P62" s="632"/>
      <c r="Q62" s="632"/>
      <c r="R62" s="632"/>
      <c r="S62" s="632"/>
    </row>
    <row r="63" spans="1:19">
      <c r="A63" s="650">
        <v>60</v>
      </c>
      <c r="B63" s="651"/>
      <c r="C63" s="664" t="s">
        <v>1051</v>
      </c>
      <c r="D63" s="784" t="s">
        <v>1052</v>
      </c>
      <c r="E63" s="782">
        <f t="shared" si="2"/>
        <v>2024</v>
      </c>
      <c r="F63" s="778">
        <f t="shared" si="3"/>
        <v>45657</v>
      </c>
      <c r="G63" s="785">
        <v>0</v>
      </c>
      <c r="H63" s="786">
        <f t="shared" si="5"/>
        <v>0</v>
      </c>
      <c r="I63" s="787">
        <v>0</v>
      </c>
      <c r="J63" s="787">
        <f t="shared" si="0"/>
        <v>0</v>
      </c>
      <c r="K63" s="769"/>
      <c r="L63" s="632"/>
      <c r="M63" s="632"/>
      <c r="N63" s="632"/>
      <c r="O63" s="632"/>
      <c r="P63" s="632"/>
      <c r="Q63" s="632"/>
      <c r="R63" s="632"/>
      <c r="S63" s="632"/>
    </row>
    <row r="64" spans="1:19">
      <c r="A64" s="650">
        <v>61</v>
      </c>
      <c r="B64" s="651"/>
      <c r="C64" s="664" t="s">
        <v>1056</v>
      </c>
      <c r="D64" s="784" t="s">
        <v>1057</v>
      </c>
      <c r="E64" s="782">
        <f t="shared" si="2"/>
        <v>2024</v>
      </c>
      <c r="F64" s="778">
        <f t="shared" si="3"/>
        <v>45657</v>
      </c>
      <c r="G64" s="785">
        <v>0</v>
      </c>
      <c r="H64" s="786">
        <f t="shared" si="5"/>
        <v>0</v>
      </c>
      <c r="I64" s="787">
        <v>0</v>
      </c>
      <c r="J64" s="787">
        <f t="shared" si="0"/>
        <v>0</v>
      </c>
      <c r="K64" s="769"/>
      <c r="L64" s="632"/>
      <c r="M64" s="632"/>
      <c r="N64" s="632"/>
      <c r="O64" s="632"/>
      <c r="P64" s="632"/>
      <c r="Q64" s="632"/>
      <c r="R64" s="632"/>
      <c r="S64" s="632"/>
    </row>
    <row r="65" spans="1:19">
      <c r="A65" s="650">
        <v>62</v>
      </c>
      <c r="B65" s="651"/>
      <c r="C65" s="664" t="s">
        <v>1061</v>
      </c>
      <c r="D65" s="784" t="s">
        <v>1062</v>
      </c>
      <c r="E65" s="782">
        <f t="shared" si="2"/>
        <v>2024</v>
      </c>
      <c r="F65" s="778">
        <f t="shared" si="3"/>
        <v>45657</v>
      </c>
      <c r="G65" s="785">
        <v>0</v>
      </c>
      <c r="H65" s="786">
        <f t="shared" si="5"/>
        <v>0</v>
      </c>
      <c r="I65" s="787">
        <v>0</v>
      </c>
      <c r="J65" s="787">
        <f t="shared" si="0"/>
        <v>0</v>
      </c>
      <c r="K65" s="769"/>
      <c r="L65" s="632"/>
      <c r="M65" s="632"/>
      <c r="N65" s="632"/>
      <c r="O65" s="632"/>
      <c r="P65" s="632"/>
      <c r="Q65" s="632"/>
      <c r="R65" s="632"/>
      <c r="S65" s="632"/>
    </row>
    <row r="66" spans="1:19">
      <c r="A66" s="650">
        <v>63</v>
      </c>
      <c r="B66" s="651"/>
      <c r="C66" s="664" t="s">
        <v>1066</v>
      </c>
      <c r="D66" s="784" t="s">
        <v>1067</v>
      </c>
      <c r="E66" s="782">
        <f t="shared" si="2"/>
        <v>2024</v>
      </c>
      <c r="F66" s="778">
        <f t="shared" si="3"/>
        <v>45657</v>
      </c>
      <c r="G66" s="785">
        <v>0</v>
      </c>
      <c r="H66" s="786">
        <f t="shared" si="5"/>
        <v>0</v>
      </c>
      <c r="I66" s="787">
        <v>0</v>
      </c>
      <c r="J66" s="787">
        <f t="shared" si="0"/>
        <v>0</v>
      </c>
      <c r="K66" s="769"/>
      <c r="L66" s="632"/>
      <c r="M66" s="632"/>
      <c r="N66" s="632"/>
      <c r="O66" s="632"/>
      <c r="P66" s="632"/>
      <c r="Q66" s="632"/>
      <c r="R66" s="632"/>
      <c r="S66" s="632"/>
    </row>
    <row r="67" spans="1:19">
      <c r="A67" s="650">
        <v>64</v>
      </c>
      <c r="B67" s="651"/>
      <c r="C67" s="664" t="s">
        <v>1071</v>
      </c>
      <c r="D67" s="784" t="s">
        <v>1072</v>
      </c>
      <c r="E67" s="782">
        <f t="shared" si="2"/>
        <v>2024</v>
      </c>
      <c r="F67" s="778">
        <f t="shared" si="3"/>
        <v>45657</v>
      </c>
      <c r="G67" s="785">
        <v>0</v>
      </c>
      <c r="H67" s="786">
        <f t="shared" si="5"/>
        <v>0</v>
      </c>
      <c r="I67" s="787">
        <v>0</v>
      </c>
      <c r="J67" s="787">
        <f t="shared" si="0"/>
        <v>0</v>
      </c>
      <c r="K67" s="769"/>
      <c r="L67" s="632"/>
      <c r="M67" s="632"/>
      <c r="N67" s="632"/>
      <c r="O67" s="632"/>
      <c r="P67" s="632"/>
      <c r="Q67" s="632"/>
      <c r="R67" s="632"/>
      <c r="S67" s="632"/>
    </row>
    <row r="68" spans="1:19">
      <c r="A68" s="650">
        <v>65</v>
      </c>
      <c r="B68" s="651"/>
      <c r="C68" s="664" t="s">
        <v>1076</v>
      </c>
      <c r="D68" s="784" t="s">
        <v>1077</v>
      </c>
      <c r="E68" s="782">
        <f t="shared" si="2"/>
        <v>2024</v>
      </c>
      <c r="F68" s="778">
        <f t="shared" si="3"/>
        <v>45657</v>
      </c>
      <c r="G68" s="785">
        <v>0</v>
      </c>
      <c r="H68" s="786">
        <f t="shared" si="5"/>
        <v>0</v>
      </c>
      <c r="I68" s="787">
        <v>0</v>
      </c>
      <c r="J68" s="787">
        <f t="shared" si="0"/>
        <v>0</v>
      </c>
      <c r="K68" s="769"/>
      <c r="L68" s="632"/>
      <c r="M68" s="632"/>
      <c r="N68" s="632"/>
      <c r="O68" s="632"/>
      <c r="P68" s="632"/>
      <c r="Q68" s="632"/>
      <c r="R68" s="632"/>
      <c r="S68" s="632"/>
    </row>
    <row r="69" spans="1:19">
      <c r="A69" s="650">
        <v>66</v>
      </c>
      <c r="B69" s="651"/>
      <c r="C69" s="652" t="s">
        <v>1079</v>
      </c>
      <c r="D69" s="776" t="s">
        <v>11847</v>
      </c>
      <c r="E69" s="782">
        <f t="shared" si="2"/>
        <v>2024</v>
      </c>
      <c r="F69" s="778">
        <f t="shared" si="3"/>
        <v>45657</v>
      </c>
      <c r="G69" s="785">
        <v>178000</v>
      </c>
      <c r="H69" s="780">
        <f>+H70+H75</f>
        <v>178000</v>
      </c>
      <c r="I69" s="781">
        <v>178000</v>
      </c>
      <c r="J69" s="781">
        <f t="shared" ref="J69:J132" si="6">H69-I69</f>
        <v>0</v>
      </c>
      <c r="K69" s="769">
        <f>H69/I69*100-100</f>
        <v>0</v>
      </c>
      <c r="L69" s="632"/>
      <c r="M69" s="632"/>
      <c r="N69" s="632"/>
      <c r="O69" s="632"/>
      <c r="P69" s="632"/>
      <c r="Q69" s="632"/>
      <c r="R69" s="632"/>
      <c r="S69" s="632"/>
    </row>
    <row r="70" spans="1:19">
      <c r="A70" s="650">
        <v>67</v>
      </c>
      <c r="B70" s="651"/>
      <c r="C70" s="662" t="s">
        <v>11848</v>
      </c>
      <c r="D70" s="783" t="s">
        <v>11849</v>
      </c>
      <c r="E70" s="782">
        <f t="shared" ref="E70:E133" si="7">E69</f>
        <v>2024</v>
      </c>
      <c r="F70" s="778">
        <f t="shared" ref="F70:F133" si="8">+F69</f>
        <v>45657</v>
      </c>
      <c r="G70" s="785">
        <v>0</v>
      </c>
      <c r="H70" s="780">
        <f>SUM(H71:H74)</f>
        <v>0</v>
      </c>
      <c r="I70" s="781">
        <v>0</v>
      </c>
      <c r="J70" s="781">
        <f t="shared" si="6"/>
        <v>0</v>
      </c>
      <c r="K70" s="769"/>
      <c r="L70" s="632"/>
      <c r="M70" s="632"/>
      <c r="N70" s="632"/>
      <c r="O70" s="632"/>
      <c r="P70" s="632"/>
      <c r="Q70" s="632"/>
      <c r="R70" s="632"/>
      <c r="S70" s="632"/>
    </row>
    <row r="71" spans="1:19">
      <c r="A71" s="650">
        <v>68</v>
      </c>
      <c r="B71" s="651"/>
      <c r="C71" s="664" t="s">
        <v>158</v>
      </c>
      <c r="D71" s="784" t="s">
        <v>1082</v>
      </c>
      <c r="E71" s="782">
        <f t="shared" si="7"/>
        <v>2024</v>
      </c>
      <c r="F71" s="778">
        <f t="shared" si="8"/>
        <v>45657</v>
      </c>
      <c r="G71" s="785">
        <v>0</v>
      </c>
      <c r="H71" s="786">
        <f>+G71</f>
        <v>0</v>
      </c>
      <c r="I71" s="787">
        <v>0</v>
      </c>
      <c r="J71" s="787">
        <f t="shared" si="6"/>
        <v>0</v>
      </c>
      <c r="K71" s="769"/>
      <c r="L71" s="632"/>
      <c r="M71" s="632"/>
      <c r="N71" s="632"/>
      <c r="O71" s="632"/>
      <c r="P71" s="632"/>
      <c r="Q71" s="632"/>
      <c r="R71" s="632"/>
      <c r="S71" s="632"/>
    </row>
    <row r="72" spans="1:19">
      <c r="A72" s="650">
        <v>69</v>
      </c>
      <c r="B72" s="651"/>
      <c r="C72" s="664" t="s">
        <v>159</v>
      </c>
      <c r="D72" s="784" t="s">
        <v>1084</v>
      </c>
      <c r="E72" s="782">
        <f t="shared" si="7"/>
        <v>2024</v>
      </c>
      <c r="F72" s="778">
        <f t="shared" si="8"/>
        <v>45657</v>
      </c>
      <c r="G72" s="785">
        <v>0</v>
      </c>
      <c r="H72" s="786">
        <f>+G72</f>
        <v>0</v>
      </c>
      <c r="I72" s="787">
        <v>0</v>
      </c>
      <c r="J72" s="787">
        <f t="shared" si="6"/>
        <v>0</v>
      </c>
      <c r="K72" s="769"/>
      <c r="L72" s="632"/>
      <c r="M72" s="632"/>
      <c r="N72" s="632"/>
      <c r="O72" s="632"/>
      <c r="P72" s="632"/>
      <c r="Q72" s="632"/>
      <c r="R72" s="632"/>
      <c r="S72" s="632"/>
    </row>
    <row r="73" spans="1:19">
      <c r="A73" s="650">
        <v>70</v>
      </c>
      <c r="B73" s="651"/>
      <c r="C73" s="664" t="s">
        <v>160</v>
      </c>
      <c r="D73" s="784" t="s">
        <v>1090</v>
      </c>
      <c r="E73" s="782">
        <f t="shared" si="7"/>
        <v>2024</v>
      </c>
      <c r="F73" s="778">
        <f t="shared" si="8"/>
        <v>45657</v>
      </c>
      <c r="G73" s="785">
        <v>0</v>
      </c>
      <c r="H73" s="786">
        <f>+G73</f>
        <v>0</v>
      </c>
      <c r="I73" s="787">
        <v>0</v>
      </c>
      <c r="J73" s="787">
        <f t="shared" si="6"/>
        <v>0</v>
      </c>
      <c r="K73" s="769"/>
      <c r="L73" s="632"/>
      <c r="M73" s="632"/>
      <c r="N73" s="632"/>
      <c r="O73" s="632"/>
      <c r="P73" s="632"/>
      <c r="Q73" s="632"/>
      <c r="R73" s="632"/>
      <c r="S73" s="632"/>
    </row>
    <row r="74" spans="1:19">
      <c r="A74" s="650">
        <v>71</v>
      </c>
      <c r="B74" s="651"/>
      <c r="C74" s="664" t="s">
        <v>161</v>
      </c>
      <c r="D74" s="784" t="s">
        <v>1099</v>
      </c>
      <c r="E74" s="782">
        <f t="shared" si="7"/>
        <v>2024</v>
      </c>
      <c r="F74" s="778">
        <f t="shared" si="8"/>
        <v>45657</v>
      </c>
      <c r="G74" s="785">
        <v>0</v>
      </c>
      <c r="H74" s="786">
        <f>+G74</f>
        <v>0</v>
      </c>
      <c r="I74" s="787">
        <v>0</v>
      </c>
      <c r="J74" s="787">
        <f t="shared" si="6"/>
        <v>0</v>
      </c>
      <c r="K74" s="769"/>
      <c r="L74" s="632"/>
      <c r="M74" s="632"/>
      <c r="N74" s="632"/>
      <c r="O74" s="632"/>
      <c r="P74" s="632"/>
      <c r="Q74" s="632"/>
      <c r="R74" s="632"/>
      <c r="S74" s="632"/>
    </row>
    <row r="75" spans="1:19">
      <c r="A75" s="650">
        <v>72</v>
      </c>
      <c r="B75" s="651"/>
      <c r="C75" s="662" t="s">
        <v>11850</v>
      </c>
      <c r="D75" s="783" t="s">
        <v>11851</v>
      </c>
      <c r="E75" s="782">
        <f t="shared" si="7"/>
        <v>2024</v>
      </c>
      <c r="F75" s="778">
        <f t="shared" si="8"/>
        <v>45657</v>
      </c>
      <c r="G75" s="785">
        <v>178000</v>
      </c>
      <c r="H75" s="780">
        <f>+H76+H77</f>
        <v>178000</v>
      </c>
      <c r="I75" s="781">
        <v>178000</v>
      </c>
      <c r="J75" s="781">
        <f t="shared" si="6"/>
        <v>0</v>
      </c>
      <c r="K75" s="769">
        <f>H75/I75*100-100</f>
        <v>0</v>
      </c>
      <c r="L75" s="632"/>
      <c r="M75" s="632"/>
      <c r="N75" s="632"/>
      <c r="O75" s="632"/>
      <c r="P75" s="632"/>
      <c r="Q75" s="632"/>
      <c r="R75" s="632"/>
      <c r="S75" s="632"/>
    </row>
    <row r="76" spans="1:19">
      <c r="A76" s="650">
        <v>73</v>
      </c>
      <c r="B76" s="651"/>
      <c r="C76" s="664" t="s">
        <v>166</v>
      </c>
      <c r="D76" s="784" t="s">
        <v>1113</v>
      </c>
      <c r="E76" s="782">
        <f t="shared" si="7"/>
        <v>2024</v>
      </c>
      <c r="F76" s="778">
        <f t="shared" si="8"/>
        <v>45657</v>
      </c>
      <c r="G76" s="785">
        <v>178000</v>
      </c>
      <c r="H76" s="786">
        <f>+G76</f>
        <v>178000</v>
      </c>
      <c r="I76" s="787">
        <v>178000</v>
      </c>
      <c r="J76" s="787">
        <f t="shared" si="6"/>
        <v>0</v>
      </c>
      <c r="K76" s="769">
        <f>H76/I76*100-100</f>
        <v>0</v>
      </c>
      <c r="L76" s="632"/>
      <c r="M76" s="632"/>
      <c r="N76" s="632"/>
      <c r="O76" s="632"/>
      <c r="P76" s="632"/>
      <c r="Q76" s="632"/>
      <c r="R76" s="632"/>
      <c r="S76" s="632"/>
    </row>
    <row r="77" spans="1:19">
      <c r="A77" s="650">
        <v>74</v>
      </c>
      <c r="B77" s="651"/>
      <c r="C77" s="664" t="s">
        <v>167</v>
      </c>
      <c r="D77" s="784" t="s">
        <v>1128</v>
      </c>
      <c r="E77" s="782">
        <f t="shared" si="7"/>
        <v>2024</v>
      </c>
      <c r="F77" s="778">
        <f t="shared" si="8"/>
        <v>45657</v>
      </c>
      <c r="G77" s="785">
        <v>0</v>
      </c>
      <c r="H77" s="788">
        <f>SUM(H78:H81)</f>
        <v>0</v>
      </c>
      <c r="I77" s="789">
        <v>0</v>
      </c>
      <c r="J77" s="789">
        <f t="shared" si="6"/>
        <v>0</v>
      </c>
      <c r="K77" s="769"/>
      <c r="L77" s="632"/>
      <c r="M77" s="632"/>
      <c r="N77" s="632"/>
      <c r="O77" s="632"/>
      <c r="P77" s="632"/>
      <c r="Q77" s="632"/>
      <c r="R77" s="632"/>
      <c r="S77" s="632"/>
    </row>
    <row r="78" spans="1:19">
      <c r="A78" s="650">
        <v>75</v>
      </c>
      <c r="B78" s="651"/>
      <c r="C78" s="664" t="s">
        <v>162</v>
      </c>
      <c r="D78" s="784" t="s">
        <v>1132</v>
      </c>
      <c r="E78" s="782">
        <f t="shared" si="7"/>
        <v>2024</v>
      </c>
      <c r="F78" s="778">
        <f t="shared" si="8"/>
        <v>45657</v>
      </c>
      <c r="G78" s="785">
        <v>0</v>
      </c>
      <c r="H78" s="786">
        <f>+G78</f>
        <v>0</v>
      </c>
      <c r="I78" s="787">
        <v>0</v>
      </c>
      <c r="J78" s="787">
        <f t="shared" si="6"/>
        <v>0</v>
      </c>
      <c r="K78" s="769"/>
      <c r="L78" s="632"/>
      <c r="M78" s="632"/>
      <c r="N78" s="632"/>
      <c r="O78" s="632"/>
      <c r="P78" s="632"/>
      <c r="Q78" s="632"/>
      <c r="R78" s="632"/>
      <c r="S78" s="632"/>
    </row>
    <row r="79" spans="1:19">
      <c r="A79" s="650">
        <v>76</v>
      </c>
      <c r="B79" s="651"/>
      <c r="C79" s="664" t="s">
        <v>163</v>
      </c>
      <c r="D79" s="784" t="s">
        <v>1136</v>
      </c>
      <c r="E79" s="782">
        <f t="shared" si="7"/>
        <v>2024</v>
      </c>
      <c r="F79" s="778">
        <f t="shared" si="8"/>
        <v>45657</v>
      </c>
      <c r="G79" s="785">
        <v>0</v>
      </c>
      <c r="H79" s="786">
        <f>+G79</f>
        <v>0</v>
      </c>
      <c r="I79" s="787">
        <v>0</v>
      </c>
      <c r="J79" s="787">
        <f t="shared" si="6"/>
        <v>0</v>
      </c>
      <c r="K79" s="769"/>
      <c r="L79" s="632"/>
      <c r="M79" s="632"/>
      <c r="N79" s="632"/>
      <c r="O79" s="632"/>
      <c r="P79" s="632"/>
      <c r="Q79" s="632"/>
      <c r="R79" s="632"/>
      <c r="S79" s="632"/>
    </row>
    <row r="80" spans="1:19">
      <c r="A80" s="650">
        <v>77</v>
      </c>
      <c r="B80" s="651"/>
      <c r="C80" s="664" t="s">
        <v>164</v>
      </c>
      <c r="D80" s="784" t="s">
        <v>1140</v>
      </c>
      <c r="E80" s="782">
        <f t="shared" si="7"/>
        <v>2024</v>
      </c>
      <c r="F80" s="778">
        <f t="shared" si="8"/>
        <v>45657</v>
      </c>
      <c r="G80" s="785">
        <v>0</v>
      </c>
      <c r="H80" s="786">
        <f>+G80</f>
        <v>0</v>
      </c>
      <c r="I80" s="787">
        <v>0</v>
      </c>
      <c r="J80" s="787">
        <f t="shared" si="6"/>
        <v>0</v>
      </c>
      <c r="K80" s="769"/>
      <c r="L80" s="632"/>
      <c r="M80" s="632"/>
      <c r="N80" s="632"/>
      <c r="O80" s="632"/>
      <c r="P80" s="632"/>
      <c r="Q80" s="632"/>
      <c r="R80" s="632"/>
      <c r="S80" s="632"/>
    </row>
    <row r="81" spans="1:19">
      <c r="A81" s="650">
        <v>78</v>
      </c>
      <c r="B81" s="651"/>
      <c r="C81" s="664" t="s">
        <v>165</v>
      </c>
      <c r="D81" s="784" t="s">
        <v>1143</v>
      </c>
      <c r="E81" s="782">
        <f t="shared" si="7"/>
        <v>2024</v>
      </c>
      <c r="F81" s="778">
        <f t="shared" si="8"/>
        <v>45657</v>
      </c>
      <c r="G81" s="785">
        <v>0</v>
      </c>
      <c r="H81" s="786">
        <f>+G81</f>
        <v>0</v>
      </c>
      <c r="I81" s="787">
        <v>0</v>
      </c>
      <c r="J81" s="787">
        <f t="shared" si="6"/>
        <v>0</v>
      </c>
      <c r="K81" s="769"/>
      <c r="L81" s="632"/>
      <c r="M81" s="632"/>
      <c r="N81" s="632"/>
      <c r="O81" s="632"/>
      <c r="P81" s="632"/>
      <c r="Q81" s="632"/>
      <c r="R81" s="632"/>
      <c r="S81" s="632"/>
    </row>
    <row r="82" spans="1:19">
      <c r="A82" s="650">
        <v>79</v>
      </c>
      <c r="B82" s="651"/>
      <c r="C82" s="652" t="s">
        <v>1146</v>
      </c>
      <c r="D82" s="776" t="s">
        <v>11852</v>
      </c>
      <c r="E82" s="782">
        <f t="shared" si="7"/>
        <v>2024</v>
      </c>
      <c r="F82" s="778">
        <f t="shared" si="8"/>
        <v>45657</v>
      </c>
      <c r="G82" s="785">
        <v>198589568</v>
      </c>
      <c r="H82" s="780">
        <f>+H83+H102+H166+H169</f>
        <v>198589568</v>
      </c>
      <c r="I82" s="781">
        <v>195814021</v>
      </c>
      <c r="J82" s="781">
        <f t="shared" si="6"/>
        <v>2775547</v>
      </c>
      <c r="K82" s="769">
        <f>H82/I82*100-100</f>
        <v>1.4174403782862868</v>
      </c>
      <c r="L82" s="632"/>
      <c r="M82" s="632"/>
      <c r="N82" s="632"/>
      <c r="O82" s="632"/>
      <c r="P82" s="632"/>
      <c r="Q82" s="632"/>
      <c r="R82" s="632"/>
      <c r="S82" s="632"/>
    </row>
    <row r="83" spans="1:19">
      <c r="A83" s="650">
        <v>80</v>
      </c>
      <c r="B83" s="651"/>
      <c r="C83" s="652" t="s">
        <v>1148</v>
      </c>
      <c r="D83" s="776" t="s">
        <v>11853</v>
      </c>
      <c r="E83" s="782">
        <f t="shared" si="7"/>
        <v>2024</v>
      </c>
      <c r="F83" s="778">
        <f t="shared" si="8"/>
        <v>45657</v>
      </c>
      <c r="G83" s="785">
        <v>24861544</v>
      </c>
      <c r="H83" s="780">
        <f>+H84+H94</f>
        <v>24861544</v>
      </c>
      <c r="I83" s="781">
        <v>16339199</v>
      </c>
      <c r="J83" s="781">
        <f t="shared" si="6"/>
        <v>8522345</v>
      </c>
      <c r="K83" s="769">
        <f>H83/I83*100-100</f>
        <v>52.158891020300302</v>
      </c>
      <c r="L83" s="790">
        <f>+H84+H94-I84-I94</f>
        <v>8522345</v>
      </c>
      <c r="M83" s="632"/>
      <c r="N83" s="632"/>
      <c r="O83" s="632"/>
      <c r="P83" s="632"/>
      <c r="Q83" s="632"/>
      <c r="R83" s="632"/>
      <c r="S83" s="632"/>
    </row>
    <row r="84" spans="1:19">
      <c r="A84" s="650">
        <v>81</v>
      </c>
      <c r="B84" s="651"/>
      <c r="C84" s="662" t="s">
        <v>11854</v>
      </c>
      <c r="D84" s="783" t="s">
        <v>11855</v>
      </c>
      <c r="E84" s="782">
        <f t="shared" si="7"/>
        <v>2024</v>
      </c>
      <c r="F84" s="778">
        <f t="shared" si="8"/>
        <v>45657</v>
      </c>
      <c r="G84" s="785">
        <v>24781959</v>
      </c>
      <c r="H84" s="780">
        <f>SUM(H85:H93)</f>
        <v>24781959</v>
      </c>
      <c r="I84" s="781">
        <v>16306931</v>
      </c>
      <c r="J84" s="781">
        <f t="shared" si="6"/>
        <v>8475028</v>
      </c>
      <c r="K84" s="769">
        <f>H84/I84*100-100</f>
        <v>51.971937576727328</v>
      </c>
      <c r="L84" s="632"/>
      <c r="M84" s="632"/>
      <c r="N84" s="632"/>
      <c r="O84" s="632"/>
      <c r="P84" s="632"/>
      <c r="Q84" s="632"/>
      <c r="R84" s="632"/>
      <c r="S84" s="632"/>
    </row>
    <row r="85" spans="1:19">
      <c r="A85" s="650">
        <v>82</v>
      </c>
      <c r="B85" s="651"/>
      <c r="C85" s="664" t="s">
        <v>168</v>
      </c>
      <c r="D85" s="784" t="s">
        <v>1154</v>
      </c>
      <c r="E85" s="782">
        <f t="shared" si="7"/>
        <v>2024</v>
      </c>
      <c r="F85" s="778">
        <f t="shared" si="8"/>
        <v>45657</v>
      </c>
      <c r="G85" s="785">
        <v>9284663</v>
      </c>
      <c r="H85" s="786">
        <f t="shared" ref="H85:H93" si="9">+G85</f>
        <v>9284663</v>
      </c>
      <c r="I85" s="787">
        <v>11312051</v>
      </c>
      <c r="J85" s="787">
        <f t="shared" si="6"/>
        <v>-2027388</v>
      </c>
      <c r="K85" s="769">
        <f>H85/I85*100-100</f>
        <v>-17.922373228338515</v>
      </c>
      <c r="L85" s="632"/>
      <c r="M85" s="632"/>
      <c r="N85" s="632"/>
      <c r="O85" s="632"/>
      <c r="P85" s="632"/>
      <c r="Q85" s="632"/>
      <c r="R85" s="632"/>
      <c r="S85" s="632"/>
    </row>
    <row r="86" spans="1:19">
      <c r="A86" s="650">
        <v>83</v>
      </c>
      <c r="B86" s="651"/>
      <c r="C86" s="664" t="s">
        <v>169</v>
      </c>
      <c r="D86" s="784" t="s">
        <v>1187</v>
      </c>
      <c r="E86" s="782">
        <f t="shared" si="7"/>
        <v>2024</v>
      </c>
      <c r="F86" s="778">
        <f t="shared" si="8"/>
        <v>45657</v>
      </c>
      <c r="G86" s="785">
        <v>221555</v>
      </c>
      <c r="H86" s="786">
        <f t="shared" si="9"/>
        <v>221555</v>
      </c>
      <c r="I86" s="787">
        <v>0</v>
      </c>
      <c r="J86" s="787">
        <f t="shared" si="6"/>
        <v>221555</v>
      </c>
      <c r="K86" s="769"/>
      <c r="L86" s="632"/>
      <c r="M86" s="632"/>
      <c r="N86" s="632"/>
      <c r="O86" s="632"/>
      <c r="P86" s="632"/>
      <c r="Q86" s="632"/>
      <c r="R86" s="632"/>
      <c r="S86" s="632"/>
    </row>
    <row r="87" spans="1:19">
      <c r="A87" s="650">
        <v>84</v>
      </c>
      <c r="B87" s="651"/>
      <c r="C87" s="664" t="s">
        <v>170</v>
      </c>
      <c r="D87" s="784" t="s">
        <v>1198</v>
      </c>
      <c r="E87" s="782">
        <f t="shared" si="7"/>
        <v>2024</v>
      </c>
      <c r="F87" s="778">
        <f t="shared" si="8"/>
        <v>45657</v>
      </c>
      <c r="G87" s="785">
        <v>13424970</v>
      </c>
      <c r="H87" s="786">
        <f t="shared" si="9"/>
        <v>13424970</v>
      </c>
      <c r="I87" s="787">
        <v>4319450</v>
      </c>
      <c r="J87" s="787">
        <f t="shared" si="6"/>
        <v>9105520</v>
      </c>
      <c r="K87" s="769">
        <f>H87/I87*100-100</f>
        <v>210.80276424081768</v>
      </c>
      <c r="L87" s="632"/>
      <c r="M87" s="632"/>
      <c r="N87" s="632"/>
      <c r="O87" s="632"/>
      <c r="P87" s="632"/>
      <c r="Q87" s="632"/>
      <c r="R87" s="632"/>
      <c r="S87" s="632"/>
    </row>
    <row r="88" spans="1:19">
      <c r="A88" s="650">
        <v>85</v>
      </c>
      <c r="B88" s="651"/>
      <c r="C88" s="664" t="s">
        <v>171</v>
      </c>
      <c r="D88" s="784" t="s">
        <v>1263</v>
      </c>
      <c r="E88" s="782">
        <f t="shared" si="7"/>
        <v>2024</v>
      </c>
      <c r="F88" s="778">
        <f t="shared" si="8"/>
        <v>45657</v>
      </c>
      <c r="G88" s="785">
        <v>2149</v>
      </c>
      <c r="H88" s="786">
        <f t="shared" si="9"/>
        <v>2149</v>
      </c>
      <c r="I88" s="787">
        <v>7882</v>
      </c>
      <c r="J88" s="787">
        <f t="shared" si="6"/>
        <v>-5733</v>
      </c>
      <c r="K88" s="769">
        <f>H88/I88*100-100</f>
        <v>-72.735346358792185</v>
      </c>
      <c r="L88" s="632"/>
      <c r="M88" s="632"/>
      <c r="N88" s="632"/>
      <c r="O88" s="632"/>
      <c r="P88" s="632"/>
      <c r="Q88" s="632"/>
      <c r="R88" s="632"/>
      <c r="S88" s="632"/>
    </row>
    <row r="89" spans="1:19">
      <c r="A89" s="650">
        <v>86</v>
      </c>
      <c r="B89" s="651"/>
      <c r="C89" s="664" t="s">
        <v>172</v>
      </c>
      <c r="D89" s="784" t="s">
        <v>1268</v>
      </c>
      <c r="E89" s="782">
        <f t="shared" si="7"/>
        <v>2024</v>
      </c>
      <c r="F89" s="778">
        <f t="shared" si="8"/>
        <v>45657</v>
      </c>
      <c r="G89" s="785">
        <v>0</v>
      </c>
      <c r="H89" s="786">
        <f t="shared" si="9"/>
        <v>0</v>
      </c>
      <c r="I89" s="787">
        <v>0</v>
      </c>
      <c r="J89" s="787">
        <f t="shared" si="6"/>
        <v>0</v>
      </c>
      <c r="K89" s="769"/>
      <c r="L89" s="632"/>
      <c r="M89" s="632"/>
      <c r="N89" s="632"/>
      <c r="O89" s="632"/>
      <c r="P89" s="632"/>
      <c r="Q89" s="632"/>
      <c r="R89" s="632"/>
      <c r="S89" s="632"/>
    </row>
    <row r="90" spans="1:19">
      <c r="A90" s="650">
        <v>87</v>
      </c>
      <c r="B90" s="651"/>
      <c r="C90" s="664" t="s">
        <v>173</v>
      </c>
      <c r="D90" s="784" t="s">
        <v>1273</v>
      </c>
      <c r="E90" s="782">
        <f t="shared" si="7"/>
        <v>2024</v>
      </c>
      <c r="F90" s="778">
        <f t="shared" si="8"/>
        <v>45657</v>
      </c>
      <c r="G90" s="785">
        <v>0</v>
      </c>
      <c r="H90" s="786">
        <f t="shared" si="9"/>
        <v>0</v>
      </c>
      <c r="I90" s="787">
        <v>0</v>
      </c>
      <c r="J90" s="787">
        <f t="shared" si="6"/>
        <v>0</v>
      </c>
      <c r="K90" s="769"/>
      <c r="L90" s="632"/>
      <c r="M90" s="632"/>
      <c r="N90" s="632"/>
      <c r="O90" s="632"/>
      <c r="P90" s="632"/>
      <c r="Q90" s="632"/>
      <c r="R90" s="632"/>
      <c r="S90" s="632"/>
    </row>
    <row r="91" spans="1:19">
      <c r="A91" s="650">
        <v>88</v>
      </c>
      <c r="B91" s="651"/>
      <c r="C91" s="664" t="s">
        <v>174</v>
      </c>
      <c r="D91" s="784" t="s">
        <v>1278</v>
      </c>
      <c r="E91" s="782">
        <f t="shared" si="7"/>
        <v>2024</v>
      </c>
      <c r="F91" s="778">
        <f t="shared" si="8"/>
        <v>45657</v>
      </c>
      <c r="G91" s="785">
        <v>0</v>
      </c>
      <c r="H91" s="786">
        <f t="shared" si="9"/>
        <v>0</v>
      </c>
      <c r="I91" s="787">
        <v>0</v>
      </c>
      <c r="J91" s="787">
        <f t="shared" si="6"/>
        <v>0</v>
      </c>
      <c r="K91" s="769"/>
      <c r="L91" s="632"/>
      <c r="M91" s="632"/>
      <c r="N91" s="632"/>
      <c r="O91" s="632"/>
      <c r="P91" s="632"/>
      <c r="Q91" s="632"/>
      <c r="R91" s="632"/>
      <c r="S91" s="632"/>
    </row>
    <row r="92" spans="1:19">
      <c r="A92" s="650">
        <v>89</v>
      </c>
      <c r="B92" s="651"/>
      <c r="C92" s="664" t="s">
        <v>175</v>
      </c>
      <c r="D92" s="784" t="s">
        <v>1287</v>
      </c>
      <c r="E92" s="782">
        <f t="shared" si="7"/>
        <v>2024</v>
      </c>
      <c r="F92" s="778">
        <f t="shared" si="8"/>
        <v>45657</v>
      </c>
      <c r="G92" s="785">
        <v>1848622</v>
      </c>
      <c r="H92" s="786">
        <f t="shared" si="9"/>
        <v>1848622</v>
      </c>
      <c r="I92" s="787">
        <v>667548</v>
      </c>
      <c r="J92" s="787">
        <f t="shared" si="6"/>
        <v>1181074</v>
      </c>
      <c r="K92" s="769">
        <f>H92/I92*100-100</f>
        <v>176.92720223864052</v>
      </c>
      <c r="L92" s="632"/>
      <c r="M92" s="632"/>
      <c r="N92" s="632"/>
      <c r="O92" s="632"/>
      <c r="P92" s="632"/>
      <c r="Q92" s="632"/>
      <c r="R92" s="632"/>
      <c r="S92" s="632"/>
    </row>
    <row r="93" spans="1:19">
      <c r="A93" s="650">
        <v>90</v>
      </c>
      <c r="B93" s="651"/>
      <c r="C93" s="664" t="s">
        <v>176</v>
      </c>
      <c r="D93" s="784" t="s">
        <v>1297</v>
      </c>
      <c r="E93" s="782">
        <f t="shared" si="7"/>
        <v>2024</v>
      </c>
      <c r="F93" s="778">
        <f t="shared" si="8"/>
        <v>45657</v>
      </c>
      <c r="G93" s="785">
        <v>0</v>
      </c>
      <c r="H93" s="786">
        <f t="shared" si="9"/>
        <v>0</v>
      </c>
      <c r="I93" s="787">
        <v>0</v>
      </c>
      <c r="J93" s="787">
        <f t="shared" si="6"/>
        <v>0</v>
      </c>
      <c r="K93" s="769"/>
      <c r="L93" s="632"/>
      <c r="M93" s="632"/>
      <c r="N93" s="632"/>
      <c r="O93" s="632"/>
      <c r="P93" s="632"/>
      <c r="Q93" s="632"/>
      <c r="R93" s="632"/>
      <c r="S93" s="632"/>
    </row>
    <row r="94" spans="1:19">
      <c r="A94" s="650">
        <v>91</v>
      </c>
      <c r="B94" s="651"/>
      <c r="C94" s="662" t="s">
        <v>11856</v>
      </c>
      <c r="D94" s="783" t="s">
        <v>11857</v>
      </c>
      <c r="E94" s="782">
        <f t="shared" si="7"/>
        <v>2024</v>
      </c>
      <c r="F94" s="778">
        <f t="shared" si="8"/>
        <v>45657</v>
      </c>
      <c r="G94" s="785">
        <v>79585</v>
      </c>
      <c r="H94" s="780">
        <f>SUM(H95:H101)</f>
        <v>79585</v>
      </c>
      <c r="I94" s="781">
        <v>32268</v>
      </c>
      <c r="J94" s="781">
        <f t="shared" si="6"/>
        <v>47317</v>
      </c>
      <c r="K94" s="769">
        <f>H94/I94*100-100</f>
        <v>146.63753563902318</v>
      </c>
      <c r="L94" s="632"/>
      <c r="M94" s="632"/>
      <c r="N94" s="632"/>
      <c r="O94" s="632"/>
      <c r="P94" s="632"/>
      <c r="Q94" s="632"/>
      <c r="R94" s="632"/>
      <c r="S94" s="632"/>
    </row>
    <row r="95" spans="1:19">
      <c r="A95" s="650">
        <v>92</v>
      </c>
      <c r="B95" s="651"/>
      <c r="C95" s="664" t="s">
        <v>177</v>
      </c>
      <c r="D95" s="784" t="s">
        <v>1302</v>
      </c>
      <c r="E95" s="782">
        <f t="shared" si="7"/>
        <v>2024</v>
      </c>
      <c r="F95" s="778">
        <f t="shared" si="8"/>
        <v>45657</v>
      </c>
      <c r="G95" s="785">
        <v>1079</v>
      </c>
      <c r="H95" s="786">
        <f t="shared" ref="H95:H101" si="10">+G95</f>
        <v>1079</v>
      </c>
      <c r="I95" s="787">
        <v>0</v>
      </c>
      <c r="J95" s="787">
        <f t="shared" si="6"/>
        <v>1079</v>
      </c>
      <c r="K95" s="769"/>
      <c r="L95" s="632"/>
      <c r="M95" s="632"/>
      <c r="N95" s="632"/>
      <c r="O95" s="632"/>
      <c r="P95" s="632"/>
      <c r="Q95" s="632"/>
      <c r="R95" s="632"/>
      <c r="S95" s="632"/>
    </row>
    <row r="96" spans="1:19">
      <c r="A96" s="650">
        <v>93</v>
      </c>
      <c r="B96" s="651"/>
      <c r="C96" s="664" t="s">
        <v>178</v>
      </c>
      <c r="D96" s="784" t="s">
        <v>1305</v>
      </c>
      <c r="E96" s="782">
        <f t="shared" si="7"/>
        <v>2024</v>
      </c>
      <c r="F96" s="778">
        <f t="shared" si="8"/>
        <v>45657</v>
      </c>
      <c r="G96" s="785">
        <v>529</v>
      </c>
      <c r="H96" s="786">
        <f t="shared" si="10"/>
        <v>529</v>
      </c>
      <c r="I96" s="787">
        <v>2197</v>
      </c>
      <c r="J96" s="787">
        <f t="shared" si="6"/>
        <v>-1668</v>
      </c>
      <c r="K96" s="769">
        <f>H96/I96*100-100</f>
        <v>-75.921711424670008</v>
      </c>
      <c r="L96" s="632"/>
      <c r="M96" s="632"/>
      <c r="N96" s="632"/>
      <c r="O96" s="632"/>
      <c r="P96" s="632"/>
      <c r="Q96" s="632"/>
      <c r="R96" s="632"/>
      <c r="S96" s="632"/>
    </row>
    <row r="97" spans="1:19">
      <c r="A97" s="650">
        <v>94</v>
      </c>
      <c r="B97" s="651"/>
      <c r="C97" s="664" t="s">
        <v>179</v>
      </c>
      <c r="D97" s="784" t="s">
        <v>1310</v>
      </c>
      <c r="E97" s="782">
        <f t="shared" si="7"/>
        <v>2024</v>
      </c>
      <c r="F97" s="778">
        <f t="shared" si="8"/>
        <v>45657</v>
      </c>
      <c r="G97" s="779">
        <v>0</v>
      </c>
      <c r="H97" s="786">
        <f t="shared" si="10"/>
        <v>0</v>
      </c>
      <c r="I97" s="787">
        <v>0</v>
      </c>
      <c r="J97" s="787">
        <f t="shared" si="6"/>
        <v>0</v>
      </c>
      <c r="K97" s="769"/>
      <c r="L97" s="632"/>
      <c r="M97" s="632"/>
      <c r="N97" s="632"/>
      <c r="O97" s="632"/>
      <c r="P97" s="632"/>
      <c r="Q97" s="632"/>
      <c r="R97" s="632"/>
      <c r="S97" s="632"/>
    </row>
    <row r="98" spans="1:19">
      <c r="A98" s="650">
        <v>95</v>
      </c>
      <c r="B98" s="651"/>
      <c r="C98" s="664" t="s">
        <v>180</v>
      </c>
      <c r="D98" s="784" t="s">
        <v>1315</v>
      </c>
      <c r="E98" s="782">
        <f t="shared" si="7"/>
        <v>2024</v>
      </c>
      <c r="F98" s="778">
        <f t="shared" si="8"/>
        <v>45657</v>
      </c>
      <c r="G98" s="779">
        <v>77977</v>
      </c>
      <c r="H98" s="786">
        <f t="shared" si="10"/>
        <v>77977</v>
      </c>
      <c r="I98" s="787">
        <v>30071</v>
      </c>
      <c r="J98" s="787">
        <f t="shared" si="6"/>
        <v>47906</v>
      </c>
      <c r="K98" s="769">
        <f>H98/I98*100-100</f>
        <v>159.30963386651592</v>
      </c>
      <c r="L98" s="632"/>
      <c r="M98" s="632"/>
      <c r="N98" s="632"/>
      <c r="O98" s="632"/>
      <c r="P98" s="632"/>
      <c r="Q98" s="632"/>
      <c r="R98" s="632"/>
      <c r="S98" s="632"/>
    </row>
    <row r="99" spans="1:19">
      <c r="A99" s="650">
        <v>96</v>
      </c>
      <c r="B99" s="651"/>
      <c r="C99" s="664" t="s">
        <v>181</v>
      </c>
      <c r="D99" s="784" t="s">
        <v>1320</v>
      </c>
      <c r="E99" s="782">
        <f t="shared" si="7"/>
        <v>2024</v>
      </c>
      <c r="F99" s="778">
        <f t="shared" si="8"/>
        <v>45657</v>
      </c>
      <c r="G99" s="785">
        <v>0</v>
      </c>
      <c r="H99" s="786">
        <f t="shared" si="10"/>
        <v>0</v>
      </c>
      <c r="I99" s="787">
        <v>0</v>
      </c>
      <c r="J99" s="787">
        <f t="shared" si="6"/>
        <v>0</v>
      </c>
      <c r="K99" s="769"/>
      <c r="L99" s="632"/>
      <c r="M99" s="632"/>
      <c r="N99" s="632"/>
      <c r="O99" s="632"/>
      <c r="P99" s="632"/>
      <c r="Q99" s="632"/>
      <c r="R99" s="632"/>
      <c r="S99" s="632"/>
    </row>
    <row r="100" spans="1:19">
      <c r="A100" s="650">
        <v>97</v>
      </c>
      <c r="B100" s="651"/>
      <c r="C100" s="664" t="s">
        <v>182</v>
      </c>
      <c r="D100" s="784" t="s">
        <v>1326</v>
      </c>
      <c r="E100" s="782">
        <f t="shared" si="7"/>
        <v>2024</v>
      </c>
      <c r="F100" s="778">
        <f t="shared" si="8"/>
        <v>45657</v>
      </c>
      <c r="G100" s="785">
        <v>0</v>
      </c>
      <c r="H100" s="786">
        <f t="shared" si="10"/>
        <v>0</v>
      </c>
      <c r="I100" s="787">
        <v>0</v>
      </c>
      <c r="J100" s="787">
        <f t="shared" si="6"/>
        <v>0</v>
      </c>
      <c r="K100" s="769"/>
      <c r="L100" s="632"/>
      <c r="M100" s="632"/>
      <c r="N100" s="632"/>
      <c r="O100" s="632"/>
      <c r="P100" s="632"/>
      <c r="Q100" s="632"/>
      <c r="R100" s="632"/>
      <c r="S100" s="632"/>
    </row>
    <row r="101" spans="1:19">
      <c r="A101" s="650">
        <v>98</v>
      </c>
      <c r="B101" s="651"/>
      <c r="C101" s="664" t="s">
        <v>183</v>
      </c>
      <c r="D101" s="784" t="s">
        <v>1334</v>
      </c>
      <c r="E101" s="782">
        <f t="shared" si="7"/>
        <v>2024</v>
      </c>
      <c r="F101" s="778">
        <f t="shared" si="8"/>
        <v>45657</v>
      </c>
      <c r="G101" s="785">
        <v>0</v>
      </c>
      <c r="H101" s="786">
        <f t="shared" si="10"/>
        <v>0</v>
      </c>
      <c r="I101" s="787">
        <v>0</v>
      </c>
      <c r="J101" s="787">
        <f t="shared" si="6"/>
        <v>0</v>
      </c>
      <c r="K101" s="769"/>
      <c r="L101" s="632"/>
      <c r="M101" s="632"/>
      <c r="N101" s="632"/>
      <c r="O101" s="632"/>
      <c r="P101" s="632"/>
      <c r="Q101" s="632"/>
      <c r="R101" s="632"/>
      <c r="S101" s="632"/>
    </row>
    <row r="102" spans="1:19">
      <c r="A102" s="650">
        <v>99</v>
      </c>
      <c r="B102" s="651"/>
      <c r="C102" s="652" t="s">
        <v>11858</v>
      </c>
      <c r="D102" s="776" t="s">
        <v>11859</v>
      </c>
      <c r="E102" s="782">
        <f t="shared" si="7"/>
        <v>2024</v>
      </c>
      <c r="F102" s="778">
        <f t="shared" si="8"/>
        <v>45657</v>
      </c>
      <c r="G102" s="785">
        <v>169536875</v>
      </c>
      <c r="H102" s="780">
        <f>+H103+H119+H140+H141+H150++H154+H155</f>
        <v>169536875</v>
      </c>
      <c r="I102" s="781">
        <v>174976423</v>
      </c>
      <c r="J102" s="781">
        <f t="shared" si="6"/>
        <v>-5439548</v>
      </c>
      <c r="K102" s="769">
        <f>H102/I102*100-100</f>
        <v>-3.1087319689921884</v>
      </c>
      <c r="L102" s="632"/>
      <c r="M102" s="632"/>
      <c r="N102" s="632"/>
      <c r="O102" s="632"/>
      <c r="P102" s="632"/>
      <c r="Q102" s="632"/>
      <c r="R102" s="632"/>
      <c r="S102" s="632"/>
    </row>
    <row r="103" spans="1:19">
      <c r="A103" s="650">
        <v>100</v>
      </c>
      <c r="B103" s="651"/>
      <c r="C103" s="662" t="s">
        <v>1335</v>
      </c>
      <c r="D103" s="783" t="s">
        <v>11860</v>
      </c>
      <c r="E103" s="782">
        <f t="shared" si="7"/>
        <v>2024</v>
      </c>
      <c r="F103" s="778">
        <f t="shared" si="8"/>
        <v>45657</v>
      </c>
      <c r="G103" s="785">
        <v>3350362</v>
      </c>
      <c r="H103" s="780">
        <f>SUM(H104:H113,H118)</f>
        <v>3350362</v>
      </c>
      <c r="I103" s="781">
        <v>2043056</v>
      </c>
      <c r="J103" s="781">
        <f t="shared" si="6"/>
        <v>1307306</v>
      </c>
      <c r="K103" s="769">
        <f>H103/I103*100-100</f>
        <v>63.987771260308079</v>
      </c>
      <c r="L103" s="632"/>
      <c r="M103" s="632"/>
      <c r="N103" s="632"/>
      <c r="O103" s="632"/>
      <c r="P103" s="632"/>
      <c r="Q103" s="632"/>
      <c r="R103" s="632"/>
      <c r="S103" s="632"/>
    </row>
    <row r="104" spans="1:19">
      <c r="A104" s="650">
        <v>101</v>
      </c>
      <c r="B104" s="672" t="s">
        <v>1340</v>
      </c>
      <c r="C104" s="673" t="s">
        <v>1341</v>
      </c>
      <c r="D104" s="791" t="s">
        <v>1339</v>
      </c>
      <c r="E104" s="782">
        <f t="shared" si="7"/>
        <v>2024</v>
      </c>
      <c r="F104" s="778">
        <f t="shared" si="8"/>
        <v>45657</v>
      </c>
      <c r="G104" s="785">
        <v>0</v>
      </c>
      <c r="H104" s="786">
        <f t="shared" ref="H104:H112" si="11">+G104</f>
        <v>0</v>
      </c>
      <c r="I104" s="787">
        <v>0</v>
      </c>
      <c r="J104" s="787">
        <f t="shared" si="6"/>
        <v>0</v>
      </c>
      <c r="K104" s="769"/>
      <c r="L104" s="632"/>
      <c r="M104" s="632"/>
      <c r="N104" s="632"/>
      <c r="O104" s="632"/>
      <c r="P104" s="632"/>
      <c r="Q104" s="632"/>
      <c r="R104" s="632"/>
      <c r="S104" s="632"/>
    </row>
    <row r="105" spans="1:19">
      <c r="A105" s="650">
        <v>102</v>
      </c>
      <c r="B105" s="672" t="s">
        <v>1340</v>
      </c>
      <c r="C105" s="673" t="s">
        <v>184</v>
      </c>
      <c r="D105" s="792" t="s">
        <v>1345</v>
      </c>
      <c r="E105" s="782">
        <f t="shared" si="7"/>
        <v>2024</v>
      </c>
      <c r="F105" s="778">
        <f t="shared" si="8"/>
        <v>45657</v>
      </c>
      <c r="G105" s="785">
        <v>0</v>
      </c>
      <c r="H105" s="786">
        <f t="shared" si="11"/>
        <v>0</v>
      </c>
      <c r="I105" s="787">
        <v>0</v>
      </c>
      <c r="J105" s="787">
        <f t="shared" si="6"/>
        <v>0</v>
      </c>
      <c r="K105" s="769"/>
      <c r="L105" s="632"/>
      <c r="M105" s="632"/>
      <c r="N105" s="632"/>
      <c r="O105" s="632"/>
      <c r="P105" s="632"/>
      <c r="Q105" s="632"/>
      <c r="R105" s="632"/>
      <c r="S105" s="632"/>
    </row>
    <row r="106" spans="1:19">
      <c r="A106" s="650">
        <v>103</v>
      </c>
      <c r="B106" s="672" t="s">
        <v>1349</v>
      </c>
      <c r="C106" s="673" t="s">
        <v>185</v>
      </c>
      <c r="D106" s="792" t="s">
        <v>1350</v>
      </c>
      <c r="E106" s="782">
        <f t="shared" si="7"/>
        <v>2024</v>
      </c>
      <c r="F106" s="778">
        <f t="shared" si="8"/>
        <v>45657</v>
      </c>
      <c r="G106" s="785">
        <v>0</v>
      </c>
      <c r="H106" s="786">
        <f t="shared" si="11"/>
        <v>0</v>
      </c>
      <c r="I106" s="787">
        <v>0</v>
      </c>
      <c r="J106" s="787">
        <f t="shared" si="6"/>
        <v>0</v>
      </c>
      <c r="K106" s="769"/>
      <c r="L106" s="632"/>
      <c r="M106" s="632"/>
      <c r="N106" s="632"/>
      <c r="O106" s="632"/>
      <c r="P106" s="632"/>
      <c r="Q106" s="632"/>
      <c r="R106" s="632"/>
      <c r="S106" s="632"/>
    </row>
    <row r="107" spans="1:19">
      <c r="A107" s="650">
        <v>104</v>
      </c>
      <c r="B107" s="676"/>
      <c r="C107" s="673" t="s">
        <v>186</v>
      </c>
      <c r="D107" s="792" t="s">
        <v>1354</v>
      </c>
      <c r="E107" s="782">
        <f t="shared" si="7"/>
        <v>2024</v>
      </c>
      <c r="F107" s="778">
        <f t="shared" si="8"/>
        <v>45657</v>
      </c>
      <c r="G107" s="785">
        <v>0</v>
      </c>
      <c r="H107" s="786">
        <f t="shared" si="11"/>
        <v>0</v>
      </c>
      <c r="I107" s="787">
        <v>0</v>
      </c>
      <c r="J107" s="787">
        <f t="shared" si="6"/>
        <v>0</v>
      </c>
      <c r="K107" s="769"/>
      <c r="L107" s="632"/>
      <c r="M107" s="632"/>
      <c r="N107" s="632"/>
      <c r="O107" s="632"/>
      <c r="P107" s="632"/>
      <c r="Q107" s="632"/>
      <c r="R107" s="632"/>
      <c r="S107" s="632"/>
    </row>
    <row r="108" spans="1:19">
      <c r="A108" s="650">
        <v>105</v>
      </c>
      <c r="B108" s="672" t="s">
        <v>1340</v>
      </c>
      <c r="C108" s="673" t="s">
        <v>187</v>
      </c>
      <c r="D108" s="792" t="s">
        <v>1359</v>
      </c>
      <c r="E108" s="782">
        <f t="shared" si="7"/>
        <v>2024</v>
      </c>
      <c r="F108" s="778">
        <f t="shared" si="8"/>
        <v>45657</v>
      </c>
      <c r="G108" s="785">
        <v>0</v>
      </c>
      <c r="H108" s="786">
        <f t="shared" si="11"/>
        <v>0</v>
      </c>
      <c r="I108" s="787">
        <v>0</v>
      </c>
      <c r="J108" s="787">
        <f t="shared" si="6"/>
        <v>0</v>
      </c>
      <c r="K108" s="769"/>
      <c r="L108" s="632"/>
      <c r="M108" s="632"/>
      <c r="N108" s="632"/>
      <c r="O108" s="632"/>
      <c r="P108" s="632"/>
      <c r="Q108" s="632"/>
      <c r="R108" s="632"/>
      <c r="S108" s="632"/>
    </row>
    <row r="109" spans="1:19">
      <c r="A109" s="650">
        <v>106</v>
      </c>
      <c r="B109" s="672" t="s">
        <v>1340</v>
      </c>
      <c r="C109" s="673" t="s">
        <v>188</v>
      </c>
      <c r="D109" s="792" t="s">
        <v>1363</v>
      </c>
      <c r="E109" s="782">
        <f t="shared" si="7"/>
        <v>2024</v>
      </c>
      <c r="F109" s="778">
        <f t="shared" si="8"/>
        <v>45657</v>
      </c>
      <c r="G109" s="785">
        <v>0</v>
      </c>
      <c r="H109" s="786">
        <f t="shared" si="11"/>
        <v>0</v>
      </c>
      <c r="I109" s="787">
        <v>0</v>
      </c>
      <c r="J109" s="787">
        <f t="shared" si="6"/>
        <v>0</v>
      </c>
      <c r="K109" s="769"/>
      <c r="L109" s="632"/>
      <c r="M109" s="632"/>
      <c r="N109" s="632"/>
      <c r="O109" s="632"/>
      <c r="P109" s="632"/>
      <c r="Q109" s="632"/>
      <c r="R109" s="632"/>
      <c r="S109" s="632"/>
    </row>
    <row r="110" spans="1:19">
      <c r="A110" s="650">
        <v>107</v>
      </c>
      <c r="B110" s="672" t="s">
        <v>1340</v>
      </c>
      <c r="C110" s="673" t="s">
        <v>189</v>
      </c>
      <c r="D110" s="792" t="s">
        <v>1367</v>
      </c>
      <c r="E110" s="782">
        <f t="shared" si="7"/>
        <v>2024</v>
      </c>
      <c r="F110" s="778">
        <f t="shared" si="8"/>
        <v>45657</v>
      </c>
      <c r="G110" s="785">
        <v>0</v>
      </c>
      <c r="H110" s="786">
        <f t="shared" si="11"/>
        <v>0</v>
      </c>
      <c r="I110" s="787">
        <v>0</v>
      </c>
      <c r="J110" s="787">
        <f t="shared" si="6"/>
        <v>0</v>
      </c>
      <c r="K110" s="769"/>
      <c r="L110" s="632"/>
      <c r="M110" s="632"/>
      <c r="N110" s="632"/>
      <c r="O110" s="632"/>
      <c r="P110" s="632"/>
      <c r="Q110" s="632"/>
      <c r="R110" s="632"/>
      <c r="S110" s="632"/>
    </row>
    <row r="111" spans="1:19">
      <c r="A111" s="650">
        <v>108</v>
      </c>
      <c r="B111" s="672" t="s">
        <v>1340</v>
      </c>
      <c r="C111" s="673" t="s">
        <v>1373</v>
      </c>
      <c r="D111" s="792" t="s">
        <v>1374</v>
      </c>
      <c r="E111" s="782">
        <f t="shared" si="7"/>
        <v>2024</v>
      </c>
      <c r="F111" s="778">
        <f t="shared" si="8"/>
        <v>45657</v>
      </c>
      <c r="G111" s="785">
        <v>0</v>
      </c>
      <c r="H111" s="786">
        <f t="shared" si="11"/>
        <v>0</v>
      </c>
      <c r="I111" s="787">
        <v>0</v>
      </c>
      <c r="J111" s="787">
        <f t="shared" si="6"/>
        <v>0</v>
      </c>
      <c r="K111" s="769"/>
      <c r="L111" s="632"/>
      <c r="M111" s="632"/>
      <c r="N111" s="632"/>
      <c r="O111" s="632"/>
      <c r="P111" s="632"/>
      <c r="Q111" s="632"/>
      <c r="R111" s="632"/>
      <c r="S111" s="632"/>
    </row>
    <row r="112" spans="1:19">
      <c r="A112" s="650">
        <v>109</v>
      </c>
      <c r="B112" s="672" t="s">
        <v>1340</v>
      </c>
      <c r="C112" s="673" t="s">
        <v>190</v>
      </c>
      <c r="D112" s="792" t="s">
        <v>1378</v>
      </c>
      <c r="E112" s="782">
        <f t="shared" si="7"/>
        <v>2024</v>
      </c>
      <c r="F112" s="778">
        <f t="shared" si="8"/>
        <v>45657</v>
      </c>
      <c r="G112" s="779">
        <v>1770138</v>
      </c>
      <c r="H112" s="786">
        <f t="shared" si="11"/>
        <v>1770138</v>
      </c>
      <c r="I112" s="787">
        <v>1770138</v>
      </c>
      <c r="J112" s="787">
        <f t="shared" si="6"/>
        <v>0</v>
      </c>
      <c r="K112" s="769">
        <f>H112/I112*100-100</f>
        <v>0</v>
      </c>
      <c r="L112" s="632"/>
      <c r="M112" s="632"/>
      <c r="N112" s="632"/>
      <c r="O112" s="632"/>
      <c r="P112" s="632"/>
      <c r="Q112" s="632"/>
      <c r="R112" s="632"/>
      <c r="S112" s="632"/>
    </row>
    <row r="113" spans="1:19">
      <c r="A113" s="650">
        <v>110</v>
      </c>
      <c r="B113" s="672"/>
      <c r="C113" s="673" t="s">
        <v>1393</v>
      </c>
      <c r="D113" s="792" t="s">
        <v>11861</v>
      </c>
      <c r="E113" s="782">
        <f t="shared" si="7"/>
        <v>2024</v>
      </c>
      <c r="F113" s="778">
        <f t="shared" si="8"/>
        <v>45657</v>
      </c>
      <c r="G113" s="785">
        <v>1574500</v>
      </c>
      <c r="H113" s="788">
        <f>+H114+H115+H116+H117</f>
        <v>1574500</v>
      </c>
      <c r="I113" s="789">
        <v>271000</v>
      </c>
      <c r="J113" s="789">
        <f t="shared" si="6"/>
        <v>1303500</v>
      </c>
      <c r="K113" s="769">
        <f>H113/I113*100-100</f>
        <v>480.99630996309963</v>
      </c>
      <c r="L113" s="632"/>
      <c r="M113" s="632"/>
      <c r="N113" s="632"/>
      <c r="O113" s="632"/>
      <c r="P113" s="632"/>
      <c r="Q113" s="632"/>
      <c r="R113" s="632"/>
      <c r="S113" s="632"/>
    </row>
    <row r="114" spans="1:19">
      <c r="A114" s="650">
        <v>111</v>
      </c>
      <c r="B114" s="672" t="s">
        <v>1340</v>
      </c>
      <c r="C114" s="673" t="s">
        <v>191</v>
      </c>
      <c r="D114" s="792" t="s">
        <v>1397</v>
      </c>
      <c r="E114" s="782">
        <f t="shared" si="7"/>
        <v>2024</v>
      </c>
      <c r="F114" s="778">
        <f t="shared" si="8"/>
        <v>45657</v>
      </c>
      <c r="G114" s="785">
        <v>0</v>
      </c>
      <c r="H114" s="786">
        <f>+G114</f>
        <v>0</v>
      </c>
      <c r="I114" s="787">
        <v>0</v>
      </c>
      <c r="J114" s="787">
        <f t="shared" si="6"/>
        <v>0</v>
      </c>
      <c r="K114" s="769"/>
      <c r="L114" s="632"/>
      <c r="M114" s="632"/>
      <c r="N114" s="632"/>
      <c r="O114" s="632"/>
      <c r="P114" s="632"/>
      <c r="Q114" s="632"/>
      <c r="R114" s="632"/>
      <c r="S114" s="632"/>
    </row>
    <row r="115" spans="1:19">
      <c r="A115" s="650">
        <v>112</v>
      </c>
      <c r="B115" s="672" t="s">
        <v>1340</v>
      </c>
      <c r="C115" s="673" t="s">
        <v>192</v>
      </c>
      <c r="D115" s="792" t="s">
        <v>1401</v>
      </c>
      <c r="E115" s="782">
        <f t="shared" si="7"/>
        <v>2024</v>
      </c>
      <c r="F115" s="778">
        <f t="shared" si="8"/>
        <v>45657</v>
      </c>
      <c r="G115" s="785">
        <v>1574500</v>
      </c>
      <c r="H115" s="786">
        <f>+G115</f>
        <v>1574500</v>
      </c>
      <c r="I115" s="787">
        <v>0</v>
      </c>
      <c r="J115" s="787">
        <f t="shared" si="6"/>
        <v>1574500</v>
      </c>
      <c r="K115" s="769"/>
      <c r="L115" s="632"/>
      <c r="M115" s="632"/>
      <c r="N115" s="632"/>
      <c r="O115" s="632"/>
      <c r="P115" s="632"/>
      <c r="Q115" s="632"/>
      <c r="R115" s="632"/>
      <c r="S115" s="632"/>
    </row>
    <row r="116" spans="1:19">
      <c r="A116" s="650">
        <v>113</v>
      </c>
      <c r="B116" s="672" t="s">
        <v>1340</v>
      </c>
      <c r="C116" s="673" t="s">
        <v>193</v>
      </c>
      <c r="D116" s="792" t="s">
        <v>11862</v>
      </c>
      <c r="E116" s="782">
        <f t="shared" si="7"/>
        <v>2024</v>
      </c>
      <c r="F116" s="778">
        <f t="shared" si="8"/>
        <v>45657</v>
      </c>
      <c r="G116" s="779">
        <v>0</v>
      </c>
      <c r="H116" s="786">
        <f>+G116</f>
        <v>0</v>
      </c>
      <c r="I116" s="787">
        <v>0</v>
      </c>
      <c r="J116" s="787">
        <f t="shared" si="6"/>
        <v>0</v>
      </c>
      <c r="K116" s="769"/>
      <c r="L116" s="632"/>
      <c r="M116" s="632"/>
      <c r="N116" s="632"/>
      <c r="O116" s="632"/>
      <c r="P116" s="632"/>
      <c r="Q116" s="632"/>
      <c r="R116" s="632"/>
      <c r="S116" s="632"/>
    </row>
    <row r="117" spans="1:19">
      <c r="A117" s="650">
        <v>114</v>
      </c>
      <c r="B117" s="672" t="s">
        <v>1340</v>
      </c>
      <c r="C117" s="673" t="s">
        <v>194</v>
      </c>
      <c r="D117" s="792" t="s">
        <v>1410</v>
      </c>
      <c r="E117" s="782">
        <f t="shared" si="7"/>
        <v>2024</v>
      </c>
      <c r="F117" s="778">
        <f t="shared" si="8"/>
        <v>45657</v>
      </c>
      <c r="G117" s="785">
        <v>0</v>
      </c>
      <c r="H117" s="786">
        <f>+G117</f>
        <v>0</v>
      </c>
      <c r="I117" s="787">
        <v>271000</v>
      </c>
      <c r="J117" s="787">
        <f t="shared" si="6"/>
        <v>-271000</v>
      </c>
      <c r="K117" s="769">
        <f>H117/I117*100-100</f>
        <v>-100</v>
      </c>
      <c r="L117" s="632"/>
      <c r="M117" s="632"/>
      <c r="N117" s="632"/>
      <c r="O117" s="632"/>
      <c r="P117" s="632"/>
      <c r="Q117" s="632"/>
      <c r="R117" s="632"/>
      <c r="S117" s="632"/>
    </row>
    <row r="118" spans="1:19">
      <c r="A118" s="650">
        <v>115</v>
      </c>
      <c r="B118" s="672"/>
      <c r="C118" s="673" t="s">
        <v>195</v>
      </c>
      <c r="D118" s="792" t="s">
        <v>1413</v>
      </c>
      <c r="E118" s="782">
        <f t="shared" si="7"/>
        <v>2024</v>
      </c>
      <c r="F118" s="778">
        <f t="shared" si="8"/>
        <v>45657</v>
      </c>
      <c r="G118" s="785">
        <v>5724</v>
      </c>
      <c r="H118" s="786">
        <f>+G118</f>
        <v>5724</v>
      </c>
      <c r="I118" s="787">
        <v>1918</v>
      </c>
      <c r="J118" s="787">
        <f t="shared" si="6"/>
        <v>3806</v>
      </c>
      <c r="K118" s="769">
        <f>H118/I118*100-100</f>
        <v>198.43587069864441</v>
      </c>
      <c r="L118" s="632"/>
      <c r="M118" s="632"/>
      <c r="N118" s="632"/>
      <c r="O118" s="632"/>
      <c r="P118" s="632"/>
      <c r="Q118" s="632"/>
      <c r="R118" s="632"/>
      <c r="S118" s="632"/>
    </row>
    <row r="119" spans="1:19">
      <c r="A119" s="650">
        <v>116</v>
      </c>
      <c r="B119" s="672"/>
      <c r="C119" s="677" t="s">
        <v>11863</v>
      </c>
      <c r="D119" s="793" t="s">
        <v>11864</v>
      </c>
      <c r="E119" s="782">
        <f t="shared" si="7"/>
        <v>2024</v>
      </c>
      <c r="F119" s="778">
        <f t="shared" si="8"/>
        <v>45657</v>
      </c>
      <c r="G119" s="785">
        <v>121001651</v>
      </c>
      <c r="H119" s="788">
        <f>+H120+H131+H138+H139</f>
        <v>121001651</v>
      </c>
      <c r="I119" s="789">
        <v>129422912</v>
      </c>
      <c r="J119" s="789">
        <f t="shared" si="6"/>
        <v>-8421261</v>
      </c>
      <c r="K119" s="769">
        <f>H119/I119*100-100</f>
        <v>-6.5067775634657323</v>
      </c>
      <c r="L119" s="632"/>
      <c r="M119" s="632"/>
      <c r="N119" s="632"/>
      <c r="O119" s="632"/>
      <c r="P119" s="632"/>
      <c r="Q119" s="632"/>
      <c r="R119" s="632"/>
      <c r="S119" s="632"/>
    </row>
    <row r="120" spans="1:19">
      <c r="A120" s="650">
        <v>117</v>
      </c>
      <c r="B120" s="672"/>
      <c r="C120" s="673" t="s">
        <v>1418</v>
      </c>
      <c r="D120" s="792" t="s">
        <v>11865</v>
      </c>
      <c r="E120" s="782">
        <f t="shared" si="7"/>
        <v>2024</v>
      </c>
      <c r="F120" s="778">
        <f t="shared" si="8"/>
        <v>45657</v>
      </c>
      <c r="G120" s="779">
        <v>81833320</v>
      </c>
      <c r="H120" s="780">
        <f>SUM(H121:H130)</f>
        <v>81833320</v>
      </c>
      <c r="I120" s="781">
        <v>97096435</v>
      </c>
      <c r="J120" s="781">
        <f t="shared" si="6"/>
        <v>-15263115</v>
      </c>
      <c r="K120" s="769">
        <f>H120/I120*100-100</f>
        <v>-15.719542123250974</v>
      </c>
      <c r="L120" s="632"/>
      <c r="M120" s="632"/>
      <c r="N120" s="632"/>
      <c r="O120" s="632"/>
      <c r="P120" s="632"/>
      <c r="Q120" s="632"/>
      <c r="R120" s="632"/>
      <c r="S120" s="632"/>
    </row>
    <row r="121" spans="1:19">
      <c r="A121" s="650">
        <v>118</v>
      </c>
      <c r="B121" s="672" t="s">
        <v>1422</v>
      </c>
      <c r="C121" s="673" t="s">
        <v>196</v>
      </c>
      <c r="D121" s="792" t="s">
        <v>1423</v>
      </c>
      <c r="E121" s="782">
        <f t="shared" si="7"/>
        <v>2024</v>
      </c>
      <c r="F121" s="778">
        <f t="shared" si="8"/>
        <v>45657</v>
      </c>
      <c r="G121" s="779">
        <v>60780291</v>
      </c>
      <c r="H121" s="794">
        <f t="shared" ref="H121:H130" si="12">+G121</f>
        <v>60780291</v>
      </c>
      <c r="I121" s="787">
        <v>76661430</v>
      </c>
      <c r="J121" s="787">
        <f t="shared" si="6"/>
        <v>-15881139</v>
      </c>
      <c r="K121" s="769">
        <f>H121/I121*100-100</f>
        <v>-20.71594411948746</v>
      </c>
      <c r="L121" s="632"/>
      <c r="M121" s="632"/>
      <c r="N121" s="632"/>
      <c r="O121" s="632"/>
      <c r="P121" s="632"/>
      <c r="Q121" s="632"/>
      <c r="R121" s="632"/>
      <c r="S121" s="632"/>
    </row>
    <row r="122" spans="1:19">
      <c r="A122" s="650">
        <v>119</v>
      </c>
      <c r="B122" s="672" t="s">
        <v>1519</v>
      </c>
      <c r="C122" s="673" t="s">
        <v>197</v>
      </c>
      <c r="D122" s="792" t="s">
        <v>11866</v>
      </c>
      <c r="E122" s="782">
        <f t="shared" si="7"/>
        <v>2024</v>
      </c>
      <c r="F122" s="778">
        <f t="shared" si="8"/>
        <v>45657</v>
      </c>
      <c r="G122" s="779">
        <v>0</v>
      </c>
      <c r="H122" s="794">
        <f t="shared" si="12"/>
        <v>0</v>
      </c>
      <c r="I122" s="787">
        <v>0</v>
      </c>
      <c r="J122" s="787">
        <f t="shared" si="6"/>
        <v>0</v>
      </c>
      <c r="K122" s="769"/>
      <c r="L122" s="632"/>
      <c r="M122" s="632"/>
      <c r="N122" s="632"/>
      <c r="O122" s="632"/>
      <c r="P122" s="632"/>
      <c r="Q122" s="632"/>
      <c r="R122" s="632"/>
      <c r="S122" s="632"/>
    </row>
    <row r="123" spans="1:19">
      <c r="A123" s="650">
        <v>120</v>
      </c>
      <c r="B123" s="672" t="s">
        <v>1422</v>
      </c>
      <c r="C123" s="673" t="s">
        <v>198</v>
      </c>
      <c r="D123" s="792" t="s">
        <v>11867</v>
      </c>
      <c r="E123" s="782">
        <f t="shared" si="7"/>
        <v>2024</v>
      </c>
      <c r="F123" s="778">
        <f t="shared" si="8"/>
        <v>45657</v>
      </c>
      <c r="G123" s="779">
        <v>0</v>
      </c>
      <c r="H123" s="794">
        <f t="shared" si="12"/>
        <v>0</v>
      </c>
      <c r="I123" s="787">
        <v>0</v>
      </c>
      <c r="J123" s="787">
        <f t="shared" si="6"/>
        <v>0</v>
      </c>
      <c r="K123" s="769"/>
      <c r="L123" s="632"/>
      <c r="M123" s="632"/>
      <c r="N123" s="632"/>
      <c r="O123" s="632"/>
      <c r="P123" s="632"/>
      <c r="Q123" s="632"/>
      <c r="R123" s="632"/>
      <c r="S123" s="632"/>
    </row>
    <row r="124" spans="1:19">
      <c r="A124" s="650">
        <v>121</v>
      </c>
      <c r="B124" s="672" t="s">
        <v>1422</v>
      </c>
      <c r="C124" s="673" t="s">
        <v>199</v>
      </c>
      <c r="D124" s="792" t="s">
        <v>1526</v>
      </c>
      <c r="E124" s="782">
        <f t="shared" si="7"/>
        <v>2024</v>
      </c>
      <c r="F124" s="778">
        <f t="shared" si="8"/>
        <v>45657</v>
      </c>
      <c r="G124" s="779">
        <v>0</v>
      </c>
      <c r="H124" s="794">
        <f t="shared" si="12"/>
        <v>0</v>
      </c>
      <c r="I124" s="787">
        <v>0</v>
      </c>
      <c r="J124" s="787">
        <f t="shared" si="6"/>
        <v>0</v>
      </c>
      <c r="K124" s="769"/>
      <c r="L124" s="632"/>
      <c r="M124" s="632"/>
      <c r="N124" s="632"/>
      <c r="O124" s="632"/>
      <c r="P124" s="632"/>
      <c r="Q124" s="632"/>
      <c r="R124" s="632"/>
      <c r="S124" s="632"/>
    </row>
    <row r="125" spans="1:19">
      <c r="A125" s="650">
        <v>122</v>
      </c>
      <c r="B125" s="672" t="s">
        <v>1422</v>
      </c>
      <c r="C125" s="673" t="s">
        <v>200</v>
      </c>
      <c r="D125" s="792" t="s">
        <v>11868</v>
      </c>
      <c r="E125" s="782">
        <f t="shared" si="7"/>
        <v>2024</v>
      </c>
      <c r="F125" s="778">
        <f t="shared" si="8"/>
        <v>45657</v>
      </c>
      <c r="G125" s="785">
        <v>0</v>
      </c>
      <c r="H125" s="786">
        <f t="shared" si="12"/>
        <v>0</v>
      </c>
      <c r="I125" s="787">
        <v>0</v>
      </c>
      <c r="J125" s="787">
        <f t="shared" si="6"/>
        <v>0</v>
      </c>
      <c r="K125" s="769"/>
      <c r="L125" s="632"/>
      <c r="M125" s="632"/>
      <c r="N125" s="632"/>
      <c r="O125" s="632"/>
      <c r="P125" s="632"/>
      <c r="Q125" s="632"/>
      <c r="R125" s="632"/>
      <c r="S125" s="632"/>
    </row>
    <row r="126" spans="1:19">
      <c r="A126" s="650">
        <v>123</v>
      </c>
      <c r="B126" s="672" t="s">
        <v>1422</v>
      </c>
      <c r="C126" s="673" t="s">
        <v>201</v>
      </c>
      <c r="D126" s="792" t="s">
        <v>11869</v>
      </c>
      <c r="E126" s="782">
        <f t="shared" si="7"/>
        <v>2024</v>
      </c>
      <c r="F126" s="778">
        <f t="shared" si="8"/>
        <v>45657</v>
      </c>
      <c r="G126" s="785">
        <v>0</v>
      </c>
      <c r="H126" s="786">
        <f t="shared" si="12"/>
        <v>0</v>
      </c>
      <c r="I126" s="787">
        <v>0</v>
      </c>
      <c r="J126" s="787">
        <f t="shared" si="6"/>
        <v>0</v>
      </c>
      <c r="K126" s="769"/>
      <c r="L126" s="632"/>
      <c r="M126" s="632"/>
      <c r="N126" s="632"/>
      <c r="O126" s="632"/>
      <c r="P126" s="632"/>
      <c r="Q126" s="632"/>
      <c r="R126" s="632"/>
      <c r="S126" s="632"/>
    </row>
    <row r="127" spans="1:19">
      <c r="A127" s="650">
        <v>124</v>
      </c>
      <c r="B127" s="672" t="s">
        <v>1422</v>
      </c>
      <c r="C127" s="673" t="s">
        <v>202</v>
      </c>
      <c r="D127" s="792" t="s">
        <v>1536</v>
      </c>
      <c r="E127" s="782">
        <f t="shared" si="7"/>
        <v>2024</v>
      </c>
      <c r="F127" s="778">
        <f t="shared" si="8"/>
        <v>45657</v>
      </c>
      <c r="G127" s="785">
        <v>20454996</v>
      </c>
      <c r="H127" s="786">
        <f t="shared" si="12"/>
        <v>20454996</v>
      </c>
      <c r="I127" s="787">
        <v>19885020</v>
      </c>
      <c r="J127" s="787">
        <f t="shared" si="6"/>
        <v>569976</v>
      </c>
      <c r="K127" s="769">
        <f>H127/I127*100-100</f>
        <v>2.8663586961441325</v>
      </c>
      <c r="L127" s="632"/>
      <c r="M127" s="632"/>
      <c r="N127" s="632"/>
      <c r="O127" s="632"/>
      <c r="P127" s="632"/>
      <c r="Q127" s="632"/>
      <c r="R127" s="632"/>
      <c r="S127" s="632"/>
    </row>
    <row r="128" spans="1:19">
      <c r="A128" s="650">
        <v>125</v>
      </c>
      <c r="B128" s="672" t="s">
        <v>1422</v>
      </c>
      <c r="C128" s="673" t="s">
        <v>1549</v>
      </c>
      <c r="D128" s="792" t="s">
        <v>1550</v>
      </c>
      <c r="E128" s="782">
        <f t="shared" si="7"/>
        <v>2024</v>
      </c>
      <c r="F128" s="778">
        <f t="shared" si="8"/>
        <v>45657</v>
      </c>
      <c r="G128" s="785">
        <v>46636</v>
      </c>
      <c r="H128" s="786">
        <f t="shared" si="12"/>
        <v>46636</v>
      </c>
      <c r="I128" s="787">
        <v>241540</v>
      </c>
      <c r="J128" s="787">
        <f t="shared" si="6"/>
        <v>-194904</v>
      </c>
      <c r="K128" s="769">
        <f>H128/I128*100-100</f>
        <v>-80.692224890287321</v>
      </c>
      <c r="L128" s="632"/>
      <c r="M128" s="632"/>
      <c r="N128" s="632"/>
      <c r="O128" s="632"/>
      <c r="P128" s="632"/>
      <c r="Q128" s="632"/>
      <c r="R128" s="632"/>
      <c r="S128" s="632"/>
    </row>
    <row r="129" spans="1:19">
      <c r="A129" s="650">
        <v>126</v>
      </c>
      <c r="B129" s="672" t="s">
        <v>1422</v>
      </c>
      <c r="C129" s="673" t="s">
        <v>203</v>
      </c>
      <c r="D129" s="792" t="s">
        <v>1554</v>
      </c>
      <c r="E129" s="782">
        <f t="shared" si="7"/>
        <v>2024</v>
      </c>
      <c r="F129" s="778">
        <f t="shared" si="8"/>
        <v>45657</v>
      </c>
      <c r="G129" s="785">
        <v>551397</v>
      </c>
      <c r="H129" s="786">
        <f t="shared" si="12"/>
        <v>551397</v>
      </c>
      <c r="I129" s="787">
        <v>308445</v>
      </c>
      <c r="J129" s="787">
        <f t="shared" si="6"/>
        <v>242952</v>
      </c>
      <c r="K129" s="769">
        <f>H129/I129*100-100</f>
        <v>78.766716918737529</v>
      </c>
      <c r="L129" s="632"/>
      <c r="M129" s="632"/>
      <c r="N129" s="632"/>
      <c r="O129" s="632"/>
      <c r="P129" s="632"/>
      <c r="Q129" s="632"/>
      <c r="R129" s="632"/>
      <c r="S129" s="632"/>
    </row>
    <row r="130" spans="1:19">
      <c r="A130" s="650">
        <v>127</v>
      </c>
      <c r="B130" s="672" t="s">
        <v>1422</v>
      </c>
      <c r="C130" s="673" t="s">
        <v>1650</v>
      </c>
      <c r="D130" s="792" t="s">
        <v>1651</v>
      </c>
      <c r="E130" s="782">
        <f t="shared" si="7"/>
        <v>2024</v>
      </c>
      <c r="F130" s="778">
        <f t="shared" si="8"/>
        <v>45657</v>
      </c>
      <c r="G130" s="785">
        <v>0</v>
      </c>
      <c r="H130" s="786">
        <f t="shared" si="12"/>
        <v>0</v>
      </c>
      <c r="I130" s="787">
        <v>0</v>
      </c>
      <c r="J130" s="787">
        <f t="shared" si="6"/>
        <v>0</v>
      </c>
      <c r="K130" s="769"/>
      <c r="L130" s="632"/>
      <c r="M130" s="632"/>
      <c r="N130" s="632"/>
      <c r="O130" s="632"/>
      <c r="P130" s="632"/>
      <c r="Q130" s="632"/>
      <c r="R130" s="632"/>
      <c r="S130" s="632"/>
    </row>
    <row r="131" spans="1:19">
      <c r="A131" s="650">
        <v>128</v>
      </c>
      <c r="B131" s="680"/>
      <c r="C131" s="664" t="s">
        <v>1674</v>
      </c>
      <c r="D131" s="784" t="s">
        <v>1675</v>
      </c>
      <c r="E131" s="782">
        <f t="shared" si="7"/>
        <v>2024</v>
      </c>
      <c r="F131" s="778">
        <f t="shared" si="8"/>
        <v>45657</v>
      </c>
      <c r="G131" s="785">
        <v>39168331</v>
      </c>
      <c r="H131" s="788">
        <f>SUM(H132:H137)</f>
        <v>39168331</v>
      </c>
      <c r="I131" s="789">
        <v>32326477</v>
      </c>
      <c r="J131" s="789">
        <f t="shared" si="6"/>
        <v>6841854</v>
      </c>
      <c r="K131" s="769">
        <f>H131/I131*100-100</f>
        <v>21.164861237430841</v>
      </c>
      <c r="L131" s="632"/>
      <c r="M131" s="632"/>
      <c r="N131" s="632"/>
      <c r="O131" s="632"/>
      <c r="P131" s="632"/>
      <c r="Q131" s="632"/>
      <c r="R131" s="632"/>
      <c r="S131" s="632"/>
    </row>
    <row r="132" spans="1:19">
      <c r="A132" s="650">
        <v>129</v>
      </c>
      <c r="B132" s="651" t="s">
        <v>1422</v>
      </c>
      <c r="C132" s="664" t="s">
        <v>204</v>
      </c>
      <c r="D132" s="784" t="s">
        <v>11870</v>
      </c>
      <c r="E132" s="782">
        <f t="shared" si="7"/>
        <v>2024</v>
      </c>
      <c r="F132" s="778">
        <f t="shared" si="8"/>
        <v>45657</v>
      </c>
      <c r="G132" s="785">
        <v>39168331</v>
      </c>
      <c r="H132" s="786">
        <f t="shared" ref="H132:H140" si="13">+G132</f>
        <v>39168331</v>
      </c>
      <c r="I132" s="787">
        <v>32326477</v>
      </c>
      <c r="J132" s="787">
        <f t="shared" si="6"/>
        <v>6841854</v>
      </c>
      <c r="K132" s="769">
        <f>H132/I132*100-100</f>
        <v>21.164861237430841</v>
      </c>
      <c r="L132" s="632"/>
      <c r="M132" s="632"/>
      <c r="N132" s="632"/>
      <c r="O132" s="632"/>
      <c r="P132" s="632"/>
      <c r="Q132" s="632"/>
      <c r="R132" s="632"/>
      <c r="S132" s="632"/>
    </row>
    <row r="133" spans="1:19">
      <c r="A133" s="650">
        <v>130</v>
      </c>
      <c r="B133" s="651" t="s">
        <v>1422</v>
      </c>
      <c r="C133" s="664" t="s">
        <v>205</v>
      </c>
      <c r="D133" s="784" t="s">
        <v>11871</v>
      </c>
      <c r="E133" s="782">
        <f t="shared" si="7"/>
        <v>2024</v>
      </c>
      <c r="F133" s="778">
        <f t="shared" si="8"/>
        <v>45657</v>
      </c>
      <c r="G133" s="785">
        <v>0</v>
      </c>
      <c r="H133" s="786">
        <f t="shared" si="13"/>
        <v>0</v>
      </c>
      <c r="I133" s="787">
        <v>0</v>
      </c>
      <c r="J133" s="787">
        <f t="shared" ref="J133:J196" si="14">H133-I133</f>
        <v>0</v>
      </c>
      <c r="K133" s="769"/>
      <c r="L133" s="632"/>
      <c r="M133" s="632"/>
      <c r="N133" s="632"/>
      <c r="O133" s="632"/>
      <c r="P133" s="632"/>
      <c r="Q133" s="632"/>
      <c r="R133" s="632"/>
      <c r="S133" s="632"/>
    </row>
    <row r="134" spans="1:19">
      <c r="A134" s="650">
        <v>131</v>
      </c>
      <c r="B134" s="651" t="s">
        <v>1422</v>
      </c>
      <c r="C134" s="664" t="s">
        <v>206</v>
      </c>
      <c r="D134" s="784" t="s">
        <v>1752</v>
      </c>
      <c r="E134" s="782">
        <f t="shared" ref="E134:E197" si="15">E133</f>
        <v>2024</v>
      </c>
      <c r="F134" s="778">
        <f t="shared" ref="F134:F197" si="16">+F133</f>
        <v>45657</v>
      </c>
      <c r="G134" s="785">
        <v>0</v>
      </c>
      <c r="H134" s="786">
        <f t="shared" si="13"/>
        <v>0</v>
      </c>
      <c r="I134" s="787">
        <v>0</v>
      </c>
      <c r="J134" s="787">
        <f t="shared" si="14"/>
        <v>0</v>
      </c>
      <c r="K134" s="769"/>
      <c r="L134" s="632"/>
      <c r="M134" s="632"/>
      <c r="N134" s="632"/>
      <c r="O134" s="632"/>
      <c r="P134" s="632"/>
      <c r="Q134" s="632"/>
      <c r="R134" s="632"/>
      <c r="S134" s="632"/>
    </row>
    <row r="135" spans="1:19">
      <c r="A135" s="650">
        <v>132</v>
      </c>
      <c r="B135" s="672" t="s">
        <v>1422</v>
      </c>
      <c r="C135" s="673" t="s">
        <v>1755</v>
      </c>
      <c r="D135" s="792" t="s">
        <v>1756</v>
      </c>
      <c r="E135" s="782">
        <f t="shared" si="15"/>
        <v>2024</v>
      </c>
      <c r="F135" s="778">
        <f t="shared" si="16"/>
        <v>45657</v>
      </c>
      <c r="G135" s="785">
        <v>0</v>
      </c>
      <c r="H135" s="786">
        <f t="shared" si="13"/>
        <v>0</v>
      </c>
      <c r="I135" s="787">
        <v>0</v>
      </c>
      <c r="J135" s="787">
        <f t="shared" si="14"/>
        <v>0</v>
      </c>
      <c r="K135" s="769"/>
      <c r="L135" s="632"/>
      <c r="M135" s="632"/>
      <c r="N135" s="632"/>
      <c r="O135" s="632"/>
      <c r="P135" s="632"/>
      <c r="Q135" s="632"/>
      <c r="R135" s="632"/>
      <c r="S135" s="632"/>
    </row>
    <row r="136" spans="1:19">
      <c r="A136" s="650">
        <v>133</v>
      </c>
      <c r="B136" s="672" t="s">
        <v>1422</v>
      </c>
      <c r="C136" s="673" t="s">
        <v>207</v>
      </c>
      <c r="D136" s="792" t="s">
        <v>1760</v>
      </c>
      <c r="E136" s="782">
        <f t="shared" si="15"/>
        <v>2024</v>
      </c>
      <c r="F136" s="778">
        <f t="shared" si="16"/>
        <v>45657</v>
      </c>
      <c r="G136" s="785">
        <v>0</v>
      </c>
      <c r="H136" s="786">
        <f t="shared" si="13"/>
        <v>0</v>
      </c>
      <c r="I136" s="787">
        <v>0</v>
      </c>
      <c r="J136" s="787">
        <f t="shared" si="14"/>
        <v>0</v>
      </c>
      <c r="K136" s="769"/>
      <c r="L136" s="632"/>
      <c r="M136" s="632"/>
      <c r="N136" s="632"/>
      <c r="O136" s="632"/>
      <c r="P136" s="632"/>
      <c r="Q136" s="632"/>
      <c r="R136" s="632"/>
      <c r="S136" s="632"/>
    </row>
    <row r="137" spans="1:19">
      <c r="A137" s="650">
        <v>134</v>
      </c>
      <c r="B137" s="672" t="s">
        <v>1422</v>
      </c>
      <c r="C137" s="673" t="s">
        <v>208</v>
      </c>
      <c r="D137" s="792" t="s">
        <v>11872</v>
      </c>
      <c r="E137" s="782">
        <f t="shared" si="15"/>
        <v>2024</v>
      </c>
      <c r="F137" s="778">
        <f t="shared" si="16"/>
        <v>45657</v>
      </c>
      <c r="G137" s="785">
        <v>0</v>
      </c>
      <c r="H137" s="786">
        <f t="shared" si="13"/>
        <v>0</v>
      </c>
      <c r="I137" s="787">
        <v>0</v>
      </c>
      <c r="J137" s="787">
        <f t="shared" si="14"/>
        <v>0</v>
      </c>
      <c r="K137" s="769"/>
      <c r="L137" s="632"/>
      <c r="M137" s="632"/>
      <c r="N137" s="632"/>
      <c r="O137" s="632"/>
      <c r="P137" s="632"/>
      <c r="Q137" s="632"/>
      <c r="R137" s="632"/>
      <c r="S137" s="632"/>
    </row>
    <row r="138" spans="1:19">
      <c r="A138" s="650">
        <v>135</v>
      </c>
      <c r="B138" s="651"/>
      <c r="C138" s="664" t="s">
        <v>1766</v>
      </c>
      <c r="D138" s="784" t="s">
        <v>1767</v>
      </c>
      <c r="E138" s="782">
        <f t="shared" si="15"/>
        <v>2024</v>
      </c>
      <c r="F138" s="778">
        <f t="shared" si="16"/>
        <v>45657</v>
      </c>
      <c r="G138" s="785">
        <v>0</v>
      </c>
      <c r="H138" s="786">
        <f t="shared" si="13"/>
        <v>0</v>
      </c>
      <c r="I138" s="787">
        <v>0</v>
      </c>
      <c r="J138" s="787">
        <f t="shared" si="14"/>
        <v>0</v>
      </c>
      <c r="K138" s="769"/>
      <c r="L138" s="632"/>
      <c r="M138" s="632"/>
      <c r="N138" s="632"/>
      <c r="O138" s="632"/>
      <c r="P138" s="632"/>
      <c r="Q138" s="632"/>
      <c r="R138" s="632"/>
      <c r="S138" s="632"/>
    </row>
    <row r="139" spans="1:19">
      <c r="A139" s="650">
        <v>136</v>
      </c>
      <c r="B139" s="651" t="s">
        <v>1422</v>
      </c>
      <c r="C139" s="664" t="s">
        <v>1771</v>
      </c>
      <c r="D139" s="784" t="s">
        <v>1772</v>
      </c>
      <c r="E139" s="782">
        <f t="shared" si="15"/>
        <v>2024</v>
      </c>
      <c r="F139" s="778">
        <f t="shared" si="16"/>
        <v>45657</v>
      </c>
      <c r="G139" s="785">
        <v>0</v>
      </c>
      <c r="H139" s="786">
        <f t="shared" si="13"/>
        <v>0</v>
      </c>
      <c r="I139" s="787">
        <v>0</v>
      </c>
      <c r="J139" s="787">
        <f t="shared" si="14"/>
        <v>0</v>
      </c>
      <c r="K139" s="769"/>
      <c r="L139" s="632"/>
      <c r="M139" s="632"/>
      <c r="N139" s="632"/>
      <c r="O139" s="632"/>
      <c r="P139" s="632"/>
      <c r="Q139" s="632"/>
      <c r="R139" s="632"/>
      <c r="S139" s="632"/>
    </row>
    <row r="140" spans="1:19">
      <c r="A140" s="650">
        <v>137</v>
      </c>
      <c r="B140" s="651"/>
      <c r="C140" s="662" t="s">
        <v>209</v>
      </c>
      <c r="D140" s="783" t="s">
        <v>1778</v>
      </c>
      <c r="E140" s="782">
        <f t="shared" si="15"/>
        <v>2024</v>
      </c>
      <c r="F140" s="778">
        <f t="shared" si="16"/>
        <v>45657</v>
      </c>
      <c r="G140" s="785">
        <v>2102</v>
      </c>
      <c r="H140" s="786">
        <f t="shared" si="13"/>
        <v>2102</v>
      </c>
      <c r="I140" s="789">
        <v>0</v>
      </c>
      <c r="J140" s="789">
        <f t="shared" si="14"/>
        <v>2102</v>
      </c>
      <c r="K140" s="769"/>
      <c r="L140" s="632"/>
      <c r="M140" s="632"/>
      <c r="N140" s="632"/>
      <c r="O140" s="632"/>
      <c r="P140" s="632"/>
      <c r="Q140" s="632"/>
      <c r="R140" s="632"/>
      <c r="S140" s="632"/>
    </row>
    <row r="141" spans="1:19">
      <c r="A141" s="650">
        <v>138</v>
      </c>
      <c r="B141" s="681"/>
      <c r="C141" s="662" t="s">
        <v>11873</v>
      </c>
      <c r="D141" s="783" t="s">
        <v>11874</v>
      </c>
      <c r="E141" s="782">
        <f t="shared" si="15"/>
        <v>2024</v>
      </c>
      <c r="F141" s="778">
        <f t="shared" si="16"/>
        <v>45657</v>
      </c>
      <c r="G141" s="785">
        <v>9565772</v>
      </c>
      <c r="H141" s="788">
        <f>+H142+H146+H147+H148+H149</f>
        <v>9565772</v>
      </c>
      <c r="I141" s="789">
        <v>7051063</v>
      </c>
      <c r="J141" s="789">
        <f t="shared" si="14"/>
        <v>2514709</v>
      </c>
      <c r="K141" s="769">
        <f t="shared" ref="K141:K199" si="17">H141/I141*100-100</f>
        <v>35.664253744435399</v>
      </c>
      <c r="L141" s="632"/>
      <c r="M141" s="632"/>
      <c r="N141" s="632"/>
      <c r="O141" s="632"/>
      <c r="P141" s="632"/>
      <c r="Q141" s="632"/>
      <c r="R141" s="632"/>
      <c r="S141" s="632"/>
    </row>
    <row r="142" spans="1:19">
      <c r="A142" s="650">
        <v>139</v>
      </c>
      <c r="B142" s="651"/>
      <c r="C142" s="664" t="s">
        <v>1785</v>
      </c>
      <c r="D142" s="784" t="s">
        <v>1786</v>
      </c>
      <c r="E142" s="782">
        <f t="shared" si="15"/>
        <v>2024</v>
      </c>
      <c r="F142" s="778">
        <f t="shared" si="16"/>
        <v>45657</v>
      </c>
      <c r="G142" s="785">
        <v>3100392</v>
      </c>
      <c r="H142" s="788">
        <f>+H143+H144+H145</f>
        <v>3100392</v>
      </c>
      <c r="I142" s="795">
        <v>2934083</v>
      </c>
      <c r="J142" s="795">
        <f t="shared" si="14"/>
        <v>166309</v>
      </c>
      <c r="K142" s="769">
        <f t="shared" si="17"/>
        <v>5.6681763944646377</v>
      </c>
      <c r="L142" s="632"/>
      <c r="M142" s="632"/>
      <c r="N142" s="632"/>
      <c r="O142" s="632"/>
      <c r="P142" s="632"/>
      <c r="Q142" s="632"/>
      <c r="R142" s="632"/>
      <c r="S142" s="632"/>
    </row>
    <row r="143" spans="1:19">
      <c r="A143" s="650">
        <v>140</v>
      </c>
      <c r="B143" s="651" t="s">
        <v>1519</v>
      </c>
      <c r="C143" s="664" t="s">
        <v>223</v>
      </c>
      <c r="D143" s="784" t="s">
        <v>11875</v>
      </c>
      <c r="E143" s="782">
        <f t="shared" si="15"/>
        <v>2024</v>
      </c>
      <c r="F143" s="778">
        <f t="shared" si="16"/>
        <v>45657</v>
      </c>
      <c r="G143" s="785">
        <v>0</v>
      </c>
      <c r="H143" s="786">
        <f t="shared" ref="H143:H149" si="18">+G143</f>
        <v>0</v>
      </c>
      <c r="I143" s="787">
        <v>0</v>
      </c>
      <c r="J143" s="787">
        <f t="shared" si="14"/>
        <v>0</v>
      </c>
      <c r="K143" s="769"/>
      <c r="L143" s="632"/>
      <c r="M143" s="632"/>
      <c r="N143" s="632"/>
      <c r="O143" s="632"/>
      <c r="P143" s="632"/>
      <c r="Q143" s="632"/>
      <c r="R143" s="632"/>
      <c r="S143" s="632"/>
    </row>
    <row r="144" spans="1:19">
      <c r="A144" s="650">
        <v>141</v>
      </c>
      <c r="B144" s="682" t="s">
        <v>1519</v>
      </c>
      <c r="C144" s="673" t="s">
        <v>210</v>
      </c>
      <c r="D144" s="792" t="s">
        <v>1793</v>
      </c>
      <c r="E144" s="782">
        <f t="shared" si="15"/>
        <v>2024</v>
      </c>
      <c r="F144" s="778">
        <f t="shared" si="16"/>
        <v>45657</v>
      </c>
      <c r="G144" s="785">
        <v>0</v>
      </c>
      <c r="H144" s="794">
        <f t="shared" si="18"/>
        <v>0</v>
      </c>
      <c r="I144" s="787">
        <v>0</v>
      </c>
      <c r="J144" s="787">
        <f t="shared" si="14"/>
        <v>0</v>
      </c>
      <c r="K144" s="769"/>
      <c r="L144" s="632"/>
      <c r="M144" s="632"/>
      <c r="N144" s="632"/>
      <c r="O144" s="632"/>
      <c r="P144" s="632"/>
      <c r="Q144" s="632"/>
      <c r="R144" s="632"/>
      <c r="S144" s="632"/>
    </row>
    <row r="145" spans="1:19">
      <c r="A145" s="650">
        <v>142</v>
      </c>
      <c r="B145" s="682" t="s">
        <v>1519</v>
      </c>
      <c r="C145" s="673" t="s">
        <v>211</v>
      </c>
      <c r="D145" s="792" t="s">
        <v>1852</v>
      </c>
      <c r="E145" s="782">
        <f t="shared" si="15"/>
        <v>2024</v>
      </c>
      <c r="F145" s="778">
        <f t="shared" si="16"/>
        <v>45657</v>
      </c>
      <c r="G145" s="779">
        <v>3100392</v>
      </c>
      <c r="H145" s="794">
        <f t="shared" si="18"/>
        <v>3100392</v>
      </c>
      <c r="I145" s="787">
        <v>2934083</v>
      </c>
      <c r="J145" s="787">
        <f t="shared" si="14"/>
        <v>166309</v>
      </c>
      <c r="K145" s="769">
        <f t="shared" si="17"/>
        <v>5.6681763944646377</v>
      </c>
      <c r="L145" s="632"/>
      <c r="M145" s="632"/>
      <c r="N145" s="632"/>
      <c r="O145" s="632"/>
      <c r="P145" s="632"/>
      <c r="Q145" s="632"/>
      <c r="R145" s="632"/>
      <c r="S145" s="632"/>
    </row>
    <row r="146" spans="1:19">
      <c r="A146" s="650">
        <v>143</v>
      </c>
      <c r="B146" s="672" t="s">
        <v>1422</v>
      </c>
      <c r="C146" s="673" t="s">
        <v>212</v>
      </c>
      <c r="D146" s="792" t="s">
        <v>1926</v>
      </c>
      <c r="E146" s="782">
        <f t="shared" si="15"/>
        <v>2024</v>
      </c>
      <c r="F146" s="778">
        <f t="shared" si="16"/>
        <v>45657</v>
      </c>
      <c r="G146" s="785">
        <v>0</v>
      </c>
      <c r="H146" s="794">
        <f t="shared" si="18"/>
        <v>0</v>
      </c>
      <c r="I146" s="787">
        <v>0</v>
      </c>
      <c r="J146" s="787">
        <f t="shared" si="14"/>
        <v>0</v>
      </c>
      <c r="K146" s="769"/>
      <c r="L146" s="632"/>
      <c r="M146" s="632"/>
      <c r="N146" s="632"/>
      <c r="O146" s="632"/>
      <c r="P146" s="632"/>
      <c r="Q146" s="632"/>
      <c r="R146" s="632"/>
      <c r="S146" s="632"/>
    </row>
    <row r="147" spans="1:19">
      <c r="A147" s="650">
        <v>144</v>
      </c>
      <c r="B147" s="672" t="s">
        <v>1422</v>
      </c>
      <c r="C147" s="673" t="s">
        <v>1928</v>
      </c>
      <c r="D147" s="792" t="s">
        <v>1929</v>
      </c>
      <c r="E147" s="782">
        <f t="shared" si="15"/>
        <v>2024</v>
      </c>
      <c r="F147" s="778">
        <f t="shared" si="16"/>
        <v>45657</v>
      </c>
      <c r="G147" s="785">
        <v>0</v>
      </c>
      <c r="H147" s="786">
        <f t="shared" si="18"/>
        <v>0</v>
      </c>
      <c r="I147" s="787">
        <v>0</v>
      </c>
      <c r="J147" s="787">
        <f t="shared" si="14"/>
        <v>0</v>
      </c>
      <c r="K147" s="769"/>
      <c r="L147" s="632"/>
      <c r="M147" s="632"/>
      <c r="N147" s="632"/>
      <c r="O147" s="632"/>
      <c r="P147" s="632"/>
      <c r="Q147" s="632"/>
      <c r="R147" s="632"/>
      <c r="S147" s="632"/>
    </row>
    <row r="148" spans="1:19">
      <c r="A148" s="650">
        <v>145</v>
      </c>
      <c r="B148" s="672" t="s">
        <v>1340</v>
      </c>
      <c r="C148" s="673" t="s">
        <v>213</v>
      </c>
      <c r="D148" s="792" t="s">
        <v>1933</v>
      </c>
      <c r="E148" s="782">
        <f t="shared" si="15"/>
        <v>2024</v>
      </c>
      <c r="F148" s="778">
        <f t="shared" si="16"/>
        <v>45657</v>
      </c>
      <c r="G148" s="785">
        <v>6240380</v>
      </c>
      <c r="H148" s="794">
        <f t="shared" si="18"/>
        <v>6240380</v>
      </c>
      <c r="I148" s="787">
        <v>4116980</v>
      </c>
      <c r="J148" s="787">
        <f t="shared" si="14"/>
        <v>2123400</v>
      </c>
      <c r="K148" s="769">
        <f t="shared" si="17"/>
        <v>51.576641130148801</v>
      </c>
      <c r="L148" s="632"/>
      <c r="M148" s="632"/>
      <c r="N148" s="632"/>
      <c r="O148" s="632"/>
      <c r="P148" s="632"/>
      <c r="Q148" s="632"/>
      <c r="R148" s="632"/>
      <c r="S148" s="632"/>
    </row>
    <row r="149" spans="1:19">
      <c r="A149" s="650">
        <v>146</v>
      </c>
      <c r="B149" s="672" t="s">
        <v>1519</v>
      </c>
      <c r="C149" s="673" t="s">
        <v>1938</v>
      </c>
      <c r="D149" s="796" t="s">
        <v>1939</v>
      </c>
      <c r="E149" s="782">
        <f t="shared" si="15"/>
        <v>2024</v>
      </c>
      <c r="F149" s="778">
        <f t="shared" si="16"/>
        <v>45657</v>
      </c>
      <c r="G149" s="779">
        <v>225000</v>
      </c>
      <c r="H149" s="794">
        <f t="shared" si="18"/>
        <v>225000</v>
      </c>
      <c r="I149" s="787">
        <v>0</v>
      </c>
      <c r="J149" s="787">
        <f t="shared" si="14"/>
        <v>225000</v>
      </c>
      <c r="K149" s="769"/>
      <c r="L149" s="632"/>
      <c r="M149" s="632"/>
      <c r="N149" s="632"/>
      <c r="O149" s="632"/>
      <c r="P149" s="632"/>
      <c r="Q149" s="632"/>
      <c r="R149" s="632"/>
      <c r="S149" s="632"/>
    </row>
    <row r="150" spans="1:19">
      <c r="A150" s="650">
        <v>147</v>
      </c>
      <c r="B150" s="651"/>
      <c r="C150" s="662" t="s">
        <v>11876</v>
      </c>
      <c r="D150" s="783" t="s">
        <v>11877</v>
      </c>
      <c r="E150" s="782">
        <f t="shared" si="15"/>
        <v>2024</v>
      </c>
      <c r="F150" s="778">
        <f t="shared" si="16"/>
        <v>45657</v>
      </c>
      <c r="G150" s="785">
        <v>0</v>
      </c>
      <c r="H150" s="780">
        <f>+H151+H152+H153</f>
        <v>0</v>
      </c>
      <c r="I150" s="781">
        <v>0</v>
      </c>
      <c r="J150" s="781">
        <f t="shared" si="14"/>
        <v>0</v>
      </c>
      <c r="K150" s="769"/>
      <c r="L150" s="632"/>
      <c r="M150" s="632"/>
      <c r="N150" s="632"/>
      <c r="O150" s="632"/>
      <c r="P150" s="632"/>
      <c r="Q150" s="632"/>
      <c r="R150" s="632"/>
      <c r="S150" s="632"/>
    </row>
    <row r="151" spans="1:19">
      <c r="A151" s="650">
        <v>148</v>
      </c>
      <c r="B151" s="651"/>
      <c r="C151" s="664" t="s">
        <v>214</v>
      </c>
      <c r="D151" s="784" t="s">
        <v>1944</v>
      </c>
      <c r="E151" s="782">
        <f t="shared" si="15"/>
        <v>2024</v>
      </c>
      <c r="F151" s="778">
        <f t="shared" si="16"/>
        <v>45657</v>
      </c>
      <c r="G151" s="785">
        <v>0</v>
      </c>
      <c r="H151" s="786">
        <f>+G151</f>
        <v>0</v>
      </c>
      <c r="I151" s="787">
        <v>0</v>
      </c>
      <c r="J151" s="787">
        <f t="shared" si="14"/>
        <v>0</v>
      </c>
      <c r="K151" s="769"/>
      <c r="L151" s="632"/>
      <c r="M151" s="632"/>
      <c r="N151" s="632"/>
      <c r="O151" s="632"/>
      <c r="P151" s="632"/>
      <c r="Q151" s="632"/>
      <c r="R151" s="632"/>
      <c r="S151" s="632"/>
    </row>
    <row r="152" spans="1:19">
      <c r="A152" s="650">
        <v>149</v>
      </c>
      <c r="B152" s="651"/>
      <c r="C152" s="664" t="s">
        <v>215</v>
      </c>
      <c r="D152" s="784" t="s">
        <v>1951</v>
      </c>
      <c r="E152" s="782">
        <f t="shared" si="15"/>
        <v>2024</v>
      </c>
      <c r="F152" s="778">
        <f t="shared" si="16"/>
        <v>45657</v>
      </c>
      <c r="G152" s="785">
        <v>0</v>
      </c>
      <c r="H152" s="786">
        <f>+G152</f>
        <v>0</v>
      </c>
      <c r="I152" s="787">
        <v>0</v>
      </c>
      <c r="J152" s="787">
        <f t="shared" si="14"/>
        <v>0</v>
      </c>
      <c r="K152" s="769"/>
      <c r="L152" s="632"/>
      <c r="M152" s="632"/>
      <c r="N152" s="632"/>
      <c r="O152" s="632"/>
      <c r="P152" s="632"/>
      <c r="Q152" s="632"/>
      <c r="R152" s="632"/>
      <c r="S152" s="632"/>
    </row>
    <row r="153" spans="1:19">
      <c r="A153" s="650">
        <v>150</v>
      </c>
      <c r="B153" s="651"/>
      <c r="C153" s="664" t="s">
        <v>216</v>
      </c>
      <c r="D153" s="784" t="s">
        <v>1955</v>
      </c>
      <c r="E153" s="782">
        <f t="shared" si="15"/>
        <v>2024</v>
      </c>
      <c r="F153" s="778">
        <f t="shared" si="16"/>
        <v>45657</v>
      </c>
      <c r="G153" s="785">
        <v>0</v>
      </c>
      <c r="H153" s="786">
        <f>+G153</f>
        <v>0</v>
      </c>
      <c r="I153" s="787">
        <v>0</v>
      </c>
      <c r="J153" s="787">
        <f t="shared" si="14"/>
        <v>0</v>
      </c>
      <c r="K153" s="769"/>
      <c r="L153" s="632"/>
      <c r="M153" s="632"/>
      <c r="N153" s="632"/>
      <c r="O153" s="632"/>
      <c r="P153" s="632"/>
      <c r="Q153" s="632"/>
      <c r="R153" s="632"/>
      <c r="S153" s="632"/>
    </row>
    <row r="154" spans="1:19">
      <c r="A154" s="650">
        <v>151</v>
      </c>
      <c r="B154" s="651"/>
      <c r="C154" s="662" t="s">
        <v>217</v>
      </c>
      <c r="D154" s="783" t="s">
        <v>1962</v>
      </c>
      <c r="E154" s="782">
        <f t="shared" si="15"/>
        <v>2024</v>
      </c>
      <c r="F154" s="778">
        <f t="shared" si="16"/>
        <v>45657</v>
      </c>
      <c r="G154" s="785">
        <v>1208592</v>
      </c>
      <c r="H154" s="794">
        <f>+G154</f>
        <v>1208592</v>
      </c>
      <c r="I154" s="789">
        <v>371740</v>
      </c>
      <c r="J154" s="789">
        <f t="shared" si="14"/>
        <v>836852</v>
      </c>
      <c r="K154" s="769">
        <f t="shared" si="17"/>
        <v>225.11755528057245</v>
      </c>
      <c r="L154" s="632"/>
      <c r="M154" s="632"/>
      <c r="N154" s="632"/>
      <c r="O154" s="632"/>
      <c r="P154" s="632"/>
      <c r="Q154" s="632"/>
      <c r="R154" s="632"/>
      <c r="S154" s="632"/>
    </row>
    <row r="155" spans="1:19">
      <c r="A155" s="650">
        <v>152</v>
      </c>
      <c r="B155" s="651"/>
      <c r="C155" s="662" t="s">
        <v>11878</v>
      </c>
      <c r="D155" s="783" t="s">
        <v>11879</v>
      </c>
      <c r="E155" s="782">
        <f t="shared" si="15"/>
        <v>2024</v>
      </c>
      <c r="F155" s="778">
        <f t="shared" si="16"/>
        <v>45657</v>
      </c>
      <c r="G155" s="779">
        <v>34408396</v>
      </c>
      <c r="H155" s="788">
        <f>+H156+H157+H158+H159+H160+H163</f>
        <v>34408396</v>
      </c>
      <c r="I155" s="789">
        <v>36087652</v>
      </c>
      <c r="J155" s="789">
        <f t="shared" si="14"/>
        <v>-1679256</v>
      </c>
      <c r="K155" s="769">
        <f t="shared" si="17"/>
        <v>-4.6532703208288524</v>
      </c>
      <c r="L155" s="632"/>
      <c r="M155" s="632"/>
      <c r="N155" s="632"/>
      <c r="O155" s="632"/>
      <c r="P155" s="632"/>
      <c r="Q155" s="632"/>
      <c r="R155" s="632"/>
      <c r="S155" s="632"/>
    </row>
    <row r="156" spans="1:19">
      <c r="A156" s="650">
        <v>153</v>
      </c>
      <c r="B156" s="651"/>
      <c r="C156" s="664" t="s">
        <v>218</v>
      </c>
      <c r="D156" s="784" t="s">
        <v>2010</v>
      </c>
      <c r="E156" s="782">
        <f t="shared" si="15"/>
        <v>2024</v>
      </c>
      <c r="F156" s="778">
        <f t="shared" si="16"/>
        <v>45657</v>
      </c>
      <c r="G156" s="785">
        <v>5198797</v>
      </c>
      <c r="H156" s="786">
        <f>+G156</f>
        <v>5198797</v>
      </c>
      <c r="I156" s="787">
        <v>5025096</v>
      </c>
      <c r="J156" s="787">
        <f t="shared" si="14"/>
        <v>173701</v>
      </c>
      <c r="K156" s="769">
        <f t="shared" si="17"/>
        <v>3.4566702805279874</v>
      </c>
      <c r="L156" s="632"/>
      <c r="M156" s="632"/>
      <c r="N156" s="632"/>
      <c r="O156" s="632"/>
      <c r="P156" s="632"/>
      <c r="Q156" s="632"/>
      <c r="R156" s="632"/>
      <c r="S156" s="632"/>
    </row>
    <row r="157" spans="1:19">
      <c r="A157" s="650">
        <v>154</v>
      </c>
      <c r="B157" s="651"/>
      <c r="C157" s="664" t="s">
        <v>219</v>
      </c>
      <c r="D157" s="784" t="s">
        <v>2053</v>
      </c>
      <c r="E157" s="782">
        <f t="shared" si="15"/>
        <v>2024</v>
      </c>
      <c r="F157" s="778">
        <f t="shared" si="16"/>
        <v>45657</v>
      </c>
      <c r="G157" s="785">
        <v>0</v>
      </c>
      <c r="H157" s="786">
        <f>+G157</f>
        <v>0</v>
      </c>
      <c r="I157" s="787">
        <v>0</v>
      </c>
      <c r="J157" s="787">
        <f t="shared" si="14"/>
        <v>0</v>
      </c>
      <c r="K157" s="769"/>
      <c r="L157" s="632"/>
      <c r="M157" s="632"/>
      <c r="N157" s="632"/>
      <c r="O157" s="632"/>
      <c r="P157" s="632"/>
      <c r="Q157" s="632"/>
      <c r="R157" s="632"/>
      <c r="S157" s="632"/>
    </row>
    <row r="158" spans="1:19">
      <c r="A158" s="650">
        <v>155</v>
      </c>
      <c r="B158" s="651"/>
      <c r="C158" s="664" t="s">
        <v>220</v>
      </c>
      <c r="D158" s="784" t="s">
        <v>2057</v>
      </c>
      <c r="E158" s="782">
        <f t="shared" si="15"/>
        <v>2024</v>
      </c>
      <c r="F158" s="778">
        <f t="shared" si="16"/>
        <v>45657</v>
      </c>
      <c r="G158" s="785">
        <v>23461210</v>
      </c>
      <c r="H158" s="786">
        <f>+G158</f>
        <v>23461210</v>
      </c>
      <c r="I158" s="787">
        <v>26197448</v>
      </c>
      <c r="J158" s="787">
        <f t="shared" si="14"/>
        <v>-2736238</v>
      </c>
      <c r="K158" s="769">
        <f t="shared" si="17"/>
        <v>-10.444673847620578</v>
      </c>
      <c r="L158" s="632"/>
      <c r="M158" s="632"/>
      <c r="N158" s="632"/>
      <c r="O158" s="632"/>
      <c r="P158" s="632"/>
      <c r="Q158" s="632"/>
      <c r="R158" s="632"/>
      <c r="S158" s="632"/>
    </row>
    <row r="159" spans="1:19">
      <c r="A159" s="650">
        <v>156</v>
      </c>
      <c r="B159" s="651"/>
      <c r="C159" s="664" t="s">
        <v>221</v>
      </c>
      <c r="D159" s="784" t="s">
        <v>2071</v>
      </c>
      <c r="E159" s="782">
        <f t="shared" si="15"/>
        <v>2024</v>
      </c>
      <c r="F159" s="778">
        <f t="shared" si="16"/>
        <v>45657</v>
      </c>
      <c r="G159" s="779">
        <v>354691</v>
      </c>
      <c r="H159" s="786">
        <f>+G159</f>
        <v>354691</v>
      </c>
      <c r="I159" s="787">
        <v>308250</v>
      </c>
      <c r="J159" s="787">
        <f t="shared" si="14"/>
        <v>46441</v>
      </c>
      <c r="K159" s="769">
        <f t="shared" si="17"/>
        <v>15.066017842660173</v>
      </c>
      <c r="L159" s="632"/>
      <c r="M159" s="632"/>
      <c r="N159" s="632"/>
      <c r="O159" s="632"/>
      <c r="P159" s="632"/>
      <c r="Q159" s="632"/>
      <c r="R159" s="632"/>
      <c r="S159" s="632"/>
    </row>
    <row r="160" spans="1:19">
      <c r="A160" s="650">
        <v>157</v>
      </c>
      <c r="B160" s="651"/>
      <c r="C160" s="664" t="s">
        <v>222</v>
      </c>
      <c r="D160" s="784" t="s">
        <v>2076</v>
      </c>
      <c r="E160" s="782">
        <f t="shared" si="15"/>
        <v>2024</v>
      </c>
      <c r="F160" s="778">
        <f t="shared" si="16"/>
        <v>45657</v>
      </c>
      <c r="G160" s="785">
        <v>5393653</v>
      </c>
      <c r="H160" s="788">
        <f>+H161+H162</f>
        <v>5393653</v>
      </c>
      <c r="I160" s="795">
        <v>4556858</v>
      </c>
      <c r="J160" s="795">
        <f t="shared" si="14"/>
        <v>836795</v>
      </c>
      <c r="K160" s="769">
        <f t="shared" si="17"/>
        <v>18.363420584973241</v>
      </c>
      <c r="L160" s="632"/>
      <c r="M160" s="632"/>
      <c r="N160" s="632"/>
      <c r="O160" s="632"/>
      <c r="P160" s="632"/>
      <c r="Q160" s="632"/>
      <c r="R160" s="632"/>
      <c r="S160" s="632"/>
    </row>
    <row r="161" spans="1:19">
      <c r="A161" s="650">
        <v>158</v>
      </c>
      <c r="B161" s="651"/>
      <c r="C161" s="664" t="s">
        <v>2080</v>
      </c>
      <c r="D161" s="797" t="s">
        <v>2081</v>
      </c>
      <c r="E161" s="782">
        <f t="shared" si="15"/>
        <v>2024</v>
      </c>
      <c r="F161" s="778">
        <f t="shared" si="16"/>
        <v>45657</v>
      </c>
      <c r="G161" s="785">
        <v>5393653</v>
      </c>
      <c r="H161" s="794">
        <f>+G161</f>
        <v>5393653</v>
      </c>
      <c r="I161" s="787">
        <v>4556858</v>
      </c>
      <c r="J161" s="787">
        <f t="shared" si="14"/>
        <v>836795</v>
      </c>
      <c r="K161" s="769">
        <f t="shared" si="17"/>
        <v>18.363420584973241</v>
      </c>
      <c r="L161" s="632"/>
      <c r="M161" s="632"/>
      <c r="N161" s="632"/>
      <c r="O161" s="632"/>
      <c r="P161" s="632"/>
      <c r="Q161" s="632"/>
      <c r="R161" s="632"/>
      <c r="S161" s="632"/>
    </row>
    <row r="162" spans="1:19">
      <c r="A162" s="650">
        <v>160</v>
      </c>
      <c r="B162" s="651"/>
      <c r="C162" s="798" t="s">
        <v>2158</v>
      </c>
      <c r="D162" s="799" t="s">
        <v>2159</v>
      </c>
      <c r="E162" s="782">
        <f t="shared" si="15"/>
        <v>2024</v>
      </c>
      <c r="F162" s="778">
        <f t="shared" si="16"/>
        <v>45657</v>
      </c>
      <c r="G162" s="785">
        <v>0</v>
      </c>
      <c r="H162" s="794">
        <f>+G162</f>
        <v>0</v>
      </c>
      <c r="I162" s="787">
        <v>0</v>
      </c>
      <c r="J162" s="787">
        <f t="shared" si="14"/>
        <v>0</v>
      </c>
      <c r="K162" s="769"/>
      <c r="L162" s="632"/>
      <c r="M162" s="632"/>
      <c r="N162" s="632"/>
      <c r="O162" s="632"/>
      <c r="P162" s="632"/>
      <c r="Q162" s="632"/>
      <c r="R162" s="632"/>
      <c r="S162" s="632"/>
    </row>
    <row r="163" spans="1:19">
      <c r="A163" s="650">
        <v>161</v>
      </c>
      <c r="B163" s="651"/>
      <c r="C163" s="664" t="s">
        <v>2205</v>
      </c>
      <c r="D163" s="799" t="s">
        <v>2206</v>
      </c>
      <c r="E163" s="782">
        <f t="shared" si="15"/>
        <v>2024</v>
      </c>
      <c r="F163" s="778">
        <f t="shared" si="16"/>
        <v>45657</v>
      </c>
      <c r="G163" s="785">
        <v>45</v>
      </c>
      <c r="H163" s="780">
        <f>+H164+H165</f>
        <v>45</v>
      </c>
      <c r="I163" s="781">
        <v>0</v>
      </c>
      <c r="J163" s="781">
        <f t="shared" si="14"/>
        <v>45</v>
      </c>
      <c r="K163" s="769"/>
      <c r="L163" s="632"/>
      <c r="M163" s="632"/>
      <c r="N163" s="632"/>
      <c r="O163" s="632"/>
      <c r="P163" s="632"/>
      <c r="Q163" s="632"/>
      <c r="R163" s="632"/>
      <c r="S163" s="632"/>
    </row>
    <row r="164" spans="1:19">
      <c r="A164" s="650">
        <v>162</v>
      </c>
      <c r="B164" s="651"/>
      <c r="C164" s="664" t="s">
        <v>2163</v>
      </c>
      <c r="D164" s="799" t="s">
        <v>2164</v>
      </c>
      <c r="E164" s="782">
        <f t="shared" si="15"/>
        <v>2024</v>
      </c>
      <c r="F164" s="778">
        <f t="shared" si="16"/>
        <v>45657</v>
      </c>
      <c r="G164" s="785">
        <v>45</v>
      </c>
      <c r="H164" s="794">
        <f>+G164</f>
        <v>45</v>
      </c>
      <c r="I164" s="787">
        <v>0</v>
      </c>
      <c r="J164" s="787">
        <f t="shared" si="14"/>
        <v>45</v>
      </c>
      <c r="K164" s="769"/>
      <c r="L164" s="632"/>
      <c r="M164" s="632"/>
      <c r="N164" s="632"/>
      <c r="O164" s="632"/>
      <c r="P164" s="632"/>
      <c r="Q164" s="632"/>
      <c r="R164" s="632"/>
      <c r="S164" s="632"/>
    </row>
    <row r="165" spans="1:19">
      <c r="A165" s="650">
        <v>163</v>
      </c>
      <c r="B165" s="651"/>
      <c r="C165" s="664" t="s">
        <v>2168</v>
      </c>
      <c r="D165" s="799" t="s">
        <v>2169</v>
      </c>
      <c r="E165" s="782">
        <f t="shared" si="15"/>
        <v>2024</v>
      </c>
      <c r="F165" s="778">
        <f t="shared" si="16"/>
        <v>45657</v>
      </c>
      <c r="G165" s="785">
        <v>0</v>
      </c>
      <c r="H165" s="794">
        <f>+G165</f>
        <v>0</v>
      </c>
      <c r="I165" s="787">
        <v>0</v>
      </c>
      <c r="J165" s="787">
        <f t="shared" si="14"/>
        <v>0</v>
      </c>
      <c r="K165" s="769"/>
      <c r="L165" s="632"/>
      <c r="M165" s="632"/>
      <c r="N165" s="632"/>
      <c r="O165" s="632"/>
      <c r="P165" s="632"/>
      <c r="Q165" s="632"/>
      <c r="R165" s="632"/>
      <c r="S165" s="632"/>
    </row>
    <row r="166" spans="1:19">
      <c r="A166" s="650">
        <v>164</v>
      </c>
      <c r="B166" s="651"/>
      <c r="C166" s="652" t="s">
        <v>2209</v>
      </c>
      <c r="D166" s="776" t="s">
        <v>11880</v>
      </c>
      <c r="E166" s="782">
        <f t="shared" si="15"/>
        <v>2024</v>
      </c>
      <c r="F166" s="778">
        <f t="shared" si="16"/>
        <v>45657</v>
      </c>
      <c r="G166" s="785">
        <v>0</v>
      </c>
      <c r="H166" s="780">
        <f>+H167+H168</f>
        <v>0</v>
      </c>
      <c r="I166" s="781">
        <v>0</v>
      </c>
      <c r="J166" s="781">
        <f t="shared" si="14"/>
        <v>0</v>
      </c>
      <c r="K166" s="769"/>
      <c r="L166" s="632"/>
      <c r="M166" s="632"/>
      <c r="N166" s="632"/>
      <c r="O166" s="632"/>
      <c r="P166" s="632"/>
      <c r="Q166" s="632"/>
      <c r="R166" s="632"/>
      <c r="S166" s="632"/>
    </row>
    <row r="167" spans="1:19">
      <c r="A167" s="650">
        <v>165</v>
      </c>
      <c r="B167" s="651"/>
      <c r="C167" s="662" t="s">
        <v>225</v>
      </c>
      <c r="D167" s="783" t="s">
        <v>2213</v>
      </c>
      <c r="E167" s="782">
        <f t="shared" si="15"/>
        <v>2024</v>
      </c>
      <c r="F167" s="778">
        <f t="shared" si="16"/>
        <v>45657</v>
      </c>
      <c r="G167" s="785">
        <v>0</v>
      </c>
      <c r="H167" s="794">
        <f>+G167</f>
        <v>0</v>
      </c>
      <c r="I167" s="787">
        <v>0</v>
      </c>
      <c r="J167" s="787">
        <f t="shared" si="14"/>
        <v>0</v>
      </c>
      <c r="K167" s="769"/>
      <c r="L167" s="632"/>
      <c r="M167" s="632"/>
      <c r="N167" s="632"/>
      <c r="O167" s="632"/>
      <c r="P167" s="632"/>
      <c r="Q167" s="632"/>
      <c r="R167" s="632"/>
      <c r="S167" s="632"/>
    </row>
    <row r="168" spans="1:19">
      <c r="A168" s="650">
        <v>166</v>
      </c>
      <c r="B168" s="651"/>
      <c r="C168" s="662" t="s">
        <v>224</v>
      </c>
      <c r="D168" s="783" t="s">
        <v>2219</v>
      </c>
      <c r="E168" s="782">
        <f t="shared" si="15"/>
        <v>2024</v>
      </c>
      <c r="F168" s="778">
        <f t="shared" si="16"/>
        <v>45657</v>
      </c>
      <c r="G168" s="785">
        <v>0</v>
      </c>
      <c r="H168" s="786">
        <f>+G168</f>
        <v>0</v>
      </c>
      <c r="I168" s="787">
        <v>0</v>
      </c>
      <c r="J168" s="787">
        <f t="shared" si="14"/>
        <v>0</v>
      </c>
      <c r="K168" s="769"/>
      <c r="L168" s="632"/>
      <c r="M168" s="632"/>
      <c r="N168" s="632"/>
      <c r="O168" s="632"/>
      <c r="P168" s="632"/>
      <c r="Q168" s="632"/>
      <c r="R168" s="632"/>
      <c r="S168" s="632"/>
    </row>
    <row r="169" spans="1:19">
      <c r="A169" s="650">
        <v>167</v>
      </c>
      <c r="B169" s="651"/>
      <c r="C169" s="652" t="s">
        <v>2220</v>
      </c>
      <c r="D169" s="776" t="s">
        <v>11881</v>
      </c>
      <c r="E169" s="782">
        <f t="shared" si="15"/>
        <v>2024</v>
      </c>
      <c r="F169" s="778">
        <f t="shared" si="16"/>
        <v>45657</v>
      </c>
      <c r="G169" s="785">
        <v>4191149</v>
      </c>
      <c r="H169" s="788">
        <f>+H170+H171+H172+H173</f>
        <v>4191149</v>
      </c>
      <c r="I169" s="789">
        <v>4498399</v>
      </c>
      <c r="J169" s="789">
        <f t="shared" si="14"/>
        <v>-307250</v>
      </c>
      <c r="K169" s="769">
        <f t="shared" si="17"/>
        <v>-6.8302078139355871</v>
      </c>
      <c r="L169" s="632"/>
      <c r="M169" s="632"/>
      <c r="N169" s="632"/>
      <c r="O169" s="632"/>
      <c r="P169" s="632"/>
      <c r="Q169" s="632"/>
      <c r="R169" s="632"/>
      <c r="S169" s="632"/>
    </row>
    <row r="170" spans="1:19">
      <c r="A170" s="650">
        <v>168</v>
      </c>
      <c r="B170" s="651"/>
      <c r="C170" s="662" t="s">
        <v>226</v>
      </c>
      <c r="D170" s="800" t="s">
        <v>2226</v>
      </c>
      <c r="E170" s="782">
        <f t="shared" si="15"/>
        <v>2024</v>
      </c>
      <c r="F170" s="778">
        <f t="shared" si="16"/>
        <v>45657</v>
      </c>
      <c r="G170" s="785">
        <v>22579</v>
      </c>
      <c r="H170" s="786">
        <f>+G170</f>
        <v>22579</v>
      </c>
      <c r="I170" s="787">
        <v>26261</v>
      </c>
      <c r="J170" s="787">
        <f t="shared" si="14"/>
        <v>-3682</v>
      </c>
      <c r="K170" s="769">
        <f t="shared" si="17"/>
        <v>-14.020791287460483</v>
      </c>
      <c r="L170" s="632"/>
      <c r="M170" s="632"/>
      <c r="N170" s="632"/>
      <c r="O170" s="632"/>
      <c r="P170" s="632"/>
      <c r="Q170" s="632"/>
      <c r="R170" s="632"/>
      <c r="S170" s="632"/>
    </row>
    <row r="171" spans="1:19">
      <c r="A171" s="650">
        <v>169</v>
      </c>
      <c r="B171" s="651"/>
      <c r="C171" s="662" t="s">
        <v>227</v>
      </c>
      <c r="D171" s="800" t="s">
        <v>2272</v>
      </c>
      <c r="E171" s="782">
        <f t="shared" si="15"/>
        <v>2024</v>
      </c>
      <c r="F171" s="778">
        <f t="shared" si="16"/>
        <v>45657</v>
      </c>
      <c r="G171" s="785">
        <v>4162599</v>
      </c>
      <c r="H171" s="786">
        <f>+G171</f>
        <v>4162599</v>
      </c>
      <c r="I171" s="787">
        <v>4446331</v>
      </c>
      <c r="J171" s="787">
        <f t="shared" si="14"/>
        <v>-283732</v>
      </c>
      <c r="K171" s="769">
        <f t="shared" si="17"/>
        <v>-6.3812613141036962</v>
      </c>
      <c r="L171" s="632"/>
      <c r="M171" s="632"/>
      <c r="N171" s="632"/>
      <c r="O171" s="632"/>
      <c r="P171" s="632"/>
      <c r="Q171" s="632"/>
      <c r="R171" s="632"/>
      <c r="S171" s="632"/>
    </row>
    <row r="172" spans="1:19">
      <c r="A172" s="650">
        <v>170</v>
      </c>
      <c r="B172" s="651"/>
      <c r="C172" s="662" t="s">
        <v>228</v>
      </c>
      <c r="D172" s="800" t="s">
        <v>2290</v>
      </c>
      <c r="E172" s="782">
        <f t="shared" si="15"/>
        <v>2024</v>
      </c>
      <c r="F172" s="778">
        <f t="shared" si="16"/>
        <v>45657</v>
      </c>
      <c r="G172" s="785">
        <v>0</v>
      </c>
      <c r="H172" s="786">
        <f>+G172</f>
        <v>0</v>
      </c>
      <c r="I172" s="787">
        <v>0</v>
      </c>
      <c r="J172" s="787">
        <f t="shared" si="14"/>
        <v>0</v>
      </c>
      <c r="K172" s="769"/>
      <c r="L172" s="632"/>
      <c r="M172" s="632"/>
      <c r="N172" s="632"/>
      <c r="O172" s="632"/>
      <c r="P172" s="632"/>
      <c r="Q172" s="632"/>
      <c r="R172" s="632"/>
      <c r="S172" s="632"/>
    </row>
    <row r="173" spans="1:19">
      <c r="A173" s="650">
        <v>171</v>
      </c>
      <c r="B173" s="651"/>
      <c r="C173" s="662" t="s">
        <v>229</v>
      </c>
      <c r="D173" s="783" t="s">
        <v>2294</v>
      </c>
      <c r="E173" s="782">
        <f t="shared" si="15"/>
        <v>2024</v>
      </c>
      <c r="F173" s="778">
        <f t="shared" si="16"/>
        <v>45657</v>
      </c>
      <c r="G173" s="785">
        <v>5971</v>
      </c>
      <c r="H173" s="786">
        <f>+G173</f>
        <v>5971</v>
      </c>
      <c r="I173" s="787">
        <v>25807</v>
      </c>
      <c r="J173" s="787">
        <f t="shared" si="14"/>
        <v>-19836</v>
      </c>
      <c r="K173" s="769">
        <f t="shared" si="17"/>
        <v>-76.862866664083384</v>
      </c>
      <c r="L173" s="632"/>
      <c r="M173" s="632"/>
      <c r="N173" s="632"/>
      <c r="O173" s="632"/>
      <c r="P173" s="632"/>
      <c r="Q173" s="632"/>
      <c r="R173" s="632"/>
      <c r="S173" s="632"/>
    </row>
    <row r="174" spans="1:19">
      <c r="A174" s="650">
        <v>172</v>
      </c>
      <c r="B174" s="651"/>
      <c r="C174" s="652" t="s">
        <v>2299</v>
      </c>
      <c r="D174" s="776" t="s">
        <v>11882</v>
      </c>
      <c r="E174" s="782">
        <f t="shared" si="15"/>
        <v>2024</v>
      </c>
      <c r="F174" s="778">
        <f t="shared" si="16"/>
        <v>45657</v>
      </c>
      <c r="G174" s="785">
        <v>0</v>
      </c>
      <c r="H174" s="788">
        <f>+H175+H178</f>
        <v>0</v>
      </c>
      <c r="I174" s="789">
        <v>0</v>
      </c>
      <c r="J174" s="789">
        <f t="shared" si="14"/>
        <v>0</v>
      </c>
      <c r="K174" s="769"/>
      <c r="L174" s="632"/>
      <c r="M174" s="632"/>
      <c r="N174" s="632"/>
      <c r="O174" s="632"/>
      <c r="P174" s="632"/>
      <c r="Q174" s="632"/>
      <c r="R174" s="632"/>
      <c r="S174" s="632"/>
    </row>
    <row r="175" spans="1:19">
      <c r="A175" s="650">
        <v>173</v>
      </c>
      <c r="B175" s="651"/>
      <c r="C175" s="652" t="s">
        <v>2300</v>
      </c>
      <c r="D175" s="776" t="s">
        <v>2301</v>
      </c>
      <c r="E175" s="782">
        <f t="shared" si="15"/>
        <v>2024</v>
      </c>
      <c r="F175" s="778">
        <f t="shared" si="16"/>
        <v>45657</v>
      </c>
      <c r="G175" s="785">
        <v>0</v>
      </c>
      <c r="H175" s="788">
        <f>+H176+H177</f>
        <v>0</v>
      </c>
      <c r="I175" s="789">
        <v>0</v>
      </c>
      <c r="J175" s="789">
        <f t="shared" si="14"/>
        <v>0</v>
      </c>
      <c r="K175" s="769"/>
      <c r="L175" s="632"/>
      <c r="M175" s="632"/>
      <c r="N175" s="632"/>
      <c r="O175" s="632"/>
      <c r="P175" s="632"/>
      <c r="Q175" s="632"/>
      <c r="R175" s="632"/>
      <c r="S175" s="632"/>
    </row>
    <row r="176" spans="1:19">
      <c r="A176" s="650">
        <v>174</v>
      </c>
      <c r="B176" s="651"/>
      <c r="C176" s="662" t="s">
        <v>2303</v>
      </c>
      <c r="D176" s="783" t="s">
        <v>2305</v>
      </c>
      <c r="E176" s="782">
        <f t="shared" si="15"/>
        <v>2024</v>
      </c>
      <c r="F176" s="778">
        <f t="shared" si="16"/>
        <v>45657</v>
      </c>
      <c r="G176" s="785">
        <v>0</v>
      </c>
      <c r="H176" s="786">
        <f>+G176</f>
        <v>0</v>
      </c>
      <c r="I176" s="787">
        <v>0</v>
      </c>
      <c r="J176" s="787">
        <f t="shared" si="14"/>
        <v>0</v>
      </c>
      <c r="K176" s="769"/>
      <c r="L176" s="632"/>
      <c r="M176" s="632"/>
      <c r="N176" s="632"/>
      <c r="O176" s="632"/>
      <c r="P176" s="632"/>
      <c r="Q176" s="632"/>
      <c r="R176" s="632"/>
      <c r="S176" s="632"/>
    </row>
    <row r="177" spans="1:19">
      <c r="A177" s="650">
        <v>175</v>
      </c>
      <c r="B177" s="651" t="s">
        <v>1519</v>
      </c>
      <c r="C177" s="662" t="s">
        <v>2316</v>
      </c>
      <c r="D177" s="783" t="s">
        <v>2317</v>
      </c>
      <c r="E177" s="782">
        <f t="shared" si="15"/>
        <v>2024</v>
      </c>
      <c r="F177" s="778">
        <f t="shared" si="16"/>
        <v>45657</v>
      </c>
      <c r="G177" s="785">
        <v>0</v>
      </c>
      <c r="H177" s="786">
        <f>+G177</f>
        <v>0</v>
      </c>
      <c r="I177" s="787">
        <v>0</v>
      </c>
      <c r="J177" s="787">
        <f t="shared" si="14"/>
        <v>0</v>
      </c>
      <c r="K177" s="769"/>
      <c r="L177" s="632"/>
      <c r="M177" s="632"/>
      <c r="N177" s="632"/>
      <c r="O177" s="632"/>
      <c r="P177" s="632"/>
      <c r="Q177" s="632"/>
      <c r="R177" s="632"/>
      <c r="S177" s="632"/>
    </row>
    <row r="178" spans="1:19">
      <c r="A178" s="650">
        <v>176</v>
      </c>
      <c r="B178" s="651"/>
      <c r="C178" s="652" t="s">
        <v>2324</v>
      </c>
      <c r="D178" s="776" t="s">
        <v>11883</v>
      </c>
      <c r="E178" s="782">
        <f t="shared" si="15"/>
        <v>2024</v>
      </c>
      <c r="F178" s="778">
        <f t="shared" si="16"/>
        <v>45657</v>
      </c>
      <c r="G178" s="785">
        <v>0</v>
      </c>
      <c r="H178" s="788">
        <f>+H179+H180</f>
        <v>0</v>
      </c>
      <c r="I178" s="789">
        <v>0</v>
      </c>
      <c r="J178" s="789">
        <f t="shared" si="14"/>
        <v>0</v>
      </c>
      <c r="K178" s="769"/>
      <c r="L178" s="632"/>
      <c r="M178" s="632"/>
      <c r="N178" s="632"/>
      <c r="O178" s="632"/>
      <c r="P178" s="632"/>
      <c r="Q178" s="632"/>
      <c r="R178" s="632"/>
      <c r="S178" s="632"/>
    </row>
    <row r="179" spans="1:19">
      <c r="A179" s="650">
        <v>177</v>
      </c>
      <c r="B179" s="651"/>
      <c r="C179" s="662" t="s">
        <v>2326</v>
      </c>
      <c r="D179" s="783" t="s">
        <v>2329</v>
      </c>
      <c r="E179" s="782">
        <f t="shared" si="15"/>
        <v>2024</v>
      </c>
      <c r="F179" s="778">
        <f t="shared" si="16"/>
        <v>45657</v>
      </c>
      <c r="G179" s="785">
        <v>0</v>
      </c>
      <c r="H179" s="786">
        <f>+G179</f>
        <v>0</v>
      </c>
      <c r="I179" s="787">
        <v>0</v>
      </c>
      <c r="J179" s="787">
        <f t="shared" si="14"/>
        <v>0</v>
      </c>
      <c r="K179" s="769"/>
      <c r="L179" s="632"/>
      <c r="M179" s="632"/>
      <c r="N179" s="632"/>
      <c r="O179" s="632"/>
      <c r="P179" s="632"/>
      <c r="Q179" s="632"/>
      <c r="R179" s="632"/>
      <c r="S179" s="632"/>
    </row>
    <row r="180" spans="1:19">
      <c r="A180" s="650">
        <v>178</v>
      </c>
      <c r="B180" s="651" t="s">
        <v>1519</v>
      </c>
      <c r="C180" s="662" t="s">
        <v>2340</v>
      </c>
      <c r="D180" s="783" t="s">
        <v>2341</v>
      </c>
      <c r="E180" s="782">
        <f t="shared" si="15"/>
        <v>2024</v>
      </c>
      <c r="F180" s="778">
        <f t="shared" si="16"/>
        <v>45657</v>
      </c>
      <c r="G180" s="785">
        <v>0</v>
      </c>
      <c r="H180" s="786">
        <f>+G180</f>
        <v>0</v>
      </c>
      <c r="I180" s="787">
        <v>0</v>
      </c>
      <c r="J180" s="787">
        <f t="shared" si="14"/>
        <v>0</v>
      </c>
      <c r="K180" s="769"/>
      <c r="L180" s="632"/>
      <c r="M180" s="632"/>
      <c r="N180" s="632"/>
      <c r="O180" s="632"/>
      <c r="P180" s="632"/>
      <c r="Q180" s="632"/>
      <c r="R180" s="632"/>
      <c r="S180" s="632"/>
    </row>
    <row r="181" spans="1:19">
      <c r="A181" s="650">
        <v>179</v>
      </c>
      <c r="B181" s="651"/>
      <c r="C181" s="691" t="s">
        <v>11884</v>
      </c>
      <c r="D181" s="801" t="s">
        <v>11885</v>
      </c>
      <c r="E181" s="782">
        <f t="shared" si="15"/>
        <v>2024</v>
      </c>
      <c r="F181" s="778">
        <f t="shared" si="16"/>
        <v>45657</v>
      </c>
      <c r="G181" s="785">
        <v>304320708</v>
      </c>
      <c r="H181" s="788">
        <f>+H4+H82+H174</f>
        <v>304320708</v>
      </c>
      <c r="I181" s="789">
        <v>298130366</v>
      </c>
      <c r="J181" s="789">
        <f t="shared" si="14"/>
        <v>6190342</v>
      </c>
      <c r="K181" s="769">
        <f t="shared" si="17"/>
        <v>2.0763876162819201</v>
      </c>
      <c r="L181" s="632"/>
      <c r="M181" s="632"/>
      <c r="N181" s="632"/>
      <c r="O181" s="632"/>
      <c r="P181" s="632"/>
      <c r="Q181" s="632"/>
      <c r="R181" s="632"/>
      <c r="S181" s="632"/>
    </row>
    <row r="182" spans="1:19">
      <c r="A182" s="650">
        <v>180</v>
      </c>
      <c r="B182" s="651"/>
      <c r="C182" s="691" t="s">
        <v>2352</v>
      </c>
      <c r="D182" s="802" t="s">
        <v>11886</v>
      </c>
      <c r="E182" s="782">
        <f t="shared" si="15"/>
        <v>2024</v>
      </c>
      <c r="F182" s="778">
        <f t="shared" si="16"/>
        <v>45657</v>
      </c>
      <c r="G182" s="785">
        <v>290984079</v>
      </c>
      <c r="H182" s="788">
        <f>+H183+H184+H185+H186+H187</f>
        <v>290984079</v>
      </c>
      <c r="I182" s="789">
        <v>290984079</v>
      </c>
      <c r="J182" s="789">
        <f t="shared" si="14"/>
        <v>0</v>
      </c>
      <c r="K182" s="769">
        <f t="shared" si="17"/>
        <v>0</v>
      </c>
      <c r="L182" s="632"/>
      <c r="M182" s="632"/>
      <c r="N182" s="632"/>
      <c r="O182" s="632"/>
      <c r="P182" s="632"/>
      <c r="Q182" s="632"/>
      <c r="R182" s="632"/>
      <c r="S182" s="632"/>
    </row>
    <row r="183" spans="1:19">
      <c r="A183" s="650">
        <v>181</v>
      </c>
      <c r="B183" s="651"/>
      <c r="C183" s="691" t="s">
        <v>2354</v>
      </c>
      <c r="D183" s="801" t="s">
        <v>2355</v>
      </c>
      <c r="E183" s="782">
        <f t="shared" si="15"/>
        <v>2024</v>
      </c>
      <c r="F183" s="778">
        <f t="shared" si="16"/>
        <v>45657</v>
      </c>
      <c r="G183" s="785">
        <v>0</v>
      </c>
      <c r="H183" s="786">
        <f>+G183</f>
        <v>0</v>
      </c>
      <c r="I183" s="787">
        <v>0</v>
      </c>
      <c r="J183" s="787">
        <f t="shared" si="14"/>
        <v>0</v>
      </c>
      <c r="K183" s="769"/>
      <c r="L183" s="632"/>
      <c r="M183" s="632"/>
      <c r="N183" s="632"/>
      <c r="O183" s="632"/>
      <c r="P183" s="632"/>
      <c r="Q183" s="632"/>
      <c r="R183" s="632"/>
      <c r="S183" s="632"/>
    </row>
    <row r="184" spans="1:19">
      <c r="A184" s="650">
        <v>182</v>
      </c>
      <c r="B184" s="651"/>
      <c r="C184" s="691" t="s">
        <v>2358</v>
      </c>
      <c r="D184" s="801" t="s">
        <v>2359</v>
      </c>
      <c r="E184" s="782">
        <f t="shared" si="15"/>
        <v>2024</v>
      </c>
      <c r="F184" s="778">
        <f t="shared" si="16"/>
        <v>45657</v>
      </c>
      <c r="G184" s="785">
        <v>0</v>
      </c>
      <c r="H184" s="786">
        <f>+G184</f>
        <v>0</v>
      </c>
      <c r="I184" s="787">
        <v>0</v>
      </c>
      <c r="J184" s="787">
        <f t="shared" si="14"/>
        <v>0</v>
      </c>
      <c r="K184" s="769"/>
      <c r="L184" s="632"/>
      <c r="M184" s="632"/>
      <c r="N184" s="632"/>
      <c r="O184" s="632"/>
      <c r="P184" s="632"/>
      <c r="Q184" s="632"/>
      <c r="R184" s="632"/>
      <c r="S184" s="632"/>
    </row>
    <row r="185" spans="1:19">
      <c r="A185" s="650">
        <v>183</v>
      </c>
      <c r="B185" s="651"/>
      <c r="C185" s="691" t="s">
        <v>2362</v>
      </c>
      <c r="D185" s="801" t="s">
        <v>2363</v>
      </c>
      <c r="E185" s="782">
        <f t="shared" si="15"/>
        <v>2024</v>
      </c>
      <c r="F185" s="778">
        <f t="shared" si="16"/>
        <v>45657</v>
      </c>
      <c r="G185" s="785">
        <v>287897838</v>
      </c>
      <c r="H185" s="786">
        <f>+G185</f>
        <v>287897838</v>
      </c>
      <c r="I185" s="787">
        <v>287897838</v>
      </c>
      <c r="J185" s="787">
        <f t="shared" si="14"/>
        <v>0</v>
      </c>
      <c r="K185" s="769">
        <f t="shared" si="17"/>
        <v>0</v>
      </c>
      <c r="L185" s="632"/>
      <c r="M185" s="632"/>
      <c r="N185" s="632"/>
      <c r="O185" s="632"/>
      <c r="P185" s="632"/>
      <c r="Q185" s="632"/>
      <c r="R185" s="632"/>
      <c r="S185" s="632"/>
    </row>
    <row r="186" spans="1:19">
      <c r="A186" s="650">
        <v>184</v>
      </c>
      <c r="B186" s="651"/>
      <c r="C186" s="691" t="s">
        <v>2367</v>
      </c>
      <c r="D186" s="801" t="s">
        <v>2368</v>
      </c>
      <c r="E186" s="782">
        <f t="shared" si="15"/>
        <v>2024</v>
      </c>
      <c r="F186" s="778">
        <f t="shared" si="16"/>
        <v>45657</v>
      </c>
      <c r="G186" s="785">
        <v>0</v>
      </c>
      <c r="H186" s="786">
        <f>+G186</f>
        <v>0</v>
      </c>
      <c r="I186" s="787">
        <v>0</v>
      </c>
      <c r="J186" s="787">
        <f t="shared" si="14"/>
        <v>0</v>
      </c>
      <c r="K186" s="769"/>
      <c r="L186" s="632"/>
      <c r="M186" s="632"/>
      <c r="N186" s="632"/>
      <c r="O186" s="632"/>
      <c r="P186" s="632"/>
      <c r="Q186" s="632"/>
      <c r="R186" s="632"/>
      <c r="S186" s="632"/>
    </row>
    <row r="187" spans="1:19">
      <c r="A187" s="650">
        <v>185</v>
      </c>
      <c r="B187" s="651"/>
      <c r="C187" s="691" t="s">
        <v>2371</v>
      </c>
      <c r="D187" s="801" t="s">
        <v>2372</v>
      </c>
      <c r="E187" s="782">
        <f t="shared" si="15"/>
        <v>2024</v>
      </c>
      <c r="F187" s="778">
        <f t="shared" si="16"/>
        <v>45657</v>
      </c>
      <c r="G187" s="785">
        <v>3086241</v>
      </c>
      <c r="H187" s="786">
        <f>+G187</f>
        <v>3086241</v>
      </c>
      <c r="I187" s="787">
        <v>3086241</v>
      </c>
      <c r="J187" s="787">
        <f t="shared" si="14"/>
        <v>0</v>
      </c>
      <c r="K187" s="769">
        <f t="shared" si="17"/>
        <v>0</v>
      </c>
      <c r="L187" s="632"/>
      <c r="M187" s="632"/>
      <c r="N187" s="632"/>
      <c r="O187" s="632"/>
      <c r="P187" s="632"/>
      <c r="Q187" s="632"/>
      <c r="R187" s="632"/>
      <c r="S187" s="632"/>
    </row>
    <row r="188" spans="1:19">
      <c r="A188" s="650">
        <v>186</v>
      </c>
      <c r="B188" s="651"/>
      <c r="C188" s="652" t="s">
        <v>2390</v>
      </c>
      <c r="D188" s="776" t="s">
        <v>11887</v>
      </c>
      <c r="E188" s="782">
        <f t="shared" si="15"/>
        <v>2024</v>
      </c>
      <c r="F188" s="778">
        <f t="shared" si="16"/>
        <v>45657</v>
      </c>
      <c r="G188" s="785">
        <v>137794704</v>
      </c>
      <c r="H188" s="788">
        <f>+H189+H190+H199+H200+H206+H210+H211</f>
        <v>137794704</v>
      </c>
      <c r="I188" s="789">
        <v>137611931</v>
      </c>
      <c r="J188" s="789">
        <f t="shared" si="14"/>
        <v>182773</v>
      </c>
      <c r="K188" s="769">
        <f t="shared" si="17"/>
        <v>0.13281769877933414</v>
      </c>
      <c r="L188" s="632"/>
      <c r="M188" s="632"/>
      <c r="N188" s="632"/>
      <c r="O188" s="632"/>
      <c r="P188" s="632"/>
      <c r="Q188" s="632"/>
      <c r="R188" s="632"/>
      <c r="S188" s="632"/>
    </row>
    <row r="189" spans="1:19">
      <c r="A189" s="650">
        <v>187</v>
      </c>
      <c r="B189" s="651"/>
      <c r="C189" s="652" t="s">
        <v>230</v>
      </c>
      <c r="D189" s="776" t="s">
        <v>2393</v>
      </c>
      <c r="E189" s="782">
        <f t="shared" si="15"/>
        <v>2024</v>
      </c>
      <c r="F189" s="778">
        <f t="shared" si="16"/>
        <v>45657</v>
      </c>
      <c r="G189" s="785">
        <v>10821542</v>
      </c>
      <c r="H189" s="786">
        <f>+G189</f>
        <v>10821542</v>
      </c>
      <c r="I189" s="787">
        <v>10821542</v>
      </c>
      <c r="J189" s="787">
        <f t="shared" si="14"/>
        <v>0</v>
      </c>
      <c r="K189" s="769">
        <f t="shared" si="17"/>
        <v>0</v>
      </c>
      <c r="L189" s="632"/>
      <c r="M189" s="632"/>
      <c r="N189" s="632"/>
      <c r="O189" s="632"/>
      <c r="P189" s="632"/>
      <c r="Q189" s="632"/>
      <c r="R189" s="632"/>
      <c r="S189" s="632"/>
    </row>
    <row r="190" spans="1:19">
      <c r="A190" s="650">
        <v>188</v>
      </c>
      <c r="B190" s="651"/>
      <c r="C190" s="652" t="s">
        <v>231</v>
      </c>
      <c r="D190" s="776" t="s">
        <v>2400</v>
      </c>
      <c r="E190" s="782">
        <f t="shared" si="15"/>
        <v>2024</v>
      </c>
      <c r="F190" s="778">
        <f t="shared" si="16"/>
        <v>45657</v>
      </c>
      <c r="G190" s="785">
        <v>108428616</v>
      </c>
      <c r="H190" s="788">
        <f>+H191+H192+H196+H197+H198</f>
        <v>108428616</v>
      </c>
      <c r="I190" s="789">
        <v>108121025</v>
      </c>
      <c r="J190" s="789">
        <f t="shared" si="14"/>
        <v>307591</v>
      </c>
      <c r="K190" s="769">
        <f t="shared" si="17"/>
        <v>0.28448768405588964</v>
      </c>
      <c r="L190" s="632"/>
      <c r="M190" s="632"/>
      <c r="N190" s="632"/>
      <c r="O190" s="632"/>
      <c r="P190" s="632"/>
      <c r="Q190" s="632"/>
      <c r="R190" s="632"/>
      <c r="S190" s="632"/>
    </row>
    <row r="191" spans="1:19" s="812" customFormat="1">
      <c r="A191" s="803">
        <v>189</v>
      </c>
      <c r="B191" s="804"/>
      <c r="C191" s="805" t="s">
        <v>232</v>
      </c>
      <c r="D191" s="800" t="s">
        <v>2402</v>
      </c>
      <c r="E191" s="806">
        <f t="shared" si="15"/>
        <v>2024</v>
      </c>
      <c r="F191" s="807">
        <f t="shared" si="16"/>
        <v>45657</v>
      </c>
      <c r="G191" s="808">
        <v>0</v>
      </c>
      <c r="H191" s="809">
        <f>+G191</f>
        <v>0</v>
      </c>
      <c r="I191" s="810">
        <v>0</v>
      </c>
      <c r="J191" s="810">
        <f t="shared" si="14"/>
        <v>0</v>
      </c>
      <c r="K191" s="811"/>
    </row>
    <row r="192" spans="1:19">
      <c r="A192" s="650">
        <v>190</v>
      </c>
      <c r="B192" s="651"/>
      <c r="C192" s="662" t="s">
        <v>233</v>
      </c>
      <c r="D192" s="783" t="s">
        <v>11888</v>
      </c>
      <c r="E192" s="782">
        <f t="shared" si="15"/>
        <v>2024</v>
      </c>
      <c r="F192" s="778">
        <f t="shared" si="16"/>
        <v>45657</v>
      </c>
      <c r="G192" s="779">
        <v>24877957</v>
      </c>
      <c r="H192" s="780">
        <f>+H193+H194+H195</f>
        <v>24877957</v>
      </c>
      <c r="I192" s="781">
        <v>30322548</v>
      </c>
      <c r="J192" s="781">
        <f t="shared" si="14"/>
        <v>-5444591</v>
      </c>
      <c r="K192" s="769">
        <f t="shared" si="17"/>
        <v>-17.955585394736616</v>
      </c>
      <c r="L192" s="632"/>
      <c r="M192" s="632"/>
      <c r="N192" s="632"/>
      <c r="O192" s="632"/>
      <c r="P192" s="632"/>
      <c r="Q192" s="632"/>
      <c r="R192" s="632"/>
      <c r="S192" s="632"/>
    </row>
    <row r="193" spans="1:19">
      <c r="A193" s="650">
        <v>191</v>
      </c>
      <c r="B193" s="651"/>
      <c r="C193" s="664" t="s">
        <v>234</v>
      </c>
      <c r="D193" s="784" t="s">
        <v>2405</v>
      </c>
      <c r="E193" s="782">
        <f t="shared" si="15"/>
        <v>2024</v>
      </c>
      <c r="F193" s="778">
        <f t="shared" si="16"/>
        <v>45657</v>
      </c>
      <c r="G193" s="785">
        <v>129455</v>
      </c>
      <c r="H193" s="794">
        <f t="shared" ref="H193:H199" si="19">+G193</f>
        <v>129455</v>
      </c>
      <c r="I193" s="787">
        <v>129453</v>
      </c>
      <c r="J193" s="787">
        <f t="shared" si="14"/>
        <v>2</v>
      </c>
      <c r="K193" s="769">
        <f t="shared" si="17"/>
        <v>1.5449622643046723E-3</v>
      </c>
      <c r="L193" s="632"/>
      <c r="M193" s="632"/>
      <c r="N193" s="632"/>
      <c r="O193" s="632"/>
      <c r="P193" s="632"/>
      <c r="Q193" s="632"/>
      <c r="R193" s="632"/>
      <c r="S193" s="632"/>
    </row>
    <row r="194" spans="1:19">
      <c r="A194" s="650">
        <v>192</v>
      </c>
      <c r="B194" s="651"/>
      <c r="C194" s="664" t="s">
        <v>235</v>
      </c>
      <c r="D194" s="784" t="s">
        <v>2413</v>
      </c>
      <c r="E194" s="782">
        <f t="shared" si="15"/>
        <v>2024</v>
      </c>
      <c r="F194" s="778">
        <f t="shared" si="16"/>
        <v>45657</v>
      </c>
      <c r="G194" s="785">
        <v>0</v>
      </c>
      <c r="H194" s="794">
        <f t="shared" si="19"/>
        <v>0</v>
      </c>
      <c r="I194" s="787">
        <v>0</v>
      </c>
      <c r="J194" s="787">
        <f t="shared" si="14"/>
        <v>0</v>
      </c>
      <c r="K194" s="769"/>
      <c r="L194" s="632"/>
      <c r="M194" s="632"/>
      <c r="N194" s="632"/>
      <c r="O194" s="632"/>
      <c r="P194" s="632"/>
      <c r="Q194" s="632"/>
      <c r="R194" s="632"/>
      <c r="S194" s="632"/>
    </row>
    <row r="195" spans="1:19">
      <c r="A195" s="650">
        <v>193</v>
      </c>
      <c r="B195" s="651"/>
      <c r="C195" s="664" t="s">
        <v>236</v>
      </c>
      <c r="D195" s="784" t="s">
        <v>2419</v>
      </c>
      <c r="E195" s="782">
        <f t="shared" si="15"/>
        <v>2024</v>
      </c>
      <c r="F195" s="778">
        <f t="shared" si="16"/>
        <v>45657</v>
      </c>
      <c r="G195" s="785">
        <v>24748502</v>
      </c>
      <c r="H195" s="794">
        <f t="shared" si="19"/>
        <v>24748502</v>
      </c>
      <c r="I195" s="787">
        <v>30193095</v>
      </c>
      <c r="J195" s="787">
        <f t="shared" si="14"/>
        <v>-5444593</v>
      </c>
      <c r="K195" s="769">
        <f t="shared" si="17"/>
        <v>-18.032576653701781</v>
      </c>
      <c r="L195" s="632"/>
      <c r="M195" s="632"/>
      <c r="N195" s="632"/>
      <c r="O195" s="632"/>
      <c r="P195" s="632"/>
      <c r="Q195" s="632"/>
      <c r="R195" s="632"/>
      <c r="S195" s="632"/>
    </row>
    <row r="196" spans="1:19">
      <c r="A196" s="650">
        <v>194</v>
      </c>
      <c r="B196" s="651"/>
      <c r="C196" s="662" t="s">
        <v>237</v>
      </c>
      <c r="D196" s="783" t="s">
        <v>2444</v>
      </c>
      <c r="E196" s="782">
        <f t="shared" si="15"/>
        <v>2024</v>
      </c>
      <c r="F196" s="778">
        <f t="shared" si="16"/>
        <v>45657</v>
      </c>
      <c r="G196" s="785">
        <v>25776095</v>
      </c>
      <c r="H196" s="794">
        <f t="shared" si="19"/>
        <v>25776095</v>
      </c>
      <c r="I196" s="787">
        <v>21308703</v>
      </c>
      <c r="J196" s="787">
        <f t="shared" si="14"/>
        <v>4467392</v>
      </c>
      <c r="K196" s="769">
        <f t="shared" si="17"/>
        <v>20.965105196688882</v>
      </c>
      <c r="L196" s="632"/>
      <c r="M196" s="632"/>
      <c r="N196" s="632"/>
      <c r="O196" s="632"/>
      <c r="P196" s="632"/>
      <c r="Q196" s="632"/>
      <c r="R196" s="632"/>
      <c r="S196" s="632"/>
    </row>
    <row r="197" spans="1:19">
      <c r="A197" s="650">
        <v>195</v>
      </c>
      <c r="B197" s="651"/>
      <c r="C197" s="662" t="s">
        <v>238</v>
      </c>
      <c r="D197" s="783" t="s">
        <v>2522</v>
      </c>
      <c r="E197" s="782">
        <f t="shared" si="15"/>
        <v>2024</v>
      </c>
      <c r="F197" s="778">
        <f t="shared" si="16"/>
        <v>45657</v>
      </c>
      <c r="G197" s="785">
        <v>1708768</v>
      </c>
      <c r="H197" s="794">
        <f t="shared" si="19"/>
        <v>1708768</v>
      </c>
      <c r="I197" s="787">
        <v>55200</v>
      </c>
      <c r="J197" s="787">
        <f t="shared" ref="J197:J260" si="20">H197-I197</f>
        <v>1653568</v>
      </c>
      <c r="K197" s="769">
        <f t="shared" si="17"/>
        <v>2995.594202898551</v>
      </c>
      <c r="L197" s="632"/>
      <c r="M197" s="632"/>
      <c r="N197" s="632"/>
      <c r="O197" s="632"/>
      <c r="P197" s="632"/>
      <c r="Q197" s="632"/>
      <c r="R197" s="632"/>
      <c r="S197" s="632"/>
    </row>
    <row r="198" spans="1:19" s="812" customFormat="1">
      <c r="A198" s="803">
        <v>196</v>
      </c>
      <c r="B198" s="804"/>
      <c r="C198" s="805" t="s">
        <v>239</v>
      </c>
      <c r="D198" s="800" t="s">
        <v>2530</v>
      </c>
      <c r="E198" s="806">
        <f t="shared" ref="E198:E261" si="21">E197</f>
        <v>2024</v>
      </c>
      <c r="F198" s="807">
        <f t="shared" ref="F198:F261" si="22">+F197</f>
        <v>45657</v>
      </c>
      <c r="G198" s="809">
        <v>56065796</v>
      </c>
      <c r="H198" s="808">
        <f t="shared" si="19"/>
        <v>56065796</v>
      </c>
      <c r="I198" s="810">
        <v>56434574</v>
      </c>
      <c r="J198" s="810">
        <f t="shared" si="20"/>
        <v>-368778</v>
      </c>
      <c r="K198" s="811">
        <f t="shared" si="17"/>
        <v>-0.65346112119141253</v>
      </c>
    </row>
    <row r="199" spans="1:19" s="812" customFormat="1">
      <c r="A199" s="803">
        <v>197</v>
      </c>
      <c r="B199" s="804"/>
      <c r="C199" s="813" t="s">
        <v>240</v>
      </c>
      <c r="D199" s="814" t="s">
        <v>2608</v>
      </c>
      <c r="E199" s="806">
        <f t="shared" si="21"/>
        <v>2024</v>
      </c>
      <c r="F199" s="807">
        <f t="shared" si="22"/>
        <v>45657</v>
      </c>
      <c r="G199" s="808">
        <v>1296320</v>
      </c>
      <c r="H199" s="809">
        <f t="shared" si="19"/>
        <v>1296320</v>
      </c>
      <c r="I199" s="810">
        <v>1570542</v>
      </c>
      <c r="J199" s="810">
        <f t="shared" si="20"/>
        <v>-274222</v>
      </c>
      <c r="K199" s="811">
        <f t="shared" si="17"/>
        <v>-17.460341716426569</v>
      </c>
    </row>
    <row r="200" spans="1:19" s="812" customFormat="1">
      <c r="A200" s="803">
        <v>198</v>
      </c>
      <c r="B200" s="804"/>
      <c r="C200" s="813" t="s">
        <v>241</v>
      </c>
      <c r="D200" s="814" t="s">
        <v>2657</v>
      </c>
      <c r="E200" s="806">
        <f t="shared" si="21"/>
        <v>2024</v>
      </c>
      <c r="F200" s="807">
        <f t="shared" si="22"/>
        <v>45657</v>
      </c>
      <c r="G200" s="809">
        <v>0</v>
      </c>
      <c r="H200" s="809">
        <f>+H201+H202+H203+H204+H205</f>
        <v>0</v>
      </c>
      <c r="I200" s="815">
        <v>0</v>
      </c>
      <c r="J200" s="815">
        <f t="shared" si="20"/>
        <v>0</v>
      </c>
      <c r="K200" s="811"/>
    </row>
    <row r="201" spans="1:19">
      <c r="A201" s="650">
        <v>199</v>
      </c>
      <c r="B201" s="651"/>
      <c r="C201" s="662" t="s">
        <v>242</v>
      </c>
      <c r="D201" s="783" t="s">
        <v>2659</v>
      </c>
      <c r="E201" s="782">
        <f t="shared" si="21"/>
        <v>2024</v>
      </c>
      <c r="F201" s="778">
        <f t="shared" si="22"/>
        <v>45657</v>
      </c>
      <c r="G201" s="785">
        <v>0</v>
      </c>
      <c r="H201" s="794">
        <f>+G201</f>
        <v>0</v>
      </c>
      <c r="I201" s="787">
        <v>0</v>
      </c>
      <c r="J201" s="787">
        <f t="shared" si="20"/>
        <v>0</v>
      </c>
      <c r="K201" s="769"/>
      <c r="L201" s="632"/>
      <c r="M201" s="632"/>
      <c r="N201" s="632"/>
      <c r="O201" s="632"/>
      <c r="P201" s="632"/>
      <c r="Q201" s="632"/>
      <c r="R201" s="632"/>
      <c r="S201" s="632"/>
    </row>
    <row r="202" spans="1:19">
      <c r="A202" s="650">
        <v>200</v>
      </c>
      <c r="B202" s="651"/>
      <c r="C202" s="662" t="s">
        <v>243</v>
      </c>
      <c r="D202" s="783" t="s">
        <v>2663</v>
      </c>
      <c r="E202" s="782">
        <f t="shared" si="21"/>
        <v>2024</v>
      </c>
      <c r="F202" s="778">
        <f t="shared" si="22"/>
        <v>45657</v>
      </c>
      <c r="G202" s="785">
        <v>0</v>
      </c>
      <c r="H202" s="794">
        <f>+G202</f>
        <v>0</v>
      </c>
      <c r="I202" s="787">
        <v>0</v>
      </c>
      <c r="J202" s="787">
        <f t="shared" si="20"/>
        <v>0</v>
      </c>
      <c r="K202" s="769"/>
      <c r="L202" s="632"/>
      <c r="M202" s="632"/>
      <c r="N202" s="632"/>
      <c r="O202" s="632"/>
      <c r="P202" s="632"/>
      <c r="Q202" s="632"/>
      <c r="R202" s="632"/>
      <c r="S202" s="632"/>
    </row>
    <row r="203" spans="1:19">
      <c r="A203" s="650">
        <v>201</v>
      </c>
      <c r="B203" s="651"/>
      <c r="C203" s="662" t="s">
        <v>244</v>
      </c>
      <c r="D203" s="783" t="s">
        <v>2667</v>
      </c>
      <c r="E203" s="782">
        <f t="shared" si="21"/>
        <v>2024</v>
      </c>
      <c r="F203" s="778">
        <f t="shared" si="22"/>
        <v>45657</v>
      </c>
      <c r="G203" s="779">
        <v>0</v>
      </c>
      <c r="H203" s="794">
        <f>+G203</f>
        <v>0</v>
      </c>
      <c r="I203" s="787">
        <v>0</v>
      </c>
      <c r="J203" s="787">
        <f t="shared" si="20"/>
        <v>0</v>
      </c>
      <c r="K203" s="769"/>
      <c r="L203" s="632"/>
      <c r="M203" s="632"/>
      <c r="N203" s="632"/>
      <c r="O203" s="632"/>
      <c r="P203" s="632"/>
      <c r="Q203" s="632"/>
      <c r="R203" s="632"/>
      <c r="S203" s="632"/>
    </row>
    <row r="204" spans="1:19">
      <c r="A204" s="650">
        <v>202</v>
      </c>
      <c r="B204" s="651"/>
      <c r="C204" s="662" t="s">
        <v>245</v>
      </c>
      <c r="D204" s="783" t="s">
        <v>2671</v>
      </c>
      <c r="E204" s="782">
        <f t="shared" si="21"/>
        <v>2024</v>
      </c>
      <c r="F204" s="778">
        <f t="shared" si="22"/>
        <v>45657</v>
      </c>
      <c r="G204" s="779">
        <v>0</v>
      </c>
      <c r="H204" s="794">
        <f>+G204</f>
        <v>0</v>
      </c>
      <c r="I204" s="787">
        <v>0</v>
      </c>
      <c r="J204" s="787">
        <f t="shared" si="20"/>
        <v>0</v>
      </c>
      <c r="K204" s="769"/>
      <c r="L204" s="632"/>
      <c r="M204" s="632"/>
      <c r="N204" s="632"/>
      <c r="O204" s="632"/>
      <c r="P204" s="632"/>
      <c r="Q204" s="632"/>
      <c r="R204" s="632"/>
      <c r="S204" s="632"/>
    </row>
    <row r="205" spans="1:19">
      <c r="A205" s="650">
        <v>203</v>
      </c>
      <c r="B205" s="651"/>
      <c r="C205" s="662" t="s">
        <v>246</v>
      </c>
      <c r="D205" s="783" t="s">
        <v>2675</v>
      </c>
      <c r="E205" s="782">
        <f t="shared" si="21"/>
        <v>2024</v>
      </c>
      <c r="F205" s="778">
        <f t="shared" si="22"/>
        <v>45657</v>
      </c>
      <c r="G205" s="785">
        <v>0</v>
      </c>
      <c r="H205" s="794">
        <f>+G205</f>
        <v>0</v>
      </c>
      <c r="I205" s="787">
        <v>0</v>
      </c>
      <c r="J205" s="787">
        <f t="shared" si="20"/>
        <v>0</v>
      </c>
      <c r="K205" s="769"/>
      <c r="L205" s="632"/>
      <c r="M205" s="632"/>
      <c r="N205" s="632"/>
      <c r="O205" s="632"/>
      <c r="P205" s="632"/>
      <c r="Q205" s="632"/>
      <c r="R205" s="632"/>
      <c r="S205" s="632"/>
    </row>
    <row r="206" spans="1:19" s="812" customFormat="1">
      <c r="A206" s="803">
        <v>204</v>
      </c>
      <c r="B206" s="804"/>
      <c r="C206" s="813" t="s">
        <v>247</v>
      </c>
      <c r="D206" s="814" t="s">
        <v>2683</v>
      </c>
      <c r="E206" s="806">
        <f t="shared" si="21"/>
        <v>2024</v>
      </c>
      <c r="F206" s="807">
        <f t="shared" si="22"/>
        <v>45657</v>
      </c>
      <c r="G206" s="808">
        <v>0</v>
      </c>
      <c r="H206" s="809">
        <f>+H207+H208+H209</f>
        <v>0</v>
      </c>
      <c r="I206" s="815">
        <v>0</v>
      </c>
      <c r="J206" s="815">
        <f t="shared" si="20"/>
        <v>0</v>
      </c>
      <c r="K206" s="811"/>
    </row>
    <row r="207" spans="1:19">
      <c r="A207" s="650">
        <v>205</v>
      </c>
      <c r="B207" s="651"/>
      <c r="C207" s="662" t="s">
        <v>248</v>
      </c>
      <c r="D207" s="783" t="s">
        <v>2685</v>
      </c>
      <c r="E207" s="782">
        <f t="shared" si="21"/>
        <v>2024</v>
      </c>
      <c r="F207" s="778">
        <f t="shared" si="22"/>
        <v>45657</v>
      </c>
      <c r="G207" s="785">
        <v>0</v>
      </c>
      <c r="H207" s="794">
        <f>+G207</f>
        <v>0</v>
      </c>
      <c r="I207" s="787">
        <v>0</v>
      </c>
      <c r="J207" s="787">
        <f t="shared" si="20"/>
        <v>0</v>
      </c>
      <c r="K207" s="769"/>
      <c r="L207" s="632"/>
      <c r="M207" s="632"/>
      <c r="N207" s="632"/>
      <c r="O207" s="632"/>
      <c r="P207" s="632"/>
      <c r="Q207" s="632"/>
      <c r="R207" s="632"/>
      <c r="S207" s="632"/>
    </row>
    <row r="208" spans="1:19">
      <c r="A208" s="650">
        <v>206</v>
      </c>
      <c r="B208" s="651"/>
      <c r="C208" s="662" t="s">
        <v>249</v>
      </c>
      <c r="D208" s="783" t="s">
        <v>2689</v>
      </c>
      <c r="E208" s="782">
        <f t="shared" si="21"/>
        <v>2024</v>
      </c>
      <c r="F208" s="778">
        <f t="shared" si="22"/>
        <v>45657</v>
      </c>
      <c r="G208" s="785">
        <v>0</v>
      </c>
      <c r="H208" s="794">
        <f>+G208</f>
        <v>0</v>
      </c>
      <c r="I208" s="787">
        <v>0</v>
      </c>
      <c r="J208" s="787">
        <f t="shared" si="20"/>
        <v>0</v>
      </c>
      <c r="K208" s="769"/>
      <c r="L208" s="632"/>
      <c r="M208" s="632"/>
      <c r="N208" s="632"/>
      <c r="O208" s="632"/>
      <c r="P208" s="632"/>
      <c r="Q208" s="632"/>
      <c r="R208" s="632"/>
      <c r="S208" s="632"/>
    </row>
    <row r="209" spans="1:19">
      <c r="A209" s="650">
        <v>207</v>
      </c>
      <c r="B209" s="651"/>
      <c r="C209" s="662" t="s">
        <v>250</v>
      </c>
      <c r="D209" s="783" t="s">
        <v>2693</v>
      </c>
      <c r="E209" s="782">
        <f t="shared" si="21"/>
        <v>2024</v>
      </c>
      <c r="F209" s="778">
        <f t="shared" si="22"/>
        <v>45657</v>
      </c>
      <c r="G209" s="785">
        <v>0</v>
      </c>
      <c r="H209" s="786">
        <f>+G209</f>
        <v>0</v>
      </c>
      <c r="I209" s="787">
        <v>0</v>
      </c>
      <c r="J209" s="787">
        <f t="shared" si="20"/>
        <v>0</v>
      </c>
      <c r="K209" s="769"/>
      <c r="L209" s="632"/>
      <c r="M209" s="632"/>
      <c r="N209" s="632"/>
      <c r="O209" s="632"/>
      <c r="P209" s="632"/>
      <c r="Q209" s="632"/>
      <c r="R209" s="632"/>
      <c r="S209" s="632"/>
    </row>
    <row r="210" spans="1:19" s="812" customFormat="1">
      <c r="A210" s="803">
        <v>208</v>
      </c>
      <c r="B210" s="804"/>
      <c r="C210" s="813" t="s">
        <v>251</v>
      </c>
      <c r="D210" s="814" t="s">
        <v>2719</v>
      </c>
      <c r="E210" s="806">
        <f t="shared" si="21"/>
        <v>2024</v>
      </c>
      <c r="F210" s="807">
        <f t="shared" si="22"/>
        <v>45657</v>
      </c>
      <c r="G210" s="808">
        <v>17098821</v>
      </c>
      <c r="H210" s="808">
        <f>+G210</f>
        <v>17098821</v>
      </c>
      <c r="I210" s="810">
        <v>16967282</v>
      </c>
      <c r="J210" s="810">
        <f t="shared" si="20"/>
        <v>131539</v>
      </c>
      <c r="K210" s="811">
        <f t="shared" ref="K210:K249" si="23">H210/I210*100-100</f>
        <v>0.77525086221822903</v>
      </c>
    </row>
    <row r="211" spans="1:19">
      <c r="A211" s="650">
        <v>209</v>
      </c>
      <c r="B211" s="651"/>
      <c r="C211" s="652" t="s">
        <v>252</v>
      </c>
      <c r="D211" s="776" t="s">
        <v>2757</v>
      </c>
      <c r="E211" s="782">
        <f t="shared" si="21"/>
        <v>2024</v>
      </c>
      <c r="F211" s="778">
        <f t="shared" si="22"/>
        <v>45657</v>
      </c>
      <c r="G211" s="785">
        <v>149405</v>
      </c>
      <c r="H211" s="816">
        <f>+G211</f>
        <v>149405</v>
      </c>
      <c r="I211" s="787">
        <v>131540</v>
      </c>
      <c r="J211" s="787">
        <f t="shared" si="20"/>
        <v>17865</v>
      </c>
      <c r="K211" s="769">
        <f t="shared" si="23"/>
        <v>13.581420100349703</v>
      </c>
      <c r="L211" s="632"/>
      <c r="M211" s="632"/>
      <c r="N211" s="632"/>
      <c r="O211" s="632"/>
      <c r="P211" s="632"/>
      <c r="Q211" s="632"/>
      <c r="R211" s="632"/>
      <c r="S211" s="632"/>
    </row>
    <row r="212" spans="1:19">
      <c r="A212" s="650">
        <v>210</v>
      </c>
      <c r="B212" s="651"/>
      <c r="C212" s="652" t="s">
        <v>2762</v>
      </c>
      <c r="D212" s="776" t="s">
        <v>11889</v>
      </c>
      <c r="E212" s="782">
        <f t="shared" si="21"/>
        <v>2024</v>
      </c>
      <c r="F212" s="778">
        <f t="shared" si="22"/>
        <v>45657</v>
      </c>
      <c r="G212" s="785">
        <v>61809855</v>
      </c>
      <c r="H212" s="788">
        <f>+H213+H214+H222+H231+H237</f>
        <v>61809855</v>
      </c>
      <c r="I212" s="789">
        <v>60524896</v>
      </c>
      <c r="J212" s="789">
        <f t="shared" si="20"/>
        <v>1284959</v>
      </c>
      <c r="K212" s="769">
        <f t="shared" si="23"/>
        <v>2.1230255397712625</v>
      </c>
      <c r="L212" s="632"/>
      <c r="M212" s="632"/>
      <c r="N212" s="632"/>
      <c r="O212" s="632"/>
      <c r="P212" s="632"/>
      <c r="Q212" s="632"/>
      <c r="R212" s="632"/>
      <c r="S212" s="632"/>
    </row>
    <row r="213" spans="1:19">
      <c r="A213" s="650">
        <v>211</v>
      </c>
      <c r="B213" s="651"/>
      <c r="C213" s="652" t="s">
        <v>253</v>
      </c>
      <c r="D213" s="776" t="s">
        <v>2764</v>
      </c>
      <c r="E213" s="782">
        <f t="shared" si="21"/>
        <v>2024</v>
      </c>
      <c r="F213" s="778">
        <f t="shared" si="22"/>
        <v>45657</v>
      </c>
      <c r="G213" s="779">
        <v>0</v>
      </c>
      <c r="H213" s="786">
        <f>+G213</f>
        <v>0</v>
      </c>
      <c r="I213" s="787">
        <v>0</v>
      </c>
      <c r="J213" s="787">
        <f t="shared" si="20"/>
        <v>0</v>
      </c>
      <c r="K213" s="769"/>
      <c r="L213" s="632"/>
      <c r="M213" s="632"/>
      <c r="N213" s="632"/>
      <c r="O213" s="632"/>
      <c r="P213" s="632"/>
      <c r="Q213" s="632"/>
      <c r="R213" s="632"/>
      <c r="S213" s="632"/>
    </row>
    <row r="214" spans="1:19">
      <c r="A214" s="650">
        <v>212</v>
      </c>
      <c r="B214" s="651"/>
      <c r="C214" s="652" t="s">
        <v>255</v>
      </c>
      <c r="D214" s="776" t="s">
        <v>11890</v>
      </c>
      <c r="E214" s="782">
        <f t="shared" si="21"/>
        <v>2024</v>
      </c>
      <c r="F214" s="778">
        <f t="shared" si="22"/>
        <v>45657</v>
      </c>
      <c r="G214" s="785">
        <v>23268722</v>
      </c>
      <c r="H214" s="788">
        <f>SUM(H215:H221)</f>
        <v>23268722</v>
      </c>
      <c r="I214" s="789">
        <v>26039080</v>
      </c>
      <c r="J214" s="789">
        <f t="shared" si="20"/>
        <v>-2770358</v>
      </c>
      <c r="K214" s="769">
        <f t="shared" si="23"/>
        <v>-10.639231493585797</v>
      </c>
      <c r="L214" s="632"/>
      <c r="M214" s="632"/>
      <c r="N214" s="632"/>
      <c r="O214" s="632"/>
      <c r="P214" s="632"/>
      <c r="Q214" s="632"/>
      <c r="R214" s="632"/>
      <c r="S214" s="632"/>
    </row>
    <row r="215" spans="1:19">
      <c r="A215" s="650">
        <v>213</v>
      </c>
      <c r="B215" s="651"/>
      <c r="C215" s="662" t="s">
        <v>254</v>
      </c>
      <c r="D215" s="783" t="s">
        <v>2768</v>
      </c>
      <c r="E215" s="782">
        <f t="shared" si="21"/>
        <v>2024</v>
      </c>
      <c r="F215" s="778">
        <f t="shared" si="22"/>
        <v>45657</v>
      </c>
      <c r="G215" s="779">
        <v>16061836</v>
      </c>
      <c r="H215" s="786">
        <f t="shared" ref="H215:H221" si="24">+G215</f>
        <v>16061836</v>
      </c>
      <c r="I215" s="787">
        <v>12980482</v>
      </c>
      <c r="J215" s="787">
        <f t="shared" si="20"/>
        <v>3081354</v>
      </c>
      <c r="K215" s="769">
        <f t="shared" si="23"/>
        <v>23.738363490662366</v>
      </c>
      <c r="L215" s="632"/>
      <c r="M215" s="632"/>
      <c r="N215" s="632"/>
      <c r="O215" s="632"/>
      <c r="P215" s="632"/>
      <c r="Q215" s="632"/>
      <c r="R215" s="632"/>
      <c r="S215" s="632"/>
    </row>
    <row r="216" spans="1:19">
      <c r="A216" s="650">
        <v>214</v>
      </c>
      <c r="B216" s="651"/>
      <c r="C216" s="662" t="s">
        <v>256</v>
      </c>
      <c r="D216" s="783" t="s">
        <v>2772</v>
      </c>
      <c r="E216" s="782">
        <f t="shared" si="21"/>
        <v>2024</v>
      </c>
      <c r="F216" s="778">
        <f t="shared" si="22"/>
        <v>45657</v>
      </c>
      <c r="G216" s="785">
        <v>4708948</v>
      </c>
      <c r="H216" s="786">
        <f t="shared" si="24"/>
        <v>4708948</v>
      </c>
      <c r="I216" s="787">
        <v>4936391</v>
      </c>
      <c r="J216" s="787">
        <f t="shared" si="20"/>
        <v>-227443</v>
      </c>
      <c r="K216" s="769">
        <f t="shared" si="23"/>
        <v>-4.6074753802930104</v>
      </c>
      <c r="L216" s="632"/>
      <c r="M216" s="632"/>
      <c r="N216" s="632"/>
      <c r="O216" s="632"/>
      <c r="P216" s="632"/>
      <c r="Q216" s="632"/>
      <c r="R216" s="632"/>
      <c r="S216" s="632"/>
    </row>
    <row r="217" spans="1:19">
      <c r="A217" s="650">
        <v>215</v>
      </c>
      <c r="B217" s="651"/>
      <c r="C217" s="662" t="s">
        <v>257</v>
      </c>
      <c r="D217" s="783" t="s">
        <v>2778</v>
      </c>
      <c r="E217" s="782">
        <f t="shared" si="21"/>
        <v>2024</v>
      </c>
      <c r="F217" s="778">
        <f t="shared" si="22"/>
        <v>45657</v>
      </c>
      <c r="G217" s="785">
        <v>0</v>
      </c>
      <c r="H217" s="786">
        <f t="shared" si="24"/>
        <v>0</v>
      </c>
      <c r="I217" s="787">
        <v>0</v>
      </c>
      <c r="J217" s="787">
        <f t="shared" si="20"/>
        <v>0</v>
      </c>
      <c r="K217" s="769"/>
      <c r="L217" s="632"/>
      <c r="M217" s="632"/>
      <c r="N217" s="632"/>
      <c r="O217" s="632"/>
      <c r="P217" s="632"/>
      <c r="Q217" s="632"/>
      <c r="R217" s="632"/>
      <c r="S217" s="632"/>
    </row>
    <row r="218" spans="1:19">
      <c r="A218" s="650">
        <v>216</v>
      </c>
      <c r="B218" s="651"/>
      <c r="C218" s="662" t="s">
        <v>258</v>
      </c>
      <c r="D218" s="783" t="s">
        <v>2782</v>
      </c>
      <c r="E218" s="782">
        <f t="shared" si="21"/>
        <v>2024</v>
      </c>
      <c r="F218" s="778">
        <f t="shared" si="22"/>
        <v>45657</v>
      </c>
      <c r="G218" s="785">
        <v>1445050</v>
      </c>
      <c r="H218" s="786">
        <f t="shared" si="24"/>
        <v>1445050</v>
      </c>
      <c r="I218" s="787">
        <v>7069319</v>
      </c>
      <c r="J218" s="787">
        <f t="shared" si="20"/>
        <v>-5624269</v>
      </c>
      <c r="K218" s="769">
        <f t="shared" si="23"/>
        <v>-79.558851425434341</v>
      </c>
      <c r="L218" s="632"/>
      <c r="M218" s="632"/>
      <c r="N218" s="632"/>
      <c r="O218" s="632"/>
      <c r="P218" s="632"/>
      <c r="Q218" s="632"/>
      <c r="R218" s="632"/>
      <c r="S218" s="632"/>
    </row>
    <row r="219" spans="1:19">
      <c r="A219" s="650">
        <v>217</v>
      </c>
      <c r="B219" s="651"/>
      <c r="C219" s="677" t="s">
        <v>2786</v>
      </c>
      <c r="D219" s="793" t="s">
        <v>2787</v>
      </c>
      <c r="E219" s="782">
        <f t="shared" si="21"/>
        <v>2024</v>
      </c>
      <c r="F219" s="778">
        <f t="shared" si="22"/>
        <v>45657</v>
      </c>
      <c r="G219" s="779">
        <v>0</v>
      </c>
      <c r="H219" s="786">
        <f t="shared" si="24"/>
        <v>0</v>
      </c>
      <c r="I219" s="787">
        <v>0</v>
      </c>
      <c r="J219" s="787">
        <f t="shared" si="20"/>
        <v>0</v>
      </c>
      <c r="K219" s="769"/>
      <c r="L219" s="632"/>
      <c r="M219" s="632"/>
      <c r="N219" s="632"/>
      <c r="O219" s="632"/>
      <c r="P219" s="632"/>
      <c r="Q219" s="632"/>
      <c r="R219" s="632"/>
      <c r="S219" s="632"/>
    </row>
    <row r="220" spans="1:19">
      <c r="A220" s="650">
        <v>218</v>
      </c>
      <c r="B220" s="651"/>
      <c r="C220" s="677" t="s">
        <v>2791</v>
      </c>
      <c r="D220" s="793" t="s">
        <v>2792</v>
      </c>
      <c r="E220" s="782">
        <f t="shared" si="21"/>
        <v>2024</v>
      </c>
      <c r="F220" s="778">
        <f t="shared" si="22"/>
        <v>45657</v>
      </c>
      <c r="G220" s="779">
        <v>0</v>
      </c>
      <c r="H220" s="786">
        <f t="shared" si="24"/>
        <v>0</v>
      </c>
      <c r="I220" s="787">
        <v>0</v>
      </c>
      <c r="J220" s="787">
        <f t="shared" si="20"/>
        <v>0</v>
      </c>
      <c r="K220" s="769"/>
      <c r="L220" s="632"/>
      <c r="M220" s="632"/>
      <c r="N220" s="632"/>
      <c r="O220" s="632"/>
      <c r="P220" s="632"/>
      <c r="Q220" s="632"/>
      <c r="R220" s="632"/>
      <c r="S220" s="632"/>
    </row>
    <row r="221" spans="1:19">
      <c r="A221" s="650">
        <v>219</v>
      </c>
      <c r="B221" s="651"/>
      <c r="C221" s="677" t="s">
        <v>259</v>
      </c>
      <c r="D221" s="793" t="s">
        <v>2795</v>
      </c>
      <c r="E221" s="782">
        <f t="shared" si="21"/>
        <v>2024</v>
      </c>
      <c r="F221" s="778">
        <f t="shared" si="22"/>
        <v>45657</v>
      </c>
      <c r="G221" s="785">
        <v>1052888</v>
      </c>
      <c r="H221" s="786">
        <f t="shared" si="24"/>
        <v>1052888</v>
      </c>
      <c r="I221" s="787">
        <v>1052888</v>
      </c>
      <c r="J221" s="787">
        <f t="shared" si="20"/>
        <v>0</v>
      </c>
      <c r="K221" s="769">
        <f t="shared" si="23"/>
        <v>0</v>
      </c>
      <c r="L221" s="632"/>
      <c r="M221" s="632"/>
      <c r="N221" s="632"/>
      <c r="O221" s="632"/>
      <c r="P221" s="632"/>
      <c r="Q221" s="632"/>
      <c r="R221" s="632"/>
      <c r="S221" s="632"/>
    </row>
    <row r="222" spans="1:19">
      <c r="A222" s="650">
        <v>220</v>
      </c>
      <c r="B222" s="651"/>
      <c r="C222" s="652" t="s">
        <v>260</v>
      </c>
      <c r="D222" s="776" t="s">
        <v>2809</v>
      </c>
      <c r="E222" s="782">
        <f t="shared" si="21"/>
        <v>2024</v>
      </c>
      <c r="F222" s="778">
        <f t="shared" si="22"/>
        <v>45657</v>
      </c>
      <c r="G222" s="785">
        <v>650805</v>
      </c>
      <c r="H222" s="788">
        <f>SUM(H223:H230)</f>
        <v>650805</v>
      </c>
      <c r="I222" s="789">
        <v>650805</v>
      </c>
      <c r="J222" s="789">
        <f t="shared" si="20"/>
        <v>0</v>
      </c>
      <c r="K222" s="769">
        <f t="shared" si="23"/>
        <v>0</v>
      </c>
      <c r="L222" s="632"/>
      <c r="M222" s="632"/>
      <c r="N222" s="632"/>
      <c r="O222" s="632"/>
      <c r="P222" s="632"/>
      <c r="Q222" s="632"/>
      <c r="R222" s="632"/>
      <c r="S222" s="632"/>
    </row>
    <row r="223" spans="1:19">
      <c r="A223" s="650">
        <v>221</v>
      </c>
      <c r="B223" s="651"/>
      <c r="C223" s="662" t="s">
        <v>261</v>
      </c>
      <c r="D223" s="783" t="s">
        <v>2811</v>
      </c>
      <c r="E223" s="782">
        <f t="shared" si="21"/>
        <v>2024</v>
      </c>
      <c r="F223" s="778">
        <f t="shared" si="22"/>
        <v>45657</v>
      </c>
      <c r="G223" s="785">
        <v>0</v>
      </c>
      <c r="H223" s="786">
        <f t="shared" ref="H223:H230" si="25">+G223</f>
        <v>0</v>
      </c>
      <c r="I223" s="787">
        <v>0</v>
      </c>
      <c r="J223" s="787">
        <f t="shared" si="20"/>
        <v>0</v>
      </c>
      <c r="K223" s="769"/>
      <c r="L223" s="632"/>
      <c r="M223" s="632"/>
      <c r="N223" s="632"/>
      <c r="O223" s="632"/>
      <c r="P223" s="632"/>
      <c r="Q223" s="632"/>
      <c r="R223" s="632"/>
      <c r="S223" s="632"/>
    </row>
    <row r="224" spans="1:19">
      <c r="A224" s="650">
        <v>222</v>
      </c>
      <c r="B224" s="651"/>
      <c r="C224" s="662" t="s">
        <v>262</v>
      </c>
      <c r="D224" s="783" t="s">
        <v>2815</v>
      </c>
      <c r="E224" s="782">
        <f t="shared" si="21"/>
        <v>2024</v>
      </c>
      <c r="F224" s="778">
        <f t="shared" si="22"/>
        <v>45657</v>
      </c>
      <c r="G224" s="785">
        <v>0</v>
      </c>
      <c r="H224" s="786">
        <f t="shared" si="25"/>
        <v>0</v>
      </c>
      <c r="I224" s="787">
        <v>0</v>
      </c>
      <c r="J224" s="787">
        <f t="shared" si="20"/>
        <v>0</v>
      </c>
      <c r="K224" s="769"/>
      <c r="L224" s="632"/>
      <c r="M224" s="632"/>
      <c r="N224" s="632"/>
      <c r="O224" s="632"/>
      <c r="P224" s="632"/>
      <c r="Q224" s="632"/>
      <c r="R224" s="632"/>
      <c r="S224" s="632"/>
    </row>
    <row r="225" spans="1:19">
      <c r="A225" s="650">
        <v>223</v>
      </c>
      <c r="B225" s="651"/>
      <c r="C225" s="662" t="s">
        <v>263</v>
      </c>
      <c r="D225" s="783" t="s">
        <v>2819</v>
      </c>
      <c r="E225" s="782">
        <f t="shared" si="21"/>
        <v>2024</v>
      </c>
      <c r="F225" s="778">
        <f t="shared" si="22"/>
        <v>45657</v>
      </c>
      <c r="G225" s="779">
        <v>0</v>
      </c>
      <c r="H225" s="786">
        <f t="shared" si="25"/>
        <v>0</v>
      </c>
      <c r="I225" s="787">
        <v>0</v>
      </c>
      <c r="J225" s="787">
        <f t="shared" si="20"/>
        <v>0</v>
      </c>
      <c r="K225" s="769"/>
      <c r="L225" s="632"/>
      <c r="M225" s="632"/>
      <c r="N225" s="632"/>
      <c r="O225" s="632"/>
      <c r="P225" s="632"/>
      <c r="Q225" s="632"/>
      <c r="R225" s="632"/>
      <c r="S225" s="632"/>
    </row>
    <row r="226" spans="1:19">
      <c r="A226" s="650">
        <v>224</v>
      </c>
      <c r="B226" s="651"/>
      <c r="C226" s="662" t="s">
        <v>264</v>
      </c>
      <c r="D226" s="783" t="s">
        <v>2823</v>
      </c>
      <c r="E226" s="782">
        <f t="shared" si="21"/>
        <v>2024</v>
      </c>
      <c r="F226" s="778">
        <f t="shared" si="22"/>
        <v>45657</v>
      </c>
      <c r="G226" s="785">
        <v>0</v>
      </c>
      <c r="H226" s="786">
        <f t="shared" si="25"/>
        <v>0</v>
      </c>
      <c r="I226" s="787">
        <v>0</v>
      </c>
      <c r="J226" s="787">
        <f t="shared" si="20"/>
        <v>0</v>
      </c>
      <c r="K226" s="769"/>
      <c r="L226" s="632"/>
      <c r="M226" s="632"/>
      <c r="N226" s="632"/>
      <c r="O226" s="632"/>
      <c r="P226" s="632"/>
      <c r="Q226" s="632"/>
      <c r="R226" s="632"/>
      <c r="S226" s="632"/>
    </row>
    <row r="227" spans="1:19">
      <c r="A227" s="650">
        <v>225</v>
      </c>
      <c r="B227" s="651"/>
      <c r="C227" s="662" t="s">
        <v>265</v>
      </c>
      <c r="D227" s="783" t="s">
        <v>2828</v>
      </c>
      <c r="E227" s="782">
        <f t="shared" si="21"/>
        <v>2024</v>
      </c>
      <c r="F227" s="778">
        <f t="shared" si="22"/>
        <v>45657</v>
      </c>
      <c r="G227" s="785">
        <v>0</v>
      </c>
      <c r="H227" s="786">
        <f t="shared" si="25"/>
        <v>0</v>
      </c>
      <c r="I227" s="787">
        <v>0</v>
      </c>
      <c r="J227" s="787">
        <f t="shared" si="20"/>
        <v>0</v>
      </c>
      <c r="K227" s="769"/>
      <c r="L227" s="632"/>
      <c r="M227" s="632"/>
      <c r="N227" s="632"/>
      <c r="O227" s="632"/>
      <c r="P227" s="632"/>
      <c r="Q227" s="632"/>
      <c r="R227" s="632"/>
      <c r="S227" s="632"/>
    </row>
    <row r="228" spans="1:19">
      <c r="A228" s="650">
        <v>226</v>
      </c>
      <c r="B228" s="651"/>
      <c r="C228" s="662" t="s">
        <v>266</v>
      </c>
      <c r="D228" s="783" t="s">
        <v>2833</v>
      </c>
      <c r="E228" s="782">
        <f t="shared" si="21"/>
        <v>2024</v>
      </c>
      <c r="F228" s="778">
        <f t="shared" si="22"/>
        <v>45657</v>
      </c>
      <c r="G228" s="785">
        <v>0</v>
      </c>
      <c r="H228" s="786">
        <f t="shared" si="25"/>
        <v>0</v>
      </c>
      <c r="I228" s="787">
        <v>0</v>
      </c>
      <c r="J228" s="787">
        <f t="shared" si="20"/>
        <v>0</v>
      </c>
      <c r="K228" s="769"/>
      <c r="L228" s="632"/>
      <c r="M228" s="632"/>
      <c r="N228" s="632"/>
      <c r="O228" s="632"/>
      <c r="P228" s="632"/>
      <c r="Q228" s="632"/>
      <c r="R228" s="632"/>
      <c r="S228" s="632"/>
    </row>
    <row r="229" spans="1:19">
      <c r="A229" s="650">
        <v>227</v>
      </c>
      <c r="B229" s="651"/>
      <c r="C229" s="662" t="s">
        <v>267</v>
      </c>
      <c r="D229" s="783" t="s">
        <v>2838</v>
      </c>
      <c r="E229" s="782">
        <f t="shared" si="21"/>
        <v>2024</v>
      </c>
      <c r="F229" s="778">
        <f t="shared" si="22"/>
        <v>45657</v>
      </c>
      <c r="G229" s="785">
        <v>650805</v>
      </c>
      <c r="H229" s="786">
        <f t="shared" si="25"/>
        <v>650805</v>
      </c>
      <c r="I229" s="787">
        <v>650805</v>
      </c>
      <c r="J229" s="787">
        <f t="shared" si="20"/>
        <v>0</v>
      </c>
      <c r="K229" s="769">
        <f t="shared" si="23"/>
        <v>0</v>
      </c>
      <c r="L229" s="632"/>
      <c r="M229" s="632"/>
      <c r="N229" s="632"/>
      <c r="O229" s="632"/>
      <c r="P229" s="632"/>
      <c r="Q229" s="632"/>
      <c r="R229" s="632"/>
      <c r="S229" s="632"/>
    </row>
    <row r="230" spans="1:19">
      <c r="A230" s="650">
        <v>228</v>
      </c>
      <c r="B230" s="651"/>
      <c r="C230" s="662" t="s">
        <v>2843</v>
      </c>
      <c r="D230" s="783" t="s">
        <v>2844</v>
      </c>
      <c r="E230" s="782">
        <f t="shared" si="21"/>
        <v>2024</v>
      </c>
      <c r="F230" s="778">
        <f t="shared" si="22"/>
        <v>45657</v>
      </c>
      <c r="G230" s="785">
        <v>0</v>
      </c>
      <c r="H230" s="786">
        <f t="shared" si="25"/>
        <v>0</v>
      </c>
      <c r="I230" s="787">
        <v>0</v>
      </c>
      <c r="J230" s="787">
        <f t="shared" si="20"/>
        <v>0</v>
      </c>
      <c r="K230" s="769"/>
      <c r="L230" s="632"/>
      <c r="M230" s="632"/>
      <c r="N230" s="632"/>
      <c r="O230" s="632"/>
      <c r="P230" s="632"/>
      <c r="Q230" s="632"/>
      <c r="R230" s="632"/>
      <c r="S230" s="632"/>
    </row>
    <row r="231" spans="1:19">
      <c r="A231" s="650">
        <v>229</v>
      </c>
      <c r="B231" s="651"/>
      <c r="C231" s="652" t="s">
        <v>268</v>
      </c>
      <c r="D231" s="776" t="s">
        <v>2847</v>
      </c>
      <c r="E231" s="782">
        <f t="shared" si="21"/>
        <v>2024</v>
      </c>
      <c r="F231" s="778">
        <f t="shared" si="22"/>
        <v>45657</v>
      </c>
      <c r="G231" s="785">
        <v>29618289</v>
      </c>
      <c r="H231" s="788">
        <f>SUM(H232:H236)</f>
        <v>29618289</v>
      </c>
      <c r="I231" s="789">
        <v>26424313</v>
      </c>
      <c r="J231" s="789">
        <f t="shared" si="20"/>
        <v>3193976</v>
      </c>
      <c r="K231" s="769">
        <f t="shared" si="23"/>
        <v>12.08726221188796</v>
      </c>
      <c r="L231" s="632"/>
      <c r="M231" s="632"/>
      <c r="N231" s="632"/>
      <c r="O231" s="632"/>
      <c r="P231" s="632"/>
      <c r="Q231" s="632"/>
      <c r="R231" s="632"/>
      <c r="S231" s="632"/>
    </row>
    <row r="232" spans="1:19">
      <c r="A232" s="650">
        <v>230</v>
      </c>
      <c r="B232" s="651"/>
      <c r="C232" s="677" t="s">
        <v>2849</v>
      </c>
      <c r="D232" s="793" t="s">
        <v>2850</v>
      </c>
      <c r="E232" s="782">
        <f t="shared" si="21"/>
        <v>2024</v>
      </c>
      <c r="F232" s="778">
        <f t="shared" si="22"/>
        <v>45657</v>
      </c>
      <c r="G232" s="785">
        <v>345668</v>
      </c>
      <c r="H232" s="786">
        <f>+G232</f>
        <v>345668</v>
      </c>
      <c r="I232" s="787">
        <v>345668</v>
      </c>
      <c r="J232" s="787">
        <f t="shared" si="20"/>
        <v>0</v>
      </c>
      <c r="K232" s="769">
        <f t="shared" si="23"/>
        <v>0</v>
      </c>
      <c r="L232" s="632"/>
      <c r="M232" s="632"/>
      <c r="N232" s="632"/>
      <c r="O232" s="632"/>
      <c r="P232" s="632"/>
      <c r="Q232" s="632"/>
      <c r="R232" s="632"/>
      <c r="S232" s="632"/>
    </row>
    <row r="233" spans="1:19">
      <c r="A233" s="650">
        <v>231</v>
      </c>
      <c r="B233" s="651"/>
      <c r="C233" s="662" t="s">
        <v>269</v>
      </c>
      <c r="D233" s="783" t="s">
        <v>11891</v>
      </c>
      <c r="E233" s="782">
        <f t="shared" si="21"/>
        <v>2024</v>
      </c>
      <c r="F233" s="778">
        <f t="shared" si="22"/>
        <v>45657</v>
      </c>
      <c r="G233" s="816">
        <v>16866512</v>
      </c>
      <c r="H233" s="786">
        <f>+G233</f>
        <v>16866512</v>
      </c>
      <c r="I233" s="787">
        <v>18268502</v>
      </c>
      <c r="J233" s="787">
        <f t="shared" si="20"/>
        <v>-1401990</v>
      </c>
      <c r="K233" s="769">
        <f t="shared" si="23"/>
        <v>-7.6743566604421005</v>
      </c>
      <c r="L233" s="632"/>
      <c r="M233" s="632"/>
      <c r="N233" s="632"/>
      <c r="O233" s="632"/>
      <c r="P233" s="632"/>
      <c r="Q233" s="632"/>
      <c r="R233" s="632"/>
      <c r="S233" s="632"/>
    </row>
    <row r="234" spans="1:19">
      <c r="A234" s="650">
        <v>232</v>
      </c>
      <c r="B234" s="651"/>
      <c r="C234" s="662" t="s">
        <v>270</v>
      </c>
      <c r="D234" s="783" t="s">
        <v>2997</v>
      </c>
      <c r="E234" s="782">
        <f t="shared" si="21"/>
        <v>2024</v>
      </c>
      <c r="F234" s="778">
        <f t="shared" si="22"/>
        <v>45657</v>
      </c>
      <c r="G234" s="817">
        <v>4621415</v>
      </c>
      <c r="H234" s="786">
        <f>+G234</f>
        <v>4621415</v>
      </c>
      <c r="I234" s="787">
        <v>1520186</v>
      </c>
      <c r="J234" s="787">
        <f t="shared" si="20"/>
        <v>3101229</v>
      </c>
      <c r="K234" s="769">
        <f t="shared" si="23"/>
        <v>204.00326012737918</v>
      </c>
      <c r="L234" s="632"/>
      <c r="M234" s="632"/>
      <c r="N234" s="632"/>
      <c r="O234" s="632"/>
      <c r="P234" s="632"/>
      <c r="Q234" s="632"/>
      <c r="R234" s="632"/>
      <c r="S234" s="632"/>
    </row>
    <row r="235" spans="1:19">
      <c r="A235" s="650">
        <v>233</v>
      </c>
      <c r="B235" s="651"/>
      <c r="C235" s="662" t="s">
        <v>271</v>
      </c>
      <c r="D235" s="783" t="s">
        <v>3006</v>
      </c>
      <c r="E235" s="782">
        <f t="shared" si="21"/>
        <v>2024</v>
      </c>
      <c r="F235" s="778">
        <f t="shared" si="22"/>
        <v>45657</v>
      </c>
      <c r="G235" s="816">
        <v>7698597</v>
      </c>
      <c r="H235" s="786">
        <f>+G235</f>
        <v>7698597</v>
      </c>
      <c r="I235" s="787">
        <v>6213860</v>
      </c>
      <c r="J235" s="787">
        <f t="shared" si="20"/>
        <v>1484737</v>
      </c>
      <c r="K235" s="769">
        <f t="shared" si="23"/>
        <v>23.893956413565803</v>
      </c>
      <c r="L235" s="632"/>
      <c r="M235" s="632"/>
      <c r="N235" s="632"/>
      <c r="O235" s="632"/>
      <c r="P235" s="632"/>
      <c r="Q235" s="632"/>
      <c r="R235" s="632"/>
      <c r="S235" s="632"/>
    </row>
    <row r="236" spans="1:19">
      <c r="A236" s="650">
        <v>234</v>
      </c>
      <c r="B236" s="651"/>
      <c r="C236" s="662" t="s">
        <v>272</v>
      </c>
      <c r="D236" s="783" t="s">
        <v>3056</v>
      </c>
      <c r="E236" s="782">
        <f t="shared" si="21"/>
        <v>2024</v>
      </c>
      <c r="F236" s="778">
        <f t="shared" si="22"/>
        <v>45657</v>
      </c>
      <c r="G236" s="816">
        <v>86097</v>
      </c>
      <c r="H236" s="794">
        <f>+G236</f>
        <v>86097</v>
      </c>
      <c r="I236" s="787">
        <v>76097</v>
      </c>
      <c r="J236" s="787">
        <f t="shared" si="20"/>
        <v>10000</v>
      </c>
      <c r="K236" s="769">
        <f t="shared" si="23"/>
        <v>13.141122514685193</v>
      </c>
      <c r="L236" s="632"/>
      <c r="M236" s="632"/>
      <c r="N236" s="632"/>
      <c r="O236" s="632"/>
      <c r="P236" s="632"/>
      <c r="Q236" s="632"/>
      <c r="R236" s="632"/>
      <c r="S236" s="632"/>
    </row>
    <row r="237" spans="1:19">
      <c r="A237" s="650">
        <v>235</v>
      </c>
      <c r="B237" s="651"/>
      <c r="C237" s="652" t="s">
        <v>274</v>
      </c>
      <c r="D237" s="776" t="s">
        <v>11892</v>
      </c>
      <c r="E237" s="782">
        <f t="shared" si="21"/>
        <v>2024</v>
      </c>
      <c r="F237" s="778">
        <f t="shared" si="22"/>
        <v>45657</v>
      </c>
      <c r="G237" s="779">
        <v>8272039</v>
      </c>
      <c r="H237" s="780">
        <f>+H238+H239+H243+H244</f>
        <v>8272039</v>
      </c>
      <c r="I237" s="781">
        <v>7410698</v>
      </c>
      <c r="J237" s="781">
        <f t="shared" si="20"/>
        <v>861341</v>
      </c>
      <c r="K237" s="769">
        <f t="shared" si="23"/>
        <v>11.622940241256629</v>
      </c>
      <c r="L237" s="632"/>
      <c r="M237" s="632"/>
      <c r="N237" s="632"/>
      <c r="O237" s="632"/>
      <c r="P237" s="632"/>
      <c r="Q237" s="632"/>
      <c r="R237" s="632"/>
      <c r="S237" s="632"/>
    </row>
    <row r="238" spans="1:19">
      <c r="A238" s="650">
        <v>236</v>
      </c>
      <c r="B238" s="651"/>
      <c r="C238" s="662" t="s">
        <v>273</v>
      </c>
      <c r="D238" s="783" t="s">
        <v>3065</v>
      </c>
      <c r="E238" s="782">
        <f t="shared" si="21"/>
        <v>2024</v>
      </c>
      <c r="F238" s="778">
        <f t="shared" si="22"/>
        <v>45657</v>
      </c>
      <c r="G238" s="779">
        <v>0</v>
      </c>
      <c r="H238" s="794">
        <f>+G238</f>
        <v>0</v>
      </c>
      <c r="I238" s="787">
        <v>0</v>
      </c>
      <c r="J238" s="787">
        <f t="shared" si="20"/>
        <v>0</v>
      </c>
      <c r="K238" s="769"/>
      <c r="L238" s="632"/>
      <c r="M238" s="632"/>
      <c r="N238" s="632"/>
      <c r="O238" s="632"/>
      <c r="P238" s="632"/>
      <c r="Q238" s="632"/>
      <c r="R238" s="632"/>
      <c r="S238" s="632"/>
    </row>
    <row r="239" spans="1:19">
      <c r="A239" s="650">
        <v>237</v>
      </c>
      <c r="B239" s="651"/>
      <c r="C239" s="662" t="s">
        <v>11893</v>
      </c>
      <c r="D239" s="783" t="s">
        <v>11894</v>
      </c>
      <c r="E239" s="782">
        <f t="shared" si="21"/>
        <v>2024</v>
      </c>
      <c r="F239" s="778">
        <f t="shared" si="22"/>
        <v>45657</v>
      </c>
      <c r="G239" s="785">
        <v>3711216</v>
      </c>
      <c r="H239" s="780">
        <f>+H240+H241+H242</f>
        <v>3711216</v>
      </c>
      <c r="I239" s="781">
        <v>3790900</v>
      </c>
      <c r="J239" s="781">
        <f t="shared" si="20"/>
        <v>-79684</v>
      </c>
      <c r="K239" s="769">
        <f t="shared" si="23"/>
        <v>-2.1019810599066204</v>
      </c>
      <c r="L239" s="632"/>
      <c r="M239" s="632"/>
      <c r="N239" s="632"/>
      <c r="O239" s="632"/>
      <c r="P239" s="632"/>
      <c r="Q239" s="632"/>
      <c r="R239" s="632"/>
      <c r="S239" s="632"/>
    </row>
    <row r="240" spans="1:19">
      <c r="A240" s="650">
        <v>238</v>
      </c>
      <c r="B240" s="651"/>
      <c r="C240" s="664" t="s">
        <v>307</v>
      </c>
      <c r="D240" s="784" t="s">
        <v>11895</v>
      </c>
      <c r="E240" s="782">
        <f t="shared" si="21"/>
        <v>2024</v>
      </c>
      <c r="F240" s="778">
        <f t="shared" si="22"/>
        <v>45657</v>
      </c>
      <c r="G240" s="779">
        <v>3711216</v>
      </c>
      <c r="H240" s="794">
        <f>+G240</f>
        <v>3711216</v>
      </c>
      <c r="I240" s="787">
        <v>3790900</v>
      </c>
      <c r="J240" s="787">
        <f t="shared" si="20"/>
        <v>-79684</v>
      </c>
      <c r="K240" s="769">
        <f t="shared" si="23"/>
        <v>-2.1019810599066204</v>
      </c>
      <c r="L240" s="632"/>
      <c r="M240" s="632"/>
      <c r="N240" s="632"/>
      <c r="O240" s="632"/>
      <c r="P240" s="632"/>
      <c r="Q240" s="632"/>
      <c r="R240" s="632"/>
      <c r="S240" s="632"/>
    </row>
    <row r="241" spans="1:19">
      <c r="A241" s="650">
        <v>239</v>
      </c>
      <c r="B241" s="651"/>
      <c r="C241" s="664" t="s">
        <v>308</v>
      </c>
      <c r="D241" s="784" t="s">
        <v>3090</v>
      </c>
      <c r="E241" s="782">
        <f t="shared" si="21"/>
        <v>2024</v>
      </c>
      <c r="F241" s="778">
        <f t="shared" si="22"/>
        <v>45657</v>
      </c>
      <c r="G241" s="785">
        <v>0</v>
      </c>
      <c r="H241" s="786">
        <f>+G241</f>
        <v>0</v>
      </c>
      <c r="I241" s="787">
        <v>0</v>
      </c>
      <c r="J241" s="787">
        <f t="shared" si="20"/>
        <v>0</v>
      </c>
      <c r="K241" s="769"/>
      <c r="L241" s="632"/>
      <c r="M241" s="632"/>
      <c r="N241" s="632"/>
      <c r="O241" s="632"/>
      <c r="P241" s="632"/>
      <c r="Q241" s="632"/>
      <c r="R241" s="632"/>
      <c r="S241" s="632"/>
    </row>
    <row r="242" spans="1:19">
      <c r="A242" s="650">
        <v>240</v>
      </c>
      <c r="B242" s="651"/>
      <c r="C242" s="664" t="s">
        <v>275</v>
      </c>
      <c r="D242" s="784" t="s">
        <v>3095</v>
      </c>
      <c r="E242" s="782">
        <f t="shared" si="21"/>
        <v>2024</v>
      </c>
      <c r="F242" s="778">
        <f t="shared" si="22"/>
        <v>45657</v>
      </c>
      <c r="G242" s="785">
        <v>0</v>
      </c>
      <c r="H242" s="786">
        <f>+G242</f>
        <v>0</v>
      </c>
      <c r="I242" s="787">
        <v>0</v>
      </c>
      <c r="J242" s="787">
        <f t="shared" si="20"/>
        <v>0</v>
      </c>
      <c r="K242" s="769"/>
      <c r="L242" s="632"/>
      <c r="M242" s="632"/>
      <c r="N242" s="632"/>
      <c r="O242" s="632"/>
      <c r="P242" s="632"/>
      <c r="Q242" s="632"/>
      <c r="R242" s="632"/>
      <c r="S242" s="632"/>
    </row>
    <row r="243" spans="1:19">
      <c r="A243" s="650">
        <v>241</v>
      </c>
      <c r="B243" s="651"/>
      <c r="C243" s="662" t="s">
        <v>309</v>
      </c>
      <c r="D243" s="783" t="s">
        <v>3099</v>
      </c>
      <c r="E243" s="782">
        <f t="shared" si="21"/>
        <v>2024</v>
      </c>
      <c r="F243" s="778">
        <f t="shared" si="22"/>
        <v>45657</v>
      </c>
      <c r="G243" s="785">
        <v>4220823</v>
      </c>
      <c r="H243" s="786">
        <f>+G243</f>
        <v>4220823</v>
      </c>
      <c r="I243" s="787">
        <v>3619798</v>
      </c>
      <c r="J243" s="787">
        <f t="shared" si="20"/>
        <v>601025</v>
      </c>
      <c r="K243" s="769">
        <f t="shared" si="23"/>
        <v>16.603827064383154</v>
      </c>
      <c r="L243" s="632"/>
      <c r="M243" s="632"/>
      <c r="N243" s="632"/>
      <c r="O243" s="632"/>
      <c r="P243" s="632"/>
      <c r="Q243" s="632"/>
      <c r="R243" s="632"/>
      <c r="S243" s="632"/>
    </row>
    <row r="244" spans="1:19">
      <c r="A244" s="650">
        <v>242</v>
      </c>
      <c r="B244" s="651"/>
      <c r="C244" s="662" t="s">
        <v>3146</v>
      </c>
      <c r="D244" s="783" t="s">
        <v>3147</v>
      </c>
      <c r="E244" s="782">
        <f t="shared" si="21"/>
        <v>2024</v>
      </c>
      <c r="F244" s="778">
        <f t="shared" si="22"/>
        <v>45657</v>
      </c>
      <c r="G244" s="785">
        <v>340000</v>
      </c>
      <c r="H244" s="786">
        <f>+G244</f>
        <v>340000</v>
      </c>
      <c r="I244" s="787">
        <v>0</v>
      </c>
      <c r="J244" s="787">
        <f t="shared" si="20"/>
        <v>340000</v>
      </c>
      <c r="K244" s="769"/>
      <c r="L244" s="632"/>
      <c r="M244" s="632"/>
      <c r="N244" s="632"/>
      <c r="O244" s="632"/>
      <c r="P244" s="632"/>
      <c r="Q244" s="632"/>
      <c r="R244" s="632"/>
      <c r="S244" s="632"/>
    </row>
    <row r="245" spans="1:19">
      <c r="A245" s="650">
        <v>243</v>
      </c>
      <c r="B245" s="651"/>
      <c r="C245" s="652" t="s">
        <v>3150</v>
      </c>
      <c r="D245" s="776" t="s">
        <v>11896</v>
      </c>
      <c r="E245" s="782">
        <f t="shared" si="21"/>
        <v>2024</v>
      </c>
      <c r="F245" s="778">
        <f t="shared" si="22"/>
        <v>45657</v>
      </c>
      <c r="G245" s="785">
        <v>367699</v>
      </c>
      <c r="H245" s="788">
        <f>+H246+H247+H248</f>
        <v>367699</v>
      </c>
      <c r="I245" s="789">
        <v>367699</v>
      </c>
      <c r="J245" s="789">
        <f t="shared" si="20"/>
        <v>0</v>
      </c>
      <c r="K245" s="769">
        <f t="shared" si="23"/>
        <v>0</v>
      </c>
      <c r="L245" s="632"/>
      <c r="M245" s="632"/>
      <c r="N245" s="632"/>
      <c r="O245" s="632"/>
      <c r="P245" s="632"/>
      <c r="Q245" s="632"/>
      <c r="R245" s="632"/>
      <c r="S245" s="632"/>
    </row>
    <row r="246" spans="1:19">
      <c r="A246" s="650">
        <v>244</v>
      </c>
      <c r="B246" s="651"/>
      <c r="C246" s="652" t="s">
        <v>3152</v>
      </c>
      <c r="D246" s="776" t="s">
        <v>3154</v>
      </c>
      <c r="E246" s="782">
        <f t="shared" si="21"/>
        <v>2024</v>
      </c>
      <c r="F246" s="778">
        <f t="shared" si="22"/>
        <v>45657</v>
      </c>
      <c r="G246" s="785">
        <v>0</v>
      </c>
      <c r="H246" s="786">
        <f>+G246</f>
        <v>0</v>
      </c>
      <c r="I246" s="787">
        <v>0</v>
      </c>
      <c r="J246" s="787">
        <f t="shared" si="20"/>
        <v>0</v>
      </c>
      <c r="K246" s="769"/>
      <c r="L246" s="632"/>
      <c r="M246" s="632"/>
      <c r="N246" s="632"/>
      <c r="O246" s="632"/>
      <c r="P246" s="632"/>
      <c r="Q246" s="632"/>
      <c r="R246" s="632"/>
      <c r="S246" s="632"/>
    </row>
    <row r="247" spans="1:19">
      <c r="A247" s="650">
        <v>245</v>
      </c>
      <c r="B247" s="651"/>
      <c r="C247" s="652" t="s">
        <v>276</v>
      </c>
      <c r="D247" s="776" t="s">
        <v>3158</v>
      </c>
      <c r="E247" s="782">
        <f t="shared" si="21"/>
        <v>2024</v>
      </c>
      <c r="F247" s="778">
        <f t="shared" si="22"/>
        <v>45657</v>
      </c>
      <c r="G247" s="785">
        <v>367699</v>
      </c>
      <c r="H247" s="786">
        <f>+G247</f>
        <v>367699</v>
      </c>
      <c r="I247" s="787">
        <v>367699</v>
      </c>
      <c r="J247" s="787">
        <f t="shared" si="20"/>
        <v>0</v>
      </c>
      <c r="K247" s="769">
        <f t="shared" si="23"/>
        <v>0</v>
      </c>
      <c r="L247" s="632"/>
      <c r="M247" s="632"/>
      <c r="N247" s="632"/>
      <c r="O247" s="632"/>
      <c r="P247" s="632"/>
      <c r="Q247" s="632"/>
      <c r="R247" s="632"/>
      <c r="S247" s="632"/>
    </row>
    <row r="248" spans="1:19">
      <c r="A248" s="650">
        <v>246</v>
      </c>
      <c r="B248" s="651"/>
      <c r="C248" s="652" t="s">
        <v>3162</v>
      </c>
      <c r="D248" s="776" t="s">
        <v>3163</v>
      </c>
      <c r="E248" s="782">
        <f t="shared" si="21"/>
        <v>2024</v>
      </c>
      <c r="F248" s="778">
        <f t="shared" si="22"/>
        <v>45657</v>
      </c>
      <c r="G248" s="785">
        <v>0</v>
      </c>
      <c r="H248" s="786">
        <f>+G248</f>
        <v>0</v>
      </c>
      <c r="I248" s="787">
        <v>0</v>
      </c>
      <c r="J248" s="787">
        <f t="shared" si="20"/>
        <v>0</v>
      </c>
      <c r="K248" s="769"/>
      <c r="L248" s="632"/>
      <c r="M248" s="632"/>
      <c r="N248" s="632"/>
      <c r="O248" s="632"/>
      <c r="P248" s="632"/>
      <c r="Q248" s="632"/>
      <c r="R248" s="632"/>
      <c r="S248" s="632"/>
    </row>
    <row r="249" spans="1:19">
      <c r="A249" s="650">
        <v>247</v>
      </c>
      <c r="B249" s="651"/>
      <c r="C249" s="652" t="s">
        <v>3166</v>
      </c>
      <c r="D249" s="776" t="s">
        <v>11897</v>
      </c>
      <c r="E249" s="782">
        <f t="shared" si="21"/>
        <v>2024</v>
      </c>
      <c r="F249" s="778">
        <f t="shared" si="22"/>
        <v>45657</v>
      </c>
      <c r="G249" s="785">
        <v>102427518</v>
      </c>
      <c r="H249" s="780">
        <f>+H250+H251+H257+H268+H269+H287+H291+H298+H299+H300+H301</f>
        <v>102427518</v>
      </c>
      <c r="I249" s="781">
        <v>97097906</v>
      </c>
      <c r="J249" s="781">
        <f t="shared" si="20"/>
        <v>5329612</v>
      </c>
      <c r="K249" s="769">
        <f t="shared" si="23"/>
        <v>5.4889051881304169</v>
      </c>
      <c r="L249" s="632"/>
      <c r="M249" s="632"/>
      <c r="N249" s="632"/>
      <c r="O249" s="632"/>
      <c r="P249" s="632"/>
      <c r="Q249" s="632"/>
      <c r="R249" s="632"/>
      <c r="S249" s="632"/>
    </row>
    <row r="250" spans="1:19">
      <c r="A250" s="650">
        <v>248</v>
      </c>
      <c r="B250" s="651"/>
      <c r="C250" s="652" t="s">
        <v>277</v>
      </c>
      <c r="D250" s="776" t="s">
        <v>3168</v>
      </c>
      <c r="E250" s="782">
        <f t="shared" si="21"/>
        <v>2024</v>
      </c>
      <c r="F250" s="778">
        <f t="shared" si="22"/>
        <v>45657</v>
      </c>
      <c r="G250" s="779">
        <v>0</v>
      </c>
      <c r="H250" s="794">
        <f>+G250</f>
        <v>0</v>
      </c>
      <c r="I250" s="787">
        <v>0</v>
      </c>
      <c r="J250" s="787">
        <f t="shared" si="20"/>
        <v>0</v>
      </c>
      <c r="K250" s="769"/>
      <c r="L250" s="632"/>
      <c r="M250" s="632"/>
      <c r="N250" s="632"/>
      <c r="O250" s="632"/>
      <c r="P250" s="632"/>
      <c r="Q250" s="632"/>
      <c r="R250" s="632"/>
      <c r="S250" s="632"/>
    </row>
    <row r="251" spans="1:19">
      <c r="A251" s="650">
        <v>249</v>
      </c>
      <c r="B251" s="651"/>
      <c r="C251" s="652" t="s">
        <v>3175</v>
      </c>
      <c r="D251" s="776" t="s">
        <v>3176</v>
      </c>
      <c r="E251" s="782">
        <f t="shared" si="21"/>
        <v>2024</v>
      </c>
      <c r="F251" s="778">
        <f t="shared" si="22"/>
        <v>45657</v>
      </c>
      <c r="G251" s="779">
        <v>0</v>
      </c>
      <c r="H251" s="780">
        <f>SUM(H252:H256)</f>
        <v>0</v>
      </c>
      <c r="I251" s="781">
        <v>0</v>
      </c>
      <c r="J251" s="781">
        <f t="shared" si="20"/>
        <v>0</v>
      </c>
      <c r="K251" s="769"/>
      <c r="L251" s="632"/>
      <c r="M251" s="632"/>
      <c r="N251" s="632"/>
      <c r="O251" s="632"/>
      <c r="P251" s="632"/>
      <c r="Q251" s="632"/>
      <c r="R251" s="632"/>
      <c r="S251" s="632"/>
    </row>
    <row r="252" spans="1:19">
      <c r="A252" s="650">
        <v>250</v>
      </c>
      <c r="B252" s="682" t="s">
        <v>1349</v>
      </c>
      <c r="C252" s="677" t="s">
        <v>280</v>
      </c>
      <c r="D252" s="793" t="s">
        <v>3178</v>
      </c>
      <c r="E252" s="782">
        <f t="shared" si="21"/>
        <v>2024</v>
      </c>
      <c r="F252" s="778">
        <f t="shared" si="22"/>
        <v>45657</v>
      </c>
      <c r="G252" s="785">
        <v>0</v>
      </c>
      <c r="H252" s="794">
        <f>+G252</f>
        <v>0</v>
      </c>
      <c r="I252" s="787">
        <v>0</v>
      </c>
      <c r="J252" s="787">
        <f t="shared" si="20"/>
        <v>0</v>
      </c>
      <c r="K252" s="769"/>
      <c r="L252" s="632"/>
      <c r="M252" s="632"/>
      <c r="N252" s="632"/>
      <c r="O252" s="632"/>
      <c r="P252" s="632"/>
      <c r="Q252" s="632"/>
      <c r="R252" s="632"/>
      <c r="S252" s="632"/>
    </row>
    <row r="253" spans="1:19">
      <c r="A253" s="650">
        <v>251</v>
      </c>
      <c r="B253" s="682"/>
      <c r="C253" s="677" t="s">
        <v>281</v>
      </c>
      <c r="D253" s="793" t="s">
        <v>3184</v>
      </c>
      <c r="E253" s="782">
        <f t="shared" si="21"/>
        <v>2024</v>
      </c>
      <c r="F253" s="778">
        <f t="shared" si="22"/>
        <v>45657</v>
      </c>
      <c r="G253" s="779">
        <v>0</v>
      </c>
      <c r="H253" s="794">
        <f>+G253</f>
        <v>0</v>
      </c>
      <c r="I253" s="787">
        <v>0</v>
      </c>
      <c r="J253" s="787">
        <f t="shared" si="20"/>
        <v>0</v>
      </c>
      <c r="K253" s="769"/>
      <c r="L253" s="632"/>
      <c r="M253" s="632"/>
      <c r="N253" s="632"/>
      <c r="O253" s="632"/>
      <c r="P253" s="632"/>
      <c r="Q253" s="632"/>
      <c r="R253" s="632"/>
      <c r="S253" s="632"/>
    </row>
    <row r="254" spans="1:19">
      <c r="A254" s="650">
        <v>252</v>
      </c>
      <c r="B254" s="651" t="s">
        <v>1340</v>
      </c>
      <c r="C254" s="677" t="s">
        <v>282</v>
      </c>
      <c r="D254" s="793" t="s">
        <v>3188</v>
      </c>
      <c r="E254" s="782">
        <f t="shared" si="21"/>
        <v>2024</v>
      </c>
      <c r="F254" s="778">
        <f t="shared" si="22"/>
        <v>45657</v>
      </c>
      <c r="G254" s="779">
        <v>0</v>
      </c>
      <c r="H254" s="786">
        <f>+G254</f>
        <v>0</v>
      </c>
      <c r="I254" s="787">
        <v>0</v>
      </c>
      <c r="J254" s="787">
        <f t="shared" si="20"/>
        <v>0</v>
      </c>
      <c r="K254" s="769"/>
      <c r="L254" s="632"/>
      <c r="M254" s="632"/>
      <c r="N254" s="632"/>
      <c r="O254" s="632"/>
      <c r="P254" s="632"/>
      <c r="Q254" s="632"/>
      <c r="R254" s="632"/>
      <c r="S254" s="632"/>
    </row>
    <row r="255" spans="1:19">
      <c r="A255" s="650">
        <v>253</v>
      </c>
      <c r="B255" s="651" t="s">
        <v>1340</v>
      </c>
      <c r="C255" s="677" t="s">
        <v>284</v>
      </c>
      <c r="D255" s="793" t="s">
        <v>3192</v>
      </c>
      <c r="E255" s="782">
        <f t="shared" si="21"/>
        <v>2024</v>
      </c>
      <c r="F255" s="778">
        <f t="shared" si="22"/>
        <v>45657</v>
      </c>
      <c r="G255" s="785">
        <v>0</v>
      </c>
      <c r="H255" s="786">
        <f>+G255</f>
        <v>0</v>
      </c>
      <c r="I255" s="787">
        <v>0</v>
      </c>
      <c r="J255" s="787">
        <f t="shared" si="20"/>
        <v>0</v>
      </c>
      <c r="K255" s="769"/>
      <c r="L255" s="632"/>
      <c r="M255" s="632"/>
      <c r="N255" s="632"/>
      <c r="O255" s="632"/>
      <c r="P255" s="632"/>
      <c r="Q255" s="632"/>
      <c r="R255" s="632"/>
      <c r="S255" s="632"/>
    </row>
    <row r="256" spans="1:19">
      <c r="A256" s="650">
        <v>254</v>
      </c>
      <c r="B256" s="651" t="s">
        <v>1340</v>
      </c>
      <c r="C256" s="677" t="s">
        <v>283</v>
      </c>
      <c r="D256" s="793" t="s">
        <v>3196</v>
      </c>
      <c r="E256" s="782">
        <f t="shared" si="21"/>
        <v>2024</v>
      </c>
      <c r="F256" s="778">
        <f t="shared" si="22"/>
        <v>45657</v>
      </c>
      <c r="G256" s="785">
        <v>0</v>
      </c>
      <c r="H256" s="786">
        <f>+G256</f>
        <v>0</v>
      </c>
      <c r="I256" s="787">
        <v>0</v>
      </c>
      <c r="J256" s="787">
        <f t="shared" si="20"/>
        <v>0</v>
      </c>
      <c r="K256" s="769"/>
      <c r="L256" s="632"/>
      <c r="M256" s="632"/>
      <c r="N256" s="632"/>
      <c r="O256" s="632"/>
      <c r="P256" s="632"/>
      <c r="Q256" s="632"/>
      <c r="R256" s="632"/>
      <c r="S256" s="632"/>
    </row>
    <row r="257" spans="1:19">
      <c r="A257" s="650">
        <v>255</v>
      </c>
      <c r="B257" s="651"/>
      <c r="C257" s="652" t="s">
        <v>3200</v>
      </c>
      <c r="D257" s="776" t="s">
        <v>3201</v>
      </c>
      <c r="E257" s="782">
        <f t="shared" si="21"/>
        <v>2024</v>
      </c>
      <c r="F257" s="778">
        <f t="shared" si="22"/>
        <v>45657</v>
      </c>
      <c r="G257" s="785">
        <v>807211</v>
      </c>
      <c r="H257" s="788">
        <f>SUM(H258:H267)</f>
        <v>807211</v>
      </c>
      <c r="I257" s="789">
        <v>0</v>
      </c>
      <c r="J257" s="789">
        <f t="shared" si="20"/>
        <v>807211</v>
      </c>
      <c r="K257" s="769"/>
      <c r="L257" s="632"/>
      <c r="M257" s="632"/>
      <c r="N257" s="632"/>
      <c r="O257" s="632"/>
      <c r="P257" s="632"/>
      <c r="Q257" s="632"/>
      <c r="R257" s="632"/>
      <c r="S257" s="632"/>
    </row>
    <row r="258" spans="1:19">
      <c r="A258" s="650">
        <v>256</v>
      </c>
      <c r="B258" s="651" t="s">
        <v>1422</v>
      </c>
      <c r="C258" s="662" t="s">
        <v>285</v>
      </c>
      <c r="D258" s="783" t="s">
        <v>3203</v>
      </c>
      <c r="E258" s="782">
        <f t="shared" si="21"/>
        <v>2024</v>
      </c>
      <c r="F258" s="778">
        <f t="shared" si="22"/>
        <v>45657</v>
      </c>
      <c r="G258" s="785">
        <v>0</v>
      </c>
      <c r="H258" s="786">
        <f t="shared" ref="H258:H268" si="26">+G258</f>
        <v>0</v>
      </c>
      <c r="I258" s="787">
        <v>0</v>
      </c>
      <c r="J258" s="787">
        <f t="shared" si="20"/>
        <v>0</v>
      </c>
      <c r="K258" s="769"/>
      <c r="L258" s="632"/>
      <c r="M258" s="632"/>
      <c r="N258" s="632"/>
      <c r="O258" s="632"/>
      <c r="P258" s="632"/>
      <c r="Q258" s="632"/>
      <c r="R258" s="632"/>
      <c r="S258" s="632"/>
    </row>
    <row r="259" spans="1:19">
      <c r="A259" s="650">
        <v>257</v>
      </c>
      <c r="B259" s="651"/>
      <c r="C259" s="662" t="s">
        <v>3216</v>
      </c>
      <c r="D259" s="783" t="s">
        <v>3217</v>
      </c>
      <c r="E259" s="782">
        <f t="shared" si="21"/>
        <v>2024</v>
      </c>
      <c r="F259" s="778">
        <f t="shared" si="22"/>
        <v>45657</v>
      </c>
      <c r="G259" s="785">
        <v>0</v>
      </c>
      <c r="H259" s="786">
        <f t="shared" si="26"/>
        <v>0</v>
      </c>
      <c r="I259" s="787">
        <v>0</v>
      </c>
      <c r="J259" s="787">
        <f t="shared" si="20"/>
        <v>0</v>
      </c>
      <c r="K259" s="769"/>
      <c r="L259" s="632"/>
      <c r="M259" s="632"/>
      <c r="N259" s="632"/>
      <c r="O259" s="632"/>
      <c r="P259" s="632"/>
      <c r="Q259" s="632"/>
      <c r="R259" s="632"/>
      <c r="S259" s="632"/>
    </row>
    <row r="260" spans="1:19">
      <c r="A260" s="650">
        <v>258</v>
      </c>
      <c r="B260" s="651" t="s">
        <v>1519</v>
      </c>
      <c r="C260" s="662" t="s">
        <v>286</v>
      </c>
      <c r="D260" s="783" t="s">
        <v>3220</v>
      </c>
      <c r="E260" s="782">
        <f t="shared" si="21"/>
        <v>2024</v>
      </c>
      <c r="F260" s="778">
        <f t="shared" si="22"/>
        <v>45657</v>
      </c>
      <c r="G260" s="785">
        <v>807211</v>
      </c>
      <c r="H260" s="786">
        <f t="shared" si="26"/>
        <v>807211</v>
      </c>
      <c r="I260" s="787">
        <v>0</v>
      </c>
      <c r="J260" s="787">
        <f t="shared" si="20"/>
        <v>807211</v>
      </c>
      <c r="K260" s="769"/>
      <c r="L260" s="632"/>
      <c r="M260" s="632"/>
      <c r="N260" s="632"/>
      <c r="O260" s="632"/>
      <c r="P260" s="632"/>
      <c r="Q260" s="632"/>
      <c r="R260" s="632"/>
      <c r="S260" s="632"/>
    </row>
    <row r="261" spans="1:19">
      <c r="A261" s="650">
        <v>259</v>
      </c>
      <c r="B261" s="672" t="s">
        <v>1422</v>
      </c>
      <c r="C261" s="677" t="s">
        <v>287</v>
      </c>
      <c r="D261" s="793" t="s">
        <v>3224</v>
      </c>
      <c r="E261" s="782">
        <f t="shared" si="21"/>
        <v>2024</v>
      </c>
      <c r="F261" s="778">
        <f t="shared" si="22"/>
        <v>45657</v>
      </c>
      <c r="G261" s="785">
        <v>0</v>
      </c>
      <c r="H261" s="786">
        <f t="shared" si="26"/>
        <v>0</v>
      </c>
      <c r="I261" s="787">
        <v>0</v>
      </c>
      <c r="J261" s="787">
        <f t="shared" ref="J261:J320" si="27">H261-I261</f>
        <v>0</v>
      </c>
      <c r="K261" s="769"/>
      <c r="L261" s="632"/>
      <c r="M261" s="632"/>
      <c r="N261" s="632"/>
      <c r="O261" s="632"/>
      <c r="P261" s="632"/>
      <c r="Q261" s="632"/>
      <c r="R261" s="632"/>
      <c r="S261" s="632"/>
    </row>
    <row r="262" spans="1:19">
      <c r="A262" s="650">
        <v>260</v>
      </c>
      <c r="B262" s="672" t="s">
        <v>1422</v>
      </c>
      <c r="C262" s="677" t="s">
        <v>3229</v>
      </c>
      <c r="D262" s="793" t="s">
        <v>3230</v>
      </c>
      <c r="E262" s="782">
        <f t="shared" ref="E262:E320" si="28">E261</f>
        <v>2024</v>
      </c>
      <c r="F262" s="778">
        <f t="shared" ref="F262:F320" si="29">+F261</f>
        <v>45657</v>
      </c>
      <c r="G262" s="785">
        <v>0</v>
      </c>
      <c r="H262" s="786">
        <f t="shared" si="26"/>
        <v>0</v>
      </c>
      <c r="I262" s="787">
        <v>0</v>
      </c>
      <c r="J262" s="787">
        <f t="shared" si="27"/>
        <v>0</v>
      </c>
      <c r="K262" s="769"/>
      <c r="L262" s="632"/>
      <c r="M262" s="632"/>
      <c r="N262" s="632"/>
      <c r="O262" s="632"/>
      <c r="P262" s="632"/>
      <c r="Q262" s="632"/>
      <c r="R262" s="632"/>
      <c r="S262" s="632"/>
    </row>
    <row r="263" spans="1:19">
      <c r="A263" s="650">
        <v>261</v>
      </c>
      <c r="B263" s="672" t="s">
        <v>1422</v>
      </c>
      <c r="C263" s="677" t="s">
        <v>288</v>
      </c>
      <c r="D263" s="793" t="s">
        <v>3234</v>
      </c>
      <c r="E263" s="782">
        <f t="shared" si="28"/>
        <v>2024</v>
      </c>
      <c r="F263" s="778">
        <f t="shared" si="29"/>
        <v>45657</v>
      </c>
      <c r="G263" s="785">
        <v>0</v>
      </c>
      <c r="H263" s="786">
        <f t="shared" si="26"/>
        <v>0</v>
      </c>
      <c r="I263" s="787">
        <v>0</v>
      </c>
      <c r="J263" s="787">
        <f t="shared" si="27"/>
        <v>0</v>
      </c>
      <c r="K263" s="769"/>
      <c r="L263" s="632"/>
      <c r="M263" s="632"/>
      <c r="N263" s="632"/>
      <c r="O263" s="632"/>
      <c r="P263" s="632"/>
      <c r="Q263" s="632"/>
      <c r="R263" s="632"/>
      <c r="S263" s="632"/>
    </row>
    <row r="264" spans="1:19">
      <c r="A264" s="650">
        <v>262</v>
      </c>
      <c r="B264" s="672" t="s">
        <v>1422</v>
      </c>
      <c r="C264" s="677" t="s">
        <v>3237</v>
      </c>
      <c r="D264" s="793" t="s">
        <v>3238</v>
      </c>
      <c r="E264" s="782">
        <f t="shared" si="28"/>
        <v>2024</v>
      </c>
      <c r="F264" s="778">
        <f t="shared" si="29"/>
        <v>45657</v>
      </c>
      <c r="G264" s="785">
        <v>0</v>
      </c>
      <c r="H264" s="786">
        <f t="shared" si="26"/>
        <v>0</v>
      </c>
      <c r="I264" s="787">
        <v>0</v>
      </c>
      <c r="J264" s="787">
        <f t="shared" si="27"/>
        <v>0</v>
      </c>
      <c r="K264" s="769"/>
      <c r="L264" s="632"/>
      <c r="M264" s="632"/>
      <c r="N264" s="632"/>
      <c r="O264" s="632"/>
      <c r="P264" s="632"/>
      <c r="Q264" s="632"/>
      <c r="R264" s="632"/>
      <c r="S264" s="632"/>
    </row>
    <row r="265" spans="1:19">
      <c r="A265" s="650">
        <v>263</v>
      </c>
      <c r="B265" s="694"/>
      <c r="C265" s="691" t="s">
        <v>3241</v>
      </c>
      <c r="D265" s="776" t="s">
        <v>3242</v>
      </c>
      <c r="E265" s="782">
        <f t="shared" si="28"/>
        <v>2024</v>
      </c>
      <c r="F265" s="778">
        <f t="shared" si="29"/>
        <v>45657</v>
      </c>
      <c r="G265" s="785">
        <v>0</v>
      </c>
      <c r="H265" s="786">
        <f t="shared" si="26"/>
        <v>0</v>
      </c>
      <c r="I265" s="787">
        <v>0</v>
      </c>
      <c r="J265" s="787">
        <f t="shared" si="27"/>
        <v>0</v>
      </c>
      <c r="K265" s="769"/>
      <c r="L265" s="632"/>
      <c r="M265" s="632"/>
      <c r="N265" s="632"/>
      <c r="O265" s="632"/>
      <c r="P265" s="632"/>
      <c r="Q265" s="632"/>
      <c r="R265" s="632"/>
      <c r="S265" s="632"/>
    </row>
    <row r="266" spans="1:19">
      <c r="A266" s="650">
        <v>264</v>
      </c>
      <c r="B266" s="682" t="s">
        <v>1422</v>
      </c>
      <c r="C266" s="677" t="s">
        <v>289</v>
      </c>
      <c r="D266" s="793" t="s">
        <v>3246</v>
      </c>
      <c r="E266" s="782">
        <f t="shared" si="28"/>
        <v>2024</v>
      </c>
      <c r="F266" s="778">
        <f t="shared" si="29"/>
        <v>45657</v>
      </c>
      <c r="G266" s="785">
        <v>0</v>
      </c>
      <c r="H266" s="786">
        <f t="shared" si="26"/>
        <v>0</v>
      </c>
      <c r="I266" s="787">
        <v>0</v>
      </c>
      <c r="J266" s="787">
        <f t="shared" si="27"/>
        <v>0</v>
      </c>
      <c r="K266" s="769"/>
      <c r="L266" s="632"/>
      <c r="M266" s="632"/>
      <c r="N266" s="632"/>
      <c r="O266" s="632"/>
      <c r="P266" s="632"/>
      <c r="Q266" s="632"/>
      <c r="R266" s="632"/>
      <c r="S266" s="632"/>
    </row>
    <row r="267" spans="1:19">
      <c r="A267" s="650">
        <v>265</v>
      </c>
      <c r="B267" s="682"/>
      <c r="C267" s="677" t="s">
        <v>3251</v>
      </c>
      <c r="D267" s="793" t="s">
        <v>3252</v>
      </c>
      <c r="E267" s="782">
        <f t="shared" si="28"/>
        <v>2024</v>
      </c>
      <c r="F267" s="778">
        <f t="shared" si="29"/>
        <v>45657</v>
      </c>
      <c r="G267" s="785">
        <v>0</v>
      </c>
      <c r="H267" s="786">
        <f t="shared" si="26"/>
        <v>0</v>
      </c>
      <c r="I267" s="787">
        <v>0</v>
      </c>
      <c r="J267" s="787">
        <f t="shared" si="27"/>
        <v>0</v>
      </c>
      <c r="K267" s="769"/>
      <c r="L267" s="632"/>
      <c r="M267" s="632"/>
      <c r="N267" s="632"/>
      <c r="O267" s="632"/>
      <c r="P267" s="632"/>
      <c r="Q267" s="632"/>
      <c r="R267" s="632"/>
      <c r="S267" s="632"/>
    </row>
    <row r="268" spans="1:19">
      <c r="A268" s="650">
        <v>266</v>
      </c>
      <c r="B268" s="651"/>
      <c r="C268" s="652" t="s">
        <v>298</v>
      </c>
      <c r="D268" s="776" t="s">
        <v>3257</v>
      </c>
      <c r="E268" s="782">
        <f t="shared" si="28"/>
        <v>2024</v>
      </c>
      <c r="F268" s="778">
        <f t="shared" si="29"/>
        <v>45657</v>
      </c>
      <c r="G268" s="785">
        <v>400</v>
      </c>
      <c r="H268" s="794">
        <f t="shared" si="26"/>
        <v>400</v>
      </c>
      <c r="I268" s="787">
        <v>412</v>
      </c>
      <c r="J268" s="787">
        <f t="shared" si="27"/>
        <v>-12</v>
      </c>
      <c r="K268" s="769">
        <f t="shared" ref="K268:K320" si="30">H268/I268*100-100</f>
        <v>-2.9126213592232943</v>
      </c>
      <c r="L268" s="632"/>
      <c r="M268" s="632"/>
      <c r="N268" s="632"/>
      <c r="O268" s="632"/>
      <c r="P268" s="632"/>
      <c r="Q268" s="632"/>
      <c r="R268" s="632"/>
      <c r="S268" s="632"/>
    </row>
    <row r="269" spans="1:19">
      <c r="A269" s="650">
        <v>267</v>
      </c>
      <c r="B269" s="651"/>
      <c r="C269" s="652" t="s">
        <v>3261</v>
      </c>
      <c r="D269" s="776" t="s">
        <v>3262</v>
      </c>
      <c r="E269" s="782">
        <f t="shared" si="28"/>
        <v>2024</v>
      </c>
      <c r="F269" s="778">
        <f t="shared" si="29"/>
        <v>45657</v>
      </c>
      <c r="G269" s="779">
        <v>8358018</v>
      </c>
      <c r="H269" s="780">
        <f>+H270+H280+H281</f>
        <v>8358018</v>
      </c>
      <c r="I269" s="781">
        <v>8623918</v>
      </c>
      <c r="J269" s="781">
        <f t="shared" si="27"/>
        <v>-265900</v>
      </c>
      <c r="K269" s="769">
        <f t="shared" si="30"/>
        <v>-3.083285346637112</v>
      </c>
      <c r="L269" s="632"/>
      <c r="M269" s="632"/>
      <c r="N269" s="632"/>
      <c r="O269" s="632"/>
      <c r="P269" s="632"/>
      <c r="Q269" s="632"/>
      <c r="R269" s="632"/>
      <c r="S269" s="632"/>
    </row>
    <row r="270" spans="1:19">
      <c r="A270" s="650">
        <v>268</v>
      </c>
      <c r="B270" s="651"/>
      <c r="C270" s="662" t="s">
        <v>11898</v>
      </c>
      <c r="D270" s="783" t="s">
        <v>11899</v>
      </c>
      <c r="E270" s="782">
        <f t="shared" si="28"/>
        <v>2024</v>
      </c>
      <c r="F270" s="778">
        <f t="shared" si="29"/>
        <v>45657</v>
      </c>
      <c r="G270" s="779">
        <v>8302917</v>
      </c>
      <c r="H270" s="780">
        <f>SUM(H271:H279)</f>
        <v>8302917</v>
      </c>
      <c r="I270" s="781">
        <v>8568497</v>
      </c>
      <c r="J270" s="781">
        <f t="shared" si="27"/>
        <v>-265580</v>
      </c>
      <c r="K270" s="769">
        <f t="shared" si="30"/>
        <v>-3.0994934117383792</v>
      </c>
      <c r="L270" s="632"/>
      <c r="M270" s="632"/>
      <c r="N270" s="632"/>
      <c r="O270" s="632"/>
      <c r="P270" s="632"/>
      <c r="Q270" s="632"/>
      <c r="R270" s="632"/>
      <c r="S270" s="632"/>
    </row>
    <row r="271" spans="1:19">
      <c r="A271" s="650">
        <v>269</v>
      </c>
      <c r="B271" s="651" t="s">
        <v>1422</v>
      </c>
      <c r="C271" s="664" t="s">
        <v>290</v>
      </c>
      <c r="D271" s="784" t="s">
        <v>3264</v>
      </c>
      <c r="E271" s="782">
        <f t="shared" si="28"/>
        <v>2024</v>
      </c>
      <c r="F271" s="778">
        <f t="shared" si="29"/>
        <v>45657</v>
      </c>
      <c r="G271" s="785">
        <v>0</v>
      </c>
      <c r="H271" s="794">
        <f t="shared" ref="H271:H280" si="31">+G271</f>
        <v>0</v>
      </c>
      <c r="I271" s="787">
        <v>0</v>
      </c>
      <c r="J271" s="787">
        <f t="shared" si="27"/>
        <v>0</v>
      </c>
      <c r="K271" s="769"/>
      <c r="L271" s="632"/>
      <c r="M271" s="632"/>
      <c r="N271" s="632"/>
      <c r="O271" s="632"/>
      <c r="P271" s="632"/>
      <c r="Q271" s="632"/>
      <c r="R271" s="632"/>
      <c r="S271" s="632"/>
    </row>
    <row r="272" spans="1:19">
      <c r="A272" s="650">
        <v>270</v>
      </c>
      <c r="B272" s="651" t="s">
        <v>1422</v>
      </c>
      <c r="C272" s="664" t="s">
        <v>291</v>
      </c>
      <c r="D272" s="784" t="s">
        <v>3270</v>
      </c>
      <c r="E272" s="782">
        <f t="shared" si="28"/>
        <v>2024</v>
      </c>
      <c r="F272" s="778">
        <f t="shared" si="29"/>
        <v>45657</v>
      </c>
      <c r="G272" s="785">
        <v>0</v>
      </c>
      <c r="H272" s="794">
        <f t="shared" si="31"/>
        <v>0</v>
      </c>
      <c r="I272" s="787">
        <v>0</v>
      </c>
      <c r="J272" s="787">
        <f t="shared" si="27"/>
        <v>0</v>
      </c>
      <c r="K272" s="769"/>
      <c r="L272" s="632"/>
      <c r="M272" s="632"/>
      <c r="N272" s="632"/>
      <c r="O272" s="632"/>
      <c r="P272" s="632"/>
      <c r="Q272" s="632"/>
      <c r="R272" s="632"/>
      <c r="S272" s="632"/>
    </row>
    <row r="273" spans="1:19">
      <c r="A273" s="650">
        <v>271</v>
      </c>
      <c r="B273" s="651" t="s">
        <v>1422</v>
      </c>
      <c r="C273" s="664" t="s">
        <v>292</v>
      </c>
      <c r="D273" s="784" t="s">
        <v>3274</v>
      </c>
      <c r="E273" s="782">
        <f t="shared" si="28"/>
        <v>2024</v>
      </c>
      <c r="F273" s="778">
        <f t="shared" si="29"/>
        <v>45657</v>
      </c>
      <c r="G273" s="785">
        <v>0</v>
      </c>
      <c r="H273" s="794">
        <f t="shared" si="31"/>
        <v>0</v>
      </c>
      <c r="I273" s="787">
        <v>0</v>
      </c>
      <c r="J273" s="787">
        <f t="shared" si="27"/>
        <v>0</v>
      </c>
      <c r="K273" s="769"/>
      <c r="L273" s="632"/>
      <c r="M273" s="632"/>
      <c r="N273" s="632"/>
      <c r="O273" s="632"/>
      <c r="P273" s="632"/>
      <c r="Q273" s="632"/>
      <c r="R273" s="632"/>
      <c r="S273" s="632"/>
    </row>
    <row r="274" spans="1:19">
      <c r="A274" s="650">
        <v>272</v>
      </c>
      <c r="B274" s="651" t="s">
        <v>1519</v>
      </c>
      <c r="C274" s="664" t="s">
        <v>293</v>
      </c>
      <c r="D274" s="784" t="s">
        <v>3277</v>
      </c>
      <c r="E274" s="782">
        <f t="shared" si="28"/>
        <v>2024</v>
      </c>
      <c r="F274" s="778">
        <f t="shared" si="29"/>
        <v>45657</v>
      </c>
      <c r="G274" s="779">
        <v>0</v>
      </c>
      <c r="H274" s="794">
        <f t="shared" si="31"/>
        <v>0</v>
      </c>
      <c r="I274" s="787">
        <v>0</v>
      </c>
      <c r="J274" s="787">
        <f t="shared" si="27"/>
        <v>0</v>
      </c>
      <c r="K274" s="769"/>
      <c r="L274" s="632"/>
      <c r="M274" s="632"/>
      <c r="N274" s="632"/>
      <c r="O274" s="632"/>
      <c r="P274" s="632"/>
      <c r="Q274" s="632"/>
      <c r="R274" s="632"/>
      <c r="S274" s="632"/>
    </row>
    <row r="275" spans="1:19">
      <c r="A275" s="650">
        <v>273</v>
      </c>
      <c r="B275" s="682" t="s">
        <v>1519</v>
      </c>
      <c r="C275" s="664" t="s">
        <v>294</v>
      </c>
      <c r="D275" s="784" t="s">
        <v>3285</v>
      </c>
      <c r="E275" s="782">
        <f t="shared" si="28"/>
        <v>2024</v>
      </c>
      <c r="F275" s="778">
        <f t="shared" si="29"/>
        <v>45657</v>
      </c>
      <c r="G275" s="785">
        <v>16636</v>
      </c>
      <c r="H275" s="794">
        <f t="shared" si="31"/>
        <v>16636</v>
      </c>
      <c r="I275" s="787">
        <v>48712</v>
      </c>
      <c r="J275" s="787">
        <f t="shared" si="27"/>
        <v>-32076</v>
      </c>
      <c r="K275" s="769">
        <f t="shared" si="30"/>
        <v>-65.848250944325827</v>
      </c>
      <c r="L275" s="632"/>
      <c r="M275" s="632"/>
      <c r="N275" s="632"/>
      <c r="O275" s="632"/>
      <c r="P275" s="632"/>
      <c r="Q275" s="632"/>
      <c r="R275" s="632"/>
      <c r="S275" s="632"/>
    </row>
    <row r="276" spans="1:19">
      <c r="A276" s="650">
        <v>274</v>
      </c>
      <c r="B276" s="682" t="s">
        <v>1519</v>
      </c>
      <c r="C276" s="664" t="s">
        <v>295</v>
      </c>
      <c r="D276" s="784" t="s">
        <v>3339</v>
      </c>
      <c r="E276" s="782">
        <f t="shared" si="28"/>
        <v>2024</v>
      </c>
      <c r="F276" s="778">
        <f t="shared" si="29"/>
        <v>45657</v>
      </c>
      <c r="G276" s="785">
        <v>8286281</v>
      </c>
      <c r="H276" s="786">
        <f t="shared" si="31"/>
        <v>8286281</v>
      </c>
      <c r="I276" s="787">
        <v>8519785</v>
      </c>
      <c r="J276" s="787">
        <f t="shared" si="27"/>
        <v>-233504</v>
      </c>
      <c r="K276" s="769">
        <f t="shared" si="30"/>
        <v>-2.7407264385192747</v>
      </c>
      <c r="L276" s="632"/>
      <c r="M276" s="632"/>
      <c r="N276" s="632"/>
      <c r="O276" s="632"/>
      <c r="P276" s="632"/>
      <c r="Q276" s="632"/>
      <c r="R276" s="632"/>
      <c r="S276" s="632"/>
    </row>
    <row r="277" spans="1:19">
      <c r="A277" s="650">
        <v>275</v>
      </c>
      <c r="B277" s="651" t="s">
        <v>1422</v>
      </c>
      <c r="C277" s="664" t="s">
        <v>3395</v>
      </c>
      <c r="D277" s="784" t="s">
        <v>11900</v>
      </c>
      <c r="E277" s="782">
        <f t="shared" si="28"/>
        <v>2024</v>
      </c>
      <c r="F277" s="778">
        <f t="shared" si="29"/>
        <v>45657</v>
      </c>
      <c r="G277" s="785">
        <v>0</v>
      </c>
      <c r="H277" s="786">
        <f t="shared" si="31"/>
        <v>0</v>
      </c>
      <c r="I277" s="787">
        <v>0</v>
      </c>
      <c r="J277" s="787">
        <f t="shared" si="27"/>
        <v>0</v>
      </c>
      <c r="K277" s="769"/>
      <c r="L277" s="632"/>
      <c r="M277" s="632"/>
      <c r="N277" s="632"/>
      <c r="O277" s="632"/>
      <c r="P277" s="632"/>
      <c r="Q277" s="632"/>
      <c r="R277" s="632"/>
      <c r="S277" s="632"/>
    </row>
    <row r="278" spans="1:19">
      <c r="A278" s="650">
        <v>276</v>
      </c>
      <c r="B278" s="651" t="s">
        <v>1519</v>
      </c>
      <c r="C278" s="673" t="s">
        <v>3434</v>
      </c>
      <c r="D278" s="796" t="s">
        <v>3435</v>
      </c>
      <c r="E278" s="782">
        <f t="shared" si="28"/>
        <v>2024</v>
      </c>
      <c r="F278" s="778">
        <f t="shared" si="29"/>
        <v>45657</v>
      </c>
      <c r="G278" s="785">
        <v>0</v>
      </c>
      <c r="H278" s="786">
        <f t="shared" si="31"/>
        <v>0</v>
      </c>
      <c r="I278" s="787">
        <v>0</v>
      </c>
      <c r="J278" s="787">
        <f t="shared" si="27"/>
        <v>0</v>
      </c>
      <c r="K278" s="769"/>
      <c r="L278" s="632"/>
      <c r="M278" s="632"/>
      <c r="N278" s="632"/>
      <c r="O278" s="632"/>
      <c r="P278" s="632"/>
      <c r="Q278" s="632"/>
      <c r="R278" s="632"/>
      <c r="S278" s="632"/>
    </row>
    <row r="279" spans="1:19">
      <c r="A279" s="650">
        <v>277</v>
      </c>
      <c r="B279" s="651" t="s">
        <v>1422</v>
      </c>
      <c r="C279" s="673" t="s">
        <v>3490</v>
      </c>
      <c r="D279" s="784" t="s">
        <v>3491</v>
      </c>
      <c r="E279" s="782">
        <f t="shared" si="28"/>
        <v>2024</v>
      </c>
      <c r="F279" s="778">
        <f t="shared" si="29"/>
        <v>45657</v>
      </c>
      <c r="G279" s="785">
        <v>0</v>
      </c>
      <c r="H279" s="786">
        <f t="shared" si="31"/>
        <v>0</v>
      </c>
      <c r="I279" s="787">
        <v>0</v>
      </c>
      <c r="J279" s="787">
        <f t="shared" si="27"/>
        <v>0</v>
      </c>
      <c r="K279" s="769"/>
      <c r="L279" s="632"/>
      <c r="M279" s="632"/>
      <c r="N279" s="632"/>
      <c r="O279" s="632"/>
      <c r="P279" s="632"/>
      <c r="Q279" s="632"/>
      <c r="R279" s="632"/>
      <c r="S279" s="632"/>
    </row>
    <row r="280" spans="1:19">
      <c r="A280" s="650">
        <v>278</v>
      </c>
      <c r="B280" s="651" t="s">
        <v>1340</v>
      </c>
      <c r="C280" s="662" t="s">
        <v>296</v>
      </c>
      <c r="D280" s="783" t="s">
        <v>11901</v>
      </c>
      <c r="E280" s="782">
        <f t="shared" si="28"/>
        <v>2024</v>
      </c>
      <c r="F280" s="778">
        <f t="shared" si="29"/>
        <v>45657</v>
      </c>
      <c r="G280" s="785">
        <v>55101</v>
      </c>
      <c r="H280" s="786">
        <f t="shared" si="31"/>
        <v>55101</v>
      </c>
      <c r="I280" s="787">
        <v>55421</v>
      </c>
      <c r="J280" s="787">
        <f t="shared" si="27"/>
        <v>-320</v>
      </c>
      <c r="K280" s="769">
        <f t="shared" si="30"/>
        <v>-0.57739845906785092</v>
      </c>
      <c r="L280" s="632"/>
      <c r="M280" s="632"/>
      <c r="N280" s="632"/>
      <c r="O280" s="632"/>
      <c r="P280" s="632"/>
      <c r="Q280" s="632"/>
      <c r="R280" s="632"/>
      <c r="S280" s="632"/>
    </row>
    <row r="281" spans="1:19">
      <c r="A281" s="650">
        <v>279</v>
      </c>
      <c r="B281" s="672"/>
      <c r="C281" s="662" t="s">
        <v>297</v>
      </c>
      <c r="D281" s="783" t="s">
        <v>11902</v>
      </c>
      <c r="E281" s="782">
        <f t="shared" si="28"/>
        <v>2024</v>
      </c>
      <c r="F281" s="778">
        <f t="shared" si="29"/>
        <v>45657</v>
      </c>
      <c r="G281" s="779">
        <v>0</v>
      </c>
      <c r="H281" s="788">
        <f>SUM(H282:H286)</f>
        <v>0</v>
      </c>
      <c r="I281" s="789">
        <v>0</v>
      </c>
      <c r="J281" s="789">
        <f t="shared" si="27"/>
        <v>0</v>
      </c>
      <c r="K281" s="769"/>
      <c r="L281" s="632"/>
      <c r="M281" s="632"/>
      <c r="N281" s="632"/>
      <c r="O281" s="632"/>
      <c r="P281" s="632"/>
      <c r="Q281" s="632"/>
      <c r="R281" s="632"/>
      <c r="S281" s="632"/>
    </row>
    <row r="282" spans="1:19">
      <c r="A282" s="650">
        <v>280</v>
      </c>
      <c r="B282" s="672" t="s">
        <v>1422</v>
      </c>
      <c r="C282" s="673" t="s">
        <v>3500</v>
      </c>
      <c r="D282" s="792" t="s">
        <v>3501</v>
      </c>
      <c r="E282" s="782">
        <f t="shared" si="28"/>
        <v>2024</v>
      </c>
      <c r="F282" s="778">
        <f t="shared" si="29"/>
        <v>45657</v>
      </c>
      <c r="G282" s="785">
        <v>0</v>
      </c>
      <c r="H282" s="786">
        <f>+G282</f>
        <v>0</v>
      </c>
      <c r="I282" s="787">
        <v>0</v>
      </c>
      <c r="J282" s="787">
        <f t="shared" si="27"/>
        <v>0</v>
      </c>
      <c r="K282" s="769"/>
      <c r="L282" s="632"/>
      <c r="M282" s="632"/>
      <c r="N282" s="632"/>
      <c r="O282" s="632"/>
      <c r="P282" s="632"/>
      <c r="Q282" s="632"/>
      <c r="R282" s="632"/>
      <c r="S282" s="632"/>
    </row>
    <row r="283" spans="1:19">
      <c r="A283" s="650">
        <v>281</v>
      </c>
      <c r="B283" s="672" t="s">
        <v>1422</v>
      </c>
      <c r="C283" s="673" t="s">
        <v>3504</v>
      </c>
      <c r="D283" s="792" t="s">
        <v>3505</v>
      </c>
      <c r="E283" s="782">
        <f t="shared" si="28"/>
        <v>2024</v>
      </c>
      <c r="F283" s="778">
        <f t="shared" si="29"/>
        <v>45657</v>
      </c>
      <c r="G283" s="779">
        <v>0</v>
      </c>
      <c r="H283" s="786">
        <f>+G283</f>
        <v>0</v>
      </c>
      <c r="I283" s="787">
        <v>0</v>
      </c>
      <c r="J283" s="787">
        <f t="shared" si="27"/>
        <v>0</v>
      </c>
      <c r="K283" s="769"/>
      <c r="L283" s="632"/>
      <c r="M283" s="632"/>
      <c r="N283" s="632"/>
      <c r="O283" s="632"/>
      <c r="P283" s="632"/>
      <c r="Q283" s="632"/>
      <c r="R283" s="632"/>
      <c r="S283" s="632"/>
    </row>
    <row r="284" spans="1:19">
      <c r="A284" s="650">
        <v>282</v>
      </c>
      <c r="B284" s="672" t="s">
        <v>1422</v>
      </c>
      <c r="C284" s="673" t="s">
        <v>3508</v>
      </c>
      <c r="D284" s="792" t="s">
        <v>3509</v>
      </c>
      <c r="E284" s="782">
        <f t="shared" si="28"/>
        <v>2024</v>
      </c>
      <c r="F284" s="778">
        <f t="shared" si="29"/>
        <v>45657</v>
      </c>
      <c r="G284" s="785">
        <v>0</v>
      </c>
      <c r="H284" s="786">
        <f>+G284</f>
        <v>0</v>
      </c>
      <c r="I284" s="787">
        <v>0</v>
      </c>
      <c r="J284" s="787">
        <f t="shared" si="27"/>
        <v>0</v>
      </c>
      <c r="K284" s="769"/>
      <c r="L284" s="632"/>
      <c r="M284" s="632"/>
      <c r="N284" s="632"/>
      <c r="O284" s="632"/>
      <c r="P284" s="632"/>
      <c r="Q284" s="632"/>
      <c r="R284" s="632"/>
      <c r="S284" s="632"/>
    </row>
    <row r="285" spans="1:19">
      <c r="A285" s="650">
        <v>283</v>
      </c>
      <c r="B285" s="672" t="s">
        <v>1422</v>
      </c>
      <c r="C285" s="673" t="s">
        <v>3512</v>
      </c>
      <c r="D285" s="792" t="s">
        <v>3513</v>
      </c>
      <c r="E285" s="782">
        <f t="shared" si="28"/>
        <v>2024</v>
      </c>
      <c r="F285" s="778">
        <f t="shared" si="29"/>
        <v>45657</v>
      </c>
      <c r="G285" s="785">
        <v>0</v>
      </c>
      <c r="H285" s="786">
        <f>+G285</f>
        <v>0</v>
      </c>
      <c r="I285" s="787">
        <v>0</v>
      </c>
      <c r="J285" s="787">
        <f t="shared" si="27"/>
        <v>0</v>
      </c>
      <c r="K285" s="769"/>
      <c r="L285" s="632"/>
      <c r="M285" s="632"/>
      <c r="N285" s="632"/>
      <c r="O285" s="632"/>
      <c r="P285" s="632"/>
      <c r="Q285" s="632"/>
      <c r="R285" s="632"/>
      <c r="S285" s="632"/>
    </row>
    <row r="286" spans="1:19">
      <c r="A286" s="650">
        <v>284</v>
      </c>
      <c r="B286" s="672" t="s">
        <v>1422</v>
      </c>
      <c r="C286" s="673" t="s">
        <v>3516</v>
      </c>
      <c r="D286" s="792" t="s">
        <v>3517</v>
      </c>
      <c r="E286" s="782">
        <f t="shared" si="28"/>
        <v>2024</v>
      </c>
      <c r="F286" s="778">
        <f t="shared" si="29"/>
        <v>45657</v>
      </c>
      <c r="G286" s="785">
        <v>0</v>
      </c>
      <c r="H286" s="786">
        <f>+G286</f>
        <v>0</v>
      </c>
      <c r="I286" s="787">
        <v>0</v>
      </c>
      <c r="J286" s="787">
        <f t="shared" si="27"/>
        <v>0</v>
      </c>
      <c r="K286" s="769"/>
      <c r="L286" s="632"/>
      <c r="M286" s="632"/>
      <c r="N286" s="632"/>
      <c r="O286" s="632"/>
      <c r="P286" s="632"/>
      <c r="Q286" s="632"/>
      <c r="R286" s="632"/>
      <c r="S286" s="632"/>
    </row>
    <row r="287" spans="1:19">
      <c r="A287" s="650">
        <v>285</v>
      </c>
      <c r="B287" s="651"/>
      <c r="C287" s="652" t="s">
        <v>3519</v>
      </c>
      <c r="D287" s="776" t="s">
        <v>3520</v>
      </c>
      <c r="E287" s="782">
        <f t="shared" si="28"/>
        <v>2024</v>
      </c>
      <c r="F287" s="778">
        <f t="shared" si="29"/>
        <v>45657</v>
      </c>
      <c r="G287" s="785">
        <v>0</v>
      </c>
      <c r="H287" s="788">
        <f>+H288+H289+H290</f>
        <v>0</v>
      </c>
      <c r="I287" s="789">
        <v>23408</v>
      </c>
      <c r="J287" s="789">
        <f t="shared" si="27"/>
        <v>-23408</v>
      </c>
      <c r="K287" s="769">
        <f t="shared" si="30"/>
        <v>-100</v>
      </c>
      <c r="L287" s="632"/>
      <c r="M287" s="632"/>
      <c r="N287" s="632"/>
      <c r="O287" s="632"/>
      <c r="P287" s="632"/>
      <c r="Q287" s="632"/>
      <c r="R287" s="632"/>
      <c r="S287" s="632"/>
    </row>
    <row r="288" spans="1:19">
      <c r="A288" s="650">
        <v>286</v>
      </c>
      <c r="B288" s="651"/>
      <c r="C288" s="662" t="s">
        <v>304</v>
      </c>
      <c r="D288" s="783" t="s">
        <v>3522</v>
      </c>
      <c r="E288" s="782">
        <f t="shared" si="28"/>
        <v>2024</v>
      </c>
      <c r="F288" s="778">
        <f t="shared" si="29"/>
        <v>45657</v>
      </c>
      <c r="G288" s="785">
        <v>0</v>
      </c>
      <c r="H288" s="786">
        <f>+G288</f>
        <v>0</v>
      </c>
      <c r="I288" s="787">
        <v>23408</v>
      </c>
      <c r="J288" s="787">
        <f t="shared" si="27"/>
        <v>-23408</v>
      </c>
      <c r="K288" s="769">
        <f t="shared" si="30"/>
        <v>-100</v>
      </c>
      <c r="L288" s="632"/>
      <c r="M288" s="632"/>
      <c r="N288" s="632"/>
      <c r="O288" s="632"/>
      <c r="P288" s="632"/>
      <c r="Q288" s="632"/>
      <c r="R288" s="632"/>
      <c r="S288" s="632"/>
    </row>
    <row r="289" spans="1:19">
      <c r="A289" s="650">
        <v>287</v>
      </c>
      <c r="B289" s="651"/>
      <c r="C289" s="662" t="s">
        <v>305</v>
      </c>
      <c r="D289" s="783" t="s">
        <v>3530</v>
      </c>
      <c r="E289" s="782">
        <f t="shared" si="28"/>
        <v>2024</v>
      </c>
      <c r="F289" s="778">
        <f t="shared" si="29"/>
        <v>45657</v>
      </c>
      <c r="G289" s="785">
        <v>0</v>
      </c>
      <c r="H289" s="786">
        <f>+G289</f>
        <v>0</v>
      </c>
      <c r="I289" s="787">
        <v>0</v>
      </c>
      <c r="J289" s="787">
        <f t="shared" si="27"/>
        <v>0</v>
      </c>
      <c r="K289" s="769"/>
      <c r="L289" s="632"/>
      <c r="M289" s="632"/>
      <c r="N289" s="632"/>
      <c r="O289" s="632"/>
      <c r="P289" s="632"/>
      <c r="Q289" s="632"/>
      <c r="R289" s="632"/>
      <c r="S289" s="632"/>
    </row>
    <row r="290" spans="1:19">
      <c r="A290" s="650">
        <v>288</v>
      </c>
      <c r="B290" s="651"/>
      <c r="C290" s="662" t="s">
        <v>306</v>
      </c>
      <c r="D290" s="783" t="s">
        <v>3526</v>
      </c>
      <c r="E290" s="782">
        <f t="shared" si="28"/>
        <v>2024</v>
      </c>
      <c r="F290" s="778">
        <f t="shared" si="29"/>
        <v>45657</v>
      </c>
      <c r="G290" s="785">
        <v>0</v>
      </c>
      <c r="H290" s="786">
        <f>+G290</f>
        <v>0</v>
      </c>
      <c r="I290" s="787">
        <v>0</v>
      </c>
      <c r="J290" s="787">
        <f t="shared" si="27"/>
        <v>0</v>
      </c>
      <c r="K290" s="769"/>
      <c r="L290" s="632"/>
      <c r="M290" s="632"/>
      <c r="N290" s="632"/>
      <c r="O290" s="632"/>
      <c r="P290" s="632"/>
      <c r="Q290" s="632"/>
      <c r="R290" s="632"/>
      <c r="S290" s="632"/>
    </row>
    <row r="291" spans="1:19">
      <c r="A291" s="650">
        <v>289</v>
      </c>
      <c r="B291" s="651"/>
      <c r="C291" s="652" t="s">
        <v>299</v>
      </c>
      <c r="D291" s="776" t="s">
        <v>3540</v>
      </c>
      <c r="E291" s="782">
        <f t="shared" si="28"/>
        <v>2024</v>
      </c>
      <c r="F291" s="778">
        <f t="shared" si="29"/>
        <v>45657</v>
      </c>
      <c r="G291" s="785">
        <v>42371217</v>
      </c>
      <c r="H291" s="788">
        <f>+H292+H295</f>
        <v>42371217</v>
      </c>
      <c r="I291" s="789">
        <v>48139649</v>
      </c>
      <c r="J291" s="789">
        <f t="shared" si="27"/>
        <v>-5768432</v>
      </c>
      <c r="K291" s="769">
        <f t="shared" si="30"/>
        <v>-11.98270473471878</v>
      </c>
      <c r="L291" s="632"/>
      <c r="M291" s="632"/>
      <c r="N291" s="632"/>
      <c r="O291" s="632"/>
      <c r="P291" s="632"/>
      <c r="Q291" s="632"/>
      <c r="R291" s="632"/>
      <c r="S291" s="632"/>
    </row>
    <row r="292" spans="1:19">
      <c r="A292" s="650">
        <v>290</v>
      </c>
      <c r="B292" s="651"/>
      <c r="C292" s="662" t="s">
        <v>300</v>
      </c>
      <c r="D292" s="783" t="s">
        <v>11903</v>
      </c>
      <c r="E292" s="782">
        <f t="shared" si="28"/>
        <v>2024</v>
      </c>
      <c r="F292" s="778">
        <f t="shared" si="29"/>
        <v>45657</v>
      </c>
      <c r="G292" s="785">
        <v>2100</v>
      </c>
      <c r="H292" s="788">
        <f>+H293+H294</f>
        <v>2100</v>
      </c>
      <c r="I292" s="789">
        <v>2100</v>
      </c>
      <c r="J292" s="789">
        <f t="shared" si="27"/>
        <v>0</v>
      </c>
      <c r="K292" s="769">
        <f t="shared" si="30"/>
        <v>0</v>
      </c>
      <c r="L292" s="632"/>
      <c r="M292" s="632"/>
      <c r="N292" s="632"/>
      <c r="O292" s="632"/>
      <c r="P292" s="632"/>
      <c r="Q292" s="632"/>
      <c r="R292" s="632"/>
      <c r="S292" s="632"/>
    </row>
    <row r="293" spans="1:19">
      <c r="A293" s="650">
        <v>291</v>
      </c>
      <c r="B293" s="651"/>
      <c r="C293" s="662" t="s">
        <v>3544</v>
      </c>
      <c r="D293" s="818" t="s">
        <v>3545</v>
      </c>
      <c r="E293" s="782">
        <f t="shared" si="28"/>
        <v>2024</v>
      </c>
      <c r="F293" s="778">
        <f t="shared" si="29"/>
        <v>45657</v>
      </c>
      <c r="G293" s="785">
        <v>2100</v>
      </c>
      <c r="H293" s="786">
        <f>+G293</f>
        <v>2100</v>
      </c>
      <c r="I293" s="787">
        <v>2100</v>
      </c>
      <c r="J293" s="787">
        <f t="shared" si="27"/>
        <v>0</v>
      </c>
      <c r="K293" s="769">
        <f t="shared" si="30"/>
        <v>0</v>
      </c>
      <c r="L293" s="632"/>
      <c r="M293" s="632"/>
      <c r="N293" s="632"/>
      <c r="O293" s="632"/>
      <c r="P293" s="632"/>
      <c r="Q293" s="632"/>
      <c r="R293" s="632"/>
      <c r="S293" s="632"/>
    </row>
    <row r="294" spans="1:19">
      <c r="A294" s="650">
        <v>292</v>
      </c>
      <c r="B294" s="651"/>
      <c r="C294" s="662" t="s">
        <v>3568</v>
      </c>
      <c r="D294" s="818" t="s">
        <v>3569</v>
      </c>
      <c r="E294" s="782">
        <f t="shared" si="28"/>
        <v>2024</v>
      </c>
      <c r="F294" s="778">
        <f t="shared" si="29"/>
        <v>45657</v>
      </c>
      <c r="G294" s="785">
        <v>0</v>
      </c>
      <c r="H294" s="786">
        <f>+G294</f>
        <v>0</v>
      </c>
      <c r="I294" s="787">
        <v>0</v>
      </c>
      <c r="J294" s="787">
        <f t="shared" si="27"/>
        <v>0</v>
      </c>
      <c r="K294" s="769"/>
      <c r="L294" s="632"/>
      <c r="M294" s="632"/>
      <c r="N294" s="632"/>
      <c r="O294" s="632"/>
      <c r="P294" s="632"/>
      <c r="Q294" s="632"/>
      <c r="R294" s="632"/>
      <c r="S294" s="632"/>
    </row>
    <row r="295" spans="1:19">
      <c r="A295" s="650">
        <v>293</v>
      </c>
      <c r="B295" s="651"/>
      <c r="C295" s="662" t="s">
        <v>301</v>
      </c>
      <c r="D295" s="818" t="s">
        <v>3586</v>
      </c>
      <c r="E295" s="782">
        <f t="shared" si="28"/>
        <v>2024</v>
      </c>
      <c r="F295" s="778">
        <f t="shared" si="29"/>
        <v>45657</v>
      </c>
      <c r="G295" s="785">
        <v>42369117</v>
      </c>
      <c r="H295" s="788">
        <f>+H296+H297</f>
        <v>42369117</v>
      </c>
      <c r="I295" s="789">
        <v>48137549</v>
      </c>
      <c r="J295" s="789">
        <f t="shared" si="27"/>
        <v>-5768432</v>
      </c>
      <c r="K295" s="769">
        <f t="shared" si="30"/>
        <v>-11.983227480069672</v>
      </c>
      <c r="L295" s="632"/>
      <c r="M295" s="632"/>
      <c r="N295" s="632"/>
      <c r="O295" s="632"/>
      <c r="P295" s="632"/>
      <c r="Q295" s="632"/>
      <c r="R295" s="632"/>
      <c r="S295" s="632"/>
    </row>
    <row r="296" spans="1:19">
      <c r="A296" s="650">
        <v>294</v>
      </c>
      <c r="B296" s="651"/>
      <c r="C296" s="819" t="s">
        <v>3590</v>
      </c>
      <c r="D296" s="818" t="s">
        <v>3591</v>
      </c>
      <c r="E296" s="782">
        <f t="shared" si="28"/>
        <v>2024</v>
      </c>
      <c r="F296" s="778">
        <f t="shared" si="29"/>
        <v>45657</v>
      </c>
      <c r="G296" s="785">
        <v>42672675</v>
      </c>
      <c r="H296" s="786">
        <f>+G296</f>
        <v>42672675</v>
      </c>
      <c r="I296" s="787">
        <v>48137549</v>
      </c>
      <c r="J296" s="787">
        <f t="shared" si="27"/>
        <v>-5464874</v>
      </c>
      <c r="K296" s="769">
        <f t="shared" si="30"/>
        <v>-11.352622045630113</v>
      </c>
      <c r="L296" s="632"/>
      <c r="M296" s="632"/>
      <c r="N296" s="632"/>
      <c r="O296" s="632"/>
      <c r="P296" s="632"/>
      <c r="Q296" s="632"/>
      <c r="R296" s="632"/>
      <c r="S296" s="632"/>
    </row>
    <row r="297" spans="1:19">
      <c r="A297" s="650">
        <v>295</v>
      </c>
      <c r="B297" s="651"/>
      <c r="C297" s="819" t="s">
        <v>3638</v>
      </c>
      <c r="D297" s="818" t="s">
        <v>11904</v>
      </c>
      <c r="E297" s="782">
        <f t="shared" si="28"/>
        <v>2024</v>
      </c>
      <c r="F297" s="778">
        <f t="shared" si="29"/>
        <v>45657</v>
      </c>
      <c r="G297" s="785">
        <v>-303558</v>
      </c>
      <c r="H297" s="786">
        <f>+G297</f>
        <v>-303558</v>
      </c>
      <c r="I297" s="787">
        <v>0</v>
      </c>
      <c r="J297" s="787">
        <f t="shared" si="27"/>
        <v>-303558</v>
      </c>
      <c r="K297" s="769"/>
      <c r="L297" s="632"/>
      <c r="M297" s="632"/>
      <c r="N297" s="632"/>
      <c r="O297" s="632"/>
      <c r="P297" s="632"/>
      <c r="Q297" s="632"/>
      <c r="R297" s="632"/>
      <c r="S297" s="632"/>
    </row>
    <row r="298" spans="1:19">
      <c r="A298" s="650">
        <v>296</v>
      </c>
      <c r="B298" s="651"/>
      <c r="C298" s="652" t="s">
        <v>278</v>
      </c>
      <c r="D298" s="776" t="s">
        <v>11905</v>
      </c>
      <c r="E298" s="782">
        <f t="shared" si="28"/>
        <v>2024</v>
      </c>
      <c r="F298" s="778">
        <f t="shared" si="29"/>
        <v>45657</v>
      </c>
      <c r="G298" s="785">
        <v>12457278</v>
      </c>
      <c r="H298" s="786">
        <f>+G298</f>
        <v>12457278</v>
      </c>
      <c r="I298" s="787">
        <v>243026</v>
      </c>
      <c r="J298" s="787">
        <f t="shared" si="27"/>
        <v>12214252</v>
      </c>
      <c r="K298" s="769">
        <f t="shared" si="30"/>
        <v>5025.9034012821676</v>
      </c>
      <c r="L298" s="632"/>
      <c r="M298" s="632"/>
      <c r="N298" s="632"/>
      <c r="O298" s="632"/>
      <c r="P298" s="632"/>
      <c r="Q298" s="632"/>
      <c r="R298" s="632"/>
      <c r="S298" s="632"/>
    </row>
    <row r="299" spans="1:19">
      <c r="A299" s="650">
        <v>297</v>
      </c>
      <c r="B299" s="651"/>
      <c r="C299" s="652" t="s">
        <v>302</v>
      </c>
      <c r="D299" s="776" t="s">
        <v>3671</v>
      </c>
      <c r="E299" s="782">
        <f t="shared" si="28"/>
        <v>2024</v>
      </c>
      <c r="F299" s="778">
        <f t="shared" si="29"/>
        <v>45657</v>
      </c>
      <c r="G299" s="785">
        <v>7192015</v>
      </c>
      <c r="H299" s="786">
        <f>+G299</f>
        <v>7192015</v>
      </c>
      <c r="I299" s="787">
        <v>8153597</v>
      </c>
      <c r="J299" s="787">
        <f t="shared" si="27"/>
        <v>-961582</v>
      </c>
      <c r="K299" s="769">
        <f t="shared" si="30"/>
        <v>-11.793347157089073</v>
      </c>
      <c r="L299" s="632"/>
      <c r="M299" s="632"/>
      <c r="N299" s="632"/>
      <c r="O299" s="632"/>
      <c r="P299" s="632"/>
      <c r="Q299" s="632"/>
      <c r="R299" s="632"/>
      <c r="S299" s="632"/>
    </row>
    <row r="300" spans="1:19">
      <c r="A300" s="650">
        <v>298</v>
      </c>
      <c r="B300" s="651"/>
      <c r="C300" s="652" t="s">
        <v>303</v>
      </c>
      <c r="D300" s="776" t="s">
        <v>3709</v>
      </c>
      <c r="E300" s="782">
        <f t="shared" si="28"/>
        <v>2024</v>
      </c>
      <c r="F300" s="778">
        <f t="shared" si="29"/>
        <v>45657</v>
      </c>
      <c r="G300" s="785">
        <v>12348374</v>
      </c>
      <c r="H300" s="786">
        <f>+G300</f>
        <v>12348374</v>
      </c>
      <c r="I300" s="787">
        <v>8579852</v>
      </c>
      <c r="J300" s="787">
        <f t="shared" si="27"/>
        <v>3768522</v>
      </c>
      <c r="K300" s="769">
        <f t="shared" si="30"/>
        <v>43.922925477036188</v>
      </c>
      <c r="L300" s="632"/>
      <c r="M300" s="632"/>
      <c r="N300" s="632"/>
      <c r="O300" s="632"/>
      <c r="P300" s="632"/>
      <c r="Q300" s="632"/>
      <c r="R300" s="632"/>
      <c r="S300" s="632"/>
    </row>
    <row r="301" spans="1:19">
      <c r="A301" s="650">
        <v>299</v>
      </c>
      <c r="B301" s="651"/>
      <c r="C301" s="652" t="s">
        <v>616</v>
      </c>
      <c r="D301" s="776" t="s">
        <v>11906</v>
      </c>
      <c r="E301" s="782">
        <f t="shared" si="28"/>
        <v>2024</v>
      </c>
      <c r="F301" s="778">
        <f t="shared" si="29"/>
        <v>45657</v>
      </c>
      <c r="G301" s="785">
        <v>18893005</v>
      </c>
      <c r="H301" s="788">
        <f>+H302+H303+H304+H305</f>
        <v>18893005</v>
      </c>
      <c r="I301" s="789">
        <v>23334044</v>
      </c>
      <c r="J301" s="789">
        <f t="shared" si="27"/>
        <v>-4441039</v>
      </c>
      <c r="K301" s="769">
        <f t="shared" si="30"/>
        <v>-19.032444611829817</v>
      </c>
      <c r="L301" s="632"/>
      <c r="M301" s="632"/>
      <c r="N301" s="632"/>
      <c r="O301" s="632"/>
      <c r="P301" s="632"/>
      <c r="Q301" s="632"/>
      <c r="R301" s="632"/>
      <c r="S301" s="632"/>
    </row>
    <row r="302" spans="1:19">
      <c r="A302" s="650">
        <v>300</v>
      </c>
      <c r="B302" s="651"/>
      <c r="C302" s="662" t="s">
        <v>279</v>
      </c>
      <c r="D302" s="783" t="s">
        <v>3751</v>
      </c>
      <c r="E302" s="782">
        <f t="shared" si="28"/>
        <v>2024</v>
      </c>
      <c r="F302" s="778">
        <f t="shared" si="29"/>
        <v>45657</v>
      </c>
      <c r="G302" s="785">
        <v>0</v>
      </c>
      <c r="H302" s="786">
        <f>+G302</f>
        <v>0</v>
      </c>
      <c r="I302" s="787">
        <v>0</v>
      </c>
      <c r="J302" s="787">
        <f t="shared" si="27"/>
        <v>0</v>
      </c>
      <c r="K302" s="769"/>
      <c r="L302" s="632"/>
      <c r="M302" s="632"/>
      <c r="N302" s="632"/>
      <c r="O302" s="632"/>
      <c r="P302" s="632"/>
      <c r="Q302" s="632"/>
      <c r="R302" s="632"/>
      <c r="S302" s="632"/>
    </row>
    <row r="303" spans="1:19">
      <c r="A303" s="650">
        <v>301</v>
      </c>
      <c r="B303" s="651"/>
      <c r="C303" s="662" t="s">
        <v>607</v>
      </c>
      <c r="D303" s="783" t="s">
        <v>3756</v>
      </c>
      <c r="E303" s="782">
        <f t="shared" si="28"/>
        <v>2024</v>
      </c>
      <c r="F303" s="778">
        <f t="shared" si="29"/>
        <v>45657</v>
      </c>
      <c r="G303" s="785">
        <v>17646485</v>
      </c>
      <c r="H303" s="786">
        <f>+G303</f>
        <v>17646485</v>
      </c>
      <c r="I303" s="787">
        <v>22622107</v>
      </c>
      <c r="J303" s="787">
        <f t="shared" si="27"/>
        <v>-4975622</v>
      </c>
      <c r="K303" s="769">
        <f t="shared" si="30"/>
        <v>-21.994511828628518</v>
      </c>
      <c r="L303" s="632"/>
      <c r="M303" s="632"/>
      <c r="N303" s="632"/>
      <c r="O303" s="632"/>
      <c r="P303" s="632"/>
      <c r="Q303" s="632"/>
      <c r="R303" s="632"/>
      <c r="S303" s="632"/>
    </row>
    <row r="304" spans="1:19">
      <c r="A304" s="650">
        <v>302</v>
      </c>
      <c r="B304" s="651"/>
      <c r="C304" s="662" t="s">
        <v>608</v>
      </c>
      <c r="D304" s="783" t="s">
        <v>4454</v>
      </c>
      <c r="E304" s="782">
        <f t="shared" si="28"/>
        <v>2024</v>
      </c>
      <c r="F304" s="778">
        <f t="shared" si="29"/>
        <v>45657</v>
      </c>
      <c r="G304" s="785">
        <v>0</v>
      </c>
      <c r="H304" s="786">
        <f>+G304</f>
        <v>0</v>
      </c>
      <c r="I304" s="787">
        <v>0</v>
      </c>
      <c r="J304" s="787">
        <f t="shared" si="27"/>
        <v>0</v>
      </c>
      <c r="K304" s="769"/>
      <c r="L304" s="632"/>
      <c r="M304" s="632"/>
      <c r="N304" s="632"/>
      <c r="O304" s="632"/>
      <c r="P304" s="632"/>
      <c r="Q304" s="632"/>
      <c r="R304" s="632"/>
      <c r="S304" s="632"/>
    </row>
    <row r="305" spans="1:19">
      <c r="A305" s="650">
        <v>303</v>
      </c>
      <c r="B305" s="651"/>
      <c r="C305" s="662" t="s">
        <v>609</v>
      </c>
      <c r="D305" s="783" t="s">
        <v>4458</v>
      </c>
      <c r="E305" s="782">
        <f t="shared" si="28"/>
        <v>2024</v>
      </c>
      <c r="F305" s="778">
        <f t="shared" si="29"/>
        <v>45657</v>
      </c>
      <c r="G305" s="785">
        <v>1246520</v>
      </c>
      <c r="H305" s="786">
        <f>+G305</f>
        <v>1246520</v>
      </c>
      <c r="I305" s="787">
        <v>711937</v>
      </c>
      <c r="J305" s="787">
        <f t="shared" si="27"/>
        <v>534583</v>
      </c>
      <c r="K305" s="769">
        <f t="shared" si="30"/>
        <v>75.08852609149406</v>
      </c>
      <c r="L305" s="632"/>
      <c r="M305" s="632"/>
      <c r="N305" s="632"/>
      <c r="O305" s="632"/>
      <c r="P305" s="632"/>
      <c r="Q305" s="632"/>
      <c r="R305" s="632"/>
      <c r="S305" s="632"/>
    </row>
    <row r="306" spans="1:19">
      <c r="A306" s="650">
        <v>304</v>
      </c>
      <c r="B306" s="651"/>
      <c r="C306" s="652" t="s">
        <v>4528</v>
      </c>
      <c r="D306" s="776" t="s">
        <v>11907</v>
      </c>
      <c r="E306" s="782">
        <f t="shared" si="28"/>
        <v>2024</v>
      </c>
      <c r="F306" s="778">
        <f t="shared" si="29"/>
        <v>45657</v>
      </c>
      <c r="G306" s="785">
        <v>1920934</v>
      </c>
      <c r="H306" s="788">
        <f>+H307+H310</f>
        <v>1920934</v>
      </c>
      <c r="I306" s="789">
        <v>2527934</v>
      </c>
      <c r="J306" s="789">
        <f t="shared" si="27"/>
        <v>-607000</v>
      </c>
      <c r="K306" s="769">
        <f t="shared" si="30"/>
        <v>-24.011702837178504</v>
      </c>
      <c r="L306" s="632"/>
      <c r="M306" s="632"/>
      <c r="N306" s="632"/>
      <c r="O306" s="632"/>
      <c r="P306" s="632"/>
      <c r="Q306" s="632"/>
      <c r="R306" s="632"/>
      <c r="S306" s="632"/>
    </row>
    <row r="307" spans="1:19">
      <c r="A307" s="650">
        <v>305</v>
      </c>
      <c r="B307" s="651"/>
      <c r="C307" s="652" t="s">
        <v>4529</v>
      </c>
      <c r="D307" s="776" t="s">
        <v>4530</v>
      </c>
      <c r="E307" s="782">
        <f t="shared" si="28"/>
        <v>2024</v>
      </c>
      <c r="F307" s="778">
        <f t="shared" si="29"/>
        <v>45657</v>
      </c>
      <c r="G307" s="785">
        <v>0</v>
      </c>
      <c r="H307" s="788">
        <f>+H308+H309</f>
        <v>0</v>
      </c>
      <c r="I307" s="789">
        <v>0</v>
      </c>
      <c r="J307" s="789">
        <f t="shared" si="27"/>
        <v>0</v>
      </c>
      <c r="K307" s="769"/>
      <c r="L307" s="632"/>
      <c r="M307" s="632"/>
      <c r="N307" s="632"/>
      <c r="O307" s="632"/>
      <c r="P307" s="632"/>
      <c r="Q307" s="632"/>
      <c r="R307" s="632"/>
      <c r="S307" s="632"/>
    </row>
    <row r="308" spans="1:19">
      <c r="A308" s="650">
        <v>306</v>
      </c>
      <c r="B308" s="651"/>
      <c r="C308" s="662" t="s">
        <v>11908</v>
      </c>
      <c r="D308" s="783" t="s">
        <v>4532</v>
      </c>
      <c r="E308" s="782">
        <f t="shared" si="28"/>
        <v>2024</v>
      </c>
      <c r="F308" s="778">
        <f t="shared" si="29"/>
        <v>45657</v>
      </c>
      <c r="G308" s="785">
        <v>0</v>
      </c>
      <c r="H308" s="786">
        <f>+G308</f>
        <v>0</v>
      </c>
      <c r="I308" s="787">
        <v>0</v>
      </c>
      <c r="J308" s="787">
        <f t="shared" si="27"/>
        <v>0</v>
      </c>
      <c r="K308" s="769"/>
      <c r="L308" s="632"/>
      <c r="M308" s="632"/>
      <c r="N308" s="632"/>
      <c r="O308" s="632"/>
      <c r="P308" s="632"/>
      <c r="Q308" s="632"/>
      <c r="R308" s="632"/>
      <c r="S308" s="632"/>
    </row>
    <row r="309" spans="1:19">
      <c r="A309" s="650">
        <v>307</v>
      </c>
      <c r="B309" s="651" t="s">
        <v>1519</v>
      </c>
      <c r="C309" s="662" t="s">
        <v>4540</v>
      </c>
      <c r="D309" s="783" t="s">
        <v>4541</v>
      </c>
      <c r="E309" s="782">
        <f t="shared" si="28"/>
        <v>2024</v>
      </c>
      <c r="F309" s="778">
        <f t="shared" si="29"/>
        <v>45657</v>
      </c>
      <c r="G309" s="785">
        <v>0</v>
      </c>
      <c r="H309" s="786">
        <f>+G309</f>
        <v>0</v>
      </c>
      <c r="I309" s="787">
        <v>0</v>
      </c>
      <c r="J309" s="787">
        <f t="shared" si="27"/>
        <v>0</v>
      </c>
      <c r="K309" s="769"/>
      <c r="L309" s="632"/>
      <c r="M309" s="632"/>
      <c r="N309" s="632"/>
      <c r="O309" s="632"/>
      <c r="P309" s="632"/>
      <c r="Q309" s="632"/>
      <c r="R309" s="632"/>
      <c r="S309" s="632"/>
    </row>
    <row r="310" spans="1:19">
      <c r="A310" s="650">
        <v>308</v>
      </c>
      <c r="B310" s="651"/>
      <c r="C310" s="652" t="s">
        <v>4543</v>
      </c>
      <c r="D310" s="776" t="s">
        <v>4544</v>
      </c>
      <c r="E310" s="782">
        <f t="shared" si="28"/>
        <v>2024</v>
      </c>
      <c r="F310" s="778">
        <f t="shared" si="29"/>
        <v>45657</v>
      </c>
      <c r="G310" s="785">
        <v>1920934</v>
      </c>
      <c r="H310" s="788">
        <f>+H311+H312+H313</f>
        <v>1920934</v>
      </c>
      <c r="I310" s="789">
        <v>2527934</v>
      </c>
      <c r="J310" s="789">
        <f t="shared" si="27"/>
        <v>-607000</v>
      </c>
      <c r="K310" s="769">
        <f t="shared" si="30"/>
        <v>-24.011702837178504</v>
      </c>
      <c r="L310" s="632"/>
      <c r="M310" s="632"/>
      <c r="N310" s="632"/>
      <c r="O310" s="632"/>
      <c r="P310" s="632"/>
      <c r="Q310" s="632"/>
      <c r="R310" s="632"/>
      <c r="S310" s="632"/>
    </row>
    <row r="311" spans="1:19">
      <c r="A311" s="650">
        <v>309</v>
      </c>
      <c r="B311" s="651"/>
      <c r="C311" s="662" t="s">
        <v>4546</v>
      </c>
      <c r="D311" s="783" t="s">
        <v>4547</v>
      </c>
      <c r="E311" s="782">
        <f t="shared" si="28"/>
        <v>2024</v>
      </c>
      <c r="F311" s="778">
        <f t="shared" si="29"/>
        <v>45657</v>
      </c>
      <c r="G311" s="785">
        <v>1920934</v>
      </c>
      <c r="H311" s="786">
        <f>+G311</f>
        <v>1920934</v>
      </c>
      <c r="I311" s="787">
        <v>2527934</v>
      </c>
      <c r="J311" s="787">
        <f t="shared" si="27"/>
        <v>-607000</v>
      </c>
      <c r="K311" s="769">
        <f t="shared" si="30"/>
        <v>-24.011702837178504</v>
      </c>
      <c r="L311" s="632"/>
      <c r="M311" s="632"/>
      <c r="N311" s="632"/>
      <c r="O311" s="632"/>
      <c r="P311" s="632"/>
      <c r="Q311" s="632"/>
      <c r="R311" s="632"/>
      <c r="S311" s="632"/>
    </row>
    <row r="312" spans="1:19">
      <c r="A312" s="650">
        <v>310</v>
      </c>
      <c r="B312" s="651" t="s">
        <v>1519</v>
      </c>
      <c r="C312" s="662" t="s">
        <v>4581</v>
      </c>
      <c r="D312" s="783" t="s">
        <v>4582</v>
      </c>
      <c r="E312" s="782">
        <f t="shared" si="28"/>
        <v>2024</v>
      </c>
      <c r="F312" s="778">
        <f t="shared" si="29"/>
        <v>45657</v>
      </c>
      <c r="G312" s="785">
        <v>0</v>
      </c>
      <c r="H312" s="794">
        <f>+G312</f>
        <v>0</v>
      </c>
      <c r="I312" s="787">
        <v>0</v>
      </c>
      <c r="J312" s="787">
        <f t="shared" si="27"/>
        <v>0</v>
      </c>
      <c r="K312" s="769"/>
      <c r="L312" s="820"/>
      <c r="M312" s="820"/>
      <c r="N312" s="820"/>
      <c r="O312" s="820"/>
      <c r="P312" s="820"/>
      <c r="Q312" s="820"/>
      <c r="R312" s="820"/>
      <c r="S312" s="820"/>
    </row>
    <row r="313" spans="1:19">
      <c r="A313" s="650">
        <v>311</v>
      </c>
      <c r="B313" s="651"/>
      <c r="C313" s="662" t="s">
        <v>4590</v>
      </c>
      <c r="D313" s="783" t="s">
        <v>4591</v>
      </c>
      <c r="E313" s="782">
        <f t="shared" si="28"/>
        <v>2024</v>
      </c>
      <c r="F313" s="778">
        <f t="shared" si="29"/>
        <v>45657</v>
      </c>
      <c r="G313" s="779">
        <v>0</v>
      </c>
      <c r="H313" s="786">
        <f>+G313</f>
        <v>0</v>
      </c>
      <c r="I313" s="787">
        <v>0</v>
      </c>
      <c r="J313" s="787">
        <f t="shared" si="27"/>
        <v>0</v>
      </c>
      <c r="K313" s="769"/>
      <c r="L313" s="632"/>
      <c r="M313" s="632"/>
      <c r="N313" s="632"/>
      <c r="O313" s="632"/>
      <c r="P313" s="632"/>
      <c r="Q313" s="632"/>
      <c r="R313" s="632"/>
      <c r="S313" s="632"/>
    </row>
    <row r="314" spans="1:19">
      <c r="A314" s="650">
        <v>312</v>
      </c>
      <c r="B314" s="651"/>
      <c r="C314" s="691" t="s">
        <v>11909</v>
      </c>
      <c r="D314" s="802" t="s">
        <v>11910</v>
      </c>
      <c r="E314" s="782">
        <f t="shared" si="28"/>
        <v>2024</v>
      </c>
      <c r="F314" s="778">
        <f t="shared" si="29"/>
        <v>45657</v>
      </c>
      <c r="G314" s="785">
        <v>304320710</v>
      </c>
      <c r="H314" s="788">
        <f>+H306+H249+H245+H212+H188</f>
        <v>304320710</v>
      </c>
      <c r="I314" s="789">
        <v>298130366</v>
      </c>
      <c r="J314" s="789">
        <f t="shared" si="27"/>
        <v>6190344</v>
      </c>
      <c r="K314" s="769">
        <f t="shared" si="30"/>
        <v>2.0763882871293902</v>
      </c>
      <c r="L314" s="632"/>
      <c r="M314" s="632"/>
      <c r="N314" s="632"/>
      <c r="O314" s="632"/>
      <c r="P314" s="632"/>
      <c r="Q314" s="632"/>
      <c r="R314" s="632"/>
      <c r="S314" s="632"/>
    </row>
    <row r="315" spans="1:19">
      <c r="A315" s="650">
        <v>313</v>
      </c>
      <c r="B315" s="651"/>
      <c r="C315" s="691" t="s">
        <v>4594</v>
      </c>
      <c r="D315" s="801" t="s">
        <v>11911</v>
      </c>
      <c r="E315" s="782">
        <f t="shared" si="28"/>
        <v>2024</v>
      </c>
      <c r="F315" s="778">
        <f t="shared" si="29"/>
        <v>45657</v>
      </c>
      <c r="G315" s="785">
        <v>290984079</v>
      </c>
      <c r="H315" s="788">
        <f>+H316+H317+H318+H319+H320</f>
        <v>290984079</v>
      </c>
      <c r="I315" s="789">
        <v>290984079</v>
      </c>
      <c r="J315" s="789">
        <f t="shared" si="27"/>
        <v>0</v>
      </c>
      <c r="K315" s="769">
        <f t="shared" si="30"/>
        <v>0</v>
      </c>
      <c r="L315" s="632"/>
      <c r="M315" s="632"/>
      <c r="N315" s="632"/>
      <c r="O315" s="632"/>
      <c r="P315" s="632"/>
      <c r="Q315" s="632"/>
      <c r="R315" s="632"/>
      <c r="S315" s="632"/>
    </row>
    <row r="316" spans="1:19">
      <c r="A316" s="650">
        <v>314</v>
      </c>
      <c r="B316" s="651"/>
      <c r="C316" s="691" t="s">
        <v>610</v>
      </c>
      <c r="D316" s="801" t="s">
        <v>4595</v>
      </c>
      <c r="E316" s="782">
        <f t="shared" si="28"/>
        <v>2024</v>
      </c>
      <c r="F316" s="778">
        <f t="shared" si="29"/>
        <v>45657</v>
      </c>
      <c r="G316" s="785">
        <v>0</v>
      </c>
      <c r="H316" s="786">
        <f>+G316</f>
        <v>0</v>
      </c>
      <c r="I316" s="787">
        <v>0</v>
      </c>
      <c r="J316" s="787">
        <f t="shared" si="27"/>
        <v>0</v>
      </c>
      <c r="K316" s="769"/>
      <c r="L316" s="632"/>
      <c r="M316" s="632"/>
      <c r="N316" s="632"/>
      <c r="O316" s="632"/>
      <c r="P316" s="632"/>
      <c r="Q316" s="632"/>
      <c r="R316" s="632"/>
      <c r="S316" s="632"/>
    </row>
    <row r="317" spans="1:19">
      <c r="A317" s="650">
        <v>315</v>
      </c>
      <c r="B317" s="651"/>
      <c r="C317" s="691" t="s">
        <v>611</v>
      </c>
      <c r="D317" s="801" t="s">
        <v>4597</v>
      </c>
      <c r="E317" s="782">
        <f t="shared" si="28"/>
        <v>2024</v>
      </c>
      <c r="F317" s="778">
        <f t="shared" si="29"/>
        <v>45657</v>
      </c>
      <c r="G317" s="785">
        <v>0</v>
      </c>
      <c r="H317" s="786">
        <f>+G317</f>
        <v>0</v>
      </c>
      <c r="I317" s="787">
        <v>0</v>
      </c>
      <c r="J317" s="787">
        <f t="shared" si="27"/>
        <v>0</v>
      </c>
      <c r="K317" s="769"/>
      <c r="L317" s="632"/>
      <c r="M317" s="632"/>
      <c r="N317" s="632"/>
      <c r="O317" s="632"/>
      <c r="P317" s="632"/>
      <c r="Q317" s="632"/>
      <c r="R317" s="632"/>
      <c r="S317" s="632"/>
    </row>
    <row r="318" spans="1:19">
      <c r="A318" s="650">
        <v>316</v>
      </c>
      <c r="B318" s="651"/>
      <c r="C318" s="691" t="s">
        <v>612</v>
      </c>
      <c r="D318" s="801" t="s">
        <v>4599</v>
      </c>
      <c r="E318" s="782">
        <f t="shared" si="28"/>
        <v>2024</v>
      </c>
      <c r="F318" s="778">
        <f t="shared" si="29"/>
        <v>45657</v>
      </c>
      <c r="G318" s="785">
        <v>287897838</v>
      </c>
      <c r="H318" s="786">
        <f>+G318</f>
        <v>287897838</v>
      </c>
      <c r="I318" s="787">
        <v>287897838</v>
      </c>
      <c r="J318" s="787">
        <f t="shared" si="27"/>
        <v>0</v>
      </c>
      <c r="K318" s="769">
        <f t="shared" si="30"/>
        <v>0</v>
      </c>
      <c r="L318" s="632"/>
      <c r="M318" s="632"/>
      <c r="N318" s="632"/>
      <c r="O318" s="632"/>
      <c r="P318" s="632"/>
      <c r="Q318" s="632"/>
      <c r="R318" s="632"/>
      <c r="S318" s="632"/>
    </row>
    <row r="319" spans="1:19">
      <c r="A319" s="650">
        <v>317</v>
      </c>
      <c r="B319" s="651"/>
      <c r="C319" s="691" t="s">
        <v>4601</v>
      </c>
      <c r="D319" s="801" t="s">
        <v>4602</v>
      </c>
      <c r="E319" s="782">
        <f t="shared" si="28"/>
        <v>2024</v>
      </c>
      <c r="F319" s="778">
        <f t="shared" si="29"/>
        <v>45657</v>
      </c>
      <c r="G319" s="785">
        <v>0</v>
      </c>
      <c r="H319" s="786">
        <f>+G319</f>
        <v>0</v>
      </c>
      <c r="I319" s="787">
        <v>0</v>
      </c>
      <c r="J319" s="787">
        <f t="shared" si="27"/>
        <v>0</v>
      </c>
      <c r="K319" s="769"/>
      <c r="L319" s="632"/>
      <c r="M319" s="632"/>
      <c r="N319" s="632"/>
      <c r="O319" s="632"/>
      <c r="P319" s="632"/>
      <c r="Q319" s="632"/>
      <c r="R319" s="632"/>
      <c r="S319" s="632"/>
    </row>
    <row r="320" spans="1:19">
      <c r="A320" s="650">
        <v>318</v>
      </c>
      <c r="B320" s="651"/>
      <c r="C320" s="691" t="s">
        <v>613</v>
      </c>
      <c r="D320" s="801" t="s">
        <v>4605</v>
      </c>
      <c r="E320" s="782">
        <f t="shared" si="28"/>
        <v>2024</v>
      </c>
      <c r="F320" s="778">
        <f t="shared" si="29"/>
        <v>45657</v>
      </c>
      <c r="G320" s="785">
        <v>3086241</v>
      </c>
      <c r="H320" s="786">
        <f>+G320</f>
        <v>3086241</v>
      </c>
      <c r="I320" s="787">
        <v>3086241</v>
      </c>
      <c r="J320" s="787">
        <f t="shared" si="27"/>
        <v>0</v>
      </c>
      <c r="K320" s="769">
        <f t="shared" si="30"/>
        <v>0</v>
      </c>
      <c r="L320" s="632"/>
      <c r="M320" s="632"/>
      <c r="N320" s="632"/>
      <c r="O320" s="632"/>
      <c r="P320" s="632"/>
      <c r="Q320" s="632"/>
      <c r="R320" s="632"/>
      <c r="S320" s="632"/>
    </row>
    <row r="321" s="821" customFormat="1" ht="15"/>
    <row r="322" s="821" customFormat="1" ht="15"/>
    <row r="323" s="821" customFormat="1" ht="15"/>
    <row r="324" s="821" customFormat="1" ht="15"/>
    <row r="325" s="821" customFormat="1" ht="15"/>
    <row r="326" s="821" customFormat="1" ht="15"/>
    <row r="327" s="821" customFormat="1" ht="15"/>
    <row r="328" s="821" customFormat="1" ht="15"/>
    <row r="329" s="821" customFormat="1" ht="15"/>
    <row r="330" s="821" customFormat="1" ht="15"/>
    <row r="331" s="821" customFormat="1" ht="15"/>
    <row r="332" s="821" customFormat="1" ht="15"/>
    <row r="333" s="821" customFormat="1" ht="15"/>
    <row r="334" s="821" customFormat="1" ht="15"/>
    <row r="335" s="821" customFormat="1" ht="15"/>
    <row r="336" s="821" customFormat="1" ht="15"/>
    <row r="337" s="821" customFormat="1" ht="15"/>
    <row r="338" s="821" customFormat="1" ht="15"/>
    <row r="339" s="821" customFormat="1" ht="15"/>
    <row r="340" s="821" customFormat="1" ht="15"/>
    <row r="341" s="821" customFormat="1" ht="15"/>
    <row r="342" s="821" customFormat="1" ht="15"/>
    <row r="343" s="821" customFormat="1" ht="15"/>
    <row r="344" s="821" customFormat="1" ht="15"/>
    <row r="345" s="821" customFormat="1" ht="15"/>
    <row r="346" s="821" customFormat="1" ht="15"/>
    <row r="347" s="821" customFormat="1" ht="15"/>
    <row r="348" s="821" customFormat="1" ht="15"/>
    <row r="349" s="821" customFormat="1" ht="15"/>
    <row r="350" s="821" customFormat="1" ht="15"/>
    <row r="351" s="821" customFormat="1" ht="15"/>
    <row r="352" s="821" customFormat="1" ht="15"/>
    <row r="353" s="821" customFormat="1" ht="15"/>
    <row r="354" s="821" customFormat="1" ht="15"/>
    <row r="355" s="821" customFormat="1" ht="15"/>
    <row r="356" s="821" customFormat="1" ht="15"/>
    <row r="357" s="821" customFormat="1" ht="15"/>
    <row r="358" s="821" customFormat="1" ht="15"/>
    <row r="359" s="821" customFormat="1" ht="15"/>
    <row r="360" s="821" customFormat="1" ht="15"/>
    <row r="361" s="821" customFormat="1" ht="15"/>
    <row r="362" s="821" customFormat="1" ht="15"/>
    <row r="363" s="821" customFormat="1" ht="15"/>
    <row r="364" s="821" customFormat="1" ht="15"/>
    <row r="365" s="821" customFormat="1" ht="15"/>
    <row r="366" s="821" customFormat="1" ht="15"/>
    <row r="367" s="821" customFormat="1" ht="15"/>
    <row r="368" s="821" customFormat="1" ht="15"/>
    <row r="369" s="821" customFormat="1" ht="15"/>
    <row r="370" s="821" customFormat="1" ht="15"/>
    <row r="371" s="821" customFormat="1" ht="15"/>
    <row r="372" s="821" customFormat="1" ht="15"/>
    <row r="373" s="821" customFormat="1" ht="15"/>
    <row r="374" s="821" customFormat="1" ht="15"/>
    <row r="375" s="821" customFormat="1" ht="15"/>
    <row r="376" s="821" customFormat="1" ht="15"/>
    <row r="377" s="821" customFormat="1" ht="15"/>
    <row r="378" s="821" customFormat="1" ht="15"/>
    <row r="379" s="821" customFormat="1" ht="15"/>
    <row r="380" s="821" customFormat="1" ht="15"/>
    <row r="381" s="821" customFormat="1" ht="15"/>
    <row r="382" s="821" customFormat="1" ht="15"/>
    <row r="383" s="821" customFormat="1" ht="15"/>
    <row r="384" s="821" customFormat="1" ht="15"/>
    <row r="385" s="821" customFormat="1" ht="15"/>
    <row r="386" s="821" customFormat="1" ht="15"/>
    <row r="387" s="821" customFormat="1" ht="15"/>
    <row r="388" s="821" customFormat="1" ht="15"/>
    <row r="389" s="821" customFormat="1" ht="15"/>
    <row r="390" s="821" customFormat="1" ht="15"/>
    <row r="391" s="821" customFormat="1" ht="15"/>
    <row r="392" s="821" customFormat="1" ht="15"/>
    <row r="393" s="821" customFormat="1" ht="15"/>
    <row r="394" s="821" customFormat="1" ht="15"/>
    <row r="395" s="821" customFormat="1" ht="15"/>
    <row r="396" s="821" customFormat="1" ht="15"/>
    <row r="397" s="821" customFormat="1" ht="15"/>
    <row r="398" s="821" customFormat="1" ht="15"/>
    <row r="399" s="821" customFormat="1" ht="15"/>
    <row r="400" s="821" customFormat="1" ht="15"/>
    <row r="401" s="821" customFormat="1" ht="15"/>
    <row r="402" s="821" customFormat="1" ht="15"/>
    <row r="403" s="821" customFormat="1" ht="15"/>
    <row r="404" s="821" customFormat="1" ht="15"/>
    <row r="405" s="821" customFormat="1" ht="15"/>
    <row r="406" s="821" customFormat="1" ht="15"/>
    <row r="407" s="821" customFormat="1" ht="15"/>
    <row r="408" s="821" customFormat="1" ht="15"/>
    <row r="409" s="821" customFormat="1" ht="15"/>
    <row r="410" s="821" customFormat="1" ht="15"/>
    <row r="411" s="821" customFormat="1" ht="15"/>
    <row r="412" s="821" customFormat="1" ht="15"/>
    <row r="413" s="821" customFormat="1" ht="15"/>
    <row r="414" s="821" customFormat="1" ht="15"/>
    <row r="415" s="821" customFormat="1" ht="15"/>
    <row r="416" s="821" customFormat="1" ht="15"/>
    <row r="417" s="821" customFormat="1" ht="15"/>
    <row r="418" s="821" customFormat="1" ht="15"/>
    <row r="419" s="821" customFormat="1" ht="15"/>
    <row r="420" s="821" customFormat="1" ht="15"/>
    <row r="421" s="821" customFormat="1" ht="15"/>
    <row r="422" s="821" customFormat="1" ht="15"/>
    <row r="423" s="821" customFormat="1" ht="15"/>
    <row r="424" s="821" customFormat="1" ht="15"/>
    <row r="425" s="821" customFormat="1" ht="15"/>
    <row r="426" s="821" customFormat="1" ht="15"/>
    <row r="427" s="821" customFormat="1" ht="15"/>
    <row r="428" s="821" customFormat="1" ht="15"/>
    <row r="429" s="821" customFormat="1" ht="15"/>
    <row r="430" s="821" customFormat="1" ht="15"/>
    <row r="431" s="821" customFormat="1" ht="15"/>
    <row r="432" s="821" customFormat="1" ht="15"/>
    <row r="433" s="821" customFormat="1" ht="15"/>
    <row r="434" s="821" customFormat="1" ht="15"/>
    <row r="435" s="821" customFormat="1" ht="15"/>
    <row r="436" s="821" customFormat="1" ht="15"/>
    <row r="437" s="821" customFormat="1" ht="15"/>
    <row r="438" s="821" customFormat="1" ht="15"/>
    <row r="439" s="821" customFormat="1" ht="15"/>
    <row r="440" s="821" customFormat="1" ht="15"/>
    <row r="441" s="821" customFormat="1" ht="15"/>
    <row r="442" s="821" customFormat="1" ht="15"/>
    <row r="443" s="821" customFormat="1" ht="15"/>
    <row r="444" s="821" customFormat="1" ht="15"/>
    <row r="445" s="821" customFormat="1" ht="15"/>
    <row r="446" s="821" customFormat="1" ht="15"/>
    <row r="447" s="821" customFormat="1" ht="15"/>
    <row r="448" s="821" customFormat="1" ht="15"/>
    <row r="449" s="821" customFormat="1" ht="15"/>
    <row r="450" s="821" customFormat="1" ht="15"/>
    <row r="451" s="821" customFormat="1" ht="15"/>
    <row r="452" s="821" customFormat="1" ht="15"/>
    <row r="453" s="821" customFormat="1" ht="15"/>
    <row r="454" s="821" customFormat="1" ht="15"/>
    <row r="455" s="821" customFormat="1" ht="15"/>
    <row r="456" s="821" customFormat="1" ht="15"/>
    <row r="457" s="821" customFormat="1" ht="15"/>
    <row r="458" s="821" customFormat="1" ht="15"/>
    <row r="459" s="821" customFormat="1" ht="15"/>
    <row r="460" s="821" customFormat="1" ht="15"/>
    <row r="461" s="821" customFormat="1" ht="15"/>
    <row r="462" s="821" customFormat="1" ht="15"/>
    <row r="463" s="821" customFormat="1" ht="15"/>
    <row r="464" s="821" customFormat="1" ht="15"/>
    <row r="465" s="821" customFormat="1" ht="15"/>
    <row r="466" s="821" customFormat="1" ht="15"/>
    <row r="467" s="821" customFormat="1" ht="15"/>
    <row r="468" s="821" customFormat="1" ht="15"/>
    <row r="469" s="821" customFormat="1" ht="15"/>
    <row r="470" s="821" customFormat="1" ht="15"/>
    <row r="471" s="821" customFormat="1" ht="15"/>
    <row r="472" s="821" customFormat="1" ht="15"/>
    <row r="473" s="821" customFormat="1" ht="15"/>
    <row r="474" s="821" customFormat="1" ht="15"/>
    <row r="475" s="821" customFormat="1" ht="15"/>
    <row r="476" s="821" customFormat="1" ht="15"/>
    <row r="477" s="821" customFormat="1" ht="15"/>
    <row r="478" s="821" customFormat="1" ht="15"/>
    <row r="479" s="821" customFormat="1" ht="15"/>
    <row r="480" s="821" customFormat="1" ht="15"/>
    <row r="481" s="821" customFormat="1" ht="15"/>
    <row r="482" s="821" customFormat="1" ht="15"/>
    <row r="483" s="821" customFormat="1" ht="15"/>
    <row r="484" s="821" customFormat="1" ht="15"/>
    <row r="485" s="821" customFormat="1" ht="15"/>
    <row r="486" s="821" customFormat="1" ht="15"/>
    <row r="487" s="821" customFormat="1" ht="15"/>
    <row r="488" s="821" customFormat="1" ht="15"/>
    <row r="489" s="821" customFormat="1" ht="15"/>
    <row r="490" s="821" customFormat="1" ht="15"/>
    <row r="491" s="821" customFormat="1" ht="15"/>
    <row r="492" s="821" customFormat="1" ht="15"/>
    <row r="493" s="821" customFormat="1" ht="15"/>
    <row r="494" s="821" customFormat="1" ht="15"/>
    <row r="495" s="821" customFormat="1" ht="15"/>
    <row r="496" s="821" customFormat="1" ht="15"/>
    <row r="497" s="821" customFormat="1" ht="15"/>
    <row r="498" s="821" customFormat="1" ht="15"/>
    <row r="499" s="821" customFormat="1" ht="15"/>
    <row r="500" s="821" customFormat="1" ht="15"/>
    <row r="501" s="821" customFormat="1" ht="15"/>
    <row r="502" s="821" customFormat="1" ht="15"/>
    <row r="503" s="821" customFormat="1" ht="15"/>
    <row r="504" s="821" customFormat="1" ht="15"/>
    <row r="505" s="821" customFormat="1" ht="15"/>
    <row r="506" s="821" customFormat="1" ht="15"/>
    <row r="507" s="821" customFormat="1" ht="15"/>
    <row r="508" s="821" customFormat="1" ht="15"/>
    <row r="509" s="821" customFormat="1" ht="15"/>
    <row r="510" s="821" customFormat="1" ht="15"/>
    <row r="511" s="821" customFormat="1" ht="15"/>
    <row r="512" s="821" customFormat="1" ht="15"/>
    <row r="513" s="821" customFormat="1" ht="15"/>
    <row r="514" s="821" customFormat="1" ht="15"/>
    <row r="515" s="821" customFormat="1" ht="15"/>
    <row r="516" s="821" customFormat="1" ht="15"/>
    <row r="517" s="821" customFormat="1" ht="15"/>
    <row r="518" s="821" customFormat="1" ht="15"/>
    <row r="519" s="821" customFormat="1" ht="15"/>
    <row r="520" s="821" customFormat="1" ht="15"/>
    <row r="521" s="821" customFormat="1" ht="15"/>
    <row r="522" s="821" customFormat="1" ht="15"/>
    <row r="523" s="821" customFormat="1" ht="15"/>
    <row r="524" s="821" customFormat="1" ht="15"/>
    <row r="525" s="821" customFormat="1" ht="15"/>
    <row r="526" s="821" customFormat="1" ht="15"/>
    <row r="527" s="821" customFormat="1" ht="15"/>
    <row r="528" s="821" customFormat="1" ht="15"/>
    <row r="529" s="821" customFormat="1" ht="15"/>
    <row r="530" s="821" customFormat="1" ht="15"/>
    <row r="531" s="821" customFormat="1" ht="15"/>
    <row r="532" s="821" customFormat="1" ht="15"/>
    <row r="533" s="821" customFormat="1" ht="15"/>
    <row r="534" s="821" customFormat="1" ht="15"/>
    <row r="535" s="821" customFormat="1" ht="15"/>
    <row r="536" s="821" customFormat="1" ht="15"/>
    <row r="537" s="821" customFormat="1" ht="15"/>
    <row r="538" s="821" customFormat="1" ht="15"/>
    <row r="539" s="821" customFormat="1" ht="15"/>
    <row r="540" s="821" customFormat="1" ht="15"/>
    <row r="541" s="821" customFormat="1" ht="15"/>
    <row r="542" s="821" customFormat="1" ht="15"/>
    <row r="543" s="821" customFormat="1" ht="15"/>
    <row r="544" s="821" customFormat="1" ht="15"/>
    <row r="545" s="821" customFormat="1" ht="15"/>
    <row r="546" s="821" customFormat="1" ht="15"/>
    <row r="547" s="821" customFormat="1" ht="15"/>
    <row r="548" s="821" customFormat="1" ht="15"/>
    <row r="549" s="821" customFormat="1" ht="15"/>
    <row r="550" s="821" customFormat="1" ht="15"/>
    <row r="551" s="821" customFormat="1" ht="15"/>
    <row r="552" s="821" customFormat="1" ht="15"/>
    <row r="553" s="821" customFormat="1" ht="15"/>
    <row r="554" s="821" customFormat="1" ht="15"/>
    <row r="555" s="821" customFormat="1" ht="15"/>
    <row r="556" s="821" customFormat="1" ht="15"/>
    <row r="557" s="821" customFormat="1" ht="15"/>
    <row r="558" s="821" customFormat="1" ht="15"/>
    <row r="559" s="821" customFormat="1" ht="15"/>
    <row r="560" s="821" customFormat="1" ht="15"/>
    <row r="561" spans="3:19">
      <c r="C561" s="822"/>
      <c r="D561" s="822"/>
      <c r="E561" s="822"/>
      <c r="F561" s="822"/>
      <c r="G561" s="822"/>
      <c r="K561" s="632"/>
      <c r="L561" s="632"/>
      <c r="M561" s="632"/>
      <c r="N561" s="632"/>
      <c r="O561" s="632"/>
      <c r="P561" s="632"/>
      <c r="Q561" s="632"/>
      <c r="R561" s="632"/>
      <c r="S561" s="632"/>
    </row>
    <row r="562" spans="3:19">
      <c r="C562" s="822"/>
      <c r="D562" s="822"/>
      <c r="E562" s="822"/>
      <c r="F562" s="822"/>
      <c r="G562" s="822"/>
      <c r="K562" s="632"/>
      <c r="L562" s="632"/>
      <c r="M562" s="632"/>
      <c r="N562" s="632"/>
      <c r="O562" s="632"/>
      <c r="P562" s="632"/>
      <c r="Q562" s="632"/>
      <c r="R562" s="632"/>
      <c r="S562" s="632"/>
    </row>
    <row r="563" spans="3:19">
      <c r="C563" s="822"/>
      <c r="D563" s="822"/>
      <c r="E563" s="822"/>
      <c r="F563" s="822"/>
      <c r="G563" s="822"/>
      <c r="K563" s="632"/>
      <c r="L563" s="632"/>
      <c r="M563" s="632"/>
      <c r="N563" s="632"/>
      <c r="O563" s="632"/>
      <c r="P563" s="632"/>
      <c r="Q563" s="632"/>
      <c r="R563" s="632"/>
      <c r="S563" s="632"/>
    </row>
    <row r="564" spans="3:19">
      <c r="C564" s="822"/>
      <c r="D564" s="822"/>
      <c r="E564" s="822"/>
      <c r="F564" s="822"/>
      <c r="G564" s="822"/>
      <c r="K564" s="632"/>
      <c r="L564" s="632"/>
      <c r="M564" s="632"/>
      <c r="N564" s="632"/>
      <c r="O564" s="632"/>
      <c r="P564" s="632"/>
      <c r="Q564" s="632"/>
      <c r="R564" s="632"/>
      <c r="S564" s="632"/>
    </row>
    <row r="565" spans="3:19">
      <c r="C565" s="822"/>
      <c r="D565" s="822"/>
      <c r="E565" s="822"/>
      <c r="F565" s="822"/>
      <c r="G565" s="822"/>
      <c r="K565" s="632"/>
      <c r="L565" s="632"/>
      <c r="M565" s="632"/>
      <c r="N565" s="632"/>
      <c r="O565" s="632"/>
      <c r="P565" s="632"/>
      <c r="Q565" s="632"/>
      <c r="R565" s="632"/>
      <c r="S565" s="632"/>
    </row>
    <row r="566" spans="3:19">
      <c r="C566" s="822"/>
      <c r="D566" s="822"/>
      <c r="E566" s="822"/>
      <c r="F566" s="822"/>
      <c r="G566" s="822"/>
      <c r="K566" s="632"/>
      <c r="L566" s="632"/>
      <c r="M566" s="632"/>
      <c r="N566" s="632"/>
      <c r="O566" s="632"/>
      <c r="P566" s="632"/>
      <c r="Q566" s="632"/>
      <c r="R566" s="632"/>
      <c r="S566" s="632"/>
    </row>
    <row r="567" spans="3:19">
      <c r="C567" s="822"/>
      <c r="D567" s="822"/>
      <c r="E567" s="822"/>
      <c r="F567" s="822"/>
      <c r="G567" s="822"/>
      <c r="K567" s="632"/>
      <c r="L567" s="632"/>
      <c r="M567" s="632"/>
      <c r="N567" s="632"/>
      <c r="O567" s="632"/>
      <c r="P567" s="632"/>
      <c r="Q567" s="632"/>
      <c r="R567" s="632"/>
      <c r="S567" s="632"/>
    </row>
    <row r="568" spans="3:19">
      <c r="C568" s="822"/>
      <c r="D568" s="822"/>
      <c r="E568" s="822"/>
      <c r="F568" s="822"/>
      <c r="G568" s="822"/>
      <c r="K568" s="632"/>
      <c r="L568" s="632"/>
      <c r="M568" s="632"/>
      <c r="N568" s="632"/>
      <c r="O568" s="632"/>
      <c r="P568" s="632"/>
      <c r="Q568" s="632"/>
      <c r="R568" s="632"/>
      <c r="S568" s="632"/>
    </row>
    <row r="569" spans="3:19">
      <c r="C569" s="822"/>
      <c r="D569" s="822"/>
      <c r="E569" s="822"/>
      <c r="F569" s="822"/>
      <c r="G569" s="822"/>
      <c r="K569" s="632"/>
      <c r="L569" s="632"/>
      <c r="M569" s="632"/>
      <c r="N569" s="632"/>
      <c r="O569" s="632"/>
      <c r="P569" s="632"/>
      <c r="Q569" s="632"/>
      <c r="R569" s="632"/>
      <c r="S569" s="632"/>
    </row>
    <row r="570" spans="3:19">
      <c r="C570" s="822"/>
      <c r="D570" s="822"/>
      <c r="E570" s="822"/>
      <c r="F570" s="822"/>
      <c r="G570" s="822"/>
      <c r="K570" s="632"/>
      <c r="L570" s="632"/>
      <c r="M570" s="632"/>
      <c r="N570" s="632"/>
      <c r="O570" s="632"/>
      <c r="P570" s="632"/>
      <c r="Q570" s="632"/>
      <c r="R570" s="632"/>
      <c r="S570" s="632"/>
    </row>
    <row r="571" spans="3:19">
      <c r="C571" s="822"/>
      <c r="D571" s="822"/>
      <c r="E571" s="822"/>
      <c r="F571" s="822"/>
      <c r="G571" s="822"/>
      <c r="K571" s="632"/>
      <c r="L571" s="632"/>
      <c r="M571" s="632"/>
      <c r="N571" s="632"/>
      <c r="O571" s="632"/>
      <c r="P571" s="632"/>
      <c r="Q571" s="632"/>
      <c r="R571" s="632"/>
      <c r="S571" s="632"/>
    </row>
    <row r="572" spans="3:19">
      <c r="C572" s="822"/>
      <c r="D572" s="822"/>
      <c r="E572" s="822"/>
      <c r="F572" s="822"/>
      <c r="G572" s="822"/>
      <c r="K572" s="632"/>
      <c r="L572" s="632"/>
      <c r="M572" s="632"/>
      <c r="N572" s="632"/>
      <c r="O572" s="632"/>
      <c r="P572" s="632"/>
      <c r="Q572" s="632"/>
      <c r="R572" s="632"/>
      <c r="S572" s="632"/>
    </row>
    <row r="573" spans="3:19">
      <c r="C573" s="822"/>
      <c r="D573" s="822"/>
      <c r="E573" s="822"/>
      <c r="F573" s="822"/>
      <c r="G573" s="822"/>
      <c r="K573" s="632"/>
      <c r="L573" s="632"/>
      <c r="M573" s="632"/>
      <c r="N573" s="632"/>
      <c r="O573" s="632"/>
      <c r="P573" s="632"/>
      <c r="Q573" s="632"/>
      <c r="R573" s="632"/>
      <c r="S573" s="632"/>
    </row>
    <row r="574" spans="3:19">
      <c r="C574" s="822"/>
      <c r="D574" s="822"/>
      <c r="E574" s="822"/>
      <c r="F574" s="822"/>
      <c r="G574" s="822"/>
      <c r="K574" s="632"/>
      <c r="L574" s="632"/>
      <c r="M574" s="632"/>
      <c r="N574" s="632"/>
      <c r="O574" s="632"/>
      <c r="P574" s="632"/>
      <c r="Q574" s="632"/>
      <c r="R574" s="632"/>
      <c r="S574" s="632"/>
    </row>
    <row r="575" spans="3:19">
      <c r="C575" s="822"/>
      <c r="D575" s="822"/>
      <c r="E575" s="822"/>
      <c r="F575" s="822"/>
      <c r="G575" s="822"/>
      <c r="K575" s="632"/>
      <c r="L575" s="632"/>
      <c r="M575" s="632"/>
      <c r="N575" s="632"/>
      <c r="O575" s="632"/>
      <c r="P575" s="632"/>
      <c r="Q575" s="632"/>
      <c r="R575" s="632"/>
      <c r="S575" s="632"/>
    </row>
    <row r="576" spans="3:19">
      <c r="C576" s="822"/>
      <c r="D576" s="822"/>
      <c r="E576" s="822"/>
      <c r="F576" s="822"/>
      <c r="G576" s="822"/>
      <c r="K576" s="632"/>
      <c r="L576" s="632"/>
      <c r="M576" s="632"/>
      <c r="N576" s="632"/>
      <c r="O576" s="632"/>
      <c r="P576" s="632"/>
      <c r="Q576" s="632"/>
      <c r="R576" s="632"/>
      <c r="S576" s="632"/>
    </row>
    <row r="577" spans="3:19">
      <c r="C577" s="822"/>
      <c r="D577" s="822"/>
      <c r="E577" s="822"/>
      <c r="F577" s="822"/>
      <c r="G577" s="822"/>
      <c r="K577" s="632"/>
      <c r="L577" s="632"/>
      <c r="M577" s="632"/>
      <c r="N577" s="632"/>
      <c r="O577" s="632"/>
      <c r="P577" s="632"/>
      <c r="Q577" s="632"/>
      <c r="R577" s="632"/>
      <c r="S577" s="632"/>
    </row>
    <row r="578" spans="3:19">
      <c r="C578" s="822"/>
      <c r="D578" s="822"/>
      <c r="E578" s="822"/>
      <c r="F578" s="822"/>
      <c r="G578" s="822"/>
      <c r="K578" s="632"/>
      <c r="L578" s="632"/>
      <c r="M578" s="632"/>
      <c r="N578" s="632"/>
      <c r="O578" s="632"/>
      <c r="P578" s="632"/>
      <c r="Q578" s="632"/>
      <c r="R578" s="632"/>
      <c r="S578" s="632"/>
    </row>
    <row r="579" spans="3:19">
      <c r="C579" s="822"/>
      <c r="D579" s="822"/>
      <c r="E579" s="822"/>
      <c r="F579" s="822"/>
      <c r="G579" s="822"/>
      <c r="K579" s="632"/>
      <c r="L579" s="632"/>
      <c r="M579" s="632"/>
      <c r="N579" s="632"/>
      <c r="O579" s="632"/>
      <c r="P579" s="632"/>
      <c r="Q579" s="632"/>
      <c r="R579" s="632"/>
      <c r="S579" s="632"/>
    </row>
    <row r="580" spans="3:19">
      <c r="C580" s="822"/>
      <c r="D580" s="822"/>
      <c r="E580" s="822"/>
      <c r="F580" s="822"/>
      <c r="G580" s="822"/>
      <c r="K580" s="632"/>
      <c r="L580" s="632"/>
      <c r="M580" s="632"/>
      <c r="N580" s="632"/>
      <c r="O580" s="632"/>
      <c r="P580" s="632"/>
      <c r="Q580" s="632"/>
      <c r="R580" s="632"/>
      <c r="S580" s="632"/>
    </row>
    <row r="581" spans="3:19">
      <c r="C581" s="822"/>
      <c r="D581" s="822"/>
      <c r="E581" s="822"/>
      <c r="F581" s="822"/>
      <c r="G581" s="822"/>
      <c r="K581" s="632"/>
      <c r="L581" s="632"/>
      <c r="M581" s="632"/>
      <c r="N581" s="632"/>
      <c r="O581" s="632"/>
      <c r="P581" s="632"/>
      <c r="Q581" s="632"/>
      <c r="R581" s="632"/>
      <c r="S581" s="632"/>
    </row>
    <row r="582" spans="3:19">
      <c r="C582" s="822"/>
      <c r="D582" s="822"/>
      <c r="E582" s="822"/>
      <c r="F582" s="822"/>
      <c r="G582" s="822"/>
      <c r="K582" s="632"/>
      <c r="L582" s="632"/>
      <c r="M582" s="632"/>
      <c r="N582" s="632"/>
      <c r="O582" s="632"/>
      <c r="P582" s="632"/>
      <c r="Q582" s="632"/>
      <c r="R582" s="632"/>
      <c r="S582" s="632"/>
    </row>
    <row r="583" spans="3:19">
      <c r="C583" s="822"/>
      <c r="D583" s="822"/>
      <c r="E583" s="822"/>
      <c r="F583" s="822"/>
      <c r="G583" s="822"/>
      <c r="K583" s="632"/>
      <c r="L583" s="632"/>
      <c r="M583" s="632"/>
      <c r="N583" s="632"/>
      <c r="O583" s="632"/>
      <c r="P583" s="632"/>
      <c r="Q583" s="632"/>
      <c r="R583" s="632"/>
      <c r="S583" s="632"/>
    </row>
    <row r="584" spans="3:19">
      <c r="C584" s="822"/>
      <c r="D584" s="822"/>
      <c r="E584" s="822"/>
      <c r="F584" s="822"/>
      <c r="G584" s="822"/>
      <c r="K584" s="632"/>
      <c r="L584" s="632"/>
      <c r="M584" s="632"/>
      <c r="N584" s="632"/>
      <c r="O584" s="632"/>
      <c r="P584" s="632"/>
      <c r="Q584" s="632"/>
      <c r="R584" s="632"/>
      <c r="S584" s="632"/>
    </row>
    <row r="585" spans="3:19">
      <c r="C585" s="822"/>
      <c r="D585" s="822"/>
      <c r="E585" s="822"/>
      <c r="F585" s="822"/>
      <c r="G585" s="822"/>
      <c r="K585" s="632"/>
      <c r="L585" s="632"/>
      <c r="M585" s="632"/>
      <c r="N585" s="632"/>
      <c r="O585" s="632"/>
      <c r="P585" s="632"/>
      <c r="Q585" s="632"/>
      <c r="R585" s="632"/>
      <c r="S585" s="632"/>
    </row>
    <row r="586" spans="3:19">
      <c r="C586" s="822"/>
      <c r="D586" s="822"/>
      <c r="E586" s="822"/>
      <c r="F586" s="822"/>
      <c r="G586" s="822"/>
      <c r="K586" s="632"/>
      <c r="L586" s="632"/>
      <c r="M586" s="632"/>
      <c r="N586" s="632"/>
      <c r="O586" s="632"/>
      <c r="P586" s="632"/>
      <c r="Q586" s="632"/>
      <c r="R586" s="632"/>
      <c r="S586" s="632"/>
    </row>
    <row r="587" spans="3:19">
      <c r="C587" s="822"/>
      <c r="D587" s="822"/>
      <c r="E587" s="822"/>
      <c r="F587" s="822"/>
      <c r="G587" s="822"/>
      <c r="K587" s="632"/>
      <c r="L587" s="632"/>
      <c r="M587" s="632"/>
      <c r="N587" s="632"/>
      <c r="O587" s="632"/>
      <c r="P587" s="632"/>
      <c r="Q587" s="632"/>
      <c r="R587" s="632"/>
      <c r="S587" s="632"/>
    </row>
    <row r="588" spans="3:19">
      <c r="C588" s="822"/>
      <c r="D588" s="822"/>
      <c r="E588" s="822"/>
      <c r="F588" s="822"/>
      <c r="G588" s="822"/>
      <c r="K588" s="632"/>
      <c r="L588" s="632"/>
      <c r="M588" s="632"/>
      <c r="N588" s="632"/>
      <c r="O588" s="632"/>
      <c r="P588" s="632"/>
      <c r="Q588" s="632"/>
      <c r="R588" s="632"/>
      <c r="S588" s="632"/>
    </row>
    <row r="589" spans="3:19">
      <c r="C589" s="822"/>
      <c r="D589" s="822"/>
      <c r="E589" s="822"/>
      <c r="F589" s="822"/>
      <c r="G589" s="822"/>
      <c r="K589" s="632"/>
      <c r="L589" s="632"/>
      <c r="M589" s="632"/>
      <c r="N589" s="632"/>
      <c r="O589" s="632"/>
      <c r="P589" s="632"/>
      <c r="Q589" s="632"/>
      <c r="R589" s="632"/>
      <c r="S589" s="632"/>
    </row>
    <row r="590" spans="3:19">
      <c r="C590" s="822"/>
      <c r="D590" s="822"/>
      <c r="E590" s="822"/>
      <c r="F590" s="822"/>
      <c r="G590" s="822"/>
      <c r="K590" s="632"/>
      <c r="L590" s="632"/>
      <c r="M590" s="632"/>
      <c r="N590" s="632"/>
      <c r="O590" s="632"/>
      <c r="P590" s="632"/>
      <c r="Q590" s="632"/>
      <c r="R590" s="632"/>
      <c r="S590" s="632"/>
    </row>
    <row r="591" spans="3:19">
      <c r="C591" s="822"/>
      <c r="D591" s="822"/>
      <c r="E591" s="822"/>
      <c r="F591" s="822"/>
      <c r="G591" s="822"/>
      <c r="K591" s="632"/>
      <c r="L591" s="632"/>
      <c r="M591" s="632"/>
      <c r="N591" s="632"/>
      <c r="O591" s="632"/>
      <c r="P591" s="632"/>
      <c r="Q591" s="632"/>
      <c r="R591" s="632"/>
      <c r="S591" s="632"/>
    </row>
    <row r="592" spans="3:19">
      <c r="C592" s="822"/>
      <c r="D592" s="822"/>
      <c r="E592" s="822"/>
      <c r="F592" s="822"/>
      <c r="G592" s="822"/>
      <c r="K592" s="632"/>
      <c r="L592" s="632"/>
      <c r="M592" s="632"/>
      <c r="N592" s="632"/>
      <c r="O592" s="632"/>
      <c r="P592" s="632"/>
      <c r="Q592" s="632"/>
      <c r="R592" s="632"/>
      <c r="S592" s="632"/>
    </row>
    <row r="593" spans="3:19">
      <c r="C593" s="822"/>
      <c r="D593" s="822"/>
      <c r="E593" s="822"/>
      <c r="F593" s="822"/>
      <c r="G593" s="822"/>
      <c r="K593" s="632"/>
      <c r="L593" s="632"/>
      <c r="M593" s="632"/>
      <c r="N593" s="632"/>
      <c r="O593" s="632"/>
      <c r="P593" s="632"/>
      <c r="Q593" s="632"/>
      <c r="R593" s="632"/>
      <c r="S593" s="632"/>
    </row>
    <row r="594" spans="3:19">
      <c r="C594" s="822"/>
      <c r="D594" s="822"/>
      <c r="E594" s="822"/>
      <c r="F594" s="822"/>
      <c r="G594" s="822"/>
      <c r="K594" s="632"/>
      <c r="L594" s="632"/>
      <c r="M594" s="632"/>
      <c r="N594" s="632"/>
      <c r="O594" s="632"/>
      <c r="P594" s="632"/>
      <c r="Q594" s="632"/>
      <c r="R594" s="632"/>
      <c r="S594" s="632"/>
    </row>
    <row r="595" spans="3:19">
      <c r="C595" s="822"/>
      <c r="D595" s="822"/>
      <c r="E595" s="822"/>
      <c r="F595" s="822"/>
      <c r="G595" s="822"/>
      <c r="K595" s="632"/>
      <c r="L595" s="632"/>
      <c r="M595" s="632"/>
      <c r="N595" s="632"/>
      <c r="O595" s="632"/>
      <c r="P595" s="632"/>
      <c r="Q595" s="632"/>
      <c r="R595" s="632"/>
      <c r="S595" s="632"/>
    </row>
    <row r="596" spans="3:19">
      <c r="C596" s="822"/>
      <c r="D596" s="822"/>
      <c r="E596" s="822"/>
      <c r="F596" s="822"/>
      <c r="G596" s="822"/>
      <c r="K596" s="632"/>
      <c r="L596" s="632"/>
      <c r="M596" s="632"/>
      <c r="N596" s="632"/>
      <c r="O596" s="632"/>
      <c r="P596" s="632"/>
      <c r="Q596" s="632"/>
      <c r="R596" s="632"/>
      <c r="S596" s="632"/>
    </row>
    <row r="597" spans="3:19">
      <c r="C597" s="822"/>
      <c r="D597" s="822"/>
      <c r="E597" s="822"/>
      <c r="F597" s="822"/>
      <c r="G597" s="822"/>
      <c r="K597" s="632"/>
      <c r="L597" s="632"/>
      <c r="M597" s="632"/>
      <c r="N597" s="632"/>
      <c r="O597" s="632"/>
      <c r="P597" s="632"/>
      <c r="Q597" s="632"/>
      <c r="R597" s="632"/>
      <c r="S597" s="632"/>
    </row>
    <row r="598" spans="3:19">
      <c r="C598" s="822"/>
      <c r="D598" s="822"/>
      <c r="E598" s="822"/>
      <c r="F598" s="822"/>
      <c r="G598" s="822"/>
      <c r="K598" s="632"/>
      <c r="L598" s="632"/>
      <c r="M598" s="632"/>
      <c r="N598" s="632"/>
      <c r="O598" s="632"/>
      <c r="P598" s="632"/>
      <c r="Q598" s="632"/>
      <c r="R598" s="632"/>
      <c r="S598" s="632"/>
    </row>
    <row r="599" spans="3:19">
      <c r="C599" s="822"/>
      <c r="D599" s="822"/>
      <c r="E599" s="822"/>
      <c r="F599" s="822"/>
      <c r="G599" s="822"/>
      <c r="K599" s="632"/>
      <c r="L599" s="632"/>
      <c r="M599" s="632"/>
      <c r="N599" s="632"/>
      <c r="O599" s="632"/>
      <c r="P599" s="632"/>
      <c r="Q599" s="632"/>
      <c r="R599" s="632"/>
      <c r="S599" s="632"/>
    </row>
    <row r="600" spans="3:19">
      <c r="C600" s="822"/>
      <c r="D600" s="822"/>
      <c r="E600" s="822"/>
      <c r="F600" s="822"/>
      <c r="G600" s="822"/>
      <c r="K600" s="632"/>
      <c r="L600" s="632"/>
      <c r="M600" s="632"/>
      <c r="N600" s="632"/>
      <c r="O600" s="632"/>
      <c r="P600" s="632"/>
      <c r="Q600" s="632"/>
      <c r="R600" s="632"/>
      <c r="S600" s="632"/>
    </row>
    <row r="601" spans="3:19">
      <c r="C601" s="822"/>
      <c r="D601" s="822"/>
      <c r="E601" s="822"/>
      <c r="F601" s="822"/>
      <c r="G601" s="822"/>
      <c r="K601" s="632"/>
      <c r="L601" s="632"/>
      <c r="M601" s="632"/>
      <c r="N601" s="632"/>
      <c r="O601" s="632"/>
      <c r="P601" s="632"/>
      <c r="Q601" s="632"/>
      <c r="R601" s="632"/>
      <c r="S601" s="632"/>
    </row>
    <row r="602" spans="3:19">
      <c r="C602" s="822"/>
      <c r="D602" s="822"/>
      <c r="E602" s="822"/>
      <c r="F602" s="822"/>
      <c r="G602" s="822"/>
      <c r="K602" s="632"/>
      <c r="L602" s="632"/>
      <c r="M602" s="632"/>
      <c r="N602" s="632"/>
      <c r="O602" s="632"/>
      <c r="P602" s="632"/>
      <c r="Q602" s="632"/>
      <c r="R602" s="632"/>
      <c r="S602" s="632"/>
    </row>
    <row r="603" spans="3:19">
      <c r="C603" s="822"/>
      <c r="D603" s="822"/>
      <c r="E603" s="822"/>
      <c r="F603" s="822"/>
      <c r="G603" s="822"/>
      <c r="K603" s="632"/>
      <c r="L603" s="632"/>
      <c r="M603" s="632"/>
      <c r="N603" s="632"/>
      <c r="O603" s="632"/>
      <c r="P603" s="632"/>
      <c r="Q603" s="632"/>
      <c r="R603" s="632"/>
      <c r="S603" s="632"/>
    </row>
    <row r="604" spans="3:19">
      <c r="C604" s="822"/>
      <c r="D604" s="822"/>
      <c r="E604" s="822"/>
      <c r="F604" s="822"/>
      <c r="G604" s="822"/>
      <c r="K604" s="632"/>
      <c r="L604" s="632"/>
      <c r="M604" s="632"/>
      <c r="N604" s="632"/>
      <c r="O604" s="632"/>
      <c r="P604" s="632"/>
      <c r="Q604" s="632"/>
      <c r="R604" s="632"/>
      <c r="S604" s="632"/>
    </row>
    <row r="605" spans="3:19">
      <c r="C605" s="822"/>
      <c r="D605" s="822"/>
      <c r="E605" s="822"/>
      <c r="F605" s="822"/>
      <c r="G605" s="822"/>
      <c r="K605" s="632"/>
      <c r="L605" s="632"/>
      <c r="M605" s="632"/>
      <c r="N605" s="632"/>
      <c r="O605" s="632"/>
      <c r="P605" s="632"/>
      <c r="Q605" s="632"/>
      <c r="R605" s="632"/>
      <c r="S605" s="632"/>
    </row>
    <row r="606" spans="3:19">
      <c r="C606" s="822"/>
      <c r="D606" s="822"/>
      <c r="E606" s="822"/>
      <c r="F606" s="822"/>
      <c r="G606" s="822"/>
      <c r="K606" s="632"/>
      <c r="L606" s="632"/>
      <c r="M606" s="632"/>
      <c r="N606" s="632"/>
      <c r="O606" s="632"/>
      <c r="P606" s="632"/>
      <c r="Q606" s="632"/>
      <c r="R606" s="632"/>
      <c r="S606" s="632"/>
    </row>
    <row r="607" spans="3:19">
      <c r="C607" s="822"/>
      <c r="D607" s="822"/>
      <c r="E607" s="822"/>
      <c r="F607" s="822"/>
      <c r="G607" s="822"/>
      <c r="K607" s="632"/>
      <c r="L607" s="632"/>
      <c r="M607" s="632"/>
      <c r="N607" s="632"/>
      <c r="O607" s="632"/>
      <c r="P607" s="632"/>
      <c r="Q607" s="632"/>
      <c r="R607" s="632"/>
      <c r="S607" s="632"/>
    </row>
    <row r="608" spans="3:19">
      <c r="C608" s="822"/>
      <c r="D608" s="822"/>
      <c r="E608" s="822"/>
      <c r="F608" s="822"/>
      <c r="G608" s="822"/>
      <c r="K608" s="632"/>
      <c r="L608" s="632"/>
      <c r="M608" s="632"/>
      <c r="N608" s="632"/>
      <c r="O608" s="632"/>
      <c r="P608" s="632"/>
      <c r="Q608" s="632"/>
      <c r="R608" s="632"/>
      <c r="S608" s="632"/>
    </row>
    <row r="609" spans="3:19">
      <c r="C609" s="822"/>
      <c r="D609" s="822"/>
      <c r="E609" s="822"/>
      <c r="F609" s="822"/>
      <c r="G609" s="822"/>
      <c r="K609" s="632"/>
      <c r="L609" s="632"/>
      <c r="M609" s="632"/>
      <c r="N609" s="632"/>
      <c r="O609" s="632"/>
      <c r="P609" s="632"/>
      <c r="Q609" s="632"/>
      <c r="R609" s="632"/>
      <c r="S609" s="632"/>
    </row>
    <row r="610" spans="3:19">
      <c r="C610" s="822"/>
      <c r="D610" s="822"/>
      <c r="E610" s="822"/>
      <c r="F610" s="822"/>
      <c r="G610" s="822"/>
      <c r="K610" s="632"/>
      <c r="L610" s="632"/>
      <c r="M610" s="632"/>
      <c r="N610" s="632"/>
      <c r="O610" s="632"/>
      <c r="P610" s="632"/>
      <c r="Q610" s="632"/>
      <c r="R610" s="632"/>
      <c r="S610" s="632"/>
    </row>
    <row r="611" spans="3:19">
      <c r="C611" s="822"/>
      <c r="D611" s="822"/>
      <c r="E611" s="822"/>
      <c r="F611" s="822"/>
      <c r="G611" s="822"/>
      <c r="K611" s="632"/>
      <c r="L611" s="632"/>
      <c r="M611" s="632"/>
      <c r="N611" s="632"/>
      <c r="O611" s="632"/>
      <c r="P611" s="632"/>
      <c r="Q611" s="632"/>
      <c r="R611" s="632"/>
      <c r="S611" s="632"/>
    </row>
    <row r="612" spans="3:19">
      <c r="C612" s="822"/>
      <c r="D612" s="822"/>
      <c r="E612" s="822"/>
      <c r="F612" s="822"/>
      <c r="G612" s="822"/>
      <c r="K612" s="632"/>
      <c r="L612" s="632"/>
      <c r="M612" s="632"/>
      <c r="N612" s="632"/>
      <c r="O612" s="632"/>
      <c r="P612" s="632"/>
      <c r="Q612" s="632"/>
      <c r="R612" s="632"/>
      <c r="S612" s="632"/>
    </row>
    <row r="613" spans="3:19">
      <c r="C613" s="822"/>
      <c r="D613" s="822"/>
      <c r="E613" s="822"/>
      <c r="F613" s="822"/>
      <c r="G613" s="822"/>
      <c r="K613" s="632"/>
      <c r="L613" s="632"/>
      <c r="M613" s="632"/>
      <c r="N613" s="632"/>
      <c r="O613" s="632"/>
      <c r="P613" s="632"/>
      <c r="Q613" s="632"/>
      <c r="R613" s="632"/>
      <c r="S613" s="632"/>
    </row>
    <row r="614" spans="3:19">
      <c r="C614" s="822"/>
      <c r="D614" s="822"/>
      <c r="E614" s="822"/>
      <c r="F614" s="822"/>
      <c r="G614" s="822"/>
      <c r="K614" s="632"/>
      <c r="L614" s="632"/>
      <c r="M614" s="632"/>
      <c r="N614" s="632"/>
      <c r="O614" s="632"/>
      <c r="P614" s="632"/>
      <c r="Q614" s="632"/>
      <c r="R614" s="632"/>
      <c r="S614" s="632"/>
    </row>
    <row r="615" spans="3:19">
      <c r="C615" s="822"/>
      <c r="D615" s="822"/>
      <c r="E615" s="822"/>
      <c r="F615" s="822"/>
      <c r="G615" s="822"/>
      <c r="K615" s="632"/>
      <c r="L615" s="632"/>
      <c r="M615" s="632"/>
      <c r="N615" s="632"/>
      <c r="O615" s="632"/>
      <c r="P615" s="632"/>
      <c r="Q615" s="632"/>
      <c r="R615" s="632"/>
      <c r="S615" s="632"/>
    </row>
    <row r="616" spans="3:19">
      <c r="C616" s="822"/>
      <c r="D616" s="822"/>
      <c r="E616" s="822"/>
      <c r="F616" s="822"/>
      <c r="G616" s="822"/>
      <c r="K616" s="632"/>
      <c r="L616" s="632"/>
      <c r="M616" s="632"/>
      <c r="N616" s="632"/>
      <c r="O616" s="632"/>
      <c r="P616" s="632"/>
      <c r="Q616" s="632"/>
      <c r="R616" s="632"/>
      <c r="S616" s="632"/>
    </row>
    <row r="617" spans="3:19">
      <c r="C617" s="822"/>
      <c r="D617" s="822"/>
      <c r="E617" s="822"/>
      <c r="F617" s="822"/>
      <c r="G617" s="822"/>
      <c r="K617" s="632"/>
      <c r="L617" s="632"/>
      <c r="M617" s="632"/>
      <c r="N617" s="632"/>
      <c r="O617" s="632"/>
      <c r="P617" s="632"/>
      <c r="Q617" s="632"/>
      <c r="R617" s="632"/>
      <c r="S617" s="632"/>
    </row>
    <row r="618" spans="3:19">
      <c r="C618" s="822"/>
      <c r="D618" s="822"/>
      <c r="E618" s="822"/>
      <c r="F618" s="822"/>
      <c r="G618" s="822"/>
      <c r="K618" s="632"/>
      <c r="L618" s="632"/>
      <c r="M618" s="632"/>
      <c r="N618" s="632"/>
      <c r="O618" s="632"/>
      <c r="P618" s="632"/>
      <c r="Q618" s="632"/>
      <c r="R618" s="632"/>
      <c r="S618" s="632"/>
    </row>
    <row r="619" spans="3:19">
      <c r="C619" s="822"/>
      <c r="D619" s="822"/>
      <c r="E619" s="822"/>
      <c r="F619" s="822"/>
      <c r="G619" s="822"/>
      <c r="K619" s="632"/>
      <c r="L619" s="632"/>
      <c r="M619" s="632"/>
      <c r="N619" s="632"/>
      <c r="O619" s="632"/>
      <c r="P619" s="632"/>
      <c r="Q619" s="632"/>
      <c r="R619" s="632"/>
      <c r="S619" s="632"/>
    </row>
    <row r="620" spans="3:19">
      <c r="C620" s="822"/>
      <c r="D620" s="822"/>
      <c r="E620" s="822"/>
      <c r="F620" s="822"/>
      <c r="G620" s="822"/>
      <c r="K620" s="632"/>
      <c r="L620" s="632"/>
      <c r="M620" s="632"/>
      <c r="N620" s="632"/>
      <c r="O620" s="632"/>
      <c r="P620" s="632"/>
      <c r="Q620" s="632"/>
      <c r="R620" s="632"/>
      <c r="S620" s="632"/>
    </row>
    <row r="621" spans="3:19">
      <c r="C621" s="822"/>
      <c r="D621" s="822"/>
      <c r="E621" s="822"/>
      <c r="F621" s="822"/>
      <c r="G621" s="822"/>
      <c r="K621" s="632"/>
      <c r="L621" s="632"/>
      <c r="M621" s="632"/>
      <c r="N621" s="632"/>
      <c r="O621" s="632"/>
      <c r="P621" s="632"/>
      <c r="Q621" s="632"/>
      <c r="R621" s="632"/>
      <c r="S621" s="632"/>
    </row>
    <row r="622" spans="3:19">
      <c r="C622" s="822"/>
      <c r="D622" s="822"/>
      <c r="E622" s="822"/>
      <c r="F622" s="822"/>
      <c r="G622" s="822"/>
      <c r="K622" s="632"/>
      <c r="L622" s="632"/>
      <c r="M622" s="632"/>
      <c r="N622" s="632"/>
      <c r="O622" s="632"/>
      <c r="P622" s="632"/>
      <c r="Q622" s="632"/>
      <c r="R622" s="632"/>
      <c r="S622" s="632"/>
    </row>
    <row r="623" spans="3:19">
      <c r="C623" s="822"/>
      <c r="D623" s="822"/>
      <c r="E623" s="822"/>
      <c r="F623" s="822"/>
      <c r="G623" s="822"/>
      <c r="K623" s="632"/>
      <c r="L623" s="632"/>
      <c r="M623" s="632"/>
      <c r="N623" s="632"/>
      <c r="O623" s="632"/>
      <c r="P623" s="632"/>
      <c r="Q623" s="632"/>
      <c r="R623" s="632"/>
      <c r="S623" s="632"/>
    </row>
    <row r="624" spans="3:19">
      <c r="C624" s="822"/>
      <c r="D624" s="822"/>
      <c r="E624" s="822"/>
      <c r="F624" s="822"/>
      <c r="G624" s="822"/>
      <c r="K624" s="632"/>
      <c r="L624" s="632"/>
      <c r="M624" s="632"/>
      <c r="N624" s="632"/>
      <c r="O624" s="632"/>
      <c r="P624" s="632"/>
      <c r="Q624" s="632"/>
      <c r="R624" s="632"/>
      <c r="S624" s="632"/>
    </row>
    <row r="625" spans="3:19">
      <c r="C625" s="822"/>
      <c r="D625" s="822"/>
      <c r="E625" s="822"/>
      <c r="F625" s="822"/>
      <c r="G625" s="822"/>
      <c r="K625" s="632"/>
      <c r="L625" s="632"/>
      <c r="M625" s="632"/>
      <c r="N625" s="632"/>
      <c r="O625" s="632"/>
      <c r="P625" s="632"/>
      <c r="Q625" s="632"/>
      <c r="R625" s="632"/>
      <c r="S625" s="632"/>
    </row>
    <row r="626" spans="3:19">
      <c r="C626" s="822"/>
      <c r="D626" s="822"/>
      <c r="E626" s="822"/>
      <c r="F626" s="822"/>
      <c r="G626" s="822"/>
    </row>
    <row r="627" spans="3:19">
      <c r="C627" s="822"/>
      <c r="D627" s="822"/>
      <c r="E627" s="822"/>
      <c r="F627" s="822"/>
      <c r="G627" s="822"/>
    </row>
    <row r="628" spans="3:19">
      <c r="C628" s="822"/>
      <c r="D628" s="822"/>
      <c r="E628" s="822"/>
      <c r="F628" s="822"/>
      <c r="G628" s="822"/>
    </row>
    <row r="629" spans="3:19">
      <c r="C629" s="822"/>
      <c r="D629" s="822"/>
      <c r="E629" s="822"/>
      <c r="F629" s="822"/>
      <c r="G629" s="822"/>
    </row>
    <row r="630" spans="3:19">
      <c r="C630" s="822"/>
      <c r="D630" s="822"/>
      <c r="E630" s="822"/>
      <c r="F630" s="822"/>
      <c r="G630" s="822"/>
    </row>
    <row r="631" spans="3:19">
      <c r="C631" s="822"/>
      <c r="D631" s="822"/>
      <c r="E631" s="822"/>
      <c r="F631" s="822"/>
      <c r="G631" s="822"/>
    </row>
    <row r="632" spans="3:19">
      <c r="C632" s="822"/>
      <c r="D632" s="822"/>
      <c r="E632" s="822"/>
      <c r="F632" s="822"/>
      <c r="G632" s="822"/>
    </row>
    <row r="633" spans="3:19">
      <c r="C633" s="822"/>
      <c r="D633" s="822"/>
      <c r="E633" s="822"/>
      <c r="F633" s="822"/>
      <c r="G633" s="822"/>
    </row>
    <row r="634" spans="3:19">
      <c r="C634" s="822"/>
      <c r="D634" s="822"/>
      <c r="E634" s="822"/>
      <c r="F634" s="822"/>
      <c r="G634" s="822"/>
    </row>
    <row r="635" spans="3:19">
      <c r="C635" s="822"/>
      <c r="D635" s="822"/>
      <c r="E635" s="822"/>
      <c r="F635" s="822"/>
      <c r="G635" s="822"/>
    </row>
    <row r="636" spans="3:19">
      <c r="C636" s="822"/>
      <c r="D636" s="822"/>
      <c r="E636" s="822"/>
      <c r="F636" s="822"/>
      <c r="G636" s="822"/>
    </row>
    <row r="637" spans="3:19">
      <c r="C637" s="822"/>
      <c r="D637" s="822"/>
      <c r="E637" s="822"/>
      <c r="F637" s="822"/>
      <c r="G637" s="822"/>
    </row>
    <row r="638" spans="3:19">
      <c r="C638" s="822"/>
      <c r="D638" s="822"/>
      <c r="E638" s="822"/>
      <c r="F638" s="822"/>
      <c r="G638" s="822"/>
    </row>
    <row r="639" spans="3:19">
      <c r="C639" s="822"/>
      <c r="D639" s="822"/>
      <c r="E639" s="822"/>
      <c r="F639" s="822"/>
      <c r="G639" s="822"/>
    </row>
    <row r="640" spans="3:19">
      <c r="C640" s="822"/>
      <c r="D640" s="822"/>
      <c r="E640" s="822"/>
      <c r="F640" s="822"/>
      <c r="G640" s="822"/>
    </row>
    <row r="641" spans="3:7">
      <c r="C641" s="822"/>
      <c r="D641" s="822"/>
      <c r="E641" s="822"/>
      <c r="F641" s="822"/>
      <c r="G641" s="822"/>
    </row>
    <row r="642" spans="3:7">
      <c r="C642" s="822"/>
      <c r="D642" s="822"/>
      <c r="E642" s="822"/>
      <c r="F642" s="822"/>
      <c r="G642" s="822"/>
    </row>
    <row r="643" spans="3:7">
      <c r="C643" s="822"/>
      <c r="D643" s="822"/>
      <c r="E643" s="822"/>
      <c r="F643" s="822"/>
      <c r="G643" s="822"/>
    </row>
    <row r="644" spans="3:7">
      <c r="C644" s="822"/>
      <c r="D644" s="822"/>
      <c r="E644" s="822"/>
      <c r="F644" s="822"/>
      <c r="G644" s="822"/>
    </row>
    <row r="645" spans="3:7">
      <c r="C645" s="822"/>
      <c r="D645" s="822"/>
      <c r="E645" s="822"/>
      <c r="F645" s="822"/>
      <c r="G645" s="822"/>
    </row>
    <row r="646" spans="3:7">
      <c r="C646" s="822"/>
      <c r="D646" s="822"/>
      <c r="E646" s="822"/>
      <c r="F646" s="822"/>
      <c r="G646" s="822"/>
    </row>
    <row r="647" spans="3:7">
      <c r="C647" s="822"/>
      <c r="D647" s="822"/>
      <c r="E647" s="822"/>
      <c r="F647" s="822"/>
      <c r="G647" s="822"/>
    </row>
    <row r="648" spans="3:7">
      <c r="C648" s="822"/>
      <c r="D648" s="822"/>
      <c r="E648" s="822"/>
      <c r="F648" s="822"/>
      <c r="G648" s="822"/>
    </row>
    <row r="649" spans="3:7">
      <c r="C649" s="822"/>
      <c r="D649" s="822"/>
      <c r="E649" s="822"/>
      <c r="F649" s="822"/>
      <c r="G649" s="822"/>
    </row>
    <row r="650" spans="3:7">
      <c r="C650" s="822"/>
      <c r="D650" s="822"/>
      <c r="E650" s="822"/>
      <c r="F650" s="822"/>
      <c r="G650" s="822"/>
    </row>
    <row r="651" spans="3:7">
      <c r="C651" s="822"/>
      <c r="D651" s="822"/>
      <c r="E651" s="822"/>
      <c r="F651" s="822"/>
      <c r="G651" s="822"/>
    </row>
    <row r="652" spans="3:7">
      <c r="C652" s="822"/>
      <c r="D652" s="822"/>
      <c r="E652" s="822"/>
      <c r="F652" s="822"/>
      <c r="G652" s="822"/>
    </row>
    <row r="653" spans="3:7">
      <c r="C653" s="822"/>
      <c r="D653" s="822"/>
      <c r="E653" s="822"/>
      <c r="F653" s="822"/>
      <c r="G653" s="822"/>
    </row>
    <row r="654" spans="3:7">
      <c r="C654" s="822"/>
      <c r="D654" s="822"/>
      <c r="E654" s="822"/>
      <c r="F654" s="822"/>
      <c r="G654" s="822"/>
    </row>
    <row r="655" spans="3:7">
      <c r="C655" s="822"/>
      <c r="D655" s="822"/>
      <c r="E655" s="822"/>
      <c r="F655" s="822"/>
      <c r="G655" s="822"/>
    </row>
    <row r="656" spans="3:7">
      <c r="C656" s="822"/>
      <c r="D656" s="822"/>
      <c r="E656" s="822"/>
      <c r="F656" s="822"/>
      <c r="G656" s="822"/>
    </row>
    <row r="657" spans="3:7">
      <c r="C657" s="822"/>
      <c r="D657" s="822"/>
      <c r="E657" s="822"/>
      <c r="F657" s="822"/>
      <c r="G657" s="822"/>
    </row>
    <row r="658" spans="3:7">
      <c r="E658" s="822"/>
      <c r="F658" s="822"/>
      <c r="G658" s="822"/>
    </row>
    <row r="659" spans="3:7">
      <c r="E659" s="822"/>
      <c r="F659" s="822"/>
      <c r="G659" s="822"/>
    </row>
    <row r="660" spans="3:7">
      <c r="E660" s="822"/>
      <c r="F660" s="822"/>
      <c r="G660" s="822"/>
    </row>
    <row r="661" spans="3:7">
      <c r="E661" s="822"/>
      <c r="F661" s="822"/>
      <c r="G661" s="822"/>
    </row>
  </sheetData>
  <printOptions horizontalCentered="1"/>
  <pageMargins left="0.39370078740157483" right="0.39370078740157483" top="0.78740157480314965" bottom="0.59055118110236227" header="0.39370078740157483" footer="0.19685039370078741"/>
  <pageSetup paperSize="9" scale="42" fitToHeight="100" orientation="portrait" r:id="rId1"/>
  <headerFooter alignWithMargins="0">
    <oddHeader>&amp;C&amp;A</oddHeader>
    <oddFooter>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R659"/>
  <sheetViews>
    <sheetView topLeftCell="B237" workbookViewId="0">
      <selection activeCell="B237" sqref="A1:XFD1048576"/>
    </sheetView>
  </sheetViews>
  <sheetFormatPr defaultColWidth="9.140625" defaultRowHeight="12.75"/>
  <cols>
    <col min="1" max="1" width="12.140625" style="631" hidden="1" customWidth="1"/>
    <col min="2" max="2" width="5.42578125" style="822" bestFit="1" customWidth="1"/>
    <col min="3" max="3" width="9.140625" style="823"/>
    <col min="4" max="4" width="83" style="823" customWidth="1"/>
    <col min="5" max="5" width="10.5703125" style="823" hidden="1" customWidth="1"/>
    <col min="6" max="6" width="12.5703125" style="823" hidden="1" customWidth="1"/>
    <col min="7" max="7" width="10.42578125" style="822" bestFit="1" customWidth="1"/>
    <col min="8" max="8" width="11.7109375" style="822" bestFit="1" customWidth="1"/>
    <col min="9" max="9" width="10.85546875" style="822" bestFit="1" customWidth="1"/>
    <col min="10" max="10" width="9.140625" style="1224"/>
    <col min="11" max="255" width="9.140625" style="631"/>
    <col min="256" max="256" width="0" style="631" hidden="1" customWidth="1"/>
    <col min="257" max="257" width="5.42578125" style="631" bestFit="1" customWidth="1"/>
    <col min="258" max="258" width="9.140625" style="631"/>
    <col min="259" max="259" width="75.42578125" style="631" bestFit="1" customWidth="1"/>
    <col min="260" max="260" width="10.5703125" style="631" customWidth="1"/>
    <col min="261" max="261" width="12.5703125" style="631" bestFit="1" customWidth="1"/>
    <col min="262" max="263" width="18.42578125" style="631" customWidth="1"/>
    <col min="264" max="511" width="9.140625" style="631"/>
    <col min="512" max="512" width="0" style="631" hidden="1" customWidth="1"/>
    <col min="513" max="513" width="5.42578125" style="631" bestFit="1" customWidth="1"/>
    <col min="514" max="514" width="9.140625" style="631"/>
    <col min="515" max="515" width="75.42578125" style="631" bestFit="1" customWidth="1"/>
    <col min="516" max="516" width="10.5703125" style="631" customWidth="1"/>
    <col min="517" max="517" width="12.5703125" style="631" bestFit="1" customWidth="1"/>
    <col min="518" max="519" width="18.42578125" style="631" customWidth="1"/>
    <col min="520" max="767" width="9.140625" style="631"/>
    <col min="768" max="768" width="0" style="631" hidden="1" customWidth="1"/>
    <col min="769" max="769" width="5.42578125" style="631" bestFit="1" customWidth="1"/>
    <col min="770" max="770" width="9.140625" style="631"/>
    <col min="771" max="771" width="75.42578125" style="631" bestFit="1" customWidth="1"/>
    <col min="772" max="772" width="10.5703125" style="631" customWidth="1"/>
    <col min="773" max="773" width="12.5703125" style="631" bestFit="1" customWidth="1"/>
    <col min="774" max="775" width="18.42578125" style="631" customWidth="1"/>
    <col min="776" max="1023" width="9.140625" style="631"/>
    <col min="1024" max="1024" width="0" style="631" hidden="1" customWidth="1"/>
    <col min="1025" max="1025" width="5.42578125" style="631" bestFit="1" customWidth="1"/>
    <col min="1026" max="1026" width="9.140625" style="631"/>
    <col min="1027" max="1027" width="75.42578125" style="631" bestFit="1" customWidth="1"/>
    <col min="1028" max="1028" width="10.5703125" style="631" customWidth="1"/>
    <col min="1029" max="1029" width="12.5703125" style="631" bestFit="1" customWidth="1"/>
    <col min="1030" max="1031" width="18.42578125" style="631" customWidth="1"/>
    <col min="1032" max="1279" width="9.140625" style="631"/>
    <col min="1280" max="1280" width="0" style="631" hidden="1" customWidth="1"/>
    <col min="1281" max="1281" width="5.42578125" style="631" bestFit="1" customWidth="1"/>
    <col min="1282" max="1282" width="9.140625" style="631"/>
    <col min="1283" max="1283" width="75.42578125" style="631" bestFit="1" customWidth="1"/>
    <col min="1284" max="1284" width="10.5703125" style="631" customWidth="1"/>
    <col min="1285" max="1285" width="12.5703125" style="631" bestFit="1" customWidth="1"/>
    <col min="1286" max="1287" width="18.42578125" style="631" customWidth="1"/>
    <col min="1288" max="1535" width="9.140625" style="631"/>
    <col min="1536" max="1536" width="0" style="631" hidden="1" customWidth="1"/>
    <col min="1537" max="1537" width="5.42578125" style="631" bestFit="1" customWidth="1"/>
    <col min="1538" max="1538" width="9.140625" style="631"/>
    <col min="1539" max="1539" width="75.42578125" style="631" bestFit="1" customWidth="1"/>
    <col min="1540" max="1540" width="10.5703125" style="631" customWidth="1"/>
    <col min="1541" max="1541" width="12.5703125" style="631" bestFit="1" customWidth="1"/>
    <col min="1542" max="1543" width="18.42578125" style="631" customWidth="1"/>
    <col min="1544" max="1791" width="9.140625" style="631"/>
    <col min="1792" max="1792" width="0" style="631" hidden="1" customWidth="1"/>
    <col min="1793" max="1793" width="5.42578125" style="631" bestFit="1" customWidth="1"/>
    <col min="1794" max="1794" width="9.140625" style="631"/>
    <col min="1795" max="1795" width="75.42578125" style="631" bestFit="1" customWidth="1"/>
    <col min="1796" max="1796" width="10.5703125" style="631" customWidth="1"/>
    <col min="1797" max="1797" width="12.5703125" style="631" bestFit="1" customWidth="1"/>
    <col min="1798" max="1799" width="18.42578125" style="631" customWidth="1"/>
    <col min="1800" max="2047" width="9.140625" style="631"/>
    <col min="2048" max="2048" width="0" style="631" hidden="1" customWidth="1"/>
    <col min="2049" max="2049" width="5.42578125" style="631" bestFit="1" customWidth="1"/>
    <col min="2050" max="2050" width="9.140625" style="631"/>
    <col min="2051" max="2051" width="75.42578125" style="631" bestFit="1" customWidth="1"/>
    <col min="2052" max="2052" width="10.5703125" style="631" customWidth="1"/>
    <col min="2053" max="2053" width="12.5703125" style="631" bestFit="1" customWidth="1"/>
    <col min="2054" max="2055" width="18.42578125" style="631" customWidth="1"/>
    <col min="2056" max="2303" width="9.140625" style="631"/>
    <col min="2304" max="2304" width="0" style="631" hidden="1" customWidth="1"/>
    <col min="2305" max="2305" width="5.42578125" style="631" bestFit="1" customWidth="1"/>
    <col min="2306" max="2306" width="9.140625" style="631"/>
    <col min="2307" max="2307" width="75.42578125" style="631" bestFit="1" customWidth="1"/>
    <col min="2308" max="2308" width="10.5703125" style="631" customWidth="1"/>
    <col min="2309" max="2309" width="12.5703125" style="631" bestFit="1" customWidth="1"/>
    <col min="2310" max="2311" width="18.42578125" style="631" customWidth="1"/>
    <col min="2312" max="2559" width="9.140625" style="631"/>
    <col min="2560" max="2560" width="0" style="631" hidden="1" customWidth="1"/>
    <col min="2561" max="2561" width="5.42578125" style="631" bestFit="1" customWidth="1"/>
    <col min="2562" max="2562" width="9.140625" style="631"/>
    <col min="2563" max="2563" width="75.42578125" style="631" bestFit="1" customWidth="1"/>
    <col min="2564" max="2564" width="10.5703125" style="631" customWidth="1"/>
    <col min="2565" max="2565" width="12.5703125" style="631" bestFit="1" customWidth="1"/>
    <col min="2566" max="2567" width="18.42578125" style="631" customWidth="1"/>
    <col min="2568" max="2815" width="9.140625" style="631"/>
    <col min="2816" max="2816" width="0" style="631" hidden="1" customWidth="1"/>
    <col min="2817" max="2817" width="5.42578125" style="631" bestFit="1" customWidth="1"/>
    <col min="2818" max="2818" width="9.140625" style="631"/>
    <col min="2819" max="2819" width="75.42578125" style="631" bestFit="1" customWidth="1"/>
    <col min="2820" max="2820" width="10.5703125" style="631" customWidth="1"/>
    <col min="2821" max="2821" width="12.5703125" style="631" bestFit="1" customWidth="1"/>
    <col min="2822" max="2823" width="18.42578125" style="631" customWidth="1"/>
    <col min="2824" max="3071" width="9.140625" style="631"/>
    <col min="3072" max="3072" width="0" style="631" hidden="1" customWidth="1"/>
    <col min="3073" max="3073" width="5.42578125" style="631" bestFit="1" customWidth="1"/>
    <col min="3074" max="3074" width="9.140625" style="631"/>
    <col min="3075" max="3075" width="75.42578125" style="631" bestFit="1" customWidth="1"/>
    <col min="3076" max="3076" width="10.5703125" style="631" customWidth="1"/>
    <col min="3077" max="3077" width="12.5703125" style="631" bestFit="1" customWidth="1"/>
    <col min="3078" max="3079" width="18.42578125" style="631" customWidth="1"/>
    <col min="3080" max="3327" width="9.140625" style="631"/>
    <col min="3328" max="3328" width="0" style="631" hidden="1" customWidth="1"/>
    <col min="3329" max="3329" width="5.42578125" style="631" bestFit="1" customWidth="1"/>
    <col min="3330" max="3330" width="9.140625" style="631"/>
    <col min="3331" max="3331" width="75.42578125" style="631" bestFit="1" customWidth="1"/>
    <col min="3332" max="3332" width="10.5703125" style="631" customWidth="1"/>
    <col min="3333" max="3333" width="12.5703125" style="631" bestFit="1" customWidth="1"/>
    <col min="3334" max="3335" width="18.42578125" style="631" customWidth="1"/>
    <col min="3336" max="3583" width="9.140625" style="631"/>
    <col min="3584" max="3584" width="0" style="631" hidden="1" customWidth="1"/>
    <col min="3585" max="3585" width="5.42578125" style="631" bestFit="1" customWidth="1"/>
    <col min="3586" max="3586" width="9.140625" style="631"/>
    <col min="3587" max="3587" width="75.42578125" style="631" bestFit="1" customWidth="1"/>
    <col min="3588" max="3588" width="10.5703125" style="631" customWidth="1"/>
    <col min="3589" max="3589" width="12.5703125" style="631" bestFit="1" customWidth="1"/>
    <col min="3590" max="3591" width="18.42578125" style="631" customWidth="1"/>
    <col min="3592" max="3839" width="9.140625" style="631"/>
    <col min="3840" max="3840" width="0" style="631" hidden="1" customWidth="1"/>
    <col min="3841" max="3841" width="5.42578125" style="631" bestFit="1" customWidth="1"/>
    <col min="3842" max="3842" width="9.140625" style="631"/>
    <col min="3843" max="3843" width="75.42578125" style="631" bestFit="1" customWidth="1"/>
    <col min="3844" max="3844" width="10.5703125" style="631" customWidth="1"/>
    <col min="3845" max="3845" width="12.5703125" style="631" bestFit="1" customWidth="1"/>
    <col min="3846" max="3847" width="18.42578125" style="631" customWidth="1"/>
    <col min="3848" max="4095" width="9.140625" style="631"/>
    <col min="4096" max="4096" width="0" style="631" hidden="1" customWidth="1"/>
    <col min="4097" max="4097" width="5.42578125" style="631" bestFit="1" customWidth="1"/>
    <col min="4098" max="4098" width="9.140625" style="631"/>
    <col min="4099" max="4099" width="75.42578125" style="631" bestFit="1" customWidth="1"/>
    <col min="4100" max="4100" width="10.5703125" style="631" customWidth="1"/>
    <col min="4101" max="4101" width="12.5703125" style="631" bestFit="1" customWidth="1"/>
    <col min="4102" max="4103" width="18.42578125" style="631" customWidth="1"/>
    <col min="4104" max="4351" width="9.140625" style="631"/>
    <col min="4352" max="4352" width="0" style="631" hidden="1" customWidth="1"/>
    <col min="4353" max="4353" width="5.42578125" style="631" bestFit="1" customWidth="1"/>
    <col min="4354" max="4354" width="9.140625" style="631"/>
    <col min="4355" max="4355" width="75.42578125" style="631" bestFit="1" customWidth="1"/>
    <col min="4356" max="4356" width="10.5703125" style="631" customWidth="1"/>
    <col min="4357" max="4357" width="12.5703125" style="631" bestFit="1" customWidth="1"/>
    <col min="4358" max="4359" width="18.42578125" style="631" customWidth="1"/>
    <col min="4360" max="4607" width="9.140625" style="631"/>
    <col min="4608" max="4608" width="0" style="631" hidden="1" customWidth="1"/>
    <col min="4609" max="4609" width="5.42578125" style="631" bestFit="1" customWidth="1"/>
    <col min="4610" max="4610" width="9.140625" style="631"/>
    <col min="4611" max="4611" width="75.42578125" style="631" bestFit="1" customWidth="1"/>
    <col min="4612" max="4612" width="10.5703125" style="631" customWidth="1"/>
    <col min="4613" max="4613" width="12.5703125" style="631" bestFit="1" customWidth="1"/>
    <col min="4614" max="4615" width="18.42578125" style="631" customWidth="1"/>
    <col min="4616" max="4863" width="9.140625" style="631"/>
    <col min="4864" max="4864" width="0" style="631" hidden="1" customWidth="1"/>
    <col min="4865" max="4865" width="5.42578125" style="631" bestFit="1" customWidth="1"/>
    <col min="4866" max="4866" width="9.140625" style="631"/>
    <col min="4867" max="4867" width="75.42578125" style="631" bestFit="1" customWidth="1"/>
    <col min="4868" max="4868" width="10.5703125" style="631" customWidth="1"/>
    <col min="4869" max="4869" width="12.5703125" style="631" bestFit="1" customWidth="1"/>
    <col min="4870" max="4871" width="18.42578125" style="631" customWidth="1"/>
    <col min="4872" max="5119" width="9.140625" style="631"/>
    <col min="5120" max="5120" width="0" style="631" hidden="1" customWidth="1"/>
    <col min="5121" max="5121" width="5.42578125" style="631" bestFit="1" customWidth="1"/>
    <col min="5122" max="5122" width="9.140625" style="631"/>
    <col min="5123" max="5123" width="75.42578125" style="631" bestFit="1" customWidth="1"/>
    <col min="5124" max="5124" width="10.5703125" style="631" customWidth="1"/>
    <col min="5125" max="5125" width="12.5703125" style="631" bestFit="1" customWidth="1"/>
    <col min="5126" max="5127" width="18.42578125" style="631" customWidth="1"/>
    <col min="5128" max="5375" width="9.140625" style="631"/>
    <col min="5376" max="5376" width="0" style="631" hidden="1" customWidth="1"/>
    <col min="5377" max="5377" width="5.42578125" style="631" bestFit="1" customWidth="1"/>
    <col min="5378" max="5378" width="9.140625" style="631"/>
    <col min="5379" max="5379" width="75.42578125" style="631" bestFit="1" customWidth="1"/>
    <col min="5380" max="5380" width="10.5703125" style="631" customWidth="1"/>
    <col min="5381" max="5381" width="12.5703125" style="631" bestFit="1" customWidth="1"/>
    <col min="5382" max="5383" width="18.42578125" style="631" customWidth="1"/>
    <col min="5384" max="5631" width="9.140625" style="631"/>
    <col min="5632" max="5632" width="0" style="631" hidden="1" customWidth="1"/>
    <col min="5633" max="5633" width="5.42578125" style="631" bestFit="1" customWidth="1"/>
    <col min="5634" max="5634" width="9.140625" style="631"/>
    <col min="5635" max="5635" width="75.42578125" style="631" bestFit="1" customWidth="1"/>
    <col min="5636" max="5636" width="10.5703125" style="631" customWidth="1"/>
    <col min="5637" max="5637" width="12.5703125" style="631" bestFit="1" customWidth="1"/>
    <col min="5638" max="5639" width="18.42578125" style="631" customWidth="1"/>
    <col min="5640" max="5887" width="9.140625" style="631"/>
    <col min="5888" max="5888" width="0" style="631" hidden="1" customWidth="1"/>
    <col min="5889" max="5889" width="5.42578125" style="631" bestFit="1" customWidth="1"/>
    <col min="5890" max="5890" width="9.140625" style="631"/>
    <col min="5891" max="5891" width="75.42578125" style="631" bestFit="1" customWidth="1"/>
    <col min="5892" max="5892" width="10.5703125" style="631" customWidth="1"/>
    <col min="5893" max="5893" width="12.5703125" style="631" bestFit="1" customWidth="1"/>
    <col min="5894" max="5895" width="18.42578125" style="631" customWidth="1"/>
    <col min="5896" max="6143" width="9.140625" style="631"/>
    <col min="6144" max="6144" width="0" style="631" hidden="1" customWidth="1"/>
    <col min="6145" max="6145" width="5.42578125" style="631" bestFit="1" customWidth="1"/>
    <col min="6146" max="6146" width="9.140625" style="631"/>
    <col min="6147" max="6147" width="75.42578125" style="631" bestFit="1" customWidth="1"/>
    <col min="6148" max="6148" width="10.5703125" style="631" customWidth="1"/>
    <col min="6149" max="6149" width="12.5703125" style="631" bestFit="1" customWidth="1"/>
    <col min="6150" max="6151" width="18.42578125" style="631" customWidth="1"/>
    <col min="6152" max="6399" width="9.140625" style="631"/>
    <col min="6400" max="6400" width="0" style="631" hidden="1" customWidth="1"/>
    <col min="6401" max="6401" width="5.42578125" style="631" bestFit="1" customWidth="1"/>
    <col min="6402" max="6402" width="9.140625" style="631"/>
    <col min="6403" max="6403" width="75.42578125" style="631" bestFit="1" customWidth="1"/>
    <col min="6404" max="6404" width="10.5703125" style="631" customWidth="1"/>
    <col min="6405" max="6405" width="12.5703125" style="631" bestFit="1" customWidth="1"/>
    <col min="6406" max="6407" width="18.42578125" style="631" customWidth="1"/>
    <col min="6408" max="6655" width="9.140625" style="631"/>
    <col min="6656" max="6656" width="0" style="631" hidden="1" customWidth="1"/>
    <col min="6657" max="6657" width="5.42578125" style="631" bestFit="1" customWidth="1"/>
    <col min="6658" max="6658" width="9.140625" style="631"/>
    <col min="6659" max="6659" width="75.42578125" style="631" bestFit="1" customWidth="1"/>
    <col min="6660" max="6660" width="10.5703125" style="631" customWidth="1"/>
    <col min="6661" max="6661" width="12.5703125" style="631" bestFit="1" customWidth="1"/>
    <col min="6662" max="6663" width="18.42578125" style="631" customWidth="1"/>
    <col min="6664" max="6911" width="9.140625" style="631"/>
    <col min="6912" max="6912" width="0" style="631" hidden="1" customWidth="1"/>
    <col min="6913" max="6913" width="5.42578125" style="631" bestFit="1" customWidth="1"/>
    <col min="6914" max="6914" width="9.140625" style="631"/>
    <col min="6915" max="6915" width="75.42578125" style="631" bestFit="1" customWidth="1"/>
    <col min="6916" max="6916" width="10.5703125" style="631" customWidth="1"/>
    <col min="6917" max="6917" width="12.5703125" style="631" bestFit="1" customWidth="1"/>
    <col min="6918" max="6919" width="18.42578125" style="631" customWidth="1"/>
    <col min="6920" max="7167" width="9.140625" style="631"/>
    <col min="7168" max="7168" width="0" style="631" hidden="1" customWidth="1"/>
    <col min="7169" max="7169" width="5.42578125" style="631" bestFit="1" customWidth="1"/>
    <col min="7170" max="7170" width="9.140625" style="631"/>
    <col min="7171" max="7171" width="75.42578125" style="631" bestFit="1" customWidth="1"/>
    <col min="7172" max="7172" width="10.5703125" style="631" customWidth="1"/>
    <col min="7173" max="7173" width="12.5703125" style="631" bestFit="1" customWidth="1"/>
    <col min="7174" max="7175" width="18.42578125" style="631" customWidth="1"/>
    <col min="7176" max="7423" width="9.140625" style="631"/>
    <col min="7424" max="7424" width="0" style="631" hidden="1" customWidth="1"/>
    <col min="7425" max="7425" width="5.42578125" style="631" bestFit="1" customWidth="1"/>
    <col min="7426" max="7426" width="9.140625" style="631"/>
    <col min="7427" max="7427" width="75.42578125" style="631" bestFit="1" customWidth="1"/>
    <col min="7428" max="7428" width="10.5703125" style="631" customWidth="1"/>
    <col min="7429" max="7429" width="12.5703125" style="631" bestFit="1" customWidth="1"/>
    <col min="7430" max="7431" width="18.42578125" style="631" customWidth="1"/>
    <col min="7432" max="7679" width="9.140625" style="631"/>
    <col min="7680" max="7680" width="0" style="631" hidden="1" customWidth="1"/>
    <col min="7681" max="7681" width="5.42578125" style="631" bestFit="1" customWidth="1"/>
    <col min="7682" max="7682" width="9.140625" style="631"/>
    <col min="7683" max="7683" width="75.42578125" style="631" bestFit="1" customWidth="1"/>
    <col min="7684" max="7684" width="10.5703125" style="631" customWidth="1"/>
    <col min="7685" max="7685" width="12.5703125" style="631" bestFit="1" customWidth="1"/>
    <col min="7686" max="7687" width="18.42578125" style="631" customWidth="1"/>
    <col min="7688" max="7935" width="9.140625" style="631"/>
    <col min="7936" max="7936" width="0" style="631" hidden="1" customWidth="1"/>
    <col min="7937" max="7937" width="5.42578125" style="631" bestFit="1" customWidth="1"/>
    <col min="7938" max="7938" width="9.140625" style="631"/>
    <col min="7939" max="7939" width="75.42578125" style="631" bestFit="1" customWidth="1"/>
    <col min="7940" max="7940" width="10.5703125" style="631" customWidth="1"/>
    <col min="7941" max="7941" width="12.5703125" style="631" bestFit="1" customWidth="1"/>
    <col min="7942" max="7943" width="18.42578125" style="631" customWidth="1"/>
    <col min="7944" max="8191" width="9.140625" style="631"/>
    <col min="8192" max="8192" width="0" style="631" hidden="1" customWidth="1"/>
    <col min="8193" max="8193" width="5.42578125" style="631" bestFit="1" customWidth="1"/>
    <col min="8194" max="8194" width="9.140625" style="631"/>
    <col min="8195" max="8195" width="75.42578125" style="631" bestFit="1" customWidth="1"/>
    <col min="8196" max="8196" width="10.5703125" style="631" customWidth="1"/>
    <col min="8197" max="8197" width="12.5703125" style="631" bestFit="1" customWidth="1"/>
    <col min="8198" max="8199" width="18.42578125" style="631" customWidth="1"/>
    <col min="8200" max="8447" width="9.140625" style="631"/>
    <col min="8448" max="8448" width="0" style="631" hidden="1" customWidth="1"/>
    <col min="8449" max="8449" width="5.42578125" style="631" bestFit="1" customWidth="1"/>
    <col min="8450" max="8450" width="9.140625" style="631"/>
    <col min="8451" max="8451" width="75.42578125" style="631" bestFit="1" customWidth="1"/>
    <col min="8452" max="8452" width="10.5703125" style="631" customWidth="1"/>
    <col min="8453" max="8453" width="12.5703125" style="631" bestFit="1" customWidth="1"/>
    <col min="8454" max="8455" width="18.42578125" style="631" customWidth="1"/>
    <col min="8456" max="8703" width="9.140625" style="631"/>
    <col min="8704" max="8704" width="0" style="631" hidden="1" customWidth="1"/>
    <col min="8705" max="8705" width="5.42578125" style="631" bestFit="1" customWidth="1"/>
    <col min="8706" max="8706" width="9.140625" style="631"/>
    <col min="8707" max="8707" width="75.42578125" style="631" bestFit="1" customWidth="1"/>
    <col min="8708" max="8708" width="10.5703125" style="631" customWidth="1"/>
    <col min="8709" max="8709" width="12.5703125" style="631" bestFit="1" customWidth="1"/>
    <col min="8710" max="8711" width="18.42578125" style="631" customWidth="1"/>
    <col min="8712" max="8959" width="9.140625" style="631"/>
    <col min="8960" max="8960" width="0" style="631" hidden="1" customWidth="1"/>
    <col min="8961" max="8961" width="5.42578125" style="631" bestFit="1" customWidth="1"/>
    <col min="8962" max="8962" width="9.140625" style="631"/>
    <col min="8963" max="8963" width="75.42578125" style="631" bestFit="1" customWidth="1"/>
    <col min="8964" max="8964" width="10.5703125" style="631" customWidth="1"/>
    <col min="8965" max="8965" width="12.5703125" style="631" bestFit="1" customWidth="1"/>
    <col min="8966" max="8967" width="18.42578125" style="631" customWidth="1"/>
    <col min="8968" max="9215" width="9.140625" style="631"/>
    <col min="9216" max="9216" width="0" style="631" hidden="1" customWidth="1"/>
    <col min="9217" max="9217" width="5.42578125" style="631" bestFit="1" customWidth="1"/>
    <col min="9218" max="9218" width="9.140625" style="631"/>
    <col min="9219" max="9219" width="75.42578125" style="631" bestFit="1" customWidth="1"/>
    <col min="9220" max="9220" width="10.5703125" style="631" customWidth="1"/>
    <col min="9221" max="9221" width="12.5703125" style="631" bestFit="1" customWidth="1"/>
    <col min="9222" max="9223" width="18.42578125" style="631" customWidth="1"/>
    <col min="9224" max="9471" width="9.140625" style="631"/>
    <col min="9472" max="9472" width="0" style="631" hidden="1" customWidth="1"/>
    <col min="9473" max="9473" width="5.42578125" style="631" bestFit="1" customWidth="1"/>
    <col min="9474" max="9474" width="9.140625" style="631"/>
    <col min="9475" max="9475" width="75.42578125" style="631" bestFit="1" customWidth="1"/>
    <col min="9476" max="9476" width="10.5703125" style="631" customWidth="1"/>
    <col min="9477" max="9477" width="12.5703125" style="631" bestFit="1" customWidth="1"/>
    <col min="9478" max="9479" width="18.42578125" style="631" customWidth="1"/>
    <col min="9480" max="9727" width="9.140625" style="631"/>
    <col min="9728" max="9728" width="0" style="631" hidden="1" customWidth="1"/>
    <col min="9729" max="9729" width="5.42578125" style="631" bestFit="1" customWidth="1"/>
    <col min="9730" max="9730" width="9.140625" style="631"/>
    <col min="9731" max="9731" width="75.42578125" style="631" bestFit="1" customWidth="1"/>
    <col min="9732" max="9732" width="10.5703125" style="631" customWidth="1"/>
    <col min="9733" max="9733" width="12.5703125" style="631" bestFit="1" customWidth="1"/>
    <col min="9734" max="9735" width="18.42578125" style="631" customWidth="1"/>
    <col min="9736" max="9983" width="9.140625" style="631"/>
    <col min="9984" max="9984" width="0" style="631" hidden="1" customWidth="1"/>
    <col min="9985" max="9985" width="5.42578125" style="631" bestFit="1" customWidth="1"/>
    <col min="9986" max="9986" width="9.140625" style="631"/>
    <col min="9987" max="9987" width="75.42578125" style="631" bestFit="1" customWidth="1"/>
    <col min="9988" max="9988" width="10.5703125" style="631" customWidth="1"/>
    <col min="9989" max="9989" width="12.5703125" style="631" bestFit="1" customWidth="1"/>
    <col min="9990" max="9991" width="18.42578125" style="631" customWidth="1"/>
    <col min="9992" max="10239" width="9.140625" style="631"/>
    <col min="10240" max="10240" width="0" style="631" hidden="1" customWidth="1"/>
    <col min="10241" max="10241" width="5.42578125" style="631" bestFit="1" customWidth="1"/>
    <col min="10242" max="10242" width="9.140625" style="631"/>
    <col min="10243" max="10243" width="75.42578125" style="631" bestFit="1" customWidth="1"/>
    <col min="10244" max="10244" width="10.5703125" style="631" customWidth="1"/>
    <col min="10245" max="10245" width="12.5703125" style="631" bestFit="1" customWidth="1"/>
    <col min="10246" max="10247" width="18.42578125" style="631" customWidth="1"/>
    <col min="10248" max="10495" width="9.140625" style="631"/>
    <col min="10496" max="10496" width="0" style="631" hidden="1" customWidth="1"/>
    <col min="10497" max="10497" width="5.42578125" style="631" bestFit="1" customWidth="1"/>
    <col min="10498" max="10498" width="9.140625" style="631"/>
    <col min="10499" max="10499" width="75.42578125" style="631" bestFit="1" customWidth="1"/>
    <col min="10500" max="10500" width="10.5703125" style="631" customWidth="1"/>
    <col min="10501" max="10501" width="12.5703125" style="631" bestFit="1" customWidth="1"/>
    <col min="10502" max="10503" width="18.42578125" style="631" customWidth="1"/>
    <col min="10504" max="10751" width="9.140625" style="631"/>
    <col min="10752" max="10752" width="0" style="631" hidden="1" customWidth="1"/>
    <col min="10753" max="10753" width="5.42578125" style="631" bestFit="1" customWidth="1"/>
    <col min="10754" max="10754" width="9.140625" style="631"/>
    <col min="10755" max="10755" width="75.42578125" style="631" bestFit="1" customWidth="1"/>
    <col min="10756" max="10756" width="10.5703125" style="631" customWidth="1"/>
    <col min="10757" max="10757" width="12.5703125" style="631" bestFit="1" customWidth="1"/>
    <col min="10758" max="10759" width="18.42578125" style="631" customWidth="1"/>
    <col min="10760" max="11007" width="9.140625" style="631"/>
    <col min="11008" max="11008" width="0" style="631" hidden="1" customWidth="1"/>
    <col min="11009" max="11009" width="5.42578125" style="631" bestFit="1" customWidth="1"/>
    <col min="11010" max="11010" width="9.140625" style="631"/>
    <col min="11011" max="11011" width="75.42578125" style="631" bestFit="1" customWidth="1"/>
    <col min="11012" max="11012" width="10.5703125" style="631" customWidth="1"/>
    <col min="11013" max="11013" width="12.5703125" style="631" bestFit="1" customWidth="1"/>
    <col min="11014" max="11015" width="18.42578125" style="631" customWidth="1"/>
    <col min="11016" max="11263" width="9.140625" style="631"/>
    <col min="11264" max="11264" width="0" style="631" hidden="1" customWidth="1"/>
    <col min="11265" max="11265" width="5.42578125" style="631" bestFit="1" customWidth="1"/>
    <col min="11266" max="11266" width="9.140625" style="631"/>
    <col min="11267" max="11267" width="75.42578125" style="631" bestFit="1" customWidth="1"/>
    <col min="11268" max="11268" width="10.5703125" style="631" customWidth="1"/>
    <col min="11269" max="11269" width="12.5703125" style="631" bestFit="1" customWidth="1"/>
    <col min="11270" max="11271" width="18.42578125" style="631" customWidth="1"/>
    <col min="11272" max="11519" width="9.140625" style="631"/>
    <col min="11520" max="11520" width="0" style="631" hidden="1" customWidth="1"/>
    <col min="11521" max="11521" width="5.42578125" style="631" bestFit="1" customWidth="1"/>
    <col min="11522" max="11522" width="9.140625" style="631"/>
    <col min="11523" max="11523" width="75.42578125" style="631" bestFit="1" customWidth="1"/>
    <col min="11524" max="11524" width="10.5703125" style="631" customWidth="1"/>
    <col min="11525" max="11525" width="12.5703125" style="631" bestFit="1" customWidth="1"/>
    <col min="11526" max="11527" width="18.42578125" style="631" customWidth="1"/>
    <col min="11528" max="11775" width="9.140625" style="631"/>
    <col min="11776" max="11776" width="0" style="631" hidden="1" customWidth="1"/>
    <col min="11777" max="11777" width="5.42578125" style="631" bestFit="1" customWidth="1"/>
    <col min="11778" max="11778" width="9.140625" style="631"/>
    <col min="11779" max="11779" width="75.42578125" style="631" bestFit="1" customWidth="1"/>
    <col min="11780" max="11780" width="10.5703125" style="631" customWidth="1"/>
    <col min="11781" max="11781" width="12.5703125" style="631" bestFit="1" customWidth="1"/>
    <col min="11782" max="11783" width="18.42578125" style="631" customWidth="1"/>
    <col min="11784" max="12031" width="9.140625" style="631"/>
    <col min="12032" max="12032" width="0" style="631" hidden="1" customWidth="1"/>
    <col min="12033" max="12033" width="5.42578125" style="631" bestFit="1" customWidth="1"/>
    <col min="12034" max="12034" width="9.140625" style="631"/>
    <col min="12035" max="12035" width="75.42578125" style="631" bestFit="1" customWidth="1"/>
    <col min="12036" max="12036" width="10.5703125" style="631" customWidth="1"/>
    <col min="12037" max="12037" width="12.5703125" style="631" bestFit="1" customWidth="1"/>
    <col min="12038" max="12039" width="18.42578125" style="631" customWidth="1"/>
    <col min="12040" max="12287" width="9.140625" style="631"/>
    <col min="12288" max="12288" width="0" style="631" hidden="1" customWidth="1"/>
    <col min="12289" max="12289" width="5.42578125" style="631" bestFit="1" customWidth="1"/>
    <col min="12290" max="12290" width="9.140625" style="631"/>
    <col min="12291" max="12291" width="75.42578125" style="631" bestFit="1" customWidth="1"/>
    <col min="12292" max="12292" width="10.5703125" style="631" customWidth="1"/>
    <col min="12293" max="12293" width="12.5703125" style="631" bestFit="1" customWidth="1"/>
    <col min="12294" max="12295" width="18.42578125" style="631" customWidth="1"/>
    <col min="12296" max="12543" width="9.140625" style="631"/>
    <col min="12544" max="12544" width="0" style="631" hidden="1" customWidth="1"/>
    <col min="12545" max="12545" width="5.42578125" style="631" bestFit="1" customWidth="1"/>
    <col min="12546" max="12546" width="9.140625" style="631"/>
    <col min="12547" max="12547" width="75.42578125" style="631" bestFit="1" customWidth="1"/>
    <col min="12548" max="12548" width="10.5703125" style="631" customWidth="1"/>
    <col min="12549" max="12549" width="12.5703125" style="631" bestFit="1" customWidth="1"/>
    <col min="12550" max="12551" width="18.42578125" style="631" customWidth="1"/>
    <col min="12552" max="12799" width="9.140625" style="631"/>
    <col min="12800" max="12800" width="0" style="631" hidden="1" customWidth="1"/>
    <col min="12801" max="12801" width="5.42578125" style="631" bestFit="1" customWidth="1"/>
    <col min="12802" max="12802" width="9.140625" style="631"/>
    <col min="12803" max="12803" width="75.42578125" style="631" bestFit="1" customWidth="1"/>
    <col min="12804" max="12804" width="10.5703125" style="631" customWidth="1"/>
    <col min="12805" max="12805" width="12.5703125" style="631" bestFit="1" customWidth="1"/>
    <col min="12806" max="12807" width="18.42578125" style="631" customWidth="1"/>
    <col min="12808" max="13055" width="9.140625" style="631"/>
    <col min="13056" max="13056" width="0" style="631" hidden="1" customWidth="1"/>
    <col min="13057" max="13057" width="5.42578125" style="631" bestFit="1" customWidth="1"/>
    <col min="13058" max="13058" width="9.140625" style="631"/>
    <col min="13059" max="13059" width="75.42578125" style="631" bestFit="1" customWidth="1"/>
    <col min="13060" max="13060" width="10.5703125" style="631" customWidth="1"/>
    <col min="13061" max="13061" width="12.5703125" style="631" bestFit="1" customWidth="1"/>
    <col min="13062" max="13063" width="18.42578125" style="631" customWidth="1"/>
    <col min="13064" max="13311" width="9.140625" style="631"/>
    <col min="13312" max="13312" width="0" style="631" hidden="1" customWidth="1"/>
    <col min="13313" max="13313" width="5.42578125" style="631" bestFit="1" customWidth="1"/>
    <col min="13314" max="13314" width="9.140625" style="631"/>
    <col min="13315" max="13315" width="75.42578125" style="631" bestFit="1" customWidth="1"/>
    <col min="13316" max="13316" width="10.5703125" style="631" customWidth="1"/>
    <col min="13317" max="13317" width="12.5703125" style="631" bestFit="1" customWidth="1"/>
    <col min="13318" max="13319" width="18.42578125" style="631" customWidth="1"/>
    <col min="13320" max="13567" width="9.140625" style="631"/>
    <col min="13568" max="13568" width="0" style="631" hidden="1" customWidth="1"/>
    <col min="13569" max="13569" width="5.42578125" style="631" bestFit="1" customWidth="1"/>
    <col min="13570" max="13570" width="9.140625" style="631"/>
    <col min="13571" max="13571" width="75.42578125" style="631" bestFit="1" customWidth="1"/>
    <col min="13572" max="13572" width="10.5703125" style="631" customWidth="1"/>
    <col min="13573" max="13573" width="12.5703125" style="631" bestFit="1" customWidth="1"/>
    <col min="13574" max="13575" width="18.42578125" style="631" customWidth="1"/>
    <col min="13576" max="13823" width="9.140625" style="631"/>
    <col min="13824" max="13824" width="0" style="631" hidden="1" customWidth="1"/>
    <col min="13825" max="13825" width="5.42578125" style="631" bestFit="1" customWidth="1"/>
    <col min="13826" max="13826" width="9.140625" style="631"/>
    <col min="13827" max="13827" width="75.42578125" style="631" bestFit="1" customWidth="1"/>
    <col min="13828" max="13828" width="10.5703125" style="631" customWidth="1"/>
    <col min="13829" max="13829" width="12.5703125" style="631" bestFit="1" customWidth="1"/>
    <col min="13830" max="13831" width="18.42578125" style="631" customWidth="1"/>
    <col min="13832" max="14079" width="9.140625" style="631"/>
    <col min="14080" max="14080" width="0" style="631" hidden="1" customWidth="1"/>
    <col min="14081" max="14081" width="5.42578125" style="631" bestFit="1" customWidth="1"/>
    <col min="14082" max="14082" width="9.140625" style="631"/>
    <col min="14083" max="14083" width="75.42578125" style="631" bestFit="1" customWidth="1"/>
    <col min="14084" max="14084" width="10.5703125" style="631" customWidth="1"/>
    <col min="14085" max="14085" width="12.5703125" style="631" bestFit="1" customWidth="1"/>
    <col min="14086" max="14087" width="18.42578125" style="631" customWidth="1"/>
    <col min="14088" max="14335" width="9.140625" style="631"/>
    <col min="14336" max="14336" width="0" style="631" hidden="1" customWidth="1"/>
    <col min="14337" max="14337" width="5.42578125" style="631" bestFit="1" customWidth="1"/>
    <col min="14338" max="14338" width="9.140625" style="631"/>
    <col min="14339" max="14339" width="75.42578125" style="631" bestFit="1" customWidth="1"/>
    <col min="14340" max="14340" width="10.5703125" style="631" customWidth="1"/>
    <col min="14341" max="14341" width="12.5703125" style="631" bestFit="1" customWidth="1"/>
    <col min="14342" max="14343" width="18.42578125" style="631" customWidth="1"/>
    <col min="14344" max="14591" width="9.140625" style="631"/>
    <col min="14592" max="14592" width="0" style="631" hidden="1" customWidth="1"/>
    <col min="14593" max="14593" width="5.42578125" style="631" bestFit="1" customWidth="1"/>
    <col min="14594" max="14594" width="9.140625" style="631"/>
    <col min="14595" max="14595" width="75.42578125" style="631" bestFit="1" customWidth="1"/>
    <col min="14596" max="14596" width="10.5703125" style="631" customWidth="1"/>
    <col min="14597" max="14597" width="12.5703125" style="631" bestFit="1" customWidth="1"/>
    <col min="14598" max="14599" width="18.42578125" style="631" customWidth="1"/>
    <col min="14600" max="14847" width="9.140625" style="631"/>
    <col min="14848" max="14848" width="0" style="631" hidden="1" customWidth="1"/>
    <col min="14849" max="14849" width="5.42578125" style="631" bestFit="1" customWidth="1"/>
    <col min="14850" max="14850" width="9.140625" style="631"/>
    <col min="14851" max="14851" width="75.42578125" style="631" bestFit="1" customWidth="1"/>
    <col min="14852" max="14852" width="10.5703125" style="631" customWidth="1"/>
    <col min="14853" max="14853" width="12.5703125" style="631" bestFit="1" customWidth="1"/>
    <col min="14854" max="14855" width="18.42578125" style="631" customWidth="1"/>
    <col min="14856" max="15103" width="9.140625" style="631"/>
    <col min="15104" max="15104" width="0" style="631" hidden="1" customWidth="1"/>
    <col min="15105" max="15105" width="5.42578125" style="631" bestFit="1" customWidth="1"/>
    <col min="15106" max="15106" width="9.140625" style="631"/>
    <col min="15107" max="15107" width="75.42578125" style="631" bestFit="1" customWidth="1"/>
    <col min="15108" max="15108" width="10.5703125" style="631" customWidth="1"/>
    <col min="15109" max="15109" width="12.5703125" style="631" bestFit="1" customWidth="1"/>
    <col min="15110" max="15111" width="18.42578125" style="631" customWidth="1"/>
    <col min="15112" max="15359" width="9.140625" style="631"/>
    <col min="15360" max="15360" width="0" style="631" hidden="1" customWidth="1"/>
    <col min="15361" max="15361" width="5.42578125" style="631" bestFit="1" customWidth="1"/>
    <col min="15362" max="15362" width="9.140625" style="631"/>
    <col min="15363" max="15363" width="75.42578125" style="631" bestFit="1" customWidth="1"/>
    <col min="15364" max="15364" width="10.5703125" style="631" customWidth="1"/>
    <col min="15365" max="15365" width="12.5703125" style="631" bestFit="1" customWidth="1"/>
    <col min="15366" max="15367" width="18.42578125" style="631" customWidth="1"/>
    <col min="15368" max="15615" width="9.140625" style="631"/>
    <col min="15616" max="15616" width="0" style="631" hidden="1" customWidth="1"/>
    <col min="15617" max="15617" width="5.42578125" style="631" bestFit="1" customWidth="1"/>
    <col min="15618" max="15618" width="9.140625" style="631"/>
    <col min="15619" max="15619" width="75.42578125" style="631" bestFit="1" customWidth="1"/>
    <col min="15620" max="15620" width="10.5703125" style="631" customWidth="1"/>
    <col min="15621" max="15621" width="12.5703125" style="631" bestFit="1" customWidth="1"/>
    <col min="15622" max="15623" width="18.42578125" style="631" customWidth="1"/>
    <col min="15624" max="15871" width="9.140625" style="631"/>
    <col min="15872" max="15872" width="0" style="631" hidden="1" customWidth="1"/>
    <col min="15873" max="15873" width="5.42578125" style="631" bestFit="1" customWidth="1"/>
    <col min="15874" max="15874" width="9.140625" style="631"/>
    <col min="15875" max="15875" width="75.42578125" style="631" bestFit="1" customWidth="1"/>
    <col min="15876" max="15876" width="10.5703125" style="631" customWidth="1"/>
    <col min="15877" max="15877" width="12.5703125" style="631" bestFit="1" customWidth="1"/>
    <col min="15878" max="15879" width="18.42578125" style="631" customWidth="1"/>
    <col min="15880" max="16127" width="9.140625" style="631"/>
    <col min="16128" max="16128" width="0" style="631" hidden="1" customWidth="1"/>
    <col min="16129" max="16129" width="5.42578125" style="631" bestFit="1" customWidth="1"/>
    <col min="16130" max="16130" width="9.140625" style="631"/>
    <col min="16131" max="16131" width="75.42578125" style="631" bestFit="1" customWidth="1"/>
    <col min="16132" max="16132" width="10.5703125" style="631" customWidth="1"/>
    <col min="16133" max="16133" width="12.5703125" style="631" bestFit="1" customWidth="1"/>
    <col min="16134" max="16135" width="18.42578125" style="631" customWidth="1"/>
    <col min="16136" max="16384" width="9.140625" style="631"/>
  </cols>
  <sheetData>
    <row r="1" spans="1:18" ht="21">
      <c r="A1" s="644" t="s">
        <v>11128</v>
      </c>
      <c r="B1" s="1183" t="s">
        <v>11129</v>
      </c>
      <c r="C1" s="1183" t="s">
        <v>11130</v>
      </c>
      <c r="D1" s="1184" t="s">
        <v>11131</v>
      </c>
      <c r="E1" s="1185"/>
      <c r="F1" s="1185"/>
      <c r="G1" s="1181">
        <v>2025</v>
      </c>
      <c r="H1" s="1181">
        <v>2024</v>
      </c>
      <c r="I1" s="1186" t="s">
        <v>12926</v>
      </c>
      <c r="J1" s="1219" t="s">
        <v>12930</v>
      </c>
      <c r="K1" s="632"/>
      <c r="L1" s="632"/>
      <c r="M1" s="632"/>
      <c r="N1" s="632"/>
      <c r="O1" s="632"/>
      <c r="P1" s="632"/>
      <c r="Q1" s="632"/>
      <c r="R1" s="632"/>
    </row>
    <row r="2" spans="1:18">
      <c r="A2" s="650">
        <v>1</v>
      </c>
      <c r="B2" s="651"/>
      <c r="C2" s="652" t="s">
        <v>633</v>
      </c>
      <c r="D2" s="776" t="s">
        <v>634</v>
      </c>
      <c r="E2" s="777">
        <v>2025</v>
      </c>
      <c r="F2" s="778">
        <v>46022</v>
      </c>
      <c r="G2" s="780">
        <v>104779660.38</v>
      </c>
      <c r="H2" s="781">
        <v>105731140.41</v>
      </c>
      <c r="I2" s="781">
        <v>-951480.03000000119</v>
      </c>
      <c r="J2" s="1294">
        <v>-8.9990519946194659E-3</v>
      </c>
      <c r="K2" s="632"/>
      <c r="L2" s="632"/>
      <c r="M2" s="632"/>
      <c r="N2" s="632"/>
      <c r="O2" s="632"/>
      <c r="P2" s="632"/>
      <c r="Q2" s="632"/>
      <c r="R2" s="632"/>
    </row>
    <row r="3" spans="1:18">
      <c r="A3" s="650">
        <v>2</v>
      </c>
      <c r="B3" s="651"/>
      <c r="C3" s="652" t="s">
        <v>635</v>
      </c>
      <c r="D3" s="776" t="s">
        <v>636</v>
      </c>
      <c r="E3" s="777">
        <v>2025</v>
      </c>
      <c r="F3" s="778">
        <v>46022</v>
      </c>
      <c r="G3" s="780">
        <v>60829895.950000003</v>
      </c>
      <c r="H3" s="781">
        <v>59095217.780000001</v>
      </c>
      <c r="I3" s="781">
        <v>1734678.1700000018</v>
      </c>
      <c r="J3" s="1294">
        <v>2.9353951726819438E-2</v>
      </c>
      <c r="K3" s="632"/>
      <c r="L3" s="632"/>
      <c r="M3" s="632"/>
      <c r="N3" s="632"/>
      <c r="O3" s="632"/>
      <c r="P3" s="632"/>
      <c r="Q3" s="632"/>
      <c r="R3" s="632"/>
    </row>
    <row r="4" spans="1:18">
      <c r="A4" s="650">
        <v>3</v>
      </c>
      <c r="B4" s="661"/>
      <c r="C4" s="662" t="s">
        <v>140</v>
      </c>
      <c r="D4" s="783" t="s">
        <v>639</v>
      </c>
      <c r="E4" s="777">
        <v>2025</v>
      </c>
      <c r="F4" s="778">
        <v>46022</v>
      </c>
      <c r="G4" s="780">
        <v>0</v>
      </c>
      <c r="H4" s="781">
        <v>0</v>
      </c>
      <c r="I4" s="781">
        <v>0</v>
      </c>
      <c r="J4" s="1294">
        <v>0</v>
      </c>
      <c r="K4" s="632"/>
      <c r="L4" s="632"/>
      <c r="M4" s="632"/>
      <c r="N4" s="632"/>
      <c r="O4" s="632"/>
      <c r="P4" s="632"/>
      <c r="Q4" s="632"/>
      <c r="R4" s="632"/>
    </row>
    <row r="5" spans="1:18">
      <c r="A5" s="650">
        <v>4</v>
      </c>
      <c r="B5" s="651"/>
      <c r="C5" s="664" t="s">
        <v>643</v>
      </c>
      <c r="D5" s="784" t="s">
        <v>644</v>
      </c>
      <c r="E5" s="777">
        <v>2025</v>
      </c>
      <c r="F5" s="778">
        <v>46022</v>
      </c>
      <c r="G5" s="786">
        <v>0</v>
      </c>
      <c r="H5" s="787">
        <v>0</v>
      </c>
      <c r="I5" s="787">
        <v>0</v>
      </c>
      <c r="J5" s="1294">
        <v>0</v>
      </c>
      <c r="K5" s="632"/>
      <c r="L5" s="632"/>
      <c r="M5" s="632"/>
      <c r="N5" s="632"/>
      <c r="O5" s="632"/>
      <c r="P5" s="632"/>
      <c r="Q5" s="632"/>
      <c r="R5" s="632"/>
    </row>
    <row r="6" spans="1:18">
      <c r="A6" s="650">
        <v>5</v>
      </c>
      <c r="B6" s="651"/>
      <c r="C6" s="664" t="s">
        <v>649</v>
      </c>
      <c r="D6" s="784" t="s">
        <v>650</v>
      </c>
      <c r="E6" s="777">
        <v>2025</v>
      </c>
      <c r="F6" s="778">
        <v>46022</v>
      </c>
      <c r="G6" s="786">
        <v>0</v>
      </c>
      <c r="H6" s="787">
        <v>0</v>
      </c>
      <c r="I6" s="787">
        <v>0</v>
      </c>
      <c r="J6" s="1294">
        <v>0</v>
      </c>
      <c r="K6" s="632"/>
      <c r="L6" s="632"/>
      <c r="M6" s="632"/>
      <c r="N6" s="632"/>
      <c r="O6" s="632"/>
      <c r="P6" s="632"/>
      <c r="Q6" s="632"/>
      <c r="R6" s="632"/>
    </row>
    <row r="7" spans="1:18">
      <c r="A7" s="650">
        <v>6</v>
      </c>
      <c r="B7" s="651"/>
      <c r="C7" s="662" t="s">
        <v>141</v>
      </c>
      <c r="D7" s="783" t="s">
        <v>654</v>
      </c>
      <c r="E7" s="777">
        <v>2025</v>
      </c>
      <c r="F7" s="778">
        <v>46022</v>
      </c>
      <c r="G7" s="780">
        <v>0</v>
      </c>
      <c r="H7" s="781">
        <v>0</v>
      </c>
      <c r="I7" s="781">
        <v>0</v>
      </c>
      <c r="J7" s="1294">
        <v>0</v>
      </c>
      <c r="K7" s="632"/>
      <c r="L7" s="632"/>
      <c r="M7" s="632"/>
      <c r="N7" s="632"/>
      <c r="O7" s="632"/>
      <c r="P7" s="632"/>
      <c r="Q7" s="632"/>
      <c r="R7" s="632"/>
    </row>
    <row r="8" spans="1:18">
      <c r="A8" s="650">
        <v>7</v>
      </c>
      <c r="B8" s="651"/>
      <c r="C8" s="664" t="s">
        <v>658</v>
      </c>
      <c r="D8" s="784" t="s">
        <v>659</v>
      </c>
      <c r="E8" s="777">
        <v>2025</v>
      </c>
      <c r="F8" s="778">
        <v>46022</v>
      </c>
      <c r="G8" s="786">
        <v>0</v>
      </c>
      <c r="H8" s="787">
        <v>0</v>
      </c>
      <c r="I8" s="787">
        <v>0</v>
      </c>
      <c r="J8" s="1294">
        <v>0</v>
      </c>
      <c r="K8" s="632"/>
      <c r="L8" s="632"/>
      <c r="M8" s="632"/>
      <c r="N8" s="632"/>
      <c r="O8" s="632"/>
      <c r="P8" s="632"/>
      <c r="Q8" s="632"/>
      <c r="R8" s="632"/>
    </row>
    <row r="9" spans="1:18">
      <c r="A9" s="650">
        <v>8</v>
      </c>
      <c r="B9" s="651"/>
      <c r="C9" s="664" t="s">
        <v>665</v>
      </c>
      <c r="D9" s="784" t="s">
        <v>666</v>
      </c>
      <c r="E9" s="777">
        <v>2025</v>
      </c>
      <c r="F9" s="778">
        <v>46022</v>
      </c>
      <c r="G9" s="786">
        <v>0</v>
      </c>
      <c r="H9" s="787">
        <v>0</v>
      </c>
      <c r="I9" s="787">
        <v>0</v>
      </c>
      <c r="J9" s="1294">
        <v>0</v>
      </c>
      <c r="K9" s="632"/>
      <c r="L9" s="632"/>
      <c r="M9" s="632"/>
      <c r="N9" s="632"/>
      <c r="O9" s="632"/>
      <c r="P9" s="632"/>
      <c r="Q9" s="632"/>
      <c r="R9" s="632"/>
    </row>
    <row r="10" spans="1:18">
      <c r="A10" s="650">
        <v>9</v>
      </c>
      <c r="B10" s="651"/>
      <c r="C10" s="662" t="s">
        <v>142</v>
      </c>
      <c r="D10" s="783" t="s">
        <v>673</v>
      </c>
      <c r="E10" s="777">
        <v>2025</v>
      </c>
      <c r="F10" s="778">
        <v>46022</v>
      </c>
      <c r="G10" s="780">
        <v>0</v>
      </c>
      <c r="H10" s="781">
        <v>0</v>
      </c>
      <c r="I10" s="781">
        <v>0</v>
      </c>
      <c r="J10" s="1294">
        <v>0</v>
      </c>
      <c r="K10" s="632"/>
      <c r="L10" s="632"/>
      <c r="M10" s="632"/>
      <c r="N10" s="632"/>
      <c r="O10" s="632"/>
      <c r="P10" s="632"/>
      <c r="Q10" s="632"/>
      <c r="R10" s="632"/>
    </row>
    <row r="11" spans="1:18">
      <c r="A11" s="650">
        <v>10</v>
      </c>
      <c r="B11" s="651"/>
      <c r="C11" s="664" t="s">
        <v>677</v>
      </c>
      <c r="D11" s="784" t="s">
        <v>11836</v>
      </c>
      <c r="E11" s="777">
        <v>2025</v>
      </c>
      <c r="F11" s="778">
        <v>46022</v>
      </c>
      <c r="G11" s="786">
        <v>0</v>
      </c>
      <c r="H11" s="787">
        <v>0</v>
      </c>
      <c r="I11" s="787">
        <v>0</v>
      </c>
      <c r="J11" s="1294">
        <v>0</v>
      </c>
      <c r="K11" s="632"/>
      <c r="L11" s="632"/>
      <c r="M11" s="632"/>
      <c r="N11" s="632"/>
      <c r="O11" s="632"/>
      <c r="P11" s="632"/>
      <c r="Q11" s="632"/>
      <c r="R11" s="632"/>
    </row>
    <row r="12" spans="1:18">
      <c r="A12" s="650">
        <v>11</v>
      </c>
      <c r="B12" s="651"/>
      <c r="C12" s="664" t="s">
        <v>683</v>
      </c>
      <c r="D12" s="784" t="s">
        <v>11837</v>
      </c>
      <c r="E12" s="777">
        <v>2025</v>
      </c>
      <c r="F12" s="778">
        <v>46022</v>
      </c>
      <c r="G12" s="786">
        <v>0</v>
      </c>
      <c r="H12" s="787">
        <v>0</v>
      </c>
      <c r="I12" s="787">
        <v>0</v>
      </c>
      <c r="J12" s="1294">
        <v>0</v>
      </c>
      <c r="K12" s="632"/>
      <c r="L12" s="632"/>
      <c r="M12" s="632"/>
      <c r="N12" s="632"/>
      <c r="O12" s="632"/>
      <c r="P12" s="632"/>
      <c r="Q12" s="632"/>
      <c r="R12" s="632"/>
    </row>
    <row r="13" spans="1:18">
      <c r="A13" s="650">
        <v>12</v>
      </c>
      <c r="B13" s="651"/>
      <c r="C13" s="664" t="s">
        <v>689</v>
      </c>
      <c r="D13" s="784" t="s">
        <v>690</v>
      </c>
      <c r="E13" s="777">
        <v>2025</v>
      </c>
      <c r="F13" s="778">
        <v>46022</v>
      </c>
      <c r="G13" s="786">
        <v>0</v>
      </c>
      <c r="H13" s="787">
        <v>0</v>
      </c>
      <c r="I13" s="787">
        <v>0</v>
      </c>
      <c r="J13" s="1294">
        <v>0</v>
      </c>
      <c r="K13" s="632"/>
      <c r="L13" s="632"/>
      <c r="M13" s="632"/>
      <c r="N13" s="632"/>
      <c r="O13" s="632"/>
      <c r="P13" s="632"/>
      <c r="Q13" s="632"/>
      <c r="R13" s="632"/>
    </row>
    <row r="14" spans="1:18">
      <c r="A14" s="650">
        <v>13</v>
      </c>
      <c r="B14" s="651"/>
      <c r="C14" s="664" t="s">
        <v>695</v>
      </c>
      <c r="D14" s="784" t="s">
        <v>11838</v>
      </c>
      <c r="E14" s="777">
        <v>2025</v>
      </c>
      <c r="F14" s="778">
        <v>46022</v>
      </c>
      <c r="G14" s="786">
        <v>0</v>
      </c>
      <c r="H14" s="787">
        <v>0</v>
      </c>
      <c r="I14" s="787">
        <v>0</v>
      </c>
      <c r="J14" s="1294">
        <v>0</v>
      </c>
      <c r="K14" s="632"/>
      <c r="L14" s="632"/>
      <c r="M14" s="632"/>
      <c r="N14" s="632"/>
      <c r="O14" s="632"/>
      <c r="P14" s="632"/>
      <c r="Q14" s="632"/>
      <c r="R14" s="632"/>
    </row>
    <row r="15" spans="1:18">
      <c r="A15" s="650">
        <v>14</v>
      </c>
      <c r="B15" s="651"/>
      <c r="C15" s="662" t="s">
        <v>143</v>
      </c>
      <c r="D15" s="783" t="s">
        <v>699</v>
      </c>
      <c r="E15" s="777">
        <v>2025</v>
      </c>
      <c r="F15" s="778">
        <v>46022</v>
      </c>
      <c r="G15" s="786">
        <v>37102646.579999998</v>
      </c>
      <c r="H15" s="787">
        <v>34646048.910000004</v>
      </c>
      <c r="I15" s="787">
        <v>2456597.6699999943</v>
      </c>
      <c r="J15" s="1294">
        <v>7.0905564913952959E-2</v>
      </c>
      <c r="K15" s="632"/>
      <c r="L15" s="632"/>
      <c r="M15" s="632"/>
      <c r="N15" s="632"/>
      <c r="O15" s="632"/>
      <c r="P15" s="632"/>
      <c r="Q15" s="632"/>
      <c r="R15" s="632"/>
    </row>
    <row r="16" spans="1:18">
      <c r="A16" s="650">
        <v>15</v>
      </c>
      <c r="B16" s="651"/>
      <c r="C16" s="662" t="s">
        <v>144</v>
      </c>
      <c r="D16" s="783" t="s">
        <v>715</v>
      </c>
      <c r="E16" s="777">
        <v>2025</v>
      </c>
      <c r="F16" s="778">
        <v>46022</v>
      </c>
      <c r="G16" s="780">
        <v>23727249.370000001</v>
      </c>
      <c r="H16" s="781">
        <v>24449168.870000001</v>
      </c>
      <c r="I16" s="781">
        <v>-721919.5</v>
      </c>
      <c r="J16" s="1294">
        <v>-2.9527363643261546E-2</v>
      </c>
      <c r="K16" s="632"/>
      <c r="L16" s="632"/>
      <c r="M16" s="632"/>
      <c r="N16" s="632"/>
      <c r="O16" s="632"/>
      <c r="P16" s="632"/>
      <c r="Q16" s="632"/>
      <c r="R16" s="632"/>
    </row>
    <row r="17" spans="1:18">
      <c r="A17" s="650">
        <v>16</v>
      </c>
      <c r="B17" s="651"/>
      <c r="C17" s="664" t="s">
        <v>145</v>
      </c>
      <c r="D17" s="784" t="s">
        <v>719</v>
      </c>
      <c r="E17" s="777">
        <v>2025</v>
      </c>
      <c r="F17" s="778">
        <v>46022</v>
      </c>
      <c r="G17" s="786">
        <v>2612610.88</v>
      </c>
      <c r="H17" s="787">
        <v>2608755.31</v>
      </c>
      <c r="I17" s="787">
        <v>3855.5699999998324</v>
      </c>
      <c r="J17" s="1294">
        <v>1.4779347013575729E-3</v>
      </c>
      <c r="K17" s="632"/>
      <c r="L17" s="632"/>
      <c r="M17" s="632"/>
      <c r="N17" s="632"/>
      <c r="O17" s="632"/>
      <c r="P17" s="632"/>
      <c r="Q17" s="632"/>
      <c r="R17" s="632"/>
    </row>
    <row r="18" spans="1:18">
      <c r="A18" s="650">
        <v>17</v>
      </c>
      <c r="B18" s="651"/>
      <c r="C18" s="664" t="s">
        <v>729</v>
      </c>
      <c r="D18" s="784" t="s">
        <v>730</v>
      </c>
      <c r="E18" s="777">
        <v>2025</v>
      </c>
      <c r="F18" s="778">
        <v>46022</v>
      </c>
      <c r="G18" s="786">
        <v>2237505.09</v>
      </c>
      <c r="H18" s="787">
        <v>2033637.52</v>
      </c>
      <c r="I18" s="787">
        <v>203867.56999999983</v>
      </c>
      <c r="J18" s="1294">
        <v>0.10024774228201683</v>
      </c>
      <c r="K18" s="632"/>
      <c r="L18" s="632"/>
      <c r="M18" s="632"/>
      <c r="N18" s="632"/>
      <c r="O18" s="632"/>
      <c r="P18" s="632"/>
      <c r="Q18" s="632"/>
      <c r="R18" s="632"/>
    </row>
    <row r="19" spans="1:18">
      <c r="A19" s="650">
        <v>18</v>
      </c>
      <c r="B19" s="651"/>
      <c r="C19" s="664" t="s">
        <v>146</v>
      </c>
      <c r="D19" s="784" t="s">
        <v>743</v>
      </c>
      <c r="E19" s="777">
        <v>2025</v>
      </c>
      <c r="F19" s="778">
        <v>46022</v>
      </c>
      <c r="G19" s="786">
        <v>40163406.020000003</v>
      </c>
      <c r="H19" s="787">
        <v>39495043.350000001</v>
      </c>
      <c r="I19" s="787">
        <v>668362.67000000179</v>
      </c>
      <c r="J19" s="1294">
        <v>1.692269746552897E-2</v>
      </c>
      <c r="K19" s="632"/>
      <c r="L19" s="632"/>
      <c r="M19" s="632"/>
      <c r="N19" s="632"/>
      <c r="O19" s="632"/>
      <c r="P19" s="632"/>
      <c r="Q19" s="632"/>
      <c r="R19" s="632"/>
    </row>
    <row r="20" spans="1:18">
      <c r="A20" s="650">
        <v>19</v>
      </c>
      <c r="B20" s="651"/>
      <c r="C20" s="664" t="s">
        <v>751</v>
      </c>
      <c r="D20" s="784" t="s">
        <v>752</v>
      </c>
      <c r="E20" s="777">
        <v>2025</v>
      </c>
      <c r="F20" s="778">
        <v>46022</v>
      </c>
      <c r="G20" s="786">
        <v>16811262.440000001</v>
      </c>
      <c r="H20" s="787">
        <v>15620992.27</v>
      </c>
      <c r="I20" s="787">
        <v>1190270.1700000018</v>
      </c>
      <c r="J20" s="1294">
        <v>7.6196834965849572E-2</v>
      </c>
      <c r="K20" s="632"/>
      <c r="L20" s="632"/>
      <c r="M20" s="632"/>
      <c r="N20" s="632"/>
      <c r="O20" s="632"/>
      <c r="P20" s="632"/>
      <c r="Q20" s="632"/>
      <c r="R20" s="632"/>
    </row>
    <row r="21" spans="1:18">
      <c r="A21" s="650">
        <v>20</v>
      </c>
      <c r="B21" s="651"/>
      <c r="C21" s="664" t="s">
        <v>147</v>
      </c>
      <c r="D21" s="784" t="s">
        <v>758</v>
      </c>
      <c r="E21" s="777">
        <v>2025</v>
      </c>
      <c r="F21" s="778">
        <v>46022</v>
      </c>
      <c r="G21" s="786">
        <v>0</v>
      </c>
      <c r="H21" s="787">
        <v>0</v>
      </c>
      <c r="I21" s="787">
        <v>0</v>
      </c>
      <c r="J21" s="1294">
        <v>0</v>
      </c>
      <c r="K21" s="632"/>
      <c r="L21" s="632"/>
      <c r="M21" s="632"/>
      <c r="N21" s="632"/>
      <c r="O21" s="632"/>
      <c r="P21" s="632"/>
      <c r="Q21" s="632"/>
      <c r="R21" s="632"/>
    </row>
    <row r="22" spans="1:18">
      <c r="A22" s="650">
        <v>21</v>
      </c>
      <c r="B22" s="651"/>
      <c r="C22" s="664" t="s">
        <v>762</v>
      </c>
      <c r="D22" s="784" t="s">
        <v>763</v>
      </c>
      <c r="E22" s="777">
        <v>2025</v>
      </c>
      <c r="F22" s="778">
        <v>46022</v>
      </c>
      <c r="G22" s="786">
        <v>0</v>
      </c>
      <c r="H22" s="787">
        <v>0</v>
      </c>
      <c r="I22" s="787">
        <v>0</v>
      </c>
      <c r="J22" s="1294">
        <v>0</v>
      </c>
      <c r="K22" s="632"/>
      <c r="L22" s="632"/>
      <c r="M22" s="632"/>
      <c r="N22" s="632"/>
      <c r="O22" s="632"/>
      <c r="P22" s="632"/>
      <c r="Q22" s="632"/>
      <c r="R22" s="632"/>
    </row>
    <row r="23" spans="1:18">
      <c r="A23" s="650">
        <v>22</v>
      </c>
      <c r="B23" s="651"/>
      <c r="C23" s="664" t="s">
        <v>770</v>
      </c>
      <c r="D23" s="784" t="s">
        <v>771</v>
      </c>
      <c r="E23" s="777">
        <v>2025</v>
      </c>
      <c r="F23" s="778">
        <v>46022</v>
      </c>
      <c r="G23" s="786">
        <v>0</v>
      </c>
      <c r="H23" s="787">
        <v>0</v>
      </c>
      <c r="I23" s="787">
        <v>0</v>
      </c>
      <c r="J23" s="1294">
        <v>0</v>
      </c>
      <c r="K23" s="632"/>
      <c r="L23" s="632"/>
      <c r="M23" s="632"/>
      <c r="N23" s="632"/>
      <c r="O23" s="632"/>
      <c r="P23" s="632"/>
      <c r="Q23" s="632"/>
      <c r="R23" s="632"/>
    </row>
    <row r="24" spans="1:18">
      <c r="A24" s="650">
        <v>23</v>
      </c>
      <c r="B24" s="651"/>
      <c r="C24" s="664" t="s">
        <v>775</v>
      </c>
      <c r="D24" s="784" t="s">
        <v>776</v>
      </c>
      <c r="E24" s="777">
        <v>2025</v>
      </c>
      <c r="F24" s="778">
        <v>46022</v>
      </c>
      <c r="G24" s="786">
        <v>0</v>
      </c>
      <c r="H24" s="787">
        <v>0</v>
      </c>
      <c r="I24" s="787">
        <v>0</v>
      </c>
      <c r="J24" s="1294">
        <v>0</v>
      </c>
      <c r="K24" s="632"/>
      <c r="L24" s="632"/>
      <c r="M24" s="632"/>
      <c r="N24" s="632"/>
      <c r="O24" s="632"/>
      <c r="P24" s="632"/>
      <c r="Q24" s="632"/>
      <c r="R24" s="632"/>
    </row>
    <row r="25" spans="1:18">
      <c r="A25" s="650">
        <v>24</v>
      </c>
      <c r="B25" s="651"/>
      <c r="C25" s="662" t="s">
        <v>11839</v>
      </c>
      <c r="D25" s="783" t="s">
        <v>11840</v>
      </c>
      <c r="E25" s="777">
        <v>2025</v>
      </c>
      <c r="F25" s="778">
        <v>46022</v>
      </c>
      <c r="G25" s="780">
        <v>0</v>
      </c>
      <c r="H25" s="781">
        <v>0</v>
      </c>
      <c r="I25" s="781">
        <v>0</v>
      </c>
      <c r="J25" s="1294">
        <v>0</v>
      </c>
      <c r="K25" s="632"/>
      <c r="L25" s="632"/>
      <c r="M25" s="632"/>
      <c r="N25" s="632"/>
      <c r="O25" s="632"/>
      <c r="P25" s="632"/>
      <c r="Q25" s="632"/>
      <c r="R25" s="632"/>
    </row>
    <row r="26" spans="1:18">
      <c r="A26" s="650">
        <v>25</v>
      </c>
      <c r="B26" s="651"/>
      <c r="C26" s="664" t="s">
        <v>785</v>
      </c>
      <c r="D26" s="784" t="s">
        <v>786</v>
      </c>
      <c r="E26" s="777">
        <v>2025</v>
      </c>
      <c r="F26" s="778">
        <v>46022</v>
      </c>
      <c r="G26" s="786">
        <v>0</v>
      </c>
      <c r="H26" s="787">
        <v>0</v>
      </c>
      <c r="I26" s="787">
        <v>0</v>
      </c>
      <c r="J26" s="1294">
        <v>0</v>
      </c>
      <c r="K26" s="632"/>
      <c r="L26" s="632"/>
      <c r="M26" s="632"/>
      <c r="N26" s="632"/>
      <c r="O26" s="632"/>
      <c r="P26" s="632"/>
      <c r="Q26" s="632"/>
      <c r="R26" s="632"/>
    </row>
    <row r="27" spans="1:18">
      <c r="A27" s="650">
        <v>26</v>
      </c>
      <c r="B27" s="651"/>
      <c r="C27" s="664" t="s">
        <v>790</v>
      </c>
      <c r="D27" s="784" t="s">
        <v>791</v>
      </c>
      <c r="E27" s="777">
        <v>2025</v>
      </c>
      <c r="F27" s="778">
        <v>46022</v>
      </c>
      <c r="G27" s="786">
        <v>0</v>
      </c>
      <c r="H27" s="787">
        <v>0</v>
      </c>
      <c r="I27" s="787">
        <v>0</v>
      </c>
      <c r="J27" s="1294">
        <v>0</v>
      </c>
      <c r="K27" s="632"/>
      <c r="L27" s="632"/>
      <c r="M27" s="632"/>
      <c r="N27" s="632"/>
      <c r="O27" s="632"/>
      <c r="P27" s="632"/>
      <c r="Q27" s="632"/>
      <c r="R27" s="632"/>
    </row>
    <row r="28" spans="1:18">
      <c r="A28" s="650">
        <v>27</v>
      </c>
      <c r="B28" s="651"/>
      <c r="C28" s="664" t="s">
        <v>795</v>
      </c>
      <c r="D28" s="784" t="s">
        <v>796</v>
      </c>
      <c r="E28" s="777">
        <v>2025</v>
      </c>
      <c r="F28" s="778">
        <v>46022</v>
      </c>
      <c r="G28" s="786">
        <v>0</v>
      </c>
      <c r="H28" s="787">
        <v>0</v>
      </c>
      <c r="I28" s="787">
        <v>0</v>
      </c>
      <c r="J28" s="1294">
        <v>0</v>
      </c>
      <c r="K28" s="632"/>
      <c r="L28" s="632"/>
      <c r="M28" s="632"/>
      <c r="N28" s="632"/>
      <c r="O28" s="632"/>
      <c r="P28" s="632"/>
      <c r="Q28" s="632"/>
      <c r="R28" s="632"/>
    </row>
    <row r="29" spans="1:18">
      <c r="A29" s="650">
        <v>28</v>
      </c>
      <c r="B29" s="651"/>
      <c r="C29" s="664" t="s">
        <v>780</v>
      </c>
      <c r="D29" s="784" t="s">
        <v>781</v>
      </c>
      <c r="E29" s="777">
        <v>2025</v>
      </c>
      <c r="F29" s="778">
        <v>46022</v>
      </c>
      <c r="G29" s="786">
        <v>0</v>
      </c>
      <c r="H29" s="787">
        <v>0</v>
      </c>
      <c r="I29" s="787">
        <v>0</v>
      </c>
      <c r="J29" s="1294">
        <v>0</v>
      </c>
      <c r="K29" s="632"/>
      <c r="L29" s="632"/>
      <c r="M29" s="632"/>
      <c r="N29" s="632"/>
      <c r="O29" s="632"/>
      <c r="P29" s="632"/>
      <c r="Q29" s="632"/>
      <c r="R29" s="632"/>
    </row>
    <row r="30" spans="1:18">
      <c r="A30" s="650">
        <v>29</v>
      </c>
      <c r="B30" s="651"/>
      <c r="C30" s="652" t="s">
        <v>801</v>
      </c>
      <c r="D30" s="776" t="s">
        <v>11841</v>
      </c>
      <c r="E30" s="777">
        <v>2025</v>
      </c>
      <c r="F30" s="778">
        <v>46022</v>
      </c>
      <c r="G30" s="780">
        <v>43771764.43</v>
      </c>
      <c r="H30" s="781">
        <v>46457922.629999995</v>
      </c>
      <c r="I30" s="781">
        <v>-2686158.1999999955</v>
      </c>
      <c r="J30" s="1294">
        <v>-5.7819162974485236E-2</v>
      </c>
      <c r="K30" s="632"/>
      <c r="L30" s="632"/>
      <c r="M30" s="632"/>
      <c r="N30" s="632"/>
      <c r="O30" s="632"/>
      <c r="P30" s="632"/>
      <c r="Q30" s="632"/>
      <c r="R30" s="632"/>
    </row>
    <row r="31" spans="1:18">
      <c r="A31" s="650">
        <v>30</v>
      </c>
      <c r="B31" s="651"/>
      <c r="C31" s="662" t="s">
        <v>805</v>
      </c>
      <c r="D31" s="783" t="s">
        <v>11842</v>
      </c>
      <c r="E31" s="777">
        <v>2025</v>
      </c>
      <c r="F31" s="778">
        <v>46022</v>
      </c>
      <c r="G31" s="780">
        <v>0</v>
      </c>
      <c r="H31" s="781">
        <v>0</v>
      </c>
      <c r="I31" s="781">
        <v>0</v>
      </c>
      <c r="J31" s="1294">
        <v>0</v>
      </c>
      <c r="K31" s="632"/>
      <c r="L31" s="632"/>
      <c r="M31" s="632"/>
      <c r="N31" s="632"/>
      <c r="O31" s="632"/>
      <c r="P31" s="632"/>
      <c r="Q31" s="632"/>
      <c r="R31" s="632"/>
    </row>
    <row r="32" spans="1:18">
      <c r="A32" s="650">
        <v>31</v>
      </c>
      <c r="B32" s="651"/>
      <c r="C32" s="664" t="s">
        <v>148</v>
      </c>
      <c r="D32" s="784" t="s">
        <v>808</v>
      </c>
      <c r="E32" s="777">
        <v>2025</v>
      </c>
      <c r="F32" s="778">
        <v>46022</v>
      </c>
      <c r="G32" s="786">
        <v>0</v>
      </c>
      <c r="H32" s="787">
        <v>0</v>
      </c>
      <c r="I32" s="787">
        <v>0</v>
      </c>
      <c r="J32" s="1294">
        <v>0</v>
      </c>
      <c r="K32" s="632"/>
      <c r="L32" s="632"/>
      <c r="M32" s="632"/>
      <c r="N32" s="632"/>
      <c r="O32" s="632"/>
      <c r="P32" s="632"/>
      <c r="Q32" s="632"/>
      <c r="R32" s="632"/>
    </row>
    <row r="33" spans="1:18">
      <c r="A33" s="650">
        <v>32</v>
      </c>
      <c r="B33" s="651"/>
      <c r="C33" s="664" t="s">
        <v>149</v>
      </c>
      <c r="D33" s="784" t="s">
        <v>815</v>
      </c>
      <c r="E33" s="777">
        <v>2025</v>
      </c>
      <c r="F33" s="778">
        <v>46022</v>
      </c>
      <c r="G33" s="786">
        <v>0</v>
      </c>
      <c r="H33" s="787">
        <v>0</v>
      </c>
      <c r="I33" s="787">
        <v>0</v>
      </c>
      <c r="J33" s="1294">
        <v>0</v>
      </c>
      <c r="K33" s="632"/>
      <c r="L33" s="632"/>
      <c r="M33" s="632"/>
      <c r="N33" s="632"/>
      <c r="O33" s="632"/>
      <c r="P33" s="632"/>
      <c r="Q33" s="632"/>
      <c r="R33" s="632"/>
    </row>
    <row r="34" spans="1:18">
      <c r="A34" s="650">
        <v>33</v>
      </c>
      <c r="B34" s="651"/>
      <c r="C34" s="662" t="s">
        <v>11843</v>
      </c>
      <c r="D34" s="783" t="s">
        <v>11844</v>
      </c>
      <c r="E34" s="777">
        <v>2025</v>
      </c>
      <c r="F34" s="778">
        <v>46022</v>
      </c>
      <c r="G34" s="780">
        <v>202453.02999999997</v>
      </c>
      <c r="H34" s="781">
        <v>240555.97999999998</v>
      </c>
      <c r="I34" s="781">
        <v>-38102.950000000012</v>
      </c>
      <c r="J34" s="1294">
        <v>-0.15839535562574672</v>
      </c>
      <c r="K34" s="632"/>
      <c r="L34" s="632"/>
      <c r="M34" s="632"/>
      <c r="N34" s="632"/>
      <c r="O34" s="632"/>
      <c r="P34" s="632"/>
      <c r="Q34" s="632"/>
      <c r="R34" s="632"/>
    </row>
    <row r="35" spans="1:18">
      <c r="A35" s="650">
        <v>34</v>
      </c>
      <c r="B35" s="651"/>
      <c r="C35" s="664" t="s">
        <v>150</v>
      </c>
      <c r="D35" s="784" t="s">
        <v>818</v>
      </c>
      <c r="E35" s="777">
        <v>2025</v>
      </c>
      <c r="F35" s="778">
        <v>46022</v>
      </c>
      <c r="G35" s="788">
        <v>202453.02999999997</v>
      </c>
      <c r="H35" s="789">
        <v>240555.97999999998</v>
      </c>
      <c r="I35" s="789">
        <v>-38102.950000000012</v>
      </c>
      <c r="J35" s="1294">
        <v>-0.15839535562574672</v>
      </c>
      <c r="K35" s="632"/>
      <c r="L35" s="632"/>
      <c r="M35" s="632"/>
      <c r="N35" s="632"/>
      <c r="O35" s="632"/>
      <c r="P35" s="632"/>
      <c r="Q35" s="632"/>
      <c r="R35" s="632"/>
    </row>
    <row r="36" spans="1:18">
      <c r="A36" s="650">
        <v>35</v>
      </c>
      <c r="B36" s="651"/>
      <c r="C36" s="664" t="s">
        <v>822</v>
      </c>
      <c r="D36" s="784" t="s">
        <v>823</v>
      </c>
      <c r="E36" s="777">
        <v>2025</v>
      </c>
      <c r="F36" s="778">
        <v>46022</v>
      </c>
      <c r="G36" s="786">
        <v>655743.44999999995</v>
      </c>
      <c r="H36" s="787">
        <v>655743.44999999995</v>
      </c>
      <c r="I36" s="787">
        <v>0</v>
      </c>
      <c r="J36" s="1294">
        <v>0</v>
      </c>
      <c r="K36" s="632"/>
      <c r="L36" s="632"/>
      <c r="M36" s="632"/>
      <c r="N36" s="632"/>
      <c r="O36" s="632"/>
      <c r="P36" s="632"/>
      <c r="Q36" s="632"/>
      <c r="R36" s="632"/>
    </row>
    <row r="37" spans="1:18">
      <c r="A37" s="650">
        <v>36</v>
      </c>
      <c r="B37" s="651"/>
      <c r="C37" s="664" t="s">
        <v>829</v>
      </c>
      <c r="D37" s="784" t="s">
        <v>830</v>
      </c>
      <c r="E37" s="777">
        <v>2025</v>
      </c>
      <c r="F37" s="778">
        <v>46022</v>
      </c>
      <c r="G37" s="786">
        <v>453290.42</v>
      </c>
      <c r="H37" s="787">
        <v>415187.47</v>
      </c>
      <c r="I37" s="787">
        <v>38102.950000000012</v>
      </c>
      <c r="J37" s="1294">
        <v>9.177288033282896E-2</v>
      </c>
      <c r="K37" s="632"/>
      <c r="L37" s="632"/>
      <c r="M37" s="632"/>
      <c r="N37" s="632"/>
      <c r="O37" s="632"/>
      <c r="P37" s="632"/>
      <c r="Q37" s="632"/>
      <c r="R37" s="632"/>
    </row>
    <row r="38" spans="1:18">
      <c r="A38" s="650">
        <v>37</v>
      </c>
      <c r="B38" s="651"/>
      <c r="C38" s="664" t="s">
        <v>151</v>
      </c>
      <c r="D38" s="784" t="s">
        <v>11845</v>
      </c>
      <c r="E38" s="777">
        <v>2025</v>
      </c>
      <c r="F38" s="778">
        <v>46022</v>
      </c>
      <c r="G38" s="788">
        <v>0</v>
      </c>
      <c r="H38" s="789">
        <v>0</v>
      </c>
      <c r="I38" s="789">
        <v>0</v>
      </c>
      <c r="J38" s="1294">
        <v>0</v>
      </c>
      <c r="K38" s="632"/>
      <c r="L38" s="632"/>
      <c r="M38" s="632"/>
      <c r="N38" s="632"/>
      <c r="O38" s="632"/>
      <c r="P38" s="632"/>
      <c r="Q38" s="632"/>
      <c r="R38" s="632"/>
    </row>
    <row r="39" spans="1:18">
      <c r="A39" s="650">
        <v>38</v>
      </c>
      <c r="B39" s="651"/>
      <c r="C39" s="664" t="s">
        <v>839</v>
      </c>
      <c r="D39" s="784" t="s">
        <v>835</v>
      </c>
      <c r="E39" s="777">
        <v>2025</v>
      </c>
      <c r="F39" s="778">
        <v>46022</v>
      </c>
      <c r="G39" s="786">
        <v>0</v>
      </c>
      <c r="H39" s="787">
        <v>0</v>
      </c>
      <c r="I39" s="787">
        <v>0</v>
      </c>
      <c r="J39" s="1294">
        <v>0</v>
      </c>
      <c r="K39" s="632"/>
      <c r="L39" s="632"/>
      <c r="M39" s="632"/>
      <c r="N39" s="632"/>
      <c r="O39" s="632"/>
      <c r="P39" s="632"/>
      <c r="Q39" s="632"/>
      <c r="R39" s="632"/>
    </row>
    <row r="40" spans="1:18">
      <c r="A40" s="650">
        <v>39</v>
      </c>
      <c r="B40" s="651"/>
      <c r="C40" s="664" t="s">
        <v>843</v>
      </c>
      <c r="D40" s="784" t="s">
        <v>844</v>
      </c>
      <c r="E40" s="777">
        <v>2025</v>
      </c>
      <c r="F40" s="778">
        <v>46022</v>
      </c>
      <c r="G40" s="786">
        <v>0</v>
      </c>
      <c r="H40" s="787">
        <v>0</v>
      </c>
      <c r="I40" s="787">
        <v>0</v>
      </c>
      <c r="J40" s="1294">
        <v>0</v>
      </c>
      <c r="K40" s="632"/>
      <c r="L40" s="632"/>
      <c r="M40" s="632"/>
      <c r="N40" s="632"/>
      <c r="O40" s="632"/>
      <c r="P40" s="632"/>
      <c r="Q40" s="632"/>
      <c r="R40" s="632"/>
    </row>
    <row r="41" spans="1:18">
      <c r="A41" s="650">
        <v>40</v>
      </c>
      <c r="B41" s="651"/>
      <c r="C41" s="662" t="s">
        <v>152</v>
      </c>
      <c r="D41" s="783" t="s">
        <v>855</v>
      </c>
      <c r="E41" s="777">
        <v>2025</v>
      </c>
      <c r="F41" s="778">
        <v>46022</v>
      </c>
      <c r="G41" s="780">
        <v>6668660.8500000015</v>
      </c>
      <c r="H41" s="781">
        <v>7463158.5599999987</v>
      </c>
      <c r="I41" s="781">
        <v>-794497.70999999717</v>
      </c>
      <c r="J41" s="1294">
        <v>-0.10645596011563196</v>
      </c>
      <c r="K41" s="632"/>
      <c r="L41" s="632"/>
      <c r="M41" s="632"/>
      <c r="N41" s="632"/>
      <c r="O41" s="632"/>
      <c r="P41" s="632"/>
      <c r="Q41" s="632"/>
      <c r="R41" s="632"/>
    </row>
    <row r="42" spans="1:18">
      <c r="A42" s="650">
        <v>41</v>
      </c>
      <c r="B42" s="651"/>
      <c r="C42" s="664" t="s">
        <v>859</v>
      </c>
      <c r="D42" s="784" t="s">
        <v>860</v>
      </c>
      <c r="E42" s="777">
        <v>2025</v>
      </c>
      <c r="F42" s="778">
        <v>46022</v>
      </c>
      <c r="G42" s="786">
        <v>30227970.359999996</v>
      </c>
      <c r="H42" s="787">
        <v>29237809.419999998</v>
      </c>
      <c r="I42" s="787">
        <v>990160.93999999762</v>
      </c>
      <c r="J42" s="1294">
        <v>3.3865770372067693E-2</v>
      </c>
      <c r="K42" s="632"/>
      <c r="L42" s="632"/>
      <c r="M42" s="632"/>
      <c r="N42" s="632"/>
      <c r="O42" s="632"/>
      <c r="P42" s="632"/>
      <c r="Q42" s="632"/>
      <c r="R42" s="632"/>
    </row>
    <row r="43" spans="1:18">
      <c r="A43" s="650">
        <v>42</v>
      </c>
      <c r="B43" s="651"/>
      <c r="C43" s="664" t="s">
        <v>890</v>
      </c>
      <c r="D43" s="784" t="s">
        <v>891</v>
      </c>
      <c r="E43" s="777">
        <v>2025</v>
      </c>
      <c r="F43" s="778">
        <v>46022</v>
      </c>
      <c r="G43" s="786">
        <v>23559309.509999994</v>
      </c>
      <c r="H43" s="787">
        <v>21774650.859999999</v>
      </c>
      <c r="I43" s="787">
        <v>1784658.6499999948</v>
      </c>
      <c r="J43" s="1294">
        <v>8.1960379593429444E-2</v>
      </c>
      <c r="K43" s="632"/>
      <c r="L43" s="632"/>
      <c r="M43" s="632"/>
      <c r="N43" s="632"/>
      <c r="O43" s="632"/>
      <c r="P43" s="632"/>
      <c r="Q43" s="632"/>
      <c r="R43" s="632"/>
    </row>
    <row r="44" spans="1:18">
      <c r="A44" s="650">
        <v>43</v>
      </c>
      <c r="B44" s="651"/>
      <c r="C44" s="662" t="s">
        <v>615</v>
      </c>
      <c r="D44" s="783" t="s">
        <v>920</v>
      </c>
      <c r="E44" s="777">
        <v>2025</v>
      </c>
      <c r="F44" s="778">
        <v>46022</v>
      </c>
      <c r="G44" s="780">
        <v>7250102.0599999949</v>
      </c>
      <c r="H44" s="781">
        <v>9841148.599999994</v>
      </c>
      <c r="I44" s="781">
        <v>-2591046.5399999991</v>
      </c>
      <c r="J44" s="1294">
        <v>-0.26328700493355023</v>
      </c>
      <c r="K44" s="632"/>
      <c r="L44" s="632"/>
      <c r="M44" s="632"/>
      <c r="N44" s="632"/>
      <c r="O44" s="632"/>
      <c r="P44" s="632"/>
      <c r="Q44" s="632"/>
      <c r="R44" s="632"/>
    </row>
    <row r="45" spans="1:18">
      <c r="A45" s="650">
        <v>44</v>
      </c>
      <c r="B45" s="651"/>
      <c r="C45" s="664" t="s">
        <v>924</v>
      </c>
      <c r="D45" s="784" t="s">
        <v>925</v>
      </c>
      <c r="E45" s="777">
        <v>2025</v>
      </c>
      <c r="F45" s="778">
        <v>46022</v>
      </c>
      <c r="G45" s="786">
        <v>62053004.289999999</v>
      </c>
      <c r="H45" s="787">
        <v>60509481.699999996</v>
      </c>
      <c r="I45" s="787">
        <v>1543522.5900000036</v>
      </c>
      <c r="J45" s="1294">
        <v>2.550877228882302E-2</v>
      </c>
      <c r="K45" s="632"/>
      <c r="L45" s="632"/>
      <c r="M45" s="632"/>
      <c r="N45" s="632"/>
      <c r="O45" s="632"/>
      <c r="P45" s="632"/>
      <c r="Q45" s="632"/>
      <c r="R45" s="632"/>
    </row>
    <row r="46" spans="1:18">
      <c r="A46" s="650">
        <v>45</v>
      </c>
      <c r="B46" s="651"/>
      <c r="C46" s="664" t="s">
        <v>941</v>
      </c>
      <c r="D46" s="784" t="s">
        <v>942</v>
      </c>
      <c r="E46" s="777">
        <v>2025</v>
      </c>
      <c r="F46" s="778">
        <v>46022</v>
      </c>
      <c r="G46" s="786">
        <v>54802902.230000004</v>
      </c>
      <c r="H46" s="787">
        <v>50668333.100000001</v>
      </c>
      <c r="I46" s="787">
        <v>4134569.1300000027</v>
      </c>
      <c r="J46" s="1294">
        <v>8.160065423585057E-2</v>
      </c>
      <c r="K46" s="632"/>
      <c r="L46" s="632"/>
      <c r="M46" s="632"/>
      <c r="N46" s="632"/>
      <c r="O46" s="632"/>
      <c r="P46" s="632"/>
      <c r="Q46" s="632"/>
      <c r="R46" s="632"/>
    </row>
    <row r="47" spans="1:18">
      <c r="A47" s="650">
        <v>46</v>
      </c>
      <c r="B47" s="651"/>
      <c r="C47" s="662" t="s">
        <v>153</v>
      </c>
      <c r="D47" s="783" t="s">
        <v>11846</v>
      </c>
      <c r="E47" s="777">
        <v>2025</v>
      </c>
      <c r="F47" s="778">
        <v>46022</v>
      </c>
      <c r="G47" s="780">
        <v>455096.83000000007</v>
      </c>
      <c r="H47" s="781">
        <v>533398.12000000011</v>
      </c>
      <c r="I47" s="781">
        <v>-78301.290000000037</v>
      </c>
      <c r="J47" s="1294">
        <v>-0.14679708657390847</v>
      </c>
      <c r="K47" s="632"/>
      <c r="L47" s="632"/>
      <c r="M47" s="632"/>
      <c r="N47" s="632"/>
      <c r="O47" s="632"/>
      <c r="P47" s="632"/>
      <c r="Q47" s="632"/>
      <c r="R47" s="632"/>
    </row>
    <row r="48" spans="1:18">
      <c r="A48" s="650">
        <v>47</v>
      </c>
      <c r="B48" s="651"/>
      <c r="C48" s="664" t="s">
        <v>961</v>
      </c>
      <c r="D48" s="784" t="s">
        <v>957</v>
      </c>
      <c r="E48" s="777">
        <v>2025</v>
      </c>
      <c r="F48" s="778">
        <v>46022</v>
      </c>
      <c r="G48" s="786">
        <v>3753526.9</v>
      </c>
      <c r="H48" s="787">
        <v>3695416.67</v>
      </c>
      <c r="I48" s="787">
        <v>58110.229999999981</v>
      </c>
      <c r="J48" s="1294">
        <v>1.5724946653985838E-2</v>
      </c>
      <c r="K48" s="632"/>
      <c r="L48" s="632"/>
      <c r="M48" s="632"/>
      <c r="N48" s="632"/>
      <c r="O48" s="632"/>
      <c r="P48" s="632"/>
      <c r="Q48" s="632"/>
      <c r="R48" s="632"/>
    </row>
    <row r="49" spans="1:18">
      <c r="A49" s="650">
        <v>48</v>
      </c>
      <c r="B49" s="651"/>
      <c r="C49" s="664" t="s">
        <v>973</v>
      </c>
      <c r="D49" s="784" t="s">
        <v>974</v>
      </c>
      <c r="E49" s="777">
        <v>2025</v>
      </c>
      <c r="F49" s="778">
        <v>46022</v>
      </c>
      <c r="G49" s="786">
        <v>3298430.07</v>
      </c>
      <c r="H49" s="787">
        <v>3162018.55</v>
      </c>
      <c r="I49" s="787">
        <v>136411.52000000002</v>
      </c>
      <c r="J49" s="1294">
        <v>4.3140645079390832E-2</v>
      </c>
      <c r="K49" s="632"/>
      <c r="L49" s="632"/>
      <c r="M49" s="632"/>
      <c r="N49" s="632"/>
      <c r="O49" s="632"/>
      <c r="P49" s="632"/>
      <c r="Q49" s="632"/>
      <c r="R49" s="632"/>
    </row>
    <row r="50" spans="1:18">
      <c r="A50" s="650">
        <v>49</v>
      </c>
      <c r="B50" s="651"/>
      <c r="C50" s="662" t="s">
        <v>154</v>
      </c>
      <c r="D50" s="783" t="s">
        <v>981</v>
      </c>
      <c r="E50" s="777">
        <v>2025</v>
      </c>
      <c r="F50" s="778">
        <v>46022</v>
      </c>
      <c r="G50" s="780">
        <v>44531.639999999985</v>
      </c>
      <c r="H50" s="781">
        <v>68329.669999999984</v>
      </c>
      <c r="I50" s="781">
        <v>-23798.03</v>
      </c>
      <c r="J50" s="1294">
        <v>-0.34828252499975493</v>
      </c>
      <c r="K50" s="632"/>
      <c r="L50" s="632"/>
      <c r="M50" s="632"/>
      <c r="N50" s="632"/>
      <c r="O50" s="632"/>
      <c r="P50" s="632"/>
      <c r="Q50" s="632"/>
      <c r="R50" s="632"/>
    </row>
    <row r="51" spans="1:18">
      <c r="A51" s="650">
        <v>50</v>
      </c>
      <c r="B51" s="651"/>
      <c r="C51" s="664" t="s">
        <v>985</v>
      </c>
      <c r="D51" s="784" t="s">
        <v>986</v>
      </c>
      <c r="E51" s="777">
        <v>2025</v>
      </c>
      <c r="F51" s="778">
        <v>46022</v>
      </c>
      <c r="G51" s="786">
        <v>169133.62</v>
      </c>
      <c r="H51" s="787">
        <v>169133.62</v>
      </c>
      <c r="I51" s="787">
        <v>0</v>
      </c>
      <c r="J51" s="1294">
        <v>0</v>
      </c>
      <c r="K51" s="632"/>
      <c r="L51" s="632"/>
      <c r="M51" s="632"/>
      <c r="N51" s="632"/>
      <c r="O51" s="632"/>
      <c r="P51" s="632"/>
      <c r="Q51" s="632"/>
      <c r="R51" s="632"/>
    </row>
    <row r="52" spans="1:18">
      <c r="A52" s="650">
        <v>51</v>
      </c>
      <c r="B52" s="651"/>
      <c r="C52" s="664" t="s">
        <v>994</v>
      </c>
      <c r="D52" s="784" t="s">
        <v>995</v>
      </c>
      <c r="E52" s="777">
        <v>2025</v>
      </c>
      <c r="F52" s="778">
        <v>46022</v>
      </c>
      <c r="G52" s="786">
        <v>124601.98000000001</v>
      </c>
      <c r="H52" s="787">
        <v>100803.95000000001</v>
      </c>
      <c r="I52" s="787">
        <v>23798.03</v>
      </c>
      <c r="J52" s="1294">
        <v>0.23608231621875925</v>
      </c>
      <c r="K52" s="632"/>
      <c r="L52" s="632"/>
      <c r="M52" s="632"/>
      <c r="N52" s="632"/>
      <c r="O52" s="632"/>
      <c r="P52" s="632"/>
      <c r="Q52" s="632"/>
      <c r="R52" s="632"/>
    </row>
    <row r="53" spans="1:18">
      <c r="A53" s="650">
        <v>52</v>
      </c>
      <c r="B53" s="651"/>
      <c r="C53" s="662" t="s">
        <v>155</v>
      </c>
      <c r="D53" s="783" t="s">
        <v>1001</v>
      </c>
      <c r="E53" s="777">
        <v>2025</v>
      </c>
      <c r="F53" s="778">
        <v>46022</v>
      </c>
      <c r="G53" s="786">
        <v>0</v>
      </c>
      <c r="H53" s="787">
        <v>0</v>
      </c>
      <c r="I53" s="787">
        <v>0</v>
      </c>
      <c r="J53" s="1294">
        <v>0</v>
      </c>
      <c r="K53" s="632"/>
      <c r="L53" s="632"/>
      <c r="M53" s="632"/>
      <c r="N53" s="632"/>
      <c r="O53" s="632"/>
      <c r="P53" s="632"/>
      <c r="Q53" s="632"/>
      <c r="R53" s="632"/>
    </row>
    <row r="54" spans="1:18">
      <c r="A54" s="650">
        <v>53</v>
      </c>
      <c r="B54" s="651"/>
      <c r="C54" s="662" t="s">
        <v>156</v>
      </c>
      <c r="D54" s="783" t="s">
        <v>1006</v>
      </c>
      <c r="E54" s="777">
        <v>2025</v>
      </c>
      <c r="F54" s="778">
        <v>46022</v>
      </c>
      <c r="G54" s="780">
        <v>288427.50000000023</v>
      </c>
      <c r="H54" s="781">
        <v>97126.019999999902</v>
      </c>
      <c r="I54" s="781">
        <v>191301.48000000033</v>
      </c>
      <c r="J54" s="1294">
        <v>1.9696213228957649</v>
      </c>
      <c r="K54" s="632"/>
      <c r="L54" s="632"/>
      <c r="M54" s="632"/>
      <c r="N54" s="632"/>
      <c r="O54" s="632"/>
      <c r="P54" s="632"/>
      <c r="Q54" s="632"/>
      <c r="R54" s="632"/>
    </row>
    <row r="55" spans="1:18">
      <c r="A55" s="650">
        <v>54</v>
      </c>
      <c r="B55" s="651"/>
      <c r="C55" s="664" t="s">
        <v>1010</v>
      </c>
      <c r="D55" s="784" t="s">
        <v>1011</v>
      </c>
      <c r="E55" s="777">
        <v>2025</v>
      </c>
      <c r="F55" s="778">
        <v>46022</v>
      </c>
      <c r="G55" s="786">
        <v>1207820.4400000002</v>
      </c>
      <c r="H55" s="787">
        <v>966681.42999999993</v>
      </c>
      <c r="I55" s="787">
        <v>241139.01000000024</v>
      </c>
      <c r="J55" s="1294">
        <v>0.24945033856707091</v>
      </c>
      <c r="K55" s="632"/>
      <c r="L55" s="632"/>
      <c r="M55" s="632"/>
      <c r="N55" s="632"/>
      <c r="O55" s="632"/>
      <c r="P55" s="632"/>
      <c r="Q55" s="632"/>
      <c r="R55" s="632"/>
    </row>
    <row r="56" spans="1:18">
      <c r="A56" s="650">
        <v>55</v>
      </c>
      <c r="B56" s="651"/>
      <c r="C56" s="664" t="s">
        <v>1021</v>
      </c>
      <c r="D56" s="784" t="s">
        <v>1022</v>
      </c>
      <c r="E56" s="777">
        <v>2025</v>
      </c>
      <c r="F56" s="778">
        <v>46022</v>
      </c>
      <c r="G56" s="786">
        <v>919392.94</v>
      </c>
      <c r="H56" s="787">
        <v>869555.41</v>
      </c>
      <c r="I56" s="787">
        <v>49837.529999999912</v>
      </c>
      <c r="J56" s="1294">
        <v>5.7313805913759897E-2</v>
      </c>
      <c r="K56" s="632"/>
      <c r="L56" s="632"/>
      <c r="M56" s="632"/>
      <c r="N56" s="632"/>
      <c r="O56" s="632"/>
      <c r="P56" s="632"/>
      <c r="Q56" s="632"/>
      <c r="R56" s="632"/>
    </row>
    <row r="57" spans="1:18">
      <c r="A57" s="650">
        <v>56</v>
      </c>
      <c r="B57" s="651"/>
      <c r="C57" s="662" t="s">
        <v>157</v>
      </c>
      <c r="D57" s="783" t="s">
        <v>1032</v>
      </c>
      <c r="E57" s="777">
        <v>2025</v>
      </c>
      <c r="F57" s="778">
        <v>46022</v>
      </c>
      <c r="G57" s="786">
        <v>28862492.52</v>
      </c>
      <c r="H57" s="787">
        <v>28214205.68</v>
      </c>
      <c r="I57" s="787">
        <v>648286.83999999985</v>
      </c>
      <c r="J57" s="1294">
        <v>2.2977320267412182E-2</v>
      </c>
      <c r="K57" s="632"/>
      <c r="L57" s="632"/>
      <c r="M57" s="632"/>
      <c r="N57" s="632"/>
      <c r="O57" s="632"/>
      <c r="P57" s="632"/>
      <c r="Q57" s="632"/>
      <c r="R57" s="632"/>
    </row>
    <row r="58" spans="1:18">
      <c r="A58" s="650">
        <v>57</v>
      </c>
      <c r="B58" s="651"/>
      <c r="C58" s="662" t="s">
        <v>1036</v>
      </c>
      <c r="D58" s="783" t="s">
        <v>1037</v>
      </c>
      <c r="E58" s="777">
        <v>2025</v>
      </c>
      <c r="F58" s="778">
        <v>46022</v>
      </c>
      <c r="G58" s="780">
        <v>0</v>
      </c>
      <c r="H58" s="781">
        <v>0</v>
      </c>
      <c r="I58" s="781">
        <v>0</v>
      </c>
      <c r="J58" s="1294">
        <v>0</v>
      </c>
      <c r="K58" s="632"/>
      <c r="L58" s="632"/>
      <c r="M58" s="632"/>
      <c r="N58" s="632"/>
      <c r="O58" s="632"/>
      <c r="P58" s="632"/>
      <c r="Q58" s="632"/>
      <c r="R58" s="632"/>
    </row>
    <row r="59" spans="1:18">
      <c r="A59" s="650">
        <v>58</v>
      </c>
      <c r="B59" s="651"/>
      <c r="C59" s="664" t="s">
        <v>1041</v>
      </c>
      <c r="D59" s="784" t="s">
        <v>1042</v>
      </c>
      <c r="E59" s="777">
        <v>2025</v>
      </c>
      <c r="F59" s="778">
        <v>46022</v>
      </c>
      <c r="G59" s="786">
        <v>0</v>
      </c>
      <c r="H59" s="787">
        <v>0</v>
      </c>
      <c r="I59" s="787">
        <v>0</v>
      </c>
      <c r="J59" s="1294">
        <v>0</v>
      </c>
      <c r="K59" s="632"/>
      <c r="L59" s="632"/>
      <c r="M59" s="632"/>
      <c r="N59" s="632"/>
      <c r="O59" s="632"/>
      <c r="P59" s="632"/>
      <c r="Q59" s="632"/>
      <c r="R59" s="632"/>
    </row>
    <row r="60" spans="1:18">
      <c r="A60" s="650">
        <v>59</v>
      </c>
      <c r="B60" s="651"/>
      <c r="C60" s="664" t="s">
        <v>1046</v>
      </c>
      <c r="D60" s="784" t="s">
        <v>1047</v>
      </c>
      <c r="E60" s="777">
        <v>2025</v>
      </c>
      <c r="F60" s="778">
        <v>46022</v>
      </c>
      <c r="G60" s="786">
        <v>0</v>
      </c>
      <c r="H60" s="787">
        <v>0</v>
      </c>
      <c r="I60" s="787">
        <v>0</v>
      </c>
      <c r="J60" s="1294">
        <v>0</v>
      </c>
      <c r="K60" s="632"/>
      <c r="L60" s="632"/>
      <c r="M60" s="632"/>
      <c r="N60" s="632"/>
      <c r="O60" s="632"/>
      <c r="P60" s="632"/>
      <c r="Q60" s="632"/>
      <c r="R60" s="632"/>
    </row>
    <row r="61" spans="1:18">
      <c r="A61" s="650">
        <v>60</v>
      </c>
      <c r="B61" s="651"/>
      <c r="C61" s="664" t="s">
        <v>1051</v>
      </c>
      <c r="D61" s="784" t="s">
        <v>1052</v>
      </c>
      <c r="E61" s="777">
        <v>2025</v>
      </c>
      <c r="F61" s="778">
        <v>46022</v>
      </c>
      <c r="G61" s="786">
        <v>0</v>
      </c>
      <c r="H61" s="787">
        <v>0</v>
      </c>
      <c r="I61" s="787">
        <v>0</v>
      </c>
      <c r="J61" s="1294">
        <v>0</v>
      </c>
      <c r="K61" s="632"/>
      <c r="L61" s="632"/>
      <c r="M61" s="632"/>
      <c r="N61" s="632"/>
      <c r="O61" s="632"/>
      <c r="P61" s="632"/>
      <c r="Q61" s="632"/>
      <c r="R61" s="632"/>
    </row>
    <row r="62" spans="1:18">
      <c r="A62" s="650">
        <v>61</v>
      </c>
      <c r="B62" s="651"/>
      <c r="C62" s="664" t="s">
        <v>1056</v>
      </c>
      <c r="D62" s="784" t="s">
        <v>1057</v>
      </c>
      <c r="E62" s="777">
        <v>2025</v>
      </c>
      <c r="F62" s="778">
        <v>46022</v>
      </c>
      <c r="G62" s="786">
        <v>0</v>
      </c>
      <c r="H62" s="787">
        <v>0</v>
      </c>
      <c r="I62" s="787">
        <v>0</v>
      </c>
      <c r="J62" s="1294">
        <v>0</v>
      </c>
      <c r="K62" s="632"/>
      <c r="L62" s="632"/>
      <c r="M62" s="632"/>
      <c r="N62" s="632"/>
      <c r="O62" s="632"/>
      <c r="P62" s="632"/>
      <c r="Q62" s="632"/>
      <c r="R62" s="632"/>
    </row>
    <row r="63" spans="1:18">
      <c r="A63" s="650">
        <v>62</v>
      </c>
      <c r="B63" s="651"/>
      <c r="C63" s="664" t="s">
        <v>1061</v>
      </c>
      <c r="D63" s="784" t="s">
        <v>1062</v>
      </c>
      <c r="E63" s="777">
        <v>2025</v>
      </c>
      <c r="F63" s="778">
        <v>46022</v>
      </c>
      <c r="G63" s="786">
        <v>0</v>
      </c>
      <c r="H63" s="787">
        <v>0</v>
      </c>
      <c r="I63" s="787">
        <v>0</v>
      </c>
      <c r="J63" s="1294">
        <v>0</v>
      </c>
      <c r="K63" s="632"/>
      <c r="L63" s="632"/>
      <c r="M63" s="632"/>
      <c r="N63" s="632"/>
      <c r="O63" s="632"/>
      <c r="P63" s="632"/>
      <c r="Q63" s="632"/>
      <c r="R63" s="632"/>
    </row>
    <row r="64" spans="1:18">
      <c r="A64" s="650">
        <v>63</v>
      </c>
      <c r="B64" s="651"/>
      <c r="C64" s="664" t="s">
        <v>1066</v>
      </c>
      <c r="D64" s="784" t="s">
        <v>1067</v>
      </c>
      <c r="E64" s="777">
        <v>2025</v>
      </c>
      <c r="F64" s="778">
        <v>46022</v>
      </c>
      <c r="G64" s="786">
        <v>0</v>
      </c>
      <c r="H64" s="787">
        <v>0</v>
      </c>
      <c r="I64" s="787">
        <v>0</v>
      </c>
      <c r="J64" s="1294">
        <v>0</v>
      </c>
      <c r="K64" s="632"/>
      <c r="L64" s="632"/>
      <c r="M64" s="632"/>
      <c r="N64" s="632"/>
      <c r="O64" s="632"/>
      <c r="P64" s="632"/>
      <c r="Q64" s="632"/>
      <c r="R64" s="632"/>
    </row>
    <row r="65" spans="1:18">
      <c r="A65" s="650">
        <v>64</v>
      </c>
      <c r="B65" s="651"/>
      <c r="C65" s="664" t="s">
        <v>1071</v>
      </c>
      <c r="D65" s="784" t="s">
        <v>1072</v>
      </c>
      <c r="E65" s="777">
        <v>2025</v>
      </c>
      <c r="F65" s="778">
        <v>46022</v>
      </c>
      <c r="G65" s="786">
        <v>0</v>
      </c>
      <c r="H65" s="787">
        <v>0</v>
      </c>
      <c r="I65" s="787">
        <v>0</v>
      </c>
      <c r="J65" s="1294">
        <v>0</v>
      </c>
      <c r="K65" s="632"/>
      <c r="L65" s="632"/>
      <c r="M65" s="632"/>
      <c r="N65" s="632"/>
      <c r="O65" s="632"/>
      <c r="P65" s="632"/>
      <c r="Q65" s="632"/>
      <c r="R65" s="632"/>
    </row>
    <row r="66" spans="1:18">
      <c r="A66" s="650">
        <v>65</v>
      </c>
      <c r="B66" s="651"/>
      <c r="C66" s="664" t="s">
        <v>1076</v>
      </c>
      <c r="D66" s="784" t="s">
        <v>1077</v>
      </c>
      <c r="E66" s="777">
        <v>2025</v>
      </c>
      <c r="F66" s="778">
        <v>46022</v>
      </c>
      <c r="G66" s="786">
        <v>0</v>
      </c>
      <c r="H66" s="787">
        <v>0</v>
      </c>
      <c r="I66" s="787">
        <v>0</v>
      </c>
      <c r="J66" s="1294">
        <v>0</v>
      </c>
      <c r="K66" s="632"/>
      <c r="L66" s="632"/>
      <c r="M66" s="632"/>
      <c r="N66" s="632"/>
      <c r="O66" s="632"/>
      <c r="P66" s="632"/>
      <c r="Q66" s="632"/>
      <c r="R66" s="632"/>
    </row>
    <row r="67" spans="1:18">
      <c r="A67" s="650">
        <v>66</v>
      </c>
      <c r="B67" s="651"/>
      <c r="C67" s="652" t="s">
        <v>1079</v>
      </c>
      <c r="D67" s="776" t="s">
        <v>11847</v>
      </c>
      <c r="E67" s="777">
        <v>2025</v>
      </c>
      <c r="F67" s="778">
        <v>46022</v>
      </c>
      <c r="G67" s="780">
        <v>178000</v>
      </c>
      <c r="H67" s="781">
        <v>178000</v>
      </c>
      <c r="I67" s="781">
        <v>0</v>
      </c>
      <c r="J67" s="1294">
        <v>0</v>
      </c>
      <c r="K67" s="632"/>
      <c r="L67" s="632"/>
      <c r="M67" s="632"/>
      <c r="N67" s="632"/>
      <c r="O67" s="632"/>
      <c r="P67" s="632"/>
      <c r="Q67" s="632"/>
      <c r="R67" s="632"/>
    </row>
    <row r="68" spans="1:18">
      <c r="A68" s="650">
        <v>67</v>
      </c>
      <c r="B68" s="651"/>
      <c r="C68" s="662" t="s">
        <v>11848</v>
      </c>
      <c r="D68" s="783" t="s">
        <v>11849</v>
      </c>
      <c r="E68" s="777">
        <v>2025</v>
      </c>
      <c r="F68" s="778">
        <v>46022</v>
      </c>
      <c r="G68" s="780">
        <v>0</v>
      </c>
      <c r="H68" s="781">
        <v>0</v>
      </c>
      <c r="I68" s="781">
        <v>0</v>
      </c>
      <c r="J68" s="1294">
        <v>0</v>
      </c>
      <c r="K68" s="632"/>
      <c r="L68" s="632"/>
      <c r="M68" s="632"/>
      <c r="N68" s="632"/>
      <c r="O68" s="632"/>
      <c r="P68" s="632"/>
      <c r="Q68" s="632"/>
      <c r="R68" s="632"/>
    </row>
    <row r="69" spans="1:18">
      <c r="A69" s="650">
        <v>68</v>
      </c>
      <c r="B69" s="651"/>
      <c r="C69" s="664" t="s">
        <v>158</v>
      </c>
      <c r="D69" s="784" t="s">
        <v>1082</v>
      </c>
      <c r="E69" s="777">
        <v>2025</v>
      </c>
      <c r="F69" s="778">
        <v>46022</v>
      </c>
      <c r="G69" s="786">
        <v>0</v>
      </c>
      <c r="H69" s="787">
        <v>0</v>
      </c>
      <c r="I69" s="787">
        <v>0</v>
      </c>
      <c r="J69" s="1294">
        <v>0</v>
      </c>
      <c r="K69" s="632"/>
      <c r="L69" s="632"/>
      <c r="M69" s="632"/>
      <c r="N69" s="632"/>
      <c r="O69" s="632"/>
      <c r="P69" s="632"/>
      <c r="Q69" s="632"/>
      <c r="R69" s="632"/>
    </row>
    <row r="70" spans="1:18">
      <c r="A70" s="650">
        <v>69</v>
      </c>
      <c r="B70" s="651"/>
      <c r="C70" s="664" t="s">
        <v>159</v>
      </c>
      <c r="D70" s="784" t="s">
        <v>1084</v>
      </c>
      <c r="E70" s="777">
        <v>2025</v>
      </c>
      <c r="F70" s="778">
        <v>46022</v>
      </c>
      <c r="G70" s="786">
        <v>0</v>
      </c>
      <c r="H70" s="787">
        <v>0</v>
      </c>
      <c r="I70" s="787">
        <v>0</v>
      </c>
      <c r="J70" s="1294">
        <v>0</v>
      </c>
      <c r="K70" s="632"/>
      <c r="L70" s="632"/>
      <c r="M70" s="632"/>
      <c r="N70" s="632"/>
      <c r="O70" s="632"/>
      <c r="P70" s="632"/>
      <c r="Q70" s="632"/>
      <c r="R70" s="632"/>
    </row>
    <row r="71" spans="1:18">
      <c r="A71" s="650">
        <v>70</v>
      </c>
      <c r="B71" s="651"/>
      <c r="C71" s="664" t="s">
        <v>160</v>
      </c>
      <c r="D71" s="784" t="s">
        <v>1090</v>
      </c>
      <c r="E71" s="777">
        <v>2025</v>
      </c>
      <c r="F71" s="778">
        <v>46022</v>
      </c>
      <c r="G71" s="786">
        <v>0</v>
      </c>
      <c r="H71" s="787">
        <v>0</v>
      </c>
      <c r="I71" s="787">
        <v>0</v>
      </c>
      <c r="J71" s="1294">
        <v>0</v>
      </c>
      <c r="K71" s="632"/>
      <c r="L71" s="632"/>
      <c r="M71" s="632"/>
      <c r="N71" s="632"/>
      <c r="O71" s="632"/>
      <c r="P71" s="632"/>
      <c r="Q71" s="632"/>
      <c r="R71" s="632"/>
    </row>
    <row r="72" spans="1:18">
      <c r="A72" s="650">
        <v>71</v>
      </c>
      <c r="B72" s="651"/>
      <c r="C72" s="664" t="s">
        <v>161</v>
      </c>
      <c r="D72" s="784" t="s">
        <v>1099</v>
      </c>
      <c r="E72" s="777">
        <v>2025</v>
      </c>
      <c r="F72" s="778">
        <v>46022</v>
      </c>
      <c r="G72" s="786">
        <v>0</v>
      </c>
      <c r="H72" s="787">
        <v>0</v>
      </c>
      <c r="I72" s="787">
        <v>0</v>
      </c>
      <c r="J72" s="1294">
        <v>0</v>
      </c>
      <c r="K72" s="632"/>
      <c r="L72" s="632"/>
      <c r="M72" s="632"/>
      <c r="N72" s="632"/>
      <c r="O72" s="632"/>
      <c r="P72" s="632"/>
      <c r="Q72" s="632"/>
      <c r="R72" s="632"/>
    </row>
    <row r="73" spans="1:18">
      <c r="A73" s="650">
        <v>72</v>
      </c>
      <c r="B73" s="651"/>
      <c r="C73" s="662" t="s">
        <v>11850</v>
      </c>
      <c r="D73" s="783" t="s">
        <v>11851</v>
      </c>
      <c r="E73" s="777">
        <v>2025</v>
      </c>
      <c r="F73" s="778">
        <v>46022</v>
      </c>
      <c r="G73" s="780">
        <v>178000</v>
      </c>
      <c r="H73" s="781">
        <v>178000</v>
      </c>
      <c r="I73" s="781">
        <v>0</v>
      </c>
      <c r="J73" s="1294">
        <v>0</v>
      </c>
      <c r="K73" s="632"/>
      <c r="L73" s="632"/>
      <c r="M73" s="632"/>
      <c r="N73" s="632"/>
      <c r="O73" s="632"/>
      <c r="P73" s="632"/>
      <c r="Q73" s="632"/>
      <c r="R73" s="632"/>
    </row>
    <row r="74" spans="1:18">
      <c r="A74" s="650">
        <v>73</v>
      </c>
      <c r="B74" s="651"/>
      <c r="C74" s="664" t="s">
        <v>166</v>
      </c>
      <c r="D74" s="784" t="s">
        <v>1113</v>
      </c>
      <c r="E74" s="777">
        <v>2025</v>
      </c>
      <c r="F74" s="778">
        <v>46022</v>
      </c>
      <c r="G74" s="786">
        <v>178000</v>
      </c>
      <c r="H74" s="787">
        <v>178000</v>
      </c>
      <c r="I74" s="787">
        <v>0</v>
      </c>
      <c r="J74" s="1294">
        <v>0</v>
      </c>
      <c r="K74" s="632"/>
      <c r="L74" s="632"/>
      <c r="M74" s="632"/>
      <c r="N74" s="632"/>
      <c r="O74" s="632"/>
      <c r="P74" s="632"/>
      <c r="Q74" s="632"/>
      <c r="R74" s="632"/>
    </row>
    <row r="75" spans="1:18">
      <c r="A75" s="650">
        <v>74</v>
      </c>
      <c r="B75" s="651"/>
      <c r="C75" s="664" t="s">
        <v>167</v>
      </c>
      <c r="D75" s="784" t="s">
        <v>1128</v>
      </c>
      <c r="E75" s="777">
        <v>2025</v>
      </c>
      <c r="F75" s="778">
        <v>46022</v>
      </c>
      <c r="G75" s="788">
        <v>0</v>
      </c>
      <c r="H75" s="789">
        <v>0</v>
      </c>
      <c r="I75" s="789">
        <v>0</v>
      </c>
      <c r="J75" s="1294">
        <v>0</v>
      </c>
      <c r="K75" s="632"/>
      <c r="L75" s="632"/>
      <c r="M75" s="632"/>
      <c r="N75" s="632"/>
      <c r="O75" s="632"/>
      <c r="P75" s="632"/>
      <c r="Q75" s="632"/>
      <c r="R75" s="632"/>
    </row>
    <row r="76" spans="1:18">
      <c r="A76" s="650">
        <v>75</v>
      </c>
      <c r="B76" s="651"/>
      <c r="C76" s="664" t="s">
        <v>162</v>
      </c>
      <c r="D76" s="784" t="s">
        <v>1132</v>
      </c>
      <c r="E76" s="777">
        <v>2025</v>
      </c>
      <c r="F76" s="778">
        <v>46022</v>
      </c>
      <c r="G76" s="786">
        <v>0</v>
      </c>
      <c r="H76" s="787">
        <v>0</v>
      </c>
      <c r="I76" s="787">
        <v>0</v>
      </c>
      <c r="J76" s="1294">
        <v>0</v>
      </c>
      <c r="K76" s="632"/>
      <c r="L76" s="632"/>
      <c r="M76" s="632"/>
      <c r="N76" s="632"/>
      <c r="O76" s="632"/>
      <c r="P76" s="632"/>
      <c r="Q76" s="632"/>
      <c r="R76" s="632"/>
    </row>
    <row r="77" spans="1:18">
      <c r="A77" s="650">
        <v>76</v>
      </c>
      <c r="B77" s="651"/>
      <c r="C77" s="664" t="s">
        <v>163</v>
      </c>
      <c r="D77" s="784" t="s">
        <v>1136</v>
      </c>
      <c r="E77" s="777">
        <v>2025</v>
      </c>
      <c r="F77" s="778">
        <v>46022</v>
      </c>
      <c r="G77" s="786">
        <v>0</v>
      </c>
      <c r="H77" s="787">
        <v>0</v>
      </c>
      <c r="I77" s="787">
        <v>0</v>
      </c>
      <c r="J77" s="1294">
        <v>0</v>
      </c>
      <c r="K77" s="632"/>
      <c r="L77" s="632"/>
      <c r="M77" s="632"/>
      <c r="N77" s="632"/>
      <c r="O77" s="632"/>
      <c r="P77" s="632"/>
      <c r="Q77" s="632"/>
      <c r="R77" s="632"/>
    </row>
    <row r="78" spans="1:18">
      <c r="A78" s="650">
        <v>77</v>
      </c>
      <c r="B78" s="651"/>
      <c r="C78" s="664" t="s">
        <v>164</v>
      </c>
      <c r="D78" s="784" t="s">
        <v>1140</v>
      </c>
      <c r="E78" s="777">
        <v>2025</v>
      </c>
      <c r="F78" s="778">
        <v>46022</v>
      </c>
      <c r="G78" s="786">
        <v>0</v>
      </c>
      <c r="H78" s="787">
        <v>0</v>
      </c>
      <c r="I78" s="787">
        <v>0</v>
      </c>
      <c r="J78" s="1294">
        <v>0</v>
      </c>
      <c r="K78" s="632"/>
      <c r="L78" s="632"/>
      <c r="M78" s="632"/>
      <c r="N78" s="632"/>
      <c r="O78" s="632"/>
      <c r="P78" s="632"/>
      <c r="Q78" s="632"/>
      <c r="R78" s="632"/>
    </row>
    <row r="79" spans="1:18">
      <c r="A79" s="650">
        <v>78</v>
      </c>
      <c r="B79" s="651"/>
      <c r="C79" s="664" t="s">
        <v>165</v>
      </c>
      <c r="D79" s="784" t="s">
        <v>1143</v>
      </c>
      <c r="E79" s="777">
        <v>2025</v>
      </c>
      <c r="F79" s="778">
        <v>46022</v>
      </c>
      <c r="G79" s="786">
        <v>0</v>
      </c>
      <c r="H79" s="787">
        <v>0</v>
      </c>
      <c r="I79" s="787">
        <v>0</v>
      </c>
      <c r="J79" s="1294">
        <v>0</v>
      </c>
      <c r="K79" s="632"/>
      <c r="L79" s="632"/>
      <c r="M79" s="632"/>
      <c r="N79" s="632"/>
      <c r="O79" s="632"/>
      <c r="P79" s="632"/>
      <c r="Q79" s="632"/>
      <c r="R79" s="632"/>
    </row>
    <row r="80" spans="1:18">
      <c r="A80" s="650">
        <v>79</v>
      </c>
      <c r="B80" s="651"/>
      <c r="C80" s="652" t="s">
        <v>1146</v>
      </c>
      <c r="D80" s="776" t="s">
        <v>11852</v>
      </c>
      <c r="E80" s="777">
        <v>2025</v>
      </c>
      <c r="F80" s="778">
        <v>46022</v>
      </c>
      <c r="G80" s="780">
        <v>211497814.83999997</v>
      </c>
      <c r="H80" s="781">
        <v>198572307.47</v>
      </c>
      <c r="I80" s="781">
        <v>12925507.369999975</v>
      </c>
      <c r="J80" s="1294">
        <v>6.5092195053193608E-2</v>
      </c>
      <c r="K80" s="632"/>
      <c r="L80" s="632"/>
      <c r="M80" s="632"/>
      <c r="N80" s="632"/>
      <c r="O80" s="632"/>
      <c r="P80" s="632"/>
      <c r="Q80" s="632"/>
      <c r="R80" s="632"/>
    </row>
    <row r="81" spans="1:18">
      <c r="A81" s="650">
        <v>80</v>
      </c>
      <c r="B81" s="651"/>
      <c r="C81" s="652" t="s">
        <v>1148</v>
      </c>
      <c r="D81" s="776" t="s">
        <v>11853</v>
      </c>
      <c r="E81" s="777">
        <v>2025</v>
      </c>
      <c r="F81" s="778">
        <v>46022</v>
      </c>
      <c r="G81" s="780">
        <v>27585759.890000001</v>
      </c>
      <c r="H81" s="781">
        <v>24861543.75</v>
      </c>
      <c r="I81" s="781">
        <v>2724216.1400000006</v>
      </c>
      <c r="J81" s="1294">
        <v>0.10957550212464182</v>
      </c>
      <c r="K81" s="632"/>
      <c r="L81" s="632"/>
      <c r="M81" s="632"/>
      <c r="N81" s="632"/>
      <c r="O81" s="632"/>
      <c r="P81" s="632"/>
      <c r="Q81" s="632"/>
      <c r="R81" s="632"/>
    </row>
    <row r="82" spans="1:18">
      <c r="A82" s="650">
        <v>81</v>
      </c>
      <c r="B82" s="651"/>
      <c r="C82" s="662" t="s">
        <v>11854</v>
      </c>
      <c r="D82" s="783" t="s">
        <v>11855</v>
      </c>
      <c r="E82" s="777">
        <v>2025</v>
      </c>
      <c r="F82" s="778">
        <v>46022</v>
      </c>
      <c r="G82" s="780">
        <v>27468865.27</v>
      </c>
      <c r="H82" s="781">
        <v>24781958.800000001</v>
      </c>
      <c r="I82" s="781">
        <v>2686906.4699999988</v>
      </c>
      <c r="J82" s="1294">
        <v>0.10842187624006536</v>
      </c>
      <c r="K82" s="632"/>
      <c r="L82" s="632"/>
      <c r="M82" s="632"/>
      <c r="N82" s="632"/>
      <c r="O82" s="632"/>
      <c r="P82" s="632"/>
      <c r="Q82" s="632"/>
      <c r="R82" s="632"/>
    </row>
    <row r="83" spans="1:18">
      <c r="A83" s="650">
        <v>82</v>
      </c>
      <c r="B83" s="651"/>
      <c r="C83" s="664" t="s">
        <v>168</v>
      </c>
      <c r="D83" s="784" t="s">
        <v>1154</v>
      </c>
      <c r="E83" s="777">
        <v>2025</v>
      </c>
      <c r="F83" s="778">
        <v>46022</v>
      </c>
      <c r="G83" s="786">
        <v>14122718.859999999</v>
      </c>
      <c r="H83" s="787">
        <v>9284663.4400000013</v>
      </c>
      <c r="I83" s="787">
        <v>4838055.4199999981</v>
      </c>
      <c r="J83" s="1294">
        <v>0.52108032254101799</v>
      </c>
      <c r="K83" s="632"/>
      <c r="L83" s="632"/>
      <c r="M83" s="632"/>
      <c r="N83" s="632"/>
      <c r="O83" s="632"/>
      <c r="P83" s="632"/>
      <c r="Q83" s="632"/>
      <c r="R83" s="632"/>
    </row>
    <row r="84" spans="1:18">
      <c r="A84" s="650">
        <v>83</v>
      </c>
      <c r="B84" s="651"/>
      <c r="C84" s="664" t="s">
        <v>169</v>
      </c>
      <c r="D84" s="784" t="s">
        <v>1187</v>
      </c>
      <c r="E84" s="777">
        <v>2025</v>
      </c>
      <c r="F84" s="778">
        <v>46022</v>
      </c>
      <c r="G84" s="786">
        <v>441166.42</v>
      </c>
      <c r="H84" s="787">
        <v>221555.19</v>
      </c>
      <c r="I84" s="787">
        <v>219611.22999999998</v>
      </c>
      <c r="J84" s="1294">
        <v>0.9912258430957992</v>
      </c>
      <c r="K84" s="632"/>
      <c r="L84" s="632"/>
      <c r="M84" s="632"/>
      <c r="N84" s="632"/>
      <c r="O84" s="632"/>
      <c r="P84" s="632"/>
      <c r="Q84" s="632"/>
      <c r="R84" s="632"/>
    </row>
    <row r="85" spans="1:18">
      <c r="A85" s="650">
        <v>84</v>
      </c>
      <c r="B85" s="651"/>
      <c r="C85" s="664" t="s">
        <v>170</v>
      </c>
      <c r="D85" s="784" t="s">
        <v>1198</v>
      </c>
      <c r="E85" s="777">
        <v>2025</v>
      </c>
      <c r="F85" s="778">
        <v>46022</v>
      </c>
      <c r="G85" s="786">
        <v>11238715.939999999</v>
      </c>
      <c r="H85" s="787">
        <v>13424969.82</v>
      </c>
      <c r="I85" s="787">
        <v>-2186253.8800000008</v>
      </c>
      <c r="J85" s="1294">
        <v>-0.16284981711787572</v>
      </c>
      <c r="K85" s="632"/>
      <c r="L85" s="632"/>
      <c r="M85" s="632"/>
      <c r="N85" s="632"/>
      <c r="O85" s="632"/>
      <c r="P85" s="632"/>
      <c r="Q85" s="632"/>
      <c r="R85" s="632"/>
    </row>
    <row r="86" spans="1:18">
      <c r="A86" s="650">
        <v>85</v>
      </c>
      <c r="B86" s="651"/>
      <c r="C86" s="664" t="s">
        <v>171</v>
      </c>
      <c r="D86" s="784" t="s">
        <v>1263</v>
      </c>
      <c r="E86" s="777">
        <v>2025</v>
      </c>
      <c r="F86" s="778">
        <v>46022</v>
      </c>
      <c r="G86" s="786">
        <v>15098.04</v>
      </c>
      <c r="H86" s="787">
        <v>2148.77</v>
      </c>
      <c r="I86" s="787">
        <v>12949.27</v>
      </c>
      <c r="J86" s="1294">
        <v>6.0263639198238996</v>
      </c>
      <c r="K86" s="632"/>
      <c r="L86" s="632"/>
      <c r="M86" s="632"/>
      <c r="N86" s="632"/>
      <c r="O86" s="632"/>
      <c r="P86" s="632"/>
      <c r="Q86" s="632"/>
      <c r="R86" s="632"/>
    </row>
    <row r="87" spans="1:18">
      <c r="A87" s="650">
        <v>86</v>
      </c>
      <c r="B87" s="651"/>
      <c r="C87" s="664" t="s">
        <v>172</v>
      </c>
      <c r="D87" s="784" t="s">
        <v>1268</v>
      </c>
      <c r="E87" s="777">
        <v>2025</v>
      </c>
      <c r="F87" s="778">
        <v>46022</v>
      </c>
      <c r="G87" s="786">
        <v>0</v>
      </c>
      <c r="H87" s="787">
        <v>0</v>
      </c>
      <c r="I87" s="787">
        <v>0</v>
      </c>
      <c r="J87" s="1294">
        <v>0</v>
      </c>
      <c r="K87" s="632"/>
      <c r="L87" s="632"/>
      <c r="M87" s="632"/>
      <c r="N87" s="632"/>
      <c r="O87" s="632"/>
      <c r="P87" s="632"/>
      <c r="Q87" s="632"/>
      <c r="R87" s="632"/>
    </row>
    <row r="88" spans="1:18">
      <c r="A88" s="650">
        <v>87</v>
      </c>
      <c r="B88" s="651"/>
      <c r="C88" s="664" t="s">
        <v>173</v>
      </c>
      <c r="D88" s="784" t="s">
        <v>1273</v>
      </c>
      <c r="E88" s="777">
        <v>2025</v>
      </c>
      <c r="F88" s="778">
        <v>46022</v>
      </c>
      <c r="G88" s="786">
        <v>0</v>
      </c>
      <c r="H88" s="787">
        <v>0</v>
      </c>
      <c r="I88" s="787">
        <v>0</v>
      </c>
      <c r="J88" s="1294">
        <v>0</v>
      </c>
      <c r="K88" s="632"/>
      <c r="L88" s="632"/>
      <c r="M88" s="632"/>
      <c r="N88" s="632"/>
      <c r="O88" s="632"/>
      <c r="P88" s="632"/>
      <c r="Q88" s="632"/>
      <c r="R88" s="632"/>
    </row>
    <row r="89" spans="1:18">
      <c r="A89" s="650">
        <v>88</v>
      </c>
      <c r="B89" s="651"/>
      <c r="C89" s="664" t="s">
        <v>174</v>
      </c>
      <c r="D89" s="784" t="s">
        <v>1278</v>
      </c>
      <c r="E89" s="777">
        <v>2025</v>
      </c>
      <c r="F89" s="778">
        <v>46022</v>
      </c>
      <c r="G89" s="786">
        <v>0</v>
      </c>
      <c r="H89" s="787">
        <v>0</v>
      </c>
      <c r="I89" s="787">
        <v>0</v>
      </c>
      <c r="J89" s="1294">
        <v>0</v>
      </c>
      <c r="K89" s="632"/>
      <c r="L89" s="632"/>
      <c r="M89" s="632"/>
      <c r="N89" s="632"/>
      <c r="O89" s="632"/>
      <c r="P89" s="632"/>
      <c r="Q89" s="632"/>
      <c r="R89" s="632"/>
    </row>
    <row r="90" spans="1:18">
      <c r="A90" s="650">
        <v>89</v>
      </c>
      <c r="B90" s="651"/>
      <c r="C90" s="664" t="s">
        <v>175</v>
      </c>
      <c r="D90" s="784" t="s">
        <v>1287</v>
      </c>
      <c r="E90" s="777">
        <v>2025</v>
      </c>
      <c r="F90" s="778">
        <v>46022</v>
      </c>
      <c r="G90" s="786">
        <v>1651166.01</v>
      </c>
      <c r="H90" s="795">
        <v>1848621.5799999998</v>
      </c>
      <c r="I90" s="787">
        <v>-197455.56999999983</v>
      </c>
      <c r="J90" s="1294">
        <v>-0.10681232553825312</v>
      </c>
      <c r="K90" s="632"/>
      <c r="L90" s="632"/>
      <c r="M90" s="632"/>
      <c r="N90" s="632"/>
      <c r="O90" s="632"/>
      <c r="P90" s="632"/>
      <c r="Q90" s="632"/>
      <c r="R90" s="632"/>
    </row>
    <row r="91" spans="1:18">
      <c r="A91" s="650">
        <v>90</v>
      </c>
      <c r="B91" s="651"/>
      <c r="C91" s="664" t="s">
        <v>176</v>
      </c>
      <c r="D91" s="784" t="s">
        <v>1297</v>
      </c>
      <c r="E91" s="777">
        <v>2025</v>
      </c>
      <c r="F91" s="778">
        <v>46022</v>
      </c>
      <c r="G91" s="786">
        <v>0</v>
      </c>
      <c r="H91" s="787">
        <v>0</v>
      </c>
      <c r="I91" s="787">
        <v>0</v>
      </c>
      <c r="J91" s="1294">
        <v>0</v>
      </c>
      <c r="K91" s="632"/>
      <c r="L91" s="632"/>
      <c r="M91" s="632"/>
      <c r="N91" s="632"/>
      <c r="O91" s="632"/>
      <c r="P91" s="632"/>
      <c r="Q91" s="632"/>
      <c r="R91" s="632"/>
    </row>
    <row r="92" spans="1:18">
      <c r="A92" s="650">
        <v>91</v>
      </c>
      <c r="B92" s="651"/>
      <c r="C92" s="662" t="s">
        <v>11856</v>
      </c>
      <c r="D92" s="783" t="s">
        <v>11857</v>
      </c>
      <c r="E92" s="777">
        <v>2025</v>
      </c>
      <c r="F92" s="778">
        <v>46022</v>
      </c>
      <c r="G92" s="780">
        <v>116894.62000000001</v>
      </c>
      <c r="H92" s="781">
        <v>79584.95</v>
      </c>
      <c r="I92" s="781">
        <v>37309.670000000013</v>
      </c>
      <c r="J92" s="1294">
        <v>0.46880308400017862</v>
      </c>
      <c r="K92" s="632"/>
      <c r="L92" s="632"/>
      <c r="M92" s="632"/>
      <c r="N92" s="632"/>
      <c r="O92" s="632"/>
      <c r="P92" s="632"/>
      <c r="Q92" s="632"/>
      <c r="R92" s="632"/>
    </row>
    <row r="93" spans="1:18">
      <c r="A93" s="650">
        <v>92</v>
      </c>
      <c r="B93" s="651"/>
      <c r="C93" s="664" t="s">
        <v>177</v>
      </c>
      <c r="D93" s="784" t="s">
        <v>1302</v>
      </c>
      <c r="E93" s="777">
        <v>2025</v>
      </c>
      <c r="F93" s="778">
        <v>46022</v>
      </c>
      <c r="G93" s="786">
        <v>504.29</v>
      </c>
      <c r="H93" s="787">
        <v>1079.06</v>
      </c>
      <c r="I93" s="787">
        <v>-574.77</v>
      </c>
      <c r="J93" s="1294">
        <v>-0.53265805423238743</v>
      </c>
      <c r="K93" s="632"/>
      <c r="L93" s="632"/>
      <c r="M93" s="632"/>
      <c r="N93" s="632"/>
      <c r="O93" s="632"/>
      <c r="P93" s="632"/>
      <c r="Q93" s="632"/>
      <c r="R93" s="632"/>
    </row>
    <row r="94" spans="1:18">
      <c r="A94" s="650">
        <v>93</v>
      </c>
      <c r="B94" s="651"/>
      <c r="C94" s="664" t="s">
        <v>178</v>
      </c>
      <c r="D94" s="784" t="s">
        <v>1305</v>
      </c>
      <c r="E94" s="777">
        <v>2025</v>
      </c>
      <c r="F94" s="778">
        <v>46022</v>
      </c>
      <c r="G94" s="786">
        <v>3638.59</v>
      </c>
      <c r="H94" s="787">
        <v>529.04999999999995</v>
      </c>
      <c r="I94" s="787">
        <v>3109.54</v>
      </c>
      <c r="J94" s="1294">
        <v>5.8775919100274079</v>
      </c>
      <c r="K94" s="632"/>
      <c r="L94" s="632"/>
      <c r="M94" s="632"/>
      <c r="N94" s="632"/>
      <c r="O94" s="632"/>
      <c r="P94" s="632"/>
      <c r="Q94" s="632"/>
      <c r="R94" s="632"/>
    </row>
    <row r="95" spans="1:18">
      <c r="A95" s="650">
        <v>94</v>
      </c>
      <c r="B95" s="651"/>
      <c r="C95" s="664" t="s">
        <v>179</v>
      </c>
      <c r="D95" s="784" t="s">
        <v>1310</v>
      </c>
      <c r="E95" s="777">
        <v>2025</v>
      </c>
      <c r="F95" s="778">
        <v>46022</v>
      </c>
      <c r="G95" s="786">
        <v>0</v>
      </c>
      <c r="H95" s="787">
        <v>0</v>
      </c>
      <c r="I95" s="787">
        <v>0</v>
      </c>
      <c r="J95" s="1294">
        <v>0</v>
      </c>
      <c r="K95" s="632"/>
      <c r="L95" s="632"/>
      <c r="M95" s="632"/>
      <c r="N95" s="632"/>
      <c r="O95" s="632"/>
      <c r="P95" s="632"/>
      <c r="Q95" s="632"/>
      <c r="R95" s="632"/>
    </row>
    <row r="96" spans="1:18">
      <c r="A96" s="650">
        <v>95</v>
      </c>
      <c r="B96" s="651"/>
      <c r="C96" s="664" t="s">
        <v>180</v>
      </c>
      <c r="D96" s="784" t="s">
        <v>1315</v>
      </c>
      <c r="E96" s="777">
        <v>2025</v>
      </c>
      <c r="F96" s="778">
        <v>46022</v>
      </c>
      <c r="G96" s="786">
        <v>112751.74</v>
      </c>
      <c r="H96" s="787">
        <v>97753.17</v>
      </c>
      <c r="I96" s="787">
        <v>14998.570000000007</v>
      </c>
      <c r="J96" s="1294">
        <v>0.15343308048219825</v>
      </c>
      <c r="K96" s="632"/>
      <c r="L96" s="632"/>
      <c r="M96" s="632"/>
      <c r="N96" s="632"/>
      <c r="O96" s="632"/>
      <c r="P96" s="632"/>
      <c r="Q96" s="632"/>
      <c r="R96" s="632"/>
    </row>
    <row r="97" spans="1:18">
      <c r="A97" s="650">
        <v>96</v>
      </c>
      <c r="B97" s="651"/>
      <c r="C97" s="664" t="s">
        <v>181</v>
      </c>
      <c r="D97" s="784" t="s">
        <v>1320</v>
      </c>
      <c r="E97" s="777">
        <v>2025</v>
      </c>
      <c r="F97" s="778">
        <v>46022</v>
      </c>
      <c r="G97" s="786">
        <v>0</v>
      </c>
      <c r="H97" s="787">
        <v>-19776.330000000002</v>
      </c>
      <c r="I97" s="787">
        <v>19776.330000000002</v>
      </c>
      <c r="J97" s="1294">
        <v>-1</v>
      </c>
      <c r="K97" s="632"/>
      <c r="L97" s="632"/>
      <c r="M97" s="632"/>
      <c r="N97" s="632"/>
      <c r="O97" s="632"/>
      <c r="P97" s="632"/>
      <c r="Q97" s="632"/>
      <c r="R97" s="632"/>
    </row>
    <row r="98" spans="1:18">
      <c r="A98" s="650">
        <v>97</v>
      </c>
      <c r="B98" s="651"/>
      <c r="C98" s="664" t="s">
        <v>182</v>
      </c>
      <c r="D98" s="784" t="s">
        <v>1326</v>
      </c>
      <c r="E98" s="777">
        <v>2025</v>
      </c>
      <c r="F98" s="778">
        <v>46022</v>
      </c>
      <c r="G98" s="786">
        <v>0</v>
      </c>
      <c r="H98" s="787">
        <v>0</v>
      </c>
      <c r="I98" s="787">
        <v>0</v>
      </c>
      <c r="J98" s="1294">
        <v>0</v>
      </c>
      <c r="K98" s="632"/>
      <c r="L98" s="632"/>
      <c r="M98" s="632"/>
      <c r="N98" s="632"/>
      <c r="O98" s="632"/>
      <c r="P98" s="632"/>
      <c r="Q98" s="632"/>
      <c r="R98" s="632"/>
    </row>
    <row r="99" spans="1:18">
      <c r="A99" s="650">
        <v>98</v>
      </c>
      <c r="B99" s="651"/>
      <c r="C99" s="664" t="s">
        <v>183</v>
      </c>
      <c r="D99" s="784" t="s">
        <v>1334</v>
      </c>
      <c r="E99" s="777">
        <v>2025</v>
      </c>
      <c r="F99" s="778">
        <v>46022</v>
      </c>
      <c r="G99" s="786">
        <v>0</v>
      </c>
      <c r="H99" s="787">
        <v>0</v>
      </c>
      <c r="I99" s="787">
        <v>0</v>
      </c>
      <c r="J99" s="1294">
        <v>0</v>
      </c>
      <c r="K99" s="632"/>
      <c r="L99" s="632"/>
      <c r="M99" s="632"/>
      <c r="N99" s="632"/>
      <c r="O99" s="632"/>
      <c r="P99" s="632"/>
      <c r="Q99" s="632"/>
      <c r="R99" s="632"/>
    </row>
    <row r="100" spans="1:18">
      <c r="A100" s="650">
        <v>99</v>
      </c>
      <c r="B100" s="651"/>
      <c r="C100" s="652" t="s">
        <v>11858</v>
      </c>
      <c r="D100" s="776" t="s">
        <v>11859</v>
      </c>
      <c r="E100" s="777">
        <v>2025</v>
      </c>
      <c r="F100" s="778">
        <v>46022</v>
      </c>
      <c r="G100" s="780">
        <v>179652226.14999998</v>
      </c>
      <c r="H100" s="781">
        <v>169519614.80000001</v>
      </c>
      <c r="I100" s="781">
        <v>10132611.349999964</v>
      </c>
      <c r="J100" s="1294">
        <v>5.9772501028594618E-2</v>
      </c>
      <c r="K100" s="632"/>
      <c r="L100" s="632"/>
      <c r="M100" s="632"/>
      <c r="N100" s="632"/>
      <c r="O100" s="632"/>
      <c r="P100" s="632"/>
      <c r="Q100" s="632"/>
      <c r="R100" s="632"/>
    </row>
    <row r="101" spans="1:18">
      <c r="A101" s="650">
        <v>100</v>
      </c>
      <c r="B101" s="651"/>
      <c r="C101" s="662" t="s">
        <v>1335</v>
      </c>
      <c r="D101" s="783" t="s">
        <v>11860</v>
      </c>
      <c r="E101" s="777">
        <v>2025</v>
      </c>
      <c r="F101" s="778">
        <v>46022</v>
      </c>
      <c r="G101" s="780">
        <v>2444697.61</v>
      </c>
      <c r="H101" s="781">
        <v>3350361.4499999997</v>
      </c>
      <c r="I101" s="781">
        <v>-905663.83999999985</v>
      </c>
      <c r="J101" s="1294">
        <v>-0.27031824879670818</v>
      </c>
      <c r="K101" s="632"/>
      <c r="L101" s="632"/>
      <c r="M101" s="632"/>
      <c r="N101" s="632"/>
      <c r="O101" s="632"/>
      <c r="P101" s="632"/>
      <c r="Q101" s="632"/>
      <c r="R101" s="632"/>
    </row>
    <row r="102" spans="1:18">
      <c r="A102" s="650">
        <v>101</v>
      </c>
      <c r="B102" s="672" t="s">
        <v>1340</v>
      </c>
      <c r="C102" s="673" t="s">
        <v>1341</v>
      </c>
      <c r="D102" s="791" t="s">
        <v>1339</v>
      </c>
      <c r="E102" s="777">
        <v>2025</v>
      </c>
      <c r="F102" s="778">
        <v>46022</v>
      </c>
      <c r="G102" s="786">
        <v>0</v>
      </c>
      <c r="H102" s="787">
        <v>0</v>
      </c>
      <c r="I102" s="787">
        <v>0</v>
      </c>
      <c r="J102" s="1294">
        <v>0</v>
      </c>
      <c r="K102" s="632"/>
      <c r="L102" s="632"/>
      <c r="M102" s="632"/>
      <c r="N102" s="632"/>
      <c r="O102" s="632"/>
      <c r="P102" s="632"/>
      <c r="Q102" s="632"/>
      <c r="R102" s="632"/>
    </row>
    <row r="103" spans="1:18">
      <c r="A103" s="650">
        <v>102</v>
      </c>
      <c r="B103" s="672" t="s">
        <v>1340</v>
      </c>
      <c r="C103" s="673" t="s">
        <v>184</v>
      </c>
      <c r="D103" s="792" t="s">
        <v>1345</v>
      </c>
      <c r="E103" s="777">
        <v>2025</v>
      </c>
      <c r="F103" s="778">
        <v>46022</v>
      </c>
      <c r="G103" s="786">
        <v>0</v>
      </c>
      <c r="H103" s="787">
        <v>0</v>
      </c>
      <c r="I103" s="787">
        <v>0</v>
      </c>
      <c r="J103" s="1294">
        <v>0</v>
      </c>
      <c r="K103" s="632"/>
      <c r="L103" s="632"/>
      <c r="M103" s="632"/>
      <c r="N103" s="632"/>
      <c r="O103" s="632"/>
      <c r="P103" s="632"/>
      <c r="Q103" s="632"/>
      <c r="R103" s="632"/>
    </row>
    <row r="104" spans="1:18">
      <c r="A104" s="650">
        <v>103</v>
      </c>
      <c r="B104" s="672" t="s">
        <v>1349</v>
      </c>
      <c r="C104" s="673" t="s">
        <v>185</v>
      </c>
      <c r="D104" s="792" t="s">
        <v>1350</v>
      </c>
      <c r="E104" s="777">
        <v>2025</v>
      </c>
      <c r="F104" s="778">
        <v>46022</v>
      </c>
      <c r="G104" s="786">
        <v>0</v>
      </c>
      <c r="H104" s="787">
        <v>0</v>
      </c>
      <c r="I104" s="787">
        <v>0</v>
      </c>
      <c r="J104" s="1294">
        <v>0</v>
      </c>
      <c r="K104" s="632"/>
      <c r="L104" s="632"/>
      <c r="M104" s="632"/>
      <c r="N104" s="632"/>
      <c r="O104" s="632"/>
      <c r="P104" s="632"/>
      <c r="Q104" s="632"/>
      <c r="R104" s="632"/>
    </row>
    <row r="105" spans="1:18">
      <c r="A105" s="650">
        <v>104</v>
      </c>
      <c r="B105" s="676"/>
      <c r="C105" s="673" t="s">
        <v>186</v>
      </c>
      <c r="D105" s="792" t="s">
        <v>1354</v>
      </c>
      <c r="E105" s="777">
        <v>2025</v>
      </c>
      <c r="F105" s="778">
        <v>46022</v>
      </c>
      <c r="G105" s="786">
        <v>0</v>
      </c>
      <c r="H105" s="787">
        <v>0</v>
      </c>
      <c r="I105" s="787">
        <v>0</v>
      </c>
      <c r="J105" s="1294">
        <v>0</v>
      </c>
      <c r="K105" s="632"/>
      <c r="L105" s="632"/>
      <c r="M105" s="632"/>
      <c r="N105" s="632"/>
      <c r="O105" s="632"/>
      <c r="P105" s="632"/>
      <c r="Q105" s="632"/>
      <c r="R105" s="632"/>
    </row>
    <row r="106" spans="1:18">
      <c r="A106" s="650">
        <v>105</v>
      </c>
      <c r="B106" s="672" t="s">
        <v>1340</v>
      </c>
      <c r="C106" s="673" t="s">
        <v>187</v>
      </c>
      <c r="D106" s="792" t="s">
        <v>1359</v>
      </c>
      <c r="E106" s="777">
        <v>2025</v>
      </c>
      <c r="F106" s="778">
        <v>46022</v>
      </c>
      <c r="G106" s="786">
        <v>0</v>
      </c>
      <c r="H106" s="787">
        <v>0</v>
      </c>
      <c r="I106" s="787">
        <v>0</v>
      </c>
      <c r="J106" s="1294">
        <v>0</v>
      </c>
      <c r="K106" s="632"/>
      <c r="L106" s="632"/>
      <c r="M106" s="632"/>
      <c r="N106" s="632"/>
      <c r="O106" s="632"/>
      <c r="P106" s="632"/>
      <c r="Q106" s="632"/>
      <c r="R106" s="632"/>
    </row>
    <row r="107" spans="1:18">
      <c r="A107" s="650">
        <v>106</v>
      </c>
      <c r="B107" s="672" t="s">
        <v>1340</v>
      </c>
      <c r="C107" s="673" t="s">
        <v>188</v>
      </c>
      <c r="D107" s="792" t="s">
        <v>1363</v>
      </c>
      <c r="E107" s="777">
        <v>2025</v>
      </c>
      <c r="F107" s="778">
        <v>46022</v>
      </c>
      <c r="G107" s="786">
        <v>0</v>
      </c>
      <c r="H107" s="787">
        <v>0</v>
      </c>
      <c r="I107" s="787">
        <v>0</v>
      </c>
      <c r="J107" s="1294">
        <v>0</v>
      </c>
      <c r="K107" s="632"/>
      <c r="L107" s="632"/>
      <c r="M107" s="632"/>
      <c r="N107" s="632"/>
      <c r="O107" s="632"/>
      <c r="P107" s="632"/>
      <c r="Q107" s="632"/>
      <c r="R107" s="632"/>
    </row>
    <row r="108" spans="1:18">
      <c r="A108" s="650">
        <v>107</v>
      </c>
      <c r="B108" s="672" t="s">
        <v>1340</v>
      </c>
      <c r="C108" s="673" t="s">
        <v>189</v>
      </c>
      <c r="D108" s="792" t="s">
        <v>1367</v>
      </c>
      <c r="E108" s="777">
        <v>2025</v>
      </c>
      <c r="F108" s="778">
        <v>46022</v>
      </c>
      <c r="G108" s="786">
        <v>0</v>
      </c>
      <c r="H108" s="787">
        <v>0</v>
      </c>
      <c r="I108" s="787">
        <v>0</v>
      </c>
      <c r="J108" s="1294">
        <v>0</v>
      </c>
      <c r="K108" s="632"/>
      <c r="L108" s="632"/>
      <c r="M108" s="632"/>
      <c r="N108" s="632"/>
      <c r="O108" s="632"/>
      <c r="P108" s="632"/>
      <c r="Q108" s="632"/>
      <c r="R108" s="632"/>
    </row>
    <row r="109" spans="1:18">
      <c r="A109" s="650">
        <v>108</v>
      </c>
      <c r="B109" s="672" t="s">
        <v>1340</v>
      </c>
      <c r="C109" s="673" t="s">
        <v>1373</v>
      </c>
      <c r="D109" s="792" t="s">
        <v>1374</v>
      </c>
      <c r="E109" s="777">
        <v>2025</v>
      </c>
      <c r="F109" s="778">
        <v>46022</v>
      </c>
      <c r="G109" s="786">
        <v>0</v>
      </c>
      <c r="H109" s="787">
        <v>0</v>
      </c>
      <c r="I109" s="787">
        <v>0</v>
      </c>
      <c r="J109" s="1294">
        <v>0</v>
      </c>
      <c r="K109" s="632"/>
      <c r="L109" s="632"/>
      <c r="M109" s="632"/>
      <c r="N109" s="632"/>
      <c r="O109" s="632"/>
      <c r="P109" s="632"/>
      <c r="Q109" s="632"/>
      <c r="R109" s="632"/>
    </row>
    <row r="110" spans="1:18">
      <c r="A110" s="650">
        <v>109</v>
      </c>
      <c r="B110" s="672" t="s">
        <v>1340</v>
      </c>
      <c r="C110" s="673" t="s">
        <v>190</v>
      </c>
      <c r="D110" s="792" t="s">
        <v>1378</v>
      </c>
      <c r="E110" s="777">
        <v>2025</v>
      </c>
      <c r="F110" s="778">
        <v>46022</v>
      </c>
      <c r="G110" s="786">
        <v>1254272</v>
      </c>
      <c r="H110" s="787">
        <v>1770138</v>
      </c>
      <c r="I110" s="787">
        <v>-515866</v>
      </c>
      <c r="J110" s="1294">
        <v>-0.29142699608731071</v>
      </c>
      <c r="K110" s="632"/>
      <c r="L110" s="632"/>
      <c r="M110" s="632"/>
      <c r="N110" s="632"/>
      <c r="O110" s="632"/>
      <c r="P110" s="632"/>
      <c r="Q110" s="632"/>
      <c r="R110" s="632"/>
    </row>
    <row r="111" spans="1:18">
      <c r="A111" s="650">
        <v>110</v>
      </c>
      <c r="B111" s="672"/>
      <c r="C111" s="673" t="s">
        <v>1393</v>
      </c>
      <c r="D111" s="792" t="s">
        <v>11861</v>
      </c>
      <c r="E111" s="777">
        <v>2025</v>
      </c>
      <c r="F111" s="778">
        <v>46022</v>
      </c>
      <c r="G111" s="788">
        <v>1184699.75</v>
      </c>
      <c r="H111" s="789">
        <v>1574499.59</v>
      </c>
      <c r="I111" s="789">
        <v>-389799.84000000008</v>
      </c>
      <c r="J111" s="1294">
        <v>-0.2475706201993994</v>
      </c>
      <c r="K111" s="632"/>
      <c r="L111" s="632"/>
      <c r="M111" s="632"/>
      <c r="N111" s="632"/>
      <c r="O111" s="632"/>
      <c r="P111" s="632"/>
      <c r="Q111" s="632"/>
      <c r="R111" s="632"/>
    </row>
    <row r="112" spans="1:18">
      <c r="A112" s="650">
        <v>111</v>
      </c>
      <c r="B112" s="672" t="s">
        <v>1340</v>
      </c>
      <c r="C112" s="673" t="s">
        <v>191</v>
      </c>
      <c r="D112" s="792" t="s">
        <v>1397</v>
      </c>
      <c r="E112" s="777">
        <v>2025</v>
      </c>
      <c r="F112" s="778">
        <v>46022</v>
      </c>
      <c r="G112" s="786">
        <v>0</v>
      </c>
      <c r="H112" s="787">
        <v>0</v>
      </c>
      <c r="I112" s="787">
        <v>0</v>
      </c>
      <c r="J112" s="1294">
        <v>0</v>
      </c>
      <c r="K112" s="632"/>
      <c r="L112" s="632"/>
      <c r="M112" s="632"/>
      <c r="N112" s="632"/>
      <c r="O112" s="632"/>
      <c r="P112" s="632"/>
      <c r="Q112" s="632"/>
      <c r="R112" s="632"/>
    </row>
    <row r="113" spans="1:18">
      <c r="A113" s="650">
        <v>112</v>
      </c>
      <c r="B113" s="672" t="s">
        <v>1340</v>
      </c>
      <c r="C113" s="673" t="s">
        <v>192</v>
      </c>
      <c r="D113" s="792" t="s">
        <v>1401</v>
      </c>
      <c r="E113" s="777">
        <v>2025</v>
      </c>
      <c r="F113" s="778">
        <v>46022</v>
      </c>
      <c r="G113" s="786">
        <v>1184699.75</v>
      </c>
      <c r="H113" s="787">
        <v>1574499.59</v>
      </c>
      <c r="I113" s="787">
        <v>-389799.84000000008</v>
      </c>
      <c r="J113" s="1294">
        <v>-0.2475706201993994</v>
      </c>
      <c r="K113" s="632"/>
      <c r="L113" s="632"/>
      <c r="M113" s="632"/>
      <c r="N113" s="632"/>
      <c r="O113" s="632"/>
      <c r="P113" s="632"/>
      <c r="Q113" s="632"/>
      <c r="R113" s="632"/>
    </row>
    <row r="114" spans="1:18">
      <c r="A114" s="650">
        <v>113</v>
      </c>
      <c r="B114" s="672" t="s">
        <v>1340</v>
      </c>
      <c r="C114" s="673" t="s">
        <v>193</v>
      </c>
      <c r="D114" s="792" t="s">
        <v>11862</v>
      </c>
      <c r="E114" s="777">
        <v>2025</v>
      </c>
      <c r="F114" s="778">
        <v>46022</v>
      </c>
      <c r="G114" s="786">
        <v>0</v>
      </c>
      <c r="H114" s="787">
        <v>0</v>
      </c>
      <c r="I114" s="787">
        <v>0</v>
      </c>
      <c r="J114" s="1294">
        <v>0</v>
      </c>
      <c r="K114" s="632"/>
      <c r="L114" s="632"/>
      <c r="M114" s="632"/>
      <c r="N114" s="632"/>
      <c r="O114" s="632"/>
      <c r="P114" s="632"/>
      <c r="Q114" s="632"/>
      <c r="R114" s="632"/>
    </row>
    <row r="115" spans="1:18">
      <c r="A115" s="650">
        <v>114</v>
      </c>
      <c r="B115" s="672" t="s">
        <v>1340</v>
      </c>
      <c r="C115" s="673" t="s">
        <v>194</v>
      </c>
      <c r="D115" s="792" t="s">
        <v>1410</v>
      </c>
      <c r="E115" s="777">
        <v>2025</v>
      </c>
      <c r="F115" s="778">
        <v>46022</v>
      </c>
      <c r="G115" s="786">
        <v>0</v>
      </c>
      <c r="H115" s="787">
        <v>0</v>
      </c>
      <c r="I115" s="787">
        <v>0</v>
      </c>
      <c r="J115" s="1294">
        <v>0</v>
      </c>
      <c r="K115" s="632"/>
      <c r="L115" s="632"/>
      <c r="M115" s="632"/>
      <c r="N115" s="632"/>
      <c r="O115" s="632"/>
      <c r="P115" s="632"/>
      <c r="Q115" s="632"/>
      <c r="R115" s="632"/>
    </row>
    <row r="116" spans="1:18">
      <c r="A116" s="650">
        <v>115</v>
      </c>
      <c r="B116" s="672"/>
      <c r="C116" s="673" t="s">
        <v>195</v>
      </c>
      <c r="D116" s="792" t="s">
        <v>1413</v>
      </c>
      <c r="E116" s="777">
        <v>2025</v>
      </c>
      <c r="F116" s="778">
        <v>46022</v>
      </c>
      <c r="G116" s="786">
        <v>5725.86</v>
      </c>
      <c r="H116" s="787">
        <v>5723.86</v>
      </c>
      <c r="I116" s="787">
        <v>2</v>
      </c>
      <c r="J116" s="1294">
        <v>3.4941455591157018E-4</v>
      </c>
      <c r="K116" s="632"/>
      <c r="L116" s="632"/>
      <c r="M116" s="632"/>
      <c r="N116" s="632"/>
      <c r="O116" s="632"/>
      <c r="P116" s="632"/>
      <c r="Q116" s="632"/>
      <c r="R116" s="632"/>
    </row>
    <row r="117" spans="1:18">
      <c r="A117" s="650">
        <v>116</v>
      </c>
      <c r="B117" s="651"/>
      <c r="C117" s="662" t="s">
        <v>11863</v>
      </c>
      <c r="D117" s="783" t="s">
        <v>11864</v>
      </c>
      <c r="E117" s="777">
        <v>2025</v>
      </c>
      <c r="F117" s="778">
        <v>46022</v>
      </c>
      <c r="G117" s="788">
        <v>136395346.10999998</v>
      </c>
      <c r="H117" s="789">
        <v>120984388.96000001</v>
      </c>
      <c r="I117" s="789">
        <v>15410957.149999976</v>
      </c>
      <c r="J117" s="1294">
        <v>0.12737971636237436</v>
      </c>
      <c r="K117" s="632"/>
      <c r="L117" s="632"/>
      <c r="M117" s="632"/>
      <c r="N117" s="632"/>
      <c r="O117" s="632"/>
      <c r="P117" s="632"/>
      <c r="Q117" s="632"/>
      <c r="R117" s="632"/>
    </row>
    <row r="118" spans="1:18">
      <c r="A118" s="650">
        <v>117</v>
      </c>
      <c r="B118" s="672"/>
      <c r="C118" s="673" t="s">
        <v>1418</v>
      </c>
      <c r="D118" s="792" t="s">
        <v>11865</v>
      </c>
      <c r="E118" s="777">
        <v>2025</v>
      </c>
      <c r="F118" s="778">
        <v>46022</v>
      </c>
      <c r="G118" s="780">
        <v>101975308.78999999</v>
      </c>
      <c r="H118" s="781">
        <v>81816058.459999993</v>
      </c>
      <c r="I118" s="781">
        <v>20159250.329999998</v>
      </c>
      <c r="J118" s="1294">
        <v>0.24639723190595755</v>
      </c>
      <c r="K118" s="632"/>
      <c r="L118" s="632"/>
      <c r="M118" s="632"/>
      <c r="N118" s="632"/>
      <c r="O118" s="632"/>
      <c r="P118" s="632"/>
      <c r="Q118" s="632"/>
      <c r="R118" s="632"/>
    </row>
    <row r="119" spans="1:18">
      <c r="A119" s="650">
        <v>118</v>
      </c>
      <c r="B119" s="672" t="s">
        <v>1422</v>
      </c>
      <c r="C119" s="673" t="s">
        <v>196</v>
      </c>
      <c r="D119" s="792" t="s">
        <v>1423</v>
      </c>
      <c r="E119" s="777">
        <v>2025</v>
      </c>
      <c r="F119" s="778">
        <v>46022</v>
      </c>
      <c r="G119" s="794">
        <v>81690668.149999991</v>
      </c>
      <c r="H119" s="787">
        <v>60763028.899999991</v>
      </c>
      <c r="I119" s="787">
        <v>20927639.25</v>
      </c>
      <c r="J119" s="1294">
        <v>0.34441402327789494</v>
      </c>
      <c r="K119" s="632"/>
      <c r="L119" s="632"/>
      <c r="M119" s="632"/>
      <c r="N119" s="632"/>
      <c r="O119" s="632"/>
      <c r="P119" s="632"/>
      <c r="Q119" s="632"/>
      <c r="R119" s="632"/>
    </row>
    <row r="120" spans="1:18">
      <c r="A120" s="650">
        <v>119</v>
      </c>
      <c r="B120" s="672" t="s">
        <v>1519</v>
      </c>
      <c r="C120" s="673" t="s">
        <v>197</v>
      </c>
      <c r="D120" s="792" t="s">
        <v>11866</v>
      </c>
      <c r="E120" s="777">
        <v>2025</v>
      </c>
      <c r="F120" s="778">
        <v>46022</v>
      </c>
      <c r="G120" s="794">
        <v>0</v>
      </c>
      <c r="H120" s="787">
        <v>0</v>
      </c>
      <c r="I120" s="787">
        <v>0</v>
      </c>
      <c r="J120" s="1294">
        <v>0</v>
      </c>
      <c r="K120" s="632"/>
      <c r="L120" s="632"/>
      <c r="M120" s="632"/>
      <c r="N120" s="632"/>
      <c r="O120" s="632"/>
      <c r="P120" s="632"/>
      <c r="Q120" s="632"/>
      <c r="R120" s="632"/>
    </row>
    <row r="121" spans="1:18">
      <c r="A121" s="650">
        <v>120</v>
      </c>
      <c r="B121" s="672" t="s">
        <v>1422</v>
      </c>
      <c r="C121" s="673" t="s">
        <v>198</v>
      </c>
      <c r="D121" s="792" t="s">
        <v>11867</v>
      </c>
      <c r="E121" s="777">
        <v>2025</v>
      </c>
      <c r="F121" s="778">
        <v>46022</v>
      </c>
      <c r="G121" s="794">
        <v>0</v>
      </c>
      <c r="H121" s="787">
        <v>0</v>
      </c>
      <c r="I121" s="787">
        <v>0</v>
      </c>
      <c r="J121" s="1294">
        <v>0</v>
      </c>
      <c r="K121" s="632"/>
      <c r="L121" s="632"/>
      <c r="M121" s="632"/>
      <c r="N121" s="632"/>
      <c r="O121" s="632"/>
      <c r="P121" s="632"/>
      <c r="Q121" s="632"/>
      <c r="R121" s="632"/>
    </row>
    <row r="122" spans="1:18">
      <c r="A122" s="650">
        <v>121</v>
      </c>
      <c r="B122" s="672" t="s">
        <v>1422</v>
      </c>
      <c r="C122" s="673" t="s">
        <v>199</v>
      </c>
      <c r="D122" s="792" t="s">
        <v>1526</v>
      </c>
      <c r="E122" s="777">
        <v>2025</v>
      </c>
      <c r="F122" s="778">
        <v>46022</v>
      </c>
      <c r="G122" s="794">
        <v>0</v>
      </c>
      <c r="H122" s="787">
        <v>0</v>
      </c>
      <c r="I122" s="787">
        <v>0</v>
      </c>
      <c r="J122" s="1294">
        <v>0</v>
      </c>
      <c r="K122" s="632"/>
      <c r="L122" s="632"/>
      <c r="M122" s="632"/>
      <c r="N122" s="632"/>
      <c r="O122" s="632"/>
      <c r="P122" s="632"/>
      <c r="Q122" s="632"/>
      <c r="R122" s="632"/>
    </row>
    <row r="123" spans="1:18">
      <c r="A123" s="650">
        <v>122</v>
      </c>
      <c r="B123" s="672" t="s">
        <v>1422</v>
      </c>
      <c r="C123" s="673" t="s">
        <v>200</v>
      </c>
      <c r="D123" s="792" t="s">
        <v>11868</v>
      </c>
      <c r="E123" s="777">
        <v>2025</v>
      </c>
      <c r="F123" s="778">
        <v>46022</v>
      </c>
      <c r="G123" s="786">
        <v>0</v>
      </c>
      <c r="H123" s="787">
        <v>0</v>
      </c>
      <c r="I123" s="787">
        <v>0</v>
      </c>
      <c r="J123" s="1294">
        <v>0</v>
      </c>
      <c r="K123" s="632"/>
      <c r="L123" s="632"/>
      <c r="M123" s="632"/>
      <c r="N123" s="632"/>
      <c r="O123" s="632"/>
      <c r="P123" s="632"/>
      <c r="Q123" s="632"/>
      <c r="R123" s="632"/>
    </row>
    <row r="124" spans="1:18">
      <c r="A124" s="650">
        <v>123</v>
      </c>
      <c r="B124" s="672" t="s">
        <v>1422</v>
      </c>
      <c r="C124" s="673" t="s">
        <v>201</v>
      </c>
      <c r="D124" s="792" t="s">
        <v>11869</v>
      </c>
      <c r="E124" s="777">
        <v>2025</v>
      </c>
      <c r="F124" s="778">
        <v>46022</v>
      </c>
      <c r="G124" s="786">
        <v>0</v>
      </c>
      <c r="H124" s="787">
        <v>0</v>
      </c>
      <c r="I124" s="787">
        <v>0</v>
      </c>
      <c r="J124" s="1294">
        <v>0</v>
      </c>
      <c r="K124" s="632"/>
      <c r="L124" s="632"/>
      <c r="M124" s="632"/>
      <c r="N124" s="632"/>
      <c r="O124" s="632"/>
      <c r="P124" s="632"/>
      <c r="Q124" s="632"/>
      <c r="R124" s="632"/>
    </row>
    <row r="125" spans="1:18">
      <c r="A125" s="650">
        <v>124</v>
      </c>
      <c r="B125" s="672" t="s">
        <v>1422</v>
      </c>
      <c r="C125" s="673" t="s">
        <v>202</v>
      </c>
      <c r="D125" s="792" t="s">
        <v>1536</v>
      </c>
      <c r="E125" s="777">
        <v>2025</v>
      </c>
      <c r="F125" s="778">
        <v>46022</v>
      </c>
      <c r="G125" s="786">
        <v>17840717.5</v>
      </c>
      <c r="H125" s="787">
        <v>20454996.129999999</v>
      </c>
      <c r="I125" s="787">
        <v>-2614278.629999999</v>
      </c>
      <c r="J125" s="1294">
        <v>-0.1278063615062634</v>
      </c>
      <c r="K125" s="632"/>
      <c r="L125" s="632"/>
      <c r="M125" s="632"/>
      <c r="N125" s="632"/>
      <c r="O125" s="632"/>
      <c r="P125" s="632"/>
      <c r="Q125" s="632"/>
      <c r="R125" s="632"/>
    </row>
    <row r="126" spans="1:18">
      <c r="A126" s="650">
        <v>125</v>
      </c>
      <c r="B126" s="672" t="s">
        <v>1422</v>
      </c>
      <c r="C126" s="673" t="s">
        <v>1549</v>
      </c>
      <c r="D126" s="792" t="s">
        <v>1550</v>
      </c>
      <c r="E126" s="777">
        <v>2025</v>
      </c>
      <c r="F126" s="778">
        <v>46022</v>
      </c>
      <c r="G126" s="786">
        <v>0</v>
      </c>
      <c r="H126" s="787">
        <v>46636.29</v>
      </c>
      <c r="I126" s="787">
        <v>-46636.29</v>
      </c>
      <c r="J126" s="1294">
        <v>-1</v>
      </c>
      <c r="K126" s="632"/>
      <c r="L126" s="632"/>
      <c r="M126" s="632"/>
      <c r="N126" s="632"/>
      <c r="O126" s="632"/>
      <c r="P126" s="632"/>
      <c r="Q126" s="632"/>
      <c r="R126" s="632"/>
    </row>
    <row r="127" spans="1:18">
      <c r="A127" s="650">
        <v>126</v>
      </c>
      <c r="B127" s="672" t="s">
        <v>1422</v>
      </c>
      <c r="C127" s="673" t="s">
        <v>203</v>
      </c>
      <c r="D127" s="792" t="s">
        <v>1554</v>
      </c>
      <c r="E127" s="777">
        <v>2025</v>
      </c>
      <c r="F127" s="778">
        <v>46022</v>
      </c>
      <c r="G127" s="786">
        <v>591397.14</v>
      </c>
      <c r="H127" s="787">
        <v>551397.14</v>
      </c>
      <c r="I127" s="787">
        <v>40000</v>
      </c>
      <c r="J127" s="1294">
        <v>7.2542995054345041E-2</v>
      </c>
      <c r="K127" s="632"/>
      <c r="L127" s="632"/>
      <c r="M127" s="632"/>
      <c r="N127" s="632"/>
      <c r="O127" s="632"/>
      <c r="P127" s="632"/>
      <c r="Q127" s="632"/>
      <c r="R127" s="632"/>
    </row>
    <row r="128" spans="1:18">
      <c r="A128" s="650">
        <v>127</v>
      </c>
      <c r="B128" s="672" t="s">
        <v>1422</v>
      </c>
      <c r="C128" s="673" t="s">
        <v>1650</v>
      </c>
      <c r="D128" s="792" t="s">
        <v>1651</v>
      </c>
      <c r="E128" s="777">
        <v>2025</v>
      </c>
      <c r="F128" s="778">
        <v>46022</v>
      </c>
      <c r="G128" s="786">
        <v>1852526</v>
      </c>
      <c r="H128" s="787">
        <v>0</v>
      </c>
      <c r="I128" s="787">
        <v>1852526</v>
      </c>
      <c r="J128" s="1294">
        <v>1</v>
      </c>
      <c r="K128" s="632"/>
      <c r="L128" s="632"/>
      <c r="M128" s="632"/>
      <c r="N128" s="632"/>
      <c r="O128" s="632"/>
      <c r="P128" s="632"/>
      <c r="Q128" s="632"/>
      <c r="R128" s="632"/>
    </row>
    <row r="129" spans="1:18">
      <c r="A129" s="650">
        <v>128</v>
      </c>
      <c r="B129" s="680"/>
      <c r="C129" s="664" t="s">
        <v>1674</v>
      </c>
      <c r="D129" s="784" t="s">
        <v>1675</v>
      </c>
      <c r="E129" s="777">
        <v>2025</v>
      </c>
      <c r="F129" s="778">
        <v>46022</v>
      </c>
      <c r="G129" s="788">
        <v>34420037.32</v>
      </c>
      <c r="H129" s="789">
        <v>39168330.500000007</v>
      </c>
      <c r="I129" s="789">
        <v>-4748293.1800000072</v>
      </c>
      <c r="J129" s="1294">
        <v>-0.12122786749871829</v>
      </c>
      <c r="K129" s="632"/>
      <c r="L129" s="632"/>
      <c r="M129" s="632"/>
      <c r="N129" s="632"/>
      <c r="O129" s="632"/>
      <c r="P129" s="632"/>
      <c r="Q129" s="632"/>
      <c r="R129" s="632"/>
    </row>
    <row r="130" spans="1:18">
      <c r="A130" s="650">
        <v>129</v>
      </c>
      <c r="B130" s="651" t="s">
        <v>1422</v>
      </c>
      <c r="C130" s="664" t="s">
        <v>204</v>
      </c>
      <c r="D130" s="784" t="s">
        <v>11870</v>
      </c>
      <c r="E130" s="777">
        <v>2025</v>
      </c>
      <c r="F130" s="778">
        <v>46022</v>
      </c>
      <c r="G130" s="786">
        <v>34420037.32</v>
      </c>
      <c r="H130" s="787">
        <v>39168330.500000007</v>
      </c>
      <c r="I130" s="787">
        <v>-4748293.1800000072</v>
      </c>
      <c r="J130" s="1294">
        <v>-0.12122786749871829</v>
      </c>
      <c r="K130" s="632"/>
      <c r="L130" s="632"/>
      <c r="M130" s="632"/>
      <c r="N130" s="632"/>
      <c r="O130" s="632"/>
      <c r="P130" s="632"/>
      <c r="Q130" s="632"/>
      <c r="R130" s="632"/>
    </row>
    <row r="131" spans="1:18">
      <c r="A131" s="650">
        <v>130</v>
      </c>
      <c r="B131" s="651" t="s">
        <v>1422</v>
      </c>
      <c r="C131" s="664" t="s">
        <v>205</v>
      </c>
      <c r="D131" s="784" t="s">
        <v>11871</v>
      </c>
      <c r="E131" s="777">
        <v>2025</v>
      </c>
      <c r="F131" s="778">
        <v>46022</v>
      </c>
      <c r="G131" s="786">
        <v>0</v>
      </c>
      <c r="H131" s="787">
        <v>0</v>
      </c>
      <c r="I131" s="787">
        <v>0</v>
      </c>
      <c r="J131" s="1294">
        <v>0</v>
      </c>
      <c r="K131" s="632"/>
      <c r="L131" s="632"/>
      <c r="M131" s="632"/>
      <c r="N131" s="632"/>
      <c r="O131" s="632"/>
      <c r="P131" s="632"/>
      <c r="Q131" s="632"/>
      <c r="R131" s="632"/>
    </row>
    <row r="132" spans="1:18">
      <c r="A132" s="650">
        <v>131</v>
      </c>
      <c r="B132" s="651" t="s">
        <v>1422</v>
      </c>
      <c r="C132" s="664" t="s">
        <v>206</v>
      </c>
      <c r="D132" s="784" t="s">
        <v>1752</v>
      </c>
      <c r="E132" s="777">
        <v>2025</v>
      </c>
      <c r="F132" s="778">
        <v>46022</v>
      </c>
      <c r="G132" s="786">
        <v>0</v>
      </c>
      <c r="H132" s="787">
        <v>0</v>
      </c>
      <c r="I132" s="787">
        <v>0</v>
      </c>
      <c r="J132" s="1294">
        <v>0</v>
      </c>
      <c r="K132" s="632"/>
      <c r="L132" s="632"/>
      <c r="M132" s="632"/>
      <c r="N132" s="632"/>
      <c r="O132" s="632"/>
      <c r="P132" s="632"/>
      <c r="Q132" s="632"/>
      <c r="R132" s="632"/>
    </row>
    <row r="133" spans="1:18">
      <c r="A133" s="650">
        <v>132</v>
      </c>
      <c r="B133" s="672" t="s">
        <v>1422</v>
      </c>
      <c r="C133" s="673" t="s">
        <v>1755</v>
      </c>
      <c r="D133" s="792" t="s">
        <v>1756</v>
      </c>
      <c r="E133" s="777">
        <v>2025</v>
      </c>
      <c r="F133" s="778">
        <v>46022</v>
      </c>
      <c r="G133" s="786">
        <v>0</v>
      </c>
      <c r="H133" s="787">
        <v>0</v>
      </c>
      <c r="I133" s="787">
        <v>0</v>
      </c>
      <c r="J133" s="1294">
        <v>0</v>
      </c>
      <c r="K133" s="632"/>
      <c r="L133" s="632"/>
      <c r="M133" s="632"/>
      <c r="N133" s="632"/>
      <c r="O133" s="632"/>
      <c r="P133" s="632"/>
      <c r="Q133" s="632"/>
      <c r="R133" s="632"/>
    </row>
    <row r="134" spans="1:18">
      <c r="A134" s="650">
        <v>133</v>
      </c>
      <c r="B134" s="672" t="s">
        <v>1422</v>
      </c>
      <c r="C134" s="673" t="s">
        <v>207</v>
      </c>
      <c r="D134" s="792" t="s">
        <v>1760</v>
      </c>
      <c r="E134" s="777">
        <v>2025</v>
      </c>
      <c r="F134" s="778">
        <v>46022</v>
      </c>
      <c r="G134" s="786">
        <v>0</v>
      </c>
      <c r="H134" s="787">
        <v>0</v>
      </c>
      <c r="I134" s="787">
        <v>0</v>
      </c>
      <c r="J134" s="1294">
        <v>0</v>
      </c>
      <c r="K134" s="632"/>
      <c r="L134" s="632"/>
      <c r="M134" s="632"/>
      <c r="N134" s="632"/>
      <c r="O134" s="632"/>
      <c r="P134" s="632"/>
      <c r="Q134" s="632"/>
      <c r="R134" s="632"/>
    </row>
    <row r="135" spans="1:18">
      <c r="A135" s="650">
        <v>134</v>
      </c>
      <c r="B135" s="672" t="s">
        <v>1422</v>
      </c>
      <c r="C135" s="673" t="s">
        <v>208</v>
      </c>
      <c r="D135" s="792" t="s">
        <v>11872</v>
      </c>
      <c r="E135" s="777">
        <v>2025</v>
      </c>
      <c r="F135" s="778">
        <v>46022</v>
      </c>
      <c r="G135" s="786">
        <v>0</v>
      </c>
      <c r="H135" s="787">
        <v>0</v>
      </c>
      <c r="I135" s="787">
        <v>0</v>
      </c>
      <c r="J135" s="1294">
        <v>0</v>
      </c>
      <c r="K135" s="632"/>
      <c r="L135" s="632"/>
      <c r="M135" s="632"/>
      <c r="N135" s="632"/>
      <c r="O135" s="632"/>
      <c r="P135" s="632"/>
      <c r="Q135" s="632"/>
      <c r="R135" s="632"/>
    </row>
    <row r="136" spans="1:18">
      <c r="A136" s="650">
        <v>135</v>
      </c>
      <c r="B136" s="651"/>
      <c r="C136" s="664" t="s">
        <v>1766</v>
      </c>
      <c r="D136" s="784" t="s">
        <v>1767</v>
      </c>
      <c r="E136" s="777">
        <v>2025</v>
      </c>
      <c r="F136" s="778">
        <v>46022</v>
      </c>
      <c r="G136" s="786">
        <v>0</v>
      </c>
      <c r="H136" s="787">
        <v>0</v>
      </c>
      <c r="I136" s="787">
        <v>0</v>
      </c>
      <c r="J136" s="1294">
        <v>0</v>
      </c>
      <c r="K136" s="632"/>
      <c r="L136" s="632"/>
      <c r="M136" s="632"/>
      <c r="N136" s="632"/>
      <c r="O136" s="632"/>
      <c r="P136" s="632"/>
      <c r="Q136" s="632"/>
      <c r="R136" s="632"/>
    </row>
    <row r="137" spans="1:18">
      <c r="A137" s="650">
        <v>136</v>
      </c>
      <c r="B137" s="651" t="s">
        <v>1422</v>
      </c>
      <c r="C137" s="664" t="s">
        <v>1771</v>
      </c>
      <c r="D137" s="784" t="s">
        <v>1772</v>
      </c>
      <c r="E137" s="777">
        <v>2025</v>
      </c>
      <c r="F137" s="778">
        <v>46022</v>
      </c>
      <c r="G137" s="786">
        <v>0</v>
      </c>
      <c r="H137" s="787">
        <v>0</v>
      </c>
      <c r="I137" s="787">
        <v>0</v>
      </c>
      <c r="J137" s="1294">
        <v>0</v>
      </c>
      <c r="K137" s="632"/>
      <c r="L137" s="632"/>
      <c r="M137" s="632"/>
      <c r="N137" s="632"/>
      <c r="O137" s="632"/>
      <c r="P137" s="632"/>
      <c r="Q137" s="632"/>
      <c r="R137" s="632"/>
    </row>
    <row r="138" spans="1:18">
      <c r="A138" s="650">
        <v>137</v>
      </c>
      <c r="B138" s="651"/>
      <c r="C138" s="662" t="s">
        <v>209</v>
      </c>
      <c r="D138" s="783" t="s">
        <v>1778</v>
      </c>
      <c r="E138" s="777">
        <v>2025</v>
      </c>
      <c r="F138" s="778">
        <v>46022</v>
      </c>
      <c r="G138" s="789">
        <v>4</v>
      </c>
      <c r="H138" s="789">
        <v>2102</v>
      </c>
      <c r="I138" s="789">
        <v>-2098</v>
      </c>
      <c r="J138" s="1294">
        <v>-0.99809705042816366</v>
      </c>
      <c r="K138" s="632"/>
      <c r="L138" s="632"/>
      <c r="M138" s="632"/>
      <c r="N138" s="632"/>
      <c r="O138" s="632"/>
      <c r="P138" s="632"/>
      <c r="Q138" s="632"/>
      <c r="R138" s="632"/>
    </row>
    <row r="139" spans="1:18">
      <c r="A139" s="650">
        <v>138</v>
      </c>
      <c r="B139" s="681"/>
      <c r="C139" s="662" t="s">
        <v>11873</v>
      </c>
      <c r="D139" s="783" t="s">
        <v>11874</v>
      </c>
      <c r="E139" s="777">
        <v>2025</v>
      </c>
      <c r="F139" s="778">
        <v>46022</v>
      </c>
      <c r="G139" s="788">
        <v>8647645.3200000003</v>
      </c>
      <c r="H139" s="789">
        <v>9565772.3399999999</v>
      </c>
      <c r="I139" s="789">
        <v>-918127.01999999955</v>
      </c>
      <c r="J139" s="1294">
        <v>-9.5980438104384114E-2</v>
      </c>
      <c r="K139" s="632"/>
      <c r="L139" s="632"/>
      <c r="M139" s="632"/>
      <c r="N139" s="632"/>
      <c r="O139" s="632"/>
      <c r="P139" s="632"/>
      <c r="Q139" s="632"/>
      <c r="R139" s="632"/>
    </row>
    <row r="140" spans="1:18">
      <c r="A140" s="650">
        <v>139</v>
      </c>
      <c r="B140" s="651"/>
      <c r="C140" s="664" t="s">
        <v>1785</v>
      </c>
      <c r="D140" s="784" t="s">
        <v>1786</v>
      </c>
      <c r="E140" s="777">
        <v>2025</v>
      </c>
      <c r="F140" s="778">
        <v>46022</v>
      </c>
      <c r="G140" s="788">
        <v>3305141.7799999993</v>
      </c>
      <c r="H140" s="795">
        <v>3100392.4000000004</v>
      </c>
      <c r="I140" s="795">
        <v>204749.37999999896</v>
      </c>
      <c r="J140" s="1294">
        <v>6.6039827732773088E-2</v>
      </c>
      <c r="K140" s="632"/>
      <c r="L140" s="632"/>
      <c r="M140" s="632"/>
      <c r="N140" s="632"/>
      <c r="O140" s="632"/>
      <c r="P140" s="632"/>
      <c r="Q140" s="632"/>
      <c r="R140" s="632"/>
    </row>
    <row r="141" spans="1:18">
      <c r="A141" s="650">
        <v>140</v>
      </c>
      <c r="B141" s="651" t="s">
        <v>1519</v>
      </c>
      <c r="C141" s="664" t="s">
        <v>223</v>
      </c>
      <c r="D141" s="784" t="s">
        <v>11875</v>
      </c>
      <c r="E141" s="777">
        <v>2025</v>
      </c>
      <c r="F141" s="778">
        <v>46022</v>
      </c>
      <c r="G141" s="786">
        <v>0</v>
      </c>
      <c r="H141" s="787">
        <v>0</v>
      </c>
      <c r="I141" s="787">
        <v>0</v>
      </c>
      <c r="J141" s="1294">
        <v>0</v>
      </c>
      <c r="K141" s="632"/>
      <c r="L141" s="632"/>
      <c r="M141" s="632"/>
      <c r="N141" s="632"/>
      <c r="O141" s="632"/>
      <c r="P141" s="632"/>
      <c r="Q141" s="632"/>
      <c r="R141" s="632"/>
    </row>
    <row r="142" spans="1:18">
      <c r="A142" s="650">
        <v>141</v>
      </c>
      <c r="B142" s="682" t="s">
        <v>1519</v>
      </c>
      <c r="C142" s="673" t="s">
        <v>210</v>
      </c>
      <c r="D142" s="792" t="s">
        <v>1793</v>
      </c>
      <c r="E142" s="777">
        <v>2025</v>
      </c>
      <c r="F142" s="778">
        <v>46022</v>
      </c>
      <c r="G142" s="794">
        <v>0</v>
      </c>
      <c r="H142" s="787">
        <v>0</v>
      </c>
      <c r="I142" s="787">
        <v>0</v>
      </c>
      <c r="J142" s="1294">
        <v>0</v>
      </c>
      <c r="K142" s="632"/>
      <c r="L142" s="632"/>
      <c r="M142" s="632"/>
      <c r="N142" s="632"/>
      <c r="O142" s="632"/>
      <c r="P142" s="632"/>
      <c r="Q142" s="632"/>
      <c r="R142" s="632"/>
    </row>
    <row r="143" spans="1:18">
      <c r="A143" s="650">
        <v>142</v>
      </c>
      <c r="B143" s="682" t="s">
        <v>1519</v>
      </c>
      <c r="C143" s="673" t="s">
        <v>211</v>
      </c>
      <c r="D143" s="792" t="s">
        <v>1852</v>
      </c>
      <c r="E143" s="777">
        <v>2025</v>
      </c>
      <c r="F143" s="778">
        <v>46022</v>
      </c>
      <c r="G143" s="794">
        <v>3305141.7799999993</v>
      </c>
      <c r="H143" s="787">
        <v>3100392.4000000004</v>
      </c>
      <c r="I143" s="787">
        <v>204749.37999999896</v>
      </c>
      <c r="J143" s="1294">
        <v>6.6039827732773088E-2</v>
      </c>
      <c r="K143" s="632"/>
      <c r="L143" s="632"/>
      <c r="M143" s="632"/>
      <c r="N143" s="632"/>
      <c r="O143" s="632"/>
      <c r="P143" s="632"/>
      <c r="Q143" s="632"/>
      <c r="R143" s="632"/>
    </row>
    <row r="144" spans="1:18">
      <c r="A144" s="650">
        <v>143</v>
      </c>
      <c r="B144" s="672" t="s">
        <v>1422</v>
      </c>
      <c r="C144" s="673" t="s">
        <v>212</v>
      </c>
      <c r="D144" s="792" t="s">
        <v>1926</v>
      </c>
      <c r="E144" s="777">
        <v>2025</v>
      </c>
      <c r="F144" s="778">
        <v>46022</v>
      </c>
      <c r="G144" s="794">
        <v>0</v>
      </c>
      <c r="H144" s="787">
        <v>0</v>
      </c>
      <c r="I144" s="787">
        <v>0</v>
      </c>
      <c r="J144" s="1294">
        <v>0</v>
      </c>
      <c r="K144" s="632"/>
      <c r="L144" s="632"/>
      <c r="M144" s="632"/>
      <c r="N144" s="632"/>
      <c r="O144" s="632"/>
      <c r="P144" s="632"/>
      <c r="Q144" s="632"/>
      <c r="R144" s="632"/>
    </row>
    <row r="145" spans="1:18">
      <c r="A145" s="650">
        <v>144</v>
      </c>
      <c r="B145" s="672" t="s">
        <v>1422</v>
      </c>
      <c r="C145" s="673" t="s">
        <v>1928</v>
      </c>
      <c r="D145" s="792" t="s">
        <v>1929</v>
      </c>
      <c r="E145" s="777">
        <v>2025</v>
      </c>
      <c r="F145" s="778">
        <v>46022</v>
      </c>
      <c r="G145" s="786">
        <v>0</v>
      </c>
      <c r="H145" s="787">
        <v>0</v>
      </c>
      <c r="I145" s="787">
        <v>0</v>
      </c>
      <c r="J145" s="1294">
        <v>0</v>
      </c>
      <c r="K145" s="632"/>
      <c r="L145" s="632"/>
      <c r="M145" s="632"/>
      <c r="N145" s="632"/>
      <c r="O145" s="632"/>
      <c r="P145" s="632"/>
      <c r="Q145" s="632"/>
      <c r="R145" s="632"/>
    </row>
    <row r="146" spans="1:18">
      <c r="A146" s="650">
        <v>145</v>
      </c>
      <c r="B146" s="672" t="s">
        <v>1340</v>
      </c>
      <c r="C146" s="673" t="s">
        <v>213</v>
      </c>
      <c r="D146" s="792" t="s">
        <v>1933</v>
      </c>
      <c r="E146" s="777">
        <v>2025</v>
      </c>
      <c r="F146" s="778">
        <v>46022</v>
      </c>
      <c r="G146" s="794">
        <v>5117503.54</v>
      </c>
      <c r="H146" s="787">
        <v>6240379.9400000004</v>
      </c>
      <c r="I146" s="787">
        <v>-1122876.4000000004</v>
      </c>
      <c r="J146" s="1294">
        <v>-0.17993718504261461</v>
      </c>
      <c r="K146" s="632"/>
      <c r="L146" s="632"/>
      <c r="M146" s="632"/>
      <c r="N146" s="632"/>
      <c r="O146" s="632"/>
      <c r="P146" s="632"/>
      <c r="Q146" s="632"/>
      <c r="R146" s="632"/>
    </row>
    <row r="147" spans="1:18">
      <c r="A147" s="650">
        <v>146</v>
      </c>
      <c r="B147" s="672" t="s">
        <v>1519</v>
      </c>
      <c r="C147" s="673" t="s">
        <v>1938</v>
      </c>
      <c r="D147" s="796" t="s">
        <v>1939</v>
      </c>
      <c r="E147" s="777">
        <v>2025</v>
      </c>
      <c r="F147" s="778">
        <v>46022</v>
      </c>
      <c r="G147" s="794">
        <v>225000</v>
      </c>
      <c r="H147" s="787">
        <v>225000</v>
      </c>
      <c r="I147" s="787">
        <v>0</v>
      </c>
      <c r="J147" s="1294">
        <v>0</v>
      </c>
      <c r="K147" s="632"/>
      <c r="L147" s="632"/>
      <c r="M147" s="632"/>
      <c r="N147" s="632"/>
      <c r="O147" s="632"/>
      <c r="P147" s="632"/>
      <c r="Q147" s="632"/>
      <c r="R147" s="632"/>
    </row>
    <row r="148" spans="1:18">
      <c r="A148" s="650">
        <v>147</v>
      </c>
      <c r="B148" s="651"/>
      <c r="C148" s="662" t="s">
        <v>11876</v>
      </c>
      <c r="D148" s="783" t="s">
        <v>11877</v>
      </c>
      <c r="E148" s="777">
        <v>2025</v>
      </c>
      <c r="F148" s="778">
        <v>46022</v>
      </c>
      <c r="G148" s="780">
        <v>0</v>
      </c>
      <c r="H148" s="781">
        <v>0</v>
      </c>
      <c r="I148" s="781">
        <v>0</v>
      </c>
      <c r="J148" s="1294">
        <v>0</v>
      </c>
      <c r="K148" s="632"/>
      <c r="L148" s="632"/>
      <c r="M148" s="632"/>
      <c r="N148" s="632"/>
      <c r="O148" s="632"/>
      <c r="P148" s="632"/>
      <c r="Q148" s="632"/>
      <c r="R148" s="632"/>
    </row>
    <row r="149" spans="1:18">
      <c r="A149" s="650">
        <v>148</v>
      </c>
      <c r="B149" s="651"/>
      <c r="C149" s="664" t="s">
        <v>214</v>
      </c>
      <c r="D149" s="784" t="s">
        <v>1944</v>
      </c>
      <c r="E149" s="777">
        <v>2025</v>
      </c>
      <c r="F149" s="778">
        <v>46022</v>
      </c>
      <c r="G149" s="786">
        <v>0</v>
      </c>
      <c r="H149" s="787">
        <v>0</v>
      </c>
      <c r="I149" s="787">
        <v>0</v>
      </c>
      <c r="J149" s="1294">
        <v>0</v>
      </c>
      <c r="K149" s="632"/>
      <c r="L149" s="632"/>
      <c r="M149" s="632"/>
      <c r="N149" s="632"/>
      <c r="O149" s="632"/>
      <c r="P149" s="632"/>
      <c r="Q149" s="632"/>
      <c r="R149" s="632"/>
    </row>
    <row r="150" spans="1:18">
      <c r="A150" s="650">
        <v>149</v>
      </c>
      <c r="B150" s="651"/>
      <c r="C150" s="664" t="s">
        <v>215</v>
      </c>
      <c r="D150" s="784" t="s">
        <v>1951</v>
      </c>
      <c r="E150" s="777">
        <v>2025</v>
      </c>
      <c r="F150" s="778">
        <v>46022</v>
      </c>
      <c r="G150" s="786">
        <v>0</v>
      </c>
      <c r="H150" s="787">
        <v>0</v>
      </c>
      <c r="I150" s="787">
        <v>0</v>
      </c>
      <c r="J150" s="1294">
        <v>0</v>
      </c>
      <c r="K150" s="632"/>
      <c r="L150" s="632"/>
      <c r="M150" s="632"/>
      <c r="N150" s="632"/>
      <c r="O150" s="632"/>
      <c r="P150" s="632"/>
      <c r="Q150" s="632"/>
      <c r="R150" s="632"/>
    </row>
    <row r="151" spans="1:18">
      <c r="A151" s="650">
        <v>150</v>
      </c>
      <c r="B151" s="651"/>
      <c r="C151" s="664" t="s">
        <v>216</v>
      </c>
      <c r="D151" s="784" t="s">
        <v>1955</v>
      </c>
      <c r="E151" s="777">
        <v>2025</v>
      </c>
      <c r="F151" s="778">
        <v>46022</v>
      </c>
      <c r="G151" s="786">
        <v>0</v>
      </c>
      <c r="H151" s="787">
        <v>0</v>
      </c>
      <c r="I151" s="787">
        <v>0</v>
      </c>
      <c r="J151" s="1294">
        <v>0</v>
      </c>
      <c r="K151" s="632"/>
      <c r="L151" s="632"/>
      <c r="M151" s="632"/>
      <c r="N151" s="632"/>
      <c r="O151" s="632"/>
      <c r="P151" s="632"/>
      <c r="Q151" s="632"/>
      <c r="R151" s="632"/>
    </row>
    <row r="152" spans="1:18">
      <c r="A152" s="650">
        <v>151</v>
      </c>
      <c r="B152" s="651"/>
      <c r="C152" s="662" t="s">
        <v>217</v>
      </c>
      <c r="D152" s="783" t="s">
        <v>1962</v>
      </c>
      <c r="E152" s="777">
        <v>2025</v>
      </c>
      <c r="F152" s="778">
        <v>46022</v>
      </c>
      <c r="G152" s="794">
        <v>1214406.6000000001</v>
      </c>
      <c r="H152" s="789">
        <v>1208595.1099999999</v>
      </c>
      <c r="I152" s="789">
        <v>5811.4900000002235</v>
      </c>
      <c r="J152" s="1294">
        <v>4.808467245908536E-3</v>
      </c>
      <c r="K152" s="632"/>
      <c r="L152" s="632"/>
      <c r="M152" s="632"/>
      <c r="N152" s="632"/>
      <c r="O152" s="632"/>
      <c r="P152" s="632"/>
      <c r="Q152" s="632"/>
      <c r="R152" s="632"/>
    </row>
    <row r="153" spans="1:18">
      <c r="A153" s="650">
        <v>152</v>
      </c>
      <c r="B153" s="651"/>
      <c r="C153" s="662" t="s">
        <v>11878</v>
      </c>
      <c r="D153" s="783" t="s">
        <v>11879</v>
      </c>
      <c r="E153" s="777">
        <v>2025</v>
      </c>
      <c r="F153" s="778">
        <v>46022</v>
      </c>
      <c r="G153" s="788">
        <v>30950126.509999998</v>
      </c>
      <c r="H153" s="789">
        <v>34408394.939999998</v>
      </c>
      <c r="I153" s="789">
        <v>-3458268.4299999997</v>
      </c>
      <c r="J153" s="1294">
        <v>-0.10050653150286121</v>
      </c>
      <c r="K153" s="632"/>
      <c r="L153" s="632"/>
      <c r="M153" s="632"/>
      <c r="N153" s="632"/>
      <c r="O153" s="632"/>
      <c r="P153" s="632"/>
      <c r="Q153" s="632"/>
      <c r="R153" s="632"/>
    </row>
    <row r="154" spans="1:18">
      <c r="A154" s="650">
        <v>153</v>
      </c>
      <c r="B154" s="651"/>
      <c r="C154" s="664" t="s">
        <v>218</v>
      </c>
      <c r="D154" s="784" t="s">
        <v>2010</v>
      </c>
      <c r="E154" s="777">
        <v>2025</v>
      </c>
      <c r="F154" s="778">
        <v>46022</v>
      </c>
      <c r="G154" s="786">
        <v>5508921.9400000013</v>
      </c>
      <c r="H154" s="787">
        <v>5198796.72</v>
      </c>
      <c r="I154" s="787">
        <v>310125.2200000016</v>
      </c>
      <c r="J154" s="1294">
        <v>5.9653269151097262E-2</v>
      </c>
      <c r="K154" s="632"/>
      <c r="L154" s="632"/>
      <c r="M154" s="632"/>
      <c r="N154" s="632"/>
      <c r="O154" s="632"/>
      <c r="P154" s="632"/>
      <c r="Q154" s="632"/>
      <c r="R154" s="632"/>
    </row>
    <row r="155" spans="1:18">
      <c r="A155" s="650">
        <v>154</v>
      </c>
      <c r="B155" s="651"/>
      <c r="C155" s="664" t="s">
        <v>219</v>
      </c>
      <c r="D155" s="784" t="s">
        <v>2053</v>
      </c>
      <c r="E155" s="777">
        <v>2025</v>
      </c>
      <c r="F155" s="778">
        <v>46022</v>
      </c>
      <c r="G155" s="786">
        <v>0</v>
      </c>
      <c r="H155" s="787">
        <v>0</v>
      </c>
      <c r="I155" s="787">
        <v>0</v>
      </c>
      <c r="J155" s="1294">
        <v>0</v>
      </c>
      <c r="K155" s="632"/>
      <c r="L155" s="632"/>
      <c r="M155" s="632"/>
      <c r="N155" s="632"/>
      <c r="O155" s="632"/>
      <c r="P155" s="632"/>
      <c r="Q155" s="632"/>
      <c r="R155" s="632"/>
    </row>
    <row r="156" spans="1:18">
      <c r="A156" s="650">
        <v>155</v>
      </c>
      <c r="B156" s="651"/>
      <c r="C156" s="664" t="s">
        <v>220</v>
      </c>
      <c r="D156" s="784" t="s">
        <v>2057</v>
      </c>
      <c r="E156" s="777">
        <v>2025</v>
      </c>
      <c r="F156" s="778">
        <v>46022</v>
      </c>
      <c r="G156" s="786">
        <v>21773558.52</v>
      </c>
      <c r="H156" s="787">
        <v>23461209.879999999</v>
      </c>
      <c r="I156" s="787">
        <v>-1687651.3599999994</v>
      </c>
      <c r="J156" s="1294">
        <v>-7.1933688357592895E-2</v>
      </c>
      <c r="K156" s="632"/>
      <c r="L156" s="632"/>
      <c r="M156" s="632"/>
      <c r="N156" s="632"/>
      <c r="O156" s="632"/>
      <c r="P156" s="632"/>
      <c r="Q156" s="632"/>
      <c r="R156" s="632"/>
    </row>
    <row r="157" spans="1:18">
      <c r="A157" s="650">
        <v>156</v>
      </c>
      <c r="B157" s="651"/>
      <c r="C157" s="664" t="s">
        <v>221</v>
      </c>
      <c r="D157" s="784" t="s">
        <v>2071</v>
      </c>
      <c r="E157" s="777">
        <v>2025</v>
      </c>
      <c r="F157" s="778">
        <v>46022</v>
      </c>
      <c r="G157" s="786">
        <v>346083.31</v>
      </c>
      <c r="H157" s="787">
        <v>354690.59</v>
      </c>
      <c r="I157" s="787">
        <v>-8607.2800000000279</v>
      </c>
      <c r="J157" s="1294">
        <v>-2.4267009733751402E-2</v>
      </c>
      <c r="K157" s="632"/>
      <c r="L157" s="632"/>
      <c r="M157" s="632"/>
      <c r="N157" s="632"/>
      <c r="O157" s="632"/>
      <c r="P157" s="632"/>
      <c r="Q157" s="632"/>
      <c r="R157" s="632"/>
    </row>
    <row r="158" spans="1:18">
      <c r="A158" s="650">
        <v>157</v>
      </c>
      <c r="B158" s="651"/>
      <c r="C158" s="664" t="s">
        <v>222</v>
      </c>
      <c r="D158" s="784" t="s">
        <v>2076</v>
      </c>
      <c r="E158" s="777">
        <v>2025</v>
      </c>
      <c r="F158" s="778">
        <v>46022</v>
      </c>
      <c r="G158" s="788">
        <v>3315331.09</v>
      </c>
      <c r="H158" s="795">
        <v>5455035.0999999996</v>
      </c>
      <c r="I158" s="795">
        <v>-2139704.0099999998</v>
      </c>
      <c r="J158" s="1294">
        <v>-0.39224385742265894</v>
      </c>
      <c r="K158" s="632"/>
      <c r="L158" s="632"/>
      <c r="M158" s="632"/>
      <c r="N158" s="632"/>
      <c r="O158" s="632"/>
      <c r="P158" s="632"/>
      <c r="Q158" s="632"/>
      <c r="R158" s="632"/>
    </row>
    <row r="159" spans="1:18">
      <c r="A159" s="650">
        <v>158</v>
      </c>
      <c r="B159" s="651"/>
      <c r="C159" s="664" t="s">
        <v>2080</v>
      </c>
      <c r="D159" s="797" t="s">
        <v>2081</v>
      </c>
      <c r="E159" s="777">
        <v>2025</v>
      </c>
      <c r="F159" s="778">
        <v>46022</v>
      </c>
      <c r="G159" s="794">
        <v>3315331.09</v>
      </c>
      <c r="H159" s="787">
        <v>5455035.0999999996</v>
      </c>
      <c r="I159" s="787">
        <v>-2139704.0099999998</v>
      </c>
      <c r="J159" s="1294">
        <v>-0.39224385742265894</v>
      </c>
      <c r="K159" s="632"/>
      <c r="L159" s="632"/>
      <c r="M159" s="632"/>
      <c r="N159" s="632"/>
      <c r="O159" s="632"/>
      <c r="P159" s="632"/>
      <c r="Q159" s="632"/>
      <c r="R159" s="632"/>
    </row>
    <row r="160" spans="1:18">
      <c r="A160" s="650">
        <v>160</v>
      </c>
      <c r="B160" s="651"/>
      <c r="C160" s="798" t="s">
        <v>2158</v>
      </c>
      <c r="D160" s="799" t="s">
        <v>2159</v>
      </c>
      <c r="E160" s="777">
        <v>2025</v>
      </c>
      <c r="F160" s="778">
        <v>46022</v>
      </c>
      <c r="G160" s="794">
        <v>0</v>
      </c>
      <c r="H160" s="787">
        <v>0</v>
      </c>
      <c r="I160" s="787">
        <v>0</v>
      </c>
      <c r="J160" s="1294">
        <v>0</v>
      </c>
      <c r="K160" s="632"/>
      <c r="L160" s="632"/>
      <c r="M160" s="632"/>
      <c r="N160" s="632"/>
      <c r="O160" s="632"/>
      <c r="P160" s="632"/>
      <c r="Q160" s="632"/>
      <c r="R160" s="632"/>
    </row>
    <row r="161" spans="1:18">
      <c r="A161" s="650">
        <v>161</v>
      </c>
      <c r="B161" s="651"/>
      <c r="C161" s="664" t="s">
        <v>2205</v>
      </c>
      <c r="D161" s="799" t="s">
        <v>2206</v>
      </c>
      <c r="E161" s="777">
        <v>2025</v>
      </c>
      <c r="F161" s="778">
        <v>46022</v>
      </c>
      <c r="G161" s="780">
        <v>6231.65</v>
      </c>
      <c r="H161" s="781">
        <v>-61337.35</v>
      </c>
      <c r="I161" s="781">
        <v>67569</v>
      </c>
      <c r="J161" s="1294">
        <v>-1.101596335674756</v>
      </c>
      <c r="K161" s="632"/>
      <c r="L161" s="632"/>
      <c r="M161" s="632"/>
      <c r="N161" s="632"/>
      <c r="O161" s="632"/>
      <c r="P161" s="632"/>
      <c r="Q161" s="632"/>
      <c r="R161" s="632"/>
    </row>
    <row r="162" spans="1:18">
      <c r="A162" s="650">
        <v>162</v>
      </c>
      <c r="B162" s="651"/>
      <c r="C162" s="664" t="s">
        <v>2163</v>
      </c>
      <c r="D162" s="799" t="s">
        <v>2164</v>
      </c>
      <c r="E162" s="777">
        <v>2025</v>
      </c>
      <c r="F162" s="778">
        <v>46022</v>
      </c>
      <c r="G162" s="794">
        <v>45</v>
      </c>
      <c r="H162" s="787">
        <v>45</v>
      </c>
      <c r="I162" s="787">
        <v>0</v>
      </c>
      <c r="J162" s="1294">
        <v>0</v>
      </c>
      <c r="K162" s="632"/>
      <c r="L162" s="632"/>
      <c r="M162" s="632"/>
      <c r="N162" s="632"/>
      <c r="O162" s="632"/>
      <c r="P162" s="632"/>
      <c r="Q162" s="632"/>
      <c r="R162" s="632"/>
    </row>
    <row r="163" spans="1:18">
      <c r="A163" s="650">
        <v>163</v>
      </c>
      <c r="B163" s="651"/>
      <c r="C163" s="664" t="s">
        <v>2168</v>
      </c>
      <c r="D163" s="799" t="s">
        <v>2169</v>
      </c>
      <c r="E163" s="777">
        <v>2025</v>
      </c>
      <c r="F163" s="778">
        <v>46022</v>
      </c>
      <c r="G163" s="794">
        <v>6186.65</v>
      </c>
      <c r="H163" s="787">
        <v>-61382.35</v>
      </c>
      <c r="I163" s="787">
        <v>67569</v>
      </c>
      <c r="J163" s="1294">
        <v>-1.1007887446472806</v>
      </c>
      <c r="K163" s="632"/>
      <c r="L163" s="632"/>
      <c r="M163" s="632"/>
      <c r="N163" s="632"/>
      <c r="O163" s="632"/>
      <c r="P163" s="632"/>
      <c r="Q163" s="632"/>
      <c r="R163" s="632"/>
    </row>
    <row r="164" spans="1:18">
      <c r="A164" s="650">
        <v>164</v>
      </c>
      <c r="B164" s="651"/>
      <c r="C164" s="652" t="s">
        <v>2209</v>
      </c>
      <c r="D164" s="776" t="s">
        <v>11880</v>
      </c>
      <c r="E164" s="777">
        <v>2025</v>
      </c>
      <c r="F164" s="778">
        <v>46022</v>
      </c>
      <c r="G164" s="780">
        <v>0</v>
      </c>
      <c r="H164" s="781">
        <v>0</v>
      </c>
      <c r="I164" s="781">
        <v>0</v>
      </c>
      <c r="J164" s="1294">
        <v>0</v>
      </c>
      <c r="K164" s="632"/>
      <c r="L164" s="632"/>
      <c r="M164" s="632"/>
      <c r="N164" s="632"/>
      <c r="O164" s="632"/>
      <c r="P164" s="632"/>
      <c r="Q164" s="632"/>
      <c r="R164" s="632"/>
    </row>
    <row r="165" spans="1:18">
      <c r="A165" s="650">
        <v>165</v>
      </c>
      <c r="B165" s="651"/>
      <c r="C165" s="662" t="s">
        <v>225</v>
      </c>
      <c r="D165" s="783" t="s">
        <v>2213</v>
      </c>
      <c r="E165" s="777">
        <v>2025</v>
      </c>
      <c r="F165" s="778">
        <v>46022</v>
      </c>
      <c r="G165" s="794">
        <v>0</v>
      </c>
      <c r="H165" s="787">
        <v>0</v>
      </c>
      <c r="I165" s="787">
        <v>0</v>
      </c>
      <c r="J165" s="1294">
        <v>0</v>
      </c>
      <c r="K165" s="632"/>
      <c r="L165" s="632"/>
      <c r="M165" s="632"/>
      <c r="N165" s="632"/>
      <c r="O165" s="632"/>
      <c r="P165" s="632"/>
      <c r="Q165" s="632"/>
      <c r="R165" s="632"/>
    </row>
    <row r="166" spans="1:18">
      <c r="A166" s="650">
        <v>166</v>
      </c>
      <c r="B166" s="651"/>
      <c r="C166" s="662" t="s">
        <v>224</v>
      </c>
      <c r="D166" s="783" t="s">
        <v>2219</v>
      </c>
      <c r="E166" s="777">
        <v>2025</v>
      </c>
      <c r="F166" s="778">
        <v>46022</v>
      </c>
      <c r="G166" s="786">
        <v>0</v>
      </c>
      <c r="H166" s="787">
        <v>0</v>
      </c>
      <c r="I166" s="787">
        <v>0</v>
      </c>
      <c r="J166" s="1294">
        <v>0</v>
      </c>
      <c r="K166" s="632"/>
      <c r="L166" s="632"/>
      <c r="M166" s="632"/>
      <c r="N166" s="632"/>
      <c r="O166" s="632"/>
      <c r="P166" s="632"/>
      <c r="Q166" s="632"/>
      <c r="R166" s="632"/>
    </row>
    <row r="167" spans="1:18">
      <c r="A167" s="650">
        <v>167</v>
      </c>
      <c r="B167" s="651"/>
      <c r="C167" s="652" t="s">
        <v>2220</v>
      </c>
      <c r="D167" s="776" t="s">
        <v>11881</v>
      </c>
      <c r="E167" s="777">
        <v>2025</v>
      </c>
      <c r="F167" s="778">
        <v>46022</v>
      </c>
      <c r="G167" s="788">
        <v>4259828.8</v>
      </c>
      <c r="H167" s="789">
        <v>4191148.92</v>
      </c>
      <c r="I167" s="789">
        <v>68679.879999999888</v>
      </c>
      <c r="J167" s="1294">
        <v>1.6386886104729461E-2</v>
      </c>
      <c r="K167" s="632"/>
      <c r="L167" s="632"/>
      <c r="M167" s="632"/>
      <c r="N167" s="632"/>
      <c r="O167" s="632"/>
      <c r="P167" s="632"/>
      <c r="Q167" s="632"/>
      <c r="R167" s="632"/>
    </row>
    <row r="168" spans="1:18">
      <c r="A168" s="650">
        <v>168</v>
      </c>
      <c r="B168" s="651"/>
      <c r="C168" s="662" t="s">
        <v>226</v>
      </c>
      <c r="D168" s="783" t="s">
        <v>2226</v>
      </c>
      <c r="E168" s="777">
        <v>2025</v>
      </c>
      <c r="F168" s="778">
        <v>46022</v>
      </c>
      <c r="G168" s="786">
        <v>27140.300000000003</v>
      </c>
      <c r="H168" s="787">
        <v>22578.9</v>
      </c>
      <c r="I168" s="787">
        <v>4561.4000000000015</v>
      </c>
      <c r="J168" s="1294">
        <v>0.20202047043921542</v>
      </c>
      <c r="K168" s="632"/>
      <c r="L168" s="632"/>
      <c r="M168" s="632"/>
      <c r="N168" s="632"/>
      <c r="O168" s="632"/>
      <c r="P168" s="632"/>
      <c r="Q168" s="632"/>
      <c r="R168" s="632"/>
    </row>
    <row r="169" spans="1:18">
      <c r="A169" s="650">
        <v>169</v>
      </c>
      <c r="B169" s="651"/>
      <c r="C169" s="662" t="s">
        <v>227</v>
      </c>
      <c r="D169" s="783" t="s">
        <v>2272</v>
      </c>
      <c r="E169" s="777">
        <v>2025</v>
      </c>
      <c r="F169" s="778">
        <v>46022</v>
      </c>
      <c r="G169" s="786">
        <v>4226076.91</v>
      </c>
      <c r="H169" s="787">
        <v>4162598.87</v>
      </c>
      <c r="I169" s="787">
        <v>63478.040000000037</v>
      </c>
      <c r="J169" s="1294">
        <v>1.5249617362241785E-2</v>
      </c>
      <c r="K169" s="632"/>
      <c r="L169" s="632"/>
      <c r="M169" s="632"/>
      <c r="N169" s="632"/>
      <c r="O169" s="632"/>
      <c r="P169" s="632"/>
      <c r="Q169" s="632"/>
      <c r="R169" s="632"/>
    </row>
    <row r="170" spans="1:18">
      <c r="A170" s="650">
        <v>170</v>
      </c>
      <c r="B170" s="651"/>
      <c r="C170" s="662" t="s">
        <v>228</v>
      </c>
      <c r="D170" s="783" t="s">
        <v>2290</v>
      </c>
      <c r="E170" s="777">
        <v>2025</v>
      </c>
      <c r="F170" s="778">
        <v>46022</v>
      </c>
      <c r="G170" s="786">
        <v>0</v>
      </c>
      <c r="H170" s="787">
        <v>0</v>
      </c>
      <c r="I170" s="787">
        <v>0</v>
      </c>
      <c r="J170" s="1294">
        <v>0</v>
      </c>
      <c r="K170" s="632"/>
      <c r="L170" s="632"/>
      <c r="M170" s="632"/>
      <c r="N170" s="632"/>
      <c r="O170" s="632"/>
      <c r="P170" s="632"/>
      <c r="Q170" s="632"/>
      <c r="R170" s="632"/>
    </row>
    <row r="171" spans="1:18">
      <c r="A171" s="650">
        <v>171</v>
      </c>
      <c r="B171" s="651"/>
      <c r="C171" s="662" t="s">
        <v>229</v>
      </c>
      <c r="D171" s="783" t="s">
        <v>2294</v>
      </c>
      <c r="E171" s="777">
        <v>2025</v>
      </c>
      <c r="F171" s="778">
        <v>46022</v>
      </c>
      <c r="G171" s="786">
        <v>6611.59</v>
      </c>
      <c r="H171" s="787">
        <v>5971.15</v>
      </c>
      <c r="I171" s="787">
        <v>640.44000000000051</v>
      </c>
      <c r="J171" s="1294">
        <v>0.10725572125972394</v>
      </c>
      <c r="K171" s="632"/>
      <c r="L171" s="632"/>
      <c r="M171" s="632"/>
      <c r="N171" s="632"/>
      <c r="O171" s="632"/>
      <c r="P171" s="632"/>
      <c r="Q171" s="632"/>
      <c r="R171" s="632"/>
    </row>
    <row r="172" spans="1:18">
      <c r="A172" s="650">
        <v>172</v>
      </c>
      <c r="B172" s="651"/>
      <c r="C172" s="652" t="s">
        <v>2299</v>
      </c>
      <c r="D172" s="776" t="s">
        <v>11882</v>
      </c>
      <c r="E172" s="777">
        <v>2025</v>
      </c>
      <c r="F172" s="778">
        <v>46022</v>
      </c>
      <c r="G172" s="788">
        <v>0</v>
      </c>
      <c r="H172" s="789">
        <v>0</v>
      </c>
      <c r="I172" s="789">
        <v>0</v>
      </c>
      <c r="J172" s="1294">
        <v>0</v>
      </c>
      <c r="K172" s="632"/>
      <c r="L172" s="632"/>
      <c r="M172" s="632"/>
      <c r="N172" s="632"/>
      <c r="O172" s="632"/>
      <c r="P172" s="632"/>
      <c r="Q172" s="632"/>
      <c r="R172" s="632"/>
    </row>
    <row r="173" spans="1:18">
      <c r="A173" s="650">
        <v>173</v>
      </c>
      <c r="B173" s="651"/>
      <c r="C173" s="652" t="s">
        <v>2300</v>
      </c>
      <c r="D173" s="776" t="s">
        <v>2301</v>
      </c>
      <c r="E173" s="777">
        <v>2025</v>
      </c>
      <c r="F173" s="778">
        <v>46022</v>
      </c>
      <c r="G173" s="788">
        <v>0</v>
      </c>
      <c r="H173" s="789">
        <v>0</v>
      </c>
      <c r="I173" s="789">
        <v>0</v>
      </c>
      <c r="J173" s="1294">
        <v>0</v>
      </c>
      <c r="K173" s="632"/>
      <c r="L173" s="632"/>
      <c r="M173" s="632"/>
      <c r="N173" s="632"/>
      <c r="O173" s="632"/>
      <c r="P173" s="632"/>
      <c r="Q173" s="632"/>
      <c r="R173" s="632"/>
    </row>
    <row r="174" spans="1:18">
      <c r="A174" s="650">
        <v>174</v>
      </c>
      <c r="B174" s="651"/>
      <c r="C174" s="662" t="s">
        <v>2303</v>
      </c>
      <c r="D174" s="783" t="s">
        <v>2305</v>
      </c>
      <c r="E174" s="777">
        <v>2025</v>
      </c>
      <c r="F174" s="778">
        <v>46022</v>
      </c>
      <c r="G174" s="786">
        <v>0</v>
      </c>
      <c r="H174" s="787">
        <v>0</v>
      </c>
      <c r="I174" s="787">
        <v>0</v>
      </c>
      <c r="J174" s="1294">
        <v>0</v>
      </c>
      <c r="K174" s="632"/>
      <c r="L174" s="632"/>
      <c r="M174" s="632"/>
      <c r="N174" s="632"/>
      <c r="O174" s="632"/>
      <c r="P174" s="632"/>
      <c r="Q174" s="632"/>
      <c r="R174" s="632"/>
    </row>
    <row r="175" spans="1:18">
      <c r="A175" s="650">
        <v>175</v>
      </c>
      <c r="B175" s="651" t="s">
        <v>1519</v>
      </c>
      <c r="C175" s="662" t="s">
        <v>2316</v>
      </c>
      <c r="D175" s="783" t="s">
        <v>2317</v>
      </c>
      <c r="E175" s="777">
        <v>2025</v>
      </c>
      <c r="F175" s="778">
        <v>46022</v>
      </c>
      <c r="G175" s="786">
        <v>0</v>
      </c>
      <c r="H175" s="787">
        <v>0</v>
      </c>
      <c r="I175" s="787">
        <v>0</v>
      </c>
      <c r="J175" s="1294">
        <v>0</v>
      </c>
      <c r="K175" s="632"/>
      <c r="L175" s="632"/>
      <c r="M175" s="632"/>
      <c r="N175" s="632"/>
      <c r="O175" s="632"/>
      <c r="P175" s="632"/>
      <c r="Q175" s="632"/>
      <c r="R175" s="632"/>
    </row>
    <row r="176" spans="1:18">
      <c r="A176" s="650">
        <v>176</v>
      </c>
      <c r="B176" s="651"/>
      <c r="C176" s="652" t="s">
        <v>2324</v>
      </c>
      <c r="D176" s="776" t="s">
        <v>11883</v>
      </c>
      <c r="E176" s="777">
        <v>2025</v>
      </c>
      <c r="F176" s="778">
        <v>46022</v>
      </c>
      <c r="G176" s="788">
        <v>0</v>
      </c>
      <c r="H176" s="789">
        <v>0</v>
      </c>
      <c r="I176" s="789">
        <v>0</v>
      </c>
      <c r="J176" s="1294">
        <v>0</v>
      </c>
      <c r="K176" s="632"/>
      <c r="L176" s="632"/>
      <c r="M176" s="632"/>
      <c r="N176" s="632"/>
      <c r="O176" s="632"/>
      <c r="P176" s="632"/>
      <c r="Q176" s="632"/>
      <c r="R176" s="632"/>
    </row>
    <row r="177" spans="1:18">
      <c r="A177" s="650">
        <v>177</v>
      </c>
      <c r="B177" s="651"/>
      <c r="C177" s="662" t="s">
        <v>2326</v>
      </c>
      <c r="D177" s="783" t="s">
        <v>2329</v>
      </c>
      <c r="E177" s="777">
        <v>2025</v>
      </c>
      <c r="F177" s="778">
        <v>46022</v>
      </c>
      <c r="G177" s="786">
        <v>0</v>
      </c>
      <c r="H177" s="787">
        <v>0</v>
      </c>
      <c r="I177" s="787">
        <v>0</v>
      </c>
      <c r="J177" s="1294">
        <v>0</v>
      </c>
      <c r="K177" s="632"/>
      <c r="L177" s="632"/>
      <c r="M177" s="632"/>
      <c r="N177" s="632"/>
      <c r="O177" s="632"/>
      <c r="P177" s="632"/>
      <c r="Q177" s="632"/>
      <c r="R177" s="632"/>
    </row>
    <row r="178" spans="1:18">
      <c r="A178" s="650">
        <v>178</v>
      </c>
      <c r="B178" s="651" t="s">
        <v>1519</v>
      </c>
      <c r="C178" s="662" t="s">
        <v>2340</v>
      </c>
      <c r="D178" s="783" t="s">
        <v>2341</v>
      </c>
      <c r="E178" s="777">
        <v>2025</v>
      </c>
      <c r="F178" s="778">
        <v>46022</v>
      </c>
      <c r="G178" s="786">
        <v>0</v>
      </c>
      <c r="H178" s="787">
        <v>0</v>
      </c>
      <c r="I178" s="787">
        <v>0</v>
      </c>
      <c r="J178" s="1294">
        <v>0</v>
      </c>
      <c r="K178" s="632"/>
      <c r="L178" s="632"/>
      <c r="M178" s="632"/>
      <c r="N178" s="632"/>
      <c r="O178" s="632"/>
      <c r="P178" s="632"/>
      <c r="Q178" s="632"/>
      <c r="R178" s="632"/>
    </row>
    <row r="179" spans="1:18">
      <c r="A179" s="650">
        <v>179</v>
      </c>
      <c r="B179" s="651"/>
      <c r="C179" s="691" t="s">
        <v>11884</v>
      </c>
      <c r="D179" s="801" t="s">
        <v>11885</v>
      </c>
      <c r="E179" s="777">
        <v>2025</v>
      </c>
      <c r="F179" s="778">
        <v>46022</v>
      </c>
      <c r="G179" s="788">
        <v>316277475.21999997</v>
      </c>
      <c r="H179" s="789">
        <v>304303447.88</v>
      </c>
      <c r="I179" s="789">
        <v>11974027.339999974</v>
      </c>
      <c r="J179" s="1294">
        <v>3.9348970323602281E-2</v>
      </c>
      <c r="K179" s="632"/>
      <c r="L179" s="632"/>
      <c r="M179" s="632"/>
      <c r="N179" s="632"/>
      <c r="O179" s="632"/>
      <c r="P179" s="632"/>
      <c r="Q179" s="632"/>
      <c r="R179" s="632"/>
    </row>
    <row r="180" spans="1:18">
      <c r="A180" s="650">
        <v>180</v>
      </c>
      <c r="B180" s="651"/>
      <c r="C180" s="691" t="s">
        <v>2352</v>
      </c>
      <c r="D180" s="802" t="s">
        <v>11886</v>
      </c>
      <c r="E180" s="777">
        <v>2025</v>
      </c>
      <c r="F180" s="778">
        <v>46022</v>
      </c>
      <c r="G180" s="788">
        <v>290984078.96999997</v>
      </c>
      <c r="H180" s="789">
        <v>290984078.96999997</v>
      </c>
      <c r="I180" s="789">
        <v>0</v>
      </c>
      <c r="J180" s="1294">
        <v>0</v>
      </c>
      <c r="K180" s="632"/>
      <c r="L180" s="632"/>
      <c r="M180" s="632"/>
      <c r="N180" s="632"/>
      <c r="O180" s="632"/>
      <c r="P180" s="632"/>
      <c r="Q180" s="632"/>
      <c r="R180" s="632"/>
    </row>
    <row r="181" spans="1:18">
      <c r="A181" s="650">
        <v>181</v>
      </c>
      <c r="B181" s="651"/>
      <c r="C181" s="691" t="s">
        <v>2354</v>
      </c>
      <c r="D181" s="801" t="s">
        <v>2355</v>
      </c>
      <c r="E181" s="777">
        <v>2025</v>
      </c>
      <c r="F181" s="778">
        <v>46022</v>
      </c>
      <c r="G181" s="786">
        <v>0</v>
      </c>
      <c r="H181" s="787">
        <v>0</v>
      </c>
      <c r="I181" s="787">
        <v>0</v>
      </c>
      <c r="J181" s="1294">
        <v>0</v>
      </c>
      <c r="K181" s="632"/>
      <c r="L181" s="632"/>
      <c r="M181" s="632"/>
      <c r="N181" s="632"/>
      <c r="O181" s="632"/>
      <c r="P181" s="632"/>
      <c r="Q181" s="632"/>
      <c r="R181" s="632"/>
    </row>
    <row r="182" spans="1:18">
      <c r="A182" s="650">
        <v>182</v>
      </c>
      <c r="B182" s="651"/>
      <c r="C182" s="691" t="s">
        <v>2358</v>
      </c>
      <c r="D182" s="801" t="s">
        <v>2359</v>
      </c>
      <c r="E182" s="777">
        <v>2025</v>
      </c>
      <c r="F182" s="778">
        <v>46022</v>
      </c>
      <c r="G182" s="786">
        <v>0</v>
      </c>
      <c r="H182" s="787">
        <v>0</v>
      </c>
      <c r="I182" s="787">
        <v>0</v>
      </c>
      <c r="J182" s="1294">
        <v>0</v>
      </c>
      <c r="K182" s="632"/>
      <c r="L182" s="632"/>
      <c r="M182" s="632"/>
      <c r="N182" s="632"/>
      <c r="O182" s="632"/>
      <c r="P182" s="632"/>
      <c r="Q182" s="632"/>
      <c r="R182" s="632"/>
    </row>
    <row r="183" spans="1:18">
      <c r="A183" s="650">
        <v>183</v>
      </c>
      <c r="B183" s="651"/>
      <c r="C183" s="691" t="s">
        <v>2362</v>
      </c>
      <c r="D183" s="801" t="s">
        <v>2363</v>
      </c>
      <c r="E183" s="777">
        <v>2025</v>
      </c>
      <c r="F183" s="778">
        <v>46022</v>
      </c>
      <c r="G183" s="786">
        <v>287897837.58999997</v>
      </c>
      <c r="H183" s="787">
        <v>287897837.58999997</v>
      </c>
      <c r="I183" s="787">
        <v>0</v>
      </c>
      <c r="J183" s="1294">
        <v>0</v>
      </c>
      <c r="K183" s="632"/>
      <c r="L183" s="632"/>
      <c r="M183" s="632"/>
      <c r="N183" s="632"/>
      <c r="O183" s="632"/>
      <c r="P183" s="632"/>
      <c r="Q183" s="632"/>
      <c r="R183" s="632"/>
    </row>
    <row r="184" spans="1:18">
      <c r="A184" s="650">
        <v>184</v>
      </c>
      <c r="B184" s="651"/>
      <c r="C184" s="691" t="s">
        <v>2367</v>
      </c>
      <c r="D184" s="801" t="s">
        <v>2368</v>
      </c>
      <c r="E184" s="777">
        <v>2025</v>
      </c>
      <c r="F184" s="778">
        <v>46022</v>
      </c>
      <c r="G184" s="786">
        <v>0</v>
      </c>
      <c r="H184" s="787">
        <v>0</v>
      </c>
      <c r="I184" s="787">
        <v>0</v>
      </c>
      <c r="J184" s="1294">
        <v>0</v>
      </c>
      <c r="K184" s="632"/>
      <c r="L184" s="632"/>
      <c r="M184" s="632"/>
      <c r="N184" s="632"/>
      <c r="O184" s="632"/>
      <c r="P184" s="632"/>
      <c r="Q184" s="632"/>
      <c r="R184" s="632"/>
    </row>
    <row r="185" spans="1:18">
      <c r="A185" s="650">
        <v>185</v>
      </c>
      <c r="B185" s="651"/>
      <c r="C185" s="691" t="s">
        <v>2371</v>
      </c>
      <c r="D185" s="801" t="s">
        <v>2372</v>
      </c>
      <c r="E185" s="777">
        <v>2025</v>
      </c>
      <c r="F185" s="778">
        <v>46022</v>
      </c>
      <c r="G185" s="786">
        <v>3086241.38</v>
      </c>
      <c r="H185" s="787">
        <v>3086241.38</v>
      </c>
      <c r="I185" s="787">
        <v>0</v>
      </c>
      <c r="J185" s="1294">
        <v>0</v>
      </c>
      <c r="K185" s="632"/>
      <c r="L185" s="632"/>
      <c r="M185" s="632"/>
      <c r="N185" s="632"/>
      <c r="O185" s="632"/>
      <c r="P185" s="632"/>
      <c r="Q185" s="632"/>
      <c r="R185" s="632"/>
    </row>
    <row r="186" spans="1:18">
      <c r="A186" s="650">
        <v>186</v>
      </c>
      <c r="B186" s="651"/>
      <c r="C186" s="652" t="s">
        <v>2390</v>
      </c>
      <c r="D186" s="776" t="s">
        <v>11887</v>
      </c>
      <c r="E186" s="777">
        <v>2025</v>
      </c>
      <c r="F186" s="778">
        <v>46022</v>
      </c>
      <c r="G186" s="788">
        <v>112017119.74000001</v>
      </c>
      <c r="H186" s="789">
        <v>137777441.33999994</v>
      </c>
      <c r="I186" s="789">
        <v>-25760321.599999934</v>
      </c>
      <c r="J186" s="1294">
        <v>-0.18697053268996311</v>
      </c>
      <c r="K186" s="632"/>
      <c r="L186" s="632"/>
      <c r="M186" s="632"/>
      <c r="N186" s="632"/>
      <c r="O186" s="632"/>
      <c r="P186" s="632"/>
      <c r="Q186" s="632"/>
      <c r="R186" s="632"/>
    </row>
    <row r="187" spans="1:18">
      <c r="A187" s="650">
        <v>187</v>
      </c>
      <c r="B187" s="651"/>
      <c r="C187" s="652" t="s">
        <v>230</v>
      </c>
      <c r="D187" s="776" t="s">
        <v>2393</v>
      </c>
      <c r="E187" s="777">
        <v>2025</v>
      </c>
      <c r="F187" s="778">
        <v>46022</v>
      </c>
      <c r="G187" s="786">
        <v>10821541.51</v>
      </c>
      <c r="H187" s="787">
        <v>10821541.51</v>
      </c>
      <c r="I187" s="787">
        <v>0</v>
      </c>
      <c r="J187" s="1294">
        <v>0</v>
      </c>
      <c r="K187" s="632"/>
      <c r="L187" s="632"/>
      <c r="M187" s="632"/>
      <c r="N187" s="632"/>
      <c r="O187" s="632"/>
      <c r="P187" s="632"/>
      <c r="Q187" s="632"/>
      <c r="R187" s="632"/>
    </row>
    <row r="188" spans="1:18">
      <c r="A188" s="650">
        <v>188</v>
      </c>
      <c r="B188" s="651"/>
      <c r="C188" s="652" t="s">
        <v>231</v>
      </c>
      <c r="D188" s="776" t="s">
        <v>2400</v>
      </c>
      <c r="E188" s="777">
        <v>2025</v>
      </c>
      <c r="F188" s="778">
        <v>46022</v>
      </c>
      <c r="G188" s="788">
        <v>95346674.460000008</v>
      </c>
      <c r="H188" s="789">
        <v>108428615.37999998</v>
      </c>
      <c r="I188" s="789">
        <v>-13081940.919999972</v>
      </c>
      <c r="J188" s="1294">
        <v>-0.12065026260967066</v>
      </c>
      <c r="K188" s="632"/>
      <c r="L188" s="632"/>
      <c r="M188" s="632"/>
      <c r="N188" s="632"/>
      <c r="O188" s="632"/>
      <c r="P188" s="632"/>
      <c r="Q188" s="632"/>
      <c r="R188" s="632"/>
    </row>
    <row r="189" spans="1:18">
      <c r="A189" s="650">
        <v>189</v>
      </c>
      <c r="B189" s="651"/>
      <c r="C189" s="662" t="s">
        <v>232</v>
      </c>
      <c r="D189" s="783" t="s">
        <v>2402</v>
      </c>
      <c r="E189" s="777">
        <v>2025</v>
      </c>
      <c r="F189" s="778">
        <v>46022</v>
      </c>
      <c r="G189" s="794">
        <v>0</v>
      </c>
      <c r="H189" s="787">
        <v>0</v>
      </c>
      <c r="I189" s="787">
        <v>0</v>
      </c>
      <c r="J189" s="1294">
        <v>0</v>
      </c>
      <c r="K189" s="632"/>
      <c r="L189" s="632"/>
      <c r="M189" s="632"/>
      <c r="N189" s="632"/>
      <c r="O189" s="632"/>
      <c r="P189" s="632"/>
      <c r="Q189" s="632"/>
      <c r="R189" s="632"/>
    </row>
    <row r="190" spans="1:18">
      <c r="A190" s="650">
        <v>190</v>
      </c>
      <c r="B190" s="651"/>
      <c r="C190" s="662" t="s">
        <v>233</v>
      </c>
      <c r="D190" s="783" t="s">
        <v>11888</v>
      </c>
      <c r="E190" s="777">
        <v>2025</v>
      </c>
      <c r="F190" s="778">
        <v>46022</v>
      </c>
      <c r="G190" s="780">
        <v>18958045.139999997</v>
      </c>
      <c r="H190" s="781">
        <v>24877957.209999997</v>
      </c>
      <c r="I190" s="781">
        <v>-5919912.0700000003</v>
      </c>
      <c r="J190" s="1294">
        <v>-0.23795812574275269</v>
      </c>
      <c r="K190" s="632"/>
      <c r="L190" s="632"/>
      <c r="M190" s="632"/>
      <c r="N190" s="632"/>
      <c r="O190" s="632"/>
      <c r="P190" s="632"/>
      <c r="Q190" s="632"/>
      <c r="R190" s="632"/>
    </row>
    <row r="191" spans="1:18">
      <c r="A191" s="650">
        <v>191</v>
      </c>
      <c r="B191" s="651"/>
      <c r="C191" s="664" t="s">
        <v>234</v>
      </c>
      <c r="D191" s="784" t="s">
        <v>2405</v>
      </c>
      <c r="E191" s="777">
        <v>2025</v>
      </c>
      <c r="F191" s="778">
        <v>46022</v>
      </c>
      <c r="G191" s="794">
        <v>129454.79</v>
      </c>
      <c r="H191" s="787">
        <v>129454.79</v>
      </c>
      <c r="I191" s="787">
        <v>0</v>
      </c>
      <c r="J191" s="1294">
        <v>0</v>
      </c>
      <c r="K191" s="632"/>
      <c r="L191" s="632"/>
      <c r="M191" s="632"/>
      <c r="N191" s="632"/>
      <c r="O191" s="632"/>
      <c r="P191" s="632"/>
      <c r="Q191" s="632"/>
      <c r="R191" s="632"/>
    </row>
    <row r="192" spans="1:18">
      <c r="A192" s="650">
        <v>192</v>
      </c>
      <c r="B192" s="651"/>
      <c r="C192" s="664" t="s">
        <v>235</v>
      </c>
      <c r="D192" s="784" t="s">
        <v>2413</v>
      </c>
      <c r="E192" s="777">
        <v>2025</v>
      </c>
      <c r="F192" s="778">
        <v>46022</v>
      </c>
      <c r="G192" s="794">
        <v>0</v>
      </c>
      <c r="H192" s="787">
        <v>0</v>
      </c>
      <c r="I192" s="787">
        <v>0</v>
      </c>
      <c r="J192" s="1294">
        <v>0</v>
      </c>
      <c r="K192" s="632"/>
      <c r="L192" s="632"/>
      <c r="M192" s="632"/>
      <c r="N192" s="632"/>
      <c r="O192" s="632"/>
      <c r="P192" s="632"/>
      <c r="Q192" s="632"/>
      <c r="R192" s="632"/>
    </row>
    <row r="193" spans="1:18">
      <c r="A193" s="650">
        <v>193</v>
      </c>
      <c r="B193" s="651"/>
      <c r="C193" s="664" t="s">
        <v>236</v>
      </c>
      <c r="D193" s="784" t="s">
        <v>2419</v>
      </c>
      <c r="E193" s="777">
        <v>2025</v>
      </c>
      <c r="F193" s="778">
        <v>46022</v>
      </c>
      <c r="G193" s="794">
        <v>18828590.349999998</v>
      </c>
      <c r="H193" s="787">
        <v>24748502.419999998</v>
      </c>
      <c r="I193" s="787">
        <v>-5919912.0700000003</v>
      </c>
      <c r="J193" s="1294">
        <v>-0.23920284021775573</v>
      </c>
      <c r="K193" s="632"/>
      <c r="L193" s="632"/>
      <c r="M193" s="632"/>
      <c r="N193" s="632"/>
      <c r="O193" s="632"/>
      <c r="P193" s="632"/>
      <c r="Q193" s="632"/>
      <c r="R193" s="632"/>
    </row>
    <row r="194" spans="1:18">
      <c r="A194" s="650">
        <v>194</v>
      </c>
      <c r="B194" s="651"/>
      <c r="C194" s="662" t="s">
        <v>237</v>
      </c>
      <c r="D194" s="783" t="s">
        <v>2444</v>
      </c>
      <c r="E194" s="777">
        <v>2025</v>
      </c>
      <c r="F194" s="778">
        <v>46022</v>
      </c>
      <c r="G194" s="794">
        <v>27305090.610000003</v>
      </c>
      <c r="H194" s="787">
        <v>25776094.859999999</v>
      </c>
      <c r="I194" s="787">
        <v>1528995.7500000037</v>
      </c>
      <c r="J194" s="1294">
        <v>5.9318362936844178E-2</v>
      </c>
      <c r="K194" s="632"/>
      <c r="L194" s="632"/>
      <c r="M194" s="632"/>
      <c r="N194" s="632"/>
      <c r="O194" s="632"/>
      <c r="P194" s="632"/>
      <c r="Q194" s="632"/>
      <c r="R194" s="632"/>
    </row>
    <row r="195" spans="1:18">
      <c r="A195" s="650">
        <v>195</v>
      </c>
      <c r="B195" s="651"/>
      <c r="C195" s="662" t="s">
        <v>238</v>
      </c>
      <c r="D195" s="783" t="s">
        <v>2522</v>
      </c>
      <c r="E195" s="777">
        <v>2025</v>
      </c>
      <c r="F195" s="778">
        <v>46022</v>
      </c>
      <c r="G195" s="794">
        <v>1473145.72</v>
      </c>
      <c r="H195" s="787">
        <v>1708767.73</v>
      </c>
      <c r="I195" s="787">
        <v>-235622.01</v>
      </c>
      <c r="J195" s="1294">
        <v>-0.13789001621653987</v>
      </c>
      <c r="K195" s="632"/>
      <c r="L195" s="632"/>
      <c r="M195" s="632"/>
      <c r="N195" s="632"/>
      <c r="O195" s="632"/>
      <c r="P195" s="632"/>
      <c r="Q195" s="632"/>
      <c r="R195" s="632"/>
    </row>
    <row r="196" spans="1:18">
      <c r="A196" s="650">
        <v>196</v>
      </c>
      <c r="B196" s="651"/>
      <c r="C196" s="662" t="s">
        <v>239</v>
      </c>
      <c r="D196" s="783" t="s">
        <v>2530</v>
      </c>
      <c r="E196" s="777">
        <v>2025</v>
      </c>
      <c r="F196" s="778">
        <v>46022</v>
      </c>
      <c r="G196" s="786">
        <v>47610392.990000002</v>
      </c>
      <c r="H196" s="787">
        <v>56065795.579999991</v>
      </c>
      <c r="I196" s="787">
        <v>-8455402.5899999887</v>
      </c>
      <c r="J196" s="1294">
        <v>-0.15081213960363798</v>
      </c>
      <c r="K196" s="632"/>
      <c r="L196" s="632"/>
      <c r="M196" s="632"/>
      <c r="N196" s="632"/>
      <c r="O196" s="632"/>
      <c r="P196" s="632"/>
      <c r="Q196" s="632"/>
      <c r="R196" s="632"/>
    </row>
    <row r="197" spans="1:18">
      <c r="A197" s="650">
        <v>197</v>
      </c>
      <c r="B197" s="651"/>
      <c r="C197" s="652" t="s">
        <v>240</v>
      </c>
      <c r="D197" s="776" t="s">
        <v>2608</v>
      </c>
      <c r="E197" s="777">
        <v>2025</v>
      </c>
      <c r="F197" s="778">
        <v>46022</v>
      </c>
      <c r="G197" s="794">
        <v>567827.35</v>
      </c>
      <c r="H197" s="787">
        <v>1296320.1199999999</v>
      </c>
      <c r="I197" s="787">
        <v>-728492.7699999999</v>
      </c>
      <c r="J197" s="1294">
        <v>-0.56196980881543357</v>
      </c>
      <c r="K197" s="632"/>
      <c r="L197" s="632"/>
      <c r="M197" s="632"/>
      <c r="N197" s="632"/>
      <c r="O197" s="632"/>
      <c r="P197" s="632"/>
      <c r="Q197" s="632"/>
      <c r="R197" s="632"/>
    </row>
    <row r="198" spans="1:18">
      <c r="A198" s="650">
        <v>198</v>
      </c>
      <c r="B198" s="651"/>
      <c r="C198" s="652" t="s">
        <v>241</v>
      </c>
      <c r="D198" s="776" t="s">
        <v>2657</v>
      </c>
      <c r="E198" s="777">
        <v>2025</v>
      </c>
      <c r="F198" s="778">
        <v>46022</v>
      </c>
      <c r="G198" s="780">
        <v>0</v>
      </c>
      <c r="H198" s="781">
        <v>0</v>
      </c>
      <c r="I198" s="781">
        <v>0</v>
      </c>
      <c r="J198" s="1294">
        <v>0</v>
      </c>
      <c r="K198" s="632"/>
      <c r="L198" s="632"/>
      <c r="M198" s="632"/>
      <c r="N198" s="632"/>
      <c r="O198" s="632"/>
      <c r="P198" s="632"/>
      <c r="Q198" s="632"/>
      <c r="R198" s="632"/>
    </row>
    <row r="199" spans="1:18">
      <c r="A199" s="650">
        <v>199</v>
      </c>
      <c r="B199" s="651"/>
      <c r="C199" s="662" t="s">
        <v>242</v>
      </c>
      <c r="D199" s="783" t="s">
        <v>2659</v>
      </c>
      <c r="E199" s="777">
        <v>2025</v>
      </c>
      <c r="F199" s="778">
        <v>46022</v>
      </c>
      <c r="G199" s="794">
        <v>0</v>
      </c>
      <c r="H199" s="787">
        <v>0</v>
      </c>
      <c r="I199" s="787">
        <v>0</v>
      </c>
      <c r="J199" s="1294">
        <v>0</v>
      </c>
      <c r="K199" s="632"/>
      <c r="L199" s="632"/>
      <c r="M199" s="632"/>
      <c r="N199" s="632"/>
      <c r="O199" s="632"/>
      <c r="P199" s="632"/>
      <c r="Q199" s="632"/>
      <c r="R199" s="632"/>
    </row>
    <row r="200" spans="1:18">
      <c r="A200" s="650">
        <v>200</v>
      </c>
      <c r="B200" s="651"/>
      <c r="C200" s="662" t="s">
        <v>243</v>
      </c>
      <c r="D200" s="783" t="s">
        <v>2663</v>
      </c>
      <c r="E200" s="777">
        <v>2025</v>
      </c>
      <c r="F200" s="778">
        <v>46022</v>
      </c>
      <c r="G200" s="794">
        <v>0</v>
      </c>
      <c r="H200" s="787">
        <v>0</v>
      </c>
      <c r="I200" s="787">
        <v>0</v>
      </c>
      <c r="J200" s="1294">
        <v>0</v>
      </c>
      <c r="K200" s="632"/>
      <c r="L200" s="632"/>
      <c r="M200" s="632"/>
      <c r="N200" s="632"/>
      <c r="O200" s="632"/>
      <c r="P200" s="632"/>
      <c r="Q200" s="632"/>
      <c r="R200" s="632"/>
    </row>
    <row r="201" spans="1:18">
      <c r="A201" s="650">
        <v>201</v>
      </c>
      <c r="B201" s="651"/>
      <c r="C201" s="662" t="s">
        <v>244</v>
      </c>
      <c r="D201" s="783" t="s">
        <v>2667</v>
      </c>
      <c r="E201" s="777">
        <v>2025</v>
      </c>
      <c r="F201" s="778">
        <v>46022</v>
      </c>
      <c r="G201" s="794">
        <v>0</v>
      </c>
      <c r="H201" s="787">
        <v>0</v>
      </c>
      <c r="I201" s="787">
        <v>0</v>
      </c>
      <c r="J201" s="1294">
        <v>0</v>
      </c>
      <c r="K201" s="632"/>
      <c r="L201" s="632"/>
      <c r="M201" s="632"/>
      <c r="N201" s="632"/>
      <c r="O201" s="632"/>
      <c r="P201" s="632"/>
      <c r="Q201" s="632"/>
      <c r="R201" s="632"/>
    </row>
    <row r="202" spans="1:18">
      <c r="A202" s="650">
        <v>202</v>
      </c>
      <c r="B202" s="651"/>
      <c r="C202" s="662" t="s">
        <v>245</v>
      </c>
      <c r="D202" s="783" t="s">
        <v>2671</v>
      </c>
      <c r="E202" s="777">
        <v>2025</v>
      </c>
      <c r="F202" s="778">
        <v>46022</v>
      </c>
      <c r="G202" s="794">
        <v>0</v>
      </c>
      <c r="H202" s="787">
        <v>0</v>
      </c>
      <c r="I202" s="787">
        <v>0</v>
      </c>
      <c r="J202" s="1294">
        <v>0</v>
      </c>
      <c r="K202" s="632"/>
      <c r="L202" s="632"/>
      <c r="M202" s="632"/>
      <c r="N202" s="632"/>
      <c r="O202" s="632"/>
      <c r="P202" s="632"/>
      <c r="Q202" s="632"/>
      <c r="R202" s="632"/>
    </row>
    <row r="203" spans="1:18">
      <c r="A203" s="650">
        <v>203</v>
      </c>
      <c r="B203" s="651"/>
      <c r="C203" s="662" t="s">
        <v>246</v>
      </c>
      <c r="D203" s="783" t="s">
        <v>2675</v>
      </c>
      <c r="E203" s="777">
        <v>2025</v>
      </c>
      <c r="F203" s="778">
        <v>46022</v>
      </c>
      <c r="G203" s="794">
        <v>0</v>
      </c>
      <c r="H203" s="787">
        <v>0</v>
      </c>
      <c r="I203" s="787">
        <v>0</v>
      </c>
      <c r="J203" s="1294">
        <v>0</v>
      </c>
      <c r="K203" s="632"/>
      <c r="L203" s="632"/>
      <c r="M203" s="632"/>
      <c r="N203" s="632"/>
      <c r="O203" s="632"/>
      <c r="P203" s="632"/>
      <c r="Q203" s="632"/>
      <c r="R203" s="632"/>
    </row>
    <row r="204" spans="1:18">
      <c r="A204" s="650">
        <v>204</v>
      </c>
      <c r="B204" s="651"/>
      <c r="C204" s="652" t="s">
        <v>247</v>
      </c>
      <c r="D204" s="776" t="s">
        <v>2683</v>
      </c>
      <c r="E204" s="777">
        <v>2025</v>
      </c>
      <c r="F204" s="778">
        <v>46022</v>
      </c>
      <c r="G204" s="780">
        <v>0</v>
      </c>
      <c r="H204" s="781">
        <v>0</v>
      </c>
      <c r="I204" s="781">
        <v>0</v>
      </c>
      <c r="J204" s="1294">
        <v>0</v>
      </c>
      <c r="K204" s="632"/>
      <c r="L204" s="632"/>
      <c r="M204" s="632"/>
      <c r="N204" s="632"/>
      <c r="O204" s="632"/>
      <c r="P204" s="632"/>
      <c r="Q204" s="632"/>
      <c r="R204" s="632"/>
    </row>
    <row r="205" spans="1:18">
      <c r="A205" s="650">
        <v>205</v>
      </c>
      <c r="B205" s="651"/>
      <c r="C205" s="662" t="s">
        <v>248</v>
      </c>
      <c r="D205" s="783" t="s">
        <v>2685</v>
      </c>
      <c r="E205" s="777">
        <v>2025</v>
      </c>
      <c r="F205" s="778">
        <v>46022</v>
      </c>
      <c r="G205" s="794">
        <v>0</v>
      </c>
      <c r="H205" s="787">
        <v>0</v>
      </c>
      <c r="I205" s="787">
        <v>0</v>
      </c>
      <c r="J205" s="1294">
        <v>0</v>
      </c>
      <c r="K205" s="632"/>
      <c r="L205" s="632"/>
      <c r="M205" s="632"/>
      <c r="N205" s="632"/>
      <c r="O205" s="632"/>
      <c r="P205" s="632"/>
      <c r="Q205" s="632"/>
      <c r="R205" s="632"/>
    </row>
    <row r="206" spans="1:18">
      <c r="A206" s="650">
        <v>206</v>
      </c>
      <c r="B206" s="651"/>
      <c r="C206" s="662" t="s">
        <v>249</v>
      </c>
      <c r="D206" s="783" t="s">
        <v>2689</v>
      </c>
      <c r="E206" s="777">
        <v>2025</v>
      </c>
      <c r="F206" s="778">
        <v>46022</v>
      </c>
      <c r="G206" s="794">
        <v>0</v>
      </c>
      <c r="H206" s="787">
        <v>0</v>
      </c>
      <c r="I206" s="787">
        <v>0</v>
      </c>
      <c r="J206" s="1294">
        <v>0</v>
      </c>
      <c r="K206" s="632"/>
      <c r="L206" s="632"/>
      <c r="M206" s="632"/>
      <c r="N206" s="632"/>
      <c r="O206" s="632"/>
      <c r="P206" s="632"/>
      <c r="Q206" s="632"/>
      <c r="R206" s="632"/>
    </row>
    <row r="207" spans="1:18">
      <c r="A207" s="650">
        <v>207</v>
      </c>
      <c r="B207" s="651"/>
      <c r="C207" s="662" t="s">
        <v>250</v>
      </c>
      <c r="D207" s="783" t="s">
        <v>2693</v>
      </c>
      <c r="E207" s="777">
        <v>2025</v>
      </c>
      <c r="F207" s="778">
        <v>46022</v>
      </c>
      <c r="G207" s="786">
        <v>0</v>
      </c>
      <c r="H207" s="787">
        <v>0</v>
      </c>
      <c r="I207" s="787">
        <v>0</v>
      </c>
      <c r="J207" s="1294">
        <v>0</v>
      </c>
      <c r="K207" s="632"/>
      <c r="L207" s="632"/>
      <c r="M207" s="632"/>
      <c r="N207" s="632"/>
      <c r="O207" s="632"/>
      <c r="P207" s="632"/>
      <c r="Q207" s="632"/>
      <c r="R207" s="632"/>
    </row>
    <row r="208" spans="1:18">
      <c r="A208" s="650">
        <v>208</v>
      </c>
      <c r="B208" s="651"/>
      <c r="C208" s="652" t="s">
        <v>251</v>
      </c>
      <c r="D208" s="776" t="s">
        <v>2719</v>
      </c>
      <c r="E208" s="777">
        <v>2025</v>
      </c>
      <c r="F208" s="778">
        <v>46022</v>
      </c>
      <c r="G208" s="786">
        <v>17248226.120000001</v>
      </c>
      <c r="H208" s="787">
        <v>17098821.120000001</v>
      </c>
      <c r="I208" s="787">
        <v>149405</v>
      </c>
      <c r="J208" s="1294">
        <v>8.7377368855707394E-3</v>
      </c>
      <c r="K208" s="632"/>
      <c r="L208" s="632"/>
      <c r="M208" s="632"/>
      <c r="N208" s="632"/>
      <c r="O208" s="632"/>
      <c r="P208" s="632"/>
      <c r="Q208" s="632"/>
      <c r="R208" s="632"/>
    </row>
    <row r="209" spans="1:18">
      <c r="A209" s="650">
        <v>209</v>
      </c>
      <c r="B209" s="651"/>
      <c r="C209" s="652" t="s">
        <v>252</v>
      </c>
      <c r="D209" s="776" t="s">
        <v>2757</v>
      </c>
      <c r="E209" s="777">
        <v>2025</v>
      </c>
      <c r="F209" s="778">
        <v>46022</v>
      </c>
      <c r="G209" s="816">
        <v>-11967149.699999999</v>
      </c>
      <c r="H209" s="787">
        <v>132143.20999995401</v>
      </c>
      <c r="I209" s="787">
        <v>-12099292.909999954</v>
      </c>
      <c r="J209" s="1294">
        <v>-91.561972121035694</v>
      </c>
      <c r="K209" s="632"/>
      <c r="L209" s="632"/>
      <c r="M209" s="632"/>
      <c r="N209" s="632"/>
      <c r="O209" s="632"/>
      <c r="P209" s="632"/>
      <c r="Q209" s="632"/>
      <c r="R209" s="632"/>
    </row>
    <row r="210" spans="1:18">
      <c r="A210" s="650">
        <v>210</v>
      </c>
      <c r="B210" s="651"/>
      <c r="C210" s="652" t="s">
        <v>2762</v>
      </c>
      <c r="D210" s="776" t="s">
        <v>11889</v>
      </c>
      <c r="E210" s="777">
        <v>2025</v>
      </c>
      <c r="F210" s="778">
        <v>46022</v>
      </c>
      <c r="G210" s="788">
        <v>69433600.659999996</v>
      </c>
      <c r="H210" s="789">
        <v>61809855.740000002</v>
      </c>
      <c r="I210" s="789">
        <v>7623744.9199999943</v>
      </c>
      <c r="J210" s="1294">
        <v>0.12334189796638399</v>
      </c>
      <c r="K210" s="632"/>
      <c r="L210" s="632"/>
      <c r="M210" s="632"/>
      <c r="N210" s="632"/>
      <c r="O210" s="632"/>
      <c r="P210" s="632"/>
      <c r="Q210" s="632"/>
      <c r="R210" s="632"/>
    </row>
    <row r="211" spans="1:18">
      <c r="A211" s="650">
        <v>211</v>
      </c>
      <c r="B211" s="651"/>
      <c r="C211" s="652" t="s">
        <v>253</v>
      </c>
      <c r="D211" s="776" t="s">
        <v>2764</v>
      </c>
      <c r="E211" s="777">
        <v>2025</v>
      </c>
      <c r="F211" s="778">
        <v>46022</v>
      </c>
      <c r="G211" s="786">
        <v>0</v>
      </c>
      <c r="H211" s="787">
        <v>0</v>
      </c>
      <c r="I211" s="787">
        <v>0</v>
      </c>
      <c r="J211" s="1294">
        <v>0</v>
      </c>
      <c r="K211" s="632"/>
      <c r="L211" s="632"/>
      <c r="M211" s="632"/>
      <c r="N211" s="632"/>
      <c r="O211" s="632"/>
      <c r="P211" s="632"/>
      <c r="Q211" s="632"/>
      <c r="R211" s="632"/>
    </row>
    <row r="212" spans="1:18">
      <c r="A212" s="650">
        <v>212</v>
      </c>
      <c r="B212" s="651"/>
      <c r="C212" s="652" t="s">
        <v>255</v>
      </c>
      <c r="D212" s="776" t="s">
        <v>11890</v>
      </c>
      <c r="E212" s="777">
        <v>2025</v>
      </c>
      <c r="F212" s="778">
        <v>46022</v>
      </c>
      <c r="G212" s="788">
        <v>29334296.639999997</v>
      </c>
      <c r="H212" s="789">
        <v>23268722.379999999</v>
      </c>
      <c r="I212" s="789">
        <v>6065574.2599999979</v>
      </c>
      <c r="J212" s="1294">
        <v>0.26067500230324198</v>
      </c>
      <c r="K212" s="632"/>
      <c r="L212" s="632"/>
      <c r="M212" s="632"/>
      <c r="N212" s="632"/>
      <c r="O212" s="632"/>
      <c r="P212" s="632"/>
      <c r="Q212" s="632"/>
      <c r="R212" s="632"/>
    </row>
    <row r="213" spans="1:18">
      <c r="A213" s="650">
        <v>213</v>
      </c>
      <c r="B213" s="651"/>
      <c r="C213" s="662" t="s">
        <v>254</v>
      </c>
      <c r="D213" s="783" t="s">
        <v>2768</v>
      </c>
      <c r="E213" s="777">
        <v>2025</v>
      </c>
      <c r="F213" s="778">
        <v>46022</v>
      </c>
      <c r="G213" s="786">
        <v>19408764.699999999</v>
      </c>
      <c r="H213" s="787">
        <v>16061835.890000001</v>
      </c>
      <c r="I213" s="787">
        <v>3346928.8099999987</v>
      </c>
      <c r="J213" s="1294">
        <v>0.20837772424781004</v>
      </c>
      <c r="K213" s="632"/>
      <c r="L213" s="632"/>
      <c r="M213" s="632"/>
      <c r="N213" s="632"/>
      <c r="O213" s="632"/>
      <c r="P213" s="632"/>
      <c r="Q213" s="632"/>
      <c r="R213" s="632"/>
    </row>
    <row r="214" spans="1:18">
      <c r="A214" s="650">
        <v>214</v>
      </c>
      <c r="B214" s="651"/>
      <c r="C214" s="662" t="s">
        <v>256</v>
      </c>
      <c r="D214" s="783" t="s">
        <v>2772</v>
      </c>
      <c r="E214" s="777">
        <v>2025</v>
      </c>
      <c r="F214" s="778">
        <v>46022</v>
      </c>
      <c r="G214" s="786">
        <v>6633948.0599999996</v>
      </c>
      <c r="H214" s="787">
        <v>4708948.0599999996</v>
      </c>
      <c r="I214" s="787">
        <v>1925000</v>
      </c>
      <c r="J214" s="1294">
        <v>0.4087961845134474</v>
      </c>
      <c r="K214" s="632"/>
      <c r="L214" s="632"/>
      <c r="M214" s="632"/>
      <c r="N214" s="632"/>
      <c r="O214" s="632"/>
      <c r="P214" s="632"/>
      <c r="Q214" s="632"/>
      <c r="R214" s="632"/>
    </row>
    <row r="215" spans="1:18">
      <c r="A215" s="650">
        <v>215</v>
      </c>
      <c r="B215" s="651"/>
      <c r="C215" s="662" t="s">
        <v>257</v>
      </c>
      <c r="D215" s="783" t="s">
        <v>2778</v>
      </c>
      <c r="E215" s="777">
        <v>2025</v>
      </c>
      <c r="F215" s="778">
        <v>46022</v>
      </c>
      <c r="G215" s="786">
        <v>0</v>
      </c>
      <c r="H215" s="787">
        <v>0</v>
      </c>
      <c r="I215" s="787">
        <v>0</v>
      </c>
      <c r="J215" s="1294">
        <v>0</v>
      </c>
      <c r="K215" s="632"/>
      <c r="L215" s="632"/>
      <c r="M215" s="632"/>
      <c r="N215" s="632"/>
      <c r="O215" s="632"/>
      <c r="P215" s="632"/>
      <c r="Q215" s="632"/>
      <c r="R215" s="632"/>
    </row>
    <row r="216" spans="1:18">
      <c r="A216" s="650">
        <v>216</v>
      </c>
      <c r="B216" s="651"/>
      <c r="C216" s="662" t="s">
        <v>258</v>
      </c>
      <c r="D216" s="783" t="s">
        <v>2782</v>
      </c>
      <c r="E216" s="777">
        <v>2025</v>
      </c>
      <c r="F216" s="778">
        <v>46022</v>
      </c>
      <c r="G216" s="786">
        <v>2238695.9</v>
      </c>
      <c r="H216" s="787">
        <v>1445050.45</v>
      </c>
      <c r="I216" s="787">
        <v>793645.45</v>
      </c>
      <c r="J216" s="1294">
        <v>0.5492164304713375</v>
      </c>
      <c r="K216" s="632"/>
      <c r="L216" s="632"/>
      <c r="M216" s="632"/>
      <c r="N216" s="632"/>
      <c r="O216" s="632"/>
      <c r="P216" s="632"/>
      <c r="Q216" s="632"/>
      <c r="R216" s="632"/>
    </row>
    <row r="217" spans="1:18">
      <c r="A217" s="650">
        <v>217</v>
      </c>
      <c r="B217" s="651"/>
      <c r="C217" s="677" t="s">
        <v>2786</v>
      </c>
      <c r="D217" s="793" t="s">
        <v>2787</v>
      </c>
      <c r="E217" s="777">
        <v>2025</v>
      </c>
      <c r="F217" s="778">
        <v>46022</v>
      </c>
      <c r="G217" s="786">
        <v>0</v>
      </c>
      <c r="H217" s="787">
        <v>0</v>
      </c>
      <c r="I217" s="787">
        <v>0</v>
      </c>
      <c r="J217" s="1294">
        <v>0</v>
      </c>
      <c r="K217" s="632"/>
      <c r="L217" s="632"/>
      <c r="M217" s="632"/>
      <c r="N217" s="632"/>
      <c r="O217" s="632"/>
      <c r="P217" s="632"/>
      <c r="Q217" s="632"/>
      <c r="R217" s="632"/>
    </row>
    <row r="218" spans="1:18">
      <c r="A218" s="650">
        <v>218</v>
      </c>
      <c r="B218" s="651"/>
      <c r="C218" s="677" t="s">
        <v>2791</v>
      </c>
      <c r="D218" s="793" t="s">
        <v>2792</v>
      </c>
      <c r="E218" s="777">
        <v>2025</v>
      </c>
      <c r="F218" s="778">
        <v>46022</v>
      </c>
      <c r="G218" s="786">
        <v>0</v>
      </c>
      <c r="H218" s="787">
        <v>0</v>
      </c>
      <c r="I218" s="787">
        <v>0</v>
      </c>
      <c r="J218" s="1294">
        <v>0</v>
      </c>
      <c r="K218" s="632"/>
      <c r="L218" s="632"/>
      <c r="M218" s="632"/>
      <c r="N218" s="632"/>
      <c r="O218" s="632"/>
      <c r="P218" s="632"/>
      <c r="Q218" s="632"/>
      <c r="R218" s="632"/>
    </row>
    <row r="219" spans="1:18">
      <c r="A219" s="650">
        <v>219</v>
      </c>
      <c r="B219" s="651"/>
      <c r="C219" s="677" t="s">
        <v>259</v>
      </c>
      <c r="D219" s="793" t="s">
        <v>2795</v>
      </c>
      <c r="E219" s="777">
        <v>2025</v>
      </c>
      <c r="F219" s="778">
        <v>46022</v>
      </c>
      <c r="G219" s="786">
        <v>1052887.98</v>
      </c>
      <c r="H219" s="787">
        <v>1052887.98</v>
      </c>
      <c r="I219" s="787">
        <v>0</v>
      </c>
      <c r="J219" s="1294">
        <v>0</v>
      </c>
      <c r="K219" s="632"/>
      <c r="L219" s="632"/>
      <c r="M219" s="632"/>
      <c r="N219" s="632"/>
      <c r="O219" s="632"/>
      <c r="P219" s="632"/>
      <c r="Q219" s="632"/>
      <c r="R219" s="632"/>
    </row>
    <row r="220" spans="1:18">
      <c r="A220" s="650">
        <v>220</v>
      </c>
      <c r="B220" s="651"/>
      <c r="C220" s="652" t="s">
        <v>260</v>
      </c>
      <c r="D220" s="776" t="s">
        <v>2809</v>
      </c>
      <c r="E220" s="777">
        <v>2025</v>
      </c>
      <c r="F220" s="778">
        <v>46022</v>
      </c>
      <c r="G220" s="788">
        <v>678649.51</v>
      </c>
      <c r="H220" s="789">
        <v>650804.80000000005</v>
      </c>
      <c r="I220" s="789">
        <v>27844.709999999963</v>
      </c>
      <c r="J220" s="1294">
        <v>4.2785040921640344E-2</v>
      </c>
      <c r="K220" s="632"/>
      <c r="L220" s="632"/>
      <c r="M220" s="632"/>
      <c r="N220" s="632"/>
      <c r="O220" s="632"/>
      <c r="P220" s="632"/>
      <c r="Q220" s="632"/>
      <c r="R220" s="632"/>
    </row>
    <row r="221" spans="1:18">
      <c r="A221" s="650">
        <v>221</v>
      </c>
      <c r="B221" s="651"/>
      <c r="C221" s="662" t="s">
        <v>261</v>
      </c>
      <c r="D221" s="783" t="s">
        <v>2811</v>
      </c>
      <c r="E221" s="777">
        <v>2025</v>
      </c>
      <c r="F221" s="778">
        <v>46022</v>
      </c>
      <c r="G221" s="786">
        <v>0</v>
      </c>
      <c r="H221" s="787">
        <v>0</v>
      </c>
      <c r="I221" s="787">
        <v>0</v>
      </c>
      <c r="J221" s="1294">
        <v>0</v>
      </c>
      <c r="K221" s="632"/>
      <c r="L221" s="632"/>
      <c r="M221" s="632"/>
      <c r="N221" s="632"/>
      <c r="O221" s="632"/>
      <c r="P221" s="632"/>
      <c r="Q221" s="632"/>
      <c r="R221" s="632"/>
    </row>
    <row r="222" spans="1:18">
      <c r="A222" s="650">
        <v>222</v>
      </c>
      <c r="B222" s="651"/>
      <c r="C222" s="662" t="s">
        <v>262</v>
      </c>
      <c r="D222" s="783" t="s">
        <v>2815</v>
      </c>
      <c r="E222" s="777">
        <v>2025</v>
      </c>
      <c r="F222" s="778">
        <v>46022</v>
      </c>
      <c r="G222" s="786">
        <v>0</v>
      </c>
      <c r="H222" s="787">
        <v>0</v>
      </c>
      <c r="I222" s="787">
        <v>0</v>
      </c>
      <c r="J222" s="1294">
        <v>0</v>
      </c>
      <c r="K222" s="632"/>
      <c r="L222" s="632"/>
      <c r="M222" s="632"/>
      <c r="N222" s="632"/>
      <c r="O222" s="632"/>
      <c r="P222" s="632"/>
      <c r="Q222" s="632"/>
      <c r="R222" s="632"/>
    </row>
    <row r="223" spans="1:18">
      <c r="A223" s="650">
        <v>223</v>
      </c>
      <c r="B223" s="651"/>
      <c r="C223" s="662" t="s">
        <v>263</v>
      </c>
      <c r="D223" s="783" t="s">
        <v>2819</v>
      </c>
      <c r="E223" s="777">
        <v>2025</v>
      </c>
      <c r="F223" s="778">
        <v>46022</v>
      </c>
      <c r="G223" s="786">
        <v>0</v>
      </c>
      <c r="H223" s="787">
        <v>0</v>
      </c>
      <c r="I223" s="787">
        <v>0</v>
      </c>
      <c r="J223" s="1294">
        <v>0</v>
      </c>
      <c r="K223" s="632"/>
      <c r="L223" s="632"/>
      <c r="M223" s="632"/>
      <c r="N223" s="632"/>
      <c r="O223" s="632"/>
      <c r="P223" s="632"/>
      <c r="Q223" s="632"/>
      <c r="R223" s="632"/>
    </row>
    <row r="224" spans="1:18">
      <c r="A224" s="650">
        <v>224</v>
      </c>
      <c r="B224" s="651"/>
      <c r="C224" s="662" t="s">
        <v>264</v>
      </c>
      <c r="D224" s="783" t="s">
        <v>2823</v>
      </c>
      <c r="E224" s="777">
        <v>2025</v>
      </c>
      <c r="F224" s="778">
        <v>46022</v>
      </c>
      <c r="G224" s="786">
        <v>0</v>
      </c>
      <c r="H224" s="787">
        <v>0</v>
      </c>
      <c r="I224" s="787">
        <v>0</v>
      </c>
      <c r="J224" s="1294">
        <v>0</v>
      </c>
      <c r="K224" s="632"/>
      <c r="L224" s="632"/>
      <c r="M224" s="632"/>
      <c r="N224" s="632"/>
      <c r="O224" s="632"/>
      <c r="P224" s="632"/>
      <c r="Q224" s="632"/>
      <c r="R224" s="632"/>
    </row>
    <row r="225" spans="1:18">
      <c r="A225" s="650">
        <v>225</v>
      </c>
      <c r="B225" s="651"/>
      <c r="C225" s="662" t="s">
        <v>265</v>
      </c>
      <c r="D225" s="783" t="s">
        <v>2828</v>
      </c>
      <c r="E225" s="777">
        <v>2025</v>
      </c>
      <c r="F225" s="778">
        <v>46022</v>
      </c>
      <c r="G225" s="786">
        <v>0</v>
      </c>
      <c r="H225" s="787">
        <v>0</v>
      </c>
      <c r="I225" s="787">
        <v>0</v>
      </c>
      <c r="J225" s="1294">
        <v>0</v>
      </c>
      <c r="K225" s="632"/>
      <c r="L225" s="632"/>
      <c r="M225" s="632"/>
      <c r="N225" s="632"/>
      <c r="O225" s="632"/>
      <c r="P225" s="632"/>
      <c r="Q225" s="632"/>
      <c r="R225" s="632"/>
    </row>
    <row r="226" spans="1:18">
      <c r="A226" s="650">
        <v>226</v>
      </c>
      <c r="B226" s="651"/>
      <c r="C226" s="662" t="s">
        <v>266</v>
      </c>
      <c r="D226" s="783" t="s">
        <v>2833</v>
      </c>
      <c r="E226" s="777">
        <v>2025</v>
      </c>
      <c r="F226" s="778">
        <v>46022</v>
      </c>
      <c r="G226" s="786">
        <v>0</v>
      </c>
      <c r="H226" s="787">
        <v>0</v>
      </c>
      <c r="I226" s="787">
        <v>0</v>
      </c>
      <c r="J226" s="1294">
        <v>0</v>
      </c>
      <c r="K226" s="632"/>
      <c r="L226" s="632"/>
      <c r="M226" s="632"/>
      <c r="N226" s="632"/>
      <c r="O226" s="632"/>
      <c r="P226" s="632"/>
      <c r="Q226" s="632"/>
      <c r="R226" s="632"/>
    </row>
    <row r="227" spans="1:18">
      <c r="A227" s="650">
        <v>227</v>
      </c>
      <c r="B227" s="651"/>
      <c r="C227" s="662" t="s">
        <v>267</v>
      </c>
      <c r="D227" s="783" t="s">
        <v>2838</v>
      </c>
      <c r="E227" s="777">
        <v>2025</v>
      </c>
      <c r="F227" s="778">
        <v>46022</v>
      </c>
      <c r="G227" s="786">
        <v>678649.51</v>
      </c>
      <c r="H227" s="787">
        <v>650804.80000000005</v>
      </c>
      <c r="I227" s="787">
        <v>27844.709999999963</v>
      </c>
      <c r="J227" s="1294">
        <v>4.2785040921640344E-2</v>
      </c>
      <c r="K227" s="632"/>
      <c r="L227" s="632"/>
      <c r="M227" s="632"/>
      <c r="N227" s="632"/>
      <c r="O227" s="632"/>
      <c r="P227" s="632"/>
      <c r="Q227" s="632"/>
      <c r="R227" s="632"/>
    </row>
    <row r="228" spans="1:18">
      <c r="A228" s="650">
        <v>228</v>
      </c>
      <c r="B228" s="651"/>
      <c r="C228" s="662" t="s">
        <v>2843</v>
      </c>
      <c r="D228" s="783" t="s">
        <v>2844</v>
      </c>
      <c r="E228" s="777">
        <v>2025</v>
      </c>
      <c r="F228" s="778">
        <v>46022</v>
      </c>
      <c r="G228" s="786">
        <v>0</v>
      </c>
      <c r="H228" s="787">
        <v>0</v>
      </c>
      <c r="I228" s="787">
        <v>0</v>
      </c>
      <c r="J228" s="1294">
        <v>0</v>
      </c>
      <c r="K228" s="632"/>
      <c r="L228" s="632"/>
      <c r="M228" s="632"/>
      <c r="N228" s="632"/>
      <c r="O228" s="632"/>
      <c r="P228" s="632"/>
      <c r="Q228" s="632"/>
      <c r="R228" s="632"/>
    </row>
    <row r="229" spans="1:18">
      <c r="A229" s="650">
        <v>229</v>
      </c>
      <c r="B229" s="651"/>
      <c r="C229" s="652" t="s">
        <v>268</v>
      </c>
      <c r="D229" s="776" t="s">
        <v>2847</v>
      </c>
      <c r="E229" s="777">
        <v>2025</v>
      </c>
      <c r="F229" s="778">
        <v>46022</v>
      </c>
      <c r="G229" s="788">
        <v>28223549.650000002</v>
      </c>
      <c r="H229" s="789">
        <v>29618288.890000001</v>
      </c>
      <c r="I229" s="789">
        <v>-1394739.2399999984</v>
      </c>
      <c r="J229" s="1294">
        <v>-4.7090473226861634E-2</v>
      </c>
      <c r="K229" s="632"/>
      <c r="L229" s="632"/>
      <c r="M229" s="632"/>
      <c r="N229" s="632"/>
      <c r="O229" s="632"/>
      <c r="P229" s="632"/>
      <c r="Q229" s="632"/>
      <c r="R229" s="632"/>
    </row>
    <row r="230" spans="1:18">
      <c r="A230" s="650">
        <v>230</v>
      </c>
      <c r="B230" s="651"/>
      <c r="C230" s="677" t="s">
        <v>2849</v>
      </c>
      <c r="D230" s="793" t="s">
        <v>2850</v>
      </c>
      <c r="E230" s="777">
        <v>2025</v>
      </c>
      <c r="F230" s="778">
        <v>46022</v>
      </c>
      <c r="G230" s="786">
        <v>345667.9</v>
      </c>
      <c r="H230" s="787">
        <v>345667.9</v>
      </c>
      <c r="I230" s="787">
        <v>0</v>
      </c>
      <c r="J230" s="1294">
        <v>0</v>
      </c>
      <c r="K230" s="632"/>
      <c r="L230" s="632"/>
      <c r="M230" s="632"/>
      <c r="N230" s="632"/>
      <c r="O230" s="632"/>
      <c r="P230" s="632"/>
      <c r="Q230" s="632"/>
      <c r="R230" s="632"/>
    </row>
    <row r="231" spans="1:18">
      <c r="A231" s="650">
        <v>231</v>
      </c>
      <c r="B231" s="651"/>
      <c r="C231" s="662" t="s">
        <v>269</v>
      </c>
      <c r="D231" s="783" t="s">
        <v>11891</v>
      </c>
      <c r="E231" s="777">
        <v>2025</v>
      </c>
      <c r="F231" s="778">
        <v>46022</v>
      </c>
      <c r="G231" s="786">
        <v>19226833.520000003</v>
      </c>
      <c r="H231" s="787">
        <v>16866512.07</v>
      </c>
      <c r="I231" s="787">
        <v>2360321.450000003</v>
      </c>
      <c r="J231" s="1294">
        <v>0.13994128959230651</v>
      </c>
      <c r="K231" s="632"/>
      <c r="L231" s="632"/>
      <c r="M231" s="632"/>
      <c r="N231" s="632"/>
      <c r="O231" s="632"/>
      <c r="P231" s="632"/>
      <c r="Q231" s="632"/>
      <c r="R231" s="632"/>
    </row>
    <row r="232" spans="1:18">
      <c r="A232" s="650">
        <v>232</v>
      </c>
      <c r="B232" s="651"/>
      <c r="C232" s="662" t="s">
        <v>270</v>
      </c>
      <c r="D232" s="783" t="s">
        <v>2997</v>
      </c>
      <c r="E232" s="777">
        <v>2025</v>
      </c>
      <c r="F232" s="778">
        <v>46022</v>
      </c>
      <c r="G232" s="786">
        <v>2341546.9499999997</v>
      </c>
      <c r="H232" s="787">
        <v>4621414.8</v>
      </c>
      <c r="I232" s="787">
        <v>-2279867.85</v>
      </c>
      <c r="J232" s="1294">
        <v>-0.49332681628145569</v>
      </c>
      <c r="K232" s="632"/>
      <c r="L232" s="632"/>
      <c r="M232" s="632"/>
      <c r="N232" s="632"/>
      <c r="O232" s="632"/>
      <c r="P232" s="632"/>
      <c r="Q232" s="632"/>
      <c r="R232" s="632"/>
    </row>
    <row r="233" spans="1:18">
      <c r="A233" s="650">
        <v>233</v>
      </c>
      <c r="B233" s="651"/>
      <c r="C233" s="662" t="s">
        <v>271</v>
      </c>
      <c r="D233" s="783" t="s">
        <v>3006</v>
      </c>
      <c r="E233" s="777">
        <v>2025</v>
      </c>
      <c r="F233" s="778">
        <v>46022</v>
      </c>
      <c r="G233" s="786">
        <v>6223404.2800000003</v>
      </c>
      <c r="H233" s="787">
        <v>7698597.1200000001</v>
      </c>
      <c r="I233" s="787">
        <v>-1475192.8399999999</v>
      </c>
      <c r="J233" s="1294">
        <v>-0.19161839709310569</v>
      </c>
      <c r="K233" s="632"/>
      <c r="L233" s="632"/>
      <c r="M233" s="632"/>
      <c r="N233" s="632"/>
      <c r="O233" s="632"/>
      <c r="P233" s="632"/>
      <c r="Q233" s="632"/>
      <c r="R233" s="632"/>
    </row>
    <row r="234" spans="1:18">
      <c r="A234" s="650">
        <v>234</v>
      </c>
      <c r="B234" s="651"/>
      <c r="C234" s="662" t="s">
        <v>272</v>
      </c>
      <c r="D234" s="783" t="s">
        <v>3056</v>
      </c>
      <c r="E234" s="777">
        <v>2025</v>
      </c>
      <c r="F234" s="778">
        <v>46022</v>
      </c>
      <c r="G234" s="794">
        <v>86097</v>
      </c>
      <c r="H234" s="787">
        <v>86097</v>
      </c>
      <c r="I234" s="787">
        <v>0</v>
      </c>
      <c r="J234" s="1294">
        <v>0</v>
      </c>
      <c r="K234" s="632"/>
      <c r="L234" s="632"/>
      <c r="M234" s="632"/>
      <c r="N234" s="632"/>
      <c r="O234" s="632"/>
      <c r="P234" s="632"/>
      <c r="Q234" s="632"/>
      <c r="R234" s="632"/>
    </row>
    <row r="235" spans="1:18">
      <c r="A235" s="650">
        <v>235</v>
      </c>
      <c r="B235" s="651"/>
      <c r="C235" s="652" t="s">
        <v>274</v>
      </c>
      <c r="D235" s="776" t="s">
        <v>11892</v>
      </c>
      <c r="E235" s="777">
        <v>2025</v>
      </c>
      <c r="F235" s="778">
        <v>46022</v>
      </c>
      <c r="G235" s="780">
        <v>11197104.859999999</v>
      </c>
      <c r="H235" s="781">
        <v>8272039.6699999999</v>
      </c>
      <c r="I235" s="781">
        <v>2925065.1899999995</v>
      </c>
      <c r="J235" s="1294">
        <v>0.35360869950953699</v>
      </c>
      <c r="K235" s="632"/>
      <c r="L235" s="632"/>
      <c r="M235" s="632"/>
      <c r="N235" s="632"/>
      <c r="O235" s="632"/>
      <c r="P235" s="632"/>
      <c r="Q235" s="632"/>
      <c r="R235" s="632"/>
    </row>
    <row r="236" spans="1:18">
      <c r="A236" s="650">
        <v>236</v>
      </c>
      <c r="B236" s="651"/>
      <c r="C236" s="662" t="s">
        <v>273</v>
      </c>
      <c r="D236" s="783" t="s">
        <v>3065</v>
      </c>
      <c r="E236" s="777">
        <v>2025</v>
      </c>
      <c r="F236" s="778">
        <v>46022</v>
      </c>
      <c r="G236" s="794">
        <v>0</v>
      </c>
      <c r="H236" s="787">
        <v>0</v>
      </c>
      <c r="I236" s="787">
        <v>0</v>
      </c>
      <c r="J236" s="1294">
        <v>0</v>
      </c>
      <c r="K236" s="632"/>
      <c r="L236" s="632"/>
      <c r="M236" s="632"/>
      <c r="N236" s="632"/>
      <c r="O236" s="632"/>
      <c r="P236" s="632"/>
      <c r="Q236" s="632"/>
      <c r="R236" s="632"/>
    </row>
    <row r="237" spans="1:18">
      <c r="A237" s="650">
        <v>237</v>
      </c>
      <c r="B237" s="651"/>
      <c r="C237" s="662" t="s">
        <v>11893</v>
      </c>
      <c r="D237" s="783" t="s">
        <v>11894</v>
      </c>
      <c r="E237" s="777">
        <v>2025</v>
      </c>
      <c r="F237" s="778">
        <v>46022</v>
      </c>
      <c r="G237" s="780">
        <v>5039887.0199999996</v>
      </c>
      <c r="H237" s="781">
        <v>3711216.2</v>
      </c>
      <c r="I237" s="781">
        <v>1328670.8199999994</v>
      </c>
      <c r="J237" s="1294">
        <v>0.358014933217849</v>
      </c>
      <c r="K237" s="632"/>
      <c r="L237" s="632"/>
      <c r="M237" s="632"/>
      <c r="N237" s="632"/>
      <c r="O237" s="632"/>
      <c r="P237" s="632"/>
      <c r="Q237" s="632"/>
      <c r="R237" s="632"/>
    </row>
    <row r="238" spans="1:18">
      <c r="A238" s="650">
        <v>238</v>
      </c>
      <c r="B238" s="651"/>
      <c r="C238" s="664" t="s">
        <v>307</v>
      </c>
      <c r="D238" s="784" t="s">
        <v>11895</v>
      </c>
      <c r="E238" s="777">
        <v>2025</v>
      </c>
      <c r="F238" s="778">
        <v>46022</v>
      </c>
      <c r="G238" s="794">
        <v>5039887.0199999996</v>
      </c>
      <c r="H238" s="787">
        <v>3711216.2</v>
      </c>
      <c r="I238" s="787">
        <v>1328670.8199999994</v>
      </c>
      <c r="J238" s="1294">
        <v>0.358014933217849</v>
      </c>
      <c r="K238" s="632"/>
      <c r="L238" s="632"/>
      <c r="M238" s="632"/>
      <c r="N238" s="632"/>
      <c r="O238" s="632"/>
      <c r="P238" s="632"/>
      <c r="Q238" s="632"/>
      <c r="R238" s="632"/>
    </row>
    <row r="239" spans="1:18">
      <c r="A239" s="650">
        <v>239</v>
      </c>
      <c r="B239" s="651"/>
      <c r="C239" s="664" t="s">
        <v>308</v>
      </c>
      <c r="D239" s="784" t="s">
        <v>3090</v>
      </c>
      <c r="E239" s="777">
        <v>2025</v>
      </c>
      <c r="F239" s="778">
        <v>46022</v>
      </c>
      <c r="G239" s="786">
        <v>0</v>
      </c>
      <c r="H239" s="787">
        <v>0</v>
      </c>
      <c r="I239" s="787">
        <v>0</v>
      </c>
      <c r="J239" s="1294">
        <v>0</v>
      </c>
      <c r="K239" s="632"/>
      <c r="L239" s="632"/>
      <c r="M239" s="632"/>
      <c r="N239" s="632"/>
      <c r="O239" s="632"/>
      <c r="P239" s="632"/>
      <c r="Q239" s="632"/>
      <c r="R239" s="632"/>
    </row>
    <row r="240" spans="1:18">
      <c r="A240" s="650">
        <v>240</v>
      </c>
      <c r="B240" s="651"/>
      <c r="C240" s="664" t="s">
        <v>275</v>
      </c>
      <c r="D240" s="784" t="s">
        <v>3095</v>
      </c>
      <c r="E240" s="777">
        <v>2025</v>
      </c>
      <c r="F240" s="778">
        <v>46022</v>
      </c>
      <c r="G240" s="786">
        <v>0</v>
      </c>
      <c r="H240" s="787">
        <v>0</v>
      </c>
      <c r="I240" s="787">
        <v>0</v>
      </c>
      <c r="J240" s="1294">
        <v>0</v>
      </c>
      <c r="K240" s="632"/>
      <c r="L240" s="632"/>
      <c r="M240" s="632"/>
      <c r="N240" s="632"/>
      <c r="O240" s="632"/>
      <c r="P240" s="632"/>
      <c r="Q240" s="632"/>
      <c r="R240" s="632"/>
    </row>
    <row r="241" spans="1:18">
      <c r="A241" s="650">
        <v>241</v>
      </c>
      <c r="B241" s="651"/>
      <c r="C241" s="662" t="s">
        <v>309</v>
      </c>
      <c r="D241" s="783" t="s">
        <v>3099</v>
      </c>
      <c r="E241" s="777">
        <v>2025</v>
      </c>
      <c r="F241" s="778">
        <v>46022</v>
      </c>
      <c r="G241" s="786">
        <v>5513291.1699999999</v>
      </c>
      <c r="H241" s="787">
        <v>4220823.47</v>
      </c>
      <c r="I241" s="787">
        <v>1292467.7000000002</v>
      </c>
      <c r="J241" s="1294">
        <v>0.306212214082481</v>
      </c>
      <c r="K241" s="632"/>
      <c r="L241" s="632"/>
      <c r="M241" s="632"/>
      <c r="N241" s="632"/>
      <c r="O241" s="632"/>
      <c r="P241" s="632"/>
      <c r="Q241" s="632"/>
      <c r="R241" s="632"/>
    </row>
    <row r="242" spans="1:18">
      <c r="A242" s="650">
        <v>242</v>
      </c>
      <c r="B242" s="651"/>
      <c r="C242" s="662" t="s">
        <v>3146</v>
      </c>
      <c r="D242" s="783" t="s">
        <v>3147</v>
      </c>
      <c r="E242" s="777">
        <v>2025</v>
      </c>
      <c r="F242" s="778">
        <v>46022</v>
      </c>
      <c r="G242" s="786">
        <v>643926.67000000004</v>
      </c>
      <c r="H242" s="787">
        <v>340000</v>
      </c>
      <c r="I242" s="787">
        <v>303926.67000000004</v>
      </c>
      <c r="J242" s="1294">
        <v>0.89390197058823539</v>
      </c>
      <c r="K242" s="632"/>
      <c r="L242" s="632"/>
      <c r="M242" s="632"/>
      <c r="N242" s="632"/>
      <c r="O242" s="632"/>
      <c r="P242" s="632"/>
      <c r="Q242" s="632"/>
      <c r="R242" s="632"/>
    </row>
    <row r="243" spans="1:18">
      <c r="A243" s="650">
        <v>243</v>
      </c>
      <c r="B243" s="651"/>
      <c r="C243" s="652" t="s">
        <v>3150</v>
      </c>
      <c r="D243" s="776" t="s">
        <v>11896</v>
      </c>
      <c r="E243" s="777">
        <v>2025</v>
      </c>
      <c r="F243" s="778">
        <v>46022</v>
      </c>
      <c r="G243" s="788">
        <v>367699.49</v>
      </c>
      <c r="H243" s="789">
        <v>367699.49</v>
      </c>
      <c r="I243" s="789">
        <v>0</v>
      </c>
      <c r="J243" s="1294">
        <v>0</v>
      </c>
      <c r="K243" s="632"/>
      <c r="L243" s="632"/>
      <c r="M243" s="632"/>
      <c r="N243" s="632"/>
      <c r="O243" s="632"/>
      <c r="P243" s="632"/>
      <c r="Q243" s="632"/>
      <c r="R243" s="632"/>
    </row>
    <row r="244" spans="1:18">
      <c r="A244" s="650">
        <v>244</v>
      </c>
      <c r="B244" s="651"/>
      <c r="C244" s="652" t="s">
        <v>3152</v>
      </c>
      <c r="D244" s="776" t="s">
        <v>3154</v>
      </c>
      <c r="E244" s="777">
        <v>2025</v>
      </c>
      <c r="F244" s="778">
        <v>46022</v>
      </c>
      <c r="G244" s="786">
        <v>0</v>
      </c>
      <c r="H244" s="787">
        <v>0</v>
      </c>
      <c r="I244" s="787">
        <v>0</v>
      </c>
      <c r="J244" s="1294">
        <v>0</v>
      </c>
      <c r="K244" s="632"/>
      <c r="L244" s="632"/>
      <c r="M244" s="632"/>
      <c r="N244" s="632"/>
      <c r="O244" s="632"/>
      <c r="P244" s="632"/>
      <c r="Q244" s="632"/>
      <c r="R244" s="632"/>
    </row>
    <row r="245" spans="1:18">
      <c r="A245" s="650">
        <v>245</v>
      </c>
      <c r="B245" s="651"/>
      <c r="C245" s="652" t="s">
        <v>276</v>
      </c>
      <c r="D245" s="776" t="s">
        <v>3158</v>
      </c>
      <c r="E245" s="777">
        <v>2025</v>
      </c>
      <c r="F245" s="778">
        <v>46022</v>
      </c>
      <c r="G245" s="786">
        <v>367699.49</v>
      </c>
      <c r="H245" s="787">
        <v>367699.49</v>
      </c>
      <c r="I245" s="787">
        <v>0</v>
      </c>
      <c r="J245" s="1294">
        <v>0</v>
      </c>
      <c r="K245" s="632"/>
      <c r="L245" s="632"/>
      <c r="M245" s="632"/>
      <c r="N245" s="632"/>
      <c r="O245" s="632"/>
      <c r="P245" s="632"/>
      <c r="Q245" s="632"/>
      <c r="R245" s="632"/>
    </row>
    <row r="246" spans="1:18">
      <c r="A246" s="650">
        <v>246</v>
      </c>
      <c r="B246" s="651"/>
      <c r="C246" s="652" t="s">
        <v>3162</v>
      </c>
      <c r="D246" s="776" t="s">
        <v>3163</v>
      </c>
      <c r="E246" s="777">
        <v>2025</v>
      </c>
      <c r="F246" s="778">
        <v>46022</v>
      </c>
      <c r="G246" s="786">
        <v>0</v>
      </c>
      <c r="H246" s="787">
        <v>0</v>
      </c>
      <c r="I246" s="787">
        <v>0</v>
      </c>
      <c r="J246" s="1294">
        <v>0</v>
      </c>
      <c r="K246" s="632"/>
      <c r="L246" s="632"/>
      <c r="M246" s="632"/>
      <c r="N246" s="632"/>
      <c r="O246" s="632"/>
      <c r="P246" s="632"/>
      <c r="Q246" s="632"/>
      <c r="R246" s="632"/>
    </row>
    <row r="247" spans="1:18">
      <c r="A247" s="650">
        <v>247</v>
      </c>
      <c r="B247" s="651"/>
      <c r="C247" s="652" t="s">
        <v>3166</v>
      </c>
      <c r="D247" s="776" t="s">
        <v>11897</v>
      </c>
      <c r="E247" s="777">
        <v>2025</v>
      </c>
      <c r="F247" s="778">
        <v>46022</v>
      </c>
      <c r="G247" s="780">
        <v>134459055.32999998</v>
      </c>
      <c r="H247" s="781">
        <v>102427517.65000001</v>
      </c>
      <c r="I247" s="781">
        <v>32031537.679999977</v>
      </c>
      <c r="J247" s="1294">
        <v>0.31272394777205631</v>
      </c>
      <c r="K247" s="632"/>
      <c r="L247" s="632"/>
      <c r="M247" s="632"/>
      <c r="N247" s="632"/>
      <c r="O247" s="632"/>
      <c r="P247" s="632"/>
      <c r="Q247" s="632"/>
      <c r="R247" s="632"/>
    </row>
    <row r="248" spans="1:18">
      <c r="A248" s="650">
        <v>248</v>
      </c>
      <c r="B248" s="651"/>
      <c r="C248" s="652" t="s">
        <v>277</v>
      </c>
      <c r="D248" s="776" t="s">
        <v>3168</v>
      </c>
      <c r="E248" s="777">
        <v>2025</v>
      </c>
      <c r="F248" s="778">
        <v>46022</v>
      </c>
      <c r="G248" s="794">
        <v>59522.04</v>
      </c>
      <c r="H248" s="787">
        <v>0</v>
      </c>
      <c r="I248" s="787">
        <v>59522.04</v>
      </c>
      <c r="J248" s="1294">
        <v>1</v>
      </c>
      <c r="K248" s="632"/>
      <c r="L248" s="632"/>
      <c r="M248" s="632"/>
      <c r="N248" s="632"/>
      <c r="O248" s="632"/>
      <c r="P248" s="632"/>
      <c r="Q248" s="632"/>
      <c r="R248" s="632"/>
    </row>
    <row r="249" spans="1:18">
      <c r="A249" s="650">
        <v>249</v>
      </c>
      <c r="B249" s="651"/>
      <c r="C249" s="652" t="s">
        <v>3175</v>
      </c>
      <c r="D249" s="776" t="s">
        <v>3176</v>
      </c>
      <c r="E249" s="777">
        <v>2025</v>
      </c>
      <c r="F249" s="778">
        <v>46022</v>
      </c>
      <c r="G249" s="780">
        <v>0</v>
      </c>
      <c r="H249" s="781">
        <v>0</v>
      </c>
      <c r="I249" s="781">
        <v>0</v>
      </c>
      <c r="J249" s="1294">
        <v>0</v>
      </c>
      <c r="K249" s="632"/>
      <c r="L249" s="632"/>
      <c r="M249" s="632"/>
      <c r="N249" s="632"/>
      <c r="O249" s="632"/>
      <c r="P249" s="632"/>
      <c r="Q249" s="632"/>
      <c r="R249" s="632"/>
    </row>
    <row r="250" spans="1:18">
      <c r="A250" s="650">
        <v>250</v>
      </c>
      <c r="B250" s="682" t="s">
        <v>1349</v>
      </c>
      <c r="C250" s="677" t="s">
        <v>280</v>
      </c>
      <c r="D250" s="793" t="s">
        <v>3178</v>
      </c>
      <c r="E250" s="777">
        <v>2025</v>
      </c>
      <c r="F250" s="778">
        <v>46022</v>
      </c>
      <c r="G250" s="794">
        <v>0</v>
      </c>
      <c r="H250" s="787">
        <v>0</v>
      </c>
      <c r="I250" s="787">
        <v>0</v>
      </c>
      <c r="J250" s="1294">
        <v>0</v>
      </c>
      <c r="K250" s="632"/>
      <c r="L250" s="632"/>
      <c r="M250" s="632"/>
      <c r="N250" s="632"/>
      <c r="O250" s="632"/>
      <c r="P250" s="632"/>
      <c r="Q250" s="632"/>
      <c r="R250" s="632"/>
    </row>
    <row r="251" spans="1:18">
      <c r="A251" s="650">
        <v>251</v>
      </c>
      <c r="B251" s="682"/>
      <c r="C251" s="677" t="s">
        <v>281</v>
      </c>
      <c r="D251" s="793" t="s">
        <v>3184</v>
      </c>
      <c r="E251" s="777">
        <v>2025</v>
      </c>
      <c r="F251" s="778">
        <v>46022</v>
      </c>
      <c r="G251" s="794">
        <v>0</v>
      </c>
      <c r="H251" s="787">
        <v>0</v>
      </c>
      <c r="I251" s="787">
        <v>0</v>
      </c>
      <c r="J251" s="1294">
        <v>0</v>
      </c>
      <c r="K251" s="632"/>
      <c r="L251" s="632"/>
      <c r="M251" s="632"/>
      <c r="N251" s="632"/>
      <c r="O251" s="632"/>
      <c r="P251" s="632"/>
      <c r="Q251" s="632"/>
      <c r="R251" s="632"/>
    </row>
    <row r="252" spans="1:18">
      <c r="A252" s="650">
        <v>252</v>
      </c>
      <c r="B252" s="651" t="s">
        <v>1340</v>
      </c>
      <c r="C252" s="677" t="s">
        <v>282</v>
      </c>
      <c r="D252" s="793" t="s">
        <v>3188</v>
      </c>
      <c r="E252" s="777">
        <v>2025</v>
      </c>
      <c r="F252" s="778">
        <v>46022</v>
      </c>
      <c r="G252" s="786">
        <v>0</v>
      </c>
      <c r="H252" s="787">
        <v>0</v>
      </c>
      <c r="I252" s="787">
        <v>0</v>
      </c>
      <c r="J252" s="1294">
        <v>0</v>
      </c>
      <c r="K252" s="632"/>
      <c r="L252" s="632"/>
      <c r="M252" s="632"/>
      <c r="N252" s="632"/>
      <c r="O252" s="632"/>
      <c r="P252" s="632"/>
      <c r="Q252" s="632"/>
      <c r="R252" s="632"/>
    </row>
    <row r="253" spans="1:18">
      <c r="A253" s="650">
        <v>253</v>
      </c>
      <c r="B253" s="651" t="s">
        <v>1340</v>
      </c>
      <c r="C253" s="677" t="s">
        <v>284</v>
      </c>
      <c r="D253" s="793" t="s">
        <v>3192</v>
      </c>
      <c r="E253" s="777">
        <v>2025</v>
      </c>
      <c r="F253" s="778">
        <v>46022</v>
      </c>
      <c r="G253" s="786">
        <v>0</v>
      </c>
      <c r="H253" s="787">
        <v>0</v>
      </c>
      <c r="I253" s="787">
        <v>0</v>
      </c>
      <c r="J253" s="1294">
        <v>0</v>
      </c>
      <c r="K253" s="632"/>
      <c r="L253" s="632"/>
      <c r="M253" s="632"/>
      <c r="N253" s="632"/>
      <c r="O253" s="632"/>
      <c r="P253" s="632"/>
      <c r="Q253" s="632"/>
      <c r="R253" s="632"/>
    </row>
    <row r="254" spans="1:18">
      <c r="A254" s="650">
        <v>254</v>
      </c>
      <c r="B254" s="651" t="s">
        <v>1340</v>
      </c>
      <c r="C254" s="677" t="s">
        <v>283</v>
      </c>
      <c r="D254" s="793" t="s">
        <v>3196</v>
      </c>
      <c r="E254" s="777">
        <v>2025</v>
      </c>
      <c r="F254" s="778">
        <v>46022</v>
      </c>
      <c r="G254" s="786">
        <v>0</v>
      </c>
      <c r="H254" s="787">
        <v>0</v>
      </c>
      <c r="I254" s="787">
        <v>0</v>
      </c>
      <c r="J254" s="1294">
        <v>0</v>
      </c>
      <c r="K254" s="632"/>
      <c r="L254" s="632"/>
      <c r="M254" s="632"/>
      <c r="N254" s="632"/>
      <c r="O254" s="632"/>
      <c r="P254" s="632"/>
      <c r="Q254" s="632"/>
      <c r="R254" s="632"/>
    </row>
    <row r="255" spans="1:18">
      <c r="A255" s="650">
        <v>255</v>
      </c>
      <c r="B255" s="651"/>
      <c r="C255" s="652" t="s">
        <v>3200</v>
      </c>
      <c r="D255" s="776" t="s">
        <v>3201</v>
      </c>
      <c r="E255" s="777">
        <v>2025</v>
      </c>
      <c r="F255" s="778">
        <v>46022</v>
      </c>
      <c r="G255" s="788">
        <v>0.02</v>
      </c>
      <c r="H255" s="789">
        <v>807211</v>
      </c>
      <c r="I255" s="789">
        <v>-807210.98</v>
      </c>
      <c r="J255" s="1294">
        <v>-0.99999997522333073</v>
      </c>
      <c r="K255" s="632"/>
      <c r="L255" s="632"/>
      <c r="M255" s="632"/>
      <c r="N255" s="632"/>
      <c r="O255" s="632"/>
      <c r="P255" s="632"/>
      <c r="Q255" s="632"/>
      <c r="R255" s="632"/>
    </row>
    <row r="256" spans="1:18">
      <c r="A256" s="650">
        <v>256</v>
      </c>
      <c r="B256" s="651" t="s">
        <v>1422</v>
      </c>
      <c r="C256" s="662" t="s">
        <v>285</v>
      </c>
      <c r="D256" s="783" t="s">
        <v>3203</v>
      </c>
      <c r="E256" s="777">
        <v>2025</v>
      </c>
      <c r="F256" s="778">
        <v>46022</v>
      </c>
      <c r="G256" s="786">
        <v>0</v>
      </c>
      <c r="H256" s="787">
        <v>0</v>
      </c>
      <c r="I256" s="787">
        <v>0</v>
      </c>
      <c r="J256" s="1294">
        <v>0</v>
      </c>
      <c r="K256" s="632"/>
      <c r="L256" s="632"/>
      <c r="M256" s="632"/>
      <c r="N256" s="632"/>
      <c r="O256" s="632"/>
      <c r="P256" s="632"/>
      <c r="Q256" s="632"/>
      <c r="R256" s="632"/>
    </row>
    <row r="257" spans="1:18">
      <c r="A257" s="650">
        <v>257</v>
      </c>
      <c r="B257" s="651"/>
      <c r="C257" s="662" t="s">
        <v>3216</v>
      </c>
      <c r="D257" s="783" t="s">
        <v>3217</v>
      </c>
      <c r="E257" s="777">
        <v>2025</v>
      </c>
      <c r="F257" s="778">
        <v>46022</v>
      </c>
      <c r="G257" s="786">
        <v>0</v>
      </c>
      <c r="H257" s="787">
        <v>0</v>
      </c>
      <c r="I257" s="787">
        <v>0</v>
      </c>
      <c r="J257" s="1294">
        <v>0</v>
      </c>
      <c r="K257" s="632"/>
      <c r="L257" s="632"/>
      <c r="M257" s="632"/>
      <c r="N257" s="632"/>
      <c r="O257" s="632"/>
      <c r="P257" s="632"/>
      <c r="Q257" s="632"/>
      <c r="R257" s="632"/>
    </row>
    <row r="258" spans="1:18">
      <c r="A258" s="650">
        <v>258</v>
      </c>
      <c r="B258" s="651" t="s">
        <v>1519</v>
      </c>
      <c r="C258" s="662" t="s">
        <v>286</v>
      </c>
      <c r="D258" s="783" t="s">
        <v>3220</v>
      </c>
      <c r="E258" s="777">
        <v>2025</v>
      </c>
      <c r="F258" s="778">
        <v>46022</v>
      </c>
      <c r="G258" s="786">
        <v>0</v>
      </c>
      <c r="H258" s="787">
        <v>807211</v>
      </c>
      <c r="I258" s="787">
        <v>-807211</v>
      </c>
      <c r="J258" s="1294">
        <v>-1</v>
      </c>
      <c r="K258" s="632"/>
      <c r="L258" s="632"/>
      <c r="M258" s="632"/>
      <c r="N258" s="632"/>
      <c r="O258" s="632"/>
      <c r="P258" s="632"/>
      <c r="Q258" s="632"/>
      <c r="R258" s="632"/>
    </row>
    <row r="259" spans="1:18">
      <c r="A259" s="650">
        <v>259</v>
      </c>
      <c r="B259" s="672" t="s">
        <v>1422</v>
      </c>
      <c r="C259" s="677" t="s">
        <v>287</v>
      </c>
      <c r="D259" s="793" t="s">
        <v>3224</v>
      </c>
      <c r="E259" s="777">
        <v>2025</v>
      </c>
      <c r="F259" s="778">
        <v>46022</v>
      </c>
      <c r="G259" s="786">
        <v>0</v>
      </c>
      <c r="H259" s="787">
        <v>0</v>
      </c>
      <c r="I259" s="787">
        <v>0</v>
      </c>
      <c r="J259" s="1294">
        <v>0</v>
      </c>
      <c r="K259" s="632"/>
      <c r="L259" s="632"/>
      <c r="M259" s="632"/>
      <c r="N259" s="632"/>
      <c r="O259" s="632"/>
      <c r="P259" s="632"/>
      <c r="Q259" s="632"/>
      <c r="R259" s="632"/>
    </row>
    <row r="260" spans="1:18">
      <c r="A260" s="650">
        <v>260</v>
      </c>
      <c r="B260" s="672" t="s">
        <v>1422</v>
      </c>
      <c r="C260" s="677" t="s">
        <v>3229</v>
      </c>
      <c r="D260" s="793" t="s">
        <v>3230</v>
      </c>
      <c r="E260" s="777">
        <v>2025</v>
      </c>
      <c r="F260" s="778">
        <v>46022</v>
      </c>
      <c r="G260" s="786">
        <v>0</v>
      </c>
      <c r="H260" s="787">
        <v>0</v>
      </c>
      <c r="I260" s="787">
        <v>0</v>
      </c>
      <c r="J260" s="1294">
        <v>0</v>
      </c>
      <c r="K260" s="632"/>
      <c r="L260" s="632"/>
      <c r="M260" s="632"/>
      <c r="N260" s="632"/>
      <c r="O260" s="632"/>
      <c r="P260" s="632"/>
      <c r="Q260" s="632"/>
      <c r="R260" s="632"/>
    </row>
    <row r="261" spans="1:18">
      <c r="A261" s="650">
        <v>261</v>
      </c>
      <c r="B261" s="672" t="s">
        <v>1422</v>
      </c>
      <c r="C261" s="677" t="s">
        <v>288</v>
      </c>
      <c r="D261" s="793" t="s">
        <v>3234</v>
      </c>
      <c r="E261" s="777">
        <v>2025</v>
      </c>
      <c r="F261" s="778">
        <v>46022</v>
      </c>
      <c r="G261" s="786">
        <v>0.02</v>
      </c>
      <c r="H261" s="787">
        <v>0</v>
      </c>
      <c r="I261" s="787">
        <v>0.02</v>
      </c>
      <c r="J261" s="1294">
        <v>1</v>
      </c>
      <c r="K261" s="632"/>
      <c r="L261" s="632"/>
      <c r="M261" s="632"/>
      <c r="N261" s="632"/>
      <c r="O261" s="632"/>
      <c r="P261" s="632"/>
      <c r="Q261" s="632"/>
      <c r="R261" s="632"/>
    </row>
    <row r="262" spans="1:18">
      <c r="A262" s="650">
        <v>262</v>
      </c>
      <c r="B262" s="672" t="s">
        <v>1422</v>
      </c>
      <c r="C262" s="677" t="s">
        <v>3237</v>
      </c>
      <c r="D262" s="793" t="s">
        <v>3238</v>
      </c>
      <c r="E262" s="777">
        <v>2025</v>
      </c>
      <c r="F262" s="778">
        <v>46022</v>
      </c>
      <c r="G262" s="786">
        <v>0</v>
      </c>
      <c r="H262" s="787">
        <v>0</v>
      </c>
      <c r="I262" s="787">
        <v>0</v>
      </c>
      <c r="J262" s="1294">
        <v>0</v>
      </c>
      <c r="K262" s="632"/>
      <c r="L262" s="632"/>
      <c r="M262" s="632"/>
      <c r="N262" s="632"/>
      <c r="O262" s="632"/>
      <c r="P262" s="632"/>
      <c r="Q262" s="632"/>
      <c r="R262" s="632"/>
    </row>
    <row r="263" spans="1:18">
      <c r="A263" s="650">
        <v>263</v>
      </c>
      <c r="B263" s="694"/>
      <c r="C263" s="691" t="s">
        <v>3241</v>
      </c>
      <c r="D263" s="776" t="s">
        <v>3242</v>
      </c>
      <c r="E263" s="777">
        <v>2025</v>
      </c>
      <c r="F263" s="778">
        <v>46022</v>
      </c>
      <c r="G263" s="786">
        <v>0</v>
      </c>
      <c r="H263" s="787">
        <v>0</v>
      </c>
      <c r="I263" s="787">
        <v>0</v>
      </c>
      <c r="J263" s="1294">
        <v>0</v>
      </c>
      <c r="K263" s="632"/>
      <c r="L263" s="632"/>
      <c r="M263" s="632"/>
      <c r="N263" s="632"/>
      <c r="O263" s="632"/>
      <c r="P263" s="632"/>
      <c r="Q263" s="632"/>
      <c r="R263" s="632"/>
    </row>
    <row r="264" spans="1:18">
      <c r="A264" s="650">
        <v>264</v>
      </c>
      <c r="B264" s="682" t="s">
        <v>1422</v>
      </c>
      <c r="C264" s="677" t="s">
        <v>289</v>
      </c>
      <c r="D264" s="793" t="s">
        <v>3246</v>
      </c>
      <c r="E264" s="777">
        <v>2025</v>
      </c>
      <c r="F264" s="778">
        <v>46022</v>
      </c>
      <c r="G264" s="786">
        <v>0</v>
      </c>
      <c r="H264" s="787">
        <v>0</v>
      </c>
      <c r="I264" s="787">
        <v>0</v>
      </c>
      <c r="J264" s="1294">
        <v>0</v>
      </c>
      <c r="K264" s="632"/>
      <c r="L264" s="632"/>
      <c r="M264" s="632"/>
      <c r="N264" s="632"/>
      <c r="O264" s="632"/>
      <c r="P264" s="632"/>
      <c r="Q264" s="632"/>
      <c r="R264" s="632"/>
    </row>
    <row r="265" spans="1:18">
      <c r="A265" s="650">
        <v>265</v>
      </c>
      <c r="B265" s="682"/>
      <c r="C265" s="677" t="s">
        <v>3251</v>
      </c>
      <c r="D265" s="793" t="s">
        <v>3252</v>
      </c>
      <c r="E265" s="777">
        <v>2025</v>
      </c>
      <c r="F265" s="778">
        <v>46022</v>
      </c>
      <c r="G265" s="786">
        <v>0</v>
      </c>
      <c r="H265" s="787">
        <v>0</v>
      </c>
      <c r="I265" s="787">
        <v>0</v>
      </c>
      <c r="J265" s="1294">
        <v>0</v>
      </c>
      <c r="K265" s="632"/>
      <c r="L265" s="632"/>
      <c r="M265" s="632"/>
      <c r="N265" s="632"/>
      <c r="O265" s="632"/>
      <c r="P265" s="632"/>
      <c r="Q265" s="632"/>
      <c r="R265" s="632"/>
    </row>
    <row r="266" spans="1:18">
      <c r="A266" s="650">
        <v>266</v>
      </c>
      <c r="B266" s="651"/>
      <c r="C266" s="652" t="s">
        <v>298</v>
      </c>
      <c r="D266" s="776" t="s">
        <v>3257</v>
      </c>
      <c r="E266" s="777">
        <v>2025</v>
      </c>
      <c r="F266" s="778">
        <v>46022</v>
      </c>
      <c r="G266" s="794">
        <v>400</v>
      </c>
      <c r="H266" s="787">
        <v>400</v>
      </c>
      <c r="I266" s="787">
        <v>0</v>
      </c>
      <c r="J266" s="1294">
        <v>0</v>
      </c>
      <c r="K266" s="632"/>
      <c r="L266" s="632"/>
      <c r="M266" s="632"/>
      <c r="N266" s="632"/>
      <c r="O266" s="632"/>
      <c r="P266" s="632"/>
      <c r="Q266" s="632"/>
      <c r="R266" s="632"/>
    </row>
    <row r="267" spans="1:18">
      <c r="A267" s="650">
        <v>267</v>
      </c>
      <c r="B267" s="651"/>
      <c r="C267" s="652" t="s">
        <v>3261</v>
      </c>
      <c r="D267" s="776" t="s">
        <v>3262</v>
      </c>
      <c r="E267" s="777">
        <v>2025</v>
      </c>
      <c r="F267" s="778">
        <v>46022</v>
      </c>
      <c r="G267" s="780">
        <v>5735732.2299999995</v>
      </c>
      <c r="H267" s="781">
        <v>8358018.29</v>
      </c>
      <c r="I267" s="781">
        <v>-2622286.0600000005</v>
      </c>
      <c r="J267" s="1294">
        <v>-0.31374495353012688</v>
      </c>
      <c r="K267" s="632"/>
      <c r="L267" s="632"/>
      <c r="M267" s="632"/>
      <c r="N267" s="632"/>
      <c r="O267" s="632"/>
      <c r="P267" s="632"/>
      <c r="Q267" s="632"/>
      <c r="R267" s="632"/>
    </row>
    <row r="268" spans="1:18">
      <c r="A268" s="650">
        <v>268</v>
      </c>
      <c r="B268" s="651"/>
      <c r="C268" s="662" t="s">
        <v>11898</v>
      </c>
      <c r="D268" s="783" t="s">
        <v>11899</v>
      </c>
      <c r="E268" s="777">
        <v>2025</v>
      </c>
      <c r="F268" s="778">
        <v>46022</v>
      </c>
      <c r="G268" s="780">
        <v>5681730.2999999998</v>
      </c>
      <c r="H268" s="781">
        <v>8302917.3600000003</v>
      </c>
      <c r="I268" s="781">
        <v>-2621187.0600000005</v>
      </c>
      <c r="J268" s="1294">
        <v>-0.31569470661333915</v>
      </c>
      <c r="K268" s="632"/>
      <c r="L268" s="632"/>
      <c r="M268" s="632"/>
      <c r="N268" s="632"/>
      <c r="O268" s="632"/>
      <c r="P268" s="632"/>
      <c r="Q268" s="632"/>
      <c r="R268" s="632"/>
    </row>
    <row r="269" spans="1:18">
      <c r="A269" s="650">
        <v>269</v>
      </c>
      <c r="B269" s="651" t="s">
        <v>1422</v>
      </c>
      <c r="C269" s="664" t="s">
        <v>290</v>
      </c>
      <c r="D269" s="784" t="s">
        <v>3264</v>
      </c>
      <c r="E269" s="777">
        <v>2025</v>
      </c>
      <c r="F269" s="778">
        <v>46022</v>
      </c>
      <c r="G269" s="794">
        <v>0</v>
      </c>
      <c r="H269" s="787">
        <v>0</v>
      </c>
      <c r="I269" s="787">
        <v>0</v>
      </c>
      <c r="J269" s="1294">
        <v>0</v>
      </c>
      <c r="K269" s="632"/>
      <c r="L269" s="632"/>
      <c r="M269" s="632"/>
      <c r="N269" s="632"/>
      <c r="O269" s="632"/>
      <c r="P269" s="632"/>
      <c r="Q269" s="632"/>
      <c r="R269" s="632"/>
    </row>
    <row r="270" spans="1:18">
      <c r="A270" s="650">
        <v>270</v>
      </c>
      <c r="B270" s="651" t="s">
        <v>1422</v>
      </c>
      <c r="C270" s="664" t="s">
        <v>291</v>
      </c>
      <c r="D270" s="784" t="s">
        <v>3270</v>
      </c>
      <c r="E270" s="777">
        <v>2025</v>
      </c>
      <c r="F270" s="778">
        <v>46022</v>
      </c>
      <c r="G270" s="794">
        <v>0</v>
      </c>
      <c r="H270" s="787">
        <v>0</v>
      </c>
      <c r="I270" s="787">
        <v>0</v>
      </c>
      <c r="J270" s="1294">
        <v>0</v>
      </c>
      <c r="K270" s="632"/>
      <c r="L270" s="632"/>
      <c r="M270" s="632"/>
      <c r="N270" s="632"/>
      <c r="O270" s="632"/>
      <c r="P270" s="632"/>
      <c r="Q270" s="632"/>
      <c r="R270" s="632"/>
    </row>
    <row r="271" spans="1:18">
      <c r="A271" s="650">
        <v>271</v>
      </c>
      <c r="B271" s="651" t="s">
        <v>1422</v>
      </c>
      <c r="C271" s="664" t="s">
        <v>292</v>
      </c>
      <c r="D271" s="784" t="s">
        <v>3274</v>
      </c>
      <c r="E271" s="777">
        <v>2025</v>
      </c>
      <c r="F271" s="778">
        <v>46022</v>
      </c>
      <c r="G271" s="794">
        <v>0</v>
      </c>
      <c r="H271" s="787">
        <v>0</v>
      </c>
      <c r="I271" s="787">
        <v>0</v>
      </c>
      <c r="J271" s="1294">
        <v>0</v>
      </c>
      <c r="K271" s="632"/>
      <c r="L271" s="632"/>
      <c r="M271" s="632"/>
      <c r="N271" s="632"/>
      <c r="O271" s="632"/>
      <c r="P271" s="632"/>
      <c r="Q271" s="632"/>
      <c r="R271" s="632"/>
    </row>
    <row r="272" spans="1:18">
      <c r="A272" s="650">
        <v>272</v>
      </c>
      <c r="B272" s="651" t="s">
        <v>1519</v>
      </c>
      <c r="C272" s="664" t="s">
        <v>293</v>
      </c>
      <c r="D272" s="784" t="s">
        <v>3277</v>
      </c>
      <c r="E272" s="777">
        <v>2025</v>
      </c>
      <c r="F272" s="778">
        <v>46022</v>
      </c>
      <c r="G272" s="794">
        <v>0</v>
      </c>
      <c r="H272" s="787">
        <v>0</v>
      </c>
      <c r="I272" s="787">
        <v>0</v>
      </c>
      <c r="J272" s="1294">
        <v>0</v>
      </c>
      <c r="K272" s="632"/>
      <c r="L272" s="632"/>
      <c r="M272" s="632"/>
      <c r="N272" s="632"/>
      <c r="O272" s="632"/>
      <c r="P272" s="632"/>
      <c r="Q272" s="632"/>
      <c r="R272" s="632"/>
    </row>
    <row r="273" spans="1:18">
      <c r="A273" s="650">
        <v>273</v>
      </c>
      <c r="B273" s="682" t="s">
        <v>1519</v>
      </c>
      <c r="C273" s="664" t="s">
        <v>294</v>
      </c>
      <c r="D273" s="784" t="s">
        <v>3285</v>
      </c>
      <c r="E273" s="777">
        <v>2025</v>
      </c>
      <c r="F273" s="778">
        <v>46022</v>
      </c>
      <c r="G273" s="794">
        <v>0</v>
      </c>
      <c r="H273" s="787">
        <v>16636.2</v>
      </c>
      <c r="I273" s="787">
        <v>-16636.2</v>
      </c>
      <c r="J273" s="1294">
        <v>-1</v>
      </c>
      <c r="K273" s="632"/>
      <c r="L273" s="632"/>
      <c r="M273" s="632"/>
      <c r="N273" s="632"/>
      <c r="O273" s="632"/>
      <c r="P273" s="632"/>
      <c r="Q273" s="632"/>
      <c r="R273" s="632"/>
    </row>
    <row r="274" spans="1:18">
      <c r="A274" s="650">
        <v>274</v>
      </c>
      <c r="B274" s="682" t="s">
        <v>1519</v>
      </c>
      <c r="C274" s="664" t="s">
        <v>295</v>
      </c>
      <c r="D274" s="784" t="s">
        <v>3339</v>
      </c>
      <c r="E274" s="777">
        <v>2025</v>
      </c>
      <c r="F274" s="778">
        <v>46022</v>
      </c>
      <c r="G274" s="786">
        <v>5681730.2999999998</v>
      </c>
      <c r="H274" s="787">
        <v>8286281.1600000001</v>
      </c>
      <c r="I274" s="787">
        <v>-2604550.8600000003</v>
      </c>
      <c r="J274" s="1294">
        <v>-0.31432084064113514</v>
      </c>
      <c r="K274" s="632"/>
      <c r="L274" s="632"/>
      <c r="M274" s="632"/>
      <c r="N274" s="632"/>
      <c r="O274" s="632"/>
      <c r="P274" s="632"/>
      <c r="Q274" s="632"/>
      <c r="R274" s="632"/>
    </row>
    <row r="275" spans="1:18">
      <c r="A275" s="650">
        <v>275</v>
      </c>
      <c r="B275" s="651" t="s">
        <v>1422</v>
      </c>
      <c r="C275" s="664" t="s">
        <v>3395</v>
      </c>
      <c r="D275" s="784" t="s">
        <v>11900</v>
      </c>
      <c r="E275" s="777">
        <v>2025</v>
      </c>
      <c r="F275" s="778">
        <v>46022</v>
      </c>
      <c r="G275" s="786">
        <v>0</v>
      </c>
      <c r="H275" s="787">
        <v>0</v>
      </c>
      <c r="I275" s="787">
        <v>0</v>
      </c>
      <c r="J275" s="1294">
        <v>0</v>
      </c>
      <c r="K275" s="632"/>
      <c r="L275" s="632"/>
      <c r="M275" s="632"/>
      <c r="N275" s="632"/>
      <c r="O275" s="632"/>
      <c r="P275" s="632"/>
      <c r="Q275" s="632"/>
      <c r="R275" s="632"/>
    </row>
    <row r="276" spans="1:18">
      <c r="A276" s="650">
        <v>276</v>
      </c>
      <c r="B276" s="651" t="s">
        <v>1519</v>
      </c>
      <c r="C276" s="673" t="s">
        <v>3434</v>
      </c>
      <c r="D276" s="796" t="s">
        <v>3435</v>
      </c>
      <c r="E276" s="777">
        <v>2025</v>
      </c>
      <c r="F276" s="778">
        <v>46022</v>
      </c>
      <c r="G276" s="786">
        <v>0</v>
      </c>
      <c r="H276" s="787">
        <v>0</v>
      </c>
      <c r="I276" s="787">
        <v>0</v>
      </c>
      <c r="J276" s="1294">
        <v>0</v>
      </c>
      <c r="K276" s="632"/>
      <c r="L276" s="632"/>
      <c r="M276" s="632"/>
      <c r="N276" s="632"/>
      <c r="O276" s="632"/>
      <c r="P276" s="632"/>
      <c r="Q276" s="632"/>
      <c r="R276" s="632"/>
    </row>
    <row r="277" spans="1:18">
      <c r="A277" s="650">
        <v>277</v>
      </c>
      <c r="B277" s="651" t="s">
        <v>1422</v>
      </c>
      <c r="C277" s="673" t="s">
        <v>3490</v>
      </c>
      <c r="D277" s="784" t="s">
        <v>3491</v>
      </c>
      <c r="E277" s="777">
        <v>2025</v>
      </c>
      <c r="F277" s="778">
        <v>46022</v>
      </c>
      <c r="G277" s="786">
        <v>0</v>
      </c>
      <c r="H277" s="787">
        <v>0</v>
      </c>
      <c r="I277" s="787">
        <v>0</v>
      </c>
      <c r="J277" s="1294">
        <v>0</v>
      </c>
      <c r="K277" s="632"/>
      <c r="L277" s="632"/>
      <c r="M277" s="632"/>
      <c r="N277" s="632"/>
      <c r="O277" s="632"/>
      <c r="P277" s="632"/>
      <c r="Q277" s="632"/>
      <c r="R277" s="632"/>
    </row>
    <row r="278" spans="1:18">
      <c r="A278" s="650">
        <v>278</v>
      </c>
      <c r="B278" s="651" t="s">
        <v>1340</v>
      </c>
      <c r="C278" s="662" t="s">
        <v>296</v>
      </c>
      <c r="D278" s="783" t="s">
        <v>11901</v>
      </c>
      <c r="E278" s="777">
        <v>2025</v>
      </c>
      <c r="F278" s="778">
        <v>46022</v>
      </c>
      <c r="G278" s="786">
        <v>54001.93</v>
      </c>
      <c r="H278" s="787">
        <v>55100.93</v>
      </c>
      <c r="I278" s="787">
        <v>-1099</v>
      </c>
      <c r="J278" s="1294">
        <v>-1.9945216895613196E-2</v>
      </c>
      <c r="K278" s="632"/>
      <c r="L278" s="632"/>
      <c r="M278" s="632"/>
      <c r="N278" s="632"/>
      <c r="O278" s="632"/>
      <c r="P278" s="632"/>
      <c r="Q278" s="632"/>
      <c r="R278" s="632"/>
    </row>
    <row r="279" spans="1:18">
      <c r="A279" s="650">
        <v>279</v>
      </c>
      <c r="B279" s="672"/>
      <c r="C279" s="662" t="s">
        <v>297</v>
      </c>
      <c r="D279" s="783" t="s">
        <v>11902</v>
      </c>
      <c r="E279" s="777">
        <v>2025</v>
      </c>
      <c r="F279" s="778">
        <v>46022</v>
      </c>
      <c r="G279" s="788">
        <v>0</v>
      </c>
      <c r="H279" s="789">
        <v>0</v>
      </c>
      <c r="I279" s="789">
        <v>0</v>
      </c>
      <c r="J279" s="1294">
        <v>0</v>
      </c>
      <c r="K279" s="632"/>
      <c r="L279" s="632"/>
      <c r="M279" s="632"/>
      <c r="N279" s="632"/>
      <c r="O279" s="632"/>
      <c r="P279" s="632"/>
      <c r="Q279" s="632"/>
      <c r="R279" s="632"/>
    </row>
    <row r="280" spans="1:18">
      <c r="A280" s="650">
        <v>280</v>
      </c>
      <c r="B280" s="672" t="s">
        <v>1422</v>
      </c>
      <c r="C280" s="673" t="s">
        <v>3500</v>
      </c>
      <c r="D280" s="792" t="s">
        <v>3501</v>
      </c>
      <c r="E280" s="777">
        <v>2025</v>
      </c>
      <c r="F280" s="778">
        <v>46022</v>
      </c>
      <c r="G280" s="786">
        <v>0</v>
      </c>
      <c r="H280" s="787">
        <v>0</v>
      </c>
      <c r="I280" s="787">
        <v>0</v>
      </c>
      <c r="J280" s="1294">
        <v>0</v>
      </c>
      <c r="K280" s="632"/>
      <c r="L280" s="632"/>
      <c r="M280" s="632"/>
      <c r="N280" s="632"/>
      <c r="O280" s="632"/>
      <c r="P280" s="632"/>
      <c r="Q280" s="632"/>
      <c r="R280" s="632"/>
    </row>
    <row r="281" spans="1:18">
      <c r="A281" s="650">
        <v>281</v>
      </c>
      <c r="B281" s="672" t="s">
        <v>1422</v>
      </c>
      <c r="C281" s="673" t="s">
        <v>3504</v>
      </c>
      <c r="D281" s="792" t="s">
        <v>3505</v>
      </c>
      <c r="E281" s="777">
        <v>2025</v>
      </c>
      <c r="F281" s="778">
        <v>46022</v>
      </c>
      <c r="G281" s="786">
        <v>0</v>
      </c>
      <c r="H281" s="787">
        <v>0</v>
      </c>
      <c r="I281" s="787">
        <v>0</v>
      </c>
      <c r="J281" s="1294">
        <v>0</v>
      </c>
      <c r="K281" s="632"/>
      <c r="L281" s="632"/>
      <c r="M281" s="632"/>
      <c r="N281" s="632"/>
      <c r="O281" s="632"/>
      <c r="P281" s="632"/>
      <c r="Q281" s="632"/>
      <c r="R281" s="632"/>
    </row>
    <row r="282" spans="1:18">
      <c r="A282" s="650">
        <v>282</v>
      </c>
      <c r="B282" s="672" t="s">
        <v>1422</v>
      </c>
      <c r="C282" s="673" t="s">
        <v>3508</v>
      </c>
      <c r="D282" s="792" t="s">
        <v>3509</v>
      </c>
      <c r="E282" s="777">
        <v>2025</v>
      </c>
      <c r="F282" s="778">
        <v>46022</v>
      </c>
      <c r="G282" s="786">
        <v>0</v>
      </c>
      <c r="H282" s="787">
        <v>0</v>
      </c>
      <c r="I282" s="787">
        <v>0</v>
      </c>
      <c r="J282" s="1294">
        <v>0</v>
      </c>
      <c r="K282" s="632"/>
      <c r="L282" s="632"/>
      <c r="M282" s="632"/>
      <c r="N282" s="632"/>
      <c r="O282" s="632"/>
      <c r="P282" s="632"/>
      <c r="Q282" s="632"/>
      <c r="R282" s="632"/>
    </row>
    <row r="283" spans="1:18">
      <c r="A283" s="650">
        <v>283</v>
      </c>
      <c r="B283" s="672" t="s">
        <v>1422</v>
      </c>
      <c r="C283" s="673" t="s">
        <v>3512</v>
      </c>
      <c r="D283" s="792" t="s">
        <v>3513</v>
      </c>
      <c r="E283" s="777">
        <v>2025</v>
      </c>
      <c r="F283" s="778">
        <v>46022</v>
      </c>
      <c r="G283" s="786">
        <v>0</v>
      </c>
      <c r="H283" s="787">
        <v>0</v>
      </c>
      <c r="I283" s="787">
        <v>0</v>
      </c>
      <c r="J283" s="1294">
        <v>0</v>
      </c>
      <c r="K283" s="632"/>
      <c r="L283" s="632"/>
      <c r="M283" s="632"/>
      <c r="N283" s="632"/>
      <c r="O283" s="632"/>
      <c r="P283" s="632"/>
      <c r="Q283" s="632"/>
      <c r="R283" s="632"/>
    </row>
    <row r="284" spans="1:18">
      <c r="A284" s="650">
        <v>284</v>
      </c>
      <c r="B284" s="672" t="s">
        <v>1422</v>
      </c>
      <c r="C284" s="673" t="s">
        <v>3516</v>
      </c>
      <c r="D284" s="792" t="s">
        <v>3517</v>
      </c>
      <c r="E284" s="777">
        <v>2025</v>
      </c>
      <c r="F284" s="778">
        <v>46022</v>
      </c>
      <c r="G284" s="786">
        <v>0</v>
      </c>
      <c r="H284" s="787">
        <v>0</v>
      </c>
      <c r="I284" s="787">
        <v>0</v>
      </c>
      <c r="J284" s="1294">
        <v>0</v>
      </c>
      <c r="K284" s="632"/>
      <c r="L284" s="632"/>
      <c r="M284" s="632"/>
      <c r="N284" s="632"/>
      <c r="O284" s="632"/>
      <c r="P284" s="632"/>
      <c r="Q284" s="632"/>
      <c r="R284" s="632"/>
    </row>
    <row r="285" spans="1:18">
      <c r="A285" s="650">
        <v>285</v>
      </c>
      <c r="B285" s="651"/>
      <c r="C285" s="652" t="s">
        <v>3519</v>
      </c>
      <c r="D285" s="776" t="s">
        <v>3520</v>
      </c>
      <c r="E285" s="777">
        <v>2025</v>
      </c>
      <c r="F285" s="778">
        <v>46022</v>
      </c>
      <c r="G285" s="788">
        <v>7682.02</v>
      </c>
      <c r="H285" s="789">
        <v>0</v>
      </c>
      <c r="I285" s="789">
        <v>7682.02</v>
      </c>
      <c r="J285" s="1294">
        <v>1</v>
      </c>
      <c r="K285" s="632"/>
      <c r="L285" s="632"/>
      <c r="M285" s="632"/>
      <c r="N285" s="632"/>
      <c r="O285" s="632"/>
      <c r="P285" s="632"/>
      <c r="Q285" s="632"/>
      <c r="R285" s="632"/>
    </row>
    <row r="286" spans="1:18">
      <c r="A286" s="650">
        <v>286</v>
      </c>
      <c r="B286" s="651"/>
      <c r="C286" s="662" t="s">
        <v>304</v>
      </c>
      <c r="D286" s="783" t="s">
        <v>3522</v>
      </c>
      <c r="E286" s="777">
        <v>2025</v>
      </c>
      <c r="F286" s="778">
        <v>46022</v>
      </c>
      <c r="G286" s="786">
        <v>7682.02</v>
      </c>
      <c r="H286" s="787">
        <v>0</v>
      </c>
      <c r="I286" s="787">
        <v>7682.02</v>
      </c>
      <c r="J286" s="1294">
        <v>1</v>
      </c>
      <c r="K286" s="632"/>
      <c r="L286" s="632"/>
      <c r="M286" s="632"/>
      <c r="N286" s="632"/>
      <c r="O286" s="632"/>
      <c r="P286" s="632"/>
      <c r="Q286" s="632"/>
      <c r="R286" s="632"/>
    </row>
    <row r="287" spans="1:18">
      <c r="A287" s="650">
        <v>287</v>
      </c>
      <c r="B287" s="651"/>
      <c r="C287" s="662" t="s">
        <v>305</v>
      </c>
      <c r="D287" s="783" t="s">
        <v>3530</v>
      </c>
      <c r="E287" s="777">
        <v>2025</v>
      </c>
      <c r="F287" s="778">
        <v>46022</v>
      </c>
      <c r="G287" s="786">
        <v>0</v>
      </c>
      <c r="H287" s="787">
        <v>0</v>
      </c>
      <c r="I287" s="787">
        <v>0</v>
      </c>
      <c r="J287" s="1294">
        <v>0</v>
      </c>
      <c r="K287" s="632"/>
      <c r="L287" s="632"/>
      <c r="M287" s="632"/>
      <c r="N287" s="632"/>
      <c r="O287" s="632"/>
      <c r="P287" s="632"/>
      <c r="Q287" s="632"/>
      <c r="R287" s="632"/>
    </row>
    <row r="288" spans="1:18">
      <c r="A288" s="650">
        <v>288</v>
      </c>
      <c r="B288" s="651"/>
      <c r="C288" s="662" t="s">
        <v>306</v>
      </c>
      <c r="D288" s="783" t="s">
        <v>3526</v>
      </c>
      <c r="E288" s="777">
        <v>2025</v>
      </c>
      <c r="F288" s="778">
        <v>46022</v>
      </c>
      <c r="G288" s="786">
        <v>0</v>
      </c>
      <c r="H288" s="787">
        <v>0</v>
      </c>
      <c r="I288" s="787">
        <v>0</v>
      </c>
      <c r="J288" s="1294">
        <v>0</v>
      </c>
      <c r="K288" s="632"/>
      <c r="L288" s="632"/>
      <c r="M288" s="632"/>
      <c r="N288" s="632"/>
      <c r="O288" s="632"/>
      <c r="P288" s="632"/>
      <c r="Q288" s="632"/>
      <c r="R288" s="632"/>
    </row>
    <row r="289" spans="1:18">
      <c r="A289" s="650">
        <v>289</v>
      </c>
      <c r="B289" s="651"/>
      <c r="C289" s="652" t="s">
        <v>299</v>
      </c>
      <c r="D289" s="776" t="s">
        <v>3540</v>
      </c>
      <c r="E289" s="777">
        <v>2025</v>
      </c>
      <c r="F289" s="778">
        <v>46022</v>
      </c>
      <c r="G289" s="788">
        <v>48350437.269999996</v>
      </c>
      <c r="H289" s="789">
        <v>42371216.859999999</v>
      </c>
      <c r="I289" s="789">
        <v>5979220.4099999964</v>
      </c>
      <c r="J289" s="1294">
        <v>0.14111514497580083</v>
      </c>
      <c r="K289" s="632"/>
      <c r="L289" s="632"/>
      <c r="M289" s="632"/>
      <c r="N289" s="632"/>
      <c r="O289" s="632"/>
      <c r="P289" s="632"/>
      <c r="Q289" s="632"/>
      <c r="R289" s="632"/>
    </row>
    <row r="290" spans="1:18">
      <c r="A290" s="650">
        <v>290</v>
      </c>
      <c r="B290" s="651"/>
      <c r="C290" s="662" t="s">
        <v>300</v>
      </c>
      <c r="D290" s="783" t="s">
        <v>11903</v>
      </c>
      <c r="E290" s="777">
        <v>2025</v>
      </c>
      <c r="F290" s="778">
        <v>46022</v>
      </c>
      <c r="G290" s="788">
        <v>10948.05</v>
      </c>
      <c r="H290" s="789">
        <v>2099.7399999999998</v>
      </c>
      <c r="I290" s="789">
        <v>8848.31</v>
      </c>
      <c r="J290" s="1294">
        <v>4.214002686046844</v>
      </c>
      <c r="K290" s="632"/>
      <c r="L290" s="632"/>
      <c r="M290" s="632"/>
      <c r="N290" s="632"/>
      <c r="O290" s="632"/>
      <c r="P290" s="632"/>
      <c r="Q290" s="632"/>
      <c r="R290" s="632"/>
    </row>
    <row r="291" spans="1:18">
      <c r="A291" s="650">
        <v>291</v>
      </c>
      <c r="B291" s="651"/>
      <c r="C291" s="662" t="s">
        <v>3544</v>
      </c>
      <c r="D291" s="818" t="s">
        <v>3545</v>
      </c>
      <c r="E291" s="777">
        <v>2025</v>
      </c>
      <c r="F291" s="778">
        <v>46022</v>
      </c>
      <c r="G291" s="786">
        <v>10948.05</v>
      </c>
      <c r="H291" s="787">
        <v>2099.7399999999998</v>
      </c>
      <c r="I291" s="787">
        <v>8848.31</v>
      </c>
      <c r="J291" s="1294">
        <v>4.214002686046844</v>
      </c>
      <c r="K291" s="632"/>
      <c r="L291" s="632"/>
      <c r="M291" s="632"/>
      <c r="N291" s="632"/>
      <c r="O291" s="632"/>
      <c r="P291" s="632"/>
      <c r="Q291" s="632"/>
      <c r="R291" s="632"/>
    </row>
    <row r="292" spans="1:18">
      <c r="A292" s="650">
        <v>292</v>
      </c>
      <c r="B292" s="651"/>
      <c r="C292" s="662" t="s">
        <v>3568</v>
      </c>
      <c r="D292" s="818" t="s">
        <v>3569</v>
      </c>
      <c r="E292" s="777">
        <v>2025</v>
      </c>
      <c r="F292" s="778">
        <v>46022</v>
      </c>
      <c r="G292" s="786">
        <v>0</v>
      </c>
      <c r="H292" s="787">
        <v>0</v>
      </c>
      <c r="I292" s="787">
        <v>0</v>
      </c>
      <c r="J292" s="1294">
        <v>0</v>
      </c>
      <c r="K292" s="632"/>
      <c r="L292" s="632"/>
      <c r="M292" s="632"/>
      <c r="N292" s="632"/>
      <c r="O292" s="632"/>
      <c r="P292" s="632"/>
      <c r="Q292" s="632"/>
      <c r="R292" s="632"/>
    </row>
    <row r="293" spans="1:18">
      <c r="A293" s="650">
        <v>293</v>
      </c>
      <c r="B293" s="651"/>
      <c r="C293" s="662" t="s">
        <v>301</v>
      </c>
      <c r="D293" s="818" t="s">
        <v>3586</v>
      </c>
      <c r="E293" s="777">
        <v>2025</v>
      </c>
      <c r="F293" s="778">
        <v>46022</v>
      </c>
      <c r="G293" s="788">
        <v>48339489.219999999</v>
      </c>
      <c r="H293" s="789">
        <v>42369117.119999997</v>
      </c>
      <c r="I293" s="789">
        <v>5970372.1000000015</v>
      </c>
      <c r="J293" s="1294">
        <v>0.14091329972938557</v>
      </c>
      <c r="K293" s="632"/>
      <c r="L293" s="632"/>
      <c r="M293" s="632"/>
      <c r="N293" s="632"/>
      <c r="O293" s="632"/>
      <c r="P293" s="632"/>
      <c r="Q293" s="632"/>
      <c r="R293" s="632"/>
    </row>
    <row r="294" spans="1:18">
      <c r="A294" s="650">
        <v>294</v>
      </c>
      <c r="B294" s="651"/>
      <c r="C294" s="819" t="s">
        <v>3590</v>
      </c>
      <c r="D294" s="818" t="s">
        <v>3591</v>
      </c>
      <c r="E294" s="777">
        <v>2025</v>
      </c>
      <c r="F294" s="778">
        <v>46022</v>
      </c>
      <c r="G294" s="786">
        <v>48473861.359999999</v>
      </c>
      <c r="H294" s="787">
        <v>42672675.43</v>
      </c>
      <c r="I294" s="787">
        <v>5801185.9299999997</v>
      </c>
      <c r="J294" s="1294">
        <v>0.13594614988498271</v>
      </c>
      <c r="K294" s="632"/>
      <c r="L294" s="632"/>
      <c r="M294" s="632"/>
      <c r="N294" s="632"/>
      <c r="O294" s="632"/>
      <c r="P294" s="632"/>
      <c r="Q294" s="632"/>
      <c r="R294" s="632"/>
    </row>
    <row r="295" spans="1:18">
      <c r="A295" s="650">
        <v>295</v>
      </c>
      <c r="B295" s="651"/>
      <c r="C295" s="819" t="s">
        <v>3638</v>
      </c>
      <c r="D295" s="818" t="s">
        <v>11904</v>
      </c>
      <c r="E295" s="777">
        <v>2025</v>
      </c>
      <c r="F295" s="778">
        <v>46022</v>
      </c>
      <c r="G295" s="786">
        <v>-134372.14000000001</v>
      </c>
      <c r="H295" s="787">
        <v>-303558.31</v>
      </c>
      <c r="I295" s="787">
        <v>169186.16999999998</v>
      </c>
      <c r="J295" s="1294">
        <v>-0.55734323333134905</v>
      </c>
      <c r="K295" s="632"/>
      <c r="L295" s="632"/>
      <c r="M295" s="632"/>
      <c r="N295" s="632"/>
      <c r="O295" s="632"/>
      <c r="P295" s="632"/>
      <c r="Q295" s="632"/>
      <c r="R295" s="632"/>
    </row>
    <row r="296" spans="1:18">
      <c r="A296" s="650">
        <v>296</v>
      </c>
      <c r="B296" s="651"/>
      <c r="C296" s="652" t="s">
        <v>278</v>
      </c>
      <c r="D296" s="776" t="s">
        <v>11905</v>
      </c>
      <c r="E296" s="777">
        <v>2025</v>
      </c>
      <c r="F296" s="778">
        <v>46022</v>
      </c>
      <c r="G296" s="786">
        <v>43226346.560000002</v>
      </c>
      <c r="H296" s="787">
        <v>12457277.880000001</v>
      </c>
      <c r="I296" s="787">
        <v>30769068.68</v>
      </c>
      <c r="J296" s="1294">
        <v>2.4699672734602269</v>
      </c>
      <c r="K296" s="632"/>
      <c r="L296" s="632"/>
      <c r="M296" s="632"/>
      <c r="N296" s="632"/>
      <c r="O296" s="632"/>
      <c r="P296" s="632"/>
      <c r="Q296" s="632"/>
      <c r="R296" s="632"/>
    </row>
    <row r="297" spans="1:18">
      <c r="A297" s="650">
        <v>297</v>
      </c>
      <c r="B297" s="651"/>
      <c r="C297" s="652" t="s">
        <v>302</v>
      </c>
      <c r="D297" s="776" t="s">
        <v>3671</v>
      </c>
      <c r="E297" s="777">
        <v>2025</v>
      </c>
      <c r="F297" s="778">
        <v>46022</v>
      </c>
      <c r="G297" s="786">
        <v>9229246.3400000017</v>
      </c>
      <c r="H297" s="787">
        <v>7192014.6200000001</v>
      </c>
      <c r="I297" s="787">
        <v>2037231.7200000016</v>
      </c>
      <c r="J297" s="1294">
        <v>0.28326301149816091</v>
      </c>
      <c r="K297" s="632"/>
      <c r="L297" s="632"/>
      <c r="M297" s="632"/>
      <c r="N297" s="632"/>
      <c r="O297" s="632"/>
      <c r="P297" s="632"/>
      <c r="Q297" s="632"/>
      <c r="R297" s="632"/>
    </row>
    <row r="298" spans="1:18">
      <c r="A298" s="650">
        <v>298</v>
      </c>
      <c r="B298" s="651"/>
      <c r="C298" s="652" t="s">
        <v>303</v>
      </c>
      <c r="D298" s="776" t="s">
        <v>3709</v>
      </c>
      <c r="E298" s="777">
        <v>2025</v>
      </c>
      <c r="F298" s="778">
        <v>46022</v>
      </c>
      <c r="G298" s="786">
        <v>6935379.4600000009</v>
      </c>
      <c r="H298" s="787">
        <v>12348374.17</v>
      </c>
      <c r="I298" s="787">
        <v>-5412994.709999999</v>
      </c>
      <c r="J298" s="1294">
        <v>-0.43835687479819857</v>
      </c>
      <c r="K298" s="632"/>
      <c r="L298" s="632"/>
      <c r="M298" s="632"/>
      <c r="N298" s="632"/>
      <c r="O298" s="632"/>
      <c r="P298" s="632"/>
      <c r="Q298" s="632"/>
      <c r="R298" s="632"/>
    </row>
    <row r="299" spans="1:18">
      <c r="A299" s="650">
        <v>299</v>
      </c>
      <c r="B299" s="651"/>
      <c r="C299" s="652" t="s">
        <v>616</v>
      </c>
      <c r="D299" s="776" t="s">
        <v>11906</v>
      </c>
      <c r="E299" s="777">
        <v>2025</v>
      </c>
      <c r="F299" s="778">
        <v>46022</v>
      </c>
      <c r="G299" s="788">
        <v>20914309.390000001</v>
      </c>
      <c r="H299" s="789">
        <v>18893004.829999994</v>
      </c>
      <c r="I299" s="789">
        <v>2021304.5600000061</v>
      </c>
      <c r="J299" s="1294">
        <v>0.10698692866422174</v>
      </c>
      <c r="K299" s="632"/>
      <c r="L299" s="632"/>
      <c r="M299" s="632"/>
      <c r="N299" s="632"/>
      <c r="O299" s="632"/>
      <c r="P299" s="632"/>
      <c r="Q299" s="632"/>
      <c r="R299" s="632"/>
    </row>
    <row r="300" spans="1:18">
      <c r="A300" s="650">
        <v>300</v>
      </c>
      <c r="B300" s="651"/>
      <c r="C300" s="662" t="s">
        <v>279</v>
      </c>
      <c r="D300" s="783" t="s">
        <v>3751</v>
      </c>
      <c r="E300" s="777">
        <v>2025</v>
      </c>
      <c r="F300" s="778">
        <v>46022</v>
      </c>
      <c r="G300" s="786">
        <v>0</v>
      </c>
      <c r="H300" s="787">
        <v>0</v>
      </c>
      <c r="I300" s="787">
        <v>0</v>
      </c>
      <c r="J300" s="1294">
        <v>0</v>
      </c>
      <c r="K300" s="632"/>
      <c r="L300" s="632"/>
      <c r="M300" s="632"/>
      <c r="N300" s="632"/>
      <c r="O300" s="632"/>
      <c r="P300" s="632"/>
      <c r="Q300" s="632"/>
      <c r="R300" s="632"/>
    </row>
    <row r="301" spans="1:18">
      <c r="A301" s="650">
        <v>301</v>
      </c>
      <c r="B301" s="651"/>
      <c r="C301" s="662" t="s">
        <v>607</v>
      </c>
      <c r="D301" s="783" t="s">
        <v>3756</v>
      </c>
      <c r="E301" s="777">
        <v>2025</v>
      </c>
      <c r="F301" s="778">
        <v>46022</v>
      </c>
      <c r="G301" s="786">
        <v>18369903.68</v>
      </c>
      <c r="H301" s="787">
        <v>17646485.129999995</v>
      </c>
      <c r="I301" s="787">
        <v>723418.55000000447</v>
      </c>
      <c r="J301" s="1294">
        <v>4.0995050553730567E-2</v>
      </c>
      <c r="K301" s="632"/>
      <c r="L301" s="632"/>
      <c r="M301" s="632"/>
      <c r="N301" s="632"/>
      <c r="O301" s="632"/>
      <c r="P301" s="632"/>
      <c r="Q301" s="632"/>
      <c r="R301" s="632"/>
    </row>
    <row r="302" spans="1:18">
      <c r="A302" s="650">
        <v>302</v>
      </c>
      <c r="B302" s="651"/>
      <c r="C302" s="662" t="s">
        <v>608</v>
      </c>
      <c r="D302" s="783" t="s">
        <v>4454</v>
      </c>
      <c r="E302" s="777">
        <v>2025</v>
      </c>
      <c r="F302" s="778">
        <v>46022</v>
      </c>
      <c r="G302" s="786">
        <v>0</v>
      </c>
      <c r="H302" s="787">
        <v>0</v>
      </c>
      <c r="I302" s="787">
        <v>0</v>
      </c>
      <c r="J302" s="1294">
        <v>0</v>
      </c>
      <c r="K302" s="632"/>
      <c r="L302" s="632"/>
      <c r="M302" s="632"/>
      <c r="N302" s="632"/>
      <c r="O302" s="632"/>
      <c r="P302" s="632"/>
      <c r="Q302" s="632"/>
      <c r="R302" s="632"/>
    </row>
    <row r="303" spans="1:18">
      <c r="A303" s="650">
        <v>303</v>
      </c>
      <c r="B303" s="651"/>
      <c r="C303" s="662" t="s">
        <v>609</v>
      </c>
      <c r="D303" s="783" t="s">
        <v>4458</v>
      </c>
      <c r="E303" s="777">
        <v>2025</v>
      </c>
      <c r="F303" s="778">
        <v>46022</v>
      </c>
      <c r="G303" s="786">
        <v>2544405.7099999995</v>
      </c>
      <c r="H303" s="787">
        <v>1246519.7</v>
      </c>
      <c r="I303" s="787">
        <v>1297886.0099999995</v>
      </c>
      <c r="J303" s="1294">
        <v>1.0412077803503623</v>
      </c>
      <c r="K303" s="632"/>
      <c r="L303" s="632"/>
      <c r="M303" s="632"/>
      <c r="N303" s="632"/>
      <c r="O303" s="632"/>
      <c r="P303" s="632"/>
      <c r="Q303" s="632"/>
      <c r="R303" s="632"/>
    </row>
    <row r="304" spans="1:18">
      <c r="A304" s="650">
        <v>304</v>
      </c>
      <c r="B304" s="651"/>
      <c r="C304" s="652" t="s">
        <v>4528</v>
      </c>
      <c r="D304" s="776" t="s">
        <v>11907</v>
      </c>
      <c r="E304" s="777">
        <v>2025</v>
      </c>
      <c r="F304" s="778">
        <v>46022</v>
      </c>
      <c r="G304" s="788">
        <v>0</v>
      </c>
      <c r="H304" s="789">
        <v>1920933.66</v>
      </c>
      <c r="I304" s="789">
        <v>-1920933.66</v>
      </c>
      <c r="J304" s="1294">
        <v>-1</v>
      </c>
      <c r="K304" s="632"/>
      <c r="L304" s="632"/>
      <c r="M304" s="632"/>
      <c r="N304" s="632"/>
      <c r="O304" s="632"/>
      <c r="P304" s="632"/>
      <c r="Q304" s="632"/>
      <c r="R304" s="632"/>
    </row>
    <row r="305" spans="1:18">
      <c r="A305" s="650">
        <v>305</v>
      </c>
      <c r="B305" s="651"/>
      <c r="C305" s="652" t="s">
        <v>4529</v>
      </c>
      <c r="D305" s="776" t="s">
        <v>4530</v>
      </c>
      <c r="E305" s="777">
        <v>2025</v>
      </c>
      <c r="F305" s="778">
        <v>46022</v>
      </c>
      <c r="G305" s="788">
        <v>0</v>
      </c>
      <c r="H305" s="789">
        <v>0</v>
      </c>
      <c r="I305" s="789">
        <v>0</v>
      </c>
      <c r="J305" s="1294">
        <v>0</v>
      </c>
      <c r="K305" s="632"/>
      <c r="L305" s="632"/>
      <c r="M305" s="632"/>
      <c r="N305" s="632"/>
      <c r="O305" s="632"/>
      <c r="P305" s="632"/>
      <c r="Q305" s="632"/>
      <c r="R305" s="632"/>
    </row>
    <row r="306" spans="1:18">
      <c r="A306" s="650">
        <v>306</v>
      </c>
      <c r="B306" s="651"/>
      <c r="C306" s="662" t="s">
        <v>11908</v>
      </c>
      <c r="D306" s="783" t="s">
        <v>4532</v>
      </c>
      <c r="E306" s="777">
        <v>2025</v>
      </c>
      <c r="F306" s="778">
        <v>46022</v>
      </c>
      <c r="G306" s="786">
        <v>0</v>
      </c>
      <c r="H306" s="787">
        <v>0</v>
      </c>
      <c r="I306" s="787">
        <v>0</v>
      </c>
      <c r="J306" s="1294">
        <v>0</v>
      </c>
      <c r="K306" s="632"/>
      <c r="L306" s="632"/>
      <c r="M306" s="632"/>
      <c r="N306" s="632"/>
      <c r="O306" s="632"/>
      <c r="P306" s="632"/>
      <c r="Q306" s="632"/>
      <c r="R306" s="632"/>
    </row>
    <row r="307" spans="1:18">
      <c r="A307" s="650">
        <v>307</v>
      </c>
      <c r="B307" s="651" t="s">
        <v>1519</v>
      </c>
      <c r="C307" s="662" t="s">
        <v>4540</v>
      </c>
      <c r="D307" s="783" t="s">
        <v>4541</v>
      </c>
      <c r="E307" s="777">
        <v>2025</v>
      </c>
      <c r="F307" s="778">
        <v>46022</v>
      </c>
      <c r="G307" s="786">
        <v>0</v>
      </c>
      <c r="H307" s="787">
        <v>0</v>
      </c>
      <c r="I307" s="787">
        <v>0</v>
      </c>
      <c r="J307" s="1294">
        <v>0</v>
      </c>
      <c r="K307" s="632"/>
      <c r="L307" s="632"/>
      <c r="M307" s="632"/>
      <c r="N307" s="632"/>
      <c r="O307" s="632"/>
      <c r="P307" s="632"/>
      <c r="Q307" s="632"/>
      <c r="R307" s="632"/>
    </row>
    <row r="308" spans="1:18">
      <c r="A308" s="650">
        <v>308</v>
      </c>
      <c r="B308" s="651"/>
      <c r="C308" s="652" t="s">
        <v>4543</v>
      </c>
      <c r="D308" s="776" t="s">
        <v>4544</v>
      </c>
      <c r="E308" s="777">
        <v>2025</v>
      </c>
      <c r="F308" s="778">
        <v>46022</v>
      </c>
      <c r="G308" s="788">
        <v>0</v>
      </c>
      <c r="H308" s="789">
        <v>1920933.66</v>
      </c>
      <c r="I308" s="789">
        <v>-1920933.66</v>
      </c>
      <c r="J308" s="1294">
        <v>-1</v>
      </c>
      <c r="K308" s="632"/>
      <c r="L308" s="632"/>
      <c r="M308" s="632"/>
      <c r="N308" s="632"/>
      <c r="O308" s="632"/>
      <c r="P308" s="632"/>
      <c r="Q308" s="632"/>
      <c r="R308" s="632"/>
    </row>
    <row r="309" spans="1:18">
      <c r="A309" s="650">
        <v>309</v>
      </c>
      <c r="B309" s="651"/>
      <c r="C309" s="662" t="s">
        <v>4546</v>
      </c>
      <c r="D309" s="783" t="s">
        <v>4547</v>
      </c>
      <c r="E309" s="777">
        <v>2025</v>
      </c>
      <c r="F309" s="778">
        <v>46022</v>
      </c>
      <c r="G309" s="786">
        <v>0</v>
      </c>
      <c r="H309" s="787">
        <v>1920933.66</v>
      </c>
      <c r="I309" s="787">
        <v>-1920933.66</v>
      </c>
      <c r="J309" s="1294">
        <v>-1</v>
      </c>
      <c r="K309" s="632"/>
      <c r="L309" s="632"/>
      <c r="M309" s="632"/>
      <c r="N309" s="632"/>
      <c r="O309" s="632"/>
      <c r="P309" s="632"/>
      <c r="Q309" s="632"/>
      <c r="R309" s="632"/>
    </row>
    <row r="310" spans="1:18">
      <c r="A310" s="650">
        <v>310</v>
      </c>
      <c r="B310" s="651" t="s">
        <v>1519</v>
      </c>
      <c r="C310" s="662" t="s">
        <v>4581</v>
      </c>
      <c r="D310" s="783" t="s">
        <v>4582</v>
      </c>
      <c r="E310" s="777">
        <v>2025</v>
      </c>
      <c r="F310" s="778">
        <v>46022</v>
      </c>
      <c r="G310" s="794">
        <v>0</v>
      </c>
      <c r="H310" s="787">
        <v>0</v>
      </c>
      <c r="I310" s="787">
        <v>0</v>
      </c>
      <c r="J310" s="1294">
        <v>0</v>
      </c>
      <c r="K310" s="820"/>
      <c r="L310" s="820"/>
      <c r="M310" s="820"/>
      <c r="N310" s="820"/>
      <c r="O310" s="820"/>
      <c r="P310" s="820"/>
      <c r="Q310" s="820"/>
      <c r="R310" s="820"/>
    </row>
    <row r="311" spans="1:18">
      <c r="A311" s="650">
        <v>311</v>
      </c>
      <c r="B311" s="651"/>
      <c r="C311" s="662" t="s">
        <v>4590</v>
      </c>
      <c r="D311" s="783" t="s">
        <v>4591</v>
      </c>
      <c r="E311" s="777">
        <v>2025</v>
      </c>
      <c r="F311" s="778">
        <v>46022</v>
      </c>
      <c r="G311" s="786">
        <v>0</v>
      </c>
      <c r="H311" s="787">
        <v>0</v>
      </c>
      <c r="I311" s="787">
        <v>0</v>
      </c>
      <c r="J311" s="1294">
        <v>0</v>
      </c>
      <c r="K311" s="632"/>
      <c r="L311" s="632"/>
      <c r="M311" s="632"/>
      <c r="N311" s="632"/>
      <c r="O311" s="632"/>
      <c r="P311" s="632"/>
      <c r="Q311" s="632"/>
      <c r="R311" s="632"/>
    </row>
    <row r="312" spans="1:18">
      <c r="A312" s="650">
        <v>312</v>
      </c>
      <c r="B312" s="651"/>
      <c r="C312" s="691" t="s">
        <v>11909</v>
      </c>
      <c r="D312" s="802" t="s">
        <v>11910</v>
      </c>
      <c r="E312" s="777">
        <v>2025</v>
      </c>
      <c r="F312" s="778">
        <v>46022</v>
      </c>
      <c r="G312" s="788">
        <v>316277475.22000003</v>
      </c>
      <c r="H312" s="789">
        <v>304303447.87999994</v>
      </c>
      <c r="I312" s="789">
        <v>11974027.340000093</v>
      </c>
      <c r="J312" s="1294">
        <v>3.9348970323602683E-2</v>
      </c>
      <c r="K312" s="632"/>
      <c r="L312" s="632"/>
      <c r="M312" s="632"/>
      <c r="N312" s="632"/>
      <c r="O312" s="632"/>
      <c r="P312" s="632"/>
      <c r="Q312" s="632"/>
      <c r="R312" s="632"/>
    </row>
    <row r="313" spans="1:18">
      <c r="A313" s="650">
        <v>313</v>
      </c>
      <c r="B313" s="651"/>
      <c r="C313" s="691" t="s">
        <v>4594</v>
      </c>
      <c r="D313" s="801" t="s">
        <v>11911</v>
      </c>
      <c r="E313" s="777">
        <v>2025</v>
      </c>
      <c r="F313" s="778">
        <v>46022</v>
      </c>
      <c r="G313" s="788">
        <v>290984078.96999997</v>
      </c>
      <c r="H313" s="789">
        <v>290984078.97000003</v>
      </c>
      <c r="I313" s="789">
        <v>0</v>
      </c>
      <c r="J313" s="1294">
        <v>-2.0483816498268197E-16</v>
      </c>
      <c r="K313" s="632"/>
      <c r="L313" s="632"/>
      <c r="M313" s="632"/>
      <c r="N313" s="632"/>
      <c r="O313" s="632"/>
      <c r="P313" s="632"/>
      <c r="Q313" s="632"/>
      <c r="R313" s="632"/>
    </row>
    <row r="314" spans="1:18">
      <c r="A314" s="650">
        <v>314</v>
      </c>
      <c r="B314" s="651"/>
      <c r="C314" s="691" t="s">
        <v>610</v>
      </c>
      <c r="D314" s="801" t="s">
        <v>4595</v>
      </c>
      <c r="E314" s="777">
        <v>2025</v>
      </c>
      <c r="F314" s="778">
        <v>46022</v>
      </c>
      <c r="G314" s="786">
        <v>0</v>
      </c>
      <c r="H314" s="787">
        <v>0</v>
      </c>
      <c r="I314" s="787">
        <v>0</v>
      </c>
      <c r="J314" s="1294">
        <v>0</v>
      </c>
      <c r="K314" s="632"/>
      <c r="L314" s="632"/>
      <c r="M314" s="632"/>
      <c r="N314" s="632"/>
      <c r="O314" s="632"/>
      <c r="P314" s="632"/>
      <c r="Q314" s="632"/>
      <c r="R314" s="632"/>
    </row>
    <row r="315" spans="1:18">
      <c r="A315" s="650">
        <v>315</v>
      </c>
      <c r="B315" s="651"/>
      <c r="C315" s="691" t="s">
        <v>611</v>
      </c>
      <c r="D315" s="801" t="s">
        <v>4597</v>
      </c>
      <c r="E315" s="777">
        <v>2025</v>
      </c>
      <c r="F315" s="778">
        <v>46022</v>
      </c>
      <c r="G315" s="786">
        <v>0</v>
      </c>
      <c r="H315" s="787">
        <v>0</v>
      </c>
      <c r="I315" s="787">
        <v>0</v>
      </c>
      <c r="J315" s="1294">
        <v>0</v>
      </c>
      <c r="K315" s="632"/>
      <c r="L315" s="632"/>
      <c r="M315" s="632"/>
      <c r="N315" s="632"/>
      <c r="O315" s="632"/>
      <c r="P315" s="632"/>
      <c r="Q315" s="632"/>
      <c r="R315" s="632"/>
    </row>
    <row r="316" spans="1:18">
      <c r="A316" s="650">
        <v>316</v>
      </c>
      <c r="B316" s="651"/>
      <c r="C316" s="691" t="s">
        <v>612</v>
      </c>
      <c r="D316" s="801" t="s">
        <v>4599</v>
      </c>
      <c r="E316" s="777">
        <v>2025</v>
      </c>
      <c r="F316" s="778">
        <v>46022</v>
      </c>
      <c r="G316" s="786">
        <v>287897837.58999997</v>
      </c>
      <c r="H316" s="787">
        <v>287897837.58999997</v>
      </c>
      <c r="I316" s="787">
        <v>0</v>
      </c>
      <c r="J316" s="1294">
        <v>0</v>
      </c>
      <c r="K316" s="632"/>
      <c r="L316" s="632"/>
      <c r="M316" s="632"/>
      <c r="N316" s="632"/>
      <c r="O316" s="632"/>
      <c r="P316" s="632"/>
      <c r="Q316" s="632"/>
      <c r="R316" s="632"/>
    </row>
    <row r="317" spans="1:18">
      <c r="A317" s="650">
        <v>317</v>
      </c>
      <c r="B317" s="651"/>
      <c r="C317" s="691" t="s">
        <v>4601</v>
      </c>
      <c r="D317" s="801" t="s">
        <v>4602</v>
      </c>
      <c r="E317" s="777">
        <v>2025</v>
      </c>
      <c r="F317" s="778">
        <v>46022</v>
      </c>
      <c r="G317" s="786">
        <v>0</v>
      </c>
      <c r="H317" s="787">
        <v>0</v>
      </c>
      <c r="I317" s="787">
        <v>0</v>
      </c>
      <c r="J317" s="1294">
        <v>0</v>
      </c>
      <c r="K317" s="632"/>
      <c r="L317" s="632"/>
      <c r="M317" s="632"/>
      <c r="N317" s="632"/>
      <c r="O317" s="632"/>
      <c r="P317" s="632"/>
      <c r="Q317" s="632"/>
      <c r="R317" s="632"/>
    </row>
    <row r="318" spans="1:18">
      <c r="A318" s="650">
        <v>318</v>
      </c>
      <c r="B318" s="651"/>
      <c r="C318" s="691" t="s">
        <v>613</v>
      </c>
      <c r="D318" s="801" t="s">
        <v>4605</v>
      </c>
      <c r="E318" s="777">
        <v>2025</v>
      </c>
      <c r="F318" s="778">
        <v>46022</v>
      </c>
      <c r="G318" s="786">
        <v>3086241.38</v>
      </c>
      <c r="H318" s="787">
        <v>3086241.38</v>
      </c>
      <c r="I318" s="787">
        <v>0</v>
      </c>
      <c r="J318" s="1294">
        <v>0</v>
      </c>
      <c r="K318" s="632"/>
      <c r="L318" s="632"/>
      <c r="M318" s="632"/>
      <c r="N318" s="632"/>
      <c r="O318" s="632"/>
      <c r="P318" s="632"/>
      <c r="Q318" s="632"/>
      <c r="R318" s="632"/>
    </row>
    <row r="319" spans="1:18" s="821" customFormat="1" ht="15">
      <c r="J319" s="1222"/>
    </row>
    <row r="320" spans="1:18" s="821" customFormat="1" ht="15">
      <c r="J320" s="1222"/>
    </row>
    <row r="321" spans="10:10" s="821" customFormat="1" ht="15">
      <c r="J321" s="1222"/>
    </row>
    <row r="322" spans="10:10" s="821" customFormat="1" ht="15">
      <c r="J322" s="1222"/>
    </row>
    <row r="323" spans="10:10" s="821" customFormat="1" ht="15">
      <c r="J323" s="1222"/>
    </row>
    <row r="324" spans="10:10" s="821" customFormat="1" ht="15">
      <c r="J324" s="1222"/>
    </row>
    <row r="325" spans="10:10" s="821" customFormat="1" ht="15">
      <c r="J325" s="1222"/>
    </row>
    <row r="326" spans="10:10" s="821" customFormat="1" ht="15">
      <c r="J326" s="1222"/>
    </row>
    <row r="327" spans="10:10" s="821" customFormat="1" ht="15">
      <c r="J327" s="1222"/>
    </row>
    <row r="328" spans="10:10" s="821" customFormat="1" ht="15">
      <c r="J328" s="1222"/>
    </row>
    <row r="329" spans="10:10" s="821" customFormat="1" ht="15">
      <c r="J329" s="1222"/>
    </row>
    <row r="330" spans="10:10" s="821" customFormat="1" ht="15">
      <c r="J330" s="1222"/>
    </row>
    <row r="331" spans="10:10" s="821" customFormat="1" ht="15">
      <c r="J331" s="1222"/>
    </row>
    <row r="332" spans="10:10" s="821" customFormat="1" ht="15">
      <c r="J332" s="1222"/>
    </row>
    <row r="333" spans="10:10" s="821" customFormat="1" ht="15">
      <c r="J333" s="1222"/>
    </row>
    <row r="334" spans="10:10" s="821" customFormat="1" ht="15">
      <c r="J334" s="1222"/>
    </row>
    <row r="335" spans="10:10" s="821" customFormat="1" ht="15">
      <c r="J335" s="1222"/>
    </row>
    <row r="336" spans="10:10" s="821" customFormat="1" ht="15">
      <c r="J336" s="1222"/>
    </row>
    <row r="337" spans="10:10" s="821" customFormat="1" ht="15">
      <c r="J337" s="1222"/>
    </row>
    <row r="338" spans="10:10" s="821" customFormat="1" ht="15">
      <c r="J338" s="1222"/>
    </row>
    <row r="339" spans="10:10" s="821" customFormat="1" ht="15">
      <c r="J339" s="1222"/>
    </row>
    <row r="340" spans="10:10" s="821" customFormat="1" ht="15">
      <c r="J340" s="1222"/>
    </row>
    <row r="341" spans="10:10" s="821" customFormat="1" ht="15">
      <c r="J341" s="1222"/>
    </row>
    <row r="342" spans="10:10" s="821" customFormat="1" ht="15">
      <c r="J342" s="1222"/>
    </row>
    <row r="343" spans="10:10" s="821" customFormat="1" ht="15">
      <c r="J343" s="1222"/>
    </row>
    <row r="344" spans="10:10" s="821" customFormat="1" ht="15">
      <c r="J344" s="1222"/>
    </row>
    <row r="345" spans="10:10" s="821" customFormat="1" ht="15">
      <c r="J345" s="1222"/>
    </row>
    <row r="346" spans="10:10" s="821" customFormat="1" ht="15">
      <c r="J346" s="1222"/>
    </row>
    <row r="347" spans="10:10" s="821" customFormat="1" ht="15">
      <c r="J347" s="1222"/>
    </row>
    <row r="348" spans="10:10" s="821" customFormat="1" ht="15">
      <c r="J348" s="1222"/>
    </row>
    <row r="349" spans="10:10" s="821" customFormat="1" ht="15">
      <c r="J349" s="1222"/>
    </row>
    <row r="350" spans="10:10" s="821" customFormat="1" ht="15">
      <c r="J350" s="1222"/>
    </row>
    <row r="351" spans="10:10" s="821" customFormat="1" ht="15">
      <c r="J351" s="1222"/>
    </row>
    <row r="352" spans="10:10" s="821" customFormat="1" ht="15">
      <c r="J352" s="1222"/>
    </row>
    <row r="353" spans="10:10" s="821" customFormat="1" ht="15">
      <c r="J353" s="1222"/>
    </row>
    <row r="354" spans="10:10" s="821" customFormat="1" ht="15">
      <c r="J354" s="1222"/>
    </row>
    <row r="355" spans="10:10" s="821" customFormat="1" ht="15">
      <c r="J355" s="1222"/>
    </row>
    <row r="356" spans="10:10" s="821" customFormat="1" ht="15">
      <c r="J356" s="1222"/>
    </row>
    <row r="357" spans="10:10" s="821" customFormat="1" ht="15">
      <c r="J357" s="1222"/>
    </row>
    <row r="358" spans="10:10" s="821" customFormat="1" ht="15">
      <c r="J358" s="1222"/>
    </row>
    <row r="359" spans="10:10" s="821" customFormat="1" ht="15">
      <c r="J359" s="1222"/>
    </row>
    <row r="360" spans="10:10" s="821" customFormat="1" ht="15">
      <c r="J360" s="1222"/>
    </row>
    <row r="361" spans="10:10" s="821" customFormat="1" ht="15">
      <c r="J361" s="1222"/>
    </row>
    <row r="362" spans="10:10" s="821" customFormat="1" ht="15">
      <c r="J362" s="1222"/>
    </row>
    <row r="363" spans="10:10" s="821" customFormat="1" ht="15">
      <c r="J363" s="1222"/>
    </row>
    <row r="364" spans="10:10" s="821" customFormat="1" ht="15">
      <c r="J364" s="1222"/>
    </row>
    <row r="365" spans="10:10" s="821" customFormat="1" ht="15">
      <c r="J365" s="1222"/>
    </row>
    <row r="366" spans="10:10" s="821" customFormat="1" ht="15">
      <c r="J366" s="1222"/>
    </row>
    <row r="367" spans="10:10" s="821" customFormat="1" ht="15">
      <c r="J367" s="1222"/>
    </row>
    <row r="368" spans="10:10" s="821" customFormat="1" ht="15">
      <c r="J368" s="1222"/>
    </row>
    <row r="369" spans="10:10" s="821" customFormat="1" ht="15">
      <c r="J369" s="1222"/>
    </row>
    <row r="370" spans="10:10" s="821" customFormat="1" ht="15">
      <c r="J370" s="1222"/>
    </row>
    <row r="371" spans="10:10" s="821" customFormat="1" ht="15">
      <c r="J371" s="1222"/>
    </row>
    <row r="372" spans="10:10" s="821" customFormat="1" ht="15">
      <c r="J372" s="1222"/>
    </row>
    <row r="373" spans="10:10" s="821" customFormat="1" ht="15">
      <c r="J373" s="1222"/>
    </row>
    <row r="374" spans="10:10" s="821" customFormat="1" ht="15">
      <c r="J374" s="1222"/>
    </row>
    <row r="375" spans="10:10" s="821" customFormat="1" ht="15">
      <c r="J375" s="1222"/>
    </row>
    <row r="376" spans="10:10" s="821" customFormat="1" ht="15">
      <c r="J376" s="1222"/>
    </row>
    <row r="377" spans="10:10" s="821" customFormat="1" ht="15">
      <c r="J377" s="1222"/>
    </row>
    <row r="378" spans="10:10" s="821" customFormat="1" ht="15">
      <c r="J378" s="1222"/>
    </row>
    <row r="379" spans="10:10" s="821" customFormat="1" ht="15">
      <c r="J379" s="1222"/>
    </row>
    <row r="380" spans="10:10" s="821" customFormat="1" ht="15">
      <c r="J380" s="1222"/>
    </row>
    <row r="381" spans="10:10" s="821" customFormat="1" ht="15">
      <c r="J381" s="1222"/>
    </row>
    <row r="382" spans="10:10" s="821" customFormat="1" ht="15">
      <c r="J382" s="1222"/>
    </row>
    <row r="383" spans="10:10" s="821" customFormat="1" ht="15">
      <c r="J383" s="1222"/>
    </row>
    <row r="384" spans="10:10" s="821" customFormat="1" ht="15">
      <c r="J384" s="1222"/>
    </row>
    <row r="385" spans="10:10" s="821" customFormat="1" ht="15">
      <c r="J385" s="1222"/>
    </row>
    <row r="386" spans="10:10" s="821" customFormat="1" ht="15">
      <c r="J386" s="1222"/>
    </row>
    <row r="387" spans="10:10" s="821" customFormat="1" ht="15">
      <c r="J387" s="1222"/>
    </row>
    <row r="388" spans="10:10" s="821" customFormat="1" ht="15">
      <c r="J388" s="1222"/>
    </row>
    <row r="389" spans="10:10" s="821" customFormat="1" ht="15">
      <c r="J389" s="1222"/>
    </row>
    <row r="390" spans="10:10" s="821" customFormat="1" ht="15">
      <c r="J390" s="1222"/>
    </row>
    <row r="391" spans="10:10" s="821" customFormat="1" ht="15">
      <c r="J391" s="1222"/>
    </row>
    <row r="392" spans="10:10" s="821" customFormat="1" ht="15">
      <c r="J392" s="1222"/>
    </row>
    <row r="393" spans="10:10" s="821" customFormat="1" ht="15">
      <c r="J393" s="1222"/>
    </row>
    <row r="394" spans="10:10" s="821" customFormat="1" ht="15">
      <c r="J394" s="1222"/>
    </row>
    <row r="395" spans="10:10" s="821" customFormat="1" ht="15">
      <c r="J395" s="1222"/>
    </row>
    <row r="396" spans="10:10" s="821" customFormat="1" ht="15">
      <c r="J396" s="1222"/>
    </row>
    <row r="397" spans="10:10" s="821" customFormat="1" ht="15">
      <c r="J397" s="1222"/>
    </row>
    <row r="398" spans="10:10" s="821" customFormat="1" ht="15">
      <c r="J398" s="1222"/>
    </row>
    <row r="399" spans="10:10" s="821" customFormat="1" ht="15">
      <c r="J399" s="1222"/>
    </row>
    <row r="400" spans="10:10" s="821" customFormat="1" ht="15">
      <c r="J400" s="1222"/>
    </row>
    <row r="401" spans="10:10" s="821" customFormat="1" ht="15">
      <c r="J401" s="1222"/>
    </row>
    <row r="402" spans="10:10" s="821" customFormat="1" ht="15">
      <c r="J402" s="1222"/>
    </row>
    <row r="403" spans="10:10" s="821" customFormat="1" ht="15">
      <c r="J403" s="1222"/>
    </row>
    <row r="404" spans="10:10" s="821" customFormat="1" ht="15">
      <c r="J404" s="1222"/>
    </row>
    <row r="405" spans="10:10" s="821" customFormat="1" ht="15">
      <c r="J405" s="1222"/>
    </row>
    <row r="406" spans="10:10" s="821" customFormat="1" ht="15">
      <c r="J406" s="1222"/>
    </row>
    <row r="407" spans="10:10" s="821" customFormat="1" ht="15">
      <c r="J407" s="1222"/>
    </row>
    <row r="408" spans="10:10" s="821" customFormat="1" ht="15">
      <c r="J408" s="1222"/>
    </row>
    <row r="409" spans="10:10" s="821" customFormat="1" ht="15">
      <c r="J409" s="1222"/>
    </row>
    <row r="410" spans="10:10" s="821" customFormat="1" ht="15">
      <c r="J410" s="1222"/>
    </row>
    <row r="411" spans="10:10" s="821" customFormat="1" ht="15">
      <c r="J411" s="1222"/>
    </row>
    <row r="412" spans="10:10" s="821" customFormat="1" ht="15">
      <c r="J412" s="1222"/>
    </row>
    <row r="413" spans="10:10" s="821" customFormat="1" ht="15">
      <c r="J413" s="1222"/>
    </row>
    <row r="414" spans="10:10" s="821" customFormat="1" ht="15">
      <c r="J414" s="1222"/>
    </row>
    <row r="415" spans="10:10" s="821" customFormat="1" ht="15">
      <c r="J415" s="1222"/>
    </row>
    <row r="416" spans="10:10" s="821" customFormat="1" ht="15">
      <c r="J416" s="1222"/>
    </row>
    <row r="417" spans="10:10" s="821" customFormat="1" ht="15">
      <c r="J417" s="1222"/>
    </row>
    <row r="418" spans="10:10" s="821" customFormat="1" ht="15">
      <c r="J418" s="1222"/>
    </row>
    <row r="419" spans="10:10" s="821" customFormat="1" ht="15">
      <c r="J419" s="1222"/>
    </row>
    <row r="420" spans="10:10" s="821" customFormat="1" ht="15">
      <c r="J420" s="1222"/>
    </row>
    <row r="421" spans="10:10" s="821" customFormat="1" ht="15">
      <c r="J421" s="1222"/>
    </row>
    <row r="422" spans="10:10" s="821" customFormat="1" ht="15">
      <c r="J422" s="1222"/>
    </row>
    <row r="423" spans="10:10" s="821" customFormat="1" ht="15">
      <c r="J423" s="1222"/>
    </row>
    <row r="424" spans="10:10" s="821" customFormat="1" ht="15">
      <c r="J424" s="1222"/>
    </row>
    <row r="425" spans="10:10" s="821" customFormat="1" ht="15">
      <c r="J425" s="1222"/>
    </row>
    <row r="426" spans="10:10" s="821" customFormat="1" ht="15">
      <c r="J426" s="1222"/>
    </row>
    <row r="427" spans="10:10" s="821" customFormat="1" ht="15">
      <c r="J427" s="1222"/>
    </row>
    <row r="428" spans="10:10" s="821" customFormat="1" ht="15">
      <c r="J428" s="1222"/>
    </row>
    <row r="429" spans="10:10" s="821" customFormat="1" ht="15">
      <c r="J429" s="1222"/>
    </row>
    <row r="430" spans="10:10" s="821" customFormat="1" ht="15">
      <c r="J430" s="1222"/>
    </row>
    <row r="431" spans="10:10" s="821" customFormat="1" ht="15">
      <c r="J431" s="1222"/>
    </row>
    <row r="432" spans="10:10" s="821" customFormat="1" ht="15">
      <c r="J432" s="1222"/>
    </row>
    <row r="433" spans="10:10" s="821" customFormat="1" ht="15">
      <c r="J433" s="1222"/>
    </row>
    <row r="434" spans="10:10" s="821" customFormat="1" ht="15">
      <c r="J434" s="1222"/>
    </row>
    <row r="435" spans="10:10" s="821" customFormat="1" ht="15">
      <c r="J435" s="1222"/>
    </row>
    <row r="436" spans="10:10" s="821" customFormat="1" ht="15">
      <c r="J436" s="1222"/>
    </row>
    <row r="437" spans="10:10" s="821" customFormat="1" ht="15">
      <c r="J437" s="1222"/>
    </row>
    <row r="438" spans="10:10" s="821" customFormat="1" ht="15">
      <c r="J438" s="1222"/>
    </row>
    <row r="439" spans="10:10" s="821" customFormat="1" ht="15">
      <c r="J439" s="1222"/>
    </row>
    <row r="440" spans="10:10" s="821" customFormat="1" ht="15">
      <c r="J440" s="1222"/>
    </row>
    <row r="441" spans="10:10" s="821" customFormat="1" ht="15">
      <c r="J441" s="1222"/>
    </row>
    <row r="442" spans="10:10" s="821" customFormat="1" ht="15">
      <c r="J442" s="1222"/>
    </row>
    <row r="443" spans="10:10" s="821" customFormat="1" ht="15">
      <c r="J443" s="1222"/>
    </row>
    <row r="444" spans="10:10" s="821" customFormat="1" ht="15">
      <c r="J444" s="1222"/>
    </row>
    <row r="445" spans="10:10" s="821" customFormat="1" ht="15">
      <c r="J445" s="1222"/>
    </row>
    <row r="446" spans="10:10" s="821" customFormat="1" ht="15">
      <c r="J446" s="1222"/>
    </row>
    <row r="447" spans="10:10" s="821" customFormat="1" ht="15">
      <c r="J447" s="1222"/>
    </row>
    <row r="448" spans="10:10" s="821" customFormat="1" ht="15">
      <c r="J448" s="1222"/>
    </row>
    <row r="449" spans="10:10" s="821" customFormat="1" ht="15">
      <c r="J449" s="1222"/>
    </row>
    <row r="450" spans="10:10" s="821" customFormat="1" ht="15">
      <c r="J450" s="1222"/>
    </row>
    <row r="451" spans="10:10" s="821" customFormat="1" ht="15">
      <c r="J451" s="1222"/>
    </row>
    <row r="452" spans="10:10" s="821" customFormat="1" ht="15">
      <c r="J452" s="1222"/>
    </row>
    <row r="453" spans="10:10" s="821" customFormat="1" ht="15">
      <c r="J453" s="1222"/>
    </row>
    <row r="454" spans="10:10" s="821" customFormat="1" ht="15">
      <c r="J454" s="1222"/>
    </row>
    <row r="455" spans="10:10" s="821" customFormat="1" ht="15">
      <c r="J455" s="1222"/>
    </row>
    <row r="456" spans="10:10" s="821" customFormat="1" ht="15">
      <c r="J456" s="1222"/>
    </row>
    <row r="457" spans="10:10" s="821" customFormat="1" ht="15">
      <c r="J457" s="1222"/>
    </row>
    <row r="458" spans="10:10" s="821" customFormat="1" ht="15">
      <c r="J458" s="1222"/>
    </row>
    <row r="459" spans="10:10" s="821" customFormat="1" ht="15">
      <c r="J459" s="1222"/>
    </row>
    <row r="460" spans="10:10" s="821" customFormat="1" ht="15">
      <c r="J460" s="1222"/>
    </row>
    <row r="461" spans="10:10" s="821" customFormat="1" ht="15">
      <c r="J461" s="1222"/>
    </row>
    <row r="462" spans="10:10" s="821" customFormat="1" ht="15">
      <c r="J462" s="1222"/>
    </row>
    <row r="463" spans="10:10" s="821" customFormat="1" ht="15">
      <c r="J463" s="1222"/>
    </row>
    <row r="464" spans="10:10" s="821" customFormat="1" ht="15">
      <c r="J464" s="1222"/>
    </row>
    <row r="465" spans="10:10" s="821" customFormat="1" ht="15">
      <c r="J465" s="1222"/>
    </row>
    <row r="466" spans="10:10" s="821" customFormat="1" ht="15">
      <c r="J466" s="1222"/>
    </row>
    <row r="467" spans="10:10" s="821" customFormat="1" ht="15">
      <c r="J467" s="1222"/>
    </row>
    <row r="468" spans="10:10" s="821" customFormat="1" ht="15">
      <c r="J468" s="1222"/>
    </row>
    <row r="469" spans="10:10" s="821" customFormat="1" ht="15">
      <c r="J469" s="1222"/>
    </row>
    <row r="470" spans="10:10" s="821" customFormat="1" ht="15">
      <c r="J470" s="1222"/>
    </row>
    <row r="471" spans="10:10" s="821" customFormat="1" ht="15">
      <c r="J471" s="1222"/>
    </row>
    <row r="472" spans="10:10" s="821" customFormat="1" ht="15">
      <c r="J472" s="1222"/>
    </row>
    <row r="473" spans="10:10" s="821" customFormat="1" ht="15">
      <c r="J473" s="1222"/>
    </row>
    <row r="474" spans="10:10" s="821" customFormat="1" ht="15">
      <c r="J474" s="1222"/>
    </row>
    <row r="475" spans="10:10" s="821" customFormat="1" ht="15">
      <c r="J475" s="1222"/>
    </row>
    <row r="476" spans="10:10" s="821" customFormat="1" ht="15">
      <c r="J476" s="1222"/>
    </row>
    <row r="477" spans="10:10" s="821" customFormat="1" ht="15">
      <c r="J477" s="1222"/>
    </row>
    <row r="478" spans="10:10" s="821" customFormat="1" ht="15">
      <c r="J478" s="1222"/>
    </row>
    <row r="479" spans="10:10" s="821" customFormat="1" ht="15">
      <c r="J479" s="1222"/>
    </row>
    <row r="480" spans="10:10" s="821" customFormat="1" ht="15">
      <c r="J480" s="1222"/>
    </row>
    <row r="481" spans="10:10" s="821" customFormat="1" ht="15">
      <c r="J481" s="1222"/>
    </row>
    <row r="482" spans="10:10" s="821" customFormat="1" ht="15">
      <c r="J482" s="1222"/>
    </row>
    <row r="483" spans="10:10" s="821" customFormat="1" ht="15">
      <c r="J483" s="1222"/>
    </row>
    <row r="484" spans="10:10" s="821" customFormat="1" ht="15">
      <c r="J484" s="1222"/>
    </row>
    <row r="485" spans="10:10" s="821" customFormat="1" ht="15">
      <c r="J485" s="1222"/>
    </row>
    <row r="486" spans="10:10" s="821" customFormat="1" ht="15">
      <c r="J486" s="1222"/>
    </row>
    <row r="487" spans="10:10" s="821" customFormat="1" ht="15">
      <c r="J487" s="1222"/>
    </row>
    <row r="488" spans="10:10" s="821" customFormat="1" ht="15">
      <c r="J488" s="1222"/>
    </row>
    <row r="489" spans="10:10" s="821" customFormat="1" ht="15">
      <c r="J489" s="1222"/>
    </row>
    <row r="490" spans="10:10" s="821" customFormat="1" ht="15">
      <c r="J490" s="1222"/>
    </row>
    <row r="491" spans="10:10" s="821" customFormat="1" ht="15">
      <c r="J491" s="1222"/>
    </row>
    <row r="492" spans="10:10" s="821" customFormat="1" ht="15">
      <c r="J492" s="1222"/>
    </row>
    <row r="493" spans="10:10" s="821" customFormat="1" ht="15">
      <c r="J493" s="1222"/>
    </row>
    <row r="494" spans="10:10" s="821" customFormat="1" ht="15">
      <c r="J494" s="1222"/>
    </row>
    <row r="495" spans="10:10" s="821" customFormat="1" ht="15">
      <c r="J495" s="1222"/>
    </row>
    <row r="496" spans="10:10" s="821" customFormat="1" ht="15">
      <c r="J496" s="1222"/>
    </row>
    <row r="497" spans="10:10" s="821" customFormat="1" ht="15">
      <c r="J497" s="1222"/>
    </row>
    <row r="498" spans="10:10" s="821" customFormat="1" ht="15">
      <c r="J498" s="1222"/>
    </row>
    <row r="499" spans="10:10" s="821" customFormat="1" ht="15">
      <c r="J499" s="1222"/>
    </row>
    <row r="500" spans="10:10" s="821" customFormat="1" ht="15">
      <c r="J500" s="1222"/>
    </row>
    <row r="501" spans="10:10" s="821" customFormat="1" ht="15">
      <c r="J501" s="1222"/>
    </row>
    <row r="502" spans="10:10" s="821" customFormat="1" ht="15">
      <c r="J502" s="1222"/>
    </row>
    <row r="503" spans="10:10" s="821" customFormat="1" ht="15">
      <c r="J503" s="1222"/>
    </row>
    <row r="504" spans="10:10" s="821" customFormat="1" ht="15">
      <c r="J504" s="1222"/>
    </row>
    <row r="505" spans="10:10" s="821" customFormat="1" ht="15">
      <c r="J505" s="1222"/>
    </row>
    <row r="506" spans="10:10" s="821" customFormat="1" ht="15">
      <c r="J506" s="1222"/>
    </row>
    <row r="507" spans="10:10" s="821" customFormat="1" ht="15">
      <c r="J507" s="1222"/>
    </row>
    <row r="508" spans="10:10" s="821" customFormat="1" ht="15">
      <c r="J508" s="1222"/>
    </row>
    <row r="509" spans="10:10" s="821" customFormat="1" ht="15">
      <c r="J509" s="1222"/>
    </row>
    <row r="510" spans="10:10" s="821" customFormat="1" ht="15">
      <c r="J510" s="1222"/>
    </row>
    <row r="511" spans="10:10" s="821" customFormat="1" ht="15">
      <c r="J511" s="1222"/>
    </row>
    <row r="512" spans="10:10" s="821" customFormat="1" ht="15">
      <c r="J512" s="1222"/>
    </row>
    <row r="513" spans="10:10" s="821" customFormat="1" ht="15">
      <c r="J513" s="1222"/>
    </row>
    <row r="514" spans="10:10" s="821" customFormat="1" ht="15">
      <c r="J514" s="1222"/>
    </row>
    <row r="515" spans="10:10" s="821" customFormat="1" ht="15">
      <c r="J515" s="1222"/>
    </row>
    <row r="516" spans="10:10" s="821" customFormat="1" ht="15">
      <c r="J516" s="1222"/>
    </row>
    <row r="517" spans="10:10" s="821" customFormat="1" ht="15">
      <c r="J517" s="1222"/>
    </row>
    <row r="518" spans="10:10" s="821" customFormat="1" ht="15">
      <c r="J518" s="1222"/>
    </row>
    <row r="519" spans="10:10" s="821" customFormat="1" ht="15">
      <c r="J519" s="1222"/>
    </row>
    <row r="520" spans="10:10" s="821" customFormat="1" ht="15">
      <c r="J520" s="1222"/>
    </row>
    <row r="521" spans="10:10" s="821" customFormat="1" ht="15">
      <c r="J521" s="1222"/>
    </row>
    <row r="522" spans="10:10" s="821" customFormat="1" ht="15">
      <c r="J522" s="1222"/>
    </row>
    <row r="523" spans="10:10" s="821" customFormat="1" ht="15">
      <c r="J523" s="1222"/>
    </row>
    <row r="524" spans="10:10" s="821" customFormat="1" ht="15">
      <c r="J524" s="1222"/>
    </row>
    <row r="525" spans="10:10" s="821" customFormat="1" ht="15">
      <c r="J525" s="1222"/>
    </row>
    <row r="526" spans="10:10" s="821" customFormat="1" ht="15">
      <c r="J526" s="1222"/>
    </row>
    <row r="527" spans="10:10" s="821" customFormat="1" ht="15">
      <c r="J527" s="1222"/>
    </row>
    <row r="528" spans="10:10" s="821" customFormat="1" ht="15">
      <c r="J528" s="1222"/>
    </row>
    <row r="529" spans="10:10" s="821" customFormat="1" ht="15">
      <c r="J529" s="1222"/>
    </row>
    <row r="530" spans="10:10" s="821" customFormat="1" ht="15">
      <c r="J530" s="1222"/>
    </row>
    <row r="531" spans="10:10" s="821" customFormat="1" ht="15">
      <c r="J531" s="1222"/>
    </row>
    <row r="532" spans="10:10" s="821" customFormat="1" ht="15">
      <c r="J532" s="1222"/>
    </row>
    <row r="533" spans="10:10" s="821" customFormat="1" ht="15">
      <c r="J533" s="1222"/>
    </row>
    <row r="534" spans="10:10" s="821" customFormat="1" ht="15">
      <c r="J534" s="1222"/>
    </row>
    <row r="535" spans="10:10" s="821" customFormat="1" ht="15">
      <c r="J535" s="1222"/>
    </row>
    <row r="536" spans="10:10" s="821" customFormat="1" ht="15">
      <c r="J536" s="1222"/>
    </row>
    <row r="537" spans="10:10" s="821" customFormat="1" ht="15">
      <c r="J537" s="1222"/>
    </row>
    <row r="538" spans="10:10" s="821" customFormat="1" ht="15">
      <c r="J538" s="1222"/>
    </row>
    <row r="539" spans="10:10" s="821" customFormat="1" ht="15">
      <c r="J539" s="1222"/>
    </row>
    <row r="540" spans="10:10" s="821" customFormat="1" ht="15">
      <c r="J540" s="1222"/>
    </row>
    <row r="541" spans="10:10" s="821" customFormat="1" ht="15">
      <c r="J541" s="1222"/>
    </row>
    <row r="542" spans="10:10" s="821" customFormat="1" ht="15">
      <c r="J542" s="1222"/>
    </row>
    <row r="543" spans="10:10" s="821" customFormat="1" ht="15">
      <c r="J543" s="1222"/>
    </row>
    <row r="544" spans="10:10" s="821" customFormat="1" ht="15">
      <c r="J544" s="1222"/>
    </row>
    <row r="545" spans="3:18" s="821" customFormat="1" ht="15">
      <c r="J545" s="1222"/>
    </row>
    <row r="546" spans="3:18" s="821" customFormat="1" ht="15">
      <c r="J546" s="1222"/>
    </row>
    <row r="547" spans="3:18" s="821" customFormat="1" ht="15">
      <c r="J547" s="1222"/>
    </row>
    <row r="548" spans="3:18" s="821" customFormat="1" ht="15">
      <c r="J548" s="1222"/>
    </row>
    <row r="549" spans="3:18" s="821" customFormat="1" ht="15">
      <c r="J549" s="1222"/>
    </row>
    <row r="550" spans="3:18" s="821" customFormat="1" ht="15">
      <c r="J550" s="1222"/>
    </row>
    <row r="551" spans="3:18" s="821" customFormat="1" ht="15">
      <c r="J551" s="1222"/>
    </row>
    <row r="552" spans="3:18" s="821" customFormat="1" ht="15">
      <c r="J552" s="1222"/>
    </row>
    <row r="553" spans="3:18" s="821" customFormat="1" ht="15">
      <c r="J553" s="1222"/>
    </row>
    <row r="554" spans="3:18" s="821" customFormat="1" ht="15">
      <c r="J554" s="1222"/>
    </row>
    <row r="555" spans="3:18" s="821" customFormat="1" ht="15">
      <c r="J555" s="1222"/>
    </row>
    <row r="556" spans="3:18" s="821" customFormat="1" ht="15">
      <c r="J556" s="1222"/>
    </row>
    <row r="557" spans="3:18" s="821" customFormat="1" ht="15">
      <c r="J557" s="1222"/>
    </row>
    <row r="558" spans="3:18" s="821" customFormat="1" ht="15">
      <c r="J558" s="1222"/>
    </row>
    <row r="559" spans="3:18">
      <c r="C559" s="822"/>
      <c r="D559" s="822"/>
      <c r="E559" s="822"/>
      <c r="F559" s="822"/>
      <c r="J559" s="1223"/>
      <c r="K559" s="632"/>
      <c r="L559" s="632"/>
      <c r="M559" s="632"/>
      <c r="N559" s="632"/>
      <c r="O559" s="632"/>
      <c r="P559" s="632"/>
      <c r="Q559" s="632"/>
      <c r="R559" s="632"/>
    </row>
    <row r="560" spans="3:18">
      <c r="C560" s="822"/>
      <c r="D560" s="822"/>
      <c r="E560" s="822"/>
      <c r="F560" s="822"/>
      <c r="J560" s="1223"/>
      <c r="K560" s="632"/>
      <c r="L560" s="632"/>
      <c r="M560" s="632"/>
      <c r="N560" s="632"/>
      <c r="O560" s="632"/>
      <c r="P560" s="632"/>
      <c r="Q560" s="632"/>
      <c r="R560" s="632"/>
    </row>
    <row r="561" spans="3:18">
      <c r="C561" s="822"/>
      <c r="D561" s="822"/>
      <c r="E561" s="822"/>
      <c r="F561" s="822"/>
      <c r="J561" s="1223"/>
      <c r="K561" s="632"/>
      <c r="L561" s="632"/>
      <c r="M561" s="632"/>
      <c r="N561" s="632"/>
      <c r="O561" s="632"/>
      <c r="P561" s="632"/>
      <c r="Q561" s="632"/>
      <c r="R561" s="632"/>
    </row>
    <row r="562" spans="3:18">
      <c r="C562" s="822"/>
      <c r="D562" s="822"/>
      <c r="E562" s="822"/>
      <c r="F562" s="822"/>
      <c r="J562" s="1223"/>
      <c r="K562" s="632"/>
      <c r="L562" s="632"/>
      <c r="M562" s="632"/>
      <c r="N562" s="632"/>
      <c r="O562" s="632"/>
      <c r="P562" s="632"/>
      <c r="Q562" s="632"/>
      <c r="R562" s="632"/>
    </row>
    <row r="563" spans="3:18">
      <c r="C563" s="822"/>
      <c r="D563" s="822"/>
      <c r="E563" s="822"/>
      <c r="F563" s="822"/>
      <c r="J563" s="1223"/>
      <c r="K563" s="632"/>
      <c r="L563" s="632"/>
      <c r="M563" s="632"/>
      <c r="N563" s="632"/>
      <c r="O563" s="632"/>
      <c r="P563" s="632"/>
      <c r="Q563" s="632"/>
      <c r="R563" s="632"/>
    </row>
    <row r="564" spans="3:18">
      <c r="C564" s="822"/>
      <c r="D564" s="822"/>
      <c r="E564" s="822"/>
      <c r="F564" s="822"/>
      <c r="J564" s="1223"/>
      <c r="K564" s="632"/>
      <c r="L564" s="632"/>
      <c r="M564" s="632"/>
      <c r="N564" s="632"/>
      <c r="O564" s="632"/>
      <c r="P564" s="632"/>
      <c r="Q564" s="632"/>
      <c r="R564" s="632"/>
    </row>
    <row r="565" spans="3:18">
      <c r="C565" s="822"/>
      <c r="D565" s="822"/>
      <c r="E565" s="822"/>
      <c r="F565" s="822"/>
      <c r="J565" s="1223"/>
      <c r="K565" s="632"/>
      <c r="L565" s="632"/>
      <c r="M565" s="632"/>
      <c r="N565" s="632"/>
      <c r="O565" s="632"/>
      <c r="P565" s="632"/>
      <c r="Q565" s="632"/>
      <c r="R565" s="632"/>
    </row>
    <row r="566" spans="3:18">
      <c r="C566" s="822"/>
      <c r="D566" s="822"/>
      <c r="E566" s="822"/>
      <c r="F566" s="822"/>
      <c r="J566" s="1223"/>
      <c r="K566" s="632"/>
      <c r="L566" s="632"/>
      <c r="M566" s="632"/>
      <c r="N566" s="632"/>
      <c r="O566" s="632"/>
      <c r="P566" s="632"/>
      <c r="Q566" s="632"/>
      <c r="R566" s="632"/>
    </row>
    <row r="567" spans="3:18">
      <c r="C567" s="822"/>
      <c r="D567" s="822"/>
      <c r="E567" s="822"/>
      <c r="F567" s="822"/>
      <c r="J567" s="1223"/>
      <c r="K567" s="632"/>
      <c r="L567" s="632"/>
      <c r="M567" s="632"/>
      <c r="N567" s="632"/>
      <c r="O567" s="632"/>
      <c r="P567" s="632"/>
      <c r="Q567" s="632"/>
      <c r="R567" s="632"/>
    </row>
    <row r="568" spans="3:18">
      <c r="C568" s="822"/>
      <c r="D568" s="822"/>
      <c r="E568" s="822"/>
      <c r="F568" s="822"/>
      <c r="J568" s="1223"/>
      <c r="K568" s="632"/>
      <c r="L568" s="632"/>
      <c r="M568" s="632"/>
      <c r="N568" s="632"/>
      <c r="O568" s="632"/>
      <c r="P568" s="632"/>
      <c r="Q568" s="632"/>
      <c r="R568" s="632"/>
    </row>
    <row r="569" spans="3:18">
      <c r="C569" s="822"/>
      <c r="D569" s="822"/>
      <c r="E569" s="822"/>
      <c r="F569" s="822"/>
      <c r="J569" s="1223"/>
      <c r="K569" s="632"/>
      <c r="L569" s="632"/>
      <c r="M569" s="632"/>
      <c r="N569" s="632"/>
      <c r="O569" s="632"/>
      <c r="P569" s="632"/>
      <c r="Q569" s="632"/>
      <c r="R569" s="632"/>
    </row>
    <row r="570" spans="3:18">
      <c r="C570" s="822"/>
      <c r="D570" s="822"/>
      <c r="E570" s="822"/>
      <c r="F570" s="822"/>
      <c r="J570" s="1223"/>
      <c r="K570" s="632"/>
      <c r="L570" s="632"/>
      <c r="M570" s="632"/>
      <c r="N570" s="632"/>
      <c r="O570" s="632"/>
      <c r="P570" s="632"/>
      <c r="Q570" s="632"/>
      <c r="R570" s="632"/>
    </row>
    <row r="571" spans="3:18">
      <c r="C571" s="822"/>
      <c r="D571" s="822"/>
      <c r="E571" s="822"/>
      <c r="F571" s="822"/>
      <c r="J571" s="1223"/>
      <c r="K571" s="632"/>
      <c r="L571" s="632"/>
      <c r="M571" s="632"/>
      <c r="N571" s="632"/>
      <c r="O571" s="632"/>
      <c r="P571" s="632"/>
      <c r="Q571" s="632"/>
      <c r="R571" s="632"/>
    </row>
    <row r="572" spans="3:18">
      <c r="C572" s="822"/>
      <c r="D572" s="822"/>
      <c r="E572" s="822"/>
      <c r="F572" s="822"/>
      <c r="J572" s="1223"/>
      <c r="K572" s="632"/>
      <c r="L572" s="632"/>
      <c r="M572" s="632"/>
      <c r="N572" s="632"/>
      <c r="O572" s="632"/>
      <c r="P572" s="632"/>
      <c r="Q572" s="632"/>
      <c r="R572" s="632"/>
    </row>
    <row r="573" spans="3:18">
      <c r="C573" s="822"/>
      <c r="D573" s="822"/>
      <c r="E573" s="822"/>
      <c r="F573" s="822"/>
      <c r="J573" s="1223"/>
      <c r="K573" s="632"/>
      <c r="L573" s="632"/>
      <c r="M573" s="632"/>
      <c r="N573" s="632"/>
      <c r="O573" s="632"/>
      <c r="P573" s="632"/>
      <c r="Q573" s="632"/>
      <c r="R573" s="632"/>
    </row>
    <row r="574" spans="3:18">
      <c r="C574" s="822"/>
      <c r="D574" s="822"/>
      <c r="E574" s="822"/>
      <c r="F574" s="822"/>
      <c r="J574" s="1223"/>
      <c r="K574" s="632"/>
      <c r="L574" s="632"/>
      <c r="M574" s="632"/>
      <c r="N574" s="632"/>
      <c r="O574" s="632"/>
      <c r="P574" s="632"/>
      <c r="Q574" s="632"/>
      <c r="R574" s="632"/>
    </row>
    <row r="575" spans="3:18">
      <c r="C575" s="822"/>
      <c r="D575" s="822"/>
      <c r="E575" s="822"/>
      <c r="F575" s="822"/>
      <c r="J575" s="1223"/>
      <c r="K575" s="632"/>
      <c r="L575" s="632"/>
      <c r="M575" s="632"/>
      <c r="N575" s="632"/>
      <c r="O575" s="632"/>
      <c r="P575" s="632"/>
      <c r="Q575" s="632"/>
      <c r="R575" s="632"/>
    </row>
    <row r="576" spans="3:18">
      <c r="C576" s="822"/>
      <c r="D576" s="822"/>
      <c r="E576" s="822"/>
      <c r="F576" s="822"/>
      <c r="J576" s="1223"/>
      <c r="K576" s="632"/>
      <c r="L576" s="632"/>
      <c r="M576" s="632"/>
      <c r="N576" s="632"/>
      <c r="O576" s="632"/>
      <c r="P576" s="632"/>
      <c r="Q576" s="632"/>
      <c r="R576" s="632"/>
    </row>
    <row r="577" spans="3:18">
      <c r="C577" s="822"/>
      <c r="D577" s="822"/>
      <c r="E577" s="822"/>
      <c r="F577" s="822"/>
      <c r="J577" s="1223"/>
      <c r="K577" s="632"/>
      <c r="L577" s="632"/>
      <c r="M577" s="632"/>
      <c r="N577" s="632"/>
      <c r="O577" s="632"/>
      <c r="P577" s="632"/>
      <c r="Q577" s="632"/>
      <c r="R577" s="632"/>
    </row>
    <row r="578" spans="3:18">
      <c r="C578" s="822"/>
      <c r="D578" s="822"/>
      <c r="E578" s="822"/>
      <c r="F578" s="822"/>
      <c r="J578" s="1223"/>
      <c r="K578" s="632"/>
      <c r="L578" s="632"/>
      <c r="M578" s="632"/>
      <c r="N578" s="632"/>
      <c r="O578" s="632"/>
      <c r="P578" s="632"/>
      <c r="Q578" s="632"/>
      <c r="R578" s="632"/>
    </row>
    <row r="579" spans="3:18">
      <c r="C579" s="822"/>
      <c r="D579" s="822"/>
      <c r="E579" s="822"/>
      <c r="F579" s="822"/>
      <c r="J579" s="1223"/>
      <c r="K579" s="632"/>
      <c r="L579" s="632"/>
      <c r="M579" s="632"/>
      <c r="N579" s="632"/>
      <c r="O579" s="632"/>
      <c r="P579" s="632"/>
      <c r="Q579" s="632"/>
      <c r="R579" s="632"/>
    </row>
    <row r="580" spans="3:18">
      <c r="C580" s="822"/>
      <c r="D580" s="822"/>
      <c r="E580" s="822"/>
      <c r="F580" s="822"/>
      <c r="J580" s="1223"/>
      <c r="K580" s="632"/>
      <c r="L580" s="632"/>
      <c r="M580" s="632"/>
      <c r="N580" s="632"/>
      <c r="O580" s="632"/>
      <c r="P580" s="632"/>
      <c r="Q580" s="632"/>
      <c r="R580" s="632"/>
    </row>
    <row r="581" spans="3:18">
      <c r="C581" s="822"/>
      <c r="D581" s="822"/>
      <c r="E581" s="822"/>
      <c r="F581" s="822"/>
      <c r="J581" s="1223"/>
      <c r="K581" s="632"/>
      <c r="L581" s="632"/>
      <c r="M581" s="632"/>
      <c r="N581" s="632"/>
      <c r="O581" s="632"/>
      <c r="P581" s="632"/>
      <c r="Q581" s="632"/>
      <c r="R581" s="632"/>
    </row>
    <row r="582" spans="3:18">
      <c r="C582" s="822"/>
      <c r="D582" s="822"/>
      <c r="E582" s="822"/>
      <c r="F582" s="822"/>
      <c r="J582" s="1223"/>
      <c r="K582" s="632"/>
      <c r="L582" s="632"/>
      <c r="M582" s="632"/>
      <c r="N582" s="632"/>
      <c r="O582" s="632"/>
      <c r="P582" s="632"/>
      <c r="Q582" s="632"/>
      <c r="R582" s="632"/>
    </row>
    <row r="583" spans="3:18">
      <c r="C583" s="822"/>
      <c r="D583" s="822"/>
      <c r="E583" s="822"/>
      <c r="F583" s="822"/>
      <c r="J583" s="1223"/>
      <c r="K583" s="632"/>
      <c r="L583" s="632"/>
      <c r="M583" s="632"/>
      <c r="N583" s="632"/>
      <c r="O583" s="632"/>
      <c r="P583" s="632"/>
      <c r="Q583" s="632"/>
      <c r="R583" s="632"/>
    </row>
    <row r="584" spans="3:18">
      <c r="C584" s="822"/>
      <c r="D584" s="822"/>
      <c r="E584" s="822"/>
      <c r="F584" s="822"/>
      <c r="J584" s="1223"/>
      <c r="K584" s="632"/>
      <c r="L584" s="632"/>
      <c r="M584" s="632"/>
      <c r="N584" s="632"/>
      <c r="O584" s="632"/>
      <c r="P584" s="632"/>
      <c r="Q584" s="632"/>
      <c r="R584" s="632"/>
    </row>
    <row r="585" spans="3:18">
      <c r="C585" s="822"/>
      <c r="D585" s="822"/>
      <c r="E585" s="822"/>
      <c r="F585" s="822"/>
      <c r="J585" s="1223"/>
      <c r="K585" s="632"/>
      <c r="L585" s="632"/>
      <c r="M585" s="632"/>
      <c r="N585" s="632"/>
      <c r="O585" s="632"/>
      <c r="P585" s="632"/>
      <c r="Q585" s="632"/>
      <c r="R585" s="632"/>
    </row>
    <row r="586" spans="3:18">
      <c r="C586" s="822"/>
      <c r="D586" s="822"/>
      <c r="E586" s="822"/>
      <c r="F586" s="822"/>
      <c r="J586" s="1223"/>
      <c r="K586" s="632"/>
      <c r="L586" s="632"/>
      <c r="M586" s="632"/>
      <c r="N586" s="632"/>
      <c r="O586" s="632"/>
      <c r="P586" s="632"/>
      <c r="Q586" s="632"/>
      <c r="R586" s="632"/>
    </row>
    <row r="587" spans="3:18">
      <c r="C587" s="822"/>
      <c r="D587" s="822"/>
      <c r="E587" s="822"/>
      <c r="F587" s="822"/>
      <c r="J587" s="1223"/>
      <c r="K587" s="632"/>
      <c r="L587" s="632"/>
      <c r="M587" s="632"/>
      <c r="N587" s="632"/>
      <c r="O587" s="632"/>
      <c r="P587" s="632"/>
      <c r="Q587" s="632"/>
      <c r="R587" s="632"/>
    </row>
    <row r="588" spans="3:18">
      <c r="C588" s="822"/>
      <c r="D588" s="822"/>
      <c r="E588" s="822"/>
      <c r="F588" s="822"/>
      <c r="J588" s="1223"/>
      <c r="K588" s="632"/>
      <c r="L588" s="632"/>
      <c r="M588" s="632"/>
      <c r="N588" s="632"/>
      <c r="O588" s="632"/>
      <c r="P588" s="632"/>
      <c r="Q588" s="632"/>
      <c r="R588" s="632"/>
    </row>
    <row r="589" spans="3:18">
      <c r="C589" s="822"/>
      <c r="D589" s="822"/>
      <c r="E589" s="822"/>
      <c r="F589" s="822"/>
      <c r="J589" s="1223"/>
      <c r="K589" s="632"/>
      <c r="L589" s="632"/>
      <c r="M589" s="632"/>
      <c r="N589" s="632"/>
      <c r="O589" s="632"/>
      <c r="P589" s="632"/>
      <c r="Q589" s="632"/>
      <c r="R589" s="632"/>
    </row>
    <row r="590" spans="3:18">
      <c r="C590" s="822"/>
      <c r="D590" s="822"/>
      <c r="E590" s="822"/>
      <c r="F590" s="822"/>
      <c r="J590" s="1223"/>
      <c r="K590" s="632"/>
      <c r="L590" s="632"/>
      <c r="M590" s="632"/>
      <c r="N590" s="632"/>
      <c r="O590" s="632"/>
      <c r="P590" s="632"/>
      <c r="Q590" s="632"/>
      <c r="R590" s="632"/>
    </row>
    <row r="591" spans="3:18">
      <c r="C591" s="822"/>
      <c r="D591" s="822"/>
      <c r="E591" s="822"/>
      <c r="F591" s="822"/>
      <c r="J591" s="1223"/>
      <c r="K591" s="632"/>
      <c r="L591" s="632"/>
      <c r="M591" s="632"/>
      <c r="N591" s="632"/>
      <c r="O591" s="632"/>
      <c r="P591" s="632"/>
      <c r="Q591" s="632"/>
      <c r="R591" s="632"/>
    </row>
    <row r="592" spans="3:18">
      <c r="C592" s="822"/>
      <c r="D592" s="822"/>
      <c r="E592" s="822"/>
      <c r="F592" s="822"/>
      <c r="J592" s="1223"/>
      <c r="K592" s="632"/>
      <c r="L592" s="632"/>
      <c r="M592" s="632"/>
      <c r="N592" s="632"/>
      <c r="O592" s="632"/>
      <c r="P592" s="632"/>
      <c r="Q592" s="632"/>
      <c r="R592" s="632"/>
    </row>
    <row r="593" spans="3:18">
      <c r="C593" s="822"/>
      <c r="D593" s="822"/>
      <c r="E593" s="822"/>
      <c r="F593" s="822"/>
      <c r="J593" s="1223"/>
      <c r="K593" s="632"/>
      <c r="L593" s="632"/>
      <c r="M593" s="632"/>
      <c r="N593" s="632"/>
      <c r="O593" s="632"/>
      <c r="P593" s="632"/>
      <c r="Q593" s="632"/>
      <c r="R593" s="632"/>
    </row>
    <row r="594" spans="3:18">
      <c r="C594" s="822"/>
      <c r="D594" s="822"/>
      <c r="E594" s="822"/>
      <c r="F594" s="822"/>
      <c r="J594" s="1223"/>
      <c r="K594" s="632"/>
      <c r="L594" s="632"/>
      <c r="M594" s="632"/>
      <c r="N594" s="632"/>
      <c r="O594" s="632"/>
      <c r="P594" s="632"/>
      <c r="Q594" s="632"/>
      <c r="R594" s="632"/>
    </row>
    <row r="595" spans="3:18">
      <c r="C595" s="822"/>
      <c r="D595" s="822"/>
      <c r="E595" s="822"/>
      <c r="F595" s="822"/>
      <c r="J595" s="1223"/>
      <c r="K595" s="632"/>
      <c r="L595" s="632"/>
      <c r="M595" s="632"/>
      <c r="N595" s="632"/>
      <c r="O595" s="632"/>
      <c r="P595" s="632"/>
      <c r="Q595" s="632"/>
      <c r="R595" s="632"/>
    </row>
    <row r="596" spans="3:18">
      <c r="C596" s="822"/>
      <c r="D596" s="822"/>
      <c r="E596" s="822"/>
      <c r="F596" s="822"/>
      <c r="J596" s="1223"/>
      <c r="K596" s="632"/>
      <c r="L596" s="632"/>
      <c r="M596" s="632"/>
      <c r="N596" s="632"/>
      <c r="O596" s="632"/>
      <c r="P596" s="632"/>
      <c r="Q596" s="632"/>
      <c r="R596" s="632"/>
    </row>
    <row r="597" spans="3:18">
      <c r="C597" s="822"/>
      <c r="D597" s="822"/>
      <c r="E597" s="822"/>
      <c r="F597" s="822"/>
      <c r="J597" s="1223"/>
      <c r="K597" s="632"/>
      <c r="L597" s="632"/>
      <c r="M597" s="632"/>
      <c r="N597" s="632"/>
      <c r="O597" s="632"/>
      <c r="P597" s="632"/>
      <c r="Q597" s="632"/>
      <c r="R597" s="632"/>
    </row>
    <row r="598" spans="3:18">
      <c r="C598" s="822"/>
      <c r="D598" s="822"/>
      <c r="E598" s="822"/>
      <c r="F598" s="822"/>
      <c r="J598" s="1223"/>
      <c r="K598" s="632"/>
      <c r="L598" s="632"/>
      <c r="M598" s="632"/>
      <c r="N598" s="632"/>
      <c r="O598" s="632"/>
      <c r="P598" s="632"/>
      <c r="Q598" s="632"/>
      <c r="R598" s="632"/>
    </row>
    <row r="599" spans="3:18">
      <c r="C599" s="822"/>
      <c r="D599" s="822"/>
      <c r="E599" s="822"/>
      <c r="F599" s="822"/>
      <c r="J599" s="1223"/>
      <c r="K599" s="632"/>
      <c r="L599" s="632"/>
      <c r="M599" s="632"/>
      <c r="N599" s="632"/>
      <c r="O599" s="632"/>
      <c r="P599" s="632"/>
      <c r="Q599" s="632"/>
      <c r="R599" s="632"/>
    </row>
    <row r="600" spans="3:18">
      <c r="C600" s="822"/>
      <c r="D600" s="822"/>
      <c r="E600" s="822"/>
      <c r="F600" s="822"/>
      <c r="J600" s="1223"/>
      <c r="K600" s="632"/>
      <c r="L600" s="632"/>
      <c r="M600" s="632"/>
      <c r="N600" s="632"/>
      <c r="O600" s="632"/>
      <c r="P600" s="632"/>
      <c r="Q600" s="632"/>
      <c r="R600" s="632"/>
    </row>
    <row r="601" spans="3:18">
      <c r="C601" s="822"/>
      <c r="D601" s="822"/>
      <c r="E601" s="822"/>
      <c r="F601" s="822"/>
      <c r="J601" s="1223"/>
      <c r="K601" s="632"/>
      <c r="L601" s="632"/>
      <c r="M601" s="632"/>
      <c r="N601" s="632"/>
      <c r="O601" s="632"/>
      <c r="P601" s="632"/>
      <c r="Q601" s="632"/>
      <c r="R601" s="632"/>
    </row>
    <row r="602" spans="3:18">
      <c r="C602" s="822"/>
      <c r="D602" s="822"/>
      <c r="E602" s="822"/>
      <c r="F602" s="822"/>
      <c r="J602" s="1223"/>
      <c r="K602" s="632"/>
      <c r="L602" s="632"/>
      <c r="M602" s="632"/>
      <c r="N602" s="632"/>
      <c r="O602" s="632"/>
      <c r="P602" s="632"/>
      <c r="Q602" s="632"/>
      <c r="R602" s="632"/>
    </row>
    <row r="603" spans="3:18">
      <c r="C603" s="822"/>
      <c r="D603" s="822"/>
      <c r="E603" s="822"/>
      <c r="F603" s="822"/>
      <c r="J603" s="1223"/>
      <c r="K603" s="632"/>
      <c r="L603" s="632"/>
      <c r="M603" s="632"/>
      <c r="N603" s="632"/>
      <c r="O603" s="632"/>
      <c r="P603" s="632"/>
      <c r="Q603" s="632"/>
      <c r="R603" s="632"/>
    </row>
    <row r="604" spans="3:18">
      <c r="C604" s="822"/>
      <c r="D604" s="822"/>
      <c r="E604" s="822"/>
      <c r="F604" s="822"/>
      <c r="J604" s="1223"/>
      <c r="K604" s="632"/>
      <c r="L604" s="632"/>
      <c r="M604" s="632"/>
      <c r="N604" s="632"/>
      <c r="O604" s="632"/>
      <c r="P604" s="632"/>
      <c r="Q604" s="632"/>
      <c r="R604" s="632"/>
    </row>
    <row r="605" spans="3:18">
      <c r="C605" s="822"/>
      <c r="D605" s="822"/>
      <c r="E605" s="822"/>
      <c r="F605" s="822"/>
      <c r="J605" s="1223"/>
      <c r="K605" s="632"/>
      <c r="L605" s="632"/>
      <c r="M605" s="632"/>
      <c r="N605" s="632"/>
      <c r="O605" s="632"/>
      <c r="P605" s="632"/>
      <c r="Q605" s="632"/>
      <c r="R605" s="632"/>
    </row>
    <row r="606" spans="3:18">
      <c r="C606" s="822"/>
      <c r="D606" s="822"/>
      <c r="E606" s="822"/>
      <c r="F606" s="822"/>
      <c r="J606" s="1223"/>
      <c r="K606" s="632"/>
      <c r="L606" s="632"/>
      <c r="M606" s="632"/>
      <c r="N606" s="632"/>
      <c r="O606" s="632"/>
      <c r="P606" s="632"/>
      <c r="Q606" s="632"/>
      <c r="R606" s="632"/>
    </row>
    <row r="607" spans="3:18">
      <c r="C607" s="822"/>
      <c r="D607" s="822"/>
      <c r="E607" s="822"/>
      <c r="F607" s="822"/>
      <c r="J607" s="1223"/>
      <c r="K607" s="632"/>
      <c r="L607" s="632"/>
      <c r="M607" s="632"/>
      <c r="N607" s="632"/>
      <c r="O607" s="632"/>
      <c r="P607" s="632"/>
      <c r="Q607" s="632"/>
      <c r="R607" s="632"/>
    </row>
    <row r="608" spans="3:18">
      <c r="C608" s="822"/>
      <c r="D608" s="822"/>
      <c r="E608" s="822"/>
      <c r="F608" s="822"/>
      <c r="J608" s="1223"/>
      <c r="K608" s="632"/>
      <c r="L608" s="632"/>
      <c r="M608" s="632"/>
      <c r="N608" s="632"/>
      <c r="O608" s="632"/>
      <c r="P608" s="632"/>
      <c r="Q608" s="632"/>
      <c r="R608" s="632"/>
    </row>
    <row r="609" spans="3:18">
      <c r="C609" s="822"/>
      <c r="D609" s="822"/>
      <c r="E609" s="822"/>
      <c r="F609" s="822"/>
      <c r="J609" s="1223"/>
      <c r="K609" s="632"/>
      <c r="L609" s="632"/>
      <c r="M609" s="632"/>
      <c r="N609" s="632"/>
      <c r="O609" s="632"/>
      <c r="P609" s="632"/>
      <c r="Q609" s="632"/>
      <c r="R609" s="632"/>
    </row>
    <row r="610" spans="3:18">
      <c r="C610" s="822"/>
      <c r="D610" s="822"/>
      <c r="E610" s="822"/>
      <c r="F610" s="822"/>
      <c r="J610" s="1223"/>
      <c r="K610" s="632"/>
      <c r="L610" s="632"/>
      <c r="M610" s="632"/>
      <c r="N610" s="632"/>
      <c r="O610" s="632"/>
      <c r="P610" s="632"/>
      <c r="Q610" s="632"/>
      <c r="R610" s="632"/>
    </row>
    <row r="611" spans="3:18">
      <c r="C611" s="822"/>
      <c r="D611" s="822"/>
      <c r="E611" s="822"/>
      <c r="F611" s="822"/>
      <c r="J611" s="1223"/>
      <c r="K611" s="632"/>
      <c r="L611" s="632"/>
      <c r="M611" s="632"/>
      <c r="N611" s="632"/>
      <c r="O611" s="632"/>
      <c r="P611" s="632"/>
      <c r="Q611" s="632"/>
      <c r="R611" s="632"/>
    </row>
    <row r="612" spans="3:18">
      <c r="C612" s="822"/>
      <c r="D612" s="822"/>
      <c r="E612" s="822"/>
      <c r="F612" s="822"/>
      <c r="J612" s="1223"/>
      <c r="K612" s="632"/>
      <c r="L612" s="632"/>
      <c r="M612" s="632"/>
      <c r="N612" s="632"/>
      <c r="O612" s="632"/>
      <c r="P612" s="632"/>
      <c r="Q612" s="632"/>
      <c r="R612" s="632"/>
    </row>
    <row r="613" spans="3:18">
      <c r="C613" s="822"/>
      <c r="D613" s="822"/>
      <c r="E613" s="822"/>
      <c r="F613" s="822"/>
      <c r="J613" s="1223"/>
      <c r="K613" s="632"/>
      <c r="L613" s="632"/>
      <c r="M613" s="632"/>
      <c r="N613" s="632"/>
      <c r="O613" s="632"/>
      <c r="P613" s="632"/>
      <c r="Q613" s="632"/>
      <c r="R613" s="632"/>
    </row>
    <row r="614" spans="3:18">
      <c r="C614" s="822"/>
      <c r="D614" s="822"/>
      <c r="E614" s="822"/>
      <c r="F614" s="822"/>
      <c r="J614" s="1223"/>
      <c r="K614" s="632"/>
      <c r="L614" s="632"/>
      <c r="M614" s="632"/>
      <c r="N614" s="632"/>
      <c r="O614" s="632"/>
      <c r="P614" s="632"/>
      <c r="Q614" s="632"/>
      <c r="R614" s="632"/>
    </row>
    <row r="615" spans="3:18">
      <c r="C615" s="822"/>
      <c r="D615" s="822"/>
      <c r="E615" s="822"/>
      <c r="F615" s="822"/>
      <c r="J615" s="1223"/>
      <c r="K615" s="632"/>
      <c r="L615" s="632"/>
      <c r="M615" s="632"/>
      <c r="N615" s="632"/>
      <c r="O615" s="632"/>
      <c r="P615" s="632"/>
      <c r="Q615" s="632"/>
      <c r="R615" s="632"/>
    </row>
    <row r="616" spans="3:18">
      <c r="C616" s="822"/>
      <c r="D616" s="822"/>
      <c r="E616" s="822"/>
      <c r="F616" s="822"/>
      <c r="J616" s="1223"/>
      <c r="K616" s="632"/>
      <c r="L616" s="632"/>
      <c r="M616" s="632"/>
      <c r="N616" s="632"/>
      <c r="O616" s="632"/>
      <c r="P616" s="632"/>
      <c r="Q616" s="632"/>
      <c r="R616" s="632"/>
    </row>
    <row r="617" spans="3:18">
      <c r="C617" s="822"/>
      <c r="D617" s="822"/>
      <c r="E617" s="822"/>
      <c r="F617" s="822"/>
      <c r="J617" s="1223"/>
      <c r="K617" s="632"/>
      <c r="L617" s="632"/>
      <c r="M617" s="632"/>
      <c r="N617" s="632"/>
      <c r="O617" s="632"/>
      <c r="P617" s="632"/>
      <c r="Q617" s="632"/>
      <c r="R617" s="632"/>
    </row>
    <row r="618" spans="3:18">
      <c r="C618" s="822"/>
      <c r="D618" s="822"/>
      <c r="E618" s="822"/>
      <c r="F618" s="822"/>
      <c r="J618" s="1223"/>
      <c r="K618" s="632"/>
      <c r="L618" s="632"/>
      <c r="M618" s="632"/>
      <c r="N618" s="632"/>
      <c r="O618" s="632"/>
      <c r="P618" s="632"/>
      <c r="Q618" s="632"/>
      <c r="R618" s="632"/>
    </row>
    <row r="619" spans="3:18">
      <c r="C619" s="822"/>
      <c r="D619" s="822"/>
      <c r="E619" s="822"/>
      <c r="F619" s="822"/>
      <c r="J619" s="1223"/>
      <c r="K619" s="632"/>
      <c r="L619" s="632"/>
      <c r="M619" s="632"/>
      <c r="N619" s="632"/>
      <c r="O619" s="632"/>
      <c r="P619" s="632"/>
      <c r="Q619" s="632"/>
      <c r="R619" s="632"/>
    </row>
    <row r="620" spans="3:18">
      <c r="C620" s="822"/>
      <c r="D620" s="822"/>
      <c r="E620" s="822"/>
      <c r="F620" s="822"/>
      <c r="J620" s="1223"/>
      <c r="K620" s="632"/>
      <c r="L620" s="632"/>
      <c r="M620" s="632"/>
      <c r="N620" s="632"/>
      <c r="O620" s="632"/>
      <c r="P620" s="632"/>
      <c r="Q620" s="632"/>
      <c r="R620" s="632"/>
    </row>
    <row r="621" spans="3:18">
      <c r="C621" s="822"/>
      <c r="D621" s="822"/>
      <c r="E621" s="822"/>
      <c r="F621" s="822"/>
      <c r="J621" s="1223"/>
      <c r="K621" s="632"/>
      <c r="L621" s="632"/>
      <c r="M621" s="632"/>
      <c r="N621" s="632"/>
      <c r="O621" s="632"/>
      <c r="P621" s="632"/>
      <c r="Q621" s="632"/>
      <c r="R621" s="632"/>
    </row>
    <row r="622" spans="3:18">
      <c r="C622" s="822"/>
      <c r="D622" s="822"/>
      <c r="E622" s="822"/>
      <c r="F622" s="822"/>
      <c r="J622" s="1223"/>
      <c r="K622" s="632"/>
      <c r="L622" s="632"/>
      <c r="M622" s="632"/>
      <c r="N622" s="632"/>
      <c r="O622" s="632"/>
      <c r="P622" s="632"/>
      <c r="Q622" s="632"/>
      <c r="R622" s="632"/>
    </row>
    <row r="623" spans="3:18">
      <c r="C623" s="822"/>
      <c r="D623" s="822"/>
      <c r="E623" s="822"/>
      <c r="F623" s="822"/>
      <c r="J623" s="1223"/>
      <c r="K623" s="632"/>
      <c r="L623" s="632"/>
      <c r="M623" s="632"/>
      <c r="N623" s="632"/>
      <c r="O623" s="632"/>
      <c r="P623" s="632"/>
      <c r="Q623" s="632"/>
      <c r="R623" s="632"/>
    </row>
    <row r="624" spans="3:18">
      <c r="C624" s="822"/>
      <c r="D624" s="822"/>
      <c r="E624" s="822"/>
      <c r="F624" s="822"/>
    </row>
    <row r="625" spans="3:6">
      <c r="C625" s="822"/>
      <c r="D625" s="822"/>
      <c r="E625" s="822"/>
      <c r="F625" s="822"/>
    </row>
    <row r="626" spans="3:6">
      <c r="C626" s="822"/>
      <c r="D626" s="822"/>
      <c r="E626" s="822"/>
      <c r="F626" s="822"/>
    </row>
    <row r="627" spans="3:6">
      <c r="C627" s="822"/>
      <c r="D627" s="822"/>
      <c r="E627" s="822"/>
      <c r="F627" s="822"/>
    </row>
    <row r="628" spans="3:6">
      <c r="C628" s="822"/>
      <c r="D628" s="822"/>
      <c r="E628" s="822"/>
      <c r="F628" s="822"/>
    </row>
    <row r="629" spans="3:6">
      <c r="C629" s="822"/>
      <c r="D629" s="822"/>
      <c r="E629" s="822"/>
      <c r="F629" s="822"/>
    </row>
    <row r="630" spans="3:6">
      <c r="C630" s="822"/>
      <c r="D630" s="822"/>
      <c r="E630" s="822"/>
      <c r="F630" s="822"/>
    </row>
    <row r="631" spans="3:6">
      <c r="C631" s="822"/>
      <c r="D631" s="822"/>
      <c r="E631" s="822"/>
      <c r="F631" s="822"/>
    </row>
    <row r="632" spans="3:6">
      <c r="C632" s="822"/>
      <c r="D632" s="822"/>
      <c r="E632" s="822"/>
      <c r="F632" s="822"/>
    </row>
    <row r="633" spans="3:6">
      <c r="C633" s="822"/>
      <c r="D633" s="822"/>
      <c r="E633" s="822"/>
      <c r="F633" s="822"/>
    </row>
    <row r="634" spans="3:6">
      <c r="C634" s="822"/>
      <c r="D634" s="822"/>
      <c r="E634" s="822"/>
      <c r="F634" s="822"/>
    </row>
    <row r="635" spans="3:6">
      <c r="C635" s="822"/>
      <c r="D635" s="822"/>
      <c r="E635" s="822"/>
      <c r="F635" s="822"/>
    </row>
    <row r="636" spans="3:6">
      <c r="C636" s="822"/>
      <c r="D636" s="822"/>
      <c r="E636" s="822"/>
      <c r="F636" s="822"/>
    </row>
    <row r="637" spans="3:6">
      <c r="C637" s="822"/>
      <c r="D637" s="822"/>
      <c r="E637" s="822"/>
      <c r="F637" s="822"/>
    </row>
    <row r="638" spans="3:6">
      <c r="C638" s="822"/>
      <c r="D638" s="822"/>
      <c r="E638" s="822"/>
      <c r="F638" s="822"/>
    </row>
    <row r="639" spans="3:6">
      <c r="C639" s="822"/>
      <c r="D639" s="822"/>
      <c r="E639" s="822"/>
      <c r="F639" s="822"/>
    </row>
    <row r="640" spans="3:6">
      <c r="C640" s="822"/>
      <c r="D640" s="822"/>
      <c r="E640" s="822"/>
      <c r="F640" s="822"/>
    </row>
    <row r="641" spans="3:6">
      <c r="C641" s="822"/>
      <c r="D641" s="822"/>
      <c r="E641" s="822"/>
      <c r="F641" s="822"/>
    </row>
    <row r="642" spans="3:6">
      <c r="C642" s="822"/>
      <c r="D642" s="822"/>
      <c r="E642" s="822"/>
      <c r="F642" s="822"/>
    </row>
    <row r="643" spans="3:6">
      <c r="C643" s="822"/>
      <c r="D643" s="822"/>
      <c r="E643" s="822"/>
      <c r="F643" s="822"/>
    </row>
    <row r="644" spans="3:6">
      <c r="C644" s="822"/>
      <c r="D644" s="822"/>
      <c r="E644" s="822"/>
      <c r="F644" s="822"/>
    </row>
    <row r="645" spans="3:6">
      <c r="C645" s="822"/>
      <c r="D645" s="822"/>
      <c r="E645" s="822"/>
      <c r="F645" s="822"/>
    </row>
    <row r="646" spans="3:6">
      <c r="C646" s="822"/>
      <c r="D646" s="822"/>
      <c r="E646" s="822"/>
      <c r="F646" s="822"/>
    </row>
    <row r="647" spans="3:6">
      <c r="C647" s="822"/>
      <c r="D647" s="822"/>
      <c r="E647" s="822"/>
      <c r="F647" s="822"/>
    </row>
    <row r="648" spans="3:6">
      <c r="C648" s="822"/>
      <c r="D648" s="822"/>
      <c r="E648" s="822"/>
      <c r="F648" s="822"/>
    </row>
    <row r="649" spans="3:6">
      <c r="C649" s="822"/>
      <c r="D649" s="822"/>
      <c r="E649" s="822"/>
      <c r="F649" s="822"/>
    </row>
    <row r="650" spans="3:6">
      <c r="C650" s="822"/>
      <c r="D650" s="822"/>
      <c r="E650" s="822"/>
      <c r="F650" s="822"/>
    </row>
    <row r="651" spans="3:6">
      <c r="C651" s="822"/>
      <c r="D651" s="822"/>
      <c r="E651" s="822"/>
      <c r="F651" s="822"/>
    </row>
    <row r="652" spans="3:6">
      <c r="C652" s="822"/>
      <c r="D652" s="822"/>
      <c r="E652" s="822"/>
      <c r="F652" s="822"/>
    </row>
    <row r="653" spans="3:6">
      <c r="C653" s="822"/>
      <c r="D653" s="822"/>
      <c r="E653" s="822"/>
      <c r="F653" s="822"/>
    </row>
    <row r="654" spans="3:6">
      <c r="C654" s="822"/>
      <c r="D654" s="822"/>
      <c r="E654" s="822"/>
      <c r="F654" s="822"/>
    </row>
    <row r="655" spans="3:6">
      <c r="C655" s="822"/>
      <c r="D655" s="822"/>
      <c r="E655" s="822"/>
      <c r="F655" s="822"/>
    </row>
    <row r="656" spans="3:6">
      <c r="E656" s="822"/>
      <c r="F656" s="822"/>
    </row>
    <row r="657" spans="5:6">
      <c r="E657" s="822"/>
      <c r="F657" s="822"/>
    </row>
    <row r="658" spans="5:6">
      <c r="E658" s="822"/>
      <c r="F658" s="822"/>
    </row>
    <row r="659" spans="5:6">
      <c r="E659" s="822"/>
      <c r="F659" s="822"/>
    </row>
  </sheetData>
  <autoFilter ref="A1:R659" xr:uid="{00000000-0001-0000-0B00-000000000000}"/>
  <printOptions horizontalCentered="1"/>
  <pageMargins left="0.39370078740157483" right="0.39370078740157483" top="0.78740157480314965" bottom="0.59055118110236227" header="0.39370078740157483" footer="0.19685039370078741"/>
  <pageSetup paperSize="9" scale="68" fitToHeight="100" orientation="portrait" r:id="rId1"/>
  <headerFooter alignWithMargins="0">
    <oddHeader>&amp;R&amp;"-,Grassetto"ALLEGATO 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FA82D-77AA-48DB-87D5-509F5524B90E}">
  <sheetPr>
    <tabColor rgb="FF00B050"/>
    <pageSetUpPr fitToPage="1"/>
  </sheetPr>
  <dimension ref="A1:J124"/>
  <sheetViews>
    <sheetView showGridLines="0" tabSelected="1" topLeftCell="B1" zoomScale="70" zoomScaleNormal="70" workbookViewId="0">
      <selection activeCell="C33" sqref="C33"/>
    </sheetView>
  </sheetViews>
  <sheetFormatPr defaultColWidth="9.140625" defaultRowHeight="15.75"/>
  <cols>
    <col min="1" max="1" width="9.140625" style="1292"/>
    <col min="2" max="2" width="110.85546875" style="1292" bestFit="1" customWidth="1"/>
    <col min="3" max="4" width="20.85546875" style="1293" customWidth="1"/>
    <col min="5" max="5" width="24.42578125" style="1292" customWidth="1"/>
    <col min="6" max="8" width="17.140625" style="1292" bestFit="1" customWidth="1"/>
    <col min="9" max="10" width="15.85546875" style="1292" bestFit="1" customWidth="1"/>
    <col min="11" max="16384" width="9.140625" style="1292"/>
  </cols>
  <sheetData>
    <row r="1" spans="1:10" s="1226" customFormat="1" ht="27.6" customHeight="1">
      <c r="A1" s="1225"/>
      <c r="B1" s="1307" t="s">
        <v>13166</v>
      </c>
      <c r="C1" s="1309" t="s">
        <v>13167</v>
      </c>
      <c r="D1" s="1309" t="s">
        <v>13167</v>
      </c>
    </row>
    <row r="2" spans="1:10" s="1226" customFormat="1" ht="27.6" customHeight="1" thickBot="1">
      <c r="A2" s="1227"/>
      <c r="B2" s="1308"/>
      <c r="C2" s="1310"/>
      <c r="D2" s="1310"/>
    </row>
    <row r="3" spans="1:10" s="1229" customFormat="1">
      <c r="A3" s="1228"/>
      <c r="C3" s="1230"/>
      <c r="D3" s="1230"/>
    </row>
    <row r="4" spans="1:10" s="1229" customFormat="1" ht="40.5" customHeight="1">
      <c r="A4" s="1311" t="s">
        <v>13168</v>
      </c>
      <c r="B4" s="1312"/>
      <c r="C4" s="1231">
        <v>2025</v>
      </c>
      <c r="D4" s="1231">
        <v>2024</v>
      </c>
    </row>
    <row r="5" spans="1:10" s="1236" customFormat="1">
      <c r="A5" s="1232"/>
      <c r="B5" s="1233"/>
      <c r="C5" s="1234"/>
      <c r="D5" s="1235"/>
    </row>
    <row r="6" spans="1:10" s="1236" customFormat="1" ht="24.75" customHeight="1">
      <c r="A6" s="1237" t="s">
        <v>13169</v>
      </c>
      <c r="B6" s="1238"/>
      <c r="C6" s="1239"/>
      <c r="D6" s="1240"/>
    </row>
    <row r="7" spans="1:10" s="1236" customFormat="1">
      <c r="A7" s="1241" t="s">
        <v>13170</v>
      </c>
      <c r="B7" s="1242" t="s">
        <v>13171</v>
      </c>
      <c r="C7" s="1243">
        <v>-11967149.700000027</v>
      </c>
      <c r="D7" s="1244">
        <v>132143.20999997854</v>
      </c>
      <c r="E7" s="1245"/>
      <c r="F7" s="1246"/>
      <c r="G7" s="1245"/>
      <c r="J7" s="1245"/>
    </row>
    <row r="8" spans="1:10" s="1236" customFormat="1">
      <c r="A8" s="1241"/>
      <c r="B8" s="1247" t="s">
        <v>13172</v>
      </c>
      <c r="C8" s="1248"/>
      <c r="D8" s="1249"/>
      <c r="E8" s="1245"/>
      <c r="F8" s="1246"/>
      <c r="G8" s="1245"/>
      <c r="J8" s="1245"/>
    </row>
    <row r="9" spans="1:10" s="1236" customFormat="1" ht="18" customHeight="1">
      <c r="A9" s="1250" t="s">
        <v>13170</v>
      </c>
      <c r="B9" s="1251" t="s">
        <v>13173</v>
      </c>
      <c r="C9" s="1234">
        <v>38102.949999999997</v>
      </c>
      <c r="D9" s="1235">
        <v>46995</v>
      </c>
      <c r="E9" s="1245"/>
      <c r="F9" s="1246"/>
      <c r="G9" s="1245"/>
      <c r="J9" s="1245"/>
    </row>
    <row r="10" spans="1:10" s="1236" customFormat="1" ht="15" customHeight="1">
      <c r="A10" s="1250" t="s">
        <v>13170</v>
      </c>
      <c r="B10" s="1251" t="s">
        <v>13174</v>
      </c>
      <c r="C10" s="1234">
        <v>6005557.8399999999</v>
      </c>
      <c r="D10" s="1235">
        <v>5789214</v>
      </c>
      <c r="E10" s="1245"/>
      <c r="F10" s="1246"/>
      <c r="G10" s="1245"/>
      <c r="J10" s="1245"/>
    </row>
    <row r="11" spans="1:10" s="1236" customFormat="1" ht="14.25" customHeight="1">
      <c r="A11" s="1250" t="s">
        <v>13170</v>
      </c>
      <c r="B11" s="1251" t="s">
        <v>13175</v>
      </c>
      <c r="C11" s="1234">
        <v>1394137.74</v>
      </c>
      <c r="D11" s="1235">
        <v>1385115</v>
      </c>
      <c r="E11" s="1245"/>
      <c r="F11" s="1246"/>
      <c r="G11" s="1245"/>
      <c r="J11" s="1245"/>
    </row>
    <row r="12" spans="1:10" s="1236" customFormat="1">
      <c r="A12" s="1237" t="s">
        <v>33</v>
      </c>
      <c r="B12" s="1252"/>
      <c r="C12" s="1243">
        <v>7437798.5300000003</v>
      </c>
      <c r="D12" s="1244">
        <v>7221324</v>
      </c>
      <c r="E12" s="1245"/>
      <c r="F12" s="1246"/>
      <c r="G12" s="1245"/>
      <c r="J12" s="1245"/>
    </row>
    <row r="13" spans="1:10" s="1236" customFormat="1" ht="25.5" customHeight="1">
      <c r="A13" s="1250" t="s">
        <v>13176</v>
      </c>
      <c r="B13" s="1253" t="s">
        <v>13177</v>
      </c>
      <c r="C13" s="1234">
        <v>-12995848.530000001</v>
      </c>
      <c r="D13" s="1235">
        <v>-12396724.4</v>
      </c>
      <c r="E13" s="1245"/>
      <c r="F13" s="1246"/>
      <c r="G13" s="1245"/>
      <c r="J13" s="1245"/>
    </row>
    <row r="14" spans="1:10" s="1236" customFormat="1" ht="27.75" customHeight="1">
      <c r="A14" s="1250" t="s">
        <v>13176</v>
      </c>
      <c r="B14" s="1253" t="s">
        <v>13178</v>
      </c>
      <c r="C14" s="1234">
        <v>0</v>
      </c>
      <c r="D14" s="1235">
        <v>-351706.78</v>
      </c>
      <c r="E14" s="1245"/>
      <c r="F14" s="1246"/>
      <c r="G14" s="1245"/>
      <c r="J14" s="1245"/>
    </row>
    <row r="15" spans="1:10" s="1236" customFormat="1">
      <c r="A15" s="1237" t="s">
        <v>13179</v>
      </c>
      <c r="B15" s="1252"/>
      <c r="C15" s="1254">
        <v>-12995848.530000001</v>
      </c>
      <c r="D15" s="1255">
        <v>-12748431.18</v>
      </c>
      <c r="E15" s="1245"/>
      <c r="F15" s="1246"/>
      <c r="G15" s="1245"/>
      <c r="J15" s="1245"/>
    </row>
    <row r="16" spans="1:10" s="1236" customFormat="1">
      <c r="A16" s="1250" t="s">
        <v>13170</v>
      </c>
      <c r="B16" s="1256" t="s">
        <v>13180</v>
      </c>
      <c r="C16" s="1234">
        <v>0</v>
      </c>
      <c r="D16" s="1235">
        <v>0</v>
      </c>
      <c r="E16" s="1245"/>
      <c r="F16" s="1246"/>
      <c r="G16" s="1245"/>
      <c r="J16" s="1245"/>
    </row>
    <row r="17" spans="1:10" s="1236" customFormat="1">
      <c r="A17" s="1250" t="s">
        <v>13176</v>
      </c>
      <c r="B17" s="1251" t="s">
        <v>13181</v>
      </c>
      <c r="C17" s="1234">
        <v>0</v>
      </c>
      <c r="D17" s="1235">
        <v>0</v>
      </c>
      <c r="E17" s="1245"/>
      <c r="F17" s="1246"/>
      <c r="G17" s="1245"/>
      <c r="J17" s="1245"/>
    </row>
    <row r="18" spans="1:10" s="1236" customFormat="1">
      <c r="A18" s="1250" t="s">
        <v>13170</v>
      </c>
      <c r="B18" s="1256" t="s">
        <v>13182</v>
      </c>
      <c r="C18" s="1234">
        <v>0</v>
      </c>
      <c r="D18" s="1235">
        <v>0</v>
      </c>
      <c r="E18" s="1245"/>
      <c r="F18" s="1246"/>
      <c r="G18" s="1245"/>
      <c r="J18" s="1245"/>
    </row>
    <row r="19" spans="1:10" s="1236" customFormat="1">
      <c r="A19" s="1250" t="s">
        <v>13176</v>
      </c>
      <c r="B19" s="1251" t="s">
        <v>13183</v>
      </c>
      <c r="C19" s="1234">
        <v>0</v>
      </c>
      <c r="D19" s="1235">
        <v>0</v>
      </c>
      <c r="E19" s="1245"/>
      <c r="F19" s="1246"/>
      <c r="G19" s="1245"/>
      <c r="J19" s="1245"/>
    </row>
    <row r="20" spans="1:10" s="1236" customFormat="1">
      <c r="A20" s="1237" t="s">
        <v>13184</v>
      </c>
      <c r="B20" s="1252"/>
      <c r="C20" s="1243">
        <v>0</v>
      </c>
      <c r="D20" s="1244">
        <v>0</v>
      </c>
      <c r="E20" s="1245"/>
      <c r="F20" s="1246"/>
      <c r="G20" s="1245"/>
      <c r="J20" s="1245"/>
    </row>
    <row r="21" spans="1:10" s="1236" customFormat="1">
      <c r="A21" s="1250" t="s">
        <v>13185</v>
      </c>
      <c r="B21" s="1251" t="s">
        <v>13186</v>
      </c>
      <c r="C21" s="1243">
        <v>0</v>
      </c>
      <c r="D21" s="1244">
        <v>0</v>
      </c>
      <c r="E21" s="1245"/>
      <c r="F21" s="1246"/>
      <c r="G21" s="1245"/>
      <c r="J21" s="1245"/>
    </row>
    <row r="22" spans="1:10" s="1236" customFormat="1">
      <c r="A22" s="1250" t="s">
        <v>13170</v>
      </c>
      <c r="B22" s="1256" t="s">
        <v>13187</v>
      </c>
      <c r="C22" s="1243">
        <v>1003343</v>
      </c>
      <c r="D22" s="1244">
        <v>0</v>
      </c>
      <c r="E22" s="1245"/>
      <c r="F22" s="1246"/>
      <c r="G22" s="1245"/>
      <c r="J22" s="1245"/>
    </row>
    <row r="23" spans="1:10" s="1236" customFormat="1">
      <c r="A23" s="1257" t="s">
        <v>13176</v>
      </c>
      <c r="B23" s="1258" t="s">
        <v>13188</v>
      </c>
      <c r="C23" s="1243">
        <v>0</v>
      </c>
      <c r="D23" s="1244">
        <v>0</v>
      </c>
      <c r="E23" s="1245"/>
      <c r="F23" s="1246"/>
      <c r="G23" s="1245"/>
      <c r="J23" s="1245"/>
    </row>
    <row r="24" spans="1:10" s="1236" customFormat="1">
      <c r="A24" s="1237" t="s">
        <v>13189</v>
      </c>
      <c r="B24" s="1252"/>
      <c r="C24" s="1243">
        <v>-1003343</v>
      </c>
      <c r="D24" s="1244">
        <v>0</v>
      </c>
      <c r="E24" s="1245"/>
      <c r="F24" s="1246"/>
      <c r="G24" s="1245"/>
      <c r="J24" s="1245"/>
    </row>
    <row r="25" spans="1:10" s="1236" customFormat="1" ht="15" customHeight="1">
      <c r="A25" s="1250" t="s">
        <v>13170</v>
      </c>
      <c r="B25" s="1256" t="s">
        <v>13190</v>
      </c>
      <c r="C25" s="1234">
        <v>11745411.51</v>
      </c>
      <c r="D25" s="1235">
        <v>15634401</v>
      </c>
      <c r="E25" s="1245"/>
      <c r="F25" s="1246"/>
      <c r="G25" s="1245"/>
      <c r="J25" s="1245"/>
    </row>
    <row r="26" spans="1:10" s="1236" customFormat="1">
      <c r="A26" s="1250" t="s">
        <v>13176</v>
      </c>
      <c r="B26" s="1251" t="s">
        <v>13191</v>
      </c>
      <c r="C26" s="1234">
        <v>-11080020.260000002</v>
      </c>
      <c r="D26" s="1235">
        <v>-14349441.259999998</v>
      </c>
      <c r="E26" s="1245"/>
      <c r="F26" s="1246"/>
      <c r="G26" s="1245"/>
      <c r="J26" s="1245"/>
    </row>
    <row r="27" spans="1:10" s="1236" customFormat="1">
      <c r="A27" s="1237" t="s">
        <v>13192</v>
      </c>
      <c r="B27" s="1252"/>
      <c r="C27" s="1243">
        <v>-665391.24999999814</v>
      </c>
      <c r="D27" s="1244">
        <v>-1284959.7400000021</v>
      </c>
      <c r="E27" s="1245"/>
      <c r="F27" s="1246"/>
      <c r="G27" s="1245"/>
      <c r="J27" s="1245"/>
    </row>
    <row r="28" spans="1:10" s="1236" customFormat="1">
      <c r="A28" s="1259" t="s">
        <v>13193</v>
      </c>
      <c r="B28" s="1260"/>
      <c r="C28" s="1243">
        <v>-19193933.950000025</v>
      </c>
      <c r="D28" s="1244">
        <v>-6679923.7100000232</v>
      </c>
      <c r="E28" s="1245"/>
      <c r="F28" s="1246"/>
      <c r="G28" s="1245"/>
      <c r="J28" s="1245"/>
    </row>
    <row r="29" spans="1:10" s="1236" customFormat="1">
      <c r="A29" s="1261"/>
      <c r="B29" s="1256"/>
      <c r="C29" s="1234"/>
      <c r="D29" s="1235"/>
      <c r="E29" s="1245"/>
      <c r="F29" s="1246"/>
      <c r="G29" s="1245"/>
      <c r="J29" s="1245"/>
    </row>
    <row r="30" spans="1:10" s="1236" customFormat="1">
      <c r="A30" s="1250" t="s">
        <v>13194</v>
      </c>
      <c r="B30" s="1262" t="s">
        <v>13195</v>
      </c>
      <c r="C30" s="1234">
        <v>-807210.98</v>
      </c>
      <c r="D30" s="1235">
        <v>807211</v>
      </c>
      <c r="E30" s="1245"/>
      <c r="F30" s="1246"/>
      <c r="G30" s="1245"/>
      <c r="J30" s="1245"/>
    </row>
    <row r="31" spans="1:10" s="1236" customFormat="1">
      <c r="A31" s="1250" t="s">
        <v>13194</v>
      </c>
      <c r="B31" s="1262" t="s">
        <v>13196</v>
      </c>
      <c r="C31" s="1234">
        <v>0</v>
      </c>
      <c r="D31" s="1235">
        <v>-12</v>
      </c>
      <c r="E31" s="1245"/>
      <c r="F31" s="1246"/>
      <c r="G31" s="1245"/>
      <c r="J31" s="1245"/>
    </row>
    <row r="32" spans="1:10" s="1236" customFormat="1">
      <c r="A32" s="1250" t="s">
        <v>13194</v>
      </c>
      <c r="B32" s="1262" t="s">
        <v>13197</v>
      </c>
      <c r="C32" s="1234">
        <v>-2622286.0600000005</v>
      </c>
      <c r="D32" s="1235">
        <v>-265899.70999999996</v>
      </c>
      <c r="E32" s="1245"/>
      <c r="F32" s="1246"/>
      <c r="G32" s="1245"/>
      <c r="J32" s="1245"/>
    </row>
    <row r="33" spans="1:10" s="1236" customFormat="1">
      <c r="A33" s="1250" t="s">
        <v>13194</v>
      </c>
      <c r="B33" s="1262" t="s">
        <v>13198</v>
      </c>
      <c r="C33" s="1234">
        <v>7682.02</v>
      </c>
      <c r="D33" s="1235">
        <v>-23408</v>
      </c>
      <c r="E33" s="1245"/>
      <c r="F33" s="1246"/>
      <c r="G33" s="1245"/>
      <c r="J33" s="1245"/>
    </row>
    <row r="34" spans="1:10" s="1236" customFormat="1">
      <c r="A34" s="1250" t="s">
        <v>13194</v>
      </c>
      <c r="B34" s="1262" t="s">
        <v>13199</v>
      </c>
      <c r="C34" s="1234">
        <v>5979220.4099999964</v>
      </c>
      <c r="D34" s="1235">
        <v>-5768432.1400000006</v>
      </c>
      <c r="E34" s="1245"/>
      <c r="F34" s="1246"/>
      <c r="G34" s="1245"/>
      <c r="J34" s="1245"/>
    </row>
    <row r="35" spans="1:10" s="1236" customFormat="1">
      <c r="A35" s="1250" t="s">
        <v>13194</v>
      </c>
      <c r="B35" s="1262" t="s">
        <v>13200</v>
      </c>
      <c r="C35" s="1234">
        <v>2037231.7200000016</v>
      </c>
      <c r="D35" s="1235">
        <v>-961582.37999999989</v>
      </c>
      <c r="E35" s="1245"/>
      <c r="F35" s="1246"/>
      <c r="G35" s="1245"/>
      <c r="J35" s="1245"/>
    </row>
    <row r="36" spans="1:10" s="1236" customFormat="1" ht="13.5" customHeight="1">
      <c r="A36" s="1250" t="s">
        <v>13194</v>
      </c>
      <c r="B36" s="1262" t="s">
        <v>13201</v>
      </c>
      <c r="C36" s="1234">
        <v>-5412994.709999999</v>
      </c>
      <c r="D36" s="1235">
        <v>3768522.17</v>
      </c>
      <c r="E36" s="1245"/>
      <c r="F36" s="1246"/>
      <c r="G36" s="1245"/>
      <c r="J36" s="1245"/>
    </row>
    <row r="37" spans="1:10" s="1236" customFormat="1">
      <c r="A37" s="1250" t="s">
        <v>13194</v>
      </c>
      <c r="B37" s="1262" t="s">
        <v>13202</v>
      </c>
      <c r="C37" s="1234">
        <v>2021304.5600000061</v>
      </c>
      <c r="D37" s="1235">
        <v>-4441039.1700000055</v>
      </c>
      <c r="E37" s="1245"/>
      <c r="F37" s="1246"/>
      <c r="G37" s="1245"/>
      <c r="J37" s="1245"/>
    </row>
    <row r="38" spans="1:10" s="1236" customFormat="1">
      <c r="A38" s="1241" t="s">
        <v>13194</v>
      </c>
      <c r="B38" s="1242" t="s">
        <v>13203</v>
      </c>
      <c r="C38" s="1243">
        <v>1202946.9600000046</v>
      </c>
      <c r="D38" s="1244">
        <v>-6884640.230000006</v>
      </c>
      <c r="E38" s="1245"/>
      <c r="F38" s="1246"/>
      <c r="G38" s="1245"/>
      <c r="J38" s="1245"/>
    </row>
    <row r="39" spans="1:10" s="1236" customFormat="1">
      <c r="A39" s="1241" t="s">
        <v>13194</v>
      </c>
      <c r="B39" s="1242" t="s">
        <v>13204</v>
      </c>
      <c r="C39" s="1234">
        <v>-1920933.66</v>
      </c>
      <c r="D39" s="1235">
        <v>-607000.34000000008</v>
      </c>
      <c r="E39" s="1245"/>
      <c r="F39" s="1246"/>
      <c r="G39" s="1245"/>
      <c r="J39" s="1245"/>
    </row>
    <row r="40" spans="1:10" s="1236" customFormat="1">
      <c r="A40" s="1250" t="s">
        <v>13194</v>
      </c>
      <c r="B40" s="1262" t="s">
        <v>13205</v>
      </c>
      <c r="C40" s="1234">
        <v>0</v>
      </c>
      <c r="D40" s="1235">
        <v>0</v>
      </c>
      <c r="E40" s="1245"/>
      <c r="F40" s="1246"/>
      <c r="G40" s="1245"/>
      <c r="J40" s="1245"/>
    </row>
    <row r="41" spans="1:10" s="1236" customFormat="1">
      <c r="A41" s="1250" t="s">
        <v>13194</v>
      </c>
      <c r="B41" s="1262" t="s">
        <v>13206</v>
      </c>
      <c r="C41" s="1234">
        <v>0</v>
      </c>
      <c r="D41" s="1235">
        <v>0</v>
      </c>
      <c r="E41" s="1245"/>
      <c r="F41" s="1246"/>
      <c r="G41" s="1245"/>
      <c r="J41" s="1245"/>
    </row>
    <row r="42" spans="1:10" s="1236" customFormat="1">
      <c r="A42" s="1250" t="s">
        <v>13194</v>
      </c>
      <c r="B42" s="1262" t="s">
        <v>13207</v>
      </c>
      <c r="C42" s="1234">
        <v>0</v>
      </c>
      <c r="D42" s="1235">
        <v>0</v>
      </c>
      <c r="E42" s="1245"/>
      <c r="F42" s="1246"/>
      <c r="G42" s="1245"/>
      <c r="J42" s="1245"/>
    </row>
    <row r="43" spans="1:10" s="1236" customFormat="1">
      <c r="A43" s="1250" t="s">
        <v>13194</v>
      </c>
      <c r="B43" s="1262" t="s">
        <v>13208</v>
      </c>
      <c r="C43" s="1234">
        <v>0</v>
      </c>
      <c r="D43" s="1235">
        <v>0</v>
      </c>
      <c r="E43" s="1245"/>
      <c r="F43" s="1246"/>
      <c r="G43" s="1245"/>
      <c r="J43" s="1245"/>
    </row>
    <row r="44" spans="1:10" s="1236" customFormat="1">
      <c r="A44" s="1250" t="s">
        <v>13194</v>
      </c>
      <c r="B44" s="1262" t="s">
        <v>13209</v>
      </c>
      <c r="C44" s="1234">
        <v>0</v>
      </c>
      <c r="D44" s="1235">
        <v>0</v>
      </c>
      <c r="E44" s="1245"/>
      <c r="F44" s="1246"/>
      <c r="G44" s="1245"/>
      <c r="J44" s="1245"/>
    </row>
    <row r="45" spans="1:10" s="1236" customFormat="1">
      <c r="A45" s="1250" t="s">
        <v>13194</v>
      </c>
      <c r="B45" s="1262" t="s">
        <v>13210</v>
      </c>
      <c r="C45" s="1234">
        <v>0</v>
      </c>
      <c r="D45" s="1235">
        <v>0</v>
      </c>
      <c r="E45" s="1245"/>
      <c r="F45" s="1246"/>
      <c r="G45" s="1245"/>
      <c r="J45" s="1245"/>
    </row>
    <row r="46" spans="1:10" s="1236" customFormat="1">
      <c r="A46" s="1250" t="s">
        <v>13194</v>
      </c>
      <c r="B46" s="1262" t="s">
        <v>13211</v>
      </c>
      <c r="C46" s="1234">
        <v>2614278.629999999</v>
      </c>
      <c r="D46" s="1235">
        <v>-569976.12999999896</v>
      </c>
      <c r="E46" s="1245"/>
      <c r="F46" s="1246"/>
      <c r="G46" s="1245"/>
      <c r="J46" s="1245"/>
    </row>
    <row r="47" spans="1:10" s="1236" customFormat="1">
      <c r="A47" s="1250"/>
      <c r="B47" s="1262"/>
      <c r="C47" s="1234"/>
      <c r="D47" s="1235"/>
      <c r="E47" s="1245"/>
      <c r="F47" s="1246"/>
      <c r="G47" s="1245"/>
      <c r="J47" s="1245"/>
    </row>
    <row r="48" spans="1:10" s="1236" customFormat="1">
      <c r="A48" s="1250" t="s">
        <v>13194</v>
      </c>
      <c r="B48" s="1262" t="s">
        <v>13212</v>
      </c>
      <c r="C48" s="1234">
        <v>-20967639.25</v>
      </c>
      <c r="D48" s="1235">
        <v>15655448.960000008</v>
      </c>
      <c r="E48" s="1245"/>
      <c r="F48" s="1246"/>
      <c r="G48" s="1245"/>
      <c r="J48" s="1245"/>
    </row>
    <row r="49" spans="1:10" s="1236" customFormat="1">
      <c r="A49" s="1250" t="s">
        <v>13194</v>
      </c>
      <c r="B49" s="1262" t="s">
        <v>13213</v>
      </c>
      <c r="C49" s="1234">
        <v>2098</v>
      </c>
      <c r="D49" s="1235">
        <v>-2102</v>
      </c>
      <c r="E49" s="1245"/>
      <c r="F49" s="1246"/>
      <c r="G49" s="1245"/>
      <c r="J49" s="1245"/>
    </row>
    <row r="50" spans="1:10" s="1236" customFormat="1">
      <c r="A50" s="1250" t="s">
        <v>13194</v>
      </c>
      <c r="B50" s="1262" t="s">
        <v>13214</v>
      </c>
      <c r="C50" s="1234">
        <v>918127.01999999955</v>
      </c>
      <c r="D50" s="1235">
        <v>-2514709.34</v>
      </c>
      <c r="E50" s="1245"/>
      <c r="F50" s="1246"/>
      <c r="G50" s="1245"/>
      <c r="J50" s="1245"/>
    </row>
    <row r="51" spans="1:10" s="1236" customFormat="1">
      <c r="A51" s="1250" t="s">
        <v>13194</v>
      </c>
      <c r="B51" s="1262" t="s">
        <v>13215</v>
      </c>
      <c r="C51" s="1234"/>
      <c r="D51" s="1235"/>
      <c r="E51" s="1245"/>
      <c r="F51" s="1246"/>
      <c r="G51" s="1245"/>
      <c r="J51" s="1245"/>
    </row>
    <row r="52" spans="1:10" s="1236" customFormat="1">
      <c r="A52" s="1250" t="s">
        <v>13194</v>
      </c>
      <c r="B52" s="1262" t="s">
        <v>13216</v>
      </c>
      <c r="C52" s="1234">
        <v>-5811.4900000002235</v>
      </c>
      <c r="D52" s="1235">
        <v>-836855.10999999987</v>
      </c>
      <c r="E52" s="1245"/>
      <c r="F52" s="1246"/>
      <c r="G52" s="1245"/>
      <c r="J52" s="1245"/>
    </row>
    <row r="53" spans="1:10" s="1236" customFormat="1">
      <c r="A53" s="1250" t="s">
        <v>13194</v>
      </c>
      <c r="B53" s="1262" t="s">
        <v>13217</v>
      </c>
      <c r="C53" s="1234">
        <v>3458268.4299999997</v>
      </c>
      <c r="D53" s="1235">
        <v>1679257.0600000024</v>
      </c>
      <c r="E53" s="1245"/>
      <c r="F53" s="1246"/>
      <c r="G53" s="1245"/>
      <c r="I53" s="1245"/>
      <c r="J53" s="1245"/>
    </row>
    <row r="54" spans="1:10" s="1236" customFormat="1">
      <c r="A54" s="1241" t="s">
        <v>13194</v>
      </c>
      <c r="B54" s="1242" t="s">
        <v>13218</v>
      </c>
      <c r="C54" s="1243">
        <v>-13980678.660000004</v>
      </c>
      <c r="D54" s="1244">
        <v>13411063.440000013</v>
      </c>
      <c r="E54" s="1245"/>
      <c r="F54" s="1246"/>
      <c r="G54" s="1245"/>
      <c r="J54" s="1245"/>
    </row>
    <row r="55" spans="1:10" s="1236" customFormat="1">
      <c r="A55" s="1257" t="s">
        <v>13194</v>
      </c>
      <c r="B55" s="1262" t="s">
        <v>13219</v>
      </c>
      <c r="C55" s="1263">
        <v>-2724216.1399999997</v>
      </c>
      <c r="D55" s="1264">
        <v>-8522344.75</v>
      </c>
      <c r="E55" s="1245"/>
      <c r="F55" s="1246"/>
      <c r="G55" s="1304"/>
      <c r="H55" s="1305"/>
      <c r="I55" s="1245"/>
      <c r="J55" s="1245"/>
    </row>
    <row r="56" spans="1:10" s="1236" customFormat="1">
      <c r="A56" s="1257" t="s">
        <v>13194</v>
      </c>
      <c r="B56" s="1262" t="s">
        <v>13220</v>
      </c>
      <c r="C56" s="1263"/>
      <c r="D56" s="1264"/>
      <c r="E56" s="1245"/>
      <c r="F56" s="1246"/>
      <c r="G56" s="1245"/>
      <c r="J56" s="1245"/>
    </row>
    <row r="57" spans="1:10" s="1236" customFormat="1">
      <c r="A57" s="1241" t="s">
        <v>13194</v>
      </c>
      <c r="B57" s="1247" t="s">
        <v>13221</v>
      </c>
      <c r="C57" s="1243">
        <v>-2724216.1399999997</v>
      </c>
      <c r="D57" s="1244">
        <v>-8522344.75</v>
      </c>
      <c r="E57" s="1245"/>
      <c r="F57" s="1246"/>
      <c r="G57" s="1245"/>
      <c r="J57" s="1245"/>
    </row>
    <row r="58" spans="1:10" s="1236" customFormat="1">
      <c r="A58" s="1241" t="s">
        <v>13194</v>
      </c>
      <c r="B58" s="1242" t="s">
        <v>13222</v>
      </c>
      <c r="C58" s="1243"/>
      <c r="D58" s="1244"/>
      <c r="E58" s="1245"/>
      <c r="F58" s="1246"/>
      <c r="G58" s="1245"/>
      <c r="J58" s="1245"/>
    </row>
    <row r="59" spans="1:10" s="1236" customFormat="1">
      <c r="A59" s="1265" t="s">
        <v>13223</v>
      </c>
      <c r="B59" s="1266" t="s">
        <v>13224</v>
      </c>
      <c r="C59" s="1267">
        <v>-36616815.450000025</v>
      </c>
      <c r="D59" s="1267">
        <v>-9282845.5900000166</v>
      </c>
      <c r="E59" s="1245"/>
      <c r="F59" s="1246"/>
      <c r="G59" s="1245"/>
      <c r="J59" s="1245"/>
    </row>
    <row r="60" spans="1:10" s="1270" customFormat="1">
      <c r="A60" s="1268"/>
      <c r="B60" s="1269"/>
      <c r="C60" s="1234"/>
      <c r="D60" s="1234"/>
      <c r="E60" s="1245"/>
      <c r="F60" s="1246"/>
      <c r="G60" s="1245"/>
      <c r="H60" s="1236"/>
      <c r="I60" s="1236"/>
      <c r="J60" s="1245"/>
    </row>
    <row r="61" spans="1:10" s="1270" customFormat="1" ht="24.75" customHeight="1">
      <c r="A61" s="1271" t="s">
        <v>13225</v>
      </c>
      <c r="B61" s="1272"/>
      <c r="C61" s="1273"/>
      <c r="D61" s="1273"/>
      <c r="E61" s="1245"/>
      <c r="F61" s="1246"/>
      <c r="G61" s="1245"/>
      <c r="H61" s="1236"/>
      <c r="I61" s="1236"/>
      <c r="J61" s="1245"/>
    </row>
    <row r="62" spans="1:10" s="1236" customFormat="1">
      <c r="A62" s="1250" t="s">
        <v>13176</v>
      </c>
      <c r="B62" s="1251" t="s">
        <v>13226</v>
      </c>
      <c r="C62" s="1234"/>
      <c r="D62" s="1235"/>
      <c r="E62" s="1245"/>
      <c r="F62" s="1246"/>
      <c r="G62" s="1245"/>
      <c r="J62" s="1245"/>
    </row>
    <row r="63" spans="1:10" s="1236" customFormat="1">
      <c r="A63" s="1250" t="s">
        <v>13176</v>
      </c>
      <c r="B63" s="1251" t="s">
        <v>13227</v>
      </c>
      <c r="C63" s="1234"/>
      <c r="D63" s="1235"/>
      <c r="E63" s="1245"/>
      <c r="F63" s="1246"/>
      <c r="G63" s="1245"/>
      <c r="J63" s="1245"/>
    </row>
    <row r="64" spans="1:10" s="1236" customFormat="1">
      <c r="A64" s="1250" t="s">
        <v>13176</v>
      </c>
      <c r="B64" s="1251" t="s">
        <v>13228</v>
      </c>
      <c r="C64" s="1234"/>
      <c r="D64" s="1235"/>
      <c r="E64" s="1245"/>
      <c r="F64" s="1246"/>
      <c r="G64" s="1245"/>
      <c r="J64" s="1245"/>
    </row>
    <row r="65" spans="1:10" s="1236" customFormat="1">
      <c r="A65" s="1250" t="s">
        <v>13176</v>
      </c>
      <c r="B65" s="1251" t="s">
        <v>13229</v>
      </c>
      <c r="C65" s="1234">
        <v>-2456597.6699999943</v>
      </c>
      <c r="D65" s="1235"/>
      <c r="E65" s="1245"/>
      <c r="F65" s="1246"/>
      <c r="G65" s="1245"/>
      <c r="J65" s="1245"/>
    </row>
    <row r="66" spans="1:10" s="1236" customFormat="1">
      <c r="A66" s="1250" t="s">
        <v>13176</v>
      </c>
      <c r="B66" s="1251" t="s">
        <v>13230</v>
      </c>
      <c r="C66" s="1234">
        <v>-238603.05999999982</v>
      </c>
      <c r="D66" s="1235">
        <v>-5668014.1200000001</v>
      </c>
      <c r="E66" s="1245"/>
      <c r="F66" s="1246"/>
      <c r="G66" s="1245"/>
      <c r="J66" s="1245"/>
    </row>
    <row r="67" spans="1:10" s="1236" customFormat="1">
      <c r="A67" s="1237" t="s">
        <v>13176</v>
      </c>
      <c r="B67" s="1247" t="s">
        <v>13231</v>
      </c>
      <c r="C67" s="1243">
        <v>-2695200.7299999939</v>
      </c>
      <c r="D67" s="1244">
        <v>-5668014.1200000001</v>
      </c>
      <c r="E67" s="1245"/>
      <c r="F67" s="1246"/>
      <c r="G67" s="1245"/>
      <c r="J67" s="1245"/>
    </row>
    <row r="68" spans="1:10" s="1236" customFormat="1">
      <c r="A68" s="1250" t="s">
        <v>13170</v>
      </c>
      <c r="B68" s="1251" t="s">
        <v>13232</v>
      </c>
      <c r="C68" s="1234"/>
      <c r="D68" s="1235"/>
      <c r="E68" s="1245"/>
      <c r="F68" s="1246"/>
      <c r="G68" s="1245"/>
      <c r="J68" s="1245"/>
    </row>
    <row r="69" spans="1:10" s="1236" customFormat="1">
      <c r="A69" s="1250" t="s">
        <v>13170</v>
      </c>
      <c r="B69" s="1251" t="s">
        <v>13233</v>
      </c>
      <c r="C69" s="1234"/>
      <c r="D69" s="1235"/>
      <c r="E69" s="1245"/>
      <c r="F69" s="1246"/>
      <c r="G69" s="1245"/>
      <c r="J69" s="1245"/>
    </row>
    <row r="70" spans="1:10" s="1236" customFormat="1">
      <c r="A70" s="1250" t="s">
        <v>13170</v>
      </c>
      <c r="B70" s="1251" t="s">
        <v>13234</v>
      </c>
      <c r="C70" s="1234"/>
      <c r="D70" s="1235"/>
      <c r="E70" s="1245"/>
      <c r="F70" s="1246"/>
      <c r="G70" s="1245"/>
      <c r="J70" s="1245"/>
    </row>
    <row r="71" spans="1:10" s="1236" customFormat="1">
      <c r="A71" s="1250" t="s">
        <v>13170</v>
      </c>
      <c r="B71" s="1251" t="s">
        <v>13235</v>
      </c>
      <c r="C71" s="1234"/>
      <c r="D71" s="1235"/>
      <c r="E71" s="1245"/>
      <c r="F71" s="1246"/>
      <c r="G71" s="1245"/>
      <c r="J71" s="1245"/>
    </row>
    <row r="72" spans="1:10" s="1236" customFormat="1">
      <c r="A72" s="1250" t="s">
        <v>13170</v>
      </c>
      <c r="B72" s="1251" t="s">
        <v>13236</v>
      </c>
      <c r="C72" s="1234"/>
      <c r="D72" s="1235">
        <v>2631317.5000000298</v>
      </c>
      <c r="E72" s="1245"/>
      <c r="F72" s="1246"/>
      <c r="G72" s="1245"/>
      <c r="J72" s="1245"/>
    </row>
    <row r="73" spans="1:10" s="1236" customFormat="1">
      <c r="A73" s="1237" t="s">
        <v>13170</v>
      </c>
      <c r="B73" s="1247" t="s">
        <v>13237</v>
      </c>
      <c r="C73" s="1243">
        <v>0</v>
      </c>
      <c r="D73" s="1244">
        <v>2631317.5000000298</v>
      </c>
      <c r="E73" s="1245"/>
      <c r="F73" s="1246"/>
      <c r="G73" s="1245"/>
      <c r="J73" s="1245"/>
    </row>
    <row r="74" spans="1:10" s="1236" customFormat="1">
      <c r="A74" s="1250" t="s">
        <v>13176</v>
      </c>
      <c r="B74" s="1251" t="s">
        <v>13238</v>
      </c>
      <c r="C74" s="1234"/>
      <c r="D74" s="1235"/>
      <c r="E74" s="1245"/>
      <c r="F74" s="1246"/>
      <c r="G74" s="1245"/>
      <c r="J74" s="1245"/>
    </row>
    <row r="75" spans="1:10" s="1236" customFormat="1">
      <c r="A75" s="1250" t="s">
        <v>13176</v>
      </c>
      <c r="B75" s="1251" t="s">
        <v>13239</v>
      </c>
      <c r="C75" s="1234"/>
      <c r="D75" s="1235"/>
      <c r="E75" s="1245"/>
      <c r="F75" s="1246"/>
      <c r="G75" s="1245"/>
      <c r="J75" s="1245"/>
    </row>
    <row r="76" spans="1:10" s="1236" customFormat="1">
      <c r="A76" s="1250" t="s">
        <v>13176</v>
      </c>
      <c r="B76" s="1251" t="s">
        <v>13240</v>
      </c>
      <c r="C76" s="1235">
        <v>-991604.12999999546</v>
      </c>
      <c r="D76" s="1235">
        <v>-2867097.8</v>
      </c>
      <c r="E76" s="1245"/>
      <c r="F76" s="1246"/>
      <c r="G76" s="1245"/>
      <c r="J76" s="1245"/>
    </row>
    <row r="77" spans="1:10" s="1236" customFormat="1">
      <c r="A77" s="1250" t="s">
        <v>13176</v>
      </c>
      <c r="B77" s="1251" t="s">
        <v>13241</v>
      </c>
      <c r="C77" s="1235">
        <v>-1864011</v>
      </c>
      <c r="D77" s="1235">
        <v>-3005501.5500000007</v>
      </c>
      <c r="E77" s="1245"/>
      <c r="F77" s="1246"/>
      <c r="G77" s="1245"/>
      <c r="J77" s="1245"/>
    </row>
    <row r="78" spans="1:10" s="1236" customFormat="1">
      <c r="A78" s="1250" t="s">
        <v>13176</v>
      </c>
      <c r="B78" s="1251" t="s">
        <v>13242</v>
      </c>
      <c r="C78" s="1235">
        <v>-58110.230000000032</v>
      </c>
      <c r="D78" s="1235"/>
      <c r="E78" s="1245"/>
      <c r="F78" s="1246"/>
      <c r="G78" s="1245"/>
      <c r="J78" s="1245"/>
    </row>
    <row r="79" spans="1:10" s="1236" customFormat="1">
      <c r="A79" s="1250" t="s">
        <v>13176</v>
      </c>
      <c r="B79" s="1251" t="s">
        <v>13243</v>
      </c>
      <c r="C79" s="1235"/>
      <c r="D79" s="1235"/>
      <c r="E79" s="1245"/>
      <c r="F79" s="1246"/>
      <c r="G79" s="1245"/>
      <c r="J79" s="1245"/>
    </row>
    <row r="80" spans="1:10" s="1236" customFormat="1">
      <c r="A80" s="1250" t="s">
        <v>13176</v>
      </c>
      <c r="B80" s="1251" t="s">
        <v>13244</v>
      </c>
      <c r="C80" s="1235">
        <v>-877392.40999999922</v>
      </c>
      <c r="D80" s="1235"/>
      <c r="E80" s="1245"/>
      <c r="F80" s="1246"/>
      <c r="G80" s="1245"/>
      <c r="J80" s="1245"/>
    </row>
    <row r="81" spans="1:10" s="1236" customFormat="1">
      <c r="A81" s="1237" t="s">
        <v>13176</v>
      </c>
      <c r="B81" s="1247" t="s">
        <v>13245</v>
      </c>
      <c r="C81" s="1243">
        <v>-3791117.7699999944</v>
      </c>
      <c r="D81" s="1244">
        <v>-5872599.3500000006</v>
      </c>
      <c r="E81" s="1245"/>
      <c r="F81" s="1246"/>
      <c r="G81" s="1245"/>
      <c r="J81" s="1245"/>
    </row>
    <row r="82" spans="1:10" s="1236" customFormat="1">
      <c r="A82" s="1250" t="s">
        <v>13170</v>
      </c>
      <c r="B82" s="1251" t="s">
        <v>13246</v>
      </c>
      <c r="C82" s="1234"/>
      <c r="D82" s="1235"/>
      <c r="E82" s="1245"/>
      <c r="F82" s="1246"/>
      <c r="G82" s="1245"/>
      <c r="J82" s="1245"/>
    </row>
    <row r="83" spans="1:10" s="1236" customFormat="1">
      <c r="A83" s="1250" t="s">
        <v>13170</v>
      </c>
      <c r="B83" s="1251" t="s">
        <v>13247</v>
      </c>
      <c r="C83" s="1234"/>
      <c r="D83" s="1235"/>
      <c r="E83" s="1245"/>
      <c r="F83" s="1246"/>
      <c r="G83" s="1245"/>
      <c r="J83" s="1245"/>
    </row>
    <row r="84" spans="1:10" s="1236" customFormat="1">
      <c r="A84" s="1250" t="s">
        <v>13170</v>
      </c>
      <c r="B84" s="1251" t="s">
        <v>13248</v>
      </c>
      <c r="C84" s="1234"/>
      <c r="D84" s="1235"/>
      <c r="E84" s="1245"/>
      <c r="F84" s="1246"/>
      <c r="G84" s="1245"/>
      <c r="J84" s="1245"/>
    </row>
    <row r="85" spans="1:10" s="1236" customFormat="1">
      <c r="A85" s="1250" t="s">
        <v>13170</v>
      </c>
      <c r="B85" s="1251" t="s">
        <v>13249</v>
      </c>
      <c r="C85" s="1234"/>
      <c r="D85" s="1235"/>
      <c r="E85" s="1245"/>
      <c r="F85" s="1246"/>
      <c r="G85" s="1245"/>
      <c r="J85" s="1245"/>
    </row>
    <row r="86" spans="1:10" s="1236" customFormat="1">
      <c r="A86" s="1250" t="s">
        <v>13170</v>
      </c>
      <c r="B86" s="1251" t="s">
        <v>13250</v>
      </c>
      <c r="C86" s="1234"/>
      <c r="D86" s="1235"/>
      <c r="E86" s="1245"/>
      <c r="F86" s="1246"/>
      <c r="G86" s="1245"/>
      <c r="J86" s="1245"/>
    </row>
    <row r="87" spans="1:10" s="1236" customFormat="1">
      <c r="A87" s="1250" t="s">
        <v>13170</v>
      </c>
      <c r="B87" s="1251" t="s">
        <v>13251</v>
      </c>
      <c r="C87" s="1234"/>
      <c r="D87" s="1235"/>
      <c r="E87" s="1245"/>
      <c r="F87" s="1246"/>
      <c r="G87" s="1245"/>
      <c r="J87" s="1245"/>
    </row>
    <row r="88" spans="1:10" s="1236" customFormat="1">
      <c r="A88" s="1250" t="s">
        <v>13170</v>
      </c>
      <c r="B88" s="1251" t="s">
        <v>13252</v>
      </c>
      <c r="C88" s="1234"/>
      <c r="D88" s="1235"/>
      <c r="E88" s="1245"/>
      <c r="F88" s="1246"/>
      <c r="G88" s="1245"/>
      <c r="J88" s="1245"/>
    </row>
    <row r="89" spans="1:10" s="1236" customFormat="1">
      <c r="A89" s="1241" t="s">
        <v>13170</v>
      </c>
      <c r="B89" s="1247" t="s">
        <v>13253</v>
      </c>
      <c r="C89" s="1243">
        <v>0</v>
      </c>
      <c r="D89" s="1244">
        <v>0</v>
      </c>
      <c r="E89" s="1245"/>
      <c r="F89" s="1246"/>
      <c r="G89" s="1245"/>
      <c r="J89" s="1245"/>
    </row>
    <row r="90" spans="1:10" s="1236" customFormat="1">
      <c r="A90" s="1250" t="s">
        <v>13176</v>
      </c>
      <c r="B90" s="1251" t="s">
        <v>13254</v>
      </c>
      <c r="C90" s="1234"/>
      <c r="D90" s="1235"/>
      <c r="E90" s="1245"/>
      <c r="F90" s="1246"/>
      <c r="G90" s="1245"/>
      <c r="J90" s="1245"/>
    </row>
    <row r="91" spans="1:10" s="1236" customFormat="1">
      <c r="A91" s="1250" t="s">
        <v>13176</v>
      </c>
      <c r="B91" s="1251" t="s">
        <v>13255</v>
      </c>
      <c r="C91" s="1234"/>
      <c r="D91" s="1235"/>
      <c r="E91" s="1245"/>
      <c r="F91" s="1246"/>
      <c r="G91" s="1245"/>
      <c r="J91" s="1245"/>
    </row>
    <row r="92" spans="1:10" s="1236" customFormat="1">
      <c r="A92" s="1241" t="s">
        <v>13176</v>
      </c>
      <c r="B92" s="1247" t="s">
        <v>13256</v>
      </c>
      <c r="C92" s="1243">
        <v>0</v>
      </c>
      <c r="D92" s="1244">
        <v>0</v>
      </c>
      <c r="E92" s="1245"/>
      <c r="F92" s="1246"/>
      <c r="G92" s="1245"/>
      <c r="J92" s="1245"/>
    </row>
    <row r="93" spans="1:10" s="1236" customFormat="1">
      <c r="A93" s="1250" t="s">
        <v>13170</v>
      </c>
      <c r="B93" s="1251" t="s">
        <v>13257</v>
      </c>
      <c r="C93" s="1234"/>
      <c r="D93" s="1235"/>
      <c r="E93" s="1245"/>
      <c r="F93" s="1246"/>
      <c r="G93" s="1245"/>
      <c r="J93" s="1245"/>
    </row>
    <row r="94" spans="1:10" s="1236" customFormat="1">
      <c r="A94" s="1250" t="s">
        <v>13170</v>
      </c>
      <c r="B94" s="1251" t="s">
        <v>13258</v>
      </c>
      <c r="C94" s="1234"/>
      <c r="D94" s="1235"/>
      <c r="E94" s="1245"/>
      <c r="F94" s="1246"/>
      <c r="G94" s="1245"/>
      <c r="J94" s="1245"/>
    </row>
    <row r="95" spans="1:10" s="1236" customFormat="1">
      <c r="A95" s="1241" t="s">
        <v>13170</v>
      </c>
      <c r="B95" s="1247" t="s">
        <v>13259</v>
      </c>
      <c r="C95" s="1243">
        <v>0</v>
      </c>
      <c r="D95" s="1244">
        <v>0</v>
      </c>
      <c r="E95" s="1245"/>
      <c r="F95" s="1246"/>
      <c r="G95" s="1245"/>
      <c r="J95" s="1245"/>
    </row>
    <row r="96" spans="1:10" s="1236" customFormat="1">
      <c r="A96" s="1241" t="s">
        <v>13185</v>
      </c>
      <c r="B96" s="1247" t="s">
        <v>13260</v>
      </c>
      <c r="C96" s="1244">
        <v>2193248.3050000151</v>
      </c>
      <c r="D96" s="1244">
        <v>4386492.99</v>
      </c>
      <c r="E96" s="1245"/>
      <c r="F96" s="1246"/>
      <c r="G96" s="1245"/>
      <c r="J96" s="1245"/>
    </row>
    <row r="97" spans="1:10" s="1270" customFormat="1">
      <c r="A97" s="1274" t="s">
        <v>13261</v>
      </c>
      <c r="B97" s="1275"/>
      <c r="C97" s="1276">
        <v>-4293070.1949999733</v>
      </c>
      <c r="D97" s="1276">
        <v>-4522802.9799999706</v>
      </c>
      <c r="E97" s="1245"/>
      <c r="F97" s="1246"/>
      <c r="G97" s="1245"/>
      <c r="I97" s="1236"/>
      <c r="J97" s="1245"/>
    </row>
    <row r="98" spans="1:10" s="1270" customFormat="1">
      <c r="A98" s="1268"/>
      <c r="B98" s="1269"/>
      <c r="C98" s="1234"/>
      <c r="D98" s="1234"/>
      <c r="E98" s="1245"/>
      <c r="F98" s="1246"/>
      <c r="G98" s="1245"/>
      <c r="I98" s="1236"/>
      <c r="J98" s="1245"/>
    </row>
    <row r="99" spans="1:10" s="1270" customFormat="1" ht="24.75" customHeight="1">
      <c r="A99" s="1271" t="s">
        <v>13262</v>
      </c>
      <c r="B99" s="1272"/>
      <c r="C99" s="1273"/>
      <c r="D99" s="1273"/>
      <c r="E99" s="1245"/>
      <c r="F99" s="1246"/>
      <c r="G99" s="1245"/>
      <c r="I99" s="1236"/>
      <c r="J99" s="1245"/>
    </row>
    <row r="100" spans="1:10" s="1270" customFormat="1">
      <c r="A100" s="1277" t="s">
        <v>13194</v>
      </c>
      <c r="B100" s="1269" t="s">
        <v>13263</v>
      </c>
      <c r="C100" s="1234">
        <v>515866</v>
      </c>
      <c r="D100" s="1235"/>
      <c r="E100" s="1245"/>
      <c r="F100" s="1246"/>
      <c r="G100" s="1245"/>
      <c r="I100" s="1236"/>
      <c r="J100" s="1245"/>
    </row>
    <row r="101" spans="1:10" s="1236" customFormat="1">
      <c r="A101" s="1250" t="s">
        <v>13194</v>
      </c>
      <c r="B101" s="1256" t="s">
        <v>13264</v>
      </c>
      <c r="C101" s="1234">
        <v>4748293.1800000072</v>
      </c>
      <c r="D101" s="1235">
        <v>-6841853.5000000075</v>
      </c>
      <c r="E101" s="1245"/>
      <c r="F101" s="1246"/>
      <c r="G101" s="1245"/>
      <c r="J101" s="1245"/>
    </row>
    <row r="102" spans="1:10" s="1270" customFormat="1">
      <c r="A102" s="1277" t="s">
        <v>13194</v>
      </c>
      <c r="B102" s="1269" t="s">
        <v>13265</v>
      </c>
      <c r="C102" s="1234"/>
      <c r="D102" s="1235"/>
      <c r="E102" s="1245"/>
      <c r="F102" s="1246"/>
      <c r="G102" s="1245"/>
      <c r="I102" s="1236"/>
      <c r="J102" s="1245"/>
    </row>
    <row r="103" spans="1:10" s="1270" customFormat="1">
      <c r="A103" s="1277" t="s">
        <v>13194</v>
      </c>
      <c r="B103" s="1269" t="s">
        <v>13266</v>
      </c>
      <c r="C103" s="1234"/>
      <c r="D103" s="1235"/>
      <c r="E103" s="1245"/>
      <c r="F103" s="1246"/>
      <c r="G103" s="1245"/>
      <c r="I103" s="1236"/>
      <c r="J103" s="1245"/>
    </row>
    <row r="104" spans="1:10" s="1270" customFormat="1">
      <c r="A104" s="1277" t="s">
        <v>13194</v>
      </c>
      <c r="B104" s="1269" t="s">
        <v>13267</v>
      </c>
      <c r="C104" s="1234"/>
      <c r="D104" s="1235"/>
      <c r="E104" s="1245"/>
      <c r="F104" s="1246"/>
      <c r="G104" s="1245"/>
      <c r="I104" s="1236"/>
      <c r="J104" s="1245"/>
    </row>
    <row r="105" spans="1:10" s="1270" customFormat="1">
      <c r="A105" s="1278" t="s">
        <v>13194</v>
      </c>
      <c r="B105" s="1279" t="s">
        <v>13268</v>
      </c>
      <c r="C105" s="1243">
        <v>5264159.1800000072</v>
      </c>
      <c r="D105" s="1244">
        <v>-6841853.5000000075</v>
      </c>
      <c r="E105" s="1245"/>
      <c r="F105" s="1246"/>
      <c r="G105" s="1245"/>
      <c r="I105" s="1236"/>
      <c r="J105" s="1245"/>
    </row>
    <row r="106" spans="1:10" s="1270" customFormat="1">
      <c r="A106" s="1278" t="s">
        <v>13194</v>
      </c>
      <c r="B106" s="1279" t="s">
        <v>13269</v>
      </c>
      <c r="C106" s="1243">
        <v>0</v>
      </c>
      <c r="D106" s="1244">
        <v>-0.49000000022351742</v>
      </c>
      <c r="E106" s="1245"/>
      <c r="F106" s="1246"/>
      <c r="G106" s="1245"/>
      <c r="I106" s="1236"/>
      <c r="J106" s="1245"/>
    </row>
    <row r="107" spans="1:10" s="1236" customFormat="1">
      <c r="A107" s="1250" t="s">
        <v>13170</v>
      </c>
      <c r="B107" s="1256" t="s">
        <v>13270</v>
      </c>
      <c r="C107" s="1234">
        <v>0</v>
      </c>
      <c r="D107" s="1235">
        <v>8637461.7799999993</v>
      </c>
      <c r="E107" s="1245"/>
      <c r="F107" s="1246"/>
      <c r="G107" s="1245"/>
      <c r="J107" s="1245"/>
    </row>
    <row r="108" spans="1:10" s="1270" customFormat="1">
      <c r="A108" s="1277" t="s">
        <v>13194</v>
      </c>
      <c r="B108" s="1269" t="s">
        <v>13271</v>
      </c>
      <c r="C108" s="1234">
        <v>4885815.6249999898</v>
      </c>
      <c r="D108" s="1235">
        <v>-511461.18000000715</v>
      </c>
      <c r="E108" s="1245"/>
      <c r="F108" s="1246"/>
      <c r="G108" s="1245"/>
      <c r="H108" s="1280"/>
      <c r="I108" s="1236"/>
      <c r="J108" s="1245"/>
    </row>
    <row r="109" spans="1:10" s="1236" customFormat="1">
      <c r="A109" s="1241" t="s">
        <v>13194</v>
      </c>
      <c r="B109" s="1247" t="s">
        <v>13272</v>
      </c>
      <c r="C109" s="1243">
        <v>4885815.6249999898</v>
      </c>
      <c r="D109" s="1244">
        <v>8126000.5999999922</v>
      </c>
      <c r="E109" s="1245"/>
      <c r="F109" s="1246"/>
      <c r="G109" s="1245"/>
      <c r="H109" s="1245"/>
      <c r="J109" s="1245"/>
    </row>
    <row r="110" spans="1:10" s="1236" customFormat="1">
      <c r="A110" s="1241" t="s">
        <v>13194</v>
      </c>
      <c r="B110" s="1281" t="s">
        <v>13273</v>
      </c>
      <c r="C110" s="1243">
        <v>30769068.68</v>
      </c>
      <c r="D110" s="1244">
        <v>12214251.880000001</v>
      </c>
      <c r="E110" s="1245"/>
      <c r="F110" s="1246"/>
      <c r="G110" s="1245"/>
      <c r="J110" s="1245"/>
    </row>
    <row r="111" spans="1:10" s="1236" customFormat="1">
      <c r="A111" s="1250" t="s">
        <v>13170</v>
      </c>
      <c r="B111" s="1256" t="s">
        <v>13274</v>
      </c>
      <c r="C111" s="1234">
        <v>59522.04</v>
      </c>
      <c r="D111" s="1235"/>
      <c r="E111" s="1245"/>
      <c r="F111" s="1246"/>
      <c r="G111" s="1245"/>
      <c r="J111" s="1245"/>
    </row>
    <row r="112" spans="1:10" s="1270" customFormat="1">
      <c r="A112" s="1277" t="s">
        <v>13176</v>
      </c>
      <c r="B112" s="1269" t="s">
        <v>13275</v>
      </c>
      <c r="C112" s="1234"/>
      <c r="D112" s="1235"/>
      <c r="E112" s="1245"/>
      <c r="F112" s="1246"/>
      <c r="G112" s="1245"/>
      <c r="I112" s="1236"/>
      <c r="J112" s="1245"/>
    </row>
    <row r="113" spans="1:10" s="1270" customFormat="1">
      <c r="A113" s="1274" t="s">
        <v>13276</v>
      </c>
      <c r="B113" s="1275"/>
      <c r="C113" s="1282">
        <v>40978565.524999999</v>
      </c>
      <c r="D113" s="1282">
        <v>13498398.489999985</v>
      </c>
      <c r="E113" s="1245"/>
      <c r="F113" s="1246"/>
      <c r="G113" s="1245"/>
      <c r="I113" s="1236"/>
      <c r="J113" s="1245"/>
    </row>
    <row r="114" spans="1:10" s="1270" customFormat="1">
      <c r="A114" s="1268"/>
      <c r="B114" s="1269"/>
      <c r="C114" s="1283"/>
      <c r="D114" s="1283"/>
      <c r="E114" s="1245"/>
      <c r="F114" s="1246"/>
      <c r="G114" s="1245"/>
      <c r="I114" s="1236"/>
      <c r="J114" s="1245"/>
    </row>
    <row r="115" spans="1:10" s="1270" customFormat="1" ht="24.75" customHeight="1">
      <c r="A115" s="1271" t="s">
        <v>13277</v>
      </c>
      <c r="B115" s="1272"/>
      <c r="C115" s="1284">
        <v>68679.880000002682</v>
      </c>
      <c r="D115" s="1284">
        <v>-307250.08000000194</v>
      </c>
      <c r="E115" s="1245"/>
      <c r="F115" s="1246"/>
      <c r="G115" s="1245"/>
      <c r="I115" s="1236"/>
      <c r="J115" s="1245"/>
    </row>
    <row r="116" spans="1:10" s="1270" customFormat="1">
      <c r="A116" s="1285" t="s">
        <v>13278</v>
      </c>
      <c r="B116" s="1286"/>
      <c r="C116" s="1243">
        <v>68679.879999999888</v>
      </c>
      <c r="D116" s="1244">
        <v>-307250.08000000007</v>
      </c>
      <c r="E116" s="1245"/>
      <c r="F116" s="1246"/>
      <c r="G116" s="1245"/>
      <c r="I116" s="1236"/>
      <c r="J116" s="1245"/>
    </row>
    <row r="117" spans="1:10" s="1270" customFormat="1">
      <c r="A117" s="1268"/>
      <c r="B117" s="1287"/>
      <c r="C117" s="1243"/>
      <c r="D117" s="1244"/>
      <c r="E117" s="1245"/>
      <c r="F117" s="1246"/>
      <c r="G117" s="1245"/>
      <c r="I117" s="1236"/>
      <c r="J117" s="1245"/>
    </row>
    <row r="118" spans="1:10" s="1270" customFormat="1" ht="16.5" thickBot="1">
      <c r="A118" s="1288" t="s">
        <v>13279</v>
      </c>
      <c r="B118" s="1289"/>
      <c r="C118" s="1290">
        <v>2.7939677238464355E-9</v>
      </c>
      <c r="D118" s="1291">
        <v>-1.862645149230957E-9</v>
      </c>
      <c r="E118" s="1245"/>
      <c r="F118" s="1246"/>
      <c r="G118" s="1245"/>
      <c r="I118" s="1236"/>
      <c r="J118" s="1245"/>
    </row>
    <row r="124" spans="1:10">
      <c r="B124" s="1292" t="s">
        <v>13280</v>
      </c>
    </row>
  </sheetData>
  <mergeCells count="4">
    <mergeCell ref="B1:B2"/>
    <mergeCell ref="C1:C2"/>
    <mergeCell ref="D1:D2"/>
    <mergeCell ref="A4:B4"/>
  </mergeCells>
  <pageMargins left="0.70866141732283472" right="0.70866141732283472" top="0.74803149606299213" bottom="0.74803149606299213" header="0.31496062992125984" footer="0.31496062992125984"/>
  <pageSetup paperSize="9" scale="53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251"/>
  <sheetViews>
    <sheetView workbookViewId="0"/>
  </sheetViews>
  <sheetFormatPr defaultRowHeight="15"/>
  <cols>
    <col min="1" max="1" width="18.28515625" bestFit="1" customWidth="1"/>
    <col min="2" max="2" width="16.85546875" style="732" bestFit="1" customWidth="1"/>
    <col min="3" max="3" width="21.5703125" style="732" bestFit="1" customWidth="1"/>
    <col min="4" max="4" width="22.5703125" style="732" bestFit="1" customWidth="1"/>
    <col min="5" max="5" width="17.42578125" style="732" bestFit="1" customWidth="1"/>
    <col min="8" max="8" width="10" bestFit="1" customWidth="1"/>
    <col min="9" max="9" width="12.7109375" bestFit="1" customWidth="1"/>
    <col min="11" max="12" width="12.7109375" bestFit="1" customWidth="1"/>
  </cols>
  <sheetData>
    <row r="2" spans="1:5" ht="24">
      <c r="B2" s="733" t="s">
        <v>30</v>
      </c>
      <c r="C2" s="734" t="s">
        <v>1</v>
      </c>
      <c r="D2" s="734" t="s">
        <v>34</v>
      </c>
      <c r="E2" s="734" t="s">
        <v>31</v>
      </c>
    </row>
    <row r="3" spans="1:5">
      <c r="A3" s="730" t="s">
        <v>12919</v>
      </c>
      <c r="B3" s="732" t="s">
        <v>12921</v>
      </c>
      <c r="C3" s="732" t="s">
        <v>12922</v>
      </c>
      <c r="D3" s="732" t="s">
        <v>12923</v>
      </c>
      <c r="E3" s="732" t="s">
        <v>12924</v>
      </c>
    </row>
    <row r="4" spans="1:5">
      <c r="A4" s="731" t="s">
        <v>643</v>
      </c>
      <c r="B4" s="732">
        <v>0</v>
      </c>
      <c r="C4" s="732">
        <v>0</v>
      </c>
      <c r="D4" s="732">
        <v>0</v>
      </c>
      <c r="E4" s="732">
        <v>0</v>
      </c>
    </row>
    <row r="5" spans="1:5">
      <c r="A5" s="731" t="s">
        <v>649</v>
      </c>
      <c r="B5" s="732">
        <v>0</v>
      </c>
      <c r="C5" s="732">
        <v>0</v>
      </c>
      <c r="D5" s="732">
        <v>0</v>
      </c>
      <c r="E5" s="732">
        <v>0</v>
      </c>
    </row>
    <row r="6" spans="1:5">
      <c r="A6" s="731" t="s">
        <v>658</v>
      </c>
      <c r="B6" s="732">
        <v>0</v>
      </c>
      <c r="C6" s="732">
        <v>0</v>
      </c>
      <c r="D6" s="732">
        <v>0</v>
      </c>
      <c r="E6" s="732">
        <v>0</v>
      </c>
    </row>
    <row r="7" spans="1:5">
      <c r="A7" s="731" t="s">
        <v>665</v>
      </c>
      <c r="B7" s="732">
        <v>0</v>
      </c>
      <c r="C7" s="732">
        <v>0</v>
      </c>
      <c r="D7" s="732">
        <v>0</v>
      </c>
      <c r="E7" s="732">
        <v>0</v>
      </c>
    </row>
    <row r="8" spans="1:5">
      <c r="A8" s="731" t="s">
        <v>677</v>
      </c>
      <c r="B8" s="732">
        <v>0</v>
      </c>
      <c r="C8" s="732">
        <v>0</v>
      </c>
      <c r="D8" s="732">
        <v>0</v>
      </c>
      <c r="E8" s="732">
        <v>0</v>
      </c>
    </row>
    <row r="9" spans="1:5">
      <c r="A9" s="731" t="s">
        <v>683</v>
      </c>
      <c r="B9" s="732">
        <v>0</v>
      </c>
      <c r="C9" s="732">
        <v>0</v>
      </c>
      <c r="D9" s="732">
        <v>0</v>
      </c>
      <c r="E9" s="732">
        <v>0</v>
      </c>
    </row>
    <row r="10" spans="1:5">
      <c r="A10" s="731" t="s">
        <v>689</v>
      </c>
      <c r="B10" s="732">
        <v>0</v>
      </c>
      <c r="C10" s="732">
        <v>0</v>
      </c>
      <c r="D10" s="732">
        <v>0</v>
      </c>
      <c r="E10" s="732">
        <v>0</v>
      </c>
    </row>
    <row r="11" spans="1:5">
      <c r="A11" s="731" t="s">
        <v>695</v>
      </c>
      <c r="B11" s="732">
        <v>0</v>
      </c>
      <c r="C11" s="732">
        <v>0</v>
      </c>
      <c r="D11" s="732">
        <v>0</v>
      </c>
      <c r="E11" s="732">
        <v>0</v>
      </c>
    </row>
    <row r="12" spans="1:5">
      <c r="A12" s="731" t="s">
        <v>143</v>
      </c>
      <c r="B12" s="732">
        <v>33344224.080000002</v>
      </c>
      <c r="C12" s="732">
        <v>3933138.71</v>
      </c>
      <c r="D12" s="732">
        <v>2631313.88</v>
      </c>
      <c r="E12" s="732">
        <v>34646048.910000004</v>
      </c>
    </row>
    <row r="13" spans="1:5">
      <c r="A13" s="731" t="s">
        <v>145</v>
      </c>
      <c r="B13" s="732">
        <v>2581096.5499999998</v>
      </c>
      <c r="C13" s="732">
        <v>27658.76</v>
      </c>
      <c r="D13" s="732">
        <v>0</v>
      </c>
      <c r="E13" s="732">
        <v>2608755.31</v>
      </c>
    </row>
    <row r="14" spans="1:5">
      <c r="A14" s="731" t="s">
        <v>729</v>
      </c>
      <c r="B14" s="732">
        <v>1801326.69</v>
      </c>
      <c r="C14" s="732">
        <v>0</v>
      </c>
      <c r="D14" s="732">
        <v>232310.83000000002</v>
      </c>
      <c r="E14" s="732">
        <v>-2033637.52</v>
      </c>
    </row>
    <row r="15" spans="1:5">
      <c r="A15" s="731" t="s">
        <v>146</v>
      </c>
      <c r="B15" s="732">
        <v>33854687.350000001</v>
      </c>
      <c r="C15" s="732">
        <v>6154951.8399999999</v>
      </c>
      <c r="D15" s="732">
        <v>514595.84000000003</v>
      </c>
      <c r="E15" s="732">
        <v>39495043.350000001</v>
      </c>
    </row>
    <row r="16" spans="1:5">
      <c r="A16" s="731" t="s">
        <v>751</v>
      </c>
      <c r="B16" s="732">
        <v>14468187.699999999</v>
      </c>
      <c r="C16" s="732">
        <v>0</v>
      </c>
      <c r="D16" s="732">
        <v>1152804.57</v>
      </c>
      <c r="E16" s="732">
        <v>-15620992.27</v>
      </c>
    </row>
    <row r="17" spans="1:5">
      <c r="A17" s="731" t="s">
        <v>147</v>
      </c>
      <c r="B17" s="732">
        <v>0</v>
      </c>
      <c r="C17" s="732">
        <v>0</v>
      </c>
      <c r="D17" s="732">
        <v>0</v>
      </c>
      <c r="E17" s="732">
        <v>0</v>
      </c>
    </row>
    <row r="18" spans="1:5">
      <c r="A18" s="731" t="s">
        <v>762</v>
      </c>
      <c r="B18" s="732">
        <v>0</v>
      </c>
      <c r="C18" s="732">
        <v>0</v>
      </c>
      <c r="D18" s="732">
        <v>0</v>
      </c>
      <c r="E18" s="732">
        <v>0</v>
      </c>
    </row>
    <row r="19" spans="1:5">
      <c r="A19" s="731" t="s">
        <v>770</v>
      </c>
      <c r="B19" s="732">
        <v>0</v>
      </c>
      <c r="C19" s="732">
        <v>0</v>
      </c>
      <c r="D19" s="732">
        <v>0</v>
      </c>
      <c r="E19" s="732">
        <v>0</v>
      </c>
    </row>
    <row r="20" spans="1:5">
      <c r="A20" s="731" t="s">
        <v>775</v>
      </c>
      <c r="B20" s="732">
        <v>0</v>
      </c>
      <c r="C20" s="732">
        <v>0</v>
      </c>
      <c r="D20" s="732">
        <v>0</v>
      </c>
      <c r="E20" s="732">
        <v>0</v>
      </c>
    </row>
    <row r="21" spans="1:5">
      <c r="A21" s="731" t="s">
        <v>785</v>
      </c>
      <c r="B21" s="732">
        <v>0</v>
      </c>
      <c r="C21" s="732">
        <v>0</v>
      </c>
      <c r="D21" s="732">
        <v>0</v>
      </c>
      <c r="E21" s="732">
        <v>0</v>
      </c>
    </row>
    <row r="22" spans="1:5">
      <c r="A22" s="731" t="s">
        <v>790</v>
      </c>
      <c r="B22" s="732">
        <v>0</v>
      </c>
      <c r="C22" s="732">
        <v>0</v>
      </c>
      <c r="D22" s="732">
        <v>0</v>
      </c>
      <c r="E22" s="732">
        <v>0</v>
      </c>
    </row>
    <row r="23" spans="1:5">
      <c r="A23" s="731" t="s">
        <v>795</v>
      </c>
      <c r="B23" s="732">
        <v>0</v>
      </c>
      <c r="C23" s="732">
        <v>0</v>
      </c>
      <c r="D23" s="732">
        <v>0</v>
      </c>
      <c r="E23" s="732">
        <v>0</v>
      </c>
    </row>
    <row r="24" spans="1:5">
      <c r="A24" s="731" t="s">
        <v>780</v>
      </c>
      <c r="B24" s="732">
        <v>0</v>
      </c>
      <c r="C24" s="732">
        <v>0</v>
      </c>
      <c r="D24" s="732">
        <v>0</v>
      </c>
      <c r="E24" s="732">
        <v>0</v>
      </c>
    </row>
    <row r="25" spans="1:5">
      <c r="A25" s="731" t="s">
        <v>148</v>
      </c>
      <c r="B25" s="732">
        <v>0</v>
      </c>
      <c r="C25" s="732">
        <v>0</v>
      </c>
      <c r="D25" s="732">
        <v>0</v>
      </c>
      <c r="E25" s="732">
        <v>0</v>
      </c>
    </row>
    <row r="26" spans="1:5">
      <c r="A26" s="731" t="s">
        <v>149</v>
      </c>
      <c r="B26" s="732">
        <v>0</v>
      </c>
      <c r="C26" s="732">
        <v>0</v>
      </c>
      <c r="D26" s="732">
        <v>0</v>
      </c>
      <c r="E26" s="732">
        <v>0</v>
      </c>
    </row>
    <row r="27" spans="1:5">
      <c r="A27" s="731" t="s">
        <v>822</v>
      </c>
      <c r="B27" s="732">
        <v>655743.44999999995</v>
      </c>
      <c r="C27" s="732">
        <v>0</v>
      </c>
      <c r="D27" s="732">
        <v>0</v>
      </c>
      <c r="E27" s="732">
        <v>655743.44999999995</v>
      </c>
    </row>
    <row r="28" spans="1:5">
      <c r="A28" s="731" t="s">
        <v>829</v>
      </c>
      <c r="B28" s="732">
        <v>368192.74</v>
      </c>
      <c r="C28" s="732">
        <v>0</v>
      </c>
      <c r="D28" s="732">
        <v>46994.73</v>
      </c>
      <c r="E28" s="732">
        <v>-415187.47</v>
      </c>
    </row>
    <row r="29" spans="1:5">
      <c r="A29" s="731" t="s">
        <v>839</v>
      </c>
      <c r="B29" s="732">
        <v>0</v>
      </c>
      <c r="C29" s="732">
        <v>0</v>
      </c>
      <c r="D29" s="732">
        <v>0</v>
      </c>
      <c r="E29" s="732">
        <v>0</v>
      </c>
    </row>
    <row r="30" spans="1:5">
      <c r="A30" s="731" t="s">
        <v>843</v>
      </c>
      <c r="B30" s="732">
        <v>0</v>
      </c>
      <c r="C30" s="732">
        <v>0</v>
      </c>
      <c r="D30" s="732">
        <v>0</v>
      </c>
      <c r="E30" s="732">
        <v>0</v>
      </c>
    </row>
    <row r="31" spans="1:5">
      <c r="A31" s="731" t="s">
        <v>859</v>
      </c>
      <c r="B31" s="732">
        <v>27824120.139999997</v>
      </c>
      <c r="C31" s="732">
        <v>3180323.5900000003</v>
      </c>
      <c r="D31" s="732">
        <v>1766634.31</v>
      </c>
      <c r="E31" s="732">
        <v>29237809.419999998</v>
      </c>
    </row>
    <row r="32" spans="1:5">
      <c r="A32" s="731" t="s">
        <v>890</v>
      </c>
      <c r="B32" s="732">
        <v>21842131.309999999</v>
      </c>
      <c r="C32" s="732">
        <v>1586090.02</v>
      </c>
      <c r="D32" s="732">
        <v>1518609.5699999998</v>
      </c>
      <c r="E32" s="732">
        <v>-21774650.859999999</v>
      </c>
    </row>
    <row r="33" spans="1:5">
      <c r="A33" s="731" t="s">
        <v>924</v>
      </c>
      <c r="B33" s="732">
        <v>58292727.149999999</v>
      </c>
      <c r="C33" s="732">
        <v>3005501.55</v>
      </c>
      <c r="D33" s="732">
        <v>788747</v>
      </c>
      <c r="E33" s="732">
        <v>60509481.699999996</v>
      </c>
    </row>
    <row r="34" spans="1:5">
      <c r="A34" s="731" t="s">
        <v>941</v>
      </c>
      <c r="B34" s="732">
        <v>47387851.179999992</v>
      </c>
      <c r="C34" s="732">
        <v>788747</v>
      </c>
      <c r="D34" s="732">
        <v>4069228.9200000004</v>
      </c>
      <c r="E34" s="732">
        <v>-50668333.100000001</v>
      </c>
    </row>
    <row r="35" spans="1:5">
      <c r="A35" s="731" t="s">
        <v>961</v>
      </c>
      <c r="B35" s="732">
        <v>3576758.4</v>
      </c>
      <c r="C35" s="732">
        <v>119138.27</v>
      </c>
      <c r="D35" s="732">
        <v>480</v>
      </c>
      <c r="E35" s="732">
        <v>3695416.67</v>
      </c>
    </row>
    <row r="36" spans="1:5">
      <c r="A36" s="731" t="s">
        <v>973</v>
      </c>
      <c r="B36" s="732">
        <v>3019941.6</v>
      </c>
      <c r="C36" s="732">
        <v>480</v>
      </c>
      <c r="D36" s="732">
        <v>142556.95000000001</v>
      </c>
      <c r="E36" s="732">
        <v>-3162018.55</v>
      </c>
    </row>
    <row r="37" spans="1:5">
      <c r="A37" s="731" t="s">
        <v>985</v>
      </c>
      <c r="B37" s="732">
        <v>169133.62</v>
      </c>
      <c r="C37" s="732">
        <v>0</v>
      </c>
      <c r="D37" s="732">
        <v>0</v>
      </c>
      <c r="E37" s="732">
        <v>169133.62</v>
      </c>
    </row>
    <row r="38" spans="1:5">
      <c r="A38" s="731" t="s">
        <v>994</v>
      </c>
      <c r="B38" s="732">
        <v>77005.919999999998</v>
      </c>
      <c r="C38" s="732">
        <v>0</v>
      </c>
      <c r="D38" s="732">
        <v>23798.03</v>
      </c>
      <c r="E38" s="732">
        <v>-100803.95000000001</v>
      </c>
    </row>
    <row r="39" spans="1:5">
      <c r="A39" s="731" t="s">
        <v>155</v>
      </c>
      <c r="B39" s="732">
        <v>0</v>
      </c>
      <c r="C39" s="732">
        <v>0</v>
      </c>
      <c r="D39" s="732">
        <v>0</v>
      </c>
      <c r="E39" s="732">
        <v>0</v>
      </c>
    </row>
    <row r="40" spans="1:5">
      <c r="A40" s="731" t="s">
        <v>1010</v>
      </c>
      <c r="B40" s="732">
        <v>957694.11</v>
      </c>
      <c r="C40" s="732">
        <v>8987.32</v>
      </c>
      <c r="D40" s="732">
        <v>0</v>
      </c>
      <c r="E40" s="732">
        <v>966681.42999999993</v>
      </c>
    </row>
    <row r="41" spans="1:5">
      <c r="A41" s="731" t="s">
        <v>1021</v>
      </c>
      <c r="B41" s="732">
        <v>834534.86</v>
      </c>
      <c r="C41" s="732">
        <v>0</v>
      </c>
      <c r="D41" s="732">
        <v>35020.549999999996</v>
      </c>
      <c r="E41" s="732">
        <v>-869555.41</v>
      </c>
    </row>
    <row r="42" spans="1:5">
      <c r="A42" s="731" t="s">
        <v>1041</v>
      </c>
      <c r="B42" s="732">
        <v>0</v>
      </c>
      <c r="C42" s="732">
        <v>0</v>
      </c>
      <c r="D42" s="732">
        <v>0</v>
      </c>
      <c r="E42" s="732">
        <v>0</v>
      </c>
    </row>
    <row r="43" spans="1:5">
      <c r="A43" s="731" t="s">
        <v>1046</v>
      </c>
      <c r="B43" s="732">
        <v>0</v>
      </c>
      <c r="C43" s="732">
        <v>0</v>
      </c>
      <c r="D43" s="732">
        <v>0</v>
      </c>
      <c r="E43" s="732">
        <v>0</v>
      </c>
    </row>
    <row r="44" spans="1:5">
      <c r="A44" s="731" t="s">
        <v>1051</v>
      </c>
      <c r="B44" s="732">
        <v>0</v>
      </c>
      <c r="C44" s="732">
        <v>0</v>
      </c>
      <c r="D44" s="732">
        <v>0</v>
      </c>
      <c r="E44" s="732">
        <v>0</v>
      </c>
    </row>
    <row r="45" spans="1:5">
      <c r="A45" s="731" t="s">
        <v>1056</v>
      </c>
      <c r="B45" s="732">
        <v>0</v>
      </c>
      <c r="C45" s="732">
        <v>0</v>
      </c>
      <c r="D45" s="732">
        <v>0</v>
      </c>
      <c r="E45" s="732">
        <v>0</v>
      </c>
    </row>
    <row r="46" spans="1:5">
      <c r="A46" s="731" t="s">
        <v>1061</v>
      </c>
      <c r="B46" s="732">
        <v>0</v>
      </c>
      <c r="C46" s="732">
        <v>0</v>
      </c>
      <c r="D46" s="732">
        <v>0</v>
      </c>
      <c r="E46" s="732">
        <v>0</v>
      </c>
    </row>
    <row r="47" spans="1:5">
      <c r="A47" s="731" t="s">
        <v>1066</v>
      </c>
      <c r="B47" s="732">
        <v>0</v>
      </c>
      <c r="C47" s="732">
        <v>0</v>
      </c>
      <c r="D47" s="732">
        <v>0</v>
      </c>
      <c r="E47" s="732">
        <v>0</v>
      </c>
    </row>
    <row r="48" spans="1:5">
      <c r="A48" s="731" t="s">
        <v>1071</v>
      </c>
      <c r="B48" s="732">
        <v>0</v>
      </c>
      <c r="C48" s="732">
        <v>0</v>
      </c>
      <c r="D48" s="732">
        <v>0</v>
      </c>
      <c r="E48" s="732">
        <v>0</v>
      </c>
    </row>
    <row r="49" spans="1:5">
      <c r="A49" s="731" t="s">
        <v>1076</v>
      </c>
      <c r="B49" s="732">
        <v>0</v>
      </c>
      <c r="C49" s="732">
        <v>0</v>
      </c>
      <c r="D49" s="732">
        <v>0</v>
      </c>
      <c r="E49" s="732">
        <v>0</v>
      </c>
    </row>
    <row r="50" spans="1:5">
      <c r="A50" s="731" t="s">
        <v>159</v>
      </c>
      <c r="B50" s="732">
        <v>0</v>
      </c>
      <c r="C50" s="732">
        <v>0</v>
      </c>
      <c r="D50" s="732">
        <v>0</v>
      </c>
      <c r="E50" s="732">
        <v>0</v>
      </c>
    </row>
    <row r="51" spans="1:5">
      <c r="A51" s="731" t="s">
        <v>160</v>
      </c>
      <c r="B51" s="732">
        <v>0</v>
      </c>
      <c r="C51" s="732">
        <v>0</v>
      </c>
      <c r="D51" s="732">
        <v>0</v>
      </c>
      <c r="E51" s="732">
        <v>0</v>
      </c>
    </row>
    <row r="52" spans="1:5">
      <c r="A52" s="731" t="s">
        <v>161</v>
      </c>
      <c r="B52" s="732">
        <v>0</v>
      </c>
      <c r="C52" s="732">
        <v>46713.88</v>
      </c>
      <c r="D52" s="732">
        <v>46713.88</v>
      </c>
      <c r="E52" s="732">
        <v>0</v>
      </c>
    </row>
    <row r="53" spans="1:5">
      <c r="A53" s="731" t="s">
        <v>166</v>
      </c>
      <c r="B53" s="732">
        <v>178000</v>
      </c>
      <c r="C53" s="732">
        <v>0</v>
      </c>
      <c r="D53" s="732">
        <v>0</v>
      </c>
      <c r="E53" s="732">
        <v>178000</v>
      </c>
    </row>
    <row r="54" spans="1:5">
      <c r="A54" s="731" t="s">
        <v>162</v>
      </c>
      <c r="B54" s="732">
        <v>0</v>
      </c>
      <c r="C54" s="732">
        <v>0</v>
      </c>
      <c r="D54" s="732">
        <v>0</v>
      </c>
      <c r="E54" s="732">
        <v>0</v>
      </c>
    </row>
    <row r="55" spans="1:5">
      <c r="A55" s="731" t="s">
        <v>163</v>
      </c>
      <c r="B55" s="732">
        <v>0</v>
      </c>
      <c r="C55" s="732">
        <v>0</v>
      </c>
      <c r="D55" s="732">
        <v>0</v>
      </c>
      <c r="E55" s="732">
        <v>0</v>
      </c>
    </row>
    <row r="56" spans="1:5">
      <c r="A56" s="731" t="s">
        <v>164</v>
      </c>
      <c r="B56" s="732">
        <v>0</v>
      </c>
      <c r="C56" s="732">
        <v>0</v>
      </c>
      <c r="D56" s="732">
        <v>0</v>
      </c>
      <c r="E56" s="732">
        <v>0</v>
      </c>
    </row>
    <row r="57" spans="1:5">
      <c r="A57" s="731" t="s">
        <v>165</v>
      </c>
      <c r="B57" s="732">
        <v>0</v>
      </c>
      <c r="C57" s="732">
        <v>0</v>
      </c>
      <c r="D57" s="732">
        <v>0</v>
      </c>
      <c r="E57" s="732">
        <v>0</v>
      </c>
    </row>
    <row r="58" spans="1:5">
      <c r="A58" s="731" t="s">
        <v>168</v>
      </c>
      <c r="B58" s="732">
        <v>11312051.420000004</v>
      </c>
      <c r="C58" s="732">
        <v>9284663.4399999995</v>
      </c>
      <c r="D58" s="732">
        <v>11312051.420000004</v>
      </c>
      <c r="E58" s="732">
        <v>9284663.4400000013</v>
      </c>
    </row>
    <row r="59" spans="1:5">
      <c r="A59" s="731" t="s">
        <v>169</v>
      </c>
      <c r="B59" s="732">
        <v>0</v>
      </c>
      <c r="C59" s="732">
        <v>221555.19</v>
      </c>
      <c r="D59" s="732">
        <v>0</v>
      </c>
      <c r="E59" s="732">
        <v>221555.19</v>
      </c>
    </row>
    <row r="60" spans="1:5">
      <c r="A60" s="731" t="s">
        <v>170</v>
      </c>
      <c r="B60" s="732">
        <v>4327331.7799999993</v>
      </c>
      <c r="C60" s="732">
        <v>13417088.66</v>
      </c>
      <c r="D60" s="732">
        <v>4319450.6199999992</v>
      </c>
      <c r="E60" s="732">
        <v>13424969.82</v>
      </c>
    </row>
    <row r="61" spans="1:5">
      <c r="A61" s="731" t="s">
        <v>171</v>
      </c>
      <c r="B61" s="732">
        <v>0</v>
      </c>
      <c r="C61" s="732">
        <v>10030.41</v>
      </c>
      <c r="D61" s="732">
        <v>7881.64</v>
      </c>
      <c r="E61" s="732">
        <v>2148.77</v>
      </c>
    </row>
    <row r="62" spans="1:5">
      <c r="A62" s="731" t="s">
        <v>172</v>
      </c>
      <c r="B62" s="732">
        <v>0</v>
      </c>
      <c r="C62" s="732">
        <v>0</v>
      </c>
      <c r="D62" s="732">
        <v>0</v>
      </c>
      <c r="E62" s="732">
        <v>0</v>
      </c>
    </row>
    <row r="63" spans="1:5">
      <c r="A63" s="731" t="s">
        <v>173</v>
      </c>
      <c r="B63" s="732">
        <v>0</v>
      </c>
      <c r="C63" s="732">
        <v>0</v>
      </c>
      <c r="D63" s="732">
        <v>0</v>
      </c>
      <c r="E63" s="732">
        <v>0</v>
      </c>
    </row>
    <row r="64" spans="1:5">
      <c r="A64" s="731" t="s">
        <v>174</v>
      </c>
      <c r="B64" s="732">
        <v>0</v>
      </c>
      <c r="C64" s="732">
        <v>0</v>
      </c>
      <c r="D64" s="732">
        <v>0</v>
      </c>
      <c r="E64" s="732">
        <v>0</v>
      </c>
    </row>
    <row r="65" spans="1:5">
      <c r="A65" s="731" t="s">
        <v>175</v>
      </c>
      <c r="B65" s="732">
        <v>667547.92000000004</v>
      </c>
      <c r="C65" s="732">
        <v>1848621.5799999998</v>
      </c>
      <c r="D65" s="732">
        <v>667547.92000000004</v>
      </c>
      <c r="E65" s="732">
        <v>1848621.5799999998</v>
      </c>
    </row>
    <row r="66" spans="1:5">
      <c r="A66" s="731" t="s">
        <v>176</v>
      </c>
      <c r="B66" s="732">
        <v>0</v>
      </c>
      <c r="C66" s="732">
        <v>0</v>
      </c>
      <c r="D66" s="732">
        <v>0</v>
      </c>
      <c r="E66" s="732">
        <v>0</v>
      </c>
    </row>
    <row r="67" spans="1:5">
      <c r="A67" s="731" t="s">
        <v>177</v>
      </c>
      <c r="B67" s="732">
        <v>0</v>
      </c>
      <c r="C67" s="732">
        <v>1079.06</v>
      </c>
      <c r="D67" s="732">
        <v>0</v>
      </c>
      <c r="E67" s="732">
        <v>1079.06</v>
      </c>
    </row>
    <row r="68" spans="1:5">
      <c r="A68" s="731" t="s">
        <v>178</v>
      </c>
      <c r="B68" s="732">
        <v>2197.2800000000002</v>
      </c>
      <c r="C68" s="732">
        <v>529.04999999999995</v>
      </c>
      <c r="D68" s="732">
        <v>2197.2800000000002</v>
      </c>
      <c r="E68" s="732">
        <v>529.04999999999995</v>
      </c>
    </row>
    <row r="69" spans="1:5">
      <c r="A69" s="731" t="s">
        <v>179</v>
      </c>
      <c r="B69" s="732">
        <v>0</v>
      </c>
      <c r="C69" s="732">
        <v>0</v>
      </c>
      <c r="D69" s="732">
        <v>0</v>
      </c>
      <c r="E69" s="732">
        <v>0</v>
      </c>
    </row>
    <row r="70" spans="1:5">
      <c r="A70" s="731" t="s">
        <v>180</v>
      </c>
      <c r="B70" s="732">
        <v>49758.79</v>
      </c>
      <c r="C70" s="732">
        <v>70022.3</v>
      </c>
      <c r="D70" s="732">
        <v>22027.919999999998</v>
      </c>
      <c r="E70" s="732">
        <v>97753.17</v>
      </c>
    </row>
    <row r="71" spans="1:5">
      <c r="A71" s="731" t="s">
        <v>181</v>
      </c>
      <c r="B71" s="732">
        <v>19687.84</v>
      </c>
      <c r="C71" s="732">
        <v>4292.88</v>
      </c>
      <c r="D71" s="732">
        <v>4381.37</v>
      </c>
      <c r="E71" s="732">
        <v>-19776.330000000002</v>
      </c>
    </row>
    <row r="72" spans="1:5">
      <c r="A72" s="731" t="s">
        <v>182</v>
      </c>
      <c r="B72" s="732">
        <v>0</v>
      </c>
      <c r="C72" s="732">
        <v>0</v>
      </c>
      <c r="D72" s="732">
        <v>0</v>
      </c>
      <c r="E72" s="732">
        <v>0</v>
      </c>
    </row>
    <row r="73" spans="1:5">
      <c r="A73" s="731" t="s">
        <v>183</v>
      </c>
      <c r="B73" s="732">
        <v>0</v>
      </c>
      <c r="C73" s="732">
        <v>0</v>
      </c>
      <c r="D73" s="732">
        <v>0</v>
      </c>
      <c r="E73" s="732">
        <v>0</v>
      </c>
    </row>
    <row r="74" spans="1:5">
      <c r="A74" s="731" t="s">
        <v>1341</v>
      </c>
      <c r="B74" s="732">
        <v>0</v>
      </c>
      <c r="C74" s="732">
        <v>0</v>
      </c>
      <c r="D74" s="732">
        <v>0</v>
      </c>
      <c r="E74" s="732">
        <v>0</v>
      </c>
    </row>
    <row r="75" spans="1:5">
      <c r="A75" s="731" t="s">
        <v>184</v>
      </c>
      <c r="B75" s="732">
        <v>0</v>
      </c>
      <c r="C75" s="732">
        <v>0</v>
      </c>
      <c r="D75" s="732">
        <v>0</v>
      </c>
      <c r="E75" s="732">
        <v>0</v>
      </c>
    </row>
    <row r="76" spans="1:5">
      <c r="A76" s="731" t="s">
        <v>185</v>
      </c>
      <c r="B76" s="732">
        <v>0</v>
      </c>
      <c r="C76" s="732">
        <v>0</v>
      </c>
      <c r="D76" s="732">
        <v>0</v>
      </c>
      <c r="E76" s="732">
        <v>0</v>
      </c>
    </row>
    <row r="77" spans="1:5">
      <c r="A77" s="731" t="s">
        <v>186</v>
      </c>
      <c r="B77" s="732">
        <v>0</v>
      </c>
      <c r="C77" s="732">
        <v>0</v>
      </c>
      <c r="D77" s="732">
        <v>0</v>
      </c>
      <c r="E77" s="732">
        <v>0</v>
      </c>
    </row>
    <row r="78" spans="1:5">
      <c r="A78" s="731" t="s">
        <v>187</v>
      </c>
      <c r="B78" s="732">
        <v>0</v>
      </c>
      <c r="C78" s="732">
        <v>0</v>
      </c>
      <c r="D78" s="732">
        <v>0</v>
      </c>
      <c r="E78" s="732">
        <v>0</v>
      </c>
    </row>
    <row r="79" spans="1:5">
      <c r="A79" s="731" t="s">
        <v>188</v>
      </c>
      <c r="B79" s="732">
        <v>0</v>
      </c>
      <c r="C79" s="732">
        <v>0</v>
      </c>
      <c r="D79" s="732">
        <v>0</v>
      </c>
      <c r="E79" s="732">
        <v>0</v>
      </c>
    </row>
    <row r="80" spans="1:5">
      <c r="A80" s="731" t="s">
        <v>189</v>
      </c>
      <c r="B80" s="732">
        <v>0</v>
      </c>
      <c r="C80" s="732">
        <v>0</v>
      </c>
      <c r="D80" s="732">
        <v>0</v>
      </c>
      <c r="E80" s="732">
        <v>0</v>
      </c>
    </row>
    <row r="81" spans="1:5">
      <c r="A81" s="731" t="s">
        <v>1373</v>
      </c>
      <c r="B81" s="732">
        <v>0</v>
      </c>
      <c r="C81" s="732">
        <v>0</v>
      </c>
      <c r="D81" s="732">
        <v>0</v>
      </c>
      <c r="E81" s="732">
        <v>0</v>
      </c>
    </row>
    <row r="82" spans="1:5">
      <c r="A82" s="731" t="s">
        <v>190</v>
      </c>
      <c r="B82" s="732">
        <v>1770138</v>
      </c>
      <c r="C82" s="732">
        <v>0</v>
      </c>
      <c r="D82" s="732">
        <v>0</v>
      </c>
      <c r="E82" s="732">
        <v>1770138</v>
      </c>
    </row>
    <row r="83" spans="1:5">
      <c r="A83" s="731" t="s">
        <v>191</v>
      </c>
      <c r="B83" s="732">
        <v>0</v>
      </c>
      <c r="C83" s="732">
        <v>0</v>
      </c>
      <c r="D83" s="732">
        <v>0</v>
      </c>
      <c r="E83" s="732">
        <v>0</v>
      </c>
    </row>
    <row r="84" spans="1:5">
      <c r="A84" s="731" t="s">
        <v>192</v>
      </c>
      <c r="B84" s="732">
        <v>271000</v>
      </c>
      <c r="C84" s="732">
        <v>1703499.59</v>
      </c>
      <c r="D84" s="732">
        <v>400000</v>
      </c>
      <c r="E84" s="732">
        <v>1574499.59</v>
      </c>
    </row>
    <row r="85" spans="1:5">
      <c r="A85" s="731" t="s">
        <v>193</v>
      </c>
      <c r="B85" s="732">
        <v>0</v>
      </c>
      <c r="C85" s="732">
        <v>0</v>
      </c>
      <c r="D85" s="732">
        <v>0</v>
      </c>
      <c r="E85" s="732">
        <v>0</v>
      </c>
    </row>
    <row r="86" spans="1:5">
      <c r="A86" s="731" t="s">
        <v>194</v>
      </c>
      <c r="B86" s="732">
        <v>0</v>
      </c>
      <c r="C86" s="732">
        <v>0</v>
      </c>
      <c r="D86" s="732">
        <v>0</v>
      </c>
      <c r="E86" s="732">
        <v>0</v>
      </c>
    </row>
    <row r="87" spans="1:5">
      <c r="A87" s="731" t="s">
        <v>195</v>
      </c>
      <c r="B87" s="732">
        <v>1917.86</v>
      </c>
      <c r="C87" s="732">
        <v>8144.3</v>
      </c>
      <c r="D87" s="732">
        <v>4338.3</v>
      </c>
      <c r="E87" s="732">
        <v>5723.86</v>
      </c>
    </row>
    <row r="88" spans="1:5">
      <c r="A88" s="731" t="s">
        <v>1418</v>
      </c>
      <c r="B88" s="732">
        <v>0</v>
      </c>
      <c r="C88" s="732">
        <v>0</v>
      </c>
      <c r="D88" s="732">
        <v>0</v>
      </c>
      <c r="E88" s="732">
        <v>0</v>
      </c>
    </row>
    <row r="89" spans="1:5">
      <c r="A89" s="731" t="s">
        <v>196</v>
      </c>
      <c r="B89" s="732">
        <v>76661430.930000007</v>
      </c>
      <c r="C89" s="732">
        <v>371264974.78000003</v>
      </c>
      <c r="D89" s="732">
        <v>387146115.01999998</v>
      </c>
      <c r="E89" s="732">
        <v>60780290.689999998</v>
      </c>
    </row>
    <row r="90" spans="1:5">
      <c r="A90" s="731" t="s">
        <v>197</v>
      </c>
      <c r="B90" s="732">
        <v>0</v>
      </c>
      <c r="C90" s="732">
        <v>0</v>
      </c>
      <c r="D90" s="732">
        <v>0</v>
      </c>
      <c r="E90" s="732">
        <v>0</v>
      </c>
    </row>
    <row r="91" spans="1:5">
      <c r="A91" s="731" t="s">
        <v>198</v>
      </c>
      <c r="B91" s="732">
        <v>0</v>
      </c>
      <c r="C91" s="732">
        <v>0</v>
      </c>
      <c r="D91" s="732">
        <v>0</v>
      </c>
      <c r="E91" s="732">
        <v>0</v>
      </c>
    </row>
    <row r="92" spans="1:5">
      <c r="A92" s="731" t="s">
        <v>199</v>
      </c>
      <c r="B92" s="732">
        <v>0</v>
      </c>
      <c r="C92" s="732">
        <v>312785825</v>
      </c>
      <c r="D92" s="732">
        <v>312785825</v>
      </c>
      <c r="E92" s="732">
        <v>0</v>
      </c>
    </row>
    <row r="93" spans="1:5">
      <c r="A93" s="731" t="s">
        <v>200</v>
      </c>
      <c r="B93" s="732">
        <v>0</v>
      </c>
      <c r="C93" s="732">
        <v>0</v>
      </c>
      <c r="D93" s="732">
        <v>0</v>
      </c>
      <c r="E93" s="732">
        <v>0</v>
      </c>
    </row>
    <row r="94" spans="1:5">
      <c r="A94" s="731" t="s">
        <v>201</v>
      </c>
      <c r="B94" s="732">
        <v>0</v>
      </c>
      <c r="C94" s="732">
        <v>0</v>
      </c>
      <c r="D94" s="732">
        <v>0</v>
      </c>
      <c r="E94" s="732">
        <v>0</v>
      </c>
    </row>
    <row r="95" spans="1:5">
      <c r="A95" s="731" t="s">
        <v>202</v>
      </c>
      <c r="B95" s="732">
        <v>19885019.739999998</v>
      </c>
      <c r="C95" s="732">
        <v>6328592.0099999998</v>
      </c>
      <c r="D95" s="732">
        <v>5758615.6200000001</v>
      </c>
      <c r="E95" s="732">
        <v>20454996.129999999</v>
      </c>
    </row>
    <row r="96" spans="1:5">
      <c r="A96" s="731" t="s">
        <v>1549</v>
      </c>
      <c r="B96" s="732">
        <v>241540.12</v>
      </c>
      <c r="C96" s="732">
        <v>46636.29</v>
      </c>
      <c r="D96" s="732">
        <v>241540.12</v>
      </c>
      <c r="E96" s="732">
        <v>46636.29</v>
      </c>
    </row>
    <row r="97" spans="1:5">
      <c r="A97" s="731" t="s">
        <v>203</v>
      </c>
      <c r="B97" s="732">
        <v>308445.14</v>
      </c>
      <c r="C97" s="732">
        <v>696714.3</v>
      </c>
      <c r="D97" s="732">
        <v>453762.3</v>
      </c>
      <c r="E97" s="732">
        <v>551397.14</v>
      </c>
    </row>
    <row r="98" spans="1:5">
      <c r="A98" s="731" t="s">
        <v>1650</v>
      </c>
      <c r="B98" s="732">
        <v>0</v>
      </c>
      <c r="C98" s="732">
        <v>0</v>
      </c>
      <c r="D98" s="732">
        <v>0</v>
      </c>
      <c r="E98" s="732">
        <v>0</v>
      </c>
    </row>
    <row r="99" spans="1:5">
      <c r="A99" s="731" t="s">
        <v>204</v>
      </c>
      <c r="B99" s="732">
        <v>32326476.73</v>
      </c>
      <c r="C99" s="732">
        <v>6841853.7699999996</v>
      </c>
      <c r="D99" s="732">
        <v>0</v>
      </c>
      <c r="E99" s="732">
        <v>39168330.500000007</v>
      </c>
    </row>
    <row r="100" spans="1:5">
      <c r="A100" s="731" t="s">
        <v>205</v>
      </c>
      <c r="B100" s="732">
        <v>0</v>
      </c>
      <c r="C100" s="732">
        <v>0</v>
      </c>
      <c r="D100" s="732">
        <v>0</v>
      </c>
      <c r="E100" s="732">
        <v>0</v>
      </c>
    </row>
    <row r="101" spans="1:5">
      <c r="A101" s="731" t="s">
        <v>206</v>
      </c>
      <c r="B101" s="732">
        <v>0</v>
      </c>
      <c r="C101" s="732">
        <v>0</v>
      </c>
      <c r="D101" s="732">
        <v>0</v>
      </c>
      <c r="E101" s="732">
        <v>0</v>
      </c>
    </row>
    <row r="102" spans="1:5">
      <c r="A102" s="731" t="s">
        <v>1755</v>
      </c>
      <c r="B102" s="732">
        <v>0</v>
      </c>
      <c r="C102" s="732">
        <v>0</v>
      </c>
      <c r="D102" s="732">
        <v>0</v>
      </c>
      <c r="E102" s="732">
        <v>0</v>
      </c>
    </row>
    <row r="103" spans="1:5">
      <c r="A103" s="731" t="s">
        <v>207</v>
      </c>
      <c r="B103" s="732">
        <v>0</v>
      </c>
      <c r="C103" s="732">
        <v>0</v>
      </c>
      <c r="D103" s="732">
        <v>0</v>
      </c>
      <c r="E103" s="732">
        <v>0</v>
      </c>
    </row>
    <row r="104" spans="1:5">
      <c r="A104" s="731" t="s">
        <v>208</v>
      </c>
      <c r="B104" s="732">
        <v>0</v>
      </c>
      <c r="C104" s="732">
        <v>0</v>
      </c>
      <c r="D104" s="732">
        <v>0</v>
      </c>
      <c r="E104" s="732">
        <v>0</v>
      </c>
    </row>
    <row r="105" spans="1:5">
      <c r="A105" s="731" t="s">
        <v>1766</v>
      </c>
      <c r="B105" s="732">
        <v>0</v>
      </c>
      <c r="C105" s="732">
        <v>0</v>
      </c>
      <c r="D105" s="732">
        <v>0</v>
      </c>
      <c r="E105" s="732">
        <v>0</v>
      </c>
    </row>
    <row r="106" spans="1:5">
      <c r="A106" s="731" t="s">
        <v>1771</v>
      </c>
      <c r="B106" s="732">
        <v>0</v>
      </c>
      <c r="C106" s="732">
        <v>0</v>
      </c>
      <c r="D106" s="732">
        <v>0</v>
      </c>
      <c r="E106" s="732">
        <v>0</v>
      </c>
    </row>
    <row r="107" spans="1:5">
      <c r="A107" s="731" t="s">
        <v>209</v>
      </c>
      <c r="B107" s="732">
        <v>0</v>
      </c>
      <c r="C107" s="732">
        <v>2102</v>
      </c>
      <c r="D107" s="732">
        <v>0</v>
      </c>
      <c r="E107" s="732">
        <v>2102</v>
      </c>
    </row>
    <row r="108" spans="1:5">
      <c r="A108" s="731" t="s">
        <v>223</v>
      </c>
      <c r="B108" s="732">
        <v>0</v>
      </c>
      <c r="C108" s="732">
        <v>0</v>
      </c>
      <c r="D108" s="732">
        <v>0</v>
      </c>
      <c r="E108" s="732">
        <v>0</v>
      </c>
    </row>
    <row r="109" spans="1:5">
      <c r="A109" s="731" t="s">
        <v>210</v>
      </c>
      <c r="B109" s="732">
        <v>0</v>
      </c>
      <c r="C109" s="732">
        <v>0</v>
      </c>
      <c r="D109" s="732">
        <v>0</v>
      </c>
      <c r="E109" s="732">
        <v>0</v>
      </c>
    </row>
    <row r="110" spans="1:5">
      <c r="A110" s="731" t="s">
        <v>211</v>
      </c>
      <c r="B110" s="732">
        <v>2934175.9499999997</v>
      </c>
      <c r="C110" s="732">
        <v>1972785.12</v>
      </c>
      <c r="D110" s="732">
        <v>1806475.33</v>
      </c>
      <c r="E110" s="732">
        <v>3100392.4000000004</v>
      </c>
    </row>
    <row r="111" spans="1:5">
      <c r="A111" s="731" t="s">
        <v>212</v>
      </c>
      <c r="B111" s="732">
        <v>0</v>
      </c>
      <c r="C111" s="732">
        <v>0</v>
      </c>
      <c r="D111" s="732">
        <v>0</v>
      </c>
      <c r="E111" s="732">
        <v>0</v>
      </c>
    </row>
    <row r="112" spans="1:5">
      <c r="A112" s="731" t="s">
        <v>1928</v>
      </c>
      <c r="B112" s="732">
        <v>0</v>
      </c>
      <c r="C112" s="732">
        <v>0</v>
      </c>
      <c r="D112" s="732">
        <v>0</v>
      </c>
      <c r="E112" s="732">
        <v>0</v>
      </c>
    </row>
    <row r="113" spans="1:8">
      <c r="A113" s="731" t="s">
        <v>213</v>
      </c>
      <c r="B113" s="732">
        <v>3891979.56</v>
      </c>
      <c r="C113" s="732">
        <v>4068170.48</v>
      </c>
      <c r="D113" s="732">
        <v>1719770.1</v>
      </c>
      <c r="E113" s="732">
        <v>6240379.9400000004</v>
      </c>
    </row>
    <row r="114" spans="1:8">
      <c r="A114" s="731" t="s">
        <v>1938</v>
      </c>
      <c r="B114" s="732">
        <v>225000</v>
      </c>
      <c r="C114" s="732">
        <v>0</v>
      </c>
      <c r="D114" s="732">
        <v>0</v>
      </c>
      <c r="E114" s="732">
        <v>225000</v>
      </c>
    </row>
    <row r="115" spans="1:8">
      <c r="A115" s="731" t="s">
        <v>214</v>
      </c>
      <c r="B115" s="732">
        <v>0</v>
      </c>
      <c r="C115" s="732">
        <v>0</v>
      </c>
      <c r="D115" s="732">
        <v>0</v>
      </c>
      <c r="E115" s="732">
        <v>0</v>
      </c>
    </row>
    <row r="116" spans="1:8">
      <c r="A116" s="731" t="s">
        <v>215</v>
      </c>
      <c r="B116" s="732">
        <v>0</v>
      </c>
      <c r="C116" s="732">
        <v>0</v>
      </c>
      <c r="D116" s="732">
        <v>0</v>
      </c>
      <c r="E116" s="732">
        <v>0</v>
      </c>
    </row>
    <row r="117" spans="1:8">
      <c r="A117" s="731" t="s">
        <v>216</v>
      </c>
      <c r="B117" s="732">
        <v>0</v>
      </c>
      <c r="C117" s="732">
        <v>0</v>
      </c>
      <c r="D117" s="732">
        <v>0</v>
      </c>
      <c r="E117" s="732">
        <v>0</v>
      </c>
    </row>
    <row r="118" spans="1:8">
      <c r="A118" s="731" t="s">
        <v>217</v>
      </c>
      <c r="B118" s="732">
        <v>371740.49</v>
      </c>
      <c r="C118" s="732">
        <v>965750.41</v>
      </c>
      <c r="D118" s="732">
        <v>128898.7</v>
      </c>
      <c r="E118" s="732">
        <v>1208592.2</v>
      </c>
    </row>
    <row r="119" spans="1:8">
      <c r="A119" s="731" t="s">
        <v>218</v>
      </c>
      <c r="B119" s="732">
        <v>6289318.7400000002</v>
      </c>
      <c r="C119" s="732">
        <v>3154401.9600000009</v>
      </c>
      <c r="D119" s="732">
        <v>2992519.6999999997</v>
      </c>
      <c r="E119" s="732">
        <v>5198796.72</v>
      </c>
    </row>
    <row r="120" spans="1:8">
      <c r="A120" s="731" t="s">
        <v>219</v>
      </c>
      <c r="B120" s="732">
        <v>0</v>
      </c>
      <c r="C120" s="732">
        <v>0</v>
      </c>
      <c r="D120" s="732">
        <v>0</v>
      </c>
      <c r="E120" s="732">
        <v>0</v>
      </c>
    </row>
    <row r="121" spans="1:8">
      <c r="A121" s="731" t="s">
        <v>220</v>
      </c>
      <c r="B121" s="732">
        <v>26197447.559999999</v>
      </c>
      <c r="C121" s="732">
        <v>820247.61</v>
      </c>
      <c r="D121" s="732">
        <v>3556485.29</v>
      </c>
      <c r="E121" s="732">
        <v>23461209.879999999</v>
      </c>
    </row>
    <row r="122" spans="1:8">
      <c r="A122" s="731" t="s">
        <v>221</v>
      </c>
      <c r="B122" s="732">
        <v>308250</v>
      </c>
      <c r="C122" s="732">
        <v>66343.7</v>
      </c>
      <c r="D122" s="732">
        <v>19903.11</v>
      </c>
      <c r="E122" s="732">
        <v>354690.59</v>
      </c>
    </row>
    <row r="123" spans="1:8">
      <c r="A123" s="731" t="s">
        <v>222</v>
      </c>
      <c r="B123" s="732">
        <v>11818</v>
      </c>
      <c r="C123" s="732">
        <v>0</v>
      </c>
      <c r="D123" s="732">
        <v>0</v>
      </c>
      <c r="E123" s="732">
        <v>-11818</v>
      </c>
    </row>
    <row r="124" spans="1:8">
      <c r="A124" s="731" t="s">
        <v>2080</v>
      </c>
      <c r="B124" s="732">
        <v>4586923.1099999994</v>
      </c>
      <c r="C124" s="732">
        <v>3771424.46</v>
      </c>
      <c r="D124" s="732">
        <v>2891494.4699999997</v>
      </c>
      <c r="E124" s="732">
        <v>5466853.0999999996</v>
      </c>
      <c r="H124">
        <f>GETPIVOTDATA("Somma di SALDO",$A$3,"AGGR","ABA711")+GETPIVOTDATA("Somma di SALDO MOV",$A$3,"AGGR","ABA711")-GETPIVOTDATA("Somma di SALDO MOV2",$A$3,"AGGR","ABA711")</f>
        <v>5466853.0999999996</v>
      </c>
    </row>
    <row r="125" spans="1:8">
      <c r="A125" s="731" t="s">
        <v>2158</v>
      </c>
      <c r="B125" s="732">
        <v>0</v>
      </c>
      <c r="C125" s="732">
        <v>0</v>
      </c>
      <c r="D125" s="732">
        <v>0</v>
      </c>
      <c r="E125" s="732">
        <v>0</v>
      </c>
    </row>
    <row r="126" spans="1:8">
      <c r="A126" s="731" t="s">
        <v>2205</v>
      </c>
      <c r="B126" s="732">
        <v>0</v>
      </c>
      <c r="C126" s="732">
        <v>0</v>
      </c>
      <c r="D126" s="732">
        <v>0</v>
      </c>
      <c r="E126" s="732">
        <v>0</v>
      </c>
    </row>
    <row r="127" spans="1:8">
      <c r="A127" s="731" t="s">
        <v>2163</v>
      </c>
      <c r="B127" s="732">
        <v>45</v>
      </c>
      <c r="C127" s="732">
        <v>0</v>
      </c>
      <c r="D127" s="732">
        <v>0</v>
      </c>
      <c r="E127" s="732">
        <v>45</v>
      </c>
    </row>
    <row r="128" spans="1:8">
      <c r="A128" s="731" t="s">
        <v>2168</v>
      </c>
      <c r="B128" s="732">
        <v>30110.42</v>
      </c>
      <c r="C128" s="732">
        <v>36297.07</v>
      </c>
      <c r="D128" s="732">
        <v>67569</v>
      </c>
      <c r="E128" s="732">
        <v>-61382.35</v>
      </c>
    </row>
    <row r="129" spans="1:5">
      <c r="A129" s="731" t="s">
        <v>225</v>
      </c>
      <c r="B129" s="732">
        <v>0</v>
      </c>
      <c r="C129" s="732">
        <v>0</v>
      </c>
      <c r="D129" s="732">
        <v>0</v>
      </c>
      <c r="E129" s="732">
        <v>0</v>
      </c>
    </row>
    <row r="130" spans="1:5">
      <c r="A130" s="731" t="s">
        <v>224</v>
      </c>
      <c r="B130" s="732">
        <v>0</v>
      </c>
      <c r="C130" s="732">
        <v>0</v>
      </c>
      <c r="D130" s="732">
        <v>0</v>
      </c>
      <c r="E130" s="732">
        <v>0</v>
      </c>
    </row>
    <row r="131" spans="1:5">
      <c r="A131" s="731" t="s">
        <v>226</v>
      </c>
      <c r="B131" s="732">
        <v>26261.26</v>
      </c>
      <c r="C131" s="732">
        <v>5746796.3300000001</v>
      </c>
      <c r="D131" s="732">
        <v>5750478.6899999995</v>
      </c>
      <c r="E131" s="732">
        <v>22578.9</v>
      </c>
    </row>
    <row r="132" spans="1:5">
      <c r="A132" s="731" t="s">
        <v>227</v>
      </c>
      <c r="B132" s="732">
        <v>4446331.05</v>
      </c>
      <c r="C132" s="732">
        <v>1072708865.23</v>
      </c>
      <c r="D132" s="732">
        <v>1072992597.41</v>
      </c>
      <c r="E132" s="732">
        <v>4162598.87</v>
      </c>
    </row>
    <row r="133" spans="1:5">
      <c r="A133" s="731" t="s">
        <v>228</v>
      </c>
      <c r="B133" s="732">
        <v>0</v>
      </c>
      <c r="C133" s="732">
        <v>0</v>
      </c>
      <c r="D133" s="732">
        <v>0</v>
      </c>
      <c r="E133" s="732">
        <v>0</v>
      </c>
    </row>
    <row r="134" spans="1:5">
      <c r="A134" s="731" t="s">
        <v>229</v>
      </c>
      <c r="B134" s="732">
        <v>25806.87</v>
      </c>
      <c r="C134" s="732">
        <v>33998.199999999997</v>
      </c>
      <c r="D134" s="732">
        <v>53833.919999999998</v>
      </c>
      <c r="E134" s="732">
        <v>5971.15</v>
      </c>
    </row>
    <row r="135" spans="1:5">
      <c r="A135" s="731" t="s">
        <v>2303</v>
      </c>
      <c r="B135" s="732">
        <v>0</v>
      </c>
      <c r="C135" s="732">
        <v>0</v>
      </c>
      <c r="D135" s="732">
        <v>0</v>
      </c>
      <c r="E135" s="732">
        <v>0</v>
      </c>
    </row>
    <row r="136" spans="1:5">
      <c r="A136" s="731" t="s">
        <v>2316</v>
      </c>
      <c r="B136" s="732">
        <v>0</v>
      </c>
      <c r="C136" s="732">
        <v>0</v>
      </c>
      <c r="D136" s="732">
        <v>0</v>
      </c>
      <c r="E136" s="732">
        <v>0</v>
      </c>
    </row>
    <row r="137" spans="1:5">
      <c r="A137" s="731" t="s">
        <v>2326</v>
      </c>
      <c r="B137" s="732">
        <v>0</v>
      </c>
      <c r="C137" s="732">
        <v>0</v>
      </c>
      <c r="D137" s="732">
        <v>0</v>
      </c>
      <c r="E137" s="732">
        <v>0</v>
      </c>
    </row>
    <row r="138" spans="1:5">
      <c r="A138" s="731" t="s">
        <v>2340</v>
      </c>
      <c r="B138" s="732">
        <v>0</v>
      </c>
      <c r="C138" s="732">
        <v>0</v>
      </c>
      <c r="D138" s="732">
        <v>0</v>
      </c>
      <c r="E138" s="732">
        <v>0</v>
      </c>
    </row>
    <row r="139" spans="1:5">
      <c r="A139" s="731" t="s">
        <v>2354</v>
      </c>
      <c r="B139" s="732">
        <v>0</v>
      </c>
      <c r="C139" s="732">
        <v>0</v>
      </c>
      <c r="D139" s="732">
        <v>0</v>
      </c>
      <c r="E139" s="732">
        <v>0</v>
      </c>
    </row>
    <row r="140" spans="1:5">
      <c r="A140" s="731" t="s">
        <v>2358</v>
      </c>
      <c r="B140" s="732">
        <v>0</v>
      </c>
      <c r="C140" s="732">
        <v>0</v>
      </c>
      <c r="D140" s="732">
        <v>0</v>
      </c>
      <c r="E140" s="732">
        <v>0</v>
      </c>
    </row>
    <row r="141" spans="1:5">
      <c r="A141" s="731" t="s">
        <v>2362</v>
      </c>
      <c r="B141" s="732">
        <v>287897837.58999997</v>
      </c>
      <c r="C141" s="732">
        <v>0</v>
      </c>
      <c r="D141" s="732">
        <v>0</v>
      </c>
      <c r="E141" s="732">
        <v>287897837.58999997</v>
      </c>
    </row>
    <row r="142" spans="1:5">
      <c r="A142" s="731" t="s">
        <v>2367</v>
      </c>
      <c r="B142" s="732">
        <v>0</v>
      </c>
      <c r="C142" s="732">
        <v>0</v>
      </c>
      <c r="D142" s="732">
        <v>0</v>
      </c>
      <c r="E142" s="732">
        <v>0</v>
      </c>
    </row>
    <row r="143" spans="1:5">
      <c r="A143" s="731" t="s">
        <v>2371</v>
      </c>
      <c r="B143" s="732">
        <v>3086241.38</v>
      </c>
      <c r="C143" s="732">
        <v>0</v>
      </c>
      <c r="D143" s="732">
        <v>0</v>
      </c>
      <c r="E143" s="732">
        <v>3086241.38</v>
      </c>
    </row>
    <row r="144" spans="1:5">
      <c r="A144" s="731" t="s">
        <v>12918</v>
      </c>
      <c r="B144" s="732">
        <v>0</v>
      </c>
      <c r="C144" s="732">
        <v>0</v>
      </c>
      <c r="D144" s="732">
        <v>0</v>
      </c>
      <c r="E144" s="732">
        <v>0</v>
      </c>
    </row>
    <row r="145" spans="1:5">
      <c r="A145" s="731" t="s">
        <v>232</v>
      </c>
      <c r="B145" s="732">
        <v>0</v>
      </c>
      <c r="C145" s="732">
        <v>0</v>
      </c>
      <c r="D145" s="732">
        <v>0</v>
      </c>
      <c r="E145" s="732">
        <v>0</v>
      </c>
    </row>
    <row r="146" spans="1:5">
      <c r="A146" s="731" t="s">
        <v>234</v>
      </c>
      <c r="B146" s="732">
        <v>129454.79</v>
      </c>
      <c r="C146" s="732">
        <v>0</v>
      </c>
      <c r="D146" s="732">
        <v>0</v>
      </c>
      <c r="E146" s="732">
        <v>-129454.79</v>
      </c>
    </row>
    <row r="147" spans="1:5">
      <c r="A147" s="731" t="s">
        <v>235</v>
      </c>
      <c r="B147" s="732">
        <v>0</v>
      </c>
      <c r="C147" s="732">
        <v>0</v>
      </c>
      <c r="D147" s="732">
        <v>0</v>
      </c>
      <c r="E147" s="732">
        <v>0</v>
      </c>
    </row>
    <row r="148" spans="1:5">
      <c r="A148" s="731" t="s">
        <v>236</v>
      </c>
      <c r="B148" s="732">
        <v>30193095.309999999</v>
      </c>
      <c r="C148" s="732">
        <v>5444592.8899999997</v>
      </c>
      <c r="D148" s="732">
        <v>0</v>
      </c>
      <c r="E148" s="732">
        <v>-24748502.419999998</v>
      </c>
    </row>
    <row r="149" spans="1:5">
      <c r="A149" s="731" t="s">
        <v>237</v>
      </c>
      <c r="B149" s="732">
        <v>21308703.780000001</v>
      </c>
      <c r="C149" s="732">
        <v>2374461.85</v>
      </c>
      <c r="D149" s="732">
        <v>6841853.7699999996</v>
      </c>
      <c r="E149" s="732">
        <v>-25776094.859999999</v>
      </c>
    </row>
    <row r="150" spans="1:5">
      <c r="A150" s="731" t="s">
        <v>238</v>
      </c>
      <c r="B150" s="732">
        <v>55200</v>
      </c>
      <c r="C150" s="732">
        <v>142040.28</v>
      </c>
      <c r="D150" s="732">
        <v>1795608.01</v>
      </c>
      <c r="E150" s="732">
        <v>-1708767.73</v>
      </c>
    </row>
    <row r="151" spans="1:5">
      <c r="A151" s="731" t="s">
        <v>239</v>
      </c>
      <c r="B151" s="732">
        <v>56434574.449999996</v>
      </c>
      <c r="C151" s="732">
        <v>4190121.28</v>
      </c>
      <c r="D151" s="732">
        <v>3821342.41</v>
      </c>
      <c r="E151" s="732">
        <v>-56065795.579999991</v>
      </c>
    </row>
    <row r="152" spans="1:5">
      <c r="A152" s="731" t="s">
        <v>240</v>
      </c>
      <c r="B152" s="732">
        <v>1570542.3399999999</v>
      </c>
      <c r="C152" s="732">
        <v>351706.58</v>
      </c>
      <c r="D152" s="732">
        <v>77484.36</v>
      </c>
      <c r="E152" s="732">
        <v>-1296320.1199999999</v>
      </c>
    </row>
    <row r="153" spans="1:5">
      <c r="A153" s="731" t="s">
        <v>242</v>
      </c>
      <c r="B153" s="732">
        <v>0</v>
      </c>
      <c r="C153" s="732">
        <v>0</v>
      </c>
      <c r="D153" s="732">
        <v>0</v>
      </c>
      <c r="E153" s="732">
        <v>0</v>
      </c>
    </row>
    <row r="154" spans="1:5">
      <c r="A154" s="731" t="s">
        <v>243</v>
      </c>
      <c r="B154" s="732">
        <v>0</v>
      </c>
      <c r="C154" s="732">
        <v>0</v>
      </c>
      <c r="D154" s="732">
        <v>0</v>
      </c>
      <c r="E154" s="732">
        <v>0</v>
      </c>
    </row>
    <row r="155" spans="1:5">
      <c r="A155" s="731" t="s">
        <v>244</v>
      </c>
      <c r="B155" s="732">
        <v>0</v>
      </c>
      <c r="C155" s="732">
        <v>0</v>
      </c>
      <c r="D155" s="732">
        <v>0</v>
      </c>
      <c r="E155" s="732">
        <v>0</v>
      </c>
    </row>
    <row r="156" spans="1:5">
      <c r="A156" s="731" t="s">
        <v>245</v>
      </c>
      <c r="B156" s="732">
        <v>0</v>
      </c>
      <c r="C156" s="732">
        <v>0</v>
      </c>
      <c r="D156" s="732">
        <v>0</v>
      </c>
      <c r="E156" s="732">
        <v>0</v>
      </c>
    </row>
    <row r="157" spans="1:5">
      <c r="A157" s="731" t="s">
        <v>246</v>
      </c>
      <c r="B157" s="732">
        <v>0</v>
      </c>
      <c r="C157" s="732">
        <v>0</v>
      </c>
      <c r="D157" s="732">
        <v>0</v>
      </c>
      <c r="E157" s="732">
        <v>0</v>
      </c>
    </row>
    <row r="158" spans="1:5">
      <c r="A158" s="731" t="s">
        <v>248</v>
      </c>
      <c r="B158" s="732">
        <v>0</v>
      </c>
      <c r="C158" s="732">
        <v>0</v>
      </c>
      <c r="D158" s="732">
        <v>0</v>
      </c>
      <c r="E158" s="732">
        <v>0</v>
      </c>
    </row>
    <row r="159" spans="1:5">
      <c r="A159" s="731" t="s">
        <v>249</v>
      </c>
      <c r="B159" s="732">
        <v>0</v>
      </c>
      <c r="C159" s="732">
        <v>0</v>
      </c>
      <c r="D159" s="732">
        <v>0</v>
      </c>
      <c r="E159" s="732">
        <v>0</v>
      </c>
    </row>
    <row r="160" spans="1:5">
      <c r="A160" s="731" t="s">
        <v>250</v>
      </c>
      <c r="B160" s="732">
        <v>0</v>
      </c>
      <c r="C160" s="732">
        <v>0</v>
      </c>
      <c r="D160" s="732">
        <v>0</v>
      </c>
      <c r="E160" s="732">
        <v>0</v>
      </c>
    </row>
    <row r="161" spans="1:12">
      <c r="A161" s="735" t="s">
        <v>251</v>
      </c>
      <c r="B161" s="736">
        <v>18017282.400000002</v>
      </c>
      <c r="C161" s="736">
        <v>0</v>
      </c>
      <c r="D161" s="736">
        <v>0</v>
      </c>
      <c r="E161" s="736">
        <v>-17098821.120000001</v>
      </c>
      <c r="I161" s="711"/>
      <c r="K161" s="711"/>
      <c r="L161" s="711"/>
    </row>
    <row r="162" spans="1:12">
      <c r="A162" s="735" t="s">
        <v>252</v>
      </c>
      <c r="B162" s="736">
        <v>0</v>
      </c>
      <c r="C162" s="736">
        <v>0</v>
      </c>
      <c r="D162" s="736">
        <v>0</v>
      </c>
      <c r="E162" s="736">
        <v>0</v>
      </c>
    </row>
    <row r="163" spans="1:12">
      <c r="A163" s="731" t="s">
        <v>253</v>
      </c>
      <c r="B163" s="732">
        <v>0</v>
      </c>
      <c r="C163" s="732">
        <v>0</v>
      </c>
      <c r="D163" s="732">
        <v>0</v>
      </c>
      <c r="E163" s="732">
        <v>0</v>
      </c>
    </row>
    <row r="164" spans="1:12">
      <c r="A164" s="731" t="s">
        <v>254</v>
      </c>
      <c r="B164" s="732">
        <v>12980482.060000001</v>
      </c>
      <c r="C164" s="732">
        <v>1518646.17</v>
      </c>
      <c r="D164" s="732">
        <v>4600000</v>
      </c>
      <c r="E164" s="732">
        <v>-16061835.890000001</v>
      </c>
      <c r="H164">
        <f>GETPIVOTDATA("Somma di SALDO",$A$3,"AGGR","PBA020")-GETPIVOTDATA("Somma di SALDO MOV",$A$3,"AGGR","PBA020")+GETPIVOTDATA("Somma di SALDO MOV2",$A$3,"AGGR","PBA020")</f>
        <v>16061835.890000001</v>
      </c>
    </row>
    <row r="165" spans="1:12">
      <c r="A165" s="731" t="s">
        <v>256</v>
      </c>
      <c r="B165" s="732">
        <v>4936390.72</v>
      </c>
      <c r="C165" s="732">
        <v>2577442.66</v>
      </c>
      <c r="D165" s="732">
        <v>2350000</v>
      </c>
      <c r="E165" s="732">
        <v>-4708948.0599999996</v>
      </c>
    </row>
    <row r="166" spans="1:12">
      <c r="A166" s="731" t="s">
        <v>257</v>
      </c>
      <c r="B166" s="732">
        <v>0</v>
      </c>
      <c r="C166" s="732">
        <v>0</v>
      </c>
      <c r="D166" s="732">
        <v>0</v>
      </c>
      <c r="E166" s="732">
        <v>0</v>
      </c>
    </row>
    <row r="167" spans="1:12">
      <c r="A167" s="731" t="s">
        <v>258</v>
      </c>
      <c r="B167" s="732">
        <v>7069318.8499999996</v>
      </c>
      <c r="C167" s="732">
        <v>7155061.4000000004</v>
      </c>
      <c r="D167" s="732">
        <v>1530793</v>
      </c>
      <c r="E167" s="732">
        <v>-1445050.45</v>
      </c>
    </row>
    <row r="168" spans="1:12">
      <c r="A168" s="731" t="s">
        <v>2786</v>
      </c>
      <c r="B168" s="732">
        <v>0</v>
      </c>
      <c r="C168" s="732">
        <v>0</v>
      </c>
      <c r="D168" s="732">
        <v>0</v>
      </c>
      <c r="E168" s="732">
        <v>0</v>
      </c>
    </row>
    <row r="169" spans="1:12">
      <c r="A169" s="731" t="s">
        <v>2791</v>
      </c>
      <c r="B169" s="732">
        <v>0</v>
      </c>
      <c r="C169" s="732">
        <v>0</v>
      </c>
      <c r="D169" s="732">
        <v>0</v>
      </c>
      <c r="E169" s="732">
        <v>0</v>
      </c>
    </row>
    <row r="170" spans="1:12">
      <c r="A170" s="731" t="s">
        <v>259</v>
      </c>
      <c r="B170" s="732">
        <v>1052887.98</v>
      </c>
      <c r="C170" s="732">
        <v>0</v>
      </c>
      <c r="D170" s="732">
        <v>0</v>
      </c>
      <c r="E170" s="732">
        <v>-1052887.98</v>
      </c>
    </row>
    <row r="171" spans="1:12">
      <c r="A171" s="731" t="s">
        <v>261</v>
      </c>
      <c r="B171" s="732">
        <v>0</v>
      </c>
      <c r="C171" s="732">
        <v>0</v>
      </c>
      <c r="D171" s="732">
        <v>0</v>
      </c>
      <c r="E171" s="732">
        <v>0</v>
      </c>
    </row>
    <row r="172" spans="1:12">
      <c r="A172" s="731" t="s">
        <v>262</v>
      </c>
      <c r="B172" s="732">
        <v>0</v>
      </c>
      <c r="C172" s="732">
        <v>0</v>
      </c>
      <c r="D172" s="732">
        <v>0</v>
      </c>
      <c r="E172" s="732">
        <v>0</v>
      </c>
    </row>
    <row r="173" spans="1:12">
      <c r="A173" s="731" t="s">
        <v>263</v>
      </c>
      <c r="B173" s="732">
        <v>0</v>
      </c>
      <c r="C173" s="732">
        <v>0</v>
      </c>
      <c r="D173" s="732">
        <v>0</v>
      </c>
      <c r="E173" s="732">
        <v>0</v>
      </c>
    </row>
    <row r="174" spans="1:12">
      <c r="A174" s="731" t="s">
        <v>264</v>
      </c>
      <c r="B174" s="732">
        <v>0</v>
      </c>
      <c r="C174" s="732">
        <v>0</v>
      </c>
      <c r="D174" s="732">
        <v>0</v>
      </c>
      <c r="E174" s="732">
        <v>0</v>
      </c>
    </row>
    <row r="175" spans="1:12">
      <c r="A175" s="731" t="s">
        <v>265</v>
      </c>
      <c r="B175" s="732">
        <v>0</v>
      </c>
      <c r="C175" s="732">
        <v>0</v>
      </c>
      <c r="D175" s="732">
        <v>0</v>
      </c>
      <c r="E175" s="732">
        <v>0</v>
      </c>
    </row>
    <row r="176" spans="1:12">
      <c r="A176" s="731" t="s">
        <v>266</v>
      </c>
      <c r="B176" s="732">
        <v>0</v>
      </c>
      <c r="C176" s="732">
        <v>0</v>
      </c>
      <c r="D176" s="732">
        <v>0</v>
      </c>
      <c r="E176" s="732">
        <v>0</v>
      </c>
    </row>
    <row r="177" spans="1:5">
      <c r="A177" s="731" t="s">
        <v>267</v>
      </c>
      <c r="B177" s="732">
        <v>650804.80000000005</v>
      </c>
      <c r="C177" s="732">
        <v>0</v>
      </c>
      <c r="D177" s="732">
        <v>0</v>
      </c>
      <c r="E177" s="732">
        <v>-650804.80000000005</v>
      </c>
    </row>
    <row r="178" spans="1:5">
      <c r="A178" s="731" t="s">
        <v>2843</v>
      </c>
      <c r="B178" s="732">
        <v>0</v>
      </c>
      <c r="C178" s="732">
        <v>0</v>
      </c>
      <c r="D178" s="732">
        <v>0</v>
      </c>
      <c r="E178" s="732">
        <v>0</v>
      </c>
    </row>
    <row r="179" spans="1:5">
      <c r="A179" s="731" t="s">
        <v>2849</v>
      </c>
      <c r="B179" s="732">
        <v>345667.9</v>
      </c>
      <c r="C179" s="732">
        <v>0</v>
      </c>
      <c r="D179" s="732">
        <v>0</v>
      </c>
      <c r="E179" s="732">
        <v>-345667.9</v>
      </c>
    </row>
    <row r="180" spans="1:5">
      <c r="A180" s="731" t="s">
        <v>269</v>
      </c>
      <c r="B180" s="732">
        <v>18268501.690000001</v>
      </c>
      <c r="C180" s="732">
        <v>1756361.9200000002</v>
      </c>
      <c r="D180" s="732">
        <v>354372.3</v>
      </c>
      <c r="E180" s="732">
        <v>-16866512.07</v>
      </c>
    </row>
    <row r="181" spans="1:5">
      <c r="A181" s="731" t="s">
        <v>270</v>
      </c>
      <c r="B181" s="732">
        <v>1520185.71</v>
      </c>
      <c r="C181" s="732">
        <v>0</v>
      </c>
      <c r="D181" s="732">
        <v>3101229.09</v>
      </c>
      <c r="E181" s="732">
        <v>-4621414.8</v>
      </c>
    </row>
    <row r="182" spans="1:5">
      <c r="A182" s="731" t="s">
        <v>271</v>
      </c>
      <c r="B182" s="732">
        <v>6222234.3200000003</v>
      </c>
      <c r="C182" s="732">
        <v>416726.51</v>
      </c>
      <c r="D182" s="732">
        <v>1901463.6099999999</v>
      </c>
      <c r="E182" s="732">
        <v>-7698597.1200000001</v>
      </c>
    </row>
    <row r="183" spans="1:5">
      <c r="A183" s="731" t="s">
        <v>272</v>
      </c>
      <c r="B183" s="732">
        <v>76097</v>
      </c>
      <c r="C183" s="732">
        <v>0</v>
      </c>
      <c r="D183" s="732">
        <v>10000</v>
      </c>
      <c r="E183" s="732">
        <v>-86097</v>
      </c>
    </row>
    <row r="184" spans="1:5">
      <c r="A184" s="731" t="s">
        <v>273</v>
      </c>
      <c r="B184" s="732">
        <v>0</v>
      </c>
      <c r="C184" s="732">
        <v>0</v>
      </c>
      <c r="D184" s="732">
        <v>0</v>
      </c>
      <c r="E184" s="732">
        <v>0</v>
      </c>
    </row>
    <row r="185" spans="1:5">
      <c r="A185" s="731" t="s">
        <v>307</v>
      </c>
      <c r="B185" s="732">
        <v>3790899.57</v>
      </c>
      <c r="C185" s="732">
        <v>4735826.07</v>
      </c>
      <c r="D185" s="732">
        <v>4656142.7</v>
      </c>
      <c r="E185" s="732">
        <v>-3711216.2</v>
      </c>
    </row>
    <row r="186" spans="1:5">
      <c r="A186" s="731" t="s">
        <v>308</v>
      </c>
      <c r="B186" s="732">
        <v>0</v>
      </c>
      <c r="C186" s="732">
        <v>0</v>
      </c>
      <c r="D186" s="732">
        <v>0</v>
      </c>
      <c r="E186" s="732">
        <v>0</v>
      </c>
    </row>
    <row r="187" spans="1:5">
      <c r="A187" s="731" t="s">
        <v>275</v>
      </c>
      <c r="B187" s="732">
        <v>0</v>
      </c>
      <c r="C187" s="732">
        <v>0</v>
      </c>
      <c r="D187" s="732">
        <v>0</v>
      </c>
      <c r="E187" s="732">
        <v>0</v>
      </c>
    </row>
    <row r="188" spans="1:5">
      <c r="A188" s="731" t="s">
        <v>309</v>
      </c>
      <c r="B188" s="732">
        <v>3619798.2100000004</v>
      </c>
      <c r="C188" s="732">
        <v>483939.96</v>
      </c>
      <c r="D188" s="732">
        <v>1084965.22</v>
      </c>
      <c r="E188" s="732">
        <v>-4220823.47</v>
      </c>
    </row>
    <row r="189" spans="1:5">
      <c r="A189" s="731" t="s">
        <v>3146</v>
      </c>
      <c r="B189" s="732">
        <v>0</v>
      </c>
      <c r="C189" s="732">
        <v>0</v>
      </c>
      <c r="D189" s="732">
        <v>340000</v>
      </c>
      <c r="E189" s="732">
        <v>-340000</v>
      </c>
    </row>
    <row r="190" spans="1:5">
      <c r="A190" s="731" t="s">
        <v>3152</v>
      </c>
      <c r="B190" s="732">
        <v>0</v>
      </c>
      <c r="C190" s="732">
        <v>0</v>
      </c>
      <c r="D190" s="732">
        <v>0</v>
      </c>
      <c r="E190" s="732">
        <v>0</v>
      </c>
    </row>
    <row r="191" spans="1:5">
      <c r="A191" s="731" t="s">
        <v>276</v>
      </c>
      <c r="B191" s="732">
        <v>367699.49</v>
      </c>
      <c r="C191" s="732">
        <v>0</v>
      </c>
      <c r="D191" s="732">
        <v>0</v>
      </c>
      <c r="E191" s="732">
        <v>-367699.49</v>
      </c>
    </row>
    <row r="192" spans="1:5">
      <c r="A192" s="731" t="s">
        <v>3162</v>
      </c>
      <c r="B192" s="732">
        <v>0</v>
      </c>
      <c r="C192" s="732">
        <v>0</v>
      </c>
      <c r="D192" s="732">
        <v>0</v>
      </c>
      <c r="E192" s="732">
        <v>0</v>
      </c>
    </row>
    <row r="193" spans="1:5">
      <c r="A193" s="731" t="s">
        <v>277</v>
      </c>
      <c r="B193" s="732">
        <v>0</v>
      </c>
      <c r="C193" s="732">
        <v>3306.79</v>
      </c>
      <c r="D193" s="732">
        <v>3306.79</v>
      </c>
      <c r="E193" s="732">
        <v>0</v>
      </c>
    </row>
    <row r="194" spans="1:5">
      <c r="A194" s="731" t="s">
        <v>280</v>
      </c>
      <c r="B194" s="732">
        <v>0</v>
      </c>
      <c r="C194" s="732">
        <v>0</v>
      </c>
      <c r="D194" s="732">
        <v>0</v>
      </c>
      <c r="E194" s="732">
        <v>0</v>
      </c>
    </row>
    <row r="195" spans="1:5">
      <c r="A195" s="731" t="s">
        <v>281</v>
      </c>
      <c r="B195" s="732">
        <v>0</v>
      </c>
      <c r="C195" s="732">
        <v>0</v>
      </c>
      <c r="D195" s="732">
        <v>0</v>
      </c>
      <c r="E195" s="732">
        <v>0</v>
      </c>
    </row>
    <row r="196" spans="1:5">
      <c r="A196" s="731" t="s">
        <v>282</v>
      </c>
      <c r="B196" s="732">
        <v>0</v>
      </c>
      <c r="C196" s="732">
        <v>0</v>
      </c>
      <c r="D196" s="732">
        <v>0</v>
      </c>
      <c r="E196" s="732">
        <v>0</v>
      </c>
    </row>
    <row r="197" spans="1:5">
      <c r="A197" s="731" t="s">
        <v>284</v>
      </c>
      <c r="B197" s="732">
        <v>0</v>
      </c>
      <c r="C197" s="732">
        <v>0</v>
      </c>
      <c r="D197" s="732">
        <v>0</v>
      </c>
      <c r="E197" s="732">
        <v>0</v>
      </c>
    </row>
    <row r="198" spans="1:5">
      <c r="A198" s="731" t="s">
        <v>283</v>
      </c>
      <c r="B198" s="732">
        <v>0</v>
      </c>
      <c r="C198" s="732">
        <v>0</v>
      </c>
      <c r="D198" s="732">
        <v>0</v>
      </c>
      <c r="E198" s="732">
        <v>0</v>
      </c>
    </row>
    <row r="199" spans="1:5">
      <c r="A199" s="731" t="s">
        <v>285</v>
      </c>
      <c r="B199" s="732">
        <v>0</v>
      </c>
      <c r="C199" s="732">
        <v>0</v>
      </c>
      <c r="D199" s="732">
        <v>0</v>
      </c>
      <c r="E199" s="732">
        <v>0</v>
      </c>
    </row>
    <row r="200" spans="1:5">
      <c r="A200" s="731" t="s">
        <v>3216</v>
      </c>
      <c r="B200" s="732">
        <v>0</v>
      </c>
      <c r="C200" s="732">
        <v>0</v>
      </c>
      <c r="D200" s="732">
        <v>0</v>
      </c>
      <c r="E200" s="732">
        <v>0</v>
      </c>
    </row>
    <row r="201" spans="1:5">
      <c r="A201" s="731" t="s">
        <v>286</v>
      </c>
      <c r="B201" s="732">
        <v>0</v>
      </c>
      <c r="C201" s="732">
        <v>0</v>
      </c>
      <c r="D201" s="732">
        <v>807211</v>
      </c>
      <c r="E201" s="732">
        <v>-807211</v>
      </c>
    </row>
    <row r="202" spans="1:5">
      <c r="A202" s="731" t="s">
        <v>287</v>
      </c>
      <c r="B202" s="732">
        <v>0</v>
      </c>
      <c r="C202" s="732">
        <v>0</v>
      </c>
      <c r="D202" s="732">
        <v>0</v>
      </c>
      <c r="E202" s="732">
        <v>0</v>
      </c>
    </row>
    <row r="203" spans="1:5">
      <c r="A203" s="731" t="s">
        <v>3229</v>
      </c>
      <c r="B203" s="732">
        <v>0</v>
      </c>
      <c r="C203" s="732">
        <v>0</v>
      </c>
      <c r="D203" s="732">
        <v>0</v>
      </c>
      <c r="E203" s="732">
        <v>0</v>
      </c>
    </row>
    <row r="204" spans="1:5">
      <c r="A204" s="731" t="s">
        <v>288</v>
      </c>
      <c r="B204" s="732">
        <v>0</v>
      </c>
      <c r="C204" s="732">
        <v>313132571.24000001</v>
      </c>
      <c r="D204" s="732">
        <v>313132571.24000001</v>
      </c>
      <c r="E204" s="732">
        <v>0</v>
      </c>
    </row>
    <row r="205" spans="1:5">
      <c r="A205" s="731" t="s">
        <v>3237</v>
      </c>
      <c r="B205" s="732">
        <v>0</v>
      </c>
      <c r="C205" s="732">
        <v>0</v>
      </c>
      <c r="D205" s="732">
        <v>0</v>
      </c>
      <c r="E205" s="732">
        <v>0</v>
      </c>
    </row>
    <row r="206" spans="1:5">
      <c r="A206" s="731" t="s">
        <v>3241</v>
      </c>
      <c r="B206" s="732">
        <v>0</v>
      </c>
      <c r="C206" s="732">
        <v>0</v>
      </c>
      <c r="D206" s="732">
        <v>0</v>
      </c>
      <c r="E206" s="732">
        <v>0</v>
      </c>
    </row>
    <row r="207" spans="1:5">
      <c r="A207" s="731" t="s">
        <v>289</v>
      </c>
      <c r="B207" s="732">
        <v>0</v>
      </c>
      <c r="C207" s="732">
        <v>0</v>
      </c>
      <c r="D207" s="732">
        <v>0</v>
      </c>
      <c r="E207" s="732">
        <v>0</v>
      </c>
    </row>
    <row r="208" spans="1:5">
      <c r="A208" s="731" t="s">
        <v>3251</v>
      </c>
      <c r="B208" s="732">
        <v>0</v>
      </c>
      <c r="C208" s="732">
        <v>0</v>
      </c>
      <c r="D208" s="732">
        <v>0</v>
      </c>
      <c r="E208" s="732">
        <v>0</v>
      </c>
    </row>
    <row r="209" spans="1:5">
      <c r="A209" s="731" t="s">
        <v>298</v>
      </c>
      <c r="B209" s="732">
        <v>412</v>
      </c>
      <c r="C209" s="732">
        <v>271544.2</v>
      </c>
      <c r="D209" s="732">
        <v>271532.2</v>
      </c>
      <c r="E209" s="732">
        <v>-400</v>
      </c>
    </row>
    <row r="210" spans="1:5">
      <c r="A210" s="731" t="s">
        <v>290</v>
      </c>
      <c r="B210" s="732">
        <v>0</v>
      </c>
      <c r="C210" s="732">
        <v>0</v>
      </c>
      <c r="D210" s="732">
        <v>0</v>
      </c>
      <c r="E210" s="732">
        <v>0</v>
      </c>
    </row>
    <row r="211" spans="1:5">
      <c r="A211" s="731" t="s">
        <v>291</v>
      </c>
      <c r="B211" s="732">
        <v>0</v>
      </c>
      <c r="C211" s="732">
        <v>0</v>
      </c>
      <c r="D211" s="732">
        <v>0</v>
      </c>
      <c r="E211" s="732">
        <v>0</v>
      </c>
    </row>
    <row r="212" spans="1:5">
      <c r="A212" s="731" t="s">
        <v>292</v>
      </c>
      <c r="B212" s="732">
        <v>0</v>
      </c>
      <c r="C212" s="732">
        <v>0</v>
      </c>
      <c r="D212" s="732">
        <v>0</v>
      </c>
      <c r="E212" s="732">
        <v>0</v>
      </c>
    </row>
    <row r="213" spans="1:5">
      <c r="A213" s="731" t="s">
        <v>293</v>
      </c>
      <c r="B213" s="732">
        <v>0</v>
      </c>
      <c r="C213" s="732">
        <v>0</v>
      </c>
      <c r="D213" s="732">
        <v>0</v>
      </c>
      <c r="E213" s="732">
        <v>0</v>
      </c>
    </row>
    <row r="214" spans="1:5">
      <c r="A214" s="731" t="s">
        <v>294</v>
      </c>
      <c r="B214" s="732">
        <v>48712.5</v>
      </c>
      <c r="C214" s="732">
        <v>45371.3</v>
      </c>
      <c r="D214" s="732">
        <v>13295</v>
      </c>
      <c r="E214" s="732">
        <v>-16636.2</v>
      </c>
    </row>
    <row r="215" spans="1:5">
      <c r="A215" s="731" t="s">
        <v>295</v>
      </c>
      <c r="B215" s="732">
        <v>8519785.0800000001</v>
      </c>
      <c r="C215" s="732">
        <v>1137635.8900000001</v>
      </c>
      <c r="D215" s="732">
        <v>904131.97</v>
      </c>
      <c r="E215" s="732">
        <v>-8286281.1600000001</v>
      </c>
    </row>
    <row r="216" spans="1:5">
      <c r="A216" s="731" t="s">
        <v>3395</v>
      </c>
      <c r="B216" s="732">
        <v>0</v>
      </c>
      <c r="C216" s="732">
        <v>0</v>
      </c>
      <c r="D216" s="732">
        <v>0</v>
      </c>
      <c r="E216" s="732">
        <v>0</v>
      </c>
    </row>
    <row r="217" spans="1:5">
      <c r="A217" s="731" t="s">
        <v>3434</v>
      </c>
      <c r="B217" s="732">
        <v>0</v>
      </c>
      <c r="C217" s="732">
        <v>0</v>
      </c>
      <c r="D217" s="732">
        <v>0</v>
      </c>
      <c r="E217" s="732">
        <v>0</v>
      </c>
    </row>
    <row r="218" spans="1:5">
      <c r="A218" s="731" t="s">
        <v>3490</v>
      </c>
      <c r="B218" s="732">
        <v>0</v>
      </c>
      <c r="C218" s="732">
        <v>0</v>
      </c>
      <c r="D218" s="732">
        <v>0</v>
      </c>
      <c r="E218" s="732">
        <v>0</v>
      </c>
    </row>
    <row r="219" spans="1:5">
      <c r="A219" s="731" t="s">
        <v>296</v>
      </c>
      <c r="B219" s="732">
        <v>55421.43</v>
      </c>
      <c r="C219" s="732">
        <v>175914.26</v>
      </c>
      <c r="D219" s="732">
        <v>175593.76</v>
      </c>
      <c r="E219" s="732">
        <v>-55100.93</v>
      </c>
    </row>
    <row r="220" spans="1:5">
      <c r="A220" s="731" t="s">
        <v>3500</v>
      </c>
      <c r="B220" s="732">
        <v>0</v>
      </c>
      <c r="C220" s="732">
        <v>0</v>
      </c>
      <c r="D220" s="732">
        <v>0</v>
      </c>
      <c r="E220" s="732">
        <v>0</v>
      </c>
    </row>
    <row r="221" spans="1:5">
      <c r="A221" s="731" t="s">
        <v>3504</v>
      </c>
      <c r="B221" s="732">
        <v>0</v>
      </c>
      <c r="C221" s="732">
        <v>0</v>
      </c>
      <c r="D221" s="732">
        <v>0</v>
      </c>
      <c r="E221" s="732">
        <v>0</v>
      </c>
    </row>
    <row r="222" spans="1:5">
      <c r="A222" s="731" t="s">
        <v>3508</v>
      </c>
      <c r="B222" s="732">
        <v>0</v>
      </c>
      <c r="C222" s="732">
        <v>0</v>
      </c>
      <c r="D222" s="732">
        <v>0</v>
      </c>
      <c r="E222" s="732">
        <v>0</v>
      </c>
    </row>
    <row r="223" spans="1:5">
      <c r="A223" s="731" t="s">
        <v>3512</v>
      </c>
      <c r="B223" s="732">
        <v>0</v>
      </c>
      <c r="C223" s="732">
        <v>0</v>
      </c>
      <c r="D223" s="732">
        <v>0</v>
      </c>
      <c r="E223" s="732">
        <v>0</v>
      </c>
    </row>
    <row r="224" spans="1:5">
      <c r="A224" s="731" t="s">
        <v>3516</v>
      </c>
      <c r="B224" s="732">
        <v>0</v>
      </c>
      <c r="C224" s="732">
        <v>0</v>
      </c>
      <c r="D224" s="732">
        <v>0</v>
      </c>
      <c r="E224" s="732">
        <v>0</v>
      </c>
    </row>
    <row r="225" spans="1:7">
      <c r="A225" s="731" t="s">
        <v>304</v>
      </c>
      <c r="B225" s="732">
        <v>23407.75</v>
      </c>
      <c r="C225" s="732">
        <v>97078.82</v>
      </c>
      <c r="D225" s="732">
        <v>73671.070000000007</v>
      </c>
      <c r="E225" s="732">
        <v>0</v>
      </c>
    </row>
    <row r="226" spans="1:7">
      <c r="A226" s="731" t="s">
        <v>305</v>
      </c>
      <c r="B226" s="732">
        <v>0</v>
      </c>
      <c r="C226" s="732">
        <v>0</v>
      </c>
      <c r="D226" s="732">
        <v>0</v>
      </c>
      <c r="E226" s="732">
        <v>0</v>
      </c>
    </row>
    <row r="227" spans="1:7">
      <c r="A227" s="731" t="s">
        <v>306</v>
      </c>
      <c r="B227" s="732">
        <v>0</v>
      </c>
      <c r="C227" s="732">
        <v>0</v>
      </c>
      <c r="D227" s="732">
        <v>0</v>
      </c>
      <c r="E227" s="732">
        <v>0</v>
      </c>
    </row>
    <row r="228" spans="1:7">
      <c r="A228" s="731" t="s">
        <v>3544</v>
      </c>
      <c r="B228" s="732">
        <v>2099.7399999999998</v>
      </c>
      <c r="C228" s="732">
        <v>0</v>
      </c>
      <c r="D228" s="732">
        <v>0</v>
      </c>
      <c r="E228" s="732">
        <v>-2099.7399999999998</v>
      </c>
    </row>
    <row r="229" spans="1:7">
      <c r="A229" s="731" t="s">
        <v>3568</v>
      </c>
      <c r="B229" s="732">
        <v>0</v>
      </c>
      <c r="C229" s="732">
        <v>0</v>
      </c>
      <c r="D229" s="732">
        <v>0</v>
      </c>
      <c r="E229" s="732">
        <v>0</v>
      </c>
    </row>
    <row r="230" spans="1:7">
      <c r="A230" s="731" t="s">
        <v>301</v>
      </c>
      <c r="B230" s="732">
        <v>0</v>
      </c>
      <c r="C230" s="732">
        <v>0</v>
      </c>
      <c r="D230" s="732">
        <v>0</v>
      </c>
      <c r="E230" s="732">
        <v>0</v>
      </c>
    </row>
    <row r="231" spans="1:7">
      <c r="A231" s="731" t="s">
        <v>3590</v>
      </c>
      <c r="B231" s="732">
        <v>48430454.140000001</v>
      </c>
      <c r="C231" s="732">
        <v>304730034.86000007</v>
      </c>
      <c r="D231" s="732">
        <v>299056238.80999994</v>
      </c>
      <c r="E231" s="732">
        <v>-42672675.43</v>
      </c>
    </row>
    <row r="232" spans="1:7">
      <c r="A232" s="731" t="s">
        <v>3638</v>
      </c>
      <c r="B232" s="732">
        <v>208922.07</v>
      </c>
      <c r="C232" s="732">
        <v>303558.31</v>
      </c>
      <c r="D232" s="732">
        <v>208922.07</v>
      </c>
      <c r="E232" s="732">
        <v>303558.31</v>
      </c>
    </row>
    <row r="233" spans="1:7" s="723" customFormat="1">
      <c r="A233" s="757" t="s">
        <v>278</v>
      </c>
      <c r="B233" s="737">
        <v>236247.86</v>
      </c>
      <c r="C233" s="737">
        <v>1772218387.1999998</v>
      </c>
      <c r="D233" s="737">
        <v>1784441456.3199997</v>
      </c>
      <c r="E233" s="737">
        <v>-12457277.880000001</v>
      </c>
    </row>
    <row r="234" spans="1:7">
      <c r="A234" s="731" t="s">
        <v>302</v>
      </c>
      <c r="B234" s="732">
        <v>8313110.7400000002</v>
      </c>
      <c r="C234" s="732">
        <v>71145315.529999986</v>
      </c>
      <c r="D234" s="732">
        <v>70183732.810000002</v>
      </c>
      <c r="E234" s="732">
        <v>-7192014.6200000001</v>
      </c>
    </row>
    <row r="235" spans="1:7">
      <c r="A235" s="731" t="s">
        <v>303</v>
      </c>
      <c r="B235" s="732">
        <v>8579852.4400000013</v>
      </c>
      <c r="C235" s="732">
        <v>44544620.060000002</v>
      </c>
      <c r="D235" s="732">
        <v>48313141.789999999</v>
      </c>
      <c r="E235" s="732">
        <v>-12348374.17</v>
      </c>
    </row>
    <row r="236" spans="1:7">
      <c r="A236" s="731" t="s">
        <v>279</v>
      </c>
      <c r="B236" s="732">
        <v>0</v>
      </c>
      <c r="C236" s="732">
        <v>0</v>
      </c>
      <c r="D236" s="732">
        <v>0</v>
      </c>
      <c r="E236" s="732">
        <v>0</v>
      </c>
    </row>
    <row r="237" spans="1:7">
      <c r="A237" s="731" t="s">
        <v>607</v>
      </c>
      <c r="B237" s="732">
        <v>22622107.140000008</v>
      </c>
      <c r="C237" s="732">
        <v>277236394.44</v>
      </c>
      <c r="D237" s="732">
        <v>272260772.42999995</v>
      </c>
      <c r="E237" s="732">
        <v>-17646485.129999995</v>
      </c>
      <c r="G237">
        <f>GETPIVOTDATA("Somma di SALDO",$A$3,"AGGR","PDA360")-GETPIVOTDATA("Somma di SALDO MOV",$A$3,"AGGR","PDA360")+GETPIVOTDATA("Somma di SALDO MOV2",$A$3,"AGGR","PDA360")</f>
        <v>17646485.129999965</v>
      </c>
    </row>
    <row r="238" spans="1:7">
      <c r="A238" s="731" t="s">
        <v>608</v>
      </c>
      <c r="B238" s="732">
        <v>0</v>
      </c>
      <c r="C238" s="732">
        <v>0</v>
      </c>
      <c r="D238" s="732">
        <v>0</v>
      </c>
      <c r="E238" s="732">
        <v>0</v>
      </c>
    </row>
    <row r="239" spans="1:7">
      <c r="A239" s="731" t="s">
        <v>609</v>
      </c>
      <c r="B239" s="732">
        <v>720754.39999999991</v>
      </c>
      <c r="C239" s="732">
        <v>11139430.870000001</v>
      </c>
      <c r="D239" s="732">
        <v>11665196.17</v>
      </c>
      <c r="E239" s="732">
        <v>-1246519.7</v>
      </c>
    </row>
    <row r="240" spans="1:7">
      <c r="A240" s="731" t="s">
        <v>11908</v>
      </c>
      <c r="B240" s="732">
        <v>0</v>
      </c>
      <c r="C240" s="732">
        <v>0</v>
      </c>
      <c r="D240" s="732">
        <v>0</v>
      </c>
      <c r="E240" s="732">
        <v>0</v>
      </c>
    </row>
    <row r="241" spans="1:5">
      <c r="A241" s="731" t="s">
        <v>4540</v>
      </c>
      <c r="B241" s="732">
        <v>0</v>
      </c>
      <c r="C241" s="732">
        <v>0</v>
      </c>
      <c r="D241" s="732">
        <v>0</v>
      </c>
      <c r="E241" s="732">
        <v>0</v>
      </c>
    </row>
    <row r="242" spans="1:5">
      <c r="A242" s="731" t="s">
        <v>4546</v>
      </c>
      <c r="B242" s="732">
        <v>2527933.66</v>
      </c>
      <c r="C242" s="732">
        <v>607000</v>
      </c>
      <c r="D242" s="732">
        <v>0</v>
      </c>
      <c r="E242" s="732">
        <v>-1920933.66</v>
      </c>
    </row>
    <row r="243" spans="1:5">
      <c r="A243" s="731" t="s">
        <v>4581</v>
      </c>
      <c r="B243" s="732">
        <v>0</v>
      </c>
      <c r="C243" s="732">
        <v>0</v>
      </c>
      <c r="D243" s="732">
        <v>0</v>
      </c>
      <c r="E243" s="732">
        <v>0</v>
      </c>
    </row>
    <row r="244" spans="1:5">
      <c r="A244" s="731" t="s">
        <v>4590</v>
      </c>
      <c r="B244" s="732">
        <v>0</v>
      </c>
      <c r="C244" s="732">
        <v>0</v>
      </c>
      <c r="D244" s="732">
        <v>0</v>
      </c>
      <c r="E244" s="732">
        <v>0</v>
      </c>
    </row>
    <row r="245" spans="1:5">
      <c r="A245" s="731" t="s">
        <v>610</v>
      </c>
      <c r="B245" s="732">
        <v>0</v>
      </c>
      <c r="C245" s="732">
        <v>0</v>
      </c>
      <c r="D245" s="732">
        <v>0</v>
      </c>
      <c r="E245" s="732">
        <v>0</v>
      </c>
    </row>
    <row r="246" spans="1:5">
      <c r="A246" s="731" t="s">
        <v>611</v>
      </c>
      <c r="B246" s="732">
        <v>0</v>
      </c>
      <c r="C246" s="732">
        <v>0</v>
      </c>
      <c r="D246" s="732">
        <v>0</v>
      </c>
      <c r="E246" s="732">
        <v>0</v>
      </c>
    </row>
    <row r="247" spans="1:5">
      <c r="A247" s="731" t="s">
        <v>612</v>
      </c>
      <c r="B247" s="732">
        <v>287897837.58999997</v>
      </c>
      <c r="C247" s="732">
        <v>0</v>
      </c>
      <c r="D247" s="732">
        <v>0</v>
      </c>
      <c r="E247" s="732">
        <v>-287897837.58999997</v>
      </c>
    </row>
    <row r="248" spans="1:5">
      <c r="A248" s="731" t="s">
        <v>4601</v>
      </c>
      <c r="B248" s="732">
        <v>0</v>
      </c>
      <c r="C248" s="732">
        <v>0</v>
      </c>
      <c r="D248" s="732">
        <v>0</v>
      </c>
      <c r="E248" s="732">
        <v>0</v>
      </c>
    </row>
    <row r="249" spans="1:5">
      <c r="A249" s="731" t="s">
        <v>613</v>
      </c>
      <c r="B249" s="732">
        <v>3086241.38</v>
      </c>
      <c r="C249" s="732">
        <v>0</v>
      </c>
      <c r="D249" s="732">
        <v>0</v>
      </c>
      <c r="E249" s="732">
        <v>-3086241.38</v>
      </c>
    </row>
    <row r="250" spans="1:5">
      <c r="A250" s="731" t="s">
        <v>12925</v>
      </c>
      <c r="B250" s="732">
        <v>4175344896.0300007</v>
      </c>
      <c r="C250" s="732">
        <v>18666517744.740002</v>
      </c>
      <c r="D250" s="732">
        <v>18668387264.540005</v>
      </c>
      <c r="E250" s="732">
        <v>17990272.529999845</v>
      </c>
    </row>
    <row r="251" spans="1:5">
      <c r="A251" s="731" t="s">
        <v>12920</v>
      </c>
      <c r="B251" s="732">
        <v>5494635204.7000008</v>
      </c>
      <c r="C251" s="732">
        <v>23331185872.200001</v>
      </c>
      <c r="D251" s="732">
        <v>23330438861.750004</v>
      </c>
      <c r="E251" s="732">
        <v>747010.44999967888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39997558519241921"/>
  </sheetPr>
  <dimension ref="A1:T4424"/>
  <sheetViews>
    <sheetView workbookViewId="0"/>
  </sheetViews>
  <sheetFormatPr defaultRowHeight="15"/>
  <cols>
    <col min="5" max="5" width="14.42578125" bestFit="1" customWidth="1"/>
    <col min="6" max="6" width="87.42578125" customWidth="1"/>
    <col min="7" max="8" width="13.85546875" customWidth="1"/>
    <col min="9" max="9" width="13.85546875" bestFit="1" customWidth="1"/>
    <col min="10" max="11" width="15.42578125" customWidth="1"/>
    <col min="12" max="13" width="9.7109375" customWidth="1"/>
    <col min="14" max="15" width="15.42578125" customWidth="1"/>
    <col min="16" max="16" width="20.7109375" bestFit="1" customWidth="1"/>
    <col min="17" max="17" width="12.7109375" style="724" bestFit="1" customWidth="1"/>
    <col min="18" max="19" width="12.7109375" bestFit="1" customWidth="1"/>
    <col min="20" max="20" width="10.140625" bestFit="1" customWidth="1"/>
  </cols>
  <sheetData>
    <row r="1" spans="1:18">
      <c r="G1" s="1374">
        <v>2023</v>
      </c>
      <c r="H1" s="1375"/>
      <c r="I1" s="1376"/>
      <c r="J1" s="1377">
        <v>2024</v>
      </c>
      <c r="K1" s="1377"/>
      <c r="L1" s="1377"/>
      <c r="M1" s="1377"/>
      <c r="N1" s="1377"/>
      <c r="O1" s="1377"/>
      <c r="P1" s="1377"/>
    </row>
    <row r="2" spans="1:18">
      <c r="A2" t="s">
        <v>11912</v>
      </c>
      <c r="B2" t="s">
        <v>11913</v>
      </c>
      <c r="C2" t="s">
        <v>11914</v>
      </c>
      <c r="D2" t="s">
        <v>11915</v>
      </c>
      <c r="E2" t="s">
        <v>622</v>
      </c>
      <c r="F2" t="s">
        <v>11916</v>
      </c>
      <c r="G2" s="712" t="s">
        <v>11917</v>
      </c>
      <c r="H2" t="s">
        <v>11917</v>
      </c>
      <c r="I2" s="713" t="s">
        <v>11918</v>
      </c>
      <c r="J2" t="s">
        <v>11919</v>
      </c>
      <c r="K2" t="s">
        <v>11919</v>
      </c>
      <c r="L2" t="s">
        <v>11920</v>
      </c>
      <c r="M2" t="s">
        <v>11920</v>
      </c>
      <c r="N2" t="s">
        <v>11921</v>
      </c>
      <c r="O2" t="s">
        <v>11921</v>
      </c>
      <c r="P2" t="s">
        <v>11918</v>
      </c>
      <c r="Q2" s="725" t="s">
        <v>12918</v>
      </c>
    </row>
    <row r="3" spans="1:18">
      <c r="G3" s="719" t="s">
        <v>11922</v>
      </c>
      <c r="H3" s="720" t="s">
        <v>11923</v>
      </c>
      <c r="I3" s="721"/>
      <c r="J3" s="720" t="s">
        <v>11922</v>
      </c>
      <c r="K3" s="720" t="s">
        <v>11923</v>
      </c>
      <c r="L3" s="720" t="s">
        <v>11922</v>
      </c>
      <c r="M3" s="720" t="s">
        <v>11923</v>
      </c>
      <c r="N3" s="720" t="s">
        <v>11922</v>
      </c>
      <c r="O3" s="720" t="s">
        <v>11923</v>
      </c>
      <c r="P3" s="720"/>
      <c r="Q3" s="725" t="s">
        <v>12918</v>
      </c>
      <c r="R3" t="s">
        <v>12927</v>
      </c>
    </row>
    <row r="4" spans="1:18">
      <c r="A4">
        <v>1</v>
      </c>
      <c r="F4" t="s">
        <v>629</v>
      </c>
      <c r="G4" s="714">
        <v>399109659.45999998</v>
      </c>
      <c r="H4" s="711">
        <v>100979291.34999999</v>
      </c>
      <c r="I4" s="715">
        <v>298130368.11000001</v>
      </c>
      <c r="J4" s="711">
        <v>1838302083.0999999</v>
      </c>
      <c r="K4" s="711">
        <v>1832111744.45</v>
      </c>
      <c r="L4">
        <v>0</v>
      </c>
      <c r="M4">
        <v>0</v>
      </c>
      <c r="N4" s="711">
        <v>2237411742.5599999</v>
      </c>
      <c r="O4" s="711">
        <v>1933091035.8</v>
      </c>
      <c r="P4" s="711">
        <v>304320706.75999999</v>
      </c>
    </row>
    <row r="5" spans="1:18">
      <c r="A5">
        <v>1</v>
      </c>
      <c r="B5" t="s">
        <v>11924</v>
      </c>
      <c r="F5" t="s">
        <v>631</v>
      </c>
      <c r="G5" s="714">
        <v>192115518.69</v>
      </c>
      <c r="H5" s="711">
        <v>89799172</v>
      </c>
      <c r="I5" s="715">
        <v>102316346.69</v>
      </c>
      <c r="J5" s="711">
        <v>20420777.920000002</v>
      </c>
      <c r="K5" s="711">
        <v>17005984.199999999</v>
      </c>
      <c r="L5">
        <v>0</v>
      </c>
      <c r="M5">
        <v>0</v>
      </c>
      <c r="N5" s="711">
        <v>212536296.61000001</v>
      </c>
      <c r="O5" s="711">
        <v>106805156.2</v>
      </c>
      <c r="P5" s="711">
        <v>105731140.41</v>
      </c>
    </row>
    <row r="6" spans="1:18" ht="15.75" thickBot="1">
      <c r="A6">
        <v>1</v>
      </c>
      <c r="B6" t="s">
        <v>11924</v>
      </c>
      <c r="C6" t="s">
        <v>11925</v>
      </c>
      <c r="F6" s="744" t="s">
        <v>4</v>
      </c>
      <c r="G6" s="741">
        <v>69780007.980000004</v>
      </c>
      <c r="H6" s="742">
        <v>16269514.390000001</v>
      </c>
      <c r="I6" s="743">
        <v>53510493.590000004</v>
      </c>
      <c r="J6" s="742">
        <v>10115749.310000001</v>
      </c>
      <c r="K6" s="742">
        <v>4531025.12</v>
      </c>
      <c r="L6" s="740">
        <v>0</v>
      </c>
      <c r="M6" s="740">
        <v>0</v>
      </c>
      <c r="N6" s="742">
        <v>79895757.290000007</v>
      </c>
      <c r="O6" s="742">
        <v>20800539.510000002</v>
      </c>
      <c r="P6" s="742">
        <v>59095217.780000001</v>
      </c>
    </row>
    <row r="7" spans="1:18" ht="15.75" thickBot="1">
      <c r="A7" s="727">
        <v>1</v>
      </c>
      <c r="B7" s="727" t="s">
        <v>11924</v>
      </c>
      <c r="C7" s="727" t="s">
        <v>11925</v>
      </c>
      <c r="D7" s="727" t="s">
        <v>11926</v>
      </c>
      <c r="E7" s="727"/>
      <c r="F7" s="729" t="s">
        <v>11927</v>
      </c>
      <c r="G7" s="738">
        <v>0</v>
      </c>
      <c r="H7" s="738">
        <v>0</v>
      </c>
      <c r="I7" s="738">
        <v>0</v>
      </c>
      <c r="J7" s="738">
        <v>0</v>
      </c>
      <c r="K7" s="738">
        <v>0</v>
      </c>
      <c r="L7" s="738">
        <v>0</v>
      </c>
      <c r="M7" s="738">
        <v>0</v>
      </c>
      <c r="N7" s="738">
        <v>0</v>
      </c>
      <c r="O7" s="738">
        <v>0</v>
      </c>
      <c r="P7" s="738">
        <v>0</v>
      </c>
    </row>
    <row r="8" spans="1:18">
      <c r="A8">
        <v>1</v>
      </c>
      <c r="B8" t="s">
        <v>11924</v>
      </c>
      <c r="C8" t="s">
        <v>11925</v>
      </c>
      <c r="D8" t="s">
        <v>11926</v>
      </c>
      <c r="E8" t="s">
        <v>640</v>
      </c>
      <c r="F8" t="s">
        <v>641</v>
      </c>
      <c r="G8" s="712">
        <v>0</v>
      </c>
      <c r="H8">
        <v>0</v>
      </c>
      <c r="I8" s="713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724" t="str">
        <f>VLOOKUP($E8,SP_2024_v28062025!$E$2:$M$1751,9,FALSE)</f>
        <v>AAA020</v>
      </c>
    </row>
    <row r="9" spans="1:18" ht="15.75" thickBot="1">
      <c r="A9">
        <v>1</v>
      </c>
      <c r="B9" t="s">
        <v>11924</v>
      </c>
      <c r="C9" t="s">
        <v>11925</v>
      </c>
      <c r="D9" t="s">
        <v>11926</v>
      </c>
      <c r="E9" t="s">
        <v>645</v>
      </c>
      <c r="F9" t="s">
        <v>646</v>
      </c>
      <c r="G9" s="712">
        <v>0</v>
      </c>
      <c r="H9">
        <v>0</v>
      </c>
      <c r="I9" s="713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724" t="str">
        <f>VLOOKUP($E9,SP_2024_v28062025!$E$2:$M$1751,9,FALSE)</f>
        <v>AAA030</v>
      </c>
    </row>
    <row r="10" spans="1:18" ht="15.75" thickBot="1">
      <c r="A10" s="727">
        <v>1</v>
      </c>
      <c r="B10" s="727" t="s">
        <v>11924</v>
      </c>
      <c r="C10" s="727" t="s">
        <v>11925</v>
      </c>
      <c r="D10" s="727" t="s">
        <v>11928</v>
      </c>
      <c r="E10" s="727"/>
      <c r="F10" s="729" t="s">
        <v>651</v>
      </c>
      <c r="G10" s="738">
        <v>0</v>
      </c>
      <c r="H10" s="738">
        <v>0</v>
      </c>
      <c r="I10" s="738">
        <v>0</v>
      </c>
      <c r="J10" s="738">
        <v>0</v>
      </c>
      <c r="K10" s="738">
        <v>0</v>
      </c>
      <c r="L10" s="738">
        <v>0</v>
      </c>
      <c r="M10" s="738">
        <v>0</v>
      </c>
      <c r="N10" s="738">
        <v>0</v>
      </c>
      <c r="O10" s="738">
        <v>0</v>
      </c>
      <c r="P10" s="738">
        <v>0</v>
      </c>
    </row>
    <row r="11" spans="1:18">
      <c r="A11">
        <v>1</v>
      </c>
      <c r="B11" t="s">
        <v>11924</v>
      </c>
      <c r="C11" t="s">
        <v>11925</v>
      </c>
      <c r="D11" t="s">
        <v>11928</v>
      </c>
      <c r="E11" t="s">
        <v>655</v>
      </c>
      <c r="F11" t="s">
        <v>656</v>
      </c>
      <c r="G11" s="712">
        <v>0</v>
      </c>
      <c r="H11">
        <v>0</v>
      </c>
      <c r="I11" s="713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 s="724" t="str">
        <f>VLOOKUP($E11,SP_2024_v28062025!$E$2:$M$1751,9,FALSE)</f>
        <v>AAA050</v>
      </c>
    </row>
    <row r="12" spans="1:18">
      <c r="A12">
        <v>1</v>
      </c>
      <c r="B12" t="s">
        <v>11924</v>
      </c>
      <c r="C12" t="s">
        <v>11925</v>
      </c>
      <c r="D12" t="s">
        <v>11928</v>
      </c>
      <c r="E12" t="s">
        <v>660</v>
      </c>
      <c r="F12" t="s">
        <v>661</v>
      </c>
      <c r="G12" s="712">
        <v>0</v>
      </c>
      <c r="H12">
        <v>0</v>
      </c>
      <c r="I12" s="713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724" t="str">
        <f>VLOOKUP($E12,SP_2024_v28062025!$E$2:$M$1751,9,FALSE)</f>
        <v>AAA050</v>
      </c>
    </row>
    <row r="13" spans="1:18">
      <c r="A13">
        <v>1</v>
      </c>
      <c r="B13" t="s">
        <v>11924</v>
      </c>
      <c r="C13" t="s">
        <v>11925</v>
      </c>
      <c r="D13" t="s">
        <v>11928</v>
      </c>
      <c r="E13" t="s">
        <v>662</v>
      </c>
      <c r="F13" t="s">
        <v>663</v>
      </c>
      <c r="G13" s="712">
        <v>0</v>
      </c>
      <c r="H13">
        <v>0</v>
      </c>
      <c r="I13" s="7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s="724" t="str">
        <f>VLOOKUP($E13,SP_2024_v28062025!$E$2:$M$1751,9,FALSE)</f>
        <v>AAA060</v>
      </c>
    </row>
    <row r="14" spans="1:18" ht="15.75" thickBot="1">
      <c r="A14">
        <v>1</v>
      </c>
      <c r="B14" t="s">
        <v>11924</v>
      </c>
      <c r="C14" t="s">
        <v>11925</v>
      </c>
      <c r="D14" t="s">
        <v>11928</v>
      </c>
      <c r="E14" t="s">
        <v>667</v>
      </c>
      <c r="F14" t="s">
        <v>668</v>
      </c>
      <c r="G14" s="712">
        <v>0</v>
      </c>
      <c r="H14">
        <v>0</v>
      </c>
      <c r="I14" s="713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724" t="str">
        <f>VLOOKUP($E14,SP_2024_v28062025!$E$2:$M$1751,9,FALSE)</f>
        <v>AAA060</v>
      </c>
    </row>
    <row r="15" spans="1:18" ht="15.75" thickBot="1">
      <c r="A15" s="727">
        <v>1</v>
      </c>
      <c r="B15" s="727" t="s">
        <v>11924</v>
      </c>
      <c r="C15" s="727" t="s">
        <v>11925</v>
      </c>
      <c r="D15" s="727" t="s">
        <v>11929</v>
      </c>
      <c r="E15" s="727"/>
      <c r="F15" s="729" t="s">
        <v>669</v>
      </c>
      <c r="G15" s="738">
        <v>0</v>
      </c>
      <c r="H15" s="738">
        <v>0</v>
      </c>
      <c r="I15" s="738">
        <v>0</v>
      </c>
      <c r="J15" s="738">
        <v>0</v>
      </c>
      <c r="K15" s="738">
        <v>0</v>
      </c>
      <c r="L15" s="738">
        <v>0</v>
      </c>
      <c r="M15" s="738">
        <v>0</v>
      </c>
      <c r="N15" s="738">
        <v>0</v>
      </c>
      <c r="O15" s="738">
        <v>0</v>
      </c>
      <c r="P15" s="738">
        <v>0</v>
      </c>
    </row>
    <row r="16" spans="1:18">
      <c r="A16">
        <v>1</v>
      </c>
      <c r="B16" t="s">
        <v>11924</v>
      </c>
      <c r="C16" t="s">
        <v>11925</v>
      </c>
      <c r="D16" t="s">
        <v>11929</v>
      </c>
      <c r="E16" t="s">
        <v>674</v>
      </c>
      <c r="F16" t="s">
        <v>675</v>
      </c>
      <c r="G16" s="712">
        <v>0</v>
      </c>
      <c r="H16">
        <v>0</v>
      </c>
      <c r="I16" s="713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724" t="str">
        <f>VLOOKUP($E16,SP_2024_v28062025!$E$2:$M$1751,9,FALSE)</f>
        <v>AAA080</v>
      </c>
    </row>
    <row r="17" spans="1:18">
      <c r="A17">
        <v>1</v>
      </c>
      <c r="B17" t="s">
        <v>11924</v>
      </c>
      <c r="C17" t="s">
        <v>11925</v>
      </c>
      <c r="D17" t="s">
        <v>11929</v>
      </c>
      <c r="E17" t="s">
        <v>678</v>
      </c>
      <c r="F17" t="s">
        <v>679</v>
      </c>
      <c r="G17" s="712">
        <v>0</v>
      </c>
      <c r="H17">
        <v>0</v>
      </c>
      <c r="I17" s="713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s="724" t="str">
        <f>VLOOKUP($E17,SP_2024_v28062025!$E$2:$M$1751,9,FALSE)</f>
        <v>AAA080</v>
      </c>
    </row>
    <row r="18" spans="1:18">
      <c r="A18">
        <v>1</v>
      </c>
      <c r="B18" t="s">
        <v>11924</v>
      </c>
      <c r="C18" t="s">
        <v>11925</v>
      </c>
      <c r="D18" t="s">
        <v>11929</v>
      </c>
      <c r="E18" t="s">
        <v>680</v>
      </c>
      <c r="F18" t="s">
        <v>681</v>
      </c>
      <c r="G18" s="712">
        <v>0</v>
      </c>
      <c r="H18">
        <v>0</v>
      </c>
      <c r="I18" s="713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724" t="str">
        <f>VLOOKUP($E18,SP_2024_v28062025!$E$2:$M$1751,9,FALSE)</f>
        <v>AAA090</v>
      </c>
    </row>
    <row r="19" spans="1:18">
      <c r="A19">
        <v>1</v>
      </c>
      <c r="B19" t="s">
        <v>11924</v>
      </c>
      <c r="C19" t="s">
        <v>11925</v>
      </c>
      <c r="D19" t="s">
        <v>11929</v>
      </c>
      <c r="E19" t="s">
        <v>684</v>
      </c>
      <c r="F19" t="s">
        <v>685</v>
      </c>
      <c r="G19" s="712">
        <v>0</v>
      </c>
      <c r="H19">
        <v>0</v>
      </c>
      <c r="I19" s="713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 s="724" t="str">
        <f>VLOOKUP($E19,SP_2024_v28062025!$E$2:$M$1751,9,FALSE)</f>
        <v>AAA090</v>
      </c>
    </row>
    <row r="20" spans="1:18">
      <c r="A20">
        <v>1</v>
      </c>
      <c r="B20" t="s">
        <v>11924</v>
      </c>
      <c r="C20" t="s">
        <v>11925</v>
      </c>
      <c r="D20" t="s">
        <v>11929</v>
      </c>
      <c r="E20" t="s">
        <v>686</v>
      </c>
      <c r="F20" t="s">
        <v>687</v>
      </c>
      <c r="G20" s="712">
        <v>0</v>
      </c>
      <c r="H20">
        <v>0</v>
      </c>
      <c r="I20" s="713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 s="724" t="str">
        <f>VLOOKUP($E20,SP_2024_v28062025!$E$2:$M$1751,9,FALSE)</f>
        <v>AAA100</v>
      </c>
    </row>
    <row r="21" spans="1:18" ht="15.75" thickBot="1">
      <c r="A21">
        <v>1</v>
      </c>
      <c r="B21" t="s">
        <v>11924</v>
      </c>
      <c r="C21" t="s">
        <v>11925</v>
      </c>
      <c r="D21" t="s">
        <v>11929</v>
      </c>
      <c r="E21" t="s">
        <v>691</v>
      </c>
      <c r="F21" t="s">
        <v>692</v>
      </c>
      <c r="G21" s="712">
        <v>0</v>
      </c>
      <c r="H21">
        <v>0</v>
      </c>
      <c r="I21" s="713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724" t="str">
        <f>VLOOKUP($E21,SP_2024_v28062025!$E$2:$M$1751,9,FALSE)</f>
        <v>AAA110</v>
      </c>
    </row>
    <row r="22" spans="1:18" ht="15.75" thickBot="1">
      <c r="A22" s="727">
        <v>1</v>
      </c>
      <c r="B22" s="727" t="s">
        <v>11924</v>
      </c>
      <c r="C22" s="727" t="s">
        <v>11925</v>
      </c>
      <c r="D22" s="727" t="s">
        <v>11930</v>
      </c>
      <c r="E22" s="727"/>
      <c r="F22" s="729" t="s">
        <v>696</v>
      </c>
      <c r="G22" s="739">
        <v>33344224.079999998</v>
      </c>
      <c r="H22" s="738">
        <v>0</v>
      </c>
      <c r="I22" s="739">
        <v>33344224.079999998</v>
      </c>
      <c r="J22" s="739">
        <v>3933138.71</v>
      </c>
      <c r="K22" s="739">
        <v>2631313.88</v>
      </c>
      <c r="L22" s="738">
        <v>0</v>
      </c>
      <c r="M22" s="738">
        <v>0</v>
      </c>
      <c r="N22" s="739">
        <v>37277362.789999999</v>
      </c>
      <c r="O22" s="739">
        <v>2631313.88</v>
      </c>
      <c r="P22" s="739">
        <v>34646048.909999996</v>
      </c>
      <c r="R22" s="711">
        <f>I22+J22-K22</f>
        <v>34646048.909999996</v>
      </c>
    </row>
    <row r="23" spans="1:18">
      <c r="A23">
        <v>1</v>
      </c>
      <c r="B23" t="s">
        <v>11924</v>
      </c>
      <c r="C23" t="s">
        <v>11925</v>
      </c>
      <c r="D23" t="s">
        <v>11930</v>
      </c>
      <c r="E23" t="s">
        <v>700</v>
      </c>
      <c r="F23" t="s">
        <v>701</v>
      </c>
      <c r="G23" s="714">
        <v>32830058.260000002</v>
      </c>
      <c r="H23">
        <v>0</v>
      </c>
      <c r="I23" s="749">
        <v>32830058.260000002</v>
      </c>
      <c r="J23" s="750">
        <v>838340.83</v>
      </c>
      <c r="K23">
        <v>0</v>
      </c>
      <c r="L23">
        <v>0</v>
      </c>
      <c r="M23">
        <v>0</v>
      </c>
      <c r="N23" s="711">
        <v>33668399.090000004</v>
      </c>
      <c r="O23">
        <v>0</v>
      </c>
      <c r="P23" s="711">
        <v>33668399.090000004</v>
      </c>
      <c r="Q23" s="724" t="str">
        <f>VLOOKUP($E23,SP_2024_v28062025!$E$2:$M$1751,9,FALSE)</f>
        <v>AAA120</v>
      </c>
      <c r="R23" s="711"/>
    </row>
    <row r="24" spans="1:18">
      <c r="A24">
        <v>1</v>
      </c>
      <c r="B24" t="s">
        <v>11924</v>
      </c>
      <c r="C24" t="s">
        <v>11925</v>
      </c>
      <c r="D24" t="s">
        <v>11930</v>
      </c>
      <c r="E24" t="s">
        <v>702</v>
      </c>
      <c r="F24" t="s">
        <v>703</v>
      </c>
      <c r="G24" s="712">
        <v>0</v>
      </c>
      <c r="H24">
        <v>0</v>
      </c>
      <c r="I24" s="713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s="724" t="str">
        <f>VLOOKUP($E24,SP_2024_v28062025!$E$2:$M$1751,9,FALSE)</f>
        <v>AAA120</v>
      </c>
    </row>
    <row r="25" spans="1:18">
      <c r="A25">
        <v>1</v>
      </c>
      <c r="B25" t="s">
        <v>11924</v>
      </c>
      <c r="C25" t="s">
        <v>11925</v>
      </c>
      <c r="D25" t="s">
        <v>11930</v>
      </c>
      <c r="E25" t="s">
        <v>704</v>
      </c>
      <c r="F25" t="s">
        <v>705</v>
      </c>
      <c r="G25" s="712">
        <v>0</v>
      </c>
      <c r="H25">
        <v>0</v>
      </c>
      <c r="I25" s="713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s="724" t="str">
        <f>VLOOKUP($E25,SP_2024_v28062025!$E$2:$M$1751,9,FALSE)</f>
        <v>AAA120</v>
      </c>
    </row>
    <row r="26" spans="1:18">
      <c r="A26">
        <v>1</v>
      </c>
      <c r="B26" t="s">
        <v>11924</v>
      </c>
      <c r="C26" t="s">
        <v>11925</v>
      </c>
      <c r="D26" t="s">
        <v>11930</v>
      </c>
      <c r="E26" t="s">
        <v>706</v>
      </c>
      <c r="F26" t="s">
        <v>707</v>
      </c>
      <c r="G26" s="712">
        <v>0</v>
      </c>
      <c r="H26">
        <v>0</v>
      </c>
      <c r="I26" s="713">
        <v>0</v>
      </c>
      <c r="J26" s="750">
        <v>2640822.85</v>
      </c>
      <c r="K26" s="750">
        <v>2586558.12</v>
      </c>
      <c r="L26">
        <v>0</v>
      </c>
      <c r="M26">
        <v>0</v>
      </c>
      <c r="N26" s="711">
        <v>2640822.85</v>
      </c>
      <c r="O26" s="711">
        <v>2586558.12</v>
      </c>
      <c r="P26" s="711">
        <v>54264.73</v>
      </c>
      <c r="Q26" s="724" t="str">
        <f>VLOOKUP($E26,SP_2024_v28062025!$E$2:$M$1751,9,FALSE)</f>
        <v>AAA120</v>
      </c>
    </row>
    <row r="27" spans="1:18">
      <c r="A27">
        <v>1</v>
      </c>
      <c r="B27" t="s">
        <v>11924</v>
      </c>
      <c r="C27" t="s">
        <v>11925</v>
      </c>
      <c r="D27" t="s">
        <v>11930</v>
      </c>
      <c r="E27" t="s">
        <v>708</v>
      </c>
      <c r="F27" t="s">
        <v>709</v>
      </c>
      <c r="G27" s="712">
        <v>0</v>
      </c>
      <c r="H27">
        <v>0</v>
      </c>
      <c r="I27" s="713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 s="724" t="str">
        <f>VLOOKUP($E27,SP_2024_v28062025!$E$2:$M$1751,9,FALSE)</f>
        <v>AAA120</v>
      </c>
    </row>
    <row r="28" spans="1:18" ht="15.75" thickBot="1">
      <c r="A28">
        <v>1</v>
      </c>
      <c r="B28" t="s">
        <v>11924</v>
      </c>
      <c r="C28" t="s">
        <v>11925</v>
      </c>
      <c r="D28" t="s">
        <v>11930</v>
      </c>
      <c r="E28" t="s">
        <v>710</v>
      </c>
      <c r="F28" t="s">
        <v>711</v>
      </c>
      <c r="G28" s="714">
        <v>514165.82</v>
      </c>
      <c r="H28">
        <v>0</v>
      </c>
      <c r="I28" s="749">
        <v>514165.82</v>
      </c>
      <c r="J28" s="750">
        <v>453975.03</v>
      </c>
      <c r="K28" s="750">
        <v>44755.76</v>
      </c>
      <c r="L28">
        <v>0</v>
      </c>
      <c r="M28">
        <v>0</v>
      </c>
      <c r="N28" s="711">
        <v>968140.85</v>
      </c>
      <c r="O28" s="711">
        <v>44755.76</v>
      </c>
      <c r="P28" s="711">
        <v>923385.09</v>
      </c>
      <c r="Q28" s="724" t="str">
        <f>VLOOKUP($E28,SP_2024_v28062025!$E$2:$M$1751,9,FALSE)</f>
        <v>AAA120</v>
      </c>
    </row>
    <row r="29" spans="1:18" ht="15.75" thickBot="1">
      <c r="A29" s="727">
        <v>1</v>
      </c>
      <c r="B29" s="727" t="s">
        <v>11924</v>
      </c>
      <c r="C29" s="727" t="s">
        <v>11925</v>
      </c>
      <c r="D29" s="727" t="s">
        <v>11931</v>
      </c>
      <c r="E29" s="727"/>
      <c r="F29" s="729" t="s">
        <v>712</v>
      </c>
      <c r="G29" s="739">
        <v>2581096.5499999998</v>
      </c>
      <c r="H29" s="739">
        <v>1801326.69</v>
      </c>
      <c r="I29" s="739">
        <v>779769.86</v>
      </c>
      <c r="J29" s="739">
        <v>27658.76</v>
      </c>
      <c r="K29" s="739">
        <v>232310.83</v>
      </c>
      <c r="L29" s="738">
        <v>0</v>
      </c>
      <c r="M29" s="738">
        <v>0</v>
      </c>
      <c r="N29" s="739">
        <v>2608755.31</v>
      </c>
      <c r="O29" s="739">
        <v>2033637.52</v>
      </c>
      <c r="P29" s="739">
        <v>575117.79</v>
      </c>
      <c r="R29" s="711">
        <f>G29-H29</f>
        <v>779769.85999999987</v>
      </c>
    </row>
    <row r="30" spans="1:18">
      <c r="A30">
        <v>1</v>
      </c>
      <c r="B30" t="s">
        <v>11924</v>
      </c>
      <c r="C30" t="s">
        <v>11925</v>
      </c>
      <c r="D30" t="s">
        <v>11931</v>
      </c>
      <c r="E30" t="s">
        <v>716</v>
      </c>
      <c r="F30" t="s">
        <v>717</v>
      </c>
      <c r="G30" s="714">
        <v>407053.59</v>
      </c>
      <c r="H30">
        <v>0</v>
      </c>
      <c r="I30" s="749">
        <v>407053.59</v>
      </c>
      <c r="J30" s="711">
        <v>22850.6</v>
      </c>
      <c r="K30">
        <v>0</v>
      </c>
      <c r="L30">
        <v>0</v>
      </c>
      <c r="M30">
        <v>0</v>
      </c>
      <c r="N30" s="711">
        <v>429904.19</v>
      </c>
      <c r="O30">
        <v>0</v>
      </c>
      <c r="P30" s="711">
        <v>429904.19</v>
      </c>
      <c r="Q30" s="724" t="str">
        <f>VLOOKUP($E30,SP_2024_v28062025!$E$2:$M$1751,9,FALSE)</f>
        <v>AAA140</v>
      </c>
    </row>
    <row r="31" spans="1:18">
      <c r="A31">
        <v>1</v>
      </c>
      <c r="B31" t="s">
        <v>11924</v>
      </c>
      <c r="C31" t="s">
        <v>11925</v>
      </c>
      <c r="D31" t="s">
        <v>11931</v>
      </c>
      <c r="E31" t="s">
        <v>720</v>
      </c>
      <c r="F31" t="s">
        <v>721</v>
      </c>
      <c r="G31" s="712">
        <v>0</v>
      </c>
      <c r="H31">
        <v>0</v>
      </c>
      <c r="I31" s="713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 s="724" t="str">
        <f>VLOOKUP($E31,SP_2024_v28062025!$E$2:$M$1751,9,FALSE)</f>
        <v>AAA140</v>
      </c>
    </row>
    <row r="32" spans="1:18">
      <c r="A32">
        <v>1</v>
      </c>
      <c r="B32" t="s">
        <v>11924</v>
      </c>
      <c r="C32" t="s">
        <v>11925</v>
      </c>
      <c r="D32" t="s">
        <v>11931</v>
      </c>
      <c r="E32" t="s">
        <v>722</v>
      </c>
      <c r="F32" t="s">
        <v>723</v>
      </c>
      <c r="G32" s="714">
        <v>2174042.96</v>
      </c>
      <c r="H32">
        <v>0</v>
      </c>
      <c r="I32" s="749">
        <v>2174042.96</v>
      </c>
      <c r="J32" s="711">
        <v>4808.16</v>
      </c>
      <c r="K32">
        <v>0</v>
      </c>
      <c r="L32">
        <v>0</v>
      </c>
      <c r="M32">
        <v>0</v>
      </c>
      <c r="N32" s="711">
        <v>2178851.12</v>
      </c>
      <c r="O32">
        <v>0</v>
      </c>
      <c r="P32" s="711">
        <v>2178851.12</v>
      </c>
      <c r="Q32" s="724" t="str">
        <f>VLOOKUP($E32,SP_2024_v28062025!$E$2:$M$1751,9,FALSE)</f>
        <v>AAA140</v>
      </c>
    </row>
    <row r="33" spans="1:19">
      <c r="A33">
        <v>1</v>
      </c>
      <c r="B33" t="s">
        <v>11924</v>
      </c>
      <c r="C33" t="s">
        <v>11925</v>
      </c>
      <c r="D33" t="s">
        <v>11931</v>
      </c>
      <c r="E33" t="s">
        <v>724</v>
      </c>
      <c r="F33" t="s">
        <v>725</v>
      </c>
      <c r="G33" s="712">
        <v>0</v>
      </c>
      <c r="H33">
        <v>0</v>
      </c>
      <c r="I33" s="71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 s="724" t="str">
        <f>VLOOKUP($E33,SP_2024_v28062025!$E$2:$M$1751,9,FALSE)</f>
        <v>AAA140</v>
      </c>
    </row>
    <row r="34" spans="1:19">
      <c r="A34">
        <v>1</v>
      </c>
      <c r="B34" t="s">
        <v>11924</v>
      </c>
      <c r="C34" t="s">
        <v>11925</v>
      </c>
      <c r="D34" t="s">
        <v>11931</v>
      </c>
      <c r="E34" t="s">
        <v>726</v>
      </c>
      <c r="F34" t="s">
        <v>727</v>
      </c>
      <c r="G34" s="712">
        <v>0</v>
      </c>
      <c r="H34" s="711">
        <v>201458.73</v>
      </c>
      <c r="I34" s="715">
        <v>201458.73</v>
      </c>
      <c r="J34">
        <v>0</v>
      </c>
      <c r="K34" s="750">
        <v>49358.94</v>
      </c>
      <c r="L34">
        <v>0</v>
      </c>
      <c r="M34">
        <v>0</v>
      </c>
      <c r="N34">
        <v>0</v>
      </c>
      <c r="O34" s="711">
        <v>250817.67</v>
      </c>
      <c r="P34" s="711">
        <v>-250817.67</v>
      </c>
      <c r="Q34" s="724" t="str">
        <f>VLOOKUP($E34,SP_2024_v28062025!$E$2:$M$1751,9,FALSE)</f>
        <v>AAA150</v>
      </c>
      <c r="S34" s="711"/>
    </row>
    <row r="35" spans="1:19">
      <c r="A35">
        <v>1</v>
      </c>
      <c r="B35" t="s">
        <v>11924</v>
      </c>
      <c r="C35" t="s">
        <v>11925</v>
      </c>
      <c r="D35" t="s">
        <v>11931</v>
      </c>
      <c r="E35" t="s">
        <v>731</v>
      </c>
      <c r="F35" t="s">
        <v>732</v>
      </c>
      <c r="G35" s="712">
        <v>0</v>
      </c>
      <c r="H35">
        <v>0</v>
      </c>
      <c r="I35" s="713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 s="724" t="str">
        <f>VLOOKUP($E35,SP_2024_v28062025!$E$2:$M$1751,9,FALSE)</f>
        <v>AAA150</v>
      </c>
    </row>
    <row r="36" spans="1:19">
      <c r="A36">
        <v>1</v>
      </c>
      <c r="B36" t="s">
        <v>11924</v>
      </c>
      <c r="C36" t="s">
        <v>11925</v>
      </c>
      <c r="D36" t="s">
        <v>11931</v>
      </c>
      <c r="E36" t="s">
        <v>733</v>
      </c>
      <c r="F36" t="s">
        <v>734</v>
      </c>
      <c r="G36" s="712">
        <v>0</v>
      </c>
      <c r="H36" s="711">
        <v>1599867.96</v>
      </c>
      <c r="I36" s="715">
        <v>1599867.96</v>
      </c>
      <c r="J36">
        <v>0</v>
      </c>
      <c r="K36" s="750">
        <v>182951.89</v>
      </c>
      <c r="L36">
        <v>0</v>
      </c>
      <c r="M36">
        <v>0</v>
      </c>
      <c r="N36">
        <v>0</v>
      </c>
      <c r="O36" s="711">
        <v>1782819.85</v>
      </c>
      <c r="P36" s="711">
        <v>-1782819.85</v>
      </c>
      <c r="Q36" s="724" t="str">
        <f>VLOOKUP($E36,SP_2024_v28062025!$E$2:$M$1751,9,FALSE)</f>
        <v>AAA150</v>
      </c>
    </row>
    <row r="37" spans="1:19" ht="15.75" thickBot="1">
      <c r="A37">
        <v>1</v>
      </c>
      <c r="B37" t="s">
        <v>11924</v>
      </c>
      <c r="C37" t="s">
        <v>11925</v>
      </c>
      <c r="D37" t="s">
        <v>11931</v>
      </c>
      <c r="E37" t="s">
        <v>735</v>
      </c>
      <c r="F37" t="s">
        <v>736</v>
      </c>
      <c r="G37" s="712">
        <v>0</v>
      </c>
      <c r="H37">
        <v>0</v>
      </c>
      <c r="I37" s="713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s="724" t="str">
        <f>VLOOKUP($E37,SP_2024_v28062025!$E$2:$M$1751,9,FALSE)</f>
        <v>AAA150</v>
      </c>
    </row>
    <row r="38" spans="1:19" ht="15.75" thickBot="1">
      <c r="A38" s="727">
        <v>1</v>
      </c>
      <c r="B38" s="727" t="s">
        <v>11924</v>
      </c>
      <c r="C38" s="727" t="s">
        <v>11925</v>
      </c>
      <c r="D38" s="727" t="s">
        <v>11932</v>
      </c>
      <c r="E38" s="727"/>
      <c r="F38" s="729" t="s">
        <v>737</v>
      </c>
      <c r="G38" s="739">
        <v>33854687.350000001</v>
      </c>
      <c r="H38" s="739">
        <v>14468187.699999999</v>
      </c>
      <c r="I38" s="739">
        <v>19386499.649999999</v>
      </c>
      <c r="J38" s="739">
        <v>6154951.8399999999</v>
      </c>
      <c r="K38" s="739">
        <v>1667400.41</v>
      </c>
      <c r="L38" s="738">
        <v>0</v>
      </c>
      <c r="M38" s="738">
        <v>0</v>
      </c>
      <c r="N38" s="739">
        <v>40009639.189999998</v>
      </c>
      <c r="O38" s="739">
        <v>16135588.109999999</v>
      </c>
      <c r="P38" s="739">
        <v>23874051.079999998</v>
      </c>
    </row>
    <row r="39" spans="1:19">
      <c r="A39">
        <v>1</v>
      </c>
      <c r="B39" t="s">
        <v>11924</v>
      </c>
      <c r="C39" t="s">
        <v>11925</v>
      </c>
      <c r="D39" t="s">
        <v>11932</v>
      </c>
      <c r="E39" t="s">
        <v>740</v>
      </c>
      <c r="F39" t="s">
        <v>741</v>
      </c>
      <c r="G39" s="714">
        <v>33854687.350000001</v>
      </c>
      <c r="H39">
        <v>0</v>
      </c>
      <c r="I39" s="749">
        <v>33854687.350000001</v>
      </c>
      <c r="J39" s="711">
        <v>6154951.8399999999</v>
      </c>
      <c r="K39" s="711">
        <v>514595.84000000003</v>
      </c>
      <c r="L39">
        <v>0</v>
      </c>
      <c r="M39">
        <v>0</v>
      </c>
      <c r="N39" s="711">
        <v>40009639.189999998</v>
      </c>
      <c r="O39" s="711">
        <v>514595.84000000003</v>
      </c>
      <c r="P39" s="711">
        <v>39495043.350000001</v>
      </c>
      <c r="Q39" s="724" t="str">
        <f>VLOOKUP($E39,SP_2024_v28062025!$E$2:$M$1751,9,FALSE)</f>
        <v>AAA160</v>
      </c>
    </row>
    <row r="40" spans="1:19">
      <c r="A40">
        <v>1</v>
      </c>
      <c r="B40" t="s">
        <v>11924</v>
      </c>
      <c r="C40" t="s">
        <v>11925</v>
      </c>
      <c r="D40" t="s">
        <v>11932</v>
      </c>
      <c r="E40" t="s">
        <v>744</v>
      </c>
      <c r="F40" t="s">
        <v>745</v>
      </c>
      <c r="G40" s="712">
        <v>0</v>
      </c>
      <c r="H40">
        <v>0</v>
      </c>
      <c r="I40" s="713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s="724" t="str">
        <f>VLOOKUP($E40,SP_2024_v28062025!$E$2:$M$1751,9,FALSE)</f>
        <v>AAA160</v>
      </c>
    </row>
    <row r="41" spans="1:19">
      <c r="A41">
        <v>1</v>
      </c>
      <c r="B41" t="s">
        <v>11924</v>
      </c>
      <c r="C41" t="s">
        <v>11925</v>
      </c>
      <c r="D41" t="s">
        <v>11932</v>
      </c>
      <c r="E41" t="s">
        <v>746</v>
      </c>
      <c r="F41" t="s">
        <v>747</v>
      </c>
      <c r="G41" s="712">
        <v>0</v>
      </c>
      <c r="H41">
        <v>0</v>
      </c>
      <c r="I41" s="713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s="724" t="str">
        <f>VLOOKUP($E41,SP_2024_v28062025!$E$2:$M$1751,9,FALSE)</f>
        <v>AAA160</v>
      </c>
    </row>
    <row r="42" spans="1:19" ht="15.75" thickBot="1">
      <c r="A42">
        <v>1</v>
      </c>
      <c r="B42" t="s">
        <v>11924</v>
      </c>
      <c r="C42" t="s">
        <v>11925</v>
      </c>
      <c r="D42" t="s">
        <v>11932</v>
      </c>
      <c r="E42" t="s">
        <v>748</v>
      </c>
      <c r="F42" t="s">
        <v>749</v>
      </c>
      <c r="G42" s="712">
        <v>0</v>
      </c>
      <c r="H42" s="711">
        <v>14468187.699999999</v>
      </c>
      <c r="I42" s="749">
        <v>14468187.699999999</v>
      </c>
      <c r="J42">
        <v>0</v>
      </c>
      <c r="K42" s="750">
        <v>1152804.57</v>
      </c>
      <c r="L42">
        <v>0</v>
      </c>
      <c r="M42">
        <v>0</v>
      </c>
      <c r="N42">
        <v>0</v>
      </c>
      <c r="O42" s="711">
        <v>15620992.27</v>
      </c>
      <c r="P42" s="711">
        <v>-15620992.27</v>
      </c>
      <c r="Q42" s="724" t="str">
        <f>VLOOKUP($E42,SP_2024_v28062025!$E$2:$M$1751,9,FALSE)</f>
        <v>AAA170</v>
      </c>
    </row>
    <row r="43" spans="1:19" ht="15.75" thickBot="1">
      <c r="A43" s="727">
        <v>1</v>
      </c>
      <c r="B43" s="727" t="s">
        <v>11924</v>
      </c>
      <c r="C43" s="727" t="s">
        <v>11925</v>
      </c>
      <c r="D43" s="727" t="s">
        <v>11933</v>
      </c>
      <c r="E43" s="727"/>
      <c r="F43" s="729" t="s">
        <v>753</v>
      </c>
      <c r="G43" s="738">
        <v>0</v>
      </c>
      <c r="H43" s="738">
        <v>0</v>
      </c>
      <c r="I43" s="738">
        <v>0</v>
      </c>
      <c r="J43" s="738">
        <v>0</v>
      </c>
      <c r="K43" s="738">
        <v>0</v>
      </c>
      <c r="L43" s="738">
        <v>0</v>
      </c>
      <c r="M43" s="738">
        <v>0</v>
      </c>
      <c r="N43" s="738">
        <v>0</v>
      </c>
      <c r="O43" s="738">
        <v>0</v>
      </c>
      <c r="P43" s="738">
        <v>0</v>
      </c>
    </row>
    <row r="44" spans="1:19">
      <c r="A44">
        <v>1</v>
      </c>
      <c r="B44" t="s">
        <v>11924</v>
      </c>
      <c r="C44" t="s">
        <v>11925</v>
      </c>
      <c r="D44" t="s">
        <v>11933</v>
      </c>
      <c r="E44" t="s">
        <v>756</v>
      </c>
      <c r="F44" t="s">
        <v>757</v>
      </c>
      <c r="G44" s="712">
        <v>0</v>
      </c>
      <c r="H44">
        <v>0</v>
      </c>
      <c r="I44" s="713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 s="724" t="str">
        <f>VLOOKUP($E44,SP_2024_v28062025!$E$2:$M$1751,9,FALSE)</f>
        <v>AAA180</v>
      </c>
    </row>
    <row r="45" spans="1:19" ht="15.75" thickBot="1">
      <c r="A45">
        <v>1</v>
      </c>
      <c r="B45" t="s">
        <v>11924</v>
      </c>
      <c r="C45" t="s">
        <v>11925</v>
      </c>
      <c r="D45" t="s">
        <v>11933</v>
      </c>
      <c r="E45" t="s">
        <v>759</v>
      </c>
      <c r="F45" t="s">
        <v>760</v>
      </c>
      <c r="G45" s="712">
        <v>0</v>
      </c>
      <c r="H45">
        <v>0</v>
      </c>
      <c r="I45" s="713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724" t="str">
        <f>VLOOKUP($E45,SP_2024_v28062025!$E$2:$M$1751,9,FALSE)</f>
        <v>AAA190</v>
      </c>
    </row>
    <row r="46" spans="1:19" ht="15.75" thickBot="1">
      <c r="A46" s="727">
        <v>1</v>
      </c>
      <c r="B46" s="727" t="s">
        <v>11924</v>
      </c>
      <c r="C46" s="727" t="s">
        <v>11925</v>
      </c>
      <c r="D46" s="727" t="s">
        <v>11934</v>
      </c>
      <c r="E46" s="727"/>
      <c r="F46" s="729" t="s">
        <v>764</v>
      </c>
      <c r="G46" s="738">
        <v>0</v>
      </c>
      <c r="H46" s="738">
        <v>0</v>
      </c>
      <c r="I46" s="738">
        <v>0</v>
      </c>
      <c r="J46" s="738">
        <v>0</v>
      </c>
      <c r="K46" s="738">
        <v>0</v>
      </c>
      <c r="L46" s="738">
        <v>0</v>
      </c>
      <c r="M46" s="738">
        <v>0</v>
      </c>
      <c r="N46" s="738">
        <v>0</v>
      </c>
      <c r="O46" s="738">
        <v>0</v>
      </c>
      <c r="P46" s="738">
        <v>0</v>
      </c>
    </row>
    <row r="47" spans="1:19">
      <c r="A47">
        <v>1</v>
      </c>
      <c r="B47" t="s">
        <v>11924</v>
      </c>
      <c r="C47" t="s">
        <v>11925</v>
      </c>
      <c r="D47" t="s">
        <v>11934</v>
      </c>
      <c r="E47" t="s">
        <v>767</v>
      </c>
      <c r="F47" t="s">
        <v>768</v>
      </c>
      <c r="G47" s="712">
        <v>0</v>
      </c>
      <c r="H47">
        <v>0</v>
      </c>
      <c r="I47" s="713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 s="724" t="str">
        <f>VLOOKUP($E47,SP_2024_v28062025!$E$2:$M$1751,9,FALSE)</f>
        <v>AAA200</v>
      </c>
    </row>
    <row r="48" spans="1:19" ht="15.75" thickBot="1">
      <c r="A48">
        <v>1</v>
      </c>
      <c r="B48" t="s">
        <v>11924</v>
      </c>
      <c r="C48" t="s">
        <v>11925</v>
      </c>
      <c r="D48" t="s">
        <v>11934</v>
      </c>
      <c r="E48" t="s">
        <v>772</v>
      </c>
      <c r="F48" t="s">
        <v>773</v>
      </c>
      <c r="G48" s="712">
        <v>0</v>
      </c>
      <c r="H48">
        <v>0</v>
      </c>
      <c r="I48" s="713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 s="724" t="str">
        <f>VLOOKUP($E48,SP_2024_v28062025!$E$2:$M$1751,9,FALSE)</f>
        <v>AAA210</v>
      </c>
    </row>
    <row r="49" spans="1:18" ht="15.75" thickBot="1">
      <c r="A49" s="727">
        <v>1</v>
      </c>
      <c r="B49" s="727" t="s">
        <v>11924</v>
      </c>
      <c r="C49" s="727" t="s">
        <v>11925</v>
      </c>
      <c r="D49" s="727" t="s">
        <v>11935</v>
      </c>
      <c r="E49" s="727"/>
      <c r="F49" s="729" t="s">
        <v>777</v>
      </c>
      <c r="G49" s="738">
        <v>0</v>
      </c>
      <c r="H49" s="738">
        <v>0</v>
      </c>
      <c r="I49" s="738">
        <v>0</v>
      </c>
      <c r="J49" s="738">
        <v>0</v>
      </c>
      <c r="K49" s="738">
        <v>0</v>
      </c>
      <c r="L49" s="738">
        <v>0</v>
      </c>
      <c r="M49" s="738">
        <v>0</v>
      </c>
      <c r="N49" s="738">
        <v>0</v>
      </c>
      <c r="O49" s="738">
        <v>0</v>
      </c>
      <c r="P49" s="738">
        <v>0</v>
      </c>
    </row>
    <row r="50" spans="1:18">
      <c r="A50">
        <v>1</v>
      </c>
      <c r="B50" t="s">
        <v>11924</v>
      </c>
      <c r="C50" t="s">
        <v>11925</v>
      </c>
      <c r="D50" t="s">
        <v>11935</v>
      </c>
      <c r="E50" t="s">
        <v>782</v>
      </c>
      <c r="F50" t="s">
        <v>783</v>
      </c>
      <c r="G50" s="712">
        <v>0</v>
      </c>
      <c r="H50">
        <v>0</v>
      </c>
      <c r="I50" s="713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724" t="str">
        <f>VLOOKUP($E50,SP_2024_v28062025!$E$2:$M$1751,9,FALSE)</f>
        <v>AAA230</v>
      </c>
    </row>
    <row r="51" spans="1:18">
      <c r="A51">
        <v>1</v>
      </c>
      <c r="B51" t="s">
        <v>11924</v>
      </c>
      <c r="C51" t="s">
        <v>11925</v>
      </c>
      <c r="D51" t="s">
        <v>11935</v>
      </c>
      <c r="E51" t="s">
        <v>787</v>
      </c>
      <c r="F51" t="s">
        <v>788</v>
      </c>
      <c r="G51" s="712">
        <v>0</v>
      </c>
      <c r="H51">
        <v>0</v>
      </c>
      <c r="I51" s="713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 s="724" t="str">
        <f>VLOOKUP($E51,SP_2024_v28062025!$E$2:$M$1751,9,FALSE)</f>
        <v>AAA240</v>
      </c>
    </row>
    <row r="52" spans="1:18">
      <c r="A52">
        <v>1</v>
      </c>
      <c r="B52" t="s">
        <v>11924</v>
      </c>
      <c r="C52" t="s">
        <v>11925</v>
      </c>
      <c r="D52" t="s">
        <v>11935</v>
      </c>
      <c r="E52" t="s">
        <v>792</v>
      </c>
      <c r="F52" t="s">
        <v>793</v>
      </c>
      <c r="G52" s="712">
        <v>0</v>
      </c>
      <c r="H52">
        <v>0</v>
      </c>
      <c r="I52" s="713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s="724" t="str">
        <f>VLOOKUP($E52,SP_2024_v28062025!$E$2:$M$1751,9,FALSE)</f>
        <v>AAA250</v>
      </c>
    </row>
    <row r="53" spans="1:18" ht="15.75" thickBot="1">
      <c r="A53">
        <v>1</v>
      </c>
      <c r="B53" t="s">
        <v>11924</v>
      </c>
      <c r="C53" t="s">
        <v>11925</v>
      </c>
      <c r="D53" t="s">
        <v>11935</v>
      </c>
      <c r="E53" t="s">
        <v>797</v>
      </c>
      <c r="F53" t="s">
        <v>798</v>
      </c>
      <c r="G53" s="712">
        <v>0</v>
      </c>
      <c r="H53">
        <v>0</v>
      </c>
      <c r="I53" s="71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s="724" t="str">
        <f>VLOOKUP($E53,SP_2024_v28062025!$E$2:$M$1751,9,FALSE)</f>
        <v>AAA260</v>
      </c>
    </row>
    <row r="54" spans="1:18" ht="15.75" thickBot="1">
      <c r="A54" s="727">
        <v>1</v>
      </c>
      <c r="B54" s="727" t="s">
        <v>11924</v>
      </c>
      <c r="C54" s="727" t="s">
        <v>11936</v>
      </c>
      <c r="D54" s="727"/>
      <c r="E54" s="727"/>
      <c r="F54" s="745" t="s">
        <v>24</v>
      </c>
      <c r="G54" s="739">
        <v>122157510.70999999</v>
      </c>
      <c r="H54" s="739">
        <v>73529657.609999999</v>
      </c>
      <c r="I54" s="739">
        <v>48627853.100000001</v>
      </c>
      <c r="J54" s="739">
        <v>10258314.73</v>
      </c>
      <c r="K54" s="739">
        <v>12428245.199999999</v>
      </c>
      <c r="L54" s="738">
        <v>0</v>
      </c>
      <c r="M54" s="738">
        <v>0</v>
      </c>
      <c r="N54" s="739">
        <v>132415825.44</v>
      </c>
      <c r="O54" s="739">
        <v>85957902.810000002</v>
      </c>
      <c r="P54" s="739">
        <v>46457922.630000003</v>
      </c>
    </row>
    <row r="55" spans="1:18" ht="15.75" thickBot="1">
      <c r="A55" s="727">
        <v>1</v>
      </c>
      <c r="B55" s="727" t="s">
        <v>11924</v>
      </c>
      <c r="C55" s="727" t="s">
        <v>11936</v>
      </c>
      <c r="D55" s="727" t="s">
        <v>11937</v>
      </c>
      <c r="E55" s="727"/>
      <c r="F55" s="729" t="s">
        <v>803</v>
      </c>
      <c r="G55" s="738">
        <v>0</v>
      </c>
      <c r="H55" s="738">
        <v>0</v>
      </c>
      <c r="I55" s="738">
        <v>0</v>
      </c>
      <c r="J55" s="738">
        <v>0</v>
      </c>
      <c r="K55" s="738">
        <v>0</v>
      </c>
      <c r="L55" s="738">
        <v>0</v>
      </c>
      <c r="M55" s="738">
        <v>0</v>
      </c>
      <c r="N55" s="738">
        <v>0</v>
      </c>
      <c r="O55" s="738">
        <v>0</v>
      </c>
      <c r="P55" s="738">
        <v>0</v>
      </c>
    </row>
    <row r="56" spans="1:18">
      <c r="A56">
        <v>1</v>
      </c>
      <c r="B56" t="s">
        <v>11924</v>
      </c>
      <c r="C56" t="s">
        <v>11936</v>
      </c>
      <c r="D56" t="s">
        <v>11937</v>
      </c>
      <c r="E56" t="s">
        <v>806</v>
      </c>
      <c r="F56" t="s">
        <v>807</v>
      </c>
      <c r="G56" s="712">
        <v>0</v>
      </c>
      <c r="H56">
        <v>0</v>
      </c>
      <c r="I56" s="713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s="724" t="str">
        <f>VLOOKUP($E56,SP_2024_v28062025!$E$2:$M$1751,9,FALSE)</f>
        <v>AAA290</v>
      </c>
    </row>
    <row r="57" spans="1:18">
      <c r="A57">
        <v>1</v>
      </c>
      <c r="B57" t="s">
        <v>11924</v>
      </c>
      <c r="C57" t="s">
        <v>11936</v>
      </c>
      <c r="D57" t="s">
        <v>11937</v>
      </c>
      <c r="E57" t="s">
        <v>809</v>
      </c>
      <c r="F57" t="s">
        <v>810</v>
      </c>
      <c r="G57" s="712">
        <v>0</v>
      </c>
      <c r="H57">
        <v>0</v>
      </c>
      <c r="I57" s="713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s="724" t="str">
        <f>VLOOKUP($E57,SP_2024_v28062025!$E$2:$M$1751,9,FALSE)</f>
        <v>AAA290</v>
      </c>
    </row>
    <row r="58" spans="1:18">
      <c r="A58">
        <v>1</v>
      </c>
      <c r="B58" t="s">
        <v>11924</v>
      </c>
      <c r="C58" t="s">
        <v>11936</v>
      </c>
      <c r="D58" t="s">
        <v>11937</v>
      </c>
      <c r="E58" t="s">
        <v>811</v>
      </c>
      <c r="F58" t="s">
        <v>812</v>
      </c>
      <c r="G58" s="712">
        <v>0</v>
      </c>
      <c r="H58">
        <v>0</v>
      </c>
      <c r="I58" s="713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s="724" t="str">
        <f>VLOOKUP($E58,SP_2024_v28062025!$E$2:$M$1751,9,FALSE)</f>
        <v>AAA290</v>
      </c>
    </row>
    <row r="59" spans="1:18" ht="15.75" thickBot="1">
      <c r="A59">
        <v>1</v>
      </c>
      <c r="B59" t="s">
        <v>11924</v>
      </c>
      <c r="C59" t="s">
        <v>11936</v>
      </c>
      <c r="D59" t="s">
        <v>11937</v>
      </c>
      <c r="E59" t="s">
        <v>813</v>
      </c>
      <c r="F59" t="s">
        <v>814</v>
      </c>
      <c r="G59" s="712">
        <v>0</v>
      </c>
      <c r="H59">
        <v>0</v>
      </c>
      <c r="I59" s="713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724" t="str">
        <f>VLOOKUP($E59,SP_2024_v28062025!$E$2:$M$1751,9,FALSE)</f>
        <v>AAA300</v>
      </c>
    </row>
    <row r="60" spans="1:18" ht="15.75" thickBot="1">
      <c r="A60" s="727">
        <v>1</v>
      </c>
      <c r="B60" s="727" t="s">
        <v>11924</v>
      </c>
      <c r="C60" s="727" t="s">
        <v>11936</v>
      </c>
      <c r="D60" s="727" t="s">
        <v>11938</v>
      </c>
      <c r="E60" s="727"/>
      <c r="F60" s="729" t="s">
        <v>816</v>
      </c>
      <c r="G60" s="739">
        <v>655743.44999999995</v>
      </c>
      <c r="H60" s="739">
        <v>368192.74</v>
      </c>
      <c r="I60" s="739">
        <v>287550.71000000002</v>
      </c>
      <c r="J60" s="738">
        <v>0</v>
      </c>
      <c r="K60" s="739">
        <v>46994.73</v>
      </c>
      <c r="L60" s="738">
        <v>0</v>
      </c>
      <c r="M60" s="738">
        <v>0</v>
      </c>
      <c r="N60" s="739">
        <v>655743.44999999995</v>
      </c>
      <c r="O60" s="739">
        <v>415187.47</v>
      </c>
      <c r="P60" s="739">
        <v>240555.98</v>
      </c>
      <c r="R60" s="711">
        <f>N60-O60</f>
        <v>240555.97999999998</v>
      </c>
    </row>
    <row r="61" spans="1:18">
      <c r="A61">
        <v>1</v>
      </c>
      <c r="B61" t="s">
        <v>11924</v>
      </c>
      <c r="C61" t="s">
        <v>11936</v>
      </c>
      <c r="D61" t="s">
        <v>11938</v>
      </c>
      <c r="E61" t="s">
        <v>819</v>
      </c>
      <c r="F61" t="s">
        <v>820</v>
      </c>
      <c r="G61" s="714">
        <v>655743.44999999995</v>
      </c>
      <c r="H61">
        <v>0</v>
      </c>
      <c r="I61" s="715">
        <v>655743.44999999995</v>
      </c>
      <c r="J61">
        <v>0</v>
      </c>
      <c r="K61">
        <v>0</v>
      </c>
      <c r="L61">
        <v>0</v>
      </c>
      <c r="M61">
        <v>0</v>
      </c>
      <c r="N61" s="711">
        <v>655743.44999999995</v>
      </c>
      <c r="O61">
        <v>0</v>
      </c>
      <c r="P61" s="711">
        <v>655743.44999999995</v>
      </c>
      <c r="Q61" s="724" t="str">
        <f>VLOOKUP($E61,SP_2024_v28062025!$E$2:$M$1751,9,FALSE)</f>
        <v>AAA330</v>
      </c>
    </row>
    <row r="62" spans="1:18">
      <c r="A62">
        <v>1</v>
      </c>
      <c r="B62" t="s">
        <v>11924</v>
      </c>
      <c r="C62" t="s">
        <v>11936</v>
      </c>
      <c r="D62" t="s">
        <v>11938</v>
      </c>
      <c r="E62" t="s">
        <v>824</v>
      </c>
      <c r="F62" t="s">
        <v>825</v>
      </c>
      <c r="G62" s="712">
        <v>0</v>
      </c>
      <c r="H62">
        <v>0</v>
      </c>
      <c r="I62" s="713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 s="724" t="str">
        <f>VLOOKUP($E62,SP_2024_v28062025!$E$2:$M$1751,9,FALSE)</f>
        <v>AAA330</v>
      </c>
    </row>
    <row r="63" spans="1:18">
      <c r="A63">
        <v>1</v>
      </c>
      <c r="B63" t="s">
        <v>11924</v>
      </c>
      <c r="C63" t="s">
        <v>11936</v>
      </c>
      <c r="D63" t="s">
        <v>11938</v>
      </c>
      <c r="E63" t="s">
        <v>826</v>
      </c>
      <c r="F63" t="s">
        <v>827</v>
      </c>
      <c r="G63" s="712">
        <v>0</v>
      </c>
      <c r="H63" s="711">
        <v>368192.74</v>
      </c>
      <c r="I63" s="715">
        <v>368192.74</v>
      </c>
      <c r="J63">
        <v>0</v>
      </c>
      <c r="K63" s="711">
        <v>46994.73</v>
      </c>
      <c r="L63">
        <v>0</v>
      </c>
      <c r="M63">
        <v>0</v>
      </c>
      <c r="N63">
        <v>0</v>
      </c>
      <c r="O63" s="711">
        <v>415187.47</v>
      </c>
      <c r="P63" s="711">
        <v>-415187.47</v>
      </c>
      <c r="Q63" s="724" t="str">
        <f>VLOOKUP($E63,SP_2024_v28062025!$E$2:$M$1751,9,FALSE)</f>
        <v>AAA340</v>
      </c>
    </row>
    <row r="64" spans="1:18" ht="15.75" thickBot="1">
      <c r="A64">
        <v>1</v>
      </c>
      <c r="B64" t="s">
        <v>11924</v>
      </c>
      <c r="C64" t="s">
        <v>11936</v>
      </c>
      <c r="D64" t="s">
        <v>11938</v>
      </c>
      <c r="E64" t="s">
        <v>831</v>
      </c>
      <c r="F64" t="s">
        <v>832</v>
      </c>
      <c r="G64" s="712">
        <v>0</v>
      </c>
      <c r="H64">
        <v>0</v>
      </c>
      <c r="I64" s="713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s="724" t="str">
        <f>VLOOKUP($E64,SP_2024_v28062025!$E$2:$M$1751,9,FALSE)</f>
        <v>AAA340</v>
      </c>
    </row>
    <row r="65" spans="1:19" ht="15.75" thickBot="1">
      <c r="A65" s="727">
        <v>1</v>
      </c>
      <c r="B65" s="727" t="s">
        <v>11924</v>
      </c>
      <c r="C65" s="727" t="s">
        <v>11936</v>
      </c>
      <c r="D65" s="727" t="s">
        <v>11939</v>
      </c>
      <c r="E65" s="727"/>
      <c r="F65" s="729" t="s">
        <v>833</v>
      </c>
      <c r="G65" s="738">
        <v>0</v>
      </c>
      <c r="H65" s="738">
        <v>0</v>
      </c>
      <c r="I65" s="738">
        <v>0</v>
      </c>
      <c r="J65" s="738">
        <v>0</v>
      </c>
      <c r="K65" s="738">
        <v>0</v>
      </c>
      <c r="L65" s="738">
        <v>0</v>
      </c>
      <c r="M65" s="738">
        <v>0</v>
      </c>
      <c r="N65" s="738">
        <v>0</v>
      </c>
      <c r="O65" s="738">
        <v>0</v>
      </c>
      <c r="P65" s="738">
        <v>0</v>
      </c>
    </row>
    <row r="66" spans="1:19">
      <c r="A66">
        <v>1</v>
      </c>
      <c r="B66" t="s">
        <v>11924</v>
      </c>
      <c r="C66" t="s">
        <v>11936</v>
      </c>
      <c r="D66" t="s">
        <v>11939</v>
      </c>
      <c r="E66" t="s">
        <v>836</v>
      </c>
      <c r="F66" t="s">
        <v>837</v>
      </c>
      <c r="G66" s="712">
        <v>0</v>
      </c>
      <c r="H66">
        <v>0</v>
      </c>
      <c r="I66" s="713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 s="724" t="str">
        <f>VLOOKUP($E66,SP_2024_v28062025!$E$2:$M$1751,9,FALSE)</f>
        <v>AAA360</v>
      </c>
    </row>
    <row r="67" spans="1:19">
      <c r="A67">
        <v>1</v>
      </c>
      <c r="B67" t="s">
        <v>11924</v>
      </c>
      <c r="C67" t="s">
        <v>11936</v>
      </c>
      <c r="D67" t="s">
        <v>11939</v>
      </c>
      <c r="E67" t="s">
        <v>840</v>
      </c>
      <c r="F67" t="s">
        <v>841</v>
      </c>
      <c r="G67" s="712">
        <v>0</v>
      </c>
      <c r="H67">
        <v>0</v>
      </c>
      <c r="I67" s="713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s="724" t="str">
        <f>VLOOKUP($E67,SP_2024_v28062025!$E$2:$M$1751,9,FALSE)</f>
        <v>AAA370</v>
      </c>
    </row>
    <row r="68" spans="1:19">
      <c r="A68">
        <v>1</v>
      </c>
      <c r="B68" t="s">
        <v>11924</v>
      </c>
      <c r="C68" t="s">
        <v>11936</v>
      </c>
      <c r="D68" t="s">
        <v>11939</v>
      </c>
      <c r="E68" t="s">
        <v>845</v>
      </c>
      <c r="F68" t="s">
        <v>846</v>
      </c>
      <c r="G68" s="712">
        <v>0</v>
      </c>
      <c r="H68">
        <v>0</v>
      </c>
      <c r="I68" s="713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 s="724" t="str">
        <f>VLOOKUP($E68,SP_2024_v28062025!$E$2:$M$1751,9,FALSE)</f>
        <v>AAA370</v>
      </c>
    </row>
    <row r="69" spans="1:19">
      <c r="A69">
        <v>1</v>
      </c>
      <c r="B69" t="s">
        <v>11924</v>
      </c>
      <c r="C69" t="s">
        <v>11936</v>
      </c>
      <c r="D69" t="s">
        <v>11939</v>
      </c>
      <c r="E69" t="s">
        <v>847</v>
      </c>
      <c r="F69" t="s">
        <v>848</v>
      </c>
      <c r="G69" s="712">
        <v>0</v>
      </c>
      <c r="H69">
        <v>0</v>
      </c>
      <c r="I69" s="713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 s="724" t="str">
        <f>VLOOKUP($E69,SP_2024_v28062025!$E$2:$M$1751,9,FALSE)</f>
        <v>AAA370</v>
      </c>
    </row>
    <row r="70" spans="1:19">
      <c r="A70">
        <v>1</v>
      </c>
      <c r="B70" t="s">
        <v>11924</v>
      </c>
      <c r="C70" t="s">
        <v>11936</v>
      </c>
      <c r="D70" t="s">
        <v>11939</v>
      </c>
      <c r="E70" t="s">
        <v>849</v>
      </c>
      <c r="F70" t="s">
        <v>850</v>
      </c>
      <c r="G70" s="712">
        <v>0</v>
      </c>
      <c r="H70">
        <v>0</v>
      </c>
      <c r="I70" s="713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 s="724" t="str">
        <f>VLOOKUP($E70,SP_2024_v28062025!$E$2:$M$1751,9,FALSE)</f>
        <v>AAA370</v>
      </c>
    </row>
    <row r="71" spans="1:19" ht="15.75" thickBot="1">
      <c r="A71">
        <v>1</v>
      </c>
      <c r="B71" t="s">
        <v>11924</v>
      </c>
      <c r="C71" t="s">
        <v>11936</v>
      </c>
      <c r="D71" t="s">
        <v>11939</v>
      </c>
      <c r="E71" t="s">
        <v>851</v>
      </c>
      <c r="F71" t="s">
        <v>852</v>
      </c>
      <c r="G71" s="712">
        <v>0</v>
      </c>
      <c r="H71">
        <v>0</v>
      </c>
      <c r="I71" s="713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 s="724" t="str">
        <f>VLOOKUP($E71,SP_2024_v28062025!$E$2:$M$1751,9,FALSE)</f>
        <v>AAA370</v>
      </c>
    </row>
    <row r="72" spans="1:19" ht="15.75" thickBot="1">
      <c r="A72" s="727">
        <v>1</v>
      </c>
      <c r="B72" s="727" t="s">
        <v>11924</v>
      </c>
      <c r="C72" s="727" t="s">
        <v>11936</v>
      </c>
      <c r="D72" s="727" t="s">
        <v>11940</v>
      </c>
      <c r="E72" s="727"/>
      <c r="F72" s="729" t="s">
        <v>853</v>
      </c>
      <c r="G72" s="739">
        <v>27824120.140000001</v>
      </c>
      <c r="H72" s="739">
        <v>21842131.309999999</v>
      </c>
      <c r="I72" s="739">
        <v>5981988.8300000001</v>
      </c>
      <c r="J72" s="739">
        <v>4766413.6100000003</v>
      </c>
      <c r="K72" s="739">
        <v>3285243.88</v>
      </c>
      <c r="L72" s="738">
        <v>0</v>
      </c>
      <c r="M72" s="738">
        <v>0</v>
      </c>
      <c r="N72" s="739">
        <v>32590533.75</v>
      </c>
      <c r="O72" s="739">
        <v>25127375.190000001</v>
      </c>
      <c r="P72" s="739">
        <v>7463158.5599999996</v>
      </c>
      <c r="Q72" s="724" t="s">
        <v>152</v>
      </c>
      <c r="R72" s="711">
        <f>SUM(J73:J86)</f>
        <v>3180323.5900000003</v>
      </c>
      <c r="S72" s="711">
        <f>G72+J72-K72</f>
        <v>29305289.870000001</v>
      </c>
    </row>
    <row r="73" spans="1:19">
      <c r="A73">
        <v>1</v>
      </c>
      <c r="B73" t="s">
        <v>11924</v>
      </c>
      <c r="C73" t="s">
        <v>11936</v>
      </c>
      <c r="D73" t="s">
        <v>11940</v>
      </c>
      <c r="E73" t="s">
        <v>856</v>
      </c>
      <c r="F73" t="s">
        <v>857</v>
      </c>
      <c r="G73" s="714">
        <v>1591826.07</v>
      </c>
      <c r="H73">
        <v>0</v>
      </c>
      <c r="I73" s="715">
        <v>1591826.07</v>
      </c>
      <c r="J73" s="711">
        <v>149310.12</v>
      </c>
      <c r="K73" s="711">
        <v>138039.49</v>
      </c>
      <c r="L73">
        <v>0</v>
      </c>
      <c r="M73">
        <v>0</v>
      </c>
      <c r="N73" s="711">
        <v>1741136.19</v>
      </c>
      <c r="O73" s="711">
        <v>138039.49</v>
      </c>
      <c r="P73" s="711">
        <v>1603096.7</v>
      </c>
      <c r="Q73" s="724" t="str">
        <f>VLOOKUP($E73,SP_2024_v28062025!$E$2:$M$1751,9,FALSE)</f>
        <v>AAA390</v>
      </c>
    </row>
    <row r="74" spans="1:19">
      <c r="A74">
        <v>1</v>
      </c>
      <c r="B74" t="s">
        <v>11924</v>
      </c>
      <c r="C74" t="s">
        <v>11936</v>
      </c>
      <c r="D74" t="s">
        <v>11940</v>
      </c>
      <c r="E74" t="s">
        <v>861</v>
      </c>
      <c r="F74" t="s">
        <v>862</v>
      </c>
      <c r="G74" s="714">
        <v>781335.29</v>
      </c>
      <c r="H74">
        <v>0</v>
      </c>
      <c r="I74" s="715">
        <v>781335.29</v>
      </c>
      <c r="J74">
        <v>0</v>
      </c>
      <c r="K74">
        <v>0</v>
      </c>
      <c r="L74">
        <v>0</v>
      </c>
      <c r="M74">
        <v>0</v>
      </c>
      <c r="N74" s="711">
        <v>781335.29</v>
      </c>
      <c r="O74">
        <v>0</v>
      </c>
      <c r="P74" s="711">
        <v>781335.29</v>
      </c>
      <c r="Q74" s="724" t="str">
        <f>VLOOKUP($E74,SP_2024_v28062025!$E$2:$M$1751,9,FALSE)</f>
        <v>AAA390</v>
      </c>
    </row>
    <row r="75" spans="1:19">
      <c r="A75">
        <v>1</v>
      </c>
      <c r="B75" t="s">
        <v>11924</v>
      </c>
      <c r="C75" t="s">
        <v>11936</v>
      </c>
      <c r="D75" t="s">
        <v>11940</v>
      </c>
      <c r="E75" t="s">
        <v>863</v>
      </c>
      <c r="F75" t="s">
        <v>864</v>
      </c>
      <c r="G75" s="714">
        <v>9424170</v>
      </c>
      <c r="H75">
        <v>0</v>
      </c>
      <c r="I75" s="715">
        <v>9424170</v>
      </c>
      <c r="J75" s="711">
        <v>2471910</v>
      </c>
      <c r="K75" s="711">
        <v>1581235.07</v>
      </c>
      <c r="L75">
        <v>0</v>
      </c>
      <c r="M75">
        <v>0</v>
      </c>
      <c r="N75" s="711">
        <v>11896080</v>
      </c>
      <c r="O75" s="711">
        <v>1581235.07</v>
      </c>
      <c r="P75" s="711">
        <v>10314844.93</v>
      </c>
      <c r="Q75" s="724" t="str">
        <f>VLOOKUP($E75,SP_2024_v28062025!$E$2:$M$1751,9,FALSE)</f>
        <v>AAA390</v>
      </c>
    </row>
    <row r="76" spans="1:19">
      <c r="A76">
        <v>1</v>
      </c>
      <c r="B76" t="s">
        <v>11924</v>
      </c>
      <c r="C76" t="s">
        <v>11936</v>
      </c>
      <c r="D76" t="s">
        <v>11940</v>
      </c>
      <c r="E76" t="s">
        <v>865</v>
      </c>
      <c r="F76" t="s">
        <v>866</v>
      </c>
      <c r="G76" s="712">
        <v>0</v>
      </c>
      <c r="H76">
        <v>0</v>
      </c>
      <c r="I76" s="713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s="724" t="str">
        <f>VLOOKUP($E76,SP_2024_v28062025!$E$2:$M$1751,9,FALSE)</f>
        <v>AAA390</v>
      </c>
    </row>
    <row r="77" spans="1:19">
      <c r="A77">
        <v>1</v>
      </c>
      <c r="B77" t="s">
        <v>11924</v>
      </c>
      <c r="C77" t="s">
        <v>11936</v>
      </c>
      <c r="D77" t="s">
        <v>11940</v>
      </c>
      <c r="E77" t="s">
        <v>867</v>
      </c>
      <c r="F77" t="s">
        <v>868</v>
      </c>
      <c r="G77" s="712">
        <v>0</v>
      </c>
      <c r="H77">
        <v>0</v>
      </c>
      <c r="I77" s="713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s="724" t="str">
        <f>VLOOKUP($E77,SP_2024_v28062025!$E$2:$M$1751,9,FALSE)</f>
        <v>AAA390</v>
      </c>
    </row>
    <row r="78" spans="1:19">
      <c r="A78">
        <v>1</v>
      </c>
      <c r="B78" t="s">
        <v>11924</v>
      </c>
      <c r="C78" t="s">
        <v>11936</v>
      </c>
      <c r="D78" t="s">
        <v>11940</v>
      </c>
      <c r="E78" t="s">
        <v>869</v>
      </c>
      <c r="F78" t="s">
        <v>870</v>
      </c>
      <c r="G78" s="714">
        <v>2902616.61</v>
      </c>
      <c r="H78">
        <v>0</v>
      </c>
      <c r="I78" s="715">
        <v>2902616.61</v>
      </c>
      <c r="J78" s="711">
        <v>53057.95</v>
      </c>
      <c r="K78" s="711">
        <v>4854.95</v>
      </c>
      <c r="L78">
        <v>0</v>
      </c>
      <c r="M78">
        <v>0</v>
      </c>
      <c r="N78" s="711">
        <v>2955674.56</v>
      </c>
      <c r="O78" s="711">
        <v>4854.95</v>
      </c>
      <c r="P78" s="711">
        <v>2950819.61</v>
      </c>
      <c r="Q78" s="724" t="str">
        <f>VLOOKUP($E78,SP_2024_v28062025!$E$2:$M$1751,9,FALSE)</f>
        <v>AAA390</v>
      </c>
    </row>
    <row r="79" spans="1:19">
      <c r="A79">
        <v>1</v>
      </c>
      <c r="B79" t="s">
        <v>11924</v>
      </c>
      <c r="C79" t="s">
        <v>11936</v>
      </c>
      <c r="D79" t="s">
        <v>11940</v>
      </c>
      <c r="E79" t="s">
        <v>871</v>
      </c>
      <c r="F79" t="s">
        <v>872</v>
      </c>
      <c r="G79" s="714">
        <v>2644807.6</v>
      </c>
      <c r="H79">
        <v>0</v>
      </c>
      <c r="I79" s="715">
        <v>2644807.6</v>
      </c>
      <c r="J79" s="711">
        <v>179768.42</v>
      </c>
      <c r="K79">
        <v>0</v>
      </c>
      <c r="L79">
        <v>0</v>
      </c>
      <c r="M79">
        <v>0</v>
      </c>
      <c r="N79" s="711">
        <v>2824576.02</v>
      </c>
      <c r="O79">
        <v>0</v>
      </c>
      <c r="P79" s="711">
        <v>2824576.02</v>
      </c>
      <c r="Q79" s="724" t="str">
        <f>VLOOKUP($E79,SP_2024_v28062025!$E$2:$M$1751,9,FALSE)</f>
        <v>AAA390</v>
      </c>
    </row>
    <row r="80" spans="1:19">
      <c r="A80">
        <v>1</v>
      </c>
      <c r="B80" t="s">
        <v>11924</v>
      </c>
      <c r="C80" t="s">
        <v>11936</v>
      </c>
      <c r="D80" t="s">
        <v>11940</v>
      </c>
      <c r="E80" t="s">
        <v>873</v>
      </c>
      <c r="F80" t="s">
        <v>874</v>
      </c>
      <c r="G80" s="714">
        <v>4693348.51</v>
      </c>
      <c r="H80">
        <v>0</v>
      </c>
      <c r="I80" s="715">
        <v>4693348.51</v>
      </c>
      <c r="J80" s="711">
        <v>274843.12</v>
      </c>
      <c r="K80">
        <v>0</v>
      </c>
      <c r="L80">
        <v>0</v>
      </c>
      <c r="M80">
        <v>0</v>
      </c>
      <c r="N80" s="711">
        <v>4968191.63</v>
      </c>
      <c r="O80">
        <v>0</v>
      </c>
      <c r="P80" s="711">
        <v>4968191.63</v>
      </c>
      <c r="Q80" s="724" t="str">
        <f>VLOOKUP($E80,SP_2024_v28062025!$E$2:$M$1751,9,FALSE)</f>
        <v>AAA390</v>
      </c>
    </row>
    <row r="81" spans="1:17">
      <c r="A81">
        <v>1</v>
      </c>
      <c r="B81" t="s">
        <v>11924</v>
      </c>
      <c r="C81" t="s">
        <v>11936</v>
      </c>
      <c r="D81" t="s">
        <v>11940</v>
      </c>
      <c r="E81" t="s">
        <v>875</v>
      </c>
      <c r="F81" t="s">
        <v>876</v>
      </c>
      <c r="G81" s="714">
        <v>1448334.73</v>
      </c>
      <c r="H81">
        <v>0</v>
      </c>
      <c r="I81" s="715">
        <v>1448334.73</v>
      </c>
      <c r="J81">
        <v>0</v>
      </c>
      <c r="K81">
        <v>0</v>
      </c>
      <c r="L81">
        <v>0</v>
      </c>
      <c r="M81">
        <v>0</v>
      </c>
      <c r="N81" s="711">
        <v>1448334.73</v>
      </c>
      <c r="O81">
        <v>0</v>
      </c>
      <c r="P81" s="711">
        <v>1448334.73</v>
      </c>
      <c r="Q81" s="724" t="str">
        <f>VLOOKUP($E81,SP_2024_v28062025!$E$2:$M$1751,9,FALSE)</f>
        <v>AAA390</v>
      </c>
    </row>
    <row r="82" spans="1:17">
      <c r="A82">
        <v>1</v>
      </c>
      <c r="B82" t="s">
        <v>11924</v>
      </c>
      <c r="C82" t="s">
        <v>11936</v>
      </c>
      <c r="D82" t="s">
        <v>11940</v>
      </c>
      <c r="E82" t="s">
        <v>877</v>
      </c>
      <c r="F82" t="s">
        <v>878</v>
      </c>
      <c r="G82" s="714">
        <v>883298.02</v>
      </c>
      <c r="H82">
        <v>0</v>
      </c>
      <c r="I82" s="715">
        <v>883298.02</v>
      </c>
      <c r="J82" s="711">
        <v>42504.800000000003</v>
      </c>
      <c r="K82" s="711">
        <v>42504.800000000003</v>
      </c>
      <c r="L82">
        <v>0</v>
      </c>
      <c r="M82">
        <v>0</v>
      </c>
      <c r="N82" s="711">
        <v>925802.82</v>
      </c>
      <c r="O82" s="711">
        <v>42504.800000000003</v>
      </c>
      <c r="P82" s="711">
        <v>883298.02</v>
      </c>
      <c r="Q82" s="724" t="str">
        <f>VLOOKUP($E82,SP_2024_v28062025!$E$2:$M$1751,9,FALSE)</f>
        <v>AAA390</v>
      </c>
    </row>
    <row r="83" spans="1:17">
      <c r="A83">
        <v>1</v>
      </c>
      <c r="B83" t="s">
        <v>11924</v>
      </c>
      <c r="C83" t="s">
        <v>11936</v>
      </c>
      <c r="D83" t="s">
        <v>11940</v>
      </c>
      <c r="E83" t="s">
        <v>879</v>
      </c>
      <c r="F83" t="s">
        <v>880</v>
      </c>
      <c r="G83" s="714">
        <v>2053669.06</v>
      </c>
      <c r="H83">
        <v>0</v>
      </c>
      <c r="I83" s="715">
        <v>2053669.06</v>
      </c>
      <c r="J83" s="711">
        <v>8929.18</v>
      </c>
      <c r="K83">
        <v>0</v>
      </c>
      <c r="L83">
        <v>0</v>
      </c>
      <c r="M83">
        <v>0</v>
      </c>
      <c r="N83" s="711">
        <v>2062598.24</v>
      </c>
      <c r="O83">
        <v>0</v>
      </c>
      <c r="P83" s="711">
        <v>2062598.24</v>
      </c>
      <c r="Q83" s="724" t="str">
        <f>VLOOKUP($E83,SP_2024_v28062025!$E$2:$M$1751,9,FALSE)</f>
        <v>AAA390</v>
      </c>
    </row>
    <row r="84" spans="1:17">
      <c r="A84">
        <v>1</v>
      </c>
      <c r="B84" t="s">
        <v>11924</v>
      </c>
      <c r="C84" t="s">
        <v>11936</v>
      </c>
      <c r="D84" t="s">
        <v>11940</v>
      </c>
      <c r="E84" t="s">
        <v>881</v>
      </c>
      <c r="F84" t="s">
        <v>882</v>
      </c>
      <c r="G84" s="714">
        <v>1241731.52</v>
      </c>
      <c r="H84">
        <v>0</v>
      </c>
      <c r="I84" s="715">
        <v>1241731.52</v>
      </c>
      <c r="J84">
        <v>0</v>
      </c>
      <c r="K84">
        <v>0</v>
      </c>
      <c r="L84">
        <v>0</v>
      </c>
      <c r="M84">
        <v>0</v>
      </c>
      <c r="N84" s="711">
        <v>1241731.52</v>
      </c>
      <c r="O84">
        <v>0</v>
      </c>
      <c r="P84" s="711">
        <v>1241731.52</v>
      </c>
      <c r="Q84" s="724" t="str">
        <f>VLOOKUP($E84,SP_2024_v28062025!$E$2:$M$1751,9,FALSE)</f>
        <v>AAA390</v>
      </c>
    </row>
    <row r="85" spans="1:17">
      <c r="A85">
        <v>1</v>
      </c>
      <c r="B85" t="s">
        <v>11924</v>
      </c>
      <c r="C85" t="s">
        <v>11936</v>
      </c>
      <c r="D85" t="s">
        <v>11940</v>
      </c>
      <c r="E85" t="s">
        <v>883</v>
      </c>
      <c r="F85" t="s">
        <v>884</v>
      </c>
      <c r="G85" s="714">
        <v>158982.73000000001</v>
      </c>
      <c r="H85">
        <v>0</v>
      </c>
      <c r="I85" s="715">
        <v>158982.73000000001</v>
      </c>
      <c r="J85">
        <v>0</v>
      </c>
      <c r="K85">
        <v>0</v>
      </c>
      <c r="L85">
        <v>0</v>
      </c>
      <c r="M85">
        <v>0</v>
      </c>
      <c r="N85" s="711">
        <v>158982.73000000001</v>
      </c>
      <c r="O85">
        <v>0</v>
      </c>
      <c r="P85" s="711">
        <v>158982.73000000001</v>
      </c>
      <c r="Q85" s="724" t="str">
        <f>VLOOKUP($E85,SP_2024_v28062025!$E$2:$M$1751,9,FALSE)</f>
        <v>AAA390</v>
      </c>
    </row>
    <row r="86" spans="1:17">
      <c r="A86">
        <v>1</v>
      </c>
      <c r="B86" t="s">
        <v>11924</v>
      </c>
      <c r="C86" t="s">
        <v>11936</v>
      </c>
      <c r="D86" t="s">
        <v>11940</v>
      </c>
      <c r="E86" t="s">
        <v>885</v>
      </c>
      <c r="F86" t="s">
        <v>886</v>
      </c>
      <c r="G86" s="712">
        <v>0</v>
      </c>
      <c r="H86">
        <v>0</v>
      </c>
      <c r="I86" s="713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 s="724" t="str">
        <f>VLOOKUP($E86,SP_2024_v28062025!$E$2:$M$1751,9,FALSE)</f>
        <v>AAA390</v>
      </c>
    </row>
    <row r="87" spans="1:17">
      <c r="A87">
        <v>1</v>
      </c>
      <c r="B87" t="s">
        <v>11924</v>
      </c>
      <c r="C87" t="s">
        <v>11936</v>
      </c>
      <c r="D87" t="s">
        <v>11940</v>
      </c>
      <c r="E87" t="s">
        <v>887</v>
      </c>
      <c r="F87" t="s">
        <v>888</v>
      </c>
      <c r="G87" s="712">
        <v>0</v>
      </c>
      <c r="H87" s="711">
        <v>1222157.72</v>
      </c>
      <c r="I87" s="715">
        <v>1222157.72</v>
      </c>
      <c r="J87">
        <v>0</v>
      </c>
      <c r="K87" s="711">
        <v>66680.7</v>
      </c>
      <c r="L87">
        <v>0</v>
      </c>
      <c r="M87">
        <v>0</v>
      </c>
      <c r="N87">
        <v>0</v>
      </c>
      <c r="O87" s="711">
        <v>1288838.42</v>
      </c>
      <c r="P87" s="711">
        <v>-1288838.42</v>
      </c>
      <c r="Q87" s="724" t="str">
        <f>VLOOKUP($E87,SP_2024_v28062025!$E$2:$M$1751,9,FALSE)</f>
        <v>AAA400</v>
      </c>
    </row>
    <row r="88" spans="1:17">
      <c r="A88">
        <v>1</v>
      </c>
      <c r="B88" t="s">
        <v>11924</v>
      </c>
      <c r="C88" t="s">
        <v>11936</v>
      </c>
      <c r="D88" t="s">
        <v>11940</v>
      </c>
      <c r="E88" t="s">
        <v>892</v>
      </c>
      <c r="F88" t="s">
        <v>893</v>
      </c>
      <c r="G88" s="712">
        <v>0</v>
      </c>
      <c r="H88" s="711">
        <v>780211.39</v>
      </c>
      <c r="I88" s="715">
        <v>780211.39</v>
      </c>
      <c r="J88">
        <v>0</v>
      </c>
      <c r="K88">
        <v>762.5</v>
      </c>
      <c r="L88">
        <v>0</v>
      </c>
      <c r="M88">
        <v>0</v>
      </c>
      <c r="N88">
        <v>0</v>
      </c>
      <c r="O88" s="711">
        <v>780973.89</v>
      </c>
      <c r="P88" s="711">
        <v>-780973.89</v>
      </c>
      <c r="Q88" s="724" t="str">
        <f>VLOOKUP($E88,SP_2024_v28062025!$E$2:$M$1751,9,FALSE)</f>
        <v>AAA400</v>
      </c>
    </row>
    <row r="89" spans="1:17">
      <c r="A89">
        <v>1</v>
      </c>
      <c r="B89" t="s">
        <v>11924</v>
      </c>
      <c r="C89" t="s">
        <v>11936</v>
      </c>
      <c r="D89" t="s">
        <v>11940</v>
      </c>
      <c r="E89" t="s">
        <v>894</v>
      </c>
      <c r="F89" t="s">
        <v>895</v>
      </c>
      <c r="G89" s="712">
        <v>0</v>
      </c>
      <c r="H89" s="711">
        <v>6712007.2999999998</v>
      </c>
      <c r="I89" s="715">
        <v>6712007.2999999998</v>
      </c>
      <c r="J89" s="711">
        <v>1581235.07</v>
      </c>
      <c r="K89" s="711">
        <v>793732.97</v>
      </c>
      <c r="L89">
        <v>0</v>
      </c>
      <c r="M89">
        <v>0</v>
      </c>
      <c r="N89" s="711">
        <v>1581235.07</v>
      </c>
      <c r="O89" s="711">
        <v>7505740.2699999996</v>
      </c>
      <c r="P89" s="711">
        <v>-5924505.2000000002</v>
      </c>
      <c r="Q89" s="724" t="str">
        <f>VLOOKUP($E89,SP_2024_v28062025!$E$2:$M$1751,9,FALSE)</f>
        <v>AAA400</v>
      </c>
    </row>
    <row r="90" spans="1:17">
      <c r="A90">
        <v>1</v>
      </c>
      <c r="B90" t="s">
        <v>11924</v>
      </c>
      <c r="C90" t="s">
        <v>11936</v>
      </c>
      <c r="D90" t="s">
        <v>11940</v>
      </c>
      <c r="E90" t="s">
        <v>896</v>
      </c>
      <c r="F90" t="s">
        <v>897</v>
      </c>
      <c r="G90" s="712">
        <v>0</v>
      </c>
      <c r="H90">
        <v>0</v>
      </c>
      <c r="I90" s="713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724" t="str">
        <f>VLOOKUP($E90,SP_2024_v28062025!$E$2:$M$1751,9,FALSE)</f>
        <v>AAA400</v>
      </c>
    </row>
    <row r="91" spans="1:17">
      <c r="A91">
        <v>1</v>
      </c>
      <c r="B91" t="s">
        <v>11924</v>
      </c>
      <c r="C91" t="s">
        <v>11936</v>
      </c>
      <c r="D91" t="s">
        <v>11940</v>
      </c>
      <c r="E91" t="s">
        <v>898</v>
      </c>
      <c r="F91" t="s">
        <v>899</v>
      </c>
      <c r="G91" s="712">
        <v>0</v>
      </c>
      <c r="H91">
        <v>0</v>
      </c>
      <c r="I91" s="713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s="724" t="str">
        <f>VLOOKUP($E91,SP_2024_v28062025!$E$2:$M$1751,9,FALSE)</f>
        <v>AAA400</v>
      </c>
    </row>
    <row r="92" spans="1:17">
      <c r="A92">
        <v>1</v>
      </c>
      <c r="B92" t="s">
        <v>11924</v>
      </c>
      <c r="C92" t="s">
        <v>11936</v>
      </c>
      <c r="D92" t="s">
        <v>11940</v>
      </c>
      <c r="E92" t="s">
        <v>900</v>
      </c>
      <c r="F92" t="s">
        <v>901</v>
      </c>
      <c r="G92" s="712">
        <v>0</v>
      </c>
      <c r="H92" s="711">
        <v>2490027.89</v>
      </c>
      <c r="I92" s="715">
        <v>2490027.89</v>
      </c>
      <c r="J92" s="711">
        <v>4854.95</v>
      </c>
      <c r="K92" s="711">
        <v>132681.32999999999</v>
      </c>
      <c r="L92">
        <v>0</v>
      </c>
      <c r="M92">
        <v>0</v>
      </c>
      <c r="N92" s="711">
        <v>4854.95</v>
      </c>
      <c r="O92" s="711">
        <v>2622709.2200000002</v>
      </c>
      <c r="P92" s="711">
        <v>-2617854.27</v>
      </c>
      <c r="Q92" s="724" t="str">
        <f>VLOOKUP($E92,SP_2024_v28062025!$E$2:$M$1751,9,FALSE)</f>
        <v>AAA400</v>
      </c>
    </row>
    <row r="93" spans="1:17">
      <c r="A93">
        <v>1</v>
      </c>
      <c r="B93" t="s">
        <v>11924</v>
      </c>
      <c r="C93" t="s">
        <v>11936</v>
      </c>
      <c r="D93" t="s">
        <v>11940</v>
      </c>
      <c r="E93" t="s">
        <v>902</v>
      </c>
      <c r="F93" t="s">
        <v>903</v>
      </c>
      <c r="G93" s="712">
        <v>0</v>
      </c>
      <c r="H93" s="711">
        <v>2010421.54</v>
      </c>
      <c r="I93" s="715">
        <v>2010421.54</v>
      </c>
      <c r="J93">
        <v>0</v>
      </c>
      <c r="K93" s="711">
        <v>143341.51</v>
      </c>
      <c r="L93">
        <v>0</v>
      </c>
      <c r="M93">
        <v>0</v>
      </c>
      <c r="N93">
        <v>0</v>
      </c>
      <c r="O93" s="711">
        <v>2153763.0499999998</v>
      </c>
      <c r="P93" s="711">
        <v>-2153763.0499999998</v>
      </c>
      <c r="Q93" s="724" t="str">
        <f>VLOOKUP($E93,SP_2024_v28062025!$E$2:$M$1751,9,FALSE)</f>
        <v>AAA400</v>
      </c>
    </row>
    <row r="94" spans="1:17">
      <c r="A94">
        <v>1</v>
      </c>
      <c r="B94" t="s">
        <v>11924</v>
      </c>
      <c r="C94" t="s">
        <v>11936</v>
      </c>
      <c r="D94" t="s">
        <v>11940</v>
      </c>
      <c r="E94" t="s">
        <v>904</v>
      </c>
      <c r="F94" t="s">
        <v>905</v>
      </c>
      <c r="G94" s="712">
        <v>0</v>
      </c>
      <c r="H94" s="711">
        <v>3804388.12</v>
      </c>
      <c r="I94" s="715">
        <v>3804388.12</v>
      </c>
      <c r="J94">
        <v>0</v>
      </c>
      <c r="K94" s="711">
        <v>216535.72</v>
      </c>
      <c r="L94">
        <v>0</v>
      </c>
      <c r="M94">
        <v>0</v>
      </c>
      <c r="N94">
        <v>0</v>
      </c>
      <c r="O94" s="711">
        <v>4020923.84</v>
      </c>
      <c r="P94" s="711">
        <v>-4020923.84</v>
      </c>
      <c r="Q94" s="724" t="str">
        <f>VLOOKUP($E94,SP_2024_v28062025!$E$2:$M$1751,9,FALSE)</f>
        <v>AAA400</v>
      </c>
    </row>
    <row r="95" spans="1:17">
      <c r="A95">
        <v>1</v>
      </c>
      <c r="B95" t="s">
        <v>11924</v>
      </c>
      <c r="C95" t="s">
        <v>11936</v>
      </c>
      <c r="D95" t="s">
        <v>11940</v>
      </c>
      <c r="E95" t="s">
        <v>906</v>
      </c>
      <c r="F95" t="s">
        <v>907</v>
      </c>
      <c r="G95" s="712">
        <v>0</v>
      </c>
      <c r="H95" s="711">
        <v>1439979.06</v>
      </c>
      <c r="I95" s="715">
        <v>1439979.06</v>
      </c>
      <c r="J95">
        <v>0</v>
      </c>
      <c r="K95" s="711">
        <v>3159.23</v>
      </c>
      <c r="L95">
        <v>0</v>
      </c>
      <c r="M95">
        <v>0</v>
      </c>
      <c r="N95">
        <v>0</v>
      </c>
      <c r="O95" s="711">
        <v>1443138.29</v>
      </c>
      <c r="P95" s="711">
        <v>-1443138.29</v>
      </c>
      <c r="Q95" s="724" t="str">
        <f>VLOOKUP($E95,SP_2024_v28062025!$E$2:$M$1751,9,FALSE)</f>
        <v>AAA400</v>
      </c>
    </row>
    <row r="96" spans="1:17">
      <c r="A96">
        <v>1</v>
      </c>
      <c r="B96" t="s">
        <v>11924</v>
      </c>
      <c r="C96" t="s">
        <v>11936</v>
      </c>
      <c r="D96" t="s">
        <v>11940</v>
      </c>
      <c r="E96" t="s">
        <v>908</v>
      </c>
      <c r="F96" t="s">
        <v>909</v>
      </c>
      <c r="G96" s="712">
        <v>0</v>
      </c>
      <c r="H96" s="711">
        <v>1777887.77</v>
      </c>
      <c r="I96" s="715">
        <v>1777887.77</v>
      </c>
      <c r="J96">
        <v>0</v>
      </c>
      <c r="K96" s="711">
        <v>43431.75</v>
      </c>
      <c r="L96">
        <v>0</v>
      </c>
      <c r="M96">
        <v>0</v>
      </c>
      <c r="N96">
        <v>0</v>
      </c>
      <c r="O96" s="711">
        <v>1821319.52</v>
      </c>
      <c r="P96" s="711">
        <v>-1821319.52</v>
      </c>
      <c r="Q96" s="724" t="str">
        <f>VLOOKUP($E96,SP_2024_v28062025!$E$2:$M$1751,9,FALSE)</f>
        <v>AAA400</v>
      </c>
    </row>
    <row r="97" spans="1:17">
      <c r="A97">
        <v>1</v>
      </c>
      <c r="B97" t="s">
        <v>11924</v>
      </c>
      <c r="C97" t="s">
        <v>11936</v>
      </c>
      <c r="D97" t="s">
        <v>11940</v>
      </c>
      <c r="E97" t="s">
        <v>910</v>
      </c>
      <c r="F97" t="s">
        <v>911</v>
      </c>
      <c r="G97" s="712">
        <v>0</v>
      </c>
      <c r="H97" s="711">
        <v>1002799.66</v>
      </c>
      <c r="I97" s="715">
        <v>1002799.66</v>
      </c>
      <c r="J97">
        <v>0</v>
      </c>
      <c r="K97" s="711">
        <v>43815.62</v>
      </c>
      <c r="L97">
        <v>0</v>
      </c>
      <c r="M97">
        <v>0</v>
      </c>
      <c r="N97">
        <v>0</v>
      </c>
      <c r="O97" s="711">
        <v>1046615.28</v>
      </c>
      <c r="P97" s="711">
        <v>-1046615.28</v>
      </c>
      <c r="Q97" s="724" t="str">
        <f>VLOOKUP($E97,SP_2024_v28062025!$E$2:$M$1751,9,FALSE)</f>
        <v>AAA400</v>
      </c>
    </row>
    <row r="98" spans="1:17">
      <c r="A98">
        <v>1</v>
      </c>
      <c r="B98" t="s">
        <v>11924</v>
      </c>
      <c r="C98" t="s">
        <v>11936</v>
      </c>
      <c r="D98" t="s">
        <v>11940</v>
      </c>
      <c r="E98" t="s">
        <v>912</v>
      </c>
      <c r="F98" t="s">
        <v>913</v>
      </c>
      <c r="G98" s="712">
        <v>0</v>
      </c>
      <c r="H98" s="711">
        <v>111274.98</v>
      </c>
      <c r="I98" s="715">
        <v>111274.98</v>
      </c>
      <c r="J98">
        <v>0</v>
      </c>
      <c r="K98" s="711">
        <v>12204.52</v>
      </c>
      <c r="L98">
        <v>0</v>
      </c>
      <c r="M98">
        <v>0</v>
      </c>
      <c r="N98">
        <v>0</v>
      </c>
      <c r="O98" s="711">
        <v>123479.5</v>
      </c>
      <c r="P98" s="711">
        <v>-123479.5</v>
      </c>
      <c r="Q98" s="724" t="str">
        <f>VLOOKUP($E98,SP_2024_v28062025!$E$2:$M$1751,9,FALSE)</f>
        <v>AAA400</v>
      </c>
    </row>
    <row r="99" spans="1:17">
      <c r="A99">
        <v>1</v>
      </c>
      <c r="B99" t="s">
        <v>11924</v>
      </c>
      <c r="C99" t="s">
        <v>11936</v>
      </c>
      <c r="D99" t="s">
        <v>11940</v>
      </c>
      <c r="E99" t="s">
        <v>914</v>
      </c>
      <c r="F99" t="s">
        <v>915</v>
      </c>
      <c r="G99" s="712">
        <v>0</v>
      </c>
      <c r="H99">
        <v>0</v>
      </c>
      <c r="I99" s="713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 s="724" t="str">
        <f>VLOOKUP($E99,SP_2024_v28062025!$E$2:$M$1751,9,FALSE)</f>
        <v>AAA400</v>
      </c>
    </row>
    <row r="100" spans="1:17" ht="15.75" thickBot="1">
      <c r="A100">
        <v>1</v>
      </c>
      <c r="B100" t="s">
        <v>11924</v>
      </c>
      <c r="C100" t="s">
        <v>11936</v>
      </c>
      <c r="D100" t="s">
        <v>11940</v>
      </c>
      <c r="E100" t="s">
        <v>916</v>
      </c>
      <c r="F100" t="s">
        <v>917</v>
      </c>
      <c r="G100" s="712">
        <v>0</v>
      </c>
      <c r="H100" s="711">
        <v>490975.88</v>
      </c>
      <c r="I100" s="715">
        <v>490975.88</v>
      </c>
      <c r="J100">
        <v>0</v>
      </c>
      <c r="K100" s="711">
        <v>62263.72</v>
      </c>
      <c r="L100">
        <v>0</v>
      </c>
      <c r="M100">
        <v>0</v>
      </c>
      <c r="N100">
        <v>0</v>
      </c>
      <c r="O100" s="711">
        <v>553239.6</v>
      </c>
      <c r="P100" s="711">
        <v>-553239.6</v>
      </c>
      <c r="Q100" s="724" t="str">
        <f>VLOOKUP($E100,SP_2024_v28062025!$E$2:$M$1751,9,FALSE)</f>
        <v>AAA400</v>
      </c>
    </row>
    <row r="101" spans="1:17" ht="15.75" thickBot="1">
      <c r="A101" s="727">
        <v>1</v>
      </c>
      <c r="B101" s="727" t="s">
        <v>11924</v>
      </c>
      <c r="C101" s="727" t="s">
        <v>11936</v>
      </c>
      <c r="D101" s="727" t="s">
        <v>11941</v>
      </c>
      <c r="E101" s="727"/>
      <c r="F101" s="729" t="s">
        <v>918</v>
      </c>
      <c r="G101" s="739">
        <v>58292727.149999999</v>
      </c>
      <c r="H101" s="739">
        <v>47387851.18</v>
      </c>
      <c r="I101" s="739">
        <v>10904875.970000001</v>
      </c>
      <c r="J101" s="739">
        <v>3794248.55</v>
      </c>
      <c r="K101" s="739">
        <v>4857975.92</v>
      </c>
      <c r="L101" s="738">
        <v>0</v>
      </c>
      <c r="M101" s="738">
        <v>0</v>
      </c>
      <c r="N101" s="739">
        <v>62086975.700000003</v>
      </c>
      <c r="O101" s="739">
        <v>52245827.100000001</v>
      </c>
      <c r="P101" s="739">
        <v>9841148.5999999996</v>
      </c>
    </row>
    <row r="102" spans="1:17">
      <c r="A102">
        <v>1</v>
      </c>
      <c r="B102" t="s">
        <v>11924</v>
      </c>
      <c r="C102" t="s">
        <v>11936</v>
      </c>
      <c r="D102" t="s">
        <v>11941</v>
      </c>
      <c r="E102" t="s">
        <v>921</v>
      </c>
      <c r="F102" t="s">
        <v>922</v>
      </c>
      <c r="G102" s="714">
        <v>12012226.630000001</v>
      </c>
      <c r="H102">
        <v>0</v>
      </c>
      <c r="I102" s="715">
        <v>12012226.630000001</v>
      </c>
      <c r="J102" s="711">
        <v>1540630.52</v>
      </c>
      <c r="K102" s="711">
        <v>313350.56</v>
      </c>
      <c r="L102">
        <v>0</v>
      </c>
      <c r="M102">
        <v>0</v>
      </c>
      <c r="N102" s="711">
        <v>13552857.15</v>
      </c>
      <c r="O102" s="711">
        <v>313350.56</v>
      </c>
      <c r="P102" s="711">
        <v>13239506.59</v>
      </c>
      <c r="Q102" s="724" t="str">
        <f>VLOOKUP($E102,SP_2024_v28062025!$E$2:$M$1751,9,FALSE)</f>
        <v>AAA420</v>
      </c>
    </row>
    <row r="103" spans="1:17">
      <c r="A103">
        <v>1</v>
      </c>
      <c r="B103" t="s">
        <v>11924</v>
      </c>
      <c r="C103" t="s">
        <v>11936</v>
      </c>
      <c r="D103" t="s">
        <v>11941</v>
      </c>
      <c r="E103" t="s">
        <v>926</v>
      </c>
      <c r="F103" t="s">
        <v>927</v>
      </c>
      <c r="G103" s="712">
        <v>0</v>
      </c>
      <c r="H103">
        <v>0</v>
      </c>
      <c r="I103" s="71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724" t="str">
        <f>VLOOKUP($E103,SP_2024_v28062025!$E$2:$M$1751,9,FALSE)</f>
        <v>AAA420</v>
      </c>
    </row>
    <row r="104" spans="1:17">
      <c r="A104">
        <v>1</v>
      </c>
      <c r="B104" t="s">
        <v>11924</v>
      </c>
      <c r="C104" t="s">
        <v>11936</v>
      </c>
      <c r="D104" t="s">
        <v>11941</v>
      </c>
      <c r="E104" t="s">
        <v>928</v>
      </c>
      <c r="F104" t="s">
        <v>929</v>
      </c>
      <c r="G104" s="714">
        <v>11220781.65</v>
      </c>
      <c r="H104">
        <v>0</v>
      </c>
      <c r="I104" s="715">
        <v>11220781.65</v>
      </c>
      <c r="J104" s="711">
        <v>112551.22</v>
      </c>
      <c r="K104" s="711">
        <v>206299.24</v>
      </c>
      <c r="L104">
        <v>0</v>
      </c>
      <c r="M104">
        <v>0</v>
      </c>
      <c r="N104" s="711">
        <v>11333332.869999999</v>
      </c>
      <c r="O104" s="711">
        <v>206299.24</v>
      </c>
      <c r="P104" s="711">
        <v>11127033.630000001</v>
      </c>
      <c r="Q104" s="724" t="str">
        <f>VLOOKUP($E104,SP_2024_v28062025!$E$2:$M$1751,9,FALSE)</f>
        <v>AAA420</v>
      </c>
    </row>
    <row r="105" spans="1:17">
      <c r="A105">
        <v>1</v>
      </c>
      <c r="B105" t="s">
        <v>11924</v>
      </c>
      <c r="C105" t="s">
        <v>11936</v>
      </c>
      <c r="D105" t="s">
        <v>11941</v>
      </c>
      <c r="E105" t="s">
        <v>930</v>
      </c>
      <c r="F105" t="s">
        <v>931</v>
      </c>
      <c r="G105" s="714">
        <v>533222.79</v>
      </c>
      <c r="H105">
        <v>0</v>
      </c>
      <c r="I105" s="715">
        <v>533222.79</v>
      </c>
      <c r="J105" s="711">
        <v>116824.76</v>
      </c>
      <c r="K105">
        <v>0</v>
      </c>
      <c r="L105">
        <v>0</v>
      </c>
      <c r="M105">
        <v>0</v>
      </c>
      <c r="N105" s="711">
        <v>650047.55000000005</v>
      </c>
      <c r="O105">
        <v>0</v>
      </c>
      <c r="P105" s="711">
        <v>650047.55000000005</v>
      </c>
      <c r="Q105" s="724" t="str">
        <f>VLOOKUP($E105,SP_2024_v28062025!$E$2:$M$1751,9,FALSE)</f>
        <v>AAA420</v>
      </c>
    </row>
    <row r="106" spans="1:17">
      <c r="A106">
        <v>1</v>
      </c>
      <c r="B106" t="s">
        <v>11924</v>
      </c>
      <c r="C106" t="s">
        <v>11936</v>
      </c>
      <c r="D106" t="s">
        <v>11941</v>
      </c>
      <c r="E106" t="s">
        <v>932</v>
      </c>
      <c r="F106" t="s">
        <v>933</v>
      </c>
      <c r="G106" s="712">
        <v>0</v>
      </c>
      <c r="H106">
        <v>0</v>
      </c>
      <c r="I106" s="713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s="724" t="str">
        <f>VLOOKUP($E106,SP_2024_v28062025!$E$2:$M$1751,9,FALSE)</f>
        <v>AAA420</v>
      </c>
    </row>
    <row r="107" spans="1:17">
      <c r="A107">
        <v>1</v>
      </c>
      <c r="B107" t="s">
        <v>11924</v>
      </c>
      <c r="C107" t="s">
        <v>11936</v>
      </c>
      <c r="D107" t="s">
        <v>11941</v>
      </c>
      <c r="E107" t="s">
        <v>934</v>
      </c>
      <c r="F107" t="s">
        <v>935</v>
      </c>
      <c r="G107" s="714">
        <v>30470485.559999999</v>
      </c>
      <c r="H107">
        <v>0</v>
      </c>
      <c r="I107" s="715">
        <v>30470485.559999999</v>
      </c>
      <c r="J107" s="711">
        <v>1107970.42</v>
      </c>
      <c r="K107" s="711">
        <v>267537.2</v>
      </c>
      <c r="L107">
        <v>0</v>
      </c>
      <c r="M107">
        <v>0</v>
      </c>
      <c r="N107" s="711">
        <v>31578455.98</v>
      </c>
      <c r="O107" s="711">
        <v>267537.2</v>
      </c>
      <c r="P107" s="711">
        <v>31310918.780000001</v>
      </c>
      <c r="Q107" s="724" t="str">
        <f>VLOOKUP($E107,SP_2024_v28062025!$E$2:$M$1751,9,FALSE)</f>
        <v>AAA420</v>
      </c>
    </row>
    <row r="108" spans="1:17">
      <c r="A108">
        <v>1</v>
      </c>
      <c r="B108" t="s">
        <v>11924</v>
      </c>
      <c r="C108" t="s">
        <v>11936</v>
      </c>
      <c r="D108" t="s">
        <v>11941</v>
      </c>
      <c r="E108" t="s">
        <v>936</v>
      </c>
      <c r="F108" t="s">
        <v>937</v>
      </c>
      <c r="G108" s="714">
        <v>4056010.52</v>
      </c>
      <c r="H108">
        <v>0</v>
      </c>
      <c r="I108" s="715">
        <v>4056010.52</v>
      </c>
      <c r="J108" s="711">
        <v>127524.63</v>
      </c>
      <c r="K108" s="711">
        <v>1560</v>
      </c>
      <c r="L108">
        <v>0</v>
      </c>
      <c r="M108">
        <v>0</v>
      </c>
      <c r="N108" s="711">
        <v>4183535.15</v>
      </c>
      <c r="O108" s="711">
        <v>1560</v>
      </c>
      <c r="P108" s="711">
        <v>4181975.15</v>
      </c>
      <c r="Q108" s="724" t="str">
        <f>VLOOKUP($E108,SP_2024_v28062025!$E$2:$M$1751,9,FALSE)</f>
        <v>AAA420</v>
      </c>
    </row>
    <row r="109" spans="1:17">
      <c r="A109">
        <v>1</v>
      </c>
      <c r="B109" t="s">
        <v>11924</v>
      </c>
      <c r="C109" t="s">
        <v>11936</v>
      </c>
      <c r="D109" t="s">
        <v>11941</v>
      </c>
      <c r="E109" t="s">
        <v>938</v>
      </c>
      <c r="F109" t="s">
        <v>939</v>
      </c>
      <c r="G109" s="712">
        <v>0</v>
      </c>
      <c r="H109" s="711">
        <v>9309561.8300000001</v>
      </c>
      <c r="I109" s="715">
        <v>9309561.8300000001</v>
      </c>
      <c r="J109" s="711">
        <v>313350.56</v>
      </c>
      <c r="K109" s="711">
        <v>1035595.12</v>
      </c>
      <c r="L109">
        <v>0</v>
      </c>
      <c r="M109">
        <v>0</v>
      </c>
      <c r="N109" s="711">
        <v>313350.56</v>
      </c>
      <c r="O109" s="711">
        <v>10345156.949999999</v>
      </c>
      <c r="P109" s="711">
        <v>-10031806.390000001</v>
      </c>
      <c r="Q109" s="724" t="str">
        <f>VLOOKUP($E109,SP_2024_v28062025!$E$2:$M$1751,9,FALSE)</f>
        <v>AAA430</v>
      </c>
    </row>
    <row r="110" spans="1:17">
      <c r="A110">
        <v>1</v>
      </c>
      <c r="B110" t="s">
        <v>11924</v>
      </c>
      <c r="C110" t="s">
        <v>11936</v>
      </c>
      <c r="D110" t="s">
        <v>11941</v>
      </c>
      <c r="E110" t="s">
        <v>943</v>
      </c>
      <c r="F110" t="s">
        <v>944</v>
      </c>
      <c r="G110" s="712">
        <v>0</v>
      </c>
      <c r="H110">
        <v>0</v>
      </c>
      <c r="I110" s="713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 s="724" t="str">
        <f>VLOOKUP($E110,SP_2024_v28062025!$E$2:$M$1751,9,FALSE)</f>
        <v>AAA430</v>
      </c>
    </row>
    <row r="111" spans="1:17">
      <c r="A111">
        <v>1</v>
      </c>
      <c r="B111" t="s">
        <v>11924</v>
      </c>
      <c r="C111" t="s">
        <v>11936</v>
      </c>
      <c r="D111" t="s">
        <v>11941</v>
      </c>
      <c r="E111" t="s">
        <v>945</v>
      </c>
      <c r="F111" t="s">
        <v>946</v>
      </c>
      <c r="G111" s="712">
        <v>0</v>
      </c>
      <c r="H111" s="711">
        <v>10291388.640000001</v>
      </c>
      <c r="I111" s="715">
        <v>10291388.640000001</v>
      </c>
      <c r="J111" s="711">
        <v>206299.24</v>
      </c>
      <c r="K111" s="711">
        <v>472817.48</v>
      </c>
      <c r="L111">
        <v>0</v>
      </c>
      <c r="M111">
        <v>0</v>
      </c>
      <c r="N111" s="711">
        <v>206299.24</v>
      </c>
      <c r="O111" s="711">
        <v>10764206.119999999</v>
      </c>
      <c r="P111" s="711">
        <v>-10557906.880000001</v>
      </c>
      <c r="Q111" s="724" t="str">
        <f>VLOOKUP($E111,SP_2024_v28062025!$E$2:$M$1751,9,FALSE)</f>
        <v>AAA430</v>
      </c>
    </row>
    <row r="112" spans="1:17">
      <c r="A112">
        <v>1</v>
      </c>
      <c r="B112" t="s">
        <v>11924</v>
      </c>
      <c r="C112" t="s">
        <v>11936</v>
      </c>
      <c r="D112" t="s">
        <v>11941</v>
      </c>
      <c r="E112" t="s">
        <v>947</v>
      </c>
      <c r="F112" t="s">
        <v>948</v>
      </c>
      <c r="G112" s="712">
        <v>0</v>
      </c>
      <c r="H112" s="711">
        <v>454747.15</v>
      </c>
      <c r="I112" s="715">
        <v>454747.15</v>
      </c>
      <c r="J112">
        <v>0</v>
      </c>
      <c r="K112" s="711">
        <v>27102.29</v>
      </c>
      <c r="L112">
        <v>0</v>
      </c>
      <c r="M112">
        <v>0</v>
      </c>
      <c r="N112">
        <v>0</v>
      </c>
      <c r="O112" s="711">
        <v>481849.44</v>
      </c>
      <c r="P112" s="711">
        <v>-481849.44</v>
      </c>
      <c r="Q112" s="724" t="str">
        <f>VLOOKUP($E112,SP_2024_v28062025!$E$2:$M$1751,9,FALSE)</f>
        <v>AAA430</v>
      </c>
    </row>
    <row r="113" spans="1:18">
      <c r="A113">
        <v>1</v>
      </c>
      <c r="B113" t="s">
        <v>11924</v>
      </c>
      <c r="C113" t="s">
        <v>11936</v>
      </c>
      <c r="D113" t="s">
        <v>11941</v>
      </c>
      <c r="E113" t="s">
        <v>949</v>
      </c>
      <c r="F113" t="s">
        <v>950</v>
      </c>
      <c r="G113" s="712">
        <v>0</v>
      </c>
      <c r="H113">
        <v>0</v>
      </c>
      <c r="I113" s="7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 s="724" t="str">
        <f>VLOOKUP($E113,SP_2024_v28062025!$E$2:$M$1751,9,FALSE)</f>
        <v>AAA430</v>
      </c>
    </row>
    <row r="114" spans="1:18">
      <c r="A114">
        <v>1</v>
      </c>
      <c r="B114" t="s">
        <v>11924</v>
      </c>
      <c r="C114" t="s">
        <v>11936</v>
      </c>
      <c r="D114" t="s">
        <v>11941</v>
      </c>
      <c r="E114" t="s">
        <v>951</v>
      </c>
      <c r="F114" t="s">
        <v>952</v>
      </c>
      <c r="G114" s="712">
        <v>0</v>
      </c>
      <c r="H114" s="711">
        <v>3652562.36</v>
      </c>
      <c r="I114" s="715">
        <v>3652562.36</v>
      </c>
      <c r="J114" s="711">
        <v>1560</v>
      </c>
      <c r="K114" s="711">
        <v>133323.79</v>
      </c>
      <c r="L114">
        <v>0</v>
      </c>
      <c r="M114">
        <v>0</v>
      </c>
      <c r="N114" s="711">
        <v>1560</v>
      </c>
      <c r="O114" s="711">
        <v>3785886.15</v>
      </c>
      <c r="P114" s="711">
        <v>-3784326.15</v>
      </c>
      <c r="Q114" s="724" t="str">
        <f>VLOOKUP($E114,SP_2024_v28062025!$E$2:$M$1751,9,FALSE)</f>
        <v>AAA430</v>
      </c>
    </row>
    <row r="115" spans="1:18" ht="15.75" thickBot="1">
      <c r="A115">
        <v>1</v>
      </c>
      <c r="B115" t="s">
        <v>11924</v>
      </c>
      <c r="C115" t="s">
        <v>11936</v>
      </c>
      <c r="D115" t="s">
        <v>11941</v>
      </c>
      <c r="E115" t="s">
        <v>953</v>
      </c>
      <c r="F115" t="s">
        <v>954</v>
      </c>
      <c r="G115" s="712">
        <v>0</v>
      </c>
      <c r="H115" s="711">
        <v>23679591.199999999</v>
      </c>
      <c r="I115" s="715">
        <v>23679591.199999999</v>
      </c>
      <c r="J115" s="711">
        <v>267537.2</v>
      </c>
      <c r="K115" s="711">
        <v>2400390.2400000002</v>
      </c>
      <c r="L115">
        <v>0</v>
      </c>
      <c r="M115">
        <v>0</v>
      </c>
      <c r="N115" s="711">
        <v>267537.2</v>
      </c>
      <c r="O115" s="711">
        <v>26079981.440000001</v>
      </c>
      <c r="P115" s="711">
        <v>-25812444.239999998</v>
      </c>
      <c r="Q115" s="724" t="str">
        <f>VLOOKUP($E115,SP_2024_v28062025!$E$2:$M$1751,9,FALSE)</f>
        <v>AAA430</v>
      </c>
    </row>
    <row r="116" spans="1:18" ht="15.75" thickBot="1">
      <c r="A116" s="727">
        <v>1</v>
      </c>
      <c r="B116" s="727" t="s">
        <v>11924</v>
      </c>
      <c r="C116" s="727" t="s">
        <v>11936</v>
      </c>
      <c r="D116" s="727" t="s">
        <v>11942</v>
      </c>
      <c r="E116" s="727"/>
      <c r="F116" s="729" t="s">
        <v>955</v>
      </c>
      <c r="G116" s="739">
        <v>3576758.4</v>
      </c>
      <c r="H116" s="739">
        <v>3019941.6</v>
      </c>
      <c r="I116" s="739">
        <v>556816.80000000005</v>
      </c>
      <c r="J116" s="739">
        <v>119618.27</v>
      </c>
      <c r="K116" s="739">
        <v>143036.95000000001</v>
      </c>
      <c r="L116" s="738">
        <v>0</v>
      </c>
      <c r="M116" s="738">
        <v>0</v>
      </c>
      <c r="N116" s="739">
        <v>3696376.67</v>
      </c>
      <c r="O116" s="739">
        <v>3162978.55</v>
      </c>
      <c r="P116" s="739">
        <v>533398.12</v>
      </c>
    </row>
    <row r="117" spans="1:18">
      <c r="A117">
        <v>1</v>
      </c>
      <c r="B117" t="s">
        <v>11924</v>
      </c>
      <c r="C117" t="s">
        <v>11936</v>
      </c>
      <c r="D117" t="s">
        <v>11942</v>
      </c>
      <c r="E117" t="s">
        <v>958</v>
      </c>
      <c r="F117" t="s">
        <v>959</v>
      </c>
      <c r="G117" s="714">
        <v>751647.35</v>
      </c>
      <c r="H117">
        <v>0</v>
      </c>
      <c r="I117" s="715">
        <v>751647.35</v>
      </c>
      <c r="J117" s="711">
        <v>110154.19</v>
      </c>
      <c r="K117">
        <v>0</v>
      </c>
      <c r="L117">
        <v>0</v>
      </c>
      <c r="M117">
        <v>0</v>
      </c>
      <c r="N117" s="711">
        <v>861801.54</v>
      </c>
      <c r="O117">
        <v>0</v>
      </c>
      <c r="P117" s="711">
        <v>861801.54</v>
      </c>
      <c r="Q117" s="724" t="str">
        <f>VLOOKUP($E117,SP_2024_v28062025!$E$2:$M$1751,9,FALSE)</f>
        <v>AAA450</v>
      </c>
      <c r="R117" s="711"/>
    </row>
    <row r="118" spans="1:18">
      <c r="A118">
        <v>1</v>
      </c>
      <c r="B118" t="s">
        <v>11924</v>
      </c>
      <c r="C118" t="s">
        <v>11936</v>
      </c>
      <c r="D118" t="s">
        <v>11942</v>
      </c>
      <c r="E118" t="s">
        <v>962</v>
      </c>
      <c r="F118" t="s">
        <v>963</v>
      </c>
      <c r="G118" s="714">
        <v>34404.839999999997</v>
      </c>
      <c r="H118">
        <v>0</v>
      </c>
      <c r="I118" s="715">
        <v>34404.839999999997</v>
      </c>
      <c r="J118" s="711">
        <v>8984.08</v>
      </c>
      <c r="K118">
        <v>0</v>
      </c>
      <c r="L118">
        <v>0</v>
      </c>
      <c r="M118">
        <v>0</v>
      </c>
      <c r="N118" s="711">
        <v>43388.92</v>
      </c>
      <c r="O118">
        <v>0</v>
      </c>
      <c r="P118" s="711">
        <v>43388.92</v>
      </c>
      <c r="Q118" s="724" t="str">
        <f>VLOOKUP($E118,SP_2024_v28062025!$E$2:$M$1751,9,FALSE)</f>
        <v>AAA450</v>
      </c>
    </row>
    <row r="119" spans="1:18">
      <c r="A119">
        <v>1</v>
      </c>
      <c r="B119" t="s">
        <v>11924</v>
      </c>
      <c r="C119" t="s">
        <v>11936</v>
      </c>
      <c r="D119" t="s">
        <v>11942</v>
      </c>
      <c r="E119" t="s">
        <v>964</v>
      </c>
      <c r="F119" t="s">
        <v>965</v>
      </c>
      <c r="G119" s="714">
        <v>2790706.21</v>
      </c>
      <c r="H119">
        <v>0</v>
      </c>
      <c r="I119" s="715">
        <v>2790706.21</v>
      </c>
      <c r="J119">
        <v>0</v>
      </c>
      <c r="K119">
        <v>480</v>
      </c>
      <c r="L119">
        <v>0</v>
      </c>
      <c r="M119">
        <v>0</v>
      </c>
      <c r="N119" s="711">
        <v>2790706.21</v>
      </c>
      <c r="O119">
        <v>480</v>
      </c>
      <c r="P119" s="711">
        <v>2790226.21</v>
      </c>
      <c r="Q119" s="724" t="str">
        <f>VLOOKUP($E119,SP_2024_v28062025!$E$2:$M$1751,9,FALSE)</f>
        <v>AAA450</v>
      </c>
    </row>
    <row r="120" spans="1:18">
      <c r="A120">
        <v>1</v>
      </c>
      <c r="B120" t="s">
        <v>11924</v>
      </c>
      <c r="C120" t="s">
        <v>11936</v>
      </c>
      <c r="D120" t="s">
        <v>11942</v>
      </c>
      <c r="E120" t="s">
        <v>966</v>
      </c>
      <c r="F120" t="s">
        <v>967</v>
      </c>
      <c r="G120" s="712">
        <v>0</v>
      </c>
      <c r="H120">
        <v>0</v>
      </c>
      <c r="I120" s="713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 s="724" t="str">
        <f>VLOOKUP($E120,SP_2024_v28062025!$E$2:$M$1751,9,FALSE)</f>
        <v>AAA450</v>
      </c>
    </row>
    <row r="121" spans="1:18">
      <c r="A121">
        <v>1</v>
      </c>
      <c r="B121" t="s">
        <v>11924</v>
      </c>
      <c r="C121" t="s">
        <v>11936</v>
      </c>
      <c r="D121" t="s">
        <v>11942</v>
      </c>
      <c r="E121" t="s">
        <v>968</v>
      </c>
      <c r="F121" t="s">
        <v>969</v>
      </c>
      <c r="G121" s="712">
        <v>0</v>
      </c>
      <c r="H121">
        <v>0</v>
      </c>
      <c r="I121" s="713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724" t="str">
        <f>VLOOKUP($E121,SP_2024_v28062025!$E$2:$M$1751,9,FALSE)</f>
        <v>AAA450</v>
      </c>
    </row>
    <row r="122" spans="1:18">
      <c r="A122">
        <v>1</v>
      </c>
      <c r="B122" t="s">
        <v>11924</v>
      </c>
      <c r="C122" t="s">
        <v>11936</v>
      </c>
      <c r="D122" t="s">
        <v>11942</v>
      </c>
      <c r="E122" t="s">
        <v>970</v>
      </c>
      <c r="F122" t="s">
        <v>971</v>
      </c>
      <c r="G122" s="712">
        <v>0</v>
      </c>
      <c r="H122" s="711">
        <v>334458.49</v>
      </c>
      <c r="I122" s="715">
        <v>334458.49</v>
      </c>
      <c r="J122">
        <v>0</v>
      </c>
      <c r="K122" s="711">
        <v>92345.25</v>
      </c>
      <c r="L122">
        <v>0</v>
      </c>
      <c r="M122">
        <v>0</v>
      </c>
      <c r="N122">
        <v>0</v>
      </c>
      <c r="O122" s="711">
        <v>426803.74</v>
      </c>
      <c r="P122" s="711">
        <v>-426803.74</v>
      </c>
      <c r="Q122" s="724" t="str">
        <f>VLOOKUP($E122,SP_2024_v28062025!$E$2:$M$1751,9,FALSE)</f>
        <v>AAA460</v>
      </c>
    </row>
    <row r="123" spans="1:18">
      <c r="A123">
        <v>1</v>
      </c>
      <c r="B123" t="s">
        <v>11924</v>
      </c>
      <c r="C123" t="s">
        <v>11936</v>
      </c>
      <c r="D123" t="s">
        <v>11942</v>
      </c>
      <c r="E123" t="s">
        <v>975</v>
      </c>
      <c r="F123" t="s">
        <v>976</v>
      </c>
      <c r="G123" s="712">
        <v>0</v>
      </c>
      <c r="H123" s="711">
        <v>22485.38</v>
      </c>
      <c r="I123" s="715">
        <v>22485.38</v>
      </c>
      <c r="J123">
        <v>0</v>
      </c>
      <c r="K123" s="711">
        <v>11481.35</v>
      </c>
      <c r="L123">
        <v>0</v>
      </c>
      <c r="M123">
        <v>0</v>
      </c>
      <c r="N123">
        <v>0</v>
      </c>
      <c r="O123" s="711">
        <v>33966.730000000003</v>
      </c>
      <c r="P123" s="711">
        <v>-33966.730000000003</v>
      </c>
      <c r="Q123" s="724" t="str">
        <f>VLOOKUP($E123,SP_2024_v28062025!$E$2:$M$1751,9,FALSE)</f>
        <v>AAA460</v>
      </c>
    </row>
    <row r="124" spans="1:18" ht="15.75" thickBot="1">
      <c r="A124">
        <v>1</v>
      </c>
      <c r="B124" t="s">
        <v>11924</v>
      </c>
      <c r="C124" t="s">
        <v>11936</v>
      </c>
      <c r="D124" t="s">
        <v>11942</v>
      </c>
      <c r="E124" t="s">
        <v>977</v>
      </c>
      <c r="F124" t="s">
        <v>978</v>
      </c>
      <c r="G124" s="712">
        <v>0</v>
      </c>
      <c r="H124" s="711">
        <v>2662997.73</v>
      </c>
      <c r="I124" s="715">
        <v>2662997.73</v>
      </c>
      <c r="J124">
        <v>480</v>
      </c>
      <c r="K124" s="711">
        <v>38730.35</v>
      </c>
      <c r="L124">
        <v>0</v>
      </c>
      <c r="M124">
        <v>0</v>
      </c>
      <c r="N124">
        <v>480</v>
      </c>
      <c r="O124" s="711">
        <v>2701728.08</v>
      </c>
      <c r="P124" s="711">
        <v>-2701248.08</v>
      </c>
      <c r="Q124" s="724" t="str">
        <f>VLOOKUP($E124,SP_2024_v28062025!$E$2:$M$1751,9,FALSE)</f>
        <v>AAA460</v>
      </c>
    </row>
    <row r="125" spans="1:18" ht="15.75" thickBot="1">
      <c r="A125" s="727">
        <v>1</v>
      </c>
      <c r="B125" s="727" t="s">
        <v>11924</v>
      </c>
      <c r="C125" s="727" t="s">
        <v>11936</v>
      </c>
      <c r="D125" s="727" t="s">
        <v>11943</v>
      </c>
      <c r="E125" s="727"/>
      <c r="F125" s="729" t="s">
        <v>979</v>
      </c>
      <c r="G125" s="739">
        <v>169133.62</v>
      </c>
      <c r="H125" s="739">
        <v>77005.919999999998</v>
      </c>
      <c r="I125" s="739">
        <v>92127.7</v>
      </c>
      <c r="J125" s="738">
        <v>0</v>
      </c>
      <c r="K125" s="739">
        <v>23798.03</v>
      </c>
      <c r="L125" s="738">
        <v>0</v>
      </c>
      <c r="M125" s="738">
        <v>0</v>
      </c>
      <c r="N125" s="739">
        <v>169133.62</v>
      </c>
      <c r="O125" s="739">
        <v>100803.95</v>
      </c>
      <c r="P125" s="739">
        <v>68329.67</v>
      </c>
    </row>
    <row r="126" spans="1:18">
      <c r="A126">
        <v>1</v>
      </c>
      <c r="B126" t="s">
        <v>11924</v>
      </c>
      <c r="C126" t="s">
        <v>11936</v>
      </c>
      <c r="D126" t="s">
        <v>11943</v>
      </c>
      <c r="E126" t="s">
        <v>982</v>
      </c>
      <c r="F126" t="s">
        <v>983</v>
      </c>
      <c r="G126" s="714">
        <v>95770</v>
      </c>
      <c r="H126">
        <v>0</v>
      </c>
      <c r="I126" s="715">
        <v>95770</v>
      </c>
      <c r="J126">
        <v>0</v>
      </c>
      <c r="K126">
        <v>0</v>
      </c>
      <c r="L126">
        <v>0</v>
      </c>
      <c r="M126">
        <v>0</v>
      </c>
      <c r="N126" s="711">
        <v>95770</v>
      </c>
      <c r="O126">
        <v>0</v>
      </c>
      <c r="P126" s="711">
        <v>95770</v>
      </c>
      <c r="Q126" s="724" t="str">
        <f>VLOOKUP($E126,SP_2024_v28062025!$E$2:$M$1751,9,FALSE)</f>
        <v>AAA480</v>
      </c>
    </row>
    <row r="127" spans="1:18">
      <c r="A127">
        <v>1</v>
      </c>
      <c r="B127" t="s">
        <v>11924</v>
      </c>
      <c r="C127" t="s">
        <v>11936</v>
      </c>
      <c r="D127" t="s">
        <v>11943</v>
      </c>
      <c r="E127" t="s">
        <v>987</v>
      </c>
      <c r="F127" t="s">
        <v>988</v>
      </c>
      <c r="G127" s="714">
        <v>22215</v>
      </c>
      <c r="H127">
        <v>0</v>
      </c>
      <c r="I127" s="715">
        <v>22215</v>
      </c>
      <c r="J127">
        <v>0</v>
      </c>
      <c r="K127">
        <v>0</v>
      </c>
      <c r="L127">
        <v>0</v>
      </c>
      <c r="M127">
        <v>0</v>
      </c>
      <c r="N127" s="711">
        <v>22215</v>
      </c>
      <c r="O127">
        <v>0</v>
      </c>
      <c r="P127" s="711">
        <v>22215</v>
      </c>
      <c r="Q127" s="724" t="str">
        <f>VLOOKUP($E127,SP_2024_v28062025!$E$2:$M$1751,9,FALSE)</f>
        <v>AAA480</v>
      </c>
    </row>
    <row r="128" spans="1:18">
      <c r="A128">
        <v>1</v>
      </c>
      <c r="B128" t="s">
        <v>11924</v>
      </c>
      <c r="C128" t="s">
        <v>11936</v>
      </c>
      <c r="D128" t="s">
        <v>11943</v>
      </c>
      <c r="E128" t="s">
        <v>989</v>
      </c>
      <c r="F128" t="s">
        <v>990</v>
      </c>
      <c r="G128" s="714">
        <v>51148.62</v>
      </c>
      <c r="H128">
        <v>0</v>
      </c>
      <c r="I128" s="715">
        <v>51148.62</v>
      </c>
      <c r="J128">
        <v>0</v>
      </c>
      <c r="K128">
        <v>0</v>
      </c>
      <c r="L128">
        <v>0</v>
      </c>
      <c r="M128">
        <v>0</v>
      </c>
      <c r="N128" s="711">
        <v>51148.62</v>
      </c>
      <c r="O128">
        <v>0</v>
      </c>
      <c r="P128" s="711">
        <v>51148.62</v>
      </c>
      <c r="Q128" s="724" t="str">
        <f>VLOOKUP($E128,SP_2024_v28062025!$E$2:$M$1751,9,FALSE)</f>
        <v>AAA480</v>
      </c>
    </row>
    <row r="129" spans="1:17">
      <c r="A129">
        <v>1</v>
      </c>
      <c r="B129" t="s">
        <v>11924</v>
      </c>
      <c r="C129" t="s">
        <v>11936</v>
      </c>
      <c r="D129" t="s">
        <v>11943</v>
      </c>
      <c r="E129" t="s">
        <v>991</v>
      </c>
      <c r="F129" t="s">
        <v>992</v>
      </c>
      <c r="G129" s="712">
        <v>0</v>
      </c>
      <c r="H129" s="711">
        <v>3642.3</v>
      </c>
      <c r="I129" s="715">
        <v>3642.3</v>
      </c>
      <c r="J129">
        <v>0</v>
      </c>
      <c r="K129" s="711">
        <v>23798.03</v>
      </c>
      <c r="L129">
        <v>0</v>
      </c>
      <c r="M129">
        <v>0</v>
      </c>
      <c r="N129">
        <v>0</v>
      </c>
      <c r="O129" s="711">
        <v>27440.33</v>
      </c>
      <c r="P129" s="711">
        <v>-27440.33</v>
      </c>
      <c r="Q129" s="724" t="str">
        <f>VLOOKUP($E129,SP_2024_v28062025!$E$2:$M$1751,9,FALSE)</f>
        <v>AAA490</v>
      </c>
    </row>
    <row r="130" spans="1:17">
      <c r="A130">
        <v>1</v>
      </c>
      <c r="B130" t="s">
        <v>11924</v>
      </c>
      <c r="C130" t="s">
        <v>11936</v>
      </c>
      <c r="D130" t="s">
        <v>11943</v>
      </c>
      <c r="E130" t="s">
        <v>996</v>
      </c>
      <c r="F130" t="s">
        <v>997</v>
      </c>
      <c r="G130" s="712">
        <v>0</v>
      </c>
      <c r="H130" s="711">
        <v>22215</v>
      </c>
      <c r="I130" s="715">
        <v>22215</v>
      </c>
      <c r="J130">
        <v>0</v>
      </c>
      <c r="K130">
        <v>0</v>
      </c>
      <c r="L130">
        <v>0</v>
      </c>
      <c r="M130">
        <v>0</v>
      </c>
      <c r="N130">
        <v>0</v>
      </c>
      <c r="O130" s="711">
        <v>22215</v>
      </c>
      <c r="P130" s="711">
        <v>-22215</v>
      </c>
      <c r="Q130" s="724" t="str">
        <f>VLOOKUP($E130,SP_2024_v28062025!$E$2:$M$1751,9,FALSE)</f>
        <v>AAA490</v>
      </c>
    </row>
    <row r="131" spans="1:17" ht="15.75" thickBot="1">
      <c r="A131">
        <v>1</v>
      </c>
      <c r="B131" t="s">
        <v>11924</v>
      </c>
      <c r="C131" t="s">
        <v>11936</v>
      </c>
      <c r="D131" t="s">
        <v>11943</v>
      </c>
      <c r="E131" t="s">
        <v>998</v>
      </c>
      <c r="F131" t="s">
        <v>999</v>
      </c>
      <c r="G131" s="712">
        <v>0</v>
      </c>
      <c r="H131" s="711">
        <v>51148.62</v>
      </c>
      <c r="I131" s="715">
        <v>51148.62</v>
      </c>
      <c r="J131">
        <v>0</v>
      </c>
      <c r="K131">
        <v>0</v>
      </c>
      <c r="L131">
        <v>0</v>
      </c>
      <c r="M131">
        <v>0</v>
      </c>
      <c r="N131">
        <v>0</v>
      </c>
      <c r="O131" s="711">
        <v>51148.62</v>
      </c>
      <c r="P131" s="711">
        <v>-51148.62</v>
      </c>
      <c r="Q131" s="724" t="str">
        <f>VLOOKUP($E131,SP_2024_v28062025!$E$2:$M$1751,9,FALSE)</f>
        <v>AAA490</v>
      </c>
    </row>
    <row r="132" spans="1:17" ht="15.75" thickBot="1">
      <c r="A132" s="727">
        <v>1</v>
      </c>
      <c r="B132" s="727" t="s">
        <v>11924</v>
      </c>
      <c r="C132" s="727" t="s">
        <v>11936</v>
      </c>
      <c r="D132" s="727" t="s">
        <v>11944</v>
      </c>
      <c r="E132" s="727"/>
      <c r="F132" s="729" t="s">
        <v>1000</v>
      </c>
      <c r="G132" s="738">
        <v>0</v>
      </c>
      <c r="H132" s="738">
        <v>0</v>
      </c>
      <c r="I132" s="738">
        <v>0</v>
      </c>
      <c r="J132" s="738">
        <v>0</v>
      </c>
      <c r="K132" s="738">
        <v>0</v>
      </c>
      <c r="L132" s="738">
        <v>0</v>
      </c>
      <c r="M132" s="738">
        <v>0</v>
      </c>
      <c r="N132" s="738">
        <v>0</v>
      </c>
      <c r="O132" s="738">
        <v>0</v>
      </c>
      <c r="P132" s="738">
        <v>0</v>
      </c>
    </row>
    <row r="133" spans="1:17" ht="15.75" thickBot="1">
      <c r="A133">
        <v>1</v>
      </c>
      <c r="B133" t="s">
        <v>11924</v>
      </c>
      <c r="C133" t="s">
        <v>11936</v>
      </c>
      <c r="D133" t="s">
        <v>11944</v>
      </c>
      <c r="E133" t="s">
        <v>1002</v>
      </c>
      <c r="F133" t="s">
        <v>1003</v>
      </c>
      <c r="G133" s="712">
        <v>0</v>
      </c>
      <c r="H133">
        <v>0</v>
      </c>
      <c r="I133" s="71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 s="724" t="str">
        <f>VLOOKUP($E133,SP_2024_v28062025!$E$2:$M$1751,9,FALSE)</f>
        <v>AAA500</v>
      </c>
    </row>
    <row r="134" spans="1:17" ht="15.75" thickBot="1">
      <c r="A134" s="727">
        <v>1</v>
      </c>
      <c r="B134" s="727" t="s">
        <v>11924</v>
      </c>
      <c r="C134" s="727" t="s">
        <v>11936</v>
      </c>
      <c r="D134" s="727" t="s">
        <v>11945</v>
      </c>
      <c r="E134" s="727"/>
      <c r="F134" s="729" t="s">
        <v>1004</v>
      </c>
      <c r="G134" s="739">
        <v>957694.11</v>
      </c>
      <c r="H134" s="739">
        <v>834534.86</v>
      </c>
      <c r="I134" s="739">
        <v>123159.25</v>
      </c>
      <c r="J134" s="739">
        <v>8987.32</v>
      </c>
      <c r="K134" s="739">
        <v>35020.550000000003</v>
      </c>
      <c r="L134" s="738">
        <v>0</v>
      </c>
      <c r="M134" s="738">
        <v>0</v>
      </c>
      <c r="N134" s="739">
        <v>966681.43</v>
      </c>
      <c r="O134" s="739">
        <v>869555.41</v>
      </c>
      <c r="P134" s="739">
        <v>97126.02</v>
      </c>
    </row>
    <row r="135" spans="1:17">
      <c r="A135">
        <v>1</v>
      </c>
      <c r="B135" t="s">
        <v>11924</v>
      </c>
      <c r="C135" t="s">
        <v>11936</v>
      </c>
      <c r="D135" t="s">
        <v>11945</v>
      </c>
      <c r="E135" t="s">
        <v>1007</v>
      </c>
      <c r="F135" t="s">
        <v>1008</v>
      </c>
      <c r="G135" s="714">
        <v>187500.46</v>
      </c>
      <c r="H135">
        <v>0</v>
      </c>
      <c r="I135" s="715">
        <v>187500.46</v>
      </c>
      <c r="J135">
        <v>0</v>
      </c>
      <c r="K135">
        <v>0</v>
      </c>
      <c r="L135">
        <v>0</v>
      </c>
      <c r="M135">
        <v>0</v>
      </c>
      <c r="N135" s="711">
        <v>187500.46</v>
      </c>
      <c r="O135">
        <v>0</v>
      </c>
      <c r="P135" s="711">
        <v>187500.46</v>
      </c>
      <c r="Q135" s="724" t="str">
        <f>VLOOKUP($E135,SP_2024_v28062025!$E$2:$M$1751,9,FALSE)</f>
        <v>AAA520</v>
      </c>
    </row>
    <row r="136" spans="1:17">
      <c r="A136">
        <v>1</v>
      </c>
      <c r="B136" t="s">
        <v>11924</v>
      </c>
      <c r="C136" t="s">
        <v>11936</v>
      </c>
      <c r="D136" t="s">
        <v>11945</v>
      </c>
      <c r="E136" t="s">
        <v>1012</v>
      </c>
      <c r="F136" t="s">
        <v>1013</v>
      </c>
      <c r="G136" s="714">
        <v>641148.28</v>
      </c>
      <c r="H136">
        <v>0</v>
      </c>
      <c r="I136" s="715">
        <v>641148.28</v>
      </c>
      <c r="J136" s="711">
        <v>8987.32</v>
      </c>
      <c r="K136">
        <v>0</v>
      </c>
      <c r="L136">
        <v>0</v>
      </c>
      <c r="M136">
        <v>0</v>
      </c>
      <c r="N136" s="711">
        <v>650135.6</v>
      </c>
      <c r="O136">
        <v>0</v>
      </c>
      <c r="P136" s="711">
        <v>650135.6</v>
      </c>
      <c r="Q136" s="724" t="str">
        <f>VLOOKUP($E136,SP_2024_v28062025!$E$2:$M$1751,9,FALSE)</f>
        <v>AAA520</v>
      </c>
    </row>
    <row r="137" spans="1:17">
      <c r="A137">
        <v>1</v>
      </c>
      <c r="B137" t="s">
        <v>11924</v>
      </c>
      <c r="C137" t="s">
        <v>11936</v>
      </c>
      <c r="D137" t="s">
        <v>11945</v>
      </c>
      <c r="E137" t="s">
        <v>1014</v>
      </c>
      <c r="F137" t="s">
        <v>1015</v>
      </c>
      <c r="G137" s="714">
        <v>98405.26</v>
      </c>
      <c r="H137">
        <v>0</v>
      </c>
      <c r="I137" s="715">
        <v>98405.26</v>
      </c>
      <c r="J137">
        <v>0</v>
      </c>
      <c r="K137">
        <v>0</v>
      </c>
      <c r="L137">
        <v>0</v>
      </c>
      <c r="M137">
        <v>0</v>
      </c>
      <c r="N137" s="711">
        <v>98405.26</v>
      </c>
      <c r="O137">
        <v>0</v>
      </c>
      <c r="P137" s="711">
        <v>98405.26</v>
      </c>
      <c r="Q137" s="724" t="str">
        <f>VLOOKUP($E137,SP_2024_v28062025!$E$2:$M$1751,9,FALSE)</f>
        <v>AAA520</v>
      </c>
    </row>
    <row r="138" spans="1:17">
      <c r="A138">
        <v>1</v>
      </c>
      <c r="B138" t="s">
        <v>11924</v>
      </c>
      <c r="C138" t="s">
        <v>11936</v>
      </c>
      <c r="D138" t="s">
        <v>11945</v>
      </c>
      <c r="E138" t="s">
        <v>1016</v>
      </c>
      <c r="F138" t="s">
        <v>1017</v>
      </c>
      <c r="G138" s="714">
        <v>30640.11</v>
      </c>
      <c r="H138">
        <v>0</v>
      </c>
      <c r="I138" s="715">
        <v>30640.11</v>
      </c>
      <c r="J138">
        <v>0</v>
      </c>
      <c r="K138">
        <v>0</v>
      </c>
      <c r="L138">
        <v>0</v>
      </c>
      <c r="M138">
        <v>0</v>
      </c>
      <c r="N138" s="711">
        <v>30640.11</v>
      </c>
      <c r="O138">
        <v>0</v>
      </c>
      <c r="P138" s="711">
        <v>30640.11</v>
      </c>
      <c r="Q138" s="724" t="str">
        <f>VLOOKUP($E138,SP_2024_v28062025!$E$2:$M$1751,9,FALSE)</f>
        <v>AAA520</v>
      </c>
    </row>
    <row r="139" spans="1:17">
      <c r="A139">
        <v>1</v>
      </c>
      <c r="B139" t="s">
        <v>11924</v>
      </c>
      <c r="C139" t="s">
        <v>11936</v>
      </c>
      <c r="D139" t="s">
        <v>11945</v>
      </c>
      <c r="E139" t="s">
        <v>1018</v>
      </c>
      <c r="F139" t="s">
        <v>1019</v>
      </c>
      <c r="G139" s="712">
        <v>0</v>
      </c>
      <c r="H139" s="711">
        <v>187500.46</v>
      </c>
      <c r="I139" s="715">
        <v>187500.46</v>
      </c>
      <c r="J139">
        <v>0</v>
      </c>
      <c r="K139">
        <v>0</v>
      </c>
      <c r="L139">
        <v>0</v>
      </c>
      <c r="M139">
        <v>0</v>
      </c>
      <c r="N139">
        <v>0</v>
      </c>
      <c r="O139" s="711">
        <v>187500.46</v>
      </c>
      <c r="P139" s="711">
        <v>-187500.46</v>
      </c>
      <c r="Q139" s="724" t="str">
        <f>VLOOKUP($E139,SP_2024_v28062025!$E$2:$M$1751,9,FALSE)</f>
        <v>AAA530</v>
      </c>
    </row>
    <row r="140" spans="1:17">
      <c r="A140">
        <v>1</v>
      </c>
      <c r="B140" t="s">
        <v>11924</v>
      </c>
      <c r="C140" t="s">
        <v>11936</v>
      </c>
      <c r="D140" t="s">
        <v>11945</v>
      </c>
      <c r="E140" t="s">
        <v>1023</v>
      </c>
      <c r="F140" t="s">
        <v>1024</v>
      </c>
      <c r="G140" s="712">
        <v>0</v>
      </c>
      <c r="H140" s="711">
        <v>518670.1</v>
      </c>
      <c r="I140" s="715">
        <v>518670.1</v>
      </c>
      <c r="J140">
        <v>0</v>
      </c>
      <c r="K140" s="711">
        <v>34481.31</v>
      </c>
      <c r="L140">
        <v>0</v>
      </c>
      <c r="M140">
        <v>0</v>
      </c>
      <c r="N140">
        <v>0</v>
      </c>
      <c r="O140" s="711">
        <v>553151.41</v>
      </c>
      <c r="P140" s="711">
        <v>-553151.41</v>
      </c>
      <c r="Q140" s="724" t="str">
        <f>VLOOKUP($E140,SP_2024_v28062025!$E$2:$M$1751,9,FALSE)</f>
        <v>AAA530</v>
      </c>
    </row>
    <row r="141" spans="1:17">
      <c r="A141">
        <v>1</v>
      </c>
      <c r="B141" t="s">
        <v>11924</v>
      </c>
      <c r="C141" t="s">
        <v>11936</v>
      </c>
      <c r="D141" t="s">
        <v>11945</v>
      </c>
      <c r="E141" t="s">
        <v>1025</v>
      </c>
      <c r="F141" t="s">
        <v>1026</v>
      </c>
      <c r="G141" s="712">
        <v>0</v>
      </c>
      <c r="H141" s="711">
        <v>29959.040000000001</v>
      </c>
      <c r="I141" s="715">
        <v>29959.040000000001</v>
      </c>
      <c r="J141">
        <v>0</v>
      </c>
      <c r="K141">
        <v>539.24</v>
      </c>
      <c r="L141">
        <v>0</v>
      </c>
      <c r="M141">
        <v>0</v>
      </c>
      <c r="N141">
        <v>0</v>
      </c>
      <c r="O141" s="711">
        <v>30498.28</v>
      </c>
      <c r="P141" s="711">
        <v>-30498.28</v>
      </c>
      <c r="Q141" s="724" t="str">
        <f>VLOOKUP($E141,SP_2024_v28062025!$E$2:$M$1751,9,FALSE)</f>
        <v>AAA530</v>
      </c>
    </row>
    <row r="142" spans="1:17" ht="15.75" thickBot="1">
      <c r="A142">
        <v>1</v>
      </c>
      <c r="B142" t="s">
        <v>11924</v>
      </c>
      <c r="C142" t="s">
        <v>11936</v>
      </c>
      <c r="D142" t="s">
        <v>11945</v>
      </c>
      <c r="E142" t="s">
        <v>1027</v>
      </c>
      <c r="F142" t="s">
        <v>1028</v>
      </c>
      <c r="G142" s="712">
        <v>0</v>
      </c>
      <c r="H142" s="711">
        <v>98405.26</v>
      </c>
      <c r="I142" s="715">
        <v>98405.26</v>
      </c>
      <c r="J142">
        <v>0</v>
      </c>
      <c r="K142">
        <v>0</v>
      </c>
      <c r="L142">
        <v>0</v>
      </c>
      <c r="M142">
        <v>0</v>
      </c>
      <c r="N142">
        <v>0</v>
      </c>
      <c r="O142" s="711">
        <v>98405.26</v>
      </c>
      <c r="P142" s="711">
        <v>-98405.26</v>
      </c>
      <c r="Q142" s="724" t="str">
        <f>VLOOKUP($E142,SP_2024_v28062025!$E$2:$M$1751,9,FALSE)</f>
        <v>AAA530</v>
      </c>
    </row>
    <row r="143" spans="1:17" ht="15.75" thickBot="1">
      <c r="A143" s="727">
        <v>1</v>
      </c>
      <c r="B143" s="727" t="s">
        <v>11924</v>
      </c>
      <c r="C143" s="727" t="s">
        <v>11936</v>
      </c>
      <c r="D143" s="727" t="s">
        <v>11946</v>
      </c>
      <c r="E143" s="727"/>
      <c r="F143" s="729" t="s">
        <v>1029</v>
      </c>
      <c r="G143" s="739">
        <v>30681333.84</v>
      </c>
      <c r="H143" s="738">
        <v>0</v>
      </c>
      <c r="I143" s="739">
        <v>30681333.84</v>
      </c>
      <c r="J143" s="739">
        <v>1569046.98</v>
      </c>
      <c r="K143" s="739">
        <v>4036175.14</v>
      </c>
      <c r="L143" s="738">
        <v>0</v>
      </c>
      <c r="M143" s="738">
        <v>0</v>
      </c>
      <c r="N143" s="739">
        <v>32250380.82</v>
      </c>
      <c r="O143" s="739">
        <v>4036175.14</v>
      </c>
      <c r="P143" s="739">
        <v>28214205.68</v>
      </c>
    </row>
    <row r="144" spans="1:17" ht="15.75" thickBot="1">
      <c r="A144">
        <v>1</v>
      </c>
      <c r="B144" t="s">
        <v>11924</v>
      </c>
      <c r="C144" t="s">
        <v>11936</v>
      </c>
      <c r="D144" t="s">
        <v>11946</v>
      </c>
      <c r="E144" t="s">
        <v>1033</v>
      </c>
      <c r="F144" t="s">
        <v>1029</v>
      </c>
      <c r="G144" s="714">
        <v>30681333.84</v>
      </c>
      <c r="H144">
        <v>0</v>
      </c>
      <c r="I144" s="715">
        <v>30681333.84</v>
      </c>
      <c r="J144" s="711">
        <v>1569046.98</v>
      </c>
      <c r="K144" s="711">
        <v>4036175.14</v>
      </c>
      <c r="L144">
        <v>0</v>
      </c>
      <c r="M144">
        <v>0</v>
      </c>
      <c r="N144" s="711">
        <v>32250380.82</v>
      </c>
      <c r="O144" s="711">
        <v>4036175.14</v>
      </c>
      <c r="P144" s="711">
        <v>28214205.68</v>
      </c>
    </row>
    <row r="145" spans="1:17" ht="15.75" thickBot="1">
      <c r="A145" s="727">
        <v>1</v>
      </c>
      <c r="B145" s="727" t="s">
        <v>11924</v>
      </c>
      <c r="C145" s="727" t="s">
        <v>11936</v>
      </c>
      <c r="D145" s="727" t="s">
        <v>11947</v>
      </c>
      <c r="E145" s="727"/>
      <c r="F145" s="729" t="s">
        <v>1034</v>
      </c>
      <c r="G145" s="738">
        <v>0</v>
      </c>
      <c r="H145" s="738">
        <v>0</v>
      </c>
      <c r="I145" s="738">
        <v>0</v>
      </c>
      <c r="J145" s="738">
        <v>0</v>
      </c>
      <c r="K145" s="738">
        <v>0</v>
      </c>
      <c r="L145" s="738">
        <v>0</v>
      </c>
      <c r="M145" s="738">
        <v>0</v>
      </c>
      <c r="N145" s="738">
        <v>0</v>
      </c>
      <c r="O145" s="738">
        <v>0</v>
      </c>
      <c r="P145" s="738">
        <v>0</v>
      </c>
    </row>
    <row r="146" spans="1:17">
      <c r="A146">
        <v>1</v>
      </c>
      <c r="B146" t="s">
        <v>11924</v>
      </c>
      <c r="C146" t="s">
        <v>11936</v>
      </c>
      <c r="D146" t="s">
        <v>11947</v>
      </c>
      <c r="E146" t="s">
        <v>1038</v>
      </c>
      <c r="F146" t="s">
        <v>1039</v>
      </c>
      <c r="G146" s="712">
        <v>0</v>
      </c>
      <c r="H146">
        <v>0</v>
      </c>
      <c r="I146" s="713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 s="724" t="str">
        <f>VLOOKUP($E146,SP_2024_v28062025!$E$2:$M$1751,9,FALSE)</f>
        <v>AAA560</v>
      </c>
    </row>
    <row r="147" spans="1:17">
      <c r="A147">
        <v>1</v>
      </c>
      <c r="B147" t="s">
        <v>11924</v>
      </c>
      <c r="C147" t="s">
        <v>11936</v>
      </c>
      <c r="D147" t="s">
        <v>11947</v>
      </c>
      <c r="E147" t="s">
        <v>1043</v>
      </c>
      <c r="F147" t="s">
        <v>1044</v>
      </c>
      <c r="G147" s="712">
        <v>0</v>
      </c>
      <c r="H147">
        <v>0</v>
      </c>
      <c r="I147" s="713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 s="724" t="str">
        <f>VLOOKUP($E147,SP_2024_v28062025!$E$2:$M$1751,9,FALSE)</f>
        <v>AAA570</v>
      </c>
    </row>
    <row r="148" spans="1:17">
      <c r="A148">
        <v>1</v>
      </c>
      <c r="B148" t="s">
        <v>11924</v>
      </c>
      <c r="C148" t="s">
        <v>11936</v>
      </c>
      <c r="D148" t="s">
        <v>11947</v>
      </c>
      <c r="E148" t="s">
        <v>1048</v>
      </c>
      <c r="F148" t="s">
        <v>1049</v>
      </c>
      <c r="G148" s="712">
        <v>0</v>
      </c>
      <c r="H148">
        <v>0</v>
      </c>
      <c r="I148" s="713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 s="724" t="str">
        <f>VLOOKUP($E148,SP_2024_v28062025!$E$2:$M$1751,9,FALSE)</f>
        <v>AAA580</v>
      </c>
    </row>
    <row r="149" spans="1:17">
      <c r="A149">
        <v>1</v>
      </c>
      <c r="B149" t="s">
        <v>11924</v>
      </c>
      <c r="C149" t="s">
        <v>11936</v>
      </c>
      <c r="D149" t="s">
        <v>11947</v>
      </c>
      <c r="E149" t="s">
        <v>1053</v>
      </c>
      <c r="F149" t="s">
        <v>1054</v>
      </c>
      <c r="G149" s="712">
        <v>0</v>
      </c>
      <c r="H149">
        <v>0</v>
      </c>
      <c r="I149" s="713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 s="724" t="str">
        <f>VLOOKUP($E149,SP_2024_v28062025!$E$2:$M$1751,9,FALSE)</f>
        <v>AAA590</v>
      </c>
    </row>
    <row r="150" spans="1:17">
      <c r="A150">
        <v>1</v>
      </c>
      <c r="B150" t="s">
        <v>11924</v>
      </c>
      <c r="C150" t="s">
        <v>11936</v>
      </c>
      <c r="D150" t="s">
        <v>11947</v>
      </c>
      <c r="E150" t="s">
        <v>1058</v>
      </c>
      <c r="F150" t="s">
        <v>1059</v>
      </c>
      <c r="G150" s="712">
        <v>0</v>
      </c>
      <c r="H150">
        <v>0</v>
      </c>
      <c r="I150" s="713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 s="724" t="str">
        <f>VLOOKUP($E150,SP_2024_v28062025!$E$2:$M$1751,9,FALSE)</f>
        <v>AAA600</v>
      </c>
    </row>
    <row r="151" spans="1:17">
      <c r="A151">
        <v>1</v>
      </c>
      <c r="B151" t="s">
        <v>11924</v>
      </c>
      <c r="C151" t="s">
        <v>11936</v>
      </c>
      <c r="D151" t="s">
        <v>11947</v>
      </c>
      <c r="E151" t="s">
        <v>1063</v>
      </c>
      <c r="F151" t="s">
        <v>1064</v>
      </c>
      <c r="G151" s="712">
        <v>0</v>
      </c>
      <c r="H151">
        <v>0</v>
      </c>
      <c r="I151" s="713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s="724" t="str">
        <f>VLOOKUP($E151,SP_2024_v28062025!$E$2:$M$1751,9,FALSE)</f>
        <v>AAA610</v>
      </c>
    </row>
    <row r="152" spans="1:17">
      <c r="A152">
        <v>1</v>
      </c>
      <c r="B152" t="s">
        <v>11924</v>
      </c>
      <c r="C152" t="s">
        <v>11936</v>
      </c>
      <c r="D152" t="s">
        <v>11947</v>
      </c>
      <c r="E152" t="s">
        <v>1068</v>
      </c>
      <c r="F152" t="s">
        <v>1069</v>
      </c>
      <c r="G152" s="712">
        <v>0</v>
      </c>
      <c r="H152">
        <v>0</v>
      </c>
      <c r="I152" s="713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 s="724" t="str">
        <f>VLOOKUP($E152,SP_2024_v28062025!$E$2:$M$1751,9,FALSE)</f>
        <v>AAA620</v>
      </c>
    </row>
    <row r="153" spans="1:17" ht="15.75" thickBot="1">
      <c r="A153">
        <v>1</v>
      </c>
      <c r="B153" t="s">
        <v>11924</v>
      </c>
      <c r="C153" t="s">
        <v>11936</v>
      </c>
      <c r="D153" t="s">
        <v>11947</v>
      </c>
      <c r="E153" t="s">
        <v>1073</v>
      </c>
      <c r="F153" t="s">
        <v>1074</v>
      </c>
      <c r="G153" s="712">
        <v>0</v>
      </c>
      <c r="H153">
        <v>0</v>
      </c>
      <c r="I153" s="71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s="724" t="str">
        <f>VLOOKUP($E153,SP_2024_v28062025!$E$2:$M$1751,9,FALSE)</f>
        <v>AAA630</v>
      </c>
    </row>
    <row r="154" spans="1:17" ht="15.75" thickBot="1">
      <c r="A154" s="727">
        <v>1</v>
      </c>
      <c r="B154" s="727" t="s">
        <v>11924</v>
      </c>
      <c r="C154" s="727" t="s">
        <v>11948</v>
      </c>
      <c r="D154" s="727"/>
      <c r="E154" s="727"/>
      <c r="F154" s="745" t="s">
        <v>1078</v>
      </c>
      <c r="G154" s="739">
        <v>178000</v>
      </c>
      <c r="H154" s="738">
        <v>0</v>
      </c>
      <c r="I154" s="739">
        <v>178000</v>
      </c>
      <c r="J154" s="739">
        <v>46713.88</v>
      </c>
      <c r="K154" s="739">
        <v>46713.88</v>
      </c>
      <c r="L154" s="738">
        <v>0</v>
      </c>
      <c r="M154" s="738">
        <v>0</v>
      </c>
      <c r="N154" s="739">
        <v>224713.88</v>
      </c>
      <c r="O154" s="739">
        <v>46713.88</v>
      </c>
      <c r="P154" s="739">
        <v>178000</v>
      </c>
    </row>
    <row r="155" spans="1:17" ht="15.75" thickBot="1">
      <c r="A155" s="727">
        <v>1</v>
      </c>
      <c r="B155" s="727" t="s">
        <v>11924</v>
      </c>
      <c r="C155" s="727" t="s">
        <v>11948</v>
      </c>
      <c r="D155" s="727" t="s">
        <v>11949</v>
      </c>
      <c r="E155" s="727"/>
      <c r="F155" s="729" t="s">
        <v>1080</v>
      </c>
      <c r="G155" s="738">
        <v>0</v>
      </c>
      <c r="H155" s="738">
        <v>0</v>
      </c>
      <c r="I155" s="738">
        <v>0</v>
      </c>
      <c r="J155" s="738">
        <v>0</v>
      </c>
      <c r="K155" s="738">
        <v>0</v>
      </c>
      <c r="L155" s="738">
        <v>0</v>
      </c>
      <c r="M155" s="738">
        <v>0</v>
      </c>
      <c r="N155" s="738">
        <v>0</v>
      </c>
      <c r="O155" s="738">
        <v>0</v>
      </c>
      <c r="P155" s="738">
        <v>0</v>
      </c>
    </row>
    <row r="156" spans="1:17" ht="15.75" thickBot="1">
      <c r="A156">
        <v>1</v>
      </c>
      <c r="B156" t="s">
        <v>11924</v>
      </c>
      <c r="C156" t="s">
        <v>11948</v>
      </c>
      <c r="D156" t="s">
        <v>11949</v>
      </c>
      <c r="E156" t="s">
        <v>1083</v>
      </c>
      <c r="F156" t="s">
        <v>1080</v>
      </c>
      <c r="G156" s="712">
        <v>0</v>
      </c>
      <c r="H156">
        <v>0</v>
      </c>
      <c r="I156" s="713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 s="724" t="str">
        <f>VLOOKUP($E156,SP_2024_v28062025!$E$2:$M$1751,9,FALSE)</f>
        <v>AAA670</v>
      </c>
    </row>
    <row r="157" spans="1:17" ht="15.75" thickBot="1">
      <c r="A157" s="727">
        <v>1</v>
      </c>
      <c r="B157" s="727" t="s">
        <v>11924</v>
      </c>
      <c r="C157" s="727" t="s">
        <v>11948</v>
      </c>
      <c r="D157" s="727" t="s">
        <v>11950</v>
      </c>
      <c r="E157" s="727"/>
      <c r="F157" s="729" t="s">
        <v>1085</v>
      </c>
      <c r="G157" s="738">
        <v>0</v>
      </c>
      <c r="H157" s="738">
        <v>0</v>
      </c>
      <c r="I157" s="738">
        <v>0</v>
      </c>
      <c r="J157" s="738">
        <v>0</v>
      </c>
      <c r="K157" s="738">
        <v>0</v>
      </c>
      <c r="L157" s="738">
        <v>0</v>
      </c>
      <c r="M157" s="738">
        <v>0</v>
      </c>
      <c r="N157" s="738">
        <v>0</v>
      </c>
      <c r="O157" s="738">
        <v>0</v>
      </c>
      <c r="P157" s="738">
        <v>0</v>
      </c>
    </row>
    <row r="158" spans="1:17" ht="15.75" thickBot="1">
      <c r="A158">
        <v>1</v>
      </c>
      <c r="B158" t="s">
        <v>11924</v>
      </c>
      <c r="C158" t="s">
        <v>11948</v>
      </c>
      <c r="D158" t="s">
        <v>11950</v>
      </c>
      <c r="E158" t="s">
        <v>1087</v>
      </c>
      <c r="F158" t="s">
        <v>1085</v>
      </c>
      <c r="G158" s="712">
        <v>0</v>
      </c>
      <c r="H158">
        <v>0</v>
      </c>
      <c r="I158" s="713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 s="724" t="str">
        <f>VLOOKUP($E158,SP_2024_v28062025!$E$2:$M$1751,9,FALSE)</f>
        <v>AAA670</v>
      </c>
    </row>
    <row r="159" spans="1:17" ht="15.75" thickBot="1">
      <c r="A159" s="727">
        <v>1</v>
      </c>
      <c r="B159" s="727" t="s">
        <v>11924</v>
      </c>
      <c r="C159" s="727" t="s">
        <v>11948</v>
      </c>
      <c r="D159" s="727" t="s">
        <v>11951</v>
      </c>
      <c r="E159" s="727"/>
      <c r="F159" s="729" t="s">
        <v>1088</v>
      </c>
      <c r="G159" s="738">
        <v>0</v>
      </c>
      <c r="H159" s="738">
        <v>0</v>
      </c>
      <c r="I159" s="738">
        <v>0</v>
      </c>
      <c r="J159" s="738">
        <v>0</v>
      </c>
      <c r="K159" s="738">
        <v>0</v>
      </c>
      <c r="L159" s="738">
        <v>0</v>
      </c>
      <c r="M159" s="738">
        <v>0</v>
      </c>
      <c r="N159" s="738">
        <v>0</v>
      </c>
      <c r="O159" s="738">
        <v>0</v>
      </c>
      <c r="P159" s="738">
        <v>0</v>
      </c>
    </row>
    <row r="160" spans="1:17">
      <c r="A160">
        <v>1</v>
      </c>
      <c r="B160" t="s">
        <v>11924</v>
      </c>
      <c r="C160" t="s">
        <v>11948</v>
      </c>
      <c r="D160" t="s">
        <v>11951</v>
      </c>
      <c r="E160" t="s">
        <v>1091</v>
      </c>
      <c r="F160" t="s">
        <v>1092</v>
      </c>
      <c r="G160" s="712">
        <v>0</v>
      </c>
      <c r="H160">
        <v>0</v>
      </c>
      <c r="I160" s="713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 s="724" t="str">
        <f>VLOOKUP($E160,SP_2024_v28062025!$E$2:$M$1751,9,FALSE)</f>
        <v>AAA670</v>
      </c>
    </row>
    <row r="161" spans="1:17" ht="15.75" thickBot="1">
      <c r="A161">
        <v>1</v>
      </c>
      <c r="B161" t="s">
        <v>11924</v>
      </c>
      <c r="C161" t="s">
        <v>11948</v>
      </c>
      <c r="D161" t="s">
        <v>11951</v>
      </c>
      <c r="E161" t="s">
        <v>1094</v>
      </c>
      <c r="F161" t="s">
        <v>1095</v>
      </c>
      <c r="G161" s="712">
        <v>0</v>
      </c>
      <c r="H161">
        <v>0</v>
      </c>
      <c r="I161" s="713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s="724" t="str">
        <f>VLOOKUP($E161,SP_2024_v28062025!$E$2:$M$1751,9,FALSE)</f>
        <v>AAA680</v>
      </c>
    </row>
    <row r="162" spans="1:17" ht="15.75" thickBot="1">
      <c r="A162" s="727">
        <v>1</v>
      </c>
      <c r="B162" s="727" t="s">
        <v>11924</v>
      </c>
      <c r="C162" s="727" t="s">
        <v>11948</v>
      </c>
      <c r="D162" s="727" t="s">
        <v>11952</v>
      </c>
      <c r="E162" s="727"/>
      <c r="F162" s="729" t="s">
        <v>1097</v>
      </c>
      <c r="G162" s="738">
        <v>0</v>
      </c>
      <c r="H162" s="738">
        <v>0</v>
      </c>
      <c r="I162" s="738">
        <v>0</v>
      </c>
      <c r="J162" s="739">
        <v>46713.88</v>
      </c>
      <c r="K162" s="739">
        <v>46713.88</v>
      </c>
      <c r="L162" s="738">
        <v>0</v>
      </c>
      <c r="M162" s="738">
        <v>0</v>
      </c>
      <c r="N162" s="739">
        <v>46713.88</v>
      </c>
      <c r="O162" s="739">
        <v>46713.88</v>
      </c>
      <c r="P162" s="738">
        <v>0</v>
      </c>
    </row>
    <row r="163" spans="1:17">
      <c r="A163">
        <v>1</v>
      </c>
      <c r="B163" t="s">
        <v>11924</v>
      </c>
      <c r="C163" t="s">
        <v>11948</v>
      </c>
      <c r="D163" t="s">
        <v>11952</v>
      </c>
      <c r="E163" t="s">
        <v>1100</v>
      </c>
      <c r="F163" t="s">
        <v>1101</v>
      </c>
      <c r="G163" s="712">
        <v>0</v>
      </c>
      <c r="H163">
        <v>0</v>
      </c>
      <c r="I163" s="71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 s="724" t="str">
        <f>VLOOKUP($E163,SP_2024_v28062025!$E$2:$M$1751,9,FALSE)</f>
        <v>AAA690</v>
      </c>
    </row>
    <row r="164" spans="1:17">
      <c r="A164">
        <v>1</v>
      </c>
      <c r="B164" t="s">
        <v>11924</v>
      </c>
      <c r="C164" t="s">
        <v>11948</v>
      </c>
      <c r="D164" t="s">
        <v>11952</v>
      </c>
      <c r="E164" t="s">
        <v>1103</v>
      </c>
      <c r="F164" t="s">
        <v>1104</v>
      </c>
      <c r="G164" s="712">
        <v>0</v>
      </c>
      <c r="H164">
        <v>0</v>
      </c>
      <c r="I164" s="713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 s="724" t="str">
        <f>VLOOKUP($E164,SP_2024_v28062025!$E$2:$M$1751,9,FALSE)</f>
        <v>AAA690</v>
      </c>
    </row>
    <row r="165" spans="1:17">
      <c r="A165">
        <v>1</v>
      </c>
      <c r="B165" t="s">
        <v>11924</v>
      </c>
      <c r="C165" t="s">
        <v>11948</v>
      </c>
      <c r="D165" t="s">
        <v>11952</v>
      </c>
      <c r="E165" t="s">
        <v>1106</v>
      </c>
      <c r="F165" t="s">
        <v>1097</v>
      </c>
      <c r="G165" s="712">
        <v>0</v>
      </c>
      <c r="H165">
        <v>0</v>
      </c>
      <c r="I165" s="713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 s="724" t="str">
        <f>VLOOKUP($E165,SP_2024_v28062025!$E$2:$M$1751,9,FALSE)</f>
        <v>AAA690</v>
      </c>
    </row>
    <row r="166" spans="1:17">
      <c r="A166">
        <v>1</v>
      </c>
      <c r="B166" t="s">
        <v>11924</v>
      </c>
      <c r="C166" t="s">
        <v>11948</v>
      </c>
      <c r="D166" t="s">
        <v>11952</v>
      </c>
      <c r="E166" t="s">
        <v>1107</v>
      </c>
      <c r="F166" t="s">
        <v>1108</v>
      </c>
      <c r="G166" s="712">
        <v>0</v>
      </c>
      <c r="H166">
        <v>0</v>
      </c>
      <c r="I166" s="713">
        <v>0</v>
      </c>
      <c r="J166" s="711">
        <v>46713.88</v>
      </c>
      <c r="K166" s="711">
        <v>46713.88</v>
      </c>
      <c r="L166">
        <v>0</v>
      </c>
      <c r="M166">
        <v>0</v>
      </c>
      <c r="N166" s="711">
        <v>46713.88</v>
      </c>
      <c r="O166" s="711">
        <v>46713.88</v>
      </c>
      <c r="P166">
        <v>0</v>
      </c>
      <c r="Q166" s="724" t="str">
        <f>VLOOKUP($E166,SP_2024_v28062025!$E$2:$M$1751,9,FALSE)</f>
        <v>AAA690</v>
      </c>
    </row>
    <row r="167" spans="1:17" ht="15.75" thickBot="1">
      <c r="A167">
        <v>1</v>
      </c>
      <c r="B167" t="s">
        <v>11924</v>
      </c>
      <c r="C167" t="s">
        <v>11948</v>
      </c>
      <c r="D167" t="s">
        <v>11952</v>
      </c>
      <c r="E167" t="s">
        <v>1109</v>
      </c>
      <c r="F167" t="s">
        <v>11</v>
      </c>
      <c r="G167" s="712">
        <v>0</v>
      </c>
      <c r="H167">
        <v>0</v>
      </c>
      <c r="I167" s="713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 s="724" t="str">
        <f>VLOOKUP($E167,SP_2024_v28062025!$E$2:$M$1751,9,FALSE)</f>
        <v>AAA690</v>
      </c>
    </row>
    <row r="168" spans="1:17" ht="15.75" thickBot="1">
      <c r="A168" s="727">
        <v>1</v>
      </c>
      <c r="B168" s="727" t="s">
        <v>11924</v>
      </c>
      <c r="C168" s="727" t="s">
        <v>11948</v>
      </c>
      <c r="D168" s="727" t="s">
        <v>11953</v>
      </c>
      <c r="E168" s="727"/>
      <c r="F168" s="729" t="s">
        <v>1111</v>
      </c>
      <c r="G168" s="739">
        <v>178000</v>
      </c>
      <c r="H168" s="738">
        <v>0</v>
      </c>
      <c r="I168" s="739">
        <v>178000</v>
      </c>
      <c r="J168" s="738">
        <v>0</v>
      </c>
      <c r="K168" s="738">
        <v>0</v>
      </c>
      <c r="L168" s="738">
        <v>0</v>
      </c>
      <c r="M168" s="738">
        <v>0</v>
      </c>
      <c r="N168" s="739">
        <v>178000</v>
      </c>
      <c r="O168" s="738">
        <v>0</v>
      </c>
      <c r="P168" s="739">
        <v>178000</v>
      </c>
    </row>
    <row r="169" spans="1:17">
      <c r="A169">
        <v>1</v>
      </c>
      <c r="B169" t="s">
        <v>11924</v>
      </c>
      <c r="C169" t="s">
        <v>11948</v>
      </c>
      <c r="D169" t="s">
        <v>11953</v>
      </c>
      <c r="E169" t="s">
        <v>1114</v>
      </c>
      <c r="F169" t="s">
        <v>1115</v>
      </c>
      <c r="G169" s="712">
        <v>0</v>
      </c>
      <c r="H169">
        <v>0</v>
      </c>
      <c r="I169" s="713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s="724" t="str">
        <f>VLOOKUP($E169,SP_2024_v28062025!$E$2:$M$1751,9,FALSE)</f>
        <v>AAA710</v>
      </c>
    </row>
    <row r="170" spans="1:17">
      <c r="A170">
        <v>1</v>
      </c>
      <c r="B170" t="s">
        <v>11924</v>
      </c>
      <c r="C170" t="s">
        <v>11948</v>
      </c>
      <c r="D170" t="s">
        <v>11953</v>
      </c>
      <c r="E170" t="s">
        <v>1117</v>
      </c>
      <c r="F170" t="s">
        <v>1118</v>
      </c>
      <c r="G170" s="712">
        <v>0</v>
      </c>
      <c r="H170">
        <v>0</v>
      </c>
      <c r="I170" s="713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 s="724" t="str">
        <f>VLOOKUP($E170,SP_2024_v28062025!$E$2:$M$1751,9,FALSE)</f>
        <v>AAA710</v>
      </c>
    </row>
    <row r="171" spans="1:17">
      <c r="A171">
        <v>1</v>
      </c>
      <c r="B171" t="s">
        <v>11924</v>
      </c>
      <c r="C171" t="s">
        <v>11948</v>
      </c>
      <c r="D171" t="s">
        <v>11953</v>
      </c>
      <c r="E171" t="s">
        <v>1119</v>
      </c>
      <c r="F171" t="s">
        <v>1120</v>
      </c>
      <c r="G171" s="712">
        <v>0</v>
      </c>
      <c r="H171">
        <v>0</v>
      </c>
      <c r="I171" s="713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 s="724" t="str">
        <f>VLOOKUP($E171,SP_2024_v28062025!$E$2:$M$1751,9,FALSE)</f>
        <v>AAA710</v>
      </c>
    </row>
    <row r="172" spans="1:17" ht="15.75" thickBot="1">
      <c r="A172">
        <v>1</v>
      </c>
      <c r="B172" t="s">
        <v>11924</v>
      </c>
      <c r="C172" t="s">
        <v>11948</v>
      </c>
      <c r="D172" t="s">
        <v>11953</v>
      </c>
      <c r="E172" t="s">
        <v>1122</v>
      </c>
      <c r="F172" t="s">
        <v>1123</v>
      </c>
      <c r="G172" s="714">
        <v>178000</v>
      </c>
      <c r="H172">
        <v>0</v>
      </c>
      <c r="I172" s="715">
        <v>178000</v>
      </c>
      <c r="J172">
        <v>0</v>
      </c>
      <c r="K172">
        <v>0</v>
      </c>
      <c r="L172">
        <v>0</v>
      </c>
      <c r="M172">
        <v>0</v>
      </c>
      <c r="N172" s="711">
        <v>178000</v>
      </c>
      <c r="O172">
        <v>0</v>
      </c>
      <c r="P172" s="711">
        <v>178000</v>
      </c>
      <c r="Q172" s="724" t="str">
        <f>VLOOKUP($E172,SP_2024_v28062025!$E$2:$M$1751,9,FALSE)</f>
        <v>AAA710</v>
      </c>
    </row>
    <row r="173" spans="1:17" ht="15.75" thickBot="1">
      <c r="A173" s="727">
        <v>1</v>
      </c>
      <c r="B173" s="727" t="s">
        <v>11924</v>
      </c>
      <c r="C173" s="727" t="s">
        <v>11948</v>
      </c>
      <c r="D173" s="727" t="s">
        <v>11954</v>
      </c>
      <c r="E173" s="727"/>
      <c r="F173" s="729" t="s">
        <v>1126</v>
      </c>
      <c r="G173" s="738">
        <v>0</v>
      </c>
      <c r="H173" s="738">
        <v>0</v>
      </c>
      <c r="I173" s="738">
        <v>0</v>
      </c>
      <c r="J173" s="738">
        <v>0</v>
      </c>
      <c r="K173" s="738">
        <v>0</v>
      </c>
      <c r="L173" s="738">
        <v>0</v>
      </c>
      <c r="M173" s="738">
        <v>0</v>
      </c>
      <c r="N173" s="738">
        <v>0</v>
      </c>
      <c r="O173" s="738">
        <v>0</v>
      </c>
      <c r="P173" s="738">
        <v>0</v>
      </c>
    </row>
    <row r="174" spans="1:17">
      <c r="A174">
        <v>1</v>
      </c>
      <c r="B174" t="s">
        <v>11924</v>
      </c>
      <c r="C174" t="s">
        <v>11948</v>
      </c>
      <c r="D174" t="s">
        <v>11954</v>
      </c>
      <c r="E174" t="s">
        <v>1129</v>
      </c>
      <c r="F174" t="s">
        <v>1130</v>
      </c>
      <c r="G174" s="712">
        <v>0</v>
      </c>
      <c r="H174">
        <v>0</v>
      </c>
      <c r="I174" s="713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 s="724" t="str">
        <f>VLOOKUP($E174,SP_2024_v28062025!$E$2:$M$1751,9,FALSE)</f>
        <v>AAA730</v>
      </c>
    </row>
    <row r="175" spans="1:17">
      <c r="A175">
        <v>1</v>
      </c>
      <c r="B175" t="s">
        <v>11924</v>
      </c>
      <c r="C175" t="s">
        <v>11948</v>
      </c>
      <c r="D175" t="s">
        <v>11954</v>
      </c>
      <c r="E175" t="s">
        <v>1133</v>
      </c>
      <c r="F175" t="s">
        <v>1134</v>
      </c>
      <c r="G175" s="712">
        <v>0</v>
      </c>
      <c r="H175">
        <v>0</v>
      </c>
      <c r="I175" s="713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 s="724" t="str">
        <f>VLOOKUP($E175,SP_2024_v28062025!$E$2:$M$1751,9,FALSE)</f>
        <v>AAA740</v>
      </c>
    </row>
    <row r="176" spans="1:17">
      <c r="A176">
        <v>1</v>
      </c>
      <c r="B176" t="s">
        <v>11924</v>
      </c>
      <c r="C176" t="s">
        <v>11948</v>
      </c>
      <c r="D176" t="s">
        <v>11954</v>
      </c>
      <c r="E176" t="s">
        <v>1137</v>
      </c>
      <c r="F176" t="s">
        <v>1138</v>
      </c>
      <c r="G176" s="712">
        <v>0</v>
      </c>
      <c r="H176">
        <v>0</v>
      </c>
      <c r="I176" s="713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 s="724" t="str">
        <f>VLOOKUP($E176,SP_2024_v28062025!$E$2:$M$1751,9,FALSE)</f>
        <v>AAA750</v>
      </c>
    </row>
    <row r="177" spans="1:17" ht="15.75" thickBot="1">
      <c r="A177">
        <v>1</v>
      </c>
      <c r="B177" t="s">
        <v>11924</v>
      </c>
      <c r="C177" t="s">
        <v>11948</v>
      </c>
      <c r="D177" t="s">
        <v>11954</v>
      </c>
      <c r="E177" t="s">
        <v>1141</v>
      </c>
      <c r="F177" t="s">
        <v>1126</v>
      </c>
      <c r="G177" s="712">
        <v>0</v>
      </c>
      <c r="H177">
        <v>0</v>
      </c>
      <c r="I177" s="713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 s="724" t="str">
        <f>VLOOKUP($E177,SP_2024_v28062025!$E$2:$M$1751,9,FALSE)</f>
        <v>AAA760</v>
      </c>
    </row>
    <row r="178" spans="1:17" ht="15.75" thickBot="1">
      <c r="A178" s="727">
        <v>1</v>
      </c>
      <c r="B178" s="727" t="s">
        <v>11955</v>
      </c>
      <c r="C178" s="727"/>
      <c r="D178" s="727"/>
      <c r="E178" s="727"/>
      <c r="F178" s="745" t="s">
        <v>1144</v>
      </c>
      <c r="G178" s="739">
        <v>206994140.77000001</v>
      </c>
      <c r="H178" s="739">
        <v>11180119.35</v>
      </c>
      <c r="I178" s="739">
        <v>195814021.41999999</v>
      </c>
      <c r="J178" s="739">
        <v>1817881305.1800001</v>
      </c>
      <c r="K178" s="739">
        <v>1815105760.25</v>
      </c>
      <c r="L178" s="738">
        <v>0</v>
      </c>
      <c r="M178" s="738">
        <v>0</v>
      </c>
      <c r="N178" s="739">
        <v>2024875445.95</v>
      </c>
      <c r="O178" s="739">
        <v>1826285879.5999999</v>
      </c>
      <c r="P178" s="739">
        <v>198589566.34999999</v>
      </c>
    </row>
    <row r="179" spans="1:17" ht="15.75" thickBot="1">
      <c r="A179" s="727">
        <v>1</v>
      </c>
      <c r="B179" s="727" t="s">
        <v>11955</v>
      </c>
      <c r="C179" s="727" t="s">
        <v>11956</v>
      </c>
      <c r="D179" s="727"/>
      <c r="E179" s="727"/>
      <c r="F179" s="745" t="s">
        <v>5</v>
      </c>
      <c r="G179" s="739">
        <v>16358887.189999999</v>
      </c>
      <c r="H179" s="739">
        <v>19687.84</v>
      </c>
      <c r="I179" s="739">
        <v>16339199.35</v>
      </c>
      <c r="J179" s="739">
        <v>24857882.57</v>
      </c>
      <c r="K179" s="739">
        <v>16335538.17</v>
      </c>
      <c r="L179" s="738">
        <v>0</v>
      </c>
      <c r="M179" s="738">
        <v>0</v>
      </c>
      <c r="N179" s="739">
        <v>41216769.759999998</v>
      </c>
      <c r="O179" s="739">
        <v>16355226.01</v>
      </c>
      <c r="P179" s="739">
        <v>24861543.75</v>
      </c>
    </row>
    <row r="180" spans="1:17" ht="15.75" thickBot="1">
      <c r="A180" s="727">
        <v>1</v>
      </c>
      <c r="B180" s="727" t="s">
        <v>11955</v>
      </c>
      <c r="C180" s="727" t="s">
        <v>11956</v>
      </c>
      <c r="D180" s="727" t="s">
        <v>11957</v>
      </c>
      <c r="E180" s="727"/>
      <c r="F180" s="729" t="s">
        <v>1149</v>
      </c>
      <c r="G180" s="739">
        <v>11312051.42</v>
      </c>
      <c r="H180" s="738">
        <v>0</v>
      </c>
      <c r="I180" s="739">
        <v>11312051.42</v>
      </c>
      <c r="J180" s="739">
        <v>9284663.4399999995</v>
      </c>
      <c r="K180" s="739">
        <v>11312051.42</v>
      </c>
      <c r="L180" s="738">
        <v>0</v>
      </c>
      <c r="M180" s="738">
        <v>0</v>
      </c>
      <c r="N180" s="739">
        <v>20596714.859999999</v>
      </c>
      <c r="O180" s="739">
        <v>11312051.42</v>
      </c>
      <c r="P180" s="739">
        <v>9284663.4399999995</v>
      </c>
    </row>
    <row r="181" spans="1:17">
      <c r="A181">
        <v>1</v>
      </c>
      <c r="B181" t="s">
        <v>11955</v>
      </c>
      <c r="C181" t="s">
        <v>11956</v>
      </c>
      <c r="D181" t="s">
        <v>11957</v>
      </c>
      <c r="E181" t="s">
        <v>1151</v>
      </c>
      <c r="F181" t="s">
        <v>1152</v>
      </c>
      <c r="G181" s="714">
        <v>2262541.41</v>
      </c>
      <c r="H181">
        <v>0</v>
      </c>
      <c r="I181" s="715">
        <v>2262541.41</v>
      </c>
      <c r="J181" s="711">
        <v>1680598.04</v>
      </c>
      <c r="K181" s="711">
        <v>2262541.41</v>
      </c>
      <c r="L181">
        <v>0</v>
      </c>
      <c r="M181">
        <v>0</v>
      </c>
      <c r="N181" s="711">
        <v>3943139.45</v>
      </c>
      <c r="O181" s="711">
        <v>2262541.41</v>
      </c>
      <c r="P181" s="711">
        <v>1680598.04</v>
      </c>
      <c r="Q181" s="724" t="str">
        <f>VLOOKUP($E181,SP_2024_v28062025!$E$2:$M$1751,9,FALSE)</f>
        <v>ABA020</v>
      </c>
    </row>
    <row r="182" spans="1:17">
      <c r="A182">
        <v>1</v>
      </c>
      <c r="B182" t="s">
        <v>11955</v>
      </c>
      <c r="C182" t="s">
        <v>11956</v>
      </c>
      <c r="D182" t="s">
        <v>11957</v>
      </c>
      <c r="E182" t="s">
        <v>1155</v>
      </c>
      <c r="F182" t="s">
        <v>1156</v>
      </c>
      <c r="G182" s="714">
        <v>6914393.9800000004</v>
      </c>
      <c r="H182">
        <v>0</v>
      </c>
      <c r="I182" s="715">
        <v>6914393.9800000004</v>
      </c>
      <c r="J182" s="711">
        <v>4886593.71</v>
      </c>
      <c r="K182" s="711">
        <v>6914393.9800000004</v>
      </c>
      <c r="L182">
        <v>0</v>
      </c>
      <c r="M182">
        <v>0</v>
      </c>
      <c r="N182" s="711">
        <v>11800987.689999999</v>
      </c>
      <c r="O182" s="711">
        <v>6914393.9800000004</v>
      </c>
      <c r="P182" s="711">
        <v>4886593.71</v>
      </c>
      <c r="Q182" s="724" t="str">
        <f>VLOOKUP($E182,SP_2024_v28062025!$E$2:$M$1751,9,FALSE)</f>
        <v>ABA020</v>
      </c>
    </row>
    <row r="183" spans="1:17">
      <c r="A183">
        <v>1</v>
      </c>
      <c r="B183" t="s">
        <v>11955</v>
      </c>
      <c r="C183" t="s">
        <v>11956</v>
      </c>
      <c r="D183" t="s">
        <v>11957</v>
      </c>
      <c r="E183" t="s">
        <v>1157</v>
      </c>
      <c r="F183" t="s">
        <v>1158</v>
      </c>
      <c r="G183" s="714">
        <v>1183997.8700000001</v>
      </c>
      <c r="H183">
        <v>0</v>
      </c>
      <c r="I183" s="715">
        <v>1183997.8700000001</v>
      </c>
      <c r="J183" s="711">
        <v>1641302</v>
      </c>
      <c r="K183" s="711">
        <v>1183997.8700000001</v>
      </c>
      <c r="L183">
        <v>0</v>
      </c>
      <c r="M183">
        <v>0</v>
      </c>
      <c r="N183" s="711">
        <v>2825299.87</v>
      </c>
      <c r="O183" s="711">
        <v>1183997.8700000001</v>
      </c>
      <c r="P183" s="711">
        <v>1641302</v>
      </c>
      <c r="Q183" s="724" t="str">
        <f>VLOOKUP($E183,SP_2024_v28062025!$E$2:$M$1751,9,FALSE)</f>
        <v>ABA020</v>
      </c>
    </row>
    <row r="184" spans="1:17">
      <c r="A184">
        <v>1</v>
      </c>
      <c r="B184" t="s">
        <v>11955</v>
      </c>
      <c r="C184" t="s">
        <v>11956</v>
      </c>
      <c r="D184" t="s">
        <v>11957</v>
      </c>
      <c r="E184" t="s">
        <v>1159</v>
      </c>
      <c r="F184" t="s">
        <v>1160</v>
      </c>
      <c r="G184" s="712">
        <v>0</v>
      </c>
      <c r="H184">
        <v>0</v>
      </c>
      <c r="I184" s="713">
        <v>0</v>
      </c>
      <c r="J184">
        <v>0</v>
      </c>
      <c r="K184" s="711">
        <v>140717.42000000001</v>
      </c>
      <c r="L184">
        <v>0</v>
      </c>
      <c r="M184">
        <v>0</v>
      </c>
      <c r="N184">
        <v>0</v>
      </c>
      <c r="O184" s="711">
        <v>140717.42000000001</v>
      </c>
      <c r="P184" s="711">
        <v>-140717.42000000001</v>
      </c>
      <c r="Q184" s="724" t="str">
        <f>VLOOKUP($E184,SP_2024_v28062025!$E$2:$M$1751,9,FALSE)</f>
        <v>ABA020</v>
      </c>
    </row>
    <row r="185" spans="1:17">
      <c r="A185">
        <v>1</v>
      </c>
      <c r="B185" t="s">
        <v>11955</v>
      </c>
      <c r="C185" t="s">
        <v>11956</v>
      </c>
      <c r="D185" t="s">
        <v>11957</v>
      </c>
      <c r="E185" t="s">
        <v>1161</v>
      </c>
      <c r="F185" t="s">
        <v>1162</v>
      </c>
      <c r="G185" s="714">
        <v>140717.42000000001</v>
      </c>
      <c r="H185">
        <v>0</v>
      </c>
      <c r="I185" s="715">
        <v>140717.42000000001</v>
      </c>
      <c r="J185" s="711">
        <v>109795.22</v>
      </c>
      <c r="K185" s="711">
        <v>64431.56</v>
      </c>
      <c r="L185">
        <v>0</v>
      </c>
      <c r="M185">
        <v>0</v>
      </c>
      <c r="N185" s="711">
        <v>250512.64000000001</v>
      </c>
      <c r="O185" s="711">
        <v>64431.56</v>
      </c>
      <c r="P185" s="711">
        <v>186081.08</v>
      </c>
      <c r="Q185" s="724" t="str">
        <f>VLOOKUP($E185,SP_2024_v28062025!$E$2:$M$1751,9,FALSE)</f>
        <v>ABA020</v>
      </c>
    </row>
    <row r="186" spans="1:17">
      <c r="A186">
        <v>1</v>
      </c>
      <c r="B186" t="s">
        <v>11955</v>
      </c>
      <c r="C186" t="s">
        <v>11956</v>
      </c>
      <c r="D186" t="s">
        <v>11957</v>
      </c>
      <c r="E186" t="s">
        <v>1163</v>
      </c>
      <c r="F186" t="s">
        <v>1164</v>
      </c>
      <c r="G186" s="712">
        <v>0</v>
      </c>
      <c r="H186">
        <v>0</v>
      </c>
      <c r="I186" s="713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s="724" t="str">
        <f>VLOOKUP($E186,SP_2024_v28062025!$E$2:$M$1751,9,FALSE)</f>
        <v>ABA020</v>
      </c>
    </row>
    <row r="187" spans="1:17">
      <c r="A187">
        <v>1</v>
      </c>
      <c r="B187" t="s">
        <v>11955</v>
      </c>
      <c r="C187" t="s">
        <v>11956</v>
      </c>
      <c r="D187" t="s">
        <v>11957</v>
      </c>
      <c r="E187" t="s">
        <v>1165</v>
      </c>
      <c r="F187" t="s">
        <v>1166</v>
      </c>
      <c r="G187" s="714">
        <v>252881.77</v>
      </c>
      <c r="H187">
        <v>0</v>
      </c>
      <c r="I187" s="715">
        <v>252881.77</v>
      </c>
      <c r="J187" s="711">
        <v>312412.71000000002</v>
      </c>
      <c r="K187" s="711">
        <v>252881.77</v>
      </c>
      <c r="L187">
        <v>0</v>
      </c>
      <c r="M187">
        <v>0</v>
      </c>
      <c r="N187" s="711">
        <v>565294.48</v>
      </c>
      <c r="O187" s="711">
        <v>252881.77</v>
      </c>
      <c r="P187" s="711">
        <v>312412.71000000002</v>
      </c>
      <c r="Q187" s="724" t="str">
        <f>VLOOKUP($E187,SP_2024_v28062025!$E$2:$M$1751,9,FALSE)</f>
        <v>ABA020</v>
      </c>
    </row>
    <row r="188" spans="1:17">
      <c r="A188">
        <v>1</v>
      </c>
      <c r="B188" t="s">
        <v>11955</v>
      </c>
      <c r="C188" t="s">
        <v>11956</v>
      </c>
      <c r="D188" t="s">
        <v>11957</v>
      </c>
      <c r="E188" t="s">
        <v>1168</v>
      </c>
      <c r="F188" t="s">
        <v>1169</v>
      </c>
      <c r="G188" s="714">
        <v>1992.25</v>
      </c>
      <c r="H188">
        <v>0</v>
      </c>
      <c r="I188" s="715">
        <v>1992.25</v>
      </c>
      <c r="J188" s="711">
        <v>111750.9</v>
      </c>
      <c r="K188" s="711">
        <v>1992.25</v>
      </c>
      <c r="L188">
        <v>0</v>
      </c>
      <c r="M188">
        <v>0</v>
      </c>
      <c r="N188" s="711">
        <v>113743.15</v>
      </c>
      <c r="O188" s="711">
        <v>1992.25</v>
      </c>
      <c r="P188" s="711">
        <v>111750.9</v>
      </c>
      <c r="Q188" s="724" t="str">
        <f>VLOOKUP($E188,SP_2024_v28062025!$E$2:$M$1751,9,FALSE)</f>
        <v>ABA020</v>
      </c>
    </row>
    <row r="189" spans="1:17">
      <c r="A189">
        <v>1</v>
      </c>
      <c r="B189" t="s">
        <v>11955</v>
      </c>
      <c r="C189" t="s">
        <v>11956</v>
      </c>
      <c r="D189" t="s">
        <v>11957</v>
      </c>
      <c r="E189" t="s">
        <v>1171</v>
      </c>
      <c r="F189" t="s">
        <v>1172</v>
      </c>
      <c r="G189" s="714">
        <v>380885.21</v>
      </c>
      <c r="H189">
        <v>0</v>
      </c>
      <c r="I189" s="715">
        <v>380885.21</v>
      </c>
      <c r="J189" s="711">
        <v>358630.49</v>
      </c>
      <c r="K189" s="711">
        <v>380885.21</v>
      </c>
      <c r="L189">
        <v>0</v>
      </c>
      <c r="M189">
        <v>0</v>
      </c>
      <c r="N189" s="711">
        <v>739515.7</v>
      </c>
      <c r="O189" s="711">
        <v>380885.21</v>
      </c>
      <c r="P189" s="711">
        <v>358630.49</v>
      </c>
      <c r="Q189" s="724" t="str">
        <f>VLOOKUP($E189,SP_2024_v28062025!$E$2:$M$1751,9,FALSE)</f>
        <v>ABA020</v>
      </c>
    </row>
    <row r="190" spans="1:17">
      <c r="A190">
        <v>1</v>
      </c>
      <c r="B190" t="s">
        <v>11955</v>
      </c>
      <c r="C190" t="s">
        <v>11956</v>
      </c>
      <c r="D190" t="s">
        <v>11957</v>
      </c>
      <c r="E190" t="s">
        <v>1174</v>
      </c>
      <c r="F190" t="s">
        <v>1175</v>
      </c>
      <c r="G190" s="714">
        <v>77707.210000000006</v>
      </c>
      <c r="H190">
        <v>0</v>
      </c>
      <c r="I190" s="715">
        <v>77707.210000000006</v>
      </c>
      <c r="J190">
        <v>0</v>
      </c>
      <c r="K190" s="711">
        <v>77707.210000000006</v>
      </c>
      <c r="L190">
        <v>0</v>
      </c>
      <c r="M190">
        <v>0</v>
      </c>
      <c r="N190" s="711">
        <v>77707.210000000006</v>
      </c>
      <c r="O190" s="711">
        <v>77707.210000000006</v>
      </c>
      <c r="P190">
        <v>0</v>
      </c>
      <c r="Q190" s="724" t="str">
        <f>VLOOKUP($E190,SP_2024_v28062025!$E$2:$M$1751,9,FALSE)</f>
        <v>ABA020</v>
      </c>
    </row>
    <row r="191" spans="1:17">
      <c r="A191">
        <v>1</v>
      </c>
      <c r="B191" t="s">
        <v>11955</v>
      </c>
      <c r="C191" t="s">
        <v>11956</v>
      </c>
      <c r="D191" t="s">
        <v>11957</v>
      </c>
      <c r="E191" t="s">
        <v>1177</v>
      </c>
      <c r="F191" t="s">
        <v>1178</v>
      </c>
      <c r="G191" s="714">
        <v>96934.3</v>
      </c>
      <c r="H191">
        <v>0</v>
      </c>
      <c r="I191" s="715">
        <v>96934.3</v>
      </c>
      <c r="J191" s="711">
        <v>183580.37</v>
      </c>
      <c r="K191" s="711">
        <v>32502.74</v>
      </c>
      <c r="L191">
        <v>0</v>
      </c>
      <c r="M191">
        <v>0</v>
      </c>
      <c r="N191" s="711">
        <v>280514.67</v>
      </c>
      <c r="O191" s="711">
        <v>32502.74</v>
      </c>
      <c r="P191" s="711">
        <v>248011.93</v>
      </c>
      <c r="Q191" s="724" t="str">
        <f>VLOOKUP($E191,SP_2024_v28062025!$E$2:$M$1751,9,FALSE)</f>
        <v>ABA020</v>
      </c>
    </row>
    <row r="192" spans="1:17" ht="15.75" thickBot="1">
      <c r="A192">
        <v>1</v>
      </c>
      <c r="B192" t="s">
        <v>11955</v>
      </c>
      <c r="C192" t="s">
        <v>11956</v>
      </c>
      <c r="D192" t="s">
        <v>11957</v>
      </c>
      <c r="E192" t="s">
        <v>1180</v>
      </c>
      <c r="F192" t="s">
        <v>1181</v>
      </c>
      <c r="G192" s="712">
        <v>0</v>
      </c>
      <c r="H192">
        <v>0</v>
      </c>
      <c r="I192" s="713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 s="724" t="str">
        <f>VLOOKUP($E192,SP_2024_v28062025!$E$2:$M$1751,9,FALSE)</f>
        <v>ABA020</v>
      </c>
    </row>
    <row r="193" spans="1:17" ht="15.75" thickBot="1">
      <c r="A193" s="727">
        <v>1</v>
      </c>
      <c r="B193" s="727" t="s">
        <v>11955</v>
      </c>
      <c r="C193" s="727" t="s">
        <v>11956</v>
      </c>
      <c r="D193" s="727" t="s">
        <v>11958</v>
      </c>
      <c r="E193" s="727"/>
      <c r="F193" s="729" t="s">
        <v>1183</v>
      </c>
      <c r="G193" s="738">
        <v>0</v>
      </c>
      <c r="H193" s="738">
        <v>0</v>
      </c>
      <c r="I193" s="738">
        <v>0</v>
      </c>
      <c r="J193" s="739">
        <v>221555.19</v>
      </c>
      <c r="K193" s="738">
        <v>0</v>
      </c>
      <c r="L193" s="738">
        <v>0</v>
      </c>
      <c r="M193" s="738">
        <v>0</v>
      </c>
      <c r="N193" s="739">
        <v>221555.19</v>
      </c>
      <c r="O193" s="738">
        <v>0</v>
      </c>
      <c r="P193" s="739">
        <v>221555.19</v>
      </c>
    </row>
    <row r="194" spans="1:17">
      <c r="A194">
        <v>1</v>
      </c>
      <c r="B194" t="s">
        <v>11955</v>
      </c>
      <c r="C194" t="s">
        <v>11956</v>
      </c>
      <c r="D194" t="s">
        <v>11958</v>
      </c>
      <c r="E194" t="s">
        <v>1184</v>
      </c>
      <c r="F194" t="s">
        <v>1185</v>
      </c>
      <c r="G194" s="712">
        <v>0</v>
      </c>
      <c r="H194">
        <v>0</v>
      </c>
      <c r="I194" s="713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 s="724" t="str">
        <f>VLOOKUP($E194,SP_2024_v28062025!$E$2:$M$1751,9,FALSE)</f>
        <v>ABA030</v>
      </c>
    </row>
    <row r="195" spans="1:17">
      <c r="A195">
        <v>1</v>
      </c>
      <c r="B195" t="s">
        <v>11955</v>
      </c>
      <c r="C195" t="s">
        <v>11956</v>
      </c>
      <c r="D195" t="s">
        <v>11958</v>
      </c>
      <c r="E195" t="s">
        <v>1188</v>
      </c>
      <c r="F195" t="s">
        <v>1189</v>
      </c>
      <c r="G195" s="712">
        <v>0</v>
      </c>
      <c r="H195">
        <v>0</v>
      </c>
      <c r="I195" s="713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 s="724" t="str">
        <f>VLOOKUP($E195,SP_2024_v28062025!$E$2:$M$1751,9,FALSE)</f>
        <v>ABA030</v>
      </c>
    </row>
    <row r="196" spans="1:17" ht="15.75" thickBot="1">
      <c r="A196">
        <v>1</v>
      </c>
      <c r="B196" t="s">
        <v>11955</v>
      </c>
      <c r="C196" t="s">
        <v>11956</v>
      </c>
      <c r="D196" t="s">
        <v>11958</v>
      </c>
      <c r="E196" t="s">
        <v>1191</v>
      </c>
      <c r="F196" t="s">
        <v>1192</v>
      </c>
      <c r="G196" s="712">
        <v>0</v>
      </c>
      <c r="H196">
        <v>0</v>
      </c>
      <c r="I196" s="713">
        <v>0</v>
      </c>
      <c r="J196" s="711">
        <v>221555.19</v>
      </c>
      <c r="K196">
        <v>0</v>
      </c>
      <c r="L196">
        <v>0</v>
      </c>
      <c r="M196">
        <v>0</v>
      </c>
      <c r="N196" s="711">
        <v>221555.19</v>
      </c>
      <c r="O196">
        <v>0</v>
      </c>
      <c r="P196" s="711">
        <v>221555.19</v>
      </c>
      <c r="Q196" s="724" t="str">
        <f>VLOOKUP($E196,SP_2024_v28062025!$E$2:$M$1751,9,FALSE)</f>
        <v>ABA030</v>
      </c>
    </row>
    <row r="197" spans="1:17" ht="15.75" thickBot="1">
      <c r="A197" s="727">
        <v>1</v>
      </c>
      <c r="B197" s="727" t="s">
        <v>11955</v>
      </c>
      <c r="C197" s="727" t="s">
        <v>11956</v>
      </c>
      <c r="D197" s="727" t="s">
        <v>11959</v>
      </c>
      <c r="E197" s="727"/>
      <c r="F197" s="729" t="s">
        <v>1194</v>
      </c>
      <c r="G197" s="739">
        <v>4327331.78</v>
      </c>
      <c r="H197" s="738">
        <v>0</v>
      </c>
      <c r="I197" s="739">
        <v>4327331.78</v>
      </c>
      <c r="J197" s="739">
        <v>13417088.66</v>
      </c>
      <c r="K197" s="739">
        <v>4319450.62</v>
      </c>
      <c r="L197" s="738">
        <v>0</v>
      </c>
      <c r="M197" s="738">
        <v>0</v>
      </c>
      <c r="N197" s="739">
        <v>17744420.440000001</v>
      </c>
      <c r="O197" s="739">
        <v>4319450.62</v>
      </c>
      <c r="P197" s="739">
        <v>13424969.82</v>
      </c>
    </row>
    <row r="198" spans="1:17">
      <c r="A198">
        <v>1</v>
      </c>
      <c r="B198" t="s">
        <v>11955</v>
      </c>
      <c r="C198" t="s">
        <v>11956</v>
      </c>
      <c r="D198" t="s">
        <v>11959</v>
      </c>
      <c r="E198" t="s">
        <v>1195</v>
      </c>
      <c r="F198" t="s">
        <v>1196</v>
      </c>
      <c r="G198" s="714">
        <v>259542.16</v>
      </c>
      <c r="H198">
        <v>0</v>
      </c>
      <c r="I198" s="715">
        <v>259542.16</v>
      </c>
      <c r="J198" s="711">
        <v>645977.56000000006</v>
      </c>
      <c r="K198" s="711">
        <v>259542.16</v>
      </c>
      <c r="L198">
        <v>0</v>
      </c>
      <c r="M198">
        <v>0</v>
      </c>
      <c r="N198" s="711">
        <v>905519.72</v>
      </c>
      <c r="O198" s="711">
        <v>259542.16</v>
      </c>
      <c r="P198" s="711">
        <v>645977.56000000006</v>
      </c>
      <c r="Q198" s="724" t="str">
        <f>VLOOKUP($E198,SP_2024_v28062025!$E$2:$M$1751,9,FALSE)</f>
        <v>ABA040</v>
      </c>
    </row>
    <row r="199" spans="1:17">
      <c r="A199">
        <v>1</v>
      </c>
      <c r="B199" t="s">
        <v>11955</v>
      </c>
      <c r="C199" t="s">
        <v>11956</v>
      </c>
      <c r="D199" t="s">
        <v>11959</v>
      </c>
      <c r="E199" t="s">
        <v>1199</v>
      </c>
      <c r="F199" t="s">
        <v>1200</v>
      </c>
      <c r="G199" s="714">
        <v>268504.62</v>
      </c>
      <c r="H199">
        <v>0</v>
      </c>
      <c r="I199" s="715">
        <v>268504.62</v>
      </c>
      <c r="J199" s="711">
        <v>1621795.82</v>
      </c>
      <c r="K199" s="711">
        <v>268504.62</v>
      </c>
      <c r="L199">
        <v>0</v>
      </c>
      <c r="M199">
        <v>0</v>
      </c>
      <c r="N199" s="711">
        <v>1890300.44</v>
      </c>
      <c r="O199" s="711">
        <v>268504.62</v>
      </c>
      <c r="P199" s="711">
        <v>1621795.82</v>
      </c>
      <c r="Q199" s="724" t="str">
        <f>VLOOKUP($E199,SP_2024_v28062025!$E$2:$M$1751,9,FALSE)</f>
        <v>ABA040</v>
      </c>
    </row>
    <row r="200" spans="1:17">
      <c r="A200">
        <v>1</v>
      </c>
      <c r="B200" t="s">
        <v>11955</v>
      </c>
      <c r="C200" t="s">
        <v>11956</v>
      </c>
      <c r="D200" t="s">
        <v>11959</v>
      </c>
      <c r="E200" t="s">
        <v>1202</v>
      </c>
      <c r="F200" t="s">
        <v>1203</v>
      </c>
      <c r="G200" s="714">
        <v>666593.49</v>
      </c>
      <c r="H200">
        <v>0</v>
      </c>
      <c r="I200" s="715">
        <v>666593.49</v>
      </c>
      <c r="J200" s="711">
        <v>1176659.1200000001</v>
      </c>
      <c r="K200" s="711">
        <v>666593.49</v>
      </c>
      <c r="L200">
        <v>0</v>
      </c>
      <c r="M200">
        <v>0</v>
      </c>
      <c r="N200" s="711">
        <v>1843252.61</v>
      </c>
      <c r="O200" s="711">
        <v>666593.49</v>
      </c>
      <c r="P200" s="711">
        <v>1176659.1200000001</v>
      </c>
      <c r="Q200" s="724" t="str">
        <f>VLOOKUP($E200,SP_2024_v28062025!$E$2:$M$1751,9,FALSE)</f>
        <v>ABA040</v>
      </c>
    </row>
    <row r="201" spans="1:17">
      <c r="A201">
        <v>1</v>
      </c>
      <c r="B201" t="s">
        <v>11955</v>
      </c>
      <c r="C201" t="s">
        <v>11956</v>
      </c>
      <c r="D201" t="s">
        <v>11959</v>
      </c>
      <c r="E201" t="s">
        <v>1205</v>
      </c>
      <c r="F201" t="s">
        <v>1206</v>
      </c>
      <c r="G201" s="714">
        <v>252018.6</v>
      </c>
      <c r="H201">
        <v>0</v>
      </c>
      <c r="I201" s="715">
        <v>252018.6</v>
      </c>
      <c r="J201" s="711">
        <v>1431983.46</v>
      </c>
      <c r="K201" s="711">
        <v>252018.6</v>
      </c>
      <c r="L201">
        <v>0</v>
      </c>
      <c r="M201">
        <v>0</v>
      </c>
      <c r="N201" s="711">
        <v>1684002.06</v>
      </c>
      <c r="O201" s="711">
        <v>252018.6</v>
      </c>
      <c r="P201" s="711">
        <v>1431983.46</v>
      </c>
      <c r="Q201" s="724" t="str">
        <f>VLOOKUP($E201,SP_2024_v28062025!$E$2:$M$1751,9,FALSE)</f>
        <v>ABA040</v>
      </c>
    </row>
    <row r="202" spans="1:17">
      <c r="A202">
        <v>1</v>
      </c>
      <c r="B202" t="s">
        <v>11955</v>
      </c>
      <c r="C202" t="s">
        <v>11956</v>
      </c>
      <c r="D202" t="s">
        <v>11959</v>
      </c>
      <c r="E202" t="s">
        <v>1208</v>
      </c>
      <c r="F202" t="s">
        <v>1209</v>
      </c>
      <c r="G202" s="714">
        <v>55449.29</v>
      </c>
      <c r="H202">
        <v>0</v>
      </c>
      <c r="I202" s="715">
        <v>55449.29</v>
      </c>
      <c r="J202" s="711">
        <v>108960.51</v>
      </c>
      <c r="K202" s="711">
        <v>55449.29</v>
      </c>
      <c r="L202">
        <v>0</v>
      </c>
      <c r="M202">
        <v>0</v>
      </c>
      <c r="N202" s="711">
        <v>164409.79999999999</v>
      </c>
      <c r="O202" s="711">
        <v>55449.29</v>
      </c>
      <c r="P202" s="711">
        <v>108960.51</v>
      </c>
      <c r="Q202" s="724" t="str">
        <f>VLOOKUP($E202,SP_2024_v28062025!$E$2:$M$1751,9,FALSE)</f>
        <v>ABA040</v>
      </c>
    </row>
    <row r="203" spans="1:17">
      <c r="A203">
        <v>1</v>
      </c>
      <c r="B203" t="s">
        <v>11955</v>
      </c>
      <c r="C203" t="s">
        <v>11956</v>
      </c>
      <c r="D203" t="s">
        <v>11959</v>
      </c>
      <c r="E203" t="s">
        <v>1211</v>
      </c>
      <c r="F203" t="s">
        <v>1212</v>
      </c>
      <c r="G203" s="714">
        <v>24873.95</v>
      </c>
      <c r="H203">
        <v>0</v>
      </c>
      <c r="I203" s="715">
        <v>24873.95</v>
      </c>
      <c r="J203" s="711">
        <v>185284.32</v>
      </c>
      <c r="K203" s="711">
        <v>24873.95</v>
      </c>
      <c r="L203">
        <v>0</v>
      </c>
      <c r="M203">
        <v>0</v>
      </c>
      <c r="N203" s="711">
        <v>210158.27</v>
      </c>
      <c r="O203" s="711">
        <v>24873.95</v>
      </c>
      <c r="P203" s="711">
        <v>185284.32</v>
      </c>
      <c r="Q203" s="724" t="str">
        <f>VLOOKUP($E203,SP_2024_v28062025!$E$2:$M$1751,9,FALSE)</f>
        <v>ABA040</v>
      </c>
    </row>
    <row r="204" spans="1:17">
      <c r="A204">
        <v>1</v>
      </c>
      <c r="B204" t="s">
        <v>11955</v>
      </c>
      <c r="C204" t="s">
        <v>11956</v>
      </c>
      <c r="D204" t="s">
        <v>11959</v>
      </c>
      <c r="E204" t="s">
        <v>1214</v>
      </c>
      <c r="F204" t="s">
        <v>1215</v>
      </c>
      <c r="G204" s="714">
        <v>50230.61</v>
      </c>
      <c r="H204">
        <v>0</v>
      </c>
      <c r="I204" s="715">
        <v>50230.61</v>
      </c>
      <c r="J204" s="711">
        <v>732650.41</v>
      </c>
      <c r="K204" s="711">
        <v>50230.61</v>
      </c>
      <c r="L204">
        <v>0</v>
      </c>
      <c r="M204">
        <v>0</v>
      </c>
      <c r="N204" s="711">
        <v>782881.02</v>
      </c>
      <c r="O204" s="711">
        <v>50230.61</v>
      </c>
      <c r="P204" s="711">
        <v>732650.41</v>
      </c>
      <c r="Q204" s="724" t="str">
        <f>VLOOKUP($E204,SP_2024_v28062025!$E$2:$M$1751,9,FALSE)</f>
        <v>ABA040</v>
      </c>
    </row>
    <row r="205" spans="1:17">
      <c r="A205">
        <v>1</v>
      </c>
      <c r="B205" t="s">
        <v>11955</v>
      </c>
      <c r="C205" t="s">
        <v>11956</v>
      </c>
      <c r="D205" t="s">
        <v>11959</v>
      </c>
      <c r="E205" t="s">
        <v>1217</v>
      </c>
      <c r="F205" t="s">
        <v>1218</v>
      </c>
      <c r="G205" s="714">
        <v>16541.080000000002</v>
      </c>
      <c r="H205">
        <v>0</v>
      </c>
      <c r="I205" s="715">
        <v>16541.080000000002</v>
      </c>
      <c r="J205" s="711">
        <v>16183.09</v>
      </c>
      <c r="K205" s="711">
        <v>16541.080000000002</v>
      </c>
      <c r="L205">
        <v>0</v>
      </c>
      <c r="M205">
        <v>0</v>
      </c>
      <c r="N205" s="711">
        <v>32724.17</v>
      </c>
      <c r="O205" s="711">
        <v>16541.080000000002</v>
      </c>
      <c r="P205" s="711">
        <v>16183.09</v>
      </c>
      <c r="Q205" s="724" t="str">
        <f>VLOOKUP($E205,SP_2024_v28062025!$E$2:$M$1751,9,FALSE)</f>
        <v>ABA040</v>
      </c>
    </row>
    <row r="206" spans="1:17">
      <c r="A206">
        <v>1</v>
      </c>
      <c r="B206" t="s">
        <v>11955</v>
      </c>
      <c r="C206" t="s">
        <v>11956</v>
      </c>
      <c r="D206" t="s">
        <v>11959</v>
      </c>
      <c r="E206" t="s">
        <v>1220</v>
      </c>
      <c r="F206" t="s">
        <v>1221</v>
      </c>
      <c r="G206" s="714">
        <v>1928.61</v>
      </c>
      <c r="H206">
        <v>0</v>
      </c>
      <c r="I206" s="715">
        <v>1928.61</v>
      </c>
      <c r="J206" s="711">
        <v>21560.82</v>
      </c>
      <c r="K206" s="711">
        <v>1928.61</v>
      </c>
      <c r="L206">
        <v>0</v>
      </c>
      <c r="M206">
        <v>0</v>
      </c>
      <c r="N206" s="711">
        <v>23489.43</v>
      </c>
      <c r="O206" s="711">
        <v>1928.61</v>
      </c>
      <c r="P206" s="711">
        <v>21560.82</v>
      </c>
      <c r="Q206" s="724" t="str">
        <f>VLOOKUP($E206,SP_2024_v28062025!$E$2:$M$1751,9,FALSE)</f>
        <v>ABA040</v>
      </c>
    </row>
    <row r="207" spans="1:17">
      <c r="A207">
        <v>1</v>
      </c>
      <c r="B207" t="s">
        <v>11955</v>
      </c>
      <c r="C207" t="s">
        <v>11956</v>
      </c>
      <c r="D207" t="s">
        <v>11959</v>
      </c>
      <c r="E207" t="s">
        <v>1223</v>
      </c>
      <c r="F207" t="s">
        <v>1224</v>
      </c>
      <c r="G207" s="712">
        <v>269.37</v>
      </c>
      <c r="H207">
        <v>0</v>
      </c>
      <c r="I207" s="713">
        <v>269.37</v>
      </c>
      <c r="J207" s="711">
        <v>34028.25</v>
      </c>
      <c r="K207">
        <v>269.37</v>
      </c>
      <c r="L207">
        <v>0</v>
      </c>
      <c r="M207">
        <v>0</v>
      </c>
      <c r="N207" s="711">
        <v>34297.620000000003</v>
      </c>
      <c r="O207">
        <v>269.37</v>
      </c>
      <c r="P207" s="711">
        <v>34028.25</v>
      </c>
      <c r="Q207" s="724" t="str">
        <f>VLOOKUP($E207,SP_2024_v28062025!$E$2:$M$1751,9,FALSE)</f>
        <v>ABA040</v>
      </c>
    </row>
    <row r="208" spans="1:17">
      <c r="A208">
        <v>1</v>
      </c>
      <c r="B208" t="s">
        <v>11955</v>
      </c>
      <c r="C208" t="s">
        <v>11956</v>
      </c>
      <c r="D208" t="s">
        <v>11959</v>
      </c>
      <c r="E208" t="s">
        <v>1227</v>
      </c>
      <c r="F208" t="s">
        <v>1228</v>
      </c>
      <c r="G208" s="714">
        <v>536090.04</v>
      </c>
      <c r="H208">
        <v>0</v>
      </c>
      <c r="I208" s="715">
        <v>536090.04</v>
      </c>
      <c r="J208" s="711">
        <v>76630.13</v>
      </c>
      <c r="K208" s="711">
        <v>536090.04</v>
      </c>
      <c r="L208">
        <v>0</v>
      </c>
      <c r="M208">
        <v>0</v>
      </c>
      <c r="N208" s="711">
        <v>612720.17000000004</v>
      </c>
      <c r="O208" s="711">
        <v>536090.04</v>
      </c>
      <c r="P208" s="711">
        <v>76630.13</v>
      </c>
      <c r="Q208" s="724" t="str">
        <f>VLOOKUP($E208,SP_2024_v28062025!$E$2:$M$1751,9,FALSE)</f>
        <v>ABA040</v>
      </c>
    </row>
    <row r="209" spans="1:17">
      <c r="A209">
        <v>1</v>
      </c>
      <c r="B209" t="s">
        <v>11955</v>
      </c>
      <c r="C209" t="s">
        <v>11956</v>
      </c>
      <c r="D209" t="s">
        <v>11959</v>
      </c>
      <c r="E209" t="s">
        <v>1231</v>
      </c>
      <c r="F209" t="s">
        <v>1232</v>
      </c>
      <c r="G209" s="714">
        <v>15265.12</v>
      </c>
      <c r="H209">
        <v>0</v>
      </c>
      <c r="I209" s="715">
        <v>15265.12</v>
      </c>
      <c r="J209" s="711">
        <v>637405.30000000005</v>
      </c>
      <c r="K209" s="711">
        <v>40000.57</v>
      </c>
      <c r="L209">
        <v>0</v>
      </c>
      <c r="M209">
        <v>0</v>
      </c>
      <c r="N209" s="711">
        <v>652670.42000000004</v>
      </c>
      <c r="O209" s="711">
        <v>40000.57</v>
      </c>
      <c r="P209" s="711">
        <v>612669.85</v>
      </c>
      <c r="Q209" s="724" t="str">
        <f>VLOOKUP($E209,SP_2024_v28062025!$E$2:$M$1751,9,FALSE)</f>
        <v>ABA040</v>
      </c>
    </row>
    <row r="210" spans="1:17">
      <c r="A210">
        <v>1</v>
      </c>
      <c r="B210" t="s">
        <v>11955</v>
      </c>
      <c r="C210" t="s">
        <v>11956</v>
      </c>
      <c r="D210" t="s">
        <v>11959</v>
      </c>
      <c r="E210" t="s">
        <v>1233</v>
      </c>
      <c r="F210" t="s">
        <v>1234</v>
      </c>
      <c r="G210" s="714">
        <v>40000.57</v>
      </c>
      <c r="H210">
        <v>0</v>
      </c>
      <c r="I210" s="715">
        <v>40000.57</v>
      </c>
      <c r="J210" s="711">
        <v>44523.49</v>
      </c>
      <c r="K210" s="711">
        <v>10056.26</v>
      </c>
      <c r="L210">
        <v>0</v>
      </c>
      <c r="M210">
        <v>0</v>
      </c>
      <c r="N210" s="711">
        <v>84524.06</v>
      </c>
      <c r="O210" s="711">
        <v>10056.26</v>
      </c>
      <c r="P210" s="711">
        <v>74467.8</v>
      </c>
      <c r="Q210" s="724" t="str">
        <f>VLOOKUP($E210,SP_2024_v28062025!$E$2:$M$1751,9,FALSE)</f>
        <v>ABA040</v>
      </c>
    </row>
    <row r="211" spans="1:17">
      <c r="A211">
        <v>1</v>
      </c>
      <c r="B211" t="s">
        <v>11955</v>
      </c>
      <c r="C211" t="s">
        <v>11956</v>
      </c>
      <c r="D211" t="s">
        <v>11959</v>
      </c>
      <c r="E211" t="s">
        <v>1235</v>
      </c>
      <c r="F211" t="s">
        <v>1236</v>
      </c>
      <c r="G211" s="714">
        <v>10056.26</v>
      </c>
      <c r="H211">
        <v>0</v>
      </c>
      <c r="I211" s="715">
        <v>10056.26</v>
      </c>
      <c r="J211" s="711">
        <v>747958.42</v>
      </c>
      <c r="K211" s="711">
        <v>18846.63</v>
      </c>
      <c r="L211">
        <v>0</v>
      </c>
      <c r="M211">
        <v>0</v>
      </c>
      <c r="N211" s="711">
        <v>758014.68</v>
      </c>
      <c r="O211" s="711">
        <v>18846.63</v>
      </c>
      <c r="P211" s="711">
        <v>739168.05</v>
      </c>
      <c r="Q211" s="724" t="str">
        <f>VLOOKUP($E211,SP_2024_v28062025!$E$2:$M$1751,9,FALSE)</f>
        <v>ABA040</v>
      </c>
    </row>
    <row r="212" spans="1:17">
      <c r="A212">
        <v>1</v>
      </c>
      <c r="B212" t="s">
        <v>11955</v>
      </c>
      <c r="C212" t="s">
        <v>11956</v>
      </c>
      <c r="D212" t="s">
        <v>11959</v>
      </c>
      <c r="E212" t="s">
        <v>1237</v>
      </c>
      <c r="F212" t="s">
        <v>1238</v>
      </c>
      <c r="G212" s="714">
        <v>18846.63</v>
      </c>
      <c r="H212">
        <v>0</v>
      </c>
      <c r="I212" s="715">
        <v>18846.63</v>
      </c>
      <c r="J212" s="711">
        <v>67587.66</v>
      </c>
      <c r="K212">
        <v>0</v>
      </c>
      <c r="L212">
        <v>0</v>
      </c>
      <c r="M212">
        <v>0</v>
      </c>
      <c r="N212" s="711">
        <v>86434.29</v>
      </c>
      <c r="O212">
        <v>0</v>
      </c>
      <c r="P212" s="711">
        <v>86434.29</v>
      </c>
      <c r="Q212" s="724" t="str">
        <f>VLOOKUP($E212,SP_2024_v28062025!$E$2:$M$1751,9,FALSE)</f>
        <v>ABA040</v>
      </c>
    </row>
    <row r="213" spans="1:17">
      <c r="A213">
        <v>1</v>
      </c>
      <c r="B213" t="s">
        <v>11955</v>
      </c>
      <c r="C213" t="s">
        <v>11956</v>
      </c>
      <c r="D213" t="s">
        <v>11959</v>
      </c>
      <c r="E213" t="s">
        <v>1239</v>
      </c>
      <c r="F213" t="s">
        <v>1240</v>
      </c>
      <c r="G213" s="712">
        <v>0</v>
      </c>
      <c r="H213">
        <v>0</v>
      </c>
      <c r="I213" s="713">
        <v>0</v>
      </c>
      <c r="J213" s="711">
        <v>87658.37</v>
      </c>
      <c r="K213" s="711">
        <v>15265.12</v>
      </c>
      <c r="L213">
        <v>0</v>
      </c>
      <c r="M213">
        <v>0</v>
      </c>
      <c r="N213" s="711">
        <v>87658.37</v>
      </c>
      <c r="O213" s="711">
        <v>15265.12</v>
      </c>
      <c r="P213" s="711">
        <v>72393.25</v>
      </c>
      <c r="Q213" s="724" t="str">
        <f>VLOOKUP($E213,SP_2024_v28062025!$E$2:$M$1751,9,FALSE)</f>
        <v>ABA040</v>
      </c>
    </row>
    <row r="214" spans="1:17">
      <c r="A214">
        <v>1</v>
      </c>
      <c r="B214" t="s">
        <v>11955</v>
      </c>
      <c r="C214" t="s">
        <v>11956</v>
      </c>
      <c r="D214" t="s">
        <v>11959</v>
      </c>
      <c r="E214" t="s">
        <v>1241</v>
      </c>
      <c r="F214" t="s">
        <v>1242</v>
      </c>
      <c r="G214" s="714">
        <v>52529.23</v>
      </c>
      <c r="H214">
        <v>0</v>
      </c>
      <c r="I214" s="715">
        <v>52529.23</v>
      </c>
      <c r="J214" s="711">
        <v>98759.13</v>
      </c>
      <c r="K214" s="711">
        <v>52529.23</v>
      </c>
      <c r="L214">
        <v>0</v>
      </c>
      <c r="M214">
        <v>0</v>
      </c>
      <c r="N214" s="711">
        <v>151288.35999999999</v>
      </c>
      <c r="O214" s="711">
        <v>52529.23</v>
      </c>
      <c r="P214" s="711">
        <v>98759.13</v>
      </c>
      <c r="Q214" s="724" t="str">
        <f>VLOOKUP($E214,SP_2024_v28062025!$E$2:$M$1751,9,FALSE)</f>
        <v>ABA040</v>
      </c>
    </row>
    <row r="215" spans="1:17">
      <c r="A215">
        <v>1</v>
      </c>
      <c r="B215" t="s">
        <v>11955</v>
      </c>
      <c r="C215" t="s">
        <v>11956</v>
      </c>
      <c r="D215" t="s">
        <v>11959</v>
      </c>
      <c r="E215" t="s">
        <v>1245</v>
      </c>
      <c r="F215" t="s">
        <v>1246</v>
      </c>
      <c r="G215" s="714">
        <v>71957.759999999995</v>
      </c>
      <c r="H215">
        <v>0</v>
      </c>
      <c r="I215" s="715">
        <v>71957.759999999995</v>
      </c>
      <c r="J215">
        <v>0</v>
      </c>
      <c r="K215" s="711">
        <v>71957.759999999995</v>
      </c>
      <c r="L215">
        <v>0</v>
      </c>
      <c r="M215">
        <v>0</v>
      </c>
      <c r="N215" s="711">
        <v>71957.759999999995</v>
      </c>
      <c r="O215" s="711">
        <v>71957.759999999995</v>
      </c>
      <c r="P215">
        <v>0</v>
      </c>
      <c r="Q215" s="724" t="str">
        <f>VLOOKUP($E215,SP_2024_v28062025!$E$2:$M$1751,9,FALSE)</f>
        <v>ABA040</v>
      </c>
    </row>
    <row r="216" spans="1:17">
      <c r="A216">
        <v>1</v>
      </c>
      <c r="B216" t="s">
        <v>11955</v>
      </c>
      <c r="C216" t="s">
        <v>11956</v>
      </c>
      <c r="D216" t="s">
        <v>11959</v>
      </c>
      <c r="E216" t="s">
        <v>1249</v>
      </c>
      <c r="F216" t="s">
        <v>1250</v>
      </c>
      <c r="G216" s="714">
        <v>1920276.33</v>
      </c>
      <c r="H216">
        <v>0</v>
      </c>
      <c r="I216" s="715">
        <v>1920276.33</v>
      </c>
      <c r="J216" s="711">
        <v>100330.25</v>
      </c>
      <c r="K216">
        <v>0</v>
      </c>
      <c r="L216">
        <v>0</v>
      </c>
      <c r="M216">
        <v>0</v>
      </c>
      <c r="N216" s="711">
        <v>2020606.58</v>
      </c>
      <c r="O216">
        <v>0</v>
      </c>
      <c r="P216" s="711">
        <v>2020606.58</v>
      </c>
      <c r="Q216" s="724" t="str">
        <f>VLOOKUP($E216,SP_2024_v28062025!$E$2:$M$1751,9,FALSE)</f>
        <v>ABA040</v>
      </c>
    </row>
    <row r="217" spans="1:17">
      <c r="A217">
        <v>1</v>
      </c>
      <c r="B217" t="s">
        <v>11955</v>
      </c>
      <c r="C217" t="s">
        <v>11956</v>
      </c>
      <c r="D217" t="s">
        <v>11959</v>
      </c>
      <c r="E217" t="s">
        <v>1251</v>
      </c>
      <c r="F217" t="s">
        <v>1252</v>
      </c>
      <c r="G217" s="714">
        <v>58476.42</v>
      </c>
      <c r="H217">
        <v>0</v>
      </c>
      <c r="I217" s="715">
        <v>58476.42</v>
      </c>
      <c r="J217" s="711">
        <v>4811123.79</v>
      </c>
      <c r="K217" s="711">
        <v>1920276.81</v>
      </c>
      <c r="L217">
        <v>0</v>
      </c>
      <c r="M217">
        <v>0</v>
      </c>
      <c r="N217" s="711">
        <v>4869600.21</v>
      </c>
      <c r="O217" s="711">
        <v>1920276.81</v>
      </c>
      <c r="P217" s="711">
        <v>2949323.4</v>
      </c>
      <c r="Q217" s="724" t="str">
        <f>VLOOKUP($E217,SP_2024_v28062025!$E$2:$M$1751,9,FALSE)</f>
        <v>ABA040</v>
      </c>
    </row>
    <row r="218" spans="1:17" ht="15.75" thickBot="1">
      <c r="A218">
        <v>1</v>
      </c>
      <c r="B218" t="s">
        <v>11955</v>
      </c>
      <c r="C218" t="s">
        <v>11956</v>
      </c>
      <c r="D218" t="s">
        <v>11959</v>
      </c>
      <c r="E218" t="s">
        <v>1255</v>
      </c>
      <c r="F218" t="s">
        <v>1256</v>
      </c>
      <c r="G218" s="714">
        <v>7881.64</v>
      </c>
      <c r="H218">
        <v>0</v>
      </c>
      <c r="I218" s="715">
        <v>7881.64</v>
      </c>
      <c r="J218" s="711">
        <v>770028.76</v>
      </c>
      <c r="K218" s="711">
        <v>58476.42</v>
      </c>
      <c r="L218">
        <v>0</v>
      </c>
      <c r="M218">
        <v>0</v>
      </c>
      <c r="N218" s="711">
        <v>777910.4</v>
      </c>
      <c r="O218" s="711">
        <v>58476.42</v>
      </c>
      <c r="P218" s="711">
        <v>719433.98</v>
      </c>
      <c r="Q218" s="724" t="str">
        <f>VLOOKUP($E218,SP_2024_v28062025!$E$2:$M$1751,9,FALSE)</f>
        <v>ABA040</v>
      </c>
    </row>
    <row r="219" spans="1:17" ht="15.75" thickBot="1">
      <c r="A219" s="727">
        <v>1</v>
      </c>
      <c r="B219" s="727" t="s">
        <v>11955</v>
      </c>
      <c r="C219" s="727" t="s">
        <v>11956</v>
      </c>
      <c r="D219" s="727" t="s">
        <v>11960</v>
      </c>
      <c r="E219" s="727"/>
      <c r="F219" s="729" t="s">
        <v>1259</v>
      </c>
      <c r="G219" s="738">
        <v>0</v>
      </c>
      <c r="H219" s="738">
        <v>0</v>
      </c>
      <c r="I219" s="738">
        <v>0</v>
      </c>
      <c r="J219" s="739">
        <v>10030.41</v>
      </c>
      <c r="K219" s="739">
        <v>7881.64</v>
      </c>
      <c r="L219" s="738">
        <v>0</v>
      </c>
      <c r="M219" s="738">
        <v>0</v>
      </c>
      <c r="N219" s="739">
        <v>10030.41</v>
      </c>
      <c r="O219" s="739">
        <v>7881.64</v>
      </c>
      <c r="P219" s="739">
        <v>2148.77</v>
      </c>
    </row>
    <row r="220" spans="1:17" ht="15.75" thickBot="1">
      <c r="A220">
        <v>1</v>
      </c>
      <c r="B220" t="s">
        <v>11955</v>
      </c>
      <c r="C220" t="s">
        <v>11956</v>
      </c>
      <c r="D220" t="s">
        <v>11960</v>
      </c>
      <c r="E220" t="s">
        <v>1260</v>
      </c>
      <c r="F220" t="s">
        <v>1261</v>
      </c>
      <c r="G220" s="712">
        <v>0</v>
      </c>
      <c r="H220">
        <v>0</v>
      </c>
      <c r="I220" s="713">
        <v>0</v>
      </c>
      <c r="J220" s="711">
        <v>10030.41</v>
      </c>
      <c r="K220" s="711">
        <v>7881.64</v>
      </c>
      <c r="L220">
        <v>0</v>
      </c>
      <c r="M220">
        <v>0</v>
      </c>
      <c r="N220" s="711">
        <v>10030.41</v>
      </c>
      <c r="O220" s="711">
        <v>7881.64</v>
      </c>
      <c r="P220" s="711">
        <v>2148.77</v>
      </c>
      <c r="Q220" s="724" t="str">
        <f>VLOOKUP($E220,SP_2024_v28062025!$E$2:$M$1751,9,FALSE)</f>
        <v>ABA050</v>
      </c>
    </row>
    <row r="221" spans="1:17" ht="15.75" thickBot="1">
      <c r="A221" s="727">
        <v>1</v>
      </c>
      <c r="B221" s="727" t="s">
        <v>11955</v>
      </c>
      <c r="C221" s="727" t="s">
        <v>11956</v>
      </c>
      <c r="D221" s="727" t="s">
        <v>11961</v>
      </c>
      <c r="E221" s="727"/>
      <c r="F221" s="729" t="s">
        <v>1264</v>
      </c>
      <c r="G221" s="738">
        <v>0</v>
      </c>
      <c r="H221" s="738">
        <v>0</v>
      </c>
      <c r="I221" s="738">
        <v>0</v>
      </c>
      <c r="J221" s="738">
        <v>0</v>
      </c>
      <c r="K221" s="738">
        <v>0</v>
      </c>
      <c r="L221" s="738">
        <v>0</v>
      </c>
      <c r="M221" s="738">
        <v>0</v>
      </c>
      <c r="N221" s="738">
        <v>0</v>
      </c>
      <c r="O221" s="738">
        <v>0</v>
      </c>
      <c r="P221" s="738">
        <v>0</v>
      </c>
    </row>
    <row r="222" spans="1:17" ht="15.75" thickBot="1">
      <c r="A222">
        <v>1</v>
      </c>
      <c r="B222" t="s">
        <v>11955</v>
      </c>
      <c r="C222" t="s">
        <v>11956</v>
      </c>
      <c r="D222" t="s">
        <v>11961</v>
      </c>
      <c r="E222" t="s">
        <v>1265</v>
      </c>
      <c r="F222" t="s">
        <v>1266</v>
      </c>
      <c r="G222" s="712">
        <v>0</v>
      </c>
      <c r="H222">
        <v>0</v>
      </c>
      <c r="I222" s="713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 s="724" t="str">
        <f>VLOOKUP($E222,SP_2024_v28062025!$E$2:$M$1751,9,FALSE)</f>
        <v>ABA060</v>
      </c>
    </row>
    <row r="223" spans="1:17" ht="15.75" thickBot="1">
      <c r="A223" s="727">
        <v>1</v>
      </c>
      <c r="B223" s="727" t="s">
        <v>11955</v>
      </c>
      <c r="C223" s="727" t="s">
        <v>11956</v>
      </c>
      <c r="D223" s="727" t="s">
        <v>11962</v>
      </c>
      <c r="E223" s="727"/>
      <c r="F223" s="729" t="s">
        <v>1269</v>
      </c>
      <c r="G223" s="738">
        <v>0</v>
      </c>
      <c r="H223" s="738">
        <v>0</v>
      </c>
      <c r="I223" s="738">
        <v>0</v>
      </c>
      <c r="J223" s="738">
        <v>0</v>
      </c>
      <c r="K223" s="738">
        <v>0</v>
      </c>
      <c r="L223" s="738">
        <v>0</v>
      </c>
      <c r="M223" s="738">
        <v>0</v>
      </c>
      <c r="N223" s="738">
        <v>0</v>
      </c>
      <c r="O223" s="738">
        <v>0</v>
      </c>
      <c r="P223" s="738">
        <v>0</v>
      </c>
    </row>
    <row r="224" spans="1:17" ht="15.75" thickBot="1">
      <c r="A224">
        <v>1</v>
      </c>
      <c r="B224" t="s">
        <v>11955</v>
      </c>
      <c r="C224" t="s">
        <v>11956</v>
      </c>
      <c r="D224" t="s">
        <v>11962</v>
      </c>
      <c r="E224" t="s">
        <v>1270</v>
      </c>
      <c r="F224" t="s">
        <v>1271</v>
      </c>
      <c r="G224" s="712">
        <v>0</v>
      </c>
      <c r="H224">
        <v>0</v>
      </c>
      <c r="I224" s="713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 s="724" t="str">
        <f>VLOOKUP($E224,SP_2024_v28062025!$E$2:$M$1751,9,FALSE)</f>
        <v>ABA070</v>
      </c>
    </row>
    <row r="225" spans="1:17" ht="15.75" thickBot="1">
      <c r="A225" s="727">
        <v>1</v>
      </c>
      <c r="B225" s="727" t="s">
        <v>11955</v>
      </c>
      <c r="C225" s="727" t="s">
        <v>11956</v>
      </c>
      <c r="D225" s="727" t="s">
        <v>11963</v>
      </c>
      <c r="E225" s="727"/>
      <c r="F225" s="729" t="s">
        <v>1274</v>
      </c>
      <c r="G225" s="738">
        <v>0</v>
      </c>
      <c r="H225" s="738">
        <v>0</v>
      </c>
      <c r="I225" s="738">
        <v>0</v>
      </c>
      <c r="J225" s="738">
        <v>0</v>
      </c>
      <c r="K225" s="738">
        <v>0</v>
      </c>
      <c r="L225" s="738">
        <v>0</v>
      </c>
      <c r="M225" s="738">
        <v>0</v>
      </c>
      <c r="N225" s="738">
        <v>0</v>
      </c>
      <c r="O225" s="738">
        <v>0</v>
      </c>
      <c r="P225" s="738">
        <v>0</v>
      </c>
    </row>
    <row r="226" spans="1:17">
      <c r="A226">
        <v>1</v>
      </c>
      <c r="B226" t="s">
        <v>11955</v>
      </c>
      <c r="C226" t="s">
        <v>11956</v>
      </c>
      <c r="D226" t="s">
        <v>11963</v>
      </c>
      <c r="E226" t="s">
        <v>1275</v>
      </c>
      <c r="F226" t="s">
        <v>1276</v>
      </c>
      <c r="G226" s="712">
        <v>0</v>
      </c>
      <c r="H226">
        <v>0</v>
      </c>
      <c r="I226" s="713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 s="724" t="str">
        <f>VLOOKUP($E226,SP_2024_v28062025!$E$2:$M$1751,9,FALSE)</f>
        <v>ABA080</v>
      </c>
    </row>
    <row r="227" spans="1:17" ht="15.75" thickBot="1">
      <c r="A227">
        <v>1</v>
      </c>
      <c r="B227" t="s">
        <v>11955</v>
      </c>
      <c r="C227" t="s">
        <v>11956</v>
      </c>
      <c r="D227" t="s">
        <v>11963</v>
      </c>
      <c r="E227" t="s">
        <v>1279</v>
      </c>
      <c r="F227" t="s">
        <v>1280</v>
      </c>
      <c r="G227" s="712">
        <v>0</v>
      </c>
      <c r="H227">
        <v>0</v>
      </c>
      <c r="I227" s="713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 s="724" t="str">
        <f>VLOOKUP($E227,SP_2024_v28062025!$E$2:$M$1751,9,FALSE)</f>
        <v>ABA080</v>
      </c>
    </row>
    <row r="228" spans="1:17" ht="15.75" thickBot="1">
      <c r="A228" s="727">
        <v>1</v>
      </c>
      <c r="B228" s="727" t="s">
        <v>11955</v>
      </c>
      <c r="C228" s="727" t="s">
        <v>11956</v>
      </c>
      <c r="D228" s="727" t="s">
        <v>11964</v>
      </c>
      <c r="E228" s="727"/>
      <c r="F228" s="729" t="s">
        <v>1282</v>
      </c>
      <c r="G228" s="739">
        <v>667547.92000000004</v>
      </c>
      <c r="H228" s="738">
        <v>0</v>
      </c>
      <c r="I228" s="739">
        <v>667547.92000000004</v>
      </c>
      <c r="J228" s="739">
        <v>1848621.58</v>
      </c>
      <c r="K228" s="739">
        <v>667547.92000000004</v>
      </c>
      <c r="L228" s="738">
        <v>0</v>
      </c>
      <c r="M228" s="738">
        <v>0</v>
      </c>
      <c r="N228" s="739">
        <v>2516169.5</v>
      </c>
      <c r="O228" s="739">
        <v>667547.92000000004</v>
      </c>
      <c r="P228" s="739">
        <v>1848621.58</v>
      </c>
    </row>
    <row r="229" spans="1:17">
      <c r="A229">
        <v>1</v>
      </c>
      <c r="B229" t="s">
        <v>11955</v>
      </c>
      <c r="C229" t="s">
        <v>11956</v>
      </c>
      <c r="D229" t="s">
        <v>11964</v>
      </c>
      <c r="E229" t="s">
        <v>1284</v>
      </c>
      <c r="F229" t="s">
        <v>1285</v>
      </c>
      <c r="G229" s="712">
        <v>0</v>
      </c>
      <c r="H229">
        <v>0</v>
      </c>
      <c r="I229" s="713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 s="724" t="str">
        <f>VLOOKUP($E229,SP_2024_v28062025!$E$2:$M$1751,9,FALSE)</f>
        <v>ABA090</v>
      </c>
    </row>
    <row r="230" spans="1:17">
      <c r="A230">
        <v>1</v>
      </c>
      <c r="B230" t="s">
        <v>11955</v>
      </c>
      <c r="C230" t="s">
        <v>11956</v>
      </c>
      <c r="D230" t="s">
        <v>11964</v>
      </c>
      <c r="E230" t="s">
        <v>1288</v>
      </c>
      <c r="F230" t="s">
        <v>1289</v>
      </c>
      <c r="G230" s="714">
        <v>667547.92000000004</v>
      </c>
      <c r="H230">
        <v>0</v>
      </c>
      <c r="I230" s="715">
        <v>667547.92000000004</v>
      </c>
      <c r="J230" s="711">
        <v>1244356.3899999999</v>
      </c>
      <c r="K230" s="711">
        <v>667547.92000000004</v>
      </c>
      <c r="L230">
        <v>0</v>
      </c>
      <c r="M230">
        <v>0</v>
      </c>
      <c r="N230" s="711">
        <v>1911904.31</v>
      </c>
      <c r="O230" s="711">
        <v>667547.92000000004</v>
      </c>
      <c r="P230" s="711">
        <v>1244356.3899999999</v>
      </c>
      <c r="Q230" s="724" t="str">
        <f>VLOOKUP($E230,SP_2024_v28062025!$E$2:$M$1751,9,FALSE)</f>
        <v>ABA090</v>
      </c>
    </row>
    <row r="231" spans="1:17">
      <c r="A231">
        <v>1</v>
      </c>
      <c r="B231" t="s">
        <v>11955</v>
      </c>
      <c r="C231" t="s">
        <v>11956</v>
      </c>
      <c r="D231" t="s">
        <v>11964</v>
      </c>
      <c r="E231" t="s">
        <v>1290</v>
      </c>
      <c r="F231" t="s">
        <v>1291</v>
      </c>
      <c r="G231" s="712">
        <v>0</v>
      </c>
      <c r="H231">
        <v>0</v>
      </c>
      <c r="I231" s="713">
        <v>0</v>
      </c>
      <c r="J231" s="711">
        <v>604265.18999999994</v>
      </c>
      <c r="K231">
        <v>0</v>
      </c>
      <c r="L231">
        <v>0</v>
      </c>
      <c r="M231">
        <v>0</v>
      </c>
      <c r="N231" s="711">
        <v>604265.18999999994</v>
      </c>
      <c r="O231">
        <v>0</v>
      </c>
      <c r="P231" s="711">
        <v>604265.18999999994</v>
      </c>
      <c r="Q231" s="724" t="str">
        <f>VLOOKUP($E231,SP_2024_v28062025!$E$2:$M$1751,9,FALSE)</f>
        <v>ABA090</v>
      </c>
    </row>
    <row r="232" spans="1:17" ht="15.75" thickBot="1">
      <c r="A232">
        <v>1</v>
      </c>
      <c r="B232" t="s">
        <v>11955</v>
      </c>
      <c r="C232" t="s">
        <v>11956</v>
      </c>
      <c r="D232" t="s">
        <v>11964</v>
      </c>
      <c r="E232" t="s">
        <v>1292</v>
      </c>
      <c r="F232" t="s">
        <v>1293</v>
      </c>
      <c r="G232" s="712">
        <v>0</v>
      </c>
      <c r="H232">
        <v>0</v>
      </c>
      <c r="I232" s="713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 s="724" t="str">
        <f>VLOOKUP($E232,SP_2024_v28062025!$E$2:$M$1751,9,FALSE)</f>
        <v>ABA090</v>
      </c>
    </row>
    <row r="233" spans="1:17" ht="15.75" thickBot="1">
      <c r="A233" s="727">
        <v>1</v>
      </c>
      <c r="B233" s="727" t="s">
        <v>11955</v>
      </c>
      <c r="C233" s="727" t="s">
        <v>11956</v>
      </c>
      <c r="D233" s="727" t="s">
        <v>11965</v>
      </c>
      <c r="E233" s="727"/>
      <c r="F233" s="729" t="s">
        <v>1294</v>
      </c>
      <c r="G233" s="738">
        <v>0</v>
      </c>
      <c r="H233" s="738">
        <v>0</v>
      </c>
      <c r="I233" s="738">
        <v>0</v>
      </c>
      <c r="J233" s="738">
        <v>0</v>
      </c>
      <c r="K233" s="738">
        <v>0</v>
      </c>
      <c r="L233" s="738">
        <v>0</v>
      </c>
      <c r="M233" s="738">
        <v>0</v>
      </c>
      <c r="N233" s="738">
        <v>0</v>
      </c>
      <c r="O233" s="738">
        <v>0</v>
      </c>
      <c r="P233" s="738">
        <v>0</v>
      </c>
    </row>
    <row r="234" spans="1:17" ht="15.75" thickBot="1">
      <c r="A234">
        <v>1</v>
      </c>
      <c r="B234" t="s">
        <v>11955</v>
      </c>
      <c r="C234" t="s">
        <v>11956</v>
      </c>
      <c r="D234" t="s">
        <v>11965</v>
      </c>
      <c r="E234" t="s">
        <v>1296</v>
      </c>
      <c r="F234" t="s">
        <v>1294</v>
      </c>
      <c r="G234" s="712">
        <v>0</v>
      </c>
      <c r="H234">
        <v>0</v>
      </c>
      <c r="I234" s="713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 s="724" t="str">
        <f>VLOOKUP($E234,SP_2024_v28062025!$E$2:$M$1751,9,FALSE)</f>
        <v>ABA100</v>
      </c>
    </row>
    <row r="235" spans="1:17" ht="15.75" thickBot="1">
      <c r="A235" s="727">
        <v>1</v>
      </c>
      <c r="B235" s="727" t="s">
        <v>11955</v>
      </c>
      <c r="C235" s="727" t="s">
        <v>11956</v>
      </c>
      <c r="D235" s="727" t="s">
        <v>11966</v>
      </c>
      <c r="E235" s="727"/>
      <c r="F235" s="729" t="s">
        <v>1298</v>
      </c>
      <c r="G235" s="738">
        <v>0</v>
      </c>
      <c r="H235" s="738">
        <v>0</v>
      </c>
      <c r="I235" s="738">
        <v>0</v>
      </c>
      <c r="J235" s="739">
        <v>1079.06</v>
      </c>
      <c r="K235" s="738">
        <v>0</v>
      </c>
      <c r="L235" s="738">
        <v>0</v>
      </c>
      <c r="M235" s="738">
        <v>0</v>
      </c>
      <c r="N235" s="739">
        <v>1079.06</v>
      </c>
      <c r="O235" s="738">
        <v>0</v>
      </c>
      <c r="P235" s="739">
        <v>1079.06</v>
      </c>
    </row>
    <row r="236" spans="1:17" ht="15.75" thickBot="1">
      <c r="A236">
        <v>1</v>
      </c>
      <c r="B236" t="s">
        <v>11955</v>
      </c>
      <c r="C236" t="s">
        <v>11956</v>
      </c>
      <c r="D236" t="s">
        <v>11966</v>
      </c>
      <c r="E236" t="s">
        <v>1299</v>
      </c>
      <c r="F236" t="s">
        <v>1300</v>
      </c>
      <c r="G236" s="712">
        <v>0</v>
      </c>
      <c r="H236">
        <v>0</v>
      </c>
      <c r="I236" s="713">
        <v>0</v>
      </c>
      <c r="J236" s="711">
        <v>1079.06</v>
      </c>
      <c r="K236">
        <v>0</v>
      </c>
      <c r="L236">
        <v>0</v>
      </c>
      <c r="M236">
        <v>0</v>
      </c>
      <c r="N236" s="711">
        <v>1079.06</v>
      </c>
      <c r="O236">
        <v>0</v>
      </c>
      <c r="P236" s="711">
        <v>1079.06</v>
      </c>
      <c r="Q236" s="724" t="str">
        <f>VLOOKUP($E236,SP_2024_v28062025!$E$2:$M$1751,9,FALSE)</f>
        <v>ABA120</v>
      </c>
    </row>
    <row r="237" spans="1:17" ht="15.75" thickBot="1">
      <c r="A237" s="727">
        <v>1</v>
      </c>
      <c r="B237" s="727" t="s">
        <v>11955</v>
      </c>
      <c r="C237" s="727" t="s">
        <v>11956</v>
      </c>
      <c r="D237" s="727" t="s">
        <v>11967</v>
      </c>
      <c r="E237" s="727"/>
      <c r="F237" s="729" t="s">
        <v>1303</v>
      </c>
      <c r="G237" s="739">
        <v>2197.2800000000002</v>
      </c>
      <c r="H237" s="738">
        <v>0</v>
      </c>
      <c r="I237" s="739">
        <v>2197.2800000000002</v>
      </c>
      <c r="J237" s="738">
        <v>529.04999999999995</v>
      </c>
      <c r="K237" s="739">
        <v>2197.2800000000002</v>
      </c>
      <c r="L237" s="738">
        <v>0</v>
      </c>
      <c r="M237" s="738">
        <v>0</v>
      </c>
      <c r="N237" s="739">
        <v>2726.33</v>
      </c>
      <c r="O237" s="739">
        <v>2197.2800000000002</v>
      </c>
      <c r="P237" s="738">
        <v>529.04999999999995</v>
      </c>
    </row>
    <row r="238" spans="1:17" ht="15.75" thickBot="1">
      <c r="A238">
        <v>1</v>
      </c>
      <c r="B238" t="s">
        <v>11955</v>
      </c>
      <c r="C238" t="s">
        <v>11956</v>
      </c>
      <c r="D238" t="s">
        <v>11967</v>
      </c>
      <c r="E238" t="s">
        <v>1306</v>
      </c>
      <c r="F238" t="s">
        <v>1307</v>
      </c>
      <c r="G238" s="714">
        <v>2197.2800000000002</v>
      </c>
      <c r="H238">
        <v>0</v>
      </c>
      <c r="I238" s="715">
        <v>2197.2800000000002</v>
      </c>
      <c r="J238">
        <v>529.04999999999995</v>
      </c>
      <c r="K238" s="711">
        <v>2197.2800000000002</v>
      </c>
      <c r="L238">
        <v>0</v>
      </c>
      <c r="M238">
        <v>0</v>
      </c>
      <c r="N238" s="711">
        <v>2726.33</v>
      </c>
      <c r="O238" s="711">
        <v>2197.2800000000002</v>
      </c>
      <c r="P238">
        <v>529.04999999999995</v>
      </c>
      <c r="Q238" s="724" t="str">
        <f>VLOOKUP($E238,SP_2024_v28062025!$E$2:$M$1751,9,FALSE)</f>
        <v>ABA130</v>
      </c>
    </row>
    <row r="239" spans="1:17" ht="15.75" thickBot="1">
      <c r="A239" s="727">
        <v>1</v>
      </c>
      <c r="B239" s="727" t="s">
        <v>11955</v>
      </c>
      <c r="C239" s="727" t="s">
        <v>11956</v>
      </c>
      <c r="D239" s="727" t="s">
        <v>11968</v>
      </c>
      <c r="E239" s="727"/>
      <c r="F239" s="729" t="s">
        <v>1309</v>
      </c>
      <c r="G239" s="738">
        <v>0</v>
      </c>
      <c r="H239" s="738">
        <v>0</v>
      </c>
      <c r="I239" s="738">
        <v>0</v>
      </c>
      <c r="J239" s="738">
        <v>0</v>
      </c>
      <c r="K239" s="738">
        <v>0</v>
      </c>
      <c r="L239" s="738">
        <v>0</v>
      </c>
      <c r="M239" s="738">
        <v>0</v>
      </c>
      <c r="N239" s="738">
        <v>0</v>
      </c>
      <c r="O239" s="738">
        <v>0</v>
      </c>
      <c r="P239" s="738">
        <v>0</v>
      </c>
    </row>
    <row r="240" spans="1:17" ht="15.75" thickBot="1">
      <c r="A240">
        <v>1</v>
      </c>
      <c r="B240" t="s">
        <v>11955</v>
      </c>
      <c r="C240" t="s">
        <v>11956</v>
      </c>
      <c r="D240" t="s">
        <v>11968</v>
      </c>
      <c r="E240" t="s">
        <v>1311</v>
      </c>
      <c r="F240" t="s">
        <v>1312</v>
      </c>
      <c r="G240" s="712">
        <v>0</v>
      </c>
      <c r="H240">
        <v>0</v>
      </c>
      <c r="I240" s="713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 s="724" t="str">
        <f>VLOOKUP($E240,SP_2024_v28062025!$E$2:$M$1751,9,FALSE)</f>
        <v>ABA140</v>
      </c>
    </row>
    <row r="241" spans="1:17" ht="15.75" thickBot="1">
      <c r="A241" s="727">
        <v>1</v>
      </c>
      <c r="B241" s="727" t="s">
        <v>11955</v>
      </c>
      <c r="C241" s="727" t="s">
        <v>11956</v>
      </c>
      <c r="D241" s="727" t="s">
        <v>11969</v>
      </c>
      <c r="E241" s="727"/>
      <c r="F241" s="729" t="s">
        <v>1314</v>
      </c>
      <c r="G241" s="739">
        <v>49758.79</v>
      </c>
      <c r="H241" s="738">
        <v>0</v>
      </c>
      <c r="I241" s="739">
        <v>49758.79</v>
      </c>
      <c r="J241" s="739">
        <v>70022.3</v>
      </c>
      <c r="K241" s="739">
        <v>22027.919999999998</v>
      </c>
      <c r="L241" s="738">
        <v>0</v>
      </c>
      <c r="M241" s="738">
        <v>0</v>
      </c>
      <c r="N241" s="739">
        <v>119781.09</v>
      </c>
      <c r="O241" s="739">
        <v>22027.919999999998</v>
      </c>
      <c r="P241" s="739">
        <v>97753.17</v>
      </c>
    </row>
    <row r="242" spans="1:17" ht="15.75" thickBot="1">
      <c r="A242">
        <v>1</v>
      </c>
      <c r="B242" t="s">
        <v>11955</v>
      </c>
      <c r="C242" t="s">
        <v>11956</v>
      </c>
      <c r="D242" t="s">
        <v>11969</v>
      </c>
      <c r="E242" t="s">
        <v>1316</v>
      </c>
      <c r="F242" t="s">
        <v>1317</v>
      </c>
      <c r="G242" s="714">
        <v>49758.79</v>
      </c>
      <c r="H242">
        <v>0</v>
      </c>
      <c r="I242" s="715">
        <v>49758.79</v>
      </c>
      <c r="J242" s="711">
        <v>70022.3</v>
      </c>
      <c r="K242" s="711">
        <v>22027.919999999998</v>
      </c>
      <c r="L242">
        <v>0</v>
      </c>
      <c r="M242">
        <v>0</v>
      </c>
      <c r="N242" s="711">
        <v>119781.09</v>
      </c>
      <c r="O242" s="711">
        <v>22027.919999999998</v>
      </c>
      <c r="P242" s="711">
        <v>97753.17</v>
      </c>
      <c r="Q242" s="724" t="str">
        <f>VLOOKUP($E242,SP_2024_v28062025!$E$2:$M$1751,9,FALSE)</f>
        <v>ABA150</v>
      </c>
    </row>
    <row r="243" spans="1:17" ht="15.75" thickBot="1">
      <c r="A243" s="727">
        <v>1</v>
      </c>
      <c r="B243" s="727" t="s">
        <v>11955</v>
      </c>
      <c r="C243" s="727" t="s">
        <v>11956</v>
      </c>
      <c r="D243" s="727" t="s">
        <v>11970</v>
      </c>
      <c r="E243" s="727"/>
      <c r="F243" s="729" t="s">
        <v>1319</v>
      </c>
      <c r="G243" s="738">
        <v>0</v>
      </c>
      <c r="H243" s="739">
        <v>19687.84</v>
      </c>
      <c r="I243" s="739">
        <v>19687.84</v>
      </c>
      <c r="J243" s="739">
        <v>4292.88</v>
      </c>
      <c r="K243" s="739">
        <v>4381.37</v>
      </c>
      <c r="L243" s="738">
        <v>0</v>
      </c>
      <c r="M243" s="738">
        <v>0</v>
      </c>
      <c r="N243" s="739">
        <v>4292.88</v>
      </c>
      <c r="O243" s="739">
        <v>24069.21</v>
      </c>
      <c r="P243" s="739">
        <v>-19776.330000000002</v>
      </c>
    </row>
    <row r="244" spans="1:17" ht="15.75" thickBot="1">
      <c r="A244">
        <v>1</v>
      </c>
      <c r="B244" t="s">
        <v>11955</v>
      </c>
      <c r="C244" t="s">
        <v>11956</v>
      </c>
      <c r="D244" t="s">
        <v>11970</v>
      </c>
      <c r="E244" t="s">
        <v>1321</v>
      </c>
      <c r="F244" t="s">
        <v>1322</v>
      </c>
      <c r="G244" s="712">
        <v>0</v>
      </c>
      <c r="H244" s="711">
        <v>19687.84</v>
      </c>
      <c r="I244" s="715">
        <v>19687.84</v>
      </c>
      <c r="J244" s="711">
        <v>4292.88</v>
      </c>
      <c r="K244" s="711">
        <v>4381.37</v>
      </c>
      <c r="L244">
        <v>0</v>
      </c>
      <c r="M244">
        <v>0</v>
      </c>
      <c r="N244" s="711">
        <v>4292.88</v>
      </c>
      <c r="O244" s="711">
        <v>24069.21</v>
      </c>
      <c r="P244" s="711">
        <v>-19776.330000000002</v>
      </c>
      <c r="Q244" s="724" t="str">
        <f>VLOOKUP($E244,SP_2024_v28062025!$E$2:$M$1751,9,FALSE)</f>
        <v>ABA160</v>
      </c>
    </row>
    <row r="245" spans="1:17" ht="15.75" thickBot="1">
      <c r="A245" s="727">
        <v>1</v>
      </c>
      <c r="B245" s="727" t="s">
        <v>11955</v>
      </c>
      <c r="C245" s="727" t="s">
        <v>11956</v>
      </c>
      <c r="D245" s="727" t="s">
        <v>11971</v>
      </c>
      <c r="E245" s="727"/>
      <c r="F245" s="729" t="s">
        <v>1324</v>
      </c>
      <c r="G245" s="738">
        <v>0</v>
      </c>
      <c r="H245" s="738">
        <v>0</v>
      </c>
      <c r="I245" s="738">
        <v>0</v>
      </c>
      <c r="J245" s="738">
        <v>0</v>
      </c>
      <c r="K245" s="738">
        <v>0</v>
      </c>
      <c r="L245" s="738">
        <v>0</v>
      </c>
      <c r="M245" s="738">
        <v>0</v>
      </c>
      <c r="N245" s="738">
        <v>0</v>
      </c>
      <c r="O245" s="738">
        <v>0</v>
      </c>
      <c r="P245" s="738">
        <v>0</v>
      </c>
    </row>
    <row r="246" spans="1:17" ht="15.75" thickBot="1">
      <c r="A246">
        <v>1</v>
      </c>
      <c r="B246" t="s">
        <v>11955</v>
      </c>
      <c r="C246" t="s">
        <v>11956</v>
      </c>
      <c r="D246" t="s">
        <v>11971</v>
      </c>
      <c r="E246" t="s">
        <v>1327</v>
      </c>
      <c r="F246" t="s">
        <v>1328</v>
      </c>
      <c r="G246" s="712">
        <v>0</v>
      </c>
      <c r="H246">
        <v>0</v>
      </c>
      <c r="I246" s="713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 s="724" t="str">
        <f>VLOOKUP($E246,SP_2024_v28062025!$E$2:$M$1751,9,FALSE)</f>
        <v>ABA170</v>
      </c>
    </row>
    <row r="247" spans="1:17" ht="15.75" thickBot="1">
      <c r="A247" s="727">
        <v>1</v>
      </c>
      <c r="B247" s="727" t="s">
        <v>11955</v>
      </c>
      <c r="C247" s="727" t="s">
        <v>11956</v>
      </c>
      <c r="D247" s="727" t="s">
        <v>11972</v>
      </c>
      <c r="E247" s="727"/>
      <c r="F247" s="729" t="s">
        <v>1330</v>
      </c>
      <c r="G247" s="738">
        <v>0</v>
      </c>
      <c r="H247" s="738">
        <v>0</v>
      </c>
      <c r="I247" s="738">
        <v>0</v>
      </c>
      <c r="J247" s="738">
        <v>0</v>
      </c>
      <c r="K247" s="738">
        <v>0</v>
      </c>
      <c r="L247" s="738">
        <v>0</v>
      </c>
      <c r="M247" s="738">
        <v>0</v>
      </c>
      <c r="N247" s="738">
        <v>0</v>
      </c>
      <c r="O247" s="738">
        <v>0</v>
      </c>
      <c r="P247" s="738">
        <v>0</v>
      </c>
    </row>
    <row r="248" spans="1:17" ht="15.75" thickBot="1">
      <c r="A248">
        <v>1</v>
      </c>
      <c r="B248" t="s">
        <v>11955</v>
      </c>
      <c r="C248" t="s">
        <v>11956</v>
      </c>
      <c r="D248" t="s">
        <v>11972</v>
      </c>
      <c r="E248" t="s">
        <v>1333</v>
      </c>
      <c r="F248" t="s">
        <v>1330</v>
      </c>
      <c r="G248" s="712">
        <v>0</v>
      </c>
      <c r="H248">
        <v>0</v>
      </c>
      <c r="I248" s="713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 s="724" t="str">
        <f>VLOOKUP($E248,SP_2024_v28062025!$E$2:$M$1751,9,FALSE)</f>
        <v>ABA180</v>
      </c>
    </row>
    <row r="249" spans="1:17" ht="15.75" thickBot="1">
      <c r="A249" s="727">
        <v>1</v>
      </c>
      <c r="B249" s="727" t="s">
        <v>11955</v>
      </c>
      <c r="C249" s="727" t="s">
        <v>11973</v>
      </c>
      <c r="D249" s="727"/>
      <c r="E249" s="727"/>
      <c r="F249" s="745" t="s">
        <v>123</v>
      </c>
      <c r="G249" s="739">
        <v>186053698.13</v>
      </c>
      <c r="H249" s="739">
        <v>11077275.24</v>
      </c>
      <c r="I249" s="739">
        <v>174976422.88999999</v>
      </c>
      <c r="J249" s="739">
        <v>714533762.85000002</v>
      </c>
      <c r="K249" s="739">
        <v>719973312.05999994</v>
      </c>
      <c r="L249" s="738">
        <v>0</v>
      </c>
      <c r="M249" s="738">
        <v>0</v>
      </c>
      <c r="N249" s="739">
        <v>900587460.98000002</v>
      </c>
      <c r="O249" s="739">
        <v>731050587.29999995</v>
      </c>
      <c r="P249" s="739">
        <v>169536873.68000001</v>
      </c>
    </row>
    <row r="250" spans="1:17" ht="15.75" thickBot="1">
      <c r="A250" s="727">
        <v>1</v>
      </c>
      <c r="B250" s="727" t="s">
        <v>11955</v>
      </c>
      <c r="C250" s="727" t="s">
        <v>11973</v>
      </c>
      <c r="D250" s="727" t="s">
        <v>11974</v>
      </c>
      <c r="E250" s="727"/>
      <c r="F250" s="729" t="s">
        <v>1336</v>
      </c>
      <c r="G250" s="738">
        <v>0</v>
      </c>
      <c r="H250" s="738">
        <v>0</v>
      </c>
      <c r="I250" s="738">
        <v>0</v>
      </c>
      <c r="J250" s="738">
        <v>0</v>
      </c>
      <c r="K250" s="738">
        <v>0</v>
      </c>
      <c r="L250" s="738">
        <v>0</v>
      </c>
      <c r="M250" s="738">
        <v>0</v>
      </c>
      <c r="N250" s="738">
        <v>0</v>
      </c>
      <c r="O250" s="738">
        <v>0</v>
      </c>
      <c r="P250" s="738">
        <v>0</v>
      </c>
    </row>
    <row r="251" spans="1:17" ht="15.75" thickBot="1">
      <c r="A251">
        <v>1</v>
      </c>
      <c r="B251" t="s">
        <v>11955</v>
      </c>
      <c r="C251" t="s">
        <v>11973</v>
      </c>
      <c r="D251" t="s">
        <v>11974</v>
      </c>
      <c r="E251" t="s">
        <v>1342</v>
      </c>
      <c r="F251" t="s">
        <v>1336</v>
      </c>
      <c r="G251" s="712">
        <v>0</v>
      </c>
      <c r="H251">
        <v>0</v>
      </c>
      <c r="I251" s="713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7" ht="15.75" thickBot="1">
      <c r="A252" s="727">
        <v>1</v>
      </c>
      <c r="B252" s="727" t="s">
        <v>11955</v>
      </c>
      <c r="C252" s="727" t="s">
        <v>11973</v>
      </c>
      <c r="D252" s="727" t="s">
        <v>11975</v>
      </c>
      <c r="E252" s="727"/>
      <c r="F252" s="729" t="s">
        <v>1344</v>
      </c>
      <c r="G252" s="738">
        <v>0</v>
      </c>
      <c r="H252" s="738">
        <v>0</v>
      </c>
      <c r="I252" s="738">
        <v>0</v>
      </c>
      <c r="J252" s="738">
        <v>0</v>
      </c>
      <c r="K252" s="738">
        <v>0</v>
      </c>
      <c r="L252" s="738">
        <v>0</v>
      </c>
      <c r="M252" s="738">
        <v>0</v>
      </c>
      <c r="N252" s="738">
        <v>0</v>
      </c>
      <c r="O252" s="738">
        <v>0</v>
      </c>
      <c r="P252" s="738">
        <v>0</v>
      </c>
    </row>
    <row r="253" spans="1:17" ht="15.75" thickBot="1">
      <c r="A253">
        <v>1</v>
      </c>
      <c r="B253" t="s">
        <v>11955</v>
      </c>
      <c r="C253" t="s">
        <v>11973</v>
      </c>
      <c r="D253" t="s">
        <v>11975</v>
      </c>
      <c r="E253" t="s">
        <v>1346</v>
      </c>
      <c r="F253" t="s">
        <v>1344</v>
      </c>
      <c r="G253" s="712">
        <v>0</v>
      </c>
      <c r="H253">
        <v>0</v>
      </c>
      <c r="I253" s="71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 s="724" t="str">
        <f>VLOOKUP($E253,SP_2024_v28062025!$E$2:$M$1751,9,FALSE)</f>
        <v>ABA220</v>
      </c>
    </row>
    <row r="254" spans="1:17" ht="15.75" thickBot="1">
      <c r="A254" s="727">
        <v>1</v>
      </c>
      <c r="B254" s="727" t="s">
        <v>11955</v>
      </c>
      <c r="C254" s="727" t="s">
        <v>11973</v>
      </c>
      <c r="D254" s="727" t="s">
        <v>11976</v>
      </c>
      <c r="E254" s="727"/>
      <c r="F254" s="729" t="s">
        <v>1347</v>
      </c>
      <c r="G254" s="738">
        <v>0</v>
      </c>
      <c r="H254" s="738">
        <v>0</v>
      </c>
      <c r="I254" s="738">
        <v>0</v>
      </c>
      <c r="J254" s="738">
        <v>0</v>
      </c>
      <c r="K254" s="738">
        <v>0</v>
      </c>
      <c r="L254" s="738">
        <v>0</v>
      </c>
      <c r="M254" s="738">
        <v>0</v>
      </c>
      <c r="N254" s="738">
        <v>0</v>
      </c>
      <c r="O254" s="738">
        <v>0</v>
      </c>
      <c r="P254" s="738">
        <v>0</v>
      </c>
    </row>
    <row r="255" spans="1:17" ht="15.75" thickBot="1">
      <c r="A255">
        <v>1</v>
      </c>
      <c r="B255" t="s">
        <v>11955</v>
      </c>
      <c r="C255" t="s">
        <v>11973</v>
      </c>
      <c r="D255" t="s">
        <v>11976</v>
      </c>
      <c r="E255" t="s">
        <v>1351</v>
      </c>
      <c r="F255" t="s">
        <v>1348</v>
      </c>
      <c r="G255" s="712">
        <v>0</v>
      </c>
      <c r="H255">
        <v>0</v>
      </c>
      <c r="I255" s="713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 s="724" t="str">
        <f>VLOOKUP($E255,SP_2024_v28062025!$E$2:$M$1751,9,FALSE)</f>
        <v>ABA230</v>
      </c>
    </row>
    <row r="256" spans="1:17" ht="15.75" thickBot="1">
      <c r="A256" s="727">
        <v>1</v>
      </c>
      <c r="B256" s="727" t="s">
        <v>11955</v>
      </c>
      <c r="C256" s="727" t="s">
        <v>11973</v>
      </c>
      <c r="D256" s="727" t="s">
        <v>11977</v>
      </c>
      <c r="E256" s="727"/>
      <c r="F256" s="729" t="s">
        <v>1352</v>
      </c>
      <c r="G256" s="738">
        <v>0</v>
      </c>
      <c r="H256" s="738">
        <v>0</v>
      </c>
      <c r="I256" s="738">
        <v>0</v>
      </c>
      <c r="J256" s="738">
        <v>0</v>
      </c>
      <c r="K256" s="738">
        <v>0</v>
      </c>
      <c r="L256" s="738">
        <v>0</v>
      </c>
      <c r="M256" s="738">
        <v>0</v>
      </c>
      <c r="N256" s="738">
        <v>0</v>
      </c>
      <c r="O256" s="738">
        <v>0</v>
      </c>
      <c r="P256" s="738">
        <v>0</v>
      </c>
    </row>
    <row r="257" spans="1:17" ht="15.75" thickBot="1">
      <c r="A257">
        <v>1</v>
      </c>
      <c r="B257" t="s">
        <v>11955</v>
      </c>
      <c r="C257" t="s">
        <v>11973</v>
      </c>
      <c r="D257" t="s">
        <v>11977</v>
      </c>
      <c r="E257" t="s">
        <v>1355</v>
      </c>
      <c r="F257" t="s">
        <v>1356</v>
      </c>
      <c r="G257" s="712">
        <v>0</v>
      </c>
      <c r="H257">
        <v>0</v>
      </c>
      <c r="I257" s="713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 s="724" t="str">
        <f>VLOOKUP($E257,SP_2024_v28062025!$E$2:$M$1751,9,FALSE)</f>
        <v>ABA240</v>
      </c>
    </row>
    <row r="258" spans="1:17" ht="15.75" thickBot="1">
      <c r="A258" s="727">
        <v>1</v>
      </c>
      <c r="B258" s="727" t="s">
        <v>11955</v>
      </c>
      <c r="C258" s="727" t="s">
        <v>11973</v>
      </c>
      <c r="D258" s="727" t="s">
        <v>11978</v>
      </c>
      <c r="E258" s="727"/>
      <c r="F258" s="729" t="s">
        <v>1357</v>
      </c>
      <c r="G258" s="738">
        <v>0</v>
      </c>
      <c r="H258" s="738">
        <v>0</v>
      </c>
      <c r="I258" s="738">
        <v>0</v>
      </c>
      <c r="J258" s="738">
        <v>0</v>
      </c>
      <c r="K258" s="738">
        <v>0</v>
      </c>
      <c r="L258" s="738">
        <v>0</v>
      </c>
      <c r="M258" s="738">
        <v>0</v>
      </c>
      <c r="N258" s="738">
        <v>0</v>
      </c>
      <c r="O258" s="738">
        <v>0</v>
      </c>
      <c r="P258" s="738">
        <v>0</v>
      </c>
    </row>
    <row r="259" spans="1:17" ht="15.75" thickBot="1">
      <c r="A259">
        <v>1</v>
      </c>
      <c r="B259" t="s">
        <v>11955</v>
      </c>
      <c r="C259" t="s">
        <v>11973</v>
      </c>
      <c r="D259" t="s">
        <v>11978</v>
      </c>
      <c r="E259" t="s">
        <v>1360</v>
      </c>
      <c r="F259" t="s">
        <v>1357</v>
      </c>
      <c r="G259" s="712">
        <v>0</v>
      </c>
      <c r="H259">
        <v>0</v>
      </c>
      <c r="I259" s="713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 s="724" t="str">
        <f>VLOOKUP($E259,SP_2024_v28062025!$E$2:$M$1751,9,FALSE)</f>
        <v>ABA250</v>
      </c>
    </row>
    <row r="260" spans="1:17" ht="15.75" thickBot="1">
      <c r="A260" s="727">
        <v>1</v>
      </c>
      <c r="B260" s="727" t="s">
        <v>11955</v>
      </c>
      <c r="C260" s="727" t="s">
        <v>11973</v>
      </c>
      <c r="D260" s="727" t="s">
        <v>11979</v>
      </c>
      <c r="E260" s="727"/>
      <c r="F260" s="729" t="s">
        <v>1361</v>
      </c>
      <c r="G260" s="738">
        <v>0</v>
      </c>
      <c r="H260" s="738">
        <v>0</v>
      </c>
      <c r="I260" s="738">
        <v>0</v>
      </c>
      <c r="J260" s="738">
        <v>0</v>
      </c>
      <c r="K260" s="738">
        <v>0</v>
      </c>
      <c r="L260" s="738">
        <v>0</v>
      </c>
      <c r="M260" s="738">
        <v>0</v>
      </c>
      <c r="N260" s="738">
        <v>0</v>
      </c>
      <c r="O260" s="738">
        <v>0</v>
      </c>
      <c r="P260" s="738">
        <v>0</v>
      </c>
    </row>
    <row r="261" spans="1:17" ht="15.75" thickBot="1">
      <c r="A261">
        <v>1</v>
      </c>
      <c r="B261" t="s">
        <v>11955</v>
      </c>
      <c r="C261" t="s">
        <v>11973</v>
      </c>
      <c r="D261" t="s">
        <v>11979</v>
      </c>
      <c r="E261" t="s">
        <v>1364</v>
      </c>
      <c r="F261" t="s">
        <v>1361</v>
      </c>
      <c r="G261" s="712">
        <v>0</v>
      </c>
      <c r="H261">
        <v>0</v>
      </c>
      <c r="I261" s="713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 s="724" t="str">
        <f>VLOOKUP($E261,SP_2024_v28062025!$E$2:$M$1751,9,FALSE)</f>
        <v>ABA260</v>
      </c>
    </row>
    <row r="262" spans="1:17" ht="15.75" thickBot="1">
      <c r="A262" s="727">
        <v>1</v>
      </c>
      <c r="B262" s="727" t="s">
        <v>11955</v>
      </c>
      <c r="C262" s="727" t="s">
        <v>11973</v>
      </c>
      <c r="D262" s="727" t="s">
        <v>11980</v>
      </c>
      <c r="E262" s="727"/>
      <c r="F262" s="729" t="s">
        <v>1365</v>
      </c>
      <c r="G262" s="738">
        <v>0</v>
      </c>
      <c r="H262" s="738">
        <v>0</v>
      </c>
      <c r="I262" s="738">
        <v>0</v>
      </c>
      <c r="J262" s="738">
        <v>0</v>
      </c>
      <c r="K262" s="738">
        <v>0</v>
      </c>
      <c r="L262" s="738">
        <v>0</v>
      </c>
      <c r="M262" s="738">
        <v>0</v>
      </c>
      <c r="N262" s="738">
        <v>0</v>
      </c>
      <c r="O262" s="738">
        <v>0</v>
      </c>
      <c r="P262" s="738">
        <v>0</v>
      </c>
    </row>
    <row r="263" spans="1:17">
      <c r="A263">
        <v>1</v>
      </c>
      <c r="B263" t="s">
        <v>11955</v>
      </c>
      <c r="C263" t="s">
        <v>11973</v>
      </c>
      <c r="D263" t="s">
        <v>11980</v>
      </c>
      <c r="E263" t="s">
        <v>1368</v>
      </c>
      <c r="F263" t="s">
        <v>1366</v>
      </c>
      <c r="G263" s="712">
        <v>0</v>
      </c>
      <c r="H263">
        <v>0</v>
      </c>
      <c r="I263" s="71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 s="724" t="str">
        <f>VLOOKUP($E263,SP_2024_v28062025!$E$2:$M$1751,9,FALSE)</f>
        <v>ABA270</v>
      </c>
    </row>
    <row r="264" spans="1:17" ht="15.75" thickBot="1">
      <c r="A264">
        <v>1</v>
      </c>
      <c r="B264" t="s">
        <v>11955</v>
      </c>
      <c r="C264" t="s">
        <v>11973</v>
      </c>
      <c r="D264" t="s">
        <v>11980</v>
      </c>
      <c r="E264" t="s">
        <v>1369</v>
      </c>
      <c r="F264" t="s">
        <v>1370</v>
      </c>
      <c r="G264" s="712">
        <v>0</v>
      </c>
      <c r="H264">
        <v>0</v>
      </c>
      <c r="I264" s="713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 s="724" t="str">
        <f>VLOOKUP($E264,SP_2024_v28062025!$E$2:$M$1751,9,FALSE)</f>
        <v>ABA270</v>
      </c>
    </row>
    <row r="265" spans="1:17" ht="15.75" thickBot="1">
      <c r="A265" s="727">
        <v>1</v>
      </c>
      <c r="B265" s="727" t="s">
        <v>11955</v>
      </c>
      <c r="C265" s="727" t="s">
        <v>11973</v>
      </c>
      <c r="D265" s="727" t="s">
        <v>11981</v>
      </c>
      <c r="E265" s="727"/>
      <c r="F265" s="729" t="s">
        <v>1376</v>
      </c>
      <c r="G265" s="739">
        <v>1770138</v>
      </c>
      <c r="H265" s="738">
        <v>0</v>
      </c>
      <c r="I265" s="739">
        <v>1770138</v>
      </c>
      <c r="J265" s="738">
        <v>0</v>
      </c>
      <c r="K265" s="738">
        <v>0</v>
      </c>
      <c r="L265" s="738">
        <v>0</v>
      </c>
      <c r="M265" s="738">
        <v>0</v>
      </c>
      <c r="N265" s="739">
        <v>1770138</v>
      </c>
      <c r="O265" s="738">
        <v>0</v>
      </c>
      <c r="P265" s="739">
        <v>1770138</v>
      </c>
    </row>
    <row r="266" spans="1:17">
      <c r="A266">
        <v>1</v>
      </c>
      <c r="B266" t="s">
        <v>11955</v>
      </c>
      <c r="C266" t="s">
        <v>11973</v>
      </c>
      <c r="D266" t="s">
        <v>11981</v>
      </c>
      <c r="E266" t="s">
        <v>1379</v>
      </c>
      <c r="F266" t="s">
        <v>1380</v>
      </c>
      <c r="G266" s="712">
        <v>0</v>
      </c>
      <c r="H266">
        <v>0</v>
      </c>
      <c r="I266" s="713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 s="724" t="str">
        <f>VLOOKUP($E266,SP_2024_v28062025!$E$2:$M$1751,9,FALSE)</f>
        <v>ABA280</v>
      </c>
    </row>
    <row r="267" spans="1:17">
      <c r="A267">
        <v>1</v>
      </c>
      <c r="B267" t="s">
        <v>11955</v>
      </c>
      <c r="C267" t="s">
        <v>11973</v>
      </c>
      <c r="D267" t="s">
        <v>11981</v>
      </c>
      <c r="E267" t="s">
        <v>1381</v>
      </c>
      <c r="F267" t="s">
        <v>1382</v>
      </c>
      <c r="G267" s="712">
        <v>0</v>
      </c>
      <c r="H267">
        <v>0</v>
      </c>
      <c r="I267" s="713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 s="724" t="str">
        <f>VLOOKUP($E267,SP_2024_v28062025!$E$2:$M$1751,9,FALSE)</f>
        <v>ABA280</v>
      </c>
    </row>
    <row r="268" spans="1:17">
      <c r="A268">
        <v>1</v>
      </c>
      <c r="B268" t="s">
        <v>11955</v>
      </c>
      <c r="C268" t="s">
        <v>11973</v>
      </c>
      <c r="D268" t="s">
        <v>11981</v>
      </c>
      <c r="E268" t="s">
        <v>1383</v>
      </c>
      <c r="F268" t="s">
        <v>1384</v>
      </c>
      <c r="G268" s="712">
        <v>0</v>
      </c>
      <c r="H268">
        <v>0</v>
      </c>
      <c r="I268" s="713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 s="724" t="str">
        <f>VLOOKUP($E268,SP_2024_v28062025!$E$2:$M$1751,9,FALSE)</f>
        <v>ABA280</v>
      </c>
    </row>
    <row r="269" spans="1:17">
      <c r="A269">
        <v>1</v>
      </c>
      <c r="B269" t="s">
        <v>11955</v>
      </c>
      <c r="C269" t="s">
        <v>11973</v>
      </c>
      <c r="D269" t="s">
        <v>11981</v>
      </c>
      <c r="E269" t="s">
        <v>1385</v>
      </c>
      <c r="F269" t="s">
        <v>1386</v>
      </c>
      <c r="G269" s="712">
        <v>0</v>
      </c>
      <c r="H269">
        <v>0</v>
      </c>
      <c r="I269" s="713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 s="724" t="str">
        <f>VLOOKUP($E269,SP_2024_v28062025!$E$2:$M$1751,9,FALSE)</f>
        <v>ABA280</v>
      </c>
    </row>
    <row r="270" spans="1:17">
      <c r="A270">
        <v>1</v>
      </c>
      <c r="B270" t="s">
        <v>11955</v>
      </c>
      <c r="C270" t="s">
        <v>11973</v>
      </c>
      <c r="D270" t="s">
        <v>11981</v>
      </c>
      <c r="E270" t="s">
        <v>1387</v>
      </c>
      <c r="F270" t="s">
        <v>1388</v>
      </c>
      <c r="G270" s="714">
        <v>1254245</v>
      </c>
      <c r="H270">
        <v>0</v>
      </c>
      <c r="I270" s="715">
        <v>1254245</v>
      </c>
      <c r="J270">
        <v>0</v>
      </c>
      <c r="K270">
        <v>0</v>
      </c>
      <c r="L270">
        <v>0</v>
      </c>
      <c r="M270">
        <v>0</v>
      </c>
      <c r="N270" s="711">
        <v>1254245</v>
      </c>
      <c r="O270">
        <v>0</v>
      </c>
      <c r="P270" s="750">
        <v>1254245</v>
      </c>
      <c r="Q270" s="724" t="str">
        <f>VLOOKUP($E270,SP_2024_v28062025!$E$2:$M$1751,9,FALSE)</f>
        <v>ABA280</v>
      </c>
    </row>
    <row r="271" spans="1:17" ht="15.75" thickBot="1">
      <c r="A271">
        <v>1</v>
      </c>
      <c r="B271" t="s">
        <v>11955</v>
      </c>
      <c r="C271" t="s">
        <v>11973</v>
      </c>
      <c r="D271" t="s">
        <v>11981</v>
      </c>
      <c r="E271" t="s">
        <v>1389</v>
      </c>
      <c r="F271" t="s">
        <v>1390</v>
      </c>
      <c r="G271" s="714">
        <v>515893</v>
      </c>
      <c r="H271">
        <v>0</v>
      </c>
      <c r="I271" s="715">
        <v>515893</v>
      </c>
      <c r="J271">
        <v>0</v>
      </c>
      <c r="K271">
        <v>0</v>
      </c>
      <c r="L271">
        <v>0</v>
      </c>
      <c r="M271">
        <v>0</v>
      </c>
      <c r="N271" s="711">
        <v>515893</v>
      </c>
      <c r="O271">
        <v>0</v>
      </c>
      <c r="P271" s="750">
        <v>515893</v>
      </c>
      <c r="Q271" s="724" t="str">
        <f>VLOOKUP($E271,SP_2024_v28062025!$E$2:$M$1751,9,FALSE)</f>
        <v>ABA280</v>
      </c>
    </row>
    <row r="272" spans="1:17" ht="15.75" thickBot="1">
      <c r="A272" s="727">
        <v>1</v>
      </c>
      <c r="B272" s="727" t="s">
        <v>11955</v>
      </c>
      <c r="C272" s="727" t="s">
        <v>11973</v>
      </c>
      <c r="D272" s="727" t="s">
        <v>11982</v>
      </c>
      <c r="E272" s="727"/>
      <c r="F272" s="729" t="s">
        <v>1391</v>
      </c>
      <c r="G272" s="739">
        <v>271000</v>
      </c>
      <c r="H272" s="738">
        <v>0</v>
      </c>
      <c r="I272" s="739">
        <v>271000</v>
      </c>
      <c r="J272" s="739">
        <v>1703499.59</v>
      </c>
      <c r="K272" s="739">
        <v>400000</v>
      </c>
      <c r="L272" s="738">
        <v>0</v>
      </c>
      <c r="M272" s="738">
        <v>0</v>
      </c>
      <c r="N272" s="739">
        <v>1974499.59</v>
      </c>
      <c r="O272" s="739">
        <v>400000</v>
      </c>
      <c r="P272" s="739">
        <v>1574499.59</v>
      </c>
    </row>
    <row r="273" spans="1:18">
      <c r="A273">
        <v>1</v>
      </c>
      <c r="B273" t="s">
        <v>11955</v>
      </c>
      <c r="C273" t="s">
        <v>11973</v>
      </c>
      <c r="D273" t="s">
        <v>11982</v>
      </c>
      <c r="E273" t="s">
        <v>1394</v>
      </c>
      <c r="F273" t="s">
        <v>1395</v>
      </c>
      <c r="G273" s="712">
        <v>0</v>
      </c>
      <c r="H273">
        <v>0</v>
      </c>
      <c r="I273" s="71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 s="724" t="str">
        <f>VLOOKUP($E273,SP_2024_v28062025!$E$2:$M$1751,9,FALSE)</f>
        <v>ABA300</v>
      </c>
    </row>
    <row r="274" spans="1:18">
      <c r="A274">
        <v>1</v>
      </c>
      <c r="B274" t="s">
        <v>11955</v>
      </c>
      <c r="C274" t="s">
        <v>11973</v>
      </c>
      <c r="D274" t="s">
        <v>11982</v>
      </c>
      <c r="E274" t="s">
        <v>1398</v>
      </c>
      <c r="F274" t="s">
        <v>1399</v>
      </c>
      <c r="G274" s="712">
        <v>0</v>
      </c>
      <c r="H274">
        <v>0</v>
      </c>
      <c r="I274" s="713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 s="724" t="str">
        <f>VLOOKUP($E274,SP_2024_v28062025!$E$2:$M$1751,9,FALSE)</f>
        <v>ABA310</v>
      </c>
    </row>
    <row r="275" spans="1:18">
      <c r="A275">
        <v>1</v>
      </c>
      <c r="B275" t="s">
        <v>11955</v>
      </c>
      <c r="C275" t="s">
        <v>11973</v>
      </c>
      <c r="D275" t="s">
        <v>11982</v>
      </c>
      <c r="E275" t="s">
        <v>1402</v>
      </c>
      <c r="F275" t="s">
        <v>1403</v>
      </c>
      <c r="G275" s="714">
        <v>271000</v>
      </c>
      <c r="H275">
        <v>0</v>
      </c>
      <c r="I275" s="715">
        <v>271000</v>
      </c>
      <c r="J275" s="711">
        <v>1703499.59</v>
      </c>
      <c r="K275" s="711">
        <v>400000</v>
      </c>
      <c r="L275">
        <v>0</v>
      </c>
      <c r="M275">
        <v>0</v>
      </c>
      <c r="N275" s="711">
        <v>1974499.59</v>
      </c>
      <c r="O275" s="711">
        <v>400000</v>
      </c>
      <c r="P275" s="711">
        <v>1574499.59</v>
      </c>
      <c r="Q275" s="724" t="str">
        <f>VLOOKUP($E275,SP_2024_v28062025!$E$2:$M$1751,9,FALSE)</f>
        <v>ABA310</v>
      </c>
      <c r="R275" s="711">
        <f>P275-I275</f>
        <v>1303499.5900000001</v>
      </c>
    </row>
    <row r="276" spans="1:18">
      <c r="A276">
        <v>1</v>
      </c>
      <c r="B276" t="s">
        <v>11955</v>
      </c>
      <c r="C276" t="s">
        <v>11973</v>
      </c>
      <c r="D276" t="s">
        <v>11982</v>
      </c>
      <c r="E276" t="s">
        <v>1404</v>
      </c>
      <c r="F276" t="s">
        <v>1405</v>
      </c>
      <c r="G276" s="712">
        <v>0</v>
      </c>
      <c r="H276">
        <v>0</v>
      </c>
      <c r="I276" s="713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 s="724" t="str">
        <f>VLOOKUP($E276,SP_2024_v28062025!$E$2:$M$1751,9,FALSE)</f>
        <v>ABA320</v>
      </c>
    </row>
    <row r="277" spans="1:18" ht="15.75" thickBot="1">
      <c r="A277">
        <v>1</v>
      </c>
      <c r="B277" t="s">
        <v>11955</v>
      </c>
      <c r="C277" t="s">
        <v>11973</v>
      </c>
      <c r="D277" t="s">
        <v>11982</v>
      </c>
      <c r="E277" t="s">
        <v>1407</v>
      </c>
      <c r="F277" t="s">
        <v>1408</v>
      </c>
      <c r="G277" s="712">
        <v>0</v>
      </c>
      <c r="H277">
        <v>0</v>
      </c>
      <c r="I277" s="713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 s="724" t="str">
        <f>VLOOKUP($E277,SP_2024_v28062025!$E$2:$M$1751,9,FALSE)</f>
        <v>ABA330</v>
      </c>
    </row>
    <row r="278" spans="1:18" ht="15.75" thickBot="1">
      <c r="A278" s="727">
        <v>1</v>
      </c>
      <c r="B278" s="727" t="s">
        <v>11955</v>
      </c>
      <c r="C278" s="727" t="s">
        <v>11973</v>
      </c>
      <c r="D278" s="727" t="s">
        <v>11983</v>
      </c>
      <c r="E278" s="727"/>
      <c r="F278" s="729" t="s">
        <v>1411</v>
      </c>
      <c r="G278" s="739">
        <v>1961.86</v>
      </c>
      <c r="H278" s="738">
        <v>44</v>
      </c>
      <c r="I278" s="739">
        <v>1917.86</v>
      </c>
      <c r="J278" s="739">
        <v>8144.3</v>
      </c>
      <c r="K278" s="739">
        <v>4338.3</v>
      </c>
      <c r="L278" s="738">
        <v>0</v>
      </c>
      <c r="M278" s="738">
        <v>0</v>
      </c>
      <c r="N278" s="739">
        <v>10106.16</v>
      </c>
      <c r="O278" s="739">
        <v>4382.3</v>
      </c>
      <c r="P278" s="739">
        <v>5723.86</v>
      </c>
    </row>
    <row r="279" spans="1:18" ht="15.75" thickBot="1">
      <c r="A279">
        <v>1</v>
      </c>
      <c r="B279" t="s">
        <v>11955</v>
      </c>
      <c r="C279" t="s">
        <v>11973</v>
      </c>
      <c r="D279" t="s">
        <v>11983</v>
      </c>
      <c r="E279" t="s">
        <v>1414</v>
      </c>
      <c r="F279" t="s">
        <v>1411</v>
      </c>
      <c r="G279" s="714">
        <v>1961.86</v>
      </c>
      <c r="H279">
        <v>44</v>
      </c>
      <c r="I279" s="715">
        <v>1917.86</v>
      </c>
      <c r="J279" s="711">
        <v>8144.3</v>
      </c>
      <c r="K279" s="711">
        <v>4338.3</v>
      </c>
      <c r="L279">
        <v>0</v>
      </c>
      <c r="M279">
        <v>0</v>
      </c>
      <c r="N279" s="711">
        <v>10106.16</v>
      </c>
      <c r="O279" s="711">
        <v>4382.3</v>
      </c>
      <c r="P279" s="711">
        <v>5723.86</v>
      </c>
      <c r="Q279" s="724" t="str">
        <f>VLOOKUP($E279,SP_2024_v28062025!$E$2:$M$1751,9,FALSE)</f>
        <v>ABA340</v>
      </c>
    </row>
    <row r="280" spans="1:18" ht="15.75" thickBot="1">
      <c r="A280" s="727">
        <v>1</v>
      </c>
      <c r="B280" s="727" t="s">
        <v>11955</v>
      </c>
      <c r="C280" s="727" t="s">
        <v>11973</v>
      </c>
      <c r="D280" s="727" t="s">
        <v>11984</v>
      </c>
      <c r="E280" s="727"/>
      <c r="F280" s="729" t="s">
        <v>1415</v>
      </c>
      <c r="G280" s="739">
        <v>102908529.93000001</v>
      </c>
      <c r="H280" s="739">
        <v>5812094</v>
      </c>
      <c r="I280" s="739">
        <v>97096435.930000007</v>
      </c>
      <c r="J280" s="739">
        <v>691122742.38</v>
      </c>
      <c r="K280" s="739">
        <v>706385858.05999994</v>
      </c>
      <c r="L280" s="738">
        <v>0</v>
      </c>
      <c r="M280" s="738">
        <v>0</v>
      </c>
      <c r="N280" s="739">
        <v>794031272.30999994</v>
      </c>
      <c r="O280" s="739">
        <v>712197952.05999994</v>
      </c>
      <c r="P280" s="739">
        <v>81833320.25</v>
      </c>
    </row>
    <row r="281" spans="1:18">
      <c r="A281">
        <v>1</v>
      </c>
      <c r="B281" t="s">
        <v>11955</v>
      </c>
      <c r="C281" t="s">
        <v>11973</v>
      </c>
      <c r="D281" t="s">
        <v>11984</v>
      </c>
      <c r="E281" t="s">
        <v>1420</v>
      </c>
      <c r="F281" t="s">
        <v>1415</v>
      </c>
      <c r="G281" s="712">
        <v>0</v>
      </c>
      <c r="H281">
        <v>0</v>
      </c>
      <c r="I281" s="713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 s="724" t="str">
        <f>VLOOKUP($E281,SP_2024_v28062025!$E$2:$M$1751,9,FALSE)</f>
        <v>ABA360</v>
      </c>
    </row>
    <row r="282" spans="1:18">
      <c r="A282">
        <v>1</v>
      </c>
      <c r="B282" t="s">
        <v>11955</v>
      </c>
      <c r="C282" t="s">
        <v>11973</v>
      </c>
      <c r="D282" t="s">
        <v>11984</v>
      </c>
      <c r="E282" t="s">
        <v>1424</v>
      </c>
      <c r="F282" t="s">
        <v>1425</v>
      </c>
      <c r="G282" s="712">
        <v>0</v>
      </c>
      <c r="H282">
        <v>0</v>
      </c>
      <c r="I282" s="713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 s="724" t="str">
        <f>VLOOKUP($E282,SP_2024_v28062025!$E$2:$M$1751,9,FALSE)</f>
        <v>ABA360</v>
      </c>
    </row>
    <row r="283" spans="1:18">
      <c r="A283">
        <v>1</v>
      </c>
      <c r="B283" t="s">
        <v>11955</v>
      </c>
      <c r="C283" t="s">
        <v>11973</v>
      </c>
      <c r="D283" t="s">
        <v>11984</v>
      </c>
      <c r="E283" t="s">
        <v>1426</v>
      </c>
      <c r="F283" t="s">
        <v>1427</v>
      </c>
      <c r="G283" s="714">
        <v>45248007.960000001</v>
      </c>
      <c r="H283">
        <v>0</v>
      </c>
      <c r="I283" s="715">
        <v>45248007.960000001</v>
      </c>
      <c r="J283" s="711">
        <v>325860959.72000003</v>
      </c>
      <c r="K283" s="711">
        <v>358380579.19999999</v>
      </c>
      <c r="L283">
        <v>0</v>
      </c>
      <c r="M283">
        <v>0</v>
      </c>
      <c r="N283" s="711">
        <v>371108967.68000001</v>
      </c>
      <c r="O283" s="711">
        <v>358380579.19999999</v>
      </c>
      <c r="P283" s="711">
        <v>12728388.48</v>
      </c>
      <c r="Q283" s="724" t="str">
        <f>VLOOKUP($E283,SP_2024_v28062025!$E$2:$M$1751,9,FALSE)</f>
        <v>ABA390</v>
      </c>
    </row>
    <row r="284" spans="1:18">
      <c r="A284">
        <v>1</v>
      </c>
      <c r="B284" t="s">
        <v>11955</v>
      </c>
      <c r="C284" t="s">
        <v>11973</v>
      </c>
      <c r="D284" t="s">
        <v>11984</v>
      </c>
      <c r="E284" t="s">
        <v>1428</v>
      </c>
      <c r="F284" t="s">
        <v>1429</v>
      </c>
      <c r="G284" s="712">
        <v>0</v>
      </c>
      <c r="H284">
        <v>0</v>
      </c>
      <c r="I284" s="713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 s="724" t="str">
        <f>VLOOKUP($E284,SP_2024_v28062025!$E$2:$M$1751,9,FALSE)</f>
        <v>ABA390</v>
      </c>
    </row>
    <row r="285" spans="1:18">
      <c r="A285">
        <v>1</v>
      </c>
      <c r="B285" t="s">
        <v>11955</v>
      </c>
      <c r="C285" t="s">
        <v>11973</v>
      </c>
      <c r="D285" t="s">
        <v>11984</v>
      </c>
      <c r="E285" t="s">
        <v>1430</v>
      </c>
      <c r="F285" t="s">
        <v>1431</v>
      </c>
      <c r="G285" s="712">
        <v>0</v>
      </c>
      <c r="H285">
        <v>0</v>
      </c>
      <c r="I285" s="713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 s="724" t="str">
        <f>VLOOKUP($E285,SP_2024_v28062025!$E$2:$M$1751,9,FALSE)</f>
        <v>ABA390</v>
      </c>
    </row>
    <row r="286" spans="1:18">
      <c r="A286">
        <v>1</v>
      </c>
      <c r="B286" t="s">
        <v>11955</v>
      </c>
      <c r="C286" t="s">
        <v>11973</v>
      </c>
      <c r="D286" t="s">
        <v>11984</v>
      </c>
      <c r="E286" t="s">
        <v>1432</v>
      </c>
      <c r="F286" t="s">
        <v>1433</v>
      </c>
      <c r="G286" s="714">
        <v>2821.77</v>
      </c>
      <c r="H286">
        <v>0</v>
      </c>
      <c r="I286" s="749">
        <v>2821.77</v>
      </c>
      <c r="J286">
        <v>0</v>
      </c>
      <c r="K286">
        <v>0</v>
      </c>
      <c r="L286">
        <v>0</v>
      </c>
      <c r="M286">
        <v>0</v>
      </c>
      <c r="N286" s="711">
        <v>2821.77</v>
      </c>
      <c r="O286">
        <v>0</v>
      </c>
      <c r="P286" s="711">
        <v>2821.77</v>
      </c>
      <c r="Q286" s="724" t="str">
        <f>VLOOKUP($E286,SP_2024_v28062025!$E$2:$M$1751,9,FALSE)</f>
        <v>ABA390</v>
      </c>
    </row>
    <row r="287" spans="1:18">
      <c r="A287">
        <v>1</v>
      </c>
      <c r="B287" t="s">
        <v>11955</v>
      </c>
      <c r="C287" t="s">
        <v>11973</v>
      </c>
      <c r="D287" t="s">
        <v>11984</v>
      </c>
      <c r="E287" t="s">
        <v>1434</v>
      </c>
      <c r="F287" t="s">
        <v>1435</v>
      </c>
      <c r="G287" s="714">
        <v>6255.11</v>
      </c>
      <c r="H287">
        <v>0</v>
      </c>
      <c r="I287" s="749">
        <v>6255.11</v>
      </c>
      <c r="J287">
        <v>0</v>
      </c>
      <c r="K287">
        <v>0</v>
      </c>
      <c r="L287">
        <v>0</v>
      </c>
      <c r="M287">
        <v>0</v>
      </c>
      <c r="N287" s="711">
        <v>6255.11</v>
      </c>
      <c r="O287">
        <v>0</v>
      </c>
      <c r="P287" s="711">
        <v>6255.11</v>
      </c>
      <c r="Q287" s="724" t="str">
        <f>VLOOKUP($E287,SP_2024_v28062025!$E$2:$M$1751,9,FALSE)</f>
        <v>ABA390</v>
      </c>
    </row>
    <row r="288" spans="1:18">
      <c r="A288">
        <v>1</v>
      </c>
      <c r="B288" t="s">
        <v>11955</v>
      </c>
      <c r="C288" t="s">
        <v>11973</v>
      </c>
      <c r="D288" t="s">
        <v>11984</v>
      </c>
      <c r="E288" t="s">
        <v>1436</v>
      </c>
      <c r="F288" t="s">
        <v>1437</v>
      </c>
      <c r="G288" s="714">
        <v>23010</v>
      </c>
      <c r="H288">
        <v>0</v>
      </c>
      <c r="I288" s="749">
        <v>23010</v>
      </c>
      <c r="J288">
        <v>0</v>
      </c>
      <c r="K288">
        <v>0</v>
      </c>
      <c r="L288">
        <v>0</v>
      </c>
      <c r="M288">
        <v>0</v>
      </c>
      <c r="N288" s="711">
        <v>23010</v>
      </c>
      <c r="O288">
        <v>0</v>
      </c>
      <c r="P288" s="711">
        <v>23010</v>
      </c>
      <c r="Q288" s="724" t="str">
        <f>VLOOKUP($E288,SP_2024_v28062025!$E$2:$M$1751,9,FALSE)</f>
        <v>ABA390</v>
      </c>
    </row>
    <row r="289" spans="1:17">
      <c r="A289">
        <v>1</v>
      </c>
      <c r="B289" t="s">
        <v>11955</v>
      </c>
      <c r="C289" t="s">
        <v>11973</v>
      </c>
      <c r="D289" t="s">
        <v>11984</v>
      </c>
      <c r="E289" t="s">
        <v>1438</v>
      </c>
      <c r="F289" t="s">
        <v>1439</v>
      </c>
      <c r="G289" s="712">
        <v>0</v>
      </c>
      <c r="H289">
        <v>0</v>
      </c>
      <c r="I289" s="713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 s="724" t="str">
        <f>VLOOKUP($E289,SP_2024_v28062025!$E$2:$M$1751,9,FALSE)</f>
        <v>ABA390</v>
      </c>
    </row>
    <row r="290" spans="1:17">
      <c r="A290">
        <v>1</v>
      </c>
      <c r="B290" t="s">
        <v>11955</v>
      </c>
      <c r="C290" t="s">
        <v>11973</v>
      </c>
      <c r="D290" t="s">
        <v>11984</v>
      </c>
      <c r="E290" t="s">
        <v>1440</v>
      </c>
      <c r="F290" t="s">
        <v>1441</v>
      </c>
      <c r="G290" s="712">
        <v>0.4</v>
      </c>
      <c r="H290">
        <v>0</v>
      </c>
      <c r="I290" s="713">
        <v>0.4</v>
      </c>
      <c r="J290">
        <v>0</v>
      </c>
      <c r="K290">
        <v>0</v>
      </c>
      <c r="L290">
        <v>0</v>
      </c>
      <c r="M290">
        <v>0</v>
      </c>
      <c r="N290">
        <v>0.4</v>
      </c>
      <c r="O290">
        <v>0</v>
      </c>
      <c r="P290">
        <v>0.4</v>
      </c>
      <c r="Q290" s="724" t="str">
        <f>VLOOKUP($E290,SP_2024_v28062025!$E$2:$M$1751,9,FALSE)</f>
        <v>ABA390</v>
      </c>
    </row>
    <row r="291" spans="1:17">
      <c r="A291">
        <v>1</v>
      </c>
      <c r="B291" t="s">
        <v>11955</v>
      </c>
      <c r="C291" t="s">
        <v>11973</v>
      </c>
      <c r="D291" t="s">
        <v>11984</v>
      </c>
      <c r="E291" t="s">
        <v>1442</v>
      </c>
      <c r="F291" t="s">
        <v>1443</v>
      </c>
      <c r="G291" s="714">
        <v>3281145.42</v>
      </c>
      <c r="H291">
        <v>0</v>
      </c>
      <c r="I291" s="715">
        <v>3281145.42</v>
      </c>
      <c r="J291">
        <v>0</v>
      </c>
      <c r="K291" s="711">
        <v>3281146.42</v>
      </c>
      <c r="L291">
        <v>0</v>
      </c>
      <c r="M291">
        <v>0</v>
      </c>
      <c r="N291" s="711">
        <v>3281145.42</v>
      </c>
      <c r="O291" s="711">
        <v>3281146.42</v>
      </c>
      <c r="P291">
        <v>-1</v>
      </c>
      <c r="Q291" s="724" t="str">
        <f>VLOOKUP($E291,SP_2024_v28062025!$E$2:$M$1751,9,FALSE)</f>
        <v>ABA390</v>
      </c>
    </row>
    <row r="292" spans="1:17">
      <c r="A292">
        <v>1</v>
      </c>
      <c r="B292" t="s">
        <v>11955</v>
      </c>
      <c r="C292" t="s">
        <v>11973</v>
      </c>
      <c r="D292" t="s">
        <v>11984</v>
      </c>
      <c r="E292" t="s">
        <v>1444</v>
      </c>
      <c r="F292" t="s">
        <v>1445</v>
      </c>
      <c r="G292" s="712">
        <v>0</v>
      </c>
      <c r="H292">
        <v>0</v>
      </c>
      <c r="I292" s="713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 s="724" t="str">
        <f>VLOOKUP($E292,SP_2024_v28062025!$E$2:$M$1751,9,FALSE)</f>
        <v>ABA390</v>
      </c>
    </row>
    <row r="293" spans="1:17">
      <c r="A293">
        <v>1</v>
      </c>
      <c r="B293" t="s">
        <v>11955</v>
      </c>
      <c r="C293" t="s">
        <v>11973</v>
      </c>
      <c r="D293" t="s">
        <v>11984</v>
      </c>
      <c r="E293" t="s">
        <v>1446</v>
      </c>
      <c r="F293" t="s">
        <v>1447</v>
      </c>
      <c r="G293" s="712">
        <v>0</v>
      </c>
      <c r="H293">
        <v>0</v>
      </c>
      <c r="I293" s="71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 s="724" t="str">
        <f>VLOOKUP($E293,SP_2024_v28062025!$E$2:$M$1751,9,FALSE)</f>
        <v>ABA390</v>
      </c>
    </row>
    <row r="294" spans="1:17">
      <c r="A294">
        <v>1</v>
      </c>
      <c r="B294" t="s">
        <v>11955</v>
      </c>
      <c r="C294" t="s">
        <v>11973</v>
      </c>
      <c r="D294" t="s">
        <v>11984</v>
      </c>
      <c r="E294" t="s">
        <v>1448</v>
      </c>
      <c r="F294" t="s">
        <v>1449</v>
      </c>
      <c r="G294" s="712">
        <v>0</v>
      </c>
      <c r="H294">
        <v>0</v>
      </c>
      <c r="I294" s="713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 s="724" t="str">
        <f>VLOOKUP($E294,SP_2024_v28062025!$E$2:$M$1751,9,FALSE)</f>
        <v>ABA390</v>
      </c>
    </row>
    <row r="295" spans="1:17">
      <c r="A295">
        <v>1</v>
      </c>
      <c r="B295" t="s">
        <v>11955</v>
      </c>
      <c r="C295" t="s">
        <v>11973</v>
      </c>
      <c r="D295" t="s">
        <v>11984</v>
      </c>
      <c r="E295" t="s">
        <v>1450</v>
      </c>
      <c r="F295" t="s">
        <v>1451</v>
      </c>
      <c r="G295" s="712">
        <v>0</v>
      </c>
      <c r="H295">
        <v>0</v>
      </c>
      <c r="I295" s="713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 s="724" t="str">
        <f>VLOOKUP($E295,SP_2024_v28062025!$E$2:$M$1751,9,FALSE)</f>
        <v>ABA390</v>
      </c>
    </row>
    <row r="296" spans="1:17">
      <c r="A296">
        <v>1</v>
      </c>
      <c r="B296" t="s">
        <v>11955</v>
      </c>
      <c r="C296" t="s">
        <v>11973</v>
      </c>
      <c r="D296" t="s">
        <v>11984</v>
      </c>
      <c r="E296" t="s">
        <v>1452</v>
      </c>
      <c r="F296" t="s">
        <v>1453</v>
      </c>
      <c r="G296" s="712">
        <v>0</v>
      </c>
      <c r="H296">
        <v>0</v>
      </c>
      <c r="I296" s="713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 s="724" t="str">
        <f>VLOOKUP($E296,SP_2024_v28062025!$E$2:$M$1751,9,FALSE)</f>
        <v>ABA390</v>
      </c>
    </row>
    <row r="297" spans="1:17">
      <c r="A297">
        <v>1</v>
      </c>
      <c r="B297" t="s">
        <v>11955</v>
      </c>
      <c r="C297" t="s">
        <v>11973</v>
      </c>
      <c r="D297" t="s">
        <v>11984</v>
      </c>
      <c r="E297" t="s">
        <v>1454</v>
      </c>
      <c r="F297" t="s">
        <v>1455</v>
      </c>
      <c r="G297" s="712">
        <v>0</v>
      </c>
      <c r="H297">
        <v>0</v>
      </c>
      <c r="I297" s="713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 s="724" t="str">
        <f>VLOOKUP($E297,SP_2024_v28062025!$E$2:$M$1751,9,FALSE)</f>
        <v>ABA390</v>
      </c>
    </row>
    <row r="298" spans="1:17">
      <c r="A298">
        <v>1</v>
      </c>
      <c r="B298" t="s">
        <v>11955</v>
      </c>
      <c r="C298" t="s">
        <v>11973</v>
      </c>
      <c r="D298" t="s">
        <v>11984</v>
      </c>
      <c r="E298" t="s">
        <v>1456</v>
      </c>
      <c r="F298" t="s">
        <v>1457</v>
      </c>
      <c r="G298" s="712">
        <v>0</v>
      </c>
      <c r="H298">
        <v>0</v>
      </c>
      <c r="I298" s="713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 s="724" t="str">
        <f>VLOOKUP($E298,SP_2024_v28062025!$E$2:$M$1751,9,FALSE)</f>
        <v>ABA390</v>
      </c>
    </row>
    <row r="299" spans="1:17">
      <c r="A299">
        <v>1</v>
      </c>
      <c r="B299" t="s">
        <v>11955</v>
      </c>
      <c r="C299" t="s">
        <v>11973</v>
      </c>
      <c r="D299" t="s">
        <v>11984</v>
      </c>
      <c r="E299" t="s">
        <v>1458</v>
      </c>
      <c r="F299" t="s">
        <v>1459</v>
      </c>
      <c r="G299" s="712">
        <v>0</v>
      </c>
      <c r="H299">
        <v>0</v>
      </c>
      <c r="I299" s="713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 s="724" t="str">
        <f>VLOOKUP($E299,SP_2024_v28062025!$E$2:$M$1751,9,FALSE)</f>
        <v>ABA390</v>
      </c>
    </row>
    <row r="300" spans="1:17">
      <c r="A300">
        <v>1</v>
      </c>
      <c r="B300" t="s">
        <v>11955</v>
      </c>
      <c r="C300" t="s">
        <v>11973</v>
      </c>
      <c r="D300" t="s">
        <v>11984</v>
      </c>
      <c r="E300" t="s">
        <v>1460</v>
      </c>
      <c r="F300" t="s">
        <v>1461</v>
      </c>
      <c r="G300" s="712">
        <v>0</v>
      </c>
      <c r="H300">
        <v>0</v>
      </c>
      <c r="I300" s="713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 s="724" t="str">
        <f>VLOOKUP($E300,SP_2024_v28062025!$E$2:$M$1751,9,FALSE)</f>
        <v>ABA390</v>
      </c>
    </row>
    <row r="301" spans="1:17">
      <c r="A301">
        <v>1</v>
      </c>
      <c r="B301" t="s">
        <v>11955</v>
      </c>
      <c r="C301" t="s">
        <v>11973</v>
      </c>
      <c r="D301" t="s">
        <v>11984</v>
      </c>
      <c r="E301" t="s">
        <v>1462</v>
      </c>
      <c r="F301" t="s">
        <v>1463</v>
      </c>
      <c r="G301" s="712">
        <v>0</v>
      </c>
      <c r="H301">
        <v>0</v>
      </c>
      <c r="I301" s="713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 s="724" t="str">
        <f>VLOOKUP($E301,SP_2024_v28062025!$E$2:$M$1751,9,FALSE)</f>
        <v>ABA390</v>
      </c>
    </row>
    <row r="302" spans="1:17">
      <c r="A302">
        <v>1</v>
      </c>
      <c r="B302" t="s">
        <v>11955</v>
      </c>
      <c r="C302" t="s">
        <v>11973</v>
      </c>
      <c r="D302" t="s">
        <v>11984</v>
      </c>
      <c r="E302" t="s">
        <v>1464</v>
      </c>
      <c r="F302" t="s">
        <v>1465</v>
      </c>
      <c r="G302" s="712">
        <v>0</v>
      </c>
      <c r="H302">
        <v>0</v>
      </c>
      <c r="I302" s="713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 s="724" t="str">
        <f>VLOOKUP($E302,SP_2024_v28062025!$E$2:$M$1751,9,FALSE)</f>
        <v>ABA390</v>
      </c>
    </row>
    <row r="303" spans="1:17">
      <c r="A303">
        <v>1</v>
      </c>
      <c r="B303" t="s">
        <v>11955</v>
      </c>
      <c r="C303" t="s">
        <v>11973</v>
      </c>
      <c r="D303" t="s">
        <v>11984</v>
      </c>
      <c r="E303" t="s">
        <v>1466</v>
      </c>
      <c r="F303" t="s">
        <v>1467</v>
      </c>
      <c r="G303" s="712">
        <v>0</v>
      </c>
      <c r="H303">
        <v>0</v>
      </c>
      <c r="I303" s="71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 s="724" t="str">
        <f>VLOOKUP($E303,SP_2024_v28062025!$E$2:$M$1751,9,FALSE)</f>
        <v>ABA390</v>
      </c>
    </row>
    <row r="304" spans="1:17">
      <c r="A304">
        <v>1</v>
      </c>
      <c r="B304" t="s">
        <v>11955</v>
      </c>
      <c r="C304" t="s">
        <v>11973</v>
      </c>
      <c r="D304" t="s">
        <v>11984</v>
      </c>
      <c r="E304" t="s">
        <v>1468</v>
      </c>
      <c r="F304" t="s">
        <v>1469</v>
      </c>
      <c r="G304" s="712">
        <v>0</v>
      </c>
      <c r="H304">
        <v>0</v>
      </c>
      <c r="I304" s="713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s="724" t="str">
        <f>VLOOKUP($E304,SP_2024_v28062025!$E$2:$M$1751,9,FALSE)</f>
        <v>ABA390</v>
      </c>
    </row>
    <row r="305" spans="1:17">
      <c r="A305">
        <v>1</v>
      </c>
      <c r="B305" t="s">
        <v>11955</v>
      </c>
      <c r="C305" t="s">
        <v>11973</v>
      </c>
      <c r="D305" t="s">
        <v>11984</v>
      </c>
      <c r="E305" t="s">
        <v>1470</v>
      </c>
      <c r="F305" t="s">
        <v>1471</v>
      </c>
      <c r="G305" s="712">
        <v>0</v>
      </c>
      <c r="H305">
        <v>0</v>
      </c>
      <c r="I305" s="713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 s="724" t="str">
        <f>VLOOKUP($E305,SP_2024_v28062025!$E$2:$M$1751,9,FALSE)</f>
        <v>ABA390</v>
      </c>
    </row>
    <row r="306" spans="1:17">
      <c r="A306">
        <v>1</v>
      </c>
      <c r="B306" t="s">
        <v>11955</v>
      </c>
      <c r="C306" t="s">
        <v>11973</v>
      </c>
      <c r="D306" t="s">
        <v>11984</v>
      </c>
      <c r="E306" t="s">
        <v>1472</v>
      </c>
      <c r="F306" t="s">
        <v>1473</v>
      </c>
      <c r="G306" s="712">
        <v>0</v>
      </c>
      <c r="H306">
        <v>0</v>
      </c>
      <c r="I306" s="713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 s="724" t="str">
        <f>VLOOKUP($E306,SP_2024_v28062025!$E$2:$M$1751,9,FALSE)</f>
        <v>ABA390</v>
      </c>
    </row>
    <row r="307" spans="1:17">
      <c r="A307">
        <v>1</v>
      </c>
      <c r="B307" t="s">
        <v>11955</v>
      </c>
      <c r="C307" t="s">
        <v>11973</v>
      </c>
      <c r="D307" t="s">
        <v>11984</v>
      </c>
      <c r="E307" t="s">
        <v>1474</v>
      </c>
      <c r="F307" t="s">
        <v>1475</v>
      </c>
      <c r="G307" s="712">
        <v>0</v>
      </c>
      <c r="H307">
        <v>0</v>
      </c>
      <c r="I307" s="713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 s="724" t="str">
        <f>VLOOKUP($E307,SP_2024_v28062025!$E$2:$M$1751,9,FALSE)</f>
        <v>ABA390</v>
      </c>
    </row>
    <row r="308" spans="1:17">
      <c r="A308">
        <v>1</v>
      </c>
      <c r="B308" t="s">
        <v>11955</v>
      </c>
      <c r="C308" t="s">
        <v>11973</v>
      </c>
      <c r="D308" t="s">
        <v>11984</v>
      </c>
      <c r="E308" t="s">
        <v>1476</v>
      </c>
      <c r="F308" t="s">
        <v>1477</v>
      </c>
      <c r="G308" s="712">
        <v>0</v>
      </c>
      <c r="H308">
        <v>0</v>
      </c>
      <c r="I308" s="713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 s="724" t="str">
        <f>VLOOKUP($E308,SP_2024_v28062025!$E$2:$M$1751,9,FALSE)</f>
        <v>ABA390</v>
      </c>
    </row>
    <row r="309" spans="1:17">
      <c r="A309">
        <v>1</v>
      </c>
      <c r="B309" t="s">
        <v>11955</v>
      </c>
      <c r="C309" t="s">
        <v>11973</v>
      </c>
      <c r="D309" t="s">
        <v>11984</v>
      </c>
      <c r="E309" t="s">
        <v>1478</v>
      </c>
      <c r="F309" t="s">
        <v>1479</v>
      </c>
      <c r="G309" s="712">
        <v>0</v>
      </c>
      <c r="H309">
        <v>0</v>
      </c>
      <c r="I309" s="713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 s="724" t="str">
        <f>VLOOKUP($E309,SP_2024_v28062025!$E$2:$M$1751,9,FALSE)</f>
        <v>ABA390</v>
      </c>
    </row>
    <row r="310" spans="1:17">
      <c r="A310">
        <v>1</v>
      </c>
      <c r="B310" t="s">
        <v>11955</v>
      </c>
      <c r="C310" t="s">
        <v>11973</v>
      </c>
      <c r="D310" t="s">
        <v>11984</v>
      </c>
      <c r="E310" t="s">
        <v>1480</v>
      </c>
      <c r="F310" t="s">
        <v>1481</v>
      </c>
      <c r="G310" s="712">
        <v>0</v>
      </c>
      <c r="H310">
        <v>0</v>
      </c>
      <c r="I310" s="713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 s="724" t="str">
        <f>VLOOKUP($E310,SP_2024_v28062025!$E$2:$M$1751,9,FALSE)</f>
        <v>ABA390</v>
      </c>
    </row>
    <row r="311" spans="1:17">
      <c r="A311">
        <v>1</v>
      </c>
      <c r="B311" t="s">
        <v>11955</v>
      </c>
      <c r="C311" t="s">
        <v>11973</v>
      </c>
      <c r="D311" t="s">
        <v>11984</v>
      </c>
      <c r="E311" t="s">
        <v>1482</v>
      </c>
      <c r="F311" t="s">
        <v>1483</v>
      </c>
      <c r="G311" s="712">
        <v>0</v>
      </c>
      <c r="H311">
        <v>0</v>
      </c>
      <c r="I311" s="713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 s="724" t="str">
        <f>VLOOKUP($E311,SP_2024_v28062025!$E$2:$M$1751,9,FALSE)</f>
        <v>ABA390</v>
      </c>
    </row>
    <row r="312" spans="1:17">
      <c r="A312">
        <v>1</v>
      </c>
      <c r="B312" t="s">
        <v>11955</v>
      </c>
      <c r="C312" t="s">
        <v>11973</v>
      </c>
      <c r="D312" t="s">
        <v>11984</v>
      </c>
      <c r="E312" t="s">
        <v>1484</v>
      </c>
      <c r="F312" t="s">
        <v>1485</v>
      </c>
      <c r="G312" s="712">
        <v>0</v>
      </c>
      <c r="H312">
        <v>0</v>
      </c>
      <c r="I312" s="713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 s="724" t="str">
        <f>VLOOKUP($E312,SP_2024_v28062025!$E$2:$M$1751,9,FALSE)</f>
        <v>ABA390</v>
      </c>
    </row>
    <row r="313" spans="1:17">
      <c r="A313">
        <v>1</v>
      </c>
      <c r="B313" t="s">
        <v>11955</v>
      </c>
      <c r="C313" t="s">
        <v>11973</v>
      </c>
      <c r="D313" t="s">
        <v>11984</v>
      </c>
      <c r="E313" t="s">
        <v>1486</v>
      </c>
      <c r="F313" t="s">
        <v>1487</v>
      </c>
      <c r="G313" s="712">
        <v>0</v>
      </c>
      <c r="H313">
        <v>0</v>
      </c>
      <c r="I313" s="7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 s="724" t="str">
        <f>VLOOKUP($E313,SP_2024_v28062025!$E$2:$M$1751,9,FALSE)</f>
        <v>ABA390</v>
      </c>
    </row>
    <row r="314" spans="1:17">
      <c r="A314">
        <v>1</v>
      </c>
      <c r="B314" t="s">
        <v>11955</v>
      </c>
      <c r="C314" t="s">
        <v>11973</v>
      </c>
      <c r="D314" t="s">
        <v>11984</v>
      </c>
      <c r="E314" t="s">
        <v>1488</v>
      </c>
      <c r="F314" t="s">
        <v>1489</v>
      </c>
      <c r="G314" s="712">
        <v>0</v>
      </c>
      <c r="H314">
        <v>0</v>
      </c>
      <c r="I314" s="713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 s="724" t="str">
        <f>VLOOKUP($E314,SP_2024_v28062025!$E$2:$M$1751,9,FALSE)</f>
        <v>ABA390</v>
      </c>
    </row>
    <row r="315" spans="1:17">
      <c r="A315">
        <v>1</v>
      </c>
      <c r="B315" t="s">
        <v>11955</v>
      </c>
      <c r="C315" t="s">
        <v>11973</v>
      </c>
      <c r="D315" t="s">
        <v>11984</v>
      </c>
      <c r="E315" t="s">
        <v>1490</v>
      </c>
      <c r="F315" t="s">
        <v>1491</v>
      </c>
      <c r="G315" s="712">
        <v>0</v>
      </c>
      <c r="H315">
        <v>0</v>
      </c>
      <c r="I315" s="713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s="724" t="str">
        <f>VLOOKUP($E315,SP_2024_v28062025!$E$2:$M$1751,9,FALSE)</f>
        <v>ABA390</v>
      </c>
    </row>
    <row r="316" spans="1:17">
      <c r="A316">
        <v>1</v>
      </c>
      <c r="B316" t="s">
        <v>11955</v>
      </c>
      <c r="C316" t="s">
        <v>11973</v>
      </c>
      <c r="D316" t="s">
        <v>11984</v>
      </c>
      <c r="E316" t="s">
        <v>1492</v>
      </c>
      <c r="F316" t="s">
        <v>1493</v>
      </c>
      <c r="G316" s="712">
        <v>0</v>
      </c>
      <c r="H316">
        <v>0</v>
      </c>
      <c r="I316" s="713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 s="724" t="str">
        <f>VLOOKUP($E316,SP_2024_v28062025!$E$2:$M$1751,9,FALSE)</f>
        <v>ABA390</v>
      </c>
    </row>
    <row r="317" spans="1:17">
      <c r="A317">
        <v>1</v>
      </c>
      <c r="B317" t="s">
        <v>11955</v>
      </c>
      <c r="C317" t="s">
        <v>11973</v>
      </c>
      <c r="D317" t="s">
        <v>11984</v>
      </c>
      <c r="E317" t="s">
        <v>1494</v>
      </c>
      <c r="F317" t="s">
        <v>1495</v>
      </c>
      <c r="G317" s="712">
        <v>0</v>
      </c>
      <c r="H317">
        <v>0</v>
      </c>
      <c r="I317" s="713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 s="724" t="str">
        <f>VLOOKUP($E317,SP_2024_v28062025!$E$2:$M$1751,9,FALSE)</f>
        <v>ABA390</v>
      </c>
    </row>
    <row r="318" spans="1:17">
      <c r="A318">
        <v>1</v>
      </c>
      <c r="B318" t="s">
        <v>11955</v>
      </c>
      <c r="C318" t="s">
        <v>11973</v>
      </c>
      <c r="D318" t="s">
        <v>11984</v>
      </c>
      <c r="E318" t="s">
        <v>1496</v>
      </c>
      <c r="F318" t="s">
        <v>1497</v>
      </c>
      <c r="G318" s="712">
        <v>0</v>
      </c>
      <c r="H318">
        <v>0</v>
      </c>
      <c r="I318" s="713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 s="724" t="str">
        <f>VLOOKUP($E318,SP_2024_v28062025!$E$2:$M$1751,9,FALSE)</f>
        <v>ABA390</v>
      </c>
    </row>
    <row r="319" spans="1:17">
      <c r="A319">
        <v>1</v>
      </c>
      <c r="B319" t="s">
        <v>11955</v>
      </c>
      <c r="C319" t="s">
        <v>11973</v>
      </c>
      <c r="D319" t="s">
        <v>11984</v>
      </c>
      <c r="E319" t="s">
        <v>1498</v>
      </c>
      <c r="F319" t="s">
        <v>1499</v>
      </c>
      <c r="G319" s="712">
        <v>0</v>
      </c>
      <c r="H319">
        <v>0</v>
      </c>
      <c r="I319" s="713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 s="724" t="str">
        <f>VLOOKUP($E319,SP_2024_v28062025!$E$2:$M$1751,9,FALSE)</f>
        <v>ABA390</v>
      </c>
    </row>
    <row r="320" spans="1:17">
      <c r="A320">
        <v>1</v>
      </c>
      <c r="B320" t="s">
        <v>11955</v>
      </c>
      <c r="C320" t="s">
        <v>11973</v>
      </c>
      <c r="D320" t="s">
        <v>11984</v>
      </c>
      <c r="E320" t="s">
        <v>1500</v>
      </c>
      <c r="F320" t="s">
        <v>1501</v>
      </c>
      <c r="G320" s="712">
        <v>0</v>
      </c>
      <c r="H320">
        <v>0</v>
      </c>
      <c r="I320" s="713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 s="724" t="str">
        <f>VLOOKUP($E320,SP_2024_v28062025!$E$2:$M$1751,9,FALSE)</f>
        <v>ABA390</v>
      </c>
    </row>
    <row r="321" spans="1:17">
      <c r="A321">
        <v>1</v>
      </c>
      <c r="B321" t="s">
        <v>11955</v>
      </c>
      <c r="C321" t="s">
        <v>11973</v>
      </c>
      <c r="D321" t="s">
        <v>11984</v>
      </c>
      <c r="E321" t="s">
        <v>1502</v>
      </c>
      <c r="F321" t="s">
        <v>1503</v>
      </c>
      <c r="G321" s="712">
        <v>0</v>
      </c>
      <c r="H321">
        <v>0</v>
      </c>
      <c r="I321" s="713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 s="724" t="str">
        <f>VLOOKUP($E321,SP_2024_v28062025!$E$2:$M$1751,9,FALSE)</f>
        <v>ABA390</v>
      </c>
    </row>
    <row r="322" spans="1:17">
      <c r="A322">
        <v>1</v>
      </c>
      <c r="B322" t="s">
        <v>11955</v>
      </c>
      <c r="C322" t="s">
        <v>11973</v>
      </c>
      <c r="D322" t="s">
        <v>11984</v>
      </c>
      <c r="E322" t="s">
        <v>1504</v>
      </c>
      <c r="F322" t="s">
        <v>1505</v>
      </c>
      <c r="G322" s="714">
        <v>5259548.18</v>
      </c>
      <c r="H322">
        <v>0</v>
      </c>
      <c r="I322" s="749">
        <v>5259548.18</v>
      </c>
      <c r="J322">
        <v>0</v>
      </c>
      <c r="K322">
        <v>0</v>
      </c>
      <c r="L322">
        <v>0</v>
      </c>
      <c r="M322">
        <v>0</v>
      </c>
      <c r="N322" s="711">
        <v>5259548.18</v>
      </c>
      <c r="O322">
        <v>0</v>
      </c>
      <c r="P322" s="711">
        <v>5259548.18</v>
      </c>
      <c r="Q322" s="724" t="str">
        <f>VLOOKUP($E322,SP_2024_v28062025!$E$2:$M$1751,9,FALSE)</f>
        <v>ABA390</v>
      </c>
    </row>
    <row r="323" spans="1:17">
      <c r="A323">
        <v>1</v>
      </c>
      <c r="B323" t="s">
        <v>11955</v>
      </c>
      <c r="C323" t="s">
        <v>11973</v>
      </c>
      <c r="D323" t="s">
        <v>11984</v>
      </c>
      <c r="E323" t="s">
        <v>1506</v>
      </c>
      <c r="F323" t="s">
        <v>1507</v>
      </c>
      <c r="G323" s="712">
        <v>0</v>
      </c>
      <c r="H323">
        <v>0</v>
      </c>
      <c r="I323" s="71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 s="724" t="str">
        <f>VLOOKUP($E323,SP_2024_v28062025!$E$2:$M$1751,9,FALSE)</f>
        <v>ABA390</v>
      </c>
    </row>
    <row r="324" spans="1:17">
      <c r="A324">
        <v>1</v>
      </c>
      <c r="B324" t="s">
        <v>11955</v>
      </c>
      <c r="C324" t="s">
        <v>11973</v>
      </c>
      <c r="D324" t="s">
        <v>11984</v>
      </c>
      <c r="E324" t="s">
        <v>1508</v>
      </c>
      <c r="F324" t="s">
        <v>1509</v>
      </c>
      <c r="G324" s="714">
        <v>14187183</v>
      </c>
      <c r="H324">
        <v>0</v>
      </c>
      <c r="I324" s="749">
        <v>14187183</v>
      </c>
      <c r="J324">
        <v>0</v>
      </c>
      <c r="K324">
        <v>0</v>
      </c>
      <c r="L324">
        <v>0</v>
      </c>
      <c r="M324">
        <v>0</v>
      </c>
      <c r="N324" s="711">
        <v>14187183</v>
      </c>
      <c r="O324">
        <v>0</v>
      </c>
      <c r="P324" s="711">
        <v>14187183</v>
      </c>
      <c r="Q324" s="724" t="str">
        <f>VLOOKUP($E324,SP_2024_v28062025!$E$2:$M$1751,9,FALSE)</f>
        <v>ABA390</v>
      </c>
    </row>
    <row r="325" spans="1:17">
      <c r="A325">
        <v>1</v>
      </c>
      <c r="B325" t="s">
        <v>11955</v>
      </c>
      <c r="C325" t="s">
        <v>11973</v>
      </c>
      <c r="D325" t="s">
        <v>11984</v>
      </c>
      <c r="E325" t="s">
        <v>1510</v>
      </c>
      <c r="F325" t="s">
        <v>1511</v>
      </c>
      <c r="G325" s="712">
        <v>0</v>
      </c>
      <c r="H325">
        <v>0</v>
      </c>
      <c r="I325" s="713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 s="724" t="str">
        <f>VLOOKUP($E325,SP_2024_v28062025!$E$2:$M$1751,9,FALSE)</f>
        <v>ABA390</v>
      </c>
    </row>
    <row r="326" spans="1:17">
      <c r="A326">
        <v>1</v>
      </c>
      <c r="B326" t="s">
        <v>11955</v>
      </c>
      <c r="C326" t="s">
        <v>11973</v>
      </c>
      <c r="D326" t="s">
        <v>11984</v>
      </c>
      <c r="E326" t="s">
        <v>1512</v>
      </c>
      <c r="F326" t="s">
        <v>1513</v>
      </c>
      <c r="G326" s="714">
        <v>8653459.0899999999</v>
      </c>
      <c r="H326">
        <v>0</v>
      </c>
      <c r="I326" s="749">
        <v>8653459.0899999999</v>
      </c>
      <c r="J326">
        <v>0</v>
      </c>
      <c r="K326" s="711">
        <v>34043</v>
      </c>
      <c r="L326">
        <v>0</v>
      </c>
      <c r="M326">
        <v>0</v>
      </c>
      <c r="N326" s="711">
        <v>8653459.0899999999</v>
      </c>
      <c r="O326" s="711">
        <v>34043</v>
      </c>
      <c r="P326" s="711">
        <v>8619416.0899999999</v>
      </c>
      <c r="Q326" s="724" t="str">
        <f>VLOOKUP($E326,SP_2024_v28062025!$E$2:$M$1751,9,FALSE)</f>
        <v>ABA390</v>
      </c>
    </row>
    <row r="327" spans="1:17">
      <c r="A327">
        <v>1</v>
      </c>
      <c r="B327" t="s">
        <v>11955</v>
      </c>
      <c r="C327" t="s">
        <v>11973</v>
      </c>
      <c r="D327" t="s">
        <v>11984</v>
      </c>
      <c r="E327" t="s">
        <v>1514</v>
      </c>
      <c r="F327" t="s">
        <v>1515</v>
      </c>
      <c r="G327" s="712">
        <v>0</v>
      </c>
      <c r="H327">
        <v>0</v>
      </c>
      <c r="I327" s="713">
        <v>0</v>
      </c>
      <c r="J327" s="711">
        <v>45404015.060000002</v>
      </c>
      <c r="K327" s="711">
        <v>25450346.399999999</v>
      </c>
      <c r="L327">
        <v>0</v>
      </c>
      <c r="M327">
        <v>0</v>
      </c>
      <c r="N327" s="711">
        <v>45404015.060000002</v>
      </c>
      <c r="O327" s="711">
        <v>25450346.399999999</v>
      </c>
      <c r="P327" s="711">
        <v>19953668.66</v>
      </c>
      <c r="Q327" s="724" t="str">
        <f>VLOOKUP($E327,SP_2024_v28062025!$E$2:$M$1751,9,FALSE)</f>
        <v>ABA390</v>
      </c>
    </row>
    <row r="328" spans="1:17">
      <c r="A328">
        <v>1</v>
      </c>
      <c r="B328" t="s">
        <v>11955</v>
      </c>
      <c r="C328" t="s">
        <v>11973</v>
      </c>
      <c r="D328" t="s">
        <v>11984</v>
      </c>
      <c r="E328" t="s">
        <v>1516</v>
      </c>
      <c r="F328" t="s">
        <v>1517</v>
      </c>
      <c r="G328" s="712">
        <v>0</v>
      </c>
      <c r="H328">
        <v>0</v>
      </c>
      <c r="I328" s="713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 s="724" t="str">
        <f>VLOOKUP($E328,SP_2024_v28062025!$E$2:$M$1751,9,FALSE)</f>
        <v>ABA400</v>
      </c>
    </row>
    <row r="329" spans="1:17">
      <c r="A329">
        <v>1</v>
      </c>
      <c r="B329" t="s">
        <v>11955</v>
      </c>
      <c r="C329" t="s">
        <v>11973</v>
      </c>
      <c r="D329" t="s">
        <v>11984</v>
      </c>
      <c r="E329" t="s">
        <v>1520</v>
      </c>
      <c r="F329" t="s">
        <v>1521</v>
      </c>
      <c r="G329" s="712">
        <v>0</v>
      </c>
      <c r="H329">
        <v>0</v>
      </c>
      <c r="I329" s="713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 s="724" t="str">
        <f>VLOOKUP($E329,SP_2024_v28062025!$E$2:$M$1751,9,FALSE)</f>
        <v>ABA410</v>
      </c>
    </row>
    <row r="330" spans="1:17">
      <c r="A330">
        <v>1</v>
      </c>
      <c r="B330" t="s">
        <v>11955</v>
      </c>
      <c r="C330" t="s">
        <v>11973</v>
      </c>
      <c r="D330" t="s">
        <v>11984</v>
      </c>
      <c r="E330" t="s">
        <v>1523</v>
      </c>
      <c r="F330" t="s">
        <v>1524</v>
      </c>
      <c r="G330" s="712">
        <v>0</v>
      </c>
      <c r="H330">
        <v>0</v>
      </c>
      <c r="I330" s="713">
        <v>0</v>
      </c>
      <c r="J330" s="711">
        <v>312785825</v>
      </c>
      <c r="K330" s="711">
        <v>312785825</v>
      </c>
      <c r="L330">
        <v>0</v>
      </c>
      <c r="M330">
        <v>0</v>
      </c>
      <c r="N330" s="711">
        <v>312785825</v>
      </c>
      <c r="O330" s="711">
        <v>312785825</v>
      </c>
      <c r="P330">
        <v>0</v>
      </c>
      <c r="Q330" s="724" t="str">
        <f>VLOOKUP($E330,SP_2024_v28062025!$E$2:$M$1751,9,FALSE)</f>
        <v>ABA420</v>
      </c>
    </row>
    <row r="331" spans="1:17">
      <c r="A331">
        <v>1</v>
      </c>
      <c r="B331" t="s">
        <v>11955</v>
      </c>
      <c r="C331" t="s">
        <v>11973</v>
      </c>
      <c r="D331" t="s">
        <v>11984</v>
      </c>
      <c r="E331" t="s">
        <v>1527</v>
      </c>
      <c r="F331" t="s">
        <v>1528</v>
      </c>
      <c r="G331" s="712">
        <v>0</v>
      </c>
      <c r="H331">
        <v>0</v>
      </c>
      <c r="I331" s="713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 s="724" t="str">
        <f>VLOOKUP($E331,SP_2024_v28062025!$E$2:$M$1751,9,FALSE)</f>
        <v>ABA430</v>
      </c>
    </row>
    <row r="332" spans="1:17">
      <c r="A332">
        <v>1</v>
      </c>
      <c r="B332" t="s">
        <v>11955</v>
      </c>
      <c r="C332" t="s">
        <v>11973</v>
      </c>
      <c r="D332" t="s">
        <v>11984</v>
      </c>
      <c r="E332" t="s">
        <v>1530</v>
      </c>
      <c r="F332" t="s">
        <v>1531</v>
      </c>
      <c r="G332" s="712">
        <v>0</v>
      </c>
      <c r="H332">
        <v>0</v>
      </c>
      <c r="I332" s="713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 s="724" t="str">
        <f>VLOOKUP($E332,SP_2024_v28062025!$E$2:$M$1751,9,FALSE)</f>
        <v>ABA440</v>
      </c>
    </row>
    <row r="333" spans="1:17">
      <c r="A333">
        <v>1</v>
      </c>
      <c r="B333" t="s">
        <v>11955</v>
      </c>
      <c r="C333" t="s">
        <v>11973</v>
      </c>
      <c r="D333" t="s">
        <v>11984</v>
      </c>
      <c r="E333" t="s">
        <v>1533</v>
      </c>
      <c r="F333" t="s">
        <v>1534</v>
      </c>
      <c r="G333" s="714">
        <v>17408276.91</v>
      </c>
      <c r="H333">
        <v>0</v>
      </c>
      <c r="I333" s="715">
        <v>17408276.91</v>
      </c>
      <c r="J333" s="711">
        <v>4532984</v>
      </c>
      <c r="K333" s="711">
        <v>5354895.45</v>
      </c>
      <c r="L333">
        <v>0</v>
      </c>
      <c r="M333">
        <v>0</v>
      </c>
      <c r="N333" s="711">
        <v>21941260.91</v>
      </c>
      <c r="O333" s="711">
        <v>5354895.45</v>
      </c>
      <c r="P333" s="750">
        <v>16586365.460000001</v>
      </c>
      <c r="Q333" s="724" t="str">
        <f>VLOOKUP($E333,SP_2024_v28062025!$E$2:$M$1751,9,FALSE)</f>
        <v>ABA450</v>
      </c>
    </row>
    <row r="334" spans="1:17">
      <c r="A334">
        <v>1</v>
      </c>
      <c r="B334" t="s">
        <v>11955</v>
      </c>
      <c r="C334" t="s">
        <v>11973</v>
      </c>
      <c r="D334" t="s">
        <v>11984</v>
      </c>
      <c r="E334" t="s">
        <v>1537</v>
      </c>
      <c r="F334" t="s">
        <v>1538</v>
      </c>
      <c r="G334" s="714">
        <v>1500000</v>
      </c>
      <c r="H334">
        <v>0</v>
      </c>
      <c r="I334" s="715">
        <v>1500000</v>
      </c>
      <c r="J334">
        <v>0</v>
      </c>
      <c r="K334">
        <v>0</v>
      </c>
      <c r="L334">
        <v>0</v>
      </c>
      <c r="M334">
        <v>0</v>
      </c>
      <c r="N334" s="711">
        <v>1500000</v>
      </c>
      <c r="O334">
        <v>0</v>
      </c>
      <c r="P334" s="750">
        <v>1500000</v>
      </c>
      <c r="Q334" s="724" t="str">
        <f>VLOOKUP($E334,SP_2024_v28062025!$E$2:$M$1751,9,FALSE)</f>
        <v>ABA450</v>
      </c>
    </row>
    <row r="335" spans="1:17">
      <c r="A335">
        <v>1</v>
      </c>
      <c r="B335" t="s">
        <v>11955</v>
      </c>
      <c r="C335" t="s">
        <v>11973</v>
      </c>
      <c r="D335" t="s">
        <v>11984</v>
      </c>
      <c r="E335" t="s">
        <v>1539</v>
      </c>
      <c r="F335" t="s">
        <v>1540</v>
      </c>
      <c r="G335" s="712">
        <v>0</v>
      </c>
      <c r="H335">
        <v>0</v>
      </c>
      <c r="I335" s="713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 s="724" t="str">
        <f>VLOOKUP($E335,SP_2024_v28062025!$E$2:$M$1751,9,FALSE)</f>
        <v>ABA450</v>
      </c>
    </row>
    <row r="336" spans="1:17">
      <c r="A336">
        <v>1</v>
      </c>
      <c r="B336" t="s">
        <v>11955</v>
      </c>
      <c r="C336" t="s">
        <v>11973</v>
      </c>
      <c r="D336" t="s">
        <v>11984</v>
      </c>
      <c r="E336" t="s">
        <v>1541</v>
      </c>
      <c r="F336" t="s">
        <v>1542</v>
      </c>
      <c r="G336" s="714">
        <v>936742.83</v>
      </c>
      <c r="H336">
        <v>0</v>
      </c>
      <c r="I336" s="715">
        <v>936742.83</v>
      </c>
      <c r="J336">
        <v>0</v>
      </c>
      <c r="K336">
        <v>0</v>
      </c>
      <c r="L336">
        <v>0</v>
      </c>
      <c r="M336">
        <v>0</v>
      </c>
      <c r="N336" s="711">
        <v>936742.83</v>
      </c>
      <c r="O336">
        <v>0</v>
      </c>
      <c r="P336" s="750">
        <v>936742.83</v>
      </c>
      <c r="Q336" s="724" t="str">
        <f>VLOOKUP($E336,SP_2024_v28062025!$E$2:$M$1751,9,FALSE)</f>
        <v>ABA450</v>
      </c>
    </row>
    <row r="337" spans="1:17">
      <c r="A337">
        <v>1</v>
      </c>
      <c r="B337" t="s">
        <v>11955</v>
      </c>
      <c r="C337" t="s">
        <v>11973</v>
      </c>
      <c r="D337" t="s">
        <v>11984</v>
      </c>
      <c r="E337" t="s">
        <v>1543</v>
      </c>
      <c r="F337" t="s">
        <v>1544</v>
      </c>
      <c r="G337" s="714">
        <v>40000</v>
      </c>
      <c r="H337">
        <v>0</v>
      </c>
      <c r="I337" s="715">
        <v>40000</v>
      </c>
      <c r="J337">
        <v>0</v>
      </c>
      <c r="K337">
        <v>0</v>
      </c>
      <c r="L337">
        <v>0</v>
      </c>
      <c r="M337">
        <v>0</v>
      </c>
      <c r="N337" s="711">
        <v>40000</v>
      </c>
      <c r="O337">
        <v>0</v>
      </c>
      <c r="P337" s="750">
        <v>40000</v>
      </c>
      <c r="Q337" s="724" t="str">
        <f>VLOOKUP($E337,SP_2024_v28062025!$E$2:$M$1751,9,FALSE)</f>
        <v>ABA450</v>
      </c>
    </row>
    <row r="338" spans="1:17">
      <c r="A338">
        <v>1</v>
      </c>
      <c r="B338" t="s">
        <v>11955</v>
      </c>
      <c r="C338" t="s">
        <v>11973</v>
      </c>
      <c r="D338" t="s">
        <v>11984</v>
      </c>
      <c r="E338" t="s">
        <v>1545</v>
      </c>
      <c r="F338" t="s">
        <v>1546</v>
      </c>
      <c r="G338" s="712">
        <v>0</v>
      </c>
      <c r="H338">
        <v>0</v>
      </c>
      <c r="I338" s="713">
        <v>0</v>
      </c>
      <c r="J338" s="711">
        <v>1795608.01</v>
      </c>
      <c r="K338" s="711">
        <v>403720.17</v>
      </c>
      <c r="L338">
        <v>0</v>
      </c>
      <c r="M338">
        <v>0</v>
      </c>
      <c r="N338" s="711">
        <v>1795608.01</v>
      </c>
      <c r="O338" s="711">
        <v>403720.17</v>
      </c>
      <c r="P338" s="750">
        <v>1391887.84</v>
      </c>
      <c r="Q338" s="724" t="str">
        <f>VLOOKUP($E338,SP_2024_v28062025!$E$2:$M$1751,9,FALSE)</f>
        <v>ABA450</v>
      </c>
    </row>
    <row r="339" spans="1:17">
      <c r="A339">
        <v>1</v>
      </c>
      <c r="B339" t="s">
        <v>11955</v>
      </c>
      <c r="C339" t="s">
        <v>11973</v>
      </c>
      <c r="D339" t="s">
        <v>11984</v>
      </c>
      <c r="E339" t="s">
        <v>1551</v>
      </c>
      <c r="F339" t="s">
        <v>1552</v>
      </c>
      <c r="G339" s="714">
        <v>22000</v>
      </c>
      <c r="H339" s="711">
        <v>22000</v>
      </c>
      <c r="I339" s="713">
        <v>0</v>
      </c>
      <c r="J339" s="711">
        <v>25714.3</v>
      </c>
      <c r="K339" s="711">
        <v>25714.3</v>
      </c>
      <c r="L339">
        <v>0</v>
      </c>
      <c r="M339">
        <v>0</v>
      </c>
      <c r="N339" s="711">
        <v>47714.3</v>
      </c>
      <c r="O339" s="711">
        <v>47714.3</v>
      </c>
      <c r="P339">
        <v>0</v>
      </c>
      <c r="Q339" s="724" t="str">
        <f>VLOOKUP($E339,SP_2024_v28062025!$E$2:$M$1751,9,FALSE)</f>
        <v>ABA460</v>
      </c>
    </row>
    <row r="340" spans="1:17">
      <c r="A340">
        <v>1</v>
      </c>
      <c r="B340" t="s">
        <v>11955</v>
      </c>
      <c r="C340" t="s">
        <v>11973</v>
      </c>
      <c r="D340" t="s">
        <v>11984</v>
      </c>
      <c r="E340" t="s">
        <v>1555</v>
      </c>
      <c r="F340" t="s">
        <v>1445</v>
      </c>
      <c r="G340" s="712">
        <v>0</v>
      </c>
      <c r="H340">
        <v>0</v>
      </c>
      <c r="I340" s="713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 s="724" t="str">
        <f>VLOOKUP($E340,SP_2024_v28062025!$E$2:$M$1751,9,FALSE)</f>
        <v>ABA460</v>
      </c>
    </row>
    <row r="341" spans="1:17">
      <c r="A341">
        <v>1</v>
      </c>
      <c r="B341" t="s">
        <v>11955</v>
      </c>
      <c r="C341" t="s">
        <v>11973</v>
      </c>
      <c r="D341" t="s">
        <v>11984</v>
      </c>
      <c r="E341" t="s">
        <v>1556</v>
      </c>
      <c r="F341" t="s">
        <v>1447</v>
      </c>
      <c r="G341" s="712">
        <v>0</v>
      </c>
      <c r="H341">
        <v>0</v>
      </c>
      <c r="I341" s="713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 s="724" t="str">
        <f>VLOOKUP($E341,SP_2024_v28062025!$E$2:$M$1751,9,FALSE)</f>
        <v>ABA460</v>
      </c>
    </row>
    <row r="342" spans="1:17">
      <c r="A342">
        <v>1</v>
      </c>
      <c r="B342" t="s">
        <v>11955</v>
      </c>
      <c r="C342" t="s">
        <v>11973</v>
      </c>
      <c r="D342" t="s">
        <v>11984</v>
      </c>
      <c r="E342" t="s">
        <v>1557</v>
      </c>
      <c r="F342" t="s">
        <v>1558</v>
      </c>
      <c r="G342" s="712">
        <v>0</v>
      </c>
      <c r="H342">
        <v>0</v>
      </c>
      <c r="I342" s="713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 s="724" t="str">
        <f>VLOOKUP($E342,SP_2024_v28062025!$E$2:$M$1751,9,FALSE)</f>
        <v>ABA460</v>
      </c>
    </row>
    <row r="343" spans="1:17">
      <c r="A343">
        <v>1</v>
      </c>
      <c r="B343" t="s">
        <v>11955</v>
      </c>
      <c r="C343" t="s">
        <v>11973</v>
      </c>
      <c r="D343" t="s">
        <v>11984</v>
      </c>
      <c r="E343" t="s">
        <v>1559</v>
      </c>
      <c r="F343" t="s">
        <v>1560</v>
      </c>
      <c r="G343" s="712">
        <v>0</v>
      </c>
      <c r="H343">
        <v>0</v>
      </c>
      <c r="I343" s="71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 s="724" t="str">
        <f>VLOOKUP($E343,SP_2024_v28062025!$E$2:$M$1751,9,FALSE)</f>
        <v>ABA460</v>
      </c>
    </row>
    <row r="344" spans="1:17">
      <c r="A344">
        <v>1</v>
      </c>
      <c r="B344" t="s">
        <v>11955</v>
      </c>
      <c r="C344" t="s">
        <v>11973</v>
      </c>
      <c r="D344" t="s">
        <v>11984</v>
      </c>
      <c r="E344" t="s">
        <v>1561</v>
      </c>
      <c r="F344" t="s">
        <v>1562</v>
      </c>
      <c r="G344" s="712">
        <v>0</v>
      </c>
      <c r="H344">
        <v>0</v>
      </c>
      <c r="I344" s="713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 s="724" t="str">
        <f>VLOOKUP($E344,SP_2024_v28062025!$E$2:$M$1751,9,FALSE)</f>
        <v>ABA460</v>
      </c>
    </row>
    <row r="345" spans="1:17">
      <c r="A345">
        <v>1</v>
      </c>
      <c r="B345" t="s">
        <v>11955</v>
      </c>
      <c r="C345" t="s">
        <v>11973</v>
      </c>
      <c r="D345" t="s">
        <v>11984</v>
      </c>
      <c r="E345" t="s">
        <v>1563</v>
      </c>
      <c r="F345" t="s">
        <v>1564</v>
      </c>
      <c r="G345" s="712">
        <v>0</v>
      </c>
      <c r="H345">
        <v>0</v>
      </c>
      <c r="I345" s="713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 s="724" t="str">
        <f>VLOOKUP($E345,SP_2024_v28062025!$E$2:$M$1751,9,FALSE)</f>
        <v>ABA460</v>
      </c>
    </row>
    <row r="346" spans="1:17">
      <c r="A346">
        <v>1</v>
      </c>
      <c r="B346" t="s">
        <v>11955</v>
      </c>
      <c r="C346" t="s">
        <v>11973</v>
      </c>
      <c r="D346" t="s">
        <v>11984</v>
      </c>
      <c r="E346" t="s">
        <v>1565</v>
      </c>
      <c r="F346" t="s">
        <v>1566</v>
      </c>
      <c r="G346" s="712">
        <v>0</v>
      </c>
      <c r="H346">
        <v>0</v>
      </c>
      <c r="I346" s="713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 s="724" t="str">
        <f>VLOOKUP($E346,SP_2024_v28062025!$E$2:$M$1751,9,FALSE)</f>
        <v>ABA460</v>
      </c>
    </row>
    <row r="347" spans="1:17">
      <c r="A347">
        <v>1</v>
      </c>
      <c r="B347" t="s">
        <v>11955</v>
      </c>
      <c r="C347" t="s">
        <v>11973</v>
      </c>
      <c r="D347" t="s">
        <v>11984</v>
      </c>
      <c r="E347" t="s">
        <v>1567</v>
      </c>
      <c r="F347" t="s">
        <v>1568</v>
      </c>
      <c r="G347" s="712">
        <v>0</v>
      </c>
      <c r="H347">
        <v>0</v>
      </c>
      <c r="I347" s="713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 s="724" t="str">
        <f>VLOOKUP($E347,SP_2024_v28062025!$E$2:$M$1751,9,FALSE)</f>
        <v>ABA460</v>
      </c>
    </row>
    <row r="348" spans="1:17">
      <c r="A348">
        <v>1</v>
      </c>
      <c r="B348" t="s">
        <v>11955</v>
      </c>
      <c r="C348" t="s">
        <v>11973</v>
      </c>
      <c r="D348" t="s">
        <v>11984</v>
      </c>
      <c r="E348" t="s">
        <v>1569</v>
      </c>
      <c r="F348" t="s">
        <v>1570</v>
      </c>
      <c r="G348" s="712">
        <v>0</v>
      </c>
      <c r="H348">
        <v>0</v>
      </c>
      <c r="I348" s="713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 s="724" t="str">
        <f>VLOOKUP($E348,SP_2024_v28062025!$E$2:$M$1751,9,FALSE)</f>
        <v>ABA460</v>
      </c>
    </row>
    <row r="349" spans="1:17">
      <c r="A349">
        <v>1</v>
      </c>
      <c r="B349" t="s">
        <v>11955</v>
      </c>
      <c r="C349" t="s">
        <v>11973</v>
      </c>
      <c r="D349" t="s">
        <v>11984</v>
      </c>
      <c r="E349" t="s">
        <v>1571</v>
      </c>
      <c r="F349" t="s">
        <v>1572</v>
      </c>
      <c r="G349" s="712">
        <v>0</v>
      </c>
      <c r="H349">
        <v>0</v>
      </c>
      <c r="I349" s="713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 s="724" t="str">
        <f>VLOOKUP($E349,SP_2024_v28062025!$E$2:$M$1751,9,FALSE)</f>
        <v>ABA460</v>
      </c>
    </row>
    <row r="350" spans="1:17">
      <c r="A350">
        <v>1</v>
      </c>
      <c r="B350" t="s">
        <v>11955</v>
      </c>
      <c r="C350" t="s">
        <v>11973</v>
      </c>
      <c r="D350" t="s">
        <v>11984</v>
      </c>
      <c r="E350" t="s">
        <v>1573</v>
      </c>
      <c r="F350" t="s">
        <v>1574</v>
      </c>
      <c r="G350" s="712">
        <v>0</v>
      </c>
      <c r="H350">
        <v>0</v>
      </c>
      <c r="I350" s="713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s="724" t="str">
        <f>VLOOKUP($E350,SP_2024_v28062025!$E$2:$M$1751,9,FALSE)</f>
        <v>ABA460</v>
      </c>
    </row>
    <row r="351" spans="1:17">
      <c r="A351">
        <v>1</v>
      </c>
      <c r="B351" t="s">
        <v>11955</v>
      </c>
      <c r="C351" t="s">
        <v>11973</v>
      </c>
      <c r="D351" t="s">
        <v>11984</v>
      </c>
      <c r="E351" t="s">
        <v>1575</v>
      </c>
      <c r="F351" t="s">
        <v>1576</v>
      </c>
      <c r="G351" s="712">
        <v>0</v>
      </c>
      <c r="H351">
        <v>0</v>
      </c>
      <c r="I351" s="713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 s="724" t="str">
        <f>VLOOKUP($E351,SP_2024_v28062025!$E$2:$M$1751,9,FALSE)</f>
        <v>ABA460</v>
      </c>
    </row>
    <row r="352" spans="1:17">
      <c r="A352">
        <v>1</v>
      </c>
      <c r="B352" t="s">
        <v>11955</v>
      </c>
      <c r="C352" t="s">
        <v>11973</v>
      </c>
      <c r="D352" t="s">
        <v>11984</v>
      </c>
      <c r="E352" t="s">
        <v>1577</v>
      </c>
      <c r="F352" t="s">
        <v>1578</v>
      </c>
      <c r="G352" s="712">
        <v>0</v>
      </c>
      <c r="H352">
        <v>0</v>
      </c>
      <c r="I352" s="713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 s="724" t="str">
        <f>VLOOKUP($E352,SP_2024_v28062025!$E$2:$M$1751,9,FALSE)</f>
        <v>ABA460</v>
      </c>
    </row>
    <row r="353" spans="1:17">
      <c r="A353">
        <v>1</v>
      </c>
      <c r="B353" t="s">
        <v>11955</v>
      </c>
      <c r="C353" t="s">
        <v>11973</v>
      </c>
      <c r="D353" t="s">
        <v>11984</v>
      </c>
      <c r="E353" t="s">
        <v>1579</v>
      </c>
      <c r="F353" t="s">
        <v>1580</v>
      </c>
      <c r="G353" s="712">
        <v>0</v>
      </c>
      <c r="H353">
        <v>0</v>
      </c>
      <c r="I353" s="71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 s="724" t="str">
        <f>VLOOKUP($E353,SP_2024_v28062025!$E$2:$M$1751,9,FALSE)</f>
        <v>ABA460</v>
      </c>
    </row>
    <row r="354" spans="1:17">
      <c r="A354">
        <v>1</v>
      </c>
      <c r="B354" t="s">
        <v>11955</v>
      </c>
      <c r="C354" t="s">
        <v>11973</v>
      </c>
      <c r="D354" t="s">
        <v>11984</v>
      </c>
      <c r="E354" t="s">
        <v>1581</v>
      </c>
      <c r="F354" t="s">
        <v>1582</v>
      </c>
      <c r="G354" s="712">
        <v>0</v>
      </c>
      <c r="H354">
        <v>0</v>
      </c>
      <c r="I354" s="713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 s="724" t="str">
        <f>VLOOKUP($E354,SP_2024_v28062025!$E$2:$M$1751,9,FALSE)</f>
        <v>ABA460</v>
      </c>
    </row>
    <row r="355" spans="1:17">
      <c r="A355">
        <v>1</v>
      </c>
      <c r="B355" t="s">
        <v>11955</v>
      </c>
      <c r="C355" t="s">
        <v>11973</v>
      </c>
      <c r="D355" t="s">
        <v>11984</v>
      </c>
      <c r="E355" t="s">
        <v>1583</v>
      </c>
      <c r="F355" t="s">
        <v>1584</v>
      </c>
      <c r="G355" s="712">
        <v>0</v>
      </c>
      <c r="H355">
        <v>0</v>
      </c>
      <c r="I355" s="713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 s="724" t="str">
        <f>VLOOKUP($E355,SP_2024_v28062025!$E$2:$M$1751,9,FALSE)</f>
        <v>ABA460</v>
      </c>
    </row>
    <row r="356" spans="1:17">
      <c r="A356">
        <v>1</v>
      </c>
      <c r="B356" t="s">
        <v>11955</v>
      </c>
      <c r="C356" t="s">
        <v>11973</v>
      </c>
      <c r="D356" t="s">
        <v>11984</v>
      </c>
      <c r="E356" t="s">
        <v>1585</v>
      </c>
      <c r="F356" t="s">
        <v>1586</v>
      </c>
      <c r="G356" s="712">
        <v>0</v>
      </c>
      <c r="H356">
        <v>0</v>
      </c>
      <c r="I356" s="713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 s="724" t="str">
        <f>VLOOKUP($E356,SP_2024_v28062025!$E$2:$M$1751,9,FALSE)</f>
        <v>ABA460</v>
      </c>
    </row>
    <row r="357" spans="1:17">
      <c r="A357">
        <v>1</v>
      </c>
      <c r="B357" t="s">
        <v>11955</v>
      </c>
      <c r="C357" t="s">
        <v>11973</v>
      </c>
      <c r="D357" t="s">
        <v>11984</v>
      </c>
      <c r="E357" t="s">
        <v>1587</v>
      </c>
      <c r="F357" t="s">
        <v>1588</v>
      </c>
      <c r="G357" s="712">
        <v>0</v>
      </c>
      <c r="H357">
        <v>0</v>
      </c>
      <c r="I357" s="713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 s="724" t="str">
        <f>VLOOKUP($E357,SP_2024_v28062025!$E$2:$M$1751,9,FALSE)</f>
        <v>ABA460</v>
      </c>
    </row>
    <row r="358" spans="1:17">
      <c r="A358">
        <v>1</v>
      </c>
      <c r="B358" t="s">
        <v>11955</v>
      </c>
      <c r="C358" t="s">
        <v>11973</v>
      </c>
      <c r="D358" t="s">
        <v>11984</v>
      </c>
      <c r="E358" t="s">
        <v>1589</v>
      </c>
      <c r="F358" t="s">
        <v>1590</v>
      </c>
      <c r="G358" s="712">
        <v>0</v>
      </c>
      <c r="H358">
        <v>0</v>
      </c>
      <c r="I358" s="713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 s="724" t="str">
        <f>VLOOKUP($E358,SP_2024_v28062025!$E$2:$M$1751,9,FALSE)</f>
        <v>ABA460</v>
      </c>
    </row>
    <row r="359" spans="1:17">
      <c r="A359">
        <v>1</v>
      </c>
      <c r="B359" t="s">
        <v>11955</v>
      </c>
      <c r="C359" t="s">
        <v>11973</v>
      </c>
      <c r="D359" t="s">
        <v>11984</v>
      </c>
      <c r="E359" t="s">
        <v>1591</v>
      </c>
      <c r="F359" t="s">
        <v>1592</v>
      </c>
      <c r="G359" s="712">
        <v>0</v>
      </c>
      <c r="H359">
        <v>0</v>
      </c>
      <c r="I359" s="713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 s="724" t="str">
        <f>VLOOKUP($E359,SP_2024_v28062025!$E$2:$M$1751,9,FALSE)</f>
        <v>ABA460</v>
      </c>
    </row>
    <row r="360" spans="1:17">
      <c r="A360">
        <v>1</v>
      </c>
      <c r="B360" t="s">
        <v>11955</v>
      </c>
      <c r="C360" t="s">
        <v>11973</v>
      </c>
      <c r="D360" t="s">
        <v>11984</v>
      </c>
      <c r="E360" t="s">
        <v>1593</v>
      </c>
      <c r="F360" t="s">
        <v>1594</v>
      </c>
      <c r="G360" s="712">
        <v>0</v>
      </c>
      <c r="H360">
        <v>0</v>
      </c>
      <c r="I360" s="713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 s="724" t="str">
        <f>VLOOKUP($E360,SP_2024_v28062025!$E$2:$M$1751,9,FALSE)</f>
        <v>ABA460</v>
      </c>
    </row>
    <row r="361" spans="1:17">
      <c r="A361">
        <v>1</v>
      </c>
      <c r="B361" t="s">
        <v>11955</v>
      </c>
      <c r="C361" t="s">
        <v>11973</v>
      </c>
      <c r="D361" t="s">
        <v>11984</v>
      </c>
      <c r="E361" t="s">
        <v>1595</v>
      </c>
      <c r="F361" t="s">
        <v>1596</v>
      </c>
      <c r="G361" s="712">
        <v>0</v>
      </c>
      <c r="H361">
        <v>0</v>
      </c>
      <c r="I361" s="713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 s="724" t="str">
        <f>VLOOKUP($E361,SP_2024_v28062025!$E$2:$M$1751,9,FALSE)</f>
        <v>ABA460</v>
      </c>
    </row>
    <row r="362" spans="1:17">
      <c r="A362">
        <v>1</v>
      </c>
      <c r="B362" t="s">
        <v>11955</v>
      </c>
      <c r="C362" t="s">
        <v>11973</v>
      </c>
      <c r="D362" t="s">
        <v>11984</v>
      </c>
      <c r="E362" t="s">
        <v>1597</v>
      </c>
      <c r="F362" t="s">
        <v>1598</v>
      </c>
      <c r="G362" s="712">
        <v>0</v>
      </c>
      <c r="H362">
        <v>0</v>
      </c>
      <c r="I362" s="713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 s="724" t="str">
        <f>VLOOKUP($E362,SP_2024_v28062025!$E$2:$M$1751,9,FALSE)</f>
        <v>ABA460</v>
      </c>
    </row>
    <row r="363" spans="1:17">
      <c r="A363">
        <v>1</v>
      </c>
      <c r="B363" t="s">
        <v>11955</v>
      </c>
      <c r="C363" t="s">
        <v>11973</v>
      </c>
      <c r="D363" t="s">
        <v>11984</v>
      </c>
      <c r="E363" t="s">
        <v>1599</v>
      </c>
      <c r="F363" t="s">
        <v>1453</v>
      </c>
      <c r="G363" s="714">
        <v>148800</v>
      </c>
      <c r="H363" s="711">
        <v>148800</v>
      </c>
      <c r="I363" s="713">
        <v>0</v>
      </c>
      <c r="J363">
        <v>0</v>
      </c>
      <c r="K363">
        <v>0</v>
      </c>
      <c r="L363">
        <v>0</v>
      </c>
      <c r="M363">
        <v>0</v>
      </c>
      <c r="N363" s="711">
        <v>148800</v>
      </c>
      <c r="O363" s="711">
        <v>148800</v>
      </c>
      <c r="P363">
        <v>0</v>
      </c>
      <c r="Q363" s="724" t="str">
        <f>VLOOKUP($E363,SP_2024_v28062025!$E$2:$M$1751,9,FALSE)</f>
        <v>ABA460</v>
      </c>
    </row>
    <row r="364" spans="1:17">
      <c r="A364">
        <v>1</v>
      </c>
      <c r="B364" t="s">
        <v>11955</v>
      </c>
      <c r="C364" t="s">
        <v>11973</v>
      </c>
      <c r="D364" t="s">
        <v>11984</v>
      </c>
      <c r="E364" t="s">
        <v>1600</v>
      </c>
      <c r="F364" t="s">
        <v>1455</v>
      </c>
      <c r="G364" s="714">
        <v>981000</v>
      </c>
      <c r="H364" s="711">
        <v>981000</v>
      </c>
      <c r="I364" s="713">
        <v>0</v>
      </c>
      <c r="J364">
        <v>0</v>
      </c>
      <c r="K364">
        <v>0</v>
      </c>
      <c r="L364">
        <v>0</v>
      </c>
      <c r="M364">
        <v>0</v>
      </c>
      <c r="N364" s="711">
        <v>981000</v>
      </c>
      <c r="O364" s="711">
        <v>981000</v>
      </c>
      <c r="P364">
        <v>0</v>
      </c>
      <c r="Q364" s="724" t="str">
        <f>VLOOKUP($E364,SP_2024_v28062025!$E$2:$M$1751,9,FALSE)</f>
        <v>ABA460</v>
      </c>
    </row>
    <row r="365" spans="1:17">
      <c r="A365">
        <v>1</v>
      </c>
      <c r="B365" t="s">
        <v>11955</v>
      </c>
      <c r="C365" t="s">
        <v>11973</v>
      </c>
      <c r="D365" t="s">
        <v>11984</v>
      </c>
      <c r="E365" t="s">
        <v>1601</v>
      </c>
      <c r="F365" t="s">
        <v>1602</v>
      </c>
      <c r="G365" s="712">
        <v>0</v>
      </c>
      <c r="H365">
        <v>0</v>
      </c>
      <c r="I365" s="713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 s="724" t="str">
        <f>VLOOKUP($E365,SP_2024_v28062025!$E$2:$M$1751,9,FALSE)</f>
        <v>ABA460</v>
      </c>
    </row>
    <row r="366" spans="1:17">
      <c r="A366">
        <v>1</v>
      </c>
      <c r="B366" t="s">
        <v>11955</v>
      </c>
      <c r="C366" t="s">
        <v>11973</v>
      </c>
      <c r="D366" t="s">
        <v>11984</v>
      </c>
      <c r="E366" t="s">
        <v>1603</v>
      </c>
      <c r="F366" t="s">
        <v>1604</v>
      </c>
      <c r="G366" s="712">
        <v>0</v>
      </c>
      <c r="H366">
        <v>0</v>
      </c>
      <c r="I366" s="713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 s="724" t="str">
        <f>VLOOKUP($E366,SP_2024_v28062025!$E$2:$M$1751,9,FALSE)</f>
        <v>ABA460</v>
      </c>
    </row>
    <row r="367" spans="1:17">
      <c r="A367">
        <v>1</v>
      </c>
      <c r="B367" t="s">
        <v>11955</v>
      </c>
      <c r="C367" t="s">
        <v>11973</v>
      </c>
      <c r="D367" t="s">
        <v>11984</v>
      </c>
      <c r="E367" t="s">
        <v>1605</v>
      </c>
      <c r="F367" t="s">
        <v>1606</v>
      </c>
      <c r="G367" s="712">
        <v>0</v>
      </c>
      <c r="H367">
        <v>0</v>
      </c>
      <c r="I367" s="713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 s="724" t="str">
        <f>VLOOKUP($E367,SP_2024_v28062025!$E$2:$M$1751,9,FALSE)</f>
        <v>ABA460</v>
      </c>
    </row>
    <row r="368" spans="1:17">
      <c r="A368">
        <v>1</v>
      </c>
      <c r="B368" t="s">
        <v>11955</v>
      </c>
      <c r="C368" t="s">
        <v>11973</v>
      </c>
      <c r="D368" t="s">
        <v>11984</v>
      </c>
      <c r="E368" t="s">
        <v>1607</v>
      </c>
      <c r="F368" t="s">
        <v>1608</v>
      </c>
      <c r="G368" s="712">
        <v>0</v>
      </c>
      <c r="H368">
        <v>0</v>
      </c>
      <c r="I368" s="713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 s="724" t="str">
        <f>VLOOKUP($E368,SP_2024_v28062025!$E$2:$M$1751,9,FALSE)</f>
        <v>ABA460</v>
      </c>
    </row>
    <row r="369" spans="1:17">
      <c r="A369">
        <v>1</v>
      </c>
      <c r="B369" t="s">
        <v>11955</v>
      </c>
      <c r="C369" t="s">
        <v>11973</v>
      </c>
      <c r="D369" t="s">
        <v>11984</v>
      </c>
      <c r="E369" t="s">
        <v>1609</v>
      </c>
      <c r="F369" t="s">
        <v>1457</v>
      </c>
      <c r="G369" s="714">
        <v>300000</v>
      </c>
      <c r="H369" s="711">
        <v>300000</v>
      </c>
      <c r="I369" s="713">
        <v>0</v>
      </c>
      <c r="J369">
        <v>0</v>
      </c>
      <c r="K369">
        <v>0</v>
      </c>
      <c r="L369">
        <v>0</v>
      </c>
      <c r="M369">
        <v>0</v>
      </c>
      <c r="N369" s="711">
        <v>300000</v>
      </c>
      <c r="O369" s="711">
        <v>300000</v>
      </c>
      <c r="P369">
        <v>0</v>
      </c>
      <c r="Q369" s="724" t="str">
        <f>VLOOKUP($E369,SP_2024_v28062025!$E$2:$M$1751,9,FALSE)</f>
        <v>ABA460</v>
      </c>
    </row>
    <row r="370" spans="1:17">
      <c r="A370">
        <v>1</v>
      </c>
      <c r="B370" t="s">
        <v>11955</v>
      </c>
      <c r="C370" t="s">
        <v>11973</v>
      </c>
      <c r="D370" t="s">
        <v>11984</v>
      </c>
      <c r="E370" t="s">
        <v>1610</v>
      </c>
      <c r="F370" t="s">
        <v>1459</v>
      </c>
      <c r="G370" s="712">
        <v>0</v>
      </c>
      <c r="H370">
        <v>0</v>
      </c>
      <c r="I370" s="713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 s="724" t="str">
        <f>VLOOKUP($E370,SP_2024_v28062025!$E$2:$M$1751,9,FALSE)</f>
        <v>ABA460</v>
      </c>
    </row>
    <row r="371" spans="1:17">
      <c r="A371">
        <v>1</v>
      </c>
      <c r="B371" t="s">
        <v>11955</v>
      </c>
      <c r="C371" t="s">
        <v>11973</v>
      </c>
      <c r="D371" t="s">
        <v>11984</v>
      </c>
      <c r="E371" t="s">
        <v>1611</v>
      </c>
      <c r="F371" t="s">
        <v>1612</v>
      </c>
      <c r="G371" s="712">
        <v>0</v>
      </c>
      <c r="H371">
        <v>0</v>
      </c>
      <c r="I371" s="713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 s="724" t="str">
        <f>VLOOKUP($E371,SP_2024_v28062025!$E$2:$M$1751,9,FALSE)</f>
        <v>ABA460</v>
      </c>
    </row>
    <row r="372" spans="1:17">
      <c r="A372">
        <v>1</v>
      </c>
      <c r="B372" t="s">
        <v>11955</v>
      </c>
      <c r="C372" t="s">
        <v>11973</v>
      </c>
      <c r="D372" t="s">
        <v>11984</v>
      </c>
      <c r="E372" t="s">
        <v>1613</v>
      </c>
      <c r="F372" t="s">
        <v>1614</v>
      </c>
      <c r="G372" s="712">
        <v>0</v>
      </c>
      <c r="H372">
        <v>0</v>
      </c>
      <c r="I372" s="713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 s="724" t="str">
        <f>VLOOKUP($E372,SP_2024_v28062025!$E$2:$M$1751,9,FALSE)</f>
        <v>ABA460</v>
      </c>
    </row>
    <row r="373" spans="1:17">
      <c r="A373">
        <v>1</v>
      </c>
      <c r="B373" t="s">
        <v>11955</v>
      </c>
      <c r="C373" t="s">
        <v>11973</v>
      </c>
      <c r="D373" t="s">
        <v>11984</v>
      </c>
      <c r="E373" t="s">
        <v>1615</v>
      </c>
      <c r="F373" t="s">
        <v>1616</v>
      </c>
      <c r="G373" s="712">
        <v>0</v>
      </c>
      <c r="H373">
        <v>0</v>
      </c>
      <c r="I373" s="71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 s="724" t="str">
        <f>VLOOKUP($E373,SP_2024_v28062025!$E$2:$M$1751,9,FALSE)</f>
        <v>ABA460</v>
      </c>
    </row>
    <row r="374" spans="1:17">
      <c r="A374">
        <v>1</v>
      </c>
      <c r="B374" t="s">
        <v>11955</v>
      </c>
      <c r="C374" t="s">
        <v>11973</v>
      </c>
      <c r="D374" t="s">
        <v>11984</v>
      </c>
      <c r="E374" t="s">
        <v>1617</v>
      </c>
      <c r="F374" t="s">
        <v>1618</v>
      </c>
      <c r="G374" s="714">
        <v>3021094</v>
      </c>
      <c r="H374" s="711">
        <v>3021094</v>
      </c>
      <c r="I374" s="713">
        <v>0</v>
      </c>
      <c r="J374">
        <v>0</v>
      </c>
      <c r="K374">
        <v>0</v>
      </c>
      <c r="L374">
        <v>0</v>
      </c>
      <c r="M374">
        <v>0</v>
      </c>
      <c r="N374" s="711">
        <v>3021094</v>
      </c>
      <c r="O374" s="711">
        <v>3021094</v>
      </c>
      <c r="P374">
        <v>0</v>
      </c>
      <c r="Q374" s="724" t="str">
        <f>VLOOKUP($E374,SP_2024_v28062025!$E$2:$M$1751,9,FALSE)</f>
        <v>ABA460</v>
      </c>
    </row>
    <row r="375" spans="1:17">
      <c r="A375">
        <v>1</v>
      </c>
      <c r="B375" t="s">
        <v>11955</v>
      </c>
      <c r="C375" t="s">
        <v>11973</v>
      </c>
      <c r="D375" t="s">
        <v>11984</v>
      </c>
      <c r="E375" t="s">
        <v>1619</v>
      </c>
      <c r="F375" t="s">
        <v>1620</v>
      </c>
      <c r="G375" s="712">
        <v>0</v>
      </c>
      <c r="H375">
        <v>0</v>
      </c>
      <c r="I375" s="713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 s="724" t="str">
        <f>VLOOKUP($E375,SP_2024_v28062025!$E$2:$M$1751,9,FALSE)</f>
        <v>ABA460</v>
      </c>
    </row>
    <row r="376" spans="1:17">
      <c r="A376">
        <v>1</v>
      </c>
      <c r="B376" t="s">
        <v>11955</v>
      </c>
      <c r="C376" t="s">
        <v>11973</v>
      </c>
      <c r="D376" t="s">
        <v>11984</v>
      </c>
      <c r="E376" t="s">
        <v>1621</v>
      </c>
      <c r="F376" t="s">
        <v>1622</v>
      </c>
      <c r="G376" s="712">
        <v>0</v>
      </c>
      <c r="H376">
        <v>0</v>
      </c>
      <c r="I376" s="713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 s="724" t="str">
        <f>VLOOKUP($E376,SP_2024_v28062025!$E$2:$M$1751,9,FALSE)</f>
        <v>ABA460</v>
      </c>
    </row>
    <row r="377" spans="1:17">
      <c r="A377">
        <v>1</v>
      </c>
      <c r="B377" t="s">
        <v>11955</v>
      </c>
      <c r="C377" t="s">
        <v>11973</v>
      </c>
      <c r="D377" t="s">
        <v>11984</v>
      </c>
      <c r="E377" t="s">
        <v>1624</v>
      </c>
      <c r="F377" t="s">
        <v>1625</v>
      </c>
      <c r="G377" s="712">
        <v>0</v>
      </c>
      <c r="H377">
        <v>0</v>
      </c>
      <c r="I377" s="713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 s="724" t="str">
        <f>VLOOKUP($E377,SP_2024_v28062025!$E$2:$M$1751,9,FALSE)</f>
        <v>ABA460</v>
      </c>
    </row>
    <row r="378" spans="1:17">
      <c r="A378">
        <v>1</v>
      </c>
      <c r="B378" t="s">
        <v>11955</v>
      </c>
      <c r="C378" t="s">
        <v>11973</v>
      </c>
      <c r="D378" t="s">
        <v>11984</v>
      </c>
      <c r="E378" t="s">
        <v>1626</v>
      </c>
      <c r="F378" t="s">
        <v>1627</v>
      </c>
      <c r="G378" s="712">
        <v>0</v>
      </c>
      <c r="H378">
        <v>0</v>
      </c>
      <c r="I378" s="713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 s="724" t="str">
        <f>VLOOKUP($E378,SP_2024_v28062025!$E$2:$M$1751,9,FALSE)</f>
        <v>ABA460</v>
      </c>
    </row>
    <row r="379" spans="1:17">
      <c r="A379">
        <v>1</v>
      </c>
      <c r="B379" t="s">
        <v>11955</v>
      </c>
      <c r="C379" t="s">
        <v>11973</v>
      </c>
      <c r="D379" t="s">
        <v>11984</v>
      </c>
      <c r="E379" t="s">
        <v>1628</v>
      </c>
      <c r="F379" t="s">
        <v>1629</v>
      </c>
      <c r="G379" s="712">
        <v>0</v>
      </c>
      <c r="H379">
        <v>0</v>
      </c>
      <c r="I379" s="713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 s="724" t="str">
        <f>VLOOKUP($E379,SP_2024_v28062025!$E$2:$M$1751,9,FALSE)</f>
        <v>ABA460</v>
      </c>
    </row>
    <row r="380" spans="1:17">
      <c r="A380">
        <v>1</v>
      </c>
      <c r="B380" t="s">
        <v>11955</v>
      </c>
      <c r="C380" t="s">
        <v>11973</v>
      </c>
      <c r="D380" t="s">
        <v>11984</v>
      </c>
      <c r="E380" t="s">
        <v>1630</v>
      </c>
      <c r="F380" t="s">
        <v>1449</v>
      </c>
      <c r="G380" s="714">
        <v>199200</v>
      </c>
      <c r="H380" s="711">
        <v>199200</v>
      </c>
      <c r="I380" s="713">
        <v>0</v>
      </c>
      <c r="J380">
        <v>0</v>
      </c>
      <c r="K380">
        <v>0</v>
      </c>
      <c r="L380">
        <v>0</v>
      </c>
      <c r="M380">
        <v>0</v>
      </c>
      <c r="N380" s="711">
        <v>199200</v>
      </c>
      <c r="O380" s="711">
        <v>199200</v>
      </c>
      <c r="P380">
        <v>0</v>
      </c>
      <c r="Q380" s="724" t="str">
        <f>VLOOKUP($E380,SP_2024_v28062025!$E$2:$M$1751,9,FALSE)</f>
        <v>ABA460</v>
      </c>
    </row>
    <row r="381" spans="1:17">
      <c r="A381">
        <v>1</v>
      </c>
      <c r="B381" t="s">
        <v>11955</v>
      </c>
      <c r="C381" t="s">
        <v>11973</v>
      </c>
      <c r="D381" t="s">
        <v>11984</v>
      </c>
      <c r="E381" t="s">
        <v>1631</v>
      </c>
      <c r="F381" t="s">
        <v>1451</v>
      </c>
      <c r="G381" s="714">
        <v>1140000</v>
      </c>
      <c r="H381" s="711">
        <v>1140000</v>
      </c>
      <c r="I381" s="713">
        <v>0</v>
      </c>
      <c r="J381">
        <v>0</v>
      </c>
      <c r="K381">
        <v>0</v>
      </c>
      <c r="L381">
        <v>0</v>
      </c>
      <c r="M381">
        <v>0</v>
      </c>
      <c r="N381" s="711">
        <v>1140000</v>
      </c>
      <c r="O381" s="711">
        <v>1140000</v>
      </c>
      <c r="P381">
        <v>0</v>
      </c>
      <c r="Q381" s="724" t="str">
        <f>VLOOKUP($E381,SP_2024_v28062025!$E$2:$M$1751,9,FALSE)</f>
        <v>ABA460</v>
      </c>
    </row>
    <row r="382" spans="1:17">
      <c r="A382">
        <v>1</v>
      </c>
      <c r="B382" t="s">
        <v>11955</v>
      </c>
      <c r="C382" t="s">
        <v>11973</v>
      </c>
      <c r="D382" t="s">
        <v>11984</v>
      </c>
      <c r="E382" t="s">
        <v>1632</v>
      </c>
      <c r="F382" t="s">
        <v>1633</v>
      </c>
      <c r="G382" s="712">
        <v>0</v>
      </c>
      <c r="H382">
        <v>0</v>
      </c>
      <c r="I382" s="713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 s="724" t="str">
        <f>VLOOKUP($E382,SP_2024_v28062025!$E$2:$M$1751,9,FALSE)</f>
        <v>ABA460</v>
      </c>
    </row>
    <row r="383" spans="1:17">
      <c r="A383">
        <v>1</v>
      </c>
      <c r="B383" t="s">
        <v>11955</v>
      </c>
      <c r="C383" t="s">
        <v>11973</v>
      </c>
      <c r="D383" t="s">
        <v>11984</v>
      </c>
      <c r="E383" t="s">
        <v>1634</v>
      </c>
      <c r="F383" t="s">
        <v>1635</v>
      </c>
      <c r="G383" s="714">
        <v>47749.64</v>
      </c>
      <c r="H383">
        <v>0</v>
      </c>
      <c r="I383" s="715">
        <v>47749.64</v>
      </c>
      <c r="J383">
        <v>0</v>
      </c>
      <c r="K383">
        <v>0</v>
      </c>
      <c r="L383">
        <v>0</v>
      </c>
      <c r="M383">
        <v>0</v>
      </c>
      <c r="N383" s="711">
        <v>47749.64</v>
      </c>
      <c r="O383">
        <v>0</v>
      </c>
      <c r="P383" s="711">
        <v>47749.64</v>
      </c>
      <c r="Q383" s="724" t="str">
        <f>VLOOKUP($E383,SP_2024_v28062025!$E$2:$M$1751,9,FALSE)</f>
        <v>ABA460</v>
      </c>
    </row>
    <row r="384" spans="1:17">
      <c r="A384">
        <v>1</v>
      </c>
      <c r="B384" t="s">
        <v>11955</v>
      </c>
      <c r="C384" t="s">
        <v>11973</v>
      </c>
      <c r="D384" t="s">
        <v>11984</v>
      </c>
      <c r="E384" t="s">
        <v>1636</v>
      </c>
      <c r="F384" t="s">
        <v>1637</v>
      </c>
      <c r="G384" s="714">
        <v>200647.5</v>
      </c>
      <c r="H384">
        <v>0</v>
      </c>
      <c r="I384" s="715">
        <v>200647.5</v>
      </c>
      <c r="J384">
        <v>0</v>
      </c>
      <c r="K384">
        <v>0</v>
      </c>
      <c r="L384">
        <v>0</v>
      </c>
      <c r="M384">
        <v>0</v>
      </c>
      <c r="N384" s="711">
        <v>200647.5</v>
      </c>
      <c r="O384">
        <v>0</v>
      </c>
      <c r="P384" s="750">
        <v>200647.5</v>
      </c>
      <c r="Q384" s="724" t="str">
        <f>VLOOKUP($E384,SP_2024_v28062025!$E$2:$M$1751,9,FALSE)</f>
        <v>ABA460</v>
      </c>
    </row>
    <row r="385" spans="1:17">
      <c r="A385">
        <v>1</v>
      </c>
      <c r="B385" t="s">
        <v>11955</v>
      </c>
      <c r="C385" t="s">
        <v>11973</v>
      </c>
      <c r="D385" t="s">
        <v>11984</v>
      </c>
      <c r="E385" t="s">
        <v>1638</v>
      </c>
      <c r="F385" t="s">
        <v>1639</v>
      </c>
      <c r="G385" s="714">
        <v>60048</v>
      </c>
      <c r="H385">
        <v>0</v>
      </c>
      <c r="I385" s="715">
        <v>60048</v>
      </c>
      <c r="J385">
        <v>0</v>
      </c>
      <c r="K385" s="711">
        <v>60048</v>
      </c>
      <c r="L385">
        <v>0</v>
      </c>
      <c r="M385">
        <v>0</v>
      </c>
      <c r="N385" s="711">
        <v>60048</v>
      </c>
      <c r="O385" s="711">
        <v>60048</v>
      </c>
      <c r="P385">
        <v>0</v>
      </c>
      <c r="Q385" s="724" t="str">
        <f>VLOOKUP($E385,SP_2024_v28062025!$E$2:$M$1751,9,FALSE)</f>
        <v>ABA460</v>
      </c>
    </row>
    <row r="386" spans="1:17">
      <c r="A386">
        <v>1</v>
      </c>
      <c r="B386" t="s">
        <v>11955</v>
      </c>
      <c r="C386" t="s">
        <v>11973</v>
      </c>
      <c r="D386" t="s">
        <v>11984</v>
      </c>
      <c r="E386" t="s">
        <v>1640</v>
      </c>
      <c r="F386" t="s">
        <v>1641</v>
      </c>
      <c r="G386" s="712">
        <v>0</v>
      </c>
      <c r="H386">
        <v>0</v>
      </c>
      <c r="I386" s="713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 s="724" t="str">
        <f>VLOOKUP($E386,SP_2024_v28062025!$E$2:$M$1751,9,FALSE)</f>
        <v>ABA460</v>
      </c>
    </row>
    <row r="387" spans="1:17">
      <c r="A387">
        <v>1</v>
      </c>
      <c r="B387" t="s">
        <v>11955</v>
      </c>
      <c r="C387" t="s">
        <v>11973</v>
      </c>
      <c r="D387" t="s">
        <v>11984</v>
      </c>
      <c r="E387" t="s">
        <v>1642</v>
      </c>
      <c r="F387" t="s">
        <v>1643</v>
      </c>
      <c r="G387" s="712">
        <v>0</v>
      </c>
      <c r="H387">
        <v>0</v>
      </c>
      <c r="I387" s="713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 s="724" t="str">
        <f>VLOOKUP($E387,SP_2024_v28062025!$E$2:$M$1751,9,FALSE)</f>
        <v>ABA460</v>
      </c>
    </row>
    <row r="388" spans="1:17">
      <c r="A388">
        <v>1</v>
      </c>
      <c r="B388" t="s">
        <v>11955</v>
      </c>
      <c r="C388" t="s">
        <v>11973</v>
      </c>
      <c r="D388" t="s">
        <v>11984</v>
      </c>
      <c r="E388" t="s">
        <v>1645</v>
      </c>
      <c r="F388" t="s">
        <v>1646</v>
      </c>
      <c r="G388" s="712">
        <v>0</v>
      </c>
      <c r="H388">
        <v>0</v>
      </c>
      <c r="I388" s="713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7">
      <c r="A389">
        <v>1</v>
      </c>
      <c r="B389" t="s">
        <v>11955</v>
      </c>
      <c r="C389" t="s">
        <v>11973</v>
      </c>
      <c r="D389" t="s">
        <v>11984</v>
      </c>
      <c r="E389" t="s">
        <v>1652</v>
      </c>
      <c r="F389" t="s">
        <v>1653</v>
      </c>
      <c r="G389" s="712">
        <v>0</v>
      </c>
      <c r="H389">
        <v>0</v>
      </c>
      <c r="I389" s="713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 s="724" t="str">
        <f>VLOOKUP($E389,SP_2024_v28062025!$E$2:$M$1751,9,FALSE)</f>
        <v>ABA460</v>
      </c>
    </row>
    <row r="390" spans="1:17">
      <c r="A390">
        <v>1</v>
      </c>
      <c r="B390" t="s">
        <v>11955</v>
      </c>
      <c r="C390" t="s">
        <v>11973</v>
      </c>
      <c r="D390" t="s">
        <v>11984</v>
      </c>
      <c r="E390" t="s">
        <v>1654</v>
      </c>
      <c r="F390" t="s">
        <v>1655</v>
      </c>
      <c r="G390" s="712">
        <v>0</v>
      </c>
      <c r="H390">
        <v>0</v>
      </c>
      <c r="I390" s="713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 s="724" t="str">
        <f>VLOOKUP($E390,SP_2024_v28062025!$E$2:$M$1751,9,FALSE)</f>
        <v>ABA460</v>
      </c>
    </row>
    <row r="391" spans="1:17">
      <c r="A391">
        <v>1</v>
      </c>
      <c r="B391" t="s">
        <v>11955</v>
      </c>
      <c r="C391" t="s">
        <v>11973</v>
      </c>
      <c r="D391" t="s">
        <v>11984</v>
      </c>
      <c r="E391" t="s">
        <v>1656</v>
      </c>
      <c r="F391" t="s">
        <v>1657</v>
      </c>
      <c r="G391" s="712">
        <v>0</v>
      </c>
      <c r="H391">
        <v>0</v>
      </c>
      <c r="I391" s="713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 s="724" t="str">
        <f>VLOOKUP($E391,SP_2024_v28062025!$E$2:$M$1751,9,FALSE)</f>
        <v>ABA460</v>
      </c>
    </row>
    <row r="392" spans="1:17">
      <c r="A392">
        <v>1</v>
      </c>
      <c r="B392" t="s">
        <v>11955</v>
      </c>
      <c r="C392" t="s">
        <v>11973</v>
      </c>
      <c r="D392" t="s">
        <v>11984</v>
      </c>
      <c r="E392" t="s">
        <v>1658</v>
      </c>
      <c r="F392" t="s">
        <v>1659</v>
      </c>
      <c r="G392" s="712">
        <v>0</v>
      </c>
      <c r="H392">
        <v>0</v>
      </c>
      <c r="I392" s="713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 s="724" t="str">
        <f>VLOOKUP($E392,SP_2024_v28062025!$E$2:$M$1751,9,FALSE)</f>
        <v>ABA460</v>
      </c>
    </row>
    <row r="393" spans="1:17">
      <c r="A393">
        <v>1</v>
      </c>
      <c r="B393" t="s">
        <v>11955</v>
      </c>
      <c r="C393" t="s">
        <v>11973</v>
      </c>
      <c r="D393" t="s">
        <v>11984</v>
      </c>
      <c r="E393" t="s">
        <v>1660</v>
      </c>
      <c r="F393" t="s">
        <v>1661</v>
      </c>
      <c r="G393" s="712">
        <v>0</v>
      </c>
      <c r="H393">
        <v>0</v>
      </c>
      <c r="I393" s="71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 s="724" t="str">
        <f>VLOOKUP($E393,SP_2024_v28062025!$E$2:$M$1751,9,FALSE)</f>
        <v>ABA460</v>
      </c>
    </row>
    <row r="394" spans="1:17">
      <c r="A394">
        <v>1</v>
      </c>
      <c r="B394" t="s">
        <v>11955</v>
      </c>
      <c r="C394" t="s">
        <v>11973</v>
      </c>
      <c r="D394" t="s">
        <v>11984</v>
      </c>
      <c r="E394" t="s">
        <v>1662</v>
      </c>
      <c r="F394" t="s">
        <v>1663</v>
      </c>
      <c r="G394" s="712">
        <v>0</v>
      </c>
      <c r="H394">
        <v>0</v>
      </c>
      <c r="I394" s="713">
        <v>0</v>
      </c>
      <c r="J394" s="711">
        <v>40000</v>
      </c>
      <c r="K394" s="711">
        <v>40000</v>
      </c>
      <c r="L394">
        <v>0</v>
      </c>
      <c r="M394">
        <v>0</v>
      </c>
      <c r="N394" s="711">
        <v>40000</v>
      </c>
      <c r="O394" s="711">
        <v>40000</v>
      </c>
      <c r="P394">
        <v>0</v>
      </c>
      <c r="Q394" s="724" t="str">
        <f>VLOOKUP($E394,SP_2024_v28062025!$E$2:$M$1751,9,FALSE)</f>
        <v>ABA460</v>
      </c>
    </row>
    <row r="395" spans="1:17">
      <c r="A395">
        <v>1</v>
      </c>
      <c r="B395" t="s">
        <v>11955</v>
      </c>
      <c r="C395" t="s">
        <v>11973</v>
      </c>
      <c r="D395" t="s">
        <v>11984</v>
      </c>
      <c r="E395" t="s">
        <v>1664</v>
      </c>
      <c r="F395" t="s">
        <v>1665</v>
      </c>
      <c r="G395" s="712">
        <v>0</v>
      </c>
      <c r="H395">
        <v>0</v>
      </c>
      <c r="I395" s="713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 s="724" t="str">
        <f>VLOOKUP($E395,SP_2024_v28062025!$E$2:$M$1751,9,FALSE)</f>
        <v>ABA460</v>
      </c>
    </row>
    <row r="396" spans="1:17">
      <c r="A396">
        <v>1</v>
      </c>
      <c r="B396" t="s">
        <v>11955</v>
      </c>
      <c r="C396" t="s">
        <v>11973</v>
      </c>
      <c r="D396" t="s">
        <v>11984</v>
      </c>
      <c r="E396" t="s">
        <v>1666</v>
      </c>
      <c r="F396" t="s">
        <v>1667</v>
      </c>
      <c r="G396" s="712">
        <v>0</v>
      </c>
      <c r="H396">
        <v>0</v>
      </c>
      <c r="I396" s="713">
        <v>0</v>
      </c>
      <c r="J396" s="711">
        <v>631000</v>
      </c>
      <c r="K396" s="711">
        <v>328000</v>
      </c>
      <c r="L396">
        <v>0</v>
      </c>
      <c r="M396">
        <v>0</v>
      </c>
      <c r="N396" s="711">
        <v>631000</v>
      </c>
      <c r="O396" s="711">
        <v>328000</v>
      </c>
      <c r="P396" s="750">
        <v>303000</v>
      </c>
      <c r="Q396" s="724" t="str">
        <f>VLOOKUP($E396,SP_2024_v28062025!$E$2:$M$1751,9,FALSE)</f>
        <v>ABA460</v>
      </c>
    </row>
    <row r="397" spans="1:17">
      <c r="A397">
        <v>1</v>
      </c>
      <c r="B397" t="s">
        <v>11955</v>
      </c>
      <c r="C397" t="s">
        <v>11973</v>
      </c>
      <c r="D397" t="s">
        <v>11984</v>
      </c>
      <c r="E397" t="s">
        <v>1547</v>
      </c>
      <c r="F397" t="s">
        <v>1548</v>
      </c>
      <c r="G397" s="714">
        <v>241540.12</v>
      </c>
      <c r="H397">
        <v>0</v>
      </c>
      <c r="I397" s="715">
        <v>241540.12</v>
      </c>
      <c r="J397" s="711">
        <v>46636.29</v>
      </c>
      <c r="K397" s="711">
        <v>241540.12</v>
      </c>
      <c r="L397">
        <v>0</v>
      </c>
      <c r="M397">
        <v>0</v>
      </c>
      <c r="N397" s="711">
        <v>288176.40999999997</v>
      </c>
      <c r="O397" s="711">
        <v>241540.12</v>
      </c>
      <c r="P397" s="711">
        <v>46636.29</v>
      </c>
      <c r="Q397" s="724" t="str">
        <f>VLOOKUP($E397,SP_2024_v28062025!$E$2:$M$1751,9,FALSE)</f>
        <v>ABA451</v>
      </c>
    </row>
    <row r="398" spans="1:17">
      <c r="A398">
        <v>1</v>
      </c>
      <c r="B398" t="s">
        <v>11955</v>
      </c>
      <c r="C398" t="s">
        <v>11973</v>
      </c>
      <c r="D398" t="s">
        <v>11984</v>
      </c>
      <c r="E398" t="s">
        <v>1647</v>
      </c>
      <c r="F398" t="s">
        <v>1648</v>
      </c>
      <c r="G398" s="712">
        <v>0</v>
      </c>
      <c r="H398">
        <v>0</v>
      </c>
      <c r="I398" s="713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 s="724" t="str">
        <f>VLOOKUP($E398,SP_2024_v28062025!$E$2:$M$1751,9,FALSE)</f>
        <v>ABA461</v>
      </c>
    </row>
    <row r="399" spans="1:17">
      <c r="A399">
        <v>1</v>
      </c>
      <c r="B399" t="s">
        <v>11955</v>
      </c>
      <c r="C399" t="s">
        <v>11973</v>
      </c>
      <c r="D399" t="s">
        <v>11984</v>
      </c>
      <c r="E399" t="s">
        <v>1668</v>
      </c>
      <c r="F399" t="s">
        <v>1669</v>
      </c>
      <c r="G399" s="712">
        <v>0</v>
      </c>
      <c r="H399">
        <v>0</v>
      </c>
      <c r="I399" s="713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 s="724" t="str">
        <f>VLOOKUP($E399,SP_2024_v28062025!$E$2:$M$1751,9,FALSE)</f>
        <v>ABA360</v>
      </c>
    </row>
    <row r="400" spans="1:17" ht="15.75" thickBot="1">
      <c r="A400">
        <v>1</v>
      </c>
      <c r="B400" t="s">
        <v>11955</v>
      </c>
      <c r="C400" t="s">
        <v>11973</v>
      </c>
      <c r="D400" t="s">
        <v>11984</v>
      </c>
      <c r="E400" t="s">
        <v>1670</v>
      </c>
      <c r="F400" t="s">
        <v>1671</v>
      </c>
      <c r="G400" s="712">
        <v>0</v>
      </c>
      <c r="H400">
        <v>0</v>
      </c>
      <c r="I400" s="713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 s="724" t="str">
        <f>VLOOKUP($E400,SP_2024_v28062025!$E$2:$M$1751,9,FALSE)</f>
        <v>ABA360</v>
      </c>
    </row>
    <row r="401" spans="1:17" ht="15.75" thickBot="1">
      <c r="A401" s="727">
        <v>1</v>
      </c>
      <c r="B401" s="727" t="s">
        <v>11955</v>
      </c>
      <c r="C401" s="727" t="s">
        <v>11973</v>
      </c>
      <c r="D401" s="727" t="s">
        <v>11985</v>
      </c>
      <c r="E401" s="727"/>
      <c r="F401" s="729" t="s">
        <v>1672</v>
      </c>
      <c r="G401" s="739">
        <v>35676402.200000003</v>
      </c>
      <c r="H401" s="739">
        <v>3349925.47</v>
      </c>
      <c r="I401" s="739">
        <v>32326476.73</v>
      </c>
      <c r="J401" s="739">
        <v>6841853.7699999996</v>
      </c>
      <c r="K401" s="738">
        <v>0</v>
      </c>
      <c r="L401" s="738">
        <v>0</v>
      </c>
      <c r="M401" s="738">
        <v>0</v>
      </c>
      <c r="N401" s="739">
        <v>42518255.969999999</v>
      </c>
      <c r="O401" s="739">
        <v>3349925.47</v>
      </c>
      <c r="P401" s="739">
        <v>39168330.5</v>
      </c>
    </row>
    <row r="402" spans="1:17">
      <c r="A402">
        <v>1</v>
      </c>
      <c r="B402" t="s">
        <v>11955</v>
      </c>
      <c r="C402" t="s">
        <v>11973</v>
      </c>
      <c r="D402" t="s">
        <v>11985</v>
      </c>
      <c r="E402" t="s">
        <v>1676</v>
      </c>
      <c r="F402" t="s">
        <v>1677</v>
      </c>
      <c r="G402" s="712">
        <v>0</v>
      </c>
      <c r="H402">
        <v>0</v>
      </c>
      <c r="I402" s="713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 s="724" t="str">
        <f>VLOOKUP($E402,SP_2024_v28062025!$E$2:$M$1751,9,FALSE)</f>
        <v>ABA480</v>
      </c>
    </row>
    <row r="403" spans="1:17">
      <c r="A403">
        <v>1</v>
      </c>
      <c r="B403" t="s">
        <v>11955</v>
      </c>
      <c r="C403" t="s">
        <v>11973</v>
      </c>
      <c r="D403" t="s">
        <v>11985</v>
      </c>
      <c r="E403" t="s">
        <v>1681</v>
      </c>
      <c r="F403" t="s">
        <v>1682</v>
      </c>
      <c r="G403" s="712">
        <v>0</v>
      </c>
      <c r="H403">
        <v>0</v>
      </c>
      <c r="I403" s="71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 s="724" t="str">
        <f>VLOOKUP($E403,SP_2024_v28062025!$E$2:$M$1751,9,FALSE)</f>
        <v>ABA480</v>
      </c>
    </row>
    <row r="404" spans="1:17">
      <c r="A404">
        <v>1</v>
      </c>
      <c r="B404" t="s">
        <v>11955</v>
      </c>
      <c r="C404" t="s">
        <v>11973</v>
      </c>
      <c r="D404" t="s">
        <v>11985</v>
      </c>
      <c r="E404" t="s">
        <v>1683</v>
      </c>
      <c r="F404" t="s">
        <v>1684</v>
      </c>
      <c r="G404" s="714">
        <v>100476.07</v>
      </c>
      <c r="H404">
        <v>0</v>
      </c>
      <c r="I404" s="715">
        <v>100476.07</v>
      </c>
      <c r="J404">
        <v>0</v>
      </c>
      <c r="K404">
        <v>0</v>
      </c>
      <c r="L404">
        <v>0</v>
      </c>
      <c r="M404">
        <v>0</v>
      </c>
      <c r="N404" s="711">
        <v>100476.07</v>
      </c>
      <c r="O404">
        <v>0</v>
      </c>
      <c r="P404" s="711">
        <v>100476.07</v>
      </c>
      <c r="Q404" s="724" t="str">
        <f>VLOOKUP($E404,SP_2024_v28062025!$E$2:$M$1751,9,FALSE)</f>
        <v>ABA480</v>
      </c>
    </row>
    <row r="405" spans="1:17">
      <c r="A405">
        <v>1</v>
      </c>
      <c r="B405" t="s">
        <v>11955</v>
      </c>
      <c r="C405" t="s">
        <v>11973</v>
      </c>
      <c r="D405" t="s">
        <v>11985</v>
      </c>
      <c r="E405" t="s">
        <v>1685</v>
      </c>
      <c r="F405" t="s">
        <v>1686</v>
      </c>
      <c r="G405" s="712">
        <v>0</v>
      </c>
      <c r="H405">
        <v>0</v>
      </c>
      <c r="I405" s="713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 s="724" t="str">
        <f>VLOOKUP($E405,SP_2024_v28062025!$E$2:$M$1751,9,FALSE)</f>
        <v>ABA480</v>
      </c>
    </row>
    <row r="406" spans="1:17">
      <c r="A406">
        <v>1</v>
      </c>
      <c r="B406" t="s">
        <v>11955</v>
      </c>
      <c r="C406" t="s">
        <v>11973</v>
      </c>
      <c r="D406" t="s">
        <v>11985</v>
      </c>
      <c r="E406" t="s">
        <v>1687</v>
      </c>
      <c r="F406" t="s">
        <v>1688</v>
      </c>
      <c r="G406" s="712">
        <v>0</v>
      </c>
      <c r="H406">
        <v>0</v>
      </c>
      <c r="I406" s="713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 s="724" t="str">
        <f>VLOOKUP($E406,SP_2024_v28062025!$E$2:$M$1751,9,FALSE)</f>
        <v>ABA480</v>
      </c>
    </row>
    <row r="407" spans="1:17">
      <c r="A407">
        <v>1</v>
      </c>
      <c r="B407" t="s">
        <v>11955</v>
      </c>
      <c r="C407" t="s">
        <v>11973</v>
      </c>
      <c r="D407" t="s">
        <v>11985</v>
      </c>
      <c r="E407" t="s">
        <v>1689</v>
      </c>
      <c r="F407" t="s">
        <v>1690</v>
      </c>
      <c r="G407" s="714">
        <v>207126.75</v>
      </c>
      <c r="H407">
        <v>0</v>
      </c>
      <c r="I407" s="715">
        <v>207126.75</v>
      </c>
      <c r="J407">
        <v>0</v>
      </c>
      <c r="K407">
        <v>0</v>
      </c>
      <c r="L407">
        <v>0</v>
      </c>
      <c r="M407">
        <v>0</v>
      </c>
      <c r="N407" s="711">
        <v>207126.75</v>
      </c>
      <c r="O407">
        <v>0</v>
      </c>
      <c r="P407" s="711">
        <v>207126.75</v>
      </c>
      <c r="Q407" s="724" t="str">
        <f>VLOOKUP($E407,SP_2024_v28062025!$E$2:$M$1751,9,FALSE)</f>
        <v>ABA480</v>
      </c>
    </row>
    <row r="408" spans="1:17">
      <c r="A408">
        <v>1</v>
      </c>
      <c r="B408" t="s">
        <v>11955</v>
      </c>
      <c r="C408" t="s">
        <v>11973</v>
      </c>
      <c r="D408" t="s">
        <v>11985</v>
      </c>
      <c r="E408" t="s">
        <v>1691</v>
      </c>
      <c r="F408" t="s">
        <v>1692</v>
      </c>
      <c r="G408" s="714">
        <v>253000.88</v>
      </c>
      <c r="H408">
        <v>0</v>
      </c>
      <c r="I408" s="715">
        <v>253000.88</v>
      </c>
      <c r="J408">
        <v>0</v>
      </c>
      <c r="K408">
        <v>0</v>
      </c>
      <c r="L408">
        <v>0</v>
      </c>
      <c r="M408">
        <v>0</v>
      </c>
      <c r="N408" s="711">
        <v>253000.88</v>
      </c>
      <c r="O408">
        <v>0</v>
      </c>
      <c r="P408" s="711">
        <v>253000.88</v>
      </c>
      <c r="Q408" s="724" t="str">
        <f>VLOOKUP($E408,SP_2024_v28062025!$E$2:$M$1751,9,FALSE)</f>
        <v>ABA480</v>
      </c>
    </row>
    <row r="409" spans="1:17">
      <c r="A409">
        <v>1</v>
      </c>
      <c r="B409" t="s">
        <v>11955</v>
      </c>
      <c r="C409" t="s">
        <v>11973</v>
      </c>
      <c r="D409" t="s">
        <v>11985</v>
      </c>
      <c r="E409" t="s">
        <v>1693</v>
      </c>
      <c r="F409" t="s">
        <v>1694</v>
      </c>
      <c r="G409" s="712">
        <v>0</v>
      </c>
      <c r="H409">
        <v>0</v>
      </c>
      <c r="I409" s="713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 s="724" t="str">
        <f>VLOOKUP($E409,SP_2024_v28062025!$E$2:$M$1751,9,FALSE)</f>
        <v>ABA480</v>
      </c>
    </row>
    <row r="410" spans="1:17">
      <c r="A410">
        <v>1</v>
      </c>
      <c r="B410" t="s">
        <v>11955</v>
      </c>
      <c r="C410" t="s">
        <v>11973</v>
      </c>
      <c r="D410" t="s">
        <v>11985</v>
      </c>
      <c r="E410" t="s">
        <v>1695</v>
      </c>
      <c r="F410" t="s">
        <v>1696</v>
      </c>
      <c r="G410" s="714">
        <v>480000</v>
      </c>
      <c r="H410">
        <v>0</v>
      </c>
      <c r="I410" s="715">
        <v>480000</v>
      </c>
      <c r="J410">
        <v>0</v>
      </c>
      <c r="K410">
        <v>0</v>
      </c>
      <c r="L410">
        <v>0</v>
      </c>
      <c r="M410">
        <v>0</v>
      </c>
      <c r="N410" s="711">
        <v>480000</v>
      </c>
      <c r="O410">
        <v>0</v>
      </c>
      <c r="P410" s="711">
        <v>480000</v>
      </c>
      <c r="Q410" s="724" t="str">
        <f>VLOOKUP($E410,SP_2024_v28062025!$E$2:$M$1751,9,FALSE)</f>
        <v>ABA480</v>
      </c>
    </row>
    <row r="411" spans="1:17">
      <c r="A411">
        <v>1</v>
      </c>
      <c r="B411" t="s">
        <v>11955</v>
      </c>
      <c r="C411" t="s">
        <v>11973</v>
      </c>
      <c r="D411" t="s">
        <v>11985</v>
      </c>
      <c r="E411" t="s">
        <v>1697</v>
      </c>
      <c r="F411" t="s">
        <v>1698</v>
      </c>
      <c r="G411" s="712">
        <v>0</v>
      </c>
      <c r="H411">
        <v>0</v>
      </c>
      <c r="I411" s="713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 s="724" t="str">
        <f>VLOOKUP($E411,SP_2024_v28062025!$E$2:$M$1751,9,FALSE)</f>
        <v>ABA480</v>
      </c>
    </row>
    <row r="412" spans="1:17">
      <c r="A412">
        <v>1</v>
      </c>
      <c r="B412" t="s">
        <v>11955</v>
      </c>
      <c r="C412" t="s">
        <v>11973</v>
      </c>
      <c r="D412" t="s">
        <v>11985</v>
      </c>
      <c r="E412" t="s">
        <v>1699</v>
      </c>
      <c r="F412" t="s">
        <v>1700</v>
      </c>
      <c r="G412" s="712">
        <v>0</v>
      </c>
      <c r="H412">
        <v>0</v>
      </c>
      <c r="I412" s="713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 s="724" t="str">
        <f>VLOOKUP($E412,SP_2024_v28062025!$E$2:$M$1751,9,FALSE)</f>
        <v>ABA480</v>
      </c>
    </row>
    <row r="413" spans="1:17">
      <c r="A413">
        <v>1</v>
      </c>
      <c r="B413" t="s">
        <v>11955</v>
      </c>
      <c r="C413" t="s">
        <v>11973</v>
      </c>
      <c r="D413" t="s">
        <v>11985</v>
      </c>
      <c r="E413" t="s">
        <v>1701</v>
      </c>
      <c r="F413" t="s">
        <v>1702</v>
      </c>
      <c r="G413" s="714">
        <v>989780.98</v>
      </c>
      <c r="H413">
        <v>0</v>
      </c>
      <c r="I413" s="715">
        <v>989780.98</v>
      </c>
      <c r="J413" s="711">
        <v>6841853.7699999996</v>
      </c>
      <c r="K413">
        <v>0</v>
      </c>
      <c r="L413">
        <v>0</v>
      </c>
      <c r="M413">
        <v>0</v>
      </c>
      <c r="N413" s="711">
        <v>7831634.75</v>
      </c>
      <c r="O413">
        <v>0</v>
      </c>
      <c r="P413" s="711">
        <v>7831634.75</v>
      </c>
      <c r="Q413" s="724" t="str">
        <f>VLOOKUP($E413,SP_2024_v28062025!$E$2:$M$1751,9,FALSE)</f>
        <v>ABA480</v>
      </c>
    </row>
    <row r="414" spans="1:17">
      <c r="A414">
        <v>1</v>
      </c>
      <c r="B414" t="s">
        <v>11955</v>
      </c>
      <c r="C414" t="s">
        <v>11973</v>
      </c>
      <c r="D414" t="s">
        <v>11985</v>
      </c>
      <c r="E414" t="s">
        <v>1703</v>
      </c>
      <c r="F414" t="s">
        <v>1704</v>
      </c>
      <c r="G414" s="714">
        <v>903193.25</v>
      </c>
      <c r="H414">
        <v>0</v>
      </c>
      <c r="I414" s="715">
        <v>903193.25</v>
      </c>
      <c r="J414">
        <v>0</v>
      </c>
      <c r="K414">
        <v>0</v>
      </c>
      <c r="L414">
        <v>0</v>
      </c>
      <c r="M414">
        <v>0</v>
      </c>
      <c r="N414" s="711">
        <v>903193.25</v>
      </c>
      <c r="O414">
        <v>0</v>
      </c>
      <c r="P414" s="711">
        <v>903193.25</v>
      </c>
      <c r="Q414" s="724" t="str">
        <f>VLOOKUP($E414,SP_2024_v28062025!$E$2:$M$1751,9,FALSE)</f>
        <v>ABA480</v>
      </c>
    </row>
    <row r="415" spans="1:17">
      <c r="A415">
        <v>1</v>
      </c>
      <c r="B415" t="s">
        <v>11955</v>
      </c>
      <c r="C415" t="s">
        <v>11973</v>
      </c>
      <c r="D415" t="s">
        <v>11985</v>
      </c>
      <c r="E415" t="s">
        <v>1705</v>
      </c>
      <c r="F415" t="s">
        <v>1706</v>
      </c>
      <c r="G415" s="712">
        <v>0</v>
      </c>
      <c r="H415">
        <v>0</v>
      </c>
      <c r="I415" s="713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 s="724" t="str">
        <f>VLOOKUP($E415,SP_2024_v28062025!$E$2:$M$1751,9,FALSE)</f>
        <v>ABA480</v>
      </c>
    </row>
    <row r="416" spans="1:17">
      <c r="A416">
        <v>1</v>
      </c>
      <c r="B416" t="s">
        <v>11955</v>
      </c>
      <c r="C416" t="s">
        <v>11973</v>
      </c>
      <c r="D416" t="s">
        <v>11985</v>
      </c>
      <c r="E416" t="s">
        <v>1707</v>
      </c>
      <c r="F416" t="s">
        <v>1708</v>
      </c>
      <c r="G416" s="712">
        <v>0</v>
      </c>
      <c r="H416">
        <v>0</v>
      </c>
      <c r="I416" s="713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 s="724" t="str">
        <f>VLOOKUP($E416,SP_2024_v28062025!$E$2:$M$1751,9,FALSE)</f>
        <v>ABA480</v>
      </c>
    </row>
    <row r="417" spans="1:17">
      <c r="A417">
        <v>1</v>
      </c>
      <c r="B417" t="s">
        <v>11955</v>
      </c>
      <c r="C417" t="s">
        <v>11973</v>
      </c>
      <c r="D417" t="s">
        <v>11985</v>
      </c>
      <c r="E417" t="s">
        <v>1709</v>
      </c>
      <c r="F417" t="s">
        <v>1710</v>
      </c>
      <c r="G417" s="714">
        <v>88000</v>
      </c>
      <c r="H417">
        <v>0</v>
      </c>
      <c r="I417" s="715">
        <v>88000</v>
      </c>
      <c r="J417">
        <v>0</v>
      </c>
      <c r="K417">
        <v>0</v>
      </c>
      <c r="L417">
        <v>0</v>
      </c>
      <c r="M417">
        <v>0</v>
      </c>
      <c r="N417" s="711">
        <v>88000</v>
      </c>
      <c r="O417">
        <v>0</v>
      </c>
      <c r="P417" s="750">
        <v>88000</v>
      </c>
      <c r="Q417" s="724" t="str">
        <f>VLOOKUP($E417,SP_2024_v28062025!$E$2:$M$1751,9,FALSE)</f>
        <v>ABA480</v>
      </c>
    </row>
    <row r="418" spans="1:17">
      <c r="A418">
        <v>1</v>
      </c>
      <c r="B418" t="s">
        <v>11955</v>
      </c>
      <c r="C418" t="s">
        <v>11973</v>
      </c>
      <c r="D418" t="s">
        <v>11985</v>
      </c>
      <c r="E418" t="s">
        <v>1711</v>
      </c>
      <c r="F418" t="s">
        <v>1712</v>
      </c>
      <c r="G418" s="714">
        <v>2571219.65</v>
      </c>
      <c r="H418">
        <v>0</v>
      </c>
      <c r="I418" s="715">
        <v>2571219.65</v>
      </c>
      <c r="J418">
        <v>0</v>
      </c>
      <c r="K418">
        <v>0</v>
      </c>
      <c r="L418">
        <v>0</v>
      </c>
      <c r="M418">
        <v>0</v>
      </c>
      <c r="N418" s="711">
        <v>2571219.65</v>
      </c>
      <c r="O418">
        <v>0</v>
      </c>
      <c r="P418" s="750">
        <v>2571219.65</v>
      </c>
      <c r="Q418" s="724" t="str">
        <f>VLOOKUP($E418,SP_2024_v28062025!$E$2:$M$1751,9,FALSE)</f>
        <v>ABA480</v>
      </c>
    </row>
    <row r="419" spans="1:17">
      <c r="A419">
        <v>1</v>
      </c>
      <c r="B419" t="s">
        <v>11955</v>
      </c>
      <c r="C419" t="s">
        <v>11973</v>
      </c>
      <c r="D419" t="s">
        <v>11985</v>
      </c>
      <c r="E419" t="s">
        <v>1713</v>
      </c>
      <c r="F419" t="s">
        <v>1714</v>
      </c>
      <c r="G419" s="712">
        <v>0</v>
      </c>
      <c r="H419">
        <v>0</v>
      </c>
      <c r="I419" s="713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 s="724" t="str">
        <f>VLOOKUP($E419,SP_2024_v28062025!$E$2:$M$1751,9,FALSE)</f>
        <v>ABA480</v>
      </c>
    </row>
    <row r="420" spans="1:17">
      <c r="A420">
        <v>1</v>
      </c>
      <c r="B420" t="s">
        <v>11955</v>
      </c>
      <c r="C420" t="s">
        <v>11973</v>
      </c>
      <c r="D420" t="s">
        <v>11985</v>
      </c>
      <c r="E420" t="s">
        <v>1715</v>
      </c>
      <c r="F420" t="s">
        <v>1716</v>
      </c>
      <c r="G420" s="712">
        <v>0</v>
      </c>
      <c r="H420">
        <v>0</v>
      </c>
      <c r="I420" s="713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 s="724" t="str">
        <f>VLOOKUP($E420,SP_2024_v28062025!$E$2:$M$1751,9,FALSE)</f>
        <v>ABA480</v>
      </c>
    </row>
    <row r="421" spans="1:17">
      <c r="A421">
        <v>1</v>
      </c>
      <c r="B421" t="s">
        <v>11955</v>
      </c>
      <c r="C421" t="s">
        <v>11973</v>
      </c>
      <c r="D421" t="s">
        <v>11985</v>
      </c>
      <c r="E421" t="s">
        <v>1717</v>
      </c>
      <c r="F421" t="s">
        <v>1718</v>
      </c>
      <c r="G421" s="712">
        <v>0</v>
      </c>
      <c r="H421">
        <v>0</v>
      </c>
      <c r="I421" s="713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 s="724" t="str">
        <f>VLOOKUP($E421,SP_2024_v28062025!$E$2:$M$1751,9,FALSE)</f>
        <v>ABA480</v>
      </c>
    </row>
    <row r="422" spans="1:17">
      <c r="A422">
        <v>1</v>
      </c>
      <c r="B422" t="s">
        <v>11955</v>
      </c>
      <c r="C422" t="s">
        <v>11973</v>
      </c>
      <c r="D422" t="s">
        <v>11985</v>
      </c>
      <c r="E422" t="s">
        <v>1719</v>
      </c>
      <c r="F422" t="s">
        <v>1720</v>
      </c>
      <c r="G422" s="714">
        <v>2371470.27</v>
      </c>
      <c r="H422">
        <v>0</v>
      </c>
      <c r="I422" s="715">
        <v>2371470.27</v>
      </c>
      <c r="J422">
        <v>0</v>
      </c>
      <c r="K422">
        <v>0</v>
      </c>
      <c r="L422">
        <v>0</v>
      </c>
      <c r="M422">
        <v>0</v>
      </c>
      <c r="N422" s="711">
        <v>2371470.27</v>
      </c>
      <c r="O422">
        <v>0</v>
      </c>
      <c r="P422" s="750">
        <v>2371470.27</v>
      </c>
      <c r="Q422" s="724" t="str">
        <f>VLOOKUP($E422,SP_2024_v28062025!$E$2:$M$1751,9,FALSE)</f>
        <v>ABA480</v>
      </c>
    </row>
    <row r="423" spans="1:17">
      <c r="A423">
        <v>1</v>
      </c>
      <c r="B423" t="s">
        <v>11955</v>
      </c>
      <c r="C423" t="s">
        <v>11973</v>
      </c>
      <c r="D423" t="s">
        <v>11985</v>
      </c>
      <c r="E423" t="s">
        <v>1721</v>
      </c>
      <c r="F423" t="s">
        <v>1722</v>
      </c>
      <c r="G423" s="712">
        <v>0</v>
      </c>
      <c r="H423">
        <v>0</v>
      </c>
      <c r="I423" s="71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 s="724" t="str">
        <f>VLOOKUP($E423,SP_2024_v28062025!$E$2:$M$1751,9,FALSE)</f>
        <v>ABA480</v>
      </c>
    </row>
    <row r="424" spans="1:17">
      <c r="A424">
        <v>1</v>
      </c>
      <c r="B424" t="s">
        <v>11955</v>
      </c>
      <c r="C424" t="s">
        <v>11973</v>
      </c>
      <c r="D424" t="s">
        <v>11985</v>
      </c>
      <c r="E424" t="s">
        <v>1723</v>
      </c>
      <c r="F424" t="s">
        <v>1724</v>
      </c>
      <c r="G424" s="712">
        <v>0</v>
      </c>
      <c r="H424">
        <v>0</v>
      </c>
      <c r="I424" s="713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 s="724" t="str">
        <f>VLOOKUP($E424,SP_2024_v28062025!$E$2:$M$1751,9,FALSE)</f>
        <v>ABA480</v>
      </c>
    </row>
    <row r="425" spans="1:17">
      <c r="A425">
        <v>1</v>
      </c>
      <c r="B425" t="s">
        <v>11955</v>
      </c>
      <c r="C425" t="s">
        <v>11973</v>
      </c>
      <c r="D425" t="s">
        <v>11985</v>
      </c>
      <c r="E425" t="s">
        <v>1725</v>
      </c>
      <c r="F425" t="s">
        <v>1726</v>
      </c>
      <c r="G425" s="714">
        <v>3520909.55</v>
      </c>
      <c r="H425" s="711">
        <v>3349925.47</v>
      </c>
      <c r="I425" s="715">
        <v>170984.08</v>
      </c>
      <c r="J425">
        <v>0</v>
      </c>
      <c r="K425">
        <v>0</v>
      </c>
      <c r="L425">
        <v>0</v>
      </c>
      <c r="M425">
        <v>0</v>
      </c>
      <c r="N425" s="711">
        <v>3520909.55</v>
      </c>
      <c r="O425" s="711">
        <v>3349925.47</v>
      </c>
      <c r="P425" s="750">
        <v>170984.08</v>
      </c>
      <c r="Q425" s="724" t="str">
        <f>VLOOKUP($E425,SP_2024_v28062025!$E$2:$M$1751,9,FALSE)</f>
        <v>ABA480</v>
      </c>
    </row>
    <row r="426" spans="1:17">
      <c r="A426">
        <v>1</v>
      </c>
      <c r="B426" t="s">
        <v>11955</v>
      </c>
      <c r="C426" t="s">
        <v>11973</v>
      </c>
      <c r="D426" t="s">
        <v>11985</v>
      </c>
      <c r="E426" t="s">
        <v>1727</v>
      </c>
      <c r="F426" t="s">
        <v>1728</v>
      </c>
      <c r="G426" s="714">
        <v>1000000</v>
      </c>
      <c r="H426">
        <v>0</v>
      </c>
      <c r="I426" s="715">
        <v>1000000</v>
      </c>
      <c r="J426">
        <v>0</v>
      </c>
      <c r="K426">
        <v>0</v>
      </c>
      <c r="L426">
        <v>0</v>
      </c>
      <c r="M426">
        <v>0</v>
      </c>
      <c r="N426" s="711">
        <v>1000000</v>
      </c>
      <c r="O426">
        <v>0</v>
      </c>
      <c r="P426" s="750">
        <v>1000000</v>
      </c>
      <c r="Q426" s="724" t="str">
        <f>VLOOKUP($E426,SP_2024_v28062025!$E$2:$M$1751,9,FALSE)</f>
        <v>ABA480</v>
      </c>
    </row>
    <row r="427" spans="1:17">
      <c r="A427">
        <v>1</v>
      </c>
      <c r="B427" t="s">
        <v>11955</v>
      </c>
      <c r="C427" t="s">
        <v>11973</v>
      </c>
      <c r="D427" t="s">
        <v>11985</v>
      </c>
      <c r="E427" t="s">
        <v>1746</v>
      </c>
      <c r="F427" t="s">
        <v>1747</v>
      </c>
      <c r="G427" s="712">
        <v>0</v>
      </c>
      <c r="H427">
        <v>0</v>
      </c>
      <c r="I427" s="713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 s="724" t="str">
        <f>VLOOKUP($E427,SP_2024_v28062025!$E$2:$M$1751,9,FALSE)</f>
        <v>ABA490</v>
      </c>
    </row>
    <row r="428" spans="1:17">
      <c r="A428">
        <v>1</v>
      </c>
      <c r="B428" t="s">
        <v>11955</v>
      </c>
      <c r="C428" t="s">
        <v>11973</v>
      </c>
      <c r="D428" t="s">
        <v>11985</v>
      </c>
      <c r="E428" t="s">
        <v>1749</v>
      </c>
      <c r="F428" t="s">
        <v>1750</v>
      </c>
      <c r="G428" s="712">
        <v>0</v>
      </c>
      <c r="H428">
        <v>0</v>
      </c>
      <c r="I428" s="713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 s="724" t="str">
        <f>VLOOKUP($E428,SP_2024_v28062025!$E$2:$M$1751,9,FALSE)</f>
        <v>ABA500</v>
      </c>
    </row>
    <row r="429" spans="1:17">
      <c r="A429">
        <v>1</v>
      </c>
      <c r="B429" t="s">
        <v>11955</v>
      </c>
      <c r="C429" t="s">
        <v>11973</v>
      </c>
      <c r="D429" t="s">
        <v>11985</v>
      </c>
      <c r="E429" t="s">
        <v>1757</v>
      </c>
      <c r="F429" t="s">
        <v>1758</v>
      </c>
      <c r="G429" s="712">
        <v>0</v>
      </c>
      <c r="H429">
        <v>0</v>
      </c>
      <c r="I429" s="713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 s="724" t="str">
        <f>VLOOKUP($E429,SP_2024_v28062025!$E$2:$M$1751,9,FALSE)</f>
        <v>ABA510</v>
      </c>
    </row>
    <row r="430" spans="1:17">
      <c r="A430">
        <v>1</v>
      </c>
      <c r="B430" t="s">
        <v>11955</v>
      </c>
      <c r="C430" t="s">
        <v>11973</v>
      </c>
      <c r="D430" t="s">
        <v>11985</v>
      </c>
      <c r="E430" t="s">
        <v>1761</v>
      </c>
      <c r="F430" t="s">
        <v>1762</v>
      </c>
      <c r="G430" s="712">
        <v>0</v>
      </c>
      <c r="H430">
        <v>0</v>
      </c>
      <c r="I430" s="713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 s="724" t="str">
        <f>VLOOKUP($E430,SP_2024_v28062025!$E$2:$M$1751,9,FALSE)</f>
        <v>ABA520</v>
      </c>
    </row>
    <row r="431" spans="1:17">
      <c r="A431">
        <v>1</v>
      </c>
      <c r="B431" t="s">
        <v>11955</v>
      </c>
      <c r="C431" t="s">
        <v>11973</v>
      </c>
      <c r="D431" t="s">
        <v>11985</v>
      </c>
      <c r="E431" t="s">
        <v>1753</v>
      </c>
      <c r="F431" t="s">
        <v>1754</v>
      </c>
      <c r="G431" s="712">
        <v>0</v>
      </c>
      <c r="H431">
        <v>0</v>
      </c>
      <c r="I431" s="713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 s="724" t="str">
        <f>VLOOKUP($E431,SP_2024_v28062025!$E$2:$M$1751,9,FALSE)</f>
        <v>ABA501</v>
      </c>
    </row>
    <row r="432" spans="1:17">
      <c r="A432">
        <v>1</v>
      </c>
      <c r="B432" t="s">
        <v>11955</v>
      </c>
      <c r="C432" t="s">
        <v>11973</v>
      </c>
      <c r="D432" t="s">
        <v>11985</v>
      </c>
      <c r="E432" t="s">
        <v>1730</v>
      </c>
      <c r="F432" t="s">
        <v>1731</v>
      </c>
      <c r="G432" s="714">
        <v>8748741.4000000004</v>
      </c>
      <c r="H432">
        <v>0</v>
      </c>
      <c r="I432" s="715">
        <v>8748741.4000000004</v>
      </c>
      <c r="J432">
        <v>0</v>
      </c>
      <c r="K432">
        <v>0</v>
      </c>
      <c r="L432">
        <v>0</v>
      </c>
      <c r="M432">
        <v>0</v>
      </c>
      <c r="N432" s="711">
        <v>8748741.4000000004</v>
      </c>
      <c r="O432">
        <v>0</v>
      </c>
      <c r="P432" s="750">
        <v>8748741.4000000004</v>
      </c>
      <c r="Q432" s="724" t="str">
        <f>VLOOKUP($E432,SP_2024_v28062025!$E$2:$M$1751,9,FALSE)</f>
        <v>ABA480</v>
      </c>
    </row>
    <row r="433" spans="1:17">
      <c r="A433">
        <v>1</v>
      </c>
      <c r="B433" t="s">
        <v>11955</v>
      </c>
      <c r="C433" t="s">
        <v>11973</v>
      </c>
      <c r="D433" t="s">
        <v>11985</v>
      </c>
      <c r="E433" t="s">
        <v>1732</v>
      </c>
      <c r="F433" t="s">
        <v>1733</v>
      </c>
      <c r="G433" s="714">
        <v>2520000</v>
      </c>
      <c r="H433">
        <v>0</v>
      </c>
      <c r="I433" s="715">
        <v>2520000</v>
      </c>
      <c r="J433">
        <v>0</v>
      </c>
      <c r="K433">
        <v>0</v>
      </c>
      <c r="L433">
        <v>0</v>
      </c>
      <c r="M433">
        <v>0</v>
      </c>
      <c r="N433" s="711">
        <v>2520000</v>
      </c>
      <c r="O433">
        <v>0</v>
      </c>
      <c r="P433" s="750">
        <v>2520000</v>
      </c>
      <c r="Q433" s="724" t="str">
        <f>VLOOKUP($E433,SP_2024_v28062025!$E$2:$M$1751,9,FALSE)</f>
        <v>ABA480</v>
      </c>
    </row>
    <row r="434" spans="1:17">
      <c r="A434">
        <v>1</v>
      </c>
      <c r="B434" t="s">
        <v>11955</v>
      </c>
      <c r="C434" t="s">
        <v>11973</v>
      </c>
      <c r="D434" t="s">
        <v>11985</v>
      </c>
      <c r="E434" t="s">
        <v>1734</v>
      </c>
      <c r="F434" t="s">
        <v>1735</v>
      </c>
      <c r="G434" s="712">
        <v>0</v>
      </c>
      <c r="H434">
        <v>0</v>
      </c>
      <c r="I434" s="713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 s="724" t="str">
        <f>VLOOKUP($E434,SP_2024_v28062025!$E$2:$M$1751,9,FALSE)</f>
        <v>ABA480</v>
      </c>
    </row>
    <row r="435" spans="1:17">
      <c r="A435">
        <v>1</v>
      </c>
      <c r="B435" t="s">
        <v>11955</v>
      </c>
      <c r="C435" t="s">
        <v>11973</v>
      </c>
      <c r="D435" t="s">
        <v>11985</v>
      </c>
      <c r="E435" t="s">
        <v>1736</v>
      </c>
      <c r="F435" t="s">
        <v>1737</v>
      </c>
      <c r="G435" s="714">
        <v>10097785.800000001</v>
      </c>
      <c r="H435">
        <v>0</v>
      </c>
      <c r="I435" s="715">
        <v>10097785.800000001</v>
      </c>
      <c r="J435">
        <v>0</v>
      </c>
      <c r="K435">
        <v>0</v>
      </c>
      <c r="L435">
        <v>0</v>
      </c>
      <c r="M435">
        <v>0</v>
      </c>
      <c r="N435" s="711">
        <v>10097785.800000001</v>
      </c>
      <c r="O435">
        <v>0</v>
      </c>
      <c r="P435" s="750">
        <v>10097785.800000001</v>
      </c>
      <c r="Q435" s="724" t="str">
        <f>VLOOKUP($E435,SP_2024_v28062025!$E$2:$M$1751,9,FALSE)</f>
        <v>ABA480</v>
      </c>
    </row>
    <row r="436" spans="1:17">
      <c r="A436">
        <v>1</v>
      </c>
      <c r="B436" t="s">
        <v>11955</v>
      </c>
      <c r="C436" t="s">
        <v>11973</v>
      </c>
      <c r="D436" t="s">
        <v>11985</v>
      </c>
      <c r="E436" t="s">
        <v>1738</v>
      </c>
      <c r="F436" t="s">
        <v>1739</v>
      </c>
      <c r="G436" s="714">
        <v>885928</v>
      </c>
      <c r="H436">
        <v>0</v>
      </c>
      <c r="I436" s="715">
        <v>885928</v>
      </c>
      <c r="J436">
        <v>0</v>
      </c>
      <c r="K436">
        <v>0</v>
      </c>
      <c r="L436">
        <v>0</v>
      </c>
      <c r="M436">
        <v>0</v>
      </c>
      <c r="N436" s="711">
        <v>885928</v>
      </c>
      <c r="O436">
        <v>0</v>
      </c>
      <c r="P436" s="750">
        <v>885928</v>
      </c>
      <c r="Q436" s="724" t="str">
        <f>VLOOKUP($E436,SP_2024_v28062025!$E$2:$M$1751,9,FALSE)</f>
        <v>ABA480</v>
      </c>
    </row>
    <row r="437" spans="1:17">
      <c r="A437">
        <v>1</v>
      </c>
      <c r="B437" t="s">
        <v>11955</v>
      </c>
      <c r="C437" t="s">
        <v>11973</v>
      </c>
      <c r="D437" t="s">
        <v>11985</v>
      </c>
      <c r="E437" t="s">
        <v>1740</v>
      </c>
      <c r="F437" t="s">
        <v>1741</v>
      </c>
      <c r="G437" s="712">
        <v>0</v>
      </c>
      <c r="H437">
        <v>0</v>
      </c>
      <c r="I437" s="713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 s="724" t="str">
        <f>VLOOKUP($E437,SP_2024_v28062025!$E$2:$M$1751,9,FALSE)</f>
        <v>ABA480</v>
      </c>
    </row>
    <row r="438" spans="1:17">
      <c r="A438">
        <v>1</v>
      </c>
      <c r="B438" t="s">
        <v>11955</v>
      </c>
      <c r="C438" t="s">
        <v>11973</v>
      </c>
      <c r="D438" t="s">
        <v>11985</v>
      </c>
      <c r="E438" t="s">
        <v>1742</v>
      </c>
      <c r="F438" t="s">
        <v>1743</v>
      </c>
      <c r="G438" s="714">
        <v>938769.6</v>
      </c>
      <c r="H438">
        <v>0</v>
      </c>
      <c r="I438" s="715">
        <v>938769.6</v>
      </c>
      <c r="J438">
        <v>0</v>
      </c>
      <c r="K438">
        <v>0</v>
      </c>
      <c r="L438">
        <v>0</v>
      </c>
      <c r="M438">
        <v>0</v>
      </c>
      <c r="N438" s="711">
        <v>938769.6</v>
      </c>
      <c r="O438">
        <v>0</v>
      </c>
      <c r="P438" s="750">
        <v>938769.6</v>
      </c>
      <c r="Q438" s="724" t="str">
        <f>VLOOKUP($E438,SP_2024_v28062025!$E$2:$M$1751,9,FALSE)</f>
        <v>ABA480</v>
      </c>
    </row>
    <row r="439" spans="1:17" ht="15.75" thickBot="1">
      <c r="A439">
        <v>1</v>
      </c>
      <c r="B439" t="s">
        <v>11955</v>
      </c>
      <c r="C439" t="s">
        <v>11973</v>
      </c>
      <c r="D439" t="s">
        <v>11985</v>
      </c>
      <c r="E439" t="s">
        <v>1744</v>
      </c>
      <c r="F439" t="s">
        <v>1745</v>
      </c>
      <c r="G439" s="712">
        <v>0</v>
      </c>
      <c r="H439">
        <v>0</v>
      </c>
      <c r="I439" s="713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 s="724" t="str">
        <f>VLOOKUP($E439,SP_2024_v28062025!$E$2:$M$1751,9,FALSE)</f>
        <v>ABA480</v>
      </c>
    </row>
    <row r="440" spans="1:17" ht="15.75" thickBot="1">
      <c r="A440" s="727">
        <v>1</v>
      </c>
      <c r="B440" s="727" t="s">
        <v>11955</v>
      </c>
      <c r="C440" s="727" t="s">
        <v>11973</v>
      </c>
      <c r="D440" s="727" t="s">
        <v>11986</v>
      </c>
      <c r="E440" s="727"/>
      <c r="F440" s="729" t="s">
        <v>1775</v>
      </c>
      <c r="G440" s="738">
        <v>0</v>
      </c>
      <c r="H440" s="738">
        <v>0</v>
      </c>
      <c r="I440" s="738">
        <v>0</v>
      </c>
      <c r="J440" s="739">
        <v>2102</v>
      </c>
      <c r="K440" s="738">
        <v>0</v>
      </c>
      <c r="L440" s="738">
        <v>0</v>
      </c>
      <c r="M440" s="738">
        <v>0</v>
      </c>
      <c r="N440" s="739">
        <v>2102</v>
      </c>
      <c r="O440" s="738">
        <v>0</v>
      </c>
      <c r="P440" s="739">
        <v>2102</v>
      </c>
    </row>
    <row r="441" spans="1:17">
      <c r="A441">
        <v>1</v>
      </c>
      <c r="B441" t="s">
        <v>11955</v>
      </c>
      <c r="C441" t="s">
        <v>11973</v>
      </c>
      <c r="D441" t="s">
        <v>11986</v>
      </c>
      <c r="E441" t="s">
        <v>1777</v>
      </c>
      <c r="F441" t="s">
        <v>1775</v>
      </c>
      <c r="G441" s="712">
        <v>0</v>
      </c>
      <c r="H441">
        <v>0</v>
      </c>
      <c r="I441" s="713">
        <v>0</v>
      </c>
      <c r="J441" s="711">
        <v>2102</v>
      </c>
      <c r="K441">
        <v>0</v>
      </c>
      <c r="L441">
        <v>0</v>
      </c>
      <c r="M441">
        <v>0</v>
      </c>
      <c r="N441" s="711">
        <v>2102</v>
      </c>
      <c r="O441">
        <v>0</v>
      </c>
      <c r="P441" s="711">
        <v>2102</v>
      </c>
      <c r="Q441" s="724" t="str">
        <f>VLOOKUP($E441,SP_2024_v28062025!$E$2:$M$1751,9,FALSE)</f>
        <v>ABA530</v>
      </c>
    </row>
    <row r="442" spans="1:17">
      <c r="A442">
        <v>1</v>
      </c>
      <c r="B442" t="s">
        <v>11955</v>
      </c>
      <c r="C442" t="s">
        <v>11973</v>
      </c>
      <c r="D442" t="s">
        <v>11986</v>
      </c>
      <c r="E442" t="s">
        <v>1779</v>
      </c>
      <c r="F442" t="s">
        <v>1780</v>
      </c>
      <c r="G442" s="712">
        <v>0</v>
      </c>
      <c r="H442">
        <v>0</v>
      </c>
      <c r="I442" s="713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 s="724" t="str">
        <f>VLOOKUP($E442,SP_2024_v28062025!$E$2:$M$1751,9,FALSE)</f>
        <v>ABA530</v>
      </c>
    </row>
    <row r="443" spans="1:17" ht="15.75" thickBot="1">
      <c r="A443">
        <v>1</v>
      </c>
      <c r="B443" t="s">
        <v>11955</v>
      </c>
      <c r="C443" t="s">
        <v>11973</v>
      </c>
      <c r="D443" t="s">
        <v>11986</v>
      </c>
      <c r="E443" t="s">
        <v>1781</v>
      </c>
      <c r="F443" t="s">
        <v>1782</v>
      </c>
      <c r="G443" s="712">
        <v>0</v>
      </c>
      <c r="H443">
        <v>0</v>
      </c>
      <c r="I443" s="71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 s="724" t="str">
        <f>VLOOKUP($E443,SP_2024_v28062025!$E$2:$M$1751,9,FALSE)</f>
        <v>ABA530</v>
      </c>
    </row>
    <row r="444" spans="1:17" ht="15.75" thickBot="1">
      <c r="A444" s="727">
        <v>1</v>
      </c>
      <c r="B444" s="727" t="s">
        <v>11955</v>
      </c>
      <c r="C444" s="727" t="s">
        <v>11973</v>
      </c>
      <c r="D444" s="727" t="s">
        <v>11987</v>
      </c>
      <c r="E444" s="727"/>
      <c r="F444" s="729" t="s">
        <v>1783</v>
      </c>
      <c r="G444" s="739">
        <v>2983057.27</v>
      </c>
      <c r="H444" s="739">
        <v>48974.66</v>
      </c>
      <c r="I444" s="739">
        <v>2934082.61</v>
      </c>
      <c r="J444" s="739">
        <v>1972785.12</v>
      </c>
      <c r="K444" s="739">
        <v>1806475.33</v>
      </c>
      <c r="L444" s="738">
        <v>0</v>
      </c>
      <c r="M444" s="738">
        <v>0</v>
      </c>
      <c r="N444" s="739">
        <v>4955842.3899999997</v>
      </c>
      <c r="O444" s="739">
        <v>1855449.99</v>
      </c>
      <c r="P444" s="739">
        <v>3100392.4</v>
      </c>
    </row>
    <row r="445" spans="1:17">
      <c r="A445">
        <v>1</v>
      </c>
      <c r="B445" t="s">
        <v>11955</v>
      </c>
      <c r="C445" t="s">
        <v>11973</v>
      </c>
      <c r="D445" t="s">
        <v>11987</v>
      </c>
      <c r="E445" t="s">
        <v>1787</v>
      </c>
      <c r="F445" t="s">
        <v>1788</v>
      </c>
      <c r="G445" s="714">
        <v>32357.84</v>
      </c>
      <c r="H445" s="711">
        <v>32357.84</v>
      </c>
      <c r="I445" s="713">
        <v>0</v>
      </c>
      <c r="J445">
        <v>0</v>
      </c>
      <c r="K445">
        <v>0</v>
      </c>
      <c r="L445">
        <v>0</v>
      </c>
      <c r="M445">
        <v>0</v>
      </c>
      <c r="N445" s="711">
        <v>32357.84</v>
      </c>
      <c r="O445" s="711">
        <v>32357.84</v>
      </c>
      <c r="P445">
        <v>0</v>
      </c>
      <c r="Q445" s="724" t="str">
        <f>VLOOKUP($E445,SP_2024_v28062025!$E$2:$M$1751,9,FALSE)</f>
        <v>ABA560</v>
      </c>
    </row>
    <row r="446" spans="1:17">
      <c r="A446">
        <v>1</v>
      </c>
      <c r="B446" t="s">
        <v>11955</v>
      </c>
      <c r="C446" t="s">
        <v>11973</v>
      </c>
      <c r="D446" t="s">
        <v>11987</v>
      </c>
      <c r="E446" t="s">
        <v>1790</v>
      </c>
      <c r="F446" t="s">
        <v>1791</v>
      </c>
      <c r="G446" s="712">
        <v>0</v>
      </c>
      <c r="H446">
        <v>0</v>
      </c>
      <c r="I446" s="713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 s="724" t="str">
        <f>VLOOKUP($E446,SP_2024_v28062025!$E$2:$M$1751,9,FALSE)</f>
        <v>ABA570</v>
      </c>
    </row>
    <row r="447" spans="1:17">
      <c r="A447">
        <v>1</v>
      </c>
      <c r="B447" t="s">
        <v>11955</v>
      </c>
      <c r="C447" t="s">
        <v>11973</v>
      </c>
      <c r="D447" t="s">
        <v>11987</v>
      </c>
      <c r="E447" t="s">
        <v>1794</v>
      </c>
      <c r="F447" t="s">
        <v>1795</v>
      </c>
      <c r="G447" s="712">
        <v>0</v>
      </c>
      <c r="H447">
        <v>0</v>
      </c>
      <c r="I447" s="713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 s="724" t="str">
        <f>VLOOKUP($E447,SP_2024_v28062025!$E$2:$M$1751,9,FALSE)</f>
        <v>ABA570</v>
      </c>
    </row>
    <row r="448" spans="1:17">
      <c r="A448">
        <v>1</v>
      </c>
      <c r="B448" t="s">
        <v>11955</v>
      </c>
      <c r="C448" t="s">
        <v>11973</v>
      </c>
      <c r="D448" t="s">
        <v>11987</v>
      </c>
      <c r="E448" t="s">
        <v>1797</v>
      </c>
      <c r="F448" t="s">
        <v>1798</v>
      </c>
      <c r="G448" s="712">
        <v>0</v>
      </c>
      <c r="H448">
        <v>0</v>
      </c>
      <c r="I448" s="713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 s="724" t="str">
        <f>VLOOKUP($E448,SP_2024_v28062025!$E$2:$M$1751,9,FALSE)</f>
        <v>ABA570</v>
      </c>
    </row>
    <row r="449" spans="1:17">
      <c r="A449">
        <v>1</v>
      </c>
      <c r="B449" t="s">
        <v>11955</v>
      </c>
      <c r="C449" t="s">
        <v>11973</v>
      </c>
      <c r="D449" t="s">
        <v>11987</v>
      </c>
      <c r="E449" t="s">
        <v>1800</v>
      </c>
      <c r="F449" t="s">
        <v>1801</v>
      </c>
      <c r="G449" s="712">
        <v>0</v>
      </c>
      <c r="H449">
        <v>0</v>
      </c>
      <c r="I449" s="713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 s="724" t="str">
        <f>VLOOKUP($E449,SP_2024_v28062025!$E$2:$M$1751,9,FALSE)</f>
        <v>ABA570</v>
      </c>
    </row>
    <row r="450" spans="1:17">
      <c r="A450">
        <v>1</v>
      </c>
      <c r="B450" t="s">
        <v>11955</v>
      </c>
      <c r="C450" t="s">
        <v>11973</v>
      </c>
      <c r="D450" t="s">
        <v>11987</v>
      </c>
      <c r="E450" t="s">
        <v>1803</v>
      </c>
      <c r="F450" t="s">
        <v>1804</v>
      </c>
      <c r="G450" s="712">
        <v>0</v>
      </c>
      <c r="H450">
        <v>0</v>
      </c>
      <c r="I450" s="713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 s="724" t="str">
        <f>VLOOKUP($E450,SP_2024_v28062025!$E$2:$M$1751,9,FALSE)</f>
        <v>ABA570</v>
      </c>
    </row>
    <row r="451" spans="1:17">
      <c r="A451">
        <v>1</v>
      </c>
      <c r="B451" t="s">
        <v>11955</v>
      </c>
      <c r="C451" t="s">
        <v>11973</v>
      </c>
      <c r="D451" t="s">
        <v>11987</v>
      </c>
      <c r="E451" t="s">
        <v>1806</v>
      </c>
      <c r="F451" t="s">
        <v>1807</v>
      </c>
      <c r="G451" s="712">
        <v>0</v>
      </c>
      <c r="H451">
        <v>0</v>
      </c>
      <c r="I451" s="713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 s="724" t="str">
        <f>VLOOKUP($E451,SP_2024_v28062025!$E$2:$M$1751,9,FALSE)</f>
        <v>ABA570</v>
      </c>
    </row>
    <row r="452" spans="1:17">
      <c r="A452">
        <v>1</v>
      </c>
      <c r="B452" t="s">
        <v>11955</v>
      </c>
      <c r="C452" t="s">
        <v>11973</v>
      </c>
      <c r="D452" t="s">
        <v>11987</v>
      </c>
      <c r="E452" t="s">
        <v>1809</v>
      </c>
      <c r="F452" t="s">
        <v>1810</v>
      </c>
      <c r="G452" s="712">
        <v>0</v>
      </c>
      <c r="H452">
        <v>0</v>
      </c>
      <c r="I452" s="713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 s="724" t="str">
        <f>VLOOKUP($E452,SP_2024_v28062025!$E$2:$M$1751,9,FALSE)</f>
        <v>ABA570</v>
      </c>
    </row>
    <row r="453" spans="1:17">
      <c r="A453">
        <v>1</v>
      </c>
      <c r="B453" t="s">
        <v>11955</v>
      </c>
      <c r="C453" t="s">
        <v>11973</v>
      </c>
      <c r="D453" t="s">
        <v>11987</v>
      </c>
      <c r="E453" t="s">
        <v>1812</v>
      </c>
      <c r="F453" t="s">
        <v>1813</v>
      </c>
      <c r="G453" s="712">
        <v>0</v>
      </c>
      <c r="H453">
        <v>0</v>
      </c>
      <c r="I453" s="71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 s="724" t="str">
        <f>VLOOKUP($E453,SP_2024_v28062025!$E$2:$M$1751,9,FALSE)</f>
        <v>ABA570</v>
      </c>
    </row>
    <row r="454" spans="1:17">
      <c r="A454">
        <v>1</v>
      </c>
      <c r="B454" t="s">
        <v>11955</v>
      </c>
      <c r="C454" t="s">
        <v>11973</v>
      </c>
      <c r="D454" t="s">
        <v>11987</v>
      </c>
      <c r="E454" t="s">
        <v>1815</v>
      </c>
      <c r="F454" t="s">
        <v>1816</v>
      </c>
      <c r="G454" s="712">
        <v>0</v>
      </c>
      <c r="H454">
        <v>0</v>
      </c>
      <c r="I454" s="713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 s="724" t="str">
        <f>VLOOKUP($E454,SP_2024_v28062025!$E$2:$M$1751,9,FALSE)</f>
        <v>ABA570</v>
      </c>
    </row>
    <row r="455" spans="1:17">
      <c r="A455">
        <v>1</v>
      </c>
      <c r="B455" t="s">
        <v>11955</v>
      </c>
      <c r="C455" t="s">
        <v>11973</v>
      </c>
      <c r="D455" t="s">
        <v>11987</v>
      </c>
      <c r="E455" t="s">
        <v>1818</v>
      </c>
      <c r="F455" t="s">
        <v>1819</v>
      </c>
      <c r="G455" s="712">
        <v>0</v>
      </c>
      <c r="H455">
        <v>0</v>
      </c>
      <c r="I455" s="713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 s="724" t="str">
        <f>VLOOKUP($E455,SP_2024_v28062025!$E$2:$M$1751,9,FALSE)</f>
        <v>ABA570</v>
      </c>
    </row>
    <row r="456" spans="1:17">
      <c r="A456">
        <v>1</v>
      </c>
      <c r="B456" t="s">
        <v>11955</v>
      </c>
      <c r="C456" t="s">
        <v>11973</v>
      </c>
      <c r="D456" t="s">
        <v>11987</v>
      </c>
      <c r="E456" t="s">
        <v>1821</v>
      </c>
      <c r="F456" t="s">
        <v>1822</v>
      </c>
      <c r="G456" s="712">
        <v>0</v>
      </c>
      <c r="H456">
        <v>0</v>
      </c>
      <c r="I456" s="713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 s="724" t="str">
        <f>VLOOKUP($E456,SP_2024_v28062025!$E$2:$M$1751,9,FALSE)</f>
        <v>ABA570</v>
      </c>
    </row>
    <row r="457" spans="1:17">
      <c r="A457">
        <v>1</v>
      </c>
      <c r="B457" t="s">
        <v>11955</v>
      </c>
      <c r="C457" t="s">
        <v>11973</v>
      </c>
      <c r="D457" t="s">
        <v>11987</v>
      </c>
      <c r="E457" t="s">
        <v>1824</v>
      </c>
      <c r="F457" t="s">
        <v>1825</v>
      </c>
      <c r="G457" s="712">
        <v>0</v>
      </c>
      <c r="H457">
        <v>0</v>
      </c>
      <c r="I457" s="713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 s="724" t="str">
        <f>VLOOKUP($E457,SP_2024_v28062025!$E$2:$M$1751,9,FALSE)</f>
        <v>ABA570</v>
      </c>
    </row>
    <row r="458" spans="1:17">
      <c r="A458">
        <v>1</v>
      </c>
      <c r="B458" t="s">
        <v>11955</v>
      </c>
      <c r="C458" t="s">
        <v>11973</v>
      </c>
      <c r="D458" t="s">
        <v>11987</v>
      </c>
      <c r="E458" t="s">
        <v>1827</v>
      </c>
      <c r="F458" t="s">
        <v>1828</v>
      </c>
      <c r="G458" s="712">
        <v>0</v>
      </c>
      <c r="H458">
        <v>0</v>
      </c>
      <c r="I458" s="713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 s="724" t="str">
        <f>VLOOKUP($E458,SP_2024_v28062025!$E$2:$M$1751,9,FALSE)</f>
        <v>ABA570</v>
      </c>
    </row>
    <row r="459" spans="1:17">
      <c r="A459">
        <v>1</v>
      </c>
      <c r="B459" t="s">
        <v>11955</v>
      </c>
      <c r="C459" t="s">
        <v>11973</v>
      </c>
      <c r="D459" t="s">
        <v>11987</v>
      </c>
      <c r="E459" t="s">
        <v>1830</v>
      </c>
      <c r="F459" t="s">
        <v>1831</v>
      </c>
      <c r="G459" s="712">
        <v>0</v>
      </c>
      <c r="H459">
        <v>0</v>
      </c>
      <c r="I459" s="713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 s="724" t="str">
        <f>VLOOKUP($E459,SP_2024_v28062025!$E$2:$M$1751,9,FALSE)</f>
        <v>ABA570</v>
      </c>
    </row>
    <row r="460" spans="1:17">
      <c r="A460">
        <v>1</v>
      </c>
      <c r="B460" t="s">
        <v>11955</v>
      </c>
      <c r="C460" t="s">
        <v>11973</v>
      </c>
      <c r="D460" t="s">
        <v>11987</v>
      </c>
      <c r="E460" t="s">
        <v>1833</v>
      </c>
      <c r="F460" t="s">
        <v>1834</v>
      </c>
      <c r="G460" s="712">
        <v>0</v>
      </c>
      <c r="H460">
        <v>0</v>
      </c>
      <c r="I460" s="713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 s="724" t="str">
        <f>VLOOKUP($E460,SP_2024_v28062025!$E$2:$M$1751,9,FALSE)</f>
        <v>ABA570</v>
      </c>
    </row>
    <row r="461" spans="1:17">
      <c r="A461">
        <v>1</v>
      </c>
      <c r="B461" t="s">
        <v>11955</v>
      </c>
      <c r="C461" t="s">
        <v>11973</v>
      </c>
      <c r="D461" t="s">
        <v>11987</v>
      </c>
      <c r="E461" t="s">
        <v>1836</v>
      </c>
      <c r="F461" t="s">
        <v>1837</v>
      </c>
      <c r="G461" s="712">
        <v>0</v>
      </c>
      <c r="H461">
        <v>0</v>
      </c>
      <c r="I461" s="713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 s="724" t="str">
        <f>VLOOKUP($E461,SP_2024_v28062025!$E$2:$M$1751,9,FALSE)</f>
        <v>ABA570</v>
      </c>
    </row>
    <row r="462" spans="1:17">
      <c r="A462">
        <v>1</v>
      </c>
      <c r="B462" t="s">
        <v>11955</v>
      </c>
      <c r="C462" t="s">
        <v>11973</v>
      </c>
      <c r="D462" t="s">
        <v>11987</v>
      </c>
      <c r="E462" t="s">
        <v>1840</v>
      </c>
      <c r="F462" t="s">
        <v>1841</v>
      </c>
      <c r="G462" s="712">
        <v>0</v>
      </c>
      <c r="H462">
        <v>0</v>
      </c>
      <c r="I462" s="713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 s="724" t="str">
        <f>VLOOKUP($E462,SP_2024_v28062025!$E$2:$M$1751,9,FALSE)</f>
        <v>ABA570</v>
      </c>
    </row>
    <row r="463" spans="1:17">
      <c r="A463">
        <v>1</v>
      </c>
      <c r="B463" t="s">
        <v>11955</v>
      </c>
      <c r="C463" t="s">
        <v>11973</v>
      </c>
      <c r="D463" t="s">
        <v>11987</v>
      </c>
      <c r="E463" t="s">
        <v>1844</v>
      </c>
      <c r="F463" t="s">
        <v>1845</v>
      </c>
      <c r="G463" s="712">
        <v>0</v>
      </c>
      <c r="H463">
        <v>0</v>
      </c>
      <c r="I463" s="71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 s="724" t="str">
        <f>VLOOKUP($E463,SP_2024_v28062025!$E$2:$M$1751,9,FALSE)</f>
        <v>ABA570</v>
      </c>
    </row>
    <row r="464" spans="1:17">
      <c r="A464">
        <v>1</v>
      </c>
      <c r="B464" t="s">
        <v>11955</v>
      </c>
      <c r="C464" t="s">
        <v>11973</v>
      </c>
      <c r="D464" t="s">
        <v>11987</v>
      </c>
      <c r="E464" t="s">
        <v>1848</v>
      </c>
      <c r="F464" t="s">
        <v>1849</v>
      </c>
      <c r="G464" s="714">
        <v>694312.15</v>
      </c>
      <c r="H464">
        <v>0</v>
      </c>
      <c r="I464" s="715">
        <v>694312.15</v>
      </c>
      <c r="J464" s="711">
        <v>170298.47</v>
      </c>
      <c r="K464" s="711">
        <v>379183.16</v>
      </c>
      <c r="L464">
        <v>0</v>
      </c>
      <c r="M464">
        <v>0</v>
      </c>
      <c r="N464" s="711">
        <v>864610.62</v>
      </c>
      <c r="O464" s="711">
        <v>379183.16</v>
      </c>
      <c r="P464" s="750">
        <v>485427.46</v>
      </c>
      <c r="Q464" s="724" t="str">
        <f>VLOOKUP($E464,SP_2024_v28062025!$E$2:$M$1751,9,FALSE)</f>
        <v>ABA580</v>
      </c>
    </row>
    <row r="465" spans="1:20">
      <c r="A465">
        <v>1</v>
      </c>
      <c r="B465" t="s">
        <v>11955</v>
      </c>
      <c r="C465" t="s">
        <v>11973</v>
      </c>
      <c r="D465" t="s">
        <v>11987</v>
      </c>
      <c r="E465" t="s">
        <v>1853</v>
      </c>
      <c r="F465" t="s">
        <v>1854</v>
      </c>
      <c r="G465" s="714">
        <v>88238.5</v>
      </c>
      <c r="H465">
        <v>0</v>
      </c>
      <c r="I465" s="715">
        <v>88238.5</v>
      </c>
      <c r="J465" s="711">
        <v>38012.879999999997</v>
      </c>
      <c r="K465" s="711">
        <v>95453.03</v>
      </c>
      <c r="L465">
        <v>0</v>
      </c>
      <c r="M465">
        <v>0</v>
      </c>
      <c r="N465" s="711">
        <v>126251.38</v>
      </c>
      <c r="O465" s="711">
        <v>95453.03</v>
      </c>
      <c r="P465" s="750">
        <v>30798.35</v>
      </c>
      <c r="Q465" s="724" t="str">
        <f>VLOOKUP($E465,SP_2024_v28062025!$E$2:$M$1751,9,FALSE)</f>
        <v>ABA580</v>
      </c>
    </row>
    <row r="466" spans="1:20">
      <c r="A466">
        <v>1</v>
      </c>
      <c r="B466" t="s">
        <v>11955</v>
      </c>
      <c r="C466" t="s">
        <v>11973</v>
      </c>
      <c r="D466" t="s">
        <v>11987</v>
      </c>
      <c r="E466" t="s">
        <v>1857</v>
      </c>
      <c r="F466" t="s">
        <v>1858</v>
      </c>
      <c r="G466" s="714">
        <v>57082.9</v>
      </c>
      <c r="H466">
        <v>0</v>
      </c>
      <c r="I466" s="715">
        <v>57082.9</v>
      </c>
      <c r="J466">
        <v>0</v>
      </c>
      <c r="K466">
        <v>0</v>
      </c>
      <c r="L466">
        <v>0</v>
      </c>
      <c r="M466">
        <v>0</v>
      </c>
      <c r="N466" s="711">
        <v>57082.9</v>
      </c>
      <c r="O466">
        <v>0</v>
      </c>
      <c r="P466" s="750">
        <v>57082.9</v>
      </c>
      <c r="Q466" s="724" t="str">
        <f>VLOOKUP($E466,SP_2024_v28062025!$E$2:$M$1751,9,FALSE)</f>
        <v>ABA580</v>
      </c>
    </row>
    <row r="467" spans="1:20">
      <c r="A467">
        <v>1</v>
      </c>
      <c r="B467" t="s">
        <v>11955</v>
      </c>
      <c r="C467" t="s">
        <v>11973</v>
      </c>
      <c r="D467" t="s">
        <v>11987</v>
      </c>
      <c r="E467" t="s">
        <v>1861</v>
      </c>
      <c r="F467" t="s">
        <v>1862</v>
      </c>
      <c r="G467" s="714">
        <v>12151.5</v>
      </c>
      <c r="H467">
        <v>0</v>
      </c>
      <c r="I467" s="715">
        <v>12151.5</v>
      </c>
      <c r="J467" s="711">
        <v>5089.76</v>
      </c>
      <c r="K467" s="711">
        <v>3826.65</v>
      </c>
      <c r="L467">
        <v>0</v>
      </c>
      <c r="M467">
        <v>0</v>
      </c>
      <c r="N467" s="711">
        <v>17241.259999999998</v>
      </c>
      <c r="O467" s="711">
        <v>3826.65</v>
      </c>
      <c r="P467" s="750">
        <v>13414.61</v>
      </c>
      <c r="Q467" s="724" t="str">
        <f>VLOOKUP($E467,SP_2024_v28062025!$E$2:$M$1751,9,FALSE)</f>
        <v>ABA580</v>
      </c>
    </row>
    <row r="468" spans="1:20">
      <c r="A468">
        <v>1</v>
      </c>
      <c r="B468" t="s">
        <v>11955</v>
      </c>
      <c r="C468" t="s">
        <v>11973</v>
      </c>
      <c r="D468" t="s">
        <v>11987</v>
      </c>
      <c r="E468" t="s">
        <v>1865</v>
      </c>
      <c r="F468" t="s">
        <v>1866</v>
      </c>
      <c r="G468" s="714">
        <v>44812.98</v>
      </c>
      <c r="H468">
        <v>0</v>
      </c>
      <c r="I468" s="715">
        <v>44812.98</v>
      </c>
      <c r="J468">
        <v>82.64</v>
      </c>
      <c r="K468">
        <v>82.64</v>
      </c>
      <c r="L468">
        <v>0</v>
      </c>
      <c r="M468">
        <v>0</v>
      </c>
      <c r="N468" s="711">
        <v>44895.62</v>
      </c>
      <c r="O468">
        <v>82.64</v>
      </c>
      <c r="P468" s="750">
        <v>44812.98</v>
      </c>
      <c r="Q468" s="724" t="str">
        <f>VLOOKUP($E468,SP_2024_v28062025!$E$2:$M$1751,9,FALSE)</f>
        <v>ABA580</v>
      </c>
    </row>
    <row r="469" spans="1:20">
      <c r="A469">
        <v>1</v>
      </c>
      <c r="B469" t="s">
        <v>11955</v>
      </c>
      <c r="C469" t="s">
        <v>11973</v>
      </c>
      <c r="D469" t="s">
        <v>11987</v>
      </c>
      <c r="E469" t="s">
        <v>1869</v>
      </c>
      <c r="F469" t="s">
        <v>1870</v>
      </c>
      <c r="G469" s="714">
        <v>648964.87</v>
      </c>
      <c r="H469">
        <v>0</v>
      </c>
      <c r="I469" s="715">
        <v>648964.87</v>
      </c>
      <c r="J469" s="711">
        <v>293267.83</v>
      </c>
      <c r="K469" s="711">
        <v>14376.53</v>
      </c>
      <c r="L469">
        <v>0</v>
      </c>
      <c r="M469">
        <v>0</v>
      </c>
      <c r="N469" s="711">
        <v>942232.7</v>
      </c>
      <c r="O469" s="711">
        <v>14376.53</v>
      </c>
      <c r="P469" s="750">
        <v>927856.17</v>
      </c>
      <c r="Q469" s="724" t="str">
        <f>VLOOKUP($E469,SP_2024_v28062025!$E$2:$M$1751,9,FALSE)</f>
        <v>ABA580</v>
      </c>
    </row>
    <row r="470" spans="1:20">
      <c r="A470">
        <v>1</v>
      </c>
      <c r="B470" t="s">
        <v>11955</v>
      </c>
      <c r="C470" t="s">
        <v>11973</v>
      </c>
      <c r="D470" t="s">
        <v>11987</v>
      </c>
      <c r="E470" t="s">
        <v>1873</v>
      </c>
      <c r="F470" t="s">
        <v>1874</v>
      </c>
      <c r="G470" s="714">
        <v>12153.99</v>
      </c>
      <c r="H470">
        <v>0</v>
      </c>
      <c r="I470" s="715">
        <v>12153.99</v>
      </c>
      <c r="J470" s="711">
        <v>13957.37</v>
      </c>
      <c r="K470" s="711">
        <v>12203.99</v>
      </c>
      <c r="L470">
        <v>0</v>
      </c>
      <c r="M470">
        <v>0</v>
      </c>
      <c r="N470" s="711">
        <v>26111.360000000001</v>
      </c>
      <c r="O470" s="711">
        <v>12203.99</v>
      </c>
      <c r="P470" s="750">
        <v>13907.37</v>
      </c>
      <c r="Q470" s="724" t="str">
        <f>VLOOKUP($E470,SP_2024_v28062025!$E$2:$M$1751,9,FALSE)</f>
        <v>ABA580</v>
      </c>
      <c r="R470" s="711">
        <f>P470-I470</f>
        <v>1753.380000000001</v>
      </c>
    </row>
    <row r="471" spans="1:20">
      <c r="A471">
        <v>1</v>
      </c>
      <c r="B471" t="s">
        <v>11955</v>
      </c>
      <c r="C471" t="s">
        <v>11973</v>
      </c>
      <c r="D471" t="s">
        <v>11987</v>
      </c>
      <c r="E471" t="s">
        <v>1877</v>
      </c>
      <c r="F471" t="s">
        <v>1878</v>
      </c>
      <c r="G471" s="712">
        <v>0</v>
      </c>
      <c r="H471">
        <v>0</v>
      </c>
      <c r="I471" s="713">
        <v>0</v>
      </c>
      <c r="J471" s="711">
        <v>11294.77</v>
      </c>
      <c r="K471">
        <v>639.38</v>
      </c>
      <c r="L471">
        <v>0</v>
      </c>
      <c r="M471">
        <v>0</v>
      </c>
      <c r="N471" s="711">
        <v>11294.77</v>
      </c>
      <c r="O471">
        <v>639.38</v>
      </c>
      <c r="P471" s="750">
        <v>10655.39</v>
      </c>
      <c r="Q471" s="724" t="str">
        <f>VLOOKUP($E471,SP_2024_v28062025!$E$2:$M$1751,9,FALSE)</f>
        <v>ABA580</v>
      </c>
    </row>
    <row r="472" spans="1:20">
      <c r="A472">
        <v>1</v>
      </c>
      <c r="B472" t="s">
        <v>11955</v>
      </c>
      <c r="C472" t="s">
        <v>11973</v>
      </c>
      <c r="D472" t="s">
        <v>11987</v>
      </c>
      <c r="E472" t="s">
        <v>1880</v>
      </c>
      <c r="F472" t="s">
        <v>1881</v>
      </c>
      <c r="G472" s="714">
        <v>74776.73</v>
      </c>
      <c r="H472">
        <v>0</v>
      </c>
      <c r="I472" s="715">
        <v>74776.73</v>
      </c>
      <c r="J472" s="711">
        <v>142750.67000000001</v>
      </c>
      <c r="K472" s="711">
        <v>1070.78</v>
      </c>
      <c r="L472">
        <v>0</v>
      </c>
      <c r="M472">
        <v>0</v>
      </c>
      <c r="N472" s="711">
        <v>217527.4</v>
      </c>
      <c r="O472" s="711">
        <v>1070.78</v>
      </c>
      <c r="P472" s="750">
        <v>216456.62</v>
      </c>
      <c r="Q472" s="724" t="str">
        <f>VLOOKUP($E472,SP_2024_v28062025!$E$2:$M$1751,9,FALSE)</f>
        <v>ABA580</v>
      </c>
    </row>
    <row r="473" spans="1:20">
      <c r="A473">
        <v>1</v>
      </c>
      <c r="B473" t="s">
        <v>11955</v>
      </c>
      <c r="C473" t="s">
        <v>11973</v>
      </c>
      <c r="D473" t="s">
        <v>11987</v>
      </c>
      <c r="E473" t="s">
        <v>1883</v>
      </c>
      <c r="F473" t="s">
        <v>1884</v>
      </c>
      <c r="G473" s="712">
        <v>0</v>
      </c>
      <c r="H473">
        <v>0</v>
      </c>
      <c r="I473" s="71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 s="724" t="str">
        <f>VLOOKUP($E473,SP_2024_v28062025!$E$2:$M$1751,9,FALSE)</f>
        <v>ABA580</v>
      </c>
    </row>
    <row r="474" spans="1:20">
      <c r="A474">
        <v>1</v>
      </c>
      <c r="B474" t="s">
        <v>11955</v>
      </c>
      <c r="C474" t="s">
        <v>11973</v>
      </c>
      <c r="D474" t="s">
        <v>11987</v>
      </c>
      <c r="E474" t="s">
        <v>1886</v>
      </c>
      <c r="F474" t="s">
        <v>1887</v>
      </c>
      <c r="G474" s="714">
        <v>12412.28</v>
      </c>
      <c r="H474">
        <v>0</v>
      </c>
      <c r="I474" s="715">
        <v>12412.28</v>
      </c>
      <c r="J474" s="711">
        <v>3828.28</v>
      </c>
      <c r="K474" s="711">
        <v>1914.14</v>
      </c>
      <c r="L474">
        <v>0</v>
      </c>
      <c r="M474">
        <v>0</v>
      </c>
      <c r="N474" s="711">
        <v>16240.56</v>
      </c>
      <c r="O474" s="711">
        <v>1914.14</v>
      </c>
      <c r="P474" s="750">
        <v>14326.42</v>
      </c>
      <c r="Q474" s="724" t="str">
        <f>VLOOKUP($E474,SP_2024_v28062025!$E$2:$M$1751,9,FALSE)</f>
        <v>ABA580</v>
      </c>
      <c r="R474" s="711">
        <f>P474-I474</f>
        <v>1914.1399999999994</v>
      </c>
    </row>
    <row r="475" spans="1:20">
      <c r="A475">
        <v>1</v>
      </c>
      <c r="B475" t="s">
        <v>11955</v>
      </c>
      <c r="C475" t="s">
        <v>11973</v>
      </c>
      <c r="D475" t="s">
        <v>11987</v>
      </c>
      <c r="E475" t="s">
        <v>1889</v>
      </c>
      <c r="F475" t="s">
        <v>1890</v>
      </c>
      <c r="G475" s="714">
        <v>5088.9799999999996</v>
      </c>
      <c r="H475">
        <v>0</v>
      </c>
      <c r="I475" s="715">
        <v>5088.9799999999996</v>
      </c>
      <c r="J475">
        <v>0</v>
      </c>
      <c r="K475">
        <v>0</v>
      </c>
      <c r="L475">
        <v>0</v>
      </c>
      <c r="M475">
        <v>0</v>
      </c>
      <c r="N475" s="711">
        <v>5088.9799999999996</v>
      </c>
      <c r="O475">
        <v>0</v>
      </c>
      <c r="P475" s="750">
        <v>5088.9799999999996</v>
      </c>
      <c r="Q475" s="724" t="str">
        <f>VLOOKUP($E475,SP_2024_v28062025!$E$2:$M$1751,9,FALSE)</f>
        <v>ABA580</v>
      </c>
    </row>
    <row r="476" spans="1:20">
      <c r="A476">
        <v>1</v>
      </c>
      <c r="B476" t="s">
        <v>11955</v>
      </c>
      <c r="C476" t="s">
        <v>11973</v>
      </c>
      <c r="D476" t="s">
        <v>11987</v>
      </c>
      <c r="E476" t="s">
        <v>1894</v>
      </c>
      <c r="F476" t="s">
        <v>1895</v>
      </c>
      <c r="G476" s="714">
        <v>24116.13</v>
      </c>
      <c r="H476">
        <v>0</v>
      </c>
      <c r="I476" s="715">
        <v>24116.13</v>
      </c>
      <c r="J476" s="711">
        <v>5195.3100000000004</v>
      </c>
      <c r="K476">
        <v>0</v>
      </c>
      <c r="L476">
        <v>0</v>
      </c>
      <c r="M476">
        <v>0</v>
      </c>
      <c r="N476" s="711">
        <v>29311.439999999999</v>
      </c>
      <c r="O476">
        <v>0</v>
      </c>
      <c r="P476" s="750">
        <v>29311.439999999999</v>
      </c>
      <c r="Q476" s="724" t="str">
        <f>VLOOKUP($E476,SP_2024_v28062025!$E$2:$M$1751,9,FALSE)</f>
        <v>ABA580</v>
      </c>
      <c r="R476" s="711">
        <f>P476-I476</f>
        <v>5195.3099999999977</v>
      </c>
      <c r="S476">
        <v>5195.3100000000004</v>
      </c>
    </row>
    <row r="477" spans="1:20">
      <c r="A477">
        <v>1</v>
      </c>
      <c r="B477" t="s">
        <v>11955</v>
      </c>
      <c r="C477" t="s">
        <v>11973</v>
      </c>
      <c r="D477" t="s">
        <v>11987</v>
      </c>
      <c r="E477" t="s">
        <v>1898</v>
      </c>
      <c r="F477" t="s">
        <v>1899</v>
      </c>
      <c r="G477" s="714">
        <v>63876.79</v>
      </c>
      <c r="H477">
        <v>0</v>
      </c>
      <c r="I477" s="715">
        <v>63876.79</v>
      </c>
      <c r="J477" s="711">
        <v>181280.76</v>
      </c>
      <c r="K477" s="711">
        <v>181280.76</v>
      </c>
      <c r="L477">
        <v>0</v>
      </c>
      <c r="M477">
        <v>0</v>
      </c>
      <c r="N477" s="711">
        <v>245157.55</v>
      </c>
      <c r="O477" s="711">
        <v>181280.76</v>
      </c>
      <c r="P477" s="750">
        <v>63876.79</v>
      </c>
      <c r="Q477" s="724" t="str">
        <f>VLOOKUP($E477,SP_2024_v28062025!$E$2:$M$1751,9,FALSE)</f>
        <v>ABA580</v>
      </c>
      <c r="R477" s="711">
        <f t="shared" ref="R477:R482" si="0">P477-I477</f>
        <v>0</v>
      </c>
    </row>
    <row r="478" spans="1:20">
      <c r="A478">
        <v>1</v>
      </c>
      <c r="B478" t="s">
        <v>11955</v>
      </c>
      <c r="C478" t="s">
        <v>11973</v>
      </c>
      <c r="D478" t="s">
        <v>11987</v>
      </c>
      <c r="E478" t="s">
        <v>1902</v>
      </c>
      <c r="F478" t="s">
        <v>1903</v>
      </c>
      <c r="G478" s="714">
        <v>463819.36</v>
      </c>
      <c r="H478" s="711">
        <v>16570.150000000001</v>
      </c>
      <c r="I478" s="715">
        <v>447249.21</v>
      </c>
      <c r="J478" s="711">
        <v>547701.26</v>
      </c>
      <c r="K478" s="711">
        <v>574071.66</v>
      </c>
      <c r="L478">
        <v>0</v>
      </c>
      <c r="M478">
        <v>0</v>
      </c>
      <c r="N478" s="711">
        <v>1011520.62</v>
      </c>
      <c r="O478" s="711">
        <v>590641.81000000006</v>
      </c>
      <c r="P478" s="750">
        <v>420878.81</v>
      </c>
      <c r="Q478" s="724" t="str">
        <f>VLOOKUP($E478,SP_2024_v28062025!$E$2:$M$1751,9,FALSE)</f>
        <v>ABA580</v>
      </c>
      <c r="R478" s="711">
        <f t="shared" si="0"/>
        <v>-26370.400000000023</v>
      </c>
    </row>
    <row r="479" spans="1:20">
      <c r="A479">
        <v>1</v>
      </c>
      <c r="B479" t="s">
        <v>11955</v>
      </c>
      <c r="C479" t="s">
        <v>11973</v>
      </c>
      <c r="D479" t="s">
        <v>11987</v>
      </c>
      <c r="E479" t="s">
        <v>1906</v>
      </c>
      <c r="F479" t="s">
        <v>1907</v>
      </c>
      <c r="G479" s="714">
        <v>748892.27</v>
      </c>
      <c r="H479">
        <v>0</v>
      </c>
      <c r="I479" s="715">
        <v>748892.27</v>
      </c>
      <c r="J479" s="711">
        <v>560025.12</v>
      </c>
      <c r="K479" s="711">
        <v>542372.61</v>
      </c>
      <c r="L479">
        <v>0</v>
      </c>
      <c r="M479">
        <v>0</v>
      </c>
      <c r="N479" s="711">
        <v>1308917.3899999999</v>
      </c>
      <c r="O479" s="711">
        <v>542372.61</v>
      </c>
      <c r="P479" s="751">
        <v>766544.78</v>
      </c>
      <c r="Q479" s="724" t="str">
        <f>VLOOKUP($E479,SP_2024_v28062025!$E$2:$M$1751,9,FALSE)</f>
        <v>ABA580</v>
      </c>
      <c r="R479" s="711">
        <f t="shared" si="0"/>
        <v>17652.510000000009</v>
      </c>
      <c r="S479">
        <v>17652.510000000009</v>
      </c>
      <c r="T479" s="711"/>
    </row>
    <row r="480" spans="1:20">
      <c r="A480">
        <v>1</v>
      </c>
      <c r="B480" t="s">
        <v>11955</v>
      </c>
      <c r="C480" t="s">
        <v>11973</v>
      </c>
      <c r="D480" t="s">
        <v>11987</v>
      </c>
      <c r="E480" t="s">
        <v>1910</v>
      </c>
      <c r="F480" t="s">
        <v>1911</v>
      </c>
      <c r="G480" s="712">
        <v>0</v>
      </c>
      <c r="H480">
        <v>0</v>
      </c>
      <c r="I480" s="713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 s="724" t="str">
        <f>VLOOKUP($E480,SP_2024_v28062025!$E$2:$M$1751,9,FALSE)</f>
        <v>ABA580</v>
      </c>
      <c r="R480" s="711">
        <f t="shared" si="0"/>
        <v>0</v>
      </c>
    </row>
    <row r="481" spans="1:18">
      <c r="A481">
        <v>1</v>
      </c>
      <c r="B481" t="s">
        <v>11955</v>
      </c>
      <c r="C481" t="s">
        <v>11973</v>
      </c>
      <c r="D481" t="s">
        <v>11987</v>
      </c>
      <c r="E481" t="s">
        <v>1914</v>
      </c>
      <c r="F481" t="s">
        <v>1915</v>
      </c>
      <c r="G481" s="712">
        <v>0</v>
      </c>
      <c r="H481">
        <v>46.67</v>
      </c>
      <c r="I481" s="713">
        <v>46.67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46.67</v>
      </c>
      <c r="P481">
        <v>-46.67</v>
      </c>
      <c r="Q481" s="724" t="str">
        <f>VLOOKUP($E481,SP_2024_v28062025!$E$2:$M$1751,9,FALSE)</f>
        <v>ABA580</v>
      </c>
      <c r="R481" s="711">
        <f t="shared" si="0"/>
        <v>-93.34</v>
      </c>
    </row>
    <row r="482" spans="1:18" ht="15.75" thickBot="1">
      <c r="A482">
        <v>1</v>
      </c>
      <c r="B482" t="s">
        <v>11955</v>
      </c>
      <c r="C482" t="s">
        <v>11973</v>
      </c>
      <c r="D482" t="s">
        <v>11987</v>
      </c>
      <c r="E482" t="s">
        <v>1918</v>
      </c>
      <c r="F482" t="s">
        <v>1919</v>
      </c>
      <c r="G482" s="712">
        <v>0</v>
      </c>
      <c r="H482">
        <v>0</v>
      </c>
      <c r="I482" s="713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 s="724" t="str">
        <f>VLOOKUP($E482,SP_2024_v28062025!$E$2:$M$1751,9,FALSE)</f>
        <v>ABA580</v>
      </c>
      <c r="R482" s="711">
        <f t="shared" si="0"/>
        <v>0</v>
      </c>
    </row>
    <row r="483" spans="1:18" ht="15.75" thickBot="1">
      <c r="A483" s="727">
        <v>1</v>
      </c>
      <c r="B483" s="727" t="s">
        <v>11955</v>
      </c>
      <c r="C483" s="727" t="s">
        <v>11973</v>
      </c>
      <c r="D483" s="727" t="s">
        <v>11988</v>
      </c>
      <c r="E483" s="727"/>
      <c r="F483" s="729" t="s">
        <v>1921</v>
      </c>
      <c r="G483" s="738">
        <v>0</v>
      </c>
      <c r="H483" s="738">
        <v>0</v>
      </c>
      <c r="I483" s="738">
        <v>0</v>
      </c>
      <c r="J483" s="738">
        <v>0</v>
      </c>
      <c r="K483" s="738">
        <v>0</v>
      </c>
      <c r="L483" s="738">
        <v>0</v>
      </c>
      <c r="M483" s="738">
        <v>0</v>
      </c>
      <c r="N483" s="738">
        <v>0</v>
      </c>
      <c r="O483" s="738">
        <v>0</v>
      </c>
      <c r="P483" s="738">
        <v>0</v>
      </c>
    </row>
    <row r="484" spans="1:18" ht="15.75" thickBot="1">
      <c r="A484">
        <v>1</v>
      </c>
      <c r="B484" t="s">
        <v>11955</v>
      </c>
      <c r="C484" t="s">
        <v>11973</v>
      </c>
      <c r="D484" t="s">
        <v>11988</v>
      </c>
      <c r="E484" t="s">
        <v>1923</v>
      </c>
      <c r="F484" t="s">
        <v>1924</v>
      </c>
      <c r="G484" s="712">
        <v>0</v>
      </c>
      <c r="H484">
        <v>0</v>
      </c>
      <c r="I484" s="713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 s="724" t="str">
        <f>VLOOKUP($E484,SP_2024_v28062025!$E$2:$M$1751,9,FALSE)</f>
        <v>ABA590</v>
      </c>
    </row>
    <row r="485" spans="1:18" ht="15.75" thickBot="1">
      <c r="A485" s="727">
        <v>1</v>
      </c>
      <c r="B485" s="727" t="s">
        <v>11955</v>
      </c>
      <c r="C485" s="727" t="s">
        <v>11973</v>
      </c>
      <c r="D485" s="727" t="s">
        <v>11989</v>
      </c>
      <c r="E485" s="727"/>
      <c r="F485" s="729" t="s">
        <v>1931</v>
      </c>
      <c r="G485" s="739">
        <v>3891979.56</v>
      </c>
      <c r="H485" s="738">
        <v>0</v>
      </c>
      <c r="I485" s="739">
        <v>3891979.56</v>
      </c>
      <c r="J485" s="739">
        <v>4068170.48</v>
      </c>
      <c r="K485" s="739">
        <v>1719770.1</v>
      </c>
      <c r="L485" s="738">
        <v>0</v>
      </c>
      <c r="M485" s="738">
        <v>0</v>
      </c>
      <c r="N485" s="739">
        <v>7960150.04</v>
      </c>
      <c r="O485" s="739">
        <v>1719770.1</v>
      </c>
      <c r="P485" s="739">
        <v>6240379.9400000004</v>
      </c>
    </row>
    <row r="486" spans="1:18">
      <c r="A486">
        <v>1</v>
      </c>
      <c r="B486" t="s">
        <v>11955</v>
      </c>
      <c r="C486" t="s">
        <v>11973</v>
      </c>
      <c r="D486" t="s">
        <v>11989</v>
      </c>
      <c r="E486" t="s">
        <v>1934</v>
      </c>
      <c r="F486" t="s">
        <v>1931</v>
      </c>
      <c r="G486" s="714">
        <v>85514.559999999998</v>
      </c>
      <c r="H486">
        <v>0</v>
      </c>
      <c r="I486" s="715">
        <v>85514.559999999998</v>
      </c>
      <c r="J486" s="711">
        <v>135738.48000000001</v>
      </c>
      <c r="K486" s="711">
        <v>56304.1</v>
      </c>
      <c r="L486">
        <v>0</v>
      </c>
      <c r="M486">
        <v>0</v>
      </c>
      <c r="N486" s="711">
        <v>221253.04</v>
      </c>
      <c r="O486" s="711">
        <v>56304.1</v>
      </c>
      <c r="P486" s="711">
        <v>164948.94</v>
      </c>
      <c r="Q486" s="724" t="str">
        <f>VLOOKUP($E486,SP_2024_v28062025!$E$2:$M$1751,9,FALSE)</f>
        <v>ABA600</v>
      </c>
      <c r="R486" s="711">
        <f>P486-I486</f>
        <v>79434.38</v>
      </c>
    </row>
    <row r="487" spans="1:18" ht="15.75" thickBot="1">
      <c r="A487">
        <v>1</v>
      </c>
      <c r="B487" t="s">
        <v>11955</v>
      </c>
      <c r="C487" t="s">
        <v>11973</v>
      </c>
      <c r="D487" t="s">
        <v>11989</v>
      </c>
      <c r="E487" t="s">
        <v>1935</v>
      </c>
      <c r="F487" t="s">
        <v>1936</v>
      </c>
      <c r="G487" s="714">
        <v>3806465</v>
      </c>
      <c r="H487">
        <v>0</v>
      </c>
      <c r="I487" s="715">
        <v>3806465</v>
      </c>
      <c r="J487" s="711">
        <v>3932432</v>
      </c>
      <c r="K487" s="711">
        <v>1663466</v>
      </c>
      <c r="L487">
        <v>0</v>
      </c>
      <c r="M487">
        <v>0</v>
      </c>
      <c r="N487" s="711">
        <v>7738897</v>
      </c>
      <c r="O487" s="711">
        <v>1663466</v>
      </c>
      <c r="P487" s="711">
        <v>6075431</v>
      </c>
      <c r="Q487" s="724" t="str">
        <f>VLOOKUP($E487,SP_2024_v28062025!$E$2:$M$1751,9,FALSE)</f>
        <v>ABA600</v>
      </c>
      <c r="R487" s="711">
        <f>P487-I487</f>
        <v>2268966</v>
      </c>
    </row>
    <row r="488" spans="1:18" ht="15.75" thickBot="1">
      <c r="A488" s="727">
        <v>1</v>
      </c>
      <c r="B488" s="727" t="s">
        <v>11955</v>
      </c>
      <c r="C488" s="727" t="s">
        <v>11973</v>
      </c>
      <c r="D488" s="727" t="s">
        <v>11990</v>
      </c>
      <c r="E488" s="727"/>
      <c r="F488" s="729" t="s">
        <v>1942</v>
      </c>
      <c r="G488" s="739">
        <v>4408.13</v>
      </c>
      <c r="H488" s="739">
        <v>4408.13</v>
      </c>
      <c r="I488" s="738">
        <v>0</v>
      </c>
      <c r="J488" s="738">
        <v>0</v>
      </c>
      <c r="K488" s="738">
        <v>0</v>
      </c>
      <c r="L488" s="738">
        <v>0</v>
      </c>
      <c r="M488" s="738">
        <v>0</v>
      </c>
      <c r="N488" s="739">
        <v>4408.13</v>
      </c>
      <c r="O488" s="739">
        <v>4408.13</v>
      </c>
      <c r="P488" s="738">
        <v>0</v>
      </c>
    </row>
    <row r="489" spans="1:18">
      <c r="A489">
        <v>1</v>
      </c>
      <c r="B489" t="s">
        <v>11955</v>
      </c>
      <c r="C489" t="s">
        <v>11973</v>
      </c>
      <c r="D489" t="s">
        <v>11990</v>
      </c>
      <c r="E489" t="s">
        <v>1945</v>
      </c>
      <c r="F489" t="s">
        <v>1946</v>
      </c>
      <c r="G489" s="712">
        <v>0</v>
      </c>
      <c r="H489">
        <v>0</v>
      </c>
      <c r="I489" s="713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 s="724" t="str">
        <f>VLOOKUP($E489,SP_2024_v28062025!$E$2:$M$1751,9,FALSE)</f>
        <v>ABA620</v>
      </c>
    </row>
    <row r="490" spans="1:18" ht="15.75" thickBot="1">
      <c r="A490">
        <v>1</v>
      </c>
      <c r="B490" t="s">
        <v>11955</v>
      </c>
      <c r="C490" t="s">
        <v>11973</v>
      </c>
      <c r="D490" t="s">
        <v>11990</v>
      </c>
      <c r="E490" t="s">
        <v>1948</v>
      </c>
      <c r="F490" t="s">
        <v>1942</v>
      </c>
      <c r="G490" s="714">
        <v>4408.13</v>
      </c>
      <c r="H490" s="711">
        <v>4408.13</v>
      </c>
      <c r="I490" s="713">
        <v>0</v>
      </c>
      <c r="J490">
        <v>0</v>
      </c>
      <c r="K490">
        <v>0</v>
      </c>
      <c r="L490">
        <v>0</v>
      </c>
      <c r="M490">
        <v>0</v>
      </c>
      <c r="N490" s="711">
        <v>4408.13</v>
      </c>
      <c r="O490" s="711">
        <v>4408.13</v>
      </c>
      <c r="P490">
        <v>0</v>
      </c>
      <c r="Q490" s="724" t="str">
        <f>VLOOKUP($E490,SP_2024_v28062025!$E$2:$M$1751,9,FALSE)</f>
        <v>ABA620</v>
      </c>
    </row>
    <row r="491" spans="1:18" ht="15.75" thickBot="1">
      <c r="A491" s="727">
        <v>1</v>
      </c>
      <c r="B491" s="727" t="s">
        <v>11955</v>
      </c>
      <c r="C491" s="727" t="s">
        <v>11973</v>
      </c>
      <c r="D491" s="727" t="s">
        <v>11991</v>
      </c>
      <c r="E491" s="727"/>
      <c r="F491" s="729" t="s">
        <v>1949</v>
      </c>
      <c r="G491" s="738">
        <v>0</v>
      </c>
      <c r="H491" s="738">
        <v>0</v>
      </c>
      <c r="I491" s="738">
        <v>0</v>
      </c>
      <c r="J491" s="738">
        <v>0</v>
      </c>
      <c r="K491" s="738">
        <v>0</v>
      </c>
      <c r="L491" s="738">
        <v>0</v>
      </c>
      <c r="M491" s="738">
        <v>0</v>
      </c>
      <c r="N491" s="738">
        <v>0</v>
      </c>
      <c r="O491" s="738">
        <v>0</v>
      </c>
      <c r="P491" s="738">
        <v>0</v>
      </c>
    </row>
    <row r="492" spans="1:18" ht="15.75" thickBot="1">
      <c r="A492">
        <v>1</v>
      </c>
      <c r="B492" t="s">
        <v>11955</v>
      </c>
      <c r="C492" t="s">
        <v>11973</v>
      </c>
      <c r="D492" t="s">
        <v>11991</v>
      </c>
      <c r="E492" t="s">
        <v>1952</v>
      </c>
      <c r="F492" t="s">
        <v>1949</v>
      </c>
      <c r="G492" s="712">
        <v>0</v>
      </c>
      <c r="H492">
        <v>0</v>
      </c>
      <c r="I492" s="713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 s="724" t="str">
        <f>VLOOKUP($E492,SP_2024_v28062025!$E$2:$M$1751,9,FALSE)</f>
        <v>ABA630</v>
      </c>
    </row>
    <row r="493" spans="1:18" ht="15.75" thickBot="1">
      <c r="A493" s="727">
        <v>1</v>
      </c>
      <c r="B493" s="727" t="s">
        <v>11955</v>
      </c>
      <c r="C493" s="727" t="s">
        <v>11973</v>
      </c>
      <c r="D493" s="727" t="s">
        <v>11992</v>
      </c>
      <c r="E493" s="727"/>
      <c r="F493" s="729" t="s">
        <v>1953</v>
      </c>
      <c r="G493" s="738">
        <v>0</v>
      </c>
      <c r="H493" s="738">
        <v>0</v>
      </c>
      <c r="I493" s="738">
        <v>0</v>
      </c>
      <c r="J493" s="738">
        <v>0</v>
      </c>
      <c r="K493" s="738">
        <v>0</v>
      </c>
      <c r="L493" s="738">
        <v>0</v>
      </c>
      <c r="M493" s="738">
        <v>0</v>
      </c>
      <c r="N493" s="738">
        <v>0</v>
      </c>
      <c r="O493" s="738">
        <v>0</v>
      </c>
      <c r="P493" s="738">
        <v>0</v>
      </c>
    </row>
    <row r="494" spans="1:18">
      <c r="A494">
        <v>1</v>
      </c>
      <c r="B494" t="s">
        <v>11955</v>
      </c>
      <c r="C494" t="s">
        <v>11973</v>
      </c>
      <c r="D494" t="s">
        <v>11992</v>
      </c>
      <c r="E494" t="s">
        <v>1956</v>
      </c>
      <c r="F494" t="s">
        <v>1957</v>
      </c>
      <c r="G494" s="712">
        <v>0</v>
      </c>
      <c r="H494">
        <v>0</v>
      </c>
      <c r="I494" s="713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 s="724" t="str">
        <f>VLOOKUP($E494,SP_2024_v28062025!$E$2:$M$1751,9,FALSE)</f>
        <v>ABA640</v>
      </c>
    </row>
    <row r="495" spans="1:18" ht="15.75" thickBot="1">
      <c r="A495">
        <v>1</v>
      </c>
      <c r="B495" t="s">
        <v>11955</v>
      </c>
      <c r="C495" t="s">
        <v>11973</v>
      </c>
      <c r="D495" t="s">
        <v>11992</v>
      </c>
      <c r="E495" t="s">
        <v>1959</v>
      </c>
      <c r="F495" t="s">
        <v>1953</v>
      </c>
      <c r="G495" s="712">
        <v>0</v>
      </c>
      <c r="H495">
        <v>0</v>
      </c>
      <c r="I495" s="713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 s="724" t="str">
        <f>VLOOKUP($E495,SP_2024_v28062025!$E$2:$M$1751,9,FALSE)</f>
        <v>ABA640</v>
      </c>
    </row>
    <row r="496" spans="1:18" ht="15.75" thickBot="1">
      <c r="A496" s="727">
        <v>1</v>
      </c>
      <c r="B496" s="727" t="s">
        <v>11955</v>
      </c>
      <c r="C496" s="727" t="s">
        <v>11973</v>
      </c>
      <c r="D496" s="727" t="s">
        <v>11993</v>
      </c>
      <c r="E496" s="727"/>
      <c r="F496" s="729" t="s">
        <v>1960</v>
      </c>
      <c r="G496" s="739">
        <v>382878.35</v>
      </c>
      <c r="H496" s="739">
        <v>11137.86</v>
      </c>
      <c r="I496" s="739">
        <v>371740.49</v>
      </c>
      <c r="J496" s="739">
        <v>965750.41</v>
      </c>
      <c r="K496" s="739">
        <v>128898.7</v>
      </c>
      <c r="L496" s="738">
        <v>0</v>
      </c>
      <c r="M496" s="738">
        <v>0</v>
      </c>
      <c r="N496" s="739">
        <v>1348628.76</v>
      </c>
      <c r="O496" s="739">
        <v>140036.56</v>
      </c>
      <c r="P496" s="739">
        <v>1208592.2</v>
      </c>
    </row>
    <row r="497" spans="1:17">
      <c r="A497">
        <v>1</v>
      </c>
      <c r="B497" t="s">
        <v>11955</v>
      </c>
      <c r="C497" t="s">
        <v>11973</v>
      </c>
      <c r="D497" t="s">
        <v>11993</v>
      </c>
      <c r="E497" t="s">
        <v>1963</v>
      </c>
      <c r="F497" t="s">
        <v>1964</v>
      </c>
      <c r="G497" s="712">
        <v>0</v>
      </c>
      <c r="H497">
        <v>0</v>
      </c>
      <c r="I497" s="713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 s="724" t="str">
        <f>VLOOKUP($E497,SP_2024_v28062025!$E$2:$M$1751,9,FALSE)</f>
        <v>ABA650</v>
      </c>
    </row>
    <row r="498" spans="1:17">
      <c r="A498">
        <v>1</v>
      </c>
      <c r="B498" t="s">
        <v>11955</v>
      </c>
      <c r="C498" t="s">
        <v>11973</v>
      </c>
      <c r="D498" t="s">
        <v>11993</v>
      </c>
      <c r="E498" t="s">
        <v>1966</v>
      </c>
      <c r="F498" t="s">
        <v>1967</v>
      </c>
      <c r="G498" s="712">
        <v>0</v>
      </c>
      <c r="H498">
        <v>0</v>
      </c>
      <c r="I498" s="713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 s="724" t="str">
        <f>VLOOKUP($E498,SP_2024_v28062025!$E$2:$M$1751,9,FALSE)</f>
        <v>ABA650</v>
      </c>
    </row>
    <row r="499" spans="1:17">
      <c r="A499">
        <v>1</v>
      </c>
      <c r="B499" t="s">
        <v>11955</v>
      </c>
      <c r="C499" t="s">
        <v>11973</v>
      </c>
      <c r="D499" t="s">
        <v>11993</v>
      </c>
      <c r="E499" t="s">
        <v>1969</v>
      </c>
      <c r="F499" t="s">
        <v>1970</v>
      </c>
      <c r="G499" s="712">
        <v>0</v>
      </c>
      <c r="H499">
        <v>0</v>
      </c>
      <c r="I499" s="713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 s="724" t="str">
        <f>VLOOKUP($E499,SP_2024_v28062025!$E$2:$M$1751,9,FALSE)</f>
        <v>ABA650</v>
      </c>
    </row>
    <row r="500" spans="1:17">
      <c r="A500">
        <v>1</v>
      </c>
      <c r="B500" t="s">
        <v>11955</v>
      </c>
      <c r="C500" t="s">
        <v>11973</v>
      </c>
      <c r="D500" t="s">
        <v>11993</v>
      </c>
      <c r="E500" t="s">
        <v>1971</v>
      </c>
      <c r="F500" t="s">
        <v>1972</v>
      </c>
      <c r="G500" s="712">
        <v>0</v>
      </c>
      <c r="H500">
        <v>0</v>
      </c>
      <c r="I500" s="713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 s="724" t="str">
        <f>VLOOKUP($E500,SP_2024_v28062025!$E$2:$M$1751,9,FALSE)</f>
        <v>ABA650</v>
      </c>
    </row>
    <row r="501" spans="1:17">
      <c r="A501">
        <v>1</v>
      </c>
      <c r="B501" t="s">
        <v>11955</v>
      </c>
      <c r="C501" t="s">
        <v>11973</v>
      </c>
      <c r="D501" t="s">
        <v>11993</v>
      </c>
      <c r="E501" t="s">
        <v>1973</v>
      </c>
      <c r="F501" t="s">
        <v>1974</v>
      </c>
      <c r="G501" s="712">
        <v>0</v>
      </c>
      <c r="H501">
        <v>0</v>
      </c>
      <c r="I501" s="713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 s="724" t="str">
        <f>VLOOKUP($E501,SP_2024_v28062025!$E$2:$M$1751,9,FALSE)</f>
        <v>ABA650</v>
      </c>
    </row>
    <row r="502" spans="1:17">
      <c r="A502">
        <v>1</v>
      </c>
      <c r="B502" t="s">
        <v>11955</v>
      </c>
      <c r="C502" t="s">
        <v>11973</v>
      </c>
      <c r="D502" t="s">
        <v>11993</v>
      </c>
      <c r="E502" t="s">
        <v>1976</v>
      </c>
      <c r="F502" t="s">
        <v>1977</v>
      </c>
      <c r="G502" s="714">
        <v>13357.97</v>
      </c>
      <c r="H502">
        <v>0</v>
      </c>
      <c r="I502" s="715">
        <v>13357.97</v>
      </c>
      <c r="J502">
        <v>0</v>
      </c>
      <c r="K502">
        <v>0</v>
      </c>
      <c r="L502">
        <v>0</v>
      </c>
      <c r="M502">
        <v>0</v>
      </c>
      <c r="N502" s="711">
        <v>13357.97</v>
      </c>
      <c r="O502">
        <v>0</v>
      </c>
      <c r="P502" s="750">
        <v>13357.97</v>
      </c>
      <c r="Q502" s="724" t="str">
        <f>VLOOKUP($E502,SP_2024_v28062025!$E$2:$M$1751,9,FALSE)</f>
        <v>ABA650</v>
      </c>
    </row>
    <row r="503" spans="1:17">
      <c r="A503">
        <v>1</v>
      </c>
      <c r="B503" t="s">
        <v>11955</v>
      </c>
      <c r="C503" t="s">
        <v>11973</v>
      </c>
      <c r="D503" t="s">
        <v>11993</v>
      </c>
      <c r="E503" t="s">
        <v>1979</v>
      </c>
      <c r="F503" t="s">
        <v>1980</v>
      </c>
      <c r="G503" s="712">
        <v>0</v>
      </c>
      <c r="H503">
        <v>0</v>
      </c>
      <c r="I503" s="713">
        <v>0</v>
      </c>
      <c r="J503" s="711">
        <v>19461.93</v>
      </c>
      <c r="K503" s="711">
        <v>14201.44</v>
      </c>
      <c r="L503">
        <v>0</v>
      </c>
      <c r="M503">
        <v>0</v>
      </c>
      <c r="N503" s="711">
        <v>19461.93</v>
      </c>
      <c r="O503" s="711">
        <v>14201.44</v>
      </c>
      <c r="P503" s="750">
        <v>5260.49</v>
      </c>
      <c r="Q503" s="724" t="str">
        <f>VLOOKUP($E503,SP_2024_v28062025!$E$2:$M$1751,9,FALSE)</f>
        <v>ABA650</v>
      </c>
    </row>
    <row r="504" spans="1:17">
      <c r="A504">
        <v>1</v>
      </c>
      <c r="B504" t="s">
        <v>11955</v>
      </c>
      <c r="C504" t="s">
        <v>11973</v>
      </c>
      <c r="D504" t="s">
        <v>11993</v>
      </c>
      <c r="E504" t="s">
        <v>1981</v>
      </c>
      <c r="F504" t="s">
        <v>1982</v>
      </c>
      <c r="G504" s="712">
        <v>214.2</v>
      </c>
      <c r="H504">
        <v>0</v>
      </c>
      <c r="I504" s="713">
        <v>214.2</v>
      </c>
      <c r="J504">
        <v>0</v>
      </c>
      <c r="K504">
        <v>0</v>
      </c>
      <c r="L504">
        <v>0</v>
      </c>
      <c r="M504">
        <v>0</v>
      </c>
      <c r="N504">
        <v>214.2</v>
      </c>
      <c r="O504">
        <v>0</v>
      </c>
      <c r="P504" s="723">
        <v>214.2</v>
      </c>
      <c r="Q504" s="724" t="str">
        <f>VLOOKUP($E504,SP_2024_v28062025!$E$2:$M$1751,9,FALSE)</f>
        <v>ABA650</v>
      </c>
    </row>
    <row r="505" spans="1:17">
      <c r="A505">
        <v>1</v>
      </c>
      <c r="B505" t="s">
        <v>11955</v>
      </c>
      <c r="C505" t="s">
        <v>11973</v>
      </c>
      <c r="D505" t="s">
        <v>11993</v>
      </c>
      <c r="E505" t="s">
        <v>1984</v>
      </c>
      <c r="F505" t="s">
        <v>1985</v>
      </c>
      <c r="G505" s="712">
        <v>0</v>
      </c>
      <c r="H505">
        <v>0</v>
      </c>
      <c r="I505" s="713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 s="724" t="str">
        <f>VLOOKUP($E505,SP_2024_v28062025!$E$2:$M$1751,9,FALSE)</f>
        <v>ABA650</v>
      </c>
    </row>
    <row r="506" spans="1:17">
      <c r="A506">
        <v>1</v>
      </c>
      <c r="B506" t="s">
        <v>11955</v>
      </c>
      <c r="C506" t="s">
        <v>11973</v>
      </c>
      <c r="D506" t="s">
        <v>11993</v>
      </c>
      <c r="E506" t="s">
        <v>1986</v>
      </c>
      <c r="F506" t="s">
        <v>1987</v>
      </c>
      <c r="G506" s="712">
        <v>0</v>
      </c>
      <c r="H506">
        <v>0</v>
      </c>
      <c r="I506" s="713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 s="724" t="str">
        <f>VLOOKUP($E506,SP_2024_v28062025!$E$2:$M$1751,9,FALSE)</f>
        <v>ABA650</v>
      </c>
    </row>
    <row r="507" spans="1:17">
      <c r="A507">
        <v>1</v>
      </c>
      <c r="B507" t="s">
        <v>11955</v>
      </c>
      <c r="C507" t="s">
        <v>11973</v>
      </c>
      <c r="D507" t="s">
        <v>11993</v>
      </c>
      <c r="E507" t="s">
        <v>1988</v>
      </c>
      <c r="F507" t="s">
        <v>1989</v>
      </c>
      <c r="G507" s="714">
        <v>321367.59999999998</v>
      </c>
      <c r="H507">
        <v>0</v>
      </c>
      <c r="I507" s="715">
        <v>321367.59999999998</v>
      </c>
      <c r="J507">
        <v>0</v>
      </c>
      <c r="K507">
        <v>0</v>
      </c>
      <c r="L507">
        <v>0</v>
      </c>
      <c r="M507">
        <v>0</v>
      </c>
      <c r="N507" s="711">
        <v>321367.59999999998</v>
      </c>
      <c r="O507">
        <v>0</v>
      </c>
      <c r="P507" s="750">
        <v>321367.59999999998</v>
      </c>
      <c r="Q507" s="724" t="str">
        <f>VLOOKUP($E507,SP_2024_v28062025!$E$2:$M$1751,9,FALSE)</f>
        <v>ABA650</v>
      </c>
    </row>
    <row r="508" spans="1:17">
      <c r="A508">
        <v>1</v>
      </c>
      <c r="B508" t="s">
        <v>11955</v>
      </c>
      <c r="C508" t="s">
        <v>11973</v>
      </c>
      <c r="D508" t="s">
        <v>11993</v>
      </c>
      <c r="E508" t="s">
        <v>1990</v>
      </c>
      <c r="F508" t="s">
        <v>1991</v>
      </c>
      <c r="G508" s="714">
        <v>7535.81</v>
      </c>
      <c r="H508">
        <v>0</v>
      </c>
      <c r="I508" s="715">
        <v>7535.81</v>
      </c>
      <c r="J508" s="711">
        <v>12288.17</v>
      </c>
      <c r="K508" s="711">
        <v>19823.98</v>
      </c>
      <c r="L508">
        <v>0</v>
      </c>
      <c r="M508">
        <v>0</v>
      </c>
      <c r="N508" s="711">
        <v>19823.98</v>
      </c>
      <c r="O508" s="711">
        <v>19823.98</v>
      </c>
      <c r="P508">
        <v>0</v>
      </c>
      <c r="Q508" s="724" t="str">
        <f>VLOOKUP($E508,SP_2024_v28062025!$E$2:$M$1751,9,FALSE)</f>
        <v>ABA650</v>
      </c>
    </row>
    <row r="509" spans="1:17">
      <c r="A509">
        <v>1</v>
      </c>
      <c r="B509" t="s">
        <v>11955</v>
      </c>
      <c r="C509" t="s">
        <v>11973</v>
      </c>
      <c r="D509" t="s">
        <v>11993</v>
      </c>
      <c r="E509" t="s">
        <v>1992</v>
      </c>
      <c r="F509" t="s">
        <v>1993</v>
      </c>
      <c r="G509" s="712">
        <v>0</v>
      </c>
      <c r="H509">
        <v>0</v>
      </c>
      <c r="I509" s="713">
        <v>0</v>
      </c>
      <c r="J509" s="711">
        <v>4448.72</v>
      </c>
      <c r="K509">
        <v>0</v>
      </c>
      <c r="L509">
        <v>0</v>
      </c>
      <c r="M509">
        <v>0</v>
      </c>
      <c r="N509" s="711">
        <v>4448.72</v>
      </c>
      <c r="O509">
        <v>0</v>
      </c>
      <c r="P509" s="750">
        <v>4448.72</v>
      </c>
      <c r="Q509" s="724" t="str">
        <f>VLOOKUP($E509,SP_2024_v28062025!$E$2:$M$1751,9,FALSE)</f>
        <v>ABA650</v>
      </c>
    </row>
    <row r="510" spans="1:17">
      <c r="A510">
        <v>1</v>
      </c>
      <c r="B510" t="s">
        <v>11955</v>
      </c>
      <c r="C510" t="s">
        <v>11973</v>
      </c>
      <c r="D510" t="s">
        <v>11993</v>
      </c>
      <c r="E510" t="s">
        <v>1994</v>
      </c>
      <c r="F510" t="s">
        <v>1995</v>
      </c>
      <c r="G510" s="714">
        <v>1093.7</v>
      </c>
      <c r="H510">
        <v>0</v>
      </c>
      <c r="I510" s="715">
        <v>1093.7</v>
      </c>
      <c r="J510" s="711">
        <v>1189.81</v>
      </c>
      <c r="K510" s="711">
        <v>1640.55</v>
      </c>
      <c r="L510">
        <v>0</v>
      </c>
      <c r="M510">
        <v>0</v>
      </c>
      <c r="N510" s="711">
        <v>2283.5100000000002</v>
      </c>
      <c r="O510" s="711">
        <v>1640.55</v>
      </c>
      <c r="P510" s="723">
        <v>642.96</v>
      </c>
      <c r="Q510" s="724" t="str">
        <f>VLOOKUP($E510,SP_2024_v28062025!$E$2:$M$1751,9,FALSE)</f>
        <v>ABA650</v>
      </c>
    </row>
    <row r="511" spans="1:17">
      <c r="A511">
        <v>1</v>
      </c>
      <c r="B511" t="s">
        <v>11955</v>
      </c>
      <c r="C511" t="s">
        <v>11973</v>
      </c>
      <c r="D511" t="s">
        <v>11993</v>
      </c>
      <c r="E511" t="s">
        <v>1996</v>
      </c>
      <c r="F511" t="s">
        <v>1997</v>
      </c>
      <c r="G511" s="714">
        <v>39309.07</v>
      </c>
      <c r="H511" s="711">
        <v>11137.86</v>
      </c>
      <c r="I511" s="715">
        <v>28171.21</v>
      </c>
      <c r="J511" s="711">
        <v>928361.78</v>
      </c>
      <c r="K511" s="711">
        <v>93232.73</v>
      </c>
      <c r="L511">
        <v>0</v>
      </c>
      <c r="M511">
        <v>0</v>
      </c>
      <c r="N511" s="711">
        <v>967670.85</v>
      </c>
      <c r="O511" s="711">
        <v>104370.59</v>
      </c>
      <c r="P511" s="750">
        <v>863300.26</v>
      </c>
      <c r="Q511" s="724" t="str">
        <f>VLOOKUP($E511,SP_2024_v28062025!$E$2:$M$1751,9,FALSE)</f>
        <v>ABA650</v>
      </c>
    </row>
    <row r="512" spans="1:17">
      <c r="A512">
        <v>1</v>
      </c>
      <c r="B512" t="s">
        <v>11955</v>
      </c>
      <c r="C512" t="s">
        <v>11973</v>
      </c>
      <c r="D512" t="s">
        <v>11993</v>
      </c>
      <c r="E512" t="s">
        <v>1998</v>
      </c>
      <c r="F512" t="s">
        <v>1999</v>
      </c>
      <c r="G512" s="712">
        <v>0</v>
      </c>
      <c r="H512">
        <v>0</v>
      </c>
      <c r="I512" s="713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 s="724" t="str">
        <f>VLOOKUP($E512,SP_2024_v28062025!$E$2:$M$1751,9,FALSE)</f>
        <v>ABA650</v>
      </c>
    </row>
    <row r="513" spans="1:18">
      <c r="A513">
        <v>1</v>
      </c>
      <c r="B513" t="s">
        <v>11955</v>
      </c>
      <c r="C513" t="s">
        <v>11973</v>
      </c>
      <c r="D513" t="s">
        <v>11993</v>
      </c>
      <c r="E513" t="s">
        <v>2000</v>
      </c>
      <c r="F513" t="s">
        <v>2001</v>
      </c>
      <c r="G513" s="712">
        <v>0</v>
      </c>
      <c r="H513">
        <v>0</v>
      </c>
      <c r="I513" s="7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 s="724" t="str">
        <f>VLOOKUP($E513,SP_2024_v28062025!$E$2:$M$1751,9,FALSE)</f>
        <v>ABA650</v>
      </c>
    </row>
    <row r="514" spans="1:18">
      <c r="A514">
        <v>1</v>
      </c>
      <c r="B514" t="s">
        <v>11955</v>
      </c>
      <c r="C514" t="s">
        <v>11973</v>
      </c>
      <c r="D514" t="s">
        <v>11993</v>
      </c>
      <c r="E514" t="s">
        <v>2002</v>
      </c>
      <c r="F514" t="s">
        <v>2003</v>
      </c>
      <c r="G514" s="712">
        <v>0</v>
      </c>
      <c r="H514">
        <v>0</v>
      </c>
      <c r="I514" s="713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 s="724" t="str">
        <f>VLOOKUP($E514,SP_2024_v28062025!$E$2:$M$1751,9,FALSE)</f>
        <v>ABA650</v>
      </c>
    </row>
    <row r="515" spans="1:18">
      <c r="A515">
        <v>1</v>
      </c>
      <c r="B515" t="s">
        <v>11955</v>
      </c>
      <c r="C515" t="s">
        <v>11973</v>
      </c>
      <c r="D515" t="s">
        <v>11993</v>
      </c>
      <c r="E515" t="s">
        <v>2004</v>
      </c>
      <c r="F515" t="s">
        <v>2005</v>
      </c>
      <c r="G515" s="712">
        <v>0</v>
      </c>
      <c r="H515">
        <v>0</v>
      </c>
      <c r="I515" s="713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 s="724" t="str">
        <f>VLOOKUP($E515,SP_2024_v28062025!$E$2:$M$1751,9,FALSE)</f>
        <v>ABA650</v>
      </c>
    </row>
    <row r="516" spans="1:18" ht="15.75" thickBot="1">
      <c r="A516">
        <v>1</v>
      </c>
      <c r="B516" t="s">
        <v>11955</v>
      </c>
      <c r="C516" t="s">
        <v>11973</v>
      </c>
      <c r="D516" t="s">
        <v>11993</v>
      </c>
      <c r="E516" t="s">
        <v>2006</v>
      </c>
      <c r="F516" t="s">
        <v>2007</v>
      </c>
      <c r="G516" s="712">
        <v>0</v>
      </c>
      <c r="H516">
        <v>0</v>
      </c>
      <c r="I516" s="713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 s="724" t="str">
        <f>VLOOKUP($E516,SP_2024_v28062025!$E$2:$M$1751,9,FALSE)</f>
        <v>ABA650</v>
      </c>
    </row>
    <row r="517" spans="1:18" ht="15.75" thickBot="1">
      <c r="A517" s="727">
        <v>1</v>
      </c>
      <c r="B517" s="727" t="s">
        <v>11955</v>
      </c>
      <c r="C517" s="727" t="s">
        <v>11973</v>
      </c>
      <c r="D517" s="727" t="s">
        <v>11994</v>
      </c>
      <c r="E517" s="727"/>
      <c r="F517" s="729" t="s">
        <v>2008</v>
      </c>
      <c r="G517" s="739">
        <v>6836455.5800000001</v>
      </c>
      <c r="H517" s="739">
        <v>1173338.98</v>
      </c>
      <c r="I517" s="739">
        <v>5663116.5999999996</v>
      </c>
      <c r="J517" s="739">
        <v>3154401.96</v>
      </c>
      <c r="K517" s="739">
        <v>2992519.7</v>
      </c>
      <c r="L517" s="738">
        <v>0</v>
      </c>
      <c r="M517" s="738">
        <v>0</v>
      </c>
      <c r="N517" s="739">
        <v>9990857.5399999991</v>
      </c>
      <c r="O517" s="739">
        <v>4165858.68</v>
      </c>
      <c r="P517" s="739">
        <v>5824998.8600000003</v>
      </c>
    </row>
    <row r="518" spans="1:18">
      <c r="A518">
        <v>1</v>
      </c>
      <c r="B518" t="s">
        <v>11955</v>
      </c>
      <c r="C518" t="s">
        <v>11973</v>
      </c>
      <c r="D518" t="s">
        <v>11994</v>
      </c>
      <c r="E518" s="723" t="s">
        <v>2011</v>
      </c>
      <c r="F518" t="s">
        <v>2012</v>
      </c>
      <c r="G518" s="714">
        <v>5185594.66</v>
      </c>
      <c r="H518" s="711">
        <v>1091438.96</v>
      </c>
      <c r="I518" s="715">
        <v>4094155.7</v>
      </c>
      <c r="J518" s="711">
        <v>2154781.7200000002</v>
      </c>
      <c r="K518" s="711">
        <v>2204185.92</v>
      </c>
      <c r="L518">
        <v>0</v>
      </c>
      <c r="M518">
        <v>0</v>
      </c>
      <c r="N518" s="711">
        <v>7340376.3799999999</v>
      </c>
      <c r="O518" s="711">
        <v>3295624.88</v>
      </c>
      <c r="P518" s="711">
        <v>4044751.5</v>
      </c>
      <c r="Q518" s="724" t="str">
        <f>VLOOKUP($E518,SP_2024_v28062025!$E$2:$M$1751,9,FALSE)</f>
        <v>ABA670</v>
      </c>
    </row>
    <row r="519" spans="1:18">
      <c r="A519">
        <v>1</v>
      </c>
      <c r="B519" t="s">
        <v>11955</v>
      </c>
      <c r="C519" t="s">
        <v>11973</v>
      </c>
      <c r="D519" t="s">
        <v>11994</v>
      </c>
      <c r="E519" t="s">
        <v>2013</v>
      </c>
      <c r="F519" t="s">
        <v>2014</v>
      </c>
      <c r="G519" s="714">
        <v>47251.96</v>
      </c>
      <c r="H519">
        <v>0</v>
      </c>
      <c r="I519" s="715">
        <v>47251.96</v>
      </c>
      <c r="J519">
        <v>0</v>
      </c>
      <c r="K519">
        <v>0</v>
      </c>
      <c r="L519">
        <v>0</v>
      </c>
      <c r="M519">
        <v>0</v>
      </c>
      <c r="N519" s="711">
        <v>47251.96</v>
      </c>
      <c r="O519">
        <v>0</v>
      </c>
      <c r="P519" s="711">
        <v>47251.96</v>
      </c>
      <c r="Q519" s="724" t="str">
        <f>VLOOKUP($E519,SP_2024_v28062025!$E$2:$M$1751,9,FALSE)</f>
        <v>ABA670</v>
      </c>
      <c r="R519">
        <v>2016</v>
      </c>
    </row>
    <row r="520" spans="1:18">
      <c r="A520">
        <v>1</v>
      </c>
      <c r="B520" t="s">
        <v>11955</v>
      </c>
      <c r="C520" t="s">
        <v>11973</v>
      </c>
      <c r="D520" t="s">
        <v>11994</v>
      </c>
      <c r="E520" t="s">
        <v>2015</v>
      </c>
      <c r="F520" t="s">
        <v>2016</v>
      </c>
      <c r="G520" s="714">
        <v>71688.58</v>
      </c>
      <c r="H520">
        <v>0</v>
      </c>
      <c r="I520" s="715">
        <v>71688.58</v>
      </c>
      <c r="J520" s="711">
        <v>3588.31</v>
      </c>
      <c r="K520" s="711">
        <v>3588.31</v>
      </c>
      <c r="L520">
        <v>0</v>
      </c>
      <c r="M520">
        <v>0</v>
      </c>
      <c r="N520" s="711">
        <v>75276.89</v>
      </c>
      <c r="O520" s="711">
        <v>3588.31</v>
      </c>
      <c r="P520" s="711">
        <v>71688.58</v>
      </c>
      <c r="Q520" s="724" t="str">
        <f>VLOOKUP($E520,SP_2024_v28062025!$E$2:$M$1751,9,FALSE)</f>
        <v>ABA670</v>
      </c>
      <c r="R520" s="764">
        <v>2016</v>
      </c>
    </row>
    <row r="521" spans="1:18">
      <c r="A521">
        <v>1</v>
      </c>
      <c r="B521" t="s">
        <v>11955</v>
      </c>
      <c r="C521" t="s">
        <v>11973</v>
      </c>
      <c r="D521" t="s">
        <v>11994</v>
      </c>
      <c r="E521" s="723" t="s">
        <v>2017</v>
      </c>
      <c r="F521" t="s">
        <v>2018</v>
      </c>
      <c r="G521" s="714">
        <v>477029.31</v>
      </c>
      <c r="H521" s="711">
        <v>81359.16</v>
      </c>
      <c r="I521" s="715">
        <v>395670.15</v>
      </c>
      <c r="J521" s="711">
        <v>31598.6</v>
      </c>
      <c r="K521" s="711">
        <v>33277.03</v>
      </c>
      <c r="L521">
        <v>0</v>
      </c>
      <c r="M521">
        <v>0</v>
      </c>
      <c r="N521" s="711">
        <v>508627.91</v>
      </c>
      <c r="O521" s="711">
        <v>114636.19</v>
      </c>
      <c r="P521" s="711">
        <v>393991.72</v>
      </c>
      <c r="Q521" s="724" t="str">
        <f>VLOOKUP($E521,SP_2024_v28062025!$E$2:$M$1751,9,FALSE)</f>
        <v>ABA670</v>
      </c>
    </row>
    <row r="522" spans="1:18">
      <c r="A522">
        <v>1</v>
      </c>
      <c r="B522" t="s">
        <v>11955</v>
      </c>
      <c r="C522" t="s">
        <v>11973</v>
      </c>
      <c r="D522" t="s">
        <v>11994</v>
      </c>
      <c r="E522" t="s">
        <v>2020</v>
      </c>
      <c r="F522" t="s">
        <v>2021</v>
      </c>
      <c r="G522" s="712">
        <v>0</v>
      </c>
      <c r="H522">
        <v>0</v>
      </c>
      <c r="I522" s="713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 s="724" t="str">
        <f>VLOOKUP($E522,SP_2024_v28062025!$E$2:$M$1751,9,FALSE)</f>
        <v>ABA670</v>
      </c>
    </row>
    <row r="523" spans="1:18">
      <c r="A523">
        <v>1</v>
      </c>
      <c r="B523" t="s">
        <v>11955</v>
      </c>
      <c r="C523" t="s">
        <v>11973</v>
      </c>
      <c r="D523" t="s">
        <v>11994</v>
      </c>
      <c r="E523" s="723" t="s">
        <v>2022</v>
      </c>
      <c r="F523" t="s">
        <v>2023</v>
      </c>
      <c r="G523" s="714">
        <v>748488.25</v>
      </c>
      <c r="H523">
        <v>540.86</v>
      </c>
      <c r="I523" s="715">
        <v>747947.39</v>
      </c>
      <c r="J523" s="711">
        <v>877288.62</v>
      </c>
      <c r="K523" s="711">
        <v>656755.22</v>
      </c>
      <c r="L523">
        <v>0</v>
      </c>
      <c r="M523">
        <v>0</v>
      </c>
      <c r="N523" s="711">
        <v>1625776.87</v>
      </c>
      <c r="O523" s="711">
        <v>657296.07999999996</v>
      </c>
      <c r="P523" s="711">
        <v>968480.79</v>
      </c>
      <c r="Q523" s="724" t="str">
        <f>VLOOKUP($E523,SP_2024_v28062025!$E$2:$M$1751,9,FALSE)</f>
        <v>ABA670</v>
      </c>
    </row>
    <row r="524" spans="1:18">
      <c r="A524">
        <v>1</v>
      </c>
      <c r="B524" t="s">
        <v>11955</v>
      </c>
      <c r="C524" t="s">
        <v>11973</v>
      </c>
      <c r="D524" t="s">
        <v>11994</v>
      </c>
      <c r="E524" s="723" t="s">
        <v>2025</v>
      </c>
      <c r="F524" t="s">
        <v>2026</v>
      </c>
      <c r="G524" s="714">
        <v>217403.91</v>
      </c>
      <c r="H524">
        <v>0</v>
      </c>
      <c r="I524" s="715">
        <v>217403.91</v>
      </c>
      <c r="J524" s="711">
        <v>9953.06</v>
      </c>
      <c r="K524" s="711">
        <v>17293</v>
      </c>
      <c r="L524">
        <v>0</v>
      </c>
      <c r="M524">
        <v>0</v>
      </c>
      <c r="N524" s="711">
        <v>227356.97</v>
      </c>
      <c r="O524" s="711">
        <v>17293</v>
      </c>
      <c r="P524" s="711">
        <v>210063.97</v>
      </c>
      <c r="Q524" s="724" t="str">
        <f>VLOOKUP($E524,SP_2024_v28062025!$E$2:$M$1751,9,FALSE)</f>
        <v>ABA670</v>
      </c>
    </row>
    <row r="525" spans="1:18">
      <c r="A525">
        <v>1</v>
      </c>
      <c r="B525" t="s">
        <v>11955</v>
      </c>
      <c r="C525" t="s">
        <v>11973</v>
      </c>
      <c r="D525" t="s">
        <v>11994</v>
      </c>
      <c r="E525" t="s">
        <v>2027</v>
      </c>
      <c r="F525" t="s">
        <v>2028</v>
      </c>
      <c r="G525" s="714">
        <v>1272.3599999999999</v>
      </c>
      <c r="H525">
        <v>0</v>
      </c>
      <c r="I525" s="715">
        <v>1272.3599999999999</v>
      </c>
      <c r="J525">
        <v>0</v>
      </c>
      <c r="K525">
        <v>0</v>
      </c>
      <c r="L525">
        <v>0</v>
      </c>
      <c r="M525">
        <v>0</v>
      </c>
      <c r="N525" s="711">
        <v>1272.3599999999999</v>
      </c>
      <c r="O525">
        <v>0</v>
      </c>
      <c r="P525" s="711">
        <v>1272.3599999999999</v>
      </c>
      <c r="Q525" s="724" t="str">
        <f>VLOOKUP($E525,SP_2024_v28062025!$E$2:$M$1751,9,FALSE)</f>
        <v>ABA670</v>
      </c>
      <c r="R525">
        <v>2019</v>
      </c>
    </row>
    <row r="526" spans="1:18">
      <c r="A526">
        <v>1</v>
      </c>
      <c r="B526" t="s">
        <v>11955</v>
      </c>
      <c r="C526" t="s">
        <v>11973</v>
      </c>
      <c r="D526" t="s">
        <v>11994</v>
      </c>
      <c r="E526" t="s">
        <v>2029</v>
      </c>
      <c r="F526" t="s">
        <v>2030</v>
      </c>
      <c r="G526" s="714">
        <v>2801.02</v>
      </c>
      <c r="H526">
        <v>0</v>
      </c>
      <c r="I526" s="715">
        <v>2801.02</v>
      </c>
      <c r="J526">
        <v>0</v>
      </c>
      <c r="K526">
        <v>0</v>
      </c>
      <c r="L526">
        <v>0</v>
      </c>
      <c r="M526">
        <v>0</v>
      </c>
      <c r="N526" s="711">
        <v>2801.02</v>
      </c>
      <c r="O526">
        <v>0</v>
      </c>
      <c r="P526" s="711">
        <v>2801.02</v>
      </c>
      <c r="Q526" s="724" t="str">
        <f>VLOOKUP($E526,SP_2024_v28062025!$E$2:$M$1751,9,FALSE)</f>
        <v>ABA670</v>
      </c>
      <c r="R526">
        <v>2019</v>
      </c>
    </row>
    <row r="527" spans="1:18">
      <c r="A527">
        <v>1</v>
      </c>
      <c r="B527" t="s">
        <v>11955</v>
      </c>
      <c r="C527" t="s">
        <v>11973</v>
      </c>
      <c r="D527" t="s">
        <v>11994</v>
      </c>
      <c r="E527" t="s">
        <v>2031</v>
      </c>
      <c r="F527" t="s">
        <v>2032</v>
      </c>
      <c r="G527" s="714">
        <v>3869.03</v>
      </c>
      <c r="H527">
        <v>0</v>
      </c>
      <c r="I527" s="715">
        <v>3869.03</v>
      </c>
      <c r="J527">
        <v>0</v>
      </c>
      <c r="K527">
        <v>0</v>
      </c>
      <c r="L527">
        <v>0</v>
      </c>
      <c r="M527">
        <v>0</v>
      </c>
      <c r="N527" s="711">
        <v>3869.03</v>
      </c>
      <c r="O527">
        <v>0</v>
      </c>
      <c r="P527" s="711">
        <v>3869.03</v>
      </c>
      <c r="Q527" s="724" t="str">
        <f>VLOOKUP($E527,SP_2024_v28062025!$E$2:$M$1751,9,FALSE)</f>
        <v>ABA670</v>
      </c>
      <c r="R527">
        <v>2019</v>
      </c>
    </row>
    <row r="528" spans="1:18">
      <c r="A528">
        <v>1</v>
      </c>
      <c r="B528" t="s">
        <v>11955</v>
      </c>
      <c r="C528" t="s">
        <v>11973</v>
      </c>
      <c r="D528" t="s">
        <v>11994</v>
      </c>
      <c r="E528" t="s">
        <v>2033</v>
      </c>
      <c r="F528" t="s">
        <v>2034</v>
      </c>
      <c r="G528" s="714">
        <v>4844.99</v>
      </c>
      <c r="H528">
        <v>0</v>
      </c>
      <c r="I528" s="715">
        <v>4844.99</v>
      </c>
      <c r="J528" s="711">
        <v>5161.24</v>
      </c>
      <c r="K528" s="711">
        <v>5161.24</v>
      </c>
      <c r="L528">
        <v>0</v>
      </c>
      <c r="M528">
        <v>0</v>
      </c>
      <c r="N528" s="711">
        <v>10006.23</v>
      </c>
      <c r="O528" s="711">
        <v>5161.24</v>
      </c>
      <c r="P528" s="711">
        <v>4844.99</v>
      </c>
      <c r="Q528" s="724" t="str">
        <f>VLOOKUP($E528,SP_2024_v28062025!$E$2:$M$1751,9,FALSE)</f>
        <v>ABA670</v>
      </c>
    </row>
    <row r="529" spans="1:18">
      <c r="A529">
        <v>1</v>
      </c>
      <c r="B529" t="s">
        <v>11955</v>
      </c>
      <c r="C529" t="s">
        <v>11973</v>
      </c>
      <c r="D529" t="s">
        <v>11994</v>
      </c>
      <c r="E529" t="s">
        <v>2035</v>
      </c>
      <c r="F529" t="s">
        <v>2036</v>
      </c>
      <c r="G529" s="712">
        <v>0</v>
      </c>
      <c r="H529">
        <v>0</v>
      </c>
      <c r="I529" s="713">
        <v>0</v>
      </c>
      <c r="J529" s="711">
        <v>3306.79</v>
      </c>
      <c r="K529" s="711">
        <v>3306.79</v>
      </c>
      <c r="L529">
        <v>0</v>
      </c>
      <c r="M529">
        <v>0</v>
      </c>
      <c r="N529" s="711">
        <v>3306.79</v>
      </c>
      <c r="O529" s="711">
        <v>3306.79</v>
      </c>
      <c r="P529">
        <v>0</v>
      </c>
      <c r="Q529" s="724" t="str">
        <f>VLOOKUP($E529,SP_2024_v28062025!$E$2:$M$1751,9,FALSE)</f>
        <v>ABA670</v>
      </c>
    </row>
    <row r="530" spans="1:18">
      <c r="A530">
        <v>1</v>
      </c>
      <c r="B530" t="s">
        <v>11955</v>
      </c>
      <c r="C530" t="s">
        <v>11973</v>
      </c>
      <c r="D530" t="s">
        <v>11994</v>
      </c>
      <c r="E530" s="723" t="s">
        <v>2037</v>
      </c>
      <c r="F530" t="s">
        <v>2038</v>
      </c>
      <c r="G530" s="714">
        <v>67660.960000000006</v>
      </c>
      <c r="H530">
        <v>0</v>
      </c>
      <c r="I530" s="715">
        <v>67660.960000000006</v>
      </c>
      <c r="J530" s="711">
        <v>68723.62</v>
      </c>
      <c r="K530" s="711">
        <v>68952.19</v>
      </c>
      <c r="L530">
        <v>0</v>
      </c>
      <c r="M530">
        <v>0</v>
      </c>
      <c r="N530" s="711">
        <v>136384.57999999999</v>
      </c>
      <c r="O530" s="711">
        <v>68952.19</v>
      </c>
      <c r="P530" s="711">
        <v>67432.39</v>
      </c>
      <c r="Q530" s="724" t="str">
        <f>VLOOKUP($E530,SP_2024_v28062025!$E$2:$M$1751,9,FALSE)</f>
        <v>ABA670</v>
      </c>
    </row>
    <row r="531" spans="1:18">
      <c r="A531">
        <v>1</v>
      </c>
      <c r="B531" t="s">
        <v>11955</v>
      </c>
      <c r="C531" t="s">
        <v>11973</v>
      </c>
      <c r="D531" t="s">
        <v>11994</v>
      </c>
      <c r="E531" t="s">
        <v>2039</v>
      </c>
      <c r="F531" t="s">
        <v>2040</v>
      </c>
      <c r="G531" s="712">
        <v>0</v>
      </c>
      <c r="H531">
        <v>0</v>
      </c>
      <c r="I531" s="713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 s="724" t="str">
        <f>VLOOKUP($E531,SP_2024_v28062025!$E$2:$M$1751,9,FALSE)</f>
        <v>ABA670</v>
      </c>
    </row>
    <row r="532" spans="1:18">
      <c r="A532">
        <v>1</v>
      </c>
      <c r="B532" t="s">
        <v>11955</v>
      </c>
      <c r="C532" t="s">
        <v>11973</v>
      </c>
      <c r="D532" t="s">
        <v>11994</v>
      </c>
      <c r="E532" t="s">
        <v>2041</v>
      </c>
      <c r="F532" t="s">
        <v>2042</v>
      </c>
      <c r="G532" s="714">
        <v>8550.5499999999993</v>
      </c>
      <c r="H532">
        <v>0</v>
      </c>
      <c r="I532" s="715">
        <v>8550.5499999999993</v>
      </c>
      <c r="J532">
        <v>0</v>
      </c>
      <c r="K532">
        <v>0</v>
      </c>
      <c r="L532">
        <v>0</v>
      </c>
      <c r="M532">
        <v>0</v>
      </c>
      <c r="N532" s="711">
        <v>8550.5499999999993</v>
      </c>
      <c r="O532">
        <v>0</v>
      </c>
      <c r="P532" s="711">
        <v>8550.5499999999993</v>
      </c>
      <c r="Q532" s="724" t="str">
        <f>VLOOKUP($E532,SP_2024_v28062025!$E$2:$M$1751,9,FALSE)</f>
        <v>ABA670</v>
      </c>
      <c r="R532">
        <v>2019</v>
      </c>
    </row>
    <row r="533" spans="1:18">
      <c r="A533">
        <v>1</v>
      </c>
      <c r="B533" t="s">
        <v>11955</v>
      </c>
      <c r="C533" t="s">
        <v>11973</v>
      </c>
      <c r="D533" t="s">
        <v>11994</v>
      </c>
      <c r="E533" t="s">
        <v>2043</v>
      </c>
      <c r="F533" t="s">
        <v>2044</v>
      </c>
      <c r="G533" s="712">
        <v>0</v>
      </c>
      <c r="H533">
        <v>0</v>
      </c>
      <c r="I533" s="71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 s="724" t="str">
        <f>VLOOKUP($E533,SP_2024_v28062025!$E$2:$M$1751,9,FALSE)</f>
        <v>ABA670</v>
      </c>
    </row>
    <row r="534" spans="1:18">
      <c r="A534">
        <v>1</v>
      </c>
      <c r="B534" t="s">
        <v>11955</v>
      </c>
      <c r="C534" t="s">
        <v>11973</v>
      </c>
      <c r="D534" t="s">
        <v>11994</v>
      </c>
      <c r="E534" t="s">
        <v>2046</v>
      </c>
      <c r="F534" t="s">
        <v>2047</v>
      </c>
      <c r="G534" s="712">
        <v>0</v>
      </c>
      <c r="H534">
        <v>0</v>
      </c>
      <c r="I534" s="713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 s="724" t="str">
        <f>VLOOKUP($E534,SP_2024_v28062025!$E$2:$M$1751,9,FALSE)</f>
        <v>ABA670</v>
      </c>
    </row>
    <row r="535" spans="1:18">
      <c r="A535">
        <v>1</v>
      </c>
      <c r="B535" t="s">
        <v>11955</v>
      </c>
      <c r="C535" t="s">
        <v>11973</v>
      </c>
      <c r="D535" t="s">
        <v>11994</v>
      </c>
      <c r="E535" t="s">
        <v>2048</v>
      </c>
      <c r="F535" t="s">
        <v>2026</v>
      </c>
      <c r="G535" s="712">
        <v>0</v>
      </c>
      <c r="H535">
        <v>0</v>
      </c>
      <c r="I535" s="713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 s="724" t="str">
        <f>VLOOKUP($E535,SP_2024_v28062025!$E$2:$M$1751,9,FALSE)</f>
        <v>ABA670</v>
      </c>
    </row>
    <row r="536" spans="1:18" ht="15.75" thickBot="1">
      <c r="A536">
        <v>1</v>
      </c>
      <c r="B536" t="s">
        <v>11955</v>
      </c>
      <c r="C536" t="s">
        <v>11973</v>
      </c>
      <c r="D536" t="s">
        <v>11994</v>
      </c>
      <c r="E536" t="s">
        <v>2049</v>
      </c>
      <c r="F536" t="s">
        <v>2050</v>
      </c>
      <c r="G536" s="712">
        <v>0</v>
      </c>
      <c r="H536">
        <v>0</v>
      </c>
      <c r="I536" s="713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 s="724" t="str">
        <f>VLOOKUP($E536,SP_2024_v28062025!$E$2:$M$1751,9,FALSE)</f>
        <v>ABA670</v>
      </c>
    </row>
    <row r="537" spans="1:18" ht="15.75" thickBot="1">
      <c r="A537" s="727">
        <v>1</v>
      </c>
      <c r="B537" s="727" t="s">
        <v>11955</v>
      </c>
      <c r="C537" s="727" t="s">
        <v>11973</v>
      </c>
      <c r="D537" s="727" t="s">
        <v>11995</v>
      </c>
      <c r="E537" s="727"/>
      <c r="F537" s="729" t="s">
        <v>2051</v>
      </c>
      <c r="G537" s="738">
        <v>0</v>
      </c>
      <c r="H537" s="738">
        <v>0</v>
      </c>
      <c r="I537" s="738">
        <v>0</v>
      </c>
      <c r="J537" s="738">
        <v>0</v>
      </c>
      <c r="K537" s="738">
        <v>0</v>
      </c>
      <c r="L537" s="738">
        <v>0</v>
      </c>
      <c r="M537" s="738">
        <v>0</v>
      </c>
      <c r="N537" s="738">
        <v>0</v>
      </c>
      <c r="O537" s="738">
        <v>0</v>
      </c>
      <c r="P537" s="738">
        <v>0</v>
      </c>
    </row>
    <row r="538" spans="1:18" ht="15.75" thickBot="1">
      <c r="A538">
        <v>1</v>
      </c>
      <c r="B538" t="s">
        <v>11955</v>
      </c>
      <c r="C538" t="s">
        <v>11973</v>
      </c>
      <c r="D538" t="s">
        <v>11995</v>
      </c>
      <c r="E538" t="s">
        <v>2054</v>
      </c>
      <c r="F538" t="s">
        <v>2051</v>
      </c>
      <c r="G538" s="712">
        <v>0</v>
      </c>
      <c r="H538">
        <v>0</v>
      </c>
      <c r="I538" s="713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 s="724" t="str">
        <f>VLOOKUP($E538,SP_2024_v28062025!$E$2:$M$1751,9,FALSE)</f>
        <v>ABA680</v>
      </c>
    </row>
    <row r="539" spans="1:18" ht="15.75" thickBot="1">
      <c r="A539" s="727">
        <v>1</v>
      </c>
      <c r="B539" s="727" t="s">
        <v>11955</v>
      </c>
      <c r="C539" s="727" t="s">
        <v>11973</v>
      </c>
      <c r="D539" s="727" t="s">
        <v>11996</v>
      </c>
      <c r="E539" s="727"/>
      <c r="F539" s="729" t="s">
        <v>2055</v>
      </c>
      <c r="G539" s="739">
        <v>26198252.390000001</v>
      </c>
      <c r="H539" s="738">
        <v>804.83</v>
      </c>
      <c r="I539" s="739">
        <v>26197447.559999999</v>
      </c>
      <c r="J539" s="739">
        <v>820247.61</v>
      </c>
      <c r="K539" s="739">
        <v>3556485.29</v>
      </c>
      <c r="L539" s="738">
        <v>0</v>
      </c>
      <c r="M539" s="738">
        <v>0</v>
      </c>
      <c r="N539" s="739">
        <v>27018500</v>
      </c>
      <c r="O539" s="739">
        <v>3557290.12</v>
      </c>
      <c r="P539" s="739">
        <v>23461209.879999999</v>
      </c>
    </row>
    <row r="540" spans="1:18">
      <c r="A540">
        <v>1</v>
      </c>
      <c r="B540" t="s">
        <v>11955</v>
      </c>
      <c r="C540" t="s">
        <v>11973</v>
      </c>
      <c r="D540" t="s">
        <v>11996</v>
      </c>
      <c r="E540" s="723" t="s">
        <v>2058</v>
      </c>
      <c r="F540" t="s">
        <v>2055</v>
      </c>
      <c r="G540" s="714">
        <v>151952.85999999999</v>
      </c>
      <c r="H540">
        <v>799.73</v>
      </c>
      <c r="I540" s="715">
        <v>151153.13</v>
      </c>
      <c r="J540" s="711">
        <v>482669.61</v>
      </c>
      <c r="K540" s="711">
        <v>482639.61</v>
      </c>
      <c r="L540">
        <v>0</v>
      </c>
      <c r="M540">
        <v>0</v>
      </c>
      <c r="N540" s="711">
        <v>634622.47</v>
      </c>
      <c r="O540" s="711">
        <v>483439.34</v>
      </c>
      <c r="P540" s="711">
        <v>151183.13</v>
      </c>
      <c r="Q540" s="724" t="str">
        <f>VLOOKUP($E540,SP_2024_v28062025!$E$2:$M$1751,9,FALSE)</f>
        <v>ABA690</v>
      </c>
    </row>
    <row r="541" spans="1:18">
      <c r="A541">
        <v>1</v>
      </c>
      <c r="B541" t="s">
        <v>11955</v>
      </c>
      <c r="C541" t="s">
        <v>11973</v>
      </c>
      <c r="D541" t="s">
        <v>11996</v>
      </c>
      <c r="E541" s="723" t="s">
        <v>2059</v>
      </c>
      <c r="F541" t="s">
        <v>2060</v>
      </c>
      <c r="G541" s="714">
        <v>106354.95</v>
      </c>
      <c r="H541">
        <v>0</v>
      </c>
      <c r="I541" s="715">
        <v>106354.95</v>
      </c>
      <c r="J541" s="711">
        <v>24251</v>
      </c>
      <c r="K541" s="711">
        <v>19181</v>
      </c>
      <c r="L541">
        <v>0</v>
      </c>
      <c r="M541">
        <v>0</v>
      </c>
      <c r="N541" s="711">
        <v>130605.95</v>
      </c>
      <c r="O541" s="711">
        <v>19181</v>
      </c>
      <c r="P541" s="711">
        <v>111424.95</v>
      </c>
      <c r="Q541" s="724" t="str">
        <f>VLOOKUP($E541,SP_2024_v28062025!$E$2:$M$1751,9,FALSE)</f>
        <v>ABA690</v>
      </c>
    </row>
    <row r="542" spans="1:18">
      <c r="A542">
        <v>1</v>
      </c>
      <c r="B542" t="s">
        <v>11955</v>
      </c>
      <c r="C542" t="s">
        <v>11973</v>
      </c>
      <c r="D542" t="s">
        <v>11996</v>
      </c>
      <c r="E542" t="s">
        <v>2061</v>
      </c>
      <c r="F542" t="s">
        <v>2062</v>
      </c>
      <c r="G542" s="714">
        <v>488738.76</v>
      </c>
      <c r="H542">
        <v>0</v>
      </c>
      <c r="I542" s="715">
        <v>488738.76</v>
      </c>
      <c r="J542">
        <v>0</v>
      </c>
      <c r="K542">
        <v>0</v>
      </c>
      <c r="L542">
        <v>0</v>
      </c>
      <c r="M542">
        <v>0</v>
      </c>
      <c r="N542" s="711">
        <v>488738.76</v>
      </c>
      <c r="O542">
        <v>0</v>
      </c>
      <c r="P542" s="711">
        <v>488738.76</v>
      </c>
      <c r="Q542" s="724" t="str">
        <f>VLOOKUP($E542,SP_2024_v28062025!$E$2:$M$1751,9,FALSE)</f>
        <v>ABA690</v>
      </c>
    </row>
    <row r="543" spans="1:18">
      <c r="A543">
        <v>1</v>
      </c>
      <c r="B543" t="s">
        <v>11955</v>
      </c>
      <c r="C543" t="s">
        <v>11973</v>
      </c>
      <c r="D543" t="s">
        <v>11996</v>
      </c>
      <c r="E543" s="723" t="s">
        <v>2063</v>
      </c>
      <c r="F543" t="s">
        <v>2064</v>
      </c>
      <c r="G543" s="714">
        <v>25451200.719999999</v>
      </c>
      <c r="H543">
        <v>0</v>
      </c>
      <c r="I543" s="715">
        <v>25451200.719999999</v>
      </c>
      <c r="J543">
        <v>0</v>
      </c>
      <c r="K543" s="711">
        <v>2826000</v>
      </c>
      <c r="L543">
        <v>0</v>
      </c>
      <c r="M543">
        <v>0</v>
      </c>
      <c r="N543" s="711">
        <v>25451200.719999999</v>
      </c>
      <c r="O543" s="711">
        <v>2826000</v>
      </c>
      <c r="P543" s="711">
        <v>22625200.719999999</v>
      </c>
      <c r="Q543" s="724" t="str">
        <f>VLOOKUP($E543,SP_2024_v28062025!$E$2:$M$1751,9,FALSE)</f>
        <v>ABA690</v>
      </c>
      <c r="R543" s="711">
        <v>2016</v>
      </c>
    </row>
    <row r="544" spans="1:18">
      <c r="A544">
        <v>1</v>
      </c>
      <c r="B544" t="s">
        <v>11955</v>
      </c>
      <c r="C544" t="s">
        <v>11973</v>
      </c>
      <c r="D544" t="s">
        <v>11996</v>
      </c>
      <c r="E544" t="s">
        <v>2065</v>
      </c>
      <c r="F544" t="s">
        <v>2066</v>
      </c>
      <c r="G544" s="712">
        <v>5.0999999999999996</v>
      </c>
      <c r="H544">
        <v>5.0999999999999996</v>
      </c>
      <c r="I544" s="713">
        <v>0</v>
      </c>
      <c r="J544" s="711">
        <v>144002</v>
      </c>
      <c r="K544" s="711">
        <v>144002</v>
      </c>
      <c r="L544">
        <v>0</v>
      </c>
      <c r="M544">
        <v>0</v>
      </c>
      <c r="N544" s="711">
        <v>144007.1</v>
      </c>
      <c r="O544" s="711">
        <v>144007.1</v>
      </c>
      <c r="P544">
        <v>0</v>
      </c>
      <c r="Q544" s="724" t="str">
        <f>VLOOKUP($E544,SP_2024_v28062025!$E$2:$M$1751,9,FALSE)</f>
        <v>ABA690</v>
      </c>
    </row>
    <row r="545" spans="1:19" ht="15.75" thickBot="1">
      <c r="A545">
        <v>1</v>
      </c>
      <c r="B545" t="s">
        <v>11955</v>
      </c>
      <c r="C545" t="s">
        <v>11973</v>
      </c>
      <c r="D545" t="s">
        <v>11996</v>
      </c>
      <c r="E545" t="s">
        <v>2067</v>
      </c>
      <c r="F545" t="s">
        <v>2068</v>
      </c>
      <c r="G545" s="712">
        <v>0</v>
      </c>
      <c r="H545">
        <v>0</v>
      </c>
      <c r="I545" s="713">
        <v>0</v>
      </c>
      <c r="J545" s="711">
        <v>169325</v>
      </c>
      <c r="K545" s="711">
        <v>84662.68</v>
      </c>
      <c r="L545">
        <v>0</v>
      </c>
      <c r="M545">
        <v>0</v>
      </c>
      <c r="N545" s="711">
        <v>169325</v>
      </c>
      <c r="O545" s="711">
        <v>84662.68</v>
      </c>
      <c r="P545" s="711">
        <v>84662.32</v>
      </c>
      <c r="Q545" s="724" t="str">
        <f>VLOOKUP($E545,SP_2024_v28062025!$E$2:$M$1751,9,FALSE)</f>
        <v>ABA690</v>
      </c>
    </row>
    <row r="546" spans="1:19" ht="15.75" thickBot="1">
      <c r="A546" s="727">
        <v>1</v>
      </c>
      <c r="B546" s="727" t="s">
        <v>11955</v>
      </c>
      <c r="C546" s="727" t="s">
        <v>11973</v>
      </c>
      <c r="D546" s="727" t="s">
        <v>11997</v>
      </c>
      <c r="E546" s="727"/>
      <c r="F546" s="729" t="s">
        <v>2069</v>
      </c>
      <c r="G546" s="739">
        <v>308250</v>
      </c>
      <c r="H546" s="738">
        <v>0</v>
      </c>
      <c r="I546" s="739">
        <v>308250</v>
      </c>
      <c r="J546" s="739">
        <v>66343.7</v>
      </c>
      <c r="K546" s="739">
        <v>19903.11</v>
      </c>
      <c r="L546" s="738">
        <v>0</v>
      </c>
      <c r="M546" s="738">
        <v>0</v>
      </c>
      <c r="N546" s="739">
        <v>374593.7</v>
      </c>
      <c r="O546" s="739">
        <v>19903.11</v>
      </c>
      <c r="P546" s="739">
        <v>354690.59</v>
      </c>
    </row>
    <row r="547" spans="1:19" ht="15.75" thickBot="1">
      <c r="A547">
        <v>1</v>
      </c>
      <c r="B547" t="s">
        <v>11955</v>
      </c>
      <c r="C547" t="s">
        <v>11973</v>
      </c>
      <c r="D547" t="s">
        <v>11997</v>
      </c>
      <c r="E547" t="s">
        <v>2072</v>
      </c>
      <c r="F547" t="s">
        <v>2069</v>
      </c>
      <c r="G547" s="714">
        <v>308250</v>
      </c>
      <c r="H547">
        <v>0</v>
      </c>
      <c r="I547" s="715">
        <v>308250</v>
      </c>
      <c r="J547" s="711">
        <v>66343.7</v>
      </c>
      <c r="K547" s="711">
        <v>19903.11</v>
      </c>
      <c r="L547">
        <v>0</v>
      </c>
      <c r="M547">
        <v>0</v>
      </c>
      <c r="N547" s="711">
        <v>374593.7</v>
      </c>
      <c r="O547" s="711">
        <v>19903.11</v>
      </c>
      <c r="P547" s="711">
        <v>354690.59</v>
      </c>
      <c r="Q547" s="724" t="str">
        <f>VLOOKUP($E547,SP_2024_v28062025!$E$2:$M$1751,9,FALSE)</f>
        <v>ABA700</v>
      </c>
      <c r="S547" s="711">
        <f>P547-I547</f>
        <v>46440.590000000026</v>
      </c>
    </row>
    <row r="548" spans="1:19" ht="15.75" thickBot="1">
      <c r="A548" s="727">
        <v>1</v>
      </c>
      <c r="B548" s="727" t="s">
        <v>11955</v>
      </c>
      <c r="C548" s="727" t="s">
        <v>11973</v>
      </c>
      <c r="D548" s="727" t="s">
        <v>11998</v>
      </c>
      <c r="E548" s="727"/>
      <c r="F548" s="729" t="s">
        <v>2073</v>
      </c>
      <c r="G548" s="739">
        <v>4595384.8600000003</v>
      </c>
      <c r="H548" s="739">
        <v>38527.17</v>
      </c>
      <c r="I548" s="739">
        <v>4556857.6900000004</v>
      </c>
      <c r="J548" s="739">
        <v>3807721.53</v>
      </c>
      <c r="K548" s="739">
        <v>2959063.47</v>
      </c>
      <c r="L548" s="738">
        <v>0</v>
      </c>
      <c r="M548" s="738">
        <v>0</v>
      </c>
      <c r="N548" s="739">
        <v>8403106.3900000006</v>
      </c>
      <c r="O548" s="739">
        <v>2997590.64</v>
      </c>
      <c r="P548" s="739">
        <v>5405515.75</v>
      </c>
    </row>
    <row r="549" spans="1:19">
      <c r="A549">
        <v>1</v>
      </c>
      <c r="B549" t="s">
        <v>11955</v>
      </c>
      <c r="C549" t="s">
        <v>11973</v>
      </c>
      <c r="D549" t="s">
        <v>11998</v>
      </c>
      <c r="E549" t="s">
        <v>2077</v>
      </c>
      <c r="F549" t="s">
        <v>2078</v>
      </c>
      <c r="G549" s="714">
        <v>199831.19</v>
      </c>
      <c r="H549">
        <v>0</v>
      </c>
      <c r="I549" s="715">
        <v>199831.19</v>
      </c>
      <c r="J549">
        <v>0</v>
      </c>
      <c r="K549">
        <v>0</v>
      </c>
      <c r="L549">
        <v>0</v>
      </c>
      <c r="M549">
        <v>0</v>
      </c>
      <c r="N549" s="711">
        <v>199831.19</v>
      </c>
      <c r="O549">
        <v>0</v>
      </c>
      <c r="P549" s="711">
        <v>199831.19</v>
      </c>
      <c r="Q549" s="724" t="str">
        <f>VLOOKUP($E549,SP_2024_v28062025!$E$2:$M$1751,9,FALSE)</f>
        <v>ABA711</v>
      </c>
    </row>
    <row r="550" spans="1:19">
      <c r="A550">
        <v>1</v>
      </c>
      <c r="B550" t="s">
        <v>11955</v>
      </c>
      <c r="C550" t="s">
        <v>11973</v>
      </c>
      <c r="D550" t="s">
        <v>11998</v>
      </c>
      <c r="E550" t="s">
        <v>2082</v>
      </c>
      <c r="F550" t="s">
        <v>2083</v>
      </c>
      <c r="G550" s="712">
        <v>0</v>
      </c>
      <c r="H550">
        <v>0</v>
      </c>
      <c r="I550" s="713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 s="724" t="str">
        <f>VLOOKUP($E550,SP_2024_v28062025!$E$2:$M$1751,9,FALSE)</f>
        <v>ABA711</v>
      </c>
    </row>
    <row r="551" spans="1:19">
      <c r="A551">
        <v>1</v>
      </c>
      <c r="B551" t="s">
        <v>11955</v>
      </c>
      <c r="C551" t="s">
        <v>11973</v>
      </c>
      <c r="D551" t="s">
        <v>11998</v>
      </c>
      <c r="E551" t="s">
        <v>2084</v>
      </c>
      <c r="F551" t="s">
        <v>2085</v>
      </c>
      <c r="G551" s="712">
        <v>0</v>
      </c>
      <c r="H551">
        <v>0</v>
      </c>
      <c r="I551" s="713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s="724" t="str">
        <f>VLOOKUP($E551,SP_2024_v28062025!$E$2:$M$1751,9,FALSE)</f>
        <v>ABA711</v>
      </c>
    </row>
    <row r="552" spans="1:19">
      <c r="A552">
        <v>1</v>
      </c>
      <c r="B552" t="s">
        <v>11955</v>
      </c>
      <c r="C552" t="s">
        <v>11973</v>
      </c>
      <c r="D552" t="s">
        <v>11998</v>
      </c>
      <c r="E552" s="723" t="s">
        <v>2086</v>
      </c>
      <c r="F552" t="s">
        <v>2087</v>
      </c>
      <c r="G552" s="714">
        <v>4733.1499999999996</v>
      </c>
      <c r="H552">
        <v>0</v>
      </c>
      <c r="I552" s="715">
        <v>4733.1499999999996</v>
      </c>
      <c r="J552">
        <v>0</v>
      </c>
      <c r="K552">
        <v>0</v>
      </c>
      <c r="L552">
        <v>0</v>
      </c>
      <c r="M552">
        <v>0</v>
      </c>
      <c r="N552" s="711">
        <v>4733.1499999999996</v>
      </c>
      <c r="O552">
        <v>0</v>
      </c>
      <c r="P552" s="711">
        <v>4733.1499999999996</v>
      </c>
      <c r="Q552" s="724" t="str">
        <f>VLOOKUP($E552,SP_2024_v28062025!$E$2:$M$1751,9,FALSE)</f>
        <v>ABA711</v>
      </c>
    </row>
    <row r="553" spans="1:19">
      <c r="A553">
        <v>1</v>
      </c>
      <c r="B553" t="s">
        <v>11955</v>
      </c>
      <c r="C553" t="s">
        <v>11973</v>
      </c>
      <c r="D553" t="s">
        <v>11998</v>
      </c>
      <c r="E553" t="s">
        <v>2088</v>
      </c>
      <c r="F553" t="s">
        <v>2089</v>
      </c>
      <c r="G553" s="712">
        <v>0</v>
      </c>
      <c r="H553">
        <v>0</v>
      </c>
      <c r="I553" s="71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 s="724" t="str">
        <f>VLOOKUP($E553,SP_2024_v28062025!$E$2:$M$1751,9,FALSE)</f>
        <v>ABA711</v>
      </c>
    </row>
    <row r="554" spans="1:19">
      <c r="A554">
        <v>1</v>
      </c>
      <c r="B554" t="s">
        <v>11955</v>
      </c>
      <c r="C554" t="s">
        <v>11973</v>
      </c>
      <c r="D554" t="s">
        <v>11998</v>
      </c>
      <c r="E554" t="s">
        <v>2090</v>
      </c>
      <c r="F554" t="s">
        <v>2091</v>
      </c>
      <c r="G554" s="712">
        <v>0</v>
      </c>
      <c r="H554">
        <v>0</v>
      </c>
      <c r="I554" s="713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 s="724" t="str">
        <f>VLOOKUP($E554,SP_2024_v28062025!$E$2:$M$1751,9,FALSE)</f>
        <v>ABA711</v>
      </c>
    </row>
    <row r="555" spans="1:19">
      <c r="A555">
        <v>1</v>
      </c>
      <c r="B555" t="s">
        <v>11955</v>
      </c>
      <c r="C555" t="s">
        <v>11973</v>
      </c>
      <c r="D555" t="s">
        <v>11998</v>
      </c>
      <c r="E555" t="s">
        <v>2092</v>
      </c>
      <c r="F555" t="s">
        <v>2093</v>
      </c>
      <c r="G555" s="712">
        <v>0</v>
      </c>
      <c r="H555">
        <v>0</v>
      </c>
      <c r="I555" s="713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 s="724" t="str">
        <f>VLOOKUP($E555,SP_2024_v28062025!$E$2:$M$1751,9,FALSE)</f>
        <v>ABA711</v>
      </c>
    </row>
    <row r="556" spans="1:19">
      <c r="A556">
        <v>1</v>
      </c>
      <c r="B556" t="s">
        <v>11955</v>
      </c>
      <c r="C556" t="s">
        <v>11973</v>
      </c>
      <c r="D556" t="s">
        <v>11998</v>
      </c>
      <c r="E556" t="s">
        <v>2094</v>
      </c>
      <c r="F556" t="s">
        <v>2095</v>
      </c>
      <c r="G556" s="712">
        <v>0</v>
      </c>
      <c r="H556">
        <v>0</v>
      </c>
      <c r="I556" s="713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 s="724" t="str">
        <f>VLOOKUP($E556,SP_2024_v28062025!$E$2:$M$1751,9,FALSE)</f>
        <v>ABA711</v>
      </c>
    </row>
    <row r="557" spans="1:19">
      <c r="A557">
        <v>1</v>
      </c>
      <c r="B557" t="s">
        <v>11955</v>
      </c>
      <c r="C557" t="s">
        <v>11973</v>
      </c>
      <c r="D557" t="s">
        <v>11998</v>
      </c>
      <c r="E557" s="723" t="s">
        <v>2096</v>
      </c>
      <c r="F557" t="s">
        <v>2097</v>
      </c>
      <c r="G557" s="714">
        <v>5268.65</v>
      </c>
      <c r="H557">
        <v>0</v>
      </c>
      <c r="I557" s="715">
        <v>5268.65</v>
      </c>
      <c r="J557">
        <v>0</v>
      </c>
      <c r="K557">
        <v>0</v>
      </c>
      <c r="L557">
        <v>0</v>
      </c>
      <c r="M557">
        <v>0</v>
      </c>
      <c r="N557" s="711">
        <v>5268.65</v>
      </c>
      <c r="O557">
        <v>0</v>
      </c>
      <c r="P557" s="711">
        <v>5268.65</v>
      </c>
      <c r="Q557" s="724" t="str">
        <f>VLOOKUP($E557,SP_2024_v28062025!$E$2:$M$1751,9,FALSE)</f>
        <v>ABA711</v>
      </c>
    </row>
    <row r="558" spans="1:19">
      <c r="A558">
        <v>1</v>
      </c>
      <c r="B558" t="s">
        <v>11955</v>
      </c>
      <c r="C558" t="s">
        <v>11973</v>
      </c>
      <c r="D558" t="s">
        <v>11998</v>
      </c>
      <c r="E558" s="723" t="s">
        <v>2098</v>
      </c>
      <c r="F558" t="s">
        <v>2099</v>
      </c>
      <c r="G558" s="714">
        <v>1440318.09</v>
      </c>
      <c r="H558">
        <v>0</v>
      </c>
      <c r="I558" s="715">
        <v>1440318.09</v>
      </c>
      <c r="J558" s="711">
        <v>110720.19</v>
      </c>
      <c r="K558" s="711">
        <v>1417852.92</v>
      </c>
      <c r="L558">
        <v>0</v>
      </c>
      <c r="M558">
        <v>0</v>
      </c>
      <c r="N558" s="711">
        <v>1551038.28</v>
      </c>
      <c r="O558" s="711">
        <v>1417852.92</v>
      </c>
      <c r="P558" s="711">
        <v>133185.35999999999</v>
      </c>
      <c r="Q558" s="724" t="str">
        <f>VLOOKUP($E558,SP_2024_v28062025!$E$2:$M$1751,9,FALSE)</f>
        <v>ABA711</v>
      </c>
    </row>
    <row r="559" spans="1:19">
      <c r="A559">
        <v>1</v>
      </c>
      <c r="B559" t="s">
        <v>11955</v>
      </c>
      <c r="C559" t="s">
        <v>11973</v>
      </c>
      <c r="D559" t="s">
        <v>11998</v>
      </c>
      <c r="E559" t="s">
        <v>2100</v>
      </c>
      <c r="F559" t="s">
        <v>2101</v>
      </c>
      <c r="G559" s="712">
        <v>0</v>
      </c>
      <c r="H559">
        <v>0</v>
      </c>
      <c r="I559" s="713">
        <v>0</v>
      </c>
      <c r="J559" s="711">
        <v>1340754.17</v>
      </c>
      <c r="K559">
        <v>0</v>
      </c>
      <c r="L559">
        <v>0</v>
      </c>
      <c r="M559">
        <v>0</v>
      </c>
      <c r="N559" s="711">
        <v>1340754.17</v>
      </c>
      <c r="O559">
        <v>0</v>
      </c>
      <c r="P559" s="711">
        <v>1340754.17</v>
      </c>
      <c r="Q559" s="724" t="str">
        <f>VLOOKUP($E559,SP_2024_v28062025!$E$2:$M$1751,9,FALSE)</f>
        <v>ABA711</v>
      </c>
    </row>
    <row r="560" spans="1:19">
      <c r="A560">
        <v>1</v>
      </c>
      <c r="B560" t="s">
        <v>11955</v>
      </c>
      <c r="C560" t="s">
        <v>11973</v>
      </c>
      <c r="D560" t="s">
        <v>11998</v>
      </c>
      <c r="E560" t="s">
        <v>2160</v>
      </c>
      <c r="F560" t="s">
        <v>2161</v>
      </c>
      <c r="G560" s="712">
        <v>45</v>
      </c>
      <c r="H560">
        <v>0</v>
      </c>
      <c r="I560" s="713">
        <v>45</v>
      </c>
      <c r="J560">
        <v>0</v>
      </c>
      <c r="K560">
        <v>0</v>
      </c>
      <c r="L560">
        <v>0</v>
      </c>
      <c r="M560">
        <v>0</v>
      </c>
      <c r="N560">
        <v>45</v>
      </c>
      <c r="O560">
        <v>0</v>
      </c>
      <c r="P560">
        <v>45</v>
      </c>
      <c r="Q560" s="724" t="str">
        <f>VLOOKUP($E560,SP_2024_v28062025!$E$2:$M$1751,9,FALSE)</f>
        <v>ABA714</v>
      </c>
    </row>
    <row r="561" spans="1:17">
      <c r="A561">
        <v>1</v>
      </c>
      <c r="B561" t="s">
        <v>11955</v>
      </c>
      <c r="C561" t="s">
        <v>11973</v>
      </c>
      <c r="D561" t="s">
        <v>11998</v>
      </c>
      <c r="E561" t="s">
        <v>2102</v>
      </c>
      <c r="F561" t="s">
        <v>2103</v>
      </c>
      <c r="G561" s="714">
        <v>22716.78</v>
      </c>
      <c r="H561">
        <v>0</v>
      </c>
      <c r="I561" s="715">
        <v>22716.78</v>
      </c>
      <c r="J561">
        <v>0</v>
      </c>
      <c r="K561">
        <v>0</v>
      </c>
      <c r="L561">
        <v>0</v>
      </c>
      <c r="M561">
        <v>0</v>
      </c>
      <c r="N561" s="711">
        <v>22716.78</v>
      </c>
      <c r="O561">
        <v>0</v>
      </c>
      <c r="P561" s="711">
        <v>22716.78</v>
      </c>
      <c r="Q561" s="724" t="str">
        <f>VLOOKUP($E561,SP_2024_v28062025!$E$2:$M$1751,9,FALSE)</f>
        <v>ABA711</v>
      </c>
    </row>
    <row r="562" spans="1:17">
      <c r="A562">
        <v>1</v>
      </c>
      <c r="B562" t="s">
        <v>11955</v>
      </c>
      <c r="C562" t="s">
        <v>11973</v>
      </c>
      <c r="D562" t="s">
        <v>11998</v>
      </c>
      <c r="E562" t="s">
        <v>2105</v>
      </c>
      <c r="F562" t="s">
        <v>2106</v>
      </c>
      <c r="G562" s="712">
        <v>0</v>
      </c>
      <c r="H562">
        <v>0</v>
      </c>
      <c r="I562" s="713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 s="724" t="str">
        <f>VLOOKUP($E562,SP_2024_v28062025!$E$2:$M$1751,9,FALSE)</f>
        <v>ABA711</v>
      </c>
    </row>
    <row r="563" spans="1:17">
      <c r="A563">
        <v>1</v>
      </c>
      <c r="B563" t="s">
        <v>11955</v>
      </c>
      <c r="C563" t="s">
        <v>11973</v>
      </c>
      <c r="D563" t="s">
        <v>11998</v>
      </c>
      <c r="E563" t="s">
        <v>2107</v>
      </c>
      <c r="F563" t="s">
        <v>2108</v>
      </c>
      <c r="G563" s="714">
        <v>1232534.8999999999</v>
      </c>
      <c r="H563">
        <v>0</v>
      </c>
      <c r="I563" s="715">
        <v>1232534.8999999999</v>
      </c>
      <c r="J563" s="711">
        <v>1539012.51</v>
      </c>
      <c r="K563" s="711">
        <v>600555.47</v>
      </c>
      <c r="L563">
        <v>0</v>
      </c>
      <c r="M563">
        <v>0</v>
      </c>
      <c r="N563" s="711">
        <v>2771547.41</v>
      </c>
      <c r="O563" s="711">
        <v>600555.47</v>
      </c>
      <c r="P563" s="711">
        <v>2170991.94</v>
      </c>
      <c r="Q563" s="724" t="str">
        <f>VLOOKUP($E563,SP_2024_v28062025!$E$2:$M$1751,9,FALSE)</f>
        <v>ABA711</v>
      </c>
    </row>
    <row r="564" spans="1:17">
      <c r="A564">
        <v>1</v>
      </c>
      <c r="B564" t="s">
        <v>11955</v>
      </c>
      <c r="C564" t="s">
        <v>11973</v>
      </c>
      <c r="D564" t="s">
        <v>11998</v>
      </c>
      <c r="E564" s="723" t="s">
        <v>2109</v>
      </c>
      <c r="F564" t="s">
        <v>2110</v>
      </c>
      <c r="G564" s="714">
        <v>237234.41</v>
      </c>
      <c r="H564">
        <v>0</v>
      </c>
      <c r="I564" s="715">
        <v>237234.41</v>
      </c>
      <c r="J564" s="711">
        <v>28293.85</v>
      </c>
      <c r="K564" s="711">
        <v>131773.60999999999</v>
      </c>
      <c r="L564">
        <v>0</v>
      </c>
      <c r="M564">
        <v>0</v>
      </c>
      <c r="N564" s="711">
        <v>265528.26</v>
      </c>
      <c r="O564" s="711">
        <v>131773.60999999999</v>
      </c>
      <c r="P564" s="711">
        <v>133754.65</v>
      </c>
      <c r="Q564" s="724" t="str">
        <f>VLOOKUP($E564,SP_2024_v28062025!$E$2:$M$1751,9,FALSE)</f>
        <v>ABA711</v>
      </c>
    </row>
    <row r="565" spans="1:17">
      <c r="A565">
        <v>1</v>
      </c>
      <c r="B565" t="s">
        <v>11955</v>
      </c>
      <c r="C565" t="s">
        <v>11973</v>
      </c>
      <c r="D565" t="s">
        <v>11998</v>
      </c>
      <c r="E565" t="s">
        <v>2113</v>
      </c>
      <c r="F565" t="s">
        <v>2114</v>
      </c>
      <c r="G565" s="714">
        <v>382240.32</v>
      </c>
      <c r="H565">
        <v>0</v>
      </c>
      <c r="I565" s="715">
        <v>382240.32</v>
      </c>
      <c r="J565">
        <v>0</v>
      </c>
      <c r="K565">
        <v>0</v>
      </c>
      <c r="L565">
        <v>0</v>
      </c>
      <c r="M565">
        <v>0</v>
      </c>
      <c r="N565" s="711">
        <v>382240.32</v>
      </c>
      <c r="O565">
        <v>0</v>
      </c>
      <c r="P565" s="711">
        <v>382240.32</v>
      </c>
      <c r="Q565" s="724" t="str">
        <f>VLOOKUP($E565,SP_2024_v28062025!$E$2:$M$1751,9,FALSE)</f>
        <v>ABA711</v>
      </c>
    </row>
    <row r="566" spans="1:17">
      <c r="A566">
        <v>1</v>
      </c>
      <c r="B566" t="s">
        <v>11955</v>
      </c>
      <c r="C566" t="s">
        <v>11973</v>
      </c>
      <c r="D566" t="s">
        <v>11998</v>
      </c>
      <c r="E566" s="723" t="s">
        <v>2115</v>
      </c>
      <c r="F566" t="s">
        <v>2116</v>
      </c>
      <c r="G566" s="714">
        <v>18707.86</v>
      </c>
      <c r="H566" s="711">
        <v>8416.75</v>
      </c>
      <c r="I566" s="715">
        <v>10291.11</v>
      </c>
      <c r="J566">
        <v>0</v>
      </c>
      <c r="K566">
        <v>0</v>
      </c>
      <c r="L566">
        <v>0</v>
      </c>
      <c r="M566">
        <v>0</v>
      </c>
      <c r="N566" s="711">
        <v>18707.86</v>
      </c>
      <c r="O566" s="711">
        <v>8416.75</v>
      </c>
      <c r="P566" s="711">
        <v>10291.11</v>
      </c>
      <c r="Q566" s="724" t="str">
        <f>VLOOKUP($E566,SP_2024_v28062025!$E$2:$M$1751,9,FALSE)</f>
        <v>ABA711</v>
      </c>
    </row>
    <row r="567" spans="1:17">
      <c r="A567">
        <v>1</v>
      </c>
      <c r="B567" t="s">
        <v>11955</v>
      </c>
      <c r="C567" t="s">
        <v>11973</v>
      </c>
      <c r="D567" t="s">
        <v>11998</v>
      </c>
      <c r="E567" t="s">
        <v>2117</v>
      </c>
      <c r="F567" t="s">
        <v>2118</v>
      </c>
      <c r="G567" s="714">
        <v>741830.83</v>
      </c>
      <c r="H567">
        <v>0</v>
      </c>
      <c r="I567" s="715">
        <v>741830.83</v>
      </c>
      <c r="J567" s="711">
        <v>752643.74</v>
      </c>
      <c r="K567" s="711">
        <v>741312.47</v>
      </c>
      <c r="L567">
        <v>0</v>
      </c>
      <c r="M567">
        <v>0</v>
      </c>
      <c r="N567" s="711">
        <v>1494474.57</v>
      </c>
      <c r="O567" s="711">
        <v>741312.47</v>
      </c>
      <c r="P567" s="711">
        <v>753162.1</v>
      </c>
      <c r="Q567" s="724" t="str">
        <f>VLOOKUP($E567,SP_2024_v28062025!$E$2:$M$1751,9,FALSE)</f>
        <v>ABA711</v>
      </c>
    </row>
    <row r="568" spans="1:17">
      <c r="A568">
        <v>1</v>
      </c>
      <c r="B568" t="s">
        <v>11955</v>
      </c>
      <c r="C568" t="s">
        <v>11973</v>
      </c>
      <c r="D568" t="s">
        <v>11998</v>
      </c>
      <c r="E568" t="s">
        <v>2119</v>
      </c>
      <c r="F568" t="s">
        <v>2120</v>
      </c>
      <c r="G568" s="714">
        <v>309923.68</v>
      </c>
      <c r="H568">
        <v>0</v>
      </c>
      <c r="I568" s="715">
        <v>309923.68</v>
      </c>
      <c r="J568">
        <v>0</v>
      </c>
      <c r="K568">
        <v>0</v>
      </c>
      <c r="L568">
        <v>0</v>
      </c>
      <c r="M568">
        <v>0</v>
      </c>
      <c r="N568" s="711">
        <v>309923.68</v>
      </c>
      <c r="O568">
        <v>0</v>
      </c>
      <c r="P568" s="711">
        <v>309923.68</v>
      </c>
      <c r="Q568" s="724" t="str">
        <f>VLOOKUP($E568,SP_2024_v28062025!$E$2:$M$1751,9,FALSE)</f>
        <v>ABA711</v>
      </c>
    </row>
    <row r="569" spans="1:17">
      <c r="A569">
        <v>1</v>
      </c>
      <c r="B569" t="s">
        <v>11955</v>
      </c>
      <c r="C569" t="s">
        <v>11973</v>
      </c>
      <c r="D569" t="s">
        <v>11998</v>
      </c>
      <c r="E569" t="s">
        <v>2121</v>
      </c>
      <c r="F569" t="s">
        <v>2122</v>
      </c>
      <c r="G569" s="712">
        <v>0</v>
      </c>
      <c r="H569">
        <v>0</v>
      </c>
      <c r="I569" s="713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 s="724" t="str">
        <f>VLOOKUP($E569,SP_2024_v28062025!$E$2:$M$1751,9,FALSE)</f>
        <v>ABA711</v>
      </c>
    </row>
    <row r="570" spans="1:17">
      <c r="A570">
        <v>1</v>
      </c>
      <c r="B570" t="s">
        <v>11955</v>
      </c>
      <c r="C570" t="s">
        <v>11973</v>
      </c>
      <c r="D570" t="s">
        <v>11998</v>
      </c>
      <c r="E570" t="s">
        <v>2123</v>
      </c>
      <c r="F570" t="s">
        <v>2124</v>
      </c>
      <c r="G570" s="712">
        <v>0</v>
      </c>
      <c r="H570">
        <v>0</v>
      </c>
      <c r="I570" s="713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 s="724" t="str">
        <f>VLOOKUP($E570,SP_2024_v28062025!$E$2:$M$1751,9,FALSE)</f>
        <v>ABA711</v>
      </c>
    </row>
    <row r="571" spans="1:17">
      <c r="A571">
        <v>1</v>
      </c>
      <c r="B571" t="s">
        <v>11955</v>
      </c>
      <c r="C571" t="s">
        <v>11973</v>
      </c>
      <c r="D571" t="s">
        <v>11998</v>
      </c>
      <c r="E571" t="s">
        <v>2125</v>
      </c>
      <c r="F571" t="s">
        <v>2126</v>
      </c>
      <c r="G571" s="712">
        <v>0</v>
      </c>
      <c r="H571">
        <v>0</v>
      </c>
      <c r="I571" s="713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 s="724" t="str">
        <f>VLOOKUP($E571,SP_2024_v28062025!$E$2:$M$1751,9,FALSE)</f>
        <v>ABA710</v>
      </c>
    </row>
    <row r="572" spans="1:17">
      <c r="A572">
        <v>1</v>
      </c>
      <c r="B572" t="s">
        <v>11955</v>
      </c>
      <c r="C572" t="s">
        <v>11973</v>
      </c>
      <c r="D572" t="s">
        <v>11998</v>
      </c>
      <c r="E572" t="s">
        <v>2127</v>
      </c>
      <c r="F572" t="s">
        <v>2128</v>
      </c>
      <c r="G572" s="712">
        <v>0</v>
      </c>
      <c r="H572">
        <v>0</v>
      </c>
      <c r="I572" s="713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 s="724" t="str">
        <f>VLOOKUP($E572,SP_2024_v28062025!$E$2:$M$1751,9,FALSE)</f>
        <v>ABA710</v>
      </c>
    </row>
    <row r="573" spans="1:17">
      <c r="A573">
        <v>1</v>
      </c>
      <c r="B573" t="s">
        <v>11955</v>
      </c>
      <c r="C573" t="s">
        <v>11973</v>
      </c>
      <c r="D573" t="s">
        <v>11998</v>
      </c>
      <c r="E573" t="s">
        <v>2129</v>
      </c>
      <c r="F573" t="s">
        <v>2130</v>
      </c>
      <c r="G573" s="712">
        <v>0</v>
      </c>
      <c r="H573">
        <v>0</v>
      </c>
      <c r="I573" s="71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 s="724" t="str">
        <f>VLOOKUP($E573,SP_2024_v28062025!$E$2:$M$1751,9,FALSE)</f>
        <v>ABA710</v>
      </c>
    </row>
    <row r="574" spans="1:17">
      <c r="A574">
        <v>1</v>
      </c>
      <c r="B574" t="s">
        <v>11955</v>
      </c>
      <c r="C574" t="s">
        <v>11973</v>
      </c>
      <c r="D574" t="s">
        <v>11998</v>
      </c>
      <c r="E574" t="s">
        <v>2131</v>
      </c>
      <c r="F574" t="s">
        <v>2132</v>
      </c>
      <c r="G574" s="712">
        <v>0</v>
      </c>
      <c r="H574">
        <v>0</v>
      </c>
      <c r="I574" s="713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 s="724" t="str">
        <f>VLOOKUP($E574,SP_2024_v28062025!$E$2:$M$1751,9,FALSE)</f>
        <v>ABA710</v>
      </c>
    </row>
    <row r="575" spans="1:17">
      <c r="A575">
        <v>1</v>
      </c>
      <c r="B575" t="s">
        <v>11955</v>
      </c>
      <c r="C575" t="s">
        <v>11973</v>
      </c>
      <c r="D575" t="s">
        <v>11998</v>
      </c>
      <c r="E575" t="s">
        <v>2133</v>
      </c>
      <c r="F575" t="s">
        <v>2134</v>
      </c>
      <c r="G575" s="712">
        <v>0</v>
      </c>
      <c r="H575">
        <v>0</v>
      </c>
      <c r="I575" s="713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 s="724" t="str">
        <f>VLOOKUP($E575,SP_2024_v28062025!$E$2:$M$1751,9,FALSE)</f>
        <v>ABA710</v>
      </c>
    </row>
    <row r="576" spans="1:17">
      <c r="A576">
        <v>1</v>
      </c>
      <c r="B576" t="s">
        <v>11955</v>
      </c>
      <c r="C576" t="s">
        <v>11973</v>
      </c>
      <c r="D576" t="s">
        <v>11998</v>
      </c>
      <c r="E576" t="s">
        <v>2135</v>
      </c>
      <c r="F576" t="s">
        <v>2136</v>
      </c>
      <c r="G576" s="712">
        <v>0</v>
      </c>
      <c r="H576">
        <v>0</v>
      </c>
      <c r="I576" s="713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 s="724" t="str">
        <f>VLOOKUP($E576,SP_2024_v28062025!$E$2:$M$1751,9,FALSE)</f>
        <v>ABA710</v>
      </c>
    </row>
    <row r="577" spans="1:17">
      <c r="A577">
        <v>1</v>
      </c>
      <c r="B577" t="s">
        <v>11955</v>
      </c>
      <c r="C577" t="s">
        <v>11973</v>
      </c>
      <c r="D577" t="s">
        <v>11998</v>
      </c>
      <c r="E577" t="s">
        <v>2137</v>
      </c>
      <c r="F577" t="s">
        <v>2138</v>
      </c>
      <c r="G577" s="712">
        <v>0</v>
      </c>
      <c r="H577">
        <v>0</v>
      </c>
      <c r="I577" s="713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 s="724" t="str">
        <f>VLOOKUP($E577,SP_2024_v28062025!$E$2:$M$1751,9,FALSE)</f>
        <v>ABA710</v>
      </c>
    </row>
    <row r="578" spans="1:17">
      <c r="A578">
        <v>1</v>
      </c>
      <c r="B578" t="s">
        <v>11955</v>
      </c>
      <c r="C578" t="s">
        <v>11973</v>
      </c>
      <c r="D578" t="s">
        <v>11998</v>
      </c>
      <c r="E578" t="s">
        <v>2139</v>
      </c>
      <c r="F578" t="s">
        <v>2140</v>
      </c>
      <c r="G578" s="712">
        <v>0</v>
      </c>
      <c r="H578">
        <v>0</v>
      </c>
      <c r="I578" s="713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 s="724" t="str">
        <f>VLOOKUP($E578,SP_2024_v28062025!$E$2:$M$1751,9,FALSE)</f>
        <v>ABA710</v>
      </c>
    </row>
    <row r="579" spans="1:17">
      <c r="A579">
        <v>1</v>
      </c>
      <c r="B579" t="s">
        <v>11955</v>
      </c>
      <c r="C579" t="s">
        <v>11973</v>
      </c>
      <c r="D579" t="s">
        <v>11998</v>
      </c>
      <c r="E579" t="s">
        <v>2141</v>
      </c>
      <c r="F579" t="s">
        <v>2142</v>
      </c>
      <c r="G579" s="712">
        <v>0</v>
      </c>
      <c r="H579">
        <v>0</v>
      </c>
      <c r="I579" s="713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 s="724" t="str">
        <f>VLOOKUP($E579,SP_2024_v28062025!$E$2:$M$1751,9,FALSE)</f>
        <v>ABA712</v>
      </c>
    </row>
    <row r="580" spans="1:17">
      <c r="A580">
        <v>1</v>
      </c>
      <c r="B580" t="s">
        <v>11955</v>
      </c>
      <c r="C580" t="s">
        <v>11973</v>
      </c>
      <c r="D580" t="s">
        <v>11998</v>
      </c>
      <c r="E580" t="s">
        <v>2143</v>
      </c>
      <c r="F580" t="s">
        <v>2030</v>
      </c>
      <c r="G580" s="712">
        <v>0</v>
      </c>
      <c r="H580">
        <v>0</v>
      </c>
      <c r="I580" s="713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 s="724" t="str">
        <f>VLOOKUP($E580,SP_2024_v28062025!$E$2:$M$1751,9,FALSE)</f>
        <v>ABA712</v>
      </c>
    </row>
    <row r="581" spans="1:17">
      <c r="A581">
        <v>1</v>
      </c>
      <c r="B581" t="s">
        <v>11955</v>
      </c>
      <c r="C581" t="s">
        <v>11973</v>
      </c>
      <c r="D581" t="s">
        <v>11998</v>
      </c>
      <c r="E581" t="s">
        <v>2144</v>
      </c>
      <c r="F581" t="s">
        <v>2145</v>
      </c>
      <c r="G581" s="712">
        <v>0</v>
      </c>
      <c r="H581">
        <v>0</v>
      </c>
      <c r="I581" s="713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 s="724" t="str">
        <f>VLOOKUP($E581,SP_2024_v28062025!$E$2:$M$1751,9,FALSE)</f>
        <v>ABA712</v>
      </c>
    </row>
    <row r="582" spans="1:17">
      <c r="A582">
        <v>1</v>
      </c>
      <c r="B582" t="s">
        <v>11955</v>
      </c>
      <c r="C582" t="s">
        <v>11973</v>
      </c>
      <c r="D582" t="s">
        <v>11998</v>
      </c>
      <c r="E582" t="s">
        <v>2146</v>
      </c>
      <c r="F582" t="s">
        <v>2147</v>
      </c>
      <c r="G582" s="712">
        <v>0</v>
      </c>
      <c r="H582">
        <v>0</v>
      </c>
      <c r="I582" s="713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 s="724" t="str">
        <f>VLOOKUP($E582,SP_2024_v28062025!$E$2:$M$1751,9,FALSE)</f>
        <v>ABA712</v>
      </c>
    </row>
    <row r="583" spans="1:17">
      <c r="A583">
        <v>1</v>
      </c>
      <c r="B583" t="s">
        <v>11955</v>
      </c>
      <c r="C583" t="s">
        <v>11973</v>
      </c>
      <c r="D583" t="s">
        <v>11998</v>
      </c>
      <c r="E583" t="s">
        <v>2148</v>
      </c>
      <c r="F583" t="s">
        <v>2032</v>
      </c>
      <c r="G583" s="712">
        <v>0</v>
      </c>
      <c r="H583">
        <v>0</v>
      </c>
      <c r="I583" s="71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 s="724" t="str">
        <f>VLOOKUP($E583,SP_2024_v28062025!$E$2:$M$1751,9,FALSE)</f>
        <v>ABA712</v>
      </c>
    </row>
    <row r="584" spans="1:17">
      <c r="A584">
        <v>1</v>
      </c>
      <c r="B584" t="s">
        <v>11955</v>
      </c>
      <c r="C584" t="s">
        <v>11973</v>
      </c>
      <c r="D584" t="s">
        <v>11998</v>
      </c>
      <c r="E584" t="s">
        <v>2149</v>
      </c>
      <c r="F584" t="s">
        <v>2034</v>
      </c>
      <c r="G584" s="712">
        <v>0</v>
      </c>
      <c r="H584">
        <v>0</v>
      </c>
      <c r="I584" s="713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 s="724" t="str">
        <f>VLOOKUP($E584,SP_2024_v28062025!$E$2:$M$1751,9,FALSE)</f>
        <v>ABA712</v>
      </c>
    </row>
    <row r="585" spans="1:17">
      <c r="A585">
        <v>1</v>
      </c>
      <c r="B585" t="s">
        <v>11955</v>
      </c>
      <c r="C585" t="s">
        <v>11973</v>
      </c>
      <c r="D585" t="s">
        <v>11998</v>
      </c>
      <c r="E585" t="s">
        <v>2150</v>
      </c>
      <c r="F585" t="s">
        <v>2036</v>
      </c>
      <c r="G585" s="712">
        <v>0</v>
      </c>
      <c r="H585">
        <v>0</v>
      </c>
      <c r="I585" s="713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 s="724" t="str">
        <f>VLOOKUP($E585,SP_2024_v28062025!$E$2:$M$1751,9,FALSE)</f>
        <v>ABA712</v>
      </c>
    </row>
    <row r="586" spans="1:17">
      <c r="A586">
        <v>1</v>
      </c>
      <c r="B586" t="s">
        <v>11955</v>
      </c>
      <c r="C586" t="s">
        <v>11973</v>
      </c>
      <c r="D586" t="s">
        <v>11998</v>
      </c>
      <c r="E586" t="s">
        <v>2151</v>
      </c>
      <c r="F586" t="s">
        <v>2038</v>
      </c>
      <c r="G586" s="712">
        <v>0</v>
      </c>
      <c r="H586">
        <v>0</v>
      </c>
      <c r="I586" s="713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 s="724" t="str">
        <f>VLOOKUP($E586,SP_2024_v28062025!$E$2:$M$1751,9,FALSE)</f>
        <v>ABA712</v>
      </c>
    </row>
    <row r="587" spans="1:17">
      <c r="A587">
        <v>1</v>
      </c>
      <c r="B587" t="s">
        <v>11955</v>
      </c>
      <c r="C587" t="s">
        <v>11973</v>
      </c>
      <c r="D587" t="s">
        <v>11998</v>
      </c>
      <c r="E587" t="s">
        <v>2152</v>
      </c>
      <c r="F587" t="s">
        <v>2153</v>
      </c>
      <c r="G587" s="712">
        <v>0</v>
      </c>
      <c r="H587">
        <v>0</v>
      </c>
      <c r="I587" s="713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 s="724" t="str">
        <f>VLOOKUP($E587,SP_2024_v28062025!$E$2:$M$1751,9,FALSE)</f>
        <v>ABA712</v>
      </c>
    </row>
    <row r="588" spans="1:17">
      <c r="A588">
        <v>1</v>
      </c>
      <c r="B588" t="s">
        <v>11955</v>
      </c>
      <c r="C588" t="s">
        <v>11973</v>
      </c>
      <c r="D588" t="s">
        <v>11998</v>
      </c>
      <c r="E588" t="s">
        <v>2154</v>
      </c>
      <c r="F588" t="s">
        <v>2042</v>
      </c>
      <c r="G588" s="712">
        <v>0</v>
      </c>
      <c r="H588">
        <v>0</v>
      </c>
      <c r="I588" s="713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 s="724" t="str">
        <f>VLOOKUP($E588,SP_2024_v28062025!$E$2:$M$1751,9,FALSE)</f>
        <v>ABA712</v>
      </c>
    </row>
    <row r="589" spans="1:17">
      <c r="A589">
        <v>1</v>
      </c>
      <c r="B589" t="s">
        <v>11955</v>
      </c>
      <c r="C589" t="s">
        <v>11973</v>
      </c>
      <c r="D589" t="s">
        <v>11998</v>
      </c>
      <c r="E589" t="s">
        <v>2155</v>
      </c>
      <c r="F589" t="s">
        <v>2156</v>
      </c>
      <c r="G589" s="712">
        <v>0</v>
      </c>
      <c r="H589">
        <v>0</v>
      </c>
      <c r="I589" s="713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 s="724" t="str">
        <f>VLOOKUP($E589,SP_2024_v28062025!$E$2:$M$1751,9,FALSE)</f>
        <v>ABA712</v>
      </c>
    </row>
    <row r="590" spans="1:17">
      <c r="A590">
        <v>1</v>
      </c>
      <c r="B590" t="s">
        <v>11955</v>
      </c>
      <c r="C590" t="s">
        <v>11973</v>
      </c>
      <c r="D590" t="s">
        <v>11998</v>
      </c>
      <c r="E590" t="s">
        <v>2165</v>
      </c>
      <c r="F590" t="s">
        <v>2166</v>
      </c>
      <c r="G590" s="712">
        <v>0</v>
      </c>
      <c r="H590">
        <v>0</v>
      </c>
      <c r="I590" s="713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 s="724" t="str">
        <f>VLOOKUP($E590,SP_2024_v28062025!$E$2:$M$1751,9,FALSE)</f>
        <v>ABA715</v>
      </c>
    </row>
    <row r="591" spans="1:17">
      <c r="A591">
        <v>1</v>
      </c>
      <c r="B591" t="s">
        <v>11955</v>
      </c>
      <c r="C591" t="s">
        <v>11973</v>
      </c>
      <c r="D591" t="s">
        <v>11998</v>
      </c>
      <c r="E591" t="s">
        <v>2170</v>
      </c>
      <c r="F591" t="s">
        <v>2171</v>
      </c>
      <c r="G591" s="712">
        <v>0</v>
      </c>
      <c r="H591">
        <v>0</v>
      </c>
      <c r="I591" s="713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 s="724" t="str">
        <f>VLOOKUP($E591,SP_2024_v28062025!$E$2:$M$1751,9,FALSE)</f>
        <v>ABA715</v>
      </c>
    </row>
    <row r="592" spans="1:17">
      <c r="A592">
        <v>1</v>
      </c>
      <c r="B592" t="s">
        <v>11955</v>
      </c>
      <c r="C592" t="s">
        <v>11973</v>
      </c>
      <c r="D592" t="s">
        <v>11998</v>
      </c>
      <c r="E592" t="s">
        <v>2172</v>
      </c>
      <c r="F592" t="s">
        <v>2173</v>
      </c>
      <c r="G592" s="712">
        <v>0</v>
      </c>
      <c r="H592">
        <v>0</v>
      </c>
      <c r="I592" s="713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 s="724" t="str">
        <f>VLOOKUP($E592,SP_2024_v28062025!$E$2:$M$1751,9,FALSE)</f>
        <v>ABA715</v>
      </c>
    </row>
    <row r="593" spans="1:17">
      <c r="A593">
        <v>1</v>
      </c>
      <c r="B593" t="s">
        <v>11955</v>
      </c>
      <c r="C593" t="s">
        <v>11973</v>
      </c>
      <c r="D593" t="s">
        <v>11998</v>
      </c>
      <c r="E593" t="s">
        <v>2174</v>
      </c>
      <c r="F593" t="s">
        <v>2175</v>
      </c>
      <c r="G593" s="712">
        <v>0</v>
      </c>
      <c r="H593">
        <v>0</v>
      </c>
      <c r="I593" s="71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 s="724" t="str">
        <f>VLOOKUP($E593,SP_2024_v28062025!$E$2:$M$1751,9,FALSE)</f>
        <v>ABA715</v>
      </c>
    </row>
    <row r="594" spans="1:17">
      <c r="A594">
        <v>1</v>
      </c>
      <c r="B594" t="s">
        <v>11955</v>
      </c>
      <c r="C594" t="s">
        <v>11973</v>
      </c>
      <c r="D594" t="s">
        <v>11998</v>
      </c>
      <c r="E594" t="s">
        <v>2176</v>
      </c>
      <c r="F594" t="s">
        <v>2177</v>
      </c>
      <c r="G594" s="712">
        <v>0</v>
      </c>
      <c r="H594">
        <v>0</v>
      </c>
      <c r="I594" s="713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 s="724" t="str">
        <f>VLOOKUP($E594,SP_2024_v28062025!$E$2:$M$1751,9,FALSE)</f>
        <v>ABA715</v>
      </c>
    </row>
    <row r="595" spans="1:17">
      <c r="A595">
        <v>1</v>
      </c>
      <c r="B595" t="s">
        <v>11955</v>
      </c>
      <c r="C595" t="s">
        <v>11973</v>
      </c>
      <c r="D595" t="s">
        <v>11998</v>
      </c>
      <c r="E595" t="s">
        <v>2179</v>
      </c>
      <c r="F595" t="s">
        <v>2180</v>
      </c>
      <c r="G595" s="712">
        <v>0</v>
      </c>
      <c r="H595">
        <v>0</v>
      </c>
      <c r="I595" s="713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 s="724" t="str">
        <f>VLOOKUP($E595,SP_2024_v28062025!$E$2:$M$1751,9,FALSE)</f>
        <v>ABA715</v>
      </c>
    </row>
    <row r="596" spans="1:17">
      <c r="A596">
        <v>1</v>
      </c>
      <c r="B596" t="s">
        <v>11955</v>
      </c>
      <c r="C596" t="s">
        <v>11973</v>
      </c>
      <c r="D596" t="s">
        <v>11998</v>
      </c>
      <c r="E596" t="s">
        <v>2182</v>
      </c>
      <c r="F596" t="s">
        <v>2183</v>
      </c>
      <c r="G596" s="712">
        <v>0</v>
      </c>
      <c r="H596">
        <v>0</v>
      </c>
      <c r="I596" s="713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 s="724" t="str">
        <f>VLOOKUP($E596,SP_2024_v28062025!$E$2:$M$1751,9,FALSE)</f>
        <v>ABA715</v>
      </c>
    </row>
    <row r="597" spans="1:17">
      <c r="A597">
        <v>1</v>
      </c>
      <c r="B597" t="s">
        <v>11955</v>
      </c>
      <c r="C597" t="s">
        <v>11973</v>
      </c>
      <c r="D597" t="s">
        <v>11998</v>
      </c>
      <c r="E597" t="s">
        <v>2184</v>
      </c>
      <c r="F597" t="s">
        <v>2185</v>
      </c>
      <c r="G597" s="712">
        <v>0</v>
      </c>
      <c r="H597" s="711">
        <v>30110.42</v>
      </c>
      <c r="I597" s="715">
        <v>30110.42</v>
      </c>
      <c r="J597" s="711">
        <v>36297.07</v>
      </c>
      <c r="K597">
        <v>0</v>
      </c>
      <c r="L597">
        <v>0</v>
      </c>
      <c r="M597">
        <v>0</v>
      </c>
      <c r="N597" s="711">
        <v>36297.07</v>
      </c>
      <c r="O597" s="711">
        <v>30110.42</v>
      </c>
      <c r="P597" s="711">
        <v>6186.65</v>
      </c>
      <c r="Q597" s="724" t="str">
        <f>VLOOKUP($E597,SP_2024_v28062025!$E$2:$M$1751,9,FALSE)</f>
        <v>ABA715</v>
      </c>
    </row>
    <row r="598" spans="1:17" ht="15.75" thickBot="1">
      <c r="A598">
        <v>1</v>
      </c>
      <c r="B598" t="s">
        <v>11955</v>
      </c>
      <c r="C598" t="s">
        <v>11973</v>
      </c>
      <c r="D598" t="s">
        <v>11998</v>
      </c>
      <c r="E598" t="s">
        <v>2186</v>
      </c>
      <c r="F598" t="s">
        <v>2187</v>
      </c>
      <c r="G598" s="712">
        <v>0</v>
      </c>
      <c r="H598">
        <v>0</v>
      </c>
      <c r="I598" s="713">
        <v>0</v>
      </c>
      <c r="J598">
        <v>0</v>
      </c>
      <c r="K598" s="711">
        <v>67569</v>
      </c>
      <c r="L598">
        <v>0</v>
      </c>
      <c r="M598">
        <v>0</v>
      </c>
      <c r="N598">
        <v>0</v>
      </c>
      <c r="O598" s="711">
        <v>67569</v>
      </c>
      <c r="P598" s="711">
        <v>-67569</v>
      </c>
      <c r="Q598" s="724" t="str">
        <f>VLOOKUP($E598,SP_2024_v28062025!$E$2:$M$1751,9,FALSE)</f>
        <v>ABA715</v>
      </c>
    </row>
    <row r="599" spans="1:17" ht="15.75" thickBot="1">
      <c r="A599" s="727">
        <v>1</v>
      </c>
      <c r="B599" s="727" t="s">
        <v>11955</v>
      </c>
      <c r="C599" s="727" t="s">
        <v>11973</v>
      </c>
      <c r="D599" s="727" t="s">
        <v>11999</v>
      </c>
      <c r="E599" s="727"/>
      <c r="F599" s="729" t="s">
        <v>11</v>
      </c>
      <c r="G599" s="738">
        <v>0</v>
      </c>
      <c r="H599" s="739">
        <v>638020.14</v>
      </c>
      <c r="I599" s="739">
        <v>638020.14</v>
      </c>
      <c r="J599" s="738">
        <v>0</v>
      </c>
      <c r="K599" s="738">
        <v>0</v>
      </c>
      <c r="L599" s="738">
        <v>0</v>
      </c>
      <c r="M599" s="738">
        <v>0</v>
      </c>
      <c r="N599" s="738">
        <v>0</v>
      </c>
      <c r="O599" s="739">
        <v>638020.14</v>
      </c>
      <c r="P599" s="739">
        <v>-638020.14</v>
      </c>
    </row>
    <row r="600" spans="1:17">
      <c r="A600">
        <v>1</v>
      </c>
      <c r="B600" t="s">
        <v>11955</v>
      </c>
      <c r="C600" t="s">
        <v>11973</v>
      </c>
      <c r="D600" t="s">
        <v>11999</v>
      </c>
      <c r="E600" t="s">
        <v>2188</v>
      </c>
      <c r="F600" t="s">
        <v>2189</v>
      </c>
      <c r="G600" s="712">
        <v>0</v>
      </c>
      <c r="H600" s="711">
        <v>626202.14</v>
      </c>
      <c r="I600" s="715">
        <v>626202.14</v>
      </c>
      <c r="J600">
        <v>0</v>
      </c>
      <c r="K600">
        <v>0</v>
      </c>
      <c r="L600">
        <v>0</v>
      </c>
      <c r="M600">
        <v>0</v>
      </c>
      <c r="N600">
        <v>0</v>
      </c>
      <c r="O600" s="711">
        <v>626202.14</v>
      </c>
      <c r="P600" s="711">
        <v>-626202.14</v>
      </c>
      <c r="Q600" s="724" t="str">
        <f>VLOOKUP($E600,SP_2024_v28062025!$E$2:$M$1751,9,FALSE)</f>
        <v>ABA670</v>
      </c>
    </row>
    <row r="601" spans="1:17">
      <c r="A601">
        <v>1</v>
      </c>
      <c r="B601" t="s">
        <v>11955</v>
      </c>
      <c r="C601" t="s">
        <v>11973</v>
      </c>
      <c r="D601" t="s">
        <v>11999</v>
      </c>
      <c r="E601" t="s">
        <v>2191</v>
      </c>
      <c r="F601" t="s">
        <v>2192</v>
      </c>
      <c r="G601" s="712">
        <v>0</v>
      </c>
      <c r="H601">
        <v>0</v>
      </c>
      <c r="I601" s="713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 s="724" t="str">
        <f>VLOOKUP($E601,SP_2024_v28062025!$E$2:$M$1751,9,FALSE)</f>
        <v>ABA680</v>
      </c>
    </row>
    <row r="602" spans="1:17">
      <c r="A602">
        <v>1</v>
      </c>
      <c r="B602" t="s">
        <v>11955</v>
      </c>
      <c r="C602" t="s">
        <v>11973</v>
      </c>
      <c r="D602" t="s">
        <v>11999</v>
      </c>
      <c r="E602" t="s">
        <v>2194</v>
      </c>
      <c r="F602" t="s">
        <v>2195</v>
      </c>
      <c r="G602" s="712">
        <v>0</v>
      </c>
      <c r="H602">
        <v>0</v>
      </c>
      <c r="I602" s="713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 s="724" t="str">
        <f>VLOOKUP($E602,SP_2024_v28062025!$E$2:$M$1751,9,FALSE)</f>
        <v>ABA690</v>
      </c>
    </row>
    <row r="603" spans="1:17">
      <c r="A603">
        <v>1</v>
      </c>
      <c r="B603" t="s">
        <v>11955</v>
      </c>
      <c r="C603" t="s">
        <v>11973</v>
      </c>
      <c r="D603" t="s">
        <v>11999</v>
      </c>
      <c r="E603" t="s">
        <v>2197</v>
      </c>
      <c r="F603" t="s">
        <v>2198</v>
      </c>
      <c r="G603" s="712">
        <v>0</v>
      </c>
      <c r="H603">
        <v>0</v>
      </c>
      <c r="I603" s="71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 s="724" t="str">
        <f>VLOOKUP($E603,SP_2024_v28062025!$E$2:$M$1751,9,FALSE)</f>
        <v>ABA700</v>
      </c>
    </row>
    <row r="604" spans="1:17">
      <c r="A604">
        <v>1</v>
      </c>
      <c r="B604" t="s">
        <v>11955</v>
      </c>
      <c r="C604" t="s">
        <v>11973</v>
      </c>
      <c r="D604" t="s">
        <v>11999</v>
      </c>
      <c r="E604" t="s">
        <v>2200</v>
      </c>
      <c r="F604" t="s">
        <v>2201</v>
      </c>
      <c r="G604" s="712">
        <v>0</v>
      </c>
      <c r="H604" s="711">
        <v>11818</v>
      </c>
      <c r="I604" s="715">
        <v>11818</v>
      </c>
      <c r="J604">
        <v>0</v>
      </c>
      <c r="K604">
        <v>0</v>
      </c>
      <c r="L604">
        <v>0</v>
      </c>
      <c r="M604">
        <v>0</v>
      </c>
      <c r="N604">
        <v>0</v>
      </c>
      <c r="O604" s="711">
        <v>11818</v>
      </c>
      <c r="P604" s="711">
        <v>-11818</v>
      </c>
      <c r="Q604" s="724" t="str">
        <f>VLOOKUP($E604,SP_2024_v28062025!$E$2:$M$1751,9,FALSE)</f>
        <v>ABA710</v>
      </c>
    </row>
    <row r="605" spans="1:17" ht="15.75" thickBot="1">
      <c r="A605">
        <v>1</v>
      </c>
      <c r="B605" t="s">
        <v>11955</v>
      </c>
      <c r="C605" t="s">
        <v>11973</v>
      </c>
      <c r="D605" t="s">
        <v>11999</v>
      </c>
      <c r="E605" t="s">
        <v>2203</v>
      </c>
      <c r="F605" t="s">
        <v>2204</v>
      </c>
      <c r="G605" s="712">
        <v>0</v>
      </c>
      <c r="H605">
        <v>0</v>
      </c>
      <c r="I605" s="713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 s="724" t="str">
        <f>VLOOKUP($E605,SP_2024_v28062025!$E$2:$M$1751,9,FALSE)</f>
        <v>ABA713</v>
      </c>
    </row>
    <row r="606" spans="1:17" ht="15.75" thickBot="1">
      <c r="A606" s="727">
        <v>1</v>
      </c>
      <c r="B606" s="727" t="s">
        <v>11955</v>
      </c>
      <c r="C606" s="727" t="s">
        <v>11973</v>
      </c>
      <c r="D606" s="727" t="s">
        <v>12000</v>
      </c>
      <c r="E606" s="727"/>
      <c r="F606" s="729" t="s">
        <v>1337</v>
      </c>
      <c r="G606" s="738">
        <v>0</v>
      </c>
      <c r="H606" s="738">
        <v>0</v>
      </c>
      <c r="I606" s="738">
        <v>0</v>
      </c>
      <c r="J606" s="738">
        <v>0</v>
      </c>
      <c r="K606" s="738">
        <v>0</v>
      </c>
      <c r="L606" s="738">
        <v>0</v>
      </c>
      <c r="M606" s="738">
        <v>0</v>
      </c>
      <c r="N606" s="738">
        <v>0</v>
      </c>
      <c r="O606" s="738">
        <v>0</v>
      </c>
      <c r="P606" s="738">
        <v>0</v>
      </c>
    </row>
    <row r="607" spans="1:17" ht="15.75" thickBot="1">
      <c r="A607">
        <v>1</v>
      </c>
      <c r="B607" t="s">
        <v>11955</v>
      </c>
      <c r="C607" t="s">
        <v>11973</v>
      </c>
      <c r="D607" t="s">
        <v>12000</v>
      </c>
      <c r="E607" t="s">
        <v>1343</v>
      </c>
      <c r="F607" t="s">
        <v>1337</v>
      </c>
      <c r="G607" s="712">
        <v>0</v>
      </c>
      <c r="H607">
        <v>0</v>
      </c>
      <c r="I607" s="713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 s="724" t="str">
        <f>VLOOKUP($E607,SP_2024_v28062025!$E$2:$M$1751,9,FALSE)</f>
        <v>ABA201</v>
      </c>
    </row>
    <row r="608" spans="1:17" ht="15.75" thickBot="1">
      <c r="A608" s="727">
        <v>1</v>
      </c>
      <c r="B608" s="727" t="s">
        <v>11955</v>
      </c>
      <c r="C608" s="727" t="s">
        <v>11973</v>
      </c>
      <c r="D608" s="727" t="s">
        <v>12001</v>
      </c>
      <c r="E608" s="727"/>
      <c r="F608" s="729" t="s">
        <v>1371</v>
      </c>
      <c r="G608" s="738">
        <v>0</v>
      </c>
      <c r="H608" s="738">
        <v>0</v>
      </c>
      <c r="I608" s="738">
        <v>0</v>
      </c>
      <c r="J608" s="738">
        <v>0</v>
      </c>
      <c r="K608" s="738">
        <v>0</v>
      </c>
      <c r="L608" s="738">
        <v>0</v>
      </c>
      <c r="M608" s="738">
        <v>0</v>
      </c>
      <c r="N608" s="738">
        <v>0</v>
      </c>
      <c r="O608" s="738">
        <v>0</v>
      </c>
      <c r="P608" s="738">
        <v>0</v>
      </c>
    </row>
    <row r="609" spans="1:17" ht="15.75" thickBot="1">
      <c r="A609">
        <v>1</v>
      </c>
      <c r="B609" t="s">
        <v>11955</v>
      </c>
      <c r="C609" t="s">
        <v>11973</v>
      </c>
      <c r="D609" t="s">
        <v>12001</v>
      </c>
      <c r="E609" t="s">
        <v>1375</v>
      </c>
      <c r="F609" t="s">
        <v>1371</v>
      </c>
      <c r="G609" s="712">
        <v>0</v>
      </c>
      <c r="H609">
        <v>0</v>
      </c>
      <c r="I609" s="713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 s="724" t="str">
        <f>VLOOKUP($E609,SP_2024_v28062025!$E$2:$M$1751,9,FALSE)</f>
        <v>ABA271</v>
      </c>
    </row>
    <row r="610" spans="1:17" ht="15.75" thickBot="1">
      <c r="A610" s="727">
        <v>1</v>
      </c>
      <c r="B610" s="727" t="s">
        <v>11955</v>
      </c>
      <c r="C610" s="727" t="s">
        <v>11973</v>
      </c>
      <c r="D610" s="727" t="s">
        <v>12002</v>
      </c>
      <c r="E610" s="727"/>
      <c r="F610" s="729" t="s">
        <v>1764</v>
      </c>
      <c r="G610" s="738">
        <v>0</v>
      </c>
      <c r="H610" s="738">
        <v>0</v>
      </c>
      <c r="I610" s="738">
        <v>0</v>
      </c>
      <c r="J610" s="738">
        <v>0</v>
      </c>
      <c r="K610" s="738">
        <v>0</v>
      </c>
      <c r="L610" s="738">
        <v>0</v>
      </c>
      <c r="M610" s="738">
        <v>0</v>
      </c>
      <c r="N610" s="738">
        <v>0</v>
      </c>
      <c r="O610" s="738">
        <v>0</v>
      </c>
      <c r="P610" s="738">
        <v>0</v>
      </c>
    </row>
    <row r="611" spans="1:17" ht="15.75" thickBot="1">
      <c r="A611">
        <v>1</v>
      </c>
      <c r="B611" t="s">
        <v>11955</v>
      </c>
      <c r="C611" t="s">
        <v>11973</v>
      </c>
      <c r="D611" t="s">
        <v>12002</v>
      </c>
      <c r="E611" t="s">
        <v>1768</v>
      </c>
      <c r="F611" t="s">
        <v>1764</v>
      </c>
      <c r="G611" s="712">
        <v>0</v>
      </c>
      <c r="H611">
        <v>0</v>
      </c>
      <c r="I611" s="713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 s="724" t="str">
        <f>VLOOKUP($E611,SP_2024_v28062025!$E$2:$M$1751,9,FALSE)</f>
        <v>ABA521</v>
      </c>
    </row>
    <row r="612" spans="1:17" ht="15.75" thickBot="1">
      <c r="A612" s="727">
        <v>1</v>
      </c>
      <c r="B612" s="727" t="s">
        <v>11955</v>
      </c>
      <c r="C612" s="727" t="s">
        <v>11973</v>
      </c>
      <c r="D612" s="727" t="s">
        <v>12003</v>
      </c>
      <c r="E612" s="727"/>
      <c r="F612" s="729" t="s">
        <v>1774</v>
      </c>
      <c r="G612" s="738">
        <v>0</v>
      </c>
      <c r="H612" s="738">
        <v>0</v>
      </c>
      <c r="I612" s="738">
        <v>0</v>
      </c>
      <c r="J612" s="738">
        <v>0</v>
      </c>
      <c r="K612" s="738">
        <v>0</v>
      </c>
      <c r="L612" s="738">
        <v>0</v>
      </c>
      <c r="M612" s="738">
        <v>0</v>
      </c>
      <c r="N612" s="738">
        <v>0</v>
      </c>
      <c r="O612" s="738">
        <v>0</v>
      </c>
      <c r="P612" s="738">
        <v>0</v>
      </c>
    </row>
    <row r="613" spans="1:17" ht="15.75" thickBot="1">
      <c r="A613">
        <v>1</v>
      </c>
      <c r="B613" t="s">
        <v>11955</v>
      </c>
      <c r="C613" t="s">
        <v>11973</v>
      </c>
      <c r="D613" t="s">
        <v>12003</v>
      </c>
      <c r="E613" t="s">
        <v>1773</v>
      </c>
      <c r="F613" t="s">
        <v>1774</v>
      </c>
      <c r="G613" s="712">
        <v>0</v>
      </c>
      <c r="H613">
        <v>0</v>
      </c>
      <c r="I613" s="7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 s="724" t="str">
        <f>VLOOKUP($E613,SP_2024_v28062025!$E$2:$M$1751,9,FALSE)</f>
        <v>ABA522</v>
      </c>
    </row>
    <row r="614" spans="1:17" ht="15.75" thickBot="1">
      <c r="A614" s="727">
        <v>1</v>
      </c>
      <c r="B614" s="727" t="s">
        <v>11955</v>
      </c>
      <c r="C614" s="727" t="s">
        <v>11973</v>
      </c>
      <c r="D614" s="727" t="s">
        <v>12004</v>
      </c>
      <c r="E614" s="727"/>
      <c r="F614" s="729" t="s">
        <v>1927</v>
      </c>
      <c r="G614" s="738">
        <v>0</v>
      </c>
      <c r="H614" s="738">
        <v>0</v>
      </c>
      <c r="I614" s="738">
        <v>0</v>
      </c>
      <c r="J614" s="738">
        <v>0</v>
      </c>
      <c r="K614" s="738">
        <v>0</v>
      </c>
      <c r="L614" s="738">
        <v>0</v>
      </c>
      <c r="M614" s="738">
        <v>0</v>
      </c>
      <c r="N614" s="738">
        <v>0</v>
      </c>
      <c r="O614" s="738">
        <v>0</v>
      </c>
      <c r="P614" s="738">
        <v>0</v>
      </c>
    </row>
    <row r="615" spans="1:17" ht="15.75" thickBot="1">
      <c r="A615">
        <v>1</v>
      </c>
      <c r="B615" t="s">
        <v>11955</v>
      </c>
      <c r="C615" t="s">
        <v>11973</v>
      </c>
      <c r="D615" t="s">
        <v>12004</v>
      </c>
      <c r="E615" t="s">
        <v>1930</v>
      </c>
      <c r="F615" t="s">
        <v>1927</v>
      </c>
      <c r="G615" s="712">
        <v>0</v>
      </c>
      <c r="H615">
        <v>0</v>
      </c>
      <c r="I615" s="713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 s="724" t="str">
        <f>VLOOKUP($E615,SP_2024_v28062025!$E$2:$M$1751,9,FALSE)</f>
        <v>ABA591</v>
      </c>
    </row>
    <row r="616" spans="1:17" ht="15.75" thickBot="1">
      <c r="A616" s="727">
        <v>1</v>
      </c>
      <c r="B616" s="727" t="s">
        <v>11955</v>
      </c>
      <c r="C616" s="727" t="s">
        <v>11973</v>
      </c>
      <c r="D616" s="727" t="s">
        <v>12005</v>
      </c>
      <c r="E616" s="727"/>
      <c r="F616" s="729" t="s">
        <v>1941</v>
      </c>
      <c r="G616" s="739">
        <v>225000</v>
      </c>
      <c r="H616" s="738">
        <v>0</v>
      </c>
      <c r="I616" s="739">
        <v>225000</v>
      </c>
      <c r="J616" s="738">
        <v>0</v>
      </c>
      <c r="K616" s="738">
        <v>0</v>
      </c>
      <c r="L616" s="738">
        <v>0</v>
      </c>
      <c r="M616" s="738">
        <v>0</v>
      </c>
      <c r="N616" s="739">
        <v>225000</v>
      </c>
      <c r="O616" s="738">
        <v>0</v>
      </c>
      <c r="P616" s="739">
        <v>225000</v>
      </c>
    </row>
    <row r="617" spans="1:17">
      <c r="A617">
        <v>1</v>
      </c>
      <c r="B617" t="s">
        <v>11955</v>
      </c>
      <c r="C617" t="s">
        <v>11973</v>
      </c>
      <c r="D617" t="s">
        <v>12005</v>
      </c>
      <c r="E617" t="s">
        <v>1940</v>
      </c>
      <c r="F617" t="s">
        <v>1941</v>
      </c>
      <c r="G617" s="712">
        <v>0</v>
      </c>
      <c r="H617">
        <v>0</v>
      </c>
      <c r="I617" s="713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 s="724" t="str">
        <f>VLOOKUP($E617,SP_2024_v28062025!$E$2:$M$1751,9,FALSE)</f>
        <v>ABA601</v>
      </c>
    </row>
    <row r="618" spans="1:17" ht="15.75" thickBot="1">
      <c r="A618">
        <v>1</v>
      </c>
      <c r="B618" t="s">
        <v>11955</v>
      </c>
      <c r="C618" t="s">
        <v>11973</v>
      </c>
      <c r="D618" t="s">
        <v>12005</v>
      </c>
      <c r="E618" t="s">
        <v>2207</v>
      </c>
      <c r="F618" t="s">
        <v>2208</v>
      </c>
      <c r="G618" s="714">
        <v>225000</v>
      </c>
      <c r="H618">
        <v>0</v>
      </c>
      <c r="I618" s="715">
        <v>225000</v>
      </c>
      <c r="J618">
        <v>0</v>
      </c>
      <c r="K618">
        <v>0</v>
      </c>
      <c r="L618">
        <v>0</v>
      </c>
      <c r="M618">
        <v>0</v>
      </c>
      <c r="N618" s="711">
        <v>225000</v>
      </c>
      <c r="O618">
        <v>0</v>
      </c>
      <c r="P618" s="711">
        <v>225000</v>
      </c>
      <c r="Q618" s="724" t="str">
        <f>VLOOKUP($E618,SP_2024_v28062025!$E$2:$M$1751,9,FALSE)</f>
        <v>ABA601</v>
      </c>
    </row>
    <row r="619" spans="1:17" ht="15.75" thickBot="1">
      <c r="A619" s="727">
        <v>1</v>
      </c>
      <c r="B619" s="727" t="s">
        <v>11955</v>
      </c>
      <c r="C619" s="727" t="s">
        <v>12006</v>
      </c>
      <c r="D619" s="727"/>
      <c r="E619" s="727"/>
      <c r="F619" s="729" t="s">
        <v>12</v>
      </c>
      <c r="G619" s="738">
        <v>0</v>
      </c>
      <c r="H619" s="738">
        <v>0</v>
      </c>
      <c r="I619" s="738">
        <v>0</v>
      </c>
      <c r="J619" s="738">
        <v>0</v>
      </c>
      <c r="K619" s="738">
        <v>0</v>
      </c>
      <c r="L619" s="738">
        <v>0</v>
      </c>
      <c r="M619" s="738">
        <v>0</v>
      </c>
      <c r="N619" s="738">
        <v>0</v>
      </c>
      <c r="O619" s="738">
        <v>0</v>
      </c>
      <c r="P619" s="738">
        <v>0</v>
      </c>
    </row>
    <row r="620" spans="1:17" ht="15.75" thickBot="1">
      <c r="A620" s="727">
        <v>1</v>
      </c>
      <c r="B620" s="727" t="s">
        <v>11955</v>
      </c>
      <c r="C620" s="727" t="s">
        <v>12006</v>
      </c>
      <c r="D620" s="727" t="s">
        <v>12007</v>
      </c>
      <c r="E620" s="727"/>
      <c r="F620" s="729" t="s">
        <v>12008</v>
      </c>
      <c r="G620" s="738">
        <v>0</v>
      </c>
      <c r="H620" s="738">
        <v>0</v>
      </c>
      <c r="I620" s="738">
        <v>0</v>
      </c>
      <c r="J620" s="738">
        <v>0</v>
      </c>
      <c r="K620" s="738">
        <v>0</v>
      </c>
      <c r="L620" s="738">
        <v>0</v>
      </c>
      <c r="M620" s="738">
        <v>0</v>
      </c>
      <c r="N620" s="738">
        <v>0</v>
      </c>
      <c r="O620" s="738">
        <v>0</v>
      </c>
      <c r="P620" s="738">
        <v>0</v>
      </c>
    </row>
    <row r="621" spans="1:17">
      <c r="A621">
        <v>1</v>
      </c>
      <c r="B621" t="s">
        <v>11955</v>
      </c>
      <c r="C621" t="s">
        <v>12006</v>
      </c>
      <c r="D621" t="s">
        <v>12007</v>
      </c>
      <c r="E621" t="s">
        <v>2211</v>
      </c>
      <c r="F621" t="s">
        <v>2212</v>
      </c>
      <c r="G621" s="712">
        <v>0</v>
      </c>
      <c r="H621">
        <v>0</v>
      </c>
      <c r="I621" s="713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 s="724" t="str">
        <f>VLOOKUP($E621,SP_2024_v28062025!$E$2:$M$1751,9,FALSE)</f>
        <v>ABA730</v>
      </c>
    </row>
    <row r="622" spans="1:17">
      <c r="A622">
        <v>1</v>
      </c>
      <c r="B622" t="s">
        <v>11955</v>
      </c>
      <c r="C622" t="s">
        <v>12006</v>
      </c>
      <c r="D622" t="s">
        <v>12007</v>
      </c>
      <c r="E622" t="s">
        <v>2214</v>
      </c>
      <c r="F622" t="s">
        <v>1120</v>
      </c>
      <c r="G622" s="712">
        <v>0</v>
      </c>
      <c r="H622">
        <v>0</v>
      </c>
      <c r="I622" s="713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 s="724" t="str">
        <f>VLOOKUP($E622,SP_2024_v28062025!$E$2:$M$1751,9,FALSE)</f>
        <v>ABA730</v>
      </c>
    </row>
    <row r="623" spans="1:17" ht="15.75" thickBot="1">
      <c r="A623">
        <v>1</v>
      </c>
      <c r="B623" t="s">
        <v>11955</v>
      </c>
      <c r="C623" t="s">
        <v>12006</v>
      </c>
      <c r="D623" t="s">
        <v>12007</v>
      </c>
      <c r="E623" t="s">
        <v>2215</v>
      </c>
      <c r="F623" t="s">
        <v>1123</v>
      </c>
      <c r="G623" s="712">
        <v>0</v>
      </c>
      <c r="H623">
        <v>0</v>
      </c>
      <c r="I623" s="71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 s="724" t="str">
        <f>VLOOKUP($E623,SP_2024_v28062025!$E$2:$M$1751,9,FALSE)</f>
        <v>ABA730</v>
      </c>
    </row>
    <row r="624" spans="1:17" ht="15.75" thickBot="1">
      <c r="A624" s="727">
        <v>1</v>
      </c>
      <c r="B624" s="727" t="s">
        <v>11955</v>
      </c>
      <c r="C624" s="727" t="s">
        <v>12006</v>
      </c>
      <c r="D624" s="727" t="s">
        <v>12009</v>
      </c>
      <c r="E624" s="727"/>
      <c r="F624" s="729" t="s">
        <v>2216</v>
      </c>
      <c r="G624" s="738">
        <v>0</v>
      </c>
      <c r="H624" s="738">
        <v>0</v>
      </c>
      <c r="I624" s="738">
        <v>0</v>
      </c>
      <c r="J624" s="738">
        <v>0</v>
      </c>
      <c r="K624" s="738">
        <v>0</v>
      </c>
      <c r="L624" s="738">
        <v>0</v>
      </c>
      <c r="M624" s="738">
        <v>0</v>
      </c>
      <c r="N624" s="738">
        <v>0</v>
      </c>
      <c r="O624" s="738">
        <v>0</v>
      </c>
      <c r="P624" s="738">
        <v>0</v>
      </c>
    </row>
    <row r="625" spans="1:17" ht="15.75" thickBot="1">
      <c r="A625">
        <v>1</v>
      </c>
      <c r="B625" t="s">
        <v>11955</v>
      </c>
      <c r="C625" t="s">
        <v>12006</v>
      </c>
      <c r="D625" t="s">
        <v>12009</v>
      </c>
      <c r="E625" t="s">
        <v>2218</v>
      </c>
      <c r="F625" t="s">
        <v>2216</v>
      </c>
      <c r="G625" s="712">
        <v>0</v>
      </c>
      <c r="H625">
        <v>0</v>
      </c>
      <c r="I625" s="713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 s="724" t="str">
        <f>VLOOKUP($E625,SP_2024_v28062025!$E$2:$M$1751,9,FALSE)</f>
        <v>ABA740</v>
      </c>
    </row>
    <row r="626" spans="1:17" ht="15.75" thickBot="1">
      <c r="A626" s="727">
        <v>1</v>
      </c>
      <c r="B626" s="727" t="s">
        <v>11955</v>
      </c>
      <c r="C626" s="727" t="s">
        <v>12010</v>
      </c>
      <c r="D626" s="727"/>
      <c r="E626" s="727"/>
      <c r="F626" s="745" t="s">
        <v>13</v>
      </c>
      <c r="G626" s="739">
        <v>4581555.45</v>
      </c>
      <c r="H626" s="739">
        <v>83156.27</v>
      </c>
      <c r="I626" s="739">
        <v>4498399.18</v>
      </c>
      <c r="J626" s="739">
        <v>1078489659.76</v>
      </c>
      <c r="K626" s="739">
        <v>1078796910.02</v>
      </c>
      <c r="L626" s="738">
        <v>0</v>
      </c>
      <c r="M626" s="738">
        <v>0</v>
      </c>
      <c r="N626" s="739">
        <v>1083071215.21</v>
      </c>
      <c r="O626" s="739">
        <v>1078880066.29</v>
      </c>
      <c r="P626" s="739">
        <v>4191148.92</v>
      </c>
    </row>
    <row r="627" spans="1:17" ht="15.75" thickBot="1">
      <c r="A627" s="727">
        <v>1</v>
      </c>
      <c r="B627" s="727" t="s">
        <v>11955</v>
      </c>
      <c r="C627" s="727" t="s">
        <v>12010</v>
      </c>
      <c r="D627" s="727" t="s">
        <v>12011</v>
      </c>
      <c r="E627" s="727"/>
      <c r="F627" s="729" t="s">
        <v>2221</v>
      </c>
      <c r="G627" s="739">
        <v>101225.07</v>
      </c>
      <c r="H627" s="739">
        <v>74963.81</v>
      </c>
      <c r="I627" s="739">
        <v>26261.26</v>
      </c>
      <c r="J627" s="739">
        <v>5746796.3300000001</v>
      </c>
      <c r="K627" s="739">
        <v>5750478.6900000004</v>
      </c>
      <c r="L627" s="738">
        <v>0</v>
      </c>
      <c r="M627" s="738">
        <v>0</v>
      </c>
      <c r="N627" s="739">
        <v>5848021.4000000004</v>
      </c>
      <c r="O627" s="739">
        <v>5825442.5</v>
      </c>
      <c r="P627" s="739">
        <v>22578.9</v>
      </c>
    </row>
    <row r="628" spans="1:17">
      <c r="A628">
        <v>1</v>
      </c>
      <c r="B628" t="s">
        <v>11955</v>
      </c>
      <c r="C628" t="s">
        <v>12010</v>
      </c>
      <c r="D628" t="s">
        <v>12011</v>
      </c>
      <c r="E628" t="s">
        <v>2223</v>
      </c>
      <c r="F628" t="s">
        <v>2224</v>
      </c>
      <c r="G628" s="712">
        <v>443.3</v>
      </c>
      <c r="H628">
        <v>0</v>
      </c>
      <c r="I628" s="713">
        <v>443.3</v>
      </c>
      <c r="J628" s="711">
        <v>93685.26</v>
      </c>
      <c r="K628" s="711">
        <v>93798.76</v>
      </c>
      <c r="L628">
        <v>0</v>
      </c>
      <c r="M628">
        <v>0</v>
      </c>
      <c r="N628" s="711">
        <v>94128.56</v>
      </c>
      <c r="O628" s="711">
        <v>93798.76</v>
      </c>
      <c r="P628">
        <v>329.8</v>
      </c>
      <c r="Q628" s="724" t="str">
        <f>VLOOKUP($E628,SP_2024_v28062025!$E$2:$M$1751,9,FALSE)</f>
        <v>ABA760</v>
      </c>
    </row>
    <row r="629" spans="1:17">
      <c r="A629">
        <v>1</v>
      </c>
      <c r="B629" t="s">
        <v>11955</v>
      </c>
      <c r="C629" t="s">
        <v>12010</v>
      </c>
      <c r="D629" t="s">
        <v>12011</v>
      </c>
      <c r="E629" t="s">
        <v>2227</v>
      </c>
      <c r="F629" t="s">
        <v>2228</v>
      </c>
      <c r="G629" s="712">
        <v>0</v>
      </c>
      <c r="H629">
        <v>0</v>
      </c>
      <c r="I629" s="713">
        <v>0</v>
      </c>
      <c r="J629">
        <v>896</v>
      </c>
      <c r="K629">
        <v>832</v>
      </c>
      <c r="L629">
        <v>0</v>
      </c>
      <c r="M629">
        <v>0</v>
      </c>
      <c r="N629">
        <v>896</v>
      </c>
      <c r="O629">
        <v>832</v>
      </c>
      <c r="P629">
        <v>64</v>
      </c>
      <c r="Q629" s="724" t="str">
        <f>VLOOKUP($E629,SP_2024_v28062025!$E$2:$M$1751,9,FALSE)</f>
        <v>ABA760</v>
      </c>
    </row>
    <row r="630" spans="1:17">
      <c r="A630">
        <v>1</v>
      </c>
      <c r="B630" t="s">
        <v>11955</v>
      </c>
      <c r="C630" t="s">
        <v>12010</v>
      </c>
      <c r="D630" t="s">
        <v>12011</v>
      </c>
      <c r="E630" t="s">
        <v>2229</v>
      </c>
      <c r="F630" t="s">
        <v>2230</v>
      </c>
      <c r="G630" s="712">
        <v>0</v>
      </c>
      <c r="H630">
        <v>0</v>
      </c>
      <c r="I630" s="713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 s="724" t="str">
        <f>VLOOKUP($E630,SP_2024_v28062025!$E$2:$M$1751,9,FALSE)</f>
        <v>ABA760</v>
      </c>
    </row>
    <row r="631" spans="1:17">
      <c r="A631">
        <v>1</v>
      </c>
      <c r="B631" t="s">
        <v>11955</v>
      </c>
      <c r="C631" t="s">
        <v>12010</v>
      </c>
      <c r="D631" t="s">
        <v>12011</v>
      </c>
      <c r="E631" t="s">
        <v>2231</v>
      </c>
      <c r="F631" t="s">
        <v>2232</v>
      </c>
      <c r="G631" s="714">
        <v>4931.08</v>
      </c>
      <c r="H631">
        <v>534.84</v>
      </c>
      <c r="I631" s="715">
        <v>4396.24</v>
      </c>
      <c r="J631" s="711">
        <v>1579136.95</v>
      </c>
      <c r="K631" s="711">
        <v>1583888.47</v>
      </c>
      <c r="L631">
        <v>0</v>
      </c>
      <c r="M631">
        <v>0</v>
      </c>
      <c r="N631" s="711">
        <v>1584068.03</v>
      </c>
      <c r="O631" s="711">
        <v>1584423.31</v>
      </c>
      <c r="P631">
        <v>-355.28</v>
      </c>
      <c r="Q631" s="724" t="str">
        <f>VLOOKUP($E631,SP_2024_v28062025!$E$2:$M$1751,9,FALSE)</f>
        <v>ABA760</v>
      </c>
    </row>
    <row r="632" spans="1:17">
      <c r="A632">
        <v>1</v>
      </c>
      <c r="B632" t="s">
        <v>11955</v>
      </c>
      <c r="C632" t="s">
        <v>12010</v>
      </c>
      <c r="D632" t="s">
        <v>12011</v>
      </c>
      <c r="E632" t="s">
        <v>2233</v>
      </c>
      <c r="F632" t="s">
        <v>2234</v>
      </c>
      <c r="G632" s="712">
        <v>0</v>
      </c>
      <c r="H632">
        <v>0</v>
      </c>
      <c r="I632" s="713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 s="724" t="str">
        <f>VLOOKUP($E632,SP_2024_v28062025!$E$2:$M$1751,9,FALSE)</f>
        <v>ABA760</v>
      </c>
    </row>
    <row r="633" spans="1:17">
      <c r="A633">
        <v>1</v>
      </c>
      <c r="B633" t="s">
        <v>11955</v>
      </c>
      <c r="C633" t="s">
        <v>12010</v>
      </c>
      <c r="D633" t="s">
        <v>12011</v>
      </c>
      <c r="E633" t="s">
        <v>2235</v>
      </c>
      <c r="F633" t="s">
        <v>2236</v>
      </c>
      <c r="G633" s="712">
        <v>0</v>
      </c>
      <c r="H633">
        <v>0</v>
      </c>
      <c r="I633" s="71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 s="724" t="str">
        <f>VLOOKUP($E633,SP_2024_v28062025!$E$2:$M$1751,9,FALSE)</f>
        <v>ABA760</v>
      </c>
    </row>
    <row r="634" spans="1:17">
      <c r="A634">
        <v>1</v>
      </c>
      <c r="B634" t="s">
        <v>11955</v>
      </c>
      <c r="C634" t="s">
        <v>12010</v>
      </c>
      <c r="D634" t="s">
        <v>12011</v>
      </c>
      <c r="E634" t="s">
        <v>2237</v>
      </c>
      <c r="F634" t="s">
        <v>2238</v>
      </c>
      <c r="G634" s="712">
        <v>434.29</v>
      </c>
      <c r="H634">
        <v>434.29</v>
      </c>
      <c r="I634" s="713">
        <v>0</v>
      </c>
      <c r="J634">
        <v>0</v>
      </c>
      <c r="K634">
        <v>0</v>
      </c>
      <c r="L634">
        <v>0</v>
      </c>
      <c r="M634">
        <v>0</v>
      </c>
      <c r="N634">
        <v>434.29</v>
      </c>
      <c r="O634">
        <v>434.29</v>
      </c>
      <c r="P634">
        <v>0</v>
      </c>
      <c r="Q634" s="724" t="str">
        <f>VLOOKUP($E634,SP_2024_v28062025!$E$2:$M$1751,9,FALSE)</f>
        <v>ABA760</v>
      </c>
    </row>
    <row r="635" spans="1:17">
      <c r="A635">
        <v>1</v>
      </c>
      <c r="B635" t="s">
        <v>11955</v>
      </c>
      <c r="C635" t="s">
        <v>12010</v>
      </c>
      <c r="D635" t="s">
        <v>12011</v>
      </c>
      <c r="E635" t="s">
        <v>2239</v>
      </c>
      <c r="F635" t="s">
        <v>2240</v>
      </c>
      <c r="G635" s="712">
        <v>0</v>
      </c>
      <c r="H635">
        <v>0</v>
      </c>
      <c r="I635" s="713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 s="724" t="str">
        <f>VLOOKUP($E635,SP_2024_v28062025!$E$2:$M$1751,9,FALSE)</f>
        <v>ABA760</v>
      </c>
    </row>
    <row r="636" spans="1:17">
      <c r="A636">
        <v>1</v>
      </c>
      <c r="B636" t="s">
        <v>11955</v>
      </c>
      <c r="C636" t="s">
        <v>12010</v>
      </c>
      <c r="D636" t="s">
        <v>12011</v>
      </c>
      <c r="E636" t="s">
        <v>2241</v>
      </c>
      <c r="F636" t="s">
        <v>2242</v>
      </c>
      <c r="G636" s="712">
        <v>0</v>
      </c>
      <c r="H636">
        <v>0</v>
      </c>
      <c r="I636" s="713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 s="724" t="str">
        <f>VLOOKUP($E636,SP_2024_v28062025!$E$2:$M$1751,9,FALSE)</f>
        <v>ABA760</v>
      </c>
    </row>
    <row r="637" spans="1:17">
      <c r="A637">
        <v>1</v>
      </c>
      <c r="B637" t="s">
        <v>11955</v>
      </c>
      <c r="C637" t="s">
        <v>12010</v>
      </c>
      <c r="D637" t="s">
        <v>12011</v>
      </c>
      <c r="E637" t="s">
        <v>2244</v>
      </c>
      <c r="F637" t="s">
        <v>2245</v>
      </c>
      <c r="G637" s="714">
        <v>75500</v>
      </c>
      <c r="H637" s="711">
        <v>73994.679999999993</v>
      </c>
      <c r="I637" s="715">
        <v>1505.32</v>
      </c>
      <c r="J637" s="711">
        <v>21000</v>
      </c>
      <c r="K637" s="711">
        <v>21794.19</v>
      </c>
      <c r="L637">
        <v>0</v>
      </c>
      <c r="M637">
        <v>0</v>
      </c>
      <c r="N637" s="711">
        <v>96500</v>
      </c>
      <c r="O637" s="711">
        <v>95788.87</v>
      </c>
      <c r="P637">
        <v>711.13</v>
      </c>
      <c r="Q637" s="724" t="str">
        <f>VLOOKUP($E637,SP_2024_v28062025!$E$2:$M$1751,9,FALSE)</f>
        <v>ABA760</v>
      </c>
    </row>
    <row r="638" spans="1:17">
      <c r="A638">
        <v>1</v>
      </c>
      <c r="B638" t="s">
        <v>11955</v>
      </c>
      <c r="C638" t="s">
        <v>12010</v>
      </c>
      <c r="D638" t="s">
        <v>12011</v>
      </c>
      <c r="E638" t="s">
        <v>2246</v>
      </c>
      <c r="F638" t="s">
        <v>2247</v>
      </c>
      <c r="G638" s="712">
        <v>50.15</v>
      </c>
      <c r="H638">
        <v>0</v>
      </c>
      <c r="I638" s="713">
        <v>50.15</v>
      </c>
      <c r="J638" s="711">
        <v>17951.77</v>
      </c>
      <c r="K638" s="711">
        <v>18001.919999999998</v>
      </c>
      <c r="L638">
        <v>0</v>
      </c>
      <c r="M638">
        <v>0</v>
      </c>
      <c r="N638" s="711">
        <v>18001.919999999998</v>
      </c>
      <c r="O638" s="711">
        <v>18001.919999999998</v>
      </c>
      <c r="P638">
        <v>0</v>
      </c>
      <c r="Q638" s="724" t="str">
        <f>VLOOKUP($E638,SP_2024_v28062025!$E$2:$M$1751,9,FALSE)</f>
        <v>ABA760</v>
      </c>
    </row>
    <row r="639" spans="1:17">
      <c r="A639">
        <v>1</v>
      </c>
      <c r="B639" t="s">
        <v>11955</v>
      </c>
      <c r="C639" t="s">
        <v>12010</v>
      </c>
      <c r="D639" t="s">
        <v>12011</v>
      </c>
      <c r="E639" t="s">
        <v>2248</v>
      </c>
      <c r="F639" t="s">
        <v>2249</v>
      </c>
      <c r="G639" s="712">
        <v>0</v>
      </c>
      <c r="H639">
        <v>0</v>
      </c>
      <c r="I639" s="713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 s="724" t="str">
        <f>VLOOKUP($E639,SP_2024_v28062025!$E$2:$M$1751,9,FALSE)</f>
        <v>ABA760</v>
      </c>
    </row>
    <row r="640" spans="1:17">
      <c r="A640">
        <v>1</v>
      </c>
      <c r="B640" t="s">
        <v>11955</v>
      </c>
      <c r="C640" t="s">
        <v>12010</v>
      </c>
      <c r="D640" t="s">
        <v>12011</v>
      </c>
      <c r="E640" t="s">
        <v>2250</v>
      </c>
      <c r="F640" t="s">
        <v>2251</v>
      </c>
      <c r="G640" s="712">
        <v>0</v>
      </c>
      <c r="H640">
        <v>0</v>
      </c>
      <c r="I640" s="713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 s="724" t="str">
        <f>VLOOKUP($E640,SP_2024_v28062025!$E$2:$M$1751,9,FALSE)</f>
        <v>ABA760</v>
      </c>
    </row>
    <row r="641" spans="1:17">
      <c r="A641">
        <v>1</v>
      </c>
      <c r="B641" t="s">
        <v>11955</v>
      </c>
      <c r="C641" t="s">
        <v>12010</v>
      </c>
      <c r="D641" t="s">
        <v>12011</v>
      </c>
      <c r="E641" t="s">
        <v>2252</v>
      </c>
      <c r="F641" t="s">
        <v>2253</v>
      </c>
      <c r="G641" s="712">
        <v>0</v>
      </c>
      <c r="H641">
        <v>0</v>
      </c>
      <c r="I641" s="713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 s="724" t="str">
        <f>VLOOKUP($E641,SP_2024_v28062025!$E$2:$M$1751,9,FALSE)</f>
        <v>ABA760</v>
      </c>
    </row>
    <row r="642" spans="1:17">
      <c r="A642">
        <v>1</v>
      </c>
      <c r="B642" t="s">
        <v>11955</v>
      </c>
      <c r="C642" t="s">
        <v>12010</v>
      </c>
      <c r="D642" t="s">
        <v>12011</v>
      </c>
      <c r="E642" t="s">
        <v>2254</v>
      </c>
      <c r="F642" t="s">
        <v>2255</v>
      </c>
      <c r="G642" s="712">
        <v>0</v>
      </c>
      <c r="H642">
        <v>0</v>
      </c>
      <c r="I642" s="713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 s="724" t="str">
        <f>VLOOKUP($E642,SP_2024_v28062025!$E$2:$M$1751,9,FALSE)</f>
        <v>ABA760</v>
      </c>
    </row>
    <row r="643" spans="1:17">
      <c r="A643">
        <v>1</v>
      </c>
      <c r="B643" t="s">
        <v>11955</v>
      </c>
      <c r="C643" t="s">
        <v>12010</v>
      </c>
      <c r="D643" t="s">
        <v>12011</v>
      </c>
      <c r="E643" t="s">
        <v>2256</v>
      </c>
      <c r="F643" t="s">
        <v>2257</v>
      </c>
      <c r="G643" s="714">
        <v>16859.13</v>
      </c>
      <c r="H643">
        <v>0</v>
      </c>
      <c r="I643" s="715">
        <v>16859.13</v>
      </c>
      <c r="J643">
        <v>0</v>
      </c>
      <c r="K643">
        <v>0</v>
      </c>
      <c r="L643">
        <v>0</v>
      </c>
      <c r="M643">
        <v>0</v>
      </c>
      <c r="N643" s="711">
        <v>16859.13</v>
      </c>
      <c r="O643">
        <v>0</v>
      </c>
      <c r="P643" s="711">
        <v>16859.13</v>
      </c>
      <c r="Q643" s="724" t="str">
        <f>VLOOKUP($E643,SP_2024_v28062025!$E$2:$M$1751,9,FALSE)</f>
        <v>ABA760</v>
      </c>
    </row>
    <row r="644" spans="1:17">
      <c r="A644">
        <v>1</v>
      </c>
      <c r="B644" t="s">
        <v>11955</v>
      </c>
      <c r="C644" t="s">
        <v>12010</v>
      </c>
      <c r="D644" t="s">
        <v>12011</v>
      </c>
      <c r="E644" t="s">
        <v>2258</v>
      </c>
      <c r="F644" t="s">
        <v>2259</v>
      </c>
      <c r="G644" s="712">
        <v>0</v>
      </c>
      <c r="H644">
        <v>0</v>
      </c>
      <c r="I644" s="713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 s="724" t="str">
        <f>VLOOKUP($E644,SP_2024_v28062025!$E$2:$M$1751,9,FALSE)</f>
        <v>ABA760</v>
      </c>
    </row>
    <row r="645" spans="1:17">
      <c r="A645">
        <v>1</v>
      </c>
      <c r="B645" t="s">
        <v>11955</v>
      </c>
      <c r="C645" t="s">
        <v>12010</v>
      </c>
      <c r="D645" t="s">
        <v>12011</v>
      </c>
      <c r="E645" t="s">
        <v>2260</v>
      </c>
      <c r="F645" t="s">
        <v>2261</v>
      </c>
      <c r="G645" s="712">
        <v>0</v>
      </c>
      <c r="H645">
        <v>0</v>
      </c>
      <c r="I645" s="713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 s="724" t="str">
        <f>VLOOKUP($E645,SP_2024_v28062025!$E$2:$M$1751,9,FALSE)</f>
        <v>ABA760</v>
      </c>
    </row>
    <row r="646" spans="1:17">
      <c r="A646">
        <v>1</v>
      </c>
      <c r="B646" t="s">
        <v>11955</v>
      </c>
      <c r="C646" t="s">
        <v>12010</v>
      </c>
      <c r="D646" t="s">
        <v>12011</v>
      </c>
      <c r="E646" t="s">
        <v>2262</v>
      </c>
      <c r="F646" t="s">
        <v>2263</v>
      </c>
      <c r="G646" s="714">
        <v>3007.12</v>
      </c>
      <c r="H646">
        <v>0</v>
      </c>
      <c r="I646" s="715">
        <v>3007.12</v>
      </c>
      <c r="J646" s="711">
        <v>4034126.35</v>
      </c>
      <c r="K646" s="711">
        <v>4032163.35</v>
      </c>
      <c r="L646">
        <v>0</v>
      </c>
      <c r="M646">
        <v>0</v>
      </c>
      <c r="N646" s="711">
        <v>4037133.47</v>
      </c>
      <c r="O646" s="711">
        <v>4032163.35</v>
      </c>
      <c r="P646" s="711">
        <v>4970.12</v>
      </c>
      <c r="Q646" s="724" t="str">
        <f>VLOOKUP($E646,SP_2024_v28062025!$E$2:$M$1751,9,FALSE)</f>
        <v>ABA760</v>
      </c>
    </row>
    <row r="647" spans="1:17">
      <c r="A647">
        <v>1</v>
      </c>
      <c r="B647" t="s">
        <v>11955</v>
      </c>
      <c r="C647" t="s">
        <v>12010</v>
      </c>
      <c r="D647" t="s">
        <v>12011</v>
      </c>
      <c r="E647" t="s">
        <v>2265</v>
      </c>
      <c r="F647" t="s">
        <v>2266</v>
      </c>
      <c r="G647" s="712">
        <v>0</v>
      </c>
      <c r="H647">
        <v>0</v>
      </c>
      <c r="I647" s="713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 s="724" t="str">
        <f>VLOOKUP($E647,SP_2024_v28062025!$E$2:$M$1751,9,FALSE)</f>
        <v>ABA760</v>
      </c>
    </row>
    <row r="648" spans="1:17" ht="15.75" thickBot="1">
      <c r="A648">
        <v>1</v>
      </c>
      <c r="B648" t="s">
        <v>11955</v>
      </c>
      <c r="C648" t="s">
        <v>12010</v>
      </c>
      <c r="D648" t="s">
        <v>12011</v>
      </c>
      <c r="E648" t="s">
        <v>2267</v>
      </c>
      <c r="F648" t="s">
        <v>2268</v>
      </c>
      <c r="G648" s="712">
        <v>0</v>
      </c>
      <c r="H648">
        <v>0</v>
      </c>
      <c r="I648" s="713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 s="724" t="str">
        <f>VLOOKUP($E648,SP_2024_v28062025!$E$2:$M$1751,9,FALSE)</f>
        <v>ABA760</v>
      </c>
    </row>
    <row r="649" spans="1:17" ht="15.75" thickBot="1">
      <c r="A649" s="727">
        <v>1</v>
      </c>
      <c r="B649" s="727" t="s">
        <v>11955</v>
      </c>
      <c r="C649" s="727" t="s">
        <v>12010</v>
      </c>
      <c r="D649" s="727" t="s">
        <v>12012</v>
      </c>
      <c r="E649" s="727"/>
      <c r="F649" s="729" t="s">
        <v>2269</v>
      </c>
      <c r="G649" s="739">
        <v>4446331.05</v>
      </c>
      <c r="H649" s="738">
        <v>0</v>
      </c>
      <c r="I649" s="739">
        <v>4446331.05</v>
      </c>
      <c r="J649" s="739">
        <v>1072708865.23</v>
      </c>
      <c r="K649" s="739">
        <v>1072992597.41</v>
      </c>
      <c r="L649" s="738">
        <v>0</v>
      </c>
      <c r="M649" s="738">
        <v>0</v>
      </c>
      <c r="N649" s="739">
        <v>1077155196.28</v>
      </c>
      <c r="O649" s="739">
        <v>1072992597.41</v>
      </c>
      <c r="P649" s="739">
        <v>4162598.87</v>
      </c>
    </row>
    <row r="650" spans="1:17">
      <c r="A650">
        <v>1</v>
      </c>
      <c r="B650" t="s">
        <v>11955</v>
      </c>
      <c r="C650" t="s">
        <v>12010</v>
      </c>
      <c r="D650" t="s">
        <v>12012</v>
      </c>
      <c r="E650" t="s">
        <v>2273</v>
      </c>
      <c r="F650" t="s">
        <v>2274</v>
      </c>
      <c r="G650" s="712">
        <v>0</v>
      </c>
      <c r="H650">
        <v>0</v>
      </c>
      <c r="I650" s="713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 s="724" t="str">
        <f>VLOOKUP($E650,SP_2024_v28062025!$E$2:$M$1751,9,FALSE)</f>
        <v>ABA770</v>
      </c>
    </row>
    <row r="651" spans="1:17">
      <c r="A651">
        <v>1</v>
      </c>
      <c r="B651" t="s">
        <v>11955</v>
      </c>
      <c r="C651" t="s">
        <v>12010</v>
      </c>
      <c r="D651" t="s">
        <v>12012</v>
      </c>
      <c r="E651" t="s">
        <v>2275</v>
      </c>
      <c r="F651" t="s">
        <v>2276</v>
      </c>
      <c r="G651" s="714">
        <v>4447.38</v>
      </c>
      <c r="H651">
        <v>0</v>
      </c>
      <c r="I651" s="715">
        <v>4447.38</v>
      </c>
      <c r="J651">
        <v>0</v>
      </c>
      <c r="K651">
        <v>0</v>
      </c>
      <c r="L651">
        <v>0</v>
      </c>
      <c r="M651">
        <v>0</v>
      </c>
      <c r="N651" s="711">
        <v>4447.38</v>
      </c>
      <c r="O651">
        <v>0</v>
      </c>
      <c r="P651" s="711">
        <v>4447.38</v>
      </c>
      <c r="Q651" s="724" t="str">
        <f>VLOOKUP($E651,SP_2024_v28062025!$E$2:$M$1751,9,FALSE)</f>
        <v>ABA770</v>
      </c>
    </row>
    <row r="652" spans="1:17">
      <c r="A652">
        <v>1</v>
      </c>
      <c r="B652" t="s">
        <v>11955</v>
      </c>
      <c r="C652" t="s">
        <v>12010</v>
      </c>
      <c r="D652" t="s">
        <v>12012</v>
      </c>
      <c r="E652" t="s">
        <v>2277</v>
      </c>
      <c r="F652" t="s">
        <v>2278</v>
      </c>
      <c r="G652" s="712">
        <v>0</v>
      </c>
      <c r="H652">
        <v>0</v>
      </c>
      <c r="I652" s="713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 s="724" t="str">
        <f>VLOOKUP($E652,SP_2024_v28062025!$E$2:$M$1751,9,FALSE)</f>
        <v>ABA770</v>
      </c>
    </row>
    <row r="653" spans="1:17">
      <c r="A653">
        <v>1</v>
      </c>
      <c r="B653" t="s">
        <v>11955</v>
      </c>
      <c r="C653" t="s">
        <v>12010</v>
      </c>
      <c r="D653" t="s">
        <v>12012</v>
      </c>
      <c r="E653" t="s">
        <v>2279</v>
      </c>
      <c r="F653" t="s">
        <v>2269</v>
      </c>
      <c r="G653" s="714">
        <v>4318460.78</v>
      </c>
      <c r="H653">
        <v>0</v>
      </c>
      <c r="I653" s="715">
        <v>4318460.78</v>
      </c>
      <c r="J653" s="711">
        <v>731400688.58000004</v>
      </c>
      <c r="K653" s="711">
        <v>731684420.75999999</v>
      </c>
      <c r="L653">
        <v>0</v>
      </c>
      <c r="M653">
        <v>0</v>
      </c>
      <c r="N653" s="711">
        <v>735719149.36000001</v>
      </c>
      <c r="O653" s="711">
        <v>731684420.75999999</v>
      </c>
      <c r="P653" s="711">
        <v>4034728.6</v>
      </c>
      <c r="Q653" s="724" t="str">
        <f>VLOOKUP($E653,SP_2024_v28062025!$E$2:$M$1751,9,FALSE)</f>
        <v>ABA770</v>
      </c>
    </row>
    <row r="654" spans="1:17">
      <c r="A654">
        <v>1</v>
      </c>
      <c r="B654" t="s">
        <v>11955</v>
      </c>
      <c r="C654" t="s">
        <v>12010</v>
      </c>
      <c r="D654" t="s">
        <v>12012</v>
      </c>
      <c r="E654" t="s">
        <v>2280</v>
      </c>
      <c r="F654" t="s">
        <v>2281</v>
      </c>
      <c r="G654" s="714">
        <v>123422.89</v>
      </c>
      <c r="H654">
        <v>0</v>
      </c>
      <c r="I654" s="715">
        <v>123422.89</v>
      </c>
      <c r="J654" s="711">
        <v>34510.769999999997</v>
      </c>
      <c r="K654" s="711">
        <v>34510.769999999997</v>
      </c>
      <c r="L654">
        <v>0</v>
      </c>
      <c r="M654">
        <v>0</v>
      </c>
      <c r="N654" s="711">
        <v>157933.66</v>
      </c>
      <c r="O654" s="711">
        <v>34510.769999999997</v>
      </c>
      <c r="P654" s="711">
        <v>123422.89</v>
      </c>
      <c r="Q654" s="724" t="str">
        <f>VLOOKUP($E654,SP_2024_v28062025!$E$2:$M$1751,9,FALSE)</f>
        <v>ABA770</v>
      </c>
    </row>
    <row r="655" spans="1:17">
      <c r="A655">
        <v>1</v>
      </c>
      <c r="B655" t="s">
        <v>11955</v>
      </c>
      <c r="C655" t="s">
        <v>12010</v>
      </c>
      <c r="D655" t="s">
        <v>12012</v>
      </c>
      <c r="E655" t="s">
        <v>2282</v>
      </c>
      <c r="F655" t="s">
        <v>2283</v>
      </c>
      <c r="G655" s="712">
        <v>0</v>
      </c>
      <c r="H655">
        <v>0</v>
      </c>
      <c r="I655" s="713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 s="724" t="str">
        <f>VLOOKUP($E655,SP_2024_v28062025!$E$2:$M$1751,9,FALSE)</f>
        <v>ABA770</v>
      </c>
    </row>
    <row r="656" spans="1:17">
      <c r="A656">
        <v>1</v>
      </c>
      <c r="B656" t="s">
        <v>11955</v>
      </c>
      <c r="C656" t="s">
        <v>12010</v>
      </c>
      <c r="D656" t="s">
        <v>12012</v>
      </c>
      <c r="E656" t="s">
        <v>2284</v>
      </c>
      <c r="F656" t="s">
        <v>2285</v>
      </c>
      <c r="G656" s="712">
        <v>0</v>
      </c>
      <c r="H656">
        <v>0</v>
      </c>
      <c r="I656" s="713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 s="724" t="str">
        <f>VLOOKUP($E656,SP_2024_v28062025!$E$2:$M$1751,9,FALSE)</f>
        <v>ABA770</v>
      </c>
    </row>
    <row r="657" spans="1:17" ht="15.75" thickBot="1">
      <c r="A657">
        <v>1</v>
      </c>
      <c r="B657" t="s">
        <v>11955</v>
      </c>
      <c r="C657" t="s">
        <v>12010</v>
      </c>
      <c r="D657" t="s">
        <v>12012</v>
      </c>
      <c r="E657" t="s">
        <v>2286</v>
      </c>
      <c r="F657" t="s">
        <v>2287</v>
      </c>
      <c r="G657" s="712">
        <v>0</v>
      </c>
      <c r="H657">
        <v>0</v>
      </c>
      <c r="I657" s="713">
        <v>0</v>
      </c>
      <c r="J657" s="711">
        <v>341273665.88</v>
      </c>
      <c r="K657" s="711">
        <v>341273665.88</v>
      </c>
      <c r="L657">
        <v>0</v>
      </c>
      <c r="M657">
        <v>0</v>
      </c>
      <c r="N657" s="711">
        <v>341273665.88</v>
      </c>
      <c r="O657" s="711">
        <v>341273665.88</v>
      </c>
      <c r="P657">
        <v>0</v>
      </c>
      <c r="Q657" s="724" t="str">
        <f>VLOOKUP($E657,SP_2024_v28062025!$E$2:$M$1751,9,FALSE)</f>
        <v>ABA770</v>
      </c>
    </row>
    <row r="658" spans="1:17" ht="15.75" thickBot="1">
      <c r="A658" s="727">
        <v>1</v>
      </c>
      <c r="B658" s="727" t="s">
        <v>11955</v>
      </c>
      <c r="C658" s="727" t="s">
        <v>12010</v>
      </c>
      <c r="D658" s="727" t="s">
        <v>12013</v>
      </c>
      <c r="E658" s="727"/>
      <c r="F658" s="729" t="s">
        <v>2288</v>
      </c>
      <c r="G658" s="738">
        <v>0</v>
      </c>
      <c r="H658" s="738">
        <v>0</v>
      </c>
      <c r="I658" s="738">
        <v>0</v>
      </c>
      <c r="J658" s="738">
        <v>0</v>
      </c>
      <c r="K658" s="738">
        <v>0</v>
      </c>
      <c r="L658" s="738">
        <v>0</v>
      </c>
      <c r="M658" s="738">
        <v>0</v>
      </c>
      <c r="N658" s="738">
        <v>0</v>
      </c>
      <c r="O658" s="738">
        <v>0</v>
      </c>
      <c r="P658" s="738">
        <v>0</v>
      </c>
    </row>
    <row r="659" spans="1:17" ht="15.75" thickBot="1">
      <c r="A659">
        <v>1</v>
      </c>
      <c r="B659" t="s">
        <v>11955</v>
      </c>
      <c r="C659" t="s">
        <v>12010</v>
      </c>
      <c r="D659" t="s">
        <v>12013</v>
      </c>
      <c r="E659" t="s">
        <v>2291</v>
      </c>
      <c r="F659" t="s">
        <v>2288</v>
      </c>
      <c r="G659" s="712">
        <v>0</v>
      </c>
      <c r="H659">
        <v>0</v>
      </c>
      <c r="I659" s="713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 s="724" t="str">
        <f>VLOOKUP($E659,SP_2024_v28062025!$E$2:$M$1751,9,FALSE)</f>
        <v>ABA780</v>
      </c>
    </row>
    <row r="660" spans="1:17" ht="15.75" thickBot="1">
      <c r="A660" s="727">
        <v>1</v>
      </c>
      <c r="B660" s="727" t="s">
        <v>11955</v>
      </c>
      <c r="C660" s="727" t="s">
        <v>12010</v>
      </c>
      <c r="D660" s="727" t="s">
        <v>12014</v>
      </c>
      <c r="E660" s="727"/>
      <c r="F660" s="729" t="s">
        <v>2292</v>
      </c>
      <c r="G660" s="739">
        <v>33999.33</v>
      </c>
      <c r="H660" s="739">
        <v>8192.4599999999991</v>
      </c>
      <c r="I660" s="739">
        <v>25806.87</v>
      </c>
      <c r="J660" s="739">
        <v>33998.199999999997</v>
      </c>
      <c r="K660" s="739">
        <v>53833.919999999998</v>
      </c>
      <c r="L660" s="738">
        <v>0</v>
      </c>
      <c r="M660" s="738">
        <v>0</v>
      </c>
      <c r="N660" s="739">
        <v>67997.53</v>
      </c>
      <c r="O660" s="739">
        <v>62026.38</v>
      </c>
      <c r="P660" s="739">
        <v>5971.15</v>
      </c>
    </row>
    <row r="661" spans="1:17" ht="15.75" thickBot="1">
      <c r="A661">
        <v>1</v>
      </c>
      <c r="B661" t="s">
        <v>11955</v>
      </c>
      <c r="C661" t="s">
        <v>12010</v>
      </c>
      <c r="D661" t="s">
        <v>12014</v>
      </c>
      <c r="E661" t="s">
        <v>2295</v>
      </c>
      <c r="F661" t="s">
        <v>2296</v>
      </c>
      <c r="G661" s="714">
        <v>33999.33</v>
      </c>
      <c r="H661" s="711">
        <v>8192.4599999999991</v>
      </c>
      <c r="I661" s="715">
        <v>25806.87</v>
      </c>
      <c r="J661" s="711">
        <v>33998.199999999997</v>
      </c>
      <c r="K661" s="711">
        <v>53833.919999999998</v>
      </c>
      <c r="L661">
        <v>0</v>
      </c>
      <c r="M661">
        <v>0</v>
      </c>
      <c r="N661" s="711">
        <v>67997.53</v>
      </c>
      <c r="O661" s="711">
        <v>62026.38</v>
      </c>
      <c r="P661" s="711">
        <v>5971.15</v>
      </c>
      <c r="Q661" s="724" t="str">
        <f>VLOOKUP($E661,SP_2024_v28062025!$E$2:$M$1751,9,FALSE)</f>
        <v>ABA790</v>
      </c>
    </row>
    <row r="662" spans="1:17" ht="15.75" thickBot="1">
      <c r="A662" s="727">
        <v>1</v>
      </c>
      <c r="B662" s="727" t="s">
        <v>12015</v>
      </c>
      <c r="C662" s="727"/>
      <c r="D662" s="727"/>
      <c r="E662" s="727"/>
      <c r="F662" s="745" t="s">
        <v>2297</v>
      </c>
      <c r="G662" s="738">
        <v>0</v>
      </c>
      <c r="H662" s="738">
        <v>0</v>
      </c>
      <c r="I662" s="738">
        <v>0</v>
      </c>
      <c r="J662" s="738">
        <v>0</v>
      </c>
      <c r="K662" s="738">
        <v>0</v>
      </c>
      <c r="L662" s="738">
        <v>0</v>
      </c>
      <c r="M662" s="738">
        <v>0</v>
      </c>
      <c r="N662" s="738">
        <v>0</v>
      </c>
      <c r="O662" s="738">
        <v>0</v>
      </c>
      <c r="P662" s="738">
        <v>0</v>
      </c>
    </row>
    <row r="663" spans="1:17" ht="15.75" thickBot="1">
      <c r="A663" s="727">
        <v>1</v>
      </c>
      <c r="B663" s="727" t="s">
        <v>12015</v>
      </c>
      <c r="C663" s="727" t="s">
        <v>12016</v>
      </c>
      <c r="D663" s="727"/>
      <c r="E663" s="727"/>
      <c r="F663" s="729" t="s">
        <v>14</v>
      </c>
      <c r="G663" s="738">
        <v>0</v>
      </c>
      <c r="H663" s="738">
        <v>0</v>
      </c>
      <c r="I663" s="738">
        <v>0</v>
      </c>
      <c r="J663" s="738">
        <v>0</v>
      </c>
      <c r="K663" s="738">
        <v>0</v>
      </c>
      <c r="L663" s="738">
        <v>0</v>
      </c>
      <c r="M663" s="738">
        <v>0</v>
      </c>
      <c r="N663" s="738">
        <v>0</v>
      </c>
      <c r="O663" s="738">
        <v>0</v>
      </c>
      <c r="P663" s="738">
        <v>0</v>
      </c>
    </row>
    <row r="664" spans="1:17" ht="15.75" thickBot="1">
      <c r="A664" s="727">
        <v>1</v>
      </c>
      <c r="B664" s="727" t="s">
        <v>12015</v>
      </c>
      <c r="C664" s="727" t="s">
        <v>12016</v>
      </c>
      <c r="D664" s="727" t="s">
        <v>12017</v>
      </c>
      <c r="E664" s="727"/>
      <c r="F664" s="729" t="s">
        <v>14</v>
      </c>
      <c r="G664" s="738">
        <v>0</v>
      </c>
      <c r="H664" s="738">
        <v>0</v>
      </c>
      <c r="I664" s="738">
        <v>0</v>
      </c>
      <c r="J664" s="738">
        <v>0</v>
      </c>
      <c r="K664" s="738">
        <v>0</v>
      </c>
      <c r="L664" s="738">
        <v>0</v>
      </c>
      <c r="M664" s="738">
        <v>0</v>
      </c>
      <c r="N664" s="738">
        <v>0</v>
      </c>
      <c r="O664" s="738">
        <v>0</v>
      </c>
      <c r="P664" s="738">
        <v>0</v>
      </c>
    </row>
    <row r="665" spans="1:17">
      <c r="A665">
        <v>1</v>
      </c>
      <c r="B665" t="s">
        <v>12015</v>
      </c>
      <c r="C665" t="s">
        <v>12016</v>
      </c>
      <c r="D665" t="s">
        <v>12017</v>
      </c>
      <c r="E665" t="s">
        <v>2304</v>
      </c>
      <c r="F665" t="s">
        <v>14</v>
      </c>
      <c r="G665" s="712">
        <v>0</v>
      </c>
      <c r="H665">
        <v>0</v>
      </c>
      <c r="I665" s="713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 s="724" t="str">
        <f>VLOOKUP($E665,SP_2024_v28062025!$E$2:$M$1751,9,FALSE)</f>
        <v>ACA010</v>
      </c>
    </row>
    <row r="666" spans="1:17">
      <c r="A666">
        <v>1</v>
      </c>
      <c r="B666" t="s">
        <v>12015</v>
      </c>
      <c r="C666" t="s">
        <v>12016</v>
      </c>
      <c r="D666" t="s">
        <v>12017</v>
      </c>
      <c r="E666" t="s">
        <v>2306</v>
      </c>
      <c r="F666" t="s">
        <v>2307</v>
      </c>
      <c r="G666" s="712">
        <v>0</v>
      </c>
      <c r="H666">
        <v>0</v>
      </c>
      <c r="I666" s="713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 s="724" t="str">
        <f>VLOOKUP($E666,SP_2024_v28062025!$E$2:$M$1751,9,FALSE)</f>
        <v>ACA010</v>
      </c>
    </row>
    <row r="667" spans="1:17">
      <c r="A667">
        <v>1</v>
      </c>
      <c r="B667" t="s">
        <v>12015</v>
      </c>
      <c r="C667" t="s">
        <v>12016</v>
      </c>
      <c r="D667" t="s">
        <v>12017</v>
      </c>
      <c r="E667" t="s">
        <v>2308</v>
      </c>
      <c r="F667" t="s">
        <v>2309</v>
      </c>
      <c r="G667" s="712">
        <v>0</v>
      </c>
      <c r="H667">
        <v>0</v>
      </c>
      <c r="I667" s="713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 s="724" t="str">
        <f>VLOOKUP($E667,SP_2024_v28062025!$E$2:$M$1751,9,FALSE)</f>
        <v>ACA010</v>
      </c>
    </row>
    <row r="668" spans="1:17">
      <c r="A668">
        <v>1</v>
      </c>
      <c r="B668" t="s">
        <v>12015</v>
      </c>
      <c r="C668" t="s">
        <v>12016</v>
      </c>
      <c r="D668" t="s">
        <v>12017</v>
      </c>
      <c r="E668" t="s">
        <v>2310</v>
      </c>
      <c r="F668" t="s">
        <v>2311</v>
      </c>
      <c r="G668" s="712">
        <v>0</v>
      </c>
      <c r="H668">
        <v>0</v>
      </c>
      <c r="I668" s="713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 s="724" t="str">
        <f>VLOOKUP($E668,SP_2024_v28062025!$E$2:$M$1751,9,FALSE)</f>
        <v>ACA010</v>
      </c>
    </row>
    <row r="669" spans="1:17" ht="15.75" thickBot="1">
      <c r="A669">
        <v>1</v>
      </c>
      <c r="B669" t="s">
        <v>12015</v>
      </c>
      <c r="C669" t="s">
        <v>12016</v>
      </c>
      <c r="D669" t="s">
        <v>12017</v>
      </c>
      <c r="E669" t="s">
        <v>2312</v>
      </c>
      <c r="F669" t="s">
        <v>2313</v>
      </c>
      <c r="G669" s="712">
        <v>0</v>
      </c>
      <c r="H669">
        <v>0</v>
      </c>
      <c r="I669" s="713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 s="724" t="str">
        <f>VLOOKUP($E669,SP_2024_v28062025!$E$2:$M$1751,9,FALSE)</f>
        <v>ACA010</v>
      </c>
    </row>
    <row r="670" spans="1:17" ht="15.75" thickBot="1">
      <c r="A670" s="727">
        <v>1</v>
      </c>
      <c r="B670" s="727" t="s">
        <v>12015</v>
      </c>
      <c r="C670" s="727" t="s">
        <v>12016</v>
      </c>
      <c r="D670" s="727" t="s">
        <v>12018</v>
      </c>
      <c r="E670" s="727"/>
      <c r="F670" s="729" t="s">
        <v>2314</v>
      </c>
      <c r="G670" s="738">
        <v>0</v>
      </c>
      <c r="H670" s="738">
        <v>0</v>
      </c>
      <c r="I670" s="738">
        <v>0</v>
      </c>
      <c r="J670" s="738">
        <v>0</v>
      </c>
      <c r="K670" s="738">
        <v>0</v>
      </c>
      <c r="L670" s="738">
        <v>0</v>
      </c>
      <c r="M670" s="738">
        <v>0</v>
      </c>
      <c r="N670" s="738">
        <v>0</v>
      </c>
      <c r="O670" s="738">
        <v>0</v>
      </c>
      <c r="P670" s="738">
        <v>0</v>
      </c>
    </row>
    <row r="671" spans="1:17">
      <c r="A671">
        <v>1</v>
      </c>
      <c r="B671" t="s">
        <v>12015</v>
      </c>
      <c r="C671" t="s">
        <v>12016</v>
      </c>
      <c r="D671" t="s">
        <v>12018</v>
      </c>
      <c r="E671" t="s">
        <v>2318</v>
      </c>
      <c r="F671" t="s">
        <v>2319</v>
      </c>
      <c r="G671" s="712">
        <v>0</v>
      </c>
      <c r="H671">
        <v>0</v>
      </c>
      <c r="I671" s="713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 s="724" t="str">
        <f>VLOOKUP($E671,SP_2024_v28062025!$E$2:$M$1751,9,FALSE)</f>
        <v>ACA020</v>
      </c>
    </row>
    <row r="672" spans="1:17">
      <c r="A672">
        <v>1</v>
      </c>
      <c r="B672" t="s">
        <v>12015</v>
      </c>
      <c r="C672" t="s">
        <v>12016</v>
      </c>
      <c r="D672" t="s">
        <v>12018</v>
      </c>
      <c r="E672" t="s">
        <v>2320</v>
      </c>
      <c r="F672" t="s">
        <v>2321</v>
      </c>
      <c r="G672" s="712">
        <v>0</v>
      </c>
      <c r="H672">
        <v>0</v>
      </c>
      <c r="I672" s="713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 s="724" t="str">
        <f>VLOOKUP($E672,SP_2024_v28062025!$E$2:$M$1751,9,FALSE)</f>
        <v>ACA020</v>
      </c>
    </row>
    <row r="673" spans="1:17" ht="15.75" thickBot="1">
      <c r="A673">
        <v>1</v>
      </c>
      <c r="B673" t="s">
        <v>12015</v>
      </c>
      <c r="C673" t="s">
        <v>12016</v>
      </c>
      <c r="D673" t="s">
        <v>12018</v>
      </c>
      <c r="E673" t="s">
        <v>2322</v>
      </c>
      <c r="F673" t="s">
        <v>2323</v>
      </c>
      <c r="G673" s="712">
        <v>0</v>
      </c>
      <c r="H673">
        <v>0</v>
      </c>
      <c r="I673" s="71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 s="724" t="str">
        <f>VLOOKUP($E673,SP_2024_v28062025!$E$2:$M$1751,9,FALSE)</f>
        <v>ACA020</v>
      </c>
    </row>
    <row r="674" spans="1:17" ht="15.75" thickBot="1">
      <c r="A674" s="727">
        <v>1</v>
      </c>
      <c r="B674" s="727" t="s">
        <v>12015</v>
      </c>
      <c r="C674" s="727" t="s">
        <v>12019</v>
      </c>
      <c r="D674" s="727"/>
      <c r="E674" s="727"/>
      <c r="F674" s="729" t="s">
        <v>15</v>
      </c>
      <c r="G674" s="738">
        <v>0</v>
      </c>
      <c r="H674" s="738">
        <v>0</v>
      </c>
      <c r="I674" s="738">
        <v>0</v>
      </c>
      <c r="J674" s="738">
        <v>0</v>
      </c>
      <c r="K674" s="738">
        <v>0</v>
      </c>
      <c r="L674" s="738">
        <v>0</v>
      </c>
      <c r="M674" s="738">
        <v>0</v>
      </c>
      <c r="N674" s="738">
        <v>0</v>
      </c>
      <c r="O674" s="738">
        <v>0</v>
      </c>
      <c r="P674" s="738">
        <v>0</v>
      </c>
    </row>
    <row r="675" spans="1:17" ht="15.75" thickBot="1">
      <c r="A675" s="727">
        <v>1</v>
      </c>
      <c r="B675" s="727" t="s">
        <v>12015</v>
      </c>
      <c r="C675" s="727" t="s">
        <v>12019</v>
      </c>
      <c r="D675" s="727" t="s">
        <v>12020</v>
      </c>
      <c r="E675" s="727"/>
      <c r="F675" s="729" t="s">
        <v>15</v>
      </c>
      <c r="G675" s="738">
        <v>0</v>
      </c>
      <c r="H675" s="738">
        <v>0</v>
      </c>
      <c r="I675" s="738">
        <v>0</v>
      </c>
      <c r="J675" s="738">
        <v>0</v>
      </c>
      <c r="K675" s="738">
        <v>0</v>
      </c>
      <c r="L675" s="738">
        <v>0</v>
      </c>
      <c r="M675" s="738">
        <v>0</v>
      </c>
      <c r="N675" s="738">
        <v>0</v>
      </c>
      <c r="O675" s="738">
        <v>0</v>
      </c>
      <c r="P675" s="738">
        <v>0</v>
      </c>
    </row>
    <row r="676" spans="1:17">
      <c r="A676">
        <v>1</v>
      </c>
      <c r="B676" t="s">
        <v>12015</v>
      </c>
      <c r="C676" t="s">
        <v>12019</v>
      </c>
      <c r="D676" t="s">
        <v>12020</v>
      </c>
      <c r="E676" t="s">
        <v>2327</v>
      </c>
      <c r="F676" t="s">
        <v>2328</v>
      </c>
      <c r="G676" s="712">
        <v>0</v>
      </c>
      <c r="H676">
        <v>0</v>
      </c>
      <c r="I676" s="713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 s="724" t="str">
        <f>VLOOKUP($E676,SP_2024_v28062025!$E$2:$M$1751,9,FALSE)</f>
        <v>ACA040</v>
      </c>
    </row>
    <row r="677" spans="1:17">
      <c r="A677">
        <v>1</v>
      </c>
      <c r="B677" t="s">
        <v>12015</v>
      </c>
      <c r="C677" t="s">
        <v>12019</v>
      </c>
      <c r="D677" t="s">
        <v>12020</v>
      </c>
      <c r="E677" t="s">
        <v>2330</v>
      </c>
      <c r="F677" t="s">
        <v>2331</v>
      </c>
      <c r="G677" s="712">
        <v>0</v>
      </c>
      <c r="H677">
        <v>0</v>
      </c>
      <c r="I677" s="713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 s="724" t="str">
        <f>VLOOKUP($E677,SP_2024_v28062025!$E$2:$M$1751,9,FALSE)</f>
        <v>ACA040</v>
      </c>
    </row>
    <row r="678" spans="1:17">
      <c r="A678">
        <v>1</v>
      </c>
      <c r="B678" t="s">
        <v>12015</v>
      </c>
      <c r="C678" t="s">
        <v>12019</v>
      </c>
      <c r="D678" t="s">
        <v>12020</v>
      </c>
      <c r="E678" t="s">
        <v>2332</v>
      </c>
      <c r="F678" t="s">
        <v>2333</v>
      </c>
      <c r="G678" s="712">
        <v>0</v>
      </c>
      <c r="H678">
        <v>0</v>
      </c>
      <c r="I678" s="713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 s="724" t="str">
        <f>VLOOKUP($E678,SP_2024_v28062025!$E$2:$M$1751,9,FALSE)</f>
        <v>ACA040</v>
      </c>
    </row>
    <row r="679" spans="1:17">
      <c r="A679">
        <v>1</v>
      </c>
      <c r="B679" t="s">
        <v>12015</v>
      </c>
      <c r="C679" t="s">
        <v>12019</v>
      </c>
      <c r="D679" t="s">
        <v>12020</v>
      </c>
      <c r="E679" t="s">
        <v>2334</v>
      </c>
      <c r="F679" t="s">
        <v>2335</v>
      </c>
      <c r="G679" s="712">
        <v>0</v>
      </c>
      <c r="H679">
        <v>0</v>
      </c>
      <c r="I679" s="713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 s="724" t="str">
        <f>VLOOKUP($E679,SP_2024_v28062025!$E$2:$M$1751,9,FALSE)</f>
        <v>ACA040</v>
      </c>
    </row>
    <row r="680" spans="1:17" ht="15.75" thickBot="1">
      <c r="A680">
        <v>1</v>
      </c>
      <c r="B680" t="s">
        <v>12015</v>
      </c>
      <c r="C680" t="s">
        <v>12019</v>
      </c>
      <c r="D680" t="s">
        <v>12020</v>
      </c>
      <c r="E680" t="s">
        <v>2336</v>
      </c>
      <c r="F680" t="s">
        <v>2337</v>
      </c>
      <c r="G680" s="712">
        <v>0</v>
      </c>
      <c r="H680">
        <v>0</v>
      </c>
      <c r="I680" s="713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 s="724" t="str">
        <f>VLOOKUP($E680,SP_2024_v28062025!$E$2:$M$1751,9,FALSE)</f>
        <v>ACA040</v>
      </c>
    </row>
    <row r="681" spans="1:17" ht="15.75" thickBot="1">
      <c r="A681" s="727">
        <v>1</v>
      </c>
      <c r="B681" s="727" t="s">
        <v>12015</v>
      </c>
      <c r="C681" s="727" t="s">
        <v>12019</v>
      </c>
      <c r="D681" s="727" t="s">
        <v>12021</v>
      </c>
      <c r="E681" s="727"/>
      <c r="F681" s="729" t="s">
        <v>2338</v>
      </c>
      <c r="G681" s="738">
        <v>0</v>
      </c>
      <c r="H681" s="738">
        <v>0</v>
      </c>
      <c r="I681" s="738">
        <v>0</v>
      </c>
      <c r="J681" s="738">
        <v>0</v>
      </c>
      <c r="K681" s="738">
        <v>0</v>
      </c>
      <c r="L681" s="738">
        <v>0</v>
      </c>
      <c r="M681" s="738">
        <v>0</v>
      </c>
      <c r="N681" s="738">
        <v>0</v>
      </c>
      <c r="O681" s="738">
        <v>0</v>
      </c>
      <c r="P681" s="738">
        <v>0</v>
      </c>
    </row>
    <row r="682" spans="1:17">
      <c r="A682">
        <v>1</v>
      </c>
      <c r="B682" t="s">
        <v>12015</v>
      </c>
      <c r="C682" t="s">
        <v>12019</v>
      </c>
      <c r="D682" t="s">
        <v>12021</v>
      </c>
      <c r="E682" t="s">
        <v>2342</v>
      </c>
      <c r="F682" t="s">
        <v>2343</v>
      </c>
      <c r="G682" s="712">
        <v>0</v>
      </c>
      <c r="H682">
        <v>0</v>
      </c>
      <c r="I682" s="713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 s="724" t="str">
        <f>VLOOKUP($E682,SP_2024_v28062025!$E$2:$M$1751,9,FALSE)</f>
        <v>ACA050</v>
      </c>
    </row>
    <row r="683" spans="1:17">
      <c r="A683">
        <v>1</v>
      </c>
      <c r="B683" t="s">
        <v>12015</v>
      </c>
      <c r="C683" t="s">
        <v>12019</v>
      </c>
      <c r="D683" t="s">
        <v>12021</v>
      </c>
      <c r="E683" t="s">
        <v>2344</v>
      </c>
      <c r="F683" t="s">
        <v>2345</v>
      </c>
      <c r="G683" s="712">
        <v>0</v>
      </c>
      <c r="H683">
        <v>0</v>
      </c>
      <c r="I683" s="71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 s="724" t="str">
        <f>VLOOKUP($E683,SP_2024_v28062025!$E$2:$M$1751,9,FALSE)</f>
        <v>ACA050</v>
      </c>
    </row>
    <row r="684" spans="1:17">
      <c r="A684">
        <v>1</v>
      </c>
      <c r="B684" t="s">
        <v>12015</v>
      </c>
      <c r="C684" t="s">
        <v>12019</v>
      </c>
      <c r="D684" t="s">
        <v>12021</v>
      </c>
      <c r="E684" t="s">
        <v>2346</v>
      </c>
      <c r="F684" t="s">
        <v>2347</v>
      </c>
      <c r="G684" s="712">
        <v>0</v>
      </c>
      <c r="H684">
        <v>0</v>
      </c>
      <c r="I684" s="713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 s="724" t="str">
        <f>VLOOKUP($E684,SP_2024_v28062025!$E$2:$M$1751,9,FALSE)</f>
        <v>ACA050</v>
      </c>
    </row>
    <row r="685" spans="1:17" ht="15.75" thickBot="1">
      <c r="A685">
        <v>1</v>
      </c>
      <c r="B685" t="s">
        <v>12015</v>
      </c>
      <c r="C685" t="s">
        <v>12019</v>
      </c>
      <c r="D685" t="s">
        <v>12021</v>
      </c>
      <c r="E685" t="s">
        <v>2348</v>
      </c>
      <c r="F685" t="s">
        <v>2349</v>
      </c>
      <c r="G685" s="712">
        <v>0</v>
      </c>
      <c r="H685">
        <v>0</v>
      </c>
      <c r="I685" s="713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 s="724" t="str">
        <f>VLOOKUP($E685,SP_2024_v28062025!$E$2:$M$1751,9,FALSE)</f>
        <v>ACA050</v>
      </c>
    </row>
    <row r="686" spans="1:17" ht="15.75" thickBot="1">
      <c r="A686" s="727">
        <v>2</v>
      </c>
      <c r="B686" s="727"/>
      <c r="C686" s="727"/>
      <c r="D686" s="727"/>
      <c r="E686" s="727"/>
      <c r="F686" s="745" t="s">
        <v>2350</v>
      </c>
      <c r="G686" s="739">
        <v>298060084.31</v>
      </c>
      <c r="H686" s="739">
        <v>298060084.31</v>
      </c>
      <c r="I686" s="738">
        <v>0</v>
      </c>
      <c r="J686" s="738">
        <v>0</v>
      </c>
      <c r="K686" s="738">
        <v>0</v>
      </c>
      <c r="L686" s="738">
        <v>0</v>
      </c>
      <c r="M686" s="738">
        <v>0</v>
      </c>
      <c r="N686" s="739">
        <v>298060084.31</v>
      </c>
      <c r="O686" s="739">
        <v>298060084.31</v>
      </c>
      <c r="P686" s="738">
        <v>0</v>
      </c>
    </row>
    <row r="687" spans="1:17" ht="15.75" thickBot="1">
      <c r="A687" s="727">
        <v>2</v>
      </c>
      <c r="B687" s="727" t="s">
        <v>12022</v>
      </c>
      <c r="C687" s="727"/>
      <c r="D687" s="727"/>
      <c r="E687" s="727"/>
      <c r="F687" s="745" t="s">
        <v>17</v>
      </c>
      <c r="G687" s="739">
        <v>298060084.31</v>
      </c>
      <c r="H687" s="739">
        <v>298060084.31</v>
      </c>
      <c r="I687" s="738">
        <v>0</v>
      </c>
      <c r="J687" s="738">
        <v>0</v>
      </c>
      <c r="K687" s="738">
        <v>0</v>
      </c>
      <c r="L687" s="738">
        <v>0</v>
      </c>
      <c r="M687" s="738">
        <v>0</v>
      </c>
      <c r="N687" s="739">
        <v>298060084.31</v>
      </c>
      <c r="O687" s="739">
        <v>298060084.31</v>
      </c>
      <c r="P687" s="738">
        <v>0</v>
      </c>
    </row>
    <row r="688" spans="1:17" ht="15.75" thickBot="1">
      <c r="A688" s="727">
        <v>2</v>
      </c>
      <c r="B688" s="727" t="s">
        <v>12022</v>
      </c>
      <c r="C688" s="727" t="s">
        <v>12023</v>
      </c>
      <c r="D688" s="727"/>
      <c r="E688" s="727"/>
      <c r="F688" s="729" t="s">
        <v>2391</v>
      </c>
      <c r="G688" s="739">
        <v>298060084.31</v>
      </c>
      <c r="H688" s="739">
        <v>298060084.31</v>
      </c>
      <c r="I688" s="738">
        <v>0</v>
      </c>
      <c r="J688" s="738">
        <v>0</v>
      </c>
      <c r="K688" s="738">
        <v>0</v>
      </c>
      <c r="L688" s="738">
        <v>0</v>
      </c>
      <c r="M688" s="738">
        <v>0</v>
      </c>
      <c r="N688" s="739">
        <v>298060084.31</v>
      </c>
      <c r="O688" s="739">
        <v>298060084.31</v>
      </c>
      <c r="P688" s="738">
        <v>0</v>
      </c>
    </row>
    <row r="689" spans="1:17" ht="15.75" thickBot="1">
      <c r="A689" s="727">
        <v>2</v>
      </c>
      <c r="B689" s="727" t="s">
        <v>12022</v>
      </c>
      <c r="C689" s="727" t="s">
        <v>12023</v>
      </c>
      <c r="D689" s="727" t="s">
        <v>12024</v>
      </c>
      <c r="E689" s="727"/>
      <c r="F689" s="729" t="s">
        <v>2391</v>
      </c>
      <c r="G689" s="739">
        <v>298060084.31</v>
      </c>
      <c r="H689" s="739">
        <v>298060084.31</v>
      </c>
      <c r="I689" s="738">
        <v>0</v>
      </c>
      <c r="J689" s="738">
        <v>0</v>
      </c>
      <c r="K689" s="738">
        <v>0</v>
      </c>
      <c r="L689" s="738">
        <v>0</v>
      </c>
      <c r="M689" s="738">
        <v>0</v>
      </c>
      <c r="N689" s="739">
        <v>298060084.31</v>
      </c>
      <c r="O689" s="739">
        <v>298060084.31</v>
      </c>
      <c r="P689" s="738">
        <v>0</v>
      </c>
    </row>
    <row r="690" spans="1:17">
      <c r="A690">
        <v>2</v>
      </c>
      <c r="B690" t="s">
        <v>12022</v>
      </c>
      <c r="C690" t="s">
        <v>12023</v>
      </c>
      <c r="D690" t="s">
        <v>12024</v>
      </c>
      <c r="E690" t="s">
        <v>2386</v>
      </c>
      <c r="F690" t="s">
        <v>2387</v>
      </c>
      <c r="G690" s="712">
        <v>0</v>
      </c>
      <c r="H690">
        <v>0</v>
      </c>
      <c r="I690" s="713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</row>
    <row r="691" spans="1:17" ht="15.75" thickBot="1">
      <c r="A691">
        <v>2</v>
      </c>
      <c r="B691" t="s">
        <v>12022</v>
      </c>
      <c r="C691" t="s">
        <v>12023</v>
      </c>
      <c r="D691" t="s">
        <v>12024</v>
      </c>
      <c r="E691" t="s">
        <v>2388</v>
      </c>
      <c r="F691" t="s">
        <v>2389</v>
      </c>
      <c r="G691" s="714">
        <v>298060084.31</v>
      </c>
      <c r="H691" s="711">
        <v>298060084.31</v>
      </c>
      <c r="I691" s="713">
        <v>0</v>
      </c>
      <c r="J691">
        <v>0</v>
      </c>
      <c r="K691">
        <v>0</v>
      </c>
      <c r="L691">
        <v>0</v>
      </c>
      <c r="M691">
        <v>0</v>
      </c>
      <c r="N691" s="711">
        <v>298060084.31</v>
      </c>
      <c r="O691" s="711">
        <v>298060084.31</v>
      </c>
      <c r="P691">
        <v>0</v>
      </c>
    </row>
    <row r="692" spans="1:17" ht="15.75" thickBot="1">
      <c r="A692" s="727">
        <v>2</v>
      </c>
      <c r="B692" s="727"/>
      <c r="C692" s="727"/>
      <c r="D692" s="727"/>
      <c r="E692" s="727"/>
      <c r="F692" s="745" t="s">
        <v>2350</v>
      </c>
      <c r="G692" s="739">
        <v>3724962.04</v>
      </c>
      <c r="H692" s="739">
        <v>301855330.14999998</v>
      </c>
      <c r="I692" s="739">
        <v>298130368.11000001</v>
      </c>
      <c r="J692" s="739">
        <v>2827935091.3400002</v>
      </c>
      <c r="K692" s="739">
        <v>2833976027.9000001</v>
      </c>
      <c r="L692" s="738">
        <v>0</v>
      </c>
      <c r="M692" s="738">
        <v>0</v>
      </c>
      <c r="N692" s="739">
        <v>2831660053.3800001</v>
      </c>
      <c r="O692" s="739">
        <v>3135831358.0500002</v>
      </c>
      <c r="P692" s="739">
        <v>-304171304.67000002</v>
      </c>
    </row>
    <row r="693" spans="1:17" ht="15.75" thickBot="1">
      <c r="A693" s="727">
        <v>2</v>
      </c>
      <c r="B693" s="727" t="s">
        <v>12022</v>
      </c>
      <c r="C693" s="727"/>
      <c r="D693" s="727"/>
      <c r="E693" s="727"/>
      <c r="F693" s="745" t="s">
        <v>17</v>
      </c>
      <c r="G693" s="739">
        <v>1248824.07</v>
      </c>
      <c r="H693" s="739">
        <v>138860756.53</v>
      </c>
      <c r="I693" s="739">
        <v>137611932.46000001</v>
      </c>
      <c r="J693" s="739">
        <v>12502922.880000001</v>
      </c>
      <c r="K693" s="739">
        <v>12536288.550000001</v>
      </c>
      <c r="L693" s="738">
        <v>0</v>
      </c>
      <c r="M693" s="738">
        <v>0</v>
      </c>
      <c r="N693" s="739">
        <v>13751746.949999999</v>
      </c>
      <c r="O693" s="739">
        <v>151397045.08000001</v>
      </c>
      <c r="P693" s="739">
        <v>-137645298.13</v>
      </c>
    </row>
    <row r="694" spans="1:17" ht="15.75" thickBot="1">
      <c r="A694" s="727">
        <v>2</v>
      </c>
      <c r="B694" s="727" t="s">
        <v>12022</v>
      </c>
      <c r="C694" s="727" t="s">
        <v>12025</v>
      </c>
      <c r="D694" s="727"/>
      <c r="E694" s="727"/>
      <c r="F694" s="729" t="s">
        <v>2392</v>
      </c>
      <c r="G694" s="739">
        <v>789593.01</v>
      </c>
      <c r="H694" s="739">
        <v>11611134.52</v>
      </c>
      <c r="I694" s="739">
        <v>10821541.51</v>
      </c>
      <c r="J694" s="738">
        <v>0</v>
      </c>
      <c r="K694" s="738">
        <v>0</v>
      </c>
      <c r="L694" s="738">
        <v>0</v>
      </c>
      <c r="M694" s="738">
        <v>0</v>
      </c>
      <c r="N694" s="739">
        <v>789593.01</v>
      </c>
      <c r="O694" s="739">
        <v>11611134.52</v>
      </c>
      <c r="P694" s="739">
        <v>-10821541.51</v>
      </c>
    </row>
    <row r="695" spans="1:17" ht="15.75" thickBot="1">
      <c r="A695" s="727">
        <v>2</v>
      </c>
      <c r="B695" s="727" t="s">
        <v>12022</v>
      </c>
      <c r="C695" s="727" t="s">
        <v>12025</v>
      </c>
      <c r="D695" s="727" t="s">
        <v>12026</v>
      </c>
      <c r="E695" s="727"/>
      <c r="F695" s="729" t="s">
        <v>2392</v>
      </c>
      <c r="G695" s="739">
        <v>789593.01</v>
      </c>
      <c r="H695" s="739">
        <v>11611134.52</v>
      </c>
      <c r="I695" s="739">
        <v>10821541.51</v>
      </c>
      <c r="J695" s="738">
        <v>0</v>
      </c>
      <c r="K695" s="738">
        <v>0</v>
      </c>
      <c r="L695" s="738">
        <v>0</v>
      </c>
      <c r="M695" s="738">
        <v>0</v>
      </c>
      <c r="N695" s="739">
        <v>789593.01</v>
      </c>
      <c r="O695" s="739">
        <v>11611134.52</v>
      </c>
      <c r="P695" s="739">
        <v>-10821541.51</v>
      </c>
    </row>
    <row r="696" spans="1:17">
      <c r="A696">
        <v>2</v>
      </c>
      <c r="B696" t="s">
        <v>12022</v>
      </c>
      <c r="C696" t="s">
        <v>12025</v>
      </c>
      <c r="D696" t="s">
        <v>12026</v>
      </c>
      <c r="E696" t="s">
        <v>2395</v>
      </c>
      <c r="F696" t="s">
        <v>2396</v>
      </c>
      <c r="G696" s="712">
        <v>0</v>
      </c>
      <c r="H696" s="711">
        <v>11611134.52</v>
      </c>
      <c r="I696" s="715">
        <v>11611134.52</v>
      </c>
      <c r="J696">
        <v>0</v>
      </c>
      <c r="K696">
        <v>0</v>
      </c>
      <c r="L696">
        <v>0</v>
      </c>
      <c r="M696">
        <v>0</v>
      </c>
      <c r="N696">
        <v>0</v>
      </c>
      <c r="O696" s="711">
        <v>11611134.52</v>
      </c>
      <c r="P696" s="711">
        <v>-11611134.52</v>
      </c>
    </row>
    <row r="697" spans="1:17" ht="15.75" thickBot="1">
      <c r="A697">
        <v>2</v>
      </c>
      <c r="B697" t="s">
        <v>12022</v>
      </c>
      <c r="C697" t="s">
        <v>12025</v>
      </c>
      <c r="D697" t="s">
        <v>12026</v>
      </c>
      <c r="E697" t="s">
        <v>2397</v>
      </c>
      <c r="F697" t="s">
        <v>2398</v>
      </c>
      <c r="G697" s="714">
        <v>789593.01</v>
      </c>
      <c r="H697">
        <v>0</v>
      </c>
      <c r="I697" s="715">
        <v>789593.01</v>
      </c>
      <c r="J697">
        <v>0</v>
      </c>
      <c r="K697">
        <v>0</v>
      </c>
      <c r="L697">
        <v>0</v>
      </c>
      <c r="M697">
        <v>0</v>
      </c>
      <c r="N697" s="711">
        <v>789593.01</v>
      </c>
      <c r="O697">
        <v>0</v>
      </c>
      <c r="P697" s="711">
        <v>789593.01</v>
      </c>
    </row>
    <row r="698" spans="1:17" ht="15.75" thickBot="1">
      <c r="A698" s="727">
        <v>2</v>
      </c>
      <c r="B698" s="727" t="s">
        <v>12022</v>
      </c>
      <c r="C698" s="727" t="s">
        <v>12027</v>
      </c>
      <c r="D698" s="727"/>
      <c r="E698" s="727"/>
      <c r="F698" s="745" t="s">
        <v>2399</v>
      </c>
      <c r="G698" s="738">
        <v>0.42</v>
      </c>
      <c r="H698" s="739">
        <v>108121027.91</v>
      </c>
      <c r="I698" s="739">
        <v>108121027.48999999</v>
      </c>
      <c r="J698" s="739">
        <v>12151216.300000001</v>
      </c>
      <c r="K698" s="739">
        <v>12458804.189999999</v>
      </c>
      <c r="L698" s="738">
        <v>0</v>
      </c>
      <c r="M698" s="738">
        <v>0</v>
      </c>
      <c r="N698" s="739">
        <v>12151216.720000001</v>
      </c>
      <c r="O698" s="739">
        <v>120579832.09999999</v>
      </c>
      <c r="P698" s="739">
        <v>-108428615.38</v>
      </c>
    </row>
    <row r="699" spans="1:17" ht="15.75" thickBot="1">
      <c r="A699" s="727">
        <v>2</v>
      </c>
      <c r="B699" s="727" t="s">
        <v>12022</v>
      </c>
      <c r="C699" s="727" t="s">
        <v>12027</v>
      </c>
      <c r="D699" s="727" t="s">
        <v>12028</v>
      </c>
      <c r="E699" s="727"/>
      <c r="F699" s="729" t="s">
        <v>2411</v>
      </c>
      <c r="G699" s="738">
        <v>0</v>
      </c>
      <c r="H699" s="738">
        <v>0</v>
      </c>
      <c r="I699" s="738">
        <v>0</v>
      </c>
      <c r="J699" s="738">
        <v>0</v>
      </c>
      <c r="K699" s="738">
        <v>0</v>
      </c>
      <c r="L699" s="738">
        <v>0</v>
      </c>
      <c r="M699" s="738">
        <v>0</v>
      </c>
      <c r="N699" s="738">
        <v>0</v>
      </c>
      <c r="O699" s="738">
        <v>0</v>
      </c>
      <c r="P699" s="738">
        <v>0</v>
      </c>
    </row>
    <row r="700" spans="1:17" ht="15.75" thickBot="1">
      <c r="A700">
        <v>2</v>
      </c>
      <c r="B700" t="s">
        <v>12022</v>
      </c>
      <c r="C700" t="s">
        <v>12027</v>
      </c>
      <c r="D700" t="s">
        <v>12028</v>
      </c>
      <c r="E700" t="s">
        <v>2403</v>
      </c>
      <c r="F700" t="s">
        <v>2401</v>
      </c>
      <c r="G700" s="712">
        <v>0</v>
      </c>
      <c r="H700">
        <v>0</v>
      </c>
      <c r="I700" s="713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 s="724" t="str">
        <f>VLOOKUP($E700,SP_2024_v28062025!$E$2:$M$1751,9,FALSE)</f>
        <v>PAA020</v>
      </c>
    </row>
    <row r="701" spans="1:17" ht="15.75" thickBot="1">
      <c r="A701" s="727">
        <v>2</v>
      </c>
      <c r="B701" s="727" t="s">
        <v>12022</v>
      </c>
      <c r="C701" s="727" t="s">
        <v>12027</v>
      </c>
      <c r="D701" s="727" t="s">
        <v>12029</v>
      </c>
      <c r="E701" s="727"/>
      <c r="F701" s="729" t="s">
        <v>2416</v>
      </c>
      <c r="G701" s="738">
        <v>0</v>
      </c>
      <c r="H701" s="739">
        <v>129454.79</v>
      </c>
      <c r="I701" s="739">
        <v>129454.79</v>
      </c>
      <c r="J701" s="738">
        <v>0</v>
      </c>
      <c r="K701" s="738">
        <v>0</v>
      </c>
      <c r="L701" s="738">
        <v>0</v>
      </c>
      <c r="M701" s="738">
        <v>0</v>
      </c>
      <c r="N701" s="738">
        <v>0</v>
      </c>
      <c r="O701" s="739">
        <v>129454.79</v>
      </c>
      <c r="P701" s="739">
        <v>-129454.79</v>
      </c>
    </row>
    <row r="702" spans="1:17">
      <c r="A702">
        <v>2</v>
      </c>
      <c r="B702" t="s">
        <v>12022</v>
      </c>
      <c r="C702" t="s">
        <v>12027</v>
      </c>
      <c r="D702" t="s">
        <v>12029</v>
      </c>
      <c r="E702" t="s">
        <v>2406</v>
      </c>
      <c r="F702" t="s">
        <v>2407</v>
      </c>
      <c r="G702" s="712">
        <v>0</v>
      </c>
      <c r="H702" s="711">
        <v>129454.79</v>
      </c>
      <c r="I702" s="715">
        <v>129454.79</v>
      </c>
      <c r="J702">
        <v>0</v>
      </c>
      <c r="K702">
        <v>0</v>
      </c>
      <c r="L702">
        <v>0</v>
      </c>
      <c r="M702">
        <v>0</v>
      </c>
      <c r="N702">
        <v>0</v>
      </c>
      <c r="O702" s="711">
        <v>129454.79</v>
      </c>
      <c r="P702" s="711">
        <v>-129454.79</v>
      </c>
      <c r="Q702" s="724" t="str">
        <f>VLOOKUP($E702,SP_2024_v28062025!$E$2:$M$1751,9,FALSE)</f>
        <v>PAA040</v>
      </c>
    </row>
    <row r="703" spans="1:17">
      <c r="A703">
        <v>2</v>
      </c>
      <c r="B703" t="s">
        <v>12022</v>
      </c>
      <c r="C703" t="s">
        <v>12027</v>
      </c>
      <c r="D703" t="s">
        <v>12029</v>
      </c>
      <c r="E703" t="s">
        <v>2408</v>
      </c>
      <c r="F703" t="s">
        <v>2409</v>
      </c>
      <c r="G703" s="712">
        <v>0</v>
      </c>
      <c r="H703">
        <v>0</v>
      </c>
      <c r="I703" s="71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 s="724" t="str">
        <f>VLOOKUP($E703,SP_2024_v28062025!$E$2:$M$1751,9,FALSE)</f>
        <v>PAA040</v>
      </c>
    </row>
    <row r="704" spans="1:17" ht="15.75" thickBot="1">
      <c r="A704">
        <v>2</v>
      </c>
      <c r="B704" t="s">
        <v>12022</v>
      </c>
      <c r="C704" t="s">
        <v>12027</v>
      </c>
      <c r="D704" t="s">
        <v>12029</v>
      </c>
      <c r="E704" t="s">
        <v>2410</v>
      </c>
      <c r="F704" t="s">
        <v>2404</v>
      </c>
      <c r="G704" s="712">
        <v>0</v>
      </c>
      <c r="H704">
        <v>0</v>
      </c>
      <c r="I704" s="713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 s="724" t="str">
        <f>VLOOKUP($E704,SP_2024_v28062025!$E$2:$M$1751,9,FALSE)</f>
        <v>PAA040</v>
      </c>
    </row>
    <row r="705" spans="1:19" ht="15.75" thickBot="1">
      <c r="A705" s="727">
        <v>2</v>
      </c>
      <c r="B705" s="727" t="s">
        <v>12022</v>
      </c>
      <c r="C705" s="727" t="s">
        <v>12027</v>
      </c>
      <c r="D705" s="727" t="s">
        <v>12030</v>
      </c>
      <c r="E705" s="727"/>
      <c r="F705" s="729" t="s">
        <v>2415</v>
      </c>
      <c r="G705" s="738">
        <v>0</v>
      </c>
      <c r="H705" s="738">
        <v>0</v>
      </c>
      <c r="I705" s="738">
        <v>0</v>
      </c>
      <c r="J705" s="738">
        <v>0</v>
      </c>
      <c r="K705" s="738">
        <v>0</v>
      </c>
      <c r="L705" s="738">
        <v>0</v>
      </c>
      <c r="M705" s="738">
        <v>0</v>
      </c>
      <c r="N705" s="738">
        <v>0</v>
      </c>
      <c r="O705" s="738">
        <v>0</v>
      </c>
      <c r="P705" s="738">
        <v>0</v>
      </c>
    </row>
    <row r="706" spans="1:19" ht="15.75" thickBot="1">
      <c r="A706">
        <v>2</v>
      </c>
      <c r="B706" t="s">
        <v>12022</v>
      </c>
      <c r="C706" t="s">
        <v>12027</v>
      </c>
      <c r="D706" t="s">
        <v>12030</v>
      </c>
      <c r="E706" t="s">
        <v>2414</v>
      </c>
      <c r="F706" t="s">
        <v>2415</v>
      </c>
      <c r="G706" s="712">
        <v>0</v>
      </c>
      <c r="H706">
        <v>0</v>
      </c>
      <c r="I706" s="713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 s="724" t="str">
        <f>VLOOKUP($E706,SP_2024_v28062025!$E$2:$M$1751,9,FALSE)</f>
        <v>PAA050</v>
      </c>
    </row>
    <row r="707" spans="1:19" ht="15.75" thickBot="1">
      <c r="A707" s="727">
        <v>2</v>
      </c>
      <c r="B707" s="727" t="s">
        <v>12022</v>
      </c>
      <c r="C707" s="727" t="s">
        <v>12027</v>
      </c>
      <c r="D707" s="727" t="s">
        <v>12031</v>
      </c>
      <c r="E707" s="727"/>
      <c r="F707" s="729" t="s">
        <v>2421</v>
      </c>
      <c r="G707" s="738">
        <v>0</v>
      </c>
      <c r="H707" s="739">
        <v>30193095.309999999</v>
      </c>
      <c r="I707" s="739">
        <v>30193095.309999999</v>
      </c>
      <c r="J707" s="739">
        <v>5444592.8899999997</v>
      </c>
      <c r="K707" s="738">
        <v>0</v>
      </c>
      <c r="L707" s="738">
        <v>0</v>
      </c>
      <c r="M707" s="738">
        <v>0</v>
      </c>
      <c r="N707" s="739">
        <v>5444592.8899999997</v>
      </c>
      <c r="O707" s="739">
        <v>30193095.309999999</v>
      </c>
      <c r="P707" s="739">
        <v>-24748502.420000002</v>
      </c>
    </row>
    <row r="708" spans="1:19">
      <c r="A708">
        <v>2</v>
      </c>
      <c r="B708" t="s">
        <v>12022</v>
      </c>
      <c r="C708" t="s">
        <v>12027</v>
      </c>
      <c r="D708" t="s">
        <v>12031</v>
      </c>
      <c r="E708" t="s">
        <v>2420</v>
      </c>
      <c r="F708" t="s">
        <v>2421</v>
      </c>
      <c r="G708" s="712">
        <v>0</v>
      </c>
      <c r="H708" s="711">
        <v>48018.38</v>
      </c>
      <c r="I708" s="715">
        <v>48018.38</v>
      </c>
      <c r="J708">
        <v>0</v>
      </c>
      <c r="K708">
        <v>0</v>
      </c>
      <c r="L708">
        <v>0</v>
      </c>
      <c r="M708">
        <v>0</v>
      </c>
      <c r="N708">
        <v>0</v>
      </c>
      <c r="O708" s="711">
        <v>48018.38</v>
      </c>
      <c r="P708" s="711">
        <v>-48018.38</v>
      </c>
      <c r="Q708" s="724" t="str">
        <f>VLOOKUP($E708,SP_2024_v28062025!$E$2:$M$1751,9,FALSE)</f>
        <v>PAA060</v>
      </c>
    </row>
    <row r="709" spans="1:19">
      <c r="A709">
        <v>2</v>
      </c>
      <c r="B709" t="s">
        <v>12022</v>
      </c>
      <c r="C709" t="s">
        <v>12027</v>
      </c>
      <c r="D709" t="s">
        <v>12031</v>
      </c>
      <c r="E709" t="s">
        <v>2422</v>
      </c>
      <c r="F709" t="s">
        <v>2423</v>
      </c>
      <c r="G709" s="712">
        <v>0</v>
      </c>
      <c r="H709" s="711">
        <v>3192000</v>
      </c>
      <c r="I709" s="715">
        <v>3192000</v>
      </c>
      <c r="J709">
        <v>0</v>
      </c>
      <c r="K709">
        <v>0</v>
      </c>
      <c r="L709">
        <v>0</v>
      </c>
      <c r="M709">
        <v>0</v>
      </c>
      <c r="N709">
        <v>0</v>
      </c>
      <c r="O709" s="711">
        <v>3192000</v>
      </c>
      <c r="P709" s="711">
        <v>-3192000</v>
      </c>
      <c r="Q709" s="724" t="str">
        <f>VLOOKUP($E709,SP_2024_v28062025!$E$2:$M$1751,9,FALSE)</f>
        <v>PAA060</v>
      </c>
    </row>
    <row r="710" spans="1:19">
      <c r="A710">
        <v>2</v>
      </c>
      <c r="B710" t="s">
        <v>12022</v>
      </c>
      <c r="C710" t="s">
        <v>12027</v>
      </c>
      <c r="D710" t="s">
        <v>12031</v>
      </c>
      <c r="E710" t="s">
        <v>2424</v>
      </c>
      <c r="F710" t="s">
        <v>2425</v>
      </c>
      <c r="G710" s="712">
        <v>0</v>
      </c>
      <c r="H710" s="711">
        <v>1000000</v>
      </c>
      <c r="I710" s="715">
        <v>1000000</v>
      </c>
      <c r="J710">
        <v>0</v>
      </c>
      <c r="K710">
        <v>0</v>
      </c>
      <c r="L710">
        <v>0</v>
      </c>
      <c r="M710">
        <v>0</v>
      </c>
      <c r="N710">
        <v>0</v>
      </c>
      <c r="O710" s="711">
        <v>1000000</v>
      </c>
      <c r="P710" s="711">
        <v>-1000000</v>
      </c>
      <c r="Q710" s="724" t="str">
        <f>VLOOKUP($E710,SP_2024_v28062025!$E$2:$M$1751,9,FALSE)</f>
        <v>PAA060</v>
      </c>
    </row>
    <row r="711" spans="1:19">
      <c r="A711">
        <v>2</v>
      </c>
      <c r="B711" t="s">
        <v>12022</v>
      </c>
      <c r="C711" t="s">
        <v>12027</v>
      </c>
      <c r="D711" t="s">
        <v>12031</v>
      </c>
      <c r="E711" t="s">
        <v>2426</v>
      </c>
      <c r="F711" t="s">
        <v>2427</v>
      </c>
      <c r="G711" s="712">
        <v>0</v>
      </c>
      <c r="H711" s="711">
        <v>8556631.9399999995</v>
      </c>
      <c r="I711" s="715">
        <v>8556631.9399999995</v>
      </c>
      <c r="J711" s="711">
        <v>5317440.93</v>
      </c>
      <c r="K711">
        <v>0</v>
      </c>
      <c r="L711">
        <v>0</v>
      </c>
      <c r="M711">
        <v>0</v>
      </c>
      <c r="N711" s="753">
        <v>5317440.93</v>
      </c>
      <c r="O711" s="711">
        <v>8556631.9399999995</v>
      </c>
      <c r="P711" s="711">
        <v>-3239191.01</v>
      </c>
      <c r="Q711" s="724" t="str">
        <f>VLOOKUP($E711,SP_2024_v28062025!$E$2:$M$1751,9,FALSE)</f>
        <v>PAA060</v>
      </c>
    </row>
    <row r="712" spans="1:19">
      <c r="A712">
        <v>2</v>
      </c>
      <c r="B712" t="s">
        <v>12022</v>
      </c>
      <c r="C712" t="s">
        <v>12027</v>
      </c>
      <c r="D712" t="s">
        <v>12031</v>
      </c>
      <c r="E712" t="s">
        <v>2428</v>
      </c>
      <c r="F712" t="s">
        <v>2429</v>
      </c>
      <c r="G712" s="712">
        <v>0</v>
      </c>
      <c r="H712" s="711">
        <v>2800000</v>
      </c>
      <c r="I712" s="715">
        <v>2800000</v>
      </c>
      <c r="J712" s="711">
        <v>125837.99</v>
      </c>
      <c r="K712">
        <v>0</v>
      </c>
      <c r="L712">
        <v>0</v>
      </c>
      <c r="M712">
        <v>0</v>
      </c>
      <c r="N712" s="750">
        <v>125837.99</v>
      </c>
      <c r="O712" s="711">
        <v>2800000</v>
      </c>
      <c r="P712" s="711">
        <v>-2674162.0099999998</v>
      </c>
      <c r="Q712" s="724" t="str">
        <f>VLOOKUP($E712,SP_2024_v28062025!$E$2:$M$1751,9,FALSE)</f>
        <v>PAA060</v>
      </c>
    </row>
    <row r="713" spans="1:19">
      <c r="A713">
        <v>2</v>
      </c>
      <c r="B713" t="s">
        <v>12022</v>
      </c>
      <c r="C713" t="s">
        <v>12027</v>
      </c>
      <c r="D713" t="s">
        <v>12031</v>
      </c>
      <c r="E713" t="s">
        <v>2430</v>
      </c>
      <c r="F713" t="s">
        <v>2431</v>
      </c>
      <c r="G713" s="712">
        <v>0</v>
      </c>
      <c r="H713">
        <v>0</v>
      </c>
      <c r="I713" s="713">
        <v>0</v>
      </c>
      <c r="J713" s="711">
        <v>1313.97</v>
      </c>
      <c r="K713">
        <v>0</v>
      </c>
      <c r="L713">
        <v>0</v>
      </c>
      <c r="M713">
        <v>0</v>
      </c>
      <c r="N713" s="750">
        <v>1313.97</v>
      </c>
      <c r="O713">
        <v>0</v>
      </c>
      <c r="P713" s="711">
        <v>1313.97</v>
      </c>
      <c r="Q713" s="724" t="str">
        <f>VLOOKUP($E713,SP_2024_v28062025!$E$2:$M$1751,9,FALSE)</f>
        <v>PAA060</v>
      </c>
    </row>
    <row r="714" spans="1:19">
      <c r="A714">
        <v>2</v>
      </c>
      <c r="B714" t="s">
        <v>12022</v>
      </c>
      <c r="C714" t="s">
        <v>12027</v>
      </c>
      <c r="D714" t="s">
        <v>12031</v>
      </c>
      <c r="E714" t="s">
        <v>2432</v>
      </c>
      <c r="F714" t="s">
        <v>2433</v>
      </c>
      <c r="G714" s="712">
        <v>0</v>
      </c>
      <c r="H714" s="711">
        <v>11219760.4</v>
      </c>
      <c r="I714" s="715">
        <v>11219760.4</v>
      </c>
      <c r="J714">
        <v>0</v>
      </c>
      <c r="K714">
        <v>0</v>
      </c>
      <c r="L714">
        <v>0</v>
      </c>
      <c r="M714">
        <v>0</v>
      </c>
      <c r="N714">
        <v>0</v>
      </c>
      <c r="O714" s="711">
        <v>11219760.4</v>
      </c>
      <c r="P714" s="711">
        <v>-11219760.4</v>
      </c>
      <c r="Q714" s="724" t="str">
        <f>VLOOKUP($E714,SP_2024_v28062025!$E$2:$M$1751,9,FALSE)</f>
        <v>PAA060</v>
      </c>
    </row>
    <row r="715" spans="1:19">
      <c r="A715">
        <v>2</v>
      </c>
      <c r="B715" t="s">
        <v>12022</v>
      </c>
      <c r="C715" t="s">
        <v>12027</v>
      </c>
      <c r="D715" t="s">
        <v>12031</v>
      </c>
      <c r="E715" t="s">
        <v>2434</v>
      </c>
      <c r="F715" t="s">
        <v>2435</v>
      </c>
      <c r="G715" s="712">
        <v>0</v>
      </c>
      <c r="H715" s="711">
        <v>885928</v>
      </c>
      <c r="I715" s="715">
        <v>885928</v>
      </c>
      <c r="J715">
        <v>0</v>
      </c>
      <c r="K715">
        <v>0</v>
      </c>
      <c r="L715">
        <v>0</v>
      </c>
      <c r="M715">
        <v>0</v>
      </c>
      <c r="N715">
        <v>0</v>
      </c>
      <c r="O715" s="711">
        <v>885928</v>
      </c>
      <c r="P715" s="711">
        <v>-885928</v>
      </c>
      <c r="Q715" s="724" t="str">
        <f>VLOOKUP($E715,SP_2024_v28062025!$E$2:$M$1751,9,FALSE)</f>
        <v>PAA060</v>
      </c>
    </row>
    <row r="716" spans="1:19">
      <c r="A716">
        <v>2</v>
      </c>
      <c r="B716" t="s">
        <v>12022</v>
      </c>
      <c r="C716" t="s">
        <v>12027</v>
      </c>
      <c r="D716" t="s">
        <v>12031</v>
      </c>
      <c r="E716" t="s">
        <v>2436</v>
      </c>
      <c r="F716" t="s">
        <v>2437</v>
      </c>
      <c r="G716" s="712">
        <v>0</v>
      </c>
      <c r="H716" s="711">
        <v>383812.99</v>
      </c>
      <c r="I716" s="715">
        <v>383812.99</v>
      </c>
      <c r="J716">
        <v>0</v>
      </c>
      <c r="K716">
        <v>0</v>
      </c>
      <c r="L716">
        <v>0</v>
      </c>
      <c r="M716">
        <v>0</v>
      </c>
      <c r="N716">
        <v>0</v>
      </c>
      <c r="O716" s="711">
        <v>383812.99</v>
      </c>
      <c r="P716" s="711">
        <v>-383812.99</v>
      </c>
      <c r="Q716" s="724" t="str">
        <f>VLOOKUP($E716,SP_2024_v28062025!$E$2:$M$1751,9,FALSE)</f>
        <v>PAA060</v>
      </c>
    </row>
    <row r="717" spans="1:19">
      <c r="A717">
        <v>2</v>
      </c>
      <c r="B717" t="s">
        <v>12022</v>
      </c>
      <c r="C717" t="s">
        <v>12027</v>
      </c>
      <c r="D717" t="s">
        <v>12031</v>
      </c>
      <c r="E717" t="s">
        <v>2438</v>
      </c>
      <c r="F717" t="s">
        <v>2439</v>
      </c>
      <c r="G717" s="712">
        <v>0</v>
      </c>
      <c r="H717" s="711">
        <v>1254245</v>
      </c>
      <c r="I717" s="715">
        <v>1254245</v>
      </c>
      <c r="J717">
        <v>0</v>
      </c>
      <c r="K717">
        <v>0</v>
      </c>
      <c r="L717">
        <v>0</v>
      </c>
      <c r="M717">
        <v>0</v>
      </c>
      <c r="N717">
        <v>0</v>
      </c>
      <c r="O717" s="711">
        <v>1254245</v>
      </c>
      <c r="P717" s="711">
        <v>-1254245</v>
      </c>
      <c r="Q717" s="724" t="str">
        <f>VLOOKUP($E717,SP_2024_v28062025!$E$2:$M$1751,9,FALSE)</f>
        <v>PAA060</v>
      </c>
    </row>
    <row r="718" spans="1:19" ht="15.75" thickBot="1">
      <c r="A718">
        <v>2</v>
      </c>
      <c r="B718" t="s">
        <v>12022</v>
      </c>
      <c r="C718" t="s">
        <v>12027</v>
      </c>
      <c r="D718" t="s">
        <v>12031</v>
      </c>
      <c r="E718" t="s">
        <v>2440</v>
      </c>
      <c r="F718" t="s">
        <v>2441</v>
      </c>
      <c r="G718" s="712">
        <v>0</v>
      </c>
      <c r="H718" s="711">
        <v>852698.6</v>
      </c>
      <c r="I718" s="715">
        <v>852698.6</v>
      </c>
      <c r="J718">
        <v>0</v>
      </c>
      <c r="K718">
        <v>0</v>
      </c>
      <c r="L718">
        <v>0</v>
      </c>
      <c r="M718">
        <v>0</v>
      </c>
      <c r="N718">
        <v>0</v>
      </c>
      <c r="O718" s="711">
        <v>852698.6</v>
      </c>
      <c r="P718" s="711">
        <v>-852698.6</v>
      </c>
      <c r="Q718" s="724" t="str">
        <f>VLOOKUP($E718,SP_2024_v28062025!$E$2:$M$1751,9,FALSE)</f>
        <v>PAA060</v>
      </c>
    </row>
    <row r="719" spans="1:19" ht="15.75" thickBot="1">
      <c r="A719" s="727">
        <v>2</v>
      </c>
      <c r="B719" s="727" t="s">
        <v>12022</v>
      </c>
      <c r="C719" s="727" t="s">
        <v>12027</v>
      </c>
      <c r="D719" s="727" t="s">
        <v>12032</v>
      </c>
      <c r="E719" s="727"/>
      <c r="F719" s="729" t="s">
        <v>12033</v>
      </c>
      <c r="G719" s="738">
        <v>0.42</v>
      </c>
      <c r="H719" s="739">
        <v>21308703.359999999</v>
      </c>
      <c r="I719" s="739">
        <v>21308702.940000001</v>
      </c>
      <c r="J719" s="739">
        <v>2374461.85</v>
      </c>
      <c r="K719" s="739">
        <v>6841853.7699999996</v>
      </c>
      <c r="L719" s="738">
        <v>0</v>
      </c>
      <c r="M719" s="738">
        <v>0</v>
      </c>
      <c r="N719" s="739">
        <v>2374462.27</v>
      </c>
      <c r="O719" s="739">
        <v>28150557.129999999</v>
      </c>
      <c r="P719" s="739">
        <v>-25776094.859999999</v>
      </c>
    </row>
    <row r="720" spans="1:19">
      <c r="A720">
        <v>2</v>
      </c>
      <c r="B720" t="s">
        <v>12022</v>
      </c>
      <c r="C720" t="s">
        <v>12027</v>
      </c>
      <c r="D720" t="s">
        <v>12032</v>
      </c>
      <c r="E720" t="s">
        <v>2445</v>
      </c>
      <c r="F720" t="s">
        <v>2446</v>
      </c>
      <c r="G720" s="712">
        <v>0</v>
      </c>
      <c r="H720" s="711">
        <v>1035336.85</v>
      </c>
      <c r="I720" s="715">
        <v>1035336.85</v>
      </c>
      <c r="J720">
        <v>0</v>
      </c>
      <c r="K720">
        <v>0</v>
      </c>
      <c r="L720">
        <v>0</v>
      </c>
      <c r="M720">
        <v>0</v>
      </c>
      <c r="N720">
        <v>0</v>
      </c>
      <c r="O720" s="711">
        <v>1035336.85</v>
      </c>
      <c r="P720" s="711">
        <v>-1035336.85</v>
      </c>
      <c r="Q720" s="724" t="str">
        <f>VLOOKUP($E720,SP_2024_v28062025!$E$2:$M$1751,9,FALSE)</f>
        <v>PAA070</v>
      </c>
      <c r="S720" s="711"/>
    </row>
    <row r="721" spans="1:17">
      <c r="A721">
        <v>2</v>
      </c>
      <c r="B721" t="s">
        <v>12022</v>
      </c>
      <c r="C721" t="s">
        <v>12027</v>
      </c>
      <c r="D721" t="s">
        <v>12032</v>
      </c>
      <c r="E721" t="s">
        <v>2447</v>
      </c>
      <c r="F721" t="s">
        <v>2448</v>
      </c>
      <c r="G721" s="712">
        <v>0</v>
      </c>
      <c r="H721" s="711">
        <v>11832.31</v>
      </c>
      <c r="I721" s="715">
        <v>11832.31</v>
      </c>
      <c r="J721">
        <v>0</v>
      </c>
      <c r="K721">
        <v>0</v>
      </c>
      <c r="L721">
        <v>0</v>
      </c>
      <c r="M721">
        <v>0</v>
      </c>
      <c r="N721">
        <v>0</v>
      </c>
      <c r="O721" s="711">
        <v>11832.31</v>
      </c>
      <c r="P721" s="711">
        <v>-11832.31</v>
      </c>
      <c r="Q721" s="724" t="str">
        <f>VLOOKUP($E721,SP_2024_v28062025!$E$2:$M$1751,9,FALSE)</f>
        <v>PAA070</v>
      </c>
    </row>
    <row r="722" spans="1:17">
      <c r="A722">
        <v>2</v>
      </c>
      <c r="B722" t="s">
        <v>12022</v>
      </c>
      <c r="C722" t="s">
        <v>12027</v>
      </c>
      <c r="D722" t="s">
        <v>12032</v>
      </c>
      <c r="E722" t="s">
        <v>2449</v>
      </c>
      <c r="F722" t="s">
        <v>2450</v>
      </c>
      <c r="G722" s="712">
        <v>0</v>
      </c>
      <c r="H722" s="711">
        <v>85668.82</v>
      </c>
      <c r="I722" s="715">
        <v>85668.82</v>
      </c>
      <c r="J722" s="711">
        <v>6000.09</v>
      </c>
      <c r="K722">
        <v>0</v>
      </c>
      <c r="L722">
        <v>0</v>
      </c>
      <c r="M722">
        <v>0</v>
      </c>
      <c r="N722" s="711">
        <v>6000.09</v>
      </c>
      <c r="O722" s="711">
        <v>85668.82</v>
      </c>
      <c r="P722" s="711">
        <v>-79668.73</v>
      </c>
      <c r="Q722" s="724" t="str">
        <f>VLOOKUP($E722,SP_2024_v28062025!$E$2:$M$1751,9,FALSE)</f>
        <v>PAA070</v>
      </c>
    </row>
    <row r="723" spans="1:17">
      <c r="A723">
        <v>2</v>
      </c>
      <c r="B723" t="s">
        <v>12022</v>
      </c>
      <c r="C723" t="s">
        <v>12027</v>
      </c>
      <c r="D723" t="s">
        <v>12032</v>
      </c>
      <c r="E723" t="s">
        <v>2451</v>
      </c>
      <c r="F723" t="s">
        <v>2452</v>
      </c>
      <c r="G723" s="712">
        <v>0</v>
      </c>
      <c r="H723">
        <v>0</v>
      </c>
      <c r="I723" s="71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 s="724" t="str">
        <f>VLOOKUP($E723,SP_2024_v28062025!$E$2:$M$1751,9,FALSE)</f>
        <v>PAA070</v>
      </c>
    </row>
    <row r="724" spans="1:17">
      <c r="A724">
        <v>2</v>
      </c>
      <c r="B724" t="s">
        <v>12022</v>
      </c>
      <c r="C724" t="s">
        <v>12027</v>
      </c>
      <c r="D724" t="s">
        <v>12032</v>
      </c>
      <c r="E724" t="s">
        <v>2453</v>
      </c>
      <c r="F724" t="s">
        <v>2454</v>
      </c>
      <c r="G724" s="712">
        <v>0</v>
      </c>
      <c r="H724" s="711">
        <v>769400</v>
      </c>
      <c r="I724" s="715">
        <v>769400</v>
      </c>
      <c r="J724">
        <v>0</v>
      </c>
      <c r="K724">
        <v>0</v>
      </c>
      <c r="L724">
        <v>0</v>
      </c>
      <c r="M724">
        <v>0</v>
      </c>
      <c r="N724">
        <v>0</v>
      </c>
      <c r="O724" s="711">
        <v>769400</v>
      </c>
      <c r="P724" s="711">
        <v>-769400</v>
      </c>
      <c r="Q724" s="724" t="str">
        <f>VLOOKUP($E724,SP_2024_v28062025!$E$2:$M$1751,9,FALSE)</f>
        <v>PAA070</v>
      </c>
    </row>
    <row r="725" spans="1:17">
      <c r="A725">
        <v>2</v>
      </c>
      <c r="B725" t="s">
        <v>12022</v>
      </c>
      <c r="C725" t="s">
        <v>12027</v>
      </c>
      <c r="D725" t="s">
        <v>12032</v>
      </c>
      <c r="E725" t="s">
        <v>2455</v>
      </c>
      <c r="F725" t="s">
        <v>2456</v>
      </c>
      <c r="G725" s="712">
        <v>0</v>
      </c>
      <c r="H725" s="711">
        <v>579254.03</v>
      </c>
      <c r="I725" s="715">
        <v>579254.03</v>
      </c>
      <c r="J725">
        <v>0</v>
      </c>
      <c r="K725">
        <v>0</v>
      </c>
      <c r="L725">
        <v>0</v>
      </c>
      <c r="M725">
        <v>0</v>
      </c>
      <c r="N725">
        <v>0</v>
      </c>
      <c r="O725" s="711">
        <v>579254.03</v>
      </c>
      <c r="P725" s="711">
        <v>-579254.03</v>
      </c>
      <c r="Q725" s="724" t="str">
        <f>VLOOKUP($E725,SP_2024_v28062025!$E$2:$M$1751,9,FALSE)</f>
        <v>PAA070</v>
      </c>
    </row>
    <row r="726" spans="1:17">
      <c r="A726">
        <v>2</v>
      </c>
      <c r="B726" t="s">
        <v>12022</v>
      </c>
      <c r="C726" t="s">
        <v>12027</v>
      </c>
      <c r="D726" t="s">
        <v>12032</v>
      </c>
      <c r="E726" t="s">
        <v>2457</v>
      </c>
      <c r="F726" t="s">
        <v>2458</v>
      </c>
      <c r="G726" s="712">
        <v>0</v>
      </c>
      <c r="H726" s="711">
        <v>233367.08</v>
      </c>
      <c r="I726" s="715">
        <v>233367.08</v>
      </c>
      <c r="J726">
        <v>0</v>
      </c>
      <c r="K726">
        <v>0</v>
      </c>
      <c r="L726">
        <v>0</v>
      </c>
      <c r="M726">
        <v>0</v>
      </c>
      <c r="N726">
        <v>0</v>
      </c>
      <c r="O726" s="711">
        <v>233367.08</v>
      </c>
      <c r="P726" s="711">
        <v>-233367.08</v>
      </c>
      <c r="Q726" s="724" t="str">
        <f>VLOOKUP($E726,SP_2024_v28062025!$E$2:$M$1751,9,FALSE)</f>
        <v>PAA070</v>
      </c>
    </row>
    <row r="727" spans="1:17">
      <c r="A727">
        <v>2</v>
      </c>
      <c r="B727" t="s">
        <v>12022</v>
      </c>
      <c r="C727" t="s">
        <v>12027</v>
      </c>
      <c r="D727" t="s">
        <v>12032</v>
      </c>
      <c r="E727" t="s">
        <v>2459</v>
      </c>
      <c r="F727" t="s">
        <v>2460</v>
      </c>
      <c r="G727" s="712">
        <v>0</v>
      </c>
      <c r="H727">
        <v>0</v>
      </c>
      <c r="I727" s="713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 s="724" t="str">
        <f>VLOOKUP($E727,SP_2024_v28062025!$E$2:$M$1751,9,FALSE)</f>
        <v>PAA070</v>
      </c>
    </row>
    <row r="728" spans="1:17">
      <c r="A728">
        <v>2</v>
      </c>
      <c r="B728" t="s">
        <v>12022</v>
      </c>
      <c r="C728" t="s">
        <v>12027</v>
      </c>
      <c r="D728" t="s">
        <v>12032</v>
      </c>
      <c r="E728" t="s">
        <v>2461</v>
      </c>
      <c r="F728" t="s">
        <v>2462</v>
      </c>
      <c r="G728" s="712">
        <v>0</v>
      </c>
      <c r="H728" s="711">
        <v>480000</v>
      </c>
      <c r="I728" s="715">
        <v>480000</v>
      </c>
      <c r="J728">
        <v>0</v>
      </c>
      <c r="K728">
        <v>0</v>
      </c>
      <c r="L728">
        <v>0</v>
      </c>
      <c r="M728">
        <v>0</v>
      </c>
      <c r="N728">
        <v>0</v>
      </c>
      <c r="O728" s="711">
        <v>480000</v>
      </c>
      <c r="P728" s="711">
        <v>-480000</v>
      </c>
      <c r="Q728" s="724" t="str">
        <f>VLOOKUP($E728,SP_2024_v28062025!$E$2:$M$1751,9,FALSE)</f>
        <v>PAA070</v>
      </c>
    </row>
    <row r="729" spans="1:17">
      <c r="A729">
        <v>2</v>
      </c>
      <c r="B729" t="s">
        <v>12022</v>
      </c>
      <c r="C729" t="s">
        <v>12027</v>
      </c>
      <c r="D729" t="s">
        <v>12032</v>
      </c>
      <c r="E729" t="s">
        <v>2463</v>
      </c>
      <c r="F729" t="s">
        <v>2464</v>
      </c>
      <c r="G729" s="712">
        <v>0</v>
      </c>
      <c r="H729" s="711">
        <v>2463285.77</v>
      </c>
      <c r="I729" s="715">
        <v>2463285.77</v>
      </c>
      <c r="J729">
        <v>0</v>
      </c>
      <c r="K729">
        <v>0</v>
      </c>
      <c r="L729">
        <v>0</v>
      </c>
      <c r="M729">
        <v>0</v>
      </c>
      <c r="N729">
        <v>0</v>
      </c>
      <c r="O729" s="711">
        <v>2463285.77</v>
      </c>
      <c r="P729" s="711">
        <v>-2463285.77</v>
      </c>
      <c r="Q729" s="724" t="str">
        <f>VLOOKUP($E729,SP_2024_v28062025!$E$2:$M$1751,9,FALSE)</f>
        <v>PAA070</v>
      </c>
    </row>
    <row r="730" spans="1:17">
      <c r="A730">
        <v>2</v>
      </c>
      <c r="B730" t="s">
        <v>12022</v>
      </c>
      <c r="C730" t="s">
        <v>12027</v>
      </c>
      <c r="D730" t="s">
        <v>12032</v>
      </c>
      <c r="E730" t="s">
        <v>2465</v>
      </c>
      <c r="F730" t="s">
        <v>2466</v>
      </c>
      <c r="G730" s="712">
        <v>0</v>
      </c>
      <c r="H730" s="711">
        <v>2260009.31</v>
      </c>
      <c r="I730" s="715">
        <v>2260009.31</v>
      </c>
      <c r="J730">
        <v>0</v>
      </c>
      <c r="K730">
        <v>0</v>
      </c>
      <c r="L730">
        <v>0</v>
      </c>
      <c r="M730">
        <v>0</v>
      </c>
      <c r="N730">
        <v>0</v>
      </c>
      <c r="O730" s="711">
        <v>2260009.31</v>
      </c>
      <c r="P730" s="711">
        <v>-2260009.31</v>
      </c>
      <c r="Q730" s="724" t="str">
        <f>VLOOKUP($E730,SP_2024_v28062025!$E$2:$M$1751,9,FALSE)</f>
        <v>PAA070</v>
      </c>
    </row>
    <row r="731" spans="1:17">
      <c r="A731">
        <v>2</v>
      </c>
      <c r="B731" t="s">
        <v>12022</v>
      </c>
      <c r="C731" t="s">
        <v>12027</v>
      </c>
      <c r="D731" t="s">
        <v>12032</v>
      </c>
      <c r="E731" t="s">
        <v>2467</v>
      </c>
      <c r="F731" t="s">
        <v>2468</v>
      </c>
      <c r="G731" s="712">
        <v>0</v>
      </c>
      <c r="H731" s="711">
        <v>3500000</v>
      </c>
      <c r="I731" s="715">
        <v>3500000</v>
      </c>
      <c r="J731">
        <v>0</v>
      </c>
      <c r="K731">
        <v>0</v>
      </c>
      <c r="L731">
        <v>0</v>
      </c>
      <c r="M731">
        <v>0</v>
      </c>
      <c r="N731">
        <v>0</v>
      </c>
      <c r="O731" s="711">
        <v>3500000</v>
      </c>
      <c r="P731" s="711">
        <v>-3500000</v>
      </c>
      <c r="Q731" s="724" t="str">
        <f>VLOOKUP($E731,SP_2024_v28062025!$E$2:$M$1751,9,FALSE)</f>
        <v>PAA070</v>
      </c>
    </row>
    <row r="732" spans="1:17">
      <c r="A732">
        <v>2</v>
      </c>
      <c r="B732" t="s">
        <v>12022</v>
      </c>
      <c r="C732" t="s">
        <v>12027</v>
      </c>
      <c r="D732" t="s">
        <v>12032</v>
      </c>
      <c r="E732" t="s">
        <v>2469</v>
      </c>
      <c r="F732" t="s">
        <v>2470</v>
      </c>
      <c r="G732" s="712">
        <v>0</v>
      </c>
      <c r="H732" s="711">
        <v>80593.039999999994</v>
      </c>
      <c r="I732" s="715">
        <v>80593.039999999994</v>
      </c>
      <c r="J732">
        <v>0</v>
      </c>
      <c r="K732">
        <v>0</v>
      </c>
      <c r="L732">
        <v>0</v>
      </c>
      <c r="M732">
        <v>0</v>
      </c>
      <c r="N732">
        <v>0</v>
      </c>
      <c r="O732" s="711">
        <v>80593.039999999994</v>
      </c>
      <c r="P732" s="711">
        <v>-80593.039999999994</v>
      </c>
      <c r="Q732" s="724" t="str">
        <f>VLOOKUP($E732,SP_2024_v28062025!$E$2:$M$1751,9,FALSE)</f>
        <v>PAA070</v>
      </c>
    </row>
    <row r="733" spans="1:17">
      <c r="A733">
        <v>2</v>
      </c>
      <c r="B733" t="s">
        <v>12022</v>
      </c>
      <c r="C733" t="s">
        <v>12027</v>
      </c>
      <c r="D733" t="s">
        <v>12032</v>
      </c>
      <c r="E733" t="s">
        <v>2471</v>
      </c>
      <c r="F733" t="s">
        <v>2472</v>
      </c>
      <c r="G733" s="712">
        <v>0</v>
      </c>
      <c r="H733">
        <v>241.88</v>
      </c>
      <c r="I733" s="713">
        <v>241.88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241.88</v>
      </c>
      <c r="P733">
        <v>-241.88</v>
      </c>
      <c r="Q733" s="724" t="str">
        <f>VLOOKUP($E733,SP_2024_v28062025!$E$2:$M$1751,9,FALSE)</f>
        <v>PAA070</v>
      </c>
    </row>
    <row r="734" spans="1:17">
      <c r="A734">
        <v>2</v>
      </c>
      <c r="B734" t="s">
        <v>12022</v>
      </c>
      <c r="C734" t="s">
        <v>12027</v>
      </c>
      <c r="D734" t="s">
        <v>12032</v>
      </c>
      <c r="E734" t="s">
        <v>2473</v>
      </c>
      <c r="F734" t="s">
        <v>2474</v>
      </c>
      <c r="G734" s="712">
        <v>0</v>
      </c>
      <c r="H734">
        <v>0</v>
      </c>
      <c r="I734" s="713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 s="724" t="str">
        <f>VLOOKUP($E734,SP_2024_v28062025!$E$2:$M$1751,9,FALSE)</f>
        <v>PAA070</v>
      </c>
    </row>
    <row r="735" spans="1:17">
      <c r="A735">
        <v>2</v>
      </c>
      <c r="B735" t="s">
        <v>12022</v>
      </c>
      <c r="C735" t="s">
        <v>12027</v>
      </c>
      <c r="D735" t="s">
        <v>12032</v>
      </c>
      <c r="E735" t="s">
        <v>2475</v>
      </c>
      <c r="F735" t="s">
        <v>2476</v>
      </c>
      <c r="G735" s="712">
        <v>0</v>
      </c>
      <c r="H735">
        <v>0</v>
      </c>
      <c r="I735" s="713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 s="724" t="str">
        <f>VLOOKUP($E735,SP_2024_v28062025!$E$2:$M$1751,9,FALSE)</f>
        <v>PAA070</v>
      </c>
    </row>
    <row r="736" spans="1:17">
      <c r="A736">
        <v>2</v>
      </c>
      <c r="B736" t="s">
        <v>12022</v>
      </c>
      <c r="C736" t="s">
        <v>12027</v>
      </c>
      <c r="D736" t="s">
        <v>12032</v>
      </c>
      <c r="E736" t="s">
        <v>2477</v>
      </c>
      <c r="F736" t="s">
        <v>2478</v>
      </c>
      <c r="G736" s="712">
        <v>0</v>
      </c>
      <c r="H736" s="711">
        <v>48680</v>
      </c>
      <c r="I736" s="715">
        <v>48680</v>
      </c>
      <c r="J736">
        <v>0</v>
      </c>
      <c r="K736">
        <v>0</v>
      </c>
      <c r="L736">
        <v>0</v>
      </c>
      <c r="M736">
        <v>0</v>
      </c>
      <c r="N736">
        <v>0</v>
      </c>
      <c r="O736" s="711">
        <v>48680</v>
      </c>
      <c r="P736" s="711">
        <v>-48680</v>
      </c>
      <c r="Q736" s="724" t="str">
        <f>VLOOKUP($E736,SP_2024_v28062025!$E$2:$M$1751,9,FALSE)</f>
        <v>PAA070</v>
      </c>
    </row>
    <row r="737" spans="1:17">
      <c r="A737">
        <v>2</v>
      </c>
      <c r="B737" t="s">
        <v>12022</v>
      </c>
      <c r="C737" t="s">
        <v>12027</v>
      </c>
      <c r="D737" t="s">
        <v>12032</v>
      </c>
      <c r="E737" t="s">
        <v>2479</v>
      </c>
      <c r="F737" t="s">
        <v>2480</v>
      </c>
      <c r="G737" s="712">
        <v>0.42</v>
      </c>
      <c r="H737">
        <v>0</v>
      </c>
      <c r="I737" s="713">
        <v>0.42</v>
      </c>
      <c r="J737">
        <v>0</v>
      </c>
      <c r="K737">
        <v>0</v>
      </c>
      <c r="L737">
        <v>0</v>
      </c>
      <c r="M737">
        <v>0</v>
      </c>
      <c r="N737">
        <v>0.42</v>
      </c>
      <c r="O737">
        <v>0</v>
      </c>
      <c r="P737">
        <v>0.42</v>
      </c>
      <c r="Q737" s="724" t="str">
        <f>VLOOKUP($E737,SP_2024_v28062025!$E$2:$M$1751,9,FALSE)</f>
        <v>PAA070</v>
      </c>
    </row>
    <row r="738" spans="1:17">
      <c r="A738">
        <v>2</v>
      </c>
      <c r="B738" t="s">
        <v>12022</v>
      </c>
      <c r="C738" t="s">
        <v>12027</v>
      </c>
      <c r="D738" t="s">
        <v>12032</v>
      </c>
      <c r="E738" t="s">
        <v>2481</v>
      </c>
      <c r="F738" t="s">
        <v>2482</v>
      </c>
      <c r="G738" s="712">
        <v>0</v>
      </c>
      <c r="H738" s="711">
        <v>616457.59</v>
      </c>
      <c r="I738" s="715">
        <v>616457.59</v>
      </c>
      <c r="J738">
        <v>0</v>
      </c>
      <c r="K738">
        <v>0</v>
      </c>
      <c r="L738">
        <v>0</v>
      </c>
      <c r="M738">
        <v>0</v>
      </c>
      <c r="N738">
        <v>0</v>
      </c>
      <c r="O738" s="711">
        <v>616457.59</v>
      </c>
      <c r="P738" s="711">
        <v>-616457.59</v>
      </c>
      <c r="Q738" s="724" t="str">
        <f>VLOOKUP($E738,SP_2024_v28062025!$E$2:$M$1751,9,FALSE)</f>
        <v>PAA070</v>
      </c>
    </row>
    <row r="739" spans="1:17">
      <c r="A739">
        <v>2</v>
      </c>
      <c r="B739" t="s">
        <v>12022</v>
      </c>
      <c r="C739" t="s">
        <v>12027</v>
      </c>
      <c r="D739" t="s">
        <v>12032</v>
      </c>
      <c r="E739" t="s">
        <v>2483</v>
      </c>
      <c r="F739" t="s">
        <v>2484</v>
      </c>
      <c r="G739" s="712">
        <v>0</v>
      </c>
      <c r="H739" s="711">
        <v>3102608.24</v>
      </c>
      <c r="I739" s="715">
        <v>3102608.24</v>
      </c>
      <c r="J739">
        <v>0</v>
      </c>
      <c r="K739">
        <v>0</v>
      </c>
      <c r="L739">
        <v>0</v>
      </c>
      <c r="M739">
        <v>0</v>
      </c>
      <c r="N739">
        <v>0</v>
      </c>
      <c r="O739" s="711">
        <v>3102608.24</v>
      </c>
      <c r="P739" s="711">
        <v>-3102608.24</v>
      </c>
      <c r="Q739" s="724" t="str">
        <f>VLOOKUP($E739,SP_2024_v28062025!$E$2:$M$1751,9,FALSE)</f>
        <v>PAA070</v>
      </c>
    </row>
    <row r="740" spans="1:17">
      <c r="A740">
        <v>2</v>
      </c>
      <c r="B740" t="s">
        <v>12022</v>
      </c>
      <c r="C740" t="s">
        <v>12027</v>
      </c>
      <c r="D740" t="s">
        <v>12032</v>
      </c>
      <c r="E740" t="s">
        <v>2485</v>
      </c>
      <c r="F740" t="s">
        <v>2486</v>
      </c>
      <c r="G740" s="712">
        <v>0</v>
      </c>
      <c r="H740" s="711">
        <v>694637.3</v>
      </c>
      <c r="I740" s="715">
        <v>694637.3</v>
      </c>
      <c r="J740" s="711">
        <v>1760270.72</v>
      </c>
      <c r="K740">
        <v>0</v>
      </c>
      <c r="L740">
        <v>0</v>
      </c>
      <c r="M740">
        <v>0</v>
      </c>
      <c r="N740" s="711">
        <v>1760270.72</v>
      </c>
      <c r="O740" s="711">
        <v>694637.3</v>
      </c>
      <c r="P740" s="711">
        <v>1065633.42</v>
      </c>
      <c r="Q740" s="724" t="str">
        <f>VLOOKUP($E740,SP_2024_v28062025!$E$2:$M$1751,9,FALSE)</f>
        <v>PAA070</v>
      </c>
    </row>
    <row r="741" spans="1:17">
      <c r="A741">
        <v>2</v>
      </c>
      <c r="B741" t="s">
        <v>12022</v>
      </c>
      <c r="C741" t="s">
        <v>12027</v>
      </c>
      <c r="D741" t="s">
        <v>12032</v>
      </c>
      <c r="E741" t="s">
        <v>2487</v>
      </c>
      <c r="F741" t="s">
        <v>2488</v>
      </c>
      <c r="G741" s="712">
        <v>0</v>
      </c>
      <c r="H741" s="711">
        <v>425109.76000000001</v>
      </c>
      <c r="I741" s="715">
        <v>425109.76000000001</v>
      </c>
      <c r="J741" s="711">
        <v>77926.820000000007</v>
      </c>
      <c r="K741" s="711">
        <v>6841853.7699999996</v>
      </c>
      <c r="L741">
        <v>0</v>
      </c>
      <c r="M741">
        <v>0</v>
      </c>
      <c r="N741" s="711">
        <v>77926.820000000007</v>
      </c>
      <c r="O741" s="711">
        <v>7266963.5300000003</v>
      </c>
      <c r="P741" s="711">
        <v>-7189036.71</v>
      </c>
      <c r="Q741" s="724" t="str">
        <f>VLOOKUP($E741,SP_2024_v28062025!$E$2:$M$1751,9,FALSE)</f>
        <v>PAA070</v>
      </c>
    </row>
    <row r="742" spans="1:17">
      <c r="A742">
        <v>2</v>
      </c>
      <c r="B742" t="s">
        <v>12022</v>
      </c>
      <c r="C742" t="s">
        <v>12027</v>
      </c>
      <c r="D742" t="s">
        <v>12032</v>
      </c>
      <c r="E742" t="s">
        <v>2489</v>
      </c>
      <c r="F742" t="s">
        <v>2490</v>
      </c>
      <c r="G742" s="712">
        <v>0</v>
      </c>
      <c r="H742" s="711">
        <v>379392.77</v>
      </c>
      <c r="I742" s="715">
        <v>379392.77</v>
      </c>
      <c r="J742">
        <v>0</v>
      </c>
      <c r="K742">
        <v>0</v>
      </c>
      <c r="L742">
        <v>0</v>
      </c>
      <c r="M742">
        <v>0</v>
      </c>
      <c r="N742">
        <v>0</v>
      </c>
      <c r="O742" s="711">
        <v>379392.77</v>
      </c>
      <c r="P742" s="711">
        <v>-379392.77</v>
      </c>
      <c r="Q742" s="724" t="str">
        <f>VLOOKUP($E742,SP_2024_v28062025!$E$2:$M$1751,9,FALSE)</f>
        <v>PAA070</v>
      </c>
    </row>
    <row r="743" spans="1:17">
      <c r="A743">
        <v>2</v>
      </c>
      <c r="B743" t="s">
        <v>12022</v>
      </c>
      <c r="C743" t="s">
        <v>12027</v>
      </c>
      <c r="D743" t="s">
        <v>12032</v>
      </c>
      <c r="E743" t="s">
        <v>2491</v>
      </c>
      <c r="F743" t="s">
        <v>2492</v>
      </c>
      <c r="G743" s="712">
        <v>0</v>
      </c>
      <c r="H743">
        <v>993.44</v>
      </c>
      <c r="I743" s="713">
        <v>993.44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993.44</v>
      </c>
      <c r="P743">
        <v>-993.44</v>
      </c>
      <c r="Q743" s="724" t="str">
        <f>VLOOKUP($E743,SP_2024_v28062025!$E$2:$M$1751,9,FALSE)</f>
        <v>PAA070</v>
      </c>
    </row>
    <row r="744" spans="1:17">
      <c r="A744">
        <v>2</v>
      </c>
      <c r="B744" t="s">
        <v>12022</v>
      </c>
      <c r="C744" t="s">
        <v>12027</v>
      </c>
      <c r="D744" t="s">
        <v>12032</v>
      </c>
      <c r="E744" t="s">
        <v>2493</v>
      </c>
      <c r="F744" t="s">
        <v>2494</v>
      </c>
      <c r="G744" s="712">
        <v>0</v>
      </c>
      <c r="H744">
        <v>0</v>
      </c>
      <c r="I744" s="713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 s="724" t="str">
        <f>VLOOKUP($E744,SP_2024_v28062025!$E$2:$M$1751,9,FALSE)</f>
        <v>PAA070</v>
      </c>
    </row>
    <row r="745" spans="1:17">
      <c r="A745">
        <v>2</v>
      </c>
      <c r="B745" t="s">
        <v>12022</v>
      </c>
      <c r="C745" t="s">
        <v>12027</v>
      </c>
      <c r="D745" t="s">
        <v>12032</v>
      </c>
      <c r="E745" t="s">
        <v>2495</v>
      </c>
      <c r="F745" t="s">
        <v>2496</v>
      </c>
      <c r="G745" s="712">
        <v>0</v>
      </c>
      <c r="H745">
        <v>0</v>
      </c>
      <c r="I745" s="713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 s="724" t="str">
        <f>VLOOKUP($E745,SP_2024_v28062025!$E$2:$M$1751,9,FALSE)</f>
        <v>PAA070</v>
      </c>
    </row>
    <row r="746" spans="1:17">
      <c r="A746">
        <v>2</v>
      </c>
      <c r="B746" t="s">
        <v>12022</v>
      </c>
      <c r="C746" t="s">
        <v>12027</v>
      </c>
      <c r="D746" t="s">
        <v>12032</v>
      </c>
      <c r="E746" t="s">
        <v>2497</v>
      </c>
      <c r="F746" t="s">
        <v>2498</v>
      </c>
      <c r="G746" s="712">
        <v>0</v>
      </c>
      <c r="H746">
        <v>0</v>
      </c>
      <c r="I746" s="713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 s="724" t="str">
        <f>VLOOKUP($E746,SP_2024_v28062025!$E$2:$M$1751,9,FALSE)</f>
        <v>PAA070</v>
      </c>
    </row>
    <row r="747" spans="1:17">
      <c r="A747">
        <v>2</v>
      </c>
      <c r="B747" t="s">
        <v>12022</v>
      </c>
      <c r="C747" t="s">
        <v>12027</v>
      </c>
      <c r="D747" t="s">
        <v>12032</v>
      </c>
      <c r="E747" t="s">
        <v>2499</v>
      </c>
      <c r="F747" t="s">
        <v>2500</v>
      </c>
      <c r="G747" s="712">
        <v>0</v>
      </c>
      <c r="H747">
        <v>0</v>
      </c>
      <c r="I747" s="713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 s="724" t="str">
        <f>VLOOKUP($E747,SP_2024_v28062025!$E$2:$M$1751,9,FALSE)</f>
        <v>PAA070</v>
      </c>
    </row>
    <row r="748" spans="1:17">
      <c r="A748">
        <v>2</v>
      </c>
      <c r="B748" t="s">
        <v>12022</v>
      </c>
      <c r="C748" t="s">
        <v>12027</v>
      </c>
      <c r="D748" t="s">
        <v>12032</v>
      </c>
      <c r="E748" t="s">
        <v>2501</v>
      </c>
      <c r="F748" t="s">
        <v>2502</v>
      </c>
      <c r="G748" s="712">
        <v>0</v>
      </c>
      <c r="H748">
        <v>0</v>
      </c>
      <c r="I748" s="713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 s="724" t="str">
        <f>VLOOKUP($E748,SP_2024_v28062025!$E$2:$M$1751,9,FALSE)</f>
        <v>PAA070</v>
      </c>
    </row>
    <row r="749" spans="1:17">
      <c r="A749">
        <v>2</v>
      </c>
      <c r="B749" t="s">
        <v>12022</v>
      </c>
      <c r="C749" t="s">
        <v>12027</v>
      </c>
      <c r="D749" t="s">
        <v>12032</v>
      </c>
      <c r="E749" t="s">
        <v>2503</v>
      </c>
      <c r="F749" t="s">
        <v>2504</v>
      </c>
      <c r="G749" s="712">
        <v>0</v>
      </c>
      <c r="H749">
        <v>0</v>
      </c>
      <c r="I749" s="713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 s="724" t="str">
        <f>VLOOKUP($E749,SP_2024_v28062025!$E$2:$M$1751,9,FALSE)</f>
        <v>PAA070</v>
      </c>
    </row>
    <row r="750" spans="1:17">
      <c r="A750">
        <v>2</v>
      </c>
      <c r="B750" t="s">
        <v>12022</v>
      </c>
      <c r="C750" t="s">
        <v>12027</v>
      </c>
      <c r="D750" t="s">
        <v>12032</v>
      </c>
      <c r="E750" t="s">
        <v>2505</v>
      </c>
      <c r="F750" t="s">
        <v>2506</v>
      </c>
      <c r="G750" s="712">
        <v>0</v>
      </c>
      <c r="H750">
        <v>0</v>
      </c>
      <c r="I750" s="713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 s="724" t="str">
        <f>VLOOKUP($E750,SP_2024_v28062025!$E$2:$M$1751,9,FALSE)</f>
        <v>PAA070</v>
      </c>
    </row>
    <row r="751" spans="1:17">
      <c r="A751">
        <v>2</v>
      </c>
      <c r="B751" t="s">
        <v>12022</v>
      </c>
      <c r="C751" t="s">
        <v>12027</v>
      </c>
      <c r="D751" t="s">
        <v>12032</v>
      </c>
      <c r="E751" t="s">
        <v>2507</v>
      </c>
      <c r="F751" t="s">
        <v>2508</v>
      </c>
      <c r="G751" s="712">
        <v>0</v>
      </c>
      <c r="H751" s="711">
        <v>630314.28</v>
      </c>
      <c r="I751" s="715">
        <v>630314.28</v>
      </c>
      <c r="J751">
        <v>0</v>
      </c>
      <c r="K751">
        <v>0</v>
      </c>
      <c r="L751">
        <v>0</v>
      </c>
      <c r="M751">
        <v>0</v>
      </c>
      <c r="N751">
        <v>0</v>
      </c>
      <c r="O751" s="711">
        <v>630314.28</v>
      </c>
      <c r="P751" s="711">
        <v>-630314.28</v>
      </c>
      <c r="Q751" s="724" t="str">
        <f>VLOOKUP($E751,SP_2024_v28062025!$E$2:$M$1751,9,FALSE)</f>
        <v>PAA070</v>
      </c>
    </row>
    <row r="752" spans="1:17">
      <c r="A752">
        <v>2</v>
      </c>
      <c r="B752" t="s">
        <v>12022</v>
      </c>
      <c r="C752" t="s">
        <v>12027</v>
      </c>
      <c r="D752" t="s">
        <v>12032</v>
      </c>
      <c r="E752" t="s">
        <v>2509</v>
      </c>
      <c r="F752" t="s">
        <v>2510</v>
      </c>
      <c r="G752" s="712">
        <v>0</v>
      </c>
      <c r="H752" s="711">
        <v>1492099.54</v>
      </c>
      <c r="I752" s="715">
        <v>1492099.54</v>
      </c>
      <c r="J752" s="711">
        <v>530264.22</v>
      </c>
      <c r="K752">
        <v>0</v>
      </c>
      <c r="L752">
        <v>0</v>
      </c>
      <c r="M752">
        <v>0</v>
      </c>
      <c r="N752" s="711">
        <v>530264.22</v>
      </c>
      <c r="O752" s="711">
        <v>1492099.54</v>
      </c>
      <c r="P752" s="711">
        <v>-961835.32</v>
      </c>
      <c r="Q752" s="724" t="str">
        <f>VLOOKUP($E752,SP_2024_v28062025!$E$2:$M$1751,9,FALSE)</f>
        <v>PAA070</v>
      </c>
    </row>
    <row r="753" spans="1:17">
      <c r="A753">
        <v>2</v>
      </c>
      <c r="B753" t="s">
        <v>12022</v>
      </c>
      <c r="C753" t="s">
        <v>12027</v>
      </c>
      <c r="D753" t="s">
        <v>12032</v>
      </c>
      <c r="E753" t="s">
        <v>2511</v>
      </c>
      <c r="F753" t="s">
        <v>2512</v>
      </c>
      <c r="G753" s="712">
        <v>0</v>
      </c>
      <c r="H753">
        <v>0</v>
      </c>
      <c r="I753" s="71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 s="724" t="str">
        <f>VLOOKUP($E753,SP_2024_v28062025!$E$2:$M$1751,9,FALSE)</f>
        <v>PAA070</v>
      </c>
    </row>
    <row r="754" spans="1:17">
      <c r="A754">
        <v>2</v>
      </c>
      <c r="B754" t="s">
        <v>12022</v>
      </c>
      <c r="C754" t="s">
        <v>12027</v>
      </c>
      <c r="D754" t="s">
        <v>12032</v>
      </c>
      <c r="E754" t="s">
        <v>2513</v>
      </c>
      <c r="F754" t="s">
        <v>2514</v>
      </c>
      <c r="G754" s="712">
        <v>0</v>
      </c>
      <c r="H754" s="711">
        <v>1342692.02</v>
      </c>
      <c r="I754" s="715">
        <v>1342692.02</v>
      </c>
      <c r="J754">
        <v>0</v>
      </c>
      <c r="K754">
        <v>0</v>
      </c>
      <c r="L754">
        <v>0</v>
      </c>
      <c r="M754">
        <v>0</v>
      </c>
      <c r="N754">
        <v>0</v>
      </c>
      <c r="O754" s="711">
        <v>1342692.02</v>
      </c>
      <c r="P754" s="711">
        <v>-1342692.02</v>
      </c>
      <c r="Q754" s="724" t="str">
        <f>VLOOKUP($E754,SP_2024_v28062025!$E$2:$M$1751,9,FALSE)</f>
        <v>PAA070</v>
      </c>
    </row>
    <row r="755" spans="1:17">
      <c r="A755">
        <v>2</v>
      </c>
      <c r="B755" t="s">
        <v>12022</v>
      </c>
      <c r="C755" t="s">
        <v>12027</v>
      </c>
      <c r="D755" t="s">
        <v>12032</v>
      </c>
      <c r="E755" t="s">
        <v>2515</v>
      </c>
      <c r="F755" t="s">
        <v>2516</v>
      </c>
      <c r="G755" s="712">
        <v>0</v>
      </c>
      <c r="H755">
        <v>0</v>
      </c>
      <c r="I755" s="713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 s="724" t="str">
        <f>VLOOKUP($E755,SP_2024_v28062025!$E$2:$M$1751,9,FALSE)</f>
        <v>PAA070</v>
      </c>
    </row>
    <row r="756" spans="1:17">
      <c r="A756">
        <v>2</v>
      </c>
      <c r="B756" t="s">
        <v>12022</v>
      </c>
      <c r="C756" t="s">
        <v>12027</v>
      </c>
      <c r="D756" t="s">
        <v>12032</v>
      </c>
      <c r="E756" t="s">
        <v>2517</v>
      </c>
      <c r="F756" t="s">
        <v>2518</v>
      </c>
      <c r="G756" s="712">
        <v>0</v>
      </c>
      <c r="H756" s="711">
        <v>1076729.33</v>
      </c>
      <c r="I756" s="715">
        <v>1076729.33</v>
      </c>
      <c r="J756">
        <v>0</v>
      </c>
      <c r="K756">
        <v>0</v>
      </c>
      <c r="L756">
        <v>0</v>
      </c>
      <c r="M756">
        <v>0</v>
      </c>
      <c r="N756">
        <v>0</v>
      </c>
      <c r="O756" s="711">
        <v>1076729.33</v>
      </c>
      <c r="P756" s="711">
        <v>-1076729.33</v>
      </c>
      <c r="Q756" s="724" t="str">
        <f>VLOOKUP($E756,SP_2024_v28062025!$E$2:$M$1751,9,FALSE)</f>
        <v>PAA070</v>
      </c>
    </row>
    <row r="757" spans="1:17" ht="15.75" thickBot="1">
      <c r="A757">
        <v>2</v>
      </c>
      <c r="B757" t="s">
        <v>12022</v>
      </c>
      <c r="C757" t="s">
        <v>12027</v>
      </c>
      <c r="D757" t="s">
        <v>12032</v>
      </c>
      <c r="E757" t="s">
        <v>2519</v>
      </c>
      <c r="F757" t="s">
        <v>2520</v>
      </c>
      <c r="G757" s="712">
        <v>0</v>
      </c>
      <c r="H757">
        <v>0</v>
      </c>
      <c r="I757" s="713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 s="724" t="str">
        <f>VLOOKUP($E757,SP_2024_v28062025!$E$2:$M$1751,9,FALSE)</f>
        <v>PAA070</v>
      </c>
    </row>
    <row r="758" spans="1:17" ht="15.75" thickBot="1">
      <c r="A758" s="727">
        <v>2</v>
      </c>
      <c r="B758" s="727" t="s">
        <v>12022</v>
      </c>
      <c r="C758" s="727" t="s">
        <v>12027</v>
      </c>
      <c r="D758" s="727" t="s">
        <v>12034</v>
      </c>
      <c r="E758" s="727"/>
      <c r="F758" s="729" t="s">
        <v>2524</v>
      </c>
      <c r="G758" s="738">
        <v>0</v>
      </c>
      <c r="H758" s="739">
        <v>55200</v>
      </c>
      <c r="I758" s="739">
        <v>55200</v>
      </c>
      <c r="J758" s="739">
        <v>142040.28</v>
      </c>
      <c r="K758" s="739">
        <v>1795608.01</v>
      </c>
      <c r="L758" s="738">
        <v>0</v>
      </c>
      <c r="M758" s="738">
        <v>0</v>
      </c>
      <c r="N758" s="739">
        <v>142040.28</v>
      </c>
      <c r="O758" s="739">
        <v>1850808.01</v>
      </c>
      <c r="P758" s="739">
        <v>-1708767.73</v>
      </c>
    </row>
    <row r="759" spans="1:17">
      <c r="A759">
        <v>2</v>
      </c>
      <c r="B759" t="s">
        <v>12022</v>
      </c>
      <c r="C759" t="s">
        <v>12027</v>
      </c>
      <c r="D759" t="s">
        <v>12034</v>
      </c>
      <c r="E759" t="s">
        <v>2523</v>
      </c>
      <c r="F759" t="s">
        <v>2524</v>
      </c>
      <c r="G759" s="712">
        <v>0</v>
      </c>
      <c r="H759">
        <v>0</v>
      </c>
      <c r="I759" s="713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 s="724" t="str">
        <f>VLOOKUP($E759,SP_2024_v28062025!$E$2:$M$1751,9,FALSE)</f>
        <v>PAA080</v>
      </c>
    </row>
    <row r="760" spans="1:17">
      <c r="A760">
        <v>2</v>
      </c>
      <c r="B760" t="s">
        <v>12022</v>
      </c>
      <c r="C760" t="s">
        <v>12027</v>
      </c>
      <c r="D760" t="s">
        <v>12034</v>
      </c>
      <c r="E760" t="s">
        <v>2525</v>
      </c>
      <c r="F760" t="s">
        <v>2526</v>
      </c>
      <c r="G760" s="712">
        <v>0</v>
      </c>
      <c r="H760" s="711">
        <v>55200</v>
      </c>
      <c r="I760" s="715">
        <v>55200</v>
      </c>
      <c r="J760">
        <v>0</v>
      </c>
      <c r="K760">
        <v>0</v>
      </c>
      <c r="L760">
        <v>0</v>
      </c>
      <c r="M760">
        <v>0</v>
      </c>
      <c r="N760">
        <v>0</v>
      </c>
      <c r="O760" s="711">
        <v>55200</v>
      </c>
      <c r="P760" s="711">
        <v>-55200</v>
      </c>
      <c r="Q760" s="724" t="str">
        <f>VLOOKUP($E760,SP_2024_v28062025!$E$2:$M$1751,9,FALSE)</f>
        <v>PAA080</v>
      </c>
    </row>
    <row r="761" spans="1:17" ht="15.75" thickBot="1">
      <c r="A761">
        <v>2</v>
      </c>
      <c r="B761" t="s">
        <v>12022</v>
      </c>
      <c r="C761" t="s">
        <v>12027</v>
      </c>
      <c r="D761" t="s">
        <v>12034</v>
      </c>
      <c r="E761" t="s">
        <v>2527</v>
      </c>
      <c r="F761" t="s">
        <v>2528</v>
      </c>
      <c r="G761" s="712">
        <v>0</v>
      </c>
      <c r="H761">
        <v>0</v>
      </c>
      <c r="I761" s="713">
        <v>0</v>
      </c>
      <c r="J761" s="711">
        <v>142040.28</v>
      </c>
      <c r="K761" s="711">
        <v>1795608.01</v>
      </c>
      <c r="L761">
        <v>0</v>
      </c>
      <c r="M761">
        <v>0</v>
      </c>
      <c r="N761" s="711">
        <v>142040.28</v>
      </c>
      <c r="O761" s="711">
        <v>1795608.01</v>
      </c>
      <c r="P761" s="711">
        <v>-1653567.73</v>
      </c>
      <c r="Q761" s="724" t="str">
        <f>VLOOKUP($E761,SP_2024_v28062025!$E$2:$M$1751,9,FALSE)</f>
        <v>PAA080</v>
      </c>
    </row>
    <row r="762" spans="1:17" ht="15.75" thickBot="1">
      <c r="A762" s="727">
        <v>2</v>
      </c>
      <c r="B762" s="727" t="s">
        <v>12022</v>
      </c>
      <c r="C762" s="727" t="s">
        <v>12027</v>
      </c>
      <c r="D762" s="727" t="s">
        <v>12035</v>
      </c>
      <c r="E762" s="727"/>
      <c r="F762" s="729" t="s">
        <v>12036</v>
      </c>
      <c r="G762" s="738">
        <v>0</v>
      </c>
      <c r="H762" s="739">
        <v>56434574.450000003</v>
      </c>
      <c r="I762" s="739">
        <v>56434574.450000003</v>
      </c>
      <c r="J762" s="739">
        <v>4190121.28</v>
      </c>
      <c r="K762" s="739">
        <v>3821342.41</v>
      </c>
      <c r="L762" s="738">
        <v>0</v>
      </c>
      <c r="M762" s="738">
        <v>0</v>
      </c>
      <c r="N762" s="739">
        <v>4190121.28</v>
      </c>
      <c r="O762" s="739">
        <v>60255916.859999999</v>
      </c>
      <c r="P762" s="739">
        <v>-56065795.579999998</v>
      </c>
    </row>
    <row r="763" spans="1:17">
      <c r="A763">
        <v>2</v>
      </c>
      <c r="B763" t="s">
        <v>12022</v>
      </c>
      <c r="C763" t="s">
        <v>12027</v>
      </c>
      <c r="D763" t="s">
        <v>12035</v>
      </c>
      <c r="E763" t="s">
        <v>2531</v>
      </c>
      <c r="F763" t="s">
        <v>2532</v>
      </c>
      <c r="G763" s="712">
        <v>0</v>
      </c>
      <c r="H763">
        <v>0</v>
      </c>
      <c r="I763" s="71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 s="724" t="str">
        <f>VLOOKUP($E763,SP_2024_v28062025!$E$2:$M$1751,9,FALSE)</f>
        <v>PAA090</v>
      </c>
    </row>
    <row r="764" spans="1:17">
      <c r="A764">
        <v>2</v>
      </c>
      <c r="B764" t="s">
        <v>12022</v>
      </c>
      <c r="C764" t="s">
        <v>12027</v>
      </c>
      <c r="D764" t="s">
        <v>12035</v>
      </c>
      <c r="E764" t="s">
        <v>2534</v>
      </c>
      <c r="F764" t="s">
        <v>2535</v>
      </c>
      <c r="G764" s="712">
        <v>0</v>
      </c>
      <c r="H764" s="711">
        <v>52808748.649999999</v>
      </c>
      <c r="I764" s="715">
        <v>52808748.649999999</v>
      </c>
      <c r="J764" s="711">
        <v>4190121.28</v>
      </c>
      <c r="K764" s="711">
        <v>3466830.95</v>
      </c>
      <c r="L764">
        <v>0</v>
      </c>
      <c r="M764">
        <v>0</v>
      </c>
      <c r="N764" s="711">
        <v>4190121.28</v>
      </c>
      <c r="O764" s="711">
        <v>56275579.600000001</v>
      </c>
      <c r="P764" s="711">
        <v>-52085458.32</v>
      </c>
      <c r="Q764" s="724" t="str">
        <f>VLOOKUP($E764,SP_2024_v28062025!$E$2:$M$1751,9,FALSE)</f>
        <v>PAA090</v>
      </c>
    </row>
    <row r="765" spans="1:17">
      <c r="A765">
        <v>2</v>
      </c>
      <c r="B765" t="s">
        <v>12022</v>
      </c>
      <c r="C765" t="s">
        <v>12027</v>
      </c>
      <c r="D765" t="s">
        <v>12035</v>
      </c>
      <c r="E765" t="s">
        <v>2537</v>
      </c>
      <c r="F765" t="s">
        <v>2538</v>
      </c>
      <c r="G765" s="712">
        <v>0</v>
      </c>
      <c r="H765">
        <v>0</v>
      </c>
      <c r="I765" s="713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 s="724" t="str">
        <f>VLOOKUP($E765,SP_2024_v28062025!$E$2:$M$1751,9,FALSE)</f>
        <v>PAA090</v>
      </c>
    </row>
    <row r="766" spans="1:17">
      <c r="A766">
        <v>2</v>
      </c>
      <c r="B766" t="s">
        <v>12022</v>
      </c>
      <c r="C766" t="s">
        <v>12027</v>
      </c>
      <c r="D766" t="s">
        <v>12035</v>
      </c>
      <c r="E766" t="s">
        <v>2539</v>
      </c>
      <c r="F766" t="s">
        <v>2540</v>
      </c>
      <c r="G766" s="712">
        <v>0</v>
      </c>
      <c r="H766" s="711">
        <v>198800</v>
      </c>
      <c r="I766" s="715">
        <v>198800</v>
      </c>
      <c r="J766">
        <v>0</v>
      </c>
      <c r="K766">
        <v>0</v>
      </c>
      <c r="L766">
        <v>0</v>
      </c>
      <c r="M766">
        <v>0</v>
      </c>
      <c r="N766">
        <v>0</v>
      </c>
      <c r="O766" s="711">
        <v>198800</v>
      </c>
      <c r="P766" s="711">
        <v>-198800</v>
      </c>
      <c r="Q766" s="724" t="str">
        <f>VLOOKUP($E766,SP_2024_v28062025!$E$2:$M$1751,9,FALSE)</f>
        <v>PAA090</v>
      </c>
    </row>
    <row r="767" spans="1:17">
      <c r="A767">
        <v>2</v>
      </c>
      <c r="B767" t="s">
        <v>12022</v>
      </c>
      <c r="C767" t="s">
        <v>12027</v>
      </c>
      <c r="D767" t="s">
        <v>12035</v>
      </c>
      <c r="E767" t="s">
        <v>2542</v>
      </c>
      <c r="F767" t="s">
        <v>2543</v>
      </c>
      <c r="G767" s="712">
        <v>0</v>
      </c>
      <c r="H767">
        <v>0</v>
      </c>
      <c r="I767" s="713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 s="724" t="str">
        <f>VLOOKUP($E767,SP_2024_v28062025!$E$2:$M$1751,9,FALSE)</f>
        <v>PAA090</v>
      </c>
    </row>
    <row r="768" spans="1:17">
      <c r="A768">
        <v>2</v>
      </c>
      <c r="B768" t="s">
        <v>12022</v>
      </c>
      <c r="C768" t="s">
        <v>12027</v>
      </c>
      <c r="D768" t="s">
        <v>12035</v>
      </c>
      <c r="E768" t="s">
        <v>2545</v>
      </c>
      <c r="F768" t="s">
        <v>2546</v>
      </c>
      <c r="G768" s="712">
        <v>0</v>
      </c>
      <c r="H768">
        <v>0</v>
      </c>
      <c r="I768" s="713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 s="724" t="str">
        <f>VLOOKUP($E768,SP_2024_v28062025!$E$2:$M$1751,9,FALSE)</f>
        <v>PAA090</v>
      </c>
    </row>
    <row r="769" spans="1:17">
      <c r="A769">
        <v>2</v>
      </c>
      <c r="B769" t="s">
        <v>12022</v>
      </c>
      <c r="C769" t="s">
        <v>12027</v>
      </c>
      <c r="D769" t="s">
        <v>12035</v>
      </c>
      <c r="E769" t="s">
        <v>2547</v>
      </c>
      <c r="F769" t="s">
        <v>2548</v>
      </c>
      <c r="G769" s="712">
        <v>0</v>
      </c>
      <c r="H769" s="711">
        <v>20567</v>
      </c>
      <c r="I769" s="715">
        <v>20567</v>
      </c>
      <c r="J769">
        <v>0</v>
      </c>
      <c r="K769">
        <v>0</v>
      </c>
      <c r="L769">
        <v>0</v>
      </c>
      <c r="M769">
        <v>0</v>
      </c>
      <c r="N769">
        <v>0</v>
      </c>
      <c r="O769" s="711">
        <v>20567</v>
      </c>
      <c r="P769" s="711">
        <v>-20567</v>
      </c>
      <c r="Q769" s="724" t="str">
        <f>VLOOKUP($E769,SP_2024_v28062025!$E$2:$M$1751,9,FALSE)</f>
        <v>PAA090</v>
      </c>
    </row>
    <row r="770" spans="1:17">
      <c r="A770">
        <v>2</v>
      </c>
      <c r="B770" t="s">
        <v>12022</v>
      </c>
      <c r="C770" t="s">
        <v>12027</v>
      </c>
      <c r="D770" t="s">
        <v>12035</v>
      </c>
      <c r="E770" t="s">
        <v>2549</v>
      </c>
      <c r="F770" t="s">
        <v>2550</v>
      </c>
      <c r="G770" s="712">
        <v>0</v>
      </c>
      <c r="H770" s="711">
        <v>221844</v>
      </c>
      <c r="I770" s="715">
        <v>221844</v>
      </c>
      <c r="J770">
        <v>0</v>
      </c>
      <c r="K770">
        <v>0</v>
      </c>
      <c r="L770">
        <v>0</v>
      </c>
      <c r="M770">
        <v>0</v>
      </c>
      <c r="N770">
        <v>0</v>
      </c>
      <c r="O770" s="711">
        <v>221844</v>
      </c>
      <c r="P770" s="711">
        <v>-221844</v>
      </c>
      <c r="Q770" s="724" t="str">
        <f>VLOOKUP($E770,SP_2024_v28062025!$E$2:$M$1751,9,FALSE)</f>
        <v>PAA090</v>
      </c>
    </row>
    <row r="771" spans="1:17">
      <c r="A771">
        <v>2</v>
      </c>
      <c r="B771" t="s">
        <v>12022</v>
      </c>
      <c r="C771" t="s">
        <v>12027</v>
      </c>
      <c r="D771" t="s">
        <v>12035</v>
      </c>
      <c r="E771" t="s">
        <v>2551</v>
      </c>
      <c r="F771" t="s">
        <v>2552</v>
      </c>
      <c r="G771" s="712">
        <v>0</v>
      </c>
      <c r="H771" s="711">
        <v>48436.5</v>
      </c>
      <c r="I771" s="715">
        <v>48436.5</v>
      </c>
      <c r="J771">
        <v>0</v>
      </c>
      <c r="K771">
        <v>0</v>
      </c>
      <c r="L771">
        <v>0</v>
      </c>
      <c r="M771">
        <v>0</v>
      </c>
      <c r="N771">
        <v>0</v>
      </c>
      <c r="O771" s="711">
        <v>48436.5</v>
      </c>
      <c r="P771" s="711">
        <v>-48436.5</v>
      </c>
      <c r="Q771" s="724" t="str">
        <f>VLOOKUP($E771,SP_2024_v28062025!$E$2:$M$1751,9,FALSE)</f>
        <v>PAA090</v>
      </c>
    </row>
    <row r="772" spans="1:17">
      <c r="A772">
        <v>2</v>
      </c>
      <c r="B772" t="s">
        <v>12022</v>
      </c>
      <c r="C772" t="s">
        <v>12027</v>
      </c>
      <c r="D772" t="s">
        <v>12035</v>
      </c>
      <c r="E772" t="s">
        <v>2553</v>
      </c>
      <c r="F772" t="s">
        <v>2554</v>
      </c>
      <c r="G772" s="712">
        <v>0</v>
      </c>
      <c r="H772">
        <v>0</v>
      </c>
      <c r="I772" s="713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 s="724" t="str">
        <f>VLOOKUP($E772,SP_2024_v28062025!$E$2:$M$1751,9,FALSE)</f>
        <v>PAA090</v>
      </c>
    </row>
    <row r="773" spans="1:17">
      <c r="A773">
        <v>2</v>
      </c>
      <c r="B773" t="s">
        <v>12022</v>
      </c>
      <c r="C773" t="s">
        <v>12027</v>
      </c>
      <c r="D773" t="s">
        <v>12035</v>
      </c>
      <c r="E773" t="s">
        <v>2555</v>
      </c>
      <c r="F773" t="s">
        <v>2556</v>
      </c>
      <c r="G773" s="712">
        <v>0</v>
      </c>
      <c r="H773">
        <v>0</v>
      </c>
      <c r="I773" s="71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 s="724" t="str">
        <f>VLOOKUP($E773,SP_2024_v28062025!$E$2:$M$1751,9,FALSE)</f>
        <v>PAA090</v>
      </c>
    </row>
    <row r="774" spans="1:17">
      <c r="A774">
        <v>2</v>
      </c>
      <c r="B774" t="s">
        <v>12022</v>
      </c>
      <c r="C774" t="s">
        <v>12027</v>
      </c>
      <c r="D774" t="s">
        <v>12035</v>
      </c>
      <c r="E774" t="s">
        <v>2557</v>
      </c>
      <c r="F774" t="s">
        <v>2558</v>
      </c>
      <c r="G774" s="712">
        <v>0</v>
      </c>
      <c r="H774">
        <v>0</v>
      </c>
      <c r="I774" s="713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 s="724" t="str">
        <f>VLOOKUP($E774,SP_2024_v28062025!$E$2:$M$1751,9,FALSE)</f>
        <v>PAA090</v>
      </c>
    </row>
    <row r="775" spans="1:17">
      <c r="A775">
        <v>2</v>
      </c>
      <c r="B775" t="s">
        <v>12022</v>
      </c>
      <c r="C775" t="s">
        <v>12027</v>
      </c>
      <c r="D775" t="s">
        <v>12035</v>
      </c>
      <c r="E775" t="s">
        <v>2559</v>
      </c>
      <c r="F775" t="s">
        <v>2560</v>
      </c>
      <c r="G775" s="712">
        <v>0</v>
      </c>
      <c r="H775">
        <v>0</v>
      </c>
      <c r="I775" s="713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 s="724" t="str">
        <f>VLOOKUP($E775,SP_2024_v28062025!$E$2:$M$1751,9,FALSE)</f>
        <v>PAA090</v>
      </c>
    </row>
    <row r="776" spans="1:17">
      <c r="A776">
        <v>2</v>
      </c>
      <c r="B776" t="s">
        <v>12022</v>
      </c>
      <c r="C776" t="s">
        <v>12027</v>
      </c>
      <c r="D776" t="s">
        <v>12035</v>
      </c>
      <c r="E776" t="s">
        <v>2561</v>
      </c>
      <c r="F776" t="s">
        <v>2562</v>
      </c>
      <c r="G776" s="712">
        <v>0</v>
      </c>
      <c r="H776">
        <v>0</v>
      </c>
      <c r="I776" s="713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 s="724" t="str">
        <f>VLOOKUP($E776,SP_2024_v28062025!$E$2:$M$1751,9,FALSE)</f>
        <v>PAA090</v>
      </c>
    </row>
    <row r="777" spans="1:17">
      <c r="A777">
        <v>2</v>
      </c>
      <c r="B777" t="s">
        <v>12022</v>
      </c>
      <c r="C777" t="s">
        <v>12027</v>
      </c>
      <c r="D777" t="s">
        <v>12035</v>
      </c>
      <c r="E777" t="s">
        <v>2563</v>
      </c>
      <c r="F777" t="s">
        <v>2564</v>
      </c>
      <c r="G777" s="712">
        <v>0</v>
      </c>
      <c r="H777">
        <v>0</v>
      </c>
      <c r="I777" s="713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 s="724" t="str">
        <f>VLOOKUP($E777,SP_2024_v28062025!$E$2:$M$1751,9,FALSE)</f>
        <v>PAA090</v>
      </c>
    </row>
    <row r="778" spans="1:17">
      <c r="A778">
        <v>2</v>
      </c>
      <c r="B778" t="s">
        <v>12022</v>
      </c>
      <c r="C778" t="s">
        <v>12027</v>
      </c>
      <c r="D778" t="s">
        <v>12035</v>
      </c>
      <c r="E778" t="s">
        <v>2565</v>
      </c>
      <c r="F778" t="s">
        <v>2566</v>
      </c>
      <c r="G778" s="712">
        <v>0</v>
      </c>
      <c r="H778">
        <v>0</v>
      </c>
      <c r="I778" s="713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 s="724" t="str">
        <f>VLOOKUP($E778,SP_2024_v28062025!$E$2:$M$1751,9,FALSE)</f>
        <v>PAA090</v>
      </c>
    </row>
    <row r="779" spans="1:17">
      <c r="A779">
        <v>2</v>
      </c>
      <c r="B779" t="s">
        <v>12022</v>
      </c>
      <c r="C779" t="s">
        <v>12027</v>
      </c>
      <c r="D779" t="s">
        <v>12035</v>
      </c>
      <c r="E779" t="s">
        <v>2567</v>
      </c>
      <c r="F779" t="s">
        <v>2568</v>
      </c>
      <c r="G779" s="712">
        <v>0</v>
      </c>
      <c r="H779">
        <v>0</v>
      </c>
      <c r="I779" s="713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 s="724" t="str">
        <f>VLOOKUP($E779,SP_2024_v28062025!$E$2:$M$1751,9,FALSE)</f>
        <v>PAA090</v>
      </c>
    </row>
    <row r="780" spans="1:17">
      <c r="A780">
        <v>2</v>
      </c>
      <c r="B780" t="s">
        <v>12022</v>
      </c>
      <c r="C780" t="s">
        <v>12027</v>
      </c>
      <c r="D780" t="s">
        <v>12035</v>
      </c>
      <c r="E780" t="s">
        <v>2569</v>
      </c>
      <c r="F780" t="s">
        <v>2570</v>
      </c>
      <c r="G780" s="712">
        <v>0</v>
      </c>
      <c r="H780" s="711">
        <v>16158.54</v>
      </c>
      <c r="I780" s="715">
        <v>16158.54</v>
      </c>
      <c r="J780">
        <v>0</v>
      </c>
      <c r="K780">
        <v>0</v>
      </c>
      <c r="L780">
        <v>0</v>
      </c>
      <c r="M780">
        <v>0</v>
      </c>
      <c r="N780">
        <v>0</v>
      </c>
      <c r="O780" s="711">
        <v>16158.54</v>
      </c>
      <c r="P780" s="711">
        <v>-16158.54</v>
      </c>
      <c r="Q780" s="724" t="str">
        <f>VLOOKUP($E780,SP_2024_v28062025!$E$2:$M$1751,9,FALSE)</f>
        <v>PAA090</v>
      </c>
    </row>
    <row r="781" spans="1:17">
      <c r="A781">
        <v>2</v>
      </c>
      <c r="B781" t="s">
        <v>12022</v>
      </c>
      <c r="C781" t="s">
        <v>12027</v>
      </c>
      <c r="D781" t="s">
        <v>12035</v>
      </c>
      <c r="E781" t="s">
        <v>2571</v>
      </c>
      <c r="F781" t="s">
        <v>2572</v>
      </c>
      <c r="G781" s="712">
        <v>0</v>
      </c>
      <c r="H781">
        <v>0</v>
      </c>
      <c r="I781" s="713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 s="724" t="str">
        <f>VLOOKUP($E781,SP_2024_v28062025!$E$2:$M$1751,9,FALSE)</f>
        <v>PAA090</v>
      </c>
    </row>
    <row r="782" spans="1:17">
      <c r="A782">
        <v>2</v>
      </c>
      <c r="B782" t="s">
        <v>12022</v>
      </c>
      <c r="C782" t="s">
        <v>12027</v>
      </c>
      <c r="D782" t="s">
        <v>12035</v>
      </c>
      <c r="E782" t="s">
        <v>2573</v>
      </c>
      <c r="F782" t="s">
        <v>2574</v>
      </c>
      <c r="G782" s="712">
        <v>0</v>
      </c>
      <c r="H782">
        <v>0</v>
      </c>
      <c r="I782" s="713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 s="724" t="str">
        <f>VLOOKUP($E782,SP_2024_v28062025!$E$2:$M$1751,9,FALSE)</f>
        <v>PAA090</v>
      </c>
    </row>
    <row r="783" spans="1:17">
      <c r="A783">
        <v>2</v>
      </c>
      <c r="B783" t="s">
        <v>12022</v>
      </c>
      <c r="C783" t="s">
        <v>12027</v>
      </c>
      <c r="D783" t="s">
        <v>12035</v>
      </c>
      <c r="E783" t="s">
        <v>2575</v>
      </c>
      <c r="F783" t="s">
        <v>2576</v>
      </c>
      <c r="G783" s="712">
        <v>0</v>
      </c>
      <c r="H783" s="711">
        <v>26739.41</v>
      </c>
      <c r="I783" s="715">
        <v>26739.41</v>
      </c>
      <c r="J783">
        <v>0</v>
      </c>
      <c r="K783">
        <v>0</v>
      </c>
      <c r="L783">
        <v>0</v>
      </c>
      <c r="M783">
        <v>0</v>
      </c>
      <c r="N783">
        <v>0</v>
      </c>
      <c r="O783" s="711">
        <v>26739.41</v>
      </c>
      <c r="P783" s="711">
        <v>-26739.41</v>
      </c>
      <c r="Q783" s="724" t="str">
        <f>VLOOKUP($E783,SP_2024_v28062025!$E$2:$M$1751,9,FALSE)</f>
        <v>PAA090</v>
      </c>
    </row>
    <row r="784" spans="1:17">
      <c r="A784">
        <v>2</v>
      </c>
      <c r="B784" t="s">
        <v>12022</v>
      </c>
      <c r="C784" t="s">
        <v>12027</v>
      </c>
      <c r="D784" t="s">
        <v>12035</v>
      </c>
      <c r="E784" t="s">
        <v>2577</v>
      </c>
      <c r="F784" t="s">
        <v>2578</v>
      </c>
      <c r="G784" s="712">
        <v>0</v>
      </c>
      <c r="H784">
        <v>0</v>
      </c>
      <c r="I784" s="713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 s="724" t="str">
        <f>VLOOKUP($E784,SP_2024_v28062025!$E$2:$M$1751,9,FALSE)</f>
        <v>PAA090</v>
      </c>
    </row>
    <row r="785" spans="1:17">
      <c r="A785">
        <v>2</v>
      </c>
      <c r="B785" t="s">
        <v>12022</v>
      </c>
      <c r="C785" t="s">
        <v>12027</v>
      </c>
      <c r="D785" t="s">
        <v>12035</v>
      </c>
      <c r="E785" t="s">
        <v>2579</v>
      </c>
      <c r="F785" t="s">
        <v>2580</v>
      </c>
      <c r="G785" s="712">
        <v>0</v>
      </c>
      <c r="H785">
        <v>0</v>
      </c>
      <c r="I785" s="713">
        <v>0</v>
      </c>
      <c r="J785">
        <v>0</v>
      </c>
      <c r="K785" s="711">
        <v>42445</v>
      </c>
      <c r="L785">
        <v>0</v>
      </c>
      <c r="M785">
        <v>0</v>
      </c>
      <c r="N785">
        <v>0</v>
      </c>
      <c r="O785" s="711">
        <v>42445</v>
      </c>
      <c r="P785" s="711">
        <v>-42445</v>
      </c>
      <c r="Q785" s="724" t="str">
        <f>VLOOKUP($E785,SP_2024_v28062025!$E$2:$M$1751,9,FALSE)</f>
        <v>PAA090</v>
      </c>
    </row>
    <row r="786" spans="1:17">
      <c r="A786">
        <v>2</v>
      </c>
      <c r="B786" t="s">
        <v>12022</v>
      </c>
      <c r="C786" t="s">
        <v>12027</v>
      </c>
      <c r="D786" t="s">
        <v>12035</v>
      </c>
      <c r="E786" t="s">
        <v>2581</v>
      </c>
      <c r="F786" t="s">
        <v>2582</v>
      </c>
      <c r="G786" s="712">
        <v>0</v>
      </c>
      <c r="H786">
        <v>0</v>
      </c>
      <c r="I786" s="713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 s="724" t="str">
        <f>VLOOKUP($E786,SP_2024_v28062025!$E$2:$M$1751,9,FALSE)</f>
        <v>PAA090</v>
      </c>
    </row>
    <row r="787" spans="1:17">
      <c r="A787">
        <v>2</v>
      </c>
      <c r="B787" t="s">
        <v>12022</v>
      </c>
      <c r="C787" t="s">
        <v>12027</v>
      </c>
      <c r="D787" t="s">
        <v>12035</v>
      </c>
      <c r="E787" t="s">
        <v>2583</v>
      </c>
      <c r="F787" t="s">
        <v>2584</v>
      </c>
      <c r="G787" s="712">
        <v>0</v>
      </c>
      <c r="H787">
        <v>0</v>
      </c>
      <c r="I787" s="713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 s="724" t="str">
        <f>VLOOKUP($E787,SP_2024_v28062025!$E$2:$M$1751,9,FALSE)</f>
        <v>PAA090</v>
      </c>
    </row>
    <row r="788" spans="1:17">
      <c r="A788">
        <v>2</v>
      </c>
      <c r="B788" t="s">
        <v>12022</v>
      </c>
      <c r="C788" t="s">
        <v>12027</v>
      </c>
      <c r="D788" t="s">
        <v>12035</v>
      </c>
      <c r="E788" t="s">
        <v>2585</v>
      </c>
      <c r="F788" t="s">
        <v>2586</v>
      </c>
      <c r="G788" s="712">
        <v>0</v>
      </c>
      <c r="H788" s="711">
        <v>67076</v>
      </c>
      <c r="I788" s="715">
        <v>67076</v>
      </c>
      <c r="J788">
        <v>0</v>
      </c>
      <c r="K788">
        <v>0</v>
      </c>
      <c r="L788">
        <v>0</v>
      </c>
      <c r="M788">
        <v>0</v>
      </c>
      <c r="N788">
        <v>0</v>
      </c>
      <c r="O788" s="711">
        <v>67076</v>
      </c>
      <c r="P788" s="711">
        <v>-67076</v>
      </c>
      <c r="Q788" s="724" t="str">
        <f>VLOOKUP($E788,SP_2024_v28062025!$E$2:$M$1751,9,FALSE)</f>
        <v>PAA090</v>
      </c>
    </row>
    <row r="789" spans="1:17">
      <c r="A789">
        <v>2</v>
      </c>
      <c r="B789" t="s">
        <v>12022</v>
      </c>
      <c r="C789" t="s">
        <v>12027</v>
      </c>
      <c r="D789" t="s">
        <v>12035</v>
      </c>
      <c r="E789" t="s">
        <v>2587</v>
      </c>
      <c r="F789" t="s">
        <v>2588</v>
      </c>
      <c r="G789" s="712">
        <v>0</v>
      </c>
      <c r="H789" s="711">
        <v>1042185.45</v>
      </c>
      <c r="I789" s="715">
        <v>1042185.45</v>
      </c>
      <c r="J789">
        <v>0</v>
      </c>
      <c r="K789" s="711">
        <v>150773.70000000001</v>
      </c>
      <c r="L789">
        <v>0</v>
      </c>
      <c r="M789">
        <v>0</v>
      </c>
      <c r="N789">
        <v>0</v>
      </c>
      <c r="O789" s="711">
        <v>1192959.1499999999</v>
      </c>
      <c r="P789" s="711">
        <v>-1192959.1499999999</v>
      </c>
      <c r="Q789" s="724" t="str">
        <f>VLOOKUP($E789,SP_2024_v28062025!$E$2:$M$1751,9,FALSE)</f>
        <v>PAA090</v>
      </c>
    </row>
    <row r="790" spans="1:17">
      <c r="A790">
        <v>2</v>
      </c>
      <c r="B790" t="s">
        <v>12022</v>
      </c>
      <c r="C790" t="s">
        <v>12027</v>
      </c>
      <c r="D790" t="s">
        <v>12035</v>
      </c>
      <c r="E790" t="s">
        <v>2589</v>
      </c>
      <c r="F790" t="s">
        <v>2590</v>
      </c>
      <c r="G790" s="712">
        <v>0</v>
      </c>
      <c r="H790" s="711">
        <v>57119.65</v>
      </c>
      <c r="I790" s="715">
        <v>57119.65</v>
      </c>
      <c r="J790">
        <v>0</v>
      </c>
      <c r="K790" s="711">
        <v>28059</v>
      </c>
      <c r="L790">
        <v>0</v>
      </c>
      <c r="M790">
        <v>0</v>
      </c>
      <c r="N790">
        <v>0</v>
      </c>
      <c r="O790" s="711">
        <v>85178.65</v>
      </c>
      <c r="P790" s="711">
        <v>-85178.65</v>
      </c>
      <c r="Q790" s="724" t="str">
        <f>VLOOKUP($E790,SP_2024_v28062025!$E$2:$M$1751,9,FALSE)</f>
        <v>PAA090</v>
      </c>
    </row>
    <row r="791" spans="1:17">
      <c r="A791">
        <v>2</v>
      </c>
      <c r="B791" t="s">
        <v>12022</v>
      </c>
      <c r="C791" t="s">
        <v>12027</v>
      </c>
      <c r="D791" t="s">
        <v>12035</v>
      </c>
      <c r="E791" t="s">
        <v>2591</v>
      </c>
      <c r="F791" t="s">
        <v>2592</v>
      </c>
      <c r="G791" s="712">
        <v>0</v>
      </c>
      <c r="H791" s="711">
        <v>331777.71000000002</v>
      </c>
      <c r="I791" s="715">
        <v>331777.71000000002</v>
      </c>
      <c r="J791">
        <v>0</v>
      </c>
      <c r="K791">
        <v>0</v>
      </c>
      <c r="L791">
        <v>0</v>
      </c>
      <c r="M791">
        <v>0</v>
      </c>
      <c r="N791">
        <v>0</v>
      </c>
      <c r="O791" s="711">
        <v>331777.71000000002</v>
      </c>
      <c r="P791" s="711">
        <v>-331777.71000000002</v>
      </c>
      <c r="Q791" s="724" t="str">
        <f>VLOOKUP($E791,SP_2024_v28062025!$E$2:$M$1751,9,FALSE)</f>
        <v>PAA090</v>
      </c>
    </row>
    <row r="792" spans="1:17">
      <c r="A792">
        <v>2</v>
      </c>
      <c r="B792" t="s">
        <v>12022</v>
      </c>
      <c r="C792" t="s">
        <v>12027</v>
      </c>
      <c r="D792" t="s">
        <v>12035</v>
      </c>
      <c r="E792" t="s">
        <v>2593</v>
      </c>
      <c r="F792" t="s">
        <v>2594</v>
      </c>
      <c r="G792" s="712">
        <v>0</v>
      </c>
      <c r="H792">
        <v>0</v>
      </c>
      <c r="I792" s="713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 s="724" t="str">
        <f>VLOOKUP($E792,SP_2024_v28062025!$E$2:$M$1751,9,FALSE)</f>
        <v>PAA090</v>
      </c>
    </row>
    <row r="793" spans="1:17">
      <c r="A793">
        <v>2</v>
      </c>
      <c r="B793" t="s">
        <v>12022</v>
      </c>
      <c r="C793" t="s">
        <v>12027</v>
      </c>
      <c r="D793" t="s">
        <v>12035</v>
      </c>
      <c r="E793" t="s">
        <v>2595</v>
      </c>
      <c r="F793" t="s">
        <v>2596</v>
      </c>
      <c r="G793" s="712">
        <v>0</v>
      </c>
      <c r="H793">
        <v>0</v>
      </c>
      <c r="I793" s="71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 s="724" t="str">
        <f>VLOOKUP($E793,SP_2024_v28062025!$E$2:$M$1751,9,FALSE)</f>
        <v>PAA090</v>
      </c>
    </row>
    <row r="794" spans="1:17">
      <c r="A794">
        <v>2</v>
      </c>
      <c r="B794" t="s">
        <v>12022</v>
      </c>
      <c r="C794" t="s">
        <v>12027</v>
      </c>
      <c r="D794" t="s">
        <v>12035</v>
      </c>
      <c r="E794" t="s">
        <v>2597</v>
      </c>
      <c r="F794" t="s">
        <v>2598</v>
      </c>
      <c r="G794" s="712">
        <v>0</v>
      </c>
      <c r="H794">
        <v>0</v>
      </c>
      <c r="I794" s="713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 s="724" t="str">
        <f>VLOOKUP($E794,SP_2024_v28062025!$E$2:$M$1751,9,FALSE)</f>
        <v>PAA090</v>
      </c>
    </row>
    <row r="795" spans="1:17">
      <c r="A795">
        <v>2</v>
      </c>
      <c r="B795" t="s">
        <v>12022</v>
      </c>
      <c r="C795" t="s">
        <v>12027</v>
      </c>
      <c r="D795" t="s">
        <v>12035</v>
      </c>
      <c r="E795" t="s">
        <v>2599</v>
      </c>
      <c r="F795" t="s">
        <v>2600</v>
      </c>
      <c r="G795" s="712">
        <v>0</v>
      </c>
      <c r="H795">
        <v>0</v>
      </c>
      <c r="I795" s="713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 s="724" t="str">
        <f>VLOOKUP($E795,SP_2024_v28062025!$E$2:$M$1751,9,FALSE)</f>
        <v>PAA090</v>
      </c>
    </row>
    <row r="796" spans="1:17">
      <c r="A796">
        <v>2</v>
      </c>
      <c r="B796" t="s">
        <v>12022</v>
      </c>
      <c r="C796" t="s">
        <v>12027</v>
      </c>
      <c r="D796" t="s">
        <v>12035</v>
      </c>
      <c r="E796" t="s">
        <v>2601</v>
      </c>
      <c r="F796" t="s">
        <v>2602</v>
      </c>
      <c r="G796" s="712">
        <v>0</v>
      </c>
      <c r="H796" s="711">
        <v>12431.14</v>
      </c>
      <c r="I796" s="715">
        <v>12431.14</v>
      </c>
      <c r="J796">
        <v>0</v>
      </c>
      <c r="K796" s="711">
        <v>133233.76</v>
      </c>
      <c r="L796">
        <v>0</v>
      </c>
      <c r="M796">
        <v>0</v>
      </c>
      <c r="N796">
        <v>0</v>
      </c>
      <c r="O796" s="711">
        <v>145664.9</v>
      </c>
      <c r="P796" s="711">
        <v>-145664.9</v>
      </c>
      <c r="Q796" s="724" t="str">
        <f>VLOOKUP($E796,SP_2024_v28062025!$E$2:$M$1751,9,FALSE)</f>
        <v>PAA090</v>
      </c>
    </row>
    <row r="797" spans="1:17">
      <c r="A797">
        <v>2</v>
      </c>
      <c r="B797" t="s">
        <v>12022</v>
      </c>
      <c r="C797" t="s">
        <v>12027</v>
      </c>
      <c r="D797" t="s">
        <v>12035</v>
      </c>
      <c r="E797" t="s">
        <v>2603</v>
      </c>
      <c r="F797" t="s">
        <v>2604</v>
      </c>
      <c r="G797" s="712">
        <v>0</v>
      </c>
      <c r="H797">
        <v>0</v>
      </c>
      <c r="I797" s="713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 s="724" t="str">
        <f>VLOOKUP($E797,SP_2024_v28062025!$E$2:$M$1751,9,FALSE)</f>
        <v>PAA090</v>
      </c>
    </row>
    <row r="798" spans="1:17" ht="15.75" thickBot="1">
      <c r="A798">
        <v>2</v>
      </c>
      <c r="B798" t="s">
        <v>12022</v>
      </c>
      <c r="C798" t="s">
        <v>12027</v>
      </c>
      <c r="D798" t="s">
        <v>12035</v>
      </c>
      <c r="E798" t="s">
        <v>2605</v>
      </c>
      <c r="F798" t="s">
        <v>2606</v>
      </c>
      <c r="G798" s="712">
        <v>0</v>
      </c>
      <c r="H798" s="711">
        <v>1582690.4</v>
      </c>
      <c r="I798" s="715">
        <v>1582690.4</v>
      </c>
      <c r="J798">
        <v>0</v>
      </c>
      <c r="K798">
        <v>0</v>
      </c>
      <c r="L798">
        <v>0</v>
      </c>
      <c r="M798">
        <v>0</v>
      </c>
      <c r="N798">
        <v>0</v>
      </c>
      <c r="O798" s="711">
        <v>1582690.4</v>
      </c>
      <c r="P798" s="711">
        <v>-1582690.4</v>
      </c>
      <c r="Q798" s="724" t="str">
        <f>VLOOKUP($E798,SP_2024_v28062025!$E$2:$M$1751,9,FALSE)</f>
        <v>PAA090</v>
      </c>
    </row>
    <row r="799" spans="1:17" ht="15.75" thickBot="1">
      <c r="A799" s="727">
        <v>2</v>
      </c>
      <c r="B799" s="727" t="s">
        <v>12022</v>
      </c>
      <c r="C799" s="727" t="s">
        <v>12037</v>
      </c>
      <c r="D799" s="727"/>
      <c r="E799" s="727"/>
      <c r="F799" s="745" t="s">
        <v>2607</v>
      </c>
      <c r="G799" s="738">
        <v>0</v>
      </c>
      <c r="H799" s="739">
        <v>1570542.34</v>
      </c>
      <c r="I799" s="739">
        <v>1570542.34</v>
      </c>
      <c r="J799" s="739">
        <v>351706.58</v>
      </c>
      <c r="K799" s="739">
        <v>77484.36</v>
      </c>
      <c r="L799" s="738">
        <v>0</v>
      </c>
      <c r="M799" s="738">
        <v>0</v>
      </c>
      <c r="N799" s="739">
        <v>351706.58</v>
      </c>
      <c r="O799" s="739">
        <v>1648026.7</v>
      </c>
      <c r="P799" s="739">
        <v>-1296320.1200000001</v>
      </c>
    </row>
    <row r="800" spans="1:17" ht="15.75" thickBot="1">
      <c r="A800" s="727">
        <v>2</v>
      </c>
      <c r="B800" s="727" t="s">
        <v>12022</v>
      </c>
      <c r="C800" s="727" t="s">
        <v>12037</v>
      </c>
      <c r="D800" s="727" t="s">
        <v>12038</v>
      </c>
      <c r="E800" s="727"/>
      <c r="F800" s="729" t="s">
        <v>2607</v>
      </c>
      <c r="G800" s="738">
        <v>0</v>
      </c>
      <c r="H800" s="739">
        <v>1570542.34</v>
      </c>
      <c r="I800" s="739">
        <v>1570542.34</v>
      </c>
      <c r="J800" s="739">
        <v>351706.58</v>
      </c>
      <c r="K800" s="739">
        <v>77484.36</v>
      </c>
      <c r="L800" s="738">
        <v>0</v>
      </c>
      <c r="M800" s="738">
        <v>0</v>
      </c>
      <c r="N800" s="739">
        <v>351706.58</v>
      </c>
      <c r="O800" s="739">
        <v>1648026.7</v>
      </c>
      <c r="P800" s="739">
        <v>-1296320.1200000001</v>
      </c>
    </row>
    <row r="801" spans="1:17">
      <c r="A801">
        <v>2</v>
      </c>
      <c r="B801" t="s">
        <v>12022</v>
      </c>
      <c r="C801" t="s">
        <v>12037</v>
      </c>
      <c r="D801" t="s">
        <v>12038</v>
      </c>
      <c r="E801" t="s">
        <v>2610</v>
      </c>
      <c r="F801" t="s">
        <v>2611</v>
      </c>
      <c r="G801" s="712">
        <v>0</v>
      </c>
      <c r="H801">
        <v>0</v>
      </c>
      <c r="I801" s="713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 s="724" t="str">
        <f>VLOOKUP($E801,SP_2024_v28062025!$E$2:$M$1751,9,FALSE)</f>
        <v>PAA100</v>
      </c>
    </row>
    <row r="802" spans="1:17">
      <c r="A802">
        <v>2</v>
      </c>
      <c r="B802" t="s">
        <v>12022</v>
      </c>
      <c r="C802" t="s">
        <v>12037</v>
      </c>
      <c r="D802" t="s">
        <v>12038</v>
      </c>
      <c r="E802" t="s">
        <v>2612</v>
      </c>
      <c r="F802" t="s">
        <v>2613</v>
      </c>
      <c r="G802" s="712">
        <v>0</v>
      </c>
      <c r="H802">
        <v>0</v>
      </c>
      <c r="I802" s="713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 s="724" t="str">
        <f>VLOOKUP($E802,SP_2024_v28062025!$E$2:$M$1751,9,FALSE)</f>
        <v>PAA100</v>
      </c>
    </row>
    <row r="803" spans="1:17">
      <c r="A803">
        <v>2</v>
      </c>
      <c r="B803" t="s">
        <v>12022</v>
      </c>
      <c r="C803" t="s">
        <v>12037</v>
      </c>
      <c r="D803" t="s">
        <v>12038</v>
      </c>
      <c r="E803" t="s">
        <v>2614</v>
      </c>
      <c r="F803" t="s">
        <v>2615</v>
      </c>
      <c r="G803" s="712">
        <v>0</v>
      </c>
      <c r="H803">
        <v>0</v>
      </c>
      <c r="I803" s="71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 s="724" t="str">
        <f>VLOOKUP($E803,SP_2024_v28062025!$E$2:$M$1751,9,FALSE)</f>
        <v>PAA100</v>
      </c>
    </row>
    <row r="804" spans="1:17">
      <c r="A804">
        <v>2</v>
      </c>
      <c r="B804" t="s">
        <v>12022</v>
      </c>
      <c r="C804" t="s">
        <v>12037</v>
      </c>
      <c r="D804" t="s">
        <v>12038</v>
      </c>
      <c r="E804" t="s">
        <v>2616</v>
      </c>
      <c r="F804" t="s">
        <v>2617</v>
      </c>
      <c r="G804" s="712">
        <v>0</v>
      </c>
      <c r="H804">
        <v>0</v>
      </c>
      <c r="I804" s="713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 s="724" t="str">
        <f>VLOOKUP($E804,SP_2024_v28062025!$E$2:$M$1751,9,FALSE)</f>
        <v>PAA100</v>
      </c>
    </row>
    <row r="805" spans="1:17">
      <c r="A805">
        <v>2</v>
      </c>
      <c r="B805" t="s">
        <v>12022</v>
      </c>
      <c r="C805" t="s">
        <v>12037</v>
      </c>
      <c r="D805" t="s">
        <v>12038</v>
      </c>
      <c r="E805" t="s">
        <v>2618</v>
      </c>
      <c r="F805" t="s">
        <v>2619</v>
      </c>
      <c r="G805" s="712">
        <v>0</v>
      </c>
      <c r="H805">
        <v>0</v>
      </c>
      <c r="I805" s="713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 s="724" t="str">
        <f>VLOOKUP($E805,SP_2024_v28062025!$E$2:$M$1751,9,FALSE)</f>
        <v>PAA100</v>
      </c>
    </row>
    <row r="806" spans="1:17">
      <c r="A806">
        <v>2</v>
      </c>
      <c r="B806" t="s">
        <v>12022</v>
      </c>
      <c r="C806" t="s">
        <v>12037</v>
      </c>
      <c r="D806" t="s">
        <v>12038</v>
      </c>
      <c r="E806" t="s">
        <v>2620</v>
      </c>
      <c r="F806" t="s">
        <v>2621</v>
      </c>
      <c r="G806" s="712">
        <v>0</v>
      </c>
      <c r="H806" s="711">
        <v>1624.83</v>
      </c>
      <c r="I806" s="715">
        <v>1624.83</v>
      </c>
      <c r="J806">
        <v>0</v>
      </c>
      <c r="K806">
        <v>0</v>
      </c>
      <c r="L806">
        <v>0</v>
      </c>
      <c r="M806">
        <v>0</v>
      </c>
      <c r="N806">
        <v>0</v>
      </c>
      <c r="O806" s="711">
        <v>1624.83</v>
      </c>
      <c r="P806" s="711">
        <v>-1624.83</v>
      </c>
      <c r="Q806" s="724" t="str">
        <f>VLOOKUP($E806,SP_2024_v28062025!$E$2:$M$1751,9,FALSE)</f>
        <v>PAA100</v>
      </c>
    </row>
    <row r="807" spans="1:17">
      <c r="A807">
        <v>2</v>
      </c>
      <c r="B807" t="s">
        <v>12022</v>
      </c>
      <c r="C807" t="s">
        <v>12037</v>
      </c>
      <c r="D807" t="s">
        <v>12038</v>
      </c>
      <c r="E807" t="s">
        <v>2622</v>
      </c>
      <c r="F807" t="s">
        <v>2623</v>
      </c>
      <c r="G807" s="712">
        <v>0</v>
      </c>
      <c r="H807" s="711">
        <v>4398.71</v>
      </c>
      <c r="I807" s="715">
        <v>4398.71</v>
      </c>
      <c r="J807">
        <v>0</v>
      </c>
      <c r="K807">
        <v>0</v>
      </c>
      <c r="L807">
        <v>0</v>
      </c>
      <c r="M807">
        <v>0</v>
      </c>
      <c r="N807">
        <v>0</v>
      </c>
      <c r="O807" s="711">
        <v>4398.71</v>
      </c>
      <c r="P807" s="711">
        <v>-4398.71</v>
      </c>
      <c r="Q807" s="724" t="str">
        <f>VLOOKUP($E807,SP_2024_v28062025!$E$2:$M$1751,9,FALSE)</f>
        <v>PAA100</v>
      </c>
    </row>
    <row r="808" spans="1:17">
      <c r="A808">
        <v>2</v>
      </c>
      <c r="B808" t="s">
        <v>12022</v>
      </c>
      <c r="C808" t="s">
        <v>12037</v>
      </c>
      <c r="D808" t="s">
        <v>12038</v>
      </c>
      <c r="E808" t="s">
        <v>2624</v>
      </c>
      <c r="F808" t="s">
        <v>2625</v>
      </c>
      <c r="G808" s="712">
        <v>0</v>
      </c>
      <c r="H808">
        <v>420.09</v>
      </c>
      <c r="I808" s="713">
        <v>420.09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420.09</v>
      </c>
      <c r="P808">
        <v>-420.09</v>
      </c>
      <c r="Q808" s="724" t="str">
        <f>VLOOKUP($E808,SP_2024_v28062025!$E$2:$M$1751,9,FALSE)</f>
        <v>PAA100</v>
      </c>
    </row>
    <row r="809" spans="1:17">
      <c r="A809">
        <v>2</v>
      </c>
      <c r="B809" t="s">
        <v>12022</v>
      </c>
      <c r="C809" t="s">
        <v>12037</v>
      </c>
      <c r="D809" t="s">
        <v>12038</v>
      </c>
      <c r="E809" t="s">
        <v>2626</v>
      </c>
      <c r="F809" t="s">
        <v>2627</v>
      </c>
      <c r="G809" s="712">
        <v>0</v>
      </c>
      <c r="H809" s="711">
        <v>4720.55</v>
      </c>
      <c r="I809" s="715">
        <v>4720.55</v>
      </c>
      <c r="J809">
        <v>0</v>
      </c>
      <c r="K809">
        <v>0</v>
      </c>
      <c r="L809">
        <v>0</v>
      </c>
      <c r="M809">
        <v>0</v>
      </c>
      <c r="N809">
        <v>0</v>
      </c>
      <c r="O809" s="711">
        <v>4720.55</v>
      </c>
      <c r="P809" s="711">
        <v>-4720.55</v>
      </c>
      <c r="Q809" s="724" t="str">
        <f>VLOOKUP($E809,SP_2024_v28062025!$E$2:$M$1751,9,FALSE)</f>
        <v>PAA100</v>
      </c>
    </row>
    <row r="810" spans="1:17">
      <c r="A810">
        <v>2</v>
      </c>
      <c r="B810" t="s">
        <v>12022</v>
      </c>
      <c r="C810" t="s">
        <v>12037</v>
      </c>
      <c r="D810" t="s">
        <v>12038</v>
      </c>
      <c r="E810" t="s">
        <v>2628</v>
      </c>
      <c r="F810" t="s">
        <v>2629</v>
      </c>
      <c r="G810" s="712">
        <v>0</v>
      </c>
      <c r="H810" s="711">
        <v>2003.82</v>
      </c>
      <c r="I810" s="715">
        <v>2003.82</v>
      </c>
      <c r="J810">
        <v>0</v>
      </c>
      <c r="K810">
        <v>0</v>
      </c>
      <c r="L810">
        <v>0</v>
      </c>
      <c r="M810">
        <v>0</v>
      </c>
      <c r="N810">
        <v>0</v>
      </c>
      <c r="O810" s="711">
        <v>2003.82</v>
      </c>
      <c r="P810" s="711">
        <v>-2003.82</v>
      </c>
      <c r="Q810" s="724" t="str">
        <f>VLOOKUP($E810,SP_2024_v28062025!$E$2:$M$1751,9,FALSE)</f>
        <v>PAA100</v>
      </c>
    </row>
    <row r="811" spans="1:17">
      <c r="A811">
        <v>2</v>
      </c>
      <c r="B811" t="s">
        <v>12022</v>
      </c>
      <c r="C811" t="s">
        <v>12037</v>
      </c>
      <c r="D811" t="s">
        <v>12038</v>
      </c>
      <c r="E811" t="s">
        <v>2630</v>
      </c>
      <c r="F811" t="s">
        <v>2631</v>
      </c>
      <c r="G811" s="712">
        <v>0</v>
      </c>
      <c r="H811">
        <v>0</v>
      </c>
      <c r="I811" s="713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 s="724" t="str">
        <f>VLOOKUP($E811,SP_2024_v28062025!$E$2:$M$1751,9,FALSE)</f>
        <v>PAA100</v>
      </c>
    </row>
    <row r="812" spans="1:17">
      <c r="A812">
        <v>2</v>
      </c>
      <c r="B812" t="s">
        <v>12022</v>
      </c>
      <c r="C812" t="s">
        <v>12037</v>
      </c>
      <c r="D812" t="s">
        <v>12038</v>
      </c>
      <c r="E812" t="s">
        <v>2632</v>
      </c>
      <c r="F812" t="s">
        <v>2633</v>
      </c>
      <c r="G812" s="712">
        <v>0</v>
      </c>
      <c r="H812">
        <v>0</v>
      </c>
      <c r="I812" s="713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 s="724" t="str">
        <f>VLOOKUP($E812,SP_2024_v28062025!$E$2:$M$1751,9,FALSE)</f>
        <v>PAA100</v>
      </c>
    </row>
    <row r="813" spans="1:17">
      <c r="A813">
        <v>2</v>
      </c>
      <c r="B813" t="s">
        <v>12022</v>
      </c>
      <c r="C813" t="s">
        <v>12037</v>
      </c>
      <c r="D813" t="s">
        <v>12038</v>
      </c>
      <c r="E813" t="s">
        <v>2634</v>
      </c>
      <c r="F813" t="s">
        <v>2635</v>
      </c>
      <c r="G813" s="712">
        <v>0</v>
      </c>
      <c r="H813">
        <v>0</v>
      </c>
      <c r="I813" s="7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 s="724" t="str">
        <f>VLOOKUP($E813,SP_2024_v28062025!$E$2:$M$1751,9,FALSE)</f>
        <v>PAA100</v>
      </c>
    </row>
    <row r="814" spans="1:17">
      <c r="A814">
        <v>2</v>
      </c>
      <c r="B814" t="s">
        <v>12022</v>
      </c>
      <c r="C814" t="s">
        <v>12037</v>
      </c>
      <c r="D814" t="s">
        <v>12038</v>
      </c>
      <c r="E814" t="s">
        <v>2636</v>
      </c>
      <c r="F814" t="s">
        <v>2637</v>
      </c>
      <c r="G814" s="712">
        <v>0</v>
      </c>
      <c r="H814" s="711">
        <v>46047.93</v>
      </c>
      <c r="I814" s="715">
        <v>46047.93</v>
      </c>
      <c r="J814">
        <v>0</v>
      </c>
      <c r="K814">
        <v>0</v>
      </c>
      <c r="L814">
        <v>0</v>
      </c>
      <c r="M814">
        <v>0</v>
      </c>
      <c r="N814">
        <v>0</v>
      </c>
      <c r="O814" s="711">
        <v>46047.93</v>
      </c>
      <c r="P814" s="711">
        <v>-46047.93</v>
      </c>
      <c r="Q814" s="724" t="str">
        <f>VLOOKUP($E814,SP_2024_v28062025!$E$2:$M$1751,9,FALSE)</f>
        <v>PAA100</v>
      </c>
    </row>
    <row r="815" spans="1:17">
      <c r="A815">
        <v>2</v>
      </c>
      <c r="B815" t="s">
        <v>12022</v>
      </c>
      <c r="C815" t="s">
        <v>12037</v>
      </c>
      <c r="D815" t="s">
        <v>12038</v>
      </c>
      <c r="E815" t="s">
        <v>2638</v>
      </c>
      <c r="F815" t="s">
        <v>2639</v>
      </c>
      <c r="G815" s="712">
        <v>0</v>
      </c>
      <c r="H815" s="711">
        <v>52246.21</v>
      </c>
      <c r="I815" s="715">
        <v>52246.21</v>
      </c>
      <c r="J815">
        <v>242.31</v>
      </c>
      <c r="K815">
        <v>0</v>
      </c>
      <c r="L815">
        <v>0</v>
      </c>
      <c r="M815">
        <v>0</v>
      </c>
      <c r="N815">
        <v>242.31</v>
      </c>
      <c r="O815" s="711">
        <v>52246.21</v>
      </c>
      <c r="P815" s="711">
        <v>-52003.9</v>
      </c>
      <c r="Q815" s="724" t="str">
        <f>VLOOKUP($E815,SP_2024_v28062025!$E$2:$M$1751,9,FALSE)</f>
        <v>PAA100</v>
      </c>
    </row>
    <row r="816" spans="1:17">
      <c r="A816">
        <v>2</v>
      </c>
      <c r="B816" t="s">
        <v>12022</v>
      </c>
      <c r="C816" t="s">
        <v>12037</v>
      </c>
      <c r="D816" t="s">
        <v>12038</v>
      </c>
      <c r="E816" t="s">
        <v>2640</v>
      </c>
      <c r="F816" t="s">
        <v>2641</v>
      </c>
      <c r="G816" s="712">
        <v>0</v>
      </c>
      <c r="H816" s="711">
        <v>1068.78</v>
      </c>
      <c r="I816" s="715">
        <v>1068.78</v>
      </c>
      <c r="J816">
        <v>750.56</v>
      </c>
      <c r="K816">
        <v>0</v>
      </c>
      <c r="L816">
        <v>0</v>
      </c>
      <c r="M816">
        <v>0</v>
      </c>
      <c r="N816">
        <v>750.56</v>
      </c>
      <c r="O816" s="711">
        <v>1068.78</v>
      </c>
      <c r="P816">
        <v>-318.22000000000003</v>
      </c>
      <c r="Q816" s="724" t="str">
        <f>VLOOKUP($E816,SP_2024_v28062025!$E$2:$M$1751,9,FALSE)</f>
        <v>PAA100</v>
      </c>
    </row>
    <row r="817" spans="1:17">
      <c r="A817">
        <v>2</v>
      </c>
      <c r="B817" t="s">
        <v>12022</v>
      </c>
      <c r="C817" t="s">
        <v>12037</v>
      </c>
      <c r="D817" t="s">
        <v>12038</v>
      </c>
      <c r="E817" t="s">
        <v>2642</v>
      </c>
      <c r="F817" t="s">
        <v>2643</v>
      </c>
      <c r="G817" s="712">
        <v>0</v>
      </c>
      <c r="H817" s="711">
        <v>3318.4</v>
      </c>
      <c r="I817" s="715">
        <v>3318.4</v>
      </c>
      <c r="J817">
        <v>459.39</v>
      </c>
      <c r="K817">
        <v>0</v>
      </c>
      <c r="L817">
        <v>0</v>
      </c>
      <c r="M817">
        <v>0</v>
      </c>
      <c r="N817">
        <v>459.39</v>
      </c>
      <c r="O817" s="711">
        <v>3318.4</v>
      </c>
      <c r="P817" s="711">
        <v>-2859.01</v>
      </c>
      <c r="Q817" s="724" t="str">
        <f>VLOOKUP($E817,SP_2024_v28062025!$E$2:$M$1751,9,FALSE)</f>
        <v>PAA100</v>
      </c>
    </row>
    <row r="818" spans="1:17">
      <c r="A818">
        <v>2</v>
      </c>
      <c r="B818" t="s">
        <v>12022</v>
      </c>
      <c r="C818" t="s">
        <v>12037</v>
      </c>
      <c r="D818" t="s">
        <v>12038</v>
      </c>
      <c r="E818" t="s">
        <v>2644</v>
      </c>
      <c r="F818" t="s">
        <v>2645</v>
      </c>
      <c r="G818" s="712">
        <v>0</v>
      </c>
      <c r="H818" s="711">
        <v>839702.13</v>
      </c>
      <c r="I818" s="715">
        <v>839702.13</v>
      </c>
      <c r="J818" s="711">
        <v>87412.44</v>
      </c>
      <c r="K818">
        <v>0</v>
      </c>
      <c r="L818">
        <v>0</v>
      </c>
      <c r="M818">
        <v>0</v>
      </c>
      <c r="N818" s="711">
        <v>87412.44</v>
      </c>
      <c r="O818" s="711">
        <v>839702.13</v>
      </c>
      <c r="P818" s="711">
        <v>-752289.69</v>
      </c>
      <c r="Q818" s="724" t="str">
        <f>VLOOKUP($E818,SP_2024_v28062025!$E$2:$M$1751,9,FALSE)</f>
        <v>PAA100</v>
      </c>
    </row>
    <row r="819" spans="1:17">
      <c r="A819">
        <v>2</v>
      </c>
      <c r="B819" t="s">
        <v>12022</v>
      </c>
      <c r="C819" t="s">
        <v>12037</v>
      </c>
      <c r="D819" t="s">
        <v>12038</v>
      </c>
      <c r="E819" t="s">
        <v>2646</v>
      </c>
      <c r="F819" t="s">
        <v>2647</v>
      </c>
      <c r="G819" s="712">
        <v>0</v>
      </c>
      <c r="H819" s="711">
        <v>227179.94</v>
      </c>
      <c r="I819" s="715">
        <v>227179.94</v>
      </c>
      <c r="J819">
        <v>0</v>
      </c>
      <c r="K819">
        <v>0</v>
      </c>
      <c r="L819">
        <v>0</v>
      </c>
      <c r="M819">
        <v>0</v>
      </c>
      <c r="N819">
        <v>0</v>
      </c>
      <c r="O819" s="711">
        <v>227179.94</v>
      </c>
      <c r="P819" s="711">
        <v>-227179.94</v>
      </c>
      <c r="Q819" s="724" t="str">
        <f>VLOOKUP($E819,SP_2024_v28062025!$E$2:$M$1751,9,FALSE)</f>
        <v>PAA100</v>
      </c>
    </row>
    <row r="820" spans="1:17">
      <c r="A820">
        <v>2</v>
      </c>
      <c r="B820" t="s">
        <v>12022</v>
      </c>
      <c r="C820" t="s">
        <v>12037</v>
      </c>
      <c r="D820" t="s">
        <v>12038</v>
      </c>
      <c r="E820" t="s">
        <v>2648</v>
      </c>
      <c r="F820" t="s">
        <v>2649</v>
      </c>
      <c r="G820" s="712">
        <v>0</v>
      </c>
      <c r="H820" s="711">
        <v>17662.36</v>
      </c>
      <c r="I820" s="715">
        <v>17662.36</v>
      </c>
      <c r="J820" s="711">
        <v>5480</v>
      </c>
      <c r="K820">
        <v>0</v>
      </c>
      <c r="L820">
        <v>0</v>
      </c>
      <c r="M820">
        <v>0</v>
      </c>
      <c r="N820" s="711">
        <v>5480</v>
      </c>
      <c r="O820" s="711">
        <v>17662.36</v>
      </c>
      <c r="P820" s="711">
        <v>-12182.36</v>
      </c>
      <c r="Q820" s="724" t="str">
        <f>VLOOKUP($E820,SP_2024_v28062025!$E$2:$M$1751,9,FALSE)</f>
        <v>PAA100</v>
      </c>
    </row>
    <row r="821" spans="1:17">
      <c r="A821">
        <v>2</v>
      </c>
      <c r="B821" t="s">
        <v>12022</v>
      </c>
      <c r="C821" t="s">
        <v>12037</v>
      </c>
      <c r="D821" t="s">
        <v>12038</v>
      </c>
      <c r="E821" t="s">
        <v>2650</v>
      </c>
      <c r="F821" t="s">
        <v>2651</v>
      </c>
      <c r="G821" s="712">
        <v>0</v>
      </c>
      <c r="H821" s="711">
        <v>351114.88</v>
      </c>
      <c r="I821" s="715">
        <v>351114.88</v>
      </c>
      <c r="J821" s="711">
        <v>225298.7</v>
      </c>
      <c r="K821">
        <v>0</v>
      </c>
      <c r="L821">
        <v>0</v>
      </c>
      <c r="M821">
        <v>0</v>
      </c>
      <c r="N821" s="711">
        <v>225298.7</v>
      </c>
      <c r="O821" s="711">
        <v>351114.88</v>
      </c>
      <c r="P821" s="711">
        <v>-125816.18</v>
      </c>
      <c r="Q821" s="724" t="str">
        <f>VLOOKUP($E821,SP_2024_v28062025!$E$2:$M$1751,9,FALSE)</f>
        <v>PAA100</v>
      </c>
    </row>
    <row r="822" spans="1:17">
      <c r="A822">
        <v>2</v>
      </c>
      <c r="B822" t="s">
        <v>12022</v>
      </c>
      <c r="C822" t="s">
        <v>12037</v>
      </c>
      <c r="D822" t="s">
        <v>12038</v>
      </c>
      <c r="E822" t="s">
        <v>2652</v>
      </c>
      <c r="F822" t="s">
        <v>2653</v>
      </c>
      <c r="G822" s="712">
        <v>0</v>
      </c>
      <c r="H822" s="711">
        <v>19033.71</v>
      </c>
      <c r="I822" s="715">
        <v>19033.71</v>
      </c>
      <c r="J822" s="711">
        <v>28527.06</v>
      </c>
      <c r="K822">
        <v>0</v>
      </c>
      <c r="L822">
        <v>0</v>
      </c>
      <c r="M822">
        <v>0</v>
      </c>
      <c r="N822" s="711">
        <v>28527.06</v>
      </c>
      <c r="O822" s="711">
        <v>19033.71</v>
      </c>
      <c r="P822" s="711">
        <v>9493.35</v>
      </c>
      <c r="Q822" s="724" t="str">
        <f>VLOOKUP($E822,SP_2024_v28062025!$E$2:$M$1751,9,FALSE)</f>
        <v>PAA100</v>
      </c>
    </row>
    <row r="823" spans="1:17">
      <c r="A823">
        <v>2</v>
      </c>
      <c r="B823" t="s">
        <v>12022</v>
      </c>
      <c r="C823" t="s">
        <v>12037</v>
      </c>
      <c r="D823" t="s">
        <v>12038</v>
      </c>
      <c r="E823" t="s">
        <v>2654</v>
      </c>
      <c r="F823" t="s">
        <v>2655</v>
      </c>
      <c r="G823" s="712">
        <v>0</v>
      </c>
      <c r="H823">
        <v>0</v>
      </c>
      <c r="I823" s="713">
        <v>0</v>
      </c>
      <c r="J823" s="711">
        <v>3536.12</v>
      </c>
      <c r="K823" s="711">
        <v>77484.36</v>
      </c>
      <c r="L823">
        <v>0</v>
      </c>
      <c r="M823">
        <v>0</v>
      </c>
      <c r="N823" s="711">
        <v>3536.12</v>
      </c>
      <c r="O823" s="711">
        <v>77484.36</v>
      </c>
      <c r="P823" s="711">
        <v>-73948.240000000005</v>
      </c>
      <c r="Q823" s="724" t="str">
        <f>VLOOKUP($E823,SP_2024_v28062025!$E$2:$M$1751,9,FALSE)</f>
        <v>PAA100</v>
      </c>
    </row>
    <row r="824" spans="1:17" ht="15.75" thickBot="1">
      <c r="A824">
        <v>2</v>
      </c>
      <c r="B824" t="s">
        <v>12022</v>
      </c>
      <c r="C824" t="s">
        <v>12037</v>
      </c>
      <c r="D824" t="s">
        <v>12038</v>
      </c>
      <c r="E824" t="s">
        <v>12039</v>
      </c>
      <c r="F824" t="s">
        <v>12040</v>
      </c>
      <c r="G824" s="712">
        <v>0</v>
      </c>
      <c r="H824">
        <v>0</v>
      </c>
      <c r="I824" s="713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</row>
    <row r="825" spans="1:17" ht="15.75" thickBot="1">
      <c r="A825" s="727">
        <v>2</v>
      </c>
      <c r="B825" s="727" t="s">
        <v>12022</v>
      </c>
      <c r="C825" s="727" t="s">
        <v>12041</v>
      </c>
      <c r="D825" s="727"/>
      <c r="E825" s="727"/>
      <c r="F825" s="745" t="s">
        <v>2656</v>
      </c>
      <c r="G825" s="738">
        <v>0</v>
      </c>
      <c r="H825" s="738">
        <v>0</v>
      </c>
      <c r="I825" s="738">
        <v>0</v>
      </c>
      <c r="J825" s="738">
        <v>0</v>
      </c>
      <c r="K825" s="738">
        <v>0</v>
      </c>
      <c r="L825" s="738">
        <v>0</v>
      </c>
      <c r="M825" s="738">
        <v>0</v>
      </c>
      <c r="N825" s="738">
        <v>0</v>
      </c>
      <c r="O825" s="738">
        <v>0</v>
      </c>
      <c r="P825" s="738">
        <v>0</v>
      </c>
    </row>
    <row r="826" spans="1:17" ht="15.75" thickBot="1">
      <c r="A826" s="727">
        <v>2</v>
      </c>
      <c r="B826" s="727" t="s">
        <v>12022</v>
      </c>
      <c r="C826" s="727" t="s">
        <v>12041</v>
      </c>
      <c r="D826" s="727" t="s">
        <v>12042</v>
      </c>
      <c r="E826" s="727"/>
      <c r="F826" s="729" t="s">
        <v>2661</v>
      </c>
      <c r="G826" s="738">
        <v>0</v>
      </c>
      <c r="H826" s="738">
        <v>0</v>
      </c>
      <c r="I826" s="738">
        <v>0</v>
      </c>
      <c r="J826" s="738">
        <v>0</v>
      </c>
      <c r="K826" s="738">
        <v>0</v>
      </c>
      <c r="L826" s="738">
        <v>0</v>
      </c>
      <c r="M826" s="738">
        <v>0</v>
      </c>
      <c r="N826" s="738">
        <v>0</v>
      </c>
      <c r="O826" s="738">
        <v>0</v>
      </c>
      <c r="P826" s="738">
        <v>0</v>
      </c>
    </row>
    <row r="827" spans="1:17" ht="15.75" thickBot="1">
      <c r="A827">
        <v>2</v>
      </c>
      <c r="B827" t="s">
        <v>12022</v>
      </c>
      <c r="C827" t="s">
        <v>12041</v>
      </c>
      <c r="D827" t="s">
        <v>12042</v>
      </c>
      <c r="E827" t="s">
        <v>2660</v>
      </c>
      <c r="F827" t="s">
        <v>2661</v>
      </c>
      <c r="G827" s="712">
        <v>0</v>
      </c>
      <c r="H827">
        <v>0</v>
      </c>
      <c r="I827" s="713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 s="724" t="str">
        <f>VLOOKUP($E827,SP_2024_v28062025!$E$2:$M$1751,9,FALSE)</f>
        <v>PAA120</v>
      </c>
    </row>
    <row r="828" spans="1:17" ht="15.75" thickBot="1">
      <c r="A828" s="727">
        <v>2</v>
      </c>
      <c r="B828" s="727" t="s">
        <v>12022</v>
      </c>
      <c r="C828" s="727" t="s">
        <v>12041</v>
      </c>
      <c r="D828" s="727" t="s">
        <v>12043</v>
      </c>
      <c r="E828" s="727"/>
      <c r="F828" s="729" t="s">
        <v>2665</v>
      </c>
      <c r="G828" s="738">
        <v>0</v>
      </c>
      <c r="H828" s="738">
        <v>0</v>
      </c>
      <c r="I828" s="738">
        <v>0</v>
      </c>
      <c r="J828" s="738">
        <v>0</v>
      </c>
      <c r="K828" s="738">
        <v>0</v>
      </c>
      <c r="L828" s="738">
        <v>0</v>
      </c>
      <c r="M828" s="738">
        <v>0</v>
      </c>
      <c r="N828" s="738">
        <v>0</v>
      </c>
      <c r="O828" s="738">
        <v>0</v>
      </c>
      <c r="P828" s="738">
        <v>0</v>
      </c>
    </row>
    <row r="829" spans="1:17" ht="15.75" thickBot="1">
      <c r="A829">
        <v>2</v>
      </c>
      <c r="B829" t="s">
        <v>12022</v>
      </c>
      <c r="C829" t="s">
        <v>12041</v>
      </c>
      <c r="D829" t="s">
        <v>12043</v>
      </c>
      <c r="E829" t="s">
        <v>2664</v>
      </c>
      <c r="F829" t="s">
        <v>2665</v>
      </c>
      <c r="G829" s="712">
        <v>0</v>
      </c>
      <c r="H829">
        <v>0</v>
      </c>
      <c r="I829" s="713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 s="724" t="str">
        <f>VLOOKUP($E829,SP_2024_v28062025!$E$2:$M$1751,9,FALSE)</f>
        <v>PAA130</v>
      </c>
    </row>
    <row r="830" spans="1:17" ht="15.75" thickBot="1">
      <c r="A830" s="727">
        <v>2</v>
      </c>
      <c r="B830" s="727" t="s">
        <v>12022</v>
      </c>
      <c r="C830" s="727" t="s">
        <v>12041</v>
      </c>
      <c r="D830" s="727" t="s">
        <v>12044</v>
      </c>
      <c r="E830" s="727"/>
      <c r="F830" s="729" t="s">
        <v>2669</v>
      </c>
      <c r="G830" s="738">
        <v>0</v>
      </c>
      <c r="H830" s="738">
        <v>0</v>
      </c>
      <c r="I830" s="738">
        <v>0</v>
      </c>
      <c r="J830" s="738">
        <v>0</v>
      </c>
      <c r="K830" s="738">
        <v>0</v>
      </c>
      <c r="L830" s="738">
        <v>0</v>
      </c>
      <c r="M830" s="738">
        <v>0</v>
      </c>
      <c r="N830" s="738">
        <v>0</v>
      </c>
      <c r="O830" s="738">
        <v>0</v>
      </c>
      <c r="P830" s="738">
        <v>0</v>
      </c>
    </row>
    <row r="831" spans="1:17" ht="15.75" thickBot="1">
      <c r="A831">
        <v>2</v>
      </c>
      <c r="B831" t="s">
        <v>12022</v>
      </c>
      <c r="C831" t="s">
        <v>12041</v>
      </c>
      <c r="D831" t="s">
        <v>12044</v>
      </c>
      <c r="E831" t="s">
        <v>2668</v>
      </c>
      <c r="F831" t="s">
        <v>2669</v>
      </c>
      <c r="G831" s="712">
        <v>0</v>
      </c>
      <c r="H831">
        <v>0</v>
      </c>
      <c r="I831" s="713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 s="724" t="str">
        <f>VLOOKUP($E831,SP_2024_v28062025!$E$2:$M$1751,9,FALSE)</f>
        <v>PAA140</v>
      </c>
    </row>
    <row r="832" spans="1:17" ht="15.75" thickBot="1">
      <c r="A832" s="727">
        <v>2</v>
      </c>
      <c r="B832" s="727" t="s">
        <v>12022</v>
      </c>
      <c r="C832" s="727" t="s">
        <v>12041</v>
      </c>
      <c r="D832" s="727" t="s">
        <v>12045</v>
      </c>
      <c r="E832" s="727"/>
      <c r="F832" s="729" t="s">
        <v>2673</v>
      </c>
      <c r="G832" s="738">
        <v>0</v>
      </c>
      <c r="H832" s="738">
        <v>0</v>
      </c>
      <c r="I832" s="738">
        <v>0</v>
      </c>
      <c r="J832" s="738">
        <v>0</v>
      </c>
      <c r="K832" s="738">
        <v>0</v>
      </c>
      <c r="L832" s="738">
        <v>0</v>
      </c>
      <c r="M832" s="738">
        <v>0</v>
      </c>
      <c r="N832" s="738">
        <v>0</v>
      </c>
      <c r="O832" s="738">
        <v>0</v>
      </c>
      <c r="P832" s="738">
        <v>0</v>
      </c>
    </row>
    <row r="833" spans="1:17" ht="15.75" thickBot="1">
      <c r="A833">
        <v>2</v>
      </c>
      <c r="B833" t="s">
        <v>12022</v>
      </c>
      <c r="C833" t="s">
        <v>12041</v>
      </c>
      <c r="D833" t="s">
        <v>12045</v>
      </c>
      <c r="E833" t="s">
        <v>2672</v>
      </c>
      <c r="F833" t="s">
        <v>2673</v>
      </c>
      <c r="G833" s="712">
        <v>0</v>
      </c>
      <c r="H833">
        <v>0</v>
      </c>
      <c r="I833" s="71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 s="724" t="str">
        <f>VLOOKUP($E833,SP_2024_v28062025!$E$2:$M$1751,9,FALSE)</f>
        <v>PAA150</v>
      </c>
    </row>
    <row r="834" spans="1:17" ht="15.75" thickBot="1">
      <c r="A834" s="727">
        <v>2</v>
      </c>
      <c r="B834" s="727" t="s">
        <v>12022</v>
      </c>
      <c r="C834" s="727" t="s">
        <v>12041</v>
      </c>
      <c r="D834" s="727" t="s">
        <v>12046</v>
      </c>
      <c r="E834" s="727"/>
      <c r="F834" s="729" t="s">
        <v>2692</v>
      </c>
      <c r="G834" s="738">
        <v>0</v>
      </c>
      <c r="H834" s="738">
        <v>0</v>
      </c>
      <c r="I834" s="738">
        <v>0</v>
      </c>
      <c r="J834" s="738">
        <v>0</v>
      </c>
      <c r="K834" s="738">
        <v>0</v>
      </c>
      <c r="L834" s="738">
        <v>0</v>
      </c>
      <c r="M834" s="738">
        <v>0</v>
      </c>
      <c r="N834" s="738">
        <v>0</v>
      </c>
      <c r="O834" s="738">
        <v>0</v>
      </c>
      <c r="P834" s="738">
        <v>0</v>
      </c>
    </row>
    <row r="835" spans="1:17">
      <c r="A835">
        <v>2</v>
      </c>
      <c r="B835" t="s">
        <v>12022</v>
      </c>
      <c r="C835" t="s">
        <v>12041</v>
      </c>
      <c r="D835" t="s">
        <v>12046</v>
      </c>
      <c r="E835" t="s">
        <v>2676</v>
      </c>
      <c r="F835" t="s">
        <v>2677</v>
      </c>
      <c r="G835" s="712">
        <v>0</v>
      </c>
      <c r="H835">
        <v>0</v>
      </c>
      <c r="I835" s="713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 s="724" t="str">
        <f>VLOOKUP($E835,SP_2024_v28062025!$E$2:$M$1751,9,FALSE)</f>
        <v>PAA160</v>
      </c>
    </row>
    <row r="836" spans="1:17">
      <c r="A836">
        <v>2</v>
      </c>
      <c r="B836" t="s">
        <v>12022</v>
      </c>
      <c r="C836" t="s">
        <v>12041</v>
      </c>
      <c r="D836" t="s">
        <v>12046</v>
      </c>
      <c r="E836" t="s">
        <v>2678</v>
      </c>
      <c r="F836" t="s">
        <v>2679</v>
      </c>
      <c r="G836" s="712">
        <v>0</v>
      </c>
      <c r="H836">
        <v>0</v>
      </c>
      <c r="I836" s="713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 s="724" t="str">
        <f>VLOOKUP($E836,SP_2024_v28062025!$E$2:$M$1751,9,FALSE)</f>
        <v>PAA160</v>
      </c>
    </row>
    <row r="837" spans="1:17" ht="15.75" thickBot="1">
      <c r="A837">
        <v>2</v>
      </c>
      <c r="B837" t="s">
        <v>12022</v>
      </c>
      <c r="C837" t="s">
        <v>12041</v>
      </c>
      <c r="D837" t="s">
        <v>12046</v>
      </c>
      <c r="E837" t="s">
        <v>2680</v>
      </c>
      <c r="F837" t="s">
        <v>2681</v>
      </c>
      <c r="G837" s="712">
        <v>0</v>
      </c>
      <c r="H837">
        <v>0</v>
      </c>
      <c r="I837" s="713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 s="724" t="str">
        <f>VLOOKUP($E837,SP_2024_v28062025!$E$2:$M$1751,9,FALSE)</f>
        <v>PAA160</v>
      </c>
    </row>
    <row r="838" spans="1:17" ht="15.75" thickBot="1">
      <c r="A838" s="727">
        <v>2</v>
      </c>
      <c r="B838" s="727" t="s">
        <v>12022</v>
      </c>
      <c r="C838" s="727" t="s">
        <v>12047</v>
      </c>
      <c r="D838" s="727"/>
      <c r="E838" s="727"/>
      <c r="F838" s="745" t="s">
        <v>2682</v>
      </c>
      <c r="G838" s="738">
        <v>0</v>
      </c>
      <c r="H838" s="738">
        <v>0</v>
      </c>
      <c r="I838" s="738">
        <v>0</v>
      </c>
      <c r="J838" s="738">
        <v>0</v>
      </c>
      <c r="K838" s="738">
        <v>0</v>
      </c>
      <c r="L838" s="738">
        <v>0</v>
      </c>
      <c r="M838" s="738">
        <v>0</v>
      </c>
      <c r="N838" s="738">
        <v>0</v>
      </c>
      <c r="O838" s="738">
        <v>0</v>
      </c>
      <c r="P838" s="738">
        <v>0</v>
      </c>
    </row>
    <row r="839" spans="1:17" ht="15.75" thickBot="1">
      <c r="A839" s="727">
        <v>2</v>
      </c>
      <c r="B839" s="727" t="s">
        <v>12022</v>
      </c>
      <c r="C839" s="727" t="s">
        <v>12047</v>
      </c>
      <c r="D839" s="727" t="s">
        <v>12048</v>
      </c>
      <c r="E839" s="727"/>
      <c r="F839" s="729" t="s">
        <v>2687</v>
      </c>
      <c r="G839" s="738">
        <v>0</v>
      </c>
      <c r="H839" s="738">
        <v>0</v>
      </c>
      <c r="I839" s="738">
        <v>0</v>
      </c>
      <c r="J839" s="738">
        <v>0</v>
      </c>
      <c r="K839" s="738">
        <v>0</v>
      </c>
      <c r="L839" s="738">
        <v>0</v>
      </c>
      <c r="M839" s="738">
        <v>0</v>
      </c>
      <c r="N839" s="738">
        <v>0</v>
      </c>
      <c r="O839" s="738">
        <v>0</v>
      </c>
      <c r="P839" s="738">
        <v>0</v>
      </c>
    </row>
    <row r="840" spans="1:17" ht="15.75" thickBot="1">
      <c r="A840">
        <v>2</v>
      </c>
      <c r="B840" t="s">
        <v>12022</v>
      </c>
      <c r="C840" t="s">
        <v>12047</v>
      </c>
      <c r="D840" t="s">
        <v>12048</v>
      </c>
      <c r="E840" t="s">
        <v>2686</v>
      </c>
      <c r="F840" t="s">
        <v>2687</v>
      </c>
      <c r="G840" s="712">
        <v>0</v>
      </c>
      <c r="H840">
        <v>0</v>
      </c>
      <c r="I840" s="713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 s="724" t="str">
        <f>VLOOKUP($E840,SP_2024_v28062025!$E$2:$M$1751,9,FALSE)</f>
        <v>PAA180</v>
      </c>
    </row>
    <row r="841" spans="1:17" ht="15.75" thickBot="1">
      <c r="A841" s="727">
        <v>2</v>
      </c>
      <c r="B841" s="727" t="s">
        <v>12022</v>
      </c>
      <c r="C841" s="727" t="s">
        <v>12047</v>
      </c>
      <c r="D841" s="727" t="s">
        <v>12049</v>
      </c>
      <c r="E841" s="727"/>
      <c r="F841" s="729" t="s">
        <v>2691</v>
      </c>
      <c r="G841" s="738">
        <v>0</v>
      </c>
      <c r="H841" s="738">
        <v>0</v>
      </c>
      <c r="I841" s="738">
        <v>0</v>
      </c>
      <c r="J841" s="738">
        <v>0</v>
      </c>
      <c r="K841" s="738">
        <v>0</v>
      </c>
      <c r="L841" s="738">
        <v>0</v>
      </c>
      <c r="M841" s="738">
        <v>0</v>
      </c>
      <c r="N841" s="738">
        <v>0</v>
      </c>
      <c r="O841" s="738">
        <v>0</v>
      </c>
      <c r="P841" s="738">
        <v>0</v>
      </c>
    </row>
    <row r="842" spans="1:17" ht="15.75" thickBot="1">
      <c r="A842">
        <v>2</v>
      </c>
      <c r="B842" t="s">
        <v>12022</v>
      </c>
      <c r="C842" t="s">
        <v>12047</v>
      </c>
      <c r="D842" t="s">
        <v>12049</v>
      </c>
      <c r="E842" t="s">
        <v>2690</v>
      </c>
      <c r="F842" t="s">
        <v>2691</v>
      </c>
      <c r="G842" s="712">
        <v>0</v>
      </c>
      <c r="H842">
        <v>0</v>
      </c>
      <c r="I842" s="713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 s="724" t="str">
        <f>VLOOKUP($E842,SP_2024_v28062025!$E$2:$M$1751,9,FALSE)</f>
        <v>PAA190</v>
      </c>
    </row>
    <row r="843" spans="1:17" ht="15.75" thickBot="1">
      <c r="A843" s="727">
        <v>2</v>
      </c>
      <c r="B843" s="727" t="s">
        <v>12022</v>
      </c>
      <c r="C843" s="727" t="s">
        <v>12047</v>
      </c>
      <c r="D843" s="727" t="s">
        <v>12050</v>
      </c>
      <c r="E843" s="727"/>
      <c r="F843" s="729" t="s">
        <v>12051</v>
      </c>
      <c r="G843" s="738">
        <v>0</v>
      </c>
      <c r="H843" s="738">
        <v>0</v>
      </c>
      <c r="I843" s="738">
        <v>0</v>
      </c>
      <c r="J843" s="738">
        <v>0</v>
      </c>
      <c r="K843" s="738">
        <v>0</v>
      </c>
      <c r="L843" s="738">
        <v>0</v>
      </c>
      <c r="M843" s="738">
        <v>0</v>
      </c>
      <c r="N843" s="738">
        <v>0</v>
      </c>
      <c r="O843" s="738">
        <v>0</v>
      </c>
      <c r="P843" s="738">
        <v>0</v>
      </c>
    </row>
    <row r="844" spans="1:17">
      <c r="A844">
        <v>2</v>
      </c>
      <c r="B844" t="s">
        <v>12022</v>
      </c>
      <c r="C844" t="s">
        <v>12047</v>
      </c>
      <c r="D844" t="s">
        <v>12050</v>
      </c>
      <c r="E844" t="s">
        <v>2694</v>
      </c>
      <c r="F844" t="s">
        <v>2695</v>
      </c>
      <c r="G844" s="712">
        <v>0</v>
      </c>
      <c r="H844">
        <v>0</v>
      </c>
      <c r="I844" s="713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 s="724" t="str">
        <f>VLOOKUP($E844,SP_2024_v28062025!$E$2:$M$1751,9,FALSE)</f>
        <v>PAA200</v>
      </c>
    </row>
    <row r="845" spans="1:17">
      <c r="A845">
        <v>2</v>
      </c>
      <c r="B845" t="s">
        <v>12022</v>
      </c>
      <c r="C845" t="s">
        <v>12047</v>
      </c>
      <c r="D845" t="s">
        <v>12050</v>
      </c>
      <c r="E845" t="s">
        <v>2697</v>
      </c>
      <c r="F845" t="s">
        <v>2698</v>
      </c>
      <c r="G845" s="712">
        <v>0</v>
      </c>
      <c r="H845">
        <v>0</v>
      </c>
      <c r="I845" s="713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 s="724" t="str">
        <f>VLOOKUP($E845,SP_2024_v28062025!$E$2:$M$1751,9,FALSE)</f>
        <v>PAA200</v>
      </c>
    </row>
    <row r="846" spans="1:17">
      <c r="A846">
        <v>2</v>
      </c>
      <c r="B846" t="s">
        <v>12022</v>
      </c>
      <c r="C846" t="s">
        <v>12047</v>
      </c>
      <c r="D846" t="s">
        <v>12050</v>
      </c>
      <c r="E846" t="s">
        <v>2699</v>
      </c>
      <c r="F846" t="s">
        <v>2700</v>
      </c>
      <c r="G846" s="712">
        <v>0</v>
      </c>
      <c r="H846">
        <v>0</v>
      </c>
      <c r="I846" s="713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 s="724" t="str">
        <f>VLOOKUP($E846,SP_2024_v28062025!$E$2:$M$1751,9,FALSE)</f>
        <v>PAA200</v>
      </c>
    </row>
    <row r="847" spans="1:17">
      <c r="A847">
        <v>2</v>
      </c>
      <c r="B847" t="s">
        <v>12022</v>
      </c>
      <c r="C847" t="s">
        <v>12047</v>
      </c>
      <c r="D847" t="s">
        <v>12050</v>
      </c>
      <c r="E847" t="s">
        <v>2701</v>
      </c>
      <c r="F847" t="s">
        <v>2702</v>
      </c>
      <c r="G847" s="712">
        <v>0</v>
      </c>
      <c r="H847">
        <v>0</v>
      </c>
      <c r="I847" s="713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 s="724" t="str">
        <f>VLOOKUP($E847,SP_2024_v28062025!$E$2:$M$1751,9,FALSE)</f>
        <v>PAA200</v>
      </c>
    </row>
    <row r="848" spans="1:17">
      <c r="A848">
        <v>2</v>
      </c>
      <c r="B848" t="s">
        <v>12022</v>
      </c>
      <c r="C848" t="s">
        <v>12047</v>
      </c>
      <c r="D848" t="s">
        <v>12050</v>
      </c>
      <c r="E848" t="s">
        <v>2703</v>
      </c>
      <c r="F848" t="s">
        <v>2704</v>
      </c>
      <c r="G848" s="712">
        <v>0</v>
      </c>
      <c r="H848">
        <v>0</v>
      </c>
      <c r="I848" s="713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 s="724" t="str">
        <f>VLOOKUP($E848,SP_2024_v28062025!$E$2:$M$1751,9,FALSE)</f>
        <v>PAA200</v>
      </c>
    </row>
    <row r="849" spans="1:19">
      <c r="A849">
        <v>2</v>
      </c>
      <c r="B849" t="s">
        <v>12022</v>
      </c>
      <c r="C849" t="s">
        <v>12047</v>
      </c>
      <c r="D849" t="s">
        <v>12050</v>
      </c>
      <c r="E849" t="s">
        <v>2705</v>
      </c>
      <c r="F849" t="s">
        <v>2706</v>
      </c>
      <c r="G849" s="712">
        <v>0</v>
      </c>
      <c r="H849">
        <v>0</v>
      </c>
      <c r="I849" s="713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 s="724" t="str">
        <f>VLOOKUP($E849,SP_2024_v28062025!$E$2:$M$1751,9,FALSE)</f>
        <v>PAA200</v>
      </c>
    </row>
    <row r="850" spans="1:19">
      <c r="A850">
        <v>2</v>
      </c>
      <c r="B850" t="s">
        <v>12022</v>
      </c>
      <c r="C850" t="s">
        <v>12047</v>
      </c>
      <c r="D850" t="s">
        <v>12050</v>
      </c>
      <c r="E850" t="s">
        <v>2707</v>
      </c>
      <c r="F850" t="s">
        <v>2708</v>
      </c>
      <c r="G850" s="712">
        <v>0</v>
      </c>
      <c r="H850">
        <v>0</v>
      </c>
      <c r="I850" s="713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 s="724" t="str">
        <f>VLOOKUP($E850,SP_2024_v28062025!$E$2:$M$1751,9,FALSE)</f>
        <v>PAA200</v>
      </c>
    </row>
    <row r="851" spans="1:19">
      <c r="A851">
        <v>2</v>
      </c>
      <c r="B851" t="s">
        <v>12022</v>
      </c>
      <c r="C851" t="s">
        <v>12047</v>
      </c>
      <c r="D851" t="s">
        <v>12050</v>
      </c>
      <c r="E851" t="s">
        <v>2709</v>
      </c>
      <c r="F851" t="s">
        <v>2710</v>
      </c>
      <c r="G851" s="712">
        <v>0</v>
      </c>
      <c r="H851">
        <v>0</v>
      </c>
      <c r="I851" s="713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 s="724" t="str">
        <f>VLOOKUP($E851,SP_2024_v28062025!$E$2:$M$1751,9,FALSE)</f>
        <v>PAA200</v>
      </c>
    </row>
    <row r="852" spans="1:19">
      <c r="A852">
        <v>2</v>
      </c>
      <c r="B852" t="s">
        <v>12022</v>
      </c>
      <c r="C852" t="s">
        <v>12047</v>
      </c>
      <c r="D852" t="s">
        <v>12050</v>
      </c>
      <c r="E852" t="s">
        <v>2711</v>
      </c>
      <c r="F852" t="s">
        <v>2712</v>
      </c>
      <c r="G852" s="712">
        <v>0</v>
      </c>
      <c r="H852">
        <v>0</v>
      </c>
      <c r="I852" s="713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 s="724" t="str">
        <f>VLOOKUP($E852,SP_2024_v28062025!$E$2:$M$1751,9,FALSE)</f>
        <v>PAA200</v>
      </c>
    </row>
    <row r="853" spans="1:19">
      <c r="A853">
        <v>2</v>
      </c>
      <c r="B853" t="s">
        <v>12022</v>
      </c>
      <c r="C853" t="s">
        <v>12047</v>
      </c>
      <c r="D853" t="s">
        <v>12050</v>
      </c>
      <c r="E853" t="s">
        <v>2713</v>
      </c>
      <c r="F853" t="s">
        <v>2714</v>
      </c>
      <c r="G853" s="712">
        <v>0</v>
      </c>
      <c r="H853">
        <v>0</v>
      </c>
      <c r="I853" s="71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 s="724" t="str">
        <f>VLOOKUP($E853,SP_2024_v28062025!$E$2:$M$1751,9,FALSE)</f>
        <v>PAA200</v>
      </c>
    </row>
    <row r="854" spans="1:19">
      <c r="A854">
        <v>2</v>
      </c>
      <c r="B854" t="s">
        <v>12022</v>
      </c>
      <c r="C854" t="s">
        <v>12047</v>
      </c>
      <c r="D854" t="s">
        <v>12050</v>
      </c>
      <c r="E854" t="s">
        <v>2715</v>
      </c>
      <c r="F854" t="s">
        <v>2716</v>
      </c>
      <c r="G854" s="712">
        <v>0</v>
      </c>
      <c r="H854">
        <v>0</v>
      </c>
      <c r="I854" s="713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 s="724" t="str">
        <f>VLOOKUP($E854,SP_2024_v28062025!$E$2:$M$1751,9,FALSE)</f>
        <v>PAA200</v>
      </c>
    </row>
    <row r="855" spans="1:19" ht="15.75" thickBot="1">
      <c r="A855">
        <v>2</v>
      </c>
      <c r="B855" t="s">
        <v>12022</v>
      </c>
      <c r="C855" t="s">
        <v>12047</v>
      </c>
      <c r="D855" t="s">
        <v>12050</v>
      </c>
      <c r="E855" t="s">
        <v>2717</v>
      </c>
      <c r="F855" t="s">
        <v>2718</v>
      </c>
      <c r="G855" s="712">
        <v>0</v>
      </c>
      <c r="H855">
        <v>0</v>
      </c>
      <c r="I855" s="713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 s="724" t="str">
        <f>VLOOKUP($E855,SP_2024_v28062025!$E$2:$M$1751,9,FALSE)</f>
        <v>PAA200</v>
      </c>
    </row>
    <row r="856" spans="1:19" ht="15.75" thickBot="1">
      <c r="A856" s="727">
        <v>2</v>
      </c>
      <c r="B856" s="727" t="s">
        <v>12022</v>
      </c>
      <c r="C856" s="727" t="s">
        <v>12023</v>
      </c>
      <c r="D856" s="727"/>
      <c r="E856" s="727"/>
      <c r="F856" s="745" t="s">
        <v>2391</v>
      </c>
      <c r="G856" s="739">
        <v>459230.64</v>
      </c>
      <c r="H856" s="739">
        <v>17558051.760000002</v>
      </c>
      <c r="I856" s="739">
        <v>17098821.120000001</v>
      </c>
      <c r="J856" s="738">
        <v>0</v>
      </c>
      <c r="K856" s="738">
        <v>0</v>
      </c>
      <c r="L856" s="738">
        <v>0</v>
      </c>
      <c r="M856" s="738">
        <v>0</v>
      </c>
      <c r="N856" s="739">
        <v>459230.64</v>
      </c>
      <c r="O856" s="739">
        <v>17558051.760000002</v>
      </c>
      <c r="P856" s="739">
        <v>-17098821.120000001</v>
      </c>
    </row>
    <row r="857" spans="1:19" ht="15.75" thickBot="1">
      <c r="A857" s="727">
        <v>2</v>
      </c>
      <c r="B857" s="727" t="s">
        <v>12022</v>
      </c>
      <c r="C857" s="727" t="s">
        <v>12023</v>
      </c>
      <c r="D857" s="727" t="s">
        <v>12024</v>
      </c>
      <c r="E857" s="727"/>
      <c r="F857" s="729" t="s">
        <v>2391</v>
      </c>
      <c r="G857" s="739">
        <v>459230.64</v>
      </c>
      <c r="H857" s="739">
        <v>17558051.760000002</v>
      </c>
      <c r="I857" s="739">
        <v>17098821.120000001</v>
      </c>
      <c r="J857" s="738">
        <v>0</v>
      </c>
      <c r="K857" s="738">
        <v>0</v>
      </c>
      <c r="L857" s="738">
        <v>0</v>
      </c>
      <c r="M857" s="738">
        <v>0</v>
      </c>
      <c r="N857" s="739">
        <v>459230.64</v>
      </c>
      <c r="O857" s="739">
        <v>17558051.760000002</v>
      </c>
      <c r="P857" s="739">
        <v>-17098821.120000001</v>
      </c>
    </row>
    <row r="858" spans="1:19">
      <c r="A858">
        <v>2</v>
      </c>
      <c r="B858" t="s">
        <v>12022</v>
      </c>
      <c r="C858" t="s">
        <v>12023</v>
      </c>
      <c r="D858" t="s">
        <v>12024</v>
      </c>
      <c r="E858" t="s">
        <v>2721</v>
      </c>
      <c r="F858" t="s">
        <v>2722</v>
      </c>
      <c r="G858" s="712">
        <v>0</v>
      </c>
      <c r="H858" s="711">
        <v>17306068.5</v>
      </c>
      <c r="I858" s="715">
        <v>17306068.5</v>
      </c>
      <c r="J858">
        <v>0</v>
      </c>
      <c r="K858">
        <v>0</v>
      </c>
      <c r="L858">
        <v>0</v>
      </c>
      <c r="M858">
        <v>0</v>
      </c>
      <c r="N858">
        <v>0</v>
      </c>
      <c r="O858" s="711">
        <v>17306068.5</v>
      </c>
      <c r="P858" s="711">
        <v>-17306068.5</v>
      </c>
      <c r="Q858" s="724" t="str">
        <f>VLOOKUP($E858,SP_2024_v28062025!$E$2:$M$1751,9,FALSE)</f>
        <v>PAA210</v>
      </c>
      <c r="S858" s="711"/>
    </row>
    <row r="859" spans="1:19">
      <c r="A859">
        <v>2</v>
      </c>
      <c r="B859" t="s">
        <v>12022</v>
      </c>
      <c r="C859" t="s">
        <v>12023</v>
      </c>
      <c r="D859" t="s">
        <v>12024</v>
      </c>
      <c r="E859" t="s">
        <v>2724</v>
      </c>
      <c r="F859" t="s">
        <v>2725</v>
      </c>
      <c r="G859" s="712">
        <v>0</v>
      </c>
      <c r="H859">
        <v>0</v>
      </c>
      <c r="I859" s="713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 s="724" t="str">
        <f>VLOOKUP($E859,SP_2024_v28062025!$E$2:$M$1751,9,FALSE)</f>
        <v>PAA210</v>
      </c>
    </row>
    <row r="860" spans="1:19">
      <c r="A860">
        <v>2</v>
      </c>
      <c r="B860" t="s">
        <v>12022</v>
      </c>
      <c r="C860" t="s">
        <v>12023</v>
      </c>
      <c r="D860" t="s">
        <v>12024</v>
      </c>
      <c r="E860" t="s">
        <v>2726</v>
      </c>
      <c r="F860" t="s">
        <v>2727</v>
      </c>
      <c r="G860" s="714">
        <v>459230.64</v>
      </c>
      <c r="H860">
        <v>0</v>
      </c>
      <c r="I860" s="715">
        <v>459230.64</v>
      </c>
      <c r="J860">
        <v>0</v>
      </c>
      <c r="K860">
        <v>0</v>
      </c>
      <c r="L860">
        <v>0</v>
      </c>
      <c r="M860">
        <v>0</v>
      </c>
      <c r="N860" s="711">
        <v>459230.64</v>
      </c>
      <c r="O860">
        <v>0</v>
      </c>
      <c r="P860" s="711">
        <v>459230.64</v>
      </c>
      <c r="Q860" s="724" t="str">
        <f>VLOOKUP($E860,SP_2024_v28062025!$E$2:$M$1751,9,FALSE)</f>
        <v>PAA210</v>
      </c>
    </row>
    <row r="861" spans="1:19">
      <c r="A861">
        <v>2</v>
      </c>
      <c r="B861" t="s">
        <v>12022</v>
      </c>
      <c r="C861" t="s">
        <v>12023</v>
      </c>
      <c r="D861" t="s">
        <v>12024</v>
      </c>
      <c r="E861" t="s">
        <v>2728</v>
      </c>
      <c r="F861" t="s">
        <v>2729</v>
      </c>
      <c r="G861" s="712">
        <v>0</v>
      </c>
      <c r="H861">
        <v>0</v>
      </c>
      <c r="I861" s="713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 s="724" t="str">
        <f>VLOOKUP($E861,SP_2024_v28062025!$E$2:$M$1751,9,FALSE)</f>
        <v>PAA210</v>
      </c>
    </row>
    <row r="862" spans="1:19">
      <c r="A862">
        <v>2</v>
      </c>
      <c r="B862" t="s">
        <v>12022</v>
      </c>
      <c r="C862" t="s">
        <v>12023</v>
      </c>
      <c r="D862" t="s">
        <v>12024</v>
      </c>
      <c r="E862" t="s">
        <v>2730</v>
      </c>
      <c r="F862" t="s">
        <v>2731</v>
      </c>
      <c r="G862" s="712">
        <v>0</v>
      </c>
      <c r="H862">
        <v>0</v>
      </c>
      <c r="I862" s="713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 s="724" t="str">
        <f>VLOOKUP($E862,SP_2024_v28062025!$E$2:$M$1751,9,FALSE)</f>
        <v>PAA210</v>
      </c>
    </row>
    <row r="863" spans="1:19">
      <c r="A863">
        <v>2</v>
      </c>
      <c r="B863" t="s">
        <v>12022</v>
      </c>
      <c r="C863" t="s">
        <v>12023</v>
      </c>
      <c r="D863" t="s">
        <v>12024</v>
      </c>
      <c r="E863" t="s">
        <v>2732</v>
      </c>
      <c r="F863" t="s">
        <v>2733</v>
      </c>
      <c r="G863" s="712">
        <v>0</v>
      </c>
      <c r="H863">
        <v>0</v>
      </c>
      <c r="I863" s="71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 s="724" t="str">
        <f>VLOOKUP($E863,SP_2024_v28062025!$E$2:$M$1751,9,FALSE)</f>
        <v>PAA210</v>
      </c>
    </row>
    <row r="864" spans="1:19">
      <c r="A864">
        <v>2</v>
      </c>
      <c r="B864" t="s">
        <v>12022</v>
      </c>
      <c r="C864" t="s">
        <v>12023</v>
      </c>
      <c r="D864" t="s">
        <v>12024</v>
      </c>
      <c r="E864" t="s">
        <v>2734</v>
      </c>
      <c r="F864" t="s">
        <v>2735</v>
      </c>
      <c r="G864" s="712">
        <v>0</v>
      </c>
      <c r="H864">
        <v>0</v>
      </c>
      <c r="I864" s="713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 s="724" t="str">
        <f>VLOOKUP($E864,SP_2024_v28062025!$E$2:$M$1751,9,FALSE)</f>
        <v>PAA210</v>
      </c>
    </row>
    <row r="865" spans="1:17">
      <c r="A865">
        <v>2</v>
      </c>
      <c r="B865" t="s">
        <v>12022</v>
      </c>
      <c r="C865" t="s">
        <v>12023</v>
      </c>
      <c r="D865" t="s">
        <v>12024</v>
      </c>
      <c r="E865" t="s">
        <v>2736</v>
      </c>
      <c r="F865" t="s">
        <v>2737</v>
      </c>
      <c r="G865" s="712">
        <v>0</v>
      </c>
      <c r="H865">
        <v>0</v>
      </c>
      <c r="I865" s="713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 s="724" t="str">
        <f>VLOOKUP($E865,SP_2024_v28062025!$E$2:$M$1751,9,FALSE)</f>
        <v>PAA210</v>
      </c>
    </row>
    <row r="866" spans="1:17">
      <c r="A866">
        <v>2</v>
      </c>
      <c r="B866" t="s">
        <v>12022</v>
      </c>
      <c r="C866" t="s">
        <v>12023</v>
      </c>
      <c r="D866" t="s">
        <v>12024</v>
      </c>
      <c r="E866" t="s">
        <v>2738</v>
      </c>
      <c r="F866" t="s">
        <v>2739</v>
      </c>
      <c r="G866" s="712">
        <v>0</v>
      </c>
      <c r="H866">
        <v>0</v>
      </c>
      <c r="I866" s="713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 s="724" t="str">
        <f>VLOOKUP($E866,SP_2024_v28062025!$E$2:$M$1751,9,FALSE)</f>
        <v>PAA210</v>
      </c>
    </row>
    <row r="867" spans="1:17">
      <c r="A867">
        <v>2</v>
      </c>
      <c r="B867" t="s">
        <v>12022</v>
      </c>
      <c r="C867" t="s">
        <v>12023</v>
      </c>
      <c r="D867" t="s">
        <v>12024</v>
      </c>
      <c r="E867" t="s">
        <v>2740</v>
      </c>
      <c r="F867" t="s">
        <v>2741</v>
      </c>
      <c r="G867" s="712">
        <v>0</v>
      </c>
      <c r="H867">
        <v>0</v>
      </c>
      <c r="I867" s="713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 s="724" t="str">
        <f>VLOOKUP($E867,SP_2024_v28062025!$E$2:$M$1751,9,FALSE)</f>
        <v>PAA210</v>
      </c>
    </row>
    <row r="868" spans="1:17">
      <c r="A868">
        <v>2</v>
      </c>
      <c r="B868" t="s">
        <v>12022</v>
      </c>
      <c r="C868" t="s">
        <v>12023</v>
      </c>
      <c r="D868" t="s">
        <v>12024</v>
      </c>
      <c r="E868" t="s">
        <v>2742</v>
      </c>
      <c r="F868" t="s">
        <v>2743</v>
      </c>
      <c r="G868" s="712">
        <v>0</v>
      </c>
      <c r="H868">
        <v>0</v>
      </c>
      <c r="I868" s="713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 s="724" t="str">
        <f>VLOOKUP($E868,SP_2024_v28062025!$E$2:$M$1751,9,FALSE)</f>
        <v>PAA210</v>
      </c>
    </row>
    <row r="869" spans="1:17">
      <c r="A869">
        <v>2</v>
      </c>
      <c r="B869" t="s">
        <v>12022</v>
      </c>
      <c r="C869" t="s">
        <v>12023</v>
      </c>
      <c r="D869" t="s">
        <v>12024</v>
      </c>
      <c r="E869" t="s">
        <v>2744</v>
      </c>
      <c r="F869" t="s">
        <v>2745</v>
      </c>
      <c r="G869" s="712">
        <v>0</v>
      </c>
      <c r="H869">
        <v>0</v>
      </c>
      <c r="I869" s="713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 s="724" t="str">
        <f>VLOOKUP($E869,SP_2024_v28062025!$E$2:$M$1751,9,FALSE)</f>
        <v>PAA210</v>
      </c>
    </row>
    <row r="870" spans="1:17">
      <c r="A870">
        <v>2</v>
      </c>
      <c r="B870" t="s">
        <v>12022</v>
      </c>
      <c r="C870" t="s">
        <v>12023</v>
      </c>
      <c r="D870" t="s">
        <v>12024</v>
      </c>
      <c r="E870" t="s">
        <v>2746</v>
      </c>
      <c r="F870" t="s">
        <v>2747</v>
      </c>
      <c r="G870" s="712">
        <v>0</v>
      </c>
      <c r="H870">
        <v>0</v>
      </c>
      <c r="I870" s="713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 s="724" t="str">
        <f>VLOOKUP($E870,SP_2024_v28062025!$E$2:$M$1751,9,FALSE)</f>
        <v>PAA210</v>
      </c>
    </row>
    <row r="871" spans="1:17">
      <c r="A871">
        <v>2</v>
      </c>
      <c r="B871" t="s">
        <v>12022</v>
      </c>
      <c r="C871" t="s">
        <v>12023</v>
      </c>
      <c r="D871" t="s">
        <v>12024</v>
      </c>
      <c r="E871" t="s">
        <v>2748</v>
      </c>
      <c r="F871" t="s">
        <v>2749</v>
      </c>
      <c r="G871" s="712">
        <v>0</v>
      </c>
      <c r="H871">
        <v>0</v>
      </c>
      <c r="I871" s="713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 s="724" t="str">
        <f>VLOOKUP($E871,SP_2024_v28062025!$E$2:$M$1751,9,FALSE)</f>
        <v>PAA210</v>
      </c>
    </row>
    <row r="872" spans="1:17">
      <c r="A872">
        <v>2</v>
      </c>
      <c r="B872" t="s">
        <v>12022</v>
      </c>
      <c r="C872" t="s">
        <v>12023</v>
      </c>
      <c r="D872" t="s">
        <v>12024</v>
      </c>
      <c r="E872" t="s">
        <v>2750</v>
      </c>
      <c r="F872" t="s">
        <v>2751</v>
      </c>
      <c r="G872" s="712">
        <v>0</v>
      </c>
      <c r="H872">
        <v>0</v>
      </c>
      <c r="I872" s="713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 s="724" t="str">
        <f>VLOOKUP($E872,SP_2024_v28062025!$E$2:$M$1751,9,FALSE)</f>
        <v>PAA210</v>
      </c>
    </row>
    <row r="873" spans="1:17">
      <c r="A873">
        <v>2</v>
      </c>
      <c r="B873" t="s">
        <v>12022</v>
      </c>
      <c r="C873" t="s">
        <v>12023</v>
      </c>
      <c r="D873" t="s">
        <v>12024</v>
      </c>
      <c r="E873" t="s">
        <v>2752</v>
      </c>
      <c r="F873" t="s">
        <v>2753</v>
      </c>
      <c r="G873" s="712">
        <v>0</v>
      </c>
      <c r="H873">
        <v>0</v>
      </c>
      <c r="I873" s="71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 s="724" t="str">
        <f>VLOOKUP($E873,SP_2024_v28062025!$E$2:$M$1751,9,FALSE)</f>
        <v>PAA210</v>
      </c>
    </row>
    <row r="874" spans="1:17" ht="15.75" thickBot="1">
      <c r="A874">
        <v>2</v>
      </c>
      <c r="B874" t="s">
        <v>12022</v>
      </c>
      <c r="C874" t="s">
        <v>12023</v>
      </c>
      <c r="D874" t="s">
        <v>12024</v>
      </c>
      <c r="E874" t="s">
        <v>2754</v>
      </c>
      <c r="F874" t="s">
        <v>2755</v>
      </c>
      <c r="G874" s="712">
        <v>0</v>
      </c>
      <c r="H874" s="711">
        <v>251983.26</v>
      </c>
      <c r="I874" s="715">
        <v>251983.26</v>
      </c>
      <c r="J874">
        <v>0</v>
      </c>
      <c r="K874">
        <v>0</v>
      </c>
      <c r="L874">
        <v>0</v>
      </c>
      <c r="M874">
        <v>0</v>
      </c>
      <c r="N874">
        <v>0</v>
      </c>
      <c r="O874" s="711">
        <v>251983.26</v>
      </c>
      <c r="P874" s="711">
        <v>-251983.26</v>
      </c>
      <c r="Q874" s="724" t="str">
        <f>VLOOKUP($E874,SP_2024_v28062025!$E$2:$M$1751,9,FALSE)</f>
        <v>PAA210</v>
      </c>
    </row>
    <row r="875" spans="1:17" ht="15.75" thickBot="1">
      <c r="A875" s="727">
        <v>2</v>
      </c>
      <c r="B875" s="727" t="s">
        <v>12022</v>
      </c>
      <c r="C875" s="727" t="s">
        <v>12052</v>
      </c>
      <c r="D875" s="727"/>
      <c r="E875" s="727"/>
      <c r="F875" s="745" t="s">
        <v>2756</v>
      </c>
      <c r="G875" s="738">
        <v>0</v>
      </c>
      <c r="H875" s="738">
        <v>0</v>
      </c>
      <c r="I875" s="738">
        <v>0</v>
      </c>
      <c r="J875" s="738">
        <v>0</v>
      </c>
      <c r="K875" s="738">
        <v>0</v>
      </c>
      <c r="L875" s="738">
        <v>0</v>
      </c>
      <c r="M875" s="738">
        <v>0</v>
      </c>
      <c r="N875" s="738">
        <v>0</v>
      </c>
      <c r="O875" s="738">
        <v>0</v>
      </c>
      <c r="P875" s="738">
        <v>0</v>
      </c>
    </row>
    <row r="876" spans="1:17" ht="15.75" thickBot="1">
      <c r="A876" s="727">
        <v>2</v>
      </c>
      <c r="B876" s="727" t="s">
        <v>12022</v>
      </c>
      <c r="C876" s="727" t="s">
        <v>12052</v>
      </c>
      <c r="D876" s="727" t="s">
        <v>12053</v>
      </c>
      <c r="E876" s="727"/>
      <c r="F876" s="729" t="s">
        <v>2756</v>
      </c>
      <c r="G876" s="738">
        <v>0</v>
      </c>
      <c r="H876" s="738">
        <v>0</v>
      </c>
      <c r="I876" s="738">
        <v>0</v>
      </c>
      <c r="J876" s="738">
        <v>0</v>
      </c>
      <c r="K876" s="738">
        <v>0</v>
      </c>
      <c r="L876" s="738">
        <v>0</v>
      </c>
      <c r="M876" s="738">
        <v>0</v>
      </c>
      <c r="N876" s="738">
        <v>0</v>
      </c>
      <c r="O876" s="738">
        <v>0</v>
      </c>
      <c r="P876" s="738">
        <v>0</v>
      </c>
    </row>
    <row r="877" spans="1:17" ht="15.75" thickBot="1">
      <c r="A877">
        <v>2</v>
      </c>
      <c r="B877" t="s">
        <v>12022</v>
      </c>
      <c r="C877" t="s">
        <v>12052</v>
      </c>
      <c r="D877" t="s">
        <v>12053</v>
      </c>
      <c r="E877" t="s">
        <v>2759</v>
      </c>
      <c r="F877" t="s">
        <v>2756</v>
      </c>
      <c r="G877" s="712">
        <v>0</v>
      </c>
      <c r="H877">
        <v>0</v>
      </c>
      <c r="I877" s="713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 s="724" t="str">
        <f>VLOOKUP($E877,SP_2024_v28062025!$E$2:$M$1751,9,FALSE)</f>
        <v>PAA220</v>
      </c>
    </row>
    <row r="878" spans="1:17" ht="15.75" thickBot="1">
      <c r="A878" s="727">
        <v>2</v>
      </c>
      <c r="B878" s="727" t="s">
        <v>12054</v>
      </c>
      <c r="C878" s="727"/>
      <c r="D878" s="727"/>
      <c r="E878" s="727"/>
      <c r="F878" s="745" t="s">
        <v>2760</v>
      </c>
      <c r="G878" s="739">
        <v>4187.1499999999996</v>
      </c>
      <c r="H878" s="739">
        <v>60529081.659999996</v>
      </c>
      <c r="I878" s="739">
        <v>60524894.509999998</v>
      </c>
      <c r="J878" s="739">
        <v>18644004.690000001</v>
      </c>
      <c r="K878" s="739">
        <v>19928965.920000002</v>
      </c>
      <c r="L878" s="738">
        <v>0</v>
      </c>
      <c r="M878" s="738">
        <v>0</v>
      </c>
      <c r="N878" s="739">
        <v>18648191.84</v>
      </c>
      <c r="O878" s="739">
        <v>80458047.579999998</v>
      </c>
      <c r="P878" s="739">
        <v>-61809855.740000002</v>
      </c>
    </row>
    <row r="879" spans="1:17" ht="15.75" thickBot="1">
      <c r="A879" s="727">
        <v>2</v>
      </c>
      <c r="B879" s="727" t="s">
        <v>12054</v>
      </c>
      <c r="C879" s="727" t="s">
        <v>12055</v>
      </c>
      <c r="D879" s="727"/>
      <c r="E879" s="727"/>
      <c r="F879" s="745" t="s">
        <v>32</v>
      </c>
      <c r="G879" s="738">
        <v>0</v>
      </c>
      <c r="H879" s="738">
        <v>0</v>
      </c>
      <c r="I879" s="738">
        <v>0</v>
      </c>
      <c r="J879" s="738">
        <v>0</v>
      </c>
      <c r="K879" s="738">
        <v>0</v>
      </c>
      <c r="L879" s="738">
        <v>0</v>
      </c>
      <c r="M879" s="738">
        <v>0</v>
      </c>
      <c r="N879" s="738">
        <v>0</v>
      </c>
      <c r="O879" s="738">
        <v>0</v>
      </c>
      <c r="P879" s="738">
        <v>0</v>
      </c>
    </row>
    <row r="880" spans="1:17" ht="15.75" thickBot="1">
      <c r="A880" s="727">
        <v>2</v>
      </c>
      <c r="B880" s="727" t="s">
        <v>12054</v>
      </c>
      <c r="C880" s="727" t="s">
        <v>12055</v>
      </c>
      <c r="D880" s="727" t="s">
        <v>12056</v>
      </c>
      <c r="E880" s="727"/>
      <c r="F880" s="729" t="s">
        <v>32</v>
      </c>
      <c r="G880" s="738">
        <v>0</v>
      </c>
      <c r="H880" s="738">
        <v>0</v>
      </c>
      <c r="I880" s="738">
        <v>0</v>
      </c>
      <c r="J880" s="738">
        <v>0</v>
      </c>
      <c r="K880" s="738">
        <v>0</v>
      </c>
      <c r="L880" s="738">
        <v>0</v>
      </c>
      <c r="M880" s="738">
        <v>0</v>
      </c>
      <c r="N880" s="738">
        <v>0</v>
      </c>
      <c r="O880" s="738">
        <v>0</v>
      </c>
      <c r="P880" s="738">
        <v>0</v>
      </c>
    </row>
    <row r="881" spans="1:17" ht="15.75" thickBot="1">
      <c r="A881">
        <v>2</v>
      </c>
      <c r="B881" t="s">
        <v>12054</v>
      </c>
      <c r="C881" t="s">
        <v>12055</v>
      </c>
      <c r="D881" t="s">
        <v>12056</v>
      </c>
      <c r="E881" t="s">
        <v>2765</v>
      </c>
      <c r="F881" t="s">
        <v>32</v>
      </c>
      <c r="G881" s="712">
        <v>0</v>
      </c>
      <c r="H881">
        <v>0</v>
      </c>
      <c r="I881" s="713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 s="724" t="str">
        <f>VLOOKUP($E881,SP_2024_v28062025!$E$2:$M$1751,9,FALSE)</f>
        <v>PBA000</v>
      </c>
    </row>
    <row r="882" spans="1:17" ht="15.75" thickBot="1">
      <c r="A882" s="727">
        <v>2</v>
      </c>
      <c r="B882" s="727" t="s">
        <v>12054</v>
      </c>
      <c r="C882" s="727" t="s">
        <v>12057</v>
      </c>
      <c r="D882" s="727"/>
      <c r="E882" s="727"/>
      <c r="F882" s="745" t="s">
        <v>2766</v>
      </c>
      <c r="G882" s="738">
        <v>0</v>
      </c>
      <c r="H882" s="739">
        <v>26039079.609999999</v>
      </c>
      <c r="I882" s="739">
        <v>26039079.609999999</v>
      </c>
      <c r="J882" s="739">
        <v>11251150.23</v>
      </c>
      <c r="K882" s="739">
        <v>8480793</v>
      </c>
      <c r="L882" s="738">
        <v>0</v>
      </c>
      <c r="M882" s="738">
        <v>0</v>
      </c>
      <c r="N882" s="739">
        <v>11251150.23</v>
      </c>
      <c r="O882" s="739">
        <v>34519872.609999999</v>
      </c>
      <c r="P882" s="739">
        <v>-23268722.379999999</v>
      </c>
    </row>
    <row r="883" spans="1:17" ht="15.75" thickBot="1">
      <c r="A883" s="727">
        <v>2</v>
      </c>
      <c r="B883" s="727" t="s">
        <v>12054</v>
      </c>
      <c r="C883" s="727" t="s">
        <v>12057</v>
      </c>
      <c r="D883" s="727" t="s">
        <v>12058</v>
      </c>
      <c r="E883" s="727"/>
      <c r="F883" s="729" t="s">
        <v>2770</v>
      </c>
      <c r="G883" s="738">
        <v>0</v>
      </c>
      <c r="H883" s="739">
        <v>12980482.060000001</v>
      </c>
      <c r="I883" s="739">
        <v>12980482.060000001</v>
      </c>
      <c r="J883" s="739">
        <v>1518646.17</v>
      </c>
      <c r="K883" s="739">
        <v>4600000</v>
      </c>
      <c r="L883" s="738">
        <v>0</v>
      </c>
      <c r="M883" s="738">
        <v>0</v>
      </c>
      <c r="N883" s="739">
        <v>1518646.17</v>
      </c>
      <c r="O883" s="739">
        <v>17580482.059999999</v>
      </c>
      <c r="P883" s="739">
        <v>-16061835.890000001</v>
      </c>
    </row>
    <row r="884" spans="1:17" ht="15.75" thickBot="1">
      <c r="A884">
        <v>2</v>
      </c>
      <c r="B884" t="s">
        <v>12054</v>
      </c>
      <c r="C884" t="s">
        <v>12057</v>
      </c>
      <c r="D884" t="s">
        <v>12058</v>
      </c>
      <c r="E884" t="s">
        <v>2769</v>
      </c>
      <c r="F884" t="s">
        <v>2770</v>
      </c>
      <c r="G884" s="712">
        <v>0</v>
      </c>
      <c r="H884" s="711">
        <v>12980482.060000001</v>
      </c>
      <c r="I884" s="715">
        <v>12980482.060000001</v>
      </c>
      <c r="J884" s="711">
        <v>1518646.17</v>
      </c>
      <c r="K884" s="711">
        <v>4600000</v>
      </c>
      <c r="L884">
        <v>0</v>
      </c>
      <c r="M884">
        <v>0</v>
      </c>
      <c r="N884" s="711">
        <v>1518646.17</v>
      </c>
      <c r="O884" s="711">
        <v>17580482.059999999</v>
      </c>
      <c r="P884" s="711">
        <v>-16061835.890000001</v>
      </c>
      <c r="Q884" s="724" t="str">
        <f>VLOOKUP($E884,SP_2024_v28062025!$E$2:$M$1751,9,FALSE)</f>
        <v>PBA020</v>
      </c>
    </row>
    <row r="885" spans="1:17" ht="15.75" thickBot="1">
      <c r="A885" s="727">
        <v>2</v>
      </c>
      <c r="B885" s="727" t="s">
        <v>12054</v>
      </c>
      <c r="C885" s="727" t="s">
        <v>12057</v>
      </c>
      <c r="D885" s="727" t="s">
        <v>12059</v>
      </c>
      <c r="E885" s="727"/>
      <c r="F885" s="729" t="s">
        <v>2774</v>
      </c>
      <c r="G885" s="738">
        <v>0</v>
      </c>
      <c r="H885" s="739">
        <v>4936390.72</v>
      </c>
      <c r="I885" s="739">
        <v>4936390.72</v>
      </c>
      <c r="J885" s="739">
        <v>2577442.66</v>
      </c>
      <c r="K885" s="739">
        <v>2350000</v>
      </c>
      <c r="L885" s="738">
        <v>0</v>
      </c>
      <c r="M885" s="738">
        <v>0</v>
      </c>
      <c r="N885" s="739">
        <v>2577442.66</v>
      </c>
      <c r="O885" s="739">
        <v>7286390.7199999997</v>
      </c>
      <c r="P885" s="739">
        <v>-4708948.0599999996</v>
      </c>
    </row>
    <row r="886" spans="1:17">
      <c r="A886">
        <v>2</v>
      </c>
      <c r="B886" t="s">
        <v>12054</v>
      </c>
      <c r="C886" t="s">
        <v>12057</v>
      </c>
      <c r="D886" t="s">
        <v>12059</v>
      </c>
      <c r="E886" t="s">
        <v>2773</v>
      </c>
      <c r="F886" t="s">
        <v>2774</v>
      </c>
      <c r="G886" s="712">
        <v>0</v>
      </c>
      <c r="H886" s="711">
        <v>4936390.72</v>
      </c>
      <c r="I886" s="715">
        <v>4936390.72</v>
      </c>
      <c r="J886" s="711">
        <v>2577442.66</v>
      </c>
      <c r="K886" s="711">
        <v>2350000</v>
      </c>
      <c r="L886">
        <v>0</v>
      </c>
      <c r="M886">
        <v>0</v>
      </c>
      <c r="N886" s="711">
        <v>2577442.66</v>
      </c>
      <c r="O886" s="711">
        <v>7286390.7199999997</v>
      </c>
      <c r="P886" s="711">
        <v>-4708948.0599999996</v>
      </c>
      <c r="Q886" s="724" t="str">
        <f>VLOOKUP($E886,SP_2024_v28062025!$E$2:$M$1751,9,FALSE)</f>
        <v>PBA030</v>
      </c>
    </row>
    <row r="887" spans="1:17" ht="15.75" thickBot="1">
      <c r="A887">
        <v>2</v>
      </c>
      <c r="B887" t="s">
        <v>12054</v>
      </c>
      <c r="C887" t="s">
        <v>12057</v>
      </c>
      <c r="D887" t="s">
        <v>12059</v>
      </c>
      <c r="E887" t="s">
        <v>2775</v>
      </c>
      <c r="F887" t="s">
        <v>2776</v>
      </c>
      <c r="G887" s="712">
        <v>0</v>
      </c>
      <c r="H887">
        <v>0</v>
      </c>
      <c r="I887" s="713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 s="724" t="str">
        <f>VLOOKUP($E887,SP_2024_v28062025!$E$2:$M$1751,9,FALSE)</f>
        <v>PBA030</v>
      </c>
    </row>
    <row r="888" spans="1:17" ht="15.75" thickBot="1">
      <c r="A888" s="727">
        <v>2</v>
      </c>
      <c r="B888" s="727" t="s">
        <v>12054</v>
      </c>
      <c r="C888" s="727" t="s">
        <v>12057</v>
      </c>
      <c r="D888" s="727" t="s">
        <v>12060</v>
      </c>
      <c r="E888" s="727"/>
      <c r="F888" s="729" t="s">
        <v>2780</v>
      </c>
      <c r="G888" s="738">
        <v>0</v>
      </c>
      <c r="H888" s="738">
        <v>0</v>
      </c>
      <c r="I888" s="738">
        <v>0</v>
      </c>
      <c r="J888" s="738">
        <v>0</v>
      </c>
      <c r="K888" s="738">
        <v>0</v>
      </c>
      <c r="L888" s="738">
        <v>0</v>
      </c>
      <c r="M888" s="738">
        <v>0</v>
      </c>
      <c r="N888" s="738">
        <v>0</v>
      </c>
      <c r="O888" s="738">
        <v>0</v>
      </c>
      <c r="P888" s="738">
        <v>0</v>
      </c>
    </row>
    <row r="889" spans="1:17" ht="15.75" thickBot="1">
      <c r="A889">
        <v>2</v>
      </c>
      <c r="B889" t="s">
        <v>12054</v>
      </c>
      <c r="C889" t="s">
        <v>12057</v>
      </c>
      <c r="D889" t="s">
        <v>12060</v>
      </c>
      <c r="E889" t="s">
        <v>2779</v>
      </c>
      <c r="F889" t="s">
        <v>2780</v>
      </c>
      <c r="G889" s="712">
        <v>0</v>
      </c>
      <c r="H889">
        <v>0</v>
      </c>
      <c r="I889" s="713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 s="724" t="str">
        <f>VLOOKUP($E889,SP_2024_v28062025!$E$2:$M$1751,9,FALSE)</f>
        <v>PBA040</v>
      </c>
    </row>
    <row r="890" spans="1:17" ht="15.75" thickBot="1">
      <c r="A890" s="727">
        <v>2</v>
      </c>
      <c r="B890" s="727" t="s">
        <v>12054</v>
      </c>
      <c r="C890" s="727" t="s">
        <v>12057</v>
      </c>
      <c r="D890" s="727" t="s">
        <v>12061</v>
      </c>
      <c r="E890" s="727"/>
      <c r="F890" s="729" t="s">
        <v>2784</v>
      </c>
      <c r="G890" s="738">
        <v>0</v>
      </c>
      <c r="H890" s="739">
        <v>7069318.8499999996</v>
      </c>
      <c r="I890" s="739">
        <v>7069318.8499999996</v>
      </c>
      <c r="J890" s="739">
        <v>7155061.4000000004</v>
      </c>
      <c r="K890" s="739">
        <v>1530793</v>
      </c>
      <c r="L890" s="738">
        <v>0</v>
      </c>
      <c r="M890" s="738">
        <v>0</v>
      </c>
      <c r="N890" s="739">
        <v>7155061.4000000004</v>
      </c>
      <c r="O890" s="739">
        <v>8600111.8499999996</v>
      </c>
      <c r="P890" s="739">
        <v>-1445050.45</v>
      </c>
    </row>
    <row r="891" spans="1:17" ht="15.75" thickBot="1">
      <c r="A891">
        <v>2</v>
      </c>
      <c r="B891" t="s">
        <v>12054</v>
      </c>
      <c r="C891" t="s">
        <v>12057</v>
      </c>
      <c r="D891" t="s">
        <v>12061</v>
      </c>
      <c r="E891" t="s">
        <v>2783</v>
      </c>
      <c r="F891" t="s">
        <v>2784</v>
      </c>
      <c r="G891" s="712">
        <v>0</v>
      </c>
      <c r="H891" s="711">
        <v>7069318.8499999996</v>
      </c>
      <c r="I891" s="715">
        <v>7069318.8499999996</v>
      </c>
      <c r="J891" s="711">
        <v>7155061.4000000004</v>
      </c>
      <c r="K891" s="711">
        <v>1530793</v>
      </c>
      <c r="L891">
        <v>0</v>
      </c>
      <c r="M891">
        <v>0</v>
      </c>
      <c r="N891" s="711">
        <v>7155061.4000000004</v>
      </c>
      <c r="O891" s="711">
        <v>8600111.8499999996</v>
      </c>
      <c r="P891" s="711">
        <v>-1445050.45</v>
      </c>
      <c r="Q891" s="724" t="str">
        <f>VLOOKUP($E891,SP_2024_v28062025!$E$2:$M$1751,9,FALSE)</f>
        <v>PBA050</v>
      </c>
    </row>
    <row r="892" spans="1:17" ht="15.75" thickBot="1">
      <c r="A892" s="727">
        <v>2</v>
      </c>
      <c r="B892" s="727" t="s">
        <v>12054</v>
      </c>
      <c r="C892" s="727" t="s">
        <v>12057</v>
      </c>
      <c r="D892" s="727" t="s">
        <v>12062</v>
      </c>
      <c r="E892" s="727"/>
      <c r="F892" s="729" t="s">
        <v>2797</v>
      </c>
      <c r="G892" s="738">
        <v>0</v>
      </c>
      <c r="H892" s="739">
        <v>1052887.98</v>
      </c>
      <c r="I892" s="739">
        <v>1052887.98</v>
      </c>
      <c r="J892" s="738">
        <v>0</v>
      </c>
      <c r="K892" s="738">
        <v>0</v>
      </c>
      <c r="L892" s="738">
        <v>0</v>
      </c>
      <c r="M892" s="738">
        <v>0</v>
      </c>
      <c r="N892" s="738">
        <v>0</v>
      </c>
      <c r="O892" s="739">
        <v>1052887.98</v>
      </c>
      <c r="P892" s="739">
        <v>-1052887.98</v>
      </c>
    </row>
    <row r="893" spans="1:17">
      <c r="A893">
        <v>2</v>
      </c>
      <c r="B893" t="s">
        <v>12054</v>
      </c>
      <c r="C893" t="s">
        <v>12057</v>
      </c>
      <c r="D893" t="s">
        <v>12062</v>
      </c>
      <c r="E893" t="s">
        <v>2796</v>
      </c>
      <c r="F893" t="s">
        <v>2797</v>
      </c>
      <c r="G893" s="712">
        <v>0</v>
      </c>
      <c r="H893" s="711">
        <v>1052887.98</v>
      </c>
      <c r="I893" s="715">
        <v>1052887.98</v>
      </c>
      <c r="J893">
        <v>0</v>
      </c>
      <c r="K893">
        <v>0</v>
      </c>
      <c r="L893">
        <v>0</v>
      </c>
      <c r="M893">
        <v>0</v>
      </c>
      <c r="N893">
        <v>0</v>
      </c>
      <c r="O893" s="711">
        <v>1052887.98</v>
      </c>
      <c r="P893" s="711">
        <v>-1052887.98</v>
      </c>
      <c r="Q893" s="724" t="str">
        <f>VLOOKUP($E893,SP_2024_v28062025!$E$2:$M$1751,9,FALSE)</f>
        <v>PBA060</v>
      </c>
    </row>
    <row r="894" spans="1:17">
      <c r="A894">
        <v>2</v>
      </c>
      <c r="B894" t="s">
        <v>12054</v>
      </c>
      <c r="C894" t="s">
        <v>12057</v>
      </c>
      <c r="D894" t="s">
        <v>12062</v>
      </c>
      <c r="E894" t="s">
        <v>2798</v>
      </c>
      <c r="F894" t="s">
        <v>2799</v>
      </c>
      <c r="G894" s="712">
        <v>0</v>
      </c>
      <c r="H894">
        <v>0</v>
      </c>
      <c r="I894" s="713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 s="724" t="str">
        <f>VLOOKUP($E894,SP_2024_v28062025!$E$2:$M$1751,9,FALSE)</f>
        <v>PBA060</v>
      </c>
    </row>
    <row r="895" spans="1:17">
      <c r="A895">
        <v>2</v>
      </c>
      <c r="B895" t="s">
        <v>12054</v>
      </c>
      <c r="C895" t="s">
        <v>12057</v>
      </c>
      <c r="D895" t="s">
        <v>12062</v>
      </c>
      <c r="E895" t="s">
        <v>2800</v>
      </c>
      <c r="F895" t="s">
        <v>2801</v>
      </c>
      <c r="G895" s="712">
        <v>0</v>
      </c>
      <c r="H895">
        <v>0</v>
      </c>
      <c r="I895" s="713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 s="724" t="str">
        <f>VLOOKUP($E895,SP_2024_v28062025!$E$2:$M$1751,9,FALSE)</f>
        <v>PBA060</v>
      </c>
    </row>
    <row r="896" spans="1:17">
      <c r="A896">
        <v>2</v>
      </c>
      <c r="B896" t="s">
        <v>12054</v>
      </c>
      <c r="C896" t="s">
        <v>12057</v>
      </c>
      <c r="D896" t="s">
        <v>12062</v>
      </c>
      <c r="E896" t="s">
        <v>2802</v>
      </c>
      <c r="F896" t="s">
        <v>2803</v>
      </c>
      <c r="G896" s="712">
        <v>0</v>
      </c>
      <c r="H896">
        <v>0</v>
      </c>
      <c r="I896" s="713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 s="724" t="str">
        <f>VLOOKUP($E896,SP_2024_v28062025!$E$2:$M$1751,9,FALSE)</f>
        <v>PBA060</v>
      </c>
    </row>
    <row r="897" spans="1:17">
      <c r="A897">
        <v>2</v>
      </c>
      <c r="B897" t="s">
        <v>12054</v>
      </c>
      <c r="C897" t="s">
        <v>12057</v>
      </c>
      <c r="D897" t="s">
        <v>12062</v>
      </c>
      <c r="E897" t="s">
        <v>2804</v>
      </c>
      <c r="F897" t="s">
        <v>2805</v>
      </c>
      <c r="G897" s="712">
        <v>0</v>
      </c>
      <c r="H897">
        <v>0</v>
      </c>
      <c r="I897" s="713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 s="724" t="str">
        <f>VLOOKUP($E897,SP_2024_v28062025!$E$2:$M$1751,9,FALSE)</f>
        <v>PBA060</v>
      </c>
    </row>
    <row r="898" spans="1:17" ht="15.75" thickBot="1">
      <c r="A898">
        <v>2</v>
      </c>
      <c r="B898" t="s">
        <v>12054</v>
      </c>
      <c r="C898" t="s">
        <v>12057</v>
      </c>
      <c r="D898" t="s">
        <v>12062</v>
      </c>
      <c r="E898" t="s">
        <v>2806</v>
      </c>
      <c r="F898" t="s">
        <v>2807</v>
      </c>
      <c r="G898" s="712">
        <v>0</v>
      </c>
      <c r="H898">
        <v>0</v>
      </c>
      <c r="I898" s="713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 s="724" t="str">
        <f>VLOOKUP($E898,SP_2024_v28062025!$E$2:$M$1751,9,FALSE)</f>
        <v>PBA060</v>
      </c>
    </row>
    <row r="899" spans="1:17" ht="15.75" thickBot="1">
      <c r="A899" s="727">
        <v>2</v>
      </c>
      <c r="B899" s="727" t="s">
        <v>12054</v>
      </c>
      <c r="C899" s="727" t="s">
        <v>12057</v>
      </c>
      <c r="D899" s="727" t="s">
        <v>12063</v>
      </c>
      <c r="E899" s="727"/>
      <c r="F899" s="729" t="s">
        <v>2789</v>
      </c>
      <c r="G899" s="738">
        <v>0</v>
      </c>
      <c r="H899" s="738">
        <v>0</v>
      </c>
      <c r="I899" s="738">
        <v>0</v>
      </c>
      <c r="J899" s="738">
        <v>0</v>
      </c>
      <c r="K899" s="738">
        <v>0</v>
      </c>
      <c r="L899" s="738">
        <v>0</v>
      </c>
      <c r="M899" s="738">
        <v>0</v>
      </c>
      <c r="N899" s="738">
        <v>0</v>
      </c>
      <c r="O899" s="738">
        <v>0</v>
      </c>
      <c r="P899" s="738">
        <v>0</v>
      </c>
    </row>
    <row r="900" spans="1:17" ht="15.75" thickBot="1">
      <c r="A900">
        <v>2</v>
      </c>
      <c r="B900" t="s">
        <v>12054</v>
      </c>
      <c r="C900" t="s">
        <v>12057</v>
      </c>
      <c r="D900" t="s">
        <v>12063</v>
      </c>
      <c r="E900" t="s">
        <v>2788</v>
      </c>
      <c r="F900" t="s">
        <v>2789</v>
      </c>
      <c r="G900" s="712">
        <v>0</v>
      </c>
      <c r="H900">
        <v>0</v>
      </c>
      <c r="I900" s="713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 s="724" t="str">
        <f>VLOOKUP($E900,SP_2024_v28062025!$E$2:$M$1751,9,FALSE)</f>
        <v>PBA051</v>
      </c>
    </row>
    <row r="901" spans="1:17" ht="15.75" thickBot="1">
      <c r="A901" s="727">
        <v>2</v>
      </c>
      <c r="B901" s="727" t="s">
        <v>12054</v>
      </c>
      <c r="C901" s="727" t="s">
        <v>12057</v>
      </c>
      <c r="D901" s="727" t="s">
        <v>12064</v>
      </c>
      <c r="E901" s="727"/>
      <c r="F901" s="729" t="s">
        <v>2790</v>
      </c>
      <c r="G901" s="738">
        <v>0</v>
      </c>
      <c r="H901" s="738">
        <v>0</v>
      </c>
      <c r="I901" s="738">
        <v>0</v>
      </c>
      <c r="J901" s="738">
        <v>0</v>
      </c>
      <c r="K901" s="738">
        <v>0</v>
      </c>
      <c r="L901" s="738">
        <v>0</v>
      </c>
      <c r="M901" s="738">
        <v>0</v>
      </c>
      <c r="N901" s="738">
        <v>0</v>
      </c>
      <c r="O901" s="738">
        <v>0</v>
      </c>
      <c r="P901" s="738">
        <v>0</v>
      </c>
    </row>
    <row r="902" spans="1:17" ht="15.75" thickBot="1">
      <c r="A902">
        <v>2</v>
      </c>
      <c r="B902" t="s">
        <v>12054</v>
      </c>
      <c r="C902" t="s">
        <v>12057</v>
      </c>
      <c r="D902" t="s">
        <v>12064</v>
      </c>
      <c r="E902" t="s">
        <v>2793</v>
      </c>
      <c r="F902" t="s">
        <v>2790</v>
      </c>
      <c r="G902" s="712">
        <v>0</v>
      </c>
      <c r="H902">
        <v>0</v>
      </c>
      <c r="I902" s="713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 s="724" t="str">
        <f>VLOOKUP($E902,SP_2024_v28062025!$E$2:$M$1751,9,FALSE)</f>
        <v>PBA052</v>
      </c>
    </row>
    <row r="903" spans="1:17" ht="15.75" thickBot="1">
      <c r="A903" s="727">
        <v>2</v>
      </c>
      <c r="B903" s="727" t="s">
        <v>12054</v>
      </c>
      <c r="C903" s="727" t="s">
        <v>12065</v>
      </c>
      <c r="D903" s="727"/>
      <c r="E903" s="727"/>
      <c r="F903" s="729" t="s">
        <v>2808</v>
      </c>
      <c r="G903" s="738">
        <v>0</v>
      </c>
      <c r="H903" s="739">
        <v>650804.80000000005</v>
      </c>
      <c r="I903" s="739">
        <v>650804.80000000005</v>
      </c>
      <c r="J903" s="738">
        <v>0</v>
      </c>
      <c r="K903" s="738">
        <v>0</v>
      </c>
      <c r="L903" s="738">
        <v>0</v>
      </c>
      <c r="M903" s="738">
        <v>0</v>
      </c>
      <c r="N903" s="738">
        <v>0</v>
      </c>
      <c r="O903" s="739">
        <v>650804.80000000005</v>
      </c>
      <c r="P903" s="739">
        <v>-650804.80000000005</v>
      </c>
    </row>
    <row r="904" spans="1:17" ht="15.75" thickBot="1">
      <c r="A904" s="727">
        <v>2</v>
      </c>
      <c r="B904" s="727" t="s">
        <v>12054</v>
      </c>
      <c r="C904" s="727" t="s">
        <v>12065</v>
      </c>
      <c r="D904" s="727" t="s">
        <v>12066</v>
      </c>
      <c r="E904" s="727"/>
      <c r="F904" s="729" t="s">
        <v>2813</v>
      </c>
      <c r="G904" s="738">
        <v>0</v>
      </c>
      <c r="H904" s="738">
        <v>0</v>
      </c>
      <c r="I904" s="738">
        <v>0</v>
      </c>
      <c r="J904" s="738">
        <v>0</v>
      </c>
      <c r="K904" s="738">
        <v>0</v>
      </c>
      <c r="L904" s="738">
        <v>0</v>
      </c>
      <c r="M904" s="738">
        <v>0</v>
      </c>
      <c r="N904" s="738">
        <v>0</v>
      </c>
      <c r="O904" s="738">
        <v>0</v>
      </c>
      <c r="P904" s="738">
        <v>0</v>
      </c>
    </row>
    <row r="905" spans="1:17" ht="15.75" thickBot="1">
      <c r="A905">
        <v>2</v>
      </c>
      <c r="B905" t="s">
        <v>12054</v>
      </c>
      <c r="C905" t="s">
        <v>12065</v>
      </c>
      <c r="D905" t="s">
        <v>12066</v>
      </c>
      <c r="E905" t="s">
        <v>2812</v>
      </c>
      <c r="F905" t="s">
        <v>2813</v>
      </c>
      <c r="G905" s="712">
        <v>0</v>
      </c>
      <c r="H905">
        <v>0</v>
      </c>
      <c r="I905" s="713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 s="724" t="str">
        <f>VLOOKUP($E905,SP_2024_v28062025!$E$2:$M$1751,9,FALSE)</f>
        <v>PBA080</v>
      </c>
    </row>
    <row r="906" spans="1:17" ht="15.75" thickBot="1">
      <c r="A906" s="727">
        <v>2</v>
      </c>
      <c r="B906" s="727" t="s">
        <v>12054</v>
      </c>
      <c r="C906" s="727" t="s">
        <v>12065</v>
      </c>
      <c r="D906" s="727" t="s">
        <v>12067</v>
      </c>
      <c r="E906" s="727"/>
      <c r="F906" s="729" t="s">
        <v>2817</v>
      </c>
      <c r="G906" s="738">
        <v>0</v>
      </c>
      <c r="H906" s="738">
        <v>0</v>
      </c>
      <c r="I906" s="738">
        <v>0</v>
      </c>
      <c r="J906" s="738">
        <v>0</v>
      </c>
      <c r="K906" s="738">
        <v>0</v>
      </c>
      <c r="L906" s="738">
        <v>0</v>
      </c>
      <c r="M906" s="738">
        <v>0</v>
      </c>
      <c r="N906" s="738">
        <v>0</v>
      </c>
      <c r="O906" s="738">
        <v>0</v>
      </c>
      <c r="P906" s="738">
        <v>0</v>
      </c>
    </row>
    <row r="907" spans="1:17" ht="15.75" thickBot="1">
      <c r="A907">
        <v>2</v>
      </c>
      <c r="B907" t="s">
        <v>12054</v>
      </c>
      <c r="C907" t="s">
        <v>12065</v>
      </c>
      <c r="D907" t="s">
        <v>12067</v>
      </c>
      <c r="E907" t="s">
        <v>2816</v>
      </c>
      <c r="F907" t="s">
        <v>2817</v>
      </c>
      <c r="G907" s="712">
        <v>0</v>
      </c>
      <c r="H907">
        <v>0</v>
      </c>
      <c r="I907" s="713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 s="724" t="str">
        <f>VLOOKUP($E907,SP_2024_v28062025!$E$2:$M$1751,9,FALSE)</f>
        <v>PBA090</v>
      </c>
    </row>
    <row r="908" spans="1:17" ht="15.75" thickBot="1">
      <c r="A908" s="727">
        <v>2</v>
      </c>
      <c r="B908" s="727" t="s">
        <v>12054</v>
      </c>
      <c r="C908" s="727" t="s">
        <v>12065</v>
      </c>
      <c r="D908" s="727" t="s">
        <v>12068</v>
      </c>
      <c r="E908" s="727"/>
      <c r="F908" s="729" t="s">
        <v>2821</v>
      </c>
      <c r="G908" s="738">
        <v>0</v>
      </c>
      <c r="H908" s="738">
        <v>0</v>
      </c>
      <c r="I908" s="738">
        <v>0</v>
      </c>
      <c r="J908" s="738">
        <v>0</v>
      </c>
      <c r="K908" s="738">
        <v>0</v>
      </c>
      <c r="L908" s="738">
        <v>0</v>
      </c>
      <c r="M908" s="738">
        <v>0</v>
      </c>
      <c r="N908" s="738">
        <v>0</v>
      </c>
      <c r="O908" s="738">
        <v>0</v>
      </c>
      <c r="P908" s="738">
        <v>0</v>
      </c>
    </row>
    <row r="909" spans="1:17" ht="15.75" thickBot="1">
      <c r="A909">
        <v>2</v>
      </c>
      <c r="B909" t="s">
        <v>12054</v>
      </c>
      <c r="C909" t="s">
        <v>12065</v>
      </c>
      <c r="D909" t="s">
        <v>12068</v>
      </c>
      <c r="E909" t="s">
        <v>2820</v>
      </c>
      <c r="F909" t="s">
        <v>2821</v>
      </c>
      <c r="G909" s="712">
        <v>0</v>
      </c>
      <c r="H909">
        <v>0</v>
      </c>
      <c r="I909" s="713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 s="724" t="str">
        <f>VLOOKUP($E909,SP_2024_v28062025!$E$2:$M$1751,9,FALSE)</f>
        <v>PBA100</v>
      </c>
    </row>
    <row r="910" spans="1:17" ht="15.75" thickBot="1">
      <c r="A910" s="727">
        <v>2</v>
      </c>
      <c r="B910" s="727" t="s">
        <v>12054</v>
      </c>
      <c r="C910" s="727" t="s">
        <v>12065</v>
      </c>
      <c r="D910" s="727" t="s">
        <v>12069</v>
      </c>
      <c r="E910" s="727"/>
      <c r="F910" s="729" t="s">
        <v>2825</v>
      </c>
      <c r="G910" s="738">
        <v>0</v>
      </c>
      <c r="H910" s="738">
        <v>0</v>
      </c>
      <c r="I910" s="738">
        <v>0</v>
      </c>
      <c r="J910" s="738">
        <v>0</v>
      </c>
      <c r="K910" s="738">
        <v>0</v>
      </c>
      <c r="L910" s="738">
        <v>0</v>
      </c>
      <c r="M910" s="738">
        <v>0</v>
      </c>
      <c r="N910" s="738">
        <v>0</v>
      </c>
      <c r="O910" s="738">
        <v>0</v>
      </c>
      <c r="P910" s="738">
        <v>0</v>
      </c>
    </row>
    <row r="911" spans="1:17" ht="15.75" thickBot="1">
      <c r="A911">
        <v>2</v>
      </c>
      <c r="B911" t="s">
        <v>12054</v>
      </c>
      <c r="C911" t="s">
        <v>12065</v>
      </c>
      <c r="D911" t="s">
        <v>12069</v>
      </c>
      <c r="E911" t="s">
        <v>2824</v>
      </c>
      <c r="F911" t="s">
        <v>2825</v>
      </c>
      <c r="G911" s="712">
        <v>0</v>
      </c>
      <c r="H911">
        <v>0</v>
      </c>
      <c r="I911" s="713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 s="724" t="str">
        <f>VLOOKUP($E911,SP_2024_v28062025!$E$2:$M$1751,9,FALSE)</f>
        <v>PBA110</v>
      </c>
    </row>
    <row r="912" spans="1:17" ht="15.75" thickBot="1">
      <c r="A912" s="727">
        <v>2</v>
      </c>
      <c r="B912" s="727" t="s">
        <v>12054</v>
      </c>
      <c r="C912" s="727" t="s">
        <v>12065</v>
      </c>
      <c r="D912" s="727" t="s">
        <v>12070</v>
      </c>
      <c r="E912" s="727"/>
      <c r="F912" s="729" t="s">
        <v>2830</v>
      </c>
      <c r="G912" s="738">
        <v>0</v>
      </c>
      <c r="H912" s="738">
        <v>0</v>
      </c>
      <c r="I912" s="738">
        <v>0</v>
      </c>
      <c r="J912" s="738">
        <v>0</v>
      </c>
      <c r="K912" s="738">
        <v>0</v>
      </c>
      <c r="L912" s="738">
        <v>0</v>
      </c>
      <c r="M912" s="738">
        <v>0</v>
      </c>
      <c r="N912" s="738">
        <v>0</v>
      </c>
      <c r="O912" s="738">
        <v>0</v>
      </c>
      <c r="P912" s="738">
        <v>0</v>
      </c>
    </row>
    <row r="913" spans="1:17" ht="15.75" thickBot="1">
      <c r="A913">
        <v>2</v>
      </c>
      <c r="B913" t="s">
        <v>12054</v>
      </c>
      <c r="C913" t="s">
        <v>12065</v>
      </c>
      <c r="D913" t="s">
        <v>12070</v>
      </c>
      <c r="E913" t="s">
        <v>2829</v>
      </c>
      <c r="F913" t="s">
        <v>2830</v>
      </c>
      <c r="G913" s="712">
        <v>0</v>
      </c>
      <c r="H913">
        <v>0</v>
      </c>
      <c r="I913" s="7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 s="724" t="str">
        <f>VLOOKUP($E913,SP_2024_v28062025!$E$2:$M$1751,9,FALSE)</f>
        <v>PBA120</v>
      </c>
    </row>
    <row r="914" spans="1:17" ht="15.75" thickBot="1">
      <c r="A914" s="727">
        <v>2</v>
      </c>
      <c r="B914" s="727" t="s">
        <v>12054</v>
      </c>
      <c r="C914" s="727" t="s">
        <v>12065</v>
      </c>
      <c r="D914" s="727" t="s">
        <v>12071</v>
      </c>
      <c r="E914" s="727"/>
      <c r="F914" s="729" t="s">
        <v>2835</v>
      </c>
      <c r="G914" s="738">
        <v>0</v>
      </c>
      <c r="H914" s="738">
        <v>0</v>
      </c>
      <c r="I914" s="738">
        <v>0</v>
      </c>
      <c r="J914" s="738">
        <v>0</v>
      </c>
      <c r="K914" s="738">
        <v>0</v>
      </c>
      <c r="L914" s="738">
        <v>0</v>
      </c>
      <c r="M914" s="738">
        <v>0</v>
      </c>
      <c r="N914" s="738">
        <v>0</v>
      </c>
      <c r="O914" s="738">
        <v>0</v>
      </c>
      <c r="P914" s="738">
        <v>0</v>
      </c>
    </row>
    <row r="915" spans="1:17" ht="15.75" thickBot="1">
      <c r="A915">
        <v>2</v>
      </c>
      <c r="B915" t="s">
        <v>12054</v>
      </c>
      <c r="C915" t="s">
        <v>12065</v>
      </c>
      <c r="D915" t="s">
        <v>12071</v>
      </c>
      <c r="E915" t="s">
        <v>2834</v>
      </c>
      <c r="F915" t="s">
        <v>2835</v>
      </c>
      <c r="G915" s="712">
        <v>0</v>
      </c>
      <c r="H915">
        <v>0</v>
      </c>
      <c r="I915" s="713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 s="724" t="str">
        <f>VLOOKUP($E915,SP_2024_v28062025!$E$2:$M$1751,9,FALSE)</f>
        <v>PBA130</v>
      </c>
    </row>
    <row r="916" spans="1:17" ht="15.75" thickBot="1">
      <c r="A916" s="727">
        <v>2</v>
      </c>
      <c r="B916" s="727" t="s">
        <v>12054</v>
      </c>
      <c r="C916" s="727" t="s">
        <v>12065</v>
      </c>
      <c r="D916" s="727" t="s">
        <v>12072</v>
      </c>
      <c r="E916" s="727"/>
      <c r="F916" s="729" t="s">
        <v>2840</v>
      </c>
      <c r="G916" s="738">
        <v>0</v>
      </c>
      <c r="H916" s="739">
        <v>650804.80000000005</v>
      </c>
      <c r="I916" s="739">
        <v>650804.80000000005</v>
      </c>
      <c r="J916" s="738">
        <v>0</v>
      </c>
      <c r="K916" s="738">
        <v>0</v>
      </c>
      <c r="L916" s="738">
        <v>0</v>
      </c>
      <c r="M916" s="738">
        <v>0</v>
      </c>
      <c r="N916" s="738">
        <v>0</v>
      </c>
      <c r="O916" s="739">
        <v>650804.80000000005</v>
      </c>
      <c r="P916" s="739">
        <v>-650804.80000000005</v>
      </c>
    </row>
    <row r="917" spans="1:17" ht="15.75" thickBot="1">
      <c r="A917">
        <v>2</v>
      </c>
      <c r="B917" t="s">
        <v>12054</v>
      </c>
      <c r="C917" t="s">
        <v>12065</v>
      </c>
      <c r="D917" t="s">
        <v>12072</v>
      </c>
      <c r="E917" t="s">
        <v>2839</v>
      </c>
      <c r="F917" t="s">
        <v>2840</v>
      </c>
      <c r="G917" s="712">
        <v>0</v>
      </c>
      <c r="H917" s="711">
        <v>650804.80000000005</v>
      </c>
      <c r="I917" s="715">
        <v>650804.80000000005</v>
      </c>
      <c r="J917">
        <v>0</v>
      </c>
      <c r="K917">
        <v>0</v>
      </c>
      <c r="L917">
        <v>0</v>
      </c>
      <c r="M917">
        <v>0</v>
      </c>
      <c r="N917">
        <v>0</v>
      </c>
      <c r="O917" s="711">
        <v>650804.80000000005</v>
      </c>
      <c r="P917" s="711">
        <v>-650804.80000000005</v>
      </c>
      <c r="Q917" s="724" t="str">
        <f>VLOOKUP($E917,SP_2024_v28062025!$E$2:$M$1751,9,FALSE)</f>
        <v>PBA140</v>
      </c>
    </row>
    <row r="918" spans="1:17" ht="15.75" thickBot="1">
      <c r="A918" s="727">
        <v>2</v>
      </c>
      <c r="B918" s="727" t="s">
        <v>12054</v>
      </c>
      <c r="C918" s="727" t="s">
        <v>12065</v>
      </c>
      <c r="D918" s="727" t="s">
        <v>12073</v>
      </c>
      <c r="E918" s="727"/>
      <c r="F918" s="729" t="s">
        <v>2842</v>
      </c>
      <c r="G918" s="738">
        <v>0</v>
      </c>
      <c r="H918" s="738">
        <v>0</v>
      </c>
      <c r="I918" s="738">
        <v>0</v>
      </c>
      <c r="J918" s="738">
        <v>0</v>
      </c>
      <c r="K918" s="738">
        <v>0</v>
      </c>
      <c r="L918" s="738">
        <v>0</v>
      </c>
      <c r="M918" s="738">
        <v>0</v>
      </c>
      <c r="N918" s="738">
        <v>0</v>
      </c>
      <c r="O918" s="738">
        <v>0</v>
      </c>
      <c r="P918" s="738">
        <v>0</v>
      </c>
    </row>
    <row r="919" spans="1:17" ht="15.75" thickBot="1">
      <c r="A919">
        <v>2</v>
      </c>
      <c r="B919" t="s">
        <v>12054</v>
      </c>
      <c r="C919" t="s">
        <v>12065</v>
      </c>
      <c r="D919" t="s">
        <v>12073</v>
      </c>
      <c r="E919" t="s">
        <v>2845</v>
      </c>
      <c r="F919" t="s">
        <v>2842</v>
      </c>
      <c r="G919" s="712">
        <v>0</v>
      </c>
      <c r="H919">
        <v>0</v>
      </c>
      <c r="I919" s="713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 s="724" t="str">
        <f>VLOOKUP($E919,SP_2024_v28062025!$E$2:$M$1751,9,FALSE)</f>
        <v>PBA141</v>
      </c>
    </row>
    <row r="920" spans="1:17" ht="15.75" thickBot="1">
      <c r="A920" s="727">
        <v>2</v>
      </c>
      <c r="B920" s="727" t="s">
        <v>12054</v>
      </c>
      <c r="C920" s="727" t="s">
        <v>12074</v>
      </c>
      <c r="D920" s="727"/>
      <c r="E920" s="727"/>
      <c r="F920" s="745" t="s">
        <v>2846</v>
      </c>
      <c r="G920" s="739">
        <v>4187.1499999999996</v>
      </c>
      <c r="H920" s="739">
        <v>26428499.469999999</v>
      </c>
      <c r="I920" s="739">
        <v>26424312.32</v>
      </c>
      <c r="J920" s="739">
        <v>2173088.4300000002</v>
      </c>
      <c r="K920" s="739">
        <v>5367065</v>
      </c>
      <c r="L920" s="738">
        <v>0</v>
      </c>
      <c r="M920" s="738">
        <v>0</v>
      </c>
      <c r="N920" s="739">
        <v>2177275.58</v>
      </c>
      <c r="O920" s="739">
        <v>31795564.469999999</v>
      </c>
      <c r="P920" s="739">
        <v>-29618288.890000001</v>
      </c>
    </row>
    <row r="921" spans="1:17" ht="15.75" thickBot="1">
      <c r="A921" s="727">
        <v>2</v>
      </c>
      <c r="B921" s="727" t="s">
        <v>12054</v>
      </c>
      <c r="C921" s="727" t="s">
        <v>12074</v>
      </c>
      <c r="D921" s="727" t="s">
        <v>12075</v>
      </c>
      <c r="E921" s="727"/>
      <c r="F921" s="729" t="s">
        <v>12076</v>
      </c>
      <c r="G921" s="738">
        <v>0</v>
      </c>
      <c r="H921" s="739">
        <v>18268501.690000001</v>
      </c>
      <c r="I921" s="739">
        <v>18268501.690000001</v>
      </c>
      <c r="J921" s="739">
        <v>1756361.92</v>
      </c>
      <c r="K921" s="739">
        <v>354372.3</v>
      </c>
      <c r="L921" s="738">
        <v>0</v>
      </c>
      <c r="M921" s="738">
        <v>0</v>
      </c>
      <c r="N921" s="739">
        <v>1756361.92</v>
      </c>
      <c r="O921" s="739">
        <v>18622873.989999998</v>
      </c>
      <c r="P921" s="739">
        <v>-16866512.07</v>
      </c>
      <c r="Q921" s="765"/>
    </row>
    <row r="922" spans="1:17">
      <c r="A922">
        <v>2</v>
      </c>
      <c r="B922" t="s">
        <v>12054</v>
      </c>
      <c r="C922" t="s">
        <v>12074</v>
      </c>
      <c r="D922" t="s">
        <v>12075</v>
      </c>
      <c r="E922" t="s">
        <v>12077</v>
      </c>
      <c r="F922" t="s">
        <v>2852</v>
      </c>
      <c r="G922" s="712">
        <v>0</v>
      </c>
      <c r="H922">
        <v>0</v>
      </c>
      <c r="I922" s="713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</row>
    <row r="923" spans="1:17">
      <c r="A923">
        <v>2</v>
      </c>
      <c r="B923" t="s">
        <v>12054</v>
      </c>
      <c r="C923" t="s">
        <v>12074</v>
      </c>
      <c r="D923" t="s">
        <v>12075</v>
      </c>
      <c r="E923" t="s">
        <v>2858</v>
      </c>
      <c r="F923" t="s">
        <v>2859</v>
      </c>
      <c r="G923" s="712">
        <v>0</v>
      </c>
      <c r="H923">
        <v>0</v>
      </c>
      <c r="I923" s="713">
        <v>0</v>
      </c>
      <c r="J923" s="732">
        <v>0</v>
      </c>
      <c r="K923" s="732">
        <v>0</v>
      </c>
      <c r="L923" s="732">
        <v>0</v>
      </c>
      <c r="M923" s="732">
        <v>0</v>
      </c>
      <c r="N923" s="732">
        <v>0</v>
      </c>
      <c r="O923" s="732">
        <v>0</v>
      </c>
      <c r="P923" s="732">
        <v>0</v>
      </c>
      <c r="Q923" s="724" t="str">
        <f>VLOOKUP($E923,SP_2024_v28062025!$E$2:$M$1751,9,FALSE)</f>
        <v>PBA160</v>
      </c>
    </row>
    <row r="924" spans="1:17">
      <c r="A924">
        <v>2</v>
      </c>
      <c r="B924" t="s">
        <v>12054</v>
      </c>
      <c r="C924" t="s">
        <v>12074</v>
      </c>
      <c r="D924" t="s">
        <v>12075</v>
      </c>
      <c r="E924" t="s">
        <v>2861</v>
      </c>
      <c r="F924" t="s">
        <v>2862</v>
      </c>
      <c r="G924" s="712">
        <v>0</v>
      </c>
      <c r="H924">
        <v>0</v>
      </c>
      <c r="I924" s="713">
        <v>0</v>
      </c>
      <c r="J924" s="732">
        <v>0</v>
      </c>
      <c r="K924" s="732">
        <v>0</v>
      </c>
      <c r="L924" s="732">
        <v>0</v>
      </c>
      <c r="M924" s="732">
        <v>0</v>
      </c>
      <c r="N924" s="732">
        <v>0</v>
      </c>
      <c r="O924" s="732">
        <v>0</v>
      </c>
      <c r="P924" s="732">
        <v>0</v>
      </c>
      <c r="Q924" s="724" t="str">
        <f>VLOOKUP($E924,SP_2024_v28062025!$E$2:$M$1751,9,FALSE)</f>
        <v>PBA160</v>
      </c>
    </row>
    <row r="925" spans="1:17">
      <c r="A925">
        <v>2</v>
      </c>
      <c r="B925" t="s">
        <v>12054</v>
      </c>
      <c r="C925" t="s">
        <v>12074</v>
      </c>
      <c r="D925" t="s">
        <v>12075</v>
      </c>
      <c r="E925" t="s">
        <v>2863</v>
      </c>
      <c r="F925" t="s">
        <v>2864</v>
      </c>
      <c r="G925" s="712">
        <v>0</v>
      </c>
      <c r="H925">
        <v>0.49</v>
      </c>
      <c r="I925" s="713">
        <v>0.49</v>
      </c>
      <c r="J925" s="732">
        <v>0</v>
      </c>
      <c r="K925" s="732">
        <v>0</v>
      </c>
      <c r="L925" s="732">
        <v>0</v>
      </c>
      <c r="M925" s="732">
        <v>0</v>
      </c>
      <c r="N925" s="732">
        <v>0</v>
      </c>
      <c r="O925" s="732">
        <v>0.49</v>
      </c>
      <c r="P925" s="732">
        <v>-0.49</v>
      </c>
      <c r="Q925" s="724" t="str">
        <f>VLOOKUP($E925,SP_2024_v28062025!$E$2:$M$1751,9,FALSE)</f>
        <v>PBA160</v>
      </c>
    </row>
    <row r="926" spans="1:17">
      <c r="A926">
        <v>2</v>
      </c>
      <c r="B926" t="s">
        <v>12054</v>
      </c>
      <c r="C926" t="s">
        <v>12074</v>
      </c>
      <c r="D926" t="s">
        <v>12075</v>
      </c>
      <c r="E926" t="s">
        <v>2865</v>
      </c>
      <c r="F926" t="s">
        <v>2866</v>
      </c>
      <c r="G926" s="712">
        <v>0</v>
      </c>
      <c r="H926" s="711">
        <v>434522.65</v>
      </c>
      <c r="I926" s="715">
        <v>434522.65</v>
      </c>
      <c r="J926" s="737">
        <v>35000</v>
      </c>
      <c r="K926" s="732">
        <v>0</v>
      </c>
      <c r="L926" s="732">
        <v>0</v>
      </c>
      <c r="M926" s="732">
        <v>0</v>
      </c>
      <c r="N926" s="732">
        <v>35000</v>
      </c>
      <c r="O926" s="732">
        <v>434522.65</v>
      </c>
      <c r="P926" s="732">
        <v>-399522.65</v>
      </c>
      <c r="Q926" s="724" t="str">
        <f>VLOOKUP($E926,SP_2024_v28062025!$E$2:$M$1751,9,FALSE)</f>
        <v>PBA160</v>
      </c>
    </row>
    <row r="927" spans="1:17">
      <c r="A927">
        <v>2</v>
      </c>
      <c r="B927" t="s">
        <v>12054</v>
      </c>
      <c r="C927" t="s">
        <v>12074</v>
      </c>
      <c r="D927" t="s">
        <v>12075</v>
      </c>
      <c r="E927" t="s">
        <v>2867</v>
      </c>
      <c r="F927" t="s">
        <v>2868</v>
      </c>
      <c r="G927" s="712">
        <v>0</v>
      </c>
      <c r="H927" s="711">
        <v>113455.36</v>
      </c>
      <c r="I927" s="715">
        <v>113455.36</v>
      </c>
      <c r="J927" s="737">
        <v>35412.639999999999</v>
      </c>
      <c r="K927" s="732">
        <v>0</v>
      </c>
      <c r="L927" s="732">
        <v>0</v>
      </c>
      <c r="M927" s="732">
        <v>0</v>
      </c>
      <c r="N927" s="732">
        <v>35412.639999999999</v>
      </c>
      <c r="O927" s="732">
        <v>113455.36</v>
      </c>
      <c r="P927" s="732">
        <v>-78042.720000000001</v>
      </c>
      <c r="Q927" s="724" t="str">
        <f>VLOOKUP($E927,SP_2024_v28062025!$E$2:$M$1751,9,FALSE)</f>
        <v>PBA160</v>
      </c>
    </row>
    <row r="928" spans="1:17">
      <c r="A928">
        <v>2</v>
      </c>
      <c r="B928" t="s">
        <v>12054</v>
      </c>
      <c r="C928" t="s">
        <v>12074</v>
      </c>
      <c r="D928" t="s">
        <v>12075</v>
      </c>
      <c r="E928" t="s">
        <v>2869</v>
      </c>
      <c r="F928" t="s">
        <v>2870</v>
      </c>
      <c r="G928" s="712">
        <v>0</v>
      </c>
      <c r="H928">
        <v>0</v>
      </c>
      <c r="I928" s="713">
        <v>0</v>
      </c>
      <c r="J928" s="732">
        <v>0</v>
      </c>
      <c r="K928" s="732">
        <v>0</v>
      </c>
      <c r="L928" s="732">
        <v>0</v>
      </c>
      <c r="M928" s="732">
        <v>0</v>
      </c>
      <c r="N928" s="732">
        <v>0</v>
      </c>
      <c r="O928" s="732">
        <v>0</v>
      </c>
      <c r="P928" s="732">
        <v>0</v>
      </c>
      <c r="Q928" s="724" t="str">
        <f>VLOOKUP($E928,SP_2024_v28062025!$E$2:$M$1751,9,FALSE)</f>
        <v>PBA160</v>
      </c>
    </row>
    <row r="929" spans="1:17">
      <c r="A929">
        <v>2</v>
      </c>
      <c r="B929" t="s">
        <v>12054</v>
      </c>
      <c r="C929" t="s">
        <v>12074</v>
      </c>
      <c r="D929" t="s">
        <v>12075</v>
      </c>
      <c r="E929" t="s">
        <v>2871</v>
      </c>
      <c r="F929" t="s">
        <v>2872</v>
      </c>
      <c r="G929" s="712">
        <v>0</v>
      </c>
      <c r="H929" s="711">
        <v>80571</v>
      </c>
      <c r="I929" s="715">
        <v>80571</v>
      </c>
      <c r="J929" s="732">
        <v>0</v>
      </c>
      <c r="K929" s="732">
        <v>0</v>
      </c>
      <c r="L929" s="732">
        <v>0</v>
      </c>
      <c r="M929" s="732">
        <v>0</v>
      </c>
      <c r="N929" s="732">
        <v>0</v>
      </c>
      <c r="O929" s="732">
        <v>80571</v>
      </c>
      <c r="P929" s="732">
        <v>-80571</v>
      </c>
      <c r="Q929" s="724" t="str">
        <f>VLOOKUP($E929,SP_2024_v28062025!$E$2:$M$1751,9,FALSE)</f>
        <v>PBA160</v>
      </c>
    </row>
    <row r="930" spans="1:17">
      <c r="A930">
        <v>2</v>
      </c>
      <c r="B930" t="s">
        <v>12054</v>
      </c>
      <c r="C930" t="s">
        <v>12074</v>
      </c>
      <c r="D930" t="s">
        <v>12075</v>
      </c>
      <c r="E930" t="s">
        <v>2873</v>
      </c>
      <c r="F930" t="s">
        <v>2874</v>
      </c>
      <c r="G930" s="712">
        <v>0</v>
      </c>
      <c r="H930" s="711">
        <v>314288.75</v>
      </c>
      <c r="I930" s="715">
        <v>314288.75</v>
      </c>
      <c r="J930" s="732">
        <v>0</v>
      </c>
      <c r="K930" s="732">
        <v>0</v>
      </c>
      <c r="L930" s="732">
        <v>0</v>
      </c>
      <c r="M930" s="732">
        <v>0</v>
      </c>
      <c r="N930" s="732">
        <v>0</v>
      </c>
      <c r="O930" s="732">
        <v>314288.75</v>
      </c>
      <c r="P930" s="732">
        <v>-314288.75</v>
      </c>
      <c r="Q930" s="724" t="str">
        <f>VLOOKUP($E930,SP_2024_v28062025!$E$2:$M$1751,9,FALSE)</f>
        <v>PBA160</v>
      </c>
    </row>
    <row r="931" spans="1:17">
      <c r="A931">
        <v>2</v>
      </c>
      <c r="B931" t="s">
        <v>12054</v>
      </c>
      <c r="C931" t="s">
        <v>12074</v>
      </c>
      <c r="D931" t="s">
        <v>12075</v>
      </c>
      <c r="E931" t="s">
        <v>2875</v>
      </c>
      <c r="F931" t="s">
        <v>2876</v>
      </c>
      <c r="G931" s="712">
        <v>0</v>
      </c>
      <c r="H931" s="711">
        <v>12668</v>
      </c>
      <c r="I931" s="715">
        <v>12668</v>
      </c>
      <c r="J931" s="732">
        <v>0</v>
      </c>
      <c r="K931" s="732">
        <v>0</v>
      </c>
      <c r="L931" s="732">
        <v>0</v>
      </c>
      <c r="M931" s="732">
        <v>0</v>
      </c>
      <c r="N931" s="732">
        <v>0</v>
      </c>
      <c r="O931" s="732">
        <v>12668</v>
      </c>
      <c r="P931" s="732">
        <v>-12668</v>
      </c>
      <c r="Q931" s="724" t="str">
        <f>VLOOKUP($E931,SP_2024_v28062025!$E$2:$M$1751,9,FALSE)</f>
        <v>PBA160</v>
      </c>
    </row>
    <row r="932" spans="1:17">
      <c r="A932">
        <v>2</v>
      </c>
      <c r="B932" t="s">
        <v>12054</v>
      </c>
      <c r="C932" t="s">
        <v>12074</v>
      </c>
      <c r="D932" t="s">
        <v>12075</v>
      </c>
      <c r="E932" t="s">
        <v>2877</v>
      </c>
      <c r="F932" t="s">
        <v>2878</v>
      </c>
      <c r="G932" s="712">
        <v>0</v>
      </c>
      <c r="H932" s="711">
        <v>246678.67</v>
      </c>
      <c r="I932" s="715">
        <v>246678.67</v>
      </c>
      <c r="J932" s="732">
        <v>0</v>
      </c>
      <c r="K932" s="732">
        <v>0</v>
      </c>
      <c r="L932" s="732">
        <v>0</v>
      </c>
      <c r="M932" s="732">
        <v>0</v>
      </c>
      <c r="N932" s="732">
        <v>0</v>
      </c>
      <c r="O932" s="732">
        <v>246678.67</v>
      </c>
      <c r="P932" s="732">
        <v>-246678.67</v>
      </c>
      <c r="Q932" s="724" t="str">
        <f>VLOOKUP($E932,SP_2024_v28062025!$E$2:$M$1751,9,FALSE)</f>
        <v>PBA160</v>
      </c>
    </row>
    <row r="933" spans="1:17">
      <c r="A933">
        <v>2</v>
      </c>
      <c r="B933" t="s">
        <v>12054</v>
      </c>
      <c r="C933" t="s">
        <v>12074</v>
      </c>
      <c r="D933" t="s">
        <v>12075</v>
      </c>
      <c r="E933" t="s">
        <v>2879</v>
      </c>
      <c r="F933" t="s">
        <v>2880</v>
      </c>
      <c r="G933" s="712">
        <v>0</v>
      </c>
      <c r="H933" s="711">
        <v>333388.33</v>
      </c>
      <c r="I933" s="715">
        <v>333388.33</v>
      </c>
      <c r="J933" s="732">
        <v>0</v>
      </c>
      <c r="K933" s="732">
        <v>0</v>
      </c>
      <c r="L933" s="732">
        <v>0</v>
      </c>
      <c r="M933" s="732">
        <v>0</v>
      </c>
      <c r="N933" s="732">
        <v>0</v>
      </c>
      <c r="O933" s="732">
        <v>333388.33</v>
      </c>
      <c r="P933" s="732">
        <v>-333388.33</v>
      </c>
      <c r="Q933" s="724" t="str">
        <f>VLOOKUP($E933,SP_2024_v28062025!$E$2:$M$1751,9,FALSE)</f>
        <v>PBA160</v>
      </c>
    </row>
    <row r="934" spans="1:17">
      <c r="A934">
        <v>2</v>
      </c>
      <c r="B934" t="s">
        <v>12054</v>
      </c>
      <c r="C934" t="s">
        <v>12074</v>
      </c>
      <c r="D934" t="s">
        <v>12075</v>
      </c>
      <c r="E934" t="s">
        <v>2881</v>
      </c>
      <c r="F934" t="s">
        <v>2882</v>
      </c>
      <c r="G934" s="712">
        <v>0</v>
      </c>
      <c r="H934" s="711">
        <v>52271.67</v>
      </c>
      <c r="I934" s="715">
        <v>52271.67</v>
      </c>
      <c r="J934" s="732">
        <v>0</v>
      </c>
      <c r="K934" s="732">
        <v>0</v>
      </c>
      <c r="L934" s="732">
        <v>0</v>
      </c>
      <c r="M934" s="732">
        <v>0</v>
      </c>
      <c r="N934" s="732">
        <v>0</v>
      </c>
      <c r="O934" s="732">
        <v>52271.67</v>
      </c>
      <c r="P934" s="732">
        <v>-52271.67</v>
      </c>
      <c r="Q934" s="724" t="str">
        <f>VLOOKUP($E934,SP_2024_v28062025!$E$2:$M$1751,9,FALSE)</f>
        <v>PBA160</v>
      </c>
    </row>
    <row r="935" spans="1:17">
      <c r="A935">
        <v>2</v>
      </c>
      <c r="B935" t="s">
        <v>12054</v>
      </c>
      <c r="C935" t="s">
        <v>12074</v>
      </c>
      <c r="D935" t="s">
        <v>12075</v>
      </c>
      <c r="E935" t="s">
        <v>2883</v>
      </c>
      <c r="F935" t="s">
        <v>2884</v>
      </c>
      <c r="G935" s="712">
        <v>0</v>
      </c>
      <c r="H935" s="711">
        <v>68332.67</v>
      </c>
      <c r="I935" s="715">
        <v>68332.67</v>
      </c>
      <c r="J935" s="732">
        <v>0</v>
      </c>
      <c r="K935" s="732">
        <v>0</v>
      </c>
      <c r="L935" s="732">
        <v>0</v>
      </c>
      <c r="M935" s="732">
        <v>0</v>
      </c>
      <c r="N935" s="732">
        <v>0</v>
      </c>
      <c r="O935" s="732">
        <v>68332.67</v>
      </c>
      <c r="P935" s="732">
        <v>-68332.67</v>
      </c>
      <c r="Q935" s="724" t="str">
        <f>VLOOKUP($E935,SP_2024_v28062025!$E$2:$M$1751,9,FALSE)</f>
        <v>PBA160</v>
      </c>
    </row>
    <row r="936" spans="1:17">
      <c r="A936">
        <v>2</v>
      </c>
      <c r="B936" t="s">
        <v>12054</v>
      </c>
      <c r="C936" t="s">
        <v>12074</v>
      </c>
      <c r="D936" t="s">
        <v>12075</v>
      </c>
      <c r="E936" t="s">
        <v>2885</v>
      </c>
      <c r="F936" t="s">
        <v>2886</v>
      </c>
      <c r="G936" s="712">
        <v>0</v>
      </c>
      <c r="H936">
        <v>0.47</v>
      </c>
      <c r="I936" s="713">
        <v>0.47</v>
      </c>
      <c r="J936" s="732">
        <v>0</v>
      </c>
      <c r="K936" s="732">
        <v>0</v>
      </c>
      <c r="L936" s="732">
        <v>0</v>
      </c>
      <c r="M936" s="732">
        <v>0</v>
      </c>
      <c r="N936" s="732">
        <v>0</v>
      </c>
      <c r="O936" s="732">
        <v>0.47</v>
      </c>
      <c r="P936" s="732">
        <v>-0.47</v>
      </c>
      <c r="Q936" s="724" t="str">
        <f>VLOOKUP($E936,SP_2024_v28062025!$E$2:$M$1751,9,FALSE)</f>
        <v>PBA160</v>
      </c>
    </row>
    <row r="937" spans="1:17">
      <c r="A937">
        <v>2</v>
      </c>
      <c r="B937" t="s">
        <v>12054</v>
      </c>
      <c r="C937" t="s">
        <v>12074</v>
      </c>
      <c r="D937" t="s">
        <v>12075</v>
      </c>
      <c r="E937" t="s">
        <v>2887</v>
      </c>
      <c r="F937" t="s">
        <v>2888</v>
      </c>
      <c r="G937" s="712">
        <v>0</v>
      </c>
      <c r="H937">
        <v>0.05</v>
      </c>
      <c r="I937" s="713">
        <v>0.05</v>
      </c>
      <c r="J937" s="732">
        <v>0</v>
      </c>
      <c r="K937" s="732">
        <v>0</v>
      </c>
      <c r="L937" s="732">
        <v>0</v>
      </c>
      <c r="M937" s="732">
        <v>0</v>
      </c>
      <c r="N937" s="732">
        <v>0</v>
      </c>
      <c r="O937" s="732">
        <v>0.05</v>
      </c>
      <c r="P937" s="732">
        <v>-0.05</v>
      </c>
      <c r="Q937" s="724" t="str">
        <f>VLOOKUP($E937,SP_2024_v28062025!$E$2:$M$1751,9,FALSE)</f>
        <v>PBA160</v>
      </c>
    </row>
    <row r="938" spans="1:17">
      <c r="A938">
        <v>2</v>
      </c>
      <c r="B938" t="s">
        <v>12054</v>
      </c>
      <c r="C938" t="s">
        <v>12074</v>
      </c>
      <c r="D938" t="s">
        <v>12075</v>
      </c>
      <c r="E938" t="s">
        <v>2889</v>
      </c>
      <c r="F938" t="s">
        <v>2890</v>
      </c>
      <c r="G938" s="712">
        <v>0</v>
      </c>
      <c r="H938">
        <v>0</v>
      </c>
      <c r="I938" s="713">
        <v>0</v>
      </c>
      <c r="J938" s="732">
        <v>0</v>
      </c>
      <c r="K938" s="732">
        <v>0</v>
      </c>
      <c r="L938" s="732">
        <v>0</v>
      </c>
      <c r="M938" s="732">
        <v>0</v>
      </c>
      <c r="N938" s="732">
        <v>0</v>
      </c>
      <c r="O938" s="732">
        <v>0</v>
      </c>
      <c r="P938" s="732">
        <v>0</v>
      </c>
      <c r="Q938" s="724" t="str">
        <f>VLOOKUP($E938,SP_2024_v28062025!$E$2:$M$1751,9,FALSE)</f>
        <v>PBA160</v>
      </c>
    </row>
    <row r="939" spans="1:17">
      <c r="A939">
        <v>2</v>
      </c>
      <c r="B939" t="s">
        <v>12054</v>
      </c>
      <c r="C939" t="s">
        <v>12074</v>
      </c>
      <c r="D939" t="s">
        <v>12075</v>
      </c>
      <c r="E939" t="s">
        <v>2891</v>
      </c>
      <c r="F939" t="s">
        <v>2892</v>
      </c>
      <c r="G939" s="712">
        <v>0</v>
      </c>
      <c r="H939" s="711">
        <v>11900.59</v>
      </c>
      <c r="I939" s="715">
        <v>11900.59</v>
      </c>
      <c r="J939" s="737">
        <v>6000</v>
      </c>
      <c r="K939" s="732">
        <v>0</v>
      </c>
      <c r="L939" s="732">
        <v>0</v>
      </c>
      <c r="M939" s="732">
        <v>0</v>
      </c>
      <c r="N939" s="732">
        <v>6000</v>
      </c>
      <c r="O939" s="732">
        <v>11900.59</v>
      </c>
      <c r="P939" s="732">
        <v>-5900.59</v>
      </c>
      <c r="Q939" s="724" t="str">
        <f>VLOOKUP($E939,SP_2024_v28062025!$E$2:$M$1751,9,FALSE)</f>
        <v>PBA160</v>
      </c>
    </row>
    <row r="940" spans="1:17">
      <c r="A940">
        <v>2</v>
      </c>
      <c r="B940" t="s">
        <v>12054</v>
      </c>
      <c r="C940" t="s">
        <v>12074</v>
      </c>
      <c r="D940" t="s">
        <v>12075</v>
      </c>
      <c r="E940" t="s">
        <v>2893</v>
      </c>
      <c r="F940" t="s">
        <v>2894</v>
      </c>
      <c r="G940" s="712">
        <v>0</v>
      </c>
      <c r="H940">
        <v>0</v>
      </c>
      <c r="I940" s="713">
        <v>0</v>
      </c>
      <c r="J940" s="732">
        <v>0</v>
      </c>
      <c r="K940" s="732">
        <v>0</v>
      </c>
      <c r="L940" s="732">
        <v>0</v>
      </c>
      <c r="M940" s="732">
        <v>0</v>
      </c>
      <c r="N940" s="732">
        <v>0</v>
      </c>
      <c r="O940" s="732">
        <v>0</v>
      </c>
      <c r="P940" s="732">
        <v>0</v>
      </c>
      <c r="Q940" s="724" t="str">
        <f>VLOOKUP($E940,SP_2024_v28062025!$E$2:$M$1751,9,FALSE)</f>
        <v>PBA160</v>
      </c>
    </row>
    <row r="941" spans="1:17">
      <c r="A941">
        <v>2</v>
      </c>
      <c r="B941" t="s">
        <v>12054</v>
      </c>
      <c r="C941" t="s">
        <v>12074</v>
      </c>
      <c r="D941" t="s">
        <v>12075</v>
      </c>
      <c r="E941" t="s">
        <v>2895</v>
      </c>
      <c r="F941" t="s">
        <v>2896</v>
      </c>
      <c r="G941" s="712">
        <v>0</v>
      </c>
      <c r="H941" s="711">
        <v>42445.34</v>
      </c>
      <c r="I941" s="715">
        <v>42445.34</v>
      </c>
      <c r="J941" s="737">
        <v>42445</v>
      </c>
      <c r="K941" s="732">
        <v>0</v>
      </c>
      <c r="L941" s="732">
        <v>0</v>
      </c>
      <c r="M941" s="732">
        <v>0</v>
      </c>
      <c r="N941" s="732">
        <v>42445</v>
      </c>
      <c r="O941" s="732">
        <v>42445.34</v>
      </c>
      <c r="P941" s="732">
        <v>-0.34</v>
      </c>
      <c r="Q941" s="724" t="str">
        <f>VLOOKUP($E941,SP_2024_v28062025!$E$2:$M$1751,9,FALSE)</f>
        <v>PBA160</v>
      </c>
    </row>
    <row r="942" spans="1:17">
      <c r="A942">
        <v>2</v>
      </c>
      <c r="B942" t="s">
        <v>12054</v>
      </c>
      <c r="C942" t="s">
        <v>12074</v>
      </c>
      <c r="D942" t="s">
        <v>12075</v>
      </c>
      <c r="E942" t="s">
        <v>2897</v>
      </c>
      <c r="F942" t="s">
        <v>2898</v>
      </c>
      <c r="G942" s="712">
        <v>0</v>
      </c>
      <c r="H942" s="711">
        <v>47808.7</v>
      </c>
      <c r="I942" s="715">
        <v>47808.7</v>
      </c>
      <c r="J942" s="732">
        <v>0</v>
      </c>
      <c r="K942" s="732">
        <v>0</v>
      </c>
      <c r="L942" s="732">
        <v>0</v>
      </c>
      <c r="M942" s="732">
        <v>0</v>
      </c>
      <c r="N942" s="732">
        <v>0</v>
      </c>
      <c r="O942" s="732">
        <v>47808.7</v>
      </c>
      <c r="P942" s="732">
        <v>-47808.7</v>
      </c>
      <c r="Q942" s="724" t="str">
        <f>VLOOKUP($E942,SP_2024_v28062025!$E$2:$M$1751,9,FALSE)</f>
        <v>PBA160</v>
      </c>
    </row>
    <row r="943" spans="1:17">
      <c r="A943">
        <v>2</v>
      </c>
      <c r="B943" t="s">
        <v>12054</v>
      </c>
      <c r="C943" t="s">
        <v>12074</v>
      </c>
      <c r="D943" t="s">
        <v>12075</v>
      </c>
      <c r="E943" t="s">
        <v>2899</v>
      </c>
      <c r="F943" t="s">
        <v>2900</v>
      </c>
      <c r="G943" s="712">
        <v>0</v>
      </c>
      <c r="H943" s="711">
        <v>45349.08</v>
      </c>
      <c r="I943" s="715">
        <v>45349.08</v>
      </c>
      <c r="J943" s="732">
        <v>0</v>
      </c>
      <c r="K943" s="732">
        <v>0</v>
      </c>
      <c r="L943" s="732">
        <v>0</v>
      </c>
      <c r="M943" s="732">
        <v>0</v>
      </c>
      <c r="N943" s="732">
        <v>0</v>
      </c>
      <c r="O943" s="732">
        <v>45349.08</v>
      </c>
      <c r="P943" s="732">
        <v>-45349.08</v>
      </c>
      <c r="Q943" s="724" t="str">
        <f>VLOOKUP($E943,SP_2024_v28062025!$E$2:$M$1751,9,FALSE)</f>
        <v>PBA160</v>
      </c>
    </row>
    <row r="944" spans="1:17">
      <c r="A944">
        <v>2</v>
      </c>
      <c r="B944" t="s">
        <v>12054</v>
      </c>
      <c r="C944" t="s">
        <v>12074</v>
      </c>
      <c r="D944" t="s">
        <v>12075</v>
      </c>
      <c r="E944" t="s">
        <v>2901</v>
      </c>
      <c r="F944" t="s">
        <v>2902</v>
      </c>
      <c r="G944" s="712">
        <v>0</v>
      </c>
      <c r="H944" s="711">
        <v>276398.62</v>
      </c>
      <c r="I944" s="715">
        <v>276398.62</v>
      </c>
      <c r="J944" s="732">
        <v>0</v>
      </c>
      <c r="K944" s="732">
        <v>0</v>
      </c>
      <c r="L944" s="732">
        <v>0</v>
      </c>
      <c r="M944" s="732">
        <v>0</v>
      </c>
      <c r="N944" s="732">
        <v>0</v>
      </c>
      <c r="O944" s="732">
        <v>276398.62</v>
      </c>
      <c r="P944" s="732">
        <v>-276398.62</v>
      </c>
      <c r="Q944" s="724" t="str">
        <f>VLOOKUP($E944,SP_2024_v28062025!$E$2:$M$1751,9,FALSE)</f>
        <v>PBA160</v>
      </c>
    </row>
    <row r="945" spans="1:17">
      <c r="A945">
        <v>2</v>
      </c>
      <c r="B945" t="s">
        <v>12054</v>
      </c>
      <c r="C945" t="s">
        <v>12074</v>
      </c>
      <c r="D945" t="s">
        <v>12075</v>
      </c>
      <c r="E945" t="s">
        <v>2903</v>
      </c>
      <c r="F945" t="s">
        <v>2904</v>
      </c>
      <c r="G945" s="712">
        <v>0</v>
      </c>
      <c r="H945" s="711">
        <v>362815.87</v>
      </c>
      <c r="I945" s="715">
        <v>362815.87</v>
      </c>
      <c r="J945" s="737">
        <v>227690.37</v>
      </c>
      <c r="K945" s="732">
        <v>0</v>
      </c>
      <c r="L945" s="732">
        <v>0</v>
      </c>
      <c r="M945" s="732">
        <v>0</v>
      </c>
      <c r="N945" s="732">
        <v>227690.37</v>
      </c>
      <c r="O945" s="732">
        <v>362815.87</v>
      </c>
      <c r="P945" s="732">
        <v>-135125.5</v>
      </c>
      <c r="Q945" s="724" t="str">
        <f>VLOOKUP($E945,SP_2024_v28062025!$E$2:$M$1751,9,FALSE)</f>
        <v>PBA160</v>
      </c>
    </row>
    <row r="946" spans="1:17">
      <c r="A946">
        <v>2</v>
      </c>
      <c r="B946" t="s">
        <v>12054</v>
      </c>
      <c r="C946" t="s">
        <v>12074</v>
      </c>
      <c r="D946" t="s">
        <v>12075</v>
      </c>
      <c r="E946" t="s">
        <v>2906</v>
      </c>
      <c r="F946" t="s">
        <v>2907</v>
      </c>
      <c r="G946" s="712">
        <v>0</v>
      </c>
      <c r="H946" s="711">
        <v>107761.59</v>
      </c>
      <c r="I946" s="715">
        <v>107761.59</v>
      </c>
      <c r="J946" s="732">
        <v>28059</v>
      </c>
      <c r="K946" s="732">
        <v>0</v>
      </c>
      <c r="L946" s="732">
        <v>0</v>
      </c>
      <c r="M946" s="732">
        <v>0</v>
      </c>
      <c r="N946" s="732">
        <v>28059</v>
      </c>
      <c r="O946" s="732">
        <v>107761.59</v>
      </c>
      <c r="P946" s="732">
        <v>-79702.59</v>
      </c>
      <c r="Q946" s="724" t="str">
        <f>VLOOKUP($E946,SP_2024_v28062025!$E$2:$M$1751,9,FALSE)</f>
        <v>PBA160</v>
      </c>
    </row>
    <row r="947" spans="1:17">
      <c r="A947">
        <v>2</v>
      </c>
      <c r="B947" t="s">
        <v>12054</v>
      </c>
      <c r="C947" t="s">
        <v>12074</v>
      </c>
      <c r="D947" t="s">
        <v>12075</v>
      </c>
      <c r="E947" t="s">
        <v>2908</v>
      </c>
      <c r="F947" t="s">
        <v>2909</v>
      </c>
      <c r="G947" s="712">
        <v>0</v>
      </c>
      <c r="H947" s="711">
        <v>1233839.76</v>
      </c>
      <c r="I947" s="715">
        <v>1233839.76</v>
      </c>
      <c r="J947" s="732">
        <v>27958.33</v>
      </c>
      <c r="K947" s="732">
        <v>0</v>
      </c>
      <c r="L947" s="732">
        <v>0</v>
      </c>
      <c r="M947" s="732">
        <v>0</v>
      </c>
      <c r="N947" s="732">
        <v>27958.33</v>
      </c>
      <c r="O947" s="732">
        <v>1233839.76</v>
      </c>
      <c r="P947" s="732">
        <v>-1205881.43</v>
      </c>
      <c r="Q947" s="724" t="str">
        <f>VLOOKUP($E947,SP_2024_v28062025!$E$2:$M$1751,9,FALSE)</f>
        <v>PBA160</v>
      </c>
    </row>
    <row r="948" spans="1:17">
      <c r="A948">
        <v>2</v>
      </c>
      <c r="B948" t="s">
        <v>12054</v>
      </c>
      <c r="C948" t="s">
        <v>12074</v>
      </c>
      <c r="D948" t="s">
        <v>12075</v>
      </c>
      <c r="E948" t="s">
        <v>2910</v>
      </c>
      <c r="F948" t="s">
        <v>2911</v>
      </c>
      <c r="G948" s="712">
        <v>0</v>
      </c>
      <c r="H948" s="711">
        <v>180059.53</v>
      </c>
      <c r="I948" s="715">
        <v>180059.53</v>
      </c>
      <c r="J948" s="737">
        <v>21367.759999999998</v>
      </c>
      <c r="K948" s="732">
        <v>0</v>
      </c>
      <c r="L948" s="732">
        <v>0</v>
      </c>
      <c r="M948" s="732">
        <v>0</v>
      </c>
      <c r="N948" s="732">
        <v>21367.759999999998</v>
      </c>
      <c r="O948" s="732">
        <v>180059.53</v>
      </c>
      <c r="P948" s="732">
        <v>-158691.76999999999</v>
      </c>
      <c r="Q948" s="724" t="str">
        <f>VLOOKUP($E948,SP_2024_v28062025!$E$2:$M$1751,9,FALSE)</f>
        <v>PBA160</v>
      </c>
    </row>
    <row r="949" spans="1:17">
      <c r="A949">
        <v>2</v>
      </c>
      <c r="B949" t="s">
        <v>12054</v>
      </c>
      <c r="C949" t="s">
        <v>12074</v>
      </c>
      <c r="D949" t="s">
        <v>12075</v>
      </c>
      <c r="E949" t="s">
        <v>2913</v>
      </c>
      <c r="F949" t="s">
        <v>2914</v>
      </c>
      <c r="G949" s="712">
        <v>0</v>
      </c>
      <c r="H949">
        <v>0</v>
      </c>
      <c r="I949" s="713">
        <v>0</v>
      </c>
      <c r="J949" s="732">
        <v>0</v>
      </c>
      <c r="K949" s="732">
        <v>0</v>
      </c>
      <c r="L949" s="732">
        <v>0</v>
      </c>
      <c r="M949" s="732">
        <v>0</v>
      </c>
      <c r="N949" s="732">
        <v>0</v>
      </c>
      <c r="O949" s="732">
        <v>0</v>
      </c>
      <c r="P949" s="732">
        <v>0</v>
      </c>
      <c r="Q949" s="724" t="str">
        <f>VLOOKUP($E949,SP_2024_v28062025!$E$2:$M$1751,9,FALSE)</f>
        <v>PBA160</v>
      </c>
    </row>
    <row r="950" spans="1:17">
      <c r="A950">
        <v>2</v>
      </c>
      <c r="B950" t="s">
        <v>12054</v>
      </c>
      <c r="C950" t="s">
        <v>12074</v>
      </c>
      <c r="D950" t="s">
        <v>12075</v>
      </c>
      <c r="E950" t="s">
        <v>2915</v>
      </c>
      <c r="F950" t="s">
        <v>2916</v>
      </c>
      <c r="G950" s="712">
        <v>0</v>
      </c>
      <c r="H950" s="711">
        <v>80643.58</v>
      </c>
      <c r="I950" s="715">
        <v>80643.58</v>
      </c>
      <c r="J950" s="732">
        <v>0</v>
      </c>
      <c r="K950" s="732">
        <v>0</v>
      </c>
      <c r="L950" s="732">
        <v>0</v>
      </c>
      <c r="M950" s="732">
        <v>0</v>
      </c>
      <c r="N950" s="732">
        <v>0</v>
      </c>
      <c r="O950" s="732">
        <v>80643.58</v>
      </c>
      <c r="P950" s="732">
        <v>-80643.58</v>
      </c>
      <c r="Q950" s="724" t="str">
        <f>VLOOKUP($E950,SP_2024_v28062025!$E$2:$M$1751,9,FALSE)</f>
        <v>PBA160</v>
      </c>
    </row>
    <row r="951" spans="1:17">
      <c r="A951">
        <v>2</v>
      </c>
      <c r="B951" t="s">
        <v>12054</v>
      </c>
      <c r="C951" t="s">
        <v>12074</v>
      </c>
      <c r="D951" t="s">
        <v>12075</v>
      </c>
      <c r="E951" t="s">
        <v>2918</v>
      </c>
      <c r="F951" t="s">
        <v>2919</v>
      </c>
      <c r="G951" s="712">
        <v>0</v>
      </c>
      <c r="H951">
        <v>0</v>
      </c>
      <c r="I951" s="713">
        <v>0</v>
      </c>
      <c r="J951" s="732">
        <v>0</v>
      </c>
      <c r="K951" s="732">
        <v>0</v>
      </c>
      <c r="L951" s="732">
        <v>0</v>
      </c>
      <c r="M951" s="732">
        <v>0</v>
      </c>
      <c r="N951" s="732">
        <v>0</v>
      </c>
      <c r="O951" s="732">
        <v>0</v>
      </c>
      <c r="P951" s="732">
        <v>0</v>
      </c>
      <c r="Q951" s="724" t="str">
        <f>VLOOKUP($E951,SP_2024_v28062025!$E$2:$M$1751,9,FALSE)</f>
        <v>PBA160</v>
      </c>
    </row>
    <row r="952" spans="1:17">
      <c r="A952">
        <v>2</v>
      </c>
      <c r="B952" t="s">
        <v>12054</v>
      </c>
      <c r="C952" t="s">
        <v>12074</v>
      </c>
      <c r="D952" t="s">
        <v>12075</v>
      </c>
      <c r="E952" t="s">
        <v>2921</v>
      </c>
      <c r="F952" t="s">
        <v>2922</v>
      </c>
      <c r="G952" s="712">
        <v>0</v>
      </c>
      <c r="H952">
        <v>0</v>
      </c>
      <c r="I952" s="713">
        <v>0</v>
      </c>
      <c r="J952" s="732">
        <v>0</v>
      </c>
      <c r="K952" s="732">
        <v>0</v>
      </c>
      <c r="L952" s="732">
        <v>0</v>
      </c>
      <c r="M952" s="732">
        <v>0</v>
      </c>
      <c r="N952" s="732">
        <v>0</v>
      </c>
      <c r="O952" s="732">
        <v>0</v>
      </c>
      <c r="P952" s="732">
        <v>0</v>
      </c>
      <c r="Q952" s="724" t="str">
        <f>VLOOKUP($E952,SP_2024_v28062025!$E$2:$M$1751,9,FALSE)</f>
        <v>PBA160</v>
      </c>
    </row>
    <row r="953" spans="1:17">
      <c r="A953">
        <v>2</v>
      </c>
      <c r="B953" t="s">
        <v>12054</v>
      </c>
      <c r="C953" t="s">
        <v>12074</v>
      </c>
      <c r="D953" t="s">
        <v>12075</v>
      </c>
      <c r="E953" t="s">
        <v>2924</v>
      </c>
      <c r="F953" t="s">
        <v>2925</v>
      </c>
      <c r="G953" s="712">
        <v>0</v>
      </c>
      <c r="H953" s="711">
        <v>453048.4</v>
      </c>
      <c r="I953" s="715">
        <v>453048.4</v>
      </c>
      <c r="J953" s="737">
        <v>233071.91</v>
      </c>
      <c r="K953" s="732">
        <v>0</v>
      </c>
      <c r="L953" s="732">
        <v>0</v>
      </c>
      <c r="M953" s="732">
        <v>0</v>
      </c>
      <c r="N953" s="732">
        <v>233071.91</v>
      </c>
      <c r="O953" s="732">
        <v>453048.4</v>
      </c>
      <c r="P953" s="732">
        <v>-219976.49</v>
      </c>
      <c r="Q953" s="724" t="str">
        <f>VLOOKUP($E953,SP_2024_v28062025!$E$2:$M$1751,9,FALSE)</f>
        <v>PBA160</v>
      </c>
    </row>
    <row r="954" spans="1:17">
      <c r="A954">
        <v>2</v>
      </c>
      <c r="B954" t="s">
        <v>12054</v>
      </c>
      <c r="C954" t="s">
        <v>12074</v>
      </c>
      <c r="D954" t="s">
        <v>12075</v>
      </c>
      <c r="E954" t="s">
        <v>2926</v>
      </c>
      <c r="F954" t="s">
        <v>2927</v>
      </c>
      <c r="G954" s="712">
        <v>0</v>
      </c>
      <c r="H954" s="711">
        <v>1020294</v>
      </c>
      <c r="I954" s="715">
        <v>1020294</v>
      </c>
      <c r="J954" s="732">
        <v>130909.64</v>
      </c>
      <c r="K954" s="732">
        <v>0</v>
      </c>
      <c r="L954" s="732">
        <v>0</v>
      </c>
      <c r="M954" s="732">
        <v>0</v>
      </c>
      <c r="N954" s="732">
        <v>130909.64</v>
      </c>
      <c r="O954" s="732">
        <v>1020294</v>
      </c>
      <c r="P954" s="732">
        <v>-889384.36</v>
      </c>
      <c r="Q954" s="724" t="str">
        <f>VLOOKUP($E954,SP_2024_v28062025!$E$2:$M$1751,9,FALSE)</f>
        <v>PBA160</v>
      </c>
    </row>
    <row r="955" spans="1:17">
      <c r="A955">
        <v>2</v>
      </c>
      <c r="B955" t="s">
        <v>12054</v>
      </c>
      <c r="C955" t="s">
        <v>12074</v>
      </c>
      <c r="D955" t="s">
        <v>12075</v>
      </c>
      <c r="E955" t="s">
        <v>2928</v>
      </c>
      <c r="F955" t="s">
        <v>2929</v>
      </c>
      <c r="G955" s="712">
        <v>0</v>
      </c>
      <c r="H955" s="711">
        <v>547213.89</v>
      </c>
      <c r="I955" s="715">
        <v>547213.89</v>
      </c>
      <c r="J955" s="732">
        <v>89380.91</v>
      </c>
      <c r="K955" s="732">
        <v>0</v>
      </c>
      <c r="L955" s="732">
        <v>0</v>
      </c>
      <c r="M955" s="732">
        <v>0</v>
      </c>
      <c r="N955" s="732">
        <v>89380.91</v>
      </c>
      <c r="O955" s="732">
        <v>547213.89</v>
      </c>
      <c r="P955" s="732">
        <v>-457832.98</v>
      </c>
      <c r="Q955" s="724" t="str">
        <f>VLOOKUP($E955,SP_2024_v28062025!$E$2:$M$1751,9,FALSE)</f>
        <v>PBA160</v>
      </c>
    </row>
    <row r="956" spans="1:17">
      <c r="A956">
        <v>2</v>
      </c>
      <c r="B956" t="s">
        <v>12054</v>
      </c>
      <c r="C956" t="s">
        <v>12074</v>
      </c>
      <c r="D956" t="s">
        <v>12075</v>
      </c>
      <c r="E956" t="s">
        <v>2930</v>
      </c>
      <c r="F956" t="s">
        <v>2931</v>
      </c>
      <c r="G956" s="712">
        <v>0</v>
      </c>
      <c r="H956" s="711">
        <v>2029181.37</v>
      </c>
      <c r="I956" s="715">
        <v>2029181.37</v>
      </c>
      <c r="J956" s="732">
        <v>579030.18000000005</v>
      </c>
      <c r="K956" s="732">
        <v>0</v>
      </c>
      <c r="L956" s="732">
        <v>0</v>
      </c>
      <c r="M956" s="732">
        <v>0</v>
      </c>
      <c r="N956" s="732">
        <v>579030.18000000005</v>
      </c>
      <c r="O956" s="732">
        <v>2029181.37</v>
      </c>
      <c r="P956" s="732">
        <v>-1450151.19</v>
      </c>
      <c r="Q956" s="724" t="str">
        <f>VLOOKUP($E956,SP_2024_v28062025!$E$2:$M$1751,9,FALSE)</f>
        <v>PBA160</v>
      </c>
    </row>
    <row r="957" spans="1:17">
      <c r="A957">
        <v>2</v>
      </c>
      <c r="B957" t="s">
        <v>12054</v>
      </c>
      <c r="C957" t="s">
        <v>12074</v>
      </c>
      <c r="D957" t="s">
        <v>12075</v>
      </c>
      <c r="E957" t="s">
        <v>2932</v>
      </c>
      <c r="F957" t="s">
        <v>2933</v>
      </c>
      <c r="G957" s="712">
        <v>0</v>
      </c>
      <c r="H957" s="711">
        <v>823727</v>
      </c>
      <c r="I957" s="715">
        <v>823727</v>
      </c>
      <c r="J957" s="737">
        <v>61099.91</v>
      </c>
      <c r="K957" s="732">
        <v>0</v>
      </c>
      <c r="L957" s="732">
        <v>0</v>
      </c>
      <c r="M957" s="732">
        <v>0</v>
      </c>
      <c r="N957" s="732">
        <v>61099.91</v>
      </c>
      <c r="O957" s="732">
        <v>823727</v>
      </c>
      <c r="P957" s="732">
        <v>-762627.09</v>
      </c>
      <c r="Q957" s="724" t="str">
        <f>VLOOKUP($E957,SP_2024_v28062025!$E$2:$M$1751,9,FALSE)</f>
        <v>PBA160</v>
      </c>
    </row>
    <row r="958" spans="1:17">
      <c r="A958">
        <v>2</v>
      </c>
      <c r="B958" t="s">
        <v>12054</v>
      </c>
      <c r="C958" t="s">
        <v>12074</v>
      </c>
      <c r="D958" t="s">
        <v>12075</v>
      </c>
      <c r="E958" t="s">
        <v>2934</v>
      </c>
      <c r="F958" t="s">
        <v>2935</v>
      </c>
      <c r="G958" s="712">
        <v>0</v>
      </c>
      <c r="H958">
        <v>0</v>
      </c>
      <c r="I958" s="713">
        <v>0</v>
      </c>
      <c r="J958" s="732">
        <v>0</v>
      </c>
      <c r="K958" s="732">
        <v>0</v>
      </c>
      <c r="L958" s="732">
        <v>0</v>
      </c>
      <c r="M958" s="732">
        <v>0</v>
      </c>
      <c r="N958" s="732">
        <v>0</v>
      </c>
      <c r="O958" s="732">
        <v>0</v>
      </c>
      <c r="P958" s="732">
        <v>0</v>
      </c>
      <c r="Q958" s="724" t="str">
        <f>VLOOKUP($E958,SP_2024_v28062025!$E$2:$M$1751,9,FALSE)</f>
        <v>PBA160</v>
      </c>
    </row>
    <row r="959" spans="1:17">
      <c r="A959">
        <v>2</v>
      </c>
      <c r="B959" t="s">
        <v>12054</v>
      </c>
      <c r="C959" t="s">
        <v>12074</v>
      </c>
      <c r="D959" t="s">
        <v>12075</v>
      </c>
      <c r="E959" t="s">
        <v>2936</v>
      </c>
      <c r="F959" t="s">
        <v>2937</v>
      </c>
      <c r="G959" s="712">
        <v>0</v>
      </c>
      <c r="H959" s="711">
        <v>390167</v>
      </c>
      <c r="I959" s="715">
        <v>390167</v>
      </c>
      <c r="J959" s="737">
        <v>204067.28</v>
      </c>
      <c r="K959" s="732">
        <v>0</v>
      </c>
      <c r="L959" s="732">
        <v>0</v>
      </c>
      <c r="M959" s="732">
        <v>0</v>
      </c>
      <c r="N959" s="732">
        <v>204067.28</v>
      </c>
      <c r="O959" s="732">
        <v>390167</v>
      </c>
      <c r="P959" s="732">
        <v>-186099.72</v>
      </c>
      <c r="Q959" s="724" t="str">
        <f>VLOOKUP($E959,SP_2024_v28062025!$E$2:$M$1751,9,FALSE)</f>
        <v>PBA160</v>
      </c>
    </row>
    <row r="960" spans="1:17">
      <c r="A960">
        <v>2</v>
      </c>
      <c r="B960" t="s">
        <v>12054</v>
      </c>
      <c r="C960" t="s">
        <v>12074</v>
      </c>
      <c r="D960" t="s">
        <v>12075</v>
      </c>
      <c r="E960" t="s">
        <v>2938</v>
      </c>
      <c r="F960" t="s">
        <v>2939</v>
      </c>
      <c r="G960" s="712">
        <v>0</v>
      </c>
      <c r="H960" s="711">
        <v>2281274</v>
      </c>
      <c r="I960" s="715">
        <v>2281274</v>
      </c>
      <c r="J960" s="732">
        <v>0</v>
      </c>
      <c r="K960" s="732">
        <v>0</v>
      </c>
      <c r="L960" s="732">
        <v>0</v>
      </c>
      <c r="M960" s="732">
        <v>0</v>
      </c>
      <c r="N960" s="732">
        <v>0</v>
      </c>
      <c r="O960" s="732">
        <v>2281274</v>
      </c>
      <c r="P960" s="732">
        <v>-2281274</v>
      </c>
      <c r="Q960" s="724" t="str">
        <f>VLOOKUP($E960,SP_2024_v28062025!$E$2:$M$1751,9,FALSE)</f>
        <v>PBA160</v>
      </c>
    </row>
    <row r="961" spans="1:17">
      <c r="A961">
        <v>2</v>
      </c>
      <c r="B961" t="s">
        <v>12054</v>
      </c>
      <c r="C961" t="s">
        <v>12074</v>
      </c>
      <c r="D961" t="s">
        <v>12075</v>
      </c>
      <c r="E961" t="s">
        <v>2940</v>
      </c>
      <c r="F961" t="s">
        <v>2941</v>
      </c>
      <c r="G961" s="712">
        <v>0</v>
      </c>
      <c r="H961">
        <v>0</v>
      </c>
      <c r="I961" s="713">
        <v>0</v>
      </c>
      <c r="J961" s="732">
        <v>0</v>
      </c>
      <c r="K961" s="732">
        <v>353714.3</v>
      </c>
      <c r="L961" s="732">
        <v>0</v>
      </c>
      <c r="M961" s="732">
        <v>0</v>
      </c>
      <c r="N961" s="732">
        <v>0</v>
      </c>
      <c r="O961" s="732">
        <v>353714.3</v>
      </c>
      <c r="P961" s="732">
        <v>-353714.3</v>
      </c>
      <c r="Q961" s="724" t="str">
        <f>VLOOKUP($E961,SP_2024_v28062025!$E$2:$M$1751,9,FALSE)</f>
        <v>PBA160</v>
      </c>
    </row>
    <row r="962" spans="1:17">
      <c r="A962">
        <v>2</v>
      </c>
      <c r="B962" t="s">
        <v>12054</v>
      </c>
      <c r="C962" t="s">
        <v>12074</v>
      </c>
      <c r="D962" t="s">
        <v>12075</v>
      </c>
      <c r="E962" t="s">
        <v>2942</v>
      </c>
      <c r="F962" t="s">
        <v>2943</v>
      </c>
      <c r="G962" s="712">
        <v>0</v>
      </c>
      <c r="H962">
        <v>0</v>
      </c>
      <c r="I962" s="713">
        <v>0</v>
      </c>
      <c r="J962" s="732">
        <v>0</v>
      </c>
      <c r="K962" s="732">
        <v>0</v>
      </c>
      <c r="L962" s="732">
        <v>0</v>
      </c>
      <c r="M962" s="732">
        <v>0</v>
      </c>
      <c r="N962" s="732">
        <v>0</v>
      </c>
      <c r="O962" s="732">
        <v>0</v>
      </c>
      <c r="P962" s="732">
        <v>0</v>
      </c>
      <c r="Q962" s="724" t="str">
        <f>VLOOKUP($E962,SP_2024_v28062025!$E$2:$M$1751,9,FALSE)</f>
        <v>PBA160</v>
      </c>
    </row>
    <row r="963" spans="1:17">
      <c r="A963">
        <v>2</v>
      </c>
      <c r="B963" t="s">
        <v>12054</v>
      </c>
      <c r="C963" t="s">
        <v>12074</v>
      </c>
      <c r="D963" t="s">
        <v>12075</v>
      </c>
      <c r="E963" t="s">
        <v>2945</v>
      </c>
      <c r="F963" t="s">
        <v>2946</v>
      </c>
      <c r="G963" s="712">
        <v>0</v>
      </c>
      <c r="H963">
        <v>0</v>
      </c>
      <c r="I963" s="713">
        <v>0</v>
      </c>
      <c r="J963" s="732">
        <v>0</v>
      </c>
      <c r="K963" s="732">
        <v>0</v>
      </c>
      <c r="L963" s="732">
        <v>0</v>
      </c>
      <c r="M963" s="732">
        <v>0</v>
      </c>
      <c r="N963" s="732">
        <v>0</v>
      </c>
      <c r="O963" s="732">
        <v>0</v>
      </c>
      <c r="P963" s="732">
        <v>0</v>
      </c>
      <c r="Q963" s="724" t="str">
        <f>VLOOKUP($E963,SP_2024_v28062025!$E$2:$M$1751,9,FALSE)</f>
        <v>PBA160</v>
      </c>
    </row>
    <row r="964" spans="1:17">
      <c r="A964">
        <v>2</v>
      </c>
      <c r="B964" t="s">
        <v>12054</v>
      </c>
      <c r="C964" t="s">
        <v>12074</v>
      </c>
      <c r="D964" t="s">
        <v>12075</v>
      </c>
      <c r="E964" t="s">
        <v>2948</v>
      </c>
      <c r="F964" t="s">
        <v>2949</v>
      </c>
      <c r="G964" s="712">
        <v>0</v>
      </c>
      <c r="H964">
        <v>0</v>
      </c>
      <c r="I964" s="713">
        <v>0</v>
      </c>
      <c r="J964" s="732">
        <v>0</v>
      </c>
      <c r="K964" s="732">
        <v>0</v>
      </c>
      <c r="L964" s="732">
        <v>0</v>
      </c>
      <c r="M964" s="732">
        <v>0</v>
      </c>
      <c r="N964" s="732">
        <v>0</v>
      </c>
      <c r="O964" s="732">
        <v>0</v>
      </c>
      <c r="P964" s="732">
        <v>0</v>
      </c>
      <c r="Q964" s="724" t="str">
        <f>VLOOKUP($E964,SP_2024_v28062025!$E$2:$M$1751,9,FALSE)</f>
        <v>PBA160</v>
      </c>
    </row>
    <row r="965" spans="1:17">
      <c r="A965">
        <v>2</v>
      </c>
      <c r="B965" t="s">
        <v>12054</v>
      </c>
      <c r="C965" t="s">
        <v>12074</v>
      </c>
      <c r="D965" t="s">
        <v>12075</v>
      </c>
      <c r="E965" t="s">
        <v>2951</v>
      </c>
      <c r="F965" t="s">
        <v>2952</v>
      </c>
      <c r="G965" s="712">
        <v>0</v>
      </c>
      <c r="H965">
        <v>0</v>
      </c>
      <c r="I965" s="713">
        <v>0</v>
      </c>
      <c r="J965" s="732">
        <v>0</v>
      </c>
      <c r="K965" s="732">
        <v>0</v>
      </c>
      <c r="L965" s="732">
        <v>0</v>
      </c>
      <c r="M965" s="732">
        <v>0</v>
      </c>
      <c r="N965" s="732">
        <v>0</v>
      </c>
      <c r="O965" s="732">
        <v>0</v>
      </c>
      <c r="P965" s="732">
        <v>0</v>
      </c>
      <c r="Q965" s="724" t="str">
        <f>VLOOKUP($E965,SP_2024_v28062025!$E$2:$M$1751,9,FALSE)</f>
        <v>PBA160</v>
      </c>
    </row>
    <row r="966" spans="1:17">
      <c r="A966">
        <v>2</v>
      </c>
      <c r="B966" t="s">
        <v>12054</v>
      </c>
      <c r="C966" t="s">
        <v>12074</v>
      </c>
      <c r="D966" t="s">
        <v>12075</v>
      </c>
      <c r="E966" t="s">
        <v>2954</v>
      </c>
      <c r="F966" t="s">
        <v>2955</v>
      </c>
      <c r="G966" s="712">
        <v>0</v>
      </c>
      <c r="H966">
        <v>0</v>
      </c>
      <c r="I966" s="713">
        <v>0</v>
      </c>
      <c r="J966" s="732">
        <v>0</v>
      </c>
      <c r="K966" s="732">
        <v>0</v>
      </c>
      <c r="L966" s="732">
        <v>0</v>
      </c>
      <c r="M966" s="732">
        <v>0</v>
      </c>
      <c r="N966" s="732">
        <v>0</v>
      </c>
      <c r="O966" s="732">
        <v>0</v>
      </c>
      <c r="P966" s="732">
        <v>0</v>
      </c>
      <c r="Q966" s="724" t="str">
        <f>VLOOKUP($E966,SP_2024_v28062025!$E$2:$M$1751,9,FALSE)</f>
        <v>PBA160</v>
      </c>
    </row>
    <row r="967" spans="1:17">
      <c r="A967">
        <v>2</v>
      </c>
      <c r="B967" t="s">
        <v>12054</v>
      </c>
      <c r="C967" t="s">
        <v>12074</v>
      </c>
      <c r="D967" t="s">
        <v>12075</v>
      </c>
      <c r="E967" t="s">
        <v>2957</v>
      </c>
      <c r="F967" t="s">
        <v>2958</v>
      </c>
      <c r="G967" s="712">
        <v>0</v>
      </c>
      <c r="H967">
        <v>0</v>
      </c>
      <c r="I967" s="713">
        <v>0</v>
      </c>
      <c r="J967" s="732">
        <v>0</v>
      </c>
      <c r="K967" s="732">
        <v>0</v>
      </c>
      <c r="L967" s="732">
        <v>0</v>
      </c>
      <c r="M967" s="732">
        <v>0</v>
      </c>
      <c r="N967" s="732">
        <v>0</v>
      </c>
      <c r="O967" s="732">
        <v>0</v>
      </c>
      <c r="P967" s="732">
        <v>0</v>
      </c>
      <c r="Q967" s="724" t="str">
        <f>VLOOKUP($E967,SP_2024_v28062025!$E$2:$M$1751,9,FALSE)</f>
        <v>PBA160</v>
      </c>
    </row>
    <row r="968" spans="1:17">
      <c r="A968">
        <v>2</v>
      </c>
      <c r="B968" t="s">
        <v>12054</v>
      </c>
      <c r="C968" t="s">
        <v>12074</v>
      </c>
      <c r="D968" t="s">
        <v>12075</v>
      </c>
      <c r="E968" t="s">
        <v>2959</v>
      </c>
      <c r="F968" t="s">
        <v>2960</v>
      </c>
      <c r="G968" s="712">
        <v>0</v>
      </c>
      <c r="H968">
        <v>0</v>
      </c>
      <c r="I968" s="713">
        <v>0</v>
      </c>
      <c r="J968" s="732">
        <v>0</v>
      </c>
      <c r="K968" s="732">
        <v>0</v>
      </c>
      <c r="L968" s="732">
        <v>0</v>
      </c>
      <c r="M968" s="732">
        <v>0</v>
      </c>
      <c r="N968" s="732">
        <v>0</v>
      </c>
      <c r="O968" s="732">
        <v>0</v>
      </c>
      <c r="P968" s="732">
        <v>0</v>
      </c>
      <c r="Q968" s="724" t="str">
        <f>VLOOKUP($E968,SP_2024_v28062025!$E$2:$M$1751,9,FALSE)</f>
        <v>PBA160</v>
      </c>
    </row>
    <row r="969" spans="1:17">
      <c r="A969">
        <v>2</v>
      </c>
      <c r="B969" t="s">
        <v>12054</v>
      </c>
      <c r="C969" t="s">
        <v>12074</v>
      </c>
      <c r="D969" t="s">
        <v>12075</v>
      </c>
      <c r="E969" t="s">
        <v>2961</v>
      </c>
      <c r="F969" t="s">
        <v>2962</v>
      </c>
      <c r="G969" s="712">
        <v>0</v>
      </c>
      <c r="H969">
        <v>0</v>
      </c>
      <c r="I969" s="713">
        <v>0</v>
      </c>
      <c r="J969" s="732">
        <v>0</v>
      </c>
      <c r="K969" s="732">
        <v>0</v>
      </c>
      <c r="L969" s="732">
        <v>0</v>
      </c>
      <c r="M969" s="732">
        <v>0</v>
      </c>
      <c r="N969" s="732">
        <v>0</v>
      </c>
      <c r="O969" s="732">
        <v>0</v>
      </c>
      <c r="P969" s="732">
        <v>0</v>
      </c>
      <c r="Q969" s="724" t="str">
        <f>VLOOKUP($E969,SP_2024_v28062025!$E$2:$M$1751,9,FALSE)</f>
        <v>PBA160</v>
      </c>
    </row>
    <row r="970" spans="1:17">
      <c r="A970">
        <v>2</v>
      </c>
      <c r="B970" t="s">
        <v>12054</v>
      </c>
      <c r="C970" t="s">
        <v>12074</v>
      </c>
      <c r="D970" t="s">
        <v>12075</v>
      </c>
      <c r="E970" t="s">
        <v>2964</v>
      </c>
      <c r="F970" t="s">
        <v>2965</v>
      </c>
      <c r="G970" s="712">
        <v>0</v>
      </c>
      <c r="H970">
        <v>0</v>
      </c>
      <c r="I970" s="713">
        <v>0</v>
      </c>
      <c r="J970" s="732">
        <v>0</v>
      </c>
      <c r="K970" s="732">
        <v>0</v>
      </c>
      <c r="L970" s="732">
        <v>0</v>
      </c>
      <c r="M970" s="732">
        <v>0</v>
      </c>
      <c r="N970" s="732">
        <v>0</v>
      </c>
      <c r="O970" s="732">
        <v>0</v>
      </c>
      <c r="P970" s="732">
        <v>0</v>
      </c>
      <c r="Q970" s="724" t="str">
        <f>VLOOKUP($E970,SP_2024_v28062025!$E$2:$M$1751,9,FALSE)</f>
        <v>PBA160</v>
      </c>
    </row>
    <row r="971" spans="1:17">
      <c r="A971">
        <v>2</v>
      </c>
      <c r="B971" t="s">
        <v>12054</v>
      </c>
      <c r="C971" t="s">
        <v>12074</v>
      </c>
      <c r="D971" t="s">
        <v>12075</v>
      </c>
      <c r="E971" t="s">
        <v>2967</v>
      </c>
      <c r="F971" t="s">
        <v>2968</v>
      </c>
      <c r="G971" s="712">
        <v>0</v>
      </c>
      <c r="H971" s="711">
        <v>67759.600000000006</v>
      </c>
      <c r="I971" s="715">
        <v>67759.600000000006</v>
      </c>
      <c r="J971" s="732">
        <v>0</v>
      </c>
      <c r="K971" s="732">
        <v>0</v>
      </c>
      <c r="L971" s="732">
        <v>0</v>
      </c>
      <c r="M971" s="732">
        <v>0</v>
      </c>
      <c r="N971" s="732">
        <v>0</v>
      </c>
      <c r="O971" s="732">
        <v>67759.600000000006</v>
      </c>
      <c r="P971" s="732">
        <v>-67759.600000000006</v>
      </c>
      <c r="Q971" s="724" t="str">
        <f>VLOOKUP($E971,SP_2024_v28062025!$E$2:$M$1751,9,FALSE)</f>
        <v>PBA160</v>
      </c>
    </row>
    <row r="972" spans="1:17">
      <c r="A972">
        <v>2</v>
      </c>
      <c r="B972" t="s">
        <v>12054</v>
      </c>
      <c r="C972" t="s">
        <v>12074</v>
      </c>
      <c r="D972" t="s">
        <v>12075</v>
      </c>
      <c r="E972" t="s">
        <v>2970</v>
      </c>
      <c r="F972" t="s">
        <v>2971</v>
      </c>
      <c r="G972" s="712">
        <v>0</v>
      </c>
      <c r="H972" s="711">
        <v>153454.07</v>
      </c>
      <c r="I972" s="715">
        <v>153454.07</v>
      </c>
      <c r="J972" s="732">
        <v>0</v>
      </c>
      <c r="K972" s="732">
        <v>0</v>
      </c>
      <c r="L972" s="732">
        <v>0</v>
      </c>
      <c r="M972" s="732">
        <v>0</v>
      </c>
      <c r="N972" s="732">
        <v>0</v>
      </c>
      <c r="O972" s="732">
        <v>153454.07</v>
      </c>
      <c r="P972" s="732">
        <v>-153454.07</v>
      </c>
      <c r="Q972" s="724" t="str">
        <f>VLOOKUP($E972,SP_2024_v28062025!$E$2:$M$1751,9,FALSE)</f>
        <v>PBA160</v>
      </c>
    </row>
    <row r="973" spans="1:17">
      <c r="A973">
        <v>2</v>
      </c>
      <c r="B973" t="s">
        <v>12054</v>
      </c>
      <c r="C973" t="s">
        <v>12074</v>
      </c>
      <c r="D973" t="s">
        <v>12075</v>
      </c>
      <c r="E973" t="s">
        <v>2973</v>
      </c>
      <c r="F973" t="s">
        <v>2974</v>
      </c>
      <c r="G973" s="712">
        <v>0</v>
      </c>
      <c r="H973" s="711">
        <v>822198</v>
      </c>
      <c r="I973" s="715">
        <v>822198</v>
      </c>
      <c r="J973" s="732">
        <v>0</v>
      </c>
      <c r="K973" s="732">
        <v>0</v>
      </c>
      <c r="L973" s="732">
        <v>0</v>
      </c>
      <c r="M973" s="732">
        <v>0</v>
      </c>
      <c r="N973" s="732">
        <v>0</v>
      </c>
      <c r="O973" s="732">
        <v>822198</v>
      </c>
      <c r="P973" s="732">
        <v>-822198</v>
      </c>
      <c r="Q973" s="724" t="str">
        <f>VLOOKUP($E973,SP_2024_v28062025!$E$2:$M$1751,9,FALSE)</f>
        <v>PBA160</v>
      </c>
    </row>
    <row r="974" spans="1:17">
      <c r="A974">
        <v>2</v>
      </c>
      <c r="B974" t="s">
        <v>12054</v>
      </c>
      <c r="C974" t="s">
        <v>12074</v>
      </c>
      <c r="D974" t="s">
        <v>12075</v>
      </c>
      <c r="E974" t="s">
        <v>2977</v>
      </c>
      <c r="F974" t="s">
        <v>2978</v>
      </c>
      <c r="G974" s="712">
        <v>0</v>
      </c>
      <c r="H974">
        <v>0</v>
      </c>
      <c r="I974" s="713">
        <v>0</v>
      </c>
      <c r="J974" s="732">
        <v>0</v>
      </c>
      <c r="K974" s="732">
        <v>0</v>
      </c>
      <c r="L974" s="732">
        <v>0</v>
      </c>
      <c r="M974" s="732">
        <v>0</v>
      </c>
      <c r="N974" s="732">
        <v>0</v>
      </c>
      <c r="O974" s="732">
        <v>0</v>
      </c>
      <c r="P974" s="732">
        <v>0</v>
      </c>
      <c r="Q974" s="724" t="str">
        <f>VLOOKUP($E974,SP_2024_v28062025!$E$2:$M$1751,9,FALSE)</f>
        <v>PBA160</v>
      </c>
    </row>
    <row r="975" spans="1:17">
      <c r="A975">
        <v>2</v>
      </c>
      <c r="B975" t="s">
        <v>12054</v>
      </c>
      <c r="C975" t="s">
        <v>12074</v>
      </c>
      <c r="D975" t="s">
        <v>12075</v>
      </c>
      <c r="E975" t="s">
        <v>2979</v>
      </c>
      <c r="F975" t="s">
        <v>2980</v>
      </c>
      <c r="G975" s="712">
        <v>0</v>
      </c>
      <c r="H975">
        <v>0</v>
      </c>
      <c r="I975" s="713">
        <v>0</v>
      </c>
      <c r="J975" s="732">
        <v>0</v>
      </c>
      <c r="K975" s="732">
        <v>0</v>
      </c>
      <c r="L975" s="732">
        <v>0</v>
      </c>
      <c r="M975" s="732">
        <v>0</v>
      </c>
      <c r="N975" s="732">
        <v>0</v>
      </c>
      <c r="O975" s="732">
        <v>0</v>
      </c>
      <c r="P975" s="732">
        <v>0</v>
      </c>
      <c r="Q975" s="724" t="str">
        <f>VLOOKUP($E975,SP_2024_v28062025!$E$2:$M$1751,9,FALSE)</f>
        <v>PBA160</v>
      </c>
    </row>
    <row r="976" spans="1:17">
      <c r="A976">
        <v>2</v>
      </c>
      <c r="B976" t="s">
        <v>12054</v>
      </c>
      <c r="C976" t="s">
        <v>12074</v>
      </c>
      <c r="D976" t="s">
        <v>12075</v>
      </c>
      <c r="E976" t="s">
        <v>2981</v>
      </c>
      <c r="F976" t="s">
        <v>2982</v>
      </c>
      <c r="G976" s="712">
        <v>0</v>
      </c>
      <c r="H976" s="711">
        <v>3468830.69</v>
      </c>
      <c r="I976" s="715">
        <v>3468830.69</v>
      </c>
      <c r="J976" s="732">
        <v>28021.64</v>
      </c>
      <c r="K976" s="732">
        <v>0</v>
      </c>
      <c r="L976" s="732">
        <v>0</v>
      </c>
      <c r="M976" s="732">
        <v>0</v>
      </c>
      <c r="N976" s="732">
        <v>28021.64</v>
      </c>
      <c r="O976" s="732">
        <v>3468830.69</v>
      </c>
      <c r="P976" s="732">
        <v>-3440809.05</v>
      </c>
      <c r="Q976" s="724" t="str">
        <f>VLOOKUP($E976,SP_2024_v28062025!$E$2:$M$1751,9,FALSE)</f>
        <v>PBA160</v>
      </c>
    </row>
    <row r="977" spans="1:17">
      <c r="A977">
        <v>2</v>
      </c>
      <c r="B977" t="s">
        <v>12054</v>
      </c>
      <c r="C977" t="s">
        <v>12074</v>
      </c>
      <c r="D977" t="s">
        <v>12075</v>
      </c>
      <c r="E977" t="s">
        <v>2983</v>
      </c>
      <c r="F977" t="s">
        <v>2984</v>
      </c>
      <c r="G977" s="712">
        <v>0</v>
      </c>
      <c r="H977" s="711">
        <v>1489506.14</v>
      </c>
      <c r="I977" s="715">
        <v>1489506.14</v>
      </c>
      <c r="J977" s="732">
        <v>6514.04</v>
      </c>
      <c r="K977" s="732">
        <v>0</v>
      </c>
      <c r="L977" s="732">
        <v>0</v>
      </c>
      <c r="M977" s="732">
        <v>0</v>
      </c>
      <c r="N977" s="732">
        <v>6514.04</v>
      </c>
      <c r="O977" s="732">
        <v>1489506.14</v>
      </c>
      <c r="P977" s="732">
        <v>-1482992.1</v>
      </c>
      <c r="Q977" s="724" t="str">
        <f>VLOOKUP($E977,SP_2024_v28062025!$E$2:$M$1751,9,FALSE)</f>
        <v>PBA160</v>
      </c>
    </row>
    <row r="978" spans="1:17">
      <c r="A978">
        <v>2</v>
      </c>
      <c r="B978" t="s">
        <v>12054</v>
      </c>
      <c r="C978" t="s">
        <v>12074</v>
      </c>
      <c r="D978" t="s">
        <v>12075</v>
      </c>
      <c r="E978" t="s">
        <v>2985</v>
      </c>
      <c r="F978" t="s">
        <v>2986</v>
      </c>
      <c r="G978" s="712">
        <v>0</v>
      </c>
      <c r="H978">
        <v>0</v>
      </c>
      <c r="I978" s="713">
        <v>0</v>
      </c>
      <c r="J978" s="732">
        <v>0</v>
      </c>
      <c r="K978" s="732">
        <v>658</v>
      </c>
      <c r="L978" s="732">
        <v>0</v>
      </c>
      <c r="M978" s="732">
        <v>0</v>
      </c>
      <c r="N978" s="732">
        <v>0</v>
      </c>
      <c r="O978" s="732">
        <v>658</v>
      </c>
      <c r="P978" s="732">
        <v>-658</v>
      </c>
      <c r="Q978" s="724" t="str">
        <f>VLOOKUP($E978,SP_2024_v28062025!$E$2:$M$1751,9,FALSE)</f>
        <v>PBA160</v>
      </c>
    </row>
    <row r="979" spans="1:17">
      <c r="A979">
        <v>2</v>
      </c>
      <c r="B979" t="s">
        <v>12054</v>
      </c>
      <c r="C979" t="s">
        <v>12074</v>
      </c>
      <c r="D979" t="s">
        <v>12075</v>
      </c>
      <c r="E979" t="s">
        <v>2987</v>
      </c>
      <c r="F979" t="s">
        <v>2988</v>
      </c>
      <c r="G979" s="712">
        <v>0</v>
      </c>
      <c r="H979" s="711">
        <v>448000</v>
      </c>
      <c r="I979" s="715">
        <v>448000</v>
      </c>
      <c r="J979" s="732">
        <v>333.31</v>
      </c>
      <c r="K979" s="732">
        <v>0</v>
      </c>
      <c r="L979" s="732">
        <v>0</v>
      </c>
      <c r="M979" s="732">
        <v>0</v>
      </c>
      <c r="N979" s="732">
        <v>333.31</v>
      </c>
      <c r="O979" s="732">
        <v>448000</v>
      </c>
      <c r="P979" s="732">
        <v>-447666.69</v>
      </c>
      <c r="Q979" s="724" t="str">
        <f>VLOOKUP($E979,SP_2024_v28062025!$E$2:$M$1751,9,FALSE)</f>
        <v>PBA160</v>
      </c>
    </row>
    <row r="980" spans="1:17">
      <c r="A980">
        <v>2</v>
      </c>
      <c r="B980" t="s">
        <v>12054</v>
      </c>
      <c r="C980" t="s">
        <v>12074</v>
      </c>
      <c r="D980" t="s">
        <v>12075</v>
      </c>
      <c r="E980" t="s">
        <v>2989</v>
      </c>
      <c r="F980" t="s">
        <v>2990</v>
      </c>
      <c r="G980" s="712">
        <v>0</v>
      </c>
      <c r="H980" s="711">
        <v>222473.92</v>
      </c>
      <c r="I980" s="715">
        <v>222473.92</v>
      </c>
      <c r="J980" s="732">
        <v>0</v>
      </c>
      <c r="K980" s="732">
        <v>0</v>
      </c>
      <c r="L980" s="732">
        <v>0</v>
      </c>
      <c r="M980" s="732">
        <v>0</v>
      </c>
      <c r="N980" s="732">
        <v>0</v>
      </c>
      <c r="O980" s="732">
        <v>222473.92</v>
      </c>
      <c r="P980" s="732">
        <v>-222473.92</v>
      </c>
      <c r="Q980" s="724" t="str">
        <f>VLOOKUP($E980,SP_2024_v28062025!$E$2:$M$1751,9,FALSE)</f>
        <v>PBA160</v>
      </c>
    </row>
    <row r="981" spans="1:17">
      <c r="A981">
        <v>2</v>
      </c>
      <c r="B981" t="s">
        <v>12054</v>
      </c>
      <c r="C981" t="s">
        <v>12074</v>
      </c>
      <c r="D981" t="s">
        <v>12075</v>
      </c>
      <c r="E981" t="s">
        <v>2992</v>
      </c>
      <c r="F981" t="s">
        <v>2993</v>
      </c>
      <c r="G981" s="712">
        <v>0</v>
      </c>
      <c r="H981">
        <v>0</v>
      </c>
      <c r="I981" s="713">
        <v>0</v>
      </c>
      <c r="J981" s="732">
        <v>0</v>
      </c>
      <c r="K981" s="732">
        <v>0</v>
      </c>
      <c r="L981" s="732">
        <v>0</v>
      </c>
      <c r="M981" s="732">
        <v>0</v>
      </c>
      <c r="N981" s="732">
        <v>0</v>
      </c>
      <c r="O981" s="732">
        <v>0</v>
      </c>
      <c r="P981" s="732">
        <v>0</v>
      </c>
      <c r="Q981" s="724" t="str">
        <f>VLOOKUP($E981,SP_2024_v28062025!$E$2:$M$1751,9,FALSE)</f>
        <v>PBA160</v>
      </c>
    </row>
    <row r="982" spans="1:17" ht="15.75" thickBot="1">
      <c r="A982">
        <v>2</v>
      </c>
      <c r="B982" t="s">
        <v>12054</v>
      </c>
      <c r="C982" t="s">
        <v>12074</v>
      </c>
      <c r="D982" t="s">
        <v>12075</v>
      </c>
      <c r="E982" t="s">
        <v>2994</v>
      </c>
      <c r="F982" t="s">
        <v>2995</v>
      </c>
      <c r="G982" s="712">
        <v>0</v>
      </c>
      <c r="H982" s="711">
        <v>6172.84</v>
      </c>
      <c r="I982" s="715">
        <v>6172.84</v>
      </c>
      <c r="J982" s="732">
        <v>0</v>
      </c>
      <c r="K982" s="732">
        <v>0</v>
      </c>
      <c r="L982" s="732">
        <v>0</v>
      </c>
      <c r="M982" s="732">
        <v>0</v>
      </c>
      <c r="N982" s="732">
        <v>0</v>
      </c>
      <c r="O982" s="732">
        <v>6172.84</v>
      </c>
      <c r="P982" s="732">
        <v>-6172.84</v>
      </c>
      <c r="Q982" s="724" t="str">
        <f>VLOOKUP($E982,SP_2024_v28062025!$E$2:$M$1751,9,FALSE)</f>
        <v>PBA160</v>
      </c>
    </row>
    <row r="983" spans="1:17" ht="15.75" thickBot="1">
      <c r="A983" s="727">
        <v>2</v>
      </c>
      <c r="B983" s="727" t="s">
        <v>12054</v>
      </c>
      <c r="C983" s="727" t="s">
        <v>12074</v>
      </c>
      <c r="D983" s="727" t="s">
        <v>12078</v>
      </c>
      <c r="E983" s="727"/>
      <c r="F983" s="729" t="s">
        <v>2999</v>
      </c>
      <c r="G983" s="738">
        <v>0</v>
      </c>
      <c r="H983" s="739">
        <v>1520185.71</v>
      </c>
      <c r="I983" s="739">
        <v>1520185.71</v>
      </c>
      <c r="J983" s="738">
        <v>0</v>
      </c>
      <c r="K983" s="739">
        <v>3101229.09</v>
      </c>
      <c r="L983" s="738">
        <v>0</v>
      </c>
      <c r="M983" s="738">
        <v>0</v>
      </c>
      <c r="N983" s="738">
        <v>0</v>
      </c>
      <c r="O983" s="739">
        <v>4621414.8</v>
      </c>
      <c r="P983" s="739">
        <v>-4621414.8</v>
      </c>
    </row>
    <row r="984" spans="1:17">
      <c r="A984">
        <v>2</v>
      </c>
      <c r="B984" t="s">
        <v>12054</v>
      </c>
      <c r="C984" t="s">
        <v>12074</v>
      </c>
      <c r="D984" t="s">
        <v>12078</v>
      </c>
      <c r="E984" t="s">
        <v>2998</v>
      </c>
      <c r="F984" t="s">
        <v>2999</v>
      </c>
      <c r="G984" s="712">
        <v>0</v>
      </c>
      <c r="H984" s="711">
        <v>1520185.71</v>
      </c>
      <c r="I984" s="715">
        <v>1520185.71</v>
      </c>
      <c r="J984" s="732">
        <v>0</v>
      </c>
      <c r="K984" s="732">
        <v>0</v>
      </c>
      <c r="L984" s="732">
        <v>0</v>
      </c>
      <c r="M984" s="732">
        <v>0</v>
      </c>
      <c r="N984" s="732">
        <v>0</v>
      </c>
      <c r="O984" s="732">
        <v>1520185.71</v>
      </c>
      <c r="P984" s="732">
        <v>-1520185.71</v>
      </c>
      <c r="Q984" s="724" t="str">
        <f>VLOOKUP($E984,SP_2024_v28062025!$E$2:$M$1751,9,FALSE)</f>
        <v>PBA170</v>
      </c>
    </row>
    <row r="985" spans="1:17">
      <c r="A985">
        <v>2</v>
      </c>
      <c r="B985" t="s">
        <v>12054</v>
      </c>
      <c r="C985" t="s">
        <v>12074</v>
      </c>
      <c r="D985" t="s">
        <v>12078</v>
      </c>
      <c r="E985" t="s">
        <v>3000</v>
      </c>
      <c r="F985" t="s">
        <v>3001</v>
      </c>
      <c r="G985" s="712">
        <v>0</v>
      </c>
      <c r="H985">
        <v>0</v>
      </c>
      <c r="I985" s="713">
        <v>0</v>
      </c>
      <c r="J985" s="732">
        <v>0</v>
      </c>
      <c r="K985" s="732">
        <v>0</v>
      </c>
      <c r="L985" s="732">
        <v>0</v>
      </c>
      <c r="M985" s="732">
        <v>0</v>
      </c>
      <c r="N985" s="732">
        <v>0</v>
      </c>
      <c r="O985" s="732">
        <v>0</v>
      </c>
      <c r="P985" s="732">
        <v>0</v>
      </c>
      <c r="Q985" s="724" t="str">
        <f>VLOOKUP($E985,SP_2024_v28062025!$E$2:$M$1751,9,FALSE)</f>
        <v>PBA170</v>
      </c>
    </row>
    <row r="986" spans="1:17" ht="15.75" thickBot="1">
      <c r="A986">
        <v>2</v>
      </c>
      <c r="B986" t="s">
        <v>12054</v>
      </c>
      <c r="C986" t="s">
        <v>12074</v>
      </c>
      <c r="D986" t="s">
        <v>12078</v>
      </c>
      <c r="E986" t="s">
        <v>3003</v>
      </c>
      <c r="F986" t="s">
        <v>3004</v>
      </c>
      <c r="G986" s="712">
        <v>0</v>
      </c>
      <c r="H986">
        <v>0</v>
      </c>
      <c r="I986" s="713">
        <v>0</v>
      </c>
      <c r="J986" s="732">
        <v>0</v>
      </c>
      <c r="K986" s="732">
        <v>3101229.09</v>
      </c>
      <c r="L986" s="732">
        <v>0</v>
      </c>
      <c r="M986" s="732">
        <v>0</v>
      </c>
      <c r="N986" s="732">
        <v>0</v>
      </c>
      <c r="O986" s="732">
        <v>3101229.09</v>
      </c>
      <c r="P986" s="732">
        <v>-3101229.09</v>
      </c>
      <c r="Q986" s="724" t="str">
        <f>VLOOKUP($E986,SP_2024_v28062025!$E$2:$M$1751,9,FALSE)</f>
        <v>PBA170</v>
      </c>
    </row>
    <row r="987" spans="1:17" ht="15.75" thickBot="1">
      <c r="A987" s="727">
        <v>2</v>
      </c>
      <c r="B987" s="727" t="s">
        <v>12054</v>
      </c>
      <c r="C987" s="727" t="s">
        <v>12074</v>
      </c>
      <c r="D987" s="727" t="s">
        <v>12079</v>
      </c>
      <c r="E987" s="727"/>
      <c r="F987" s="729" t="s">
        <v>3008</v>
      </c>
      <c r="G987" s="739">
        <v>4187.1499999999996</v>
      </c>
      <c r="H987" s="739">
        <v>6218047.1699999999</v>
      </c>
      <c r="I987" s="739">
        <v>6213860.0199999996</v>
      </c>
      <c r="J987" s="739">
        <v>416726.51</v>
      </c>
      <c r="K987" s="739">
        <v>1901463.61</v>
      </c>
      <c r="L987" s="738">
        <v>0</v>
      </c>
      <c r="M987" s="738">
        <v>0</v>
      </c>
      <c r="N987" s="739">
        <v>420913.66</v>
      </c>
      <c r="O987" s="739">
        <v>8119510.7800000003</v>
      </c>
      <c r="P987" s="739">
        <v>-7698597.1200000001</v>
      </c>
    </row>
    <row r="988" spans="1:17">
      <c r="A988">
        <v>2</v>
      </c>
      <c r="B988" t="s">
        <v>12054</v>
      </c>
      <c r="C988" t="s">
        <v>12074</v>
      </c>
      <c r="D988" t="s">
        <v>12079</v>
      </c>
      <c r="E988" t="s">
        <v>3007</v>
      </c>
      <c r="F988" t="s">
        <v>3008</v>
      </c>
      <c r="G988" s="712">
        <v>0</v>
      </c>
      <c r="H988" s="711">
        <v>224959.71</v>
      </c>
      <c r="I988" s="715">
        <v>224959.71</v>
      </c>
      <c r="J988" s="732">
        <v>0</v>
      </c>
      <c r="K988" s="732">
        <v>156000</v>
      </c>
      <c r="L988" s="732">
        <v>0</v>
      </c>
      <c r="M988" s="732">
        <v>0</v>
      </c>
      <c r="N988" s="732">
        <v>0</v>
      </c>
      <c r="O988" s="732">
        <v>380959.71</v>
      </c>
      <c r="P988" s="732">
        <v>-380959.71</v>
      </c>
      <c r="Q988" s="724" t="str">
        <f>VLOOKUP($E988,SP_2024_v28062025!$E$2:$M$1751,9,FALSE)</f>
        <v>PBA180</v>
      </c>
    </row>
    <row r="989" spans="1:17">
      <c r="A989">
        <v>2</v>
      </c>
      <c r="B989" t="s">
        <v>12054</v>
      </c>
      <c r="C989" t="s">
        <v>12074</v>
      </c>
      <c r="D989" t="s">
        <v>12079</v>
      </c>
      <c r="E989" t="s">
        <v>3009</v>
      </c>
      <c r="F989" t="s">
        <v>3010</v>
      </c>
      <c r="G989" s="712">
        <v>0.09</v>
      </c>
      <c r="H989">
        <v>0</v>
      </c>
      <c r="I989" s="713">
        <v>0.09</v>
      </c>
      <c r="J989" s="732">
        <v>0</v>
      </c>
      <c r="K989" s="732">
        <v>0</v>
      </c>
      <c r="L989" s="732">
        <v>0</v>
      </c>
      <c r="M989" s="732">
        <v>0</v>
      </c>
      <c r="N989" s="732">
        <v>0.09</v>
      </c>
      <c r="O989" s="732">
        <v>0</v>
      </c>
      <c r="P989" s="732">
        <v>0.09</v>
      </c>
      <c r="Q989" s="724" t="str">
        <f>VLOOKUP($E989,SP_2024_v28062025!$E$2:$M$1751,9,FALSE)</f>
        <v>PBA180</v>
      </c>
    </row>
    <row r="990" spans="1:17">
      <c r="A990">
        <v>2</v>
      </c>
      <c r="B990" t="s">
        <v>12054</v>
      </c>
      <c r="C990" t="s">
        <v>12074</v>
      </c>
      <c r="D990" t="s">
        <v>12079</v>
      </c>
      <c r="E990" t="s">
        <v>3012</v>
      </c>
      <c r="F990" t="s">
        <v>3013</v>
      </c>
      <c r="G990" s="712">
        <v>0</v>
      </c>
      <c r="H990" s="711">
        <v>208183.02</v>
      </c>
      <c r="I990" s="715">
        <v>208183.02</v>
      </c>
      <c r="J990" s="732">
        <v>60048</v>
      </c>
      <c r="K990" s="732">
        <v>0</v>
      </c>
      <c r="L990" s="732">
        <v>0</v>
      </c>
      <c r="M990" s="732">
        <v>0</v>
      </c>
      <c r="N990" s="732">
        <v>60048</v>
      </c>
      <c r="O990" s="732">
        <v>208183.02</v>
      </c>
      <c r="P990" s="732">
        <v>-148135.01999999999</v>
      </c>
      <c r="Q990" s="724" t="str">
        <f>VLOOKUP($E990,SP_2024_v28062025!$E$2:$M$1751,9,FALSE)</f>
        <v>PBA180</v>
      </c>
    </row>
    <row r="991" spans="1:17">
      <c r="A991">
        <v>2</v>
      </c>
      <c r="B991" t="s">
        <v>12054</v>
      </c>
      <c r="C991" t="s">
        <v>12074</v>
      </c>
      <c r="D991" t="s">
        <v>12079</v>
      </c>
      <c r="E991" t="s">
        <v>3015</v>
      </c>
      <c r="F991" t="s">
        <v>3016</v>
      </c>
      <c r="G991" s="712">
        <v>0</v>
      </c>
      <c r="H991" s="711">
        <v>199275.67</v>
      </c>
      <c r="I991" s="715">
        <v>199275.67</v>
      </c>
      <c r="J991" s="732">
        <v>0</v>
      </c>
      <c r="K991" s="732">
        <v>0</v>
      </c>
      <c r="L991" s="732">
        <v>0</v>
      </c>
      <c r="M991" s="732">
        <v>0</v>
      </c>
      <c r="N991" s="732">
        <v>0</v>
      </c>
      <c r="O991" s="732">
        <v>199275.67</v>
      </c>
      <c r="P991" s="732">
        <v>-199275.67</v>
      </c>
      <c r="Q991" s="724" t="str">
        <f>VLOOKUP($E991,SP_2024_v28062025!$E$2:$M$1751,9,FALSE)</f>
        <v>PBA180</v>
      </c>
    </row>
    <row r="992" spans="1:17">
      <c r="A992">
        <v>2</v>
      </c>
      <c r="B992" t="s">
        <v>12054</v>
      </c>
      <c r="C992" t="s">
        <v>12074</v>
      </c>
      <c r="D992" t="s">
        <v>12079</v>
      </c>
      <c r="E992" t="s">
        <v>3018</v>
      </c>
      <c r="F992" t="s">
        <v>3019</v>
      </c>
      <c r="G992" s="712">
        <v>0</v>
      </c>
      <c r="H992" s="711">
        <v>75666.67</v>
      </c>
      <c r="I992" s="715">
        <v>75666.67</v>
      </c>
      <c r="J992" s="732">
        <v>0</v>
      </c>
      <c r="K992" s="732">
        <v>0</v>
      </c>
      <c r="L992" s="732">
        <v>0</v>
      </c>
      <c r="M992" s="732">
        <v>0</v>
      </c>
      <c r="N992" s="732">
        <v>0</v>
      </c>
      <c r="O992" s="732">
        <v>75666.67</v>
      </c>
      <c r="P992" s="732">
        <v>-75666.67</v>
      </c>
      <c r="Q992" s="724" t="str">
        <f>VLOOKUP($E992,SP_2024_v28062025!$E$2:$M$1751,9,FALSE)</f>
        <v>PBA180</v>
      </c>
    </row>
    <row r="993" spans="1:17">
      <c r="A993">
        <v>2</v>
      </c>
      <c r="B993" t="s">
        <v>12054</v>
      </c>
      <c r="C993" t="s">
        <v>12074</v>
      </c>
      <c r="D993" t="s">
        <v>12079</v>
      </c>
      <c r="E993" t="s">
        <v>3021</v>
      </c>
      <c r="F993" t="s">
        <v>3022</v>
      </c>
      <c r="G993" s="712">
        <v>0</v>
      </c>
      <c r="H993" s="711">
        <v>72103.360000000001</v>
      </c>
      <c r="I993" s="715">
        <v>72103.360000000001</v>
      </c>
      <c r="J993" s="732">
        <v>64105.5</v>
      </c>
      <c r="K993" s="732">
        <v>0</v>
      </c>
      <c r="L993" s="732">
        <v>0</v>
      </c>
      <c r="M993" s="732">
        <v>0</v>
      </c>
      <c r="N993" s="732">
        <v>64105.5</v>
      </c>
      <c r="O993" s="732">
        <v>72103.360000000001</v>
      </c>
      <c r="P993" s="732">
        <v>-7997.86</v>
      </c>
      <c r="Q993" s="724" t="str">
        <f>VLOOKUP($E993,SP_2024_v28062025!$E$2:$M$1751,9,FALSE)</f>
        <v>PBA180</v>
      </c>
    </row>
    <row r="994" spans="1:17">
      <c r="A994">
        <v>2</v>
      </c>
      <c r="B994" t="s">
        <v>12054</v>
      </c>
      <c r="C994" t="s">
        <v>12074</v>
      </c>
      <c r="D994" t="s">
        <v>12079</v>
      </c>
      <c r="E994" t="s">
        <v>3024</v>
      </c>
      <c r="F994" t="s">
        <v>3025</v>
      </c>
      <c r="G994" s="712">
        <v>0</v>
      </c>
      <c r="H994" s="711">
        <v>15000</v>
      </c>
      <c r="I994" s="715">
        <v>15000</v>
      </c>
      <c r="J994" s="732">
        <v>0</v>
      </c>
      <c r="K994" s="732">
        <v>0</v>
      </c>
      <c r="L994" s="732">
        <v>0</v>
      </c>
      <c r="M994" s="732">
        <v>0</v>
      </c>
      <c r="N994" s="732">
        <v>0</v>
      </c>
      <c r="O994" s="732">
        <v>15000</v>
      </c>
      <c r="P994" s="732">
        <v>-15000</v>
      </c>
      <c r="Q994" s="724" t="str">
        <f>VLOOKUP($E994,SP_2024_v28062025!$E$2:$M$1751,9,FALSE)</f>
        <v>PBA180</v>
      </c>
    </row>
    <row r="995" spans="1:17">
      <c r="A995">
        <v>2</v>
      </c>
      <c r="B995" t="s">
        <v>12054</v>
      </c>
      <c r="C995" t="s">
        <v>12074</v>
      </c>
      <c r="D995" t="s">
        <v>12079</v>
      </c>
      <c r="E995" t="s">
        <v>3026</v>
      </c>
      <c r="F995" t="s">
        <v>3027</v>
      </c>
      <c r="G995" s="714">
        <v>4186.79</v>
      </c>
      <c r="H995">
        <v>0</v>
      </c>
      <c r="I995" s="715">
        <v>4186.79</v>
      </c>
      <c r="J995" s="732">
        <v>0</v>
      </c>
      <c r="K995" s="732">
        <v>120696</v>
      </c>
      <c r="L995" s="732">
        <v>0</v>
      </c>
      <c r="M995" s="732">
        <v>0</v>
      </c>
      <c r="N995" s="732">
        <v>4186.79</v>
      </c>
      <c r="O995" s="732">
        <v>120696</v>
      </c>
      <c r="P995" s="732">
        <v>-116509.21</v>
      </c>
      <c r="Q995" s="724" t="str">
        <f>VLOOKUP($E995,SP_2024_v28062025!$E$2:$M$1751,9,FALSE)</f>
        <v>PBA180</v>
      </c>
    </row>
    <row r="996" spans="1:17">
      <c r="A996">
        <v>2</v>
      </c>
      <c r="B996" t="s">
        <v>12054</v>
      </c>
      <c r="C996" t="s">
        <v>12074</v>
      </c>
      <c r="D996" t="s">
        <v>12079</v>
      </c>
      <c r="E996" t="s">
        <v>3028</v>
      </c>
      <c r="F996" t="s">
        <v>3029</v>
      </c>
      <c r="G996" s="712">
        <v>0</v>
      </c>
      <c r="H996" s="711">
        <v>381250</v>
      </c>
      <c r="I996" s="715">
        <v>381250</v>
      </c>
      <c r="J996" s="732">
        <v>0</v>
      </c>
      <c r="K996" s="732">
        <v>0</v>
      </c>
      <c r="L996" s="732">
        <v>0</v>
      </c>
      <c r="M996" s="732">
        <v>0</v>
      </c>
      <c r="N996" s="732">
        <v>0</v>
      </c>
      <c r="O996" s="732">
        <v>381250</v>
      </c>
      <c r="P996" s="732">
        <v>-381250</v>
      </c>
      <c r="Q996" s="724" t="str">
        <f>VLOOKUP($E996,SP_2024_v28062025!$E$2:$M$1751,9,FALSE)</f>
        <v>PBA180</v>
      </c>
    </row>
    <row r="997" spans="1:17">
      <c r="A997">
        <v>2</v>
      </c>
      <c r="B997" t="s">
        <v>12054</v>
      </c>
      <c r="C997" t="s">
        <v>12074</v>
      </c>
      <c r="D997" t="s">
        <v>12079</v>
      </c>
      <c r="E997" t="s">
        <v>3030</v>
      </c>
      <c r="F997" t="s">
        <v>3031</v>
      </c>
      <c r="G997" s="712">
        <v>0</v>
      </c>
      <c r="H997" s="711">
        <v>114212.75</v>
      </c>
      <c r="I997" s="715">
        <v>114212.75</v>
      </c>
      <c r="J997" s="732">
        <v>0</v>
      </c>
      <c r="K997" s="732">
        <v>0</v>
      </c>
      <c r="L997" s="732">
        <v>0</v>
      </c>
      <c r="M997" s="732">
        <v>0</v>
      </c>
      <c r="N997" s="732">
        <v>0</v>
      </c>
      <c r="O997" s="732">
        <v>114212.75</v>
      </c>
      <c r="P997" s="732">
        <v>-114212.75</v>
      </c>
      <c r="Q997" s="724" t="str">
        <f>VLOOKUP($E997,SP_2024_v28062025!$E$2:$M$1751,9,FALSE)</f>
        <v>PBA180</v>
      </c>
    </row>
    <row r="998" spans="1:17">
      <c r="A998">
        <v>2</v>
      </c>
      <c r="B998" t="s">
        <v>12054</v>
      </c>
      <c r="C998" t="s">
        <v>12074</v>
      </c>
      <c r="D998" t="s">
        <v>12079</v>
      </c>
      <c r="E998" t="s">
        <v>3032</v>
      </c>
      <c r="F998" t="s">
        <v>3033</v>
      </c>
      <c r="G998" s="712">
        <v>0</v>
      </c>
      <c r="H998" s="711">
        <v>145630.82999999999</v>
      </c>
      <c r="I998" s="715">
        <v>145630.82999999999</v>
      </c>
      <c r="J998" s="732">
        <v>0</v>
      </c>
      <c r="K998" s="732">
        <v>0</v>
      </c>
      <c r="L998" s="732">
        <v>0</v>
      </c>
      <c r="M998" s="732">
        <v>0</v>
      </c>
      <c r="N998" s="732">
        <v>0</v>
      </c>
      <c r="O998" s="732">
        <v>145630.82999999999</v>
      </c>
      <c r="P998" s="732">
        <v>-145630.82999999999</v>
      </c>
      <c r="Q998" s="724" t="str">
        <f>VLOOKUP($E998,SP_2024_v28062025!$E$2:$M$1751,9,FALSE)</f>
        <v>PBA180</v>
      </c>
    </row>
    <row r="999" spans="1:17">
      <c r="A999">
        <v>2</v>
      </c>
      <c r="B999" t="s">
        <v>12054</v>
      </c>
      <c r="C999" t="s">
        <v>12074</v>
      </c>
      <c r="D999" t="s">
        <v>12079</v>
      </c>
      <c r="E999" t="s">
        <v>3034</v>
      </c>
      <c r="F999" t="s">
        <v>3035</v>
      </c>
      <c r="G999" s="712">
        <v>0.27</v>
      </c>
      <c r="H999">
        <v>0</v>
      </c>
      <c r="I999" s="713">
        <v>0.27</v>
      </c>
      <c r="J999" s="732">
        <v>0</v>
      </c>
      <c r="K999" s="732">
        <v>0</v>
      </c>
      <c r="L999" s="732">
        <v>0</v>
      </c>
      <c r="M999" s="732">
        <v>0</v>
      </c>
      <c r="N999" s="732">
        <v>0.27</v>
      </c>
      <c r="O999" s="732">
        <v>0</v>
      </c>
      <c r="P999" s="732">
        <v>0.27</v>
      </c>
      <c r="Q999" s="724" t="str">
        <f>VLOOKUP($E999,SP_2024_v28062025!$E$2:$M$1751,9,FALSE)</f>
        <v>PBA180</v>
      </c>
    </row>
    <row r="1000" spans="1:17">
      <c r="A1000">
        <v>2</v>
      </c>
      <c r="B1000" t="s">
        <v>12054</v>
      </c>
      <c r="C1000" t="s">
        <v>12074</v>
      </c>
      <c r="D1000" t="s">
        <v>12079</v>
      </c>
      <c r="E1000" t="s">
        <v>3036</v>
      </c>
      <c r="F1000" t="s">
        <v>3037</v>
      </c>
      <c r="G1000" s="712">
        <v>0</v>
      </c>
      <c r="H1000" s="711">
        <v>72500</v>
      </c>
      <c r="I1000" s="715">
        <v>72500</v>
      </c>
      <c r="J1000" s="732">
        <v>973.01</v>
      </c>
      <c r="K1000" s="732">
        <v>40000</v>
      </c>
      <c r="L1000" s="732">
        <v>0</v>
      </c>
      <c r="M1000" s="732">
        <v>0</v>
      </c>
      <c r="N1000" s="732">
        <v>973.01</v>
      </c>
      <c r="O1000" s="732">
        <v>112500</v>
      </c>
      <c r="P1000" s="732">
        <v>-111526.99</v>
      </c>
      <c r="Q1000" s="724" t="str">
        <f>VLOOKUP($E1000,SP_2024_v28062025!$E$2:$M$1751,9,FALSE)</f>
        <v>PBA180</v>
      </c>
    </row>
    <row r="1001" spans="1:17">
      <c r="A1001">
        <v>2</v>
      </c>
      <c r="B1001" t="s">
        <v>12054</v>
      </c>
      <c r="C1001" t="s">
        <v>12074</v>
      </c>
      <c r="D1001" t="s">
        <v>12079</v>
      </c>
      <c r="E1001" t="s">
        <v>3038</v>
      </c>
      <c r="F1001" t="s">
        <v>3039</v>
      </c>
      <c r="G1001" s="712">
        <v>0</v>
      </c>
      <c r="H1001" s="711">
        <v>82700</v>
      </c>
      <c r="I1001" s="715">
        <v>82700</v>
      </c>
      <c r="J1001" s="732">
        <v>0</v>
      </c>
      <c r="K1001" s="732">
        <v>0</v>
      </c>
      <c r="L1001" s="732">
        <v>0</v>
      </c>
      <c r="M1001" s="732">
        <v>0</v>
      </c>
      <c r="N1001" s="732">
        <v>0</v>
      </c>
      <c r="O1001" s="732">
        <v>82700</v>
      </c>
      <c r="P1001" s="732">
        <v>-82700</v>
      </c>
      <c r="Q1001" s="724" t="str">
        <f>VLOOKUP($E1001,SP_2024_v28062025!$E$2:$M$1751,9,FALSE)</f>
        <v>PBA180</v>
      </c>
    </row>
    <row r="1002" spans="1:17">
      <c r="A1002">
        <v>2</v>
      </c>
      <c r="B1002" t="s">
        <v>12054</v>
      </c>
      <c r="C1002" t="s">
        <v>12074</v>
      </c>
      <c r="D1002" t="s">
        <v>12079</v>
      </c>
      <c r="E1002" t="s">
        <v>3040</v>
      </c>
      <c r="F1002" t="s">
        <v>3041</v>
      </c>
      <c r="G1002" s="712">
        <v>0</v>
      </c>
      <c r="H1002" s="711">
        <v>76700</v>
      </c>
      <c r="I1002" s="715">
        <v>76700</v>
      </c>
      <c r="J1002" s="732">
        <v>0</v>
      </c>
      <c r="K1002" s="732">
        <v>0</v>
      </c>
      <c r="L1002" s="732">
        <v>0</v>
      </c>
      <c r="M1002" s="732">
        <v>0</v>
      </c>
      <c r="N1002" s="732">
        <v>0</v>
      </c>
      <c r="O1002" s="732">
        <v>76700</v>
      </c>
      <c r="P1002" s="732">
        <v>-76700</v>
      </c>
      <c r="Q1002" s="724" t="str">
        <f>VLOOKUP($E1002,SP_2024_v28062025!$E$2:$M$1751,9,FALSE)</f>
        <v>PBA180</v>
      </c>
    </row>
    <row r="1003" spans="1:17">
      <c r="A1003">
        <v>2</v>
      </c>
      <c r="B1003" t="s">
        <v>12054</v>
      </c>
      <c r="C1003" t="s">
        <v>12074</v>
      </c>
      <c r="D1003" t="s">
        <v>12079</v>
      </c>
      <c r="E1003" t="s">
        <v>3043</v>
      </c>
      <c r="F1003" t="s">
        <v>3044</v>
      </c>
      <c r="G1003" s="712">
        <v>0</v>
      </c>
      <c r="H1003" s="711">
        <v>167400.16</v>
      </c>
      <c r="I1003" s="715">
        <v>167400.16</v>
      </c>
      <c r="J1003" s="732">
        <v>0</v>
      </c>
      <c r="K1003" s="732">
        <v>0</v>
      </c>
      <c r="L1003" s="732">
        <v>0</v>
      </c>
      <c r="M1003" s="732">
        <v>0</v>
      </c>
      <c r="N1003" s="732">
        <v>0</v>
      </c>
      <c r="O1003" s="732">
        <v>167400.16</v>
      </c>
      <c r="P1003" s="732">
        <v>-167400.16</v>
      </c>
      <c r="Q1003" s="724" t="str">
        <f>VLOOKUP($E1003,SP_2024_v28062025!$E$2:$M$1751,9,FALSE)</f>
        <v>PBA180</v>
      </c>
    </row>
    <row r="1004" spans="1:17">
      <c r="A1004">
        <v>2</v>
      </c>
      <c r="B1004" t="s">
        <v>12054</v>
      </c>
      <c r="C1004" t="s">
        <v>12074</v>
      </c>
      <c r="D1004" t="s">
        <v>12079</v>
      </c>
      <c r="E1004" t="s">
        <v>3045</v>
      </c>
      <c r="F1004" t="s">
        <v>3046</v>
      </c>
      <c r="G1004" s="712">
        <v>0</v>
      </c>
      <c r="H1004" s="711">
        <v>80000</v>
      </c>
      <c r="I1004" s="715">
        <v>80000</v>
      </c>
      <c r="J1004" s="732">
        <v>0</v>
      </c>
      <c r="K1004" s="732">
        <v>0</v>
      </c>
      <c r="L1004" s="732">
        <v>0</v>
      </c>
      <c r="M1004" s="732">
        <v>0</v>
      </c>
      <c r="N1004" s="732">
        <v>0</v>
      </c>
      <c r="O1004" s="732">
        <v>80000</v>
      </c>
      <c r="P1004" s="732">
        <v>-80000</v>
      </c>
      <c r="Q1004" s="724" t="str">
        <f>VLOOKUP($E1004,SP_2024_v28062025!$E$2:$M$1751,9,FALSE)</f>
        <v>PBA180</v>
      </c>
    </row>
    <row r="1005" spans="1:17">
      <c r="A1005">
        <v>2</v>
      </c>
      <c r="B1005" t="s">
        <v>12054</v>
      </c>
      <c r="C1005" t="s">
        <v>12074</v>
      </c>
      <c r="D1005" t="s">
        <v>12079</v>
      </c>
      <c r="E1005" t="s">
        <v>3047</v>
      </c>
      <c r="F1005" t="s">
        <v>3048</v>
      </c>
      <c r="G1005" s="712">
        <v>0</v>
      </c>
      <c r="H1005" s="711">
        <v>4302465</v>
      </c>
      <c r="I1005" s="715">
        <v>4302465</v>
      </c>
      <c r="J1005" s="732">
        <v>291600</v>
      </c>
      <c r="K1005" s="732">
        <v>1349098.91</v>
      </c>
      <c r="L1005" s="732">
        <v>0</v>
      </c>
      <c r="M1005" s="732">
        <v>0</v>
      </c>
      <c r="N1005" s="732">
        <v>291600</v>
      </c>
      <c r="O1005" s="732">
        <v>5651563.9100000001</v>
      </c>
      <c r="P1005" s="732">
        <v>-5359963.91</v>
      </c>
      <c r="Q1005" s="724" t="str">
        <f>VLOOKUP($E1005,SP_2024_v28062025!$E$2:$M$1751,9,FALSE)</f>
        <v>PBA180</v>
      </c>
    </row>
    <row r="1006" spans="1:17">
      <c r="A1006">
        <v>2</v>
      </c>
      <c r="B1006" t="s">
        <v>12054</v>
      </c>
      <c r="C1006" t="s">
        <v>12074</v>
      </c>
      <c r="D1006" t="s">
        <v>12079</v>
      </c>
      <c r="E1006" t="s">
        <v>3050</v>
      </c>
      <c r="F1006" t="s">
        <v>3051</v>
      </c>
      <c r="G1006" s="712">
        <v>0</v>
      </c>
      <c r="H1006">
        <v>0</v>
      </c>
      <c r="I1006" s="713">
        <v>0</v>
      </c>
      <c r="J1006" s="732">
        <v>0</v>
      </c>
      <c r="K1006" s="732">
        <v>169325</v>
      </c>
      <c r="L1006" s="732">
        <v>0</v>
      </c>
      <c r="M1006" s="732">
        <v>0</v>
      </c>
      <c r="N1006" s="732">
        <v>0</v>
      </c>
      <c r="O1006" s="732">
        <v>169325</v>
      </c>
      <c r="P1006" s="732">
        <v>-169325</v>
      </c>
      <c r="Q1006" s="724" t="str">
        <f>VLOOKUP($E1006,SP_2024_v28062025!$E$2:$M$1751,9,FALSE)</f>
        <v>PBA180</v>
      </c>
    </row>
    <row r="1007" spans="1:17" ht="15.75" thickBot="1">
      <c r="A1007">
        <v>2</v>
      </c>
      <c r="B1007" t="s">
        <v>12054</v>
      </c>
      <c r="C1007" t="s">
        <v>12074</v>
      </c>
      <c r="D1007" t="s">
        <v>12079</v>
      </c>
      <c r="E1007" t="s">
        <v>3052</v>
      </c>
      <c r="F1007" t="s">
        <v>3053</v>
      </c>
      <c r="G1007" s="712">
        <v>0</v>
      </c>
      <c r="H1007">
        <v>0</v>
      </c>
      <c r="I1007" s="713">
        <v>0</v>
      </c>
      <c r="J1007" s="732">
        <v>0</v>
      </c>
      <c r="K1007" s="732">
        <v>66343.7</v>
      </c>
      <c r="L1007" s="732">
        <v>0</v>
      </c>
      <c r="M1007" s="732">
        <v>0</v>
      </c>
      <c r="N1007" s="732">
        <v>0</v>
      </c>
      <c r="O1007" s="732">
        <v>66343.7</v>
      </c>
      <c r="P1007" s="732">
        <v>-66343.7</v>
      </c>
      <c r="Q1007" s="724" t="str">
        <f>VLOOKUP($E1007,SP_2024_v28062025!$E$2:$M$1751,9,FALSE)</f>
        <v>PBA180</v>
      </c>
    </row>
    <row r="1008" spans="1:17" ht="15.75" thickBot="1">
      <c r="A1008" s="727">
        <v>2</v>
      </c>
      <c r="B1008" s="727" t="s">
        <v>12054</v>
      </c>
      <c r="C1008" s="727" t="s">
        <v>12074</v>
      </c>
      <c r="D1008" s="727" t="s">
        <v>12080</v>
      </c>
      <c r="E1008" s="727"/>
      <c r="F1008" s="729" t="s">
        <v>3058</v>
      </c>
      <c r="G1008" s="738">
        <v>0</v>
      </c>
      <c r="H1008" s="739">
        <v>76097</v>
      </c>
      <c r="I1008" s="739">
        <v>76097</v>
      </c>
      <c r="J1008" s="738">
        <v>0</v>
      </c>
      <c r="K1008" s="739">
        <v>10000</v>
      </c>
      <c r="L1008" s="738">
        <v>0</v>
      </c>
      <c r="M1008" s="738">
        <v>0</v>
      </c>
      <c r="N1008" s="738">
        <v>0</v>
      </c>
      <c r="O1008" s="739">
        <v>86097</v>
      </c>
      <c r="P1008" s="739">
        <v>-86097</v>
      </c>
    </row>
    <row r="1009" spans="1:17">
      <c r="A1009">
        <v>2</v>
      </c>
      <c r="B1009" t="s">
        <v>12054</v>
      </c>
      <c r="C1009" t="s">
        <v>12074</v>
      </c>
      <c r="D1009" t="s">
        <v>12080</v>
      </c>
      <c r="E1009" t="s">
        <v>3057</v>
      </c>
      <c r="F1009" t="s">
        <v>3058</v>
      </c>
      <c r="G1009" s="712">
        <v>0</v>
      </c>
      <c r="H1009" s="711">
        <v>18317</v>
      </c>
      <c r="I1009" s="715">
        <v>18317</v>
      </c>
      <c r="J1009" s="732">
        <v>0</v>
      </c>
      <c r="K1009" s="732">
        <v>10000</v>
      </c>
      <c r="L1009" s="732">
        <v>0</v>
      </c>
      <c r="M1009" s="732">
        <v>0</v>
      </c>
      <c r="N1009" s="732">
        <v>0</v>
      </c>
      <c r="O1009" s="732">
        <v>28317</v>
      </c>
      <c r="P1009" s="732">
        <v>-28317</v>
      </c>
      <c r="Q1009" s="724" t="str">
        <f>VLOOKUP($E1009,SP_2024_v28062025!$E$2:$M$1751,9,FALSE)</f>
        <v>PBA190</v>
      </c>
    </row>
    <row r="1010" spans="1:17">
      <c r="A1010">
        <v>2</v>
      </c>
      <c r="B1010" t="s">
        <v>12054</v>
      </c>
      <c r="C1010" t="s">
        <v>12074</v>
      </c>
      <c r="D1010" t="s">
        <v>12080</v>
      </c>
      <c r="E1010" t="s">
        <v>3059</v>
      </c>
      <c r="F1010" t="s">
        <v>3060</v>
      </c>
      <c r="G1010" s="712">
        <v>0</v>
      </c>
      <c r="H1010" s="711">
        <v>50000</v>
      </c>
      <c r="I1010" s="715">
        <v>50000</v>
      </c>
      <c r="J1010" s="732">
        <v>0</v>
      </c>
      <c r="K1010" s="732">
        <v>0</v>
      </c>
      <c r="L1010" s="732">
        <v>0</v>
      </c>
      <c r="M1010" s="732">
        <v>0</v>
      </c>
      <c r="N1010" s="732">
        <v>0</v>
      </c>
      <c r="O1010" s="732">
        <v>50000</v>
      </c>
      <c r="P1010" s="732">
        <v>-50000</v>
      </c>
      <c r="Q1010" s="724" t="str">
        <f>VLOOKUP($E1010,SP_2024_v28062025!$E$2:$M$1751,9,FALSE)</f>
        <v>PBA190</v>
      </c>
    </row>
    <row r="1011" spans="1:17" ht="15.75" thickBot="1">
      <c r="A1011">
        <v>2</v>
      </c>
      <c r="B1011" t="s">
        <v>12054</v>
      </c>
      <c r="C1011" t="s">
        <v>12074</v>
      </c>
      <c r="D1011" t="s">
        <v>12080</v>
      </c>
      <c r="E1011" t="s">
        <v>3061</v>
      </c>
      <c r="F1011" t="s">
        <v>3062</v>
      </c>
      <c r="G1011" s="712">
        <v>0</v>
      </c>
      <c r="H1011" s="711">
        <v>7780</v>
      </c>
      <c r="I1011" s="715">
        <v>7780</v>
      </c>
      <c r="J1011" s="732">
        <v>0</v>
      </c>
      <c r="K1011" s="732">
        <v>0</v>
      </c>
      <c r="L1011" s="732">
        <v>0</v>
      </c>
      <c r="M1011" s="732">
        <v>0</v>
      </c>
      <c r="N1011" s="732">
        <v>0</v>
      </c>
      <c r="O1011" s="732">
        <v>7780</v>
      </c>
      <c r="P1011" s="732">
        <v>-7780</v>
      </c>
      <c r="Q1011" s="724" t="str">
        <f>VLOOKUP($E1011,SP_2024_v28062025!$E$2:$M$1751,9,FALSE)</f>
        <v>PBA190</v>
      </c>
    </row>
    <row r="1012" spans="1:17" ht="15.75" thickBot="1">
      <c r="A1012" s="727">
        <v>2</v>
      </c>
      <c r="B1012" s="727" t="s">
        <v>12054</v>
      </c>
      <c r="C1012" s="727" t="s">
        <v>12074</v>
      </c>
      <c r="D1012" s="727" t="s">
        <v>12081</v>
      </c>
      <c r="E1012" s="727"/>
      <c r="F1012" s="729" t="s">
        <v>2848</v>
      </c>
      <c r="G1012" s="738">
        <v>0</v>
      </c>
      <c r="H1012" s="739">
        <v>345667.9</v>
      </c>
      <c r="I1012" s="739">
        <v>345667.9</v>
      </c>
      <c r="J1012" s="738">
        <v>0</v>
      </c>
      <c r="K1012" s="738">
        <v>0</v>
      </c>
      <c r="L1012" s="738">
        <v>0</v>
      </c>
      <c r="M1012" s="738">
        <v>0</v>
      </c>
      <c r="N1012" s="738">
        <v>0</v>
      </c>
      <c r="O1012" s="739">
        <v>345667.9</v>
      </c>
      <c r="P1012" s="739">
        <v>-345667.9</v>
      </c>
    </row>
    <row r="1013" spans="1:17">
      <c r="A1013">
        <v>2</v>
      </c>
      <c r="B1013" t="s">
        <v>12054</v>
      </c>
      <c r="C1013" t="s">
        <v>12074</v>
      </c>
      <c r="D1013" t="s">
        <v>12081</v>
      </c>
      <c r="E1013" t="s">
        <v>2851</v>
      </c>
      <c r="F1013" t="s">
        <v>2852</v>
      </c>
      <c r="G1013" s="712">
        <v>0</v>
      </c>
      <c r="H1013" s="711">
        <v>345667.9</v>
      </c>
      <c r="I1013" s="715">
        <v>345667.9</v>
      </c>
      <c r="J1013" s="732">
        <v>0</v>
      </c>
      <c r="K1013" s="732">
        <v>0</v>
      </c>
      <c r="L1013" s="732">
        <v>0</v>
      </c>
      <c r="M1013" s="732">
        <v>0</v>
      </c>
      <c r="N1013" s="732">
        <v>0</v>
      </c>
      <c r="O1013" s="732">
        <v>345667.9</v>
      </c>
      <c r="P1013" s="732">
        <v>-345667.9</v>
      </c>
      <c r="Q1013" s="724" t="str">
        <f>VLOOKUP($E1013,SP_2024_v28062025!$E$2:$M$1751,9,FALSE)</f>
        <v>PBA151</v>
      </c>
    </row>
    <row r="1014" spans="1:17" ht="15.75" thickBot="1">
      <c r="A1014">
        <v>2</v>
      </c>
      <c r="B1014" t="s">
        <v>12054</v>
      </c>
      <c r="C1014" t="s">
        <v>12074</v>
      </c>
      <c r="D1014" t="s">
        <v>12081</v>
      </c>
      <c r="E1014" t="s">
        <v>2854</v>
      </c>
      <c r="F1014" t="s">
        <v>2855</v>
      </c>
      <c r="G1014" s="712">
        <v>0</v>
      </c>
      <c r="H1014">
        <v>0</v>
      </c>
      <c r="I1014" s="713">
        <v>0</v>
      </c>
      <c r="J1014" s="732">
        <v>0</v>
      </c>
      <c r="K1014" s="732">
        <v>0</v>
      </c>
      <c r="L1014" s="732">
        <v>0</v>
      </c>
      <c r="M1014" s="732">
        <v>0</v>
      </c>
      <c r="N1014" s="732">
        <v>0</v>
      </c>
      <c r="O1014" s="732">
        <v>0</v>
      </c>
      <c r="P1014" s="732">
        <v>0</v>
      </c>
      <c r="Q1014" s="724" t="str">
        <f>VLOOKUP($E1014,SP_2024_v28062025!$E$2:$M$1751,9,FALSE)</f>
        <v>PBA151</v>
      </c>
    </row>
    <row r="1015" spans="1:17" ht="15.75" thickBot="1">
      <c r="A1015" s="727">
        <v>2</v>
      </c>
      <c r="B1015" s="727" t="s">
        <v>12054</v>
      </c>
      <c r="C1015" s="727" t="s">
        <v>12082</v>
      </c>
      <c r="D1015" s="727"/>
      <c r="E1015" s="727"/>
      <c r="F1015" s="745" t="s">
        <v>3063</v>
      </c>
      <c r="G1015" s="738">
        <v>0</v>
      </c>
      <c r="H1015" s="739">
        <v>7410697.7800000003</v>
      </c>
      <c r="I1015" s="739">
        <v>7410697.7800000003</v>
      </c>
      <c r="J1015" s="739">
        <v>5219766.03</v>
      </c>
      <c r="K1015" s="739">
        <v>6081107.9199999999</v>
      </c>
      <c r="L1015" s="738">
        <v>0</v>
      </c>
      <c r="M1015" s="738">
        <v>0</v>
      </c>
      <c r="N1015" s="739">
        <v>5219766.03</v>
      </c>
      <c r="O1015" s="739">
        <v>13491805.699999999</v>
      </c>
      <c r="P1015" s="739">
        <v>-8272039.6699999999</v>
      </c>
    </row>
    <row r="1016" spans="1:17" ht="15.75" thickBot="1">
      <c r="A1016" s="727">
        <v>2</v>
      </c>
      <c r="B1016" s="727" t="s">
        <v>12054</v>
      </c>
      <c r="C1016" s="727" t="s">
        <v>12082</v>
      </c>
      <c r="D1016" s="727" t="s">
        <v>12083</v>
      </c>
      <c r="E1016" s="727"/>
      <c r="F1016" s="729" t="s">
        <v>3067</v>
      </c>
      <c r="G1016" s="738">
        <v>0</v>
      </c>
      <c r="H1016" s="738">
        <v>0</v>
      </c>
      <c r="I1016" s="738">
        <v>0</v>
      </c>
      <c r="J1016" s="738">
        <v>0</v>
      </c>
      <c r="K1016" s="738">
        <v>0</v>
      </c>
      <c r="L1016" s="738">
        <v>0</v>
      </c>
      <c r="M1016" s="738">
        <v>0</v>
      </c>
      <c r="N1016" s="738">
        <v>0</v>
      </c>
      <c r="O1016" s="738">
        <v>0</v>
      </c>
      <c r="P1016" s="738">
        <v>0</v>
      </c>
    </row>
    <row r="1017" spans="1:17" ht="15.75" thickBot="1">
      <c r="A1017">
        <v>2</v>
      </c>
      <c r="B1017" t="s">
        <v>12054</v>
      </c>
      <c r="C1017" t="s">
        <v>12082</v>
      </c>
      <c r="D1017" t="s">
        <v>12083</v>
      </c>
      <c r="E1017" t="s">
        <v>3066</v>
      </c>
      <c r="F1017" t="s">
        <v>3067</v>
      </c>
      <c r="G1017" s="712">
        <v>0</v>
      </c>
      <c r="H1017">
        <v>0</v>
      </c>
      <c r="I1017" s="713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 s="724" t="str">
        <f>VLOOKUP($E1017,SP_2024_v28062025!$E$2:$M$1751,9,FALSE)</f>
        <v>PBA210</v>
      </c>
    </row>
    <row r="1018" spans="1:17" ht="15.75" thickBot="1">
      <c r="A1018" s="727">
        <v>2</v>
      </c>
      <c r="B1018" s="727" t="s">
        <v>12054</v>
      </c>
      <c r="C1018" s="727" t="s">
        <v>12082</v>
      </c>
      <c r="D1018" s="727" t="s">
        <v>12084</v>
      </c>
      <c r="E1018" s="727"/>
      <c r="F1018" s="729" t="s">
        <v>3093</v>
      </c>
      <c r="G1018" s="738">
        <v>0</v>
      </c>
      <c r="H1018" s="739">
        <v>3790899.57</v>
      </c>
      <c r="I1018" s="739">
        <v>3790899.57</v>
      </c>
      <c r="J1018" s="739">
        <v>4735826.07</v>
      </c>
      <c r="K1018" s="739">
        <v>4656142.7</v>
      </c>
      <c r="L1018" s="738">
        <v>0</v>
      </c>
      <c r="M1018" s="738">
        <v>0</v>
      </c>
      <c r="N1018" s="739">
        <v>4735826.07</v>
      </c>
      <c r="O1018" s="739">
        <v>8447042.2699999996</v>
      </c>
      <c r="P1018" s="739">
        <v>-3711216.2</v>
      </c>
    </row>
    <row r="1019" spans="1:17">
      <c r="A1019">
        <v>2</v>
      </c>
      <c r="B1019" t="s">
        <v>12054</v>
      </c>
      <c r="C1019" t="s">
        <v>12082</v>
      </c>
      <c r="D1019" t="s">
        <v>12084</v>
      </c>
      <c r="E1019" t="s">
        <v>3069</v>
      </c>
      <c r="F1019" t="s">
        <v>3070</v>
      </c>
      <c r="G1019" s="712">
        <v>0</v>
      </c>
      <c r="H1019">
        <v>0</v>
      </c>
      <c r="I1019" s="713">
        <v>0</v>
      </c>
      <c r="J1019" s="711">
        <v>61766.7</v>
      </c>
      <c r="K1019">
        <v>0</v>
      </c>
      <c r="L1019">
        <v>0</v>
      </c>
      <c r="M1019">
        <v>0</v>
      </c>
      <c r="N1019" s="711">
        <v>61766.7</v>
      </c>
      <c r="O1019">
        <v>0</v>
      </c>
      <c r="P1019" s="711">
        <v>61766.7</v>
      </c>
      <c r="Q1019" s="724" t="str">
        <f>VLOOKUP($E1019,SP_2024_v28062025!$E$2:$M$1751,9,FALSE)</f>
        <v>PBA230</v>
      </c>
    </row>
    <row r="1020" spans="1:17">
      <c r="A1020">
        <v>2</v>
      </c>
      <c r="B1020" t="s">
        <v>12054</v>
      </c>
      <c r="C1020" t="s">
        <v>12082</v>
      </c>
      <c r="D1020" t="s">
        <v>12084</v>
      </c>
      <c r="E1020" t="s">
        <v>3071</v>
      </c>
      <c r="F1020" t="s">
        <v>3072</v>
      </c>
      <c r="G1020" s="712">
        <v>0</v>
      </c>
      <c r="H1020" s="711">
        <v>3248657.44</v>
      </c>
      <c r="I1020" s="715">
        <v>3248657.44</v>
      </c>
      <c r="J1020" s="711">
        <v>4311889.7300000004</v>
      </c>
      <c r="K1020" s="711">
        <v>2823874.11</v>
      </c>
      <c r="L1020">
        <v>0</v>
      </c>
      <c r="M1020">
        <v>0</v>
      </c>
      <c r="N1020" s="711">
        <v>4311889.7300000004</v>
      </c>
      <c r="O1020" s="711">
        <v>6072531.5499999998</v>
      </c>
      <c r="P1020" s="711">
        <v>-1760641.82</v>
      </c>
      <c r="Q1020" s="724" t="str">
        <f>VLOOKUP($E1020,SP_2024_v28062025!$E$2:$M$1751,9,FALSE)</f>
        <v>PBA230</v>
      </c>
    </row>
    <row r="1021" spans="1:17">
      <c r="A1021">
        <v>2</v>
      </c>
      <c r="B1021" t="s">
        <v>12054</v>
      </c>
      <c r="C1021" t="s">
        <v>12082</v>
      </c>
      <c r="D1021" t="s">
        <v>12084</v>
      </c>
      <c r="E1021" t="s">
        <v>3073</v>
      </c>
      <c r="F1021" t="s">
        <v>3074</v>
      </c>
      <c r="G1021" s="712">
        <v>0</v>
      </c>
      <c r="H1021" s="711">
        <v>272854.15000000002</v>
      </c>
      <c r="I1021" s="715">
        <v>272854.15000000002</v>
      </c>
      <c r="J1021" s="711">
        <v>362169.64</v>
      </c>
      <c r="K1021" s="711">
        <v>95162.23</v>
      </c>
      <c r="L1021">
        <v>0</v>
      </c>
      <c r="M1021">
        <v>0</v>
      </c>
      <c r="N1021" s="711">
        <v>362169.64</v>
      </c>
      <c r="O1021" s="711">
        <v>368016.38</v>
      </c>
      <c r="P1021" s="711">
        <v>-5846.74</v>
      </c>
      <c r="Q1021" s="724" t="str">
        <f>VLOOKUP($E1021,SP_2024_v28062025!$E$2:$M$1751,9,FALSE)</f>
        <v>PBA230</v>
      </c>
    </row>
    <row r="1022" spans="1:17">
      <c r="A1022">
        <v>2</v>
      </c>
      <c r="B1022" t="s">
        <v>12054</v>
      </c>
      <c r="C1022" t="s">
        <v>12082</v>
      </c>
      <c r="D1022" t="s">
        <v>12084</v>
      </c>
      <c r="E1022" t="s">
        <v>3075</v>
      </c>
      <c r="F1022" t="s">
        <v>3076</v>
      </c>
      <c r="G1022" s="712">
        <v>0</v>
      </c>
      <c r="H1022" s="711">
        <v>269387.98</v>
      </c>
      <c r="I1022" s="715">
        <v>269387.98</v>
      </c>
      <c r="J1022">
        <v>0</v>
      </c>
      <c r="K1022" s="711">
        <v>1737106.36</v>
      </c>
      <c r="L1022">
        <v>0</v>
      </c>
      <c r="M1022">
        <v>0</v>
      </c>
      <c r="N1022">
        <v>0</v>
      </c>
      <c r="O1022" s="711">
        <v>2006494.34</v>
      </c>
      <c r="P1022" s="711">
        <v>-2006494.34</v>
      </c>
      <c r="Q1022" s="724" t="str">
        <f>VLOOKUP($E1022,SP_2024_v28062025!$E$2:$M$1751,9,FALSE)</f>
        <v>PBA230</v>
      </c>
    </row>
    <row r="1023" spans="1:17">
      <c r="A1023">
        <v>2</v>
      </c>
      <c r="B1023" t="s">
        <v>12054</v>
      </c>
      <c r="C1023" t="s">
        <v>12082</v>
      </c>
      <c r="D1023" t="s">
        <v>12084</v>
      </c>
      <c r="E1023" t="s">
        <v>3077</v>
      </c>
      <c r="F1023" t="s">
        <v>3078</v>
      </c>
      <c r="G1023" s="712">
        <v>0</v>
      </c>
      <c r="H1023">
        <v>0</v>
      </c>
      <c r="I1023" s="71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 s="724" t="str">
        <f>VLOOKUP($E1023,SP_2024_v28062025!$E$2:$M$1751,9,FALSE)</f>
        <v>PBA230</v>
      </c>
    </row>
    <row r="1024" spans="1:17">
      <c r="A1024">
        <v>2</v>
      </c>
      <c r="B1024" t="s">
        <v>12054</v>
      </c>
      <c r="C1024" t="s">
        <v>12082</v>
      </c>
      <c r="D1024" t="s">
        <v>12084</v>
      </c>
      <c r="E1024" t="s">
        <v>3079</v>
      </c>
      <c r="F1024" t="s">
        <v>3080</v>
      </c>
      <c r="G1024" s="712">
        <v>0</v>
      </c>
      <c r="H1024">
        <v>0</v>
      </c>
      <c r="I1024" s="713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 s="724" t="str">
        <f>VLOOKUP($E1024,SP_2024_v28062025!$E$2:$M$1751,9,FALSE)</f>
        <v>PBA230</v>
      </c>
    </row>
    <row r="1025" spans="1:18">
      <c r="A1025">
        <v>2</v>
      </c>
      <c r="B1025" t="s">
        <v>12054</v>
      </c>
      <c r="C1025" t="s">
        <v>12082</v>
      </c>
      <c r="D1025" t="s">
        <v>12084</v>
      </c>
      <c r="E1025" t="s">
        <v>3081</v>
      </c>
      <c r="F1025" t="s">
        <v>3082</v>
      </c>
      <c r="G1025" s="712">
        <v>0</v>
      </c>
      <c r="H1025">
        <v>0</v>
      </c>
      <c r="I1025" s="713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 s="724" t="str">
        <f>VLOOKUP($E1025,SP_2024_v28062025!$E$2:$M$1751,9,FALSE)</f>
        <v>PBA230</v>
      </c>
    </row>
    <row r="1026" spans="1:18">
      <c r="A1026">
        <v>2</v>
      </c>
      <c r="B1026" t="s">
        <v>12054</v>
      </c>
      <c r="C1026" t="s">
        <v>12082</v>
      </c>
      <c r="D1026" t="s">
        <v>12084</v>
      </c>
      <c r="E1026" t="s">
        <v>3083</v>
      </c>
      <c r="F1026" t="s">
        <v>3084</v>
      </c>
      <c r="G1026" s="712">
        <v>0</v>
      </c>
      <c r="H1026">
        <v>0</v>
      </c>
      <c r="I1026" s="713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 s="724" t="str">
        <f>VLOOKUP($E1026,SP_2024_v28062025!$E$2:$M$1751,9,FALSE)</f>
        <v>PBA230</v>
      </c>
    </row>
    <row r="1027" spans="1:18">
      <c r="A1027">
        <v>2</v>
      </c>
      <c r="B1027" t="s">
        <v>12054</v>
      </c>
      <c r="C1027" t="s">
        <v>12082</v>
      </c>
      <c r="D1027" t="s">
        <v>12084</v>
      </c>
      <c r="E1027" t="s">
        <v>3085</v>
      </c>
      <c r="F1027" t="s">
        <v>3086</v>
      </c>
      <c r="G1027" s="712">
        <v>0</v>
      </c>
      <c r="H1027">
        <v>0</v>
      </c>
      <c r="I1027" s="713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 s="724" t="str">
        <f>VLOOKUP($E1027,SP_2024_v28062025!$E$2:$M$1751,9,FALSE)</f>
        <v>PBA230</v>
      </c>
    </row>
    <row r="1028" spans="1:18" ht="15.75" thickBot="1">
      <c r="A1028">
        <v>2</v>
      </c>
      <c r="B1028" t="s">
        <v>12054</v>
      </c>
      <c r="C1028" t="s">
        <v>12082</v>
      </c>
      <c r="D1028" t="s">
        <v>12084</v>
      </c>
      <c r="E1028" t="s">
        <v>3087</v>
      </c>
      <c r="F1028" t="s">
        <v>3088</v>
      </c>
      <c r="G1028" s="712">
        <v>0</v>
      </c>
      <c r="H1028">
        <v>0</v>
      </c>
      <c r="I1028" s="713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 s="724" t="str">
        <f>VLOOKUP($E1028,SP_2024_v28062025!$E$2:$M$1751,9,FALSE)</f>
        <v>PBA230</v>
      </c>
    </row>
    <row r="1029" spans="1:18" ht="15.75" thickBot="1">
      <c r="A1029" s="727">
        <v>2</v>
      </c>
      <c r="B1029" s="727" t="s">
        <v>12054</v>
      </c>
      <c r="C1029" s="727" t="s">
        <v>12082</v>
      </c>
      <c r="D1029" s="727" t="s">
        <v>12085</v>
      </c>
      <c r="E1029" s="727"/>
      <c r="F1029" s="729" t="s">
        <v>3092</v>
      </c>
      <c r="G1029" s="738">
        <v>0</v>
      </c>
      <c r="H1029" s="738">
        <v>0</v>
      </c>
      <c r="I1029" s="738">
        <v>0</v>
      </c>
      <c r="J1029" s="738">
        <v>0</v>
      </c>
      <c r="K1029" s="738">
        <v>0</v>
      </c>
      <c r="L1029" s="738">
        <v>0</v>
      </c>
      <c r="M1029" s="738">
        <v>0</v>
      </c>
      <c r="N1029" s="738">
        <v>0</v>
      </c>
      <c r="O1029" s="738">
        <v>0</v>
      </c>
      <c r="P1029" s="738">
        <v>0</v>
      </c>
    </row>
    <row r="1030" spans="1:18" ht="15.75" thickBot="1">
      <c r="A1030">
        <v>2</v>
      </c>
      <c r="B1030" t="s">
        <v>12054</v>
      </c>
      <c r="C1030" t="s">
        <v>12082</v>
      </c>
      <c r="D1030" t="s">
        <v>12085</v>
      </c>
      <c r="E1030" t="s">
        <v>3091</v>
      </c>
      <c r="F1030" t="s">
        <v>3092</v>
      </c>
      <c r="G1030" s="712">
        <v>0</v>
      </c>
      <c r="H1030">
        <v>0</v>
      </c>
      <c r="I1030" s="713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 s="724" t="str">
        <f>VLOOKUP($E1030,SP_2024_v28062025!$E$2:$M$1751,9,FALSE)</f>
        <v>PBA240</v>
      </c>
    </row>
    <row r="1031" spans="1:18" ht="15.75" thickBot="1">
      <c r="A1031" s="727">
        <v>2</v>
      </c>
      <c r="B1031" s="727" t="s">
        <v>12054</v>
      </c>
      <c r="C1031" s="727" t="s">
        <v>12082</v>
      </c>
      <c r="D1031" s="727" t="s">
        <v>12086</v>
      </c>
      <c r="E1031" s="727"/>
      <c r="F1031" s="729" t="s">
        <v>3097</v>
      </c>
      <c r="G1031" s="738">
        <v>0</v>
      </c>
      <c r="H1031" s="738">
        <v>0</v>
      </c>
      <c r="I1031" s="738">
        <v>0</v>
      </c>
      <c r="J1031" s="738">
        <v>0</v>
      </c>
      <c r="K1031" s="738">
        <v>0</v>
      </c>
      <c r="L1031" s="738">
        <v>0</v>
      </c>
      <c r="M1031" s="738">
        <v>0</v>
      </c>
      <c r="N1031" s="738">
        <v>0</v>
      </c>
      <c r="O1031" s="738">
        <v>0</v>
      </c>
      <c r="P1031" s="738">
        <v>0</v>
      </c>
    </row>
    <row r="1032" spans="1:18" ht="15.75" thickBot="1">
      <c r="A1032">
        <v>2</v>
      </c>
      <c r="B1032" t="s">
        <v>12054</v>
      </c>
      <c r="C1032" t="s">
        <v>12082</v>
      </c>
      <c r="D1032" t="s">
        <v>12086</v>
      </c>
      <c r="E1032" t="s">
        <v>3096</v>
      </c>
      <c r="F1032" t="s">
        <v>3097</v>
      </c>
      <c r="G1032" s="712">
        <v>0</v>
      </c>
      <c r="H1032">
        <v>0</v>
      </c>
      <c r="I1032" s="713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 s="724" t="str">
        <f>VLOOKUP($E1032,SP_2024_v28062025!$E$2:$M$1751,9,FALSE)</f>
        <v>PBA250</v>
      </c>
    </row>
    <row r="1033" spans="1:18" ht="15.75" thickBot="1">
      <c r="A1033" s="727">
        <v>2</v>
      </c>
      <c r="B1033" s="727" t="s">
        <v>12054</v>
      </c>
      <c r="C1033" s="727" t="s">
        <v>12082</v>
      </c>
      <c r="D1033" s="727" t="s">
        <v>12087</v>
      </c>
      <c r="E1033" s="727"/>
      <c r="F1033" s="729" t="s">
        <v>3063</v>
      </c>
      <c r="G1033" s="738">
        <v>0</v>
      </c>
      <c r="H1033" s="739">
        <v>3619798.21</v>
      </c>
      <c r="I1033" s="739">
        <v>3619798.21</v>
      </c>
      <c r="J1033" s="739">
        <v>483939.96</v>
      </c>
      <c r="K1033" s="739">
        <v>1084965.22</v>
      </c>
      <c r="L1033" s="738">
        <v>0</v>
      </c>
      <c r="M1033" s="738">
        <v>0</v>
      </c>
      <c r="N1033" s="739">
        <v>483939.96</v>
      </c>
      <c r="O1033" s="739">
        <v>4704763.43</v>
      </c>
      <c r="P1033" s="739">
        <v>-4220823.47</v>
      </c>
      <c r="R1033" s="711"/>
    </row>
    <row r="1034" spans="1:18">
      <c r="A1034">
        <v>2</v>
      </c>
      <c r="B1034" t="s">
        <v>12054</v>
      </c>
      <c r="C1034" t="s">
        <v>12082</v>
      </c>
      <c r="D1034" t="s">
        <v>12087</v>
      </c>
      <c r="E1034" t="s">
        <v>3100</v>
      </c>
      <c r="F1034" t="s">
        <v>3101</v>
      </c>
      <c r="G1034" s="712">
        <v>0</v>
      </c>
      <c r="H1034">
        <v>0</v>
      </c>
      <c r="I1034" s="713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 s="724" t="str">
        <f>VLOOKUP($E1034,SP_2024_v28062025!$E$2:$M$1751,9,FALSE)</f>
        <v>PBA260</v>
      </c>
    </row>
    <row r="1035" spans="1:18">
      <c r="A1035">
        <v>2</v>
      </c>
      <c r="B1035" t="s">
        <v>12054</v>
      </c>
      <c r="C1035" t="s">
        <v>12082</v>
      </c>
      <c r="D1035" t="s">
        <v>12087</v>
      </c>
      <c r="E1035" t="s">
        <v>3102</v>
      </c>
      <c r="F1035" t="s">
        <v>3103</v>
      </c>
      <c r="G1035" s="712">
        <v>0</v>
      </c>
      <c r="H1035">
        <v>0</v>
      </c>
      <c r="I1035" s="713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 s="724" t="str">
        <f>VLOOKUP($E1035,SP_2024_v28062025!$E$2:$M$1751,9,FALSE)</f>
        <v>PBA260</v>
      </c>
    </row>
    <row r="1036" spans="1:18">
      <c r="A1036">
        <v>2</v>
      </c>
      <c r="B1036" t="s">
        <v>12054</v>
      </c>
      <c r="C1036" t="s">
        <v>12082</v>
      </c>
      <c r="D1036" t="s">
        <v>12087</v>
      </c>
      <c r="E1036" t="s">
        <v>3104</v>
      </c>
      <c r="F1036" t="s">
        <v>3105</v>
      </c>
      <c r="G1036" s="712">
        <v>0</v>
      </c>
      <c r="H1036">
        <v>0</v>
      </c>
      <c r="I1036" s="713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 s="724" t="str">
        <f>VLOOKUP($E1036,SP_2024_v28062025!$E$2:$M$1751,9,FALSE)</f>
        <v>PBA260</v>
      </c>
    </row>
    <row r="1037" spans="1:18">
      <c r="A1037">
        <v>2</v>
      </c>
      <c r="B1037" t="s">
        <v>12054</v>
      </c>
      <c r="C1037" t="s">
        <v>12082</v>
      </c>
      <c r="D1037" t="s">
        <v>12087</v>
      </c>
      <c r="E1037" t="s">
        <v>3106</v>
      </c>
      <c r="F1037" t="s">
        <v>3107</v>
      </c>
      <c r="G1037" s="712">
        <v>0</v>
      </c>
      <c r="H1037">
        <v>0</v>
      </c>
      <c r="I1037" s="713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 s="724" t="str">
        <f>VLOOKUP($E1037,SP_2024_v28062025!$E$2:$M$1751,9,FALSE)</f>
        <v>PBA260</v>
      </c>
    </row>
    <row r="1038" spans="1:18">
      <c r="A1038">
        <v>2</v>
      </c>
      <c r="B1038" t="s">
        <v>12054</v>
      </c>
      <c r="C1038" t="s">
        <v>12082</v>
      </c>
      <c r="D1038" t="s">
        <v>12087</v>
      </c>
      <c r="E1038" t="s">
        <v>3108</v>
      </c>
      <c r="F1038" t="s">
        <v>3109</v>
      </c>
      <c r="G1038" s="712">
        <v>0</v>
      </c>
      <c r="H1038">
        <v>0</v>
      </c>
      <c r="I1038" s="713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 s="724" t="str">
        <f>VLOOKUP($E1038,SP_2024_v28062025!$E$2:$M$1751,9,FALSE)</f>
        <v>PBA260</v>
      </c>
    </row>
    <row r="1039" spans="1:18">
      <c r="A1039">
        <v>2</v>
      </c>
      <c r="B1039" t="s">
        <v>12054</v>
      </c>
      <c r="C1039" t="s">
        <v>12082</v>
      </c>
      <c r="D1039" t="s">
        <v>12087</v>
      </c>
      <c r="E1039" t="s">
        <v>3110</v>
      </c>
      <c r="F1039" t="s">
        <v>3067</v>
      </c>
      <c r="G1039" s="712">
        <v>0</v>
      </c>
      <c r="H1039">
        <v>0</v>
      </c>
      <c r="I1039" s="713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 s="724" t="str">
        <f>VLOOKUP($E1039,SP_2024_v28062025!$E$2:$M$1751,9,FALSE)</f>
        <v>PBA260</v>
      </c>
    </row>
    <row r="1040" spans="1:18">
      <c r="A1040">
        <v>2</v>
      </c>
      <c r="B1040" t="s">
        <v>12054</v>
      </c>
      <c r="C1040" t="s">
        <v>12082</v>
      </c>
      <c r="D1040" t="s">
        <v>12087</v>
      </c>
      <c r="E1040" t="s">
        <v>3111</v>
      </c>
      <c r="F1040" t="s">
        <v>3063</v>
      </c>
      <c r="G1040" s="712">
        <v>0</v>
      </c>
      <c r="H1040">
        <v>0</v>
      </c>
      <c r="I1040" s="713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 s="724" t="str">
        <f>VLOOKUP($E1040,SP_2024_v28062025!$E$2:$M$1751,9,FALSE)</f>
        <v>PBA260</v>
      </c>
    </row>
    <row r="1041" spans="1:17">
      <c r="A1041">
        <v>2</v>
      </c>
      <c r="B1041" t="s">
        <v>12054</v>
      </c>
      <c r="C1041" t="s">
        <v>12082</v>
      </c>
      <c r="D1041" t="s">
        <v>12087</v>
      </c>
      <c r="E1041" t="s">
        <v>3112</v>
      </c>
      <c r="F1041" t="s">
        <v>3113</v>
      </c>
      <c r="G1041" s="712">
        <v>0</v>
      </c>
      <c r="H1041" s="711">
        <v>490104.59</v>
      </c>
      <c r="I1041" s="715">
        <v>490104.59</v>
      </c>
      <c r="J1041">
        <v>0</v>
      </c>
      <c r="K1041" s="711">
        <v>297053.89</v>
      </c>
      <c r="L1041">
        <v>0</v>
      </c>
      <c r="M1041">
        <v>0</v>
      </c>
      <c r="N1041">
        <v>0</v>
      </c>
      <c r="O1041" s="711">
        <v>787158.48</v>
      </c>
      <c r="P1041" s="711">
        <v>-787158.48</v>
      </c>
      <c r="Q1041" s="724" t="str">
        <f>VLOOKUP($E1041,SP_2024_v28062025!$E$2:$M$1751,9,FALSE)</f>
        <v>PBA260</v>
      </c>
    </row>
    <row r="1042" spans="1:17">
      <c r="A1042">
        <v>2</v>
      </c>
      <c r="B1042" t="s">
        <v>12054</v>
      </c>
      <c r="C1042" t="s">
        <v>12082</v>
      </c>
      <c r="D1042" t="s">
        <v>12087</v>
      </c>
      <c r="E1042" t="s">
        <v>3114</v>
      </c>
      <c r="F1042" t="s">
        <v>3115</v>
      </c>
      <c r="G1042" s="712">
        <v>0</v>
      </c>
      <c r="H1042">
        <v>0</v>
      </c>
      <c r="I1042" s="713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 s="724" t="str">
        <f>VLOOKUP($E1042,SP_2024_v28062025!$E$2:$M$1751,9,FALSE)</f>
        <v>PBA260</v>
      </c>
    </row>
    <row r="1043" spans="1:17">
      <c r="A1043">
        <v>2</v>
      </c>
      <c r="B1043" t="s">
        <v>12054</v>
      </c>
      <c r="C1043" t="s">
        <v>12082</v>
      </c>
      <c r="D1043" t="s">
        <v>12087</v>
      </c>
      <c r="E1043" t="s">
        <v>3116</v>
      </c>
      <c r="F1043" t="s">
        <v>3117</v>
      </c>
      <c r="G1043" s="712">
        <v>0</v>
      </c>
      <c r="H1043">
        <v>0</v>
      </c>
      <c r="I1043" s="71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 s="724" t="str">
        <f>VLOOKUP($E1043,SP_2024_v28062025!$E$2:$M$1751,9,FALSE)</f>
        <v>PBA260</v>
      </c>
    </row>
    <row r="1044" spans="1:17">
      <c r="A1044">
        <v>2</v>
      </c>
      <c r="B1044" t="s">
        <v>12054</v>
      </c>
      <c r="C1044" t="s">
        <v>12082</v>
      </c>
      <c r="D1044" t="s">
        <v>12087</v>
      </c>
      <c r="E1044" t="s">
        <v>11645</v>
      </c>
      <c r="F1044" t="s">
        <v>11646</v>
      </c>
      <c r="G1044" s="712">
        <v>0</v>
      </c>
      <c r="H1044">
        <v>0</v>
      </c>
      <c r="I1044" s="713">
        <v>0</v>
      </c>
      <c r="J1044">
        <v>0</v>
      </c>
      <c r="K1044" s="711">
        <v>250000</v>
      </c>
      <c r="L1044">
        <v>0</v>
      </c>
      <c r="M1044">
        <v>0</v>
      </c>
      <c r="N1044">
        <v>0</v>
      </c>
      <c r="O1044" s="711">
        <v>250000</v>
      </c>
      <c r="P1044" s="711">
        <v>-250000</v>
      </c>
      <c r="Q1044" s="724" t="str">
        <f>VLOOKUP($E1044,SP_2024_v28062025!$E$2:$M$1751,9,FALSE)</f>
        <v>PBA260</v>
      </c>
    </row>
    <row r="1045" spans="1:17">
      <c r="A1045">
        <v>2</v>
      </c>
      <c r="B1045" t="s">
        <v>12054</v>
      </c>
      <c r="C1045" t="s">
        <v>12082</v>
      </c>
      <c r="D1045" t="s">
        <v>12087</v>
      </c>
      <c r="E1045" t="s">
        <v>3118</v>
      </c>
      <c r="F1045" t="s">
        <v>3119</v>
      </c>
      <c r="G1045" s="712">
        <v>0</v>
      </c>
      <c r="H1045" s="711">
        <v>2195403.61</v>
      </c>
      <c r="I1045" s="715">
        <v>2195403.61</v>
      </c>
      <c r="J1045" s="711">
        <v>385740.13</v>
      </c>
      <c r="K1045" s="711">
        <v>413029.02</v>
      </c>
      <c r="L1045">
        <v>0</v>
      </c>
      <c r="M1045">
        <v>0</v>
      </c>
      <c r="N1045" s="711">
        <v>385740.13</v>
      </c>
      <c r="O1045" s="711">
        <v>2608432.63</v>
      </c>
      <c r="P1045" s="711">
        <v>-2222692.5</v>
      </c>
      <c r="Q1045" s="724" t="str">
        <f>VLOOKUP($E1045,SP_2024_v28062025!$E$2:$M$1751,9,FALSE)</f>
        <v>PBA260</v>
      </c>
    </row>
    <row r="1046" spans="1:17">
      <c r="A1046">
        <v>2</v>
      </c>
      <c r="B1046" t="s">
        <v>12054</v>
      </c>
      <c r="C1046" t="s">
        <v>12082</v>
      </c>
      <c r="D1046" t="s">
        <v>12087</v>
      </c>
      <c r="E1046" t="s">
        <v>3120</v>
      </c>
      <c r="F1046" t="s">
        <v>3121</v>
      </c>
      <c r="G1046" s="712">
        <v>0</v>
      </c>
      <c r="H1046">
        <v>0</v>
      </c>
      <c r="I1046" s="713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 s="724" t="str">
        <f>VLOOKUP($E1046,SP_2024_v28062025!$E$2:$M$1751,9,FALSE)</f>
        <v>PBA260</v>
      </c>
    </row>
    <row r="1047" spans="1:17">
      <c r="A1047">
        <v>2</v>
      </c>
      <c r="B1047" t="s">
        <v>12054</v>
      </c>
      <c r="C1047" t="s">
        <v>12082</v>
      </c>
      <c r="D1047" t="s">
        <v>12087</v>
      </c>
      <c r="E1047" t="s">
        <v>3122</v>
      </c>
      <c r="F1047" t="s">
        <v>3123</v>
      </c>
      <c r="G1047" s="712">
        <v>0</v>
      </c>
      <c r="H1047">
        <v>0</v>
      </c>
      <c r="I1047" s="713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 s="724" t="str">
        <f>VLOOKUP($E1047,SP_2024_v28062025!$E$2:$M$1751,9,FALSE)</f>
        <v>PBA260</v>
      </c>
    </row>
    <row r="1048" spans="1:17">
      <c r="A1048">
        <v>2</v>
      </c>
      <c r="B1048" t="s">
        <v>12054</v>
      </c>
      <c r="C1048" t="s">
        <v>12082</v>
      </c>
      <c r="D1048" t="s">
        <v>12087</v>
      </c>
      <c r="E1048" t="s">
        <v>3124</v>
      </c>
      <c r="F1048" t="s">
        <v>3125</v>
      </c>
      <c r="G1048" s="712">
        <v>0</v>
      </c>
      <c r="H1048">
        <v>0</v>
      </c>
      <c r="I1048" s="713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 s="724" t="str">
        <f>VLOOKUP($E1048,SP_2024_v28062025!$E$2:$M$1751,9,FALSE)</f>
        <v>PBA260</v>
      </c>
    </row>
    <row r="1049" spans="1:17">
      <c r="A1049">
        <v>2</v>
      </c>
      <c r="B1049" t="s">
        <v>12054</v>
      </c>
      <c r="C1049" t="s">
        <v>12082</v>
      </c>
      <c r="D1049" t="s">
        <v>12087</v>
      </c>
      <c r="E1049" t="s">
        <v>3126</v>
      </c>
      <c r="F1049" t="s">
        <v>3127</v>
      </c>
      <c r="G1049" s="712">
        <v>0</v>
      </c>
      <c r="H1049">
        <v>0</v>
      </c>
      <c r="I1049" s="713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 s="724" t="str">
        <f>VLOOKUP($E1049,SP_2024_v28062025!$E$2:$M$1751,9,FALSE)</f>
        <v>PBA260</v>
      </c>
    </row>
    <row r="1050" spans="1:17">
      <c r="A1050">
        <v>2</v>
      </c>
      <c r="B1050" t="s">
        <v>12054</v>
      </c>
      <c r="C1050" t="s">
        <v>12082</v>
      </c>
      <c r="D1050" t="s">
        <v>12087</v>
      </c>
      <c r="E1050" t="s">
        <v>3129</v>
      </c>
      <c r="F1050" t="s">
        <v>3130</v>
      </c>
      <c r="G1050" s="712">
        <v>0</v>
      </c>
      <c r="H1050">
        <v>0</v>
      </c>
      <c r="I1050" s="713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 s="724" t="str">
        <f>VLOOKUP($E1050,SP_2024_v28062025!$E$2:$M$1751,9,FALSE)</f>
        <v>PBA260</v>
      </c>
    </row>
    <row r="1051" spans="1:17">
      <c r="A1051">
        <v>2</v>
      </c>
      <c r="B1051" t="s">
        <v>12054</v>
      </c>
      <c r="C1051" t="s">
        <v>12082</v>
      </c>
      <c r="D1051" t="s">
        <v>12087</v>
      </c>
      <c r="E1051" t="s">
        <v>3131</v>
      </c>
      <c r="F1051" t="s">
        <v>3132</v>
      </c>
      <c r="G1051" s="712">
        <v>0</v>
      </c>
      <c r="H1051">
        <v>0</v>
      </c>
      <c r="I1051" s="713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 s="724" t="str">
        <f>VLOOKUP($E1051,SP_2024_v28062025!$E$2:$M$1751,9,FALSE)</f>
        <v>PBA260</v>
      </c>
    </row>
    <row r="1052" spans="1:17">
      <c r="A1052">
        <v>2</v>
      </c>
      <c r="B1052" t="s">
        <v>12054</v>
      </c>
      <c r="C1052" t="s">
        <v>12082</v>
      </c>
      <c r="D1052" t="s">
        <v>12087</v>
      </c>
      <c r="E1052" t="s">
        <v>3133</v>
      </c>
      <c r="F1052" t="s">
        <v>3134</v>
      </c>
      <c r="G1052" s="712">
        <v>0</v>
      </c>
      <c r="H1052">
        <v>0</v>
      </c>
      <c r="I1052" s="713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 s="724" t="str">
        <f>VLOOKUP($E1052,SP_2024_v28062025!$E$2:$M$1751,9,FALSE)</f>
        <v>PBA260</v>
      </c>
    </row>
    <row r="1053" spans="1:17">
      <c r="A1053">
        <v>2</v>
      </c>
      <c r="B1053" t="s">
        <v>12054</v>
      </c>
      <c r="C1053" t="s">
        <v>12082</v>
      </c>
      <c r="D1053" t="s">
        <v>12087</v>
      </c>
      <c r="E1053" t="s">
        <v>3135</v>
      </c>
      <c r="F1053" t="s">
        <v>3136</v>
      </c>
      <c r="G1053" s="712">
        <v>0</v>
      </c>
      <c r="H1053" s="711">
        <v>35390.1</v>
      </c>
      <c r="I1053" s="715">
        <v>35390.1</v>
      </c>
      <c r="J1053">
        <v>0</v>
      </c>
      <c r="K1053">
        <v>0</v>
      </c>
      <c r="L1053">
        <v>0</v>
      </c>
      <c r="M1053">
        <v>0</v>
      </c>
      <c r="N1053">
        <v>0</v>
      </c>
      <c r="O1053" s="711">
        <v>35390.1</v>
      </c>
      <c r="P1053" s="711">
        <v>-35390.1</v>
      </c>
      <c r="Q1053" s="724" t="str">
        <f>VLOOKUP($E1053,SP_2024_v28062025!$E$2:$M$1751,9,FALSE)</f>
        <v>PBA260</v>
      </c>
    </row>
    <row r="1054" spans="1:17">
      <c r="A1054">
        <v>2</v>
      </c>
      <c r="B1054" t="s">
        <v>12054</v>
      </c>
      <c r="C1054" t="s">
        <v>12082</v>
      </c>
      <c r="D1054" t="s">
        <v>12087</v>
      </c>
      <c r="E1054" t="s">
        <v>3137</v>
      </c>
      <c r="F1054" t="s">
        <v>3138</v>
      </c>
      <c r="G1054" s="712">
        <v>0</v>
      </c>
      <c r="H1054" s="711">
        <v>592070.99</v>
      </c>
      <c r="I1054" s="715">
        <v>592070.99</v>
      </c>
      <c r="J1054">
        <v>0</v>
      </c>
      <c r="K1054" s="711">
        <v>124882.31</v>
      </c>
      <c r="L1054">
        <v>0</v>
      </c>
      <c r="M1054">
        <v>0</v>
      </c>
      <c r="N1054">
        <v>0</v>
      </c>
      <c r="O1054" s="711">
        <v>716953.3</v>
      </c>
      <c r="P1054" s="711">
        <v>-716953.3</v>
      </c>
      <c r="Q1054" s="724" t="str">
        <f>VLOOKUP($E1054,SP_2024_v28062025!$E$2:$M$1751,9,FALSE)</f>
        <v>PBA260</v>
      </c>
    </row>
    <row r="1055" spans="1:17">
      <c r="A1055">
        <v>2</v>
      </c>
      <c r="B1055" t="s">
        <v>12054</v>
      </c>
      <c r="C1055" t="s">
        <v>12082</v>
      </c>
      <c r="D1055" t="s">
        <v>12087</v>
      </c>
      <c r="E1055" t="s">
        <v>3139</v>
      </c>
      <c r="F1055" t="s">
        <v>3140</v>
      </c>
      <c r="G1055" s="712">
        <v>0</v>
      </c>
      <c r="H1055" s="711">
        <v>229851.33</v>
      </c>
      <c r="I1055" s="715">
        <v>229851.33</v>
      </c>
      <c r="J1055" s="711">
        <v>98199.83</v>
      </c>
      <c r="K1055">
        <v>0</v>
      </c>
      <c r="L1055">
        <v>0</v>
      </c>
      <c r="M1055">
        <v>0</v>
      </c>
      <c r="N1055" s="711">
        <v>98199.83</v>
      </c>
      <c r="O1055" s="711">
        <v>229851.33</v>
      </c>
      <c r="P1055" s="711">
        <v>-131651.5</v>
      </c>
      <c r="Q1055" s="724" t="str">
        <f>VLOOKUP($E1055,SP_2024_v28062025!$E$2:$M$1751,9,FALSE)</f>
        <v>PBA260</v>
      </c>
    </row>
    <row r="1056" spans="1:17">
      <c r="A1056">
        <v>2</v>
      </c>
      <c r="B1056" t="s">
        <v>12054</v>
      </c>
      <c r="C1056" t="s">
        <v>12082</v>
      </c>
      <c r="D1056" t="s">
        <v>12087</v>
      </c>
      <c r="E1056" t="s">
        <v>3141</v>
      </c>
      <c r="F1056" t="s">
        <v>3142</v>
      </c>
      <c r="G1056" s="712">
        <v>0</v>
      </c>
      <c r="H1056" s="711">
        <v>43674.74</v>
      </c>
      <c r="I1056" s="715">
        <v>43674.74</v>
      </c>
      <c r="J1056">
        <v>0</v>
      </c>
      <c r="K1056">
        <v>0</v>
      </c>
      <c r="L1056">
        <v>0</v>
      </c>
      <c r="M1056">
        <v>0</v>
      </c>
      <c r="N1056">
        <v>0</v>
      </c>
      <c r="O1056" s="711">
        <v>43674.74</v>
      </c>
      <c r="P1056" s="711">
        <v>-43674.74</v>
      </c>
      <c r="Q1056" s="724" t="str">
        <f>VLOOKUP($E1056,SP_2024_v28062025!$E$2:$M$1751,9,FALSE)</f>
        <v>PBA260</v>
      </c>
    </row>
    <row r="1057" spans="1:17" ht="15.75" thickBot="1">
      <c r="A1057">
        <v>2</v>
      </c>
      <c r="B1057" t="s">
        <v>12054</v>
      </c>
      <c r="C1057" t="s">
        <v>12082</v>
      </c>
      <c r="D1057" t="s">
        <v>12087</v>
      </c>
      <c r="E1057" t="s">
        <v>3143</v>
      </c>
      <c r="F1057" t="s">
        <v>3144</v>
      </c>
      <c r="G1057" s="712">
        <v>0</v>
      </c>
      <c r="H1057" s="711">
        <v>33302.85</v>
      </c>
      <c r="I1057" s="715">
        <v>33302.85</v>
      </c>
      <c r="J1057">
        <v>0</v>
      </c>
      <c r="K1057">
        <v>0</v>
      </c>
      <c r="L1057">
        <v>0</v>
      </c>
      <c r="M1057">
        <v>0</v>
      </c>
      <c r="N1057">
        <v>0</v>
      </c>
      <c r="O1057" s="711">
        <v>33302.85</v>
      </c>
      <c r="P1057" s="711">
        <v>-33302.85</v>
      </c>
      <c r="Q1057" s="724" t="str">
        <f>VLOOKUP($E1057,SP_2024_v28062025!$E$2:$M$1751,9,FALSE)</f>
        <v>PBA260</v>
      </c>
    </row>
    <row r="1058" spans="1:17" ht="15.75" thickBot="1">
      <c r="A1058" s="727">
        <v>2</v>
      </c>
      <c r="B1058" s="727" t="s">
        <v>12054</v>
      </c>
      <c r="C1058" s="727" t="s">
        <v>12082</v>
      </c>
      <c r="D1058" s="727" t="s">
        <v>12088</v>
      </c>
      <c r="E1058" s="727"/>
      <c r="F1058" s="729" t="s">
        <v>3145</v>
      </c>
      <c r="G1058" s="738">
        <v>0</v>
      </c>
      <c r="H1058" s="738">
        <v>0</v>
      </c>
      <c r="I1058" s="738">
        <v>0</v>
      </c>
      <c r="J1058" s="738">
        <v>0</v>
      </c>
      <c r="K1058" s="739">
        <v>340000</v>
      </c>
      <c r="L1058" s="738">
        <v>0</v>
      </c>
      <c r="M1058" s="738">
        <v>0</v>
      </c>
      <c r="N1058" s="738">
        <v>0</v>
      </c>
      <c r="O1058" s="739">
        <v>340000</v>
      </c>
      <c r="P1058" s="739">
        <v>-340000</v>
      </c>
    </row>
    <row r="1059" spans="1:17">
      <c r="A1059">
        <v>2</v>
      </c>
      <c r="B1059" t="s">
        <v>12054</v>
      </c>
      <c r="C1059" t="s">
        <v>12082</v>
      </c>
      <c r="D1059" t="s">
        <v>12088</v>
      </c>
      <c r="E1059" t="s">
        <v>3148</v>
      </c>
      <c r="F1059" t="s">
        <v>11648</v>
      </c>
      <c r="G1059" s="712">
        <v>0</v>
      </c>
      <c r="H1059">
        <v>0</v>
      </c>
      <c r="I1059" s="713">
        <v>0</v>
      </c>
      <c r="J1059">
        <v>0</v>
      </c>
      <c r="K1059" s="711">
        <v>168267.91</v>
      </c>
      <c r="L1059">
        <v>0</v>
      </c>
      <c r="M1059">
        <v>0</v>
      </c>
      <c r="N1059">
        <v>0</v>
      </c>
      <c r="O1059" s="711">
        <v>168267.91</v>
      </c>
      <c r="P1059" s="711">
        <v>-168267.91</v>
      </c>
      <c r="Q1059" s="724" t="str">
        <f>VLOOKUP($E1059,SP_2024_v28062025!$E$2:$M$1751,9,FALSE)</f>
        <v>PBA270</v>
      </c>
    </row>
    <row r="1060" spans="1:17">
      <c r="A1060">
        <v>2</v>
      </c>
      <c r="B1060" t="s">
        <v>12054</v>
      </c>
      <c r="C1060" t="s">
        <v>12082</v>
      </c>
      <c r="D1060" t="s">
        <v>12088</v>
      </c>
      <c r="E1060" t="s">
        <v>11649</v>
      </c>
      <c r="F1060" t="s">
        <v>11650</v>
      </c>
      <c r="G1060" s="712">
        <v>0</v>
      </c>
      <c r="H1060">
        <v>0</v>
      </c>
      <c r="I1060" s="713">
        <v>0</v>
      </c>
      <c r="J1060">
        <v>0</v>
      </c>
      <c r="K1060" s="711">
        <v>98069.77</v>
      </c>
      <c r="L1060">
        <v>0</v>
      </c>
      <c r="M1060">
        <v>0</v>
      </c>
      <c r="N1060">
        <v>0</v>
      </c>
      <c r="O1060" s="711">
        <v>98069.77</v>
      </c>
      <c r="P1060" s="711">
        <v>-98069.77</v>
      </c>
      <c r="Q1060" s="724" t="str">
        <f>VLOOKUP($E1060,SP_2024_v28062025!$E$2:$M$1751,9,FALSE)</f>
        <v>PBA270</v>
      </c>
    </row>
    <row r="1061" spans="1:17" ht="15.75" thickBot="1">
      <c r="A1061">
        <v>2</v>
      </c>
      <c r="B1061" t="s">
        <v>12054</v>
      </c>
      <c r="C1061" t="s">
        <v>12082</v>
      </c>
      <c r="D1061" t="s">
        <v>12088</v>
      </c>
      <c r="E1061" t="s">
        <v>11651</v>
      </c>
      <c r="F1061" t="s">
        <v>11652</v>
      </c>
      <c r="G1061" s="712">
        <v>0</v>
      </c>
      <c r="H1061">
        <v>0</v>
      </c>
      <c r="I1061" s="713">
        <v>0</v>
      </c>
      <c r="J1061">
        <v>0</v>
      </c>
      <c r="K1061" s="711">
        <v>73662.320000000007</v>
      </c>
      <c r="L1061">
        <v>0</v>
      </c>
      <c r="M1061">
        <v>0</v>
      </c>
      <c r="N1061">
        <v>0</v>
      </c>
      <c r="O1061" s="711">
        <v>73662.320000000007</v>
      </c>
      <c r="P1061" s="711">
        <v>-73662.320000000007</v>
      </c>
      <c r="Q1061" s="724" t="str">
        <f>VLOOKUP($E1061,SP_2024_v28062025!$E$2:$M$1751,9,FALSE)</f>
        <v>PBA270</v>
      </c>
    </row>
    <row r="1062" spans="1:17" ht="15.75" thickBot="1">
      <c r="A1062" s="727">
        <v>2</v>
      </c>
      <c r="B1062" s="727" t="s">
        <v>12089</v>
      </c>
      <c r="C1062" s="727"/>
      <c r="D1062" s="727"/>
      <c r="E1062" s="727"/>
      <c r="F1062" s="745" t="s">
        <v>3149</v>
      </c>
      <c r="G1062" s="738">
        <v>0</v>
      </c>
      <c r="H1062" s="739">
        <v>367699.49</v>
      </c>
      <c r="I1062" s="739">
        <v>367699.49</v>
      </c>
      <c r="J1062" s="738">
        <v>0</v>
      </c>
      <c r="K1062" s="738">
        <v>0</v>
      </c>
      <c r="L1062" s="738">
        <v>0</v>
      </c>
      <c r="M1062" s="738">
        <v>0</v>
      </c>
      <c r="N1062" s="738">
        <v>0</v>
      </c>
      <c r="O1062" s="739">
        <v>367699.49</v>
      </c>
      <c r="P1062" s="739">
        <v>-367699.49</v>
      </c>
    </row>
    <row r="1063" spans="1:17" ht="15.75" thickBot="1">
      <c r="A1063" s="727">
        <v>2</v>
      </c>
      <c r="B1063" s="727" t="s">
        <v>12089</v>
      </c>
      <c r="C1063" s="727" t="s">
        <v>12090</v>
      </c>
      <c r="D1063" s="727"/>
      <c r="E1063" s="727"/>
      <c r="F1063" s="745" t="s">
        <v>3151</v>
      </c>
      <c r="G1063" s="738">
        <v>0</v>
      </c>
      <c r="H1063" s="738">
        <v>0</v>
      </c>
      <c r="I1063" s="738">
        <v>0</v>
      </c>
      <c r="J1063" s="738">
        <v>0</v>
      </c>
      <c r="K1063" s="738">
        <v>0</v>
      </c>
      <c r="L1063" s="738">
        <v>0</v>
      </c>
      <c r="M1063" s="738">
        <v>0</v>
      </c>
      <c r="N1063" s="738">
        <v>0</v>
      </c>
      <c r="O1063" s="738">
        <v>0</v>
      </c>
      <c r="P1063" s="738">
        <v>0</v>
      </c>
    </row>
    <row r="1064" spans="1:17" ht="15.75" thickBot="1">
      <c r="A1064" s="727">
        <v>2</v>
      </c>
      <c r="B1064" s="727" t="s">
        <v>12089</v>
      </c>
      <c r="C1064" s="727" t="s">
        <v>12090</v>
      </c>
      <c r="D1064" s="727" t="s">
        <v>12091</v>
      </c>
      <c r="E1064" s="727"/>
      <c r="F1064" s="729" t="s">
        <v>3151</v>
      </c>
      <c r="G1064" s="738">
        <v>0</v>
      </c>
      <c r="H1064" s="738">
        <v>0</v>
      </c>
      <c r="I1064" s="738">
        <v>0</v>
      </c>
      <c r="J1064" s="738">
        <v>0</v>
      </c>
      <c r="K1064" s="738">
        <v>0</v>
      </c>
      <c r="L1064" s="738">
        <v>0</v>
      </c>
      <c r="M1064" s="738">
        <v>0</v>
      </c>
      <c r="N1064" s="738">
        <v>0</v>
      </c>
      <c r="O1064" s="738">
        <v>0</v>
      </c>
      <c r="P1064" s="738">
        <v>0</v>
      </c>
    </row>
    <row r="1065" spans="1:17" ht="15.75" thickBot="1">
      <c r="A1065">
        <v>2</v>
      </c>
      <c r="B1065" t="s">
        <v>12089</v>
      </c>
      <c r="C1065" t="s">
        <v>12090</v>
      </c>
      <c r="D1065" t="s">
        <v>12091</v>
      </c>
      <c r="E1065" t="s">
        <v>3155</v>
      </c>
      <c r="F1065" t="s">
        <v>3156</v>
      </c>
      <c r="G1065" s="712">
        <v>0</v>
      </c>
      <c r="H1065">
        <v>0</v>
      </c>
      <c r="I1065" s="713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 s="724" t="str">
        <f>VLOOKUP($E1065,SP_2024_v28062025!$E$2:$M$1751,9,FALSE)</f>
        <v>PCA000</v>
      </c>
    </row>
    <row r="1066" spans="1:17" ht="15.75" thickBot="1">
      <c r="A1066" s="727">
        <v>2</v>
      </c>
      <c r="B1066" s="727" t="s">
        <v>12089</v>
      </c>
      <c r="C1066" s="727" t="s">
        <v>12092</v>
      </c>
      <c r="D1066" s="727"/>
      <c r="E1066" s="727"/>
      <c r="F1066" s="745" t="s">
        <v>3157</v>
      </c>
      <c r="G1066" s="738">
        <v>0</v>
      </c>
      <c r="H1066" s="739">
        <v>367699.49</v>
      </c>
      <c r="I1066" s="739">
        <v>367699.49</v>
      </c>
      <c r="J1066" s="738">
        <v>0</v>
      </c>
      <c r="K1066" s="738">
        <v>0</v>
      </c>
      <c r="L1066" s="738">
        <v>0</v>
      </c>
      <c r="M1066" s="738">
        <v>0</v>
      </c>
      <c r="N1066" s="738">
        <v>0</v>
      </c>
      <c r="O1066" s="739">
        <v>367699.49</v>
      </c>
      <c r="P1066" s="739">
        <v>-367699.49</v>
      </c>
    </row>
    <row r="1067" spans="1:17" ht="15.75" thickBot="1">
      <c r="A1067" s="727">
        <v>2</v>
      </c>
      <c r="B1067" s="727" t="s">
        <v>12089</v>
      </c>
      <c r="C1067" s="727" t="s">
        <v>12092</v>
      </c>
      <c r="D1067" s="727" t="s">
        <v>12093</v>
      </c>
      <c r="E1067" s="727"/>
      <c r="F1067" s="729" t="s">
        <v>3157</v>
      </c>
      <c r="G1067" s="738">
        <v>0</v>
      </c>
      <c r="H1067" s="739">
        <v>367699.49</v>
      </c>
      <c r="I1067" s="739">
        <v>367699.49</v>
      </c>
      <c r="J1067" s="738">
        <v>0</v>
      </c>
      <c r="K1067" s="738">
        <v>0</v>
      </c>
      <c r="L1067" s="738">
        <v>0</v>
      </c>
      <c r="M1067" s="738">
        <v>0</v>
      </c>
      <c r="N1067" s="738">
        <v>0</v>
      </c>
      <c r="O1067" s="739">
        <v>367699.49</v>
      </c>
      <c r="P1067" s="739">
        <v>-367699.49</v>
      </c>
    </row>
    <row r="1068" spans="1:17" ht="15.75" thickBot="1">
      <c r="A1068">
        <v>2</v>
      </c>
      <c r="B1068" t="s">
        <v>12089</v>
      </c>
      <c r="C1068" t="s">
        <v>12092</v>
      </c>
      <c r="D1068" t="s">
        <v>12093</v>
      </c>
      <c r="E1068" t="s">
        <v>3160</v>
      </c>
      <c r="F1068" t="s">
        <v>3157</v>
      </c>
      <c r="G1068" s="712">
        <v>0</v>
      </c>
      <c r="H1068" s="711">
        <v>367699.49</v>
      </c>
      <c r="I1068" s="715">
        <v>367699.49</v>
      </c>
      <c r="J1068">
        <v>0</v>
      </c>
      <c r="K1068">
        <v>0</v>
      </c>
      <c r="L1068">
        <v>0</v>
      </c>
      <c r="M1068">
        <v>0</v>
      </c>
      <c r="N1068">
        <v>0</v>
      </c>
      <c r="O1068" s="711">
        <v>367699.49</v>
      </c>
      <c r="P1068" s="711">
        <v>-367699.49</v>
      </c>
      <c r="Q1068" s="724" t="str">
        <f>VLOOKUP($E1068,SP_2024_v28062025!$E$2:$M$1751,9,FALSE)</f>
        <v>PCA010</v>
      </c>
    </row>
    <row r="1069" spans="1:17" ht="15.75" thickBot="1">
      <c r="A1069" s="727">
        <v>2</v>
      </c>
      <c r="B1069" s="727" t="s">
        <v>12089</v>
      </c>
      <c r="C1069" s="727" t="s">
        <v>12094</v>
      </c>
      <c r="D1069" s="727"/>
      <c r="E1069" s="727"/>
      <c r="F1069" s="745" t="s">
        <v>3161</v>
      </c>
      <c r="G1069" s="738">
        <v>0</v>
      </c>
      <c r="H1069" s="738">
        <v>0</v>
      </c>
      <c r="I1069" s="738">
        <v>0</v>
      </c>
      <c r="J1069" s="738">
        <v>0</v>
      </c>
      <c r="K1069" s="738">
        <v>0</v>
      </c>
      <c r="L1069" s="738">
        <v>0</v>
      </c>
      <c r="M1069" s="738">
        <v>0</v>
      </c>
      <c r="N1069" s="738">
        <v>0</v>
      </c>
      <c r="O1069" s="738">
        <v>0</v>
      </c>
      <c r="P1069" s="738">
        <v>0</v>
      </c>
    </row>
    <row r="1070" spans="1:17" ht="15.75" thickBot="1">
      <c r="A1070" s="727">
        <v>2</v>
      </c>
      <c r="B1070" s="727" t="s">
        <v>12089</v>
      </c>
      <c r="C1070" s="727" t="s">
        <v>12094</v>
      </c>
      <c r="D1070" s="727" t="s">
        <v>12095</v>
      </c>
      <c r="E1070" s="727"/>
      <c r="F1070" s="729" t="s">
        <v>3161</v>
      </c>
      <c r="G1070" s="738">
        <v>0</v>
      </c>
      <c r="H1070" s="738">
        <v>0</v>
      </c>
      <c r="I1070" s="738">
        <v>0</v>
      </c>
      <c r="J1070" s="738">
        <v>0</v>
      </c>
      <c r="K1070" s="738">
        <v>0</v>
      </c>
      <c r="L1070" s="738">
        <v>0</v>
      </c>
      <c r="M1070" s="738">
        <v>0</v>
      </c>
      <c r="N1070" s="738">
        <v>0</v>
      </c>
      <c r="O1070" s="738">
        <v>0</v>
      </c>
      <c r="P1070" s="738">
        <v>0</v>
      </c>
    </row>
    <row r="1071" spans="1:17" ht="15.75" thickBot="1">
      <c r="A1071">
        <v>2</v>
      </c>
      <c r="B1071" t="s">
        <v>12089</v>
      </c>
      <c r="C1071" t="s">
        <v>12094</v>
      </c>
      <c r="D1071" t="s">
        <v>12095</v>
      </c>
      <c r="E1071" t="s">
        <v>3164</v>
      </c>
      <c r="F1071" t="s">
        <v>3161</v>
      </c>
      <c r="G1071" s="712">
        <v>0</v>
      </c>
      <c r="H1071">
        <v>0</v>
      </c>
      <c r="I1071" s="713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 s="724" t="str">
        <f>VLOOKUP($E1071,SP_2024_v28062025!$E$2:$M$1751,9,FALSE)</f>
        <v>PCA020</v>
      </c>
    </row>
    <row r="1072" spans="1:17" ht="15.75" thickBot="1">
      <c r="A1072" s="727">
        <v>2</v>
      </c>
      <c r="B1072" s="727" t="s">
        <v>12096</v>
      </c>
      <c r="C1072" s="727"/>
      <c r="D1072" s="727"/>
      <c r="E1072" s="727"/>
      <c r="F1072" s="745" t="s">
        <v>18</v>
      </c>
      <c r="G1072" s="739">
        <v>2471950.8199999998</v>
      </c>
      <c r="H1072" s="739">
        <v>99569858.810000002</v>
      </c>
      <c r="I1072" s="739">
        <v>97097907.989999995</v>
      </c>
      <c r="J1072" s="739">
        <v>2796181163.77</v>
      </c>
      <c r="K1072" s="739">
        <v>2801510773.4299998</v>
      </c>
      <c r="L1072" s="738">
        <v>0</v>
      </c>
      <c r="M1072" s="738">
        <v>0</v>
      </c>
      <c r="N1072" s="739">
        <v>2798653114.5900002</v>
      </c>
      <c r="O1072" s="739">
        <v>2901080632.2399998</v>
      </c>
      <c r="P1072" s="739">
        <v>-102427517.65000001</v>
      </c>
    </row>
    <row r="1073" spans="1:17" ht="15.75" thickBot="1">
      <c r="A1073" s="727">
        <v>2</v>
      </c>
      <c r="B1073" s="727" t="s">
        <v>12096</v>
      </c>
      <c r="C1073" s="727" t="s">
        <v>12097</v>
      </c>
      <c r="D1073" s="727"/>
      <c r="E1073" s="727"/>
      <c r="F1073" s="745" t="s">
        <v>3167</v>
      </c>
      <c r="G1073" s="738">
        <v>0</v>
      </c>
      <c r="H1073" s="738">
        <v>0</v>
      </c>
      <c r="I1073" s="738">
        <v>0</v>
      </c>
      <c r="J1073" s="739">
        <v>3306.79</v>
      </c>
      <c r="K1073" s="739">
        <v>3306.79</v>
      </c>
      <c r="L1073" s="738">
        <v>0</v>
      </c>
      <c r="M1073" s="738">
        <v>0</v>
      </c>
      <c r="N1073" s="739">
        <v>3306.79</v>
      </c>
      <c r="O1073" s="739">
        <v>3306.79</v>
      </c>
      <c r="P1073" s="738">
        <v>0</v>
      </c>
    </row>
    <row r="1074" spans="1:17" ht="15.75" thickBot="1">
      <c r="A1074" s="727">
        <v>2</v>
      </c>
      <c r="B1074" s="727" t="s">
        <v>12096</v>
      </c>
      <c r="C1074" s="727" t="s">
        <v>12097</v>
      </c>
      <c r="D1074" s="727" t="s">
        <v>12098</v>
      </c>
      <c r="E1074" s="727"/>
      <c r="F1074" s="729" t="s">
        <v>3167</v>
      </c>
      <c r="G1074" s="738">
        <v>0</v>
      </c>
      <c r="H1074" s="738">
        <v>0</v>
      </c>
      <c r="I1074" s="738">
        <v>0</v>
      </c>
      <c r="J1074" s="739">
        <v>3306.79</v>
      </c>
      <c r="K1074" s="739">
        <v>3306.79</v>
      </c>
      <c r="L1074" s="738">
        <v>0</v>
      </c>
      <c r="M1074" s="738">
        <v>0</v>
      </c>
      <c r="N1074" s="739">
        <v>3306.79</v>
      </c>
      <c r="O1074" s="739">
        <v>3306.79</v>
      </c>
      <c r="P1074" s="738">
        <v>0</v>
      </c>
    </row>
    <row r="1075" spans="1:17">
      <c r="A1075">
        <v>2</v>
      </c>
      <c r="B1075" t="s">
        <v>12096</v>
      </c>
      <c r="C1075" t="s">
        <v>12097</v>
      </c>
      <c r="D1075" t="s">
        <v>12098</v>
      </c>
      <c r="E1075" t="s">
        <v>3170</v>
      </c>
      <c r="F1075" t="s">
        <v>3171</v>
      </c>
      <c r="G1075" s="712">
        <v>0</v>
      </c>
      <c r="H1075">
        <v>0</v>
      </c>
      <c r="I1075" s="713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 s="724" t="str">
        <f>VLOOKUP($E1075,SP_2024_v28062025!$E$2:$M$1751,9,FALSE)</f>
        <v>PDA000</v>
      </c>
    </row>
    <row r="1076" spans="1:17" ht="15.75" thickBot="1">
      <c r="A1076">
        <v>2</v>
      </c>
      <c r="B1076" t="s">
        <v>12096</v>
      </c>
      <c r="C1076" t="s">
        <v>12097</v>
      </c>
      <c r="D1076" t="s">
        <v>12098</v>
      </c>
      <c r="E1076" t="s">
        <v>3172</v>
      </c>
      <c r="F1076" t="s">
        <v>3173</v>
      </c>
      <c r="G1076" s="712">
        <v>0</v>
      </c>
      <c r="H1076">
        <v>0</v>
      </c>
      <c r="I1076" s="713">
        <v>0</v>
      </c>
      <c r="J1076" s="711">
        <v>3306.79</v>
      </c>
      <c r="K1076" s="711">
        <v>3306.79</v>
      </c>
      <c r="L1076">
        <v>0</v>
      </c>
      <c r="M1076">
        <v>0</v>
      </c>
      <c r="N1076" s="711">
        <v>3306.79</v>
      </c>
      <c r="O1076" s="711">
        <v>3306.79</v>
      </c>
      <c r="P1076">
        <v>0</v>
      </c>
      <c r="Q1076" s="724" t="str">
        <f>VLOOKUP($E1076,SP_2024_v28062025!$E$2:$M$1751,9,FALSE)</f>
        <v>PDA000</v>
      </c>
    </row>
    <row r="1077" spans="1:17" ht="15.75" thickBot="1">
      <c r="A1077" s="727">
        <v>2</v>
      </c>
      <c r="B1077" s="727" t="s">
        <v>12096</v>
      </c>
      <c r="C1077" s="727" t="s">
        <v>12099</v>
      </c>
      <c r="D1077" s="727"/>
      <c r="E1077" s="727"/>
      <c r="F1077" s="745" t="s">
        <v>3174</v>
      </c>
      <c r="G1077" s="738">
        <v>0</v>
      </c>
      <c r="H1077" s="738">
        <v>0</v>
      </c>
      <c r="I1077" s="738">
        <v>0</v>
      </c>
      <c r="J1077" s="738">
        <v>0</v>
      </c>
      <c r="K1077" s="738">
        <v>0</v>
      </c>
      <c r="L1077" s="738">
        <v>0</v>
      </c>
      <c r="M1077" s="738">
        <v>0</v>
      </c>
      <c r="N1077" s="738">
        <v>0</v>
      </c>
      <c r="O1077" s="738">
        <v>0</v>
      </c>
      <c r="P1077" s="738">
        <v>0</v>
      </c>
    </row>
    <row r="1078" spans="1:17" ht="15.75" thickBot="1">
      <c r="A1078" s="727">
        <v>2</v>
      </c>
      <c r="B1078" s="727" t="s">
        <v>12096</v>
      </c>
      <c r="C1078" s="727" t="s">
        <v>12099</v>
      </c>
      <c r="D1078" s="727" t="s">
        <v>12100</v>
      </c>
      <c r="E1078" s="727"/>
      <c r="F1078" s="729" t="s">
        <v>12101</v>
      </c>
      <c r="G1078" s="738">
        <v>0</v>
      </c>
      <c r="H1078" s="738">
        <v>0</v>
      </c>
      <c r="I1078" s="738">
        <v>0</v>
      </c>
      <c r="J1078" s="738">
        <v>0</v>
      </c>
      <c r="K1078" s="738">
        <v>0</v>
      </c>
      <c r="L1078" s="738">
        <v>0</v>
      </c>
      <c r="M1078" s="738">
        <v>0</v>
      </c>
      <c r="N1078" s="738">
        <v>0</v>
      </c>
      <c r="O1078" s="738">
        <v>0</v>
      </c>
      <c r="P1078" s="738">
        <v>0</v>
      </c>
    </row>
    <row r="1079" spans="1:17">
      <c r="A1079">
        <v>2</v>
      </c>
      <c r="B1079" t="s">
        <v>12096</v>
      </c>
      <c r="C1079" t="s">
        <v>12099</v>
      </c>
      <c r="D1079" t="s">
        <v>12100</v>
      </c>
      <c r="E1079" t="s">
        <v>3179</v>
      </c>
      <c r="F1079" t="s">
        <v>3180</v>
      </c>
      <c r="G1079" s="712">
        <v>0</v>
      </c>
      <c r="H1079">
        <v>0</v>
      </c>
      <c r="I1079" s="713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 s="724" t="str">
        <f>VLOOKUP($E1079,SP_2024_v28062025!$E$2:$M$1751,9,FALSE)</f>
        <v>PDA020</v>
      </c>
    </row>
    <row r="1080" spans="1:17" ht="15.75" thickBot="1">
      <c r="A1080">
        <v>2</v>
      </c>
      <c r="B1080" t="s">
        <v>12096</v>
      </c>
      <c r="C1080" t="s">
        <v>12099</v>
      </c>
      <c r="D1080" t="s">
        <v>12100</v>
      </c>
      <c r="E1080" t="s">
        <v>3181</v>
      </c>
      <c r="F1080" t="s">
        <v>3182</v>
      </c>
      <c r="G1080" s="712">
        <v>0</v>
      </c>
      <c r="H1080">
        <v>0</v>
      </c>
      <c r="I1080" s="713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 s="724" t="str">
        <f>VLOOKUP($E1080,SP_2024_v28062025!$E$2:$M$1751,9,FALSE)</f>
        <v>PDA020</v>
      </c>
    </row>
    <row r="1081" spans="1:17" ht="15.75" thickBot="1">
      <c r="A1081" s="727">
        <v>2</v>
      </c>
      <c r="B1081" s="727" t="s">
        <v>12096</v>
      </c>
      <c r="C1081" s="727" t="s">
        <v>12099</v>
      </c>
      <c r="D1081" s="727" t="s">
        <v>12102</v>
      </c>
      <c r="E1081" s="727"/>
      <c r="F1081" s="729" t="s">
        <v>12103</v>
      </c>
      <c r="G1081" s="738">
        <v>0</v>
      </c>
      <c r="H1081" s="738">
        <v>0</v>
      </c>
      <c r="I1081" s="738">
        <v>0</v>
      </c>
      <c r="J1081" s="738">
        <v>0</v>
      </c>
      <c r="K1081" s="738">
        <v>0</v>
      </c>
      <c r="L1081" s="738">
        <v>0</v>
      </c>
      <c r="M1081" s="738">
        <v>0</v>
      </c>
      <c r="N1081" s="738">
        <v>0</v>
      </c>
      <c r="O1081" s="738">
        <v>0</v>
      </c>
      <c r="P1081" s="738">
        <v>0</v>
      </c>
    </row>
    <row r="1082" spans="1:17" ht="15.75" thickBot="1">
      <c r="A1082">
        <v>2</v>
      </c>
      <c r="B1082" t="s">
        <v>12096</v>
      </c>
      <c r="C1082" t="s">
        <v>12099</v>
      </c>
      <c r="D1082" t="s">
        <v>12102</v>
      </c>
      <c r="E1082" t="s">
        <v>3185</v>
      </c>
      <c r="F1082" t="s">
        <v>3186</v>
      </c>
      <c r="G1082" s="712">
        <v>0</v>
      </c>
      <c r="H1082">
        <v>0</v>
      </c>
      <c r="I1082" s="713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 s="724" t="str">
        <f>VLOOKUP($E1082,SP_2024_v28062025!$E$2:$M$1751,9,FALSE)</f>
        <v>PDA030</v>
      </c>
    </row>
    <row r="1083" spans="1:17" ht="15.75" thickBot="1">
      <c r="A1083" s="727">
        <v>2</v>
      </c>
      <c r="B1083" s="727" t="s">
        <v>12096</v>
      </c>
      <c r="C1083" s="727" t="s">
        <v>12099</v>
      </c>
      <c r="D1083" s="727" t="s">
        <v>12104</v>
      </c>
      <c r="E1083" s="727"/>
      <c r="F1083" s="729" t="s">
        <v>3190</v>
      </c>
      <c r="G1083" s="738">
        <v>0</v>
      </c>
      <c r="H1083" s="738">
        <v>0</v>
      </c>
      <c r="I1083" s="738">
        <v>0</v>
      </c>
      <c r="J1083" s="738">
        <v>0</v>
      </c>
      <c r="K1083" s="738">
        <v>0</v>
      </c>
      <c r="L1083" s="738">
        <v>0</v>
      </c>
      <c r="M1083" s="738">
        <v>0</v>
      </c>
      <c r="N1083" s="738">
        <v>0</v>
      </c>
      <c r="O1083" s="738">
        <v>0</v>
      </c>
      <c r="P1083" s="738">
        <v>0</v>
      </c>
    </row>
    <row r="1084" spans="1:17" ht="15.75" thickBot="1">
      <c r="A1084">
        <v>2</v>
      </c>
      <c r="B1084" t="s">
        <v>12096</v>
      </c>
      <c r="C1084" t="s">
        <v>12099</v>
      </c>
      <c r="D1084" t="s">
        <v>12104</v>
      </c>
      <c r="E1084" t="s">
        <v>3189</v>
      </c>
      <c r="F1084" t="s">
        <v>3190</v>
      </c>
      <c r="G1084" s="712">
        <v>0</v>
      </c>
      <c r="H1084">
        <v>0</v>
      </c>
      <c r="I1084" s="713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 s="724" t="str">
        <f>VLOOKUP($E1084,SP_2024_v28062025!$E$2:$M$1751,9,FALSE)</f>
        <v>PDA040</v>
      </c>
    </row>
    <row r="1085" spans="1:17" ht="15.75" thickBot="1">
      <c r="A1085" s="727">
        <v>2</v>
      </c>
      <c r="B1085" s="727" t="s">
        <v>12096</v>
      </c>
      <c r="C1085" s="727" t="s">
        <v>12099</v>
      </c>
      <c r="D1085" s="727" t="s">
        <v>12105</v>
      </c>
      <c r="E1085" s="727"/>
      <c r="F1085" s="729" t="s">
        <v>3194</v>
      </c>
      <c r="G1085" s="738">
        <v>0</v>
      </c>
      <c r="H1085" s="738">
        <v>0</v>
      </c>
      <c r="I1085" s="738">
        <v>0</v>
      </c>
      <c r="J1085" s="738">
        <v>0</v>
      </c>
      <c r="K1085" s="738">
        <v>0</v>
      </c>
      <c r="L1085" s="738">
        <v>0</v>
      </c>
      <c r="M1085" s="738">
        <v>0</v>
      </c>
      <c r="N1085" s="738">
        <v>0</v>
      </c>
      <c r="O1085" s="738">
        <v>0</v>
      </c>
      <c r="P1085" s="738">
        <v>0</v>
      </c>
    </row>
    <row r="1086" spans="1:17" ht="15.75" thickBot="1">
      <c r="A1086">
        <v>2</v>
      </c>
      <c r="B1086" t="s">
        <v>12096</v>
      </c>
      <c r="C1086" t="s">
        <v>12099</v>
      </c>
      <c r="D1086" t="s">
        <v>12105</v>
      </c>
      <c r="E1086" t="s">
        <v>3193</v>
      </c>
      <c r="F1086" t="s">
        <v>3194</v>
      </c>
      <c r="G1086" s="712">
        <v>0</v>
      </c>
      <c r="H1086">
        <v>0</v>
      </c>
      <c r="I1086" s="713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 s="724" t="str">
        <f>VLOOKUP($E1086,SP_2024_v28062025!$E$2:$M$1751,9,FALSE)</f>
        <v>PDA050</v>
      </c>
    </row>
    <row r="1087" spans="1:17" ht="15.75" thickBot="1">
      <c r="A1087" s="727">
        <v>2</v>
      </c>
      <c r="B1087" s="727" t="s">
        <v>12096</v>
      </c>
      <c r="C1087" s="727" t="s">
        <v>12099</v>
      </c>
      <c r="D1087" s="727" t="s">
        <v>12106</v>
      </c>
      <c r="E1087" s="727"/>
      <c r="F1087" s="729" t="s">
        <v>3198</v>
      </c>
      <c r="G1087" s="738">
        <v>0</v>
      </c>
      <c r="H1087" s="738">
        <v>0</v>
      </c>
      <c r="I1087" s="738">
        <v>0</v>
      </c>
      <c r="J1087" s="738">
        <v>0</v>
      </c>
      <c r="K1087" s="738">
        <v>0</v>
      </c>
      <c r="L1087" s="738">
        <v>0</v>
      </c>
      <c r="M1087" s="738">
        <v>0</v>
      </c>
      <c r="N1087" s="738">
        <v>0</v>
      </c>
      <c r="O1087" s="738">
        <v>0</v>
      </c>
      <c r="P1087" s="738">
        <v>0</v>
      </c>
    </row>
    <row r="1088" spans="1:17" ht="15.75" thickBot="1">
      <c r="A1088">
        <v>2</v>
      </c>
      <c r="B1088" t="s">
        <v>12096</v>
      </c>
      <c r="C1088" t="s">
        <v>12099</v>
      </c>
      <c r="D1088" t="s">
        <v>12106</v>
      </c>
      <c r="E1088" t="s">
        <v>3197</v>
      </c>
      <c r="F1088" t="s">
        <v>3198</v>
      </c>
      <c r="G1088" s="712">
        <v>0</v>
      </c>
      <c r="H1088">
        <v>0</v>
      </c>
      <c r="I1088" s="713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 s="724" t="str">
        <f>VLOOKUP($E1088,SP_2024_v28062025!$E$2:$M$1751,9,FALSE)</f>
        <v>PDA060</v>
      </c>
    </row>
    <row r="1089" spans="1:17" ht="15.75" thickBot="1">
      <c r="A1089" s="727">
        <v>2</v>
      </c>
      <c r="B1089" s="727" t="s">
        <v>12096</v>
      </c>
      <c r="C1089" s="727" t="s">
        <v>12107</v>
      </c>
      <c r="D1089" s="727"/>
      <c r="E1089" s="727"/>
      <c r="F1089" s="745" t="s">
        <v>3199</v>
      </c>
      <c r="G1089" s="738">
        <v>0</v>
      </c>
      <c r="H1089" s="738">
        <v>0</v>
      </c>
      <c r="I1089" s="738">
        <v>0</v>
      </c>
      <c r="J1089" s="739">
        <v>313132571.24000001</v>
      </c>
      <c r="K1089" s="739">
        <v>313939782.24000001</v>
      </c>
      <c r="L1089" s="738">
        <v>0</v>
      </c>
      <c r="M1089" s="738">
        <v>0</v>
      </c>
      <c r="N1089" s="739">
        <v>313132571.24000001</v>
      </c>
      <c r="O1089" s="739">
        <v>313939782.24000001</v>
      </c>
      <c r="P1089" s="739">
        <v>-807211</v>
      </c>
    </row>
    <row r="1090" spans="1:17" ht="15.75" thickBot="1">
      <c r="A1090" s="727">
        <v>2</v>
      </c>
      <c r="B1090" s="727" t="s">
        <v>12096</v>
      </c>
      <c r="C1090" s="727" t="s">
        <v>12107</v>
      </c>
      <c r="D1090" s="727" t="s">
        <v>12108</v>
      </c>
      <c r="E1090" s="727"/>
      <c r="F1090" s="729" t="s">
        <v>12109</v>
      </c>
      <c r="G1090" s="738">
        <v>0</v>
      </c>
      <c r="H1090" s="738">
        <v>0</v>
      </c>
      <c r="I1090" s="738">
        <v>0</v>
      </c>
      <c r="J1090" s="738">
        <v>0</v>
      </c>
      <c r="K1090" s="738">
        <v>0</v>
      </c>
      <c r="L1090" s="738">
        <v>0</v>
      </c>
      <c r="M1090" s="738">
        <v>0</v>
      </c>
      <c r="N1090" s="738">
        <v>0</v>
      </c>
      <c r="O1090" s="738">
        <v>0</v>
      </c>
      <c r="P1090" s="738">
        <v>0</v>
      </c>
    </row>
    <row r="1091" spans="1:17">
      <c r="A1091">
        <v>2</v>
      </c>
      <c r="B1091" t="s">
        <v>12096</v>
      </c>
      <c r="C1091" t="s">
        <v>12107</v>
      </c>
      <c r="D1091" t="s">
        <v>12108</v>
      </c>
      <c r="E1091" t="s">
        <v>3204</v>
      </c>
      <c r="F1091" t="s">
        <v>3205</v>
      </c>
      <c r="G1091" s="712">
        <v>0</v>
      </c>
      <c r="H1091">
        <v>0</v>
      </c>
      <c r="I1091" s="713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 s="724" t="str">
        <f>VLOOKUP($E1091,SP_2024_v28062025!$E$2:$M$1751,9,FALSE)</f>
        <v>PDA080</v>
      </c>
    </row>
    <row r="1092" spans="1:17">
      <c r="A1092">
        <v>2</v>
      </c>
      <c r="B1092" t="s">
        <v>12096</v>
      </c>
      <c r="C1092" t="s">
        <v>12107</v>
      </c>
      <c r="D1092" t="s">
        <v>12108</v>
      </c>
      <c r="E1092" t="s">
        <v>3206</v>
      </c>
      <c r="F1092" t="s">
        <v>3207</v>
      </c>
      <c r="G1092" s="712">
        <v>0</v>
      </c>
      <c r="H1092">
        <v>0</v>
      </c>
      <c r="I1092" s="713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 s="724" t="str">
        <f>VLOOKUP($E1092,SP_2024_v28062025!$E$2:$M$1751,9,FALSE)</f>
        <v>PDA080</v>
      </c>
    </row>
    <row r="1093" spans="1:17">
      <c r="A1093">
        <v>2</v>
      </c>
      <c r="B1093" t="s">
        <v>12096</v>
      </c>
      <c r="C1093" t="s">
        <v>12107</v>
      </c>
      <c r="D1093" t="s">
        <v>12108</v>
      </c>
      <c r="E1093" t="s">
        <v>3208</v>
      </c>
      <c r="F1093" t="s">
        <v>3209</v>
      </c>
      <c r="G1093" s="712">
        <v>0</v>
      </c>
      <c r="H1093">
        <v>0</v>
      </c>
      <c r="I1093" s="71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 s="724" t="str">
        <f>VLOOKUP($E1093,SP_2024_v28062025!$E$2:$M$1751,9,FALSE)</f>
        <v>PDA080</v>
      </c>
    </row>
    <row r="1094" spans="1:17">
      <c r="A1094">
        <v>2</v>
      </c>
      <c r="B1094" t="s">
        <v>12096</v>
      </c>
      <c r="C1094" t="s">
        <v>12107</v>
      </c>
      <c r="D1094" t="s">
        <v>12108</v>
      </c>
      <c r="E1094" t="s">
        <v>3210</v>
      </c>
      <c r="F1094" t="s">
        <v>3211</v>
      </c>
      <c r="G1094" s="712">
        <v>0</v>
      </c>
      <c r="H1094">
        <v>0</v>
      </c>
      <c r="I1094" s="713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 s="724" t="str">
        <f>VLOOKUP($E1094,SP_2024_v28062025!$E$2:$M$1751,9,FALSE)</f>
        <v>PDA080</v>
      </c>
    </row>
    <row r="1095" spans="1:17">
      <c r="A1095">
        <v>2</v>
      </c>
      <c r="B1095" t="s">
        <v>12096</v>
      </c>
      <c r="C1095" t="s">
        <v>12107</v>
      </c>
      <c r="D1095" t="s">
        <v>12108</v>
      </c>
      <c r="E1095" t="s">
        <v>3212</v>
      </c>
      <c r="F1095" t="s">
        <v>3213</v>
      </c>
      <c r="G1095" s="712">
        <v>0</v>
      </c>
      <c r="H1095">
        <v>0</v>
      </c>
      <c r="I1095" s="713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 s="724" t="str">
        <f>VLOOKUP($E1095,SP_2024_v28062025!$E$2:$M$1751,9,FALSE)</f>
        <v>PDA080</v>
      </c>
    </row>
    <row r="1096" spans="1:17" ht="15.75" thickBot="1">
      <c r="A1096">
        <v>2</v>
      </c>
      <c r="B1096" t="s">
        <v>12096</v>
      </c>
      <c r="C1096" t="s">
        <v>12107</v>
      </c>
      <c r="D1096" t="s">
        <v>12108</v>
      </c>
      <c r="E1096" t="s">
        <v>3214</v>
      </c>
      <c r="F1096" t="s">
        <v>3215</v>
      </c>
      <c r="G1096" s="712">
        <v>0</v>
      </c>
      <c r="H1096">
        <v>0</v>
      </c>
      <c r="I1096" s="713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 s="724" t="str">
        <f>VLOOKUP($E1096,SP_2024_v28062025!$E$2:$M$1751,9,FALSE)</f>
        <v>PDA080</v>
      </c>
    </row>
    <row r="1097" spans="1:17" ht="15.75" thickBot="1">
      <c r="A1097" s="727">
        <v>2</v>
      </c>
      <c r="B1097" s="727" t="s">
        <v>12096</v>
      </c>
      <c r="C1097" s="727" t="s">
        <v>12107</v>
      </c>
      <c r="D1097" s="727" t="s">
        <v>12110</v>
      </c>
      <c r="E1097" s="727"/>
      <c r="F1097" s="729" t="s">
        <v>12111</v>
      </c>
      <c r="G1097" s="738">
        <v>0</v>
      </c>
      <c r="H1097" s="738">
        <v>0</v>
      </c>
      <c r="I1097" s="738">
        <v>0</v>
      </c>
      <c r="J1097" s="738">
        <v>0</v>
      </c>
      <c r="K1097" s="739">
        <v>807211</v>
      </c>
      <c r="L1097" s="738">
        <v>0</v>
      </c>
      <c r="M1097" s="738">
        <v>0</v>
      </c>
      <c r="N1097" s="738">
        <v>0</v>
      </c>
      <c r="O1097" s="739">
        <v>807211</v>
      </c>
      <c r="P1097" s="739">
        <v>-807211</v>
      </c>
    </row>
    <row r="1098" spans="1:17" ht="15.75" thickBot="1">
      <c r="A1098">
        <v>2</v>
      </c>
      <c r="B1098" t="s">
        <v>12096</v>
      </c>
      <c r="C1098" t="s">
        <v>12107</v>
      </c>
      <c r="D1098" t="s">
        <v>12110</v>
      </c>
      <c r="E1098" t="s">
        <v>3221</v>
      </c>
      <c r="F1098" t="s">
        <v>3222</v>
      </c>
      <c r="G1098" s="712">
        <v>0</v>
      </c>
      <c r="H1098">
        <v>0</v>
      </c>
      <c r="I1098" s="713">
        <v>0</v>
      </c>
      <c r="J1098">
        <v>0</v>
      </c>
      <c r="K1098" s="711">
        <v>807211</v>
      </c>
      <c r="L1098">
        <v>0</v>
      </c>
      <c r="M1098">
        <v>0</v>
      </c>
      <c r="N1098">
        <v>0</v>
      </c>
      <c r="O1098" s="711">
        <v>807211</v>
      </c>
      <c r="P1098" s="711">
        <v>-807211</v>
      </c>
      <c r="Q1098" s="724" t="str">
        <f>VLOOKUP($E1098,SP_2024_v28062025!$E$2:$M$1751,9,FALSE)</f>
        <v>PDA090</v>
      </c>
    </row>
    <row r="1099" spans="1:17" ht="15.75" thickBot="1">
      <c r="A1099" s="727">
        <v>2</v>
      </c>
      <c r="B1099" s="727" t="s">
        <v>12096</v>
      </c>
      <c r="C1099" s="727" t="s">
        <v>12107</v>
      </c>
      <c r="D1099" s="727" t="s">
        <v>12112</v>
      </c>
      <c r="E1099" s="727"/>
      <c r="F1099" s="729" t="s">
        <v>12113</v>
      </c>
      <c r="G1099" s="738">
        <v>0</v>
      </c>
      <c r="H1099" s="738">
        <v>0</v>
      </c>
      <c r="I1099" s="738">
        <v>0</v>
      </c>
      <c r="J1099" s="738">
        <v>0</v>
      </c>
      <c r="K1099" s="738">
        <v>0</v>
      </c>
      <c r="L1099" s="738">
        <v>0</v>
      </c>
      <c r="M1099" s="738">
        <v>0</v>
      </c>
      <c r="N1099" s="738">
        <v>0</v>
      </c>
      <c r="O1099" s="738">
        <v>0</v>
      </c>
      <c r="P1099" s="738">
        <v>0</v>
      </c>
    </row>
    <row r="1100" spans="1:17" ht="15.75" thickBot="1">
      <c r="A1100">
        <v>2</v>
      </c>
      <c r="B1100" t="s">
        <v>12096</v>
      </c>
      <c r="C1100" t="s">
        <v>12107</v>
      </c>
      <c r="D1100" t="s">
        <v>12112</v>
      </c>
      <c r="E1100" t="s">
        <v>3225</v>
      </c>
      <c r="F1100" t="s">
        <v>3226</v>
      </c>
      <c r="G1100" s="712">
        <v>0</v>
      </c>
      <c r="H1100">
        <v>0</v>
      </c>
      <c r="I1100" s="713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 s="724" t="str">
        <f>VLOOKUP($E1100,SP_2024_v28062025!$E$2:$M$1751,9,FALSE)</f>
        <v>PDA100</v>
      </c>
    </row>
    <row r="1101" spans="1:17" ht="15.75" thickBot="1">
      <c r="A1101" s="727">
        <v>2</v>
      </c>
      <c r="B1101" s="727" t="s">
        <v>12096</v>
      </c>
      <c r="C1101" s="727" t="s">
        <v>12107</v>
      </c>
      <c r="D1101" s="727" t="s">
        <v>12114</v>
      </c>
      <c r="E1101" s="727"/>
      <c r="F1101" s="729" t="s">
        <v>3227</v>
      </c>
      <c r="G1101" s="738">
        <v>0</v>
      </c>
      <c r="H1101" s="738">
        <v>0</v>
      </c>
      <c r="I1101" s="738">
        <v>0</v>
      </c>
      <c r="J1101" s="739">
        <v>313132571.24000001</v>
      </c>
      <c r="K1101" s="739">
        <v>313132571.24000001</v>
      </c>
      <c r="L1101" s="738">
        <v>0</v>
      </c>
      <c r="M1101" s="738">
        <v>0</v>
      </c>
      <c r="N1101" s="739">
        <v>313132571.24000001</v>
      </c>
      <c r="O1101" s="739">
        <v>313132571.24000001</v>
      </c>
      <c r="P1101" s="738">
        <v>0</v>
      </c>
    </row>
    <row r="1102" spans="1:17" ht="15.75" thickBot="1">
      <c r="A1102">
        <v>2</v>
      </c>
      <c r="B1102" t="s">
        <v>12096</v>
      </c>
      <c r="C1102" t="s">
        <v>12107</v>
      </c>
      <c r="D1102" t="s">
        <v>12114</v>
      </c>
      <c r="E1102" t="s">
        <v>3235</v>
      </c>
      <c r="F1102" t="s">
        <v>3227</v>
      </c>
      <c r="G1102" s="712">
        <v>0</v>
      </c>
      <c r="H1102">
        <v>0</v>
      </c>
      <c r="I1102" s="713">
        <v>0</v>
      </c>
      <c r="J1102" s="711">
        <v>313132571.24000001</v>
      </c>
      <c r="K1102" s="711">
        <v>313132571.24000001</v>
      </c>
      <c r="L1102">
        <v>0</v>
      </c>
      <c r="M1102">
        <v>0</v>
      </c>
      <c r="N1102" s="711">
        <v>313132571.24000001</v>
      </c>
      <c r="O1102" s="711">
        <v>313132571.24000001</v>
      </c>
      <c r="P1102">
        <v>0</v>
      </c>
      <c r="Q1102" s="724" t="str">
        <f>VLOOKUP($E1102,SP_2024_v28062025!$E$2:$M$1751,9,FALSE)</f>
        <v>PDA110</v>
      </c>
    </row>
    <row r="1103" spans="1:17" ht="15.75" thickBot="1">
      <c r="A1103" s="727">
        <v>2</v>
      </c>
      <c r="B1103" s="727" t="s">
        <v>12096</v>
      </c>
      <c r="C1103" s="727" t="s">
        <v>12107</v>
      </c>
      <c r="D1103" s="727" t="s">
        <v>12115</v>
      </c>
      <c r="E1103" s="727"/>
      <c r="F1103" s="729" t="s">
        <v>3255</v>
      </c>
      <c r="G1103" s="738">
        <v>0</v>
      </c>
      <c r="H1103" s="738">
        <v>0</v>
      </c>
      <c r="I1103" s="738">
        <v>0</v>
      </c>
      <c r="J1103" s="738">
        <v>0</v>
      </c>
      <c r="K1103" s="738">
        <v>0</v>
      </c>
      <c r="L1103" s="738">
        <v>0</v>
      </c>
      <c r="M1103" s="738">
        <v>0</v>
      </c>
      <c r="N1103" s="738">
        <v>0</v>
      </c>
      <c r="O1103" s="738">
        <v>0</v>
      </c>
      <c r="P1103" s="738">
        <v>0</v>
      </c>
    </row>
    <row r="1104" spans="1:17" ht="15.75" thickBot="1">
      <c r="A1104">
        <v>2</v>
      </c>
      <c r="B1104" t="s">
        <v>12096</v>
      </c>
      <c r="C1104" t="s">
        <v>12107</v>
      </c>
      <c r="D1104" t="s">
        <v>12115</v>
      </c>
      <c r="E1104" t="s">
        <v>3254</v>
      </c>
      <c r="F1104" t="s">
        <v>3255</v>
      </c>
      <c r="G1104" s="712">
        <v>0</v>
      </c>
      <c r="H1104">
        <v>0</v>
      </c>
      <c r="I1104" s="713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 s="724" t="str">
        <f>VLOOKUP($E1104,SP_2024_v28062025!$E$2:$M$1751,9,FALSE)</f>
        <v>PDA121</v>
      </c>
    </row>
    <row r="1105" spans="1:17" ht="15.75" thickBot="1">
      <c r="A1105" s="727">
        <v>2</v>
      </c>
      <c r="B1105" s="727" t="s">
        <v>12096</v>
      </c>
      <c r="C1105" s="727" t="s">
        <v>12107</v>
      </c>
      <c r="D1105" s="727" t="s">
        <v>12116</v>
      </c>
      <c r="E1105" s="727"/>
      <c r="F1105" s="729" t="s">
        <v>3202</v>
      </c>
      <c r="G1105" s="738">
        <v>0</v>
      </c>
      <c r="H1105" s="738">
        <v>0</v>
      </c>
      <c r="I1105" s="738">
        <v>0</v>
      </c>
      <c r="J1105" s="738">
        <v>0</v>
      </c>
      <c r="K1105" s="738">
        <v>0</v>
      </c>
      <c r="L1105" s="738">
        <v>0</v>
      </c>
      <c r="M1105" s="738">
        <v>0</v>
      </c>
      <c r="N1105" s="738">
        <v>0</v>
      </c>
      <c r="O1105" s="738">
        <v>0</v>
      </c>
      <c r="P1105" s="738">
        <v>0</v>
      </c>
    </row>
    <row r="1106" spans="1:17" ht="15.75" thickBot="1">
      <c r="A1106">
        <v>2</v>
      </c>
      <c r="B1106" t="s">
        <v>12096</v>
      </c>
      <c r="C1106" t="s">
        <v>12107</v>
      </c>
      <c r="D1106" t="s">
        <v>12116</v>
      </c>
      <c r="E1106" t="s">
        <v>3218</v>
      </c>
      <c r="F1106" t="s">
        <v>3202</v>
      </c>
      <c r="G1106" s="712">
        <v>0</v>
      </c>
      <c r="H1106">
        <v>0</v>
      </c>
      <c r="I1106" s="713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 s="724" t="str">
        <f>VLOOKUP($E1106,SP_2024_v28062025!$E$2:$M$1751,9,FALSE)</f>
        <v>PDA081</v>
      </c>
    </row>
    <row r="1107" spans="1:17" ht="15.75" thickBot="1">
      <c r="A1107" s="727">
        <v>2</v>
      </c>
      <c r="B1107" s="727" t="s">
        <v>12096</v>
      </c>
      <c r="C1107" s="727" t="s">
        <v>12107</v>
      </c>
      <c r="D1107" s="727" t="s">
        <v>12117</v>
      </c>
      <c r="E1107" s="727"/>
      <c r="F1107" s="729" t="s">
        <v>3228</v>
      </c>
      <c r="G1107" s="738">
        <v>0</v>
      </c>
      <c r="H1107" s="738">
        <v>0</v>
      </c>
      <c r="I1107" s="738">
        <v>0</v>
      </c>
      <c r="J1107" s="738">
        <v>0</v>
      </c>
      <c r="K1107" s="738">
        <v>0</v>
      </c>
      <c r="L1107" s="738">
        <v>0</v>
      </c>
      <c r="M1107" s="738">
        <v>0</v>
      </c>
      <c r="N1107" s="738">
        <v>0</v>
      </c>
      <c r="O1107" s="738">
        <v>0</v>
      </c>
      <c r="P1107" s="738">
        <v>0</v>
      </c>
    </row>
    <row r="1108" spans="1:17" ht="15.75" thickBot="1">
      <c r="A1108">
        <v>2</v>
      </c>
      <c r="B1108" t="s">
        <v>12096</v>
      </c>
      <c r="C1108" t="s">
        <v>12107</v>
      </c>
      <c r="D1108" t="s">
        <v>12117</v>
      </c>
      <c r="E1108" t="s">
        <v>3231</v>
      </c>
      <c r="F1108" t="s">
        <v>3232</v>
      </c>
      <c r="G1108" s="712">
        <v>0</v>
      </c>
      <c r="H1108">
        <v>0</v>
      </c>
      <c r="I1108" s="713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 s="724" t="str">
        <f>VLOOKUP($E1108,SP_2024_v28062025!$E$2:$M$1751,9,FALSE)</f>
        <v>PDA101</v>
      </c>
    </row>
    <row r="1109" spans="1:17" ht="15.75" thickBot="1">
      <c r="A1109" s="727">
        <v>2</v>
      </c>
      <c r="B1109" s="727" t="s">
        <v>12096</v>
      </c>
      <c r="C1109" s="727" t="s">
        <v>12107</v>
      </c>
      <c r="D1109" s="727" t="s">
        <v>12118</v>
      </c>
      <c r="E1109" s="727"/>
      <c r="F1109" s="729" t="s">
        <v>3236</v>
      </c>
      <c r="G1109" s="738">
        <v>0</v>
      </c>
      <c r="H1109" s="738">
        <v>0</v>
      </c>
      <c r="I1109" s="738">
        <v>0</v>
      </c>
      <c r="J1109" s="738">
        <v>0</v>
      </c>
      <c r="K1109" s="738">
        <v>0</v>
      </c>
      <c r="L1109" s="738">
        <v>0</v>
      </c>
      <c r="M1109" s="738">
        <v>0</v>
      </c>
      <c r="N1109" s="738">
        <v>0</v>
      </c>
      <c r="O1109" s="738">
        <v>0</v>
      </c>
      <c r="P1109" s="738">
        <v>0</v>
      </c>
    </row>
    <row r="1110" spans="1:17" ht="15.75" thickBot="1">
      <c r="A1110">
        <v>2</v>
      </c>
      <c r="B1110" t="s">
        <v>12096</v>
      </c>
      <c r="C1110" t="s">
        <v>12107</v>
      </c>
      <c r="D1110" t="s">
        <v>12118</v>
      </c>
      <c r="E1110" t="s">
        <v>3239</v>
      </c>
      <c r="F1110" t="s">
        <v>3236</v>
      </c>
      <c r="G1110" s="712">
        <v>0</v>
      </c>
      <c r="H1110">
        <v>0</v>
      </c>
      <c r="I1110" s="713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 s="724" t="str">
        <f>VLOOKUP($E1110,SP_2024_v28062025!$E$2:$M$1751,9,FALSE)</f>
        <v>PDA111</v>
      </c>
    </row>
    <row r="1111" spans="1:17" ht="15.75" thickBot="1">
      <c r="A1111" s="727">
        <v>2</v>
      </c>
      <c r="B1111" s="727" t="s">
        <v>12096</v>
      </c>
      <c r="C1111" s="727" t="s">
        <v>12107</v>
      </c>
      <c r="D1111" s="727" t="s">
        <v>12119</v>
      </c>
      <c r="E1111" s="727"/>
      <c r="F1111" s="729" t="s">
        <v>3244</v>
      </c>
      <c r="G1111" s="738">
        <v>0</v>
      </c>
      <c r="H1111" s="738">
        <v>0</v>
      </c>
      <c r="I1111" s="738">
        <v>0</v>
      </c>
      <c r="J1111" s="738">
        <v>0</v>
      </c>
      <c r="K1111" s="738">
        <v>0</v>
      </c>
      <c r="L1111" s="738">
        <v>0</v>
      </c>
      <c r="M1111" s="738">
        <v>0</v>
      </c>
      <c r="N1111" s="738">
        <v>0</v>
      </c>
      <c r="O1111" s="738">
        <v>0</v>
      </c>
      <c r="P1111" s="738">
        <v>0</v>
      </c>
    </row>
    <row r="1112" spans="1:17" ht="15.75" thickBot="1">
      <c r="A1112">
        <v>2</v>
      </c>
      <c r="B1112" t="s">
        <v>12096</v>
      </c>
      <c r="C1112" t="s">
        <v>12107</v>
      </c>
      <c r="D1112" t="s">
        <v>12119</v>
      </c>
      <c r="E1112" t="s">
        <v>3243</v>
      </c>
      <c r="F1112" t="s">
        <v>3244</v>
      </c>
      <c r="G1112" s="712">
        <v>0</v>
      </c>
      <c r="H1112">
        <v>0</v>
      </c>
      <c r="I1112" s="713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 s="724" t="str">
        <f>VLOOKUP($E1112,SP_2024_v28062025!$E$2:$M$1751,9,FALSE)</f>
        <v>PDA112</v>
      </c>
    </row>
    <row r="1113" spans="1:17" ht="15.75" thickBot="1">
      <c r="A1113" s="727">
        <v>2</v>
      </c>
      <c r="B1113" s="727" t="s">
        <v>12096</v>
      </c>
      <c r="C1113" s="727" t="s">
        <v>12107</v>
      </c>
      <c r="D1113" s="727" t="s">
        <v>12120</v>
      </c>
      <c r="E1113" s="727"/>
      <c r="F1113" s="729" t="s">
        <v>3248</v>
      </c>
      <c r="G1113" s="738">
        <v>0</v>
      </c>
      <c r="H1113" s="738">
        <v>0</v>
      </c>
      <c r="I1113" s="738">
        <v>0</v>
      </c>
      <c r="J1113" s="738">
        <v>0</v>
      </c>
      <c r="K1113" s="738">
        <v>0</v>
      </c>
      <c r="L1113" s="738">
        <v>0</v>
      </c>
      <c r="M1113" s="738">
        <v>0</v>
      </c>
      <c r="N1113" s="738">
        <v>0</v>
      </c>
      <c r="O1113" s="738">
        <v>0</v>
      </c>
      <c r="P1113" s="738">
        <v>0</v>
      </c>
    </row>
    <row r="1114" spans="1:17" ht="15.75" thickBot="1">
      <c r="A1114">
        <v>2</v>
      </c>
      <c r="B1114" t="s">
        <v>12096</v>
      </c>
      <c r="C1114" t="s">
        <v>12107</v>
      </c>
      <c r="D1114" t="s">
        <v>12120</v>
      </c>
      <c r="E1114" t="s">
        <v>3247</v>
      </c>
      <c r="F1114" t="s">
        <v>3248</v>
      </c>
      <c r="G1114" s="712">
        <v>0</v>
      </c>
      <c r="H1114">
        <v>0</v>
      </c>
      <c r="I1114" s="713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 s="724" t="str">
        <f>VLOOKUP($E1114,SP_2024_v28062025!$E$2:$M$1751,9,FALSE)</f>
        <v>PDA120</v>
      </c>
    </row>
    <row r="1115" spans="1:17" ht="15.75" thickBot="1">
      <c r="A1115" s="727">
        <v>2</v>
      </c>
      <c r="B1115" s="727" t="s">
        <v>12096</v>
      </c>
      <c r="C1115" s="727" t="s">
        <v>12107</v>
      </c>
      <c r="D1115" s="727" t="s">
        <v>12121</v>
      </c>
      <c r="E1115" s="727"/>
      <c r="F1115" s="729" t="s">
        <v>3249</v>
      </c>
      <c r="G1115" s="738">
        <v>0</v>
      </c>
      <c r="H1115" s="738">
        <v>0</v>
      </c>
      <c r="I1115" s="738">
        <v>0</v>
      </c>
      <c r="J1115" s="738">
        <v>0</v>
      </c>
      <c r="K1115" s="738">
        <v>0</v>
      </c>
      <c r="L1115" s="738">
        <v>0</v>
      </c>
      <c r="M1115" s="738">
        <v>0</v>
      </c>
      <c r="N1115" s="738">
        <v>0</v>
      </c>
      <c r="O1115" s="738">
        <v>0</v>
      </c>
      <c r="P1115" s="738">
        <v>0</v>
      </c>
    </row>
    <row r="1116" spans="1:17" ht="15.75" thickBot="1">
      <c r="A1116">
        <v>2</v>
      </c>
      <c r="B1116" t="s">
        <v>12096</v>
      </c>
      <c r="C1116" t="s">
        <v>12107</v>
      </c>
      <c r="D1116" t="s">
        <v>12121</v>
      </c>
      <c r="E1116" t="s">
        <v>3253</v>
      </c>
      <c r="F1116" t="s">
        <v>3249</v>
      </c>
      <c r="G1116" s="712">
        <v>0</v>
      </c>
      <c r="H1116">
        <v>0</v>
      </c>
      <c r="I1116" s="713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 s="724" t="str">
        <f>VLOOKUP($E1116,SP_2024_v28062025!$E$2:$M$1751,9,FALSE)</f>
        <v>PDA121</v>
      </c>
    </row>
    <row r="1117" spans="1:17" ht="15.75" thickBot="1">
      <c r="A1117" s="727">
        <v>2</v>
      </c>
      <c r="B1117" s="727" t="s">
        <v>12096</v>
      </c>
      <c r="C1117" s="727" t="s">
        <v>12122</v>
      </c>
      <c r="D1117" s="727"/>
      <c r="E1117" s="727"/>
      <c r="F1117" s="745" t="s">
        <v>3256</v>
      </c>
      <c r="G1117" s="738">
        <v>0</v>
      </c>
      <c r="H1117" s="738">
        <v>412</v>
      </c>
      <c r="I1117" s="738">
        <v>412</v>
      </c>
      <c r="J1117" s="739">
        <v>271544.2</v>
      </c>
      <c r="K1117" s="739">
        <v>271532.2</v>
      </c>
      <c r="L1117" s="738">
        <v>0</v>
      </c>
      <c r="M1117" s="738">
        <v>0</v>
      </c>
      <c r="N1117" s="739">
        <v>271544.2</v>
      </c>
      <c r="O1117" s="739">
        <v>271944.2</v>
      </c>
      <c r="P1117" s="738">
        <v>-400</v>
      </c>
    </row>
    <row r="1118" spans="1:17" ht="15.75" thickBot="1">
      <c r="A1118" s="727">
        <v>2</v>
      </c>
      <c r="B1118" s="727" t="s">
        <v>12096</v>
      </c>
      <c r="C1118" s="727" t="s">
        <v>12122</v>
      </c>
      <c r="D1118" s="727" t="s">
        <v>12123</v>
      </c>
      <c r="E1118" s="727"/>
      <c r="F1118" s="729" t="s">
        <v>3256</v>
      </c>
      <c r="G1118" s="738">
        <v>0</v>
      </c>
      <c r="H1118" s="738">
        <v>412</v>
      </c>
      <c r="I1118" s="738">
        <v>412</v>
      </c>
      <c r="J1118" s="739">
        <v>271544.2</v>
      </c>
      <c r="K1118" s="739">
        <v>271532.2</v>
      </c>
      <c r="L1118" s="738">
        <v>0</v>
      </c>
      <c r="M1118" s="738">
        <v>0</v>
      </c>
      <c r="N1118" s="739">
        <v>271544.2</v>
      </c>
      <c r="O1118" s="739">
        <v>271944.2</v>
      </c>
      <c r="P1118" s="738">
        <v>-400</v>
      </c>
    </row>
    <row r="1119" spans="1:17" ht="15.75" thickBot="1">
      <c r="A1119">
        <v>2</v>
      </c>
      <c r="B1119" t="s">
        <v>12096</v>
      </c>
      <c r="C1119" t="s">
        <v>12122</v>
      </c>
      <c r="D1119" t="s">
        <v>12123</v>
      </c>
      <c r="E1119" t="s">
        <v>3259</v>
      </c>
      <c r="F1119" t="s">
        <v>3256</v>
      </c>
      <c r="G1119" s="712">
        <v>0</v>
      </c>
      <c r="H1119">
        <v>412</v>
      </c>
      <c r="I1119" s="713">
        <v>412</v>
      </c>
      <c r="J1119" s="711">
        <v>271544.2</v>
      </c>
      <c r="K1119" s="711">
        <v>271532.2</v>
      </c>
      <c r="L1119">
        <v>0</v>
      </c>
      <c r="M1119">
        <v>0</v>
      </c>
      <c r="N1119" s="711">
        <v>271544.2</v>
      </c>
      <c r="O1119" s="711">
        <v>271944.2</v>
      </c>
      <c r="P1119">
        <v>-400</v>
      </c>
      <c r="Q1119" s="724" t="str">
        <f>VLOOKUP($E1119,SP_2024_v28062025!$E$2:$M$1751,9,FALSE)</f>
        <v>PDA130</v>
      </c>
    </row>
    <row r="1120" spans="1:17" ht="15.75" thickBot="1">
      <c r="A1120" s="727">
        <v>2</v>
      </c>
      <c r="B1120" s="727" t="s">
        <v>12096</v>
      </c>
      <c r="C1120" s="727" t="s">
        <v>12124</v>
      </c>
      <c r="D1120" s="727"/>
      <c r="E1120" s="727"/>
      <c r="F1120" s="745" t="s">
        <v>3260</v>
      </c>
      <c r="G1120" s="739">
        <v>60732.02</v>
      </c>
      <c r="H1120" s="739">
        <v>8684651.0299999993</v>
      </c>
      <c r="I1120" s="739">
        <v>8623919.0099999998</v>
      </c>
      <c r="J1120" s="739">
        <v>1358921.45</v>
      </c>
      <c r="K1120" s="739">
        <v>1093020.73</v>
      </c>
      <c r="L1120" s="738">
        <v>0</v>
      </c>
      <c r="M1120" s="738">
        <v>0</v>
      </c>
      <c r="N1120" s="739">
        <v>1419653.47</v>
      </c>
      <c r="O1120" s="739">
        <v>9777671.7599999998</v>
      </c>
      <c r="P1120" s="739">
        <v>-8358018.29</v>
      </c>
    </row>
    <row r="1121" spans="1:17" ht="15.75" thickBot="1">
      <c r="A1121" s="727">
        <v>2</v>
      </c>
      <c r="B1121" s="727" t="s">
        <v>12096</v>
      </c>
      <c r="C1121" s="727" t="s">
        <v>12124</v>
      </c>
      <c r="D1121" s="727" t="s">
        <v>12125</v>
      </c>
      <c r="E1121" s="727"/>
      <c r="F1121" s="729" t="s">
        <v>3266</v>
      </c>
      <c r="G1121" s="738">
        <v>0</v>
      </c>
      <c r="H1121" s="738">
        <v>0</v>
      </c>
      <c r="I1121" s="738">
        <v>0</v>
      </c>
      <c r="J1121" s="738">
        <v>0</v>
      </c>
      <c r="K1121" s="738">
        <v>0</v>
      </c>
      <c r="L1121" s="738">
        <v>0</v>
      </c>
      <c r="M1121" s="738">
        <v>0</v>
      </c>
      <c r="N1121" s="738">
        <v>0</v>
      </c>
      <c r="O1121" s="738">
        <v>0</v>
      </c>
      <c r="P1121" s="738">
        <v>0</v>
      </c>
    </row>
    <row r="1122" spans="1:17" ht="15.75" thickBot="1">
      <c r="A1122">
        <v>2</v>
      </c>
      <c r="B1122" t="s">
        <v>12096</v>
      </c>
      <c r="C1122" t="s">
        <v>12124</v>
      </c>
      <c r="D1122" t="s">
        <v>12125</v>
      </c>
      <c r="E1122" t="s">
        <v>3265</v>
      </c>
      <c r="F1122" t="s">
        <v>3266</v>
      </c>
      <c r="G1122" s="712">
        <v>0</v>
      </c>
      <c r="H1122">
        <v>0</v>
      </c>
      <c r="I1122" s="713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 s="724" t="str">
        <f>VLOOKUP($E1122,SP_2024_v28062025!$E$2:$M$1751,9,FALSE)</f>
        <v>PDA160</v>
      </c>
    </row>
    <row r="1123" spans="1:17" ht="15.75" thickBot="1">
      <c r="A1123" s="727">
        <v>2</v>
      </c>
      <c r="B1123" s="727" t="s">
        <v>12096</v>
      </c>
      <c r="C1123" s="727" t="s">
        <v>12124</v>
      </c>
      <c r="D1123" s="727" t="s">
        <v>12126</v>
      </c>
      <c r="E1123" s="727"/>
      <c r="F1123" s="729" t="s">
        <v>3267</v>
      </c>
      <c r="G1123" s="738">
        <v>0</v>
      </c>
      <c r="H1123" s="738">
        <v>0</v>
      </c>
      <c r="I1123" s="738">
        <v>0</v>
      </c>
      <c r="J1123" s="738">
        <v>0</v>
      </c>
      <c r="K1123" s="738">
        <v>0</v>
      </c>
      <c r="L1123" s="738">
        <v>0</v>
      </c>
      <c r="M1123" s="738">
        <v>0</v>
      </c>
      <c r="N1123" s="738">
        <v>0</v>
      </c>
      <c r="O1123" s="738">
        <v>0</v>
      </c>
      <c r="P1123" s="738">
        <v>0</v>
      </c>
    </row>
    <row r="1124" spans="1:17" ht="15.75" thickBot="1">
      <c r="A1124">
        <v>2</v>
      </c>
      <c r="B1124" t="s">
        <v>12096</v>
      </c>
      <c r="C1124" t="s">
        <v>12124</v>
      </c>
      <c r="D1124" t="s">
        <v>12126</v>
      </c>
      <c r="E1124" t="s">
        <v>3269</v>
      </c>
      <c r="F1124" t="s">
        <v>3267</v>
      </c>
      <c r="G1124" s="712">
        <v>0</v>
      </c>
      <c r="H1124">
        <v>0</v>
      </c>
      <c r="I1124" s="713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 s="724" t="str">
        <f>VLOOKUP($E1124,SP_2024_v28062025!$E$2:$M$1751,9,FALSE)</f>
        <v>PDA170</v>
      </c>
    </row>
    <row r="1125" spans="1:17" ht="15.75" thickBot="1">
      <c r="A1125" s="727">
        <v>2</v>
      </c>
      <c r="B1125" s="727" t="s">
        <v>12096</v>
      </c>
      <c r="C1125" s="727" t="s">
        <v>12124</v>
      </c>
      <c r="D1125" s="727" t="s">
        <v>12127</v>
      </c>
      <c r="E1125" s="727"/>
      <c r="F1125" s="729" t="s">
        <v>3271</v>
      </c>
      <c r="G1125" s="738">
        <v>0</v>
      </c>
      <c r="H1125" s="738">
        <v>0</v>
      </c>
      <c r="I1125" s="738">
        <v>0</v>
      </c>
      <c r="J1125" s="738">
        <v>0</v>
      </c>
      <c r="K1125" s="738">
        <v>0</v>
      </c>
      <c r="L1125" s="738">
        <v>0</v>
      </c>
      <c r="M1125" s="738">
        <v>0</v>
      </c>
      <c r="N1125" s="738">
        <v>0</v>
      </c>
      <c r="O1125" s="738">
        <v>0</v>
      </c>
      <c r="P1125" s="738">
        <v>0</v>
      </c>
    </row>
    <row r="1126" spans="1:17" ht="15.75" thickBot="1">
      <c r="A1126">
        <v>2</v>
      </c>
      <c r="B1126" t="s">
        <v>12096</v>
      </c>
      <c r="C1126" t="s">
        <v>12124</v>
      </c>
      <c r="D1126" t="s">
        <v>12127</v>
      </c>
      <c r="E1126" t="s">
        <v>3273</v>
      </c>
      <c r="F1126" t="s">
        <v>3271</v>
      </c>
      <c r="G1126" s="712">
        <v>0</v>
      </c>
      <c r="H1126">
        <v>0</v>
      </c>
      <c r="I1126" s="713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 s="724" t="str">
        <f>VLOOKUP($E1126,SP_2024_v28062025!$E$2:$M$1751,9,FALSE)</f>
        <v>PDA180</v>
      </c>
    </row>
    <row r="1127" spans="1:17" ht="15.75" thickBot="1">
      <c r="A1127" s="727">
        <v>2</v>
      </c>
      <c r="B1127" s="727" t="s">
        <v>12096</v>
      </c>
      <c r="C1127" s="727" t="s">
        <v>12124</v>
      </c>
      <c r="D1127" s="727" t="s">
        <v>12128</v>
      </c>
      <c r="E1127" s="727"/>
      <c r="F1127" s="729" t="s">
        <v>3275</v>
      </c>
      <c r="G1127" s="738">
        <v>0</v>
      </c>
      <c r="H1127" s="738">
        <v>0</v>
      </c>
      <c r="I1127" s="738">
        <v>0</v>
      </c>
      <c r="J1127" s="738">
        <v>0</v>
      </c>
      <c r="K1127" s="738">
        <v>0</v>
      </c>
      <c r="L1127" s="738">
        <v>0</v>
      </c>
      <c r="M1127" s="738">
        <v>0</v>
      </c>
      <c r="N1127" s="738">
        <v>0</v>
      </c>
      <c r="O1127" s="738">
        <v>0</v>
      </c>
      <c r="P1127" s="738">
        <v>0</v>
      </c>
    </row>
    <row r="1128" spans="1:17" ht="15.75" thickBot="1">
      <c r="A1128">
        <v>2</v>
      </c>
      <c r="B1128" t="s">
        <v>12096</v>
      </c>
      <c r="C1128" t="s">
        <v>12124</v>
      </c>
      <c r="D1128" t="s">
        <v>12128</v>
      </c>
      <c r="E1128" t="s">
        <v>3278</v>
      </c>
      <c r="F1128" t="s">
        <v>3279</v>
      </c>
      <c r="G1128" s="712">
        <v>0</v>
      </c>
      <c r="H1128">
        <v>0</v>
      </c>
      <c r="I1128" s="713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 s="724" t="str">
        <f>VLOOKUP($E1128,SP_2024_v28062025!$E$2:$M$1751,9,FALSE)</f>
        <v>PDA190</v>
      </c>
    </row>
    <row r="1129" spans="1:17" ht="15.75" thickBot="1">
      <c r="A1129" s="727">
        <v>2</v>
      </c>
      <c r="B1129" s="727" t="s">
        <v>12096</v>
      </c>
      <c r="C1129" s="727" t="s">
        <v>12124</v>
      </c>
      <c r="D1129" s="727" t="s">
        <v>12129</v>
      </c>
      <c r="E1129" s="727"/>
      <c r="F1129" s="729" t="s">
        <v>3280</v>
      </c>
      <c r="G1129" s="739">
        <v>3846.2</v>
      </c>
      <c r="H1129" s="739">
        <v>52558.7</v>
      </c>
      <c r="I1129" s="739">
        <v>48712.5</v>
      </c>
      <c r="J1129" s="739">
        <v>45371.3</v>
      </c>
      <c r="K1129" s="739">
        <v>13295</v>
      </c>
      <c r="L1129" s="738">
        <v>0</v>
      </c>
      <c r="M1129" s="738">
        <v>0</v>
      </c>
      <c r="N1129" s="739">
        <v>49217.5</v>
      </c>
      <c r="O1129" s="739">
        <v>65853.7</v>
      </c>
      <c r="P1129" s="739">
        <v>-16636.2</v>
      </c>
    </row>
    <row r="1130" spans="1:17">
      <c r="A1130">
        <v>2</v>
      </c>
      <c r="B1130" t="s">
        <v>12096</v>
      </c>
      <c r="C1130" t="s">
        <v>12124</v>
      </c>
      <c r="D1130" t="s">
        <v>12129</v>
      </c>
      <c r="E1130" t="s">
        <v>3282</v>
      </c>
      <c r="F1130" t="s">
        <v>3283</v>
      </c>
      <c r="G1130" s="714">
        <v>3846.2</v>
      </c>
      <c r="H1130" s="711">
        <v>52558.7</v>
      </c>
      <c r="I1130" s="715">
        <v>48712.5</v>
      </c>
      <c r="J1130" s="711">
        <v>45371.3</v>
      </c>
      <c r="K1130" s="711">
        <v>13295</v>
      </c>
      <c r="L1130">
        <v>0</v>
      </c>
      <c r="M1130">
        <v>0</v>
      </c>
      <c r="N1130" s="711">
        <v>49217.5</v>
      </c>
      <c r="O1130" s="711">
        <v>65853.7</v>
      </c>
      <c r="P1130" s="711">
        <v>-16636.2</v>
      </c>
      <c r="Q1130" s="724" t="str">
        <f>VLOOKUP($E1130,SP_2024_v28062025!$E$2:$M$1751,9,FALSE)</f>
        <v>PDA200</v>
      </c>
    </row>
    <row r="1131" spans="1:17">
      <c r="A1131">
        <v>2</v>
      </c>
      <c r="B1131" t="s">
        <v>12096</v>
      </c>
      <c r="C1131" t="s">
        <v>12124</v>
      </c>
      <c r="D1131" t="s">
        <v>12129</v>
      </c>
      <c r="E1131" t="s">
        <v>3286</v>
      </c>
      <c r="F1131" t="s">
        <v>3287</v>
      </c>
      <c r="G1131" s="712">
        <v>0</v>
      </c>
      <c r="H1131">
        <v>0</v>
      </c>
      <c r="I1131" s="713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 s="724" t="str">
        <f>VLOOKUP($E1131,SP_2024_v28062025!$E$2:$M$1751,9,FALSE)</f>
        <v>PDA200</v>
      </c>
    </row>
    <row r="1132" spans="1:17">
      <c r="A1132">
        <v>2</v>
      </c>
      <c r="B1132" t="s">
        <v>12096</v>
      </c>
      <c r="C1132" t="s">
        <v>12124</v>
      </c>
      <c r="D1132" t="s">
        <v>12129</v>
      </c>
      <c r="E1132" t="s">
        <v>3289</v>
      </c>
      <c r="F1132" t="s">
        <v>3290</v>
      </c>
      <c r="G1132" s="712">
        <v>0</v>
      </c>
      <c r="H1132">
        <v>0</v>
      </c>
      <c r="I1132" s="713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 s="724" t="str">
        <f>VLOOKUP($E1132,SP_2024_v28062025!$E$2:$M$1751,9,FALSE)</f>
        <v>PDA200</v>
      </c>
    </row>
    <row r="1133" spans="1:17">
      <c r="A1133">
        <v>2</v>
      </c>
      <c r="B1133" t="s">
        <v>12096</v>
      </c>
      <c r="C1133" t="s">
        <v>12124</v>
      </c>
      <c r="D1133" t="s">
        <v>12129</v>
      </c>
      <c r="E1133" t="s">
        <v>3292</v>
      </c>
      <c r="F1133" t="s">
        <v>3293</v>
      </c>
      <c r="G1133" s="712">
        <v>0</v>
      </c>
      <c r="H1133">
        <v>0</v>
      </c>
      <c r="I1133" s="71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 s="724" t="str">
        <f>VLOOKUP($E1133,SP_2024_v28062025!$E$2:$M$1751,9,FALSE)</f>
        <v>PDA200</v>
      </c>
    </row>
    <row r="1134" spans="1:17">
      <c r="A1134">
        <v>2</v>
      </c>
      <c r="B1134" t="s">
        <v>12096</v>
      </c>
      <c r="C1134" t="s">
        <v>12124</v>
      </c>
      <c r="D1134" t="s">
        <v>12129</v>
      </c>
      <c r="E1134" t="s">
        <v>3295</v>
      </c>
      <c r="F1134" t="s">
        <v>3296</v>
      </c>
      <c r="G1134" s="712">
        <v>0</v>
      </c>
      <c r="H1134">
        <v>0</v>
      </c>
      <c r="I1134" s="713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 s="724" t="str">
        <f>VLOOKUP($E1134,SP_2024_v28062025!$E$2:$M$1751,9,FALSE)</f>
        <v>PDA200</v>
      </c>
    </row>
    <row r="1135" spans="1:17">
      <c r="A1135">
        <v>2</v>
      </c>
      <c r="B1135" t="s">
        <v>12096</v>
      </c>
      <c r="C1135" t="s">
        <v>12124</v>
      </c>
      <c r="D1135" t="s">
        <v>12129</v>
      </c>
      <c r="E1135" t="s">
        <v>3298</v>
      </c>
      <c r="F1135" t="s">
        <v>3299</v>
      </c>
      <c r="G1135" s="712">
        <v>0</v>
      </c>
      <c r="H1135">
        <v>0</v>
      </c>
      <c r="I1135" s="713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 s="724" t="str">
        <f>VLOOKUP($E1135,SP_2024_v28062025!$E$2:$M$1751,9,FALSE)</f>
        <v>PDA200</v>
      </c>
    </row>
    <row r="1136" spans="1:17">
      <c r="A1136">
        <v>2</v>
      </c>
      <c r="B1136" t="s">
        <v>12096</v>
      </c>
      <c r="C1136" t="s">
        <v>12124</v>
      </c>
      <c r="D1136" t="s">
        <v>12129</v>
      </c>
      <c r="E1136" t="s">
        <v>3301</v>
      </c>
      <c r="F1136" t="s">
        <v>3302</v>
      </c>
      <c r="G1136" s="712">
        <v>0</v>
      </c>
      <c r="H1136">
        <v>0</v>
      </c>
      <c r="I1136" s="713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 s="724" t="str">
        <f>VLOOKUP($E1136,SP_2024_v28062025!$E$2:$M$1751,9,FALSE)</f>
        <v>PDA200</v>
      </c>
    </row>
    <row r="1137" spans="1:17">
      <c r="A1137">
        <v>2</v>
      </c>
      <c r="B1137" t="s">
        <v>12096</v>
      </c>
      <c r="C1137" t="s">
        <v>12124</v>
      </c>
      <c r="D1137" t="s">
        <v>12129</v>
      </c>
      <c r="E1137" t="s">
        <v>3304</v>
      </c>
      <c r="F1137" t="s">
        <v>3305</v>
      </c>
      <c r="G1137" s="712">
        <v>0</v>
      </c>
      <c r="H1137">
        <v>0</v>
      </c>
      <c r="I1137" s="713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 s="724" t="str">
        <f>VLOOKUP($E1137,SP_2024_v28062025!$E$2:$M$1751,9,FALSE)</f>
        <v>PDA200</v>
      </c>
    </row>
    <row r="1138" spans="1:17">
      <c r="A1138">
        <v>2</v>
      </c>
      <c r="B1138" t="s">
        <v>12096</v>
      </c>
      <c r="C1138" t="s">
        <v>12124</v>
      </c>
      <c r="D1138" t="s">
        <v>12129</v>
      </c>
      <c r="E1138" t="s">
        <v>3307</v>
      </c>
      <c r="F1138" t="s">
        <v>3308</v>
      </c>
      <c r="G1138" s="712">
        <v>0</v>
      </c>
      <c r="H1138">
        <v>0</v>
      </c>
      <c r="I1138" s="713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 s="724" t="str">
        <f>VLOOKUP($E1138,SP_2024_v28062025!$E$2:$M$1751,9,FALSE)</f>
        <v>PDA200</v>
      </c>
    </row>
    <row r="1139" spans="1:17">
      <c r="A1139">
        <v>2</v>
      </c>
      <c r="B1139" t="s">
        <v>12096</v>
      </c>
      <c r="C1139" t="s">
        <v>12124</v>
      </c>
      <c r="D1139" t="s">
        <v>12129</v>
      </c>
      <c r="E1139" t="s">
        <v>3310</v>
      </c>
      <c r="F1139" t="s">
        <v>3311</v>
      </c>
      <c r="G1139" s="712">
        <v>0</v>
      </c>
      <c r="H1139">
        <v>0</v>
      </c>
      <c r="I1139" s="713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 s="724" t="str">
        <f>VLOOKUP($E1139,SP_2024_v28062025!$E$2:$M$1751,9,FALSE)</f>
        <v>PDA200</v>
      </c>
    </row>
    <row r="1140" spans="1:17">
      <c r="A1140">
        <v>2</v>
      </c>
      <c r="B1140" t="s">
        <v>12096</v>
      </c>
      <c r="C1140" t="s">
        <v>12124</v>
      </c>
      <c r="D1140" t="s">
        <v>12129</v>
      </c>
      <c r="E1140" t="s">
        <v>3313</v>
      </c>
      <c r="F1140" t="s">
        <v>3314</v>
      </c>
      <c r="G1140" s="712">
        <v>0</v>
      </c>
      <c r="H1140">
        <v>0</v>
      </c>
      <c r="I1140" s="713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 s="724" t="str">
        <f>VLOOKUP($E1140,SP_2024_v28062025!$E$2:$M$1751,9,FALSE)</f>
        <v>PDA200</v>
      </c>
    </row>
    <row r="1141" spans="1:17">
      <c r="A1141">
        <v>2</v>
      </c>
      <c r="B1141" t="s">
        <v>12096</v>
      </c>
      <c r="C1141" t="s">
        <v>12124</v>
      </c>
      <c r="D1141" t="s">
        <v>12129</v>
      </c>
      <c r="E1141" t="s">
        <v>3316</v>
      </c>
      <c r="F1141" t="s">
        <v>3317</v>
      </c>
      <c r="G1141" s="712">
        <v>0</v>
      </c>
      <c r="H1141">
        <v>0</v>
      </c>
      <c r="I1141" s="713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 s="724" t="str">
        <f>VLOOKUP($E1141,SP_2024_v28062025!$E$2:$M$1751,9,FALSE)</f>
        <v>PDA200</v>
      </c>
    </row>
    <row r="1142" spans="1:17">
      <c r="A1142">
        <v>2</v>
      </c>
      <c r="B1142" t="s">
        <v>12096</v>
      </c>
      <c r="C1142" t="s">
        <v>12124</v>
      </c>
      <c r="D1142" t="s">
        <v>12129</v>
      </c>
      <c r="E1142" t="s">
        <v>3319</v>
      </c>
      <c r="F1142" t="s">
        <v>3320</v>
      </c>
      <c r="G1142" s="712">
        <v>0</v>
      </c>
      <c r="H1142">
        <v>0</v>
      </c>
      <c r="I1142" s="713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 s="724" t="str">
        <f>VLOOKUP($E1142,SP_2024_v28062025!$E$2:$M$1751,9,FALSE)</f>
        <v>PDA200</v>
      </c>
    </row>
    <row r="1143" spans="1:17">
      <c r="A1143">
        <v>2</v>
      </c>
      <c r="B1143" t="s">
        <v>12096</v>
      </c>
      <c r="C1143" t="s">
        <v>12124</v>
      </c>
      <c r="D1143" t="s">
        <v>12129</v>
      </c>
      <c r="E1143" t="s">
        <v>3322</v>
      </c>
      <c r="F1143" t="s">
        <v>3323</v>
      </c>
      <c r="G1143" s="712">
        <v>0</v>
      </c>
      <c r="H1143">
        <v>0</v>
      </c>
      <c r="I1143" s="71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 s="724" t="str">
        <f>VLOOKUP($E1143,SP_2024_v28062025!$E$2:$M$1751,9,FALSE)</f>
        <v>PDA200</v>
      </c>
    </row>
    <row r="1144" spans="1:17">
      <c r="A1144">
        <v>2</v>
      </c>
      <c r="B1144" t="s">
        <v>12096</v>
      </c>
      <c r="C1144" t="s">
        <v>12124</v>
      </c>
      <c r="D1144" t="s">
        <v>12129</v>
      </c>
      <c r="E1144" t="s">
        <v>3325</v>
      </c>
      <c r="F1144" t="s">
        <v>3326</v>
      </c>
      <c r="G1144" s="712">
        <v>0</v>
      </c>
      <c r="H1144">
        <v>0</v>
      </c>
      <c r="I1144" s="713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 s="724" t="str">
        <f>VLOOKUP($E1144,SP_2024_v28062025!$E$2:$M$1751,9,FALSE)</f>
        <v>PDA200</v>
      </c>
    </row>
    <row r="1145" spans="1:17">
      <c r="A1145">
        <v>2</v>
      </c>
      <c r="B1145" t="s">
        <v>12096</v>
      </c>
      <c r="C1145" t="s">
        <v>12124</v>
      </c>
      <c r="D1145" t="s">
        <v>12129</v>
      </c>
      <c r="E1145" t="s">
        <v>3328</v>
      </c>
      <c r="F1145" t="s">
        <v>3329</v>
      </c>
      <c r="G1145" s="712">
        <v>0</v>
      </c>
      <c r="H1145">
        <v>0</v>
      </c>
      <c r="I1145" s="713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 s="724" t="str">
        <f>VLOOKUP($E1145,SP_2024_v28062025!$E$2:$M$1751,9,FALSE)</f>
        <v>PDA200</v>
      </c>
    </row>
    <row r="1146" spans="1:17">
      <c r="A1146">
        <v>2</v>
      </c>
      <c r="B1146" t="s">
        <v>12096</v>
      </c>
      <c r="C1146" t="s">
        <v>12124</v>
      </c>
      <c r="D1146" t="s">
        <v>12129</v>
      </c>
      <c r="E1146" t="s">
        <v>3331</v>
      </c>
      <c r="F1146" t="s">
        <v>3332</v>
      </c>
      <c r="G1146" s="712">
        <v>0</v>
      </c>
      <c r="H1146">
        <v>0</v>
      </c>
      <c r="I1146" s="713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 s="724" t="str">
        <f>VLOOKUP($E1146,SP_2024_v28062025!$E$2:$M$1751,9,FALSE)</f>
        <v>PDA200</v>
      </c>
    </row>
    <row r="1147" spans="1:17" ht="15.75" thickBot="1">
      <c r="A1147">
        <v>2</v>
      </c>
      <c r="B1147" t="s">
        <v>12096</v>
      </c>
      <c r="C1147" t="s">
        <v>12124</v>
      </c>
      <c r="D1147" t="s">
        <v>12129</v>
      </c>
      <c r="E1147" t="s">
        <v>3334</v>
      </c>
      <c r="F1147" t="s">
        <v>3335</v>
      </c>
      <c r="G1147" s="712">
        <v>0</v>
      </c>
      <c r="H1147">
        <v>0</v>
      </c>
      <c r="I1147" s="713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 s="724" t="str">
        <f>VLOOKUP($E1147,SP_2024_v28062025!$E$2:$M$1751,9,FALSE)</f>
        <v>PDA200</v>
      </c>
    </row>
    <row r="1148" spans="1:17" ht="15.75" thickBot="1">
      <c r="A1148" s="727">
        <v>2</v>
      </c>
      <c r="B1148" s="727" t="s">
        <v>12096</v>
      </c>
      <c r="C1148" s="727" t="s">
        <v>12124</v>
      </c>
      <c r="D1148" s="727" t="s">
        <v>12130</v>
      </c>
      <c r="E1148" s="727"/>
      <c r="F1148" s="729" t="s">
        <v>3337</v>
      </c>
      <c r="G1148" s="739">
        <v>56885.82</v>
      </c>
      <c r="H1148" s="739">
        <v>8576670.9000000004</v>
      </c>
      <c r="I1148" s="739">
        <v>8519785.0800000001</v>
      </c>
      <c r="J1148" s="739">
        <v>1137635.8899999999</v>
      </c>
      <c r="K1148" s="739">
        <v>904131.97</v>
      </c>
      <c r="L1148" s="738">
        <v>0</v>
      </c>
      <c r="M1148" s="738">
        <v>0</v>
      </c>
      <c r="N1148" s="739">
        <v>1194521.71</v>
      </c>
      <c r="O1148" s="739">
        <v>9480802.8699999992</v>
      </c>
      <c r="P1148" s="739">
        <v>-8286281.1600000001</v>
      </c>
    </row>
    <row r="1149" spans="1:17">
      <c r="A1149">
        <v>2</v>
      </c>
      <c r="B1149" t="s">
        <v>12096</v>
      </c>
      <c r="C1149" t="s">
        <v>12124</v>
      </c>
      <c r="D1149" t="s">
        <v>12130</v>
      </c>
      <c r="E1149" t="s">
        <v>3340</v>
      </c>
      <c r="F1149" t="s">
        <v>3341</v>
      </c>
      <c r="G1149" s="712">
        <v>0</v>
      </c>
      <c r="H1149" s="711">
        <v>10316.790000000001</v>
      </c>
      <c r="I1149" s="715">
        <v>10316.790000000001</v>
      </c>
      <c r="J1149">
        <v>0</v>
      </c>
      <c r="K1149">
        <v>0</v>
      </c>
      <c r="L1149">
        <v>0</v>
      </c>
      <c r="M1149">
        <v>0</v>
      </c>
      <c r="N1149">
        <v>0</v>
      </c>
      <c r="O1149" s="711">
        <v>10316.790000000001</v>
      </c>
      <c r="P1149" s="711">
        <v>-10316.790000000001</v>
      </c>
      <c r="Q1149" s="724" t="str">
        <f>VLOOKUP($E1149,SP_2024_v28062025!$E$2:$M$1751,9,FALSE)</f>
        <v>PDA210</v>
      </c>
    </row>
    <row r="1150" spans="1:17">
      <c r="A1150">
        <v>2</v>
      </c>
      <c r="B1150" t="s">
        <v>12096</v>
      </c>
      <c r="C1150" t="s">
        <v>12124</v>
      </c>
      <c r="D1150" t="s">
        <v>12130</v>
      </c>
      <c r="E1150" t="s">
        <v>3343</v>
      </c>
      <c r="F1150" t="s">
        <v>3344</v>
      </c>
      <c r="G1150" s="714">
        <v>2113.04</v>
      </c>
      <c r="H1150" s="711">
        <v>213936.02</v>
      </c>
      <c r="I1150" s="715">
        <v>211822.98</v>
      </c>
      <c r="J1150" s="711">
        <v>43264</v>
      </c>
      <c r="K1150" s="711">
        <v>28014</v>
      </c>
      <c r="L1150">
        <v>0</v>
      </c>
      <c r="M1150">
        <v>0</v>
      </c>
      <c r="N1150" s="711">
        <v>45377.04</v>
      </c>
      <c r="O1150" s="711">
        <v>241950.02</v>
      </c>
      <c r="P1150" s="711">
        <v>-196572.98</v>
      </c>
      <c r="Q1150" s="724" t="str">
        <f>VLOOKUP($E1150,SP_2024_v28062025!$E$2:$M$1751,9,FALSE)</f>
        <v>PDA210</v>
      </c>
    </row>
    <row r="1151" spans="1:17">
      <c r="A1151">
        <v>2</v>
      </c>
      <c r="B1151" t="s">
        <v>12096</v>
      </c>
      <c r="C1151" t="s">
        <v>12124</v>
      </c>
      <c r="D1151" t="s">
        <v>12130</v>
      </c>
      <c r="E1151" t="s">
        <v>3346</v>
      </c>
      <c r="F1151" t="s">
        <v>3347</v>
      </c>
      <c r="G1151" s="712">
        <v>0</v>
      </c>
      <c r="H1151" s="711">
        <v>6753.81</v>
      </c>
      <c r="I1151" s="715">
        <v>6753.81</v>
      </c>
      <c r="J1151" s="711">
        <v>3900</v>
      </c>
      <c r="K1151" s="711">
        <v>3900</v>
      </c>
      <c r="L1151">
        <v>0</v>
      </c>
      <c r="M1151">
        <v>0</v>
      </c>
      <c r="N1151" s="711">
        <v>3900</v>
      </c>
      <c r="O1151" s="711">
        <v>10653.81</v>
      </c>
      <c r="P1151" s="711">
        <v>-6753.81</v>
      </c>
      <c r="Q1151" s="724" t="str">
        <f>VLOOKUP($E1151,SP_2024_v28062025!$E$2:$M$1751,9,FALSE)</f>
        <v>PDA210</v>
      </c>
    </row>
    <row r="1152" spans="1:17">
      <c r="A1152">
        <v>2</v>
      </c>
      <c r="B1152" t="s">
        <v>12096</v>
      </c>
      <c r="C1152" t="s">
        <v>12124</v>
      </c>
      <c r="D1152" t="s">
        <v>12130</v>
      </c>
      <c r="E1152" t="s">
        <v>3349</v>
      </c>
      <c r="F1152" t="s">
        <v>3350</v>
      </c>
      <c r="G1152" s="712">
        <v>0</v>
      </c>
      <c r="H1152" s="711">
        <v>92997.34</v>
      </c>
      <c r="I1152" s="715">
        <v>92997.34</v>
      </c>
      <c r="J1152" s="711">
        <v>143309</v>
      </c>
      <c r="K1152" s="711">
        <v>52147.5</v>
      </c>
      <c r="L1152">
        <v>0</v>
      </c>
      <c r="M1152">
        <v>0</v>
      </c>
      <c r="N1152" s="711">
        <v>143309</v>
      </c>
      <c r="O1152" s="711">
        <v>145144.84</v>
      </c>
      <c r="P1152" s="711">
        <v>-1835.84</v>
      </c>
      <c r="Q1152" s="724" t="str">
        <f>VLOOKUP($E1152,SP_2024_v28062025!$E$2:$M$1751,9,FALSE)</f>
        <v>PDA210</v>
      </c>
    </row>
    <row r="1153" spans="1:17">
      <c r="A1153">
        <v>2</v>
      </c>
      <c r="B1153" t="s">
        <v>12096</v>
      </c>
      <c r="C1153" t="s">
        <v>12124</v>
      </c>
      <c r="D1153" t="s">
        <v>12130</v>
      </c>
      <c r="E1153" t="s">
        <v>3352</v>
      </c>
      <c r="F1153" t="s">
        <v>3353</v>
      </c>
      <c r="G1153" s="712">
        <v>0</v>
      </c>
      <c r="H1153" s="711">
        <v>23840.35</v>
      </c>
      <c r="I1153" s="715">
        <v>23840.35</v>
      </c>
      <c r="J1153">
        <v>175.54</v>
      </c>
      <c r="K1153">
        <v>87.77</v>
      </c>
      <c r="L1153">
        <v>0</v>
      </c>
      <c r="M1153">
        <v>0</v>
      </c>
      <c r="N1153">
        <v>175.54</v>
      </c>
      <c r="O1153" s="711">
        <v>23928.12</v>
      </c>
      <c r="P1153" s="711">
        <v>-23752.58</v>
      </c>
      <c r="Q1153" s="724" t="str">
        <f>VLOOKUP($E1153,SP_2024_v28062025!$E$2:$M$1751,9,FALSE)</f>
        <v>PDA210</v>
      </c>
    </row>
    <row r="1154" spans="1:17">
      <c r="A1154">
        <v>2</v>
      </c>
      <c r="B1154" t="s">
        <v>12096</v>
      </c>
      <c r="C1154" t="s">
        <v>12124</v>
      </c>
      <c r="D1154" t="s">
        <v>12130</v>
      </c>
      <c r="E1154" t="s">
        <v>3355</v>
      </c>
      <c r="F1154" t="s">
        <v>3356</v>
      </c>
      <c r="G1154" s="712">
        <v>0</v>
      </c>
      <c r="H1154" s="711">
        <v>1210197.56</v>
      </c>
      <c r="I1154" s="715">
        <v>1210197.56</v>
      </c>
      <c r="J1154" s="711">
        <v>6164.37</v>
      </c>
      <c r="K1154" s="711">
        <v>6754.51</v>
      </c>
      <c r="L1154">
        <v>0</v>
      </c>
      <c r="M1154">
        <v>0</v>
      </c>
      <c r="N1154" s="711">
        <v>6164.37</v>
      </c>
      <c r="O1154" s="711">
        <v>1216952.07</v>
      </c>
      <c r="P1154" s="711">
        <v>-1210787.7</v>
      </c>
      <c r="Q1154" s="724" t="str">
        <f>VLOOKUP($E1154,SP_2024_v28062025!$E$2:$M$1751,9,FALSE)</f>
        <v>PDA210</v>
      </c>
    </row>
    <row r="1155" spans="1:17">
      <c r="A1155">
        <v>2</v>
      </c>
      <c r="B1155" t="s">
        <v>12096</v>
      </c>
      <c r="C1155" t="s">
        <v>12124</v>
      </c>
      <c r="D1155" t="s">
        <v>12130</v>
      </c>
      <c r="E1155" t="s">
        <v>3358</v>
      </c>
      <c r="F1155" t="s">
        <v>3359</v>
      </c>
      <c r="G1155" s="712">
        <v>0</v>
      </c>
      <c r="H1155" s="711">
        <v>10436.86</v>
      </c>
      <c r="I1155" s="715">
        <v>10436.86</v>
      </c>
      <c r="J1155" s="711">
        <v>14279.04</v>
      </c>
      <c r="K1155" s="711">
        <v>3842.18</v>
      </c>
      <c r="L1155">
        <v>0</v>
      </c>
      <c r="M1155">
        <v>0</v>
      </c>
      <c r="N1155" s="711">
        <v>14279.04</v>
      </c>
      <c r="O1155" s="711">
        <v>14279.04</v>
      </c>
      <c r="P1155">
        <v>0</v>
      </c>
      <c r="Q1155" s="724" t="str">
        <f>VLOOKUP($E1155,SP_2024_v28062025!$E$2:$M$1751,9,FALSE)</f>
        <v>PDA210</v>
      </c>
    </row>
    <row r="1156" spans="1:17">
      <c r="A1156">
        <v>2</v>
      </c>
      <c r="B1156" t="s">
        <v>12096</v>
      </c>
      <c r="C1156" t="s">
        <v>12124</v>
      </c>
      <c r="D1156" t="s">
        <v>12130</v>
      </c>
      <c r="E1156" t="s">
        <v>3361</v>
      </c>
      <c r="F1156" t="s">
        <v>3362</v>
      </c>
      <c r="G1156" s="712">
        <v>0</v>
      </c>
      <c r="H1156" s="711">
        <v>2644.49</v>
      </c>
      <c r="I1156" s="715">
        <v>2644.49</v>
      </c>
      <c r="J1156">
        <v>0</v>
      </c>
      <c r="K1156">
        <v>0</v>
      </c>
      <c r="L1156">
        <v>0</v>
      </c>
      <c r="M1156">
        <v>0</v>
      </c>
      <c r="N1156">
        <v>0</v>
      </c>
      <c r="O1156" s="711">
        <v>2644.49</v>
      </c>
      <c r="P1156" s="711">
        <v>-2644.49</v>
      </c>
      <c r="Q1156" s="724" t="str">
        <f>VLOOKUP($E1156,SP_2024_v28062025!$E$2:$M$1751,9,FALSE)</f>
        <v>PDA210</v>
      </c>
    </row>
    <row r="1157" spans="1:17">
      <c r="A1157">
        <v>2</v>
      </c>
      <c r="B1157" t="s">
        <v>12096</v>
      </c>
      <c r="C1157" t="s">
        <v>12124</v>
      </c>
      <c r="D1157" t="s">
        <v>12130</v>
      </c>
      <c r="E1157" t="s">
        <v>3364</v>
      </c>
      <c r="F1157" t="s">
        <v>3365</v>
      </c>
      <c r="G1157" s="712">
        <v>0</v>
      </c>
      <c r="H1157" s="711">
        <v>125678.1</v>
      </c>
      <c r="I1157" s="715">
        <v>125678.1</v>
      </c>
      <c r="J1157" s="711">
        <v>45094.5</v>
      </c>
      <c r="K1157" s="711">
        <v>30576</v>
      </c>
      <c r="L1157">
        <v>0</v>
      </c>
      <c r="M1157">
        <v>0</v>
      </c>
      <c r="N1157" s="711">
        <v>45094.5</v>
      </c>
      <c r="O1157" s="711">
        <v>156254.1</v>
      </c>
      <c r="P1157" s="711">
        <v>-111159.6</v>
      </c>
      <c r="Q1157" s="724" t="str">
        <f>VLOOKUP($E1157,SP_2024_v28062025!$E$2:$M$1751,9,FALSE)</f>
        <v>PDA210</v>
      </c>
    </row>
    <row r="1158" spans="1:17">
      <c r="A1158">
        <v>2</v>
      </c>
      <c r="B1158" t="s">
        <v>12096</v>
      </c>
      <c r="C1158" t="s">
        <v>12124</v>
      </c>
      <c r="D1158" t="s">
        <v>12130</v>
      </c>
      <c r="E1158" t="s">
        <v>3367</v>
      </c>
      <c r="F1158" t="s">
        <v>3368</v>
      </c>
      <c r="G1158" s="712">
        <v>0</v>
      </c>
      <c r="H1158" s="711">
        <v>2717</v>
      </c>
      <c r="I1158" s="715">
        <v>2717</v>
      </c>
      <c r="J1158">
        <v>0</v>
      </c>
      <c r="K1158">
        <v>0</v>
      </c>
      <c r="L1158">
        <v>0</v>
      </c>
      <c r="M1158">
        <v>0</v>
      </c>
      <c r="N1158">
        <v>0</v>
      </c>
      <c r="O1158" s="711">
        <v>2717</v>
      </c>
      <c r="P1158" s="711">
        <v>-2717</v>
      </c>
      <c r="Q1158" s="724" t="str">
        <f>VLOOKUP($E1158,SP_2024_v28062025!$E$2:$M$1751,9,FALSE)</f>
        <v>PDA210</v>
      </c>
    </row>
    <row r="1159" spans="1:17">
      <c r="A1159">
        <v>2</v>
      </c>
      <c r="B1159" t="s">
        <v>12096</v>
      </c>
      <c r="C1159" t="s">
        <v>12124</v>
      </c>
      <c r="D1159" t="s">
        <v>12130</v>
      </c>
      <c r="E1159" t="s">
        <v>3370</v>
      </c>
      <c r="F1159" t="s">
        <v>3371</v>
      </c>
      <c r="G1159" s="712">
        <v>0</v>
      </c>
      <c r="H1159">
        <v>0</v>
      </c>
      <c r="I1159" s="713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 s="724" t="str">
        <f>VLOOKUP($E1159,SP_2024_v28062025!$E$2:$M$1751,9,FALSE)</f>
        <v>PDA210</v>
      </c>
    </row>
    <row r="1160" spans="1:17">
      <c r="A1160">
        <v>2</v>
      </c>
      <c r="B1160" t="s">
        <v>12096</v>
      </c>
      <c r="C1160" t="s">
        <v>12124</v>
      </c>
      <c r="D1160" t="s">
        <v>12130</v>
      </c>
      <c r="E1160" t="s">
        <v>3373</v>
      </c>
      <c r="F1160" t="s">
        <v>3374</v>
      </c>
      <c r="G1160" s="712">
        <v>0</v>
      </c>
      <c r="H1160" s="711">
        <v>46942.67</v>
      </c>
      <c r="I1160" s="715">
        <v>46942.67</v>
      </c>
      <c r="J1160" s="711">
        <v>65488.22</v>
      </c>
      <c r="K1160" s="711">
        <v>27854.22</v>
      </c>
      <c r="L1160">
        <v>0</v>
      </c>
      <c r="M1160">
        <v>0</v>
      </c>
      <c r="N1160" s="711">
        <v>65488.22</v>
      </c>
      <c r="O1160" s="711">
        <v>74796.89</v>
      </c>
      <c r="P1160" s="711">
        <v>-9308.67</v>
      </c>
      <c r="Q1160" s="724" t="str">
        <f>VLOOKUP($E1160,SP_2024_v28062025!$E$2:$M$1751,9,FALSE)</f>
        <v>PDA210</v>
      </c>
    </row>
    <row r="1161" spans="1:17">
      <c r="A1161">
        <v>2</v>
      </c>
      <c r="B1161" t="s">
        <v>12096</v>
      </c>
      <c r="C1161" t="s">
        <v>12124</v>
      </c>
      <c r="D1161" t="s">
        <v>12130</v>
      </c>
      <c r="E1161" t="s">
        <v>3376</v>
      </c>
      <c r="F1161" t="s">
        <v>3377</v>
      </c>
      <c r="G1161" s="712">
        <v>0</v>
      </c>
      <c r="H1161" s="711">
        <v>42260.160000000003</v>
      </c>
      <c r="I1161" s="715">
        <v>42260.160000000003</v>
      </c>
      <c r="J1161">
        <v>0</v>
      </c>
      <c r="K1161">
        <v>0</v>
      </c>
      <c r="L1161">
        <v>0</v>
      </c>
      <c r="M1161">
        <v>0</v>
      </c>
      <c r="N1161">
        <v>0</v>
      </c>
      <c r="O1161" s="711">
        <v>42260.160000000003</v>
      </c>
      <c r="P1161" s="711">
        <v>-42260.160000000003</v>
      </c>
      <c r="Q1161" s="724" t="str">
        <f>VLOOKUP($E1161,SP_2024_v28062025!$E$2:$M$1751,9,FALSE)</f>
        <v>PDA210</v>
      </c>
    </row>
    <row r="1162" spans="1:17">
      <c r="A1162">
        <v>2</v>
      </c>
      <c r="B1162" t="s">
        <v>12096</v>
      </c>
      <c r="C1162" t="s">
        <v>12124</v>
      </c>
      <c r="D1162" t="s">
        <v>12130</v>
      </c>
      <c r="E1162" t="s">
        <v>3379</v>
      </c>
      <c r="F1162" t="s">
        <v>3380</v>
      </c>
      <c r="G1162" s="714">
        <v>7746.85</v>
      </c>
      <c r="H1162" s="711">
        <v>50071.75</v>
      </c>
      <c r="I1162" s="715">
        <v>42324.9</v>
      </c>
      <c r="J1162" s="711">
        <v>111000</v>
      </c>
      <c r="K1162" s="711">
        <v>111000</v>
      </c>
      <c r="L1162">
        <v>0</v>
      </c>
      <c r="M1162">
        <v>0</v>
      </c>
      <c r="N1162" s="711">
        <v>118746.85</v>
      </c>
      <c r="O1162" s="711">
        <v>161071.75</v>
      </c>
      <c r="P1162" s="711">
        <v>-42324.9</v>
      </c>
      <c r="Q1162" s="724" t="str">
        <f>VLOOKUP($E1162,SP_2024_v28062025!$E$2:$M$1751,9,FALSE)</f>
        <v>PDA210</v>
      </c>
    </row>
    <row r="1163" spans="1:17">
      <c r="A1163">
        <v>2</v>
      </c>
      <c r="B1163" t="s">
        <v>12096</v>
      </c>
      <c r="C1163" t="s">
        <v>12124</v>
      </c>
      <c r="D1163" t="s">
        <v>12130</v>
      </c>
      <c r="E1163" t="s">
        <v>3382</v>
      </c>
      <c r="F1163" t="s">
        <v>3383</v>
      </c>
      <c r="G1163" s="712">
        <v>0</v>
      </c>
      <c r="H1163" s="711">
        <v>3490415.9</v>
      </c>
      <c r="I1163" s="715">
        <v>3490415.9</v>
      </c>
      <c r="J1163" s="711">
        <v>465364.14</v>
      </c>
      <c r="K1163" s="711">
        <v>392367.71</v>
      </c>
      <c r="L1163">
        <v>0</v>
      </c>
      <c r="M1163">
        <v>0</v>
      </c>
      <c r="N1163" s="711">
        <v>465364.14</v>
      </c>
      <c r="O1163" s="711">
        <v>3882783.61</v>
      </c>
      <c r="P1163" s="711">
        <v>-3417419.47</v>
      </c>
      <c r="Q1163" s="724" t="str">
        <f>VLOOKUP($E1163,SP_2024_v28062025!$E$2:$M$1751,9,FALSE)</f>
        <v>PDA210</v>
      </c>
    </row>
    <row r="1164" spans="1:17">
      <c r="A1164">
        <v>2</v>
      </c>
      <c r="B1164" t="s">
        <v>12096</v>
      </c>
      <c r="C1164" t="s">
        <v>12124</v>
      </c>
      <c r="D1164" t="s">
        <v>12130</v>
      </c>
      <c r="E1164" t="s">
        <v>3385</v>
      </c>
      <c r="F1164" t="s">
        <v>3386</v>
      </c>
      <c r="G1164" s="714">
        <v>47025.93</v>
      </c>
      <c r="H1164" s="711">
        <v>3247462.1</v>
      </c>
      <c r="I1164" s="715">
        <v>3200436.17</v>
      </c>
      <c r="J1164" s="711">
        <v>239597.08</v>
      </c>
      <c r="K1164" s="711">
        <v>247588.08</v>
      </c>
      <c r="L1164">
        <v>0</v>
      </c>
      <c r="M1164">
        <v>0</v>
      </c>
      <c r="N1164" s="711">
        <v>286623.01</v>
      </c>
      <c r="O1164" s="711">
        <v>3495050.18</v>
      </c>
      <c r="P1164" s="711">
        <v>-3208427.17</v>
      </c>
      <c r="Q1164" s="724" t="str">
        <f>VLOOKUP($E1164,SP_2024_v28062025!$E$2:$M$1751,9,FALSE)</f>
        <v>PDA210</v>
      </c>
    </row>
    <row r="1165" spans="1:17">
      <c r="A1165">
        <v>2</v>
      </c>
      <c r="B1165" t="s">
        <v>12096</v>
      </c>
      <c r="C1165" t="s">
        <v>12124</v>
      </c>
      <c r="D1165" t="s">
        <v>12130</v>
      </c>
      <c r="E1165" t="s">
        <v>3388</v>
      </c>
      <c r="F1165" t="s">
        <v>3389</v>
      </c>
      <c r="G1165" s="712">
        <v>0</v>
      </c>
      <c r="H1165">
        <v>0</v>
      </c>
      <c r="I1165" s="713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 s="724" t="str">
        <f>VLOOKUP($E1165,SP_2024_v28062025!$E$2:$M$1751,9,FALSE)</f>
        <v>PDA210</v>
      </c>
    </row>
    <row r="1166" spans="1:17" ht="15.75" thickBot="1">
      <c r="A1166">
        <v>2</v>
      </c>
      <c r="B1166" t="s">
        <v>12096</v>
      </c>
      <c r="C1166" t="s">
        <v>12124</v>
      </c>
      <c r="D1166" t="s">
        <v>12130</v>
      </c>
      <c r="E1166" t="s">
        <v>3391</v>
      </c>
      <c r="F1166" t="s">
        <v>3392</v>
      </c>
      <c r="G1166" s="712">
        <v>0</v>
      </c>
      <c r="H1166">
        <v>0</v>
      </c>
      <c r="I1166" s="713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 s="724" t="str">
        <f>VLOOKUP($E1166,SP_2024_v28062025!$E$2:$M$1751,9,FALSE)</f>
        <v>PDA210</v>
      </c>
    </row>
    <row r="1167" spans="1:17" ht="15.75" thickBot="1">
      <c r="A1167" s="727">
        <v>2</v>
      </c>
      <c r="B1167" s="727" t="s">
        <v>12096</v>
      </c>
      <c r="C1167" s="727" t="s">
        <v>12124</v>
      </c>
      <c r="D1167" s="727" t="s">
        <v>12131</v>
      </c>
      <c r="E1167" s="727"/>
      <c r="F1167" s="729" t="s">
        <v>3496</v>
      </c>
      <c r="G1167" s="738">
        <v>0</v>
      </c>
      <c r="H1167" s="739">
        <v>55421.43</v>
      </c>
      <c r="I1167" s="739">
        <v>55421.43</v>
      </c>
      <c r="J1167" s="739">
        <v>175914.26</v>
      </c>
      <c r="K1167" s="739">
        <v>175593.76</v>
      </c>
      <c r="L1167" s="738">
        <v>0</v>
      </c>
      <c r="M1167" s="738">
        <v>0</v>
      </c>
      <c r="N1167" s="739">
        <v>175914.26</v>
      </c>
      <c r="O1167" s="739">
        <v>231015.19</v>
      </c>
      <c r="P1167" s="739">
        <v>-55100.93</v>
      </c>
    </row>
    <row r="1168" spans="1:17" ht="15.75" thickBot="1">
      <c r="A1168">
        <v>2</v>
      </c>
      <c r="B1168" t="s">
        <v>12096</v>
      </c>
      <c r="C1168" t="s">
        <v>12124</v>
      </c>
      <c r="D1168" t="s">
        <v>12131</v>
      </c>
      <c r="E1168" t="s">
        <v>3495</v>
      </c>
      <c r="F1168" t="s">
        <v>3496</v>
      </c>
      <c r="G1168" s="712">
        <v>0</v>
      </c>
      <c r="H1168" s="711">
        <v>55421.43</v>
      </c>
      <c r="I1168" s="715">
        <v>55421.43</v>
      </c>
      <c r="J1168" s="711">
        <v>175914.26</v>
      </c>
      <c r="K1168" s="711">
        <v>175593.76</v>
      </c>
      <c r="L1168">
        <v>0</v>
      </c>
      <c r="M1168">
        <v>0</v>
      </c>
      <c r="N1168" s="711">
        <v>175914.26</v>
      </c>
      <c r="O1168" s="711">
        <v>231015.19</v>
      </c>
      <c r="P1168" s="711">
        <v>-55100.93</v>
      </c>
      <c r="Q1168" s="724" t="str">
        <f>VLOOKUP($E1168,SP_2024_v28062025!$E$2:$M$1751,9,FALSE)</f>
        <v>PDA220</v>
      </c>
    </row>
    <row r="1169" spans="1:17" ht="15.75" thickBot="1">
      <c r="A1169" s="727">
        <v>2</v>
      </c>
      <c r="B1169" s="727" t="s">
        <v>12096</v>
      </c>
      <c r="C1169" s="727" t="s">
        <v>12124</v>
      </c>
      <c r="D1169" s="727" t="s">
        <v>12132</v>
      </c>
      <c r="E1169" s="727"/>
      <c r="F1169" s="729" t="s">
        <v>12133</v>
      </c>
      <c r="G1169" s="738">
        <v>0</v>
      </c>
      <c r="H1169" s="738">
        <v>0</v>
      </c>
      <c r="I1169" s="738">
        <v>0</v>
      </c>
      <c r="J1169" s="738">
        <v>0</v>
      </c>
      <c r="K1169" s="738">
        <v>0</v>
      </c>
      <c r="L1169" s="738">
        <v>0</v>
      </c>
      <c r="M1169" s="738">
        <v>0</v>
      </c>
      <c r="N1169" s="738">
        <v>0</v>
      </c>
      <c r="O1169" s="738">
        <v>0</v>
      </c>
      <c r="P1169" s="738">
        <v>0</v>
      </c>
    </row>
    <row r="1170" spans="1:17">
      <c r="A1170">
        <v>2</v>
      </c>
      <c r="B1170" t="s">
        <v>12096</v>
      </c>
      <c r="C1170" t="s">
        <v>12124</v>
      </c>
      <c r="D1170" t="s">
        <v>12132</v>
      </c>
      <c r="E1170" t="s">
        <v>12134</v>
      </c>
      <c r="F1170" t="s">
        <v>12133</v>
      </c>
      <c r="G1170" s="712">
        <v>0</v>
      </c>
      <c r="H1170">
        <v>0</v>
      </c>
      <c r="I1170" s="713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</row>
    <row r="1171" spans="1:17">
      <c r="A1171">
        <v>2</v>
      </c>
      <c r="B1171" t="s">
        <v>12096</v>
      </c>
      <c r="C1171" t="s">
        <v>12124</v>
      </c>
      <c r="D1171" t="s">
        <v>12132</v>
      </c>
      <c r="E1171" t="s">
        <v>3498</v>
      </c>
      <c r="F1171" t="s">
        <v>3499</v>
      </c>
      <c r="G1171" s="712">
        <v>0</v>
      </c>
      <c r="H1171">
        <v>0</v>
      </c>
      <c r="I1171" s="713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 s="724" t="str">
        <f>VLOOKUP($E1171,SP_2024_v28062025!$E$2:$M$1751,9,FALSE)</f>
        <v>PDA231</v>
      </c>
    </row>
    <row r="1172" spans="1:17">
      <c r="A1172">
        <v>2</v>
      </c>
      <c r="B1172" t="s">
        <v>12096</v>
      </c>
      <c r="C1172" t="s">
        <v>12124</v>
      </c>
      <c r="D1172" t="s">
        <v>12132</v>
      </c>
      <c r="E1172" t="s">
        <v>3502</v>
      </c>
      <c r="F1172" t="s">
        <v>3503</v>
      </c>
      <c r="G1172" s="712">
        <v>0</v>
      </c>
      <c r="H1172">
        <v>0</v>
      </c>
      <c r="I1172" s="713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 s="724" t="str">
        <f>VLOOKUP($E1172,SP_2024_v28062025!$E$2:$M$1751,9,FALSE)</f>
        <v>PDA232</v>
      </c>
    </row>
    <row r="1173" spans="1:17">
      <c r="A1173">
        <v>2</v>
      </c>
      <c r="B1173" t="s">
        <v>12096</v>
      </c>
      <c r="C1173" t="s">
        <v>12124</v>
      </c>
      <c r="D1173" t="s">
        <v>12132</v>
      </c>
      <c r="E1173" t="s">
        <v>3506</v>
      </c>
      <c r="F1173" t="s">
        <v>3507</v>
      </c>
      <c r="G1173" s="712">
        <v>0</v>
      </c>
      <c r="H1173">
        <v>0</v>
      </c>
      <c r="I1173" s="71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 s="724" t="str">
        <f>VLOOKUP($E1173,SP_2024_v28062025!$E$2:$M$1751,9,FALSE)</f>
        <v>PDA233</v>
      </c>
    </row>
    <row r="1174" spans="1:17">
      <c r="A1174">
        <v>2</v>
      </c>
      <c r="B1174" t="s">
        <v>12096</v>
      </c>
      <c r="C1174" t="s">
        <v>12124</v>
      </c>
      <c r="D1174" t="s">
        <v>12132</v>
      </c>
      <c r="E1174" t="s">
        <v>3510</v>
      </c>
      <c r="F1174" t="s">
        <v>3511</v>
      </c>
      <c r="G1174" s="712">
        <v>0</v>
      </c>
      <c r="H1174">
        <v>0</v>
      </c>
      <c r="I1174" s="713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 s="724" t="str">
        <f>VLOOKUP($E1174,SP_2024_v28062025!$E$2:$M$1751,9,FALSE)</f>
        <v>PDA234</v>
      </c>
    </row>
    <row r="1175" spans="1:17" ht="15.75" thickBot="1">
      <c r="A1175">
        <v>2</v>
      </c>
      <c r="B1175" t="s">
        <v>12096</v>
      </c>
      <c r="C1175" t="s">
        <v>12124</v>
      </c>
      <c r="D1175" t="s">
        <v>12132</v>
      </c>
      <c r="E1175" t="s">
        <v>3514</v>
      </c>
      <c r="F1175" t="s">
        <v>3515</v>
      </c>
      <c r="G1175" s="712">
        <v>0</v>
      </c>
      <c r="H1175">
        <v>0</v>
      </c>
      <c r="I1175" s="713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 s="724" t="str">
        <f>VLOOKUP($E1175,SP_2024_v28062025!$E$2:$M$1751,9,FALSE)</f>
        <v>PDA235</v>
      </c>
    </row>
    <row r="1176" spans="1:17" ht="15.75" thickBot="1">
      <c r="A1176" s="727">
        <v>2</v>
      </c>
      <c r="B1176" s="727" t="s">
        <v>12096</v>
      </c>
      <c r="C1176" s="727" t="s">
        <v>12124</v>
      </c>
      <c r="D1176" s="727" t="s">
        <v>12135</v>
      </c>
      <c r="E1176" s="727"/>
      <c r="F1176" s="729" t="s">
        <v>3394</v>
      </c>
      <c r="G1176" s="738">
        <v>0</v>
      </c>
      <c r="H1176" s="738">
        <v>0</v>
      </c>
      <c r="I1176" s="738">
        <v>0</v>
      </c>
      <c r="J1176" s="738">
        <v>0</v>
      </c>
      <c r="K1176" s="738">
        <v>0</v>
      </c>
      <c r="L1176" s="738">
        <v>0</v>
      </c>
      <c r="M1176" s="738">
        <v>0</v>
      </c>
      <c r="N1176" s="738">
        <v>0</v>
      </c>
      <c r="O1176" s="738">
        <v>0</v>
      </c>
      <c r="P1176" s="738">
        <v>0</v>
      </c>
    </row>
    <row r="1177" spans="1:17">
      <c r="A1177">
        <v>2</v>
      </c>
      <c r="B1177" t="s">
        <v>12096</v>
      </c>
      <c r="C1177" t="s">
        <v>12124</v>
      </c>
      <c r="D1177" t="s">
        <v>12135</v>
      </c>
      <c r="E1177" t="s">
        <v>3396</v>
      </c>
      <c r="F1177" t="s">
        <v>3397</v>
      </c>
      <c r="G1177" s="712">
        <v>0</v>
      </c>
      <c r="H1177">
        <v>0</v>
      </c>
      <c r="I1177" s="713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 s="724" t="str">
        <f>VLOOKUP($E1177,SP_2024_v28062025!$E$2:$M$1751,9,FALSE)</f>
        <v>PDA211</v>
      </c>
    </row>
    <row r="1178" spans="1:17">
      <c r="A1178">
        <v>2</v>
      </c>
      <c r="B1178" t="s">
        <v>12096</v>
      </c>
      <c r="C1178" t="s">
        <v>12124</v>
      </c>
      <c r="D1178" t="s">
        <v>12135</v>
      </c>
      <c r="E1178" t="s">
        <v>3398</v>
      </c>
      <c r="F1178" t="s">
        <v>3399</v>
      </c>
      <c r="G1178" s="712">
        <v>0</v>
      </c>
      <c r="H1178">
        <v>0</v>
      </c>
      <c r="I1178" s="713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 s="724" t="str">
        <f>VLOOKUP($E1178,SP_2024_v28062025!$E$2:$M$1751,9,FALSE)</f>
        <v>PDA211</v>
      </c>
    </row>
    <row r="1179" spans="1:17">
      <c r="A1179">
        <v>2</v>
      </c>
      <c r="B1179" t="s">
        <v>12096</v>
      </c>
      <c r="C1179" t="s">
        <v>12124</v>
      </c>
      <c r="D1179" t="s">
        <v>12135</v>
      </c>
      <c r="E1179" t="s">
        <v>3400</v>
      </c>
      <c r="F1179" t="s">
        <v>3401</v>
      </c>
      <c r="G1179" s="712">
        <v>0</v>
      </c>
      <c r="H1179">
        <v>0</v>
      </c>
      <c r="I1179" s="713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 s="724" t="str">
        <f>VLOOKUP($E1179,SP_2024_v28062025!$E$2:$M$1751,9,FALSE)</f>
        <v>PDA211</v>
      </c>
    </row>
    <row r="1180" spans="1:17">
      <c r="A1180">
        <v>2</v>
      </c>
      <c r="B1180" t="s">
        <v>12096</v>
      </c>
      <c r="C1180" t="s">
        <v>12124</v>
      </c>
      <c r="D1180" t="s">
        <v>12135</v>
      </c>
      <c r="E1180" t="s">
        <v>3402</v>
      </c>
      <c r="F1180" t="s">
        <v>3403</v>
      </c>
      <c r="G1180" s="712">
        <v>0</v>
      </c>
      <c r="H1180">
        <v>0</v>
      </c>
      <c r="I1180" s="713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 s="724" t="str">
        <f>VLOOKUP($E1180,SP_2024_v28062025!$E$2:$M$1751,9,FALSE)</f>
        <v>PDA211</v>
      </c>
    </row>
    <row r="1181" spans="1:17">
      <c r="A1181">
        <v>2</v>
      </c>
      <c r="B1181" t="s">
        <v>12096</v>
      </c>
      <c r="C1181" t="s">
        <v>12124</v>
      </c>
      <c r="D1181" t="s">
        <v>12135</v>
      </c>
      <c r="E1181" t="s">
        <v>3404</v>
      </c>
      <c r="F1181" t="s">
        <v>3405</v>
      </c>
      <c r="G1181" s="712">
        <v>0</v>
      </c>
      <c r="H1181">
        <v>0</v>
      </c>
      <c r="I1181" s="713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 s="724" t="str">
        <f>VLOOKUP($E1181,SP_2024_v28062025!$E$2:$M$1751,9,FALSE)</f>
        <v>PDA211</v>
      </c>
    </row>
    <row r="1182" spans="1:17">
      <c r="A1182">
        <v>2</v>
      </c>
      <c r="B1182" t="s">
        <v>12096</v>
      </c>
      <c r="C1182" t="s">
        <v>12124</v>
      </c>
      <c r="D1182" t="s">
        <v>12135</v>
      </c>
      <c r="E1182" t="s">
        <v>3406</v>
      </c>
      <c r="F1182" t="s">
        <v>3407</v>
      </c>
      <c r="G1182" s="712">
        <v>0</v>
      </c>
      <c r="H1182">
        <v>0</v>
      </c>
      <c r="I1182" s="713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 s="724" t="str">
        <f>VLOOKUP($E1182,SP_2024_v28062025!$E$2:$M$1751,9,FALSE)</f>
        <v>PDA211</v>
      </c>
    </row>
    <row r="1183" spans="1:17">
      <c r="A1183">
        <v>2</v>
      </c>
      <c r="B1183" t="s">
        <v>12096</v>
      </c>
      <c r="C1183" t="s">
        <v>12124</v>
      </c>
      <c r="D1183" t="s">
        <v>12135</v>
      </c>
      <c r="E1183" t="s">
        <v>3408</v>
      </c>
      <c r="F1183" t="s">
        <v>3409</v>
      </c>
      <c r="G1183" s="712">
        <v>0</v>
      </c>
      <c r="H1183">
        <v>0</v>
      </c>
      <c r="I1183" s="71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 s="724" t="str">
        <f>VLOOKUP($E1183,SP_2024_v28062025!$E$2:$M$1751,9,FALSE)</f>
        <v>PDA211</v>
      </c>
    </row>
    <row r="1184" spans="1:17">
      <c r="A1184">
        <v>2</v>
      </c>
      <c r="B1184" t="s">
        <v>12096</v>
      </c>
      <c r="C1184" t="s">
        <v>12124</v>
      </c>
      <c r="D1184" t="s">
        <v>12135</v>
      </c>
      <c r="E1184" t="s">
        <v>3410</v>
      </c>
      <c r="F1184" t="s">
        <v>3411</v>
      </c>
      <c r="G1184" s="712">
        <v>0</v>
      </c>
      <c r="H1184">
        <v>0</v>
      </c>
      <c r="I1184" s="713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 s="724" t="str">
        <f>VLOOKUP($E1184,SP_2024_v28062025!$E$2:$M$1751,9,FALSE)</f>
        <v>PDA211</v>
      </c>
    </row>
    <row r="1185" spans="1:17">
      <c r="A1185">
        <v>2</v>
      </c>
      <c r="B1185" t="s">
        <v>12096</v>
      </c>
      <c r="C1185" t="s">
        <v>12124</v>
      </c>
      <c r="D1185" t="s">
        <v>12135</v>
      </c>
      <c r="E1185" t="s">
        <v>3412</v>
      </c>
      <c r="F1185" t="s">
        <v>3413</v>
      </c>
      <c r="G1185" s="712">
        <v>0</v>
      </c>
      <c r="H1185">
        <v>0</v>
      </c>
      <c r="I1185" s="713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 s="724" t="str">
        <f>VLOOKUP($E1185,SP_2024_v28062025!$E$2:$M$1751,9,FALSE)</f>
        <v>PDA211</v>
      </c>
    </row>
    <row r="1186" spans="1:17">
      <c r="A1186">
        <v>2</v>
      </c>
      <c r="B1186" t="s">
        <v>12096</v>
      </c>
      <c r="C1186" t="s">
        <v>12124</v>
      </c>
      <c r="D1186" t="s">
        <v>12135</v>
      </c>
      <c r="E1186" t="s">
        <v>3414</v>
      </c>
      <c r="F1186" t="s">
        <v>3415</v>
      </c>
      <c r="G1186" s="712">
        <v>0</v>
      </c>
      <c r="H1186">
        <v>0</v>
      </c>
      <c r="I1186" s="713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 s="724" t="str">
        <f>VLOOKUP($E1186,SP_2024_v28062025!$E$2:$M$1751,9,FALSE)</f>
        <v>PDA211</v>
      </c>
    </row>
    <row r="1187" spans="1:17">
      <c r="A1187">
        <v>2</v>
      </c>
      <c r="B1187" t="s">
        <v>12096</v>
      </c>
      <c r="C1187" t="s">
        <v>12124</v>
      </c>
      <c r="D1187" t="s">
        <v>12135</v>
      </c>
      <c r="E1187" t="s">
        <v>3416</v>
      </c>
      <c r="F1187" t="s">
        <v>3417</v>
      </c>
      <c r="G1187" s="712">
        <v>0</v>
      </c>
      <c r="H1187">
        <v>0</v>
      </c>
      <c r="I1187" s="713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 s="724" t="str">
        <f>VLOOKUP($E1187,SP_2024_v28062025!$E$2:$M$1751,9,FALSE)</f>
        <v>PDA211</v>
      </c>
    </row>
    <row r="1188" spans="1:17">
      <c r="A1188">
        <v>2</v>
      </c>
      <c r="B1188" t="s">
        <v>12096</v>
      </c>
      <c r="C1188" t="s">
        <v>12124</v>
      </c>
      <c r="D1188" t="s">
        <v>12135</v>
      </c>
      <c r="E1188" t="s">
        <v>3418</v>
      </c>
      <c r="F1188" t="s">
        <v>3419</v>
      </c>
      <c r="G1188" s="712">
        <v>0</v>
      </c>
      <c r="H1188">
        <v>0</v>
      </c>
      <c r="I1188" s="713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 s="724" t="str">
        <f>VLOOKUP($E1188,SP_2024_v28062025!$E$2:$M$1751,9,FALSE)</f>
        <v>PDA211</v>
      </c>
    </row>
    <row r="1189" spans="1:17">
      <c r="A1189">
        <v>2</v>
      </c>
      <c r="B1189" t="s">
        <v>12096</v>
      </c>
      <c r="C1189" t="s">
        <v>12124</v>
      </c>
      <c r="D1189" t="s">
        <v>12135</v>
      </c>
      <c r="E1189" t="s">
        <v>3420</v>
      </c>
      <c r="F1189" t="s">
        <v>3421</v>
      </c>
      <c r="G1189" s="712">
        <v>0</v>
      </c>
      <c r="H1189">
        <v>0</v>
      </c>
      <c r="I1189" s="713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 s="724" t="str">
        <f>VLOOKUP($E1189,SP_2024_v28062025!$E$2:$M$1751,9,FALSE)</f>
        <v>PDA211</v>
      </c>
    </row>
    <row r="1190" spans="1:17">
      <c r="A1190">
        <v>2</v>
      </c>
      <c r="B1190" t="s">
        <v>12096</v>
      </c>
      <c r="C1190" t="s">
        <v>12124</v>
      </c>
      <c r="D1190" t="s">
        <v>12135</v>
      </c>
      <c r="E1190" t="s">
        <v>3422</v>
      </c>
      <c r="F1190" t="s">
        <v>3423</v>
      </c>
      <c r="G1190" s="712">
        <v>0</v>
      </c>
      <c r="H1190">
        <v>0</v>
      </c>
      <c r="I1190" s="713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 s="724" t="str">
        <f>VLOOKUP($E1190,SP_2024_v28062025!$E$2:$M$1751,9,FALSE)</f>
        <v>PDA211</v>
      </c>
    </row>
    <row r="1191" spans="1:17">
      <c r="A1191">
        <v>2</v>
      </c>
      <c r="B1191" t="s">
        <v>12096</v>
      </c>
      <c r="C1191" t="s">
        <v>12124</v>
      </c>
      <c r="D1191" t="s">
        <v>12135</v>
      </c>
      <c r="E1191" t="s">
        <v>3424</v>
      </c>
      <c r="F1191" t="s">
        <v>3425</v>
      </c>
      <c r="G1191" s="712">
        <v>0</v>
      </c>
      <c r="H1191">
        <v>0</v>
      </c>
      <c r="I1191" s="713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 s="724" t="str">
        <f>VLOOKUP($E1191,SP_2024_v28062025!$E$2:$M$1751,9,FALSE)</f>
        <v>PDA211</v>
      </c>
    </row>
    <row r="1192" spans="1:17">
      <c r="A1192">
        <v>2</v>
      </c>
      <c r="B1192" t="s">
        <v>12096</v>
      </c>
      <c r="C1192" t="s">
        <v>12124</v>
      </c>
      <c r="D1192" t="s">
        <v>12135</v>
      </c>
      <c r="E1192" t="s">
        <v>3426</v>
      </c>
      <c r="F1192" t="s">
        <v>3427</v>
      </c>
      <c r="G1192" s="712">
        <v>0</v>
      </c>
      <c r="H1192">
        <v>0</v>
      </c>
      <c r="I1192" s="713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 s="724" t="str">
        <f>VLOOKUP($E1192,SP_2024_v28062025!$E$2:$M$1751,9,FALSE)</f>
        <v>PDA211</v>
      </c>
    </row>
    <row r="1193" spans="1:17">
      <c r="A1193">
        <v>2</v>
      </c>
      <c r="B1193" t="s">
        <v>12096</v>
      </c>
      <c r="C1193" t="s">
        <v>12124</v>
      </c>
      <c r="D1193" t="s">
        <v>12135</v>
      </c>
      <c r="E1193" t="s">
        <v>3428</v>
      </c>
      <c r="F1193" t="s">
        <v>3429</v>
      </c>
      <c r="G1193" s="712">
        <v>0</v>
      </c>
      <c r="H1193">
        <v>0</v>
      </c>
      <c r="I1193" s="71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 s="724" t="str">
        <f>VLOOKUP($E1193,SP_2024_v28062025!$E$2:$M$1751,9,FALSE)</f>
        <v>PDA211</v>
      </c>
    </row>
    <row r="1194" spans="1:17" ht="15.75" thickBot="1">
      <c r="A1194">
        <v>2</v>
      </c>
      <c r="B1194" t="s">
        <v>12096</v>
      </c>
      <c r="C1194" t="s">
        <v>12124</v>
      </c>
      <c r="D1194" t="s">
        <v>12135</v>
      </c>
      <c r="E1194" t="s">
        <v>3430</v>
      </c>
      <c r="F1194" t="s">
        <v>3431</v>
      </c>
      <c r="G1194" s="712">
        <v>0</v>
      </c>
      <c r="H1194">
        <v>0</v>
      </c>
      <c r="I1194" s="713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 s="724" t="str">
        <f>VLOOKUP($E1194,SP_2024_v28062025!$E$2:$M$1751,9,FALSE)</f>
        <v>PDA211</v>
      </c>
    </row>
    <row r="1195" spans="1:17" ht="15.75" thickBot="1">
      <c r="A1195" s="727">
        <v>2</v>
      </c>
      <c r="B1195" s="727" t="s">
        <v>12096</v>
      </c>
      <c r="C1195" s="727" t="s">
        <v>12124</v>
      </c>
      <c r="D1195" s="727" t="s">
        <v>12136</v>
      </c>
      <c r="E1195" s="727"/>
      <c r="F1195" s="729" t="s">
        <v>3432</v>
      </c>
      <c r="G1195" s="738">
        <v>0</v>
      </c>
      <c r="H1195" s="738">
        <v>0</v>
      </c>
      <c r="I1195" s="738">
        <v>0</v>
      </c>
      <c r="J1195" s="738">
        <v>0</v>
      </c>
      <c r="K1195" s="738">
        <v>0</v>
      </c>
      <c r="L1195" s="738">
        <v>0</v>
      </c>
      <c r="M1195" s="738">
        <v>0</v>
      </c>
      <c r="N1195" s="738">
        <v>0</v>
      </c>
      <c r="O1195" s="738">
        <v>0</v>
      </c>
      <c r="P1195" s="738">
        <v>0</v>
      </c>
    </row>
    <row r="1196" spans="1:17">
      <c r="A1196">
        <v>2</v>
      </c>
      <c r="B1196" t="s">
        <v>12096</v>
      </c>
      <c r="C1196" t="s">
        <v>12124</v>
      </c>
      <c r="D1196" t="s">
        <v>12136</v>
      </c>
      <c r="E1196" t="s">
        <v>3436</v>
      </c>
      <c r="F1196" t="s">
        <v>3437</v>
      </c>
      <c r="G1196" s="712">
        <v>0</v>
      </c>
      <c r="H1196">
        <v>0</v>
      </c>
      <c r="I1196" s="713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 s="724" t="str">
        <f>VLOOKUP($E1196,SP_2024_v28062025!$E$2:$M$1751,9,FALSE)</f>
        <v>PDA212</v>
      </c>
    </row>
    <row r="1197" spans="1:17">
      <c r="A1197">
        <v>2</v>
      </c>
      <c r="B1197" t="s">
        <v>12096</v>
      </c>
      <c r="C1197" t="s">
        <v>12124</v>
      </c>
      <c r="D1197" t="s">
        <v>12136</v>
      </c>
      <c r="E1197" t="s">
        <v>3439</v>
      </c>
      <c r="F1197" t="s">
        <v>3440</v>
      </c>
      <c r="G1197" s="712">
        <v>0</v>
      </c>
      <c r="H1197">
        <v>0</v>
      </c>
      <c r="I1197" s="713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 s="724" t="str">
        <f>VLOOKUP($E1197,SP_2024_v28062025!$E$2:$M$1751,9,FALSE)</f>
        <v>PDA212</v>
      </c>
    </row>
    <row r="1198" spans="1:17">
      <c r="A1198">
        <v>2</v>
      </c>
      <c r="B1198" t="s">
        <v>12096</v>
      </c>
      <c r="C1198" t="s">
        <v>12124</v>
      </c>
      <c r="D1198" t="s">
        <v>12136</v>
      </c>
      <c r="E1198" t="s">
        <v>3442</v>
      </c>
      <c r="F1198" t="s">
        <v>3443</v>
      </c>
      <c r="G1198" s="712">
        <v>0</v>
      </c>
      <c r="H1198">
        <v>0</v>
      </c>
      <c r="I1198" s="713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 s="724" t="str">
        <f>VLOOKUP($E1198,SP_2024_v28062025!$E$2:$M$1751,9,FALSE)</f>
        <v>PDA212</v>
      </c>
    </row>
    <row r="1199" spans="1:17">
      <c r="A1199">
        <v>2</v>
      </c>
      <c r="B1199" t="s">
        <v>12096</v>
      </c>
      <c r="C1199" t="s">
        <v>12124</v>
      </c>
      <c r="D1199" t="s">
        <v>12136</v>
      </c>
      <c r="E1199" t="s">
        <v>3445</v>
      </c>
      <c r="F1199" t="s">
        <v>3446</v>
      </c>
      <c r="G1199" s="712">
        <v>0</v>
      </c>
      <c r="H1199">
        <v>0</v>
      </c>
      <c r="I1199" s="713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 s="724" t="str">
        <f>VLOOKUP($E1199,SP_2024_v28062025!$E$2:$M$1751,9,FALSE)</f>
        <v>PDA212</v>
      </c>
    </row>
    <row r="1200" spans="1:17">
      <c r="A1200">
        <v>2</v>
      </c>
      <c r="B1200" t="s">
        <v>12096</v>
      </c>
      <c r="C1200" t="s">
        <v>12124</v>
      </c>
      <c r="D1200" t="s">
        <v>12136</v>
      </c>
      <c r="E1200" t="s">
        <v>3448</v>
      </c>
      <c r="F1200" t="s">
        <v>3449</v>
      </c>
      <c r="G1200" s="712">
        <v>0</v>
      </c>
      <c r="H1200">
        <v>0</v>
      </c>
      <c r="I1200" s="713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 s="724" t="str">
        <f>VLOOKUP($E1200,SP_2024_v28062025!$E$2:$M$1751,9,FALSE)</f>
        <v>PDA212</v>
      </c>
    </row>
    <row r="1201" spans="1:17">
      <c r="A1201">
        <v>2</v>
      </c>
      <c r="B1201" t="s">
        <v>12096</v>
      </c>
      <c r="C1201" t="s">
        <v>12124</v>
      </c>
      <c r="D1201" t="s">
        <v>12136</v>
      </c>
      <c r="E1201" t="s">
        <v>3451</v>
      </c>
      <c r="F1201" t="s">
        <v>3452</v>
      </c>
      <c r="G1201" s="712">
        <v>0</v>
      </c>
      <c r="H1201">
        <v>0</v>
      </c>
      <c r="I1201" s="713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 s="724" t="str">
        <f>VLOOKUP($E1201,SP_2024_v28062025!$E$2:$M$1751,9,FALSE)</f>
        <v>PDA212</v>
      </c>
    </row>
    <row r="1202" spans="1:17">
      <c r="A1202">
        <v>2</v>
      </c>
      <c r="B1202" t="s">
        <v>12096</v>
      </c>
      <c r="C1202" t="s">
        <v>12124</v>
      </c>
      <c r="D1202" t="s">
        <v>12136</v>
      </c>
      <c r="E1202" t="s">
        <v>3454</v>
      </c>
      <c r="F1202" t="s">
        <v>3455</v>
      </c>
      <c r="G1202" s="712">
        <v>0</v>
      </c>
      <c r="H1202">
        <v>0</v>
      </c>
      <c r="I1202" s="713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 s="724" t="str">
        <f>VLOOKUP($E1202,SP_2024_v28062025!$E$2:$M$1751,9,FALSE)</f>
        <v>PDA212</v>
      </c>
    </row>
    <row r="1203" spans="1:17">
      <c r="A1203">
        <v>2</v>
      </c>
      <c r="B1203" t="s">
        <v>12096</v>
      </c>
      <c r="C1203" t="s">
        <v>12124</v>
      </c>
      <c r="D1203" t="s">
        <v>12136</v>
      </c>
      <c r="E1203" t="s">
        <v>3457</v>
      </c>
      <c r="F1203" t="s">
        <v>3458</v>
      </c>
      <c r="G1203" s="712">
        <v>0</v>
      </c>
      <c r="H1203">
        <v>0</v>
      </c>
      <c r="I1203" s="71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 s="724" t="str">
        <f>VLOOKUP($E1203,SP_2024_v28062025!$E$2:$M$1751,9,FALSE)</f>
        <v>PDA212</v>
      </c>
    </row>
    <row r="1204" spans="1:17">
      <c r="A1204">
        <v>2</v>
      </c>
      <c r="B1204" t="s">
        <v>12096</v>
      </c>
      <c r="C1204" t="s">
        <v>12124</v>
      </c>
      <c r="D1204" t="s">
        <v>12136</v>
      </c>
      <c r="E1204" t="s">
        <v>3460</v>
      </c>
      <c r="F1204" t="s">
        <v>3461</v>
      </c>
      <c r="G1204" s="712">
        <v>0</v>
      </c>
      <c r="H1204">
        <v>0</v>
      </c>
      <c r="I1204" s="713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 s="724" t="str">
        <f>VLOOKUP($E1204,SP_2024_v28062025!$E$2:$M$1751,9,FALSE)</f>
        <v>PDA212</v>
      </c>
    </row>
    <row r="1205" spans="1:17">
      <c r="A1205">
        <v>2</v>
      </c>
      <c r="B1205" t="s">
        <v>12096</v>
      </c>
      <c r="C1205" t="s">
        <v>12124</v>
      </c>
      <c r="D1205" t="s">
        <v>12136</v>
      </c>
      <c r="E1205" t="s">
        <v>3463</v>
      </c>
      <c r="F1205" t="s">
        <v>3464</v>
      </c>
      <c r="G1205" s="712">
        <v>0</v>
      </c>
      <c r="H1205">
        <v>0</v>
      </c>
      <c r="I1205" s="713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 s="724" t="str">
        <f>VLOOKUP($E1205,SP_2024_v28062025!$E$2:$M$1751,9,FALSE)</f>
        <v>PDA212</v>
      </c>
    </row>
    <row r="1206" spans="1:17">
      <c r="A1206">
        <v>2</v>
      </c>
      <c r="B1206" t="s">
        <v>12096</v>
      </c>
      <c r="C1206" t="s">
        <v>12124</v>
      </c>
      <c r="D1206" t="s">
        <v>12136</v>
      </c>
      <c r="E1206" t="s">
        <v>3466</v>
      </c>
      <c r="F1206" t="s">
        <v>3467</v>
      </c>
      <c r="G1206" s="712">
        <v>0</v>
      </c>
      <c r="H1206">
        <v>0</v>
      </c>
      <c r="I1206" s="713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 s="724" t="str">
        <f>VLOOKUP($E1206,SP_2024_v28062025!$E$2:$M$1751,9,FALSE)</f>
        <v>PDA212</v>
      </c>
    </row>
    <row r="1207" spans="1:17">
      <c r="A1207">
        <v>2</v>
      </c>
      <c r="B1207" t="s">
        <v>12096</v>
      </c>
      <c r="C1207" t="s">
        <v>12124</v>
      </c>
      <c r="D1207" t="s">
        <v>12136</v>
      </c>
      <c r="E1207" t="s">
        <v>3469</v>
      </c>
      <c r="F1207" t="s">
        <v>3470</v>
      </c>
      <c r="G1207" s="712">
        <v>0</v>
      </c>
      <c r="H1207">
        <v>0</v>
      </c>
      <c r="I1207" s="713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 s="724" t="str">
        <f>VLOOKUP($E1207,SP_2024_v28062025!$E$2:$M$1751,9,FALSE)</f>
        <v>PDA212</v>
      </c>
    </row>
    <row r="1208" spans="1:17">
      <c r="A1208">
        <v>2</v>
      </c>
      <c r="B1208" t="s">
        <v>12096</v>
      </c>
      <c r="C1208" t="s">
        <v>12124</v>
      </c>
      <c r="D1208" t="s">
        <v>12136</v>
      </c>
      <c r="E1208" t="s">
        <v>3472</v>
      </c>
      <c r="F1208" t="s">
        <v>3473</v>
      </c>
      <c r="G1208" s="712">
        <v>0</v>
      </c>
      <c r="H1208">
        <v>0</v>
      </c>
      <c r="I1208" s="713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 s="724" t="str">
        <f>VLOOKUP($E1208,SP_2024_v28062025!$E$2:$M$1751,9,FALSE)</f>
        <v>PDA212</v>
      </c>
    </row>
    <row r="1209" spans="1:17">
      <c r="A1209">
        <v>2</v>
      </c>
      <c r="B1209" t="s">
        <v>12096</v>
      </c>
      <c r="C1209" t="s">
        <v>12124</v>
      </c>
      <c r="D1209" t="s">
        <v>12136</v>
      </c>
      <c r="E1209" t="s">
        <v>3475</v>
      </c>
      <c r="F1209" t="s">
        <v>3476</v>
      </c>
      <c r="G1209" s="712">
        <v>0</v>
      </c>
      <c r="H1209">
        <v>0</v>
      </c>
      <c r="I1209" s="713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 s="724" t="str">
        <f>VLOOKUP($E1209,SP_2024_v28062025!$E$2:$M$1751,9,FALSE)</f>
        <v>PDA212</v>
      </c>
    </row>
    <row r="1210" spans="1:17">
      <c r="A1210">
        <v>2</v>
      </c>
      <c r="B1210" t="s">
        <v>12096</v>
      </c>
      <c r="C1210" t="s">
        <v>12124</v>
      </c>
      <c r="D1210" t="s">
        <v>12136</v>
      </c>
      <c r="E1210" t="s">
        <v>3478</v>
      </c>
      <c r="F1210" t="s">
        <v>3479</v>
      </c>
      <c r="G1210" s="712">
        <v>0</v>
      </c>
      <c r="H1210">
        <v>0</v>
      </c>
      <c r="I1210" s="713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 s="724" t="str">
        <f>VLOOKUP($E1210,SP_2024_v28062025!$E$2:$M$1751,9,FALSE)</f>
        <v>PDA212</v>
      </c>
    </row>
    <row r="1211" spans="1:17">
      <c r="A1211">
        <v>2</v>
      </c>
      <c r="B1211" t="s">
        <v>12096</v>
      </c>
      <c r="C1211" t="s">
        <v>12124</v>
      </c>
      <c r="D1211" t="s">
        <v>12136</v>
      </c>
      <c r="E1211" t="s">
        <v>3481</v>
      </c>
      <c r="F1211" t="s">
        <v>3482</v>
      </c>
      <c r="G1211" s="712">
        <v>0</v>
      </c>
      <c r="H1211">
        <v>0</v>
      </c>
      <c r="I1211" s="713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 s="724" t="str">
        <f>VLOOKUP($E1211,SP_2024_v28062025!$E$2:$M$1751,9,FALSE)</f>
        <v>PDA212</v>
      </c>
    </row>
    <row r="1212" spans="1:17">
      <c r="A1212">
        <v>2</v>
      </c>
      <c r="B1212" t="s">
        <v>12096</v>
      </c>
      <c r="C1212" t="s">
        <v>12124</v>
      </c>
      <c r="D1212" t="s">
        <v>12136</v>
      </c>
      <c r="E1212" t="s">
        <v>3484</v>
      </c>
      <c r="F1212" t="s">
        <v>3452</v>
      </c>
      <c r="G1212" s="712">
        <v>0</v>
      </c>
      <c r="H1212">
        <v>0</v>
      </c>
      <c r="I1212" s="713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 s="724" t="str">
        <f>VLOOKUP($E1212,SP_2024_v28062025!$E$2:$M$1751,9,FALSE)</f>
        <v>PDA212</v>
      </c>
    </row>
    <row r="1213" spans="1:17" ht="15.75" thickBot="1">
      <c r="A1213">
        <v>2</v>
      </c>
      <c r="B1213" t="s">
        <v>12096</v>
      </c>
      <c r="C1213" t="s">
        <v>12124</v>
      </c>
      <c r="D1213" t="s">
        <v>12136</v>
      </c>
      <c r="E1213" t="s">
        <v>3486</v>
      </c>
      <c r="F1213" t="s">
        <v>3487</v>
      </c>
      <c r="G1213" s="712">
        <v>0</v>
      </c>
      <c r="H1213">
        <v>0</v>
      </c>
      <c r="I1213" s="7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 s="724" t="str">
        <f>VLOOKUP($E1213,SP_2024_v28062025!$E$2:$M$1751,9,FALSE)</f>
        <v>PDA212</v>
      </c>
    </row>
    <row r="1214" spans="1:17" ht="15.75" thickBot="1">
      <c r="A1214" s="727">
        <v>2</v>
      </c>
      <c r="B1214" s="727" t="s">
        <v>12096</v>
      </c>
      <c r="C1214" s="727" t="s">
        <v>12124</v>
      </c>
      <c r="D1214" s="727" t="s">
        <v>12137</v>
      </c>
      <c r="E1214" s="727"/>
      <c r="F1214" s="729" t="s">
        <v>3493</v>
      </c>
      <c r="G1214" s="738">
        <v>0</v>
      </c>
      <c r="H1214" s="738">
        <v>0</v>
      </c>
      <c r="I1214" s="738">
        <v>0</v>
      </c>
      <c r="J1214" s="738">
        <v>0</v>
      </c>
      <c r="K1214" s="738">
        <v>0</v>
      </c>
      <c r="L1214" s="738">
        <v>0</v>
      </c>
      <c r="M1214" s="738">
        <v>0</v>
      </c>
      <c r="N1214" s="738">
        <v>0</v>
      </c>
      <c r="O1214" s="738">
        <v>0</v>
      </c>
      <c r="P1214" s="738">
        <v>0</v>
      </c>
    </row>
    <row r="1215" spans="1:17" ht="15.75" thickBot="1">
      <c r="A1215">
        <v>2</v>
      </c>
      <c r="B1215" t="s">
        <v>12096</v>
      </c>
      <c r="C1215" t="s">
        <v>12124</v>
      </c>
      <c r="D1215" t="s">
        <v>12137</v>
      </c>
      <c r="E1215" t="s">
        <v>3492</v>
      </c>
      <c r="F1215" t="s">
        <v>3493</v>
      </c>
      <c r="G1215" s="712">
        <v>0</v>
      </c>
      <c r="H1215">
        <v>0</v>
      </c>
      <c r="I1215" s="713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 s="724" t="str">
        <f>VLOOKUP($E1215,SP_2024_v28062025!$E$2:$M$1751,9,FALSE)</f>
        <v>PDA213</v>
      </c>
    </row>
    <row r="1216" spans="1:17" ht="15.75" thickBot="1">
      <c r="A1216" s="727">
        <v>2</v>
      </c>
      <c r="B1216" s="727" t="s">
        <v>12096</v>
      </c>
      <c r="C1216" s="727" t="s">
        <v>12138</v>
      </c>
      <c r="D1216" s="727"/>
      <c r="E1216" s="727"/>
      <c r="F1216" s="745" t="s">
        <v>3518</v>
      </c>
      <c r="G1216" s="738">
        <v>0</v>
      </c>
      <c r="H1216" s="739">
        <v>23407.75</v>
      </c>
      <c r="I1216" s="739">
        <v>23407.75</v>
      </c>
      <c r="J1216" s="739">
        <v>97078.82</v>
      </c>
      <c r="K1216" s="739">
        <v>73671.070000000007</v>
      </c>
      <c r="L1216" s="738">
        <v>0</v>
      </c>
      <c r="M1216" s="738">
        <v>0</v>
      </c>
      <c r="N1216" s="739">
        <v>97078.82</v>
      </c>
      <c r="O1216" s="739">
        <v>97078.82</v>
      </c>
      <c r="P1216" s="738">
        <v>0</v>
      </c>
    </row>
    <row r="1217" spans="1:17" ht="15.75" thickBot="1">
      <c r="A1217" s="727">
        <v>2</v>
      </c>
      <c r="B1217" s="727" t="s">
        <v>12096</v>
      </c>
      <c r="C1217" s="727" t="s">
        <v>12138</v>
      </c>
      <c r="D1217" s="727" t="s">
        <v>12139</v>
      </c>
      <c r="E1217" s="727"/>
      <c r="F1217" s="729" t="s">
        <v>3528</v>
      </c>
      <c r="G1217" s="738">
        <v>0</v>
      </c>
      <c r="H1217" s="739">
        <v>23407.75</v>
      </c>
      <c r="I1217" s="739">
        <v>23407.75</v>
      </c>
      <c r="J1217" s="739">
        <v>97078.82</v>
      </c>
      <c r="K1217" s="739">
        <v>73671.070000000007</v>
      </c>
      <c r="L1217" s="738">
        <v>0</v>
      </c>
      <c r="M1217" s="738">
        <v>0</v>
      </c>
      <c r="N1217" s="739">
        <v>97078.82</v>
      </c>
      <c r="O1217" s="739">
        <v>97078.82</v>
      </c>
      <c r="P1217" s="738">
        <v>0</v>
      </c>
    </row>
    <row r="1218" spans="1:17">
      <c r="A1218">
        <v>2</v>
      </c>
      <c r="B1218" t="s">
        <v>12096</v>
      </c>
      <c r="C1218" t="s">
        <v>12138</v>
      </c>
      <c r="D1218" t="s">
        <v>12139</v>
      </c>
      <c r="E1218" t="s">
        <v>3523</v>
      </c>
      <c r="F1218" t="s">
        <v>3524</v>
      </c>
      <c r="G1218" s="712">
        <v>0</v>
      </c>
      <c r="H1218">
        <v>0</v>
      </c>
      <c r="I1218" s="713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 s="724" t="str">
        <f>VLOOKUP($E1218,SP_2024_v28062025!$E$2:$M$1751,9,FALSE)</f>
        <v>PDA270</v>
      </c>
    </row>
    <row r="1219" spans="1:17" ht="15.75" thickBot="1">
      <c r="A1219">
        <v>2</v>
      </c>
      <c r="B1219" t="s">
        <v>12096</v>
      </c>
      <c r="C1219" t="s">
        <v>12138</v>
      </c>
      <c r="D1219" t="s">
        <v>12139</v>
      </c>
      <c r="E1219" t="s">
        <v>3527</v>
      </c>
      <c r="F1219" t="s">
        <v>3528</v>
      </c>
      <c r="G1219" s="712">
        <v>0</v>
      </c>
      <c r="H1219" s="711">
        <v>23407.75</v>
      </c>
      <c r="I1219" s="715">
        <v>23407.75</v>
      </c>
      <c r="J1219" s="711">
        <v>97078.82</v>
      </c>
      <c r="K1219" s="711">
        <v>73671.070000000007</v>
      </c>
      <c r="L1219">
        <v>0</v>
      </c>
      <c r="M1219">
        <v>0</v>
      </c>
      <c r="N1219" s="711">
        <v>97078.82</v>
      </c>
      <c r="O1219" s="711">
        <v>97078.82</v>
      </c>
      <c r="P1219">
        <v>0</v>
      </c>
      <c r="Q1219" s="724" t="str">
        <f>VLOOKUP($E1219,SP_2024_v28062025!$E$2:$M$1751,9,FALSE)</f>
        <v>PDA250</v>
      </c>
    </row>
    <row r="1220" spans="1:17" ht="15.75" thickBot="1">
      <c r="A1220" s="727">
        <v>2</v>
      </c>
      <c r="B1220" s="727" t="s">
        <v>12096</v>
      </c>
      <c r="C1220" s="727" t="s">
        <v>12138</v>
      </c>
      <c r="D1220" s="727" t="s">
        <v>12140</v>
      </c>
      <c r="E1220" s="727"/>
      <c r="F1220" s="729" t="s">
        <v>3532</v>
      </c>
      <c r="G1220" s="738">
        <v>0</v>
      </c>
      <c r="H1220" s="738">
        <v>0</v>
      </c>
      <c r="I1220" s="738">
        <v>0</v>
      </c>
      <c r="J1220" s="738">
        <v>0</v>
      </c>
      <c r="K1220" s="738">
        <v>0</v>
      </c>
      <c r="L1220" s="738">
        <v>0</v>
      </c>
      <c r="M1220" s="738">
        <v>0</v>
      </c>
      <c r="N1220" s="738">
        <v>0</v>
      </c>
      <c r="O1220" s="738">
        <v>0</v>
      </c>
      <c r="P1220" s="738">
        <v>0</v>
      </c>
    </row>
    <row r="1221" spans="1:17" ht="15.75" thickBot="1">
      <c r="A1221">
        <v>2</v>
      </c>
      <c r="B1221" t="s">
        <v>12096</v>
      </c>
      <c r="C1221" t="s">
        <v>12138</v>
      </c>
      <c r="D1221" t="s">
        <v>12140</v>
      </c>
      <c r="E1221" t="s">
        <v>3531</v>
      </c>
      <c r="F1221" t="s">
        <v>3532</v>
      </c>
      <c r="G1221" s="712">
        <v>0</v>
      </c>
      <c r="H1221">
        <v>0</v>
      </c>
      <c r="I1221" s="713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 s="724" t="str">
        <f>VLOOKUP($E1221,SP_2024_v28062025!$E$2:$M$1751,9,FALSE)</f>
        <v>PDA260</v>
      </c>
    </row>
    <row r="1222" spans="1:17" ht="15.75" thickBot="1">
      <c r="A1222" s="727">
        <v>2</v>
      </c>
      <c r="B1222" s="727" t="s">
        <v>12096</v>
      </c>
      <c r="C1222" s="727" t="s">
        <v>12138</v>
      </c>
      <c r="D1222" s="727" t="s">
        <v>12141</v>
      </c>
      <c r="E1222" s="727"/>
      <c r="F1222" s="729" t="s">
        <v>3538</v>
      </c>
      <c r="G1222" s="738">
        <v>0</v>
      </c>
      <c r="H1222" s="738">
        <v>0</v>
      </c>
      <c r="I1222" s="738">
        <v>0</v>
      </c>
      <c r="J1222" s="738">
        <v>0</v>
      </c>
      <c r="K1222" s="738">
        <v>0</v>
      </c>
      <c r="L1222" s="738">
        <v>0</v>
      </c>
      <c r="M1222" s="738">
        <v>0</v>
      </c>
      <c r="N1222" s="738">
        <v>0</v>
      </c>
      <c r="O1222" s="738">
        <v>0</v>
      </c>
      <c r="P1222" s="738">
        <v>0</v>
      </c>
    </row>
    <row r="1223" spans="1:17">
      <c r="A1223">
        <v>2</v>
      </c>
      <c r="B1223" t="s">
        <v>12096</v>
      </c>
      <c r="C1223" t="s">
        <v>12138</v>
      </c>
      <c r="D1223" t="s">
        <v>12141</v>
      </c>
      <c r="E1223" t="s">
        <v>3534</v>
      </c>
      <c r="F1223" t="s">
        <v>3535</v>
      </c>
      <c r="G1223" s="712">
        <v>0</v>
      </c>
      <c r="H1223">
        <v>0</v>
      </c>
      <c r="I1223" s="71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 s="724" t="str">
        <f>VLOOKUP($E1223,SP_2024_v28062025!$E$2:$M$1751,9,FALSE)</f>
        <v>PDA270</v>
      </c>
    </row>
    <row r="1224" spans="1:17" ht="15.75" thickBot="1">
      <c r="A1224">
        <v>2</v>
      </c>
      <c r="B1224" t="s">
        <v>12096</v>
      </c>
      <c r="C1224" t="s">
        <v>12138</v>
      </c>
      <c r="D1224" t="s">
        <v>12141</v>
      </c>
      <c r="E1224" t="s">
        <v>3537</v>
      </c>
      <c r="F1224" t="s">
        <v>3538</v>
      </c>
      <c r="G1224" s="712">
        <v>0</v>
      </c>
      <c r="H1224">
        <v>0</v>
      </c>
      <c r="I1224" s="713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 s="724" t="str">
        <f>VLOOKUP($E1224,SP_2024_v28062025!$E$2:$M$1751,9,FALSE)</f>
        <v>PDA270</v>
      </c>
    </row>
    <row r="1225" spans="1:17" ht="15.75" thickBot="1">
      <c r="A1225" s="727">
        <v>2</v>
      </c>
      <c r="B1225" s="727" t="s">
        <v>12096</v>
      </c>
      <c r="C1225" s="727" t="s">
        <v>12142</v>
      </c>
      <c r="D1225" s="727"/>
      <c r="E1225" s="727"/>
      <c r="F1225" s="745" t="s">
        <v>3539</v>
      </c>
      <c r="G1225" s="739">
        <v>1112320.6399999999</v>
      </c>
      <c r="H1225" s="739">
        <v>49251969.789999999</v>
      </c>
      <c r="I1225" s="739">
        <v>48139649.149999999</v>
      </c>
      <c r="J1225" s="739">
        <v>305033593.17000002</v>
      </c>
      <c r="K1225" s="739">
        <v>299265160.88</v>
      </c>
      <c r="L1225" s="738">
        <v>0</v>
      </c>
      <c r="M1225" s="738">
        <v>0</v>
      </c>
      <c r="N1225" s="739">
        <v>306145913.81</v>
      </c>
      <c r="O1225" s="739">
        <v>348517130.67000002</v>
      </c>
      <c r="P1225" s="739">
        <v>-42371216.859999999</v>
      </c>
    </row>
    <row r="1226" spans="1:17" ht="15.75" thickBot="1">
      <c r="A1226" s="727">
        <v>2</v>
      </c>
      <c r="B1226" s="727" t="s">
        <v>12096</v>
      </c>
      <c r="C1226" s="727" t="s">
        <v>12142</v>
      </c>
      <c r="D1226" s="727" t="s">
        <v>12143</v>
      </c>
      <c r="E1226" s="727"/>
      <c r="F1226" s="729" t="s">
        <v>12144</v>
      </c>
      <c r="G1226" s="738">
        <v>0</v>
      </c>
      <c r="H1226" s="739">
        <v>2099.7399999999998</v>
      </c>
      <c r="I1226" s="739">
        <v>2099.7399999999998</v>
      </c>
      <c r="J1226" s="738">
        <v>0</v>
      </c>
      <c r="K1226" s="738">
        <v>0</v>
      </c>
      <c r="L1226" s="738">
        <v>0</v>
      </c>
      <c r="M1226" s="738">
        <v>0</v>
      </c>
      <c r="N1226" s="738">
        <v>0</v>
      </c>
      <c r="O1226" s="739">
        <v>2099.7399999999998</v>
      </c>
      <c r="P1226" s="739">
        <v>-2099.7399999999998</v>
      </c>
    </row>
    <row r="1227" spans="1:17">
      <c r="A1227">
        <v>2</v>
      </c>
      <c r="B1227" t="s">
        <v>12096</v>
      </c>
      <c r="C1227" t="s">
        <v>12142</v>
      </c>
      <c r="D1227" t="s">
        <v>12143</v>
      </c>
      <c r="E1227" t="s">
        <v>3541</v>
      </c>
      <c r="F1227" t="s">
        <v>3542</v>
      </c>
      <c r="G1227" s="712">
        <v>0</v>
      </c>
      <c r="H1227">
        <v>0</v>
      </c>
      <c r="I1227" s="713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 s="724" t="str">
        <f>VLOOKUP($E1227,SP_2024_v28062025!$E$2:$M$1751,9,FALSE)</f>
        <v>PDA291</v>
      </c>
    </row>
    <row r="1228" spans="1:17">
      <c r="A1228">
        <v>2</v>
      </c>
      <c r="B1228" t="s">
        <v>12096</v>
      </c>
      <c r="C1228" t="s">
        <v>12142</v>
      </c>
      <c r="D1228" t="s">
        <v>12143</v>
      </c>
      <c r="E1228" t="s">
        <v>3546</v>
      </c>
      <c r="F1228" t="s">
        <v>3547</v>
      </c>
      <c r="G1228" s="712">
        <v>0</v>
      </c>
      <c r="H1228" s="711">
        <v>1156</v>
      </c>
      <c r="I1228" s="715">
        <v>1156</v>
      </c>
      <c r="J1228">
        <v>0</v>
      </c>
      <c r="K1228">
        <v>0</v>
      </c>
      <c r="L1228">
        <v>0</v>
      </c>
      <c r="M1228">
        <v>0</v>
      </c>
      <c r="N1228">
        <v>0</v>
      </c>
      <c r="O1228" s="711">
        <v>1156</v>
      </c>
      <c r="P1228" s="711">
        <v>-1156</v>
      </c>
      <c r="Q1228" s="724" t="str">
        <f>VLOOKUP($E1228,SP_2024_v28062025!$E$2:$M$1751,9,FALSE)</f>
        <v>PDA291</v>
      </c>
    </row>
    <row r="1229" spans="1:17">
      <c r="A1229">
        <v>2</v>
      </c>
      <c r="B1229" t="s">
        <v>12096</v>
      </c>
      <c r="C1229" t="s">
        <v>12142</v>
      </c>
      <c r="D1229" t="s">
        <v>12143</v>
      </c>
      <c r="E1229" t="s">
        <v>3549</v>
      </c>
      <c r="F1229" t="s">
        <v>3550</v>
      </c>
      <c r="G1229" s="712">
        <v>0</v>
      </c>
      <c r="H1229">
        <v>0</v>
      </c>
      <c r="I1229" s="713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 s="724" t="str">
        <f>VLOOKUP($E1229,SP_2024_v28062025!$E$2:$M$1751,9,FALSE)</f>
        <v>PDA291</v>
      </c>
    </row>
    <row r="1230" spans="1:17">
      <c r="A1230">
        <v>2</v>
      </c>
      <c r="B1230" t="s">
        <v>12096</v>
      </c>
      <c r="C1230" t="s">
        <v>12142</v>
      </c>
      <c r="D1230" t="s">
        <v>12143</v>
      </c>
      <c r="E1230" t="s">
        <v>3552</v>
      </c>
      <c r="F1230" t="s">
        <v>3553</v>
      </c>
      <c r="G1230" s="712">
        <v>0</v>
      </c>
      <c r="H1230">
        <v>943.74</v>
      </c>
      <c r="I1230" s="713">
        <v>943.74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943.74</v>
      </c>
      <c r="P1230">
        <v>-943.74</v>
      </c>
      <c r="Q1230" s="724" t="str">
        <f>VLOOKUP($E1230,SP_2024_v28062025!$E$2:$M$1751,9,FALSE)</f>
        <v>PDA291</v>
      </c>
    </row>
    <row r="1231" spans="1:17">
      <c r="A1231">
        <v>2</v>
      </c>
      <c r="B1231" t="s">
        <v>12096</v>
      </c>
      <c r="C1231" t="s">
        <v>12142</v>
      </c>
      <c r="D1231" t="s">
        <v>12143</v>
      </c>
      <c r="E1231" t="s">
        <v>3555</v>
      </c>
      <c r="F1231" t="s">
        <v>3556</v>
      </c>
      <c r="G1231" s="712">
        <v>0</v>
      </c>
      <c r="H1231">
        <v>0</v>
      </c>
      <c r="I1231" s="713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 s="724" t="str">
        <f>VLOOKUP($E1231,SP_2024_v28062025!$E$2:$M$1751,9,FALSE)</f>
        <v>PDA291</v>
      </c>
    </row>
    <row r="1232" spans="1:17">
      <c r="A1232">
        <v>2</v>
      </c>
      <c r="B1232" t="s">
        <v>12096</v>
      </c>
      <c r="C1232" t="s">
        <v>12142</v>
      </c>
      <c r="D1232" t="s">
        <v>12143</v>
      </c>
      <c r="E1232" t="s">
        <v>3558</v>
      </c>
      <c r="F1232" t="s">
        <v>3559</v>
      </c>
      <c r="G1232" s="712">
        <v>0</v>
      </c>
      <c r="H1232">
        <v>0</v>
      </c>
      <c r="I1232" s="713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 s="724" t="str">
        <f>VLOOKUP($E1232,SP_2024_v28062025!$E$2:$M$1751,9,FALSE)</f>
        <v>PDA291</v>
      </c>
    </row>
    <row r="1233" spans="1:17">
      <c r="A1233">
        <v>2</v>
      </c>
      <c r="B1233" t="s">
        <v>12096</v>
      </c>
      <c r="C1233" t="s">
        <v>12142</v>
      </c>
      <c r="D1233" t="s">
        <v>12143</v>
      </c>
      <c r="E1233" t="s">
        <v>3561</v>
      </c>
      <c r="F1233" t="s">
        <v>3562</v>
      </c>
      <c r="G1233" s="712">
        <v>0</v>
      </c>
      <c r="H1233">
        <v>0</v>
      </c>
      <c r="I1233" s="71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 s="724" t="str">
        <f>VLOOKUP($E1233,SP_2024_v28062025!$E$2:$M$1751,9,FALSE)</f>
        <v>PDA291</v>
      </c>
    </row>
    <row r="1234" spans="1:17">
      <c r="A1234">
        <v>2</v>
      </c>
      <c r="B1234" t="s">
        <v>12096</v>
      </c>
      <c r="C1234" t="s">
        <v>12142</v>
      </c>
      <c r="D1234" t="s">
        <v>12143</v>
      </c>
      <c r="E1234" t="s">
        <v>3566</v>
      </c>
      <c r="F1234" t="s">
        <v>3567</v>
      </c>
      <c r="G1234" s="712">
        <v>0</v>
      </c>
      <c r="H1234">
        <v>0</v>
      </c>
      <c r="I1234" s="713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 s="724" t="str">
        <f>VLOOKUP($E1234,SP_2024_v28062025!$E$2:$M$1751,9,FALSE)</f>
        <v>PDA292</v>
      </c>
    </row>
    <row r="1235" spans="1:17">
      <c r="A1235">
        <v>2</v>
      </c>
      <c r="B1235" t="s">
        <v>12096</v>
      </c>
      <c r="C1235" t="s">
        <v>12142</v>
      </c>
      <c r="D1235" t="s">
        <v>12143</v>
      </c>
      <c r="E1235" t="s">
        <v>3570</v>
      </c>
      <c r="F1235" t="s">
        <v>3571</v>
      </c>
      <c r="G1235" s="712">
        <v>0</v>
      </c>
      <c r="H1235">
        <v>0</v>
      </c>
      <c r="I1235" s="713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 s="724" t="str">
        <f>VLOOKUP($E1235,SP_2024_v28062025!$E$2:$M$1751,9,FALSE)</f>
        <v>PDA292</v>
      </c>
    </row>
    <row r="1236" spans="1:17">
      <c r="A1236">
        <v>2</v>
      </c>
      <c r="B1236" t="s">
        <v>12096</v>
      </c>
      <c r="C1236" t="s">
        <v>12142</v>
      </c>
      <c r="D1236" t="s">
        <v>12143</v>
      </c>
      <c r="E1236" t="s">
        <v>3572</v>
      </c>
      <c r="F1236" t="s">
        <v>3573</v>
      </c>
      <c r="G1236" s="712">
        <v>0</v>
      </c>
      <c r="H1236">
        <v>0</v>
      </c>
      <c r="I1236" s="713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 s="724" t="str">
        <f>VLOOKUP($E1236,SP_2024_v28062025!$E$2:$M$1751,9,FALSE)</f>
        <v>PDA292</v>
      </c>
    </row>
    <row r="1237" spans="1:17">
      <c r="A1237">
        <v>2</v>
      </c>
      <c r="B1237" t="s">
        <v>12096</v>
      </c>
      <c r="C1237" t="s">
        <v>12142</v>
      </c>
      <c r="D1237" t="s">
        <v>12143</v>
      </c>
      <c r="E1237" t="s">
        <v>3574</v>
      </c>
      <c r="F1237" t="s">
        <v>3575</v>
      </c>
      <c r="G1237" s="712">
        <v>0</v>
      </c>
      <c r="H1237">
        <v>0</v>
      </c>
      <c r="I1237" s="713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 s="724" t="str">
        <f>VLOOKUP($E1237,SP_2024_v28062025!$E$2:$M$1751,9,FALSE)</f>
        <v>PDA292</v>
      </c>
    </row>
    <row r="1238" spans="1:17">
      <c r="A1238">
        <v>2</v>
      </c>
      <c r="B1238" t="s">
        <v>12096</v>
      </c>
      <c r="C1238" t="s">
        <v>12142</v>
      </c>
      <c r="D1238" t="s">
        <v>12143</v>
      </c>
      <c r="E1238" t="s">
        <v>3576</v>
      </c>
      <c r="F1238" t="s">
        <v>3577</v>
      </c>
      <c r="G1238" s="712">
        <v>0</v>
      </c>
      <c r="H1238">
        <v>0</v>
      </c>
      <c r="I1238" s="713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 s="724" t="str">
        <f>VLOOKUP($E1238,SP_2024_v28062025!$E$2:$M$1751,9,FALSE)</f>
        <v>PDA292</v>
      </c>
    </row>
    <row r="1239" spans="1:17">
      <c r="A1239">
        <v>2</v>
      </c>
      <c r="B1239" t="s">
        <v>12096</v>
      </c>
      <c r="C1239" t="s">
        <v>12142</v>
      </c>
      <c r="D1239" t="s">
        <v>12143</v>
      </c>
      <c r="E1239" t="s">
        <v>3579</v>
      </c>
      <c r="F1239" t="s">
        <v>3580</v>
      </c>
      <c r="G1239" s="712">
        <v>0</v>
      </c>
      <c r="H1239">
        <v>0</v>
      </c>
      <c r="I1239" s="713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 s="724" t="str">
        <f>VLOOKUP($E1239,SP_2024_v28062025!$E$2:$M$1751,9,FALSE)</f>
        <v>PDA292</v>
      </c>
    </row>
    <row r="1240" spans="1:17">
      <c r="A1240">
        <v>2</v>
      </c>
      <c r="B1240" t="s">
        <v>12096</v>
      </c>
      <c r="C1240" t="s">
        <v>12142</v>
      </c>
      <c r="D1240" t="s">
        <v>12143</v>
      </c>
      <c r="E1240" t="s">
        <v>3581</v>
      </c>
      <c r="F1240" t="s">
        <v>3582</v>
      </c>
      <c r="G1240" s="712">
        <v>0</v>
      </c>
      <c r="H1240">
        <v>0</v>
      </c>
      <c r="I1240" s="713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 s="724" t="str">
        <f>VLOOKUP($E1240,SP_2024_v28062025!$E$2:$M$1751,9,FALSE)</f>
        <v>PDA292</v>
      </c>
    </row>
    <row r="1241" spans="1:17">
      <c r="A1241">
        <v>2</v>
      </c>
      <c r="B1241" t="s">
        <v>12096</v>
      </c>
      <c r="C1241" t="s">
        <v>12142</v>
      </c>
      <c r="D1241" t="s">
        <v>12143</v>
      </c>
      <c r="E1241" t="s">
        <v>3583</v>
      </c>
      <c r="F1241" t="s">
        <v>3584</v>
      </c>
      <c r="G1241" s="712">
        <v>0</v>
      </c>
      <c r="H1241">
        <v>0</v>
      </c>
      <c r="I1241" s="713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 s="724" t="str">
        <f>VLOOKUP($E1241,SP_2024_v28062025!$E$2:$M$1751,9,FALSE)</f>
        <v>PDA292</v>
      </c>
    </row>
    <row r="1242" spans="1:17" ht="15.75" thickBot="1">
      <c r="A1242">
        <v>2</v>
      </c>
      <c r="B1242" t="s">
        <v>12096</v>
      </c>
      <c r="C1242" t="s">
        <v>12142</v>
      </c>
      <c r="D1242" t="s">
        <v>12143</v>
      </c>
      <c r="E1242" t="s">
        <v>3564</v>
      </c>
      <c r="F1242" t="s">
        <v>3565</v>
      </c>
      <c r="G1242" s="712">
        <v>0</v>
      </c>
      <c r="H1242">
        <v>0</v>
      </c>
      <c r="I1242" s="713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 s="724" t="str">
        <f>VLOOKUP($E1242,SP_2024_v28062025!$E$2:$M$1751,9,FALSE)</f>
        <v>PDA291</v>
      </c>
    </row>
    <row r="1243" spans="1:17" ht="15.75" thickBot="1">
      <c r="A1243" s="727">
        <v>2</v>
      </c>
      <c r="B1243" s="727" t="s">
        <v>12096</v>
      </c>
      <c r="C1243" s="727" t="s">
        <v>12142</v>
      </c>
      <c r="D1243" s="727" t="s">
        <v>12145</v>
      </c>
      <c r="E1243" s="727"/>
      <c r="F1243" s="729" t="s">
        <v>12146</v>
      </c>
      <c r="G1243" s="739">
        <v>1112320.6399999999</v>
      </c>
      <c r="H1243" s="739">
        <v>49249870.049999997</v>
      </c>
      <c r="I1243" s="739">
        <v>48137549.409999996</v>
      </c>
      <c r="J1243" s="739">
        <v>305033593.17000002</v>
      </c>
      <c r="K1243" s="739">
        <v>299265160.88</v>
      </c>
      <c r="L1243" s="738">
        <v>0</v>
      </c>
      <c r="M1243" s="738">
        <v>0</v>
      </c>
      <c r="N1243" s="739">
        <v>306145913.81</v>
      </c>
      <c r="O1243" s="739">
        <v>348515030.93000001</v>
      </c>
      <c r="P1243" s="739">
        <v>-42369117.119999997</v>
      </c>
    </row>
    <row r="1244" spans="1:17">
      <c r="A1244">
        <v>2</v>
      </c>
      <c r="B1244" t="s">
        <v>12096</v>
      </c>
      <c r="C1244" t="s">
        <v>12142</v>
      </c>
      <c r="D1244" t="s">
        <v>12145</v>
      </c>
      <c r="E1244" t="s">
        <v>3587</v>
      </c>
      <c r="F1244" t="s">
        <v>3588</v>
      </c>
      <c r="G1244" s="714">
        <v>828646.67</v>
      </c>
      <c r="H1244" s="711">
        <v>31608830.760000002</v>
      </c>
      <c r="I1244" s="715">
        <v>30780184.09</v>
      </c>
      <c r="J1244" s="711">
        <v>283419451.93000001</v>
      </c>
      <c r="K1244" s="711">
        <v>281283656.77999997</v>
      </c>
      <c r="L1244">
        <v>0</v>
      </c>
      <c r="M1244">
        <v>0</v>
      </c>
      <c r="N1244" s="711">
        <v>284248098.60000002</v>
      </c>
      <c r="O1244" s="711">
        <v>312892487.54000002</v>
      </c>
      <c r="P1244" s="711">
        <v>-28644388.940000001</v>
      </c>
      <c r="Q1244" s="724" t="str">
        <f>VLOOKUP($E1244,SP_2024_v28062025!$E$2:$M$1751,9,FALSE)</f>
        <v>PDA301</v>
      </c>
    </row>
    <row r="1245" spans="1:17">
      <c r="A1245">
        <v>2</v>
      </c>
      <c r="B1245" t="s">
        <v>12096</v>
      </c>
      <c r="C1245" t="s">
        <v>12142</v>
      </c>
      <c r="D1245" t="s">
        <v>12145</v>
      </c>
      <c r="E1245" t="s">
        <v>3592</v>
      </c>
      <c r="F1245" t="s">
        <v>3593</v>
      </c>
      <c r="G1245" s="714">
        <v>30477.15</v>
      </c>
      <c r="H1245" s="711">
        <v>121787.62</v>
      </c>
      <c r="I1245" s="715">
        <v>91310.47</v>
      </c>
      <c r="J1245" s="711">
        <v>1214007.29</v>
      </c>
      <c r="K1245" s="711">
        <v>1175136.46</v>
      </c>
      <c r="L1245">
        <v>0</v>
      </c>
      <c r="M1245">
        <v>0</v>
      </c>
      <c r="N1245" s="711">
        <v>1244484.44</v>
      </c>
      <c r="O1245" s="711">
        <v>1296924.08</v>
      </c>
      <c r="P1245" s="711">
        <v>-52439.64</v>
      </c>
      <c r="Q1245" s="724" t="str">
        <f>VLOOKUP($E1245,SP_2024_v28062025!$E$2:$M$1751,9,FALSE)</f>
        <v>PDA301</v>
      </c>
    </row>
    <row r="1246" spans="1:17">
      <c r="A1246">
        <v>2</v>
      </c>
      <c r="B1246" t="s">
        <v>12096</v>
      </c>
      <c r="C1246" t="s">
        <v>12142</v>
      </c>
      <c r="D1246" t="s">
        <v>12145</v>
      </c>
      <c r="E1246" t="s">
        <v>3595</v>
      </c>
      <c r="F1246" t="s">
        <v>3596</v>
      </c>
      <c r="G1246" s="714">
        <v>2283.42</v>
      </c>
      <c r="H1246" s="711">
        <v>353680.23</v>
      </c>
      <c r="I1246" s="715">
        <v>351396.81</v>
      </c>
      <c r="J1246" s="711">
        <v>2110679.5499999998</v>
      </c>
      <c r="K1246" s="711">
        <v>2017832.25</v>
      </c>
      <c r="L1246">
        <v>0</v>
      </c>
      <c r="M1246">
        <v>0</v>
      </c>
      <c r="N1246" s="711">
        <v>2112962.9700000002</v>
      </c>
      <c r="O1246" s="711">
        <v>2371512.48</v>
      </c>
      <c r="P1246" s="711">
        <v>-258549.51</v>
      </c>
      <c r="Q1246" s="724" t="str">
        <f>VLOOKUP($E1246,SP_2024_v28062025!$E$2:$M$1751,9,FALSE)</f>
        <v>PDA301</v>
      </c>
    </row>
    <row r="1247" spans="1:17">
      <c r="A1247">
        <v>2</v>
      </c>
      <c r="B1247" t="s">
        <v>12096</v>
      </c>
      <c r="C1247" t="s">
        <v>12142</v>
      </c>
      <c r="D1247" t="s">
        <v>12145</v>
      </c>
      <c r="E1247" t="s">
        <v>3598</v>
      </c>
      <c r="F1247" t="s">
        <v>3599</v>
      </c>
      <c r="G1247" s="714">
        <v>2255.2600000000002</v>
      </c>
      <c r="H1247">
        <v>0</v>
      </c>
      <c r="I1247" s="715">
        <v>2255.2600000000002</v>
      </c>
      <c r="J1247" s="711">
        <v>3349868.44</v>
      </c>
      <c r="K1247" s="711">
        <v>329565.08</v>
      </c>
      <c r="L1247">
        <v>0</v>
      </c>
      <c r="M1247">
        <v>0</v>
      </c>
      <c r="N1247" s="711">
        <v>3352123.7</v>
      </c>
      <c r="O1247" s="711">
        <v>329565.08</v>
      </c>
      <c r="P1247" s="711">
        <v>3022558.62</v>
      </c>
      <c r="Q1247" s="724" t="str">
        <f>VLOOKUP($E1247,SP_2024_v28062025!$E$2:$M$1751,9,FALSE)</f>
        <v>PDA301</v>
      </c>
    </row>
    <row r="1248" spans="1:17">
      <c r="A1248">
        <v>2</v>
      </c>
      <c r="B1248" t="s">
        <v>12096</v>
      </c>
      <c r="C1248" t="s">
        <v>12142</v>
      </c>
      <c r="D1248" t="s">
        <v>12145</v>
      </c>
      <c r="E1248" t="s">
        <v>3600</v>
      </c>
      <c r="F1248" t="s">
        <v>3601</v>
      </c>
      <c r="G1248" s="712">
        <v>0</v>
      </c>
      <c r="H1248">
        <v>0</v>
      </c>
      <c r="I1248" s="713">
        <v>0</v>
      </c>
      <c r="J1248" s="711">
        <v>1010343.94</v>
      </c>
      <c r="K1248" s="711">
        <v>930363.08</v>
      </c>
      <c r="L1248">
        <v>0</v>
      </c>
      <c r="M1248">
        <v>0</v>
      </c>
      <c r="N1248" s="711">
        <v>1010343.94</v>
      </c>
      <c r="O1248" s="711">
        <v>930363.08</v>
      </c>
      <c r="P1248" s="711">
        <v>79980.86</v>
      </c>
      <c r="Q1248" s="724" t="str">
        <f>VLOOKUP($E1248,SP_2024_v28062025!$E$2:$M$1751,9,FALSE)</f>
        <v>PDA301</v>
      </c>
    </row>
    <row r="1249" spans="1:17">
      <c r="A1249">
        <v>2</v>
      </c>
      <c r="B1249" t="s">
        <v>12096</v>
      </c>
      <c r="C1249" t="s">
        <v>12142</v>
      </c>
      <c r="D1249" t="s">
        <v>12145</v>
      </c>
      <c r="E1249" t="s">
        <v>3602</v>
      </c>
      <c r="F1249" t="s">
        <v>3603</v>
      </c>
      <c r="G1249" s="712">
        <v>0</v>
      </c>
      <c r="H1249">
        <v>0</v>
      </c>
      <c r="I1249" s="713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 s="724" t="str">
        <f>VLOOKUP($E1249,SP_2024_v28062025!$E$2:$M$1751,9,FALSE)</f>
        <v>PDA300</v>
      </c>
    </row>
    <row r="1250" spans="1:17">
      <c r="A1250">
        <v>2</v>
      </c>
      <c r="B1250" t="s">
        <v>12096</v>
      </c>
      <c r="C1250" t="s">
        <v>12142</v>
      </c>
      <c r="D1250" t="s">
        <v>12145</v>
      </c>
      <c r="E1250" t="s">
        <v>3604</v>
      </c>
      <c r="F1250" t="s">
        <v>3601</v>
      </c>
      <c r="G1250" s="712">
        <v>0</v>
      </c>
      <c r="H1250">
        <v>0</v>
      </c>
      <c r="I1250" s="713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 s="724" t="str">
        <f>VLOOKUP($E1250,SP_2024_v28062025!$E$2:$M$1751,9,FALSE)</f>
        <v>PDA300</v>
      </c>
    </row>
    <row r="1251" spans="1:17">
      <c r="A1251">
        <v>2</v>
      </c>
      <c r="B1251" t="s">
        <v>12096</v>
      </c>
      <c r="C1251" t="s">
        <v>12142</v>
      </c>
      <c r="D1251" t="s">
        <v>12145</v>
      </c>
      <c r="E1251" t="s">
        <v>3605</v>
      </c>
      <c r="F1251" t="s">
        <v>3606</v>
      </c>
      <c r="G1251" s="712">
        <v>0</v>
      </c>
      <c r="H1251" s="711">
        <v>139098.70000000001</v>
      </c>
      <c r="I1251" s="715">
        <v>139098.70000000001</v>
      </c>
      <c r="J1251">
        <v>0</v>
      </c>
      <c r="K1251">
        <v>0</v>
      </c>
      <c r="L1251">
        <v>0</v>
      </c>
      <c r="M1251">
        <v>0</v>
      </c>
      <c r="N1251">
        <v>0</v>
      </c>
      <c r="O1251" s="711">
        <v>139098.70000000001</v>
      </c>
      <c r="P1251" s="711">
        <v>-139098.70000000001</v>
      </c>
      <c r="Q1251" s="724" t="str">
        <f>VLOOKUP($E1251,SP_2024_v28062025!$E$2:$M$1751,9,FALSE)</f>
        <v>PDA301</v>
      </c>
    </row>
    <row r="1252" spans="1:17">
      <c r="A1252">
        <v>2</v>
      </c>
      <c r="B1252" t="s">
        <v>12096</v>
      </c>
      <c r="C1252" t="s">
        <v>12142</v>
      </c>
      <c r="D1252" t="s">
        <v>12145</v>
      </c>
      <c r="E1252" t="s">
        <v>3608</v>
      </c>
      <c r="F1252" t="s">
        <v>3609</v>
      </c>
      <c r="G1252" s="712">
        <v>0</v>
      </c>
      <c r="H1252">
        <v>0</v>
      </c>
      <c r="I1252" s="713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 s="724" t="str">
        <f>VLOOKUP($E1252,SP_2024_v28062025!$E$2:$M$1751,9,FALSE)</f>
        <v>PDA301</v>
      </c>
    </row>
    <row r="1253" spans="1:17">
      <c r="A1253">
        <v>2</v>
      </c>
      <c r="B1253" t="s">
        <v>12096</v>
      </c>
      <c r="C1253" t="s">
        <v>12142</v>
      </c>
      <c r="D1253" t="s">
        <v>12145</v>
      </c>
      <c r="E1253" t="s">
        <v>3610</v>
      </c>
      <c r="F1253" t="s">
        <v>3611</v>
      </c>
      <c r="G1253" s="712">
        <v>0</v>
      </c>
      <c r="H1253" s="711">
        <v>72227.42</v>
      </c>
      <c r="I1253" s="715">
        <v>72227.42</v>
      </c>
      <c r="J1253">
        <v>141.36000000000001</v>
      </c>
      <c r="K1253">
        <v>0</v>
      </c>
      <c r="L1253">
        <v>0</v>
      </c>
      <c r="M1253">
        <v>0</v>
      </c>
      <c r="N1253">
        <v>141.36000000000001</v>
      </c>
      <c r="O1253" s="711">
        <v>72227.42</v>
      </c>
      <c r="P1253" s="711">
        <v>-72086.06</v>
      </c>
      <c r="Q1253" s="724" t="str">
        <f>VLOOKUP($E1253,SP_2024_v28062025!$E$2:$M$1751,9,FALSE)</f>
        <v>PDA301</v>
      </c>
    </row>
    <row r="1254" spans="1:17">
      <c r="A1254">
        <v>2</v>
      </c>
      <c r="B1254" t="s">
        <v>12096</v>
      </c>
      <c r="C1254" t="s">
        <v>12142</v>
      </c>
      <c r="D1254" t="s">
        <v>12145</v>
      </c>
      <c r="E1254" t="s">
        <v>3612</v>
      </c>
      <c r="F1254" t="s">
        <v>3613</v>
      </c>
      <c r="G1254" s="712">
        <v>0</v>
      </c>
      <c r="H1254" s="711">
        <v>10850.19</v>
      </c>
      <c r="I1254" s="715">
        <v>10850.19</v>
      </c>
      <c r="J1254">
        <v>50.78</v>
      </c>
      <c r="K1254">
        <v>0</v>
      </c>
      <c r="L1254">
        <v>0</v>
      </c>
      <c r="M1254">
        <v>0</v>
      </c>
      <c r="N1254">
        <v>50.78</v>
      </c>
      <c r="O1254" s="711">
        <v>10850.19</v>
      </c>
      <c r="P1254" s="711">
        <v>-10799.41</v>
      </c>
      <c r="Q1254" s="724" t="str">
        <f>VLOOKUP($E1254,SP_2024_v28062025!$E$2:$M$1751,9,FALSE)</f>
        <v>PDA301</v>
      </c>
    </row>
    <row r="1255" spans="1:17">
      <c r="A1255">
        <v>2</v>
      </c>
      <c r="B1255" t="s">
        <v>12096</v>
      </c>
      <c r="C1255" t="s">
        <v>12142</v>
      </c>
      <c r="D1255" t="s">
        <v>12145</v>
      </c>
      <c r="E1255" t="s">
        <v>3614</v>
      </c>
      <c r="F1255" t="s">
        <v>3615</v>
      </c>
      <c r="G1255" s="712">
        <v>0</v>
      </c>
      <c r="H1255">
        <v>0</v>
      </c>
      <c r="I1255" s="713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 s="724" t="str">
        <f>VLOOKUP($E1255,SP_2024_v28062025!$E$2:$M$1751,9,FALSE)</f>
        <v>PDA301</v>
      </c>
    </row>
    <row r="1256" spans="1:17">
      <c r="A1256">
        <v>2</v>
      </c>
      <c r="B1256" t="s">
        <v>12096</v>
      </c>
      <c r="C1256" t="s">
        <v>12142</v>
      </c>
      <c r="D1256" t="s">
        <v>12145</v>
      </c>
      <c r="E1256" t="s">
        <v>3616</v>
      </c>
      <c r="F1256" t="s">
        <v>3617</v>
      </c>
      <c r="G1256" s="712">
        <v>0</v>
      </c>
      <c r="H1256" s="711">
        <v>49425.93</v>
      </c>
      <c r="I1256" s="715">
        <v>49425.93</v>
      </c>
      <c r="J1256">
        <v>0</v>
      </c>
      <c r="K1256">
        <v>0</v>
      </c>
      <c r="L1256">
        <v>0</v>
      </c>
      <c r="M1256">
        <v>0</v>
      </c>
      <c r="N1256">
        <v>0</v>
      </c>
      <c r="O1256" s="711">
        <v>49425.93</v>
      </c>
      <c r="P1256" s="711">
        <v>-49425.93</v>
      </c>
      <c r="Q1256" s="724" t="str">
        <f>VLOOKUP($E1256,SP_2024_v28062025!$E$2:$M$1751,9,FALSE)</f>
        <v>PDA301</v>
      </c>
    </row>
    <row r="1257" spans="1:17">
      <c r="A1257">
        <v>2</v>
      </c>
      <c r="B1257" t="s">
        <v>12096</v>
      </c>
      <c r="C1257" t="s">
        <v>12142</v>
      </c>
      <c r="D1257" t="s">
        <v>12145</v>
      </c>
      <c r="E1257" t="s">
        <v>3618</v>
      </c>
      <c r="F1257" t="s">
        <v>3619</v>
      </c>
      <c r="G1257" s="712">
        <v>0</v>
      </c>
      <c r="H1257" s="711">
        <v>2373666.3199999998</v>
      </c>
      <c r="I1257" s="715">
        <v>2373666.3199999998</v>
      </c>
      <c r="J1257">
        <v>100.3</v>
      </c>
      <c r="K1257">
        <v>0</v>
      </c>
      <c r="L1257">
        <v>0</v>
      </c>
      <c r="M1257">
        <v>0</v>
      </c>
      <c r="N1257">
        <v>100.3</v>
      </c>
      <c r="O1257" s="711">
        <v>2373666.3199999998</v>
      </c>
      <c r="P1257" s="711">
        <v>-2373566.02</v>
      </c>
      <c r="Q1257" s="724" t="str">
        <f>VLOOKUP($E1257,SP_2024_v28062025!$E$2:$M$1751,9,FALSE)</f>
        <v>PDA301</v>
      </c>
    </row>
    <row r="1258" spans="1:17">
      <c r="A1258">
        <v>2</v>
      </c>
      <c r="B1258" t="s">
        <v>12096</v>
      </c>
      <c r="C1258" t="s">
        <v>12142</v>
      </c>
      <c r="D1258" t="s">
        <v>12145</v>
      </c>
      <c r="E1258" t="s">
        <v>3620</v>
      </c>
      <c r="F1258" t="s">
        <v>3621</v>
      </c>
      <c r="G1258" s="712">
        <v>0</v>
      </c>
      <c r="H1258" s="711">
        <v>250504.22</v>
      </c>
      <c r="I1258" s="715">
        <v>250504.22</v>
      </c>
      <c r="J1258">
        <v>0</v>
      </c>
      <c r="K1258">
        <v>0</v>
      </c>
      <c r="L1258">
        <v>0</v>
      </c>
      <c r="M1258">
        <v>0</v>
      </c>
      <c r="N1258">
        <v>0</v>
      </c>
      <c r="O1258" s="711">
        <v>250504.22</v>
      </c>
      <c r="P1258" s="711">
        <v>-250504.22</v>
      </c>
      <c r="Q1258" s="724" t="str">
        <f>VLOOKUP($E1258,SP_2024_v28062025!$E$2:$M$1751,9,FALSE)</f>
        <v>PDA301</v>
      </c>
    </row>
    <row r="1259" spans="1:17">
      <c r="A1259">
        <v>2</v>
      </c>
      <c r="B1259" t="s">
        <v>12096</v>
      </c>
      <c r="C1259" t="s">
        <v>12142</v>
      </c>
      <c r="D1259" t="s">
        <v>12145</v>
      </c>
      <c r="E1259" t="s">
        <v>3622</v>
      </c>
      <c r="F1259" t="s">
        <v>3623</v>
      </c>
      <c r="G1259" s="712">
        <v>0</v>
      </c>
      <c r="H1259" s="711">
        <v>232057.74</v>
      </c>
      <c r="I1259" s="715">
        <v>232057.74</v>
      </c>
      <c r="J1259">
        <v>41.48</v>
      </c>
      <c r="K1259">
        <v>0</v>
      </c>
      <c r="L1259">
        <v>0</v>
      </c>
      <c r="M1259">
        <v>0</v>
      </c>
      <c r="N1259">
        <v>41.48</v>
      </c>
      <c r="O1259" s="711">
        <v>232057.74</v>
      </c>
      <c r="P1259" s="711">
        <v>-232016.26</v>
      </c>
      <c r="Q1259" s="724" t="str">
        <f>VLOOKUP($E1259,SP_2024_v28062025!$E$2:$M$1751,9,FALSE)</f>
        <v>PDA301</v>
      </c>
    </row>
    <row r="1260" spans="1:17">
      <c r="A1260">
        <v>2</v>
      </c>
      <c r="B1260" t="s">
        <v>12096</v>
      </c>
      <c r="C1260" t="s">
        <v>12142</v>
      </c>
      <c r="D1260" t="s">
        <v>12145</v>
      </c>
      <c r="E1260" t="s">
        <v>3624</v>
      </c>
      <c r="F1260" t="s">
        <v>3625</v>
      </c>
      <c r="G1260" s="712">
        <v>0</v>
      </c>
      <c r="H1260" s="711">
        <v>16243.39</v>
      </c>
      <c r="I1260" s="715">
        <v>16243.39</v>
      </c>
      <c r="J1260">
        <v>50.15</v>
      </c>
      <c r="K1260">
        <v>0</v>
      </c>
      <c r="L1260">
        <v>0</v>
      </c>
      <c r="M1260">
        <v>0</v>
      </c>
      <c r="N1260">
        <v>50.15</v>
      </c>
      <c r="O1260" s="711">
        <v>16243.39</v>
      </c>
      <c r="P1260" s="711">
        <v>-16193.24</v>
      </c>
      <c r="Q1260" s="724" t="str">
        <f>VLOOKUP($E1260,SP_2024_v28062025!$E$2:$M$1751,9,FALSE)</f>
        <v>PDA301</v>
      </c>
    </row>
    <row r="1261" spans="1:17">
      <c r="A1261">
        <v>2</v>
      </c>
      <c r="B1261" t="s">
        <v>12096</v>
      </c>
      <c r="C1261" t="s">
        <v>12142</v>
      </c>
      <c r="D1261" t="s">
        <v>12145</v>
      </c>
      <c r="E1261" t="s">
        <v>3626</v>
      </c>
      <c r="F1261" t="s">
        <v>3627</v>
      </c>
      <c r="G1261" s="714">
        <v>36788.39</v>
      </c>
      <c r="H1261">
        <v>0</v>
      </c>
      <c r="I1261" s="715">
        <v>36788.39</v>
      </c>
      <c r="J1261">
        <v>0</v>
      </c>
      <c r="K1261">
        <v>0</v>
      </c>
      <c r="L1261">
        <v>0</v>
      </c>
      <c r="M1261">
        <v>0</v>
      </c>
      <c r="N1261" s="711">
        <v>36788.39</v>
      </c>
      <c r="O1261">
        <v>0</v>
      </c>
      <c r="P1261" s="711">
        <v>36788.39</v>
      </c>
      <c r="Q1261" s="724" t="str">
        <f>VLOOKUP($E1261,SP_2024_v28062025!$E$2:$M$1751,9,FALSE)</f>
        <v>PDA301</v>
      </c>
    </row>
    <row r="1262" spans="1:17">
      <c r="A1262">
        <v>2</v>
      </c>
      <c r="B1262" t="s">
        <v>12096</v>
      </c>
      <c r="C1262" t="s">
        <v>12142</v>
      </c>
      <c r="D1262" t="s">
        <v>12145</v>
      </c>
      <c r="E1262" t="s">
        <v>3628</v>
      </c>
      <c r="F1262" t="s">
        <v>3629</v>
      </c>
      <c r="G1262" s="712">
        <v>0</v>
      </c>
      <c r="H1262" s="711">
        <v>898827.01</v>
      </c>
      <c r="I1262" s="715">
        <v>898827.01</v>
      </c>
      <c r="J1262" s="711">
        <v>224319.73</v>
      </c>
      <c r="K1262">
        <v>0</v>
      </c>
      <c r="L1262">
        <v>0</v>
      </c>
      <c r="M1262">
        <v>0</v>
      </c>
      <c r="N1262" s="711">
        <v>224319.73</v>
      </c>
      <c r="O1262" s="711">
        <v>898827.01</v>
      </c>
      <c r="P1262" s="711">
        <v>-674507.28</v>
      </c>
      <c r="Q1262" s="724" t="str">
        <f>VLOOKUP($E1262,SP_2024_v28062025!$E$2:$M$1751,9,FALSE)</f>
        <v>PDA301</v>
      </c>
    </row>
    <row r="1263" spans="1:17">
      <c r="A1263">
        <v>2</v>
      </c>
      <c r="B1263" t="s">
        <v>12096</v>
      </c>
      <c r="C1263" t="s">
        <v>12142</v>
      </c>
      <c r="D1263" t="s">
        <v>12145</v>
      </c>
      <c r="E1263" t="s">
        <v>3630</v>
      </c>
      <c r="F1263" t="s">
        <v>3631</v>
      </c>
      <c r="G1263" s="714">
        <v>2947.68</v>
      </c>
      <c r="H1263">
        <v>0</v>
      </c>
      <c r="I1263" s="715">
        <v>2947.68</v>
      </c>
      <c r="J1263">
        <v>0</v>
      </c>
      <c r="K1263">
        <v>0</v>
      </c>
      <c r="L1263">
        <v>0</v>
      </c>
      <c r="M1263">
        <v>0</v>
      </c>
      <c r="N1263" s="711">
        <v>2947.68</v>
      </c>
      <c r="O1263">
        <v>0</v>
      </c>
      <c r="P1263" s="711">
        <v>2947.68</v>
      </c>
      <c r="Q1263" s="724" t="str">
        <f>VLOOKUP($E1263,SP_2024_v28062025!$E$2:$M$1751,9,FALSE)</f>
        <v>PDA301</v>
      </c>
    </row>
    <row r="1264" spans="1:17">
      <c r="A1264">
        <v>2</v>
      </c>
      <c r="B1264" t="s">
        <v>12096</v>
      </c>
      <c r="C1264" t="s">
        <v>12142</v>
      </c>
      <c r="D1264" t="s">
        <v>12145</v>
      </c>
      <c r="E1264" t="s">
        <v>3632</v>
      </c>
      <c r="F1264" t="s">
        <v>3633</v>
      </c>
      <c r="G1264" s="712">
        <v>0</v>
      </c>
      <c r="H1264" s="711">
        <v>13122670.52</v>
      </c>
      <c r="I1264" s="715">
        <v>13122670.52</v>
      </c>
      <c r="J1264" s="711">
        <v>13382413.75</v>
      </c>
      <c r="K1264">
        <v>0</v>
      </c>
      <c r="L1264">
        <v>0</v>
      </c>
      <c r="M1264">
        <v>0</v>
      </c>
      <c r="N1264" s="711">
        <v>13382413.75</v>
      </c>
      <c r="O1264" s="711">
        <v>13122670.52</v>
      </c>
      <c r="P1264" s="711">
        <v>259743.23</v>
      </c>
      <c r="Q1264" s="724" t="str">
        <f>VLOOKUP($E1264,SP_2024_v28062025!$E$2:$M$1751,9,FALSE)</f>
        <v>PDA301</v>
      </c>
    </row>
    <row r="1265" spans="1:17">
      <c r="A1265">
        <v>2</v>
      </c>
      <c r="B1265" t="s">
        <v>12096</v>
      </c>
      <c r="C1265" t="s">
        <v>12142</v>
      </c>
      <c r="D1265" t="s">
        <v>12145</v>
      </c>
      <c r="E1265" t="s">
        <v>3634</v>
      </c>
      <c r="F1265" t="s">
        <v>3635</v>
      </c>
      <c r="G1265" s="712">
        <v>0</v>
      </c>
      <c r="H1265">
        <v>0</v>
      </c>
      <c r="I1265" s="713">
        <v>0</v>
      </c>
      <c r="J1265" s="711">
        <v>18566.16</v>
      </c>
      <c r="K1265" s="711">
        <v>13319685.16</v>
      </c>
      <c r="L1265">
        <v>0</v>
      </c>
      <c r="M1265">
        <v>0</v>
      </c>
      <c r="N1265" s="711">
        <v>18566.16</v>
      </c>
      <c r="O1265" s="711">
        <v>13319685.16</v>
      </c>
      <c r="P1265" s="711">
        <v>-13301119</v>
      </c>
      <c r="Q1265" s="724" t="str">
        <f>VLOOKUP($E1265,SP_2024_v28062025!$E$2:$M$1751,9,FALSE)</f>
        <v>PDA301</v>
      </c>
    </row>
    <row r="1266" spans="1:17">
      <c r="A1266">
        <v>2</v>
      </c>
      <c r="B1266" t="s">
        <v>12096</v>
      </c>
      <c r="C1266" t="s">
        <v>12142</v>
      </c>
      <c r="D1266" t="s">
        <v>12145</v>
      </c>
      <c r="E1266" t="s">
        <v>3636</v>
      </c>
      <c r="F1266" t="s">
        <v>3637</v>
      </c>
      <c r="G1266" s="712">
        <v>0</v>
      </c>
      <c r="H1266">
        <v>0</v>
      </c>
      <c r="I1266" s="713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 s="724" t="str">
        <f>VLOOKUP($E1266,SP_2024_v28062025!$E$2:$M$1751,9,FALSE)</f>
        <v>PDA302</v>
      </c>
    </row>
    <row r="1267" spans="1:17">
      <c r="A1267">
        <v>2</v>
      </c>
      <c r="B1267" t="s">
        <v>12096</v>
      </c>
      <c r="C1267" t="s">
        <v>12142</v>
      </c>
      <c r="D1267" t="s">
        <v>12145</v>
      </c>
      <c r="E1267" t="s">
        <v>3639</v>
      </c>
      <c r="F1267" t="s">
        <v>3640</v>
      </c>
      <c r="G1267" s="712">
        <v>0</v>
      </c>
      <c r="H1267">
        <v>0</v>
      </c>
      <c r="I1267" s="713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 s="724" t="str">
        <f>VLOOKUP($E1267,SP_2024_v28062025!$E$2:$M$1751,9,FALSE)</f>
        <v>PDA302</v>
      </c>
    </row>
    <row r="1268" spans="1:17">
      <c r="A1268">
        <v>2</v>
      </c>
      <c r="B1268" t="s">
        <v>12096</v>
      </c>
      <c r="C1268" t="s">
        <v>12142</v>
      </c>
      <c r="D1268" t="s">
        <v>12145</v>
      </c>
      <c r="E1268" t="s">
        <v>3641</v>
      </c>
      <c r="F1268" t="s">
        <v>3642</v>
      </c>
      <c r="G1268" s="712">
        <v>0</v>
      </c>
      <c r="H1268">
        <v>0</v>
      </c>
      <c r="I1268" s="713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 s="724" t="str">
        <f>VLOOKUP($E1268,SP_2024_v28062025!$E$2:$M$1751,9,FALSE)</f>
        <v>PDA302</v>
      </c>
    </row>
    <row r="1269" spans="1:17">
      <c r="A1269">
        <v>2</v>
      </c>
      <c r="B1269" t="s">
        <v>12096</v>
      </c>
      <c r="C1269" t="s">
        <v>12142</v>
      </c>
      <c r="D1269" t="s">
        <v>12145</v>
      </c>
      <c r="E1269" t="s">
        <v>3644</v>
      </c>
      <c r="F1269" t="s">
        <v>3645</v>
      </c>
      <c r="G1269" s="712">
        <v>0</v>
      </c>
      <c r="H1269">
        <v>0</v>
      </c>
      <c r="I1269" s="713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 s="724" t="str">
        <f>VLOOKUP($E1269,SP_2024_v28062025!$E$2:$M$1751,9,FALSE)</f>
        <v>PDA302</v>
      </c>
    </row>
    <row r="1270" spans="1:17">
      <c r="A1270">
        <v>2</v>
      </c>
      <c r="B1270" t="s">
        <v>12096</v>
      </c>
      <c r="C1270" t="s">
        <v>12142</v>
      </c>
      <c r="D1270" t="s">
        <v>12145</v>
      </c>
      <c r="E1270" t="s">
        <v>3647</v>
      </c>
      <c r="F1270" t="s">
        <v>3648</v>
      </c>
      <c r="G1270" s="712">
        <v>0</v>
      </c>
      <c r="H1270">
        <v>0</v>
      </c>
      <c r="I1270" s="713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 s="724" t="str">
        <f>VLOOKUP($E1270,SP_2024_v28062025!$E$2:$M$1751,9,FALSE)</f>
        <v>PDA302</v>
      </c>
    </row>
    <row r="1271" spans="1:17">
      <c r="A1271">
        <v>2</v>
      </c>
      <c r="B1271" t="s">
        <v>12096</v>
      </c>
      <c r="C1271" t="s">
        <v>12142</v>
      </c>
      <c r="D1271" t="s">
        <v>12145</v>
      </c>
      <c r="E1271" t="s">
        <v>3649</v>
      </c>
      <c r="F1271" t="s">
        <v>3650</v>
      </c>
      <c r="G1271" s="714">
        <v>208922.07</v>
      </c>
      <c r="H1271">
        <v>0</v>
      </c>
      <c r="I1271" s="715">
        <v>208922.07</v>
      </c>
      <c r="J1271">
        <v>0</v>
      </c>
      <c r="K1271" s="711">
        <v>208922.07</v>
      </c>
      <c r="L1271">
        <v>0</v>
      </c>
      <c r="M1271">
        <v>0</v>
      </c>
      <c r="N1271" s="711">
        <v>208922.07</v>
      </c>
      <c r="O1271" s="711">
        <v>208922.07</v>
      </c>
      <c r="P1271">
        <v>0</v>
      </c>
      <c r="Q1271" s="724" t="str">
        <f>VLOOKUP($E1271,SP_2024_v28062025!$E$2:$M$1751,9,FALSE)</f>
        <v>PDA302</v>
      </c>
    </row>
    <row r="1272" spans="1:17" ht="15.75" thickBot="1">
      <c r="A1272">
        <v>2</v>
      </c>
      <c r="B1272" t="s">
        <v>12096</v>
      </c>
      <c r="C1272" t="s">
        <v>12142</v>
      </c>
      <c r="D1272" t="s">
        <v>12145</v>
      </c>
      <c r="E1272" t="s">
        <v>3651</v>
      </c>
      <c r="F1272" t="s">
        <v>3652</v>
      </c>
      <c r="G1272" s="712">
        <v>0</v>
      </c>
      <c r="H1272">
        <v>0</v>
      </c>
      <c r="I1272" s="713">
        <v>0</v>
      </c>
      <c r="J1272" s="711">
        <v>303558.31</v>
      </c>
      <c r="K1272">
        <v>0</v>
      </c>
      <c r="L1272">
        <v>0</v>
      </c>
      <c r="M1272">
        <v>0</v>
      </c>
      <c r="N1272" s="711">
        <v>303558.31</v>
      </c>
      <c r="O1272">
        <v>0</v>
      </c>
      <c r="P1272" s="711">
        <v>303558.31</v>
      </c>
      <c r="Q1272" s="724" t="str">
        <f>VLOOKUP($E1272,SP_2024_v28062025!$E$2:$M$1751,9,FALSE)</f>
        <v>PDA302</v>
      </c>
    </row>
    <row r="1273" spans="1:17" ht="15.75" thickBot="1">
      <c r="A1273" s="727">
        <v>2</v>
      </c>
      <c r="B1273" s="727" t="s">
        <v>12096</v>
      </c>
      <c r="C1273" s="727" t="s">
        <v>12147</v>
      </c>
      <c r="D1273" s="727"/>
      <c r="E1273" s="727"/>
      <c r="F1273" s="745" t="s">
        <v>3653</v>
      </c>
      <c r="G1273" s="739">
        <v>1019.55</v>
      </c>
      <c r="H1273" s="739">
        <v>235228.31</v>
      </c>
      <c r="I1273" s="739">
        <v>234208.76</v>
      </c>
      <c r="J1273" s="739">
        <v>1772218387.2</v>
      </c>
      <c r="K1273" s="739">
        <v>1784441456.3199999</v>
      </c>
      <c r="L1273" s="738">
        <v>0</v>
      </c>
      <c r="M1273" s="738">
        <v>0</v>
      </c>
      <c r="N1273" s="739">
        <v>1772219406.75</v>
      </c>
      <c r="O1273" s="739">
        <v>1784676684.6300001</v>
      </c>
      <c r="P1273" s="739">
        <v>-12457277.880000001</v>
      </c>
    </row>
    <row r="1274" spans="1:17" ht="15.75" thickBot="1">
      <c r="A1274" s="727">
        <v>2</v>
      </c>
      <c r="B1274" s="727" t="s">
        <v>12096</v>
      </c>
      <c r="C1274" s="727" t="s">
        <v>12147</v>
      </c>
      <c r="D1274" s="727" t="s">
        <v>12148</v>
      </c>
      <c r="E1274" s="727"/>
      <c r="F1274" s="729" t="s">
        <v>3653</v>
      </c>
      <c r="G1274" s="739">
        <v>1019.55</v>
      </c>
      <c r="H1274" s="739">
        <v>235228.31</v>
      </c>
      <c r="I1274" s="739">
        <v>234208.76</v>
      </c>
      <c r="J1274" s="739">
        <v>1772218387.2</v>
      </c>
      <c r="K1274" s="739">
        <v>1784441456.3199999</v>
      </c>
      <c r="L1274" s="738">
        <v>0</v>
      </c>
      <c r="M1274" s="738">
        <v>0</v>
      </c>
      <c r="N1274" s="739">
        <v>1772219406.75</v>
      </c>
      <c r="O1274" s="739">
        <v>1784676684.6300001</v>
      </c>
      <c r="P1274" s="739">
        <v>-12457277.880000001</v>
      </c>
    </row>
    <row r="1275" spans="1:17">
      <c r="A1275">
        <v>2</v>
      </c>
      <c r="B1275" t="s">
        <v>12096</v>
      </c>
      <c r="C1275" t="s">
        <v>12147</v>
      </c>
      <c r="D1275" t="s">
        <v>12148</v>
      </c>
      <c r="E1275" t="s">
        <v>3655</v>
      </c>
      <c r="F1275" t="s">
        <v>3653</v>
      </c>
      <c r="G1275" s="712">
        <v>0</v>
      </c>
      <c r="H1275">
        <v>0</v>
      </c>
      <c r="I1275" s="713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 s="724" t="str">
        <f>VLOOKUP($E1275,SP_2024_v28062025!$E$2:$M$1751,9,FALSE)</f>
        <v>PDA310</v>
      </c>
    </row>
    <row r="1276" spans="1:17">
      <c r="A1276">
        <v>2</v>
      </c>
      <c r="B1276" t="s">
        <v>12096</v>
      </c>
      <c r="C1276" t="s">
        <v>12147</v>
      </c>
      <c r="D1276" t="s">
        <v>12148</v>
      </c>
      <c r="E1276" t="s">
        <v>3656</v>
      </c>
      <c r="F1276" t="s">
        <v>3657</v>
      </c>
      <c r="G1276" s="712">
        <v>0</v>
      </c>
      <c r="H1276">
        <v>0</v>
      </c>
      <c r="I1276" s="713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 s="724" t="str">
        <f>VLOOKUP($E1276,SP_2024_v28062025!$E$2:$M$1751,9,FALSE)</f>
        <v>PDA310</v>
      </c>
    </row>
    <row r="1277" spans="1:17">
      <c r="A1277">
        <v>2</v>
      </c>
      <c r="B1277" t="s">
        <v>12096</v>
      </c>
      <c r="C1277" t="s">
        <v>12147</v>
      </c>
      <c r="D1277" t="s">
        <v>12148</v>
      </c>
      <c r="E1277" t="s">
        <v>3658</v>
      </c>
      <c r="F1277" t="s">
        <v>3659</v>
      </c>
      <c r="G1277" s="712">
        <v>0</v>
      </c>
      <c r="H1277">
        <v>0</v>
      </c>
      <c r="I1277" s="713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 s="724" t="str">
        <f>VLOOKUP($E1277,SP_2024_v28062025!$E$2:$M$1751,9,FALSE)</f>
        <v>PDA310</v>
      </c>
    </row>
    <row r="1278" spans="1:17">
      <c r="A1278">
        <v>2</v>
      </c>
      <c r="B1278" t="s">
        <v>12096</v>
      </c>
      <c r="C1278" t="s">
        <v>12147</v>
      </c>
      <c r="D1278" t="s">
        <v>12148</v>
      </c>
      <c r="E1278" t="s">
        <v>3660</v>
      </c>
      <c r="F1278" t="s">
        <v>3661</v>
      </c>
      <c r="G1278" s="712">
        <v>0</v>
      </c>
      <c r="H1278">
        <v>234.82</v>
      </c>
      <c r="I1278" s="713">
        <v>234.82</v>
      </c>
      <c r="J1278" s="711">
        <v>704708163.14999998</v>
      </c>
      <c r="K1278" s="711">
        <v>704708181.80999994</v>
      </c>
      <c r="L1278">
        <v>0</v>
      </c>
      <c r="M1278">
        <v>0</v>
      </c>
      <c r="N1278" s="711">
        <v>704708163.14999998</v>
      </c>
      <c r="O1278" s="711">
        <v>704708416.63</v>
      </c>
      <c r="P1278">
        <v>-253.48</v>
      </c>
      <c r="Q1278" s="724" t="str">
        <f>VLOOKUP($E1278,SP_2024_v28062025!$E$2:$M$1751,9,FALSE)</f>
        <v>PDA310</v>
      </c>
    </row>
    <row r="1279" spans="1:17">
      <c r="A1279">
        <v>2</v>
      </c>
      <c r="B1279" t="s">
        <v>12096</v>
      </c>
      <c r="C1279" t="s">
        <v>12147</v>
      </c>
      <c r="D1279" t="s">
        <v>12148</v>
      </c>
      <c r="E1279" t="s">
        <v>3662</v>
      </c>
      <c r="F1279" t="s">
        <v>3663</v>
      </c>
      <c r="G1279" s="714">
        <v>1019.55</v>
      </c>
      <c r="H1279">
        <v>0</v>
      </c>
      <c r="I1279" s="715">
        <v>1019.55</v>
      </c>
      <c r="J1279" s="711">
        <v>303185228.67000002</v>
      </c>
      <c r="K1279" s="711">
        <v>303185208.00999999</v>
      </c>
      <c r="L1279">
        <v>0</v>
      </c>
      <c r="M1279">
        <v>0</v>
      </c>
      <c r="N1279" s="711">
        <v>303186248.22000003</v>
      </c>
      <c r="O1279" s="711">
        <v>303185208.00999999</v>
      </c>
      <c r="P1279" s="711">
        <v>1040.21</v>
      </c>
      <c r="Q1279" s="724" t="str">
        <f>VLOOKUP($E1279,SP_2024_v28062025!$E$2:$M$1751,9,FALSE)</f>
        <v>PDA310</v>
      </c>
    </row>
    <row r="1280" spans="1:17">
      <c r="A1280">
        <v>2</v>
      </c>
      <c r="B1280" t="s">
        <v>12096</v>
      </c>
      <c r="C1280" t="s">
        <v>12147</v>
      </c>
      <c r="D1280" t="s">
        <v>12148</v>
      </c>
      <c r="E1280" t="s">
        <v>3664</v>
      </c>
      <c r="F1280" t="s">
        <v>3665</v>
      </c>
      <c r="G1280" s="712">
        <v>0</v>
      </c>
      <c r="H1280" s="711">
        <v>233673.61</v>
      </c>
      <c r="I1280" s="715">
        <v>233673.61</v>
      </c>
      <c r="J1280" s="711">
        <v>329050594.75999999</v>
      </c>
      <c r="K1280" s="711">
        <v>341273665.88</v>
      </c>
      <c r="L1280">
        <v>0</v>
      </c>
      <c r="M1280">
        <v>0</v>
      </c>
      <c r="N1280" s="711">
        <v>329050594.75999999</v>
      </c>
      <c r="O1280" s="711">
        <v>341507339.49000001</v>
      </c>
      <c r="P1280" s="711">
        <v>-12456744.73</v>
      </c>
      <c r="Q1280" s="724" t="str">
        <f>VLOOKUP($E1280,SP_2024_v28062025!$E$2:$M$1751,9,FALSE)</f>
        <v>PDA310</v>
      </c>
    </row>
    <row r="1281" spans="1:17">
      <c r="A1281">
        <v>2</v>
      </c>
      <c r="B1281" t="s">
        <v>12096</v>
      </c>
      <c r="C1281" t="s">
        <v>12147</v>
      </c>
      <c r="D1281" t="s">
        <v>12148</v>
      </c>
      <c r="E1281" t="s">
        <v>3666</v>
      </c>
      <c r="F1281" t="s">
        <v>3667</v>
      </c>
      <c r="G1281" s="712">
        <v>0</v>
      </c>
      <c r="H1281">
        <v>0</v>
      </c>
      <c r="I1281" s="713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 s="724" t="str">
        <f>VLOOKUP($E1281,SP_2024_v28062025!$E$2:$M$1751,9,FALSE)</f>
        <v>PDA310</v>
      </c>
    </row>
    <row r="1282" spans="1:17" ht="15.75" thickBot="1">
      <c r="A1282">
        <v>2</v>
      </c>
      <c r="B1282" t="s">
        <v>12096</v>
      </c>
      <c r="C1282" t="s">
        <v>12147</v>
      </c>
      <c r="D1282" t="s">
        <v>12148</v>
      </c>
      <c r="E1282" t="s">
        <v>3668</v>
      </c>
      <c r="F1282" t="s">
        <v>3669</v>
      </c>
      <c r="G1282" s="712">
        <v>0</v>
      </c>
      <c r="H1282" s="711">
        <v>1319.88</v>
      </c>
      <c r="I1282" s="715">
        <v>1319.88</v>
      </c>
      <c r="J1282" s="711">
        <v>435274400.62</v>
      </c>
      <c r="K1282" s="711">
        <v>435274400.62</v>
      </c>
      <c r="L1282">
        <v>0</v>
      </c>
      <c r="M1282">
        <v>0</v>
      </c>
      <c r="N1282" s="711">
        <v>435274400.62</v>
      </c>
      <c r="O1282" s="711">
        <v>435275720.5</v>
      </c>
      <c r="P1282" s="711">
        <v>-1319.88</v>
      </c>
      <c r="Q1282" s="724" t="str">
        <f>VLOOKUP($E1282,SP_2024_v28062025!$E$2:$M$1751,9,FALSE)</f>
        <v>PDA310</v>
      </c>
    </row>
    <row r="1283" spans="1:17" ht="15.75" thickBot="1">
      <c r="A1283" s="727">
        <v>2</v>
      </c>
      <c r="B1283" s="727" t="s">
        <v>12096</v>
      </c>
      <c r="C1283" s="727" t="s">
        <v>12149</v>
      </c>
      <c r="D1283" s="727"/>
      <c r="E1283" s="727"/>
      <c r="F1283" s="745" t="s">
        <v>3670</v>
      </c>
      <c r="G1283" s="739">
        <v>935074.91</v>
      </c>
      <c r="H1283" s="739">
        <v>9088672.25</v>
      </c>
      <c r="I1283" s="739">
        <v>8153597.3399999999</v>
      </c>
      <c r="J1283" s="739">
        <v>71145315.530000001</v>
      </c>
      <c r="K1283" s="739">
        <v>70183732.810000002</v>
      </c>
      <c r="L1283" s="738">
        <v>0</v>
      </c>
      <c r="M1283" s="738">
        <v>0</v>
      </c>
      <c r="N1283" s="739">
        <v>72080390.439999998</v>
      </c>
      <c r="O1283" s="739">
        <v>79272405.060000002</v>
      </c>
      <c r="P1283" s="739">
        <v>-7192014.6200000001</v>
      </c>
    </row>
    <row r="1284" spans="1:17" ht="15.75" thickBot="1">
      <c r="A1284" s="727">
        <v>2</v>
      </c>
      <c r="B1284" s="727" t="s">
        <v>12096</v>
      </c>
      <c r="C1284" s="727" t="s">
        <v>12149</v>
      </c>
      <c r="D1284" s="727" t="s">
        <v>12150</v>
      </c>
      <c r="E1284" s="727"/>
      <c r="F1284" s="729" t="s">
        <v>3670</v>
      </c>
      <c r="G1284" s="739">
        <v>935074.91</v>
      </c>
      <c r="H1284" s="739">
        <v>9088672.25</v>
      </c>
      <c r="I1284" s="739">
        <v>8153597.3399999999</v>
      </c>
      <c r="J1284" s="739">
        <v>71145315.530000001</v>
      </c>
      <c r="K1284" s="739">
        <v>70183732.810000002</v>
      </c>
      <c r="L1284" s="738">
        <v>0</v>
      </c>
      <c r="M1284" s="738">
        <v>0</v>
      </c>
      <c r="N1284" s="739">
        <v>72080390.439999998</v>
      </c>
      <c r="O1284" s="739">
        <v>79272405.060000002</v>
      </c>
      <c r="P1284" s="739">
        <v>-7192014.6200000001</v>
      </c>
    </row>
    <row r="1285" spans="1:17">
      <c r="A1285">
        <v>2</v>
      </c>
      <c r="B1285" t="s">
        <v>12096</v>
      </c>
      <c r="C1285" t="s">
        <v>12149</v>
      </c>
      <c r="D1285" t="s">
        <v>12150</v>
      </c>
      <c r="E1285" t="s">
        <v>3673</v>
      </c>
      <c r="F1285" t="s">
        <v>3674</v>
      </c>
      <c r="G1285" s="712">
        <v>0</v>
      </c>
      <c r="H1285">
        <v>0</v>
      </c>
      <c r="I1285" s="713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 s="724" t="str">
        <f>VLOOKUP($E1285,SP_2024_v28062025!$E$2:$M$1751,9,FALSE)</f>
        <v>PDA320</v>
      </c>
    </row>
    <row r="1286" spans="1:17">
      <c r="A1286">
        <v>2</v>
      </c>
      <c r="B1286" t="s">
        <v>12096</v>
      </c>
      <c r="C1286" t="s">
        <v>12149</v>
      </c>
      <c r="D1286" t="s">
        <v>12150</v>
      </c>
      <c r="E1286" t="s">
        <v>3676</v>
      </c>
      <c r="F1286" t="s">
        <v>3677</v>
      </c>
      <c r="G1286" s="712">
        <v>0</v>
      </c>
      <c r="H1286" s="711">
        <v>7053.74</v>
      </c>
      <c r="I1286" s="715">
        <v>7053.74</v>
      </c>
      <c r="J1286" s="711">
        <v>104895.13</v>
      </c>
      <c r="K1286" s="711">
        <v>93036.37</v>
      </c>
      <c r="L1286">
        <v>0</v>
      </c>
      <c r="M1286">
        <v>0</v>
      </c>
      <c r="N1286" s="711">
        <v>104895.13</v>
      </c>
      <c r="O1286" s="711">
        <v>100090.11</v>
      </c>
      <c r="P1286" s="711">
        <v>4805.0200000000004</v>
      </c>
      <c r="Q1286" s="724" t="str">
        <f>VLOOKUP($E1286,SP_2024_v28062025!$E$2:$M$1751,9,FALSE)</f>
        <v>PDA320</v>
      </c>
    </row>
    <row r="1287" spans="1:17">
      <c r="A1287">
        <v>2</v>
      </c>
      <c r="B1287" t="s">
        <v>12096</v>
      </c>
      <c r="C1287" t="s">
        <v>12149</v>
      </c>
      <c r="D1287" t="s">
        <v>12150</v>
      </c>
      <c r="E1287" t="s">
        <v>3679</v>
      </c>
      <c r="F1287" t="s">
        <v>3680</v>
      </c>
      <c r="G1287" s="712">
        <v>0</v>
      </c>
      <c r="H1287" s="711">
        <v>4180327.24</v>
      </c>
      <c r="I1287" s="715">
        <v>4180327.24</v>
      </c>
      <c r="J1287" s="711">
        <v>30774050.539999999</v>
      </c>
      <c r="K1287" s="711">
        <v>32493917.52</v>
      </c>
      <c r="L1287">
        <v>0</v>
      </c>
      <c r="M1287">
        <v>0</v>
      </c>
      <c r="N1287" s="711">
        <v>30774050.539999999</v>
      </c>
      <c r="O1287" s="711">
        <v>36674244.759999998</v>
      </c>
      <c r="P1287" s="711">
        <v>-5900194.2199999997</v>
      </c>
      <c r="Q1287" s="724" t="str">
        <f>VLOOKUP($E1287,SP_2024_v28062025!$E$2:$M$1751,9,FALSE)</f>
        <v>PDA320</v>
      </c>
    </row>
    <row r="1288" spans="1:17">
      <c r="A1288">
        <v>2</v>
      </c>
      <c r="B1288" t="s">
        <v>12096</v>
      </c>
      <c r="C1288" t="s">
        <v>12149</v>
      </c>
      <c r="D1288" t="s">
        <v>12150</v>
      </c>
      <c r="E1288" t="s">
        <v>3682</v>
      </c>
      <c r="F1288" t="s">
        <v>3683</v>
      </c>
      <c r="G1288" s="712">
        <v>0</v>
      </c>
      <c r="H1288" s="711">
        <v>48558.14</v>
      </c>
      <c r="I1288" s="715">
        <v>48558.14</v>
      </c>
      <c r="J1288" s="711">
        <v>482278.94</v>
      </c>
      <c r="K1288" s="711">
        <v>398160.05</v>
      </c>
      <c r="L1288">
        <v>0</v>
      </c>
      <c r="M1288">
        <v>0</v>
      </c>
      <c r="N1288" s="711">
        <v>482278.94</v>
      </c>
      <c r="O1288" s="711">
        <v>446718.19</v>
      </c>
      <c r="P1288" s="711">
        <v>35560.75</v>
      </c>
      <c r="Q1288" s="724" t="str">
        <f>VLOOKUP($E1288,SP_2024_v28062025!$E$2:$M$1751,9,FALSE)</f>
        <v>PDA320</v>
      </c>
    </row>
    <row r="1289" spans="1:17">
      <c r="A1289">
        <v>2</v>
      </c>
      <c r="B1289" t="s">
        <v>12096</v>
      </c>
      <c r="C1289" t="s">
        <v>12149</v>
      </c>
      <c r="D1289" t="s">
        <v>12150</v>
      </c>
      <c r="E1289" t="s">
        <v>3684</v>
      </c>
      <c r="F1289" t="s">
        <v>3685</v>
      </c>
      <c r="G1289" s="712">
        <v>0</v>
      </c>
      <c r="H1289" s="711">
        <v>42374.82</v>
      </c>
      <c r="I1289" s="715">
        <v>42374.82</v>
      </c>
      <c r="J1289" s="711">
        <v>394666.08</v>
      </c>
      <c r="K1289" s="711">
        <v>326674.8</v>
      </c>
      <c r="L1289">
        <v>0</v>
      </c>
      <c r="M1289">
        <v>0</v>
      </c>
      <c r="N1289" s="711">
        <v>394666.08</v>
      </c>
      <c r="O1289" s="711">
        <v>369049.62</v>
      </c>
      <c r="P1289" s="711">
        <v>25616.46</v>
      </c>
      <c r="Q1289" s="724" t="str">
        <f>VLOOKUP($E1289,SP_2024_v28062025!$E$2:$M$1751,9,FALSE)</f>
        <v>PDA320</v>
      </c>
    </row>
    <row r="1290" spans="1:17">
      <c r="A1290">
        <v>2</v>
      </c>
      <c r="B1290" t="s">
        <v>12096</v>
      </c>
      <c r="C1290" t="s">
        <v>12149</v>
      </c>
      <c r="D1290" t="s">
        <v>12150</v>
      </c>
      <c r="E1290" t="s">
        <v>3687</v>
      </c>
      <c r="F1290" t="s">
        <v>3688</v>
      </c>
      <c r="G1290" s="712">
        <v>0</v>
      </c>
      <c r="H1290">
        <v>0</v>
      </c>
      <c r="I1290" s="713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 s="724" t="str">
        <f>VLOOKUP($E1290,SP_2024_v28062025!$E$2:$M$1751,9,FALSE)</f>
        <v>PDA320</v>
      </c>
    </row>
    <row r="1291" spans="1:17">
      <c r="A1291">
        <v>2</v>
      </c>
      <c r="B1291" t="s">
        <v>12096</v>
      </c>
      <c r="C1291" t="s">
        <v>12149</v>
      </c>
      <c r="D1291" t="s">
        <v>12150</v>
      </c>
      <c r="E1291" t="s">
        <v>3689</v>
      </c>
      <c r="F1291" t="s">
        <v>3690</v>
      </c>
      <c r="G1291" s="712">
        <v>0</v>
      </c>
      <c r="H1291" s="711">
        <v>1059017.77</v>
      </c>
      <c r="I1291" s="715">
        <v>1059017.77</v>
      </c>
      <c r="J1291" s="711">
        <v>25417934.600000001</v>
      </c>
      <c r="K1291" s="711">
        <v>25511837.34</v>
      </c>
      <c r="L1291">
        <v>0</v>
      </c>
      <c r="M1291">
        <v>0</v>
      </c>
      <c r="N1291" s="711">
        <v>25417934.600000001</v>
      </c>
      <c r="O1291" s="711">
        <v>26570855.109999999</v>
      </c>
      <c r="P1291" s="711">
        <v>-1152920.51</v>
      </c>
      <c r="Q1291" s="724" t="str">
        <f>VLOOKUP($E1291,SP_2024_v28062025!$E$2:$M$1751,9,FALSE)</f>
        <v>PDA320</v>
      </c>
    </row>
    <row r="1292" spans="1:17">
      <c r="A1292">
        <v>2</v>
      </c>
      <c r="B1292" t="s">
        <v>12096</v>
      </c>
      <c r="C1292" t="s">
        <v>12149</v>
      </c>
      <c r="D1292" t="s">
        <v>12150</v>
      </c>
      <c r="E1292" t="s">
        <v>3691</v>
      </c>
      <c r="F1292" t="s">
        <v>3692</v>
      </c>
      <c r="G1292" s="712">
        <v>0</v>
      </c>
      <c r="H1292" s="711">
        <v>3318.34</v>
      </c>
      <c r="I1292" s="715">
        <v>3318.34</v>
      </c>
      <c r="J1292" s="711">
        <v>103009</v>
      </c>
      <c r="K1292" s="711">
        <v>103461.44</v>
      </c>
      <c r="L1292">
        <v>0</v>
      </c>
      <c r="M1292">
        <v>0</v>
      </c>
      <c r="N1292" s="711">
        <v>103009</v>
      </c>
      <c r="O1292" s="711">
        <v>106779.78</v>
      </c>
      <c r="P1292" s="711">
        <v>-3770.78</v>
      </c>
      <c r="Q1292" s="724" t="str">
        <f>VLOOKUP($E1292,SP_2024_v28062025!$E$2:$M$1751,9,FALSE)</f>
        <v>PDA320</v>
      </c>
    </row>
    <row r="1293" spans="1:17">
      <c r="A1293">
        <v>2</v>
      </c>
      <c r="B1293" t="s">
        <v>12096</v>
      </c>
      <c r="C1293" t="s">
        <v>12149</v>
      </c>
      <c r="D1293" t="s">
        <v>12150</v>
      </c>
      <c r="E1293" t="s">
        <v>3693</v>
      </c>
      <c r="F1293" t="s">
        <v>3694</v>
      </c>
      <c r="G1293" s="712">
        <v>0</v>
      </c>
      <c r="H1293">
        <v>0</v>
      </c>
      <c r="I1293" s="71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 s="724" t="str">
        <f>VLOOKUP($E1293,SP_2024_v28062025!$E$2:$M$1751,9,FALSE)</f>
        <v>PDA320</v>
      </c>
    </row>
    <row r="1294" spans="1:17">
      <c r="A1294">
        <v>2</v>
      </c>
      <c r="B1294" t="s">
        <v>12096</v>
      </c>
      <c r="C1294" t="s">
        <v>12149</v>
      </c>
      <c r="D1294" t="s">
        <v>12150</v>
      </c>
      <c r="E1294" t="s">
        <v>3695</v>
      </c>
      <c r="F1294" t="s">
        <v>3696</v>
      </c>
      <c r="G1294" s="712">
        <v>0</v>
      </c>
      <c r="H1294" s="711">
        <v>1887384.43</v>
      </c>
      <c r="I1294" s="715">
        <v>1887384.43</v>
      </c>
      <c r="J1294" s="711">
        <v>9942543.4299999997</v>
      </c>
      <c r="K1294" s="711">
        <v>11084035.539999999</v>
      </c>
      <c r="L1294">
        <v>0</v>
      </c>
      <c r="M1294">
        <v>0</v>
      </c>
      <c r="N1294" s="711">
        <v>9942543.4299999997</v>
      </c>
      <c r="O1294" s="711">
        <v>12971419.970000001</v>
      </c>
      <c r="P1294" s="711">
        <v>-3028876.54</v>
      </c>
      <c r="Q1294" s="724" t="str">
        <f>VLOOKUP($E1294,SP_2024_v28062025!$E$2:$M$1751,9,FALSE)</f>
        <v>PDA320</v>
      </c>
    </row>
    <row r="1295" spans="1:17">
      <c r="A1295">
        <v>2</v>
      </c>
      <c r="B1295" t="s">
        <v>12096</v>
      </c>
      <c r="C1295" t="s">
        <v>12149</v>
      </c>
      <c r="D1295" t="s">
        <v>12150</v>
      </c>
      <c r="E1295" t="s">
        <v>3698</v>
      </c>
      <c r="F1295" t="s">
        <v>3699</v>
      </c>
      <c r="G1295" s="712">
        <v>0</v>
      </c>
      <c r="H1295" s="711">
        <v>991741.63</v>
      </c>
      <c r="I1295" s="715">
        <v>991741.63</v>
      </c>
      <c r="J1295" s="711">
        <v>1794276.68</v>
      </c>
      <c r="K1295">
        <v>0</v>
      </c>
      <c r="L1295">
        <v>0</v>
      </c>
      <c r="M1295">
        <v>0</v>
      </c>
      <c r="N1295" s="711">
        <v>1794276.68</v>
      </c>
      <c r="O1295" s="711">
        <v>991741.63</v>
      </c>
      <c r="P1295" s="711">
        <v>802535.05</v>
      </c>
      <c r="Q1295" s="724" t="str">
        <f>VLOOKUP($E1295,SP_2024_v28062025!$E$2:$M$1751,9,FALSE)</f>
        <v>PDA320</v>
      </c>
    </row>
    <row r="1296" spans="1:17">
      <c r="A1296">
        <v>2</v>
      </c>
      <c r="B1296" t="s">
        <v>12096</v>
      </c>
      <c r="C1296" t="s">
        <v>12149</v>
      </c>
      <c r="D1296" t="s">
        <v>12150</v>
      </c>
      <c r="E1296" t="s">
        <v>3700</v>
      </c>
      <c r="F1296" t="s">
        <v>3701</v>
      </c>
      <c r="G1296" s="714">
        <v>935074.91</v>
      </c>
      <c r="H1296" s="711">
        <v>855318.21</v>
      </c>
      <c r="I1296" s="715">
        <v>79756.7</v>
      </c>
      <c r="J1296" s="711">
        <v>76499.320000000007</v>
      </c>
      <c r="K1296" s="711">
        <v>76081.320000000007</v>
      </c>
      <c r="L1296">
        <v>0</v>
      </c>
      <c r="M1296">
        <v>0</v>
      </c>
      <c r="N1296" s="711">
        <v>1011574.23</v>
      </c>
      <c r="O1296" s="711">
        <v>931399.53</v>
      </c>
      <c r="P1296" s="711">
        <v>80174.7</v>
      </c>
      <c r="Q1296" s="724" t="str">
        <f>VLOOKUP($E1296,SP_2024_v28062025!$E$2:$M$1751,9,FALSE)</f>
        <v>PDA320</v>
      </c>
    </row>
    <row r="1297" spans="1:17">
      <c r="A1297">
        <v>2</v>
      </c>
      <c r="B1297" t="s">
        <v>12096</v>
      </c>
      <c r="C1297" t="s">
        <v>12149</v>
      </c>
      <c r="D1297" t="s">
        <v>12150</v>
      </c>
      <c r="E1297" t="s">
        <v>3703</v>
      </c>
      <c r="F1297" t="s">
        <v>3704</v>
      </c>
      <c r="G1297" s="712">
        <v>0</v>
      </c>
      <c r="H1297" s="711">
        <v>4351.16</v>
      </c>
      <c r="I1297" s="715">
        <v>4351.16</v>
      </c>
      <c r="J1297" s="711">
        <v>828947.07</v>
      </c>
      <c r="K1297">
        <v>0</v>
      </c>
      <c r="L1297">
        <v>0</v>
      </c>
      <c r="M1297">
        <v>0</v>
      </c>
      <c r="N1297" s="711">
        <v>828947.07</v>
      </c>
      <c r="O1297" s="711">
        <v>4351.16</v>
      </c>
      <c r="P1297" s="711">
        <v>824595.91</v>
      </c>
      <c r="Q1297" s="724" t="str">
        <f>VLOOKUP($E1297,SP_2024_v28062025!$E$2:$M$1751,9,FALSE)</f>
        <v>PDA320</v>
      </c>
    </row>
    <row r="1298" spans="1:17" ht="15.75" thickBot="1">
      <c r="A1298">
        <v>2</v>
      </c>
      <c r="B1298" t="s">
        <v>12096</v>
      </c>
      <c r="C1298" t="s">
        <v>12149</v>
      </c>
      <c r="D1298" t="s">
        <v>12150</v>
      </c>
      <c r="E1298" t="s">
        <v>3705</v>
      </c>
      <c r="F1298" t="s">
        <v>3706</v>
      </c>
      <c r="G1298" s="712">
        <v>0</v>
      </c>
      <c r="H1298" s="711">
        <v>9226.77</v>
      </c>
      <c r="I1298" s="715">
        <v>9226.77</v>
      </c>
      <c r="J1298" s="711">
        <v>1226214.74</v>
      </c>
      <c r="K1298" s="711">
        <v>96528.43</v>
      </c>
      <c r="L1298">
        <v>0</v>
      </c>
      <c r="M1298">
        <v>0</v>
      </c>
      <c r="N1298" s="711">
        <v>1226214.74</v>
      </c>
      <c r="O1298" s="711">
        <v>105755.2</v>
      </c>
      <c r="P1298" s="711">
        <v>1120459.54</v>
      </c>
      <c r="Q1298" s="724" t="str">
        <f>VLOOKUP($E1298,SP_2024_v28062025!$E$2:$M$1751,9,FALSE)</f>
        <v>PDA320</v>
      </c>
    </row>
    <row r="1299" spans="1:17" ht="15.75" thickBot="1">
      <c r="A1299" s="727">
        <v>2</v>
      </c>
      <c r="B1299" s="727" t="s">
        <v>12096</v>
      </c>
      <c r="C1299" s="727" t="s">
        <v>12151</v>
      </c>
      <c r="D1299" s="727"/>
      <c r="E1299" s="727"/>
      <c r="F1299" s="745" t="s">
        <v>3707</v>
      </c>
      <c r="G1299" s="739">
        <v>50698.2</v>
      </c>
      <c r="H1299" s="739">
        <v>8630550.6400000006</v>
      </c>
      <c r="I1299" s="739">
        <v>8579852.4399999995</v>
      </c>
      <c r="J1299" s="739">
        <v>44544620.060000002</v>
      </c>
      <c r="K1299" s="739">
        <v>48313141.789999999</v>
      </c>
      <c r="L1299" s="738">
        <v>0</v>
      </c>
      <c r="M1299" s="738">
        <v>0</v>
      </c>
      <c r="N1299" s="739">
        <v>44595318.259999998</v>
      </c>
      <c r="O1299" s="739">
        <v>56943692.43</v>
      </c>
      <c r="P1299" s="739">
        <v>-12348374.17</v>
      </c>
    </row>
    <row r="1300" spans="1:17" ht="15.75" thickBot="1">
      <c r="A1300" s="727">
        <v>2</v>
      </c>
      <c r="B1300" s="727" t="s">
        <v>12096</v>
      </c>
      <c r="C1300" s="727" t="s">
        <v>12151</v>
      </c>
      <c r="D1300" s="727" t="s">
        <v>12152</v>
      </c>
      <c r="E1300" s="727"/>
      <c r="F1300" s="729" t="s">
        <v>3707</v>
      </c>
      <c r="G1300" s="739">
        <v>50698.2</v>
      </c>
      <c r="H1300" s="739">
        <v>8630550.6400000006</v>
      </c>
      <c r="I1300" s="739">
        <v>8579852.4399999995</v>
      </c>
      <c r="J1300" s="739">
        <v>44544620.060000002</v>
      </c>
      <c r="K1300" s="739">
        <v>48313141.789999999</v>
      </c>
      <c r="L1300" s="738">
        <v>0</v>
      </c>
      <c r="M1300" s="738">
        <v>0</v>
      </c>
      <c r="N1300" s="739">
        <v>44595318.259999998</v>
      </c>
      <c r="O1300" s="739">
        <v>56943692.43</v>
      </c>
      <c r="P1300" s="739">
        <v>-12348374.17</v>
      </c>
    </row>
    <row r="1301" spans="1:17">
      <c r="A1301">
        <v>2</v>
      </c>
      <c r="B1301" t="s">
        <v>12096</v>
      </c>
      <c r="C1301" t="s">
        <v>12151</v>
      </c>
      <c r="D1301" t="s">
        <v>12152</v>
      </c>
      <c r="E1301" t="s">
        <v>3711</v>
      </c>
      <c r="F1301" t="s">
        <v>3712</v>
      </c>
      <c r="G1301" s="712">
        <v>0</v>
      </c>
      <c r="H1301" s="711">
        <v>2173163.0099999998</v>
      </c>
      <c r="I1301" s="715">
        <v>2173163.0099999998</v>
      </c>
      <c r="J1301" s="711">
        <v>12642227.439999999</v>
      </c>
      <c r="K1301" s="711">
        <v>13663589.869999999</v>
      </c>
      <c r="L1301">
        <v>0</v>
      </c>
      <c r="M1301">
        <v>0</v>
      </c>
      <c r="N1301" s="711">
        <v>12642227.439999999</v>
      </c>
      <c r="O1301" s="711">
        <v>15836752.880000001</v>
      </c>
      <c r="P1301" s="711">
        <v>-3194525.44</v>
      </c>
      <c r="Q1301" s="724" t="str">
        <f>VLOOKUP($E1301,SP_2024_v28062025!$E$2:$M$1751,9,FALSE)</f>
        <v>PDA330</v>
      </c>
    </row>
    <row r="1302" spans="1:17">
      <c r="A1302">
        <v>2</v>
      </c>
      <c r="B1302" t="s">
        <v>12096</v>
      </c>
      <c r="C1302" t="s">
        <v>12151</v>
      </c>
      <c r="D1302" t="s">
        <v>12152</v>
      </c>
      <c r="E1302" t="s">
        <v>3714</v>
      </c>
      <c r="F1302" t="s">
        <v>3715</v>
      </c>
      <c r="G1302" s="712">
        <v>0</v>
      </c>
      <c r="H1302" s="711">
        <v>3447566.38</v>
      </c>
      <c r="I1302" s="715">
        <v>3447566.38</v>
      </c>
      <c r="J1302" s="711">
        <v>14393925.439999999</v>
      </c>
      <c r="K1302" s="711">
        <v>16174698.130000001</v>
      </c>
      <c r="L1302">
        <v>0</v>
      </c>
      <c r="M1302">
        <v>0</v>
      </c>
      <c r="N1302" s="711">
        <v>14393925.439999999</v>
      </c>
      <c r="O1302" s="711">
        <v>19622264.510000002</v>
      </c>
      <c r="P1302" s="711">
        <v>-5228339.07</v>
      </c>
      <c r="Q1302" s="724" t="str">
        <f>VLOOKUP($E1302,SP_2024_v28062025!$E$2:$M$1751,9,FALSE)</f>
        <v>PDA330</v>
      </c>
    </row>
    <row r="1303" spans="1:17">
      <c r="A1303">
        <v>2</v>
      </c>
      <c r="B1303" t="s">
        <v>12096</v>
      </c>
      <c r="C1303" t="s">
        <v>12151</v>
      </c>
      <c r="D1303" t="s">
        <v>12152</v>
      </c>
      <c r="E1303" t="s">
        <v>3716</v>
      </c>
      <c r="F1303" t="s">
        <v>3717</v>
      </c>
      <c r="G1303" s="712">
        <v>0</v>
      </c>
      <c r="H1303" s="711">
        <v>438136.68</v>
      </c>
      <c r="I1303" s="715">
        <v>438136.68</v>
      </c>
      <c r="J1303" s="711">
        <v>3207853.82</v>
      </c>
      <c r="K1303" s="711">
        <v>3373158.71</v>
      </c>
      <c r="L1303">
        <v>0</v>
      </c>
      <c r="M1303">
        <v>0</v>
      </c>
      <c r="N1303" s="711">
        <v>3207853.82</v>
      </c>
      <c r="O1303" s="711">
        <v>3811295.39</v>
      </c>
      <c r="P1303" s="711">
        <v>-603441.56999999995</v>
      </c>
      <c r="Q1303" s="724" t="str">
        <f>VLOOKUP($E1303,SP_2024_v28062025!$E$2:$M$1751,9,FALSE)</f>
        <v>PDA330</v>
      </c>
    </row>
    <row r="1304" spans="1:17">
      <c r="A1304">
        <v>2</v>
      </c>
      <c r="B1304" t="s">
        <v>12096</v>
      </c>
      <c r="C1304" t="s">
        <v>12151</v>
      </c>
      <c r="D1304" t="s">
        <v>12152</v>
      </c>
      <c r="E1304" t="s">
        <v>3718</v>
      </c>
      <c r="F1304" t="s">
        <v>3719</v>
      </c>
      <c r="G1304" s="712">
        <v>0</v>
      </c>
      <c r="H1304" s="711">
        <v>285212.86</v>
      </c>
      <c r="I1304" s="715">
        <v>285212.86</v>
      </c>
      <c r="J1304" s="711">
        <v>1887248.13</v>
      </c>
      <c r="K1304" s="711">
        <v>1780819.59</v>
      </c>
      <c r="L1304">
        <v>0</v>
      </c>
      <c r="M1304">
        <v>0</v>
      </c>
      <c r="N1304" s="711">
        <v>1887248.13</v>
      </c>
      <c r="O1304" s="711">
        <v>2066032.45</v>
      </c>
      <c r="P1304" s="711">
        <v>-178784.32</v>
      </c>
      <c r="Q1304" s="724" t="str">
        <f>VLOOKUP($E1304,SP_2024_v28062025!$E$2:$M$1751,9,FALSE)</f>
        <v>PDA330</v>
      </c>
    </row>
    <row r="1305" spans="1:17">
      <c r="A1305">
        <v>2</v>
      </c>
      <c r="B1305" t="s">
        <v>12096</v>
      </c>
      <c r="C1305" t="s">
        <v>12151</v>
      </c>
      <c r="D1305" t="s">
        <v>12152</v>
      </c>
      <c r="E1305" t="s">
        <v>3720</v>
      </c>
      <c r="F1305" t="s">
        <v>3721</v>
      </c>
      <c r="G1305" s="712">
        <v>0</v>
      </c>
      <c r="H1305" s="711">
        <v>2014888.56</v>
      </c>
      <c r="I1305" s="715">
        <v>2014888.56</v>
      </c>
      <c r="J1305" s="711">
        <v>10423565.1</v>
      </c>
      <c r="K1305" s="711">
        <v>10683651.23</v>
      </c>
      <c r="L1305">
        <v>0</v>
      </c>
      <c r="M1305">
        <v>0</v>
      </c>
      <c r="N1305" s="711">
        <v>10423565.1</v>
      </c>
      <c r="O1305" s="711">
        <v>12698539.789999999</v>
      </c>
      <c r="P1305" s="711">
        <v>-2274974.69</v>
      </c>
      <c r="Q1305" s="724" t="str">
        <f>VLOOKUP($E1305,SP_2024_v28062025!$E$2:$M$1751,9,FALSE)</f>
        <v>PDA330</v>
      </c>
    </row>
    <row r="1306" spans="1:17">
      <c r="A1306">
        <v>2</v>
      </c>
      <c r="B1306" t="s">
        <v>12096</v>
      </c>
      <c r="C1306" t="s">
        <v>12151</v>
      </c>
      <c r="D1306" t="s">
        <v>12152</v>
      </c>
      <c r="E1306" t="s">
        <v>3722</v>
      </c>
      <c r="F1306" t="s">
        <v>3723</v>
      </c>
      <c r="G1306" s="712">
        <v>0</v>
      </c>
      <c r="H1306">
        <v>0</v>
      </c>
      <c r="I1306" s="713">
        <v>0</v>
      </c>
      <c r="J1306">
        <v>0</v>
      </c>
      <c r="K1306" s="711">
        <v>17279.45</v>
      </c>
      <c r="L1306">
        <v>0</v>
      </c>
      <c r="M1306">
        <v>0</v>
      </c>
      <c r="N1306">
        <v>0</v>
      </c>
      <c r="O1306" s="711">
        <v>17279.45</v>
      </c>
      <c r="P1306" s="711">
        <v>-17279.45</v>
      </c>
      <c r="Q1306" s="724" t="str">
        <f>VLOOKUP($E1306,SP_2024_v28062025!$E$2:$M$1751,9,FALSE)</f>
        <v>PDA330</v>
      </c>
    </row>
    <row r="1307" spans="1:17">
      <c r="A1307">
        <v>2</v>
      </c>
      <c r="B1307" t="s">
        <v>12096</v>
      </c>
      <c r="C1307" t="s">
        <v>12151</v>
      </c>
      <c r="D1307" t="s">
        <v>12152</v>
      </c>
      <c r="E1307" t="s">
        <v>3724</v>
      </c>
      <c r="F1307" t="s">
        <v>3725</v>
      </c>
      <c r="G1307" s="712">
        <v>0</v>
      </c>
      <c r="H1307" s="711">
        <v>50256.93</v>
      </c>
      <c r="I1307" s="715">
        <v>50256.93</v>
      </c>
      <c r="J1307" s="711">
        <v>430420.57</v>
      </c>
      <c r="K1307" s="711">
        <v>427256.12</v>
      </c>
      <c r="L1307">
        <v>0</v>
      </c>
      <c r="M1307">
        <v>0</v>
      </c>
      <c r="N1307" s="711">
        <v>430420.57</v>
      </c>
      <c r="O1307" s="711">
        <v>477513.05</v>
      </c>
      <c r="P1307" s="711">
        <v>-47092.480000000003</v>
      </c>
      <c r="Q1307" s="724" t="str">
        <f>VLOOKUP($E1307,SP_2024_v28062025!$E$2:$M$1751,9,FALSE)</f>
        <v>PDA330</v>
      </c>
    </row>
    <row r="1308" spans="1:17">
      <c r="A1308">
        <v>2</v>
      </c>
      <c r="B1308" t="s">
        <v>12096</v>
      </c>
      <c r="C1308" t="s">
        <v>12151</v>
      </c>
      <c r="D1308" t="s">
        <v>12152</v>
      </c>
      <c r="E1308" t="s">
        <v>3726</v>
      </c>
      <c r="F1308" t="s">
        <v>3727</v>
      </c>
      <c r="G1308" s="712">
        <v>0</v>
      </c>
      <c r="H1308" s="711">
        <v>29682</v>
      </c>
      <c r="I1308" s="715">
        <v>29682</v>
      </c>
      <c r="J1308" s="711">
        <v>505871.13</v>
      </c>
      <c r="K1308" s="711">
        <v>510392.44</v>
      </c>
      <c r="L1308">
        <v>0</v>
      </c>
      <c r="M1308">
        <v>0</v>
      </c>
      <c r="N1308" s="711">
        <v>505871.13</v>
      </c>
      <c r="O1308" s="711">
        <v>540074.43999999994</v>
      </c>
      <c r="P1308" s="711">
        <v>-34203.31</v>
      </c>
      <c r="Q1308" s="724" t="str">
        <f>VLOOKUP($E1308,SP_2024_v28062025!$E$2:$M$1751,9,FALSE)</f>
        <v>PDA330</v>
      </c>
    </row>
    <row r="1309" spans="1:17">
      <c r="A1309">
        <v>2</v>
      </c>
      <c r="B1309" t="s">
        <v>12096</v>
      </c>
      <c r="C1309" t="s">
        <v>12151</v>
      </c>
      <c r="D1309" t="s">
        <v>12152</v>
      </c>
      <c r="E1309" t="s">
        <v>3729</v>
      </c>
      <c r="F1309" t="s">
        <v>3730</v>
      </c>
      <c r="G1309" s="712">
        <v>0</v>
      </c>
      <c r="H1309">
        <v>0</v>
      </c>
      <c r="I1309" s="713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 s="724" t="str">
        <f>VLOOKUP($E1309,SP_2024_v28062025!$E$2:$M$1751,9,FALSE)</f>
        <v>PDA330</v>
      </c>
    </row>
    <row r="1310" spans="1:17">
      <c r="A1310">
        <v>2</v>
      </c>
      <c r="B1310" t="s">
        <v>12096</v>
      </c>
      <c r="C1310" t="s">
        <v>12151</v>
      </c>
      <c r="D1310" t="s">
        <v>12152</v>
      </c>
      <c r="E1310" t="s">
        <v>3731</v>
      </c>
      <c r="F1310" t="s">
        <v>3732</v>
      </c>
      <c r="G1310" s="712">
        <v>0</v>
      </c>
      <c r="H1310">
        <v>0</v>
      </c>
      <c r="I1310" s="713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 s="724" t="str">
        <f>VLOOKUP($E1310,SP_2024_v28062025!$E$2:$M$1751,9,FALSE)</f>
        <v>PDA330</v>
      </c>
    </row>
    <row r="1311" spans="1:17">
      <c r="A1311">
        <v>2</v>
      </c>
      <c r="B1311" t="s">
        <v>12096</v>
      </c>
      <c r="C1311" t="s">
        <v>12151</v>
      </c>
      <c r="D1311" t="s">
        <v>12152</v>
      </c>
      <c r="E1311" t="s">
        <v>3734</v>
      </c>
      <c r="F1311" t="s">
        <v>3735</v>
      </c>
      <c r="G1311" s="712">
        <v>0</v>
      </c>
      <c r="H1311" s="711">
        <v>96713.46</v>
      </c>
      <c r="I1311" s="715">
        <v>96713.46</v>
      </c>
      <c r="J1311" s="711">
        <v>990358.29</v>
      </c>
      <c r="K1311" s="711">
        <v>1589184.26</v>
      </c>
      <c r="L1311">
        <v>0</v>
      </c>
      <c r="M1311">
        <v>0</v>
      </c>
      <c r="N1311" s="711">
        <v>990358.29</v>
      </c>
      <c r="O1311" s="711">
        <v>1685897.72</v>
      </c>
      <c r="P1311" s="711">
        <v>-695539.43</v>
      </c>
      <c r="Q1311" s="724" t="str">
        <f>VLOOKUP($E1311,SP_2024_v28062025!$E$2:$M$1751,9,FALSE)</f>
        <v>PDA330</v>
      </c>
    </row>
    <row r="1312" spans="1:17">
      <c r="A1312">
        <v>2</v>
      </c>
      <c r="B1312" t="s">
        <v>12096</v>
      </c>
      <c r="C1312" t="s">
        <v>12151</v>
      </c>
      <c r="D1312" t="s">
        <v>12152</v>
      </c>
      <c r="E1312" t="s">
        <v>3737</v>
      </c>
      <c r="F1312" t="s">
        <v>3738</v>
      </c>
      <c r="G1312" s="712">
        <v>0</v>
      </c>
      <c r="H1312">
        <v>0</v>
      </c>
      <c r="I1312" s="713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 s="724" t="str">
        <f>VLOOKUP($E1312,SP_2024_v28062025!$E$2:$M$1751,9,FALSE)</f>
        <v>PDA330</v>
      </c>
    </row>
    <row r="1313" spans="1:17">
      <c r="A1313">
        <v>2</v>
      </c>
      <c r="B1313" t="s">
        <v>12096</v>
      </c>
      <c r="C1313" t="s">
        <v>12151</v>
      </c>
      <c r="D1313" t="s">
        <v>12152</v>
      </c>
      <c r="E1313" t="s">
        <v>3740</v>
      </c>
      <c r="F1313" t="s">
        <v>3741</v>
      </c>
      <c r="G1313" s="714">
        <v>50698.2</v>
      </c>
      <c r="H1313" s="711">
        <v>94930.76</v>
      </c>
      <c r="I1313" s="715">
        <v>44232.56</v>
      </c>
      <c r="J1313" s="711">
        <v>44397.27</v>
      </c>
      <c r="K1313" s="711">
        <v>91871.97</v>
      </c>
      <c r="L1313">
        <v>0</v>
      </c>
      <c r="M1313">
        <v>0</v>
      </c>
      <c r="N1313" s="711">
        <v>95095.47</v>
      </c>
      <c r="O1313" s="711">
        <v>186802.73</v>
      </c>
      <c r="P1313" s="711">
        <v>-91707.26</v>
      </c>
      <c r="Q1313" s="724" t="str">
        <f>VLOOKUP($E1313,SP_2024_v28062025!$E$2:$M$1751,9,FALSE)</f>
        <v>PDA330</v>
      </c>
    </row>
    <row r="1314" spans="1:17">
      <c r="A1314">
        <v>2</v>
      </c>
      <c r="B1314" t="s">
        <v>12096</v>
      </c>
      <c r="C1314" t="s">
        <v>12151</v>
      </c>
      <c r="D1314" t="s">
        <v>12152</v>
      </c>
      <c r="E1314" t="s">
        <v>3743</v>
      </c>
      <c r="F1314" t="s">
        <v>3725</v>
      </c>
      <c r="G1314" s="712">
        <v>0</v>
      </c>
      <c r="H1314">
        <v>0</v>
      </c>
      <c r="I1314" s="713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 s="724" t="str">
        <f>VLOOKUP($E1314,SP_2024_v28062025!$E$2:$M$1751,9,FALSE)</f>
        <v>PDA330</v>
      </c>
    </row>
    <row r="1315" spans="1:17" ht="16.5" customHeight="1" thickBot="1">
      <c r="A1315">
        <v>2</v>
      </c>
      <c r="B1315" t="s">
        <v>12096</v>
      </c>
      <c r="C1315" t="s">
        <v>12151</v>
      </c>
      <c r="D1315" t="s">
        <v>12152</v>
      </c>
      <c r="E1315" t="s">
        <v>3744</v>
      </c>
      <c r="F1315" t="s">
        <v>3745</v>
      </c>
      <c r="G1315" s="712">
        <v>0</v>
      </c>
      <c r="H1315">
        <v>0</v>
      </c>
      <c r="I1315" s="713">
        <v>0</v>
      </c>
      <c r="J1315" s="711">
        <v>18752.87</v>
      </c>
      <c r="K1315" s="711">
        <v>1240.02</v>
      </c>
      <c r="L1315">
        <v>0</v>
      </c>
      <c r="M1315">
        <v>0</v>
      </c>
      <c r="N1315" s="711">
        <v>18752.87</v>
      </c>
      <c r="O1315" s="711">
        <v>1240.02</v>
      </c>
      <c r="P1315" s="711">
        <v>17512.849999999999</v>
      </c>
      <c r="Q1315" s="724" t="str">
        <f>VLOOKUP($E1315,SP_2024_v28062025!$E$2:$M$1751,9,FALSE)</f>
        <v>PDA330</v>
      </c>
    </row>
    <row r="1316" spans="1:17" ht="15.75" thickBot="1">
      <c r="A1316" s="727">
        <v>2</v>
      </c>
      <c r="B1316" s="727" t="s">
        <v>12096</v>
      </c>
      <c r="C1316" s="727" t="s">
        <v>12153</v>
      </c>
      <c r="D1316" s="727"/>
      <c r="E1316" s="727"/>
      <c r="F1316" s="745" t="s">
        <v>3747</v>
      </c>
      <c r="G1316" s="739">
        <v>312105.5</v>
      </c>
      <c r="H1316" s="739">
        <v>23654967.039999999</v>
      </c>
      <c r="I1316" s="739">
        <v>23342861.539999999</v>
      </c>
      <c r="J1316" s="739">
        <v>288375825.31</v>
      </c>
      <c r="K1316" s="739">
        <v>283925968.60000002</v>
      </c>
      <c r="L1316" s="738">
        <v>0</v>
      </c>
      <c r="M1316" s="738">
        <v>0</v>
      </c>
      <c r="N1316" s="739">
        <v>288687930.81</v>
      </c>
      <c r="O1316" s="739">
        <v>307580935.63999999</v>
      </c>
      <c r="P1316" s="739">
        <v>-18893004.829999998</v>
      </c>
    </row>
    <row r="1317" spans="1:17" ht="15.75" thickBot="1">
      <c r="A1317" s="727">
        <v>2</v>
      </c>
      <c r="B1317" s="727" t="s">
        <v>12096</v>
      </c>
      <c r="C1317" s="727" t="s">
        <v>12153</v>
      </c>
      <c r="D1317" s="727" t="s">
        <v>12154</v>
      </c>
      <c r="E1317" s="727"/>
      <c r="F1317" s="729" t="s">
        <v>3748</v>
      </c>
      <c r="G1317" s="738">
        <v>0</v>
      </c>
      <c r="H1317" s="738">
        <v>0</v>
      </c>
      <c r="I1317" s="738">
        <v>0</v>
      </c>
      <c r="J1317" s="738">
        <v>0</v>
      </c>
      <c r="K1317" s="738">
        <v>0</v>
      </c>
      <c r="L1317" s="738">
        <v>0</v>
      </c>
      <c r="M1317" s="738">
        <v>0</v>
      </c>
      <c r="N1317" s="738">
        <v>0</v>
      </c>
      <c r="O1317" s="738">
        <v>0</v>
      </c>
      <c r="P1317" s="738">
        <v>0</v>
      </c>
    </row>
    <row r="1318" spans="1:17" ht="15.75" thickBot="1">
      <c r="A1318">
        <v>2</v>
      </c>
      <c r="B1318" t="s">
        <v>12096</v>
      </c>
      <c r="C1318" t="s">
        <v>12153</v>
      </c>
      <c r="D1318" t="s">
        <v>12154</v>
      </c>
      <c r="E1318" t="s">
        <v>3752</v>
      </c>
      <c r="F1318" t="s">
        <v>3748</v>
      </c>
      <c r="G1318" s="712">
        <v>0</v>
      </c>
      <c r="H1318">
        <v>0</v>
      </c>
      <c r="I1318" s="713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 s="724" t="str">
        <f>VLOOKUP($E1318,SP_2024_v28062025!$E$2:$M$1751,9,FALSE)</f>
        <v>PDA350</v>
      </c>
    </row>
    <row r="1319" spans="1:17" ht="15.75" thickBot="1">
      <c r="A1319" s="727">
        <v>2</v>
      </c>
      <c r="B1319" s="727" t="s">
        <v>12096</v>
      </c>
      <c r="C1319" s="727" t="s">
        <v>12153</v>
      </c>
      <c r="D1319" s="727" t="s">
        <v>12155</v>
      </c>
      <c r="E1319" s="727"/>
      <c r="F1319" s="729" t="s">
        <v>3753</v>
      </c>
      <c r="G1319" s="738">
        <v>81.98</v>
      </c>
      <c r="H1319" s="739">
        <v>12150269.15</v>
      </c>
      <c r="I1319" s="739">
        <v>12150187.17</v>
      </c>
      <c r="J1319" s="739">
        <v>245326628.34999999</v>
      </c>
      <c r="K1319" s="739">
        <v>245812916.55000001</v>
      </c>
      <c r="L1319" s="738">
        <v>0</v>
      </c>
      <c r="M1319" s="738">
        <v>0</v>
      </c>
      <c r="N1319" s="739">
        <v>245326710.33000001</v>
      </c>
      <c r="O1319" s="739">
        <v>257963185.69999999</v>
      </c>
      <c r="P1319" s="739">
        <v>-12636475.369999999</v>
      </c>
    </row>
    <row r="1320" spans="1:17">
      <c r="A1320">
        <v>2</v>
      </c>
      <c r="B1320" t="s">
        <v>12096</v>
      </c>
      <c r="C1320" t="s">
        <v>12153</v>
      </c>
      <c r="D1320" t="s">
        <v>12155</v>
      </c>
      <c r="E1320" t="s">
        <v>3757</v>
      </c>
      <c r="F1320" t="s">
        <v>3758</v>
      </c>
      <c r="G1320" s="712">
        <v>0</v>
      </c>
      <c r="H1320" s="711">
        <v>3087615.95</v>
      </c>
      <c r="I1320" s="715">
        <v>3087615.95</v>
      </c>
      <c r="J1320" s="711">
        <v>68039714.629999995</v>
      </c>
      <c r="K1320" s="711">
        <v>68594849.040000007</v>
      </c>
      <c r="L1320">
        <v>0</v>
      </c>
      <c r="M1320">
        <v>0</v>
      </c>
      <c r="N1320" s="711">
        <v>68039714.629999995</v>
      </c>
      <c r="O1320" s="711">
        <v>71682464.989999995</v>
      </c>
      <c r="P1320" s="711">
        <v>-3642750.36</v>
      </c>
      <c r="Q1320" s="724" t="str">
        <f>VLOOKUP($E1320,SP_2024_v28062025!$E$2:$M$1751,9,FALSE)</f>
        <v>PDA360</v>
      </c>
    </row>
    <row r="1321" spans="1:17">
      <c r="A1321">
        <v>2</v>
      </c>
      <c r="B1321" t="s">
        <v>12096</v>
      </c>
      <c r="C1321" t="s">
        <v>12153</v>
      </c>
      <c r="D1321" t="s">
        <v>12155</v>
      </c>
      <c r="E1321" t="s">
        <v>3760</v>
      </c>
      <c r="F1321" t="s">
        <v>3761</v>
      </c>
      <c r="G1321" s="712">
        <v>81.98</v>
      </c>
      <c r="H1321" s="711">
        <v>42901.79</v>
      </c>
      <c r="I1321" s="715">
        <v>42819.81</v>
      </c>
      <c r="J1321" s="711">
        <v>71163906.579999998</v>
      </c>
      <c r="K1321" s="711">
        <v>74130151.209999993</v>
      </c>
      <c r="L1321">
        <v>0</v>
      </c>
      <c r="M1321">
        <v>0</v>
      </c>
      <c r="N1321" s="711">
        <v>71163988.560000002</v>
      </c>
      <c r="O1321" s="711">
        <v>74173053</v>
      </c>
      <c r="P1321" s="711">
        <v>-3009064.44</v>
      </c>
      <c r="Q1321" s="724" t="str">
        <f>VLOOKUP($E1321,SP_2024_v28062025!$E$2:$M$1751,9,FALSE)</f>
        <v>PDA360</v>
      </c>
    </row>
    <row r="1322" spans="1:17">
      <c r="A1322">
        <v>2</v>
      </c>
      <c r="B1322" t="s">
        <v>12096</v>
      </c>
      <c r="C1322" t="s">
        <v>12153</v>
      </c>
      <c r="D1322" t="s">
        <v>12155</v>
      </c>
      <c r="E1322" t="s">
        <v>3764</v>
      </c>
      <c r="F1322" t="s">
        <v>3765</v>
      </c>
      <c r="G1322" s="712">
        <v>0</v>
      </c>
      <c r="H1322">
        <v>0</v>
      </c>
      <c r="I1322" s="713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 s="724" t="str">
        <f>VLOOKUP($E1322,SP_2024_v28062025!$E$2:$M$1751,9,FALSE)</f>
        <v>PDA360</v>
      </c>
    </row>
    <row r="1323" spans="1:17">
      <c r="A1323">
        <v>2</v>
      </c>
      <c r="B1323" t="s">
        <v>12096</v>
      </c>
      <c r="C1323" t="s">
        <v>12153</v>
      </c>
      <c r="D1323" t="s">
        <v>12155</v>
      </c>
      <c r="E1323" t="s">
        <v>3767</v>
      </c>
      <c r="F1323" t="s">
        <v>3768</v>
      </c>
      <c r="G1323" s="712">
        <v>0</v>
      </c>
      <c r="H1323">
        <v>0</v>
      </c>
      <c r="I1323" s="71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 s="724" t="str">
        <f>VLOOKUP($E1323,SP_2024_v28062025!$E$2:$M$1751,9,FALSE)</f>
        <v>PDA360</v>
      </c>
    </row>
    <row r="1324" spans="1:17">
      <c r="A1324">
        <v>2</v>
      </c>
      <c r="B1324" t="s">
        <v>12096</v>
      </c>
      <c r="C1324" t="s">
        <v>12153</v>
      </c>
      <c r="D1324" t="s">
        <v>12155</v>
      </c>
      <c r="E1324" t="s">
        <v>3770</v>
      </c>
      <c r="F1324" t="s">
        <v>3771</v>
      </c>
      <c r="G1324" s="712">
        <v>0</v>
      </c>
      <c r="H1324">
        <v>0</v>
      </c>
      <c r="I1324" s="713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 s="724" t="str">
        <f>VLOOKUP($E1324,SP_2024_v28062025!$E$2:$M$1751,9,FALSE)</f>
        <v>PDA360</v>
      </c>
    </row>
    <row r="1325" spans="1:17">
      <c r="A1325">
        <v>2</v>
      </c>
      <c r="B1325" t="s">
        <v>12096</v>
      </c>
      <c r="C1325" t="s">
        <v>12153</v>
      </c>
      <c r="D1325" t="s">
        <v>12155</v>
      </c>
      <c r="E1325" t="s">
        <v>3773</v>
      </c>
      <c r="F1325" t="s">
        <v>3774</v>
      </c>
      <c r="G1325" s="712">
        <v>0</v>
      </c>
      <c r="H1325" s="711">
        <v>798211.97</v>
      </c>
      <c r="I1325" s="715">
        <v>798211.97</v>
      </c>
      <c r="J1325" s="711">
        <v>5715083.3799999999</v>
      </c>
      <c r="K1325" s="711">
        <v>6329077.4699999997</v>
      </c>
      <c r="L1325">
        <v>0</v>
      </c>
      <c r="M1325">
        <v>0</v>
      </c>
      <c r="N1325" s="711">
        <v>5715083.3799999999</v>
      </c>
      <c r="O1325" s="711">
        <v>7127289.4400000004</v>
      </c>
      <c r="P1325" s="711">
        <v>-1412206.06</v>
      </c>
      <c r="Q1325" s="724" t="str">
        <f>VLOOKUP($E1325,SP_2024_v28062025!$E$2:$M$1751,9,FALSE)</f>
        <v>PDA360</v>
      </c>
    </row>
    <row r="1326" spans="1:17">
      <c r="A1326">
        <v>2</v>
      </c>
      <c r="B1326" t="s">
        <v>12096</v>
      </c>
      <c r="C1326" t="s">
        <v>12153</v>
      </c>
      <c r="D1326" t="s">
        <v>12155</v>
      </c>
      <c r="E1326" t="s">
        <v>3776</v>
      </c>
      <c r="F1326" t="s">
        <v>3777</v>
      </c>
      <c r="G1326" s="712">
        <v>0</v>
      </c>
      <c r="H1326" s="711">
        <v>218889</v>
      </c>
      <c r="I1326" s="715">
        <v>218889</v>
      </c>
      <c r="J1326" s="711">
        <v>1501767.89</v>
      </c>
      <c r="K1326" s="711">
        <v>1472832.73</v>
      </c>
      <c r="L1326">
        <v>0</v>
      </c>
      <c r="M1326">
        <v>0</v>
      </c>
      <c r="N1326" s="711">
        <v>1501767.89</v>
      </c>
      <c r="O1326" s="711">
        <v>1691721.73</v>
      </c>
      <c r="P1326" s="711">
        <v>-189953.84</v>
      </c>
      <c r="Q1326" s="724" t="str">
        <f>VLOOKUP($E1326,SP_2024_v28062025!$E$2:$M$1751,9,FALSE)</f>
        <v>PDA360</v>
      </c>
    </row>
    <row r="1327" spans="1:17">
      <c r="A1327">
        <v>2</v>
      </c>
      <c r="B1327" t="s">
        <v>12096</v>
      </c>
      <c r="C1327" t="s">
        <v>12153</v>
      </c>
      <c r="D1327" t="s">
        <v>12155</v>
      </c>
      <c r="E1327" t="s">
        <v>3778</v>
      </c>
      <c r="F1327" t="s">
        <v>3779</v>
      </c>
      <c r="G1327" s="712">
        <v>0</v>
      </c>
      <c r="H1327" s="711">
        <v>443600.61</v>
      </c>
      <c r="I1327" s="715">
        <v>443600.61</v>
      </c>
      <c r="J1327" s="711">
        <v>2085268.21</v>
      </c>
      <c r="K1327" s="711">
        <v>1635765.87</v>
      </c>
      <c r="L1327">
        <v>0</v>
      </c>
      <c r="M1327">
        <v>0</v>
      </c>
      <c r="N1327" s="711">
        <v>2085268.21</v>
      </c>
      <c r="O1327" s="711">
        <v>2079366.48</v>
      </c>
      <c r="P1327" s="711">
        <v>5901.73</v>
      </c>
      <c r="Q1327" s="724" t="str">
        <f>VLOOKUP($E1327,SP_2024_v28062025!$E$2:$M$1751,9,FALSE)</f>
        <v>PDA360</v>
      </c>
    </row>
    <row r="1328" spans="1:17">
      <c r="A1328">
        <v>2</v>
      </c>
      <c r="B1328" t="s">
        <v>12096</v>
      </c>
      <c r="C1328" t="s">
        <v>12153</v>
      </c>
      <c r="D1328" t="s">
        <v>12155</v>
      </c>
      <c r="E1328" t="s">
        <v>3780</v>
      </c>
      <c r="F1328" t="s">
        <v>3781</v>
      </c>
      <c r="G1328" s="712">
        <v>0</v>
      </c>
      <c r="H1328" s="711">
        <v>162786.79</v>
      </c>
      <c r="I1328" s="715">
        <v>162786.79</v>
      </c>
      <c r="J1328" s="711">
        <v>1675733.65</v>
      </c>
      <c r="K1328" s="711">
        <v>1309921.81</v>
      </c>
      <c r="L1328">
        <v>0</v>
      </c>
      <c r="M1328">
        <v>0</v>
      </c>
      <c r="N1328" s="711">
        <v>1675733.65</v>
      </c>
      <c r="O1328" s="711">
        <v>1472708.6</v>
      </c>
      <c r="P1328" s="711">
        <v>203025.05</v>
      </c>
      <c r="Q1328" s="724" t="str">
        <f>VLOOKUP($E1328,SP_2024_v28062025!$E$2:$M$1751,9,FALSE)</f>
        <v>PDA360</v>
      </c>
    </row>
    <row r="1329" spans="1:17">
      <c r="A1329">
        <v>2</v>
      </c>
      <c r="B1329" t="s">
        <v>12096</v>
      </c>
      <c r="C1329" t="s">
        <v>12153</v>
      </c>
      <c r="D1329" t="s">
        <v>12155</v>
      </c>
      <c r="E1329" t="s">
        <v>3782</v>
      </c>
      <c r="F1329" t="s">
        <v>3783</v>
      </c>
      <c r="G1329" s="712">
        <v>0</v>
      </c>
      <c r="H1329">
        <v>0</v>
      </c>
      <c r="I1329" s="713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 s="724" t="str">
        <f>VLOOKUP($E1329,SP_2024_v28062025!$E$2:$M$1751,9,FALSE)</f>
        <v>PDA360</v>
      </c>
    </row>
    <row r="1330" spans="1:17">
      <c r="A1330">
        <v>2</v>
      </c>
      <c r="B1330" t="s">
        <v>12096</v>
      </c>
      <c r="C1330" t="s">
        <v>12153</v>
      </c>
      <c r="D1330" t="s">
        <v>12155</v>
      </c>
      <c r="E1330" t="s">
        <v>3785</v>
      </c>
      <c r="F1330" t="s">
        <v>3786</v>
      </c>
      <c r="G1330" s="712">
        <v>0</v>
      </c>
      <c r="H1330">
        <v>0</v>
      </c>
      <c r="I1330" s="713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 s="724" t="str">
        <f>VLOOKUP($E1330,SP_2024_v28062025!$E$2:$M$1751,9,FALSE)</f>
        <v>PDA360</v>
      </c>
    </row>
    <row r="1331" spans="1:17">
      <c r="A1331">
        <v>2</v>
      </c>
      <c r="B1331" t="s">
        <v>12096</v>
      </c>
      <c r="C1331" t="s">
        <v>12153</v>
      </c>
      <c r="D1331" t="s">
        <v>12155</v>
      </c>
      <c r="E1331" t="s">
        <v>3787</v>
      </c>
      <c r="F1331" t="s">
        <v>3788</v>
      </c>
      <c r="G1331" s="712">
        <v>0</v>
      </c>
      <c r="H1331">
        <v>0</v>
      </c>
      <c r="I1331" s="713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 s="724" t="str">
        <f>VLOOKUP($E1331,SP_2024_v28062025!$E$2:$M$1751,9,FALSE)</f>
        <v>PDA360</v>
      </c>
    </row>
    <row r="1332" spans="1:17">
      <c r="A1332">
        <v>2</v>
      </c>
      <c r="B1332" t="s">
        <v>12096</v>
      </c>
      <c r="C1332" t="s">
        <v>12153</v>
      </c>
      <c r="D1332" t="s">
        <v>12155</v>
      </c>
      <c r="E1332" t="s">
        <v>3789</v>
      </c>
      <c r="F1332" t="s">
        <v>3790</v>
      </c>
      <c r="G1332" s="712">
        <v>0</v>
      </c>
      <c r="H1332">
        <v>0</v>
      </c>
      <c r="I1332" s="713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 s="724" t="str">
        <f>VLOOKUP($E1332,SP_2024_v28062025!$E$2:$M$1751,9,FALSE)</f>
        <v>PDA360</v>
      </c>
    </row>
    <row r="1333" spans="1:17">
      <c r="A1333">
        <v>2</v>
      </c>
      <c r="B1333" t="s">
        <v>12096</v>
      </c>
      <c r="C1333" t="s">
        <v>12153</v>
      </c>
      <c r="D1333" t="s">
        <v>12155</v>
      </c>
      <c r="E1333" t="s">
        <v>3791</v>
      </c>
      <c r="F1333" t="s">
        <v>3792</v>
      </c>
      <c r="G1333" s="712">
        <v>0</v>
      </c>
      <c r="H1333">
        <v>0</v>
      </c>
      <c r="I1333" s="71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 s="724" t="str">
        <f>VLOOKUP($E1333,SP_2024_v28062025!$E$2:$M$1751,9,FALSE)</f>
        <v>PDA360</v>
      </c>
    </row>
    <row r="1334" spans="1:17">
      <c r="A1334">
        <v>2</v>
      </c>
      <c r="B1334" t="s">
        <v>12096</v>
      </c>
      <c r="C1334" t="s">
        <v>12153</v>
      </c>
      <c r="D1334" t="s">
        <v>12155</v>
      </c>
      <c r="E1334" t="s">
        <v>3794</v>
      </c>
      <c r="F1334" t="s">
        <v>3795</v>
      </c>
      <c r="G1334" s="712">
        <v>0</v>
      </c>
      <c r="H1334">
        <v>0</v>
      </c>
      <c r="I1334" s="713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 s="724" t="str">
        <f>VLOOKUP($E1334,SP_2024_v28062025!$E$2:$M$1751,9,FALSE)</f>
        <v>PDA360</v>
      </c>
    </row>
    <row r="1335" spans="1:17">
      <c r="A1335">
        <v>2</v>
      </c>
      <c r="B1335" t="s">
        <v>12096</v>
      </c>
      <c r="C1335" t="s">
        <v>12153</v>
      </c>
      <c r="D1335" t="s">
        <v>12155</v>
      </c>
      <c r="E1335" t="s">
        <v>3796</v>
      </c>
      <c r="F1335" t="s">
        <v>3797</v>
      </c>
      <c r="G1335" s="712">
        <v>0</v>
      </c>
      <c r="H1335">
        <v>0</v>
      </c>
      <c r="I1335" s="713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 s="724" t="str">
        <f>VLOOKUP($E1335,SP_2024_v28062025!$E$2:$M$1751,9,FALSE)</f>
        <v>PDA360</v>
      </c>
    </row>
    <row r="1336" spans="1:17">
      <c r="A1336">
        <v>2</v>
      </c>
      <c r="B1336" t="s">
        <v>12096</v>
      </c>
      <c r="C1336" t="s">
        <v>12153</v>
      </c>
      <c r="D1336" t="s">
        <v>12155</v>
      </c>
      <c r="E1336" t="s">
        <v>3798</v>
      </c>
      <c r="F1336" t="s">
        <v>3799</v>
      </c>
      <c r="G1336" s="712">
        <v>0</v>
      </c>
      <c r="H1336">
        <v>0</v>
      </c>
      <c r="I1336" s="713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 s="724" t="str">
        <f>VLOOKUP($E1336,SP_2024_v28062025!$E$2:$M$1751,9,FALSE)</f>
        <v>PDA360</v>
      </c>
    </row>
    <row r="1337" spans="1:17">
      <c r="A1337">
        <v>2</v>
      </c>
      <c r="B1337" t="s">
        <v>12096</v>
      </c>
      <c r="C1337" t="s">
        <v>12153</v>
      </c>
      <c r="D1337" t="s">
        <v>12155</v>
      </c>
      <c r="E1337" t="s">
        <v>3800</v>
      </c>
      <c r="F1337" t="s">
        <v>3801</v>
      </c>
      <c r="G1337" s="712">
        <v>0</v>
      </c>
      <c r="H1337">
        <v>0</v>
      </c>
      <c r="I1337" s="713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 s="724" t="str">
        <f>VLOOKUP($E1337,SP_2024_v28062025!$E$2:$M$1751,9,FALSE)</f>
        <v>PDA360</v>
      </c>
    </row>
    <row r="1338" spans="1:17">
      <c r="A1338">
        <v>2</v>
      </c>
      <c r="B1338" t="s">
        <v>12096</v>
      </c>
      <c r="C1338" t="s">
        <v>12153</v>
      </c>
      <c r="D1338" t="s">
        <v>12155</v>
      </c>
      <c r="E1338" t="s">
        <v>3803</v>
      </c>
      <c r="F1338" t="s">
        <v>3804</v>
      </c>
      <c r="G1338" s="712">
        <v>0</v>
      </c>
      <c r="H1338">
        <v>0</v>
      </c>
      <c r="I1338" s="713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 s="724" t="str">
        <f>VLOOKUP($E1338,SP_2024_v28062025!$E$2:$M$1751,9,FALSE)</f>
        <v>PDA360</v>
      </c>
    </row>
    <row r="1339" spans="1:17">
      <c r="A1339">
        <v>2</v>
      </c>
      <c r="B1339" t="s">
        <v>12096</v>
      </c>
      <c r="C1339" t="s">
        <v>12153</v>
      </c>
      <c r="D1339" t="s">
        <v>12155</v>
      </c>
      <c r="E1339" t="s">
        <v>3805</v>
      </c>
      <c r="F1339" t="s">
        <v>3806</v>
      </c>
      <c r="G1339" s="712">
        <v>0</v>
      </c>
      <c r="H1339">
        <v>0</v>
      </c>
      <c r="I1339" s="713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 s="724" t="str">
        <f>VLOOKUP($E1339,SP_2024_v28062025!$E$2:$M$1751,9,FALSE)</f>
        <v>PDA360</v>
      </c>
    </row>
    <row r="1340" spans="1:17">
      <c r="A1340">
        <v>2</v>
      </c>
      <c r="B1340" t="s">
        <v>12096</v>
      </c>
      <c r="C1340" t="s">
        <v>12153</v>
      </c>
      <c r="D1340" t="s">
        <v>12155</v>
      </c>
      <c r="E1340" t="s">
        <v>3807</v>
      </c>
      <c r="F1340" t="s">
        <v>3808</v>
      </c>
      <c r="G1340" s="712">
        <v>0</v>
      </c>
      <c r="H1340">
        <v>0</v>
      </c>
      <c r="I1340" s="713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 s="724" t="str">
        <f>VLOOKUP($E1340,SP_2024_v28062025!$E$2:$M$1751,9,FALSE)</f>
        <v>PDA360</v>
      </c>
    </row>
    <row r="1341" spans="1:17">
      <c r="A1341">
        <v>2</v>
      </c>
      <c r="B1341" t="s">
        <v>12096</v>
      </c>
      <c r="C1341" t="s">
        <v>12153</v>
      </c>
      <c r="D1341" t="s">
        <v>12155</v>
      </c>
      <c r="E1341" t="s">
        <v>3809</v>
      </c>
      <c r="F1341" t="s">
        <v>3810</v>
      </c>
      <c r="G1341" s="712">
        <v>0</v>
      </c>
      <c r="H1341">
        <v>0</v>
      </c>
      <c r="I1341" s="713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 s="724" t="str">
        <f>VLOOKUP($E1341,SP_2024_v28062025!$E$2:$M$1751,9,FALSE)</f>
        <v>PDA360</v>
      </c>
    </row>
    <row r="1342" spans="1:17">
      <c r="A1342">
        <v>2</v>
      </c>
      <c r="B1342" t="s">
        <v>12096</v>
      </c>
      <c r="C1342" t="s">
        <v>12153</v>
      </c>
      <c r="D1342" t="s">
        <v>12155</v>
      </c>
      <c r="E1342" t="s">
        <v>3812</v>
      </c>
      <c r="F1342" t="s">
        <v>3813</v>
      </c>
      <c r="G1342" s="712">
        <v>0</v>
      </c>
      <c r="H1342">
        <v>0</v>
      </c>
      <c r="I1342" s="713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 s="724" t="str">
        <f>VLOOKUP($E1342,SP_2024_v28062025!$E$2:$M$1751,9,FALSE)</f>
        <v>PDA360</v>
      </c>
    </row>
    <row r="1343" spans="1:17">
      <c r="A1343">
        <v>2</v>
      </c>
      <c r="B1343" t="s">
        <v>12096</v>
      </c>
      <c r="C1343" t="s">
        <v>12153</v>
      </c>
      <c r="D1343" t="s">
        <v>12155</v>
      </c>
      <c r="E1343" t="s">
        <v>3814</v>
      </c>
      <c r="F1343" t="s">
        <v>3815</v>
      </c>
      <c r="G1343" s="712">
        <v>0</v>
      </c>
      <c r="H1343">
        <v>0</v>
      </c>
      <c r="I1343" s="71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 s="724" t="str">
        <f>VLOOKUP($E1343,SP_2024_v28062025!$E$2:$M$1751,9,FALSE)</f>
        <v>PDA360</v>
      </c>
    </row>
    <row r="1344" spans="1:17">
      <c r="A1344">
        <v>2</v>
      </c>
      <c r="B1344" t="s">
        <v>12096</v>
      </c>
      <c r="C1344" t="s">
        <v>12153</v>
      </c>
      <c r="D1344" t="s">
        <v>12155</v>
      </c>
      <c r="E1344" t="s">
        <v>3816</v>
      </c>
      <c r="F1344" t="s">
        <v>3817</v>
      </c>
      <c r="G1344" s="712">
        <v>0</v>
      </c>
      <c r="H1344">
        <v>0</v>
      </c>
      <c r="I1344" s="713">
        <v>0</v>
      </c>
      <c r="J1344" s="711">
        <v>233534.81</v>
      </c>
      <c r="K1344">
        <v>0</v>
      </c>
      <c r="L1344">
        <v>0</v>
      </c>
      <c r="M1344">
        <v>0</v>
      </c>
      <c r="N1344" s="711">
        <v>233534.81</v>
      </c>
      <c r="O1344">
        <v>0</v>
      </c>
      <c r="P1344" s="711">
        <v>233534.81</v>
      </c>
      <c r="Q1344" s="724" t="str">
        <f>VLOOKUP($E1344,SP_2024_v28062025!$E$2:$M$1751,9,FALSE)</f>
        <v>PDA360</v>
      </c>
    </row>
    <row r="1345" spans="1:17">
      <c r="A1345">
        <v>2</v>
      </c>
      <c r="B1345" t="s">
        <v>12096</v>
      </c>
      <c r="C1345" t="s">
        <v>12153</v>
      </c>
      <c r="D1345" t="s">
        <v>12155</v>
      </c>
      <c r="E1345" t="s">
        <v>3818</v>
      </c>
      <c r="F1345" t="s">
        <v>3819</v>
      </c>
      <c r="G1345" s="712">
        <v>0</v>
      </c>
      <c r="H1345" s="711">
        <v>6465809.4299999997</v>
      </c>
      <c r="I1345" s="715">
        <v>6465809.4299999997</v>
      </c>
      <c r="J1345" s="711">
        <v>70844095.560000002</v>
      </c>
      <c r="K1345" s="711">
        <v>71086785.060000002</v>
      </c>
      <c r="L1345">
        <v>0</v>
      </c>
      <c r="M1345">
        <v>0</v>
      </c>
      <c r="N1345" s="711">
        <v>70844095.560000002</v>
      </c>
      <c r="O1345" s="711">
        <v>77552594.489999995</v>
      </c>
      <c r="P1345" s="711">
        <v>-6708498.9299999997</v>
      </c>
      <c r="Q1345" s="724" t="str">
        <f>VLOOKUP($E1345,SP_2024_v28062025!$E$2:$M$1751,9,FALSE)</f>
        <v>PDA360</v>
      </c>
    </row>
    <row r="1346" spans="1:17">
      <c r="A1346">
        <v>2</v>
      </c>
      <c r="B1346" t="s">
        <v>12096</v>
      </c>
      <c r="C1346" t="s">
        <v>12153</v>
      </c>
      <c r="D1346" t="s">
        <v>12155</v>
      </c>
      <c r="E1346" t="s">
        <v>3821</v>
      </c>
      <c r="F1346" t="s">
        <v>3822</v>
      </c>
      <c r="G1346" s="712">
        <v>0</v>
      </c>
      <c r="H1346" s="711">
        <v>43284.71</v>
      </c>
      <c r="I1346" s="715">
        <v>43284.71</v>
      </c>
      <c r="J1346" s="711">
        <v>238695.76</v>
      </c>
      <c r="K1346" s="711">
        <v>268723.67</v>
      </c>
      <c r="L1346">
        <v>0</v>
      </c>
      <c r="M1346">
        <v>0</v>
      </c>
      <c r="N1346" s="711">
        <v>238695.76</v>
      </c>
      <c r="O1346" s="711">
        <v>312008.38</v>
      </c>
      <c r="P1346" s="711">
        <v>-73312.62</v>
      </c>
      <c r="Q1346" s="724" t="str">
        <f>VLOOKUP($E1346,SP_2024_v28062025!$E$2:$M$1751,9,FALSE)</f>
        <v>PDA360</v>
      </c>
    </row>
    <row r="1347" spans="1:17">
      <c r="A1347">
        <v>2</v>
      </c>
      <c r="B1347" t="s">
        <v>12096</v>
      </c>
      <c r="C1347" t="s">
        <v>12153</v>
      </c>
      <c r="D1347" t="s">
        <v>12155</v>
      </c>
      <c r="E1347" t="s">
        <v>3823</v>
      </c>
      <c r="F1347" t="s">
        <v>3824</v>
      </c>
      <c r="G1347" s="712">
        <v>0</v>
      </c>
      <c r="H1347" s="711">
        <v>486416.5</v>
      </c>
      <c r="I1347" s="715">
        <v>486416.5</v>
      </c>
      <c r="J1347" s="711">
        <v>11872861.58</v>
      </c>
      <c r="K1347" s="711">
        <v>10822668.890000001</v>
      </c>
      <c r="L1347">
        <v>0</v>
      </c>
      <c r="M1347">
        <v>0</v>
      </c>
      <c r="N1347" s="711">
        <v>11872861.58</v>
      </c>
      <c r="O1347" s="711">
        <v>11309085.390000001</v>
      </c>
      <c r="P1347" s="711">
        <v>563776.18999999994</v>
      </c>
      <c r="Q1347" s="724" t="str">
        <f>VLOOKUP($E1347,SP_2024_v28062025!$E$2:$M$1751,9,FALSE)</f>
        <v>PDA360</v>
      </c>
    </row>
    <row r="1348" spans="1:17">
      <c r="A1348">
        <v>2</v>
      </c>
      <c r="B1348" t="s">
        <v>12096</v>
      </c>
      <c r="C1348" t="s">
        <v>12153</v>
      </c>
      <c r="D1348" t="s">
        <v>12155</v>
      </c>
      <c r="E1348" t="s">
        <v>3825</v>
      </c>
      <c r="F1348" t="s">
        <v>3826</v>
      </c>
      <c r="G1348" s="712">
        <v>0</v>
      </c>
      <c r="H1348" s="711">
        <v>400752.4</v>
      </c>
      <c r="I1348" s="715">
        <v>400752.4</v>
      </c>
      <c r="J1348" s="711">
        <v>11955966.300000001</v>
      </c>
      <c r="K1348" s="711">
        <v>10162140.800000001</v>
      </c>
      <c r="L1348">
        <v>0</v>
      </c>
      <c r="M1348">
        <v>0</v>
      </c>
      <c r="N1348" s="711">
        <v>11955966.300000001</v>
      </c>
      <c r="O1348" s="711">
        <v>10562893.199999999</v>
      </c>
      <c r="P1348" s="711">
        <v>1393073.1</v>
      </c>
      <c r="Q1348" s="724" t="str">
        <f>VLOOKUP($E1348,SP_2024_v28062025!$E$2:$M$1751,9,FALSE)</f>
        <v>PDA360</v>
      </c>
    </row>
    <row r="1349" spans="1:17">
      <c r="A1349">
        <v>2</v>
      </c>
      <c r="B1349" t="s">
        <v>12096</v>
      </c>
      <c r="C1349" t="s">
        <v>12153</v>
      </c>
      <c r="D1349" t="s">
        <v>12155</v>
      </c>
      <c r="E1349" t="s">
        <v>3827</v>
      </c>
      <c r="F1349" t="s">
        <v>3828</v>
      </c>
      <c r="G1349" s="712">
        <v>0</v>
      </c>
      <c r="H1349">
        <v>0</v>
      </c>
      <c r="I1349" s="713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 s="724" t="str">
        <f>VLOOKUP($E1349,SP_2024_v28062025!$E$2:$M$1751,9,FALSE)</f>
        <v>PDA360</v>
      </c>
    </row>
    <row r="1350" spans="1:17">
      <c r="A1350">
        <v>2</v>
      </c>
      <c r="B1350" t="s">
        <v>12096</v>
      </c>
      <c r="C1350" t="s">
        <v>12153</v>
      </c>
      <c r="D1350" t="s">
        <v>12155</v>
      </c>
      <c r="E1350" t="s">
        <v>3830</v>
      </c>
      <c r="F1350" t="s">
        <v>3831</v>
      </c>
      <c r="G1350" s="712">
        <v>0</v>
      </c>
      <c r="H1350">
        <v>0</v>
      </c>
      <c r="I1350" s="713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 s="724" t="str">
        <f>VLOOKUP($E1350,SP_2024_v28062025!$E$2:$M$1751,9,FALSE)</f>
        <v>PDA360</v>
      </c>
    </row>
    <row r="1351" spans="1:17">
      <c r="A1351">
        <v>2</v>
      </c>
      <c r="B1351" t="s">
        <v>12096</v>
      </c>
      <c r="C1351" t="s">
        <v>12153</v>
      </c>
      <c r="D1351" t="s">
        <v>12155</v>
      </c>
      <c r="E1351" t="s">
        <v>3832</v>
      </c>
      <c r="F1351" t="s">
        <v>3833</v>
      </c>
      <c r="G1351" s="712">
        <v>0</v>
      </c>
      <c r="H1351">
        <v>0</v>
      </c>
      <c r="I1351" s="713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 s="724" t="str">
        <f>VLOOKUP($E1351,SP_2024_v28062025!$E$2:$M$1751,9,FALSE)</f>
        <v>PDA360</v>
      </c>
    </row>
    <row r="1352" spans="1:17">
      <c r="A1352">
        <v>2</v>
      </c>
      <c r="B1352" t="s">
        <v>12096</v>
      </c>
      <c r="C1352" t="s">
        <v>12153</v>
      </c>
      <c r="D1352" t="s">
        <v>12155</v>
      </c>
      <c r="E1352" t="s">
        <v>3834</v>
      </c>
      <c r="F1352" t="s">
        <v>3835</v>
      </c>
      <c r="G1352" s="712">
        <v>0</v>
      </c>
      <c r="H1352">
        <v>0</v>
      </c>
      <c r="I1352" s="713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 s="724" t="str">
        <f>VLOOKUP($E1352,SP_2024_v28062025!$E$2:$M$1751,9,FALSE)</f>
        <v>PDA360</v>
      </c>
    </row>
    <row r="1353" spans="1:17">
      <c r="A1353">
        <v>2</v>
      </c>
      <c r="B1353" t="s">
        <v>12096</v>
      </c>
      <c r="C1353" t="s">
        <v>12153</v>
      </c>
      <c r="D1353" t="s">
        <v>12155</v>
      </c>
      <c r="E1353" t="s">
        <v>3836</v>
      </c>
      <c r="F1353" t="s">
        <v>3837</v>
      </c>
      <c r="G1353" s="712">
        <v>0</v>
      </c>
      <c r="H1353">
        <v>0</v>
      </c>
      <c r="I1353" s="71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 s="724" t="str">
        <f>VLOOKUP($E1353,SP_2024_v28062025!$E$2:$M$1751,9,FALSE)</f>
        <v>PDA360</v>
      </c>
    </row>
    <row r="1354" spans="1:17">
      <c r="A1354">
        <v>2</v>
      </c>
      <c r="B1354" t="s">
        <v>12096</v>
      </c>
      <c r="C1354" t="s">
        <v>12153</v>
      </c>
      <c r="D1354" t="s">
        <v>12155</v>
      </c>
      <c r="E1354" t="s">
        <v>3839</v>
      </c>
      <c r="F1354" t="s">
        <v>3840</v>
      </c>
      <c r="G1354" s="712">
        <v>0</v>
      </c>
      <c r="H1354">
        <v>0</v>
      </c>
      <c r="I1354" s="713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 s="724" t="str">
        <f>VLOOKUP($E1354,SP_2024_v28062025!$E$2:$M$1751,9,FALSE)</f>
        <v>PDA360</v>
      </c>
    </row>
    <row r="1355" spans="1:17">
      <c r="A1355">
        <v>2</v>
      </c>
      <c r="B1355" t="s">
        <v>12096</v>
      </c>
      <c r="C1355" t="s">
        <v>12153</v>
      </c>
      <c r="D1355" t="s">
        <v>12155</v>
      </c>
      <c r="E1355" t="s">
        <v>3841</v>
      </c>
      <c r="F1355" t="s">
        <v>3842</v>
      </c>
      <c r="G1355" s="712">
        <v>0</v>
      </c>
      <c r="H1355">
        <v>0</v>
      </c>
      <c r="I1355" s="713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 s="724" t="str">
        <f>VLOOKUP($E1355,SP_2024_v28062025!$E$2:$M$1751,9,FALSE)</f>
        <v>PDA360</v>
      </c>
    </row>
    <row r="1356" spans="1:17">
      <c r="A1356">
        <v>2</v>
      </c>
      <c r="B1356" t="s">
        <v>12096</v>
      </c>
      <c r="C1356" t="s">
        <v>12153</v>
      </c>
      <c r="D1356" t="s">
        <v>12155</v>
      </c>
      <c r="E1356" t="s">
        <v>3843</v>
      </c>
      <c r="F1356" t="s">
        <v>3844</v>
      </c>
      <c r="G1356" s="712">
        <v>0</v>
      </c>
      <c r="H1356">
        <v>0</v>
      </c>
      <c r="I1356" s="713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 s="724" t="str">
        <f>VLOOKUP($E1356,SP_2024_v28062025!$E$2:$M$1751,9,FALSE)</f>
        <v>PDA360</v>
      </c>
    </row>
    <row r="1357" spans="1:17">
      <c r="A1357">
        <v>2</v>
      </c>
      <c r="B1357" t="s">
        <v>12096</v>
      </c>
      <c r="C1357" t="s">
        <v>12153</v>
      </c>
      <c r="D1357" t="s">
        <v>12155</v>
      </c>
      <c r="E1357" t="s">
        <v>3845</v>
      </c>
      <c r="F1357" t="s">
        <v>3846</v>
      </c>
      <c r="G1357" s="712">
        <v>0</v>
      </c>
      <c r="H1357">
        <v>0</v>
      </c>
      <c r="I1357" s="713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 s="724" t="str">
        <f>VLOOKUP($E1357,SP_2024_v28062025!$E$2:$M$1751,9,FALSE)</f>
        <v>PDA360</v>
      </c>
    </row>
    <row r="1358" spans="1:17">
      <c r="A1358">
        <v>2</v>
      </c>
      <c r="B1358" t="s">
        <v>12096</v>
      </c>
      <c r="C1358" t="s">
        <v>12153</v>
      </c>
      <c r="D1358" t="s">
        <v>12155</v>
      </c>
      <c r="E1358" t="s">
        <v>3848</v>
      </c>
      <c r="F1358" t="s">
        <v>3849</v>
      </c>
      <c r="G1358" s="712">
        <v>0</v>
      </c>
      <c r="H1358">
        <v>0</v>
      </c>
      <c r="I1358" s="713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 s="724" t="str">
        <f>VLOOKUP($E1358,SP_2024_v28062025!$E$2:$M$1751,9,FALSE)</f>
        <v>PDA360</v>
      </c>
    </row>
    <row r="1359" spans="1:17">
      <c r="A1359">
        <v>2</v>
      </c>
      <c r="B1359" t="s">
        <v>12096</v>
      </c>
      <c r="C1359" t="s">
        <v>12153</v>
      </c>
      <c r="D1359" t="s">
        <v>12155</v>
      </c>
      <c r="E1359" t="s">
        <v>3850</v>
      </c>
      <c r="F1359" t="s">
        <v>3851</v>
      </c>
      <c r="G1359" s="712">
        <v>0</v>
      </c>
      <c r="H1359">
        <v>0</v>
      </c>
      <c r="I1359" s="713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 s="724" t="str">
        <f>VLOOKUP($E1359,SP_2024_v28062025!$E$2:$M$1751,9,FALSE)</f>
        <v>PDA360</v>
      </c>
    </row>
    <row r="1360" spans="1:17">
      <c r="A1360">
        <v>2</v>
      </c>
      <c r="B1360" t="s">
        <v>12096</v>
      </c>
      <c r="C1360" t="s">
        <v>12153</v>
      </c>
      <c r="D1360" t="s">
        <v>12155</v>
      </c>
      <c r="E1360" t="s">
        <v>3852</v>
      </c>
      <c r="F1360" t="s">
        <v>3853</v>
      </c>
      <c r="G1360" s="712">
        <v>0</v>
      </c>
      <c r="H1360">
        <v>0</v>
      </c>
      <c r="I1360" s="713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 s="724" t="str">
        <f>VLOOKUP($E1360,SP_2024_v28062025!$E$2:$M$1751,9,FALSE)</f>
        <v>PDA360</v>
      </c>
    </row>
    <row r="1361" spans="1:17">
      <c r="A1361">
        <v>2</v>
      </c>
      <c r="B1361" t="s">
        <v>12096</v>
      </c>
      <c r="C1361" t="s">
        <v>12153</v>
      </c>
      <c r="D1361" t="s">
        <v>12155</v>
      </c>
      <c r="E1361" t="s">
        <v>3854</v>
      </c>
      <c r="F1361" t="s">
        <v>3855</v>
      </c>
      <c r="G1361" s="712">
        <v>0</v>
      </c>
      <c r="H1361">
        <v>0</v>
      </c>
      <c r="I1361" s="713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 s="724" t="str">
        <f>VLOOKUP($E1361,SP_2024_v28062025!$E$2:$M$1751,9,FALSE)</f>
        <v>PDA360</v>
      </c>
    </row>
    <row r="1362" spans="1:17">
      <c r="A1362">
        <v>2</v>
      </c>
      <c r="B1362" t="s">
        <v>12096</v>
      </c>
      <c r="C1362" t="s">
        <v>12153</v>
      </c>
      <c r="D1362" t="s">
        <v>12155</v>
      </c>
      <c r="E1362" t="s">
        <v>3857</v>
      </c>
      <c r="F1362" t="s">
        <v>3858</v>
      </c>
      <c r="G1362" s="712">
        <v>0</v>
      </c>
      <c r="H1362">
        <v>0</v>
      </c>
      <c r="I1362" s="713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 s="724" t="str">
        <f>VLOOKUP($E1362,SP_2024_v28062025!$E$2:$M$1751,9,FALSE)</f>
        <v>PDA360</v>
      </c>
    </row>
    <row r="1363" spans="1:17">
      <c r="A1363">
        <v>2</v>
      </c>
      <c r="B1363" t="s">
        <v>12096</v>
      </c>
      <c r="C1363" t="s">
        <v>12153</v>
      </c>
      <c r="D1363" t="s">
        <v>12155</v>
      </c>
      <c r="E1363" t="s">
        <v>3859</v>
      </c>
      <c r="F1363" t="s">
        <v>3860</v>
      </c>
      <c r="G1363" s="712">
        <v>0</v>
      </c>
      <c r="H1363">
        <v>0</v>
      </c>
      <c r="I1363" s="71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 s="724" t="str">
        <f>VLOOKUP($E1363,SP_2024_v28062025!$E$2:$M$1751,9,FALSE)</f>
        <v>PDA360</v>
      </c>
    </row>
    <row r="1364" spans="1:17">
      <c r="A1364">
        <v>2</v>
      </c>
      <c r="B1364" t="s">
        <v>12096</v>
      </c>
      <c r="C1364" t="s">
        <v>12153</v>
      </c>
      <c r="D1364" t="s">
        <v>12155</v>
      </c>
      <c r="E1364" t="s">
        <v>3861</v>
      </c>
      <c r="F1364" t="s">
        <v>3862</v>
      </c>
      <c r="G1364" s="712">
        <v>0</v>
      </c>
      <c r="H1364">
        <v>0</v>
      </c>
      <c r="I1364" s="713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 s="724" t="str">
        <f>VLOOKUP($E1364,SP_2024_v28062025!$E$2:$M$1751,9,FALSE)</f>
        <v>PDA360</v>
      </c>
    </row>
    <row r="1365" spans="1:17">
      <c r="A1365">
        <v>2</v>
      </c>
      <c r="B1365" t="s">
        <v>12096</v>
      </c>
      <c r="C1365" t="s">
        <v>12153</v>
      </c>
      <c r="D1365" t="s">
        <v>12155</v>
      </c>
      <c r="E1365" t="s">
        <v>3863</v>
      </c>
      <c r="F1365" t="s">
        <v>3864</v>
      </c>
      <c r="G1365" s="712">
        <v>0</v>
      </c>
      <c r="H1365">
        <v>0</v>
      </c>
      <c r="I1365" s="713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 s="724" t="str">
        <f>VLOOKUP($E1365,SP_2024_v28062025!$E$2:$M$1751,9,FALSE)</f>
        <v>PDA360</v>
      </c>
    </row>
    <row r="1366" spans="1:17">
      <c r="A1366">
        <v>2</v>
      </c>
      <c r="B1366" t="s">
        <v>12096</v>
      </c>
      <c r="C1366" t="s">
        <v>12153</v>
      </c>
      <c r="D1366" t="s">
        <v>12155</v>
      </c>
      <c r="E1366" t="s">
        <v>3865</v>
      </c>
      <c r="F1366" t="s">
        <v>3866</v>
      </c>
      <c r="G1366" s="712">
        <v>0</v>
      </c>
      <c r="H1366">
        <v>0</v>
      </c>
      <c r="I1366" s="713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 s="724" t="str">
        <f>VLOOKUP($E1366,SP_2024_v28062025!$E$2:$M$1751,9,FALSE)</f>
        <v>PDA360</v>
      </c>
    </row>
    <row r="1367" spans="1:17">
      <c r="A1367">
        <v>2</v>
      </c>
      <c r="B1367" t="s">
        <v>12096</v>
      </c>
      <c r="C1367" t="s">
        <v>12153</v>
      </c>
      <c r="D1367" t="s">
        <v>12155</v>
      </c>
      <c r="E1367" t="s">
        <v>3867</v>
      </c>
      <c r="F1367" t="s">
        <v>3868</v>
      </c>
      <c r="G1367" s="712">
        <v>0</v>
      </c>
      <c r="H1367">
        <v>0</v>
      </c>
      <c r="I1367" s="713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 s="724" t="str">
        <f>VLOOKUP($E1367,SP_2024_v28062025!$E$2:$M$1751,9,FALSE)</f>
        <v>PDA360</v>
      </c>
    </row>
    <row r="1368" spans="1:17">
      <c r="A1368">
        <v>2</v>
      </c>
      <c r="B1368" t="s">
        <v>12096</v>
      </c>
      <c r="C1368" t="s">
        <v>12153</v>
      </c>
      <c r="D1368" t="s">
        <v>12155</v>
      </c>
      <c r="E1368" t="s">
        <v>3869</v>
      </c>
      <c r="F1368" t="s">
        <v>3870</v>
      </c>
      <c r="G1368" s="712">
        <v>0</v>
      </c>
      <c r="H1368">
        <v>0</v>
      </c>
      <c r="I1368" s="713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 s="724" t="str">
        <f>VLOOKUP($E1368,SP_2024_v28062025!$E$2:$M$1751,9,FALSE)</f>
        <v>PDA360</v>
      </c>
    </row>
    <row r="1369" spans="1:17">
      <c r="A1369">
        <v>2</v>
      </c>
      <c r="B1369" t="s">
        <v>12096</v>
      </c>
      <c r="C1369" t="s">
        <v>12153</v>
      </c>
      <c r="D1369" t="s">
        <v>12155</v>
      </c>
      <c r="E1369" t="s">
        <v>3871</v>
      </c>
      <c r="F1369" t="s">
        <v>3872</v>
      </c>
      <c r="G1369" s="712">
        <v>0</v>
      </c>
      <c r="H1369">
        <v>0</v>
      </c>
      <c r="I1369" s="713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 s="724" t="str">
        <f>VLOOKUP($E1369,SP_2024_v28062025!$E$2:$M$1751,9,FALSE)</f>
        <v>PDA360</v>
      </c>
    </row>
    <row r="1370" spans="1:17" ht="15.75" thickBot="1">
      <c r="A1370">
        <v>2</v>
      </c>
      <c r="B1370" t="s">
        <v>12096</v>
      </c>
      <c r="C1370" t="s">
        <v>12153</v>
      </c>
      <c r="D1370" t="s">
        <v>12155</v>
      </c>
      <c r="E1370" t="s">
        <v>3873</v>
      </c>
      <c r="F1370" t="s">
        <v>3874</v>
      </c>
      <c r="G1370" s="712">
        <v>0</v>
      </c>
      <c r="H1370">
        <v>0</v>
      </c>
      <c r="I1370" s="713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 s="724" t="str">
        <f>VLOOKUP($E1370,SP_2024_v28062025!$E$2:$M$1751,9,FALSE)</f>
        <v>PDA360</v>
      </c>
    </row>
    <row r="1371" spans="1:17" ht="15.75" thickBot="1">
      <c r="A1371" s="727">
        <v>2</v>
      </c>
      <c r="B1371" s="727" t="s">
        <v>12096</v>
      </c>
      <c r="C1371" s="727" t="s">
        <v>12153</v>
      </c>
      <c r="D1371" s="727" t="s">
        <v>12156</v>
      </c>
      <c r="E1371" s="727"/>
      <c r="F1371" s="729" t="s">
        <v>3875</v>
      </c>
      <c r="G1371" s="738">
        <v>0</v>
      </c>
      <c r="H1371" s="739">
        <v>10471919.970000001</v>
      </c>
      <c r="I1371" s="739">
        <v>10471919.970000001</v>
      </c>
      <c r="J1371" s="739">
        <v>31909766.09</v>
      </c>
      <c r="K1371" s="739">
        <v>26447855.879999999</v>
      </c>
      <c r="L1371" s="738">
        <v>0</v>
      </c>
      <c r="M1371" s="738">
        <v>0</v>
      </c>
      <c r="N1371" s="739">
        <v>31909766.09</v>
      </c>
      <c r="O1371" s="739">
        <v>36919775.850000001</v>
      </c>
      <c r="P1371" s="739">
        <v>-5010009.76</v>
      </c>
    </row>
    <row r="1372" spans="1:17">
      <c r="A1372">
        <v>2</v>
      </c>
      <c r="B1372" t="s">
        <v>12096</v>
      </c>
      <c r="C1372" t="s">
        <v>12153</v>
      </c>
      <c r="D1372" t="s">
        <v>12156</v>
      </c>
      <c r="E1372" t="s">
        <v>3877</v>
      </c>
      <c r="F1372" t="s">
        <v>3878</v>
      </c>
      <c r="G1372" s="712">
        <v>0</v>
      </c>
      <c r="H1372">
        <v>0</v>
      </c>
      <c r="I1372" s="713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 s="724" t="str">
        <f>VLOOKUP($E1372,SP_2024_v28062025!$E$2:$M$1751,9,FALSE)</f>
        <v>PDA360</v>
      </c>
    </row>
    <row r="1373" spans="1:17">
      <c r="A1373">
        <v>2</v>
      </c>
      <c r="B1373" t="s">
        <v>12096</v>
      </c>
      <c r="C1373" t="s">
        <v>12153</v>
      </c>
      <c r="D1373" t="s">
        <v>12156</v>
      </c>
      <c r="E1373" t="s">
        <v>3880</v>
      </c>
      <c r="F1373" t="s">
        <v>3881</v>
      </c>
      <c r="G1373" s="712">
        <v>0</v>
      </c>
      <c r="H1373">
        <v>0</v>
      </c>
      <c r="I1373" s="71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 s="724" t="str">
        <f>VLOOKUP($E1373,SP_2024_v28062025!$E$2:$M$1751,9,FALSE)</f>
        <v>PDA360</v>
      </c>
    </row>
    <row r="1374" spans="1:17">
      <c r="A1374">
        <v>2</v>
      </c>
      <c r="B1374" t="s">
        <v>12096</v>
      </c>
      <c r="C1374" t="s">
        <v>12153</v>
      </c>
      <c r="D1374" t="s">
        <v>12156</v>
      </c>
      <c r="E1374" t="s">
        <v>3882</v>
      </c>
      <c r="F1374" t="s">
        <v>3883</v>
      </c>
      <c r="G1374" s="712">
        <v>0</v>
      </c>
      <c r="H1374">
        <v>0</v>
      </c>
      <c r="I1374" s="713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 s="724" t="str">
        <f>VLOOKUP($E1374,SP_2024_v28062025!$E$2:$M$1751,9,FALSE)</f>
        <v>PDA360</v>
      </c>
    </row>
    <row r="1375" spans="1:17">
      <c r="A1375">
        <v>2</v>
      </c>
      <c r="B1375" t="s">
        <v>12096</v>
      </c>
      <c r="C1375" t="s">
        <v>12153</v>
      </c>
      <c r="D1375" t="s">
        <v>12156</v>
      </c>
      <c r="E1375" t="s">
        <v>3884</v>
      </c>
      <c r="F1375" t="s">
        <v>3885</v>
      </c>
      <c r="G1375" s="712">
        <v>0</v>
      </c>
      <c r="H1375">
        <v>0</v>
      </c>
      <c r="I1375" s="713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 s="724" t="str">
        <f>VLOOKUP($E1375,SP_2024_v28062025!$E$2:$M$1751,9,FALSE)</f>
        <v>PDA360</v>
      </c>
    </row>
    <row r="1376" spans="1:17">
      <c r="A1376">
        <v>2</v>
      </c>
      <c r="B1376" t="s">
        <v>12096</v>
      </c>
      <c r="C1376" t="s">
        <v>12153</v>
      </c>
      <c r="D1376" t="s">
        <v>12156</v>
      </c>
      <c r="E1376" t="s">
        <v>3886</v>
      </c>
      <c r="F1376" t="s">
        <v>3887</v>
      </c>
      <c r="G1376" s="712">
        <v>0</v>
      </c>
      <c r="H1376">
        <v>0</v>
      </c>
      <c r="I1376" s="713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 s="724" t="str">
        <f>VLOOKUP($E1376,SP_2024_v28062025!$E$2:$M$1751,9,FALSE)</f>
        <v>PDA360</v>
      </c>
    </row>
    <row r="1377" spans="1:17">
      <c r="A1377">
        <v>2</v>
      </c>
      <c r="B1377" t="s">
        <v>12096</v>
      </c>
      <c r="C1377" t="s">
        <v>12153</v>
      </c>
      <c r="D1377" t="s">
        <v>12156</v>
      </c>
      <c r="E1377" t="s">
        <v>3888</v>
      </c>
      <c r="F1377" t="s">
        <v>3889</v>
      </c>
      <c r="G1377" s="712">
        <v>0</v>
      </c>
      <c r="H1377">
        <v>0</v>
      </c>
      <c r="I1377" s="713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 s="724" t="str">
        <f>VLOOKUP($E1377,SP_2024_v28062025!$E$2:$M$1751,9,FALSE)</f>
        <v>PDA360</v>
      </c>
    </row>
    <row r="1378" spans="1:17">
      <c r="A1378">
        <v>2</v>
      </c>
      <c r="B1378" t="s">
        <v>12096</v>
      </c>
      <c r="C1378" t="s">
        <v>12153</v>
      </c>
      <c r="D1378" t="s">
        <v>12156</v>
      </c>
      <c r="E1378" t="s">
        <v>3890</v>
      </c>
      <c r="F1378" t="s">
        <v>3891</v>
      </c>
      <c r="G1378" s="712">
        <v>0</v>
      </c>
      <c r="H1378">
        <v>0</v>
      </c>
      <c r="I1378" s="713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 s="724" t="str">
        <f>VLOOKUP($E1378,SP_2024_v28062025!$E$2:$M$1751,9,FALSE)</f>
        <v>PDA360</v>
      </c>
    </row>
    <row r="1379" spans="1:17">
      <c r="A1379">
        <v>2</v>
      </c>
      <c r="B1379" t="s">
        <v>12096</v>
      </c>
      <c r="C1379" t="s">
        <v>12153</v>
      </c>
      <c r="D1379" t="s">
        <v>12156</v>
      </c>
      <c r="E1379" t="s">
        <v>3892</v>
      </c>
      <c r="F1379" t="s">
        <v>3893</v>
      </c>
      <c r="G1379" s="712">
        <v>0</v>
      </c>
      <c r="H1379">
        <v>0</v>
      </c>
      <c r="I1379" s="713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 s="724" t="str">
        <f>VLOOKUP($E1379,SP_2024_v28062025!$E$2:$M$1751,9,FALSE)</f>
        <v>PDA360</v>
      </c>
    </row>
    <row r="1380" spans="1:17">
      <c r="A1380">
        <v>2</v>
      </c>
      <c r="B1380" t="s">
        <v>12096</v>
      </c>
      <c r="C1380" t="s">
        <v>12153</v>
      </c>
      <c r="D1380" t="s">
        <v>12156</v>
      </c>
      <c r="E1380" t="s">
        <v>3895</v>
      </c>
      <c r="F1380" t="s">
        <v>3896</v>
      </c>
      <c r="G1380" s="712">
        <v>0</v>
      </c>
      <c r="H1380">
        <v>0</v>
      </c>
      <c r="I1380" s="713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 s="724" t="str">
        <f>VLOOKUP($E1380,SP_2024_v28062025!$E$2:$M$1751,9,FALSE)</f>
        <v>PDA360</v>
      </c>
    </row>
    <row r="1381" spans="1:17">
      <c r="A1381">
        <v>2</v>
      </c>
      <c r="B1381" t="s">
        <v>12096</v>
      </c>
      <c r="C1381" t="s">
        <v>12153</v>
      </c>
      <c r="D1381" t="s">
        <v>12156</v>
      </c>
      <c r="E1381" t="s">
        <v>3897</v>
      </c>
      <c r="F1381" t="s">
        <v>3898</v>
      </c>
      <c r="G1381" s="712">
        <v>0</v>
      </c>
      <c r="H1381">
        <v>0</v>
      </c>
      <c r="I1381" s="713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 s="724" t="str">
        <f>VLOOKUP($E1381,SP_2024_v28062025!$E$2:$M$1751,9,FALSE)</f>
        <v>PDA360</v>
      </c>
    </row>
    <row r="1382" spans="1:17">
      <c r="A1382">
        <v>2</v>
      </c>
      <c r="B1382" t="s">
        <v>12096</v>
      </c>
      <c r="C1382" t="s">
        <v>12153</v>
      </c>
      <c r="D1382" t="s">
        <v>12156</v>
      </c>
      <c r="E1382" t="s">
        <v>3899</v>
      </c>
      <c r="F1382" t="s">
        <v>3900</v>
      </c>
      <c r="G1382" s="712">
        <v>0</v>
      </c>
      <c r="H1382">
        <v>0</v>
      </c>
      <c r="I1382" s="713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 s="724" t="str">
        <f>VLOOKUP($E1382,SP_2024_v28062025!$E$2:$M$1751,9,FALSE)</f>
        <v>PDA360</v>
      </c>
    </row>
    <row r="1383" spans="1:17">
      <c r="A1383">
        <v>2</v>
      </c>
      <c r="B1383" t="s">
        <v>12096</v>
      </c>
      <c r="C1383" t="s">
        <v>12153</v>
      </c>
      <c r="D1383" t="s">
        <v>12156</v>
      </c>
      <c r="E1383" t="s">
        <v>3901</v>
      </c>
      <c r="F1383" t="s">
        <v>3902</v>
      </c>
      <c r="G1383" s="712">
        <v>0</v>
      </c>
      <c r="H1383">
        <v>0</v>
      </c>
      <c r="I1383" s="71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 s="724" t="str">
        <f>VLOOKUP($E1383,SP_2024_v28062025!$E$2:$M$1751,9,FALSE)</f>
        <v>PDA360</v>
      </c>
    </row>
    <row r="1384" spans="1:17">
      <c r="A1384">
        <v>2</v>
      </c>
      <c r="B1384" t="s">
        <v>12096</v>
      </c>
      <c r="C1384" t="s">
        <v>12153</v>
      </c>
      <c r="D1384" t="s">
        <v>12156</v>
      </c>
      <c r="E1384" t="s">
        <v>3903</v>
      </c>
      <c r="F1384" t="s">
        <v>3904</v>
      </c>
      <c r="G1384" s="712">
        <v>0</v>
      </c>
      <c r="H1384" s="711">
        <v>2136445.2200000002</v>
      </c>
      <c r="I1384" s="715">
        <v>2136445.2200000002</v>
      </c>
      <c r="J1384" s="711">
        <v>2136445.2200000002</v>
      </c>
      <c r="K1384">
        <v>0</v>
      </c>
      <c r="L1384">
        <v>0</v>
      </c>
      <c r="M1384">
        <v>0</v>
      </c>
      <c r="N1384" s="711">
        <v>2136445.2200000002</v>
      </c>
      <c r="O1384" s="711">
        <v>2136445.2200000002</v>
      </c>
      <c r="P1384">
        <v>0</v>
      </c>
      <c r="Q1384" s="724" t="str">
        <f>VLOOKUP($E1384,SP_2024_v28062025!$E$2:$M$1751,9,FALSE)</f>
        <v>PDA360</v>
      </c>
    </row>
    <row r="1385" spans="1:17">
      <c r="A1385">
        <v>2</v>
      </c>
      <c r="B1385" t="s">
        <v>12096</v>
      </c>
      <c r="C1385" t="s">
        <v>12153</v>
      </c>
      <c r="D1385" t="s">
        <v>12156</v>
      </c>
      <c r="E1385" t="s">
        <v>3905</v>
      </c>
      <c r="F1385" t="s">
        <v>3906</v>
      </c>
      <c r="G1385" s="712">
        <v>0</v>
      </c>
      <c r="H1385">
        <v>0</v>
      </c>
      <c r="I1385" s="713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 s="724" t="str">
        <f>VLOOKUP($E1385,SP_2024_v28062025!$E$2:$M$1751,9,FALSE)</f>
        <v>PDA360</v>
      </c>
    </row>
    <row r="1386" spans="1:17">
      <c r="A1386">
        <v>2</v>
      </c>
      <c r="B1386" t="s">
        <v>12096</v>
      </c>
      <c r="C1386" t="s">
        <v>12153</v>
      </c>
      <c r="D1386" t="s">
        <v>12156</v>
      </c>
      <c r="E1386" t="s">
        <v>3907</v>
      </c>
      <c r="F1386" t="s">
        <v>3908</v>
      </c>
      <c r="G1386" s="712">
        <v>0</v>
      </c>
      <c r="H1386" s="711">
        <v>10709.02</v>
      </c>
      <c r="I1386" s="715">
        <v>10709.02</v>
      </c>
      <c r="J1386" s="711">
        <v>10709.02</v>
      </c>
      <c r="K1386">
        <v>0</v>
      </c>
      <c r="L1386">
        <v>0</v>
      </c>
      <c r="M1386">
        <v>0</v>
      </c>
      <c r="N1386" s="711">
        <v>10709.02</v>
      </c>
      <c r="O1386" s="711">
        <v>10709.02</v>
      </c>
      <c r="P1386">
        <v>0</v>
      </c>
      <c r="Q1386" s="724" t="str">
        <f>VLOOKUP($E1386,SP_2024_v28062025!$E$2:$M$1751,9,FALSE)</f>
        <v>PDA360</v>
      </c>
    </row>
    <row r="1387" spans="1:17">
      <c r="A1387">
        <v>2</v>
      </c>
      <c r="B1387" t="s">
        <v>12096</v>
      </c>
      <c r="C1387" t="s">
        <v>12153</v>
      </c>
      <c r="D1387" t="s">
        <v>12156</v>
      </c>
      <c r="E1387" t="s">
        <v>3909</v>
      </c>
      <c r="F1387" t="s">
        <v>3910</v>
      </c>
      <c r="G1387" s="712">
        <v>0</v>
      </c>
      <c r="H1387">
        <v>0</v>
      </c>
      <c r="I1387" s="713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 s="724" t="str">
        <f>VLOOKUP($E1387,SP_2024_v28062025!$E$2:$M$1751,9,FALSE)</f>
        <v>PDA360</v>
      </c>
    </row>
    <row r="1388" spans="1:17">
      <c r="A1388">
        <v>2</v>
      </c>
      <c r="B1388" t="s">
        <v>12096</v>
      </c>
      <c r="C1388" t="s">
        <v>12153</v>
      </c>
      <c r="D1388" t="s">
        <v>12156</v>
      </c>
      <c r="E1388" t="s">
        <v>3911</v>
      </c>
      <c r="F1388" t="s">
        <v>3912</v>
      </c>
      <c r="G1388" s="712">
        <v>0</v>
      </c>
      <c r="H1388">
        <v>0</v>
      </c>
      <c r="I1388" s="713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 s="724" t="str">
        <f>VLOOKUP($E1388,SP_2024_v28062025!$E$2:$M$1751,9,FALSE)</f>
        <v>PDA360</v>
      </c>
    </row>
    <row r="1389" spans="1:17">
      <c r="A1389">
        <v>2</v>
      </c>
      <c r="B1389" t="s">
        <v>12096</v>
      </c>
      <c r="C1389" t="s">
        <v>12153</v>
      </c>
      <c r="D1389" t="s">
        <v>12156</v>
      </c>
      <c r="E1389" t="s">
        <v>3913</v>
      </c>
      <c r="F1389" t="s">
        <v>3914</v>
      </c>
      <c r="G1389" s="712">
        <v>0</v>
      </c>
      <c r="H1389" s="711">
        <v>146496.82</v>
      </c>
      <c r="I1389" s="715">
        <v>146496.82</v>
      </c>
      <c r="J1389" s="711">
        <v>146496.82</v>
      </c>
      <c r="K1389">
        <v>0</v>
      </c>
      <c r="L1389">
        <v>0</v>
      </c>
      <c r="M1389">
        <v>0</v>
      </c>
      <c r="N1389" s="711">
        <v>146496.82</v>
      </c>
      <c r="O1389" s="711">
        <v>146496.82</v>
      </c>
      <c r="P1389">
        <v>0</v>
      </c>
      <c r="Q1389" s="724" t="str">
        <f>VLOOKUP($E1389,SP_2024_v28062025!$E$2:$M$1751,9,FALSE)</f>
        <v>PDA360</v>
      </c>
    </row>
    <row r="1390" spans="1:17">
      <c r="A1390">
        <v>2</v>
      </c>
      <c r="B1390" t="s">
        <v>12096</v>
      </c>
      <c r="C1390" t="s">
        <v>12153</v>
      </c>
      <c r="D1390" t="s">
        <v>12156</v>
      </c>
      <c r="E1390" t="s">
        <v>3915</v>
      </c>
      <c r="F1390" t="s">
        <v>3916</v>
      </c>
      <c r="G1390" s="712">
        <v>0</v>
      </c>
      <c r="H1390" s="711">
        <v>446135.06</v>
      </c>
      <c r="I1390" s="715">
        <v>446135.06</v>
      </c>
      <c r="J1390" s="711">
        <v>446466.22</v>
      </c>
      <c r="K1390">
        <v>331.16</v>
      </c>
      <c r="L1390">
        <v>0</v>
      </c>
      <c r="M1390">
        <v>0</v>
      </c>
      <c r="N1390" s="711">
        <v>446466.22</v>
      </c>
      <c r="O1390" s="711">
        <v>446466.22</v>
      </c>
      <c r="P1390">
        <v>0</v>
      </c>
      <c r="Q1390" s="724" t="str">
        <f>VLOOKUP($E1390,SP_2024_v28062025!$E$2:$M$1751,9,FALSE)</f>
        <v>PDA360</v>
      </c>
    </row>
    <row r="1391" spans="1:17">
      <c r="A1391">
        <v>2</v>
      </c>
      <c r="B1391" t="s">
        <v>12096</v>
      </c>
      <c r="C1391" t="s">
        <v>12153</v>
      </c>
      <c r="D1391" t="s">
        <v>12156</v>
      </c>
      <c r="E1391" t="s">
        <v>3917</v>
      </c>
      <c r="F1391" t="s">
        <v>3918</v>
      </c>
      <c r="G1391" s="712">
        <v>0</v>
      </c>
      <c r="H1391" s="711">
        <v>115248.56</v>
      </c>
      <c r="I1391" s="715">
        <v>115248.56</v>
      </c>
      <c r="J1391" s="711">
        <v>115248.56</v>
      </c>
      <c r="K1391">
        <v>0</v>
      </c>
      <c r="L1391">
        <v>0</v>
      </c>
      <c r="M1391">
        <v>0</v>
      </c>
      <c r="N1391" s="711">
        <v>115248.56</v>
      </c>
      <c r="O1391" s="711">
        <v>115248.56</v>
      </c>
      <c r="P1391">
        <v>0</v>
      </c>
      <c r="Q1391" s="724" t="str">
        <f>VLOOKUP($E1391,SP_2024_v28062025!$E$2:$M$1751,9,FALSE)</f>
        <v>PDA360</v>
      </c>
    </row>
    <row r="1392" spans="1:17">
      <c r="A1392">
        <v>2</v>
      </c>
      <c r="B1392" t="s">
        <v>12096</v>
      </c>
      <c r="C1392" t="s">
        <v>12153</v>
      </c>
      <c r="D1392" t="s">
        <v>12156</v>
      </c>
      <c r="E1392" t="s">
        <v>3919</v>
      </c>
      <c r="F1392" t="s">
        <v>3920</v>
      </c>
      <c r="G1392" s="712">
        <v>0</v>
      </c>
      <c r="H1392" s="711">
        <v>630426.35</v>
      </c>
      <c r="I1392" s="715">
        <v>630426.35</v>
      </c>
      <c r="J1392">
        <v>0</v>
      </c>
      <c r="K1392" s="711">
        <v>1031.26</v>
      </c>
      <c r="L1392">
        <v>0</v>
      </c>
      <c r="M1392">
        <v>0</v>
      </c>
      <c r="N1392">
        <v>0</v>
      </c>
      <c r="O1392" s="711">
        <v>631457.61</v>
      </c>
      <c r="P1392" s="711">
        <v>-631457.61</v>
      </c>
      <c r="Q1392" s="724" t="str">
        <f>VLOOKUP($E1392,SP_2024_v28062025!$E$2:$M$1751,9,FALSE)</f>
        <v>PDA360</v>
      </c>
    </row>
    <row r="1393" spans="1:17">
      <c r="A1393">
        <v>2</v>
      </c>
      <c r="B1393" t="s">
        <v>12096</v>
      </c>
      <c r="C1393" t="s">
        <v>12153</v>
      </c>
      <c r="D1393" t="s">
        <v>12156</v>
      </c>
      <c r="E1393" t="s">
        <v>3921</v>
      </c>
      <c r="F1393" t="s">
        <v>3922</v>
      </c>
      <c r="G1393" s="712">
        <v>0</v>
      </c>
      <c r="H1393" s="711">
        <v>235445.29</v>
      </c>
      <c r="I1393" s="715">
        <v>235445.29</v>
      </c>
      <c r="J1393" s="711">
        <v>119470.17</v>
      </c>
      <c r="K1393">
        <v>0</v>
      </c>
      <c r="L1393">
        <v>0</v>
      </c>
      <c r="M1393">
        <v>0</v>
      </c>
      <c r="N1393" s="711">
        <v>119470.17</v>
      </c>
      <c r="O1393" s="711">
        <v>235445.29</v>
      </c>
      <c r="P1393" s="711">
        <v>-115975.12</v>
      </c>
      <c r="Q1393" s="724" t="str">
        <f>VLOOKUP($E1393,SP_2024_v28062025!$E$2:$M$1751,9,FALSE)</f>
        <v>PDA360</v>
      </c>
    </row>
    <row r="1394" spans="1:17">
      <c r="A1394">
        <v>2</v>
      </c>
      <c r="B1394" t="s">
        <v>12096</v>
      </c>
      <c r="C1394" t="s">
        <v>12153</v>
      </c>
      <c r="D1394" t="s">
        <v>12156</v>
      </c>
      <c r="E1394" t="s">
        <v>3923</v>
      </c>
      <c r="F1394" t="s">
        <v>3924</v>
      </c>
      <c r="G1394" s="712">
        <v>0</v>
      </c>
      <c r="H1394">
        <v>0</v>
      </c>
      <c r="I1394" s="713">
        <v>0</v>
      </c>
      <c r="J1394" s="711">
        <v>7884202.71</v>
      </c>
      <c r="K1394" s="711">
        <v>11824.59</v>
      </c>
      <c r="L1394">
        <v>0</v>
      </c>
      <c r="M1394">
        <v>0</v>
      </c>
      <c r="N1394" s="711">
        <v>7884202.71</v>
      </c>
      <c r="O1394" s="711">
        <v>11824.59</v>
      </c>
      <c r="P1394" s="711">
        <v>7872378.1200000001</v>
      </c>
      <c r="Q1394" s="724" t="str">
        <f>VLOOKUP($E1394,SP_2024_v28062025!$E$2:$M$1751,9,FALSE)</f>
        <v>PDA360</v>
      </c>
    </row>
    <row r="1395" spans="1:17">
      <c r="A1395">
        <v>2</v>
      </c>
      <c r="B1395" t="s">
        <v>12096</v>
      </c>
      <c r="C1395" t="s">
        <v>12153</v>
      </c>
      <c r="D1395" t="s">
        <v>12156</v>
      </c>
      <c r="E1395" t="s">
        <v>3925</v>
      </c>
      <c r="F1395" t="s">
        <v>3926</v>
      </c>
      <c r="G1395" s="712">
        <v>0</v>
      </c>
      <c r="H1395">
        <v>0</v>
      </c>
      <c r="I1395" s="713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 s="724" t="str">
        <f>VLOOKUP($E1395,SP_2024_v28062025!$E$2:$M$1751,9,FALSE)</f>
        <v>PDA360</v>
      </c>
    </row>
    <row r="1396" spans="1:17">
      <c r="A1396">
        <v>2</v>
      </c>
      <c r="B1396" t="s">
        <v>12096</v>
      </c>
      <c r="C1396" t="s">
        <v>12153</v>
      </c>
      <c r="D1396" t="s">
        <v>12156</v>
      </c>
      <c r="E1396" t="s">
        <v>3928</v>
      </c>
      <c r="F1396" t="s">
        <v>3929</v>
      </c>
      <c r="G1396" s="712">
        <v>0</v>
      </c>
      <c r="H1396">
        <v>0</v>
      </c>
      <c r="I1396" s="713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 s="724" t="str">
        <f>VLOOKUP($E1396,SP_2024_v28062025!$E$2:$M$1751,9,FALSE)</f>
        <v>PDA360</v>
      </c>
    </row>
    <row r="1397" spans="1:17">
      <c r="A1397">
        <v>2</v>
      </c>
      <c r="B1397" t="s">
        <v>12096</v>
      </c>
      <c r="C1397" t="s">
        <v>12153</v>
      </c>
      <c r="D1397" t="s">
        <v>12156</v>
      </c>
      <c r="E1397" t="s">
        <v>3930</v>
      </c>
      <c r="F1397" t="s">
        <v>3931</v>
      </c>
      <c r="G1397" s="712">
        <v>0</v>
      </c>
      <c r="H1397">
        <v>0</v>
      </c>
      <c r="I1397" s="713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 s="724" t="str">
        <f>VLOOKUP($E1397,SP_2024_v28062025!$E$2:$M$1751,9,FALSE)</f>
        <v>PDA360</v>
      </c>
    </row>
    <row r="1398" spans="1:17">
      <c r="A1398">
        <v>2</v>
      </c>
      <c r="B1398" t="s">
        <v>12096</v>
      </c>
      <c r="C1398" t="s">
        <v>12153</v>
      </c>
      <c r="D1398" t="s">
        <v>12156</v>
      </c>
      <c r="E1398" t="s">
        <v>3932</v>
      </c>
      <c r="F1398" t="s">
        <v>3933</v>
      </c>
      <c r="G1398" s="712">
        <v>0</v>
      </c>
      <c r="H1398">
        <v>0</v>
      </c>
      <c r="I1398" s="713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 s="724" t="str">
        <f>VLOOKUP($E1398,SP_2024_v28062025!$E$2:$M$1751,9,FALSE)</f>
        <v>PDA360</v>
      </c>
    </row>
    <row r="1399" spans="1:17">
      <c r="A1399">
        <v>2</v>
      </c>
      <c r="B1399" t="s">
        <v>12096</v>
      </c>
      <c r="C1399" t="s">
        <v>12153</v>
      </c>
      <c r="D1399" t="s">
        <v>12156</v>
      </c>
      <c r="E1399" t="s">
        <v>3934</v>
      </c>
      <c r="F1399" t="s">
        <v>3935</v>
      </c>
      <c r="G1399" s="712">
        <v>0</v>
      </c>
      <c r="H1399">
        <v>0</v>
      </c>
      <c r="I1399" s="713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 s="724" t="str">
        <f>VLOOKUP($E1399,SP_2024_v28062025!$E$2:$M$1751,9,FALSE)</f>
        <v>PDA360</v>
      </c>
    </row>
    <row r="1400" spans="1:17">
      <c r="A1400">
        <v>2</v>
      </c>
      <c r="B1400" t="s">
        <v>12096</v>
      </c>
      <c r="C1400" t="s">
        <v>12153</v>
      </c>
      <c r="D1400" t="s">
        <v>12156</v>
      </c>
      <c r="E1400" t="s">
        <v>3936</v>
      </c>
      <c r="F1400" t="s">
        <v>3937</v>
      </c>
      <c r="G1400" s="712">
        <v>0</v>
      </c>
      <c r="H1400">
        <v>0</v>
      </c>
      <c r="I1400" s="713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 s="724" t="str">
        <f>VLOOKUP($E1400,SP_2024_v28062025!$E$2:$M$1751,9,FALSE)</f>
        <v>PDA360</v>
      </c>
    </row>
    <row r="1401" spans="1:17">
      <c r="A1401">
        <v>2</v>
      </c>
      <c r="B1401" t="s">
        <v>12096</v>
      </c>
      <c r="C1401" t="s">
        <v>12153</v>
      </c>
      <c r="D1401" t="s">
        <v>12156</v>
      </c>
      <c r="E1401" t="s">
        <v>3939</v>
      </c>
      <c r="F1401" t="s">
        <v>3940</v>
      </c>
      <c r="G1401" s="712">
        <v>0</v>
      </c>
      <c r="H1401">
        <v>0</v>
      </c>
      <c r="I1401" s="713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 s="724" t="str">
        <f>VLOOKUP($E1401,SP_2024_v28062025!$E$2:$M$1751,9,FALSE)</f>
        <v>PDA360</v>
      </c>
    </row>
    <row r="1402" spans="1:17">
      <c r="A1402">
        <v>2</v>
      </c>
      <c r="B1402" t="s">
        <v>12096</v>
      </c>
      <c r="C1402" t="s">
        <v>12153</v>
      </c>
      <c r="D1402" t="s">
        <v>12156</v>
      </c>
      <c r="E1402" t="s">
        <v>3941</v>
      </c>
      <c r="F1402" t="s">
        <v>3942</v>
      </c>
      <c r="G1402" s="712">
        <v>0</v>
      </c>
      <c r="H1402">
        <v>0</v>
      </c>
      <c r="I1402" s="713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 s="724" t="str">
        <f>VLOOKUP($E1402,SP_2024_v28062025!$E$2:$M$1751,9,FALSE)</f>
        <v>PDA360</v>
      </c>
    </row>
    <row r="1403" spans="1:17">
      <c r="A1403">
        <v>2</v>
      </c>
      <c r="B1403" t="s">
        <v>12096</v>
      </c>
      <c r="C1403" t="s">
        <v>12153</v>
      </c>
      <c r="D1403" t="s">
        <v>12156</v>
      </c>
      <c r="E1403" t="s">
        <v>3943</v>
      </c>
      <c r="F1403" t="s">
        <v>3944</v>
      </c>
      <c r="G1403" s="712">
        <v>0</v>
      </c>
      <c r="H1403">
        <v>0</v>
      </c>
      <c r="I1403" s="71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 s="724" t="str">
        <f>VLOOKUP($E1403,SP_2024_v28062025!$E$2:$M$1751,9,FALSE)</f>
        <v>PDA360</v>
      </c>
    </row>
    <row r="1404" spans="1:17">
      <c r="A1404">
        <v>2</v>
      </c>
      <c r="B1404" t="s">
        <v>12096</v>
      </c>
      <c r="C1404" t="s">
        <v>12153</v>
      </c>
      <c r="D1404" t="s">
        <v>12156</v>
      </c>
      <c r="E1404" t="s">
        <v>3945</v>
      </c>
      <c r="F1404" t="s">
        <v>3946</v>
      </c>
      <c r="G1404" s="712">
        <v>0</v>
      </c>
      <c r="H1404">
        <v>0</v>
      </c>
      <c r="I1404" s="713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 s="724" t="str">
        <f>VLOOKUP($E1404,SP_2024_v28062025!$E$2:$M$1751,9,FALSE)</f>
        <v>PDA360</v>
      </c>
    </row>
    <row r="1405" spans="1:17">
      <c r="A1405">
        <v>2</v>
      </c>
      <c r="B1405" t="s">
        <v>12096</v>
      </c>
      <c r="C1405" t="s">
        <v>12153</v>
      </c>
      <c r="D1405" t="s">
        <v>12156</v>
      </c>
      <c r="E1405" t="s">
        <v>3947</v>
      </c>
      <c r="F1405" t="s">
        <v>3948</v>
      </c>
      <c r="G1405" s="712">
        <v>0</v>
      </c>
      <c r="H1405">
        <v>0</v>
      </c>
      <c r="I1405" s="713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 s="724" t="str">
        <f>VLOOKUP($E1405,SP_2024_v28062025!$E$2:$M$1751,9,FALSE)</f>
        <v>PDA360</v>
      </c>
    </row>
    <row r="1406" spans="1:17">
      <c r="A1406">
        <v>2</v>
      </c>
      <c r="B1406" t="s">
        <v>12096</v>
      </c>
      <c r="C1406" t="s">
        <v>12153</v>
      </c>
      <c r="D1406" t="s">
        <v>12156</v>
      </c>
      <c r="E1406" t="s">
        <v>3950</v>
      </c>
      <c r="F1406" t="s">
        <v>3951</v>
      </c>
      <c r="G1406" s="712">
        <v>0</v>
      </c>
      <c r="H1406">
        <v>0</v>
      </c>
      <c r="I1406" s="713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 s="724" t="str">
        <f>VLOOKUP($E1406,SP_2024_v28062025!$E$2:$M$1751,9,FALSE)</f>
        <v>PDA360</v>
      </c>
    </row>
    <row r="1407" spans="1:17">
      <c r="A1407">
        <v>2</v>
      </c>
      <c r="B1407" t="s">
        <v>12096</v>
      </c>
      <c r="C1407" t="s">
        <v>12153</v>
      </c>
      <c r="D1407" t="s">
        <v>12156</v>
      </c>
      <c r="E1407" t="s">
        <v>3952</v>
      </c>
      <c r="F1407" t="s">
        <v>3953</v>
      </c>
      <c r="G1407" s="712">
        <v>0</v>
      </c>
      <c r="H1407">
        <v>0</v>
      </c>
      <c r="I1407" s="713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 s="724" t="str">
        <f>VLOOKUP($E1407,SP_2024_v28062025!$E$2:$M$1751,9,FALSE)</f>
        <v>PDA360</v>
      </c>
    </row>
    <row r="1408" spans="1:17">
      <c r="A1408">
        <v>2</v>
      </c>
      <c r="B1408" t="s">
        <v>12096</v>
      </c>
      <c r="C1408" t="s">
        <v>12153</v>
      </c>
      <c r="D1408" t="s">
        <v>12156</v>
      </c>
      <c r="E1408" t="s">
        <v>3954</v>
      </c>
      <c r="F1408" t="s">
        <v>3955</v>
      </c>
      <c r="G1408" s="712">
        <v>0</v>
      </c>
      <c r="H1408">
        <v>0</v>
      </c>
      <c r="I1408" s="713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 s="724" t="str">
        <f>VLOOKUP($E1408,SP_2024_v28062025!$E$2:$M$1751,9,FALSE)</f>
        <v>PDA360</v>
      </c>
    </row>
    <row r="1409" spans="1:17">
      <c r="A1409">
        <v>2</v>
      </c>
      <c r="B1409" t="s">
        <v>12096</v>
      </c>
      <c r="C1409" t="s">
        <v>12153</v>
      </c>
      <c r="D1409" t="s">
        <v>12156</v>
      </c>
      <c r="E1409" t="s">
        <v>3956</v>
      </c>
      <c r="F1409" t="s">
        <v>3957</v>
      </c>
      <c r="G1409" s="712">
        <v>0</v>
      </c>
      <c r="H1409">
        <v>0</v>
      </c>
      <c r="I1409" s="713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 s="724" t="str">
        <f>VLOOKUP($E1409,SP_2024_v28062025!$E$2:$M$1751,9,FALSE)</f>
        <v>PDA360</v>
      </c>
    </row>
    <row r="1410" spans="1:17">
      <c r="A1410">
        <v>2</v>
      </c>
      <c r="B1410" t="s">
        <v>12096</v>
      </c>
      <c r="C1410" t="s">
        <v>12153</v>
      </c>
      <c r="D1410" t="s">
        <v>12156</v>
      </c>
      <c r="E1410" t="s">
        <v>3958</v>
      </c>
      <c r="F1410" t="s">
        <v>3959</v>
      </c>
      <c r="G1410" s="712">
        <v>0</v>
      </c>
      <c r="H1410">
        <v>0</v>
      </c>
      <c r="I1410" s="713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 s="724" t="str">
        <f>VLOOKUP($E1410,SP_2024_v28062025!$E$2:$M$1751,9,FALSE)</f>
        <v>PDA360</v>
      </c>
    </row>
    <row r="1411" spans="1:17">
      <c r="A1411">
        <v>2</v>
      </c>
      <c r="B1411" t="s">
        <v>12096</v>
      </c>
      <c r="C1411" t="s">
        <v>12153</v>
      </c>
      <c r="D1411" t="s">
        <v>12156</v>
      </c>
      <c r="E1411" t="s">
        <v>3961</v>
      </c>
      <c r="F1411" t="s">
        <v>3962</v>
      </c>
      <c r="G1411" s="712">
        <v>0</v>
      </c>
      <c r="H1411">
        <v>0</v>
      </c>
      <c r="I1411" s="713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 s="724" t="str">
        <f>VLOOKUP($E1411,SP_2024_v28062025!$E$2:$M$1751,9,FALSE)</f>
        <v>PDA360</v>
      </c>
    </row>
    <row r="1412" spans="1:17">
      <c r="A1412">
        <v>2</v>
      </c>
      <c r="B1412" t="s">
        <v>12096</v>
      </c>
      <c r="C1412" t="s">
        <v>12153</v>
      </c>
      <c r="D1412" t="s">
        <v>12156</v>
      </c>
      <c r="E1412" t="s">
        <v>3963</v>
      </c>
      <c r="F1412" t="s">
        <v>3964</v>
      </c>
      <c r="G1412" s="712">
        <v>0</v>
      </c>
      <c r="H1412">
        <v>0</v>
      </c>
      <c r="I1412" s="713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 s="724" t="str">
        <f>VLOOKUP($E1412,SP_2024_v28062025!$E$2:$M$1751,9,FALSE)</f>
        <v>PDA360</v>
      </c>
    </row>
    <row r="1413" spans="1:17">
      <c r="A1413">
        <v>2</v>
      </c>
      <c r="B1413" t="s">
        <v>12096</v>
      </c>
      <c r="C1413" t="s">
        <v>12153</v>
      </c>
      <c r="D1413" t="s">
        <v>12156</v>
      </c>
      <c r="E1413" t="s">
        <v>3965</v>
      </c>
      <c r="F1413" t="s">
        <v>3966</v>
      </c>
      <c r="G1413" s="712">
        <v>0</v>
      </c>
      <c r="H1413">
        <v>0</v>
      </c>
      <c r="I1413" s="7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 s="724" t="str">
        <f>VLOOKUP($E1413,SP_2024_v28062025!$E$2:$M$1751,9,FALSE)</f>
        <v>PDA360</v>
      </c>
    </row>
    <row r="1414" spans="1:17">
      <c r="A1414">
        <v>2</v>
      </c>
      <c r="B1414" t="s">
        <v>12096</v>
      </c>
      <c r="C1414" t="s">
        <v>12153</v>
      </c>
      <c r="D1414" t="s">
        <v>12156</v>
      </c>
      <c r="E1414" t="s">
        <v>3967</v>
      </c>
      <c r="F1414" t="s">
        <v>3968</v>
      </c>
      <c r="G1414" s="712">
        <v>0</v>
      </c>
      <c r="H1414">
        <v>0</v>
      </c>
      <c r="I1414" s="713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 s="724" t="str">
        <f>VLOOKUP($E1414,SP_2024_v28062025!$E$2:$M$1751,9,FALSE)</f>
        <v>PDA360</v>
      </c>
    </row>
    <row r="1415" spans="1:17">
      <c r="A1415">
        <v>2</v>
      </c>
      <c r="B1415" t="s">
        <v>12096</v>
      </c>
      <c r="C1415" t="s">
        <v>12153</v>
      </c>
      <c r="D1415" t="s">
        <v>12156</v>
      </c>
      <c r="E1415" t="s">
        <v>3969</v>
      </c>
      <c r="F1415" t="s">
        <v>3970</v>
      </c>
      <c r="G1415" s="712">
        <v>0</v>
      </c>
      <c r="H1415">
        <v>0</v>
      </c>
      <c r="I1415" s="713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 s="724" t="str">
        <f>VLOOKUP($E1415,SP_2024_v28062025!$E$2:$M$1751,9,FALSE)</f>
        <v>PDA360</v>
      </c>
    </row>
    <row r="1416" spans="1:17">
      <c r="A1416">
        <v>2</v>
      </c>
      <c r="B1416" t="s">
        <v>12096</v>
      </c>
      <c r="C1416" t="s">
        <v>12153</v>
      </c>
      <c r="D1416" t="s">
        <v>12156</v>
      </c>
      <c r="E1416" t="s">
        <v>3971</v>
      </c>
      <c r="F1416" t="s">
        <v>3972</v>
      </c>
      <c r="G1416" s="712">
        <v>0</v>
      </c>
      <c r="H1416">
        <v>0</v>
      </c>
      <c r="I1416" s="713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 s="724" t="str">
        <f>VLOOKUP($E1416,SP_2024_v28062025!$E$2:$M$1751,9,FALSE)</f>
        <v>PDA360</v>
      </c>
    </row>
    <row r="1417" spans="1:17">
      <c r="A1417">
        <v>2</v>
      </c>
      <c r="B1417" t="s">
        <v>12096</v>
      </c>
      <c r="C1417" t="s">
        <v>12153</v>
      </c>
      <c r="D1417" t="s">
        <v>12156</v>
      </c>
      <c r="E1417" t="s">
        <v>3973</v>
      </c>
      <c r="F1417" t="s">
        <v>3974</v>
      </c>
      <c r="G1417" s="712">
        <v>0</v>
      </c>
      <c r="H1417">
        <v>0</v>
      </c>
      <c r="I1417" s="713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 s="724" t="str">
        <f>VLOOKUP($E1417,SP_2024_v28062025!$E$2:$M$1751,9,FALSE)</f>
        <v>PDA360</v>
      </c>
    </row>
    <row r="1418" spans="1:17">
      <c r="A1418">
        <v>2</v>
      </c>
      <c r="B1418" t="s">
        <v>12096</v>
      </c>
      <c r="C1418" t="s">
        <v>12153</v>
      </c>
      <c r="D1418" t="s">
        <v>12156</v>
      </c>
      <c r="E1418" t="s">
        <v>3975</v>
      </c>
      <c r="F1418" t="s">
        <v>3976</v>
      </c>
      <c r="G1418" s="712">
        <v>0</v>
      </c>
      <c r="H1418">
        <v>0</v>
      </c>
      <c r="I1418" s="713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 s="724" t="str">
        <f>VLOOKUP($E1418,SP_2024_v28062025!$E$2:$M$1751,9,FALSE)</f>
        <v>PDA360</v>
      </c>
    </row>
    <row r="1419" spans="1:17">
      <c r="A1419">
        <v>2</v>
      </c>
      <c r="B1419" t="s">
        <v>12096</v>
      </c>
      <c r="C1419" t="s">
        <v>12153</v>
      </c>
      <c r="D1419" t="s">
        <v>12156</v>
      </c>
      <c r="E1419" t="s">
        <v>3977</v>
      </c>
      <c r="F1419" t="s">
        <v>3978</v>
      </c>
      <c r="G1419" s="712">
        <v>0</v>
      </c>
      <c r="H1419">
        <v>0</v>
      </c>
      <c r="I1419" s="713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 s="724" t="str">
        <f>VLOOKUP($E1419,SP_2024_v28062025!$E$2:$M$1751,9,FALSE)</f>
        <v>PDA360</v>
      </c>
    </row>
    <row r="1420" spans="1:17">
      <c r="A1420">
        <v>2</v>
      </c>
      <c r="B1420" t="s">
        <v>12096</v>
      </c>
      <c r="C1420" t="s">
        <v>12153</v>
      </c>
      <c r="D1420" t="s">
        <v>12156</v>
      </c>
      <c r="E1420" t="s">
        <v>3979</v>
      </c>
      <c r="F1420" t="s">
        <v>3980</v>
      </c>
      <c r="G1420" s="712">
        <v>0</v>
      </c>
      <c r="H1420">
        <v>0</v>
      </c>
      <c r="I1420" s="713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 s="724" t="str">
        <f>VLOOKUP($E1420,SP_2024_v28062025!$E$2:$M$1751,9,FALSE)</f>
        <v>PDA360</v>
      </c>
    </row>
    <row r="1421" spans="1:17">
      <c r="A1421">
        <v>2</v>
      </c>
      <c r="B1421" t="s">
        <v>12096</v>
      </c>
      <c r="C1421" t="s">
        <v>12153</v>
      </c>
      <c r="D1421" t="s">
        <v>12156</v>
      </c>
      <c r="E1421" t="s">
        <v>3981</v>
      </c>
      <c r="F1421" t="s">
        <v>3982</v>
      </c>
      <c r="G1421" s="712">
        <v>0</v>
      </c>
      <c r="H1421">
        <v>0</v>
      </c>
      <c r="I1421" s="713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 s="724" t="str">
        <f>VLOOKUP($E1421,SP_2024_v28062025!$E$2:$M$1751,9,FALSE)</f>
        <v>PDA360</v>
      </c>
    </row>
    <row r="1422" spans="1:17">
      <c r="A1422">
        <v>2</v>
      </c>
      <c r="B1422" t="s">
        <v>12096</v>
      </c>
      <c r="C1422" t="s">
        <v>12153</v>
      </c>
      <c r="D1422" t="s">
        <v>12156</v>
      </c>
      <c r="E1422" t="s">
        <v>3983</v>
      </c>
      <c r="F1422" t="s">
        <v>3984</v>
      </c>
      <c r="G1422" s="712">
        <v>0</v>
      </c>
      <c r="H1422">
        <v>0</v>
      </c>
      <c r="I1422" s="713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 s="724" t="str">
        <f>VLOOKUP($E1422,SP_2024_v28062025!$E$2:$M$1751,9,FALSE)</f>
        <v>PDA360</v>
      </c>
    </row>
    <row r="1423" spans="1:17">
      <c r="A1423">
        <v>2</v>
      </c>
      <c r="B1423" t="s">
        <v>12096</v>
      </c>
      <c r="C1423" t="s">
        <v>12153</v>
      </c>
      <c r="D1423" t="s">
        <v>12156</v>
      </c>
      <c r="E1423" t="s">
        <v>3985</v>
      </c>
      <c r="F1423" t="s">
        <v>3986</v>
      </c>
      <c r="G1423" s="712">
        <v>0</v>
      </c>
      <c r="H1423">
        <v>0</v>
      </c>
      <c r="I1423" s="71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 s="724" t="str">
        <f>VLOOKUP($E1423,SP_2024_v28062025!$E$2:$M$1751,9,FALSE)</f>
        <v>PDA360</v>
      </c>
    </row>
    <row r="1424" spans="1:17">
      <c r="A1424">
        <v>2</v>
      </c>
      <c r="B1424" t="s">
        <v>12096</v>
      </c>
      <c r="C1424" t="s">
        <v>12153</v>
      </c>
      <c r="D1424" t="s">
        <v>12156</v>
      </c>
      <c r="E1424" t="s">
        <v>3987</v>
      </c>
      <c r="F1424" t="s">
        <v>3988</v>
      </c>
      <c r="G1424" s="712">
        <v>0</v>
      </c>
      <c r="H1424">
        <v>0</v>
      </c>
      <c r="I1424" s="713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 s="724" t="str">
        <f>VLOOKUP($E1424,SP_2024_v28062025!$E$2:$M$1751,9,FALSE)</f>
        <v>PDA360</v>
      </c>
    </row>
    <row r="1425" spans="1:17">
      <c r="A1425">
        <v>2</v>
      </c>
      <c r="B1425" t="s">
        <v>12096</v>
      </c>
      <c r="C1425" t="s">
        <v>12153</v>
      </c>
      <c r="D1425" t="s">
        <v>12156</v>
      </c>
      <c r="E1425" t="s">
        <v>3989</v>
      </c>
      <c r="F1425" t="s">
        <v>3990</v>
      </c>
      <c r="G1425" s="712">
        <v>0</v>
      </c>
      <c r="H1425">
        <v>0</v>
      </c>
      <c r="I1425" s="713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 s="724" t="str">
        <f>VLOOKUP($E1425,SP_2024_v28062025!$E$2:$M$1751,9,FALSE)</f>
        <v>PDA360</v>
      </c>
    </row>
    <row r="1426" spans="1:17">
      <c r="A1426">
        <v>2</v>
      </c>
      <c r="B1426" t="s">
        <v>12096</v>
      </c>
      <c r="C1426" t="s">
        <v>12153</v>
      </c>
      <c r="D1426" t="s">
        <v>12156</v>
      </c>
      <c r="E1426" t="s">
        <v>3991</v>
      </c>
      <c r="F1426" t="s">
        <v>3992</v>
      </c>
      <c r="G1426" s="712">
        <v>0</v>
      </c>
      <c r="H1426">
        <v>0</v>
      </c>
      <c r="I1426" s="713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 s="724" t="str">
        <f>VLOOKUP($E1426,SP_2024_v28062025!$E$2:$M$1751,9,FALSE)</f>
        <v>PDA360</v>
      </c>
    </row>
    <row r="1427" spans="1:17">
      <c r="A1427">
        <v>2</v>
      </c>
      <c r="B1427" t="s">
        <v>12096</v>
      </c>
      <c r="C1427" t="s">
        <v>12153</v>
      </c>
      <c r="D1427" t="s">
        <v>12156</v>
      </c>
      <c r="E1427" t="s">
        <v>3993</v>
      </c>
      <c r="F1427" t="s">
        <v>3994</v>
      </c>
      <c r="G1427" s="712">
        <v>0</v>
      </c>
      <c r="H1427">
        <v>0</v>
      </c>
      <c r="I1427" s="713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 s="724" t="str">
        <f>VLOOKUP($E1427,SP_2024_v28062025!$E$2:$M$1751,9,FALSE)</f>
        <v>PDA360</v>
      </c>
    </row>
    <row r="1428" spans="1:17">
      <c r="A1428">
        <v>2</v>
      </c>
      <c r="B1428" t="s">
        <v>12096</v>
      </c>
      <c r="C1428" t="s">
        <v>12153</v>
      </c>
      <c r="D1428" t="s">
        <v>12156</v>
      </c>
      <c r="E1428" t="s">
        <v>3995</v>
      </c>
      <c r="F1428" t="s">
        <v>3996</v>
      </c>
      <c r="G1428" s="712">
        <v>0</v>
      </c>
      <c r="H1428">
        <v>0</v>
      </c>
      <c r="I1428" s="713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 s="724" t="str">
        <f>VLOOKUP($E1428,SP_2024_v28062025!$E$2:$M$1751,9,FALSE)</f>
        <v>PDA360</v>
      </c>
    </row>
    <row r="1429" spans="1:17">
      <c r="A1429">
        <v>2</v>
      </c>
      <c r="B1429" t="s">
        <v>12096</v>
      </c>
      <c r="C1429" t="s">
        <v>12153</v>
      </c>
      <c r="D1429" t="s">
        <v>12156</v>
      </c>
      <c r="E1429" t="s">
        <v>3997</v>
      </c>
      <c r="F1429" t="s">
        <v>3998</v>
      </c>
      <c r="G1429" s="712">
        <v>0</v>
      </c>
      <c r="H1429">
        <v>0</v>
      </c>
      <c r="I1429" s="713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 s="724" t="str">
        <f>VLOOKUP($E1429,SP_2024_v28062025!$E$2:$M$1751,9,FALSE)</f>
        <v>PDA360</v>
      </c>
    </row>
    <row r="1430" spans="1:17">
      <c r="A1430">
        <v>2</v>
      </c>
      <c r="B1430" t="s">
        <v>12096</v>
      </c>
      <c r="C1430" t="s">
        <v>12153</v>
      </c>
      <c r="D1430" t="s">
        <v>12156</v>
      </c>
      <c r="E1430" t="s">
        <v>3999</v>
      </c>
      <c r="F1430" t="s">
        <v>4000</v>
      </c>
      <c r="G1430" s="712">
        <v>0</v>
      </c>
      <c r="H1430">
        <v>0</v>
      </c>
      <c r="I1430" s="713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 s="724" t="str">
        <f>VLOOKUP($E1430,SP_2024_v28062025!$E$2:$M$1751,9,FALSE)</f>
        <v>PDA360</v>
      </c>
    </row>
    <row r="1431" spans="1:17">
      <c r="A1431">
        <v>2</v>
      </c>
      <c r="B1431" t="s">
        <v>12096</v>
      </c>
      <c r="C1431" t="s">
        <v>12153</v>
      </c>
      <c r="D1431" t="s">
        <v>12156</v>
      </c>
      <c r="E1431" t="s">
        <v>4001</v>
      </c>
      <c r="F1431" t="s">
        <v>4002</v>
      </c>
      <c r="G1431" s="712">
        <v>0</v>
      </c>
      <c r="H1431">
        <v>0</v>
      </c>
      <c r="I1431" s="713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 s="724" t="str">
        <f>VLOOKUP($E1431,SP_2024_v28062025!$E$2:$M$1751,9,FALSE)</f>
        <v>PDA360</v>
      </c>
    </row>
    <row r="1432" spans="1:17">
      <c r="A1432">
        <v>2</v>
      </c>
      <c r="B1432" t="s">
        <v>12096</v>
      </c>
      <c r="C1432" t="s">
        <v>12153</v>
      </c>
      <c r="D1432" t="s">
        <v>12156</v>
      </c>
      <c r="E1432" t="s">
        <v>4003</v>
      </c>
      <c r="F1432" t="s">
        <v>4004</v>
      </c>
      <c r="G1432" s="712">
        <v>0</v>
      </c>
      <c r="H1432">
        <v>0</v>
      </c>
      <c r="I1432" s="713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 s="724" t="str">
        <f>VLOOKUP($E1432,SP_2024_v28062025!$E$2:$M$1751,9,FALSE)</f>
        <v>PDA360</v>
      </c>
    </row>
    <row r="1433" spans="1:17">
      <c r="A1433">
        <v>2</v>
      </c>
      <c r="B1433" t="s">
        <v>12096</v>
      </c>
      <c r="C1433" t="s">
        <v>12153</v>
      </c>
      <c r="D1433" t="s">
        <v>12156</v>
      </c>
      <c r="E1433" t="s">
        <v>4005</v>
      </c>
      <c r="F1433" t="s">
        <v>4006</v>
      </c>
      <c r="G1433" s="712">
        <v>0</v>
      </c>
      <c r="H1433">
        <v>0</v>
      </c>
      <c r="I1433" s="71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 s="724" t="str">
        <f>VLOOKUP($E1433,SP_2024_v28062025!$E$2:$M$1751,9,FALSE)</f>
        <v>PDA360</v>
      </c>
    </row>
    <row r="1434" spans="1:17">
      <c r="A1434">
        <v>2</v>
      </c>
      <c r="B1434" t="s">
        <v>12096</v>
      </c>
      <c r="C1434" t="s">
        <v>12153</v>
      </c>
      <c r="D1434" t="s">
        <v>12156</v>
      </c>
      <c r="E1434" t="s">
        <v>4007</v>
      </c>
      <c r="F1434" t="s">
        <v>4008</v>
      </c>
      <c r="G1434" s="712">
        <v>0</v>
      </c>
      <c r="H1434">
        <v>0</v>
      </c>
      <c r="I1434" s="713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 s="724" t="str">
        <f>VLOOKUP($E1434,SP_2024_v28062025!$E$2:$M$1751,9,FALSE)</f>
        <v>PDA360</v>
      </c>
    </row>
    <row r="1435" spans="1:17">
      <c r="A1435">
        <v>2</v>
      </c>
      <c r="B1435" t="s">
        <v>12096</v>
      </c>
      <c r="C1435" t="s">
        <v>12153</v>
      </c>
      <c r="D1435" t="s">
        <v>12156</v>
      </c>
      <c r="E1435" t="s">
        <v>4010</v>
      </c>
      <c r="F1435" t="s">
        <v>4011</v>
      </c>
      <c r="G1435" s="712">
        <v>0</v>
      </c>
      <c r="H1435">
        <v>0</v>
      </c>
      <c r="I1435" s="713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 s="724" t="str">
        <f>VLOOKUP($E1435,SP_2024_v28062025!$E$2:$M$1751,9,FALSE)</f>
        <v>PDA360</v>
      </c>
    </row>
    <row r="1436" spans="1:17">
      <c r="A1436">
        <v>2</v>
      </c>
      <c r="B1436" t="s">
        <v>12096</v>
      </c>
      <c r="C1436" t="s">
        <v>12153</v>
      </c>
      <c r="D1436" t="s">
        <v>12156</v>
      </c>
      <c r="E1436" t="s">
        <v>4012</v>
      </c>
      <c r="F1436" t="s">
        <v>4013</v>
      </c>
      <c r="G1436" s="712">
        <v>0</v>
      </c>
      <c r="H1436">
        <v>0</v>
      </c>
      <c r="I1436" s="713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 s="724" t="str">
        <f>VLOOKUP($E1436,SP_2024_v28062025!$E$2:$M$1751,9,FALSE)</f>
        <v>PDA360</v>
      </c>
    </row>
    <row r="1437" spans="1:17">
      <c r="A1437">
        <v>2</v>
      </c>
      <c r="B1437" t="s">
        <v>12096</v>
      </c>
      <c r="C1437" t="s">
        <v>12153</v>
      </c>
      <c r="D1437" t="s">
        <v>12156</v>
      </c>
      <c r="E1437" t="s">
        <v>4014</v>
      </c>
      <c r="F1437" t="s">
        <v>4015</v>
      </c>
      <c r="G1437" s="712">
        <v>0</v>
      </c>
      <c r="H1437">
        <v>0</v>
      </c>
      <c r="I1437" s="713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 s="724" t="str">
        <f>VLOOKUP($E1437,SP_2024_v28062025!$E$2:$M$1751,9,FALSE)</f>
        <v>PDA360</v>
      </c>
    </row>
    <row r="1438" spans="1:17">
      <c r="A1438">
        <v>2</v>
      </c>
      <c r="B1438" t="s">
        <v>12096</v>
      </c>
      <c r="C1438" t="s">
        <v>12153</v>
      </c>
      <c r="D1438" t="s">
        <v>12156</v>
      </c>
      <c r="E1438" t="s">
        <v>4016</v>
      </c>
      <c r="F1438" t="s">
        <v>4017</v>
      </c>
      <c r="G1438" s="712">
        <v>0</v>
      </c>
      <c r="H1438">
        <v>0</v>
      </c>
      <c r="I1438" s="713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 s="724" t="str">
        <f>VLOOKUP($E1438,SP_2024_v28062025!$E$2:$M$1751,9,FALSE)</f>
        <v>PDA360</v>
      </c>
    </row>
    <row r="1439" spans="1:17">
      <c r="A1439">
        <v>2</v>
      </c>
      <c r="B1439" t="s">
        <v>12096</v>
      </c>
      <c r="C1439" t="s">
        <v>12153</v>
      </c>
      <c r="D1439" t="s">
        <v>12156</v>
      </c>
      <c r="E1439" t="s">
        <v>4018</v>
      </c>
      <c r="F1439" t="s">
        <v>4019</v>
      </c>
      <c r="G1439" s="712">
        <v>0</v>
      </c>
      <c r="H1439">
        <v>0</v>
      </c>
      <c r="I1439" s="713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 s="724" t="str">
        <f>VLOOKUP($E1439,SP_2024_v28062025!$E$2:$M$1751,9,FALSE)</f>
        <v>PDA360</v>
      </c>
    </row>
    <row r="1440" spans="1:17">
      <c r="A1440">
        <v>2</v>
      </c>
      <c r="B1440" t="s">
        <v>12096</v>
      </c>
      <c r="C1440" t="s">
        <v>12153</v>
      </c>
      <c r="D1440" t="s">
        <v>12156</v>
      </c>
      <c r="E1440" t="s">
        <v>4020</v>
      </c>
      <c r="F1440" t="s">
        <v>4021</v>
      </c>
      <c r="G1440" s="712">
        <v>0</v>
      </c>
      <c r="H1440">
        <v>0</v>
      </c>
      <c r="I1440" s="713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 s="724" t="str">
        <f>VLOOKUP($E1440,SP_2024_v28062025!$E$2:$M$1751,9,FALSE)</f>
        <v>PDA360</v>
      </c>
    </row>
    <row r="1441" spans="1:17">
      <c r="A1441">
        <v>2</v>
      </c>
      <c r="B1441" t="s">
        <v>12096</v>
      </c>
      <c r="C1441" t="s">
        <v>12153</v>
      </c>
      <c r="D1441" t="s">
        <v>12156</v>
      </c>
      <c r="E1441" t="s">
        <v>4022</v>
      </c>
      <c r="F1441" t="s">
        <v>4023</v>
      </c>
      <c r="G1441" s="712">
        <v>0</v>
      </c>
      <c r="H1441">
        <v>0</v>
      </c>
      <c r="I1441" s="713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 s="724" t="str">
        <f>VLOOKUP($E1441,SP_2024_v28062025!$E$2:$M$1751,9,FALSE)</f>
        <v>PDA360</v>
      </c>
    </row>
    <row r="1442" spans="1:17">
      <c r="A1442">
        <v>2</v>
      </c>
      <c r="B1442" t="s">
        <v>12096</v>
      </c>
      <c r="C1442" t="s">
        <v>12153</v>
      </c>
      <c r="D1442" t="s">
        <v>12156</v>
      </c>
      <c r="E1442" t="s">
        <v>4024</v>
      </c>
      <c r="F1442" t="s">
        <v>4025</v>
      </c>
      <c r="G1442" s="712">
        <v>0</v>
      </c>
      <c r="H1442">
        <v>0</v>
      </c>
      <c r="I1442" s="713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 s="724" t="str">
        <f>VLOOKUP($E1442,SP_2024_v28062025!$E$2:$M$1751,9,FALSE)</f>
        <v>PDA360</v>
      </c>
    </row>
    <row r="1443" spans="1:17">
      <c r="A1443">
        <v>2</v>
      </c>
      <c r="B1443" t="s">
        <v>12096</v>
      </c>
      <c r="C1443" t="s">
        <v>12153</v>
      </c>
      <c r="D1443" t="s">
        <v>12156</v>
      </c>
      <c r="E1443" t="s">
        <v>4026</v>
      </c>
      <c r="F1443" t="s">
        <v>4027</v>
      </c>
      <c r="G1443" s="712">
        <v>0</v>
      </c>
      <c r="H1443">
        <v>0</v>
      </c>
      <c r="I1443" s="71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 s="724" t="str">
        <f>VLOOKUP($E1443,SP_2024_v28062025!$E$2:$M$1751,9,FALSE)</f>
        <v>PDA360</v>
      </c>
    </row>
    <row r="1444" spans="1:17">
      <c r="A1444">
        <v>2</v>
      </c>
      <c r="B1444" t="s">
        <v>12096</v>
      </c>
      <c r="C1444" t="s">
        <v>12153</v>
      </c>
      <c r="D1444" t="s">
        <v>12156</v>
      </c>
      <c r="E1444" t="s">
        <v>4028</v>
      </c>
      <c r="F1444" t="s">
        <v>4029</v>
      </c>
      <c r="G1444" s="712">
        <v>0</v>
      </c>
      <c r="H1444">
        <v>0</v>
      </c>
      <c r="I1444" s="713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 s="724" t="str">
        <f>VLOOKUP($E1444,SP_2024_v28062025!$E$2:$M$1751,9,FALSE)</f>
        <v>PDA360</v>
      </c>
    </row>
    <row r="1445" spans="1:17">
      <c r="A1445">
        <v>2</v>
      </c>
      <c r="B1445" t="s">
        <v>12096</v>
      </c>
      <c r="C1445" t="s">
        <v>12153</v>
      </c>
      <c r="D1445" t="s">
        <v>12156</v>
      </c>
      <c r="E1445" t="s">
        <v>4030</v>
      </c>
      <c r="F1445" t="s">
        <v>4031</v>
      </c>
      <c r="G1445" s="712">
        <v>0</v>
      </c>
      <c r="H1445">
        <v>0</v>
      </c>
      <c r="I1445" s="713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 s="724" t="str">
        <f>VLOOKUP($E1445,SP_2024_v28062025!$E$2:$M$1751,9,FALSE)</f>
        <v>PDA360</v>
      </c>
    </row>
    <row r="1446" spans="1:17">
      <c r="A1446">
        <v>2</v>
      </c>
      <c r="B1446" t="s">
        <v>12096</v>
      </c>
      <c r="C1446" t="s">
        <v>12153</v>
      </c>
      <c r="D1446" t="s">
        <v>12156</v>
      </c>
      <c r="E1446" t="s">
        <v>4032</v>
      </c>
      <c r="F1446" t="s">
        <v>4033</v>
      </c>
      <c r="G1446" s="712">
        <v>0</v>
      </c>
      <c r="H1446">
        <v>0</v>
      </c>
      <c r="I1446" s="713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 s="724" t="str">
        <f>VLOOKUP($E1446,SP_2024_v28062025!$E$2:$M$1751,9,FALSE)</f>
        <v>PDA360</v>
      </c>
    </row>
    <row r="1447" spans="1:17">
      <c r="A1447">
        <v>2</v>
      </c>
      <c r="B1447" t="s">
        <v>12096</v>
      </c>
      <c r="C1447" t="s">
        <v>12153</v>
      </c>
      <c r="D1447" t="s">
        <v>12156</v>
      </c>
      <c r="E1447" t="s">
        <v>4034</v>
      </c>
      <c r="F1447" t="s">
        <v>4035</v>
      </c>
      <c r="G1447" s="712">
        <v>0</v>
      </c>
      <c r="H1447">
        <v>0</v>
      </c>
      <c r="I1447" s="713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 s="724" t="str">
        <f>VLOOKUP($E1447,SP_2024_v28062025!$E$2:$M$1751,9,FALSE)</f>
        <v>PDA360</v>
      </c>
    </row>
    <row r="1448" spans="1:17">
      <c r="A1448">
        <v>2</v>
      </c>
      <c r="B1448" t="s">
        <v>12096</v>
      </c>
      <c r="C1448" t="s">
        <v>12153</v>
      </c>
      <c r="D1448" t="s">
        <v>12156</v>
      </c>
      <c r="E1448" t="s">
        <v>4036</v>
      </c>
      <c r="F1448" t="s">
        <v>4037</v>
      </c>
      <c r="G1448" s="712">
        <v>0</v>
      </c>
      <c r="H1448">
        <v>0</v>
      </c>
      <c r="I1448" s="713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 s="724" t="str">
        <f>VLOOKUP($E1448,SP_2024_v28062025!$E$2:$M$1751,9,FALSE)</f>
        <v>PDA360</v>
      </c>
    </row>
    <row r="1449" spans="1:17">
      <c r="A1449">
        <v>2</v>
      </c>
      <c r="B1449" t="s">
        <v>12096</v>
      </c>
      <c r="C1449" t="s">
        <v>12153</v>
      </c>
      <c r="D1449" t="s">
        <v>12156</v>
      </c>
      <c r="E1449" t="s">
        <v>4038</v>
      </c>
      <c r="F1449" t="s">
        <v>4039</v>
      </c>
      <c r="G1449" s="712">
        <v>0</v>
      </c>
      <c r="H1449">
        <v>0</v>
      </c>
      <c r="I1449" s="713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 s="724" t="str">
        <f>VLOOKUP($E1449,SP_2024_v28062025!$E$2:$M$1751,9,FALSE)</f>
        <v>PDA360</v>
      </c>
    </row>
    <row r="1450" spans="1:17">
      <c r="A1450">
        <v>2</v>
      </c>
      <c r="B1450" t="s">
        <v>12096</v>
      </c>
      <c r="C1450" t="s">
        <v>12153</v>
      </c>
      <c r="D1450" t="s">
        <v>12156</v>
      </c>
      <c r="E1450" t="s">
        <v>4040</v>
      </c>
      <c r="F1450" t="s">
        <v>4041</v>
      </c>
      <c r="G1450" s="712">
        <v>0</v>
      </c>
      <c r="H1450">
        <v>0</v>
      </c>
      <c r="I1450" s="713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 s="724" t="str">
        <f>VLOOKUP($E1450,SP_2024_v28062025!$E$2:$M$1751,9,FALSE)</f>
        <v>PDA360</v>
      </c>
    </row>
    <row r="1451" spans="1:17">
      <c r="A1451">
        <v>2</v>
      </c>
      <c r="B1451" t="s">
        <v>12096</v>
      </c>
      <c r="C1451" t="s">
        <v>12153</v>
      </c>
      <c r="D1451" t="s">
        <v>12156</v>
      </c>
      <c r="E1451" t="s">
        <v>4042</v>
      </c>
      <c r="F1451" t="s">
        <v>4043</v>
      </c>
      <c r="G1451" s="712">
        <v>0</v>
      </c>
      <c r="H1451">
        <v>0</v>
      </c>
      <c r="I1451" s="713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 s="724" t="str">
        <f>VLOOKUP($E1451,SP_2024_v28062025!$E$2:$M$1751,9,FALSE)</f>
        <v>PDA360</v>
      </c>
    </row>
    <row r="1452" spans="1:17">
      <c r="A1452">
        <v>2</v>
      </c>
      <c r="B1452" t="s">
        <v>12096</v>
      </c>
      <c r="C1452" t="s">
        <v>12153</v>
      </c>
      <c r="D1452" t="s">
        <v>12156</v>
      </c>
      <c r="E1452" t="s">
        <v>4044</v>
      </c>
      <c r="F1452" t="s">
        <v>4045</v>
      </c>
      <c r="G1452" s="712">
        <v>0</v>
      </c>
      <c r="H1452">
        <v>0</v>
      </c>
      <c r="I1452" s="713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 s="724" t="str">
        <f>VLOOKUP($E1452,SP_2024_v28062025!$E$2:$M$1751,9,FALSE)</f>
        <v>PDA360</v>
      </c>
    </row>
    <row r="1453" spans="1:17">
      <c r="A1453">
        <v>2</v>
      </c>
      <c r="B1453" t="s">
        <v>12096</v>
      </c>
      <c r="C1453" t="s">
        <v>12153</v>
      </c>
      <c r="D1453" t="s">
        <v>12156</v>
      </c>
      <c r="E1453" t="s">
        <v>4046</v>
      </c>
      <c r="F1453" t="s">
        <v>4047</v>
      </c>
      <c r="G1453" s="712">
        <v>0</v>
      </c>
      <c r="H1453">
        <v>0</v>
      </c>
      <c r="I1453" s="71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 s="724" t="str">
        <f>VLOOKUP($E1453,SP_2024_v28062025!$E$2:$M$1751,9,FALSE)</f>
        <v>PDA360</v>
      </c>
    </row>
    <row r="1454" spans="1:17">
      <c r="A1454">
        <v>2</v>
      </c>
      <c r="B1454" t="s">
        <v>12096</v>
      </c>
      <c r="C1454" t="s">
        <v>12153</v>
      </c>
      <c r="D1454" t="s">
        <v>12156</v>
      </c>
      <c r="E1454" t="s">
        <v>4048</v>
      </c>
      <c r="F1454" t="s">
        <v>4049</v>
      </c>
      <c r="G1454" s="712">
        <v>0</v>
      </c>
      <c r="H1454">
        <v>0</v>
      </c>
      <c r="I1454" s="713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 s="724" t="str">
        <f>VLOOKUP($E1454,SP_2024_v28062025!$E$2:$M$1751,9,FALSE)</f>
        <v>PDA360</v>
      </c>
    </row>
    <row r="1455" spans="1:17">
      <c r="A1455">
        <v>2</v>
      </c>
      <c r="B1455" t="s">
        <v>12096</v>
      </c>
      <c r="C1455" t="s">
        <v>12153</v>
      </c>
      <c r="D1455" t="s">
        <v>12156</v>
      </c>
      <c r="E1455" t="s">
        <v>4051</v>
      </c>
      <c r="F1455" t="s">
        <v>4052</v>
      </c>
      <c r="G1455" s="712">
        <v>0</v>
      </c>
      <c r="H1455">
        <v>0</v>
      </c>
      <c r="I1455" s="713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 s="724" t="str">
        <f>VLOOKUP($E1455,SP_2024_v28062025!$E$2:$M$1751,9,FALSE)</f>
        <v>PDA360</v>
      </c>
    </row>
    <row r="1456" spans="1:17">
      <c r="A1456">
        <v>2</v>
      </c>
      <c r="B1456" t="s">
        <v>12096</v>
      </c>
      <c r="C1456" t="s">
        <v>12153</v>
      </c>
      <c r="D1456" t="s">
        <v>12156</v>
      </c>
      <c r="E1456" t="s">
        <v>4053</v>
      </c>
      <c r="F1456" t="s">
        <v>4054</v>
      </c>
      <c r="G1456" s="712">
        <v>0</v>
      </c>
      <c r="H1456">
        <v>0</v>
      </c>
      <c r="I1456" s="713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 s="724" t="str">
        <f>VLOOKUP($E1456,SP_2024_v28062025!$E$2:$M$1751,9,FALSE)</f>
        <v>PDA360</v>
      </c>
    </row>
    <row r="1457" spans="1:17">
      <c r="A1457">
        <v>2</v>
      </c>
      <c r="B1457" t="s">
        <v>12096</v>
      </c>
      <c r="C1457" t="s">
        <v>12153</v>
      </c>
      <c r="D1457" t="s">
        <v>12156</v>
      </c>
      <c r="E1457" t="s">
        <v>4055</v>
      </c>
      <c r="F1457" t="s">
        <v>4056</v>
      </c>
      <c r="G1457" s="712">
        <v>0</v>
      </c>
      <c r="H1457">
        <v>0</v>
      </c>
      <c r="I1457" s="713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 s="724" t="str">
        <f>VLOOKUP($E1457,SP_2024_v28062025!$E$2:$M$1751,9,FALSE)</f>
        <v>PDA360</v>
      </c>
    </row>
    <row r="1458" spans="1:17">
      <c r="A1458">
        <v>2</v>
      </c>
      <c r="B1458" t="s">
        <v>12096</v>
      </c>
      <c r="C1458" t="s">
        <v>12153</v>
      </c>
      <c r="D1458" t="s">
        <v>12156</v>
      </c>
      <c r="E1458" t="s">
        <v>4057</v>
      </c>
      <c r="F1458" t="s">
        <v>4058</v>
      </c>
      <c r="G1458" s="712">
        <v>0</v>
      </c>
      <c r="H1458">
        <v>0</v>
      </c>
      <c r="I1458" s="713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 s="724" t="str">
        <f>VLOOKUP($E1458,SP_2024_v28062025!$E$2:$M$1751,9,FALSE)</f>
        <v>PDA360</v>
      </c>
    </row>
    <row r="1459" spans="1:17">
      <c r="A1459">
        <v>2</v>
      </c>
      <c r="B1459" t="s">
        <v>12096</v>
      </c>
      <c r="C1459" t="s">
        <v>12153</v>
      </c>
      <c r="D1459" t="s">
        <v>12156</v>
      </c>
      <c r="E1459" t="s">
        <v>4059</v>
      </c>
      <c r="F1459" t="s">
        <v>4060</v>
      </c>
      <c r="G1459" s="712">
        <v>0</v>
      </c>
      <c r="H1459">
        <v>0</v>
      </c>
      <c r="I1459" s="713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 s="724" t="str">
        <f>VLOOKUP($E1459,SP_2024_v28062025!$E$2:$M$1751,9,FALSE)</f>
        <v>PDA360</v>
      </c>
    </row>
    <row r="1460" spans="1:17">
      <c r="A1460">
        <v>2</v>
      </c>
      <c r="B1460" t="s">
        <v>12096</v>
      </c>
      <c r="C1460" t="s">
        <v>12153</v>
      </c>
      <c r="D1460" t="s">
        <v>12156</v>
      </c>
      <c r="E1460" t="s">
        <v>4061</v>
      </c>
      <c r="F1460" t="s">
        <v>4062</v>
      </c>
      <c r="G1460" s="712">
        <v>0</v>
      </c>
      <c r="H1460">
        <v>0</v>
      </c>
      <c r="I1460" s="713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 s="724" t="str">
        <f>VLOOKUP($E1460,SP_2024_v28062025!$E$2:$M$1751,9,FALSE)</f>
        <v>PDA360</v>
      </c>
    </row>
    <row r="1461" spans="1:17">
      <c r="A1461">
        <v>2</v>
      </c>
      <c r="B1461" t="s">
        <v>12096</v>
      </c>
      <c r="C1461" t="s">
        <v>12153</v>
      </c>
      <c r="D1461" t="s">
        <v>12156</v>
      </c>
      <c r="E1461" t="s">
        <v>4063</v>
      </c>
      <c r="F1461" t="s">
        <v>4064</v>
      </c>
      <c r="G1461" s="712">
        <v>0</v>
      </c>
      <c r="H1461">
        <v>0</v>
      </c>
      <c r="I1461" s="713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 s="724" t="str">
        <f>VLOOKUP($E1461,SP_2024_v28062025!$E$2:$M$1751,9,FALSE)</f>
        <v>PDA360</v>
      </c>
    </row>
    <row r="1462" spans="1:17">
      <c r="A1462">
        <v>2</v>
      </c>
      <c r="B1462" t="s">
        <v>12096</v>
      </c>
      <c r="C1462" t="s">
        <v>12153</v>
      </c>
      <c r="D1462" t="s">
        <v>12156</v>
      </c>
      <c r="E1462" t="s">
        <v>4065</v>
      </c>
      <c r="F1462" t="s">
        <v>4066</v>
      </c>
      <c r="G1462" s="712">
        <v>0</v>
      </c>
      <c r="H1462">
        <v>0</v>
      </c>
      <c r="I1462" s="713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 s="724" t="str">
        <f>VLOOKUP($E1462,SP_2024_v28062025!$E$2:$M$1751,9,FALSE)</f>
        <v>PDA360</v>
      </c>
    </row>
    <row r="1463" spans="1:17">
      <c r="A1463">
        <v>2</v>
      </c>
      <c r="B1463" t="s">
        <v>12096</v>
      </c>
      <c r="C1463" t="s">
        <v>12153</v>
      </c>
      <c r="D1463" t="s">
        <v>12156</v>
      </c>
      <c r="E1463" t="s">
        <v>4067</v>
      </c>
      <c r="F1463" t="s">
        <v>4068</v>
      </c>
      <c r="G1463" s="712">
        <v>0</v>
      </c>
      <c r="H1463">
        <v>0</v>
      </c>
      <c r="I1463" s="71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 s="724" t="str">
        <f>VLOOKUP($E1463,SP_2024_v28062025!$E$2:$M$1751,9,FALSE)</f>
        <v>PDA360</v>
      </c>
    </row>
    <row r="1464" spans="1:17">
      <c r="A1464">
        <v>2</v>
      </c>
      <c r="B1464" t="s">
        <v>12096</v>
      </c>
      <c r="C1464" t="s">
        <v>12153</v>
      </c>
      <c r="D1464" t="s">
        <v>12156</v>
      </c>
      <c r="E1464" t="s">
        <v>4069</v>
      </c>
      <c r="F1464" t="s">
        <v>4070</v>
      </c>
      <c r="G1464" s="712">
        <v>0</v>
      </c>
      <c r="H1464">
        <v>0</v>
      </c>
      <c r="I1464" s="713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 s="724" t="str">
        <f>VLOOKUP($E1464,SP_2024_v28062025!$E$2:$M$1751,9,FALSE)</f>
        <v>PDA360</v>
      </c>
    </row>
    <row r="1465" spans="1:17">
      <c r="A1465">
        <v>2</v>
      </c>
      <c r="B1465" t="s">
        <v>12096</v>
      </c>
      <c r="C1465" t="s">
        <v>12153</v>
      </c>
      <c r="D1465" t="s">
        <v>12156</v>
      </c>
      <c r="E1465" t="s">
        <v>4071</v>
      </c>
      <c r="F1465" t="s">
        <v>4072</v>
      </c>
      <c r="G1465" s="712">
        <v>0</v>
      </c>
      <c r="H1465">
        <v>0</v>
      </c>
      <c r="I1465" s="713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 s="724" t="str">
        <f>VLOOKUP($E1465,SP_2024_v28062025!$E$2:$M$1751,9,FALSE)</f>
        <v>PDA360</v>
      </c>
    </row>
    <row r="1466" spans="1:17">
      <c r="A1466">
        <v>2</v>
      </c>
      <c r="B1466" t="s">
        <v>12096</v>
      </c>
      <c r="C1466" t="s">
        <v>12153</v>
      </c>
      <c r="D1466" t="s">
        <v>12156</v>
      </c>
      <c r="E1466" t="s">
        <v>4073</v>
      </c>
      <c r="F1466" t="s">
        <v>4074</v>
      </c>
      <c r="G1466" s="712">
        <v>0</v>
      </c>
      <c r="H1466">
        <v>0</v>
      </c>
      <c r="I1466" s="713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 s="724" t="str">
        <f>VLOOKUP($E1466,SP_2024_v28062025!$E$2:$M$1751,9,FALSE)</f>
        <v>PDA360</v>
      </c>
    </row>
    <row r="1467" spans="1:17">
      <c r="A1467">
        <v>2</v>
      </c>
      <c r="B1467" t="s">
        <v>12096</v>
      </c>
      <c r="C1467" t="s">
        <v>12153</v>
      </c>
      <c r="D1467" t="s">
        <v>12156</v>
      </c>
      <c r="E1467" t="s">
        <v>4075</v>
      </c>
      <c r="F1467" t="s">
        <v>4076</v>
      </c>
      <c r="G1467" s="712">
        <v>0</v>
      </c>
      <c r="H1467">
        <v>0</v>
      </c>
      <c r="I1467" s="713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 s="724" t="str">
        <f>VLOOKUP($E1467,SP_2024_v28062025!$E$2:$M$1751,9,FALSE)</f>
        <v>PDA360</v>
      </c>
    </row>
    <row r="1468" spans="1:17">
      <c r="A1468">
        <v>2</v>
      </c>
      <c r="B1468" t="s">
        <v>12096</v>
      </c>
      <c r="C1468" t="s">
        <v>12153</v>
      </c>
      <c r="D1468" t="s">
        <v>12156</v>
      </c>
      <c r="E1468" t="s">
        <v>4077</v>
      </c>
      <c r="F1468" t="s">
        <v>4078</v>
      </c>
      <c r="G1468" s="712">
        <v>0</v>
      </c>
      <c r="H1468">
        <v>0</v>
      </c>
      <c r="I1468" s="713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 s="724" t="str">
        <f>VLOOKUP($E1468,SP_2024_v28062025!$E$2:$M$1751,9,FALSE)</f>
        <v>PDA360</v>
      </c>
    </row>
    <row r="1469" spans="1:17">
      <c r="A1469">
        <v>2</v>
      </c>
      <c r="B1469" t="s">
        <v>12096</v>
      </c>
      <c r="C1469" t="s">
        <v>12153</v>
      </c>
      <c r="D1469" t="s">
        <v>12156</v>
      </c>
      <c r="E1469" t="s">
        <v>4079</v>
      </c>
      <c r="F1469" t="s">
        <v>4080</v>
      </c>
      <c r="G1469" s="712">
        <v>0</v>
      </c>
      <c r="H1469">
        <v>0</v>
      </c>
      <c r="I1469" s="713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 s="724" t="str">
        <f>VLOOKUP($E1469,SP_2024_v28062025!$E$2:$M$1751,9,FALSE)</f>
        <v>PDA360</v>
      </c>
    </row>
    <row r="1470" spans="1:17">
      <c r="A1470">
        <v>2</v>
      </c>
      <c r="B1470" t="s">
        <v>12096</v>
      </c>
      <c r="C1470" t="s">
        <v>12153</v>
      </c>
      <c r="D1470" t="s">
        <v>12156</v>
      </c>
      <c r="E1470" t="s">
        <v>4081</v>
      </c>
      <c r="F1470" t="s">
        <v>4082</v>
      </c>
      <c r="G1470" s="712">
        <v>0</v>
      </c>
      <c r="H1470">
        <v>0</v>
      </c>
      <c r="I1470" s="713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 s="724" t="str">
        <f>VLOOKUP($E1470,SP_2024_v28062025!$E$2:$M$1751,9,FALSE)</f>
        <v>PDA360</v>
      </c>
    </row>
    <row r="1471" spans="1:17">
      <c r="A1471">
        <v>2</v>
      </c>
      <c r="B1471" t="s">
        <v>12096</v>
      </c>
      <c r="C1471" t="s">
        <v>12153</v>
      </c>
      <c r="D1471" t="s">
        <v>12156</v>
      </c>
      <c r="E1471" t="s">
        <v>4083</v>
      </c>
      <c r="F1471" t="s">
        <v>4084</v>
      </c>
      <c r="G1471" s="712">
        <v>0</v>
      </c>
      <c r="H1471">
        <v>0</v>
      </c>
      <c r="I1471" s="713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 s="724" t="str">
        <f>VLOOKUP($E1471,SP_2024_v28062025!$E$2:$M$1751,9,FALSE)</f>
        <v>PDA360</v>
      </c>
    </row>
    <row r="1472" spans="1:17">
      <c r="A1472">
        <v>2</v>
      </c>
      <c r="B1472" t="s">
        <v>12096</v>
      </c>
      <c r="C1472" t="s">
        <v>12153</v>
      </c>
      <c r="D1472" t="s">
        <v>12156</v>
      </c>
      <c r="E1472" t="s">
        <v>4085</v>
      </c>
      <c r="F1472" t="s">
        <v>4086</v>
      </c>
      <c r="G1472" s="712">
        <v>0</v>
      </c>
      <c r="H1472">
        <v>0</v>
      </c>
      <c r="I1472" s="713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 s="724" t="str">
        <f>VLOOKUP($E1472,SP_2024_v28062025!$E$2:$M$1751,9,FALSE)</f>
        <v>PDA360</v>
      </c>
    </row>
    <row r="1473" spans="1:17">
      <c r="A1473">
        <v>2</v>
      </c>
      <c r="B1473" t="s">
        <v>12096</v>
      </c>
      <c r="C1473" t="s">
        <v>12153</v>
      </c>
      <c r="D1473" t="s">
        <v>12156</v>
      </c>
      <c r="E1473" t="s">
        <v>4087</v>
      </c>
      <c r="F1473" t="s">
        <v>4088</v>
      </c>
      <c r="G1473" s="712">
        <v>0</v>
      </c>
      <c r="H1473">
        <v>0</v>
      </c>
      <c r="I1473" s="71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 s="724" t="str">
        <f>VLOOKUP($E1473,SP_2024_v28062025!$E$2:$M$1751,9,FALSE)</f>
        <v>PDA360</v>
      </c>
    </row>
    <row r="1474" spans="1:17">
      <c r="A1474">
        <v>2</v>
      </c>
      <c r="B1474" t="s">
        <v>12096</v>
      </c>
      <c r="C1474" t="s">
        <v>12153</v>
      </c>
      <c r="D1474" t="s">
        <v>12156</v>
      </c>
      <c r="E1474" t="s">
        <v>4089</v>
      </c>
      <c r="F1474" t="s">
        <v>4090</v>
      </c>
      <c r="G1474" s="712">
        <v>0</v>
      </c>
      <c r="H1474">
        <v>0</v>
      </c>
      <c r="I1474" s="713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 s="724" t="str">
        <f>VLOOKUP($E1474,SP_2024_v28062025!$E$2:$M$1751,9,FALSE)</f>
        <v>PDA360</v>
      </c>
    </row>
    <row r="1475" spans="1:17">
      <c r="A1475">
        <v>2</v>
      </c>
      <c r="B1475" t="s">
        <v>12096</v>
      </c>
      <c r="C1475" t="s">
        <v>12153</v>
      </c>
      <c r="D1475" t="s">
        <v>12156</v>
      </c>
      <c r="E1475" t="s">
        <v>4092</v>
      </c>
      <c r="F1475" t="s">
        <v>4093</v>
      </c>
      <c r="G1475" s="712">
        <v>0</v>
      </c>
      <c r="H1475">
        <v>0</v>
      </c>
      <c r="I1475" s="713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 s="724" t="str">
        <f>VLOOKUP($E1475,SP_2024_v28062025!$E$2:$M$1751,9,FALSE)</f>
        <v>PDA360</v>
      </c>
    </row>
    <row r="1476" spans="1:17">
      <c r="A1476">
        <v>2</v>
      </c>
      <c r="B1476" t="s">
        <v>12096</v>
      </c>
      <c r="C1476" t="s">
        <v>12153</v>
      </c>
      <c r="D1476" t="s">
        <v>12156</v>
      </c>
      <c r="E1476" t="s">
        <v>4094</v>
      </c>
      <c r="F1476" t="s">
        <v>4095</v>
      </c>
      <c r="G1476" s="712">
        <v>0</v>
      </c>
      <c r="H1476">
        <v>0</v>
      </c>
      <c r="I1476" s="713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 s="724" t="str">
        <f>VLOOKUP($E1476,SP_2024_v28062025!$E$2:$M$1751,9,FALSE)</f>
        <v>PDA360</v>
      </c>
    </row>
    <row r="1477" spans="1:17">
      <c r="A1477">
        <v>2</v>
      </c>
      <c r="B1477" t="s">
        <v>12096</v>
      </c>
      <c r="C1477" t="s">
        <v>12153</v>
      </c>
      <c r="D1477" t="s">
        <v>12156</v>
      </c>
      <c r="E1477" t="s">
        <v>4096</v>
      </c>
      <c r="F1477" t="s">
        <v>4097</v>
      </c>
      <c r="G1477" s="712">
        <v>0</v>
      </c>
      <c r="H1477">
        <v>0</v>
      </c>
      <c r="I1477" s="713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 s="724" t="str">
        <f>VLOOKUP($E1477,SP_2024_v28062025!$E$2:$M$1751,9,FALSE)</f>
        <v>PDA360</v>
      </c>
    </row>
    <row r="1478" spans="1:17">
      <c r="A1478">
        <v>2</v>
      </c>
      <c r="B1478" t="s">
        <v>12096</v>
      </c>
      <c r="C1478" t="s">
        <v>12153</v>
      </c>
      <c r="D1478" t="s">
        <v>12156</v>
      </c>
      <c r="E1478" t="s">
        <v>4098</v>
      </c>
      <c r="F1478" t="s">
        <v>4099</v>
      </c>
      <c r="G1478" s="712">
        <v>0</v>
      </c>
      <c r="H1478">
        <v>0</v>
      </c>
      <c r="I1478" s="713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 s="724" t="str">
        <f>VLOOKUP($E1478,SP_2024_v28062025!$E$2:$M$1751,9,FALSE)</f>
        <v>PDA360</v>
      </c>
    </row>
    <row r="1479" spans="1:17">
      <c r="A1479">
        <v>2</v>
      </c>
      <c r="B1479" t="s">
        <v>12096</v>
      </c>
      <c r="C1479" t="s">
        <v>12153</v>
      </c>
      <c r="D1479" t="s">
        <v>12156</v>
      </c>
      <c r="E1479" t="s">
        <v>4100</v>
      </c>
      <c r="F1479" t="s">
        <v>4101</v>
      </c>
      <c r="G1479" s="712">
        <v>0</v>
      </c>
      <c r="H1479">
        <v>0</v>
      </c>
      <c r="I1479" s="713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 s="724" t="str">
        <f>VLOOKUP($E1479,SP_2024_v28062025!$E$2:$M$1751,9,FALSE)</f>
        <v>PDA360</v>
      </c>
    </row>
    <row r="1480" spans="1:17">
      <c r="A1480">
        <v>2</v>
      </c>
      <c r="B1480" t="s">
        <v>12096</v>
      </c>
      <c r="C1480" t="s">
        <v>12153</v>
      </c>
      <c r="D1480" t="s">
        <v>12156</v>
      </c>
      <c r="E1480" t="s">
        <v>4102</v>
      </c>
      <c r="F1480" t="s">
        <v>4103</v>
      </c>
      <c r="G1480" s="712">
        <v>0</v>
      </c>
      <c r="H1480">
        <v>0</v>
      </c>
      <c r="I1480" s="713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 s="724" t="str">
        <f>VLOOKUP($E1480,SP_2024_v28062025!$E$2:$M$1751,9,FALSE)</f>
        <v>PDA360</v>
      </c>
    </row>
    <row r="1481" spans="1:17">
      <c r="A1481">
        <v>2</v>
      </c>
      <c r="B1481" t="s">
        <v>12096</v>
      </c>
      <c r="C1481" t="s">
        <v>12153</v>
      </c>
      <c r="D1481" t="s">
        <v>12156</v>
      </c>
      <c r="E1481" t="s">
        <v>4104</v>
      </c>
      <c r="F1481" t="s">
        <v>4105</v>
      </c>
      <c r="G1481" s="712">
        <v>0</v>
      </c>
      <c r="H1481">
        <v>0</v>
      </c>
      <c r="I1481" s="713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 s="724" t="str">
        <f>VLOOKUP($E1481,SP_2024_v28062025!$E$2:$M$1751,9,FALSE)</f>
        <v>PDA360</v>
      </c>
    </row>
    <row r="1482" spans="1:17">
      <c r="A1482">
        <v>2</v>
      </c>
      <c r="B1482" t="s">
        <v>12096</v>
      </c>
      <c r="C1482" t="s">
        <v>12153</v>
      </c>
      <c r="D1482" t="s">
        <v>12156</v>
      </c>
      <c r="E1482" t="s">
        <v>4106</v>
      </c>
      <c r="F1482" t="s">
        <v>4107</v>
      </c>
      <c r="G1482" s="712">
        <v>0</v>
      </c>
      <c r="H1482">
        <v>0</v>
      </c>
      <c r="I1482" s="713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 s="724" t="str">
        <f>VLOOKUP($E1482,SP_2024_v28062025!$E$2:$M$1751,9,FALSE)</f>
        <v>PDA360</v>
      </c>
    </row>
    <row r="1483" spans="1:17">
      <c r="A1483">
        <v>2</v>
      </c>
      <c r="B1483" t="s">
        <v>12096</v>
      </c>
      <c r="C1483" t="s">
        <v>12153</v>
      </c>
      <c r="D1483" t="s">
        <v>12156</v>
      </c>
      <c r="E1483" t="s">
        <v>4108</v>
      </c>
      <c r="F1483" t="s">
        <v>4109</v>
      </c>
      <c r="G1483" s="712">
        <v>0</v>
      </c>
      <c r="H1483">
        <v>0</v>
      </c>
      <c r="I1483" s="71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 s="724" t="str">
        <f>VLOOKUP($E1483,SP_2024_v28062025!$E$2:$M$1751,9,FALSE)</f>
        <v>PDA360</v>
      </c>
    </row>
    <row r="1484" spans="1:17">
      <c r="A1484">
        <v>2</v>
      </c>
      <c r="B1484" t="s">
        <v>12096</v>
      </c>
      <c r="C1484" t="s">
        <v>12153</v>
      </c>
      <c r="D1484" t="s">
        <v>12156</v>
      </c>
      <c r="E1484" t="s">
        <v>4110</v>
      </c>
      <c r="F1484" t="s">
        <v>4111</v>
      </c>
      <c r="G1484" s="712">
        <v>0</v>
      </c>
      <c r="H1484">
        <v>0</v>
      </c>
      <c r="I1484" s="713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 s="724" t="str">
        <f>VLOOKUP($E1484,SP_2024_v28062025!$E$2:$M$1751,9,FALSE)</f>
        <v>PDA360</v>
      </c>
    </row>
    <row r="1485" spans="1:17">
      <c r="A1485">
        <v>2</v>
      </c>
      <c r="B1485" t="s">
        <v>12096</v>
      </c>
      <c r="C1485" t="s">
        <v>12153</v>
      </c>
      <c r="D1485" t="s">
        <v>12156</v>
      </c>
      <c r="E1485" t="s">
        <v>4112</v>
      </c>
      <c r="F1485" t="s">
        <v>4113</v>
      </c>
      <c r="G1485" s="712">
        <v>0</v>
      </c>
      <c r="H1485">
        <v>0</v>
      </c>
      <c r="I1485" s="713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 s="724" t="str">
        <f>VLOOKUP($E1485,SP_2024_v28062025!$E$2:$M$1751,9,FALSE)</f>
        <v>PDA360</v>
      </c>
    </row>
    <row r="1486" spans="1:17">
      <c r="A1486">
        <v>2</v>
      </c>
      <c r="B1486" t="s">
        <v>12096</v>
      </c>
      <c r="C1486" t="s">
        <v>12153</v>
      </c>
      <c r="D1486" t="s">
        <v>12156</v>
      </c>
      <c r="E1486" t="s">
        <v>4114</v>
      </c>
      <c r="F1486" t="s">
        <v>4115</v>
      </c>
      <c r="G1486" s="712">
        <v>0</v>
      </c>
      <c r="H1486">
        <v>0</v>
      </c>
      <c r="I1486" s="713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 s="724" t="str">
        <f>VLOOKUP($E1486,SP_2024_v28062025!$E$2:$M$1751,9,FALSE)</f>
        <v>PDA360</v>
      </c>
    </row>
    <row r="1487" spans="1:17">
      <c r="A1487">
        <v>2</v>
      </c>
      <c r="B1487" t="s">
        <v>12096</v>
      </c>
      <c r="C1487" t="s">
        <v>12153</v>
      </c>
      <c r="D1487" t="s">
        <v>12156</v>
      </c>
      <c r="E1487" t="s">
        <v>4116</v>
      </c>
      <c r="F1487" t="s">
        <v>4117</v>
      </c>
      <c r="G1487" s="712">
        <v>0</v>
      </c>
      <c r="H1487">
        <v>0</v>
      </c>
      <c r="I1487" s="713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 s="724" t="str">
        <f>VLOOKUP($E1487,SP_2024_v28062025!$E$2:$M$1751,9,FALSE)</f>
        <v>PDA360</v>
      </c>
    </row>
    <row r="1488" spans="1:17">
      <c r="A1488">
        <v>2</v>
      </c>
      <c r="B1488" t="s">
        <v>12096</v>
      </c>
      <c r="C1488" t="s">
        <v>12153</v>
      </c>
      <c r="D1488" t="s">
        <v>12156</v>
      </c>
      <c r="E1488" t="s">
        <v>4118</v>
      </c>
      <c r="F1488" t="s">
        <v>4119</v>
      </c>
      <c r="G1488" s="712">
        <v>0</v>
      </c>
      <c r="H1488">
        <v>0</v>
      </c>
      <c r="I1488" s="713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 s="724" t="str">
        <f>VLOOKUP($E1488,SP_2024_v28062025!$E$2:$M$1751,9,FALSE)</f>
        <v>PDA360</v>
      </c>
    </row>
    <row r="1489" spans="1:17">
      <c r="A1489">
        <v>2</v>
      </c>
      <c r="B1489" t="s">
        <v>12096</v>
      </c>
      <c r="C1489" t="s">
        <v>12153</v>
      </c>
      <c r="D1489" t="s">
        <v>12156</v>
      </c>
      <c r="E1489" t="s">
        <v>4120</v>
      </c>
      <c r="F1489" t="s">
        <v>4121</v>
      </c>
      <c r="G1489" s="712">
        <v>0</v>
      </c>
      <c r="H1489">
        <v>0</v>
      </c>
      <c r="I1489" s="713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 s="724" t="str">
        <f>VLOOKUP($E1489,SP_2024_v28062025!$E$2:$M$1751,9,FALSE)</f>
        <v>PDA360</v>
      </c>
    </row>
    <row r="1490" spans="1:17">
      <c r="A1490">
        <v>2</v>
      </c>
      <c r="B1490" t="s">
        <v>12096</v>
      </c>
      <c r="C1490" t="s">
        <v>12153</v>
      </c>
      <c r="D1490" t="s">
        <v>12156</v>
      </c>
      <c r="E1490" t="s">
        <v>4122</v>
      </c>
      <c r="F1490" t="s">
        <v>4123</v>
      </c>
      <c r="G1490" s="712">
        <v>0</v>
      </c>
      <c r="H1490">
        <v>0</v>
      </c>
      <c r="I1490" s="713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 s="724" t="str">
        <f>VLOOKUP($E1490,SP_2024_v28062025!$E$2:$M$1751,9,FALSE)</f>
        <v>PDA360</v>
      </c>
    </row>
    <row r="1491" spans="1:17">
      <c r="A1491">
        <v>2</v>
      </c>
      <c r="B1491" t="s">
        <v>12096</v>
      </c>
      <c r="C1491" t="s">
        <v>12153</v>
      </c>
      <c r="D1491" t="s">
        <v>12156</v>
      </c>
      <c r="E1491" t="s">
        <v>4124</v>
      </c>
      <c r="F1491" t="s">
        <v>4125</v>
      </c>
      <c r="G1491" s="712">
        <v>0</v>
      </c>
      <c r="H1491">
        <v>0</v>
      </c>
      <c r="I1491" s="713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 s="724" t="str">
        <f>VLOOKUP($E1491,SP_2024_v28062025!$E$2:$M$1751,9,FALSE)</f>
        <v>PDA360</v>
      </c>
    </row>
    <row r="1492" spans="1:17">
      <c r="A1492">
        <v>2</v>
      </c>
      <c r="B1492" t="s">
        <v>12096</v>
      </c>
      <c r="C1492" t="s">
        <v>12153</v>
      </c>
      <c r="D1492" t="s">
        <v>12156</v>
      </c>
      <c r="E1492" t="s">
        <v>4126</v>
      </c>
      <c r="F1492" t="s">
        <v>4127</v>
      </c>
      <c r="G1492" s="712">
        <v>0</v>
      </c>
      <c r="H1492">
        <v>0</v>
      </c>
      <c r="I1492" s="713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 s="724" t="str">
        <f>VLOOKUP($E1492,SP_2024_v28062025!$E$2:$M$1751,9,FALSE)</f>
        <v>PDA360</v>
      </c>
    </row>
    <row r="1493" spans="1:17">
      <c r="A1493">
        <v>2</v>
      </c>
      <c r="B1493" t="s">
        <v>12096</v>
      </c>
      <c r="C1493" t="s">
        <v>12153</v>
      </c>
      <c r="D1493" t="s">
        <v>12156</v>
      </c>
      <c r="E1493" t="s">
        <v>4128</v>
      </c>
      <c r="F1493" t="s">
        <v>4129</v>
      </c>
      <c r="G1493" s="712">
        <v>0</v>
      </c>
      <c r="H1493">
        <v>0</v>
      </c>
      <c r="I1493" s="71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 s="724" t="str">
        <f>VLOOKUP($E1493,SP_2024_v28062025!$E$2:$M$1751,9,FALSE)</f>
        <v>PDA360</v>
      </c>
    </row>
    <row r="1494" spans="1:17">
      <c r="A1494">
        <v>2</v>
      </c>
      <c r="B1494" t="s">
        <v>12096</v>
      </c>
      <c r="C1494" t="s">
        <v>12153</v>
      </c>
      <c r="D1494" t="s">
        <v>12156</v>
      </c>
      <c r="E1494" t="s">
        <v>4130</v>
      </c>
      <c r="F1494" t="s">
        <v>4131</v>
      </c>
      <c r="G1494" s="712">
        <v>0</v>
      </c>
      <c r="H1494">
        <v>0</v>
      </c>
      <c r="I1494" s="713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 s="724" t="str">
        <f>VLOOKUP($E1494,SP_2024_v28062025!$E$2:$M$1751,9,FALSE)</f>
        <v>PDA360</v>
      </c>
    </row>
    <row r="1495" spans="1:17">
      <c r="A1495">
        <v>2</v>
      </c>
      <c r="B1495" t="s">
        <v>12096</v>
      </c>
      <c r="C1495" t="s">
        <v>12153</v>
      </c>
      <c r="D1495" t="s">
        <v>12156</v>
      </c>
      <c r="E1495" t="s">
        <v>4133</v>
      </c>
      <c r="F1495" t="s">
        <v>4134</v>
      </c>
      <c r="G1495" s="712">
        <v>0</v>
      </c>
      <c r="H1495">
        <v>0</v>
      </c>
      <c r="I1495" s="713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 s="724" t="str">
        <f>VLOOKUP($E1495,SP_2024_v28062025!$E$2:$M$1751,9,FALSE)</f>
        <v>PDA360</v>
      </c>
    </row>
    <row r="1496" spans="1:17">
      <c r="A1496">
        <v>2</v>
      </c>
      <c r="B1496" t="s">
        <v>12096</v>
      </c>
      <c r="C1496" t="s">
        <v>12153</v>
      </c>
      <c r="D1496" t="s">
        <v>12156</v>
      </c>
      <c r="E1496" t="s">
        <v>4135</v>
      </c>
      <c r="F1496" t="s">
        <v>4136</v>
      </c>
      <c r="G1496" s="712">
        <v>0</v>
      </c>
      <c r="H1496">
        <v>0</v>
      </c>
      <c r="I1496" s="713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 s="724" t="str">
        <f>VLOOKUP($E1496,SP_2024_v28062025!$E$2:$M$1751,9,FALSE)</f>
        <v>PDA360</v>
      </c>
    </row>
    <row r="1497" spans="1:17">
      <c r="A1497">
        <v>2</v>
      </c>
      <c r="B1497" t="s">
        <v>12096</v>
      </c>
      <c r="C1497" t="s">
        <v>12153</v>
      </c>
      <c r="D1497" t="s">
        <v>12156</v>
      </c>
      <c r="E1497" t="s">
        <v>4137</v>
      </c>
      <c r="F1497" t="s">
        <v>4138</v>
      </c>
      <c r="G1497" s="712">
        <v>0</v>
      </c>
      <c r="H1497">
        <v>0</v>
      </c>
      <c r="I1497" s="713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 s="724" t="str">
        <f>VLOOKUP($E1497,SP_2024_v28062025!$E$2:$M$1751,9,FALSE)</f>
        <v>PDA360</v>
      </c>
    </row>
    <row r="1498" spans="1:17">
      <c r="A1498">
        <v>2</v>
      </c>
      <c r="B1498" t="s">
        <v>12096</v>
      </c>
      <c r="C1498" t="s">
        <v>12153</v>
      </c>
      <c r="D1498" t="s">
        <v>12156</v>
      </c>
      <c r="E1498" t="s">
        <v>4139</v>
      </c>
      <c r="F1498" t="s">
        <v>4140</v>
      </c>
      <c r="G1498" s="712">
        <v>0</v>
      </c>
      <c r="H1498">
        <v>0</v>
      </c>
      <c r="I1498" s="713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 s="724" t="str">
        <f>VLOOKUP($E1498,SP_2024_v28062025!$E$2:$M$1751,9,FALSE)</f>
        <v>PDA360</v>
      </c>
    </row>
    <row r="1499" spans="1:17">
      <c r="A1499">
        <v>2</v>
      </c>
      <c r="B1499" t="s">
        <v>12096</v>
      </c>
      <c r="C1499" t="s">
        <v>12153</v>
      </c>
      <c r="D1499" t="s">
        <v>12156</v>
      </c>
      <c r="E1499" t="s">
        <v>4141</v>
      </c>
      <c r="F1499" t="s">
        <v>4142</v>
      </c>
      <c r="G1499" s="712">
        <v>0</v>
      </c>
      <c r="H1499">
        <v>0</v>
      </c>
      <c r="I1499" s="713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 s="724" t="str">
        <f>VLOOKUP($E1499,SP_2024_v28062025!$E$2:$M$1751,9,FALSE)</f>
        <v>PDA360</v>
      </c>
    </row>
    <row r="1500" spans="1:17">
      <c r="A1500">
        <v>2</v>
      </c>
      <c r="B1500" t="s">
        <v>12096</v>
      </c>
      <c r="C1500" t="s">
        <v>12153</v>
      </c>
      <c r="D1500" t="s">
        <v>12156</v>
      </c>
      <c r="E1500" t="s">
        <v>4143</v>
      </c>
      <c r="F1500" t="s">
        <v>4144</v>
      </c>
      <c r="G1500" s="712">
        <v>0</v>
      </c>
      <c r="H1500">
        <v>0</v>
      </c>
      <c r="I1500" s="713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 s="724" t="str">
        <f>VLOOKUP($E1500,SP_2024_v28062025!$E$2:$M$1751,9,FALSE)</f>
        <v>PDA360</v>
      </c>
    </row>
    <row r="1501" spans="1:17">
      <c r="A1501">
        <v>2</v>
      </c>
      <c r="B1501" t="s">
        <v>12096</v>
      </c>
      <c r="C1501" t="s">
        <v>12153</v>
      </c>
      <c r="D1501" t="s">
        <v>12156</v>
      </c>
      <c r="E1501" t="s">
        <v>4145</v>
      </c>
      <c r="F1501" t="s">
        <v>4146</v>
      </c>
      <c r="G1501" s="712">
        <v>0</v>
      </c>
      <c r="H1501">
        <v>0</v>
      </c>
      <c r="I1501" s="713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 s="724" t="str">
        <f>VLOOKUP($E1501,SP_2024_v28062025!$E$2:$M$1751,9,FALSE)</f>
        <v>PDA360</v>
      </c>
    </row>
    <row r="1502" spans="1:17">
      <c r="A1502">
        <v>2</v>
      </c>
      <c r="B1502" t="s">
        <v>12096</v>
      </c>
      <c r="C1502" t="s">
        <v>12153</v>
      </c>
      <c r="D1502" t="s">
        <v>12156</v>
      </c>
      <c r="E1502" t="s">
        <v>4147</v>
      </c>
      <c r="F1502" t="s">
        <v>4148</v>
      </c>
      <c r="G1502" s="712">
        <v>0</v>
      </c>
      <c r="H1502">
        <v>0</v>
      </c>
      <c r="I1502" s="713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 s="724" t="str">
        <f>VLOOKUP($E1502,SP_2024_v28062025!$E$2:$M$1751,9,FALSE)</f>
        <v>PDA360</v>
      </c>
    </row>
    <row r="1503" spans="1:17">
      <c r="A1503">
        <v>2</v>
      </c>
      <c r="B1503" t="s">
        <v>12096</v>
      </c>
      <c r="C1503" t="s">
        <v>12153</v>
      </c>
      <c r="D1503" t="s">
        <v>12156</v>
      </c>
      <c r="E1503" t="s">
        <v>4149</v>
      </c>
      <c r="F1503" t="s">
        <v>4150</v>
      </c>
      <c r="G1503" s="712">
        <v>0</v>
      </c>
      <c r="H1503">
        <v>0</v>
      </c>
      <c r="I1503" s="71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 s="724" t="str">
        <f>VLOOKUP($E1503,SP_2024_v28062025!$E$2:$M$1751,9,FALSE)</f>
        <v>PDA360</v>
      </c>
    </row>
    <row r="1504" spans="1:17">
      <c r="A1504">
        <v>2</v>
      </c>
      <c r="B1504" t="s">
        <v>12096</v>
      </c>
      <c r="C1504" t="s">
        <v>12153</v>
      </c>
      <c r="D1504" t="s">
        <v>12156</v>
      </c>
      <c r="E1504" t="s">
        <v>4151</v>
      </c>
      <c r="F1504" t="s">
        <v>4152</v>
      </c>
      <c r="G1504" s="712">
        <v>0</v>
      </c>
      <c r="H1504">
        <v>0</v>
      </c>
      <c r="I1504" s="713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 s="724" t="str">
        <f>VLOOKUP($E1504,SP_2024_v28062025!$E$2:$M$1751,9,FALSE)</f>
        <v>PDA360</v>
      </c>
    </row>
    <row r="1505" spans="1:17">
      <c r="A1505">
        <v>2</v>
      </c>
      <c r="B1505" t="s">
        <v>12096</v>
      </c>
      <c r="C1505" t="s">
        <v>12153</v>
      </c>
      <c r="D1505" t="s">
        <v>12156</v>
      </c>
      <c r="E1505" t="s">
        <v>4153</v>
      </c>
      <c r="F1505" t="s">
        <v>4154</v>
      </c>
      <c r="G1505" s="712">
        <v>0</v>
      </c>
      <c r="H1505">
        <v>0</v>
      </c>
      <c r="I1505" s="713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 s="724" t="str">
        <f>VLOOKUP($E1505,SP_2024_v28062025!$E$2:$M$1751,9,FALSE)</f>
        <v>PDA360</v>
      </c>
    </row>
    <row r="1506" spans="1:17">
      <c r="A1506">
        <v>2</v>
      </c>
      <c r="B1506" t="s">
        <v>12096</v>
      </c>
      <c r="C1506" t="s">
        <v>12153</v>
      </c>
      <c r="D1506" t="s">
        <v>12156</v>
      </c>
      <c r="E1506" t="s">
        <v>4155</v>
      </c>
      <c r="F1506" t="s">
        <v>4156</v>
      </c>
      <c r="G1506" s="712">
        <v>0</v>
      </c>
      <c r="H1506">
        <v>0</v>
      </c>
      <c r="I1506" s="713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 s="724" t="str">
        <f>VLOOKUP($E1506,SP_2024_v28062025!$E$2:$M$1751,9,FALSE)</f>
        <v>PDA360</v>
      </c>
    </row>
    <row r="1507" spans="1:17">
      <c r="A1507">
        <v>2</v>
      </c>
      <c r="B1507" t="s">
        <v>12096</v>
      </c>
      <c r="C1507" t="s">
        <v>12153</v>
      </c>
      <c r="D1507" t="s">
        <v>12156</v>
      </c>
      <c r="E1507" t="s">
        <v>4157</v>
      </c>
      <c r="F1507" t="s">
        <v>4158</v>
      </c>
      <c r="G1507" s="712">
        <v>0</v>
      </c>
      <c r="H1507">
        <v>0</v>
      </c>
      <c r="I1507" s="713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 s="724" t="str">
        <f>VLOOKUP($E1507,SP_2024_v28062025!$E$2:$M$1751,9,FALSE)</f>
        <v>PDA360</v>
      </c>
    </row>
    <row r="1508" spans="1:17">
      <c r="A1508">
        <v>2</v>
      </c>
      <c r="B1508" t="s">
        <v>12096</v>
      </c>
      <c r="C1508" t="s">
        <v>12153</v>
      </c>
      <c r="D1508" t="s">
        <v>12156</v>
      </c>
      <c r="E1508" t="s">
        <v>4159</v>
      </c>
      <c r="F1508" t="s">
        <v>4160</v>
      </c>
      <c r="G1508" s="712">
        <v>0</v>
      </c>
      <c r="H1508">
        <v>0</v>
      </c>
      <c r="I1508" s="713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 s="724" t="str">
        <f>VLOOKUP($E1508,SP_2024_v28062025!$E$2:$M$1751,9,FALSE)</f>
        <v>PDA360</v>
      </c>
    </row>
    <row r="1509" spans="1:17">
      <c r="A1509">
        <v>2</v>
      </c>
      <c r="B1509" t="s">
        <v>12096</v>
      </c>
      <c r="C1509" t="s">
        <v>12153</v>
      </c>
      <c r="D1509" t="s">
        <v>12156</v>
      </c>
      <c r="E1509" t="s">
        <v>4161</v>
      </c>
      <c r="F1509" t="s">
        <v>4162</v>
      </c>
      <c r="G1509" s="712">
        <v>0</v>
      </c>
      <c r="H1509">
        <v>0</v>
      </c>
      <c r="I1509" s="713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 s="724" t="str">
        <f>VLOOKUP($E1509,SP_2024_v28062025!$E$2:$M$1751,9,FALSE)</f>
        <v>PDA360</v>
      </c>
    </row>
    <row r="1510" spans="1:17">
      <c r="A1510">
        <v>2</v>
      </c>
      <c r="B1510" t="s">
        <v>12096</v>
      </c>
      <c r="C1510" t="s">
        <v>12153</v>
      </c>
      <c r="D1510" t="s">
        <v>12156</v>
      </c>
      <c r="E1510" t="s">
        <v>4163</v>
      </c>
      <c r="F1510" t="s">
        <v>4164</v>
      </c>
      <c r="G1510" s="712">
        <v>0</v>
      </c>
      <c r="H1510">
        <v>0</v>
      </c>
      <c r="I1510" s="713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 s="724" t="str">
        <f>VLOOKUP($E1510,SP_2024_v28062025!$E$2:$M$1751,9,FALSE)</f>
        <v>PDA360</v>
      </c>
    </row>
    <row r="1511" spans="1:17">
      <c r="A1511">
        <v>2</v>
      </c>
      <c r="B1511" t="s">
        <v>12096</v>
      </c>
      <c r="C1511" t="s">
        <v>12153</v>
      </c>
      <c r="D1511" t="s">
        <v>12156</v>
      </c>
      <c r="E1511" t="s">
        <v>4165</v>
      </c>
      <c r="F1511" t="s">
        <v>4166</v>
      </c>
      <c r="G1511" s="712">
        <v>0</v>
      </c>
      <c r="H1511">
        <v>0</v>
      </c>
      <c r="I1511" s="713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 s="724" t="str">
        <f>VLOOKUP($E1511,SP_2024_v28062025!$E$2:$M$1751,9,FALSE)</f>
        <v>PDA360</v>
      </c>
    </row>
    <row r="1512" spans="1:17">
      <c r="A1512">
        <v>2</v>
      </c>
      <c r="B1512" t="s">
        <v>12096</v>
      </c>
      <c r="C1512" t="s">
        <v>12153</v>
      </c>
      <c r="D1512" t="s">
        <v>12156</v>
      </c>
      <c r="E1512" t="s">
        <v>4167</v>
      </c>
      <c r="F1512" t="s">
        <v>4168</v>
      </c>
      <c r="G1512" s="712">
        <v>0</v>
      </c>
      <c r="H1512">
        <v>0</v>
      </c>
      <c r="I1512" s="713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 s="724" t="str">
        <f>VLOOKUP($E1512,SP_2024_v28062025!$E$2:$M$1751,9,FALSE)</f>
        <v>PDA360</v>
      </c>
    </row>
    <row r="1513" spans="1:17">
      <c r="A1513">
        <v>2</v>
      </c>
      <c r="B1513" t="s">
        <v>12096</v>
      </c>
      <c r="C1513" t="s">
        <v>12153</v>
      </c>
      <c r="D1513" t="s">
        <v>12156</v>
      </c>
      <c r="E1513" t="s">
        <v>4169</v>
      </c>
      <c r="F1513" t="s">
        <v>4170</v>
      </c>
      <c r="G1513" s="712">
        <v>0</v>
      </c>
      <c r="H1513">
        <v>0</v>
      </c>
      <c r="I1513" s="7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 s="724" t="str">
        <f>VLOOKUP($E1513,SP_2024_v28062025!$E$2:$M$1751,9,FALSE)</f>
        <v>PDA360</v>
      </c>
    </row>
    <row r="1514" spans="1:17">
      <c r="A1514">
        <v>2</v>
      </c>
      <c r="B1514" t="s">
        <v>12096</v>
      </c>
      <c r="C1514" t="s">
        <v>12153</v>
      </c>
      <c r="D1514" t="s">
        <v>12156</v>
      </c>
      <c r="E1514" t="s">
        <v>4171</v>
      </c>
      <c r="F1514" t="s">
        <v>4172</v>
      </c>
      <c r="G1514" s="712">
        <v>0</v>
      </c>
      <c r="H1514">
        <v>0</v>
      </c>
      <c r="I1514" s="713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 s="724" t="str">
        <f>VLOOKUP($E1514,SP_2024_v28062025!$E$2:$M$1751,9,FALSE)</f>
        <v>PDA360</v>
      </c>
    </row>
    <row r="1515" spans="1:17">
      <c r="A1515">
        <v>2</v>
      </c>
      <c r="B1515" t="s">
        <v>12096</v>
      </c>
      <c r="C1515" t="s">
        <v>12153</v>
      </c>
      <c r="D1515" t="s">
        <v>12156</v>
      </c>
      <c r="E1515" t="s">
        <v>4173</v>
      </c>
      <c r="F1515" t="s">
        <v>4174</v>
      </c>
      <c r="G1515" s="712">
        <v>0</v>
      </c>
      <c r="H1515">
        <v>0</v>
      </c>
      <c r="I1515" s="713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 s="724" t="str">
        <f>VLOOKUP($E1515,SP_2024_v28062025!$E$2:$M$1751,9,FALSE)</f>
        <v>PDA360</v>
      </c>
    </row>
    <row r="1516" spans="1:17">
      <c r="A1516">
        <v>2</v>
      </c>
      <c r="B1516" t="s">
        <v>12096</v>
      </c>
      <c r="C1516" t="s">
        <v>12153</v>
      </c>
      <c r="D1516" t="s">
        <v>12156</v>
      </c>
      <c r="E1516" t="s">
        <v>4175</v>
      </c>
      <c r="F1516" t="s">
        <v>4176</v>
      </c>
      <c r="G1516" s="712">
        <v>0</v>
      </c>
      <c r="H1516">
        <v>0</v>
      </c>
      <c r="I1516" s="713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 s="724" t="str">
        <f>VLOOKUP($E1516,SP_2024_v28062025!$E$2:$M$1751,9,FALSE)</f>
        <v>PDA360</v>
      </c>
    </row>
    <row r="1517" spans="1:17">
      <c r="A1517">
        <v>2</v>
      </c>
      <c r="B1517" t="s">
        <v>12096</v>
      </c>
      <c r="C1517" t="s">
        <v>12153</v>
      </c>
      <c r="D1517" t="s">
        <v>12156</v>
      </c>
      <c r="E1517" t="s">
        <v>4177</v>
      </c>
      <c r="F1517" t="s">
        <v>4178</v>
      </c>
      <c r="G1517" s="712">
        <v>0</v>
      </c>
      <c r="H1517">
        <v>0</v>
      </c>
      <c r="I1517" s="713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 s="724" t="str">
        <f>VLOOKUP($E1517,SP_2024_v28062025!$E$2:$M$1751,9,FALSE)</f>
        <v>PDA360</v>
      </c>
    </row>
    <row r="1518" spans="1:17">
      <c r="A1518">
        <v>2</v>
      </c>
      <c r="B1518" t="s">
        <v>12096</v>
      </c>
      <c r="C1518" t="s">
        <v>12153</v>
      </c>
      <c r="D1518" t="s">
        <v>12156</v>
      </c>
      <c r="E1518" t="s">
        <v>4179</v>
      </c>
      <c r="F1518" t="s">
        <v>4180</v>
      </c>
      <c r="G1518" s="712">
        <v>0</v>
      </c>
      <c r="H1518">
        <v>0</v>
      </c>
      <c r="I1518" s="713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 s="724" t="str">
        <f>VLOOKUP($E1518,SP_2024_v28062025!$E$2:$M$1751,9,FALSE)</f>
        <v>PDA360</v>
      </c>
    </row>
    <row r="1519" spans="1:17">
      <c r="A1519">
        <v>2</v>
      </c>
      <c r="B1519" t="s">
        <v>12096</v>
      </c>
      <c r="C1519" t="s">
        <v>12153</v>
      </c>
      <c r="D1519" t="s">
        <v>12156</v>
      </c>
      <c r="E1519" t="s">
        <v>4181</v>
      </c>
      <c r="F1519" t="s">
        <v>4182</v>
      </c>
      <c r="G1519" s="712">
        <v>0</v>
      </c>
      <c r="H1519">
        <v>0</v>
      </c>
      <c r="I1519" s="713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 s="724" t="str">
        <f>VLOOKUP($E1519,SP_2024_v28062025!$E$2:$M$1751,9,FALSE)</f>
        <v>PDA360</v>
      </c>
    </row>
    <row r="1520" spans="1:17">
      <c r="A1520">
        <v>2</v>
      </c>
      <c r="B1520" t="s">
        <v>12096</v>
      </c>
      <c r="C1520" t="s">
        <v>12153</v>
      </c>
      <c r="D1520" t="s">
        <v>12156</v>
      </c>
      <c r="E1520" t="s">
        <v>4183</v>
      </c>
      <c r="F1520" t="s">
        <v>4184</v>
      </c>
      <c r="G1520" s="712">
        <v>0</v>
      </c>
      <c r="H1520" s="711">
        <v>80921.64</v>
      </c>
      <c r="I1520" s="715">
        <v>80921.64</v>
      </c>
      <c r="J1520" s="711">
        <v>80921.64</v>
      </c>
      <c r="K1520">
        <v>0</v>
      </c>
      <c r="L1520">
        <v>0</v>
      </c>
      <c r="M1520">
        <v>0</v>
      </c>
      <c r="N1520" s="711">
        <v>80921.64</v>
      </c>
      <c r="O1520" s="711">
        <v>80921.64</v>
      </c>
      <c r="P1520">
        <v>0</v>
      </c>
      <c r="Q1520" s="724" t="str">
        <f>VLOOKUP($E1520,SP_2024_v28062025!$E$2:$M$1751,9,FALSE)</f>
        <v>PDA360</v>
      </c>
    </row>
    <row r="1521" spans="1:17">
      <c r="A1521">
        <v>2</v>
      </c>
      <c r="B1521" t="s">
        <v>12096</v>
      </c>
      <c r="C1521" t="s">
        <v>12153</v>
      </c>
      <c r="D1521" t="s">
        <v>12156</v>
      </c>
      <c r="E1521" t="s">
        <v>4185</v>
      </c>
      <c r="F1521" t="s">
        <v>4186</v>
      </c>
      <c r="G1521" s="712">
        <v>0</v>
      </c>
      <c r="H1521" s="711">
        <v>154864.24</v>
      </c>
      <c r="I1521" s="715">
        <v>154864.24</v>
      </c>
      <c r="J1521" s="711">
        <v>154864.24</v>
      </c>
      <c r="K1521">
        <v>0</v>
      </c>
      <c r="L1521">
        <v>0</v>
      </c>
      <c r="M1521">
        <v>0</v>
      </c>
      <c r="N1521" s="711">
        <v>154864.24</v>
      </c>
      <c r="O1521" s="711">
        <v>154864.24</v>
      </c>
      <c r="P1521">
        <v>0</v>
      </c>
      <c r="Q1521" s="724" t="str">
        <f>VLOOKUP($E1521,SP_2024_v28062025!$E$2:$M$1751,9,FALSE)</f>
        <v>PDA360</v>
      </c>
    </row>
    <row r="1522" spans="1:17">
      <c r="A1522">
        <v>2</v>
      </c>
      <c r="B1522" t="s">
        <v>12096</v>
      </c>
      <c r="C1522" t="s">
        <v>12153</v>
      </c>
      <c r="D1522" t="s">
        <v>12156</v>
      </c>
      <c r="E1522" t="s">
        <v>4187</v>
      </c>
      <c r="F1522" t="s">
        <v>4188</v>
      </c>
      <c r="G1522" s="712">
        <v>0</v>
      </c>
      <c r="H1522">
        <v>0</v>
      </c>
      <c r="I1522" s="713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 s="724" t="str">
        <f>VLOOKUP($E1522,SP_2024_v28062025!$E$2:$M$1751,9,FALSE)</f>
        <v>PDA360</v>
      </c>
    </row>
    <row r="1523" spans="1:17">
      <c r="A1523">
        <v>2</v>
      </c>
      <c r="B1523" t="s">
        <v>12096</v>
      </c>
      <c r="C1523" t="s">
        <v>12153</v>
      </c>
      <c r="D1523" t="s">
        <v>12156</v>
      </c>
      <c r="E1523" t="s">
        <v>4189</v>
      </c>
      <c r="F1523" t="s">
        <v>4190</v>
      </c>
      <c r="G1523" s="712">
        <v>0</v>
      </c>
      <c r="H1523">
        <v>0</v>
      </c>
      <c r="I1523" s="71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 s="724" t="str">
        <f>VLOOKUP($E1523,SP_2024_v28062025!$E$2:$M$1751,9,FALSE)</f>
        <v>PDA360</v>
      </c>
    </row>
    <row r="1524" spans="1:17">
      <c r="A1524">
        <v>2</v>
      </c>
      <c r="B1524" t="s">
        <v>12096</v>
      </c>
      <c r="C1524" t="s">
        <v>12153</v>
      </c>
      <c r="D1524" t="s">
        <v>12156</v>
      </c>
      <c r="E1524" t="s">
        <v>4191</v>
      </c>
      <c r="F1524" t="s">
        <v>4192</v>
      </c>
      <c r="G1524" s="712">
        <v>0</v>
      </c>
      <c r="H1524">
        <v>0</v>
      </c>
      <c r="I1524" s="713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 s="724" t="str">
        <f>VLOOKUP($E1524,SP_2024_v28062025!$E$2:$M$1751,9,FALSE)</f>
        <v>PDA360</v>
      </c>
    </row>
    <row r="1525" spans="1:17">
      <c r="A1525">
        <v>2</v>
      </c>
      <c r="B1525" t="s">
        <v>12096</v>
      </c>
      <c r="C1525" t="s">
        <v>12153</v>
      </c>
      <c r="D1525" t="s">
        <v>12156</v>
      </c>
      <c r="E1525" t="s">
        <v>4193</v>
      </c>
      <c r="F1525" t="s">
        <v>4194</v>
      </c>
      <c r="G1525" s="712">
        <v>0</v>
      </c>
      <c r="H1525">
        <v>0</v>
      </c>
      <c r="I1525" s="713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 s="724" t="str">
        <f>VLOOKUP($E1525,SP_2024_v28062025!$E$2:$M$1751,9,FALSE)</f>
        <v>PDA360</v>
      </c>
    </row>
    <row r="1526" spans="1:17">
      <c r="A1526">
        <v>2</v>
      </c>
      <c r="B1526" t="s">
        <v>12096</v>
      </c>
      <c r="C1526" t="s">
        <v>12153</v>
      </c>
      <c r="D1526" t="s">
        <v>12156</v>
      </c>
      <c r="E1526" t="s">
        <v>4195</v>
      </c>
      <c r="F1526" t="s">
        <v>4196</v>
      </c>
      <c r="G1526" s="712">
        <v>0</v>
      </c>
      <c r="H1526">
        <v>0</v>
      </c>
      <c r="I1526" s="713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 s="724" t="str">
        <f>VLOOKUP($E1526,SP_2024_v28062025!$E$2:$M$1751,9,FALSE)</f>
        <v>PDA360</v>
      </c>
    </row>
    <row r="1527" spans="1:17">
      <c r="A1527">
        <v>2</v>
      </c>
      <c r="B1527" t="s">
        <v>12096</v>
      </c>
      <c r="C1527" t="s">
        <v>12153</v>
      </c>
      <c r="D1527" t="s">
        <v>12156</v>
      </c>
      <c r="E1527" t="s">
        <v>4197</v>
      </c>
      <c r="F1527" t="s">
        <v>4198</v>
      </c>
      <c r="G1527" s="712">
        <v>0</v>
      </c>
      <c r="H1527">
        <v>0</v>
      </c>
      <c r="I1527" s="713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 s="724" t="str">
        <f>VLOOKUP($E1527,SP_2024_v28062025!$E$2:$M$1751,9,FALSE)</f>
        <v>PDA360</v>
      </c>
    </row>
    <row r="1528" spans="1:17">
      <c r="A1528">
        <v>2</v>
      </c>
      <c r="B1528" t="s">
        <v>12096</v>
      </c>
      <c r="C1528" t="s">
        <v>12153</v>
      </c>
      <c r="D1528" t="s">
        <v>12156</v>
      </c>
      <c r="E1528" t="s">
        <v>4199</v>
      </c>
      <c r="F1528" t="s">
        <v>4200</v>
      </c>
      <c r="G1528" s="712">
        <v>0</v>
      </c>
      <c r="H1528" s="711">
        <v>18941.98</v>
      </c>
      <c r="I1528" s="715">
        <v>18941.98</v>
      </c>
      <c r="J1528" s="711">
        <v>18941.98</v>
      </c>
      <c r="K1528">
        <v>0</v>
      </c>
      <c r="L1528">
        <v>0</v>
      </c>
      <c r="M1528">
        <v>0</v>
      </c>
      <c r="N1528" s="711">
        <v>18941.98</v>
      </c>
      <c r="O1528" s="711">
        <v>18941.98</v>
      </c>
      <c r="P1528">
        <v>0</v>
      </c>
      <c r="Q1528" s="724" t="str">
        <f>VLOOKUP($E1528,SP_2024_v28062025!$E$2:$M$1751,9,FALSE)</f>
        <v>PDA360</v>
      </c>
    </row>
    <row r="1529" spans="1:17">
      <c r="A1529">
        <v>2</v>
      </c>
      <c r="B1529" t="s">
        <v>12096</v>
      </c>
      <c r="C1529" t="s">
        <v>12153</v>
      </c>
      <c r="D1529" t="s">
        <v>12156</v>
      </c>
      <c r="E1529" t="s">
        <v>4201</v>
      </c>
      <c r="F1529" t="s">
        <v>4202</v>
      </c>
      <c r="G1529" s="712">
        <v>0</v>
      </c>
      <c r="H1529">
        <v>0</v>
      </c>
      <c r="I1529" s="713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 s="724" t="str">
        <f>VLOOKUP($E1529,SP_2024_v28062025!$E$2:$M$1751,9,FALSE)</f>
        <v>PDA360</v>
      </c>
    </row>
    <row r="1530" spans="1:17">
      <c r="A1530">
        <v>2</v>
      </c>
      <c r="B1530" t="s">
        <v>12096</v>
      </c>
      <c r="C1530" t="s">
        <v>12153</v>
      </c>
      <c r="D1530" t="s">
        <v>12156</v>
      </c>
      <c r="E1530" t="s">
        <v>4203</v>
      </c>
      <c r="F1530" t="s">
        <v>4204</v>
      </c>
      <c r="G1530" s="712">
        <v>0</v>
      </c>
      <c r="H1530">
        <v>0</v>
      </c>
      <c r="I1530" s="713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 s="724" t="str">
        <f>VLOOKUP($E1530,SP_2024_v28062025!$E$2:$M$1751,9,FALSE)</f>
        <v>PDA360</v>
      </c>
    </row>
    <row r="1531" spans="1:17">
      <c r="A1531">
        <v>2</v>
      </c>
      <c r="B1531" t="s">
        <v>12096</v>
      </c>
      <c r="C1531" t="s">
        <v>12153</v>
      </c>
      <c r="D1531" t="s">
        <v>12156</v>
      </c>
      <c r="E1531" t="s">
        <v>4205</v>
      </c>
      <c r="F1531" t="s">
        <v>4206</v>
      </c>
      <c r="G1531" s="712">
        <v>0</v>
      </c>
      <c r="H1531" s="711">
        <v>90918.41</v>
      </c>
      <c r="I1531" s="715">
        <v>90918.41</v>
      </c>
      <c r="J1531" s="711">
        <v>90918.41</v>
      </c>
      <c r="K1531">
        <v>0</v>
      </c>
      <c r="L1531">
        <v>0</v>
      </c>
      <c r="M1531">
        <v>0</v>
      </c>
      <c r="N1531" s="711">
        <v>90918.41</v>
      </c>
      <c r="O1531" s="711">
        <v>90918.41</v>
      </c>
      <c r="P1531">
        <v>0</v>
      </c>
      <c r="Q1531" s="724" t="str">
        <f>VLOOKUP($E1531,SP_2024_v28062025!$E$2:$M$1751,9,FALSE)</f>
        <v>PDA360</v>
      </c>
    </row>
    <row r="1532" spans="1:17">
      <c r="A1532">
        <v>2</v>
      </c>
      <c r="B1532" t="s">
        <v>12096</v>
      </c>
      <c r="C1532" t="s">
        <v>12153</v>
      </c>
      <c r="D1532" t="s">
        <v>12156</v>
      </c>
      <c r="E1532" t="s">
        <v>4207</v>
      </c>
      <c r="F1532" t="s">
        <v>4208</v>
      </c>
      <c r="G1532" s="712">
        <v>0</v>
      </c>
      <c r="H1532" s="711">
        <v>354755.5</v>
      </c>
      <c r="I1532" s="715">
        <v>354755.5</v>
      </c>
      <c r="J1532" s="711">
        <v>354755.5</v>
      </c>
      <c r="K1532">
        <v>0</v>
      </c>
      <c r="L1532">
        <v>0</v>
      </c>
      <c r="M1532">
        <v>0</v>
      </c>
      <c r="N1532" s="711">
        <v>354755.5</v>
      </c>
      <c r="O1532" s="711">
        <v>354755.5</v>
      </c>
      <c r="P1532">
        <v>0</v>
      </c>
      <c r="Q1532" s="724" t="str">
        <f>VLOOKUP($E1532,SP_2024_v28062025!$E$2:$M$1751,9,FALSE)</f>
        <v>PDA360</v>
      </c>
    </row>
    <row r="1533" spans="1:17">
      <c r="A1533">
        <v>2</v>
      </c>
      <c r="B1533" t="s">
        <v>12096</v>
      </c>
      <c r="C1533" t="s">
        <v>12153</v>
      </c>
      <c r="D1533" t="s">
        <v>12156</v>
      </c>
      <c r="E1533" t="s">
        <v>4209</v>
      </c>
      <c r="F1533" t="s">
        <v>4210</v>
      </c>
      <c r="G1533" s="712">
        <v>0</v>
      </c>
      <c r="H1533">
        <v>0</v>
      </c>
      <c r="I1533" s="71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 s="724" t="str">
        <f>VLOOKUP($E1533,SP_2024_v28062025!$E$2:$M$1751,9,FALSE)</f>
        <v>PDA360</v>
      </c>
    </row>
    <row r="1534" spans="1:17">
      <c r="A1534">
        <v>2</v>
      </c>
      <c r="B1534" t="s">
        <v>12096</v>
      </c>
      <c r="C1534" t="s">
        <v>12153</v>
      </c>
      <c r="D1534" t="s">
        <v>12156</v>
      </c>
      <c r="E1534" t="s">
        <v>4212</v>
      </c>
      <c r="F1534" t="s">
        <v>4213</v>
      </c>
      <c r="G1534" s="712">
        <v>0</v>
      </c>
      <c r="H1534" s="711">
        <v>91666.8</v>
      </c>
      <c r="I1534" s="715">
        <v>91666.8</v>
      </c>
      <c r="J1534" s="711">
        <v>91666.8</v>
      </c>
      <c r="K1534">
        <v>0</v>
      </c>
      <c r="L1534">
        <v>0</v>
      </c>
      <c r="M1534">
        <v>0</v>
      </c>
      <c r="N1534" s="711">
        <v>91666.8</v>
      </c>
      <c r="O1534" s="711">
        <v>91666.8</v>
      </c>
      <c r="P1534">
        <v>0</v>
      </c>
      <c r="Q1534" s="724" t="str">
        <f>VLOOKUP($E1534,SP_2024_v28062025!$E$2:$M$1751,9,FALSE)</f>
        <v>PDA360</v>
      </c>
    </row>
    <row r="1535" spans="1:17">
      <c r="A1535">
        <v>2</v>
      </c>
      <c r="B1535" t="s">
        <v>12096</v>
      </c>
      <c r="C1535" t="s">
        <v>12153</v>
      </c>
      <c r="D1535" t="s">
        <v>12156</v>
      </c>
      <c r="E1535" t="s">
        <v>4214</v>
      </c>
      <c r="F1535" t="s">
        <v>4215</v>
      </c>
      <c r="G1535" s="712">
        <v>0</v>
      </c>
      <c r="H1535" s="711">
        <v>34950.65</v>
      </c>
      <c r="I1535" s="715">
        <v>34950.65</v>
      </c>
      <c r="J1535">
        <v>0</v>
      </c>
      <c r="K1535">
        <v>0</v>
      </c>
      <c r="L1535">
        <v>0</v>
      </c>
      <c r="M1535">
        <v>0</v>
      </c>
      <c r="N1535">
        <v>0</v>
      </c>
      <c r="O1535" s="711">
        <v>34950.65</v>
      </c>
      <c r="P1535" s="711">
        <v>-34950.65</v>
      </c>
      <c r="Q1535" s="724" t="str">
        <f>VLOOKUP($E1535,SP_2024_v28062025!$E$2:$M$1751,9,FALSE)</f>
        <v>PDA360</v>
      </c>
    </row>
    <row r="1536" spans="1:17">
      <c r="A1536">
        <v>2</v>
      </c>
      <c r="B1536" t="s">
        <v>12096</v>
      </c>
      <c r="C1536" t="s">
        <v>12153</v>
      </c>
      <c r="D1536" t="s">
        <v>12156</v>
      </c>
      <c r="E1536" t="s">
        <v>4216</v>
      </c>
      <c r="F1536" t="s">
        <v>4217</v>
      </c>
      <c r="G1536" s="712">
        <v>0</v>
      </c>
      <c r="H1536" s="711">
        <v>581537.35</v>
      </c>
      <c r="I1536" s="715">
        <v>581537.35</v>
      </c>
      <c r="J1536" s="711">
        <v>14343.47</v>
      </c>
      <c r="K1536">
        <v>0</v>
      </c>
      <c r="L1536">
        <v>0</v>
      </c>
      <c r="M1536">
        <v>0</v>
      </c>
      <c r="N1536" s="711">
        <v>14343.47</v>
      </c>
      <c r="O1536" s="711">
        <v>581537.35</v>
      </c>
      <c r="P1536" s="711">
        <v>-567193.88</v>
      </c>
      <c r="Q1536" s="724" t="str">
        <f>VLOOKUP($E1536,SP_2024_v28062025!$E$2:$M$1751,9,FALSE)</f>
        <v>PDA360</v>
      </c>
    </row>
    <row r="1537" spans="1:17">
      <c r="A1537">
        <v>2</v>
      </c>
      <c r="B1537" t="s">
        <v>12096</v>
      </c>
      <c r="C1537" t="s">
        <v>12153</v>
      </c>
      <c r="D1537" t="s">
        <v>12156</v>
      </c>
      <c r="E1537" t="s">
        <v>4218</v>
      </c>
      <c r="F1537" t="s">
        <v>4219</v>
      </c>
      <c r="G1537" s="712">
        <v>0</v>
      </c>
      <c r="H1537" s="711">
        <v>550712.66</v>
      </c>
      <c r="I1537" s="715">
        <v>550712.66</v>
      </c>
      <c r="J1537">
        <v>0</v>
      </c>
      <c r="K1537">
        <v>0</v>
      </c>
      <c r="L1537">
        <v>0</v>
      </c>
      <c r="M1537">
        <v>0</v>
      </c>
      <c r="N1537">
        <v>0</v>
      </c>
      <c r="O1537" s="711">
        <v>550712.66</v>
      </c>
      <c r="P1537" s="711">
        <v>-550712.66</v>
      </c>
      <c r="Q1537" s="724" t="str">
        <f>VLOOKUP($E1537,SP_2024_v28062025!$E$2:$M$1751,9,FALSE)</f>
        <v>PDA360</v>
      </c>
    </row>
    <row r="1538" spans="1:17">
      <c r="A1538">
        <v>2</v>
      </c>
      <c r="B1538" t="s">
        <v>12096</v>
      </c>
      <c r="C1538" t="s">
        <v>12153</v>
      </c>
      <c r="D1538" t="s">
        <v>12156</v>
      </c>
      <c r="E1538" t="s">
        <v>4220</v>
      </c>
      <c r="F1538" t="s">
        <v>4221</v>
      </c>
      <c r="G1538" s="712">
        <v>0</v>
      </c>
      <c r="H1538">
        <v>0</v>
      </c>
      <c r="I1538" s="713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 s="724" t="str">
        <f>VLOOKUP($E1538,SP_2024_v28062025!$E$2:$M$1751,9,FALSE)</f>
        <v>PDA360</v>
      </c>
    </row>
    <row r="1539" spans="1:17">
      <c r="A1539">
        <v>2</v>
      </c>
      <c r="B1539" t="s">
        <v>12096</v>
      </c>
      <c r="C1539" t="s">
        <v>12153</v>
      </c>
      <c r="D1539" t="s">
        <v>12156</v>
      </c>
      <c r="E1539" t="s">
        <v>4222</v>
      </c>
      <c r="F1539" t="s">
        <v>4223</v>
      </c>
      <c r="G1539" s="712">
        <v>0</v>
      </c>
      <c r="H1539" s="711">
        <v>732690.84</v>
      </c>
      <c r="I1539" s="715">
        <v>732690.84</v>
      </c>
      <c r="J1539">
        <v>0</v>
      </c>
      <c r="K1539">
        <v>0</v>
      </c>
      <c r="L1539">
        <v>0</v>
      </c>
      <c r="M1539">
        <v>0</v>
      </c>
      <c r="N1539">
        <v>0</v>
      </c>
      <c r="O1539" s="711">
        <v>732690.84</v>
      </c>
      <c r="P1539" s="711">
        <v>-732690.84</v>
      </c>
      <c r="Q1539" s="724" t="str">
        <f>VLOOKUP($E1539,SP_2024_v28062025!$E$2:$M$1751,9,FALSE)</f>
        <v>PDA360</v>
      </c>
    </row>
    <row r="1540" spans="1:17">
      <c r="A1540">
        <v>2</v>
      </c>
      <c r="B1540" t="s">
        <v>12096</v>
      </c>
      <c r="C1540" t="s">
        <v>12153</v>
      </c>
      <c r="D1540" t="s">
        <v>12156</v>
      </c>
      <c r="E1540" t="s">
        <v>4224</v>
      </c>
      <c r="F1540" t="s">
        <v>4225</v>
      </c>
      <c r="G1540" s="712">
        <v>0</v>
      </c>
      <c r="H1540" s="711">
        <v>433222.69</v>
      </c>
      <c r="I1540" s="715">
        <v>433222.69</v>
      </c>
      <c r="J1540">
        <v>0</v>
      </c>
      <c r="K1540">
        <v>0</v>
      </c>
      <c r="L1540">
        <v>0</v>
      </c>
      <c r="M1540">
        <v>0</v>
      </c>
      <c r="N1540">
        <v>0</v>
      </c>
      <c r="O1540" s="711">
        <v>433222.69</v>
      </c>
      <c r="P1540" s="711">
        <v>-433222.69</v>
      </c>
      <c r="Q1540" s="724" t="str">
        <f>VLOOKUP($E1540,SP_2024_v28062025!$E$2:$M$1751,9,FALSE)</f>
        <v>PDA360</v>
      </c>
    </row>
    <row r="1541" spans="1:17">
      <c r="A1541">
        <v>2</v>
      </c>
      <c r="B1541" t="s">
        <v>12096</v>
      </c>
      <c r="C1541" t="s">
        <v>12153</v>
      </c>
      <c r="D1541" t="s">
        <v>12156</v>
      </c>
      <c r="E1541" t="s">
        <v>4227</v>
      </c>
      <c r="F1541" t="s">
        <v>4228</v>
      </c>
      <c r="G1541" s="712">
        <v>0</v>
      </c>
      <c r="H1541" s="711">
        <v>743758.08</v>
      </c>
      <c r="I1541" s="715">
        <v>743758.08</v>
      </c>
      <c r="J1541" s="711">
        <v>10951.43</v>
      </c>
      <c r="K1541">
        <v>499.29</v>
      </c>
      <c r="L1541">
        <v>0</v>
      </c>
      <c r="M1541">
        <v>0</v>
      </c>
      <c r="N1541" s="711">
        <v>10951.43</v>
      </c>
      <c r="O1541" s="711">
        <v>744257.37</v>
      </c>
      <c r="P1541" s="711">
        <v>-733305.94</v>
      </c>
      <c r="Q1541" s="724" t="str">
        <f>VLOOKUP($E1541,SP_2024_v28062025!$E$2:$M$1751,9,FALSE)</f>
        <v>PDA360</v>
      </c>
    </row>
    <row r="1542" spans="1:17">
      <c r="A1542">
        <v>2</v>
      </c>
      <c r="B1542" t="s">
        <v>12096</v>
      </c>
      <c r="C1542" t="s">
        <v>12153</v>
      </c>
      <c r="D1542" t="s">
        <v>12156</v>
      </c>
      <c r="E1542" t="s">
        <v>4229</v>
      </c>
      <c r="F1542" t="s">
        <v>4230</v>
      </c>
      <c r="G1542" s="712">
        <v>0</v>
      </c>
      <c r="H1542" s="711">
        <v>561684.19999999995</v>
      </c>
      <c r="I1542" s="715">
        <v>561684.19999999995</v>
      </c>
      <c r="J1542" s="711">
        <v>1186.92</v>
      </c>
      <c r="K1542">
        <v>0</v>
      </c>
      <c r="L1542">
        <v>0</v>
      </c>
      <c r="M1542">
        <v>0</v>
      </c>
      <c r="N1542" s="711">
        <v>1186.92</v>
      </c>
      <c r="O1542" s="711">
        <v>561684.19999999995</v>
      </c>
      <c r="P1542" s="711">
        <v>-560497.28</v>
      </c>
      <c r="Q1542" s="724" t="str">
        <f>VLOOKUP($E1542,SP_2024_v28062025!$E$2:$M$1751,9,FALSE)</f>
        <v>PDA360</v>
      </c>
    </row>
    <row r="1543" spans="1:17">
      <c r="A1543">
        <v>2</v>
      </c>
      <c r="B1543" t="s">
        <v>12096</v>
      </c>
      <c r="C1543" t="s">
        <v>12153</v>
      </c>
      <c r="D1543" t="s">
        <v>12156</v>
      </c>
      <c r="E1543" t="s">
        <v>4231</v>
      </c>
      <c r="F1543" t="s">
        <v>4232</v>
      </c>
      <c r="G1543" s="712">
        <v>0</v>
      </c>
      <c r="H1543">
        <v>0</v>
      </c>
      <c r="I1543" s="713">
        <v>0</v>
      </c>
      <c r="J1543" s="711">
        <v>1250882.83</v>
      </c>
      <c r="K1543" s="711">
        <v>7321121</v>
      </c>
      <c r="L1543">
        <v>0</v>
      </c>
      <c r="M1543">
        <v>0</v>
      </c>
      <c r="N1543" s="711">
        <v>1250882.83</v>
      </c>
      <c r="O1543" s="711">
        <v>7321121</v>
      </c>
      <c r="P1543" s="711">
        <v>-6070238.1699999999</v>
      </c>
      <c r="Q1543" s="724" t="str">
        <f>VLOOKUP($E1543,SP_2024_v28062025!$E$2:$M$1751,9,FALSE)</f>
        <v>PDA360</v>
      </c>
    </row>
    <row r="1544" spans="1:17">
      <c r="A1544">
        <v>2</v>
      </c>
      <c r="B1544" t="s">
        <v>12096</v>
      </c>
      <c r="C1544" t="s">
        <v>12153</v>
      </c>
      <c r="D1544" t="s">
        <v>12156</v>
      </c>
      <c r="E1544" t="s">
        <v>4233</v>
      </c>
      <c r="F1544" t="s">
        <v>4234</v>
      </c>
      <c r="G1544" s="712">
        <v>0</v>
      </c>
      <c r="H1544">
        <v>0</v>
      </c>
      <c r="I1544" s="713">
        <v>0</v>
      </c>
      <c r="J1544" s="711">
        <v>1310229.29</v>
      </c>
      <c r="K1544" s="711">
        <v>1956443.23</v>
      </c>
      <c r="L1544">
        <v>0</v>
      </c>
      <c r="M1544">
        <v>0</v>
      </c>
      <c r="N1544" s="711">
        <v>1310229.29</v>
      </c>
      <c r="O1544" s="711">
        <v>1956443.23</v>
      </c>
      <c r="P1544" s="711">
        <v>-646213.93999999994</v>
      </c>
      <c r="Q1544" s="724" t="str">
        <f>VLOOKUP($E1544,SP_2024_v28062025!$E$2:$M$1751,9,FALSE)</f>
        <v>PDA360</v>
      </c>
    </row>
    <row r="1545" spans="1:17">
      <c r="A1545">
        <v>2</v>
      </c>
      <c r="B1545" t="s">
        <v>12096</v>
      </c>
      <c r="C1545" t="s">
        <v>12153</v>
      </c>
      <c r="D1545" t="s">
        <v>12156</v>
      </c>
      <c r="E1545" t="s">
        <v>4235</v>
      </c>
      <c r="F1545" t="s">
        <v>4213</v>
      </c>
      <c r="G1545" s="712">
        <v>0</v>
      </c>
      <c r="H1545">
        <v>0</v>
      </c>
      <c r="I1545" s="713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 s="724" t="str">
        <f>VLOOKUP($E1545,SP_2024_v28062025!$E$2:$M$1751,9,FALSE)</f>
        <v>PDA360</v>
      </c>
    </row>
    <row r="1546" spans="1:17">
      <c r="A1546">
        <v>2</v>
      </c>
      <c r="B1546" t="s">
        <v>12096</v>
      </c>
      <c r="C1546" t="s">
        <v>12153</v>
      </c>
      <c r="D1546" t="s">
        <v>12156</v>
      </c>
      <c r="E1546" t="s">
        <v>4237</v>
      </c>
      <c r="F1546" t="s">
        <v>4238</v>
      </c>
      <c r="G1546" s="712">
        <v>0</v>
      </c>
      <c r="H1546">
        <v>0</v>
      </c>
      <c r="I1546" s="713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 s="724" t="str">
        <f>VLOOKUP($E1546,SP_2024_v28062025!$E$2:$M$1751,9,FALSE)</f>
        <v>PDA360</v>
      </c>
    </row>
    <row r="1547" spans="1:17">
      <c r="A1547">
        <v>2</v>
      </c>
      <c r="B1547" t="s">
        <v>12096</v>
      </c>
      <c r="C1547" t="s">
        <v>12153</v>
      </c>
      <c r="D1547" t="s">
        <v>12156</v>
      </c>
      <c r="E1547" t="s">
        <v>4239</v>
      </c>
      <c r="F1547" t="s">
        <v>4240</v>
      </c>
      <c r="G1547" s="712">
        <v>0</v>
      </c>
      <c r="H1547">
        <v>0</v>
      </c>
      <c r="I1547" s="713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 s="724" t="str">
        <f>VLOOKUP($E1547,SP_2024_v28062025!$E$2:$M$1751,9,FALSE)</f>
        <v>PDA360</v>
      </c>
    </row>
    <row r="1548" spans="1:17">
      <c r="A1548">
        <v>2</v>
      </c>
      <c r="B1548" t="s">
        <v>12096</v>
      </c>
      <c r="C1548" t="s">
        <v>12153</v>
      </c>
      <c r="D1548" t="s">
        <v>12156</v>
      </c>
      <c r="E1548" t="s">
        <v>4241</v>
      </c>
      <c r="F1548" t="s">
        <v>4242</v>
      </c>
      <c r="G1548" s="712">
        <v>0</v>
      </c>
      <c r="H1548">
        <v>0</v>
      </c>
      <c r="I1548" s="713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 s="724" t="str">
        <f>VLOOKUP($E1548,SP_2024_v28062025!$E$2:$M$1751,9,FALSE)</f>
        <v>PDA360</v>
      </c>
    </row>
    <row r="1549" spans="1:17">
      <c r="A1549">
        <v>2</v>
      </c>
      <c r="B1549" t="s">
        <v>12096</v>
      </c>
      <c r="C1549" t="s">
        <v>12153</v>
      </c>
      <c r="D1549" t="s">
        <v>12156</v>
      </c>
      <c r="E1549" t="s">
        <v>4243</v>
      </c>
      <c r="F1549" t="s">
        <v>4244</v>
      </c>
      <c r="G1549" s="712">
        <v>0</v>
      </c>
      <c r="H1549">
        <v>0</v>
      </c>
      <c r="I1549" s="713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 s="724" t="str">
        <f>VLOOKUP($E1549,SP_2024_v28062025!$E$2:$M$1751,9,FALSE)</f>
        <v>PDA360</v>
      </c>
    </row>
    <row r="1550" spans="1:17">
      <c r="A1550">
        <v>2</v>
      </c>
      <c r="B1550" t="s">
        <v>12096</v>
      </c>
      <c r="C1550" t="s">
        <v>12153</v>
      </c>
      <c r="D1550" t="s">
        <v>12156</v>
      </c>
      <c r="E1550" t="s">
        <v>4245</v>
      </c>
      <c r="F1550" t="s">
        <v>4246</v>
      </c>
      <c r="G1550" s="712">
        <v>0</v>
      </c>
      <c r="H1550">
        <v>0</v>
      </c>
      <c r="I1550" s="713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 s="724" t="str">
        <f>VLOOKUP($E1550,SP_2024_v28062025!$E$2:$M$1751,9,FALSE)</f>
        <v>PDA360</v>
      </c>
    </row>
    <row r="1551" spans="1:17">
      <c r="A1551">
        <v>2</v>
      </c>
      <c r="B1551" t="s">
        <v>12096</v>
      </c>
      <c r="C1551" t="s">
        <v>12153</v>
      </c>
      <c r="D1551" t="s">
        <v>12156</v>
      </c>
      <c r="E1551" t="s">
        <v>4247</v>
      </c>
      <c r="F1551" t="s">
        <v>4248</v>
      </c>
      <c r="G1551" s="712">
        <v>0</v>
      </c>
      <c r="H1551">
        <v>0</v>
      </c>
      <c r="I1551" s="713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 s="724" t="str">
        <f>VLOOKUP($E1551,SP_2024_v28062025!$E$2:$M$1751,9,FALSE)</f>
        <v>PDA360</v>
      </c>
    </row>
    <row r="1552" spans="1:17">
      <c r="A1552">
        <v>2</v>
      </c>
      <c r="B1552" t="s">
        <v>12096</v>
      </c>
      <c r="C1552" t="s">
        <v>12153</v>
      </c>
      <c r="D1552" t="s">
        <v>12156</v>
      </c>
      <c r="E1552" t="s">
        <v>4249</v>
      </c>
      <c r="F1552" t="s">
        <v>4250</v>
      </c>
      <c r="G1552" s="712">
        <v>0</v>
      </c>
      <c r="H1552">
        <v>0</v>
      </c>
      <c r="I1552" s="713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 s="724" t="str">
        <f>VLOOKUP($E1552,SP_2024_v28062025!$E$2:$M$1751,9,FALSE)</f>
        <v>PDA360</v>
      </c>
    </row>
    <row r="1553" spans="1:17">
      <c r="A1553">
        <v>2</v>
      </c>
      <c r="B1553" t="s">
        <v>12096</v>
      </c>
      <c r="C1553" t="s">
        <v>12153</v>
      </c>
      <c r="D1553" t="s">
        <v>12156</v>
      </c>
      <c r="E1553" t="s">
        <v>4251</v>
      </c>
      <c r="F1553" t="s">
        <v>4252</v>
      </c>
      <c r="G1553" s="712">
        <v>0</v>
      </c>
      <c r="H1553">
        <v>0</v>
      </c>
      <c r="I1553" s="71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 s="724" t="str">
        <f>VLOOKUP($E1553,SP_2024_v28062025!$E$2:$M$1751,9,FALSE)</f>
        <v>PDA360</v>
      </c>
    </row>
    <row r="1554" spans="1:17">
      <c r="A1554">
        <v>2</v>
      </c>
      <c r="B1554" t="s">
        <v>12096</v>
      </c>
      <c r="C1554" t="s">
        <v>12153</v>
      </c>
      <c r="D1554" t="s">
        <v>12156</v>
      </c>
      <c r="E1554" t="s">
        <v>4253</v>
      </c>
      <c r="F1554" t="s">
        <v>4254</v>
      </c>
      <c r="G1554" s="712">
        <v>0</v>
      </c>
      <c r="H1554">
        <v>0</v>
      </c>
      <c r="I1554" s="713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 s="724" t="str">
        <f>VLOOKUP($E1554,SP_2024_v28062025!$E$2:$M$1751,9,FALSE)</f>
        <v>PDA360</v>
      </c>
    </row>
    <row r="1555" spans="1:17">
      <c r="A1555">
        <v>2</v>
      </c>
      <c r="B1555" t="s">
        <v>12096</v>
      </c>
      <c r="C1555" t="s">
        <v>12153</v>
      </c>
      <c r="D1555" t="s">
        <v>12156</v>
      </c>
      <c r="E1555" t="s">
        <v>4255</v>
      </c>
      <c r="F1555" t="s">
        <v>4256</v>
      </c>
      <c r="G1555" s="712">
        <v>0</v>
      </c>
      <c r="H1555">
        <v>0</v>
      </c>
      <c r="I1555" s="713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 s="724" t="str">
        <f>VLOOKUP($E1555,SP_2024_v28062025!$E$2:$M$1751,9,FALSE)</f>
        <v>PDA360</v>
      </c>
    </row>
    <row r="1556" spans="1:17">
      <c r="A1556">
        <v>2</v>
      </c>
      <c r="B1556" t="s">
        <v>12096</v>
      </c>
      <c r="C1556" t="s">
        <v>12153</v>
      </c>
      <c r="D1556" t="s">
        <v>12156</v>
      </c>
      <c r="E1556" t="s">
        <v>4257</v>
      </c>
      <c r="F1556" t="s">
        <v>4258</v>
      </c>
      <c r="G1556" s="712">
        <v>0</v>
      </c>
      <c r="H1556">
        <v>0</v>
      </c>
      <c r="I1556" s="713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 s="724" t="str">
        <f>VLOOKUP($E1556,SP_2024_v28062025!$E$2:$M$1751,9,FALSE)</f>
        <v>PDA360</v>
      </c>
    </row>
    <row r="1557" spans="1:17">
      <c r="A1557">
        <v>2</v>
      </c>
      <c r="B1557" t="s">
        <v>12096</v>
      </c>
      <c r="C1557" t="s">
        <v>12153</v>
      </c>
      <c r="D1557" t="s">
        <v>12156</v>
      </c>
      <c r="E1557" t="s">
        <v>4259</v>
      </c>
      <c r="F1557" t="s">
        <v>4260</v>
      </c>
      <c r="G1557" s="712">
        <v>0</v>
      </c>
      <c r="H1557">
        <v>0</v>
      </c>
      <c r="I1557" s="713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 s="724" t="str">
        <f>VLOOKUP($E1557,SP_2024_v28062025!$E$2:$M$1751,9,FALSE)</f>
        <v>PDA360</v>
      </c>
    </row>
    <row r="1558" spans="1:17">
      <c r="A1558">
        <v>2</v>
      </c>
      <c r="B1558" t="s">
        <v>12096</v>
      </c>
      <c r="C1558" t="s">
        <v>12153</v>
      </c>
      <c r="D1558" t="s">
        <v>12156</v>
      </c>
      <c r="E1558" t="s">
        <v>4261</v>
      </c>
      <c r="F1558" t="s">
        <v>4262</v>
      </c>
      <c r="G1558" s="712">
        <v>0</v>
      </c>
      <c r="H1558">
        <v>0</v>
      </c>
      <c r="I1558" s="713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 s="724" t="str">
        <f>VLOOKUP($E1558,SP_2024_v28062025!$E$2:$M$1751,9,FALSE)</f>
        <v>PDA360</v>
      </c>
    </row>
    <row r="1559" spans="1:17">
      <c r="A1559">
        <v>2</v>
      </c>
      <c r="B1559" t="s">
        <v>12096</v>
      </c>
      <c r="C1559" t="s">
        <v>12153</v>
      </c>
      <c r="D1559" t="s">
        <v>12156</v>
      </c>
      <c r="E1559" t="s">
        <v>4263</v>
      </c>
      <c r="F1559" t="s">
        <v>4264</v>
      </c>
      <c r="G1559" s="712">
        <v>0</v>
      </c>
      <c r="H1559">
        <v>0</v>
      </c>
      <c r="I1559" s="713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 s="724" t="str">
        <f>VLOOKUP($E1559,SP_2024_v28062025!$E$2:$M$1751,9,FALSE)</f>
        <v>PDA360</v>
      </c>
    </row>
    <row r="1560" spans="1:17">
      <c r="A1560">
        <v>2</v>
      </c>
      <c r="B1560" t="s">
        <v>12096</v>
      </c>
      <c r="C1560" t="s">
        <v>12153</v>
      </c>
      <c r="D1560" t="s">
        <v>12156</v>
      </c>
      <c r="E1560" t="s">
        <v>4265</v>
      </c>
      <c r="F1560" t="s">
        <v>4266</v>
      </c>
      <c r="G1560" s="712">
        <v>0</v>
      </c>
      <c r="H1560">
        <v>0</v>
      </c>
      <c r="I1560" s="713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 s="724" t="str">
        <f>VLOOKUP($E1560,SP_2024_v28062025!$E$2:$M$1751,9,FALSE)</f>
        <v>PDA360</v>
      </c>
    </row>
    <row r="1561" spans="1:17">
      <c r="A1561">
        <v>2</v>
      </c>
      <c r="B1561" t="s">
        <v>12096</v>
      </c>
      <c r="C1561" t="s">
        <v>12153</v>
      </c>
      <c r="D1561" t="s">
        <v>12156</v>
      </c>
      <c r="E1561" t="s">
        <v>4267</v>
      </c>
      <c r="F1561" t="s">
        <v>4268</v>
      </c>
      <c r="G1561" s="712">
        <v>0</v>
      </c>
      <c r="H1561">
        <v>0</v>
      </c>
      <c r="I1561" s="713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 s="724" t="str">
        <f>VLOOKUP($E1561,SP_2024_v28062025!$E$2:$M$1751,9,FALSE)</f>
        <v>PDA360</v>
      </c>
    </row>
    <row r="1562" spans="1:17">
      <c r="A1562">
        <v>2</v>
      </c>
      <c r="B1562" t="s">
        <v>12096</v>
      </c>
      <c r="C1562" t="s">
        <v>12153</v>
      </c>
      <c r="D1562" t="s">
        <v>12156</v>
      </c>
      <c r="E1562" t="s">
        <v>4269</v>
      </c>
      <c r="F1562" t="s">
        <v>4270</v>
      </c>
      <c r="G1562" s="712">
        <v>0</v>
      </c>
      <c r="H1562">
        <v>0</v>
      </c>
      <c r="I1562" s="713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 s="724" t="str">
        <f>VLOOKUP($E1562,SP_2024_v28062025!$E$2:$M$1751,9,FALSE)</f>
        <v>PDA360</v>
      </c>
    </row>
    <row r="1563" spans="1:17">
      <c r="A1563">
        <v>2</v>
      </c>
      <c r="B1563" t="s">
        <v>12096</v>
      </c>
      <c r="C1563" t="s">
        <v>12153</v>
      </c>
      <c r="D1563" t="s">
        <v>12156</v>
      </c>
      <c r="E1563" t="s">
        <v>4271</v>
      </c>
      <c r="F1563" t="s">
        <v>4272</v>
      </c>
      <c r="G1563" s="712">
        <v>0</v>
      </c>
      <c r="H1563">
        <v>0</v>
      </c>
      <c r="I1563" s="71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 s="724" t="str">
        <f>VLOOKUP($E1563,SP_2024_v28062025!$E$2:$M$1751,9,FALSE)</f>
        <v>PDA360</v>
      </c>
    </row>
    <row r="1564" spans="1:17">
      <c r="A1564">
        <v>2</v>
      </c>
      <c r="B1564" t="s">
        <v>12096</v>
      </c>
      <c r="C1564" t="s">
        <v>12153</v>
      </c>
      <c r="D1564" t="s">
        <v>12156</v>
      </c>
      <c r="E1564" t="s">
        <v>4273</v>
      </c>
      <c r="F1564" t="s">
        <v>4274</v>
      </c>
      <c r="G1564" s="712">
        <v>0</v>
      </c>
      <c r="H1564">
        <v>0</v>
      </c>
      <c r="I1564" s="713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 s="724" t="str">
        <f>VLOOKUP($E1564,SP_2024_v28062025!$E$2:$M$1751,9,FALSE)</f>
        <v>PDA360</v>
      </c>
    </row>
    <row r="1565" spans="1:17">
      <c r="A1565">
        <v>2</v>
      </c>
      <c r="B1565" t="s">
        <v>12096</v>
      </c>
      <c r="C1565" t="s">
        <v>12153</v>
      </c>
      <c r="D1565" t="s">
        <v>12156</v>
      </c>
      <c r="E1565" t="s">
        <v>4275</v>
      </c>
      <c r="F1565" t="s">
        <v>4276</v>
      </c>
      <c r="G1565" s="712">
        <v>0</v>
      </c>
      <c r="H1565">
        <v>0</v>
      </c>
      <c r="I1565" s="713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 s="724" t="str">
        <f>VLOOKUP($E1565,SP_2024_v28062025!$E$2:$M$1751,9,FALSE)</f>
        <v>PDA360</v>
      </c>
    </row>
    <row r="1566" spans="1:17">
      <c r="A1566">
        <v>2</v>
      </c>
      <c r="B1566" t="s">
        <v>12096</v>
      </c>
      <c r="C1566" t="s">
        <v>12153</v>
      </c>
      <c r="D1566" t="s">
        <v>12156</v>
      </c>
      <c r="E1566" t="s">
        <v>4277</v>
      </c>
      <c r="F1566" t="s">
        <v>4278</v>
      </c>
      <c r="G1566" s="712">
        <v>0</v>
      </c>
      <c r="H1566">
        <v>0</v>
      </c>
      <c r="I1566" s="713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 s="724" t="str">
        <f>VLOOKUP($E1566,SP_2024_v28062025!$E$2:$M$1751,9,FALSE)</f>
        <v>PDA360</v>
      </c>
    </row>
    <row r="1567" spans="1:17">
      <c r="A1567">
        <v>2</v>
      </c>
      <c r="B1567" t="s">
        <v>12096</v>
      </c>
      <c r="C1567" t="s">
        <v>12153</v>
      </c>
      <c r="D1567" t="s">
        <v>12156</v>
      </c>
      <c r="E1567" t="s">
        <v>4279</v>
      </c>
      <c r="F1567" t="s">
        <v>4280</v>
      </c>
      <c r="G1567" s="712">
        <v>0</v>
      </c>
      <c r="H1567">
        <v>0</v>
      </c>
      <c r="I1567" s="713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 s="724" t="str">
        <f>VLOOKUP($E1567,SP_2024_v28062025!$E$2:$M$1751,9,FALSE)</f>
        <v>PDA360</v>
      </c>
    </row>
    <row r="1568" spans="1:17">
      <c r="A1568">
        <v>2</v>
      </c>
      <c r="B1568" t="s">
        <v>12096</v>
      </c>
      <c r="C1568" t="s">
        <v>12153</v>
      </c>
      <c r="D1568" t="s">
        <v>12156</v>
      </c>
      <c r="E1568" t="s">
        <v>4281</v>
      </c>
      <c r="F1568" t="s">
        <v>4282</v>
      </c>
      <c r="G1568" s="712">
        <v>0</v>
      </c>
      <c r="H1568">
        <v>0</v>
      </c>
      <c r="I1568" s="713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 s="724" t="str">
        <f>VLOOKUP($E1568,SP_2024_v28062025!$E$2:$M$1751,9,FALSE)</f>
        <v>PDA360</v>
      </c>
    </row>
    <row r="1569" spans="1:17">
      <c r="A1569">
        <v>2</v>
      </c>
      <c r="B1569" t="s">
        <v>12096</v>
      </c>
      <c r="C1569" t="s">
        <v>12153</v>
      </c>
      <c r="D1569" t="s">
        <v>12156</v>
      </c>
      <c r="E1569" t="s">
        <v>4283</v>
      </c>
      <c r="F1569" t="s">
        <v>4192</v>
      </c>
      <c r="G1569" s="712">
        <v>0</v>
      </c>
      <c r="H1569">
        <v>0</v>
      </c>
      <c r="I1569" s="713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 s="724" t="str">
        <f>VLOOKUP($E1569,SP_2024_v28062025!$E$2:$M$1751,9,FALSE)</f>
        <v>PDA360</v>
      </c>
    </row>
    <row r="1570" spans="1:17">
      <c r="A1570">
        <v>2</v>
      </c>
      <c r="B1570" t="s">
        <v>12096</v>
      </c>
      <c r="C1570" t="s">
        <v>12153</v>
      </c>
      <c r="D1570" t="s">
        <v>12156</v>
      </c>
      <c r="E1570" t="s">
        <v>4285</v>
      </c>
      <c r="F1570" t="s">
        <v>4194</v>
      </c>
      <c r="G1570" s="712">
        <v>0</v>
      </c>
      <c r="H1570" s="711">
        <v>453031.21</v>
      </c>
      <c r="I1570" s="715">
        <v>453031.21</v>
      </c>
      <c r="J1570" s="711">
        <v>453031.21</v>
      </c>
      <c r="K1570">
        <v>0</v>
      </c>
      <c r="L1570">
        <v>0</v>
      </c>
      <c r="M1570">
        <v>0</v>
      </c>
      <c r="N1570" s="711">
        <v>453031.21</v>
      </c>
      <c r="O1570" s="711">
        <v>453031.21</v>
      </c>
      <c r="P1570">
        <v>0</v>
      </c>
      <c r="Q1570" s="724" t="str">
        <f>VLOOKUP($E1570,SP_2024_v28062025!$E$2:$M$1751,9,FALSE)</f>
        <v>PDA360</v>
      </c>
    </row>
    <row r="1571" spans="1:17">
      <c r="A1571">
        <v>2</v>
      </c>
      <c r="B1571" t="s">
        <v>12096</v>
      </c>
      <c r="C1571" t="s">
        <v>12153</v>
      </c>
      <c r="D1571" t="s">
        <v>12156</v>
      </c>
      <c r="E1571" t="s">
        <v>4286</v>
      </c>
      <c r="F1571" t="s">
        <v>4196</v>
      </c>
      <c r="G1571" s="712">
        <v>0</v>
      </c>
      <c r="H1571" s="711">
        <v>471808.13</v>
      </c>
      <c r="I1571" s="715">
        <v>471808.13</v>
      </c>
      <c r="J1571" s="711">
        <v>471808.13</v>
      </c>
      <c r="K1571">
        <v>0</v>
      </c>
      <c r="L1571">
        <v>0</v>
      </c>
      <c r="M1571">
        <v>0</v>
      </c>
      <c r="N1571" s="711">
        <v>471808.13</v>
      </c>
      <c r="O1571" s="711">
        <v>471808.13</v>
      </c>
      <c r="P1571">
        <v>0</v>
      </c>
      <c r="Q1571" s="724" t="str">
        <f>VLOOKUP($E1571,SP_2024_v28062025!$E$2:$M$1751,9,FALSE)</f>
        <v>PDA360</v>
      </c>
    </row>
    <row r="1572" spans="1:17">
      <c r="A1572">
        <v>2</v>
      </c>
      <c r="B1572" t="s">
        <v>12096</v>
      </c>
      <c r="C1572" t="s">
        <v>12153</v>
      </c>
      <c r="D1572" t="s">
        <v>12156</v>
      </c>
      <c r="E1572" t="s">
        <v>4287</v>
      </c>
      <c r="F1572" t="s">
        <v>4202</v>
      </c>
      <c r="G1572" s="712">
        <v>0</v>
      </c>
      <c r="H1572" s="711">
        <v>75249.53</v>
      </c>
      <c r="I1572" s="715">
        <v>75249.53</v>
      </c>
      <c r="J1572" s="711">
        <v>75249.53</v>
      </c>
      <c r="K1572">
        <v>0</v>
      </c>
      <c r="L1572">
        <v>0</v>
      </c>
      <c r="M1572">
        <v>0</v>
      </c>
      <c r="N1572" s="711">
        <v>75249.53</v>
      </c>
      <c r="O1572" s="711">
        <v>75249.53</v>
      </c>
      <c r="P1572">
        <v>0</v>
      </c>
      <c r="Q1572" s="724" t="str">
        <f>VLOOKUP($E1572,SP_2024_v28062025!$E$2:$M$1751,9,FALSE)</f>
        <v>PDA360</v>
      </c>
    </row>
    <row r="1573" spans="1:17">
      <c r="A1573">
        <v>2</v>
      </c>
      <c r="B1573" t="s">
        <v>12096</v>
      </c>
      <c r="C1573" t="s">
        <v>12153</v>
      </c>
      <c r="D1573" t="s">
        <v>12156</v>
      </c>
      <c r="E1573" t="s">
        <v>4288</v>
      </c>
      <c r="F1573" t="s">
        <v>4238</v>
      </c>
      <c r="G1573" s="712">
        <v>0</v>
      </c>
      <c r="H1573" s="711">
        <v>12273.76</v>
      </c>
      <c r="I1573" s="715">
        <v>12273.76</v>
      </c>
      <c r="J1573" s="711">
        <v>12273.76</v>
      </c>
      <c r="K1573">
        <v>0</v>
      </c>
      <c r="L1573">
        <v>0</v>
      </c>
      <c r="M1573">
        <v>0</v>
      </c>
      <c r="N1573" s="711">
        <v>12273.76</v>
      </c>
      <c r="O1573" s="711">
        <v>12273.76</v>
      </c>
      <c r="P1573">
        <v>0</v>
      </c>
      <c r="Q1573" s="724" t="str">
        <f>VLOOKUP($E1573,SP_2024_v28062025!$E$2:$M$1751,9,FALSE)</f>
        <v>PDA360</v>
      </c>
    </row>
    <row r="1574" spans="1:17">
      <c r="A1574">
        <v>2</v>
      </c>
      <c r="B1574" t="s">
        <v>12096</v>
      </c>
      <c r="C1574" t="s">
        <v>12153</v>
      </c>
      <c r="D1574" t="s">
        <v>12156</v>
      </c>
      <c r="E1574" t="s">
        <v>4289</v>
      </c>
      <c r="F1574" t="s">
        <v>4211</v>
      </c>
      <c r="G1574" s="712">
        <v>0</v>
      </c>
      <c r="H1574" s="711">
        <v>71880.929999999993</v>
      </c>
      <c r="I1574" s="715">
        <v>71880.929999999993</v>
      </c>
      <c r="J1574">
        <v>0</v>
      </c>
      <c r="K1574">
        <v>0</v>
      </c>
      <c r="L1574">
        <v>0</v>
      </c>
      <c r="M1574">
        <v>0</v>
      </c>
      <c r="N1574">
        <v>0</v>
      </c>
      <c r="O1574" s="711">
        <v>71880.929999999993</v>
      </c>
      <c r="P1574" s="711">
        <v>-71880.929999999993</v>
      </c>
      <c r="Q1574" s="724" t="str">
        <f>VLOOKUP($E1574,SP_2024_v28062025!$E$2:$M$1751,9,FALSE)</f>
        <v>PDA360</v>
      </c>
    </row>
    <row r="1575" spans="1:17">
      <c r="A1575">
        <v>2</v>
      </c>
      <c r="B1575" t="s">
        <v>12096</v>
      </c>
      <c r="C1575" t="s">
        <v>12153</v>
      </c>
      <c r="D1575" t="s">
        <v>12156</v>
      </c>
      <c r="E1575" t="s">
        <v>4290</v>
      </c>
      <c r="F1575" t="s">
        <v>4291</v>
      </c>
      <c r="G1575" s="712">
        <v>0</v>
      </c>
      <c r="H1575" s="711">
        <v>347069.27</v>
      </c>
      <c r="I1575" s="715">
        <v>347069.27</v>
      </c>
      <c r="J1575" s="711">
        <v>191541.1</v>
      </c>
      <c r="K1575" s="711">
        <v>108891.75</v>
      </c>
      <c r="L1575">
        <v>0</v>
      </c>
      <c r="M1575">
        <v>0</v>
      </c>
      <c r="N1575" s="711">
        <v>191541.1</v>
      </c>
      <c r="O1575" s="711">
        <v>455961.02</v>
      </c>
      <c r="P1575" s="711">
        <v>-264419.92</v>
      </c>
      <c r="Q1575" s="724" t="str">
        <f>VLOOKUP($E1575,SP_2024_v28062025!$E$2:$M$1751,9,FALSE)</f>
        <v>PDA360</v>
      </c>
    </row>
    <row r="1576" spans="1:17">
      <c r="A1576">
        <v>2</v>
      </c>
      <c r="B1576" t="s">
        <v>12096</v>
      </c>
      <c r="C1576" t="s">
        <v>12153</v>
      </c>
      <c r="D1576" t="s">
        <v>12156</v>
      </c>
      <c r="E1576" t="s">
        <v>4292</v>
      </c>
      <c r="F1576" t="s">
        <v>4293</v>
      </c>
      <c r="G1576" s="712">
        <v>0</v>
      </c>
      <c r="H1576" s="711">
        <v>83785.69</v>
      </c>
      <c r="I1576" s="715">
        <v>83785.69</v>
      </c>
      <c r="J1576" s="711">
        <v>63710.99</v>
      </c>
      <c r="K1576">
        <v>0</v>
      </c>
      <c r="L1576">
        <v>0</v>
      </c>
      <c r="M1576">
        <v>0</v>
      </c>
      <c r="N1576" s="711">
        <v>63710.99</v>
      </c>
      <c r="O1576" s="711">
        <v>83785.69</v>
      </c>
      <c r="P1576" s="711">
        <v>-20074.7</v>
      </c>
      <c r="Q1576" s="724" t="str">
        <f>VLOOKUP($E1576,SP_2024_v28062025!$E$2:$M$1751,9,FALSE)</f>
        <v>PDA360</v>
      </c>
    </row>
    <row r="1577" spans="1:17">
      <c r="A1577">
        <v>2</v>
      </c>
      <c r="B1577" t="s">
        <v>12096</v>
      </c>
      <c r="C1577" t="s">
        <v>12153</v>
      </c>
      <c r="D1577" t="s">
        <v>12156</v>
      </c>
      <c r="E1577" t="s">
        <v>4294</v>
      </c>
      <c r="F1577" t="s">
        <v>4295</v>
      </c>
      <c r="G1577" s="712">
        <v>0</v>
      </c>
      <c r="H1577" s="711">
        <v>263534.21000000002</v>
      </c>
      <c r="I1577" s="715">
        <v>263534.21000000002</v>
      </c>
      <c r="J1577" s="711">
        <v>14204.49</v>
      </c>
      <c r="K1577">
        <v>0</v>
      </c>
      <c r="L1577">
        <v>0</v>
      </c>
      <c r="M1577">
        <v>0</v>
      </c>
      <c r="N1577" s="711">
        <v>14204.49</v>
      </c>
      <c r="O1577" s="711">
        <v>263534.21000000002</v>
      </c>
      <c r="P1577" s="711">
        <v>-249329.72</v>
      </c>
      <c r="Q1577" s="724" t="str">
        <f>VLOOKUP($E1577,SP_2024_v28062025!$E$2:$M$1751,9,FALSE)</f>
        <v>PDA360</v>
      </c>
    </row>
    <row r="1578" spans="1:17">
      <c r="A1578">
        <v>2</v>
      </c>
      <c r="B1578" t="s">
        <v>12096</v>
      </c>
      <c r="C1578" t="s">
        <v>12153</v>
      </c>
      <c r="D1578" t="s">
        <v>12156</v>
      </c>
      <c r="E1578" t="s">
        <v>4296</v>
      </c>
      <c r="F1578" t="s">
        <v>4297</v>
      </c>
      <c r="G1578" s="712">
        <v>0</v>
      </c>
      <c r="H1578" s="711">
        <v>541755.88</v>
      </c>
      <c r="I1578" s="715">
        <v>541755.88</v>
      </c>
      <c r="J1578" s="711">
        <v>79692.639999999999</v>
      </c>
      <c r="K1578">
        <v>523.89</v>
      </c>
      <c r="L1578">
        <v>0</v>
      </c>
      <c r="M1578">
        <v>0</v>
      </c>
      <c r="N1578" s="711">
        <v>79692.639999999999</v>
      </c>
      <c r="O1578" s="711">
        <v>542279.77</v>
      </c>
      <c r="P1578" s="711">
        <v>-462587.13</v>
      </c>
      <c r="Q1578" s="724" t="str">
        <f>VLOOKUP($E1578,SP_2024_v28062025!$E$2:$M$1751,9,FALSE)</f>
        <v>PDA360</v>
      </c>
    </row>
    <row r="1579" spans="1:17">
      <c r="A1579">
        <v>2</v>
      </c>
      <c r="B1579" t="s">
        <v>12096</v>
      </c>
      <c r="C1579" t="s">
        <v>12153</v>
      </c>
      <c r="D1579" t="s">
        <v>12156</v>
      </c>
      <c r="E1579" t="s">
        <v>4298</v>
      </c>
      <c r="F1579" t="s">
        <v>4299</v>
      </c>
      <c r="G1579" s="712">
        <v>0</v>
      </c>
      <c r="H1579">
        <v>0</v>
      </c>
      <c r="I1579" s="713">
        <v>0</v>
      </c>
      <c r="J1579" s="711">
        <v>16309553.01</v>
      </c>
      <c r="K1579" s="711">
        <v>17047189.710000001</v>
      </c>
      <c r="L1579">
        <v>0</v>
      </c>
      <c r="M1579">
        <v>0</v>
      </c>
      <c r="N1579" s="711">
        <v>16309553.01</v>
      </c>
      <c r="O1579" s="711">
        <v>17047189.710000001</v>
      </c>
      <c r="P1579" s="711">
        <v>-737636.7</v>
      </c>
      <c r="Q1579" s="724" t="str">
        <f>VLOOKUP($E1579,SP_2024_v28062025!$E$2:$M$1751,9,FALSE)</f>
        <v>PDA360</v>
      </c>
    </row>
    <row r="1580" spans="1:17">
      <c r="A1580">
        <v>2</v>
      </c>
      <c r="B1580" t="s">
        <v>12096</v>
      </c>
      <c r="C1580" t="s">
        <v>12153</v>
      </c>
      <c r="D1580" t="s">
        <v>12156</v>
      </c>
      <c r="E1580" t="s">
        <v>4301</v>
      </c>
      <c r="F1580" t="s">
        <v>4302</v>
      </c>
      <c r="G1580" s="712">
        <v>0</v>
      </c>
      <c r="H1580">
        <v>0</v>
      </c>
      <c r="I1580" s="713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 s="724" t="str">
        <f>VLOOKUP($E1580,SP_2024_v28062025!$E$2:$M$1751,9,FALSE)</f>
        <v>PDA360</v>
      </c>
    </row>
    <row r="1581" spans="1:17">
      <c r="A1581">
        <v>2</v>
      </c>
      <c r="B1581" t="s">
        <v>12096</v>
      </c>
      <c r="C1581" t="s">
        <v>12153</v>
      </c>
      <c r="D1581" t="s">
        <v>12156</v>
      </c>
      <c r="E1581" t="s">
        <v>4303</v>
      </c>
      <c r="F1581" t="s">
        <v>4304</v>
      </c>
      <c r="G1581" s="712">
        <v>0</v>
      </c>
      <c r="H1581">
        <v>0</v>
      </c>
      <c r="I1581" s="713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 s="724" t="str">
        <f>VLOOKUP($E1581,SP_2024_v28062025!$E$2:$M$1751,9,FALSE)</f>
        <v>PDA360</v>
      </c>
    </row>
    <row r="1582" spans="1:17">
      <c r="A1582">
        <v>2</v>
      </c>
      <c r="B1582" t="s">
        <v>12096</v>
      </c>
      <c r="C1582" t="s">
        <v>12153</v>
      </c>
      <c r="D1582" t="s">
        <v>12156</v>
      </c>
      <c r="E1582" t="s">
        <v>4305</v>
      </c>
      <c r="F1582" t="s">
        <v>4306</v>
      </c>
      <c r="G1582" s="712">
        <v>0</v>
      </c>
      <c r="H1582">
        <v>0</v>
      </c>
      <c r="I1582" s="713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 s="724" t="str">
        <f>VLOOKUP($E1582,SP_2024_v28062025!$E$2:$M$1751,9,FALSE)</f>
        <v>PDA360</v>
      </c>
    </row>
    <row r="1583" spans="1:17">
      <c r="A1583">
        <v>2</v>
      </c>
      <c r="B1583" t="s">
        <v>12096</v>
      </c>
      <c r="C1583" t="s">
        <v>12153</v>
      </c>
      <c r="D1583" t="s">
        <v>12156</v>
      </c>
      <c r="E1583" t="s">
        <v>4307</v>
      </c>
      <c r="F1583" t="s">
        <v>4308</v>
      </c>
      <c r="G1583" s="712">
        <v>0</v>
      </c>
      <c r="H1583">
        <v>0</v>
      </c>
      <c r="I1583" s="71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 s="724" t="str">
        <f>VLOOKUP($E1583,SP_2024_v28062025!$E$2:$M$1751,9,FALSE)</f>
        <v>PDA360</v>
      </c>
    </row>
    <row r="1584" spans="1:17">
      <c r="A1584">
        <v>2</v>
      </c>
      <c r="B1584" t="s">
        <v>12096</v>
      </c>
      <c r="C1584" t="s">
        <v>12153</v>
      </c>
      <c r="D1584" t="s">
        <v>12156</v>
      </c>
      <c r="E1584" t="s">
        <v>4309</v>
      </c>
      <c r="F1584" t="s">
        <v>4310</v>
      </c>
      <c r="G1584" s="712">
        <v>0</v>
      </c>
      <c r="H1584">
        <v>0</v>
      </c>
      <c r="I1584" s="713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 s="724" t="str">
        <f>VLOOKUP($E1584,SP_2024_v28062025!$E$2:$M$1751,9,FALSE)</f>
        <v>PDA360</v>
      </c>
    </row>
    <row r="1585" spans="1:17">
      <c r="A1585">
        <v>2</v>
      </c>
      <c r="B1585" t="s">
        <v>12096</v>
      </c>
      <c r="C1585" t="s">
        <v>12153</v>
      </c>
      <c r="D1585" t="s">
        <v>12156</v>
      </c>
      <c r="E1585" t="s">
        <v>4311</v>
      </c>
      <c r="F1585" t="s">
        <v>4312</v>
      </c>
      <c r="G1585" s="712">
        <v>0</v>
      </c>
      <c r="H1585">
        <v>0</v>
      </c>
      <c r="I1585" s="713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 s="724" t="str">
        <f>VLOOKUP($E1585,SP_2024_v28062025!$E$2:$M$1751,9,FALSE)</f>
        <v>PDA360</v>
      </c>
    </row>
    <row r="1586" spans="1:17">
      <c r="A1586">
        <v>2</v>
      </c>
      <c r="B1586" t="s">
        <v>12096</v>
      </c>
      <c r="C1586" t="s">
        <v>12153</v>
      </c>
      <c r="D1586" t="s">
        <v>12156</v>
      </c>
      <c r="E1586" t="s">
        <v>4313</v>
      </c>
      <c r="F1586" t="s">
        <v>4314</v>
      </c>
      <c r="G1586" s="712">
        <v>0</v>
      </c>
      <c r="H1586">
        <v>0</v>
      </c>
      <c r="I1586" s="713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 s="724" t="str">
        <f>VLOOKUP($E1586,SP_2024_v28062025!$E$2:$M$1751,9,FALSE)</f>
        <v>PDA360</v>
      </c>
    </row>
    <row r="1587" spans="1:17">
      <c r="A1587">
        <v>2</v>
      </c>
      <c r="B1587" t="s">
        <v>12096</v>
      </c>
      <c r="C1587" t="s">
        <v>12153</v>
      </c>
      <c r="D1587" t="s">
        <v>12156</v>
      </c>
      <c r="E1587" t="s">
        <v>4315</v>
      </c>
      <c r="F1587" t="s">
        <v>4316</v>
      </c>
      <c r="G1587" s="712">
        <v>0</v>
      </c>
      <c r="H1587">
        <v>0</v>
      </c>
      <c r="I1587" s="713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 s="724" t="str">
        <f>VLOOKUP($E1587,SP_2024_v28062025!$E$2:$M$1751,9,FALSE)</f>
        <v>PDA360</v>
      </c>
    </row>
    <row r="1588" spans="1:17">
      <c r="A1588">
        <v>2</v>
      </c>
      <c r="B1588" t="s">
        <v>12096</v>
      </c>
      <c r="C1588" t="s">
        <v>12153</v>
      </c>
      <c r="D1588" t="s">
        <v>12156</v>
      </c>
      <c r="E1588" t="s">
        <v>4317</v>
      </c>
      <c r="F1588" t="s">
        <v>4318</v>
      </c>
      <c r="G1588" s="712">
        <v>0</v>
      </c>
      <c r="H1588">
        <v>0</v>
      </c>
      <c r="I1588" s="713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 s="724" t="str">
        <f>VLOOKUP($E1588,SP_2024_v28062025!$E$2:$M$1751,9,FALSE)</f>
        <v>PDA360</v>
      </c>
    </row>
    <row r="1589" spans="1:17">
      <c r="A1589">
        <v>2</v>
      </c>
      <c r="B1589" t="s">
        <v>12096</v>
      </c>
      <c r="C1589" t="s">
        <v>12153</v>
      </c>
      <c r="D1589" t="s">
        <v>12156</v>
      </c>
      <c r="E1589" t="s">
        <v>4319</v>
      </c>
      <c r="F1589" t="s">
        <v>4320</v>
      </c>
      <c r="G1589" s="712">
        <v>0</v>
      </c>
      <c r="H1589">
        <v>0</v>
      </c>
      <c r="I1589" s="713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 s="724" t="str">
        <f>VLOOKUP($E1589,SP_2024_v28062025!$E$2:$M$1751,9,FALSE)</f>
        <v>PDA360</v>
      </c>
    </row>
    <row r="1590" spans="1:17">
      <c r="A1590">
        <v>2</v>
      </c>
      <c r="B1590" t="s">
        <v>12096</v>
      </c>
      <c r="C1590" t="s">
        <v>12153</v>
      </c>
      <c r="D1590" t="s">
        <v>12156</v>
      </c>
      <c r="E1590" t="s">
        <v>4322</v>
      </c>
      <c r="F1590" t="s">
        <v>4323</v>
      </c>
      <c r="G1590" s="712">
        <v>0</v>
      </c>
      <c r="H1590">
        <v>0</v>
      </c>
      <c r="I1590" s="713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 s="724" t="str">
        <f>VLOOKUP($E1590,SP_2024_v28062025!$E$2:$M$1751,9,FALSE)</f>
        <v>PDA360</v>
      </c>
    </row>
    <row r="1591" spans="1:17">
      <c r="A1591">
        <v>2</v>
      </c>
      <c r="B1591" t="s">
        <v>12096</v>
      </c>
      <c r="C1591" t="s">
        <v>12153</v>
      </c>
      <c r="D1591" t="s">
        <v>12156</v>
      </c>
      <c r="E1591" t="s">
        <v>4324</v>
      </c>
      <c r="F1591" t="s">
        <v>4325</v>
      </c>
      <c r="G1591" s="712">
        <v>0</v>
      </c>
      <c r="H1591">
        <v>0</v>
      </c>
      <c r="I1591" s="713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 s="724" t="str">
        <f>VLOOKUP($E1591,SP_2024_v28062025!$E$2:$M$1751,9,FALSE)</f>
        <v>PDA360</v>
      </c>
    </row>
    <row r="1592" spans="1:17">
      <c r="A1592">
        <v>2</v>
      </c>
      <c r="B1592" t="s">
        <v>12096</v>
      </c>
      <c r="C1592" t="s">
        <v>12153</v>
      </c>
      <c r="D1592" t="s">
        <v>12156</v>
      </c>
      <c r="E1592" t="s">
        <v>4326</v>
      </c>
      <c r="F1592" t="s">
        <v>4327</v>
      </c>
      <c r="G1592" s="712">
        <v>0</v>
      </c>
      <c r="H1592">
        <v>0</v>
      </c>
      <c r="I1592" s="713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 s="724" t="str">
        <f>VLOOKUP($E1592,SP_2024_v28062025!$E$2:$M$1751,9,FALSE)</f>
        <v>PDA360</v>
      </c>
    </row>
    <row r="1593" spans="1:17">
      <c r="A1593">
        <v>2</v>
      </c>
      <c r="B1593" t="s">
        <v>12096</v>
      </c>
      <c r="C1593" t="s">
        <v>12153</v>
      </c>
      <c r="D1593" t="s">
        <v>12156</v>
      </c>
      <c r="E1593" t="s">
        <v>4328</v>
      </c>
      <c r="F1593" t="s">
        <v>4329</v>
      </c>
      <c r="G1593" s="712">
        <v>0</v>
      </c>
      <c r="H1593">
        <v>0</v>
      </c>
      <c r="I1593" s="71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 s="724" t="str">
        <f>VLOOKUP($E1593,SP_2024_v28062025!$E$2:$M$1751,9,FALSE)</f>
        <v>PDA360</v>
      </c>
    </row>
    <row r="1594" spans="1:17">
      <c r="A1594">
        <v>2</v>
      </c>
      <c r="B1594" t="s">
        <v>12096</v>
      </c>
      <c r="C1594" t="s">
        <v>12153</v>
      </c>
      <c r="D1594" t="s">
        <v>12156</v>
      </c>
      <c r="E1594" t="s">
        <v>4330</v>
      </c>
      <c r="F1594" t="s">
        <v>4331</v>
      </c>
      <c r="G1594" s="712">
        <v>0</v>
      </c>
      <c r="H1594">
        <v>0</v>
      </c>
      <c r="I1594" s="713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 s="724" t="str">
        <f>VLOOKUP($E1594,SP_2024_v28062025!$E$2:$M$1751,9,FALSE)</f>
        <v>PDA360</v>
      </c>
    </row>
    <row r="1595" spans="1:17">
      <c r="A1595">
        <v>2</v>
      </c>
      <c r="B1595" t="s">
        <v>12096</v>
      </c>
      <c r="C1595" t="s">
        <v>12153</v>
      </c>
      <c r="D1595" t="s">
        <v>12156</v>
      </c>
      <c r="E1595" t="s">
        <v>4332</v>
      </c>
      <c r="F1595" t="s">
        <v>4333</v>
      </c>
      <c r="G1595" s="712">
        <v>0</v>
      </c>
      <c r="H1595">
        <v>0</v>
      </c>
      <c r="I1595" s="713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 s="724" t="str">
        <f>VLOOKUP($E1595,SP_2024_v28062025!$E$2:$M$1751,9,FALSE)</f>
        <v>PDA360</v>
      </c>
    </row>
    <row r="1596" spans="1:17">
      <c r="A1596">
        <v>2</v>
      </c>
      <c r="B1596" t="s">
        <v>12096</v>
      </c>
      <c r="C1596" t="s">
        <v>12153</v>
      </c>
      <c r="D1596" t="s">
        <v>12156</v>
      </c>
      <c r="E1596" t="s">
        <v>4334</v>
      </c>
      <c r="F1596" t="s">
        <v>4335</v>
      </c>
      <c r="G1596" s="712">
        <v>0</v>
      </c>
      <c r="H1596">
        <v>0</v>
      </c>
      <c r="I1596" s="713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 s="724" t="str">
        <f>VLOOKUP($E1596,SP_2024_v28062025!$E$2:$M$1751,9,FALSE)</f>
        <v>PDA360</v>
      </c>
    </row>
    <row r="1597" spans="1:17">
      <c r="A1597">
        <v>2</v>
      </c>
      <c r="B1597" t="s">
        <v>12096</v>
      </c>
      <c r="C1597" t="s">
        <v>12153</v>
      </c>
      <c r="D1597" t="s">
        <v>12156</v>
      </c>
      <c r="E1597" t="s">
        <v>4336</v>
      </c>
      <c r="F1597" t="s">
        <v>4337</v>
      </c>
      <c r="G1597" s="712">
        <v>0</v>
      </c>
      <c r="H1597">
        <v>0</v>
      </c>
      <c r="I1597" s="713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 s="724" t="str">
        <f>VLOOKUP($E1597,SP_2024_v28062025!$E$2:$M$1751,9,FALSE)</f>
        <v>PDA360</v>
      </c>
    </row>
    <row r="1598" spans="1:17">
      <c r="A1598">
        <v>2</v>
      </c>
      <c r="B1598" t="s">
        <v>12096</v>
      </c>
      <c r="C1598" t="s">
        <v>12153</v>
      </c>
      <c r="D1598" t="s">
        <v>12156</v>
      </c>
      <c r="E1598" t="s">
        <v>4338</v>
      </c>
      <c r="F1598" t="s">
        <v>4339</v>
      </c>
      <c r="G1598" s="712">
        <v>0</v>
      </c>
      <c r="H1598">
        <v>0</v>
      </c>
      <c r="I1598" s="713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 s="724" t="str">
        <f>VLOOKUP($E1598,SP_2024_v28062025!$E$2:$M$1751,9,FALSE)</f>
        <v>PDA360</v>
      </c>
    </row>
    <row r="1599" spans="1:17">
      <c r="A1599">
        <v>2</v>
      </c>
      <c r="B1599" t="s">
        <v>12096</v>
      </c>
      <c r="C1599" t="s">
        <v>12153</v>
      </c>
      <c r="D1599" t="s">
        <v>12156</v>
      </c>
      <c r="E1599" t="s">
        <v>4340</v>
      </c>
      <c r="F1599" t="s">
        <v>4341</v>
      </c>
      <c r="G1599" s="712">
        <v>0</v>
      </c>
      <c r="H1599">
        <v>0</v>
      </c>
      <c r="I1599" s="713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 s="724" t="str">
        <f>VLOOKUP($E1599,SP_2024_v28062025!$E$2:$M$1751,9,FALSE)</f>
        <v>PDA360</v>
      </c>
    </row>
    <row r="1600" spans="1:17">
      <c r="A1600">
        <v>2</v>
      </c>
      <c r="B1600" t="s">
        <v>12096</v>
      </c>
      <c r="C1600" t="s">
        <v>12153</v>
      </c>
      <c r="D1600" t="s">
        <v>12156</v>
      </c>
      <c r="E1600" t="s">
        <v>4342</v>
      </c>
      <c r="F1600" t="s">
        <v>4343</v>
      </c>
      <c r="G1600" s="712">
        <v>0</v>
      </c>
      <c r="H1600">
        <v>0</v>
      </c>
      <c r="I1600" s="713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 s="724" t="str">
        <f>VLOOKUP($E1600,SP_2024_v28062025!$E$2:$M$1751,9,FALSE)</f>
        <v>PDA360</v>
      </c>
    </row>
    <row r="1601" spans="1:17">
      <c r="A1601">
        <v>2</v>
      </c>
      <c r="B1601" t="s">
        <v>12096</v>
      </c>
      <c r="C1601" t="s">
        <v>12153</v>
      </c>
      <c r="D1601" t="s">
        <v>12156</v>
      </c>
      <c r="E1601" t="s">
        <v>4344</v>
      </c>
      <c r="F1601" t="s">
        <v>4345</v>
      </c>
      <c r="G1601" s="712">
        <v>0</v>
      </c>
      <c r="H1601">
        <v>0</v>
      </c>
      <c r="I1601" s="713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 s="724" t="str">
        <f>VLOOKUP($E1601,SP_2024_v28062025!$E$2:$M$1751,9,FALSE)</f>
        <v>PDA360</v>
      </c>
    </row>
    <row r="1602" spans="1:17">
      <c r="A1602">
        <v>2</v>
      </c>
      <c r="B1602" t="s">
        <v>12096</v>
      </c>
      <c r="C1602" t="s">
        <v>12153</v>
      </c>
      <c r="D1602" t="s">
        <v>12156</v>
      </c>
      <c r="E1602" t="s">
        <v>4346</v>
      </c>
      <c r="F1602" t="s">
        <v>4347</v>
      </c>
      <c r="G1602" s="712">
        <v>0</v>
      </c>
      <c r="H1602">
        <v>0</v>
      </c>
      <c r="I1602" s="713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 s="724" t="str">
        <f>VLOOKUP($E1602,SP_2024_v28062025!$E$2:$M$1751,9,FALSE)</f>
        <v>PDA360</v>
      </c>
    </row>
    <row r="1603" spans="1:17">
      <c r="A1603">
        <v>2</v>
      </c>
      <c r="B1603" t="s">
        <v>12096</v>
      </c>
      <c r="C1603" t="s">
        <v>12153</v>
      </c>
      <c r="D1603" t="s">
        <v>12156</v>
      </c>
      <c r="E1603" t="s">
        <v>4348</v>
      </c>
      <c r="F1603" t="s">
        <v>4349</v>
      </c>
      <c r="G1603" s="712">
        <v>0</v>
      </c>
      <c r="H1603">
        <v>0</v>
      </c>
      <c r="I1603" s="71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 s="724" t="str">
        <f>VLOOKUP($E1603,SP_2024_v28062025!$E$2:$M$1751,9,FALSE)</f>
        <v>PDA360</v>
      </c>
    </row>
    <row r="1604" spans="1:17">
      <c r="A1604">
        <v>2</v>
      </c>
      <c r="B1604" t="s">
        <v>12096</v>
      </c>
      <c r="C1604" t="s">
        <v>12153</v>
      </c>
      <c r="D1604" t="s">
        <v>12156</v>
      </c>
      <c r="E1604" t="s">
        <v>4350</v>
      </c>
      <c r="F1604" t="s">
        <v>4351</v>
      </c>
      <c r="G1604" s="712">
        <v>0</v>
      </c>
      <c r="H1604">
        <v>0</v>
      </c>
      <c r="I1604" s="713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 s="724" t="str">
        <f>VLOOKUP($E1604,SP_2024_v28062025!$E$2:$M$1751,9,FALSE)</f>
        <v>PDA360</v>
      </c>
    </row>
    <row r="1605" spans="1:17">
      <c r="A1605">
        <v>2</v>
      </c>
      <c r="B1605" t="s">
        <v>12096</v>
      </c>
      <c r="C1605" t="s">
        <v>12153</v>
      </c>
      <c r="D1605" t="s">
        <v>12156</v>
      </c>
      <c r="E1605" t="s">
        <v>4352</v>
      </c>
      <c r="F1605" t="s">
        <v>4353</v>
      </c>
      <c r="G1605" s="712"/>
      <c r="H1605">
        <v>0</v>
      </c>
      <c r="I1605" s="713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 s="724" t="str">
        <f>VLOOKUP($E1605,SP_2024_v28062025!$E$2:$M$1751,9,FALSE)</f>
        <v>PDA360</v>
      </c>
    </row>
    <row r="1606" spans="1:17">
      <c r="A1606">
        <v>2</v>
      </c>
      <c r="B1606" t="s">
        <v>12096</v>
      </c>
      <c r="C1606" t="s">
        <v>12153</v>
      </c>
      <c r="D1606" t="s">
        <v>12156</v>
      </c>
      <c r="E1606" t="s">
        <v>4354</v>
      </c>
      <c r="F1606" t="s">
        <v>4355</v>
      </c>
      <c r="G1606" s="712"/>
      <c r="H1606">
        <v>0</v>
      </c>
      <c r="I1606" s="713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 s="724" t="str">
        <f>VLOOKUP($E1606,SP_2024_v28062025!$E$2:$M$1751,9,FALSE)</f>
        <v>PDA360</v>
      </c>
    </row>
    <row r="1607" spans="1:17">
      <c r="A1607">
        <v>2</v>
      </c>
      <c r="B1607" t="s">
        <v>12096</v>
      </c>
      <c r="C1607" t="s">
        <v>12153</v>
      </c>
      <c r="D1607" t="s">
        <v>12156</v>
      </c>
      <c r="E1607" t="s">
        <v>4356</v>
      </c>
      <c r="F1607" t="s">
        <v>4357</v>
      </c>
      <c r="G1607" s="712"/>
      <c r="H1607">
        <v>0</v>
      </c>
      <c r="I1607" s="713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 s="724" t="str">
        <f>VLOOKUP($E1607,SP_2024_v28062025!$E$2:$M$1751,9,FALSE)</f>
        <v>PDA360</v>
      </c>
    </row>
    <row r="1608" spans="1:17">
      <c r="A1608">
        <v>2</v>
      </c>
      <c r="B1608" t="s">
        <v>12096</v>
      </c>
      <c r="C1608" t="s">
        <v>12153</v>
      </c>
      <c r="D1608" t="s">
        <v>12156</v>
      </c>
      <c r="E1608" t="s">
        <v>4358</v>
      </c>
      <c r="F1608" t="s">
        <v>4359</v>
      </c>
      <c r="G1608" s="712"/>
      <c r="H1608">
        <v>0</v>
      </c>
      <c r="I1608" s="713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 s="724" t="str">
        <f>VLOOKUP($E1608,SP_2024_v28062025!$E$2:$M$1751,9,FALSE)</f>
        <v>PDA360</v>
      </c>
    </row>
    <row r="1609" spans="1:17">
      <c r="A1609">
        <v>2</v>
      </c>
      <c r="B1609" t="s">
        <v>12096</v>
      </c>
      <c r="C1609" t="s">
        <v>12153</v>
      </c>
      <c r="D1609" t="s">
        <v>12156</v>
      </c>
      <c r="E1609" t="s">
        <v>4360</v>
      </c>
      <c r="F1609" t="s">
        <v>4361</v>
      </c>
      <c r="G1609" s="712">
        <v>0</v>
      </c>
      <c r="H1609">
        <v>0</v>
      </c>
      <c r="I1609" s="713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 s="724" t="str">
        <f>VLOOKUP($E1609,SP_2024_v28062025!$E$2:$M$1751,9,FALSE)</f>
        <v>PDA360</v>
      </c>
    </row>
    <row r="1610" spans="1:17">
      <c r="A1610">
        <v>2</v>
      </c>
      <c r="B1610" t="s">
        <v>12096</v>
      </c>
      <c r="C1610" t="s">
        <v>12153</v>
      </c>
      <c r="D1610" t="s">
        <v>12156</v>
      </c>
      <c r="E1610" t="s">
        <v>4363</v>
      </c>
      <c r="F1610" t="s">
        <v>4364</v>
      </c>
      <c r="G1610" s="712">
        <v>0</v>
      </c>
      <c r="H1610">
        <v>0</v>
      </c>
      <c r="I1610" s="713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 s="724" t="str">
        <f>VLOOKUP($E1610,SP_2024_v28062025!$E$2:$M$1751,9,FALSE)</f>
        <v>PDA360</v>
      </c>
    </row>
    <row r="1611" spans="1:17">
      <c r="A1611">
        <v>2</v>
      </c>
      <c r="B1611" t="s">
        <v>12096</v>
      </c>
      <c r="C1611" t="s">
        <v>12153</v>
      </c>
      <c r="D1611" t="s">
        <v>12156</v>
      </c>
      <c r="E1611" t="s">
        <v>4365</v>
      </c>
      <c r="F1611" t="s">
        <v>4366</v>
      </c>
      <c r="G1611" s="712">
        <v>0</v>
      </c>
      <c r="H1611">
        <v>0</v>
      </c>
      <c r="I1611" s="713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 s="724" t="str">
        <f>VLOOKUP($E1611,SP_2024_v28062025!$E$2:$M$1751,9,FALSE)</f>
        <v>PDA360</v>
      </c>
    </row>
    <row r="1612" spans="1:17">
      <c r="A1612">
        <v>2</v>
      </c>
      <c r="B1612" t="s">
        <v>12096</v>
      </c>
      <c r="C1612" t="s">
        <v>12153</v>
      </c>
      <c r="D1612" t="s">
        <v>12156</v>
      </c>
      <c r="E1612" t="s">
        <v>4367</v>
      </c>
      <c r="F1612" t="s">
        <v>4368</v>
      </c>
      <c r="G1612" s="712">
        <v>0</v>
      </c>
      <c r="H1612">
        <v>0</v>
      </c>
      <c r="I1612" s="713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 s="724" t="str">
        <f>VLOOKUP($E1612,SP_2024_v28062025!$E$2:$M$1751,9,FALSE)</f>
        <v>PDA360</v>
      </c>
    </row>
    <row r="1613" spans="1:17">
      <c r="A1613">
        <v>2</v>
      </c>
      <c r="B1613" t="s">
        <v>12096</v>
      </c>
      <c r="C1613" t="s">
        <v>12153</v>
      </c>
      <c r="D1613" t="s">
        <v>12156</v>
      </c>
      <c r="E1613" t="s">
        <v>4369</v>
      </c>
      <c r="F1613" t="s">
        <v>4370</v>
      </c>
      <c r="G1613" s="712">
        <v>0</v>
      </c>
      <c r="H1613">
        <v>0</v>
      </c>
      <c r="I1613" s="7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 s="724" t="str">
        <f>VLOOKUP($E1613,SP_2024_v28062025!$E$2:$M$1751,9,FALSE)</f>
        <v>PDA360</v>
      </c>
    </row>
    <row r="1614" spans="1:17">
      <c r="A1614">
        <v>2</v>
      </c>
      <c r="B1614" t="s">
        <v>12096</v>
      </c>
      <c r="C1614" t="s">
        <v>12153</v>
      </c>
      <c r="D1614" t="s">
        <v>12156</v>
      </c>
      <c r="E1614" t="s">
        <v>4371</v>
      </c>
      <c r="F1614" t="s">
        <v>4372</v>
      </c>
      <c r="G1614" s="712">
        <v>0</v>
      </c>
      <c r="H1614">
        <v>0</v>
      </c>
      <c r="I1614" s="713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 s="724" t="str">
        <f>VLOOKUP($E1614,SP_2024_v28062025!$E$2:$M$1751,9,FALSE)</f>
        <v>PDA360</v>
      </c>
    </row>
    <row r="1615" spans="1:17">
      <c r="A1615">
        <v>2</v>
      </c>
      <c r="B1615" t="s">
        <v>12096</v>
      </c>
      <c r="C1615" t="s">
        <v>12153</v>
      </c>
      <c r="D1615" t="s">
        <v>12156</v>
      </c>
      <c r="E1615" t="s">
        <v>4373</v>
      </c>
      <c r="F1615" t="s">
        <v>4374</v>
      </c>
      <c r="G1615" s="712">
        <v>0</v>
      </c>
      <c r="H1615">
        <v>0</v>
      </c>
      <c r="I1615" s="713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 s="724" t="str">
        <f>VLOOKUP($E1615,SP_2024_v28062025!$E$2:$M$1751,9,FALSE)</f>
        <v>PDA360</v>
      </c>
    </row>
    <row r="1616" spans="1:17">
      <c r="A1616">
        <v>2</v>
      </c>
      <c r="B1616" t="s">
        <v>12096</v>
      </c>
      <c r="C1616" t="s">
        <v>12153</v>
      </c>
      <c r="D1616" t="s">
        <v>12156</v>
      </c>
      <c r="E1616" t="s">
        <v>4375</v>
      </c>
      <c r="F1616" t="s">
        <v>4376</v>
      </c>
      <c r="G1616" s="712">
        <v>0</v>
      </c>
      <c r="H1616">
        <v>0</v>
      </c>
      <c r="I1616" s="713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 s="724" t="str">
        <f>VLOOKUP($E1616,SP_2024_v28062025!$E$2:$M$1751,9,FALSE)</f>
        <v>PDA360</v>
      </c>
    </row>
    <row r="1617" spans="1:17">
      <c r="A1617">
        <v>2</v>
      </c>
      <c r="B1617" t="s">
        <v>12096</v>
      </c>
      <c r="C1617" t="s">
        <v>12153</v>
      </c>
      <c r="D1617" t="s">
        <v>12156</v>
      </c>
      <c r="E1617" t="s">
        <v>4377</v>
      </c>
      <c r="F1617" t="s">
        <v>4378</v>
      </c>
      <c r="G1617" s="712">
        <v>0</v>
      </c>
      <c r="H1617">
        <v>0</v>
      </c>
      <c r="I1617" s="713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 s="724" t="str">
        <f>VLOOKUP($E1617,SP_2024_v28062025!$E$2:$M$1751,9,FALSE)</f>
        <v>PDA360</v>
      </c>
    </row>
    <row r="1618" spans="1:17">
      <c r="A1618">
        <v>2</v>
      </c>
      <c r="B1618" t="s">
        <v>12096</v>
      </c>
      <c r="C1618" t="s">
        <v>12153</v>
      </c>
      <c r="D1618" t="s">
        <v>12156</v>
      </c>
      <c r="E1618" t="s">
        <v>4379</v>
      </c>
      <c r="F1618" t="s">
        <v>4380</v>
      </c>
      <c r="G1618" s="712">
        <v>0</v>
      </c>
      <c r="H1618">
        <v>0</v>
      </c>
      <c r="I1618" s="713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 s="724" t="str">
        <f>VLOOKUP($E1618,SP_2024_v28062025!$E$2:$M$1751,9,FALSE)</f>
        <v>PDA360</v>
      </c>
    </row>
    <row r="1619" spans="1:17">
      <c r="A1619">
        <v>2</v>
      </c>
      <c r="B1619" t="s">
        <v>12096</v>
      </c>
      <c r="C1619" t="s">
        <v>12153</v>
      </c>
      <c r="D1619" t="s">
        <v>12156</v>
      </c>
      <c r="E1619" t="s">
        <v>4381</v>
      </c>
      <c r="F1619" t="s">
        <v>4382</v>
      </c>
      <c r="G1619" s="712">
        <v>0</v>
      </c>
      <c r="H1619">
        <v>0</v>
      </c>
      <c r="I1619" s="713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 s="724" t="str">
        <f>VLOOKUP($E1619,SP_2024_v28062025!$E$2:$M$1751,9,FALSE)</f>
        <v>PDA360</v>
      </c>
    </row>
    <row r="1620" spans="1:17">
      <c r="A1620">
        <v>2</v>
      </c>
      <c r="B1620" t="s">
        <v>12096</v>
      </c>
      <c r="C1620" t="s">
        <v>12153</v>
      </c>
      <c r="D1620" t="s">
        <v>12156</v>
      </c>
      <c r="E1620" t="s">
        <v>4383</v>
      </c>
      <c r="F1620" t="s">
        <v>4384</v>
      </c>
      <c r="G1620" s="712">
        <v>0</v>
      </c>
      <c r="H1620">
        <v>0</v>
      </c>
      <c r="I1620" s="713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 s="724" t="str">
        <f>VLOOKUP($E1620,SP_2024_v28062025!$E$2:$M$1751,9,FALSE)</f>
        <v>PDA360</v>
      </c>
    </row>
    <row r="1621" spans="1:17">
      <c r="A1621">
        <v>2</v>
      </c>
      <c r="B1621" t="s">
        <v>12096</v>
      </c>
      <c r="C1621" t="s">
        <v>12153</v>
      </c>
      <c r="D1621" t="s">
        <v>12156</v>
      </c>
      <c r="E1621" t="s">
        <v>4385</v>
      </c>
      <c r="F1621" t="s">
        <v>4386</v>
      </c>
      <c r="G1621" s="712">
        <v>0</v>
      </c>
      <c r="H1621">
        <v>0</v>
      </c>
      <c r="I1621" s="713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 s="724" t="str">
        <f>VLOOKUP($E1621,SP_2024_v28062025!$E$2:$M$1751,9,FALSE)</f>
        <v>PDA360</v>
      </c>
    </row>
    <row r="1622" spans="1:17">
      <c r="A1622">
        <v>2</v>
      </c>
      <c r="B1622" t="s">
        <v>12096</v>
      </c>
      <c r="C1622" t="s">
        <v>12153</v>
      </c>
      <c r="D1622" t="s">
        <v>12156</v>
      </c>
      <c r="E1622" t="s">
        <v>4387</v>
      </c>
      <c r="F1622" t="s">
        <v>4388</v>
      </c>
      <c r="G1622" s="712">
        <v>0</v>
      </c>
      <c r="H1622">
        <v>0</v>
      </c>
      <c r="I1622" s="713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 s="724" t="str">
        <f>VLOOKUP($E1622,SP_2024_v28062025!$E$2:$M$1751,9,FALSE)</f>
        <v>PDA360</v>
      </c>
    </row>
    <row r="1623" spans="1:17">
      <c r="A1623">
        <v>2</v>
      </c>
      <c r="B1623" t="s">
        <v>12096</v>
      </c>
      <c r="C1623" t="s">
        <v>12153</v>
      </c>
      <c r="D1623" t="s">
        <v>12156</v>
      </c>
      <c r="E1623" t="s">
        <v>4389</v>
      </c>
      <c r="F1623" t="s">
        <v>4390</v>
      </c>
      <c r="G1623" s="712">
        <v>0</v>
      </c>
      <c r="H1623">
        <v>0</v>
      </c>
      <c r="I1623" s="71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 s="724" t="str">
        <f>VLOOKUP($E1623,SP_2024_v28062025!$E$2:$M$1751,9,FALSE)</f>
        <v>PDA360</v>
      </c>
    </row>
    <row r="1624" spans="1:17">
      <c r="A1624">
        <v>2</v>
      </c>
      <c r="B1624" t="s">
        <v>12096</v>
      </c>
      <c r="C1624" t="s">
        <v>12153</v>
      </c>
      <c r="D1624" t="s">
        <v>12156</v>
      </c>
      <c r="E1624" t="s">
        <v>4391</v>
      </c>
      <c r="F1624" t="s">
        <v>4392</v>
      </c>
      <c r="G1624" s="712">
        <v>0</v>
      </c>
      <c r="H1624">
        <v>0</v>
      </c>
      <c r="I1624" s="713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 s="724" t="str">
        <f>VLOOKUP($E1624,SP_2024_v28062025!$E$2:$M$1751,9,FALSE)</f>
        <v>PDA360</v>
      </c>
    </row>
    <row r="1625" spans="1:17">
      <c r="A1625">
        <v>2</v>
      </c>
      <c r="B1625" t="s">
        <v>12096</v>
      </c>
      <c r="C1625" t="s">
        <v>12153</v>
      </c>
      <c r="D1625" t="s">
        <v>12156</v>
      </c>
      <c r="E1625" t="s">
        <v>4393</v>
      </c>
      <c r="F1625" t="s">
        <v>4394</v>
      </c>
      <c r="G1625" s="712">
        <v>0</v>
      </c>
      <c r="H1625">
        <v>0</v>
      </c>
      <c r="I1625" s="713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 s="724" t="str">
        <f>VLOOKUP($E1625,SP_2024_v28062025!$E$2:$M$1751,9,FALSE)</f>
        <v>PDA360</v>
      </c>
    </row>
    <row r="1626" spans="1:17">
      <c r="A1626">
        <v>2</v>
      </c>
      <c r="B1626" t="s">
        <v>12096</v>
      </c>
      <c r="C1626" t="s">
        <v>12153</v>
      </c>
      <c r="D1626" t="s">
        <v>12156</v>
      </c>
      <c r="E1626" t="s">
        <v>4395</v>
      </c>
      <c r="F1626" t="s">
        <v>4396</v>
      </c>
      <c r="G1626" s="712">
        <v>0</v>
      </c>
      <c r="H1626">
        <v>0</v>
      </c>
      <c r="I1626" s="713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 s="724" t="str">
        <f>VLOOKUP($E1626,SP_2024_v28062025!$E$2:$M$1751,9,FALSE)</f>
        <v>PDA360</v>
      </c>
    </row>
    <row r="1627" spans="1:17">
      <c r="A1627">
        <v>2</v>
      </c>
      <c r="B1627" t="s">
        <v>12096</v>
      </c>
      <c r="C1627" t="s">
        <v>12153</v>
      </c>
      <c r="D1627" t="s">
        <v>12156</v>
      </c>
      <c r="E1627" t="s">
        <v>4397</v>
      </c>
      <c r="F1627" t="s">
        <v>4398</v>
      </c>
      <c r="G1627" s="712">
        <v>0</v>
      </c>
      <c r="H1627">
        <v>0</v>
      </c>
      <c r="I1627" s="713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 s="724" t="str">
        <f>VLOOKUP($E1627,SP_2024_v28062025!$E$2:$M$1751,9,FALSE)</f>
        <v>PDA360</v>
      </c>
    </row>
    <row r="1628" spans="1:17">
      <c r="A1628">
        <v>2</v>
      </c>
      <c r="B1628" t="s">
        <v>12096</v>
      </c>
      <c r="C1628" t="s">
        <v>12153</v>
      </c>
      <c r="D1628" t="s">
        <v>12156</v>
      </c>
      <c r="E1628" t="s">
        <v>4400</v>
      </c>
      <c r="F1628" t="s">
        <v>4401</v>
      </c>
      <c r="G1628" s="712">
        <v>0</v>
      </c>
      <c r="H1628">
        <v>0</v>
      </c>
      <c r="I1628" s="713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 s="724" t="str">
        <f>VLOOKUP($E1628,SP_2024_v28062025!$E$2:$M$1751,9,FALSE)</f>
        <v>PDA360</v>
      </c>
    </row>
    <row r="1629" spans="1:17">
      <c r="A1629">
        <v>2</v>
      </c>
      <c r="B1629" t="s">
        <v>12096</v>
      </c>
      <c r="C1629" t="s">
        <v>12153</v>
      </c>
      <c r="D1629" t="s">
        <v>12156</v>
      </c>
      <c r="E1629" t="s">
        <v>4402</v>
      </c>
      <c r="F1629" t="s">
        <v>4403</v>
      </c>
      <c r="G1629" s="712">
        <v>0</v>
      </c>
      <c r="H1629">
        <v>0</v>
      </c>
      <c r="I1629" s="713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 s="724" t="str">
        <f>VLOOKUP($E1629,SP_2024_v28062025!$E$2:$M$1751,9,FALSE)</f>
        <v>PDA360</v>
      </c>
    </row>
    <row r="1630" spans="1:17">
      <c r="A1630">
        <v>2</v>
      </c>
      <c r="B1630" t="s">
        <v>12096</v>
      </c>
      <c r="C1630" t="s">
        <v>12153</v>
      </c>
      <c r="D1630" t="s">
        <v>12156</v>
      </c>
      <c r="E1630" t="s">
        <v>4404</v>
      </c>
      <c r="F1630" t="s">
        <v>4405</v>
      </c>
      <c r="G1630" s="712">
        <v>0</v>
      </c>
      <c r="H1630">
        <v>0</v>
      </c>
      <c r="I1630" s="713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 s="724" t="str">
        <f>VLOOKUP($E1630,SP_2024_v28062025!$E$2:$M$1751,9,FALSE)</f>
        <v>PDA360</v>
      </c>
    </row>
    <row r="1631" spans="1:17">
      <c r="A1631">
        <v>2</v>
      </c>
      <c r="B1631" t="s">
        <v>12096</v>
      </c>
      <c r="C1631" t="s">
        <v>12153</v>
      </c>
      <c r="D1631" t="s">
        <v>12156</v>
      </c>
      <c r="E1631" t="s">
        <v>4406</v>
      </c>
      <c r="F1631" t="s">
        <v>4407</v>
      </c>
      <c r="G1631" s="712">
        <v>0</v>
      </c>
      <c r="H1631">
        <v>0</v>
      </c>
      <c r="I1631" s="713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 s="724" t="str">
        <f>VLOOKUP($E1631,SP_2024_v28062025!$E$2:$M$1751,9,FALSE)</f>
        <v>PDA360</v>
      </c>
    </row>
    <row r="1632" spans="1:17">
      <c r="A1632">
        <v>2</v>
      </c>
      <c r="B1632" t="s">
        <v>12096</v>
      </c>
      <c r="C1632" t="s">
        <v>12153</v>
      </c>
      <c r="D1632" t="s">
        <v>12156</v>
      </c>
      <c r="E1632" t="s">
        <v>4408</v>
      </c>
      <c r="F1632" t="s">
        <v>4409</v>
      </c>
      <c r="G1632" s="712">
        <v>0</v>
      </c>
      <c r="H1632">
        <v>0</v>
      </c>
      <c r="I1632" s="713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 s="724" t="str">
        <f>VLOOKUP($E1632,SP_2024_v28062025!$E$2:$M$1751,9,FALSE)</f>
        <v>PDA360</v>
      </c>
    </row>
    <row r="1633" spans="1:17">
      <c r="A1633">
        <v>2</v>
      </c>
      <c r="B1633" t="s">
        <v>12096</v>
      </c>
      <c r="C1633" t="s">
        <v>12153</v>
      </c>
      <c r="D1633" t="s">
        <v>12156</v>
      </c>
      <c r="E1633" t="s">
        <v>4410</v>
      </c>
      <c r="F1633" t="s">
        <v>4411</v>
      </c>
      <c r="G1633" s="712">
        <v>0</v>
      </c>
      <c r="H1633">
        <v>0</v>
      </c>
      <c r="I1633" s="71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 s="724" t="str">
        <f>VLOOKUP($E1633,SP_2024_v28062025!$E$2:$M$1751,9,FALSE)</f>
        <v>PDA360</v>
      </c>
    </row>
    <row r="1634" spans="1:17">
      <c r="A1634">
        <v>2</v>
      </c>
      <c r="B1634" t="s">
        <v>12096</v>
      </c>
      <c r="C1634" t="s">
        <v>12153</v>
      </c>
      <c r="D1634" t="s">
        <v>12156</v>
      </c>
      <c r="E1634" t="s">
        <v>4412</v>
      </c>
      <c r="F1634" t="s">
        <v>4413</v>
      </c>
      <c r="G1634" s="712">
        <v>0</v>
      </c>
      <c r="H1634">
        <v>0</v>
      </c>
      <c r="I1634" s="713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 s="724" t="str">
        <f>VLOOKUP($E1634,SP_2024_v28062025!$E$2:$M$1751,9,FALSE)</f>
        <v>PDA360</v>
      </c>
    </row>
    <row r="1635" spans="1:17">
      <c r="A1635">
        <v>2</v>
      </c>
      <c r="B1635" t="s">
        <v>12096</v>
      </c>
      <c r="C1635" t="s">
        <v>12153</v>
      </c>
      <c r="D1635" t="s">
        <v>12156</v>
      </c>
      <c r="E1635" t="s">
        <v>4414</v>
      </c>
      <c r="F1635" t="s">
        <v>4415</v>
      </c>
      <c r="G1635" s="712">
        <v>0</v>
      </c>
      <c r="H1635">
        <v>0</v>
      </c>
      <c r="I1635" s="713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 s="724" t="str">
        <f>VLOOKUP($E1635,SP_2024_v28062025!$E$2:$M$1751,9,FALSE)</f>
        <v>PDA360</v>
      </c>
    </row>
    <row r="1636" spans="1:17">
      <c r="A1636">
        <v>2</v>
      </c>
      <c r="B1636" t="s">
        <v>12096</v>
      </c>
      <c r="C1636" t="s">
        <v>12153</v>
      </c>
      <c r="D1636" t="s">
        <v>12156</v>
      </c>
      <c r="E1636" t="s">
        <v>4416</v>
      </c>
      <c r="F1636" t="s">
        <v>4417</v>
      </c>
      <c r="G1636" s="712">
        <v>0</v>
      </c>
      <c r="H1636">
        <v>0</v>
      </c>
      <c r="I1636" s="713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 s="724" t="str">
        <f>VLOOKUP($E1636,SP_2024_v28062025!$E$2:$M$1751,9,FALSE)</f>
        <v>PDA360</v>
      </c>
    </row>
    <row r="1637" spans="1:17">
      <c r="A1637">
        <v>2</v>
      </c>
      <c r="B1637" t="s">
        <v>12096</v>
      </c>
      <c r="C1637" t="s">
        <v>12153</v>
      </c>
      <c r="D1637" t="s">
        <v>12156</v>
      </c>
      <c r="E1637" t="s">
        <v>4418</v>
      </c>
      <c r="F1637" t="s">
        <v>4419</v>
      </c>
      <c r="G1637" s="712">
        <v>0</v>
      </c>
      <c r="H1637">
        <v>0</v>
      </c>
      <c r="I1637" s="713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 s="724" t="str">
        <f>VLOOKUP($E1637,SP_2024_v28062025!$E$2:$M$1751,9,FALSE)</f>
        <v>PDA360</v>
      </c>
    </row>
    <row r="1638" spans="1:17">
      <c r="A1638">
        <v>2</v>
      </c>
      <c r="B1638" t="s">
        <v>12096</v>
      </c>
      <c r="C1638" t="s">
        <v>12153</v>
      </c>
      <c r="D1638" t="s">
        <v>12156</v>
      </c>
      <c r="E1638" t="s">
        <v>4420</v>
      </c>
      <c r="F1638" t="s">
        <v>4421</v>
      </c>
      <c r="G1638" s="712">
        <v>0</v>
      </c>
      <c r="H1638">
        <v>0</v>
      </c>
      <c r="I1638" s="713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 s="724" t="str">
        <f>VLOOKUP($E1638,SP_2024_v28062025!$E$2:$M$1751,9,FALSE)</f>
        <v>PDA360</v>
      </c>
    </row>
    <row r="1639" spans="1:17">
      <c r="A1639">
        <v>2</v>
      </c>
      <c r="B1639" t="s">
        <v>12096</v>
      </c>
      <c r="C1639" t="s">
        <v>12153</v>
      </c>
      <c r="D1639" t="s">
        <v>12156</v>
      </c>
      <c r="E1639" t="s">
        <v>4422</v>
      </c>
      <c r="F1639" t="s">
        <v>4423</v>
      </c>
      <c r="G1639" s="712">
        <v>0</v>
      </c>
      <c r="H1639">
        <v>0</v>
      </c>
      <c r="I1639" s="713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 s="724" t="str">
        <f>VLOOKUP($E1639,SP_2024_v28062025!$E$2:$M$1751,9,FALSE)</f>
        <v>PDA360</v>
      </c>
    </row>
    <row r="1640" spans="1:17">
      <c r="A1640">
        <v>2</v>
      </c>
      <c r="B1640" t="s">
        <v>12096</v>
      </c>
      <c r="C1640" t="s">
        <v>12153</v>
      </c>
      <c r="D1640" t="s">
        <v>12156</v>
      </c>
      <c r="E1640" t="s">
        <v>4424</v>
      </c>
      <c r="F1640" t="s">
        <v>4425</v>
      </c>
      <c r="G1640" s="712">
        <v>0</v>
      </c>
      <c r="H1640">
        <v>0</v>
      </c>
      <c r="I1640" s="713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 s="724" t="str">
        <f>VLOOKUP($E1640,SP_2024_v28062025!$E$2:$M$1751,9,FALSE)</f>
        <v>PDA360</v>
      </c>
    </row>
    <row r="1641" spans="1:17">
      <c r="A1641">
        <v>2</v>
      </c>
      <c r="B1641" t="s">
        <v>12096</v>
      </c>
      <c r="C1641" t="s">
        <v>12153</v>
      </c>
      <c r="D1641" t="s">
        <v>12156</v>
      </c>
      <c r="E1641" t="s">
        <v>4426</v>
      </c>
      <c r="F1641" t="s">
        <v>4427</v>
      </c>
      <c r="G1641" s="712">
        <v>0</v>
      </c>
      <c r="H1641">
        <v>0</v>
      </c>
      <c r="I1641" s="713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 s="724" t="str">
        <f>VLOOKUP($E1641,SP_2024_v28062025!$E$2:$M$1751,9,FALSE)</f>
        <v>PDA360</v>
      </c>
    </row>
    <row r="1642" spans="1:17">
      <c r="A1642">
        <v>2</v>
      </c>
      <c r="B1642" t="s">
        <v>12096</v>
      </c>
      <c r="C1642" t="s">
        <v>12153</v>
      </c>
      <c r="D1642" t="s">
        <v>12156</v>
      </c>
      <c r="E1642" t="s">
        <v>4428</v>
      </c>
      <c r="F1642" t="s">
        <v>4429</v>
      </c>
      <c r="G1642" s="712">
        <v>0</v>
      </c>
      <c r="H1642">
        <v>0</v>
      </c>
      <c r="I1642" s="713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 s="724" t="str">
        <f>VLOOKUP($E1642,SP_2024_v28062025!$E$2:$M$1751,9,FALSE)</f>
        <v>PDA360</v>
      </c>
    </row>
    <row r="1643" spans="1:17">
      <c r="A1643">
        <v>2</v>
      </c>
      <c r="B1643" t="s">
        <v>12096</v>
      </c>
      <c r="C1643" t="s">
        <v>12153</v>
      </c>
      <c r="D1643" t="s">
        <v>12156</v>
      </c>
      <c r="E1643" t="s">
        <v>4430</v>
      </c>
      <c r="F1643" t="s">
        <v>4431</v>
      </c>
      <c r="G1643" s="712">
        <v>0</v>
      </c>
      <c r="H1643">
        <v>0</v>
      </c>
      <c r="I1643" s="71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 s="724" t="str">
        <f>VLOOKUP($E1643,SP_2024_v28062025!$E$2:$M$1751,9,FALSE)</f>
        <v>PDA360</v>
      </c>
    </row>
    <row r="1644" spans="1:17">
      <c r="A1644">
        <v>2</v>
      </c>
      <c r="B1644" t="s">
        <v>12096</v>
      </c>
      <c r="C1644" t="s">
        <v>12153</v>
      </c>
      <c r="D1644" t="s">
        <v>12156</v>
      </c>
      <c r="E1644" t="s">
        <v>4432</v>
      </c>
      <c r="F1644" t="s">
        <v>4433</v>
      </c>
      <c r="G1644" s="712">
        <v>0</v>
      </c>
      <c r="H1644">
        <v>0</v>
      </c>
      <c r="I1644" s="713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 s="724" t="str">
        <f>VLOOKUP($E1644,SP_2024_v28062025!$E$2:$M$1751,9,FALSE)</f>
        <v>PDA360</v>
      </c>
    </row>
    <row r="1645" spans="1:17">
      <c r="A1645">
        <v>2</v>
      </c>
      <c r="B1645" t="s">
        <v>12096</v>
      </c>
      <c r="C1645" t="s">
        <v>12153</v>
      </c>
      <c r="D1645" t="s">
        <v>12156</v>
      </c>
      <c r="E1645" t="s">
        <v>4434</v>
      </c>
      <c r="F1645" t="s">
        <v>4435</v>
      </c>
      <c r="G1645" s="712">
        <v>0</v>
      </c>
      <c r="H1645">
        <v>0</v>
      </c>
      <c r="I1645" s="713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 s="724" t="str">
        <f>VLOOKUP($E1645,SP_2024_v28062025!$E$2:$M$1751,9,FALSE)</f>
        <v>PDA360</v>
      </c>
    </row>
    <row r="1646" spans="1:17">
      <c r="A1646">
        <v>2</v>
      </c>
      <c r="B1646" t="s">
        <v>12096</v>
      </c>
      <c r="C1646" t="s">
        <v>12153</v>
      </c>
      <c r="D1646" t="s">
        <v>12156</v>
      </c>
      <c r="E1646" t="s">
        <v>4436</v>
      </c>
      <c r="F1646" t="s">
        <v>4437</v>
      </c>
      <c r="G1646" s="712">
        <v>0</v>
      </c>
      <c r="H1646">
        <v>0</v>
      </c>
      <c r="I1646" s="713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 s="724" t="str">
        <f>VLOOKUP($E1646,SP_2024_v28062025!$E$2:$M$1751,9,FALSE)</f>
        <v>PDA360</v>
      </c>
    </row>
    <row r="1647" spans="1:17">
      <c r="A1647">
        <v>2</v>
      </c>
      <c r="B1647" t="s">
        <v>12096</v>
      </c>
      <c r="C1647" t="s">
        <v>12153</v>
      </c>
      <c r="D1647" t="s">
        <v>12156</v>
      </c>
      <c r="E1647" t="s">
        <v>4438</v>
      </c>
      <c r="F1647" t="s">
        <v>4439</v>
      </c>
      <c r="G1647" s="712">
        <v>0</v>
      </c>
      <c r="H1647">
        <v>0</v>
      </c>
      <c r="I1647" s="713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 s="724" t="str">
        <f>VLOOKUP($E1647,SP_2024_v28062025!$E$2:$M$1751,9,FALSE)</f>
        <v>PDA360</v>
      </c>
    </row>
    <row r="1648" spans="1:17">
      <c r="A1648">
        <v>2</v>
      </c>
      <c r="B1648" t="s">
        <v>12096</v>
      </c>
      <c r="C1648" t="s">
        <v>12153</v>
      </c>
      <c r="D1648" t="s">
        <v>12156</v>
      </c>
      <c r="E1648" t="s">
        <v>4440</v>
      </c>
      <c r="F1648" t="s">
        <v>4441</v>
      </c>
      <c r="G1648" s="712">
        <v>0</v>
      </c>
      <c r="H1648">
        <v>0</v>
      </c>
      <c r="I1648" s="713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 s="724" t="str">
        <f>VLOOKUP($E1648,SP_2024_v28062025!$E$2:$M$1751,9,FALSE)</f>
        <v>PDA360</v>
      </c>
    </row>
    <row r="1649" spans="1:17">
      <c r="A1649">
        <v>2</v>
      </c>
      <c r="B1649" t="s">
        <v>12096</v>
      </c>
      <c r="C1649" t="s">
        <v>12153</v>
      </c>
      <c r="D1649" t="s">
        <v>12156</v>
      </c>
      <c r="E1649" t="s">
        <v>4443</v>
      </c>
      <c r="F1649" t="s">
        <v>4444</v>
      </c>
      <c r="G1649" s="712">
        <v>0</v>
      </c>
      <c r="H1649">
        <v>0</v>
      </c>
      <c r="I1649" s="713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 s="724" t="str">
        <f>VLOOKUP($E1649,SP_2024_v28062025!$E$2:$M$1751,9,FALSE)</f>
        <v>PDA360</v>
      </c>
    </row>
    <row r="1650" spans="1:17">
      <c r="A1650">
        <v>2</v>
      </c>
      <c r="B1650" t="s">
        <v>12096</v>
      </c>
      <c r="C1650" t="s">
        <v>12153</v>
      </c>
      <c r="D1650" t="s">
        <v>12156</v>
      </c>
      <c r="E1650" t="s">
        <v>4446</v>
      </c>
      <c r="F1650" t="s">
        <v>4447</v>
      </c>
      <c r="G1650" s="712">
        <v>0</v>
      </c>
      <c r="H1650">
        <v>0</v>
      </c>
      <c r="I1650" s="713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 s="724" t="str">
        <f>VLOOKUP($E1650,SP_2024_v28062025!$E$2:$M$1751,9,FALSE)</f>
        <v>PDA360</v>
      </c>
    </row>
    <row r="1651" spans="1:17">
      <c r="A1651">
        <v>2</v>
      </c>
      <c r="B1651" t="s">
        <v>12096</v>
      </c>
      <c r="C1651" t="s">
        <v>12153</v>
      </c>
      <c r="D1651" t="s">
        <v>12156</v>
      </c>
      <c r="E1651" t="s">
        <v>4448</v>
      </c>
      <c r="F1651" t="s">
        <v>4449</v>
      </c>
      <c r="G1651" s="712">
        <v>0</v>
      </c>
      <c r="H1651">
        <v>0</v>
      </c>
      <c r="I1651" s="713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 s="724" t="str">
        <f>VLOOKUP($E1651,SP_2024_v28062025!$E$2:$M$1751,9,FALSE)</f>
        <v>PDA360</v>
      </c>
    </row>
    <row r="1652" spans="1:17" ht="15.75" thickBot="1">
      <c r="A1652">
        <v>2</v>
      </c>
      <c r="B1652" t="s">
        <v>12096</v>
      </c>
      <c r="C1652" t="s">
        <v>12153</v>
      </c>
      <c r="D1652" t="s">
        <v>12156</v>
      </c>
      <c r="E1652" t="s">
        <v>4450</v>
      </c>
      <c r="F1652" t="s">
        <v>4451</v>
      </c>
      <c r="G1652" s="712">
        <v>0</v>
      </c>
      <c r="H1652">
        <v>0</v>
      </c>
      <c r="I1652" s="713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 s="724" t="str">
        <f>VLOOKUP($E1652,SP_2024_v28062025!$E$2:$M$1751,9,FALSE)</f>
        <v>PDA360</v>
      </c>
    </row>
    <row r="1653" spans="1:17" ht="15.75" thickBot="1">
      <c r="A1653" s="727">
        <v>2</v>
      </c>
      <c r="B1653" s="727" t="s">
        <v>12096</v>
      </c>
      <c r="C1653" s="727" t="s">
        <v>12153</v>
      </c>
      <c r="D1653" s="727" t="s">
        <v>12157</v>
      </c>
      <c r="E1653" s="727"/>
      <c r="F1653" s="729" t="s">
        <v>4452</v>
      </c>
      <c r="G1653" s="738">
        <v>0</v>
      </c>
      <c r="H1653" s="738">
        <v>0</v>
      </c>
      <c r="I1653" s="738">
        <v>0</v>
      </c>
      <c r="J1653" s="738">
        <v>0</v>
      </c>
      <c r="K1653" s="738">
        <v>0</v>
      </c>
      <c r="L1653" s="738">
        <v>0</v>
      </c>
      <c r="M1653" s="738">
        <v>0</v>
      </c>
      <c r="N1653" s="738">
        <v>0</v>
      </c>
      <c r="O1653" s="738">
        <v>0</v>
      </c>
      <c r="P1653" s="738">
        <v>0</v>
      </c>
    </row>
    <row r="1654" spans="1:17" ht="15.75" thickBot="1">
      <c r="A1654">
        <v>2</v>
      </c>
      <c r="B1654" t="s">
        <v>12096</v>
      </c>
      <c r="C1654" t="s">
        <v>12153</v>
      </c>
      <c r="D1654" t="s">
        <v>12157</v>
      </c>
      <c r="E1654" t="s">
        <v>4455</v>
      </c>
      <c r="F1654" t="s">
        <v>4452</v>
      </c>
      <c r="G1654" s="712">
        <v>0</v>
      </c>
      <c r="H1654">
        <v>0</v>
      </c>
      <c r="I1654" s="713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 s="724" t="str">
        <f>VLOOKUP($E1654,SP_2024_v28062025!$E$2:$M$1751,9,FALSE)</f>
        <v>PDA370</v>
      </c>
    </row>
    <row r="1655" spans="1:17" ht="15.75" thickBot="1">
      <c r="A1655" s="727">
        <v>2</v>
      </c>
      <c r="B1655" s="727" t="s">
        <v>12096</v>
      </c>
      <c r="C1655" s="727" t="s">
        <v>12153</v>
      </c>
      <c r="D1655" s="727" t="s">
        <v>12158</v>
      </c>
      <c r="E1655" s="727"/>
      <c r="F1655" s="729" t="s">
        <v>4456</v>
      </c>
      <c r="G1655" s="739">
        <v>312023.52</v>
      </c>
      <c r="H1655" s="739">
        <v>1032777.92</v>
      </c>
      <c r="I1655" s="739">
        <v>720754.4</v>
      </c>
      <c r="J1655" s="739">
        <v>11139430.869999999</v>
      </c>
      <c r="K1655" s="739">
        <v>11665196.17</v>
      </c>
      <c r="L1655" s="738">
        <v>0</v>
      </c>
      <c r="M1655" s="738">
        <v>0</v>
      </c>
      <c r="N1655" s="739">
        <v>11451454.390000001</v>
      </c>
      <c r="O1655" s="739">
        <v>12697974.09</v>
      </c>
      <c r="P1655" s="739">
        <v>-1246519.7</v>
      </c>
    </row>
    <row r="1656" spans="1:17">
      <c r="A1656">
        <v>2</v>
      </c>
      <c r="B1656" t="s">
        <v>12096</v>
      </c>
      <c r="C1656" t="s">
        <v>12153</v>
      </c>
      <c r="D1656" t="s">
        <v>12158</v>
      </c>
      <c r="E1656" t="s">
        <v>4459</v>
      </c>
      <c r="F1656" t="s">
        <v>4460</v>
      </c>
      <c r="G1656" s="712">
        <v>0</v>
      </c>
      <c r="H1656">
        <v>0</v>
      </c>
      <c r="I1656" s="713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 s="724" t="str">
        <f>VLOOKUP($E1656,SP_2024_v28062025!$E$2:$M$1751,9,FALSE)</f>
        <v>PDA380</v>
      </c>
    </row>
    <row r="1657" spans="1:17">
      <c r="A1657">
        <v>2</v>
      </c>
      <c r="B1657" t="s">
        <v>12096</v>
      </c>
      <c r="C1657" t="s">
        <v>12153</v>
      </c>
      <c r="D1657" t="s">
        <v>12158</v>
      </c>
      <c r="E1657" t="s">
        <v>4462</v>
      </c>
      <c r="F1657" t="s">
        <v>4463</v>
      </c>
      <c r="G1657" s="712">
        <v>0</v>
      </c>
      <c r="H1657">
        <v>0</v>
      </c>
      <c r="I1657" s="713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 s="724" t="str">
        <f>VLOOKUP($E1657,SP_2024_v28062025!$E$2:$M$1751,9,FALSE)</f>
        <v>PDA380</v>
      </c>
    </row>
    <row r="1658" spans="1:17">
      <c r="A1658">
        <v>2</v>
      </c>
      <c r="B1658" t="s">
        <v>12096</v>
      </c>
      <c r="C1658" t="s">
        <v>12153</v>
      </c>
      <c r="D1658" t="s">
        <v>12158</v>
      </c>
      <c r="E1658" t="s">
        <v>4464</v>
      </c>
      <c r="F1658" t="s">
        <v>4465</v>
      </c>
      <c r="G1658" s="712">
        <v>0</v>
      </c>
      <c r="H1658">
        <v>0</v>
      </c>
      <c r="I1658" s="713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 s="724" t="str">
        <f>VLOOKUP($E1658,SP_2024_v28062025!$E$2:$M$1751,9,FALSE)</f>
        <v>PDA380</v>
      </c>
    </row>
    <row r="1659" spans="1:17">
      <c r="A1659">
        <v>2</v>
      </c>
      <c r="B1659" t="s">
        <v>12096</v>
      </c>
      <c r="C1659" t="s">
        <v>12153</v>
      </c>
      <c r="D1659" t="s">
        <v>12158</v>
      </c>
      <c r="E1659" t="s">
        <v>12159</v>
      </c>
      <c r="F1659" t="s">
        <v>4481</v>
      </c>
      <c r="G1659" s="712">
        <v>0</v>
      </c>
      <c r="H1659">
        <v>0</v>
      </c>
      <c r="I1659" s="713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</row>
    <row r="1660" spans="1:17">
      <c r="A1660">
        <v>2</v>
      </c>
      <c r="B1660" t="s">
        <v>12096</v>
      </c>
      <c r="C1660" t="s">
        <v>12153</v>
      </c>
      <c r="D1660" t="s">
        <v>12158</v>
      </c>
      <c r="E1660" t="s">
        <v>12160</v>
      </c>
      <c r="F1660" t="s">
        <v>4483</v>
      </c>
      <c r="G1660" s="712">
        <v>0</v>
      </c>
      <c r="H1660">
        <v>0</v>
      </c>
      <c r="I1660" s="713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</row>
    <row r="1661" spans="1:17">
      <c r="A1661">
        <v>2</v>
      </c>
      <c r="B1661" t="s">
        <v>12096</v>
      </c>
      <c r="C1661" t="s">
        <v>12153</v>
      </c>
      <c r="D1661" t="s">
        <v>12158</v>
      </c>
      <c r="E1661" t="s">
        <v>12161</v>
      </c>
      <c r="F1661" t="s">
        <v>4485</v>
      </c>
      <c r="G1661" s="712">
        <v>0</v>
      </c>
      <c r="H1661">
        <v>0</v>
      </c>
      <c r="I1661" s="713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</row>
    <row r="1662" spans="1:17">
      <c r="A1662">
        <v>2</v>
      </c>
      <c r="B1662" t="s">
        <v>12096</v>
      </c>
      <c r="C1662" t="s">
        <v>12153</v>
      </c>
      <c r="D1662" t="s">
        <v>12158</v>
      </c>
      <c r="E1662" t="s">
        <v>12162</v>
      </c>
      <c r="F1662" t="s">
        <v>4487</v>
      </c>
      <c r="G1662" s="712">
        <v>0</v>
      </c>
      <c r="H1662">
        <v>0</v>
      </c>
      <c r="I1662" s="713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</row>
    <row r="1663" spans="1:17">
      <c r="A1663">
        <v>2</v>
      </c>
      <c r="B1663" t="s">
        <v>12096</v>
      </c>
      <c r="C1663" t="s">
        <v>12153</v>
      </c>
      <c r="D1663" t="s">
        <v>12158</v>
      </c>
      <c r="E1663" t="s">
        <v>12163</v>
      </c>
      <c r="F1663" t="s">
        <v>4489</v>
      </c>
      <c r="G1663" s="712">
        <v>0</v>
      </c>
      <c r="H1663">
        <v>0</v>
      </c>
      <c r="I1663" s="71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</row>
    <row r="1664" spans="1:17">
      <c r="A1664">
        <v>2</v>
      </c>
      <c r="B1664" t="s">
        <v>12096</v>
      </c>
      <c r="C1664" t="s">
        <v>12153</v>
      </c>
      <c r="D1664" t="s">
        <v>12158</v>
      </c>
      <c r="E1664" t="s">
        <v>4467</v>
      </c>
      <c r="F1664" t="s">
        <v>4468</v>
      </c>
      <c r="G1664" s="712">
        <v>0</v>
      </c>
      <c r="H1664">
        <v>0</v>
      </c>
      <c r="I1664" s="713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 s="724" t="str">
        <f>VLOOKUP($E1664,SP_2024_v28062025!$E$2:$M$1751,9,FALSE)</f>
        <v>PDA380</v>
      </c>
    </row>
    <row r="1665" spans="1:17">
      <c r="A1665">
        <v>2</v>
      </c>
      <c r="B1665" t="s">
        <v>12096</v>
      </c>
      <c r="C1665" t="s">
        <v>12153</v>
      </c>
      <c r="D1665" t="s">
        <v>12158</v>
      </c>
      <c r="E1665" t="s">
        <v>4470</v>
      </c>
      <c r="F1665" t="s">
        <v>4471</v>
      </c>
      <c r="G1665" s="712">
        <v>0</v>
      </c>
      <c r="H1665">
        <v>0</v>
      </c>
      <c r="I1665" s="713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 s="724" t="str">
        <f>VLOOKUP($E1665,SP_2024_v28062025!$E$2:$M$1751,9,FALSE)</f>
        <v>PDA380</v>
      </c>
    </row>
    <row r="1666" spans="1:17">
      <c r="A1666">
        <v>2</v>
      </c>
      <c r="B1666" t="s">
        <v>12096</v>
      </c>
      <c r="C1666" t="s">
        <v>12153</v>
      </c>
      <c r="D1666" t="s">
        <v>12158</v>
      </c>
      <c r="E1666" t="s">
        <v>4472</v>
      </c>
      <c r="F1666" t="s">
        <v>4473</v>
      </c>
      <c r="G1666" s="712">
        <v>0</v>
      </c>
      <c r="H1666">
        <v>0</v>
      </c>
      <c r="I1666" s="713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 s="724" t="str">
        <f>VLOOKUP($E1666,SP_2024_v28062025!$E$2:$M$1751,9,FALSE)</f>
        <v>PDA380</v>
      </c>
    </row>
    <row r="1667" spans="1:17">
      <c r="A1667">
        <v>2</v>
      </c>
      <c r="B1667" t="s">
        <v>12096</v>
      </c>
      <c r="C1667" t="s">
        <v>12153</v>
      </c>
      <c r="D1667" t="s">
        <v>12158</v>
      </c>
      <c r="E1667" t="s">
        <v>4474</v>
      </c>
      <c r="F1667" t="s">
        <v>4475</v>
      </c>
      <c r="G1667" s="712">
        <v>0</v>
      </c>
      <c r="H1667">
        <v>0</v>
      </c>
      <c r="I1667" s="713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 s="724" t="str">
        <f>VLOOKUP($E1667,SP_2024_v28062025!$E$2:$M$1751,9,FALSE)</f>
        <v>PDA380</v>
      </c>
    </row>
    <row r="1668" spans="1:17">
      <c r="A1668">
        <v>2</v>
      </c>
      <c r="B1668" t="s">
        <v>12096</v>
      </c>
      <c r="C1668" t="s">
        <v>12153</v>
      </c>
      <c r="D1668" t="s">
        <v>12158</v>
      </c>
      <c r="E1668" t="s">
        <v>4476</v>
      </c>
      <c r="F1668" t="s">
        <v>4477</v>
      </c>
      <c r="G1668" s="712">
        <v>0</v>
      </c>
      <c r="H1668">
        <v>0</v>
      </c>
      <c r="I1668" s="713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 s="724" t="str">
        <f>VLOOKUP($E1668,SP_2024_v28062025!$E$2:$M$1751,9,FALSE)</f>
        <v>PDA380</v>
      </c>
    </row>
    <row r="1669" spans="1:17">
      <c r="A1669">
        <v>2</v>
      </c>
      <c r="B1669" t="s">
        <v>12096</v>
      </c>
      <c r="C1669" t="s">
        <v>12153</v>
      </c>
      <c r="D1669" t="s">
        <v>12158</v>
      </c>
      <c r="E1669" t="s">
        <v>4478</v>
      </c>
      <c r="F1669" t="s">
        <v>4479</v>
      </c>
      <c r="G1669" s="712">
        <v>0</v>
      </c>
      <c r="H1669">
        <v>0</v>
      </c>
      <c r="I1669" s="713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 s="724" t="str">
        <f>VLOOKUP($E1669,SP_2024_v28062025!$E$2:$M$1751,9,FALSE)</f>
        <v>PDA380</v>
      </c>
    </row>
    <row r="1670" spans="1:17">
      <c r="A1670">
        <v>2</v>
      </c>
      <c r="B1670" t="s">
        <v>12096</v>
      </c>
      <c r="C1670" t="s">
        <v>12153</v>
      </c>
      <c r="D1670" t="s">
        <v>12158</v>
      </c>
      <c r="E1670" t="s">
        <v>4480</v>
      </c>
      <c r="F1670" t="s">
        <v>4481</v>
      </c>
      <c r="G1670" s="712">
        <v>0</v>
      </c>
      <c r="H1670">
        <v>0</v>
      </c>
      <c r="I1670" s="713">
        <v>0</v>
      </c>
      <c r="J1670" s="711">
        <v>144257.25</v>
      </c>
      <c r="K1670" s="711">
        <v>166130.9</v>
      </c>
      <c r="L1670">
        <v>0</v>
      </c>
      <c r="M1670">
        <v>0</v>
      </c>
      <c r="N1670" s="711">
        <v>144257.25</v>
      </c>
      <c r="O1670" s="711">
        <v>166130.9</v>
      </c>
      <c r="P1670" s="711">
        <v>-21873.65</v>
      </c>
      <c r="Q1670" s="724" t="str">
        <f>VLOOKUP($E1670,SP_2024_v28062025!$E$2:$M$1751,9,FALSE)</f>
        <v>PDA380</v>
      </c>
    </row>
    <row r="1671" spans="1:17">
      <c r="A1671">
        <v>2</v>
      </c>
      <c r="B1671" t="s">
        <v>12096</v>
      </c>
      <c r="C1671" t="s">
        <v>12153</v>
      </c>
      <c r="D1671" t="s">
        <v>12158</v>
      </c>
      <c r="E1671" t="s">
        <v>4482</v>
      </c>
      <c r="F1671" t="s">
        <v>4483</v>
      </c>
      <c r="G1671" s="712">
        <v>0</v>
      </c>
      <c r="H1671" s="711">
        <v>1750.62</v>
      </c>
      <c r="I1671" s="715">
        <v>1750.62</v>
      </c>
      <c r="J1671" s="711">
        <v>2318409.42</v>
      </c>
      <c r="K1671" s="711">
        <v>2522713.46</v>
      </c>
      <c r="L1671">
        <v>0</v>
      </c>
      <c r="M1671">
        <v>0</v>
      </c>
      <c r="N1671" s="711">
        <v>2318409.42</v>
      </c>
      <c r="O1671" s="711">
        <v>2524464.08</v>
      </c>
      <c r="P1671" s="711">
        <v>-206054.66</v>
      </c>
      <c r="Q1671" s="724" t="str">
        <f>VLOOKUP($E1671,SP_2024_v28062025!$E$2:$M$1751,9,FALSE)</f>
        <v>PDA380</v>
      </c>
    </row>
    <row r="1672" spans="1:17">
      <c r="A1672">
        <v>2</v>
      </c>
      <c r="B1672" t="s">
        <v>12096</v>
      </c>
      <c r="C1672" t="s">
        <v>12153</v>
      </c>
      <c r="D1672" t="s">
        <v>12158</v>
      </c>
      <c r="E1672" t="s">
        <v>4484</v>
      </c>
      <c r="F1672" t="s">
        <v>4485</v>
      </c>
      <c r="G1672" s="712">
        <v>0</v>
      </c>
      <c r="H1672" s="711">
        <v>12792.29</v>
      </c>
      <c r="I1672" s="715">
        <v>12792.29</v>
      </c>
      <c r="J1672" s="711">
        <v>151375.72</v>
      </c>
      <c r="K1672">
        <v>0</v>
      </c>
      <c r="L1672">
        <v>0</v>
      </c>
      <c r="M1672">
        <v>0</v>
      </c>
      <c r="N1672" s="711">
        <v>151375.72</v>
      </c>
      <c r="O1672" s="711">
        <v>12792.29</v>
      </c>
      <c r="P1672" s="711">
        <v>138583.43</v>
      </c>
      <c r="Q1672" s="724" t="str">
        <f>VLOOKUP($E1672,SP_2024_v28062025!$E$2:$M$1751,9,FALSE)</f>
        <v>PDA380</v>
      </c>
    </row>
    <row r="1673" spans="1:17">
      <c r="A1673">
        <v>2</v>
      </c>
      <c r="B1673" t="s">
        <v>12096</v>
      </c>
      <c r="C1673" t="s">
        <v>12153</v>
      </c>
      <c r="D1673" t="s">
        <v>12158</v>
      </c>
      <c r="E1673" t="s">
        <v>4486</v>
      </c>
      <c r="F1673" t="s">
        <v>4487</v>
      </c>
      <c r="G1673" s="712">
        <v>0</v>
      </c>
      <c r="H1673" s="711">
        <v>4031.14</v>
      </c>
      <c r="I1673" s="715">
        <v>4031.14</v>
      </c>
      <c r="J1673" s="711">
        <v>62407.55</v>
      </c>
      <c r="K1673" s="711">
        <v>63958.3</v>
      </c>
      <c r="L1673">
        <v>0</v>
      </c>
      <c r="M1673">
        <v>0</v>
      </c>
      <c r="N1673" s="711">
        <v>62407.55</v>
      </c>
      <c r="O1673" s="711">
        <v>67989.440000000002</v>
      </c>
      <c r="P1673" s="711">
        <v>-5581.89</v>
      </c>
      <c r="Q1673" s="724" t="str">
        <f>VLOOKUP($E1673,SP_2024_v28062025!$E$2:$M$1751,9,FALSE)</f>
        <v>PDA380</v>
      </c>
    </row>
    <row r="1674" spans="1:17">
      <c r="A1674">
        <v>2</v>
      </c>
      <c r="B1674" t="s">
        <v>12096</v>
      </c>
      <c r="C1674" t="s">
        <v>12153</v>
      </c>
      <c r="D1674" t="s">
        <v>12158</v>
      </c>
      <c r="E1674" t="s">
        <v>4488</v>
      </c>
      <c r="F1674" t="s">
        <v>4489</v>
      </c>
      <c r="G1674" s="712">
        <v>0</v>
      </c>
      <c r="H1674" s="711">
        <v>390346.42</v>
      </c>
      <c r="I1674" s="715">
        <v>390346.42</v>
      </c>
      <c r="J1674">
        <v>0</v>
      </c>
      <c r="K1674">
        <v>0</v>
      </c>
      <c r="L1674">
        <v>0</v>
      </c>
      <c r="M1674">
        <v>0</v>
      </c>
      <c r="N1674">
        <v>0</v>
      </c>
      <c r="O1674" s="711">
        <v>390346.42</v>
      </c>
      <c r="P1674" s="711">
        <v>-390346.42</v>
      </c>
      <c r="Q1674" s="724" t="str">
        <f>VLOOKUP($E1674,SP_2024_v28062025!$E$2:$M$1751,9,FALSE)</f>
        <v>PDA380</v>
      </c>
    </row>
    <row r="1675" spans="1:17">
      <c r="A1675">
        <v>2</v>
      </c>
      <c r="B1675" t="s">
        <v>12096</v>
      </c>
      <c r="C1675" t="s">
        <v>12153</v>
      </c>
      <c r="D1675" t="s">
        <v>12158</v>
      </c>
      <c r="E1675" t="s">
        <v>4490</v>
      </c>
      <c r="F1675" t="s">
        <v>4491</v>
      </c>
      <c r="G1675" s="712">
        <v>0</v>
      </c>
      <c r="H1675">
        <v>0</v>
      </c>
      <c r="I1675" s="713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 s="724" t="str">
        <f>VLOOKUP($E1675,SP_2024_v28062025!$E$2:$M$1751,9,FALSE)</f>
        <v>PDA380</v>
      </c>
    </row>
    <row r="1676" spans="1:17">
      <c r="A1676">
        <v>2</v>
      </c>
      <c r="B1676" t="s">
        <v>12096</v>
      </c>
      <c r="C1676" t="s">
        <v>12153</v>
      </c>
      <c r="D1676" t="s">
        <v>12158</v>
      </c>
      <c r="E1676" t="s">
        <v>4492</v>
      </c>
      <c r="F1676" t="s">
        <v>4468</v>
      </c>
      <c r="G1676" s="712">
        <v>0</v>
      </c>
      <c r="H1676">
        <v>0</v>
      </c>
      <c r="I1676" s="713">
        <v>0</v>
      </c>
      <c r="J1676" s="711">
        <v>539824.79</v>
      </c>
      <c r="K1676" s="711">
        <v>539824.79</v>
      </c>
      <c r="L1676">
        <v>0</v>
      </c>
      <c r="M1676">
        <v>0</v>
      </c>
      <c r="N1676" s="711">
        <v>539824.79</v>
      </c>
      <c r="O1676" s="711">
        <v>539824.79</v>
      </c>
      <c r="P1676">
        <v>0</v>
      </c>
      <c r="Q1676" s="724" t="str">
        <f>VLOOKUP($E1676,SP_2024_v28062025!$E$2:$M$1751,9,FALSE)</f>
        <v>PDA380</v>
      </c>
    </row>
    <row r="1677" spans="1:17">
      <c r="A1677">
        <v>2</v>
      </c>
      <c r="B1677" t="s">
        <v>12096</v>
      </c>
      <c r="C1677" t="s">
        <v>12153</v>
      </c>
      <c r="D1677" t="s">
        <v>12158</v>
      </c>
      <c r="E1677" t="s">
        <v>4494</v>
      </c>
      <c r="F1677" t="s">
        <v>4495</v>
      </c>
      <c r="G1677" s="712">
        <v>0</v>
      </c>
      <c r="H1677">
        <v>0</v>
      </c>
      <c r="I1677" s="713">
        <v>0</v>
      </c>
      <c r="J1677" s="711">
        <v>238124.26</v>
      </c>
      <c r="K1677" s="711">
        <v>238124.26</v>
      </c>
      <c r="L1677">
        <v>0</v>
      </c>
      <c r="M1677">
        <v>0</v>
      </c>
      <c r="N1677" s="711">
        <v>238124.26</v>
      </c>
      <c r="O1677" s="711">
        <v>238124.26</v>
      </c>
      <c r="P1677">
        <v>0</v>
      </c>
      <c r="Q1677" s="724" t="str">
        <f>VLOOKUP($E1677,SP_2024_v28062025!$E$2:$M$1751,9,FALSE)</f>
        <v>PDA380</v>
      </c>
    </row>
    <row r="1678" spans="1:17">
      <c r="A1678">
        <v>2</v>
      </c>
      <c r="B1678" t="s">
        <v>12096</v>
      </c>
      <c r="C1678" t="s">
        <v>12153</v>
      </c>
      <c r="D1678" t="s">
        <v>12158</v>
      </c>
      <c r="E1678" t="s">
        <v>4496</v>
      </c>
      <c r="F1678" t="s">
        <v>4473</v>
      </c>
      <c r="G1678" s="712">
        <v>0</v>
      </c>
      <c r="H1678">
        <v>0</v>
      </c>
      <c r="I1678" s="713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 s="724" t="str">
        <f>VLOOKUP($E1678,SP_2024_v28062025!$E$2:$M$1751,9,FALSE)</f>
        <v>PDA380</v>
      </c>
    </row>
    <row r="1679" spans="1:17">
      <c r="A1679">
        <v>2</v>
      </c>
      <c r="B1679" t="s">
        <v>12096</v>
      </c>
      <c r="C1679" t="s">
        <v>12153</v>
      </c>
      <c r="D1679" t="s">
        <v>12158</v>
      </c>
      <c r="E1679" t="s">
        <v>4497</v>
      </c>
      <c r="F1679" t="s">
        <v>4475</v>
      </c>
      <c r="G1679" s="712">
        <v>0</v>
      </c>
      <c r="H1679">
        <v>0</v>
      </c>
      <c r="I1679" s="713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 s="724" t="str">
        <f>VLOOKUP($E1679,SP_2024_v28062025!$E$2:$M$1751,9,FALSE)</f>
        <v>PDA380</v>
      </c>
    </row>
    <row r="1680" spans="1:17">
      <c r="A1680">
        <v>2</v>
      </c>
      <c r="B1680" t="s">
        <v>12096</v>
      </c>
      <c r="C1680" t="s">
        <v>12153</v>
      </c>
      <c r="D1680" t="s">
        <v>12158</v>
      </c>
      <c r="E1680" t="s">
        <v>4498</v>
      </c>
      <c r="F1680" t="s">
        <v>4477</v>
      </c>
      <c r="G1680" s="712">
        <v>0</v>
      </c>
      <c r="H1680">
        <v>0</v>
      </c>
      <c r="I1680" s="713">
        <v>0</v>
      </c>
      <c r="J1680" s="711">
        <v>18592.439999999999</v>
      </c>
      <c r="K1680" s="711">
        <v>18592.439999999999</v>
      </c>
      <c r="L1680">
        <v>0</v>
      </c>
      <c r="M1680">
        <v>0</v>
      </c>
      <c r="N1680" s="711">
        <v>18592.439999999999</v>
      </c>
      <c r="O1680" s="711">
        <v>18592.439999999999</v>
      </c>
      <c r="P1680">
        <v>0</v>
      </c>
      <c r="Q1680" s="724" t="str">
        <f>VLOOKUP($E1680,SP_2024_v28062025!$E$2:$M$1751,9,FALSE)</f>
        <v>PDA380</v>
      </c>
    </row>
    <row r="1681" spans="1:17">
      <c r="A1681">
        <v>2</v>
      </c>
      <c r="B1681" t="s">
        <v>12096</v>
      </c>
      <c r="C1681" t="s">
        <v>12153</v>
      </c>
      <c r="D1681" t="s">
        <v>12158</v>
      </c>
      <c r="E1681" t="s">
        <v>4499</v>
      </c>
      <c r="F1681" t="s">
        <v>4479</v>
      </c>
      <c r="G1681" s="712">
        <v>0</v>
      </c>
      <c r="H1681">
        <v>0</v>
      </c>
      <c r="I1681" s="713">
        <v>0</v>
      </c>
      <c r="J1681" s="711">
        <v>21867.18</v>
      </c>
      <c r="K1681" s="711">
        <v>17421.560000000001</v>
      </c>
      <c r="L1681">
        <v>0</v>
      </c>
      <c r="M1681">
        <v>0</v>
      </c>
      <c r="N1681" s="711">
        <v>21867.18</v>
      </c>
      <c r="O1681" s="711">
        <v>17421.560000000001</v>
      </c>
      <c r="P1681" s="711">
        <v>4445.62</v>
      </c>
      <c r="Q1681" s="724" t="str">
        <f>VLOOKUP($E1681,SP_2024_v28062025!$E$2:$M$1751,9,FALSE)</f>
        <v>PDA380</v>
      </c>
    </row>
    <row r="1682" spans="1:17">
      <c r="A1682">
        <v>2</v>
      </c>
      <c r="B1682" t="s">
        <v>12096</v>
      </c>
      <c r="C1682" t="s">
        <v>12153</v>
      </c>
      <c r="D1682" t="s">
        <v>12158</v>
      </c>
      <c r="E1682" t="s">
        <v>12164</v>
      </c>
      <c r="F1682" t="s">
        <v>12165</v>
      </c>
      <c r="G1682" s="712">
        <v>0</v>
      </c>
      <c r="H1682">
        <v>0</v>
      </c>
      <c r="I1682" s="713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</row>
    <row r="1683" spans="1:17">
      <c r="A1683">
        <v>2</v>
      </c>
      <c r="B1683" t="s">
        <v>12096</v>
      </c>
      <c r="C1683" t="s">
        <v>12153</v>
      </c>
      <c r="D1683" t="s">
        <v>12158</v>
      </c>
      <c r="E1683" t="s">
        <v>12166</v>
      </c>
      <c r="F1683" t="s">
        <v>12167</v>
      </c>
      <c r="G1683" s="712">
        <v>0</v>
      </c>
      <c r="H1683">
        <v>0</v>
      </c>
      <c r="I1683" s="71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</row>
    <row r="1684" spans="1:17">
      <c r="A1684">
        <v>2</v>
      </c>
      <c r="B1684" t="s">
        <v>12096</v>
      </c>
      <c r="C1684" t="s">
        <v>12153</v>
      </c>
      <c r="D1684" t="s">
        <v>12158</v>
      </c>
      <c r="E1684" t="s">
        <v>12168</v>
      </c>
      <c r="F1684" t="s">
        <v>12169</v>
      </c>
      <c r="G1684" s="712">
        <v>0</v>
      </c>
      <c r="H1684">
        <v>0</v>
      </c>
      <c r="I1684" s="713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</row>
    <row r="1685" spans="1:17">
      <c r="A1685">
        <v>2</v>
      </c>
      <c r="B1685" t="s">
        <v>12096</v>
      </c>
      <c r="C1685" t="s">
        <v>12153</v>
      </c>
      <c r="D1685" t="s">
        <v>12158</v>
      </c>
      <c r="E1685" t="s">
        <v>12170</v>
      </c>
      <c r="F1685" t="s">
        <v>12171</v>
      </c>
      <c r="G1685" s="712">
        <v>0</v>
      </c>
      <c r="H1685">
        <v>0</v>
      </c>
      <c r="I1685" s="713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</row>
    <row r="1686" spans="1:17">
      <c r="A1686">
        <v>2</v>
      </c>
      <c r="B1686" t="s">
        <v>12096</v>
      </c>
      <c r="C1686" t="s">
        <v>12153</v>
      </c>
      <c r="D1686" t="s">
        <v>12158</v>
      </c>
      <c r="E1686" t="s">
        <v>4500</v>
      </c>
      <c r="F1686" t="s">
        <v>4491</v>
      </c>
      <c r="G1686" s="714">
        <v>14549.71</v>
      </c>
      <c r="H1686" s="711">
        <v>16465.09</v>
      </c>
      <c r="I1686" s="715">
        <v>1915.38</v>
      </c>
      <c r="J1686" s="711">
        <v>30238.34</v>
      </c>
      <c r="K1686" s="711">
        <v>33098.089999999997</v>
      </c>
      <c r="L1686">
        <v>0</v>
      </c>
      <c r="M1686">
        <v>0</v>
      </c>
      <c r="N1686" s="711">
        <v>44788.05</v>
      </c>
      <c r="O1686" s="711">
        <v>49563.18</v>
      </c>
      <c r="P1686" s="711">
        <v>-4775.13</v>
      </c>
      <c r="Q1686" s="724" t="str">
        <f>VLOOKUP($E1686,SP_2024_v28062025!$E$2:$M$1751,9,FALSE)</f>
        <v>PDA380</v>
      </c>
    </row>
    <row r="1687" spans="1:17">
      <c r="A1687">
        <v>2</v>
      </c>
      <c r="B1687" t="s">
        <v>12096</v>
      </c>
      <c r="C1687" t="s">
        <v>12153</v>
      </c>
      <c r="D1687" t="s">
        <v>12158</v>
      </c>
      <c r="E1687" t="s">
        <v>4501</v>
      </c>
      <c r="F1687" t="s">
        <v>4502</v>
      </c>
      <c r="G1687" s="712">
        <v>0</v>
      </c>
      <c r="H1687" s="711">
        <v>22726.15</v>
      </c>
      <c r="I1687" s="715">
        <v>22726.15</v>
      </c>
      <c r="J1687" s="711">
        <v>4097.17</v>
      </c>
      <c r="K1687" s="711">
        <v>46713.88</v>
      </c>
      <c r="L1687">
        <v>0</v>
      </c>
      <c r="M1687">
        <v>0</v>
      </c>
      <c r="N1687" s="711">
        <v>4097.17</v>
      </c>
      <c r="O1687" s="711">
        <v>69440.03</v>
      </c>
      <c r="P1687" s="711">
        <v>-65342.86</v>
      </c>
      <c r="Q1687" s="724" t="str">
        <f>VLOOKUP($E1687,SP_2024_v28062025!$E$2:$M$1751,9,FALSE)</f>
        <v>PDA380</v>
      </c>
    </row>
    <row r="1688" spans="1:17">
      <c r="A1688">
        <v>2</v>
      </c>
      <c r="B1688" t="s">
        <v>12096</v>
      </c>
      <c r="C1688" t="s">
        <v>12153</v>
      </c>
      <c r="D1688" t="s">
        <v>12158</v>
      </c>
      <c r="E1688" t="s">
        <v>4503</v>
      </c>
      <c r="F1688" t="s">
        <v>4504</v>
      </c>
      <c r="G1688" s="712">
        <v>0</v>
      </c>
      <c r="H1688">
        <v>0</v>
      </c>
      <c r="I1688" s="713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 s="724" t="str">
        <f>VLOOKUP($E1688,SP_2024_v28062025!$E$2:$M$1751,9,FALSE)</f>
        <v>PDA380</v>
      </c>
    </row>
    <row r="1689" spans="1:17">
      <c r="A1689">
        <v>2</v>
      </c>
      <c r="B1689" t="s">
        <v>12096</v>
      </c>
      <c r="C1689" t="s">
        <v>12153</v>
      </c>
      <c r="D1689" t="s">
        <v>12158</v>
      </c>
      <c r="E1689" t="s">
        <v>4505</v>
      </c>
      <c r="F1689" t="s">
        <v>4506</v>
      </c>
      <c r="G1689" s="712">
        <v>0</v>
      </c>
      <c r="H1689">
        <v>0</v>
      </c>
      <c r="I1689" s="713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 s="724" t="str">
        <f>VLOOKUP($E1689,SP_2024_v28062025!$E$2:$M$1751,9,FALSE)</f>
        <v>PDA380</v>
      </c>
    </row>
    <row r="1690" spans="1:17">
      <c r="A1690">
        <v>2</v>
      </c>
      <c r="B1690" t="s">
        <v>12096</v>
      </c>
      <c r="C1690" t="s">
        <v>12153</v>
      </c>
      <c r="D1690" t="s">
        <v>12158</v>
      </c>
      <c r="E1690" t="s">
        <v>4507</v>
      </c>
      <c r="F1690" t="s">
        <v>4508</v>
      </c>
      <c r="G1690" s="712">
        <v>285.60000000000002</v>
      </c>
      <c r="H1690">
        <v>285.60000000000002</v>
      </c>
      <c r="I1690" s="713">
        <v>0</v>
      </c>
      <c r="J1690" s="711">
        <v>202819.28</v>
      </c>
      <c r="K1690" s="711">
        <v>439342.99</v>
      </c>
      <c r="L1690">
        <v>0</v>
      </c>
      <c r="M1690">
        <v>0</v>
      </c>
      <c r="N1690" s="711">
        <v>203104.88</v>
      </c>
      <c r="O1690" s="711">
        <v>439628.59</v>
      </c>
      <c r="P1690" s="711">
        <v>-236523.71</v>
      </c>
      <c r="Q1690" s="724" t="str">
        <f>VLOOKUP($E1690,SP_2024_v28062025!$E$2:$M$1751,9,FALSE)</f>
        <v>PDA380</v>
      </c>
    </row>
    <row r="1691" spans="1:17">
      <c r="A1691">
        <v>2</v>
      </c>
      <c r="B1691" t="s">
        <v>12096</v>
      </c>
      <c r="C1691" t="s">
        <v>12153</v>
      </c>
      <c r="D1691" t="s">
        <v>12158</v>
      </c>
      <c r="E1691" t="s">
        <v>4510</v>
      </c>
      <c r="F1691" t="s">
        <v>4511</v>
      </c>
      <c r="G1691" s="712">
        <v>0</v>
      </c>
      <c r="H1691">
        <v>0</v>
      </c>
      <c r="I1691" s="713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 s="724" t="str">
        <f>VLOOKUP($E1691,SP_2024_v28062025!$E$2:$M$1751,9,FALSE)</f>
        <v>PDA380</v>
      </c>
    </row>
    <row r="1692" spans="1:17">
      <c r="A1692">
        <v>2</v>
      </c>
      <c r="B1692" t="s">
        <v>12096</v>
      </c>
      <c r="C1692" t="s">
        <v>12153</v>
      </c>
      <c r="D1692" t="s">
        <v>12158</v>
      </c>
      <c r="E1692" t="s">
        <v>4512</v>
      </c>
      <c r="F1692" t="s">
        <v>4513</v>
      </c>
      <c r="G1692" s="712">
        <v>0</v>
      </c>
      <c r="H1692">
        <v>0</v>
      </c>
      <c r="I1692" s="713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 s="724" t="str">
        <f>VLOOKUP($E1692,SP_2024_v28062025!$E$2:$M$1751,9,FALSE)</f>
        <v>PDA380</v>
      </c>
    </row>
    <row r="1693" spans="1:17">
      <c r="A1693">
        <v>2</v>
      </c>
      <c r="B1693" t="s">
        <v>12096</v>
      </c>
      <c r="C1693" t="s">
        <v>12153</v>
      </c>
      <c r="D1693" t="s">
        <v>12158</v>
      </c>
      <c r="E1693" t="s">
        <v>4514</v>
      </c>
      <c r="F1693" t="s">
        <v>4515</v>
      </c>
      <c r="G1693" s="714">
        <v>138088.21</v>
      </c>
      <c r="H1693" s="711">
        <v>140119.16</v>
      </c>
      <c r="I1693" s="715">
        <v>2030.95</v>
      </c>
      <c r="J1693" s="711">
        <v>6966912.25</v>
      </c>
      <c r="K1693" s="711">
        <v>6968387.3700000001</v>
      </c>
      <c r="L1693">
        <v>0</v>
      </c>
      <c r="M1693">
        <v>0</v>
      </c>
      <c r="N1693" s="711">
        <v>7105000.46</v>
      </c>
      <c r="O1693" s="711">
        <v>7108506.5300000003</v>
      </c>
      <c r="P1693" s="711">
        <v>-3506.07</v>
      </c>
      <c r="Q1693" s="724" t="str">
        <f>VLOOKUP($E1693,SP_2024_v28062025!$E$2:$M$1751,9,FALSE)</f>
        <v>PDA380</v>
      </c>
    </row>
    <row r="1694" spans="1:17">
      <c r="A1694">
        <v>2</v>
      </c>
      <c r="B1694" t="s">
        <v>12096</v>
      </c>
      <c r="C1694" t="s">
        <v>12153</v>
      </c>
      <c r="D1694" t="s">
        <v>12158</v>
      </c>
      <c r="E1694" t="s">
        <v>4516</v>
      </c>
      <c r="F1694" t="s">
        <v>4456</v>
      </c>
      <c r="G1694" s="712">
        <v>0</v>
      </c>
      <c r="H1694" s="711">
        <v>22376.78</v>
      </c>
      <c r="I1694" s="715">
        <v>22376.78</v>
      </c>
      <c r="J1694" s="711">
        <v>239131.01</v>
      </c>
      <c r="K1694" s="711">
        <v>248524.92</v>
      </c>
      <c r="L1694">
        <v>0</v>
      </c>
      <c r="M1694">
        <v>0</v>
      </c>
      <c r="N1694" s="711">
        <v>239131.01</v>
      </c>
      <c r="O1694" s="711">
        <v>270901.7</v>
      </c>
      <c r="P1694" s="711">
        <v>-31770.69</v>
      </c>
      <c r="Q1694" s="724" t="str">
        <f>VLOOKUP($E1694,SP_2024_v28062025!$E$2:$M$1751,9,FALSE)</f>
        <v>PDA380</v>
      </c>
    </row>
    <row r="1695" spans="1:17">
      <c r="A1695">
        <v>2</v>
      </c>
      <c r="B1695" t="s">
        <v>12096</v>
      </c>
      <c r="C1695" t="s">
        <v>12153</v>
      </c>
      <c r="D1695" t="s">
        <v>12158</v>
      </c>
      <c r="E1695" t="s">
        <v>4517</v>
      </c>
      <c r="F1695" t="s">
        <v>4518</v>
      </c>
      <c r="G1695" s="714">
        <v>159100</v>
      </c>
      <c r="H1695" s="711">
        <v>159100</v>
      </c>
      <c r="I1695" s="713">
        <v>0</v>
      </c>
      <c r="J1695" s="711">
        <v>187374.21</v>
      </c>
      <c r="K1695" s="711">
        <v>348363.21</v>
      </c>
      <c r="L1695">
        <v>0</v>
      </c>
      <c r="M1695">
        <v>0</v>
      </c>
      <c r="N1695" s="711">
        <v>346474.21</v>
      </c>
      <c r="O1695" s="711">
        <v>507463.21</v>
      </c>
      <c r="P1695" s="711">
        <v>-160989</v>
      </c>
      <c r="Q1695" s="724" t="str">
        <f>VLOOKUP($E1695,SP_2024_v28062025!$E$2:$M$1751,9,FALSE)</f>
        <v>PDA380</v>
      </c>
    </row>
    <row r="1696" spans="1:17">
      <c r="A1696">
        <v>2</v>
      </c>
      <c r="B1696" t="s">
        <v>12096</v>
      </c>
      <c r="C1696" t="s">
        <v>12153</v>
      </c>
      <c r="D1696" t="s">
        <v>12158</v>
      </c>
      <c r="E1696" t="s">
        <v>4519</v>
      </c>
      <c r="F1696" t="s">
        <v>4520</v>
      </c>
      <c r="G1696" s="712">
        <v>0</v>
      </c>
      <c r="H1696">
        <v>0</v>
      </c>
      <c r="I1696" s="713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 s="724" t="str">
        <f>VLOOKUP($E1696,SP_2024_v28062025!$E$2:$M$1751,9,FALSE)</f>
        <v>PDA380</v>
      </c>
    </row>
    <row r="1697" spans="1:17">
      <c r="A1697">
        <v>2</v>
      </c>
      <c r="B1697" t="s">
        <v>12096</v>
      </c>
      <c r="C1697" t="s">
        <v>12153</v>
      </c>
      <c r="D1697" t="s">
        <v>12158</v>
      </c>
      <c r="E1697" t="s">
        <v>4521</v>
      </c>
      <c r="F1697" t="s">
        <v>4522</v>
      </c>
      <c r="G1697" s="712">
        <v>0</v>
      </c>
      <c r="H1697" s="711">
        <v>262784.67</v>
      </c>
      <c r="I1697" s="715">
        <v>262784.67</v>
      </c>
      <c r="J1697">
        <v>0</v>
      </c>
      <c r="K1697">
        <v>0</v>
      </c>
      <c r="L1697">
        <v>0</v>
      </c>
      <c r="M1697">
        <v>0</v>
      </c>
      <c r="N1697">
        <v>0</v>
      </c>
      <c r="O1697" s="711">
        <v>262784.67</v>
      </c>
      <c r="P1697" s="711">
        <v>-262784.67</v>
      </c>
      <c r="Q1697" s="724" t="str">
        <f>VLOOKUP($E1697,SP_2024_v28062025!$E$2:$M$1751,9,FALSE)</f>
        <v>PDA380</v>
      </c>
    </row>
    <row r="1698" spans="1:17">
      <c r="A1698">
        <v>2</v>
      </c>
      <c r="B1698" t="s">
        <v>12096</v>
      </c>
      <c r="C1698" t="s">
        <v>12153</v>
      </c>
      <c r="D1698" t="s">
        <v>12158</v>
      </c>
      <c r="E1698" t="s">
        <v>4523</v>
      </c>
      <c r="F1698" t="s">
        <v>4524</v>
      </c>
      <c r="G1698" s="712">
        <v>0</v>
      </c>
      <c r="H1698">
        <v>0</v>
      </c>
      <c r="I1698" s="713">
        <v>0</v>
      </c>
      <c r="J1698" s="711">
        <v>14000</v>
      </c>
      <c r="K1698" s="711">
        <v>14000</v>
      </c>
      <c r="L1698">
        <v>0</v>
      </c>
      <c r="M1698">
        <v>0</v>
      </c>
      <c r="N1698" s="711">
        <v>14000</v>
      </c>
      <c r="O1698" s="711">
        <v>14000</v>
      </c>
      <c r="P1698">
        <v>0</v>
      </c>
      <c r="Q1698" s="724" t="str">
        <f>VLOOKUP($E1698,SP_2024_v28062025!$E$2:$M$1751,9,FALSE)</f>
        <v>PDA380</v>
      </c>
    </row>
    <row r="1699" spans="1:17" ht="15.75" thickBot="1">
      <c r="A1699">
        <v>2</v>
      </c>
      <c r="B1699" t="s">
        <v>12096</v>
      </c>
      <c r="C1699" t="s">
        <v>12153</v>
      </c>
      <c r="D1699" t="s">
        <v>12158</v>
      </c>
      <c r="E1699" t="s">
        <v>4525</v>
      </c>
      <c r="F1699" t="s">
        <v>4526</v>
      </c>
      <c r="G1699" s="712">
        <v>0</v>
      </c>
      <c r="H1699">
        <v>0</v>
      </c>
      <c r="I1699" s="713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 s="724" t="str">
        <f>VLOOKUP($E1699,SP_2024_v28062025!$E$2:$M$1751,9,FALSE)</f>
        <v>PDA380</v>
      </c>
    </row>
    <row r="1700" spans="1:17" ht="15.75" thickBot="1">
      <c r="A1700" s="727">
        <v>2</v>
      </c>
      <c r="B1700" s="727" t="s">
        <v>12172</v>
      </c>
      <c r="C1700" s="727"/>
      <c r="D1700" s="727"/>
      <c r="E1700" s="727"/>
      <c r="F1700" s="745" t="s">
        <v>4527</v>
      </c>
      <c r="G1700" s="738">
        <v>0</v>
      </c>
      <c r="H1700" s="739">
        <v>2527933.66</v>
      </c>
      <c r="I1700" s="739">
        <v>2527933.66</v>
      </c>
      <c r="J1700" s="739">
        <v>607000</v>
      </c>
      <c r="K1700" s="738">
        <v>0</v>
      </c>
      <c r="L1700" s="738">
        <v>0</v>
      </c>
      <c r="M1700" s="738">
        <v>0</v>
      </c>
      <c r="N1700" s="739">
        <v>607000</v>
      </c>
      <c r="O1700" s="739">
        <v>2527933.66</v>
      </c>
      <c r="P1700" s="739">
        <v>-1920933.66</v>
      </c>
    </row>
    <row r="1701" spans="1:17" ht="15.75" thickBot="1">
      <c r="A1701" s="727">
        <v>2</v>
      </c>
      <c r="B1701" s="727" t="s">
        <v>12172</v>
      </c>
      <c r="C1701" s="727" t="s">
        <v>12173</v>
      </c>
      <c r="D1701" s="727"/>
      <c r="E1701" s="727"/>
      <c r="F1701" s="745" t="s">
        <v>19</v>
      </c>
      <c r="G1701" s="738">
        <v>0</v>
      </c>
      <c r="H1701" s="738">
        <v>0</v>
      </c>
      <c r="I1701" s="738">
        <v>0</v>
      </c>
      <c r="J1701" s="738">
        <v>0</v>
      </c>
      <c r="K1701" s="738">
        <v>0</v>
      </c>
      <c r="L1701" s="738">
        <v>0</v>
      </c>
      <c r="M1701" s="738">
        <v>0</v>
      </c>
      <c r="N1701" s="738">
        <v>0</v>
      </c>
      <c r="O1701" s="738">
        <v>0</v>
      </c>
      <c r="P1701" s="738">
        <v>0</v>
      </c>
    </row>
    <row r="1702" spans="1:17" ht="15.75" thickBot="1">
      <c r="A1702" s="727">
        <v>2</v>
      </c>
      <c r="B1702" s="727" t="s">
        <v>12172</v>
      </c>
      <c r="C1702" s="727" t="s">
        <v>12173</v>
      </c>
      <c r="D1702" s="727" t="s">
        <v>12174</v>
      </c>
      <c r="E1702" s="727"/>
      <c r="F1702" s="729" t="s">
        <v>19</v>
      </c>
      <c r="G1702" s="738">
        <v>0</v>
      </c>
      <c r="H1702" s="738">
        <v>0</v>
      </c>
      <c r="I1702" s="738">
        <v>0</v>
      </c>
      <c r="J1702" s="738">
        <v>0</v>
      </c>
      <c r="K1702" s="738">
        <v>0</v>
      </c>
      <c r="L1702" s="738">
        <v>0</v>
      </c>
      <c r="M1702" s="738">
        <v>0</v>
      </c>
      <c r="N1702" s="738">
        <v>0</v>
      </c>
      <c r="O1702" s="738">
        <v>0</v>
      </c>
      <c r="P1702" s="738">
        <v>0</v>
      </c>
    </row>
    <row r="1703" spans="1:17">
      <c r="A1703">
        <v>2</v>
      </c>
      <c r="B1703" t="s">
        <v>12172</v>
      </c>
      <c r="C1703" t="s">
        <v>12173</v>
      </c>
      <c r="D1703" t="s">
        <v>12174</v>
      </c>
      <c r="E1703" t="s">
        <v>4533</v>
      </c>
      <c r="F1703" t="s">
        <v>4534</v>
      </c>
      <c r="G1703" s="712">
        <v>0</v>
      </c>
      <c r="H1703">
        <v>0</v>
      </c>
      <c r="I1703" s="71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 s="724" t="str">
        <f>VLOOKUP($E1703,SP_2024_v28062025!$E$2:$M$1751,9,FALSE)</f>
        <v>PEA010</v>
      </c>
    </row>
    <row r="1704" spans="1:17">
      <c r="A1704">
        <v>2</v>
      </c>
      <c r="B1704" t="s">
        <v>12172</v>
      </c>
      <c r="C1704" t="s">
        <v>12173</v>
      </c>
      <c r="D1704" t="s">
        <v>12174</v>
      </c>
      <c r="E1704" t="s">
        <v>4535</v>
      </c>
      <c r="F1704" t="s">
        <v>4536</v>
      </c>
      <c r="G1704" s="712">
        <v>0</v>
      </c>
      <c r="H1704">
        <v>0</v>
      </c>
      <c r="I1704" s="713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 s="724" t="str">
        <f>VLOOKUP($E1704,SP_2024_v28062025!$E$2:$M$1751,9,FALSE)</f>
        <v>PEA010</v>
      </c>
    </row>
    <row r="1705" spans="1:17">
      <c r="A1705">
        <v>2</v>
      </c>
      <c r="B1705" t="s">
        <v>12172</v>
      </c>
      <c r="C1705" t="s">
        <v>12173</v>
      </c>
      <c r="D1705" t="s">
        <v>12174</v>
      </c>
      <c r="E1705" t="s">
        <v>4537</v>
      </c>
      <c r="F1705" t="s">
        <v>4538</v>
      </c>
      <c r="G1705" s="712">
        <v>0</v>
      </c>
      <c r="H1705">
        <v>0</v>
      </c>
      <c r="I1705" s="713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 s="724" t="str">
        <f>VLOOKUP($E1705,SP_2024_v28062025!$E$2:$M$1751,9,FALSE)</f>
        <v>PEA010</v>
      </c>
    </row>
    <row r="1706" spans="1:17" ht="15.75" thickBot="1">
      <c r="A1706">
        <v>2</v>
      </c>
      <c r="B1706" t="s">
        <v>12172</v>
      </c>
      <c r="C1706" t="s">
        <v>12173</v>
      </c>
      <c r="D1706" t="s">
        <v>12174</v>
      </c>
      <c r="E1706" t="s">
        <v>12175</v>
      </c>
      <c r="F1706" t="s">
        <v>12176</v>
      </c>
      <c r="G1706" s="712">
        <v>0</v>
      </c>
      <c r="H1706">
        <v>0</v>
      </c>
      <c r="I1706" s="713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</row>
    <row r="1707" spans="1:17" ht="15.75" thickBot="1">
      <c r="A1707" s="727">
        <v>2</v>
      </c>
      <c r="B1707" s="727" t="s">
        <v>12172</v>
      </c>
      <c r="C1707" s="727" t="s">
        <v>12173</v>
      </c>
      <c r="D1707" s="727" t="s">
        <v>12177</v>
      </c>
      <c r="E1707" s="727"/>
      <c r="F1707" s="729" t="s">
        <v>12176</v>
      </c>
      <c r="G1707" s="738">
        <v>0</v>
      </c>
      <c r="H1707" s="738">
        <v>0</v>
      </c>
      <c r="I1707" s="738">
        <v>0</v>
      </c>
      <c r="J1707" s="738">
        <v>0</v>
      </c>
      <c r="K1707" s="738">
        <v>0</v>
      </c>
      <c r="L1707" s="738">
        <v>0</v>
      </c>
      <c r="M1707" s="738">
        <v>0</v>
      </c>
      <c r="N1707" s="738">
        <v>0</v>
      </c>
      <c r="O1707" s="738">
        <v>0</v>
      </c>
      <c r="P1707" s="738">
        <v>0</v>
      </c>
    </row>
    <row r="1708" spans="1:17" ht="15.75" thickBot="1">
      <c r="A1708">
        <v>2</v>
      </c>
      <c r="B1708" t="s">
        <v>12172</v>
      </c>
      <c r="C1708" t="s">
        <v>12173</v>
      </c>
      <c r="D1708" t="s">
        <v>12177</v>
      </c>
      <c r="E1708" t="s">
        <v>4542</v>
      </c>
      <c r="F1708" t="s">
        <v>4539</v>
      </c>
      <c r="G1708" s="712">
        <v>0</v>
      </c>
      <c r="H1708">
        <v>0</v>
      </c>
      <c r="I1708" s="713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 s="724" t="str">
        <f>VLOOKUP($E1708,SP_2024_v28062025!$E$2:$M$1751,9,FALSE)</f>
        <v>PEA020</v>
      </c>
    </row>
    <row r="1709" spans="1:17" ht="15.75" thickBot="1">
      <c r="A1709" s="727">
        <v>2</v>
      </c>
      <c r="B1709" s="727" t="s">
        <v>12172</v>
      </c>
      <c r="C1709" s="727" t="s">
        <v>12178</v>
      </c>
      <c r="D1709" s="727"/>
      <c r="E1709" s="727"/>
      <c r="F1709" s="745" t="s">
        <v>20</v>
      </c>
      <c r="G1709" s="738">
        <v>0</v>
      </c>
      <c r="H1709" s="739">
        <v>2527933.66</v>
      </c>
      <c r="I1709" s="739">
        <v>2527933.66</v>
      </c>
      <c r="J1709" s="739">
        <v>607000</v>
      </c>
      <c r="K1709" s="738">
        <v>0</v>
      </c>
      <c r="L1709" s="738">
        <v>0</v>
      </c>
      <c r="M1709" s="738">
        <v>0</v>
      </c>
      <c r="N1709" s="739">
        <v>607000</v>
      </c>
      <c r="O1709" s="739">
        <v>2527933.66</v>
      </c>
      <c r="P1709" s="739">
        <v>-1920933.66</v>
      </c>
    </row>
    <row r="1710" spans="1:17" ht="15.75" thickBot="1">
      <c r="A1710" s="727">
        <v>2</v>
      </c>
      <c r="B1710" s="727" t="s">
        <v>12172</v>
      </c>
      <c r="C1710" s="727" t="s">
        <v>12178</v>
      </c>
      <c r="D1710" s="727" t="s">
        <v>12179</v>
      </c>
      <c r="E1710" s="727"/>
      <c r="F1710" s="729" t="s">
        <v>20</v>
      </c>
      <c r="G1710" s="738">
        <v>0</v>
      </c>
      <c r="H1710" s="739">
        <v>2527933.66</v>
      </c>
      <c r="I1710" s="739">
        <v>2527933.66</v>
      </c>
      <c r="J1710" s="739">
        <v>607000</v>
      </c>
      <c r="K1710" s="738">
        <v>0</v>
      </c>
      <c r="L1710" s="738">
        <v>0</v>
      </c>
      <c r="M1710" s="738">
        <v>0</v>
      </c>
      <c r="N1710" s="739">
        <v>607000</v>
      </c>
      <c r="O1710" s="739">
        <v>2527933.66</v>
      </c>
      <c r="P1710" s="739">
        <v>-1920933.66</v>
      </c>
    </row>
    <row r="1711" spans="1:17">
      <c r="A1711">
        <v>2</v>
      </c>
      <c r="B1711" t="s">
        <v>12172</v>
      </c>
      <c r="C1711" t="s">
        <v>12178</v>
      </c>
      <c r="D1711" t="s">
        <v>12179</v>
      </c>
      <c r="E1711" t="s">
        <v>4548</v>
      </c>
      <c r="F1711" t="s">
        <v>4549</v>
      </c>
      <c r="G1711" s="712">
        <v>0</v>
      </c>
      <c r="H1711">
        <v>0</v>
      </c>
      <c r="I1711" s="713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 s="724" t="str">
        <f>VLOOKUP($E1711,SP_2024_v28062025!$E$2:$M$1751,9,FALSE)</f>
        <v>PEA040</v>
      </c>
    </row>
    <row r="1712" spans="1:17">
      <c r="A1712">
        <v>2</v>
      </c>
      <c r="B1712" t="s">
        <v>12172</v>
      </c>
      <c r="C1712" t="s">
        <v>12178</v>
      </c>
      <c r="D1712" t="s">
        <v>12179</v>
      </c>
      <c r="E1712" t="s">
        <v>4550</v>
      </c>
      <c r="F1712" t="s">
        <v>4551</v>
      </c>
      <c r="G1712" s="712">
        <v>0</v>
      </c>
      <c r="H1712">
        <v>0</v>
      </c>
      <c r="I1712" s="713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 s="724" t="str">
        <f>VLOOKUP($E1712,SP_2024_v28062025!$E$2:$M$1751,9,FALSE)</f>
        <v>PEA040</v>
      </c>
    </row>
    <row r="1713" spans="1:17">
      <c r="A1713">
        <v>2</v>
      </c>
      <c r="B1713" t="s">
        <v>12172</v>
      </c>
      <c r="C1713" t="s">
        <v>12178</v>
      </c>
      <c r="D1713" t="s">
        <v>12179</v>
      </c>
      <c r="E1713" t="s">
        <v>4552</v>
      </c>
      <c r="F1713" t="s">
        <v>4553</v>
      </c>
      <c r="G1713" s="712">
        <v>0</v>
      </c>
      <c r="H1713">
        <v>0</v>
      </c>
      <c r="I1713" s="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 s="724" t="str">
        <f>VLOOKUP($E1713,SP_2024_v28062025!$E$2:$M$1751,9,FALSE)</f>
        <v>PEA040</v>
      </c>
    </row>
    <row r="1714" spans="1:17">
      <c r="A1714">
        <v>2</v>
      </c>
      <c r="B1714" t="s">
        <v>12172</v>
      </c>
      <c r="C1714" t="s">
        <v>12178</v>
      </c>
      <c r="D1714" t="s">
        <v>12179</v>
      </c>
      <c r="E1714" t="s">
        <v>4554</v>
      </c>
      <c r="F1714" t="s">
        <v>4555</v>
      </c>
      <c r="G1714" s="712">
        <v>0</v>
      </c>
      <c r="H1714">
        <v>0</v>
      </c>
      <c r="I1714" s="713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 s="724" t="str">
        <f>VLOOKUP($E1714,SP_2024_v28062025!$E$2:$M$1751,9,FALSE)</f>
        <v>PEA040</v>
      </c>
    </row>
    <row r="1715" spans="1:17">
      <c r="A1715">
        <v>2</v>
      </c>
      <c r="B1715" t="s">
        <v>12172</v>
      </c>
      <c r="C1715" t="s">
        <v>12178</v>
      </c>
      <c r="D1715" t="s">
        <v>12179</v>
      </c>
      <c r="E1715" t="s">
        <v>4556</v>
      </c>
      <c r="F1715" t="s">
        <v>4557</v>
      </c>
      <c r="G1715" s="712">
        <v>0</v>
      </c>
      <c r="H1715">
        <v>0</v>
      </c>
      <c r="I1715" s="713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 s="724" t="str">
        <f>VLOOKUP($E1715,SP_2024_v28062025!$E$2:$M$1751,9,FALSE)</f>
        <v>PEA040</v>
      </c>
    </row>
    <row r="1716" spans="1:17">
      <c r="A1716">
        <v>2</v>
      </c>
      <c r="B1716" t="s">
        <v>12172</v>
      </c>
      <c r="C1716" t="s">
        <v>12178</v>
      </c>
      <c r="D1716" t="s">
        <v>12179</v>
      </c>
      <c r="E1716" t="s">
        <v>4558</v>
      </c>
      <c r="F1716" t="s">
        <v>4559</v>
      </c>
      <c r="G1716" s="712">
        <v>0</v>
      </c>
      <c r="H1716">
        <v>0</v>
      </c>
      <c r="I1716" s="713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 s="724" t="str">
        <f>VLOOKUP($E1716,SP_2024_v28062025!$E$2:$M$1751,9,FALSE)</f>
        <v>PEA040</v>
      </c>
    </row>
    <row r="1717" spans="1:17">
      <c r="A1717">
        <v>2</v>
      </c>
      <c r="B1717" t="s">
        <v>12172</v>
      </c>
      <c r="C1717" t="s">
        <v>12178</v>
      </c>
      <c r="D1717" t="s">
        <v>12179</v>
      </c>
      <c r="E1717" t="s">
        <v>4560</v>
      </c>
      <c r="F1717" t="s">
        <v>4561</v>
      </c>
      <c r="G1717" s="712">
        <v>0</v>
      </c>
      <c r="H1717">
        <v>0</v>
      </c>
      <c r="I1717" s="713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 s="724" t="str">
        <f>VLOOKUP($E1717,SP_2024_v28062025!$E$2:$M$1751,9,FALSE)</f>
        <v>PEA040</v>
      </c>
    </row>
    <row r="1718" spans="1:17">
      <c r="A1718">
        <v>2</v>
      </c>
      <c r="B1718" t="s">
        <v>12172</v>
      </c>
      <c r="C1718" t="s">
        <v>12178</v>
      </c>
      <c r="D1718" t="s">
        <v>12179</v>
      </c>
      <c r="E1718" t="s">
        <v>4562</v>
      </c>
      <c r="F1718" t="s">
        <v>4563</v>
      </c>
      <c r="G1718" s="712">
        <v>0</v>
      </c>
      <c r="H1718">
        <v>0</v>
      </c>
      <c r="I1718" s="713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 s="724" t="str">
        <f>VLOOKUP($E1718,SP_2024_v28062025!$E$2:$M$1751,9,FALSE)</f>
        <v>PEA040</v>
      </c>
    </row>
    <row r="1719" spans="1:17">
      <c r="A1719">
        <v>2</v>
      </c>
      <c r="B1719" t="s">
        <v>12172</v>
      </c>
      <c r="C1719" t="s">
        <v>12178</v>
      </c>
      <c r="D1719" t="s">
        <v>12179</v>
      </c>
      <c r="E1719" t="s">
        <v>4564</v>
      </c>
      <c r="F1719" t="s">
        <v>4565</v>
      </c>
      <c r="G1719" s="712">
        <v>0</v>
      </c>
      <c r="H1719">
        <v>0</v>
      </c>
      <c r="I1719" s="713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 s="724" t="str">
        <f>VLOOKUP($E1719,SP_2024_v28062025!$E$2:$M$1751,9,FALSE)</f>
        <v>PEA040</v>
      </c>
    </row>
    <row r="1720" spans="1:17">
      <c r="A1720">
        <v>2</v>
      </c>
      <c r="B1720" t="s">
        <v>12172</v>
      </c>
      <c r="C1720" t="s">
        <v>12178</v>
      </c>
      <c r="D1720" t="s">
        <v>12179</v>
      </c>
      <c r="E1720" t="s">
        <v>4566</v>
      </c>
      <c r="F1720" t="s">
        <v>4567</v>
      </c>
      <c r="G1720" s="712">
        <v>0</v>
      </c>
      <c r="H1720">
        <v>0</v>
      </c>
      <c r="I1720" s="713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 s="724" t="str">
        <f>VLOOKUP($E1720,SP_2024_v28062025!$E$2:$M$1751,9,FALSE)</f>
        <v>PEA040</v>
      </c>
    </row>
    <row r="1721" spans="1:17">
      <c r="A1721">
        <v>2</v>
      </c>
      <c r="B1721" t="s">
        <v>12172</v>
      </c>
      <c r="C1721" t="s">
        <v>12178</v>
      </c>
      <c r="D1721" t="s">
        <v>12179</v>
      </c>
      <c r="E1721" t="s">
        <v>4568</v>
      </c>
      <c r="F1721" t="s">
        <v>4569</v>
      </c>
      <c r="G1721" s="712">
        <v>0</v>
      </c>
      <c r="H1721">
        <v>0</v>
      </c>
      <c r="I1721" s="713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 s="724" t="str">
        <f>VLOOKUP($E1721,SP_2024_v28062025!$E$2:$M$1751,9,FALSE)</f>
        <v>PEA040</v>
      </c>
    </row>
    <row r="1722" spans="1:17">
      <c r="A1722">
        <v>2</v>
      </c>
      <c r="B1722" t="s">
        <v>12172</v>
      </c>
      <c r="C1722" t="s">
        <v>12178</v>
      </c>
      <c r="D1722" t="s">
        <v>12179</v>
      </c>
      <c r="E1722" t="s">
        <v>4570</v>
      </c>
      <c r="F1722" t="s">
        <v>4571</v>
      </c>
      <c r="G1722" s="712">
        <v>0</v>
      </c>
      <c r="H1722">
        <v>0</v>
      </c>
      <c r="I1722" s="713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 s="724" t="str">
        <f>VLOOKUP($E1722,SP_2024_v28062025!$E$2:$M$1751,9,FALSE)</f>
        <v>PEA040</v>
      </c>
    </row>
    <row r="1723" spans="1:17">
      <c r="A1723">
        <v>2</v>
      </c>
      <c r="B1723" t="s">
        <v>12172</v>
      </c>
      <c r="C1723" t="s">
        <v>12178</v>
      </c>
      <c r="D1723" t="s">
        <v>12179</v>
      </c>
      <c r="E1723" t="s">
        <v>4572</v>
      </c>
      <c r="F1723" t="s">
        <v>4573</v>
      </c>
      <c r="G1723" s="712">
        <v>0</v>
      </c>
      <c r="H1723">
        <v>0</v>
      </c>
      <c r="I1723" s="71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 s="724" t="str">
        <f>VLOOKUP($E1723,SP_2024_v28062025!$E$2:$M$1751,9,FALSE)</f>
        <v>PEA040</v>
      </c>
    </row>
    <row r="1724" spans="1:17">
      <c r="A1724">
        <v>2</v>
      </c>
      <c r="B1724" t="s">
        <v>12172</v>
      </c>
      <c r="C1724" t="s">
        <v>12178</v>
      </c>
      <c r="D1724" t="s">
        <v>12179</v>
      </c>
      <c r="E1724" t="s">
        <v>4574</v>
      </c>
      <c r="F1724" t="s">
        <v>4575</v>
      </c>
      <c r="G1724" s="712">
        <v>0</v>
      </c>
      <c r="H1724">
        <v>0</v>
      </c>
      <c r="I1724" s="713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 s="724" t="str">
        <f>VLOOKUP($E1724,SP_2024_v28062025!$E$2:$M$1751,9,FALSE)</f>
        <v>PEA040</v>
      </c>
    </row>
    <row r="1725" spans="1:17">
      <c r="A1725">
        <v>2</v>
      </c>
      <c r="B1725" t="s">
        <v>12172</v>
      </c>
      <c r="C1725" t="s">
        <v>12178</v>
      </c>
      <c r="D1725" t="s">
        <v>12179</v>
      </c>
      <c r="E1725" t="s">
        <v>4576</v>
      </c>
      <c r="F1725" t="s">
        <v>4577</v>
      </c>
      <c r="G1725" s="712">
        <v>0</v>
      </c>
      <c r="H1725" s="711">
        <v>2527933.66</v>
      </c>
      <c r="I1725" s="715">
        <v>2527933.66</v>
      </c>
      <c r="J1725" s="711">
        <v>607000</v>
      </c>
      <c r="K1725">
        <v>0</v>
      </c>
      <c r="L1725">
        <v>0</v>
      </c>
      <c r="M1725">
        <v>0</v>
      </c>
      <c r="N1725" s="711">
        <v>607000</v>
      </c>
      <c r="O1725" s="711">
        <v>2527933.66</v>
      </c>
      <c r="P1725" s="711">
        <v>-1920933.66</v>
      </c>
      <c r="Q1725" s="724" t="str">
        <f>VLOOKUP($E1725,SP_2024_v28062025!$E$2:$M$1751,9,FALSE)</f>
        <v>PEA040</v>
      </c>
    </row>
    <row r="1726" spans="1:17" ht="15.75" thickBot="1">
      <c r="A1726">
        <v>2</v>
      </c>
      <c r="B1726" t="s">
        <v>12172</v>
      </c>
      <c r="C1726" t="s">
        <v>12178</v>
      </c>
      <c r="D1726" t="s">
        <v>12179</v>
      </c>
      <c r="E1726" t="s">
        <v>4578</v>
      </c>
      <c r="F1726" t="s">
        <v>4579</v>
      </c>
      <c r="G1726" s="712">
        <v>0</v>
      </c>
      <c r="H1726">
        <v>0</v>
      </c>
      <c r="I1726" s="713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 s="724" t="str">
        <f>VLOOKUP($E1726,SP_2024_v28062025!$E$2:$M$1751,9,FALSE)</f>
        <v>PEA040</v>
      </c>
    </row>
    <row r="1727" spans="1:17" ht="15.75" thickBot="1">
      <c r="A1727" s="727">
        <v>2</v>
      </c>
      <c r="B1727" s="727" t="s">
        <v>12172</v>
      </c>
      <c r="C1727" s="727" t="s">
        <v>12178</v>
      </c>
      <c r="D1727" s="727" t="s">
        <v>12180</v>
      </c>
      <c r="E1727" s="727"/>
      <c r="F1727" s="729" t="s">
        <v>12181</v>
      </c>
      <c r="G1727" s="738">
        <v>0</v>
      </c>
      <c r="H1727" s="738">
        <v>0</v>
      </c>
      <c r="I1727" s="738">
        <v>0</v>
      </c>
      <c r="J1727" s="738">
        <v>0</v>
      </c>
      <c r="K1727" s="738">
        <v>0</v>
      </c>
      <c r="L1727" s="738">
        <v>0</v>
      </c>
      <c r="M1727" s="738">
        <v>0</v>
      </c>
      <c r="N1727" s="738">
        <v>0</v>
      </c>
      <c r="O1727" s="738">
        <v>0</v>
      </c>
      <c r="P1727" s="738">
        <v>0</v>
      </c>
    </row>
    <row r="1728" spans="1:17">
      <c r="A1728">
        <v>2</v>
      </c>
      <c r="B1728" t="s">
        <v>12172</v>
      </c>
      <c r="C1728" t="s">
        <v>12178</v>
      </c>
      <c r="D1728" t="s">
        <v>12180</v>
      </c>
      <c r="E1728" t="s">
        <v>4583</v>
      </c>
      <c r="F1728" t="s">
        <v>4584</v>
      </c>
      <c r="G1728" s="712">
        <v>0</v>
      </c>
      <c r="H1728">
        <v>0</v>
      </c>
      <c r="I1728" s="713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 s="724" t="str">
        <f>VLOOKUP($E1728,SP_2024_v28062025!$E$2:$M$1751,9,FALSE)</f>
        <v>PEA050</v>
      </c>
    </row>
    <row r="1729" spans="1:17">
      <c r="A1729">
        <v>2</v>
      </c>
      <c r="B1729" t="s">
        <v>12172</v>
      </c>
      <c r="C1729" t="s">
        <v>12178</v>
      </c>
      <c r="D1729" t="s">
        <v>12180</v>
      </c>
      <c r="E1729" t="s">
        <v>4585</v>
      </c>
      <c r="F1729" t="s">
        <v>4586</v>
      </c>
      <c r="G1729" s="712">
        <v>0</v>
      </c>
      <c r="H1729">
        <v>0</v>
      </c>
      <c r="I1729" s="713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 s="724" t="str">
        <f>VLOOKUP($E1729,SP_2024_v28062025!$E$2:$M$1751,9,FALSE)</f>
        <v>PEA050</v>
      </c>
    </row>
    <row r="1730" spans="1:17" ht="15.75" thickBot="1">
      <c r="A1730">
        <v>2</v>
      </c>
      <c r="B1730" t="s">
        <v>12172</v>
      </c>
      <c r="C1730" t="s">
        <v>12178</v>
      </c>
      <c r="D1730" t="s">
        <v>12180</v>
      </c>
      <c r="E1730" t="s">
        <v>4587</v>
      </c>
      <c r="F1730" t="s">
        <v>4588</v>
      </c>
      <c r="G1730" s="712">
        <v>0</v>
      </c>
      <c r="H1730">
        <v>0</v>
      </c>
      <c r="I1730" s="713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 s="724" t="str">
        <f>VLOOKUP($E1730,SP_2024_v28062025!$E$2:$M$1751,9,FALSE)</f>
        <v>PEA050</v>
      </c>
    </row>
    <row r="1731" spans="1:17" ht="15.75" thickBot="1">
      <c r="A1731" s="727">
        <v>2</v>
      </c>
      <c r="B1731" s="727" t="s">
        <v>12172</v>
      </c>
      <c r="C1731" s="727" t="s">
        <v>12178</v>
      </c>
      <c r="D1731" s="727" t="s">
        <v>12182</v>
      </c>
      <c r="E1731" s="727"/>
      <c r="F1731" s="729" t="s">
        <v>4593</v>
      </c>
      <c r="G1731" s="738">
        <v>0</v>
      </c>
      <c r="H1731" s="738">
        <v>0</v>
      </c>
      <c r="I1731" s="738">
        <v>0</v>
      </c>
      <c r="J1731" s="738">
        <v>0</v>
      </c>
      <c r="K1731" s="738">
        <v>0</v>
      </c>
      <c r="L1731" s="738">
        <v>0</v>
      </c>
      <c r="M1731" s="738">
        <v>0</v>
      </c>
      <c r="N1731" s="738">
        <v>0</v>
      </c>
      <c r="O1731" s="738">
        <v>0</v>
      </c>
      <c r="P1731" s="738">
        <v>0</v>
      </c>
    </row>
    <row r="1732" spans="1:17" ht="15.75" thickBot="1">
      <c r="A1732">
        <v>2</v>
      </c>
      <c r="B1732" t="s">
        <v>12172</v>
      </c>
      <c r="C1732" t="s">
        <v>12178</v>
      </c>
      <c r="D1732" t="s">
        <v>12182</v>
      </c>
      <c r="E1732" t="s">
        <v>4592</v>
      </c>
      <c r="F1732" t="s">
        <v>4593</v>
      </c>
      <c r="G1732" s="712">
        <v>0</v>
      </c>
      <c r="H1732">
        <v>0</v>
      </c>
      <c r="I1732" s="713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 s="724" t="str">
        <f>VLOOKUP($E1732,SP_2024_v28062025!$E$2:$M$1751,9,FALSE)</f>
        <v>PEA060</v>
      </c>
    </row>
    <row r="1733" spans="1:17" ht="15.75" thickBot="1">
      <c r="A1733" s="727">
        <v>3</v>
      </c>
      <c r="B1733" s="727"/>
      <c r="C1733" s="727"/>
      <c r="D1733" s="727"/>
      <c r="E1733" s="727"/>
      <c r="F1733" s="745" t="s">
        <v>21</v>
      </c>
      <c r="G1733" s="739">
        <v>290984078.97000003</v>
      </c>
      <c r="H1733" s="739">
        <v>290984078.97000003</v>
      </c>
      <c r="I1733" s="738">
        <v>0</v>
      </c>
      <c r="J1733" s="738">
        <v>0</v>
      </c>
      <c r="K1733" s="738">
        <v>0</v>
      </c>
      <c r="L1733" s="738">
        <v>0</v>
      </c>
      <c r="M1733" s="738">
        <v>0</v>
      </c>
      <c r="N1733" s="739">
        <v>290984078.97000003</v>
      </c>
      <c r="O1733" s="739">
        <v>290984078.97000003</v>
      </c>
      <c r="P1733" s="738">
        <v>0</v>
      </c>
    </row>
    <row r="1734" spans="1:17" ht="15.75" thickBot="1">
      <c r="A1734" s="727">
        <v>3</v>
      </c>
      <c r="B1734" s="727" t="s">
        <v>12183</v>
      </c>
      <c r="C1734" s="727"/>
      <c r="D1734" s="727"/>
      <c r="E1734" s="727"/>
      <c r="F1734" s="745" t="s">
        <v>21</v>
      </c>
      <c r="G1734" s="739">
        <v>290984078.97000003</v>
      </c>
      <c r="H1734" s="738">
        <v>0</v>
      </c>
      <c r="I1734" s="739">
        <v>290984078.97000003</v>
      </c>
      <c r="J1734" s="738">
        <v>0</v>
      </c>
      <c r="K1734" s="738">
        <v>0</v>
      </c>
      <c r="L1734" s="738">
        <v>0</v>
      </c>
      <c r="M1734" s="738">
        <v>0</v>
      </c>
      <c r="N1734" s="739">
        <v>290984078.97000003</v>
      </c>
      <c r="O1734" s="738">
        <v>0</v>
      </c>
      <c r="P1734" s="739">
        <v>290984078.97000003</v>
      </c>
    </row>
    <row r="1735" spans="1:17" ht="15.75" thickBot="1">
      <c r="A1735" s="727">
        <v>3</v>
      </c>
      <c r="B1735" s="727" t="s">
        <v>12183</v>
      </c>
      <c r="C1735" s="727" t="s">
        <v>12184</v>
      </c>
      <c r="D1735" s="727"/>
      <c r="E1735" s="727"/>
      <c r="F1735" s="729" t="s">
        <v>2353</v>
      </c>
      <c r="G1735" s="738">
        <v>0</v>
      </c>
      <c r="H1735" s="738">
        <v>0</v>
      </c>
      <c r="I1735" s="738">
        <v>0</v>
      </c>
      <c r="J1735" s="738">
        <v>0</v>
      </c>
      <c r="K1735" s="738">
        <v>0</v>
      </c>
      <c r="L1735" s="738">
        <v>0</v>
      </c>
      <c r="M1735" s="738">
        <v>0</v>
      </c>
      <c r="N1735" s="738">
        <v>0</v>
      </c>
      <c r="O1735" s="738">
        <v>0</v>
      </c>
      <c r="P1735" s="738">
        <v>0</v>
      </c>
    </row>
    <row r="1736" spans="1:17" ht="15.75" thickBot="1">
      <c r="A1736" s="727">
        <v>3</v>
      </c>
      <c r="B1736" s="727" t="s">
        <v>12183</v>
      </c>
      <c r="C1736" s="727" t="s">
        <v>12184</v>
      </c>
      <c r="D1736" s="727" t="s">
        <v>12185</v>
      </c>
      <c r="E1736" s="727"/>
      <c r="F1736" s="729" t="s">
        <v>2353</v>
      </c>
      <c r="G1736" s="738">
        <v>0</v>
      </c>
      <c r="H1736" s="738">
        <v>0</v>
      </c>
      <c r="I1736" s="738">
        <v>0</v>
      </c>
      <c r="J1736" s="738">
        <v>0</v>
      </c>
      <c r="K1736" s="738">
        <v>0</v>
      </c>
      <c r="L1736" s="738">
        <v>0</v>
      </c>
      <c r="M1736" s="738">
        <v>0</v>
      </c>
      <c r="N1736" s="738">
        <v>0</v>
      </c>
      <c r="O1736" s="738">
        <v>0</v>
      </c>
      <c r="P1736" s="738">
        <v>0</v>
      </c>
    </row>
    <row r="1737" spans="1:17" ht="15.75" thickBot="1">
      <c r="A1737">
        <v>3</v>
      </c>
      <c r="B1737" t="s">
        <v>12183</v>
      </c>
      <c r="C1737" t="s">
        <v>12184</v>
      </c>
      <c r="D1737" t="s">
        <v>12185</v>
      </c>
      <c r="E1737" t="s">
        <v>2357</v>
      </c>
      <c r="F1737" t="s">
        <v>2353</v>
      </c>
      <c r="G1737" s="712">
        <v>0</v>
      </c>
      <c r="H1737">
        <v>0</v>
      </c>
      <c r="I1737" s="713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 s="724" t="str">
        <f>VLOOKUP($E1737,SP_2024_v28062025!$E$2:$M$1751,9,FALSE)</f>
        <v>ADA000</v>
      </c>
    </row>
    <row r="1738" spans="1:17" ht="15.75" thickBot="1">
      <c r="A1738" s="727">
        <v>3</v>
      </c>
      <c r="B1738" s="727" t="s">
        <v>12183</v>
      </c>
      <c r="C1738" s="727" t="s">
        <v>12186</v>
      </c>
      <c r="D1738" s="727"/>
      <c r="E1738" s="727"/>
      <c r="F1738" s="745" t="s">
        <v>1108</v>
      </c>
      <c r="G1738" s="738">
        <v>0</v>
      </c>
      <c r="H1738" s="738">
        <v>0</v>
      </c>
      <c r="I1738" s="738">
        <v>0</v>
      </c>
      <c r="J1738" s="738">
        <v>0</v>
      </c>
      <c r="K1738" s="738">
        <v>0</v>
      </c>
      <c r="L1738" s="738">
        <v>0</v>
      </c>
      <c r="M1738" s="738">
        <v>0</v>
      </c>
      <c r="N1738" s="738">
        <v>0</v>
      </c>
      <c r="O1738" s="738">
        <v>0</v>
      </c>
      <c r="P1738" s="738">
        <v>0</v>
      </c>
    </row>
    <row r="1739" spans="1:17" ht="15.75" thickBot="1">
      <c r="A1739" s="727">
        <v>3</v>
      </c>
      <c r="B1739" s="727" t="s">
        <v>12183</v>
      </c>
      <c r="C1739" s="727" t="s">
        <v>12186</v>
      </c>
      <c r="D1739" s="727" t="s">
        <v>12187</v>
      </c>
      <c r="E1739" s="727"/>
      <c r="F1739" s="729" t="s">
        <v>1108</v>
      </c>
      <c r="G1739" s="738">
        <v>0</v>
      </c>
      <c r="H1739" s="738">
        <v>0</v>
      </c>
      <c r="I1739" s="738">
        <v>0</v>
      </c>
      <c r="J1739" s="738">
        <v>0</v>
      </c>
      <c r="K1739" s="738">
        <v>0</v>
      </c>
      <c r="L1739" s="738">
        <v>0</v>
      </c>
      <c r="M1739" s="738">
        <v>0</v>
      </c>
      <c r="N1739" s="738">
        <v>0</v>
      </c>
      <c r="O1739" s="738">
        <v>0</v>
      </c>
      <c r="P1739" s="738">
        <v>0</v>
      </c>
    </row>
    <row r="1740" spans="1:17" ht="15.75" thickBot="1">
      <c r="A1740">
        <v>3</v>
      </c>
      <c r="B1740" t="s">
        <v>12183</v>
      </c>
      <c r="C1740" t="s">
        <v>12186</v>
      </c>
      <c r="D1740" t="s">
        <v>12187</v>
      </c>
      <c r="E1740" t="s">
        <v>2360</v>
      </c>
      <c r="F1740" t="s">
        <v>1108</v>
      </c>
      <c r="G1740" s="712">
        <v>0</v>
      </c>
      <c r="H1740">
        <v>0</v>
      </c>
      <c r="I1740" s="713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 s="724" t="str">
        <f>VLOOKUP($E1740,SP_2024_v28062025!$E$2:$M$1751,9,FALSE)</f>
        <v>ADA010</v>
      </c>
    </row>
    <row r="1741" spans="1:17" ht="15.75" thickBot="1">
      <c r="A1741" s="727">
        <v>3</v>
      </c>
      <c r="B1741" s="727" t="s">
        <v>12183</v>
      </c>
      <c r="C1741" s="727" t="s">
        <v>12188</v>
      </c>
      <c r="D1741" s="727"/>
      <c r="E1741" s="727"/>
      <c r="F1741" s="729" t="s">
        <v>2361</v>
      </c>
      <c r="G1741" s="739">
        <v>287897837.58999997</v>
      </c>
      <c r="H1741" s="738">
        <v>0</v>
      </c>
      <c r="I1741" s="739">
        <v>287897837.58999997</v>
      </c>
      <c r="J1741" s="738">
        <v>0</v>
      </c>
      <c r="K1741" s="738">
        <v>0</v>
      </c>
      <c r="L1741" s="738">
        <v>0</v>
      </c>
      <c r="M1741" s="738">
        <v>0</v>
      </c>
      <c r="N1741" s="739">
        <v>287897837.58999997</v>
      </c>
      <c r="O1741" s="738">
        <v>0</v>
      </c>
      <c r="P1741" s="739">
        <v>287897837.58999997</v>
      </c>
    </row>
    <row r="1742" spans="1:17" ht="15.75" thickBot="1">
      <c r="A1742" s="727">
        <v>3</v>
      </c>
      <c r="B1742" s="727" t="s">
        <v>12183</v>
      </c>
      <c r="C1742" s="727" t="s">
        <v>12188</v>
      </c>
      <c r="D1742" s="727" t="s">
        <v>12189</v>
      </c>
      <c r="E1742" s="727"/>
      <c r="F1742" s="729" t="s">
        <v>2361</v>
      </c>
      <c r="G1742" s="739">
        <v>287897837.58999997</v>
      </c>
      <c r="H1742" s="738">
        <v>0</v>
      </c>
      <c r="I1742" s="739">
        <v>287897837.58999997</v>
      </c>
      <c r="J1742" s="738">
        <v>0</v>
      </c>
      <c r="K1742" s="738">
        <v>0</v>
      </c>
      <c r="L1742" s="738">
        <v>0</v>
      </c>
      <c r="M1742" s="738">
        <v>0</v>
      </c>
      <c r="N1742" s="739">
        <v>287897837.58999997</v>
      </c>
      <c r="O1742" s="738">
        <v>0</v>
      </c>
      <c r="P1742" s="739">
        <v>287897837.58999997</v>
      </c>
    </row>
    <row r="1743" spans="1:17" ht="15.75" thickBot="1">
      <c r="A1743">
        <v>3</v>
      </c>
      <c r="B1743" t="s">
        <v>12183</v>
      </c>
      <c r="C1743" t="s">
        <v>12188</v>
      </c>
      <c r="D1743" t="s">
        <v>12189</v>
      </c>
      <c r="E1743" t="s">
        <v>2365</v>
      </c>
      <c r="F1743" t="s">
        <v>2361</v>
      </c>
      <c r="G1743" s="714">
        <v>287897837.58999997</v>
      </c>
      <c r="H1743">
        <v>0</v>
      </c>
      <c r="I1743" s="715">
        <v>287897837.58999997</v>
      </c>
      <c r="J1743">
        <v>0</v>
      </c>
      <c r="K1743">
        <v>0</v>
      </c>
      <c r="L1743">
        <v>0</v>
      </c>
      <c r="M1743">
        <v>0</v>
      </c>
      <c r="N1743" s="711">
        <v>287897837.58999997</v>
      </c>
      <c r="O1743">
        <v>0</v>
      </c>
      <c r="P1743" s="711">
        <v>287897837.58999997</v>
      </c>
      <c r="Q1743" s="724" t="str">
        <f>VLOOKUP($E1743,SP_2024_v28062025!$E$2:$M$1751,9,FALSE)</f>
        <v>ADA020</v>
      </c>
    </row>
    <row r="1744" spans="1:17" ht="15.75" thickBot="1">
      <c r="A1744" s="727">
        <v>3</v>
      </c>
      <c r="B1744" s="727" t="s">
        <v>12183</v>
      </c>
      <c r="C1744" s="727" t="s">
        <v>12190</v>
      </c>
      <c r="D1744" s="727"/>
      <c r="E1744" s="727"/>
      <c r="F1744" s="745" t="s">
        <v>2370</v>
      </c>
      <c r="G1744" s="739">
        <v>3086241.38</v>
      </c>
      <c r="H1744" s="738">
        <v>0</v>
      </c>
      <c r="I1744" s="739">
        <v>3086241.38</v>
      </c>
      <c r="J1744" s="738">
        <v>0</v>
      </c>
      <c r="K1744" s="738">
        <v>0</v>
      </c>
      <c r="L1744" s="738">
        <v>0</v>
      </c>
      <c r="M1744" s="738">
        <v>0</v>
      </c>
      <c r="N1744" s="739">
        <v>3086241.38</v>
      </c>
      <c r="O1744" s="738">
        <v>0</v>
      </c>
      <c r="P1744" s="739">
        <v>3086241.38</v>
      </c>
    </row>
    <row r="1745" spans="1:17" ht="15.75" thickBot="1">
      <c r="A1745" s="727">
        <v>3</v>
      </c>
      <c r="B1745" s="727" t="s">
        <v>12183</v>
      </c>
      <c r="C1745" s="727" t="s">
        <v>12190</v>
      </c>
      <c r="D1745" s="727" t="s">
        <v>12191</v>
      </c>
      <c r="E1745" s="727"/>
      <c r="F1745" s="729" t="s">
        <v>2370</v>
      </c>
      <c r="G1745" s="739">
        <v>3086241.38</v>
      </c>
      <c r="H1745" s="738">
        <v>0</v>
      </c>
      <c r="I1745" s="739">
        <v>3086241.38</v>
      </c>
      <c r="J1745" s="738">
        <v>0</v>
      </c>
      <c r="K1745" s="738">
        <v>0</v>
      </c>
      <c r="L1745" s="738">
        <v>0</v>
      </c>
      <c r="M1745" s="738">
        <v>0</v>
      </c>
      <c r="N1745" s="739">
        <v>3086241.38</v>
      </c>
      <c r="O1745" s="738">
        <v>0</v>
      </c>
      <c r="P1745" s="739">
        <v>3086241.38</v>
      </c>
    </row>
    <row r="1746" spans="1:17">
      <c r="A1746">
        <v>3</v>
      </c>
      <c r="B1746" t="s">
        <v>12183</v>
      </c>
      <c r="C1746" t="s">
        <v>12190</v>
      </c>
      <c r="D1746" t="s">
        <v>12191</v>
      </c>
      <c r="E1746" t="s">
        <v>2374</v>
      </c>
      <c r="F1746" t="s">
        <v>2375</v>
      </c>
      <c r="G1746" s="712">
        <v>0</v>
      </c>
      <c r="H1746">
        <v>0</v>
      </c>
      <c r="I1746" s="713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 s="724" t="str">
        <f>VLOOKUP($E1746,SP_2024_v28062025!$E$2:$M$1751,9,FALSE)</f>
        <v>ADA030</v>
      </c>
    </row>
    <row r="1747" spans="1:17">
      <c r="A1747">
        <v>3</v>
      </c>
      <c r="B1747" t="s">
        <v>12183</v>
      </c>
      <c r="C1747" t="s">
        <v>12190</v>
      </c>
      <c r="D1747" t="s">
        <v>12191</v>
      </c>
      <c r="E1747" t="s">
        <v>2376</v>
      </c>
      <c r="F1747" t="s">
        <v>2377</v>
      </c>
      <c r="G1747" s="714">
        <v>3086241.38</v>
      </c>
      <c r="H1747">
        <v>0</v>
      </c>
      <c r="I1747" s="715">
        <v>3086241.38</v>
      </c>
      <c r="J1747">
        <v>0</v>
      </c>
      <c r="K1747">
        <v>0</v>
      </c>
      <c r="L1747">
        <v>0</v>
      </c>
      <c r="M1747">
        <v>0</v>
      </c>
      <c r="N1747" s="711">
        <v>3086241.38</v>
      </c>
      <c r="O1747">
        <v>0</v>
      </c>
      <c r="P1747" s="711">
        <v>3086241.38</v>
      </c>
      <c r="Q1747" s="724" t="str">
        <f>VLOOKUP($E1747,SP_2024_v28062025!$E$2:$M$1751,9,FALSE)</f>
        <v>ADA030</v>
      </c>
    </row>
    <row r="1748" spans="1:17">
      <c r="A1748">
        <v>3</v>
      </c>
      <c r="B1748" t="s">
        <v>12183</v>
      </c>
      <c r="C1748" t="s">
        <v>12190</v>
      </c>
      <c r="D1748" t="s">
        <v>12191</v>
      </c>
      <c r="E1748" t="s">
        <v>2378</v>
      </c>
      <c r="F1748" t="s">
        <v>2379</v>
      </c>
      <c r="G1748" s="712">
        <v>0</v>
      </c>
      <c r="H1748">
        <v>0</v>
      </c>
      <c r="I1748" s="713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 s="724" t="str">
        <f>VLOOKUP($E1748,SP_2024_v28062025!$E$2:$M$1751,9,FALSE)</f>
        <v>ADA030</v>
      </c>
    </row>
    <row r="1749" spans="1:17">
      <c r="A1749">
        <v>3</v>
      </c>
      <c r="B1749" t="s">
        <v>12183</v>
      </c>
      <c r="C1749" t="s">
        <v>12190</v>
      </c>
      <c r="D1749" t="s">
        <v>12191</v>
      </c>
      <c r="E1749" t="s">
        <v>2380</v>
      </c>
      <c r="F1749" t="s">
        <v>2381</v>
      </c>
      <c r="G1749" s="712">
        <v>0</v>
      </c>
      <c r="H1749">
        <v>0</v>
      </c>
      <c r="I1749" s="713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 s="724" t="str">
        <f>VLOOKUP($E1749,SP_2024_v28062025!$E$2:$M$1751,9,FALSE)</f>
        <v>ADA030</v>
      </c>
    </row>
    <row r="1750" spans="1:17">
      <c r="A1750">
        <v>3</v>
      </c>
      <c r="B1750" t="s">
        <v>12183</v>
      </c>
      <c r="C1750" t="s">
        <v>12190</v>
      </c>
      <c r="D1750" t="s">
        <v>12191</v>
      </c>
      <c r="E1750" t="s">
        <v>2382</v>
      </c>
      <c r="F1750" t="s">
        <v>2383</v>
      </c>
      <c r="G1750" s="712">
        <v>0</v>
      </c>
      <c r="H1750">
        <v>0</v>
      </c>
      <c r="I1750" s="713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 s="724" t="str">
        <f>VLOOKUP($E1750,SP_2024_v28062025!$E$2:$M$1751,9,FALSE)</f>
        <v>ADA030</v>
      </c>
    </row>
    <row r="1751" spans="1:17" ht="15.75" thickBot="1">
      <c r="A1751">
        <v>3</v>
      </c>
      <c r="B1751" t="s">
        <v>12183</v>
      </c>
      <c r="C1751" t="s">
        <v>12190</v>
      </c>
      <c r="D1751" t="s">
        <v>12191</v>
      </c>
      <c r="E1751" t="s">
        <v>2384</v>
      </c>
      <c r="F1751" t="s">
        <v>2385</v>
      </c>
      <c r="G1751" s="712">
        <v>0</v>
      </c>
      <c r="H1751">
        <v>0</v>
      </c>
      <c r="I1751" s="713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 s="724" t="str">
        <f>VLOOKUP($E1751,SP_2024_v28062025!$E$2:$M$1751,9,FALSE)</f>
        <v>ADA030</v>
      </c>
    </row>
    <row r="1752" spans="1:17" ht="15.75" thickBot="1">
      <c r="A1752" s="727">
        <v>3</v>
      </c>
      <c r="B1752" s="727" t="s">
        <v>12183</v>
      </c>
      <c r="C1752" s="727" t="s">
        <v>12192</v>
      </c>
      <c r="D1752" s="727"/>
      <c r="E1752" s="727"/>
      <c r="F1752" s="745" t="s">
        <v>2366</v>
      </c>
      <c r="G1752" s="738">
        <v>0</v>
      </c>
      <c r="H1752" s="738">
        <v>0</v>
      </c>
      <c r="I1752" s="738">
        <v>0</v>
      </c>
      <c r="J1752" s="738">
        <v>0</v>
      </c>
      <c r="K1752" s="738">
        <v>0</v>
      </c>
      <c r="L1752" s="738">
        <v>0</v>
      </c>
      <c r="M1752" s="738">
        <v>0</v>
      </c>
      <c r="N1752" s="738">
        <v>0</v>
      </c>
      <c r="O1752" s="738">
        <v>0</v>
      </c>
      <c r="P1752" s="738">
        <v>0</v>
      </c>
    </row>
    <row r="1753" spans="1:17" ht="15.75" thickBot="1">
      <c r="A1753" s="727">
        <v>3</v>
      </c>
      <c r="B1753" s="727" t="s">
        <v>12183</v>
      </c>
      <c r="C1753" s="727" t="s">
        <v>12192</v>
      </c>
      <c r="D1753" s="727" t="s">
        <v>12193</v>
      </c>
      <c r="E1753" s="727"/>
      <c r="F1753" s="729" t="s">
        <v>2366</v>
      </c>
      <c r="G1753" s="738">
        <v>0</v>
      </c>
      <c r="H1753" s="738">
        <v>0</v>
      </c>
      <c r="I1753" s="738">
        <v>0</v>
      </c>
      <c r="J1753" s="738">
        <v>0</v>
      </c>
      <c r="K1753" s="738">
        <v>0</v>
      </c>
      <c r="L1753" s="738">
        <v>0</v>
      </c>
      <c r="M1753" s="738">
        <v>0</v>
      </c>
      <c r="N1753" s="738">
        <v>0</v>
      </c>
      <c r="O1753" s="738">
        <v>0</v>
      </c>
      <c r="P1753" s="738">
        <v>0</v>
      </c>
    </row>
    <row r="1754" spans="1:17" ht="15.75" thickBot="1">
      <c r="A1754">
        <v>3</v>
      </c>
      <c r="B1754" t="s">
        <v>12183</v>
      </c>
      <c r="C1754" t="s">
        <v>12192</v>
      </c>
      <c r="D1754" t="s">
        <v>12193</v>
      </c>
      <c r="E1754" t="s">
        <v>2369</v>
      </c>
      <c r="F1754" t="s">
        <v>2366</v>
      </c>
      <c r="G1754" s="712">
        <v>0</v>
      </c>
      <c r="H1754">
        <v>0</v>
      </c>
      <c r="I1754" s="713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 s="724" t="str">
        <f>VLOOKUP($E1754,SP_2024_v28062025!$E$2:$M$1751,9,FALSE)</f>
        <v>ADA021</v>
      </c>
    </row>
    <row r="1755" spans="1:17" ht="15.75" thickBot="1">
      <c r="A1755" s="727">
        <v>3</v>
      </c>
      <c r="B1755" s="727" t="s">
        <v>12194</v>
      </c>
      <c r="C1755" s="727"/>
      <c r="D1755" s="727"/>
      <c r="E1755" s="727"/>
      <c r="F1755" s="745" t="s">
        <v>21</v>
      </c>
      <c r="G1755" s="738">
        <v>0</v>
      </c>
      <c r="H1755" s="739">
        <v>290984078.97000003</v>
      </c>
      <c r="I1755" s="739">
        <v>290984078.97000003</v>
      </c>
      <c r="J1755" s="738">
        <v>0</v>
      </c>
      <c r="K1755" s="738">
        <v>0</v>
      </c>
      <c r="L1755" s="738">
        <v>0</v>
      </c>
      <c r="M1755" s="738">
        <v>0</v>
      </c>
      <c r="N1755" s="738">
        <v>0</v>
      </c>
      <c r="O1755" s="739">
        <v>290984078.97000003</v>
      </c>
      <c r="P1755" s="739">
        <v>-290984078.97000003</v>
      </c>
    </row>
    <row r="1756" spans="1:17" ht="15.75" thickBot="1">
      <c r="A1756" s="727">
        <v>3</v>
      </c>
      <c r="B1756" s="727" t="s">
        <v>12194</v>
      </c>
      <c r="C1756" s="727" t="s">
        <v>12195</v>
      </c>
      <c r="D1756" s="727"/>
      <c r="E1756" s="727"/>
      <c r="F1756" s="745" t="s">
        <v>2353</v>
      </c>
      <c r="G1756" s="738">
        <v>0</v>
      </c>
      <c r="H1756" s="738">
        <v>0</v>
      </c>
      <c r="I1756" s="738">
        <v>0</v>
      </c>
      <c r="J1756" s="738">
        <v>0</v>
      </c>
      <c r="K1756" s="738">
        <v>0</v>
      </c>
      <c r="L1756" s="738">
        <v>0</v>
      </c>
      <c r="M1756" s="738">
        <v>0</v>
      </c>
      <c r="N1756" s="738">
        <v>0</v>
      </c>
      <c r="O1756" s="738">
        <v>0</v>
      </c>
      <c r="P1756" s="738">
        <v>0</v>
      </c>
    </row>
    <row r="1757" spans="1:17" ht="15.75" thickBot="1">
      <c r="A1757" s="727">
        <v>3</v>
      </c>
      <c r="B1757" s="727" t="s">
        <v>12194</v>
      </c>
      <c r="C1757" s="727" t="s">
        <v>12195</v>
      </c>
      <c r="D1757" s="727" t="s">
        <v>12196</v>
      </c>
      <c r="E1757" s="727"/>
      <c r="F1757" s="729" t="s">
        <v>2353</v>
      </c>
      <c r="G1757" s="738">
        <v>0</v>
      </c>
      <c r="H1757" s="738">
        <v>0</v>
      </c>
      <c r="I1757" s="738">
        <v>0</v>
      </c>
      <c r="J1757" s="738">
        <v>0</v>
      </c>
      <c r="K1757" s="738">
        <v>0</v>
      </c>
      <c r="L1757" s="738">
        <v>0</v>
      </c>
      <c r="M1757" s="738">
        <v>0</v>
      </c>
      <c r="N1757" s="738">
        <v>0</v>
      </c>
      <c r="O1757" s="738">
        <v>0</v>
      </c>
      <c r="P1757" s="738">
        <v>0</v>
      </c>
    </row>
    <row r="1758" spans="1:17" ht="15.75" thickBot="1">
      <c r="A1758">
        <v>3</v>
      </c>
      <c r="B1758" t="s">
        <v>12194</v>
      </c>
      <c r="C1758" t="s">
        <v>12195</v>
      </c>
      <c r="D1758" t="s">
        <v>12196</v>
      </c>
      <c r="E1758" t="s">
        <v>4596</v>
      </c>
      <c r="F1758" t="s">
        <v>2356</v>
      </c>
      <c r="G1758" s="712">
        <v>0</v>
      </c>
      <c r="H1758">
        <v>0</v>
      </c>
      <c r="I1758" s="713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 s="724" t="str">
        <f>VLOOKUP($E1758,SP_2024_v28062025!$E$2:$M$1751,9,FALSE)</f>
        <v>PFA000</v>
      </c>
    </row>
    <row r="1759" spans="1:17" ht="15.75" thickBot="1">
      <c r="A1759" s="727">
        <v>3</v>
      </c>
      <c r="B1759" s="727" t="s">
        <v>12194</v>
      </c>
      <c r="C1759" s="727" t="s">
        <v>12197</v>
      </c>
      <c r="D1759" s="727"/>
      <c r="E1759" s="727"/>
      <c r="F1759" s="745" t="s">
        <v>1108</v>
      </c>
      <c r="G1759" s="738">
        <v>0</v>
      </c>
      <c r="H1759" s="738">
        <v>0</v>
      </c>
      <c r="I1759" s="738">
        <v>0</v>
      </c>
      <c r="J1759" s="738">
        <v>0</v>
      </c>
      <c r="K1759" s="738">
        <v>0</v>
      </c>
      <c r="L1759" s="738">
        <v>0</v>
      </c>
      <c r="M1759" s="738">
        <v>0</v>
      </c>
      <c r="N1759" s="738">
        <v>0</v>
      </c>
      <c r="O1759" s="738">
        <v>0</v>
      </c>
      <c r="P1759" s="738">
        <v>0</v>
      </c>
    </row>
    <row r="1760" spans="1:17" ht="15.75" thickBot="1">
      <c r="A1760" s="727">
        <v>3</v>
      </c>
      <c r="B1760" s="727" t="s">
        <v>12194</v>
      </c>
      <c r="C1760" s="727" t="s">
        <v>12197</v>
      </c>
      <c r="D1760" s="727" t="s">
        <v>12198</v>
      </c>
      <c r="E1760" s="727"/>
      <c r="F1760" s="729" t="s">
        <v>1108</v>
      </c>
      <c r="G1760" s="738">
        <v>0</v>
      </c>
      <c r="H1760" s="738">
        <v>0</v>
      </c>
      <c r="I1760" s="738">
        <v>0</v>
      </c>
      <c r="J1760" s="738">
        <v>0</v>
      </c>
      <c r="K1760" s="738">
        <v>0</v>
      </c>
      <c r="L1760" s="738">
        <v>0</v>
      </c>
      <c r="M1760" s="738">
        <v>0</v>
      </c>
      <c r="N1760" s="738">
        <v>0</v>
      </c>
      <c r="O1760" s="738">
        <v>0</v>
      </c>
      <c r="P1760" s="738">
        <v>0</v>
      </c>
    </row>
    <row r="1761" spans="1:17" ht="15.75" thickBot="1">
      <c r="A1761">
        <v>3</v>
      </c>
      <c r="B1761" t="s">
        <v>12194</v>
      </c>
      <c r="C1761" t="s">
        <v>12197</v>
      </c>
      <c r="D1761" t="s">
        <v>12198</v>
      </c>
      <c r="E1761" t="s">
        <v>4598</v>
      </c>
      <c r="F1761" t="s">
        <v>27</v>
      </c>
      <c r="G1761" s="712">
        <v>0</v>
      </c>
      <c r="H1761">
        <v>0</v>
      </c>
      <c r="I1761" s="713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 s="724" t="str">
        <f>VLOOKUP($E1761,SP_2024_v28062025!$E$2:$M$1751,9,FALSE)</f>
        <v>PFA010</v>
      </c>
    </row>
    <row r="1762" spans="1:17" ht="15.75" thickBot="1">
      <c r="A1762" s="727">
        <v>3</v>
      </c>
      <c r="B1762" s="727" t="s">
        <v>12194</v>
      </c>
      <c r="C1762" s="727" t="s">
        <v>12199</v>
      </c>
      <c r="D1762" s="727"/>
      <c r="E1762" s="727"/>
      <c r="F1762" s="745" t="s">
        <v>2361</v>
      </c>
      <c r="G1762" s="738">
        <v>0</v>
      </c>
      <c r="H1762" s="739">
        <v>287897837.58999997</v>
      </c>
      <c r="I1762" s="739">
        <v>287897837.58999997</v>
      </c>
      <c r="J1762" s="738">
        <v>0</v>
      </c>
      <c r="K1762" s="738">
        <v>0</v>
      </c>
      <c r="L1762" s="738">
        <v>0</v>
      </c>
      <c r="M1762" s="738">
        <v>0</v>
      </c>
      <c r="N1762" s="738">
        <v>0</v>
      </c>
      <c r="O1762" s="739">
        <v>287897837.58999997</v>
      </c>
      <c r="P1762" s="739">
        <v>-287897837.58999997</v>
      </c>
    </row>
    <row r="1763" spans="1:17" ht="15.75" thickBot="1">
      <c r="A1763" s="727">
        <v>3</v>
      </c>
      <c r="B1763" s="727" t="s">
        <v>12194</v>
      </c>
      <c r="C1763" s="727" t="s">
        <v>12199</v>
      </c>
      <c r="D1763" s="727" t="s">
        <v>12200</v>
      </c>
      <c r="E1763" s="727"/>
      <c r="F1763" s="729" t="s">
        <v>2361</v>
      </c>
      <c r="G1763" s="738">
        <v>0</v>
      </c>
      <c r="H1763" s="739">
        <v>287897837.58999997</v>
      </c>
      <c r="I1763" s="739">
        <v>287897837.58999997</v>
      </c>
      <c r="J1763" s="738">
        <v>0</v>
      </c>
      <c r="K1763" s="738">
        <v>0</v>
      </c>
      <c r="L1763" s="738">
        <v>0</v>
      </c>
      <c r="M1763" s="738">
        <v>0</v>
      </c>
      <c r="N1763" s="738">
        <v>0</v>
      </c>
      <c r="O1763" s="739">
        <v>287897837.58999997</v>
      </c>
      <c r="P1763" s="739">
        <v>-287897837.58999997</v>
      </c>
    </row>
    <row r="1764" spans="1:17" ht="15.75" thickBot="1">
      <c r="A1764">
        <v>3</v>
      </c>
      <c r="B1764" t="s">
        <v>12194</v>
      </c>
      <c r="C1764" t="s">
        <v>12199</v>
      </c>
      <c r="D1764" t="s">
        <v>12200</v>
      </c>
      <c r="E1764" t="s">
        <v>4600</v>
      </c>
      <c r="F1764" t="s">
        <v>2361</v>
      </c>
      <c r="G1764" s="712">
        <v>0</v>
      </c>
      <c r="H1764" s="711">
        <v>287897837.58999997</v>
      </c>
      <c r="I1764" s="715">
        <v>287897837.58999997</v>
      </c>
      <c r="J1764">
        <v>0</v>
      </c>
      <c r="K1764">
        <v>0</v>
      </c>
      <c r="L1764">
        <v>0</v>
      </c>
      <c r="M1764">
        <v>0</v>
      </c>
      <c r="N1764">
        <v>0</v>
      </c>
      <c r="O1764" s="711">
        <v>287897837.58999997</v>
      </c>
      <c r="P1764" s="711">
        <v>-287897837.58999997</v>
      </c>
      <c r="Q1764" s="724" t="str">
        <f>VLOOKUP($E1764,SP_2024_v28062025!$E$2:$M$1751,9,FALSE)</f>
        <v>PFA020</v>
      </c>
    </row>
    <row r="1765" spans="1:17" ht="15.75" thickBot="1">
      <c r="A1765" s="727">
        <v>3</v>
      </c>
      <c r="B1765" s="727" t="s">
        <v>12194</v>
      </c>
      <c r="C1765" s="727" t="s">
        <v>12201</v>
      </c>
      <c r="D1765" s="727"/>
      <c r="E1765" s="727"/>
      <c r="F1765" s="745" t="s">
        <v>2370</v>
      </c>
      <c r="G1765" s="738">
        <v>0</v>
      </c>
      <c r="H1765" s="739">
        <v>3086241.38</v>
      </c>
      <c r="I1765" s="739">
        <v>3086241.38</v>
      </c>
      <c r="J1765" s="738">
        <v>0</v>
      </c>
      <c r="K1765" s="738">
        <v>0</v>
      </c>
      <c r="L1765" s="738">
        <v>0</v>
      </c>
      <c r="M1765" s="738">
        <v>0</v>
      </c>
      <c r="N1765" s="738">
        <v>0</v>
      </c>
      <c r="O1765" s="739">
        <v>3086241.38</v>
      </c>
      <c r="P1765" s="739">
        <v>-3086241.38</v>
      </c>
    </row>
    <row r="1766" spans="1:17" ht="15.75" thickBot="1">
      <c r="A1766" s="727">
        <v>3</v>
      </c>
      <c r="B1766" s="727" t="s">
        <v>12194</v>
      </c>
      <c r="C1766" s="727" t="s">
        <v>12201</v>
      </c>
      <c r="D1766" s="727" t="s">
        <v>12202</v>
      </c>
      <c r="E1766" s="727"/>
      <c r="F1766" s="729" t="s">
        <v>12203</v>
      </c>
      <c r="G1766" s="738">
        <v>0</v>
      </c>
      <c r="H1766" s="739">
        <v>3086241.38</v>
      </c>
      <c r="I1766" s="739">
        <v>3086241.38</v>
      </c>
      <c r="J1766" s="738">
        <v>0</v>
      </c>
      <c r="K1766" s="738">
        <v>0</v>
      </c>
      <c r="L1766" s="738">
        <v>0</v>
      </c>
      <c r="M1766" s="738">
        <v>0</v>
      </c>
      <c r="N1766" s="738">
        <v>0</v>
      </c>
      <c r="O1766" s="739">
        <v>3086241.38</v>
      </c>
      <c r="P1766" s="739">
        <v>-3086241.38</v>
      </c>
    </row>
    <row r="1767" spans="1:17">
      <c r="A1767">
        <v>3</v>
      </c>
      <c r="B1767" t="s">
        <v>12194</v>
      </c>
      <c r="C1767" t="s">
        <v>12201</v>
      </c>
      <c r="D1767" t="s">
        <v>12202</v>
      </c>
      <c r="E1767" t="s">
        <v>4607</v>
      </c>
      <c r="F1767" t="s">
        <v>4608</v>
      </c>
      <c r="G1767" s="712">
        <v>0</v>
      </c>
      <c r="H1767">
        <v>0</v>
      </c>
      <c r="I1767" s="713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 s="724" t="str">
        <f>VLOOKUP($E1767,SP_2024_v28062025!$E$2:$M$1751,9,FALSE)</f>
        <v>PFA030</v>
      </c>
    </row>
    <row r="1768" spans="1:17">
      <c r="A1768">
        <v>3</v>
      </c>
      <c r="B1768" t="s">
        <v>12194</v>
      </c>
      <c r="C1768" t="s">
        <v>12201</v>
      </c>
      <c r="D1768" t="s">
        <v>12202</v>
      </c>
      <c r="E1768" t="s">
        <v>4610</v>
      </c>
      <c r="F1768" t="s">
        <v>4611</v>
      </c>
      <c r="G1768" s="712">
        <v>0</v>
      </c>
      <c r="H1768">
        <v>0</v>
      </c>
      <c r="I1768" s="713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 s="724" t="str">
        <f>VLOOKUP($E1768,SP_2024_v28062025!$E$2:$M$1751,9,FALSE)</f>
        <v>PFA030</v>
      </c>
    </row>
    <row r="1769" spans="1:17">
      <c r="A1769">
        <v>3</v>
      </c>
      <c r="B1769" t="s">
        <v>12194</v>
      </c>
      <c r="C1769" t="s">
        <v>12201</v>
      </c>
      <c r="D1769" t="s">
        <v>12202</v>
      </c>
      <c r="E1769" t="s">
        <v>4613</v>
      </c>
      <c r="F1769" t="s">
        <v>4614</v>
      </c>
      <c r="G1769" s="712">
        <v>0</v>
      </c>
      <c r="H1769">
        <v>0</v>
      </c>
      <c r="I1769" s="713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 s="724" t="str">
        <f>VLOOKUP($E1769,SP_2024_v28062025!$E$2:$M$1751,9,FALSE)</f>
        <v>PFA030</v>
      </c>
    </row>
    <row r="1770" spans="1:17">
      <c r="A1770">
        <v>3</v>
      </c>
      <c r="B1770" t="s">
        <v>12194</v>
      </c>
      <c r="C1770" t="s">
        <v>12201</v>
      </c>
      <c r="D1770" t="s">
        <v>12202</v>
      </c>
      <c r="E1770" t="s">
        <v>4616</v>
      </c>
      <c r="F1770" t="s">
        <v>4617</v>
      </c>
      <c r="G1770" s="712">
        <v>0</v>
      </c>
      <c r="H1770">
        <v>0</v>
      </c>
      <c r="I1770" s="713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 s="724" t="str">
        <f>VLOOKUP($E1770,SP_2024_v28062025!$E$2:$M$1751,9,FALSE)</f>
        <v>PFA030</v>
      </c>
    </row>
    <row r="1771" spans="1:17">
      <c r="A1771">
        <v>3</v>
      </c>
      <c r="B1771" t="s">
        <v>12194</v>
      </c>
      <c r="C1771" t="s">
        <v>12201</v>
      </c>
      <c r="D1771" t="s">
        <v>12202</v>
      </c>
      <c r="E1771" t="s">
        <v>4618</v>
      </c>
      <c r="F1771" t="s">
        <v>4619</v>
      </c>
      <c r="G1771" s="712">
        <v>0</v>
      </c>
      <c r="H1771">
        <v>0</v>
      </c>
      <c r="I1771" s="713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 s="724" t="str">
        <f>VLOOKUP($E1771,SP_2024_v28062025!$E$2:$M$1751,9,FALSE)</f>
        <v>PFA030</v>
      </c>
    </row>
    <row r="1772" spans="1:17">
      <c r="A1772">
        <v>3</v>
      </c>
      <c r="B1772" t="s">
        <v>12194</v>
      </c>
      <c r="C1772" t="s">
        <v>12201</v>
      </c>
      <c r="D1772" t="s">
        <v>12202</v>
      </c>
      <c r="E1772" t="s">
        <v>4620</v>
      </c>
      <c r="F1772" t="s">
        <v>2377</v>
      </c>
      <c r="G1772" s="712">
        <v>0</v>
      </c>
      <c r="H1772" s="711">
        <v>3086241.38</v>
      </c>
      <c r="I1772" s="715">
        <v>3086241.38</v>
      </c>
      <c r="J1772">
        <v>0</v>
      </c>
      <c r="K1772">
        <v>0</v>
      </c>
      <c r="L1772">
        <v>0</v>
      </c>
      <c r="M1772">
        <v>0</v>
      </c>
      <c r="N1772">
        <v>0</v>
      </c>
      <c r="O1772" s="711">
        <v>3086241.38</v>
      </c>
      <c r="P1772" s="711">
        <v>-3086241.38</v>
      </c>
      <c r="Q1772" s="724" t="str">
        <f>VLOOKUP($E1772,SP_2024_v28062025!$E$2:$M$1751,9,FALSE)</f>
        <v>PFA030</v>
      </c>
    </row>
    <row r="1773" spans="1:17" ht="15.75" thickBot="1">
      <c r="A1773">
        <v>3</v>
      </c>
      <c r="B1773" t="s">
        <v>12194</v>
      </c>
      <c r="C1773" t="s">
        <v>12201</v>
      </c>
      <c r="D1773" t="s">
        <v>12202</v>
      </c>
      <c r="E1773" t="s">
        <v>4621</v>
      </c>
      <c r="F1773" t="s">
        <v>2370</v>
      </c>
      <c r="G1773" s="712">
        <v>0</v>
      </c>
      <c r="H1773">
        <v>0</v>
      </c>
      <c r="I1773" s="71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 s="724" t="str">
        <f>VLOOKUP($E1773,SP_2024_v28062025!$E$2:$M$1751,9,FALSE)</f>
        <v>PFA030</v>
      </c>
    </row>
    <row r="1774" spans="1:17" ht="15.75" thickBot="1">
      <c r="A1774" s="727">
        <v>3</v>
      </c>
      <c r="B1774" s="727" t="s">
        <v>12194</v>
      </c>
      <c r="C1774" s="727" t="s">
        <v>12204</v>
      </c>
      <c r="D1774" s="727"/>
      <c r="E1774" s="727"/>
      <c r="F1774" s="745" t="s">
        <v>2366</v>
      </c>
      <c r="G1774" s="738">
        <v>0</v>
      </c>
      <c r="H1774" s="738">
        <v>0</v>
      </c>
      <c r="I1774" s="738">
        <v>0</v>
      </c>
      <c r="J1774" s="738">
        <v>0</v>
      </c>
      <c r="K1774" s="738">
        <v>0</v>
      </c>
      <c r="L1774" s="738">
        <v>0</v>
      </c>
      <c r="M1774" s="738">
        <v>0</v>
      </c>
      <c r="N1774" s="738">
        <v>0</v>
      </c>
      <c r="O1774" s="738">
        <v>0</v>
      </c>
      <c r="P1774" s="738">
        <v>0</v>
      </c>
    </row>
    <row r="1775" spans="1:17" ht="15.75" thickBot="1">
      <c r="A1775" s="727">
        <v>3</v>
      </c>
      <c r="B1775" s="727" t="s">
        <v>12194</v>
      </c>
      <c r="C1775" s="727" t="s">
        <v>12204</v>
      </c>
      <c r="D1775" s="727" t="s">
        <v>12205</v>
      </c>
      <c r="E1775" s="727"/>
      <c r="F1775" s="729" t="s">
        <v>2366</v>
      </c>
      <c r="G1775" s="738">
        <v>0</v>
      </c>
      <c r="H1775" s="738">
        <v>0</v>
      </c>
      <c r="I1775" s="738">
        <v>0</v>
      </c>
      <c r="J1775" s="738">
        <v>0</v>
      </c>
      <c r="K1775" s="738">
        <v>0</v>
      </c>
      <c r="L1775" s="738">
        <v>0</v>
      </c>
      <c r="M1775" s="738">
        <v>0</v>
      </c>
      <c r="N1775" s="738">
        <v>0</v>
      </c>
      <c r="O1775" s="738">
        <v>0</v>
      </c>
      <c r="P1775" s="738">
        <v>0</v>
      </c>
    </row>
    <row r="1776" spans="1:17" ht="15.75" thickBot="1">
      <c r="A1776">
        <v>3</v>
      </c>
      <c r="B1776" t="s">
        <v>12194</v>
      </c>
      <c r="C1776" t="s">
        <v>12204</v>
      </c>
      <c r="D1776" t="s">
        <v>12205</v>
      </c>
      <c r="E1776" t="s">
        <v>4604</v>
      </c>
      <c r="F1776" t="s">
        <v>2366</v>
      </c>
      <c r="G1776" s="712">
        <v>0</v>
      </c>
      <c r="H1776">
        <v>0</v>
      </c>
      <c r="I1776" s="713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 s="724" t="str">
        <f>VLOOKUP($E1776,SP_2024_v28062025!$E$2:$M$1751,9,FALSE)</f>
        <v>PFA021</v>
      </c>
    </row>
    <row r="1777" spans="1:17" s="723" customFormat="1" ht="15.75" thickBot="1">
      <c r="A1777" s="728">
        <v>4</v>
      </c>
      <c r="B1777" s="728"/>
      <c r="C1777" s="728"/>
      <c r="D1777" s="728"/>
      <c r="E1777" s="728"/>
      <c r="F1777" s="745" t="s">
        <v>4676</v>
      </c>
      <c r="G1777" s="738">
        <v>0</v>
      </c>
      <c r="H1777" s="738">
        <v>0</v>
      </c>
      <c r="I1777" s="738">
        <v>0</v>
      </c>
      <c r="J1777" s="739">
        <v>4254585.58</v>
      </c>
      <c r="K1777" s="739">
        <v>377561211.74000001</v>
      </c>
      <c r="L1777" s="738">
        <v>0</v>
      </c>
      <c r="M1777" s="738">
        <v>0</v>
      </c>
      <c r="N1777" s="739">
        <v>4254585.58</v>
      </c>
      <c r="O1777" s="739">
        <v>377561211.74000001</v>
      </c>
      <c r="P1777" s="739">
        <v>-373306626.16000003</v>
      </c>
      <c r="Q1777" s="726"/>
    </row>
    <row r="1778" spans="1:17" ht="15.75" thickBot="1">
      <c r="A1778" s="727">
        <v>4</v>
      </c>
      <c r="B1778" s="727" t="s">
        <v>12206</v>
      </c>
      <c r="C1778" s="727"/>
      <c r="D1778" s="727"/>
      <c r="E1778" s="727"/>
      <c r="F1778" s="745" t="s">
        <v>35</v>
      </c>
      <c r="G1778" s="738">
        <v>0</v>
      </c>
      <c r="H1778" s="738">
        <v>0</v>
      </c>
      <c r="I1778" s="738">
        <v>0</v>
      </c>
      <c r="J1778" s="739">
        <v>40861.53</v>
      </c>
      <c r="K1778" s="739">
        <v>137637380.75999999</v>
      </c>
      <c r="L1778" s="738">
        <v>0</v>
      </c>
      <c r="M1778" s="738">
        <v>0</v>
      </c>
      <c r="N1778" s="739">
        <v>40861.53</v>
      </c>
      <c r="O1778" s="739">
        <v>137637380.75999999</v>
      </c>
      <c r="P1778" s="739">
        <v>-137596519.22999999</v>
      </c>
    </row>
    <row r="1779" spans="1:17" ht="15.75" thickBot="1">
      <c r="A1779" s="727">
        <v>4</v>
      </c>
      <c r="B1779" s="727" t="s">
        <v>12206</v>
      </c>
      <c r="C1779" s="727" t="s">
        <v>12207</v>
      </c>
      <c r="D1779" s="727"/>
      <c r="E1779" s="727"/>
      <c r="F1779" s="745" t="s">
        <v>12208</v>
      </c>
      <c r="G1779" s="738">
        <v>0</v>
      </c>
      <c r="H1779" s="738">
        <v>0</v>
      </c>
      <c r="I1779" s="738">
        <v>0</v>
      </c>
      <c r="J1779" s="739">
        <v>40861.53</v>
      </c>
      <c r="K1779" s="739">
        <v>133575049.79000001</v>
      </c>
      <c r="L1779" s="738">
        <v>0</v>
      </c>
      <c r="M1779" s="738">
        <v>0</v>
      </c>
      <c r="N1779" s="739">
        <v>40861.53</v>
      </c>
      <c r="O1779" s="739">
        <v>133575049.79000001</v>
      </c>
      <c r="P1779" s="739">
        <v>-133534188.26000001</v>
      </c>
    </row>
    <row r="1780" spans="1:17" ht="15.75" thickBot="1">
      <c r="A1780" s="727">
        <v>4</v>
      </c>
      <c r="B1780" s="727" t="s">
        <v>12206</v>
      </c>
      <c r="C1780" s="727" t="s">
        <v>12207</v>
      </c>
      <c r="D1780" s="727" t="s">
        <v>12209</v>
      </c>
      <c r="E1780" s="727"/>
      <c r="F1780" s="729" t="s">
        <v>12210</v>
      </c>
      <c r="G1780" s="738">
        <v>0</v>
      </c>
      <c r="H1780" s="738">
        <v>0</v>
      </c>
      <c r="I1780" s="738">
        <v>0</v>
      </c>
      <c r="J1780" s="738">
        <v>0</v>
      </c>
      <c r="K1780" s="739">
        <v>133410915.04000001</v>
      </c>
      <c r="L1780" s="738">
        <v>0</v>
      </c>
      <c r="M1780" s="738">
        <v>0</v>
      </c>
      <c r="N1780" s="738">
        <v>0</v>
      </c>
      <c r="O1780" s="739">
        <v>133410915.04000001</v>
      </c>
      <c r="P1780" s="739">
        <v>-133410915.04000001</v>
      </c>
    </row>
    <row r="1781" spans="1:17">
      <c r="A1781">
        <v>4</v>
      </c>
      <c r="B1781" t="s">
        <v>12206</v>
      </c>
      <c r="C1781" t="s">
        <v>12207</v>
      </c>
      <c r="D1781" t="s">
        <v>12209</v>
      </c>
      <c r="E1781" t="s">
        <v>4690</v>
      </c>
      <c r="F1781" t="s">
        <v>4691</v>
      </c>
      <c r="G1781" s="712">
        <v>0</v>
      </c>
      <c r="H1781">
        <v>0</v>
      </c>
      <c r="I1781" s="713">
        <v>0</v>
      </c>
      <c r="J1781">
        <v>0</v>
      </c>
      <c r="K1781" s="711">
        <v>57378129.549999997</v>
      </c>
      <c r="L1781">
        <v>0</v>
      </c>
      <c r="M1781">
        <v>0</v>
      </c>
      <c r="N1781">
        <v>0</v>
      </c>
      <c r="O1781" s="711">
        <v>57378129.549999997</v>
      </c>
      <c r="P1781" s="711">
        <v>-57378129.549999997</v>
      </c>
    </row>
    <row r="1782" spans="1:17">
      <c r="A1782">
        <v>4</v>
      </c>
      <c r="B1782" t="s">
        <v>12206</v>
      </c>
      <c r="C1782" t="s">
        <v>12207</v>
      </c>
      <c r="D1782" t="s">
        <v>12209</v>
      </c>
      <c r="E1782" t="s">
        <v>12211</v>
      </c>
      <c r="F1782" t="s">
        <v>12212</v>
      </c>
      <c r="G1782" s="712">
        <v>0</v>
      </c>
      <c r="H1782">
        <v>0</v>
      </c>
      <c r="I1782" s="713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</row>
    <row r="1783" spans="1:17">
      <c r="A1783">
        <v>4</v>
      </c>
      <c r="B1783" t="s">
        <v>12206</v>
      </c>
      <c r="C1783" t="s">
        <v>12207</v>
      </c>
      <c r="D1783" t="s">
        <v>12209</v>
      </c>
      <c r="E1783" t="s">
        <v>12213</v>
      </c>
      <c r="F1783" t="s">
        <v>12214</v>
      </c>
      <c r="G1783" s="712">
        <v>0</v>
      </c>
      <c r="H1783">
        <v>0</v>
      </c>
      <c r="I1783" s="71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</row>
    <row r="1784" spans="1:17">
      <c r="A1784">
        <v>4</v>
      </c>
      <c r="B1784" t="s">
        <v>12206</v>
      </c>
      <c r="C1784" t="s">
        <v>12207</v>
      </c>
      <c r="D1784" t="s">
        <v>12209</v>
      </c>
      <c r="E1784" t="s">
        <v>12215</v>
      </c>
      <c r="F1784" t="s">
        <v>12216</v>
      </c>
      <c r="G1784" s="712">
        <v>0</v>
      </c>
      <c r="H1784">
        <v>0</v>
      </c>
      <c r="I1784" s="713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</row>
    <row r="1785" spans="1:17">
      <c r="A1785">
        <v>4</v>
      </c>
      <c r="B1785" t="s">
        <v>12206</v>
      </c>
      <c r="C1785" t="s">
        <v>12207</v>
      </c>
      <c r="D1785" t="s">
        <v>12209</v>
      </c>
      <c r="E1785" t="s">
        <v>12217</v>
      </c>
      <c r="F1785" t="s">
        <v>12218</v>
      </c>
      <c r="G1785" s="712">
        <v>0</v>
      </c>
      <c r="H1785">
        <v>0</v>
      </c>
      <c r="I1785" s="713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</row>
    <row r="1786" spans="1:17">
      <c r="A1786">
        <v>4</v>
      </c>
      <c r="B1786" t="s">
        <v>12206</v>
      </c>
      <c r="C1786" t="s">
        <v>12207</v>
      </c>
      <c r="D1786" t="s">
        <v>12209</v>
      </c>
      <c r="E1786" t="s">
        <v>12219</v>
      </c>
      <c r="F1786" t="s">
        <v>4704</v>
      </c>
      <c r="G1786" s="712">
        <v>0</v>
      </c>
      <c r="H1786">
        <v>0</v>
      </c>
      <c r="I1786" s="713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</row>
    <row r="1787" spans="1:17">
      <c r="A1787">
        <v>4</v>
      </c>
      <c r="B1787" t="s">
        <v>12206</v>
      </c>
      <c r="C1787" t="s">
        <v>12207</v>
      </c>
      <c r="D1787" t="s">
        <v>12209</v>
      </c>
      <c r="E1787" t="s">
        <v>12220</v>
      </c>
      <c r="F1787" t="s">
        <v>12221</v>
      </c>
      <c r="G1787" s="712">
        <v>0</v>
      </c>
      <c r="H1787">
        <v>0</v>
      </c>
      <c r="I1787" s="713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</row>
    <row r="1788" spans="1:17">
      <c r="A1788">
        <v>4</v>
      </c>
      <c r="B1788" t="s">
        <v>12206</v>
      </c>
      <c r="C1788" t="s">
        <v>12207</v>
      </c>
      <c r="D1788" t="s">
        <v>12209</v>
      </c>
      <c r="E1788" t="s">
        <v>12222</v>
      </c>
      <c r="F1788" t="s">
        <v>12223</v>
      </c>
      <c r="G1788" s="712">
        <v>0</v>
      </c>
      <c r="H1788">
        <v>0</v>
      </c>
      <c r="I1788" s="713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</row>
    <row r="1789" spans="1:17">
      <c r="A1789">
        <v>4</v>
      </c>
      <c r="B1789" t="s">
        <v>12206</v>
      </c>
      <c r="C1789" t="s">
        <v>12207</v>
      </c>
      <c r="D1789" t="s">
        <v>12209</v>
      </c>
      <c r="E1789" t="s">
        <v>12224</v>
      </c>
      <c r="F1789" t="s">
        <v>12225</v>
      </c>
      <c r="G1789" s="712">
        <v>0</v>
      </c>
      <c r="H1789">
        <v>0</v>
      </c>
      <c r="I1789" s="713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</row>
    <row r="1790" spans="1:17">
      <c r="A1790">
        <v>4</v>
      </c>
      <c r="B1790" t="s">
        <v>12206</v>
      </c>
      <c r="C1790" t="s">
        <v>12207</v>
      </c>
      <c r="D1790" t="s">
        <v>12209</v>
      </c>
      <c r="E1790" t="s">
        <v>4697</v>
      </c>
      <c r="F1790" t="s">
        <v>4698</v>
      </c>
      <c r="G1790" s="712">
        <v>0</v>
      </c>
      <c r="H1790">
        <v>0</v>
      </c>
      <c r="I1790" s="713">
        <v>0</v>
      </c>
      <c r="J1790">
        <v>0</v>
      </c>
      <c r="K1790" s="711">
        <v>9488222.4900000002</v>
      </c>
      <c r="L1790">
        <v>0</v>
      </c>
      <c r="M1790">
        <v>0</v>
      </c>
      <c r="N1790">
        <v>0</v>
      </c>
      <c r="O1790" s="711">
        <v>9488222.4900000002</v>
      </c>
      <c r="P1790" s="711">
        <v>-9488222.4900000002</v>
      </c>
    </row>
    <row r="1791" spans="1:17">
      <c r="A1791">
        <v>4</v>
      </c>
      <c r="B1791" t="s">
        <v>12206</v>
      </c>
      <c r="C1791" t="s">
        <v>12207</v>
      </c>
      <c r="D1791" t="s">
        <v>12209</v>
      </c>
      <c r="E1791" t="s">
        <v>12226</v>
      </c>
      <c r="F1791" t="s">
        <v>12227</v>
      </c>
      <c r="G1791" s="712">
        <v>0</v>
      </c>
      <c r="H1791">
        <v>0</v>
      </c>
      <c r="I1791" s="713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</row>
    <row r="1792" spans="1:17">
      <c r="A1792">
        <v>4</v>
      </c>
      <c r="B1792" t="s">
        <v>12206</v>
      </c>
      <c r="C1792" t="s">
        <v>12207</v>
      </c>
      <c r="D1792" t="s">
        <v>12209</v>
      </c>
      <c r="E1792" t="s">
        <v>12228</v>
      </c>
      <c r="F1792" t="s">
        <v>12229</v>
      </c>
      <c r="G1792" s="712">
        <v>0</v>
      </c>
      <c r="H1792">
        <v>0</v>
      </c>
      <c r="I1792" s="713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</row>
    <row r="1793" spans="1:16">
      <c r="A1793">
        <v>4</v>
      </c>
      <c r="B1793" t="s">
        <v>12206</v>
      </c>
      <c r="C1793" t="s">
        <v>12207</v>
      </c>
      <c r="D1793" t="s">
        <v>12209</v>
      </c>
      <c r="E1793" t="s">
        <v>12230</v>
      </c>
      <c r="F1793" t="s">
        <v>12231</v>
      </c>
      <c r="G1793" s="712">
        <v>0</v>
      </c>
      <c r="H1793">
        <v>0</v>
      </c>
      <c r="I1793" s="71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</row>
    <row r="1794" spans="1:16">
      <c r="A1794">
        <v>4</v>
      </c>
      <c r="B1794" t="s">
        <v>12206</v>
      </c>
      <c r="C1794" t="s">
        <v>12207</v>
      </c>
      <c r="D1794" t="s">
        <v>12209</v>
      </c>
      <c r="E1794" t="s">
        <v>12232</v>
      </c>
      <c r="F1794" t="s">
        <v>12233</v>
      </c>
      <c r="G1794" s="712">
        <v>0</v>
      </c>
      <c r="H1794">
        <v>0</v>
      </c>
      <c r="I1794" s="713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</row>
    <row r="1795" spans="1:16">
      <c r="A1795">
        <v>4</v>
      </c>
      <c r="B1795" t="s">
        <v>12206</v>
      </c>
      <c r="C1795" t="s">
        <v>12207</v>
      </c>
      <c r="D1795" t="s">
        <v>12209</v>
      </c>
      <c r="E1795" t="s">
        <v>12234</v>
      </c>
      <c r="F1795" t="s">
        <v>12235</v>
      </c>
      <c r="G1795" s="712">
        <v>0</v>
      </c>
      <c r="H1795">
        <v>0</v>
      </c>
      <c r="I1795" s="713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</row>
    <row r="1796" spans="1:16">
      <c r="A1796">
        <v>4</v>
      </c>
      <c r="B1796" t="s">
        <v>12206</v>
      </c>
      <c r="C1796" t="s">
        <v>12207</v>
      </c>
      <c r="D1796" t="s">
        <v>12209</v>
      </c>
      <c r="E1796" t="s">
        <v>12236</v>
      </c>
      <c r="F1796" t="s">
        <v>12237</v>
      </c>
      <c r="G1796" s="712">
        <v>0</v>
      </c>
      <c r="H1796">
        <v>0</v>
      </c>
      <c r="I1796" s="713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</row>
    <row r="1797" spans="1:16">
      <c r="A1797">
        <v>4</v>
      </c>
      <c r="B1797" t="s">
        <v>12206</v>
      </c>
      <c r="C1797" t="s">
        <v>12207</v>
      </c>
      <c r="D1797" t="s">
        <v>12209</v>
      </c>
      <c r="E1797" t="s">
        <v>4703</v>
      </c>
      <c r="F1797" t="s">
        <v>4704</v>
      </c>
      <c r="G1797" s="712">
        <v>0</v>
      </c>
      <c r="H1797">
        <v>0</v>
      </c>
      <c r="I1797" s="713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</row>
    <row r="1798" spans="1:16">
      <c r="A1798">
        <v>4</v>
      </c>
      <c r="B1798" t="s">
        <v>12206</v>
      </c>
      <c r="C1798" t="s">
        <v>12207</v>
      </c>
      <c r="D1798" t="s">
        <v>12209</v>
      </c>
      <c r="E1798" t="s">
        <v>4706</v>
      </c>
      <c r="F1798" t="s">
        <v>4707</v>
      </c>
      <c r="G1798" s="712">
        <v>0</v>
      </c>
      <c r="H1798">
        <v>0</v>
      </c>
      <c r="I1798" s="713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</row>
    <row r="1799" spans="1:16">
      <c r="A1799">
        <v>4</v>
      </c>
      <c r="B1799" t="s">
        <v>12206</v>
      </c>
      <c r="C1799" t="s">
        <v>12207</v>
      </c>
      <c r="D1799" t="s">
        <v>12209</v>
      </c>
      <c r="E1799" t="s">
        <v>4710</v>
      </c>
      <c r="F1799" t="s">
        <v>4711</v>
      </c>
      <c r="G1799" s="712">
        <v>0</v>
      </c>
      <c r="H1799">
        <v>0</v>
      </c>
      <c r="I1799" s="713">
        <v>0</v>
      </c>
      <c r="J1799">
        <v>0</v>
      </c>
      <c r="K1799" s="711">
        <v>11808011</v>
      </c>
      <c r="L1799">
        <v>0</v>
      </c>
      <c r="M1799">
        <v>0</v>
      </c>
      <c r="N1799">
        <v>0</v>
      </c>
      <c r="O1799" s="711">
        <v>11808011</v>
      </c>
      <c r="P1799" s="711">
        <v>-11808011</v>
      </c>
    </row>
    <row r="1800" spans="1:16">
      <c r="A1800">
        <v>4</v>
      </c>
      <c r="B1800" t="s">
        <v>12206</v>
      </c>
      <c r="C1800" t="s">
        <v>12207</v>
      </c>
      <c r="D1800" t="s">
        <v>12209</v>
      </c>
      <c r="E1800" t="s">
        <v>4716</v>
      </c>
      <c r="F1800" t="s">
        <v>4717</v>
      </c>
      <c r="G1800" s="712">
        <v>0</v>
      </c>
      <c r="H1800">
        <v>0</v>
      </c>
      <c r="I1800" s="713">
        <v>0</v>
      </c>
      <c r="J1800">
        <v>0</v>
      </c>
      <c r="K1800" s="711">
        <v>54736552</v>
      </c>
      <c r="L1800">
        <v>0</v>
      </c>
      <c r="M1800">
        <v>0</v>
      </c>
      <c r="N1800">
        <v>0</v>
      </c>
      <c r="O1800" s="711">
        <v>54736552</v>
      </c>
      <c r="P1800" s="711">
        <v>-54736552</v>
      </c>
    </row>
    <row r="1801" spans="1:16" ht="15.75" thickBot="1">
      <c r="A1801">
        <v>4</v>
      </c>
      <c r="B1801" t="s">
        <v>12206</v>
      </c>
      <c r="C1801" t="s">
        <v>12207</v>
      </c>
      <c r="D1801" t="s">
        <v>12209</v>
      </c>
      <c r="E1801" t="s">
        <v>4722</v>
      </c>
      <c r="F1801" t="s">
        <v>4723</v>
      </c>
      <c r="G1801" s="712">
        <v>0</v>
      </c>
      <c r="H1801">
        <v>0</v>
      </c>
      <c r="I1801" s="713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</row>
    <row r="1802" spans="1:16" ht="15.75" thickBot="1">
      <c r="A1802" s="727">
        <v>4</v>
      </c>
      <c r="B1802" s="727" t="s">
        <v>12206</v>
      </c>
      <c r="C1802" s="727" t="s">
        <v>12207</v>
      </c>
      <c r="D1802" s="727" t="s">
        <v>12238</v>
      </c>
      <c r="E1802" s="727"/>
      <c r="F1802" s="729" t="s">
        <v>12239</v>
      </c>
      <c r="G1802" s="738">
        <v>0</v>
      </c>
      <c r="H1802" s="738">
        <v>0</v>
      </c>
      <c r="I1802" s="738">
        <v>0</v>
      </c>
      <c r="J1802" s="739">
        <v>40861.53</v>
      </c>
      <c r="K1802" s="739">
        <v>164134.75</v>
      </c>
      <c r="L1802" s="738">
        <v>0</v>
      </c>
      <c r="M1802" s="738">
        <v>0</v>
      </c>
      <c r="N1802" s="739">
        <v>40861.53</v>
      </c>
      <c r="O1802" s="739">
        <v>164134.75</v>
      </c>
      <c r="P1802" s="739">
        <v>-123273.22</v>
      </c>
    </row>
    <row r="1803" spans="1:16">
      <c r="A1803">
        <v>4</v>
      </c>
      <c r="B1803" t="s">
        <v>12206</v>
      </c>
      <c r="C1803" t="s">
        <v>12207</v>
      </c>
      <c r="D1803" t="s">
        <v>12238</v>
      </c>
      <c r="E1803" t="s">
        <v>4729</v>
      </c>
      <c r="F1803" t="s">
        <v>4730</v>
      </c>
      <c r="G1803" s="712">
        <v>0</v>
      </c>
      <c r="H1803">
        <v>0</v>
      </c>
      <c r="I1803" s="71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</row>
    <row r="1804" spans="1:16">
      <c r="A1804">
        <v>4</v>
      </c>
      <c r="B1804" t="s">
        <v>12206</v>
      </c>
      <c r="C1804" t="s">
        <v>12207</v>
      </c>
      <c r="D1804" t="s">
        <v>12238</v>
      </c>
      <c r="E1804" t="s">
        <v>12240</v>
      </c>
      <c r="F1804" t="s">
        <v>12241</v>
      </c>
      <c r="G1804" s="712">
        <v>0</v>
      </c>
      <c r="H1804">
        <v>0</v>
      </c>
      <c r="I1804" s="713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</row>
    <row r="1805" spans="1:16">
      <c r="A1805">
        <v>4</v>
      </c>
      <c r="B1805" t="s">
        <v>12206</v>
      </c>
      <c r="C1805" t="s">
        <v>12207</v>
      </c>
      <c r="D1805" t="s">
        <v>12238</v>
      </c>
      <c r="E1805" t="s">
        <v>12242</v>
      </c>
      <c r="F1805" t="s">
        <v>12243</v>
      </c>
      <c r="G1805" s="712">
        <v>0</v>
      </c>
      <c r="H1805">
        <v>0</v>
      </c>
      <c r="I1805" s="713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</row>
    <row r="1806" spans="1:16">
      <c r="A1806">
        <v>4</v>
      </c>
      <c r="B1806" t="s">
        <v>12206</v>
      </c>
      <c r="C1806" t="s">
        <v>12207</v>
      </c>
      <c r="D1806" t="s">
        <v>12238</v>
      </c>
      <c r="E1806" t="s">
        <v>12244</v>
      </c>
      <c r="F1806" t="s">
        <v>12245</v>
      </c>
      <c r="G1806" s="712">
        <v>0</v>
      </c>
      <c r="H1806">
        <v>0</v>
      </c>
      <c r="I1806" s="713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</row>
    <row r="1807" spans="1:16">
      <c r="A1807">
        <v>4</v>
      </c>
      <c r="B1807" t="s">
        <v>12206</v>
      </c>
      <c r="C1807" t="s">
        <v>12207</v>
      </c>
      <c r="D1807" t="s">
        <v>12238</v>
      </c>
      <c r="E1807" t="s">
        <v>12246</v>
      </c>
      <c r="F1807" t="s">
        <v>12247</v>
      </c>
      <c r="G1807" s="712">
        <v>0</v>
      </c>
      <c r="H1807">
        <v>0</v>
      </c>
      <c r="I1807" s="713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</row>
    <row r="1808" spans="1:16">
      <c r="A1808">
        <v>4</v>
      </c>
      <c r="B1808" t="s">
        <v>12206</v>
      </c>
      <c r="C1808" t="s">
        <v>12207</v>
      </c>
      <c r="D1808" t="s">
        <v>12238</v>
      </c>
      <c r="E1808" t="s">
        <v>12248</v>
      </c>
      <c r="F1808" t="s">
        <v>4758</v>
      </c>
      <c r="G1808" s="712">
        <v>0</v>
      </c>
      <c r="H1808">
        <v>0</v>
      </c>
      <c r="I1808" s="713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</row>
    <row r="1809" spans="1:16">
      <c r="A1809">
        <v>4</v>
      </c>
      <c r="B1809" t="s">
        <v>12206</v>
      </c>
      <c r="C1809" t="s">
        <v>12207</v>
      </c>
      <c r="D1809" t="s">
        <v>12238</v>
      </c>
      <c r="E1809" t="s">
        <v>12249</v>
      </c>
      <c r="F1809" t="s">
        <v>4761</v>
      </c>
      <c r="G1809" s="712">
        <v>0</v>
      </c>
      <c r="H1809">
        <v>0</v>
      </c>
      <c r="I1809" s="713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</row>
    <row r="1810" spans="1:16">
      <c r="A1810">
        <v>4</v>
      </c>
      <c r="B1810" t="s">
        <v>12206</v>
      </c>
      <c r="C1810" t="s">
        <v>12207</v>
      </c>
      <c r="D1810" t="s">
        <v>12238</v>
      </c>
      <c r="E1810" t="s">
        <v>4733</v>
      </c>
      <c r="F1810" t="s">
        <v>4734</v>
      </c>
      <c r="G1810" s="712">
        <v>0</v>
      </c>
      <c r="H1810">
        <v>0</v>
      </c>
      <c r="I1810" s="713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</row>
    <row r="1811" spans="1:16">
      <c r="A1811">
        <v>4</v>
      </c>
      <c r="B1811" t="s">
        <v>12206</v>
      </c>
      <c r="C1811" t="s">
        <v>12207</v>
      </c>
      <c r="D1811" t="s">
        <v>12238</v>
      </c>
      <c r="E1811" t="s">
        <v>4735</v>
      </c>
      <c r="F1811" t="s">
        <v>4736</v>
      </c>
      <c r="G1811" s="712">
        <v>0</v>
      </c>
      <c r="H1811">
        <v>0</v>
      </c>
      <c r="I1811" s="713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</row>
    <row r="1812" spans="1:16">
      <c r="A1812">
        <v>4</v>
      </c>
      <c r="B1812" t="s">
        <v>12206</v>
      </c>
      <c r="C1812" t="s">
        <v>12207</v>
      </c>
      <c r="D1812" t="s">
        <v>12238</v>
      </c>
      <c r="E1812" t="s">
        <v>4737</v>
      </c>
      <c r="F1812" t="s">
        <v>4738</v>
      </c>
      <c r="G1812" s="712">
        <v>0</v>
      </c>
      <c r="H1812">
        <v>0</v>
      </c>
      <c r="I1812" s="713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</row>
    <row r="1813" spans="1:16">
      <c r="A1813">
        <v>4</v>
      </c>
      <c r="B1813" t="s">
        <v>12206</v>
      </c>
      <c r="C1813" t="s">
        <v>12207</v>
      </c>
      <c r="D1813" t="s">
        <v>12238</v>
      </c>
      <c r="E1813" t="s">
        <v>4739</v>
      </c>
      <c r="F1813" t="s">
        <v>4740</v>
      </c>
      <c r="G1813" s="712">
        <v>0</v>
      </c>
      <c r="H1813">
        <v>0</v>
      </c>
      <c r="I1813" s="7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</row>
    <row r="1814" spans="1:16">
      <c r="A1814">
        <v>4</v>
      </c>
      <c r="B1814" t="s">
        <v>12206</v>
      </c>
      <c r="C1814" t="s">
        <v>12207</v>
      </c>
      <c r="D1814" t="s">
        <v>12238</v>
      </c>
      <c r="E1814" t="s">
        <v>4741</v>
      </c>
      <c r="F1814" t="s">
        <v>4742</v>
      </c>
      <c r="G1814" s="712">
        <v>0</v>
      </c>
      <c r="H1814">
        <v>0</v>
      </c>
      <c r="I1814" s="713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</row>
    <row r="1815" spans="1:16">
      <c r="A1815">
        <v>4</v>
      </c>
      <c r="B1815" t="s">
        <v>12206</v>
      </c>
      <c r="C1815" t="s">
        <v>12207</v>
      </c>
      <c r="D1815" t="s">
        <v>12238</v>
      </c>
      <c r="E1815" t="s">
        <v>4744</v>
      </c>
      <c r="F1815" t="s">
        <v>4743</v>
      </c>
      <c r="G1815" s="712">
        <v>0</v>
      </c>
      <c r="H1815">
        <v>0</v>
      </c>
      <c r="I1815" s="713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</row>
    <row r="1816" spans="1:16">
      <c r="A1816">
        <v>4</v>
      </c>
      <c r="B1816" t="s">
        <v>12206</v>
      </c>
      <c r="C1816" t="s">
        <v>12207</v>
      </c>
      <c r="D1816" t="s">
        <v>12238</v>
      </c>
      <c r="E1816" t="s">
        <v>4745</v>
      </c>
      <c r="F1816" t="s">
        <v>4746</v>
      </c>
      <c r="G1816" s="712">
        <v>0</v>
      </c>
      <c r="H1816">
        <v>0</v>
      </c>
      <c r="I1816" s="713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</row>
    <row r="1817" spans="1:16">
      <c r="A1817">
        <v>4</v>
      </c>
      <c r="B1817" t="s">
        <v>12206</v>
      </c>
      <c r="C1817" t="s">
        <v>12207</v>
      </c>
      <c r="D1817" t="s">
        <v>12238</v>
      </c>
      <c r="E1817" t="s">
        <v>4747</v>
      </c>
      <c r="F1817" t="s">
        <v>4748</v>
      </c>
      <c r="G1817" s="712">
        <v>0</v>
      </c>
      <c r="H1817">
        <v>0</v>
      </c>
      <c r="I1817" s="713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</row>
    <row r="1818" spans="1:16">
      <c r="A1818">
        <v>4</v>
      </c>
      <c r="B1818" t="s">
        <v>12206</v>
      </c>
      <c r="C1818" t="s">
        <v>12207</v>
      </c>
      <c r="D1818" t="s">
        <v>12238</v>
      </c>
      <c r="E1818" t="s">
        <v>4749</v>
      </c>
      <c r="F1818" t="s">
        <v>4750</v>
      </c>
      <c r="G1818" s="712">
        <v>0</v>
      </c>
      <c r="H1818">
        <v>0</v>
      </c>
      <c r="I1818" s="713">
        <v>0</v>
      </c>
      <c r="J1818" s="711">
        <v>40861.53</v>
      </c>
      <c r="K1818" s="711">
        <v>40861.53</v>
      </c>
      <c r="L1818">
        <v>0</v>
      </c>
      <c r="M1818">
        <v>0</v>
      </c>
      <c r="N1818" s="711">
        <v>40861.53</v>
      </c>
      <c r="O1818" s="711">
        <v>40861.53</v>
      </c>
      <c r="P1818">
        <v>0</v>
      </c>
    </row>
    <row r="1819" spans="1:16">
      <c r="A1819">
        <v>4</v>
      </c>
      <c r="B1819" t="s">
        <v>12206</v>
      </c>
      <c r="C1819" t="s">
        <v>12207</v>
      </c>
      <c r="D1819" t="s">
        <v>12238</v>
      </c>
      <c r="E1819" t="s">
        <v>4751</v>
      </c>
      <c r="F1819" t="s">
        <v>4752</v>
      </c>
      <c r="G1819" s="712">
        <v>0</v>
      </c>
      <c r="H1819">
        <v>0</v>
      </c>
      <c r="I1819" s="713">
        <v>0</v>
      </c>
      <c r="J1819">
        <v>0</v>
      </c>
      <c r="K1819" s="711">
        <v>123273.22</v>
      </c>
      <c r="L1819">
        <v>0</v>
      </c>
      <c r="M1819">
        <v>0</v>
      </c>
      <c r="N1819">
        <v>0</v>
      </c>
      <c r="O1819" s="711">
        <v>123273.22</v>
      </c>
      <c r="P1819" s="711">
        <v>-123273.22</v>
      </c>
    </row>
    <row r="1820" spans="1:16">
      <c r="A1820">
        <v>4</v>
      </c>
      <c r="B1820" t="s">
        <v>12206</v>
      </c>
      <c r="C1820" t="s">
        <v>12207</v>
      </c>
      <c r="D1820" t="s">
        <v>12238</v>
      </c>
      <c r="E1820" t="s">
        <v>4754</v>
      </c>
      <c r="F1820" t="s">
        <v>4755</v>
      </c>
      <c r="G1820" s="712">
        <v>0</v>
      </c>
      <c r="H1820">
        <v>0</v>
      </c>
      <c r="I1820" s="713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</row>
    <row r="1821" spans="1:16">
      <c r="A1821">
        <v>4</v>
      </c>
      <c r="B1821" t="s">
        <v>12206</v>
      </c>
      <c r="C1821" t="s">
        <v>12207</v>
      </c>
      <c r="D1821" t="s">
        <v>12238</v>
      </c>
      <c r="E1821" t="s">
        <v>12250</v>
      </c>
      <c r="F1821" t="s">
        <v>12247</v>
      </c>
      <c r="G1821" s="712">
        <v>0</v>
      </c>
      <c r="H1821">
        <v>0</v>
      </c>
      <c r="I1821" s="713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</row>
    <row r="1822" spans="1:16">
      <c r="A1822">
        <v>4</v>
      </c>
      <c r="B1822" t="s">
        <v>12206</v>
      </c>
      <c r="C1822" t="s">
        <v>12207</v>
      </c>
      <c r="D1822" t="s">
        <v>12238</v>
      </c>
      <c r="E1822" t="s">
        <v>4757</v>
      </c>
      <c r="F1822" t="s">
        <v>4758</v>
      </c>
      <c r="G1822" s="712">
        <v>0</v>
      </c>
      <c r="H1822">
        <v>0</v>
      </c>
      <c r="I1822" s="713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</row>
    <row r="1823" spans="1:16" ht="15.75" thickBot="1">
      <c r="A1823">
        <v>4</v>
      </c>
      <c r="B1823" t="s">
        <v>12206</v>
      </c>
      <c r="C1823" t="s">
        <v>12207</v>
      </c>
      <c r="D1823" t="s">
        <v>12238</v>
      </c>
      <c r="E1823" t="s">
        <v>4760</v>
      </c>
      <c r="F1823" t="s">
        <v>4761</v>
      </c>
      <c r="G1823" s="712">
        <v>0</v>
      </c>
      <c r="H1823">
        <v>0</v>
      </c>
      <c r="I1823" s="71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</row>
    <row r="1824" spans="1:16" ht="15.75" thickBot="1">
      <c r="A1824" s="727">
        <v>4</v>
      </c>
      <c r="B1824" s="727" t="s">
        <v>12206</v>
      </c>
      <c r="C1824" s="727" t="s">
        <v>12251</v>
      </c>
      <c r="D1824" s="727"/>
      <c r="E1824" s="727"/>
      <c r="F1824" s="745" t="s">
        <v>12252</v>
      </c>
      <c r="G1824" s="738">
        <v>0</v>
      </c>
      <c r="H1824" s="738">
        <v>0</v>
      </c>
      <c r="I1824" s="738">
        <v>0</v>
      </c>
      <c r="J1824" s="738">
        <v>0</v>
      </c>
      <c r="K1824" s="739">
        <v>4062330.97</v>
      </c>
      <c r="L1824" s="738">
        <v>0</v>
      </c>
      <c r="M1824" s="738">
        <v>0</v>
      </c>
      <c r="N1824" s="738">
        <v>0</v>
      </c>
      <c r="O1824" s="739">
        <v>4062330.97</v>
      </c>
      <c r="P1824" s="739">
        <v>-4062330.97</v>
      </c>
    </row>
    <row r="1825" spans="1:16" ht="15.75" thickBot="1">
      <c r="A1825" s="727">
        <v>4</v>
      </c>
      <c r="B1825" s="727" t="s">
        <v>12206</v>
      </c>
      <c r="C1825" s="727" t="s">
        <v>12251</v>
      </c>
      <c r="D1825" s="727" t="s">
        <v>12253</v>
      </c>
      <c r="E1825" s="727"/>
      <c r="F1825" s="729" t="s">
        <v>12254</v>
      </c>
      <c r="G1825" s="738">
        <v>0</v>
      </c>
      <c r="H1825" s="738">
        <v>0</v>
      </c>
      <c r="I1825" s="738">
        <v>0</v>
      </c>
      <c r="J1825" s="738">
        <v>0</v>
      </c>
      <c r="K1825" s="738">
        <v>0</v>
      </c>
      <c r="L1825" s="738">
        <v>0</v>
      </c>
      <c r="M1825" s="738">
        <v>0</v>
      </c>
      <c r="N1825" s="738">
        <v>0</v>
      </c>
      <c r="O1825" s="738">
        <v>0</v>
      </c>
      <c r="P1825" s="738">
        <v>0</v>
      </c>
    </row>
    <row r="1826" spans="1:16">
      <c r="A1826">
        <v>4</v>
      </c>
      <c r="B1826" t="s">
        <v>12206</v>
      </c>
      <c r="C1826" t="s">
        <v>12251</v>
      </c>
      <c r="D1826" t="s">
        <v>12253</v>
      </c>
      <c r="E1826" t="s">
        <v>4769</v>
      </c>
      <c r="F1826" t="s">
        <v>4770</v>
      </c>
      <c r="G1826" s="712">
        <v>0</v>
      </c>
      <c r="H1826">
        <v>0</v>
      </c>
      <c r="I1826" s="713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</row>
    <row r="1827" spans="1:16">
      <c r="A1827">
        <v>4</v>
      </c>
      <c r="B1827" t="s">
        <v>12206</v>
      </c>
      <c r="C1827" t="s">
        <v>12251</v>
      </c>
      <c r="D1827" t="s">
        <v>12253</v>
      </c>
      <c r="E1827" t="s">
        <v>4773</v>
      </c>
      <c r="F1827" t="s">
        <v>4774</v>
      </c>
      <c r="G1827" s="712">
        <v>0</v>
      </c>
      <c r="H1827">
        <v>0</v>
      </c>
      <c r="I1827" s="713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</row>
    <row r="1828" spans="1:16">
      <c r="A1828">
        <v>4</v>
      </c>
      <c r="B1828" t="s">
        <v>12206</v>
      </c>
      <c r="C1828" t="s">
        <v>12251</v>
      </c>
      <c r="D1828" t="s">
        <v>12253</v>
      </c>
      <c r="E1828" t="s">
        <v>4775</v>
      </c>
      <c r="F1828" t="s">
        <v>4776</v>
      </c>
      <c r="G1828" s="712">
        <v>0</v>
      </c>
      <c r="H1828">
        <v>0</v>
      </c>
      <c r="I1828" s="713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</row>
    <row r="1829" spans="1:16">
      <c r="A1829">
        <v>4</v>
      </c>
      <c r="B1829" t="s">
        <v>12206</v>
      </c>
      <c r="C1829" t="s">
        <v>12251</v>
      </c>
      <c r="D1829" t="s">
        <v>12253</v>
      </c>
      <c r="E1829" t="s">
        <v>4780</v>
      </c>
      <c r="F1829" t="s">
        <v>4781</v>
      </c>
      <c r="G1829" s="712">
        <v>0</v>
      </c>
      <c r="H1829">
        <v>0</v>
      </c>
      <c r="I1829" s="713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</row>
    <row r="1830" spans="1:16">
      <c r="A1830">
        <v>4</v>
      </c>
      <c r="B1830" t="s">
        <v>12206</v>
      </c>
      <c r="C1830" t="s">
        <v>12251</v>
      </c>
      <c r="D1830" t="s">
        <v>12253</v>
      </c>
      <c r="E1830" t="s">
        <v>4785</v>
      </c>
      <c r="F1830" t="s">
        <v>4786</v>
      </c>
      <c r="G1830" s="712">
        <v>0</v>
      </c>
      <c r="H1830">
        <v>0</v>
      </c>
      <c r="I1830" s="713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</row>
    <row r="1831" spans="1:16" ht="15.75" thickBot="1">
      <c r="A1831">
        <v>4</v>
      </c>
      <c r="B1831" t="s">
        <v>12206</v>
      </c>
      <c r="C1831" t="s">
        <v>12251</v>
      </c>
      <c r="D1831" t="s">
        <v>12253</v>
      </c>
      <c r="E1831" t="s">
        <v>4789</v>
      </c>
      <c r="F1831" t="s">
        <v>4790</v>
      </c>
      <c r="G1831" s="712">
        <v>0</v>
      </c>
      <c r="H1831">
        <v>0</v>
      </c>
      <c r="I1831" s="713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</row>
    <row r="1832" spans="1:16" ht="15.75" thickBot="1">
      <c r="A1832" s="727">
        <v>4</v>
      </c>
      <c r="B1832" s="727" t="s">
        <v>12206</v>
      </c>
      <c r="C1832" s="727" t="s">
        <v>12251</v>
      </c>
      <c r="D1832" s="727" t="s">
        <v>12255</v>
      </c>
      <c r="E1832" s="727"/>
      <c r="F1832" s="729" t="s">
        <v>12256</v>
      </c>
      <c r="G1832" s="738">
        <v>0</v>
      </c>
      <c r="H1832" s="738">
        <v>0</v>
      </c>
      <c r="I1832" s="738">
        <v>0</v>
      </c>
      <c r="J1832" s="738">
        <v>0</v>
      </c>
      <c r="K1832" s="738">
        <v>0</v>
      </c>
      <c r="L1832" s="738">
        <v>0</v>
      </c>
      <c r="M1832" s="738">
        <v>0</v>
      </c>
      <c r="N1832" s="738">
        <v>0</v>
      </c>
      <c r="O1832" s="738">
        <v>0</v>
      </c>
      <c r="P1832" s="738">
        <v>0</v>
      </c>
    </row>
    <row r="1833" spans="1:16">
      <c r="A1833">
        <v>4</v>
      </c>
      <c r="B1833" t="s">
        <v>12206</v>
      </c>
      <c r="C1833" t="s">
        <v>12251</v>
      </c>
      <c r="D1833" t="s">
        <v>12255</v>
      </c>
      <c r="E1833" t="s">
        <v>4794</v>
      </c>
      <c r="F1833" t="s">
        <v>4795</v>
      </c>
      <c r="G1833" s="712">
        <v>0</v>
      </c>
      <c r="H1833">
        <v>0</v>
      </c>
      <c r="I1833" s="71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</row>
    <row r="1834" spans="1:16" ht="15.75" thickBot="1">
      <c r="A1834">
        <v>4</v>
      </c>
      <c r="B1834" t="s">
        <v>12206</v>
      </c>
      <c r="C1834" t="s">
        <v>12251</v>
      </c>
      <c r="D1834" t="s">
        <v>12255</v>
      </c>
      <c r="E1834" t="s">
        <v>4799</v>
      </c>
      <c r="F1834" t="s">
        <v>4800</v>
      </c>
      <c r="G1834" s="712">
        <v>0</v>
      </c>
      <c r="H1834">
        <v>0</v>
      </c>
      <c r="I1834" s="713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</row>
    <row r="1835" spans="1:16" ht="15.75" thickBot="1">
      <c r="A1835" s="727">
        <v>4</v>
      </c>
      <c r="B1835" s="727" t="s">
        <v>12206</v>
      </c>
      <c r="C1835" s="727" t="s">
        <v>12251</v>
      </c>
      <c r="D1835" s="727" t="s">
        <v>12257</v>
      </c>
      <c r="E1835" s="727"/>
      <c r="F1835" s="729" t="s">
        <v>12258</v>
      </c>
      <c r="G1835" s="738">
        <v>0</v>
      </c>
      <c r="H1835" s="738">
        <v>0</v>
      </c>
      <c r="I1835" s="738">
        <v>0</v>
      </c>
      <c r="J1835" s="738">
        <v>0</v>
      </c>
      <c r="K1835" s="739">
        <v>4062330.97</v>
      </c>
      <c r="L1835" s="738">
        <v>0</v>
      </c>
      <c r="M1835" s="738">
        <v>0</v>
      </c>
      <c r="N1835" s="738">
        <v>0</v>
      </c>
      <c r="O1835" s="739">
        <v>4062330.97</v>
      </c>
      <c r="P1835" s="739">
        <v>-4062330.97</v>
      </c>
    </row>
    <row r="1836" spans="1:16">
      <c r="A1836">
        <v>4</v>
      </c>
      <c r="B1836" t="s">
        <v>12206</v>
      </c>
      <c r="C1836" t="s">
        <v>12251</v>
      </c>
      <c r="D1836" t="s">
        <v>12257</v>
      </c>
      <c r="E1836" t="s">
        <v>4815</v>
      </c>
      <c r="F1836" t="s">
        <v>4816</v>
      </c>
      <c r="G1836" s="712">
        <v>0</v>
      </c>
      <c r="H1836">
        <v>0</v>
      </c>
      <c r="I1836" s="713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</row>
    <row r="1837" spans="1:16">
      <c r="A1837">
        <v>4</v>
      </c>
      <c r="B1837" t="s">
        <v>12206</v>
      </c>
      <c r="C1837" t="s">
        <v>12251</v>
      </c>
      <c r="D1837" t="s">
        <v>12257</v>
      </c>
      <c r="E1837" t="s">
        <v>12259</v>
      </c>
      <c r="F1837" t="s">
        <v>4810</v>
      </c>
      <c r="G1837" s="712">
        <v>0</v>
      </c>
      <c r="H1837">
        <v>0</v>
      </c>
      <c r="I1837" s="713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</row>
    <row r="1838" spans="1:16">
      <c r="A1838">
        <v>4</v>
      </c>
      <c r="B1838" t="s">
        <v>12206</v>
      </c>
      <c r="C1838" t="s">
        <v>12251</v>
      </c>
      <c r="D1838" t="s">
        <v>12257</v>
      </c>
      <c r="E1838" t="s">
        <v>4819</v>
      </c>
      <c r="F1838" t="s">
        <v>4820</v>
      </c>
      <c r="G1838" s="712">
        <v>0</v>
      </c>
      <c r="H1838">
        <v>0</v>
      </c>
      <c r="I1838" s="713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</row>
    <row r="1839" spans="1:16">
      <c r="A1839">
        <v>4</v>
      </c>
      <c r="B1839" t="s">
        <v>12206</v>
      </c>
      <c r="C1839" t="s">
        <v>12251</v>
      </c>
      <c r="D1839" t="s">
        <v>12257</v>
      </c>
      <c r="E1839" t="s">
        <v>4822</v>
      </c>
      <c r="F1839" t="s">
        <v>4823</v>
      </c>
      <c r="G1839" s="712">
        <v>0</v>
      </c>
      <c r="H1839">
        <v>0</v>
      </c>
      <c r="I1839" s="713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</row>
    <row r="1840" spans="1:16">
      <c r="A1840">
        <v>4</v>
      </c>
      <c r="B1840" t="s">
        <v>12206</v>
      </c>
      <c r="C1840" t="s">
        <v>12251</v>
      </c>
      <c r="D1840" t="s">
        <v>12257</v>
      </c>
      <c r="E1840" t="s">
        <v>4825</v>
      </c>
      <c r="F1840" t="s">
        <v>4826</v>
      </c>
      <c r="G1840" s="712">
        <v>0</v>
      </c>
      <c r="H1840">
        <v>0</v>
      </c>
      <c r="I1840" s="713">
        <v>0</v>
      </c>
      <c r="J1840">
        <v>0</v>
      </c>
      <c r="K1840" s="711">
        <v>3712694.68</v>
      </c>
      <c r="L1840">
        <v>0</v>
      </c>
      <c r="M1840">
        <v>0</v>
      </c>
      <c r="N1840">
        <v>0</v>
      </c>
      <c r="O1840" s="711">
        <v>3712694.68</v>
      </c>
      <c r="P1840" s="711">
        <v>-3712694.68</v>
      </c>
    </row>
    <row r="1841" spans="1:16">
      <c r="A1841">
        <v>4</v>
      </c>
      <c r="B1841" t="s">
        <v>12206</v>
      </c>
      <c r="C1841" t="s">
        <v>12251</v>
      </c>
      <c r="D1841" t="s">
        <v>12257</v>
      </c>
      <c r="E1841" t="s">
        <v>4830</v>
      </c>
      <c r="F1841" t="s">
        <v>4831</v>
      </c>
      <c r="G1841" s="712">
        <v>0</v>
      </c>
      <c r="H1841">
        <v>0</v>
      </c>
      <c r="I1841" s="713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</row>
    <row r="1842" spans="1:16">
      <c r="A1842">
        <v>4</v>
      </c>
      <c r="B1842" t="s">
        <v>12206</v>
      </c>
      <c r="C1842" t="s">
        <v>12251</v>
      </c>
      <c r="D1842" t="s">
        <v>12257</v>
      </c>
      <c r="E1842" t="s">
        <v>4833</v>
      </c>
      <c r="F1842" t="s">
        <v>4834</v>
      </c>
      <c r="G1842" s="712">
        <v>0</v>
      </c>
      <c r="H1842">
        <v>0</v>
      </c>
      <c r="I1842" s="713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</row>
    <row r="1843" spans="1:16">
      <c r="A1843">
        <v>4</v>
      </c>
      <c r="B1843" t="s">
        <v>12206</v>
      </c>
      <c r="C1843" t="s">
        <v>12251</v>
      </c>
      <c r="D1843" t="s">
        <v>12257</v>
      </c>
      <c r="E1843" t="s">
        <v>4838</v>
      </c>
      <c r="F1843" t="s">
        <v>4839</v>
      </c>
      <c r="G1843" s="712">
        <v>0</v>
      </c>
      <c r="H1843">
        <v>0</v>
      </c>
      <c r="I1843" s="71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</row>
    <row r="1844" spans="1:16">
      <c r="A1844">
        <v>4</v>
      </c>
      <c r="B1844" t="s">
        <v>12206</v>
      </c>
      <c r="C1844" t="s">
        <v>12251</v>
      </c>
      <c r="D1844" t="s">
        <v>12257</v>
      </c>
      <c r="E1844" t="s">
        <v>4843</v>
      </c>
      <c r="F1844" t="s">
        <v>4844</v>
      </c>
      <c r="G1844" s="712">
        <v>0</v>
      </c>
      <c r="H1844">
        <v>0</v>
      </c>
      <c r="I1844" s="713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</row>
    <row r="1845" spans="1:16">
      <c r="A1845">
        <v>4</v>
      </c>
      <c r="B1845" t="s">
        <v>12206</v>
      </c>
      <c r="C1845" t="s">
        <v>12251</v>
      </c>
      <c r="D1845" t="s">
        <v>12257</v>
      </c>
      <c r="E1845" t="s">
        <v>4846</v>
      </c>
      <c r="F1845" t="s">
        <v>4847</v>
      </c>
      <c r="G1845" s="712">
        <v>0</v>
      </c>
      <c r="H1845">
        <v>0</v>
      </c>
      <c r="I1845" s="713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</row>
    <row r="1846" spans="1:16">
      <c r="A1846">
        <v>4</v>
      </c>
      <c r="B1846" t="s">
        <v>12206</v>
      </c>
      <c r="C1846" t="s">
        <v>12251</v>
      </c>
      <c r="D1846" t="s">
        <v>12257</v>
      </c>
      <c r="E1846" t="s">
        <v>4849</v>
      </c>
      <c r="F1846" t="s">
        <v>4850</v>
      </c>
      <c r="G1846" s="712">
        <v>0</v>
      </c>
      <c r="H1846">
        <v>0</v>
      </c>
      <c r="I1846" s="713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</row>
    <row r="1847" spans="1:16">
      <c r="A1847">
        <v>4</v>
      </c>
      <c r="B1847" t="s">
        <v>12206</v>
      </c>
      <c r="C1847" t="s">
        <v>12251</v>
      </c>
      <c r="D1847" t="s">
        <v>12257</v>
      </c>
      <c r="E1847" t="s">
        <v>4852</v>
      </c>
      <c r="F1847" t="s">
        <v>4853</v>
      </c>
      <c r="G1847" s="712">
        <v>0</v>
      </c>
      <c r="H1847">
        <v>0</v>
      </c>
      <c r="I1847" s="713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</row>
    <row r="1848" spans="1:16">
      <c r="A1848">
        <v>4</v>
      </c>
      <c r="B1848" t="s">
        <v>12206</v>
      </c>
      <c r="C1848" t="s">
        <v>12251</v>
      </c>
      <c r="D1848" t="s">
        <v>12257</v>
      </c>
      <c r="E1848" t="s">
        <v>4855</v>
      </c>
      <c r="F1848" t="s">
        <v>4856</v>
      </c>
      <c r="G1848" s="712">
        <v>0</v>
      </c>
      <c r="H1848">
        <v>0</v>
      </c>
      <c r="I1848" s="713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</row>
    <row r="1849" spans="1:16">
      <c r="A1849">
        <v>4</v>
      </c>
      <c r="B1849" t="s">
        <v>12206</v>
      </c>
      <c r="C1849" t="s">
        <v>12251</v>
      </c>
      <c r="D1849" t="s">
        <v>12257</v>
      </c>
      <c r="E1849" t="s">
        <v>4859</v>
      </c>
      <c r="F1849" t="s">
        <v>4860</v>
      </c>
      <c r="G1849" s="712">
        <v>0</v>
      </c>
      <c r="H1849">
        <v>0</v>
      </c>
      <c r="I1849" s="713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</row>
    <row r="1850" spans="1:16" ht="15.75" thickBot="1">
      <c r="A1850">
        <v>4</v>
      </c>
      <c r="B1850" t="s">
        <v>12206</v>
      </c>
      <c r="C1850" t="s">
        <v>12251</v>
      </c>
      <c r="D1850" t="s">
        <v>12257</v>
      </c>
      <c r="E1850" t="s">
        <v>4809</v>
      </c>
      <c r="F1850" t="s">
        <v>4810</v>
      </c>
      <c r="G1850" s="712">
        <v>0</v>
      </c>
      <c r="H1850">
        <v>0</v>
      </c>
      <c r="I1850" s="713">
        <v>0</v>
      </c>
      <c r="J1850">
        <v>0</v>
      </c>
      <c r="K1850" s="711">
        <v>349636.29</v>
      </c>
      <c r="L1850">
        <v>0</v>
      </c>
      <c r="M1850">
        <v>0</v>
      </c>
      <c r="N1850">
        <v>0</v>
      </c>
      <c r="O1850" s="711">
        <v>349636.29</v>
      </c>
      <c r="P1850" s="711">
        <v>-349636.29</v>
      </c>
    </row>
    <row r="1851" spans="1:16" ht="15.75" thickBot="1">
      <c r="A1851" s="727">
        <v>4</v>
      </c>
      <c r="B1851" s="727" t="s">
        <v>12206</v>
      </c>
      <c r="C1851" s="727" t="s">
        <v>12260</v>
      </c>
      <c r="D1851" s="727"/>
      <c r="E1851" s="727"/>
      <c r="F1851" s="745" t="s">
        <v>12261</v>
      </c>
      <c r="G1851" s="738">
        <v>0</v>
      </c>
      <c r="H1851" s="738">
        <v>0</v>
      </c>
      <c r="I1851" s="738">
        <v>0</v>
      </c>
      <c r="J1851" s="738">
        <v>0</v>
      </c>
      <c r="K1851" s="738">
        <v>0</v>
      </c>
      <c r="L1851" s="738">
        <v>0</v>
      </c>
      <c r="M1851" s="738">
        <v>0</v>
      </c>
      <c r="N1851" s="738">
        <v>0</v>
      </c>
      <c r="O1851" s="738">
        <v>0</v>
      </c>
      <c r="P1851" s="738">
        <v>0</v>
      </c>
    </row>
    <row r="1852" spans="1:16" ht="15.75" thickBot="1">
      <c r="A1852" s="727">
        <v>4</v>
      </c>
      <c r="B1852" s="727" t="s">
        <v>12206</v>
      </c>
      <c r="C1852" s="727" t="s">
        <v>12260</v>
      </c>
      <c r="D1852" s="727" t="s">
        <v>12262</v>
      </c>
      <c r="E1852" s="727"/>
      <c r="F1852" s="729" t="s">
        <v>4871</v>
      </c>
      <c r="G1852" s="738">
        <v>0</v>
      </c>
      <c r="H1852" s="738">
        <v>0</v>
      </c>
      <c r="I1852" s="738">
        <v>0</v>
      </c>
      <c r="J1852" s="738">
        <v>0</v>
      </c>
      <c r="K1852" s="738">
        <v>0</v>
      </c>
      <c r="L1852" s="738">
        <v>0</v>
      </c>
      <c r="M1852" s="738">
        <v>0</v>
      </c>
      <c r="N1852" s="738">
        <v>0</v>
      </c>
      <c r="O1852" s="738">
        <v>0</v>
      </c>
      <c r="P1852" s="738">
        <v>0</v>
      </c>
    </row>
    <row r="1853" spans="1:16" ht="15.75" thickBot="1">
      <c r="A1853">
        <v>4</v>
      </c>
      <c r="B1853" t="s">
        <v>12206</v>
      </c>
      <c r="C1853" t="s">
        <v>12260</v>
      </c>
      <c r="D1853" t="s">
        <v>12262</v>
      </c>
      <c r="E1853" t="s">
        <v>4870</v>
      </c>
      <c r="F1853" t="s">
        <v>4871</v>
      </c>
      <c r="G1853" s="712">
        <v>0</v>
      </c>
      <c r="H1853">
        <v>0</v>
      </c>
      <c r="I1853" s="71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</row>
    <row r="1854" spans="1:16" ht="15.75" thickBot="1">
      <c r="A1854" s="727">
        <v>4</v>
      </c>
      <c r="B1854" s="727" t="s">
        <v>12206</v>
      </c>
      <c r="C1854" s="727" t="s">
        <v>12260</v>
      </c>
      <c r="D1854" s="727" t="s">
        <v>12263</v>
      </c>
      <c r="E1854" s="727"/>
      <c r="F1854" s="729" t="s">
        <v>4876</v>
      </c>
      <c r="G1854" s="738">
        <v>0</v>
      </c>
      <c r="H1854" s="738">
        <v>0</v>
      </c>
      <c r="I1854" s="738">
        <v>0</v>
      </c>
      <c r="J1854" s="738">
        <v>0</v>
      </c>
      <c r="K1854" s="738">
        <v>0</v>
      </c>
      <c r="L1854" s="738">
        <v>0</v>
      </c>
      <c r="M1854" s="738">
        <v>0</v>
      </c>
      <c r="N1854" s="738">
        <v>0</v>
      </c>
      <c r="O1854" s="738">
        <v>0</v>
      </c>
      <c r="P1854" s="738">
        <v>0</v>
      </c>
    </row>
    <row r="1855" spans="1:16" ht="15.75" thickBot="1">
      <c r="A1855">
        <v>4</v>
      </c>
      <c r="B1855" t="s">
        <v>12206</v>
      </c>
      <c r="C1855" t="s">
        <v>12260</v>
      </c>
      <c r="D1855" t="s">
        <v>12263</v>
      </c>
      <c r="E1855" t="s">
        <v>4875</v>
      </c>
      <c r="F1855" t="s">
        <v>4876</v>
      </c>
      <c r="G1855" s="712">
        <v>0</v>
      </c>
      <c r="H1855">
        <v>0</v>
      </c>
      <c r="I1855" s="713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</row>
    <row r="1856" spans="1:16" ht="15.75" thickBot="1">
      <c r="A1856" s="727">
        <v>4</v>
      </c>
      <c r="B1856" s="727" t="s">
        <v>12206</v>
      </c>
      <c r="C1856" s="727" t="s">
        <v>12260</v>
      </c>
      <c r="D1856" s="727" t="s">
        <v>12264</v>
      </c>
      <c r="E1856" s="727"/>
      <c r="F1856" s="729" t="s">
        <v>4881</v>
      </c>
      <c r="G1856" s="738">
        <v>0</v>
      </c>
      <c r="H1856" s="738">
        <v>0</v>
      </c>
      <c r="I1856" s="738">
        <v>0</v>
      </c>
      <c r="J1856" s="738">
        <v>0</v>
      </c>
      <c r="K1856" s="738">
        <v>0</v>
      </c>
      <c r="L1856" s="738">
        <v>0</v>
      </c>
      <c r="M1856" s="738">
        <v>0</v>
      </c>
      <c r="N1856" s="738">
        <v>0</v>
      </c>
      <c r="O1856" s="738">
        <v>0</v>
      </c>
      <c r="P1856" s="738">
        <v>0</v>
      </c>
    </row>
    <row r="1857" spans="1:16">
      <c r="A1857">
        <v>4</v>
      </c>
      <c r="B1857" t="s">
        <v>12206</v>
      </c>
      <c r="C1857" t="s">
        <v>12260</v>
      </c>
      <c r="D1857" t="s">
        <v>12264</v>
      </c>
      <c r="E1857" t="s">
        <v>4880</v>
      </c>
      <c r="F1857" t="s">
        <v>4881</v>
      </c>
      <c r="G1857" s="712">
        <v>0</v>
      </c>
      <c r="H1857">
        <v>0</v>
      </c>
      <c r="I1857" s="713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</row>
    <row r="1858" spans="1:16">
      <c r="A1858">
        <v>4</v>
      </c>
      <c r="B1858" t="s">
        <v>12206</v>
      </c>
      <c r="C1858" t="s">
        <v>12260</v>
      </c>
      <c r="D1858" t="s">
        <v>12264</v>
      </c>
      <c r="E1858" t="s">
        <v>4882</v>
      </c>
      <c r="F1858" t="s">
        <v>4883</v>
      </c>
      <c r="G1858" s="712">
        <v>0</v>
      </c>
      <c r="H1858">
        <v>0</v>
      </c>
      <c r="I1858" s="713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</row>
    <row r="1859" spans="1:16" ht="15.75" thickBot="1">
      <c r="A1859">
        <v>4</v>
      </c>
      <c r="B1859" t="s">
        <v>12206</v>
      </c>
      <c r="C1859" t="s">
        <v>12260</v>
      </c>
      <c r="D1859" t="s">
        <v>12264</v>
      </c>
      <c r="E1859" t="s">
        <v>4884</v>
      </c>
      <c r="F1859" t="s">
        <v>4885</v>
      </c>
      <c r="G1859" s="712">
        <v>0</v>
      </c>
      <c r="H1859">
        <v>0</v>
      </c>
      <c r="I1859" s="713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</row>
    <row r="1860" spans="1:16" ht="15.75" thickBot="1">
      <c r="A1860" s="727">
        <v>4</v>
      </c>
      <c r="B1860" s="727" t="s">
        <v>12206</v>
      </c>
      <c r="C1860" s="727" t="s">
        <v>12260</v>
      </c>
      <c r="D1860" s="727" t="s">
        <v>12265</v>
      </c>
      <c r="E1860" s="727"/>
      <c r="F1860" s="729" t="s">
        <v>4890</v>
      </c>
      <c r="G1860" s="738">
        <v>0</v>
      </c>
      <c r="H1860" s="738">
        <v>0</v>
      </c>
      <c r="I1860" s="738">
        <v>0</v>
      </c>
      <c r="J1860" s="738">
        <v>0</v>
      </c>
      <c r="K1860" s="738">
        <v>0</v>
      </c>
      <c r="L1860" s="738">
        <v>0</v>
      </c>
      <c r="M1860" s="738">
        <v>0</v>
      </c>
      <c r="N1860" s="738">
        <v>0</v>
      </c>
      <c r="O1860" s="738">
        <v>0</v>
      </c>
      <c r="P1860" s="738">
        <v>0</v>
      </c>
    </row>
    <row r="1861" spans="1:16" ht="15.75" thickBot="1">
      <c r="A1861">
        <v>4</v>
      </c>
      <c r="B1861" t="s">
        <v>12206</v>
      </c>
      <c r="C1861" t="s">
        <v>12260</v>
      </c>
      <c r="D1861" t="s">
        <v>12265</v>
      </c>
      <c r="E1861" t="s">
        <v>4889</v>
      </c>
      <c r="F1861" t="s">
        <v>4890</v>
      </c>
      <c r="G1861" s="712">
        <v>0</v>
      </c>
      <c r="H1861">
        <v>0</v>
      </c>
      <c r="I1861" s="713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</row>
    <row r="1862" spans="1:16" ht="15.75" thickBot="1">
      <c r="A1862" s="727">
        <v>4</v>
      </c>
      <c r="B1862" s="727" t="s">
        <v>12206</v>
      </c>
      <c r="C1862" s="727" t="s">
        <v>12266</v>
      </c>
      <c r="D1862" s="727"/>
      <c r="E1862" s="727"/>
      <c r="F1862" s="745" t="s">
        <v>4895</v>
      </c>
      <c r="G1862" s="738">
        <v>0</v>
      </c>
      <c r="H1862" s="738">
        <v>0</v>
      </c>
      <c r="I1862" s="738">
        <v>0</v>
      </c>
      <c r="J1862" s="738">
        <v>0</v>
      </c>
      <c r="K1862" s="738">
        <v>0</v>
      </c>
      <c r="L1862" s="738">
        <v>0</v>
      </c>
      <c r="M1862" s="738">
        <v>0</v>
      </c>
      <c r="N1862" s="738">
        <v>0</v>
      </c>
      <c r="O1862" s="738">
        <v>0</v>
      </c>
      <c r="P1862" s="738">
        <v>0</v>
      </c>
    </row>
    <row r="1863" spans="1:16" ht="15.75" thickBot="1">
      <c r="A1863" s="727">
        <v>4</v>
      </c>
      <c r="B1863" s="727" t="s">
        <v>12206</v>
      </c>
      <c r="C1863" s="727" t="s">
        <v>12266</v>
      </c>
      <c r="D1863" s="727" t="s">
        <v>12267</v>
      </c>
      <c r="E1863" s="727"/>
      <c r="F1863" s="729" t="s">
        <v>4895</v>
      </c>
      <c r="G1863" s="738">
        <v>0</v>
      </c>
      <c r="H1863" s="738">
        <v>0</v>
      </c>
      <c r="I1863" s="738">
        <v>0</v>
      </c>
      <c r="J1863" s="738">
        <v>0</v>
      </c>
      <c r="K1863" s="738">
        <v>0</v>
      </c>
      <c r="L1863" s="738">
        <v>0</v>
      </c>
      <c r="M1863" s="738">
        <v>0</v>
      </c>
      <c r="N1863" s="738">
        <v>0</v>
      </c>
      <c r="O1863" s="738">
        <v>0</v>
      </c>
      <c r="P1863" s="738">
        <v>0</v>
      </c>
    </row>
    <row r="1864" spans="1:16" ht="15.75" thickBot="1">
      <c r="A1864">
        <v>4</v>
      </c>
      <c r="B1864" t="s">
        <v>12206</v>
      </c>
      <c r="C1864" t="s">
        <v>12266</v>
      </c>
      <c r="D1864" t="s">
        <v>12267</v>
      </c>
      <c r="E1864" t="s">
        <v>4894</v>
      </c>
      <c r="F1864" t="s">
        <v>4895</v>
      </c>
      <c r="G1864" s="712">
        <v>0</v>
      </c>
      <c r="H1864">
        <v>0</v>
      </c>
      <c r="I1864" s="713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</row>
    <row r="1865" spans="1:16" ht="15.75" thickBot="1">
      <c r="A1865" s="727">
        <v>4</v>
      </c>
      <c r="B1865" s="727" t="s">
        <v>12268</v>
      </c>
      <c r="C1865" s="727"/>
      <c r="D1865" s="727"/>
      <c r="E1865" s="727"/>
      <c r="F1865" s="745" t="s">
        <v>12269</v>
      </c>
      <c r="G1865" s="738">
        <v>0</v>
      </c>
      <c r="H1865" s="738">
        <v>0</v>
      </c>
      <c r="I1865" s="738">
        <v>0</v>
      </c>
      <c r="J1865" s="739">
        <v>3466830.95</v>
      </c>
      <c r="K1865" s="738">
        <v>0</v>
      </c>
      <c r="L1865" s="738">
        <v>0</v>
      </c>
      <c r="M1865" s="738">
        <v>0</v>
      </c>
      <c r="N1865" s="739">
        <v>3466830.95</v>
      </c>
      <c r="O1865" s="738">
        <v>0</v>
      </c>
      <c r="P1865" s="739">
        <v>3466830.95</v>
      </c>
    </row>
    <row r="1866" spans="1:16" ht="15.75" thickBot="1">
      <c r="A1866" s="727">
        <v>4</v>
      </c>
      <c r="B1866" s="727" t="s">
        <v>12268</v>
      </c>
      <c r="C1866" s="727" t="s">
        <v>12270</v>
      </c>
      <c r="D1866" s="727"/>
      <c r="E1866" s="727"/>
      <c r="F1866" s="745" t="s">
        <v>12271</v>
      </c>
      <c r="G1866" s="738">
        <v>0</v>
      </c>
      <c r="H1866" s="738">
        <v>0</v>
      </c>
      <c r="I1866" s="738">
        <v>0</v>
      </c>
      <c r="J1866" s="739">
        <v>3466830.95</v>
      </c>
      <c r="K1866" s="738">
        <v>0</v>
      </c>
      <c r="L1866" s="738">
        <v>0</v>
      </c>
      <c r="M1866" s="738">
        <v>0</v>
      </c>
      <c r="N1866" s="739">
        <v>3466830.95</v>
      </c>
      <c r="O1866" s="738">
        <v>0</v>
      </c>
      <c r="P1866" s="739">
        <v>3466830.95</v>
      </c>
    </row>
    <row r="1867" spans="1:16" ht="15.75" thickBot="1">
      <c r="A1867" s="727">
        <v>4</v>
      </c>
      <c r="B1867" s="727" t="s">
        <v>12268</v>
      </c>
      <c r="C1867" s="727" t="s">
        <v>12270</v>
      </c>
      <c r="D1867" s="727" t="s">
        <v>12272</v>
      </c>
      <c r="E1867" s="727"/>
      <c r="F1867" s="729" t="s">
        <v>12271</v>
      </c>
      <c r="G1867" s="738">
        <v>0</v>
      </c>
      <c r="H1867" s="738">
        <v>0</v>
      </c>
      <c r="I1867" s="738">
        <v>0</v>
      </c>
      <c r="J1867" s="739">
        <v>3466830.95</v>
      </c>
      <c r="K1867" s="738">
        <v>0</v>
      </c>
      <c r="L1867" s="738">
        <v>0</v>
      </c>
      <c r="M1867" s="738">
        <v>0</v>
      </c>
      <c r="N1867" s="739">
        <v>3466830.95</v>
      </c>
      <c r="O1867" s="738">
        <v>0</v>
      </c>
      <c r="P1867" s="739">
        <v>3466830.95</v>
      </c>
    </row>
    <row r="1868" spans="1:16">
      <c r="A1868">
        <v>4</v>
      </c>
      <c r="B1868" t="s">
        <v>12268</v>
      </c>
      <c r="C1868" t="s">
        <v>12270</v>
      </c>
      <c r="D1868" t="s">
        <v>12272</v>
      </c>
      <c r="E1868" t="s">
        <v>4905</v>
      </c>
      <c r="F1868" t="s">
        <v>4906</v>
      </c>
      <c r="G1868" s="712">
        <v>0</v>
      </c>
      <c r="H1868">
        <v>0</v>
      </c>
      <c r="I1868" s="713">
        <v>0</v>
      </c>
      <c r="J1868" s="711">
        <v>3466830.95</v>
      </c>
      <c r="K1868">
        <v>0</v>
      </c>
      <c r="L1868">
        <v>0</v>
      </c>
      <c r="M1868">
        <v>0</v>
      </c>
      <c r="N1868" s="711">
        <v>3466830.95</v>
      </c>
      <c r="O1868">
        <v>0</v>
      </c>
      <c r="P1868" s="711">
        <v>3466830.95</v>
      </c>
    </row>
    <row r="1869" spans="1:16" ht="15.75" thickBot="1">
      <c r="A1869">
        <v>4</v>
      </c>
      <c r="B1869" t="s">
        <v>12268</v>
      </c>
      <c r="C1869" t="s">
        <v>12270</v>
      </c>
      <c r="D1869" t="s">
        <v>12272</v>
      </c>
      <c r="E1869" t="s">
        <v>4909</v>
      </c>
      <c r="F1869" t="s">
        <v>4910</v>
      </c>
      <c r="G1869" s="712">
        <v>0</v>
      </c>
      <c r="H1869">
        <v>0</v>
      </c>
      <c r="I1869" s="713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</row>
    <row r="1870" spans="1:16" ht="15.75" thickBot="1">
      <c r="A1870" s="727">
        <v>4</v>
      </c>
      <c r="B1870" s="727" t="s">
        <v>12268</v>
      </c>
      <c r="C1870" s="727" t="s">
        <v>12273</v>
      </c>
      <c r="D1870" s="727"/>
      <c r="E1870" s="727"/>
      <c r="F1870" s="745" t="s">
        <v>4916</v>
      </c>
      <c r="G1870" s="738">
        <v>0</v>
      </c>
      <c r="H1870" s="738">
        <v>0</v>
      </c>
      <c r="I1870" s="738">
        <v>0</v>
      </c>
      <c r="J1870" s="738">
        <v>0</v>
      </c>
      <c r="K1870" s="738">
        <v>0</v>
      </c>
      <c r="L1870" s="738">
        <v>0</v>
      </c>
      <c r="M1870" s="738">
        <v>0</v>
      </c>
      <c r="N1870" s="738">
        <v>0</v>
      </c>
      <c r="O1870" s="738">
        <v>0</v>
      </c>
      <c r="P1870" s="738">
        <v>0</v>
      </c>
    </row>
    <row r="1871" spans="1:16" ht="15.75" thickBot="1">
      <c r="A1871" s="727">
        <v>4</v>
      </c>
      <c r="B1871" s="727" t="s">
        <v>12268</v>
      </c>
      <c r="C1871" s="727" t="s">
        <v>12273</v>
      </c>
      <c r="D1871" s="727" t="s">
        <v>12274</v>
      </c>
      <c r="E1871" s="727"/>
      <c r="F1871" s="729" t="s">
        <v>4916</v>
      </c>
      <c r="G1871" s="738">
        <v>0</v>
      </c>
      <c r="H1871" s="738">
        <v>0</v>
      </c>
      <c r="I1871" s="738">
        <v>0</v>
      </c>
      <c r="J1871" s="738">
        <v>0</v>
      </c>
      <c r="K1871" s="738">
        <v>0</v>
      </c>
      <c r="L1871" s="738">
        <v>0</v>
      </c>
      <c r="M1871" s="738">
        <v>0</v>
      </c>
      <c r="N1871" s="738">
        <v>0</v>
      </c>
      <c r="O1871" s="738">
        <v>0</v>
      </c>
      <c r="P1871" s="738">
        <v>0</v>
      </c>
    </row>
    <row r="1872" spans="1:16" ht="15.75" thickBot="1">
      <c r="A1872">
        <v>4</v>
      </c>
      <c r="B1872" t="s">
        <v>12268</v>
      </c>
      <c r="C1872" t="s">
        <v>12273</v>
      </c>
      <c r="D1872" t="s">
        <v>12274</v>
      </c>
      <c r="E1872" t="s">
        <v>4915</v>
      </c>
      <c r="F1872" t="s">
        <v>4916</v>
      </c>
      <c r="G1872" s="712">
        <v>0</v>
      </c>
      <c r="H1872">
        <v>0</v>
      </c>
      <c r="I1872" s="713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</row>
    <row r="1873" spans="1:16" ht="15.75" thickBot="1">
      <c r="A1873" s="727">
        <v>4</v>
      </c>
      <c r="B1873" s="727" t="s">
        <v>12275</v>
      </c>
      <c r="C1873" s="727"/>
      <c r="D1873" s="727"/>
      <c r="E1873" s="727"/>
      <c r="F1873" s="745" t="s">
        <v>12276</v>
      </c>
      <c r="G1873" s="738">
        <v>0</v>
      </c>
      <c r="H1873" s="738">
        <v>0</v>
      </c>
      <c r="I1873" s="738">
        <v>0</v>
      </c>
      <c r="J1873" s="738">
        <v>0</v>
      </c>
      <c r="K1873" s="739">
        <v>1978447.06</v>
      </c>
      <c r="L1873" s="738">
        <v>0</v>
      </c>
      <c r="M1873" s="738">
        <v>0</v>
      </c>
      <c r="N1873" s="738">
        <v>0</v>
      </c>
      <c r="O1873" s="739">
        <v>1978447.06</v>
      </c>
      <c r="P1873" s="739">
        <v>-1978447.06</v>
      </c>
    </row>
    <row r="1874" spans="1:16" ht="15.75" thickBot="1">
      <c r="A1874" s="727">
        <v>4</v>
      </c>
      <c r="B1874" s="727" t="s">
        <v>12275</v>
      </c>
      <c r="C1874" s="727" t="s">
        <v>12277</v>
      </c>
      <c r="D1874" s="727"/>
      <c r="E1874" s="727"/>
      <c r="F1874" s="745" t="s">
        <v>12278</v>
      </c>
      <c r="G1874" s="738">
        <v>0</v>
      </c>
      <c r="H1874" s="738">
        <v>0</v>
      </c>
      <c r="I1874" s="738">
        <v>0</v>
      </c>
      <c r="J1874" s="738">
        <v>0</v>
      </c>
      <c r="K1874" s="739">
        <v>1366981.47</v>
      </c>
      <c r="L1874" s="738">
        <v>0</v>
      </c>
      <c r="M1874" s="738">
        <v>0</v>
      </c>
      <c r="N1874" s="738">
        <v>0</v>
      </c>
      <c r="O1874" s="739">
        <v>1366981.47</v>
      </c>
      <c r="P1874" s="739">
        <v>-1366981.47</v>
      </c>
    </row>
    <row r="1875" spans="1:16" ht="15.75" thickBot="1">
      <c r="A1875" s="727">
        <v>4</v>
      </c>
      <c r="B1875" s="727" t="s">
        <v>12275</v>
      </c>
      <c r="C1875" s="727" t="s">
        <v>12277</v>
      </c>
      <c r="D1875" s="727" t="s">
        <v>12279</v>
      </c>
      <c r="E1875" s="727"/>
      <c r="F1875" s="729" t="s">
        <v>12278</v>
      </c>
      <c r="G1875" s="738">
        <v>0</v>
      </c>
      <c r="H1875" s="738">
        <v>0</v>
      </c>
      <c r="I1875" s="738">
        <v>0</v>
      </c>
      <c r="J1875" s="738">
        <v>0</v>
      </c>
      <c r="K1875" s="739">
        <v>1366981.47</v>
      </c>
      <c r="L1875" s="738">
        <v>0</v>
      </c>
      <c r="M1875" s="738">
        <v>0</v>
      </c>
      <c r="N1875" s="738">
        <v>0</v>
      </c>
      <c r="O1875" s="739">
        <v>1366981.47</v>
      </c>
      <c r="P1875" s="739">
        <v>-1366981.47</v>
      </c>
    </row>
    <row r="1876" spans="1:16">
      <c r="A1876">
        <v>4</v>
      </c>
      <c r="B1876" t="s">
        <v>12275</v>
      </c>
      <c r="C1876" t="s">
        <v>12277</v>
      </c>
      <c r="D1876" t="s">
        <v>12279</v>
      </c>
      <c r="E1876" t="s">
        <v>12280</v>
      </c>
      <c r="F1876" t="s">
        <v>12281</v>
      </c>
      <c r="G1876" s="712">
        <v>0</v>
      </c>
      <c r="H1876">
        <v>0</v>
      </c>
      <c r="I1876" s="713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</row>
    <row r="1877" spans="1:16">
      <c r="A1877">
        <v>4</v>
      </c>
      <c r="B1877" t="s">
        <v>12275</v>
      </c>
      <c r="C1877" t="s">
        <v>12277</v>
      </c>
      <c r="D1877" t="s">
        <v>12279</v>
      </c>
      <c r="E1877" t="s">
        <v>12282</v>
      </c>
      <c r="F1877" t="s">
        <v>12283</v>
      </c>
      <c r="G1877" s="712">
        <v>0</v>
      </c>
      <c r="H1877">
        <v>0</v>
      </c>
      <c r="I1877" s="713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</row>
    <row r="1878" spans="1:16">
      <c r="A1878">
        <v>4</v>
      </c>
      <c r="B1878" t="s">
        <v>12275</v>
      </c>
      <c r="C1878" t="s">
        <v>12277</v>
      </c>
      <c r="D1878" t="s">
        <v>12279</v>
      </c>
      <c r="E1878" t="s">
        <v>12284</v>
      </c>
      <c r="F1878" t="s">
        <v>12285</v>
      </c>
      <c r="G1878" s="712">
        <v>0</v>
      </c>
      <c r="H1878">
        <v>0</v>
      </c>
      <c r="I1878" s="713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</row>
    <row r="1879" spans="1:16">
      <c r="A1879">
        <v>4</v>
      </c>
      <c r="B1879" t="s">
        <v>12275</v>
      </c>
      <c r="C1879" t="s">
        <v>12277</v>
      </c>
      <c r="D1879" t="s">
        <v>12279</v>
      </c>
      <c r="E1879" t="s">
        <v>12286</v>
      </c>
      <c r="F1879" t="s">
        <v>12287</v>
      </c>
      <c r="G1879" s="712">
        <v>0</v>
      </c>
      <c r="H1879">
        <v>0</v>
      </c>
      <c r="I1879" s="713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</row>
    <row r="1880" spans="1:16">
      <c r="A1880">
        <v>4</v>
      </c>
      <c r="B1880" t="s">
        <v>12275</v>
      </c>
      <c r="C1880" t="s">
        <v>12277</v>
      </c>
      <c r="D1880" t="s">
        <v>12279</v>
      </c>
      <c r="E1880" t="s">
        <v>12288</v>
      </c>
      <c r="F1880" t="s">
        <v>12289</v>
      </c>
      <c r="G1880" s="712">
        <v>0</v>
      </c>
      <c r="H1880">
        <v>0</v>
      </c>
      <c r="I1880" s="713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</row>
    <row r="1881" spans="1:16">
      <c r="A1881">
        <v>4</v>
      </c>
      <c r="B1881" t="s">
        <v>12275</v>
      </c>
      <c r="C1881" t="s">
        <v>12277</v>
      </c>
      <c r="D1881" t="s">
        <v>12279</v>
      </c>
      <c r="E1881" t="s">
        <v>12290</v>
      </c>
      <c r="F1881" t="s">
        <v>12291</v>
      </c>
      <c r="G1881" s="712">
        <v>0</v>
      </c>
      <c r="H1881">
        <v>0</v>
      </c>
      <c r="I1881" s="713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</row>
    <row r="1882" spans="1:16">
      <c r="A1882">
        <v>4</v>
      </c>
      <c r="B1882" t="s">
        <v>12275</v>
      </c>
      <c r="C1882" t="s">
        <v>12277</v>
      </c>
      <c r="D1882" t="s">
        <v>12279</v>
      </c>
      <c r="E1882" t="s">
        <v>12292</v>
      </c>
      <c r="F1882" t="s">
        <v>12293</v>
      </c>
      <c r="G1882" s="712">
        <v>0</v>
      </c>
      <c r="H1882">
        <v>0</v>
      </c>
      <c r="I1882" s="713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</row>
    <row r="1883" spans="1:16">
      <c r="A1883">
        <v>4</v>
      </c>
      <c r="B1883" t="s">
        <v>12275</v>
      </c>
      <c r="C1883" t="s">
        <v>12277</v>
      </c>
      <c r="D1883" t="s">
        <v>12279</v>
      </c>
      <c r="E1883" t="s">
        <v>12294</v>
      </c>
      <c r="F1883" t="s">
        <v>12295</v>
      </c>
      <c r="G1883" s="712">
        <v>0</v>
      </c>
      <c r="H1883">
        <v>0</v>
      </c>
      <c r="I1883" s="71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</row>
    <row r="1884" spans="1:16">
      <c r="A1884">
        <v>4</v>
      </c>
      <c r="B1884" t="s">
        <v>12275</v>
      </c>
      <c r="C1884" t="s">
        <v>12277</v>
      </c>
      <c r="D1884" t="s">
        <v>12279</v>
      </c>
      <c r="E1884" t="s">
        <v>12296</v>
      </c>
      <c r="F1884" t="s">
        <v>12297</v>
      </c>
      <c r="G1884" s="712">
        <v>0</v>
      </c>
      <c r="H1884">
        <v>0</v>
      </c>
      <c r="I1884" s="713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</row>
    <row r="1885" spans="1:16">
      <c r="A1885">
        <v>4</v>
      </c>
      <c r="B1885" t="s">
        <v>12275</v>
      </c>
      <c r="C1885" t="s">
        <v>12277</v>
      </c>
      <c r="D1885" t="s">
        <v>12279</v>
      </c>
      <c r="E1885" t="s">
        <v>12298</v>
      </c>
      <c r="F1885" t="s">
        <v>12299</v>
      </c>
      <c r="G1885" s="712">
        <v>0</v>
      </c>
      <c r="H1885">
        <v>0</v>
      </c>
      <c r="I1885" s="713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</row>
    <row r="1886" spans="1:16">
      <c r="A1886">
        <v>4</v>
      </c>
      <c r="B1886" t="s">
        <v>12275</v>
      </c>
      <c r="C1886" t="s">
        <v>12277</v>
      </c>
      <c r="D1886" t="s">
        <v>12279</v>
      </c>
      <c r="E1886" t="s">
        <v>12300</v>
      </c>
      <c r="F1886" t="s">
        <v>12301</v>
      </c>
      <c r="G1886" s="712">
        <v>0</v>
      </c>
      <c r="H1886">
        <v>0</v>
      </c>
      <c r="I1886" s="713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</row>
    <row r="1887" spans="1:16">
      <c r="A1887">
        <v>4</v>
      </c>
      <c r="B1887" t="s">
        <v>12275</v>
      </c>
      <c r="C1887" t="s">
        <v>12277</v>
      </c>
      <c r="D1887" t="s">
        <v>12279</v>
      </c>
      <c r="E1887" t="s">
        <v>4932</v>
      </c>
      <c r="F1887" t="s">
        <v>4933</v>
      </c>
      <c r="G1887" s="712">
        <v>0</v>
      </c>
      <c r="H1887">
        <v>0</v>
      </c>
      <c r="I1887" s="713">
        <v>0</v>
      </c>
      <c r="J1887">
        <v>0</v>
      </c>
      <c r="K1887" s="711">
        <v>1366981.47</v>
      </c>
      <c r="L1887">
        <v>0</v>
      </c>
      <c r="M1887">
        <v>0</v>
      </c>
      <c r="N1887">
        <v>0</v>
      </c>
      <c r="O1887" s="711">
        <v>1366981.47</v>
      </c>
      <c r="P1887" s="711">
        <v>-1366981.47</v>
      </c>
    </row>
    <row r="1888" spans="1:16">
      <c r="A1888">
        <v>4</v>
      </c>
      <c r="B1888" t="s">
        <v>12275</v>
      </c>
      <c r="C1888" t="s">
        <v>12277</v>
      </c>
      <c r="D1888" t="s">
        <v>12279</v>
      </c>
      <c r="E1888" t="s">
        <v>4937</v>
      </c>
      <c r="F1888" t="s">
        <v>4938</v>
      </c>
      <c r="G1888" s="712">
        <v>0</v>
      </c>
      <c r="H1888">
        <v>0</v>
      </c>
      <c r="I1888" s="713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</row>
    <row r="1889" spans="1:16">
      <c r="A1889">
        <v>4</v>
      </c>
      <c r="B1889" t="s">
        <v>12275</v>
      </c>
      <c r="C1889" t="s">
        <v>12277</v>
      </c>
      <c r="D1889" t="s">
        <v>12279</v>
      </c>
      <c r="E1889" t="s">
        <v>4939</v>
      </c>
      <c r="F1889" t="s">
        <v>4940</v>
      </c>
      <c r="G1889" s="712">
        <v>0</v>
      </c>
      <c r="H1889">
        <v>0</v>
      </c>
      <c r="I1889" s="713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</row>
    <row r="1890" spans="1:16">
      <c r="A1890">
        <v>4</v>
      </c>
      <c r="B1890" t="s">
        <v>12275</v>
      </c>
      <c r="C1890" t="s">
        <v>12277</v>
      </c>
      <c r="D1890" t="s">
        <v>12279</v>
      </c>
      <c r="E1890" t="s">
        <v>4941</v>
      </c>
      <c r="F1890" t="s">
        <v>4942</v>
      </c>
      <c r="G1890" s="712">
        <v>0</v>
      </c>
      <c r="H1890">
        <v>0</v>
      </c>
      <c r="I1890" s="713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</row>
    <row r="1891" spans="1:16">
      <c r="A1891">
        <v>4</v>
      </c>
      <c r="B1891" t="s">
        <v>12275</v>
      </c>
      <c r="C1891" t="s">
        <v>12277</v>
      </c>
      <c r="D1891" t="s">
        <v>12279</v>
      </c>
      <c r="E1891" t="s">
        <v>4943</v>
      </c>
      <c r="F1891" t="s">
        <v>4944</v>
      </c>
      <c r="G1891" s="712">
        <v>0</v>
      </c>
      <c r="H1891">
        <v>0</v>
      </c>
      <c r="I1891" s="713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</row>
    <row r="1892" spans="1:16">
      <c r="A1892">
        <v>4</v>
      </c>
      <c r="B1892" t="s">
        <v>12275</v>
      </c>
      <c r="C1892" t="s">
        <v>12277</v>
      </c>
      <c r="D1892" t="s">
        <v>12279</v>
      </c>
      <c r="E1892" t="s">
        <v>4945</v>
      </c>
      <c r="F1892" t="s">
        <v>4946</v>
      </c>
      <c r="G1892" s="712">
        <v>0</v>
      </c>
      <c r="H1892">
        <v>0</v>
      </c>
      <c r="I1892" s="713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</row>
    <row r="1893" spans="1:16">
      <c r="A1893">
        <v>4</v>
      </c>
      <c r="B1893" t="s">
        <v>12275</v>
      </c>
      <c r="C1893" t="s">
        <v>12277</v>
      </c>
      <c r="D1893" t="s">
        <v>12279</v>
      </c>
      <c r="E1893" t="s">
        <v>4947</v>
      </c>
      <c r="F1893" t="s">
        <v>4948</v>
      </c>
      <c r="G1893" s="712">
        <v>0</v>
      </c>
      <c r="H1893">
        <v>0</v>
      </c>
      <c r="I1893" s="71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</row>
    <row r="1894" spans="1:16">
      <c r="A1894">
        <v>4</v>
      </c>
      <c r="B1894" t="s">
        <v>12275</v>
      </c>
      <c r="C1894" t="s">
        <v>12277</v>
      </c>
      <c r="D1894" t="s">
        <v>12279</v>
      </c>
      <c r="E1894" t="s">
        <v>4949</v>
      </c>
      <c r="F1894" t="s">
        <v>4950</v>
      </c>
      <c r="G1894" s="712">
        <v>0</v>
      </c>
      <c r="H1894">
        <v>0</v>
      </c>
      <c r="I1894" s="713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</row>
    <row r="1895" spans="1:16">
      <c r="A1895">
        <v>4</v>
      </c>
      <c r="B1895" t="s">
        <v>12275</v>
      </c>
      <c r="C1895" t="s">
        <v>12277</v>
      </c>
      <c r="D1895" t="s">
        <v>12279</v>
      </c>
      <c r="E1895" t="s">
        <v>4951</v>
      </c>
      <c r="F1895" t="s">
        <v>4952</v>
      </c>
      <c r="G1895" s="712">
        <v>0</v>
      </c>
      <c r="H1895">
        <v>0</v>
      </c>
      <c r="I1895" s="713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</row>
    <row r="1896" spans="1:16">
      <c r="A1896">
        <v>4</v>
      </c>
      <c r="B1896" t="s">
        <v>12275</v>
      </c>
      <c r="C1896" t="s">
        <v>12277</v>
      </c>
      <c r="D1896" t="s">
        <v>12279</v>
      </c>
      <c r="E1896" t="s">
        <v>4953</v>
      </c>
      <c r="F1896" t="s">
        <v>4954</v>
      </c>
      <c r="G1896" s="712">
        <v>0</v>
      </c>
      <c r="H1896">
        <v>0</v>
      </c>
      <c r="I1896" s="713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</row>
    <row r="1897" spans="1:16">
      <c r="A1897">
        <v>4</v>
      </c>
      <c r="B1897" t="s">
        <v>12275</v>
      </c>
      <c r="C1897" t="s">
        <v>12277</v>
      </c>
      <c r="D1897" t="s">
        <v>12279</v>
      </c>
      <c r="E1897" t="s">
        <v>4955</v>
      </c>
      <c r="F1897" t="s">
        <v>4956</v>
      </c>
      <c r="G1897" s="712">
        <v>0</v>
      </c>
      <c r="H1897">
        <v>0</v>
      </c>
      <c r="I1897" s="713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</row>
    <row r="1898" spans="1:16">
      <c r="A1898">
        <v>4</v>
      </c>
      <c r="B1898" t="s">
        <v>12275</v>
      </c>
      <c r="C1898" t="s">
        <v>12277</v>
      </c>
      <c r="D1898" t="s">
        <v>12279</v>
      </c>
      <c r="E1898" t="s">
        <v>4957</v>
      </c>
      <c r="F1898" t="s">
        <v>4958</v>
      </c>
      <c r="G1898" s="712">
        <v>0</v>
      </c>
      <c r="H1898">
        <v>0</v>
      </c>
      <c r="I1898" s="713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</row>
    <row r="1899" spans="1:16">
      <c r="A1899">
        <v>4</v>
      </c>
      <c r="B1899" t="s">
        <v>12275</v>
      </c>
      <c r="C1899" t="s">
        <v>12277</v>
      </c>
      <c r="D1899" t="s">
        <v>12279</v>
      </c>
      <c r="E1899" t="s">
        <v>4959</v>
      </c>
      <c r="F1899" t="s">
        <v>4960</v>
      </c>
      <c r="G1899" s="712">
        <v>0</v>
      </c>
      <c r="H1899">
        <v>0</v>
      </c>
      <c r="I1899" s="713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</row>
    <row r="1900" spans="1:16">
      <c r="A1900">
        <v>4</v>
      </c>
      <c r="B1900" t="s">
        <v>12275</v>
      </c>
      <c r="C1900" t="s">
        <v>12277</v>
      </c>
      <c r="D1900" t="s">
        <v>12279</v>
      </c>
      <c r="E1900" t="s">
        <v>4961</v>
      </c>
      <c r="F1900" t="s">
        <v>4962</v>
      </c>
      <c r="G1900" s="712">
        <v>0</v>
      </c>
      <c r="H1900">
        <v>0</v>
      </c>
      <c r="I1900" s="713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</row>
    <row r="1901" spans="1:16">
      <c r="A1901">
        <v>4</v>
      </c>
      <c r="B1901" t="s">
        <v>12275</v>
      </c>
      <c r="C1901" t="s">
        <v>12277</v>
      </c>
      <c r="D1901" t="s">
        <v>12279</v>
      </c>
      <c r="E1901" t="s">
        <v>4963</v>
      </c>
      <c r="F1901" t="s">
        <v>4964</v>
      </c>
      <c r="G1901" s="712">
        <v>0</v>
      </c>
      <c r="H1901">
        <v>0</v>
      </c>
      <c r="I1901" s="713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</row>
    <row r="1902" spans="1:16">
      <c r="A1902">
        <v>4</v>
      </c>
      <c r="B1902" t="s">
        <v>12275</v>
      </c>
      <c r="C1902" t="s">
        <v>12277</v>
      </c>
      <c r="D1902" t="s">
        <v>12279</v>
      </c>
      <c r="E1902" t="s">
        <v>4965</v>
      </c>
      <c r="F1902" t="s">
        <v>4966</v>
      </c>
      <c r="G1902" s="712">
        <v>0</v>
      </c>
      <c r="H1902">
        <v>0</v>
      </c>
      <c r="I1902" s="713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</row>
    <row r="1903" spans="1:16">
      <c r="A1903">
        <v>4</v>
      </c>
      <c r="B1903" t="s">
        <v>12275</v>
      </c>
      <c r="C1903" t="s">
        <v>12277</v>
      </c>
      <c r="D1903" t="s">
        <v>12279</v>
      </c>
      <c r="E1903" t="s">
        <v>4967</v>
      </c>
      <c r="F1903" t="s">
        <v>4968</v>
      </c>
      <c r="G1903" s="712">
        <v>0</v>
      </c>
      <c r="H1903">
        <v>0</v>
      </c>
      <c r="I1903" s="71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</row>
    <row r="1904" spans="1:16">
      <c r="A1904">
        <v>4</v>
      </c>
      <c r="B1904" t="s">
        <v>12275</v>
      </c>
      <c r="C1904" t="s">
        <v>12277</v>
      </c>
      <c r="D1904" t="s">
        <v>12279</v>
      </c>
      <c r="E1904" t="s">
        <v>4969</v>
      </c>
      <c r="F1904" t="s">
        <v>4970</v>
      </c>
      <c r="G1904" s="712">
        <v>0</v>
      </c>
      <c r="H1904">
        <v>0</v>
      </c>
      <c r="I1904" s="713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</row>
    <row r="1905" spans="1:16">
      <c r="A1905">
        <v>4</v>
      </c>
      <c r="B1905" t="s">
        <v>12275</v>
      </c>
      <c r="C1905" t="s">
        <v>12277</v>
      </c>
      <c r="D1905" t="s">
        <v>12279</v>
      </c>
      <c r="E1905" t="s">
        <v>4971</v>
      </c>
      <c r="F1905" t="s">
        <v>4972</v>
      </c>
      <c r="G1905" s="712">
        <v>0</v>
      </c>
      <c r="H1905">
        <v>0</v>
      </c>
      <c r="I1905" s="713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</row>
    <row r="1906" spans="1:16">
      <c r="A1906">
        <v>4</v>
      </c>
      <c r="B1906" t="s">
        <v>12275</v>
      </c>
      <c r="C1906" t="s">
        <v>12277</v>
      </c>
      <c r="D1906" t="s">
        <v>12279</v>
      </c>
      <c r="E1906" t="s">
        <v>4973</v>
      </c>
      <c r="F1906" t="s">
        <v>4974</v>
      </c>
      <c r="G1906" s="712">
        <v>0</v>
      </c>
      <c r="H1906">
        <v>0</v>
      </c>
      <c r="I1906" s="713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</row>
    <row r="1907" spans="1:16">
      <c r="A1907">
        <v>4</v>
      </c>
      <c r="B1907" t="s">
        <v>12275</v>
      </c>
      <c r="C1907" t="s">
        <v>12277</v>
      </c>
      <c r="D1907" t="s">
        <v>12279</v>
      </c>
      <c r="E1907" t="s">
        <v>4975</v>
      </c>
      <c r="F1907" t="s">
        <v>4976</v>
      </c>
      <c r="G1907" s="712">
        <v>0</v>
      </c>
      <c r="H1907">
        <v>0</v>
      </c>
      <c r="I1907" s="713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</row>
    <row r="1908" spans="1:16">
      <c r="A1908">
        <v>4</v>
      </c>
      <c r="B1908" t="s">
        <v>12275</v>
      </c>
      <c r="C1908" t="s">
        <v>12277</v>
      </c>
      <c r="D1908" t="s">
        <v>12279</v>
      </c>
      <c r="E1908" t="s">
        <v>4977</v>
      </c>
      <c r="F1908" t="s">
        <v>4978</v>
      </c>
      <c r="G1908" s="712">
        <v>0</v>
      </c>
      <c r="H1908">
        <v>0</v>
      </c>
      <c r="I1908" s="713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</row>
    <row r="1909" spans="1:16">
      <c r="A1909">
        <v>4</v>
      </c>
      <c r="B1909" t="s">
        <v>12275</v>
      </c>
      <c r="C1909" t="s">
        <v>12277</v>
      </c>
      <c r="D1909" t="s">
        <v>12279</v>
      </c>
      <c r="E1909" t="s">
        <v>4979</v>
      </c>
      <c r="F1909" t="s">
        <v>4980</v>
      </c>
      <c r="G1909" s="712">
        <v>0</v>
      </c>
      <c r="H1909">
        <v>0</v>
      </c>
      <c r="I1909" s="713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</row>
    <row r="1910" spans="1:16">
      <c r="A1910">
        <v>4</v>
      </c>
      <c r="B1910" t="s">
        <v>12275</v>
      </c>
      <c r="C1910" t="s">
        <v>12277</v>
      </c>
      <c r="D1910" t="s">
        <v>12279</v>
      </c>
      <c r="E1910" t="s">
        <v>4981</v>
      </c>
      <c r="F1910" t="s">
        <v>4982</v>
      </c>
      <c r="G1910" s="712">
        <v>0</v>
      </c>
      <c r="H1910">
        <v>0</v>
      </c>
      <c r="I1910" s="713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</row>
    <row r="1911" spans="1:16">
      <c r="A1911">
        <v>4</v>
      </c>
      <c r="B1911" t="s">
        <v>12275</v>
      </c>
      <c r="C1911" t="s">
        <v>12277</v>
      </c>
      <c r="D1911" t="s">
        <v>12279</v>
      </c>
      <c r="E1911" t="s">
        <v>4983</v>
      </c>
      <c r="F1911" t="s">
        <v>4984</v>
      </c>
      <c r="G1911" s="712">
        <v>0</v>
      </c>
      <c r="H1911">
        <v>0</v>
      </c>
      <c r="I1911" s="713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</row>
    <row r="1912" spans="1:16">
      <c r="A1912">
        <v>4</v>
      </c>
      <c r="B1912" t="s">
        <v>12275</v>
      </c>
      <c r="C1912" t="s">
        <v>12277</v>
      </c>
      <c r="D1912" t="s">
        <v>12279</v>
      </c>
      <c r="E1912" t="s">
        <v>4985</v>
      </c>
      <c r="F1912" t="s">
        <v>4986</v>
      </c>
      <c r="G1912" s="712">
        <v>0</v>
      </c>
      <c r="H1912">
        <v>0</v>
      </c>
      <c r="I1912" s="713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</row>
    <row r="1913" spans="1:16" ht="15.75" thickBot="1">
      <c r="A1913">
        <v>4</v>
      </c>
      <c r="B1913" t="s">
        <v>12275</v>
      </c>
      <c r="C1913" t="s">
        <v>12277</v>
      </c>
      <c r="D1913" t="s">
        <v>12279</v>
      </c>
      <c r="E1913" t="s">
        <v>4987</v>
      </c>
      <c r="F1913" t="s">
        <v>4988</v>
      </c>
      <c r="G1913" s="712">
        <v>0</v>
      </c>
      <c r="H1913">
        <v>0</v>
      </c>
      <c r="I1913" s="7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</row>
    <row r="1914" spans="1:16" ht="15.75" thickBot="1">
      <c r="A1914" s="727">
        <v>4</v>
      </c>
      <c r="B1914" s="727" t="s">
        <v>12275</v>
      </c>
      <c r="C1914" s="727" t="s">
        <v>12302</v>
      </c>
      <c r="D1914" s="727"/>
      <c r="E1914" s="727"/>
      <c r="F1914" s="745" t="s">
        <v>4996</v>
      </c>
      <c r="G1914" s="738">
        <v>0</v>
      </c>
      <c r="H1914" s="738">
        <v>0</v>
      </c>
      <c r="I1914" s="738">
        <v>0</v>
      </c>
      <c r="J1914" s="738">
        <v>0</v>
      </c>
      <c r="K1914" s="739">
        <v>611465.59</v>
      </c>
      <c r="L1914" s="738">
        <v>0</v>
      </c>
      <c r="M1914" s="738">
        <v>0</v>
      </c>
      <c r="N1914" s="738">
        <v>0</v>
      </c>
      <c r="O1914" s="739">
        <v>611465.59</v>
      </c>
      <c r="P1914" s="739">
        <v>-611465.59</v>
      </c>
    </row>
    <row r="1915" spans="1:16" ht="15.75" thickBot="1">
      <c r="A1915" s="727">
        <v>4</v>
      </c>
      <c r="B1915" s="727" t="s">
        <v>12275</v>
      </c>
      <c r="C1915" s="727" t="s">
        <v>12302</v>
      </c>
      <c r="D1915" s="727" t="s">
        <v>12303</v>
      </c>
      <c r="E1915" s="727"/>
      <c r="F1915" s="729" t="s">
        <v>4996</v>
      </c>
      <c r="G1915" s="738">
        <v>0</v>
      </c>
      <c r="H1915" s="738">
        <v>0</v>
      </c>
      <c r="I1915" s="738">
        <v>0</v>
      </c>
      <c r="J1915" s="738">
        <v>0</v>
      </c>
      <c r="K1915" s="739">
        <v>611465.59</v>
      </c>
      <c r="L1915" s="738">
        <v>0</v>
      </c>
      <c r="M1915" s="738">
        <v>0</v>
      </c>
      <c r="N1915" s="738">
        <v>0</v>
      </c>
      <c r="O1915" s="739">
        <v>611465.59</v>
      </c>
      <c r="P1915" s="739">
        <v>-611465.59</v>
      </c>
    </row>
    <row r="1916" spans="1:16" ht="15.75" thickBot="1">
      <c r="A1916">
        <v>4</v>
      </c>
      <c r="B1916" t="s">
        <v>12275</v>
      </c>
      <c r="C1916" t="s">
        <v>12302</v>
      </c>
      <c r="D1916" t="s">
        <v>12303</v>
      </c>
      <c r="E1916" t="s">
        <v>4995</v>
      </c>
      <c r="F1916" t="s">
        <v>4996</v>
      </c>
      <c r="G1916" s="712">
        <v>0</v>
      </c>
      <c r="H1916">
        <v>0</v>
      </c>
      <c r="I1916" s="713">
        <v>0</v>
      </c>
      <c r="J1916">
        <v>0</v>
      </c>
      <c r="K1916" s="711">
        <v>611465.59</v>
      </c>
      <c r="L1916">
        <v>0</v>
      </c>
      <c r="M1916">
        <v>0</v>
      </c>
      <c r="N1916">
        <v>0</v>
      </c>
      <c r="O1916" s="711">
        <v>611465.59</v>
      </c>
      <c r="P1916" s="711">
        <v>-611465.59</v>
      </c>
    </row>
    <row r="1917" spans="1:16" ht="15.75" thickBot="1">
      <c r="A1917" s="727">
        <v>4</v>
      </c>
      <c r="B1917" s="727" t="s">
        <v>12275</v>
      </c>
      <c r="C1917" s="727" t="s">
        <v>12304</v>
      </c>
      <c r="D1917" s="727"/>
      <c r="E1917" s="727"/>
      <c r="F1917" s="745" t="s">
        <v>5004</v>
      </c>
      <c r="G1917" s="738">
        <v>0</v>
      </c>
      <c r="H1917" s="738">
        <v>0</v>
      </c>
      <c r="I1917" s="738">
        <v>0</v>
      </c>
      <c r="J1917" s="738">
        <v>0</v>
      </c>
      <c r="K1917" s="738">
        <v>0</v>
      </c>
      <c r="L1917" s="738">
        <v>0</v>
      </c>
      <c r="M1917" s="738">
        <v>0</v>
      </c>
      <c r="N1917" s="738">
        <v>0</v>
      </c>
      <c r="O1917" s="738">
        <v>0</v>
      </c>
      <c r="P1917" s="738">
        <v>0</v>
      </c>
    </row>
    <row r="1918" spans="1:16" ht="15.75" thickBot="1">
      <c r="A1918" s="727">
        <v>4</v>
      </c>
      <c r="B1918" s="727" t="s">
        <v>12275</v>
      </c>
      <c r="C1918" s="727" t="s">
        <v>12304</v>
      </c>
      <c r="D1918" s="727" t="s">
        <v>12305</v>
      </c>
      <c r="E1918" s="727"/>
      <c r="F1918" s="729" t="s">
        <v>5004</v>
      </c>
      <c r="G1918" s="738">
        <v>0</v>
      </c>
      <c r="H1918" s="738">
        <v>0</v>
      </c>
      <c r="I1918" s="738">
        <v>0</v>
      </c>
      <c r="J1918" s="738">
        <v>0</v>
      </c>
      <c r="K1918" s="738">
        <v>0</v>
      </c>
      <c r="L1918" s="738">
        <v>0</v>
      </c>
      <c r="M1918" s="738">
        <v>0</v>
      </c>
      <c r="N1918" s="738">
        <v>0</v>
      </c>
      <c r="O1918" s="738">
        <v>0</v>
      </c>
      <c r="P1918" s="738">
        <v>0</v>
      </c>
    </row>
    <row r="1919" spans="1:16" ht="15.75" thickBot="1">
      <c r="A1919">
        <v>4</v>
      </c>
      <c r="B1919" t="s">
        <v>12275</v>
      </c>
      <c r="C1919" t="s">
        <v>12304</v>
      </c>
      <c r="D1919" t="s">
        <v>12305</v>
      </c>
      <c r="E1919" t="s">
        <v>5003</v>
      </c>
      <c r="F1919" t="s">
        <v>5004</v>
      </c>
      <c r="G1919" s="712">
        <v>0</v>
      </c>
      <c r="H1919">
        <v>0</v>
      </c>
      <c r="I1919" s="713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</row>
    <row r="1920" spans="1:16" ht="15.75" thickBot="1">
      <c r="A1920" s="727">
        <v>4</v>
      </c>
      <c r="B1920" s="727" t="s">
        <v>12275</v>
      </c>
      <c r="C1920" s="727" t="s">
        <v>12306</v>
      </c>
      <c r="D1920" s="727"/>
      <c r="E1920" s="727"/>
      <c r="F1920" s="745" t="s">
        <v>5011</v>
      </c>
      <c r="G1920" s="738">
        <v>0</v>
      </c>
      <c r="H1920" s="738">
        <v>0</v>
      </c>
      <c r="I1920" s="738">
        <v>0</v>
      </c>
      <c r="J1920" s="738">
        <v>0</v>
      </c>
      <c r="K1920" s="738">
        <v>0</v>
      </c>
      <c r="L1920" s="738">
        <v>0</v>
      </c>
      <c r="M1920" s="738">
        <v>0</v>
      </c>
      <c r="N1920" s="738">
        <v>0</v>
      </c>
      <c r="O1920" s="738">
        <v>0</v>
      </c>
      <c r="P1920" s="738">
        <v>0</v>
      </c>
    </row>
    <row r="1921" spans="1:16" ht="15.75" thickBot="1">
      <c r="A1921" s="727">
        <v>4</v>
      </c>
      <c r="B1921" s="727" t="s">
        <v>12275</v>
      </c>
      <c r="C1921" s="727" t="s">
        <v>12306</v>
      </c>
      <c r="D1921" s="727" t="s">
        <v>12307</v>
      </c>
      <c r="E1921" s="727"/>
      <c r="F1921" s="729" t="s">
        <v>5011</v>
      </c>
      <c r="G1921" s="738">
        <v>0</v>
      </c>
      <c r="H1921" s="738">
        <v>0</v>
      </c>
      <c r="I1921" s="738">
        <v>0</v>
      </c>
      <c r="J1921" s="738">
        <v>0</v>
      </c>
      <c r="K1921" s="738">
        <v>0</v>
      </c>
      <c r="L1921" s="738">
        <v>0</v>
      </c>
      <c r="M1921" s="738">
        <v>0</v>
      </c>
      <c r="N1921" s="738">
        <v>0</v>
      </c>
      <c r="O1921" s="738">
        <v>0</v>
      </c>
      <c r="P1921" s="738">
        <v>0</v>
      </c>
    </row>
    <row r="1922" spans="1:16" ht="15.75" thickBot="1">
      <c r="A1922">
        <v>4</v>
      </c>
      <c r="B1922" t="s">
        <v>12275</v>
      </c>
      <c r="C1922" t="s">
        <v>12306</v>
      </c>
      <c r="D1922" t="s">
        <v>12307</v>
      </c>
      <c r="E1922" t="s">
        <v>5010</v>
      </c>
      <c r="F1922" t="s">
        <v>5011</v>
      </c>
      <c r="G1922" s="712">
        <v>0</v>
      </c>
      <c r="H1922">
        <v>0</v>
      </c>
      <c r="I1922" s="713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</row>
    <row r="1923" spans="1:16" ht="15.75" thickBot="1">
      <c r="A1923" s="727">
        <v>4</v>
      </c>
      <c r="B1923" s="727" t="s">
        <v>12275</v>
      </c>
      <c r="C1923" s="727" t="s">
        <v>12308</v>
      </c>
      <c r="D1923" s="727"/>
      <c r="E1923" s="727"/>
      <c r="F1923" s="745" t="s">
        <v>4922</v>
      </c>
      <c r="G1923" s="738">
        <v>0</v>
      </c>
      <c r="H1923" s="738">
        <v>0</v>
      </c>
      <c r="I1923" s="738">
        <v>0</v>
      </c>
      <c r="J1923" s="738">
        <v>0</v>
      </c>
      <c r="K1923" s="738">
        <v>0</v>
      </c>
      <c r="L1923" s="738">
        <v>0</v>
      </c>
      <c r="M1923" s="738">
        <v>0</v>
      </c>
      <c r="N1923" s="738">
        <v>0</v>
      </c>
      <c r="O1923" s="738">
        <v>0</v>
      </c>
      <c r="P1923" s="738">
        <v>0</v>
      </c>
    </row>
    <row r="1924" spans="1:16" ht="15.75" thickBot="1">
      <c r="A1924" s="727">
        <v>4</v>
      </c>
      <c r="B1924" s="727" t="s">
        <v>12275</v>
      </c>
      <c r="C1924" s="727" t="s">
        <v>12308</v>
      </c>
      <c r="D1924" s="727" t="s">
        <v>12309</v>
      </c>
      <c r="E1924" s="727"/>
      <c r="F1924" s="729" t="s">
        <v>4922</v>
      </c>
      <c r="G1924" s="738">
        <v>0</v>
      </c>
      <c r="H1924" s="738">
        <v>0</v>
      </c>
      <c r="I1924" s="738">
        <v>0</v>
      </c>
      <c r="J1924" s="738">
        <v>0</v>
      </c>
      <c r="K1924" s="738">
        <v>0</v>
      </c>
      <c r="L1924" s="738">
        <v>0</v>
      </c>
      <c r="M1924" s="738">
        <v>0</v>
      </c>
      <c r="N1924" s="738">
        <v>0</v>
      </c>
      <c r="O1924" s="738">
        <v>0</v>
      </c>
      <c r="P1924" s="738">
        <v>0</v>
      </c>
    </row>
    <row r="1925" spans="1:16" ht="15.75" thickBot="1">
      <c r="A1925">
        <v>4</v>
      </c>
      <c r="B1925" t="s">
        <v>12275</v>
      </c>
      <c r="C1925" t="s">
        <v>12308</v>
      </c>
      <c r="D1925" t="s">
        <v>12309</v>
      </c>
      <c r="E1925" t="s">
        <v>4925</v>
      </c>
      <c r="F1925" t="s">
        <v>4926</v>
      </c>
      <c r="G1925" s="712">
        <v>0</v>
      </c>
      <c r="H1925">
        <v>0</v>
      </c>
      <c r="I1925" s="713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</row>
    <row r="1926" spans="1:16" ht="15.75" thickBot="1">
      <c r="A1926" s="727">
        <v>4</v>
      </c>
      <c r="B1926" s="727" t="s">
        <v>12310</v>
      </c>
      <c r="C1926" s="727"/>
      <c r="D1926" s="727"/>
      <c r="E1926" s="727"/>
      <c r="F1926" s="745" t="s">
        <v>12311</v>
      </c>
      <c r="G1926" s="738">
        <v>0</v>
      </c>
      <c r="H1926" s="738">
        <v>0</v>
      </c>
      <c r="I1926" s="738">
        <v>0</v>
      </c>
      <c r="J1926" s="739">
        <v>114975.88</v>
      </c>
      <c r="K1926" s="739">
        <v>190894597.25</v>
      </c>
      <c r="L1926" s="738">
        <v>0</v>
      </c>
      <c r="M1926" s="738">
        <v>0</v>
      </c>
      <c r="N1926" s="739">
        <v>114975.88</v>
      </c>
      <c r="O1926" s="739">
        <v>190894597.25</v>
      </c>
      <c r="P1926" s="739">
        <v>-190779621.37</v>
      </c>
    </row>
    <row r="1927" spans="1:16" ht="15.75" thickBot="1">
      <c r="A1927" s="727">
        <v>4</v>
      </c>
      <c r="B1927" s="727" t="s">
        <v>12310</v>
      </c>
      <c r="C1927" s="727" t="s">
        <v>12312</v>
      </c>
      <c r="D1927" s="727"/>
      <c r="E1927" s="727"/>
      <c r="F1927" s="745" t="s">
        <v>12313</v>
      </c>
      <c r="G1927" s="738">
        <v>0</v>
      </c>
      <c r="H1927" s="738">
        <v>0</v>
      </c>
      <c r="I1927" s="738">
        <v>0</v>
      </c>
      <c r="J1927" s="739">
        <v>13950</v>
      </c>
      <c r="K1927" s="739">
        <v>184573991.31</v>
      </c>
      <c r="L1927" s="738">
        <v>0</v>
      </c>
      <c r="M1927" s="738">
        <v>0</v>
      </c>
      <c r="N1927" s="739">
        <v>13950</v>
      </c>
      <c r="O1927" s="739">
        <v>184573991.31</v>
      </c>
      <c r="P1927" s="739">
        <v>-184560041.31</v>
      </c>
    </row>
    <row r="1928" spans="1:16" ht="15.75" thickBot="1">
      <c r="A1928" s="727">
        <v>4</v>
      </c>
      <c r="B1928" s="727" t="s">
        <v>12310</v>
      </c>
      <c r="C1928" s="727" t="s">
        <v>12312</v>
      </c>
      <c r="D1928" s="727" t="s">
        <v>12314</v>
      </c>
      <c r="E1928" s="727"/>
      <c r="F1928" s="729" t="s">
        <v>12315</v>
      </c>
      <c r="G1928" s="738">
        <v>0</v>
      </c>
      <c r="H1928" s="738">
        <v>0</v>
      </c>
      <c r="I1928" s="738">
        <v>0</v>
      </c>
      <c r="J1928" s="739">
        <v>13950</v>
      </c>
      <c r="K1928" s="739">
        <v>181851778.15000001</v>
      </c>
      <c r="L1928" s="738">
        <v>0</v>
      </c>
      <c r="M1928" s="738">
        <v>0</v>
      </c>
      <c r="N1928" s="739">
        <v>13950</v>
      </c>
      <c r="O1928" s="739">
        <v>181851778.15000001</v>
      </c>
      <c r="P1928" s="739">
        <v>-181837828.15000001</v>
      </c>
    </row>
    <row r="1929" spans="1:16">
      <c r="A1929">
        <v>4</v>
      </c>
      <c r="B1929" t="s">
        <v>12310</v>
      </c>
      <c r="C1929" t="s">
        <v>12312</v>
      </c>
      <c r="D1929" t="s">
        <v>12314</v>
      </c>
      <c r="E1929" t="s">
        <v>5024</v>
      </c>
      <c r="F1929" t="s">
        <v>5025</v>
      </c>
      <c r="G1929" s="712">
        <v>0</v>
      </c>
      <c r="H1929">
        <v>0</v>
      </c>
      <c r="I1929" s="713">
        <v>0</v>
      </c>
      <c r="J1929">
        <v>0</v>
      </c>
      <c r="K1929" s="711">
        <v>80301371.659999996</v>
      </c>
      <c r="L1929">
        <v>0</v>
      </c>
      <c r="M1929">
        <v>0</v>
      </c>
      <c r="N1929">
        <v>0</v>
      </c>
      <c r="O1929" s="711">
        <v>80301371.659999996</v>
      </c>
      <c r="P1929" s="711">
        <v>-80301371.659999996</v>
      </c>
    </row>
    <row r="1930" spans="1:16">
      <c r="A1930">
        <v>4</v>
      </c>
      <c r="B1930" t="s">
        <v>12310</v>
      </c>
      <c r="C1930" t="s">
        <v>12312</v>
      </c>
      <c r="D1930" t="s">
        <v>12314</v>
      </c>
      <c r="E1930" t="s">
        <v>5031</v>
      </c>
      <c r="F1930" t="s">
        <v>5032</v>
      </c>
      <c r="G1930" s="712">
        <v>0</v>
      </c>
      <c r="H1930">
        <v>0</v>
      </c>
      <c r="I1930" s="713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</row>
    <row r="1931" spans="1:16">
      <c r="A1931">
        <v>4</v>
      </c>
      <c r="B1931" t="s">
        <v>12310</v>
      </c>
      <c r="C1931" t="s">
        <v>12312</v>
      </c>
      <c r="D1931" t="s">
        <v>12314</v>
      </c>
      <c r="E1931" t="s">
        <v>5034</v>
      </c>
      <c r="F1931" t="s">
        <v>5035</v>
      </c>
      <c r="G1931" s="712">
        <v>0</v>
      </c>
      <c r="H1931">
        <v>0</v>
      </c>
      <c r="I1931" s="713">
        <v>0</v>
      </c>
      <c r="J1931">
        <v>0</v>
      </c>
      <c r="K1931" s="711">
        <v>16801541</v>
      </c>
      <c r="L1931">
        <v>0</v>
      </c>
      <c r="M1931">
        <v>0</v>
      </c>
      <c r="N1931">
        <v>0</v>
      </c>
      <c r="O1931" s="711">
        <v>16801541</v>
      </c>
      <c r="P1931" s="711">
        <v>-16801541</v>
      </c>
    </row>
    <row r="1932" spans="1:16">
      <c r="A1932">
        <v>4</v>
      </c>
      <c r="B1932" t="s">
        <v>12310</v>
      </c>
      <c r="C1932" t="s">
        <v>12312</v>
      </c>
      <c r="D1932" t="s">
        <v>12314</v>
      </c>
      <c r="E1932" t="s">
        <v>12316</v>
      </c>
      <c r="F1932" t="s">
        <v>12317</v>
      </c>
      <c r="G1932" s="712">
        <v>0</v>
      </c>
      <c r="H1932">
        <v>0</v>
      </c>
      <c r="I1932" s="713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</row>
    <row r="1933" spans="1:16">
      <c r="A1933">
        <v>4</v>
      </c>
      <c r="B1933" t="s">
        <v>12310</v>
      </c>
      <c r="C1933" t="s">
        <v>12312</v>
      </c>
      <c r="D1933" t="s">
        <v>12314</v>
      </c>
      <c r="E1933" t="s">
        <v>5039</v>
      </c>
      <c r="F1933" t="s">
        <v>5040</v>
      </c>
      <c r="G1933" s="712">
        <v>0</v>
      </c>
      <c r="H1933">
        <v>0</v>
      </c>
      <c r="I1933" s="71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</row>
    <row r="1934" spans="1:16">
      <c r="A1934">
        <v>4</v>
      </c>
      <c r="B1934" t="s">
        <v>12310</v>
      </c>
      <c r="C1934" t="s">
        <v>12312</v>
      </c>
      <c r="D1934" t="s">
        <v>12314</v>
      </c>
      <c r="E1934" t="s">
        <v>5047</v>
      </c>
      <c r="F1934" t="s">
        <v>5048</v>
      </c>
      <c r="G1934" s="712">
        <v>0</v>
      </c>
      <c r="H1934">
        <v>0</v>
      </c>
      <c r="I1934" s="713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</row>
    <row r="1935" spans="1:16">
      <c r="A1935">
        <v>4</v>
      </c>
      <c r="B1935" t="s">
        <v>12310</v>
      </c>
      <c r="C1935" t="s">
        <v>12312</v>
      </c>
      <c r="D1935" t="s">
        <v>12314</v>
      </c>
      <c r="E1935" t="s">
        <v>5051</v>
      </c>
      <c r="F1935" t="s">
        <v>5052</v>
      </c>
      <c r="G1935" s="712">
        <v>0</v>
      </c>
      <c r="H1935">
        <v>0</v>
      </c>
      <c r="I1935" s="713">
        <v>0</v>
      </c>
      <c r="J1935">
        <v>0</v>
      </c>
      <c r="K1935" s="711">
        <v>61815980</v>
      </c>
      <c r="L1935">
        <v>0</v>
      </c>
      <c r="M1935">
        <v>0</v>
      </c>
      <c r="N1935">
        <v>0</v>
      </c>
      <c r="O1935" s="711">
        <v>61815980</v>
      </c>
      <c r="P1935" s="711">
        <v>-61815980</v>
      </c>
    </row>
    <row r="1936" spans="1:16">
      <c r="A1936">
        <v>4</v>
      </c>
      <c r="B1936" t="s">
        <v>12310</v>
      </c>
      <c r="C1936" t="s">
        <v>12312</v>
      </c>
      <c r="D1936" t="s">
        <v>12314</v>
      </c>
      <c r="E1936" t="s">
        <v>12318</v>
      </c>
      <c r="F1936" t="s">
        <v>12319</v>
      </c>
      <c r="G1936" s="712">
        <v>0</v>
      </c>
      <c r="H1936">
        <v>0</v>
      </c>
      <c r="I1936" s="713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</row>
    <row r="1937" spans="1:16">
      <c r="A1937">
        <v>4</v>
      </c>
      <c r="B1937" t="s">
        <v>12310</v>
      </c>
      <c r="C1937" t="s">
        <v>12312</v>
      </c>
      <c r="D1937" t="s">
        <v>12314</v>
      </c>
      <c r="E1937" t="s">
        <v>5058</v>
      </c>
      <c r="F1937" t="s">
        <v>5059</v>
      </c>
      <c r="G1937" s="712">
        <v>0</v>
      </c>
      <c r="H1937">
        <v>0</v>
      </c>
      <c r="I1937" s="713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</row>
    <row r="1938" spans="1:16">
      <c r="A1938">
        <v>4</v>
      </c>
      <c r="B1938" t="s">
        <v>12310</v>
      </c>
      <c r="C1938" t="s">
        <v>12312</v>
      </c>
      <c r="D1938" t="s">
        <v>12314</v>
      </c>
      <c r="E1938" t="s">
        <v>5063</v>
      </c>
      <c r="F1938" t="s">
        <v>5064</v>
      </c>
      <c r="G1938" s="712">
        <v>0</v>
      </c>
      <c r="H1938">
        <v>0</v>
      </c>
      <c r="I1938" s="713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</row>
    <row r="1939" spans="1:16">
      <c r="A1939">
        <v>4</v>
      </c>
      <c r="B1939" t="s">
        <v>12310</v>
      </c>
      <c r="C1939" t="s">
        <v>12312</v>
      </c>
      <c r="D1939" t="s">
        <v>12314</v>
      </c>
      <c r="E1939" t="s">
        <v>5067</v>
      </c>
      <c r="F1939" t="s">
        <v>5068</v>
      </c>
      <c r="G1939" s="712">
        <v>0</v>
      </c>
      <c r="H1939">
        <v>0</v>
      </c>
      <c r="I1939" s="713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</row>
    <row r="1940" spans="1:16">
      <c r="A1940">
        <v>4</v>
      </c>
      <c r="B1940" t="s">
        <v>12310</v>
      </c>
      <c r="C1940" t="s">
        <v>12312</v>
      </c>
      <c r="D1940" t="s">
        <v>12314</v>
      </c>
      <c r="E1940" t="s">
        <v>5071</v>
      </c>
      <c r="F1940" t="s">
        <v>5072</v>
      </c>
      <c r="G1940" s="712">
        <v>0</v>
      </c>
      <c r="H1940">
        <v>0</v>
      </c>
      <c r="I1940" s="713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</row>
    <row r="1941" spans="1:16">
      <c r="A1941">
        <v>4</v>
      </c>
      <c r="B1941" t="s">
        <v>12310</v>
      </c>
      <c r="C1941" t="s">
        <v>12312</v>
      </c>
      <c r="D1941" t="s">
        <v>12314</v>
      </c>
      <c r="E1941" t="s">
        <v>5094</v>
      </c>
      <c r="F1941" t="s">
        <v>136</v>
      </c>
      <c r="G1941" s="712">
        <v>0</v>
      </c>
      <c r="H1941">
        <v>0</v>
      </c>
      <c r="I1941" s="713">
        <v>0</v>
      </c>
      <c r="J1941">
        <v>0</v>
      </c>
      <c r="K1941" s="711">
        <v>433099</v>
      </c>
      <c r="L1941">
        <v>0</v>
      </c>
      <c r="M1941">
        <v>0</v>
      </c>
      <c r="N1941">
        <v>0</v>
      </c>
      <c r="O1941" s="711">
        <v>433099</v>
      </c>
      <c r="P1941" s="711">
        <v>-433099</v>
      </c>
    </row>
    <row r="1942" spans="1:16">
      <c r="A1942">
        <v>4</v>
      </c>
      <c r="B1942" t="s">
        <v>12310</v>
      </c>
      <c r="C1942" t="s">
        <v>12312</v>
      </c>
      <c r="D1942" t="s">
        <v>12314</v>
      </c>
      <c r="E1942" t="s">
        <v>5102</v>
      </c>
      <c r="F1942" t="s">
        <v>5103</v>
      </c>
      <c r="G1942" s="712">
        <v>0</v>
      </c>
      <c r="H1942">
        <v>0</v>
      </c>
      <c r="I1942" s="713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</row>
    <row r="1943" spans="1:16">
      <c r="A1943">
        <v>4</v>
      </c>
      <c r="B1943" t="s">
        <v>12310</v>
      </c>
      <c r="C1943" t="s">
        <v>12312</v>
      </c>
      <c r="D1943" t="s">
        <v>12314</v>
      </c>
      <c r="E1943" t="s">
        <v>5098</v>
      </c>
      <c r="F1943" t="s">
        <v>5099</v>
      </c>
      <c r="G1943" s="712">
        <v>0</v>
      </c>
      <c r="H1943">
        <v>0</v>
      </c>
      <c r="I1943" s="71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</row>
    <row r="1944" spans="1:16">
      <c r="A1944">
        <v>4</v>
      </c>
      <c r="B1944" t="s">
        <v>12310</v>
      </c>
      <c r="C1944" t="s">
        <v>12312</v>
      </c>
      <c r="D1944" t="s">
        <v>12314</v>
      </c>
      <c r="E1944" t="s">
        <v>5088</v>
      </c>
      <c r="F1944" t="s">
        <v>5089</v>
      </c>
      <c r="G1944" s="712">
        <v>0</v>
      </c>
      <c r="H1944">
        <v>0</v>
      </c>
      <c r="I1944" s="713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</row>
    <row r="1945" spans="1:16">
      <c r="A1945">
        <v>4</v>
      </c>
      <c r="B1945" t="s">
        <v>12310</v>
      </c>
      <c r="C1945" t="s">
        <v>12312</v>
      </c>
      <c r="D1945" t="s">
        <v>12314</v>
      </c>
      <c r="E1945" t="s">
        <v>5106</v>
      </c>
      <c r="F1945" t="s">
        <v>5107</v>
      </c>
      <c r="G1945" s="712">
        <v>0</v>
      </c>
      <c r="H1945">
        <v>0</v>
      </c>
      <c r="I1945" s="713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</row>
    <row r="1946" spans="1:16">
      <c r="A1946">
        <v>4</v>
      </c>
      <c r="B1946" t="s">
        <v>12310</v>
      </c>
      <c r="C1946" t="s">
        <v>12312</v>
      </c>
      <c r="D1946" t="s">
        <v>12314</v>
      </c>
      <c r="E1946" t="s">
        <v>5108</v>
      </c>
      <c r="F1946" t="s">
        <v>5109</v>
      </c>
      <c r="G1946" s="712">
        <v>0</v>
      </c>
      <c r="H1946">
        <v>0</v>
      </c>
      <c r="I1946" s="713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</row>
    <row r="1947" spans="1:16">
      <c r="A1947">
        <v>4</v>
      </c>
      <c r="B1947" t="s">
        <v>12310</v>
      </c>
      <c r="C1947" t="s">
        <v>12312</v>
      </c>
      <c r="D1947" t="s">
        <v>12314</v>
      </c>
      <c r="E1947" t="s">
        <v>5110</v>
      </c>
      <c r="F1947" t="s">
        <v>5111</v>
      </c>
      <c r="G1947" s="712">
        <v>0</v>
      </c>
      <c r="H1947">
        <v>0</v>
      </c>
      <c r="I1947" s="713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</row>
    <row r="1948" spans="1:16">
      <c r="A1948">
        <v>4</v>
      </c>
      <c r="B1948" t="s">
        <v>12310</v>
      </c>
      <c r="C1948" t="s">
        <v>12312</v>
      </c>
      <c r="D1948" t="s">
        <v>12314</v>
      </c>
      <c r="E1948" t="s">
        <v>5076</v>
      </c>
      <c r="F1948" t="s">
        <v>5077</v>
      </c>
      <c r="G1948" s="712">
        <v>0</v>
      </c>
      <c r="H1948">
        <v>0</v>
      </c>
      <c r="I1948" s="713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</row>
    <row r="1949" spans="1:16">
      <c r="A1949">
        <v>4</v>
      </c>
      <c r="B1949" t="s">
        <v>12310</v>
      </c>
      <c r="C1949" t="s">
        <v>12312</v>
      </c>
      <c r="D1949" t="s">
        <v>12314</v>
      </c>
      <c r="E1949" t="s">
        <v>5082</v>
      </c>
      <c r="F1949" t="s">
        <v>5083</v>
      </c>
      <c r="G1949" s="712">
        <v>0</v>
      </c>
      <c r="H1949">
        <v>0</v>
      </c>
      <c r="I1949" s="713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</row>
    <row r="1950" spans="1:16">
      <c r="A1950">
        <v>4</v>
      </c>
      <c r="B1950" t="s">
        <v>12310</v>
      </c>
      <c r="C1950" t="s">
        <v>12312</v>
      </c>
      <c r="D1950" t="s">
        <v>12314</v>
      </c>
      <c r="E1950" t="s">
        <v>5055</v>
      </c>
      <c r="F1950" t="s">
        <v>5056</v>
      </c>
      <c r="G1950" s="712">
        <v>0</v>
      </c>
      <c r="H1950">
        <v>0</v>
      </c>
      <c r="I1950" s="713">
        <v>0</v>
      </c>
      <c r="J1950">
        <v>0</v>
      </c>
      <c r="K1950" s="711">
        <v>18699605</v>
      </c>
      <c r="L1950">
        <v>0</v>
      </c>
      <c r="M1950">
        <v>0</v>
      </c>
      <c r="N1950">
        <v>0</v>
      </c>
      <c r="O1950" s="711">
        <v>18699605</v>
      </c>
      <c r="P1950" s="711">
        <v>-18699605</v>
      </c>
    </row>
    <row r="1951" spans="1:16">
      <c r="A1951">
        <v>4</v>
      </c>
      <c r="B1951" t="s">
        <v>12310</v>
      </c>
      <c r="C1951" t="s">
        <v>12312</v>
      </c>
      <c r="D1951" t="s">
        <v>12314</v>
      </c>
      <c r="E1951" t="s">
        <v>5043</v>
      </c>
      <c r="F1951" t="s">
        <v>5044</v>
      </c>
      <c r="G1951" s="712">
        <v>0</v>
      </c>
      <c r="H1951">
        <v>0</v>
      </c>
      <c r="I1951" s="713">
        <v>0</v>
      </c>
      <c r="J1951">
        <v>0</v>
      </c>
      <c r="K1951" s="711">
        <v>3665206</v>
      </c>
      <c r="L1951">
        <v>0</v>
      </c>
      <c r="M1951">
        <v>0</v>
      </c>
      <c r="N1951">
        <v>0</v>
      </c>
      <c r="O1951" s="711">
        <v>3665206</v>
      </c>
      <c r="P1951" s="711">
        <v>-3665206</v>
      </c>
    </row>
    <row r="1952" spans="1:16">
      <c r="A1952">
        <v>4</v>
      </c>
      <c r="B1952" t="s">
        <v>12310</v>
      </c>
      <c r="C1952" t="s">
        <v>12312</v>
      </c>
      <c r="D1952" t="s">
        <v>12314</v>
      </c>
      <c r="E1952" t="s">
        <v>5113</v>
      </c>
      <c r="F1952" t="s">
        <v>5114</v>
      </c>
      <c r="G1952" s="712">
        <v>0</v>
      </c>
      <c r="H1952">
        <v>0</v>
      </c>
      <c r="I1952" s="713">
        <v>0</v>
      </c>
      <c r="J1952">
        <v>0</v>
      </c>
      <c r="K1952" s="711">
        <v>95825.49</v>
      </c>
      <c r="L1952">
        <v>0</v>
      </c>
      <c r="M1952">
        <v>0</v>
      </c>
      <c r="N1952">
        <v>0</v>
      </c>
      <c r="O1952" s="711">
        <v>95825.49</v>
      </c>
      <c r="P1952" s="711">
        <v>-95825.49</v>
      </c>
    </row>
    <row r="1953" spans="1:16">
      <c r="A1953">
        <v>4</v>
      </c>
      <c r="B1953" t="s">
        <v>12310</v>
      </c>
      <c r="C1953" t="s">
        <v>12312</v>
      </c>
      <c r="D1953" t="s">
        <v>12314</v>
      </c>
      <c r="E1953" t="s">
        <v>5115</v>
      </c>
      <c r="F1953" t="s">
        <v>5116</v>
      </c>
      <c r="G1953" s="712">
        <v>0</v>
      </c>
      <c r="H1953">
        <v>0</v>
      </c>
      <c r="I1953" s="71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</row>
    <row r="1954" spans="1:16" ht="15.75" thickBot="1">
      <c r="A1954">
        <v>4</v>
      </c>
      <c r="B1954" t="s">
        <v>12310</v>
      </c>
      <c r="C1954" t="s">
        <v>12312</v>
      </c>
      <c r="D1954" t="s">
        <v>12314</v>
      </c>
      <c r="E1954" t="s">
        <v>5118</v>
      </c>
      <c r="F1954" t="s">
        <v>5119</v>
      </c>
      <c r="G1954" s="712">
        <v>0</v>
      </c>
      <c r="H1954">
        <v>0</v>
      </c>
      <c r="I1954" s="713">
        <v>0</v>
      </c>
      <c r="J1954" s="711">
        <v>13950</v>
      </c>
      <c r="K1954" s="711">
        <v>39150</v>
      </c>
      <c r="L1954">
        <v>0</v>
      </c>
      <c r="M1954">
        <v>0</v>
      </c>
      <c r="N1954" s="711">
        <v>13950</v>
      </c>
      <c r="O1954" s="711">
        <v>39150</v>
      </c>
      <c r="P1954" s="711">
        <v>-25200</v>
      </c>
    </row>
    <row r="1955" spans="1:16" ht="15.75" thickBot="1">
      <c r="A1955" s="727">
        <v>4</v>
      </c>
      <c r="B1955" s="727" t="s">
        <v>12310</v>
      </c>
      <c r="C1955" s="727" t="s">
        <v>12312</v>
      </c>
      <c r="D1955" s="727" t="s">
        <v>12320</v>
      </c>
      <c r="E1955" s="727"/>
      <c r="F1955" s="729" t="s">
        <v>12321</v>
      </c>
      <c r="G1955" s="738">
        <v>0</v>
      </c>
      <c r="H1955" s="738">
        <v>0</v>
      </c>
      <c r="I1955" s="738">
        <v>0</v>
      </c>
      <c r="J1955" s="738">
        <v>0</v>
      </c>
      <c r="K1955" s="739">
        <v>32989.339999999997</v>
      </c>
      <c r="L1955" s="738">
        <v>0</v>
      </c>
      <c r="M1955" s="738">
        <v>0</v>
      </c>
      <c r="N1955" s="738">
        <v>0</v>
      </c>
      <c r="O1955" s="739">
        <v>32989.339999999997</v>
      </c>
      <c r="P1955" s="739">
        <v>-32989.339999999997</v>
      </c>
    </row>
    <row r="1956" spans="1:16">
      <c r="A1956">
        <v>4</v>
      </c>
      <c r="B1956" t="s">
        <v>12310</v>
      </c>
      <c r="C1956" t="s">
        <v>12312</v>
      </c>
      <c r="D1956" t="s">
        <v>12320</v>
      </c>
      <c r="E1956" t="s">
        <v>5125</v>
      </c>
      <c r="F1956" t="s">
        <v>5126</v>
      </c>
      <c r="G1956" s="712">
        <v>0</v>
      </c>
      <c r="H1956">
        <v>0</v>
      </c>
      <c r="I1956" s="713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</row>
    <row r="1957" spans="1:16">
      <c r="A1957">
        <v>4</v>
      </c>
      <c r="B1957" t="s">
        <v>12310</v>
      </c>
      <c r="C1957" t="s">
        <v>12312</v>
      </c>
      <c r="D1957" t="s">
        <v>12320</v>
      </c>
      <c r="E1957" t="s">
        <v>5129</v>
      </c>
      <c r="F1957" t="s">
        <v>5130</v>
      </c>
      <c r="G1957" s="712">
        <v>0</v>
      </c>
      <c r="H1957">
        <v>0</v>
      </c>
      <c r="I1957" s="713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</row>
    <row r="1958" spans="1:16">
      <c r="A1958">
        <v>4</v>
      </c>
      <c r="B1958" t="s">
        <v>12310</v>
      </c>
      <c r="C1958" t="s">
        <v>12312</v>
      </c>
      <c r="D1958" t="s">
        <v>12320</v>
      </c>
      <c r="E1958" t="s">
        <v>5131</v>
      </c>
      <c r="F1958" t="s">
        <v>5132</v>
      </c>
      <c r="G1958" s="712">
        <v>0</v>
      </c>
      <c r="H1958">
        <v>0</v>
      </c>
      <c r="I1958" s="713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</row>
    <row r="1959" spans="1:16">
      <c r="A1959">
        <v>4</v>
      </c>
      <c r="B1959" t="s">
        <v>12310</v>
      </c>
      <c r="C1959" t="s">
        <v>12312</v>
      </c>
      <c r="D1959" t="s">
        <v>12320</v>
      </c>
      <c r="E1959" t="s">
        <v>5133</v>
      </c>
      <c r="F1959" t="s">
        <v>5134</v>
      </c>
      <c r="G1959" s="712">
        <v>0</v>
      </c>
      <c r="H1959">
        <v>0</v>
      </c>
      <c r="I1959" s="713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</row>
    <row r="1960" spans="1:16">
      <c r="A1960">
        <v>4</v>
      </c>
      <c r="B1960" t="s">
        <v>12310</v>
      </c>
      <c r="C1960" t="s">
        <v>12312</v>
      </c>
      <c r="D1960" t="s">
        <v>12320</v>
      </c>
      <c r="E1960" t="s">
        <v>5137</v>
      </c>
      <c r="F1960" t="s">
        <v>5138</v>
      </c>
      <c r="G1960" s="712">
        <v>0</v>
      </c>
      <c r="H1960">
        <v>0</v>
      </c>
      <c r="I1960" s="713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</row>
    <row r="1961" spans="1:16">
      <c r="A1961">
        <v>4</v>
      </c>
      <c r="B1961" t="s">
        <v>12310</v>
      </c>
      <c r="C1961" t="s">
        <v>12312</v>
      </c>
      <c r="D1961" t="s">
        <v>12320</v>
      </c>
      <c r="E1961" t="s">
        <v>5139</v>
      </c>
      <c r="F1961" t="s">
        <v>5136</v>
      </c>
      <c r="G1961" s="712">
        <v>0</v>
      </c>
      <c r="H1961">
        <v>0</v>
      </c>
      <c r="I1961" s="713">
        <v>0</v>
      </c>
      <c r="J1961">
        <v>0</v>
      </c>
      <c r="K1961" s="711">
        <v>32989.339999999997</v>
      </c>
      <c r="L1961">
        <v>0</v>
      </c>
      <c r="M1961">
        <v>0</v>
      </c>
      <c r="N1961">
        <v>0</v>
      </c>
      <c r="O1961" s="711">
        <v>32989.339999999997</v>
      </c>
      <c r="P1961" s="711">
        <v>-32989.339999999997</v>
      </c>
    </row>
    <row r="1962" spans="1:16" ht="15.75" thickBot="1">
      <c r="A1962">
        <v>4</v>
      </c>
      <c r="B1962" t="s">
        <v>12310</v>
      </c>
      <c r="C1962" t="s">
        <v>12312</v>
      </c>
      <c r="D1962" t="s">
        <v>12320</v>
      </c>
      <c r="E1962" t="s">
        <v>5140</v>
      </c>
      <c r="F1962" t="s">
        <v>5141</v>
      </c>
      <c r="G1962" s="712">
        <v>0</v>
      </c>
      <c r="H1962">
        <v>0</v>
      </c>
      <c r="I1962" s="713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</row>
    <row r="1963" spans="1:16" ht="15.75" thickBot="1">
      <c r="A1963" s="727">
        <v>4</v>
      </c>
      <c r="B1963" s="727" t="s">
        <v>12310</v>
      </c>
      <c r="C1963" s="727" t="s">
        <v>12312</v>
      </c>
      <c r="D1963" s="727" t="s">
        <v>12322</v>
      </c>
      <c r="E1963" s="727"/>
      <c r="F1963" s="729" t="s">
        <v>12323</v>
      </c>
      <c r="G1963" s="738">
        <v>0</v>
      </c>
      <c r="H1963" s="738">
        <v>0</v>
      </c>
      <c r="I1963" s="738">
        <v>0</v>
      </c>
      <c r="J1963" s="738">
        <v>0</v>
      </c>
      <c r="K1963" s="739">
        <v>2689223.82</v>
      </c>
      <c r="L1963" s="738">
        <v>0</v>
      </c>
      <c r="M1963" s="738">
        <v>0</v>
      </c>
      <c r="N1963" s="738">
        <v>0</v>
      </c>
      <c r="O1963" s="739">
        <v>2689223.82</v>
      </c>
      <c r="P1963" s="739">
        <v>-2689223.82</v>
      </c>
    </row>
    <row r="1964" spans="1:16">
      <c r="A1964">
        <v>4</v>
      </c>
      <c r="B1964" t="s">
        <v>12310</v>
      </c>
      <c r="C1964" t="s">
        <v>12312</v>
      </c>
      <c r="D1964" t="s">
        <v>12322</v>
      </c>
      <c r="E1964" t="s">
        <v>5146</v>
      </c>
      <c r="F1964" t="s">
        <v>5147</v>
      </c>
      <c r="G1964" s="712">
        <v>0</v>
      </c>
      <c r="H1964">
        <v>0</v>
      </c>
      <c r="I1964" s="713">
        <v>0</v>
      </c>
      <c r="J1964">
        <v>0</v>
      </c>
      <c r="K1964" s="711">
        <v>1024517.95</v>
      </c>
      <c r="L1964">
        <v>0</v>
      </c>
      <c r="M1964">
        <v>0</v>
      </c>
      <c r="N1964">
        <v>0</v>
      </c>
      <c r="O1964" s="711">
        <v>1024517.95</v>
      </c>
      <c r="P1964" s="711">
        <v>-1024517.95</v>
      </c>
    </row>
    <row r="1965" spans="1:16">
      <c r="A1965">
        <v>4</v>
      </c>
      <c r="B1965" t="s">
        <v>12310</v>
      </c>
      <c r="C1965" t="s">
        <v>12312</v>
      </c>
      <c r="D1965" t="s">
        <v>12322</v>
      </c>
      <c r="E1965" t="s">
        <v>5152</v>
      </c>
      <c r="F1965" t="s">
        <v>5153</v>
      </c>
      <c r="G1965" s="712">
        <v>0</v>
      </c>
      <c r="H1965">
        <v>0</v>
      </c>
      <c r="I1965" s="713">
        <v>0</v>
      </c>
      <c r="J1965">
        <v>0</v>
      </c>
      <c r="K1965" s="711">
        <v>76898</v>
      </c>
      <c r="L1965">
        <v>0</v>
      </c>
      <c r="M1965">
        <v>0</v>
      </c>
      <c r="N1965">
        <v>0</v>
      </c>
      <c r="O1965" s="711">
        <v>76898</v>
      </c>
      <c r="P1965" s="711">
        <v>-76898</v>
      </c>
    </row>
    <row r="1966" spans="1:16">
      <c r="A1966">
        <v>4</v>
      </c>
      <c r="B1966" t="s">
        <v>12310</v>
      </c>
      <c r="C1966" t="s">
        <v>12312</v>
      </c>
      <c r="D1966" t="s">
        <v>12322</v>
      </c>
      <c r="E1966" t="s">
        <v>5163</v>
      </c>
      <c r="F1966" t="s">
        <v>5164</v>
      </c>
      <c r="G1966" s="712">
        <v>0</v>
      </c>
      <c r="H1966">
        <v>0</v>
      </c>
      <c r="I1966" s="713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</row>
    <row r="1967" spans="1:16">
      <c r="A1967">
        <v>4</v>
      </c>
      <c r="B1967" t="s">
        <v>12310</v>
      </c>
      <c r="C1967" t="s">
        <v>12312</v>
      </c>
      <c r="D1967" t="s">
        <v>12322</v>
      </c>
      <c r="E1967" t="s">
        <v>5168</v>
      </c>
      <c r="F1967" t="s">
        <v>5169</v>
      </c>
      <c r="G1967" s="712">
        <v>0</v>
      </c>
      <c r="H1967">
        <v>0</v>
      </c>
      <c r="I1967" s="713">
        <v>0</v>
      </c>
      <c r="J1967">
        <v>0</v>
      </c>
      <c r="K1967" s="711">
        <v>347170</v>
      </c>
      <c r="L1967">
        <v>0</v>
      </c>
      <c r="M1967">
        <v>0</v>
      </c>
      <c r="N1967">
        <v>0</v>
      </c>
      <c r="O1967" s="711">
        <v>347170</v>
      </c>
      <c r="P1967" s="711">
        <v>-347170</v>
      </c>
    </row>
    <row r="1968" spans="1:16">
      <c r="A1968">
        <v>4</v>
      </c>
      <c r="B1968" t="s">
        <v>12310</v>
      </c>
      <c r="C1968" t="s">
        <v>12312</v>
      </c>
      <c r="D1968" t="s">
        <v>12322</v>
      </c>
      <c r="E1968" t="s">
        <v>12324</v>
      </c>
      <c r="F1968" t="s">
        <v>12325</v>
      </c>
      <c r="G1968" s="712">
        <v>0</v>
      </c>
      <c r="H1968">
        <v>0</v>
      </c>
      <c r="I1968" s="713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</row>
    <row r="1969" spans="1:16">
      <c r="A1969">
        <v>4</v>
      </c>
      <c r="B1969" t="s">
        <v>12310</v>
      </c>
      <c r="C1969" t="s">
        <v>12312</v>
      </c>
      <c r="D1969" t="s">
        <v>12322</v>
      </c>
      <c r="E1969" t="s">
        <v>5176</v>
      </c>
      <c r="F1969" t="s">
        <v>5177</v>
      </c>
      <c r="G1969" s="712">
        <v>0</v>
      </c>
      <c r="H1969">
        <v>0</v>
      </c>
      <c r="I1969" s="713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</row>
    <row r="1970" spans="1:16">
      <c r="A1970">
        <v>4</v>
      </c>
      <c r="B1970" t="s">
        <v>12310</v>
      </c>
      <c r="C1970" t="s">
        <v>12312</v>
      </c>
      <c r="D1970" t="s">
        <v>12322</v>
      </c>
      <c r="E1970" t="s">
        <v>5181</v>
      </c>
      <c r="F1970" t="s">
        <v>5182</v>
      </c>
      <c r="G1970" s="712">
        <v>0</v>
      </c>
      <c r="H1970">
        <v>0</v>
      </c>
      <c r="I1970" s="713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</row>
    <row r="1971" spans="1:16">
      <c r="A1971">
        <v>4</v>
      </c>
      <c r="B1971" t="s">
        <v>12310</v>
      </c>
      <c r="C1971" t="s">
        <v>12312</v>
      </c>
      <c r="D1971" t="s">
        <v>12322</v>
      </c>
      <c r="E1971" t="s">
        <v>5186</v>
      </c>
      <c r="F1971" t="s">
        <v>5187</v>
      </c>
      <c r="G1971" s="712">
        <v>0</v>
      </c>
      <c r="H1971">
        <v>0</v>
      </c>
      <c r="I1971" s="713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</row>
    <row r="1972" spans="1:16">
      <c r="A1972">
        <v>4</v>
      </c>
      <c r="B1972" t="s">
        <v>12310</v>
      </c>
      <c r="C1972" t="s">
        <v>12312</v>
      </c>
      <c r="D1972" t="s">
        <v>12322</v>
      </c>
      <c r="E1972" t="s">
        <v>5191</v>
      </c>
      <c r="F1972" t="s">
        <v>5192</v>
      </c>
      <c r="G1972" s="712">
        <v>0</v>
      </c>
      <c r="H1972">
        <v>0</v>
      </c>
      <c r="I1972" s="713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</row>
    <row r="1973" spans="1:16">
      <c r="A1973">
        <v>4</v>
      </c>
      <c r="B1973" t="s">
        <v>12310</v>
      </c>
      <c r="C1973" t="s">
        <v>12312</v>
      </c>
      <c r="D1973" t="s">
        <v>12322</v>
      </c>
      <c r="E1973" t="s">
        <v>12326</v>
      </c>
      <c r="F1973" t="s">
        <v>12327</v>
      </c>
      <c r="G1973" s="712">
        <v>0</v>
      </c>
      <c r="H1973">
        <v>0</v>
      </c>
      <c r="I1973" s="71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</row>
    <row r="1974" spans="1:16">
      <c r="A1974">
        <v>4</v>
      </c>
      <c r="B1974" t="s">
        <v>12310</v>
      </c>
      <c r="C1974" t="s">
        <v>12312</v>
      </c>
      <c r="D1974" t="s">
        <v>12322</v>
      </c>
      <c r="E1974" t="s">
        <v>5216</v>
      </c>
      <c r="F1974" t="s">
        <v>5217</v>
      </c>
      <c r="G1974" s="712">
        <v>0</v>
      </c>
      <c r="H1974">
        <v>0</v>
      </c>
      <c r="I1974" s="713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</row>
    <row r="1975" spans="1:16">
      <c r="A1975">
        <v>4</v>
      </c>
      <c r="B1975" t="s">
        <v>12310</v>
      </c>
      <c r="C1975" t="s">
        <v>12312</v>
      </c>
      <c r="D1975" t="s">
        <v>12322</v>
      </c>
      <c r="E1975" t="s">
        <v>5221</v>
      </c>
      <c r="F1975" t="s">
        <v>5222</v>
      </c>
      <c r="G1975" s="712">
        <v>0</v>
      </c>
      <c r="H1975">
        <v>0</v>
      </c>
      <c r="I1975" s="713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</row>
    <row r="1976" spans="1:16">
      <c r="A1976">
        <v>4</v>
      </c>
      <c r="B1976" t="s">
        <v>12310</v>
      </c>
      <c r="C1976" t="s">
        <v>12312</v>
      </c>
      <c r="D1976" t="s">
        <v>12322</v>
      </c>
      <c r="E1976" t="s">
        <v>5224</v>
      </c>
      <c r="F1976" t="s">
        <v>5225</v>
      </c>
      <c r="G1976" s="712">
        <v>0</v>
      </c>
      <c r="H1976">
        <v>0</v>
      </c>
      <c r="I1976" s="713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</row>
    <row r="1977" spans="1:16">
      <c r="A1977">
        <v>4</v>
      </c>
      <c r="B1977" t="s">
        <v>12310</v>
      </c>
      <c r="C1977" t="s">
        <v>12312</v>
      </c>
      <c r="D1977" t="s">
        <v>12322</v>
      </c>
      <c r="E1977" t="s">
        <v>5227</v>
      </c>
      <c r="F1977" t="s">
        <v>5228</v>
      </c>
      <c r="G1977" s="712">
        <v>0</v>
      </c>
      <c r="H1977">
        <v>0</v>
      </c>
      <c r="I1977" s="713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</row>
    <row r="1978" spans="1:16">
      <c r="A1978">
        <v>4</v>
      </c>
      <c r="B1978" t="s">
        <v>12310</v>
      </c>
      <c r="C1978" t="s">
        <v>12312</v>
      </c>
      <c r="D1978" t="s">
        <v>12322</v>
      </c>
      <c r="E1978" t="s">
        <v>5229</v>
      </c>
      <c r="F1978" t="s">
        <v>5230</v>
      </c>
      <c r="G1978" s="712">
        <v>0</v>
      </c>
      <c r="H1978">
        <v>0</v>
      </c>
      <c r="I1978" s="713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</row>
    <row r="1979" spans="1:16">
      <c r="A1979">
        <v>4</v>
      </c>
      <c r="B1979" t="s">
        <v>12310</v>
      </c>
      <c r="C1979" t="s">
        <v>12312</v>
      </c>
      <c r="D1979" t="s">
        <v>12322</v>
      </c>
      <c r="E1979" t="s">
        <v>5232</v>
      </c>
      <c r="F1979" t="s">
        <v>5233</v>
      </c>
      <c r="G1979" s="712">
        <v>0</v>
      </c>
      <c r="H1979">
        <v>0</v>
      </c>
      <c r="I1979" s="713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</row>
    <row r="1980" spans="1:16">
      <c r="A1980">
        <v>4</v>
      </c>
      <c r="B1980" t="s">
        <v>12310</v>
      </c>
      <c r="C1980" t="s">
        <v>12312</v>
      </c>
      <c r="D1980" t="s">
        <v>12322</v>
      </c>
      <c r="E1980" t="s">
        <v>5197</v>
      </c>
      <c r="F1980" t="s">
        <v>5198</v>
      </c>
      <c r="G1980" s="712">
        <v>0</v>
      </c>
      <c r="H1980">
        <v>0</v>
      </c>
      <c r="I1980" s="713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</row>
    <row r="1981" spans="1:16">
      <c r="A1981">
        <v>4</v>
      </c>
      <c r="B1981" t="s">
        <v>12310</v>
      </c>
      <c r="C1981" t="s">
        <v>12312</v>
      </c>
      <c r="D1981" t="s">
        <v>12322</v>
      </c>
      <c r="E1981" t="s">
        <v>5202</v>
      </c>
      <c r="F1981" t="s">
        <v>5203</v>
      </c>
      <c r="G1981" s="712">
        <v>0</v>
      </c>
      <c r="H1981">
        <v>0</v>
      </c>
      <c r="I1981" s="713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</row>
    <row r="1982" spans="1:16">
      <c r="A1982">
        <v>4</v>
      </c>
      <c r="B1982" t="s">
        <v>12310</v>
      </c>
      <c r="C1982" t="s">
        <v>12312</v>
      </c>
      <c r="D1982" t="s">
        <v>12322</v>
      </c>
      <c r="E1982" t="s">
        <v>5235</v>
      </c>
      <c r="F1982" t="s">
        <v>5236</v>
      </c>
      <c r="G1982" s="712">
        <v>0</v>
      </c>
      <c r="H1982">
        <v>0</v>
      </c>
      <c r="I1982" s="713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</row>
    <row r="1983" spans="1:16">
      <c r="A1983">
        <v>4</v>
      </c>
      <c r="B1983" t="s">
        <v>12310</v>
      </c>
      <c r="C1983" t="s">
        <v>12312</v>
      </c>
      <c r="D1983" t="s">
        <v>12322</v>
      </c>
      <c r="E1983" t="s">
        <v>5206</v>
      </c>
      <c r="F1983" t="s">
        <v>5207</v>
      </c>
      <c r="G1983" s="712">
        <v>0</v>
      </c>
      <c r="H1983">
        <v>0</v>
      </c>
      <c r="I1983" s="71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</row>
    <row r="1984" spans="1:16">
      <c r="A1984">
        <v>4</v>
      </c>
      <c r="B1984" t="s">
        <v>12310</v>
      </c>
      <c r="C1984" t="s">
        <v>12312</v>
      </c>
      <c r="D1984" t="s">
        <v>12322</v>
      </c>
      <c r="E1984" t="s">
        <v>5210</v>
      </c>
      <c r="F1984" t="s">
        <v>5211</v>
      </c>
      <c r="G1984" s="712">
        <v>0</v>
      </c>
      <c r="H1984">
        <v>0</v>
      </c>
      <c r="I1984" s="713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</row>
    <row r="1985" spans="1:16">
      <c r="A1985">
        <v>4</v>
      </c>
      <c r="B1985" t="s">
        <v>12310</v>
      </c>
      <c r="C1985" t="s">
        <v>12312</v>
      </c>
      <c r="D1985" t="s">
        <v>12322</v>
      </c>
      <c r="E1985" t="s">
        <v>5239</v>
      </c>
      <c r="F1985" t="s">
        <v>5240</v>
      </c>
      <c r="G1985" s="712">
        <v>0</v>
      </c>
      <c r="H1985">
        <v>0</v>
      </c>
      <c r="I1985" s="713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</row>
    <row r="1986" spans="1:16">
      <c r="A1986">
        <v>4</v>
      </c>
      <c r="B1986" t="s">
        <v>12310</v>
      </c>
      <c r="C1986" t="s">
        <v>12312</v>
      </c>
      <c r="D1986" t="s">
        <v>12322</v>
      </c>
      <c r="E1986" t="s">
        <v>5245</v>
      </c>
      <c r="F1986" t="s">
        <v>5246</v>
      </c>
      <c r="G1986" s="712">
        <v>0</v>
      </c>
      <c r="H1986">
        <v>0</v>
      </c>
      <c r="I1986" s="713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</row>
    <row r="1987" spans="1:16">
      <c r="A1987">
        <v>4</v>
      </c>
      <c r="B1987" t="s">
        <v>12310</v>
      </c>
      <c r="C1987" t="s">
        <v>12312</v>
      </c>
      <c r="D1987" t="s">
        <v>12322</v>
      </c>
      <c r="E1987" t="s">
        <v>5173</v>
      </c>
      <c r="F1987" t="s">
        <v>5174</v>
      </c>
      <c r="G1987" s="712">
        <v>0</v>
      </c>
      <c r="H1987">
        <v>0</v>
      </c>
      <c r="I1987" s="713">
        <v>0</v>
      </c>
      <c r="J1987">
        <v>0</v>
      </c>
      <c r="K1987" s="711">
        <v>51925</v>
      </c>
      <c r="L1987">
        <v>0</v>
      </c>
      <c r="M1987">
        <v>0</v>
      </c>
      <c r="N1987">
        <v>0</v>
      </c>
      <c r="O1987" s="711">
        <v>51925</v>
      </c>
      <c r="P1987" s="711">
        <v>-51925</v>
      </c>
    </row>
    <row r="1988" spans="1:16">
      <c r="A1988">
        <v>4</v>
      </c>
      <c r="B1988" t="s">
        <v>12310</v>
      </c>
      <c r="C1988" t="s">
        <v>12312</v>
      </c>
      <c r="D1988" t="s">
        <v>12322</v>
      </c>
      <c r="E1988" t="s">
        <v>5158</v>
      </c>
      <c r="F1988" t="s">
        <v>5159</v>
      </c>
      <c r="G1988" s="712">
        <v>0</v>
      </c>
      <c r="H1988">
        <v>0</v>
      </c>
      <c r="I1988" s="713">
        <v>0</v>
      </c>
      <c r="J1988">
        <v>0</v>
      </c>
      <c r="K1988" s="711">
        <v>53234</v>
      </c>
      <c r="L1988">
        <v>0</v>
      </c>
      <c r="M1988">
        <v>0</v>
      </c>
      <c r="N1988">
        <v>0</v>
      </c>
      <c r="O1988" s="711">
        <v>53234</v>
      </c>
      <c r="P1988" s="711">
        <v>-53234</v>
      </c>
    </row>
    <row r="1989" spans="1:16">
      <c r="A1989">
        <v>4</v>
      </c>
      <c r="B1989" t="s">
        <v>12310</v>
      </c>
      <c r="C1989" t="s">
        <v>12312</v>
      </c>
      <c r="D1989" t="s">
        <v>12322</v>
      </c>
      <c r="E1989" t="s">
        <v>5258</v>
      </c>
      <c r="F1989" t="s">
        <v>5259</v>
      </c>
      <c r="G1989" s="712">
        <v>0</v>
      </c>
      <c r="H1989">
        <v>0</v>
      </c>
      <c r="I1989" s="713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</row>
    <row r="1990" spans="1:16">
      <c r="A1990">
        <v>4</v>
      </c>
      <c r="B1990" t="s">
        <v>12310</v>
      </c>
      <c r="C1990" t="s">
        <v>12312</v>
      </c>
      <c r="D1990" t="s">
        <v>12322</v>
      </c>
      <c r="E1990" t="s">
        <v>5263</v>
      </c>
      <c r="F1990" t="s">
        <v>5264</v>
      </c>
      <c r="G1990" s="712">
        <v>0</v>
      </c>
      <c r="H1990">
        <v>0</v>
      </c>
      <c r="I1990" s="713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</row>
    <row r="1991" spans="1:16" ht="15.75" thickBot="1">
      <c r="A1991">
        <v>4</v>
      </c>
      <c r="B1991" t="s">
        <v>12310</v>
      </c>
      <c r="C1991" t="s">
        <v>12312</v>
      </c>
      <c r="D1991" t="s">
        <v>12322</v>
      </c>
      <c r="E1991" t="s">
        <v>5251</v>
      </c>
      <c r="F1991" t="s">
        <v>5252</v>
      </c>
      <c r="G1991" s="712">
        <v>0</v>
      </c>
      <c r="H1991">
        <v>0</v>
      </c>
      <c r="I1991" s="713">
        <v>0</v>
      </c>
      <c r="J1991">
        <v>0</v>
      </c>
      <c r="K1991" s="711">
        <v>1135478.8700000001</v>
      </c>
      <c r="L1991">
        <v>0</v>
      </c>
      <c r="M1991">
        <v>0</v>
      </c>
      <c r="N1991">
        <v>0</v>
      </c>
      <c r="O1991" s="711">
        <v>1135478.8700000001</v>
      </c>
      <c r="P1991" s="711">
        <v>-1135478.8700000001</v>
      </c>
    </row>
    <row r="1992" spans="1:16" ht="15.75" thickBot="1">
      <c r="A1992" s="727">
        <v>4</v>
      </c>
      <c r="B1992" s="727" t="s">
        <v>12310</v>
      </c>
      <c r="C1992" s="727" t="s">
        <v>12328</v>
      </c>
      <c r="D1992" s="727"/>
      <c r="E1992" s="727"/>
      <c r="F1992" s="745" t="s">
        <v>12329</v>
      </c>
      <c r="G1992" s="738">
        <v>0</v>
      </c>
      <c r="H1992" s="738">
        <v>0</v>
      </c>
      <c r="I1992" s="738">
        <v>0</v>
      </c>
      <c r="J1992" s="738">
        <v>0</v>
      </c>
      <c r="K1992" s="738">
        <v>0</v>
      </c>
      <c r="L1992" s="738">
        <v>0</v>
      </c>
      <c r="M1992" s="738">
        <v>0</v>
      </c>
      <c r="N1992" s="738">
        <v>0</v>
      </c>
      <c r="O1992" s="738">
        <v>0</v>
      </c>
      <c r="P1992" s="738">
        <v>0</v>
      </c>
    </row>
    <row r="1993" spans="1:16" ht="15.75" thickBot="1">
      <c r="A1993" s="727">
        <v>4</v>
      </c>
      <c r="B1993" s="727" t="s">
        <v>12310</v>
      </c>
      <c r="C1993" s="727" t="s">
        <v>12328</v>
      </c>
      <c r="D1993" s="727" t="s">
        <v>12330</v>
      </c>
      <c r="E1993" s="727"/>
      <c r="F1993" s="729" t="s">
        <v>5277</v>
      </c>
      <c r="G1993" s="738">
        <v>0</v>
      </c>
      <c r="H1993" s="738">
        <v>0</v>
      </c>
      <c r="I1993" s="738">
        <v>0</v>
      </c>
      <c r="J1993" s="738">
        <v>0</v>
      </c>
      <c r="K1993" s="738">
        <v>0</v>
      </c>
      <c r="L1993" s="738">
        <v>0</v>
      </c>
      <c r="M1993" s="738">
        <v>0</v>
      </c>
      <c r="N1993" s="738">
        <v>0</v>
      </c>
      <c r="O1993" s="738">
        <v>0</v>
      </c>
      <c r="P1993" s="738">
        <v>0</v>
      </c>
    </row>
    <row r="1994" spans="1:16" ht="15.75" thickBot="1">
      <c r="A1994">
        <v>4</v>
      </c>
      <c r="B1994" t="s">
        <v>12310</v>
      </c>
      <c r="C1994" t="s">
        <v>12328</v>
      </c>
      <c r="D1994" t="s">
        <v>12330</v>
      </c>
      <c r="E1994" t="s">
        <v>5276</v>
      </c>
      <c r="F1994" t="s">
        <v>5277</v>
      </c>
      <c r="G1994" s="712">
        <v>0</v>
      </c>
      <c r="H1994">
        <v>0</v>
      </c>
      <c r="I1994" s="713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</row>
    <row r="1995" spans="1:16" ht="15.75" thickBot="1">
      <c r="A1995" s="727">
        <v>4</v>
      </c>
      <c r="B1995" s="727" t="s">
        <v>12310</v>
      </c>
      <c r="C1995" s="727" t="s">
        <v>12328</v>
      </c>
      <c r="D1995" s="727" t="s">
        <v>12331</v>
      </c>
      <c r="E1995" s="727"/>
      <c r="F1995" s="729" t="s">
        <v>5284</v>
      </c>
      <c r="G1995" s="738">
        <v>0</v>
      </c>
      <c r="H1995" s="738">
        <v>0</v>
      </c>
      <c r="I1995" s="738">
        <v>0</v>
      </c>
      <c r="J1995" s="738">
        <v>0</v>
      </c>
      <c r="K1995" s="738">
        <v>0</v>
      </c>
      <c r="L1995" s="738">
        <v>0</v>
      </c>
      <c r="M1995" s="738">
        <v>0</v>
      </c>
      <c r="N1995" s="738">
        <v>0</v>
      </c>
      <c r="O1995" s="738">
        <v>0</v>
      </c>
      <c r="P1995" s="738">
        <v>0</v>
      </c>
    </row>
    <row r="1996" spans="1:16" ht="15.75" thickBot="1">
      <c r="A1996">
        <v>4</v>
      </c>
      <c r="B1996" t="s">
        <v>12310</v>
      </c>
      <c r="C1996" t="s">
        <v>12328</v>
      </c>
      <c r="D1996" t="s">
        <v>12331</v>
      </c>
      <c r="E1996" t="s">
        <v>5283</v>
      </c>
      <c r="F1996" t="s">
        <v>5284</v>
      </c>
      <c r="G1996" s="712">
        <v>0</v>
      </c>
      <c r="H1996">
        <v>0</v>
      </c>
      <c r="I1996" s="713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</row>
    <row r="1997" spans="1:16" ht="15.75" thickBot="1">
      <c r="A1997" s="727">
        <v>4</v>
      </c>
      <c r="B1997" s="727" t="s">
        <v>12310</v>
      </c>
      <c r="C1997" s="727" t="s">
        <v>12328</v>
      </c>
      <c r="D1997" s="727" t="s">
        <v>12332</v>
      </c>
      <c r="E1997" s="727"/>
      <c r="F1997" s="729" t="s">
        <v>5297</v>
      </c>
      <c r="G1997" s="738">
        <v>0</v>
      </c>
      <c r="H1997" s="738">
        <v>0</v>
      </c>
      <c r="I1997" s="738">
        <v>0</v>
      </c>
      <c r="J1997" s="738">
        <v>0</v>
      </c>
      <c r="K1997" s="738">
        <v>0</v>
      </c>
      <c r="L1997" s="738">
        <v>0</v>
      </c>
      <c r="M1997" s="738">
        <v>0</v>
      </c>
      <c r="N1997" s="738">
        <v>0</v>
      </c>
      <c r="O1997" s="738">
        <v>0</v>
      </c>
      <c r="P1997" s="738">
        <v>0</v>
      </c>
    </row>
    <row r="1998" spans="1:16" ht="15.75" thickBot="1">
      <c r="A1998">
        <v>4</v>
      </c>
      <c r="B1998" t="s">
        <v>12310</v>
      </c>
      <c r="C1998" t="s">
        <v>12328</v>
      </c>
      <c r="D1998" t="s">
        <v>12332</v>
      </c>
      <c r="E1998" t="s">
        <v>5296</v>
      </c>
      <c r="F1998" t="s">
        <v>5297</v>
      </c>
      <c r="G1998" s="712">
        <v>0</v>
      </c>
      <c r="H1998">
        <v>0</v>
      </c>
      <c r="I1998" s="713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</row>
    <row r="1999" spans="1:16" ht="15.75" thickBot="1">
      <c r="A1999" s="727">
        <v>4</v>
      </c>
      <c r="B1999" s="727" t="s">
        <v>12310</v>
      </c>
      <c r="C1999" s="727" t="s">
        <v>12328</v>
      </c>
      <c r="D1999" s="727" t="s">
        <v>12333</v>
      </c>
      <c r="E1999" s="727"/>
      <c r="F1999" s="729" t="s">
        <v>12334</v>
      </c>
      <c r="G1999" s="738">
        <v>0</v>
      </c>
      <c r="H1999" s="738">
        <v>0</v>
      </c>
      <c r="I1999" s="738">
        <v>0</v>
      </c>
      <c r="J1999" s="738">
        <v>0</v>
      </c>
      <c r="K1999" s="738">
        <v>0</v>
      </c>
      <c r="L1999" s="738">
        <v>0</v>
      </c>
      <c r="M1999" s="738">
        <v>0</v>
      </c>
      <c r="N1999" s="738">
        <v>0</v>
      </c>
      <c r="O1999" s="738">
        <v>0</v>
      </c>
      <c r="P1999" s="738">
        <v>0</v>
      </c>
    </row>
    <row r="2000" spans="1:16">
      <c r="A2000">
        <v>4</v>
      </c>
      <c r="B2000" t="s">
        <v>12310</v>
      </c>
      <c r="C2000" t="s">
        <v>12328</v>
      </c>
      <c r="D2000" t="s">
        <v>12333</v>
      </c>
      <c r="E2000" t="s">
        <v>5302</v>
      </c>
      <c r="F2000" t="s">
        <v>5303</v>
      </c>
      <c r="G2000" s="712">
        <v>0</v>
      </c>
      <c r="H2000">
        <v>0</v>
      </c>
      <c r="I2000" s="713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</row>
    <row r="2001" spans="1:16" ht="15.75" thickBot="1">
      <c r="A2001">
        <v>4</v>
      </c>
      <c r="B2001" t="s">
        <v>12310</v>
      </c>
      <c r="C2001" t="s">
        <v>12328</v>
      </c>
      <c r="D2001" t="s">
        <v>12333</v>
      </c>
      <c r="E2001" t="s">
        <v>5304</v>
      </c>
      <c r="F2001" t="s">
        <v>5305</v>
      </c>
      <c r="G2001" s="712">
        <v>0</v>
      </c>
      <c r="H2001">
        <v>0</v>
      </c>
      <c r="I2001" s="713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</row>
    <row r="2002" spans="1:16" ht="15.75" thickBot="1">
      <c r="A2002" s="727">
        <v>4</v>
      </c>
      <c r="B2002" s="727" t="s">
        <v>12310</v>
      </c>
      <c r="C2002" s="727" t="s">
        <v>12328</v>
      </c>
      <c r="D2002" s="727" t="s">
        <v>12335</v>
      </c>
      <c r="E2002" s="727"/>
      <c r="F2002" s="729" t="s">
        <v>5287</v>
      </c>
      <c r="G2002" s="738">
        <v>0</v>
      </c>
      <c r="H2002" s="738">
        <v>0</v>
      </c>
      <c r="I2002" s="738">
        <v>0</v>
      </c>
      <c r="J2002" s="738">
        <v>0</v>
      </c>
      <c r="K2002" s="738">
        <v>0</v>
      </c>
      <c r="L2002" s="738">
        <v>0</v>
      </c>
      <c r="M2002" s="738">
        <v>0</v>
      </c>
      <c r="N2002" s="738">
        <v>0</v>
      </c>
      <c r="O2002" s="738">
        <v>0</v>
      </c>
      <c r="P2002" s="738">
        <v>0</v>
      </c>
    </row>
    <row r="2003" spans="1:16" ht="15.75" thickBot="1">
      <c r="A2003">
        <v>4</v>
      </c>
      <c r="B2003" t="s">
        <v>12310</v>
      </c>
      <c r="C2003" t="s">
        <v>12328</v>
      </c>
      <c r="D2003" t="s">
        <v>12335</v>
      </c>
      <c r="E2003" t="s">
        <v>5290</v>
      </c>
      <c r="F2003" t="s">
        <v>5291</v>
      </c>
      <c r="G2003" s="712">
        <v>0</v>
      </c>
      <c r="H2003">
        <v>0</v>
      </c>
      <c r="I2003" s="71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</row>
    <row r="2004" spans="1:16" ht="15.75" thickBot="1">
      <c r="A2004" s="727">
        <v>4</v>
      </c>
      <c r="B2004" s="727" t="s">
        <v>12310</v>
      </c>
      <c r="C2004" s="727" t="s">
        <v>12336</v>
      </c>
      <c r="D2004" s="727"/>
      <c r="E2004" s="727"/>
      <c r="F2004" s="745" t="s">
        <v>12337</v>
      </c>
      <c r="G2004" s="738">
        <v>0</v>
      </c>
      <c r="H2004" s="738">
        <v>0</v>
      </c>
      <c r="I2004" s="738">
        <v>0</v>
      </c>
      <c r="J2004" s="739">
        <v>73580.679999999993</v>
      </c>
      <c r="K2004" s="739">
        <v>2120358.27</v>
      </c>
      <c r="L2004" s="738">
        <v>0</v>
      </c>
      <c r="M2004" s="738">
        <v>0</v>
      </c>
      <c r="N2004" s="739">
        <v>73580.679999999993</v>
      </c>
      <c r="O2004" s="739">
        <v>2120358.27</v>
      </c>
      <c r="P2004" s="739">
        <v>-2046777.59</v>
      </c>
    </row>
    <row r="2005" spans="1:16" ht="15.75" thickBot="1">
      <c r="A2005" s="727">
        <v>4</v>
      </c>
      <c r="B2005" s="727" t="s">
        <v>12310</v>
      </c>
      <c r="C2005" s="727" t="s">
        <v>12336</v>
      </c>
      <c r="D2005" s="727" t="s">
        <v>12338</v>
      </c>
      <c r="E2005" s="727"/>
      <c r="F2005" s="729" t="s">
        <v>12339</v>
      </c>
      <c r="G2005" s="738">
        <v>0</v>
      </c>
      <c r="H2005" s="738">
        <v>0</v>
      </c>
      <c r="I2005" s="738">
        <v>0</v>
      </c>
      <c r="J2005" s="739">
        <v>73580.679999999993</v>
      </c>
      <c r="K2005" s="739">
        <v>2120358.27</v>
      </c>
      <c r="L2005" s="738">
        <v>0</v>
      </c>
      <c r="M2005" s="738">
        <v>0</v>
      </c>
      <c r="N2005" s="739">
        <v>73580.679999999993</v>
      </c>
      <c r="O2005" s="739">
        <v>2120358.27</v>
      </c>
      <c r="P2005" s="739">
        <v>-2046777.59</v>
      </c>
    </row>
    <row r="2006" spans="1:16">
      <c r="A2006">
        <v>4</v>
      </c>
      <c r="B2006" t="s">
        <v>12310</v>
      </c>
      <c r="C2006" t="s">
        <v>12336</v>
      </c>
      <c r="D2006" t="s">
        <v>12338</v>
      </c>
      <c r="E2006" t="s">
        <v>5311</v>
      </c>
      <c r="F2006" t="s">
        <v>5312</v>
      </c>
      <c r="G2006" s="712">
        <v>0</v>
      </c>
      <c r="H2006">
        <v>0</v>
      </c>
      <c r="I2006" s="713">
        <v>0</v>
      </c>
      <c r="J2006">
        <v>90</v>
      </c>
      <c r="K2006" s="711">
        <v>11887</v>
      </c>
      <c r="L2006">
        <v>0</v>
      </c>
      <c r="M2006">
        <v>0</v>
      </c>
      <c r="N2006">
        <v>90</v>
      </c>
      <c r="O2006" s="711">
        <v>11887</v>
      </c>
      <c r="P2006" s="711">
        <v>-11797</v>
      </c>
    </row>
    <row r="2007" spans="1:16">
      <c r="A2007">
        <v>4</v>
      </c>
      <c r="B2007" t="s">
        <v>12310</v>
      </c>
      <c r="C2007" t="s">
        <v>12336</v>
      </c>
      <c r="D2007" t="s">
        <v>12338</v>
      </c>
      <c r="E2007" t="s">
        <v>5314</v>
      </c>
      <c r="F2007" t="s">
        <v>5315</v>
      </c>
      <c r="G2007" s="712">
        <v>0</v>
      </c>
      <c r="H2007">
        <v>0</v>
      </c>
      <c r="I2007" s="713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</row>
    <row r="2008" spans="1:16">
      <c r="A2008">
        <v>4</v>
      </c>
      <c r="B2008" t="s">
        <v>12310</v>
      </c>
      <c r="C2008" t="s">
        <v>12336</v>
      </c>
      <c r="D2008" t="s">
        <v>12338</v>
      </c>
      <c r="E2008" t="s">
        <v>5316</v>
      </c>
      <c r="F2008" t="s">
        <v>5317</v>
      </c>
      <c r="G2008" s="712">
        <v>0</v>
      </c>
      <c r="H2008">
        <v>0</v>
      </c>
      <c r="I2008" s="713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</row>
    <row r="2009" spans="1:16">
      <c r="A2009">
        <v>4</v>
      </c>
      <c r="B2009" t="s">
        <v>12310</v>
      </c>
      <c r="C2009" t="s">
        <v>12336</v>
      </c>
      <c r="D2009" t="s">
        <v>12338</v>
      </c>
      <c r="E2009" t="s">
        <v>5318</v>
      </c>
      <c r="F2009" t="s">
        <v>5319</v>
      </c>
      <c r="G2009" s="712">
        <v>0</v>
      </c>
      <c r="H2009">
        <v>0</v>
      </c>
      <c r="I2009" s="713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</row>
    <row r="2010" spans="1:16">
      <c r="A2010">
        <v>4</v>
      </c>
      <c r="B2010" t="s">
        <v>12310</v>
      </c>
      <c r="C2010" t="s">
        <v>12336</v>
      </c>
      <c r="D2010" t="s">
        <v>12338</v>
      </c>
      <c r="E2010" t="s">
        <v>5321</v>
      </c>
      <c r="F2010" t="s">
        <v>5322</v>
      </c>
      <c r="G2010" s="712">
        <v>0</v>
      </c>
      <c r="H2010">
        <v>0</v>
      </c>
      <c r="I2010" s="713">
        <v>0</v>
      </c>
      <c r="J2010" s="711">
        <v>4166.68</v>
      </c>
      <c r="K2010" s="711">
        <v>1563175.44</v>
      </c>
      <c r="L2010">
        <v>0</v>
      </c>
      <c r="M2010">
        <v>0</v>
      </c>
      <c r="N2010" s="711">
        <v>4166.68</v>
      </c>
      <c r="O2010" s="711">
        <v>1563175.44</v>
      </c>
      <c r="P2010" s="711">
        <v>-1559008.76</v>
      </c>
    </row>
    <row r="2011" spans="1:16">
      <c r="A2011">
        <v>4</v>
      </c>
      <c r="B2011" t="s">
        <v>12310</v>
      </c>
      <c r="C2011" t="s">
        <v>12336</v>
      </c>
      <c r="D2011" t="s">
        <v>12338</v>
      </c>
      <c r="E2011" t="s">
        <v>5324</v>
      </c>
      <c r="F2011" t="s">
        <v>5325</v>
      </c>
      <c r="G2011" s="712">
        <v>0</v>
      </c>
      <c r="H2011">
        <v>0</v>
      </c>
      <c r="I2011" s="713">
        <v>0</v>
      </c>
      <c r="J2011" s="711">
        <v>69068</v>
      </c>
      <c r="K2011" s="711">
        <v>113977.46</v>
      </c>
      <c r="L2011">
        <v>0</v>
      </c>
      <c r="M2011">
        <v>0</v>
      </c>
      <c r="N2011" s="711">
        <v>69068</v>
      </c>
      <c r="O2011" s="711">
        <v>113977.46</v>
      </c>
      <c r="P2011" s="711">
        <v>-44909.46</v>
      </c>
    </row>
    <row r="2012" spans="1:16">
      <c r="A2012">
        <v>4</v>
      </c>
      <c r="B2012" t="s">
        <v>12310</v>
      </c>
      <c r="C2012" t="s">
        <v>12336</v>
      </c>
      <c r="D2012" t="s">
        <v>12338</v>
      </c>
      <c r="E2012" t="s">
        <v>5326</v>
      </c>
      <c r="F2012" t="s">
        <v>5327</v>
      </c>
      <c r="G2012" s="712">
        <v>0</v>
      </c>
      <c r="H2012">
        <v>0</v>
      </c>
      <c r="I2012" s="713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</row>
    <row r="2013" spans="1:16">
      <c r="A2013">
        <v>4</v>
      </c>
      <c r="B2013" t="s">
        <v>12310</v>
      </c>
      <c r="C2013" t="s">
        <v>12336</v>
      </c>
      <c r="D2013" t="s">
        <v>12338</v>
      </c>
      <c r="E2013" t="s">
        <v>5329</v>
      </c>
      <c r="F2013" t="s">
        <v>5330</v>
      </c>
      <c r="G2013" s="712">
        <v>0</v>
      </c>
      <c r="H2013">
        <v>0</v>
      </c>
      <c r="I2013" s="713">
        <v>0</v>
      </c>
      <c r="J2013">
        <v>0</v>
      </c>
      <c r="K2013" s="711">
        <v>242865.04</v>
      </c>
      <c r="L2013">
        <v>0</v>
      </c>
      <c r="M2013">
        <v>0</v>
      </c>
      <c r="N2013">
        <v>0</v>
      </c>
      <c r="O2013" s="711">
        <v>242865.04</v>
      </c>
      <c r="P2013" s="711">
        <v>-242865.04</v>
      </c>
    </row>
    <row r="2014" spans="1:16">
      <c r="A2014">
        <v>4</v>
      </c>
      <c r="B2014" t="s">
        <v>12310</v>
      </c>
      <c r="C2014" t="s">
        <v>12336</v>
      </c>
      <c r="D2014" t="s">
        <v>12338</v>
      </c>
      <c r="E2014" t="s">
        <v>12340</v>
      </c>
      <c r="F2014" t="s">
        <v>12341</v>
      </c>
      <c r="G2014" s="712">
        <v>0</v>
      </c>
      <c r="H2014">
        <v>0</v>
      </c>
      <c r="I2014" s="713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</row>
    <row r="2015" spans="1:16">
      <c r="A2015">
        <v>4</v>
      </c>
      <c r="B2015" t="s">
        <v>12310</v>
      </c>
      <c r="C2015" t="s">
        <v>12336</v>
      </c>
      <c r="D2015" t="s">
        <v>12338</v>
      </c>
      <c r="E2015" t="s">
        <v>5332</v>
      </c>
      <c r="F2015" t="s">
        <v>5333</v>
      </c>
      <c r="G2015" s="712">
        <v>0</v>
      </c>
      <c r="H2015">
        <v>0</v>
      </c>
      <c r="I2015" s="713">
        <v>0</v>
      </c>
      <c r="J2015">
        <v>256</v>
      </c>
      <c r="K2015" s="711">
        <v>188453.33</v>
      </c>
      <c r="L2015">
        <v>0</v>
      </c>
      <c r="M2015">
        <v>0</v>
      </c>
      <c r="N2015">
        <v>256</v>
      </c>
      <c r="O2015" s="711">
        <v>188453.33</v>
      </c>
      <c r="P2015" s="711">
        <v>-188197.33</v>
      </c>
    </row>
    <row r="2016" spans="1:16">
      <c r="A2016">
        <v>4</v>
      </c>
      <c r="B2016" t="s">
        <v>12310</v>
      </c>
      <c r="C2016" t="s">
        <v>12336</v>
      </c>
      <c r="D2016" t="s">
        <v>12338</v>
      </c>
      <c r="E2016" t="s">
        <v>5335</v>
      </c>
      <c r="F2016" t="s">
        <v>5336</v>
      </c>
      <c r="G2016" s="712">
        <v>0</v>
      </c>
      <c r="H2016">
        <v>0</v>
      </c>
      <c r="I2016" s="713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</row>
    <row r="2017" spans="1:16" ht="15.75" thickBot="1">
      <c r="A2017">
        <v>4</v>
      </c>
      <c r="B2017" t="s">
        <v>12310</v>
      </c>
      <c r="C2017" t="s">
        <v>12336</v>
      </c>
      <c r="D2017" t="s">
        <v>12338</v>
      </c>
      <c r="E2017" t="s">
        <v>5337</v>
      </c>
      <c r="F2017" t="s">
        <v>5338</v>
      </c>
      <c r="G2017" s="712">
        <v>0</v>
      </c>
      <c r="H2017">
        <v>0</v>
      </c>
      <c r="I2017" s="713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</row>
    <row r="2018" spans="1:16" ht="15.75" thickBot="1">
      <c r="A2018" s="727">
        <v>4</v>
      </c>
      <c r="B2018" s="727" t="s">
        <v>12310</v>
      </c>
      <c r="C2018" s="727" t="s">
        <v>12342</v>
      </c>
      <c r="D2018" s="727"/>
      <c r="E2018" s="727"/>
      <c r="F2018" s="745" t="s">
        <v>12343</v>
      </c>
      <c r="G2018" s="738">
        <v>0</v>
      </c>
      <c r="H2018" s="738">
        <v>0</v>
      </c>
      <c r="I2018" s="738">
        <v>0</v>
      </c>
      <c r="J2018" s="739">
        <v>27445.200000000001</v>
      </c>
      <c r="K2018" s="739">
        <v>4200247.67</v>
      </c>
      <c r="L2018" s="738">
        <v>0</v>
      </c>
      <c r="M2018" s="738">
        <v>0</v>
      </c>
      <c r="N2018" s="739">
        <v>27445.200000000001</v>
      </c>
      <c r="O2018" s="739">
        <v>4200247.67</v>
      </c>
      <c r="P2018" s="739">
        <v>-4172802.47</v>
      </c>
    </row>
    <row r="2019" spans="1:16" ht="15.75" thickBot="1">
      <c r="A2019" s="727">
        <v>4</v>
      </c>
      <c r="B2019" s="727" t="s">
        <v>12310</v>
      </c>
      <c r="C2019" s="727" t="s">
        <v>12342</v>
      </c>
      <c r="D2019" s="727" t="s">
        <v>12344</v>
      </c>
      <c r="E2019" s="727"/>
      <c r="F2019" s="729" t="s">
        <v>12345</v>
      </c>
      <c r="G2019" s="738">
        <v>0</v>
      </c>
      <c r="H2019" s="738">
        <v>0</v>
      </c>
      <c r="I2019" s="738">
        <v>0</v>
      </c>
      <c r="J2019" s="739">
        <v>2437.4</v>
      </c>
      <c r="K2019" s="739">
        <v>445647.71</v>
      </c>
      <c r="L2019" s="738">
        <v>0</v>
      </c>
      <c r="M2019" s="738">
        <v>0</v>
      </c>
      <c r="N2019" s="739">
        <v>2437.4</v>
      </c>
      <c r="O2019" s="739">
        <v>445647.71</v>
      </c>
      <c r="P2019" s="739">
        <v>-443210.31</v>
      </c>
    </row>
    <row r="2020" spans="1:16" ht="15.75" thickBot="1">
      <c r="A2020">
        <v>4</v>
      </c>
      <c r="B2020" t="s">
        <v>12310</v>
      </c>
      <c r="C2020" t="s">
        <v>12342</v>
      </c>
      <c r="D2020" t="s">
        <v>12344</v>
      </c>
      <c r="E2020" t="s">
        <v>5346</v>
      </c>
      <c r="F2020" t="s">
        <v>5347</v>
      </c>
      <c r="G2020" s="712">
        <v>0</v>
      </c>
      <c r="H2020">
        <v>0</v>
      </c>
      <c r="I2020" s="713">
        <v>0</v>
      </c>
      <c r="J2020" s="711">
        <v>2437.4</v>
      </c>
      <c r="K2020" s="711">
        <v>445647.71</v>
      </c>
      <c r="L2020">
        <v>0</v>
      </c>
      <c r="M2020">
        <v>0</v>
      </c>
      <c r="N2020" s="711">
        <v>2437.4</v>
      </c>
      <c r="O2020" s="711">
        <v>445647.71</v>
      </c>
      <c r="P2020" s="711">
        <v>-443210.31</v>
      </c>
    </row>
    <row r="2021" spans="1:16" ht="15.75" thickBot="1">
      <c r="A2021" s="727">
        <v>4</v>
      </c>
      <c r="B2021" s="727" t="s">
        <v>12310</v>
      </c>
      <c r="C2021" s="727" t="s">
        <v>12342</v>
      </c>
      <c r="D2021" s="727" t="s">
        <v>12346</v>
      </c>
      <c r="E2021" s="727"/>
      <c r="F2021" s="729" t="s">
        <v>12347</v>
      </c>
      <c r="G2021" s="738">
        <v>0</v>
      </c>
      <c r="H2021" s="738">
        <v>0</v>
      </c>
      <c r="I2021" s="738">
        <v>0</v>
      </c>
      <c r="J2021" s="739">
        <v>25007.8</v>
      </c>
      <c r="K2021" s="739">
        <v>3551701.6</v>
      </c>
      <c r="L2021" s="738">
        <v>0</v>
      </c>
      <c r="M2021" s="738">
        <v>0</v>
      </c>
      <c r="N2021" s="739">
        <v>25007.8</v>
      </c>
      <c r="O2021" s="739">
        <v>3551701.6</v>
      </c>
      <c r="P2021" s="739">
        <v>-3526693.8</v>
      </c>
    </row>
    <row r="2022" spans="1:16">
      <c r="A2022">
        <v>4</v>
      </c>
      <c r="B2022" t="s">
        <v>12310</v>
      </c>
      <c r="C2022" t="s">
        <v>12342</v>
      </c>
      <c r="D2022" t="s">
        <v>12346</v>
      </c>
      <c r="E2022" t="s">
        <v>5353</v>
      </c>
      <c r="F2022" t="s">
        <v>5354</v>
      </c>
      <c r="G2022" s="712">
        <v>0</v>
      </c>
      <c r="H2022">
        <v>0</v>
      </c>
      <c r="I2022" s="713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</row>
    <row r="2023" spans="1:16" ht="15.75" thickBot="1">
      <c r="A2023">
        <v>4</v>
      </c>
      <c r="B2023" t="s">
        <v>12310</v>
      </c>
      <c r="C2023" t="s">
        <v>12342</v>
      </c>
      <c r="D2023" t="s">
        <v>12346</v>
      </c>
      <c r="E2023" t="s">
        <v>5356</v>
      </c>
      <c r="F2023" t="s">
        <v>5357</v>
      </c>
      <c r="G2023" s="712">
        <v>0</v>
      </c>
      <c r="H2023">
        <v>0</v>
      </c>
      <c r="I2023" s="713">
        <v>0</v>
      </c>
      <c r="J2023" s="711">
        <v>25007.8</v>
      </c>
      <c r="K2023" s="711">
        <v>3551701.6</v>
      </c>
      <c r="L2023">
        <v>0</v>
      </c>
      <c r="M2023">
        <v>0</v>
      </c>
      <c r="N2023" s="711">
        <v>25007.8</v>
      </c>
      <c r="O2023" s="711">
        <v>3551701.6</v>
      </c>
      <c r="P2023" s="711">
        <v>-3526693.8</v>
      </c>
    </row>
    <row r="2024" spans="1:16" ht="15.75" thickBot="1">
      <c r="A2024" s="727">
        <v>4</v>
      </c>
      <c r="B2024" s="727" t="s">
        <v>12310</v>
      </c>
      <c r="C2024" s="727" t="s">
        <v>12342</v>
      </c>
      <c r="D2024" s="727" t="s">
        <v>12348</v>
      </c>
      <c r="E2024" s="727"/>
      <c r="F2024" s="729" t="s">
        <v>12349</v>
      </c>
      <c r="G2024" s="738">
        <v>0</v>
      </c>
      <c r="H2024" s="738">
        <v>0</v>
      </c>
      <c r="I2024" s="738">
        <v>0</v>
      </c>
      <c r="J2024" s="738">
        <v>0</v>
      </c>
      <c r="K2024" s="738">
        <v>0</v>
      </c>
      <c r="L2024" s="738">
        <v>0</v>
      </c>
      <c r="M2024" s="738">
        <v>0</v>
      </c>
      <c r="N2024" s="738">
        <v>0</v>
      </c>
      <c r="O2024" s="738">
        <v>0</v>
      </c>
      <c r="P2024" s="738">
        <v>0</v>
      </c>
    </row>
    <row r="2025" spans="1:16" ht="15.75" thickBot="1">
      <c r="A2025">
        <v>4</v>
      </c>
      <c r="B2025" t="s">
        <v>12310</v>
      </c>
      <c r="C2025" t="s">
        <v>12342</v>
      </c>
      <c r="D2025" t="s">
        <v>12348</v>
      </c>
      <c r="E2025" t="s">
        <v>5362</v>
      </c>
      <c r="F2025" t="s">
        <v>5363</v>
      </c>
      <c r="G2025" s="712">
        <v>0</v>
      </c>
      <c r="H2025">
        <v>0</v>
      </c>
      <c r="I2025" s="713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</row>
    <row r="2026" spans="1:16" ht="15.75" thickBot="1">
      <c r="A2026" s="727">
        <v>4</v>
      </c>
      <c r="B2026" s="727" t="s">
        <v>12310</v>
      </c>
      <c r="C2026" s="727" t="s">
        <v>12342</v>
      </c>
      <c r="D2026" s="727" t="s">
        <v>12350</v>
      </c>
      <c r="E2026" s="727"/>
      <c r="F2026" s="729" t="s">
        <v>12351</v>
      </c>
      <c r="G2026" s="738">
        <v>0</v>
      </c>
      <c r="H2026" s="738">
        <v>0</v>
      </c>
      <c r="I2026" s="738">
        <v>0</v>
      </c>
      <c r="J2026" s="738">
        <v>0</v>
      </c>
      <c r="K2026" s="739">
        <v>78250</v>
      </c>
      <c r="L2026" s="738">
        <v>0</v>
      </c>
      <c r="M2026" s="738">
        <v>0</v>
      </c>
      <c r="N2026" s="738">
        <v>0</v>
      </c>
      <c r="O2026" s="739">
        <v>78250</v>
      </c>
      <c r="P2026" s="739">
        <v>-78250</v>
      </c>
    </row>
    <row r="2027" spans="1:16" ht="15.75" thickBot="1">
      <c r="A2027">
        <v>4</v>
      </c>
      <c r="B2027" t="s">
        <v>12310</v>
      </c>
      <c r="C2027" t="s">
        <v>12342</v>
      </c>
      <c r="D2027" t="s">
        <v>12350</v>
      </c>
      <c r="E2027" t="s">
        <v>5368</v>
      </c>
      <c r="F2027" t="s">
        <v>5369</v>
      </c>
      <c r="G2027" s="712">
        <v>0</v>
      </c>
      <c r="H2027">
        <v>0</v>
      </c>
      <c r="I2027" s="713">
        <v>0</v>
      </c>
      <c r="J2027">
        <v>0</v>
      </c>
      <c r="K2027" s="711">
        <v>78250</v>
      </c>
      <c r="L2027">
        <v>0</v>
      </c>
      <c r="M2027">
        <v>0</v>
      </c>
      <c r="N2027">
        <v>0</v>
      </c>
      <c r="O2027" s="711">
        <v>78250</v>
      </c>
      <c r="P2027" s="711">
        <v>-78250</v>
      </c>
    </row>
    <row r="2028" spans="1:16" ht="15.75" thickBot="1">
      <c r="A2028" s="727">
        <v>4</v>
      </c>
      <c r="B2028" s="727" t="s">
        <v>12310</v>
      </c>
      <c r="C2028" s="727" t="s">
        <v>12342</v>
      </c>
      <c r="D2028" s="727" t="s">
        <v>12352</v>
      </c>
      <c r="E2028" s="727"/>
      <c r="F2028" s="729" t="s">
        <v>12353</v>
      </c>
      <c r="G2028" s="738">
        <v>0</v>
      </c>
      <c r="H2028" s="738">
        <v>0</v>
      </c>
      <c r="I2028" s="738">
        <v>0</v>
      </c>
      <c r="J2028" s="738">
        <v>0</v>
      </c>
      <c r="K2028" s="738">
        <v>0</v>
      </c>
      <c r="L2028" s="738">
        <v>0</v>
      </c>
      <c r="M2028" s="738">
        <v>0</v>
      </c>
      <c r="N2028" s="738">
        <v>0</v>
      </c>
      <c r="O2028" s="738">
        <v>0</v>
      </c>
      <c r="P2028" s="738">
        <v>0</v>
      </c>
    </row>
    <row r="2029" spans="1:16" ht="15.75" thickBot="1">
      <c r="A2029">
        <v>4</v>
      </c>
      <c r="B2029" t="s">
        <v>12310</v>
      </c>
      <c r="C2029" t="s">
        <v>12342</v>
      </c>
      <c r="D2029" t="s">
        <v>12352</v>
      </c>
      <c r="E2029" t="s">
        <v>5374</v>
      </c>
      <c r="F2029" t="s">
        <v>5375</v>
      </c>
      <c r="G2029" s="712">
        <v>0</v>
      </c>
      <c r="H2029">
        <v>0</v>
      </c>
      <c r="I2029" s="713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</row>
    <row r="2030" spans="1:16" ht="15.75" thickBot="1">
      <c r="A2030" s="727">
        <v>4</v>
      </c>
      <c r="B2030" s="727" t="s">
        <v>12310</v>
      </c>
      <c r="C2030" s="727" t="s">
        <v>12342</v>
      </c>
      <c r="D2030" s="727" t="s">
        <v>12354</v>
      </c>
      <c r="E2030" s="727"/>
      <c r="F2030" s="729" t="s">
        <v>12355</v>
      </c>
      <c r="G2030" s="738">
        <v>0</v>
      </c>
      <c r="H2030" s="738">
        <v>0</v>
      </c>
      <c r="I2030" s="738">
        <v>0</v>
      </c>
      <c r="J2030" s="738">
        <v>0</v>
      </c>
      <c r="K2030" s="739">
        <v>15848.36</v>
      </c>
      <c r="L2030" s="738">
        <v>0</v>
      </c>
      <c r="M2030" s="738">
        <v>0</v>
      </c>
      <c r="N2030" s="738">
        <v>0</v>
      </c>
      <c r="O2030" s="739">
        <v>15848.36</v>
      </c>
      <c r="P2030" s="739">
        <v>-15848.36</v>
      </c>
    </row>
    <row r="2031" spans="1:16">
      <c r="A2031">
        <v>4</v>
      </c>
      <c r="B2031" t="s">
        <v>12310</v>
      </c>
      <c r="C2031" t="s">
        <v>12342</v>
      </c>
      <c r="D2031" t="s">
        <v>12354</v>
      </c>
      <c r="E2031" t="s">
        <v>5380</v>
      </c>
      <c r="F2031" t="s">
        <v>5381</v>
      </c>
      <c r="G2031" s="712">
        <v>0</v>
      </c>
      <c r="H2031">
        <v>0</v>
      </c>
      <c r="I2031" s="713">
        <v>0</v>
      </c>
      <c r="J2031">
        <v>0</v>
      </c>
      <c r="K2031" s="711">
        <v>8300</v>
      </c>
      <c r="L2031">
        <v>0</v>
      </c>
      <c r="M2031">
        <v>0</v>
      </c>
      <c r="N2031">
        <v>0</v>
      </c>
      <c r="O2031" s="711">
        <v>8300</v>
      </c>
      <c r="P2031" s="711">
        <v>-8300</v>
      </c>
    </row>
    <row r="2032" spans="1:16">
      <c r="A2032">
        <v>4</v>
      </c>
      <c r="B2032" t="s">
        <v>12310</v>
      </c>
      <c r="C2032" t="s">
        <v>12342</v>
      </c>
      <c r="D2032" t="s">
        <v>12354</v>
      </c>
      <c r="E2032" t="s">
        <v>5382</v>
      </c>
      <c r="F2032" t="s">
        <v>5383</v>
      </c>
      <c r="G2032" s="712">
        <v>0</v>
      </c>
      <c r="H2032">
        <v>0</v>
      </c>
      <c r="I2032" s="713">
        <v>0</v>
      </c>
      <c r="J2032">
        <v>0</v>
      </c>
      <c r="K2032" s="711">
        <v>7548.36</v>
      </c>
      <c r="L2032">
        <v>0</v>
      </c>
      <c r="M2032">
        <v>0</v>
      </c>
      <c r="N2032">
        <v>0</v>
      </c>
      <c r="O2032" s="711">
        <v>7548.36</v>
      </c>
      <c r="P2032" s="711">
        <v>-7548.36</v>
      </c>
    </row>
    <row r="2033" spans="1:16" ht="15.75" thickBot="1">
      <c r="A2033">
        <v>4</v>
      </c>
      <c r="B2033" t="s">
        <v>12310</v>
      </c>
      <c r="C2033" t="s">
        <v>12342</v>
      </c>
      <c r="D2033" t="s">
        <v>12354</v>
      </c>
      <c r="E2033" t="s">
        <v>5384</v>
      </c>
      <c r="F2033" t="s">
        <v>5385</v>
      </c>
      <c r="G2033" s="712">
        <v>0</v>
      </c>
      <c r="H2033">
        <v>0</v>
      </c>
      <c r="I2033" s="71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</row>
    <row r="2034" spans="1:16" ht="15.75" thickBot="1">
      <c r="A2034" s="727">
        <v>4</v>
      </c>
      <c r="B2034" s="727" t="s">
        <v>12310</v>
      </c>
      <c r="C2034" s="727" t="s">
        <v>12342</v>
      </c>
      <c r="D2034" s="727" t="s">
        <v>12356</v>
      </c>
      <c r="E2034" s="727"/>
      <c r="F2034" s="729" t="s">
        <v>12357</v>
      </c>
      <c r="G2034" s="738">
        <v>0</v>
      </c>
      <c r="H2034" s="738">
        <v>0</v>
      </c>
      <c r="I2034" s="738">
        <v>0</v>
      </c>
      <c r="J2034" s="738">
        <v>0</v>
      </c>
      <c r="K2034" s="739">
        <v>108800</v>
      </c>
      <c r="L2034" s="738">
        <v>0</v>
      </c>
      <c r="M2034" s="738">
        <v>0</v>
      </c>
      <c r="N2034" s="738">
        <v>0</v>
      </c>
      <c r="O2034" s="739">
        <v>108800</v>
      </c>
      <c r="P2034" s="739">
        <v>-108800</v>
      </c>
    </row>
    <row r="2035" spans="1:16" ht="15.75" thickBot="1">
      <c r="A2035">
        <v>4</v>
      </c>
      <c r="B2035" t="s">
        <v>12310</v>
      </c>
      <c r="C2035" t="s">
        <v>12342</v>
      </c>
      <c r="D2035" t="s">
        <v>12356</v>
      </c>
      <c r="E2035" t="s">
        <v>5389</v>
      </c>
      <c r="F2035" t="s">
        <v>5390</v>
      </c>
      <c r="G2035" s="712">
        <v>0</v>
      </c>
      <c r="H2035">
        <v>0</v>
      </c>
      <c r="I2035" s="713">
        <v>0</v>
      </c>
      <c r="J2035">
        <v>0</v>
      </c>
      <c r="K2035" s="711">
        <v>108800</v>
      </c>
      <c r="L2035">
        <v>0</v>
      </c>
      <c r="M2035">
        <v>0</v>
      </c>
      <c r="N2035">
        <v>0</v>
      </c>
      <c r="O2035" s="711">
        <v>108800</v>
      </c>
      <c r="P2035" s="711">
        <v>-108800</v>
      </c>
    </row>
    <row r="2036" spans="1:16" ht="15.75" thickBot="1">
      <c r="A2036" s="727">
        <v>4</v>
      </c>
      <c r="B2036" s="727" t="s">
        <v>12358</v>
      </c>
      <c r="C2036" s="727"/>
      <c r="D2036" s="727"/>
      <c r="E2036" s="727"/>
      <c r="F2036" s="745" t="s">
        <v>12359</v>
      </c>
      <c r="G2036" s="738">
        <v>0</v>
      </c>
      <c r="H2036" s="738">
        <v>0</v>
      </c>
      <c r="I2036" s="738">
        <v>0</v>
      </c>
      <c r="J2036" s="739">
        <v>59563.3</v>
      </c>
      <c r="K2036" s="739">
        <v>6860641.6100000003</v>
      </c>
      <c r="L2036" s="738">
        <v>0</v>
      </c>
      <c r="M2036" s="738">
        <v>0</v>
      </c>
      <c r="N2036" s="739">
        <v>59563.3</v>
      </c>
      <c r="O2036" s="739">
        <v>6860641.6100000003</v>
      </c>
      <c r="P2036" s="739">
        <v>-6801078.3099999996</v>
      </c>
    </row>
    <row r="2037" spans="1:16" ht="15.75" thickBot="1">
      <c r="A2037" s="727">
        <v>4</v>
      </c>
      <c r="B2037" s="727" t="s">
        <v>12358</v>
      </c>
      <c r="C2037" s="727" t="s">
        <v>12360</v>
      </c>
      <c r="D2037" s="727"/>
      <c r="E2037" s="727"/>
      <c r="F2037" s="745" t="s">
        <v>5400</v>
      </c>
      <c r="G2037" s="738">
        <v>0</v>
      </c>
      <c r="H2037" s="738">
        <v>0</v>
      </c>
      <c r="I2037" s="738">
        <v>0</v>
      </c>
      <c r="J2037" s="738">
        <v>0</v>
      </c>
      <c r="K2037" s="739">
        <v>65504.05</v>
      </c>
      <c r="L2037" s="738">
        <v>0</v>
      </c>
      <c r="M2037" s="738">
        <v>0</v>
      </c>
      <c r="N2037" s="738">
        <v>0</v>
      </c>
      <c r="O2037" s="739">
        <v>65504.05</v>
      </c>
      <c r="P2037" s="739">
        <v>-65504.05</v>
      </c>
    </row>
    <row r="2038" spans="1:16" ht="15.75" thickBot="1">
      <c r="A2038" s="727">
        <v>4</v>
      </c>
      <c r="B2038" s="727" t="s">
        <v>12358</v>
      </c>
      <c r="C2038" s="727" t="s">
        <v>12360</v>
      </c>
      <c r="D2038" s="727" t="s">
        <v>12361</v>
      </c>
      <c r="E2038" s="727"/>
      <c r="F2038" s="729" t="s">
        <v>5400</v>
      </c>
      <c r="G2038" s="738">
        <v>0</v>
      </c>
      <c r="H2038" s="738">
        <v>0</v>
      </c>
      <c r="I2038" s="738">
        <v>0</v>
      </c>
      <c r="J2038" s="738">
        <v>0</v>
      </c>
      <c r="K2038" s="739">
        <v>65504.05</v>
      </c>
      <c r="L2038" s="738">
        <v>0</v>
      </c>
      <c r="M2038" s="738">
        <v>0</v>
      </c>
      <c r="N2038" s="738">
        <v>0</v>
      </c>
      <c r="O2038" s="739">
        <v>65504.05</v>
      </c>
      <c r="P2038" s="739">
        <v>-65504.05</v>
      </c>
    </row>
    <row r="2039" spans="1:16">
      <c r="A2039">
        <v>4</v>
      </c>
      <c r="B2039" t="s">
        <v>12358</v>
      </c>
      <c r="C2039" t="s">
        <v>12360</v>
      </c>
      <c r="D2039" t="s">
        <v>12361</v>
      </c>
      <c r="E2039" t="s">
        <v>5399</v>
      </c>
      <c r="F2039" t="s">
        <v>5400</v>
      </c>
      <c r="G2039" s="712">
        <v>0</v>
      </c>
      <c r="H2039">
        <v>0</v>
      </c>
      <c r="I2039" s="713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</row>
    <row r="2040" spans="1:16" ht="15.75" thickBot="1">
      <c r="A2040">
        <v>4</v>
      </c>
      <c r="B2040" t="s">
        <v>12358</v>
      </c>
      <c r="C2040" t="s">
        <v>12360</v>
      </c>
      <c r="D2040" t="s">
        <v>12361</v>
      </c>
      <c r="E2040" t="s">
        <v>5401</v>
      </c>
      <c r="F2040" t="s">
        <v>5402</v>
      </c>
      <c r="G2040" s="712">
        <v>0</v>
      </c>
      <c r="H2040">
        <v>0</v>
      </c>
      <c r="I2040" s="713">
        <v>0</v>
      </c>
      <c r="J2040">
        <v>0</v>
      </c>
      <c r="K2040" s="711">
        <v>65504.05</v>
      </c>
      <c r="L2040">
        <v>0</v>
      </c>
      <c r="M2040">
        <v>0</v>
      </c>
      <c r="N2040">
        <v>0</v>
      </c>
      <c r="O2040" s="711">
        <v>65504.05</v>
      </c>
      <c r="P2040" s="711">
        <v>-65504.05</v>
      </c>
    </row>
    <row r="2041" spans="1:16" ht="15.75" thickBot="1">
      <c r="A2041" s="727">
        <v>4</v>
      </c>
      <c r="B2041" s="727" t="s">
        <v>12358</v>
      </c>
      <c r="C2041" s="727" t="s">
        <v>12362</v>
      </c>
      <c r="D2041" s="727"/>
      <c r="E2041" s="727"/>
      <c r="F2041" s="745" t="s">
        <v>12363</v>
      </c>
      <c r="G2041" s="738">
        <v>0</v>
      </c>
      <c r="H2041" s="738">
        <v>0</v>
      </c>
      <c r="I2041" s="738">
        <v>0</v>
      </c>
      <c r="J2041" s="738">
        <v>0</v>
      </c>
      <c r="K2041" s="738">
        <v>0</v>
      </c>
      <c r="L2041" s="738">
        <v>0</v>
      </c>
      <c r="M2041" s="738">
        <v>0</v>
      </c>
      <c r="N2041" s="738">
        <v>0</v>
      </c>
      <c r="O2041" s="738">
        <v>0</v>
      </c>
      <c r="P2041" s="738">
        <v>0</v>
      </c>
    </row>
    <row r="2042" spans="1:16" ht="15.75" thickBot="1">
      <c r="A2042" s="727">
        <v>4</v>
      </c>
      <c r="B2042" s="727" t="s">
        <v>12358</v>
      </c>
      <c r="C2042" s="727" t="s">
        <v>12362</v>
      </c>
      <c r="D2042" s="727" t="s">
        <v>12364</v>
      </c>
      <c r="E2042" s="727"/>
      <c r="F2042" s="729" t="s">
        <v>5412</v>
      </c>
      <c r="G2042" s="738">
        <v>0</v>
      </c>
      <c r="H2042" s="738">
        <v>0</v>
      </c>
      <c r="I2042" s="738">
        <v>0</v>
      </c>
      <c r="J2042" s="738">
        <v>0</v>
      </c>
      <c r="K2042" s="738">
        <v>0</v>
      </c>
      <c r="L2042" s="738">
        <v>0</v>
      </c>
      <c r="M2042" s="738">
        <v>0</v>
      </c>
      <c r="N2042" s="738">
        <v>0</v>
      </c>
      <c r="O2042" s="738">
        <v>0</v>
      </c>
      <c r="P2042" s="738">
        <v>0</v>
      </c>
    </row>
    <row r="2043" spans="1:16" ht="15.75" thickBot="1">
      <c r="A2043">
        <v>4</v>
      </c>
      <c r="B2043" t="s">
        <v>12358</v>
      </c>
      <c r="C2043" t="s">
        <v>12362</v>
      </c>
      <c r="D2043" t="s">
        <v>12364</v>
      </c>
      <c r="E2043" t="s">
        <v>5411</v>
      </c>
      <c r="F2043" t="s">
        <v>5412</v>
      </c>
      <c r="G2043" s="712">
        <v>0</v>
      </c>
      <c r="H2043">
        <v>0</v>
      </c>
      <c r="I2043" s="71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</row>
    <row r="2044" spans="1:16" ht="15.75" thickBot="1">
      <c r="A2044" s="727">
        <v>4</v>
      </c>
      <c r="B2044" s="727" t="s">
        <v>12358</v>
      </c>
      <c r="C2044" s="727" t="s">
        <v>12362</v>
      </c>
      <c r="D2044" s="727" t="s">
        <v>12365</v>
      </c>
      <c r="E2044" s="727"/>
      <c r="F2044" s="729" t="s">
        <v>5418</v>
      </c>
      <c r="G2044" s="738">
        <v>0</v>
      </c>
      <c r="H2044" s="738">
        <v>0</v>
      </c>
      <c r="I2044" s="738">
        <v>0</v>
      </c>
      <c r="J2044" s="738">
        <v>0</v>
      </c>
      <c r="K2044" s="738">
        <v>0</v>
      </c>
      <c r="L2044" s="738">
        <v>0</v>
      </c>
      <c r="M2044" s="738">
        <v>0</v>
      </c>
      <c r="N2044" s="738">
        <v>0</v>
      </c>
      <c r="O2044" s="738">
        <v>0</v>
      </c>
      <c r="P2044" s="738">
        <v>0</v>
      </c>
    </row>
    <row r="2045" spans="1:16" ht="15.75" thickBot="1">
      <c r="A2045">
        <v>4</v>
      </c>
      <c r="B2045" t="s">
        <v>12358</v>
      </c>
      <c r="C2045" t="s">
        <v>12362</v>
      </c>
      <c r="D2045" t="s">
        <v>12365</v>
      </c>
      <c r="E2045" t="s">
        <v>5417</v>
      </c>
      <c r="F2045" t="s">
        <v>5418</v>
      </c>
      <c r="G2045" s="712">
        <v>0</v>
      </c>
      <c r="H2045">
        <v>0</v>
      </c>
      <c r="I2045" s="713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</row>
    <row r="2046" spans="1:16" ht="15.75" thickBot="1">
      <c r="A2046" s="727">
        <v>4</v>
      </c>
      <c r="B2046" s="727" t="s">
        <v>12358</v>
      </c>
      <c r="C2046" s="727" t="s">
        <v>12366</v>
      </c>
      <c r="D2046" s="727"/>
      <c r="E2046" s="727"/>
      <c r="F2046" s="745" t="s">
        <v>12367</v>
      </c>
      <c r="G2046" s="738">
        <v>0</v>
      </c>
      <c r="H2046" s="738">
        <v>0</v>
      </c>
      <c r="I2046" s="738">
        <v>0</v>
      </c>
      <c r="J2046" s="739">
        <v>57373.3</v>
      </c>
      <c r="K2046" s="739">
        <v>3595145.03</v>
      </c>
      <c r="L2046" s="738">
        <v>0</v>
      </c>
      <c r="M2046" s="738">
        <v>0</v>
      </c>
      <c r="N2046" s="739">
        <v>57373.3</v>
      </c>
      <c r="O2046" s="739">
        <v>3595145.03</v>
      </c>
      <c r="P2046" s="739">
        <v>-3537771.73</v>
      </c>
    </row>
    <row r="2047" spans="1:16" ht="15.75" thickBot="1">
      <c r="A2047" s="727">
        <v>4</v>
      </c>
      <c r="B2047" s="727" t="s">
        <v>12358</v>
      </c>
      <c r="C2047" s="727" t="s">
        <v>12366</v>
      </c>
      <c r="D2047" s="727" t="s">
        <v>12368</v>
      </c>
      <c r="E2047" s="727"/>
      <c r="F2047" s="729" t="s">
        <v>12369</v>
      </c>
      <c r="G2047" s="738">
        <v>0</v>
      </c>
      <c r="H2047" s="738">
        <v>0</v>
      </c>
      <c r="I2047" s="738">
        <v>0</v>
      </c>
      <c r="J2047" s="739">
        <v>57373.3</v>
      </c>
      <c r="K2047" s="739">
        <v>976077.63</v>
      </c>
      <c r="L2047" s="738">
        <v>0</v>
      </c>
      <c r="M2047" s="738">
        <v>0</v>
      </c>
      <c r="N2047" s="739">
        <v>57373.3</v>
      </c>
      <c r="O2047" s="739">
        <v>976077.63</v>
      </c>
      <c r="P2047" s="739">
        <v>-918704.33</v>
      </c>
    </row>
    <row r="2048" spans="1:16" ht="15.75" thickBot="1">
      <c r="A2048">
        <v>4</v>
      </c>
      <c r="B2048" t="s">
        <v>12358</v>
      </c>
      <c r="C2048" t="s">
        <v>12366</v>
      </c>
      <c r="D2048" t="s">
        <v>12368</v>
      </c>
      <c r="E2048" t="s">
        <v>5427</v>
      </c>
      <c r="F2048" t="s">
        <v>5428</v>
      </c>
      <c r="G2048" s="712">
        <v>0</v>
      </c>
      <c r="H2048">
        <v>0</v>
      </c>
      <c r="I2048" s="713">
        <v>0</v>
      </c>
      <c r="J2048" s="711">
        <v>57373.3</v>
      </c>
      <c r="K2048" s="711">
        <v>976077.63</v>
      </c>
      <c r="L2048">
        <v>0</v>
      </c>
      <c r="M2048">
        <v>0</v>
      </c>
      <c r="N2048" s="711">
        <v>57373.3</v>
      </c>
      <c r="O2048" s="711">
        <v>976077.63</v>
      </c>
      <c r="P2048" s="711">
        <v>-918704.33</v>
      </c>
    </row>
    <row r="2049" spans="1:16" ht="15.75" thickBot="1">
      <c r="A2049" s="727">
        <v>4</v>
      </c>
      <c r="B2049" s="727" t="s">
        <v>12358</v>
      </c>
      <c r="C2049" s="727" t="s">
        <v>12366</v>
      </c>
      <c r="D2049" s="727" t="s">
        <v>12370</v>
      </c>
      <c r="E2049" s="727"/>
      <c r="F2049" s="729" t="s">
        <v>5434</v>
      </c>
      <c r="G2049" s="738">
        <v>0</v>
      </c>
      <c r="H2049" s="738">
        <v>0</v>
      </c>
      <c r="I2049" s="738">
        <v>0</v>
      </c>
      <c r="J2049" s="738">
        <v>0</v>
      </c>
      <c r="K2049" s="738">
        <v>0</v>
      </c>
      <c r="L2049" s="738">
        <v>0</v>
      </c>
      <c r="M2049" s="738">
        <v>0</v>
      </c>
      <c r="N2049" s="738">
        <v>0</v>
      </c>
      <c r="O2049" s="738">
        <v>0</v>
      </c>
      <c r="P2049" s="738">
        <v>0</v>
      </c>
    </row>
    <row r="2050" spans="1:16" ht="15.75" thickBot="1">
      <c r="A2050">
        <v>4</v>
      </c>
      <c r="B2050" t="s">
        <v>12358</v>
      </c>
      <c r="C2050" t="s">
        <v>12366</v>
      </c>
      <c r="D2050" t="s">
        <v>12370</v>
      </c>
      <c r="E2050" t="s">
        <v>5433</v>
      </c>
      <c r="F2050" t="s">
        <v>5434</v>
      </c>
      <c r="G2050" s="712">
        <v>0</v>
      </c>
      <c r="H2050">
        <v>0</v>
      </c>
      <c r="I2050" s="713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</row>
    <row r="2051" spans="1:16" ht="15.75" thickBot="1">
      <c r="A2051" s="727">
        <v>4</v>
      </c>
      <c r="B2051" s="727" t="s">
        <v>12358</v>
      </c>
      <c r="C2051" s="727" t="s">
        <v>12366</v>
      </c>
      <c r="D2051" s="727" t="s">
        <v>12371</v>
      </c>
      <c r="E2051" s="727"/>
      <c r="F2051" s="729" t="s">
        <v>5440</v>
      </c>
      <c r="G2051" s="738">
        <v>0</v>
      </c>
      <c r="H2051" s="738">
        <v>0</v>
      </c>
      <c r="I2051" s="738">
        <v>0</v>
      </c>
      <c r="J2051" s="738">
        <v>0</v>
      </c>
      <c r="K2051" s="739">
        <v>2619067.4</v>
      </c>
      <c r="L2051" s="738">
        <v>0</v>
      </c>
      <c r="M2051" s="738">
        <v>0</v>
      </c>
      <c r="N2051" s="738">
        <v>0</v>
      </c>
      <c r="O2051" s="739">
        <v>2619067.4</v>
      </c>
      <c r="P2051" s="739">
        <v>-2619067.4</v>
      </c>
    </row>
    <row r="2052" spans="1:16" ht="15.75" thickBot="1">
      <c r="A2052">
        <v>4</v>
      </c>
      <c r="B2052" t="s">
        <v>12358</v>
      </c>
      <c r="C2052" t="s">
        <v>12366</v>
      </c>
      <c r="D2052" t="s">
        <v>12371</v>
      </c>
      <c r="E2052" t="s">
        <v>5439</v>
      </c>
      <c r="F2052" t="s">
        <v>5440</v>
      </c>
      <c r="G2052" s="712">
        <v>0</v>
      </c>
      <c r="H2052">
        <v>0</v>
      </c>
      <c r="I2052" s="713">
        <v>0</v>
      </c>
      <c r="J2052">
        <v>0</v>
      </c>
      <c r="K2052" s="711">
        <v>2619067.4</v>
      </c>
      <c r="L2052">
        <v>0</v>
      </c>
      <c r="M2052">
        <v>0</v>
      </c>
      <c r="N2052">
        <v>0</v>
      </c>
      <c r="O2052" s="711">
        <v>2619067.4</v>
      </c>
      <c r="P2052" s="711">
        <v>-2619067.4</v>
      </c>
    </row>
    <row r="2053" spans="1:16" ht="15.75" thickBot="1">
      <c r="A2053" s="727">
        <v>4</v>
      </c>
      <c r="B2053" s="727" t="s">
        <v>12358</v>
      </c>
      <c r="C2053" s="727" t="s">
        <v>12366</v>
      </c>
      <c r="D2053" s="727" t="s">
        <v>12372</v>
      </c>
      <c r="E2053" s="727"/>
      <c r="F2053" s="729" t="s">
        <v>5436</v>
      </c>
      <c r="G2053" s="738">
        <v>0</v>
      </c>
      <c r="H2053" s="738">
        <v>0</v>
      </c>
      <c r="I2053" s="738">
        <v>0</v>
      </c>
      <c r="J2053" s="738">
        <v>0</v>
      </c>
      <c r="K2053" s="738">
        <v>0</v>
      </c>
      <c r="L2053" s="738">
        <v>0</v>
      </c>
      <c r="M2053" s="738">
        <v>0</v>
      </c>
      <c r="N2053" s="738">
        <v>0</v>
      </c>
      <c r="O2053" s="738">
        <v>0</v>
      </c>
      <c r="P2053" s="738">
        <v>0</v>
      </c>
    </row>
    <row r="2054" spans="1:16" ht="15.75" thickBot="1">
      <c r="A2054">
        <v>4</v>
      </c>
      <c r="B2054" t="s">
        <v>12358</v>
      </c>
      <c r="C2054" t="s">
        <v>12366</v>
      </c>
      <c r="D2054" t="s">
        <v>12372</v>
      </c>
      <c r="E2054" t="s">
        <v>5445</v>
      </c>
      <c r="F2054" t="s">
        <v>5446</v>
      </c>
      <c r="G2054" s="712">
        <v>0</v>
      </c>
      <c r="H2054">
        <v>0</v>
      </c>
      <c r="I2054" s="713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</row>
    <row r="2055" spans="1:16" ht="15.75" thickBot="1">
      <c r="A2055" s="727">
        <v>4</v>
      </c>
      <c r="B2055" s="727" t="s">
        <v>12358</v>
      </c>
      <c r="C2055" s="727" t="s">
        <v>12373</v>
      </c>
      <c r="D2055" s="727"/>
      <c r="E2055" s="727"/>
      <c r="F2055" s="745" t="s">
        <v>12374</v>
      </c>
      <c r="G2055" s="738">
        <v>0</v>
      </c>
      <c r="H2055" s="738">
        <v>0</v>
      </c>
      <c r="I2055" s="738">
        <v>0</v>
      </c>
      <c r="J2055" s="739">
        <v>1800</v>
      </c>
      <c r="K2055" s="739">
        <v>11218.1</v>
      </c>
      <c r="L2055" s="738">
        <v>0</v>
      </c>
      <c r="M2055" s="738">
        <v>0</v>
      </c>
      <c r="N2055" s="739">
        <v>1800</v>
      </c>
      <c r="O2055" s="739">
        <v>11218.1</v>
      </c>
      <c r="P2055" s="739">
        <v>-9418.1</v>
      </c>
    </row>
    <row r="2056" spans="1:16" ht="15.75" thickBot="1">
      <c r="A2056" s="727">
        <v>4</v>
      </c>
      <c r="B2056" s="727" t="s">
        <v>12358</v>
      </c>
      <c r="C2056" s="727" t="s">
        <v>12373</v>
      </c>
      <c r="D2056" s="727" t="s">
        <v>12375</v>
      </c>
      <c r="E2056" s="727"/>
      <c r="F2056" s="729" t="s">
        <v>5456</v>
      </c>
      <c r="G2056" s="738">
        <v>0</v>
      </c>
      <c r="H2056" s="738">
        <v>0</v>
      </c>
      <c r="I2056" s="738">
        <v>0</v>
      </c>
      <c r="J2056" s="738">
        <v>0</v>
      </c>
      <c r="K2056" s="738">
        <v>0</v>
      </c>
      <c r="L2056" s="738">
        <v>0</v>
      </c>
      <c r="M2056" s="738">
        <v>0</v>
      </c>
      <c r="N2056" s="738">
        <v>0</v>
      </c>
      <c r="O2056" s="738">
        <v>0</v>
      </c>
      <c r="P2056" s="738">
        <v>0</v>
      </c>
    </row>
    <row r="2057" spans="1:16">
      <c r="A2057">
        <v>4</v>
      </c>
      <c r="B2057" t="s">
        <v>12358</v>
      </c>
      <c r="C2057" t="s">
        <v>12373</v>
      </c>
      <c r="D2057" t="s">
        <v>12375</v>
      </c>
      <c r="E2057" t="s">
        <v>5455</v>
      </c>
      <c r="F2057" t="s">
        <v>5456</v>
      </c>
      <c r="G2057" s="712">
        <v>0</v>
      </c>
      <c r="H2057">
        <v>0</v>
      </c>
      <c r="I2057" s="713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</row>
    <row r="2058" spans="1:16" ht="15.75" thickBot="1">
      <c r="A2058">
        <v>4</v>
      </c>
      <c r="B2058" t="s">
        <v>12358</v>
      </c>
      <c r="C2058" t="s">
        <v>12373</v>
      </c>
      <c r="D2058" t="s">
        <v>12375</v>
      </c>
      <c r="E2058" t="s">
        <v>12376</v>
      </c>
      <c r="F2058" t="s">
        <v>12377</v>
      </c>
      <c r="G2058" s="712">
        <v>0</v>
      </c>
      <c r="H2058">
        <v>0</v>
      </c>
      <c r="I2058" s="713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</row>
    <row r="2059" spans="1:16" ht="15.75" thickBot="1">
      <c r="A2059" s="727">
        <v>4</v>
      </c>
      <c r="B2059" s="727" t="s">
        <v>12358</v>
      </c>
      <c r="C2059" s="727" t="s">
        <v>12373</v>
      </c>
      <c r="D2059" s="727" t="s">
        <v>12378</v>
      </c>
      <c r="E2059" s="727"/>
      <c r="F2059" s="729" t="s">
        <v>5462</v>
      </c>
      <c r="G2059" s="738">
        <v>0</v>
      </c>
      <c r="H2059" s="738">
        <v>0</v>
      </c>
      <c r="I2059" s="738">
        <v>0</v>
      </c>
      <c r="J2059" s="738">
        <v>0</v>
      </c>
      <c r="K2059" s="738">
        <v>0</v>
      </c>
      <c r="L2059" s="738">
        <v>0</v>
      </c>
      <c r="M2059" s="738">
        <v>0</v>
      </c>
      <c r="N2059" s="738">
        <v>0</v>
      </c>
      <c r="O2059" s="738">
        <v>0</v>
      </c>
      <c r="P2059" s="738">
        <v>0</v>
      </c>
    </row>
    <row r="2060" spans="1:16" ht="15.75" thickBot="1">
      <c r="A2060">
        <v>4</v>
      </c>
      <c r="B2060" t="s">
        <v>12358</v>
      </c>
      <c r="C2060" t="s">
        <v>12373</v>
      </c>
      <c r="D2060" t="s">
        <v>12378</v>
      </c>
      <c r="E2060" t="s">
        <v>5461</v>
      </c>
      <c r="F2060" t="s">
        <v>5462</v>
      </c>
      <c r="G2060" s="712">
        <v>0</v>
      </c>
      <c r="H2060">
        <v>0</v>
      </c>
      <c r="I2060" s="713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</row>
    <row r="2061" spans="1:16" ht="15.75" thickBot="1">
      <c r="A2061" s="727">
        <v>4</v>
      </c>
      <c r="B2061" s="727" t="s">
        <v>12358</v>
      </c>
      <c r="C2061" s="727" t="s">
        <v>12373</v>
      </c>
      <c r="D2061" s="727" t="s">
        <v>12379</v>
      </c>
      <c r="E2061" s="727"/>
      <c r="F2061" s="729" t="s">
        <v>5468</v>
      </c>
      <c r="G2061" s="738">
        <v>0</v>
      </c>
      <c r="H2061" s="738">
        <v>0</v>
      </c>
      <c r="I2061" s="738">
        <v>0</v>
      </c>
      <c r="J2061" s="739">
        <v>1800</v>
      </c>
      <c r="K2061" s="739">
        <v>11218.1</v>
      </c>
      <c r="L2061" s="738">
        <v>0</v>
      </c>
      <c r="M2061" s="738">
        <v>0</v>
      </c>
      <c r="N2061" s="739">
        <v>1800</v>
      </c>
      <c r="O2061" s="739">
        <v>11218.1</v>
      </c>
      <c r="P2061" s="739">
        <v>-9418.1</v>
      </c>
    </row>
    <row r="2062" spans="1:16">
      <c r="A2062">
        <v>4</v>
      </c>
      <c r="B2062" t="s">
        <v>12358</v>
      </c>
      <c r="C2062" t="s">
        <v>12373</v>
      </c>
      <c r="D2062" t="s">
        <v>12379</v>
      </c>
      <c r="E2062" t="s">
        <v>5467</v>
      </c>
      <c r="F2062" t="s">
        <v>5468</v>
      </c>
      <c r="G2062" s="712">
        <v>0</v>
      </c>
      <c r="H2062">
        <v>0</v>
      </c>
      <c r="I2062" s="713">
        <v>0</v>
      </c>
      <c r="J2062" s="711">
        <v>1800</v>
      </c>
      <c r="K2062" s="711">
        <v>11218.1</v>
      </c>
      <c r="L2062">
        <v>0</v>
      </c>
      <c r="M2062">
        <v>0</v>
      </c>
      <c r="N2062" s="711">
        <v>1800</v>
      </c>
      <c r="O2062" s="711">
        <v>11218.1</v>
      </c>
      <c r="P2062" s="711">
        <v>-9418.1</v>
      </c>
    </row>
    <row r="2063" spans="1:16" ht="15.75" thickBot="1">
      <c r="A2063">
        <v>4</v>
      </c>
      <c r="B2063" t="s">
        <v>12358</v>
      </c>
      <c r="C2063" t="s">
        <v>12373</v>
      </c>
      <c r="D2063" t="s">
        <v>12379</v>
      </c>
      <c r="E2063" t="s">
        <v>5469</v>
      </c>
      <c r="F2063" t="s">
        <v>5470</v>
      </c>
      <c r="G2063" s="712">
        <v>0</v>
      </c>
      <c r="H2063">
        <v>0</v>
      </c>
      <c r="I2063" s="71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</row>
    <row r="2064" spans="1:16" ht="15.75" thickBot="1">
      <c r="A2064" s="727">
        <v>4</v>
      </c>
      <c r="B2064" s="727" t="s">
        <v>12358</v>
      </c>
      <c r="C2064" s="727" t="s">
        <v>12380</v>
      </c>
      <c r="D2064" s="727"/>
      <c r="E2064" s="727"/>
      <c r="F2064" s="745" t="s">
        <v>12381</v>
      </c>
      <c r="G2064" s="738">
        <v>0</v>
      </c>
      <c r="H2064" s="738">
        <v>0</v>
      </c>
      <c r="I2064" s="738">
        <v>0</v>
      </c>
      <c r="J2064" s="738">
        <v>390</v>
      </c>
      <c r="K2064" s="739">
        <v>3188774.43</v>
      </c>
      <c r="L2064" s="738">
        <v>0</v>
      </c>
      <c r="M2064" s="738">
        <v>0</v>
      </c>
      <c r="N2064" s="738">
        <v>390</v>
      </c>
      <c r="O2064" s="739">
        <v>3188774.43</v>
      </c>
      <c r="P2064" s="739">
        <v>-3188384.43</v>
      </c>
    </row>
    <row r="2065" spans="1:16" ht="15.75" thickBot="1">
      <c r="A2065" s="727">
        <v>4</v>
      </c>
      <c r="B2065" s="727" t="s">
        <v>12358</v>
      </c>
      <c r="C2065" s="727" t="s">
        <v>12380</v>
      </c>
      <c r="D2065" s="727" t="s">
        <v>12382</v>
      </c>
      <c r="E2065" s="727"/>
      <c r="F2065" s="729" t="s">
        <v>12383</v>
      </c>
      <c r="G2065" s="738">
        <v>0</v>
      </c>
      <c r="H2065" s="738">
        <v>0</v>
      </c>
      <c r="I2065" s="738">
        <v>0</v>
      </c>
      <c r="J2065" s="738">
        <v>0</v>
      </c>
      <c r="K2065" s="739">
        <v>1923901</v>
      </c>
      <c r="L2065" s="738">
        <v>0</v>
      </c>
      <c r="M2065" s="738">
        <v>0</v>
      </c>
      <c r="N2065" s="738">
        <v>0</v>
      </c>
      <c r="O2065" s="739">
        <v>1923901</v>
      </c>
      <c r="P2065" s="739">
        <v>-1923901</v>
      </c>
    </row>
    <row r="2066" spans="1:16">
      <c r="A2066">
        <v>4</v>
      </c>
      <c r="B2066" t="s">
        <v>12358</v>
      </c>
      <c r="C2066" t="s">
        <v>12380</v>
      </c>
      <c r="D2066" t="s">
        <v>12382</v>
      </c>
      <c r="E2066" t="s">
        <v>5481</v>
      </c>
      <c r="F2066" t="s">
        <v>5482</v>
      </c>
      <c r="G2066" s="712">
        <v>0</v>
      </c>
      <c r="H2066">
        <v>0</v>
      </c>
      <c r="I2066" s="713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</row>
    <row r="2067" spans="1:16">
      <c r="A2067">
        <v>4</v>
      </c>
      <c r="B2067" t="s">
        <v>12358</v>
      </c>
      <c r="C2067" t="s">
        <v>12380</v>
      </c>
      <c r="D2067" t="s">
        <v>12382</v>
      </c>
      <c r="E2067" t="s">
        <v>5487</v>
      </c>
      <c r="F2067" t="s">
        <v>5488</v>
      </c>
      <c r="G2067" s="712">
        <v>0</v>
      </c>
      <c r="H2067">
        <v>0</v>
      </c>
      <c r="I2067" s="713">
        <v>0</v>
      </c>
      <c r="J2067">
        <v>0</v>
      </c>
      <c r="K2067" s="711">
        <v>1624274</v>
      </c>
      <c r="L2067">
        <v>0</v>
      </c>
      <c r="M2067">
        <v>0</v>
      </c>
      <c r="N2067">
        <v>0</v>
      </c>
      <c r="O2067" s="711">
        <v>1624274</v>
      </c>
      <c r="P2067" s="711">
        <v>-1624274</v>
      </c>
    </row>
    <row r="2068" spans="1:16" ht="15.75" thickBot="1">
      <c r="A2068">
        <v>4</v>
      </c>
      <c r="B2068" t="s">
        <v>12358</v>
      </c>
      <c r="C2068" t="s">
        <v>12380</v>
      </c>
      <c r="D2068" t="s">
        <v>12382</v>
      </c>
      <c r="E2068" t="s">
        <v>5493</v>
      </c>
      <c r="F2068" t="s">
        <v>5494</v>
      </c>
      <c r="G2068" s="712">
        <v>0</v>
      </c>
      <c r="H2068">
        <v>0</v>
      </c>
      <c r="I2068" s="713">
        <v>0</v>
      </c>
      <c r="J2068">
        <v>0</v>
      </c>
      <c r="K2068" s="711">
        <v>299627</v>
      </c>
      <c r="L2068">
        <v>0</v>
      </c>
      <c r="M2068">
        <v>0</v>
      </c>
      <c r="N2068">
        <v>0</v>
      </c>
      <c r="O2068" s="711">
        <v>299627</v>
      </c>
      <c r="P2068" s="711">
        <v>-299627</v>
      </c>
    </row>
    <row r="2069" spans="1:16" ht="15.75" thickBot="1">
      <c r="A2069" s="727">
        <v>4</v>
      </c>
      <c r="B2069" s="727" t="s">
        <v>12358</v>
      </c>
      <c r="C2069" s="727" t="s">
        <v>12380</v>
      </c>
      <c r="D2069" s="727" t="s">
        <v>12384</v>
      </c>
      <c r="E2069" s="727"/>
      <c r="F2069" s="729" t="s">
        <v>12385</v>
      </c>
      <c r="G2069" s="738">
        <v>0</v>
      </c>
      <c r="H2069" s="738">
        <v>0</v>
      </c>
      <c r="I2069" s="738">
        <v>0</v>
      </c>
      <c r="J2069" s="738">
        <v>390</v>
      </c>
      <c r="K2069" s="739">
        <v>1264873.43</v>
      </c>
      <c r="L2069" s="738">
        <v>0</v>
      </c>
      <c r="M2069" s="738">
        <v>0</v>
      </c>
      <c r="N2069" s="738">
        <v>390</v>
      </c>
      <c r="O2069" s="739">
        <v>1264873.43</v>
      </c>
      <c r="P2069" s="739">
        <v>-1264483.43</v>
      </c>
    </row>
    <row r="2070" spans="1:16">
      <c r="A2070">
        <v>4</v>
      </c>
      <c r="B2070" t="s">
        <v>12358</v>
      </c>
      <c r="C2070" t="s">
        <v>12380</v>
      </c>
      <c r="D2070" t="s">
        <v>12384</v>
      </c>
      <c r="E2070" t="s">
        <v>5507</v>
      </c>
      <c r="F2070" t="s">
        <v>5508</v>
      </c>
      <c r="G2070" s="712">
        <v>0</v>
      </c>
      <c r="H2070">
        <v>0</v>
      </c>
      <c r="I2070" s="713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</row>
    <row r="2071" spans="1:16">
      <c r="A2071">
        <v>4</v>
      </c>
      <c r="B2071" t="s">
        <v>12358</v>
      </c>
      <c r="C2071" t="s">
        <v>12380</v>
      </c>
      <c r="D2071" t="s">
        <v>12384</v>
      </c>
      <c r="E2071" t="s">
        <v>5510</v>
      </c>
      <c r="F2071" t="s">
        <v>5511</v>
      </c>
      <c r="G2071" s="712">
        <v>0</v>
      </c>
      <c r="H2071">
        <v>0</v>
      </c>
      <c r="I2071" s="713">
        <v>0</v>
      </c>
      <c r="J2071">
        <v>0</v>
      </c>
      <c r="K2071" s="711">
        <v>1196619.9099999999</v>
      </c>
      <c r="L2071">
        <v>0</v>
      </c>
      <c r="M2071">
        <v>0</v>
      </c>
      <c r="N2071">
        <v>0</v>
      </c>
      <c r="O2071" s="711">
        <v>1196619.9099999999</v>
      </c>
      <c r="P2071" s="711">
        <v>-1196619.9099999999</v>
      </c>
    </row>
    <row r="2072" spans="1:16">
      <c r="A2072">
        <v>4</v>
      </c>
      <c r="B2072" t="s">
        <v>12358</v>
      </c>
      <c r="C2072" t="s">
        <v>12380</v>
      </c>
      <c r="D2072" t="s">
        <v>12384</v>
      </c>
      <c r="E2072" t="s">
        <v>5513</v>
      </c>
      <c r="F2072" t="s">
        <v>5514</v>
      </c>
      <c r="G2072" s="712">
        <v>0</v>
      </c>
      <c r="H2072">
        <v>0</v>
      </c>
      <c r="I2072" s="713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</row>
    <row r="2073" spans="1:16">
      <c r="A2073">
        <v>4</v>
      </c>
      <c r="B2073" t="s">
        <v>12358</v>
      </c>
      <c r="C2073" t="s">
        <v>12380</v>
      </c>
      <c r="D2073" t="s">
        <v>12384</v>
      </c>
      <c r="E2073" t="s">
        <v>5515</v>
      </c>
      <c r="F2073" t="s">
        <v>5516</v>
      </c>
      <c r="G2073" s="712">
        <v>0</v>
      </c>
      <c r="H2073">
        <v>0</v>
      </c>
      <c r="I2073" s="71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</row>
    <row r="2074" spans="1:16">
      <c r="A2074">
        <v>4</v>
      </c>
      <c r="B2074" t="s">
        <v>12358</v>
      </c>
      <c r="C2074" t="s">
        <v>12380</v>
      </c>
      <c r="D2074" t="s">
        <v>12384</v>
      </c>
      <c r="E2074" t="s">
        <v>5517</v>
      </c>
      <c r="F2074" t="s">
        <v>5518</v>
      </c>
      <c r="G2074" s="712">
        <v>0</v>
      </c>
      <c r="H2074">
        <v>0</v>
      </c>
      <c r="I2074" s="713">
        <v>0</v>
      </c>
      <c r="J2074">
        <v>390</v>
      </c>
      <c r="K2074" s="711">
        <v>68253.52</v>
      </c>
      <c r="L2074">
        <v>0</v>
      </c>
      <c r="M2074">
        <v>0</v>
      </c>
      <c r="N2074">
        <v>390</v>
      </c>
      <c r="O2074" s="711">
        <v>68253.52</v>
      </c>
      <c r="P2074" s="711">
        <v>-67863.520000000004</v>
      </c>
    </row>
    <row r="2075" spans="1:16">
      <c r="A2075">
        <v>4</v>
      </c>
      <c r="B2075" t="s">
        <v>12358</v>
      </c>
      <c r="C2075" t="s">
        <v>12380</v>
      </c>
      <c r="D2075" t="s">
        <v>12384</v>
      </c>
      <c r="E2075" t="s">
        <v>5520</v>
      </c>
      <c r="F2075" t="s">
        <v>5521</v>
      </c>
      <c r="G2075" s="712">
        <v>0</v>
      </c>
      <c r="H2075">
        <v>0</v>
      </c>
      <c r="I2075" s="713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</row>
    <row r="2076" spans="1:16">
      <c r="A2076">
        <v>4</v>
      </c>
      <c r="B2076" t="s">
        <v>12358</v>
      </c>
      <c r="C2076" t="s">
        <v>12380</v>
      </c>
      <c r="D2076" t="s">
        <v>12384</v>
      </c>
      <c r="E2076" t="s">
        <v>5523</v>
      </c>
      <c r="F2076" t="s">
        <v>5524</v>
      </c>
      <c r="G2076" s="712">
        <v>0</v>
      </c>
      <c r="H2076">
        <v>0</v>
      </c>
      <c r="I2076" s="713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</row>
    <row r="2077" spans="1:16" ht="15.75" thickBot="1">
      <c r="A2077">
        <v>4</v>
      </c>
      <c r="B2077" t="s">
        <v>12358</v>
      </c>
      <c r="C2077" t="s">
        <v>12380</v>
      </c>
      <c r="D2077" t="s">
        <v>12384</v>
      </c>
      <c r="E2077" t="s">
        <v>5525</v>
      </c>
      <c r="F2077" t="s">
        <v>5526</v>
      </c>
      <c r="G2077" s="712">
        <v>0</v>
      </c>
      <c r="H2077">
        <v>0</v>
      </c>
      <c r="I2077" s="713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</row>
    <row r="2078" spans="1:16" ht="15.75" thickBot="1">
      <c r="A2078" s="727">
        <v>4</v>
      </c>
      <c r="B2078" s="727" t="s">
        <v>12358</v>
      </c>
      <c r="C2078" s="727" t="s">
        <v>12380</v>
      </c>
      <c r="D2078" s="727" t="s">
        <v>12386</v>
      </c>
      <c r="E2078" s="727"/>
      <c r="F2078" s="729" t="s">
        <v>5477</v>
      </c>
      <c r="G2078" s="738">
        <v>0</v>
      </c>
      <c r="H2078" s="738">
        <v>0</v>
      </c>
      <c r="I2078" s="738">
        <v>0</v>
      </c>
      <c r="J2078" s="738">
        <v>0</v>
      </c>
      <c r="K2078" s="738">
        <v>0</v>
      </c>
      <c r="L2078" s="738">
        <v>0</v>
      </c>
      <c r="M2078" s="738">
        <v>0</v>
      </c>
      <c r="N2078" s="738">
        <v>0</v>
      </c>
      <c r="O2078" s="738">
        <v>0</v>
      </c>
      <c r="P2078" s="738">
        <v>0</v>
      </c>
    </row>
    <row r="2079" spans="1:16" ht="15.75" thickBot="1">
      <c r="A2079">
        <v>4</v>
      </c>
      <c r="B2079" t="s">
        <v>12358</v>
      </c>
      <c r="C2079" t="s">
        <v>12380</v>
      </c>
      <c r="D2079" t="s">
        <v>12386</v>
      </c>
      <c r="E2079" t="s">
        <v>5500</v>
      </c>
      <c r="F2079" t="s">
        <v>5501</v>
      </c>
      <c r="G2079" s="712">
        <v>0</v>
      </c>
      <c r="H2079">
        <v>0</v>
      </c>
      <c r="I2079" s="713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</row>
    <row r="2080" spans="1:16" ht="15.75" thickBot="1">
      <c r="A2080" s="727">
        <v>4</v>
      </c>
      <c r="B2080" s="727" t="s">
        <v>12387</v>
      </c>
      <c r="C2080" s="727"/>
      <c r="D2080" s="727"/>
      <c r="E2080" s="727"/>
      <c r="F2080" s="745" t="s">
        <v>12388</v>
      </c>
      <c r="G2080" s="738">
        <v>0</v>
      </c>
      <c r="H2080" s="738">
        <v>0</v>
      </c>
      <c r="I2080" s="738">
        <v>0</v>
      </c>
      <c r="J2080" s="739">
        <v>11670.46</v>
      </c>
      <c r="K2080" s="739">
        <v>1579388.88</v>
      </c>
      <c r="L2080" s="738">
        <v>0</v>
      </c>
      <c r="M2080" s="738">
        <v>0</v>
      </c>
      <c r="N2080" s="739">
        <v>11670.46</v>
      </c>
      <c r="O2080" s="739">
        <v>1579388.88</v>
      </c>
      <c r="P2080" s="739">
        <v>-1567718.42</v>
      </c>
    </row>
    <row r="2081" spans="1:16" ht="15.75" thickBot="1">
      <c r="A2081" s="727">
        <v>4</v>
      </c>
      <c r="B2081" s="727" t="s">
        <v>12387</v>
      </c>
      <c r="C2081" s="727" t="s">
        <v>12389</v>
      </c>
      <c r="D2081" s="727"/>
      <c r="E2081" s="727"/>
      <c r="F2081" s="745" t="s">
        <v>5532</v>
      </c>
      <c r="G2081" s="738">
        <v>0</v>
      </c>
      <c r="H2081" s="738">
        <v>0</v>
      </c>
      <c r="I2081" s="738">
        <v>0</v>
      </c>
      <c r="J2081" s="739">
        <v>11645.46</v>
      </c>
      <c r="K2081" s="739">
        <v>1566888.88</v>
      </c>
      <c r="L2081" s="738">
        <v>0</v>
      </c>
      <c r="M2081" s="738">
        <v>0</v>
      </c>
      <c r="N2081" s="739">
        <v>11645.46</v>
      </c>
      <c r="O2081" s="739">
        <v>1566888.88</v>
      </c>
      <c r="P2081" s="739">
        <v>-1555243.42</v>
      </c>
    </row>
    <row r="2082" spans="1:16" ht="15.75" thickBot="1">
      <c r="A2082" s="727">
        <v>4</v>
      </c>
      <c r="B2082" s="727" t="s">
        <v>12387</v>
      </c>
      <c r="C2082" s="727" t="s">
        <v>12389</v>
      </c>
      <c r="D2082" s="727" t="s">
        <v>12390</v>
      </c>
      <c r="E2082" s="727"/>
      <c r="F2082" s="729" t="s">
        <v>5532</v>
      </c>
      <c r="G2082" s="738">
        <v>0</v>
      </c>
      <c r="H2082" s="738">
        <v>0</v>
      </c>
      <c r="I2082" s="738">
        <v>0</v>
      </c>
      <c r="J2082" s="739">
        <v>11645.46</v>
      </c>
      <c r="K2082" s="739">
        <v>1566888.88</v>
      </c>
      <c r="L2082" s="738">
        <v>0</v>
      </c>
      <c r="M2082" s="738">
        <v>0</v>
      </c>
      <c r="N2082" s="739">
        <v>11645.46</v>
      </c>
      <c r="O2082" s="739">
        <v>1566888.88</v>
      </c>
      <c r="P2082" s="739">
        <v>-1555243.42</v>
      </c>
    </row>
    <row r="2083" spans="1:16">
      <c r="A2083">
        <v>4</v>
      </c>
      <c r="B2083" t="s">
        <v>12387</v>
      </c>
      <c r="C2083" t="s">
        <v>12389</v>
      </c>
      <c r="D2083" t="s">
        <v>12390</v>
      </c>
      <c r="E2083" t="s">
        <v>5535</v>
      </c>
      <c r="F2083" t="s">
        <v>5532</v>
      </c>
      <c r="G2083" s="712">
        <v>0</v>
      </c>
      <c r="H2083">
        <v>0</v>
      </c>
      <c r="I2083" s="713">
        <v>0</v>
      </c>
      <c r="J2083" s="711">
        <v>6117.56</v>
      </c>
      <c r="K2083" s="711">
        <v>650701.93999999994</v>
      </c>
      <c r="L2083">
        <v>0</v>
      </c>
      <c r="M2083">
        <v>0</v>
      </c>
      <c r="N2083" s="711">
        <v>6117.56</v>
      </c>
      <c r="O2083" s="711">
        <v>650701.93999999994</v>
      </c>
      <c r="P2083" s="711">
        <v>-644584.38</v>
      </c>
    </row>
    <row r="2084" spans="1:16">
      <c r="A2084">
        <v>4</v>
      </c>
      <c r="B2084" t="s">
        <v>12387</v>
      </c>
      <c r="C2084" t="s">
        <v>12389</v>
      </c>
      <c r="D2084" t="s">
        <v>12390</v>
      </c>
      <c r="E2084" t="s">
        <v>5536</v>
      </c>
      <c r="F2084" t="s">
        <v>5537</v>
      </c>
      <c r="G2084" s="712">
        <v>0</v>
      </c>
      <c r="H2084">
        <v>0</v>
      </c>
      <c r="I2084" s="713">
        <v>0</v>
      </c>
      <c r="J2084" s="711">
        <v>5045.97</v>
      </c>
      <c r="K2084" s="711">
        <v>608891.49</v>
      </c>
      <c r="L2084">
        <v>0</v>
      </c>
      <c r="M2084">
        <v>0</v>
      </c>
      <c r="N2084" s="711">
        <v>5045.97</v>
      </c>
      <c r="O2084" s="711">
        <v>608891.49</v>
      </c>
      <c r="P2084" s="711">
        <v>-603845.52</v>
      </c>
    </row>
    <row r="2085" spans="1:16">
      <c r="A2085">
        <v>4</v>
      </c>
      <c r="B2085" t="s">
        <v>12387</v>
      </c>
      <c r="C2085" t="s">
        <v>12389</v>
      </c>
      <c r="D2085" t="s">
        <v>12390</v>
      </c>
      <c r="E2085" t="s">
        <v>5539</v>
      </c>
      <c r="F2085" t="s">
        <v>5540</v>
      </c>
      <c r="G2085" s="712">
        <v>0</v>
      </c>
      <c r="H2085">
        <v>0</v>
      </c>
      <c r="I2085" s="713">
        <v>0</v>
      </c>
      <c r="J2085">
        <v>301.18</v>
      </c>
      <c r="K2085" s="711">
        <v>197688.65</v>
      </c>
      <c r="L2085">
        <v>0</v>
      </c>
      <c r="M2085">
        <v>0</v>
      </c>
      <c r="N2085">
        <v>301.18</v>
      </c>
      <c r="O2085" s="711">
        <v>197688.65</v>
      </c>
      <c r="P2085" s="711">
        <v>-197387.47</v>
      </c>
    </row>
    <row r="2086" spans="1:16" ht="15.75" thickBot="1">
      <c r="A2086">
        <v>4</v>
      </c>
      <c r="B2086" t="s">
        <v>12387</v>
      </c>
      <c r="C2086" t="s">
        <v>12389</v>
      </c>
      <c r="D2086" t="s">
        <v>12390</v>
      </c>
      <c r="E2086" t="s">
        <v>5541</v>
      </c>
      <c r="F2086" t="s">
        <v>5542</v>
      </c>
      <c r="G2086" s="712">
        <v>0</v>
      </c>
      <c r="H2086">
        <v>0</v>
      </c>
      <c r="I2086" s="713">
        <v>0</v>
      </c>
      <c r="J2086">
        <v>180.75</v>
      </c>
      <c r="K2086" s="711">
        <v>109606.8</v>
      </c>
      <c r="L2086">
        <v>0</v>
      </c>
      <c r="M2086">
        <v>0</v>
      </c>
      <c r="N2086">
        <v>180.75</v>
      </c>
      <c r="O2086" s="711">
        <v>109606.8</v>
      </c>
      <c r="P2086" s="711">
        <v>-109426.05</v>
      </c>
    </row>
    <row r="2087" spans="1:16" ht="15.75" thickBot="1">
      <c r="A2087" s="727">
        <v>4</v>
      </c>
      <c r="B2087" s="727" t="s">
        <v>12387</v>
      </c>
      <c r="C2087" s="727" t="s">
        <v>12391</v>
      </c>
      <c r="D2087" s="727"/>
      <c r="E2087" s="727"/>
      <c r="F2087" s="745" t="s">
        <v>5548</v>
      </c>
      <c r="G2087" s="738">
        <v>0</v>
      </c>
      <c r="H2087" s="738">
        <v>0</v>
      </c>
      <c r="I2087" s="738">
        <v>0</v>
      </c>
      <c r="J2087" s="738">
        <v>25</v>
      </c>
      <c r="K2087" s="739">
        <v>12500</v>
      </c>
      <c r="L2087" s="738">
        <v>0</v>
      </c>
      <c r="M2087" s="738">
        <v>0</v>
      </c>
      <c r="N2087" s="738">
        <v>25</v>
      </c>
      <c r="O2087" s="739">
        <v>12500</v>
      </c>
      <c r="P2087" s="739">
        <v>-12475</v>
      </c>
    </row>
    <row r="2088" spans="1:16" ht="15.75" thickBot="1">
      <c r="A2088" s="727">
        <v>4</v>
      </c>
      <c r="B2088" s="727" t="s">
        <v>12387</v>
      </c>
      <c r="C2088" s="727" t="s">
        <v>12391</v>
      </c>
      <c r="D2088" s="727" t="s">
        <v>12392</v>
      </c>
      <c r="E2088" s="727"/>
      <c r="F2088" s="729" t="s">
        <v>5548</v>
      </c>
      <c r="G2088" s="738">
        <v>0</v>
      </c>
      <c r="H2088" s="738">
        <v>0</v>
      </c>
      <c r="I2088" s="738">
        <v>0</v>
      </c>
      <c r="J2088" s="738">
        <v>25</v>
      </c>
      <c r="K2088" s="739">
        <v>12500</v>
      </c>
      <c r="L2088" s="738">
        <v>0</v>
      </c>
      <c r="M2088" s="738">
        <v>0</v>
      </c>
      <c r="N2088" s="738">
        <v>25</v>
      </c>
      <c r="O2088" s="739">
        <v>12500</v>
      </c>
      <c r="P2088" s="739">
        <v>-12475</v>
      </c>
    </row>
    <row r="2089" spans="1:16" ht="15.75" thickBot="1">
      <c r="A2089">
        <v>4</v>
      </c>
      <c r="B2089" t="s">
        <v>12387</v>
      </c>
      <c r="C2089" t="s">
        <v>12391</v>
      </c>
      <c r="D2089" t="s">
        <v>12392</v>
      </c>
      <c r="E2089" t="s">
        <v>5547</v>
      </c>
      <c r="F2089" t="s">
        <v>5548</v>
      </c>
      <c r="G2089" s="712">
        <v>0</v>
      </c>
      <c r="H2089">
        <v>0</v>
      </c>
      <c r="I2089" s="713">
        <v>0</v>
      </c>
      <c r="J2089">
        <v>25</v>
      </c>
      <c r="K2089" s="711">
        <v>12500</v>
      </c>
      <c r="L2089">
        <v>0</v>
      </c>
      <c r="M2089">
        <v>0</v>
      </c>
      <c r="N2089">
        <v>25</v>
      </c>
      <c r="O2089" s="711">
        <v>12500</v>
      </c>
      <c r="P2089" s="711">
        <v>-12475</v>
      </c>
    </row>
    <row r="2090" spans="1:16" ht="15.75" thickBot="1">
      <c r="A2090" s="727">
        <v>4</v>
      </c>
      <c r="B2090" s="727" t="s">
        <v>12387</v>
      </c>
      <c r="C2090" s="727" t="s">
        <v>12393</v>
      </c>
      <c r="D2090" s="727"/>
      <c r="E2090" s="727"/>
      <c r="F2090" s="745" t="s">
        <v>5553</v>
      </c>
      <c r="G2090" s="738">
        <v>0</v>
      </c>
      <c r="H2090" s="738">
        <v>0</v>
      </c>
      <c r="I2090" s="738">
        <v>0</v>
      </c>
      <c r="J2090" s="738">
        <v>0</v>
      </c>
      <c r="K2090" s="738">
        <v>0</v>
      </c>
      <c r="L2090" s="738">
        <v>0</v>
      </c>
      <c r="M2090" s="738">
        <v>0</v>
      </c>
      <c r="N2090" s="738">
        <v>0</v>
      </c>
      <c r="O2090" s="738">
        <v>0</v>
      </c>
      <c r="P2090" s="738">
        <v>0</v>
      </c>
    </row>
    <row r="2091" spans="1:16" ht="15.75" thickBot="1">
      <c r="A2091" s="727">
        <v>4</v>
      </c>
      <c r="B2091" s="727" t="s">
        <v>12387</v>
      </c>
      <c r="C2091" s="727" t="s">
        <v>12393</v>
      </c>
      <c r="D2091" s="727" t="s">
        <v>12394</v>
      </c>
      <c r="E2091" s="727"/>
      <c r="F2091" s="729" t="s">
        <v>5553</v>
      </c>
      <c r="G2091" s="738">
        <v>0</v>
      </c>
      <c r="H2091" s="738">
        <v>0</v>
      </c>
      <c r="I2091" s="738">
        <v>0</v>
      </c>
      <c r="J2091" s="738">
        <v>0</v>
      </c>
      <c r="K2091" s="738">
        <v>0</v>
      </c>
      <c r="L2091" s="738">
        <v>0</v>
      </c>
      <c r="M2091" s="738">
        <v>0</v>
      </c>
      <c r="N2091" s="738">
        <v>0</v>
      </c>
      <c r="O2091" s="738">
        <v>0</v>
      </c>
      <c r="P2091" s="738">
        <v>0</v>
      </c>
    </row>
    <row r="2092" spans="1:16" ht="15.75" thickBot="1">
      <c r="A2092">
        <v>4</v>
      </c>
      <c r="B2092" t="s">
        <v>12387</v>
      </c>
      <c r="C2092" t="s">
        <v>12393</v>
      </c>
      <c r="D2092" t="s">
        <v>12394</v>
      </c>
      <c r="E2092" t="s">
        <v>5554</v>
      </c>
      <c r="F2092" t="s">
        <v>5553</v>
      </c>
      <c r="G2092" s="712">
        <v>0</v>
      </c>
      <c r="H2092">
        <v>0</v>
      </c>
      <c r="I2092" s="713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</row>
    <row r="2093" spans="1:16" ht="15.75" thickBot="1">
      <c r="A2093" s="727">
        <v>4</v>
      </c>
      <c r="B2093" s="727" t="s">
        <v>12395</v>
      </c>
      <c r="C2093" s="727"/>
      <c r="D2093" s="727"/>
      <c r="E2093" s="727"/>
      <c r="F2093" s="745" t="s">
        <v>12396</v>
      </c>
      <c r="G2093" s="738">
        <v>0</v>
      </c>
      <c r="H2093" s="738">
        <v>0</v>
      </c>
      <c r="I2093" s="738">
        <v>0</v>
      </c>
      <c r="J2093" s="738">
        <v>0</v>
      </c>
      <c r="K2093" s="739">
        <v>12538764.880000001</v>
      </c>
      <c r="L2093" s="738">
        <v>0</v>
      </c>
      <c r="M2093" s="738">
        <v>0</v>
      </c>
      <c r="N2093" s="738">
        <v>0</v>
      </c>
      <c r="O2093" s="739">
        <v>12538764.880000001</v>
      </c>
      <c r="P2093" s="739">
        <v>-12538764.880000001</v>
      </c>
    </row>
    <row r="2094" spans="1:16" ht="15.75" thickBot="1">
      <c r="A2094" s="727">
        <v>4</v>
      </c>
      <c r="B2094" s="727" t="s">
        <v>12395</v>
      </c>
      <c r="C2094" s="727" t="s">
        <v>12397</v>
      </c>
      <c r="D2094" s="727"/>
      <c r="E2094" s="727"/>
      <c r="F2094" s="745" t="s">
        <v>5564</v>
      </c>
      <c r="G2094" s="738">
        <v>0</v>
      </c>
      <c r="H2094" s="738">
        <v>0</v>
      </c>
      <c r="I2094" s="738">
        <v>0</v>
      </c>
      <c r="J2094" s="738">
        <v>0</v>
      </c>
      <c r="K2094" s="739">
        <v>5562710.0099999998</v>
      </c>
      <c r="L2094" s="738">
        <v>0</v>
      </c>
      <c r="M2094" s="738">
        <v>0</v>
      </c>
      <c r="N2094" s="738">
        <v>0</v>
      </c>
      <c r="O2094" s="739">
        <v>5562710.0099999998</v>
      </c>
      <c r="P2094" s="739">
        <v>-5562710.0099999998</v>
      </c>
    </row>
    <row r="2095" spans="1:16" ht="15.75" thickBot="1">
      <c r="A2095" s="727">
        <v>4</v>
      </c>
      <c r="B2095" s="727" t="s">
        <v>12395</v>
      </c>
      <c r="C2095" s="727" t="s">
        <v>12397</v>
      </c>
      <c r="D2095" s="727" t="s">
        <v>12398</v>
      </c>
      <c r="E2095" s="727"/>
      <c r="F2095" s="729" t="s">
        <v>5564</v>
      </c>
      <c r="G2095" s="738">
        <v>0</v>
      </c>
      <c r="H2095" s="738">
        <v>0</v>
      </c>
      <c r="I2095" s="738">
        <v>0</v>
      </c>
      <c r="J2095" s="738">
        <v>0</v>
      </c>
      <c r="K2095" s="739">
        <v>5562710.0099999998</v>
      </c>
      <c r="L2095" s="738">
        <v>0</v>
      </c>
      <c r="M2095" s="738">
        <v>0</v>
      </c>
      <c r="N2095" s="738">
        <v>0</v>
      </c>
      <c r="O2095" s="739">
        <v>5562710.0099999998</v>
      </c>
      <c r="P2095" s="739">
        <v>-5562710.0099999998</v>
      </c>
    </row>
    <row r="2096" spans="1:16">
      <c r="A2096">
        <v>4</v>
      </c>
      <c r="B2096" t="s">
        <v>12395</v>
      </c>
      <c r="C2096" t="s">
        <v>12397</v>
      </c>
      <c r="D2096" t="s">
        <v>12398</v>
      </c>
      <c r="E2096" t="s">
        <v>5563</v>
      </c>
      <c r="F2096" t="s">
        <v>5564</v>
      </c>
      <c r="G2096" s="712">
        <v>0</v>
      </c>
      <c r="H2096">
        <v>0</v>
      </c>
      <c r="I2096" s="713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</row>
    <row r="2097" spans="1:16">
      <c r="A2097">
        <v>4</v>
      </c>
      <c r="B2097" t="s">
        <v>12395</v>
      </c>
      <c r="C2097" t="s">
        <v>12397</v>
      </c>
      <c r="D2097" t="s">
        <v>12398</v>
      </c>
      <c r="E2097" t="s">
        <v>5565</v>
      </c>
      <c r="F2097" t="s">
        <v>5566</v>
      </c>
      <c r="G2097" s="712">
        <v>0</v>
      </c>
      <c r="H2097">
        <v>0</v>
      </c>
      <c r="I2097" s="713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</row>
    <row r="2098" spans="1:16">
      <c r="A2098">
        <v>4</v>
      </c>
      <c r="B2098" t="s">
        <v>12395</v>
      </c>
      <c r="C2098" t="s">
        <v>12397</v>
      </c>
      <c r="D2098" t="s">
        <v>12398</v>
      </c>
      <c r="E2098" t="s">
        <v>5567</v>
      </c>
      <c r="F2098" t="s">
        <v>5568</v>
      </c>
      <c r="G2098" s="712">
        <v>0</v>
      </c>
      <c r="H2098">
        <v>0</v>
      </c>
      <c r="I2098" s="713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</row>
    <row r="2099" spans="1:16">
      <c r="A2099">
        <v>4</v>
      </c>
      <c r="B2099" t="s">
        <v>12395</v>
      </c>
      <c r="C2099" t="s">
        <v>12397</v>
      </c>
      <c r="D2099" t="s">
        <v>12398</v>
      </c>
      <c r="E2099" t="s">
        <v>5569</v>
      </c>
      <c r="F2099" t="s">
        <v>5570</v>
      </c>
      <c r="G2099" s="712">
        <v>0</v>
      </c>
      <c r="H2099">
        <v>0</v>
      </c>
      <c r="I2099" s="713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</row>
    <row r="2100" spans="1:16">
      <c r="A2100">
        <v>4</v>
      </c>
      <c r="B2100" t="s">
        <v>12395</v>
      </c>
      <c r="C2100" t="s">
        <v>12397</v>
      </c>
      <c r="D2100" t="s">
        <v>12398</v>
      </c>
      <c r="E2100" t="s">
        <v>5571</v>
      </c>
      <c r="F2100" t="s">
        <v>5572</v>
      </c>
      <c r="G2100" s="712">
        <v>0</v>
      </c>
      <c r="H2100">
        <v>0</v>
      </c>
      <c r="I2100" s="713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</row>
    <row r="2101" spans="1:16">
      <c r="A2101">
        <v>4</v>
      </c>
      <c r="B2101" t="s">
        <v>12395</v>
      </c>
      <c r="C2101" t="s">
        <v>12397</v>
      </c>
      <c r="D2101" t="s">
        <v>12398</v>
      </c>
      <c r="E2101" t="s">
        <v>5573</v>
      </c>
      <c r="F2101" t="s">
        <v>5574</v>
      </c>
      <c r="G2101" s="712">
        <v>0</v>
      </c>
      <c r="H2101">
        <v>0</v>
      </c>
      <c r="I2101" s="713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</row>
    <row r="2102" spans="1:16">
      <c r="A2102">
        <v>4</v>
      </c>
      <c r="B2102" t="s">
        <v>12395</v>
      </c>
      <c r="C2102" t="s">
        <v>12397</v>
      </c>
      <c r="D2102" t="s">
        <v>12398</v>
      </c>
      <c r="E2102" t="s">
        <v>5575</v>
      </c>
      <c r="F2102" t="s">
        <v>5576</v>
      </c>
      <c r="G2102" s="712">
        <v>0</v>
      </c>
      <c r="H2102">
        <v>0</v>
      </c>
      <c r="I2102" s="713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</row>
    <row r="2103" spans="1:16">
      <c r="A2103">
        <v>4</v>
      </c>
      <c r="B2103" t="s">
        <v>12395</v>
      </c>
      <c r="C2103" t="s">
        <v>12397</v>
      </c>
      <c r="D2103" t="s">
        <v>12398</v>
      </c>
      <c r="E2103" t="s">
        <v>5577</v>
      </c>
      <c r="F2103" t="s">
        <v>5578</v>
      </c>
      <c r="G2103" s="712">
        <v>0</v>
      </c>
      <c r="H2103">
        <v>0</v>
      </c>
      <c r="I2103" s="71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</row>
    <row r="2104" spans="1:16">
      <c r="A2104">
        <v>4</v>
      </c>
      <c r="B2104" t="s">
        <v>12395</v>
      </c>
      <c r="C2104" t="s">
        <v>12397</v>
      </c>
      <c r="D2104" t="s">
        <v>12398</v>
      </c>
      <c r="E2104" t="s">
        <v>5579</v>
      </c>
      <c r="F2104" t="s">
        <v>5580</v>
      </c>
      <c r="G2104" s="712">
        <v>0</v>
      </c>
      <c r="H2104">
        <v>0</v>
      </c>
      <c r="I2104" s="713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</row>
    <row r="2105" spans="1:16">
      <c r="A2105">
        <v>4</v>
      </c>
      <c r="B2105" t="s">
        <v>12395</v>
      </c>
      <c r="C2105" t="s">
        <v>12397</v>
      </c>
      <c r="D2105" t="s">
        <v>12398</v>
      </c>
      <c r="E2105" t="s">
        <v>5581</v>
      </c>
      <c r="F2105" t="s">
        <v>5582</v>
      </c>
      <c r="G2105" s="712">
        <v>0</v>
      </c>
      <c r="H2105">
        <v>0</v>
      </c>
      <c r="I2105" s="713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</row>
    <row r="2106" spans="1:16">
      <c r="A2106">
        <v>4</v>
      </c>
      <c r="B2106" t="s">
        <v>12395</v>
      </c>
      <c r="C2106" t="s">
        <v>12397</v>
      </c>
      <c r="D2106" t="s">
        <v>12398</v>
      </c>
      <c r="E2106" t="s">
        <v>5583</v>
      </c>
      <c r="F2106" t="s">
        <v>5584</v>
      </c>
      <c r="G2106" s="712">
        <v>0</v>
      </c>
      <c r="H2106">
        <v>0</v>
      </c>
      <c r="I2106" s="713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</row>
    <row r="2107" spans="1:16">
      <c r="A2107">
        <v>4</v>
      </c>
      <c r="B2107" t="s">
        <v>12395</v>
      </c>
      <c r="C2107" t="s">
        <v>12397</v>
      </c>
      <c r="D2107" t="s">
        <v>12398</v>
      </c>
      <c r="E2107" t="s">
        <v>5585</v>
      </c>
      <c r="F2107" t="s">
        <v>5586</v>
      </c>
      <c r="G2107" s="712">
        <v>0</v>
      </c>
      <c r="H2107">
        <v>0</v>
      </c>
      <c r="I2107" s="713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</row>
    <row r="2108" spans="1:16">
      <c r="A2108">
        <v>4</v>
      </c>
      <c r="B2108" t="s">
        <v>12395</v>
      </c>
      <c r="C2108" t="s">
        <v>12397</v>
      </c>
      <c r="D2108" t="s">
        <v>12398</v>
      </c>
      <c r="E2108" t="s">
        <v>5587</v>
      </c>
      <c r="F2108" t="s">
        <v>5588</v>
      </c>
      <c r="G2108" s="712">
        <v>0</v>
      </c>
      <c r="H2108">
        <v>0</v>
      </c>
      <c r="I2108" s="713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</row>
    <row r="2109" spans="1:16">
      <c r="A2109">
        <v>4</v>
      </c>
      <c r="B2109" t="s">
        <v>12395</v>
      </c>
      <c r="C2109" t="s">
        <v>12397</v>
      </c>
      <c r="D2109" t="s">
        <v>12398</v>
      </c>
      <c r="E2109" t="s">
        <v>5589</v>
      </c>
      <c r="F2109" t="s">
        <v>5590</v>
      </c>
      <c r="G2109" s="712">
        <v>0</v>
      </c>
      <c r="H2109">
        <v>0</v>
      </c>
      <c r="I2109" s="713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</row>
    <row r="2110" spans="1:16">
      <c r="A2110">
        <v>4</v>
      </c>
      <c r="B2110" t="s">
        <v>12395</v>
      </c>
      <c r="C2110" t="s">
        <v>12397</v>
      </c>
      <c r="D2110" t="s">
        <v>12398</v>
      </c>
      <c r="E2110" t="s">
        <v>5591</v>
      </c>
      <c r="F2110" t="s">
        <v>5592</v>
      </c>
      <c r="G2110" s="712">
        <v>0</v>
      </c>
      <c r="H2110">
        <v>0</v>
      </c>
      <c r="I2110" s="713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</row>
    <row r="2111" spans="1:16">
      <c r="A2111">
        <v>4</v>
      </c>
      <c r="B2111" t="s">
        <v>12395</v>
      </c>
      <c r="C2111" t="s">
        <v>12397</v>
      </c>
      <c r="D2111" t="s">
        <v>12398</v>
      </c>
      <c r="E2111" t="s">
        <v>5593</v>
      </c>
      <c r="F2111" t="s">
        <v>5594</v>
      </c>
      <c r="G2111" s="712">
        <v>0</v>
      </c>
      <c r="H2111">
        <v>0</v>
      </c>
      <c r="I2111" s="713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</row>
    <row r="2112" spans="1:16">
      <c r="A2112">
        <v>4</v>
      </c>
      <c r="B2112" t="s">
        <v>12395</v>
      </c>
      <c r="C2112" t="s">
        <v>12397</v>
      </c>
      <c r="D2112" t="s">
        <v>12398</v>
      </c>
      <c r="E2112" t="s">
        <v>5595</v>
      </c>
      <c r="F2112" t="s">
        <v>5596</v>
      </c>
      <c r="G2112" s="712">
        <v>0</v>
      </c>
      <c r="H2112">
        <v>0</v>
      </c>
      <c r="I2112" s="713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</row>
    <row r="2113" spans="1:16">
      <c r="A2113">
        <v>4</v>
      </c>
      <c r="B2113" t="s">
        <v>12395</v>
      </c>
      <c r="C2113" t="s">
        <v>12397</v>
      </c>
      <c r="D2113" t="s">
        <v>12398</v>
      </c>
      <c r="E2113" t="s">
        <v>5597</v>
      </c>
      <c r="F2113" t="s">
        <v>5598</v>
      </c>
      <c r="G2113" s="712">
        <v>0</v>
      </c>
      <c r="H2113">
        <v>0</v>
      </c>
      <c r="I2113" s="7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</row>
    <row r="2114" spans="1:16">
      <c r="A2114">
        <v>4</v>
      </c>
      <c r="B2114" t="s">
        <v>12395</v>
      </c>
      <c r="C2114" t="s">
        <v>12397</v>
      </c>
      <c r="D2114" t="s">
        <v>12398</v>
      </c>
      <c r="E2114" t="s">
        <v>5599</v>
      </c>
      <c r="F2114" t="s">
        <v>5600</v>
      </c>
      <c r="G2114" s="712">
        <v>0</v>
      </c>
      <c r="H2114">
        <v>0</v>
      </c>
      <c r="I2114" s="713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</row>
    <row r="2115" spans="1:16">
      <c r="A2115">
        <v>4</v>
      </c>
      <c r="B2115" t="s">
        <v>12395</v>
      </c>
      <c r="C2115" t="s">
        <v>12397</v>
      </c>
      <c r="D2115" t="s">
        <v>12398</v>
      </c>
      <c r="E2115" t="s">
        <v>5601</v>
      </c>
      <c r="F2115" t="s">
        <v>5602</v>
      </c>
      <c r="G2115" s="712">
        <v>0</v>
      </c>
      <c r="H2115">
        <v>0</v>
      </c>
      <c r="I2115" s="713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</row>
    <row r="2116" spans="1:16">
      <c r="A2116">
        <v>4</v>
      </c>
      <c r="B2116" t="s">
        <v>12395</v>
      </c>
      <c r="C2116" t="s">
        <v>12397</v>
      </c>
      <c r="D2116" t="s">
        <v>12398</v>
      </c>
      <c r="E2116" t="s">
        <v>5603</v>
      </c>
      <c r="F2116" t="s">
        <v>5604</v>
      </c>
      <c r="G2116" s="712">
        <v>0</v>
      </c>
      <c r="H2116">
        <v>0</v>
      </c>
      <c r="I2116" s="713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</row>
    <row r="2117" spans="1:16">
      <c r="A2117">
        <v>4</v>
      </c>
      <c r="B2117" t="s">
        <v>12395</v>
      </c>
      <c r="C2117" t="s">
        <v>12397</v>
      </c>
      <c r="D2117" t="s">
        <v>12398</v>
      </c>
      <c r="E2117" t="s">
        <v>5605</v>
      </c>
      <c r="F2117" t="s">
        <v>5606</v>
      </c>
      <c r="G2117" s="712">
        <v>0</v>
      </c>
      <c r="H2117">
        <v>0</v>
      </c>
      <c r="I2117" s="713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</row>
    <row r="2118" spans="1:16">
      <c r="A2118">
        <v>4</v>
      </c>
      <c r="B2118" t="s">
        <v>12395</v>
      </c>
      <c r="C2118" t="s">
        <v>12397</v>
      </c>
      <c r="D2118" t="s">
        <v>12398</v>
      </c>
      <c r="E2118" t="s">
        <v>5607</v>
      </c>
      <c r="F2118" t="s">
        <v>5608</v>
      </c>
      <c r="G2118" s="712">
        <v>0</v>
      </c>
      <c r="H2118">
        <v>0</v>
      </c>
      <c r="I2118" s="713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</row>
    <row r="2119" spans="1:16">
      <c r="A2119">
        <v>4</v>
      </c>
      <c r="B2119" t="s">
        <v>12395</v>
      </c>
      <c r="C2119" t="s">
        <v>12397</v>
      </c>
      <c r="D2119" t="s">
        <v>12398</v>
      </c>
      <c r="E2119" t="s">
        <v>5609</v>
      </c>
      <c r="F2119" t="s">
        <v>5610</v>
      </c>
      <c r="G2119" s="712">
        <v>0</v>
      </c>
      <c r="H2119">
        <v>0</v>
      </c>
      <c r="I2119" s="713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</row>
    <row r="2120" spans="1:16">
      <c r="A2120">
        <v>4</v>
      </c>
      <c r="B2120" t="s">
        <v>12395</v>
      </c>
      <c r="C2120" t="s">
        <v>12397</v>
      </c>
      <c r="D2120" t="s">
        <v>12398</v>
      </c>
      <c r="E2120" t="s">
        <v>5611</v>
      </c>
      <c r="F2120" t="s">
        <v>5612</v>
      </c>
      <c r="G2120" s="712">
        <v>0</v>
      </c>
      <c r="H2120">
        <v>0</v>
      </c>
      <c r="I2120" s="713">
        <v>0</v>
      </c>
      <c r="J2120">
        <v>0</v>
      </c>
      <c r="K2120" s="750">
        <v>245269.08</v>
      </c>
      <c r="L2120">
        <v>0</v>
      </c>
      <c r="M2120">
        <v>0</v>
      </c>
      <c r="N2120">
        <v>0</v>
      </c>
      <c r="O2120" s="711">
        <v>245269.08</v>
      </c>
      <c r="P2120" s="711">
        <v>-245269.08</v>
      </c>
    </row>
    <row r="2121" spans="1:16">
      <c r="A2121">
        <v>4</v>
      </c>
      <c r="B2121" t="s">
        <v>12395</v>
      </c>
      <c r="C2121" t="s">
        <v>12397</v>
      </c>
      <c r="D2121" t="s">
        <v>12398</v>
      </c>
      <c r="E2121" t="s">
        <v>5613</v>
      </c>
      <c r="F2121" t="s">
        <v>5614</v>
      </c>
      <c r="G2121" s="712">
        <v>0</v>
      </c>
      <c r="H2121">
        <v>0</v>
      </c>
      <c r="I2121" s="713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</row>
    <row r="2122" spans="1:16">
      <c r="A2122">
        <v>4</v>
      </c>
      <c r="B2122" t="s">
        <v>12395</v>
      </c>
      <c r="C2122" t="s">
        <v>12397</v>
      </c>
      <c r="D2122" t="s">
        <v>12398</v>
      </c>
      <c r="E2122" t="s">
        <v>5615</v>
      </c>
      <c r="F2122" t="s">
        <v>5616</v>
      </c>
      <c r="G2122" s="712">
        <v>0</v>
      </c>
      <c r="H2122">
        <v>0</v>
      </c>
      <c r="I2122" s="713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</row>
    <row r="2123" spans="1:16">
      <c r="A2123">
        <v>4</v>
      </c>
      <c r="B2123" t="s">
        <v>12395</v>
      </c>
      <c r="C2123" t="s">
        <v>12397</v>
      </c>
      <c r="D2123" t="s">
        <v>12398</v>
      </c>
      <c r="E2123" t="s">
        <v>5617</v>
      </c>
      <c r="F2123" t="s">
        <v>5618</v>
      </c>
      <c r="G2123" s="712">
        <v>0</v>
      </c>
      <c r="H2123">
        <v>0</v>
      </c>
      <c r="I2123" s="71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</row>
    <row r="2124" spans="1:16">
      <c r="A2124">
        <v>4</v>
      </c>
      <c r="B2124" t="s">
        <v>12395</v>
      </c>
      <c r="C2124" t="s">
        <v>12397</v>
      </c>
      <c r="D2124" t="s">
        <v>12398</v>
      </c>
      <c r="E2124" t="s">
        <v>5619</v>
      </c>
      <c r="F2124" t="s">
        <v>5620</v>
      </c>
      <c r="G2124" s="712">
        <v>0</v>
      </c>
      <c r="H2124">
        <v>0</v>
      </c>
      <c r="I2124" s="713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</row>
    <row r="2125" spans="1:16">
      <c r="A2125">
        <v>4</v>
      </c>
      <c r="B2125" t="s">
        <v>12395</v>
      </c>
      <c r="C2125" t="s">
        <v>12397</v>
      </c>
      <c r="D2125" t="s">
        <v>12398</v>
      </c>
      <c r="E2125" t="s">
        <v>5621</v>
      </c>
      <c r="F2125" t="s">
        <v>5622</v>
      </c>
      <c r="G2125" s="712">
        <v>0</v>
      </c>
      <c r="H2125">
        <v>0</v>
      </c>
      <c r="I2125" s="713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</row>
    <row r="2126" spans="1:16">
      <c r="A2126">
        <v>4</v>
      </c>
      <c r="B2126" t="s">
        <v>12395</v>
      </c>
      <c r="C2126" t="s">
        <v>12397</v>
      </c>
      <c r="D2126" t="s">
        <v>12398</v>
      </c>
      <c r="E2126" t="s">
        <v>5623</v>
      </c>
      <c r="F2126" t="s">
        <v>5624</v>
      </c>
      <c r="G2126" s="712">
        <v>0</v>
      </c>
      <c r="H2126">
        <v>0</v>
      </c>
      <c r="I2126" s="713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</row>
    <row r="2127" spans="1:16">
      <c r="A2127">
        <v>4</v>
      </c>
      <c r="B2127" t="s">
        <v>12395</v>
      </c>
      <c r="C2127" t="s">
        <v>12397</v>
      </c>
      <c r="D2127" t="s">
        <v>12398</v>
      </c>
      <c r="E2127" t="s">
        <v>5625</v>
      </c>
      <c r="F2127" t="s">
        <v>5626</v>
      </c>
      <c r="G2127" s="712">
        <v>0</v>
      </c>
      <c r="H2127">
        <v>0</v>
      </c>
      <c r="I2127" s="713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</row>
    <row r="2128" spans="1:16">
      <c r="A2128">
        <v>4</v>
      </c>
      <c r="B2128" t="s">
        <v>12395</v>
      </c>
      <c r="C2128" t="s">
        <v>12397</v>
      </c>
      <c r="D2128" t="s">
        <v>12398</v>
      </c>
      <c r="E2128" t="s">
        <v>5627</v>
      </c>
      <c r="F2128" t="s">
        <v>5628</v>
      </c>
      <c r="G2128" s="712">
        <v>0</v>
      </c>
      <c r="H2128">
        <v>0</v>
      </c>
      <c r="I2128" s="713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</row>
    <row r="2129" spans="1:16">
      <c r="A2129">
        <v>4</v>
      </c>
      <c r="B2129" t="s">
        <v>12395</v>
      </c>
      <c r="C2129" t="s">
        <v>12397</v>
      </c>
      <c r="D2129" t="s">
        <v>12398</v>
      </c>
      <c r="E2129" t="s">
        <v>5629</v>
      </c>
      <c r="F2129" t="s">
        <v>5630</v>
      </c>
      <c r="G2129" s="712">
        <v>0</v>
      </c>
      <c r="H2129">
        <v>0</v>
      </c>
      <c r="I2129" s="713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</row>
    <row r="2130" spans="1:16">
      <c r="A2130">
        <v>4</v>
      </c>
      <c r="B2130" t="s">
        <v>12395</v>
      </c>
      <c r="C2130" t="s">
        <v>12397</v>
      </c>
      <c r="D2130" t="s">
        <v>12398</v>
      </c>
      <c r="E2130" t="s">
        <v>5631</v>
      </c>
      <c r="F2130" t="s">
        <v>5632</v>
      </c>
      <c r="G2130" s="712">
        <v>0</v>
      </c>
      <c r="H2130">
        <v>0</v>
      </c>
      <c r="I2130" s="713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</row>
    <row r="2131" spans="1:16">
      <c r="A2131">
        <v>4</v>
      </c>
      <c r="B2131" t="s">
        <v>12395</v>
      </c>
      <c r="C2131" t="s">
        <v>12397</v>
      </c>
      <c r="D2131" t="s">
        <v>12398</v>
      </c>
      <c r="E2131" t="s">
        <v>5633</v>
      </c>
      <c r="F2131" t="s">
        <v>5634</v>
      </c>
      <c r="G2131" s="712">
        <v>0</v>
      </c>
      <c r="H2131">
        <v>0</v>
      </c>
      <c r="I2131" s="713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</row>
    <row r="2132" spans="1:16">
      <c r="A2132">
        <v>4</v>
      </c>
      <c r="B2132" t="s">
        <v>12395</v>
      </c>
      <c r="C2132" t="s">
        <v>12397</v>
      </c>
      <c r="D2132" t="s">
        <v>12398</v>
      </c>
      <c r="E2132" t="s">
        <v>5635</v>
      </c>
      <c r="F2132" t="s">
        <v>5636</v>
      </c>
      <c r="G2132" s="712">
        <v>0</v>
      </c>
      <c r="H2132">
        <v>0</v>
      </c>
      <c r="I2132" s="713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</row>
    <row r="2133" spans="1:16">
      <c r="A2133">
        <v>4</v>
      </c>
      <c r="B2133" t="s">
        <v>12395</v>
      </c>
      <c r="C2133" t="s">
        <v>12397</v>
      </c>
      <c r="D2133" t="s">
        <v>12398</v>
      </c>
      <c r="E2133" t="s">
        <v>5637</v>
      </c>
      <c r="F2133" t="s">
        <v>5638</v>
      </c>
      <c r="G2133" s="712">
        <v>0</v>
      </c>
      <c r="H2133">
        <v>0</v>
      </c>
      <c r="I2133" s="71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</row>
    <row r="2134" spans="1:16">
      <c r="A2134">
        <v>4</v>
      </c>
      <c r="B2134" t="s">
        <v>12395</v>
      </c>
      <c r="C2134" t="s">
        <v>12397</v>
      </c>
      <c r="D2134" t="s">
        <v>12398</v>
      </c>
      <c r="E2134" t="s">
        <v>5639</v>
      </c>
      <c r="F2134" t="s">
        <v>5640</v>
      </c>
      <c r="G2134" s="712">
        <v>0</v>
      </c>
      <c r="H2134">
        <v>0</v>
      </c>
      <c r="I2134" s="713">
        <v>0</v>
      </c>
      <c r="J2134">
        <v>0</v>
      </c>
      <c r="K2134" s="753">
        <v>5317440.93</v>
      </c>
      <c r="L2134">
        <v>0</v>
      </c>
      <c r="M2134">
        <v>0</v>
      </c>
      <c r="N2134">
        <v>0</v>
      </c>
      <c r="O2134" s="711">
        <v>5317440.93</v>
      </c>
      <c r="P2134" s="711">
        <v>-5317440.93</v>
      </c>
    </row>
    <row r="2135" spans="1:16">
      <c r="A2135">
        <v>4</v>
      </c>
      <c r="B2135" t="s">
        <v>12395</v>
      </c>
      <c r="C2135" t="s">
        <v>12397</v>
      </c>
      <c r="D2135" t="s">
        <v>12398</v>
      </c>
      <c r="E2135" t="s">
        <v>12399</v>
      </c>
      <c r="F2135" t="s">
        <v>12400</v>
      </c>
      <c r="G2135" s="712">
        <v>0</v>
      </c>
      <c r="H2135">
        <v>0</v>
      </c>
      <c r="I2135" s="713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</row>
    <row r="2136" spans="1:16">
      <c r="A2136">
        <v>4</v>
      </c>
      <c r="B2136" t="s">
        <v>12395</v>
      </c>
      <c r="C2136" t="s">
        <v>12397</v>
      </c>
      <c r="D2136" t="s">
        <v>12398</v>
      </c>
      <c r="E2136" t="s">
        <v>12401</v>
      </c>
      <c r="F2136" t="s">
        <v>12402</v>
      </c>
      <c r="G2136" s="712">
        <v>0</v>
      </c>
      <c r="H2136">
        <v>0</v>
      </c>
      <c r="I2136" s="713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</row>
    <row r="2137" spans="1:16">
      <c r="A2137">
        <v>4</v>
      </c>
      <c r="B2137" t="s">
        <v>12395</v>
      </c>
      <c r="C2137" t="s">
        <v>12397</v>
      </c>
      <c r="D2137" t="s">
        <v>12398</v>
      </c>
      <c r="E2137" t="s">
        <v>5643</v>
      </c>
      <c r="F2137" t="s">
        <v>5644</v>
      </c>
      <c r="G2137" s="712">
        <v>0</v>
      </c>
      <c r="H2137">
        <v>0</v>
      </c>
      <c r="I2137" s="713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</row>
    <row r="2138" spans="1:16" ht="15.75" thickBot="1">
      <c r="A2138">
        <v>4</v>
      </c>
      <c r="B2138" t="s">
        <v>12395</v>
      </c>
      <c r="C2138" t="s">
        <v>12397</v>
      </c>
      <c r="D2138" t="s">
        <v>12398</v>
      </c>
      <c r="E2138" t="s">
        <v>12403</v>
      </c>
      <c r="F2138" t="s">
        <v>12404</v>
      </c>
      <c r="G2138" s="712">
        <v>0</v>
      </c>
      <c r="H2138">
        <v>0</v>
      </c>
      <c r="I2138" s="713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</row>
    <row r="2139" spans="1:16" ht="15.75" thickBot="1">
      <c r="A2139" s="727">
        <v>4</v>
      </c>
      <c r="B2139" s="727" t="s">
        <v>12395</v>
      </c>
      <c r="C2139" s="727" t="s">
        <v>12405</v>
      </c>
      <c r="D2139" s="727"/>
      <c r="E2139" s="727"/>
      <c r="F2139" s="745" t="s">
        <v>5650</v>
      </c>
      <c r="G2139" s="738">
        <v>0</v>
      </c>
      <c r="H2139" s="738">
        <v>0</v>
      </c>
      <c r="I2139" s="738">
        <v>0</v>
      </c>
      <c r="J2139" s="738">
        <v>0</v>
      </c>
      <c r="K2139" s="739">
        <v>2785933.59</v>
      </c>
      <c r="L2139" s="738">
        <v>0</v>
      </c>
      <c r="M2139" s="738">
        <v>0</v>
      </c>
      <c r="N2139" s="738">
        <v>0</v>
      </c>
      <c r="O2139" s="739">
        <v>2785933.59</v>
      </c>
      <c r="P2139" s="739">
        <v>-2785933.59</v>
      </c>
    </row>
    <row r="2140" spans="1:16" ht="15.75" thickBot="1">
      <c r="A2140" s="727">
        <v>4</v>
      </c>
      <c r="B2140" s="727" t="s">
        <v>12395</v>
      </c>
      <c r="C2140" s="727" t="s">
        <v>12405</v>
      </c>
      <c r="D2140" s="727" t="s">
        <v>12406</v>
      </c>
      <c r="E2140" s="727"/>
      <c r="F2140" s="729" t="s">
        <v>5650</v>
      </c>
      <c r="G2140" s="738">
        <v>0</v>
      </c>
      <c r="H2140" s="738">
        <v>0</v>
      </c>
      <c r="I2140" s="738">
        <v>0</v>
      </c>
      <c r="J2140" s="738">
        <v>0</v>
      </c>
      <c r="K2140" s="739">
        <v>2785933.59</v>
      </c>
      <c r="L2140" s="738">
        <v>0</v>
      </c>
      <c r="M2140" s="738">
        <v>0</v>
      </c>
      <c r="N2140" s="738">
        <v>0</v>
      </c>
      <c r="O2140" s="739">
        <v>2785933.59</v>
      </c>
      <c r="P2140" s="739">
        <v>-2785933.59</v>
      </c>
    </row>
    <row r="2141" spans="1:16">
      <c r="A2141">
        <v>4</v>
      </c>
      <c r="B2141" t="s">
        <v>12395</v>
      </c>
      <c r="C2141" t="s">
        <v>12405</v>
      </c>
      <c r="D2141" t="s">
        <v>12406</v>
      </c>
      <c r="E2141" t="s">
        <v>5649</v>
      </c>
      <c r="F2141" t="s">
        <v>5650</v>
      </c>
      <c r="G2141" s="712">
        <v>0</v>
      </c>
      <c r="H2141">
        <v>0</v>
      </c>
      <c r="I2141" s="713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</row>
    <row r="2142" spans="1:16">
      <c r="A2142">
        <v>4</v>
      </c>
      <c r="B2142" t="s">
        <v>12395</v>
      </c>
      <c r="C2142" t="s">
        <v>12405</v>
      </c>
      <c r="D2142" t="s">
        <v>12406</v>
      </c>
      <c r="E2142" t="s">
        <v>5651</v>
      </c>
      <c r="F2142" t="s">
        <v>5566</v>
      </c>
      <c r="G2142" s="712">
        <v>0</v>
      </c>
      <c r="H2142">
        <v>0</v>
      </c>
      <c r="I2142" s="713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</row>
    <row r="2143" spans="1:16">
      <c r="A2143">
        <v>4</v>
      </c>
      <c r="B2143" t="s">
        <v>12395</v>
      </c>
      <c r="C2143" t="s">
        <v>12405</v>
      </c>
      <c r="D2143" t="s">
        <v>12406</v>
      </c>
      <c r="E2143" t="s">
        <v>5652</v>
      </c>
      <c r="F2143" t="s">
        <v>5568</v>
      </c>
      <c r="G2143" s="712">
        <v>0</v>
      </c>
      <c r="H2143">
        <v>0</v>
      </c>
      <c r="I2143" s="71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</row>
    <row r="2144" spans="1:16">
      <c r="A2144">
        <v>4</v>
      </c>
      <c r="B2144" t="s">
        <v>12395</v>
      </c>
      <c r="C2144" t="s">
        <v>12405</v>
      </c>
      <c r="D2144" t="s">
        <v>12406</v>
      </c>
      <c r="E2144" t="s">
        <v>5653</v>
      </c>
      <c r="F2144" t="s">
        <v>5570</v>
      </c>
      <c r="G2144" s="712">
        <v>0</v>
      </c>
      <c r="H2144">
        <v>0</v>
      </c>
      <c r="I2144" s="713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</row>
    <row r="2145" spans="1:16">
      <c r="A2145">
        <v>4</v>
      </c>
      <c r="B2145" t="s">
        <v>12395</v>
      </c>
      <c r="C2145" t="s">
        <v>12405</v>
      </c>
      <c r="D2145" t="s">
        <v>12406</v>
      </c>
      <c r="E2145" t="s">
        <v>5654</v>
      </c>
      <c r="F2145" t="s">
        <v>5572</v>
      </c>
      <c r="G2145" s="712">
        <v>0</v>
      </c>
      <c r="H2145">
        <v>0</v>
      </c>
      <c r="I2145" s="713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</row>
    <row r="2146" spans="1:16">
      <c r="A2146">
        <v>4</v>
      </c>
      <c r="B2146" t="s">
        <v>12395</v>
      </c>
      <c r="C2146" t="s">
        <v>12405</v>
      </c>
      <c r="D2146" t="s">
        <v>12406</v>
      </c>
      <c r="E2146" t="s">
        <v>5655</v>
      </c>
      <c r="F2146" t="s">
        <v>5574</v>
      </c>
      <c r="G2146" s="712">
        <v>0</v>
      </c>
      <c r="H2146">
        <v>0</v>
      </c>
      <c r="I2146" s="713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</row>
    <row r="2147" spans="1:16">
      <c r="A2147">
        <v>4</v>
      </c>
      <c r="B2147" t="s">
        <v>12395</v>
      </c>
      <c r="C2147" t="s">
        <v>12405</v>
      </c>
      <c r="D2147" t="s">
        <v>12406</v>
      </c>
      <c r="E2147" t="s">
        <v>5656</v>
      </c>
      <c r="F2147" t="s">
        <v>5576</v>
      </c>
      <c r="G2147" s="712">
        <v>0</v>
      </c>
      <c r="H2147">
        <v>0</v>
      </c>
      <c r="I2147" s="713">
        <v>0</v>
      </c>
      <c r="J2147">
        <v>0</v>
      </c>
      <c r="K2147" s="711">
        <v>14904.05</v>
      </c>
      <c r="L2147">
        <v>0</v>
      </c>
      <c r="M2147">
        <v>0</v>
      </c>
      <c r="N2147">
        <v>0</v>
      </c>
      <c r="O2147" s="711">
        <v>14904.05</v>
      </c>
      <c r="P2147" s="711">
        <v>-14904.05</v>
      </c>
    </row>
    <row r="2148" spans="1:16">
      <c r="A2148">
        <v>4</v>
      </c>
      <c r="B2148" t="s">
        <v>12395</v>
      </c>
      <c r="C2148" t="s">
        <v>12405</v>
      </c>
      <c r="D2148" t="s">
        <v>12406</v>
      </c>
      <c r="E2148" t="s">
        <v>5657</v>
      </c>
      <c r="F2148" t="s">
        <v>5578</v>
      </c>
      <c r="G2148" s="712">
        <v>0</v>
      </c>
      <c r="H2148">
        <v>0</v>
      </c>
      <c r="I2148" s="713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</row>
    <row r="2149" spans="1:16">
      <c r="A2149">
        <v>4</v>
      </c>
      <c r="B2149" t="s">
        <v>12395</v>
      </c>
      <c r="C2149" t="s">
        <v>12405</v>
      </c>
      <c r="D2149" t="s">
        <v>12406</v>
      </c>
      <c r="E2149" t="s">
        <v>5658</v>
      </c>
      <c r="F2149" t="s">
        <v>5580</v>
      </c>
      <c r="G2149" s="712">
        <v>0</v>
      </c>
      <c r="H2149">
        <v>0</v>
      </c>
      <c r="I2149" s="713">
        <v>0</v>
      </c>
      <c r="J2149">
        <v>0</v>
      </c>
      <c r="K2149" s="711">
        <v>40542.67</v>
      </c>
      <c r="L2149">
        <v>0</v>
      </c>
      <c r="M2149">
        <v>0</v>
      </c>
      <c r="N2149">
        <v>0</v>
      </c>
      <c r="O2149" s="711">
        <v>40542.67</v>
      </c>
      <c r="P2149" s="711">
        <v>-40542.67</v>
      </c>
    </row>
    <row r="2150" spans="1:16">
      <c r="A2150">
        <v>4</v>
      </c>
      <c r="B2150" t="s">
        <v>12395</v>
      </c>
      <c r="C2150" t="s">
        <v>12405</v>
      </c>
      <c r="D2150" t="s">
        <v>12406</v>
      </c>
      <c r="E2150" t="s">
        <v>5659</v>
      </c>
      <c r="F2150" t="s">
        <v>5582</v>
      </c>
      <c r="G2150" s="712">
        <v>0</v>
      </c>
      <c r="H2150">
        <v>0</v>
      </c>
      <c r="I2150" s="713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</row>
    <row r="2151" spans="1:16">
      <c r="A2151">
        <v>4</v>
      </c>
      <c r="B2151" t="s">
        <v>12395</v>
      </c>
      <c r="C2151" t="s">
        <v>12405</v>
      </c>
      <c r="D2151" t="s">
        <v>12406</v>
      </c>
      <c r="E2151" t="s">
        <v>5660</v>
      </c>
      <c r="F2151" t="s">
        <v>5584</v>
      </c>
      <c r="G2151" s="712">
        <v>0</v>
      </c>
      <c r="H2151">
        <v>0</v>
      </c>
      <c r="I2151" s="713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</row>
    <row r="2152" spans="1:16">
      <c r="A2152">
        <v>4</v>
      </c>
      <c r="B2152" t="s">
        <v>12395</v>
      </c>
      <c r="C2152" t="s">
        <v>12405</v>
      </c>
      <c r="D2152" t="s">
        <v>12406</v>
      </c>
      <c r="E2152" t="s">
        <v>5661</v>
      </c>
      <c r="F2152" t="s">
        <v>5662</v>
      </c>
      <c r="G2152" s="712">
        <v>0</v>
      </c>
      <c r="H2152">
        <v>0</v>
      </c>
      <c r="I2152" s="713">
        <v>0</v>
      </c>
      <c r="J2152">
        <v>0</v>
      </c>
      <c r="K2152" s="711">
        <v>1330575.54</v>
      </c>
      <c r="L2152">
        <v>0</v>
      </c>
      <c r="M2152">
        <v>0</v>
      </c>
      <c r="N2152">
        <v>0</v>
      </c>
      <c r="O2152" s="711">
        <v>1330575.54</v>
      </c>
      <c r="P2152" s="711">
        <v>-1330575.54</v>
      </c>
    </row>
    <row r="2153" spans="1:16">
      <c r="A2153">
        <v>4</v>
      </c>
      <c r="B2153" t="s">
        <v>12395</v>
      </c>
      <c r="C2153" t="s">
        <v>12405</v>
      </c>
      <c r="D2153" t="s">
        <v>12406</v>
      </c>
      <c r="E2153" t="s">
        <v>5663</v>
      </c>
      <c r="F2153" t="s">
        <v>5664</v>
      </c>
      <c r="G2153" s="712">
        <v>0</v>
      </c>
      <c r="H2153">
        <v>0</v>
      </c>
      <c r="I2153" s="71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</row>
    <row r="2154" spans="1:16">
      <c r="A2154">
        <v>4</v>
      </c>
      <c r="B2154" t="s">
        <v>12395</v>
      </c>
      <c r="C2154" t="s">
        <v>12405</v>
      </c>
      <c r="D2154" t="s">
        <v>12406</v>
      </c>
      <c r="E2154" t="s">
        <v>5665</v>
      </c>
      <c r="F2154" t="s">
        <v>5666</v>
      </c>
      <c r="G2154" s="712">
        <v>0</v>
      </c>
      <c r="H2154">
        <v>0</v>
      </c>
      <c r="I2154" s="713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</row>
    <row r="2155" spans="1:16">
      <c r="A2155">
        <v>4</v>
      </c>
      <c r="B2155" t="s">
        <v>12395</v>
      </c>
      <c r="C2155" t="s">
        <v>12405</v>
      </c>
      <c r="D2155" t="s">
        <v>12406</v>
      </c>
      <c r="E2155" t="s">
        <v>5667</v>
      </c>
      <c r="F2155" t="s">
        <v>5668</v>
      </c>
      <c r="G2155" s="712">
        <v>0</v>
      </c>
      <c r="H2155">
        <v>0</v>
      </c>
      <c r="I2155" s="713">
        <v>0</v>
      </c>
      <c r="J2155">
        <v>0</v>
      </c>
      <c r="K2155" s="711">
        <v>146014.51999999999</v>
      </c>
      <c r="L2155">
        <v>0</v>
      </c>
      <c r="M2155">
        <v>0</v>
      </c>
      <c r="N2155">
        <v>0</v>
      </c>
      <c r="O2155" s="711">
        <v>146014.51999999999</v>
      </c>
      <c r="P2155" s="711">
        <v>-146014.51999999999</v>
      </c>
    </row>
    <row r="2156" spans="1:16">
      <c r="A2156">
        <v>4</v>
      </c>
      <c r="B2156" t="s">
        <v>12395</v>
      </c>
      <c r="C2156" t="s">
        <v>12405</v>
      </c>
      <c r="D2156" t="s">
        <v>12406</v>
      </c>
      <c r="E2156" t="s">
        <v>5669</v>
      </c>
      <c r="F2156" t="s">
        <v>5590</v>
      </c>
      <c r="G2156" s="712">
        <v>0</v>
      </c>
      <c r="H2156">
        <v>0</v>
      </c>
      <c r="I2156" s="713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</row>
    <row r="2157" spans="1:16">
      <c r="A2157">
        <v>4</v>
      </c>
      <c r="B2157" t="s">
        <v>12395</v>
      </c>
      <c r="C2157" t="s">
        <v>12405</v>
      </c>
      <c r="D2157" t="s">
        <v>12406</v>
      </c>
      <c r="E2157" t="s">
        <v>5670</v>
      </c>
      <c r="F2157" t="s">
        <v>5592</v>
      </c>
      <c r="G2157" s="712">
        <v>0</v>
      </c>
      <c r="H2157">
        <v>0</v>
      </c>
      <c r="I2157" s="713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</row>
    <row r="2158" spans="1:16">
      <c r="A2158">
        <v>4</v>
      </c>
      <c r="B2158" t="s">
        <v>12395</v>
      </c>
      <c r="C2158" t="s">
        <v>12405</v>
      </c>
      <c r="D2158" t="s">
        <v>12406</v>
      </c>
      <c r="E2158" t="s">
        <v>5671</v>
      </c>
      <c r="F2158" t="s">
        <v>5594</v>
      </c>
      <c r="G2158" s="712">
        <v>0</v>
      </c>
      <c r="H2158">
        <v>0</v>
      </c>
      <c r="I2158" s="713">
        <v>0</v>
      </c>
      <c r="J2158">
        <v>0</v>
      </c>
      <c r="K2158" s="711">
        <v>32166.85</v>
      </c>
      <c r="L2158">
        <v>0</v>
      </c>
      <c r="M2158">
        <v>0</v>
      </c>
      <c r="N2158">
        <v>0</v>
      </c>
      <c r="O2158" s="711">
        <v>32166.85</v>
      </c>
      <c r="P2158" s="711">
        <v>-32166.85</v>
      </c>
    </row>
    <row r="2159" spans="1:16">
      <c r="A2159">
        <v>4</v>
      </c>
      <c r="B2159" t="s">
        <v>12395</v>
      </c>
      <c r="C2159" t="s">
        <v>12405</v>
      </c>
      <c r="D2159" t="s">
        <v>12406</v>
      </c>
      <c r="E2159" t="s">
        <v>5672</v>
      </c>
      <c r="F2159" t="s">
        <v>5596</v>
      </c>
      <c r="G2159" s="712">
        <v>0</v>
      </c>
      <c r="H2159">
        <v>0</v>
      </c>
      <c r="I2159" s="713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</row>
    <row r="2160" spans="1:16">
      <c r="A2160">
        <v>4</v>
      </c>
      <c r="B2160" t="s">
        <v>12395</v>
      </c>
      <c r="C2160" t="s">
        <v>12405</v>
      </c>
      <c r="D2160" t="s">
        <v>12406</v>
      </c>
      <c r="E2160" t="s">
        <v>5673</v>
      </c>
      <c r="F2160" t="s">
        <v>5674</v>
      </c>
      <c r="G2160" s="712">
        <v>0</v>
      </c>
      <c r="H2160">
        <v>0</v>
      </c>
      <c r="I2160" s="713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</row>
    <row r="2161" spans="1:16">
      <c r="A2161">
        <v>4</v>
      </c>
      <c r="B2161" t="s">
        <v>12395</v>
      </c>
      <c r="C2161" t="s">
        <v>12405</v>
      </c>
      <c r="D2161" t="s">
        <v>12406</v>
      </c>
      <c r="E2161" t="s">
        <v>5675</v>
      </c>
      <c r="F2161" t="s">
        <v>5600</v>
      </c>
      <c r="G2161" s="712">
        <v>0</v>
      </c>
      <c r="H2161">
        <v>0</v>
      </c>
      <c r="I2161" s="713">
        <v>0</v>
      </c>
      <c r="J2161">
        <v>0</v>
      </c>
      <c r="K2161">
        <v>125</v>
      </c>
      <c r="L2161">
        <v>0</v>
      </c>
      <c r="M2161">
        <v>0</v>
      </c>
      <c r="N2161">
        <v>0</v>
      </c>
      <c r="O2161">
        <v>125</v>
      </c>
      <c r="P2161">
        <v>-125</v>
      </c>
    </row>
    <row r="2162" spans="1:16">
      <c r="A2162">
        <v>4</v>
      </c>
      <c r="B2162" t="s">
        <v>12395</v>
      </c>
      <c r="C2162" t="s">
        <v>12405</v>
      </c>
      <c r="D2162" t="s">
        <v>12406</v>
      </c>
      <c r="E2162" t="s">
        <v>5676</v>
      </c>
      <c r="F2162" t="s">
        <v>5602</v>
      </c>
      <c r="G2162" s="712">
        <v>0</v>
      </c>
      <c r="H2162">
        <v>0</v>
      </c>
      <c r="I2162" s="713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</row>
    <row r="2163" spans="1:16">
      <c r="A2163">
        <v>4</v>
      </c>
      <c r="B2163" t="s">
        <v>12395</v>
      </c>
      <c r="C2163" t="s">
        <v>12405</v>
      </c>
      <c r="D2163" t="s">
        <v>12406</v>
      </c>
      <c r="E2163" t="s">
        <v>5677</v>
      </c>
      <c r="F2163" t="s">
        <v>5604</v>
      </c>
      <c r="G2163" s="712">
        <v>0</v>
      </c>
      <c r="H2163">
        <v>0</v>
      </c>
      <c r="I2163" s="71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</row>
    <row r="2164" spans="1:16">
      <c r="A2164">
        <v>4</v>
      </c>
      <c r="B2164" t="s">
        <v>12395</v>
      </c>
      <c r="C2164" t="s">
        <v>12405</v>
      </c>
      <c r="D2164" t="s">
        <v>12406</v>
      </c>
      <c r="E2164" t="s">
        <v>5678</v>
      </c>
      <c r="F2164" t="s">
        <v>5606</v>
      </c>
      <c r="G2164" s="712">
        <v>0</v>
      </c>
      <c r="H2164">
        <v>0</v>
      </c>
      <c r="I2164" s="713">
        <v>0</v>
      </c>
      <c r="J2164">
        <v>0</v>
      </c>
      <c r="K2164" s="711">
        <v>711265.79</v>
      </c>
      <c r="L2164">
        <v>0</v>
      </c>
      <c r="M2164">
        <v>0</v>
      </c>
      <c r="N2164">
        <v>0</v>
      </c>
      <c r="O2164" s="711">
        <v>711265.79</v>
      </c>
      <c r="P2164" s="711">
        <v>-711265.79</v>
      </c>
    </row>
    <row r="2165" spans="1:16">
      <c r="A2165">
        <v>4</v>
      </c>
      <c r="B2165" t="s">
        <v>12395</v>
      </c>
      <c r="C2165" t="s">
        <v>12405</v>
      </c>
      <c r="D2165" t="s">
        <v>12406</v>
      </c>
      <c r="E2165" t="s">
        <v>5679</v>
      </c>
      <c r="F2165" t="s">
        <v>5608</v>
      </c>
      <c r="G2165" s="712">
        <v>0</v>
      </c>
      <c r="H2165">
        <v>0</v>
      </c>
      <c r="I2165" s="713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</row>
    <row r="2166" spans="1:16">
      <c r="A2166">
        <v>4</v>
      </c>
      <c r="B2166" t="s">
        <v>12395</v>
      </c>
      <c r="C2166" t="s">
        <v>12405</v>
      </c>
      <c r="D2166" t="s">
        <v>12406</v>
      </c>
      <c r="E2166" t="s">
        <v>5680</v>
      </c>
      <c r="F2166" t="s">
        <v>5610</v>
      </c>
      <c r="G2166" s="712">
        <v>0</v>
      </c>
      <c r="H2166">
        <v>0</v>
      </c>
      <c r="I2166" s="713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</row>
    <row r="2167" spans="1:16">
      <c r="A2167">
        <v>4</v>
      </c>
      <c r="B2167" t="s">
        <v>12395</v>
      </c>
      <c r="C2167" t="s">
        <v>12405</v>
      </c>
      <c r="D2167" t="s">
        <v>12406</v>
      </c>
      <c r="E2167" t="s">
        <v>5681</v>
      </c>
      <c r="F2167" t="s">
        <v>5612</v>
      </c>
      <c r="G2167" s="712">
        <v>0</v>
      </c>
      <c r="H2167">
        <v>0</v>
      </c>
      <c r="I2167" s="713">
        <v>0</v>
      </c>
      <c r="J2167">
        <v>0</v>
      </c>
      <c r="K2167" s="711">
        <v>145175.62</v>
      </c>
      <c r="L2167">
        <v>0</v>
      </c>
      <c r="M2167">
        <v>0</v>
      </c>
      <c r="N2167">
        <v>0</v>
      </c>
      <c r="O2167" s="711">
        <v>145175.62</v>
      </c>
      <c r="P2167" s="711">
        <v>-145175.62</v>
      </c>
    </row>
    <row r="2168" spans="1:16">
      <c r="A2168">
        <v>4</v>
      </c>
      <c r="B2168" t="s">
        <v>12395</v>
      </c>
      <c r="C2168" t="s">
        <v>12405</v>
      </c>
      <c r="D2168" t="s">
        <v>12406</v>
      </c>
      <c r="E2168" t="s">
        <v>5683</v>
      </c>
      <c r="F2168" t="s">
        <v>5614</v>
      </c>
      <c r="G2168" s="712">
        <v>0</v>
      </c>
      <c r="H2168">
        <v>0</v>
      </c>
      <c r="I2168" s="713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</row>
    <row r="2169" spans="1:16">
      <c r="A2169">
        <v>4</v>
      </c>
      <c r="B2169" t="s">
        <v>12395</v>
      </c>
      <c r="C2169" t="s">
        <v>12405</v>
      </c>
      <c r="D2169" t="s">
        <v>12406</v>
      </c>
      <c r="E2169" t="s">
        <v>5684</v>
      </c>
      <c r="F2169" t="s">
        <v>5616</v>
      </c>
      <c r="G2169" s="712">
        <v>0</v>
      </c>
      <c r="H2169">
        <v>0</v>
      </c>
      <c r="I2169" s="713">
        <v>0</v>
      </c>
      <c r="J2169">
        <v>0</v>
      </c>
      <c r="K2169" s="711">
        <v>273242.69</v>
      </c>
      <c r="L2169">
        <v>0</v>
      </c>
      <c r="M2169">
        <v>0</v>
      </c>
      <c r="N2169">
        <v>0</v>
      </c>
      <c r="O2169" s="711">
        <v>273242.69</v>
      </c>
      <c r="P2169" s="711">
        <v>-273242.69</v>
      </c>
    </row>
    <row r="2170" spans="1:16">
      <c r="A2170">
        <v>4</v>
      </c>
      <c r="B2170" t="s">
        <v>12395</v>
      </c>
      <c r="C2170" t="s">
        <v>12405</v>
      </c>
      <c r="D2170" t="s">
        <v>12406</v>
      </c>
      <c r="E2170" t="s">
        <v>5685</v>
      </c>
      <c r="F2170" t="s">
        <v>5618</v>
      </c>
      <c r="G2170" s="712">
        <v>0</v>
      </c>
      <c r="H2170">
        <v>0</v>
      </c>
      <c r="I2170" s="713">
        <v>0</v>
      </c>
      <c r="J2170">
        <v>0</v>
      </c>
      <c r="K2170" s="711">
        <v>16082.64</v>
      </c>
      <c r="L2170">
        <v>0</v>
      </c>
      <c r="M2170">
        <v>0</v>
      </c>
      <c r="N2170">
        <v>0</v>
      </c>
      <c r="O2170" s="711">
        <v>16082.64</v>
      </c>
      <c r="P2170" s="711">
        <v>-16082.64</v>
      </c>
    </row>
    <row r="2171" spans="1:16">
      <c r="A2171">
        <v>4</v>
      </c>
      <c r="B2171" t="s">
        <v>12395</v>
      </c>
      <c r="C2171" t="s">
        <v>12405</v>
      </c>
      <c r="D2171" t="s">
        <v>12406</v>
      </c>
      <c r="E2171" t="s">
        <v>5686</v>
      </c>
      <c r="F2171" t="s">
        <v>5620</v>
      </c>
      <c r="G2171" s="712">
        <v>0</v>
      </c>
      <c r="H2171">
        <v>0</v>
      </c>
      <c r="I2171" s="713">
        <v>0</v>
      </c>
      <c r="J2171">
        <v>0</v>
      </c>
      <c r="K2171" s="711">
        <v>2194.9499999999998</v>
      </c>
      <c r="L2171">
        <v>0</v>
      </c>
      <c r="M2171">
        <v>0</v>
      </c>
      <c r="N2171">
        <v>0</v>
      </c>
      <c r="O2171" s="711">
        <v>2194.9499999999998</v>
      </c>
      <c r="P2171" s="711">
        <v>-2194.9499999999998</v>
      </c>
    </row>
    <row r="2172" spans="1:16">
      <c r="A2172">
        <v>4</v>
      </c>
      <c r="B2172" t="s">
        <v>12395</v>
      </c>
      <c r="C2172" t="s">
        <v>12405</v>
      </c>
      <c r="D2172" t="s">
        <v>12406</v>
      </c>
      <c r="E2172" t="s">
        <v>5687</v>
      </c>
      <c r="F2172" t="s">
        <v>5622</v>
      </c>
      <c r="G2172" s="712">
        <v>0</v>
      </c>
      <c r="H2172">
        <v>0</v>
      </c>
      <c r="I2172" s="713">
        <v>0</v>
      </c>
      <c r="J2172">
        <v>0</v>
      </c>
      <c r="K2172">
        <v>455.81</v>
      </c>
      <c r="L2172">
        <v>0</v>
      </c>
      <c r="M2172">
        <v>0</v>
      </c>
      <c r="N2172">
        <v>0</v>
      </c>
      <c r="O2172">
        <v>455.81</v>
      </c>
      <c r="P2172">
        <v>-455.81</v>
      </c>
    </row>
    <row r="2173" spans="1:16">
      <c r="A2173">
        <v>4</v>
      </c>
      <c r="B2173" t="s">
        <v>12395</v>
      </c>
      <c r="C2173" t="s">
        <v>12405</v>
      </c>
      <c r="D2173" t="s">
        <v>12406</v>
      </c>
      <c r="E2173" t="s">
        <v>5688</v>
      </c>
      <c r="F2173" t="s">
        <v>5624</v>
      </c>
      <c r="G2173" s="712">
        <v>0</v>
      </c>
      <c r="H2173">
        <v>0</v>
      </c>
      <c r="I2173" s="713">
        <v>0</v>
      </c>
      <c r="J2173">
        <v>0</v>
      </c>
      <c r="K2173">
        <v>797.38</v>
      </c>
      <c r="L2173">
        <v>0</v>
      </c>
      <c r="M2173">
        <v>0</v>
      </c>
      <c r="N2173">
        <v>0</v>
      </c>
      <c r="O2173">
        <v>797.38</v>
      </c>
      <c r="P2173">
        <v>-797.38</v>
      </c>
    </row>
    <row r="2174" spans="1:16">
      <c r="A2174">
        <v>4</v>
      </c>
      <c r="B2174" t="s">
        <v>12395</v>
      </c>
      <c r="C2174" t="s">
        <v>12405</v>
      </c>
      <c r="D2174" t="s">
        <v>12406</v>
      </c>
      <c r="E2174" t="s">
        <v>5689</v>
      </c>
      <c r="F2174" t="s">
        <v>5626</v>
      </c>
      <c r="G2174" s="712">
        <v>0</v>
      </c>
      <c r="H2174">
        <v>0</v>
      </c>
      <c r="I2174" s="713">
        <v>0</v>
      </c>
      <c r="J2174">
        <v>0</v>
      </c>
      <c r="K2174" s="711">
        <v>23798.03</v>
      </c>
      <c r="L2174">
        <v>0</v>
      </c>
      <c r="M2174">
        <v>0</v>
      </c>
      <c r="N2174">
        <v>0</v>
      </c>
      <c r="O2174" s="711">
        <v>23798.03</v>
      </c>
      <c r="P2174" s="711">
        <v>-23798.03</v>
      </c>
    </row>
    <row r="2175" spans="1:16">
      <c r="A2175">
        <v>4</v>
      </c>
      <c r="B2175" t="s">
        <v>12395</v>
      </c>
      <c r="C2175" t="s">
        <v>12405</v>
      </c>
      <c r="D2175" t="s">
        <v>12406</v>
      </c>
      <c r="E2175" t="s">
        <v>5690</v>
      </c>
      <c r="F2175" t="s">
        <v>5628</v>
      </c>
      <c r="G2175" s="712">
        <v>0</v>
      </c>
      <c r="H2175">
        <v>0</v>
      </c>
      <c r="I2175" s="713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</row>
    <row r="2176" spans="1:16">
      <c r="A2176">
        <v>4</v>
      </c>
      <c r="B2176" t="s">
        <v>12395</v>
      </c>
      <c r="C2176" t="s">
        <v>12405</v>
      </c>
      <c r="D2176" t="s">
        <v>12406</v>
      </c>
      <c r="E2176" t="s">
        <v>5691</v>
      </c>
      <c r="F2176" t="s">
        <v>5630</v>
      </c>
      <c r="G2176" s="712">
        <v>0</v>
      </c>
      <c r="H2176">
        <v>0</v>
      </c>
      <c r="I2176" s="713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</row>
    <row r="2177" spans="1:16">
      <c r="A2177">
        <v>4</v>
      </c>
      <c r="B2177" t="s">
        <v>12395</v>
      </c>
      <c r="C2177" t="s">
        <v>12405</v>
      </c>
      <c r="D2177" t="s">
        <v>12406</v>
      </c>
      <c r="E2177" t="s">
        <v>5692</v>
      </c>
      <c r="F2177" t="s">
        <v>5632</v>
      </c>
      <c r="G2177" s="712">
        <v>0</v>
      </c>
      <c r="H2177">
        <v>0</v>
      </c>
      <c r="I2177" s="713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</row>
    <row r="2178" spans="1:16">
      <c r="A2178">
        <v>4</v>
      </c>
      <c r="B2178" t="s">
        <v>12395</v>
      </c>
      <c r="C2178" t="s">
        <v>12405</v>
      </c>
      <c r="D2178" t="s">
        <v>12406</v>
      </c>
      <c r="E2178" t="s">
        <v>5693</v>
      </c>
      <c r="F2178" t="s">
        <v>5634</v>
      </c>
      <c r="G2178" s="712">
        <v>0</v>
      </c>
      <c r="H2178">
        <v>0</v>
      </c>
      <c r="I2178" s="713">
        <v>0</v>
      </c>
      <c r="J2178">
        <v>0</v>
      </c>
      <c r="K2178" s="711">
        <v>47939.95</v>
      </c>
      <c r="L2178">
        <v>0</v>
      </c>
      <c r="M2178">
        <v>0</v>
      </c>
      <c r="N2178">
        <v>0</v>
      </c>
      <c r="O2178" s="711">
        <v>47939.95</v>
      </c>
      <c r="P2178" s="711">
        <v>-47939.95</v>
      </c>
    </row>
    <row r="2179" spans="1:16" ht="15.75" thickBot="1">
      <c r="A2179">
        <v>4</v>
      </c>
      <c r="B2179" t="s">
        <v>12395</v>
      </c>
      <c r="C2179" t="s">
        <v>12405</v>
      </c>
      <c r="D2179" t="s">
        <v>12406</v>
      </c>
      <c r="E2179" t="s">
        <v>5694</v>
      </c>
      <c r="F2179" t="s">
        <v>5636</v>
      </c>
      <c r="G2179" s="712">
        <v>0</v>
      </c>
      <c r="H2179">
        <v>0</v>
      </c>
      <c r="I2179" s="713">
        <v>0</v>
      </c>
      <c r="J2179">
        <v>0</v>
      </c>
      <c r="K2179">
        <v>652.1</v>
      </c>
      <c r="L2179">
        <v>0</v>
      </c>
      <c r="M2179">
        <v>0</v>
      </c>
      <c r="N2179">
        <v>0</v>
      </c>
      <c r="O2179">
        <v>652.1</v>
      </c>
      <c r="P2179">
        <v>-652.1</v>
      </c>
    </row>
    <row r="2180" spans="1:16" ht="15.75" thickBot="1">
      <c r="A2180" s="727">
        <v>4</v>
      </c>
      <c r="B2180" s="727" t="s">
        <v>12395</v>
      </c>
      <c r="C2180" s="727" t="s">
        <v>12407</v>
      </c>
      <c r="D2180" s="727"/>
      <c r="E2180" s="727"/>
      <c r="F2180" s="745" t="s">
        <v>5700</v>
      </c>
      <c r="G2180" s="738">
        <v>0</v>
      </c>
      <c r="H2180" s="738">
        <v>0</v>
      </c>
      <c r="I2180" s="738">
        <v>0</v>
      </c>
      <c r="J2180" s="738">
        <v>0</v>
      </c>
      <c r="K2180" s="738">
        <v>0</v>
      </c>
      <c r="L2180" s="738">
        <v>0</v>
      </c>
      <c r="M2180" s="738">
        <v>0</v>
      </c>
      <c r="N2180" s="738">
        <v>0</v>
      </c>
      <c r="O2180" s="738">
        <v>0</v>
      </c>
      <c r="P2180" s="738">
        <v>0</v>
      </c>
    </row>
    <row r="2181" spans="1:16" ht="15.75" thickBot="1">
      <c r="A2181" s="727">
        <v>4</v>
      </c>
      <c r="B2181" s="727" t="s">
        <v>12395</v>
      </c>
      <c r="C2181" s="727" t="s">
        <v>12407</v>
      </c>
      <c r="D2181" s="727" t="s">
        <v>12408</v>
      </c>
      <c r="E2181" s="727"/>
      <c r="F2181" s="729" t="s">
        <v>5700</v>
      </c>
      <c r="G2181" s="738">
        <v>0</v>
      </c>
      <c r="H2181" s="738">
        <v>0</v>
      </c>
      <c r="I2181" s="738">
        <v>0</v>
      </c>
      <c r="J2181" s="738">
        <v>0</v>
      </c>
      <c r="K2181" s="738">
        <v>0</v>
      </c>
      <c r="L2181" s="738">
        <v>0</v>
      </c>
      <c r="M2181" s="738">
        <v>0</v>
      </c>
      <c r="N2181" s="738">
        <v>0</v>
      </c>
      <c r="O2181" s="738">
        <v>0</v>
      </c>
      <c r="P2181" s="738">
        <v>0</v>
      </c>
    </row>
    <row r="2182" spans="1:16">
      <c r="A2182">
        <v>4</v>
      </c>
      <c r="B2182" t="s">
        <v>12395</v>
      </c>
      <c r="C2182" t="s">
        <v>12407</v>
      </c>
      <c r="D2182" t="s">
        <v>12408</v>
      </c>
      <c r="E2182" t="s">
        <v>5699</v>
      </c>
      <c r="F2182" t="s">
        <v>5700</v>
      </c>
      <c r="G2182" s="712">
        <v>0</v>
      </c>
      <c r="H2182">
        <v>0</v>
      </c>
      <c r="I2182" s="713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</row>
    <row r="2183" spans="1:16" ht="15.75" thickBot="1">
      <c r="A2183">
        <v>4</v>
      </c>
      <c r="B2183" t="s">
        <v>12395</v>
      </c>
      <c r="C2183" t="s">
        <v>12407</v>
      </c>
      <c r="D2183" t="s">
        <v>12408</v>
      </c>
      <c r="E2183" t="s">
        <v>5701</v>
      </c>
      <c r="F2183" t="s">
        <v>5588</v>
      </c>
      <c r="G2183" s="712">
        <v>0</v>
      </c>
      <c r="H2183">
        <v>0</v>
      </c>
      <c r="I2183" s="71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</row>
    <row r="2184" spans="1:16" ht="15.75" thickBot="1">
      <c r="A2184" s="727">
        <v>4</v>
      </c>
      <c r="B2184" s="727" t="s">
        <v>12395</v>
      </c>
      <c r="C2184" s="727" t="s">
        <v>12409</v>
      </c>
      <c r="D2184" s="727"/>
      <c r="E2184" s="727"/>
      <c r="F2184" s="745" t="s">
        <v>5708</v>
      </c>
      <c r="G2184" s="738">
        <v>0</v>
      </c>
      <c r="H2184" s="738">
        <v>0</v>
      </c>
      <c r="I2184" s="738">
        <v>0</v>
      </c>
      <c r="J2184" s="738">
        <v>0</v>
      </c>
      <c r="K2184" s="739">
        <v>4190121.28</v>
      </c>
      <c r="L2184" s="738">
        <v>0</v>
      </c>
      <c r="M2184" s="738">
        <v>0</v>
      </c>
      <c r="N2184" s="738">
        <v>0</v>
      </c>
      <c r="O2184" s="739">
        <v>4190121.28</v>
      </c>
      <c r="P2184" s="739">
        <v>-4190121.28</v>
      </c>
    </row>
    <row r="2185" spans="1:16" ht="15.75" thickBot="1">
      <c r="A2185" s="727">
        <v>4</v>
      </c>
      <c r="B2185" s="727" t="s">
        <v>12395</v>
      </c>
      <c r="C2185" s="727" t="s">
        <v>12409</v>
      </c>
      <c r="D2185" s="727" t="s">
        <v>12410</v>
      </c>
      <c r="E2185" s="727"/>
      <c r="F2185" s="729" t="s">
        <v>5708</v>
      </c>
      <c r="G2185" s="738">
        <v>0</v>
      </c>
      <c r="H2185" s="738">
        <v>0</v>
      </c>
      <c r="I2185" s="738">
        <v>0</v>
      </c>
      <c r="J2185" s="738">
        <v>0</v>
      </c>
      <c r="K2185" s="739">
        <v>4190121.28</v>
      </c>
      <c r="L2185" s="738">
        <v>0</v>
      </c>
      <c r="M2185" s="738">
        <v>0</v>
      </c>
      <c r="N2185" s="738">
        <v>0</v>
      </c>
      <c r="O2185" s="739">
        <v>4190121.28</v>
      </c>
      <c r="P2185" s="739">
        <v>-4190121.28</v>
      </c>
    </row>
    <row r="2186" spans="1:16">
      <c r="A2186">
        <v>4</v>
      </c>
      <c r="B2186" t="s">
        <v>12395</v>
      </c>
      <c r="C2186" t="s">
        <v>12409</v>
      </c>
      <c r="D2186" t="s">
        <v>12410</v>
      </c>
      <c r="E2186" t="s">
        <v>5707</v>
      </c>
      <c r="F2186" t="s">
        <v>5708</v>
      </c>
      <c r="G2186" s="712">
        <v>0</v>
      </c>
      <c r="H2186">
        <v>0</v>
      </c>
      <c r="I2186" s="713">
        <v>0</v>
      </c>
      <c r="J2186">
        <v>0</v>
      </c>
      <c r="K2186" s="711">
        <v>4190121.28</v>
      </c>
      <c r="L2186">
        <v>0</v>
      </c>
      <c r="M2186">
        <v>0</v>
      </c>
      <c r="N2186">
        <v>0</v>
      </c>
      <c r="O2186" s="711">
        <v>4190121.28</v>
      </c>
      <c r="P2186" s="711">
        <v>-4190121.28</v>
      </c>
    </row>
    <row r="2187" spans="1:16">
      <c r="A2187">
        <v>4</v>
      </c>
      <c r="B2187" t="s">
        <v>12395</v>
      </c>
      <c r="C2187" t="s">
        <v>12409</v>
      </c>
      <c r="D2187" t="s">
        <v>12410</v>
      </c>
      <c r="E2187" t="s">
        <v>5710</v>
      </c>
      <c r="F2187" t="s">
        <v>5711</v>
      </c>
      <c r="G2187" s="712">
        <v>0</v>
      </c>
      <c r="H2187">
        <v>0</v>
      </c>
      <c r="I2187" s="713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</row>
    <row r="2188" spans="1:16">
      <c r="A2188">
        <v>4</v>
      </c>
      <c r="B2188" t="s">
        <v>12395</v>
      </c>
      <c r="C2188" t="s">
        <v>12409</v>
      </c>
      <c r="D2188" t="s">
        <v>12410</v>
      </c>
      <c r="E2188" t="s">
        <v>5712</v>
      </c>
      <c r="F2188" t="s">
        <v>5713</v>
      </c>
      <c r="G2188" s="712">
        <v>0</v>
      </c>
      <c r="H2188">
        <v>0</v>
      </c>
      <c r="I2188" s="713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</row>
    <row r="2189" spans="1:16">
      <c r="A2189">
        <v>4</v>
      </c>
      <c r="B2189" t="s">
        <v>12395</v>
      </c>
      <c r="C2189" t="s">
        <v>12409</v>
      </c>
      <c r="D2189" t="s">
        <v>12410</v>
      </c>
      <c r="E2189" t="s">
        <v>5714</v>
      </c>
      <c r="F2189" t="s">
        <v>5715</v>
      </c>
      <c r="G2189" s="712">
        <v>0</v>
      </c>
      <c r="H2189">
        <v>0</v>
      </c>
      <c r="I2189" s="713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</row>
    <row r="2190" spans="1:16">
      <c r="A2190">
        <v>4</v>
      </c>
      <c r="B2190" t="s">
        <v>12395</v>
      </c>
      <c r="C2190" t="s">
        <v>12409</v>
      </c>
      <c r="D2190" t="s">
        <v>12410</v>
      </c>
      <c r="E2190" t="s">
        <v>5716</v>
      </c>
      <c r="F2190" t="s">
        <v>5717</v>
      </c>
      <c r="G2190" s="712">
        <v>0</v>
      </c>
      <c r="H2190">
        <v>0</v>
      </c>
      <c r="I2190" s="713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</row>
    <row r="2191" spans="1:16">
      <c r="A2191">
        <v>4</v>
      </c>
      <c r="B2191" t="s">
        <v>12395</v>
      </c>
      <c r="C2191" t="s">
        <v>12409</v>
      </c>
      <c r="D2191" t="s">
        <v>12410</v>
      </c>
      <c r="E2191" t="s">
        <v>5718</v>
      </c>
      <c r="F2191" t="s">
        <v>5719</v>
      </c>
      <c r="G2191" s="712">
        <v>0</v>
      </c>
      <c r="H2191">
        <v>0</v>
      </c>
      <c r="I2191" s="713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</row>
    <row r="2192" spans="1:16">
      <c r="A2192">
        <v>4</v>
      </c>
      <c r="B2192" t="s">
        <v>12395</v>
      </c>
      <c r="C2192" t="s">
        <v>12409</v>
      </c>
      <c r="D2192" t="s">
        <v>12410</v>
      </c>
      <c r="E2192" t="s">
        <v>5720</v>
      </c>
      <c r="F2192" t="s">
        <v>5721</v>
      </c>
      <c r="G2192" s="712">
        <v>0</v>
      </c>
      <c r="H2192">
        <v>0</v>
      </c>
      <c r="I2192" s="713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</row>
    <row r="2193" spans="1:16">
      <c r="A2193">
        <v>4</v>
      </c>
      <c r="B2193" t="s">
        <v>12395</v>
      </c>
      <c r="C2193" t="s">
        <v>12409</v>
      </c>
      <c r="D2193" t="s">
        <v>12410</v>
      </c>
      <c r="E2193" t="s">
        <v>5722</v>
      </c>
      <c r="F2193" t="s">
        <v>5723</v>
      </c>
      <c r="G2193" s="712">
        <v>0</v>
      </c>
      <c r="H2193">
        <v>0</v>
      </c>
      <c r="I2193" s="71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</row>
    <row r="2194" spans="1:16">
      <c r="A2194">
        <v>4</v>
      </c>
      <c r="B2194" t="s">
        <v>12395</v>
      </c>
      <c r="C2194" t="s">
        <v>12409</v>
      </c>
      <c r="D2194" t="s">
        <v>12410</v>
      </c>
      <c r="E2194" t="s">
        <v>5724</v>
      </c>
      <c r="F2194" t="s">
        <v>5725</v>
      </c>
      <c r="G2194" s="712">
        <v>0</v>
      </c>
      <c r="H2194">
        <v>0</v>
      </c>
      <c r="I2194" s="713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</row>
    <row r="2195" spans="1:16">
      <c r="A2195">
        <v>4</v>
      </c>
      <c r="B2195" t="s">
        <v>12395</v>
      </c>
      <c r="C2195" t="s">
        <v>12409</v>
      </c>
      <c r="D2195" t="s">
        <v>12410</v>
      </c>
      <c r="E2195" t="s">
        <v>5726</v>
      </c>
      <c r="F2195" t="s">
        <v>5727</v>
      </c>
      <c r="G2195" s="712">
        <v>0</v>
      </c>
      <c r="H2195">
        <v>0</v>
      </c>
      <c r="I2195" s="713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</row>
    <row r="2196" spans="1:16">
      <c r="A2196">
        <v>4</v>
      </c>
      <c r="B2196" t="s">
        <v>12395</v>
      </c>
      <c r="C2196" t="s">
        <v>12409</v>
      </c>
      <c r="D2196" t="s">
        <v>12410</v>
      </c>
      <c r="E2196" t="s">
        <v>5728</v>
      </c>
      <c r="F2196" t="s">
        <v>5729</v>
      </c>
      <c r="G2196" s="712">
        <v>0</v>
      </c>
      <c r="H2196">
        <v>0</v>
      </c>
      <c r="I2196" s="713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</row>
    <row r="2197" spans="1:16">
      <c r="A2197">
        <v>4</v>
      </c>
      <c r="B2197" t="s">
        <v>12395</v>
      </c>
      <c r="C2197" t="s">
        <v>12409</v>
      </c>
      <c r="D2197" t="s">
        <v>12410</v>
      </c>
      <c r="E2197" t="s">
        <v>5730</v>
      </c>
      <c r="F2197" t="s">
        <v>5731</v>
      </c>
      <c r="G2197" s="712">
        <v>0</v>
      </c>
      <c r="H2197">
        <v>0</v>
      </c>
      <c r="I2197" s="713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</row>
    <row r="2198" spans="1:16">
      <c r="A2198">
        <v>4</v>
      </c>
      <c r="B2198" t="s">
        <v>12395</v>
      </c>
      <c r="C2198" t="s">
        <v>12409</v>
      </c>
      <c r="D2198" t="s">
        <v>12410</v>
      </c>
      <c r="E2198" t="s">
        <v>5732</v>
      </c>
      <c r="F2198" t="s">
        <v>5733</v>
      </c>
      <c r="G2198" s="712">
        <v>0</v>
      </c>
      <c r="H2198">
        <v>0</v>
      </c>
      <c r="I2198" s="713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</row>
    <row r="2199" spans="1:16">
      <c r="A2199">
        <v>4</v>
      </c>
      <c r="B2199" t="s">
        <v>12395</v>
      </c>
      <c r="C2199" t="s">
        <v>12409</v>
      </c>
      <c r="D2199" t="s">
        <v>12410</v>
      </c>
      <c r="E2199" t="s">
        <v>5734</v>
      </c>
      <c r="F2199" t="s">
        <v>5735</v>
      </c>
      <c r="G2199" s="712">
        <v>0</v>
      </c>
      <c r="H2199">
        <v>0</v>
      </c>
      <c r="I2199" s="713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</row>
    <row r="2200" spans="1:16">
      <c r="A2200">
        <v>4</v>
      </c>
      <c r="B2200" t="s">
        <v>12395</v>
      </c>
      <c r="C2200" t="s">
        <v>12409</v>
      </c>
      <c r="D2200" t="s">
        <v>12410</v>
      </c>
      <c r="E2200" t="s">
        <v>5736</v>
      </c>
      <c r="F2200" t="s">
        <v>5737</v>
      </c>
      <c r="G2200" s="712">
        <v>0</v>
      </c>
      <c r="H2200">
        <v>0</v>
      </c>
      <c r="I2200" s="713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</row>
    <row r="2201" spans="1:16">
      <c r="A2201">
        <v>4</v>
      </c>
      <c r="B2201" t="s">
        <v>12395</v>
      </c>
      <c r="C2201" t="s">
        <v>12409</v>
      </c>
      <c r="D2201" t="s">
        <v>12410</v>
      </c>
      <c r="E2201" t="s">
        <v>5738</v>
      </c>
      <c r="F2201" t="s">
        <v>5739</v>
      </c>
      <c r="G2201" s="712">
        <v>0</v>
      </c>
      <c r="H2201">
        <v>0</v>
      </c>
      <c r="I2201" s="713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</row>
    <row r="2202" spans="1:16">
      <c r="A2202">
        <v>4</v>
      </c>
      <c r="B2202" t="s">
        <v>12395</v>
      </c>
      <c r="C2202" t="s">
        <v>12409</v>
      </c>
      <c r="D2202" t="s">
        <v>12410</v>
      </c>
      <c r="E2202" t="s">
        <v>5740</v>
      </c>
      <c r="F2202" t="s">
        <v>5741</v>
      </c>
      <c r="G2202" s="712">
        <v>0</v>
      </c>
      <c r="H2202">
        <v>0</v>
      </c>
      <c r="I2202" s="713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</row>
    <row r="2203" spans="1:16" ht="15.75" thickBot="1">
      <c r="A2203">
        <v>4</v>
      </c>
      <c r="B2203" t="s">
        <v>12395</v>
      </c>
      <c r="C2203" t="s">
        <v>12409</v>
      </c>
      <c r="D2203" t="s">
        <v>12410</v>
      </c>
      <c r="E2203" t="s">
        <v>5742</v>
      </c>
      <c r="F2203" t="s">
        <v>5743</v>
      </c>
      <c r="G2203" s="712">
        <v>0</v>
      </c>
      <c r="H2203">
        <v>0</v>
      </c>
      <c r="I2203" s="71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</row>
    <row r="2204" spans="1:16" ht="15.75" thickBot="1">
      <c r="A2204" s="727">
        <v>4</v>
      </c>
      <c r="B2204" s="727" t="s">
        <v>12395</v>
      </c>
      <c r="C2204" s="727" t="s">
        <v>12411</v>
      </c>
      <c r="D2204" s="727"/>
      <c r="E2204" s="727"/>
      <c r="F2204" s="745" t="s">
        <v>5749</v>
      </c>
      <c r="G2204" s="738">
        <v>0</v>
      </c>
      <c r="H2204" s="738">
        <v>0</v>
      </c>
      <c r="I2204" s="738">
        <v>0</v>
      </c>
      <c r="J2204" s="738">
        <v>0</v>
      </c>
      <c r="K2204" s="738">
        <v>0</v>
      </c>
      <c r="L2204" s="738">
        <v>0</v>
      </c>
      <c r="M2204" s="738">
        <v>0</v>
      </c>
      <c r="N2204" s="738">
        <v>0</v>
      </c>
      <c r="O2204" s="738">
        <v>0</v>
      </c>
      <c r="P2204" s="738">
        <v>0</v>
      </c>
    </row>
    <row r="2205" spans="1:16" ht="15.75" thickBot="1">
      <c r="A2205" s="727">
        <v>4</v>
      </c>
      <c r="B2205" s="727" t="s">
        <v>12395</v>
      </c>
      <c r="C2205" s="727" t="s">
        <v>12411</v>
      </c>
      <c r="D2205" s="727" t="s">
        <v>12412</v>
      </c>
      <c r="E2205" s="727"/>
      <c r="F2205" s="729" t="s">
        <v>5749</v>
      </c>
      <c r="G2205" s="738">
        <v>0</v>
      </c>
      <c r="H2205" s="738">
        <v>0</v>
      </c>
      <c r="I2205" s="738">
        <v>0</v>
      </c>
      <c r="J2205" s="738">
        <v>0</v>
      </c>
      <c r="K2205" s="738">
        <v>0</v>
      </c>
      <c r="L2205" s="738">
        <v>0</v>
      </c>
      <c r="M2205" s="738">
        <v>0</v>
      </c>
      <c r="N2205" s="738">
        <v>0</v>
      </c>
      <c r="O2205" s="738">
        <v>0</v>
      </c>
      <c r="P2205" s="738">
        <v>0</v>
      </c>
    </row>
    <row r="2206" spans="1:16" ht="15.75" thickBot="1">
      <c r="A2206">
        <v>4</v>
      </c>
      <c r="B2206" t="s">
        <v>12395</v>
      </c>
      <c r="C2206" t="s">
        <v>12411</v>
      </c>
      <c r="D2206" t="s">
        <v>12412</v>
      </c>
      <c r="E2206" t="s">
        <v>5748</v>
      </c>
      <c r="F2206" t="s">
        <v>5749</v>
      </c>
      <c r="G2206" s="712">
        <v>0</v>
      </c>
      <c r="H2206">
        <v>0</v>
      </c>
      <c r="I2206" s="713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</row>
    <row r="2207" spans="1:16" ht="15.75" thickBot="1">
      <c r="A2207" s="727">
        <v>4</v>
      </c>
      <c r="B2207" s="727" t="s">
        <v>12395</v>
      </c>
      <c r="C2207" s="727" t="s">
        <v>12413</v>
      </c>
      <c r="D2207" s="727"/>
      <c r="E2207" s="727"/>
      <c r="F2207" s="745" t="s">
        <v>5755</v>
      </c>
      <c r="G2207" s="738">
        <v>0</v>
      </c>
      <c r="H2207" s="738">
        <v>0</v>
      </c>
      <c r="I2207" s="738">
        <v>0</v>
      </c>
      <c r="J2207" s="738">
        <v>0</v>
      </c>
      <c r="K2207" s="738">
        <v>0</v>
      </c>
      <c r="L2207" s="738">
        <v>0</v>
      </c>
      <c r="M2207" s="738">
        <v>0</v>
      </c>
      <c r="N2207" s="738">
        <v>0</v>
      </c>
      <c r="O2207" s="738">
        <v>0</v>
      </c>
      <c r="P2207" s="738">
        <v>0</v>
      </c>
    </row>
    <row r="2208" spans="1:16" ht="15.75" thickBot="1">
      <c r="A2208" s="727">
        <v>4</v>
      </c>
      <c r="B2208" s="727" t="s">
        <v>12395</v>
      </c>
      <c r="C2208" s="727" t="s">
        <v>12413</v>
      </c>
      <c r="D2208" s="727" t="s">
        <v>12414</v>
      </c>
      <c r="E2208" s="727"/>
      <c r="F2208" s="729" t="s">
        <v>5755</v>
      </c>
      <c r="G2208" s="738">
        <v>0</v>
      </c>
      <c r="H2208" s="738">
        <v>0</v>
      </c>
      <c r="I2208" s="738">
        <v>0</v>
      </c>
      <c r="J2208" s="738">
        <v>0</v>
      </c>
      <c r="K2208" s="738">
        <v>0</v>
      </c>
      <c r="L2208" s="738">
        <v>0</v>
      </c>
      <c r="M2208" s="738">
        <v>0</v>
      </c>
      <c r="N2208" s="738">
        <v>0</v>
      </c>
      <c r="O2208" s="738">
        <v>0</v>
      </c>
      <c r="P2208" s="738">
        <v>0</v>
      </c>
    </row>
    <row r="2209" spans="1:16" ht="15.75" thickBot="1">
      <c r="A2209">
        <v>4</v>
      </c>
      <c r="B2209" t="s">
        <v>12395</v>
      </c>
      <c r="C2209" t="s">
        <v>12413</v>
      </c>
      <c r="D2209" t="s">
        <v>12414</v>
      </c>
      <c r="E2209" t="s">
        <v>5754</v>
      </c>
      <c r="F2209" t="s">
        <v>5755</v>
      </c>
      <c r="G2209" s="712">
        <v>0</v>
      </c>
      <c r="H2209">
        <v>0</v>
      </c>
      <c r="I2209" s="713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</row>
    <row r="2210" spans="1:16" ht="15.75" thickBot="1">
      <c r="A2210" s="727">
        <v>4</v>
      </c>
      <c r="B2210" s="727" t="s">
        <v>12415</v>
      </c>
      <c r="C2210" s="727"/>
      <c r="D2210" s="727"/>
      <c r="E2210" s="727"/>
      <c r="F2210" s="745" t="s">
        <v>12416</v>
      </c>
      <c r="G2210" s="738">
        <v>0</v>
      </c>
      <c r="H2210" s="738">
        <v>0</v>
      </c>
      <c r="I2210" s="738">
        <v>0</v>
      </c>
      <c r="J2210" s="738">
        <v>0</v>
      </c>
      <c r="K2210" s="738">
        <v>0</v>
      </c>
      <c r="L2210" s="738">
        <v>0</v>
      </c>
      <c r="M2210" s="738">
        <v>0</v>
      </c>
      <c r="N2210" s="738">
        <v>0</v>
      </c>
      <c r="O2210" s="738">
        <v>0</v>
      </c>
      <c r="P2210" s="738">
        <v>0</v>
      </c>
    </row>
    <row r="2211" spans="1:16" ht="15.75" thickBot="1">
      <c r="A2211" s="727">
        <v>4</v>
      </c>
      <c r="B2211" s="727" t="s">
        <v>12415</v>
      </c>
      <c r="C2211" s="727" t="s">
        <v>12417</v>
      </c>
      <c r="D2211" s="727"/>
      <c r="E2211" s="727"/>
      <c r="F2211" s="745" t="s">
        <v>12416</v>
      </c>
      <c r="G2211" s="738">
        <v>0</v>
      </c>
      <c r="H2211" s="738">
        <v>0</v>
      </c>
      <c r="I2211" s="738">
        <v>0</v>
      </c>
      <c r="J2211" s="738">
        <v>0</v>
      </c>
      <c r="K2211" s="738">
        <v>0</v>
      </c>
      <c r="L2211" s="738">
        <v>0</v>
      </c>
      <c r="M2211" s="738">
        <v>0</v>
      </c>
      <c r="N2211" s="738">
        <v>0</v>
      </c>
      <c r="O2211" s="738">
        <v>0</v>
      </c>
      <c r="P2211" s="738">
        <v>0</v>
      </c>
    </row>
    <row r="2212" spans="1:16" ht="15.75" thickBot="1">
      <c r="A2212" s="727">
        <v>4</v>
      </c>
      <c r="B2212" s="727" t="s">
        <v>12415</v>
      </c>
      <c r="C2212" s="727" t="s">
        <v>12417</v>
      </c>
      <c r="D2212" s="727" t="s">
        <v>12418</v>
      </c>
      <c r="E2212" s="727"/>
      <c r="F2212" s="729" t="s">
        <v>12416</v>
      </c>
      <c r="G2212" s="738">
        <v>0</v>
      </c>
      <c r="H2212" s="738">
        <v>0</v>
      </c>
      <c r="I2212" s="738">
        <v>0</v>
      </c>
      <c r="J2212" s="738">
        <v>0</v>
      </c>
      <c r="K2212" s="738">
        <v>0</v>
      </c>
      <c r="L2212" s="738">
        <v>0</v>
      </c>
      <c r="M2212" s="738">
        <v>0</v>
      </c>
      <c r="N2212" s="738">
        <v>0</v>
      </c>
      <c r="O2212" s="738">
        <v>0</v>
      </c>
      <c r="P2212" s="738">
        <v>0</v>
      </c>
    </row>
    <row r="2213" spans="1:16" ht="15.75" thickBot="1">
      <c r="A2213">
        <v>4</v>
      </c>
      <c r="B2213" t="s">
        <v>12415</v>
      </c>
      <c r="C2213" t="s">
        <v>12417</v>
      </c>
      <c r="D2213" t="s">
        <v>12418</v>
      </c>
      <c r="E2213" t="s">
        <v>5760</v>
      </c>
      <c r="F2213" t="s">
        <v>5761</v>
      </c>
      <c r="G2213" s="712">
        <v>0</v>
      </c>
      <c r="H2213">
        <v>0</v>
      </c>
      <c r="I2213" s="7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</row>
    <row r="2214" spans="1:16" ht="15.75" thickBot="1">
      <c r="A2214" s="727">
        <v>4</v>
      </c>
      <c r="B2214" s="727" t="s">
        <v>12419</v>
      </c>
      <c r="C2214" s="727"/>
      <c r="D2214" s="727"/>
      <c r="E2214" s="727"/>
      <c r="F2214" s="745" t="s">
        <v>12420</v>
      </c>
      <c r="G2214" s="738">
        <v>0</v>
      </c>
      <c r="H2214" s="738">
        <v>0</v>
      </c>
      <c r="I2214" s="738">
        <v>0</v>
      </c>
      <c r="J2214" s="739">
        <v>560683.46</v>
      </c>
      <c r="K2214" s="739">
        <v>1214108.73</v>
      </c>
      <c r="L2214" s="738">
        <v>0</v>
      </c>
      <c r="M2214" s="738">
        <v>0</v>
      </c>
      <c r="N2214" s="739">
        <v>560683.46</v>
      </c>
      <c r="O2214" s="739">
        <v>1214108.73</v>
      </c>
      <c r="P2214" s="739">
        <v>-653425.27</v>
      </c>
    </row>
    <row r="2215" spans="1:16" ht="15.75" thickBot="1">
      <c r="A2215" s="727">
        <v>4</v>
      </c>
      <c r="B2215" s="727" t="s">
        <v>12419</v>
      </c>
      <c r="C2215" s="727" t="s">
        <v>12421</v>
      </c>
      <c r="D2215" s="727"/>
      <c r="E2215" s="727"/>
      <c r="F2215" s="745" t="s">
        <v>12422</v>
      </c>
      <c r="G2215" s="738">
        <v>0</v>
      </c>
      <c r="H2215" s="738">
        <v>0</v>
      </c>
      <c r="I2215" s="738">
        <v>0</v>
      </c>
      <c r="J2215" s="739">
        <v>14500</v>
      </c>
      <c r="K2215" s="739">
        <v>325996</v>
      </c>
      <c r="L2215" s="738">
        <v>0</v>
      </c>
      <c r="M2215" s="738">
        <v>0</v>
      </c>
      <c r="N2215" s="739">
        <v>14500</v>
      </c>
      <c r="O2215" s="739">
        <v>325996</v>
      </c>
      <c r="P2215" s="739">
        <v>-311496</v>
      </c>
    </row>
    <row r="2216" spans="1:16" ht="15.75" thickBot="1">
      <c r="A2216" s="727">
        <v>4</v>
      </c>
      <c r="B2216" s="727" t="s">
        <v>12419</v>
      </c>
      <c r="C2216" s="727" t="s">
        <v>12421</v>
      </c>
      <c r="D2216" s="727" t="s">
        <v>12423</v>
      </c>
      <c r="E2216" s="727"/>
      <c r="F2216" s="729" t="s">
        <v>12422</v>
      </c>
      <c r="G2216" s="738">
        <v>0</v>
      </c>
      <c r="H2216" s="738">
        <v>0</v>
      </c>
      <c r="I2216" s="738">
        <v>0</v>
      </c>
      <c r="J2216" s="739">
        <v>14500</v>
      </c>
      <c r="K2216" s="739">
        <v>325996</v>
      </c>
      <c r="L2216" s="738">
        <v>0</v>
      </c>
      <c r="M2216" s="738">
        <v>0</v>
      </c>
      <c r="N2216" s="739">
        <v>14500</v>
      </c>
      <c r="O2216" s="739">
        <v>325996</v>
      </c>
      <c r="P2216" s="739">
        <v>-311496</v>
      </c>
    </row>
    <row r="2217" spans="1:16">
      <c r="A2217">
        <v>4</v>
      </c>
      <c r="B2217" t="s">
        <v>12419</v>
      </c>
      <c r="C2217" t="s">
        <v>12421</v>
      </c>
      <c r="D2217" t="s">
        <v>12423</v>
      </c>
      <c r="E2217" t="s">
        <v>5772</v>
      </c>
      <c r="F2217" t="s">
        <v>5773</v>
      </c>
      <c r="G2217" s="712">
        <v>0</v>
      </c>
      <c r="H2217">
        <v>0</v>
      </c>
      <c r="I2217" s="713">
        <v>0</v>
      </c>
      <c r="J2217" s="711">
        <v>2000</v>
      </c>
      <c r="K2217" s="711">
        <v>6000</v>
      </c>
      <c r="L2217">
        <v>0</v>
      </c>
      <c r="M2217">
        <v>0</v>
      </c>
      <c r="N2217" s="711">
        <v>2000</v>
      </c>
      <c r="O2217" s="711">
        <v>6000</v>
      </c>
      <c r="P2217" s="711">
        <v>-4000</v>
      </c>
    </row>
    <row r="2218" spans="1:16">
      <c r="A2218">
        <v>4</v>
      </c>
      <c r="B2218" t="s">
        <v>12419</v>
      </c>
      <c r="C2218" t="s">
        <v>12421</v>
      </c>
      <c r="D2218" t="s">
        <v>12423</v>
      </c>
      <c r="E2218" t="s">
        <v>5775</v>
      </c>
      <c r="F2218" t="s">
        <v>5776</v>
      </c>
      <c r="G2218" s="712">
        <v>0</v>
      </c>
      <c r="H2218">
        <v>0</v>
      </c>
      <c r="I2218" s="713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</row>
    <row r="2219" spans="1:16">
      <c r="A2219">
        <v>4</v>
      </c>
      <c r="B2219" t="s">
        <v>12419</v>
      </c>
      <c r="C2219" t="s">
        <v>12421</v>
      </c>
      <c r="D2219" t="s">
        <v>12423</v>
      </c>
      <c r="E2219" t="s">
        <v>5778</v>
      </c>
      <c r="F2219" t="s">
        <v>5779</v>
      </c>
      <c r="G2219" s="712">
        <v>0</v>
      </c>
      <c r="H2219">
        <v>0</v>
      </c>
      <c r="I2219" s="713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</row>
    <row r="2220" spans="1:16">
      <c r="A2220">
        <v>4</v>
      </c>
      <c r="B2220" t="s">
        <v>12419</v>
      </c>
      <c r="C2220" t="s">
        <v>12421</v>
      </c>
      <c r="D2220" t="s">
        <v>12423</v>
      </c>
      <c r="E2220" t="s">
        <v>5782</v>
      </c>
      <c r="F2220" t="s">
        <v>5783</v>
      </c>
      <c r="G2220" s="712">
        <v>0</v>
      </c>
      <c r="H2220">
        <v>0</v>
      </c>
      <c r="I2220" s="713">
        <v>0</v>
      </c>
      <c r="J2220" s="711">
        <v>12500</v>
      </c>
      <c r="K2220" s="711">
        <v>301996</v>
      </c>
      <c r="L2220">
        <v>0</v>
      </c>
      <c r="M2220">
        <v>0</v>
      </c>
      <c r="N2220" s="711">
        <v>12500</v>
      </c>
      <c r="O2220" s="711">
        <v>301996</v>
      </c>
      <c r="P2220" s="711">
        <v>-289496</v>
      </c>
    </row>
    <row r="2221" spans="1:16">
      <c r="A2221">
        <v>4</v>
      </c>
      <c r="B2221" t="s">
        <v>12419</v>
      </c>
      <c r="C2221" t="s">
        <v>12421</v>
      </c>
      <c r="D2221" t="s">
        <v>12423</v>
      </c>
      <c r="E2221" t="s">
        <v>5785</v>
      </c>
      <c r="F2221" t="s">
        <v>5786</v>
      </c>
      <c r="G2221" s="712">
        <v>0</v>
      </c>
      <c r="H2221">
        <v>0</v>
      </c>
      <c r="I2221" s="713">
        <v>0</v>
      </c>
      <c r="J2221">
        <v>0</v>
      </c>
      <c r="K2221" s="711">
        <v>18000</v>
      </c>
      <c r="L2221">
        <v>0</v>
      </c>
      <c r="M2221">
        <v>0</v>
      </c>
      <c r="N2221">
        <v>0</v>
      </c>
      <c r="O2221" s="711">
        <v>18000</v>
      </c>
      <c r="P2221" s="711">
        <v>-18000</v>
      </c>
    </row>
    <row r="2222" spans="1:16" ht="15.75" thickBot="1">
      <c r="A2222">
        <v>4</v>
      </c>
      <c r="B2222" t="s">
        <v>12419</v>
      </c>
      <c r="C2222" t="s">
        <v>12421</v>
      </c>
      <c r="D2222" t="s">
        <v>12423</v>
      </c>
      <c r="E2222" t="s">
        <v>5788</v>
      </c>
      <c r="F2222" t="s">
        <v>5789</v>
      </c>
      <c r="G2222" s="712">
        <v>0</v>
      </c>
      <c r="H2222">
        <v>0</v>
      </c>
      <c r="I2222" s="713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</row>
    <row r="2223" spans="1:16" ht="15.75" thickBot="1">
      <c r="A2223" s="727">
        <v>4</v>
      </c>
      <c r="B2223" s="727" t="s">
        <v>12419</v>
      </c>
      <c r="C2223" s="727" t="s">
        <v>12424</v>
      </c>
      <c r="D2223" s="727"/>
      <c r="E2223" s="727"/>
      <c r="F2223" s="745" t="s">
        <v>12425</v>
      </c>
      <c r="G2223" s="738">
        <v>0</v>
      </c>
      <c r="H2223" s="738">
        <v>0</v>
      </c>
      <c r="I2223" s="738">
        <v>0</v>
      </c>
      <c r="J2223" s="738">
        <v>0</v>
      </c>
      <c r="K2223" s="738">
        <v>0</v>
      </c>
      <c r="L2223" s="738">
        <v>0</v>
      </c>
      <c r="M2223" s="738">
        <v>0</v>
      </c>
      <c r="N2223" s="738">
        <v>0</v>
      </c>
      <c r="O2223" s="738">
        <v>0</v>
      </c>
      <c r="P2223" s="738">
        <v>0</v>
      </c>
    </row>
    <row r="2224" spans="1:16" ht="15.75" thickBot="1">
      <c r="A2224" s="727">
        <v>4</v>
      </c>
      <c r="B2224" s="727" t="s">
        <v>12419</v>
      </c>
      <c r="C2224" s="727" t="s">
        <v>12424</v>
      </c>
      <c r="D2224" s="727" t="s">
        <v>12426</v>
      </c>
      <c r="E2224" s="727"/>
      <c r="F2224" s="729" t="s">
        <v>12425</v>
      </c>
      <c r="G2224" s="738">
        <v>0</v>
      </c>
      <c r="H2224" s="738">
        <v>0</v>
      </c>
      <c r="I2224" s="738">
        <v>0</v>
      </c>
      <c r="J2224" s="738">
        <v>0</v>
      </c>
      <c r="K2224" s="738">
        <v>0</v>
      </c>
      <c r="L2224" s="738">
        <v>0</v>
      </c>
      <c r="M2224" s="738">
        <v>0</v>
      </c>
      <c r="N2224" s="738">
        <v>0</v>
      </c>
      <c r="O2224" s="738">
        <v>0</v>
      </c>
      <c r="P2224" s="738">
        <v>0</v>
      </c>
    </row>
    <row r="2225" spans="1:16">
      <c r="A2225">
        <v>4</v>
      </c>
      <c r="B2225" t="s">
        <v>12419</v>
      </c>
      <c r="C2225" t="s">
        <v>12424</v>
      </c>
      <c r="D2225" t="s">
        <v>12426</v>
      </c>
      <c r="E2225" t="s">
        <v>5795</v>
      </c>
      <c r="F2225" t="s">
        <v>5796</v>
      </c>
      <c r="G2225" s="712">
        <v>0</v>
      </c>
      <c r="H2225">
        <v>0</v>
      </c>
      <c r="I2225" s="713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</row>
    <row r="2226" spans="1:16">
      <c r="A2226">
        <v>4</v>
      </c>
      <c r="B2226" t="s">
        <v>12419</v>
      </c>
      <c r="C2226" t="s">
        <v>12424</v>
      </c>
      <c r="D2226" t="s">
        <v>12426</v>
      </c>
      <c r="E2226" t="s">
        <v>5798</v>
      </c>
      <c r="F2226" t="s">
        <v>5799</v>
      </c>
      <c r="G2226" s="712">
        <v>0</v>
      </c>
      <c r="H2226">
        <v>0</v>
      </c>
      <c r="I2226" s="713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</row>
    <row r="2227" spans="1:16">
      <c r="A2227">
        <v>4</v>
      </c>
      <c r="B2227" t="s">
        <v>12419</v>
      </c>
      <c r="C2227" t="s">
        <v>12424</v>
      </c>
      <c r="D2227" t="s">
        <v>12426</v>
      </c>
      <c r="E2227" t="s">
        <v>5800</v>
      </c>
      <c r="F2227" t="s">
        <v>5801</v>
      </c>
      <c r="G2227" s="712">
        <v>0</v>
      </c>
      <c r="H2227">
        <v>0</v>
      </c>
      <c r="I2227" s="713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</row>
    <row r="2228" spans="1:16" ht="15.75" thickBot="1">
      <c r="A2228">
        <v>4</v>
      </c>
      <c r="B2228" t="s">
        <v>12419</v>
      </c>
      <c r="C2228" t="s">
        <v>12424</v>
      </c>
      <c r="D2228" t="s">
        <v>12426</v>
      </c>
      <c r="E2228" t="s">
        <v>5802</v>
      </c>
      <c r="F2228" t="s">
        <v>5803</v>
      </c>
      <c r="G2228" s="712">
        <v>0</v>
      </c>
      <c r="H2228">
        <v>0</v>
      </c>
      <c r="I2228" s="713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</row>
    <row r="2229" spans="1:16" ht="15.75" thickBot="1">
      <c r="A2229" s="727">
        <v>4</v>
      </c>
      <c r="B2229" s="727" t="s">
        <v>12419</v>
      </c>
      <c r="C2229" s="727" t="s">
        <v>12427</v>
      </c>
      <c r="D2229" s="727"/>
      <c r="E2229" s="727"/>
      <c r="F2229" s="745" t="s">
        <v>12428</v>
      </c>
      <c r="G2229" s="738">
        <v>0</v>
      </c>
      <c r="H2229" s="738">
        <v>0</v>
      </c>
      <c r="I2229" s="738">
        <v>0</v>
      </c>
      <c r="J2229" s="739">
        <v>546183.46</v>
      </c>
      <c r="K2229" s="739">
        <v>888112.73</v>
      </c>
      <c r="L2229" s="738">
        <v>0</v>
      </c>
      <c r="M2229" s="738">
        <v>0</v>
      </c>
      <c r="N2229" s="739">
        <v>546183.46</v>
      </c>
      <c r="O2229" s="739">
        <v>888112.73</v>
      </c>
      <c r="P2229" s="739">
        <v>-341929.27</v>
      </c>
    </row>
    <row r="2230" spans="1:16" ht="15.75" thickBot="1">
      <c r="A2230" s="727">
        <v>4</v>
      </c>
      <c r="B2230" s="727" t="s">
        <v>12419</v>
      </c>
      <c r="C2230" s="727" t="s">
        <v>12427</v>
      </c>
      <c r="D2230" s="727" t="s">
        <v>12429</v>
      </c>
      <c r="E2230" s="727"/>
      <c r="F2230" s="729" t="s">
        <v>12428</v>
      </c>
      <c r="G2230" s="738">
        <v>0</v>
      </c>
      <c r="H2230" s="738">
        <v>0</v>
      </c>
      <c r="I2230" s="738">
        <v>0</v>
      </c>
      <c r="J2230" s="739">
        <v>546183.46</v>
      </c>
      <c r="K2230" s="739">
        <v>888112.73</v>
      </c>
      <c r="L2230" s="738">
        <v>0</v>
      </c>
      <c r="M2230" s="738">
        <v>0</v>
      </c>
      <c r="N2230" s="739">
        <v>546183.46</v>
      </c>
      <c r="O2230" s="739">
        <v>888112.73</v>
      </c>
      <c r="P2230" s="739">
        <v>-341929.27</v>
      </c>
    </row>
    <row r="2231" spans="1:16">
      <c r="A2231">
        <v>4</v>
      </c>
      <c r="B2231" t="s">
        <v>12419</v>
      </c>
      <c r="C2231" t="s">
        <v>12427</v>
      </c>
      <c r="D2231" t="s">
        <v>12429</v>
      </c>
      <c r="E2231" t="s">
        <v>5809</v>
      </c>
      <c r="F2231" t="s">
        <v>5810</v>
      </c>
      <c r="G2231" s="712">
        <v>0</v>
      </c>
      <c r="H2231">
        <v>0</v>
      </c>
      <c r="I2231" s="713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</row>
    <row r="2232" spans="1:16">
      <c r="A2232">
        <v>4</v>
      </c>
      <c r="B2232" t="s">
        <v>12419</v>
      </c>
      <c r="C2232" t="s">
        <v>12427</v>
      </c>
      <c r="D2232" t="s">
        <v>12429</v>
      </c>
      <c r="E2232" t="s">
        <v>5812</v>
      </c>
      <c r="F2232" t="s">
        <v>5813</v>
      </c>
      <c r="G2232" s="712">
        <v>0</v>
      </c>
      <c r="H2232">
        <v>0</v>
      </c>
      <c r="I2232" s="713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</row>
    <row r="2233" spans="1:16">
      <c r="A2233">
        <v>4</v>
      </c>
      <c r="B2233" t="s">
        <v>12419</v>
      </c>
      <c r="C2233" t="s">
        <v>12427</v>
      </c>
      <c r="D2233" t="s">
        <v>12429</v>
      </c>
      <c r="E2233" t="s">
        <v>5814</v>
      </c>
      <c r="F2233" t="s">
        <v>5815</v>
      </c>
      <c r="G2233" s="712">
        <v>0</v>
      </c>
      <c r="H2233">
        <v>0</v>
      </c>
      <c r="I2233" s="71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</row>
    <row r="2234" spans="1:16">
      <c r="A2234">
        <v>4</v>
      </c>
      <c r="B2234" t="s">
        <v>12419</v>
      </c>
      <c r="C2234" t="s">
        <v>12427</v>
      </c>
      <c r="D2234" t="s">
        <v>12429</v>
      </c>
      <c r="E2234" t="s">
        <v>5817</v>
      </c>
      <c r="F2234" t="s">
        <v>5818</v>
      </c>
      <c r="G2234" s="712">
        <v>0</v>
      </c>
      <c r="H2234">
        <v>0</v>
      </c>
      <c r="I2234" s="713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</row>
    <row r="2235" spans="1:16">
      <c r="A2235">
        <v>4</v>
      </c>
      <c r="B2235" t="s">
        <v>12419</v>
      </c>
      <c r="C2235" t="s">
        <v>12427</v>
      </c>
      <c r="D2235" t="s">
        <v>12429</v>
      </c>
      <c r="E2235" t="s">
        <v>5819</v>
      </c>
      <c r="F2235" t="s">
        <v>5820</v>
      </c>
      <c r="G2235" s="712">
        <v>0</v>
      </c>
      <c r="H2235">
        <v>0</v>
      </c>
      <c r="I2235" s="713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</row>
    <row r="2236" spans="1:16">
      <c r="A2236">
        <v>4</v>
      </c>
      <c r="B2236" t="s">
        <v>12419</v>
      </c>
      <c r="C2236" t="s">
        <v>12427</v>
      </c>
      <c r="D2236" t="s">
        <v>12429</v>
      </c>
      <c r="E2236" t="s">
        <v>5822</v>
      </c>
      <c r="F2236" t="s">
        <v>5823</v>
      </c>
      <c r="G2236" s="712">
        <v>0</v>
      </c>
      <c r="H2236">
        <v>0</v>
      </c>
      <c r="I2236" s="713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</row>
    <row r="2237" spans="1:16">
      <c r="A2237">
        <v>4</v>
      </c>
      <c r="B2237" t="s">
        <v>12419</v>
      </c>
      <c r="C2237" t="s">
        <v>12427</v>
      </c>
      <c r="D2237" t="s">
        <v>12429</v>
      </c>
      <c r="E2237" t="s">
        <v>5825</v>
      </c>
      <c r="F2237" t="s">
        <v>5826</v>
      </c>
      <c r="G2237" s="712">
        <v>0</v>
      </c>
      <c r="H2237">
        <v>0</v>
      </c>
      <c r="I2237" s="713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</row>
    <row r="2238" spans="1:16">
      <c r="A2238">
        <v>4</v>
      </c>
      <c r="B2238" t="s">
        <v>12419</v>
      </c>
      <c r="C2238" t="s">
        <v>12427</v>
      </c>
      <c r="D2238" t="s">
        <v>12429</v>
      </c>
      <c r="E2238" t="s">
        <v>5827</v>
      </c>
      <c r="F2238" t="s">
        <v>5828</v>
      </c>
      <c r="G2238" s="712">
        <v>0</v>
      </c>
      <c r="H2238">
        <v>0</v>
      </c>
      <c r="I2238" s="713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</row>
    <row r="2239" spans="1:16">
      <c r="A2239">
        <v>4</v>
      </c>
      <c r="B2239" t="s">
        <v>12419</v>
      </c>
      <c r="C2239" t="s">
        <v>12427</v>
      </c>
      <c r="D2239" t="s">
        <v>12429</v>
      </c>
      <c r="E2239" t="s">
        <v>5829</v>
      </c>
      <c r="F2239" t="s">
        <v>5830</v>
      </c>
      <c r="G2239" s="712">
        <v>0</v>
      </c>
      <c r="H2239">
        <v>0</v>
      </c>
      <c r="I2239" s="713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</row>
    <row r="2240" spans="1:16">
      <c r="A2240">
        <v>4</v>
      </c>
      <c r="B2240" t="s">
        <v>12419</v>
      </c>
      <c r="C2240" t="s">
        <v>12427</v>
      </c>
      <c r="D2240" t="s">
        <v>12429</v>
      </c>
      <c r="E2240" t="s">
        <v>5831</v>
      </c>
      <c r="F2240" t="s">
        <v>5832</v>
      </c>
      <c r="G2240" s="712">
        <v>0</v>
      </c>
      <c r="H2240">
        <v>0</v>
      </c>
      <c r="I2240" s="713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</row>
    <row r="2241" spans="1:16">
      <c r="A2241">
        <v>4</v>
      </c>
      <c r="B2241" t="s">
        <v>12419</v>
      </c>
      <c r="C2241" t="s">
        <v>12427</v>
      </c>
      <c r="D2241" t="s">
        <v>12429</v>
      </c>
      <c r="E2241" t="s">
        <v>5833</v>
      </c>
      <c r="F2241" t="s">
        <v>5834</v>
      </c>
      <c r="G2241" s="712">
        <v>0</v>
      </c>
      <c r="H2241">
        <v>0</v>
      </c>
      <c r="I2241" s="713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</row>
    <row r="2242" spans="1:16">
      <c r="A2242">
        <v>4</v>
      </c>
      <c r="B2242" t="s">
        <v>12419</v>
      </c>
      <c r="C2242" t="s">
        <v>12427</v>
      </c>
      <c r="D2242" t="s">
        <v>12429</v>
      </c>
      <c r="E2242" t="s">
        <v>5835</v>
      </c>
      <c r="F2242" t="s">
        <v>5836</v>
      </c>
      <c r="G2242" s="712">
        <v>0</v>
      </c>
      <c r="H2242">
        <v>0</v>
      </c>
      <c r="I2242" s="713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</row>
    <row r="2243" spans="1:16">
      <c r="A2243">
        <v>4</v>
      </c>
      <c r="B2243" t="s">
        <v>12419</v>
      </c>
      <c r="C2243" t="s">
        <v>12427</v>
      </c>
      <c r="D2243" t="s">
        <v>12429</v>
      </c>
      <c r="E2243" t="s">
        <v>5837</v>
      </c>
      <c r="F2243" t="s">
        <v>5838</v>
      </c>
      <c r="G2243" s="712">
        <v>0</v>
      </c>
      <c r="H2243">
        <v>0</v>
      </c>
      <c r="I2243" s="71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</row>
    <row r="2244" spans="1:16">
      <c r="A2244">
        <v>4</v>
      </c>
      <c r="B2244" t="s">
        <v>12419</v>
      </c>
      <c r="C2244" t="s">
        <v>12427</v>
      </c>
      <c r="D2244" t="s">
        <v>12429</v>
      </c>
      <c r="E2244" t="s">
        <v>5839</v>
      </c>
      <c r="F2244" t="s">
        <v>5840</v>
      </c>
      <c r="G2244" s="712">
        <v>0</v>
      </c>
      <c r="H2244">
        <v>0</v>
      </c>
      <c r="I2244" s="713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</row>
    <row r="2245" spans="1:16">
      <c r="A2245">
        <v>4</v>
      </c>
      <c r="B2245" t="s">
        <v>12419</v>
      </c>
      <c r="C2245" t="s">
        <v>12427</v>
      </c>
      <c r="D2245" t="s">
        <v>12429</v>
      </c>
      <c r="E2245" t="s">
        <v>5842</v>
      </c>
      <c r="F2245" t="s">
        <v>5843</v>
      </c>
      <c r="G2245" s="712">
        <v>0</v>
      </c>
      <c r="H2245">
        <v>0</v>
      </c>
      <c r="I2245" s="713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</row>
    <row r="2246" spans="1:16">
      <c r="A2246">
        <v>4</v>
      </c>
      <c r="B2246" t="s">
        <v>12419</v>
      </c>
      <c r="C2246" t="s">
        <v>12427</v>
      </c>
      <c r="D2246" t="s">
        <v>12429</v>
      </c>
      <c r="E2246" t="s">
        <v>5845</v>
      </c>
      <c r="F2246" t="s">
        <v>5846</v>
      </c>
      <c r="G2246" s="712">
        <v>0</v>
      </c>
      <c r="H2246">
        <v>0</v>
      </c>
      <c r="I2246" s="713">
        <v>0</v>
      </c>
      <c r="J2246" s="711">
        <v>545637.66</v>
      </c>
      <c r="K2246" s="711">
        <v>846246.43</v>
      </c>
      <c r="L2246">
        <v>0</v>
      </c>
      <c r="M2246">
        <v>0</v>
      </c>
      <c r="N2246" s="711">
        <v>545637.66</v>
      </c>
      <c r="O2246" s="711">
        <v>846246.43</v>
      </c>
      <c r="P2246" s="711">
        <v>-300608.77</v>
      </c>
    </row>
    <row r="2247" spans="1:16">
      <c r="A2247">
        <v>4</v>
      </c>
      <c r="B2247" t="s">
        <v>12419</v>
      </c>
      <c r="C2247" t="s">
        <v>12427</v>
      </c>
      <c r="D2247" t="s">
        <v>12429</v>
      </c>
      <c r="E2247" t="s">
        <v>5848</v>
      </c>
      <c r="F2247" t="s">
        <v>5849</v>
      </c>
      <c r="G2247" s="712">
        <v>0</v>
      </c>
      <c r="H2247">
        <v>0</v>
      </c>
      <c r="I2247" s="713">
        <v>0</v>
      </c>
      <c r="J2247">
        <v>0</v>
      </c>
      <c r="K2247" s="711">
        <v>35389</v>
      </c>
      <c r="L2247">
        <v>0</v>
      </c>
      <c r="M2247">
        <v>0</v>
      </c>
      <c r="N2247">
        <v>0</v>
      </c>
      <c r="O2247" s="711">
        <v>35389</v>
      </c>
      <c r="P2247" s="711">
        <v>-35389</v>
      </c>
    </row>
    <row r="2248" spans="1:16">
      <c r="A2248">
        <v>4</v>
      </c>
      <c r="B2248" t="s">
        <v>12419</v>
      </c>
      <c r="C2248" t="s">
        <v>12427</v>
      </c>
      <c r="D2248" t="s">
        <v>12429</v>
      </c>
      <c r="E2248" t="s">
        <v>5850</v>
      </c>
      <c r="F2248" t="s">
        <v>5851</v>
      </c>
      <c r="G2248" s="712">
        <v>0</v>
      </c>
      <c r="H2248">
        <v>0</v>
      </c>
      <c r="I2248" s="713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</row>
    <row r="2249" spans="1:16" ht="15.75" thickBot="1">
      <c r="A2249">
        <v>4</v>
      </c>
      <c r="B2249" t="s">
        <v>12419</v>
      </c>
      <c r="C2249" t="s">
        <v>12427</v>
      </c>
      <c r="D2249" t="s">
        <v>12429</v>
      </c>
      <c r="E2249" t="s">
        <v>5852</v>
      </c>
      <c r="F2249" t="s">
        <v>5853</v>
      </c>
      <c r="G2249" s="712">
        <v>0</v>
      </c>
      <c r="H2249">
        <v>0</v>
      </c>
      <c r="I2249" s="713">
        <v>0</v>
      </c>
      <c r="J2249">
        <v>545.79999999999995</v>
      </c>
      <c r="K2249" s="711">
        <v>6477.3</v>
      </c>
      <c r="L2249">
        <v>0</v>
      </c>
      <c r="M2249">
        <v>0</v>
      </c>
      <c r="N2249">
        <v>545.79999999999995</v>
      </c>
      <c r="O2249" s="711">
        <v>6477.3</v>
      </c>
      <c r="P2249" s="711">
        <v>-5931.5</v>
      </c>
    </row>
    <row r="2250" spans="1:16" ht="15.75" thickBot="1">
      <c r="A2250" s="727">
        <v>4</v>
      </c>
      <c r="B2250" s="727" t="s">
        <v>12430</v>
      </c>
      <c r="C2250" s="727"/>
      <c r="D2250" s="727"/>
      <c r="E2250" s="727"/>
      <c r="F2250" s="745" t="s">
        <v>12431</v>
      </c>
      <c r="G2250" s="738">
        <v>0</v>
      </c>
      <c r="H2250" s="738">
        <v>0</v>
      </c>
      <c r="I2250" s="738">
        <v>0</v>
      </c>
      <c r="J2250" s="738">
        <v>0</v>
      </c>
      <c r="K2250" s="739">
        <v>24857882.57</v>
      </c>
      <c r="L2250" s="738">
        <v>0</v>
      </c>
      <c r="M2250" s="738">
        <v>0</v>
      </c>
      <c r="N2250" s="738">
        <v>0</v>
      </c>
      <c r="O2250" s="739">
        <v>24857882.57</v>
      </c>
      <c r="P2250" s="739">
        <v>-24857882.57</v>
      </c>
    </row>
    <row r="2251" spans="1:16" ht="15.75" thickBot="1">
      <c r="A2251" s="727">
        <v>4</v>
      </c>
      <c r="B2251" s="727" t="s">
        <v>12430</v>
      </c>
      <c r="C2251" s="727" t="s">
        <v>12432</v>
      </c>
      <c r="D2251" s="727"/>
      <c r="E2251" s="727"/>
      <c r="F2251" s="745" t="s">
        <v>12433</v>
      </c>
      <c r="G2251" s="738">
        <v>0</v>
      </c>
      <c r="H2251" s="738">
        <v>0</v>
      </c>
      <c r="I2251" s="738">
        <v>0</v>
      </c>
      <c r="J2251" s="738">
        <v>0</v>
      </c>
      <c r="K2251" s="739">
        <v>24781959.280000001</v>
      </c>
      <c r="L2251" s="738">
        <v>0</v>
      </c>
      <c r="M2251" s="738">
        <v>0</v>
      </c>
      <c r="N2251" s="738">
        <v>0</v>
      </c>
      <c r="O2251" s="739">
        <v>24781959.280000001</v>
      </c>
      <c r="P2251" s="739">
        <v>-24781959.280000001</v>
      </c>
    </row>
    <row r="2252" spans="1:16" ht="15.75" thickBot="1">
      <c r="A2252" s="727">
        <v>4</v>
      </c>
      <c r="B2252" s="727" t="s">
        <v>12430</v>
      </c>
      <c r="C2252" s="727" t="s">
        <v>12432</v>
      </c>
      <c r="D2252" s="727" t="s">
        <v>12434</v>
      </c>
      <c r="E2252" s="727"/>
      <c r="F2252" s="729" t="s">
        <v>12433</v>
      </c>
      <c r="G2252" s="738">
        <v>0</v>
      </c>
      <c r="H2252" s="738">
        <v>0</v>
      </c>
      <c r="I2252" s="738">
        <v>0</v>
      </c>
      <c r="J2252" s="738">
        <v>0</v>
      </c>
      <c r="K2252" s="739">
        <v>24781959.280000001</v>
      </c>
      <c r="L2252" s="738">
        <v>0</v>
      </c>
      <c r="M2252" s="738">
        <v>0</v>
      </c>
      <c r="N2252" s="738">
        <v>0</v>
      </c>
      <c r="O2252" s="739">
        <v>24781959.280000001</v>
      </c>
      <c r="P2252" s="739">
        <v>-24781959.280000001</v>
      </c>
    </row>
    <row r="2253" spans="1:16">
      <c r="A2253">
        <v>4</v>
      </c>
      <c r="B2253" t="s">
        <v>12430</v>
      </c>
      <c r="C2253" t="s">
        <v>12432</v>
      </c>
      <c r="D2253" t="s">
        <v>12434</v>
      </c>
      <c r="E2253" t="s">
        <v>5865</v>
      </c>
      <c r="F2253" t="s">
        <v>5866</v>
      </c>
      <c r="G2253" s="712">
        <v>0</v>
      </c>
      <c r="H2253">
        <v>0</v>
      </c>
      <c r="I2253" s="713">
        <v>0</v>
      </c>
      <c r="J2253">
        <v>0</v>
      </c>
      <c r="K2253" s="711">
        <v>1668506.09</v>
      </c>
      <c r="L2253">
        <v>0</v>
      </c>
      <c r="M2253">
        <v>0</v>
      </c>
      <c r="N2253">
        <v>0</v>
      </c>
      <c r="O2253" s="711">
        <v>1668506.09</v>
      </c>
      <c r="P2253" s="711">
        <v>-1668506.09</v>
      </c>
    </row>
    <row r="2254" spans="1:16">
      <c r="A2254">
        <v>4</v>
      </c>
      <c r="B2254" t="s">
        <v>12430</v>
      </c>
      <c r="C2254" t="s">
        <v>12432</v>
      </c>
      <c r="D2254" t="s">
        <v>12434</v>
      </c>
      <c r="E2254" t="s">
        <v>5869</v>
      </c>
      <c r="F2254" t="s">
        <v>5870</v>
      </c>
      <c r="G2254" s="712">
        <v>0</v>
      </c>
      <c r="H2254">
        <v>0</v>
      </c>
      <c r="I2254" s="713">
        <v>0</v>
      </c>
      <c r="J2254">
        <v>0</v>
      </c>
      <c r="K2254" s="711">
        <v>4886593.71</v>
      </c>
      <c r="L2254">
        <v>0</v>
      </c>
      <c r="M2254">
        <v>0</v>
      </c>
      <c r="N2254">
        <v>0</v>
      </c>
      <c r="O2254" s="711">
        <v>4886593.71</v>
      </c>
      <c r="P2254" s="711">
        <v>-4886593.71</v>
      </c>
    </row>
    <row r="2255" spans="1:16">
      <c r="A2255">
        <v>4</v>
      </c>
      <c r="B2255" t="s">
        <v>12430</v>
      </c>
      <c r="C2255" t="s">
        <v>12432</v>
      </c>
      <c r="D2255" t="s">
        <v>12434</v>
      </c>
      <c r="E2255" t="s">
        <v>5871</v>
      </c>
      <c r="F2255" t="s">
        <v>5872</v>
      </c>
      <c r="G2255" s="712">
        <v>0</v>
      </c>
      <c r="H2255">
        <v>0</v>
      </c>
      <c r="I2255" s="713">
        <v>0</v>
      </c>
      <c r="J2255">
        <v>0</v>
      </c>
      <c r="K2255" s="711">
        <v>1641302</v>
      </c>
      <c r="L2255">
        <v>0</v>
      </c>
      <c r="M2255">
        <v>0</v>
      </c>
      <c r="N2255">
        <v>0</v>
      </c>
      <c r="O2255" s="711">
        <v>1641302</v>
      </c>
      <c r="P2255" s="711">
        <v>-1641302</v>
      </c>
    </row>
    <row r="2256" spans="1:16">
      <c r="A2256">
        <v>4</v>
      </c>
      <c r="B2256" t="s">
        <v>12430</v>
      </c>
      <c r="C2256" t="s">
        <v>12432</v>
      </c>
      <c r="D2256" t="s">
        <v>12434</v>
      </c>
      <c r="E2256" t="s">
        <v>5873</v>
      </c>
      <c r="F2256" t="s">
        <v>5874</v>
      </c>
      <c r="G2256" s="712">
        <v>0</v>
      </c>
      <c r="H2256">
        <v>0</v>
      </c>
      <c r="I2256" s="713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</row>
    <row r="2257" spans="1:16">
      <c r="A2257">
        <v>4</v>
      </c>
      <c r="B2257" t="s">
        <v>12430</v>
      </c>
      <c r="C2257" t="s">
        <v>12432</v>
      </c>
      <c r="D2257" t="s">
        <v>12434</v>
      </c>
      <c r="E2257" t="s">
        <v>5875</v>
      </c>
      <c r="F2257" t="s">
        <v>5876</v>
      </c>
      <c r="G2257" s="712">
        <v>0</v>
      </c>
      <c r="H2257">
        <v>0</v>
      </c>
      <c r="I2257" s="713">
        <v>0</v>
      </c>
      <c r="J2257">
        <v>0</v>
      </c>
      <c r="K2257" s="711">
        <v>109795.22</v>
      </c>
      <c r="L2257">
        <v>0</v>
      </c>
      <c r="M2257">
        <v>0</v>
      </c>
      <c r="N2257">
        <v>0</v>
      </c>
      <c r="O2257" s="711">
        <v>109795.22</v>
      </c>
      <c r="P2257" s="711">
        <v>-109795.22</v>
      </c>
    </row>
    <row r="2258" spans="1:16">
      <c r="A2258">
        <v>4</v>
      </c>
      <c r="B2258" t="s">
        <v>12430</v>
      </c>
      <c r="C2258" t="s">
        <v>12432</v>
      </c>
      <c r="D2258" t="s">
        <v>12434</v>
      </c>
      <c r="E2258" t="s">
        <v>5877</v>
      </c>
      <c r="F2258" t="s">
        <v>1166</v>
      </c>
      <c r="G2258" s="712">
        <v>0</v>
      </c>
      <c r="H2258">
        <v>0</v>
      </c>
      <c r="I2258" s="713">
        <v>0</v>
      </c>
      <c r="J2258">
        <v>0</v>
      </c>
      <c r="K2258" s="711">
        <v>312412.71000000002</v>
      </c>
      <c r="L2258">
        <v>0</v>
      </c>
      <c r="M2258">
        <v>0</v>
      </c>
      <c r="N2258">
        <v>0</v>
      </c>
      <c r="O2258" s="711">
        <v>312412.71000000002</v>
      </c>
      <c r="P2258" s="711">
        <v>-312412.71000000002</v>
      </c>
    </row>
    <row r="2259" spans="1:16">
      <c r="A2259">
        <v>4</v>
      </c>
      <c r="B2259" t="s">
        <v>12430</v>
      </c>
      <c r="C2259" t="s">
        <v>12432</v>
      </c>
      <c r="D2259" t="s">
        <v>12434</v>
      </c>
      <c r="E2259" t="s">
        <v>5878</v>
      </c>
      <c r="F2259" t="s">
        <v>1169</v>
      </c>
      <c r="G2259" s="712">
        <v>0</v>
      </c>
      <c r="H2259">
        <v>0</v>
      </c>
      <c r="I2259" s="713">
        <v>0</v>
      </c>
      <c r="J2259">
        <v>0</v>
      </c>
      <c r="K2259" s="711">
        <v>111750.9</v>
      </c>
      <c r="L2259">
        <v>0</v>
      </c>
      <c r="M2259">
        <v>0</v>
      </c>
      <c r="N2259">
        <v>0</v>
      </c>
      <c r="O2259" s="711">
        <v>111750.9</v>
      </c>
      <c r="P2259" s="711">
        <v>-111750.9</v>
      </c>
    </row>
    <row r="2260" spans="1:16">
      <c r="A2260">
        <v>4</v>
      </c>
      <c r="B2260" t="s">
        <v>12430</v>
      </c>
      <c r="C2260" t="s">
        <v>12432</v>
      </c>
      <c r="D2260" t="s">
        <v>12434</v>
      </c>
      <c r="E2260" t="s">
        <v>5879</v>
      </c>
      <c r="F2260" t="s">
        <v>1172</v>
      </c>
      <c r="G2260" s="712">
        <v>0</v>
      </c>
      <c r="H2260">
        <v>0</v>
      </c>
      <c r="I2260" s="713">
        <v>0</v>
      </c>
      <c r="J2260">
        <v>0</v>
      </c>
      <c r="K2260" s="711">
        <v>358630.49</v>
      </c>
      <c r="L2260">
        <v>0</v>
      </c>
      <c r="M2260">
        <v>0</v>
      </c>
      <c r="N2260">
        <v>0</v>
      </c>
      <c r="O2260" s="711">
        <v>358630.49</v>
      </c>
      <c r="P2260" s="711">
        <v>-358630.49</v>
      </c>
    </row>
    <row r="2261" spans="1:16">
      <c r="A2261">
        <v>4</v>
      </c>
      <c r="B2261" t="s">
        <v>12430</v>
      </c>
      <c r="C2261" t="s">
        <v>12432</v>
      </c>
      <c r="D2261" t="s">
        <v>12434</v>
      </c>
      <c r="E2261" t="s">
        <v>5880</v>
      </c>
      <c r="F2261" t="s">
        <v>1175</v>
      </c>
      <c r="G2261" s="712">
        <v>0</v>
      </c>
      <c r="H2261">
        <v>0</v>
      </c>
      <c r="I2261" s="713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</row>
    <row r="2262" spans="1:16">
      <c r="A2262">
        <v>4</v>
      </c>
      <c r="B2262" t="s">
        <v>12430</v>
      </c>
      <c r="C2262" t="s">
        <v>12432</v>
      </c>
      <c r="D2262" t="s">
        <v>12434</v>
      </c>
      <c r="E2262" t="s">
        <v>5881</v>
      </c>
      <c r="F2262" t="s">
        <v>1178</v>
      </c>
      <c r="G2262" s="712">
        <v>0</v>
      </c>
      <c r="H2262">
        <v>0</v>
      </c>
      <c r="I2262" s="713">
        <v>0</v>
      </c>
      <c r="J2262">
        <v>0</v>
      </c>
      <c r="K2262" s="711">
        <v>64708.07</v>
      </c>
      <c r="L2262">
        <v>0</v>
      </c>
      <c r="M2262">
        <v>0</v>
      </c>
      <c r="N2262">
        <v>0</v>
      </c>
      <c r="O2262" s="711">
        <v>64708.07</v>
      </c>
      <c r="P2262" s="711">
        <v>-64708.07</v>
      </c>
    </row>
    <row r="2263" spans="1:16">
      <c r="A2263">
        <v>4</v>
      </c>
      <c r="B2263" t="s">
        <v>12430</v>
      </c>
      <c r="C2263" t="s">
        <v>12432</v>
      </c>
      <c r="D2263" t="s">
        <v>12434</v>
      </c>
      <c r="E2263" t="s">
        <v>12435</v>
      </c>
      <c r="F2263" t="s">
        <v>1181</v>
      </c>
      <c r="G2263" s="712">
        <v>0</v>
      </c>
      <c r="H2263">
        <v>0</v>
      </c>
      <c r="I2263" s="71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</row>
    <row r="2264" spans="1:16">
      <c r="A2264">
        <v>4</v>
      </c>
      <c r="B2264" t="s">
        <v>12430</v>
      </c>
      <c r="C2264" t="s">
        <v>12432</v>
      </c>
      <c r="D2264" t="s">
        <v>12434</v>
      </c>
      <c r="E2264" t="s">
        <v>5903</v>
      </c>
      <c r="F2264" t="s">
        <v>1185</v>
      </c>
      <c r="G2264" s="712">
        <v>0</v>
      </c>
      <c r="H2264">
        <v>0</v>
      </c>
      <c r="I2264" s="713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</row>
    <row r="2265" spans="1:16">
      <c r="A2265">
        <v>4</v>
      </c>
      <c r="B2265" t="s">
        <v>12430</v>
      </c>
      <c r="C2265" t="s">
        <v>12432</v>
      </c>
      <c r="D2265" t="s">
        <v>12434</v>
      </c>
      <c r="E2265" t="s">
        <v>5906</v>
      </c>
      <c r="F2265" t="s">
        <v>5907</v>
      </c>
      <c r="G2265" s="712">
        <v>0</v>
      </c>
      <c r="H2265">
        <v>0</v>
      </c>
      <c r="I2265" s="713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</row>
    <row r="2266" spans="1:16">
      <c r="A2266">
        <v>4</v>
      </c>
      <c r="B2266" t="s">
        <v>12430</v>
      </c>
      <c r="C2266" t="s">
        <v>12432</v>
      </c>
      <c r="D2266" t="s">
        <v>12434</v>
      </c>
      <c r="E2266" t="s">
        <v>5909</v>
      </c>
      <c r="F2266" t="s">
        <v>1192</v>
      </c>
      <c r="G2266" s="712">
        <v>0</v>
      </c>
      <c r="H2266">
        <v>0</v>
      </c>
      <c r="I2266" s="713">
        <v>0</v>
      </c>
      <c r="J2266">
        <v>0</v>
      </c>
      <c r="K2266" s="711">
        <v>221555.19</v>
      </c>
      <c r="L2266">
        <v>0</v>
      </c>
      <c r="M2266">
        <v>0</v>
      </c>
      <c r="N2266">
        <v>0</v>
      </c>
      <c r="O2266" s="711">
        <v>221555.19</v>
      </c>
      <c r="P2266" s="711">
        <v>-221555.19</v>
      </c>
    </row>
    <row r="2267" spans="1:16">
      <c r="A2267">
        <v>4</v>
      </c>
      <c r="B2267" t="s">
        <v>12430</v>
      </c>
      <c r="C2267" t="s">
        <v>12432</v>
      </c>
      <c r="D2267" t="s">
        <v>12434</v>
      </c>
      <c r="E2267" t="s">
        <v>5911</v>
      </c>
      <c r="F2267" t="s">
        <v>1196</v>
      </c>
      <c r="G2267" s="712">
        <v>0</v>
      </c>
      <c r="H2267">
        <v>0</v>
      </c>
      <c r="I2267" s="713">
        <v>0</v>
      </c>
      <c r="J2267">
        <v>0</v>
      </c>
      <c r="K2267" s="711">
        <v>645977.56000000006</v>
      </c>
      <c r="L2267">
        <v>0</v>
      </c>
      <c r="M2267">
        <v>0</v>
      </c>
      <c r="N2267">
        <v>0</v>
      </c>
      <c r="O2267" s="711">
        <v>645977.56000000006</v>
      </c>
      <c r="P2267" s="711">
        <v>-645977.56000000006</v>
      </c>
    </row>
    <row r="2268" spans="1:16">
      <c r="A2268">
        <v>4</v>
      </c>
      <c r="B2268" t="s">
        <v>12430</v>
      </c>
      <c r="C2268" t="s">
        <v>12432</v>
      </c>
      <c r="D2268" t="s">
        <v>12434</v>
      </c>
      <c r="E2268" t="s">
        <v>5914</v>
      </c>
      <c r="F2268" t="s">
        <v>1200</v>
      </c>
      <c r="G2268" s="712">
        <v>0</v>
      </c>
      <c r="H2268">
        <v>0</v>
      </c>
      <c r="I2268" s="713">
        <v>0</v>
      </c>
      <c r="J2268">
        <v>0</v>
      </c>
      <c r="K2268" s="711">
        <v>1621795.82</v>
      </c>
      <c r="L2268">
        <v>0</v>
      </c>
      <c r="M2268">
        <v>0</v>
      </c>
      <c r="N2268">
        <v>0</v>
      </c>
      <c r="O2268" s="711">
        <v>1621795.82</v>
      </c>
      <c r="P2268" s="711">
        <v>-1621795.82</v>
      </c>
    </row>
    <row r="2269" spans="1:16">
      <c r="A2269">
        <v>4</v>
      </c>
      <c r="B2269" t="s">
        <v>12430</v>
      </c>
      <c r="C2269" t="s">
        <v>12432</v>
      </c>
      <c r="D2269" t="s">
        <v>12434</v>
      </c>
      <c r="E2269" t="s">
        <v>5915</v>
      </c>
      <c r="F2269" t="s">
        <v>1203</v>
      </c>
      <c r="G2269" s="712">
        <v>0</v>
      </c>
      <c r="H2269">
        <v>0</v>
      </c>
      <c r="I2269" s="713">
        <v>0</v>
      </c>
      <c r="J2269">
        <v>0</v>
      </c>
      <c r="K2269" s="711">
        <v>1176659.1200000001</v>
      </c>
      <c r="L2269">
        <v>0</v>
      </c>
      <c r="M2269">
        <v>0</v>
      </c>
      <c r="N2269">
        <v>0</v>
      </c>
      <c r="O2269" s="711">
        <v>1176659.1200000001</v>
      </c>
      <c r="P2269" s="711">
        <v>-1176659.1200000001</v>
      </c>
    </row>
    <row r="2270" spans="1:16">
      <c r="A2270">
        <v>4</v>
      </c>
      <c r="B2270" t="s">
        <v>12430</v>
      </c>
      <c r="C2270" t="s">
        <v>12432</v>
      </c>
      <c r="D2270" t="s">
        <v>12434</v>
      </c>
      <c r="E2270" t="s">
        <v>5916</v>
      </c>
      <c r="F2270" t="s">
        <v>1206</v>
      </c>
      <c r="G2270" s="712">
        <v>0</v>
      </c>
      <c r="H2270">
        <v>0</v>
      </c>
      <c r="I2270" s="713">
        <v>0</v>
      </c>
      <c r="J2270">
        <v>0</v>
      </c>
      <c r="K2270" s="711">
        <v>1431983.46</v>
      </c>
      <c r="L2270">
        <v>0</v>
      </c>
      <c r="M2270">
        <v>0</v>
      </c>
      <c r="N2270">
        <v>0</v>
      </c>
      <c r="O2270" s="711">
        <v>1431983.46</v>
      </c>
      <c r="P2270" s="711">
        <v>-1431983.46</v>
      </c>
    </row>
    <row r="2271" spans="1:16">
      <c r="A2271">
        <v>4</v>
      </c>
      <c r="B2271" t="s">
        <v>12430</v>
      </c>
      <c r="C2271" t="s">
        <v>12432</v>
      </c>
      <c r="D2271" t="s">
        <v>12434</v>
      </c>
      <c r="E2271" t="s">
        <v>5917</v>
      </c>
      <c r="F2271" t="s">
        <v>1209</v>
      </c>
      <c r="G2271" s="712">
        <v>0</v>
      </c>
      <c r="H2271">
        <v>0</v>
      </c>
      <c r="I2271" s="713">
        <v>0</v>
      </c>
      <c r="J2271">
        <v>0</v>
      </c>
      <c r="K2271" s="711">
        <v>108960.51</v>
      </c>
      <c r="L2271">
        <v>0</v>
      </c>
      <c r="M2271">
        <v>0</v>
      </c>
      <c r="N2271">
        <v>0</v>
      </c>
      <c r="O2271" s="711">
        <v>108960.51</v>
      </c>
      <c r="P2271" s="711">
        <v>-108960.51</v>
      </c>
    </row>
    <row r="2272" spans="1:16">
      <c r="A2272">
        <v>4</v>
      </c>
      <c r="B2272" t="s">
        <v>12430</v>
      </c>
      <c r="C2272" t="s">
        <v>12432</v>
      </c>
      <c r="D2272" t="s">
        <v>12434</v>
      </c>
      <c r="E2272" t="s">
        <v>5918</v>
      </c>
      <c r="F2272" t="s">
        <v>1212</v>
      </c>
      <c r="G2272" s="712">
        <v>0</v>
      </c>
      <c r="H2272">
        <v>0</v>
      </c>
      <c r="I2272" s="713">
        <v>0</v>
      </c>
      <c r="J2272">
        <v>0</v>
      </c>
      <c r="K2272" s="711">
        <v>185284.32</v>
      </c>
      <c r="L2272">
        <v>0</v>
      </c>
      <c r="M2272">
        <v>0</v>
      </c>
      <c r="N2272">
        <v>0</v>
      </c>
      <c r="O2272" s="711">
        <v>185284.32</v>
      </c>
      <c r="P2272" s="711">
        <v>-185284.32</v>
      </c>
    </row>
    <row r="2273" spans="1:16">
      <c r="A2273">
        <v>4</v>
      </c>
      <c r="B2273" t="s">
        <v>12430</v>
      </c>
      <c r="C2273" t="s">
        <v>12432</v>
      </c>
      <c r="D2273" t="s">
        <v>12434</v>
      </c>
      <c r="E2273" t="s">
        <v>5919</v>
      </c>
      <c r="F2273" t="s">
        <v>1215</v>
      </c>
      <c r="G2273" s="712">
        <v>0</v>
      </c>
      <c r="H2273">
        <v>0</v>
      </c>
      <c r="I2273" s="713">
        <v>0</v>
      </c>
      <c r="J2273">
        <v>0</v>
      </c>
      <c r="K2273" s="711">
        <v>732650.41</v>
      </c>
      <c r="L2273">
        <v>0</v>
      </c>
      <c r="M2273">
        <v>0</v>
      </c>
      <c r="N2273">
        <v>0</v>
      </c>
      <c r="O2273" s="711">
        <v>732650.41</v>
      </c>
      <c r="P2273" s="711">
        <v>-732650.41</v>
      </c>
    </row>
    <row r="2274" spans="1:16">
      <c r="A2274">
        <v>4</v>
      </c>
      <c r="B2274" t="s">
        <v>12430</v>
      </c>
      <c r="C2274" t="s">
        <v>12432</v>
      </c>
      <c r="D2274" t="s">
        <v>12434</v>
      </c>
      <c r="E2274" t="s">
        <v>5920</v>
      </c>
      <c r="F2274" t="s">
        <v>1218</v>
      </c>
      <c r="G2274" s="712">
        <v>0</v>
      </c>
      <c r="H2274">
        <v>0</v>
      </c>
      <c r="I2274" s="713">
        <v>0</v>
      </c>
      <c r="J2274">
        <v>0</v>
      </c>
      <c r="K2274" s="711">
        <v>16183.09</v>
      </c>
      <c r="L2274">
        <v>0</v>
      </c>
      <c r="M2274">
        <v>0</v>
      </c>
      <c r="N2274">
        <v>0</v>
      </c>
      <c r="O2274" s="711">
        <v>16183.09</v>
      </c>
      <c r="P2274" s="711">
        <v>-16183.09</v>
      </c>
    </row>
    <row r="2275" spans="1:16">
      <c r="A2275">
        <v>4</v>
      </c>
      <c r="B2275" t="s">
        <v>12430</v>
      </c>
      <c r="C2275" t="s">
        <v>12432</v>
      </c>
      <c r="D2275" t="s">
        <v>12434</v>
      </c>
      <c r="E2275" t="s">
        <v>5921</v>
      </c>
      <c r="F2275" t="s">
        <v>1221</v>
      </c>
      <c r="G2275" s="712">
        <v>0</v>
      </c>
      <c r="H2275">
        <v>0</v>
      </c>
      <c r="I2275" s="713">
        <v>0</v>
      </c>
      <c r="J2275">
        <v>0</v>
      </c>
      <c r="K2275" s="711">
        <v>21560.82</v>
      </c>
      <c r="L2275">
        <v>0</v>
      </c>
      <c r="M2275">
        <v>0</v>
      </c>
      <c r="N2275">
        <v>0</v>
      </c>
      <c r="O2275" s="711">
        <v>21560.82</v>
      </c>
      <c r="P2275" s="711">
        <v>-21560.82</v>
      </c>
    </row>
    <row r="2276" spans="1:16">
      <c r="A2276">
        <v>4</v>
      </c>
      <c r="B2276" t="s">
        <v>12430</v>
      </c>
      <c r="C2276" t="s">
        <v>12432</v>
      </c>
      <c r="D2276" t="s">
        <v>12434</v>
      </c>
      <c r="E2276" t="s">
        <v>5922</v>
      </c>
      <c r="F2276" t="s">
        <v>1224</v>
      </c>
      <c r="G2276" s="712">
        <v>0</v>
      </c>
      <c r="H2276">
        <v>0</v>
      </c>
      <c r="I2276" s="713">
        <v>0</v>
      </c>
      <c r="J2276">
        <v>0</v>
      </c>
      <c r="K2276" s="711">
        <v>34028.25</v>
      </c>
      <c r="L2276">
        <v>0</v>
      </c>
      <c r="M2276">
        <v>0</v>
      </c>
      <c r="N2276">
        <v>0</v>
      </c>
      <c r="O2276" s="711">
        <v>34028.25</v>
      </c>
      <c r="P2276" s="711">
        <v>-34028.25</v>
      </c>
    </row>
    <row r="2277" spans="1:16">
      <c r="A2277">
        <v>4</v>
      </c>
      <c r="B2277" t="s">
        <v>12430</v>
      </c>
      <c r="C2277" t="s">
        <v>12432</v>
      </c>
      <c r="D2277" t="s">
        <v>12434</v>
      </c>
      <c r="E2277" t="s">
        <v>5923</v>
      </c>
      <c r="F2277" t="s">
        <v>5924</v>
      </c>
      <c r="G2277" s="712">
        <v>0</v>
      </c>
      <c r="H2277">
        <v>0</v>
      </c>
      <c r="I2277" s="713">
        <v>0</v>
      </c>
      <c r="J2277">
        <v>0</v>
      </c>
      <c r="K2277" s="711">
        <v>76630.13</v>
      </c>
      <c r="L2277">
        <v>0</v>
      </c>
      <c r="M2277">
        <v>0</v>
      </c>
      <c r="N2277">
        <v>0</v>
      </c>
      <c r="O2277" s="711">
        <v>76630.13</v>
      </c>
      <c r="P2277" s="711">
        <v>-76630.13</v>
      </c>
    </row>
    <row r="2278" spans="1:16">
      <c r="A2278">
        <v>4</v>
      </c>
      <c r="B2278" t="s">
        <v>12430</v>
      </c>
      <c r="C2278" t="s">
        <v>12432</v>
      </c>
      <c r="D2278" t="s">
        <v>12434</v>
      </c>
      <c r="E2278" t="s">
        <v>5925</v>
      </c>
      <c r="F2278" t="s">
        <v>5926</v>
      </c>
      <c r="G2278" s="712">
        <v>0</v>
      </c>
      <c r="H2278">
        <v>0</v>
      </c>
      <c r="I2278" s="713">
        <v>0</v>
      </c>
      <c r="J2278">
        <v>0</v>
      </c>
      <c r="K2278" s="711">
        <v>44523.49</v>
      </c>
      <c r="L2278">
        <v>0</v>
      </c>
      <c r="M2278">
        <v>0</v>
      </c>
      <c r="N2278">
        <v>0</v>
      </c>
      <c r="O2278" s="711">
        <v>44523.49</v>
      </c>
      <c r="P2278" s="711">
        <v>-44523.49</v>
      </c>
    </row>
    <row r="2279" spans="1:16">
      <c r="A2279">
        <v>4</v>
      </c>
      <c r="B2279" t="s">
        <v>12430</v>
      </c>
      <c r="C2279" t="s">
        <v>12432</v>
      </c>
      <c r="D2279" t="s">
        <v>12434</v>
      </c>
      <c r="E2279" t="s">
        <v>5927</v>
      </c>
      <c r="F2279" t="s">
        <v>5928</v>
      </c>
      <c r="G2279" s="712">
        <v>0</v>
      </c>
      <c r="H2279">
        <v>0</v>
      </c>
      <c r="I2279" s="713">
        <v>0</v>
      </c>
      <c r="J2279">
        <v>0</v>
      </c>
      <c r="K2279" s="711">
        <v>747958.42</v>
      </c>
      <c r="L2279">
        <v>0</v>
      </c>
      <c r="M2279">
        <v>0</v>
      </c>
      <c r="N2279">
        <v>0</v>
      </c>
      <c r="O2279" s="711">
        <v>747958.42</v>
      </c>
      <c r="P2279" s="711">
        <v>-747958.42</v>
      </c>
    </row>
    <row r="2280" spans="1:16">
      <c r="A2280">
        <v>4</v>
      </c>
      <c r="B2280" t="s">
        <v>12430</v>
      </c>
      <c r="C2280" t="s">
        <v>12432</v>
      </c>
      <c r="D2280" t="s">
        <v>12434</v>
      </c>
      <c r="E2280" t="s">
        <v>5929</v>
      </c>
      <c r="F2280" t="s">
        <v>5930</v>
      </c>
      <c r="G2280" s="712">
        <v>0</v>
      </c>
      <c r="H2280">
        <v>0</v>
      </c>
      <c r="I2280" s="713">
        <v>0</v>
      </c>
      <c r="J2280">
        <v>0</v>
      </c>
      <c r="K2280" s="711">
        <v>67587.66</v>
      </c>
      <c r="L2280">
        <v>0</v>
      </c>
      <c r="M2280">
        <v>0</v>
      </c>
      <c r="N2280">
        <v>0</v>
      </c>
      <c r="O2280" s="711">
        <v>67587.66</v>
      </c>
      <c r="P2280" s="711">
        <v>-67587.66</v>
      </c>
    </row>
    <row r="2281" spans="1:16">
      <c r="A2281">
        <v>4</v>
      </c>
      <c r="B2281" t="s">
        <v>12430</v>
      </c>
      <c r="C2281" t="s">
        <v>12432</v>
      </c>
      <c r="D2281" t="s">
        <v>12434</v>
      </c>
      <c r="E2281" t="s">
        <v>5931</v>
      </c>
      <c r="F2281" t="s">
        <v>5932</v>
      </c>
      <c r="G2281" s="712">
        <v>0</v>
      </c>
      <c r="H2281">
        <v>0</v>
      </c>
      <c r="I2281" s="713">
        <v>0</v>
      </c>
      <c r="J2281">
        <v>0</v>
      </c>
      <c r="K2281" s="711">
        <v>87658.37</v>
      </c>
      <c r="L2281">
        <v>0</v>
      </c>
      <c r="M2281">
        <v>0</v>
      </c>
      <c r="N2281">
        <v>0</v>
      </c>
      <c r="O2281" s="711">
        <v>87658.37</v>
      </c>
      <c r="P2281" s="711">
        <v>-87658.37</v>
      </c>
    </row>
    <row r="2282" spans="1:16">
      <c r="A2282">
        <v>4</v>
      </c>
      <c r="B2282" t="s">
        <v>12430</v>
      </c>
      <c r="C2282" t="s">
        <v>12432</v>
      </c>
      <c r="D2282" t="s">
        <v>12434</v>
      </c>
      <c r="E2282" t="s">
        <v>5933</v>
      </c>
      <c r="F2282" t="s">
        <v>5934</v>
      </c>
      <c r="G2282" s="712">
        <v>0</v>
      </c>
      <c r="H2282">
        <v>0</v>
      </c>
      <c r="I2282" s="713">
        <v>0</v>
      </c>
      <c r="J2282">
        <v>0</v>
      </c>
      <c r="K2282" s="711">
        <v>637405.30000000005</v>
      </c>
      <c r="L2282">
        <v>0</v>
      </c>
      <c r="M2282">
        <v>0</v>
      </c>
      <c r="N2282">
        <v>0</v>
      </c>
      <c r="O2282" s="711">
        <v>637405.30000000005</v>
      </c>
      <c r="P2282" s="711">
        <v>-637405.30000000005</v>
      </c>
    </row>
    <row r="2283" spans="1:16">
      <c r="A2283">
        <v>4</v>
      </c>
      <c r="B2283" t="s">
        <v>12430</v>
      </c>
      <c r="C2283" t="s">
        <v>12432</v>
      </c>
      <c r="D2283" t="s">
        <v>12434</v>
      </c>
      <c r="E2283" t="s">
        <v>5935</v>
      </c>
      <c r="F2283" t="s">
        <v>1242</v>
      </c>
      <c r="G2283" s="712">
        <v>0</v>
      </c>
      <c r="H2283">
        <v>0</v>
      </c>
      <c r="I2283" s="713">
        <v>0</v>
      </c>
      <c r="J2283">
        <v>0</v>
      </c>
      <c r="K2283" s="711">
        <v>98759.13</v>
      </c>
      <c r="L2283">
        <v>0</v>
      </c>
      <c r="M2283">
        <v>0</v>
      </c>
      <c r="N2283">
        <v>0</v>
      </c>
      <c r="O2283" s="711">
        <v>98759.13</v>
      </c>
      <c r="P2283" s="711">
        <v>-98759.13</v>
      </c>
    </row>
    <row r="2284" spans="1:16">
      <c r="A2284">
        <v>4</v>
      </c>
      <c r="B2284" t="s">
        <v>12430</v>
      </c>
      <c r="C2284" t="s">
        <v>12432</v>
      </c>
      <c r="D2284" t="s">
        <v>12434</v>
      </c>
      <c r="E2284" t="s">
        <v>5936</v>
      </c>
      <c r="F2284" t="s">
        <v>5937</v>
      </c>
      <c r="G2284" s="712">
        <v>0</v>
      </c>
      <c r="H2284">
        <v>0</v>
      </c>
      <c r="I2284" s="713">
        <v>0</v>
      </c>
      <c r="J2284">
        <v>0</v>
      </c>
      <c r="K2284" s="711">
        <v>100330.25</v>
      </c>
      <c r="L2284">
        <v>0</v>
      </c>
      <c r="M2284">
        <v>0</v>
      </c>
      <c r="N2284">
        <v>0</v>
      </c>
      <c r="O2284" s="711">
        <v>100330.25</v>
      </c>
      <c r="P2284" s="711">
        <v>-100330.25</v>
      </c>
    </row>
    <row r="2285" spans="1:16">
      <c r="A2285">
        <v>4</v>
      </c>
      <c r="B2285" t="s">
        <v>12430</v>
      </c>
      <c r="C2285" t="s">
        <v>12432</v>
      </c>
      <c r="D2285" t="s">
        <v>12434</v>
      </c>
      <c r="E2285" t="s">
        <v>5938</v>
      </c>
      <c r="F2285" t="s">
        <v>1252</v>
      </c>
      <c r="G2285" s="712">
        <v>0</v>
      </c>
      <c r="H2285">
        <v>0</v>
      </c>
      <c r="I2285" s="713">
        <v>0</v>
      </c>
      <c r="J2285">
        <v>0</v>
      </c>
      <c r="K2285" s="711">
        <v>4811123.79</v>
      </c>
      <c r="L2285">
        <v>0</v>
      </c>
      <c r="M2285">
        <v>0</v>
      </c>
      <c r="N2285">
        <v>0</v>
      </c>
      <c r="O2285" s="711">
        <v>4811123.79</v>
      </c>
      <c r="P2285" s="711">
        <v>-4811123.79</v>
      </c>
    </row>
    <row r="2286" spans="1:16">
      <c r="A2286">
        <v>4</v>
      </c>
      <c r="B2286" t="s">
        <v>12430</v>
      </c>
      <c r="C2286" t="s">
        <v>12432</v>
      </c>
      <c r="D2286" t="s">
        <v>12434</v>
      </c>
      <c r="E2286" t="s">
        <v>5941</v>
      </c>
      <c r="F2286" t="s">
        <v>1256</v>
      </c>
      <c r="G2286" s="712">
        <v>0</v>
      </c>
      <c r="H2286">
        <v>0</v>
      </c>
      <c r="I2286" s="713">
        <v>0</v>
      </c>
      <c r="J2286">
        <v>0</v>
      </c>
      <c r="K2286" s="711">
        <v>770028.76</v>
      </c>
      <c r="L2286">
        <v>0</v>
      </c>
      <c r="M2286">
        <v>0</v>
      </c>
      <c r="N2286">
        <v>0</v>
      </c>
      <c r="O2286" s="711">
        <v>770028.76</v>
      </c>
      <c r="P2286" s="711">
        <v>-770028.76</v>
      </c>
    </row>
    <row r="2287" spans="1:16">
      <c r="A2287">
        <v>4</v>
      </c>
      <c r="B2287" t="s">
        <v>12430</v>
      </c>
      <c r="C2287" t="s">
        <v>12432</v>
      </c>
      <c r="D2287" t="s">
        <v>12434</v>
      </c>
      <c r="E2287" t="s">
        <v>5945</v>
      </c>
      <c r="F2287" t="s">
        <v>1261</v>
      </c>
      <c r="G2287" s="712">
        <v>0</v>
      </c>
      <c r="H2287">
        <v>0</v>
      </c>
      <c r="I2287" s="713">
        <v>0</v>
      </c>
      <c r="J2287">
        <v>0</v>
      </c>
      <c r="K2287" s="711">
        <v>10030.41</v>
      </c>
      <c r="L2287">
        <v>0</v>
      </c>
      <c r="M2287">
        <v>0</v>
      </c>
      <c r="N2287">
        <v>0</v>
      </c>
      <c r="O2287" s="711">
        <v>10030.41</v>
      </c>
      <c r="P2287" s="711">
        <v>-10030.41</v>
      </c>
    </row>
    <row r="2288" spans="1:16">
      <c r="A2288">
        <v>4</v>
      </c>
      <c r="B2288" t="s">
        <v>12430</v>
      </c>
      <c r="C2288" t="s">
        <v>12432</v>
      </c>
      <c r="D2288" t="s">
        <v>12434</v>
      </c>
      <c r="E2288" t="s">
        <v>5949</v>
      </c>
      <c r="F2288" t="s">
        <v>1266</v>
      </c>
      <c r="G2288" s="712">
        <v>0</v>
      </c>
      <c r="H2288">
        <v>0</v>
      </c>
      <c r="I2288" s="713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</row>
    <row r="2289" spans="1:16">
      <c r="A2289">
        <v>4</v>
      </c>
      <c r="B2289" t="s">
        <v>12430</v>
      </c>
      <c r="C2289" t="s">
        <v>12432</v>
      </c>
      <c r="D2289" t="s">
        <v>12434</v>
      </c>
      <c r="E2289" t="s">
        <v>5955</v>
      </c>
      <c r="F2289" t="s">
        <v>1271</v>
      </c>
      <c r="G2289" s="712">
        <v>0</v>
      </c>
      <c r="H2289">
        <v>0</v>
      </c>
      <c r="I2289" s="713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</row>
    <row r="2290" spans="1:16">
      <c r="A2290">
        <v>4</v>
      </c>
      <c r="B2290" t="s">
        <v>12430</v>
      </c>
      <c r="C2290" t="s">
        <v>12432</v>
      </c>
      <c r="D2290" t="s">
        <v>12434</v>
      </c>
      <c r="E2290" t="s">
        <v>5959</v>
      </c>
      <c r="F2290" t="s">
        <v>1276</v>
      </c>
      <c r="G2290" s="712">
        <v>0</v>
      </c>
      <c r="H2290">
        <v>0</v>
      </c>
      <c r="I2290" s="713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</row>
    <row r="2291" spans="1:16">
      <c r="A2291">
        <v>4</v>
      </c>
      <c r="B2291" t="s">
        <v>12430</v>
      </c>
      <c r="C2291" t="s">
        <v>12432</v>
      </c>
      <c r="D2291" t="s">
        <v>12434</v>
      </c>
      <c r="E2291" t="s">
        <v>5962</v>
      </c>
      <c r="F2291" t="s">
        <v>1280</v>
      </c>
      <c r="G2291" s="712">
        <v>0</v>
      </c>
      <c r="H2291">
        <v>0</v>
      </c>
      <c r="I2291" s="713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</row>
    <row r="2292" spans="1:16">
      <c r="A2292">
        <v>4</v>
      </c>
      <c r="B2292" t="s">
        <v>12430</v>
      </c>
      <c r="C2292" t="s">
        <v>12432</v>
      </c>
      <c r="D2292" t="s">
        <v>12434</v>
      </c>
      <c r="E2292" t="s">
        <v>5964</v>
      </c>
      <c r="F2292" t="s">
        <v>5965</v>
      </c>
      <c r="G2292" s="712">
        <v>0</v>
      </c>
      <c r="H2292">
        <v>0</v>
      </c>
      <c r="I2292" s="713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</row>
    <row r="2293" spans="1:16">
      <c r="A2293">
        <v>4</v>
      </c>
      <c r="B2293" t="s">
        <v>12430</v>
      </c>
      <c r="C2293" t="s">
        <v>12432</v>
      </c>
      <c r="D2293" t="s">
        <v>12434</v>
      </c>
      <c r="E2293" t="s">
        <v>5882</v>
      </c>
      <c r="F2293" t="s">
        <v>5883</v>
      </c>
      <c r="G2293" s="712">
        <v>0</v>
      </c>
      <c r="H2293">
        <v>0</v>
      </c>
      <c r="I2293" s="71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</row>
    <row r="2294" spans="1:16">
      <c r="A2294">
        <v>4</v>
      </c>
      <c r="B2294" t="s">
        <v>12430</v>
      </c>
      <c r="C2294" t="s">
        <v>12432</v>
      </c>
      <c r="D2294" t="s">
        <v>12434</v>
      </c>
      <c r="E2294" t="s">
        <v>5884</v>
      </c>
      <c r="F2294" t="s">
        <v>5885</v>
      </c>
      <c r="G2294" s="712">
        <v>0</v>
      </c>
      <c r="H2294">
        <v>0</v>
      </c>
      <c r="I2294" s="713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</row>
    <row r="2295" spans="1:16">
      <c r="A2295">
        <v>4</v>
      </c>
      <c r="B2295" t="s">
        <v>12430</v>
      </c>
      <c r="C2295" t="s">
        <v>12432</v>
      </c>
      <c r="D2295" t="s">
        <v>12434</v>
      </c>
      <c r="E2295" t="s">
        <v>5886</v>
      </c>
      <c r="F2295" t="s">
        <v>5887</v>
      </c>
      <c r="G2295" s="712">
        <v>0</v>
      </c>
      <c r="H2295">
        <v>0</v>
      </c>
      <c r="I2295" s="713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</row>
    <row r="2296" spans="1:16">
      <c r="A2296">
        <v>4</v>
      </c>
      <c r="B2296" t="s">
        <v>12430</v>
      </c>
      <c r="C2296" t="s">
        <v>12432</v>
      </c>
      <c r="D2296" t="s">
        <v>12434</v>
      </c>
      <c r="E2296" t="s">
        <v>5888</v>
      </c>
      <c r="F2296" t="s">
        <v>5889</v>
      </c>
      <c r="G2296" s="712">
        <v>0</v>
      </c>
      <c r="H2296">
        <v>0</v>
      </c>
      <c r="I2296" s="713">
        <v>0</v>
      </c>
      <c r="J2296">
        <v>0</v>
      </c>
      <c r="K2296" s="711">
        <v>12091.95</v>
      </c>
      <c r="L2296">
        <v>0</v>
      </c>
      <c r="M2296">
        <v>0</v>
      </c>
      <c r="N2296">
        <v>0</v>
      </c>
      <c r="O2296" s="711">
        <v>12091.95</v>
      </c>
      <c r="P2296" s="711">
        <v>-12091.95</v>
      </c>
    </row>
    <row r="2297" spans="1:16">
      <c r="A2297">
        <v>4</v>
      </c>
      <c r="B2297" t="s">
        <v>12430</v>
      </c>
      <c r="C2297" t="s">
        <v>12432</v>
      </c>
      <c r="D2297" t="s">
        <v>12434</v>
      </c>
      <c r="E2297" t="s">
        <v>5892</v>
      </c>
      <c r="F2297" t="s">
        <v>5893</v>
      </c>
      <c r="G2297" s="712">
        <v>0</v>
      </c>
      <c r="H2297">
        <v>0</v>
      </c>
      <c r="I2297" s="713">
        <v>0</v>
      </c>
      <c r="J2297">
        <v>0</v>
      </c>
      <c r="K2297" s="711">
        <v>118872.3</v>
      </c>
      <c r="L2297">
        <v>0</v>
      </c>
      <c r="M2297">
        <v>0</v>
      </c>
      <c r="N2297">
        <v>0</v>
      </c>
      <c r="O2297" s="711">
        <v>118872.3</v>
      </c>
      <c r="P2297" s="711">
        <v>-118872.3</v>
      </c>
    </row>
    <row r="2298" spans="1:16">
      <c r="A2298">
        <v>4</v>
      </c>
      <c r="B2298" t="s">
        <v>12430</v>
      </c>
      <c r="C2298" t="s">
        <v>12432</v>
      </c>
      <c r="D2298" t="s">
        <v>12434</v>
      </c>
      <c r="E2298" t="s">
        <v>5952</v>
      </c>
      <c r="F2298" t="s">
        <v>5953</v>
      </c>
      <c r="G2298" s="712">
        <v>0</v>
      </c>
      <c r="H2298">
        <v>0</v>
      </c>
      <c r="I2298" s="713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</row>
    <row r="2299" spans="1:16">
      <c r="A2299">
        <v>4</v>
      </c>
      <c r="B2299" t="s">
        <v>12430</v>
      </c>
      <c r="C2299" t="s">
        <v>12432</v>
      </c>
      <c r="D2299" t="s">
        <v>12434</v>
      </c>
      <c r="E2299" t="s">
        <v>5894</v>
      </c>
      <c r="F2299" t="s">
        <v>5895</v>
      </c>
      <c r="G2299" s="712">
        <v>0</v>
      </c>
      <c r="H2299">
        <v>0</v>
      </c>
      <c r="I2299" s="713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</row>
    <row r="2300" spans="1:16">
      <c r="A2300">
        <v>4</v>
      </c>
      <c r="B2300" t="s">
        <v>12430</v>
      </c>
      <c r="C2300" t="s">
        <v>12432</v>
      </c>
      <c r="D2300" t="s">
        <v>12434</v>
      </c>
      <c r="E2300" t="s">
        <v>5896</v>
      </c>
      <c r="F2300" t="s">
        <v>5897</v>
      </c>
      <c r="G2300" s="712">
        <v>0</v>
      </c>
      <c r="H2300">
        <v>0</v>
      </c>
      <c r="I2300" s="713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</row>
    <row r="2301" spans="1:16">
      <c r="A2301">
        <v>4</v>
      </c>
      <c r="B2301" t="s">
        <v>12430</v>
      </c>
      <c r="C2301" t="s">
        <v>12432</v>
      </c>
      <c r="D2301" t="s">
        <v>12434</v>
      </c>
      <c r="E2301" t="s">
        <v>5899</v>
      </c>
      <c r="F2301" t="s">
        <v>5900</v>
      </c>
      <c r="G2301" s="712">
        <v>0</v>
      </c>
      <c r="H2301">
        <v>0</v>
      </c>
      <c r="I2301" s="713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</row>
    <row r="2302" spans="1:16" ht="15.75" thickBot="1">
      <c r="A2302">
        <v>4</v>
      </c>
      <c r="B2302" t="s">
        <v>12430</v>
      </c>
      <c r="C2302" t="s">
        <v>12432</v>
      </c>
      <c r="D2302" t="s">
        <v>12434</v>
      </c>
      <c r="E2302" t="s">
        <v>5969</v>
      </c>
      <c r="F2302" t="s">
        <v>1289</v>
      </c>
      <c r="G2302" s="712">
        <v>0</v>
      </c>
      <c r="H2302">
        <v>0</v>
      </c>
      <c r="I2302" s="713">
        <v>0</v>
      </c>
      <c r="J2302">
        <v>0</v>
      </c>
      <c r="K2302" s="711">
        <v>1848621.58</v>
      </c>
      <c r="L2302">
        <v>0</v>
      </c>
      <c r="M2302">
        <v>0</v>
      </c>
      <c r="N2302">
        <v>0</v>
      </c>
      <c r="O2302" s="711">
        <v>1848621.58</v>
      </c>
      <c r="P2302" s="711">
        <v>-1848621.58</v>
      </c>
    </row>
    <row r="2303" spans="1:16" ht="15.75" thickBot="1">
      <c r="A2303" s="727">
        <v>4</v>
      </c>
      <c r="B2303" s="727" t="s">
        <v>12430</v>
      </c>
      <c r="C2303" s="727" t="s">
        <v>12436</v>
      </c>
      <c r="D2303" s="727"/>
      <c r="E2303" s="727"/>
      <c r="F2303" s="745" t="s">
        <v>12437</v>
      </c>
      <c r="G2303" s="738">
        <v>0</v>
      </c>
      <c r="H2303" s="738">
        <v>0</v>
      </c>
      <c r="I2303" s="738">
        <v>0</v>
      </c>
      <c r="J2303" s="738">
        <v>0</v>
      </c>
      <c r="K2303" s="739">
        <v>75923.289999999994</v>
      </c>
      <c r="L2303" s="738">
        <v>0</v>
      </c>
      <c r="M2303" s="738">
        <v>0</v>
      </c>
      <c r="N2303" s="738">
        <v>0</v>
      </c>
      <c r="O2303" s="739">
        <v>75923.289999999994</v>
      </c>
      <c r="P2303" s="739">
        <v>-75923.289999999994</v>
      </c>
    </row>
    <row r="2304" spans="1:16" ht="15.75" thickBot="1">
      <c r="A2304" s="727">
        <v>4</v>
      </c>
      <c r="B2304" s="727" t="s">
        <v>12430</v>
      </c>
      <c r="C2304" s="727" t="s">
        <v>12436</v>
      </c>
      <c r="D2304" s="727" t="s">
        <v>12438</v>
      </c>
      <c r="E2304" s="727"/>
      <c r="F2304" s="729" t="s">
        <v>12437</v>
      </c>
      <c r="G2304" s="738">
        <v>0</v>
      </c>
      <c r="H2304" s="738">
        <v>0</v>
      </c>
      <c r="I2304" s="738">
        <v>0</v>
      </c>
      <c r="J2304" s="738">
        <v>0</v>
      </c>
      <c r="K2304" s="739">
        <v>75923.289999999994</v>
      </c>
      <c r="L2304" s="738">
        <v>0</v>
      </c>
      <c r="M2304" s="738">
        <v>0</v>
      </c>
      <c r="N2304" s="738">
        <v>0</v>
      </c>
      <c r="O2304" s="739">
        <v>75923.289999999994</v>
      </c>
      <c r="P2304" s="739">
        <v>-75923.289999999994</v>
      </c>
    </row>
    <row r="2305" spans="1:16">
      <c r="A2305">
        <v>4</v>
      </c>
      <c r="B2305" t="s">
        <v>12430</v>
      </c>
      <c r="C2305" t="s">
        <v>12436</v>
      </c>
      <c r="D2305" t="s">
        <v>12438</v>
      </c>
      <c r="E2305" t="s">
        <v>5975</v>
      </c>
      <c r="F2305" t="s">
        <v>1300</v>
      </c>
      <c r="G2305" s="712">
        <v>0</v>
      </c>
      <c r="H2305">
        <v>0</v>
      </c>
      <c r="I2305" s="713">
        <v>0</v>
      </c>
      <c r="J2305">
        <v>0</v>
      </c>
      <c r="K2305" s="711">
        <v>1079.06</v>
      </c>
      <c r="L2305">
        <v>0</v>
      </c>
      <c r="M2305">
        <v>0</v>
      </c>
      <c r="N2305">
        <v>0</v>
      </c>
      <c r="O2305" s="711">
        <v>1079.06</v>
      </c>
      <c r="P2305" s="711">
        <v>-1079.06</v>
      </c>
    </row>
    <row r="2306" spans="1:16">
      <c r="A2306">
        <v>4</v>
      </c>
      <c r="B2306" t="s">
        <v>12430</v>
      </c>
      <c r="C2306" t="s">
        <v>12436</v>
      </c>
      <c r="D2306" t="s">
        <v>12438</v>
      </c>
      <c r="E2306" t="s">
        <v>5979</v>
      </c>
      <c r="F2306" t="s">
        <v>1307</v>
      </c>
      <c r="G2306" s="712">
        <v>0</v>
      </c>
      <c r="H2306">
        <v>0</v>
      </c>
      <c r="I2306" s="713">
        <v>0</v>
      </c>
      <c r="J2306">
        <v>0</v>
      </c>
      <c r="K2306">
        <v>529.04999999999995</v>
      </c>
      <c r="L2306">
        <v>0</v>
      </c>
      <c r="M2306">
        <v>0</v>
      </c>
      <c r="N2306">
        <v>0</v>
      </c>
      <c r="O2306">
        <v>529.04999999999995</v>
      </c>
      <c r="P2306">
        <v>-529.04999999999995</v>
      </c>
    </row>
    <row r="2307" spans="1:16">
      <c r="A2307">
        <v>4</v>
      </c>
      <c r="B2307" t="s">
        <v>12430</v>
      </c>
      <c r="C2307" t="s">
        <v>12436</v>
      </c>
      <c r="D2307" t="s">
        <v>12438</v>
      </c>
      <c r="E2307" t="s">
        <v>5983</v>
      </c>
      <c r="F2307" t="s">
        <v>5984</v>
      </c>
      <c r="G2307" s="712">
        <v>0</v>
      </c>
      <c r="H2307">
        <v>0</v>
      </c>
      <c r="I2307" s="713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</row>
    <row r="2308" spans="1:16">
      <c r="A2308">
        <v>4</v>
      </c>
      <c r="B2308" t="s">
        <v>12430</v>
      </c>
      <c r="C2308" t="s">
        <v>12436</v>
      </c>
      <c r="D2308" t="s">
        <v>12438</v>
      </c>
      <c r="E2308" t="s">
        <v>5990</v>
      </c>
      <c r="F2308" t="s">
        <v>1317</v>
      </c>
      <c r="G2308" s="712">
        <v>0</v>
      </c>
      <c r="H2308">
        <v>0</v>
      </c>
      <c r="I2308" s="713">
        <v>0</v>
      </c>
      <c r="J2308">
        <v>0</v>
      </c>
      <c r="K2308" s="711">
        <v>70022.3</v>
      </c>
      <c r="L2308">
        <v>0</v>
      </c>
      <c r="M2308">
        <v>0</v>
      </c>
      <c r="N2308">
        <v>0</v>
      </c>
      <c r="O2308" s="711">
        <v>70022.3</v>
      </c>
      <c r="P2308" s="711">
        <v>-70022.3</v>
      </c>
    </row>
    <row r="2309" spans="1:16">
      <c r="A2309">
        <v>4</v>
      </c>
      <c r="B2309" t="s">
        <v>12430</v>
      </c>
      <c r="C2309" t="s">
        <v>12436</v>
      </c>
      <c r="D2309" t="s">
        <v>12438</v>
      </c>
      <c r="E2309" t="s">
        <v>5994</v>
      </c>
      <c r="F2309" t="s">
        <v>1322</v>
      </c>
      <c r="G2309" s="712">
        <v>0</v>
      </c>
      <c r="H2309">
        <v>0</v>
      </c>
      <c r="I2309" s="713">
        <v>0</v>
      </c>
      <c r="J2309">
        <v>0</v>
      </c>
      <c r="K2309" s="711">
        <v>4292.88</v>
      </c>
      <c r="L2309">
        <v>0</v>
      </c>
      <c r="M2309">
        <v>0</v>
      </c>
      <c r="N2309">
        <v>0</v>
      </c>
      <c r="O2309" s="711">
        <v>4292.88</v>
      </c>
      <c r="P2309" s="711">
        <v>-4292.88</v>
      </c>
    </row>
    <row r="2310" spans="1:16">
      <c r="A2310">
        <v>4</v>
      </c>
      <c r="B2310" t="s">
        <v>12430</v>
      </c>
      <c r="C2310" t="s">
        <v>12436</v>
      </c>
      <c r="D2310" t="s">
        <v>12438</v>
      </c>
      <c r="E2310" t="s">
        <v>5998</v>
      </c>
      <c r="F2310" t="s">
        <v>5965</v>
      </c>
      <c r="G2310" s="712">
        <v>0</v>
      </c>
      <c r="H2310">
        <v>0</v>
      </c>
      <c r="I2310" s="713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</row>
    <row r="2311" spans="1:16">
      <c r="A2311">
        <v>4</v>
      </c>
      <c r="B2311" t="s">
        <v>12430</v>
      </c>
      <c r="C2311" t="s">
        <v>12436</v>
      </c>
      <c r="D2311" t="s">
        <v>12438</v>
      </c>
      <c r="E2311" t="s">
        <v>5987</v>
      </c>
      <c r="F2311" t="s">
        <v>5988</v>
      </c>
      <c r="G2311" s="712">
        <v>0</v>
      </c>
      <c r="H2311">
        <v>0</v>
      </c>
      <c r="I2311" s="713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</row>
    <row r="2312" spans="1:16" ht="15.75" thickBot="1">
      <c r="A2312">
        <v>4</v>
      </c>
      <c r="B2312" t="s">
        <v>12430</v>
      </c>
      <c r="C2312" t="s">
        <v>12436</v>
      </c>
      <c r="D2312" t="s">
        <v>12438</v>
      </c>
      <c r="E2312" t="s">
        <v>6001</v>
      </c>
      <c r="F2312" t="s">
        <v>1328</v>
      </c>
      <c r="G2312" s="712">
        <v>0</v>
      </c>
      <c r="H2312">
        <v>0</v>
      </c>
      <c r="I2312" s="713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</row>
    <row r="2313" spans="1:16" ht="15.75" thickBot="1">
      <c r="A2313" s="727">
        <v>6</v>
      </c>
      <c r="B2313" s="727"/>
      <c r="C2313" s="727"/>
      <c r="D2313" s="727"/>
      <c r="E2313" s="727"/>
      <c r="F2313" s="745" t="s">
        <v>10327</v>
      </c>
      <c r="G2313" s="738">
        <v>0</v>
      </c>
      <c r="H2313" s="738">
        <v>0</v>
      </c>
      <c r="I2313" s="738">
        <v>0</v>
      </c>
      <c r="J2313" s="738">
        <v>0</v>
      </c>
      <c r="K2313" s="739">
        <v>5915.46</v>
      </c>
      <c r="L2313" s="738">
        <v>0</v>
      </c>
      <c r="M2313" s="738">
        <v>0</v>
      </c>
      <c r="N2313" s="738">
        <v>0</v>
      </c>
      <c r="O2313" s="739">
        <v>5915.46</v>
      </c>
      <c r="P2313" s="739">
        <v>-5915.46</v>
      </c>
    </row>
    <row r="2314" spans="1:16" ht="15.75" thickBot="1">
      <c r="A2314" s="727">
        <v>6</v>
      </c>
      <c r="B2314" s="727" t="s">
        <v>12439</v>
      </c>
      <c r="C2314" s="727"/>
      <c r="D2314" s="727"/>
      <c r="E2314" s="727"/>
      <c r="F2314" s="745" t="s">
        <v>12440</v>
      </c>
      <c r="G2314" s="738">
        <v>0</v>
      </c>
      <c r="H2314" s="738">
        <v>0</v>
      </c>
      <c r="I2314" s="738">
        <v>0</v>
      </c>
      <c r="J2314" s="738">
        <v>0</v>
      </c>
      <c r="K2314" s="739">
        <v>5915.46</v>
      </c>
      <c r="L2314" s="738">
        <v>0</v>
      </c>
      <c r="M2314" s="738">
        <v>0</v>
      </c>
      <c r="N2314" s="738">
        <v>0</v>
      </c>
      <c r="O2314" s="739">
        <v>5915.46</v>
      </c>
      <c r="P2314" s="739">
        <v>-5915.46</v>
      </c>
    </row>
    <row r="2315" spans="1:16" ht="15.75" thickBot="1">
      <c r="A2315" s="727">
        <v>6</v>
      </c>
      <c r="B2315" s="727" t="s">
        <v>12439</v>
      </c>
      <c r="C2315" s="727" t="s">
        <v>12441</v>
      </c>
      <c r="D2315" s="727"/>
      <c r="E2315" s="727"/>
      <c r="F2315" s="729" t="s">
        <v>10338</v>
      </c>
      <c r="G2315" s="738">
        <v>0</v>
      </c>
      <c r="H2315" s="738">
        <v>0</v>
      </c>
      <c r="I2315" s="738">
        <v>0</v>
      </c>
      <c r="J2315" s="738">
        <v>0</v>
      </c>
      <c r="K2315" s="738">
        <v>0</v>
      </c>
      <c r="L2315" s="738">
        <v>0</v>
      </c>
      <c r="M2315" s="738">
        <v>0</v>
      </c>
      <c r="N2315" s="738">
        <v>0</v>
      </c>
      <c r="O2315" s="738">
        <v>0</v>
      </c>
      <c r="P2315" s="738">
        <v>0</v>
      </c>
    </row>
    <row r="2316" spans="1:16" ht="15.75" thickBot="1">
      <c r="A2316" s="727">
        <v>6</v>
      </c>
      <c r="B2316" s="727" t="s">
        <v>12439</v>
      </c>
      <c r="C2316" s="727" t="s">
        <v>12441</v>
      </c>
      <c r="D2316" s="727" t="s">
        <v>12442</v>
      </c>
      <c r="E2316" s="727"/>
      <c r="F2316" s="729" t="s">
        <v>10338</v>
      </c>
      <c r="G2316" s="738">
        <v>0</v>
      </c>
      <c r="H2316" s="738">
        <v>0</v>
      </c>
      <c r="I2316" s="738">
        <v>0</v>
      </c>
      <c r="J2316" s="738">
        <v>0</v>
      </c>
      <c r="K2316" s="738">
        <v>0</v>
      </c>
      <c r="L2316" s="738">
        <v>0</v>
      </c>
      <c r="M2316" s="738">
        <v>0</v>
      </c>
      <c r="N2316" s="738">
        <v>0</v>
      </c>
      <c r="O2316" s="738">
        <v>0</v>
      </c>
      <c r="P2316" s="738">
        <v>0</v>
      </c>
    </row>
    <row r="2317" spans="1:16" ht="15.75" thickBot="1">
      <c r="A2317">
        <v>6</v>
      </c>
      <c r="B2317" t="s">
        <v>12439</v>
      </c>
      <c r="C2317" t="s">
        <v>12441</v>
      </c>
      <c r="D2317" t="s">
        <v>12442</v>
      </c>
      <c r="E2317" t="s">
        <v>10337</v>
      </c>
      <c r="F2317" t="s">
        <v>10338</v>
      </c>
      <c r="G2317" s="712">
        <v>0</v>
      </c>
      <c r="H2317">
        <v>0</v>
      </c>
      <c r="I2317" s="713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</row>
    <row r="2318" spans="1:16" ht="15.75" thickBot="1">
      <c r="A2318" s="727">
        <v>6</v>
      </c>
      <c r="B2318" s="727" t="s">
        <v>12439</v>
      </c>
      <c r="C2318" s="727" t="s">
        <v>12443</v>
      </c>
      <c r="D2318" s="727"/>
      <c r="E2318" s="727"/>
      <c r="F2318" s="745" t="s">
        <v>12444</v>
      </c>
      <c r="G2318" s="738">
        <v>0</v>
      </c>
      <c r="H2318" s="738">
        <v>0</v>
      </c>
      <c r="I2318" s="738">
        <v>0</v>
      </c>
      <c r="J2318" s="738">
        <v>0</v>
      </c>
      <c r="K2318" s="738">
        <v>0</v>
      </c>
      <c r="L2318" s="738">
        <v>0</v>
      </c>
      <c r="M2318" s="738">
        <v>0</v>
      </c>
      <c r="N2318" s="738">
        <v>0</v>
      </c>
      <c r="O2318" s="738">
        <v>0</v>
      </c>
      <c r="P2318" s="738">
        <v>0</v>
      </c>
    </row>
    <row r="2319" spans="1:16" ht="15.75" thickBot="1">
      <c r="A2319" s="727">
        <v>6</v>
      </c>
      <c r="B2319" s="727" t="s">
        <v>12439</v>
      </c>
      <c r="C2319" s="727" t="s">
        <v>12443</v>
      </c>
      <c r="D2319" s="727" t="s">
        <v>12445</v>
      </c>
      <c r="E2319" s="727"/>
      <c r="F2319" s="729" t="s">
        <v>12444</v>
      </c>
      <c r="G2319" s="738">
        <v>0</v>
      </c>
      <c r="H2319" s="738">
        <v>0</v>
      </c>
      <c r="I2319" s="738">
        <v>0</v>
      </c>
      <c r="J2319" s="738">
        <v>0</v>
      </c>
      <c r="K2319" s="738">
        <v>0</v>
      </c>
      <c r="L2319" s="738">
        <v>0</v>
      </c>
      <c r="M2319" s="738">
        <v>0</v>
      </c>
      <c r="N2319" s="738">
        <v>0</v>
      </c>
      <c r="O2319" s="738">
        <v>0</v>
      </c>
      <c r="P2319" s="738">
        <v>0</v>
      </c>
    </row>
    <row r="2320" spans="1:16">
      <c r="A2320">
        <v>6</v>
      </c>
      <c r="B2320" t="s">
        <v>12439</v>
      </c>
      <c r="C2320" t="s">
        <v>12443</v>
      </c>
      <c r="D2320" t="s">
        <v>12445</v>
      </c>
      <c r="E2320" t="s">
        <v>10343</v>
      </c>
      <c r="F2320" t="s">
        <v>10344</v>
      </c>
      <c r="G2320" s="712">
        <v>0</v>
      </c>
      <c r="H2320">
        <v>0</v>
      </c>
      <c r="I2320" s="713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</row>
    <row r="2321" spans="1:16" ht="15.75" thickBot="1">
      <c r="A2321">
        <v>6</v>
      </c>
      <c r="B2321" t="s">
        <v>12439</v>
      </c>
      <c r="C2321" t="s">
        <v>12443</v>
      </c>
      <c r="D2321" t="s">
        <v>12445</v>
      </c>
      <c r="E2321" t="s">
        <v>10345</v>
      </c>
      <c r="F2321" t="s">
        <v>10346</v>
      </c>
      <c r="G2321" s="712">
        <v>0</v>
      </c>
      <c r="H2321">
        <v>0</v>
      </c>
      <c r="I2321" s="713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</row>
    <row r="2322" spans="1:16" ht="15.75" thickBot="1">
      <c r="A2322" s="727">
        <v>6</v>
      </c>
      <c r="B2322" s="727" t="s">
        <v>12439</v>
      </c>
      <c r="C2322" s="727" t="s">
        <v>12446</v>
      </c>
      <c r="D2322" s="727"/>
      <c r="E2322" s="727"/>
      <c r="F2322" s="745" t="s">
        <v>10352</v>
      </c>
      <c r="G2322" s="738">
        <v>0</v>
      </c>
      <c r="H2322" s="738">
        <v>0</v>
      </c>
      <c r="I2322" s="738">
        <v>0</v>
      </c>
      <c r="J2322" s="738">
        <v>0</v>
      </c>
      <c r="K2322" s="739">
        <v>5915.46</v>
      </c>
      <c r="L2322" s="738">
        <v>0</v>
      </c>
      <c r="M2322" s="738">
        <v>0</v>
      </c>
      <c r="N2322" s="738">
        <v>0</v>
      </c>
      <c r="O2322" s="739">
        <v>5915.46</v>
      </c>
      <c r="P2322" s="739">
        <v>-5915.46</v>
      </c>
    </row>
    <row r="2323" spans="1:16" ht="15.75" thickBot="1">
      <c r="A2323" s="727">
        <v>6</v>
      </c>
      <c r="B2323" s="727" t="s">
        <v>12439</v>
      </c>
      <c r="C2323" s="727" t="s">
        <v>12446</v>
      </c>
      <c r="D2323" s="727" t="s">
        <v>12447</v>
      </c>
      <c r="E2323" s="727"/>
      <c r="F2323" s="729" t="s">
        <v>10352</v>
      </c>
      <c r="G2323" s="738">
        <v>0</v>
      </c>
      <c r="H2323" s="738">
        <v>0</v>
      </c>
      <c r="I2323" s="738">
        <v>0</v>
      </c>
      <c r="J2323" s="738">
        <v>0</v>
      </c>
      <c r="K2323" s="739">
        <v>5915.46</v>
      </c>
      <c r="L2323" s="738">
        <v>0</v>
      </c>
      <c r="M2323" s="738">
        <v>0</v>
      </c>
      <c r="N2323" s="738">
        <v>0</v>
      </c>
      <c r="O2323" s="739">
        <v>5915.46</v>
      </c>
      <c r="P2323" s="739">
        <v>-5915.46</v>
      </c>
    </row>
    <row r="2324" spans="1:16" ht="15.75" thickBot="1">
      <c r="A2324">
        <v>6</v>
      </c>
      <c r="B2324" t="s">
        <v>12439</v>
      </c>
      <c r="C2324" t="s">
        <v>12446</v>
      </c>
      <c r="D2324" t="s">
        <v>12447</v>
      </c>
      <c r="E2324" t="s">
        <v>10351</v>
      </c>
      <c r="F2324" t="s">
        <v>10352</v>
      </c>
      <c r="G2324" s="712">
        <v>0</v>
      </c>
      <c r="H2324">
        <v>0</v>
      </c>
      <c r="I2324" s="713">
        <v>0</v>
      </c>
      <c r="J2324">
        <v>0</v>
      </c>
      <c r="K2324" s="711">
        <v>5915.46</v>
      </c>
      <c r="L2324">
        <v>0</v>
      </c>
      <c r="M2324">
        <v>0</v>
      </c>
      <c r="N2324">
        <v>0</v>
      </c>
      <c r="O2324" s="711">
        <v>5915.46</v>
      </c>
      <c r="P2324" s="711">
        <v>-5915.46</v>
      </c>
    </row>
    <row r="2325" spans="1:16" ht="15.75" thickBot="1">
      <c r="A2325" s="727">
        <v>6</v>
      </c>
      <c r="B2325" s="727" t="s">
        <v>12448</v>
      </c>
      <c r="C2325" s="727"/>
      <c r="D2325" s="727"/>
      <c r="E2325" s="727"/>
      <c r="F2325" s="745" t="s">
        <v>12449</v>
      </c>
      <c r="G2325" s="738">
        <v>0</v>
      </c>
      <c r="H2325" s="738">
        <v>0</v>
      </c>
      <c r="I2325" s="738">
        <v>0</v>
      </c>
      <c r="J2325" s="738">
        <v>0</v>
      </c>
      <c r="K2325" s="738">
        <v>0</v>
      </c>
      <c r="L2325" s="738">
        <v>0</v>
      </c>
      <c r="M2325" s="738">
        <v>0</v>
      </c>
      <c r="N2325" s="738">
        <v>0</v>
      </c>
      <c r="O2325" s="738">
        <v>0</v>
      </c>
      <c r="P2325" s="738">
        <v>0</v>
      </c>
    </row>
    <row r="2326" spans="1:16" ht="15.75" thickBot="1">
      <c r="A2326" s="727">
        <v>6</v>
      </c>
      <c r="B2326" s="727" t="s">
        <v>12448</v>
      </c>
      <c r="C2326" s="727" t="s">
        <v>12450</v>
      </c>
      <c r="D2326" s="727"/>
      <c r="E2326" s="727"/>
      <c r="F2326" s="729" t="s">
        <v>12451</v>
      </c>
      <c r="G2326" s="738">
        <v>0</v>
      </c>
      <c r="H2326" s="738">
        <v>0</v>
      </c>
      <c r="I2326" s="738">
        <v>0</v>
      </c>
      <c r="J2326" s="738">
        <v>0</v>
      </c>
      <c r="K2326" s="738">
        <v>0</v>
      </c>
      <c r="L2326" s="738">
        <v>0</v>
      </c>
      <c r="M2326" s="738">
        <v>0</v>
      </c>
      <c r="N2326" s="738">
        <v>0</v>
      </c>
      <c r="O2326" s="738">
        <v>0</v>
      </c>
      <c r="P2326" s="738">
        <v>0</v>
      </c>
    </row>
    <row r="2327" spans="1:16" ht="15.75" thickBot="1">
      <c r="A2327" s="727">
        <v>6</v>
      </c>
      <c r="B2327" s="727" t="s">
        <v>12448</v>
      </c>
      <c r="C2327" s="727" t="s">
        <v>12450</v>
      </c>
      <c r="D2327" s="727" t="s">
        <v>12452</v>
      </c>
      <c r="E2327" s="727"/>
      <c r="F2327" s="729" t="s">
        <v>12451</v>
      </c>
      <c r="G2327" s="738">
        <v>0</v>
      </c>
      <c r="H2327" s="738">
        <v>0</v>
      </c>
      <c r="I2327" s="738">
        <v>0</v>
      </c>
      <c r="J2327" s="738">
        <v>0</v>
      </c>
      <c r="K2327" s="738">
        <v>0</v>
      </c>
      <c r="L2327" s="738">
        <v>0</v>
      </c>
      <c r="M2327" s="738">
        <v>0</v>
      </c>
      <c r="N2327" s="738">
        <v>0</v>
      </c>
      <c r="O2327" s="738">
        <v>0</v>
      </c>
      <c r="P2327" s="738">
        <v>0</v>
      </c>
    </row>
    <row r="2328" spans="1:16">
      <c r="A2328">
        <v>6</v>
      </c>
      <c r="B2328" t="s">
        <v>12448</v>
      </c>
      <c r="C2328" t="s">
        <v>12450</v>
      </c>
      <c r="D2328" t="s">
        <v>12452</v>
      </c>
      <c r="E2328" t="s">
        <v>10362</v>
      </c>
      <c r="F2328" t="s">
        <v>10363</v>
      </c>
      <c r="G2328" s="712">
        <v>0</v>
      </c>
      <c r="H2328">
        <v>0</v>
      </c>
      <c r="I2328" s="713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</row>
    <row r="2329" spans="1:16">
      <c r="A2329">
        <v>6</v>
      </c>
      <c r="B2329" t="s">
        <v>12448</v>
      </c>
      <c r="C2329" t="s">
        <v>12450</v>
      </c>
      <c r="D2329" t="s">
        <v>12452</v>
      </c>
      <c r="E2329" t="s">
        <v>10364</v>
      </c>
      <c r="F2329" t="s">
        <v>10365</v>
      </c>
      <c r="G2329" s="712">
        <v>0</v>
      </c>
      <c r="H2329">
        <v>0</v>
      </c>
      <c r="I2329" s="713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</row>
    <row r="2330" spans="1:16">
      <c r="A2330">
        <v>6</v>
      </c>
      <c r="B2330" t="s">
        <v>12448</v>
      </c>
      <c r="C2330" t="s">
        <v>12450</v>
      </c>
      <c r="D2330" t="s">
        <v>12452</v>
      </c>
      <c r="E2330" t="s">
        <v>10366</v>
      </c>
      <c r="F2330" t="s">
        <v>10367</v>
      </c>
      <c r="G2330" s="712">
        <v>0</v>
      </c>
      <c r="H2330">
        <v>0</v>
      </c>
      <c r="I2330" s="713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</row>
    <row r="2331" spans="1:16">
      <c r="A2331">
        <v>6</v>
      </c>
      <c r="B2331" t="s">
        <v>12448</v>
      </c>
      <c r="C2331" t="s">
        <v>12450</v>
      </c>
      <c r="D2331" t="s">
        <v>12452</v>
      </c>
      <c r="E2331" t="s">
        <v>10368</v>
      </c>
      <c r="F2331" t="s">
        <v>10369</v>
      </c>
      <c r="G2331" s="712">
        <v>0</v>
      </c>
      <c r="H2331">
        <v>0</v>
      </c>
      <c r="I2331" s="713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</row>
    <row r="2332" spans="1:16" ht="15.75" thickBot="1">
      <c r="A2332">
        <v>6</v>
      </c>
      <c r="B2332" t="s">
        <v>12448</v>
      </c>
      <c r="C2332" t="s">
        <v>12450</v>
      </c>
      <c r="D2332" t="s">
        <v>12452</v>
      </c>
      <c r="E2332" t="s">
        <v>10370</v>
      </c>
      <c r="F2332" t="s">
        <v>10371</v>
      </c>
      <c r="G2332" s="712">
        <v>0</v>
      </c>
      <c r="H2332">
        <v>0</v>
      </c>
      <c r="I2332" s="713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</row>
    <row r="2333" spans="1:16" ht="15.75" thickBot="1">
      <c r="A2333" s="727">
        <v>6</v>
      </c>
      <c r="B2333" s="727" t="s">
        <v>12448</v>
      </c>
      <c r="C2333" s="727" t="s">
        <v>12453</v>
      </c>
      <c r="D2333" s="727"/>
      <c r="E2333" s="727"/>
      <c r="F2333" s="745" t="s">
        <v>10377</v>
      </c>
      <c r="G2333" s="738">
        <v>0</v>
      </c>
      <c r="H2333" s="738">
        <v>0</v>
      </c>
      <c r="I2333" s="738">
        <v>0</v>
      </c>
      <c r="J2333" s="738">
        <v>0</v>
      </c>
      <c r="K2333" s="738">
        <v>0</v>
      </c>
      <c r="L2333" s="738">
        <v>0</v>
      </c>
      <c r="M2333" s="738">
        <v>0</v>
      </c>
      <c r="N2333" s="738">
        <v>0</v>
      </c>
      <c r="O2333" s="738">
        <v>0</v>
      </c>
      <c r="P2333" s="738">
        <v>0</v>
      </c>
    </row>
    <row r="2334" spans="1:16" ht="15.75" thickBot="1">
      <c r="A2334" s="727">
        <v>6</v>
      </c>
      <c r="B2334" s="727" t="s">
        <v>12448</v>
      </c>
      <c r="C2334" s="727" t="s">
        <v>12453</v>
      </c>
      <c r="D2334" s="727" t="s">
        <v>12454</v>
      </c>
      <c r="E2334" s="727"/>
      <c r="F2334" s="729" t="s">
        <v>10377</v>
      </c>
      <c r="G2334" s="738">
        <v>0</v>
      </c>
      <c r="H2334" s="738">
        <v>0</v>
      </c>
      <c r="I2334" s="738">
        <v>0</v>
      </c>
      <c r="J2334" s="738">
        <v>0</v>
      </c>
      <c r="K2334" s="738">
        <v>0</v>
      </c>
      <c r="L2334" s="738">
        <v>0</v>
      </c>
      <c r="M2334" s="738">
        <v>0</v>
      </c>
      <c r="N2334" s="738">
        <v>0</v>
      </c>
      <c r="O2334" s="738">
        <v>0</v>
      </c>
      <c r="P2334" s="738">
        <v>0</v>
      </c>
    </row>
    <row r="2335" spans="1:16" ht="15.75" thickBot="1">
      <c r="A2335">
        <v>6</v>
      </c>
      <c r="B2335" t="s">
        <v>12448</v>
      </c>
      <c r="C2335" t="s">
        <v>12453</v>
      </c>
      <c r="D2335" t="s">
        <v>12454</v>
      </c>
      <c r="E2335" t="s">
        <v>10376</v>
      </c>
      <c r="F2335" t="s">
        <v>10377</v>
      </c>
      <c r="G2335" s="712">
        <v>0</v>
      </c>
      <c r="H2335">
        <v>0</v>
      </c>
      <c r="I2335" s="713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</row>
    <row r="2336" spans="1:16" ht="15.75" thickBot="1">
      <c r="A2336" s="727">
        <v>6</v>
      </c>
      <c r="B2336" s="727" t="s">
        <v>12448</v>
      </c>
      <c r="C2336" s="727" t="s">
        <v>12455</v>
      </c>
      <c r="D2336" s="727"/>
      <c r="E2336" s="727"/>
      <c r="F2336" s="745" t="s">
        <v>10383</v>
      </c>
      <c r="G2336" s="738">
        <v>0</v>
      </c>
      <c r="H2336" s="738">
        <v>0</v>
      </c>
      <c r="I2336" s="738">
        <v>0</v>
      </c>
      <c r="J2336" s="738">
        <v>0</v>
      </c>
      <c r="K2336" s="738">
        <v>0</v>
      </c>
      <c r="L2336" s="738">
        <v>0</v>
      </c>
      <c r="M2336" s="738">
        <v>0</v>
      </c>
      <c r="N2336" s="738">
        <v>0</v>
      </c>
      <c r="O2336" s="738">
        <v>0</v>
      </c>
      <c r="P2336" s="738">
        <v>0</v>
      </c>
    </row>
    <row r="2337" spans="1:16" ht="15.75" thickBot="1">
      <c r="A2337" s="727">
        <v>6</v>
      </c>
      <c r="B2337" s="727" t="s">
        <v>12448</v>
      </c>
      <c r="C2337" s="727" t="s">
        <v>12455</v>
      </c>
      <c r="D2337" s="727" t="s">
        <v>12456</v>
      </c>
      <c r="E2337" s="727"/>
      <c r="F2337" s="729" t="s">
        <v>10383</v>
      </c>
      <c r="G2337" s="738">
        <v>0</v>
      </c>
      <c r="H2337" s="738">
        <v>0</v>
      </c>
      <c r="I2337" s="738">
        <v>0</v>
      </c>
      <c r="J2337" s="738">
        <v>0</v>
      </c>
      <c r="K2337" s="738">
        <v>0</v>
      </c>
      <c r="L2337" s="738">
        <v>0</v>
      </c>
      <c r="M2337" s="738">
        <v>0</v>
      </c>
      <c r="N2337" s="738">
        <v>0</v>
      </c>
      <c r="O2337" s="738">
        <v>0</v>
      </c>
      <c r="P2337" s="738">
        <v>0</v>
      </c>
    </row>
    <row r="2338" spans="1:16" ht="15.75" thickBot="1">
      <c r="A2338">
        <v>6</v>
      </c>
      <c r="B2338" t="s">
        <v>12448</v>
      </c>
      <c r="C2338" t="s">
        <v>12455</v>
      </c>
      <c r="D2338" t="s">
        <v>12456</v>
      </c>
      <c r="E2338" t="s">
        <v>10382</v>
      </c>
      <c r="F2338" t="s">
        <v>10383</v>
      </c>
      <c r="G2338" s="712">
        <v>0</v>
      </c>
      <c r="H2338">
        <v>0</v>
      </c>
      <c r="I2338" s="713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</row>
    <row r="2339" spans="1:16" ht="15.75" thickBot="1">
      <c r="A2339" s="727">
        <v>6</v>
      </c>
      <c r="B2339" s="727" t="s">
        <v>12448</v>
      </c>
      <c r="C2339" s="727" t="s">
        <v>12457</v>
      </c>
      <c r="D2339" s="727"/>
      <c r="E2339" s="727"/>
      <c r="F2339" s="745" t="s">
        <v>10389</v>
      </c>
      <c r="G2339" s="738">
        <v>0</v>
      </c>
      <c r="H2339" s="738">
        <v>0</v>
      </c>
      <c r="I2339" s="738">
        <v>0</v>
      </c>
      <c r="J2339" s="738">
        <v>0</v>
      </c>
      <c r="K2339" s="738">
        <v>0</v>
      </c>
      <c r="L2339" s="738">
        <v>0</v>
      </c>
      <c r="M2339" s="738">
        <v>0</v>
      </c>
      <c r="N2339" s="738">
        <v>0</v>
      </c>
      <c r="O2339" s="738">
        <v>0</v>
      </c>
      <c r="P2339" s="738">
        <v>0</v>
      </c>
    </row>
    <row r="2340" spans="1:16" ht="15.75" thickBot="1">
      <c r="A2340" s="727">
        <v>6</v>
      </c>
      <c r="B2340" s="727" t="s">
        <v>12448</v>
      </c>
      <c r="C2340" s="727" t="s">
        <v>12457</v>
      </c>
      <c r="D2340" s="727" t="s">
        <v>12458</v>
      </c>
      <c r="E2340" s="727"/>
      <c r="F2340" s="729" t="s">
        <v>10389</v>
      </c>
      <c r="G2340" s="738">
        <v>0</v>
      </c>
      <c r="H2340" s="738">
        <v>0</v>
      </c>
      <c r="I2340" s="738">
        <v>0</v>
      </c>
      <c r="J2340" s="738">
        <v>0</v>
      </c>
      <c r="K2340" s="738">
        <v>0</v>
      </c>
      <c r="L2340" s="738">
        <v>0</v>
      </c>
      <c r="M2340" s="738">
        <v>0</v>
      </c>
      <c r="N2340" s="738">
        <v>0</v>
      </c>
      <c r="O2340" s="738">
        <v>0</v>
      </c>
      <c r="P2340" s="738">
        <v>0</v>
      </c>
    </row>
    <row r="2341" spans="1:16" ht="15.75" thickBot="1">
      <c r="A2341">
        <v>6</v>
      </c>
      <c r="B2341" t="s">
        <v>12448</v>
      </c>
      <c r="C2341" t="s">
        <v>12457</v>
      </c>
      <c r="D2341" t="s">
        <v>12458</v>
      </c>
      <c r="E2341" t="s">
        <v>10388</v>
      </c>
      <c r="F2341" t="s">
        <v>10389</v>
      </c>
      <c r="G2341" s="712">
        <v>0</v>
      </c>
      <c r="H2341">
        <v>0</v>
      </c>
      <c r="I2341" s="713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</row>
    <row r="2342" spans="1:16" ht="15.75" thickBot="1">
      <c r="A2342" s="727">
        <v>6</v>
      </c>
      <c r="B2342" s="727" t="s">
        <v>12448</v>
      </c>
      <c r="C2342" s="727" t="s">
        <v>12459</v>
      </c>
      <c r="D2342" s="727"/>
      <c r="E2342" s="727"/>
      <c r="F2342" s="745" t="s">
        <v>10395</v>
      </c>
      <c r="G2342" s="738">
        <v>0</v>
      </c>
      <c r="H2342" s="738">
        <v>0</v>
      </c>
      <c r="I2342" s="738">
        <v>0</v>
      </c>
      <c r="J2342" s="738">
        <v>0</v>
      </c>
      <c r="K2342" s="738">
        <v>0</v>
      </c>
      <c r="L2342" s="738">
        <v>0</v>
      </c>
      <c r="M2342" s="738">
        <v>0</v>
      </c>
      <c r="N2342" s="738">
        <v>0</v>
      </c>
      <c r="O2342" s="738">
        <v>0</v>
      </c>
      <c r="P2342" s="738">
        <v>0</v>
      </c>
    </row>
    <row r="2343" spans="1:16" ht="15.75" thickBot="1">
      <c r="A2343" s="727">
        <v>6</v>
      </c>
      <c r="B2343" s="727" t="s">
        <v>12448</v>
      </c>
      <c r="C2343" s="727" t="s">
        <v>12459</v>
      </c>
      <c r="D2343" s="727" t="s">
        <v>12460</v>
      </c>
      <c r="E2343" s="727"/>
      <c r="F2343" s="729" t="s">
        <v>10395</v>
      </c>
      <c r="G2343" s="738">
        <v>0</v>
      </c>
      <c r="H2343" s="738">
        <v>0</v>
      </c>
      <c r="I2343" s="738">
        <v>0</v>
      </c>
      <c r="J2343" s="738">
        <v>0</v>
      </c>
      <c r="K2343" s="738">
        <v>0</v>
      </c>
      <c r="L2343" s="738">
        <v>0</v>
      </c>
      <c r="M2343" s="738">
        <v>0</v>
      </c>
      <c r="N2343" s="738">
        <v>0</v>
      </c>
      <c r="O2343" s="738">
        <v>0</v>
      </c>
      <c r="P2343" s="738">
        <v>0</v>
      </c>
    </row>
    <row r="2344" spans="1:16" ht="15.75" thickBot="1">
      <c r="A2344">
        <v>6</v>
      </c>
      <c r="B2344" t="s">
        <v>12448</v>
      </c>
      <c r="C2344" t="s">
        <v>12459</v>
      </c>
      <c r="D2344" t="s">
        <v>12460</v>
      </c>
      <c r="E2344" t="s">
        <v>10394</v>
      </c>
      <c r="F2344" t="s">
        <v>10395</v>
      </c>
      <c r="G2344" s="712">
        <v>0</v>
      </c>
      <c r="H2344">
        <v>0</v>
      </c>
      <c r="I2344" s="713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</row>
    <row r="2345" spans="1:16" ht="15.75" thickBot="1">
      <c r="A2345" s="727">
        <v>8</v>
      </c>
      <c r="B2345" s="727"/>
      <c r="C2345" s="727"/>
      <c r="D2345" s="727"/>
      <c r="E2345" s="727"/>
      <c r="F2345" s="745" t="s">
        <v>10464</v>
      </c>
      <c r="G2345" s="738">
        <v>0</v>
      </c>
      <c r="H2345" s="738">
        <v>0</v>
      </c>
      <c r="I2345" s="738">
        <v>0</v>
      </c>
      <c r="J2345" s="739">
        <v>72984.28</v>
      </c>
      <c r="K2345" s="739">
        <v>9042080.1999999993</v>
      </c>
      <c r="L2345" s="738">
        <v>0</v>
      </c>
      <c r="M2345" s="738">
        <v>0</v>
      </c>
      <c r="N2345" s="739">
        <v>72984.28</v>
      </c>
      <c r="O2345" s="739">
        <v>9042080.1999999993</v>
      </c>
      <c r="P2345" s="739">
        <v>-8969095.9199999999</v>
      </c>
    </row>
    <row r="2346" spans="1:16" ht="15.75" thickBot="1">
      <c r="A2346" s="727">
        <v>8</v>
      </c>
      <c r="B2346" s="727" t="s">
        <v>12461</v>
      </c>
      <c r="C2346" s="727"/>
      <c r="D2346" s="727"/>
      <c r="E2346" s="727"/>
      <c r="F2346" s="745" t="s">
        <v>12462</v>
      </c>
      <c r="G2346" s="738">
        <v>0</v>
      </c>
      <c r="H2346" s="738">
        <v>0</v>
      </c>
      <c r="I2346" s="738">
        <v>0</v>
      </c>
      <c r="J2346" s="739">
        <v>72984.28</v>
      </c>
      <c r="K2346" s="739">
        <v>9042080.1999999993</v>
      </c>
      <c r="L2346" s="738">
        <v>0</v>
      </c>
      <c r="M2346" s="738">
        <v>0</v>
      </c>
      <c r="N2346" s="739">
        <v>72984.28</v>
      </c>
      <c r="O2346" s="739">
        <v>9042080.1999999993</v>
      </c>
      <c r="P2346" s="739">
        <v>-8969095.9199999999</v>
      </c>
    </row>
    <row r="2347" spans="1:16" ht="15.75" thickBot="1">
      <c r="A2347" s="727">
        <v>8</v>
      </c>
      <c r="B2347" s="727" t="s">
        <v>12461</v>
      </c>
      <c r="C2347" s="727" t="s">
        <v>12463</v>
      </c>
      <c r="D2347" s="727"/>
      <c r="E2347" s="727"/>
      <c r="F2347" s="729" t="s">
        <v>12464</v>
      </c>
      <c r="G2347" s="738">
        <v>0</v>
      </c>
      <c r="H2347" s="738">
        <v>0</v>
      </c>
      <c r="I2347" s="738">
        <v>0</v>
      </c>
      <c r="J2347" s="738">
        <v>0</v>
      </c>
      <c r="K2347" s="738">
        <v>0</v>
      </c>
      <c r="L2347" s="738">
        <v>0</v>
      </c>
      <c r="M2347" s="738">
        <v>0</v>
      </c>
      <c r="N2347" s="738">
        <v>0</v>
      </c>
      <c r="O2347" s="738">
        <v>0</v>
      </c>
      <c r="P2347" s="738">
        <v>0</v>
      </c>
    </row>
    <row r="2348" spans="1:16" ht="15.75" thickBot="1">
      <c r="A2348" s="727">
        <v>8</v>
      </c>
      <c r="B2348" s="727" t="s">
        <v>12461</v>
      </c>
      <c r="C2348" s="727" t="s">
        <v>12463</v>
      </c>
      <c r="D2348" s="727" t="s">
        <v>12465</v>
      </c>
      <c r="E2348" s="727"/>
      <c r="F2348" s="729" t="s">
        <v>12464</v>
      </c>
      <c r="G2348" s="738">
        <v>0</v>
      </c>
      <c r="H2348" s="738">
        <v>0</v>
      </c>
      <c r="I2348" s="738">
        <v>0</v>
      </c>
      <c r="J2348" s="738">
        <v>0</v>
      </c>
      <c r="K2348" s="738">
        <v>0</v>
      </c>
      <c r="L2348" s="738">
        <v>0</v>
      </c>
      <c r="M2348" s="738">
        <v>0</v>
      </c>
      <c r="N2348" s="738">
        <v>0</v>
      </c>
      <c r="O2348" s="738">
        <v>0</v>
      </c>
      <c r="P2348" s="738">
        <v>0</v>
      </c>
    </row>
    <row r="2349" spans="1:16">
      <c r="A2349">
        <v>8</v>
      </c>
      <c r="B2349" t="s">
        <v>12461</v>
      </c>
      <c r="C2349" t="s">
        <v>12463</v>
      </c>
      <c r="D2349" t="s">
        <v>12465</v>
      </c>
      <c r="E2349" t="s">
        <v>10474</v>
      </c>
      <c r="F2349" t="s">
        <v>10475</v>
      </c>
      <c r="G2349" s="712">
        <v>0</v>
      </c>
      <c r="H2349">
        <v>0</v>
      </c>
      <c r="I2349" s="713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</row>
    <row r="2350" spans="1:16">
      <c r="A2350">
        <v>8</v>
      </c>
      <c r="B2350" t="s">
        <v>12461</v>
      </c>
      <c r="C2350" t="s">
        <v>12463</v>
      </c>
      <c r="D2350" t="s">
        <v>12465</v>
      </c>
      <c r="E2350" t="s">
        <v>10476</v>
      </c>
      <c r="F2350" t="s">
        <v>10477</v>
      </c>
      <c r="G2350" s="712">
        <v>0</v>
      </c>
      <c r="H2350">
        <v>0</v>
      </c>
      <c r="I2350" s="713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</row>
    <row r="2351" spans="1:16">
      <c r="A2351">
        <v>8</v>
      </c>
      <c r="B2351" t="s">
        <v>12461</v>
      </c>
      <c r="C2351" t="s">
        <v>12463</v>
      </c>
      <c r="D2351" t="s">
        <v>12465</v>
      </c>
      <c r="E2351" t="s">
        <v>10478</v>
      </c>
      <c r="F2351" t="s">
        <v>10479</v>
      </c>
      <c r="G2351" s="712">
        <v>0</v>
      </c>
      <c r="H2351">
        <v>0</v>
      </c>
      <c r="I2351" s="713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</row>
    <row r="2352" spans="1:16">
      <c r="A2352">
        <v>8</v>
      </c>
      <c r="B2352" t="s">
        <v>12461</v>
      </c>
      <c r="C2352" t="s">
        <v>12463</v>
      </c>
      <c r="D2352" t="s">
        <v>12465</v>
      </c>
      <c r="E2352" t="s">
        <v>10480</v>
      </c>
      <c r="F2352" t="s">
        <v>10481</v>
      </c>
      <c r="G2352" s="712">
        <v>0</v>
      </c>
      <c r="H2352">
        <v>0</v>
      </c>
      <c r="I2352" s="713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</row>
    <row r="2353" spans="1:16">
      <c r="A2353">
        <v>8</v>
      </c>
      <c r="B2353" t="s">
        <v>12461</v>
      </c>
      <c r="C2353" t="s">
        <v>12463</v>
      </c>
      <c r="D2353" t="s">
        <v>12465</v>
      </c>
      <c r="E2353" t="s">
        <v>10482</v>
      </c>
      <c r="F2353" t="s">
        <v>10483</v>
      </c>
      <c r="G2353" s="712">
        <v>0</v>
      </c>
      <c r="H2353">
        <v>0</v>
      </c>
      <c r="I2353" s="71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</row>
    <row r="2354" spans="1:16">
      <c r="A2354">
        <v>8</v>
      </c>
      <c r="B2354" t="s">
        <v>12461</v>
      </c>
      <c r="C2354" t="s">
        <v>12463</v>
      </c>
      <c r="D2354" t="s">
        <v>12465</v>
      </c>
      <c r="E2354" t="s">
        <v>10484</v>
      </c>
      <c r="F2354" t="s">
        <v>10485</v>
      </c>
      <c r="G2354" s="712">
        <v>0</v>
      </c>
      <c r="H2354">
        <v>0</v>
      </c>
      <c r="I2354" s="713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</row>
    <row r="2355" spans="1:16">
      <c r="A2355">
        <v>8</v>
      </c>
      <c r="B2355" t="s">
        <v>12461</v>
      </c>
      <c r="C2355" t="s">
        <v>12463</v>
      </c>
      <c r="D2355" t="s">
        <v>12465</v>
      </c>
      <c r="E2355" t="s">
        <v>10486</v>
      </c>
      <c r="F2355" t="s">
        <v>10487</v>
      </c>
      <c r="G2355" s="712">
        <v>0</v>
      </c>
      <c r="H2355">
        <v>0</v>
      </c>
      <c r="I2355" s="713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</row>
    <row r="2356" spans="1:16">
      <c r="A2356">
        <v>8</v>
      </c>
      <c r="B2356" t="s">
        <v>12461</v>
      </c>
      <c r="C2356" t="s">
        <v>12463</v>
      </c>
      <c r="D2356" t="s">
        <v>12465</v>
      </c>
      <c r="E2356" t="s">
        <v>10488</v>
      </c>
      <c r="F2356" t="s">
        <v>10489</v>
      </c>
      <c r="G2356" s="712">
        <v>0</v>
      </c>
      <c r="H2356">
        <v>0</v>
      </c>
      <c r="I2356" s="713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</row>
    <row r="2357" spans="1:16">
      <c r="A2357">
        <v>8</v>
      </c>
      <c r="B2357" t="s">
        <v>12461</v>
      </c>
      <c r="C2357" t="s">
        <v>12463</v>
      </c>
      <c r="D2357" t="s">
        <v>12465</v>
      </c>
      <c r="E2357" t="s">
        <v>10490</v>
      </c>
      <c r="F2357" t="s">
        <v>10491</v>
      </c>
      <c r="G2357" s="712">
        <v>0</v>
      </c>
      <c r="H2357">
        <v>0</v>
      </c>
      <c r="I2357" s="713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</row>
    <row r="2358" spans="1:16">
      <c r="A2358">
        <v>8</v>
      </c>
      <c r="B2358" t="s">
        <v>12461</v>
      </c>
      <c r="C2358" t="s">
        <v>12463</v>
      </c>
      <c r="D2358" t="s">
        <v>12465</v>
      </c>
      <c r="E2358" t="s">
        <v>10492</v>
      </c>
      <c r="F2358" t="s">
        <v>10493</v>
      </c>
      <c r="G2358" s="712">
        <v>0</v>
      </c>
      <c r="H2358">
        <v>0</v>
      </c>
      <c r="I2358" s="713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</row>
    <row r="2359" spans="1:16">
      <c r="A2359">
        <v>8</v>
      </c>
      <c r="B2359" t="s">
        <v>12461</v>
      </c>
      <c r="C2359" t="s">
        <v>12463</v>
      </c>
      <c r="D2359" t="s">
        <v>12465</v>
      </c>
      <c r="E2359" t="s">
        <v>10494</v>
      </c>
      <c r="F2359" t="s">
        <v>10495</v>
      </c>
      <c r="G2359" s="712">
        <v>0</v>
      </c>
      <c r="H2359">
        <v>0</v>
      </c>
      <c r="I2359" s="713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</row>
    <row r="2360" spans="1:16">
      <c r="A2360">
        <v>8</v>
      </c>
      <c r="B2360" t="s">
        <v>12461</v>
      </c>
      <c r="C2360" t="s">
        <v>12463</v>
      </c>
      <c r="D2360" t="s">
        <v>12465</v>
      </c>
      <c r="E2360" t="s">
        <v>10497</v>
      </c>
      <c r="F2360" t="s">
        <v>10498</v>
      </c>
      <c r="G2360" s="712">
        <v>0</v>
      </c>
      <c r="H2360">
        <v>0</v>
      </c>
      <c r="I2360" s="713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</row>
    <row r="2361" spans="1:16">
      <c r="A2361">
        <v>8</v>
      </c>
      <c r="B2361" t="s">
        <v>12461</v>
      </c>
      <c r="C2361" t="s">
        <v>12463</v>
      </c>
      <c r="D2361" t="s">
        <v>12465</v>
      </c>
      <c r="E2361" t="s">
        <v>10499</v>
      </c>
      <c r="F2361" t="s">
        <v>10500</v>
      </c>
      <c r="G2361" s="712">
        <v>0</v>
      </c>
      <c r="H2361">
        <v>0</v>
      </c>
      <c r="I2361" s="713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</row>
    <row r="2362" spans="1:16">
      <c r="A2362">
        <v>8</v>
      </c>
      <c r="B2362" t="s">
        <v>12461</v>
      </c>
      <c r="C2362" t="s">
        <v>12463</v>
      </c>
      <c r="D2362" t="s">
        <v>12465</v>
      </c>
      <c r="E2362" t="s">
        <v>10501</v>
      </c>
      <c r="F2362" t="s">
        <v>10502</v>
      </c>
      <c r="G2362" s="712">
        <v>0</v>
      </c>
      <c r="H2362">
        <v>0</v>
      </c>
      <c r="I2362" s="713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</row>
    <row r="2363" spans="1:16">
      <c r="A2363">
        <v>8</v>
      </c>
      <c r="B2363" t="s">
        <v>12461</v>
      </c>
      <c r="C2363" t="s">
        <v>12463</v>
      </c>
      <c r="D2363" t="s">
        <v>12465</v>
      </c>
      <c r="E2363" t="s">
        <v>10503</v>
      </c>
      <c r="F2363" t="s">
        <v>10504</v>
      </c>
      <c r="G2363" s="712">
        <v>0</v>
      </c>
      <c r="H2363">
        <v>0</v>
      </c>
      <c r="I2363" s="71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</row>
    <row r="2364" spans="1:16">
      <c r="A2364">
        <v>8</v>
      </c>
      <c r="B2364" t="s">
        <v>12461</v>
      </c>
      <c r="C2364" t="s">
        <v>12463</v>
      </c>
      <c r="D2364" t="s">
        <v>12465</v>
      </c>
      <c r="E2364" t="s">
        <v>10505</v>
      </c>
      <c r="F2364" t="s">
        <v>10506</v>
      </c>
      <c r="G2364" s="712">
        <v>0</v>
      </c>
      <c r="H2364">
        <v>0</v>
      </c>
      <c r="I2364" s="713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</row>
    <row r="2365" spans="1:16">
      <c r="A2365">
        <v>8</v>
      </c>
      <c r="B2365" t="s">
        <v>12461</v>
      </c>
      <c r="C2365" t="s">
        <v>12463</v>
      </c>
      <c r="D2365" t="s">
        <v>12465</v>
      </c>
      <c r="E2365" t="s">
        <v>10507</v>
      </c>
      <c r="F2365" t="s">
        <v>10508</v>
      </c>
      <c r="G2365" s="712">
        <v>0</v>
      </c>
      <c r="H2365">
        <v>0</v>
      </c>
      <c r="I2365" s="713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</row>
    <row r="2366" spans="1:16">
      <c r="A2366">
        <v>8</v>
      </c>
      <c r="B2366" t="s">
        <v>12461</v>
      </c>
      <c r="C2366" t="s">
        <v>12463</v>
      </c>
      <c r="D2366" t="s">
        <v>12465</v>
      </c>
      <c r="E2366" t="s">
        <v>10509</v>
      </c>
      <c r="F2366" t="s">
        <v>10510</v>
      </c>
      <c r="G2366" s="712">
        <v>0</v>
      </c>
      <c r="H2366">
        <v>0</v>
      </c>
      <c r="I2366" s="713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</row>
    <row r="2367" spans="1:16">
      <c r="A2367">
        <v>8</v>
      </c>
      <c r="B2367" t="s">
        <v>12461</v>
      </c>
      <c r="C2367" t="s">
        <v>12463</v>
      </c>
      <c r="D2367" t="s">
        <v>12465</v>
      </c>
      <c r="E2367" t="s">
        <v>10511</v>
      </c>
      <c r="F2367" t="s">
        <v>10512</v>
      </c>
      <c r="G2367" s="712">
        <v>0</v>
      </c>
      <c r="H2367">
        <v>0</v>
      </c>
      <c r="I2367" s="713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</row>
    <row r="2368" spans="1:16">
      <c r="A2368">
        <v>8</v>
      </c>
      <c r="B2368" t="s">
        <v>12461</v>
      </c>
      <c r="C2368" t="s">
        <v>12463</v>
      </c>
      <c r="D2368" t="s">
        <v>12465</v>
      </c>
      <c r="E2368" t="s">
        <v>10513</v>
      </c>
      <c r="F2368" t="s">
        <v>10514</v>
      </c>
      <c r="G2368" s="712">
        <v>0</v>
      </c>
      <c r="H2368">
        <v>0</v>
      </c>
      <c r="I2368" s="713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</row>
    <row r="2369" spans="1:16">
      <c r="A2369">
        <v>8</v>
      </c>
      <c r="B2369" t="s">
        <v>12461</v>
      </c>
      <c r="C2369" t="s">
        <v>12463</v>
      </c>
      <c r="D2369" t="s">
        <v>12465</v>
      </c>
      <c r="E2369" t="s">
        <v>10515</v>
      </c>
      <c r="F2369" t="s">
        <v>10516</v>
      </c>
      <c r="G2369" s="712">
        <v>0</v>
      </c>
      <c r="H2369">
        <v>0</v>
      </c>
      <c r="I2369" s="713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</row>
    <row r="2370" spans="1:16">
      <c r="A2370">
        <v>8</v>
      </c>
      <c r="B2370" t="s">
        <v>12461</v>
      </c>
      <c r="C2370" t="s">
        <v>12463</v>
      </c>
      <c r="D2370" t="s">
        <v>12465</v>
      </c>
      <c r="E2370" t="s">
        <v>10517</v>
      </c>
      <c r="F2370" t="s">
        <v>10518</v>
      </c>
      <c r="G2370" s="712">
        <v>0</v>
      </c>
      <c r="H2370">
        <v>0</v>
      </c>
      <c r="I2370" s="713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</row>
    <row r="2371" spans="1:16">
      <c r="A2371">
        <v>8</v>
      </c>
      <c r="B2371" t="s">
        <v>12461</v>
      </c>
      <c r="C2371" t="s">
        <v>12463</v>
      </c>
      <c r="D2371" t="s">
        <v>12465</v>
      </c>
      <c r="E2371" t="s">
        <v>10519</v>
      </c>
      <c r="F2371" t="s">
        <v>10520</v>
      </c>
      <c r="G2371" s="712">
        <v>0</v>
      </c>
      <c r="H2371">
        <v>0</v>
      </c>
      <c r="I2371" s="713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</row>
    <row r="2372" spans="1:16">
      <c r="A2372">
        <v>8</v>
      </c>
      <c r="B2372" t="s">
        <v>12461</v>
      </c>
      <c r="C2372" t="s">
        <v>12463</v>
      </c>
      <c r="D2372" t="s">
        <v>12465</v>
      </c>
      <c r="E2372" t="s">
        <v>10521</v>
      </c>
      <c r="F2372" t="s">
        <v>10522</v>
      </c>
      <c r="G2372" s="712">
        <v>0</v>
      </c>
      <c r="H2372">
        <v>0</v>
      </c>
      <c r="I2372" s="713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</row>
    <row r="2373" spans="1:16">
      <c r="A2373">
        <v>8</v>
      </c>
      <c r="B2373" t="s">
        <v>12461</v>
      </c>
      <c r="C2373" t="s">
        <v>12463</v>
      </c>
      <c r="D2373" t="s">
        <v>12465</v>
      </c>
      <c r="E2373" t="s">
        <v>10523</v>
      </c>
      <c r="F2373" t="s">
        <v>10524</v>
      </c>
      <c r="G2373" s="712">
        <v>0</v>
      </c>
      <c r="H2373">
        <v>0</v>
      </c>
      <c r="I2373" s="71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</row>
    <row r="2374" spans="1:16">
      <c r="A2374">
        <v>8</v>
      </c>
      <c r="B2374" t="s">
        <v>12461</v>
      </c>
      <c r="C2374" t="s">
        <v>12463</v>
      </c>
      <c r="D2374" t="s">
        <v>12465</v>
      </c>
      <c r="E2374" t="s">
        <v>10525</v>
      </c>
      <c r="F2374" t="s">
        <v>10526</v>
      </c>
      <c r="G2374" s="712">
        <v>0</v>
      </c>
      <c r="H2374">
        <v>0</v>
      </c>
      <c r="I2374" s="713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</row>
    <row r="2375" spans="1:16">
      <c r="A2375">
        <v>8</v>
      </c>
      <c r="B2375" t="s">
        <v>12461</v>
      </c>
      <c r="C2375" t="s">
        <v>12463</v>
      </c>
      <c r="D2375" t="s">
        <v>12465</v>
      </c>
      <c r="E2375" t="s">
        <v>10527</v>
      </c>
      <c r="F2375" t="s">
        <v>10528</v>
      </c>
      <c r="G2375" s="712">
        <v>0</v>
      </c>
      <c r="H2375">
        <v>0</v>
      </c>
      <c r="I2375" s="713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</row>
    <row r="2376" spans="1:16">
      <c r="A2376">
        <v>8</v>
      </c>
      <c r="B2376" t="s">
        <v>12461</v>
      </c>
      <c r="C2376" t="s">
        <v>12463</v>
      </c>
      <c r="D2376" t="s">
        <v>12465</v>
      </c>
      <c r="E2376" t="s">
        <v>10529</v>
      </c>
      <c r="F2376" t="s">
        <v>10530</v>
      </c>
      <c r="G2376" s="712">
        <v>0</v>
      </c>
      <c r="H2376">
        <v>0</v>
      </c>
      <c r="I2376" s="713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</row>
    <row r="2377" spans="1:16">
      <c r="A2377">
        <v>8</v>
      </c>
      <c r="B2377" t="s">
        <v>12461</v>
      </c>
      <c r="C2377" t="s">
        <v>12463</v>
      </c>
      <c r="D2377" t="s">
        <v>12465</v>
      </c>
      <c r="E2377" t="s">
        <v>10531</v>
      </c>
      <c r="F2377" t="s">
        <v>10532</v>
      </c>
      <c r="G2377" s="712">
        <v>0</v>
      </c>
      <c r="H2377">
        <v>0</v>
      </c>
      <c r="I2377" s="713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</row>
    <row r="2378" spans="1:16">
      <c r="A2378">
        <v>8</v>
      </c>
      <c r="B2378" t="s">
        <v>12461</v>
      </c>
      <c r="C2378" t="s">
        <v>12463</v>
      </c>
      <c r="D2378" t="s">
        <v>12465</v>
      </c>
      <c r="E2378" t="s">
        <v>10533</v>
      </c>
      <c r="F2378" t="s">
        <v>10534</v>
      </c>
      <c r="G2378" s="712">
        <v>0</v>
      </c>
      <c r="H2378">
        <v>0</v>
      </c>
      <c r="I2378" s="713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</row>
    <row r="2379" spans="1:16">
      <c r="A2379">
        <v>8</v>
      </c>
      <c r="B2379" t="s">
        <v>12461</v>
      </c>
      <c r="C2379" t="s">
        <v>12463</v>
      </c>
      <c r="D2379" t="s">
        <v>12465</v>
      </c>
      <c r="E2379" t="s">
        <v>10535</v>
      </c>
      <c r="F2379" t="s">
        <v>10536</v>
      </c>
      <c r="G2379" s="712">
        <v>0</v>
      </c>
      <c r="H2379">
        <v>0</v>
      </c>
      <c r="I2379" s="713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</row>
    <row r="2380" spans="1:16">
      <c r="A2380">
        <v>8</v>
      </c>
      <c r="B2380" t="s">
        <v>12461</v>
      </c>
      <c r="C2380" t="s">
        <v>12463</v>
      </c>
      <c r="D2380" t="s">
        <v>12465</v>
      </c>
      <c r="E2380" t="s">
        <v>10537</v>
      </c>
      <c r="F2380" t="s">
        <v>10538</v>
      </c>
      <c r="G2380" s="712">
        <v>0</v>
      </c>
      <c r="H2380">
        <v>0</v>
      </c>
      <c r="I2380" s="713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</row>
    <row r="2381" spans="1:16">
      <c r="A2381">
        <v>8</v>
      </c>
      <c r="B2381" t="s">
        <v>12461</v>
      </c>
      <c r="C2381" t="s">
        <v>12463</v>
      </c>
      <c r="D2381" t="s">
        <v>12465</v>
      </c>
      <c r="E2381" t="s">
        <v>10539</v>
      </c>
      <c r="F2381" t="s">
        <v>10540</v>
      </c>
      <c r="G2381" s="712">
        <v>0</v>
      </c>
      <c r="H2381">
        <v>0</v>
      </c>
      <c r="I2381" s="713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</row>
    <row r="2382" spans="1:16">
      <c r="A2382">
        <v>8</v>
      </c>
      <c r="B2382" t="s">
        <v>12461</v>
      </c>
      <c r="C2382" t="s">
        <v>12463</v>
      </c>
      <c r="D2382" t="s">
        <v>12465</v>
      </c>
      <c r="E2382" t="s">
        <v>10541</v>
      </c>
      <c r="F2382" t="s">
        <v>10542</v>
      </c>
      <c r="G2382" s="712">
        <v>0</v>
      </c>
      <c r="H2382">
        <v>0</v>
      </c>
      <c r="I2382" s="713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</row>
    <row r="2383" spans="1:16">
      <c r="A2383">
        <v>8</v>
      </c>
      <c r="B2383" t="s">
        <v>12461</v>
      </c>
      <c r="C2383" t="s">
        <v>12463</v>
      </c>
      <c r="D2383" t="s">
        <v>12465</v>
      </c>
      <c r="E2383" t="s">
        <v>10543</v>
      </c>
      <c r="F2383" t="s">
        <v>10544</v>
      </c>
      <c r="G2383" s="712">
        <v>0</v>
      </c>
      <c r="H2383">
        <v>0</v>
      </c>
      <c r="I2383" s="71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</row>
    <row r="2384" spans="1:16">
      <c r="A2384">
        <v>8</v>
      </c>
      <c r="B2384" t="s">
        <v>12461</v>
      </c>
      <c r="C2384" t="s">
        <v>12463</v>
      </c>
      <c r="D2384" t="s">
        <v>12465</v>
      </c>
      <c r="E2384" t="s">
        <v>10545</v>
      </c>
      <c r="F2384" t="s">
        <v>10546</v>
      </c>
      <c r="G2384" s="712">
        <v>0</v>
      </c>
      <c r="H2384">
        <v>0</v>
      </c>
      <c r="I2384" s="713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</row>
    <row r="2385" spans="1:16">
      <c r="A2385">
        <v>8</v>
      </c>
      <c r="B2385" t="s">
        <v>12461</v>
      </c>
      <c r="C2385" t="s">
        <v>12463</v>
      </c>
      <c r="D2385" t="s">
        <v>12465</v>
      </c>
      <c r="E2385" t="s">
        <v>10547</v>
      </c>
      <c r="F2385" t="s">
        <v>10548</v>
      </c>
      <c r="G2385" s="712">
        <v>0</v>
      </c>
      <c r="H2385">
        <v>0</v>
      </c>
      <c r="I2385" s="713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</row>
    <row r="2386" spans="1:16">
      <c r="A2386">
        <v>8</v>
      </c>
      <c r="B2386" t="s">
        <v>12461</v>
      </c>
      <c r="C2386" t="s">
        <v>12463</v>
      </c>
      <c r="D2386" t="s">
        <v>12465</v>
      </c>
      <c r="E2386" t="s">
        <v>10549</v>
      </c>
      <c r="F2386" t="s">
        <v>10550</v>
      </c>
      <c r="G2386" s="712">
        <v>0</v>
      </c>
      <c r="H2386">
        <v>0</v>
      </c>
      <c r="I2386" s="713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</row>
    <row r="2387" spans="1:16">
      <c r="A2387">
        <v>8</v>
      </c>
      <c r="B2387" t="s">
        <v>12461</v>
      </c>
      <c r="C2387" t="s">
        <v>12463</v>
      </c>
      <c r="D2387" t="s">
        <v>12465</v>
      </c>
      <c r="E2387" t="s">
        <v>10551</v>
      </c>
      <c r="F2387" t="s">
        <v>10552</v>
      </c>
      <c r="G2387" s="712">
        <v>0</v>
      </c>
      <c r="H2387">
        <v>0</v>
      </c>
      <c r="I2387" s="713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</row>
    <row r="2388" spans="1:16">
      <c r="A2388">
        <v>8</v>
      </c>
      <c r="B2388" t="s">
        <v>12461</v>
      </c>
      <c r="C2388" t="s">
        <v>12463</v>
      </c>
      <c r="D2388" t="s">
        <v>12465</v>
      </c>
      <c r="E2388" t="s">
        <v>10553</v>
      </c>
      <c r="F2388" t="s">
        <v>10554</v>
      </c>
      <c r="G2388" s="712">
        <v>0</v>
      </c>
      <c r="H2388">
        <v>0</v>
      </c>
      <c r="I2388" s="713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</row>
    <row r="2389" spans="1:16">
      <c r="A2389">
        <v>8</v>
      </c>
      <c r="B2389" t="s">
        <v>12461</v>
      </c>
      <c r="C2389" t="s">
        <v>12463</v>
      </c>
      <c r="D2389" t="s">
        <v>12465</v>
      </c>
      <c r="E2389" t="s">
        <v>10555</v>
      </c>
      <c r="F2389" t="s">
        <v>10556</v>
      </c>
      <c r="G2389" s="712">
        <v>0</v>
      </c>
      <c r="H2389">
        <v>0</v>
      </c>
      <c r="I2389" s="713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</row>
    <row r="2390" spans="1:16">
      <c r="A2390">
        <v>8</v>
      </c>
      <c r="B2390" t="s">
        <v>12461</v>
      </c>
      <c r="C2390" t="s">
        <v>12463</v>
      </c>
      <c r="D2390" t="s">
        <v>12465</v>
      </c>
      <c r="E2390" t="s">
        <v>10557</v>
      </c>
      <c r="F2390" t="s">
        <v>10558</v>
      </c>
      <c r="G2390" s="712">
        <v>0</v>
      </c>
      <c r="H2390">
        <v>0</v>
      </c>
      <c r="I2390" s="713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</row>
    <row r="2391" spans="1:16">
      <c r="A2391">
        <v>8</v>
      </c>
      <c r="B2391" t="s">
        <v>12461</v>
      </c>
      <c r="C2391" t="s">
        <v>12463</v>
      </c>
      <c r="D2391" t="s">
        <v>12465</v>
      </c>
      <c r="E2391" t="s">
        <v>10559</v>
      </c>
      <c r="F2391" t="s">
        <v>10560</v>
      </c>
      <c r="G2391" s="712">
        <v>0</v>
      </c>
      <c r="H2391">
        <v>0</v>
      </c>
      <c r="I2391" s="713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</row>
    <row r="2392" spans="1:16">
      <c r="A2392">
        <v>8</v>
      </c>
      <c r="B2392" t="s">
        <v>12461</v>
      </c>
      <c r="C2392" t="s">
        <v>12463</v>
      </c>
      <c r="D2392" t="s">
        <v>12465</v>
      </c>
      <c r="E2392" t="s">
        <v>10561</v>
      </c>
      <c r="F2392" t="s">
        <v>10562</v>
      </c>
      <c r="G2392" s="712">
        <v>0</v>
      </c>
      <c r="H2392">
        <v>0</v>
      </c>
      <c r="I2392" s="713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</row>
    <row r="2393" spans="1:16" ht="15.75" thickBot="1">
      <c r="A2393">
        <v>8</v>
      </c>
      <c r="B2393" t="s">
        <v>12461</v>
      </c>
      <c r="C2393" t="s">
        <v>12463</v>
      </c>
      <c r="D2393" t="s">
        <v>12465</v>
      </c>
      <c r="E2393" t="s">
        <v>10563</v>
      </c>
      <c r="F2393" t="s">
        <v>10564</v>
      </c>
      <c r="G2393" s="712">
        <v>0</v>
      </c>
      <c r="H2393">
        <v>0</v>
      </c>
      <c r="I2393" s="71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</row>
    <row r="2394" spans="1:16" ht="15.75" thickBot="1">
      <c r="A2394" s="727">
        <v>8</v>
      </c>
      <c r="B2394" s="727" t="s">
        <v>12461</v>
      </c>
      <c r="C2394" s="727" t="s">
        <v>12466</v>
      </c>
      <c r="D2394" s="727"/>
      <c r="E2394" s="727"/>
      <c r="F2394" s="745" t="s">
        <v>10717</v>
      </c>
      <c r="G2394" s="738">
        <v>0</v>
      </c>
      <c r="H2394" s="738">
        <v>0</v>
      </c>
      <c r="I2394" s="738">
        <v>0</v>
      </c>
      <c r="J2394" s="739">
        <v>72984.28</v>
      </c>
      <c r="K2394" s="739">
        <v>9042080.1999999993</v>
      </c>
      <c r="L2394" s="738">
        <v>0</v>
      </c>
      <c r="M2394" s="738">
        <v>0</v>
      </c>
      <c r="N2394" s="739">
        <v>72984.28</v>
      </c>
      <c r="O2394" s="739">
        <v>9042080.1999999993</v>
      </c>
      <c r="P2394" s="739">
        <v>-8969095.9199999999</v>
      </c>
    </row>
    <row r="2395" spans="1:16" ht="15.75" thickBot="1">
      <c r="A2395" s="727">
        <v>8</v>
      </c>
      <c r="B2395" s="727" t="s">
        <v>12461</v>
      </c>
      <c r="C2395" s="727" t="s">
        <v>12466</v>
      </c>
      <c r="D2395" s="727" t="s">
        <v>12467</v>
      </c>
      <c r="E2395" s="727"/>
      <c r="F2395" s="729" t="s">
        <v>10574</v>
      </c>
      <c r="G2395" s="738">
        <v>0</v>
      </c>
      <c r="H2395" s="738">
        <v>0</v>
      </c>
      <c r="I2395" s="738">
        <v>0</v>
      </c>
      <c r="J2395" s="738">
        <v>0</v>
      </c>
      <c r="K2395" s="738">
        <v>0</v>
      </c>
      <c r="L2395" s="738">
        <v>0</v>
      </c>
      <c r="M2395" s="738">
        <v>0</v>
      </c>
      <c r="N2395" s="738">
        <v>0</v>
      </c>
      <c r="O2395" s="738">
        <v>0</v>
      </c>
      <c r="P2395" s="738">
        <v>0</v>
      </c>
    </row>
    <row r="2396" spans="1:16">
      <c r="A2396">
        <v>8</v>
      </c>
      <c r="B2396" t="s">
        <v>12461</v>
      </c>
      <c r="C2396" t="s">
        <v>12466</v>
      </c>
      <c r="D2396" t="s">
        <v>12467</v>
      </c>
      <c r="E2396" t="s">
        <v>10573</v>
      </c>
      <c r="F2396" t="s">
        <v>10574</v>
      </c>
      <c r="G2396" s="712">
        <v>0</v>
      </c>
      <c r="H2396">
        <v>0</v>
      </c>
      <c r="I2396" s="713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</row>
    <row r="2397" spans="1:16" ht="15.75" thickBot="1">
      <c r="A2397">
        <v>8</v>
      </c>
      <c r="B2397" t="s">
        <v>12461</v>
      </c>
      <c r="C2397" t="s">
        <v>12466</v>
      </c>
      <c r="D2397" t="s">
        <v>12467</v>
      </c>
      <c r="E2397" t="s">
        <v>10575</v>
      </c>
      <c r="F2397" t="s">
        <v>10574</v>
      </c>
      <c r="G2397" s="712">
        <v>0</v>
      </c>
      <c r="H2397">
        <v>0</v>
      </c>
      <c r="I2397" s="713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</row>
    <row r="2398" spans="1:16" ht="15.75" thickBot="1">
      <c r="A2398" s="727">
        <v>8</v>
      </c>
      <c r="B2398" s="727" t="s">
        <v>12461</v>
      </c>
      <c r="C2398" s="727" t="s">
        <v>12466</v>
      </c>
      <c r="D2398" s="727" t="s">
        <v>12468</v>
      </c>
      <c r="E2398" s="727"/>
      <c r="F2398" s="729" t="s">
        <v>12469</v>
      </c>
      <c r="G2398" s="738">
        <v>0</v>
      </c>
      <c r="H2398" s="738">
        <v>0</v>
      </c>
      <c r="I2398" s="738">
        <v>0</v>
      </c>
      <c r="J2398" s="739">
        <v>72984.23</v>
      </c>
      <c r="K2398" s="739">
        <v>8982032.1999999993</v>
      </c>
      <c r="L2398" s="738">
        <v>0</v>
      </c>
      <c r="M2398" s="738">
        <v>0</v>
      </c>
      <c r="N2398" s="739">
        <v>72984.23</v>
      </c>
      <c r="O2398" s="739">
        <v>8982032.1999999993</v>
      </c>
      <c r="P2398" s="739">
        <v>-8909047.9700000007</v>
      </c>
    </row>
    <row r="2399" spans="1:16">
      <c r="A2399">
        <v>8</v>
      </c>
      <c r="B2399" t="s">
        <v>12461</v>
      </c>
      <c r="C2399" t="s">
        <v>12466</v>
      </c>
      <c r="D2399" t="s">
        <v>12468</v>
      </c>
      <c r="E2399" t="s">
        <v>10586</v>
      </c>
      <c r="F2399" t="s">
        <v>10587</v>
      </c>
      <c r="G2399" s="712">
        <v>0</v>
      </c>
      <c r="H2399">
        <v>0</v>
      </c>
      <c r="I2399" s="713">
        <v>0</v>
      </c>
      <c r="J2399" s="711">
        <v>4424.28</v>
      </c>
      <c r="K2399" s="711">
        <v>179824.35</v>
      </c>
      <c r="L2399">
        <v>0</v>
      </c>
      <c r="M2399">
        <v>0</v>
      </c>
      <c r="N2399" s="711">
        <v>4424.28</v>
      </c>
      <c r="O2399" s="711">
        <v>179824.35</v>
      </c>
      <c r="P2399" s="711">
        <v>-175400.07</v>
      </c>
    </row>
    <row r="2400" spans="1:16">
      <c r="A2400">
        <v>8</v>
      </c>
      <c r="B2400" t="s">
        <v>12461</v>
      </c>
      <c r="C2400" t="s">
        <v>12466</v>
      </c>
      <c r="D2400" t="s">
        <v>12468</v>
      </c>
      <c r="E2400" t="s">
        <v>10593</v>
      </c>
      <c r="F2400" t="s">
        <v>10594</v>
      </c>
      <c r="G2400" s="712">
        <v>0</v>
      </c>
      <c r="H2400">
        <v>0</v>
      </c>
      <c r="I2400" s="713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</row>
    <row r="2401" spans="1:16">
      <c r="A2401">
        <v>8</v>
      </c>
      <c r="B2401" t="s">
        <v>12461</v>
      </c>
      <c r="C2401" t="s">
        <v>12466</v>
      </c>
      <c r="D2401" t="s">
        <v>12468</v>
      </c>
      <c r="E2401" t="s">
        <v>10595</v>
      </c>
      <c r="F2401" t="s">
        <v>10596</v>
      </c>
      <c r="G2401" s="712">
        <v>0</v>
      </c>
      <c r="H2401">
        <v>0</v>
      </c>
      <c r="I2401" s="713">
        <v>0</v>
      </c>
      <c r="J2401" s="711">
        <v>53976.4</v>
      </c>
      <c r="K2401" s="711">
        <v>134482.97</v>
      </c>
      <c r="L2401">
        <v>0</v>
      </c>
      <c r="M2401">
        <v>0</v>
      </c>
      <c r="N2401" s="711">
        <v>53976.4</v>
      </c>
      <c r="O2401" s="711">
        <v>134482.97</v>
      </c>
      <c r="P2401" s="711">
        <v>-80506.570000000007</v>
      </c>
    </row>
    <row r="2402" spans="1:16">
      <c r="A2402">
        <v>8</v>
      </c>
      <c r="B2402" t="s">
        <v>12461</v>
      </c>
      <c r="C2402" t="s">
        <v>12466</v>
      </c>
      <c r="D2402" t="s">
        <v>12468</v>
      </c>
      <c r="E2402" t="s">
        <v>10599</v>
      </c>
      <c r="F2402" t="s">
        <v>10600</v>
      </c>
      <c r="G2402" s="712">
        <v>0</v>
      </c>
      <c r="H2402">
        <v>0</v>
      </c>
      <c r="I2402" s="713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</row>
    <row r="2403" spans="1:16">
      <c r="A2403">
        <v>8</v>
      </c>
      <c r="B2403" t="s">
        <v>12461</v>
      </c>
      <c r="C2403" t="s">
        <v>12466</v>
      </c>
      <c r="D2403" t="s">
        <v>12468</v>
      </c>
      <c r="E2403" t="s">
        <v>10605</v>
      </c>
      <c r="F2403" t="s">
        <v>10606</v>
      </c>
      <c r="G2403" s="712">
        <v>0</v>
      </c>
      <c r="H2403">
        <v>0</v>
      </c>
      <c r="I2403" s="71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</row>
    <row r="2404" spans="1:16">
      <c r="A2404">
        <v>8</v>
      </c>
      <c r="B2404" t="s">
        <v>12461</v>
      </c>
      <c r="C2404" t="s">
        <v>12466</v>
      </c>
      <c r="D2404" t="s">
        <v>12468</v>
      </c>
      <c r="E2404" t="s">
        <v>10610</v>
      </c>
      <c r="F2404" t="s">
        <v>10611</v>
      </c>
      <c r="G2404" s="712">
        <v>0</v>
      </c>
      <c r="H2404">
        <v>0</v>
      </c>
      <c r="I2404" s="713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</row>
    <row r="2405" spans="1:16">
      <c r="A2405">
        <v>8</v>
      </c>
      <c r="B2405" t="s">
        <v>12461</v>
      </c>
      <c r="C2405" t="s">
        <v>12466</v>
      </c>
      <c r="D2405" t="s">
        <v>12468</v>
      </c>
      <c r="E2405" t="s">
        <v>10612</v>
      </c>
      <c r="F2405" t="s">
        <v>10613</v>
      </c>
      <c r="G2405" s="712">
        <v>0</v>
      </c>
      <c r="H2405">
        <v>0</v>
      </c>
      <c r="I2405" s="713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</row>
    <row r="2406" spans="1:16">
      <c r="A2406">
        <v>8</v>
      </c>
      <c r="B2406" t="s">
        <v>12461</v>
      </c>
      <c r="C2406" t="s">
        <v>12466</v>
      </c>
      <c r="D2406" t="s">
        <v>12468</v>
      </c>
      <c r="E2406" t="s">
        <v>10614</v>
      </c>
      <c r="F2406" t="s">
        <v>10615</v>
      </c>
      <c r="G2406" s="712">
        <v>0</v>
      </c>
      <c r="H2406">
        <v>0</v>
      </c>
      <c r="I2406" s="713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</row>
    <row r="2407" spans="1:16">
      <c r="A2407">
        <v>8</v>
      </c>
      <c r="B2407" t="s">
        <v>12461</v>
      </c>
      <c r="C2407" t="s">
        <v>12466</v>
      </c>
      <c r="D2407" t="s">
        <v>12468</v>
      </c>
      <c r="E2407" t="s">
        <v>10616</v>
      </c>
      <c r="F2407" t="s">
        <v>10617</v>
      </c>
      <c r="G2407" s="712">
        <v>0</v>
      </c>
      <c r="H2407">
        <v>0</v>
      </c>
      <c r="I2407" s="713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</row>
    <row r="2408" spans="1:16">
      <c r="A2408">
        <v>8</v>
      </c>
      <c r="B2408" t="s">
        <v>12461</v>
      </c>
      <c r="C2408" t="s">
        <v>12466</v>
      </c>
      <c r="D2408" t="s">
        <v>12468</v>
      </c>
      <c r="E2408" t="s">
        <v>10618</v>
      </c>
      <c r="F2408" t="s">
        <v>10619</v>
      </c>
      <c r="G2408" s="712">
        <v>0</v>
      </c>
      <c r="H2408">
        <v>0</v>
      </c>
      <c r="I2408" s="713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</row>
    <row r="2409" spans="1:16">
      <c r="A2409">
        <v>8</v>
      </c>
      <c r="B2409" t="s">
        <v>12461</v>
      </c>
      <c r="C2409" t="s">
        <v>12466</v>
      </c>
      <c r="D2409" t="s">
        <v>12468</v>
      </c>
      <c r="E2409" t="s">
        <v>10621</v>
      </c>
      <c r="F2409" t="s">
        <v>10622</v>
      </c>
      <c r="G2409" s="712">
        <v>0</v>
      </c>
      <c r="H2409">
        <v>0</v>
      </c>
      <c r="I2409" s="713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</row>
    <row r="2410" spans="1:16">
      <c r="A2410">
        <v>8</v>
      </c>
      <c r="B2410" t="s">
        <v>12461</v>
      </c>
      <c r="C2410" t="s">
        <v>12466</v>
      </c>
      <c r="D2410" t="s">
        <v>12468</v>
      </c>
      <c r="E2410" t="s">
        <v>10627</v>
      </c>
      <c r="F2410" t="s">
        <v>10628</v>
      </c>
      <c r="G2410" s="712">
        <v>0</v>
      </c>
      <c r="H2410">
        <v>0</v>
      </c>
      <c r="I2410" s="713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</row>
    <row r="2411" spans="1:16">
      <c r="A2411">
        <v>8</v>
      </c>
      <c r="B2411" t="s">
        <v>12461</v>
      </c>
      <c r="C2411" t="s">
        <v>12466</v>
      </c>
      <c r="D2411" t="s">
        <v>12468</v>
      </c>
      <c r="E2411" t="s">
        <v>10633</v>
      </c>
      <c r="F2411" t="s">
        <v>10634</v>
      </c>
      <c r="G2411" s="712">
        <v>0</v>
      </c>
      <c r="H2411">
        <v>0</v>
      </c>
      <c r="I2411" s="713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</row>
    <row r="2412" spans="1:16">
      <c r="A2412">
        <v>8</v>
      </c>
      <c r="B2412" t="s">
        <v>12461</v>
      </c>
      <c r="C2412" t="s">
        <v>12466</v>
      </c>
      <c r="D2412" t="s">
        <v>12468</v>
      </c>
      <c r="E2412" t="s">
        <v>10638</v>
      </c>
      <c r="F2412" t="s">
        <v>10639</v>
      </c>
      <c r="G2412" s="712">
        <v>0</v>
      </c>
      <c r="H2412">
        <v>0</v>
      </c>
      <c r="I2412" s="713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</row>
    <row r="2413" spans="1:16">
      <c r="A2413">
        <v>8</v>
      </c>
      <c r="B2413" t="s">
        <v>12461</v>
      </c>
      <c r="C2413" t="s">
        <v>12466</v>
      </c>
      <c r="D2413" t="s">
        <v>12468</v>
      </c>
      <c r="E2413" t="s">
        <v>10641</v>
      </c>
      <c r="F2413" t="s">
        <v>10642</v>
      </c>
      <c r="G2413" s="712">
        <v>0</v>
      </c>
      <c r="H2413">
        <v>0</v>
      </c>
      <c r="I2413" s="713">
        <v>0</v>
      </c>
      <c r="J2413">
        <v>0</v>
      </c>
      <c r="K2413" s="711">
        <v>165721.79999999999</v>
      </c>
      <c r="L2413">
        <v>0</v>
      </c>
      <c r="M2413">
        <v>0</v>
      </c>
      <c r="N2413">
        <v>0</v>
      </c>
      <c r="O2413" s="711">
        <v>165721.79999999999</v>
      </c>
      <c r="P2413" s="711">
        <v>-165721.79999999999</v>
      </c>
    </row>
    <row r="2414" spans="1:16">
      <c r="A2414">
        <v>8</v>
      </c>
      <c r="B2414" t="s">
        <v>12461</v>
      </c>
      <c r="C2414" t="s">
        <v>12466</v>
      </c>
      <c r="D2414" t="s">
        <v>12468</v>
      </c>
      <c r="E2414" t="s">
        <v>10646</v>
      </c>
      <c r="F2414" t="s">
        <v>10647</v>
      </c>
      <c r="G2414" s="712">
        <v>0</v>
      </c>
      <c r="H2414">
        <v>0</v>
      </c>
      <c r="I2414" s="713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</row>
    <row r="2415" spans="1:16">
      <c r="A2415">
        <v>8</v>
      </c>
      <c r="B2415" t="s">
        <v>12461</v>
      </c>
      <c r="C2415" t="s">
        <v>12466</v>
      </c>
      <c r="D2415" t="s">
        <v>12468</v>
      </c>
      <c r="E2415" t="s">
        <v>10649</v>
      </c>
      <c r="F2415" t="s">
        <v>10650</v>
      </c>
      <c r="G2415" s="712">
        <v>0</v>
      </c>
      <c r="H2415">
        <v>0</v>
      </c>
      <c r="I2415" s="713">
        <v>0</v>
      </c>
      <c r="J2415" s="711">
        <v>14583.55</v>
      </c>
      <c r="K2415" s="711">
        <v>8460239.3800000008</v>
      </c>
      <c r="L2415">
        <v>0</v>
      </c>
      <c r="M2415">
        <v>0</v>
      </c>
      <c r="N2415" s="711">
        <v>14583.55</v>
      </c>
      <c r="O2415" s="711">
        <v>8460239.3800000008</v>
      </c>
      <c r="P2415" s="711">
        <v>-8445655.8300000001</v>
      </c>
    </row>
    <row r="2416" spans="1:16">
      <c r="A2416">
        <v>8</v>
      </c>
      <c r="B2416" t="s">
        <v>12461</v>
      </c>
      <c r="C2416" t="s">
        <v>12466</v>
      </c>
      <c r="D2416" t="s">
        <v>12468</v>
      </c>
      <c r="E2416" t="s">
        <v>10654</v>
      </c>
      <c r="F2416" t="s">
        <v>10655</v>
      </c>
      <c r="G2416" s="712">
        <v>0</v>
      </c>
      <c r="H2416">
        <v>0</v>
      </c>
      <c r="I2416" s="713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</row>
    <row r="2417" spans="1:16" ht="15.75" thickBot="1">
      <c r="A2417">
        <v>8</v>
      </c>
      <c r="B2417" t="s">
        <v>12461</v>
      </c>
      <c r="C2417" t="s">
        <v>12466</v>
      </c>
      <c r="D2417" t="s">
        <v>12468</v>
      </c>
      <c r="E2417" t="s">
        <v>10656</v>
      </c>
      <c r="F2417" t="s">
        <v>10657</v>
      </c>
      <c r="G2417" s="712">
        <v>0</v>
      </c>
      <c r="H2417">
        <v>0</v>
      </c>
      <c r="I2417" s="713">
        <v>0</v>
      </c>
      <c r="J2417">
        <v>0</v>
      </c>
      <c r="K2417" s="711">
        <v>41763.699999999997</v>
      </c>
      <c r="L2417">
        <v>0</v>
      </c>
      <c r="M2417">
        <v>0</v>
      </c>
      <c r="N2417">
        <v>0</v>
      </c>
      <c r="O2417" s="711">
        <v>41763.699999999997</v>
      </c>
      <c r="P2417" s="711">
        <v>-41763.699999999997</v>
      </c>
    </row>
    <row r="2418" spans="1:16" ht="15.75" thickBot="1">
      <c r="A2418" s="727">
        <v>8</v>
      </c>
      <c r="B2418" s="727" t="s">
        <v>12461</v>
      </c>
      <c r="C2418" s="727" t="s">
        <v>12466</v>
      </c>
      <c r="D2418" s="727" t="s">
        <v>12470</v>
      </c>
      <c r="E2418" s="727"/>
      <c r="F2418" s="729" t="s">
        <v>12471</v>
      </c>
      <c r="G2418" s="738">
        <v>0</v>
      </c>
      <c r="H2418" s="738">
        <v>0</v>
      </c>
      <c r="I2418" s="738">
        <v>0</v>
      </c>
      <c r="J2418" s="738">
        <v>0</v>
      </c>
      <c r="K2418" s="739">
        <v>60048</v>
      </c>
      <c r="L2418" s="738">
        <v>0</v>
      </c>
      <c r="M2418" s="738">
        <v>0</v>
      </c>
      <c r="N2418" s="738">
        <v>0</v>
      </c>
      <c r="O2418" s="739">
        <v>60048</v>
      </c>
      <c r="P2418" s="739">
        <v>-60048</v>
      </c>
    </row>
    <row r="2419" spans="1:16">
      <c r="A2419">
        <v>8</v>
      </c>
      <c r="B2419" t="s">
        <v>12461</v>
      </c>
      <c r="C2419" t="s">
        <v>12466</v>
      </c>
      <c r="D2419" t="s">
        <v>12470</v>
      </c>
      <c r="E2419" t="s">
        <v>10663</v>
      </c>
      <c r="F2419" t="s">
        <v>10664</v>
      </c>
      <c r="G2419" s="712">
        <v>0</v>
      </c>
      <c r="H2419">
        <v>0</v>
      </c>
      <c r="I2419" s="713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</row>
    <row r="2420" spans="1:16">
      <c r="A2420">
        <v>8</v>
      </c>
      <c r="B2420" t="s">
        <v>12461</v>
      </c>
      <c r="C2420" t="s">
        <v>12466</v>
      </c>
      <c r="D2420" t="s">
        <v>12470</v>
      </c>
      <c r="E2420" t="s">
        <v>10668</v>
      </c>
      <c r="F2420" t="s">
        <v>10669</v>
      </c>
      <c r="G2420" s="712">
        <v>0</v>
      </c>
      <c r="H2420">
        <v>0</v>
      </c>
      <c r="I2420" s="713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</row>
    <row r="2421" spans="1:16">
      <c r="A2421">
        <v>8</v>
      </c>
      <c r="B2421" t="s">
        <v>12461</v>
      </c>
      <c r="C2421" t="s">
        <v>12466</v>
      </c>
      <c r="D2421" t="s">
        <v>12470</v>
      </c>
      <c r="E2421" t="s">
        <v>10670</v>
      </c>
      <c r="F2421" t="s">
        <v>10671</v>
      </c>
      <c r="G2421" s="712">
        <v>0</v>
      </c>
      <c r="H2421">
        <v>0</v>
      </c>
      <c r="I2421" s="713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</row>
    <row r="2422" spans="1:16">
      <c r="A2422">
        <v>8</v>
      </c>
      <c r="B2422" t="s">
        <v>12461</v>
      </c>
      <c r="C2422" t="s">
        <v>12466</v>
      </c>
      <c r="D2422" t="s">
        <v>12470</v>
      </c>
      <c r="E2422" t="s">
        <v>10673</v>
      </c>
      <c r="F2422" t="s">
        <v>10674</v>
      </c>
      <c r="G2422" s="712">
        <v>0</v>
      </c>
      <c r="H2422">
        <v>0</v>
      </c>
      <c r="I2422" s="713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</row>
    <row r="2423" spans="1:16">
      <c r="A2423">
        <v>8</v>
      </c>
      <c r="B2423" t="s">
        <v>12461</v>
      </c>
      <c r="C2423" t="s">
        <v>12466</v>
      </c>
      <c r="D2423" t="s">
        <v>12470</v>
      </c>
      <c r="E2423" t="s">
        <v>10679</v>
      </c>
      <c r="F2423" t="s">
        <v>10680</v>
      </c>
      <c r="G2423" s="712">
        <v>0</v>
      </c>
      <c r="H2423">
        <v>0</v>
      </c>
      <c r="I2423" s="71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</row>
    <row r="2424" spans="1:16">
      <c r="A2424">
        <v>8</v>
      </c>
      <c r="B2424" t="s">
        <v>12461</v>
      </c>
      <c r="C2424" t="s">
        <v>12466</v>
      </c>
      <c r="D2424" t="s">
        <v>12470</v>
      </c>
      <c r="E2424" t="s">
        <v>10685</v>
      </c>
      <c r="F2424" t="s">
        <v>10686</v>
      </c>
      <c r="G2424" s="712">
        <v>0</v>
      </c>
      <c r="H2424">
        <v>0</v>
      </c>
      <c r="I2424" s="713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</row>
    <row r="2425" spans="1:16">
      <c r="A2425">
        <v>8</v>
      </c>
      <c r="B2425" t="s">
        <v>12461</v>
      </c>
      <c r="C2425" t="s">
        <v>12466</v>
      </c>
      <c r="D2425" t="s">
        <v>12470</v>
      </c>
      <c r="E2425" t="s">
        <v>10691</v>
      </c>
      <c r="F2425" t="s">
        <v>10692</v>
      </c>
      <c r="G2425" s="712">
        <v>0</v>
      </c>
      <c r="H2425">
        <v>0</v>
      </c>
      <c r="I2425" s="713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</row>
    <row r="2426" spans="1:16">
      <c r="A2426">
        <v>8</v>
      </c>
      <c r="B2426" t="s">
        <v>12461</v>
      </c>
      <c r="C2426" t="s">
        <v>12466</v>
      </c>
      <c r="D2426" t="s">
        <v>12470</v>
      </c>
      <c r="E2426" t="s">
        <v>10697</v>
      </c>
      <c r="F2426" t="s">
        <v>10698</v>
      </c>
      <c r="G2426" s="712">
        <v>0</v>
      </c>
      <c r="H2426">
        <v>0</v>
      </c>
      <c r="I2426" s="713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</row>
    <row r="2427" spans="1:16">
      <c r="A2427">
        <v>8</v>
      </c>
      <c r="B2427" t="s">
        <v>12461</v>
      </c>
      <c r="C2427" t="s">
        <v>12466</v>
      </c>
      <c r="D2427" t="s">
        <v>12470</v>
      </c>
      <c r="E2427" t="s">
        <v>12472</v>
      </c>
      <c r="F2427" t="s">
        <v>12473</v>
      </c>
      <c r="G2427" s="712">
        <v>0</v>
      </c>
      <c r="H2427">
        <v>0</v>
      </c>
      <c r="I2427" s="713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</row>
    <row r="2428" spans="1:16">
      <c r="A2428">
        <v>8</v>
      </c>
      <c r="B2428" t="s">
        <v>12461</v>
      </c>
      <c r="C2428" t="s">
        <v>12466</v>
      </c>
      <c r="D2428" t="s">
        <v>12470</v>
      </c>
      <c r="E2428" t="s">
        <v>10702</v>
      </c>
      <c r="F2428" t="s">
        <v>10703</v>
      </c>
      <c r="G2428" s="712">
        <v>0</v>
      </c>
      <c r="H2428">
        <v>0</v>
      </c>
      <c r="I2428" s="713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</row>
    <row r="2429" spans="1:16" ht="15.75" thickBot="1">
      <c r="A2429">
        <v>8</v>
      </c>
      <c r="B2429" t="s">
        <v>12461</v>
      </c>
      <c r="C2429" t="s">
        <v>12466</v>
      </c>
      <c r="D2429" t="s">
        <v>12470</v>
      </c>
      <c r="E2429" t="s">
        <v>10708</v>
      </c>
      <c r="F2429" t="s">
        <v>10709</v>
      </c>
      <c r="G2429" s="712">
        <v>0</v>
      </c>
      <c r="H2429">
        <v>0</v>
      </c>
      <c r="I2429" s="713">
        <v>0</v>
      </c>
      <c r="J2429">
        <v>0</v>
      </c>
      <c r="K2429" s="711">
        <v>60048</v>
      </c>
      <c r="L2429">
        <v>0</v>
      </c>
      <c r="M2429">
        <v>0</v>
      </c>
      <c r="N2429">
        <v>0</v>
      </c>
      <c r="O2429" s="711">
        <v>60048</v>
      </c>
      <c r="P2429" s="711">
        <v>-60048</v>
      </c>
    </row>
    <row r="2430" spans="1:16" ht="15.75" thickBot="1">
      <c r="A2430" s="727">
        <v>8</v>
      </c>
      <c r="B2430" s="727" t="s">
        <v>12461</v>
      </c>
      <c r="C2430" s="727" t="s">
        <v>12466</v>
      </c>
      <c r="D2430" s="727" t="s">
        <v>12474</v>
      </c>
      <c r="E2430" s="727"/>
      <c r="F2430" s="729" t="s">
        <v>10717</v>
      </c>
      <c r="G2430" s="738">
        <v>0</v>
      </c>
      <c r="H2430" s="738">
        <v>0</v>
      </c>
      <c r="I2430" s="738">
        <v>0</v>
      </c>
      <c r="J2430" s="738">
        <v>0.05</v>
      </c>
      <c r="K2430" s="738">
        <v>0</v>
      </c>
      <c r="L2430" s="738">
        <v>0</v>
      </c>
      <c r="M2430" s="738">
        <v>0</v>
      </c>
      <c r="N2430" s="738">
        <v>0.05</v>
      </c>
      <c r="O2430" s="738">
        <v>0</v>
      </c>
      <c r="P2430" s="738">
        <v>0.05</v>
      </c>
    </row>
    <row r="2431" spans="1:16">
      <c r="A2431">
        <v>8</v>
      </c>
      <c r="B2431" t="s">
        <v>12461</v>
      </c>
      <c r="C2431" t="s">
        <v>12466</v>
      </c>
      <c r="D2431" t="s">
        <v>12474</v>
      </c>
      <c r="E2431" t="s">
        <v>10716</v>
      </c>
      <c r="F2431" t="s">
        <v>10717</v>
      </c>
      <c r="G2431" s="712">
        <v>0</v>
      </c>
      <c r="H2431">
        <v>0</v>
      </c>
      <c r="I2431" s="713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</row>
    <row r="2432" spans="1:16" ht="15.75" thickBot="1">
      <c r="A2432">
        <v>8</v>
      </c>
      <c r="B2432" t="s">
        <v>12461</v>
      </c>
      <c r="C2432" t="s">
        <v>12466</v>
      </c>
      <c r="D2432" t="s">
        <v>12474</v>
      </c>
      <c r="E2432" t="s">
        <v>10718</v>
      </c>
      <c r="F2432" t="s">
        <v>10719</v>
      </c>
      <c r="G2432" s="712">
        <v>0</v>
      </c>
      <c r="H2432">
        <v>0</v>
      </c>
      <c r="I2432" s="713">
        <v>0</v>
      </c>
      <c r="J2432">
        <v>0.05</v>
      </c>
      <c r="K2432">
        <v>0</v>
      </c>
      <c r="L2432">
        <v>0</v>
      </c>
      <c r="M2432">
        <v>0</v>
      </c>
      <c r="N2432">
        <v>0.05</v>
      </c>
      <c r="O2432">
        <v>0</v>
      </c>
      <c r="P2432">
        <v>0.05</v>
      </c>
    </row>
    <row r="2433" spans="1:16" ht="15.75" thickBot="1">
      <c r="A2433" s="727">
        <v>5</v>
      </c>
      <c r="B2433" s="727"/>
      <c r="C2433" s="727"/>
      <c r="D2433" s="727"/>
      <c r="E2433" s="727"/>
      <c r="F2433" s="745" t="s">
        <v>6002</v>
      </c>
      <c r="G2433" s="738">
        <v>0</v>
      </c>
      <c r="H2433" s="738">
        <v>0</v>
      </c>
      <c r="I2433" s="738">
        <v>0</v>
      </c>
      <c r="J2433" s="739">
        <v>392540697.63999999</v>
      </c>
      <c r="K2433" s="739">
        <v>23866595.469999999</v>
      </c>
      <c r="L2433" s="738">
        <v>0</v>
      </c>
      <c r="M2433" s="738">
        <v>0</v>
      </c>
      <c r="N2433" s="739">
        <v>392540697.63999999</v>
      </c>
      <c r="O2433" s="739">
        <v>23866595.469999999</v>
      </c>
      <c r="P2433" s="739">
        <v>368674102.17000002</v>
      </c>
    </row>
    <row r="2434" spans="1:16" ht="15.75" thickBot="1">
      <c r="A2434" s="727">
        <v>5</v>
      </c>
      <c r="B2434" s="727" t="s">
        <v>12475</v>
      </c>
      <c r="C2434" s="727"/>
      <c r="D2434" s="727"/>
      <c r="E2434" s="727"/>
      <c r="F2434" s="745" t="s">
        <v>12476</v>
      </c>
      <c r="G2434" s="738">
        <v>0</v>
      </c>
      <c r="H2434" s="738">
        <v>0</v>
      </c>
      <c r="I2434" s="738">
        <v>0</v>
      </c>
      <c r="J2434" s="739">
        <v>135849584.40000001</v>
      </c>
      <c r="K2434" s="739">
        <v>527812.18000000005</v>
      </c>
      <c r="L2434" s="738">
        <v>0</v>
      </c>
      <c r="M2434" s="738">
        <v>0</v>
      </c>
      <c r="N2434" s="739">
        <v>135849584.40000001</v>
      </c>
      <c r="O2434" s="739">
        <v>527812.18000000005</v>
      </c>
      <c r="P2434" s="739">
        <v>135321772.22</v>
      </c>
    </row>
    <row r="2435" spans="1:16" ht="15.75" thickBot="1">
      <c r="A2435" s="727">
        <v>5</v>
      </c>
      <c r="B2435" s="727" t="s">
        <v>12475</v>
      </c>
      <c r="C2435" s="727" t="s">
        <v>12477</v>
      </c>
      <c r="D2435" s="727"/>
      <c r="E2435" s="727"/>
      <c r="F2435" s="745" t="s">
        <v>12478</v>
      </c>
      <c r="G2435" s="738">
        <v>0</v>
      </c>
      <c r="H2435" s="738">
        <v>0</v>
      </c>
      <c r="I2435" s="738">
        <v>0</v>
      </c>
      <c r="J2435" s="739">
        <v>135559260.19999999</v>
      </c>
      <c r="K2435" s="739">
        <v>527801.34</v>
      </c>
      <c r="L2435" s="738">
        <v>0</v>
      </c>
      <c r="M2435" s="738">
        <v>0</v>
      </c>
      <c r="N2435" s="739">
        <v>135559260.19999999</v>
      </c>
      <c r="O2435" s="739">
        <v>527801.34</v>
      </c>
      <c r="P2435" s="739">
        <v>135031458.86000001</v>
      </c>
    </row>
    <row r="2436" spans="1:16" ht="15.75" thickBot="1">
      <c r="A2436" s="727">
        <v>5</v>
      </c>
      <c r="B2436" s="727" t="s">
        <v>12475</v>
      </c>
      <c r="C2436" s="727" t="s">
        <v>12477</v>
      </c>
      <c r="D2436" s="727" t="s">
        <v>12479</v>
      </c>
      <c r="E2436" s="727"/>
      <c r="F2436" s="729" t="s">
        <v>12480</v>
      </c>
      <c r="G2436" s="738">
        <v>0</v>
      </c>
      <c r="H2436" s="738">
        <v>0</v>
      </c>
      <c r="I2436" s="738">
        <v>0</v>
      </c>
      <c r="J2436" s="739">
        <v>96340499.219999999</v>
      </c>
      <c r="K2436" s="739">
        <v>192905.85</v>
      </c>
      <c r="L2436" s="738">
        <v>0</v>
      </c>
      <c r="M2436" s="738">
        <v>0</v>
      </c>
      <c r="N2436" s="739">
        <v>96340499.219999999</v>
      </c>
      <c r="O2436" s="739">
        <v>192905.85</v>
      </c>
      <c r="P2436" s="739">
        <v>96147593.370000005</v>
      </c>
    </row>
    <row r="2437" spans="1:16">
      <c r="A2437">
        <v>5</v>
      </c>
      <c r="B2437" t="s">
        <v>12475</v>
      </c>
      <c r="C2437" t="s">
        <v>12477</v>
      </c>
      <c r="D2437" t="s">
        <v>12479</v>
      </c>
      <c r="E2437" t="s">
        <v>6015</v>
      </c>
      <c r="F2437" t="s">
        <v>6016</v>
      </c>
      <c r="G2437" s="712">
        <v>0</v>
      </c>
      <c r="H2437">
        <v>0</v>
      </c>
      <c r="I2437" s="713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</row>
    <row r="2438" spans="1:16">
      <c r="A2438">
        <v>5</v>
      </c>
      <c r="B2438" t="s">
        <v>12475</v>
      </c>
      <c r="C2438" t="s">
        <v>12477</v>
      </c>
      <c r="D2438" t="s">
        <v>12479</v>
      </c>
      <c r="E2438" t="s">
        <v>6018</v>
      </c>
      <c r="F2438" t="s">
        <v>6019</v>
      </c>
      <c r="G2438" s="712">
        <v>0</v>
      </c>
      <c r="H2438">
        <v>0</v>
      </c>
      <c r="I2438" s="713">
        <v>0</v>
      </c>
      <c r="J2438" s="711">
        <v>11972001.560000001</v>
      </c>
      <c r="K2438">
        <v>721.2</v>
      </c>
      <c r="L2438">
        <v>0</v>
      </c>
      <c r="M2438">
        <v>0</v>
      </c>
      <c r="N2438" s="711">
        <v>11972001.560000001</v>
      </c>
      <c r="O2438">
        <v>721.2</v>
      </c>
      <c r="P2438" s="711">
        <v>11971280.359999999</v>
      </c>
    </row>
    <row r="2439" spans="1:16">
      <c r="A2439">
        <v>5</v>
      </c>
      <c r="B2439" t="s">
        <v>12475</v>
      </c>
      <c r="C2439" t="s">
        <v>12477</v>
      </c>
      <c r="D2439" t="s">
        <v>12479</v>
      </c>
      <c r="E2439" t="s">
        <v>6022</v>
      </c>
      <c r="F2439" t="s">
        <v>6023</v>
      </c>
      <c r="G2439" s="712">
        <v>0</v>
      </c>
      <c r="H2439">
        <v>0</v>
      </c>
      <c r="I2439" s="713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</row>
    <row r="2440" spans="1:16">
      <c r="A2440">
        <v>5</v>
      </c>
      <c r="B2440" t="s">
        <v>12475</v>
      </c>
      <c r="C2440" t="s">
        <v>12477</v>
      </c>
      <c r="D2440" t="s">
        <v>12479</v>
      </c>
      <c r="E2440" t="s">
        <v>6024</v>
      </c>
      <c r="F2440" t="s">
        <v>6025</v>
      </c>
      <c r="G2440" s="712">
        <v>0</v>
      </c>
      <c r="H2440">
        <v>0</v>
      </c>
      <c r="I2440" s="713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</row>
    <row r="2441" spans="1:16">
      <c r="A2441">
        <v>5</v>
      </c>
      <c r="B2441" t="s">
        <v>12475</v>
      </c>
      <c r="C2441" t="s">
        <v>12477</v>
      </c>
      <c r="D2441" t="s">
        <v>12479</v>
      </c>
      <c r="E2441" t="s">
        <v>6026</v>
      </c>
      <c r="F2441" t="s">
        <v>6027</v>
      </c>
      <c r="G2441" s="712">
        <v>0</v>
      </c>
      <c r="H2441">
        <v>0</v>
      </c>
      <c r="I2441" s="713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</row>
    <row r="2442" spans="1:16">
      <c r="A2442">
        <v>5</v>
      </c>
      <c r="B2442" t="s">
        <v>12475</v>
      </c>
      <c r="C2442" t="s">
        <v>12477</v>
      </c>
      <c r="D2442" t="s">
        <v>12479</v>
      </c>
      <c r="E2442" t="s">
        <v>6028</v>
      </c>
      <c r="F2442" t="s">
        <v>6029</v>
      </c>
      <c r="G2442" s="712">
        <v>0</v>
      </c>
      <c r="H2442">
        <v>0</v>
      </c>
      <c r="I2442" s="713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</row>
    <row r="2443" spans="1:16">
      <c r="A2443">
        <v>5</v>
      </c>
      <c r="B2443" t="s">
        <v>12475</v>
      </c>
      <c r="C2443" t="s">
        <v>12477</v>
      </c>
      <c r="D2443" t="s">
        <v>12479</v>
      </c>
      <c r="E2443" t="s">
        <v>6030</v>
      </c>
      <c r="F2443" t="s">
        <v>6031</v>
      </c>
      <c r="G2443" s="712">
        <v>0</v>
      </c>
      <c r="H2443">
        <v>0</v>
      </c>
      <c r="I2443" s="713">
        <v>0</v>
      </c>
      <c r="J2443" s="711">
        <v>61195753.840000004</v>
      </c>
      <c r="K2443" s="711">
        <v>129286.87</v>
      </c>
      <c r="L2443">
        <v>0</v>
      </c>
      <c r="M2443">
        <v>0</v>
      </c>
      <c r="N2443" s="711">
        <v>61195753.840000004</v>
      </c>
      <c r="O2443" s="711">
        <v>129286.87</v>
      </c>
      <c r="P2443" s="711">
        <v>61066466.969999999</v>
      </c>
    </row>
    <row r="2444" spans="1:16">
      <c r="A2444">
        <v>5</v>
      </c>
      <c r="B2444" t="s">
        <v>12475</v>
      </c>
      <c r="C2444" t="s">
        <v>12477</v>
      </c>
      <c r="D2444" t="s">
        <v>12479</v>
      </c>
      <c r="E2444" t="s">
        <v>6032</v>
      </c>
      <c r="F2444" t="s">
        <v>6033</v>
      </c>
      <c r="G2444" s="712">
        <v>0</v>
      </c>
      <c r="H2444">
        <v>0</v>
      </c>
      <c r="I2444" s="713">
        <v>0</v>
      </c>
      <c r="J2444" s="711">
        <v>20504738.780000001</v>
      </c>
      <c r="K2444" s="711">
        <v>51512.78</v>
      </c>
      <c r="L2444">
        <v>0</v>
      </c>
      <c r="M2444">
        <v>0</v>
      </c>
      <c r="N2444" s="711">
        <v>20504738.780000001</v>
      </c>
      <c r="O2444" s="711">
        <v>51512.78</v>
      </c>
      <c r="P2444" s="711">
        <v>20453226</v>
      </c>
    </row>
    <row r="2445" spans="1:16">
      <c r="A2445">
        <v>5</v>
      </c>
      <c r="B2445" t="s">
        <v>12475</v>
      </c>
      <c r="C2445" t="s">
        <v>12477</v>
      </c>
      <c r="D2445" t="s">
        <v>12479</v>
      </c>
      <c r="E2445" t="s">
        <v>6034</v>
      </c>
      <c r="F2445" t="s">
        <v>6035</v>
      </c>
      <c r="G2445" s="712">
        <v>0</v>
      </c>
      <c r="H2445">
        <v>0</v>
      </c>
      <c r="I2445" s="713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</row>
    <row r="2446" spans="1:16">
      <c r="A2446">
        <v>5</v>
      </c>
      <c r="B2446" t="s">
        <v>12475</v>
      </c>
      <c r="C2446" t="s">
        <v>12477</v>
      </c>
      <c r="D2446" t="s">
        <v>12479</v>
      </c>
      <c r="E2446" t="s">
        <v>6036</v>
      </c>
      <c r="F2446" t="s">
        <v>6037</v>
      </c>
      <c r="G2446" s="712">
        <v>0</v>
      </c>
      <c r="H2446">
        <v>0</v>
      </c>
      <c r="I2446" s="713">
        <v>0</v>
      </c>
      <c r="J2446" s="711">
        <v>396033.82</v>
      </c>
      <c r="K2446">
        <v>0</v>
      </c>
      <c r="L2446">
        <v>0</v>
      </c>
      <c r="M2446">
        <v>0</v>
      </c>
      <c r="N2446" s="711">
        <v>396033.82</v>
      </c>
      <c r="O2446">
        <v>0</v>
      </c>
      <c r="P2446" s="711">
        <v>396033.82</v>
      </c>
    </row>
    <row r="2447" spans="1:16">
      <c r="A2447">
        <v>5</v>
      </c>
      <c r="B2447" t="s">
        <v>12475</v>
      </c>
      <c r="C2447" t="s">
        <v>12477</v>
      </c>
      <c r="D2447" t="s">
        <v>12479</v>
      </c>
      <c r="E2447" t="s">
        <v>6038</v>
      </c>
      <c r="F2447" t="s">
        <v>6039</v>
      </c>
      <c r="G2447" s="712">
        <v>0</v>
      </c>
      <c r="H2447">
        <v>0</v>
      </c>
      <c r="I2447" s="713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</row>
    <row r="2448" spans="1:16">
      <c r="A2448">
        <v>5</v>
      </c>
      <c r="B2448" t="s">
        <v>12475</v>
      </c>
      <c r="C2448" t="s">
        <v>12477</v>
      </c>
      <c r="D2448" t="s">
        <v>12479</v>
      </c>
      <c r="E2448" t="s">
        <v>12481</v>
      </c>
      <c r="F2448" t="s">
        <v>12482</v>
      </c>
      <c r="G2448" s="712">
        <v>0</v>
      </c>
      <c r="H2448">
        <v>0</v>
      </c>
      <c r="I2448" s="713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</row>
    <row r="2449" spans="1:16">
      <c r="A2449">
        <v>5</v>
      </c>
      <c r="B2449" t="s">
        <v>12475</v>
      </c>
      <c r="C2449" t="s">
        <v>12477</v>
      </c>
      <c r="D2449" t="s">
        <v>12479</v>
      </c>
      <c r="E2449" t="s">
        <v>6040</v>
      </c>
      <c r="F2449" t="s">
        <v>6041</v>
      </c>
      <c r="G2449" s="712">
        <v>0</v>
      </c>
      <c r="H2449">
        <v>0</v>
      </c>
      <c r="I2449" s="713">
        <v>0</v>
      </c>
      <c r="J2449" s="711">
        <v>1486083.46</v>
      </c>
      <c r="K2449" s="711">
        <v>11385</v>
      </c>
      <c r="L2449">
        <v>0</v>
      </c>
      <c r="M2449">
        <v>0</v>
      </c>
      <c r="N2449" s="711">
        <v>1486083.46</v>
      </c>
      <c r="O2449" s="711">
        <v>11385</v>
      </c>
      <c r="P2449" s="711">
        <v>1474698.46</v>
      </c>
    </row>
    <row r="2450" spans="1:16">
      <c r="A2450">
        <v>5</v>
      </c>
      <c r="B2450" t="s">
        <v>12475</v>
      </c>
      <c r="C2450" t="s">
        <v>12477</v>
      </c>
      <c r="D2450" t="s">
        <v>12479</v>
      </c>
      <c r="E2450" t="s">
        <v>6043</v>
      </c>
      <c r="F2450" t="s">
        <v>6044</v>
      </c>
      <c r="G2450" s="712">
        <v>0</v>
      </c>
      <c r="H2450">
        <v>0</v>
      </c>
      <c r="I2450" s="713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</row>
    <row r="2451" spans="1:16">
      <c r="A2451">
        <v>5</v>
      </c>
      <c r="B2451" t="s">
        <v>12475</v>
      </c>
      <c r="C2451" t="s">
        <v>12477</v>
      </c>
      <c r="D2451" t="s">
        <v>12479</v>
      </c>
      <c r="E2451" t="s">
        <v>6045</v>
      </c>
      <c r="F2451" t="s">
        <v>6046</v>
      </c>
      <c r="G2451" s="712">
        <v>0</v>
      </c>
      <c r="H2451">
        <v>0</v>
      </c>
      <c r="I2451" s="713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</row>
    <row r="2452" spans="1:16">
      <c r="A2452">
        <v>5</v>
      </c>
      <c r="B2452" t="s">
        <v>12475</v>
      </c>
      <c r="C2452" t="s">
        <v>12477</v>
      </c>
      <c r="D2452" t="s">
        <v>12479</v>
      </c>
      <c r="E2452" t="s">
        <v>6047</v>
      </c>
      <c r="F2452" t="s">
        <v>6048</v>
      </c>
      <c r="G2452" s="712">
        <v>0</v>
      </c>
      <c r="H2452">
        <v>0</v>
      </c>
      <c r="I2452" s="713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</row>
    <row r="2453" spans="1:16">
      <c r="A2453">
        <v>5</v>
      </c>
      <c r="B2453" t="s">
        <v>12475</v>
      </c>
      <c r="C2453" t="s">
        <v>12477</v>
      </c>
      <c r="D2453" t="s">
        <v>12479</v>
      </c>
      <c r="E2453" t="s">
        <v>6049</v>
      </c>
      <c r="F2453" t="s">
        <v>6050</v>
      </c>
      <c r="G2453" s="712">
        <v>0</v>
      </c>
      <c r="H2453">
        <v>0</v>
      </c>
      <c r="I2453" s="71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</row>
    <row r="2454" spans="1:16">
      <c r="A2454">
        <v>5</v>
      </c>
      <c r="B2454" t="s">
        <v>12475</v>
      </c>
      <c r="C2454" t="s">
        <v>12477</v>
      </c>
      <c r="D2454" t="s">
        <v>12479</v>
      </c>
      <c r="E2454" t="s">
        <v>6051</v>
      </c>
      <c r="F2454" t="s">
        <v>6052</v>
      </c>
      <c r="G2454" s="712">
        <v>0</v>
      </c>
      <c r="H2454">
        <v>0</v>
      </c>
      <c r="I2454" s="713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</row>
    <row r="2455" spans="1:16">
      <c r="A2455">
        <v>5</v>
      </c>
      <c r="B2455" t="s">
        <v>12475</v>
      </c>
      <c r="C2455" t="s">
        <v>12477</v>
      </c>
      <c r="D2455" t="s">
        <v>12479</v>
      </c>
      <c r="E2455" t="s">
        <v>6053</v>
      </c>
      <c r="F2455" t="s">
        <v>6054</v>
      </c>
      <c r="G2455" s="712">
        <v>0</v>
      </c>
      <c r="H2455">
        <v>0</v>
      </c>
      <c r="I2455" s="713">
        <v>0</v>
      </c>
      <c r="J2455" s="711">
        <v>785887.76</v>
      </c>
      <c r="K2455">
        <v>0</v>
      </c>
      <c r="L2455">
        <v>0</v>
      </c>
      <c r="M2455">
        <v>0</v>
      </c>
      <c r="N2455" s="711">
        <v>785887.76</v>
      </c>
      <c r="O2455">
        <v>0</v>
      </c>
      <c r="P2455" s="711">
        <v>785887.76</v>
      </c>
    </row>
    <row r="2456" spans="1:16">
      <c r="A2456">
        <v>5</v>
      </c>
      <c r="B2456" t="s">
        <v>12475</v>
      </c>
      <c r="C2456" t="s">
        <v>12477</v>
      </c>
      <c r="D2456" t="s">
        <v>12479</v>
      </c>
      <c r="E2456" t="s">
        <v>6056</v>
      </c>
      <c r="F2456" t="s">
        <v>6057</v>
      </c>
      <c r="G2456" s="712">
        <v>0</v>
      </c>
      <c r="H2456">
        <v>0</v>
      </c>
      <c r="I2456" s="713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</row>
    <row r="2457" spans="1:16" ht="15.75" thickBot="1">
      <c r="A2457">
        <v>5</v>
      </c>
      <c r="B2457" t="s">
        <v>12475</v>
      </c>
      <c r="C2457" t="s">
        <v>12477</v>
      </c>
      <c r="D2457" t="s">
        <v>12479</v>
      </c>
      <c r="E2457" t="s">
        <v>6059</v>
      </c>
      <c r="F2457" t="s">
        <v>6060</v>
      </c>
      <c r="G2457" s="712">
        <v>0</v>
      </c>
      <c r="H2457">
        <v>0</v>
      </c>
      <c r="I2457" s="713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</row>
    <row r="2458" spans="1:16" ht="15.75" thickBot="1">
      <c r="A2458" s="727">
        <v>5</v>
      </c>
      <c r="B2458" s="727" t="s">
        <v>12475</v>
      </c>
      <c r="C2458" s="727" t="s">
        <v>12477</v>
      </c>
      <c r="D2458" s="727" t="s">
        <v>12483</v>
      </c>
      <c r="E2458" s="727"/>
      <c r="F2458" s="729" t="s">
        <v>12484</v>
      </c>
      <c r="G2458" s="738">
        <v>0</v>
      </c>
      <c r="H2458" s="738">
        <v>0</v>
      </c>
      <c r="I2458" s="738">
        <v>0</v>
      </c>
      <c r="J2458" s="739">
        <v>1115317.54</v>
      </c>
      <c r="K2458" s="739">
        <v>59022.53</v>
      </c>
      <c r="L2458" s="738">
        <v>0</v>
      </c>
      <c r="M2458" s="738">
        <v>0</v>
      </c>
      <c r="N2458" s="739">
        <v>1115317.54</v>
      </c>
      <c r="O2458" s="739">
        <v>59022.53</v>
      </c>
      <c r="P2458" s="739">
        <v>1056295.01</v>
      </c>
    </row>
    <row r="2459" spans="1:16">
      <c r="A2459">
        <v>5</v>
      </c>
      <c r="B2459" t="s">
        <v>12475</v>
      </c>
      <c r="C2459" t="s">
        <v>12477</v>
      </c>
      <c r="D2459" t="s">
        <v>12483</v>
      </c>
      <c r="E2459" t="s">
        <v>6064</v>
      </c>
      <c r="F2459" t="s">
        <v>6065</v>
      </c>
      <c r="G2459" s="712">
        <v>0</v>
      </c>
      <c r="H2459">
        <v>0</v>
      </c>
      <c r="I2459" s="713">
        <v>0</v>
      </c>
      <c r="J2459" s="711">
        <v>72154.95</v>
      </c>
      <c r="K2459">
        <v>0</v>
      </c>
      <c r="L2459">
        <v>0</v>
      </c>
      <c r="M2459">
        <v>0</v>
      </c>
      <c r="N2459" s="711">
        <v>72154.95</v>
      </c>
      <c r="O2459">
        <v>0</v>
      </c>
      <c r="P2459" s="711">
        <v>72154.95</v>
      </c>
    </row>
    <row r="2460" spans="1:16">
      <c r="A2460">
        <v>5</v>
      </c>
      <c r="B2460" t="s">
        <v>12475</v>
      </c>
      <c r="C2460" t="s">
        <v>12477</v>
      </c>
      <c r="D2460" t="s">
        <v>12483</v>
      </c>
      <c r="E2460" t="s">
        <v>6067</v>
      </c>
      <c r="F2460" t="s">
        <v>6068</v>
      </c>
      <c r="G2460" s="712">
        <v>0</v>
      </c>
      <c r="H2460">
        <v>0</v>
      </c>
      <c r="I2460" s="713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</row>
    <row r="2461" spans="1:16">
      <c r="A2461">
        <v>5</v>
      </c>
      <c r="B2461" t="s">
        <v>12475</v>
      </c>
      <c r="C2461" t="s">
        <v>12477</v>
      </c>
      <c r="D2461" t="s">
        <v>12483</v>
      </c>
      <c r="E2461" t="s">
        <v>6071</v>
      </c>
      <c r="F2461" t="s">
        <v>6072</v>
      </c>
      <c r="G2461" s="712">
        <v>0</v>
      </c>
      <c r="H2461">
        <v>0</v>
      </c>
      <c r="I2461" s="713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</row>
    <row r="2462" spans="1:16">
      <c r="A2462">
        <v>5</v>
      </c>
      <c r="B2462" t="s">
        <v>12475</v>
      </c>
      <c r="C2462" t="s">
        <v>12477</v>
      </c>
      <c r="D2462" t="s">
        <v>12483</v>
      </c>
      <c r="E2462" t="s">
        <v>6074</v>
      </c>
      <c r="F2462" t="s">
        <v>6075</v>
      </c>
      <c r="G2462" s="712">
        <v>0</v>
      </c>
      <c r="H2462">
        <v>0</v>
      </c>
      <c r="I2462" s="713">
        <v>0</v>
      </c>
      <c r="J2462" s="711">
        <v>221336.23</v>
      </c>
      <c r="K2462">
        <v>0</v>
      </c>
      <c r="L2462">
        <v>0</v>
      </c>
      <c r="M2462">
        <v>0</v>
      </c>
      <c r="N2462" s="711">
        <v>221336.23</v>
      </c>
      <c r="O2462">
        <v>0</v>
      </c>
      <c r="P2462" s="711">
        <v>221336.23</v>
      </c>
    </row>
    <row r="2463" spans="1:16" ht="15.75" thickBot="1">
      <c r="A2463">
        <v>5</v>
      </c>
      <c r="B2463" t="s">
        <v>12475</v>
      </c>
      <c r="C2463" t="s">
        <v>12477</v>
      </c>
      <c r="D2463" t="s">
        <v>12483</v>
      </c>
      <c r="E2463" t="s">
        <v>6078</v>
      </c>
      <c r="F2463" t="s">
        <v>6079</v>
      </c>
      <c r="G2463" s="712">
        <v>0</v>
      </c>
      <c r="H2463">
        <v>0</v>
      </c>
      <c r="I2463" s="713">
        <v>0</v>
      </c>
      <c r="J2463" s="711">
        <v>821826.36</v>
      </c>
      <c r="K2463" s="711">
        <v>59022.53</v>
      </c>
      <c r="L2463">
        <v>0</v>
      </c>
      <c r="M2463">
        <v>0</v>
      </c>
      <c r="N2463" s="711">
        <v>821826.36</v>
      </c>
      <c r="O2463" s="711">
        <v>59022.53</v>
      </c>
      <c r="P2463" s="711">
        <v>762803.83</v>
      </c>
    </row>
    <row r="2464" spans="1:16" ht="15.75" thickBot="1">
      <c r="A2464" s="727">
        <v>5</v>
      </c>
      <c r="B2464" s="727" t="s">
        <v>12475</v>
      </c>
      <c r="C2464" s="727" t="s">
        <v>12477</v>
      </c>
      <c r="D2464" s="727" t="s">
        <v>12485</v>
      </c>
      <c r="E2464" s="727"/>
      <c r="F2464" s="729" t="s">
        <v>12486</v>
      </c>
      <c r="G2464" s="738">
        <v>0</v>
      </c>
      <c r="H2464" s="738">
        <v>0</v>
      </c>
      <c r="I2464" s="738">
        <v>0</v>
      </c>
      <c r="J2464" s="739">
        <v>807211</v>
      </c>
      <c r="K2464" s="738">
        <v>0</v>
      </c>
      <c r="L2464" s="738">
        <v>0</v>
      </c>
      <c r="M2464" s="738">
        <v>0</v>
      </c>
      <c r="N2464" s="739">
        <v>807211</v>
      </c>
      <c r="O2464" s="738">
        <v>0</v>
      </c>
      <c r="P2464" s="739">
        <v>807211</v>
      </c>
    </row>
    <row r="2465" spans="1:16">
      <c r="A2465">
        <v>5</v>
      </c>
      <c r="B2465" t="s">
        <v>12475</v>
      </c>
      <c r="C2465" t="s">
        <v>12477</v>
      </c>
      <c r="D2465" t="s">
        <v>12485</v>
      </c>
      <c r="E2465" t="s">
        <v>6090</v>
      </c>
      <c r="F2465" t="s">
        <v>6091</v>
      </c>
      <c r="G2465" s="712">
        <v>0</v>
      </c>
      <c r="H2465">
        <v>0</v>
      </c>
      <c r="I2465" s="713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</row>
    <row r="2466" spans="1:16">
      <c r="A2466">
        <v>5</v>
      </c>
      <c r="B2466" t="s">
        <v>12475</v>
      </c>
      <c r="C2466" t="s">
        <v>12477</v>
      </c>
      <c r="D2466" t="s">
        <v>12485</v>
      </c>
      <c r="E2466" t="s">
        <v>6095</v>
      </c>
      <c r="F2466" t="s">
        <v>6096</v>
      </c>
      <c r="G2466" s="712">
        <v>0</v>
      </c>
      <c r="H2466">
        <v>0</v>
      </c>
      <c r="I2466" s="713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</row>
    <row r="2467" spans="1:16" ht="15.75" thickBot="1">
      <c r="A2467">
        <v>5</v>
      </c>
      <c r="B2467" t="s">
        <v>12475</v>
      </c>
      <c r="C2467" t="s">
        <v>12477</v>
      </c>
      <c r="D2467" t="s">
        <v>12485</v>
      </c>
      <c r="E2467" t="s">
        <v>6100</v>
      </c>
      <c r="F2467" t="s">
        <v>6101</v>
      </c>
      <c r="G2467" s="712">
        <v>0</v>
      </c>
      <c r="H2467">
        <v>0</v>
      </c>
      <c r="I2467" s="713">
        <v>0</v>
      </c>
      <c r="J2467" s="711">
        <v>807211</v>
      </c>
      <c r="K2467">
        <v>0</v>
      </c>
      <c r="L2467">
        <v>0</v>
      </c>
      <c r="M2467">
        <v>0</v>
      </c>
      <c r="N2467" s="711">
        <v>807211</v>
      </c>
      <c r="O2467">
        <v>0</v>
      </c>
      <c r="P2467" s="711">
        <v>807211</v>
      </c>
    </row>
    <row r="2468" spans="1:16" ht="15.75" thickBot="1">
      <c r="A2468" s="727">
        <v>5</v>
      </c>
      <c r="B2468" s="727" t="s">
        <v>12475</v>
      </c>
      <c r="C2468" s="727" t="s">
        <v>12477</v>
      </c>
      <c r="D2468" s="727" t="s">
        <v>12487</v>
      </c>
      <c r="E2468" s="727"/>
      <c r="F2468" s="729" t="s">
        <v>1183</v>
      </c>
      <c r="G2468" s="738">
        <v>0</v>
      </c>
      <c r="H2468" s="738">
        <v>0</v>
      </c>
      <c r="I2468" s="738">
        <v>0</v>
      </c>
      <c r="J2468" s="739">
        <v>550154.78</v>
      </c>
      <c r="K2468" s="738">
        <v>0</v>
      </c>
      <c r="L2468" s="738">
        <v>0</v>
      </c>
      <c r="M2468" s="738">
        <v>0</v>
      </c>
      <c r="N2468" s="739">
        <v>550154.78</v>
      </c>
      <c r="O2468" s="738">
        <v>0</v>
      </c>
      <c r="P2468" s="739">
        <v>550154.78</v>
      </c>
    </row>
    <row r="2469" spans="1:16">
      <c r="A2469">
        <v>5</v>
      </c>
      <c r="B2469" t="s">
        <v>12475</v>
      </c>
      <c r="C2469" t="s">
        <v>12477</v>
      </c>
      <c r="D2469" t="s">
        <v>12487</v>
      </c>
      <c r="E2469" t="s">
        <v>6107</v>
      </c>
      <c r="F2469" t="s">
        <v>6108</v>
      </c>
      <c r="G2469" s="712">
        <v>0</v>
      </c>
      <c r="H2469">
        <v>0</v>
      </c>
      <c r="I2469" s="713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</row>
    <row r="2470" spans="1:16">
      <c r="A2470">
        <v>5</v>
      </c>
      <c r="B2470" t="s">
        <v>12475</v>
      </c>
      <c r="C2470" t="s">
        <v>12477</v>
      </c>
      <c r="D2470" t="s">
        <v>12487</v>
      </c>
      <c r="E2470" t="s">
        <v>6113</v>
      </c>
      <c r="F2470" t="s">
        <v>6114</v>
      </c>
      <c r="G2470" s="712">
        <v>0</v>
      </c>
      <c r="H2470">
        <v>0</v>
      </c>
      <c r="I2470" s="713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</row>
    <row r="2471" spans="1:16">
      <c r="A2471">
        <v>5</v>
      </c>
      <c r="B2471" t="s">
        <v>12475</v>
      </c>
      <c r="C2471" t="s">
        <v>12477</v>
      </c>
      <c r="D2471" t="s">
        <v>12487</v>
      </c>
      <c r="E2471" t="s">
        <v>6119</v>
      </c>
      <c r="F2471" t="s">
        <v>6120</v>
      </c>
      <c r="G2471" s="712">
        <v>0</v>
      </c>
      <c r="H2471">
        <v>0</v>
      </c>
      <c r="I2471" s="713">
        <v>0</v>
      </c>
      <c r="J2471" s="711">
        <v>550154.78</v>
      </c>
      <c r="K2471">
        <v>0</v>
      </c>
      <c r="L2471">
        <v>0</v>
      </c>
      <c r="M2471">
        <v>0</v>
      </c>
      <c r="N2471" s="711">
        <v>550154.78</v>
      </c>
      <c r="O2471">
        <v>0</v>
      </c>
      <c r="P2471" s="711">
        <v>550154.78</v>
      </c>
    </row>
    <row r="2472" spans="1:16" ht="15.75" thickBot="1">
      <c r="A2472">
        <v>5</v>
      </c>
      <c r="B2472" t="s">
        <v>12475</v>
      </c>
      <c r="C2472" t="s">
        <v>12477</v>
      </c>
      <c r="D2472" t="s">
        <v>12487</v>
      </c>
      <c r="E2472" t="s">
        <v>6124</v>
      </c>
      <c r="F2472" t="s">
        <v>6125</v>
      </c>
      <c r="G2472" s="712">
        <v>0</v>
      </c>
      <c r="H2472">
        <v>0</v>
      </c>
      <c r="I2472" s="713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</row>
    <row r="2473" spans="1:16" ht="15.75" thickBot="1">
      <c r="A2473" s="727">
        <v>5</v>
      </c>
      <c r="B2473" s="727" t="s">
        <v>12475</v>
      </c>
      <c r="C2473" s="727" t="s">
        <v>12477</v>
      </c>
      <c r="D2473" s="727" t="s">
        <v>12488</v>
      </c>
      <c r="E2473" s="727"/>
      <c r="F2473" s="729" t="s">
        <v>1194</v>
      </c>
      <c r="G2473" s="738">
        <v>0</v>
      </c>
      <c r="H2473" s="738">
        <v>0</v>
      </c>
      <c r="I2473" s="738">
        <v>0</v>
      </c>
      <c r="J2473" s="739">
        <v>25415463.370000001</v>
      </c>
      <c r="K2473" s="739">
        <v>175589.4</v>
      </c>
      <c r="L2473" s="738">
        <v>0</v>
      </c>
      <c r="M2473" s="738">
        <v>0</v>
      </c>
      <c r="N2473" s="739">
        <v>25415463.370000001</v>
      </c>
      <c r="O2473" s="739">
        <v>175589.4</v>
      </c>
      <c r="P2473" s="739">
        <v>25239873.969999999</v>
      </c>
    </row>
    <row r="2474" spans="1:16">
      <c r="A2474">
        <v>5</v>
      </c>
      <c r="B2474" t="s">
        <v>12475</v>
      </c>
      <c r="C2474" t="s">
        <v>12477</v>
      </c>
      <c r="D2474" t="s">
        <v>12488</v>
      </c>
      <c r="E2474" t="s">
        <v>6128</v>
      </c>
      <c r="F2474" t="s">
        <v>6129</v>
      </c>
      <c r="G2474" s="712">
        <v>0</v>
      </c>
      <c r="H2474">
        <v>0</v>
      </c>
      <c r="I2474" s="713">
        <v>0</v>
      </c>
      <c r="J2474" s="711">
        <v>1672540.31</v>
      </c>
      <c r="K2474" s="711">
        <v>10376.9</v>
      </c>
      <c r="L2474">
        <v>0</v>
      </c>
      <c r="M2474">
        <v>0</v>
      </c>
      <c r="N2474" s="711">
        <v>1672540.31</v>
      </c>
      <c r="O2474" s="711">
        <v>10376.9</v>
      </c>
      <c r="P2474" s="711">
        <v>1662163.41</v>
      </c>
    </row>
    <row r="2475" spans="1:16">
      <c r="A2475">
        <v>5</v>
      </c>
      <c r="B2475" t="s">
        <v>12475</v>
      </c>
      <c r="C2475" t="s">
        <v>12477</v>
      </c>
      <c r="D2475" t="s">
        <v>12488</v>
      </c>
      <c r="E2475" t="s">
        <v>6131</v>
      </c>
      <c r="F2475" t="s">
        <v>6132</v>
      </c>
      <c r="G2475" s="712">
        <v>0</v>
      </c>
      <c r="H2475">
        <v>0</v>
      </c>
      <c r="I2475" s="713">
        <v>0</v>
      </c>
      <c r="J2475" s="711">
        <v>2922592.49</v>
      </c>
      <c r="K2475" s="711">
        <v>40040.400000000001</v>
      </c>
      <c r="L2475">
        <v>0</v>
      </c>
      <c r="M2475">
        <v>0</v>
      </c>
      <c r="N2475" s="711">
        <v>2922592.49</v>
      </c>
      <c r="O2475" s="711">
        <v>40040.400000000001</v>
      </c>
      <c r="P2475" s="711">
        <v>2882552.09</v>
      </c>
    </row>
    <row r="2476" spans="1:16">
      <c r="A2476">
        <v>5</v>
      </c>
      <c r="B2476" t="s">
        <v>12475</v>
      </c>
      <c r="C2476" t="s">
        <v>12477</v>
      </c>
      <c r="D2476" t="s">
        <v>12488</v>
      </c>
      <c r="E2476" t="s">
        <v>6134</v>
      </c>
      <c r="F2476" t="s">
        <v>6135</v>
      </c>
      <c r="G2476" s="712">
        <v>0</v>
      </c>
      <c r="H2476">
        <v>0</v>
      </c>
      <c r="I2476" s="713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</row>
    <row r="2477" spans="1:16">
      <c r="A2477">
        <v>5</v>
      </c>
      <c r="B2477" t="s">
        <v>12475</v>
      </c>
      <c r="C2477" t="s">
        <v>12477</v>
      </c>
      <c r="D2477" t="s">
        <v>12488</v>
      </c>
      <c r="E2477" t="s">
        <v>6136</v>
      </c>
      <c r="F2477" t="s">
        <v>6137</v>
      </c>
      <c r="G2477" s="712">
        <v>0</v>
      </c>
      <c r="H2477">
        <v>0</v>
      </c>
      <c r="I2477" s="713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</row>
    <row r="2478" spans="1:16">
      <c r="A2478">
        <v>5</v>
      </c>
      <c r="B2478" t="s">
        <v>12475</v>
      </c>
      <c r="C2478" t="s">
        <v>12477</v>
      </c>
      <c r="D2478" t="s">
        <v>12488</v>
      </c>
      <c r="E2478" t="s">
        <v>6138</v>
      </c>
      <c r="F2478" t="s">
        <v>6139</v>
      </c>
      <c r="G2478" s="712">
        <v>0</v>
      </c>
      <c r="H2478">
        <v>0</v>
      </c>
      <c r="I2478" s="713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</row>
    <row r="2479" spans="1:16">
      <c r="A2479">
        <v>5</v>
      </c>
      <c r="B2479" t="s">
        <v>12475</v>
      </c>
      <c r="C2479" t="s">
        <v>12477</v>
      </c>
      <c r="D2479" t="s">
        <v>12488</v>
      </c>
      <c r="E2479" t="s">
        <v>6140</v>
      </c>
      <c r="F2479" t="s">
        <v>6141</v>
      </c>
      <c r="G2479" s="712">
        <v>0</v>
      </c>
      <c r="H2479">
        <v>0</v>
      </c>
      <c r="I2479" s="713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</row>
    <row r="2480" spans="1:16">
      <c r="A2480">
        <v>5</v>
      </c>
      <c r="B2480" t="s">
        <v>12475</v>
      </c>
      <c r="C2480" t="s">
        <v>12477</v>
      </c>
      <c r="D2480" t="s">
        <v>12488</v>
      </c>
      <c r="E2480" t="s">
        <v>6142</v>
      </c>
      <c r="F2480" t="s">
        <v>6143</v>
      </c>
      <c r="G2480" s="712">
        <v>0</v>
      </c>
      <c r="H2480">
        <v>0</v>
      </c>
      <c r="I2480" s="713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</row>
    <row r="2481" spans="1:16">
      <c r="A2481">
        <v>5</v>
      </c>
      <c r="B2481" t="s">
        <v>12475</v>
      </c>
      <c r="C2481" t="s">
        <v>12477</v>
      </c>
      <c r="D2481" t="s">
        <v>12488</v>
      </c>
      <c r="E2481" t="s">
        <v>6144</v>
      </c>
      <c r="F2481" t="s">
        <v>6145</v>
      </c>
      <c r="G2481" s="712">
        <v>0</v>
      </c>
      <c r="H2481">
        <v>0</v>
      </c>
      <c r="I2481" s="713">
        <v>0</v>
      </c>
      <c r="J2481" s="711">
        <v>2056331.82</v>
      </c>
      <c r="K2481" s="711">
        <v>8013.23</v>
      </c>
      <c r="L2481">
        <v>0</v>
      </c>
      <c r="M2481">
        <v>0</v>
      </c>
      <c r="N2481" s="711">
        <v>2056331.82</v>
      </c>
      <c r="O2481" s="711">
        <v>8013.23</v>
      </c>
      <c r="P2481" s="711">
        <v>2048318.59</v>
      </c>
    </row>
    <row r="2482" spans="1:16">
      <c r="A2482">
        <v>5</v>
      </c>
      <c r="B2482" t="s">
        <v>12475</v>
      </c>
      <c r="C2482" t="s">
        <v>12477</v>
      </c>
      <c r="D2482" t="s">
        <v>12488</v>
      </c>
      <c r="E2482" t="s">
        <v>6147</v>
      </c>
      <c r="F2482" t="s">
        <v>6148</v>
      </c>
      <c r="G2482" s="712">
        <v>0</v>
      </c>
      <c r="H2482">
        <v>0</v>
      </c>
      <c r="I2482" s="713">
        <v>0</v>
      </c>
      <c r="J2482" s="711">
        <v>1305183.4099999999</v>
      </c>
      <c r="K2482">
        <v>756.4</v>
      </c>
      <c r="L2482">
        <v>0</v>
      </c>
      <c r="M2482">
        <v>0</v>
      </c>
      <c r="N2482" s="711">
        <v>1305183.4099999999</v>
      </c>
      <c r="O2482">
        <v>756.4</v>
      </c>
      <c r="P2482" s="711">
        <v>1304427.01</v>
      </c>
    </row>
    <row r="2483" spans="1:16">
      <c r="A2483">
        <v>5</v>
      </c>
      <c r="B2483" t="s">
        <v>12475</v>
      </c>
      <c r="C2483" t="s">
        <v>12477</v>
      </c>
      <c r="D2483" t="s">
        <v>12488</v>
      </c>
      <c r="E2483" t="s">
        <v>6149</v>
      </c>
      <c r="F2483" t="s">
        <v>6150</v>
      </c>
      <c r="G2483" s="712">
        <v>0</v>
      </c>
      <c r="H2483">
        <v>0</v>
      </c>
      <c r="I2483" s="71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</row>
    <row r="2484" spans="1:16">
      <c r="A2484">
        <v>5</v>
      </c>
      <c r="B2484" t="s">
        <v>12475</v>
      </c>
      <c r="C2484" t="s">
        <v>12477</v>
      </c>
      <c r="D2484" t="s">
        <v>12488</v>
      </c>
      <c r="E2484" t="s">
        <v>6151</v>
      </c>
      <c r="F2484" t="s">
        <v>6152</v>
      </c>
      <c r="G2484" s="712">
        <v>0</v>
      </c>
      <c r="H2484">
        <v>0</v>
      </c>
      <c r="I2484" s="713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</row>
    <row r="2485" spans="1:16">
      <c r="A2485">
        <v>5</v>
      </c>
      <c r="B2485" t="s">
        <v>12475</v>
      </c>
      <c r="C2485" t="s">
        <v>12477</v>
      </c>
      <c r="D2485" t="s">
        <v>12488</v>
      </c>
      <c r="E2485" t="s">
        <v>6153</v>
      </c>
      <c r="F2485" t="s">
        <v>6154</v>
      </c>
      <c r="G2485" s="712">
        <v>0</v>
      </c>
      <c r="H2485">
        <v>0</v>
      </c>
      <c r="I2485" s="713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</row>
    <row r="2486" spans="1:16">
      <c r="A2486">
        <v>5</v>
      </c>
      <c r="B2486" t="s">
        <v>12475</v>
      </c>
      <c r="C2486" t="s">
        <v>12477</v>
      </c>
      <c r="D2486" t="s">
        <v>12488</v>
      </c>
      <c r="E2486" t="s">
        <v>6155</v>
      </c>
      <c r="F2486" t="s">
        <v>6156</v>
      </c>
      <c r="G2486" s="712">
        <v>0</v>
      </c>
      <c r="H2486">
        <v>0</v>
      </c>
      <c r="I2486" s="713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</row>
    <row r="2487" spans="1:16">
      <c r="A2487">
        <v>5</v>
      </c>
      <c r="B2487" t="s">
        <v>12475</v>
      </c>
      <c r="C2487" t="s">
        <v>12477</v>
      </c>
      <c r="D2487" t="s">
        <v>12488</v>
      </c>
      <c r="E2487" t="s">
        <v>6157</v>
      </c>
      <c r="F2487" t="s">
        <v>6158</v>
      </c>
      <c r="G2487" s="712">
        <v>0</v>
      </c>
      <c r="H2487">
        <v>0</v>
      </c>
      <c r="I2487" s="713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</row>
    <row r="2488" spans="1:16">
      <c r="A2488">
        <v>5</v>
      </c>
      <c r="B2488" t="s">
        <v>12475</v>
      </c>
      <c r="C2488" t="s">
        <v>12477</v>
      </c>
      <c r="D2488" t="s">
        <v>12488</v>
      </c>
      <c r="E2488" t="s">
        <v>6160</v>
      </c>
      <c r="F2488" t="s">
        <v>6161</v>
      </c>
      <c r="G2488" s="712">
        <v>0</v>
      </c>
      <c r="H2488">
        <v>0</v>
      </c>
      <c r="I2488" s="713">
        <v>0</v>
      </c>
      <c r="J2488" s="711">
        <v>3819470.43</v>
      </c>
      <c r="K2488" s="711">
        <v>27752.61</v>
      </c>
      <c r="L2488">
        <v>0</v>
      </c>
      <c r="M2488">
        <v>0</v>
      </c>
      <c r="N2488" s="711">
        <v>3819470.43</v>
      </c>
      <c r="O2488" s="711">
        <v>27752.61</v>
      </c>
      <c r="P2488" s="711">
        <v>3791717.82</v>
      </c>
    </row>
    <row r="2489" spans="1:16">
      <c r="A2489">
        <v>5</v>
      </c>
      <c r="B2489" t="s">
        <v>12475</v>
      </c>
      <c r="C2489" t="s">
        <v>12477</v>
      </c>
      <c r="D2489" t="s">
        <v>12488</v>
      </c>
      <c r="E2489" t="s">
        <v>6163</v>
      </c>
      <c r="F2489" t="s">
        <v>6164</v>
      </c>
      <c r="G2489" s="712">
        <v>0</v>
      </c>
      <c r="H2489">
        <v>0</v>
      </c>
      <c r="I2489" s="713">
        <v>0</v>
      </c>
      <c r="J2489" s="711">
        <v>135822.12</v>
      </c>
      <c r="K2489">
        <v>873.62</v>
      </c>
      <c r="L2489">
        <v>0</v>
      </c>
      <c r="M2489">
        <v>0</v>
      </c>
      <c r="N2489" s="711">
        <v>135822.12</v>
      </c>
      <c r="O2489">
        <v>873.62</v>
      </c>
      <c r="P2489" s="711">
        <v>134948.5</v>
      </c>
    </row>
    <row r="2490" spans="1:16">
      <c r="A2490">
        <v>5</v>
      </c>
      <c r="B2490" t="s">
        <v>12475</v>
      </c>
      <c r="C2490" t="s">
        <v>12477</v>
      </c>
      <c r="D2490" t="s">
        <v>12488</v>
      </c>
      <c r="E2490" t="s">
        <v>6166</v>
      </c>
      <c r="F2490" t="s">
        <v>6167</v>
      </c>
      <c r="G2490" s="712">
        <v>0</v>
      </c>
      <c r="H2490">
        <v>0</v>
      </c>
      <c r="I2490" s="713">
        <v>0</v>
      </c>
      <c r="J2490" s="711">
        <v>270470.99</v>
      </c>
      <c r="K2490">
        <v>0</v>
      </c>
      <c r="L2490">
        <v>0</v>
      </c>
      <c r="M2490">
        <v>0</v>
      </c>
      <c r="N2490" s="711">
        <v>270470.99</v>
      </c>
      <c r="O2490">
        <v>0</v>
      </c>
      <c r="P2490" s="711">
        <v>270470.99</v>
      </c>
    </row>
    <row r="2491" spans="1:16">
      <c r="A2491">
        <v>5</v>
      </c>
      <c r="B2491" t="s">
        <v>12475</v>
      </c>
      <c r="C2491" t="s">
        <v>12477</v>
      </c>
      <c r="D2491" t="s">
        <v>12488</v>
      </c>
      <c r="E2491" t="s">
        <v>6169</v>
      </c>
      <c r="F2491" t="s">
        <v>6170</v>
      </c>
      <c r="G2491" s="712">
        <v>0</v>
      </c>
      <c r="H2491">
        <v>0</v>
      </c>
      <c r="I2491" s="713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</row>
    <row r="2492" spans="1:16">
      <c r="A2492">
        <v>5</v>
      </c>
      <c r="B2492" t="s">
        <v>12475</v>
      </c>
      <c r="C2492" t="s">
        <v>12477</v>
      </c>
      <c r="D2492" t="s">
        <v>12488</v>
      </c>
      <c r="E2492" t="s">
        <v>6171</v>
      </c>
      <c r="F2492" t="s">
        <v>6172</v>
      </c>
      <c r="G2492" s="712">
        <v>0</v>
      </c>
      <c r="H2492">
        <v>0</v>
      </c>
      <c r="I2492" s="713">
        <v>0</v>
      </c>
      <c r="J2492" s="711">
        <v>2249843.7799999998</v>
      </c>
      <c r="K2492" s="711">
        <v>1451.48</v>
      </c>
      <c r="L2492">
        <v>0</v>
      </c>
      <c r="M2492">
        <v>0</v>
      </c>
      <c r="N2492" s="711">
        <v>2249843.7799999998</v>
      </c>
      <c r="O2492" s="711">
        <v>1451.48</v>
      </c>
      <c r="P2492" s="711">
        <v>2248392.2999999998</v>
      </c>
    </row>
    <row r="2493" spans="1:16">
      <c r="A2493">
        <v>5</v>
      </c>
      <c r="B2493" t="s">
        <v>12475</v>
      </c>
      <c r="C2493" t="s">
        <v>12477</v>
      </c>
      <c r="D2493" t="s">
        <v>12488</v>
      </c>
      <c r="E2493" t="s">
        <v>6174</v>
      </c>
      <c r="F2493" t="s">
        <v>6175</v>
      </c>
      <c r="G2493" s="712">
        <v>0</v>
      </c>
      <c r="H2493">
        <v>0</v>
      </c>
      <c r="I2493" s="71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</row>
    <row r="2494" spans="1:16">
      <c r="A2494">
        <v>5</v>
      </c>
      <c r="B2494" t="s">
        <v>12475</v>
      </c>
      <c r="C2494" t="s">
        <v>12477</v>
      </c>
      <c r="D2494" t="s">
        <v>12488</v>
      </c>
      <c r="E2494" t="s">
        <v>6176</v>
      </c>
      <c r="F2494" t="s">
        <v>6177</v>
      </c>
      <c r="G2494" s="712">
        <v>0</v>
      </c>
      <c r="H2494">
        <v>0</v>
      </c>
      <c r="I2494" s="713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</row>
    <row r="2495" spans="1:16">
      <c r="A2495">
        <v>5</v>
      </c>
      <c r="B2495" t="s">
        <v>12475</v>
      </c>
      <c r="C2495" t="s">
        <v>12477</v>
      </c>
      <c r="D2495" t="s">
        <v>12488</v>
      </c>
      <c r="E2495" t="s">
        <v>6178</v>
      </c>
      <c r="F2495" t="s">
        <v>6179</v>
      </c>
      <c r="G2495" s="712">
        <v>0</v>
      </c>
      <c r="H2495">
        <v>0</v>
      </c>
      <c r="I2495" s="713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</row>
    <row r="2496" spans="1:16">
      <c r="A2496">
        <v>5</v>
      </c>
      <c r="B2496" t="s">
        <v>12475</v>
      </c>
      <c r="C2496" t="s">
        <v>12477</v>
      </c>
      <c r="D2496" t="s">
        <v>12488</v>
      </c>
      <c r="E2496" t="s">
        <v>6180</v>
      </c>
      <c r="F2496" t="s">
        <v>6181</v>
      </c>
      <c r="G2496" s="712">
        <v>0</v>
      </c>
      <c r="H2496">
        <v>0</v>
      </c>
      <c r="I2496" s="713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</row>
    <row r="2497" spans="1:16">
      <c r="A2497">
        <v>5</v>
      </c>
      <c r="B2497" t="s">
        <v>12475</v>
      </c>
      <c r="C2497" t="s">
        <v>12477</v>
      </c>
      <c r="D2497" t="s">
        <v>12488</v>
      </c>
      <c r="E2497" t="s">
        <v>6182</v>
      </c>
      <c r="F2497" t="s">
        <v>6183</v>
      </c>
      <c r="G2497" s="712">
        <v>0</v>
      </c>
      <c r="H2497">
        <v>0</v>
      </c>
      <c r="I2497" s="713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</row>
    <row r="2498" spans="1:16">
      <c r="A2498">
        <v>5</v>
      </c>
      <c r="B2498" t="s">
        <v>12475</v>
      </c>
      <c r="C2498" t="s">
        <v>12477</v>
      </c>
      <c r="D2498" t="s">
        <v>12488</v>
      </c>
      <c r="E2498" t="s">
        <v>6184</v>
      </c>
      <c r="F2498" t="s">
        <v>6185</v>
      </c>
      <c r="G2498" s="712">
        <v>0</v>
      </c>
      <c r="H2498">
        <v>0</v>
      </c>
      <c r="I2498" s="713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</row>
    <row r="2499" spans="1:16">
      <c r="A2499">
        <v>5</v>
      </c>
      <c r="B2499" t="s">
        <v>12475</v>
      </c>
      <c r="C2499" t="s">
        <v>12477</v>
      </c>
      <c r="D2499" t="s">
        <v>12488</v>
      </c>
      <c r="E2499" t="s">
        <v>6186</v>
      </c>
      <c r="F2499" t="s">
        <v>6187</v>
      </c>
      <c r="G2499" s="712">
        <v>0</v>
      </c>
      <c r="H2499">
        <v>0</v>
      </c>
      <c r="I2499" s="713">
        <v>0</v>
      </c>
      <c r="J2499" s="711">
        <v>26741.62</v>
      </c>
      <c r="K2499">
        <v>0</v>
      </c>
      <c r="L2499">
        <v>0</v>
      </c>
      <c r="M2499">
        <v>0</v>
      </c>
      <c r="N2499" s="711">
        <v>26741.62</v>
      </c>
      <c r="O2499">
        <v>0</v>
      </c>
      <c r="P2499" s="711">
        <v>26741.62</v>
      </c>
    </row>
    <row r="2500" spans="1:16">
      <c r="A2500">
        <v>5</v>
      </c>
      <c r="B2500" t="s">
        <v>12475</v>
      </c>
      <c r="C2500" t="s">
        <v>12477</v>
      </c>
      <c r="D2500" t="s">
        <v>12488</v>
      </c>
      <c r="E2500" t="s">
        <v>6189</v>
      </c>
      <c r="F2500" t="s">
        <v>6190</v>
      </c>
      <c r="G2500" s="712">
        <v>0</v>
      </c>
      <c r="H2500">
        <v>0</v>
      </c>
      <c r="I2500" s="713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</row>
    <row r="2501" spans="1:16">
      <c r="A2501">
        <v>5</v>
      </c>
      <c r="B2501" t="s">
        <v>12475</v>
      </c>
      <c r="C2501" t="s">
        <v>12477</v>
      </c>
      <c r="D2501" t="s">
        <v>12488</v>
      </c>
      <c r="E2501" t="s">
        <v>6191</v>
      </c>
      <c r="F2501" t="s">
        <v>6192</v>
      </c>
      <c r="G2501" s="712">
        <v>0</v>
      </c>
      <c r="H2501">
        <v>0</v>
      </c>
      <c r="I2501" s="713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</row>
    <row r="2502" spans="1:16">
      <c r="A2502">
        <v>5</v>
      </c>
      <c r="B2502" t="s">
        <v>12475</v>
      </c>
      <c r="C2502" t="s">
        <v>12477</v>
      </c>
      <c r="D2502" t="s">
        <v>12488</v>
      </c>
      <c r="E2502" t="s">
        <v>6193</v>
      </c>
      <c r="F2502" t="s">
        <v>6194</v>
      </c>
      <c r="G2502" s="712">
        <v>0</v>
      </c>
      <c r="H2502">
        <v>0</v>
      </c>
      <c r="I2502" s="713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</row>
    <row r="2503" spans="1:16">
      <c r="A2503">
        <v>5</v>
      </c>
      <c r="B2503" t="s">
        <v>12475</v>
      </c>
      <c r="C2503" t="s">
        <v>12477</v>
      </c>
      <c r="D2503" t="s">
        <v>12488</v>
      </c>
      <c r="E2503" t="s">
        <v>6195</v>
      </c>
      <c r="F2503" t="s">
        <v>6196</v>
      </c>
      <c r="G2503" s="712">
        <v>0</v>
      </c>
      <c r="H2503">
        <v>0</v>
      </c>
      <c r="I2503" s="71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</row>
    <row r="2504" spans="1:16">
      <c r="A2504">
        <v>5</v>
      </c>
      <c r="B2504" t="s">
        <v>12475</v>
      </c>
      <c r="C2504" t="s">
        <v>12477</v>
      </c>
      <c r="D2504" t="s">
        <v>12488</v>
      </c>
      <c r="E2504" t="s">
        <v>6197</v>
      </c>
      <c r="F2504" t="s">
        <v>6198</v>
      </c>
      <c r="G2504" s="712">
        <v>0</v>
      </c>
      <c r="H2504">
        <v>0</v>
      </c>
      <c r="I2504" s="713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</row>
    <row r="2505" spans="1:16">
      <c r="A2505">
        <v>5</v>
      </c>
      <c r="B2505" t="s">
        <v>12475</v>
      </c>
      <c r="C2505" t="s">
        <v>12477</v>
      </c>
      <c r="D2505" t="s">
        <v>12488</v>
      </c>
      <c r="E2505" t="s">
        <v>6199</v>
      </c>
      <c r="F2505" t="s">
        <v>6200</v>
      </c>
      <c r="G2505" s="712">
        <v>0</v>
      </c>
      <c r="H2505">
        <v>0</v>
      </c>
      <c r="I2505" s="713">
        <v>0</v>
      </c>
      <c r="J2505" s="711">
        <v>114346.77</v>
      </c>
      <c r="K2505">
        <v>0</v>
      </c>
      <c r="L2505">
        <v>0</v>
      </c>
      <c r="M2505">
        <v>0</v>
      </c>
      <c r="N2505" s="711">
        <v>114346.77</v>
      </c>
      <c r="O2505">
        <v>0</v>
      </c>
      <c r="P2505" s="711">
        <v>114346.77</v>
      </c>
    </row>
    <row r="2506" spans="1:16">
      <c r="A2506">
        <v>5</v>
      </c>
      <c r="B2506" t="s">
        <v>12475</v>
      </c>
      <c r="C2506" t="s">
        <v>12477</v>
      </c>
      <c r="D2506" t="s">
        <v>12488</v>
      </c>
      <c r="E2506" t="s">
        <v>6202</v>
      </c>
      <c r="F2506" t="s">
        <v>6203</v>
      </c>
      <c r="G2506" s="712">
        <v>0</v>
      </c>
      <c r="H2506">
        <v>0</v>
      </c>
      <c r="I2506" s="713">
        <v>0</v>
      </c>
      <c r="J2506" s="711">
        <v>131570.28</v>
      </c>
      <c r="K2506">
        <v>0</v>
      </c>
      <c r="L2506">
        <v>0</v>
      </c>
      <c r="M2506">
        <v>0</v>
      </c>
      <c r="N2506" s="711">
        <v>131570.28</v>
      </c>
      <c r="O2506">
        <v>0</v>
      </c>
      <c r="P2506" s="711">
        <v>131570.28</v>
      </c>
    </row>
    <row r="2507" spans="1:16">
      <c r="A2507">
        <v>5</v>
      </c>
      <c r="B2507" t="s">
        <v>12475</v>
      </c>
      <c r="C2507" t="s">
        <v>12477</v>
      </c>
      <c r="D2507" t="s">
        <v>12488</v>
      </c>
      <c r="E2507" t="s">
        <v>6205</v>
      </c>
      <c r="F2507" t="s">
        <v>6206</v>
      </c>
      <c r="G2507" s="712">
        <v>0</v>
      </c>
      <c r="H2507">
        <v>0</v>
      </c>
      <c r="I2507" s="713">
        <v>0</v>
      </c>
      <c r="J2507" s="711">
        <v>1295174.48</v>
      </c>
      <c r="K2507">
        <v>722.24</v>
      </c>
      <c r="L2507">
        <v>0</v>
      </c>
      <c r="M2507">
        <v>0</v>
      </c>
      <c r="N2507" s="711">
        <v>1295174.48</v>
      </c>
      <c r="O2507">
        <v>722.24</v>
      </c>
      <c r="P2507" s="711">
        <v>1294452.24</v>
      </c>
    </row>
    <row r="2508" spans="1:16">
      <c r="A2508">
        <v>5</v>
      </c>
      <c r="B2508" t="s">
        <v>12475</v>
      </c>
      <c r="C2508" t="s">
        <v>12477</v>
      </c>
      <c r="D2508" t="s">
        <v>12488</v>
      </c>
      <c r="E2508" t="s">
        <v>6208</v>
      </c>
      <c r="F2508" t="s">
        <v>6209</v>
      </c>
      <c r="G2508" s="712">
        <v>0</v>
      </c>
      <c r="H2508">
        <v>0</v>
      </c>
      <c r="I2508" s="713">
        <v>0</v>
      </c>
      <c r="J2508" s="711">
        <v>980175.56</v>
      </c>
      <c r="K2508" s="711">
        <v>53806.14</v>
      </c>
      <c r="L2508">
        <v>0</v>
      </c>
      <c r="M2508">
        <v>0</v>
      </c>
      <c r="N2508" s="711">
        <v>980175.56</v>
      </c>
      <c r="O2508" s="711">
        <v>53806.14</v>
      </c>
      <c r="P2508" s="711">
        <v>926369.42</v>
      </c>
    </row>
    <row r="2509" spans="1:16">
      <c r="A2509">
        <v>5</v>
      </c>
      <c r="B2509" t="s">
        <v>12475</v>
      </c>
      <c r="C2509" t="s">
        <v>12477</v>
      </c>
      <c r="D2509" t="s">
        <v>12488</v>
      </c>
      <c r="E2509" t="s">
        <v>6210</v>
      </c>
      <c r="F2509" t="s">
        <v>6211</v>
      </c>
      <c r="G2509" s="712">
        <v>0</v>
      </c>
      <c r="H2509">
        <v>0</v>
      </c>
      <c r="I2509" s="713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</row>
    <row r="2510" spans="1:16">
      <c r="A2510">
        <v>5</v>
      </c>
      <c r="B2510" t="s">
        <v>12475</v>
      </c>
      <c r="C2510" t="s">
        <v>12477</v>
      </c>
      <c r="D2510" t="s">
        <v>12488</v>
      </c>
      <c r="E2510" t="s">
        <v>6212</v>
      </c>
      <c r="F2510" t="s">
        <v>6213</v>
      </c>
      <c r="G2510" s="712">
        <v>0</v>
      </c>
      <c r="H2510">
        <v>0</v>
      </c>
      <c r="I2510" s="713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</row>
    <row r="2511" spans="1:16">
      <c r="A2511">
        <v>5</v>
      </c>
      <c r="B2511" t="s">
        <v>12475</v>
      </c>
      <c r="C2511" t="s">
        <v>12477</v>
      </c>
      <c r="D2511" t="s">
        <v>12488</v>
      </c>
      <c r="E2511" t="s">
        <v>6214</v>
      </c>
      <c r="F2511" t="s">
        <v>6215</v>
      </c>
      <c r="G2511" s="712">
        <v>0</v>
      </c>
      <c r="H2511">
        <v>0</v>
      </c>
      <c r="I2511" s="713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</row>
    <row r="2512" spans="1:16">
      <c r="A2512">
        <v>5</v>
      </c>
      <c r="B2512" t="s">
        <v>12475</v>
      </c>
      <c r="C2512" t="s">
        <v>12477</v>
      </c>
      <c r="D2512" t="s">
        <v>12488</v>
      </c>
      <c r="E2512" t="s">
        <v>6216</v>
      </c>
      <c r="F2512" t="s">
        <v>6217</v>
      </c>
      <c r="G2512" s="712">
        <v>0</v>
      </c>
      <c r="H2512">
        <v>0</v>
      </c>
      <c r="I2512" s="713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</row>
    <row r="2513" spans="1:16">
      <c r="A2513">
        <v>5</v>
      </c>
      <c r="B2513" t="s">
        <v>12475</v>
      </c>
      <c r="C2513" t="s">
        <v>12477</v>
      </c>
      <c r="D2513" t="s">
        <v>12488</v>
      </c>
      <c r="E2513" t="s">
        <v>6218</v>
      </c>
      <c r="F2513" t="s">
        <v>6219</v>
      </c>
      <c r="G2513" s="712">
        <v>0</v>
      </c>
      <c r="H2513">
        <v>0</v>
      </c>
      <c r="I2513" s="713">
        <v>0</v>
      </c>
      <c r="J2513" s="711">
        <v>1183407.6499999999</v>
      </c>
      <c r="K2513" s="711">
        <v>1546.17</v>
      </c>
      <c r="L2513">
        <v>0</v>
      </c>
      <c r="M2513">
        <v>0</v>
      </c>
      <c r="N2513" s="711">
        <v>1183407.6499999999</v>
      </c>
      <c r="O2513" s="711">
        <v>1546.17</v>
      </c>
      <c r="P2513" s="711">
        <v>1181861.48</v>
      </c>
    </row>
    <row r="2514" spans="1:16">
      <c r="A2514">
        <v>5</v>
      </c>
      <c r="B2514" t="s">
        <v>12475</v>
      </c>
      <c r="C2514" t="s">
        <v>12477</v>
      </c>
      <c r="D2514" t="s">
        <v>12488</v>
      </c>
      <c r="E2514" t="s">
        <v>6220</v>
      </c>
      <c r="F2514" t="s">
        <v>6221</v>
      </c>
      <c r="G2514" s="712">
        <v>0</v>
      </c>
      <c r="H2514">
        <v>0</v>
      </c>
      <c r="I2514" s="713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</row>
    <row r="2515" spans="1:16">
      <c r="A2515">
        <v>5</v>
      </c>
      <c r="B2515" t="s">
        <v>12475</v>
      </c>
      <c r="C2515" t="s">
        <v>12477</v>
      </c>
      <c r="D2515" t="s">
        <v>12488</v>
      </c>
      <c r="E2515" t="s">
        <v>6222</v>
      </c>
      <c r="F2515" t="s">
        <v>6223</v>
      </c>
      <c r="G2515" s="712">
        <v>0</v>
      </c>
      <c r="H2515">
        <v>0</v>
      </c>
      <c r="I2515" s="713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</row>
    <row r="2516" spans="1:16">
      <c r="A2516">
        <v>5</v>
      </c>
      <c r="B2516" t="s">
        <v>12475</v>
      </c>
      <c r="C2516" t="s">
        <v>12477</v>
      </c>
      <c r="D2516" t="s">
        <v>12488</v>
      </c>
      <c r="E2516" t="s">
        <v>6224</v>
      </c>
      <c r="F2516" t="s">
        <v>6225</v>
      </c>
      <c r="G2516" s="712">
        <v>0</v>
      </c>
      <c r="H2516">
        <v>0</v>
      </c>
      <c r="I2516" s="713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</row>
    <row r="2517" spans="1:16">
      <c r="A2517">
        <v>5</v>
      </c>
      <c r="B2517" t="s">
        <v>12475</v>
      </c>
      <c r="C2517" t="s">
        <v>12477</v>
      </c>
      <c r="D2517" t="s">
        <v>12488</v>
      </c>
      <c r="E2517" t="s">
        <v>6226</v>
      </c>
      <c r="F2517" t="s">
        <v>6227</v>
      </c>
      <c r="G2517" s="712">
        <v>0</v>
      </c>
      <c r="H2517">
        <v>0</v>
      </c>
      <c r="I2517" s="713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</row>
    <row r="2518" spans="1:16">
      <c r="A2518">
        <v>5</v>
      </c>
      <c r="B2518" t="s">
        <v>12475</v>
      </c>
      <c r="C2518" t="s">
        <v>12477</v>
      </c>
      <c r="D2518" t="s">
        <v>12488</v>
      </c>
      <c r="E2518" t="s">
        <v>6228</v>
      </c>
      <c r="F2518" t="s">
        <v>6229</v>
      </c>
      <c r="G2518" s="712">
        <v>0</v>
      </c>
      <c r="H2518">
        <v>0</v>
      </c>
      <c r="I2518" s="713">
        <v>0</v>
      </c>
      <c r="J2518" s="711">
        <v>5148326.05</v>
      </c>
      <c r="K2518" s="711">
        <v>24700</v>
      </c>
      <c r="L2518">
        <v>0</v>
      </c>
      <c r="M2518">
        <v>0</v>
      </c>
      <c r="N2518" s="711">
        <v>5148326.05</v>
      </c>
      <c r="O2518" s="711">
        <v>24700</v>
      </c>
      <c r="P2518" s="711">
        <v>5123626.05</v>
      </c>
    </row>
    <row r="2519" spans="1:16">
      <c r="A2519">
        <v>5</v>
      </c>
      <c r="B2519" t="s">
        <v>12475</v>
      </c>
      <c r="C2519" t="s">
        <v>12477</v>
      </c>
      <c r="D2519" t="s">
        <v>12488</v>
      </c>
      <c r="E2519" t="s">
        <v>6230</v>
      </c>
      <c r="F2519" t="s">
        <v>6231</v>
      </c>
      <c r="G2519" s="712">
        <v>0</v>
      </c>
      <c r="H2519">
        <v>0</v>
      </c>
      <c r="I2519" s="713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</row>
    <row r="2520" spans="1:16">
      <c r="A2520">
        <v>5</v>
      </c>
      <c r="B2520" t="s">
        <v>12475</v>
      </c>
      <c r="C2520" t="s">
        <v>12477</v>
      </c>
      <c r="D2520" t="s">
        <v>12488</v>
      </c>
      <c r="E2520" t="s">
        <v>6232</v>
      </c>
      <c r="F2520" t="s">
        <v>6233</v>
      </c>
      <c r="G2520" s="712">
        <v>0</v>
      </c>
      <c r="H2520">
        <v>0</v>
      </c>
      <c r="I2520" s="713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</row>
    <row r="2521" spans="1:16">
      <c r="A2521">
        <v>5</v>
      </c>
      <c r="B2521" t="s">
        <v>12475</v>
      </c>
      <c r="C2521" t="s">
        <v>12477</v>
      </c>
      <c r="D2521" t="s">
        <v>12488</v>
      </c>
      <c r="E2521" t="s">
        <v>6234</v>
      </c>
      <c r="F2521" t="s">
        <v>6235</v>
      </c>
      <c r="G2521" s="712">
        <v>0</v>
      </c>
      <c r="H2521">
        <v>0</v>
      </c>
      <c r="I2521" s="713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</row>
    <row r="2522" spans="1:16">
      <c r="A2522">
        <v>5</v>
      </c>
      <c r="B2522" t="s">
        <v>12475</v>
      </c>
      <c r="C2522" t="s">
        <v>12477</v>
      </c>
      <c r="D2522" t="s">
        <v>12488</v>
      </c>
      <c r="E2522" t="s">
        <v>6236</v>
      </c>
      <c r="F2522" t="s">
        <v>6237</v>
      </c>
      <c r="G2522" s="712">
        <v>0</v>
      </c>
      <c r="H2522">
        <v>0</v>
      </c>
      <c r="I2522" s="713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</row>
    <row r="2523" spans="1:16">
      <c r="A2523">
        <v>5</v>
      </c>
      <c r="B2523" t="s">
        <v>12475</v>
      </c>
      <c r="C2523" t="s">
        <v>12477</v>
      </c>
      <c r="D2523" t="s">
        <v>12488</v>
      </c>
      <c r="E2523" t="s">
        <v>6238</v>
      </c>
      <c r="F2523" t="s">
        <v>6239</v>
      </c>
      <c r="G2523" s="712">
        <v>0</v>
      </c>
      <c r="H2523">
        <v>0</v>
      </c>
      <c r="I2523" s="713">
        <v>0</v>
      </c>
      <c r="J2523" s="711">
        <v>74644.52</v>
      </c>
      <c r="K2523">
        <v>0</v>
      </c>
      <c r="L2523">
        <v>0</v>
      </c>
      <c r="M2523">
        <v>0</v>
      </c>
      <c r="N2523" s="711">
        <v>74644.52</v>
      </c>
      <c r="O2523">
        <v>0</v>
      </c>
      <c r="P2523" s="711">
        <v>74644.52</v>
      </c>
    </row>
    <row r="2524" spans="1:16">
      <c r="A2524">
        <v>5</v>
      </c>
      <c r="B2524" t="s">
        <v>12475</v>
      </c>
      <c r="C2524" t="s">
        <v>12477</v>
      </c>
      <c r="D2524" t="s">
        <v>12488</v>
      </c>
      <c r="E2524" t="s">
        <v>6240</v>
      </c>
      <c r="F2524" t="s">
        <v>6241</v>
      </c>
      <c r="G2524" s="712">
        <v>0</v>
      </c>
      <c r="H2524">
        <v>0</v>
      </c>
      <c r="I2524" s="713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</row>
    <row r="2525" spans="1:16">
      <c r="A2525">
        <v>5</v>
      </c>
      <c r="B2525" t="s">
        <v>12475</v>
      </c>
      <c r="C2525" t="s">
        <v>12477</v>
      </c>
      <c r="D2525" t="s">
        <v>12488</v>
      </c>
      <c r="E2525" t="s">
        <v>6242</v>
      </c>
      <c r="F2525" t="s">
        <v>6243</v>
      </c>
      <c r="G2525" s="712">
        <v>0</v>
      </c>
      <c r="H2525">
        <v>0</v>
      </c>
      <c r="I2525" s="713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</row>
    <row r="2526" spans="1:16">
      <c r="A2526">
        <v>5</v>
      </c>
      <c r="B2526" t="s">
        <v>12475</v>
      </c>
      <c r="C2526" t="s">
        <v>12477</v>
      </c>
      <c r="D2526" t="s">
        <v>12488</v>
      </c>
      <c r="E2526" t="s">
        <v>6244</v>
      </c>
      <c r="F2526" t="s">
        <v>6245</v>
      </c>
      <c r="G2526" s="712">
        <v>0</v>
      </c>
      <c r="H2526">
        <v>0</v>
      </c>
      <c r="I2526" s="713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</row>
    <row r="2527" spans="1:16">
      <c r="A2527">
        <v>5</v>
      </c>
      <c r="B2527" t="s">
        <v>12475</v>
      </c>
      <c r="C2527" t="s">
        <v>12477</v>
      </c>
      <c r="D2527" t="s">
        <v>12488</v>
      </c>
      <c r="E2527" t="s">
        <v>6246</v>
      </c>
      <c r="F2527" t="s">
        <v>6247</v>
      </c>
      <c r="G2527" s="712">
        <v>0</v>
      </c>
      <c r="H2527">
        <v>0</v>
      </c>
      <c r="I2527" s="713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</row>
    <row r="2528" spans="1:16">
      <c r="A2528">
        <v>5</v>
      </c>
      <c r="B2528" t="s">
        <v>12475</v>
      </c>
      <c r="C2528" t="s">
        <v>12477</v>
      </c>
      <c r="D2528" t="s">
        <v>12488</v>
      </c>
      <c r="E2528" t="s">
        <v>6248</v>
      </c>
      <c r="F2528" t="s">
        <v>6249</v>
      </c>
      <c r="G2528" s="712">
        <v>0</v>
      </c>
      <c r="H2528">
        <v>0</v>
      </c>
      <c r="I2528" s="713">
        <v>0</v>
      </c>
      <c r="J2528" s="711">
        <v>189349.32</v>
      </c>
      <c r="K2528">
        <v>0</v>
      </c>
      <c r="L2528">
        <v>0</v>
      </c>
      <c r="M2528">
        <v>0</v>
      </c>
      <c r="N2528" s="711">
        <v>189349.32</v>
      </c>
      <c r="O2528">
        <v>0</v>
      </c>
      <c r="P2528" s="711">
        <v>189349.32</v>
      </c>
    </row>
    <row r="2529" spans="1:16">
      <c r="A2529">
        <v>5</v>
      </c>
      <c r="B2529" t="s">
        <v>12475</v>
      </c>
      <c r="C2529" t="s">
        <v>12477</v>
      </c>
      <c r="D2529" t="s">
        <v>12488</v>
      </c>
      <c r="E2529" t="s">
        <v>6250</v>
      </c>
      <c r="F2529" t="s">
        <v>6251</v>
      </c>
      <c r="G2529" s="712">
        <v>0</v>
      </c>
      <c r="H2529">
        <v>0</v>
      </c>
      <c r="I2529" s="713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</row>
    <row r="2530" spans="1:16">
      <c r="A2530">
        <v>5</v>
      </c>
      <c r="B2530" t="s">
        <v>12475</v>
      </c>
      <c r="C2530" t="s">
        <v>12477</v>
      </c>
      <c r="D2530" t="s">
        <v>12488</v>
      </c>
      <c r="E2530" t="s">
        <v>6252</v>
      </c>
      <c r="F2530" t="s">
        <v>6253</v>
      </c>
      <c r="G2530" s="712">
        <v>0</v>
      </c>
      <c r="H2530">
        <v>0</v>
      </c>
      <c r="I2530" s="713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</row>
    <row r="2531" spans="1:16">
      <c r="A2531">
        <v>5</v>
      </c>
      <c r="B2531" t="s">
        <v>12475</v>
      </c>
      <c r="C2531" t="s">
        <v>12477</v>
      </c>
      <c r="D2531" t="s">
        <v>12488</v>
      </c>
      <c r="E2531" t="s">
        <v>6254</v>
      </c>
      <c r="F2531" t="s">
        <v>6255</v>
      </c>
      <c r="G2531" s="712">
        <v>0</v>
      </c>
      <c r="H2531">
        <v>0</v>
      </c>
      <c r="I2531" s="713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</row>
    <row r="2532" spans="1:16">
      <c r="A2532">
        <v>5</v>
      </c>
      <c r="B2532" t="s">
        <v>12475</v>
      </c>
      <c r="C2532" t="s">
        <v>12477</v>
      </c>
      <c r="D2532" t="s">
        <v>12488</v>
      </c>
      <c r="E2532" t="s">
        <v>6256</v>
      </c>
      <c r="F2532" t="s">
        <v>6257</v>
      </c>
      <c r="G2532" s="712">
        <v>0</v>
      </c>
      <c r="H2532">
        <v>0</v>
      </c>
      <c r="I2532" s="713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</row>
    <row r="2533" spans="1:16">
      <c r="A2533">
        <v>5</v>
      </c>
      <c r="B2533" t="s">
        <v>12475</v>
      </c>
      <c r="C2533" t="s">
        <v>12477</v>
      </c>
      <c r="D2533" t="s">
        <v>12488</v>
      </c>
      <c r="E2533" t="s">
        <v>6258</v>
      </c>
      <c r="F2533" t="s">
        <v>6259</v>
      </c>
      <c r="G2533" s="712">
        <v>0</v>
      </c>
      <c r="H2533">
        <v>0</v>
      </c>
      <c r="I2533" s="71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</row>
    <row r="2534" spans="1:16">
      <c r="A2534">
        <v>5</v>
      </c>
      <c r="B2534" t="s">
        <v>12475</v>
      </c>
      <c r="C2534" t="s">
        <v>12477</v>
      </c>
      <c r="D2534" t="s">
        <v>12488</v>
      </c>
      <c r="E2534" t="s">
        <v>6260</v>
      </c>
      <c r="F2534" t="s">
        <v>6261</v>
      </c>
      <c r="G2534" s="712">
        <v>0</v>
      </c>
      <c r="H2534">
        <v>0</v>
      </c>
      <c r="I2534" s="713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</row>
    <row r="2535" spans="1:16">
      <c r="A2535">
        <v>5</v>
      </c>
      <c r="B2535" t="s">
        <v>12475</v>
      </c>
      <c r="C2535" t="s">
        <v>12477</v>
      </c>
      <c r="D2535" t="s">
        <v>12488</v>
      </c>
      <c r="E2535" t="s">
        <v>6262</v>
      </c>
      <c r="F2535" t="s">
        <v>6263</v>
      </c>
      <c r="G2535" s="712">
        <v>0</v>
      </c>
      <c r="H2535">
        <v>0</v>
      </c>
      <c r="I2535" s="713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</row>
    <row r="2536" spans="1:16">
      <c r="A2536">
        <v>5</v>
      </c>
      <c r="B2536" t="s">
        <v>12475</v>
      </c>
      <c r="C2536" t="s">
        <v>12477</v>
      </c>
      <c r="D2536" t="s">
        <v>12488</v>
      </c>
      <c r="E2536" t="s">
        <v>6264</v>
      </c>
      <c r="F2536" t="s">
        <v>6265</v>
      </c>
      <c r="G2536" s="712">
        <v>0</v>
      </c>
      <c r="H2536">
        <v>0</v>
      </c>
      <c r="I2536" s="713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</row>
    <row r="2537" spans="1:16">
      <c r="A2537">
        <v>5</v>
      </c>
      <c r="B2537" t="s">
        <v>12475</v>
      </c>
      <c r="C2537" t="s">
        <v>12477</v>
      </c>
      <c r="D2537" t="s">
        <v>12488</v>
      </c>
      <c r="E2537" t="s">
        <v>6266</v>
      </c>
      <c r="F2537" t="s">
        <v>6267</v>
      </c>
      <c r="G2537" s="712">
        <v>0</v>
      </c>
      <c r="H2537">
        <v>0</v>
      </c>
      <c r="I2537" s="713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</row>
    <row r="2538" spans="1:16">
      <c r="A2538">
        <v>5</v>
      </c>
      <c r="B2538" t="s">
        <v>12475</v>
      </c>
      <c r="C2538" t="s">
        <v>12477</v>
      </c>
      <c r="D2538" t="s">
        <v>12488</v>
      </c>
      <c r="E2538" t="s">
        <v>6268</v>
      </c>
      <c r="F2538" t="s">
        <v>6269</v>
      </c>
      <c r="G2538" s="712">
        <v>0</v>
      </c>
      <c r="H2538">
        <v>0</v>
      </c>
      <c r="I2538" s="713">
        <v>0</v>
      </c>
      <c r="J2538" s="711">
        <v>313895.40000000002</v>
      </c>
      <c r="K2538" s="711">
        <v>2717</v>
      </c>
      <c r="L2538">
        <v>0</v>
      </c>
      <c r="M2538">
        <v>0</v>
      </c>
      <c r="N2538" s="711">
        <v>313895.40000000002</v>
      </c>
      <c r="O2538" s="711">
        <v>2717</v>
      </c>
      <c r="P2538" s="711">
        <v>311178.40000000002</v>
      </c>
    </row>
    <row r="2539" spans="1:16" ht="15.75" thickBot="1">
      <c r="A2539">
        <v>5</v>
      </c>
      <c r="B2539" t="s">
        <v>12475</v>
      </c>
      <c r="C2539" t="s">
        <v>12477</v>
      </c>
      <c r="D2539" t="s">
        <v>12488</v>
      </c>
      <c r="E2539" t="s">
        <v>6271</v>
      </c>
      <c r="F2539" t="s">
        <v>6272</v>
      </c>
      <c r="G2539" s="712">
        <v>0</v>
      </c>
      <c r="H2539">
        <v>0</v>
      </c>
      <c r="I2539" s="713">
        <v>0</v>
      </c>
      <c r="J2539" s="711">
        <v>1525576.37</v>
      </c>
      <c r="K2539" s="711">
        <v>2833.21</v>
      </c>
      <c r="L2539">
        <v>0</v>
      </c>
      <c r="M2539">
        <v>0</v>
      </c>
      <c r="N2539" s="711">
        <v>1525576.37</v>
      </c>
      <c r="O2539" s="711">
        <v>2833.21</v>
      </c>
      <c r="P2539" s="711">
        <v>1522743.16</v>
      </c>
    </row>
    <row r="2540" spans="1:16" ht="15.75" thickBot="1">
      <c r="A2540" s="727">
        <v>5</v>
      </c>
      <c r="B2540" s="727" t="s">
        <v>12475</v>
      </c>
      <c r="C2540" s="727" t="s">
        <v>12477</v>
      </c>
      <c r="D2540" s="727" t="s">
        <v>12489</v>
      </c>
      <c r="E2540" s="727"/>
      <c r="F2540" s="729" t="s">
        <v>12490</v>
      </c>
      <c r="G2540" s="738">
        <v>0</v>
      </c>
      <c r="H2540" s="738">
        <v>0</v>
      </c>
      <c r="I2540" s="738">
        <v>0</v>
      </c>
      <c r="J2540" s="739">
        <v>2704768.48</v>
      </c>
      <c r="K2540" s="739">
        <v>2806</v>
      </c>
      <c r="L2540" s="738">
        <v>0</v>
      </c>
      <c r="M2540" s="738">
        <v>0</v>
      </c>
      <c r="N2540" s="739">
        <v>2704768.48</v>
      </c>
      <c r="O2540" s="739">
        <v>2806</v>
      </c>
      <c r="P2540" s="739">
        <v>2701962.48</v>
      </c>
    </row>
    <row r="2541" spans="1:16">
      <c r="A2541">
        <v>5</v>
      </c>
      <c r="B2541" t="s">
        <v>12475</v>
      </c>
      <c r="C2541" t="s">
        <v>12477</v>
      </c>
      <c r="D2541" t="s">
        <v>12489</v>
      </c>
      <c r="E2541" t="s">
        <v>6276</v>
      </c>
      <c r="F2541" t="s">
        <v>6277</v>
      </c>
      <c r="G2541" s="712">
        <v>0</v>
      </c>
      <c r="H2541">
        <v>0</v>
      </c>
      <c r="I2541" s="713">
        <v>0</v>
      </c>
      <c r="J2541" s="711">
        <v>2300790.88</v>
      </c>
      <c r="K2541" s="711">
        <v>2806</v>
      </c>
      <c r="L2541">
        <v>0</v>
      </c>
      <c r="M2541">
        <v>0</v>
      </c>
      <c r="N2541" s="711">
        <v>2300790.88</v>
      </c>
      <c r="O2541" s="711">
        <v>2806</v>
      </c>
      <c r="P2541" s="711">
        <v>2297984.88</v>
      </c>
    </row>
    <row r="2542" spans="1:16" ht="15.75" thickBot="1">
      <c r="A2542">
        <v>5</v>
      </c>
      <c r="B2542" t="s">
        <v>12475</v>
      </c>
      <c r="C2542" t="s">
        <v>12477</v>
      </c>
      <c r="D2542" t="s">
        <v>12489</v>
      </c>
      <c r="E2542" t="s">
        <v>6279</v>
      </c>
      <c r="F2542" t="s">
        <v>6280</v>
      </c>
      <c r="G2542" s="712">
        <v>0</v>
      </c>
      <c r="H2542">
        <v>0</v>
      </c>
      <c r="I2542" s="713">
        <v>0</v>
      </c>
      <c r="J2542" s="711">
        <v>403977.6</v>
      </c>
      <c r="K2542">
        <v>0</v>
      </c>
      <c r="L2542">
        <v>0</v>
      </c>
      <c r="M2542">
        <v>0</v>
      </c>
      <c r="N2542" s="711">
        <v>403977.6</v>
      </c>
      <c r="O2542">
        <v>0</v>
      </c>
      <c r="P2542" s="711">
        <v>403977.6</v>
      </c>
    </row>
    <row r="2543" spans="1:16" ht="15.75" thickBot="1">
      <c r="A2543" s="727">
        <v>5</v>
      </c>
      <c r="B2543" s="727" t="s">
        <v>12475</v>
      </c>
      <c r="C2543" s="727" t="s">
        <v>12477</v>
      </c>
      <c r="D2543" s="727" t="s">
        <v>12491</v>
      </c>
      <c r="E2543" s="727"/>
      <c r="F2543" s="729" t="s">
        <v>12492</v>
      </c>
      <c r="G2543" s="738">
        <v>0</v>
      </c>
      <c r="H2543" s="738">
        <v>0</v>
      </c>
      <c r="I2543" s="738">
        <v>0</v>
      </c>
      <c r="J2543" s="739">
        <v>6612248.96</v>
      </c>
      <c r="K2543" s="739">
        <v>19666.16</v>
      </c>
      <c r="L2543" s="738">
        <v>0</v>
      </c>
      <c r="M2543" s="738">
        <v>0</v>
      </c>
      <c r="N2543" s="739">
        <v>6612248.96</v>
      </c>
      <c r="O2543" s="739">
        <v>19666.16</v>
      </c>
      <c r="P2543" s="739">
        <v>6592582.7999999998</v>
      </c>
    </row>
    <row r="2544" spans="1:16">
      <c r="A2544">
        <v>5</v>
      </c>
      <c r="B2544" t="s">
        <v>12475</v>
      </c>
      <c r="C2544" t="s">
        <v>12477</v>
      </c>
      <c r="D2544" t="s">
        <v>12491</v>
      </c>
      <c r="E2544" t="s">
        <v>6284</v>
      </c>
      <c r="F2544" t="s">
        <v>6285</v>
      </c>
      <c r="G2544" s="712">
        <v>0</v>
      </c>
      <c r="H2544">
        <v>0</v>
      </c>
      <c r="I2544" s="713">
        <v>0</v>
      </c>
      <c r="J2544" s="711">
        <v>6228501.75</v>
      </c>
      <c r="K2544" s="711">
        <v>19666.16</v>
      </c>
      <c r="L2544">
        <v>0</v>
      </c>
      <c r="M2544">
        <v>0</v>
      </c>
      <c r="N2544" s="711">
        <v>6228501.75</v>
      </c>
      <c r="O2544" s="711">
        <v>19666.16</v>
      </c>
      <c r="P2544" s="711">
        <v>6208835.5899999999</v>
      </c>
    </row>
    <row r="2545" spans="1:16">
      <c r="A2545">
        <v>5</v>
      </c>
      <c r="B2545" t="s">
        <v>12475</v>
      </c>
      <c r="C2545" t="s">
        <v>12477</v>
      </c>
      <c r="D2545" t="s">
        <v>12491</v>
      </c>
      <c r="E2545" t="s">
        <v>6288</v>
      </c>
      <c r="F2545" t="s">
        <v>6289</v>
      </c>
      <c r="G2545" s="712">
        <v>0</v>
      </c>
      <c r="H2545">
        <v>0</v>
      </c>
      <c r="I2545" s="713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</row>
    <row r="2546" spans="1:16">
      <c r="A2546">
        <v>5</v>
      </c>
      <c r="B2546" t="s">
        <v>12475</v>
      </c>
      <c r="C2546" t="s">
        <v>12477</v>
      </c>
      <c r="D2546" t="s">
        <v>12491</v>
      </c>
      <c r="E2546" t="s">
        <v>6291</v>
      </c>
      <c r="F2546" t="s">
        <v>6292</v>
      </c>
      <c r="G2546" s="712">
        <v>0</v>
      </c>
      <c r="H2546">
        <v>0</v>
      </c>
      <c r="I2546" s="713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</row>
    <row r="2547" spans="1:16">
      <c r="A2547">
        <v>5</v>
      </c>
      <c r="B2547" t="s">
        <v>12475</v>
      </c>
      <c r="C2547" t="s">
        <v>12477</v>
      </c>
      <c r="D2547" t="s">
        <v>12491</v>
      </c>
      <c r="E2547" t="s">
        <v>6294</v>
      </c>
      <c r="F2547" t="s">
        <v>6295</v>
      </c>
      <c r="G2547" s="712">
        <v>0</v>
      </c>
      <c r="H2547">
        <v>0</v>
      </c>
      <c r="I2547" s="713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</row>
    <row r="2548" spans="1:16">
      <c r="A2548">
        <v>5</v>
      </c>
      <c r="B2548" t="s">
        <v>12475</v>
      </c>
      <c r="C2548" t="s">
        <v>12477</v>
      </c>
      <c r="D2548" t="s">
        <v>12491</v>
      </c>
      <c r="E2548" t="s">
        <v>6297</v>
      </c>
      <c r="F2548" t="s">
        <v>6298</v>
      </c>
      <c r="G2548" s="712">
        <v>0</v>
      </c>
      <c r="H2548">
        <v>0</v>
      </c>
      <c r="I2548" s="713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</row>
    <row r="2549" spans="1:16">
      <c r="A2549">
        <v>5</v>
      </c>
      <c r="B2549" t="s">
        <v>12475</v>
      </c>
      <c r="C2549" t="s">
        <v>12477</v>
      </c>
      <c r="D2549" t="s">
        <v>12491</v>
      </c>
      <c r="E2549" t="s">
        <v>6300</v>
      </c>
      <c r="F2549" t="s">
        <v>6301</v>
      </c>
      <c r="G2549" s="712">
        <v>0</v>
      </c>
      <c r="H2549">
        <v>0</v>
      </c>
      <c r="I2549" s="713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</row>
    <row r="2550" spans="1:16" ht="15.75" thickBot="1">
      <c r="A2550">
        <v>5</v>
      </c>
      <c r="B2550" t="s">
        <v>12475</v>
      </c>
      <c r="C2550" t="s">
        <v>12477</v>
      </c>
      <c r="D2550" t="s">
        <v>12491</v>
      </c>
      <c r="E2550" t="s">
        <v>6303</v>
      </c>
      <c r="F2550" t="s">
        <v>6304</v>
      </c>
      <c r="G2550" s="712">
        <v>0</v>
      </c>
      <c r="H2550">
        <v>0</v>
      </c>
      <c r="I2550" s="713">
        <v>0</v>
      </c>
      <c r="J2550" s="711">
        <v>383747.21</v>
      </c>
      <c r="K2550">
        <v>0</v>
      </c>
      <c r="L2550">
        <v>0</v>
      </c>
      <c r="M2550">
        <v>0</v>
      </c>
      <c r="N2550" s="711">
        <v>383747.21</v>
      </c>
      <c r="O2550">
        <v>0</v>
      </c>
      <c r="P2550" s="711">
        <v>383747.21</v>
      </c>
    </row>
    <row r="2551" spans="1:16" ht="15.75" thickBot="1">
      <c r="A2551" s="727">
        <v>5</v>
      </c>
      <c r="B2551" s="727" t="s">
        <v>12475</v>
      </c>
      <c r="C2551" s="727" t="s">
        <v>12477</v>
      </c>
      <c r="D2551" s="727" t="s">
        <v>12493</v>
      </c>
      <c r="E2551" s="727"/>
      <c r="F2551" s="729" t="s">
        <v>1259</v>
      </c>
      <c r="G2551" s="738">
        <v>0</v>
      </c>
      <c r="H2551" s="738">
        <v>0</v>
      </c>
      <c r="I2551" s="738">
        <v>0</v>
      </c>
      <c r="J2551" s="739">
        <v>37680.35</v>
      </c>
      <c r="K2551" s="738">
        <v>23.76</v>
      </c>
      <c r="L2551" s="738">
        <v>0</v>
      </c>
      <c r="M2551" s="738">
        <v>0</v>
      </c>
      <c r="N2551" s="739">
        <v>37680.35</v>
      </c>
      <c r="O2551" s="738">
        <v>23.76</v>
      </c>
      <c r="P2551" s="739">
        <v>37656.589999999997</v>
      </c>
    </row>
    <row r="2552" spans="1:16" ht="15.75" thickBot="1">
      <c r="A2552">
        <v>5</v>
      </c>
      <c r="B2552" t="s">
        <v>12475</v>
      </c>
      <c r="C2552" t="s">
        <v>12477</v>
      </c>
      <c r="D2552" t="s">
        <v>12493</v>
      </c>
      <c r="E2552" t="s">
        <v>6309</v>
      </c>
      <c r="F2552" t="s">
        <v>1259</v>
      </c>
      <c r="G2552" s="712">
        <v>0</v>
      </c>
      <c r="H2552">
        <v>0</v>
      </c>
      <c r="I2552" s="713">
        <v>0</v>
      </c>
      <c r="J2552" s="711">
        <v>37680.35</v>
      </c>
      <c r="K2552">
        <v>23.76</v>
      </c>
      <c r="L2552">
        <v>0</v>
      </c>
      <c r="M2552">
        <v>0</v>
      </c>
      <c r="N2552" s="711">
        <v>37680.35</v>
      </c>
      <c r="O2552">
        <v>23.76</v>
      </c>
      <c r="P2552" s="711">
        <v>37656.589999999997</v>
      </c>
    </row>
    <row r="2553" spans="1:16" ht="15.75" thickBot="1">
      <c r="A2553" s="727">
        <v>5</v>
      </c>
      <c r="B2553" s="727" t="s">
        <v>12475</v>
      </c>
      <c r="C2553" s="727" t="s">
        <v>12477</v>
      </c>
      <c r="D2553" s="727" t="s">
        <v>12494</v>
      </c>
      <c r="E2553" s="727"/>
      <c r="F2553" s="729" t="s">
        <v>1264</v>
      </c>
      <c r="G2553" s="738">
        <v>0</v>
      </c>
      <c r="H2553" s="738">
        <v>0</v>
      </c>
      <c r="I2553" s="738">
        <v>0</v>
      </c>
      <c r="J2553" s="738">
        <v>0</v>
      </c>
      <c r="K2553" s="738">
        <v>0</v>
      </c>
      <c r="L2553" s="738">
        <v>0</v>
      </c>
      <c r="M2553" s="738">
        <v>0</v>
      </c>
      <c r="N2553" s="738">
        <v>0</v>
      </c>
      <c r="O2553" s="738">
        <v>0</v>
      </c>
      <c r="P2553" s="738">
        <v>0</v>
      </c>
    </row>
    <row r="2554" spans="1:16">
      <c r="A2554">
        <v>5</v>
      </c>
      <c r="B2554" t="s">
        <v>12475</v>
      </c>
      <c r="C2554" t="s">
        <v>12477</v>
      </c>
      <c r="D2554" t="s">
        <v>12494</v>
      </c>
      <c r="E2554" t="s">
        <v>6312</v>
      </c>
      <c r="F2554" t="s">
        <v>1264</v>
      </c>
      <c r="G2554" s="712">
        <v>0</v>
      </c>
      <c r="H2554">
        <v>0</v>
      </c>
      <c r="I2554" s="713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</row>
    <row r="2555" spans="1:16" ht="15.75" thickBot="1">
      <c r="A2555">
        <v>5</v>
      </c>
      <c r="B2555" t="s">
        <v>12475</v>
      </c>
      <c r="C2555" t="s">
        <v>12477</v>
      </c>
      <c r="D2555" t="s">
        <v>12494</v>
      </c>
      <c r="E2555" t="s">
        <v>6313</v>
      </c>
      <c r="F2555" t="s">
        <v>6314</v>
      </c>
      <c r="G2555" s="712">
        <v>0</v>
      </c>
      <c r="H2555">
        <v>0</v>
      </c>
      <c r="I2555" s="713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</row>
    <row r="2556" spans="1:16" ht="15.75" thickBot="1">
      <c r="A2556" s="727">
        <v>5</v>
      </c>
      <c r="B2556" s="727" t="s">
        <v>12475</v>
      </c>
      <c r="C2556" s="727" t="s">
        <v>12477</v>
      </c>
      <c r="D2556" s="727" t="s">
        <v>12495</v>
      </c>
      <c r="E2556" s="727"/>
      <c r="F2556" s="729" t="s">
        <v>1269</v>
      </c>
      <c r="G2556" s="738">
        <v>0</v>
      </c>
      <c r="H2556" s="738">
        <v>0</v>
      </c>
      <c r="I2556" s="738">
        <v>0</v>
      </c>
      <c r="J2556" s="738">
        <v>0</v>
      </c>
      <c r="K2556" s="738">
        <v>0</v>
      </c>
      <c r="L2556" s="738">
        <v>0</v>
      </c>
      <c r="M2556" s="738">
        <v>0</v>
      </c>
      <c r="N2556" s="738">
        <v>0</v>
      </c>
      <c r="O2556" s="738">
        <v>0</v>
      </c>
      <c r="P2556" s="738">
        <v>0</v>
      </c>
    </row>
    <row r="2557" spans="1:16" ht="15.75" thickBot="1">
      <c r="A2557">
        <v>5</v>
      </c>
      <c r="B2557" t="s">
        <v>12475</v>
      </c>
      <c r="C2557" t="s">
        <v>12477</v>
      </c>
      <c r="D2557" t="s">
        <v>12495</v>
      </c>
      <c r="E2557" t="s">
        <v>6317</v>
      </c>
      <c r="F2557" t="s">
        <v>1269</v>
      </c>
      <c r="G2557" s="712">
        <v>0</v>
      </c>
      <c r="H2557">
        <v>0</v>
      </c>
      <c r="I2557" s="713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</row>
    <row r="2558" spans="1:16" ht="15.75" thickBot="1">
      <c r="A2558" s="727">
        <v>5</v>
      </c>
      <c r="B2558" s="727" t="s">
        <v>12475</v>
      </c>
      <c r="C2558" s="727" t="s">
        <v>12477</v>
      </c>
      <c r="D2558" s="727" t="s">
        <v>12496</v>
      </c>
      <c r="E2558" s="727"/>
      <c r="F2558" s="729" t="s">
        <v>1274</v>
      </c>
      <c r="G2558" s="738">
        <v>0</v>
      </c>
      <c r="H2558" s="738">
        <v>0</v>
      </c>
      <c r="I2558" s="738">
        <v>0</v>
      </c>
      <c r="J2558" s="738">
        <v>0</v>
      </c>
      <c r="K2558" s="738">
        <v>0</v>
      </c>
      <c r="L2558" s="738">
        <v>0</v>
      </c>
      <c r="M2558" s="738">
        <v>0</v>
      </c>
      <c r="N2558" s="738">
        <v>0</v>
      </c>
      <c r="O2558" s="738">
        <v>0</v>
      </c>
      <c r="P2558" s="738">
        <v>0</v>
      </c>
    </row>
    <row r="2559" spans="1:16">
      <c r="A2559">
        <v>5</v>
      </c>
      <c r="B2559" t="s">
        <v>12475</v>
      </c>
      <c r="C2559" t="s">
        <v>12477</v>
      </c>
      <c r="D2559" t="s">
        <v>12496</v>
      </c>
      <c r="E2559" t="s">
        <v>6320</v>
      </c>
      <c r="F2559" t="s">
        <v>6321</v>
      </c>
      <c r="G2559" s="712">
        <v>0</v>
      </c>
      <c r="H2559">
        <v>0</v>
      </c>
      <c r="I2559" s="713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</row>
    <row r="2560" spans="1:16" ht="15.75" thickBot="1">
      <c r="A2560">
        <v>5</v>
      </c>
      <c r="B2560" t="s">
        <v>12475</v>
      </c>
      <c r="C2560" t="s">
        <v>12477</v>
      </c>
      <c r="D2560" t="s">
        <v>12496</v>
      </c>
      <c r="E2560" t="s">
        <v>6324</v>
      </c>
      <c r="F2560" t="s">
        <v>6325</v>
      </c>
      <c r="G2560" s="712">
        <v>0</v>
      </c>
      <c r="H2560">
        <v>0</v>
      </c>
      <c r="I2560" s="713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</row>
    <row r="2561" spans="1:16" ht="15.75" thickBot="1">
      <c r="A2561" s="727">
        <v>5</v>
      </c>
      <c r="B2561" s="727" t="s">
        <v>12475</v>
      </c>
      <c r="C2561" s="727" t="s">
        <v>12477</v>
      </c>
      <c r="D2561" s="727" t="s">
        <v>12497</v>
      </c>
      <c r="E2561" s="727"/>
      <c r="F2561" s="729" t="s">
        <v>1282</v>
      </c>
      <c r="G2561" s="738">
        <v>0</v>
      </c>
      <c r="H2561" s="738">
        <v>0</v>
      </c>
      <c r="I2561" s="738">
        <v>0</v>
      </c>
      <c r="J2561" s="739">
        <v>1134984.2</v>
      </c>
      <c r="K2561" s="739">
        <v>29782.38</v>
      </c>
      <c r="L2561" s="738">
        <v>0</v>
      </c>
      <c r="M2561" s="738">
        <v>0</v>
      </c>
      <c r="N2561" s="739">
        <v>1134984.2</v>
      </c>
      <c r="O2561" s="739">
        <v>29782.38</v>
      </c>
      <c r="P2561" s="739">
        <v>1105201.82</v>
      </c>
    </row>
    <row r="2562" spans="1:16">
      <c r="A2562">
        <v>5</v>
      </c>
      <c r="B2562" t="s">
        <v>12475</v>
      </c>
      <c r="C2562" t="s">
        <v>12477</v>
      </c>
      <c r="D2562" t="s">
        <v>12497</v>
      </c>
      <c r="E2562" t="s">
        <v>6329</v>
      </c>
      <c r="F2562" t="s">
        <v>1282</v>
      </c>
      <c r="G2562" s="712">
        <v>0</v>
      </c>
      <c r="H2562">
        <v>0</v>
      </c>
      <c r="I2562" s="713">
        <v>0</v>
      </c>
      <c r="J2562" s="711">
        <v>779938.39</v>
      </c>
      <c r="K2562" s="711">
        <v>13634.46</v>
      </c>
      <c r="L2562">
        <v>0</v>
      </c>
      <c r="M2562">
        <v>0</v>
      </c>
      <c r="N2562" s="711">
        <v>779938.39</v>
      </c>
      <c r="O2562" s="711">
        <v>13634.46</v>
      </c>
      <c r="P2562" s="711">
        <v>766303.93</v>
      </c>
    </row>
    <row r="2563" spans="1:16">
      <c r="A2563">
        <v>5</v>
      </c>
      <c r="B2563" t="s">
        <v>12475</v>
      </c>
      <c r="C2563" t="s">
        <v>12477</v>
      </c>
      <c r="D2563" t="s">
        <v>12497</v>
      </c>
      <c r="E2563" t="s">
        <v>6330</v>
      </c>
      <c r="F2563" t="s">
        <v>6331</v>
      </c>
      <c r="G2563" s="712">
        <v>0</v>
      </c>
      <c r="H2563">
        <v>0</v>
      </c>
      <c r="I2563" s="71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</row>
    <row r="2564" spans="1:16">
      <c r="A2564">
        <v>5</v>
      </c>
      <c r="B2564" t="s">
        <v>12475</v>
      </c>
      <c r="C2564" t="s">
        <v>12477</v>
      </c>
      <c r="D2564" t="s">
        <v>12497</v>
      </c>
      <c r="E2564" t="s">
        <v>6332</v>
      </c>
      <c r="F2564" t="s">
        <v>6333</v>
      </c>
      <c r="G2564" s="712">
        <v>0</v>
      </c>
      <c r="H2564">
        <v>0</v>
      </c>
      <c r="I2564" s="713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</row>
    <row r="2565" spans="1:16">
      <c r="A2565">
        <v>5</v>
      </c>
      <c r="B2565" t="s">
        <v>12475</v>
      </c>
      <c r="C2565" t="s">
        <v>12477</v>
      </c>
      <c r="D2565" t="s">
        <v>12497</v>
      </c>
      <c r="E2565" t="s">
        <v>6334</v>
      </c>
      <c r="F2565" t="s">
        <v>6335</v>
      </c>
      <c r="G2565" s="712">
        <v>0</v>
      </c>
      <c r="H2565">
        <v>0</v>
      </c>
      <c r="I2565" s="713">
        <v>0</v>
      </c>
      <c r="J2565" s="711">
        <v>355045.81</v>
      </c>
      <c r="K2565" s="711">
        <v>16147.92</v>
      </c>
      <c r="L2565">
        <v>0</v>
      </c>
      <c r="M2565">
        <v>0</v>
      </c>
      <c r="N2565" s="711">
        <v>355045.81</v>
      </c>
      <c r="O2565" s="711">
        <v>16147.92</v>
      </c>
      <c r="P2565" s="711">
        <v>338897.89</v>
      </c>
    </row>
    <row r="2566" spans="1:16" ht="15.75" thickBot="1">
      <c r="A2566">
        <v>5</v>
      </c>
      <c r="B2566" t="s">
        <v>12475</v>
      </c>
      <c r="C2566" t="s">
        <v>12477</v>
      </c>
      <c r="D2566" t="s">
        <v>12497</v>
      </c>
      <c r="E2566" t="s">
        <v>6336</v>
      </c>
      <c r="F2566" t="s">
        <v>6337</v>
      </c>
      <c r="G2566" s="712">
        <v>0</v>
      </c>
      <c r="H2566">
        <v>0</v>
      </c>
      <c r="I2566" s="713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</row>
    <row r="2567" spans="1:16" ht="15.75" thickBot="1">
      <c r="A2567" s="727">
        <v>5</v>
      </c>
      <c r="B2567" s="727" t="s">
        <v>12475</v>
      </c>
      <c r="C2567" s="727" t="s">
        <v>12477</v>
      </c>
      <c r="D2567" s="727" t="s">
        <v>12498</v>
      </c>
      <c r="E2567" s="727"/>
      <c r="F2567" s="729" t="s">
        <v>12499</v>
      </c>
      <c r="G2567" s="738">
        <v>0</v>
      </c>
      <c r="H2567" s="738">
        <v>0</v>
      </c>
      <c r="I2567" s="738">
        <v>0</v>
      </c>
      <c r="J2567" s="739">
        <v>177857.31</v>
      </c>
      <c r="K2567" s="738">
        <v>0</v>
      </c>
      <c r="L2567" s="738">
        <v>0</v>
      </c>
      <c r="M2567" s="738">
        <v>0</v>
      </c>
      <c r="N2567" s="739">
        <v>177857.31</v>
      </c>
      <c r="O2567" s="738">
        <v>0</v>
      </c>
      <c r="P2567" s="739">
        <v>177857.31</v>
      </c>
    </row>
    <row r="2568" spans="1:16">
      <c r="A2568">
        <v>5</v>
      </c>
      <c r="B2568" t="s">
        <v>12475</v>
      </c>
      <c r="C2568" t="s">
        <v>12477</v>
      </c>
      <c r="D2568" t="s">
        <v>12498</v>
      </c>
      <c r="E2568" t="s">
        <v>12500</v>
      </c>
      <c r="F2568" t="s">
        <v>12499</v>
      </c>
      <c r="G2568" s="712">
        <v>0</v>
      </c>
      <c r="H2568">
        <v>0</v>
      </c>
      <c r="I2568" s="713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</row>
    <row r="2569" spans="1:16">
      <c r="A2569">
        <v>5</v>
      </c>
      <c r="B2569" t="s">
        <v>12475</v>
      </c>
      <c r="C2569" t="s">
        <v>12477</v>
      </c>
      <c r="D2569" t="s">
        <v>12498</v>
      </c>
      <c r="E2569" t="s">
        <v>6343</v>
      </c>
      <c r="F2569" t="s">
        <v>6344</v>
      </c>
      <c r="G2569" s="712">
        <v>0</v>
      </c>
      <c r="H2569">
        <v>0</v>
      </c>
      <c r="I2569" s="713">
        <v>0</v>
      </c>
      <c r="J2569" s="711">
        <v>177857.31</v>
      </c>
      <c r="K2569">
        <v>0</v>
      </c>
      <c r="L2569">
        <v>0</v>
      </c>
      <c r="M2569">
        <v>0</v>
      </c>
      <c r="N2569" s="711">
        <v>177857.31</v>
      </c>
      <c r="O2569">
        <v>0</v>
      </c>
      <c r="P2569" s="711">
        <v>177857.31</v>
      </c>
    </row>
    <row r="2570" spans="1:16">
      <c r="A2570">
        <v>5</v>
      </c>
      <c r="B2570" t="s">
        <v>12475</v>
      </c>
      <c r="C2570" t="s">
        <v>12477</v>
      </c>
      <c r="D2570" t="s">
        <v>12498</v>
      </c>
      <c r="E2570" t="s">
        <v>6348</v>
      </c>
      <c r="F2570" t="s">
        <v>6349</v>
      </c>
      <c r="G2570" s="712">
        <v>0</v>
      </c>
      <c r="H2570">
        <v>0</v>
      </c>
      <c r="I2570" s="713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</row>
    <row r="2571" spans="1:16">
      <c r="A2571">
        <v>5</v>
      </c>
      <c r="B2571" t="s">
        <v>12475</v>
      </c>
      <c r="C2571" t="s">
        <v>12477</v>
      </c>
      <c r="D2571" t="s">
        <v>12498</v>
      </c>
      <c r="E2571" t="s">
        <v>6353</v>
      </c>
      <c r="F2571" t="s">
        <v>6354</v>
      </c>
      <c r="G2571" s="712">
        <v>0</v>
      </c>
      <c r="H2571">
        <v>0</v>
      </c>
      <c r="I2571" s="713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</row>
    <row r="2572" spans="1:16">
      <c r="A2572">
        <v>5</v>
      </c>
      <c r="B2572" t="s">
        <v>12475</v>
      </c>
      <c r="C2572" t="s">
        <v>12477</v>
      </c>
      <c r="D2572" t="s">
        <v>12498</v>
      </c>
      <c r="E2572" t="s">
        <v>6358</v>
      </c>
      <c r="F2572" t="s">
        <v>6359</v>
      </c>
      <c r="G2572" s="712">
        <v>0</v>
      </c>
      <c r="H2572">
        <v>0</v>
      </c>
      <c r="I2572" s="713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</row>
    <row r="2573" spans="1:16">
      <c r="A2573">
        <v>5</v>
      </c>
      <c r="B2573" t="s">
        <v>12475</v>
      </c>
      <c r="C2573" t="s">
        <v>12477</v>
      </c>
      <c r="D2573" t="s">
        <v>12498</v>
      </c>
      <c r="E2573" t="s">
        <v>6363</v>
      </c>
      <c r="F2573" t="s">
        <v>6364</v>
      </c>
      <c r="G2573" s="712">
        <v>0</v>
      </c>
      <c r="H2573">
        <v>0</v>
      </c>
      <c r="I2573" s="71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</row>
    <row r="2574" spans="1:16">
      <c r="A2574">
        <v>5</v>
      </c>
      <c r="B2574" t="s">
        <v>12475</v>
      </c>
      <c r="C2574" t="s">
        <v>12477</v>
      </c>
      <c r="D2574" t="s">
        <v>12498</v>
      </c>
      <c r="E2574" t="s">
        <v>6368</v>
      </c>
      <c r="F2574" t="s">
        <v>6369</v>
      </c>
      <c r="G2574" s="712">
        <v>0</v>
      </c>
      <c r="H2574">
        <v>0</v>
      </c>
      <c r="I2574" s="713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</row>
    <row r="2575" spans="1:16">
      <c r="A2575">
        <v>5</v>
      </c>
      <c r="B2575" t="s">
        <v>12475</v>
      </c>
      <c r="C2575" t="s">
        <v>12477</v>
      </c>
      <c r="D2575" t="s">
        <v>12498</v>
      </c>
      <c r="E2575" t="s">
        <v>6373</v>
      </c>
      <c r="F2575" t="s">
        <v>6374</v>
      </c>
      <c r="G2575" s="712">
        <v>0</v>
      </c>
      <c r="H2575">
        <v>0</v>
      </c>
      <c r="I2575" s="713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</row>
    <row r="2576" spans="1:16" ht="15.75" thickBot="1">
      <c r="A2576">
        <v>5</v>
      </c>
      <c r="B2576" t="s">
        <v>12475</v>
      </c>
      <c r="C2576" t="s">
        <v>12477</v>
      </c>
      <c r="D2576" t="s">
        <v>12498</v>
      </c>
      <c r="E2576" t="s">
        <v>12501</v>
      </c>
      <c r="F2576" t="s">
        <v>12502</v>
      </c>
      <c r="G2576" s="712">
        <v>0</v>
      </c>
      <c r="H2576">
        <v>0</v>
      </c>
      <c r="I2576" s="713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</row>
    <row r="2577" spans="1:16" ht="15.75" thickBot="1">
      <c r="A2577" s="727">
        <v>5</v>
      </c>
      <c r="B2577" s="727" t="s">
        <v>12475</v>
      </c>
      <c r="C2577" s="727" t="s">
        <v>12477</v>
      </c>
      <c r="D2577" s="727" t="s">
        <v>12503</v>
      </c>
      <c r="E2577" s="727"/>
      <c r="F2577" s="729" t="s">
        <v>6082</v>
      </c>
      <c r="G2577" s="738">
        <v>0</v>
      </c>
      <c r="H2577" s="738">
        <v>0</v>
      </c>
      <c r="I2577" s="738">
        <v>0</v>
      </c>
      <c r="J2577" s="739">
        <v>663074.99</v>
      </c>
      <c r="K2577" s="739">
        <v>48005.26</v>
      </c>
      <c r="L2577" s="738">
        <v>0</v>
      </c>
      <c r="M2577" s="738">
        <v>0</v>
      </c>
      <c r="N2577" s="739">
        <v>663074.99</v>
      </c>
      <c r="O2577" s="739">
        <v>48005.26</v>
      </c>
      <c r="P2577" s="739">
        <v>615069.73</v>
      </c>
    </row>
    <row r="2578" spans="1:16" ht="15.75" thickBot="1">
      <c r="A2578">
        <v>5</v>
      </c>
      <c r="B2578" t="s">
        <v>12475</v>
      </c>
      <c r="C2578" t="s">
        <v>12477</v>
      </c>
      <c r="D2578" t="s">
        <v>12503</v>
      </c>
      <c r="E2578" t="s">
        <v>6085</v>
      </c>
      <c r="F2578" t="s">
        <v>6086</v>
      </c>
      <c r="G2578" s="712">
        <v>0</v>
      </c>
      <c r="H2578">
        <v>0</v>
      </c>
      <c r="I2578" s="713">
        <v>0</v>
      </c>
      <c r="J2578" s="711">
        <v>663074.99</v>
      </c>
      <c r="K2578" s="711">
        <v>48005.26</v>
      </c>
      <c r="L2578">
        <v>0</v>
      </c>
      <c r="M2578">
        <v>0</v>
      </c>
      <c r="N2578" s="711">
        <v>663074.99</v>
      </c>
      <c r="O2578" s="711">
        <v>48005.26</v>
      </c>
      <c r="P2578" s="711">
        <v>615069.73</v>
      </c>
    </row>
    <row r="2579" spans="1:16" ht="15.75" thickBot="1">
      <c r="A2579" s="727">
        <v>5</v>
      </c>
      <c r="B2579" s="727" t="s">
        <v>12475</v>
      </c>
      <c r="C2579" s="727" t="s">
        <v>12504</v>
      </c>
      <c r="D2579" s="727"/>
      <c r="E2579" s="727"/>
      <c r="F2579" s="745" t="s">
        <v>12505</v>
      </c>
      <c r="G2579" s="738">
        <v>0</v>
      </c>
      <c r="H2579" s="738">
        <v>0</v>
      </c>
      <c r="I2579" s="738">
        <v>0</v>
      </c>
      <c r="J2579" s="739">
        <v>290324.2</v>
      </c>
      <c r="K2579" s="738">
        <v>10.84</v>
      </c>
      <c r="L2579" s="738">
        <v>0</v>
      </c>
      <c r="M2579" s="738">
        <v>0</v>
      </c>
      <c r="N2579" s="739">
        <v>290324.2</v>
      </c>
      <c r="O2579" s="738">
        <v>10.84</v>
      </c>
      <c r="P2579" s="739">
        <v>290313.36</v>
      </c>
    </row>
    <row r="2580" spans="1:16" ht="15.75" thickBot="1">
      <c r="A2580" s="727">
        <v>5</v>
      </c>
      <c r="B2580" s="727" t="s">
        <v>12475</v>
      </c>
      <c r="C2580" s="727" t="s">
        <v>12504</v>
      </c>
      <c r="D2580" s="727" t="s">
        <v>12506</v>
      </c>
      <c r="E2580" s="727"/>
      <c r="F2580" s="729" t="s">
        <v>12505</v>
      </c>
      <c r="G2580" s="738">
        <v>0</v>
      </c>
      <c r="H2580" s="738">
        <v>0</v>
      </c>
      <c r="I2580" s="738">
        <v>0</v>
      </c>
      <c r="J2580" s="739">
        <v>290324.2</v>
      </c>
      <c r="K2580" s="738">
        <v>10.84</v>
      </c>
      <c r="L2580" s="738">
        <v>0</v>
      </c>
      <c r="M2580" s="738">
        <v>0</v>
      </c>
      <c r="N2580" s="739">
        <v>290324.2</v>
      </c>
      <c r="O2580" s="738">
        <v>10.84</v>
      </c>
      <c r="P2580" s="739">
        <v>290313.36</v>
      </c>
    </row>
    <row r="2581" spans="1:16">
      <c r="A2581">
        <v>5</v>
      </c>
      <c r="B2581" t="s">
        <v>12475</v>
      </c>
      <c r="C2581" t="s">
        <v>12504</v>
      </c>
      <c r="D2581" t="s">
        <v>12506</v>
      </c>
      <c r="E2581" t="s">
        <v>6381</v>
      </c>
      <c r="F2581" t="s">
        <v>1298</v>
      </c>
      <c r="G2581" s="712">
        <v>0</v>
      </c>
      <c r="H2581">
        <v>0</v>
      </c>
      <c r="I2581" s="713">
        <v>0</v>
      </c>
      <c r="J2581" s="711">
        <v>2783.68</v>
      </c>
      <c r="K2581">
        <v>0</v>
      </c>
      <c r="L2581">
        <v>0</v>
      </c>
      <c r="M2581">
        <v>0</v>
      </c>
      <c r="N2581" s="711">
        <v>2783.68</v>
      </c>
      <c r="O2581">
        <v>0</v>
      </c>
      <c r="P2581" s="711">
        <v>2783.68</v>
      </c>
    </row>
    <row r="2582" spans="1:16">
      <c r="A2582">
        <v>5</v>
      </c>
      <c r="B2582" t="s">
        <v>12475</v>
      </c>
      <c r="C2582" t="s">
        <v>12504</v>
      </c>
      <c r="D2582" t="s">
        <v>12506</v>
      </c>
      <c r="E2582" t="s">
        <v>6384</v>
      </c>
      <c r="F2582" t="s">
        <v>6385</v>
      </c>
      <c r="G2582" s="712">
        <v>0</v>
      </c>
      <c r="H2582">
        <v>0</v>
      </c>
      <c r="I2582" s="713">
        <v>0</v>
      </c>
      <c r="J2582" s="711">
        <v>106092.4</v>
      </c>
      <c r="K2582">
        <v>0</v>
      </c>
      <c r="L2582">
        <v>0</v>
      </c>
      <c r="M2582">
        <v>0</v>
      </c>
      <c r="N2582" s="711">
        <v>106092.4</v>
      </c>
      <c r="O2582">
        <v>0</v>
      </c>
      <c r="P2582" s="711">
        <v>106092.4</v>
      </c>
    </row>
    <row r="2583" spans="1:16">
      <c r="A2583">
        <v>5</v>
      </c>
      <c r="B2583" t="s">
        <v>12475</v>
      </c>
      <c r="C2583" t="s">
        <v>12504</v>
      </c>
      <c r="D2583" t="s">
        <v>12506</v>
      </c>
      <c r="E2583" t="s">
        <v>6388</v>
      </c>
      <c r="F2583" t="s">
        <v>6389</v>
      </c>
      <c r="G2583" s="712">
        <v>0</v>
      </c>
      <c r="H2583">
        <v>0</v>
      </c>
      <c r="I2583" s="71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</row>
    <row r="2584" spans="1:16">
      <c r="A2584">
        <v>5</v>
      </c>
      <c r="B2584" t="s">
        <v>12475</v>
      </c>
      <c r="C2584" t="s">
        <v>12504</v>
      </c>
      <c r="D2584" t="s">
        <v>12506</v>
      </c>
      <c r="E2584" t="s">
        <v>6391</v>
      </c>
      <c r="F2584" t="s">
        <v>6392</v>
      </c>
      <c r="G2584" s="712">
        <v>0</v>
      </c>
      <c r="H2584">
        <v>0</v>
      </c>
      <c r="I2584" s="713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</row>
    <row r="2585" spans="1:16">
      <c r="A2585">
        <v>5</v>
      </c>
      <c r="B2585" t="s">
        <v>12475</v>
      </c>
      <c r="C2585" t="s">
        <v>12504</v>
      </c>
      <c r="D2585" t="s">
        <v>12506</v>
      </c>
      <c r="E2585" t="s">
        <v>6393</v>
      </c>
      <c r="F2585" t="s">
        <v>6394</v>
      </c>
      <c r="G2585" s="712">
        <v>0</v>
      </c>
      <c r="H2585">
        <v>0</v>
      </c>
      <c r="I2585" s="713">
        <v>0</v>
      </c>
      <c r="J2585" s="711">
        <v>16657.43</v>
      </c>
      <c r="K2585">
        <v>0</v>
      </c>
      <c r="L2585">
        <v>0</v>
      </c>
      <c r="M2585">
        <v>0</v>
      </c>
      <c r="N2585" s="711">
        <v>16657.43</v>
      </c>
      <c r="O2585">
        <v>0</v>
      </c>
      <c r="P2585" s="711">
        <v>16657.43</v>
      </c>
    </row>
    <row r="2586" spans="1:16">
      <c r="A2586">
        <v>5</v>
      </c>
      <c r="B2586" t="s">
        <v>12475</v>
      </c>
      <c r="C2586" t="s">
        <v>12504</v>
      </c>
      <c r="D2586" t="s">
        <v>12506</v>
      </c>
      <c r="E2586" t="s">
        <v>6400</v>
      </c>
      <c r="F2586" t="s">
        <v>1314</v>
      </c>
      <c r="G2586" s="712">
        <v>0</v>
      </c>
      <c r="H2586">
        <v>0</v>
      </c>
      <c r="I2586" s="713">
        <v>0</v>
      </c>
      <c r="J2586" s="711">
        <v>124999.15</v>
      </c>
      <c r="K2586">
        <v>0</v>
      </c>
      <c r="L2586">
        <v>0</v>
      </c>
      <c r="M2586">
        <v>0</v>
      </c>
      <c r="N2586" s="711">
        <v>124999.15</v>
      </c>
      <c r="O2586">
        <v>0</v>
      </c>
      <c r="P2586" s="711">
        <v>124999.15</v>
      </c>
    </row>
    <row r="2587" spans="1:16">
      <c r="A2587">
        <v>5</v>
      </c>
      <c r="B2587" t="s">
        <v>12475</v>
      </c>
      <c r="C2587" t="s">
        <v>12504</v>
      </c>
      <c r="D2587" t="s">
        <v>12506</v>
      </c>
      <c r="E2587" t="s">
        <v>6403</v>
      </c>
      <c r="F2587" t="s">
        <v>6404</v>
      </c>
      <c r="G2587" s="712">
        <v>0</v>
      </c>
      <c r="H2587">
        <v>0</v>
      </c>
      <c r="I2587" s="713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</row>
    <row r="2588" spans="1:16">
      <c r="A2588">
        <v>5</v>
      </c>
      <c r="B2588" t="s">
        <v>12475</v>
      </c>
      <c r="C2588" t="s">
        <v>12504</v>
      </c>
      <c r="D2588" t="s">
        <v>12506</v>
      </c>
      <c r="E2588" t="s">
        <v>6407</v>
      </c>
      <c r="F2588" t="s">
        <v>6408</v>
      </c>
      <c r="G2588" s="712">
        <v>0</v>
      </c>
      <c r="H2588">
        <v>0</v>
      </c>
      <c r="I2588" s="713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</row>
    <row r="2589" spans="1:16">
      <c r="A2589">
        <v>5</v>
      </c>
      <c r="B2589" t="s">
        <v>12475</v>
      </c>
      <c r="C2589" t="s">
        <v>12504</v>
      </c>
      <c r="D2589" t="s">
        <v>12506</v>
      </c>
      <c r="E2589" t="s">
        <v>6409</v>
      </c>
      <c r="F2589" t="s">
        <v>6410</v>
      </c>
      <c r="G2589" s="712">
        <v>0</v>
      </c>
      <c r="H2589">
        <v>0</v>
      </c>
      <c r="I2589" s="713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</row>
    <row r="2590" spans="1:16">
      <c r="A2590">
        <v>5</v>
      </c>
      <c r="B2590" t="s">
        <v>12475</v>
      </c>
      <c r="C2590" t="s">
        <v>12504</v>
      </c>
      <c r="D2590" t="s">
        <v>12506</v>
      </c>
      <c r="E2590" t="s">
        <v>6411</v>
      </c>
      <c r="F2590" t="s">
        <v>6412</v>
      </c>
      <c r="G2590" s="712">
        <v>0</v>
      </c>
      <c r="H2590">
        <v>0</v>
      </c>
      <c r="I2590" s="713">
        <v>0</v>
      </c>
      <c r="J2590">
        <v>149.94999999999999</v>
      </c>
      <c r="K2590">
        <v>0</v>
      </c>
      <c r="L2590">
        <v>0</v>
      </c>
      <c r="M2590">
        <v>0</v>
      </c>
      <c r="N2590">
        <v>149.94999999999999</v>
      </c>
      <c r="O2590">
        <v>0</v>
      </c>
      <c r="P2590">
        <v>149.94999999999999</v>
      </c>
    </row>
    <row r="2591" spans="1:16">
      <c r="A2591">
        <v>5</v>
      </c>
      <c r="B2591" t="s">
        <v>12475</v>
      </c>
      <c r="C2591" t="s">
        <v>12504</v>
      </c>
      <c r="D2591" t="s">
        <v>12506</v>
      </c>
      <c r="E2591" t="s">
        <v>6413</v>
      </c>
      <c r="F2591" t="s">
        <v>6414</v>
      </c>
      <c r="G2591" s="712">
        <v>0</v>
      </c>
      <c r="H2591">
        <v>0</v>
      </c>
      <c r="I2591" s="713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</row>
    <row r="2592" spans="1:16">
      <c r="A2592">
        <v>5</v>
      </c>
      <c r="B2592" t="s">
        <v>12475</v>
      </c>
      <c r="C2592" t="s">
        <v>12504</v>
      </c>
      <c r="D2592" t="s">
        <v>12506</v>
      </c>
      <c r="E2592" t="s">
        <v>6415</v>
      </c>
      <c r="F2592" t="s">
        <v>6416</v>
      </c>
      <c r="G2592" s="712">
        <v>0</v>
      </c>
      <c r="H2592">
        <v>0</v>
      </c>
      <c r="I2592" s="713">
        <v>0</v>
      </c>
      <c r="J2592">
        <v>347.18</v>
      </c>
      <c r="K2592">
        <v>0</v>
      </c>
      <c r="L2592">
        <v>0</v>
      </c>
      <c r="M2592">
        <v>0</v>
      </c>
      <c r="N2592">
        <v>347.18</v>
      </c>
      <c r="O2592">
        <v>0</v>
      </c>
      <c r="P2592">
        <v>347.18</v>
      </c>
    </row>
    <row r="2593" spans="1:16">
      <c r="A2593">
        <v>5</v>
      </c>
      <c r="B2593" t="s">
        <v>12475</v>
      </c>
      <c r="C2593" t="s">
        <v>12504</v>
      </c>
      <c r="D2593" t="s">
        <v>12506</v>
      </c>
      <c r="E2593" t="s">
        <v>6417</v>
      </c>
      <c r="F2593" t="s">
        <v>6418</v>
      </c>
      <c r="G2593" s="712">
        <v>0</v>
      </c>
      <c r="H2593">
        <v>0</v>
      </c>
      <c r="I2593" s="713">
        <v>0</v>
      </c>
      <c r="J2593">
        <v>118.2</v>
      </c>
      <c r="K2593">
        <v>10.84</v>
      </c>
      <c r="L2593">
        <v>0</v>
      </c>
      <c r="M2593">
        <v>0</v>
      </c>
      <c r="N2593">
        <v>118.2</v>
      </c>
      <c r="O2593">
        <v>10.84</v>
      </c>
      <c r="P2593">
        <v>107.36</v>
      </c>
    </row>
    <row r="2594" spans="1:16">
      <c r="A2594">
        <v>5</v>
      </c>
      <c r="B2594" t="s">
        <v>12475</v>
      </c>
      <c r="C2594" t="s">
        <v>12504</v>
      </c>
      <c r="D2594" t="s">
        <v>12506</v>
      </c>
      <c r="E2594" t="s">
        <v>6419</v>
      </c>
      <c r="F2594" t="s">
        <v>6420</v>
      </c>
      <c r="G2594" s="712">
        <v>0</v>
      </c>
      <c r="H2594">
        <v>0</v>
      </c>
      <c r="I2594" s="713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</row>
    <row r="2595" spans="1:16">
      <c r="A2595">
        <v>5</v>
      </c>
      <c r="B2595" t="s">
        <v>12475</v>
      </c>
      <c r="C2595" t="s">
        <v>12504</v>
      </c>
      <c r="D2595" t="s">
        <v>12506</v>
      </c>
      <c r="E2595" t="s">
        <v>6421</v>
      </c>
      <c r="F2595" t="s">
        <v>1324</v>
      </c>
      <c r="G2595" s="712">
        <v>0</v>
      </c>
      <c r="H2595">
        <v>0</v>
      </c>
      <c r="I2595" s="713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</row>
    <row r="2596" spans="1:16">
      <c r="A2596">
        <v>5</v>
      </c>
      <c r="B2596" t="s">
        <v>12475</v>
      </c>
      <c r="C2596" t="s">
        <v>12504</v>
      </c>
      <c r="D2596" t="s">
        <v>12506</v>
      </c>
      <c r="E2596" t="s">
        <v>6424</v>
      </c>
      <c r="F2596" t="s">
        <v>6425</v>
      </c>
      <c r="G2596" s="712">
        <v>0</v>
      </c>
      <c r="H2596">
        <v>0</v>
      </c>
      <c r="I2596" s="713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</row>
    <row r="2597" spans="1:16">
      <c r="A2597">
        <v>5</v>
      </c>
      <c r="B2597" t="s">
        <v>12475</v>
      </c>
      <c r="C2597" t="s">
        <v>12504</v>
      </c>
      <c r="D2597" t="s">
        <v>12506</v>
      </c>
      <c r="E2597" t="s">
        <v>6426</v>
      </c>
      <c r="F2597" t="s">
        <v>6427</v>
      </c>
      <c r="G2597" s="712">
        <v>0</v>
      </c>
      <c r="H2597">
        <v>0</v>
      </c>
      <c r="I2597" s="713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</row>
    <row r="2598" spans="1:16">
      <c r="A2598">
        <v>5</v>
      </c>
      <c r="B2598" t="s">
        <v>12475</v>
      </c>
      <c r="C2598" t="s">
        <v>12504</v>
      </c>
      <c r="D2598" t="s">
        <v>12506</v>
      </c>
      <c r="E2598" t="s">
        <v>6429</v>
      </c>
      <c r="F2598" t="s">
        <v>6430</v>
      </c>
      <c r="G2598" s="712">
        <v>0</v>
      </c>
      <c r="H2598">
        <v>0</v>
      </c>
      <c r="I2598" s="713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</row>
    <row r="2599" spans="1:16" ht="15.75" thickBot="1">
      <c r="A2599">
        <v>5</v>
      </c>
      <c r="B2599" t="s">
        <v>12475</v>
      </c>
      <c r="C2599" t="s">
        <v>12504</v>
      </c>
      <c r="D2599" t="s">
        <v>12506</v>
      </c>
      <c r="E2599" t="s">
        <v>6397</v>
      </c>
      <c r="F2599" t="s">
        <v>6398</v>
      </c>
      <c r="G2599" s="712">
        <v>0</v>
      </c>
      <c r="H2599">
        <v>0</v>
      </c>
      <c r="I2599" s="713">
        <v>0</v>
      </c>
      <c r="J2599" s="711">
        <v>39176.21</v>
      </c>
      <c r="K2599">
        <v>0</v>
      </c>
      <c r="L2599">
        <v>0</v>
      </c>
      <c r="M2599">
        <v>0</v>
      </c>
      <c r="N2599" s="711">
        <v>39176.21</v>
      </c>
      <c r="O2599">
        <v>0</v>
      </c>
      <c r="P2599" s="711">
        <v>39176.21</v>
      </c>
    </row>
    <row r="2600" spans="1:16" ht="15.75" thickBot="1">
      <c r="A2600" s="727">
        <v>5</v>
      </c>
      <c r="B2600" s="727" t="s">
        <v>12507</v>
      </c>
      <c r="C2600" s="727"/>
      <c r="D2600" s="727"/>
      <c r="E2600" s="727"/>
      <c r="F2600" s="745" t="s">
        <v>12508</v>
      </c>
      <c r="G2600" s="738">
        <v>0</v>
      </c>
      <c r="H2600" s="738">
        <v>0</v>
      </c>
      <c r="I2600" s="738">
        <v>0</v>
      </c>
      <c r="J2600" s="739">
        <v>76517567.670000002</v>
      </c>
      <c r="K2600" s="739">
        <v>5325152.88</v>
      </c>
      <c r="L2600" s="738">
        <v>0</v>
      </c>
      <c r="M2600" s="738">
        <v>0</v>
      </c>
      <c r="N2600" s="739">
        <v>76517567.670000002</v>
      </c>
      <c r="O2600" s="739">
        <v>5325152.88</v>
      </c>
      <c r="P2600" s="739">
        <v>71192414.790000007</v>
      </c>
    </row>
    <row r="2601" spans="1:16" ht="15.75" thickBot="1">
      <c r="A2601" s="727">
        <v>5</v>
      </c>
      <c r="B2601" s="727" t="s">
        <v>12507</v>
      </c>
      <c r="C2601" s="727" t="s">
        <v>12509</v>
      </c>
      <c r="D2601" s="727"/>
      <c r="E2601" s="727"/>
      <c r="F2601" s="745" t="s">
        <v>12510</v>
      </c>
      <c r="G2601" s="738">
        <v>0</v>
      </c>
      <c r="H2601" s="738">
        <v>0</v>
      </c>
      <c r="I2601" s="738">
        <v>0</v>
      </c>
      <c r="J2601" s="739">
        <v>30578841.670000002</v>
      </c>
      <c r="K2601" s="739">
        <v>2800226.53</v>
      </c>
      <c r="L2601" s="738">
        <v>0</v>
      </c>
      <c r="M2601" s="738">
        <v>0</v>
      </c>
      <c r="N2601" s="739">
        <v>30578841.670000002</v>
      </c>
      <c r="O2601" s="739">
        <v>2800226.53</v>
      </c>
      <c r="P2601" s="739">
        <v>27778615.140000001</v>
      </c>
    </row>
    <row r="2602" spans="1:16" ht="15.75" thickBot="1">
      <c r="A2602" s="727">
        <v>5</v>
      </c>
      <c r="B2602" s="727" t="s">
        <v>12507</v>
      </c>
      <c r="C2602" s="727" t="s">
        <v>12509</v>
      </c>
      <c r="D2602" s="727" t="s">
        <v>12511</v>
      </c>
      <c r="E2602" s="727"/>
      <c r="F2602" s="729" t="s">
        <v>12512</v>
      </c>
      <c r="G2602" s="738">
        <v>0</v>
      </c>
      <c r="H2602" s="738">
        <v>0</v>
      </c>
      <c r="I2602" s="738">
        <v>0</v>
      </c>
      <c r="J2602" s="738">
        <v>0</v>
      </c>
      <c r="K2602" s="738">
        <v>0</v>
      </c>
      <c r="L2602" s="738">
        <v>0</v>
      </c>
      <c r="M2602" s="738">
        <v>0</v>
      </c>
      <c r="N2602" s="738">
        <v>0</v>
      </c>
      <c r="O2602" s="738">
        <v>0</v>
      </c>
      <c r="P2602" s="738">
        <v>0</v>
      </c>
    </row>
    <row r="2603" spans="1:16">
      <c r="A2603">
        <v>5</v>
      </c>
      <c r="B2603" t="s">
        <v>12507</v>
      </c>
      <c r="C2603" t="s">
        <v>12509</v>
      </c>
      <c r="D2603" t="s">
        <v>12511</v>
      </c>
      <c r="E2603" t="s">
        <v>6445</v>
      </c>
      <c r="F2603" t="s">
        <v>6446</v>
      </c>
      <c r="G2603" s="712">
        <v>0</v>
      </c>
      <c r="H2603">
        <v>0</v>
      </c>
      <c r="I2603" s="71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</row>
    <row r="2604" spans="1:16">
      <c r="A2604">
        <v>5</v>
      </c>
      <c r="B2604" t="s">
        <v>12507</v>
      </c>
      <c r="C2604" t="s">
        <v>12509</v>
      </c>
      <c r="D2604" t="s">
        <v>12511</v>
      </c>
      <c r="E2604" t="s">
        <v>6449</v>
      </c>
      <c r="F2604" t="s">
        <v>6450</v>
      </c>
      <c r="G2604" s="712">
        <v>0</v>
      </c>
      <c r="H2604">
        <v>0</v>
      </c>
      <c r="I2604" s="713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</row>
    <row r="2605" spans="1:16">
      <c r="A2605">
        <v>5</v>
      </c>
      <c r="B2605" t="s">
        <v>12507</v>
      </c>
      <c r="C2605" t="s">
        <v>12509</v>
      </c>
      <c r="D2605" t="s">
        <v>12511</v>
      </c>
      <c r="E2605" t="s">
        <v>6453</v>
      </c>
      <c r="F2605" t="s">
        <v>6454</v>
      </c>
      <c r="G2605" s="712">
        <v>0</v>
      </c>
      <c r="H2605">
        <v>0</v>
      </c>
      <c r="I2605" s="713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</row>
    <row r="2606" spans="1:16">
      <c r="A2606">
        <v>5</v>
      </c>
      <c r="B2606" t="s">
        <v>12507</v>
      </c>
      <c r="C2606" t="s">
        <v>12509</v>
      </c>
      <c r="D2606" t="s">
        <v>12511</v>
      </c>
      <c r="E2606" t="s">
        <v>6457</v>
      </c>
      <c r="F2606" t="s">
        <v>6458</v>
      </c>
      <c r="G2606" s="712">
        <v>0</v>
      </c>
      <c r="H2606">
        <v>0</v>
      </c>
      <c r="I2606" s="713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</row>
    <row r="2607" spans="1:16">
      <c r="A2607">
        <v>5</v>
      </c>
      <c r="B2607" t="s">
        <v>12507</v>
      </c>
      <c r="C2607" t="s">
        <v>12509</v>
      </c>
      <c r="D2607" t="s">
        <v>12511</v>
      </c>
      <c r="E2607" t="s">
        <v>6462</v>
      </c>
      <c r="F2607" t="s">
        <v>6463</v>
      </c>
      <c r="G2607" s="712">
        <v>0</v>
      </c>
      <c r="H2607">
        <v>0</v>
      </c>
      <c r="I2607" s="713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</row>
    <row r="2608" spans="1:16">
      <c r="A2608">
        <v>5</v>
      </c>
      <c r="B2608" t="s">
        <v>12507</v>
      </c>
      <c r="C2608" t="s">
        <v>12509</v>
      </c>
      <c r="D2608" t="s">
        <v>12511</v>
      </c>
      <c r="E2608" t="s">
        <v>6465</v>
      </c>
      <c r="F2608" t="s">
        <v>6466</v>
      </c>
      <c r="G2608" s="712">
        <v>0</v>
      </c>
      <c r="H2608">
        <v>0</v>
      </c>
      <c r="I2608" s="713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</row>
    <row r="2609" spans="1:16">
      <c r="A2609">
        <v>5</v>
      </c>
      <c r="B2609" t="s">
        <v>12507</v>
      </c>
      <c r="C2609" t="s">
        <v>12509</v>
      </c>
      <c r="D2609" t="s">
        <v>12511</v>
      </c>
      <c r="E2609" t="s">
        <v>6468</v>
      </c>
      <c r="F2609" t="s">
        <v>6469</v>
      </c>
      <c r="G2609" s="712">
        <v>0</v>
      </c>
      <c r="H2609">
        <v>0</v>
      </c>
      <c r="I2609" s="713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</row>
    <row r="2610" spans="1:16" ht="15.75" thickBot="1">
      <c r="A2610">
        <v>5</v>
      </c>
      <c r="B2610" t="s">
        <v>12507</v>
      </c>
      <c r="C2610" t="s">
        <v>12509</v>
      </c>
      <c r="D2610" t="s">
        <v>12511</v>
      </c>
      <c r="E2610" t="s">
        <v>6473</v>
      </c>
      <c r="F2610" t="s">
        <v>6474</v>
      </c>
      <c r="G2610" s="712">
        <v>0</v>
      </c>
      <c r="H2610">
        <v>0</v>
      </c>
      <c r="I2610" s="713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</row>
    <row r="2611" spans="1:16" ht="15.75" thickBot="1">
      <c r="A2611" s="727">
        <v>5</v>
      </c>
      <c r="B2611" s="727" t="s">
        <v>12507</v>
      </c>
      <c r="C2611" s="727" t="s">
        <v>12509</v>
      </c>
      <c r="D2611" s="727" t="s">
        <v>12513</v>
      </c>
      <c r="E2611" s="727"/>
      <c r="F2611" s="729" t="s">
        <v>12514</v>
      </c>
      <c r="G2611" s="738">
        <v>0</v>
      </c>
      <c r="H2611" s="738">
        <v>0</v>
      </c>
      <c r="I2611" s="738">
        <v>0</v>
      </c>
      <c r="J2611" s="738">
        <v>0</v>
      </c>
      <c r="K2611" s="738">
        <v>0</v>
      </c>
      <c r="L2611" s="738">
        <v>0</v>
      </c>
      <c r="M2611" s="738">
        <v>0</v>
      </c>
      <c r="N2611" s="738">
        <v>0</v>
      </c>
      <c r="O2611" s="738">
        <v>0</v>
      </c>
      <c r="P2611" s="738">
        <v>0</v>
      </c>
    </row>
    <row r="2612" spans="1:16">
      <c r="A2612">
        <v>5</v>
      </c>
      <c r="B2612" t="s">
        <v>12507</v>
      </c>
      <c r="C2612" t="s">
        <v>12509</v>
      </c>
      <c r="D2612" t="s">
        <v>12513</v>
      </c>
      <c r="E2612" t="s">
        <v>6481</v>
      </c>
      <c r="F2612" t="s">
        <v>6482</v>
      </c>
      <c r="G2612" s="712">
        <v>0</v>
      </c>
      <c r="H2612">
        <v>0</v>
      </c>
      <c r="I2612" s="713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</row>
    <row r="2613" spans="1:16">
      <c r="A2613">
        <v>5</v>
      </c>
      <c r="B2613" t="s">
        <v>12507</v>
      </c>
      <c r="C2613" t="s">
        <v>12509</v>
      </c>
      <c r="D2613" t="s">
        <v>12513</v>
      </c>
      <c r="E2613" t="s">
        <v>6486</v>
      </c>
      <c r="F2613" t="s">
        <v>6487</v>
      </c>
      <c r="G2613" s="712">
        <v>0</v>
      </c>
      <c r="H2613">
        <v>0</v>
      </c>
      <c r="I2613" s="7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</row>
    <row r="2614" spans="1:16">
      <c r="A2614">
        <v>5</v>
      </c>
      <c r="B2614" t="s">
        <v>12507</v>
      </c>
      <c r="C2614" t="s">
        <v>12509</v>
      </c>
      <c r="D2614" t="s">
        <v>12513</v>
      </c>
      <c r="E2614" t="s">
        <v>6489</v>
      </c>
      <c r="F2614" t="s">
        <v>6490</v>
      </c>
      <c r="G2614" s="712">
        <v>0</v>
      </c>
      <c r="H2614">
        <v>0</v>
      </c>
      <c r="I2614" s="713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</row>
    <row r="2615" spans="1:16">
      <c r="A2615">
        <v>5</v>
      </c>
      <c r="B2615" t="s">
        <v>12507</v>
      </c>
      <c r="C2615" t="s">
        <v>12509</v>
      </c>
      <c r="D2615" t="s">
        <v>12513</v>
      </c>
      <c r="E2615" t="s">
        <v>6492</v>
      </c>
      <c r="F2615" t="s">
        <v>6493</v>
      </c>
      <c r="G2615" s="712">
        <v>0</v>
      </c>
      <c r="H2615">
        <v>0</v>
      </c>
      <c r="I2615" s="713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</row>
    <row r="2616" spans="1:16" ht="15.75" thickBot="1">
      <c r="A2616">
        <v>5</v>
      </c>
      <c r="B2616" t="s">
        <v>12507</v>
      </c>
      <c r="C2616" t="s">
        <v>12509</v>
      </c>
      <c r="D2616" t="s">
        <v>12513</v>
      </c>
      <c r="E2616" t="s">
        <v>6497</v>
      </c>
      <c r="F2616" t="s">
        <v>6498</v>
      </c>
      <c r="G2616" s="712">
        <v>0</v>
      </c>
      <c r="H2616">
        <v>0</v>
      </c>
      <c r="I2616" s="713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</row>
    <row r="2617" spans="1:16" ht="15.75" thickBot="1">
      <c r="A2617" s="727">
        <v>5</v>
      </c>
      <c r="B2617" s="727" t="s">
        <v>12507</v>
      </c>
      <c r="C2617" s="727" t="s">
        <v>12509</v>
      </c>
      <c r="D2617" s="727" t="s">
        <v>12515</v>
      </c>
      <c r="E2617" s="727"/>
      <c r="F2617" s="729" t="s">
        <v>12516</v>
      </c>
      <c r="G2617" s="738">
        <v>0</v>
      </c>
      <c r="H2617" s="738">
        <v>0</v>
      </c>
      <c r="I2617" s="738">
        <v>0</v>
      </c>
      <c r="J2617" s="738">
        <v>0</v>
      </c>
      <c r="K2617" s="738">
        <v>0</v>
      </c>
      <c r="L2617" s="738">
        <v>0</v>
      </c>
      <c r="M2617" s="738">
        <v>0</v>
      </c>
      <c r="N2617" s="738">
        <v>0</v>
      </c>
      <c r="O2617" s="738">
        <v>0</v>
      </c>
      <c r="P2617" s="738">
        <v>0</v>
      </c>
    </row>
    <row r="2618" spans="1:16">
      <c r="A2618">
        <v>5</v>
      </c>
      <c r="B2618" t="s">
        <v>12507</v>
      </c>
      <c r="C2618" t="s">
        <v>12509</v>
      </c>
      <c r="D2618" t="s">
        <v>12515</v>
      </c>
      <c r="E2618" t="s">
        <v>6505</v>
      </c>
      <c r="F2618" t="s">
        <v>6506</v>
      </c>
      <c r="G2618" s="712">
        <v>0</v>
      </c>
      <c r="H2618">
        <v>0</v>
      </c>
      <c r="I2618" s="713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</row>
    <row r="2619" spans="1:16">
      <c r="A2619">
        <v>5</v>
      </c>
      <c r="B2619" t="s">
        <v>12507</v>
      </c>
      <c r="C2619" t="s">
        <v>12509</v>
      </c>
      <c r="D2619" t="s">
        <v>12515</v>
      </c>
      <c r="E2619" t="s">
        <v>6516</v>
      </c>
      <c r="F2619" t="s">
        <v>6517</v>
      </c>
      <c r="G2619" s="712">
        <v>0</v>
      </c>
      <c r="H2619">
        <v>0</v>
      </c>
      <c r="I2619" s="713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</row>
    <row r="2620" spans="1:16">
      <c r="A2620">
        <v>5</v>
      </c>
      <c r="B2620" t="s">
        <v>12507</v>
      </c>
      <c r="C2620" t="s">
        <v>12509</v>
      </c>
      <c r="D2620" t="s">
        <v>12515</v>
      </c>
      <c r="E2620" t="s">
        <v>6527</v>
      </c>
      <c r="F2620" t="s">
        <v>6528</v>
      </c>
      <c r="G2620" s="712">
        <v>0</v>
      </c>
      <c r="H2620">
        <v>0</v>
      </c>
      <c r="I2620" s="713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</row>
    <row r="2621" spans="1:16">
      <c r="A2621">
        <v>5</v>
      </c>
      <c r="B2621" t="s">
        <v>12507</v>
      </c>
      <c r="C2621" t="s">
        <v>12509</v>
      </c>
      <c r="D2621" t="s">
        <v>12515</v>
      </c>
      <c r="E2621" t="s">
        <v>6537</v>
      </c>
      <c r="F2621" t="s">
        <v>6538</v>
      </c>
      <c r="G2621" s="712">
        <v>0</v>
      </c>
      <c r="H2621">
        <v>0</v>
      </c>
      <c r="I2621" s="713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</row>
    <row r="2622" spans="1:16">
      <c r="A2622">
        <v>5</v>
      </c>
      <c r="B2622" t="s">
        <v>12507</v>
      </c>
      <c r="C2622" t="s">
        <v>12509</v>
      </c>
      <c r="D2622" t="s">
        <v>12515</v>
      </c>
      <c r="E2622" t="s">
        <v>6542</v>
      </c>
      <c r="F2622" t="s">
        <v>6543</v>
      </c>
      <c r="G2622" s="712">
        <v>0</v>
      </c>
      <c r="H2622">
        <v>0</v>
      </c>
      <c r="I2622" s="713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</row>
    <row r="2623" spans="1:16">
      <c r="A2623">
        <v>5</v>
      </c>
      <c r="B2623" t="s">
        <v>12507</v>
      </c>
      <c r="C2623" t="s">
        <v>12509</v>
      </c>
      <c r="D2623" t="s">
        <v>12515</v>
      </c>
      <c r="E2623" t="s">
        <v>6545</v>
      </c>
      <c r="F2623" t="s">
        <v>6546</v>
      </c>
      <c r="G2623" s="712">
        <v>0</v>
      </c>
      <c r="H2623">
        <v>0</v>
      </c>
      <c r="I2623" s="71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</row>
    <row r="2624" spans="1:16">
      <c r="A2624">
        <v>5</v>
      </c>
      <c r="B2624" t="s">
        <v>12507</v>
      </c>
      <c r="C2624" t="s">
        <v>12509</v>
      </c>
      <c r="D2624" t="s">
        <v>12515</v>
      </c>
      <c r="E2624" t="s">
        <v>6555</v>
      </c>
      <c r="F2624" t="s">
        <v>6556</v>
      </c>
      <c r="G2624" s="712">
        <v>0</v>
      </c>
      <c r="H2624">
        <v>0</v>
      </c>
      <c r="I2624" s="713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</row>
    <row r="2625" spans="1:16">
      <c r="A2625">
        <v>5</v>
      </c>
      <c r="B2625" t="s">
        <v>12507</v>
      </c>
      <c r="C2625" t="s">
        <v>12509</v>
      </c>
      <c r="D2625" t="s">
        <v>12515</v>
      </c>
      <c r="E2625" t="s">
        <v>6564</v>
      </c>
      <c r="F2625" t="s">
        <v>6565</v>
      </c>
      <c r="G2625" s="712">
        <v>0</v>
      </c>
      <c r="H2625">
        <v>0</v>
      </c>
      <c r="I2625" s="713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</row>
    <row r="2626" spans="1:16">
      <c r="A2626">
        <v>5</v>
      </c>
      <c r="B2626" t="s">
        <v>12507</v>
      </c>
      <c r="C2626" t="s">
        <v>12509</v>
      </c>
      <c r="D2626" t="s">
        <v>12515</v>
      </c>
      <c r="E2626" t="s">
        <v>6573</v>
      </c>
      <c r="F2626" t="s">
        <v>6574</v>
      </c>
      <c r="G2626" s="712">
        <v>0</v>
      </c>
      <c r="H2626">
        <v>0</v>
      </c>
      <c r="I2626" s="713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</row>
    <row r="2627" spans="1:16">
      <c r="A2627">
        <v>5</v>
      </c>
      <c r="B2627" t="s">
        <v>12507</v>
      </c>
      <c r="C2627" t="s">
        <v>12509</v>
      </c>
      <c r="D2627" t="s">
        <v>12515</v>
      </c>
      <c r="E2627" t="s">
        <v>6582</v>
      </c>
      <c r="F2627" t="s">
        <v>6583</v>
      </c>
      <c r="G2627" s="712">
        <v>0</v>
      </c>
      <c r="H2627">
        <v>0</v>
      </c>
      <c r="I2627" s="713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</row>
    <row r="2628" spans="1:16">
      <c r="A2628">
        <v>5</v>
      </c>
      <c r="B2628" t="s">
        <v>12507</v>
      </c>
      <c r="C2628" t="s">
        <v>12509</v>
      </c>
      <c r="D2628" t="s">
        <v>12515</v>
      </c>
      <c r="E2628" t="s">
        <v>6592</v>
      </c>
      <c r="F2628" t="s">
        <v>6593</v>
      </c>
      <c r="G2628" s="712">
        <v>0</v>
      </c>
      <c r="H2628">
        <v>0</v>
      </c>
      <c r="I2628" s="713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</row>
    <row r="2629" spans="1:16">
      <c r="A2629">
        <v>5</v>
      </c>
      <c r="B2629" t="s">
        <v>12507</v>
      </c>
      <c r="C2629" t="s">
        <v>12509</v>
      </c>
      <c r="D2629" t="s">
        <v>12515</v>
      </c>
      <c r="E2629" t="s">
        <v>6548</v>
      </c>
      <c r="F2629" t="s">
        <v>6549</v>
      </c>
      <c r="G2629" s="712">
        <v>0</v>
      </c>
      <c r="H2629">
        <v>0</v>
      </c>
      <c r="I2629" s="713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</row>
    <row r="2630" spans="1:16">
      <c r="A2630">
        <v>5</v>
      </c>
      <c r="B2630" t="s">
        <v>12507</v>
      </c>
      <c r="C2630" t="s">
        <v>12509</v>
      </c>
      <c r="D2630" t="s">
        <v>12515</v>
      </c>
      <c r="E2630" t="s">
        <v>6550</v>
      </c>
      <c r="F2630" t="s">
        <v>6551</v>
      </c>
      <c r="G2630" s="712">
        <v>0</v>
      </c>
      <c r="H2630">
        <v>0</v>
      </c>
      <c r="I2630" s="713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</row>
    <row r="2631" spans="1:16">
      <c r="A2631">
        <v>5</v>
      </c>
      <c r="B2631" t="s">
        <v>12507</v>
      </c>
      <c r="C2631" t="s">
        <v>12509</v>
      </c>
      <c r="D2631" t="s">
        <v>12515</v>
      </c>
      <c r="E2631" t="s">
        <v>6552</v>
      </c>
      <c r="F2631" t="s">
        <v>6553</v>
      </c>
      <c r="G2631" s="712">
        <v>0</v>
      </c>
      <c r="H2631">
        <v>0</v>
      </c>
      <c r="I2631" s="713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</row>
    <row r="2632" spans="1:16">
      <c r="A2632">
        <v>5</v>
      </c>
      <c r="B2632" t="s">
        <v>12507</v>
      </c>
      <c r="C2632" t="s">
        <v>12509</v>
      </c>
      <c r="D2632" t="s">
        <v>12515</v>
      </c>
      <c r="E2632" t="s">
        <v>6511</v>
      </c>
      <c r="F2632" t="s">
        <v>6512</v>
      </c>
      <c r="G2632" s="712">
        <v>0</v>
      </c>
      <c r="H2632">
        <v>0</v>
      </c>
      <c r="I2632" s="713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</row>
    <row r="2633" spans="1:16">
      <c r="A2633">
        <v>5</v>
      </c>
      <c r="B2633" t="s">
        <v>12507</v>
      </c>
      <c r="C2633" t="s">
        <v>12509</v>
      </c>
      <c r="D2633" t="s">
        <v>12515</v>
      </c>
      <c r="E2633" t="s">
        <v>6522</v>
      </c>
      <c r="F2633" t="s">
        <v>6523</v>
      </c>
      <c r="G2633" s="712">
        <v>0</v>
      </c>
      <c r="H2633">
        <v>0</v>
      </c>
      <c r="I2633" s="71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</row>
    <row r="2634" spans="1:16">
      <c r="A2634">
        <v>5</v>
      </c>
      <c r="B2634" t="s">
        <v>12507</v>
      </c>
      <c r="C2634" t="s">
        <v>12509</v>
      </c>
      <c r="D2634" t="s">
        <v>12515</v>
      </c>
      <c r="E2634" t="s">
        <v>6532</v>
      </c>
      <c r="F2634" t="s">
        <v>6533</v>
      </c>
      <c r="G2634" s="712">
        <v>0</v>
      </c>
      <c r="H2634">
        <v>0</v>
      </c>
      <c r="I2634" s="713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</row>
    <row r="2635" spans="1:16">
      <c r="A2635">
        <v>5</v>
      </c>
      <c r="B2635" t="s">
        <v>12507</v>
      </c>
      <c r="C2635" t="s">
        <v>12509</v>
      </c>
      <c r="D2635" t="s">
        <v>12515</v>
      </c>
      <c r="E2635" t="s">
        <v>6560</v>
      </c>
      <c r="F2635" t="s">
        <v>6561</v>
      </c>
      <c r="G2635" s="712">
        <v>0</v>
      </c>
      <c r="H2635">
        <v>0</v>
      </c>
      <c r="I2635" s="713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</row>
    <row r="2636" spans="1:16">
      <c r="A2636">
        <v>5</v>
      </c>
      <c r="B2636" t="s">
        <v>12507</v>
      </c>
      <c r="C2636" t="s">
        <v>12509</v>
      </c>
      <c r="D2636" t="s">
        <v>12515</v>
      </c>
      <c r="E2636" t="s">
        <v>6569</v>
      </c>
      <c r="F2636" t="s">
        <v>6570</v>
      </c>
      <c r="G2636" s="712">
        <v>0</v>
      </c>
      <c r="H2636">
        <v>0</v>
      </c>
      <c r="I2636" s="713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</row>
    <row r="2637" spans="1:16">
      <c r="A2637">
        <v>5</v>
      </c>
      <c r="B2637" t="s">
        <v>12507</v>
      </c>
      <c r="C2637" t="s">
        <v>12509</v>
      </c>
      <c r="D2637" t="s">
        <v>12515</v>
      </c>
      <c r="E2637" t="s">
        <v>6578</v>
      </c>
      <c r="F2637" t="s">
        <v>6579</v>
      </c>
      <c r="G2637" s="712">
        <v>0</v>
      </c>
      <c r="H2637">
        <v>0</v>
      </c>
      <c r="I2637" s="713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</row>
    <row r="2638" spans="1:16">
      <c r="A2638">
        <v>5</v>
      </c>
      <c r="B2638" t="s">
        <v>12507</v>
      </c>
      <c r="C2638" t="s">
        <v>12509</v>
      </c>
      <c r="D2638" t="s">
        <v>12515</v>
      </c>
      <c r="E2638" t="s">
        <v>6587</v>
      </c>
      <c r="F2638" t="s">
        <v>6588</v>
      </c>
      <c r="G2638" s="712">
        <v>0</v>
      </c>
      <c r="H2638">
        <v>0</v>
      </c>
      <c r="I2638" s="713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</row>
    <row r="2639" spans="1:16" ht="15.75" thickBot="1">
      <c r="A2639">
        <v>5</v>
      </c>
      <c r="B2639" t="s">
        <v>12507</v>
      </c>
      <c r="C2639" t="s">
        <v>12509</v>
      </c>
      <c r="D2639" t="s">
        <v>12515</v>
      </c>
      <c r="E2639" t="s">
        <v>6598</v>
      </c>
      <c r="F2639" t="s">
        <v>6599</v>
      </c>
      <c r="G2639" s="712">
        <v>0</v>
      </c>
      <c r="H2639">
        <v>0</v>
      </c>
      <c r="I2639" s="713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</row>
    <row r="2640" spans="1:16" ht="15.75" thickBot="1">
      <c r="A2640" s="727">
        <v>5</v>
      </c>
      <c r="B2640" s="727" t="s">
        <v>12507</v>
      </c>
      <c r="C2640" s="727" t="s">
        <v>12509</v>
      </c>
      <c r="D2640" s="727" t="s">
        <v>12517</v>
      </c>
      <c r="E2640" s="727"/>
      <c r="F2640" s="729" t="s">
        <v>12518</v>
      </c>
      <c r="G2640" s="738">
        <v>0</v>
      </c>
      <c r="H2640" s="738">
        <v>0</v>
      </c>
      <c r="I2640" s="738">
        <v>0</v>
      </c>
      <c r="J2640" s="738">
        <v>0</v>
      </c>
      <c r="K2640" s="738">
        <v>0</v>
      </c>
      <c r="L2640" s="738">
        <v>0</v>
      </c>
      <c r="M2640" s="738">
        <v>0</v>
      </c>
      <c r="N2640" s="738">
        <v>0</v>
      </c>
      <c r="O2640" s="738">
        <v>0</v>
      </c>
      <c r="P2640" s="738">
        <v>0</v>
      </c>
    </row>
    <row r="2641" spans="1:16">
      <c r="A2641">
        <v>5</v>
      </c>
      <c r="B2641" t="s">
        <v>12507</v>
      </c>
      <c r="C2641" t="s">
        <v>12509</v>
      </c>
      <c r="D2641" t="s">
        <v>12517</v>
      </c>
      <c r="E2641" t="s">
        <v>6605</v>
      </c>
      <c r="F2641" t="s">
        <v>6606</v>
      </c>
      <c r="G2641" s="712">
        <v>0</v>
      </c>
      <c r="H2641">
        <v>0</v>
      </c>
      <c r="I2641" s="713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</row>
    <row r="2642" spans="1:16">
      <c r="A2642">
        <v>5</v>
      </c>
      <c r="B2642" t="s">
        <v>12507</v>
      </c>
      <c r="C2642" t="s">
        <v>12509</v>
      </c>
      <c r="D2642" t="s">
        <v>12517</v>
      </c>
      <c r="E2642" t="s">
        <v>6609</v>
      </c>
      <c r="F2642" t="s">
        <v>6610</v>
      </c>
      <c r="G2642" s="712">
        <v>0</v>
      </c>
      <c r="H2642">
        <v>0</v>
      </c>
      <c r="I2642" s="713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</row>
    <row r="2643" spans="1:16">
      <c r="A2643">
        <v>5</v>
      </c>
      <c r="B2643" t="s">
        <v>12507</v>
      </c>
      <c r="C2643" t="s">
        <v>12509</v>
      </c>
      <c r="D2643" t="s">
        <v>12517</v>
      </c>
      <c r="E2643" t="s">
        <v>6613</v>
      </c>
      <c r="F2643" t="s">
        <v>6614</v>
      </c>
      <c r="G2643" s="712">
        <v>0</v>
      </c>
      <c r="H2643">
        <v>0</v>
      </c>
      <c r="I2643" s="71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</row>
    <row r="2644" spans="1:16">
      <c r="A2644">
        <v>5</v>
      </c>
      <c r="B2644" t="s">
        <v>12507</v>
      </c>
      <c r="C2644" t="s">
        <v>12509</v>
      </c>
      <c r="D2644" t="s">
        <v>12517</v>
      </c>
      <c r="E2644" t="s">
        <v>6618</v>
      </c>
      <c r="F2644" t="s">
        <v>6619</v>
      </c>
      <c r="G2644" s="712">
        <v>0</v>
      </c>
      <c r="H2644">
        <v>0</v>
      </c>
      <c r="I2644" s="713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</row>
    <row r="2645" spans="1:16" ht="15.75" thickBot="1">
      <c r="A2645">
        <v>5</v>
      </c>
      <c r="B2645" t="s">
        <v>12507</v>
      </c>
      <c r="C2645" t="s">
        <v>12509</v>
      </c>
      <c r="D2645" t="s">
        <v>12517</v>
      </c>
      <c r="E2645" t="s">
        <v>6623</v>
      </c>
      <c r="F2645" t="s">
        <v>6624</v>
      </c>
      <c r="G2645" s="712">
        <v>0</v>
      </c>
      <c r="H2645">
        <v>0</v>
      </c>
      <c r="I2645" s="713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</row>
    <row r="2646" spans="1:16" ht="15.75" thickBot="1">
      <c r="A2646" s="727">
        <v>5</v>
      </c>
      <c r="B2646" s="727" t="s">
        <v>12507</v>
      </c>
      <c r="C2646" s="727" t="s">
        <v>12509</v>
      </c>
      <c r="D2646" s="727" t="s">
        <v>12519</v>
      </c>
      <c r="E2646" s="727"/>
      <c r="F2646" s="729" t="s">
        <v>12520</v>
      </c>
      <c r="G2646" s="738">
        <v>0</v>
      </c>
      <c r="H2646" s="738">
        <v>0</v>
      </c>
      <c r="I2646" s="738">
        <v>0</v>
      </c>
      <c r="J2646" s="738">
        <v>0</v>
      </c>
      <c r="K2646" s="738">
        <v>0</v>
      </c>
      <c r="L2646" s="738">
        <v>0</v>
      </c>
      <c r="M2646" s="738">
        <v>0</v>
      </c>
      <c r="N2646" s="738">
        <v>0</v>
      </c>
      <c r="O2646" s="738">
        <v>0</v>
      </c>
      <c r="P2646" s="738">
        <v>0</v>
      </c>
    </row>
    <row r="2647" spans="1:16">
      <c r="A2647">
        <v>5</v>
      </c>
      <c r="B2647" t="s">
        <v>12507</v>
      </c>
      <c r="C2647" t="s">
        <v>12509</v>
      </c>
      <c r="D2647" t="s">
        <v>12519</v>
      </c>
      <c r="E2647" t="s">
        <v>6631</v>
      </c>
      <c r="F2647" t="s">
        <v>6632</v>
      </c>
      <c r="G2647" s="712">
        <v>0</v>
      </c>
      <c r="H2647">
        <v>0</v>
      </c>
      <c r="I2647" s="713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</row>
    <row r="2648" spans="1:16">
      <c r="A2648">
        <v>5</v>
      </c>
      <c r="B2648" t="s">
        <v>12507</v>
      </c>
      <c r="C2648" t="s">
        <v>12509</v>
      </c>
      <c r="D2648" t="s">
        <v>12519</v>
      </c>
      <c r="E2648" t="s">
        <v>6635</v>
      </c>
      <c r="F2648" t="s">
        <v>6636</v>
      </c>
      <c r="G2648" s="712">
        <v>0</v>
      </c>
      <c r="H2648">
        <v>0</v>
      </c>
      <c r="I2648" s="713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</row>
    <row r="2649" spans="1:16">
      <c r="A2649">
        <v>5</v>
      </c>
      <c r="B2649" t="s">
        <v>12507</v>
      </c>
      <c r="C2649" t="s">
        <v>12509</v>
      </c>
      <c r="D2649" t="s">
        <v>12519</v>
      </c>
      <c r="E2649" t="s">
        <v>6639</v>
      </c>
      <c r="F2649" t="s">
        <v>6640</v>
      </c>
      <c r="G2649" s="712">
        <v>0</v>
      </c>
      <c r="H2649">
        <v>0</v>
      </c>
      <c r="I2649" s="713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</row>
    <row r="2650" spans="1:16" ht="15.75" thickBot="1">
      <c r="A2650">
        <v>5</v>
      </c>
      <c r="B2650" t="s">
        <v>12507</v>
      </c>
      <c r="C2650" t="s">
        <v>12509</v>
      </c>
      <c r="D2650" t="s">
        <v>12519</v>
      </c>
      <c r="E2650" t="s">
        <v>6643</v>
      </c>
      <c r="F2650" t="s">
        <v>6644</v>
      </c>
      <c r="G2650" s="712">
        <v>0</v>
      </c>
      <c r="H2650">
        <v>0</v>
      </c>
      <c r="I2650" s="713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</row>
    <row r="2651" spans="1:16" ht="15.75" thickBot="1">
      <c r="A2651" s="727">
        <v>5</v>
      </c>
      <c r="B2651" s="727" t="s">
        <v>12507</v>
      </c>
      <c r="C2651" s="727" t="s">
        <v>12509</v>
      </c>
      <c r="D2651" s="727" t="s">
        <v>12521</v>
      </c>
      <c r="E2651" s="727"/>
      <c r="F2651" s="729" t="s">
        <v>12522</v>
      </c>
      <c r="G2651" s="738">
        <v>0</v>
      </c>
      <c r="H2651" s="738">
        <v>0</v>
      </c>
      <c r="I2651" s="738">
        <v>0</v>
      </c>
      <c r="J2651" s="738">
        <v>0</v>
      </c>
      <c r="K2651" s="738">
        <v>0</v>
      </c>
      <c r="L2651" s="738">
        <v>0</v>
      </c>
      <c r="M2651" s="738">
        <v>0</v>
      </c>
      <c r="N2651" s="738">
        <v>0</v>
      </c>
      <c r="O2651" s="738">
        <v>0</v>
      </c>
      <c r="P2651" s="738">
        <v>0</v>
      </c>
    </row>
    <row r="2652" spans="1:16">
      <c r="A2652">
        <v>5</v>
      </c>
      <c r="B2652" t="s">
        <v>12507</v>
      </c>
      <c r="C2652" t="s">
        <v>12509</v>
      </c>
      <c r="D2652" t="s">
        <v>12521</v>
      </c>
      <c r="E2652" t="s">
        <v>6651</v>
      </c>
      <c r="F2652" t="s">
        <v>6652</v>
      </c>
      <c r="G2652" s="712">
        <v>0</v>
      </c>
      <c r="H2652">
        <v>0</v>
      </c>
      <c r="I2652" s="713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</row>
    <row r="2653" spans="1:16">
      <c r="A2653">
        <v>5</v>
      </c>
      <c r="B2653" t="s">
        <v>12507</v>
      </c>
      <c r="C2653" t="s">
        <v>12509</v>
      </c>
      <c r="D2653" t="s">
        <v>12521</v>
      </c>
      <c r="E2653" t="s">
        <v>6655</v>
      </c>
      <c r="F2653" t="s">
        <v>6656</v>
      </c>
      <c r="G2653" s="712">
        <v>0</v>
      </c>
      <c r="H2653">
        <v>0</v>
      </c>
      <c r="I2653" s="71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</row>
    <row r="2654" spans="1:16">
      <c r="A2654">
        <v>5</v>
      </c>
      <c r="B2654" t="s">
        <v>12507</v>
      </c>
      <c r="C2654" t="s">
        <v>12509</v>
      </c>
      <c r="D2654" t="s">
        <v>12521</v>
      </c>
      <c r="E2654" t="s">
        <v>6659</v>
      </c>
      <c r="F2654" t="s">
        <v>6660</v>
      </c>
      <c r="G2654" s="712">
        <v>0</v>
      </c>
      <c r="H2654">
        <v>0</v>
      </c>
      <c r="I2654" s="713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</row>
    <row r="2655" spans="1:16" ht="15.75" thickBot="1">
      <c r="A2655">
        <v>5</v>
      </c>
      <c r="B2655" t="s">
        <v>12507</v>
      </c>
      <c r="C2655" t="s">
        <v>12509</v>
      </c>
      <c r="D2655" t="s">
        <v>12521</v>
      </c>
      <c r="E2655" t="s">
        <v>6663</v>
      </c>
      <c r="F2655" t="s">
        <v>6664</v>
      </c>
      <c r="G2655" s="712">
        <v>0</v>
      </c>
      <c r="H2655">
        <v>0</v>
      </c>
      <c r="I2655" s="713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</row>
    <row r="2656" spans="1:16" ht="15.75" thickBot="1">
      <c r="A2656" s="727">
        <v>5</v>
      </c>
      <c r="B2656" s="727" t="s">
        <v>12507</v>
      </c>
      <c r="C2656" s="727" t="s">
        <v>12509</v>
      </c>
      <c r="D2656" s="727" t="s">
        <v>12523</v>
      </c>
      <c r="E2656" s="727"/>
      <c r="F2656" s="729" t="s">
        <v>12524</v>
      </c>
      <c r="G2656" s="738">
        <v>0</v>
      </c>
      <c r="H2656" s="738">
        <v>0</v>
      </c>
      <c r="I2656" s="738">
        <v>0</v>
      </c>
      <c r="J2656" s="739">
        <v>48421.04</v>
      </c>
      <c r="K2656" s="738">
        <v>0</v>
      </c>
      <c r="L2656" s="738">
        <v>0</v>
      </c>
      <c r="M2656" s="738">
        <v>0</v>
      </c>
      <c r="N2656" s="739">
        <v>48421.04</v>
      </c>
      <c r="O2656" s="738">
        <v>0</v>
      </c>
      <c r="P2656" s="739">
        <v>48421.04</v>
      </c>
    </row>
    <row r="2657" spans="1:16">
      <c r="A2657">
        <v>5</v>
      </c>
      <c r="B2657" t="s">
        <v>12507</v>
      </c>
      <c r="C2657" t="s">
        <v>12509</v>
      </c>
      <c r="D2657" t="s">
        <v>12523</v>
      </c>
      <c r="E2657" t="s">
        <v>6670</v>
      </c>
      <c r="F2657" t="s">
        <v>6671</v>
      </c>
      <c r="G2657" s="712">
        <v>0</v>
      </c>
      <c r="H2657">
        <v>0</v>
      </c>
      <c r="I2657" s="713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</row>
    <row r="2658" spans="1:16">
      <c r="A2658">
        <v>5</v>
      </c>
      <c r="B2658" t="s">
        <v>12507</v>
      </c>
      <c r="C2658" t="s">
        <v>12509</v>
      </c>
      <c r="D2658" t="s">
        <v>12523</v>
      </c>
      <c r="E2658" t="s">
        <v>6674</v>
      </c>
      <c r="F2658" t="s">
        <v>6518</v>
      </c>
      <c r="G2658" s="712">
        <v>0</v>
      </c>
      <c r="H2658">
        <v>0</v>
      </c>
      <c r="I2658" s="713">
        <v>0</v>
      </c>
      <c r="J2658" s="711">
        <v>48421.04</v>
      </c>
      <c r="K2658">
        <v>0</v>
      </c>
      <c r="L2658">
        <v>0</v>
      </c>
      <c r="M2658">
        <v>0</v>
      </c>
      <c r="N2658" s="711">
        <v>48421.04</v>
      </c>
      <c r="O2658">
        <v>0</v>
      </c>
      <c r="P2658" s="711">
        <v>48421.04</v>
      </c>
    </row>
    <row r="2659" spans="1:16">
      <c r="A2659">
        <v>5</v>
      </c>
      <c r="B2659" t="s">
        <v>12507</v>
      </c>
      <c r="C2659" t="s">
        <v>12509</v>
      </c>
      <c r="D2659" t="s">
        <v>12523</v>
      </c>
      <c r="E2659" t="s">
        <v>6678</v>
      </c>
      <c r="F2659" t="s">
        <v>6499</v>
      </c>
      <c r="G2659" s="712">
        <v>0</v>
      </c>
      <c r="H2659">
        <v>0</v>
      </c>
      <c r="I2659" s="713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</row>
    <row r="2660" spans="1:16">
      <c r="A2660">
        <v>5</v>
      </c>
      <c r="B2660" t="s">
        <v>12507</v>
      </c>
      <c r="C2660" t="s">
        <v>12509</v>
      </c>
      <c r="D2660" t="s">
        <v>12523</v>
      </c>
      <c r="E2660" t="s">
        <v>6681</v>
      </c>
      <c r="F2660" t="s">
        <v>6682</v>
      </c>
      <c r="G2660" s="712">
        <v>0</v>
      </c>
      <c r="H2660">
        <v>0</v>
      </c>
      <c r="I2660" s="713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</row>
    <row r="2661" spans="1:16">
      <c r="A2661">
        <v>5</v>
      </c>
      <c r="B2661" t="s">
        <v>12507</v>
      </c>
      <c r="C2661" t="s">
        <v>12509</v>
      </c>
      <c r="D2661" t="s">
        <v>12523</v>
      </c>
      <c r="E2661" t="s">
        <v>6685</v>
      </c>
      <c r="F2661" t="s">
        <v>6686</v>
      </c>
      <c r="G2661" s="712">
        <v>0</v>
      </c>
      <c r="H2661">
        <v>0</v>
      </c>
      <c r="I2661" s="713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</row>
    <row r="2662" spans="1:16">
      <c r="A2662">
        <v>5</v>
      </c>
      <c r="B2662" t="s">
        <v>12507</v>
      </c>
      <c r="C2662" t="s">
        <v>12509</v>
      </c>
      <c r="D2662" t="s">
        <v>12523</v>
      </c>
      <c r="E2662" t="s">
        <v>6689</v>
      </c>
      <c r="F2662" t="s">
        <v>6690</v>
      </c>
      <c r="G2662" s="712">
        <v>0</v>
      </c>
      <c r="H2662">
        <v>0</v>
      </c>
      <c r="I2662" s="713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</row>
    <row r="2663" spans="1:16">
      <c r="A2663">
        <v>5</v>
      </c>
      <c r="B2663" t="s">
        <v>12507</v>
      </c>
      <c r="C2663" t="s">
        <v>12509</v>
      </c>
      <c r="D2663" t="s">
        <v>12523</v>
      </c>
      <c r="E2663" t="s">
        <v>6693</v>
      </c>
      <c r="F2663" t="s">
        <v>6694</v>
      </c>
      <c r="G2663" s="712">
        <v>0</v>
      </c>
      <c r="H2663">
        <v>0</v>
      </c>
      <c r="I2663" s="71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</row>
    <row r="2664" spans="1:16" ht="15.75" thickBot="1">
      <c r="A2664">
        <v>5</v>
      </c>
      <c r="B2664" t="s">
        <v>12507</v>
      </c>
      <c r="C2664" t="s">
        <v>12509</v>
      </c>
      <c r="D2664" t="s">
        <v>12523</v>
      </c>
      <c r="E2664" t="s">
        <v>6697</v>
      </c>
      <c r="F2664" t="s">
        <v>6698</v>
      </c>
      <c r="G2664" s="712">
        <v>0</v>
      </c>
      <c r="H2664">
        <v>0</v>
      </c>
      <c r="I2664" s="713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</row>
    <row r="2665" spans="1:16" ht="15.75" thickBot="1">
      <c r="A2665" s="727">
        <v>5</v>
      </c>
      <c r="B2665" s="727" t="s">
        <v>12507</v>
      </c>
      <c r="C2665" s="727" t="s">
        <v>12509</v>
      </c>
      <c r="D2665" s="727" t="s">
        <v>12525</v>
      </c>
      <c r="E2665" s="727"/>
      <c r="F2665" s="729" t="s">
        <v>12526</v>
      </c>
      <c r="G2665" s="738">
        <v>0</v>
      </c>
      <c r="H2665" s="738">
        <v>0</v>
      </c>
      <c r="I2665" s="738">
        <v>0</v>
      </c>
      <c r="J2665" s="738">
        <v>0</v>
      </c>
      <c r="K2665" s="738">
        <v>0</v>
      </c>
      <c r="L2665" s="738">
        <v>0</v>
      </c>
      <c r="M2665" s="738">
        <v>0</v>
      </c>
      <c r="N2665" s="738">
        <v>0</v>
      </c>
      <c r="O2665" s="738">
        <v>0</v>
      </c>
      <c r="P2665" s="738">
        <v>0</v>
      </c>
    </row>
    <row r="2666" spans="1:16">
      <c r="A2666">
        <v>5</v>
      </c>
      <c r="B2666" t="s">
        <v>12507</v>
      </c>
      <c r="C2666" t="s">
        <v>12509</v>
      </c>
      <c r="D2666" t="s">
        <v>12525</v>
      </c>
      <c r="E2666" t="s">
        <v>6704</v>
      </c>
      <c r="F2666" t="s">
        <v>6705</v>
      </c>
      <c r="G2666" s="712">
        <v>0</v>
      </c>
      <c r="H2666">
        <v>0</v>
      </c>
      <c r="I2666" s="713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</row>
    <row r="2667" spans="1:16">
      <c r="A2667">
        <v>5</v>
      </c>
      <c r="B2667" t="s">
        <v>12507</v>
      </c>
      <c r="C2667" t="s">
        <v>12509</v>
      </c>
      <c r="D2667" t="s">
        <v>12525</v>
      </c>
      <c r="E2667" t="s">
        <v>6709</v>
      </c>
      <c r="F2667" t="s">
        <v>6710</v>
      </c>
      <c r="G2667" s="712">
        <v>0</v>
      </c>
      <c r="H2667">
        <v>0</v>
      </c>
      <c r="I2667" s="713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</row>
    <row r="2668" spans="1:16">
      <c r="A2668">
        <v>5</v>
      </c>
      <c r="B2668" t="s">
        <v>12507</v>
      </c>
      <c r="C2668" t="s">
        <v>12509</v>
      </c>
      <c r="D2668" t="s">
        <v>12525</v>
      </c>
      <c r="E2668" t="s">
        <v>6714</v>
      </c>
      <c r="F2668" t="s">
        <v>6715</v>
      </c>
      <c r="G2668" s="712">
        <v>0</v>
      </c>
      <c r="H2668">
        <v>0</v>
      </c>
      <c r="I2668" s="713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</row>
    <row r="2669" spans="1:16">
      <c r="A2669">
        <v>5</v>
      </c>
      <c r="B2669" t="s">
        <v>12507</v>
      </c>
      <c r="C2669" t="s">
        <v>12509</v>
      </c>
      <c r="D2669" t="s">
        <v>12525</v>
      </c>
      <c r="E2669" t="s">
        <v>6719</v>
      </c>
      <c r="F2669" t="s">
        <v>6720</v>
      </c>
      <c r="G2669" s="712">
        <v>0</v>
      </c>
      <c r="H2669">
        <v>0</v>
      </c>
      <c r="I2669" s="713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</row>
    <row r="2670" spans="1:16" ht="15.75" thickBot="1">
      <c r="A2670">
        <v>5</v>
      </c>
      <c r="B2670" t="s">
        <v>12507</v>
      </c>
      <c r="C2670" t="s">
        <v>12509</v>
      </c>
      <c r="D2670" t="s">
        <v>12525</v>
      </c>
      <c r="E2670" t="s">
        <v>6724</v>
      </c>
      <c r="F2670" t="s">
        <v>6725</v>
      </c>
      <c r="G2670" s="712">
        <v>0</v>
      </c>
      <c r="H2670">
        <v>0</v>
      </c>
      <c r="I2670" s="713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</row>
    <row r="2671" spans="1:16" ht="15.75" thickBot="1">
      <c r="A2671" s="727">
        <v>5</v>
      </c>
      <c r="B2671" s="727" t="s">
        <v>12507</v>
      </c>
      <c r="C2671" s="727" t="s">
        <v>12509</v>
      </c>
      <c r="D2671" s="727" t="s">
        <v>12527</v>
      </c>
      <c r="E2671" s="727"/>
      <c r="F2671" s="729" t="s">
        <v>12528</v>
      </c>
      <c r="G2671" s="738">
        <v>0</v>
      </c>
      <c r="H2671" s="738">
        <v>0</v>
      </c>
      <c r="I2671" s="738">
        <v>0</v>
      </c>
      <c r="J2671" s="738">
        <v>0</v>
      </c>
      <c r="K2671" s="738">
        <v>0</v>
      </c>
      <c r="L2671" s="738">
        <v>0</v>
      </c>
      <c r="M2671" s="738">
        <v>0</v>
      </c>
      <c r="N2671" s="738">
        <v>0</v>
      </c>
      <c r="O2671" s="738">
        <v>0</v>
      </c>
      <c r="P2671" s="738">
        <v>0</v>
      </c>
    </row>
    <row r="2672" spans="1:16">
      <c r="A2672">
        <v>5</v>
      </c>
      <c r="B2672" t="s">
        <v>12507</v>
      </c>
      <c r="C2672" t="s">
        <v>12509</v>
      </c>
      <c r="D2672" t="s">
        <v>12527</v>
      </c>
      <c r="E2672" t="s">
        <v>6732</v>
      </c>
      <c r="F2672" t="s">
        <v>6733</v>
      </c>
      <c r="G2672" s="712">
        <v>0</v>
      </c>
      <c r="H2672">
        <v>0</v>
      </c>
      <c r="I2672" s="713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</row>
    <row r="2673" spans="1:16">
      <c r="A2673">
        <v>5</v>
      </c>
      <c r="B2673" t="s">
        <v>12507</v>
      </c>
      <c r="C2673" t="s">
        <v>12509</v>
      </c>
      <c r="D2673" t="s">
        <v>12527</v>
      </c>
      <c r="E2673" t="s">
        <v>6736</v>
      </c>
      <c r="F2673" t="s">
        <v>6737</v>
      </c>
      <c r="G2673" s="712">
        <v>0</v>
      </c>
      <c r="H2673">
        <v>0</v>
      </c>
      <c r="I2673" s="71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</row>
    <row r="2674" spans="1:16">
      <c r="A2674">
        <v>5</v>
      </c>
      <c r="B2674" t="s">
        <v>12507</v>
      </c>
      <c r="C2674" t="s">
        <v>12509</v>
      </c>
      <c r="D2674" t="s">
        <v>12527</v>
      </c>
      <c r="E2674" t="s">
        <v>6740</v>
      </c>
      <c r="F2674" t="s">
        <v>6741</v>
      </c>
      <c r="G2674" s="712">
        <v>0</v>
      </c>
      <c r="H2674">
        <v>0</v>
      </c>
      <c r="I2674" s="713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</row>
    <row r="2675" spans="1:16">
      <c r="A2675">
        <v>5</v>
      </c>
      <c r="B2675" t="s">
        <v>12507</v>
      </c>
      <c r="C2675" t="s">
        <v>12509</v>
      </c>
      <c r="D2675" t="s">
        <v>12527</v>
      </c>
      <c r="E2675" t="s">
        <v>6744</v>
      </c>
      <c r="F2675" t="s">
        <v>6745</v>
      </c>
      <c r="G2675" s="712">
        <v>0</v>
      </c>
      <c r="H2675">
        <v>0</v>
      </c>
      <c r="I2675" s="713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</row>
    <row r="2676" spans="1:16">
      <c r="A2676">
        <v>5</v>
      </c>
      <c r="B2676" t="s">
        <v>12507</v>
      </c>
      <c r="C2676" t="s">
        <v>12509</v>
      </c>
      <c r="D2676" t="s">
        <v>12527</v>
      </c>
      <c r="E2676" t="s">
        <v>6748</v>
      </c>
      <c r="F2676" t="s">
        <v>6749</v>
      </c>
      <c r="G2676" s="712">
        <v>0</v>
      </c>
      <c r="H2676">
        <v>0</v>
      </c>
      <c r="I2676" s="713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</row>
    <row r="2677" spans="1:16">
      <c r="A2677">
        <v>5</v>
      </c>
      <c r="B2677" t="s">
        <v>12507</v>
      </c>
      <c r="C2677" t="s">
        <v>12509</v>
      </c>
      <c r="D2677" t="s">
        <v>12527</v>
      </c>
      <c r="E2677" t="s">
        <v>6751</v>
      </c>
      <c r="F2677" t="s">
        <v>6752</v>
      </c>
      <c r="G2677" s="712">
        <v>0</v>
      </c>
      <c r="H2677">
        <v>0</v>
      </c>
      <c r="I2677" s="713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</row>
    <row r="2678" spans="1:16" ht="15.75" thickBot="1">
      <c r="A2678">
        <v>5</v>
      </c>
      <c r="B2678" t="s">
        <v>12507</v>
      </c>
      <c r="C2678" t="s">
        <v>12509</v>
      </c>
      <c r="D2678" t="s">
        <v>12527</v>
      </c>
      <c r="E2678" t="s">
        <v>6755</v>
      </c>
      <c r="F2678" t="s">
        <v>6756</v>
      </c>
      <c r="G2678" s="712">
        <v>0</v>
      </c>
      <c r="H2678">
        <v>0</v>
      </c>
      <c r="I2678" s="713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</row>
    <row r="2679" spans="1:16" ht="15.75" thickBot="1">
      <c r="A2679" s="727">
        <v>5</v>
      </c>
      <c r="B2679" s="727" t="s">
        <v>12507</v>
      </c>
      <c r="C2679" s="727" t="s">
        <v>12509</v>
      </c>
      <c r="D2679" s="727" t="s">
        <v>12529</v>
      </c>
      <c r="E2679" s="727"/>
      <c r="F2679" s="729" t="s">
        <v>12530</v>
      </c>
      <c r="G2679" s="738">
        <v>0</v>
      </c>
      <c r="H2679" s="738">
        <v>0</v>
      </c>
      <c r="I2679" s="738">
        <v>0</v>
      </c>
      <c r="J2679" s="738">
        <v>0</v>
      </c>
      <c r="K2679" s="738">
        <v>0</v>
      </c>
      <c r="L2679" s="738">
        <v>0</v>
      </c>
      <c r="M2679" s="738">
        <v>0</v>
      </c>
      <c r="N2679" s="738">
        <v>0</v>
      </c>
      <c r="O2679" s="738">
        <v>0</v>
      </c>
      <c r="P2679" s="738">
        <v>0</v>
      </c>
    </row>
    <row r="2680" spans="1:16">
      <c r="A2680">
        <v>5</v>
      </c>
      <c r="B2680" t="s">
        <v>12507</v>
      </c>
      <c r="C2680" t="s">
        <v>12509</v>
      </c>
      <c r="D2680" t="s">
        <v>12529</v>
      </c>
      <c r="E2680" t="s">
        <v>6762</v>
      </c>
      <c r="F2680" t="s">
        <v>6763</v>
      </c>
      <c r="G2680" s="712">
        <v>0</v>
      </c>
      <c r="H2680">
        <v>0</v>
      </c>
      <c r="I2680" s="713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</row>
    <row r="2681" spans="1:16">
      <c r="A2681">
        <v>5</v>
      </c>
      <c r="B2681" t="s">
        <v>12507</v>
      </c>
      <c r="C2681" t="s">
        <v>12509</v>
      </c>
      <c r="D2681" t="s">
        <v>12529</v>
      </c>
      <c r="E2681" t="s">
        <v>6766</v>
      </c>
      <c r="F2681" t="s">
        <v>6767</v>
      </c>
      <c r="G2681" s="712">
        <v>0</v>
      </c>
      <c r="H2681">
        <v>0</v>
      </c>
      <c r="I2681" s="713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</row>
    <row r="2682" spans="1:16">
      <c r="A2682">
        <v>5</v>
      </c>
      <c r="B2682" t="s">
        <v>12507</v>
      </c>
      <c r="C2682" t="s">
        <v>12509</v>
      </c>
      <c r="D2682" t="s">
        <v>12529</v>
      </c>
      <c r="E2682" t="s">
        <v>6770</v>
      </c>
      <c r="F2682" t="s">
        <v>6771</v>
      </c>
      <c r="G2682" s="712">
        <v>0</v>
      </c>
      <c r="H2682">
        <v>0</v>
      </c>
      <c r="I2682" s="713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</row>
    <row r="2683" spans="1:16">
      <c r="A2683">
        <v>5</v>
      </c>
      <c r="B2683" t="s">
        <v>12507</v>
      </c>
      <c r="C2683" t="s">
        <v>12509</v>
      </c>
      <c r="D2683" t="s">
        <v>12529</v>
      </c>
      <c r="E2683" t="s">
        <v>6774</v>
      </c>
      <c r="F2683" t="s">
        <v>6775</v>
      </c>
      <c r="G2683" s="712">
        <v>0</v>
      </c>
      <c r="H2683">
        <v>0</v>
      </c>
      <c r="I2683" s="71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</row>
    <row r="2684" spans="1:16" ht="15.75" thickBot="1">
      <c r="A2684">
        <v>5</v>
      </c>
      <c r="B2684" t="s">
        <v>12507</v>
      </c>
      <c r="C2684" t="s">
        <v>12509</v>
      </c>
      <c r="D2684" t="s">
        <v>12529</v>
      </c>
      <c r="E2684" t="s">
        <v>6778</v>
      </c>
      <c r="F2684" t="s">
        <v>6779</v>
      </c>
      <c r="G2684" s="712">
        <v>0</v>
      </c>
      <c r="H2684">
        <v>0</v>
      </c>
      <c r="I2684" s="713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</row>
    <row r="2685" spans="1:16" ht="15.75" thickBot="1">
      <c r="A2685" s="727">
        <v>5</v>
      </c>
      <c r="B2685" s="727" t="s">
        <v>12507</v>
      </c>
      <c r="C2685" s="727" t="s">
        <v>12509</v>
      </c>
      <c r="D2685" s="727" t="s">
        <v>12531</v>
      </c>
      <c r="E2685" s="727"/>
      <c r="F2685" s="729" t="s">
        <v>12532</v>
      </c>
      <c r="G2685" s="738">
        <v>0</v>
      </c>
      <c r="H2685" s="738">
        <v>0</v>
      </c>
      <c r="I2685" s="738">
        <v>0</v>
      </c>
      <c r="J2685" s="739">
        <v>2847146.73</v>
      </c>
      <c r="K2685" s="738">
        <v>0</v>
      </c>
      <c r="L2685" s="738">
        <v>0</v>
      </c>
      <c r="M2685" s="738">
        <v>0</v>
      </c>
      <c r="N2685" s="739">
        <v>2847146.73</v>
      </c>
      <c r="O2685" s="738">
        <v>0</v>
      </c>
      <c r="P2685" s="739">
        <v>2847146.73</v>
      </c>
    </row>
    <row r="2686" spans="1:16">
      <c r="A2686">
        <v>5</v>
      </c>
      <c r="B2686" t="s">
        <v>12507</v>
      </c>
      <c r="C2686" t="s">
        <v>12509</v>
      </c>
      <c r="D2686" t="s">
        <v>12531</v>
      </c>
      <c r="E2686" t="s">
        <v>6786</v>
      </c>
      <c r="F2686" t="s">
        <v>6787</v>
      </c>
      <c r="G2686" s="712">
        <v>0</v>
      </c>
      <c r="H2686">
        <v>0</v>
      </c>
      <c r="I2686" s="713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</row>
    <row r="2687" spans="1:16">
      <c r="A2687">
        <v>5</v>
      </c>
      <c r="B2687" t="s">
        <v>12507</v>
      </c>
      <c r="C2687" t="s">
        <v>12509</v>
      </c>
      <c r="D2687" t="s">
        <v>12531</v>
      </c>
      <c r="E2687" t="s">
        <v>6790</v>
      </c>
      <c r="F2687" t="s">
        <v>6791</v>
      </c>
      <c r="G2687" s="712">
        <v>0</v>
      </c>
      <c r="H2687">
        <v>0</v>
      </c>
      <c r="I2687" s="713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</row>
    <row r="2688" spans="1:16">
      <c r="A2688">
        <v>5</v>
      </c>
      <c r="B2688" t="s">
        <v>12507</v>
      </c>
      <c r="C2688" t="s">
        <v>12509</v>
      </c>
      <c r="D2688" t="s">
        <v>12531</v>
      </c>
      <c r="E2688" t="s">
        <v>6794</v>
      </c>
      <c r="F2688" t="s">
        <v>6795</v>
      </c>
      <c r="G2688" s="712">
        <v>0</v>
      </c>
      <c r="H2688">
        <v>0</v>
      </c>
      <c r="I2688" s="713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</row>
    <row r="2689" spans="1:16">
      <c r="A2689">
        <v>5</v>
      </c>
      <c r="B2689" t="s">
        <v>12507</v>
      </c>
      <c r="C2689" t="s">
        <v>12509</v>
      </c>
      <c r="D2689" t="s">
        <v>12531</v>
      </c>
      <c r="E2689" t="s">
        <v>6798</v>
      </c>
      <c r="F2689" t="s">
        <v>6799</v>
      </c>
      <c r="G2689" s="712">
        <v>0</v>
      </c>
      <c r="H2689">
        <v>0</v>
      </c>
      <c r="I2689" s="713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</row>
    <row r="2690" spans="1:16">
      <c r="A2690">
        <v>5</v>
      </c>
      <c r="B2690" t="s">
        <v>12507</v>
      </c>
      <c r="C2690" t="s">
        <v>12509</v>
      </c>
      <c r="D2690" t="s">
        <v>12531</v>
      </c>
      <c r="E2690" t="s">
        <v>6803</v>
      </c>
      <c r="F2690" t="s">
        <v>6804</v>
      </c>
      <c r="G2690" s="712">
        <v>0</v>
      </c>
      <c r="H2690">
        <v>0</v>
      </c>
      <c r="I2690" s="713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</row>
    <row r="2691" spans="1:16">
      <c r="A2691">
        <v>5</v>
      </c>
      <c r="B2691" t="s">
        <v>12507</v>
      </c>
      <c r="C2691" t="s">
        <v>12509</v>
      </c>
      <c r="D2691" t="s">
        <v>12531</v>
      </c>
      <c r="E2691" t="s">
        <v>6806</v>
      </c>
      <c r="F2691" t="s">
        <v>6807</v>
      </c>
      <c r="G2691" s="712">
        <v>0</v>
      </c>
      <c r="H2691">
        <v>0</v>
      </c>
      <c r="I2691" s="713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</row>
    <row r="2692" spans="1:16">
      <c r="A2692">
        <v>5</v>
      </c>
      <c r="B2692" t="s">
        <v>12507</v>
      </c>
      <c r="C2692" t="s">
        <v>12509</v>
      </c>
      <c r="D2692" t="s">
        <v>12531</v>
      </c>
      <c r="E2692" t="s">
        <v>6809</v>
      </c>
      <c r="F2692" t="s">
        <v>6810</v>
      </c>
      <c r="G2692" s="712">
        <v>0</v>
      </c>
      <c r="H2692">
        <v>0</v>
      </c>
      <c r="I2692" s="713">
        <v>0</v>
      </c>
      <c r="J2692" s="711">
        <v>2847146.73</v>
      </c>
      <c r="K2692">
        <v>0</v>
      </c>
      <c r="L2692">
        <v>0</v>
      </c>
      <c r="M2692">
        <v>0</v>
      </c>
      <c r="N2692" s="711">
        <v>2847146.73</v>
      </c>
      <c r="O2692">
        <v>0</v>
      </c>
      <c r="P2692" s="711">
        <v>2847146.73</v>
      </c>
    </row>
    <row r="2693" spans="1:16" ht="15.75" thickBot="1">
      <c r="A2693">
        <v>5</v>
      </c>
      <c r="B2693" t="s">
        <v>12507</v>
      </c>
      <c r="C2693" t="s">
        <v>12509</v>
      </c>
      <c r="D2693" t="s">
        <v>12531</v>
      </c>
      <c r="E2693" t="s">
        <v>6812</v>
      </c>
      <c r="F2693" t="s">
        <v>6813</v>
      </c>
      <c r="G2693" s="712">
        <v>0</v>
      </c>
      <c r="H2693">
        <v>0</v>
      </c>
      <c r="I2693" s="71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</row>
    <row r="2694" spans="1:16" ht="15.75" thickBot="1">
      <c r="A2694" s="727">
        <v>5</v>
      </c>
      <c r="B2694" s="727" t="s">
        <v>12507</v>
      </c>
      <c r="C2694" s="727" t="s">
        <v>12509</v>
      </c>
      <c r="D2694" s="727" t="s">
        <v>12533</v>
      </c>
      <c r="E2694" s="727"/>
      <c r="F2694" s="729" t="s">
        <v>12534</v>
      </c>
      <c r="G2694" s="738">
        <v>0</v>
      </c>
      <c r="H2694" s="738">
        <v>0</v>
      </c>
      <c r="I2694" s="738">
        <v>0</v>
      </c>
      <c r="J2694" s="739">
        <v>296809.96999999997</v>
      </c>
      <c r="K2694" s="738">
        <v>0</v>
      </c>
      <c r="L2694" s="738">
        <v>0</v>
      </c>
      <c r="M2694" s="738">
        <v>0</v>
      </c>
      <c r="N2694" s="739">
        <v>296809.96999999997</v>
      </c>
      <c r="O2694" s="738">
        <v>0</v>
      </c>
      <c r="P2694" s="739">
        <v>296809.96999999997</v>
      </c>
    </row>
    <row r="2695" spans="1:16">
      <c r="A2695">
        <v>5</v>
      </c>
      <c r="B2695" t="s">
        <v>12507</v>
      </c>
      <c r="C2695" t="s">
        <v>12509</v>
      </c>
      <c r="D2695" t="s">
        <v>12533</v>
      </c>
      <c r="E2695" t="s">
        <v>6818</v>
      </c>
      <c r="F2695" t="s">
        <v>6819</v>
      </c>
      <c r="G2695" s="712">
        <v>0</v>
      </c>
      <c r="H2695">
        <v>0</v>
      </c>
      <c r="I2695" s="713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</row>
    <row r="2696" spans="1:16">
      <c r="A2696">
        <v>5</v>
      </c>
      <c r="B2696" t="s">
        <v>12507</v>
      </c>
      <c r="C2696" t="s">
        <v>12509</v>
      </c>
      <c r="D2696" t="s">
        <v>12533</v>
      </c>
      <c r="E2696" t="s">
        <v>6822</v>
      </c>
      <c r="F2696" t="s">
        <v>6823</v>
      </c>
      <c r="G2696" s="712">
        <v>0</v>
      </c>
      <c r="H2696">
        <v>0</v>
      </c>
      <c r="I2696" s="713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</row>
    <row r="2697" spans="1:16">
      <c r="A2697">
        <v>5</v>
      </c>
      <c r="B2697" t="s">
        <v>12507</v>
      </c>
      <c r="C2697" t="s">
        <v>12509</v>
      </c>
      <c r="D2697" t="s">
        <v>12533</v>
      </c>
      <c r="E2697" t="s">
        <v>6831</v>
      </c>
      <c r="F2697" t="s">
        <v>6832</v>
      </c>
      <c r="G2697" s="712">
        <v>0</v>
      </c>
      <c r="H2697">
        <v>0</v>
      </c>
      <c r="I2697" s="713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</row>
    <row r="2698" spans="1:16">
      <c r="A2698">
        <v>5</v>
      </c>
      <c r="B2698" t="s">
        <v>12507</v>
      </c>
      <c r="C2698" t="s">
        <v>12509</v>
      </c>
      <c r="D2698" t="s">
        <v>12533</v>
      </c>
      <c r="E2698" t="s">
        <v>6835</v>
      </c>
      <c r="F2698" t="s">
        <v>6836</v>
      </c>
      <c r="G2698" s="712">
        <v>0</v>
      </c>
      <c r="H2698">
        <v>0</v>
      </c>
      <c r="I2698" s="713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</row>
    <row r="2699" spans="1:16">
      <c r="A2699">
        <v>5</v>
      </c>
      <c r="B2699" t="s">
        <v>12507</v>
      </c>
      <c r="C2699" t="s">
        <v>12509</v>
      </c>
      <c r="D2699" t="s">
        <v>12533</v>
      </c>
      <c r="E2699" t="s">
        <v>6839</v>
      </c>
      <c r="F2699" t="s">
        <v>6840</v>
      </c>
      <c r="G2699" s="712">
        <v>0</v>
      </c>
      <c r="H2699">
        <v>0</v>
      </c>
      <c r="I2699" s="713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</row>
    <row r="2700" spans="1:16">
      <c r="A2700">
        <v>5</v>
      </c>
      <c r="B2700" t="s">
        <v>12507</v>
      </c>
      <c r="C2700" t="s">
        <v>12509</v>
      </c>
      <c r="D2700" t="s">
        <v>12533</v>
      </c>
      <c r="E2700" t="s">
        <v>6843</v>
      </c>
      <c r="F2700" t="s">
        <v>6844</v>
      </c>
      <c r="G2700" s="712">
        <v>0</v>
      </c>
      <c r="H2700">
        <v>0</v>
      </c>
      <c r="I2700" s="713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</row>
    <row r="2701" spans="1:16">
      <c r="A2701">
        <v>5</v>
      </c>
      <c r="B2701" t="s">
        <v>12507</v>
      </c>
      <c r="C2701" t="s">
        <v>12509</v>
      </c>
      <c r="D2701" t="s">
        <v>12533</v>
      </c>
      <c r="E2701" t="s">
        <v>6845</v>
      </c>
      <c r="F2701" t="s">
        <v>6846</v>
      </c>
      <c r="G2701" s="712">
        <v>0</v>
      </c>
      <c r="H2701">
        <v>0</v>
      </c>
      <c r="I2701" s="713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</row>
    <row r="2702" spans="1:16">
      <c r="A2702">
        <v>5</v>
      </c>
      <c r="B2702" t="s">
        <v>12507</v>
      </c>
      <c r="C2702" t="s">
        <v>12509</v>
      </c>
      <c r="D2702" t="s">
        <v>12533</v>
      </c>
      <c r="E2702" t="s">
        <v>6849</v>
      </c>
      <c r="F2702" t="s">
        <v>6850</v>
      </c>
      <c r="G2702" s="712">
        <v>0</v>
      </c>
      <c r="H2702">
        <v>0</v>
      </c>
      <c r="I2702" s="713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</row>
    <row r="2703" spans="1:16">
      <c r="A2703">
        <v>5</v>
      </c>
      <c r="B2703" t="s">
        <v>12507</v>
      </c>
      <c r="C2703" t="s">
        <v>12509</v>
      </c>
      <c r="D2703" t="s">
        <v>12533</v>
      </c>
      <c r="E2703" t="s">
        <v>6852</v>
      </c>
      <c r="F2703" t="s">
        <v>6853</v>
      </c>
      <c r="G2703" s="712">
        <v>0</v>
      </c>
      <c r="H2703">
        <v>0</v>
      </c>
      <c r="I2703" s="71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</row>
    <row r="2704" spans="1:16">
      <c r="A2704">
        <v>5</v>
      </c>
      <c r="B2704" t="s">
        <v>12507</v>
      </c>
      <c r="C2704" t="s">
        <v>12509</v>
      </c>
      <c r="D2704" t="s">
        <v>12533</v>
      </c>
      <c r="E2704" t="s">
        <v>6855</v>
      </c>
      <c r="F2704" t="s">
        <v>6856</v>
      </c>
      <c r="G2704" s="712">
        <v>0</v>
      </c>
      <c r="H2704">
        <v>0</v>
      </c>
      <c r="I2704" s="713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</row>
    <row r="2705" spans="1:16">
      <c r="A2705">
        <v>5</v>
      </c>
      <c r="B2705" t="s">
        <v>12507</v>
      </c>
      <c r="C2705" t="s">
        <v>12509</v>
      </c>
      <c r="D2705" t="s">
        <v>12533</v>
      </c>
      <c r="E2705" t="s">
        <v>6858</v>
      </c>
      <c r="F2705" t="s">
        <v>6859</v>
      </c>
      <c r="G2705" s="712">
        <v>0</v>
      </c>
      <c r="H2705">
        <v>0</v>
      </c>
      <c r="I2705" s="713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</row>
    <row r="2706" spans="1:16">
      <c r="A2706">
        <v>5</v>
      </c>
      <c r="B2706" t="s">
        <v>12507</v>
      </c>
      <c r="C2706" t="s">
        <v>12509</v>
      </c>
      <c r="D2706" t="s">
        <v>12533</v>
      </c>
      <c r="E2706" t="s">
        <v>6860</v>
      </c>
      <c r="F2706" t="s">
        <v>6861</v>
      </c>
      <c r="G2706" s="712">
        <v>0</v>
      </c>
      <c r="H2706">
        <v>0</v>
      </c>
      <c r="I2706" s="713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</row>
    <row r="2707" spans="1:16">
      <c r="A2707">
        <v>5</v>
      </c>
      <c r="B2707" t="s">
        <v>12507</v>
      </c>
      <c r="C2707" t="s">
        <v>12509</v>
      </c>
      <c r="D2707" t="s">
        <v>12533</v>
      </c>
      <c r="E2707" t="s">
        <v>6864</v>
      </c>
      <c r="F2707" t="s">
        <v>6865</v>
      </c>
      <c r="G2707" s="712">
        <v>0</v>
      </c>
      <c r="H2707">
        <v>0</v>
      </c>
      <c r="I2707" s="713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</row>
    <row r="2708" spans="1:16">
      <c r="A2708">
        <v>5</v>
      </c>
      <c r="B2708" t="s">
        <v>12507</v>
      </c>
      <c r="C2708" t="s">
        <v>12509</v>
      </c>
      <c r="D2708" t="s">
        <v>12533</v>
      </c>
      <c r="E2708" t="s">
        <v>6867</v>
      </c>
      <c r="F2708" t="s">
        <v>6868</v>
      </c>
      <c r="G2708" s="712">
        <v>0</v>
      </c>
      <c r="H2708">
        <v>0</v>
      </c>
      <c r="I2708" s="713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</row>
    <row r="2709" spans="1:16">
      <c r="A2709">
        <v>5</v>
      </c>
      <c r="B2709" t="s">
        <v>12507</v>
      </c>
      <c r="C2709" t="s">
        <v>12509</v>
      </c>
      <c r="D2709" t="s">
        <v>12533</v>
      </c>
      <c r="E2709" t="s">
        <v>6870</v>
      </c>
      <c r="F2709" t="s">
        <v>6871</v>
      </c>
      <c r="G2709" s="712">
        <v>0</v>
      </c>
      <c r="H2709">
        <v>0</v>
      </c>
      <c r="I2709" s="713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</row>
    <row r="2710" spans="1:16">
      <c r="A2710">
        <v>5</v>
      </c>
      <c r="B2710" t="s">
        <v>12507</v>
      </c>
      <c r="C2710" t="s">
        <v>12509</v>
      </c>
      <c r="D2710" t="s">
        <v>12533</v>
      </c>
      <c r="E2710" t="s">
        <v>6874</v>
      </c>
      <c r="F2710" t="s">
        <v>6875</v>
      </c>
      <c r="G2710" s="712">
        <v>0</v>
      </c>
      <c r="H2710">
        <v>0</v>
      </c>
      <c r="I2710" s="713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</row>
    <row r="2711" spans="1:16">
      <c r="A2711">
        <v>5</v>
      </c>
      <c r="B2711" t="s">
        <v>12507</v>
      </c>
      <c r="C2711" t="s">
        <v>12509</v>
      </c>
      <c r="D2711" t="s">
        <v>12533</v>
      </c>
      <c r="E2711" t="s">
        <v>6878</v>
      </c>
      <c r="F2711" t="s">
        <v>6879</v>
      </c>
      <c r="G2711" s="712">
        <v>0</v>
      </c>
      <c r="H2711">
        <v>0</v>
      </c>
      <c r="I2711" s="713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</row>
    <row r="2712" spans="1:16">
      <c r="A2712">
        <v>5</v>
      </c>
      <c r="B2712" t="s">
        <v>12507</v>
      </c>
      <c r="C2712" t="s">
        <v>12509</v>
      </c>
      <c r="D2712" t="s">
        <v>12533</v>
      </c>
      <c r="E2712" t="s">
        <v>6880</v>
      </c>
      <c r="F2712" t="s">
        <v>6881</v>
      </c>
      <c r="G2712" s="712">
        <v>0</v>
      </c>
      <c r="H2712">
        <v>0</v>
      </c>
      <c r="I2712" s="713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</row>
    <row r="2713" spans="1:16">
      <c r="A2713">
        <v>5</v>
      </c>
      <c r="B2713" t="s">
        <v>12507</v>
      </c>
      <c r="C2713" t="s">
        <v>12509</v>
      </c>
      <c r="D2713" t="s">
        <v>12533</v>
      </c>
      <c r="E2713" t="s">
        <v>6883</v>
      </c>
      <c r="F2713" t="s">
        <v>6884</v>
      </c>
      <c r="G2713" s="712">
        <v>0</v>
      </c>
      <c r="H2713">
        <v>0</v>
      </c>
      <c r="I2713" s="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</row>
    <row r="2714" spans="1:16">
      <c r="A2714">
        <v>5</v>
      </c>
      <c r="B2714" t="s">
        <v>12507</v>
      </c>
      <c r="C2714" t="s">
        <v>12509</v>
      </c>
      <c r="D2714" t="s">
        <v>12533</v>
      </c>
      <c r="E2714" t="s">
        <v>6886</v>
      </c>
      <c r="F2714" t="s">
        <v>6887</v>
      </c>
      <c r="G2714" s="712">
        <v>0</v>
      </c>
      <c r="H2714">
        <v>0</v>
      </c>
      <c r="I2714" s="713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</row>
    <row r="2715" spans="1:16">
      <c r="A2715">
        <v>5</v>
      </c>
      <c r="B2715" t="s">
        <v>12507</v>
      </c>
      <c r="C2715" t="s">
        <v>12509</v>
      </c>
      <c r="D2715" t="s">
        <v>12533</v>
      </c>
      <c r="E2715" t="s">
        <v>6889</v>
      </c>
      <c r="F2715" t="s">
        <v>6890</v>
      </c>
      <c r="G2715" s="712">
        <v>0</v>
      </c>
      <c r="H2715">
        <v>0</v>
      </c>
      <c r="I2715" s="713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</row>
    <row r="2716" spans="1:16">
      <c r="A2716">
        <v>5</v>
      </c>
      <c r="B2716" t="s">
        <v>12507</v>
      </c>
      <c r="C2716" t="s">
        <v>12509</v>
      </c>
      <c r="D2716" t="s">
        <v>12533</v>
      </c>
      <c r="E2716" t="s">
        <v>6894</v>
      </c>
      <c r="F2716" t="s">
        <v>6895</v>
      </c>
      <c r="G2716" s="712">
        <v>0</v>
      </c>
      <c r="H2716">
        <v>0</v>
      </c>
      <c r="I2716" s="713">
        <v>0</v>
      </c>
      <c r="J2716" s="711">
        <v>293272.32000000001</v>
      </c>
      <c r="K2716">
        <v>0</v>
      </c>
      <c r="L2716">
        <v>0</v>
      </c>
      <c r="M2716">
        <v>0</v>
      </c>
      <c r="N2716" s="711">
        <v>293272.32000000001</v>
      </c>
      <c r="O2716">
        <v>0</v>
      </c>
      <c r="P2716" s="711">
        <v>293272.32000000001</v>
      </c>
    </row>
    <row r="2717" spans="1:16">
      <c r="A2717">
        <v>5</v>
      </c>
      <c r="B2717" t="s">
        <v>12507</v>
      </c>
      <c r="C2717" t="s">
        <v>12509</v>
      </c>
      <c r="D2717" t="s">
        <v>12533</v>
      </c>
      <c r="E2717" t="s">
        <v>6900</v>
      </c>
      <c r="F2717" t="s">
        <v>6901</v>
      </c>
      <c r="G2717" s="712">
        <v>0</v>
      </c>
      <c r="H2717">
        <v>0</v>
      </c>
      <c r="I2717" s="713">
        <v>0</v>
      </c>
      <c r="J2717" s="711">
        <v>3537.65</v>
      </c>
      <c r="K2717">
        <v>0</v>
      </c>
      <c r="L2717">
        <v>0</v>
      </c>
      <c r="M2717">
        <v>0</v>
      </c>
      <c r="N2717" s="711">
        <v>3537.65</v>
      </c>
      <c r="O2717">
        <v>0</v>
      </c>
      <c r="P2717" s="711">
        <v>3537.65</v>
      </c>
    </row>
    <row r="2718" spans="1:16">
      <c r="A2718">
        <v>5</v>
      </c>
      <c r="B2718" t="s">
        <v>12507</v>
      </c>
      <c r="C2718" t="s">
        <v>12509</v>
      </c>
      <c r="D2718" t="s">
        <v>12533</v>
      </c>
      <c r="E2718" t="s">
        <v>6902</v>
      </c>
      <c r="F2718" t="s">
        <v>6903</v>
      </c>
      <c r="G2718" s="712">
        <v>0</v>
      </c>
      <c r="H2718">
        <v>0</v>
      </c>
      <c r="I2718" s="713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</row>
    <row r="2719" spans="1:16">
      <c r="A2719">
        <v>5</v>
      </c>
      <c r="B2719" t="s">
        <v>12507</v>
      </c>
      <c r="C2719" t="s">
        <v>12509</v>
      </c>
      <c r="D2719" t="s">
        <v>12533</v>
      </c>
      <c r="E2719" t="s">
        <v>6827</v>
      </c>
      <c r="F2719" t="s">
        <v>6828</v>
      </c>
      <c r="G2719" s="712">
        <v>0</v>
      </c>
      <c r="H2719">
        <v>0</v>
      </c>
      <c r="I2719" s="713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</row>
    <row r="2720" spans="1:16">
      <c r="A2720">
        <v>5</v>
      </c>
      <c r="B2720" t="s">
        <v>12507</v>
      </c>
      <c r="C2720" t="s">
        <v>12509</v>
      </c>
      <c r="D2720" t="s">
        <v>12533</v>
      </c>
      <c r="E2720" t="s">
        <v>6847</v>
      </c>
      <c r="F2720" t="s">
        <v>6848</v>
      </c>
      <c r="G2720" s="712">
        <v>0</v>
      </c>
      <c r="H2720">
        <v>0</v>
      </c>
      <c r="I2720" s="713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</row>
    <row r="2721" spans="1:16">
      <c r="A2721">
        <v>5</v>
      </c>
      <c r="B2721" t="s">
        <v>12507</v>
      </c>
      <c r="C2721" t="s">
        <v>12509</v>
      </c>
      <c r="D2721" t="s">
        <v>12533</v>
      </c>
      <c r="E2721" t="s">
        <v>6862</v>
      </c>
      <c r="F2721" t="s">
        <v>6863</v>
      </c>
      <c r="G2721" s="712">
        <v>0</v>
      </c>
      <c r="H2721">
        <v>0</v>
      </c>
      <c r="I2721" s="713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</row>
    <row r="2722" spans="1:16">
      <c r="A2722">
        <v>5</v>
      </c>
      <c r="B2722" t="s">
        <v>12507</v>
      </c>
      <c r="C2722" t="s">
        <v>12509</v>
      </c>
      <c r="D2722" t="s">
        <v>12533</v>
      </c>
      <c r="E2722" t="s">
        <v>6898</v>
      </c>
      <c r="F2722" t="s">
        <v>6899</v>
      </c>
      <c r="G2722" s="712">
        <v>0</v>
      </c>
      <c r="H2722">
        <v>0</v>
      </c>
      <c r="I2722" s="713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</row>
    <row r="2723" spans="1:16" ht="15.75" thickBot="1">
      <c r="A2723">
        <v>5</v>
      </c>
      <c r="B2723" t="s">
        <v>12507</v>
      </c>
      <c r="C2723" t="s">
        <v>12509</v>
      </c>
      <c r="D2723" t="s">
        <v>12533</v>
      </c>
      <c r="E2723" t="s">
        <v>6904</v>
      </c>
      <c r="F2723" t="s">
        <v>6905</v>
      </c>
      <c r="G2723" s="712">
        <v>0</v>
      </c>
      <c r="H2723">
        <v>0</v>
      </c>
      <c r="I2723" s="71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</row>
    <row r="2724" spans="1:16" ht="15.75" thickBot="1">
      <c r="A2724" s="727">
        <v>5</v>
      </c>
      <c r="B2724" s="727" t="s">
        <v>12507</v>
      </c>
      <c r="C2724" s="727" t="s">
        <v>12509</v>
      </c>
      <c r="D2724" s="727" t="s">
        <v>12535</v>
      </c>
      <c r="E2724" s="727"/>
      <c r="F2724" s="729" t="s">
        <v>12536</v>
      </c>
      <c r="G2724" s="738">
        <v>0</v>
      </c>
      <c r="H2724" s="738">
        <v>0</v>
      </c>
      <c r="I2724" s="738">
        <v>0</v>
      </c>
      <c r="J2724" s="739">
        <v>3019139.19</v>
      </c>
      <c r="K2724" s="738">
        <v>0</v>
      </c>
      <c r="L2724" s="738">
        <v>0</v>
      </c>
      <c r="M2724" s="738">
        <v>0</v>
      </c>
      <c r="N2724" s="739">
        <v>3019139.19</v>
      </c>
      <c r="O2724" s="738">
        <v>0</v>
      </c>
      <c r="P2724" s="739">
        <v>3019139.19</v>
      </c>
    </row>
    <row r="2725" spans="1:16">
      <c r="A2725">
        <v>5</v>
      </c>
      <c r="B2725" t="s">
        <v>12507</v>
      </c>
      <c r="C2725" t="s">
        <v>12509</v>
      </c>
      <c r="D2725" t="s">
        <v>12535</v>
      </c>
      <c r="E2725" t="s">
        <v>6911</v>
      </c>
      <c r="F2725" t="s">
        <v>6912</v>
      </c>
      <c r="G2725" s="712">
        <v>0</v>
      </c>
      <c r="H2725">
        <v>0</v>
      </c>
      <c r="I2725" s="713">
        <v>0</v>
      </c>
      <c r="J2725" s="711">
        <v>101820.5</v>
      </c>
      <c r="K2725">
        <v>0</v>
      </c>
      <c r="L2725">
        <v>0</v>
      </c>
      <c r="M2725">
        <v>0</v>
      </c>
      <c r="N2725" s="711">
        <v>101820.5</v>
      </c>
      <c r="O2725">
        <v>0</v>
      </c>
      <c r="P2725" s="711">
        <v>101820.5</v>
      </c>
    </row>
    <row r="2726" spans="1:16">
      <c r="A2726">
        <v>5</v>
      </c>
      <c r="B2726" t="s">
        <v>12507</v>
      </c>
      <c r="C2726" t="s">
        <v>12509</v>
      </c>
      <c r="D2726" t="s">
        <v>12535</v>
      </c>
      <c r="E2726" t="s">
        <v>6916</v>
      </c>
      <c r="F2726" t="s">
        <v>6917</v>
      </c>
      <c r="G2726" s="712">
        <v>0</v>
      </c>
      <c r="H2726">
        <v>0</v>
      </c>
      <c r="I2726" s="713">
        <v>0</v>
      </c>
      <c r="J2726" s="711">
        <v>127179.5</v>
      </c>
      <c r="K2726">
        <v>0</v>
      </c>
      <c r="L2726">
        <v>0</v>
      </c>
      <c r="M2726">
        <v>0</v>
      </c>
      <c r="N2726" s="711">
        <v>127179.5</v>
      </c>
      <c r="O2726">
        <v>0</v>
      </c>
      <c r="P2726" s="711">
        <v>127179.5</v>
      </c>
    </row>
    <row r="2727" spans="1:16">
      <c r="A2727">
        <v>5</v>
      </c>
      <c r="B2727" t="s">
        <v>12507</v>
      </c>
      <c r="C2727" t="s">
        <v>12509</v>
      </c>
      <c r="D2727" t="s">
        <v>12535</v>
      </c>
      <c r="E2727" t="s">
        <v>6918</v>
      </c>
      <c r="F2727" t="s">
        <v>6919</v>
      </c>
      <c r="G2727" s="712">
        <v>0</v>
      </c>
      <c r="H2727">
        <v>0</v>
      </c>
      <c r="I2727" s="713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</row>
    <row r="2728" spans="1:16">
      <c r="A2728">
        <v>5</v>
      </c>
      <c r="B2728" t="s">
        <v>12507</v>
      </c>
      <c r="C2728" t="s">
        <v>12509</v>
      </c>
      <c r="D2728" t="s">
        <v>12535</v>
      </c>
      <c r="E2728" t="s">
        <v>6920</v>
      </c>
      <c r="F2728" t="s">
        <v>6921</v>
      </c>
      <c r="G2728" s="712">
        <v>0</v>
      </c>
      <c r="H2728">
        <v>0</v>
      </c>
      <c r="I2728" s="713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</row>
    <row r="2729" spans="1:16">
      <c r="A2729">
        <v>5</v>
      </c>
      <c r="B2729" t="s">
        <v>12507</v>
      </c>
      <c r="C2729" t="s">
        <v>12509</v>
      </c>
      <c r="D2729" t="s">
        <v>12535</v>
      </c>
      <c r="E2729" t="s">
        <v>6923</v>
      </c>
      <c r="F2729" t="s">
        <v>6924</v>
      </c>
      <c r="G2729" s="712">
        <v>0</v>
      </c>
      <c r="H2729">
        <v>0</v>
      </c>
      <c r="I2729" s="713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</row>
    <row r="2730" spans="1:16">
      <c r="A2730">
        <v>5</v>
      </c>
      <c r="B2730" t="s">
        <v>12507</v>
      </c>
      <c r="C2730" t="s">
        <v>12509</v>
      </c>
      <c r="D2730" t="s">
        <v>12535</v>
      </c>
      <c r="E2730" t="s">
        <v>6925</v>
      </c>
      <c r="F2730" t="s">
        <v>6926</v>
      </c>
      <c r="G2730" s="712">
        <v>0</v>
      </c>
      <c r="H2730">
        <v>0</v>
      </c>
      <c r="I2730" s="713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</row>
    <row r="2731" spans="1:16">
      <c r="A2731">
        <v>5</v>
      </c>
      <c r="B2731" t="s">
        <v>12507</v>
      </c>
      <c r="C2731" t="s">
        <v>12509</v>
      </c>
      <c r="D2731" t="s">
        <v>12535</v>
      </c>
      <c r="E2731" t="s">
        <v>6927</v>
      </c>
      <c r="F2731" t="s">
        <v>6928</v>
      </c>
      <c r="G2731" s="712">
        <v>0</v>
      </c>
      <c r="H2731">
        <v>0</v>
      </c>
      <c r="I2731" s="713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</row>
    <row r="2732" spans="1:16">
      <c r="A2732">
        <v>5</v>
      </c>
      <c r="B2732" t="s">
        <v>12507</v>
      </c>
      <c r="C2732" t="s">
        <v>12509</v>
      </c>
      <c r="D2732" t="s">
        <v>12535</v>
      </c>
      <c r="E2732" t="s">
        <v>6929</v>
      </c>
      <c r="F2732" t="s">
        <v>6930</v>
      </c>
      <c r="G2732" s="712">
        <v>0</v>
      </c>
      <c r="H2732">
        <v>0</v>
      </c>
      <c r="I2732" s="713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</row>
    <row r="2733" spans="1:16">
      <c r="A2733">
        <v>5</v>
      </c>
      <c r="B2733" t="s">
        <v>12507</v>
      </c>
      <c r="C2733" t="s">
        <v>12509</v>
      </c>
      <c r="D2733" t="s">
        <v>12535</v>
      </c>
      <c r="E2733" t="s">
        <v>6931</v>
      </c>
      <c r="F2733" t="s">
        <v>6932</v>
      </c>
      <c r="G2733" s="712">
        <v>0</v>
      </c>
      <c r="H2733">
        <v>0</v>
      </c>
      <c r="I2733" s="71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</row>
    <row r="2734" spans="1:16">
      <c r="A2734">
        <v>5</v>
      </c>
      <c r="B2734" t="s">
        <v>12507</v>
      </c>
      <c r="C2734" t="s">
        <v>12509</v>
      </c>
      <c r="D2734" t="s">
        <v>12535</v>
      </c>
      <c r="E2734" t="s">
        <v>6933</v>
      </c>
      <c r="F2734" t="s">
        <v>6934</v>
      </c>
      <c r="G2734" s="712">
        <v>0</v>
      </c>
      <c r="H2734">
        <v>0</v>
      </c>
      <c r="I2734" s="713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</row>
    <row r="2735" spans="1:16">
      <c r="A2735">
        <v>5</v>
      </c>
      <c r="B2735" t="s">
        <v>12507</v>
      </c>
      <c r="C2735" t="s">
        <v>12509</v>
      </c>
      <c r="D2735" t="s">
        <v>12535</v>
      </c>
      <c r="E2735" t="s">
        <v>6935</v>
      </c>
      <c r="F2735" t="s">
        <v>6936</v>
      </c>
      <c r="G2735" s="712">
        <v>0</v>
      </c>
      <c r="H2735">
        <v>0</v>
      </c>
      <c r="I2735" s="713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</row>
    <row r="2736" spans="1:16">
      <c r="A2736">
        <v>5</v>
      </c>
      <c r="B2736" t="s">
        <v>12507</v>
      </c>
      <c r="C2736" t="s">
        <v>12509</v>
      </c>
      <c r="D2736" t="s">
        <v>12535</v>
      </c>
      <c r="E2736" t="s">
        <v>6937</v>
      </c>
      <c r="F2736" t="s">
        <v>6938</v>
      </c>
      <c r="G2736" s="712">
        <v>0</v>
      </c>
      <c r="H2736">
        <v>0</v>
      </c>
      <c r="I2736" s="713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</row>
    <row r="2737" spans="1:16">
      <c r="A2737">
        <v>5</v>
      </c>
      <c r="B2737" t="s">
        <v>12507</v>
      </c>
      <c r="C2737" t="s">
        <v>12509</v>
      </c>
      <c r="D2737" t="s">
        <v>12535</v>
      </c>
      <c r="E2737" t="s">
        <v>6939</v>
      </c>
      <c r="F2737" t="s">
        <v>6940</v>
      </c>
      <c r="G2737" s="712">
        <v>0</v>
      </c>
      <c r="H2737">
        <v>0</v>
      </c>
      <c r="I2737" s="713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</row>
    <row r="2738" spans="1:16">
      <c r="A2738">
        <v>5</v>
      </c>
      <c r="B2738" t="s">
        <v>12507</v>
      </c>
      <c r="C2738" t="s">
        <v>12509</v>
      </c>
      <c r="D2738" t="s">
        <v>12535</v>
      </c>
      <c r="E2738" t="s">
        <v>6941</v>
      </c>
      <c r="F2738" t="s">
        <v>6942</v>
      </c>
      <c r="G2738" s="712">
        <v>0</v>
      </c>
      <c r="H2738">
        <v>0</v>
      </c>
      <c r="I2738" s="713">
        <v>0</v>
      </c>
      <c r="J2738" s="711">
        <v>14078</v>
      </c>
      <c r="K2738">
        <v>0</v>
      </c>
      <c r="L2738">
        <v>0</v>
      </c>
      <c r="M2738">
        <v>0</v>
      </c>
      <c r="N2738" s="711">
        <v>14078</v>
      </c>
      <c r="O2738">
        <v>0</v>
      </c>
      <c r="P2738" s="711">
        <v>14078</v>
      </c>
    </row>
    <row r="2739" spans="1:16">
      <c r="A2739">
        <v>5</v>
      </c>
      <c r="B2739" t="s">
        <v>12507</v>
      </c>
      <c r="C2739" t="s">
        <v>12509</v>
      </c>
      <c r="D2739" t="s">
        <v>12535</v>
      </c>
      <c r="E2739" t="s">
        <v>6944</v>
      </c>
      <c r="F2739" t="s">
        <v>6945</v>
      </c>
      <c r="G2739" s="712">
        <v>0</v>
      </c>
      <c r="H2739">
        <v>0</v>
      </c>
      <c r="I2739" s="713">
        <v>0</v>
      </c>
      <c r="J2739" s="711">
        <v>10662</v>
      </c>
      <c r="K2739">
        <v>0</v>
      </c>
      <c r="L2739">
        <v>0</v>
      </c>
      <c r="M2739">
        <v>0</v>
      </c>
      <c r="N2739" s="711">
        <v>10662</v>
      </c>
      <c r="O2739">
        <v>0</v>
      </c>
      <c r="P2739" s="711">
        <v>10662</v>
      </c>
    </row>
    <row r="2740" spans="1:16">
      <c r="A2740">
        <v>5</v>
      </c>
      <c r="B2740" t="s">
        <v>12507</v>
      </c>
      <c r="C2740" t="s">
        <v>12509</v>
      </c>
      <c r="D2740" t="s">
        <v>12535</v>
      </c>
      <c r="E2740" t="s">
        <v>6946</v>
      </c>
      <c r="F2740" t="s">
        <v>6947</v>
      </c>
      <c r="G2740" s="712">
        <v>0</v>
      </c>
      <c r="H2740">
        <v>0</v>
      </c>
      <c r="I2740" s="713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</row>
    <row r="2741" spans="1:16">
      <c r="A2741">
        <v>5</v>
      </c>
      <c r="B2741" t="s">
        <v>12507</v>
      </c>
      <c r="C2741" t="s">
        <v>12509</v>
      </c>
      <c r="D2741" t="s">
        <v>12535</v>
      </c>
      <c r="E2741" t="s">
        <v>6949</v>
      </c>
      <c r="F2741" t="s">
        <v>6950</v>
      </c>
      <c r="G2741" s="712">
        <v>0</v>
      </c>
      <c r="H2741">
        <v>0</v>
      </c>
      <c r="I2741" s="713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</row>
    <row r="2742" spans="1:16">
      <c r="A2742">
        <v>5</v>
      </c>
      <c r="B2742" t="s">
        <v>12507</v>
      </c>
      <c r="C2742" t="s">
        <v>12509</v>
      </c>
      <c r="D2742" t="s">
        <v>12535</v>
      </c>
      <c r="E2742" t="s">
        <v>6951</v>
      </c>
      <c r="F2742" t="s">
        <v>6952</v>
      </c>
      <c r="G2742" s="712">
        <v>0</v>
      </c>
      <c r="H2742">
        <v>0</v>
      </c>
      <c r="I2742" s="713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</row>
    <row r="2743" spans="1:16">
      <c r="A2743">
        <v>5</v>
      </c>
      <c r="B2743" t="s">
        <v>12507</v>
      </c>
      <c r="C2743" t="s">
        <v>12509</v>
      </c>
      <c r="D2743" t="s">
        <v>12535</v>
      </c>
      <c r="E2743" t="s">
        <v>6953</v>
      </c>
      <c r="F2743" t="s">
        <v>6954</v>
      </c>
      <c r="G2743" s="712">
        <v>0</v>
      </c>
      <c r="H2743">
        <v>0</v>
      </c>
      <c r="I2743" s="713">
        <v>0</v>
      </c>
      <c r="J2743" s="711">
        <v>2980</v>
      </c>
      <c r="K2743">
        <v>0</v>
      </c>
      <c r="L2743">
        <v>0</v>
      </c>
      <c r="M2743">
        <v>0</v>
      </c>
      <c r="N2743" s="711">
        <v>2980</v>
      </c>
      <c r="O2743">
        <v>0</v>
      </c>
      <c r="P2743" s="711">
        <v>2980</v>
      </c>
    </row>
    <row r="2744" spans="1:16">
      <c r="A2744">
        <v>5</v>
      </c>
      <c r="B2744" t="s">
        <v>12507</v>
      </c>
      <c r="C2744" t="s">
        <v>12509</v>
      </c>
      <c r="D2744" t="s">
        <v>12535</v>
      </c>
      <c r="E2744" t="s">
        <v>6955</v>
      </c>
      <c r="F2744" t="s">
        <v>6956</v>
      </c>
      <c r="G2744" s="712">
        <v>0</v>
      </c>
      <c r="H2744">
        <v>0</v>
      </c>
      <c r="I2744" s="713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</row>
    <row r="2745" spans="1:16">
      <c r="A2745">
        <v>5</v>
      </c>
      <c r="B2745" t="s">
        <v>12507</v>
      </c>
      <c r="C2745" t="s">
        <v>12509</v>
      </c>
      <c r="D2745" t="s">
        <v>12535</v>
      </c>
      <c r="E2745" t="s">
        <v>6957</v>
      </c>
      <c r="F2745" t="s">
        <v>6958</v>
      </c>
      <c r="G2745" s="712">
        <v>0</v>
      </c>
      <c r="H2745">
        <v>0</v>
      </c>
      <c r="I2745" s="713">
        <v>0</v>
      </c>
      <c r="J2745" s="711">
        <v>7595.44</v>
      </c>
      <c r="K2745">
        <v>0</v>
      </c>
      <c r="L2745">
        <v>0</v>
      </c>
      <c r="M2745">
        <v>0</v>
      </c>
      <c r="N2745" s="711">
        <v>7595.44</v>
      </c>
      <c r="O2745">
        <v>0</v>
      </c>
      <c r="P2745" s="711">
        <v>7595.44</v>
      </c>
    </row>
    <row r="2746" spans="1:16">
      <c r="A2746">
        <v>5</v>
      </c>
      <c r="B2746" t="s">
        <v>12507</v>
      </c>
      <c r="C2746" t="s">
        <v>12509</v>
      </c>
      <c r="D2746" t="s">
        <v>12535</v>
      </c>
      <c r="E2746" t="s">
        <v>6959</v>
      </c>
      <c r="F2746" t="s">
        <v>6960</v>
      </c>
      <c r="G2746" s="712">
        <v>0</v>
      </c>
      <c r="H2746">
        <v>0</v>
      </c>
      <c r="I2746" s="713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</row>
    <row r="2747" spans="1:16">
      <c r="A2747">
        <v>5</v>
      </c>
      <c r="B2747" t="s">
        <v>12507</v>
      </c>
      <c r="C2747" t="s">
        <v>12509</v>
      </c>
      <c r="D2747" t="s">
        <v>12535</v>
      </c>
      <c r="E2747" t="s">
        <v>6961</v>
      </c>
      <c r="F2747" t="s">
        <v>6962</v>
      </c>
      <c r="G2747" s="712">
        <v>0</v>
      </c>
      <c r="H2747">
        <v>0</v>
      </c>
      <c r="I2747" s="713">
        <v>0</v>
      </c>
      <c r="J2747" s="711">
        <v>611978.07999999996</v>
      </c>
      <c r="K2747">
        <v>0</v>
      </c>
      <c r="L2747">
        <v>0</v>
      </c>
      <c r="M2747">
        <v>0</v>
      </c>
      <c r="N2747" s="711">
        <v>611978.07999999996</v>
      </c>
      <c r="O2747">
        <v>0</v>
      </c>
      <c r="P2747" s="711">
        <v>611978.07999999996</v>
      </c>
    </row>
    <row r="2748" spans="1:16">
      <c r="A2748">
        <v>5</v>
      </c>
      <c r="B2748" t="s">
        <v>12507</v>
      </c>
      <c r="C2748" t="s">
        <v>12509</v>
      </c>
      <c r="D2748" t="s">
        <v>12535</v>
      </c>
      <c r="E2748" t="s">
        <v>6966</v>
      </c>
      <c r="F2748" t="s">
        <v>6967</v>
      </c>
      <c r="G2748" s="712">
        <v>0</v>
      </c>
      <c r="H2748">
        <v>0</v>
      </c>
      <c r="I2748" s="713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</row>
    <row r="2749" spans="1:16">
      <c r="A2749">
        <v>5</v>
      </c>
      <c r="B2749" t="s">
        <v>12507</v>
      </c>
      <c r="C2749" t="s">
        <v>12509</v>
      </c>
      <c r="D2749" t="s">
        <v>12535</v>
      </c>
      <c r="E2749" t="s">
        <v>6968</v>
      </c>
      <c r="F2749" t="s">
        <v>6969</v>
      </c>
      <c r="G2749" s="712">
        <v>0</v>
      </c>
      <c r="H2749">
        <v>0</v>
      </c>
      <c r="I2749" s="713">
        <v>0</v>
      </c>
      <c r="J2749" s="711">
        <v>1371828.33</v>
      </c>
      <c r="K2749">
        <v>0</v>
      </c>
      <c r="L2749">
        <v>0</v>
      </c>
      <c r="M2749">
        <v>0</v>
      </c>
      <c r="N2749" s="711">
        <v>1371828.33</v>
      </c>
      <c r="O2749">
        <v>0</v>
      </c>
      <c r="P2749" s="711">
        <v>1371828.33</v>
      </c>
    </row>
    <row r="2750" spans="1:16">
      <c r="A2750">
        <v>5</v>
      </c>
      <c r="B2750" t="s">
        <v>12507</v>
      </c>
      <c r="C2750" t="s">
        <v>12509</v>
      </c>
      <c r="D2750" t="s">
        <v>12535</v>
      </c>
      <c r="E2750" t="s">
        <v>6970</v>
      </c>
      <c r="F2750" t="s">
        <v>6971</v>
      </c>
      <c r="G2750" s="712">
        <v>0</v>
      </c>
      <c r="H2750">
        <v>0</v>
      </c>
      <c r="I2750" s="713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</row>
    <row r="2751" spans="1:16">
      <c r="A2751">
        <v>5</v>
      </c>
      <c r="B2751" t="s">
        <v>12507</v>
      </c>
      <c r="C2751" t="s">
        <v>12509</v>
      </c>
      <c r="D2751" t="s">
        <v>12535</v>
      </c>
      <c r="E2751" t="s">
        <v>6972</v>
      </c>
      <c r="F2751" t="s">
        <v>6973</v>
      </c>
      <c r="G2751" s="712">
        <v>0</v>
      </c>
      <c r="H2751">
        <v>0</v>
      </c>
      <c r="I2751" s="713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</row>
    <row r="2752" spans="1:16">
      <c r="A2752">
        <v>5</v>
      </c>
      <c r="B2752" t="s">
        <v>12507</v>
      </c>
      <c r="C2752" t="s">
        <v>12509</v>
      </c>
      <c r="D2752" t="s">
        <v>12535</v>
      </c>
      <c r="E2752" t="s">
        <v>6974</v>
      </c>
      <c r="F2752" t="s">
        <v>6975</v>
      </c>
      <c r="G2752" s="712">
        <v>0</v>
      </c>
      <c r="H2752">
        <v>0</v>
      </c>
      <c r="I2752" s="713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</row>
    <row r="2753" spans="1:16">
      <c r="A2753">
        <v>5</v>
      </c>
      <c r="B2753" t="s">
        <v>12507</v>
      </c>
      <c r="C2753" t="s">
        <v>12509</v>
      </c>
      <c r="D2753" t="s">
        <v>12535</v>
      </c>
      <c r="E2753" t="s">
        <v>6977</v>
      </c>
      <c r="F2753" t="s">
        <v>6978</v>
      </c>
      <c r="G2753" s="712">
        <v>0</v>
      </c>
      <c r="H2753">
        <v>0</v>
      </c>
      <c r="I2753" s="71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</row>
    <row r="2754" spans="1:16">
      <c r="A2754">
        <v>5</v>
      </c>
      <c r="B2754" t="s">
        <v>12507</v>
      </c>
      <c r="C2754" t="s">
        <v>12509</v>
      </c>
      <c r="D2754" t="s">
        <v>12535</v>
      </c>
      <c r="E2754" t="s">
        <v>6979</v>
      </c>
      <c r="F2754" t="s">
        <v>6980</v>
      </c>
      <c r="G2754" s="712">
        <v>0</v>
      </c>
      <c r="H2754">
        <v>0</v>
      </c>
      <c r="I2754" s="713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</row>
    <row r="2755" spans="1:16">
      <c r="A2755">
        <v>5</v>
      </c>
      <c r="B2755" t="s">
        <v>12507</v>
      </c>
      <c r="C2755" t="s">
        <v>12509</v>
      </c>
      <c r="D2755" t="s">
        <v>12535</v>
      </c>
      <c r="E2755" t="s">
        <v>6981</v>
      </c>
      <c r="F2755" t="s">
        <v>6982</v>
      </c>
      <c r="G2755" s="712">
        <v>0</v>
      </c>
      <c r="H2755">
        <v>0</v>
      </c>
      <c r="I2755" s="713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</row>
    <row r="2756" spans="1:16">
      <c r="A2756">
        <v>5</v>
      </c>
      <c r="B2756" t="s">
        <v>12507</v>
      </c>
      <c r="C2756" t="s">
        <v>12509</v>
      </c>
      <c r="D2756" t="s">
        <v>12535</v>
      </c>
      <c r="E2756" t="s">
        <v>6983</v>
      </c>
      <c r="F2756" t="s">
        <v>6984</v>
      </c>
      <c r="G2756" s="712">
        <v>0</v>
      </c>
      <c r="H2756">
        <v>0</v>
      </c>
      <c r="I2756" s="713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</row>
    <row r="2757" spans="1:16">
      <c r="A2757">
        <v>5</v>
      </c>
      <c r="B2757" t="s">
        <v>12507</v>
      </c>
      <c r="C2757" t="s">
        <v>12509</v>
      </c>
      <c r="D2757" t="s">
        <v>12535</v>
      </c>
      <c r="E2757" t="s">
        <v>6985</v>
      </c>
      <c r="F2757" t="s">
        <v>6986</v>
      </c>
      <c r="G2757" s="712">
        <v>0</v>
      </c>
      <c r="H2757">
        <v>0</v>
      </c>
      <c r="I2757" s="713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</row>
    <row r="2758" spans="1:16">
      <c r="A2758">
        <v>5</v>
      </c>
      <c r="B2758" t="s">
        <v>12507</v>
      </c>
      <c r="C2758" t="s">
        <v>12509</v>
      </c>
      <c r="D2758" t="s">
        <v>12535</v>
      </c>
      <c r="E2758" t="s">
        <v>6987</v>
      </c>
      <c r="F2758" t="s">
        <v>6988</v>
      </c>
      <c r="G2758" s="712">
        <v>0</v>
      </c>
      <c r="H2758">
        <v>0</v>
      </c>
      <c r="I2758" s="713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</row>
    <row r="2759" spans="1:16">
      <c r="A2759">
        <v>5</v>
      </c>
      <c r="B2759" t="s">
        <v>12507</v>
      </c>
      <c r="C2759" t="s">
        <v>12509</v>
      </c>
      <c r="D2759" t="s">
        <v>12535</v>
      </c>
      <c r="E2759" t="s">
        <v>6989</v>
      </c>
      <c r="F2759" t="s">
        <v>6990</v>
      </c>
      <c r="G2759" s="712">
        <v>0</v>
      </c>
      <c r="H2759">
        <v>0</v>
      </c>
      <c r="I2759" s="713">
        <v>0</v>
      </c>
      <c r="J2759" s="711">
        <v>8308.7999999999993</v>
      </c>
      <c r="K2759">
        <v>0</v>
      </c>
      <c r="L2759">
        <v>0</v>
      </c>
      <c r="M2759">
        <v>0</v>
      </c>
      <c r="N2759" s="711">
        <v>8308.7999999999993</v>
      </c>
      <c r="O2759">
        <v>0</v>
      </c>
      <c r="P2759" s="711">
        <v>8308.7999999999993</v>
      </c>
    </row>
    <row r="2760" spans="1:16">
      <c r="A2760">
        <v>5</v>
      </c>
      <c r="B2760" t="s">
        <v>12507</v>
      </c>
      <c r="C2760" t="s">
        <v>12509</v>
      </c>
      <c r="D2760" t="s">
        <v>12535</v>
      </c>
      <c r="E2760" t="s">
        <v>6991</v>
      </c>
      <c r="F2760" t="s">
        <v>6992</v>
      </c>
      <c r="G2760" s="712">
        <v>0</v>
      </c>
      <c r="H2760">
        <v>0</v>
      </c>
      <c r="I2760" s="713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</row>
    <row r="2761" spans="1:16">
      <c r="A2761">
        <v>5</v>
      </c>
      <c r="B2761" t="s">
        <v>12507</v>
      </c>
      <c r="C2761" t="s">
        <v>12509</v>
      </c>
      <c r="D2761" t="s">
        <v>12535</v>
      </c>
      <c r="E2761" t="s">
        <v>6993</v>
      </c>
      <c r="F2761" t="s">
        <v>6994</v>
      </c>
      <c r="G2761" s="712">
        <v>0</v>
      </c>
      <c r="H2761">
        <v>0</v>
      </c>
      <c r="I2761" s="713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</row>
    <row r="2762" spans="1:16">
      <c r="A2762">
        <v>5</v>
      </c>
      <c r="B2762" t="s">
        <v>12507</v>
      </c>
      <c r="C2762" t="s">
        <v>12509</v>
      </c>
      <c r="D2762" t="s">
        <v>12535</v>
      </c>
      <c r="E2762" t="s">
        <v>6995</v>
      </c>
      <c r="F2762" t="s">
        <v>6996</v>
      </c>
      <c r="G2762" s="712">
        <v>0</v>
      </c>
      <c r="H2762">
        <v>0</v>
      </c>
      <c r="I2762" s="713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</row>
    <row r="2763" spans="1:16">
      <c r="A2763">
        <v>5</v>
      </c>
      <c r="B2763" t="s">
        <v>12507</v>
      </c>
      <c r="C2763" t="s">
        <v>12509</v>
      </c>
      <c r="D2763" t="s">
        <v>12535</v>
      </c>
      <c r="E2763" t="s">
        <v>6997</v>
      </c>
      <c r="F2763" t="s">
        <v>6998</v>
      </c>
      <c r="G2763" s="712">
        <v>0</v>
      </c>
      <c r="H2763">
        <v>0</v>
      </c>
      <c r="I2763" s="71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</row>
    <row r="2764" spans="1:16">
      <c r="A2764">
        <v>5</v>
      </c>
      <c r="B2764" t="s">
        <v>12507</v>
      </c>
      <c r="C2764" t="s">
        <v>12509</v>
      </c>
      <c r="D2764" t="s">
        <v>12535</v>
      </c>
      <c r="E2764" t="s">
        <v>6999</v>
      </c>
      <c r="F2764" t="s">
        <v>7000</v>
      </c>
      <c r="G2764" s="712">
        <v>0</v>
      </c>
      <c r="H2764">
        <v>0</v>
      </c>
      <c r="I2764" s="713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</row>
    <row r="2765" spans="1:16">
      <c r="A2765">
        <v>5</v>
      </c>
      <c r="B2765" t="s">
        <v>12507</v>
      </c>
      <c r="C2765" t="s">
        <v>12509</v>
      </c>
      <c r="D2765" t="s">
        <v>12535</v>
      </c>
      <c r="E2765" t="s">
        <v>7001</v>
      </c>
      <c r="F2765" t="s">
        <v>7002</v>
      </c>
      <c r="G2765" s="712">
        <v>0</v>
      </c>
      <c r="H2765">
        <v>0</v>
      </c>
      <c r="I2765" s="713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</row>
    <row r="2766" spans="1:16">
      <c r="A2766">
        <v>5</v>
      </c>
      <c r="B2766" t="s">
        <v>12507</v>
      </c>
      <c r="C2766" t="s">
        <v>12509</v>
      </c>
      <c r="D2766" t="s">
        <v>12535</v>
      </c>
      <c r="E2766" t="s">
        <v>7003</v>
      </c>
      <c r="F2766" t="s">
        <v>7004</v>
      </c>
      <c r="G2766" s="712">
        <v>0</v>
      </c>
      <c r="H2766">
        <v>0</v>
      </c>
      <c r="I2766" s="713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</row>
    <row r="2767" spans="1:16">
      <c r="A2767">
        <v>5</v>
      </c>
      <c r="B2767" t="s">
        <v>12507</v>
      </c>
      <c r="C2767" t="s">
        <v>12509</v>
      </c>
      <c r="D2767" t="s">
        <v>12535</v>
      </c>
      <c r="E2767" t="s">
        <v>7005</v>
      </c>
      <c r="F2767" t="s">
        <v>7006</v>
      </c>
      <c r="G2767" s="712">
        <v>0</v>
      </c>
      <c r="H2767">
        <v>0</v>
      </c>
      <c r="I2767" s="713">
        <v>0</v>
      </c>
      <c r="J2767" s="711">
        <v>33713.879999999997</v>
      </c>
      <c r="K2767">
        <v>0</v>
      </c>
      <c r="L2767">
        <v>0</v>
      </c>
      <c r="M2767">
        <v>0</v>
      </c>
      <c r="N2767" s="711">
        <v>33713.879999999997</v>
      </c>
      <c r="O2767">
        <v>0</v>
      </c>
      <c r="P2767" s="711">
        <v>33713.879999999997</v>
      </c>
    </row>
    <row r="2768" spans="1:16">
      <c r="A2768">
        <v>5</v>
      </c>
      <c r="B2768" t="s">
        <v>12507</v>
      </c>
      <c r="C2768" t="s">
        <v>12509</v>
      </c>
      <c r="D2768" t="s">
        <v>12535</v>
      </c>
      <c r="E2768" t="s">
        <v>7008</v>
      </c>
      <c r="F2768" t="s">
        <v>7009</v>
      </c>
      <c r="G2768" s="712">
        <v>0</v>
      </c>
      <c r="H2768">
        <v>0</v>
      </c>
      <c r="I2768" s="713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</row>
    <row r="2769" spans="1:16">
      <c r="A2769">
        <v>5</v>
      </c>
      <c r="B2769" t="s">
        <v>12507</v>
      </c>
      <c r="C2769" t="s">
        <v>12509</v>
      </c>
      <c r="D2769" t="s">
        <v>12535</v>
      </c>
      <c r="E2769" t="s">
        <v>7010</v>
      </c>
      <c r="F2769" t="s">
        <v>7011</v>
      </c>
      <c r="G2769" s="712">
        <v>0</v>
      </c>
      <c r="H2769">
        <v>0</v>
      </c>
      <c r="I2769" s="713">
        <v>0</v>
      </c>
      <c r="J2769" s="711">
        <v>21034.6</v>
      </c>
      <c r="K2769">
        <v>0</v>
      </c>
      <c r="L2769">
        <v>0</v>
      </c>
      <c r="M2769">
        <v>0</v>
      </c>
      <c r="N2769" s="711">
        <v>21034.6</v>
      </c>
      <c r="O2769">
        <v>0</v>
      </c>
      <c r="P2769" s="711">
        <v>21034.6</v>
      </c>
    </row>
    <row r="2770" spans="1:16">
      <c r="A2770">
        <v>5</v>
      </c>
      <c r="B2770" t="s">
        <v>12507</v>
      </c>
      <c r="C2770" t="s">
        <v>12509</v>
      </c>
      <c r="D2770" t="s">
        <v>12535</v>
      </c>
      <c r="E2770" t="s">
        <v>7012</v>
      </c>
      <c r="F2770" t="s">
        <v>7013</v>
      </c>
      <c r="G2770" s="712">
        <v>0</v>
      </c>
      <c r="H2770">
        <v>0</v>
      </c>
      <c r="I2770" s="713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</row>
    <row r="2771" spans="1:16">
      <c r="A2771">
        <v>5</v>
      </c>
      <c r="B2771" t="s">
        <v>12507</v>
      </c>
      <c r="C2771" t="s">
        <v>12509</v>
      </c>
      <c r="D2771" t="s">
        <v>12535</v>
      </c>
      <c r="E2771" t="s">
        <v>7014</v>
      </c>
      <c r="F2771" t="s">
        <v>7015</v>
      </c>
      <c r="G2771" s="712">
        <v>0</v>
      </c>
      <c r="H2771">
        <v>0</v>
      </c>
      <c r="I2771" s="713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</row>
    <row r="2772" spans="1:16">
      <c r="A2772">
        <v>5</v>
      </c>
      <c r="B2772" t="s">
        <v>12507</v>
      </c>
      <c r="C2772" t="s">
        <v>12509</v>
      </c>
      <c r="D2772" t="s">
        <v>12535</v>
      </c>
      <c r="E2772" t="s">
        <v>7017</v>
      </c>
      <c r="F2772" t="s">
        <v>7018</v>
      </c>
      <c r="G2772" s="712">
        <v>0</v>
      </c>
      <c r="H2772">
        <v>0</v>
      </c>
      <c r="I2772" s="713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</row>
    <row r="2773" spans="1:16">
      <c r="A2773">
        <v>5</v>
      </c>
      <c r="B2773" t="s">
        <v>12507</v>
      </c>
      <c r="C2773" t="s">
        <v>12509</v>
      </c>
      <c r="D2773" t="s">
        <v>12535</v>
      </c>
      <c r="E2773" t="s">
        <v>7019</v>
      </c>
      <c r="F2773" t="s">
        <v>7020</v>
      </c>
      <c r="G2773" s="712">
        <v>0</v>
      </c>
      <c r="H2773">
        <v>0</v>
      </c>
      <c r="I2773" s="713">
        <v>0</v>
      </c>
      <c r="J2773">
        <v>358.8</v>
      </c>
      <c r="K2773">
        <v>0</v>
      </c>
      <c r="L2773">
        <v>0</v>
      </c>
      <c r="M2773">
        <v>0</v>
      </c>
      <c r="N2773">
        <v>358.8</v>
      </c>
      <c r="O2773">
        <v>0</v>
      </c>
      <c r="P2773">
        <v>358.8</v>
      </c>
    </row>
    <row r="2774" spans="1:16">
      <c r="A2774">
        <v>5</v>
      </c>
      <c r="B2774" t="s">
        <v>12507</v>
      </c>
      <c r="C2774" t="s">
        <v>12509</v>
      </c>
      <c r="D2774" t="s">
        <v>12535</v>
      </c>
      <c r="E2774" t="s">
        <v>7021</v>
      </c>
      <c r="F2774" t="s">
        <v>7018</v>
      </c>
      <c r="G2774" s="712">
        <v>0</v>
      </c>
      <c r="H2774">
        <v>0</v>
      </c>
      <c r="I2774" s="713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</row>
    <row r="2775" spans="1:16">
      <c r="A2775">
        <v>5</v>
      </c>
      <c r="B2775" t="s">
        <v>12507</v>
      </c>
      <c r="C2775" t="s">
        <v>12509</v>
      </c>
      <c r="D2775" t="s">
        <v>12535</v>
      </c>
      <c r="E2775" t="s">
        <v>7022</v>
      </c>
      <c r="F2775" t="s">
        <v>7023</v>
      </c>
      <c r="G2775" s="712">
        <v>0</v>
      </c>
      <c r="H2775">
        <v>0</v>
      </c>
      <c r="I2775" s="713">
        <v>0</v>
      </c>
      <c r="J2775" s="711">
        <v>14154.8</v>
      </c>
      <c r="K2775">
        <v>0</v>
      </c>
      <c r="L2775">
        <v>0</v>
      </c>
      <c r="M2775">
        <v>0</v>
      </c>
      <c r="N2775" s="711">
        <v>14154.8</v>
      </c>
      <c r="O2775">
        <v>0</v>
      </c>
      <c r="P2775" s="711">
        <v>14154.8</v>
      </c>
    </row>
    <row r="2776" spans="1:16">
      <c r="A2776">
        <v>5</v>
      </c>
      <c r="B2776" t="s">
        <v>12507</v>
      </c>
      <c r="C2776" t="s">
        <v>12509</v>
      </c>
      <c r="D2776" t="s">
        <v>12535</v>
      </c>
      <c r="E2776" t="s">
        <v>7024</v>
      </c>
      <c r="F2776" t="s">
        <v>7018</v>
      </c>
      <c r="G2776" s="712">
        <v>0</v>
      </c>
      <c r="H2776">
        <v>0</v>
      </c>
      <c r="I2776" s="713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</row>
    <row r="2777" spans="1:16">
      <c r="A2777">
        <v>5</v>
      </c>
      <c r="B2777" t="s">
        <v>12507</v>
      </c>
      <c r="C2777" t="s">
        <v>12509</v>
      </c>
      <c r="D2777" t="s">
        <v>12535</v>
      </c>
      <c r="E2777" t="s">
        <v>7025</v>
      </c>
      <c r="F2777" t="s">
        <v>7026</v>
      </c>
      <c r="G2777" s="712">
        <v>0</v>
      </c>
      <c r="H2777">
        <v>0</v>
      </c>
      <c r="I2777" s="713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</row>
    <row r="2778" spans="1:16">
      <c r="A2778">
        <v>5</v>
      </c>
      <c r="B2778" t="s">
        <v>12507</v>
      </c>
      <c r="C2778" t="s">
        <v>12509</v>
      </c>
      <c r="D2778" t="s">
        <v>12535</v>
      </c>
      <c r="E2778" t="s">
        <v>7027</v>
      </c>
      <c r="F2778" t="s">
        <v>7018</v>
      </c>
      <c r="G2778" s="712">
        <v>0</v>
      </c>
      <c r="H2778">
        <v>0</v>
      </c>
      <c r="I2778" s="713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</row>
    <row r="2779" spans="1:16">
      <c r="A2779">
        <v>5</v>
      </c>
      <c r="B2779" t="s">
        <v>12507</v>
      </c>
      <c r="C2779" t="s">
        <v>12509</v>
      </c>
      <c r="D2779" t="s">
        <v>12535</v>
      </c>
      <c r="E2779" t="s">
        <v>7028</v>
      </c>
      <c r="F2779" t="s">
        <v>7029</v>
      </c>
      <c r="G2779" s="712">
        <v>0</v>
      </c>
      <c r="H2779">
        <v>0</v>
      </c>
      <c r="I2779" s="713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</row>
    <row r="2780" spans="1:16">
      <c r="A2780">
        <v>5</v>
      </c>
      <c r="B2780" t="s">
        <v>12507</v>
      </c>
      <c r="C2780" t="s">
        <v>12509</v>
      </c>
      <c r="D2780" t="s">
        <v>12535</v>
      </c>
      <c r="E2780" t="s">
        <v>7030</v>
      </c>
      <c r="F2780" t="s">
        <v>7018</v>
      </c>
      <c r="G2780" s="712">
        <v>0</v>
      </c>
      <c r="H2780">
        <v>0</v>
      </c>
      <c r="I2780" s="713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</row>
    <row r="2781" spans="1:16">
      <c r="A2781">
        <v>5</v>
      </c>
      <c r="B2781" t="s">
        <v>12507</v>
      </c>
      <c r="C2781" t="s">
        <v>12509</v>
      </c>
      <c r="D2781" t="s">
        <v>12535</v>
      </c>
      <c r="E2781" t="s">
        <v>7031</v>
      </c>
      <c r="F2781" t="s">
        <v>7032</v>
      </c>
      <c r="G2781" s="712">
        <v>0</v>
      </c>
      <c r="H2781">
        <v>0</v>
      </c>
      <c r="I2781" s="713">
        <v>0</v>
      </c>
      <c r="J2781" s="711">
        <v>25386.57</v>
      </c>
      <c r="K2781">
        <v>0</v>
      </c>
      <c r="L2781">
        <v>0</v>
      </c>
      <c r="M2781">
        <v>0</v>
      </c>
      <c r="N2781" s="711">
        <v>25386.57</v>
      </c>
      <c r="O2781">
        <v>0</v>
      </c>
      <c r="P2781" s="711">
        <v>25386.57</v>
      </c>
    </row>
    <row r="2782" spans="1:16">
      <c r="A2782">
        <v>5</v>
      </c>
      <c r="B2782" t="s">
        <v>12507</v>
      </c>
      <c r="C2782" t="s">
        <v>12509</v>
      </c>
      <c r="D2782" t="s">
        <v>12535</v>
      </c>
      <c r="E2782" t="s">
        <v>7033</v>
      </c>
      <c r="F2782" t="s">
        <v>7018</v>
      </c>
      <c r="G2782" s="712">
        <v>0</v>
      </c>
      <c r="H2782">
        <v>0</v>
      </c>
      <c r="I2782" s="713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</row>
    <row r="2783" spans="1:16">
      <c r="A2783">
        <v>5</v>
      </c>
      <c r="B2783" t="s">
        <v>12507</v>
      </c>
      <c r="C2783" t="s">
        <v>12509</v>
      </c>
      <c r="D2783" t="s">
        <v>12535</v>
      </c>
      <c r="E2783" t="s">
        <v>7034</v>
      </c>
      <c r="F2783" t="s">
        <v>7035</v>
      </c>
      <c r="G2783" s="712">
        <v>0</v>
      </c>
      <c r="H2783">
        <v>0</v>
      </c>
      <c r="I2783" s="71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</row>
    <row r="2784" spans="1:16">
      <c r="A2784">
        <v>5</v>
      </c>
      <c r="B2784" t="s">
        <v>12507</v>
      </c>
      <c r="C2784" t="s">
        <v>12509</v>
      </c>
      <c r="D2784" t="s">
        <v>12535</v>
      </c>
      <c r="E2784" t="s">
        <v>7039</v>
      </c>
      <c r="F2784" t="s">
        <v>7040</v>
      </c>
      <c r="G2784" s="712">
        <v>0</v>
      </c>
      <c r="H2784">
        <v>0</v>
      </c>
      <c r="I2784" s="713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</row>
    <row r="2785" spans="1:16">
      <c r="A2785">
        <v>5</v>
      </c>
      <c r="B2785" t="s">
        <v>12507</v>
      </c>
      <c r="C2785" t="s">
        <v>12509</v>
      </c>
      <c r="D2785" t="s">
        <v>12535</v>
      </c>
      <c r="E2785" t="s">
        <v>7042</v>
      </c>
      <c r="F2785" t="s">
        <v>7043</v>
      </c>
      <c r="G2785" s="712">
        <v>0</v>
      </c>
      <c r="H2785">
        <v>0</v>
      </c>
      <c r="I2785" s="713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</row>
    <row r="2786" spans="1:16">
      <c r="A2786">
        <v>5</v>
      </c>
      <c r="B2786" t="s">
        <v>12507</v>
      </c>
      <c r="C2786" t="s">
        <v>12509</v>
      </c>
      <c r="D2786" t="s">
        <v>12535</v>
      </c>
      <c r="E2786" t="s">
        <v>7045</v>
      </c>
      <c r="F2786" t="s">
        <v>7046</v>
      </c>
      <c r="G2786" s="712">
        <v>0</v>
      </c>
      <c r="H2786">
        <v>0</v>
      </c>
      <c r="I2786" s="713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</row>
    <row r="2787" spans="1:16">
      <c r="A2787">
        <v>5</v>
      </c>
      <c r="B2787" t="s">
        <v>12507</v>
      </c>
      <c r="C2787" t="s">
        <v>12509</v>
      </c>
      <c r="D2787" t="s">
        <v>12535</v>
      </c>
      <c r="E2787" t="s">
        <v>7048</v>
      </c>
      <c r="F2787" t="s">
        <v>7049</v>
      </c>
      <c r="G2787" s="712">
        <v>0</v>
      </c>
      <c r="H2787">
        <v>0</v>
      </c>
      <c r="I2787" s="713">
        <v>0</v>
      </c>
      <c r="J2787" s="711">
        <v>130174.67</v>
      </c>
      <c r="K2787">
        <v>0</v>
      </c>
      <c r="L2787">
        <v>0</v>
      </c>
      <c r="M2787">
        <v>0</v>
      </c>
      <c r="N2787" s="711">
        <v>130174.67</v>
      </c>
      <c r="O2787">
        <v>0</v>
      </c>
      <c r="P2787" s="711">
        <v>130174.67</v>
      </c>
    </row>
    <row r="2788" spans="1:16">
      <c r="A2788">
        <v>5</v>
      </c>
      <c r="B2788" t="s">
        <v>12507</v>
      </c>
      <c r="C2788" t="s">
        <v>12509</v>
      </c>
      <c r="D2788" t="s">
        <v>12535</v>
      </c>
      <c r="E2788" t="s">
        <v>7053</v>
      </c>
      <c r="F2788" t="s">
        <v>7054</v>
      </c>
      <c r="G2788" s="712">
        <v>0</v>
      </c>
      <c r="H2788">
        <v>0</v>
      </c>
      <c r="I2788" s="713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</row>
    <row r="2789" spans="1:16">
      <c r="A2789">
        <v>5</v>
      </c>
      <c r="B2789" t="s">
        <v>12507</v>
      </c>
      <c r="C2789" t="s">
        <v>12509</v>
      </c>
      <c r="D2789" t="s">
        <v>12535</v>
      </c>
      <c r="E2789" t="s">
        <v>7056</v>
      </c>
      <c r="F2789" t="s">
        <v>7057</v>
      </c>
      <c r="G2789" s="712">
        <v>0</v>
      </c>
      <c r="H2789">
        <v>0</v>
      </c>
      <c r="I2789" s="713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</row>
    <row r="2790" spans="1:16">
      <c r="A2790">
        <v>5</v>
      </c>
      <c r="B2790" t="s">
        <v>12507</v>
      </c>
      <c r="C2790" t="s">
        <v>12509</v>
      </c>
      <c r="D2790" t="s">
        <v>12535</v>
      </c>
      <c r="E2790" t="s">
        <v>7058</v>
      </c>
      <c r="F2790" t="s">
        <v>7059</v>
      </c>
      <c r="G2790" s="712">
        <v>0</v>
      </c>
      <c r="H2790">
        <v>0</v>
      </c>
      <c r="I2790" s="713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</row>
    <row r="2791" spans="1:16">
      <c r="A2791">
        <v>5</v>
      </c>
      <c r="B2791" t="s">
        <v>12507</v>
      </c>
      <c r="C2791" t="s">
        <v>12509</v>
      </c>
      <c r="D2791" t="s">
        <v>12535</v>
      </c>
      <c r="E2791" t="s">
        <v>7060</v>
      </c>
      <c r="F2791" t="s">
        <v>7061</v>
      </c>
      <c r="G2791" s="712">
        <v>0</v>
      </c>
      <c r="H2791">
        <v>0</v>
      </c>
      <c r="I2791" s="713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</row>
    <row r="2792" spans="1:16">
      <c r="A2792">
        <v>5</v>
      </c>
      <c r="B2792" t="s">
        <v>12507</v>
      </c>
      <c r="C2792" t="s">
        <v>12509</v>
      </c>
      <c r="D2792" t="s">
        <v>12535</v>
      </c>
      <c r="E2792" t="s">
        <v>7062</v>
      </c>
      <c r="F2792" t="s">
        <v>7063</v>
      </c>
      <c r="G2792" s="712">
        <v>0</v>
      </c>
      <c r="H2792">
        <v>0</v>
      </c>
      <c r="I2792" s="713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</row>
    <row r="2793" spans="1:16">
      <c r="A2793">
        <v>5</v>
      </c>
      <c r="B2793" t="s">
        <v>12507</v>
      </c>
      <c r="C2793" t="s">
        <v>12509</v>
      </c>
      <c r="D2793" t="s">
        <v>12535</v>
      </c>
      <c r="E2793" t="s">
        <v>7064</v>
      </c>
      <c r="F2793" t="s">
        <v>7065</v>
      </c>
      <c r="G2793" s="712">
        <v>0</v>
      </c>
      <c r="H2793">
        <v>0</v>
      </c>
      <c r="I2793" s="71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</row>
    <row r="2794" spans="1:16">
      <c r="A2794">
        <v>5</v>
      </c>
      <c r="B2794" t="s">
        <v>12507</v>
      </c>
      <c r="C2794" t="s">
        <v>12509</v>
      </c>
      <c r="D2794" t="s">
        <v>12535</v>
      </c>
      <c r="E2794" t="s">
        <v>7066</v>
      </c>
      <c r="F2794" t="s">
        <v>7067</v>
      </c>
      <c r="G2794" s="712">
        <v>0</v>
      </c>
      <c r="H2794">
        <v>0</v>
      </c>
      <c r="I2794" s="713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</row>
    <row r="2795" spans="1:16">
      <c r="A2795">
        <v>5</v>
      </c>
      <c r="B2795" t="s">
        <v>12507</v>
      </c>
      <c r="C2795" t="s">
        <v>12509</v>
      </c>
      <c r="D2795" t="s">
        <v>12535</v>
      </c>
      <c r="E2795" t="s">
        <v>7069</v>
      </c>
      <c r="F2795" t="s">
        <v>7070</v>
      </c>
      <c r="G2795" s="712">
        <v>0</v>
      </c>
      <c r="H2795">
        <v>0</v>
      </c>
      <c r="I2795" s="713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</row>
    <row r="2796" spans="1:16">
      <c r="A2796">
        <v>5</v>
      </c>
      <c r="B2796" t="s">
        <v>12507</v>
      </c>
      <c r="C2796" t="s">
        <v>12509</v>
      </c>
      <c r="D2796" t="s">
        <v>12535</v>
      </c>
      <c r="E2796" t="s">
        <v>7071</v>
      </c>
      <c r="F2796" t="s">
        <v>7072</v>
      </c>
      <c r="G2796" s="712">
        <v>0</v>
      </c>
      <c r="H2796">
        <v>0</v>
      </c>
      <c r="I2796" s="713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</row>
    <row r="2797" spans="1:16">
      <c r="A2797">
        <v>5</v>
      </c>
      <c r="B2797" t="s">
        <v>12507</v>
      </c>
      <c r="C2797" t="s">
        <v>12509</v>
      </c>
      <c r="D2797" t="s">
        <v>12535</v>
      </c>
      <c r="E2797" t="s">
        <v>7073</v>
      </c>
      <c r="F2797" t="s">
        <v>7074</v>
      </c>
      <c r="G2797" s="712">
        <v>0</v>
      </c>
      <c r="H2797">
        <v>0</v>
      </c>
      <c r="I2797" s="713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</row>
    <row r="2798" spans="1:16">
      <c r="A2798">
        <v>5</v>
      </c>
      <c r="B2798" t="s">
        <v>12507</v>
      </c>
      <c r="C2798" t="s">
        <v>12509</v>
      </c>
      <c r="D2798" t="s">
        <v>12535</v>
      </c>
      <c r="E2798" t="s">
        <v>7075</v>
      </c>
      <c r="F2798" t="s">
        <v>7076</v>
      </c>
      <c r="G2798" s="712">
        <v>0</v>
      </c>
      <c r="H2798">
        <v>0</v>
      </c>
      <c r="I2798" s="713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</row>
    <row r="2799" spans="1:16">
      <c r="A2799">
        <v>5</v>
      </c>
      <c r="B2799" t="s">
        <v>12507</v>
      </c>
      <c r="C2799" t="s">
        <v>12509</v>
      </c>
      <c r="D2799" t="s">
        <v>12535</v>
      </c>
      <c r="E2799" t="s">
        <v>7077</v>
      </c>
      <c r="F2799" t="s">
        <v>7078</v>
      </c>
      <c r="G2799" s="712">
        <v>0</v>
      </c>
      <c r="H2799">
        <v>0</v>
      </c>
      <c r="I2799" s="713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</row>
    <row r="2800" spans="1:16">
      <c r="A2800">
        <v>5</v>
      </c>
      <c r="B2800" t="s">
        <v>12507</v>
      </c>
      <c r="C2800" t="s">
        <v>12509</v>
      </c>
      <c r="D2800" t="s">
        <v>12535</v>
      </c>
      <c r="E2800" t="s">
        <v>7079</v>
      </c>
      <c r="F2800" t="s">
        <v>7080</v>
      </c>
      <c r="G2800" s="712">
        <v>0</v>
      </c>
      <c r="H2800">
        <v>0</v>
      </c>
      <c r="I2800" s="713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</row>
    <row r="2801" spans="1:16">
      <c r="A2801">
        <v>5</v>
      </c>
      <c r="B2801" t="s">
        <v>12507</v>
      </c>
      <c r="C2801" t="s">
        <v>12509</v>
      </c>
      <c r="D2801" t="s">
        <v>12535</v>
      </c>
      <c r="E2801" t="s">
        <v>7081</v>
      </c>
      <c r="F2801" t="s">
        <v>7082</v>
      </c>
      <c r="G2801" s="712">
        <v>0</v>
      </c>
      <c r="H2801">
        <v>0</v>
      </c>
      <c r="I2801" s="713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</row>
    <row r="2802" spans="1:16">
      <c r="A2802">
        <v>5</v>
      </c>
      <c r="B2802" t="s">
        <v>12507</v>
      </c>
      <c r="C2802" t="s">
        <v>12509</v>
      </c>
      <c r="D2802" t="s">
        <v>12535</v>
      </c>
      <c r="E2802" t="s">
        <v>7083</v>
      </c>
      <c r="F2802" t="s">
        <v>7084</v>
      </c>
      <c r="G2802" s="712">
        <v>0</v>
      </c>
      <c r="H2802">
        <v>0</v>
      </c>
      <c r="I2802" s="713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</row>
    <row r="2803" spans="1:16">
      <c r="A2803">
        <v>5</v>
      </c>
      <c r="B2803" t="s">
        <v>12507</v>
      </c>
      <c r="C2803" t="s">
        <v>12509</v>
      </c>
      <c r="D2803" t="s">
        <v>12535</v>
      </c>
      <c r="E2803" t="s">
        <v>7087</v>
      </c>
      <c r="F2803" t="s">
        <v>7088</v>
      </c>
      <c r="G2803" s="712">
        <v>0</v>
      </c>
      <c r="H2803">
        <v>0</v>
      </c>
      <c r="I2803" s="71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</row>
    <row r="2804" spans="1:16">
      <c r="A2804">
        <v>5</v>
      </c>
      <c r="B2804" t="s">
        <v>12507</v>
      </c>
      <c r="C2804" t="s">
        <v>12509</v>
      </c>
      <c r="D2804" t="s">
        <v>12535</v>
      </c>
      <c r="E2804" t="s">
        <v>7092</v>
      </c>
      <c r="F2804" t="s">
        <v>7093</v>
      </c>
      <c r="G2804" s="712">
        <v>0</v>
      </c>
      <c r="H2804">
        <v>0</v>
      </c>
      <c r="I2804" s="713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</row>
    <row r="2805" spans="1:16">
      <c r="A2805">
        <v>5</v>
      </c>
      <c r="B2805" t="s">
        <v>12507</v>
      </c>
      <c r="C2805" t="s">
        <v>12509</v>
      </c>
      <c r="D2805" t="s">
        <v>12535</v>
      </c>
      <c r="E2805" t="s">
        <v>7095</v>
      </c>
      <c r="F2805" t="s">
        <v>7096</v>
      </c>
      <c r="G2805" s="712">
        <v>0</v>
      </c>
      <c r="H2805">
        <v>0</v>
      </c>
      <c r="I2805" s="713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</row>
    <row r="2806" spans="1:16">
      <c r="A2806">
        <v>5</v>
      </c>
      <c r="B2806" t="s">
        <v>12507</v>
      </c>
      <c r="C2806" t="s">
        <v>12509</v>
      </c>
      <c r="D2806" t="s">
        <v>12535</v>
      </c>
      <c r="E2806" t="s">
        <v>7097</v>
      </c>
      <c r="F2806" t="s">
        <v>7098</v>
      </c>
      <c r="G2806" s="712">
        <v>0</v>
      </c>
      <c r="H2806">
        <v>0</v>
      </c>
      <c r="I2806" s="713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</row>
    <row r="2807" spans="1:16">
      <c r="A2807">
        <v>5</v>
      </c>
      <c r="B2807" t="s">
        <v>12507</v>
      </c>
      <c r="C2807" t="s">
        <v>12509</v>
      </c>
      <c r="D2807" t="s">
        <v>12535</v>
      </c>
      <c r="E2807" t="s">
        <v>7099</v>
      </c>
      <c r="F2807" t="s">
        <v>7100</v>
      </c>
      <c r="G2807" s="712">
        <v>0</v>
      </c>
      <c r="H2807">
        <v>0</v>
      </c>
      <c r="I2807" s="713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</row>
    <row r="2808" spans="1:16">
      <c r="A2808">
        <v>5</v>
      </c>
      <c r="B2808" t="s">
        <v>12507</v>
      </c>
      <c r="C2808" t="s">
        <v>12509</v>
      </c>
      <c r="D2808" t="s">
        <v>12535</v>
      </c>
      <c r="E2808" t="s">
        <v>7104</v>
      </c>
      <c r="F2808" t="s">
        <v>7105</v>
      </c>
      <c r="G2808" s="712">
        <v>0</v>
      </c>
      <c r="H2808">
        <v>0</v>
      </c>
      <c r="I2808" s="713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</row>
    <row r="2809" spans="1:16">
      <c r="A2809">
        <v>5</v>
      </c>
      <c r="B2809" t="s">
        <v>12507</v>
      </c>
      <c r="C2809" t="s">
        <v>12509</v>
      </c>
      <c r="D2809" t="s">
        <v>12535</v>
      </c>
      <c r="E2809" t="s">
        <v>7107</v>
      </c>
      <c r="F2809" t="s">
        <v>7108</v>
      </c>
      <c r="G2809" s="712">
        <v>0</v>
      </c>
      <c r="H2809">
        <v>0</v>
      </c>
      <c r="I2809" s="713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</row>
    <row r="2810" spans="1:16">
      <c r="A2810">
        <v>5</v>
      </c>
      <c r="B2810" t="s">
        <v>12507</v>
      </c>
      <c r="C2810" t="s">
        <v>12509</v>
      </c>
      <c r="D2810" t="s">
        <v>12535</v>
      </c>
      <c r="E2810" t="s">
        <v>7110</v>
      </c>
      <c r="F2810" t="s">
        <v>7111</v>
      </c>
      <c r="G2810" s="712">
        <v>0</v>
      </c>
      <c r="H2810">
        <v>0</v>
      </c>
      <c r="I2810" s="713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</row>
    <row r="2811" spans="1:16">
      <c r="A2811">
        <v>5</v>
      </c>
      <c r="B2811" t="s">
        <v>12507</v>
      </c>
      <c r="C2811" t="s">
        <v>12509</v>
      </c>
      <c r="D2811" t="s">
        <v>12535</v>
      </c>
      <c r="E2811" t="s">
        <v>7113</v>
      </c>
      <c r="F2811" t="s">
        <v>7114</v>
      </c>
      <c r="G2811" s="712">
        <v>0</v>
      </c>
      <c r="H2811">
        <v>0</v>
      </c>
      <c r="I2811" s="713">
        <v>0</v>
      </c>
      <c r="J2811" s="711">
        <v>537885.22</v>
      </c>
      <c r="K2811">
        <v>0</v>
      </c>
      <c r="L2811">
        <v>0</v>
      </c>
      <c r="M2811">
        <v>0</v>
      </c>
      <c r="N2811" s="711">
        <v>537885.22</v>
      </c>
      <c r="O2811">
        <v>0</v>
      </c>
      <c r="P2811" s="711">
        <v>537885.22</v>
      </c>
    </row>
    <row r="2812" spans="1:16">
      <c r="A2812">
        <v>5</v>
      </c>
      <c r="B2812" t="s">
        <v>12507</v>
      </c>
      <c r="C2812" t="s">
        <v>12509</v>
      </c>
      <c r="D2812" t="s">
        <v>12535</v>
      </c>
      <c r="E2812" t="s">
        <v>7118</v>
      </c>
      <c r="F2812" t="s">
        <v>7119</v>
      </c>
      <c r="G2812" s="712">
        <v>0</v>
      </c>
      <c r="H2812">
        <v>0</v>
      </c>
      <c r="I2812" s="713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</row>
    <row r="2813" spans="1:16">
      <c r="A2813">
        <v>5</v>
      </c>
      <c r="B2813" t="s">
        <v>12507</v>
      </c>
      <c r="C2813" t="s">
        <v>12509</v>
      </c>
      <c r="D2813" t="s">
        <v>12535</v>
      </c>
      <c r="E2813" t="s">
        <v>12537</v>
      </c>
      <c r="F2813" t="s">
        <v>12538</v>
      </c>
      <c r="G2813" s="712">
        <v>0</v>
      </c>
      <c r="H2813">
        <v>0</v>
      </c>
      <c r="I2813" s="7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</row>
    <row r="2814" spans="1:16">
      <c r="A2814">
        <v>5</v>
      </c>
      <c r="B2814" t="s">
        <v>12507</v>
      </c>
      <c r="C2814" t="s">
        <v>12509</v>
      </c>
      <c r="D2814" t="s">
        <v>12535</v>
      </c>
      <c r="E2814" t="s">
        <v>12539</v>
      </c>
      <c r="F2814" t="s">
        <v>12540</v>
      </c>
      <c r="G2814" s="712">
        <v>0</v>
      </c>
      <c r="H2814">
        <v>0</v>
      </c>
      <c r="I2814" s="713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</row>
    <row r="2815" spans="1:16" ht="15.75" thickBot="1">
      <c r="A2815">
        <v>5</v>
      </c>
      <c r="B2815" t="s">
        <v>12507</v>
      </c>
      <c r="C2815" t="s">
        <v>12509</v>
      </c>
      <c r="D2815" t="s">
        <v>12535</v>
      </c>
      <c r="E2815" t="s">
        <v>12541</v>
      </c>
      <c r="F2815" t="s">
        <v>12542</v>
      </c>
      <c r="G2815" s="712">
        <v>0</v>
      </c>
      <c r="H2815">
        <v>0</v>
      </c>
      <c r="I2815" s="713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</row>
    <row r="2816" spans="1:16" ht="15.75" thickBot="1">
      <c r="A2816" s="727">
        <v>5</v>
      </c>
      <c r="B2816" s="727" t="s">
        <v>12507</v>
      </c>
      <c r="C2816" s="727" t="s">
        <v>12509</v>
      </c>
      <c r="D2816" s="727" t="s">
        <v>12543</v>
      </c>
      <c r="E2816" s="727"/>
      <c r="F2816" s="729" t="s">
        <v>12544</v>
      </c>
      <c r="G2816" s="738">
        <v>0</v>
      </c>
      <c r="H2816" s="738">
        <v>0</v>
      </c>
      <c r="I2816" s="738">
        <v>0</v>
      </c>
      <c r="J2816" s="739">
        <v>672058.84</v>
      </c>
      <c r="K2816" s="739">
        <v>291600</v>
      </c>
      <c r="L2816" s="738">
        <v>0</v>
      </c>
      <c r="M2816" s="738">
        <v>0</v>
      </c>
      <c r="N2816" s="739">
        <v>672058.84</v>
      </c>
      <c r="O2816" s="739">
        <v>291600</v>
      </c>
      <c r="P2816" s="739">
        <v>380458.84</v>
      </c>
    </row>
    <row r="2817" spans="1:16">
      <c r="A2817">
        <v>5</v>
      </c>
      <c r="B2817" t="s">
        <v>12507</v>
      </c>
      <c r="C2817" t="s">
        <v>12509</v>
      </c>
      <c r="D2817" t="s">
        <v>12543</v>
      </c>
      <c r="E2817" t="s">
        <v>7127</v>
      </c>
      <c r="F2817" t="s">
        <v>7128</v>
      </c>
      <c r="G2817" s="712">
        <v>0</v>
      </c>
      <c r="H2817">
        <v>0</v>
      </c>
      <c r="I2817" s="713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</row>
    <row r="2818" spans="1:16">
      <c r="A2818">
        <v>5</v>
      </c>
      <c r="B2818" t="s">
        <v>12507</v>
      </c>
      <c r="C2818" t="s">
        <v>12509</v>
      </c>
      <c r="D2818" t="s">
        <v>12543</v>
      </c>
      <c r="E2818" t="s">
        <v>7131</v>
      </c>
      <c r="F2818" t="s">
        <v>7132</v>
      </c>
      <c r="G2818" s="712">
        <v>0</v>
      </c>
      <c r="H2818">
        <v>0</v>
      </c>
      <c r="I2818" s="713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</row>
    <row r="2819" spans="1:16">
      <c r="A2819">
        <v>5</v>
      </c>
      <c r="B2819" t="s">
        <v>12507</v>
      </c>
      <c r="C2819" t="s">
        <v>12509</v>
      </c>
      <c r="D2819" t="s">
        <v>12543</v>
      </c>
      <c r="E2819" t="s">
        <v>7135</v>
      </c>
      <c r="F2819" t="s">
        <v>7136</v>
      </c>
      <c r="G2819" s="712">
        <v>0</v>
      </c>
      <c r="H2819">
        <v>0</v>
      </c>
      <c r="I2819" s="713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</row>
    <row r="2820" spans="1:16">
      <c r="A2820">
        <v>5</v>
      </c>
      <c r="B2820" t="s">
        <v>12507</v>
      </c>
      <c r="C2820" t="s">
        <v>12509</v>
      </c>
      <c r="D2820" t="s">
        <v>12543</v>
      </c>
      <c r="E2820" t="s">
        <v>7140</v>
      </c>
      <c r="F2820" t="s">
        <v>7141</v>
      </c>
      <c r="G2820" s="712">
        <v>0</v>
      </c>
      <c r="H2820">
        <v>0</v>
      </c>
      <c r="I2820" s="713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</row>
    <row r="2821" spans="1:16">
      <c r="A2821">
        <v>5</v>
      </c>
      <c r="B2821" t="s">
        <v>12507</v>
      </c>
      <c r="C2821" t="s">
        <v>12509</v>
      </c>
      <c r="D2821" t="s">
        <v>12543</v>
      </c>
      <c r="E2821" t="s">
        <v>7142</v>
      </c>
      <c r="F2821" t="s">
        <v>7143</v>
      </c>
      <c r="G2821" s="712">
        <v>0</v>
      </c>
      <c r="H2821">
        <v>0</v>
      </c>
      <c r="I2821" s="713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</row>
    <row r="2822" spans="1:16">
      <c r="A2822">
        <v>5</v>
      </c>
      <c r="B2822" t="s">
        <v>12507</v>
      </c>
      <c r="C2822" t="s">
        <v>12509</v>
      </c>
      <c r="D2822" t="s">
        <v>12543</v>
      </c>
      <c r="E2822" t="s">
        <v>7146</v>
      </c>
      <c r="F2822" t="s">
        <v>7147</v>
      </c>
      <c r="G2822" s="712">
        <v>0</v>
      </c>
      <c r="H2822">
        <v>0</v>
      </c>
      <c r="I2822" s="713">
        <v>0</v>
      </c>
      <c r="J2822" s="711">
        <v>291600</v>
      </c>
      <c r="K2822" s="711">
        <v>291600</v>
      </c>
      <c r="L2822">
        <v>0</v>
      </c>
      <c r="M2822">
        <v>0</v>
      </c>
      <c r="N2822" s="711">
        <v>291600</v>
      </c>
      <c r="O2822" s="711">
        <v>291600</v>
      </c>
      <c r="P2822">
        <v>0</v>
      </c>
    </row>
    <row r="2823" spans="1:16">
      <c r="A2823">
        <v>5</v>
      </c>
      <c r="B2823" t="s">
        <v>12507</v>
      </c>
      <c r="C2823" t="s">
        <v>12509</v>
      </c>
      <c r="D2823" t="s">
        <v>12543</v>
      </c>
      <c r="E2823" t="s">
        <v>7151</v>
      </c>
      <c r="F2823" t="s">
        <v>7152</v>
      </c>
      <c r="G2823" s="712">
        <v>0</v>
      </c>
      <c r="H2823">
        <v>0</v>
      </c>
      <c r="I2823" s="71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</row>
    <row r="2824" spans="1:16">
      <c r="A2824">
        <v>5</v>
      </c>
      <c r="B2824" t="s">
        <v>12507</v>
      </c>
      <c r="C2824" t="s">
        <v>12509</v>
      </c>
      <c r="D2824" t="s">
        <v>12543</v>
      </c>
      <c r="E2824" t="s">
        <v>7153</v>
      </c>
      <c r="F2824" t="s">
        <v>7154</v>
      </c>
      <c r="G2824" s="712">
        <v>0</v>
      </c>
      <c r="H2824">
        <v>0</v>
      </c>
      <c r="I2824" s="713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</row>
    <row r="2825" spans="1:16">
      <c r="A2825">
        <v>5</v>
      </c>
      <c r="B2825" t="s">
        <v>12507</v>
      </c>
      <c r="C2825" t="s">
        <v>12509</v>
      </c>
      <c r="D2825" t="s">
        <v>12543</v>
      </c>
      <c r="E2825" t="s">
        <v>7155</v>
      </c>
      <c r="F2825" t="s">
        <v>7156</v>
      </c>
      <c r="G2825" s="712">
        <v>0</v>
      </c>
      <c r="H2825">
        <v>0</v>
      </c>
      <c r="I2825" s="713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</row>
    <row r="2826" spans="1:16">
      <c r="A2826">
        <v>5</v>
      </c>
      <c r="B2826" t="s">
        <v>12507</v>
      </c>
      <c r="C2826" t="s">
        <v>12509</v>
      </c>
      <c r="D2826" t="s">
        <v>12543</v>
      </c>
      <c r="E2826" t="s">
        <v>7157</v>
      </c>
      <c r="F2826" t="s">
        <v>7158</v>
      </c>
      <c r="G2826" s="712">
        <v>0</v>
      </c>
      <c r="H2826">
        <v>0</v>
      </c>
      <c r="I2826" s="713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</row>
    <row r="2827" spans="1:16">
      <c r="A2827">
        <v>5</v>
      </c>
      <c r="B2827" t="s">
        <v>12507</v>
      </c>
      <c r="C2827" t="s">
        <v>12509</v>
      </c>
      <c r="D2827" t="s">
        <v>12543</v>
      </c>
      <c r="E2827" t="s">
        <v>7159</v>
      </c>
      <c r="F2827" t="s">
        <v>7160</v>
      </c>
      <c r="G2827" s="712">
        <v>0</v>
      </c>
      <c r="H2827">
        <v>0</v>
      </c>
      <c r="I2827" s="713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</row>
    <row r="2828" spans="1:16">
      <c r="A2828">
        <v>5</v>
      </c>
      <c r="B2828" t="s">
        <v>12507</v>
      </c>
      <c r="C2828" t="s">
        <v>12509</v>
      </c>
      <c r="D2828" t="s">
        <v>12543</v>
      </c>
      <c r="E2828" t="s">
        <v>7161</v>
      </c>
      <c r="F2828" t="s">
        <v>7162</v>
      </c>
      <c r="G2828" s="712">
        <v>0</v>
      </c>
      <c r="H2828">
        <v>0</v>
      </c>
      <c r="I2828" s="713">
        <v>0</v>
      </c>
      <c r="J2828" s="711">
        <v>380458.84</v>
      </c>
      <c r="K2828">
        <v>0</v>
      </c>
      <c r="L2828">
        <v>0</v>
      </c>
      <c r="M2828">
        <v>0</v>
      </c>
      <c r="N2828" s="711">
        <v>380458.84</v>
      </c>
      <c r="O2828">
        <v>0</v>
      </c>
      <c r="P2828" s="711">
        <v>380458.84</v>
      </c>
    </row>
    <row r="2829" spans="1:16" ht="15.75" thickBot="1">
      <c r="A2829">
        <v>5</v>
      </c>
      <c r="B2829" t="s">
        <v>12507</v>
      </c>
      <c r="C2829" t="s">
        <v>12509</v>
      </c>
      <c r="D2829" t="s">
        <v>12543</v>
      </c>
      <c r="E2829" t="s">
        <v>7167</v>
      </c>
      <c r="F2829" t="s">
        <v>7168</v>
      </c>
      <c r="G2829" s="712">
        <v>0</v>
      </c>
      <c r="H2829">
        <v>0</v>
      </c>
      <c r="I2829" s="713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</row>
    <row r="2830" spans="1:16" ht="15.75" thickBot="1">
      <c r="A2830" s="727">
        <v>5</v>
      </c>
      <c r="B2830" s="727" t="s">
        <v>12507</v>
      </c>
      <c r="C2830" s="727" t="s">
        <v>12509</v>
      </c>
      <c r="D2830" s="727" t="s">
        <v>12545</v>
      </c>
      <c r="E2830" s="727"/>
      <c r="F2830" s="729" t="s">
        <v>12546</v>
      </c>
      <c r="G2830" s="738">
        <v>0</v>
      </c>
      <c r="H2830" s="738">
        <v>0</v>
      </c>
      <c r="I2830" s="738">
        <v>0</v>
      </c>
      <c r="J2830" s="739">
        <v>2063027.15</v>
      </c>
      <c r="K2830" s="739">
        <v>24965.61</v>
      </c>
      <c r="L2830" s="738">
        <v>0</v>
      </c>
      <c r="M2830" s="738">
        <v>0</v>
      </c>
      <c r="N2830" s="739">
        <v>2063027.15</v>
      </c>
      <c r="O2830" s="739">
        <v>24965.61</v>
      </c>
      <c r="P2830" s="739">
        <v>2038061.54</v>
      </c>
    </row>
    <row r="2831" spans="1:16">
      <c r="A2831">
        <v>5</v>
      </c>
      <c r="B2831" t="s">
        <v>12507</v>
      </c>
      <c r="C2831" t="s">
        <v>12509</v>
      </c>
      <c r="D2831" t="s">
        <v>12545</v>
      </c>
      <c r="E2831" t="s">
        <v>7175</v>
      </c>
      <c r="F2831" t="s">
        <v>7176</v>
      </c>
      <c r="G2831" s="712">
        <v>0</v>
      </c>
      <c r="H2831">
        <v>0</v>
      </c>
      <c r="I2831" s="713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</row>
    <row r="2832" spans="1:16">
      <c r="A2832">
        <v>5</v>
      </c>
      <c r="B2832" t="s">
        <v>12507</v>
      </c>
      <c r="C2832" t="s">
        <v>12509</v>
      </c>
      <c r="D2832" t="s">
        <v>12545</v>
      </c>
      <c r="E2832" t="s">
        <v>7181</v>
      </c>
      <c r="F2832" t="s">
        <v>7182</v>
      </c>
      <c r="G2832" s="712">
        <v>0</v>
      </c>
      <c r="H2832">
        <v>0</v>
      </c>
      <c r="I2832" s="713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</row>
    <row r="2833" spans="1:16">
      <c r="A2833">
        <v>5</v>
      </c>
      <c r="B2833" t="s">
        <v>12507</v>
      </c>
      <c r="C2833" t="s">
        <v>12509</v>
      </c>
      <c r="D2833" t="s">
        <v>12545</v>
      </c>
      <c r="E2833" t="s">
        <v>7183</v>
      </c>
      <c r="F2833" t="s">
        <v>7184</v>
      </c>
      <c r="G2833" s="712">
        <v>0</v>
      </c>
      <c r="H2833">
        <v>0</v>
      </c>
      <c r="I2833" s="71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</row>
    <row r="2834" spans="1:16">
      <c r="A2834">
        <v>5</v>
      </c>
      <c r="B2834" t="s">
        <v>12507</v>
      </c>
      <c r="C2834" t="s">
        <v>12509</v>
      </c>
      <c r="D2834" t="s">
        <v>12545</v>
      </c>
      <c r="E2834" t="s">
        <v>7185</v>
      </c>
      <c r="F2834" t="s">
        <v>7186</v>
      </c>
      <c r="G2834" s="712">
        <v>0</v>
      </c>
      <c r="H2834">
        <v>0</v>
      </c>
      <c r="I2834" s="713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</row>
    <row r="2835" spans="1:16">
      <c r="A2835">
        <v>5</v>
      </c>
      <c r="B2835" t="s">
        <v>12507</v>
      </c>
      <c r="C2835" t="s">
        <v>12509</v>
      </c>
      <c r="D2835" t="s">
        <v>12545</v>
      </c>
      <c r="E2835" t="s">
        <v>7187</v>
      </c>
      <c r="F2835" t="s">
        <v>7188</v>
      </c>
      <c r="G2835" s="712">
        <v>0</v>
      </c>
      <c r="H2835">
        <v>0</v>
      </c>
      <c r="I2835" s="713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</row>
    <row r="2836" spans="1:16">
      <c r="A2836">
        <v>5</v>
      </c>
      <c r="B2836" t="s">
        <v>12507</v>
      </c>
      <c r="C2836" t="s">
        <v>12509</v>
      </c>
      <c r="D2836" t="s">
        <v>12545</v>
      </c>
      <c r="E2836" t="s">
        <v>7189</v>
      </c>
      <c r="F2836" t="s">
        <v>7190</v>
      </c>
      <c r="G2836" s="712">
        <v>0</v>
      </c>
      <c r="H2836">
        <v>0</v>
      </c>
      <c r="I2836" s="713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</row>
    <row r="2837" spans="1:16">
      <c r="A2837">
        <v>5</v>
      </c>
      <c r="B2837" t="s">
        <v>12507</v>
      </c>
      <c r="C2837" t="s">
        <v>12509</v>
      </c>
      <c r="D2837" t="s">
        <v>12545</v>
      </c>
      <c r="E2837" t="s">
        <v>7192</v>
      </c>
      <c r="F2837" t="s">
        <v>7193</v>
      </c>
      <c r="G2837" s="712">
        <v>0</v>
      </c>
      <c r="H2837">
        <v>0</v>
      </c>
      <c r="I2837" s="713">
        <v>0</v>
      </c>
      <c r="J2837" s="711">
        <v>2184.52</v>
      </c>
      <c r="K2837">
        <v>0</v>
      </c>
      <c r="L2837">
        <v>0</v>
      </c>
      <c r="M2837">
        <v>0</v>
      </c>
      <c r="N2837" s="711">
        <v>2184.52</v>
      </c>
      <c r="O2837">
        <v>0</v>
      </c>
      <c r="P2837" s="711">
        <v>2184.52</v>
      </c>
    </row>
    <row r="2838" spans="1:16">
      <c r="A2838">
        <v>5</v>
      </c>
      <c r="B2838" t="s">
        <v>12507</v>
      </c>
      <c r="C2838" t="s">
        <v>12509</v>
      </c>
      <c r="D2838" t="s">
        <v>12545</v>
      </c>
      <c r="E2838" t="s">
        <v>7197</v>
      </c>
      <c r="F2838" t="s">
        <v>7198</v>
      </c>
      <c r="G2838" s="712">
        <v>0</v>
      </c>
      <c r="H2838">
        <v>0</v>
      </c>
      <c r="I2838" s="713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</row>
    <row r="2839" spans="1:16">
      <c r="A2839">
        <v>5</v>
      </c>
      <c r="B2839" t="s">
        <v>12507</v>
      </c>
      <c r="C2839" t="s">
        <v>12509</v>
      </c>
      <c r="D2839" t="s">
        <v>12545</v>
      </c>
      <c r="E2839" t="s">
        <v>7201</v>
      </c>
      <c r="F2839" t="s">
        <v>7202</v>
      </c>
      <c r="G2839" s="712">
        <v>0</v>
      </c>
      <c r="H2839">
        <v>0</v>
      </c>
      <c r="I2839" s="713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</row>
    <row r="2840" spans="1:16">
      <c r="A2840">
        <v>5</v>
      </c>
      <c r="B2840" t="s">
        <v>12507</v>
      </c>
      <c r="C2840" t="s">
        <v>12509</v>
      </c>
      <c r="D2840" t="s">
        <v>12545</v>
      </c>
      <c r="E2840" t="s">
        <v>7206</v>
      </c>
      <c r="F2840" t="s">
        <v>7207</v>
      </c>
      <c r="G2840" s="712">
        <v>0</v>
      </c>
      <c r="H2840">
        <v>0</v>
      </c>
      <c r="I2840" s="713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</row>
    <row r="2841" spans="1:16">
      <c r="A2841">
        <v>5</v>
      </c>
      <c r="B2841" t="s">
        <v>12507</v>
      </c>
      <c r="C2841" t="s">
        <v>12509</v>
      </c>
      <c r="D2841" t="s">
        <v>12545</v>
      </c>
      <c r="E2841" t="s">
        <v>7209</v>
      </c>
      <c r="F2841" t="s">
        <v>7210</v>
      </c>
      <c r="G2841" s="712">
        <v>0</v>
      </c>
      <c r="H2841">
        <v>0</v>
      </c>
      <c r="I2841" s="713">
        <v>0</v>
      </c>
      <c r="J2841" s="711">
        <v>895212.96</v>
      </c>
      <c r="K2841" s="711">
        <v>14583.31</v>
      </c>
      <c r="L2841">
        <v>0</v>
      </c>
      <c r="M2841">
        <v>0</v>
      </c>
      <c r="N2841" s="711">
        <v>895212.96</v>
      </c>
      <c r="O2841" s="711">
        <v>14583.31</v>
      </c>
      <c r="P2841" s="711">
        <v>880629.65</v>
      </c>
    </row>
    <row r="2842" spans="1:16">
      <c r="A2842">
        <v>5</v>
      </c>
      <c r="B2842" t="s">
        <v>12507</v>
      </c>
      <c r="C2842" t="s">
        <v>12509</v>
      </c>
      <c r="D2842" t="s">
        <v>12545</v>
      </c>
      <c r="E2842" t="s">
        <v>7213</v>
      </c>
      <c r="F2842" t="s">
        <v>7214</v>
      </c>
      <c r="G2842" s="712">
        <v>0</v>
      </c>
      <c r="H2842">
        <v>0</v>
      </c>
      <c r="I2842" s="713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</row>
    <row r="2843" spans="1:16">
      <c r="A2843">
        <v>5</v>
      </c>
      <c r="B2843" t="s">
        <v>12507</v>
      </c>
      <c r="C2843" t="s">
        <v>12509</v>
      </c>
      <c r="D2843" t="s">
        <v>12545</v>
      </c>
      <c r="E2843" t="s">
        <v>7218</v>
      </c>
      <c r="F2843" t="s">
        <v>7219</v>
      </c>
      <c r="G2843" s="712">
        <v>0</v>
      </c>
      <c r="H2843">
        <v>0</v>
      </c>
      <c r="I2843" s="71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</row>
    <row r="2844" spans="1:16">
      <c r="A2844">
        <v>5</v>
      </c>
      <c r="B2844" t="s">
        <v>12507</v>
      </c>
      <c r="C2844" t="s">
        <v>12509</v>
      </c>
      <c r="D2844" t="s">
        <v>12545</v>
      </c>
      <c r="E2844" t="s">
        <v>7223</v>
      </c>
      <c r="F2844" t="s">
        <v>7224</v>
      </c>
      <c r="G2844" s="712">
        <v>0</v>
      </c>
      <c r="H2844">
        <v>0</v>
      </c>
      <c r="I2844" s="713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</row>
    <row r="2845" spans="1:16">
      <c r="A2845">
        <v>5</v>
      </c>
      <c r="B2845" t="s">
        <v>12507</v>
      </c>
      <c r="C2845" t="s">
        <v>12509</v>
      </c>
      <c r="D2845" t="s">
        <v>12545</v>
      </c>
      <c r="E2845" t="s">
        <v>7228</v>
      </c>
      <c r="F2845" t="s">
        <v>7229</v>
      </c>
      <c r="G2845" s="712">
        <v>0</v>
      </c>
      <c r="H2845">
        <v>0</v>
      </c>
      <c r="I2845" s="713">
        <v>0</v>
      </c>
      <c r="J2845" s="711">
        <v>295053.34000000003</v>
      </c>
      <c r="K2845" s="711">
        <v>8052</v>
      </c>
      <c r="L2845">
        <v>0</v>
      </c>
      <c r="M2845">
        <v>0</v>
      </c>
      <c r="N2845" s="711">
        <v>295053.34000000003</v>
      </c>
      <c r="O2845" s="711">
        <v>8052</v>
      </c>
      <c r="P2845" s="711">
        <v>287001.34000000003</v>
      </c>
    </row>
    <row r="2846" spans="1:16">
      <c r="A2846">
        <v>5</v>
      </c>
      <c r="B2846" t="s">
        <v>12507</v>
      </c>
      <c r="C2846" t="s">
        <v>12509</v>
      </c>
      <c r="D2846" t="s">
        <v>12545</v>
      </c>
      <c r="E2846" t="s">
        <v>7231</v>
      </c>
      <c r="F2846" t="s">
        <v>7232</v>
      </c>
      <c r="G2846" s="712">
        <v>0</v>
      </c>
      <c r="H2846">
        <v>0</v>
      </c>
      <c r="I2846" s="713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</row>
    <row r="2847" spans="1:16">
      <c r="A2847">
        <v>5</v>
      </c>
      <c r="B2847" t="s">
        <v>12507</v>
      </c>
      <c r="C2847" t="s">
        <v>12509</v>
      </c>
      <c r="D2847" t="s">
        <v>12545</v>
      </c>
      <c r="E2847" t="s">
        <v>7234</v>
      </c>
      <c r="F2847" t="s">
        <v>7235</v>
      </c>
      <c r="G2847" s="712">
        <v>0</v>
      </c>
      <c r="H2847">
        <v>0</v>
      </c>
      <c r="I2847" s="713">
        <v>0</v>
      </c>
      <c r="J2847" s="711">
        <v>8576.4699999999993</v>
      </c>
      <c r="K2847">
        <v>0</v>
      </c>
      <c r="L2847">
        <v>0</v>
      </c>
      <c r="M2847">
        <v>0</v>
      </c>
      <c r="N2847" s="711">
        <v>8576.4699999999993</v>
      </c>
      <c r="O2847">
        <v>0</v>
      </c>
      <c r="P2847" s="711">
        <v>8576.4699999999993</v>
      </c>
    </row>
    <row r="2848" spans="1:16">
      <c r="A2848">
        <v>5</v>
      </c>
      <c r="B2848" t="s">
        <v>12507</v>
      </c>
      <c r="C2848" t="s">
        <v>12509</v>
      </c>
      <c r="D2848" t="s">
        <v>12545</v>
      </c>
      <c r="E2848" t="s">
        <v>7236</v>
      </c>
      <c r="F2848" t="s">
        <v>7237</v>
      </c>
      <c r="G2848" s="712">
        <v>0</v>
      </c>
      <c r="H2848">
        <v>0</v>
      </c>
      <c r="I2848" s="713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</row>
    <row r="2849" spans="1:16">
      <c r="A2849">
        <v>5</v>
      </c>
      <c r="B2849" t="s">
        <v>12507</v>
      </c>
      <c r="C2849" t="s">
        <v>12509</v>
      </c>
      <c r="D2849" t="s">
        <v>12545</v>
      </c>
      <c r="E2849" t="s">
        <v>7238</v>
      </c>
      <c r="F2849" t="s">
        <v>7239</v>
      </c>
      <c r="G2849" s="712">
        <v>0</v>
      </c>
      <c r="H2849">
        <v>0</v>
      </c>
      <c r="I2849" s="713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</row>
    <row r="2850" spans="1:16">
      <c r="A2850">
        <v>5</v>
      </c>
      <c r="B2850" t="s">
        <v>12507</v>
      </c>
      <c r="C2850" t="s">
        <v>12509</v>
      </c>
      <c r="D2850" t="s">
        <v>12545</v>
      </c>
      <c r="E2850" t="s">
        <v>7240</v>
      </c>
      <c r="F2850" t="s">
        <v>7241</v>
      </c>
      <c r="G2850" s="712">
        <v>0</v>
      </c>
      <c r="H2850">
        <v>0</v>
      </c>
      <c r="I2850" s="713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</row>
    <row r="2851" spans="1:16">
      <c r="A2851">
        <v>5</v>
      </c>
      <c r="B2851" t="s">
        <v>12507</v>
      </c>
      <c r="C2851" t="s">
        <v>12509</v>
      </c>
      <c r="D2851" t="s">
        <v>12545</v>
      </c>
      <c r="E2851" t="s">
        <v>7242</v>
      </c>
      <c r="F2851" t="s">
        <v>7243</v>
      </c>
      <c r="G2851" s="712">
        <v>0</v>
      </c>
      <c r="H2851">
        <v>0</v>
      </c>
      <c r="I2851" s="713">
        <v>0</v>
      </c>
      <c r="J2851" s="711">
        <v>13253.56</v>
      </c>
      <c r="K2851">
        <v>0</v>
      </c>
      <c r="L2851">
        <v>0</v>
      </c>
      <c r="M2851">
        <v>0</v>
      </c>
      <c r="N2851" s="711">
        <v>13253.56</v>
      </c>
      <c r="O2851">
        <v>0</v>
      </c>
      <c r="P2851" s="711">
        <v>13253.56</v>
      </c>
    </row>
    <row r="2852" spans="1:16">
      <c r="A2852">
        <v>5</v>
      </c>
      <c r="B2852" t="s">
        <v>12507</v>
      </c>
      <c r="C2852" t="s">
        <v>12509</v>
      </c>
      <c r="D2852" t="s">
        <v>12545</v>
      </c>
      <c r="E2852" t="s">
        <v>7244</v>
      </c>
      <c r="F2852" t="s">
        <v>7245</v>
      </c>
      <c r="G2852" s="712">
        <v>0</v>
      </c>
      <c r="H2852">
        <v>0</v>
      </c>
      <c r="I2852" s="713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</row>
    <row r="2853" spans="1:16">
      <c r="A2853">
        <v>5</v>
      </c>
      <c r="B2853" t="s">
        <v>12507</v>
      </c>
      <c r="C2853" t="s">
        <v>12509</v>
      </c>
      <c r="D2853" t="s">
        <v>12545</v>
      </c>
      <c r="E2853" t="s">
        <v>7246</v>
      </c>
      <c r="F2853" t="s">
        <v>7247</v>
      </c>
      <c r="G2853" s="712">
        <v>0</v>
      </c>
      <c r="H2853">
        <v>0</v>
      </c>
      <c r="I2853" s="71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</row>
    <row r="2854" spans="1:16">
      <c r="A2854">
        <v>5</v>
      </c>
      <c r="B2854" t="s">
        <v>12507</v>
      </c>
      <c r="C2854" t="s">
        <v>12509</v>
      </c>
      <c r="D2854" t="s">
        <v>12545</v>
      </c>
      <c r="E2854" t="s">
        <v>7248</v>
      </c>
      <c r="F2854" t="s">
        <v>7249</v>
      </c>
      <c r="G2854" s="712">
        <v>0</v>
      </c>
      <c r="H2854">
        <v>0</v>
      </c>
      <c r="I2854" s="713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</row>
    <row r="2855" spans="1:16">
      <c r="A2855">
        <v>5</v>
      </c>
      <c r="B2855" t="s">
        <v>12507</v>
      </c>
      <c r="C2855" t="s">
        <v>12509</v>
      </c>
      <c r="D2855" t="s">
        <v>12545</v>
      </c>
      <c r="E2855" t="s">
        <v>7250</v>
      </c>
      <c r="F2855" t="s">
        <v>7251</v>
      </c>
      <c r="G2855" s="712">
        <v>0</v>
      </c>
      <c r="H2855">
        <v>0</v>
      </c>
      <c r="I2855" s="713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</row>
    <row r="2856" spans="1:16">
      <c r="A2856">
        <v>5</v>
      </c>
      <c r="B2856" t="s">
        <v>12507</v>
      </c>
      <c r="C2856" t="s">
        <v>12509</v>
      </c>
      <c r="D2856" t="s">
        <v>12545</v>
      </c>
      <c r="E2856" t="s">
        <v>7252</v>
      </c>
      <c r="F2856" t="s">
        <v>7253</v>
      </c>
      <c r="G2856" s="712">
        <v>0</v>
      </c>
      <c r="H2856">
        <v>0</v>
      </c>
      <c r="I2856" s="713">
        <v>0</v>
      </c>
      <c r="J2856">
        <v>904.67</v>
      </c>
      <c r="K2856">
        <v>0</v>
      </c>
      <c r="L2856">
        <v>0</v>
      </c>
      <c r="M2856">
        <v>0</v>
      </c>
      <c r="N2856">
        <v>904.67</v>
      </c>
      <c r="O2856">
        <v>0</v>
      </c>
      <c r="P2856">
        <v>904.67</v>
      </c>
    </row>
    <row r="2857" spans="1:16">
      <c r="A2857">
        <v>5</v>
      </c>
      <c r="B2857" t="s">
        <v>12507</v>
      </c>
      <c r="C2857" t="s">
        <v>12509</v>
      </c>
      <c r="D2857" t="s">
        <v>12545</v>
      </c>
      <c r="E2857" t="s">
        <v>7254</v>
      </c>
      <c r="F2857" t="s">
        <v>7255</v>
      </c>
      <c r="G2857" s="712">
        <v>0</v>
      </c>
      <c r="H2857">
        <v>0</v>
      </c>
      <c r="I2857" s="713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</row>
    <row r="2858" spans="1:16">
      <c r="A2858">
        <v>5</v>
      </c>
      <c r="B2858" t="s">
        <v>12507</v>
      </c>
      <c r="C2858" t="s">
        <v>12509</v>
      </c>
      <c r="D2858" t="s">
        <v>12545</v>
      </c>
      <c r="E2858" t="s">
        <v>7256</v>
      </c>
      <c r="F2858" t="s">
        <v>7257</v>
      </c>
      <c r="G2858" s="712">
        <v>0</v>
      </c>
      <c r="H2858">
        <v>0</v>
      </c>
      <c r="I2858" s="713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</row>
    <row r="2859" spans="1:16">
      <c r="A2859">
        <v>5</v>
      </c>
      <c r="B2859" t="s">
        <v>12507</v>
      </c>
      <c r="C2859" t="s">
        <v>12509</v>
      </c>
      <c r="D2859" t="s">
        <v>12545</v>
      </c>
      <c r="E2859" t="s">
        <v>7258</v>
      </c>
      <c r="F2859" t="s">
        <v>7259</v>
      </c>
      <c r="G2859" s="712">
        <v>0</v>
      </c>
      <c r="H2859">
        <v>0</v>
      </c>
      <c r="I2859" s="713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</row>
    <row r="2860" spans="1:16">
      <c r="A2860">
        <v>5</v>
      </c>
      <c r="B2860" t="s">
        <v>12507</v>
      </c>
      <c r="C2860" t="s">
        <v>12509</v>
      </c>
      <c r="D2860" t="s">
        <v>12545</v>
      </c>
      <c r="E2860" t="s">
        <v>7260</v>
      </c>
      <c r="F2860" t="s">
        <v>7261</v>
      </c>
      <c r="G2860" s="712">
        <v>0</v>
      </c>
      <c r="H2860">
        <v>0</v>
      </c>
      <c r="I2860" s="713">
        <v>0</v>
      </c>
      <c r="J2860" s="711">
        <v>13485.83</v>
      </c>
      <c r="K2860">
        <v>0</v>
      </c>
      <c r="L2860">
        <v>0</v>
      </c>
      <c r="M2860">
        <v>0</v>
      </c>
      <c r="N2860" s="711">
        <v>13485.83</v>
      </c>
      <c r="O2860">
        <v>0</v>
      </c>
      <c r="P2860" s="711">
        <v>13485.83</v>
      </c>
    </row>
    <row r="2861" spans="1:16">
      <c r="A2861">
        <v>5</v>
      </c>
      <c r="B2861" t="s">
        <v>12507</v>
      </c>
      <c r="C2861" t="s">
        <v>12509</v>
      </c>
      <c r="D2861" t="s">
        <v>12545</v>
      </c>
      <c r="E2861" t="s">
        <v>7262</v>
      </c>
      <c r="F2861" t="s">
        <v>7263</v>
      </c>
      <c r="G2861" s="712">
        <v>0</v>
      </c>
      <c r="H2861">
        <v>0</v>
      </c>
      <c r="I2861" s="713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</row>
    <row r="2862" spans="1:16">
      <c r="A2862">
        <v>5</v>
      </c>
      <c r="B2862" t="s">
        <v>12507</v>
      </c>
      <c r="C2862" t="s">
        <v>12509</v>
      </c>
      <c r="D2862" t="s">
        <v>12545</v>
      </c>
      <c r="E2862" t="s">
        <v>7264</v>
      </c>
      <c r="F2862" t="s">
        <v>7265</v>
      </c>
      <c r="G2862" s="712">
        <v>0</v>
      </c>
      <c r="H2862">
        <v>0</v>
      </c>
      <c r="I2862" s="713">
        <v>0</v>
      </c>
      <c r="J2862" s="711">
        <v>11340</v>
      </c>
      <c r="K2862">
        <v>0</v>
      </c>
      <c r="L2862">
        <v>0</v>
      </c>
      <c r="M2862">
        <v>0</v>
      </c>
      <c r="N2862" s="711">
        <v>11340</v>
      </c>
      <c r="O2862">
        <v>0</v>
      </c>
      <c r="P2862" s="711">
        <v>11340</v>
      </c>
    </row>
    <row r="2863" spans="1:16">
      <c r="A2863">
        <v>5</v>
      </c>
      <c r="B2863" t="s">
        <v>12507</v>
      </c>
      <c r="C2863" t="s">
        <v>12509</v>
      </c>
      <c r="D2863" t="s">
        <v>12545</v>
      </c>
      <c r="E2863" t="s">
        <v>7266</v>
      </c>
      <c r="F2863" t="s">
        <v>7267</v>
      </c>
      <c r="G2863" s="712">
        <v>0</v>
      </c>
      <c r="H2863">
        <v>0</v>
      </c>
      <c r="I2863" s="713">
        <v>0</v>
      </c>
      <c r="J2863" s="711">
        <v>7500</v>
      </c>
      <c r="K2863">
        <v>0</v>
      </c>
      <c r="L2863">
        <v>0</v>
      </c>
      <c r="M2863">
        <v>0</v>
      </c>
      <c r="N2863" s="711">
        <v>7500</v>
      </c>
      <c r="O2863">
        <v>0</v>
      </c>
      <c r="P2863" s="711">
        <v>7500</v>
      </c>
    </row>
    <row r="2864" spans="1:16">
      <c r="A2864">
        <v>5</v>
      </c>
      <c r="B2864" t="s">
        <v>12507</v>
      </c>
      <c r="C2864" t="s">
        <v>12509</v>
      </c>
      <c r="D2864" t="s">
        <v>12545</v>
      </c>
      <c r="E2864" t="s">
        <v>7268</v>
      </c>
      <c r="F2864" t="s">
        <v>7269</v>
      </c>
      <c r="G2864" s="712">
        <v>0</v>
      </c>
      <c r="H2864">
        <v>0</v>
      </c>
      <c r="I2864" s="713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</row>
    <row r="2865" spans="1:16">
      <c r="A2865">
        <v>5</v>
      </c>
      <c r="B2865" t="s">
        <v>12507</v>
      </c>
      <c r="C2865" t="s">
        <v>12509</v>
      </c>
      <c r="D2865" t="s">
        <v>12545</v>
      </c>
      <c r="E2865" t="s">
        <v>7270</v>
      </c>
      <c r="F2865" t="s">
        <v>7271</v>
      </c>
      <c r="G2865" s="712">
        <v>0</v>
      </c>
      <c r="H2865">
        <v>0</v>
      </c>
      <c r="I2865" s="713">
        <v>0</v>
      </c>
      <c r="J2865" s="711">
        <v>4557.43</v>
      </c>
      <c r="K2865">
        <v>0</v>
      </c>
      <c r="L2865">
        <v>0</v>
      </c>
      <c r="M2865">
        <v>0</v>
      </c>
      <c r="N2865" s="711">
        <v>4557.43</v>
      </c>
      <c r="O2865">
        <v>0</v>
      </c>
      <c r="P2865" s="711">
        <v>4557.43</v>
      </c>
    </row>
    <row r="2866" spans="1:16">
      <c r="A2866">
        <v>5</v>
      </c>
      <c r="B2866" t="s">
        <v>12507</v>
      </c>
      <c r="C2866" t="s">
        <v>12509</v>
      </c>
      <c r="D2866" t="s">
        <v>12545</v>
      </c>
      <c r="E2866" t="s">
        <v>7272</v>
      </c>
      <c r="F2866" t="s">
        <v>7273</v>
      </c>
      <c r="G2866" s="712">
        <v>0</v>
      </c>
      <c r="H2866">
        <v>0</v>
      </c>
      <c r="I2866" s="713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</row>
    <row r="2867" spans="1:16">
      <c r="A2867">
        <v>5</v>
      </c>
      <c r="B2867" t="s">
        <v>12507</v>
      </c>
      <c r="C2867" t="s">
        <v>12509</v>
      </c>
      <c r="D2867" t="s">
        <v>12545</v>
      </c>
      <c r="E2867" t="s">
        <v>7275</v>
      </c>
      <c r="F2867" t="s">
        <v>7276</v>
      </c>
      <c r="G2867" s="712">
        <v>0</v>
      </c>
      <c r="H2867">
        <v>0</v>
      </c>
      <c r="I2867" s="713">
        <v>0</v>
      </c>
      <c r="J2867" s="711">
        <v>799531.56</v>
      </c>
      <c r="K2867" s="711">
        <v>2330.3000000000002</v>
      </c>
      <c r="L2867">
        <v>0</v>
      </c>
      <c r="M2867">
        <v>0</v>
      </c>
      <c r="N2867" s="711">
        <v>799531.56</v>
      </c>
      <c r="O2867" s="711">
        <v>2330.3000000000002</v>
      </c>
      <c r="P2867" s="711">
        <v>797201.26</v>
      </c>
    </row>
    <row r="2868" spans="1:16">
      <c r="A2868">
        <v>5</v>
      </c>
      <c r="B2868" t="s">
        <v>12507</v>
      </c>
      <c r="C2868" t="s">
        <v>12509</v>
      </c>
      <c r="D2868" t="s">
        <v>12545</v>
      </c>
      <c r="E2868" t="s">
        <v>7278</v>
      </c>
      <c r="F2868" t="s">
        <v>7279</v>
      </c>
      <c r="G2868" s="712">
        <v>0</v>
      </c>
      <c r="H2868">
        <v>0</v>
      </c>
      <c r="I2868" s="713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</row>
    <row r="2869" spans="1:16">
      <c r="A2869">
        <v>5</v>
      </c>
      <c r="B2869" t="s">
        <v>12507</v>
      </c>
      <c r="C2869" t="s">
        <v>12509</v>
      </c>
      <c r="D2869" t="s">
        <v>12545</v>
      </c>
      <c r="E2869" t="s">
        <v>7280</v>
      </c>
      <c r="F2869" t="s">
        <v>7281</v>
      </c>
      <c r="G2869" s="712">
        <v>0</v>
      </c>
      <c r="H2869">
        <v>0</v>
      </c>
      <c r="I2869" s="713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</row>
    <row r="2870" spans="1:16">
      <c r="A2870">
        <v>5</v>
      </c>
      <c r="B2870" t="s">
        <v>12507</v>
      </c>
      <c r="C2870" t="s">
        <v>12509</v>
      </c>
      <c r="D2870" t="s">
        <v>12545</v>
      </c>
      <c r="E2870" t="s">
        <v>7282</v>
      </c>
      <c r="F2870" t="s">
        <v>7283</v>
      </c>
      <c r="G2870" s="712">
        <v>0</v>
      </c>
      <c r="H2870">
        <v>0</v>
      </c>
      <c r="I2870" s="713">
        <v>0</v>
      </c>
      <c r="J2870" s="711">
        <v>11426.81</v>
      </c>
      <c r="K2870">
        <v>0</v>
      </c>
      <c r="L2870">
        <v>0</v>
      </c>
      <c r="M2870">
        <v>0</v>
      </c>
      <c r="N2870" s="711">
        <v>11426.81</v>
      </c>
      <c r="O2870">
        <v>0</v>
      </c>
      <c r="P2870" s="711">
        <v>11426.81</v>
      </c>
    </row>
    <row r="2871" spans="1:16">
      <c r="A2871">
        <v>5</v>
      </c>
      <c r="B2871" t="s">
        <v>12507</v>
      </c>
      <c r="C2871" t="s">
        <v>12509</v>
      </c>
      <c r="D2871" t="s">
        <v>12545</v>
      </c>
      <c r="E2871" t="s">
        <v>7284</v>
      </c>
      <c r="F2871" t="s">
        <v>7285</v>
      </c>
      <c r="G2871" s="712">
        <v>0</v>
      </c>
      <c r="H2871">
        <v>0</v>
      </c>
      <c r="I2871" s="713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</row>
    <row r="2872" spans="1:16">
      <c r="A2872">
        <v>5</v>
      </c>
      <c r="B2872" t="s">
        <v>12507</v>
      </c>
      <c r="C2872" t="s">
        <v>12509</v>
      </c>
      <c r="D2872" t="s">
        <v>12545</v>
      </c>
      <c r="E2872" t="s">
        <v>7286</v>
      </c>
      <c r="F2872" t="s">
        <v>7287</v>
      </c>
      <c r="G2872" s="712">
        <v>0</v>
      </c>
      <c r="H2872">
        <v>0</v>
      </c>
      <c r="I2872" s="713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</row>
    <row r="2873" spans="1:16">
      <c r="A2873">
        <v>5</v>
      </c>
      <c r="B2873" t="s">
        <v>12507</v>
      </c>
      <c r="C2873" t="s">
        <v>12509</v>
      </c>
      <c r="D2873" t="s">
        <v>12545</v>
      </c>
      <c r="E2873" t="s">
        <v>7288</v>
      </c>
      <c r="F2873" t="s">
        <v>7289</v>
      </c>
      <c r="G2873" s="712">
        <v>0</v>
      </c>
      <c r="H2873">
        <v>0</v>
      </c>
      <c r="I2873" s="71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</row>
    <row r="2874" spans="1:16">
      <c r="A2874">
        <v>5</v>
      </c>
      <c r="B2874" t="s">
        <v>12507</v>
      </c>
      <c r="C2874" t="s">
        <v>12509</v>
      </c>
      <c r="D2874" t="s">
        <v>12545</v>
      </c>
      <c r="E2874" t="s">
        <v>7292</v>
      </c>
      <c r="F2874" t="s">
        <v>7293</v>
      </c>
      <c r="G2874" s="712">
        <v>0</v>
      </c>
      <c r="H2874">
        <v>0</v>
      </c>
      <c r="I2874" s="713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</row>
    <row r="2875" spans="1:16">
      <c r="A2875">
        <v>5</v>
      </c>
      <c r="B2875" t="s">
        <v>12507</v>
      </c>
      <c r="C2875" t="s">
        <v>12509</v>
      </c>
      <c r="D2875" t="s">
        <v>12545</v>
      </c>
      <c r="E2875" t="s">
        <v>7295</v>
      </c>
      <c r="F2875" t="s">
        <v>7296</v>
      </c>
      <c r="G2875" s="712">
        <v>0</v>
      </c>
      <c r="H2875">
        <v>0</v>
      </c>
      <c r="I2875" s="713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</row>
    <row r="2876" spans="1:16">
      <c r="A2876">
        <v>5</v>
      </c>
      <c r="B2876" t="s">
        <v>12507</v>
      </c>
      <c r="C2876" t="s">
        <v>12509</v>
      </c>
      <c r="D2876" t="s">
        <v>12545</v>
      </c>
      <c r="E2876" t="s">
        <v>7298</v>
      </c>
      <c r="F2876" t="s">
        <v>7299</v>
      </c>
      <c r="G2876" s="712">
        <v>0</v>
      </c>
      <c r="H2876">
        <v>0</v>
      </c>
      <c r="I2876" s="713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</row>
    <row r="2877" spans="1:16">
      <c r="A2877">
        <v>5</v>
      </c>
      <c r="B2877" t="s">
        <v>12507</v>
      </c>
      <c r="C2877" t="s">
        <v>12509</v>
      </c>
      <c r="D2877" t="s">
        <v>12545</v>
      </c>
      <c r="E2877" t="s">
        <v>7301</v>
      </c>
      <c r="F2877" t="s">
        <v>7302</v>
      </c>
      <c r="G2877" s="712">
        <v>0</v>
      </c>
      <c r="H2877">
        <v>0</v>
      </c>
      <c r="I2877" s="713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</row>
    <row r="2878" spans="1:16" ht="15.75" thickBot="1">
      <c r="A2878">
        <v>5</v>
      </c>
      <c r="B2878" t="s">
        <v>12507</v>
      </c>
      <c r="C2878" t="s">
        <v>12509</v>
      </c>
      <c r="D2878" t="s">
        <v>12545</v>
      </c>
      <c r="E2878" t="s">
        <v>7305</v>
      </c>
      <c r="F2878" t="s">
        <v>7306</v>
      </c>
      <c r="G2878" s="712">
        <v>0</v>
      </c>
      <c r="H2878">
        <v>0</v>
      </c>
      <c r="I2878" s="713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</row>
    <row r="2879" spans="1:16" ht="15.75" thickBot="1">
      <c r="A2879" s="727">
        <v>5</v>
      </c>
      <c r="B2879" s="727" t="s">
        <v>12507</v>
      </c>
      <c r="C2879" s="727" t="s">
        <v>12509</v>
      </c>
      <c r="D2879" s="727" t="s">
        <v>12547</v>
      </c>
      <c r="E2879" s="727"/>
      <c r="F2879" s="729" t="s">
        <v>12548</v>
      </c>
      <c r="G2879" s="738">
        <v>0</v>
      </c>
      <c r="H2879" s="738">
        <v>0</v>
      </c>
      <c r="I2879" s="738">
        <v>0</v>
      </c>
      <c r="J2879" s="739">
        <v>21165481.969999999</v>
      </c>
      <c r="K2879" s="739">
        <v>2483660.92</v>
      </c>
      <c r="L2879" s="738">
        <v>0</v>
      </c>
      <c r="M2879" s="738">
        <v>0</v>
      </c>
      <c r="N2879" s="739">
        <v>21165481.969999999</v>
      </c>
      <c r="O2879" s="739">
        <v>2483660.92</v>
      </c>
      <c r="P2879" s="739">
        <v>18681821.050000001</v>
      </c>
    </row>
    <row r="2880" spans="1:16">
      <c r="A2880">
        <v>5</v>
      </c>
      <c r="B2880" t="s">
        <v>12507</v>
      </c>
      <c r="C2880" t="s">
        <v>12509</v>
      </c>
      <c r="D2880" t="s">
        <v>12547</v>
      </c>
      <c r="E2880" t="s">
        <v>7312</v>
      </c>
      <c r="F2880" t="s">
        <v>7313</v>
      </c>
      <c r="G2880" s="712">
        <v>0</v>
      </c>
      <c r="H2880">
        <v>0</v>
      </c>
      <c r="I2880" s="713">
        <v>0</v>
      </c>
      <c r="J2880" s="711">
        <v>3225316.85</v>
      </c>
      <c r="K2880">
        <v>0</v>
      </c>
      <c r="L2880">
        <v>0</v>
      </c>
      <c r="M2880">
        <v>0</v>
      </c>
      <c r="N2880" s="711">
        <v>3225316.85</v>
      </c>
      <c r="O2880">
        <v>0</v>
      </c>
      <c r="P2880" s="711">
        <v>3225316.85</v>
      </c>
    </row>
    <row r="2881" spans="1:16">
      <c r="A2881">
        <v>5</v>
      </c>
      <c r="B2881" t="s">
        <v>12507</v>
      </c>
      <c r="C2881" t="s">
        <v>12509</v>
      </c>
      <c r="D2881" t="s">
        <v>12547</v>
      </c>
      <c r="E2881" t="s">
        <v>7316</v>
      </c>
      <c r="F2881" t="s">
        <v>7317</v>
      </c>
      <c r="G2881" s="712">
        <v>0</v>
      </c>
      <c r="H2881">
        <v>0</v>
      </c>
      <c r="I2881" s="713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</row>
    <row r="2882" spans="1:16">
      <c r="A2882">
        <v>5</v>
      </c>
      <c r="B2882" t="s">
        <v>12507</v>
      </c>
      <c r="C2882" t="s">
        <v>12509</v>
      </c>
      <c r="D2882" t="s">
        <v>12547</v>
      </c>
      <c r="E2882" t="s">
        <v>7318</v>
      </c>
      <c r="F2882" t="s">
        <v>7319</v>
      </c>
      <c r="G2882" s="712">
        <v>0</v>
      </c>
      <c r="H2882">
        <v>0</v>
      </c>
      <c r="I2882" s="713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</row>
    <row r="2883" spans="1:16">
      <c r="A2883">
        <v>5</v>
      </c>
      <c r="B2883" t="s">
        <v>12507</v>
      </c>
      <c r="C2883" t="s">
        <v>12509</v>
      </c>
      <c r="D2883" t="s">
        <v>12547</v>
      </c>
      <c r="E2883" t="s">
        <v>7320</v>
      </c>
      <c r="F2883" t="s">
        <v>7321</v>
      </c>
      <c r="G2883" s="712">
        <v>0</v>
      </c>
      <c r="H2883">
        <v>0</v>
      </c>
      <c r="I2883" s="713">
        <v>0</v>
      </c>
      <c r="J2883" s="711">
        <v>939117.76</v>
      </c>
      <c r="K2883" s="711">
        <v>900000</v>
      </c>
      <c r="L2883">
        <v>0</v>
      </c>
      <c r="M2883">
        <v>0</v>
      </c>
      <c r="N2883" s="711">
        <v>939117.76</v>
      </c>
      <c r="O2883" s="711">
        <v>900000</v>
      </c>
      <c r="P2883" s="711">
        <v>39117.760000000002</v>
      </c>
    </row>
    <row r="2884" spans="1:16">
      <c r="A2884">
        <v>5</v>
      </c>
      <c r="B2884" t="s">
        <v>12507</v>
      </c>
      <c r="C2884" t="s">
        <v>12509</v>
      </c>
      <c r="D2884" t="s">
        <v>12547</v>
      </c>
      <c r="E2884" t="s">
        <v>7323</v>
      </c>
      <c r="F2884" t="s">
        <v>7324</v>
      </c>
      <c r="G2884" s="712">
        <v>0</v>
      </c>
      <c r="H2884">
        <v>0</v>
      </c>
      <c r="I2884" s="713">
        <v>0</v>
      </c>
      <c r="J2884" s="711">
        <v>48116.2</v>
      </c>
      <c r="K2884">
        <v>0</v>
      </c>
      <c r="L2884">
        <v>0</v>
      </c>
      <c r="M2884">
        <v>0</v>
      </c>
      <c r="N2884" s="711">
        <v>48116.2</v>
      </c>
      <c r="O2884">
        <v>0</v>
      </c>
      <c r="P2884" s="711">
        <v>48116.2</v>
      </c>
    </row>
    <row r="2885" spans="1:16">
      <c r="A2885">
        <v>5</v>
      </c>
      <c r="B2885" t="s">
        <v>12507</v>
      </c>
      <c r="C2885" t="s">
        <v>12509</v>
      </c>
      <c r="D2885" t="s">
        <v>12547</v>
      </c>
      <c r="E2885" t="s">
        <v>7325</v>
      </c>
      <c r="F2885" t="s">
        <v>7326</v>
      </c>
      <c r="G2885" s="712">
        <v>0</v>
      </c>
      <c r="H2885">
        <v>0</v>
      </c>
      <c r="I2885" s="713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</row>
    <row r="2886" spans="1:16">
      <c r="A2886">
        <v>5</v>
      </c>
      <c r="B2886" t="s">
        <v>12507</v>
      </c>
      <c r="C2886" t="s">
        <v>12509</v>
      </c>
      <c r="D2886" t="s">
        <v>12547</v>
      </c>
      <c r="E2886" t="s">
        <v>7327</v>
      </c>
      <c r="F2886" t="s">
        <v>7328</v>
      </c>
      <c r="G2886" s="712">
        <v>0</v>
      </c>
      <c r="H2886">
        <v>0</v>
      </c>
      <c r="I2886" s="713">
        <v>0</v>
      </c>
      <c r="J2886" s="711">
        <v>683944.2</v>
      </c>
      <c r="K2886" s="711">
        <v>656459.79</v>
      </c>
      <c r="L2886">
        <v>0</v>
      </c>
      <c r="M2886">
        <v>0</v>
      </c>
      <c r="N2886" s="711">
        <v>683944.2</v>
      </c>
      <c r="O2886" s="711">
        <v>656459.79</v>
      </c>
      <c r="P2886" s="711">
        <v>27484.41</v>
      </c>
    </row>
    <row r="2887" spans="1:16">
      <c r="A2887">
        <v>5</v>
      </c>
      <c r="B2887" t="s">
        <v>12507</v>
      </c>
      <c r="C2887" t="s">
        <v>12509</v>
      </c>
      <c r="D2887" t="s">
        <v>12547</v>
      </c>
      <c r="E2887" t="s">
        <v>7329</v>
      </c>
      <c r="F2887" t="s">
        <v>7330</v>
      </c>
      <c r="G2887" s="712">
        <v>0</v>
      </c>
      <c r="H2887">
        <v>0</v>
      </c>
      <c r="I2887" s="713">
        <v>0</v>
      </c>
      <c r="J2887" s="711">
        <v>189699.48</v>
      </c>
      <c r="K2887">
        <v>0</v>
      </c>
      <c r="L2887">
        <v>0</v>
      </c>
      <c r="M2887">
        <v>0</v>
      </c>
      <c r="N2887" s="711">
        <v>189699.48</v>
      </c>
      <c r="O2887">
        <v>0</v>
      </c>
      <c r="P2887" s="711">
        <v>189699.48</v>
      </c>
    </row>
    <row r="2888" spans="1:16">
      <c r="A2888">
        <v>5</v>
      </c>
      <c r="B2888" t="s">
        <v>12507</v>
      </c>
      <c r="C2888" t="s">
        <v>12509</v>
      </c>
      <c r="D2888" t="s">
        <v>12547</v>
      </c>
      <c r="E2888" t="s">
        <v>7331</v>
      </c>
      <c r="F2888" t="s">
        <v>7332</v>
      </c>
      <c r="G2888" s="712">
        <v>0</v>
      </c>
      <c r="H2888">
        <v>0</v>
      </c>
      <c r="I2888" s="713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</row>
    <row r="2889" spans="1:16">
      <c r="A2889">
        <v>5</v>
      </c>
      <c r="B2889" t="s">
        <v>12507</v>
      </c>
      <c r="C2889" t="s">
        <v>12509</v>
      </c>
      <c r="D2889" t="s">
        <v>12547</v>
      </c>
      <c r="E2889" t="s">
        <v>7333</v>
      </c>
      <c r="F2889" t="s">
        <v>7334</v>
      </c>
      <c r="G2889" s="712">
        <v>0</v>
      </c>
      <c r="H2889">
        <v>0</v>
      </c>
      <c r="I2889" s="713">
        <v>0</v>
      </c>
      <c r="J2889" s="711">
        <v>3959997.77</v>
      </c>
      <c r="K2889">
        <v>0</v>
      </c>
      <c r="L2889">
        <v>0</v>
      </c>
      <c r="M2889">
        <v>0</v>
      </c>
      <c r="N2889" s="711">
        <v>3959997.77</v>
      </c>
      <c r="O2889">
        <v>0</v>
      </c>
      <c r="P2889" s="711">
        <v>3959997.77</v>
      </c>
    </row>
    <row r="2890" spans="1:16">
      <c r="A2890">
        <v>5</v>
      </c>
      <c r="B2890" t="s">
        <v>12507</v>
      </c>
      <c r="C2890" t="s">
        <v>12509</v>
      </c>
      <c r="D2890" t="s">
        <v>12547</v>
      </c>
      <c r="E2890" t="s">
        <v>7336</v>
      </c>
      <c r="F2890" t="s">
        <v>7337</v>
      </c>
      <c r="G2890" s="712">
        <v>0</v>
      </c>
      <c r="H2890">
        <v>0</v>
      </c>
      <c r="I2890" s="713">
        <v>0</v>
      </c>
      <c r="J2890" s="711">
        <v>778422.67</v>
      </c>
      <c r="K2890">
        <v>0</v>
      </c>
      <c r="L2890">
        <v>0</v>
      </c>
      <c r="M2890">
        <v>0</v>
      </c>
      <c r="N2890" s="711">
        <v>778422.67</v>
      </c>
      <c r="O2890">
        <v>0</v>
      </c>
      <c r="P2890" s="711">
        <v>778422.67</v>
      </c>
    </row>
    <row r="2891" spans="1:16">
      <c r="A2891">
        <v>5</v>
      </c>
      <c r="B2891" t="s">
        <v>12507</v>
      </c>
      <c r="C2891" t="s">
        <v>12509</v>
      </c>
      <c r="D2891" t="s">
        <v>12547</v>
      </c>
      <c r="E2891" t="s">
        <v>7339</v>
      </c>
      <c r="F2891" t="s">
        <v>7340</v>
      </c>
      <c r="G2891" s="712">
        <v>0</v>
      </c>
      <c r="H2891">
        <v>0</v>
      </c>
      <c r="I2891" s="713">
        <v>0</v>
      </c>
      <c r="J2891" s="711">
        <v>667465.37</v>
      </c>
      <c r="K2891">
        <v>0</v>
      </c>
      <c r="L2891">
        <v>0</v>
      </c>
      <c r="M2891">
        <v>0</v>
      </c>
      <c r="N2891" s="711">
        <v>667465.37</v>
      </c>
      <c r="O2891">
        <v>0</v>
      </c>
      <c r="P2891" s="711">
        <v>667465.37</v>
      </c>
    </row>
    <row r="2892" spans="1:16">
      <c r="A2892">
        <v>5</v>
      </c>
      <c r="B2892" t="s">
        <v>12507</v>
      </c>
      <c r="C2892" t="s">
        <v>12509</v>
      </c>
      <c r="D2892" t="s">
        <v>12547</v>
      </c>
      <c r="E2892" t="s">
        <v>7342</v>
      </c>
      <c r="F2892" t="s">
        <v>7343</v>
      </c>
      <c r="G2892" s="712">
        <v>0</v>
      </c>
      <c r="H2892">
        <v>0</v>
      </c>
      <c r="I2892" s="713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</row>
    <row r="2893" spans="1:16">
      <c r="A2893">
        <v>5</v>
      </c>
      <c r="B2893" t="s">
        <v>12507</v>
      </c>
      <c r="C2893" t="s">
        <v>12509</v>
      </c>
      <c r="D2893" t="s">
        <v>12547</v>
      </c>
      <c r="E2893" t="s">
        <v>7345</v>
      </c>
      <c r="F2893" t="s">
        <v>7346</v>
      </c>
      <c r="G2893" s="712">
        <v>0</v>
      </c>
      <c r="H2893">
        <v>0</v>
      </c>
      <c r="I2893" s="71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</row>
    <row r="2894" spans="1:16">
      <c r="A2894">
        <v>5</v>
      </c>
      <c r="B2894" t="s">
        <v>12507</v>
      </c>
      <c r="C2894" t="s">
        <v>12509</v>
      </c>
      <c r="D2894" t="s">
        <v>12547</v>
      </c>
      <c r="E2894" t="s">
        <v>7347</v>
      </c>
      <c r="F2894" t="s">
        <v>7348</v>
      </c>
      <c r="G2894" s="712">
        <v>0</v>
      </c>
      <c r="H2894">
        <v>0</v>
      </c>
      <c r="I2894" s="713">
        <v>0</v>
      </c>
      <c r="J2894" s="711">
        <v>2128014.0299999998</v>
      </c>
      <c r="K2894">
        <v>0</v>
      </c>
      <c r="L2894">
        <v>0</v>
      </c>
      <c r="M2894">
        <v>0</v>
      </c>
      <c r="N2894" s="711">
        <v>2128014.0299999998</v>
      </c>
      <c r="O2894">
        <v>0</v>
      </c>
      <c r="P2894" s="711">
        <v>2128014.0299999998</v>
      </c>
    </row>
    <row r="2895" spans="1:16">
      <c r="A2895">
        <v>5</v>
      </c>
      <c r="B2895" t="s">
        <v>12507</v>
      </c>
      <c r="C2895" t="s">
        <v>12509</v>
      </c>
      <c r="D2895" t="s">
        <v>12547</v>
      </c>
      <c r="E2895" t="s">
        <v>7349</v>
      </c>
      <c r="F2895" t="s">
        <v>7350</v>
      </c>
      <c r="G2895" s="712">
        <v>0</v>
      </c>
      <c r="H2895">
        <v>0</v>
      </c>
      <c r="I2895" s="713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</row>
    <row r="2896" spans="1:16">
      <c r="A2896">
        <v>5</v>
      </c>
      <c r="B2896" t="s">
        <v>12507</v>
      </c>
      <c r="C2896" t="s">
        <v>12509</v>
      </c>
      <c r="D2896" t="s">
        <v>12547</v>
      </c>
      <c r="E2896" t="s">
        <v>7351</v>
      </c>
      <c r="F2896" t="s">
        <v>7352</v>
      </c>
      <c r="G2896" s="712">
        <v>0</v>
      </c>
      <c r="H2896">
        <v>0</v>
      </c>
      <c r="I2896" s="713">
        <v>0</v>
      </c>
      <c r="J2896" s="711">
        <v>8832.1</v>
      </c>
      <c r="K2896">
        <v>0</v>
      </c>
      <c r="L2896">
        <v>0</v>
      </c>
      <c r="M2896">
        <v>0</v>
      </c>
      <c r="N2896" s="711">
        <v>8832.1</v>
      </c>
      <c r="O2896">
        <v>0</v>
      </c>
      <c r="P2896" s="711">
        <v>8832.1</v>
      </c>
    </row>
    <row r="2897" spans="1:16">
      <c r="A2897">
        <v>5</v>
      </c>
      <c r="B2897" t="s">
        <v>12507</v>
      </c>
      <c r="C2897" t="s">
        <v>12509</v>
      </c>
      <c r="D2897" t="s">
        <v>12547</v>
      </c>
      <c r="E2897" t="s">
        <v>7353</v>
      </c>
      <c r="F2897" t="s">
        <v>7354</v>
      </c>
      <c r="G2897" s="712">
        <v>0</v>
      </c>
      <c r="H2897">
        <v>0</v>
      </c>
      <c r="I2897" s="713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</row>
    <row r="2898" spans="1:16">
      <c r="A2898">
        <v>5</v>
      </c>
      <c r="B2898" t="s">
        <v>12507</v>
      </c>
      <c r="C2898" t="s">
        <v>12509</v>
      </c>
      <c r="D2898" t="s">
        <v>12547</v>
      </c>
      <c r="E2898" t="s">
        <v>7355</v>
      </c>
      <c r="F2898" t="s">
        <v>7356</v>
      </c>
      <c r="G2898" s="712">
        <v>0</v>
      </c>
      <c r="H2898">
        <v>0</v>
      </c>
      <c r="I2898" s="713">
        <v>0</v>
      </c>
      <c r="J2898" s="711">
        <v>374951.38</v>
      </c>
      <c r="K2898">
        <v>0</v>
      </c>
      <c r="L2898">
        <v>0</v>
      </c>
      <c r="M2898">
        <v>0</v>
      </c>
      <c r="N2898" s="711">
        <v>374951.38</v>
      </c>
      <c r="O2898">
        <v>0</v>
      </c>
      <c r="P2898" s="711">
        <v>374951.38</v>
      </c>
    </row>
    <row r="2899" spans="1:16">
      <c r="A2899">
        <v>5</v>
      </c>
      <c r="B2899" t="s">
        <v>12507</v>
      </c>
      <c r="C2899" t="s">
        <v>12509</v>
      </c>
      <c r="D2899" t="s">
        <v>12547</v>
      </c>
      <c r="E2899" t="s">
        <v>7357</v>
      </c>
      <c r="F2899" t="s">
        <v>7358</v>
      </c>
      <c r="G2899" s="712">
        <v>0</v>
      </c>
      <c r="H2899">
        <v>0</v>
      </c>
      <c r="I2899" s="713">
        <v>0</v>
      </c>
      <c r="J2899">
        <v>10.24</v>
      </c>
      <c r="K2899">
        <v>0</v>
      </c>
      <c r="L2899">
        <v>0</v>
      </c>
      <c r="M2899">
        <v>0</v>
      </c>
      <c r="N2899">
        <v>10.24</v>
      </c>
      <c r="O2899">
        <v>0</v>
      </c>
      <c r="P2899">
        <v>10.24</v>
      </c>
    </row>
    <row r="2900" spans="1:16">
      <c r="A2900">
        <v>5</v>
      </c>
      <c r="B2900" t="s">
        <v>12507</v>
      </c>
      <c r="C2900" t="s">
        <v>12509</v>
      </c>
      <c r="D2900" t="s">
        <v>12547</v>
      </c>
      <c r="E2900" t="s">
        <v>7359</v>
      </c>
      <c r="F2900" t="s">
        <v>7360</v>
      </c>
      <c r="G2900" s="712">
        <v>0</v>
      </c>
      <c r="H2900">
        <v>0</v>
      </c>
      <c r="I2900" s="713">
        <v>0</v>
      </c>
      <c r="J2900" s="711">
        <v>11625.48</v>
      </c>
      <c r="K2900">
        <v>0</v>
      </c>
      <c r="L2900">
        <v>0</v>
      </c>
      <c r="M2900">
        <v>0</v>
      </c>
      <c r="N2900" s="711">
        <v>11625.48</v>
      </c>
      <c r="O2900">
        <v>0</v>
      </c>
      <c r="P2900" s="711">
        <v>11625.48</v>
      </c>
    </row>
    <row r="2901" spans="1:16">
      <c r="A2901">
        <v>5</v>
      </c>
      <c r="B2901" t="s">
        <v>12507</v>
      </c>
      <c r="C2901" t="s">
        <v>12509</v>
      </c>
      <c r="D2901" t="s">
        <v>12547</v>
      </c>
      <c r="E2901" t="s">
        <v>7361</v>
      </c>
      <c r="F2901" t="s">
        <v>7362</v>
      </c>
      <c r="G2901" s="712">
        <v>0</v>
      </c>
      <c r="H2901">
        <v>0</v>
      </c>
      <c r="I2901" s="713">
        <v>0</v>
      </c>
      <c r="J2901" s="711">
        <v>107349.9</v>
      </c>
      <c r="K2901">
        <v>0</v>
      </c>
      <c r="L2901">
        <v>0</v>
      </c>
      <c r="M2901">
        <v>0</v>
      </c>
      <c r="N2901" s="711">
        <v>107349.9</v>
      </c>
      <c r="O2901">
        <v>0</v>
      </c>
      <c r="P2901" s="711">
        <v>107349.9</v>
      </c>
    </row>
    <row r="2902" spans="1:16">
      <c r="A2902">
        <v>5</v>
      </c>
      <c r="B2902" t="s">
        <v>12507</v>
      </c>
      <c r="C2902" t="s">
        <v>12509</v>
      </c>
      <c r="D2902" t="s">
        <v>12547</v>
      </c>
      <c r="E2902" t="s">
        <v>7363</v>
      </c>
      <c r="F2902" t="s">
        <v>7364</v>
      </c>
      <c r="G2902" s="712">
        <v>0</v>
      </c>
      <c r="H2902">
        <v>0</v>
      </c>
      <c r="I2902" s="713">
        <v>0</v>
      </c>
      <c r="J2902" s="711">
        <v>425876.66</v>
      </c>
      <c r="K2902">
        <v>0</v>
      </c>
      <c r="L2902">
        <v>0</v>
      </c>
      <c r="M2902">
        <v>0</v>
      </c>
      <c r="N2902" s="711">
        <v>425876.66</v>
      </c>
      <c r="O2902">
        <v>0</v>
      </c>
      <c r="P2902" s="711">
        <v>425876.66</v>
      </c>
    </row>
    <row r="2903" spans="1:16">
      <c r="A2903">
        <v>5</v>
      </c>
      <c r="B2903" t="s">
        <v>12507</v>
      </c>
      <c r="C2903" t="s">
        <v>12509</v>
      </c>
      <c r="D2903" t="s">
        <v>12547</v>
      </c>
      <c r="E2903" t="s">
        <v>7366</v>
      </c>
      <c r="F2903" t="s">
        <v>7367</v>
      </c>
      <c r="G2903" s="712">
        <v>0</v>
      </c>
      <c r="H2903">
        <v>0</v>
      </c>
      <c r="I2903" s="71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</row>
    <row r="2904" spans="1:16">
      <c r="A2904">
        <v>5</v>
      </c>
      <c r="B2904" t="s">
        <v>12507</v>
      </c>
      <c r="C2904" t="s">
        <v>12509</v>
      </c>
      <c r="D2904" t="s">
        <v>12547</v>
      </c>
      <c r="E2904" t="s">
        <v>7368</v>
      </c>
      <c r="F2904" t="s">
        <v>7369</v>
      </c>
      <c r="G2904" s="712">
        <v>0</v>
      </c>
      <c r="H2904">
        <v>0</v>
      </c>
      <c r="I2904" s="713">
        <v>0</v>
      </c>
      <c r="J2904" s="711">
        <v>499653.3</v>
      </c>
      <c r="K2904" s="711">
        <v>89480</v>
      </c>
      <c r="L2904">
        <v>0</v>
      </c>
      <c r="M2904">
        <v>0</v>
      </c>
      <c r="N2904" s="711">
        <v>499653.3</v>
      </c>
      <c r="O2904" s="711">
        <v>89480</v>
      </c>
      <c r="P2904" s="711">
        <v>410173.3</v>
      </c>
    </row>
    <row r="2905" spans="1:16">
      <c r="A2905">
        <v>5</v>
      </c>
      <c r="B2905" t="s">
        <v>12507</v>
      </c>
      <c r="C2905" t="s">
        <v>12509</v>
      </c>
      <c r="D2905" t="s">
        <v>12547</v>
      </c>
      <c r="E2905" t="s">
        <v>7371</v>
      </c>
      <c r="F2905" t="s">
        <v>7372</v>
      </c>
      <c r="G2905" s="712">
        <v>0</v>
      </c>
      <c r="H2905">
        <v>0</v>
      </c>
      <c r="I2905" s="713">
        <v>0</v>
      </c>
      <c r="J2905">
        <v>0</v>
      </c>
      <c r="K2905">
        <v>165.79</v>
      </c>
      <c r="L2905">
        <v>0</v>
      </c>
      <c r="M2905">
        <v>0</v>
      </c>
      <c r="N2905">
        <v>0</v>
      </c>
      <c r="O2905">
        <v>165.79</v>
      </c>
      <c r="P2905">
        <v>-165.79</v>
      </c>
    </row>
    <row r="2906" spans="1:16">
      <c r="A2906">
        <v>5</v>
      </c>
      <c r="B2906" t="s">
        <v>12507</v>
      </c>
      <c r="C2906" t="s">
        <v>12509</v>
      </c>
      <c r="D2906" t="s">
        <v>12547</v>
      </c>
      <c r="E2906" t="s">
        <v>7373</v>
      </c>
      <c r="F2906" t="s">
        <v>7374</v>
      </c>
      <c r="G2906" s="712">
        <v>0</v>
      </c>
      <c r="H2906">
        <v>0</v>
      </c>
      <c r="I2906" s="713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</row>
    <row r="2907" spans="1:16">
      <c r="A2907">
        <v>5</v>
      </c>
      <c r="B2907" t="s">
        <v>12507</v>
      </c>
      <c r="C2907" t="s">
        <v>12509</v>
      </c>
      <c r="D2907" t="s">
        <v>12547</v>
      </c>
      <c r="E2907" t="s">
        <v>7375</v>
      </c>
      <c r="F2907" t="s">
        <v>7376</v>
      </c>
      <c r="G2907" s="712">
        <v>0</v>
      </c>
      <c r="H2907">
        <v>0</v>
      </c>
      <c r="I2907" s="713">
        <v>0</v>
      </c>
      <c r="J2907" s="711">
        <v>50606.239999999998</v>
      </c>
      <c r="K2907">
        <v>0</v>
      </c>
      <c r="L2907">
        <v>0</v>
      </c>
      <c r="M2907">
        <v>0</v>
      </c>
      <c r="N2907" s="711">
        <v>50606.239999999998</v>
      </c>
      <c r="O2907">
        <v>0</v>
      </c>
      <c r="P2907" s="711">
        <v>50606.239999999998</v>
      </c>
    </row>
    <row r="2908" spans="1:16">
      <c r="A2908">
        <v>5</v>
      </c>
      <c r="B2908" t="s">
        <v>12507</v>
      </c>
      <c r="C2908" t="s">
        <v>12509</v>
      </c>
      <c r="D2908" t="s">
        <v>12547</v>
      </c>
      <c r="E2908" t="s">
        <v>7377</v>
      </c>
      <c r="F2908" t="s">
        <v>7378</v>
      </c>
      <c r="G2908" s="712">
        <v>0</v>
      </c>
      <c r="H2908">
        <v>0</v>
      </c>
      <c r="I2908" s="713">
        <v>0</v>
      </c>
      <c r="J2908" s="711">
        <v>613878.78</v>
      </c>
      <c r="K2908">
        <v>0</v>
      </c>
      <c r="L2908">
        <v>0</v>
      </c>
      <c r="M2908">
        <v>0</v>
      </c>
      <c r="N2908" s="711">
        <v>613878.78</v>
      </c>
      <c r="O2908">
        <v>0</v>
      </c>
      <c r="P2908" s="711">
        <v>613878.78</v>
      </c>
    </row>
    <row r="2909" spans="1:16">
      <c r="A2909">
        <v>5</v>
      </c>
      <c r="B2909" t="s">
        <v>12507</v>
      </c>
      <c r="C2909" t="s">
        <v>12509</v>
      </c>
      <c r="D2909" t="s">
        <v>12547</v>
      </c>
      <c r="E2909" t="s">
        <v>7380</v>
      </c>
      <c r="F2909" t="s">
        <v>7381</v>
      </c>
      <c r="G2909" s="712">
        <v>0</v>
      </c>
      <c r="H2909">
        <v>0</v>
      </c>
      <c r="I2909" s="713">
        <v>0</v>
      </c>
      <c r="J2909" s="711">
        <v>125173.49</v>
      </c>
      <c r="K2909">
        <v>0</v>
      </c>
      <c r="L2909">
        <v>0</v>
      </c>
      <c r="M2909">
        <v>0</v>
      </c>
      <c r="N2909" s="711">
        <v>125173.49</v>
      </c>
      <c r="O2909">
        <v>0</v>
      </c>
      <c r="P2909" s="711">
        <v>125173.49</v>
      </c>
    </row>
    <row r="2910" spans="1:16">
      <c r="A2910">
        <v>5</v>
      </c>
      <c r="B2910" t="s">
        <v>12507</v>
      </c>
      <c r="C2910" t="s">
        <v>12509</v>
      </c>
      <c r="D2910" t="s">
        <v>12547</v>
      </c>
      <c r="E2910" t="s">
        <v>7383</v>
      </c>
      <c r="F2910" t="s">
        <v>7384</v>
      </c>
      <c r="G2910" s="712">
        <v>0</v>
      </c>
      <c r="H2910">
        <v>0</v>
      </c>
      <c r="I2910" s="713">
        <v>0</v>
      </c>
      <c r="J2910" s="711">
        <v>107331.12</v>
      </c>
      <c r="K2910">
        <v>0</v>
      </c>
      <c r="L2910">
        <v>0</v>
      </c>
      <c r="M2910">
        <v>0</v>
      </c>
      <c r="N2910" s="711">
        <v>107331.12</v>
      </c>
      <c r="O2910">
        <v>0</v>
      </c>
      <c r="P2910" s="711">
        <v>107331.12</v>
      </c>
    </row>
    <row r="2911" spans="1:16">
      <c r="A2911">
        <v>5</v>
      </c>
      <c r="B2911" t="s">
        <v>12507</v>
      </c>
      <c r="C2911" t="s">
        <v>12509</v>
      </c>
      <c r="D2911" t="s">
        <v>12547</v>
      </c>
      <c r="E2911" t="s">
        <v>7386</v>
      </c>
      <c r="F2911" t="s">
        <v>7387</v>
      </c>
      <c r="G2911" s="712">
        <v>0</v>
      </c>
      <c r="H2911">
        <v>0</v>
      </c>
      <c r="I2911" s="713">
        <v>0</v>
      </c>
      <c r="J2911" s="711">
        <v>1244.46</v>
      </c>
      <c r="K2911">
        <v>0</v>
      </c>
      <c r="L2911">
        <v>0</v>
      </c>
      <c r="M2911">
        <v>0</v>
      </c>
      <c r="N2911" s="711">
        <v>1244.46</v>
      </c>
      <c r="O2911">
        <v>0</v>
      </c>
      <c r="P2911" s="711">
        <v>1244.46</v>
      </c>
    </row>
    <row r="2912" spans="1:16">
      <c r="A2912">
        <v>5</v>
      </c>
      <c r="B2912" t="s">
        <v>12507</v>
      </c>
      <c r="C2912" t="s">
        <v>12509</v>
      </c>
      <c r="D2912" t="s">
        <v>12547</v>
      </c>
      <c r="E2912" t="s">
        <v>7389</v>
      </c>
      <c r="F2912" t="s">
        <v>7390</v>
      </c>
      <c r="G2912" s="712">
        <v>0</v>
      </c>
      <c r="H2912">
        <v>0</v>
      </c>
      <c r="I2912" s="713">
        <v>0</v>
      </c>
      <c r="J2912" s="711">
        <v>432939.85</v>
      </c>
      <c r="K2912">
        <v>0</v>
      </c>
      <c r="L2912">
        <v>0</v>
      </c>
      <c r="M2912">
        <v>0</v>
      </c>
      <c r="N2912" s="711">
        <v>432939.85</v>
      </c>
      <c r="O2912">
        <v>0</v>
      </c>
      <c r="P2912" s="711">
        <v>432939.85</v>
      </c>
    </row>
    <row r="2913" spans="1:16">
      <c r="A2913">
        <v>5</v>
      </c>
      <c r="B2913" t="s">
        <v>12507</v>
      </c>
      <c r="C2913" t="s">
        <v>12509</v>
      </c>
      <c r="D2913" t="s">
        <v>12547</v>
      </c>
      <c r="E2913" t="s">
        <v>7391</v>
      </c>
      <c r="F2913" t="s">
        <v>7392</v>
      </c>
      <c r="G2913" s="712">
        <v>0</v>
      </c>
      <c r="H2913">
        <v>0</v>
      </c>
      <c r="I2913" s="713">
        <v>0</v>
      </c>
      <c r="J2913" s="711">
        <v>63740.97</v>
      </c>
      <c r="K2913">
        <v>0</v>
      </c>
      <c r="L2913">
        <v>0</v>
      </c>
      <c r="M2913">
        <v>0</v>
      </c>
      <c r="N2913" s="711">
        <v>63740.97</v>
      </c>
      <c r="O2913">
        <v>0</v>
      </c>
      <c r="P2913" s="711">
        <v>63740.97</v>
      </c>
    </row>
    <row r="2914" spans="1:16">
      <c r="A2914">
        <v>5</v>
      </c>
      <c r="B2914" t="s">
        <v>12507</v>
      </c>
      <c r="C2914" t="s">
        <v>12509</v>
      </c>
      <c r="D2914" t="s">
        <v>12547</v>
      </c>
      <c r="E2914" t="s">
        <v>7393</v>
      </c>
      <c r="F2914" t="s">
        <v>7394</v>
      </c>
      <c r="G2914" s="712">
        <v>0</v>
      </c>
      <c r="H2914">
        <v>0</v>
      </c>
      <c r="I2914" s="713">
        <v>0</v>
      </c>
      <c r="J2914">
        <v>2.27</v>
      </c>
      <c r="K2914">
        <v>0</v>
      </c>
      <c r="L2914">
        <v>0</v>
      </c>
      <c r="M2914">
        <v>0</v>
      </c>
      <c r="N2914">
        <v>2.27</v>
      </c>
      <c r="O2914">
        <v>0</v>
      </c>
      <c r="P2914">
        <v>2.27</v>
      </c>
    </row>
    <row r="2915" spans="1:16">
      <c r="A2915">
        <v>5</v>
      </c>
      <c r="B2915" t="s">
        <v>12507</v>
      </c>
      <c r="C2915" t="s">
        <v>12509</v>
      </c>
      <c r="D2915" t="s">
        <v>12547</v>
      </c>
      <c r="E2915" t="s">
        <v>7395</v>
      </c>
      <c r="F2915" t="s">
        <v>7396</v>
      </c>
      <c r="G2915" s="712">
        <v>0</v>
      </c>
      <c r="H2915">
        <v>0</v>
      </c>
      <c r="I2915" s="713">
        <v>0</v>
      </c>
      <c r="J2915" s="711">
        <v>639534.06000000006</v>
      </c>
      <c r="K2915">
        <v>0</v>
      </c>
      <c r="L2915">
        <v>0</v>
      </c>
      <c r="M2915">
        <v>0</v>
      </c>
      <c r="N2915" s="711">
        <v>639534.06000000006</v>
      </c>
      <c r="O2915">
        <v>0</v>
      </c>
      <c r="P2915" s="711">
        <v>639534.06000000006</v>
      </c>
    </row>
    <row r="2916" spans="1:16">
      <c r="A2916">
        <v>5</v>
      </c>
      <c r="B2916" t="s">
        <v>12507</v>
      </c>
      <c r="C2916" t="s">
        <v>12509</v>
      </c>
      <c r="D2916" t="s">
        <v>12547</v>
      </c>
      <c r="E2916" t="s">
        <v>7398</v>
      </c>
      <c r="F2916" t="s">
        <v>7399</v>
      </c>
      <c r="G2916" s="712">
        <v>0</v>
      </c>
      <c r="H2916">
        <v>0</v>
      </c>
      <c r="I2916" s="713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</row>
    <row r="2917" spans="1:16">
      <c r="A2917">
        <v>5</v>
      </c>
      <c r="B2917" t="s">
        <v>12507</v>
      </c>
      <c r="C2917" t="s">
        <v>12509</v>
      </c>
      <c r="D2917" t="s">
        <v>12547</v>
      </c>
      <c r="E2917" t="s">
        <v>7400</v>
      </c>
      <c r="F2917" t="s">
        <v>7401</v>
      </c>
      <c r="G2917" s="712">
        <v>0</v>
      </c>
      <c r="H2917">
        <v>0</v>
      </c>
      <c r="I2917" s="713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</row>
    <row r="2918" spans="1:16">
      <c r="A2918">
        <v>5</v>
      </c>
      <c r="B2918" t="s">
        <v>12507</v>
      </c>
      <c r="C2918" t="s">
        <v>12509</v>
      </c>
      <c r="D2918" t="s">
        <v>12547</v>
      </c>
      <c r="E2918" t="s">
        <v>7402</v>
      </c>
      <c r="F2918" t="s">
        <v>7403</v>
      </c>
      <c r="G2918" s="712">
        <v>0</v>
      </c>
      <c r="H2918">
        <v>0</v>
      </c>
      <c r="I2918" s="713">
        <v>0</v>
      </c>
      <c r="J2918" s="711">
        <v>1651336.87</v>
      </c>
      <c r="K2918" s="711">
        <v>836587</v>
      </c>
      <c r="L2918">
        <v>0</v>
      </c>
      <c r="M2918">
        <v>0</v>
      </c>
      <c r="N2918" s="711">
        <v>1651336.87</v>
      </c>
      <c r="O2918" s="711">
        <v>836587</v>
      </c>
      <c r="P2918" s="711">
        <v>814749.87</v>
      </c>
    </row>
    <row r="2919" spans="1:16">
      <c r="A2919">
        <v>5</v>
      </c>
      <c r="B2919" t="s">
        <v>12507</v>
      </c>
      <c r="C2919" t="s">
        <v>12509</v>
      </c>
      <c r="D2919" t="s">
        <v>12547</v>
      </c>
      <c r="E2919" t="s">
        <v>7405</v>
      </c>
      <c r="F2919" t="s">
        <v>7406</v>
      </c>
      <c r="G2919" s="712">
        <v>0</v>
      </c>
      <c r="H2919">
        <v>0</v>
      </c>
      <c r="I2919" s="713">
        <v>0</v>
      </c>
      <c r="J2919" s="711">
        <v>56616.13</v>
      </c>
      <c r="K2919">
        <v>968.34</v>
      </c>
      <c r="L2919">
        <v>0</v>
      </c>
      <c r="M2919">
        <v>0</v>
      </c>
      <c r="N2919" s="711">
        <v>56616.13</v>
      </c>
      <c r="O2919">
        <v>968.34</v>
      </c>
      <c r="P2919" s="711">
        <v>55647.79</v>
      </c>
    </row>
    <row r="2920" spans="1:16">
      <c r="A2920">
        <v>5</v>
      </c>
      <c r="B2920" t="s">
        <v>12507</v>
      </c>
      <c r="C2920" t="s">
        <v>12509</v>
      </c>
      <c r="D2920" t="s">
        <v>12547</v>
      </c>
      <c r="E2920" t="s">
        <v>7407</v>
      </c>
      <c r="F2920" t="s">
        <v>7408</v>
      </c>
      <c r="G2920" s="712">
        <v>0</v>
      </c>
      <c r="H2920">
        <v>0</v>
      </c>
      <c r="I2920" s="713">
        <v>0</v>
      </c>
      <c r="J2920" s="711">
        <v>26201.8</v>
      </c>
      <c r="K2920">
        <v>0</v>
      </c>
      <c r="L2920">
        <v>0</v>
      </c>
      <c r="M2920">
        <v>0</v>
      </c>
      <c r="N2920" s="711">
        <v>26201.8</v>
      </c>
      <c r="O2920">
        <v>0</v>
      </c>
      <c r="P2920" s="711">
        <v>26201.8</v>
      </c>
    </row>
    <row r="2921" spans="1:16">
      <c r="A2921">
        <v>5</v>
      </c>
      <c r="B2921" t="s">
        <v>12507</v>
      </c>
      <c r="C2921" t="s">
        <v>12509</v>
      </c>
      <c r="D2921" t="s">
        <v>12547</v>
      </c>
      <c r="E2921" t="s">
        <v>7409</v>
      </c>
      <c r="F2921" t="s">
        <v>7410</v>
      </c>
      <c r="G2921" s="712">
        <v>0</v>
      </c>
      <c r="H2921">
        <v>0</v>
      </c>
      <c r="I2921" s="713">
        <v>0</v>
      </c>
      <c r="J2921" s="711">
        <v>1780</v>
      </c>
      <c r="K2921">
        <v>0</v>
      </c>
      <c r="L2921">
        <v>0</v>
      </c>
      <c r="M2921">
        <v>0</v>
      </c>
      <c r="N2921" s="711">
        <v>1780</v>
      </c>
      <c r="O2921">
        <v>0</v>
      </c>
      <c r="P2921" s="711">
        <v>1780</v>
      </c>
    </row>
    <row r="2922" spans="1:16">
      <c r="A2922">
        <v>5</v>
      </c>
      <c r="B2922" t="s">
        <v>12507</v>
      </c>
      <c r="C2922" t="s">
        <v>12509</v>
      </c>
      <c r="D2922" t="s">
        <v>12547</v>
      </c>
      <c r="E2922" t="s">
        <v>7411</v>
      </c>
      <c r="F2922" t="s">
        <v>7412</v>
      </c>
      <c r="G2922" s="712">
        <v>0</v>
      </c>
      <c r="H2922">
        <v>0</v>
      </c>
      <c r="I2922" s="713">
        <v>0</v>
      </c>
      <c r="J2922" s="711">
        <v>981542.64</v>
      </c>
      <c r="K2922">
        <v>0</v>
      </c>
      <c r="L2922">
        <v>0</v>
      </c>
      <c r="M2922">
        <v>0</v>
      </c>
      <c r="N2922" s="711">
        <v>981542.64</v>
      </c>
      <c r="O2922">
        <v>0</v>
      </c>
      <c r="P2922" s="711">
        <v>981542.64</v>
      </c>
    </row>
    <row r="2923" spans="1:16">
      <c r="A2923">
        <v>5</v>
      </c>
      <c r="B2923" t="s">
        <v>12507</v>
      </c>
      <c r="C2923" t="s">
        <v>12509</v>
      </c>
      <c r="D2923" t="s">
        <v>12547</v>
      </c>
      <c r="E2923" t="s">
        <v>7414</v>
      </c>
      <c r="F2923" t="s">
        <v>7415</v>
      </c>
      <c r="G2923" s="712">
        <v>0</v>
      </c>
      <c r="H2923">
        <v>0</v>
      </c>
      <c r="I2923" s="713">
        <v>0</v>
      </c>
      <c r="J2923" s="711">
        <v>469896.71</v>
      </c>
      <c r="K2923">
        <v>0</v>
      </c>
      <c r="L2923">
        <v>0</v>
      </c>
      <c r="M2923">
        <v>0</v>
      </c>
      <c r="N2923" s="711">
        <v>469896.71</v>
      </c>
      <c r="O2923">
        <v>0</v>
      </c>
      <c r="P2923" s="711">
        <v>469896.71</v>
      </c>
    </row>
    <row r="2924" spans="1:16">
      <c r="A2924">
        <v>5</v>
      </c>
      <c r="B2924" t="s">
        <v>12507</v>
      </c>
      <c r="C2924" t="s">
        <v>12509</v>
      </c>
      <c r="D2924" t="s">
        <v>12547</v>
      </c>
      <c r="E2924" t="s">
        <v>7417</v>
      </c>
      <c r="F2924" t="s">
        <v>7418</v>
      </c>
      <c r="G2924" s="712">
        <v>0</v>
      </c>
      <c r="H2924">
        <v>0</v>
      </c>
      <c r="I2924" s="713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</row>
    <row r="2925" spans="1:16">
      <c r="A2925">
        <v>5</v>
      </c>
      <c r="B2925" t="s">
        <v>12507</v>
      </c>
      <c r="C2925" t="s">
        <v>12509</v>
      </c>
      <c r="D2925" t="s">
        <v>12547</v>
      </c>
      <c r="E2925" t="s">
        <v>7419</v>
      </c>
      <c r="F2925" t="s">
        <v>7420</v>
      </c>
      <c r="G2925" s="712">
        <v>0</v>
      </c>
      <c r="H2925">
        <v>0</v>
      </c>
      <c r="I2925" s="713">
        <v>0</v>
      </c>
      <c r="J2925" s="711">
        <v>805809.66</v>
      </c>
      <c r="K2925">
        <v>0</v>
      </c>
      <c r="L2925">
        <v>0</v>
      </c>
      <c r="M2925">
        <v>0</v>
      </c>
      <c r="N2925" s="711">
        <v>805809.66</v>
      </c>
      <c r="O2925">
        <v>0</v>
      </c>
      <c r="P2925" s="711">
        <v>805809.66</v>
      </c>
    </row>
    <row r="2926" spans="1:16">
      <c r="A2926">
        <v>5</v>
      </c>
      <c r="B2926" t="s">
        <v>12507</v>
      </c>
      <c r="C2926" t="s">
        <v>12509</v>
      </c>
      <c r="D2926" t="s">
        <v>12547</v>
      </c>
      <c r="E2926" t="s">
        <v>7422</v>
      </c>
      <c r="F2926" t="s">
        <v>7423</v>
      </c>
      <c r="G2926" s="712">
        <v>0</v>
      </c>
      <c r="H2926">
        <v>0</v>
      </c>
      <c r="I2926" s="713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</row>
    <row r="2927" spans="1:16">
      <c r="A2927">
        <v>5</v>
      </c>
      <c r="B2927" t="s">
        <v>12507</v>
      </c>
      <c r="C2927" t="s">
        <v>12509</v>
      </c>
      <c r="D2927" t="s">
        <v>12547</v>
      </c>
      <c r="E2927" t="s">
        <v>7425</v>
      </c>
      <c r="F2927" t="s">
        <v>7426</v>
      </c>
      <c r="G2927" s="712">
        <v>0</v>
      </c>
      <c r="H2927">
        <v>0</v>
      </c>
      <c r="I2927" s="713">
        <v>0</v>
      </c>
      <c r="J2927" s="711">
        <v>909973.41</v>
      </c>
      <c r="K2927">
        <v>0</v>
      </c>
      <c r="L2927">
        <v>0</v>
      </c>
      <c r="M2927">
        <v>0</v>
      </c>
      <c r="N2927" s="711">
        <v>909973.41</v>
      </c>
      <c r="O2927">
        <v>0</v>
      </c>
      <c r="P2927" s="711">
        <v>909973.41</v>
      </c>
    </row>
    <row r="2928" spans="1:16">
      <c r="A2928">
        <v>5</v>
      </c>
      <c r="B2928" t="s">
        <v>12507</v>
      </c>
      <c r="C2928" t="s">
        <v>12509</v>
      </c>
      <c r="D2928" t="s">
        <v>12547</v>
      </c>
      <c r="E2928" t="s">
        <v>7427</v>
      </c>
      <c r="F2928" t="s">
        <v>7428</v>
      </c>
      <c r="G2928" s="712">
        <v>0</v>
      </c>
      <c r="H2928">
        <v>0</v>
      </c>
      <c r="I2928" s="713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</row>
    <row r="2929" spans="1:16">
      <c r="A2929">
        <v>5</v>
      </c>
      <c r="B2929" t="s">
        <v>12507</v>
      </c>
      <c r="C2929" t="s">
        <v>12509</v>
      </c>
      <c r="D2929" t="s">
        <v>12547</v>
      </c>
      <c r="E2929" t="s">
        <v>7429</v>
      </c>
      <c r="F2929" t="s">
        <v>7430</v>
      </c>
      <c r="G2929" s="712">
        <v>0</v>
      </c>
      <c r="H2929">
        <v>0</v>
      </c>
      <c r="I2929" s="713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</row>
    <row r="2930" spans="1:16">
      <c r="A2930">
        <v>5</v>
      </c>
      <c r="B2930" t="s">
        <v>12507</v>
      </c>
      <c r="C2930" t="s">
        <v>12509</v>
      </c>
      <c r="D2930" t="s">
        <v>12547</v>
      </c>
      <c r="E2930" t="s">
        <v>7431</v>
      </c>
      <c r="F2930" t="s">
        <v>7432</v>
      </c>
      <c r="G2930" s="712">
        <v>0</v>
      </c>
      <c r="H2930">
        <v>0</v>
      </c>
      <c r="I2930" s="713">
        <v>0</v>
      </c>
      <c r="J2930" s="711">
        <v>118424.71</v>
      </c>
      <c r="K2930">
        <v>0</v>
      </c>
      <c r="L2930">
        <v>0</v>
      </c>
      <c r="M2930">
        <v>0</v>
      </c>
      <c r="N2930" s="711">
        <v>118424.71</v>
      </c>
      <c r="O2930">
        <v>0</v>
      </c>
      <c r="P2930" s="711">
        <v>118424.71</v>
      </c>
    </row>
    <row r="2931" spans="1:16">
      <c r="A2931">
        <v>5</v>
      </c>
      <c r="B2931" t="s">
        <v>12507</v>
      </c>
      <c r="C2931" t="s">
        <v>12509</v>
      </c>
      <c r="D2931" t="s">
        <v>12547</v>
      </c>
      <c r="E2931" t="s">
        <v>7433</v>
      </c>
      <c r="F2931" t="s">
        <v>7434</v>
      </c>
      <c r="G2931" s="712">
        <v>0</v>
      </c>
      <c r="H2931">
        <v>0</v>
      </c>
      <c r="I2931" s="713">
        <v>0</v>
      </c>
      <c r="J2931">
        <v>47.2</v>
      </c>
      <c r="K2931">
        <v>0</v>
      </c>
      <c r="L2931">
        <v>0</v>
      </c>
      <c r="M2931">
        <v>0</v>
      </c>
      <c r="N2931">
        <v>47.2</v>
      </c>
      <c r="O2931">
        <v>0</v>
      </c>
      <c r="P2931">
        <v>47.2</v>
      </c>
    </row>
    <row r="2932" spans="1:16">
      <c r="A2932">
        <v>5</v>
      </c>
      <c r="B2932" t="s">
        <v>12507</v>
      </c>
      <c r="C2932" t="s">
        <v>12509</v>
      </c>
      <c r="D2932" t="s">
        <v>12547</v>
      </c>
      <c r="E2932" t="s">
        <v>7435</v>
      </c>
      <c r="F2932" t="s">
        <v>7436</v>
      </c>
      <c r="G2932" s="712">
        <v>0</v>
      </c>
      <c r="H2932">
        <v>0</v>
      </c>
      <c r="I2932" s="713">
        <v>0</v>
      </c>
      <c r="J2932" s="711">
        <v>11532.91</v>
      </c>
      <c r="K2932">
        <v>0</v>
      </c>
      <c r="L2932">
        <v>0</v>
      </c>
      <c r="M2932">
        <v>0</v>
      </c>
      <c r="N2932" s="711">
        <v>11532.91</v>
      </c>
      <c r="O2932">
        <v>0</v>
      </c>
      <c r="P2932" s="711">
        <v>11532.91</v>
      </c>
    </row>
    <row r="2933" spans="1:16">
      <c r="A2933">
        <v>5</v>
      </c>
      <c r="B2933" t="s">
        <v>12507</v>
      </c>
      <c r="C2933" t="s">
        <v>12509</v>
      </c>
      <c r="D2933" t="s">
        <v>12547</v>
      </c>
      <c r="E2933" t="s">
        <v>7437</v>
      </c>
      <c r="F2933" t="s">
        <v>7438</v>
      </c>
      <c r="G2933" s="712">
        <v>0</v>
      </c>
      <c r="H2933">
        <v>0</v>
      </c>
      <c r="I2933" s="713">
        <v>0</v>
      </c>
      <c r="J2933" s="711">
        <v>49475.3</v>
      </c>
      <c r="K2933">
        <v>0</v>
      </c>
      <c r="L2933">
        <v>0</v>
      </c>
      <c r="M2933">
        <v>0</v>
      </c>
      <c r="N2933" s="711">
        <v>49475.3</v>
      </c>
      <c r="O2933">
        <v>0</v>
      </c>
      <c r="P2933" s="711">
        <v>49475.3</v>
      </c>
    </row>
    <row r="2934" spans="1:16" ht="15.75" thickBot="1">
      <c r="A2934">
        <v>5</v>
      </c>
      <c r="B2934" t="s">
        <v>12507</v>
      </c>
      <c r="C2934" t="s">
        <v>12509</v>
      </c>
      <c r="D2934" t="s">
        <v>12547</v>
      </c>
      <c r="E2934" t="s">
        <v>12549</v>
      </c>
      <c r="F2934" t="s">
        <v>12550</v>
      </c>
      <c r="G2934" s="712">
        <v>0</v>
      </c>
      <c r="H2934">
        <v>0</v>
      </c>
      <c r="I2934" s="713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</row>
    <row r="2935" spans="1:16" ht="15.75" thickBot="1">
      <c r="A2935" s="727">
        <v>5</v>
      </c>
      <c r="B2935" s="727" t="s">
        <v>12507</v>
      </c>
      <c r="C2935" s="727" t="s">
        <v>12509</v>
      </c>
      <c r="D2935" s="727" t="s">
        <v>12551</v>
      </c>
      <c r="E2935" s="727"/>
      <c r="F2935" s="729" t="s">
        <v>311</v>
      </c>
      <c r="G2935" s="738">
        <v>0</v>
      </c>
      <c r="H2935" s="738">
        <v>0</v>
      </c>
      <c r="I2935" s="738">
        <v>0</v>
      </c>
      <c r="J2935" s="739">
        <v>466756.78</v>
      </c>
      <c r="K2935" s="738">
        <v>0</v>
      </c>
      <c r="L2935" s="738">
        <v>0</v>
      </c>
      <c r="M2935" s="738">
        <v>0</v>
      </c>
      <c r="N2935" s="739">
        <v>466756.78</v>
      </c>
      <c r="O2935" s="738">
        <v>0</v>
      </c>
      <c r="P2935" s="739">
        <v>466756.78</v>
      </c>
    </row>
    <row r="2936" spans="1:16">
      <c r="A2936">
        <v>5</v>
      </c>
      <c r="B2936" t="s">
        <v>12507</v>
      </c>
      <c r="C2936" t="s">
        <v>12509</v>
      </c>
      <c r="D2936" t="s">
        <v>12551</v>
      </c>
      <c r="E2936" t="s">
        <v>7443</v>
      </c>
      <c r="F2936" t="s">
        <v>7444</v>
      </c>
      <c r="G2936" s="712">
        <v>0</v>
      </c>
      <c r="H2936">
        <v>0</v>
      </c>
      <c r="I2936" s="713">
        <v>0</v>
      </c>
      <c r="J2936" s="711">
        <v>253199.3</v>
      </c>
      <c r="K2936">
        <v>0</v>
      </c>
      <c r="L2936">
        <v>0</v>
      </c>
      <c r="M2936">
        <v>0</v>
      </c>
      <c r="N2936" s="711">
        <v>253199.3</v>
      </c>
      <c r="O2936">
        <v>0</v>
      </c>
      <c r="P2936" s="711">
        <v>253199.3</v>
      </c>
    </row>
    <row r="2937" spans="1:16">
      <c r="A2937">
        <v>5</v>
      </c>
      <c r="B2937" t="s">
        <v>12507</v>
      </c>
      <c r="C2937" t="s">
        <v>12509</v>
      </c>
      <c r="D2937" t="s">
        <v>12551</v>
      </c>
      <c r="E2937" t="s">
        <v>7448</v>
      </c>
      <c r="F2937" t="s">
        <v>7449</v>
      </c>
      <c r="G2937" s="712">
        <v>0</v>
      </c>
      <c r="H2937">
        <v>0</v>
      </c>
      <c r="I2937" s="713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</row>
    <row r="2938" spans="1:16">
      <c r="A2938">
        <v>5</v>
      </c>
      <c r="B2938" t="s">
        <v>12507</v>
      </c>
      <c r="C2938" t="s">
        <v>12509</v>
      </c>
      <c r="D2938" t="s">
        <v>12551</v>
      </c>
      <c r="E2938" t="s">
        <v>7452</v>
      </c>
      <c r="F2938" t="s">
        <v>7453</v>
      </c>
      <c r="G2938" s="712">
        <v>0</v>
      </c>
      <c r="H2938">
        <v>0</v>
      </c>
      <c r="I2938" s="713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</row>
    <row r="2939" spans="1:16">
      <c r="A2939">
        <v>5</v>
      </c>
      <c r="B2939" t="s">
        <v>12507</v>
      </c>
      <c r="C2939" t="s">
        <v>12509</v>
      </c>
      <c r="D2939" t="s">
        <v>12551</v>
      </c>
      <c r="E2939" t="s">
        <v>7456</v>
      </c>
      <c r="F2939" t="s">
        <v>7457</v>
      </c>
      <c r="G2939" s="712">
        <v>0</v>
      </c>
      <c r="H2939">
        <v>0</v>
      </c>
      <c r="I2939" s="713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</row>
    <row r="2940" spans="1:16">
      <c r="A2940">
        <v>5</v>
      </c>
      <c r="B2940" t="s">
        <v>12507</v>
      </c>
      <c r="C2940" t="s">
        <v>12509</v>
      </c>
      <c r="D2940" t="s">
        <v>12551</v>
      </c>
      <c r="E2940" t="s">
        <v>7461</v>
      </c>
      <c r="F2940" t="s">
        <v>7462</v>
      </c>
      <c r="G2940" s="712">
        <v>0</v>
      </c>
      <c r="H2940">
        <v>0</v>
      </c>
      <c r="I2940" s="713">
        <v>0</v>
      </c>
      <c r="J2940" s="711">
        <v>118389.28</v>
      </c>
      <c r="K2940">
        <v>0</v>
      </c>
      <c r="L2940">
        <v>0</v>
      </c>
      <c r="M2940">
        <v>0</v>
      </c>
      <c r="N2940" s="711">
        <v>118389.28</v>
      </c>
      <c r="O2940">
        <v>0</v>
      </c>
      <c r="P2940" s="711">
        <v>118389.28</v>
      </c>
    </row>
    <row r="2941" spans="1:16">
      <c r="A2941">
        <v>5</v>
      </c>
      <c r="B2941" t="s">
        <v>12507</v>
      </c>
      <c r="C2941" t="s">
        <v>12509</v>
      </c>
      <c r="D2941" t="s">
        <v>12551</v>
      </c>
      <c r="E2941" t="s">
        <v>7463</v>
      </c>
      <c r="F2941" t="s">
        <v>7464</v>
      </c>
      <c r="G2941" s="712">
        <v>0</v>
      </c>
      <c r="H2941">
        <v>0</v>
      </c>
      <c r="I2941" s="713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</row>
    <row r="2942" spans="1:16">
      <c r="A2942">
        <v>5</v>
      </c>
      <c r="B2942" t="s">
        <v>12507</v>
      </c>
      <c r="C2942" t="s">
        <v>12509</v>
      </c>
      <c r="D2942" t="s">
        <v>12551</v>
      </c>
      <c r="E2942" t="s">
        <v>7465</v>
      </c>
      <c r="F2942" t="s">
        <v>7466</v>
      </c>
      <c r="G2942" s="712">
        <v>0</v>
      </c>
      <c r="H2942">
        <v>0</v>
      </c>
      <c r="I2942" s="713">
        <v>0</v>
      </c>
      <c r="J2942" s="711">
        <v>3368.2</v>
      </c>
      <c r="K2942">
        <v>0</v>
      </c>
      <c r="L2942">
        <v>0</v>
      </c>
      <c r="M2942">
        <v>0</v>
      </c>
      <c r="N2942" s="711">
        <v>3368.2</v>
      </c>
      <c r="O2942">
        <v>0</v>
      </c>
      <c r="P2942" s="711">
        <v>3368.2</v>
      </c>
    </row>
    <row r="2943" spans="1:16">
      <c r="A2943">
        <v>5</v>
      </c>
      <c r="B2943" t="s">
        <v>12507</v>
      </c>
      <c r="C2943" t="s">
        <v>12509</v>
      </c>
      <c r="D2943" t="s">
        <v>12551</v>
      </c>
      <c r="E2943" t="s">
        <v>7467</v>
      </c>
      <c r="F2943" t="s">
        <v>7468</v>
      </c>
      <c r="G2943" s="712">
        <v>0</v>
      </c>
      <c r="H2943">
        <v>0</v>
      </c>
      <c r="I2943" s="713">
        <v>0</v>
      </c>
      <c r="J2943" s="711">
        <v>5500</v>
      </c>
      <c r="K2943">
        <v>0</v>
      </c>
      <c r="L2943">
        <v>0</v>
      </c>
      <c r="M2943">
        <v>0</v>
      </c>
      <c r="N2943" s="711">
        <v>5500</v>
      </c>
      <c r="O2943">
        <v>0</v>
      </c>
      <c r="P2943" s="711">
        <v>5500</v>
      </c>
    </row>
    <row r="2944" spans="1:16">
      <c r="A2944">
        <v>5</v>
      </c>
      <c r="B2944" t="s">
        <v>12507</v>
      </c>
      <c r="C2944" t="s">
        <v>12509</v>
      </c>
      <c r="D2944" t="s">
        <v>12551</v>
      </c>
      <c r="E2944" t="s">
        <v>7469</v>
      </c>
      <c r="F2944" t="s">
        <v>7470</v>
      </c>
      <c r="G2944" s="712">
        <v>0</v>
      </c>
      <c r="H2944">
        <v>0</v>
      </c>
      <c r="I2944" s="713">
        <v>0</v>
      </c>
      <c r="J2944" s="711">
        <v>1500</v>
      </c>
      <c r="K2944">
        <v>0</v>
      </c>
      <c r="L2944">
        <v>0</v>
      </c>
      <c r="M2944">
        <v>0</v>
      </c>
      <c r="N2944" s="711">
        <v>1500</v>
      </c>
      <c r="O2944">
        <v>0</v>
      </c>
      <c r="P2944" s="711">
        <v>1500</v>
      </c>
    </row>
    <row r="2945" spans="1:16">
      <c r="A2945">
        <v>5</v>
      </c>
      <c r="B2945" t="s">
        <v>12507</v>
      </c>
      <c r="C2945" t="s">
        <v>12509</v>
      </c>
      <c r="D2945" t="s">
        <v>12551</v>
      </c>
      <c r="E2945" t="s">
        <v>7471</v>
      </c>
      <c r="F2945" t="s">
        <v>7472</v>
      </c>
      <c r="G2945" s="712">
        <v>0</v>
      </c>
      <c r="H2945">
        <v>0</v>
      </c>
      <c r="I2945" s="713">
        <v>0</v>
      </c>
      <c r="J2945">
        <v>900</v>
      </c>
      <c r="K2945">
        <v>0</v>
      </c>
      <c r="L2945">
        <v>0</v>
      </c>
      <c r="M2945">
        <v>0</v>
      </c>
      <c r="N2945">
        <v>900</v>
      </c>
      <c r="O2945">
        <v>0</v>
      </c>
      <c r="P2945">
        <v>900</v>
      </c>
    </row>
    <row r="2946" spans="1:16">
      <c r="A2946">
        <v>5</v>
      </c>
      <c r="B2946" t="s">
        <v>12507</v>
      </c>
      <c r="C2946" t="s">
        <v>12509</v>
      </c>
      <c r="D2946" t="s">
        <v>12551</v>
      </c>
      <c r="E2946" t="s">
        <v>7473</v>
      </c>
      <c r="F2946" t="s">
        <v>7474</v>
      </c>
      <c r="G2946" s="712">
        <v>0</v>
      </c>
      <c r="H2946">
        <v>0</v>
      </c>
      <c r="I2946" s="713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</row>
    <row r="2947" spans="1:16">
      <c r="A2947">
        <v>5</v>
      </c>
      <c r="B2947" t="s">
        <v>12507</v>
      </c>
      <c r="C2947" t="s">
        <v>12509</v>
      </c>
      <c r="D2947" t="s">
        <v>12551</v>
      </c>
      <c r="E2947" t="s">
        <v>7475</v>
      </c>
      <c r="F2947" t="s">
        <v>7476</v>
      </c>
      <c r="G2947" s="712">
        <v>0</v>
      </c>
      <c r="H2947">
        <v>0</v>
      </c>
      <c r="I2947" s="713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</row>
    <row r="2948" spans="1:16">
      <c r="A2948">
        <v>5</v>
      </c>
      <c r="B2948" t="s">
        <v>12507</v>
      </c>
      <c r="C2948" t="s">
        <v>12509</v>
      </c>
      <c r="D2948" t="s">
        <v>12551</v>
      </c>
      <c r="E2948" t="s">
        <v>7477</v>
      </c>
      <c r="F2948" t="s">
        <v>7478</v>
      </c>
      <c r="G2948" s="712">
        <v>0</v>
      </c>
      <c r="H2948">
        <v>0</v>
      </c>
      <c r="I2948" s="713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</row>
    <row r="2949" spans="1:16">
      <c r="A2949">
        <v>5</v>
      </c>
      <c r="B2949" t="s">
        <v>12507</v>
      </c>
      <c r="C2949" t="s">
        <v>12509</v>
      </c>
      <c r="D2949" t="s">
        <v>12551</v>
      </c>
      <c r="E2949" t="s">
        <v>7479</v>
      </c>
      <c r="F2949" t="s">
        <v>7480</v>
      </c>
      <c r="G2949" s="712">
        <v>0</v>
      </c>
      <c r="H2949">
        <v>0</v>
      </c>
      <c r="I2949" s="713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</row>
    <row r="2950" spans="1:16">
      <c r="A2950">
        <v>5</v>
      </c>
      <c r="B2950" t="s">
        <v>12507</v>
      </c>
      <c r="C2950" t="s">
        <v>12509</v>
      </c>
      <c r="D2950" t="s">
        <v>12551</v>
      </c>
      <c r="E2950" t="s">
        <v>7481</v>
      </c>
      <c r="F2950" t="s">
        <v>7482</v>
      </c>
      <c r="G2950" s="712">
        <v>0</v>
      </c>
      <c r="H2950">
        <v>0</v>
      </c>
      <c r="I2950" s="713">
        <v>0</v>
      </c>
      <c r="J2950" s="711">
        <v>31800</v>
      </c>
      <c r="K2950">
        <v>0</v>
      </c>
      <c r="L2950">
        <v>0</v>
      </c>
      <c r="M2950">
        <v>0</v>
      </c>
      <c r="N2950" s="711">
        <v>31800</v>
      </c>
      <c r="O2950">
        <v>0</v>
      </c>
      <c r="P2950" s="711">
        <v>31800</v>
      </c>
    </row>
    <row r="2951" spans="1:16">
      <c r="A2951">
        <v>5</v>
      </c>
      <c r="B2951" t="s">
        <v>12507</v>
      </c>
      <c r="C2951" t="s">
        <v>12509</v>
      </c>
      <c r="D2951" t="s">
        <v>12551</v>
      </c>
      <c r="E2951" t="s">
        <v>7483</v>
      </c>
      <c r="F2951" t="s">
        <v>7484</v>
      </c>
      <c r="G2951" s="712">
        <v>0</v>
      </c>
      <c r="H2951">
        <v>0</v>
      </c>
      <c r="I2951" s="713">
        <v>0</v>
      </c>
      <c r="J2951" s="711">
        <v>22600</v>
      </c>
      <c r="K2951">
        <v>0</v>
      </c>
      <c r="L2951">
        <v>0</v>
      </c>
      <c r="M2951">
        <v>0</v>
      </c>
      <c r="N2951" s="711">
        <v>22600</v>
      </c>
      <c r="O2951">
        <v>0</v>
      </c>
      <c r="P2951" s="711">
        <v>22600</v>
      </c>
    </row>
    <row r="2952" spans="1:16">
      <c r="A2952">
        <v>5</v>
      </c>
      <c r="B2952" t="s">
        <v>12507</v>
      </c>
      <c r="C2952" t="s">
        <v>12509</v>
      </c>
      <c r="D2952" t="s">
        <v>12551</v>
      </c>
      <c r="E2952" t="s">
        <v>7485</v>
      </c>
      <c r="F2952" t="s">
        <v>7486</v>
      </c>
      <c r="G2952" s="712">
        <v>0</v>
      </c>
      <c r="H2952">
        <v>0</v>
      </c>
      <c r="I2952" s="713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</row>
    <row r="2953" spans="1:16">
      <c r="A2953">
        <v>5</v>
      </c>
      <c r="B2953" t="s">
        <v>12507</v>
      </c>
      <c r="C2953" t="s">
        <v>12509</v>
      </c>
      <c r="D2953" t="s">
        <v>12551</v>
      </c>
      <c r="E2953" t="s">
        <v>7487</v>
      </c>
      <c r="F2953" t="s">
        <v>7488</v>
      </c>
      <c r="G2953" s="712">
        <v>0</v>
      </c>
      <c r="H2953">
        <v>0</v>
      </c>
      <c r="I2953" s="713">
        <v>0</v>
      </c>
      <c r="J2953" s="711">
        <v>5700</v>
      </c>
      <c r="K2953">
        <v>0</v>
      </c>
      <c r="L2953">
        <v>0</v>
      </c>
      <c r="M2953">
        <v>0</v>
      </c>
      <c r="N2953" s="711">
        <v>5700</v>
      </c>
      <c r="O2953">
        <v>0</v>
      </c>
      <c r="P2953" s="711">
        <v>5700</v>
      </c>
    </row>
    <row r="2954" spans="1:16">
      <c r="A2954">
        <v>5</v>
      </c>
      <c r="B2954" t="s">
        <v>12507</v>
      </c>
      <c r="C2954" t="s">
        <v>12509</v>
      </c>
      <c r="D2954" t="s">
        <v>12551</v>
      </c>
      <c r="E2954" t="s">
        <v>7489</v>
      </c>
      <c r="F2954" t="s">
        <v>7490</v>
      </c>
      <c r="G2954" s="712">
        <v>0</v>
      </c>
      <c r="H2954">
        <v>0</v>
      </c>
      <c r="I2954" s="713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</row>
    <row r="2955" spans="1:16">
      <c r="A2955">
        <v>5</v>
      </c>
      <c r="B2955" t="s">
        <v>12507</v>
      </c>
      <c r="C2955" t="s">
        <v>12509</v>
      </c>
      <c r="D2955" t="s">
        <v>12551</v>
      </c>
      <c r="E2955" t="s">
        <v>7491</v>
      </c>
      <c r="F2955" t="s">
        <v>7492</v>
      </c>
      <c r="G2955" s="712">
        <v>0</v>
      </c>
      <c r="H2955">
        <v>0</v>
      </c>
      <c r="I2955" s="713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</row>
    <row r="2956" spans="1:16">
      <c r="A2956">
        <v>5</v>
      </c>
      <c r="B2956" t="s">
        <v>12507</v>
      </c>
      <c r="C2956" t="s">
        <v>12509</v>
      </c>
      <c r="D2956" t="s">
        <v>12551</v>
      </c>
      <c r="E2956" t="s">
        <v>7493</v>
      </c>
      <c r="F2956" t="s">
        <v>7494</v>
      </c>
      <c r="G2956" s="712">
        <v>0</v>
      </c>
      <c r="H2956">
        <v>0</v>
      </c>
      <c r="I2956" s="713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</row>
    <row r="2957" spans="1:16">
      <c r="A2957">
        <v>5</v>
      </c>
      <c r="B2957" t="s">
        <v>12507</v>
      </c>
      <c r="C2957" t="s">
        <v>12509</v>
      </c>
      <c r="D2957" t="s">
        <v>12551</v>
      </c>
      <c r="E2957" t="s">
        <v>7495</v>
      </c>
      <c r="F2957" t="s">
        <v>7496</v>
      </c>
      <c r="G2957" s="712">
        <v>0</v>
      </c>
      <c r="H2957">
        <v>0</v>
      </c>
      <c r="I2957" s="713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</row>
    <row r="2958" spans="1:16">
      <c r="A2958">
        <v>5</v>
      </c>
      <c r="B2958" t="s">
        <v>12507</v>
      </c>
      <c r="C2958" t="s">
        <v>12509</v>
      </c>
      <c r="D2958" t="s">
        <v>12551</v>
      </c>
      <c r="E2958" t="s">
        <v>7497</v>
      </c>
      <c r="F2958" t="s">
        <v>7498</v>
      </c>
      <c r="G2958" s="712">
        <v>0</v>
      </c>
      <c r="H2958">
        <v>0</v>
      </c>
      <c r="I2958" s="713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</row>
    <row r="2959" spans="1:16">
      <c r="A2959">
        <v>5</v>
      </c>
      <c r="B2959" t="s">
        <v>12507</v>
      </c>
      <c r="C2959" t="s">
        <v>12509</v>
      </c>
      <c r="D2959" t="s">
        <v>12551</v>
      </c>
      <c r="E2959" t="s">
        <v>7499</v>
      </c>
      <c r="F2959" t="s">
        <v>7500</v>
      </c>
      <c r="G2959" s="712">
        <v>0</v>
      </c>
      <c r="H2959">
        <v>0</v>
      </c>
      <c r="I2959" s="713">
        <v>0</v>
      </c>
      <c r="J2959" s="711">
        <v>23800</v>
      </c>
      <c r="K2959">
        <v>0</v>
      </c>
      <c r="L2959">
        <v>0</v>
      </c>
      <c r="M2959">
        <v>0</v>
      </c>
      <c r="N2959" s="711">
        <v>23800</v>
      </c>
      <c r="O2959">
        <v>0</v>
      </c>
      <c r="P2959" s="711">
        <v>23800</v>
      </c>
    </row>
    <row r="2960" spans="1:16">
      <c r="A2960">
        <v>5</v>
      </c>
      <c r="B2960" t="s">
        <v>12507</v>
      </c>
      <c r="C2960" t="s">
        <v>12509</v>
      </c>
      <c r="D2960" t="s">
        <v>12551</v>
      </c>
      <c r="E2960" t="s">
        <v>7501</v>
      </c>
      <c r="F2960" t="s">
        <v>7502</v>
      </c>
      <c r="G2960" s="712">
        <v>0</v>
      </c>
      <c r="H2960">
        <v>0</v>
      </c>
      <c r="I2960" s="713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</row>
    <row r="2961" spans="1:16">
      <c r="A2961">
        <v>5</v>
      </c>
      <c r="B2961" t="s">
        <v>12507</v>
      </c>
      <c r="C2961" t="s">
        <v>12509</v>
      </c>
      <c r="D2961" t="s">
        <v>12551</v>
      </c>
      <c r="E2961" t="s">
        <v>7503</v>
      </c>
      <c r="F2961" t="s">
        <v>7504</v>
      </c>
      <c r="G2961" s="712">
        <v>0</v>
      </c>
      <c r="H2961">
        <v>0</v>
      </c>
      <c r="I2961" s="713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</row>
    <row r="2962" spans="1:16">
      <c r="A2962">
        <v>5</v>
      </c>
      <c r="B2962" t="s">
        <v>12507</v>
      </c>
      <c r="C2962" t="s">
        <v>12509</v>
      </c>
      <c r="D2962" t="s">
        <v>12551</v>
      </c>
      <c r="E2962" t="s">
        <v>7505</v>
      </c>
      <c r="F2962" t="s">
        <v>7506</v>
      </c>
      <c r="G2962" s="712">
        <v>0</v>
      </c>
      <c r="H2962">
        <v>0</v>
      </c>
      <c r="I2962" s="713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</row>
    <row r="2963" spans="1:16">
      <c r="A2963">
        <v>5</v>
      </c>
      <c r="B2963" t="s">
        <v>12507</v>
      </c>
      <c r="C2963" t="s">
        <v>12509</v>
      </c>
      <c r="D2963" t="s">
        <v>12551</v>
      </c>
      <c r="E2963" t="s">
        <v>7507</v>
      </c>
      <c r="F2963" t="s">
        <v>7508</v>
      </c>
      <c r="G2963" s="712">
        <v>0</v>
      </c>
      <c r="H2963">
        <v>0</v>
      </c>
      <c r="I2963" s="71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</row>
    <row r="2964" spans="1:16">
      <c r="A2964">
        <v>5</v>
      </c>
      <c r="B2964" t="s">
        <v>12507</v>
      </c>
      <c r="C2964" t="s">
        <v>12509</v>
      </c>
      <c r="D2964" t="s">
        <v>12551</v>
      </c>
      <c r="E2964" t="s">
        <v>7512</v>
      </c>
      <c r="F2964" t="s">
        <v>7513</v>
      </c>
      <c r="G2964" s="712">
        <v>0</v>
      </c>
      <c r="H2964">
        <v>0</v>
      </c>
      <c r="I2964" s="713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</row>
    <row r="2965" spans="1:16" ht="15.75" thickBot="1">
      <c r="A2965">
        <v>5</v>
      </c>
      <c r="B2965" t="s">
        <v>12507</v>
      </c>
      <c r="C2965" t="s">
        <v>12509</v>
      </c>
      <c r="D2965" t="s">
        <v>12551</v>
      </c>
      <c r="E2965" t="s">
        <v>7518</v>
      </c>
      <c r="F2965" t="s">
        <v>7519</v>
      </c>
      <c r="G2965" s="712">
        <v>0</v>
      </c>
      <c r="H2965">
        <v>0</v>
      </c>
      <c r="I2965" s="713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</row>
    <row r="2966" spans="1:16" ht="15.75" thickBot="1">
      <c r="A2966" s="727">
        <v>5</v>
      </c>
      <c r="B2966" s="727" t="s">
        <v>12507</v>
      </c>
      <c r="C2966" s="727" t="s">
        <v>12509</v>
      </c>
      <c r="D2966" s="727" t="s">
        <v>12552</v>
      </c>
      <c r="E2966" s="727"/>
      <c r="F2966" s="729" t="s">
        <v>7522</v>
      </c>
      <c r="G2966" s="738">
        <v>0</v>
      </c>
      <c r="H2966" s="738">
        <v>0</v>
      </c>
      <c r="I2966" s="738">
        <v>0</v>
      </c>
      <c r="J2966" s="738">
        <v>0</v>
      </c>
      <c r="K2966" s="738">
        <v>0</v>
      </c>
      <c r="L2966" s="738">
        <v>0</v>
      </c>
      <c r="M2966" s="738">
        <v>0</v>
      </c>
      <c r="N2966" s="738">
        <v>0</v>
      </c>
      <c r="O2966" s="738">
        <v>0</v>
      </c>
      <c r="P2966" s="738">
        <v>0</v>
      </c>
    </row>
    <row r="2967" spans="1:16" ht="15.75" thickBot="1">
      <c r="A2967">
        <v>5</v>
      </c>
      <c r="B2967" t="s">
        <v>12507</v>
      </c>
      <c r="C2967" t="s">
        <v>12509</v>
      </c>
      <c r="D2967" t="s">
        <v>12552</v>
      </c>
      <c r="E2967" t="s">
        <v>7525</v>
      </c>
      <c r="F2967" t="s">
        <v>7522</v>
      </c>
      <c r="G2967" s="712">
        <v>0</v>
      </c>
      <c r="H2967">
        <v>0</v>
      </c>
      <c r="I2967" s="713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</row>
    <row r="2968" spans="1:16" ht="15.75" thickBot="1">
      <c r="A2968" s="727">
        <v>5</v>
      </c>
      <c r="B2968" s="727" t="s">
        <v>12507</v>
      </c>
      <c r="C2968" s="727" t="s">
        <v>12553</v>
      </c>
      <c r="D2968" s="727"/>
      <c r="E2968" s="727"/>
      <c r="F2968" s="745" t="s">
        <v>12554</v>
      </c>
      <c r="G2968" s="738">
        <v>0</v>
      </c>
      <c r="H2968" s="738">
        <v>0</v>
      </c>
      <c r="I2968" s="738">
        <v>0</v>
      </c>
      <c r="J2968" s="739">
        <v>45938726</v>
      </c>
      <c r="K2968" s="739">
        <v>2524926.35</v>
      </c>
      <c r="L2968" s="738">
        <v>0</v>
      </c>
      <c r="M2968" s="738">
        <v>0</v>
      </c>
      <c r="N2968" s="739">
        <v>45938726</v>
      </c>
      <c r="O2968" s="739">
        <v>2524926.35</v>
      </c>
      <c r="P2968" s="739">
        <v>43413799.649999999</v>
      </c>
    </row>
    <row r="2969" spans="1:16" ht="15.75" thickBot="1">
      <c r="A2969" s="727">
        <v>5</v>
      </c>
      <c r="B2969" s="727" t="s">
        <v>12507</v>
      </c>
      <c r="C2969" s="727" t="s">
        <v>12553</v>
      </c>
      <c r="D2969" s="727" t="s">
        <v>12555</v>
      </c>
      <c r="E2969" s="727"/>
      <c r="F2969" s="729" t="s">
        <v>442</v>
      </c>
      <c r="G2969" s="738">
        <v>0</v>
      </c>
      <c r="H2969" s="738">
        <v>0</v>
      </c>
      <c r="I2969" s="738">
        <v>0</v>
      </c>
      <c r="J2969" s="739">
        <v>33368716.91</v>
      </c>
      <c r="K2969" s="739">
        <v>736329.79</v>
      </c>
      <c r="L2969" s="738">
        <v>0</v>
      </c>
      <c r="M2969" s="738">
        <v>0</v>
      </c>
      <c r="N2969" s="739">
        <v>33368716.91</v>
      </c>
      <c r="O2969" s="739">
        <v>736329.79</v>
      </c>
      <c r="P2969" s="739">
        <v>32632387.120000001</v>
      </c>
    </row>
    <row r="2970" spans="1:16">
      <c r="A2970">
        <v>5</v>
      </c>
      <c r="B2970" t="s">
        <v>12507</v>
      </c>
      <c r="C2970" t="s">
        <v>12553</v>
      </c>
      <c r="D2970" t="s">
        <v>12555</v>
      </c>
      <c r="E2970" t="s">
        <v>7534</v>
      </c>
      <c r="F2970" t="s">
        <v>7535</v>
      </c>
      <c r="G2970" s="712">
        <v>0</v>
      </c>
      <c r="H2970">
        <v>0</v>
      </c>
      <c r="I2970" s="713">
        <v>0</v>
      </c>
      <c r="J2970" s="711">
        <v>383276.28</v>
      </c>
      <c r="K2970">
        <v>0</v>
      </c>
      <c r="L2970">
        <v>0</v>
      </c>
      <c r="M2970">
        <v>0</v>
      </c>
      <c r="N2970" s="711">
        <v>383276.28</v>
      </c>
      <c r="O2970">
        <v>0</v>
      </c>
      <c r="P2970" s="711">
        <v>383276.28</v>
      </c>
    </row>
    <row r="2971" spans="1:16">
      <c r="A2971">
        <v>5</v>
      </c>
      <c r="B2971" t="s">
        <v>12507</v>
      </c>
      <c r="C2971" t="s">
        <v>12553</v>
      </c>
      <c r="D2971" t="s">
        <v>12555</v>
      </c>
      <c r="E2971" t="s">
        <v>7539</v>
      </c>
      <c r="F2971" t="s">
        <v>7540</v>
      </c>
      <c r="G2971" s="712">
        <v>0</v>
      </c>
      <c r="H2971">
        <v>0</v>
      </c>
      <c r="I2971" s="713">
        <v>0</v>
      </c>
      <c r="J2971" s="711">
        <v>5697398.2999999998</v>
      </c>
      <c r="K2971">
        <v>0</v>
      </c>
      <c r="L2971">
        <v>0</v>
      </c>
      <c r="M2971">
        <v>0</v>
      </c>
      <c r="N2971" s="711">
        <v>5697398.2999999998</v>
      </c>
      <c r="O2971">
        <v>0</v>
      </c>
      <c r="P2971" s="711">
        <v>5697398.2999999998</v>
      </c>
    </row>
    <row r="2972" spans="1:16">
      <c r="A2972">
        <v>5</v>
      </c>
      <c r="B2972" t="s">
        <v>12507</v>
      </c>
      <c r="C2972" t="s">
        <v>12553</v>
      </c>
      <c r="D2972" t="s">
        <v>12555</v>
      </c>
      <c r="E2972" t="s">
        <v>7544</v>
      </c>
      <c r="F2972" t="s">
        <v>7545</v>
      </c>
      <c r="G2972" s="712">
        <v>0</v>
      </c>
      <c r="H2972">
        <v>0</v>
      </c>
      <c r="I2972" s="713">
        <v>0</v>
      </c>
      <c r="J2972" s="711">
        <v>2232205.9500000002</v>
      </c>
      <c r="K2972">
        <v>36.07</v>
      </c>
      <c r="L2972">
        <v>0</v>
      </c>
      <c r="M2972">
        <v>0</v>
      </c>
      <c r="N2972" s="711">
        <v>2232205.9500000002</v>
      </c>
      <c r="O2972">
        <v>36.07</v>
      </c>
      <c r="P2972" s="711">
        <v>2232169.88</v>
      </c>
    </row>
    <row r="2973" spans="1:16">
      <c r="A2973">
        <v>5</v>
      </c>
      <c r="B2973" t="s">
        <v>12507</v>
      </c>
      <c r="C2973" t="s">
        <v>12553</v>
      </c>
      <c r="D2973" t="s">
        <v>12555</v>
      </c>
      <c r="E2973" t="s">
        <v>7551</v>
      </c>
      <c r="F2973" t="s">
        <v>7552</v>
      </c>
      <c r="G2973" s="712">
        <v>0</v>
      </c>
      <c r="H2973">
        <v>0</v>
      </c>
      <c r="I2973" s="713">
        <v>0</v>
      </c>
      <c r="J2973" s="711">
        <v>813372.97</v>
      </c>
      <c r="K2973">
        <v>0</v>
      </c>
      <c r="L2973">
        <v>0</v>
      </c>
      <c r="M2973">
        <v>0</v>
      </c>
      <c r="N2973" s="711">
        <v>813372.97</v>
      </c>
      <c r="O2973">
        <v>0</v>
      </c>
      <c r="P2973" s="711">
        <v>813372.97</v>
      </c>
    </row>
    <row r="2974" spans="1:16">
      <c r="A2974">
        <v>5</v>
      </c>
      <c r="B2974" t="s">
        <v>12507</v>
      </c>
      <c r="C2974" t="s">
        <v>12553</v>
      </c>
      <c r="D2974" t="s">
        <v>12555</v>
      </c>
      <c r="E2974" t="s">
        <v>7557</v>
      </c>
      <c r="F2974" t="s">
        <v>7558</v>
      </c>
      <c r="G2974" s="712">
        <v>0</v>
      </c>
      <c r="H2974">
        <v>0</v>
      </c>
      <c r="I2974" s="713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</row>
    <row r="2975" spans="1:16">
      <c r="A2975">
        <v>5</v>
      </c>
      <c r="B2975" t="s">
        <v>12507</v>
      </c>
      <c r="C2975" t="s">
        <v>12553</v>
      </c>
      <c r="D2975" t="s">
        <v>12555</v>
      </c>
      <c r="E2975" t="s">
        <v>7561</v>
      </c>
      <c r="F2975" t="s">
        <v>7562</v>
      </c>
      <c r="G2975" s="712">
        <v>0</v>
      </c>
      <c r="H2975">
        <v>0</v>
      </c>
      <c r="I2975" s="713">
        <v>0</v>
      </c>
      <c r="J2975" s="711">
        <v>7152758.5999999996</v>
      </c>
      <c r="K2975" s="711">
        <v>383707.2</v>
      </c>
      <c r="L2975">
        <v>0</v>
      </c>
      <c r="M2975">
        <v>0</v>
      </c>
      <c r="N2975" s="711">
        <v>7152758.5999999996</v>
      </c>
      <c r="O2975" s="711">
        <v>383707.2</v>
      </c>
      <c r="P2975" s="711">
        <v>6769051.4000000004</v>
      </c>
    </row>
    <row r="2976" spans="1:16">
      <c r="A2976">
        <v>5</v>
      </c>
      <c r="B2976" t="s">
        <v>12507</v>
      </c>
      <c r="C2976" t="s">
        <v>12553</v>
      </c>
      <c r="D2976" t="s">
        <v>12555</v>
      </c>
      <c r="E2976" t="s">
        <v>7567</v>
      </c>
      <c r="F2976" t="s">
        <v>7568</v>
      </c>
      <c r="G2976" s="712">
        <v>0</v>
      </c>
      <c r="H2976">
        <v>0</v>
      </c>
      <c r="I2976" s="713">
        <v>0</v>
      </c>
      <c r="J2976" s="711">
        <v>400329.3</v>
      </c>
      <c r="K2976" s="711">
        <v>6732.78</v>
      </c>
      <c r="L2976">
        <v>0</v>
      </c>
      <c r="M2976">
        <v>0</v>
      </c>
      <c r="N2976" s="711">
        <v>400329.3</v>
      </c>
      <c r="O2976" s="711">
        <v>6732.78</v>
      </c>
      <c r="P2976" s="711">
        <v>393596.52</v>
      </c>
    </row>
    <row r="2977" spans="1:16">
      <c r="A2977">
        <v>5</v>
      </c>
      <c r="B2977" t="s">
        <v>12507</v>
      </c>
      <c r="C2977" t="s">
        <v>12553</v>
      </c>
      <c r="D2977" t="s">
        <v>12555</v>
      </c>
      <c r="E2977" t="s">
        <v>7569</v>
      </c>
      <c r="F2977" t="s">
        <v>7570</v>
      </c>
      <c r="G2977" s="712">
        <v>0</v>
      </c>
      <c r="H2977">
        <v>0</v>
      </c>
      <c r="I2977" s="713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</row>
    <row r="2978" spans="1:16">
      <c r="A2978">
        <v>5</v>
      </c>
      <c r="B2978" t="s">
        <v>12507</v>
      </c>
      <c r="C2978" t="s">
        <v>12553</v>
      </c>
      <c r="D2978" t="s">
        <v>12555</v>
      </c>
      <c r="E2978" t="s">
        <v>7573</v>
      </c>
      <c r="F2978" t="s">
        <v>7574</v>
      </c>
      <c r="G2978" s="712">
        <v>0</v>
      </c>
      <c r="H2978">
        <v>0</v>
      </c>
      <c r="I2978" s="713">
        <v>0</v>
      </c>
      <c r="J2978" s="711">
        <v>950140.46</v>
      </c>
      <c r="K2978">
        <v>0</v>
      </c>
      <c r="L2978">
        <v>0</v>
      </c>
      <c r="M2978">
        <v>0</v>
      </c>
      <c r="N2978" s="711">
        <v>950140.46</v>
      </c>
      <c r="O2978">
        <v>0</v>
      </c>
      <c r="P2978" s="711">
        <v>950140.46</v>
      </c>
    </row>
    <row r="2979" spans="1:16">
      <c r="A2979">
        <v>5</v>
      </c>
      <c r="B2979" t="s">
        <v>12507</v>
      </c>
      <c r="C2979" t="s">
        <v>12553</v>
      </c>
      <c r="D2979" t="s">
        <v>12555</v>
      </c>
      <c r="E2979" t="s">
        <v>7578</v>
      </c>
      <c r="F2979" t="s">
        <v>7579</v>
      </c>
      <c r="G2979" s="712">
        <v>0</v>
      </c>
      <c r="H2979">
        <v>0</v>
      </c>
      <c r="I2979" s="713">
        <v>0</v>
      </c>
      <c r="J2979" s="711">
        <v>518690.27</v>
      </c>
      <c r="K2979">
        <v>0</v>
      </c>
      <c r="L2979">
        <v>0</v>
      </c>
      <c r="M2979">
        <v>0</v>
      </c>
      <c r="N2979" s="711">
        <v>518690.27</v>
      </c>
      <c r="O2979">
        <v>0</v>
      </c>
      <c r="P2979" s="711">
        <v>518690.27</v>
      </c>
    </row>
    <row r="2980" spans="1:16">
      <c r="A2980">
        <v>5</v>
      </c>
      <c r="B2980" t="s">
        <v>12507</v>
      </c>
      <c r="C2980" t="s">
        <v>12553</v>
      </c>
      <c r="D2980" t="s">
        <v>12555</v>
      </c>
      <c r="E2980" t="s">
        <v>7582</v>
      </c>
      <c r="F2980" t="s">
        <v>7583</v>
      </c>
      <c r="G2980" s="712">
        <v>0</v>
      </c>
      <c r="H2980">
        <v>0</v>
      </c>
      <c r="I2980" s="713">
        <v>0</v>
      </c>
      <c r="J2980" s="711">
        <v>5568127.0700000003</v>
      </c>
      <c r="K2980">
        <v>74.73</v>
      </c>
      <c r="L2980">
        <v>0</v>
      </c>
      <c r="M2980">
        <v>0</v>
      </c>
      <c r="N2980" s="711">
        <v>5568127.0700000003</v>
      </c>
      <c r="O2980">
        <v>74.73</v>
      </c>
      <c r="P2980" s="711">
        <v>5568052.3399999999</v>
      </c>
    </row>
    <row r="2981" spans="1:16">
      <c r="A2981">
        <v>5</v>
      </c>
      <c r="B2981" t="s">
        <v>12507</v>
      </c>
      <c r="C2981" t="s">
        <v>12553</v>
      </c>
      <c r="D2981" t="s">
        <v>12555</v>
      </c>
      <c r="E2981" t="s">
        <v>7586</v>
      </c>
      <c r="F2981" t="s">
        <v>7587</v>
      </c>
      <c r="G2981" s="712">
        <v>0</v>
      </c>
      <c r="H2981">
        <v>0</v>
      </c>
      <c r="I2981" s="713">
        <v>0</v>
      </c>
      <c r="J2981" s="711">
        <v>1473370.53</v>
      </c>
      <c r="K2981" s="711">
        <v>164527.71</v>
      </c>
      <c r="L2981">
        <v>0</v>
      </c>
      <c r="M2981">
        <v>0</v>
      </c>
      <c r="N2981" s="711">
        <v>1473370.53</v>
      </c>
      <c r="O2981" s="711">
        <v>164527.71</v>
      </c>
      <c r="P2981" s="711">
        <v>1308842.82</v>
      </c>
    </row>
    <row r="2982" spans="1:16">
      <c r="A2982">
        <v>5</v>
      </c>
      <c r="B2982" t="s">
        <v>12507</v>
      </c>
      <c r="C2982" t="s">
        <v>12553</v>
      </c>
      <c r="D2982" t="s">
        <v>12555</v>
      </c>
      <c r="E2982" t="s">
        <v>7591</v>
      </c>
      <c r="F2982" t="s">
        <v>7592</v>
      </c>
      <c r="G2982" s="712">
        <v>0</v>
      </c>
      <c r="H2982">
        <v>0</v>
      </c>
      <c r="I2982" s="713">
        <v>0</v>
      </c>
      <c r="J2982" s="711">
        <v>8559.93</v>
      </c>
      <c r="K2982">
        <v>0</v>
      </c>
      <c r="L2982">
        <v>0</v>
      </c>
      <c r="M2982">
        <v>0</v>
      </c>
      <c r="N2982" s="711">
        <v>8559.93</v>
      </c>
      <c r="O2982">
        <v>0</v>
      </c>
      <c r="P2982" s="711">
        <v>8559.93</v>
      </c>
    </row>
    <row r="2983" spans="1:16">
      <c r="A2983">
        <v>5</v>
      </c>
      <c r="B2983" t="s">
        <v>12507</v>
      </c>
      <c r="C2983" t="s">
        <v>12553</v>
      </c>
      <c r="D2983" t="s">
        <v>12555</v>
      </c>
      <c r="E2983" t="s">
        <v>7594</v>
      </c>
      <c r="F2983" t="s">
        <v>7595</v>
      </c>
      <c r="G2983" s="712">
        <v>0</v>
      </c>
      <c r="H2983">
        <v>0</v>
      </c>
      <c r="I2983" s="713">
        <v>0</v>
      </c>
      <c r="J2983" s="711">
        <v>75375.41</v>
      </c>
      <c r="K2983">
        <v>0</v>
      </c>
      <c r="L2983">
        <v>0</v>
      </c>
      <c r="M2983">
        <v>0</v>
      </c>
      <c r="N2983" s="711">
        <v>75375.41</v>
      </c>
      <c r="O2983">
        <v>0</v>
      </c>
      <c r="P2983" s="711">
        <v>75375.41</v>
      </c>
    </row>
    <row r="2984" spans="1:16">
      <c r="A2984">
        <v>5</v>
      </c>
      <c r="B2984" t="s">
        <v>12507</v>
      </c>
      <c r="C2984" t="s">
        <v>12553</v>
      </c>
      <c r="D2984" t="s">
        <v>12555</v>
      </c>
      <c r="E2984" t="s">
        <v>7597</v>
      </c>
      <c r="F2984" t="s">
        <v>7598</v>
      </c>
      <c r="G2984" s="712">
        <v>0</v>
      </c>
      <c r="H2984">
        <v>0</v>
      </c>
      <c r="I2984" s="713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</row>
    <row r="2985" spans="1:16">
      <c r="A2985">
        <v>5</v>
      </c>
      <c r="B2985" t="s">
        <v>12507</v>
      </c>
      <c r="C2985" t="s">
        <v>12553</v>
      </c>
      <c r="D2985" t="s">
        <v>12555</v>
      </c>
      <c r="E2985" t="s">
        <v>7603</v>
      </c>
      <c r="F2985" t="s">
        <v>7604</v>
      </c>
      <c r="G2985" s="712">
        <v>0</v>
      </c>
      <c r="H2985">
        <v>0</v>
      </c>
      <c r="I2985" s="713">
        <v>0</v>
      </c>
      <c r="J2985" s="711">
        <v>10391.25</v>
      </c>
      <c r="K2985">
        <v>0</v>
      </c>
      <c r="L2985">
        <v>0</v>
      </c>
      <c r="M2985">
        <v>0</v>
      </c>
      <c r="N2985" s="711">
        <v>10391.25</v>
      </c>
      <c r="O2985">
        <v>0</v>
      </c>
      <c r="P2985" s="711">
        <v>10391.25</v>
      </c>
    </row>
    <row r="2986" spans="1:16">
      <c r="A2986">
        <v>5</v>
      </c>
      <c r="B2986" t="s">
        <v>12507</v>
      </c>
      <c r="C2986" t="s">
        <v>12553</v>
      </c>
      <c r="D2986" t="s">
        <v>12555</v>
      </c>
      <c r="E2986" t="s">
        <v>7608</v>
      </c>
      <c r="F2986" t="s">
        <v>7609</v>
      </c>
      <c r="G2986" s="712">
        <v>0</v>
      </c>
      <c r="H2986">
        <v>0</v>
      </c>
      <c r="I2986" s="713">
        <v>0</v>
      </c>
      <c r="J2986" s="711">
        <v>58086</v>
      </c>
      <c r="K2986">
        <v>0</v>
      </c>
      <c r="L2986">
        <v>0</v>
      </c>
      <c r="M2986">
        <v>0</v>
      </c>
      <c r="N2986" s="711">
        <v>58086</v>
      </c>
      <c r="O2986">
        <v>0</v>
      </c>
      <c r="P2986" s="711">
        <v>58086</v>
      </c>
    </row>
    <row r="2987" spans="1:16">
      <c r="A2987">
        <v>5</v>
      </c>
      <c r="B2987" t="s">
        <v>12507</v>
      </c>
      <c r="C2987" t="s">
        <v>12553</v>
      </c>
      <c r="D2987" t="s">
        <v>12555</v>
      </c>
      <c r="E2987" t="s">
        <v>7610</v>
      </c>
      <c r="F2987" t="s">
        <v>7611</v>
      </c>
      <c r="G2987" s="712">
        <v>0</v>
      </c>
      <c r="H2987">
        <v>0</v>
      </c>
      <c r="I2987" s="713">
        <v>0</v>
      </c>
      <c r="J2987" s="711">
        <v>163415.37</v>
      </c>
      <c r="K2987">
        <v>0</v>
      </c>
      <c r="L2987">
        <v>0</v>
      </c>
      <c r="M2987">
        <v>0</v>
      </c>
      <c r="N2987" s="711">
        <v>163415.37</v>
      </c>
      <c r="O2987">
        <v>0</v>
      </c>
      <c r="P2987" s="711">
        <v>163415.37</v>
      </c>
    </row>
    <row r="2988" spans="1:16">
      <c r="A2988">
        <v>5</v>
      </c>
      <c r="B2988" t="s">
        <v>12507</v>
      </c>
      <c r="C2988" t="s">
        <v>12553</v>
      </c>
      <c r="D2988" t="s">
        <v>12555</v>
      </c>
      <c r="E2988" t="s">
        <v>7613</v>
      </c>
      <c r="F2988" t="s">
        <v>7614</v>
      </c>
      <c r="G2988" s="712">
        <v>0</v>
      </c>
      <c r="H2988">
        <v>0</v>
      </c>
      <c r="I2988" s="713">
        <v>0</v>
      </c>
      <c r="J2988" s="711">
        <v>2019.4</v>
      </c>
      <c r="K2988">
        <v>0</v>
      </c>
      <c r="L2988">
        <v>0</v>
      </c>
      <c r="M2988">
        <v>0</v>
      </c>
      <c r="N2988" s="711">
        <v>2019.4</v>
      </c>
      <c r="O2988">
        <v>0</v>
      </c>
      <c r="P2988" s="711">
        <v>2019.4</v>
      </c>
    </row>
    <row r="2989" spans="1:16">
      <c r="A2989">
        <v>5</v>
      </c>
      <c r="B2989" t="s">
        <v>12507</v>
      </c>
      <c r="C2989" t="s">
        <v>12553</v>
      </c>
      <c r="D2989" t="s">
        <v>12555</v>
      </c>
      <c r="E2989" t="s">
        <v>7615</v>
      </c>
      <c r="F2989" t="s">
        <v>7616</v>
      </c>
      <c r="G2989" s="712">
        <v>0</v>
      </c>
      <c r="H2989">
        <v>0</v>
      </c>
      <c r="I2989" s="713">
        <v>0</v>
      </c>
      <c r="J2989" s="711">
        <v>20952.32</v>
      </c>
      <c r="K2989">
        <v>0</v>
      </c>
      <c r="L2989">
        <v>0</v>
      </c>
      <c r="M2989">
        <v>0</v>
      </c>
      <c r="N2989" s="711">
        <v>20952.32</v>
      </c>
      <c r="O2989">
        <v>0</v>
      </c>
      <c r="P2989" s="711">
        <v>20952.32</v>
      </c>
    </row>
    <row r="2990" spans="1:16">
      <c r="A2990">
        <v>5</v>
      </c>
      <c r="B2990" t="s">
        <v>12507</v>
      </c>
      <c r="C2990" t="s">
        <v>12553</v>
      </c>
      <c r="D2990" t="s">
        <v>12555</v>
      </c>
      <c r="E2990" t="s">
        <v>7619</v>
      </c>
      <c r="F2990" t="s">
        <v>7620</v>
      </c>
      <c r="G2990" s="712">
        <v>0</v>
      </c>
      <c r="H2990">
        <v>0</v>
      </c>
      <c r="I2990" s="713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</row>
    <row r="2991" spans="1:16">
      <c r="A2991">
        <v>5</v>
      </c>
      <c r="B2991" t="s">
        <v>12507</v>
      </c>
      <c r="C2991" t="s">
        <v>12553</v>
      </c>
      <c r="D2991" t="s">
        <v>12555</v>
      </c>
      <c r="E2991" t="s">
        <v>7621</v>
      </c>
      <c r="F2991" t="s">
        <v>7622</v>
      </c>
      <c r="G2991" s="712">
        <v>0</v>
      </c>
      <c r="H2991">
        <v>0</v>
      </c>
      <c r="I2991" s="713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</row>
    <row r="2992" spans="1:16">
      <c r="A2992">
        <v>5</v>
      </c>
      <c r="B2992" t="s">
        <v>12507</v>
      </c>
      <c r="C2992" t="s">
        <v>12553</v>
      </c>
      <c r="D2992" t="s">
        <v>12555</v>
      </c>
      <c r="E2992" t="s">
        <v>7623</v>
      </c>
      <c r="F2992" t="s">
        <v>7624</v>
      </c>
      <c r="G2992" s="712">
        <v>0</v>
      </c>
      <c r="H2992">
        <v>0</v>
      </c>
      <c r="I2992" s="713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</row>
    <row r="2993" spans="1:16">
      <c r="A2993">
        <v>5</v>
      </c>
      <c r="B2993" t="s">
        <v>12507</v>
      </c>
      <c r="C2993" t="s">
        <v>12553</v>
      </c>
      <c r="D2993" t="s">
        <v>12555</v>
      </c>
      <c r="E2993" t="s">
        <v>7625</v>
      </c>
      <c r="F2993" t="s">
        <v>439</v>
      </c>
      <c r="G2993" s="712">
        <v>0</v>
      </c>
      <c r="H2993">
        <v>0</v>
      </c>
      <c r="I2993" s="713">
        <v>0</v>
      </c>
      <c r="J2993" s="711">
        <v>23460.37</v>
      </c>
      <c r="K2993">
        <v>0</v>
      </c>
      <c r="L2993">
        <v>0</v>
      </c>
      <c r="M2993">
        <v>0</v>
      </c>
      <c r="N2993" s="711">
        <v>23460.37</v>
      </c>
      <c r="O2993">
        <v>0</v>
      </c>
      <c r="P2993" s="711">
        <v>23460.37</v>
      </c>
    </row>
    <row r="2994" spans="1:16">
      <c r="A2994">
        <v>5</v>
      </c>
      <c r="B2994" t="s">
        <v>12507</v>
      </c>
      <c r="C2994" t="s">
        <v>12553</v>
      </c>
      <c r="D2994" t="s">
        <v>12555</v>
      </c>
      <c r="E2994" t="s">
        <v>7628</v>
      </c>
      <c r="F2994" t="s">
        <v>7629</v>
      </c>
      <c r="G2994" s="712">
        <v>0</v>
      </c>
      <c r="H2994">
        <v>0</v>
      </c>
      <c r="I2994" s="713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</row>
    <row r="2995" spans="1:16">
      <c r="A2995">
        <v>5</v>
      </c>
      <c r="B2995" t="s">
        <v>12507</v>
      </c>
      <c r="C2995" t="s">
        <v>12553</v>
      </c>
      <c r="D2995" t="s">
        <v>12555</v>
      </c>
      <c r="E2995" t="s">
        <v>7630</v>
      </c>
      <c r="F2995" t="s">
        <v>7631</v>
      </c>
      <c r="G2995" s="712">
        <v>0</v>
      </c>
      <c r="H2995">
        <v>0</v>
      </c>
      <c r="I2995" s="713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</row>
    <row r="2996" spans="1:16">
      <c r="A2996">
        <v>5</v>
      </c>
      <c r="B2996" t="s">
        <v>12507</v>
      </c>
      <c r="C2996" t="s">
        <v>12553</v>
      </c>
      <c r="D2996" t="s">
        <v>12555</v>
      </c>
      <c r="E2996" t="s">
        <v>7632</v>
      </c>
      <c r="F2996" t="s">
        <v>7633</v>
      </c>
      <c r="G2996" s="712">
        <v>0</v>
      </c>
      <c r="H2996">
        <v>0</v>
      </c>
      <c r="I2996" s="713">
        <v>0</v>
      </c>
      <c r="J2996" s="711">
        <v>3292553.84</v>
      </c>
      <c r="K2996" s="711">
        <v>171735.3</v>
      </c>
      <c r="L2996">
        <v>0</v>
      </c>
      <c r="M2996">
        <v>0</v>
      </c>
      <c r="N2996" s="711">
        <v>3292553.84</v>
      </c>
      <c r="O2996" s="711">
        <v>171735.3</v>
      </c>
      <c r="P2996" s="711">
        <v>3120818.54</v>
      </c>
    </row>
    <row r="2997" spans="1:16">
      <c r="A2997">
        <v>5</v>
      </c>
      <c r="B2997" t="s">
        <v>12507</v>
      </c>
      <c r="C2997" t="s">
        <v>12553</v>
      </c>
      <c r="D2997" t="s">
        <v>12555</v>
      </c>
      <c r="E2997" t="s">
        <v>7637</v>
      </c>
      <c r="F2997" t="s">
        <v>7638</v>
      </c>
      <c r="G2997" s="712">
        <v>0</v>
      </c>
      <c r="H2997">
        <v>0</v>
      </c>
      <c r="I2997" s="713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</row>
    <row r="2998" spans="1:16">
      <c r="A2998">
        <v>5</v>
      </c>
      <c r="B2998" t="s">
        <v>12507</v>
      </c>
      <c r="C2998" t="s">
        <v>12553</v>
      </c>
      <c r="D2998" t="s">
        <v>12555</v>
      </c>
      <c r="E2998" t="s">
        <v>7640</v>
      </c>
      <c r="F2998" t="s">
        <v>7641</v>
      </c>
      <c r="G2998" s="712">
        <v>0</v>
      </c>
      <c r="H2998">
        <v>0</v>
      </c>
      <c r="I2998" s="713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</row>
    <row r="2999" spans="1:16">
      <c r="A2999">
        <v>5</v>
      </c>
      <c r="B2999" t="s">
        <v>12507</v>
      </c>
      <c r="C2999" t="s">
        <v>12553</v>
      </c>
      <c r="D2999" t="s">
        <v>12555</v>
      </c>
      <c r="E2999" t="s">
        <v>7643</v>
      </c>
      <c r="F2999" t="s">
        <v>7644</v>
      </c>
      <c r="G2999" s="712">
        <v>0</v>
      </c>
      <c r="H2999">
        <v>0</v>
      </c>
      <c r="I2999" s="713">
        <v>0</v>
      </c>
      <c r="J2999" s="711">
        <v>192127.19</v>
      </c>
      <c r="K2999">
        <v>0</v>
      </c>
      <c r="L2999">
        <v>0</v>
      </c>
      <c r="M2999">
        <v>0</v>
      </c>
      <c r="N2999" s="711">
        <v>192127.19</v>
      </c>
      <c r="O2999">
        <v>0</v>
      </c>
      <c r="P2999" s="711">
        <v>192127.19</v>
      </c>
    </row>
    <row r="3000" spans="1:16">
      <c r="A3000">
        <v>5</v>
      </c>
      <c r="B3000" t="s">
        <v>12507</v>
      </c>
      <c r="C3000" t="s">
        <v>12553</v>
      </c>
      <c r="D3000" t="s">
        <v>12555</v>
      </c>
      <c r="E3000" t="s">
        <v>7646</v>
      </c>
      <c r="F3000" t="s">
        <v>7647</v>
      </c>
      <c r="G3000" s="712">
        <v>0</v>
      </c>
      <c r="H3000">
        <v>0</v>
      </c>
      <c r="I3000" s="713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</row>
    <row r="3001" spans="1:16">
      <c r="A3001">
        <v>5</v>
      </c>
      <c r="B3001" t="s">
        <v>12507</v>
      </c>
      <c r="C3001" t="s">
        <v>12553</v>
      </c>
      <c r="D3001" t="s">
        <v>12555</v>
      </c>
      <c r="E3001" t="s">
        <v>7648</v>
      </c>
      <c r="F3001" t="s">
        <v>7649</v>
      </c>
      <c r="G3001" s="712">
        <v>0</v>
      </c>
      <c r="H3001">
        <v>0</v>
      </c>
      <c r="I3001" s="713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</row>
    <row r="3002" spans="1:16">
      <c r="A3002">
        <v>5</v>
      </c>
      <c r="B3002" t="s">
        <v>12507</v>
      </c>
      <c r="C3002" t="s">
        <v>12553</v>
      </c>
      <c r="D3002" t="s">
        <v>12555</v>
      </c>
      <c r="E3002" t="s">
        <v>7650</v>
      </c>
      <c r="F3002" t="s">
        <v>7651</v>
      </c>
      <c r="G3002" s="712">
        <v>0</v>
      </c>
      <c r="H3002">
        <v>0</v>
      </c>
      <c r="I3002" s="713">
        <v>0</v>
      </c>
      <c r="J3002" s="711">
        <v>5551</v>
      </c>
      <c r="K3002">
        <v>0</v>
      </c>
      <c r="L3002">
        <v>0</v>
      </c>
      <c r="M3002">
        <v>0</v>
      </c>
      <c r="N3002" s="711">
        <v>5551</v>
      </c>
      <c r="O3002">
        <v>0</v>
      </c>
      <c r="P3002" s="711">
        <v>5551</v>
      </c>
    </row>
    <row r="3003" spans="1:16">
      <c r="A3003">
        <v>5</v>
      </c>
      <c r="B3003" t="s">
        <v>12507</v>
      </c>
      <c r="C3003" t="s">
        <v>12553</v>
      </c>
      <c r="D3003" t="s">
        <v>12555</v>
      </c>
      <c r="E3003" t="s">
        <v>7653</v>
      </c>
      <c r="F3003" t="s">
        <v>7654</v>
      </c>
      <c r="G3003" s="712">
        <v>0</v>
      </c>
      <c r="H3003">
        <v>0</v>
      </c>
      <c r="I3003" s="71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</row>
    <row r="3004" spans="1:16">
      <c r="A3004">
        <v>5</v>
      </c>
      <c r="B3004" t="s">
        <v>12507</v>
      </c>
      <c r="C3004" t="s">
        <v>12553</v>
      </c>
      <c r="D3004" t="s">
        <v>12555</v>
      </c>
      <c r="E3004" t="s">
        <v>7657</v>
      </c>
      <c r="F3004" t="s">
        <v>7658</v>
      </c>
      <c r="G3004" s="712">
        <v>0</v>
      </c>
      <c r="H3004">
        <v>0</v>
      </c>
      <c r="I3004" s="713">
        <v>0</v>
      </c>
      <c r="J3004" s="711">
        <v>3278437.74</v>
      </c>
      <c r="K3004" s="711">
        <v>9516</v>
      </c>
      <c r="L3004">
        <v>0</v>
      </c>
      <c r="M3004">
        <v>0</v>
      </c>
      <c r="N3004" s="711">
        <v>3278437.74</v>
      </c>
      <c r="O3004" s="711">
        <v>9516</v>
      </c>
      <c r="P3004" s="711">
        <v>3268921.74</v>
      </c>
    </row>
    <row r="3005" spans="1:16">
      <c r="A3005">
        <v>5</v>
      </c>
      <c r="B3005" t="s">
        <v>12507</v>
      </c>
      <c r="C3005" t="s">
        <v>12553</v>
      </c>
      <c r="D3005" t="s">
        <v>12555</v>
      </c>
      <c r="E3005" t="s">
        <v>7659</v>
      </c>
      <c r="F3005" t="s">
        <v>7660</v>
      </c>
      <c r="G3005" s="712">
        <v>0</v>
      </c>
      <c r="H3005">
        <v>0</v>
      </c>
      <c r="I3005" s="713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</row>
    <row r="3006" spans="1:16">
      <c r="A3006">
        <v>5</v>
      </c>
      <c r="B3006" t="s">
        <v>12507</v>
      </c>
      <c r="C3006" t="s">
        <v>12553</v>
      </c>
      <c r="D3006" t="s">
        <v>12555</v>
      </c>
      <c r="E3006" t="s">
        <v>7661</v>
      </c>
      <c r="F3006" t="s">
        <v>7662</v>
      </c>
      <c r="G3006" s="712">
        <v>0</v>
      </c>
      <c r="H3006">
        <v>0</v>
      </c>
      <c r="I3006" s="713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</row>
    <row r="3007" spans="1:16" ht="15.75" thickBot="1">
      <c r="A3007">
        <v>5</v>
      </c>
      <c r="B3007" t="s">
        <v>12507</v>
      </c>
      <c r="C3007" t="s">
        <v>12553</v>
      </c>
      <c r="D3007" t="s">
        <v>12555</v>
      </c>
      <c r="E3007" t="s">
        <v>7663</v>
      </c>
      <c r="F3007" t="s">
        <v>7664</v>
      </c>
      <c r="G3007" s="712">
        <v>0</v>
      </c>
      <c r="H3007">
        <v>0</v>
      </c>
      <c r="I3007" s="713">
        <v>0</v>
      </c>
      <c r="J3007" s="711">
        <v>1048117.36</v>
      </c>
      <c r="K3007">
        <v>0</v>
      </c>
      <c r="L3007">
        <v>0</v>
      </c>
      <c r="M3007">
        <v>0</v>
      </c>
      <c r="N3007" s="711">
        <v>1048117.36</v>
      </c>
      <c r="O3007">
        <v>0</v>
      </c>
      <c r="P3007" s="711">
        <v>1048117.36</v>
      </c>
    </row>
    <row r="3008" spans="1:16" ht="15.75" thickBot="1">
      <c r="A3008" s="727">
        <v>5</v>
      </c>
      <c r="B3008" s="727" t="s">
        <v>12507</v>
      </c>
      <c r="C3008" s="727" t="s">
        <v>12553</v>
      </c>
      <c r="D3008" s="727" t="s">
        <v>12556</v>
      </c>
      <c r="E3008" s="727"/>
      <c r="F3008" s="729" t="s">
        <v>12557</v>
      </c>
      <c r="G3008" s="738">
        <v>0</v>
      </c>
      <c r="H3008" s="738">
        <v>0</v>
      </c>
      <c r="I3008" s="738">
        <v>0</v>
      </c>
      <c r="J3008" s="739">
        <v>377655.92</v>
      </c>
      <c r="K3008" s="738">
        <v>0</v>
      </c>
      <c r="L3008" s="738">
        <v>0</v>
      </c>
      <c r="M3008" s="738">
        <v>0</v>
      </c>
      <c r="N3008" s="739">
        <v>377655.92</v>
      </c>
      <c r="O3008" s="738">
        <v>0</v>
      </c>
      <c r="P3008" s="739">
        <v>377655.92</v>
      </c>
    </row>
    <row r="3009" spans="1:16">
      <c r="A3009">
        <v>5</v>
      </c>
      <c r="B3009" t="s">
        <v>12507</v>
      </c>
      <c r="C3009" t="s">
        <v>12553</v>
      </c>
      <c r="D3009" t="s">
        <v>12556</v>
      </c>
      <c r="E3009" t="s">
        <v>7670</v>
      </c>
      <c r="F3009" t="s">
        <v>7671</v>
      </c>
      <c r="G3009" s="712">
        <v>0</v>
      </c>
      <c r="H3009">
        <v>0</v>
      </c>
      <c r="I3009" s="713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</row>
    <row r="3010" spans="1:16">
      <c r="A3010">
        <v>5</v>
      </c>
      <c r="B3010" t="s">
        <v>12507</v>
      </c>
      <c r="C3010" t="s">
        <v>12553</v>
      </c>
      <c r="D3010" t="s">
        <v>12556</v>
      </c>
      <c r="E3010" t="s">
        <v>7674</v>
      </c>
      <c r="F3010" t="s">
        <v>7675</v>
      </c>
      <c r="G3010" s="712">
        <v>0</v>
      </c>
      <c r="H3010">
        <v>0</v>
      </c>
      <c r="I3010" s="713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</row>
    <row r="3011" spans="1:16">
      <c r="A3011">
        <v>5</v>
      </c>
      <c r="B3011" t="s">
        <v>12507</v>
      </c>
      <c r="C3011" t="s">
        <v>12553</v>
      </c>
      <c r="D3011" t="s">
        <v>12556</v>
      </c>
      <c r="E3011" t="s">
        <v>7676</v>
      </c>
      <c r="F3011" t="s">
        <v>7677</v>
      </c>
      <c r="G3011" s="712">
        <v>0</v>
      </c>
      <c r="H3011">
        <v>0</v>
      </c>
      <c r="I3011" s="713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</row>
    <row r="3012" spans="1:16">
      <c r="A3012">
        <v>5</v>
      </c>
      <c r="B3012" t="s">
        <v>12507</v>
      </c>
      <c r="C3012" t="s">
        <v>12553</v>
      </c>
      <c r="D3012" t="s">
        <v>12556</v>
      </c>
      <c r="E3012" t="s">
        <v>7678</v>
      </c>
      <c r="F3012" t="s">
        <v>7679</v>
      </c>
      <c r="G3012" s="712">
        <v>0</v>
      </c>
      <c r="H3012">
        <v>0</v>
      </c>
      <c r="I3012" s="713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</row>
    <row r="3013" spans="1:16">
      <c r="A3013">
        <v>5</v>
      </c>
      <c r="B3013" t="s">
        <v>12507</v>
      </c>
      <c r="C3013" t="s">
        <v>12553</v>
      </c>
      <c r="D3013" t="s">
        <v>12556</v>
      </c>
      <c r="E3013" t="s">
        <v>7680</v>
      </c>
      <c r="F3013" t="s">
        <v>7681</v>
      </c>
      <c r="G3013" s="712">
        <v>0</v>
      </c>
      <c r="H3013">
        <v>0</v>
      </c>
      <c r="I3013" s="7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</row>
    <row r="3014" spans="1:16">
      <c r="A3014">
        <v>5</v>
      </c>
      <c r="B3014" t="s">
        <v>12507</v>
      </c>
      <c r="C3014" t="s">
        <v>12553</v>
      </c>
      <c r="D3014" t="s">
        <v>12556</v>
      </c>
      <c r="E3014" t="s">
        <v>7684</v>
      </c>
      <c r="F3014" t="s">
        <v>7685</v>
      </c>
      <c r="G3014" s="712">
        <v>0</v>
      </c>
      <c r="H3014">
        <v>0</v>
      </c>
      <c r="I3014" s="713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</row>
    <row r="3015" spans="1:16">
      <c r="A3015">
        <v>5</v>
      </c>
      <c r="B3015" t="s">
        <v>12507</v>
      </c>
      <c r="C3015" t="s">
        <v>12553</v>
      </c>
      <c r="D3015" t="s">
        <v>12556</v>
      </c>
      <c r="E3015" t="s">
        <v>7686</v>
      </c>
      <c r="F3015" t="s">
        <v>7687</v>
      </c>
      <c r="G3015" s="712">
        <v>0</v>
      </c>
      <c r="H3015">
        <v>0</v>
      </c>
      <c r="I3015" s="713">
        <v>0</v>
      </c>
      <c r="J3015" s="711">
        <v>72992.649999999994</v>
      </c>
      <c r="K3015">
        <v>0</v>
      </c>
      <c r="L3015">
        <v>0</v>
      </c>
      <c r="M3015">
        <v>0</v>
      </c>
      <c r="N3015" s="711">
        <v>72992.649999999994</v>
      </c>
      <c r="O3015">
        <v>0</v>
      </c>
      <c r="P3015" s="711">
        <v>72992.649999999994</v>
      </c>
    </row>
    <row r="3016" spans="1:16">
      <c r="A3016">
        <v>5</v>
      </c>
      <c r="B3016" t="s">
        <v>12507</v>
      </c>
      <c r="C3016" t="s">
        <v>12553</v>
      </c>
      <c r="D3016" t="s">
        <v>12556</v>
      </c>
      <c r="E3016" t="s">
        <v>7690</v>
      </c>
      <c r="F3016" t="s">
        <v>7691</v>
      </c>
      <c r="G3016" s="712">
        <v>0</v>
      </c>
      <c r="H3016">
        <v>0</v>
      </c>
      <c r="I3016" s="713">
        <v>0</v>
      </c>
      <c r="J3016" s="711">
        <v>234279.93</v>
      </c>
      <c r="K3016">
        <v>0</v>
      </c>
      <c r="L3016">
        <v>0</v>
      </c>
      <c r="M3016">
        <v>0</v>
      </c>
      <c r="N3016" s="711">
        <v>234279.93</v>
      </c>
      <c r="O3016">
        <v>0</v>
      </c>
      <c r="P3016" s="711">
        <v>234279.93</v>
      </c>
    </row>
    <row r="3017" spans="1:16">
      <c r="A3017">
        <v>5</v>
      </c>
      <c r="B3017" t="s">
        <v>12507</v>
      </c>
      <c r="C3017" t="s">
        <v>12553</v>
      </c>
      <c r="D3017" t="s">
        <v>12556</v>
      </c>
      <c r="E3017" t="s">
        <v>7694</v>
      </c>
      <c r="F3017" t="s">
        <v>7695</v>
      </c>
      <c r="G3017" s="712">
        <v>0</v>
      </c>
      <c r="H3017">
        <v>0</v>
      </c>
      <c r="I3017" s="713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</row>
    <row r="3018" spans="1:16">
      <c r="A3018">
        <v>5</v>
      </c>
      <c r="B3018" t="s">
        <v>12507</v>
      </c>
      <c r="C3018" t="s">
        <v>12553</v>
      </c>
      <c r="D3018" t="s">
        <v>12556</v>
      </c>
      <c r="E3018" t="s">
        <v>7696</v>
      </c>
      <c r="F3018" t="s">
        <v>7697</v>
      </c>
      <c r="G3018" s="712">
        <v>0</v>
      </c>
      <c r="H3018">
        <v>0</v>
      </c>
      <c r="I3018" s="713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</row>
    <row r="3019" spans="1:16">
      <c r="A3019">
        <v>5</v>
      </c>
      <c r="B3019" t="s">
        <v>12507</v>
      </c>
      <c r="C3019" t="s">
        <v>12553</v>
      </c>
      <c r="D3019" t="s">
        <v>12556</v>
      </c>
      <c r="E3019" t="s">
        <v>12558</v>
      </c>
      <c r="F3019" t="s">
        <v>7702</v>
      </c>
      <c r="G3019" s="712">
        <v>0</v>
      </c>
      <c r="H3019">
        <v>0</v>
      </c>
      <c r="I3019" s="713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</row>
    <row r="3020" spans="1:16">
      <c r="A3020">
        <v>5</v>
      </c>
      <c r="B3020" t="s">
        <v>12507</v>
      </c>
      <c r="C3020" t="s">
        <v>12553</v>
      </c>
      <c r="D3020" t="s">
        <v>12556</v>
      </c>
      <c r="E3020" t="s">
        <v>12559</v>
      </c>
      <c r="F3020" t="s">
        <v>7708</v>
      </c>
      <c r="G3020" s="712">
        <v>0</v>
      </c>
      <c r="H3020">
        <v>0</v>
      </c>
      <c r="I3020" s="713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</row>
    <row r="3021" spans="1:16">
      <c r="A3021">
        <v>5</v>
      </c>
      <c r="B3021" t="s">
        <v>12507</v>
      </c>
      <c r="C3021" t="s">
        <v>12553</v>
      </c>
      <c r="D3021" t="s">
        <v>12556</v>
      </c>
      <c r="E3021" t="s">
        <v>12560</v>
      </c>
      <c r="F3021" t="s">
        <v>7710</v>
      </c>
      <c r="G3021" s="712">
        <v>0</v>
      </c>
      <c r="H3021">
        <v>0</v>
      </c>
      <c r="I3021" s="713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</row>
    <row r="3022" spans="1:16">
      <c r="A3022">
        <v>5</v>
      </c>
      <c r="B3022" t="s">
        <v>12507</v>
      </c>
      <c r="C3022" t="s">
        <v>12553</v>
      </c>
      <c r="D3022" t="s">
        <v>12556</v>
      </c>
      <c r="E3022" t="s">
        <v>12561</v>
      </c>
      <c r="F3022" t="s">
        <v>7712</v>
      </c>
      <c r="G3022" s="712">
        <v>0</v>
      </c>
      <c r="H3022">
        <v>0</v>
      </c>
      <c r="I3022" s="713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</row>
    <row r="3023" spans="1:16">
      <c r="A3023">
        <v>5</v>
      </c>
      <c r="B3023" t="s">
        <v>12507</v>
      </c>
      <c r="C3023" t="s">
        <v>12553</v>
      </c>
      <c r="D3023" t="s">
        <v>12556</v>
      </c>
      <c r="E3023" t="s">
        <v>12562</v>
      </c>
      <c r="F3023" t="s">
        <v>7714</v>
      </c>
      <c r="G3023" s="712">
        <v>0</v>
      </c>
      <c r="H3023">
        <v>0</v>
      </c>
      <c r="I3023" s="71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</row>
    <row r="3024" spans="1:16">
      <c r="A3024">
        <v>5</v>
      </c>
      <c r="B3024" t="s">
        <v>12507</v>
      </c>
      <c r="C3024" t="s">
        <v>12553</v>
      </c>
      <c r="D3024" t="s">
        <v>12556</v>
      </c>
      <c r="E3024" t="s">
        <v>12563</v>
      </c>
      <c r="F3024" t="s">
        <v>12564</v>
      </c>
      <c r="G3024" s="712">
        <v>0</v>
      </c>
      <c r="H3024">
        <v>0</v>
      </c>
      <c r="I3024" s="713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</row>
    <row r="3025" spans="1:16">
      <c r="A3025">
        <v>5</v>
      </c>
      <c r="B3025" t="s">
        <v>12507</v>
      </c>
      <c r="C3025" t="s">
        <v>12553</v>
      </c>
      <c r="D3025" t="s">
        <v>12556</v>
      </c>
      <c r="E3025" t="s">
        <v>12565</v>
      </c>
      <c r="F3025" t="s">
        <v>7726</v>
      </c>
      <c r="G3025" s="712">
        <v>0</v>
      </c>
      <c r="H3025">
        <v>0</v>
      </c>
      <c r="I3025" s="713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</row>
    <row r="3026" spans="1:16">
      <c r="A3026">
        <v>5</v>
      </c>
      <c r="B3026" t="s">
        <v>12507</v>
      </c>
      <c r="C3026" t="s">
        <v>12553</v>
      </c>
      <c r="D3026" t="s">
        <v>12556</v>
      </c>
      <c r="E3026" t="s">
        <v>12566</v>
      </c>
      <c r="F3026" t="s">
        <v>12567</v>
      </c>
      <c r="G3026" s="712">
        <v>0</v>
      </c>
      <c r="H3026">
        <v>0</v>
      </c>
      <c r="I3026" s="713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</row>
    <row r="3027" spans="1:16">
      <c r="A3027">
        <v>5</v>
      </c>
      <c r="B3027" t="s">
        <v>12507</v>
      </c>
      <c r="C3027" t="s">
        <v>12553</v>
      </c>
      <c r="D3027" t="s">
        <v>12556</v>
      </c>
      <c r="E3027" t="s">
        <v>12568</v>
      </c>
      <c r="F3027" t="s">
        <v>12569</v>
      </c>
      <c r="G3027" s="712">
        <v>0</v>
      </c>
      <c r="H3027">
        <v>0</v>
      </c>
      <c r="I3027" s="713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</row>
    <row r="3028" spans="1:16">
      <c r="A3028">
        <v>5</v>
      </c>
      <c r="B3028" t="s">
        <v>12507</v>
      </c>
      <c r="C3028" t="s">
        <v>12553</v>
      </c>
      <c r="D3028" t="s">
        <v>12556</v>
      </c>
      <c r="E3028" t="s">
        <v>12570</v>
      </c>
      <c r="F3028" t="s">
        <v>12571</v>
      </c>
      <c r="G3028" s="712">
        <v>0</v>
      </c>
      <c r="H3028">
        <v>0</v>
      </c>
      <c r="I3028" s="713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</row>
    <row r="3029" spans="1:16">
      <c r="A3029">
        <v>5</v>
      </c>
      <c r="B3029" t="s">
        <v>12507</v>
      </c>
      <c r="C3029" t="s">
        <v>12553</v>
      </c>
      <c r="D3029" t="s">
        <v>12556</v>
      </c>
      <c r="E3029" t="s">
        <v>12572</v>
      </c>
      <c r="F3029" t="s">
        <v>12573</v>
      </c>
      <c r="G3029" s="712">
        <v>0</v>
      </c>
      <c r="H3029">
        <v>0</v>
      </c>
      <c r="I3029" s="713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</row>
    <row r="3030" spans="1:16">
      <c r="A3030">
        <v>5</v>
      </c>
      <c r="B3030" t="s">
        <v>12507</v>
      </c>
      <c r="C3030" t="s">
        <v>12553</v>
      </c>
      <c r="D3030" t="s">
        <v>12556</v>
      </c>
      <c r="E3030" t="s">
        <v>12574</v>
      </c>
      <c r="F3030" t="s">
        <v>12575</v>
      </c>
      <c r="G3030" s="712">
        <v>0</v>
      </c>
      <c r="H3030">
        <v>0</v>
      </c>
      <c r="I3030" s="713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</row>
    <row r="3031" spans="1:16">
      <c r="A3031">
        <v>5</v>
      </c>
      <c r="B3031" t="s">
        <v>12507</v>
      </c>
      <c r="C3031" t="s">
        <v>12553</v>
      </c>
      <c r="D3031" t="s">
        <v>12556</v>
      </c>
      <c r="E3031" t="s">
        <v>7701</v>
      </c>
      <c r="F3031" t="s">
        <v>7702</v>
      </c>
      <c r="G3031" s="712">
        <v>0</v>
      </c>
      <c r="H3031">
        <v>0</v>
      </c>
      <c r="I3031" s="713">
        <v>0</v>
      </c>
      <c r="J3031" s="711">
        <v>70383.34</v>
      </c>
      <c r="K3031">
        <v>0</v>
      </c>
      <c r="L3031">
        <v>0</v>
      </c>
      <c r="M3031">
        <v>0</v>
      </c>
      <c r="N3031" s="711">
        <v>70383.34</v>
      </c>
      <c r="O3031">
        <v>0</v>
      </c>
      <c r="P3031" s="711">
        <v>70383.34</v>
      </c>
    </row>
    <row r="3032" spans="1:16">
      <c r="A3032">
        <v>5</v>
      </c>
      <c r="B3032" t="s">
        <v>12507</v>
      </c>
      <c r="C3032" t="s">
        <v>12553</v>
      </c>
      <c r="D3032" t="s">
        <v>12556</v>
      </c>
      <c r="E3032" t="s">
        <v>7707</v>
      </c>
      <c r="F3032" t="s">
        <v>7708</v>
      </c>
      <c r="G3032" s="712">
        <v>0</v>
      </c>
      <c r="H3032">
        <v>0</v>
      </c>
      <c r="I3032" s="713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</row>
    <row r="3033" spans="1:16">
      <c r="A3033">
        <v>5</v>
      </c>
      <c r="B3033" t="s">
        <v>12507</v>
      </c>
      <c r="C3033" t="s">
        <v>12553</v>
      </c>
      <c r="D3033" t="s">
        <v>12556</v>
      </c>
      <c r="E3033" t="s">
        <v>7709</v>
      </c>
      <c r="F3033" t="s">
        <v>7710</v>
      </c>
      <c r="G3033" s="712">
        <v>0</v>
      </c>
      <c r="H3033">
        <v>0</v>
      </c>
      <c r="I3033" s="71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</row>
    <row r="3034" spans="1:16">
      <c r="A3034">
        <v>5</v>
      </c>
      <c r="B3034" t="s">
        <v>12507</v>
      </c>
      <c r="C3034" t="s">
        <v>12553</v>
      </c>
      <c r="D3034" t="s">
        <v>12556</v>
      </c>
      <c r="E3034" t="s">
        <v>7711</v>
      </c>
      <c r="F3034" t="s">
        <v>7712</v>
      </c>
      <c r="G3034" s="712">
        <v>0</v>
      </c>
      <c r="H3034">
        <v>0</v>
      </c>
      <c r="I3034" s="713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</row>
    <row r="3035" spans="1:16">
      <c r="A3035">
        <v>5</v>
      </c>
      <c r="B3035" t="s">
        <v>12507</v>
      </c>
      <c r="C3035" t="s">
        <v>12553</v>
      </c>
      <c r="D3035" t="s">
        <v>12556</v>
      </c>
      <c r="E3035" t="s">
        <v>7713</v>
      </c>
      <c r="F3035" t="s">
        <v>7714</v>
      </c>
      <c r="G3035" s="712">
        <v>0</v>
      </c>
      <c r="H3035">
        <v>0</v>
      </c>
      <c r="I3035" s="713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</row>
    <row r="3036" spans="1:16">
      <c r="A3036">
        <v>5</v>
      </c>
      <c r="B3036" t="s">
        <v>12507</v>
      </c>
      <c r="C3036" t="s">
        <v>12553</v>
      </c>
      <c r="D3036" t="s">
        <v>12556</v>
      </c>
      <c r="E3036" t="s">
        <v>7722</v>
      </c>
      <c r="F3036" t="s">
        <v>457</v>
      </c>
      <c r="G3036" s="712">
        <v>0</v>
      </c>
      <c r="H3036">
        <v>0</v>
      </c>
      <c r="I3036" s="713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</row>
    <row r="3037" spans="1:16">
      <c r="A3037">
        <v>5</v>
      </c>
      <c r="B3037" t="s">
        <v>12507</v>
      </c>
      <c r="C3037" t="s">
        <v>12553</v>
      </c>
      <c r="D3037" t="s">
        <v>12556</v>
      </c>
      <c r="E3037" t="s">
        <v>7725</v>
      </c>
      <c r="F3037" t="s">
        <v>7726</v>
      </c>
      <c r="G3037" s="712">
        <v>0</v>
      </c>
      <c r="H3037">
        <v>0</v>
      </c>
      <c r="I3037" s="713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</row>
    <row r="3038" spans="1:16">
      <c r="A3038">
        <v>5</v>
      </c>
      <c r="B3038" t="s">
        <v>12507</v>
      </c>
      <c r="C3038" t="s">
        <v>12553</v>
      </c>
      <c r="D3038" t="s">
        <v>12556</v>
      </c>
      <c r="E3038" t="s">
        <v>7727</v>
      </c>
      <c r="F3038" t="s">
        <v>459</v>
      </c>
      <c r="G3038" s="712">
        <v>0</v>
      </c>
      <c r="H3038">
        <v>0</v>
      </c>
      <c r="I3038" s="713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</row>
    <row r="3039" spans="1:16">
      <c r="A3039">
        <v>5</v>
      </c>
      <c r="B3039" t="s">
        <v>12507</v>
      </c>
      <c r="C3039" t="s">
        <v>12553</v>
      </c>
      <c r="D3039" t="s">
        <v>12556</v>
      </c>
      <c r="E3039" t="s">
        <v>7730</v>
      </c>
      <c r="F3039" t="s">
        <v>461</v>
      </c>
      <c r="G3039" s="712">
        <v>0</v>
      </c>
      <c r="H3039">
        <v>0</v>
      </c>
      <c r="I3039" s="713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</row>
    <row r="3040" spans="1:16" ht="15.75" thickBot="1">
      <c r="A3040">
        <v>5</v>
      </c>
      <c r="B3040" t="s">
        <v>12507</v>
      </c>
      <c r="C3040" t="s">
        <v>12553</v>
      </c>
      <c r="D3040" t="s">
        <v>12556</v>
      </c>
      <c r="E3040" t="s">
        <v>7716</v>
      </c>
      <c r="F3040" t="s">
        <v>7717</v>
      </c>
      <c r="G3040" s="712">
        <v>0</v>
      </c>
      <c r="H3040">
        <v>0</v>
      </c>
      <c r="I3040" s="713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</row>
    <row r="3041" spans="1:16" ht="15.75" thickBot="1">
      <c r="A3041" s="727">
        <v>5</v>
      </c>
      <c r="B3041" s="727" t="s">
        <v>12507</v>
      </c>
      <c r="C3041" s="727" t="s">
        <v>12553</v>
      </c>
      <c r="D3041" s="727" t="s">
        <v>12576</v>
      </c>
      <c r="E3041" s="727"/>
      <c r="F3041" s="729" t="s">
        <v>12577</v>
      </c>
      <c r="G3041" s="738">
        <v>0</v>
      </c>
      <c r="H3041" s="738">
        <v>0</v>
      </c>
      <c r="I3041" s="738">
        <v>0</v>
      </c>
      <c r="J3041" s="739">
        <v>12081708.26</v>
      </c>
      <c r="K3041" s="739">
        <v>1788596.56</v>
      </c>
      <c r="L3041" s="738">
        <v>0</v>
      </c>
      <c r="M3041" s="738">
        <v>0</v>
      </c>
      <c r="N3041" s="739">
        <v>12081708.26</v>
      </c>
      <c r="O3041" s="739">
        <v>1788596.56</v>
      </c>
      <c r="P3041" s="739">
        <v>10293111.699999999</v>
      </c>
    </row>
    <row r="3042" spans="1:16">
      <c r="A3042">
        <v>5</v>
      </c>
      <c r="B3042" t="s">
        <v>12507</v>
      </c>
      <c r="C3042" t="s">
        <v>12553</v>
      </c>
      <c r="D3042" t="s">
        <v>12576</v>
      </c>
      <c r="E3042" t="s">
        <v>7736</v>
      </c>
      <c r="F3042" t="s">
        <v>7737</v>
      </c>
      <c r="G3042" s="712">
        <v>0</v>
      </c>
      <c r="H3042">
        <v>0</v>
      </c>
      <c r="I3042" s="713">
        <v>0</v>
      </c>
      <c r="J3042" s="711">
        <v>67680.11</v>
      </c>
      <c r="K3042">
        <v>0</v>
      </c>
      <c r="L3042">
        <v>0</v>
      </c>
      <c r="M3042">
        <v>0</v>
      </c>
      <c r="N3042" s="711">
        <v>67680.11</v>
      </c>
      <c r="O3042">
        <v>0</v>
      </c>
      <c r="P3042" s="711">
        <v>67680.11</v>
      </c>
    </row>
    <row r="3043" spans="1:16">
      <c r="A3043">
        <v>5</v>
      </c>
      <c r="B3043" t="s">
        <v>12507</v>
      </c>
      <c r="C3043" t="s">
        <v>12553</v>
      </c>
      <c r="D3043" t="s">
        <v>12576</v>
      </c>
      <c r="E3043" t="s">
        <v>7739</v>
      </c>
      <c r="F3043" t="s">
        <v>7740</v>
      </c>
      <c r="G3043" s="712">
        <v>0</v>
      </c>
      <c r="H3043">
        <v>0</v>
      </c>
      <c r="I3043" s="713">
        <v>0</v>
      </c>
      <c r="J3043" s="711">
        <v>4545.6099999999997</v>
      </c>
      <c r="K3043">
        <v>0</v>
      </c>
      <c r="L3043">
        <v>0</v>
      </c>
      <c r="M3043">
        <v>0</v>
      </c>
      <c r="N3043" s="711">
        <v>4545.6099999999997</v>
      </c>
      <c r="O3043">
        <v>0</v>
      </c>
      <c r="P3043" s="711">
        <v>4545.6099999999997</v>
      </c>
    </row>
    <row r="3044" spans="1:16">
      <c r="A3044">
        <v>5</v>
      </c>
      <c r="B3044" t="s">
        <v>12507</v>
      </c>
      <c r="C3044" t="s">
        <v>12553</v>
      </c>
      <c r="D3044" t="s">
        <v>12576</v>
      </c>
      <c r="E3044" t="s">
        <v>7741</v>
      </c>
      <c r="F3044" t="s">
        <v>7742</v>
      </c>
      <c r="G3044" s="712">
        <v>0</v>
      </c>
      <c r="H3044">
        <v>0</v>
      </c>
      <c r="I3044" s="713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</row>
    <row r="3045" spans="1:16">
      <c r="A3045">
        <v>5</v>
      </c>
      <c r="B3045" t="s">
        <v>12507</v>
      </c>
      <c r="C3045" t="s">
        <v>12553</v>
      </c>
      <c r="D3045" t="s">
        <v>12576</v>
      </c>
      <c r="E3045" t="s">
        <v>7743</v>
      </c>
      <c r="F3045" t="s">
        <v>7744</v>
      </c>
      <c r="G3045" s="712">
        <v>0</v>
      </c>
      <c r="H3045">
        <v>0</v>
      </c>
      <c r="I3045" s="713">
        <v>0</v>
      </c>
      <c r="J3045" s="711">
        <v>40886.51</v>
      </c>
      <c r="K3045" s="711">
        <v>18359</v>
      </c>
      <c r="L3045">
        <v>0</v>
      </c>
      <c r="M3045">
        <v>0</v>
      </c>
      <c r="N3045" s="711">
        <v>40886.51</v>
      </c>
      <c r="O3045" s="711">
        <v>18359</v>
      </c>
      <c r="P3045" s="711">
        <v>22527.51</v>
      </c>
    </row>
    <row r="3046" spans="1:16">
      <c r="A3046">
        <v>5</v>
      </c>
      <c r="B3046" t="s">
        <v>12507</v>
      </c>
      <c r="C3046" t="s">
        <v>12553</v>
      </c>
      <c r="D3046" t="s">
        <v>12576</v>
      </c>
      <c r="E3046" t="s">
        <v>7746</v>
      </c>
      <c r="F3046" t="s">
        <v>7747</v>
      </c>
      <c r="G3046" s="712">
        <v>0</v>
      </c>
      <c r="H3046">
        <v>0</v>
      </c>
      <c r="I3046" s="713">
        <v>0</v>
      </c>
      <c r="J3046" s="711">
        <v>411317.74</v>
      </c>
      <c r="K3046" s="711">
        <v>94764</v>
      </c>
      <c r="L3046">
        <v>0</v>
      </c>
      <c r="M3046">
        <v>0</v>
      </c>
      <c r="N3046" s="711">
        <v>411317.74</v>
      </c>
      <c r="O3046" s="711">
        <v>94764</v>
      </c>
      <c r="P3046" s="711">
        <v>316553.74</v>
      </c>
    </row>
    <row r="3047" spans="1:16">
      <c r="A3047">
        <v>5</v>
      </c>
      <c r="B3047" t="s">
        <v>12507</v>
      </c>
      <c r="C3047" t="s">
        <v>12553</v>
      </c>
      <c r="D3047" t="s">
        <v>12576</v>
      </c>
      <c r="E3047" t="s">
        <v>7749</v>
      </c>
      <c r="F3047" t="s">
        <v>7750</v>
      </c>
      <c r="G3047" s="712">
        <v>0</v>
      </c>
      <c r="H3047">
        <v>0</v>
      </c>
      <c r="I3047" s="713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</row>
    <row r="3048" spans="1:16">
      <c r="A3048">
        <v>5</v>
      </c>
      <c r="B3048" t="s">
        <v>12507</v>
      </c>
      <c r="C3048" t="s">
        <v>12553</v>
      </c>
      <c r="D3048" t="s">
        <v>12576</v>
      </c>
      <c r="E3048" t="s">
        <v>7752</v>
      </c>
      <c r="F3048" t="s">
        <v>7753</v>
      </c>
      <c r="G3048" s="712">
        <v>0</v>
      </c>
      <c r="H3048">
        <v>0</v>
      </c>
      <c r="I3048" s="713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</row>
    <row r="3049" spans="1:16">
      <c r="A3049">
        <v>5</v>
      </c>
      <c r="B3049" t="s">
        <v>12507</v>
      </c>
      <c r="C3049" t="s">
        <v>12553</v>
      </c>
      <c r="D3049" t="s">
        <v>12576</v>
      </c>
      <c r="E3049" t="s">
        <v>7754</v>
      </c>
      <c r="F3049" t="s">
        <v>7755</v>
      </c>
      <c r="G3049" s="712">
        <v>0</v>
      </c>
      <c r="H3049">
        <v>0</v>
      </c>
      <c r="I3049" s="713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</row>
    <row r="3050" spans="1:16">
      <c r="A3050">
        <v>5</v>
      </c>
      <c r="B3050" t="s">
        <v>12507</v>
      </c>
      <c r="C3050" t="s">
        <v>12553</v>
      </c>
      <c r="D3050" t="s">
        <v>12576</v>
      </c>
      <c r="E3050" t="s">
        <v>7756</v>
      </c>
      <c r="F3050" t="s">
        <v>7757</v>
      </c>
      <c r="G3050" s="712">
        <v>0</v>
      </c>
      <c r="H3050">
        <v>0</v>
      </c>
      <c r="I3050" s="713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</row>
    <row r="3051" spans="1:16">
      <c r="A3051">
        <v>5</v>
      </c>
      <c r="B3051" t="s">
        <v>12507</v>
      </c>
      <c r="C3051" t="s">
        <v>12553</v>
      </c>
      <c r="D3051" t="s">
        <v>12576</v>
      </c>
      <c r="E3051" t="s">
        <v>7758</v>
      </c>
      <c r="F3051" t="s">
        <v>7759</v>
      </c>
      <c r="G3051" s="712">
        <v>0</v>
      </c>
      <c r="H3051">
        <v>0</v>
      </c>
      <c r="I3051" s="713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</row>
    <row r="3052" spans="1:16">
      <c r="A3052">
        <v>5</v>
      </c>
      <c r="B3052" t="s">
        <v>12507</v>
      </c>
      <c r="C3052" t="s">
        <v>12553</v>
      </c>
      <c r="D3052" t="s">
        <v>12576</v>
      </c>
      <c r="E3052" t="s">
        <v>7760</v>
      </c>
      <c r="F3052" t="s">
        <v>7761</v>
      </c>
      <c r="G3052" s="712">
        <v>0</v>
      </c>
      <c r="H3052">
        <v>0</v>
      </c>
      <c r="I3052" s="713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</row>
    <row r="3053" spans="1:16">
      <c r="A3053">
        <v>5</v>
      </c>
      <c r="B3053" t="s">
        <v>12507</v>
      </c>
      <c r="C3053" t="s">
        <v>12553</v>
      </c>
      <c r="D3053" t="s">
        <v>12576</v>
      </c>
      <c r="E3053" t="s">
        <v>7762</v>
      </c>
      <c r="F3053" t="s">
        <v>7763</v>
      </c>
      <c r="G3053" s="712">
        <v>0</v>
      </c>
      <c r="H3053">
        <v>0</v>
      </c>
      <c r="I3053" s="71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</row>
    <row r="3054" spans="1:16">
      <c r="A3054">
        <v>5</v>
      </c>
      <c r="B3054" t="s">
        <v>12507</v>
      </c>
      <c r="C3054" t="s">
        <v>12553</v>
      </c>
      <c r="D3054" t="s">
        <v>12576</v>
      </c>
      <c r="E3054" t="s">
        <v>7764</v>
      </c>
      <c r="F3054" t="s">
        <v>7765</v>
      </c>
      <c r="G3054" s="712">
        <v>0</v>
      </c>
      <c r="H3054">
        <v>0</v>
      </c>
      <c r="I3054" s="713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</row>
    <row r="3055" spans="1:16">
      <c r="A3055">
        <v>5</v>
      </c>
      <c r="B3055" t="s">
        <v>12507</v>
      </c>
      <c r="C3055" t="s">
        <v>12553</v>
      </c>
      <c r="D3055" t="s">
        <v>12576</v>
      </c>
      <c r="E3055" t="s">
        <v>7766</v>
      </c>
      <c r="F3055" t="s">
        <v>7767</v>
      </c>
      <c r="G3055" s="712">
        <v>0</v>
      </c>
      <c r="H3055">
        <v>0</v>
      </c>
      <c r="I3055" s="713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</row>
    <row r="3056" spans="1:16">
      <c r="A3056">
        <v>5</v>
      </c>
      <c r="B3056" t="s">
        <v>12507</v>
      </c>
      <c r="C3056" t="s">
        <v>12553</v>
      </c>
      <c r="D3056" t="s">
        <v>12576</v>
      </c>
      <c r="E3056" t="s">
        <v>7768</v>
      </c>
      <c r="F3056" t="s">
        <v>7769</v>
      </c>
      <c r="G3056" s="712">
        <v>0</v>
      </c>
      <c r="H3056">
        <v>0</v>
      </c>
      <c r="I3056" s="713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</row>
    <row r="3057" spans="1:16">
      <c r="A3057">
        <v>5</v>
      </c>
      <c r="B3057" t="s">
        <v>12507</v>
      </c>
      <c r="C3057" t="s">
        <v>12553</v>
      </c>
      <c r="D3057" t="s">
        <v>12576</v>
      </c>
      <c r="E3057" t="s">
        <v>7770</v>
      </c>
      <c r="F3057" t="s">
        <v>7771</v>
      </c>
      <c r="G3057" s="712">
        <v>0</v>
      </c>
      <c r="H3057">
        <v>0</v>
      </c>
      <c r="I3057" s="713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</row>
    <row r="3058" spans="1:16">
      <c r="A3058">
        <v>5</v>
      </c>
      <c r="B3058" t="s">
        <v>12507</v>
      </c>
      <c r="C3058" t="s">
        <v>12553</v>
      </c>
      <c r="D3058" t="s">
        <v>12576</v>
      </c>
      <c r="E3058" t="s">
        <v>7772</v>
      </c>
      <c r="F3058" t="s">
        <v>7773</v>
      </c>
      <c r="G3058" s="712">
        <v>0</v>
      </c>
      <c r="H3058">
        <v>0</v>
      </c>
      <c r="I3058" s="713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</row>
    <row r="3059" spans="1:16">
      <c r="A3059">
        <v>5</v>
      </c>
      <c r="B3059" t="s">
        <v>12507</v>
      </c>
      <c r="C3059" t="s">
        <v>12553</v>
      </c>
      <c r="D3059" t="s">
        <v>12576</v>
      </c>
      <c r="E3059" t="s">
        <v>7774</v>
      </c>
      <c r="F3059" t="s">
        <v>7775</v>
      </c>
      <c r="G3059" s="712">
        <v>0</v>
      </c>
      <c r="H3059">
        <v>0</v>
      </c>
      <c r="I3059" s="713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</row>
    <row r="3060" spans="1:16">
      <c r="A3060">
        <v>5</v>
      </c>
      <c r="B3060" t="s">
        <v>12507</v>
      </c>
      <c r="C3060" t="s">
        <v>12553</v>
      </c>
      <c r="D3060" t="s">
        <v>12576</v>
      </c>
      <c r="E3060" t="s">
        <v>7776</v>
      </c>
      <c r="F3060" t="s">
        <v>7777</v>
      </c>
      <c r="G3060" s="712">
        <v>0</v>
      </c>
      <c r="H3060">
        <v>0</v>
      </c>
      <c r="I3060" s="713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</row>
    <row r="3061" spans="1:16">
      <c r="A3061">
        <v>5</v>
      </c>
      <c r="B3061" t="s">
        <v>12507</v>
      </c>
      <c r="C3061" t="s">
        <v>12553</v>
      </c>
      <c r="D3061" t="s">
        <v>12576</v>
      </c>
      <c r="E3061" t="s">
        <v>7778</v>
      </c>
      <c r="F3061" t="s">
        <v>7779</v>
      </c>
      <c r="G3061" s="712">
        <v>0</v>
      </c>
      <c r="H3061">
        <v>0</v>
      </c>
      <c r="I3061" s="713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</row>
    <row r="3062" spans="1:16">
      <c r="A3062">
        <v>5</v>
      </c>
      <c r="B3062" t="s">
        <v>12507</v>
      </c>
      <c r="C3062" t="s">
        <v>12553</v>
      </c>
      <c r="D3062" t="s">
        <v>12576</v>
      </c>
      <c r="E3062" t="s">
        <v>7780</v>
      </c>
      <c r="F3062" t="s">
        <v>7781</v>
      </c>
      <c r="G3062" s="712">
        <v>0</v>
      </c>
      <c r="H3062">
        <v>0</v>
      </c>
      <c r="I3062" s="713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</row>
    <row r="3063" spans="1:16">
      <c r="A3063">
        <v>5</v>
      </c>
      <c r="B3063" t="s">
        <v>12507</v>
      </c>
      <c r="C3063" t="s">
        <v>12553</v>
      </c>
      <c r="D3063" t="s">
        <v>12576</v>
      </c>
      <c r="E3063" t="s">
        <v>7782</v>
      </c>
      <c r="F3063" t="s">
        <v>7783</v>
      </c>
      <c r="G3063" s="712">
        <v>0</v>
      </c>
      <c r="H3063">
        <v>0</v>
      </c>
      <c r="I3063" s="71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</row>
    <row r="3064" spans="1:16">
      <c r="A3064">
        <v>5</v>
      </c>
      <c r="B3064" t="s">
        <v>12507</v>
      </c>
      <c r="C3064" t="s">
        <v>12553</v>
      </c>
      <c r="D3064" t="s">
        <v>12576</v>
      </c>
      <c r="E3064" t="s">
        <v>7784</v>
      </c>
      <c r="F3064" t="s">
        <v>7785</v>
      </c>
      <c r="G3064" s="712">
        <v>0</v>
      </c>
      <c r="H3064">
        <v>0</v>
      </c>
      <c r="I3064" s="713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</row>
    <row r="3065" spans="1:16">
      <c r="A3065">
        <v>5</v>
      </c>
      <c r="B3065" t="s">
        <v>12507</v>
      </c>
      <c r="C3065" t="s">
        <v>12553</v>
      </c>
      <c r="D3065" t="s">
        <v>12576</v>
      </c>
      <c r="E3065" t="s">
        <v>7786</v>
      </c>
      <c r="F3065" t="s">
        <v>7787</v>
      </c>
      <c r="G3065" s="712">
        <v>0</v>
      </c>
      <c r="H3065">
        <v>0</v>
      </c>
      <c r="I3065" s="713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</row>
    <row r="3066" spans="1:16">
      <c r="A3066">
        <v>5</v>
      </c>
      <c r="B3066" t="s">
        <v>12507</v>
      </c>
      <c r="C3066" t="s">
        <v>12553</v>
      </c>
      <c r="D3066" t="s">
        <v>12576</v>
      </c>
      <c r="E3066" t="s">
        <v>7788</v>
      </c>
      <c r="F3066" t="s">
        <v>7789</v>
      </c>
      <c r="G3066" s="712">
        <v>0</v>
      </c>
      <c r="H3066">
        <v>0</v>
      </c>
      <c r="I3066" s="713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</row>
    <row r="3067" spans="1:16">
      <c r="A3067">
        <v>5</v>
      </c>
      <c r="B3067" t="s">
        <v>12507</v>
      </c>
      <c r="C3067" t="s">
        <v>12553</v>
      </c>
      <c r="D3067" t="s">
        <v>12576</v>
      </c>
      <c r="E3067" t="s">
        <v>7790</v>
      </c>
      <c r="F3067" t="s">
        <v>7791</v>
      </c>
      <c r="G3067" s="712">
        <v>0</v>
      </c>
      <c r="H3067">
        <v>0</v>
      </c>
      <c r="I3067" s="713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</row>
    <row r="3068" spans="1:16">
      <c r="A3068">
        <v>5</v>
      </c>
      <c r="B3068" t="s">
        <v>12507</v>
      </c>
      <c r="C3068" t="s">
        <v>12553</v>
      </c>
      <c r="D3068" t="s">
        <v>12576</v>
      </c>
      <c r="E3068" t="s">
        <v>7792</v>
      </c>
      <c r="F3068" t="s">
        <v>7793</v>
      </c>
      <c r="G3068" s="712">
        <v>0</v>
      </c>
      <c r="H3068">
        <v>0</v>
      </c>
      <c r="I3068" s="713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</row>
    <row r="3069" spans="1:16">
      <c r="A3069">
        <v>5</v>
      </c>
      <c r="B3069" t="s">
        <v>12507</v>
      </c>
      <c r="C3069" t="s">
        <v>12553</v>
      </c>
      <c r="D3069" t="s">
        <v>12576</v>
      </c>
      <c r="E3069" t="s">
        <v>7794</v>
      </c>
      <c r="F3069" t="s">
        <v>7795</v>
      </c>
      <c r="G3069" s="712">
        <v>0</v>
      </c>
      <c r="H3069">
        <v>0</v>
      </c>
      <c r="I3069" s="713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</row>
    <row r="3070" spans="1:16">
      <c r="A3070">
        <v>5</v>
      </c>
      <c r="B3070" t="s">
        <v>12507</v>
      </c>
      <c r="C3070" t="s">
        <v>12553</v>
      </c>
      <c r="D3070" t="s">
        <v>12576</v>
      </c>
      <c r="E3070" t="s">
        <v>7796</v>
      </c>
      <c r="F3070" t="s">
        <v>7797</v>
      </c>
      <c r="G3070" s="712">
        <v>0</v>
      </c>
      <c r="H3070">
        <v>0</v>
      </c>
      <c r="I3070" s="713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</row>
    <row r="3071" spans="1:16">
      <c r="A3071">
        <v>5</v>
      </c>
      <c r="B3071" t="s">
        <v>12507</v>
      </c>
      <c r="C3071" t="s">
        <v>12553</v>
      </c>
      <c r="D3071" t="s">
        <v>12576</v>
      </c>
      <c r="E3071" t="s">
        <v>7798</v>
      </c>
      <c r="F3071" t="s">
        <v>7799</v>
      </c>
      <c r="G3071" s="712">
        <v>0</v>
      </c>
      <c r="H3071">
        <v>0</v>
      </c>
      <c r="I3071" s="713">
        <v>0</v>
      </c>
      <c r="J3071" s="711">
        <v>35270.21</v>
      </c>
      <c r="K3071">
        <v>0</v>
      </c>
      <c r="L3071">
        <v>0</v>
      </c>
      <c r="M3071">
        <v>0</v>
      </c>
      <c r="N3071" s="711">
        <v>35270.21</v>
      </c>
      <c r="O3071">
        <v>0</v>
      </c>
      <c r="P3071" s="711">
        <v>35270.21</v>
      </c>
    </row>
    <row r="3072" spans="1:16">
      <c r="A3072">
        <v>5</v>
      </c>
      <c r="B3072" t="s">
        <v>12507</v>
      </c>
      <c r="C3072" t="s">
        <v>12553</v>
      </c>
      <c r="D3072" t="s">
        <v>12576</v>
      </c>
      <c r="E3072" t="s">
        <v>7801</v>
      </c>
      <c r="F3072" t="s">
        <v>7802</v>
      </c>
      <c r="G3072" s="712">
        <v>0</v>
      </c>
      <c r="H3072">
        <v>0</v>
      </c>
      <c r="I3072" s="713">
        <v>0</v>
      </c>
      <c r="J3072" s="711">
        <v>288997.26</v>
      </c>
      <c r="K3072">
        <v>0</v>
      </c>
      <c r="L3072">
        <v>0</v>
      </c>
      <c r="M3072">
        <v>0</v>
      </c>
      <c r="N3072" s="711">
        <v>288997.26</v>
      </c>
      <c r="O3072">
        <v>0</v>
      </c>
      <c r="P3072" s="711">
        <v>288997.26</v>
      </c>
    </row>
    <row r="3073" spans="1:16">
      <c r="A3073">
        <v>5</v>
      </c>
      <c r="B3073" t="s">
        <v>12507</v>
      </c>
      <c r="C3073" t="s">
        <v>12553</v>
      </c>
      <c r="D3073" t="s">
        <v>12576</v>
      </c>
      <c r="E3073" t="s">
        <v>7803</v>
      </c>
      <c r="F3073" t="s">
        <v>7804</v>
      </c>
      <c r="G3073" s="712">
        <v>0</v>
      </c>
      <c r="H3073">
        <v>0</v>
      </c>
      <c r="I3073" s="71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</row>
    <row r="3074" spans="1:16">
      <c r="A3074">
        <v>5</v>
      </c>
      <c r="B3074" t="s">
        <v>12507</v>
      </c>
      <c r="C3074" t="s">
        <v>12553</v>
      </c>
      <c r="D3074" t="s">
        <v>12576</v>
      </c>
      <c r="E3074" t="s">
        <v>7805</v>
      </c>
      <c r="F3074" t="s">
        <v>7806</v>
      </c>
      <c r="G3074" s="712">
        <v>0</v>
      </c>
      <c r="H3074">
        <v>0</v>
      </c>
      <c r="I3074" s="713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</row>
    <row r="3075" spans="1:16">
      <c r="A3075">
        <v>5</v>
      </c>
      <c r="B3075" t="s">
        <v>12507</v>
      </c>
      <c r="C3075" t="s">
        <v>12553</v>
      </c>
      <c r="D3075" t="s">
        <v>12576</v>
      </c>
      <c r="E3075" t="s">
        <v>7808</v>
      </c>
      <c r="F3075" t="s">
        <v>7809</v>
      </c>
      <c r="G3075" s="712">
        <v>0</v>
      </c>
      <c r="H3075">
        <v>0</v>
      </c>
      <c r="I3075" s="713">
        <v>0</v>
      </c>
      <c r="J3075" s="711">
        <v>5951.16</v>
      </c>
      <c r="K3075">
        <v>0</v>
      </c>
      <c r="L3075">
        <v>0</v>
      </c>
      <c r="M3075">
        <v>0</v>
      </c>
      <c r="N3075" s="711">
        <v>5951.16</v>
      </c>
      <c r="O3075">
        <v>0</v>
      </c>
      <c r="P3075" s="711">
        <v>5951.16</v>
      </c>
    </row>
    <row r="3076" spans="1:16">
      <c r="A3076">
        <v>5</v>
      </c>
      <c r="B3076" t="s">
        <v>12507</v>
      </c>
      <c r="C3076" t="s">
        <v>12553</v>
      </c>
      <c r="D3076" t="s">
        <v>12576</v>
      </c>
      <c r="E3076" t="s">
        <v>7810</v>
      </c>
      <c r="F3076" t="s">
        <v>7811</v>
      </c>
      <c r="G3076" s="712">
        <v>0</v>
      </c>
      <c r="H3076">
        <v>0</v>
      </c>
      <c r="I3076" s="713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</row>
    <row r="3077" spans="1:16">
      <c r="A3077">
        <v>5</v>
      </c>
      <c r="B3077" t="s">
        <v>12507</v>
      </c>
      <c r="C3077" t="s">
        <v>12553</v>
      </c>
      <c r="D3077" t="s">
        <v>12576</v>
      </c>
      <c r="E3077" t="s">
        <v>7812</v>
      </c>
      <c r="F3077" t="s">
        <v>7813</v>
      </c>
      <c r="G3077" s="712">
        <v>0</v>
      </c>
      <c r="H3077">
        <v>0</v>
      </c>
      <c r="I3077" s="713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</row>
    <row r="3078" spans="1:16">
      <c r="A3078">
        <v>5</v>
      </c>
      <c r="B3078" t="s">
        <v>12507</v>
      </c>
      <c r="C3078" t="s">
        <v>12553</v>
      </c>
      <c r="D3078" t="s">
        <v>12576</v>
      </c>
      <c r="E3078" t="s">
        <v>7814</v>
      </c>
      <c r="F3078" t="s">
        <v>7815</v>
      </c>
      <c r="G3078" s="712">
        <v>0</v>
      </c>
      <c r="H3078">
        <v>0</v>
      </c>
      <c r="I3078" s="713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</row>
    <row r="3079" spans="1:16">
      <c r="A3079">
        <v>5</v>
      </c>
      <c r="B3079" t="s">
        <v>12507</v>
      </c>
      <c r="C3079" t="s">
        <v>12553</v>
      </c>
      <c r="D3079" t="s">
        <v>12576</v>
      </c>
      <c r="E3079" t="s">
        <v>7816</v>
      </c>
      <c r="F3079" t="s">
        <v>7817</v>
      </c>
      <c r="G3079" s="712">
        <v>0</v>
      </c>
      <c r="H3079">
        <v>0</v>
      </c>
      <c r="I3079" s="713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</row>
    <row r="3080" spans="1:16">
      <c r="A3080">
        <v>5</v>
      </c>
      <c r="B3080" t="s">
        <v>12507</v>
      </c>
      <c r="C3080" t="s">
        <v>12553</v>
      </c>
      <c r="D3080" t="s">
        <v>12576</v>
      </c>
      <c r="E3080" t="s">
        <v>7818</v>
      </c>
      <c r="F3080" t="s">
        <v>7819</v>
      </c>
      <c r="G3080" s="712">
        <v>0</v>
      </c>
      <c r="H3080">
        <v>0</v>
      </c>
      <c r="I3080" s="713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</row>
    <row r="3081" spans="1:16">
      <c r="A3081">
        <v>5</v>
      </c>
      <c r="B3081" t="s">
        <v>12507</v>
      </c>
      <c r="C3081" t="s">
        <v>12553</v>
      </c>
      <c r="D3081" t="s">
        <v>12576</v>
      </c>
      <c r="E3081" t="s">
        <v>7820</v>
      </c>
      <c r="F3081" t="s">
        <v>7821</v>
      </c>
      <c r="G3081" s="712">
        <v>0</v>
      </c>
      <c r="H3081">
        <v>0</v>
      </c>
      <c r="I3081" s="713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</row>
    <row r="3082" spans="1:16">
      <c r="A3082">
        <v>5</v>
      </c>
      <c r="B3082" t="s">
        <v>12507</v>
      </c>
      <c r="C3082" t="s">
        <v>12553</v>
      </c>
      <c r="D3082" t="s">
        <v>12576</v>
      </c>
      <c r="E3082" t="s">
        <v>7822</v>
      </c>
      <c r="F3082" t="s">
        <v>7823</v>
      </c>
      <c r="G3082" s="712">
        <v>0</v>
      </c>
      <c r="H3082">
        <v>0</v>
      </c>
      <c r="I3082" s="713">
        <v>0</v>
      </c>
      <c r="J3082" s="711">
        <v>16053.56</v>
      </c>
      <c r="K3082">
        <v>0</v>
      </c>
      <c r="L3082">
        <v>0</v>
      </c>
      <c r="M3082">
        <v>0</v>
      </c>
      <c r="N3082" s="711">
        <v>16053.56</v>
      </c>
      <c r="O3082">
        <v>0</v>
      </c>
      <c r="P3082" s="711">
        <v>16053.56</v>
      </c>
    </row>
    <row r="3083" spans="1:16">
      <c r="A3083">
        <v>5</v>
      </c>
      <c r="B3083" t="s">
        <v>12507</v>
      </c>
      <c r="C3083" t="s">
        <v>12553</v>
      </c>
      <c r="D3083" t="s">
        <v>12576</v>
      </c>
      <c r="E3083" t="s">
        <v>7825</v>
      </c>
      <c r="F3083" t="s">
        <v>7826</v>
      </c>
      <c r="G3083" s="712">
        <v>0</v>
      </c>
      <c r="H3083">
        <v>0</v>
      </c>
      <c r="I3083" s="713">
        <v>0</v>
      </c>
      <c r="J3083" s="711">
        <v>186691.51</v>
      </c>
      <c r="K3083">
        <v>0</v>
      </c>
      <c r="L3083">
        <v>0</v>
      </c>
      <c r="M3083">
        <v>0</v>
      </c>
      <c r="N3083" s="711">
        <v>186691.51</v>
      </c>
      <c r="O3083">
        <v>0</v>
      </c>
      <c r="P3083" s="711">
        <v>186691.51</v>
      </c>
    </row>
    <row r="3084" spans="1:16">
      <c r="A3084">
        <v>5</v>
      </c>
      <c r="B3084" t="s">
        <v>12507</v>
      </c>
      <c r="C3084" t="s">
        <v>12553</v>
      </c>
      <c r="D3084" t="s">
        <v>12576</v>
      </c>
      <c r="E3084" t="s">
        <v>7827</v>
      </c>
      <c r="F3084" t="s">
        <v>7828</v>
      </c>
      <c r="G3084" s="712">
        <v>0</v>
      </c>
      <c r="H3084">
        <v>0</v>
      </c>
      <c r="I3084" s="713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</row>
    <row r="3085" spans="1:16">
      <c r="A3085">
        <v>5</v>
      </c>
      <c r="B3085" t="s">
        <v>12507</v>
      </c>
      <c r="C3085" t="s">
        <v>12553</v>
      </c>
      <c r="D3085" t="s">
        <v>12576</v>
      </c>
      <c r="E3085" t="s">
        <v>7829</v>
      </c>
      <c r="F3085" t="s">
        <v>7830</v>
      </c>
      <c r="G3085" s="712">
        <v>0</v>
      </c>
      <c r="H3085">
        <v>0</v>
      </c>
      <c r="I3085" s="713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</row>
    <row r="3086" spans="1:16">
      <c r="A3086">
        <v>5</v>
      </c>
      <c r="B3086" t="s">
        <v>12507</v>
      </c>
      <c r="C3086" t="s">
        <v>12553</v>
      </c>
      <c r="D3086" t="s">
        <v>12576</v>
      </c>
      <c r="E3086" t="s">
        <v>7832</v>
      </c>
      <c r="F3086" t="s">
        <v>7833</v>
      </c>
      <c r="G3086" s="712">
        <v>0</v>
      </c>
      <c r="H3086">
        <v>0</v>
      </c>
      <c r="I3086" s="713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</row>
    <row r="3087" spans="1:16">
      <c r="A3087">
        <v>5</v>
      </c>
      <c r="B3087" t="s">
        <v>12507</v>
      </c>
      <c r="C3087" t="s">
        <v>12553</v>
      </c>
      <c r="D3087" t="s">
        <v>12576</v>
      </c>
      <c r="E3087" t="s">
        <v>7834</v>
      </c>
      <c r="F3087" t="s">
        <v>7835</v>
      </c>
      <c r="G3087" s="712">
        <v>0</v>
      </c>
      <c r="H3087">
        <v>0</v>
      </c>
      <c r="I3087" s="713">
        <v>0</v>
      </c>
      <c r="J3087" s="711">
        <v>122910.89</v>
      </c>
      <c r="K3087" s="711">
        <v>82804.08</v>
      </c>
      <c r="L3087">
        <v>0</v>
      </c>
      <c r="M3087">
        <v>0</v>
      </c>
      <c r="N3087" s="711">
        <v>122910.89</v>
      </c>
      <c r="O3087" s="711">
        <v>82804.08</v>
      </c>
      <c r="P3087" s="711">
        <v>40106.81</v>
      </c>
    </row>
    <row r="3088" spans="1:16">
      <c r="A3088">
        <v>5</v>
      </c>
      <c r="B3088" t="s">
        <v>12507</v>
      </c>
      <c r="C3088" t="s">
        <v>12553</v>
      </c>
      <c r="D3088" t="s">
        <v>12576</v>
      </c>
      <c r="E3088" t="s">
        <v>7836</v>
      </c>
      <c r="F3088" t="s">
        <v>7837</v>
      </c>
      <c r="G3088" s="712">
        <v>0</v>
      </c>
      <c r="H3088">
        <v>0</v>
      </c>
      <c r="I3088" s="713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</row>
    <row r="3089" spans="1:16">
      <c r="A3089">
        <v>5</v>
      </c>
      <c r="B3089" t="s">
        <v>12507</v>
      </c>
      <c r="C3089" t="s">
        <v>12553</v>
      </c>
      <c r="D3089" t="s">
        <v>12576</v>
      </c>
      <c r="E3089" t="s">
        <v>7838</v>
      </c>
      <c r="F3089" t="s">
        <v>7839</v>
      </c>
      <c r="G3089" s="712">
        <v>0</v>
      </c>
      <c r="H3089">
        <v>0</v>
      </c>
      <c r="I3089" s="713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</row>
    <row r="3090" spans="1:16">
      <c r="A3090">
        <v>5</v>
      </c>
      <c r="B3090" t="s">
        <v>12507</v>
      </c>
      <c r="C3090" t="s">
        <v>12553</v>
      </c>
      <c r="D3090" t="s">
        <v>12576</v>
      </c>
      <c r="E3090" t="s">
        <v>7840</v>
      </c>
      <c r="F3090" t="s">
        <v>7841</v>
      </c>
      <c r="G3090" s="712">
        <v>0</v>
      </c>
      <c r="H3090">
        <v>0</v>
      </c>
      <c r="I3090" s="713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</row>
    <row r="3091" spans="1:16">
      <c r="A3091">
        <v>5</v>
      </c>
      <c r="B3091" t="s">
        <v>12507</v>
      </c>
      <c r="C3091" t="s">
        <v>12553</v>
      </c>
      <c r="D3091" t="s">
        <v>12576</v>
      </c>
      <c r="E3091" t="s">
        <v>7842</v>
      </c>
      <c r="F3091" t="s">
        <v>7843</v>
      </c>
      <c r="G3091" s="712">
        <v>0</v>
      </c>
      <c r="H3091">
        <v>0</v>
      </c>
      <c r="I3091" s="713">
        <v>0</v>
      </c>
      <c r="J3091" s="711">
        <v>8167.86</v>
      </c>
      <c r="K3091">
        <v>0</v>
      </c>
      <c r="L3091">
        <v>0</v>
      </c>
      <c r="M3091">
        <v>0</v>
      </c>
      <c r="N3091" s="711">
        <v>8167.86</v>
      </c>
      <c r="O3091">
        <v>0</v>
      </c>
      <c r="P3091" s="711">
        <v>8167.86</v>
      </c>
    </row>
    <row r="3092" spans="1:16">
      <c r="A3092">
        <v>5</v>
      </c>
      <c r="B3092" t="s">
        <v>12507</v>
      </c>
      <c r="C3092" t="s">
        <v>12553</v>
      </c>
      <c r="D3092" t="s">
        <v>12576</v>
      </c>
      <c r="E3092" t="s">
        <v>7844</v>
      </c>
      <c r="F3092" t="s">
        <v>7845</v>
      </c>
      <c r="G3092" s="712">
        <v>0</v>
      </c>
      <c r="H3092">
        <v>0</v>
      </c>
      <c r="I3092" s="713">
        <v>0</v>
      </c>
      <c r="J3092">
        <v>1.4</v>
      </c>
      <c r="K3092">
        <v>0</v>
      </c>
      <c r="L3092">
        <v>0</v>
      </c>
      <c r="M3092">
        <v>0</v>
      </c>
      <c r="N3092">
        <v>1.4</v>
      </c>
      <c r="O3092">
        <v>0</v>
      </c>
      <c r="P3092">
        <v>1.4</v>
      </c>
    </row>
    <row r="3093" spans="1:16">
      <c r="A3093">
        <v>5</v>
      </c>
      <c r="B3093" t="s">
        <v>12507</v>
      </c>
      <c r="C3093" t="s">
        <v>12553</v>
      </c>
      <c r="D3093" t="s">
        <v>12576</v>
      </c>
      <c r="E3093" t="s">
        <v>7846</v>
      </c>
      <c r="F3093" t="s">
        <v>7847</v>
      </c>
      <c r="G3093" s="712">
        <v>0</v>
      </c>
      <c r="H3093">
        <v>0</v>
      </c>
      <c r="I3093" s="71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</row>
    <row r="3094" spans="1:16">
      <c r="A3094">
        <v>5</v>
      </c>
      <c r="B3094" t="s">
        <v>12507</v>
      </c>
      <c r="C3094" t="s">
        <v>12553</v>
      </c>
      <c r="D3094" t="s">
        <v>12576</v>
      </c>
      <c r="E3094" t="s">
        <v>7848</v>
      </c>
      <c r="F3094" t="s">
        <v>7849</v>
      </c>
      <c r="G3094" s="712">
        <v>0</v>
      </c>
      <c r="H3094">
        <v>0</v>
      </c>
      <c r="I3094" s="713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</row>
    <row r="3095" spans="1:16">
      <c r="A3095">
        <v>5</v>
      </c>
      <c r="B3095" t="s">
        <v>12507</v>
      </c>
      <c r="C3095" t="s">
        <v>12553</v>
      </c>
      <c r="D3095" t="s">
        <v>12576</v>
      </c>
      <c r="E3095" t="s">
        <v>7850</v>
      </c>
      <c r="F3095" t="s">
        <v>7851</v>
      </c>
      <c r="G3095" s="712">
        <v>0</v>
      </c>
      <c r="H3095">
        <v>0</v>
      </c>
      <c r="I3095" s="713">
        <v>0</v>
      </c>
      <c r="J3095" s="711">
        <v>202323.17</v>
      </c>
      <c r="K3095">
        <v>0</v>
      </c>
      <c r="L3095">
        <v>0</v>
      </c>
      <c r="M3095">
        <v>0</v>
      </c>
      <c r="N3095" s="711">
        <v>202323.17</v>
      </c>
      <c r="O3095">
        <v>0</v>
      </c>
      <c r="P3095" s="711">
        <v>202323.17</v>
      </c>
    </row>
    <row r="3096" spans="1:16">
      <c r="A3096">
        <v>5</v>
      </c>
      <c r="B3096" t="s">
        <v>12507</v>
      </c>
      <c r="C3096" t="s">
        <v>12553</v>
      </c>
      <c r="D3096" t="s">
        <v>12576</v>
      </c>
      <c r="E3096" t="s">
        <v>7852</v>
      </c>
      <c r="F3096" t="s">
        <v>7853</v>
      </c>
      <c r="G3096" s="712">
        <v>0</v>
      </c>
      <c r="H3096">
        <v>0</v>
      </c>
      <c r="I3096" s="713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</row>
    <row r="3097" spans="1:16">
      <c r="A3097">
        <v>5</v>
      </c>
      <c r="B3097" t="s">
        <v>12507</v>
      </c>
      <c r="C3097" t="s">
        <v>12553</v>
      </c>
      <c r="D3097" t="s">
        <v>12576</v>
      </c>
      <c r="E3097" t="s">
        <v>7854</v>
      </c>
      <c r="F3097" t="s">
        <v>7855</v>
      </c>
      <c r="G3097" s="712">
        <v>0</v>
      </c>
      <c r="H3097">
        <v>0</v>
      </c>
      <c r="I3097" s="713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</row>
    <row r="3098" spans="1:16">
      <c r="A3098">
        <v>5</v>
      </c>
      <c r="B3098" t="s">
        <v>12507</v>
      </c>
      <c r="C3098" t="s">
        <v>12553</v>
      </c>
      <c r="D3098" t="s">
        <v>12576</v>
      </c>
      <c r="E3098" t="s">
        <v>7856</v>
      </c>
      <c r="F3098" t="s">
        <v>7857</v>
      </c>
      <c r="G3098" s="712">
        <v>0</v>
      </c>
      <c r="H3098">
        <v>0</v>
      </c>
      <c r="I3098" s="713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</row>
    <row r="3099" spans="1:16">
      <c r="A3099">
        <v>5</v>
      </c>
      <c r="B3099" t="s">
        <v>12507</v>
      </c>
      <c r="C3099" t="s">
        <v>12553</v>
      </c>
      <c r="D3099" t="s">
        <v>12576</v>
      </c>
      <c r="E3099" t="s">
        <v>7858</v>
      </c>
      <c r="F3099" t="s">
        <v>7859</v>
      </c>
      <c r="G3099" s="712">
        <v>0</v>
      </c>
      <c r="H3099">
        <v>0</v>
      </c>
      <c r="I3099" s="713">
        <v>0</v>
      </c>
      <c r="J3099" s="711">
        <v>21485.53</v>
      </c>
      <c r="K3099">
        <v>0</v>
      </c>
      <c r="L3099">
        <v>0</v>
      </c>
      <c r="M3099">
        <v>0</v>
      </c>
      <c r="N3099" s="711">
        <v>21485.53</v>
      </c>
      <c r="O3099">
        <v>0</v>
      </c>
      <c r="P3099" s="711">
        <v>21485.53</v>
      </c>
    </row>
    <row r="3100" spans="1:16">
      <c r="A3100">
        <v>5</v>
      </c>
      <c r="B3100" t="s">
        <v>12507</v>
      </c>
      <c r="C3100" t="s">
        <v>12553</v>
      </c>
      <c r="D3100" t="s">
        <v>12576</v>
      </c>
      <c r="E3100" t="s">
        <v>7860</v>
      </c>
      <c r="F3100" t="s">
        <v>7861</v>
      </c>
      <c r="G3100" s="712">
        <v>0</v>
      </c>
      <c r="H3100">
        <v>0</v>
      </c>
      <c r="I3100" s="713">
        <v>0</v>
      </c>
      <c r="J3100">
        <v>5.55</v>
      </c>
      <c r="K3100">
        <v>0</v>
      </c>
      <c r="L3100">
        <v>0</v>
      </c>
      <c r="M3100">
        <v>0</v>
      </c>
      <c r="N3100">
        <v>5.55</v>
      </c>
      <c r="O3100">
        <v>0</v>
      </c>
      <c r="P3100">
        <v>5.55</v>
      </c>
    </row>
    <row r="3101" spans="1:16">
      <c r="A3101">
        <v>5</v>
      </c>
      <c r="B3101" t="s">
        <v>12507</v>
      </c>
      <c r="C3101" t="s">
        <v>12553</v>
      </c>
      <c r="D3101" t="s">
        <v>12576</v>
      </c>
      <c r="E3101" t="s">
        <v>7862</v>
      </c>
      <c r="F3101" t="s">
        <v>7863</v>
      </c>
      <c r="G3101" s="712">
        <v>0</v>
      </c>
      <c r="H3101">
        <v>0</v>
      </c>
      <c r="I3101" s="713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</row>
    <row r="3102" spans="1:16">
      <c r="A3102">
        <v>5</v>
      </c>
      <c r="B3102" t="s">
        <v>12507</v>
      </c>
      <c r="C3102" t="s">
        <v>12553</v>
      </c>
      <c r="D3102" t="s">
        <v>12576</v>
      </c>
      <c r="E3102" t="s">
        <v>7864</v>
      </c>
      <c r="F3102" t="s">
        <v>7865</v>
      </c>
      <c r="G3102" s="712">
        <v>0</v>
      </c>
      <c r="H3102">
        <v>0</v>
      </c>
      <c r="I3102" s="713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</row>
    <row r="3103" spans="1:16">
      <c r="A3103">
        <v>5</v>
      </c>
      <c r="B3103" t="s">
        <v>12507</v>
      </c>
      <c r="C3103" t="s">
        <v>12553</v>
      </c>
      <c r="D3103" t="s">
        <v>12576</v>
      </c>
      <c r="E3103" t="s">
        <v>7866</v>
      </c>
      <c r="F3103" t="s">
        <v>7867</v>
      </c>
      <c r="G3103" s="712">
        <v>0</v>
      </c>
      <c r="H3103">
        <v>0</v>
      </c>
      <c r="I3103" s="71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</row>
    <row r="3104" spans="1:16">
      <c r="A3104">
        <v>5</v>
      </c>
      <c r="B3104" t="s">
        <v>12507</v>
      </c>
      <c r="C3104" t="s">
        <v>12553</v>
      </c>
      <c r="D3104" t="s">
        <v>12576</v>
      </c>
      <c r="E3104" t="s">
        <v>7868</v>
      </c>
      <c r="F3104" t="s">
        <v>7869</v>
      </c>
      <c r="G3104" s="712">
        <v>0</v>
      </c>
      <c r="H3104">
        <v>0</v>
      </c>
      <c r="I3104" s="713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</row>
    <row r="3105" spans="1:16">
      <c r="A3105">
        <v>5</v>
      </c>
      <c r="B3105" t="s">
        <v>12507</v>
      </c>
      <c r="C3105" t="s">
        <v>12553</v>
      </c>
      <c r="D3105" t="s">
        <v>12576</v>
      </c>
      <c r="E3105" t="s">
        <v>7870</v>
      </c>
      <c r="F3105" t="s">
        <v>7871</v>
      </c>
      <c r="G3105" s="712">
        <v>0</v>
      </c>
      <c r="H3105">
        <v>0</v>
      </c>
      <c r="I3105" s="713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</row>
    <row r="3106" spans="1:16">
      <c r="A3106">
        <v>5</v>
      </c>
      <c r="B3106" t="s">
        <v>12507</v>
      </c>
      <c r="C3106" t="s">
        <v>12553</v>
      </c>
      <c r="D3106" t="s">
        <v>12576</v>
      </c>
      <c r="E3106" t="s">
        <v>7872</v>
      </c>
      <c r="F3106" t="s">
        <v>7873</v>
      </c>
      <c r="G3106" s="712">
        <v>0</v>
      </c>
      <c r="H3106">
        <v>0</v>
      </c>
      <c r="I3106" s="713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</row>
    <row r="3107" spans="1:16">
      <c r="A3107">
        <v>5</v>
      </c>
      <c r="B3107" t="s">
        <v>12507</v>
      </c>
      <c r="C3107" t="s">
        <v>12553</v>
      </c>
      <c r="D3107" t="s">
        <v>12576</v>
      </c>
      <c r="E3107" t="s">
        <v>7874</v>
      </c>
      <c r="F3107" t="s">
        <v>7875</v>
      </c>
      <c r="G3107" s="712">
        <v>0</v>
      </c>
      <c r="H3107">
        <v>0</v>
      </c>
      <c r="I3107" s="713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</row>
    <row r="3108" spans="1:16">
      <c r="A3108">
        <v>5</v>
      </c>
      <c r="B3108" t="s">
        <v>12507</v>
      </c>
      <c r="C3108" t="s">
        <v>12553</v>
      </c>
      <c r="D3108" t="s">
        <v>12576</v>
      </c>
      <c r="E3108" t="s">
        <v>7876</v>
      </c>
      <c r="F3108" t="s">
        <v>7877</v>
      </c>
      <c r="G3108" s="712">
        <v>0</v>
      </c>
      <c r="H3108">
        <v>0</v>
      </c>
      <c r="I3108" s="713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</row>
    <row r="3109" spans="1:16">
      <c r="A3109">
        <v>5</v>
      </c>
      <c r="B3109" t="s">
        <v>12507</v>
      </c>
      <c r="C3109" t="s">
        <v>12553</v>
      </c>
      <c r="D3109" t="s">
        <v>12576</v>
      </c>
      <c r="E3109" t="s">
        <v>7878</v>
      </c>
      <c r="F3109" t="s">
        <v>7879</v>
      </c>
      <c r="G3109" s="712">
        <v>0</v>
      </c>
      <c r="H3109">
        <v>0</v>
      </c>
      <c r="I3109" s="713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</row>
    <row r="3110" spans="1:16">
      <c r="A3110">
        <v>5</v>
      </c>
      <c r="B3110" t="s">
        <v>12507</v>
      </c>
      <c r="C3110" t="s">
        <v>12553</v>
      </c>
      <c r="D3110" t="s">
        <v>12576</v>
      </c>
      <c r="E3110" t="s">
        <v>7881</v>
      </c>
      <c r="F3110" t="s">
        <v>7882</v>
      </c>
      <c r="G3110" s="712">
        <v>0</v>
      </c>
      <c r="H3110">
        <v>0</v>
      </c>
      <c r="I3110" s="713">
        <v>0</v>
      </c>
      <c r="J3110" s="711">
        <v>2803959.29</v>
      </c>
      <c r="K3110" s="711">
        <v>200849.68</v>
      </c>
      <c r="L3110">
        <v>0</v>
      </c>
      <c r="M3110">
        <v>0</v>
      </c>
      <c r="N3110" s="711">
        <v>2803959.29</v>
      </c>
      <c r="O3110" s="711">
        <v>200849.68</v>
      </c>
      <c r="P3110" s="711">
        <v>2603109.61</v>
      </c>
    </row>
    <row r="3111" spans="1:16">
      <c r="A3111">
        <v>5</v>
      </c>
      <c r="B3111" t="s">
        <v>12507</v>
      </c>
      <c r="C3111" t="s">
        <v>12553</v>
      </c>
      <c r="D3111" t="s">
        <v>12576</v>
      </c>
      <c r="E3111" t="s">
        <v>7883</v>
      </c>
      <c r="F3111" t="s">
        <v>7884</v>
      </c>
      <c r="G3111" s="712">
        <v>0</v>
      </c>
      <c r="H3111">
        <v>0</v>
      </c>
      <c r="I3111" s="713">
        <v>0</v>
      </c>
      <c r="J3111" s="711">
        <v>1014704.59</v>
      </c>
      <c r="K3111" s="711">
        <v>459812.58</v>
      </c>
      <c r="L3111">
        <v>0</v>
      </c>
      <c r="M3111">
        <v>0</v>
      </c>
      <c r="N3111" s="711">
        <v>1014704.59</v>
      </c>
      <c r="O3111" s="711">
        <v>459812.58</v>
      </c>
      <c r="P3111" s="711">
        <v>554892.01</v>
      </c>
    </row>
    <row r="3112" spans="1:16">
      <c r="A3112">
        <v>5</v>
      </c>
      <c r="B3112" t="s">
        <v>12507</v>
      </c>
      <c r="C3112" t="s">
        <v>12553</v>
      </c>
      <c r="D3112" t="s">
        <v>12576</v>
      </c>
      <c r="E3112" t="s">
        <v>7885</v>
      </c>
      <c r="F3112" t="s">
        <v>7886</v>
      </c>
      <c r="G3112" s="712">
        <v>0</v>
      </c>
      <c r="H3112">
        <v>0</v>
      </c>
      <c r="I3112" s="713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</row>
    <row r="3113" spans="1:16">
      <c r="A3113">
        <v>5</v>
      </c>
      <c r="B3113" t="s">
        <v>12507</v>
      </c>
      <c r="C3113" t="s">
        <v>12553</v>
      </c>
      <c r="D3113" t="s">
        <v>12576</v>
      </c>
      <c r="E3113" t="s">
        <v>7887</v>
      </c>
      <c r="F3113" t="s">
        <v>7888</v>
      </c>
      <c r="G3113" s="712">
        <v>0</v>
      </c>
      <c r="H3113">
        <v>0</v>
      </c>
      <c r="I3113" s="713">
        <v>0</v>
      </c>
      <c r="J3113" s="711">
        <v>15001.55</v>
      </c>
      <c r="K3113">
        <v>0</v>
      </c>
      <c r="L3113">
        <v>0</v>
      </c>
      <c r="M3113">
        <v>0</v>
      </c>
      <c r="N3113" s="711">
        <v>15001.55</v>
      </c>
      <c r="O3113">
        <v>0</v>
      </c>
      <c r="P3113" s="711">
        <v>15001.55</v>
      </c>
    </row>
    <row r="3114" spans="1:16">
      <c r="A3114">
        <v>5</v>
      </c>
      <c r="B3114" t="s">
        <v>12507</v>
      </c>
      <c r="C3114" t="s">
        <v>12553</v>
      </c>
      <c r="D3114" t="s">
        <v>12576</v>
      </c>
      <c r="E3114" t="s">
        <v>7889</v>
      </c>
      <c r="F3114" t="s">
        <v>7890</v>
      </c>
      <c r="G3114" s="712">
        <v>0</v>
      </c>
      <c r="H3114">
        <v>0</v>
      </c>
      <c r="I3114" s="713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</row>
    <row r="3115" spans="1:16">
      <c r="A3115">
        <v>5</v>
      </c>
      <c r="B3115" t="s">
        <v>12507</v>
      </c>
      <c r="C3115" t="s">
        <v>12553</v>
      </c>
      <c r="D3115" t="s">
        <v>12576</v>
      </c>
      <c r="E3115" t="s">
        <v>7891</v>
      </c>
      <c r="F3115" t="s">
        <v>7892</v>
      </c>
      <c r="G3115" s="712">
        <v>0</v>
      </c>
      <c r="H3115">
        <v>0</v>
      </c>
      <c r="I3115" s="713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</row>
    <row r="3116" spans="1:16">
      <c r="A3116">
        <v>5</v>
      </c>
      <c r="B3116" t="s">
        <v>12507</v>
      </c>
      <c r="C3116" t="s">
        <v>12553</v>
      </c>
      <c r="D3116" t="s">
        <v>12576</v>
      </c>
      <c r="E3116" t="s">
        <v>7893</v>
      </c>
      <c r="F3116" t="s">
        <v>7894</v>
      </c>
      <c r="G3116" s="712">
        <v>0</v>
      </c>
      <c r="H3116">
        <v>0</v>
      </c>
      <c r="I3116" s="713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</row>
    <row r="3117" spans="1:16">
      <c r="A3117">
        <v>5</v>
      </c>
      <c r="B3117" t="s">
        <v>12507</v>
      </c>
      <c r="C3117" t="s">
        <v>12553</v>
      </c>
      <c r="D3117" t="s">
        <v>12576</v>
      </c>
      <c r="E3117" t="s">
        <v>7895</v>
      </c>
      <c r="F3117" t="s">
        <v>7896</v>
      </c>
      <c r="G3117" s="712">
        <v>0</v>
      </c>
      <c r="H3117">
        <v>0</v>
      </c>
      <c r="I3117" s="713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</row>
    <row r="3118" spans="1:16">
      <c r="A3118">
        <v>5</v>
      </c>
      <c r="B3118" t="s">
        <v>12507</v>
      </c>
      <c r="C3118" t="s">
        <v>12553</v>
      </c>
      <c r="D3118" t="s">
        <v>12576</v>
      </c>
      <c r="E3118" t="s">
        <v>7897</v>
      </c>
      <c r="F3118" t="s">
        <v>7898</v>
      </c>
      <c r="G3118" s="712">
        <v>0</v>
      </c>
      <c r="H3118">
        <v>0</v>
      </c>
      <c r="I3118" s="713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</row>
    <row r="3119" spans="1:16">
      <c r="A3119">
        <v>5</v>
      </c>
      <c r="B3119" t="s">
        <v>12507</v>
      </c>
      <c r="C3119" t="s">
        <v>12553</v>
      </c>
      <c r="D3119" t="s">
        <v>12576</v>
      </c>
      <c r="E3119" t="s">
        <v>7899</v>
      </c>
      <c r="F3119" t="s">
        <v>7900</v>
      </c>
      <c r="G3119" s="712">
        <v>0</v>
      </c>
      <c r="H3119">
        <v>0</v>
      </c>
      <c r="I3119" s="713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</row>
    <row r="3120" spans="1:16">
      <c r="A3120">
        <v>5</v>
      </c>
      <c r="B3120" t="s">
        <v>12507</v>
      </c>
      <c r="C3120" t="s">
        <v>12553</v>
      </c>
      <c r="D3120" t="s">
        <v>12576</v>
      </c>
      <c r="E3120" t="s">
        <v>7901</v>
      </c>
      <c r="F3120" t="s">
        <v>7902</v>
      </c>
      <c r="G3120" s="712">
        <v>0</v>
      </c>
      <c r="H3120">
        <v>0</v>
      </c>
      <c r="I3120" s="713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</row>
    <row r="3121" spans="1:16">
      <c r="A3121">
        <v>5</v>
      </c>
      <c r="B3121" t="s">
        <v>12507</v>
      </c>
      <c r="C3121" t="s">
        <v>12553</v>
      </c>
      <c r="D3121" t="s">
        <v>12576</v>
      </c>
      <c r="E3121" t="s">
        <v>7903</v>
      </c>
      <c r="F3121" t="s">
        <v>7904</v>
      </c>
      <c r="G3121" s="712">
        <v>0</v>
      </c>
      <c r="H3121">
        <v>0</v>
      </c>
      <c r="I3121" s="713">
        <v>0</v>
      </c>
      <c r="J3121" s="711">
        <v>2422.16</v>
      </c>
      <c r="K3121">
        <v>0</v>
      </c>
      <c r="L3121">
        <v>0</v>
      </c>
      <c r="M3121">
        <v>0</v>
      </c>
      <c r="N3121" s="711">
        <v>2422.16</v>
      </c>
      <c r="O3121">
        <v>0</v>
      </c>
      <c r="P3121" s="711">
        <v>2422.16</v>
      </c>
    </row>
    <row r="3122" spans="1:16">
      <c r="A3122">
        <v>5</v>
      </c>
      <c r="B3122" t="s">
        <v>12507</v>
      </c>
      <c r="C3122" t="s">
        <v>12553</v>
      </c>
      <c r="D3122" t="s">
        <v>12576</v>
      </c>
      <c r="E3122" t="s">
        <v>7906</v>
      </c>
      <c r="F3122" t="s">
        <v>7907</v>
      </c>
      <c r="G3122" s="712">
        <v>0</v>
      </c>
      <c r="H3122">
        <v>0</v>
      </c>
      <c r="I3122" s="713">
        <v>0</v>
      </c>
      <c r="J3122" s="711">
        <v>794307.31</v>
      </c>
      <c r="K3122" s="711">
        <v>415513</v>
      </c>
      <c r="L3122">
        <v>0</v>
      </c>
      <c r="M3122">
        <v>0</v>
      </c>
      <c r="N3122" s="711">
        <v>794307.31</v>
      </c>
      <c r="O3122" s="711">
        <v>415513</v>
      </c>
      <c r="P3122" s="711">
        <v>378794.31</v>
      </c>
    </row>
    <row r="3123" spans="1:16">
      <c r="A3123">
        <v>5</v>
      </c>
      <c r="B3123" t="s">
        <v>12507</v>
      </c>
      <c r="C3123" t="s">
        <v>12553</v>
      </c>
      <c r="D3123" t="s">
        <v>12576</v>
      </c>
      <c r="E3123" t="s">
        <v>7909</v>
      </c>
      <c r="F3123" t="s">
        <v>7910</v>
      </c>
      <c r="G3123" s="712">
        <v>0</v>
      </c>
      <c r="H3123">
        <v>0</v>
      </c>
      <c r="I3123" s="713">
        <v>0</v>
      </c>
      <c r="J3123" s="711">
        <v>1301978.3</v>
      </c>
      <c r="K3123" s="711">
        <v>306970</v>
      </c>
      <c r="L3123">
        <v>0</v>
      </c>
      <c r="M3123">
        <v>0</v>
      </c>
      <c r="N3123" s="711">
        <v>1301978.3</v>
      </c>
      <c r="O3123" s="711">
        <v>306970</v>
      </c>
      <c r="P3123" s="711">
        <v>995008.3</v>
      </c>
    </row>
    <row r="3124" spans="1:16">
      <c r="A3124">
        <v>5</v>
      </c>
      <c r="B3124" t="s">
        <v>12507</v>
      </c>
      <c r="C3124" t="s">
        <v>12553</v>
      </c>
      <c r="D3124" t="s">
        <v>12576</v>
      </c>
      <c r="E3124" t="s">
        <v>7912</v>
      </c>
      <c r="F3124" t="s">
        <v>7913</v>
      </c>
      <c r="G3124" s="712">
        <v>0</v>
      </c>
      <c r="H3124">
        <v>0</v>
      </c>
      <c r="I3124" s="713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</row>
    <row r="3125" spans="1:16">
      <c r="A3125">
        <v>5</v>
      </c>
      <c r="B3125" t="s">
        <v>12507</v>
      </c>
      <c r="C3125" t="s">
        <v>12553</v>
      </c>
      <c r="D3125" t="s">
        <v>12576</v>
      </c>
      <c r="E3125" t="s">
        <v>7914</v>
      </c>
      <c r="F3125" t="s">
        <v>7915</v>
      </c>
      <c r="G3125" s="712">
        <v>0</v>
      </c>
      <c r="H3125">
        <v>0</v>
      </c>
      <c r="I3125" s="713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</row>
    <row r="3126" spans="1:16">
      <c r="A3126">
        <v>5</v>
      </c>
      <c r="B3126" t="s">
        <v>12507</v>
      </c>
      <c r="C3126" t="s">
        <v>12553</v>
      </c>
      <c r="D3126" t="s">
        <v>12576</v>
      </c>
      <c r="E3126" t="s">
        <v>7916</v>
      </c>
      <c r="F3126" t="s">
        <v>7917</v>
      </c>
      <c r="G3126" s="712">
        <v>0</v>
      </c>
      <c r="H3126">
        <v>0</v>
      </c>
      <c r="I3126" s="713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</row>
    <row r="3127" spans="1:16">
      <c r="A3127">
        <v>5</v>
      </c>
      <c r="B3127" t="s">
        <v>12507</v>
      </c>
      <c r="C3127" t="s">
        <v>12553</v>
      </c>
      <c r="D3127" t="s">
        <v>12576</v>
      </c>
      <c r="E3127" t="s">
        <v>7918</v>
      </c>
      <c r="F3127" t="s">
        <v>7919</v>
      </c>
      <c r="G3127" s="712">
        <v>0</v>
      </c>
      <c r="H3127">
        <v>0</v>
      </c>
      <c r="I3127" s="713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</row>
    <row r="3128" spans="1:16">
      <c r="A3128">
        <v>5</v>
      </c>
      <c r="B3128" t="s">
        <v>12507</v>
      </c>
      <c r="C3128" t="s">
        <v>12553</v>
      </c>
      <c r="D3128" t="s">
        <v>12576</v>
      </c>
      <c r="E3128" t="s">
        <v>7920</v>
      </c>
      <c r="F3128" t="s">
        <v>7921</v>
      </c>
      <c r="G3128" s="712">
        <v>0</v>
      </c>
      <c r="H3128">
        <v>0</v>
      </c>
      <c r="I3128" s="713">
        <v>0</v>
      </c>
      <c r="J3128" s="711">
        <v>194390.43</v>
      </c>
      <c r="K3128" s="711">
        <v>3693.5</v>
      </c>
      <c r="L3128">
        <v>0</v>
      </c>
      <c r="M3128">
        <v>0</v>
      </c>
      <c r="N3128" s="711">
        <v>194390.43</v>
      </c>
      <c r="O3128" s="711">
        <v>3693.5</v>
      </c>
      <c r="P3128" s="711">
        <v>190696.93</v>
      </c>
    </row>
    <row r="3129" spans="1:16">
      <c r="A3129">
        <v>5</v>
      </c>
      <c r="B3129" t="s">
        <v>12507</v>
      </c>
      <c r="C3129" t="s">
        <v>12553</v>
      </c>
      <c r="D3129" t="s">
        <v>12576</v>
      </c>
      <c r="E3129" t="s">
        <v>7922</v>
      </c>
      <c r="F3129" t="s">
        <v>7923</v>
      </c>
      <c r="G3129" s="712">
        <v>0</v>
      </c>
      <c r="H3129">
        <v>0</v>
      </c>
      <c r="I3129" s="713">
        <v>0</v>
      </c>
      <c r="J3129" s="711">
        <v>80735.72</v>
      </c>
      <c r="K3129" s="711">
        <v>1850.29</v>
      </c>
      <c r="L3129">
        <v>0</v>
      </c>
      <c r="M3129">
        <v>0</v>
      </c>
      <c r="N3129" s="711">
        <v>80735.72</v>
      </c>
      <c r="O3129" s="711">
        <v>1850.29</v>
      </c>
      <c r="P3129" s="711">
        <v>78885.429999999993</v>
      </c>
    </row>
    <row r="3130" spans="1:16">
      <c r="A3130">
        <v>5</v>
      </c>
      <c r="B3130" t="s">
        <v>12507</v>
      </c>
      <c r="C3130" t="s">
        <v>12553</v>
      </c>
      <c r="D3130" t="s">
        <v>12576</v>
      </c>
      <c r="E3130" t="s">
        <v>7924</v>
      </c>
      <c r="F3130" t="s">
        <v>7925</v>
      </c>
      <c r="G3130" s="712">
        <v>0</v>
      </c>
      <c r="H3130">
        <v>0</v>
      </c>
      <c r="I3130" s="713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</row>
    <row r="3131" spans="1:16">
      <c r="A3131">
        <v>5</v>
      </c>
      <c r="B3131" t="s">
        <v>12507</v>
      </c>
      <c r="C3131" t="s">
        <v>12553</v>
      </c>
      <c r="D3131" t="s">
        <v>12576</v>
      </c>
      <c r="E3131" t="s">
        <v>7926</v>
      </c>
      <c r="F3131" t="s">
        <v>7927</v>
      </c>
      <c r="G3131" s="712">
        <v>0</v>
      </c>
      <c r="H3131">
        <v>0</v>
      </c>
      <c r="I3131" s="713">
        <v>0</v>
      </c>
      <c r="J3131">
        <v>658.96</v>
      </c>
      <c r="K3131">
        <v>0</v>
      </c>
      <c r="L3131">
        <v>0</v>
      </c>
      <c r="M3131">
        <v>0</v>
      </c>
      <c r="N3131">
        <v>658.96</v>
      </c>
      <c r="O3131">
        <v>0</v>
      </c>
      <c r="P3131">
        <v>658.96</v>
      </c>
    </row>
    <row r="3132" spans="1:16">
      <c r="A3132">
        <v>5</v>
      </c>
      <c r="B3132" t="s">
        <v>12507</v>
      </c>
      <c r="C3132" t="s">
        <v>12553</v>
      </c>
      <c r="D3132" t="s">
        <v>12576</v>
      </c>
      <c r="E3132" t="s">
        <v>7928</v>
      </c>
      <c r="F3132" t="s">
        <v>7929</v>
      </c>
      <c r="G3132" s="712">
        <v>0</v>
      </c>
      <c r="H3132">
        <v>0</v>
      </c>
      <c r="I3132" s="713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</row>
    <row r="3133" spans="1:16">
      <c r="A3133">
        <v>5</v>
      </c>
      <c r="B3133" t="s">
        <v>12507</v>
      </c>
      <c r="C3133" t="s">
        <v>12553</v>
      </c>
      <c r="D3133" t="s">
        <v>12576</v>
      </c>
      <c r="E3133" t="s">
        <v>7930</v>
      </c>
      <c r="F3133" t="s">
        <v>7931</v>
      </c>
      <c r="G3133" s="712">
        <v>0</v>
      </c>
      <c r="H3133">
        <v>0</v>
      </c>
      <c r="I3133" s="71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</row>
    <row r="3134" spans="1:16">
      <c r="A3134">
        <v>5</v>
      </c>
      <c r="B3134" t="s">
        <v>12507</v>
      </c>
      <c r="C3134" t="s">
        <v>12553</v>
      </c>
      <c r="D3134" t="s">
        <v>12576</v>
      </c>
      <c r="E3134" t="s">
        <v>7932</v>
      </c>
      <c r="F3134" t="s">
        <v>7933</v>
      </c>
      <c r="G3134" s="712">
        <v>0</v>
      </c>
      <c r="H3134">
        <v>0</v>
      </c>
      <c r="I3134" s="713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</row>
    <row r="3135" spans="1:16">
      <c r="A3135">
        <v>5</v>
      </c>
      <c r="B3135" t="s">
        <v>12507</v>
      </c>
      <c r="C3135" t="s">
        <v>12553</v>
      </c>
      <c r="D3135" t="s">
        <v>12576</v>
      </c>
      <c r="E3135" t="s">
        <v>7934</v>
      </c>
      <c r="F3135" t="s">
        <v>7935</v>
      </c>
      <c r="G3135" s="712">
        <v>0</v>
      </c>
      <c r="H3135">
        <v>0</v>
      </c>
      <c r="I3135" s="713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</row>
    <row r="3136" spans="1:16">
      <c r="A3136">
        <v>5</v>
      </c>
      <c r="B3136" t="s">
        <v>12507</v>
      </c>
      <c r="C3136" t="s">
        <v>12553</v>
      </c>
      <c r="D3136" t="s">
        <v>12576</v>
      </c>
      <c r="E3136" t="s">
        <v>7936</v>
      </c>
      <c r="F3136" t="s">
        <v>7937</v>
      </c>
      <c r="G3136" s="712">
        <v>0</v>
      </c>
      <c r="H3136">
        <v>0</v>
      </c>
      <c r="I3136" s="713">
        <v>0</v>
      </c>
      <c r="J3136" s="711">
        <v>6970</v>
      </c>
      <c r="K3136">
        <v>0</v>
      </c>
      <c r="L3136">
        <v>0</v>
      </c>
      <c r="M3136">
        <v>0</v>
      </c>
      <c r="N3136" s="711">
        <v>6970</v>
      </c>
      <c r="O3136">
        <v>0</v>
      </c>
      <c r="P3136" s="711">
        <v>6970</v>
      </c>
    </row>
    <row r="3137" spans="1:16">
      <c r="A3137">
        <v>5</v>
      </c>
      <c r="B3137" t="s">
        <v>12507</v>
      </c>
      <c r="C3137" t="s">
        <v>12553</v>
      </c>
      <c r="D3137" t="s">
        <v>12576</v>
      </c>
      <c r="E3137" t="s">
        <v>7938</v>
      </c>
      <c r="F3137" t="s">
        <v>7939</v>
      </c>
      <c r="G3137" s="712">
        <v>0</v>
      </c>
      <c r="H3137">
        <v>0</v>
      </c>
      <c r="I3137" s="713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</row>
    <row r="3138" spans="1:16">
      <c r="A3138">
        <v>5</v>
      </c>
      <c r="B3138" t="s">
        <v>12507</v>
      </c>
      <c r="C3138" t="s">
        <v>12553</v>
      </c>
      <c r="D3138" t="s">
        <v>12576</v>
      </c>
      <c r="E3138" t="s">
        <v>7940</v>
      </c>
      <c r="F3138" t="s">
        <v>7941</v>
      </c>
      <c r="G3138" s="712">
        <v>0</v>
      </c>
      <c r="H3138">
        <v>0</v>
      </c>
      <c r="I3138" s="713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</row>
    <row r="3139" spans="1:16">
      <c r="A3139">
        <v>5</v>
      </c>
      <c r="B3139" t="s">
        <v>12507</v>
      </c>
      <c r="C3139" t="s">
        <v>12553</v>
      </c>
      <c r="D3139" t="s">
        <v>12576</v>
      </c>
      <c r="E3139" t="s">
        <v>7942</v>
      </c>
      <c r="F3139" t="s">
        <v>7943</v>
      </c>
      <c r="G3139" s="712">
        <v>0</v>
      </c>
      <c r="H3139">
        <v>0</v>
      </c>
      <c r="I3139" s="713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</row>
    <row r="3140" spans="1:16">
      <c r="A3140">
        <v>5</v>
      </c>
      <c r="B3140" t="s">
        <v>12507</v>
      </c>
      <c r="C3140" t="s">
        <v>12553</v>
      </c>
      <c r="D3140" t="s">
        <v>12576</v>
      </c>
      <c r="E3140" t="s">
        <v>7944</v>
      </c>
      <c r="F3140" t="s">
        <v>7945</v>
      </c>
      <c r="G3140" s="712">
        <v>0</v>
      </c>
      <c r="H3140">
        <v>0</v>
      </c>
      <c r="I3140" s="713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</row>
    <row r="3141" spans="1:16">
      <c r="A3141">
        <v>5</v>
      </c>
      <c r="B3141" t="s">
        <v>12507</v>
      </c>
      <c r="C3141" t="s">
        <v>12553</v>
      </c>
      <c r="D3141" t="s">
        <v>12576</v>
      </c>
      <c r="E3141" t="s">
        <v>7946</v>
      </c>
      <c r="F3141" t="s">
        <v>7947</v>
      </c>
      <c r="G3141" s="712">
        <v>0</v>
      </c>
      <c r="H3141">
        <v>0</v>
      </c>
      <c r="I3141" s="713">
        <v>0</v>
      </c>
      <c r="J3141" s="711">
        <v>59693.59</v>
      </c>
      <c r="K3141">
        <v>0</v>
      </c>
      <c r="L3141">
        <v>0</v>
      </c>
      <c r="M3141">
        <v>0</v>
      </c>
      <c r="N3141" s="711">
        <v>59693.59</v>
      </c>
      <c r="O3141">
        <v>0</v>
      </c>
      <c r="P3141" s="711">
        <v>59693.59</v>
      </c>
    </row>
    <row r="3142" spans="1:16">
      <c r="A3142">
        <v>5</v>
      </c>
      <c r="B3142" t="s">
        <v>12507</v>
      </c>
      <c r="C3142" t="s">
        <v>12553</v>
      </c>
      <c r="D3142" t="s">
        <v>12576</v>
      </c>
      <c r="E3142" t="s">
        <v>7948</v>
      </c>
      <c r="F3142" t="s">
        <v>7949</v>
      </c>
      <c r="G3142" s="712">
        <v>0</v>
      </c>
      <c r="H3142">
        <v>0</v>
      </c>
      <c r="I3142" s="713">
        <v>0</v>
      </c>
      <c r="J3142">
        <v>553.32000000000005</v>
      </c>
      <c r="K3142">
        <v>553.32000000000005</v>
      </c>
      <c r="L3142">
        <v>0</v>
      </c>
      <c r="M3142">
        <v>0</v>
      </c>
      <c r="N3142">
        <v>553.32000000000005</v>
      </c>
      <c r="O3142">
        <v>553.32000000000005</v>
      </c>
      <c r="P3142">
        <v>0</v>
      </c>
    </row>
    <row r="3143" spans="1:16">
      <c r="A3143">
        <v>5</v>
      </c>
      <c r="B3143" t="s">
        <v>12507</v>
      </c>
      <c r="C3143" t="s">
        <v>12553</v>
      </c>
      <c r="D3143" t="s">
        <v>12576</v>
      </c>
      <c r="E3143" t="s">
        <v>7950</v>
      </c>
      <c r="F3143" t="s">
        <v>7951</v>
      </c>
      <c r="G3143" s="712">
        <v>0</v>
      </c>
      <c r="H3143">
        <v>0</v>
      </c>
      <c r="I3143" s="71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</row>
    <row r="3144" spans="1:16">
      <c r="A3144">
        <v>5</v>
      </c>
      <c r="B3144" t="s">
        <v>12507</v>
      </c>
      <c r="C3144" t="s">
        <v>12553</v>
      </c>
      <c r="D3144" t="s">
        <v>12576</v>
      </c>
      <c r="E3144" t="s">
        <v>7952</v>
      </c>
      <c r="F3144" t="s">
        <v>7953</v>
      </c>
      <c r="G3144" s="712">
        <v>0</v>
      </c>
      <c r="H3144">
        <v>0</v>
      </c>
      <c r="I3144" s="713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</row>
    <row r="3145" spans="1:16">
      <c r="A3145">
        <v>5</v>
      </c>
      <c r="B3145" t="s">
        <v>12507</v>
      </c>
      <c r="C3145" t="s">
        <v>12553</v>
      </c>
      <c r="D3145" t="s">
        <v>12576</v>
      </c>
      <c r="E3145" t="s">
        <v>7954</v>
      </c>
      <c r="F3145" t="s">
        <v>7955</v>
      </c>
      <c r="G3145" s="712">
        <v>0</v>
      </c>
      <c r="H3145">
        <v>0</v>
      </c>
      <c r="I3145" s="713">
        <v>0</v>
      </c>
      <c r="J3145" s="711">
        <v>1214.1600000000001</v>
      </c>
      <c r="K3145">
        <v>0</v>
      </c>
      <c r="L3145">
        <v>0</v>
      </c>
      <c r="M3145">
        <v>0</v>
      </c>
      <c r="N3145" s="711">
        <v>1214.1600000000001</v>
      </c>
      <c r="O3145">
        <v>0</v>
      </c>
      <c r="P3145" s="711">
        <v>1214.1600000000001</v>
      </c>
    </row>
    <row r="3146" spans="1:16">
      <c r="A3146">
        <v>5</v>
      </c>
      <c r="B3146" t="s">
        <v>12507</v>
      </c>
      <c r="C3146" t="s">
        <v>12553</v>
      </c>
      <c r="D3146" t="s">
        <v>12576</v>
      </c>
      <c r="E3146" t="s">
        <v>7956</v>
      </c>
      <c r="F3146" t="s">
        <v>7957</v>
      </c>
      <c r="G3146" s="712">
        <v>0</v>
      </c>
      <c r="H3146">
        <v>0</v>
      </c>
      <c r="I3146" s="713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</row>
    <row r="3147" spans="1:16">
      <c r="A3147">
        <v>5</v>
      </c>
      <c r="B3147" t="s">
        <v>12507</v>
      </c>
      <c r="C3147" t="s">
        <v>12553</v>
      </c>
      <c r="D3147" t="s">
        <v>12576</v>
      </c>
      <c r="E3147" t="s">
        <v>7958</v>
      </c>
      <c r="F3147" t="s">
        <v>7959</v>
      </c>
      <c r="G3147" s="712">
        <v>0</v>
      </c>
      <c r="H3147">
        <v>0</v>
      </c>
      <c r="I3147" s="713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</row>
    <row r="3148" spans="1:16">
      <c r="A3148">
        <v>5</v>
      </c>
      <c r="B3148" t="s">
        <v>12507</v>
      </c>
      <c r="C3148" t="s">
        <v>12553</v>
      </c>
      <c r="D3148" t="s">
        <v>12576</v>
      </c>
      <c r="E3148" t="s">
        <v>7961</v>
      </c>
      <c r="F3148" t="s">
        <v>7962</v>
      </c>
      <c r="G3148" s="712">
        <v>0</v>
      </c>
      <c r="H3148">
        <v>0</v>
      </c>
      <c r="I3148" s="713">
        <v>0</v>
      </c>
      <c r="J3148" s="711">
        <v>415513</v>
      </c>
      <c r="K3148">
        <v>0</v>
      </c>
      <c r="L3148">
        <v>0</v>
      </c>
      <c r="M3148">
        <v>0</v>
      </c>
      <c r="N3148" s="711">
        <v>415513</v>
      </c>
      <c r="O3148">
        <v>0</v>
      </c>
      <c r="P3148" s="711">
        <v>415513</v>
      </c>
    </row>
    <row r="3149" spans="1:16">
      <c r="A3149">
        <v>5</v>
      </c>
      <c r="B3149" t="s">
        <v>12507</v>
      </c>
      <c r="C3149" t="s">
        <v>12553</v>
      </c>
      <c r="D3149" t="s">
        <v>12576</v>
      </c>
      <c r="E3149" t="s">
        <v>7963</v>
      </c>
      <c r="F3149" t="s">
        <v>7964</v>
      </c>
      <c r="G3149" s="712">
        <v>0</v>
      </c>
      <c r="H3149">
        <v>0</v>
      </c>
      <c r="I3149" s="713">
        <v>0</v>
      </c>
      <c r="J3149" s="711">
        <v>306970</v>
      </c>
      <c r="K3149">
        <v>0</v>
      </c>
      <c r="L3149">
        <v>0</v>
      </c>
      <c r="M3149">
        <v>0</v>
      </c>
      <c r="N3149" s="711">
        <v>306970</v>
      </c>
      <c r="O3149">
        <v>0</v>
      </c>
      <c r="P3149" s="711">
        <v>306970</v>
      </c>
    </row>
    <row r="3150" spans="1:16">
      <c r="A3150">
        <v>5</v>
      </c>
      <c r="B3150" t="s">
        <v>12507</v>
      </c>
      <c r="C3150" t="s">
        <v>12553</v>
      </c>
      <c r="D3150" t="s">
        <v>12576</v>
      </c>
      <c r="E3150" t="s">
        <v>7965</v>
      </c>
      <c r="F3150" t="s">
        <v>7966</v>
      </c>
      <c r="G3150" s="712">
        <v>0</v>
      </c>
      <c r="H3150">
        <v>0</v>
      </c>
      <c r="I3150" s="713">
        <v>0</v>
      </c>
      <c r="J3150" s="711">
        <v>280374.32</v>
      </c>
      <c r="K3150">
        <v>0</v>
      </c>
      <c r="L3150">
        <v>0</v>
      </c>
      <c r="M3150">
        <v>0</v>
      </c>
      <c r="N3150" s="711">
        <v>280374.32</v>
      </c>
      <c r="O3150">
        <v>0</v>
      </c>
      <c r="P3150" s="711">
        <v>280374.32</v>
      </c>
    </row>
    <row r="3151" spans="1:16">
      <c r="A3151">
        <v>5</v>
      </c>
      <c r="B3151" t="s">
        <v>12507</v>
      </c>
      <c r="C3151" t="s">
        <v>12553</v>
      </c>
      <c r="D3151" t="s">
        <v>12576</v>
      </c>
      <c r="E3151" t="s">
        <v>7967</v>
      </c>
      <c r="F3151" t="s">
        <v>7968</v>
      </c>
      <c r="G3151" s="712">
        <v>0</v>
      </c>
      <c r="H3151">
        <v>0</v>
      </c>
      <c r="I3151" s="713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</row>
    <row r="3152" spans="1:16">
      <c r="A3152">
        <v>5</v>
      </c>
      <c r="B3152" t="s">
        <v>12507</v>
      </c>
      <c r="C3152" t="s">
        <v>12553</v>
      </c>
      <c r="D3152" t="s">
        <v>12576</v>
      </c>
      <c r="E3152" t="s">
        <v>7970</v>
      </c>
      <c r="F3152" t="s">
        <v>7971</v>
      </c>
      <c r="G3152" s="712">
        <v>0</v>
      </c>
      <c r="H3152">
        <v>0</v>
      </c>
      <c r="I3152" s="713">
        <v>0</v>
      </c>
      <c r="J3152" s="711">
        <v>231623.31</v>
      </c>
      <c r="K3152">
        <v>0</v>
      </c>
      <c r="L3152">
        <v>0</v>
      </c>
      <c r="M3152">
        <v>0</v>
      </c>
      <c r="N3152" s="711">
        <v>231623.31</v>
      </c>
      <c r="O3152">
        <v>0</v>
      </c>
      <c r="P3152" s="711">
        <v>231623.31</v>
      </c>
    </row>
    <row r="3153" spans="1:16">
      <c r="A3153">
        <v>5</v>
      </c>
      <c r="B3153" t="s">
        <v>12507</v>
      </c>
      <c r="C3153" t="s">
        <v>12553</v>
      </c>
      <c r="D3153" t="s">
        <v>12576</v>
      </c>
      <c r="E3153" t="s">
        <v>7972</v>
      </c>
      <c r="F3153" t="s">
        <v>7973</v>
      </c>
      <c r="G3153" s="712">
        <v>0</v>
      </c>
      <c r="H3153">
        <v>0</v>
      </c>
      <c r="I3153" s="713">
        <v>0</v>
      </c>
      <c r="J3153" s="711">
        <v>58968.9</v>
      </c>
      <c r="K3153">
        <v>0</v>
      </c>
      <c r="L3153">
        <v>0</v>
      </c>
      <c r="M3153">
        <v>0</v>
      </c>
      <c r="N3153" s="711">
        <v>58968.9</v>
      </c>
      <c r="O3153">
        <v>0</v>
      </c>
      <c r="P3153" s="711">
        <v>58968.9</v>
      </c>
    </row>
    <row r="3154" spans="1:16">
      <c r="A3154">
        <v>5</v>
      </c>
      <c r="B3154" t="s">
        <v>12507</v>
      </c>
      <c r="C3154" t="s">
        <v>12553</v>
      </c>
      <c r="D3154" t="s">
        <v>12576</v>
      </c>
      <c r="E3154" t="s">
        <v>7974</v>
      </c>
      <c r="F3154" t="s">
        <v>7975</v>
      </c>
      <c r="G3154" s="712">
        <v>0</v>
      </c>
      <c r="H3154">
        <v>0</v>
      </c>
      <c r="I3154" s="713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</row>
    <row r="3155" spans="1:16">
      <c r="A3155">
        <v>5</v>
      </c>
      <c r="B3155" t="s">
        <v>12507</v>
      </c>
      <c r="C3155" t="s">
        <v>12553</v>
      </c>
      <c r="D3155" t="s">
        <v>12576</v>
      </c>
      <c r="E3155" t="s">
        <v>7976</v>
      </c>
      <c r="F3155" t="s">
        <v>7977</v>
      </c>
      <c r="G3155" s="712">
        <v>0</v>
      </c>
      <c r="H3155">
        <v>0</v>
      </c>
      <c r="I3155" s="713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</row>
    <row r="3156" spans="1:16">
      <c r="A3156">
        <v>5</v>
      </c>
      <c r="B3156" t="s">
        <v>12507</v>
      </c>
      <c r="C3156" t="s">
        <v>12553</v>
      </c>
      <c r="D3156" t="s">
        <v>12576</v>
      </c>
      <c r="E3156" t="s">
        <v>7978</v>
      </c>
      <c r="F3156" t="s">
        <v>7979</v>
      </c>
      <c r="G3156" s="712">
        <v>0</v>
      </c>
      <c r="H3156">
        <v>0</v>
      </c>
      <c r="I3156" s="713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</row>
    <row r="3157" spans="1:16">
      <c r="A3157">
        <v>5</v>
      </c>
      <c r="B3157" t="s">
        <v>12507</v>
      </c>
      <c r="C3157" t="s">
        <v>12553</v>
      </c>
      <c r="D3157" t="s">
        <v>12576</v>
      </c>
      <c r="E3157" t="s">
        <v>7980</v>
      </c>
      <c r="F3157" t="s">
        <v>7981</v>
      </c>
      <c r="G3157" s="712">
        <v>0</v>
      </c>
      <c r="H3157">
        <v>0</v>
      </c>
      <c r="I3157" s="713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</row>
    <row r="3158" spans="1:16">
      <c r="A3158">
        <v>5</v>
      </c>
      <c r="B3158" t="s">
        <v>12507</v>
      </c>
      <c r="C3158" t="s">
        <v>12553</v>
      </c>
      <c r="D3158" t="s">
        <v>12576</v>
      </c>
      <c r="E3158" t="s">
        <v>7982</v>
      </c>
      <c r="F3158" t="s">
        <v>7983</v>
      </c>
      <c r="G3158" s="712">
        <v>0</v>
      </c>
      <c r="H3158">
        <v>0</v>
      </c>
      <c r="I3158" s="713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</row>
    <row r="3159" spans="1:16">
      <c r="A3159">
        <v>5</v>
      </c>
      <c r="B3159" t="s">
        <v>12507</v>
      </c>
      <c r="C3159" t="s">
        <v>12553</v>
      </c>
      <c r="D3159" t="s">
        <v>12576</v>
      </c>
      <c r="E3159" t="s">
        <v>7984</v>
      </c>
      <c r="F3159" t="s">
        <v>7985</v>
      </c>
      <c r="G3159" s="712">
        <v>0</v>
      </c>
      <c r="H3159">
        <v>0</v>
      </c>
      <c r="I3159" s="713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</row>
    <row r="3160" spans="1:16">
      <c r="A3160">
        <v>5</v>
      </c>
      <c r="B3160" t="s">
        <v>12507</v>
      </c>
      <c r="C3160" t="s">
        <v>12553</v>
      </c>
      <c r="D3160" t="s">
        <v>12576</v>
      </c>
      <c r="E3160" t="s">
        <v>7986</v>
      </c>
      <c r="F3160" t="s">
        <v>7987</v>
      </c>
      <c r="G3160" s="712">
        <v>0</v>
      </c>
      <c r="H3160">
        <v>0</v>
      </c>
      <c r="I3160" s="713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</row>
    <row r="3161" spans="1:16">
      <c r="A3161">
        <v>5</v>
      </c>
      <c r="B3161" t="s">
        <v>12507</v>
      </c>
      <c r="C3161" t="s">
        <v>12553</v>
      </c>
      <c r="D3161" t="s">
        <v>12576</v>
      </c>
      <c r="E3161" t="s">
        <v>7989</v>
      </c>
      <c r="F3161" t="s">
        <v>7990</v>
      </c>
      <c r="G3161" s="712">
        <v>0</v>
      </c>
      <c r="H3161">
        <v>0</v>
      </c>
      <c r="I3161" s="713">
        <v>0</v>
      </c>
      <c r="J3161" s="711">
        <v>421974.37</v>
      </c>
      <c r="K3161">
        <v>0</v>
      </c>
      <c r="L3161">
        <v>0</v>
      </c>
      <c r="M3161">
        <v>0</v>
      </c>
      <c r="N3161" s="711">
        <v>421974.37</v>
      </c>
      <c r="O3161">
        <v>0</v>
      </c>
      <c r="P3161" s="711">
        <v>421974.37</v>
      </c>
    </row>
    <row r="3162" spans="1:16">
      <c r="A3162">
        <v>5</v>
      </c>
      <c r="B3162" t="s">
        <v>12507</v>
      </c>
      <c r="C3162" t="s">
        <v>12553</v>
      </c>
      <c r="D3162" t="s">
        <v>12576</v>
      </c>
      <c r="E3162" t="s">
        <v>7991</v>
      </c>
      <c r="F3162" t="s">
        <v>7992</v>
      </c>
      <c r="G3162" s="712">
        <v>0</v>
      </c>
      <c r="H3162">
        <v>0</v>
      </c>
      <c r="I3162" s="713">
        <v>0</v>
      </c>
      <c r="J3162" s="711">
        <v>587658.78</v>
      </c>
      <c r="K3162">
        <v>0</v>
      </c>
      <c r="L3162">
        <v>0</v>
      </c>
      <c r="M3162">
        <v>0</v>
      </c>
      <c r="N3162" s="711">
        <v>587658.78</v>
      </c>
      <c r="O3162">
        <v>0</v>
      </c>
      <c r="P3162" s="711">
        <v>587658.78</v>
      </c>
    </row>
    <row r="3163" spans="1:16">
      <c r="A3163">
        <v>5</v>
      </c>
      <c r="B3163" t="s">
        <v>12507</v>
      </c>
      <c r="C3163" t="s">
        <v>12553</v>
      </c>
      <c r="D3163" t="s">
        <v>12576</v>
      </c>
      <c r="E3163" t="s">
        <v>7993</v>
      </c>
      <c r="F3163" t="s">
        <v>7994</v>
      </c>
      <c r="G3163" s="712">
        <v>0</v>
      </c>
      <c r="H3163">
        <v>0</v>
      </c>
      <c r="I3163" s="71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</row>
    <row r="3164" spans="1:16">
      <c r="A3164">
        <v>5</v>
      </c>
      <c r="B3164" t="s">
        <v>12507</v>
      </c>
      <c r="C3164" t="s">
        <v>12553</v>
      </c>
      <c r="D3164" t="s">
        <v>12576</v>
      </c>
      <c r="E3164" t="s">
        <v>7996</v>
      </c>
      <c r="F3164" t="s">
        <v>7997</v>
      </c>
      <c r="G3164" s="712">
        <v>0</v>
      </c>
      <c r="H3164">
        <v>0</v>
      </c>
      <c r="I3164" s="713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</row>
    <row r="3165" spans="1:16">
      <c r="A3165">
        <v>5</v>
      </c>
      <c r="B3165" t="s">
        <v>12507</v>
      </c>
      <c r="C3165" t="s">
        <v>12553</v>
      </c>
      <c r="D3165" t="s">
        <v>12576</v>
      </c>
      <c r="E3165" t="s">
        <v>7998</v>
      </c>
      <c r="F3165" t="s">
        <v>7999</v>
      </c>
      <c r="G3165" s="712">
        <v>0</v>
      </c>
      <c r="H3165">
        <v>0</v>
      </c>
      <c r="I3165" s="713">
        <v>0</v>
      </c>
      <c r="J3165">
        <v>723.74</v>
      </c>
      <c r="K3165">
        <v>0</v>
      </c>
      <c r="L3165">
        <v>0</v>
      </c>
      <c r="M3165">
        <v>0</v>
      </c>
      <c r="N3165">
        <v>723.74</v>
      </c>
      <c r="O3165">
        <v>0</v>
      </c>
      <c r="P3165">
        <v>723.74</v>
      </c>
    </row>
    <row r="3166" spans="1:16">
      <c r="A3166">
        <v>5</v>
      </c>
      <c r="B3166" t="s">
        <v>12507</v>
      </c>
      <c r="C3166" t="s">
        <v>12553</v>
      </c>
      <c r="D3166" t="s">
        <v>12576</v>
      </c>
      <c r="E3166" t="s">
        <v>8000</v>
      </c>
      <c r="F3166" t="s">
        <v>8001</v>
      </c>
      <c r="G3166" s="712">
        <v>0</v>
      </c>
      <c r="H3166">
        <v>0</v>
      </c>
      <c r="I3166" s="713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</row>
    <row r="3167" spans="1:16">
      <c r="A3167">
        <v>5</v>
      </c>
      <c r="B3167" t="s">
        <v>12507</v>
      </c>
      <c r="C3167" t="s">
        <v>12553</v>
      </c>
      <c r="D3167" t="s">
        <v>12576</v>
      </c>
      <c r="E3167" t="s">
        <v>8002</v>
      </c>
      <c r="F3167" t="s">
        <v>8003</v>
      </c>
      <c r="G3167" s="712">
        <v>0</v>
      </c>
      <c r="H3167">
        <v>0</v>
      </c>
      <c r="I3167" s="713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</row>
    <row r="3168" spans="1:16">
      <c r="A3168">
        <v>5</v>
      </c>
      <c r="B3168" t="s">
        <v>12507</v>
      </c>
      <c r="C3168" t="s">
        <v>12553</v>
      </c>
      <c r="D3168" t="s">
        <v>12576</v>
      </c>
      <c r="E3168" t="s">
        <v>8004</v>
      </c>
      <c r="F3168" t="s">
        <v>8005</v>
      </c>
      <c r="G3168" s="712">
        <v>0</v>
      </c>
      <c r="H3168">
        <v>0</v>
      </c>
      <c r="I3168" s="713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</row>
    <row r="3169" spans="1:16">
      <c r="A3169">
        <v>5</v>
      </c>
      <c r="B3169" t="s">
        <v>12507</v>
      </c>
      <c r="C3169" t="s">
        <v>12553</v>
      </c>
      <c r="D3169" t="s">
        <v>12576</v>
      </c>
      <c r="E3169" t="s">
        <v>8006</v>
      </c>
      <c r="F3169" t="s">
        <v>8007</v>
      </c>
      <c r="G3169" s="712">
        <v>0</v>
      </c>
      <c r="H3169">
        <v>0</v>
      </c>
      <c r="I3169" s="713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</row>
    <row r="3170" spans="1:16">
      <c r="A3170">
        <v>5</v>
      </c>
      <c r="B3170" t="s">
        <v>12507</v>
      </c>
      <c r="C3170" t="s">
        <v>12553</v>
      </c>
      <c r="D3170" t="s">
        <v>12576</v>
      </c>
      <c r="E3170" t="s">
        <v>8008</v>
      </c>
      <c r="F3170" t="s">
        <v>8009</v>
      </c>
      <c r="G3170" s="712">
        <v>0</v>
      </c>
      <c r="H3170">
        <v>0</v>
      </c>
      <c r="I3170" s="713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</row>
    <row r="3171" spans="1:16">
      <c r="A3171">
        <v>5</v>
      </c>
      <c r="B3171" t="s">
        <v>12507</v>
      </c>
      <c r="C3171" t="s">
        <v>12553</v>
      </c>
      <c r="D3171" t="s">
        <v>12576</v>
      </c>
      <c r="E3171" t="s">
        <v>8010</v>
      </c>
      <c r="F3171" t="s">
        <v>8011</v>
      </c>
      <c r="G3171" s="712">
        <v>0</v>
      </c>
      <c r="H3171">
        <v>0</v>
      </c>
      <c r="I3171" s="713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</row>
    <row r="3172" spans="1:16">
      <c r="A3172">
        <v>5</v>
      </c>
      <c r="B3172" t="s">
        <v>12507</v>
      </c>
      <c r="C3172" t="s">
        <v>12553</v>
      </c>
      <c r="D3172" t="s">
        <v>12576</v>
      </c>
      <c r="E3172" t="s">
        <v>8012</v>
      </c>
      <c r="F3172" t="s">
        <v>8013</v>
      </c>
      <c r="G3172" s="712">
        <v>0</v>
      </c>
      <c r="H3172">
        <v>0</v>
      </c>
      <c r="I3172" s="713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</row>
    <row r="3173" spans="1:16">
      <c r="A3173">
        <v>5</v>
      </c>
      <c r="B3173" t="s">
        <v>12507</v>
      </c>
      <c r="C3173" t="s">
        <v>12553</v>
      </c>
      <c r="D3173" t="s">
        <v>12576</v>
      </c>
      <c r="E3173" t="s">
        <v>8014</v>
      </c>
      <c r="F3173" t="s">
        <v>8015</v>
      </c>
      <c r="G3173" s="712">
        <v>0</v>
      </c>
      <c r="H3173">
        <v>0</v>
      </c>
      <c r="I3173" s="713">
        <v>0</v>
      </c>
      <c r="J3173" s="711">
        <v>1061794.2</v>
      </c>
      <c r="K3173" s="711">
        <v>157290.31</v>
      </c>
      <c r="L3173">
        <v>0</v>
      </c>
      <c r="M3173">
        <v>0</v>
      </c>
      <c r="N3173" s="711">
        <v>1061794.2</v>
      </c>
      <c r="O3173" s="711">
        <v>157290.31</v>
      </c>
      <c r="P3173" s="711">
        <v>904503.89</v>
      </c>
    </row>
    <row r="3174" spans="1:16">
      <c r="A3174">
        <v>5</v>
      </c>
      <c r="B3174" t="s">
        <v>12507</v>
      </c>
      <c r="C3174" t="s">
        <v>12553</v>
      </c>
      <c r="D3174" t="s">
        <v>12576</v>
      </c>
      <c r="E3174" t="s">
        <v>8016</v>
      </c>
      <c r="F3174" t="s">
        <v>8017</v>
      </c>
      <c r="G3174" s="712">
        <v>0</v>
      </c>
      <c r="H3174">
        <v>0</v>
      </c>
      <c r="I3174" s="713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</row>
    <row r="3175" spans="1:16">
      <c r="A3175">
        <v>5</v>
      </c>
      <c r="B3175" t="s">
        <v>12507</v>
      </c>
      <c r="C3175" t="s">
        <v>12553</v>
      </c>
      <c r="D3175" t="s">
        <v>12576</v>
      </c>
      <c r="E3175" t="s">
        <v>8018</v>
      </c>
      <c r="F3175" t="s">
        <v>8019</v>
      </c>
      <c r="G3175" s="712">
        <v>0</v>
      </c>
      <c r="H3175">
        <v>0</v>
      </c>
      <c r="I3175" s="713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</row>
    <row r="3176" spans="1:16">
      <c r="A3176">
        <v>5</v>
      </c>
      <c r="B3176" t="s">
        <v>12507</v>
      </c>
      <c r="C3176" t="s">
        <v>12553</v>
      </c>
      <c r="D3176" t="s">
        <v>12576</v>
      </c>
      <c r="E3176" t="s">
        <v>8020</v>
      </c>
      <c r="F3176" t="s">
        <v>8021</v>
      </c>
      <c r="G3176" s="712">
        <v>0</v>
      </c>
      <c r="H3176">
        <v>0</v>
      </c>
      <c r="I3176" s="713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</row>
    <row r="3177" spans="1:16">
      <c r="A3177">
        <v>5</v>
      </c>
      <c r="B3177" t="s">
        <v>12507</v>
      </c>
      <c r="C3177" t="s">
        <v>12553</v>
      </c>
      <c r="D3177" t="s">
        <v>12576</v>
      </c>
      <c r="E3177" t="s">
        <v>8022</v>
      </c>
      <c r="F3177" t="s">
        <v>8023</v>
      </c>
      <c r="G3177" s="712">
        <v>0</v>
      </c>
      <c r="H3177">
        <v>0</v>
      </c>
      <c r="I3177" s="713">
        <v>0</v>
      </c>
      <c r="J3177" s="711">
        <v>197970.46</v>
      </c>
      <c r="K3177">
        <v>0</v>
      </c>
      <c r="L3177">
        <v>0</v>
      </c>
      <c r="M3177">
        <v>0</v>
      </c>
      <c r="N3177" s="711">
        <v>197970.46</v>
      </c>
      <c r="O3177">
        <v>0</v>
      </c>
      <c r="P3177" s="711">
        <v>197970.46</v>
      </c>
    </row>
    <row r="3178" spans="1:16">
      <c r="A3178">
        <v>5</v>
      </c>
      <c r="B3178" t="s">
        <v>12507</v>
      </c>
      <c r="C3178" t="s">
        <v>12553</v>
      </c>
      <c r="D3178" t="s">
        <v>12576</v>
      </c>
      <c r="E3178" t="s">
        <v>8024</v>
      </c>
      <c r="F3178" t="s">
        <v>8025</v>
      </c>
      <c r="G3178" s="712">
        <v>0</v>
      </c>
      <c r="H3178">
        <v>0</v>
      </c>
      <c r="I3178" s="713">
        <v>0</v>
      </c>
      <c r="J3178">
        <v>37.06</v>
      </c>
      <c r="K3178">
        <v>0</v>
      </c>
      <c r="L3178">
        <v>0</v>
      </c>
      <c r="M3178">
        <v>0</v>
      </c>
      <c r="N3178">
        <v>37.06</v>
      </c>
      <c r="O3178">
        <v>0</v>
      </c>
      <c r="P3178">
        <v>37.06</v>
      </c>
    </row>
    <row r="3179" spans="1:16">
      <c r="A3179">
        <v>5</v>
      </c>
      <c r="B3179" t="s">
        <v>12507</v>
      </c>
      <c r="C3179" t="s">
        <v>12553</v>
      </c>
      <c r="D3179" t="s">
        <v>12576</v>
      </c>
      <c r="E3179" t="s">
        <v>8026</v>
      </c>
      <c r="F3179" t="s">
        <v>8027</v>
      </c>
      <c r="G3179" s="712">
        <v>0</v>
      </c>
      <c r="H3179">
        <v>0</v>
      </c>
      <c r="I3179" s="713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</row>
    <row r="3180" spans="1:16">
      <c r="A3180">
        <v>5</v>
      </c>
      <c r="B3180" t="s">
        <v>12507</v>
      </c>
      <c r="C3180" t="s">
        <v>12553</v>
      </c>
      <c r="D3180" t="s">
        <v>12576</v>
      </c>
      <c r="E3180" t="s">
        <v>8028</v>
      </c>
      <c r="F3180" t="s">
        <v>8029</v>
      </c>
      <c r="G3180" s="712">
        <v>0</v>
      </c>
      <c r="H3180">
        <v>0</v>
      </c>
      <c r="I3180" s="713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</row>
    <row r="3181" spans="1:16">
      <c r="A3181">
        <v>5</v>
      </c>
      <c r="B3181" t="s">
        <v>12507</v>
      </c>
      <c r="C3181" t="s">
        <v>12553</v>
      </c>
      <c r="D3181" t="s">
        <v>12576</v>
      </c>
      <c r="E3181" t="s">
        <v>8030</v>
      </c>
      <c r="F3181" t="s">
        <v>8031</v>
      </c>
      <c r="G3181" s="712">
        <v>0</v>
      </c>
      <c r="H3181">
        <v>0</v>
      </c>
      <c r="I3181" s="713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</row>
    <row r="3182" spans="1:16">
      <c r="A3182">
        <v>5</v>
      </c>
      <c r="B3182" t="s">
        <v>12507</v>
      </c>
      <c r="C3182" t="s">
        <v>12553</v>
      </c>
      <c r="D3182" t="s">
        <v>12576</v>
      </c>
      <c r="E3182" t="s">
        <v>8032</v>
      </c>
      <c r="F3182" t="s">
        <v>8033</v>
      </c>
      <c r="G3182" s="712">
        <v>0</v>
      </c>
      <c r="H3182">
        <v>0</v>
      </c>
      <c r="I3182" s="713">
        <v>0</v>
      </c>
      <c r="J3182" s="711">
        <v>715656.47</v>
      </c>
      <c r="K3182">
        <v>0</v>
      </c>
      <c r="L3182">
        <v>0</v>
      </c>
      <c r="M3182">
        <v>0</v>
      </c>
      <c r="N3182" s="711">
        <v>715656.47</v>
      </c>
      <c r="O3182">
        <v>0</v>
      </c>
      <c r="P3182" s="711">
        <v>715656.47</v>
      </c>
    </row>
    <row r="3183" spans="1:16">
      <c r="A3183">
        <v>5</v>
      </c>
      <c r="B3183" t="s">
        <v>12507</v>
      </c>
      <c r="C3183" t="s">
        <v>12553</v>
      </c>
      <c r="D3183" t="s">
        <v>12576</v>
      </c>
      <c r="E3183" t="s">
        <v>8034</v>
      </c>
      <c r="F3183" t="s">
        <v>8035</v>
      </c>
      <c r="G3183" s="712">
        <v>0</v>
      </c>
      <c r="H3183">
        <v>0</v>
      </c>
      <c r="I3183" s="71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</row>
    <row r="3184" spans="1:16">
      <c r="A3184">
        <v>5</v>
      </c>
      <c r="B3184" t="s">
        <v>12507</v>
      </c>
      <c r="C3184" t="s">
        <v>12553</v>
      </c>
      <c r="D3184" t="s">
        <v>12576</v>
      </c>
      <c r="E3184" t="s">
        <v>8036</v>
      </c>
      <c r="F3184" t="s">
        <v>8037</v>
      </c>
      <c r="G3184" s="712">
        <v>0</v>
      </c>
      <c r="H3184">
        <v>0</v>
      </c>
      <c r="I3184" s="713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</row>
    <row r="3185" spans="1:16">
      <c r="A3185">
        <v>5</v>
      </c>
      <c r="B3185" t="s">
        <v>12507</v>
      </c>
      <c r="C3185" t="s">
        <v>12553</v>
      </c>
      <c r="D3185" t="s">
        <v>12576</v>
      </c>
      <c r="E3185" t="s">
        <v>8038</v>
      </c>
      <c r="F3185" t="s">
        <v>8039</v>
      </c>
      <c r="G3185" s="712">
        <v>0</v>
      </c>
      <c r="H3185">
        <v>0</v>
      </c>
      <c r="I3185" s="713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</row>
    <row r="3186" spans="1:16">
      <c r="A3186">
        <v>5</v>
      </c>
      <c r="B3186" t="s">
        <v>12507</v>
      </c>
      <c r="C3186" t="s">
        <v>12553</v>
      </c>
      <c r="D3186" t="s">
        <v>12576</v>
      </c>
      <c r="E3186" t="s">
        <v>8040</v>
      </c>
      <c r="F3186" t="s">
        <v>8041</v>
      </c>
      <c r="G3186" s="712">
        <v>0</v>
      </c>
      <c r="H3186">
        <v>0</v>
      </c>
      <c r="I3186" s="713">
        <v>0</v>
      </c>
      <c r="J3186" s="711">
        <v>113564.06</v>
      </c>
      <c r="K3186" s="711">
        <v>46136.800000000003</v>
      </c>
      <c r="L3186">
        <v>0</v>
      </c>
      <c r="M3186">
        <v>0</v>
      </c>
      <c r="N3186" s="711">
        <v>113564.06</v>
      </c>
      <c r="O3186" s="711">
        <v>46136.800000000003</v>
      </c>
      <c r="P3186" s="711">
        <v>67427.259999999995</v>
      </c>
    </row>
    <row r="3187" spans="1:16">
      <c r="A3187">
        <v>5</v>
      </c>
      <c r="B3187" t="s">
        <v>12507</v>
      </c>
      <c r="C3187" t="s">
        <v>12553</v>
      </c>
      <c r="D3187" t="s">
        <v>12576</v>
      </c>
      <c r="E3187" t="s">
        <v>8042</v>
      </c>
      <c r="F3187" t="s">
        <v>8043</v>
      </c>
      <c r="G3187" s="712">
        <v>0</v>
      </c>
      <c r="H3187">
        <v>0</v>
      </c>
      <c r="I3187" s="713">
        <v>0</v>
      </c>
      <c r="J3187">
        <v>2.14</v>
      </c>
      <c r="K3187">
        <v>0</v>
      </c>
      <c r="L3187">
        <v>0</v>
      </c>
      <c r="M3187">
        <v>0</v>
      </c>
      <c r="N3187">
        <v>2.14</v>
      </c>
      <c r="O3187">
        <v>0</v>
      </c>
      <c r="P3187">
        <v>2.14</v>
      </c>
    </row>
    <row r="3188" spans="1:16" ht="15.75" thickBot="1">
      <c r="A3188">
        <v>5</v>
      </c>
      <c r="B3188" t="s">
        <v>12507</v>
      </c>
      <c r="C3188" t="s">
        <v>12553</v>
      </c>
      <c r="D3188" t="s">
        <v>12576</v>
      </c>
      <c r="E3188" t="s">
        <v>8044</v>
      </c>
      <c r="F3188" t="s">
        <v>8045</v>
      </c>
      <c r="G3188" s="712">
        <v>0</v>
      </c>
      <c r="H3188">
        <v>0</v>
      </c>
      <c r="I3188" s="713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</row>
    <row r="3189" spans="1:16" ht="15.75" thickBot="1">
      <c r="A3189" s="727">
        <v>5</v>
      </c>
      <c r="B3189" s="727" t="s">
        <v>12507</v>
      </c>
      <c r="C3189" s="727" t="s">
        <v>12553</v>
      </c>
      <c r="D3189" s="727" t="s">
        <v>12578</v>
      </c>
      <c r="E3189" s="727"/>
      <c r="F3189" s="729" t="s">
        <v>12579</v>
      </c>
      <c r="G3189" s="738">
        <v>0</v>
      </c>
      <c r="H3189" s="738">
        <v>0</v>
      </c>
      <c r="I3189" s="738">
        <v>0</v>
      </c>
      <c r="J3189" s="739">
        <v>110644.91</v>
      </c>
      <c r="K3189" s="738">
        <v>0</v>
      </c>
      <c r="L3189" s="738">
        <v>0</v>
      </c>
      <c r="M3189" s="738">
        <v>0</v>
      </c>
      <c r="N3189" s="739">
        <v>110644.91</v>
      </c>
      <c r="O3189" s="738">
        <v>0</v>
      </c>
      <c r="P3189" s="739">
        <v>110644.91</v>
      </c>
    </row>
    <row r="3190" spans="1:16">
      <c r="A3190">
        <v>5</v>
      </c>
      <c r="B3190" t="s">
        <v>12507</v>
      </c>
      <c r="C3190" t="s">
        <v>12553</v>
      </c>
      <c r="D3190" t="s">
        <v>12578</v>
      </c>
      <c r="E3190" t="s">
        <v>8050</v>
      </c>
      <c r="F3190" t="s">
        <v>8051</v>
      </c>
      <c r="G3190" s="712">
        <v>0</v>
      </c>
      <c r="H3190">
        <v>0</v>
      </c>
      <c r="I3190" s="713">
        <v>0</v>
      </c>
      <c r="J3190" s="711">
        <v>75000</v>
      </c>
      <c r="K3190">
        <v>0</v>
      </c>
      <c r="L3190">
        <v>0</v>
      </c>
      <c r="M3190">
        <v>0</v>
      </c>
      <c r="N3190" s="711">
        <v>75000</v>
      </c>
      <c r="O3190">
        <v>0</v>
      </c>
      <c r="P3190" s="711">
        <v>75000</v>
      </c>
    </row>
    <row r="3191" spans="1:16">
      <c r="A3191">
        <v>5</v>
      </c>
      <c r="B3191" t="s">
        <v>12507</v>
      </c>
      <c r="C3191" t="s">
        <v>12553</v>
      </c>
      <c r="D3191" t="s">
        <v>12578</v>
      </c>
      <c r="E3191" t="s">
        <v>8054</v>
      </c>
      <c r="F3191" t="s">
        <v>8055</v>
      </c>
      <c r="G3191" s="712">
        <v>0</v>
      </c>
      <c r="H3191">
        <v>0</v>
      </c>
      <c r="I3191" s="713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</row>
    <row r="3192" spans="1:16">
      <c r="A3192">
        <v>5</v>
      </c>
      <c r="B3192" t="s">
        <v>12507</v>
      </c>
      <c r="C3192" t="s">
        <v>12553</v>
      </c>
      <c r="D3192" t="s">
        <v>12578</v>
      </c>
      <c r="E3192" t="s">
        <v>8056</v>
      </c>
      <c r="F3192" t="s">
        <v>8057</v>
      </c>
      <c r="G3192" s="712">
        <v>0</v>
      </c>
      <c r="H3192">
        <v>0</v>
      </c>
      <c r="I3192" s="713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</row>
    <row r="3193" spans="1:16">
      <c r="A3193">
        <v>5</v>
      </c>
      <c r="B3193" t="s">
        <v>12507</v>
      </c>
      <c r="C3193" t="s">
        <v>12553</v>
      </c>
      <c r="D3193" t="s">
        <v>12578</v>
      </c>
      <c r="E3193" t="s">
        <v>8058</v>
      </c>
      <c r="F3193" t="s">
        <v>8059</v>
      </c>
      <c r="G3193" s="712" t="s">
        <v>12580</v>
      </c>
      <c r="H3193">
        <v>0</v>
      </c>
      <c r="I3193" s="71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</row>
    <row r="3194" spans="1:16">
      <c r="A3194">
        <v>5</v>
      </c>
      <c r="B3194" t="s">
        <v>12507</v>
      </c>
      <c r="C3194" t="s">
        <v>12553</v>
      </c>
      <c r="D3194" t="s">
        <v>12578</v>
      </c>
      <c r="E3194" t="s">
        <v>8060</v>
      </c>
      <c r="F3194" t="s">
        <v>8061</v>
      </c>
      <c r="G3194" s="712">
        <v>0</v>
      </c>
      <c r="H3194">
        <v>0</v>
      </c>
      <c r="I3194" s="713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</row>
    <row r="3195" spans="1:16">
      <c r="A3195">
        <v>5</v>
      </c>
      <c r="B3195" t="s">
        <v>12507</v>
      </c>
      <c r="C3195" t="s">
        <v>12553</v>
      </c>
      <c r="D3195" t="s">
        <v>12578</v>
      </c>
      <c r="E3195" t="s">
        <v>8062</v>
      </c>
      <c r="F3195" t="s">
        <v>8063</v>
      </c>
      <c r="G3195" s="712">
        <v>0</v>
      </c>
      <c r="H3195">
        <v>0</v>
      </c>
      <c r="I3195" s="713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</row>
    <row r="3196" spans="1:16">
      <c r="A3196">
        <v>5</v>
      </c>
      <c r="B3196" t="s">
        <v>12507</v>
      </c>
      <c r="C3196" t="s">
        <v>12553</v>
      </c>
      <c r="D3196" t="s">
        <v>12578</v>
      </c>
      <c r="E3196" t="s">
        <v>8064</v>
      </c>
      <c r="F3196" t="s">
        <v>8065</v>
      </c>
      <c r="G3196" s="712">
        <v>0</v>
      </c>
      <c r="H3196">
        <v>0</v>
      </c>
      <c r="I3196" s="713">
        <v>0</v>
      </c>
      <c r="J3196" s="711">
        <v>35644.910000000003</v>
      </c>
      <c r="K3196">
        <v>0</v>
      </c>
      <c r="L3196">
        <v>0</v>
      </c>
      <c r="M3196">
        <v>0</v>
      </c>
      <c r="N3196" s="711">
        <v>35644.910000000003</v>
      </c>
      <c r="O3196">
        <v>0</v>
      </c>
      <c r="P3196" s="711">
        <v>35644.910000000003</v>
      </c>
    </row>
    <row r="3197" spans="1:16">
      <c r="A3197">
        <v>5</v>
      </c>
      <c r="B3197" t="s">
        <v>12507</v>
      </c>
      <c r="C3197" t="s">
        <v>12553</v>
      </c>
      <c r="D3197" t="s">
        <v>12578</v>
      </c>
      <c r="E3197" t="s">
        <v>8068</v>
      </c>
      <c r="F3197" t="s">
        <v>8069</v>
      </c>
      <c r="G3197" s="712">
        <v>0</v>
      </c>
      <c r="H3197">
        <v>0</v>
      </c>
      <c r="I3197" s="713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</row>
    <row r="3198" spans="1:16">
      <c r="A3198">
        <v>5</v>
      </c>
      <c r="B3198" t="s">
        <v>12507</v>
      </c>
      <c r="C3198" t="s">
        <v>12553</v>
      </c>
      <c r="D3198" t="s">
        <v>12578</v>
      </c>
      <c r="E3198" t="s">
        <v>8070</v>
      </c>
      <c r="F3198" t="s">
        <v>8071</v>
      </c>
      <c r="G3198" s="712">
        <v>0</v>
      </c>
      <c r="H3198">
        <v>0</v>
      </c>
      <c r="I3198" s="713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</row>
    <row r="3199" spans="1:16">
      <c r="A3199">
        <v>5</v>
      </c>
      <c r="B3199" t="s">
        <v>12507</v>
      </c>
      <c r="C3199" t="s">
        <v>12553</v>
      </c>
      <c r="D3199" t="s">
        <v>12578</v>
      </c>
      <c r="E3199" t="s">
        <v>8072</v>
      </c>
      <c r="F3199" t="s">
        <v>8073</v>
      </c>
      <c r="G3199" s="712">
        <v>0</v>
      </c>
      <c r="H3199">
        <v>0</v>
      </c>
      <c r="I3199" s="713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</row>
    <row r="3200" spans="1:16">
      <c r="A3200">
        <v>5</v>
      </c>
      <c r="B3200" t="s">
        <v>12507</v>
      </c>
      <c r="C3200" t="s">
        <v>12553</v>
      </c>
      <c r="D3200" t="s">
        <v>12578</v>
      </c>
      <c r="E3200" t="s">
        <v>8074</v>
      </c>
      <c r="F3200" t="s">
        <v>8075</v>
      </c>
      <c r="G3200" s="712">
        <v>0</v>
      </c>
      <c r="H3200">
        <v>0</v>
      </c>
      <c r="I3200" s="713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</row>
    <row r="3201" spans="1:16">
      <c r="A3201">
        <v>5</v>
      </c>
      <c r="B3201" t="s">
        <v>12507</v>
      </c>
      <c r="C3201" t="s">
        <v>12553</v>
      </c>
      <c r="D3201" t="s">
        <v>12578</v>
      </c>
      <c r="E3201" t="s">
        <v>8076</v>
      </c>
      <c r="F3201" t="s">
        <v>8077</v>
      </c>
      <c r="G3201" s="712">
        <v>0</v>
      </c>
      <c r="H3201">
        <v>0</v>
      </c>
      <c r="I3201" s="713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</row>
    <row r="3202" spans="1:16">
      <c r="A3202">
        <v>5</v>
      </c>
      <c r="B3202" t="s">
        <v>12507</v>
      </c>
      <c r="C3202" t="s">
        <v>12553</v>
      </c>
      <c r="D3202" t="s">
        <v>12578</v>
      </c>
      <c r="E3202" t="s">
        <v>8078</v>
      </c>
      <c r="F3202" t="s">
        <v>8079</v>
      </c>
      <c r="G3202" s="712">
        <v>0</v>
      </c>
      <c r="H3202">
        <v>0</v>
      </c>
      <c r="I3202" s="713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</row>
    <row r="3203" spans="1:16">
      <c r="A3203">
        <v>5</v>
      </c>
      <c r="B3203" t="s">
        <v>12507</v>
      </c>
      <c r="C3203" t="s">
        <v>12553</v>
      </c>
      <c r="D3203" t="s">
        <v>12578</v>
      </c>
      <c r="E3203" t="s">
        <v>8080</v>
      </c>
      <c r="F3203" t="s">
        <v>8081</v>
      </c>
      <c r="G3203" s="712">
        <v>0</v>
      </c>
      <c r="H3203">
        <v>0</v>
      </c>
      <c r="I3203" s="71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</row>
    <row r="3204" spans="1:16">
      <c r="A3204">
        <v>5</v>
      </c>
      <c r="B3204" t="s">
        <v>12507</v>
      </c>
      <c r="C3204" t="s">
        <v>12553</v>
      </c>
      <c r="D3204" t="s">
        <v>12578</v>
      </c>
      <c r="E3204" t="s">
        <v>8082</v>
      </c>
      <c r="F3204" t="s">
        <v>8083</v>
      </c>
      <c r="G3204" s="712">
        <v>0</v>
      </c>
      <c r="H3204">
        <v>0</v>
      </c>
      <c r="I3204" s="713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</row>
    <row r="3205" spans="1:16">
      <c r="A3205">
        <v>5</v>
      </c>
      <c r="B3205" t="s">
        <v>12507</v>
      </c>
      <c r="C3205" t="s">
        <v>12553</v>
      </c>
      <c r="D3205" t="s">
        <v>12578</v>
      </c>
      <c r="E3205" t="s">
        <v>8084</v>
      </c>
      <c r="F3205" t="s">
        <v>8085</v>
      </c>
      <c r="G3205" s="712">
        <v>0</v>
      </c>
      <c r="H3205">
        <v>0</v>
      </c>
      <c r="I3205" s="713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</row>
    <row r="3206" spans="1:16">
      <c r="A3206">
        <v>5</v>
      </c>
      <c r="B3206" t="s">
        <v>12507</v>
      </c>
      <c r="C3206" t="s">
        <v>12553</v>
      </c>
      <c r="D3206" t="s">
        <v>12578</v>
      </c>
      <c r="E3206" t="s">
        <v>8086</v>
      </c>
      <c r="F3206" t="s">
        <v>8087</v>
      </c>
      <c r="G3206" s="712">
        <v>0</v>
      </c>
      <c r="H3206">
        <v>0</v>
      </c>
      <c r="I3206" s="713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</row>
    <row r="3207" spans="1:16">
      <c r="A3207">
        <v>5</v>
      </c>
      <c r="B3207" t="s">
        <v>12507</v>
      </c>
      <c r="C3207" t="s">
        <v>12553</v>
      </c>
      <c r="D3207" t="s">
        <v>12578</v>
      </c>
      <c r="E3207" t="s">
        <v>8088</v>
      </c>
      <c r="F3207" t="s">
        <v>8089</v>
      </c>
      <c r="G3207" s="712">
        <v>0</v>
      </c>
      <c r="H3207">
        <v>0</v>
      </c>
      <c r="I3207" s="713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</row>
    <row r="3208" spans="1:16">
      <c r="A3208">
        <v>5</v>
      </c>
      <c r="B3208" t="s">
        <v>12507</v>
      </c>
      <c r="C3208" t="s">
        <v>12553</v>
      </c>
      <c r="D3208" t="s">
        <v>12578</v>
      </c>
      <c r="E3208" t="s">
        <v>8090</v>
      </c>
      <c r="F3208" t="s">
        <v>8091</v>
      </c>
      <c r="G3208" s="712">
        <v>0</v>
      </c>
      <c r="H3208">
        <v>0</v>
      </c>
      <c r="I3208" s="713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</row>
    <row r="3209" spans="1:16" ht="15.75" thickBot="1">
      <c r="A3209">
        <v>5</v>
      </c>
      <c r="B3209" t="s">
        <v>12507</v>
      </c>
      <c r="C3209" t="s">
        <v>12553</v>
      </c>
      <c r="D3209" t="s">
        <v>12578</v>
      </c>
      <c r="E3209" t="s">
        <v>8092</v>
      </c>
      <c r="F3209" t="s">
        <v>8093</v>
      </c>
      <c r="G3209" s="712">
        <v>0</v>
      </c>
      <c r="H3209">
        <v>0</v>
      </c>
      <c r="I3209" s="713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</row>
    <row r="3210" spans="1:16" ht="15.75" thickBot="1">
      <c r="A3210" s="727">
        <v>5</v>
      </c>
      <c r="B3210" s="727" t="s">
        <v>12581</v>
      </c>
      <c r="C3210" s="727"/>
      <c r="D3210" s="727"/>
      <c r="E3210" s="727"/>
      <c r="F3210" s="745" t="s">
        <v>12582</v>
      </c>
      <c r="G3210" s="738">
        <v>0</v>
      </c>
      <c r="H3210" s="738">
        <v>0</v>
      </c>
      <c r="I3210" s="738">
        <v>0</v>
      </c>
      <c r="J3210" s="739">
        <v>6960632.2800000003</v>
      </c>
      <c r="K3210" s="739">
        <v>230765.03</v>
      </c>
      <c r="L3210" s="738">
        <v>0</v>
      </c>
      <c r="M3210" s="738">
        <v>0</v>
      </c>
      <c r="N3210" s="739">
        <v>6960632.2800000003</v>
      </c>
      <c r="O3210" s="739">
        <v>230765.03</v>
      </c>
      <c r="P3210" s="739">
        <v>6729867.25</v>
      </c>
    </row>
    <row r="3211" spans="1:16" ht="15.75" thickBot="1">
      <c r="A3211" s="727">
        <v>5</v>
      </c>
      <c r="B3211" s="727" t="s">
        <v>12581</v>
      </c>
      <c r="C3211" s="727" t="s">
        <v>12583</v>
      </c>
      <c r="D3211" s="727"/>
      <c r="E3211" s="727"/>
      <c r="F3211" s="745" t="s">
        <v>12584</v>
      </c>
      <c r="G3211" s="738">
        <v>0</v>
      </c>
      <c r="H3211" s="738">
        <v>0</v>
      </c>
      <c r="I3211" s="738">
        <v>0</v>
      </c>
      <c r="J3211" s="739">
        <v>212556.79</v>
      </c>
      <c r="K3211" s="738">
        <v>0</v>
      </c>
      <c r="L3211" s="738">
        <v>0</v>
      </c>
      <c r="M3211" s="738">
        <v>0</v>
      </c>
      <c r="N3211" s="739">
        <v>212556.79</v>
      </c>
      <c r="O3211" s="738">
        <v>0</v>
      </c>
      <c r="P3211" s="739">
        <v>212556.79</v>
      </c>
    </row>
    <row r="3212" spans="1:16" ht="15.75" thickBot="1">
      <c r="A3212" s="727">
        <v>5</v>
      </c>
      <c r="B3212" s="727" t="s">
        <v>12581</v>
      </c>
      <c r="C3212" s="727" t="s">
        <v>12583</v>
      </c>
      <c r="D3212" s="727" t="s">
        <v>12585</v>
      </c>
      <c r="E3212" s="727"/>
      <c r="F3212" s="729" t="s">
        <v>12584</v>
      </c>
      <c r="G3212" s="738">
        <v>0</v>
      </c>
      <c r="H3212" s="738">
        <v>0</v>
      </c>
      <c r="I3212" s="738">
        <v>0</v>
      </c>
      <c r="J3212" s="739">
        <v>212556.79</v>
      </c>
      <c r="K3212" s="738">
        <v>0</v>
      </c>
      <c r="L3212" s="738">
        <v>0</v>
      </c>
      <c r="M3212" s="738">
        <v>0</v>
      </c>
      <c r="N3212" s="739">
        <v>212556.79</v>
      </c>
      <c r="O3212" s="738">
        <v>0</v>
      </c>
      <c r="P3212" s="739">
        <v>212556.79</v>
      </c>
    </row>
    <row r="3213" spans="1:16">
      <c r="A3213">
        <v>5</v>
      </c>
      <c r="B3213" t="s">
        <v>12581</v>
      </c>
      <c r="C3213" t="s">
        <v>12583</v>
      </c>
      <c r="D3213" t="s">
        <v>12585</v>
      </c>
      <c r="E3213" t="s">
        <v>8099</v>
      </c>
      <c r="F3213" t="s">
        <v>8100</v>
      </c>
      <c r="G3213" s="712">
        <v>0</v>
      </c>
      <c r="H3213">
        <v>0</v>
      </c>
      <c r="I3213" s="713">
        <v>0</v>
      </c>
      <c r="J3213">
        <v>93.37</v>
      </c>
      <c r="K3213">
        <v>0</v>
      </c>
      <c r="L3213">
        <v>0</v>
      </c>
      <c r="M3213">
        <v>0</v>
      </c>
      <c r="N3213">
        <v>93.37</v>
      </c>
      <c r="O3213">
        <v>0</v>
      </c>
      <c r="P3213">
        <v>93.37</v>
      </c>
    </row>
    <row r="3214" spans="1:16">
      <c r="A3214">
        <v>5</v>
      </c>
      <c r="B3214" t="s">
        <v>12581</v>
      </c>
      <c r="C3214" t="s">
        <v>12583</v>
      </c>
      <c r="D3214" t="s">
        <v>12585</v>
      </c>
      <c r="E3214" t="s">
        <v>8102</v>
      </c>
      <c r="F3214" t="s">
        <v>8103</v>
      </c>
      <c r="G3214" s="712">
        <v>0</v>
      </c>
      <c r="H3214">
        <v>0</v>
      </c>
      <c r="I3214" s="713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</row>
    <row r="3215" spans="1:16">
      <c r="A3215">
        <v>5</v>
      </c>
      <c r="B3215" t="s">
        <v>12581</v>
      </c>
      <c r="C3215" t="s">
        <v>12583</v>
      </c>
      <c r="D3215" t="s">
        <v>12585</v>
      </c>
      <c r="E3215" t="s">
        <v>8105</v>
      </c>
      <c r="F3215" t="s">
        <v>8106</v>
      </c>
      <c r="G3215" s="712">
        <v>0</v>
      </c>
      <c r="H3215">
        <v>0</v>
      </c>
      <c r="I3215" s="713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</row>
    <row r="3216" spans="1:16" ht="15.75" thickBot="1">
      <c r="A3216">
        <v>5</v>
      </c>
      <c r="B3216" t="s">
        <v>12581</v>
      </c>
      <c r="C3216" t="s">
        <v>12583</v>
      </c>
      <c r="D3216" t="s">
        <v>12585</v>
      </c>
      <c r="E3216" t="s">
        <v>8108</v>
      </c>
      <c r="F3216" t="s">
        <v>8109</v>
      </c>
      <c r="G3216" s="712">
        <v>0</v>
      </c>
      <c r="H3216">
        <v>0</v>
      </c>
      <c r="I3216" s="713">
        <v>0</v>
      </c>
      <c r="J3216" s="711">
        <v>212463.42</v>
      </c>
      <c r="K3216">
        <v>0</v>
      </c>
      <c r="L3216">
        <v>0</v>
      </c>
      <c r="M3216">
        <v>0</v>
      </c>
      <c r="N3216" s="711">
        <v>212463.42</v>
      </c>
      <c r="O3216">
        <v>0</v>
      </c>
      <c r="P3216" s="711">
        <v>212463.42</v>
      </c>
    </row>
    <row r="3217" spans="1:16" ht="15.75" thickBot="1">
      <c r="A3217" s="727">
        <v>5</v>
      </c>
      <c r="B3217" s="727" t="s">
        <v>12581</v>
      </c>
      <c r="C3217" s="727" t="s">
        <v>12586</v>
      </c>
      <c r="D3217" s="727"/>
      <c r="E3217" s="727"/>
      <c r="F3217" s="745" t="s">
        <v>8119</v>
      </c>
      <c r="G3217" s="738">
        <v>0</v>
      </c>
      <c r="H3217" s="738">
        <v>0</v>
      </c>
      <c r="I3217" s="738">
        <v>0</v>
      </c>
      <c r="J3217" s="739">
        <v>2615905.54</v>
      </c>
      <c r="K3217" s="739">
        <v>201157.62</v>
      </c>
      <c r="L3217" s="738">
        <v>0</v>
      </c>
      <c r="M3217" s="738">
        <v>0</v>
      </c>
      <c r="N3217" s="739">
        <v>2615905.54</v>
      </c>
      <c r="O3217" s="739">
        <v>201157.62</v>
      </c>
      <c r="P3217" s="739">
        <v>2414747.92</v>
      </c>
    </row>
    <row r="3218" spans="1:16" ht="15.75" thickBot="1">
      <c r="A3218" s="727">
        <v>5</v>
      </c>
      <c r="B3218" s="727" t="s">
        <v>12581</v>
      </c>
      <c r="C3218" s="727" t="s">
        <v>12586</v>
      </c>
      <c r="D3218" s="727" t="s">
        <v>12587</v>
      </c>
      <c r="E3218" s="727"/>
      <c r="F3218" s="729" t="s">
        <v>8119</v>
      </c>
      <c r="G3218" s="738">
        <v>0</v>
      </c>
      <c r="H3218" s="738">
        <v>0</v>
      </c>
      <c r="I3218" s="738">
        <v>0</v>
      </c>
      <c r="J3218" s="739">
        <v>2615905.54</v>
      </c>
      <c r="K3218" s="739">
        <v>201157.62</v>
      </c>
      <c r="L3218" s="738">
        <v>0</v>
      </c>
      <c r="M3218" s="738">
        <v>0</v>
      </c>
      <c r="N3218" s="739">
        <v>2615905.54</v>
      </c>
      <c r="O3218" s="739">
        <v>201157.62</v>
      </c>
      <c r="P3218" s="739">
        <v>2414747.92</v>
      </c>
    </row>
    <row r="3219" spans="1:16">
      <c r="A3219">
        <v>5</v>
      </c>
      <c r="B3219" t="s">
        <v>12581</v>
      </c>
      <c r="C3219" t="s">
        <v>12586</v>
      </c>
      <c r="D3219" t="s">
        <v>12587</v>
      </c>
      <c r="E3219" t="s">
        <v>8116</v>
      </c>
      <c r="F3219" t="s">
        <v>8117</v>
      </c>
      <c r="G3219" s="712">
        <v>0</v>
      </c>
      <c r="H3219">
        <v>0</v>
      </c>
      <c r="I3219" s="713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</row>
    <row r="3220" spans="1:16">
      <c r="A3220">
        <v>5</v>
      </c>
      <c r="B3220" t="s">
        <v>12581</v>
      </c>
      <c r="C3220" t="s">
        <v>12586</v>
      </c>
      <c r="D3220" t="s">
        <v>12587</v>
      </c>
      <c r="E3220" t="s">
        <v>8118</v>
      </c>
      <c r="F3220" t="s">
        <v>8119</v>
      </c>
      <c r="G3220" s="712">
        <v>0</v>
      </c>
      <c r="H3220">
        <v>0</v>
      </c>
      <c r="I3220" s="713">
        <v>0</v>
      </c>
      <c r="J3220" s="711">
        <v>2615905.54</v>
      </c>
      <c r="K3220" s="711">
        <v>201157.62</v>
      </c>
      <c r="L3220">
        <v>0</v>
      </c>
      <c r="M3220">
        <v>0</v>
      </c>
      <c r="N3220" s="711">
        <v>2615905.54</v>
      </c>
      <c r="O3220" s="711">
        <v>201157.62</v>
      </c>
      <c r="P3220" s="711">
        <v>2414747.92</v>
      </c>
    </row>
    <row r="3221" spans="1:16">
      <c r="A3221">
        <v>5</v>
      </c>
      <c r="B3221" t="s">
        <v>12581</v>
      </c>
      <c r="C3221" t="s">
        <v>12586</v>
      </c>
      <c r="D3221" t="s">
        <v>12587</v>
      </c>
      <c r="E3221" t="s">
        <v>8122</v>
      </c>
      <c r="F3221" t="s">
        <v>8123</v>
      </c>
      <c r="G3221" s="712">
        <v>0</v>
      </c>
      <c r="H3221">
        <v>0</v>
      </c>
      <c r="I3221" s="713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</row>
    <row r="3222" spans="1:16">
      <c r="A3222">
        <v>5</v>
      </c>
      <c r="B3222" t="s">
        <v>12581</v>
      </c>
      <c r="C3222" t="s">
        <v>12586</v>
      </c>
      <c r="D3222" t="s">
        <v>12587</v>
      </c>
      <c r="E3222" t="s">
        <v>8125</v>
      </c>
      <c r="F3222" t="s">
        <v>8126</v>
      </c>
      <c r="G3222" s="712">
        <v>0</v>
      </c>
      <c r="H3222">
        <v>0</v>
      </c>
      <c r="I3222" s="713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</row>
    <row r="3223" spans="1:16" ht="15.75" thickBot="1">
      <c r="A3223">
        <v>5</v>
      </c>
      <c r="B3223" t="s">
        <v>12581</v>
      </c>
      <c r="C3223" t="s">
        <v>12586</v>
      </c>
      <c r="D3223" t="s">
        <v>12587</v>
      </c>
      <c r="E3223" t="s">
        <v>8127</v>
      </c>
      <c r="F3223" t="s">
        <v>8128</v>
      </c>
      <c r="G3223" s="712">
        <v>0</v>
      </c>
      <c r="H3223">
        <v>0</v>
      </c>
      <c r="I3223" s="71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</row>
    <row r="3224" spans="1:16" ht="15.75" thickBot="1">
      <c r="A3224" s="727">
        <v>5</v>
      </c>
      <c r="B3224" s="727" t="s">
        <v>12581</v>
      </c>
      <c r="C3224" s="727" t="s">
        <v>12588</v>
      </c>
      <c r="D3224" s="727"/>
      <c r="E3224" s="727"/>
      <c r="F3224" s="745" t="s">
        <v>12589</v>
      </c>
      <c r="G3224" s="738">
        <v>0</v>
      </c>
      <c r="H3224" s="738">
        <v>0</v>
      </c>
      <c r="I3224" s="738">
        <v>0</v>
      </c>
      <c r="J3224" s="739">
        <v>4126724.77</v>
      </c>
      <c r="K3224" s="739">
        <v>29607.41</v>
      </c>
      <c r="L3224" s="738">
        <v>0</v>
      </c>
      <c r="M3224" s="738">
        <v>0</v>
      </c>
      <c r="N3224" s="739">
        <v>4126724.77</v>
      </c>
      <c r="O3224" s="739">
        <v>29607.41</v>
      </c>
      <c r="P3224" s="739">
        <v>4097117.36</v>
      </c>
    </row>
    <row r="3225" spans="1:16" ht="15.75" thickBot="1">
      <c r="A3225" s="727">
        <v>5</v>
      </c>
      <c r="B3225" s="727" t="s">
        <v>12581</v>
      </c>
      <c r="C3225" s="727" t="s">
        <v>12588</v>
      </c>
      <c r="D3225" s="727" t="s">
        <v>12590</v>
      </c>
      <c r="E3225" s="727"/>
      <c r="F3225" s="729" t="s">
        <v>12589</v>
      </c>
      <c r="G3225" s="738">
        <v>0</v>
      </c>
      <c r="H3225" s="738">
        <v>0</v>
      </c>
      <c r="I3225" s="738">
        <v>0</v>
      </c>
      <c r="J3225" s="739">
        <v>4126724.77</v>
      </c>
      <c r="K3225" s="739">
        <v>29607.41</v>
      </c>
      <c r="L3225" s="738">
        <v>0</v>
      </c>
      <c r="M3225" s="738">
        <v>0</v>
      </c>
      <c r="N3225" s="739">
        <v>4126724.77</v>
      </c>
      <c r="O3225" s="739">
        <v>29607.41</v>
      </c>
      <c r="P3225" s="739">
        <v>4097117.36</v>
      </c>
    </row>
    <row r="3226" spans="1:16">
      <c r="A3226">
        <v>5</v>
      </c>
      <c r="B3226" t="s">
        <v>12581</v>
      </c>
      <c r="C3226" t="s">
        <v>12588</v>
      </c>
      <c r="D3226" t="s">
        <v>12590</v>
      </c>
      <c r="E3226" t="s">
        <v>8131</v>
      </c>
      <c r="F3226" t="s">
        <v>8132</v>
      </c>
      <c r="G3226" s="712">
        <v>0</v>
      </c>
      <c r="H3226">
        <v>0</v>
      </c>
      <c r="I3226" s="713">
        <v>0</v>
      </c>
      <c r="J3226" s="711">
        <v>4126724.77</v>
      </c>
      <c r="K3226" s="711">
        <v>29607.41</v>
      </c>
      <c r="L3226">
        <v>0</v>
      </c>
      <c r="M3226">
        <v>0</v>
      </c>
      <c r="N3226" s="711">
        <v>4126724.77</v>
      </c>
      <c r="O3226" s="711">
        <v>29607.41</v>
      </c>
      <c r="P3226" s="711">
        <v>4097117.36</v>
      </c>
    </row>
    <row r="3227" spans="1:16">
      <c r="A3227">
        <v>5</v>
      </c>
      <c r="B3227" t="s">
        <v>12581</v>
      </c>
      <c r="C3227" t="s">
        <v>12588</v>
      </c>
      <c r="D3227" t="s">
        <v>12590</v>
      </c>
      <c r="E3227" t="s">
        <v>8133</v>
      </c>
      <c r="F3227" t="s">
        <v>8134</v>
      </c>
      <c r="G3227" s="712">
        <v>0</v>
      </c>
      <c r="H3227">
        <v>0</v>
      </c>
      <c r="I3227" s="713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</row>
    <row r="3228" spans="1:16">
      <c r="A3228">
        <v>5</v>
      </c>
      <c r="B3228" t="s">
        <v>12581</v>
      </c>
      <c r="C3228" t="s">
        <v>12588</v>
      </c>
      <c r="D3228" t="s">
        <v>12590</v>
      </c>
      <c r="E3228" t="s">
        <v>8135</v>
      </c>
      <c r="F3228" t="s">
        <v>8136</v>
      </c>
      <c r="G3228" s="712">
        <v>0</v>
      </c>
      <c r="H3228">
        <v>0</v>
      </c>
      <c r="I3228" s="713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</row>
    <row r="3229" spans="1:16">
      <c r="A3229">
        <v>5</v>
      </c>
      <c r="B3229" t="s">
        <v>12581</v>
      </c>
      <c r="C3229" t="s">
        <v>12588</v>
      </c>
      <c r="D3229" t="s">
        <v>12590</v>
      </c>
      <c r="E3229" t="s">
        <v>8137</v>
      </c>
      <c r="F3229" t="s">
        <v>8138</v>
      </c>
      <c r="G3229" s="712">
        <v>0</v>
      </c>
      <c r="H3229">
        <v>0</v>
      </c>
      <c r="I3229" s="713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</row>
    <row r="3230" spans="1:16" ht="15.75" thickBot="1">
      <c r="A3230">
        <v>5</v>
      </c>
      <c r="B3230" t="s">
        <v>12581</v>
      </c>
      <c r="C3230" t="s">
        <v>12588</v>
      </c>
      <c r="D3230" t="s">
        <v>12590</v>
      </c>
      <c r="E3230" t="s">
        <v>8139</v>
      </c>
      <c r="F3230" t="s">
        <v>8140</v>
      </c>
      <c r="G3230" s="712">
        <v>0</v>
      </c>
      <c r="H3230">
        <v>0</v>
      </c>
      <c r="I3230" s="713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</row>
    <row r="3231" spans="1:16" ht="15.75" thickBot="1">
      <c r="A3231" s="727">
        <v>5</v>
      </c>
      <c r="B3231" s="727" t="s">
        <v>12581</v>
      </c>
      <c r="C3231" s="727" t="s">
        <v>12591</v>
      </c>
      <c r="D3231" s="727"/>
      <c r="E3231" s="727"/>
      <c r="F3231" s="745" t="s">
        <v>8144</v>
      </c>
      <c r="G3231" s="738">
        <v>0</v>
      </c>
      <c r="H3231" s="738">
        <v>0</v>
      </c>
      <c r="I3231" s="738">
        <v>0</v>
      </c>
      <c r="J3231" s="738">
        <v>0</v>
      </c>
      <c r="K3231" s="738">
        <v>0</v>
      </c>
      <c r="L3231" s="738">
        <v>0</v>
      </c>
      <c r="M3231" s="738">
        <v>0</v>
      </c>
      <c r="N3231" s="738">
        <v>0</v>
      </c>
      <c r="O3231" s="738">
        <v>0</v>
      </c>
      <c r="P3231" s="738">
        <v>0</v>
      </c>
    </row>
    <row r="3232" spans="1:16" ht="15.75" thickBot="1">
      <c r="A3232" s="727">
        <v>5</v>
      </c>
      <c r="B3232" s="727" t="s">
        <v>12581</v>
      </c>
      <c r="C3232" s="727" t="s">
        <v>12591</v>
      </c>
      <c r="D3232" s="727" t="s">
        <v>12592</v>
      </c>
      <c r="E3232" s="727"/>
      <c r="F3232" s="729" t="s">
        <v>8144</v>
      </c>
      <c r="G3232" s="738">
        <v>0</v>
      </c>
      <c r="H3232" s="738">
        <v>0</v>
      </c>
      <c r="I3232" s="738">
        <v>0</v>
      </c>
      <c r="J3232" s="738">
        <v>0</v>
      </c>
      <c r="K3232" s="738">
        <v>0</v>
      </c>
      <c r="L3232" s="738">
        <v>0</v>
      </c>
      <c r="M3232" s="738">
        <v>0</v>
      </c>
      <c r="N3232" s="738">
        <v>0</v>
      </c>
      <c r="O3232" s="738">
        <v>0</v>
      </c>
      <c r="P3232" s="738">
        <v>0</v>
      </c>
    </row>
    <row r="3233" spans="1:16" ht="15.75" thickBot="1">
      <c r="A3233">
        <v>5</v>
      </c>
      <c r="B3233" t="s">
        <v>12581</v>
      </c>
      <c r="C3233" t="s">
        <v>12591</v>
      </c>
      <c r="D3233" t="s">
        <v>12592</v>
      </c>
      <c r="E3233" t="s">
        <v>8143</v>
      </c>
      <c r="F3233" t="s">
        <v>8144</v>
      </c>
      <c r="G3233" s="712">
        <v>0</v>
      </c>
      <c r="H3233">
        <v>0</v>
      </c>
      <c r="I3233" s="71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</row>
    <row r="3234" spans="1:16" ht="15.75" thickBot="1">
      <c r="A3234" s="727">
        <v>5</v>
      </c>
      <c r="B3234" s="727" t="s">
        <v>12581</v>
      </c>
      <c r="C3234" s="727" t="s">
        <v>12593</v>
      </c>
      <c r="D3234" s="727"/>
      <c r="E3234" s="727"/>
      <c r="F3234" s="745" t="s">
        <v>12594</v>
      </c>
      <c r="G3234" s="738">
        <v>0</v>
      </c>
      <c r="H3234" s="738">
        <v>0</v>
      </c>
      <c r="I3234" s="738">
        <v>0</v>
      </c>
      <c r="J3234" s="739">
        <v>5280.18</v>
      </c>
      <c r="K3234" s="738">
        <v>0</v>
      </c>
      <c r="L3234" s="738">
        <v>0</v>
      </c>
      <c r="M3234" s="738">
        <v>0</v>
      </c>
      <c r="N3234" s="739">
        <v>5280.18</v>
      </c>
      <c r="O3234" s="738">
        <v>0</v>
      </c>
      <c r="P3234" s="739">
        <v>5280.18</v>
      </c>
    </row>
    <row r="3235" spans="1:16" ht="15.75" thickBot="1">
      <c r="A3235" s="727">
        <v>5</v>
      </c>
      <c r="B3235" s="727" t="s">
        <v>12581</v>
      </c>
      <c r="C3235" s="727" t="s">
        <v>12593</v>
      </c>
      <c r="D3235" s="727" t="s">
        <v>12595</v>
      </c>
      <c r="E3235" s="727"/>
      <c r="F3235" s="729" t="s">
        <v>12594</v>
      </c>
      <c r="G3235" s="738">
        <v>0</v>
      </c>
      <c r="H3235" s="738">
        <v>0</v>
      </c>
      <c r="I3235" s="738">
        <v>0</v>
      </c>
      <c r="J3235" s="739">
        <v>5280.18</v>
      </c>
      <c r="K3235" s="738">
        <v>0</v>
      </c>
      <c r="L3235" s="738">
        <v>0</v>
      </c>
      <c r="M3235" s="738">
        <v>0</v>
      </c>
      <c r="N3235" s="739">
        <v>5280.18</v>
      </c>
      <c r="O3235" s="738">
        <v>0</v>
      </c>
      <c r="P3235" s="739">
        <v>5280.18</v>
      </c>
    </row>
    <row r="3236" spans="1:16">
      <c r="A3236">
        <v>5</v>
      </c>
      <c r="B3236" t="s">
        <v>12581</v>
      </c>
      <c r="C3236" t="s">
        <v>12593</v>
      </c>
      <c r="D3236" t="s">
        <v>12595</v>
      </c>
      <c r="E3236" t="s">
        <v>8149</v>
      </c>
      <c r="F3236" t="s">
        <v>8150</v>
      </c>
      <c r="G3236" s="712">
        <v>0</v>
      </c>
      <c r="H3236">
        <v>0</v>
      </c>
      <c r="I3236" s="713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</row>
    <row r="3237" spans="1:16" ht="15.75" thickBot="1">
      <c r="A3237">
        <v>5</v>
      </c>
      <c r="B3237" t="s">
        <v>12581</v>
      </c>
      <c r="C3237" t="s">
        <v>12593</v>
      </c>
      <c r="D3237" t="s">
        <v>12595</v>
      </c>
      <c r="E3237" t="s">
        <v>8152</v>
      </c>
      <c r="F3237" t="s">
        <v>8153</v>
      </c>
      <c r="G3237" s="712">
        <v>0</v>
      </c>
      <c r="H3237">
        <v>0</v>
      </c>
      <c r="I3237" s="713">
        <v>0</v>
      </c>
      <c r="J3237" s="711">
        <v>5280.18</v>
      </c>
      <c r="K3237">
        <v>0</v>
      </c>
      <c r="L3237">
        <v>0</v>
      </c>
      <c r="M3237">
        <v>0</v>
      </c>
      <c r="N3237" s="711">
        <v>5280.18</v>
      </c>
      <c r="O3237">
        <v>0</v>
      </c>
      <c r="P3237" s="711">
        <v>5280.18</v>
      </c>
    </row>
    <row r="3238" spans="1:16" ht="15.75" thickBot="1">
      <c r="A3238" s="727">
        <v>5</v>
      </c>
      <c r="B3238" s="727" t="s">
        <v>12581</v>
      </c>
      <c r="C3238" s="727" t="s">
        <v>12596</v>
      </c>
      <c r="D3238" s="727"/>
      <c r="E3238" s="727"/>
      <c r="F3238" s="745" t="s">
        <v>8158</v>
      </c>
      <c r="G3238" s="738">
        <v>0</v>
      </c>
      <c r="H3238" s="738">
        <v>0</v>
      </c>
      <c r="I3238" s="738">
        <v>0</v>
      </c>
      <c r="J3238" s="738">
        <v>165</v>
      </c>
      <c r="K3238" s="738">
        <v>0</v>
      </c>
      <c r="L3238" s="738">
        <v>0</v>
      </c>
      <c r="M3238" s="738">
        <v>0</v>
      </c>
      <c r="N3238" s="738">
        <v>165</v>
      </c>
      <c r="O3238" s="738">
        <v>0</v>
      </c>
      <c r="P3238" s="738">
        <v>165</v>
      </c>
    </row>
    <row r="3239" spans="1:16" ht="15.75" thickBot="1">
      <c r="A3239" s="727">
        <v>5</v>
      </c>
      <c r="B3239" s="727" t="s">
        <v>12581</v>
      </c>
      <c r="C3239" s="727" t="s">
        <v>12596</v>
      </c>
      <c r="D3239" s="727" t="s">
        <v>12597</v>
      </c>
      <c r="E3239" s="727"/>
      <c r="F3239" s="729" t="s">
        <v>8158</v>
      </c>
      <c r="G3239" s="738">
        <v>0</v>
      </c>
      <c r="H3239" s="738">
        <v>0</v>
      </c>
      <c r="I3239" s="738">
        <v>0</v>
      </c>
      <c r="J3239" s="738">
        <v>165</v>
      </c>
      <c r="K3239" s="738">
        <v>0</v>
      </c>
      <c r="L3239" s="738">
        <v>0</v>
      </c>
      <c r="M3239" s="738">
        <v>0</v>
      </c>
      <c r="N3239" s="738">
        <v>165</v>
      </c>
      <c r="O3239" s="738">
        <v>0</v>
      </c>
      <c r="P3239" s="738">
        <v>165</v>
      </c>
    </row>
    <row r="3240" spans="1:16" ht="15.75" thickBot="1">
      <c r="A3240">
        <v>5</v>
      </c>
      <c r="B3240" t="s">
        <v>12581</v>
      </c>
      <c r="C3240" t="s">
        <v>12596</v>
      </c>
      <c r="D3240" t="s">
        <v>12597</v>
      </c>
      <c r="E3240" t="s">
        <v>8157</v>
      </c>
      <c r="F3240" t="s">
        <v>8158</v>
      </c>
      <c r="G3240" s="712">
        <v>0</v>
      </c>
      <c r="H3240">
        <v>0</v>
      </c>
      <c r="I3240" s="713">
        <v>0</v>
      </c>
      <c r="J3240">
        <v>165</v>
      </c>
      <c r="K3240">
        <v>0</v>
      </c>
      <c r="L3240">
        <v>0</v>
      </c>
      <c r="M3240">
        <v>0</v>
      </c>
      <c r="N3240">
        <v>165</v>
      </c>
      <c r="O3240">
        <v>0</v>
      </c>
      <c r="P3240">
        <v>165</v>
      </c>
    </row>
    <row r="3241" spans="1:16" ht="15.75" thickBot="1">
      <c r="A3241" s="727">
        <v>5</v>
      </c>
      <c r="B3241" s="727" t="s">
        <v>12581</v>
      </c>
      <c r="C3241" s="727" t="s">
        <v>12598</v>
      </c>
      <c r="D3241" s="727"/>
      <c r="E3241" s="727"/>
      <c r="F3241" s="745" t="s">
        <v>8162</v>
      </c>
      <c r="G3241" s="738">
        <v>0</v>
      </c>
      <c r="H3241" s="738">
        <v>0</v>
      </c>
      <c r="I3241" s="738">
        <v>0</v>
      </c>
      <c r="J3241" s="738">
        <v>0</v>
      </c>
      <c r="K3241" s="738">
        <v>0</v>
      </c>
      <c r="L3241" s="738">
        <v>0</v>
      </c>
      <c r="M3241" s="738">
        <v>0</v>
      </c>
      <c r="N3241" s="738">
        <v>0</v>
      </c>
      <c r="O3241" s="738">
        <v>0</v>
      </c>
      <c r="P3241" s="738">
        <v>0</v>
      </c>
    </row>
    <row r="3242" spans="1:16" ht="15.75" thickBot="1">
      <c r="A3242" s="727">
        <v>5</v>
      </c>
      <c r="B3242" s="727" t="s">
        <v>12581</v>
      </c>
      <c r="C3242" s="727" t="s">
        <v>12598</v>
      </c>
      <c r="D3242" s="727" t="s">
        <v>12599</v>
      </c>
      <c r="E3242" s="727"/>
      <c r="F3242" s="729" t="s">
        <v>8162</v>
      </c>
      <c r="G3242" s="738">
        <v>0</v>
      </c>
      <c r="H3242" s="738">
        <v>0</v>
      </c>
      <c r="I3242" s="738">
        <v>0</v>
      </c>
      <c r="J3242" s="738">
        <v>0</v>
      </c>
      <c r="K3242" s="738">
        <v>0</v>
      </c>
      <c r="L3242" s="738">
        <v>0</v>
      </c>
      <c r="M3242" s="738">
        <v>0</v>
      </c>
      <c r="N3242" s="738">
        <v>0</v>
      </c>
      <c r="O3242" s="738">
        <v>0</v>
      </c>
      <c r="P3242" s="738">
        <v>0</v>
      </c>
    </row>
    <row r="3243" spans="1:16" ht="15.75" thickBot="1">
      <c r="A3243">
        <v>5</v>
      </c>
      <c r="B3243" t="s">
        <v>12581</v>
      </c>
      <c r="C3243" t="s">
        <v>12598</v>
      </c>
      <c r="D3243" t="s">
        <v>12599</v>
      </c>
      <c r="E3243" t="s">
        <v>8161</v>
      </c>
      <c r="F3243" t="s">
        <v>8162</v>
      </c>
      <c r="G3243" s="712">
        <v>0</v>
      </c>
      <c r="H3243">
        <v>0</v>
      </c>
      <c r="I3243" s="71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</row>
    <row r="3244" spans="1:16" ht="15.75" thickBot="1">
      <c r="A3244" s="727">
        <v>5</v>
      </c>
      <c r="B3244" s="727" t="s">
        <v>12600</v>
      </c>
      <c r="C3244" s="727"/>
      <c r="D3244" s="727"/>
      <c r="E3244" s="727"/>
      <c r="F3244" s="745" t="s">
        <v>12601</v>
      </c>
      <c r="G3244" s="738">
        <v>0</v>
      </c>
      <c r="H3244" s="738">
        <v>0</v>
      </c>
      <c r="I3244" s="738">
        <v>0</v>
      </c>
      <c r="J3244" s="739">
        <v>5127221.8600000003</v>
      </c>
      <c r="K3244" s="739">
        <v>70000.19</v>
      </c>
      <c r="L3244" s="738">
        <v>0</v>
      </c>
      <c r="M3244" s="738">
        <v>0</v>
      </c>
      <c r="N3244" s="739">
        <v>5127221.8600000003</v>
      </c>
      <c r="O3244" s="739">
        <v>70000.19</v>
      </c>
      <c r="P3244" s="739">
        <v>5057221.67</v>
      </c>
    </row>
    <row r="3245" spans="1:16" ht="15.75" thickBot="1">
      <c r="A3245" s="727">
        <v>5</v>
      </c>
      <c r="B3245" s="727" t="s">
        <v>12600</v>
      </c>
      <c r="C3245" s="727" t="s">
        <v>12602</v>
      </c>
      <c r="D3245" s="727"/>
      <c r="E3245" s="727"/>
      <c r="F3245" s="745" t="s">
        <v>12603</v>
      </c>
      <c r="G3245" s="738">
        <v>0</v>
      </c>
      <c r="H3245" s="738">
        <v>0</v>
      </c>
      <c r="I3245" s="738">
        <v>0</v>
      </c>
      <c r="J3245" s="739">
        <v>149831.37</v>
      </c>
      <c r="K3245" s="739">
        <v>8846.8700000000008</v>
      </c>
      <c r="L3245" s="738">
        <v>0</v>
      </c>
      <c r="M3245" s="738">
        <v>0</v>
      </c>
      <c r="N3245" s="739">
        <v>149831.37</v>
      </c>
      <c r="O3245" s="739">
        <v>8846.8700000000008</v>
      </c>
      <c r="P3245" s="739">
        <v>140984.5</v>
      </c>
    </row>
    <row r="3246" spans="1:16" ht="15.75" thickBot="1">
      <c r="A3246" s="727">
        <v>5</v>
      </c>
      <c r="B3246" s="727" t="s">
        <v>12600</v>
      </c>
      <c r="C3246" s="727" t="s">
        <v>12602</v>
      </c>
      <c r="D3246" s="727" t="s">
        <v>12604</v>
      </c>
      <c r="E3246" s="727"/>
      <c r="F3246" s="729" t="s">
        <v>12605</v>
      </c>
      <c r="G3246" s="738">
        <v>0</v>
      </c>
      <c r="H3246" s="738">
        <v>0</v>
      </c>
      <c r="I3246" s="738">
        <v>0</v>
      </c>
      <c r="J3246" s="738">
        <v>0</v>
      </c>
      <c r="K3246" s="738">
        <v>0</v>
      </c>
      <c r="L3246" s="738">
        <v>0</v>
      </c>
      <c r="M3246" s="738">
        <v>0</v>
      </c>
      <c r="N3246" s="738">
        <v>0</v>
      </c>
      <c r="O3246" s="738">
        <v>0</v>
      </c>
      <c r="P3246" s="738">
        <v>0</v>
      </c>
    </row>
    <row r="3247" spans="1:16" ht="15.75" thickBot="1">
      <c r="A3247">
        <v>5</v>
      </c>
      <c r="B3247" t="s">
        <v>12600</v>
      </c>
      <c r="C3247" t="s">
        <v>12602</v>
      </c>
      <c r="D3247" t="s">
        <v>12604</v>
      </c>
      <c r="E3247" t="s">
        <v>8173</v>
      </c>
      <c r="F3247" t="s">
        <v>8174</v>
      </c>
      <c r="G3247" s="712">
        <v>0</v>
      </c>
      <c r="H3247">
        <v>0</v>
      </c>
      <c r="I3247" s="713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</row>
    <row r="3248" spans="1:16" ht="15.75" thickBot="1">
      <c r="A3248" s="727">
        <v>5</v>
      </c>
      <c r="B3248" s="727" t="s">
        <v>12600</v>
      </c>
      <c r="C3248" s="727" t="s">
        <v>12602</v>
      </c>
      <c r="D3248" s="727" t="s">
        <v>12606</v>
      </c>
      <c r="E3248" s="727"/>
      <c r="F3248" s="729" t="s">
        <v>8178</v>
      </c>
      <c r="G3248" s="738">
        <v>0</v>
      </c>
      <c r="H3248" s="738">
        <v>0</v>
      </c>
      <c r="I3248" s="738">
        <v>0</v>
      </c>
      <c r="J3248" s="739">
        <v>149831.37</v>
      </c>
      <c r="K3248" s="739">
        <v>8846.8700000000008</v>
      </c>
      <c r="L3248" s="738">
        <v>0</v>
      </c>
      <c r="M3248" s="738">
        <v>0</v>
      </c>
      <c r="N3248" s="739">
        <v>149831.37</v>
      </c>
      <c r="O3248" s="739">
        <v>8846.8700000000008</v>
      </c>
      <c r="P3248" s="739">
        <v>140984.5</v>
      </c>
    </row>
    <row r="3249" spans="1:16">
      <c r="A3249">
        <v>5</v>
      </c>
      <c r="B3249" t="s">
        <v>12600</v>
      </c>
      <c r="C3249" t="s">
        <v>12602</v>
      </c>
      <c r="D3249" t="s">
        <v>12606</v>
      </c>
      <c r="E3249" t="s">
        <v>8177</v>
      </c>
      <c r="F3249" t="s">
        <v>8178</v>
      </c>
      <c r="G3249" s="712">
        <v>0</v>
      </c>
      <c r="H3249">
        <v>0</v>
      </c>
      <c r="I3249" s="713">
        <v>0</v>
      </c>
      <c r="J3249" s="711">
        <v>149831.37</v>
      </c>
      <c r="K3249" s="711">
        <v>8846.8700000000008</v>
      </c>
      <c r="L3249">
        <v>0</v>
      </c>
      <c r="M3249">
        <v>0</v>
      </c>
      <c r="N3249" s="711">
        <v>149831.37</v>
      </c>
      <c r="O3249" s="711">
        <v>8846.8700000000008</v>
      </c>
      <c r="P3249" s="711">
        <v>140984.5</v>
      </c>
    </row>
    <row r="3250" spans="1:16" ht="15.75" thickBot="1">
      <c r="A3250">
        <v>5</v>
      </c>
      <c r="B3250" t="s">
        <v>12600</v>
      </c>
      <c r="C3250" t="s">
        <v>12602</v>
      </c>
      <c r="D3250" t="s">
        <v>12606</v>
      </c>
      <c r="E3250" t="s">
        <v>8180</v>
      </c>
      <c r="F3250" t="s">
        <v>8181</v>
      </c>
      <c r="G3250" s="712">
        <v>0</v>
      </c>
      <c r="H3250">
        <v>0</v>
      </c>
      <c r="I3250" s="713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</row>
    <row r="3251" spans="1:16" ht="15.75" thickBot="1">
      <c r="A3251" s="727">
        <v>5</v>
      </c>
      <c r="B3251" s="727" t="s">
        <v>12600</v>
      </c>
      <c r="C3251" s="727" t="s">
        <v>12607</v>
      </c>
      <c r="D3251" s="727"/>
      <c r="E3251" s="727"/>
      <c r="F3251" s="745" t="s">
        <v>12608</v>
      </c>
      <c r="G3251" s="738">
        <v>0</v>
      </c>
      <c r="H3251" s="738">
        <v>0</v>
      </c>
      <c r="I3251" s="738">
        <v>0</v>
      </c>
      <c r="J3251" s="739">
        <v>2794071.51</v>
      </c>
      <c r="K3251" s="739">
        <v>61153.32</v>
      </c>
      <c r="L3251" s="738">
        <v>0</v>
      </c>
      <c r="M3251" s="738">
        <v>0</v>
      </c>
      <c r="N3251" s="739">
        <v>2794071.51</v>
      </c>
      <c r="O3251" s="739">
        <v>61153.32</v>
      </c>
      <c r="P3251" s="739">
        <v>2732918.19</v>
      </c>
    </row>
    <row r="3252" spans="1:16" ht="15.75" thickBot="1">
      <c r="A3252" s="727">
        <v>5</v>
      </c>
      <c r="B3252" s="727" t="s">
        <v>12600</v>
      </c>
      <c r="C3252" s="727" t="s">
        <v>12607</v>
      </c>
      <c r="D3252" s="727" t="s">
        <v>12609</v>
      </c>
      <c r="E3252" s="727"/>
      <c r="F3252" s="729" t="s">
        <v>12610</v>
      </c>
      <c r="G3252" s="738">
        <v>0</v>
      </c>
      <c r="H3252" s="738">
        <v>0</v>
      </c>
      <c r="I3252" s="738">
        <v>0</v>
      </c>
      <c r="J3252" s="739">
        <v>2453981.2799999998</v>
      </c>
      <c r="K3252" s="739">
        <v>41082.5</v>
      </c>
      <c r="L3252" s="738">
        <v>0</v>
      </c>
      <c r="M3252" s="738">
        <v>0</v>
      </c>
      <c r="N3252" s="739">
        <v>2453981.2799999998</v>
      </c>
      <c r="O3252" s="739">
        <v>41082.5</v>
      </c>
      <c r="P3252" s="739">
        <v>2412898.7799999998</v>
      </c>
    </row>
    <row r="3253" spans="1:16">
      <c r="A3253">
        <v>5</v>
      </c>
      <c r="B3253" t="s">
        <v>12600</v>
      </c>
      <c r="C3253" t="s">
        <v>12607</v>
      </c>
      <c r="D3253" t="s">
        <v>12609</v>
      </c>
      <c r="E3253" t="s">
        <v>8190</v>
      </c>
      <c r="F3253" t="s">
        <v>8191</v>
      </c>
      <c r="G3253" s="712">
        <v>0</v>
      </c>
      <c r="H3253">
        <v>0</v>
      </c>
      <c r="I3253" s="713">
        <v>0</v>
      </c>
      <c r="J3253" s="711">
        <v>2453981.2799999998</v>
      </c>
      <c r="K3253" s="711">
        <v>41082.5</v>
      </c>
      <c r="L3253">
        <v>0</v>
      </c>
      <c r="M3253">
        <v>0</v>
      </c>
      <c r="N3253" s="711">
        <v>2453981.2799999998</v>
      </c>
      <c r="O3253" s="711">
        <v>41082.5</v>
      </c>
      <c r="P3253" s="711">
        <v>2412898.7799999998</v>
      </c>
    </row>
    <row r="3254" spans="1:16">
      <c r="A3254">
        <v>5</v>
      </c>
      <c r="B3254" t="s">
        <v>12600</v>
      </c>
      <c r="C3254" t="s">
        <v>12607</v>
      </c>
      <c r="D3254" t="s">
        <v>12609</v>
      </c>
      <c r="E3254" t="s">
        <v>8193</v>
      </c>
      <c r="F3254" t="s">
        <v>8194</v>
      </c>
      <c r="G3254" s="712">
        <v>0</v>
      </c>
      <c r="H3254">
        <v>0</v>
      </c>
      <c r="I3254" s="713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</row>
    <row r="3255" spans="1:16">
      <c r="A3255">
        <v>5</v>
      </c>
      <c r="B3255" t="s">
        <v>12600</v>
      </c>
      <c r="C3255" t="s">
        <v>12607</v>
      </c>
      <c r="D3255" t="s">
        <v>12609</v>
      </c>
      <c r="E3255" t="s">
        <v>8195</v>
      </c>
      <c r="F3255" t="s">
        <v>8196</v>
      </c>
      <c r="G3255" s="712">
        <v>0</v>
      </c>
      <c r="H3255">
        <v>0</v>
      </c>
      <c r="I3255" s="713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</row>
    <row r="3256" spans="1:16">
      <c r="A3256">
        <v>5</v>
      </c>
      <c r="B3256" t="s">
        <v>12600</v>
      </c>
      <c r="C3256" t="s">
        <v>12607</v>
      </c>
      <c r="D3256" t="s">
        <v>12609</v>
      </c>
      <c r="E3256" t="s">
        <v>8197</v>
      </c>
      <c r="F3256" t="s">
        <v>8198</v>
      </c>
      <c r="G3256" s="712">
        <v>0</v>
      </c>
      <c r="H3256">
        <v>0</v>
      </c>
      <c r="I3256" s="713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</row>
    <row r="3257" spans="1:16" ht="15.75" thickBot="1">
      <c r="A3257">
        <v>5</v>
      </c>
      <c r="B3257" t="s">
        <v>12600</v>
      </c>
      <c r="C3257" t="s">
        <v>12607</v>
      </c>
      <c r="D3257" t="s">
        <v>12609</v>
      </c>
      <c r="E3257" t="s">
        <v>8199</v>
      </c>
      <c r="F3257" t="s">
        <v>8200</v>
      </c>
      <c r="G3257" s="712">
        <v>0</v>
      </c>
      <c r="H3257">
        <v>0</v>
      </c>
      <c r="I3257" s="713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</row>
    <row r="3258" spans="1:16" ht="15.75" thickBot="1">
      <c r="A3258" s="727">
        <v>5</v>
      </c>
      <c r="B3258" s="727" t="s">
        <v>12600</v>
      </c>
      <c r="C3258" s="727" t="s">
        <v>12607</v>
      </c>
      <c r="D3258" s="727" t="s">
        <v>12611</v>
      </c>
      <c r="E3258" s="727"/>
      <c r="F3258" s="729" t="s">
        <v>12612</v>
      </c>
      <c r="G3258" s="738">
        <v>0</v>
      </c>
      <c r="H3258" s="738">
        <v>0</v>
      </c>
      <c r="I3258" s="738">
        <v>0</v>
      </c>
      <c r="J3258" s="739">
        <v>340090.23</v>
      </c>
      <c r="K3258" s="739">
        <v>20070.82</v>
      </c>
      <c r="L3258" s="738">
        <v>0</v>
      </c>
      <c r="M3258" s="738">
        <v>0</v>
      </c>
      <c r="N3258" s="739">
        <v>340090.23</v>
      </c>
      <c r="O3258" s="739">
        <v>20070.82</v>
      </c>
      <c r="P3258" s="739">
        <v>320019.40999999997</v>
      </c>
    </row>
    <row r="3259" spans="1:16">
      <c r="A3259">
        <v>5</v>
      </c>
      <c r="B3259" t="s">
        <v>12600</v>
      </c>
      <c r="C3259" t="s">
        <v>12607</v>
      </c>
      <c r="D3259" t="s">
        <v>12611</v>
      </c>
      <c r="E3259" t="s">
        <v>8205</v>
      </c>
      <c r="F3259" t="s">
        <v>8206</v>
      </c>
      <c r="G3259" s="712">
        <v>0</v>
      </c>
      <c r="H3259">
        <v>0</v>
      </c>
      <c r="I3259" s="713">
        <v>0</v>
      </c>
      <c r="J3259" s="711">
        <v>205229.79</v>
      </c>
      <c r="K3259">
        <v>0</v>
      </c>
      <c r="L3259">
        <v>0</v>
      </c>
      <c r="M3259">
        <v>0</v>
      </c>
      <c r="N3259" s="711">
        <v>205229.79</v>
      </c>
      <c r="O3259">
        <v>0</v>
      </c>
      <c r="P3259" s="711">
        <v>205229.79</v>
      </c>
    </row>
    <row r="3260" spans="1:16">
      <c r="A3260">
        <v>5</v>
      </c>
      <c r="B3260" t="s">
        <v>12600</v>
      </c>
      <c r="C3260" t="s">
        <v>12607</v>
      </c>
      <c r="D3260" t="s">
        <v>12611</v>
      </c>
      <c r="E3260" t="s">
        <v>8207</v>
      </c>
      <c r="F3260" t="s">
        <v>8208</v>
      </c>
      <c r="G3260" s="712">
        <v>0</v>
      </c>
      <c r="H3260">
        <v>0</v>
      </c>
      <c r="I3260" s="713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</row>
    <row r="3261" spans="1:16">
      <c r="A3261">
        <v>5</v>
      </c>
      <c r="B3261" t="s">
        <v>12600</v>
      </c>
      <c r="C3261" t="s">
        <v>12607</v>
      </c>
      <c r="D3261" t="s">
        <v>12611</v>
      </c>
      <c r="E3261" t="s">
        <v>8209</v>
      </c>
      <c r="F3261" t="s">
        <v>8210</v>
      </c>
      <c r="G3261" s="712">
        <v>0</v>
      </c>
      <c r="H3261">
        <v>0</v>
      </c>
      <c r="I3261" s="713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</row>
    <row r="3262" spans="1:16">
      <c r="A3262">
        <v>5</v>
      </c>
      <c r="B3262" t="s">
        <v>12600</v>
      </c>
      <c r="C3262" t="s">
        <v>12607</v>
      </c>
      <c r="D3262" t="s">
        <v>12611</v>
      </c>
      <c r="E3262" t="s">
        <v>8211</v>
      </c>
      <c r="F3262" t="s">
        <v>8212</v>
      </c>
      <c r="G3262" s="712">
        <v>0</v>
      </c>
      <c r="H3262">
        <v>0</v>
      </c>
      <c r="I3262" s="713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</row>
    <row r="3263" spans="1:16">
      <c r="A3263">
        <v>5</v>
      </c>
      <c r="B3263" t="s">
        <v>12600</v>
      </c>
      <c r="C3263" t="s">
        <v>12607</v>
      </c>
      <c r="D3263" t="s">
        <v>12611</v>
      </c>
      <c r="E3263" t="s">
        <v>8213</v>
      </c>
      <c r="F3263" t="s">
        <v>8214</v>
      </c>
      <c r="G3263" s="712">
        <v>0</v>
      </c>
      <c r="H3263">
        <v>0</v>
      </c>
      <c r="I3263" s="71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</row>
    <row r="3264" spans="1:16">
      <c r="A3264">
        <v>5</v>
      </c>
      <c r="B3264" t="s">
        <v>12600</v>
      </c>
      <c r="C3264" t="s">
        <v>12607</v>
      </c>
      <c r="D3264" t="s">
        <v>12611</v>
      </c>
      <c r="E3264" t="s">
        <v>8215</v>
      </c>
      <c r="F3264" t="s">
        <v>8216</v>
      </c>
      <c r="G3264" s="712">
        <v>0</v>
      </c>
      <c r="H3264">
        <v>0</v>
      </c>
      <c r="I3264" s="713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</row>
    <row r="3265" spans="1:16">
      <c r="A3265">
        <v>5</v>
      </c>
      <c r="B3265" t="s">
        <v>12600</v>
      </c>
      <c r="C3265" t="s">
        <v>12607</v>
      </c>
      <c r="D3265" t="s">
        <v>12611</v>
      </c>
      <c r="E3265" t="s">
        <v>8217</v>
      </c>
      <c r="F3265" t="s">
        <v>8218</v>
      </c>
      <c r="G3265" s="712">
        <v>0</v>
      </c>
      <c r="H3265">
        <v>0</v>
      </c>
      <c r="I3265" s="713">
        <v>0</v>
      </c>
      <c r="J3265" s="711">
        <v>71913.39</v>
      </c>
      <c r="K3265">
        <v>0</v>
      </c>
      <c r="L3265">
        <v>0</v>
      </c>
      <c r="M3265">
        <v>0</v>
      </c>
      <c r="N3265" s="711">
        <v>71913.39</v>
      </c>
      <c r="O3265">
        <v>0</v>
      </c>
      <c r="P3265" s="711">
        <v>71913.39</v>
      </c>
    </row>
    <row r="3266" spans="1:16">
      <c r="A3266">
        <v>5</v>
      </c>
      <c r="B3266" t="s">
        <v>12600</v>
      </c>
      <c r="C3266" t="s">
        <v>12607</v>
      </c>
      <c r="D3266" t="s">
        <v>12611</v>
      </c>
      <c r="E3266" t="s">
        <v>8219</v>
      </c>
      <c r="F3266" t="s">
        <v>8220</v>
      </c>
      <c r="G3266" s="712">
        <v>0</v>
      </c>
      <c r="H3266">
        <v>0</v>
      </c>
      <c r="I3266" s="713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</row>
    <row r="3267" spans="1:16">
      <c r="A3267">
        <v>5</v>
      </c>
      <c r="B3267" t="s">
        <v>12600</v>
      </c>
      <c r="C3267" t="s">
        <v>12607</v>
      </c>
      <c r="D3267" t="s">
        <v>12611</v>
      </c>
      <c r="E3267" t="s">
        <v>8221</v>
      </c>
      <c r="F3267" t="s">
        <v>8222</v>
      </c>
      <c r="G3267" s="712">
        <v>0</v>
      </c>
      <c r="H3267">
        <v>0</v>
      </c>
      <c r="I3267" s="713">
        <v>0</v>
      </c>
      <c r="J3267" s="711">
        <v>6100</v>
      </c>
      <c r="K3267">
        <v>0</v>
      </c>
      <c r="L3267">
        <v>0</v>
      </c>
      <c r="M3267">
        <v>0</v>
      </c>
      <c r="N3267" s="711">
        <v>6100</v>
      </c>
      <c r="O3267">
        <v>0</v>
      </c>
      <c r="P3267" s="711">
        <v>6100</v>
      </c>
    </row>
    <row r="3268" spans="1:16">
      <c r="A3268">
        <v>5</v>
      </c>
      <c r="B3268" t="s">
        <v>12600</v>
      </c>
      <c r="C3268" t="s">
        <v>12607</v>
      </c>
      <c r="D3268" t="s">
        <v>12611</v>
      </c>
      <c r="E3268" t="s">
        <v>8223</v>
      </c>
      <c r="F3268" t="s">
        <v>8224</v>
      </c>
      <c r="G3268" s="712">
        <v>0</v>
      </c>
      <c r="H3268">
        <v>0</v>
      </c>
      <c r="I3268" s="713">
        <v>0</v>
      </c>
      <c r="J3268" s="711">
        <v>56788.27</v>
      </c>
      <c r="K3268" s="711">
        <v>20070.82</v>
      </c>
      <c r="L3268">
        <v>0</v>
      </c>
      <c r="M3268">
        <v>0</v>
      </c>
      <c r="N3268" s="711">
        <v>56788.27</v>
      </c>
      <c r="O3268" s="711">
        <v>20070.82</v>
      </c>
      <c r="P3268" s="711">
        <v>36717.449999999997</v>
      </c>
    </row>
    <row r="3269" spans="1:16">
      <c r="A3269">
        <v>5</v>
      </c>
      <c r="B3269" t="s">
        <v>12600</v>
      </c>
      <c r="C3269" t="s">
        <v>12607</v>
      </c>
      <c r="D3269" t="s">
        <v>12611</v>
      </c>
      <c r="E3269" t="s">
        <v>8225</v>
      </c>
      <c r="F3269" t="s">
        <v>8226</v>
      </c>
      <c r="G3269" s="712">
        <v>0</v>
      </c>
      <c r="H3269">
        <v>0</v>
      </c>
      <c r="I3269" s="713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</row>
    <row r="3270" spans="1:16">
      <c r="A3270">
        <v>5</v>
      </c>
      <c r="B3270" t="s">
        <v>12600</v>
      </c>
      <c r="C3270" t="s">
        <v>12607</v>
      </c>
      <c r="D3270" t="s">
        <v>12611</v>
      </c>
      <c r="E3270" t="s">
        <v>8227</v>
      </c>
      <c r="F3270" t="s">
        <v>8228</v>
      </c>
      <c r="G3270" s="712">
        <v>0</v>
      </c>
      <c r="H3270">
        <v>0</v>
      </c>
      <c r="I3270" s="713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</row>
    <row r="3271" spans="1:16">
      <c r="A3271">
        <v>5</v>
      </c>
      <c r="B3271" t="s">
        <v>12600</v>
      </c>
      <c r="C3271" t="s">
        <v>12607</v>
      </c>
      <c r="D3271" t="s">
        <v>12611</v>
      </c>
      <c r="E3271" t="s">
        <v>8229</v>
      </c>
      <c r="F3271" t="s">
        <v>8230</v>
      </c>
      <c r="G3271" s="712">
        <v>0</v>
      </c>
      <c r="H3271">
        <v>0</v>
      </c>
      <c r="I3271" s="713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</row>
    <row r="3272" spans="1:16" ht="15.75" thickBot="1">
      <c r="A3272">
        <v>5</v>
      </c>
      <c r="B3272" t="s">
        <v>12600</v>
      </c>
      <c r="C3272" t="s">
        <v>12607</v>
      </c>
      <c r="D3272" t="s">
        <v>12611</v>
      </c>
      <c r="E3272" t="s">
        <v>8231</v>
      </c>
      <c r="F3272" t="s">
        <v>8232</v>
      </c>
      <c r="G3272" s="712">
        <v>0</v>
      </c>
      <c r="H3272">
        <v>0</v>
      </c>
      <c r="I3272" s="713">
        <v>0</v>
      </c>
      <c r="J3272">
        <v>58.78</v>
      </c>
      <c r="K3272">
        <v>0</v>
      </c>
      <c r="L3272">
        <v>0</v>
      </c>
      <c r="M3272">
        <v>0</v>
      </c>
      <c r="N3272">
        <v>58.78</v>
      </c>
      <c r="O3272">
        <v>0</v>
      </c>
      <c r="P3272">
        <v>58.78</v>
      </c>
    </row>
    <row r="3273" spans="1:16" ht="15.75" thickBot="1">
      <c r="A3273" s="727">
        <v>5</v>
      </c>
      <c r="B3273" s="727" t="s">
        <v>12600</v>
      </c>
      <c r="C3273" s="727" t="s">
        <v>12613</v>
      </c>
      <c r="D3273" s="727"/>
      <c r="E3273" s="727"/>
      <c r="F3273" s="745" t="s">
        <v>12614</v>
      </c>
      <c r="G3273" s="738">
        <v>0</v>
      </c>
      <c r="H3273" s="738">
        <v>0</v>
      </c>
      <c r="I3273" s="738">
        <v>0</v>
      </c>
      <c r="J3273" s="739">
        <v>2183318.98</v>
      </c>
      <c r="K3273" s="738">
        <v>0</v>
      </c>
      <c r="L3273" s="738">
        <v>0</v>
      </c>
      <c r="M3273" s="738">
        <v>0</v>
      </c>
      <c r="N3273" s="739">
        <v>2183318.98</v>
      </c>
      <c r="O3273" s="738">
        <v>0</v>
      </c>
      <c r="P3273" s="739">
        <v>2183318.98</v>
      </c>
    </row>
    <row r="3274" spans="1:16" ht="15.75" thickBot="1">
      <c r="A3274" s="727">
        <v>5</v>
      </c>
      <c r="B3274" s="727" t="s">
        <v>12600</v>
      </c>
      <c r="C3274" s="727" t="s">
        <v>12613</v>
      </c>
      <c r="D3274" s="727" t="s">
        <v>12615</v>
      </c>
      <c r="E3274" s="727"/>
      <c r="F3274" s="729" t="s">
        <v>12616</v>
      </c>
      <c r="G3274" s="738">
        <v>0</v>
      </c>
      <c r="H3274" s="738">
        <v>0</v>
      </c>
      <c r="I3274" s="738">
        <v>0</v>
      </c>
      <c r="J3274" s="739">
        <v>2183318.98</v>
      </c>
      <c r="K3274" s="738">
        <v>0</v>
      </c>
      <c r="L3274" s="738">
        <v>0</v>
      </c>
      <c r="M3274" s="738">
        <v>0</v>
      </c>
      <c r="N3274" s="739">
        <v>2183318.98</v>
      </c>
      <c r="O3274" s="738">
        <v>0</v>
      </c>
      <c r="P3274" s="739">
        <v>2183318.98</v>
      </c>
    </row>
    <row r="3275" spans="1:16">
      <c r="A3275">
        <v>5</v>
      </c>
      <c r="B3275" t="s">
        <v>12600</v>
      </c>
      <c r="C3275" t="s">
        <v>12613</v>
      </c>
      <c r="D3275" t="s">
        <v>12615</v>
      </c>
      <c r="E3275" t="s">
        <v>8241</v>
      </c>
      <c r="F3275" t="s">
        <v>8242</v>
      </c>
      <c r="G3275" s="712">
        <v>0</v>
      </c>
      <c r="H3275">
        <v>0</v>
      </c>
      <c r="I3275" s="713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</row>
    <row r="3276" spans="1:16">
      <c r="A3276">
        <v>5</v>
      </c>
      <c r="B3276" t="s">
        <v>12600</v>
      </c>
      <c r="C3276" t="s">
        <v>12613</v>
      </c>
      <c r="D3276" t="s">
        <v>12615</v>
      </c>
      <c r="E3276" t="s">
        <v>8244</v>
      </c>
      <c r="F3276" t="s">
        <v>8245</v>
      </c>
      <c r="G3276" s="712">
        <v>0</v>
      </c>
      <c r="H3276">
        <v>0</v>
      </c>
      <c r="I3276" s="713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</row>
    <row r="3277" spans="1:16">
      <c r="A3277">
        <v>5</v>
      </c>
      <c r="B3277" t="s">
        <v>12600</v>
      </c>
      <c r="C3277" t="s">
        <v>12613</v>
      </c>
      <c r="D3277" t="s">
        <v>12615</v>
      </c>
      <c r="E3277" t="s">
        <v>8246</v>
      </c>
      <c r="F3277" t="s">
        <v>8247</v>
      </c>
      <c r="G3277" s="712">
        <v>0</v>
      </c>
      <c r="H3277">
        <v>0</v>
      </c>
      <c r="I3277" s="713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</row>
    <row r="3278" spans="1:16">
      <c r="A3278">
        <v>5</v>
      </c>
      <c r="B3278" t="s">
        <v>12600</v>
      </c>
      <c r="C3278" t="s">
        <v>12613</v>
      </c>
      <c r="D3278" t="s">
        <v>12615</v>
      </c>
      <c r="E3278" t="s">
        <v>8248</v>
      </c>
      <c r="F3278" t="s">
        <v>8249</v>
      </c>
      <c r="G3278" s="712">
        <v>0</v>
      </c>
      <c r="H3278">
        <v>0</v>
      </c>
      <c r="I3278" s="713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</row>
    <row r="3279" spans="1:16">
      <c r="A3279">
        <v>5</v>
      </c>
      <c r="B3279" t="s">
        <v>12600</v>
      </c>
      <c r="C3279" t="s">
        <v>12613</v>
      </c>
      <c r="D3279" t="s">
        <v>12615</v>
      </c>
      <c r="E3279" t="s">
        <v>8250</v>
      </c>
      <c r="F3279" t="s">
        <v>8251</v>
      </c>
      <c r="G3279" s="712">
        <v>0</v>
      </c>
      <c r="H3279">
        <v>0</v>
      </c>
      <c r="I3279" s="713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</row>
    <row r="3280" spans="1:16">
      <c r="A3280">
        <v>5</v>
      </c>
      <c r="B3280" t="s">
        <v>12600</v>
      </c>
      <c r="C3280" t="s">
        <v>12613</v>
      </c>
      <c r="D3280" t="s">
        <v>12615</v>
      </c>
      <c r="E3280" t="s">
        <v>8252</v>
      </c>
      <c r="F3280" t="s">
        <v>8253</v>
      </c>
      <c r="G3280" s="712">
        <v>0</v>
      </c>
      <c r="H3280">
        <v>0</v>
      </c>
      <c r="I3280" s="713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</row>
    <row r="3281" spans="1:16">
      <c r="A3281">
        <v>5</v>
      </c>
      <c r="B3281" t="s">
        <v>12600</v>
      </c>
      <c r="C3281" t="s">
        <v>12613</v>
      </c>
      <c r="D3281" t="s">
        <v>12615</v>
      </c>
      <c r="E3281" t="s">
        <v>8254</v>
      </c>
      <c r="F3281" t="s">
        <v>8255</v>
      </c>
      <c r="G3281" s="712">
        <v>0</v>
      </c>
      <c r="H3281">
        <v>0</v>
      </c>
      <c r="I3281" s="713">
        <v>0</v>
      </c>
      <c r="J3281" s="711">
        <v>2183318.98</v>
      </c>
      <c r="K3281">
        <v>0</v>
      </c>
      <c r="L3281">
        <v>0</v>
      </c>
      <c r="M3281">
        <v>0</v>
      </c>
      <c r="N3281" s="711">
        <v>2183318.98</v>
      </c>
      <c r="O3281">
        <v>0</v>
      </c>
      <c r="P3281" s="711">
        <v>2183318.98</v>
      </c>
    </row>
    <row r="3282" spans="1:16">
      <c r="A3282">
        <v>5</v>
      </c>
      <c r="B3282" t="s">
        <v>12600</v>
      </c>
      <c r="C3282" t="s">
        <v>12613</v>
      </c>
      <c r="D3282" t="s">
        <v>12615</v>
      </c>
      <c r="E3282" t="s">
        <v>8256</v>
      </c>
      <c r="F3282" t="s">
        <v>8257</v>
      </c>
      <c r="G3282" s="712">
        <v>0</v>
      </c>
      <c r="H3282">
        <v>0</v>
      </c>
      <c r="I3282" s="713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</row>
    <row r="3283" spans="1:16">
      <c r="A3283">
        <v>5</v>
      </c>
      <c r="B3283" t="s">
        <v>12600</v>
      </c>
      <c r="C3283" t="s">
        <v>12613</v>
      </c>
      <c r="D3283" t="s">
        <v>12615</v>
      </c>
      <c r="E3283" t="s">
        <v>8258</v>
      </c>
      <c r="F3283" t="s">
        <v>8259</v>
      </c>
      <c r="G3283" s="712">
        <v>0</v>
      </c>
      <c r="H3283">
        <v>0</v>
      </c>
      <c r="I3283" s="71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</row>
    <row r="3284" spans="1:16" ht="15.75" thickBot="1">
      <c r="A3284">
        <v>5</v>
      </c>
      <c r="B3284" t="s">
        <v>12600</v>
      </c>
      <c r="C3284" t="s">
        <v>12613</v>
      </c>
      <c r="D3284" t="s">
        <v>12615</v>
      </c>
      <c r="E3284" t="s">
        <v>8260</v>
      </c>
      <c r="F3284" t="s">
        <v>8261</v>
      </c>
      <c r="G3284" s="712">
        <v>0</v>
      </c>
      <c r="H3284">
        <v>0</v>
      </c>
      <c r="I3284" s="713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</row>
    <row r="3285" spans="1:16" ht="15.75" thickBot="1">
      <c r="A3285" s="727">
        <v>5</v>
      </c>
      <c r="B3285" s="727" t="s">
        <v>12600</v>
      </c>
      <c r="C3285" s="727" t="s">
        <v>12613</v>
      </c>
      <c r="D3285" s="727" t="s">
        <v>12617</v>
      </c>
      <c r="E3285" s="727"/>
      <c r="F3285" s="729" t="s">
        <v>12618</v>
      </c>
      <c r="G3285" s="738">
        <v>0</v>
      </c>
      <c r="H3285" s="738">
        <v>0</v>
      </c>
      <c r="I3285" s="738">
        <v>0</v>
      </c>
      <c r="J3285" s="738">
        <v>0</v>
      </c>
      <c r="K3285" s="738">
        <v>0</v>
      </c>
      <c r="L3285" s="738">
        <v>0</v>
      </c>
      <c r="M3285" s="738">
        <v>0</v>
      </c>
      <c r="N3285" s="738">
        <v>0</v>
      </c>
      <c r="O3285" s="738">
        <v>0</v>
      </c>
      <c r="P3285" s="738">
        <v>0</v>
      </c>
    </row>
    <row r="3286" spans="1:16">
      <c r="A3286">
        <v>5</v>
      </c>
      <c r="B3286" t="s">
        <v>12600</v>
      </c>
      <c r="C3286" t="s">
        <v>12613</v>
      </c>
      <c r="D3286" t="s">
        <v>12617</v>
      </c>
      <c r="E3286" t="s">
        <v>8266</v>
      </c>
      <c r="F3286" t="s">
        <v>8267</v>
      </c>
      <c r="G3286" s="712">
        <v>0</v>
      </c>
      <c r="H3286">
        <v>0</v>
      </c>
      <c r="I3286" s="713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</row>
    <row r="3287" spans="1:16">
      <c r="A3287">
        <v>5</v>
      </c>
      <c r="B3287" t="s">
        <v>12600</v>
      </c>
      <c r="C3287" t="s">
        <v>12613</v>
      </c>
      <c r="D3287" t="s">
        <v>12617</v>
      </c>
      <c r="E3287" t="s">
        <v>8268</v>
      </c>
      <c r="F3287" t="s">
        <v>8269</v>
      </c>
      <c r="G3287" s="712">
        <v>0</v>
      </c>
      <c r="H3287">
        <v>0</v>
      </c>
      <c r="I3287" s="713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</row>
    <row r="3288" spans="1:16">
      <c r="A3288">
        <v>5</v>
      </c>
      <c r="B3288" t="s">
        <v>12600</v>
      </c>
      <c r="C3288" t="s">
        <v>12613</v>
      </c>
      <c r="D3288" t="s">
        <v>12617</v>
      </c>
      <c r="E3288" t="s">
        <v>8270</v>
      </c>
      <c r="F3288" t="s">
        <v>8271</v>
      </c>
      <c r="G3288" s="712">
        <v>0</v>
      </c>
      <c r="H3288">
        <v>0</v>
      </c>
      <c r="I3288" s="713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</row>
    <row r="3289" spans="1:16">
      <c r="A3289">
        <v>5</v>
      </c>
      <c r="B3289" t="s">
        <v>12600</v>
      </c>
      <c r="C3289" t="s">
        <v>12613</v>
      </c>
      <c r="D3289" t="s">
        <v>12617</v>
      </c>
      <c r="E3289" t="s">
        <v>8272</v>
      </c>
      <c r="F3289" t="s">
        <v>8273</v>
      </c>
      <c r="G3289" s="712">
        <v>0</v>
      </c>
      <c r="H3289">
        <v>0</v>
      </c>
      <c r="I3289" s="713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</row>
    <row r="3290" spans="1:16">
      <c r="A3290">
        <v>5</v>
      </c>
      <c r="B3290" t="s">
        <v>12600</v>
      </c>
      <c r="C3290" t="s">
        <v>12613</v>
      </c>
      <c r="D3290" t="s">
        <v>12617</v>
      </c>
      <c r="E3290" t="s">
        <v>8274</v>
      </c>
      <c r="F3290" t="s">
        <v>8275</v>
      </c>
      <c r="G3290" s="712">
        <v>0</v>
      </c>
      <c r="H3290">
        <v>0</v>
      </c>
      <c r="I3290" s="713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</row>
    <row r="3291" spans="1:16">
      <c r="A3291">
        <v>5</v>
      </c>
      <c r="B3291" t="s">
        <v>12600</v>
      </c>
      <c r="C3291" t="s">
        <v>12613</v>
      </c>
      <c r="D3291" t="s">
        <v>12617</v>
      </c>
      <c r="E3291" t="s">
        <v>8276</v>
      </c>
      <c r="F3291" t="s">
        <v>8277</v>
      </c>
      <c r="G3291" s="712">
        <v>0</v>
      </c>
      <c r="H3291">
        <v>0</v>
      </c>
      <c r="I3291" s="713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</row>
    <row r="3292" spans="1:16" ht="15.75" thickBot="1">
      <c r="A3292">
        <v>5</v>
      </c>
      <c r="B3292" t="s">
        <v>12600</v>
      </c>
      <c r="C3292" t="s">
        <v>12613</v>
      </c>
      <c r="D3292" t="s">
        <v>12617</v>
      </c>
      <c r="E3292" t="s">
        <v>8278</v>
      </c>
      <c r="F3292" t="s">
        <v>8279</v>
      </c>
      <c r="G3292" s="712">
        <v>0</v>
      </c>
      <c r="H3292">
        <v>0</v>
      </c>
      <c r="I3292" s="713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</row>
    <row r="3293" spans="1:16" ht="15.75" thickBot="1">
      <c r="A3293" s="727">
        <v>5</v>
      </c>
      <c r="B3293" s="727" t="s">
        <v>12600</v>
      </c>
      <c r="C3293" s="727" t="s">
        <v>12619</v>
      </c>
      <c r="D3293" s="727"/>
      <c r="E3293" s="727"/>
      <c r="F3293" s="745" t="s">
        <v>12620</v>
      </c>
      <c r="G3293" s="738">
        <v>0</v>
      </c>
      <c r="H3293" s="738">
        <v>0</v>
      </c>
      <c r="I3293" s="738">
        <v>0</v>
      </c>
      <c r="J3293" s="738">
        <v>0</v>
      </c>
      <c r="K3293" s="738">
        <v>0</v>
      </c>
      <c r="L3293" s="738">
        <v>0</v>
      </c>
      <c r="M3293" s="738">
        <v>0</v>
      </c>
      <c r="N3293" s="738">
        <v>0</v>
      </c>
      <c r="O3293" s="738">
        <v>0</v>
      </c>
      <c r="P3293" s="738">
        <v>0</v>
      </c>
    </row>
    <row r="3294" spans="1:16" ht="15.75" thickBot="1">
      <c r="A3294" s="727">
        <v>5</v>
      </c>
      <c r="B3294" s="727" t="s">
        <v>12600</v>
      </c>
      <c r="C3294" s="727" t="s">
        <v>12619</v>
      </c>
      <c r="D3294" s="727" t="s">
        <v>12621</v>
      </c>
      <c r="E3294" s="727"/>
      <c r="F3294" s="729" t="s">
        <v>12620</v>
      </c>
      <c r="G3294" s="738">
        <v>0</v>
      </c>
      <c r="H3294" s="738">
        <v>0</v>
      </c>
      <c r="I3294" s="738">
        <v>0</v>
      </c>
      <c r="J3294" s="738">
        <v>0</v>
      </c>
      <c r="K3294" s="738">
        <v>0</v>
      </c>
      <c r="L3294" s="738">
        <v>0</v>
      </c>
      <c r="M3294" s="738">
        <v>0</v>
      </c>
      <c r="N3294" s="738">
        <v>0</v>
      </c>
      <c r="O3294" s="738">
        <v>0</v>
      </c>
      <c r="P3294" s="738">
        <v>0</v>
      </c>
    </row>
    <row r="3295" spans="1:16">
      <c r="A3295">
        <v>5</v>
      </c>
      <c r="B3295" t="s">
        <v>12600</v>
      </c>
      <c r="C3295" t="s">
        <v>12619</v>
      </c>
      <c r="D3295" t="s">
        <v>12621</v>
      </c>
      <c r="E3295" t="s">
        <v>8290</v>
      </c>
      <c r="F3295" t="s">
        <v>8291</v>
      </c>
      <c r="G3295" s="712">
        <v>0</v>
      </c>
      <c r="H3295">
        <v>0</v>
      </c>
      <c r="I3295" s="713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</row>
    <row r="3296" spans="1:16" ht="15.75" thickBot="1">
      <c r="A3296">
        <v>5</v>
      </c>
      <c r="B3296" t="s">
        <v>12600</v>
      </c>
      <c r="C3296" t="s">
        <v>12619</v>
      </c>
      <c r="D3296" t="s">
        <v>12621</v>
      </c>
      <c r="E3296" t="s">
        <v>8293</v>
      </c>
      <c r="F3296" t="s">
        <v>8294</v>
      </c>
      <c r="G3296" s="712">
        <v>0</v>
      </c>
      <c r="H3296">
        <v>0</v>
      </c>
      <c r="I3296" s="713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</row>
    <row r="3297" spans="1:16" ht="15.75" thickBot="1">
      <c r="A3297" s="727">
        <v>5</v>
      </c>
      <c r="B3297" s="727" t="s">
        <v>12600</v>
      </c>
      <c r="C3297" s="727" t="s">
        <v>12622</v>
      </c>
      <c r="D3297" s="727"/>
      <c r="E3297" s="727"/>
      <c r="F3297" s="745" t="s">
        <v>8281</v>
      </c>
      <c r="G3297" s="738">
        <v>0</v>
      </c>
      <c r="H3297" s="738">
        <v>0</v>
      </c>
      <c r="I3297" s="738">
        <v>0</v>
      </c>
      <c r="J3297" s="738">
        <v>0</v>
      </c>
      <c r="K3297" s="738">
        <v>0</v>
      </c>
      <c r="L3297" s="738">
        <v>0</v>
      </c>
      <c r="M3297" s="738">
        <v>0</v>
      </c>
      <c r="N3297" s="738">
        <v>0</v>
      </c>
      <c r="O3297" s="738">
        <v>0</v>
      </c>
      <c r="P3297" s="738">
        <v>0</v>
      </c>
    </row>
    <row r="3298" spans="1:16" ht="15.75" thickBot="1">
      <c r="A3298" s="727">
        <v>5</v>
      </c>
      <c r="B3298" s="727" t="s">
        <v>12600</v>
      </c>
      <c r="C3298" s="727" t="s">
        <v>12622</v>
      </c>
      <c r="D3298" s="727" t="s">
        <v>12623</v>
      </c>
      <c r="E3298" s="727"/>
      <c r="F3298" s="729" t="s">
        <v>8281</v>
      </c>
      <c r="G3298" s="738">
        <v>0</v>
      </c>
      <c r="H3298" s="738">
        <v>0</v>
      </c>
      <c r="I3298" s="738">
        <v>0</v>
      </c>
      <c r="J3298" s="738">
        <v>0</v>
      </c>
      <c r="K3298" s="738">
        <v>0</v>
      </c>
      <c r="L3298" s="738">
        <v>0</v>
      </c>
      <c r="M3298" s="738">
        <v>0</v>
      </c>
      <c r="N3298" s="738">
        <v>0</v>
      </c>
      <c r="O3298" s="738">
        <v>0</v>
      </c>
      <c r="P3298" s="738">
        <v>0</v>
      </c>
    </row>
    <row r="3299" spans="1:16" ht="15.75" thickBot="1">
      <c r="A3299">
        <v>5</v>
      </c>
      <c r="B3299" t="s">
        <v>12600</v>
      </c>
      <c r="C3299" t="s">
        <v>12622</v>
      </c>
      <c r="D3299" t="s">
        <v>12623</v>
      </c>
      <c r="E3299" t="s">
        <v>8284</v>
      </c>
      <c r="F3299" t="s">
        <v>8281</v>
      </c>
      <c r="G3299" s="712">
        <v>0</v>
      </c>
      <c r="H3299">
        <v>0</v>
      </c>
      <c r="I3299" s="713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</row>
    <row r="3300" spans="1:16" ht="15.75" thickBot="1">
      <c r="A3300" s="727">
        <v>5</v>
      </c>
      <c r="B3300" s="727" t="s">
        <v>12624</v>
      </c>
      <c r="C3300" s="727"/>
      <c r="D3300" s="727"/>
      <c r="E3300" s="727"/>
      <c r="F3300" s="745" t="s">
        <v>76</v>
      </c>
      <c r="G3300" s="738">
        <v>0</v>
      </c>
      <c r="H3300" s="738">
        <v>0</v>
      </c>
      <c r="I3300" s="738">
        <v>0</v>
      </c>
      <c r="J3300" s="739">
        <v>108563819.92</v>
      </c>
      <c r="K3300" s="739">
        <v>10456340.960000001</v>
      </c>
      <c r="L3300" s="738">
        <v>0</v>
      </c>
      <c r="M3300" s="738">
        <v>0</v>
      </c>
      <c r="N3300" s="739">
        <v>108563819.92</v>
      </c>
      <c r="O3300" s="739">
        <v>10456340.960000001</v>
      </c>
      <c r="P3300" s="739">
        <v>98107478.959999993</v>
      </c>
    </row>
    <row r="3301" spans="1:16" ht="15.75" thickBot="1">
      <c r="A3301" s="727">
        <v>5</v>
      </c>
      <c r="B3301" s="727" t="s">
        <v>12624</v>
      </c>
      <c r="C3301" s="727" t="s">
        <v>12625</v>
      </c>
      <c r="D3301" s="727"/>
      <c r="E3301" s="727"/>
      <c r="F3301" s="745" t="s">
        <v>12626</v>
      </c>
      <c r="G3301" s="738">
        <v>0</v>
      </c>
      <c r="H3301" s="738">
        <v>0</v>
      </c>
      <c r="I3301" s="738">
        <v>0</v>
      </c>
      <c r="J3301" s="739">
        <v>49326140.240000002</v>
      </c>
      <c r="K3301" s="739">
        <v>3874228.83</v>
      </c>
      <c r="L3301" s="738">
        <v>0</v>
      </c>
      <c r="M3301" s="738">
        <v>0</v>
      </c>
      <c r="N3301" s="739">
        <v>49326140.240000002</v>
      </c>
      <c r="O3301" s="739">
        <v>3874228.83</v>
      </c>
      <c r="P3301" s="739">
        <v>45451911.409999996</v>
      </c>
    </row>
    <row r="3302" spans="1:16" ht="15.75" thickBot="1">
      <c r="A3302" s="727">
        <v>5</v>
      </c>
      <c r="B3302" s="727" t="s">
        <v>12624</v>
      </c>
      <c r="C3302" s="727" t="s">
        <v>12625</v>
      </c>
      <c r="D3302" s="727" t="s">
        <v>12627</v>
      </c>
      <c r="E3302" s="727"/>
      <c r="F3302" s="729" t="s">
        <v>12628</v>
      </c>
      <c r="G3302" s="738">
        <v>0</v>
      </c>
      <c r="H3302" s="738">
        <v>0</v>
      </c>
      <c r="I3302" s="738">
        <v>0</v>
      </c>
      <c r="J3302" s="739">
        <v>46798549.060000002</v>
      </c>
      <c r="K3302" s="739">
        <v>3844048.68</v>
      </c>
      <c r="L3302" s="738">
        <v>0</v>
      </c>
      <c r="M3302" s="738">
        <v>0</v>
      </c>
      <c r="N3302" s="739">
        <v>46798549.060000002</v>
      </c>
      <c r="O3302" s="739">
        <v>3844048.68</v>
      </c>
      <c r="P3302" s="739">
        <v>42954500.380000003</v>
      </c>
    </row>
    <row r="3303" spans="1:16">
      <c r="A3303">
        <v>5</v>
      </c>
      <c r="B3303" t="s">
        <v>12624</v>
      </c>
      <c r="C3303" t="s">
        <v>12625</v>
      </c>
      <c r="D3303" t="s">
        <v>12627</v>
      </c>
      <c r="E3303" t="s">
        <v>8302</v>
      </c>
      <c r="F3303" t="s">
        <v>8303</v>
      </c>
      <c r="G3303" s="712">
        <v>0</v>
      </c>
      <c r="H3303">
        <v>0</v>
      </c>
      <c r="I3303" s="713">
        <v>0</v>
      </c>
      <c r="J3303" s="711">
        <v>22222366.09</v>
      </c>
      <c r="K3303" s="711">
        <v>3071293.12</v>
      </c>
      <c r="L3303">
        <v>0</v>
      </c>
      <c r="M3303">
        <v>0</v>
      </c>
      <c r="N3303" s="711">
        <v>22222366.09</v>
      </c>
      <c r="O3303" s="711">
        <v>3071293.12</v>
      </c>
      <c r="P3303" s="711">
        <v>19151072.969999999</v>
      </c>
    </row>
    <row r="3304" spans="1:16">
      <c r="A3304">
        <v>5</v>
      </c>
      <c r="B3304" t="s">
        <v>12624</v>
      </c>
      <c r="C3304" t="s">
        <v>12625</v>
      </c>
      <c r="D3304" t="s">
        <v>12627</v>
      </c>
      <c r="E3304" t="s">
        <v>8308</v>
      </c>
      <c r="F3304" t="s">
        <v>8309</v>
      </c>
      <c r="G3304" s="712">
        <v>0</v>
      </c>
      <c r="H3304">
        <v>0</v>
      </c>
      <c r="I3304" s="713">
        <v>0</v>
      </c>
      <c r="J3304" s="711">
        <v>6518987.3399999999</v>
      </c>
      <c r="K3304">
        <v>0</v>
      </c>
      <c r="L3304">
        <v>0</v>
      </c>
      <c r="M3304">
        <v>0</v>
      </c>
      <c r="N3304" s="711">
        <v>6518987.3399999999</v>
      </c>
      <c r="O3304">
        <v>0</v>
      </c>
      <c r="P3304" s="711">
        <v>6518987.3399999999</v>
      </c>
    </row>
    <row r="3305" spans="1:16">
      <c r="A3305">
        <v>5</v>
      </c>
      <c r="B3305" t="s">
        <v>12624</v>
      </c>
      <c r="C3305" t="s">
        <v>12625</v>
      </c>
      <c r="D3305" t="s">
        <v>12627</v>
      </c>
      <c r="E3305" t="s">
        <v>8312</v>
      </c>
      <c r="F3305" t="s">
        <v>8313</v>
      </c>
      <c r="G3305" s="712">
        <v>0</v>
      </c>
      <c r="H3305">
        <v>0</v>
      </c>
      <c r="I3305" s="713">
        <v>0</v>
      </c>
      <c r="J3305" s="711">
        <v>1357350.08</v>
      </c>
      <c r="K3305">
        <v>0</v>
      </c>
      <c r="L3305">
        <v>0</v>
      </c>
      <c r="M3305">
        <v>0</v>
      </c>
      <c r="N3305" s="711">
        <v>1357350.08</v>
      </c>
      <c r="O3305">
        <v>0</v>
      </c>
      <c r="P3305" s="711">
        <v>1357350.08</v>
      </c>
    </row>
    <row r="3306" spans="1:16">
      <c r="A3306">
        <v>5</v>
      </c>
      <c r="B3306" t="s">
        <v>12624</v>
      </c>
      <c r="C3306" t="s">
        <v>12625</v>
      </c>
      <c r="D3306" t="s">
        <v>12627</v>
      </c>
      <c r="E3306" t="s">
        <v>8315</v>
      </c>
      <c r="F3306" t="s">
        <v>8316</v>
      </c>
      <c r="G3306" s="712">
        <v>0</v>
      </c>
      <c r="H3306">
        <v>0</v>
      </c>
      <c r="I3306" s="713">
        <v>0</v>
      </c>
      <c r="J3306" s="711">
        <v>1163871.78</v>
      </c>
      <c r="K3306">
        <v>0</v>
      </c>
      <c r="L3306">
        <v>0</v>
      </c>
      <c r="M3306">
        <v>0</v>
      </c>
      <c r="N3306" s="711">
        <v>1163871.78</v>
      </c>
      <c r="O3306">
        <v>0</v>
      </c>
      <c r="P3306" s="711">
        <v>1163871.78</v>
      </c>
    </row>
    <row r="3307" spans="1:16">
      <c r="A3307">
        <v>5</v>
      </c>
      <c r="B3307" t="s">
        <v>12624</v>
      </c>
      <c r="C3307" t="s">
        <v>12625</v>
      </c>
      <c r="D3307" t="s">
        <v>12627</v>
      </c>
      <c r="E3307" t="s">
        <v>8318</v>
      </c>
      <c r="F3307" t="s">
        <v>8319</v>
      </c>
      <c r="G3307" s="712">
        <v>0</v>
      </c>
      <c r="H3307">
        <v>0</v>
      </c>
      <c r="I3307" s="713">
        <v>0</v>
      </c>
      <c r="J3307" s="711">
        <v>6850904.8200000003</v>
      </c>
      <c r="K3307">
        <v>0</v>
      </c>
      <c r="L3307">
        <v>0</v>
      </c>
      <c r="M3307">
        <v>0</v>
      </c>
      <c r="N3307" s="711">
        <v>6850904.8200000003</v>
      </c>
      <c r="O3307">
        <v>0</v>
      </c>
      <c r="P3307" s="711">
        <v>6850904.8200000003</v>
      </c>
    </row>
    <row r="3308" spans="1:16">
      <c r="A3308">
        <v>5</v>
      </c>
      <c r="B3308" t="s">
        <v>12624</v>
      </c>
      <c r="C3308" t="s">
        <v>12625</v>
      </c>
      <c r="D3308" t="s">
        <v>12627</v>
      </c>
      <c r="E3308" t="s">
        <v>8321</v>
      </c>
      <c r="F3308" t="s">
        <v>8322</v>
      </c>
      <c r="G3308" s="712">
        <v>0</v>
      </c>
      <c r="H3308">
        <v>0</v>
      </c>
      <c r="I3308" s="713">
        <v>0</v>
      </c>
      <c r="J3308" s="711">
        <v>1071113.79</v>
      </c>
      <c r="K3308">
        <v>0</v>
      </c>
      <c r="L3308">
        <v>0</v>
      </c>
      <c r="M3308">
        <v>0</v>
      </c>
      <c r="N3308" s="711">
        <v>1071113.79</v>
      </c>
      <c r="O3308">
        <v>0</v>
      </c>
      <c r="P3308" s="711">
        <v>1071113.79</v>
      </c>
    </row>
    <row r="3309" spans="1:16">
      <c r="A3309">
        <v>5</v>
      </c>
      <c r="B3309" t="s">
        <v>12624</v>
      </c>
      <c r="C3309" t="s">
        <v>12625</v>
      </c>
      <c r="D3309" t="s">
        <v>12627</v>
      </c>
      <c r="E3309" t="s">
        <v>8323</v>
      </c>
      <c r="F3309" t="s">
        <v>8324</v>
      </c>
      <c r="G3309" s="712">
        <v>0</v>
      </c>
      <c r="H3309">
        <v>0</v>
      </c>
      <c r="I3309" s="713">
        <v>0</v>
      </c>
      <c r="J3309">
        <v>178.51</v>
      </c>
      <c r="K3309">
        <v>0</v>
      </c>
      <c r="L3309">
        <v>0</v>
      </c>
      <c r="M3309">
        <v>0</v>
      </c>
      <c r="N3309">
        <v>178.51</v>
      </c>
      <c r="O3309">
        <v>0</v>
      </c>
      <c r="P3309">
        <v>178.51</v>
      </c>
    </row>
    <row r="3310" spans="1:16">
      <c r="A3310">
        <v>5</v>
      </c>
      <c r="B3310" t="s">
        <v>12624</v>
      </c>
      <c r="C3310" t="s">
        <v>12625</v>
      </c>
      <c r="D3310" t="s">
        <v>12627</v>
      </c>
      <c r="E3310" t="s">
        <v>8325</v>
      </c>
      <c r="F3310" t="s">
        <v>8326</v>
      </c>
      <c r="G3310" s="712">
        <v>0</v>
      </c>
      <c r="H3310">
        <v>0</v>
      </c>
      <c r="I3310" s="713">
        <v>0</v>
      </c>
      <c r="J3310" s="711">
        <v>141254.91</v>
      </c>
      <c r="K3310">
        <v>0</v>
      </c>
      <c r="L3310">
        <v>0</v>
      </c>
      <c r="M3310">
        <v>0</v>
      </c>
      <c r="N3310" s="711">
        <v>141254.91</v>
      </c>
      <c r="O3310">
        <v>0</v>
      </c>
      <c r="P3310" s="711">
        <v>141254.91</v>
      </c>
    </row>
    <row r="3311" spans="1:16">
      <c r="A3311">
        <v>5</v>
      </c>
      <c r="B3311" t="s">
        <v>12624</v>
      </c>
      <c r="C3311" t="s">
        <v>12625</v>
      </c>
      <c r="D3311" t="s">
        <v>12627</v>
      </c>
      <c r="E3311" t="s">
        <v>8327</v>
      </c>
      <c r="F3311" t="s">
        <v>8328</v>
      </c>
      <c r="G3311" s="712">
        <v>0</v>
      </c>
      <c r="H3311">
        <v>0</v>
      </c>
      <c r="I3311" s="713">
        <v>0</v>
      </c>
      <c r="J3311" s="711">
        <v>2886.76</v>
      </c>
      <c r="K3311">
        <v>0</v>
      </c>
      <c r="L3311">
        <v>0</v>
      </c>
      <c r="M3311">
        <v>0</v>
      </c>
      <c r="N3311" s="711">
        <v>2886.76</v>
      </c>
      <c r="O3311">
        <v>0</v>
      </c>
      <c r="P3311" s="711">
        <v>2886.76</v>
      </c>
    </row>
    <row r="3312" spans="1:16">
      <c r="A3312">
        <v>5</v>
      </c>
      <c r="B3312" t="s">
        <v>12624</v>
      </c>
      <c r="C3312" t="s">
        <v>12625</v>
      </c>
      <c r="D3312" t="s">
        <v>12627</v>
      </c>
      <c r="E3312" t="s">
        <v>8329</v>
      </c>
      <c r="F3312" t="s">
        <v>8330</v>
      </c>
      <c r="G3312" s="712">
        <v>0</v>
      </c>
      <c r="H3312">
        <v>0</v>
      </c>
      <c r="I3312" s="713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</row>
    <row r="3313" spans="1:16">
      <c r="A3313">
        <v>5</v>
      </c>
      <c r="B3313" t="s">
        <v>12624</v>
      </c>
      <c r="C3313" t="s">
        <v>12625</v>
      </c>
      <c r="D3313" t="s">
        <v>12627</v>
      </c>
      <c r="E3313" t="s">
        <v>8332</v>
      </c>
      <c r="F3313" t="s">
        <v>8333</v>
      </c>
      <c r="G3313" s="712">
        <v>0</v>
      </c>
      <c r="H3313">
        <v>0</v>
      </c>
      <c r="I3313" s="713">
        <v>0</v>
      </c>
      <c r="J3313" s="711">
        <v>980996.05</v>
      </c>
      <c r="K3313">
        <v>0</v>
      </c>
      <c r="L3313">
        <v>0</v>
      </c>
      <c r="M3313">
        <v>0</v>
      </c>
      <c r="N3313" s="711">
        <v>980996.05</v>
      </c>
      <c r="O3313">
        <v>0</v>
      </c>
      <c r="P3313" s="711">
        <v>980996.05</v>
      </c>
    </row>
    <row r="3314" spans="1:16">
      <c r="A3314">
        <v>5</v>
      </c>
      <c r="B3314" t="s">
        <v>12624</v>
      </c>
      <c r="C3314" t="s">
        <v>12625</v>
      </c>
      <c r="D3314" t="s">
        <v>12627</v>
      </c>
      <c r="E3314" t="s">
        <v>8335</v>
      </c>
      <c r="F3314" t="s">
        <v>8336</v>
      </c>
      <c r="G3314" s="712">
        <v>0</v>
      </c>
      <c r="H3314">
        <v>0</v>
      </c>
      <c r="I3314" s="713">
        <v>0</v>
      </c>
      <c r="J3314" s="711">
        <v>225648.75</v>
      </c>
      <c r="K3314">
        <v>0</v>
      </c>
      <c r="L3314">
        <v>0</v>
      </c>
      <c r="M3314">
        <v>0</v>
      </c>
      <c r="N3314" s="711">
        <v>225648.75</v>
      </c>
      <c r="O3314">
        <v>0</v>
      </c>
      <c r="P3314" s="711">
        <v>225648.75</v>
      </c>
    </row>
    <row r="3315" spans="1:16">
      <c r="A3315">
        <v>5</v>
      </c>
      <c r="B3315" t="s">
        <v>12624</v>
      </c>
      <c r="C3315" t="s">
        <v>12625</v>
      </c>
      <c r="D3315" t="s">
        <v>12627</v>
      </c>
      <c r="E3315" t="s">
        <v>8338</v>
      </c>
      <c r="F3315" t="s">
        <v>8339</v>
      </c>
      <c r="G3315" s="712">
        <v>0</v>
      </c>
      <c r="H3315">
        <v>0</v>
      </c>
      <c r="I3315" s="713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</row>
    <row r="3316" spans="1:16">
      <c r="A3316">
        <v>5</v>
      </c>
      <c r="B3316" t="s">
        <v>12624</v>
      </c>
      <c r="C3316" t="s">
        <v>12625</v>
      </c>
      <c r="D3316" t="s">
        <v>12627</v>
      </c>
      <c r="E3316" t="s">
        <v>8341</v>
      </c>
      <c r="F3316" t="s">
        <v>8342</v>
      </c>
      <c r="G3316" s="712">
        <v>0</v>
      </c>
      <c r="H3316">
        <v>0</v>
      </c>
      <c r="I3316" s="713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</row>
    <row r="3317" spans="1:16">
      <c r="A3317">
        <v>5</v>
      </c>
      <c r="B3317" t="s">
        <v>12624</v>
      </c>
      <c r="C3317" t="s">
        <v>12625</v>
      </c>
      <c r="D3317" t="s">
        <v>12627</v>
      </c>
      <c r="E3317" t="s">
        <v>8343</v>
      </c>
      <c r="F3317" t="s">
        <v>8344</v>
      </c>
      <c r="G3317" s="712">
        <v>0</v>
      </c>
      <c r="H3317">
        <v>0</v>
      </c>
      <c r="I3317" s="713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</row>
    <row r="3318" spans="1:16">
      <c r="A3318">
        <v>5</v>
      </c>
      <c r="B3318" t="s">
        <v>12624</v>
      </c>
      <c r="C3318" t="s">
        <v>12625</v>
      </c>
      <c r="D3318" t="s">
        <v>12627</v>
      </c>
      <c r="E3318" t="s">
        <v>8345</v>
      </c>
      <c r="F3318" t="s">
        <v>8346</v>
      </c>
      <c r="G3318" s="712">
        <v>0</v>
      </c>
      <c r="H3318">
        <v>0</v>
      </c>
      <c r="I3318" s="713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</row>
    <row r="3319" spans="1:16">
      <c r="A3319">
        <v>5</v>
      </c>
      <c r="B3319" t="s">
        <v>12624</v>
      </c>
      <c r="C3319" t="s">
        <v>12625</v>
      </c>
      <c r="D3319" t="s">
        <v>12627</v>
      </c>
      <c r="E3319" t="s">
        <v>8347</v>
      </c>
      <c r="F3319" t="s">
        <v>8348</v>
      </c>
      <c r="G3319" s="712">
        <v>0</v>
      </c>
      <c r="H3319">
        <v>0</v>
      </c>
      <c r="I3319" s="713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</row>
    <row r="3320" spans="1:16">
      <c r="A3320">
        <v>5</v>
      </c>
      <c r="B3320" t="s">
        <v>12624</v>
      </c>
      <c r="C3320" t="s">
        <v>12625</v>
      </c>
      <c r="D3320" t="s">
        <v>12627</v>
      </c>
      <c r="E3320" t="s">
        <v>8349</v>
      </c>
      <c r="F3320" t="s">
        <v>8350</v>
      </c>
      <c r="G3320" s="712">
        <v>0</v>
      </c>
      <c r="H3320">
        <v>0</v>
      </c>
      <c r="I3320" s="713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</row>
    <row r="3321" spans="1:16">
      <c r="A3321">
        <v>5</v>
      </c>
      <c r="B3321" t="s">
        <v>12624</v>
      </c>
      <c r="C3321" t="s">
        <v>12625</v>
      </c>
      <c r="D3321" t="s">
        <v>12627</v>
      </c>
      <c r="E3321" t="s">
        <v>8351</v>
      </c>
      <c r="F3321" t="s">
        <v>8352</v>
      </c>
      <c r="G3321" s="712">
        <v>0</v>
      </c>
      <c r="H3321">
        <v>0</v>
      </c>
      <c r="I3321" s="713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</row>
    <row r="3322" spans="1:16">
      <c r="A3322">
        <v>5</v>
      </c>
      <c r="B3322" t="s">
        <v>12624</v>
      </c>
      <c r="C3322" t="s">
        <v>12625</v>
      </c>
      <c r="D3322" t="s">
        <v>12627</v>
      </c>
      <c r="E3322" t="s">
        <v>8353</v>
      </c>
      <c r="F3322" t="s">
        <v>8354</v>
      </c>
      <c r="G3322" s="712">
        <v>0</v>
      </c>
      <c r="H3322">
        <v>0</v>
      </c>
      <c r="I3322" s="713">
        <v>0</v>
      </c>
      <c r="J3322" s="711">
        <v>244191.08</v>
      </c>
      <c r="K3322" s="711">
        <v>227406.48</v>
      </c>
      <c r="L3322">
        <v>0</v>
      </c>
      <c r="M3322">
        <v>0</v>
      </c>
      <c r="N3322" s="711">
        <v>244191.08</v>
      </c>
      <c r="O3322" s="711">
        <v>227406.48</v>
      </c>
      <c r="P3322" s="711">
        <v>16784.599999999999</v>
      </c>
    </row>
    <row r="3323" spans="1:16">
      <c r="A3323">
        <v>5</v>
      </c>
      <c r="B3323" t="s">
        <v>12624</v>
      </c>
      <c r="C3323" t="s">
        <v>12625</v>
      </c>
      <c r="D3323" t="s">
        <v>12627</v>
      </c>
      <c r="E3323" t="s">
        <v>8355</v>
      </c>
      <c r="F3323" t="s">
        <v>8356</v>
      </c>
      <c r="G3323" s="712">
        <v>0</v>
      </c>
      <c r="H3323">
        <v>0</v>
      </c>
      <c r="I3323" s="71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</row>
    <row r="3324" spans="1:16">
      <c r="A3324">
        <v>5</v>
      </c>
      <c r="B3324" t="s">
        <v>12624</v>
      </c>
      <c r="C3324" t="s">
        <v>12625</v>
      </c>
      <c r="D3324" t="s">
        <v>12627</v>
      </c>
      <c r="E3324" t="s">
        <v>8357</v>
      </c>
      <c r="F3324" t="s">
        <v>8358</v>
      </c>
      <c r="G3324" s="712">
        <v>0</v>
      </c>
      <c r="H3324">
        <v>0</v>
      </c>
      <c r="I3324" s="713">
        <v>0</v>
      </c>
      <c r="J3324" s="711">
        <v>3255869.36</v>
      </c>
      <c r="K3324" s="711">
        <v>509211.78</v>
      </c>
      <c r="L3324">
        <v>0</v>
      </c>
      <c r="M3324">
        <v>0</v>
      </c>
      <c r="N3324" s="711">
        <v>3255869.36</v>
      </c>
      <c r="O3324" s="711">
        <v>509211.78</v>
      </c>
      <c r="P3324" s="711">
        <v>2746657.58</v>
      </c>
    </row>
    <row r="3325" spans="1:16">
      <c r="A3325">
        <v>5</v>
      </c>
      <c r="B3325" t="s">
        <v>12624</v>
      </c>
      <c r="C3325" t="s">
        <v>12625</v>
      </c>
      <c r="D3325" t="s">
        <v>12627</v>
      </c>
      <c r="E3325" t="s">
        <v>8362</v>
      </c>
      <c r="F3325" t="s">
        <v>8363</v>
      </c>
      <c r="G3325" s="712">
        <v>0</v>
      </c>
      <c r="H3325">
        <v>0</v>
      </c>
      <c r="I3325" s="713">
        <v>0</v>
      </c>
      <c r="J3325" s="711">
        <v>1053560.77</v>
      </c>
      <c r="K3325">
        <v>0</v>
      </c>
      <c r="L3325">
        <v>0</v>
      </c>
      <c r="M3325">
        <v>0</v>
      </c>
      <c r="N3325" s="711">
        <v>1053560.77</v>
      </c>
      <c r="O3325">
        <v>0</v>
      </c>
      <c r="P3325" s="711">
        <v>1053560.77</v>
      </c>
    </row>
    <row r="3326" spans="1:16">
      <c r="A3326">
        <v>5</v>
      </c>
      <c r="B3326" t="s">
        <v>12624</v>
      </c>
      <c r="C3326" t="s">
        <v>12625</v>
      </c>
      <c r="D3326" t="s">
        <v>12627</v>
      </c>
      <c r="E3326" t="s">
        <v>8365</v>
      </c>
      <c r="F3326" t="s">
        <v>8366</v>
      </c>
      <c r="G3326" s="712">
        <v>0</v>
      </c>
      <c r="H3326">
        <v>0</v>
      </c>
      <c r="I3326" s="713">
        <v>0</v>
      </c>
      <c r="J3326" s="711">
        <v>215141.94</v>
      </c>
      <c r="K3326">
        <v>0</v>
      </c>
      <c r="L3326">
        <v>0</v>
      </c>
      <c r="M3326">
        <v>0</v>
      </c>
      <c r="N3326" s="711">
        <v>215141.94</v>
      </c>
      <c r="O3326">
        <v>0</v>
      </c>
      <c r="P3326" s="711">
        <v>215141.94</v>
      </c>
    </row>
    <row r="3327" spans="1:16">
      <c r="A3327">
        <v>5</v>
      </c>
      <c r="B3327" t="s">
        <v>12624</v>
      </c>
      <c r="C3327" t="s">
        <v>12625</v>
      </c>
      <c r="D3327" t="s">
        <v>12627</v>
      </c>
      <c r="E3327" t="s">
        <v>8368</v>
      </c>
      <c r="F3327" t="s">
        <v>8369</v>
      </c>
      <c r="G3327" s="712">
        <v>0</v>
      </c>
      <c r="H3327">
        <v>0</v>
      </c>
      <c r="I3327" s="713">
        <v>0</v>
      </c>
      <c r="J3327" s="711">
        <v>184475.35</v>
      </c>
      <c r="K3327">
        <v>0</v>
      </c>
      <c r="L3327">
        <v>0</v>
      </c>
      <c r="M3327">
        <v>0</v>
      </c>
      <c r="N3327" s="711">
        <v>184475.35</v>
      </c>
      <c r="O3327">
        <v>0</v>
      </c>
      <c r="P3327" s="711">
        <v>184475.35</v>
      </c>
    </row>
    <row r="3328" spans="1:16">
      <c r="A3328">
        <v>5</v>
      </c>
      <c r="B3328" t="s">
        <v>12624</v>
      </c>
      <c r="C3328" t="s">
        <v>12625</v>
      </c>
      <c r="D3328" t="s">
        <v>12627</v>
      </c>
      <c r="E3328" t="s">
        <v>8371</v>
      </c>
      <c r="F3328" t="s">
        <v>8372</v>
      </c>
      <c r="G3328" s="712">
        <v>0</v>
      </c>
      <c r="H3328">
        <v>0</v>
      </c>
      <c r="I3328" s="713">
        <v>0</v>
      </c>
      <c r="J3328" s="711">
        <v>1030250.91</v>
      </c>
      <c r="K3328">
        <v>0</v>
      </c>
      <c r="L3328">
        <v>0</v>
      </c>
      <c r="M3328">
        <v>0</v>
      </c>
      <c r="N3328" s="711">
        <v>1030250.91</v>
      </c>
      <c r="O3328">
        <v>0</v>
      </c>
      <c r="P3328" s="711">
        <v>1030250.91</v>
      </c>
    </row>
    <row r="3329" spans="1:16">
      <c r="A3329">
        <v>5</v>
      </c>
      <c r="B3329" t="s">
        <v>12624</v>
      </c>
      <c r="C3329" t="s">
        <v>12625</v>
      </c>
      <c r="D3329" t="s">
        <v>12627</v>
      </c>
      <c r="E3329" t="s">
        <v>8374</v>
      </c>
      <c r="F3329" t="s">
        <v>8375</v>
      </c>
      <c r="G3329" s="712">
        <v>0</v>
      </c>
      <c r="H3329">
        <v>0</v>
      </c>
      <c r="I3329" s="713">
        <v>0</v>
      </c>
      <c r="J3329" s="711">
        <v>163664.72</v>
      </c>
      <c r="K3329">
        <v>0</v>
      </c>
      <c r="L3329">
        <v>0</v>
      </c>
      <c r="M3329">
        <v>0</v>
      </c>
      <c r="N3329" s="711">
        <v>163664.72</v>
      </c>
      <c r="O3329">
        <v>0</v>
      </c>
      <c r="P3329" s="711">
        <v>163664.72</v>
      </c>
    </row>
    <row r="3330" spans="1:16">
      <c r="A3330">
        <v>5</v>
      </c>
      <c r="B3330" t="s">
        <v>12624</v>
      </c>
      <c r="C3330" t="s">
        <v>12625</v>
      </c>
      <c r="D3330" t="s">
        <v>12627</v>
      </c>
      <c r="E3330" t="s">
        <v>8376</v>
      </c>
      <c r="F3330" t="s">
        <v>8377</v>
      </c>
      <c r="G3330" s="712">
        <v>0</v>
      </c>
      <c r="H3330">
        <v>0</v>
      </c>
      <c r="I3330" s="713">
        <v>0</v>
      </c>
      <c r="J3330" s="711">
        <v>54964.53</v>
      </c>
      <c r="K3330">
        <v>0</v>
      </c>
      <c r="L3330">
        <v>0</v>
      </c>
      <c r="M3330">
        <v>0</v>
      </c>
      <c r="N3330" s="711">
        <v>54964.53</v>
      </c>
      <c r="O3330">
        <v>0</v>
      </c>
      <c r="P3330" s="711">
        <v>54964.53</v>
      </c>
    </row>
    <row r="3331" spans="1:16">
      <c r="A3331">
        <v>5</v>
      </c>
      <c r="B3331" t="s">
        <v>12624</v>
      </c>
      <c r="C3331" t="s">
        <v>12625</v>
      </c>
      <c r="D3331" t="s">
        <v>12627</v>
      </c>
      <c r="E3331" t="s">
        <v>8378</v>
      </c>
      <c r="F3331" t="s">
        <v>8379</v>
      </c>
      <c r="G3331" s="712">
        <v>0</v>
      </c>
      <c r="H3331">
        <v>0</v>
      </c>
      <c r="I3331" s="713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</row>
    <row r="3332" spans="1:16">
      <c r="A3332">
        <v>5</v>
      </c>
      <c r="B3332" t="s">
        <v>12624</v>
      </c>
      <c r="C3332" t="s">
        <v>12625</v>
      </c>
      <c r="D3332" t="s">
        <v>12627</v>
      </c>
      <c r="E3332" t="s">
        <v>8380</v>
      </c>
      <c r="F3332" t="s">
        <v>8381</v>
      </c>
      <c r="G3332" s="712">
        <v>0</v>
      </c>
      <c r="H3332">
        <v>0</v>
      </c>
      <c r="I3332" s="713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</row>
    <row r="3333" spans="1:16">
      <c r="A3333">
        <v>5</v>
      </c>
      <c r="B3333" t="s">
        <v>12624</v>
      </c>
      <c r="C3333" t="s">
        <v>12625</v>
      </c>
      <c r="D3333" t="s">
        <v>12627</v>
      </c>
      <c r="E3333" t="s">
        <v>8382</v>
      </c>
      <c r="F3333" t="s">
        <v>8383</v>
      </c>
      <c r="G3333" s="712">
        <v>0</v>
      </c>
      <c r="H3333">
        <v>0</v>
      </c>
      <c r="I3333" s="713">
        <v>0</v>
      </c>
      <c r="J3333" s="711">
        <v>24239.93</v>
      </c>
      <c r="K3333">
        <v>0</v>
      </c>
      <c r="L3333">
        <v>0</v>
      </c>
      <c r="M3333">
        <v>0</v>
      </c>
      <c r="N3333" s="711">
        <v>24239.93</v>
      </c>
      <c r="O3333">
        <v>0</v>
      </c>
      <c r="P3333" s="711">
        <v>24239.93</v>
      </c>
    </row>
    <row r="3334" spans="1:16">
      <c r="A3334">
        <v>5</v>
      </c>
      <c r="B3334" t="s">
        <v>12624</v>
      </c>
      <c r="C3334" t="s">
        <v>12625</v>
      </c>
      <c r="D3334" t="s">
        <v>12627</v>
      </c>
      <c r="E3334" t="s">
        <v>8384</v>
      </c>
      <c r="F3334" t="s">
        <v>8385</v>
      </c>
      <c r="G3334" s="712">
        <v>0</v>
      </c>
      <c r="H3334">
        <v>0</v>
      </c>
      <c r="I3334" s="713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</row>
    <row r="3335" spans="1:16">
      <c r="A3335">
        <v>5</v>
      </c>
      <c r="B3335" t="s">
        <v>12624</v>
      </c>
      <c r="C3335" t="s">
        <v>12625</v>
      </c>
      <c r="D3335" t="s">
        <v>12627</v>
      </c>
      <c r="E3335" t="s">
        <v>8386</v>
      </c>
      <c r="F3335" t="s">
        <v>8387</v>
      </c>
      <c r="G3335" s="712">
        <v>0</v>
      </c>
      <c r="H3335">
        <v>0</v>
      </c>
      <c r="I3335" s="713">
        <v>0</v>
      </c>
      <c r="J3335">
        <v>2.29</v>
      </c>
      <c r="K3335">
        <v>0</v>
      </c>
      <c r="L3335">
        <v>0</v>
      </c>
      <c r="M3335">
        <v>0</v>
      </c>
      <c r="N3335">
        <v>2.29</v>
      </c>
      <c r="O3335">
        <v>0</v>
      </c>
      <c r="P3335">
        <v>2.29</v>
      </c>
    </row>
    <row r="3336" spans="1:16">
      <c r="A3336">
        <v>5</v>
      </c>
      <c r="B3336" t="s">
        <v>12624</v>
      </c>
      <c r="C3336" t="s">
        <v>12625</v>
      </c>
      <c r="D3336" t="s">
        <v>12627</v>
      </c>
      <c r="E3336" t="s">
        <v>8388</v>
      </c>
      <c r="F3336" t="s">
        <v>8389</v>
      </c>
      <c r="G3336" s="712">
        <v>0</v>
      </c>
      <c r="H3336">
        <v>0</v>
      </c>
      <c r="I3336" s="713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</row>
    <row r="3337" spans="1:16">
      <c r="A3337">
        <v>5</v>
      </c>
      <c r="B3337" t="s">
        <v>12624</v>
      </c>
      <c r="C3337" t="s">
        <v>12625</v>
      </c>
      <c r="D3337" t="s">
        <v>12627</v>
      </c>
      <c r="E3337" t="s">
        <v>8391</v>
      </c>
      <c r="F3337" t="s">
        <v>8392</v>
      </c>
      <c r="G3337" s="712">
        <v>0</v>
      </c>
      <c r="H3337">
        <v>0</v>
      </c>
      <c r="I3337" s="713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</row>
    <row r="3338" spans="1:16">
      <c r="A3338">
        <v>5</v>
      </c>
      <c r="B3338" t="s">
        <v>12624</v>
      </c>
      <c r="C3338" t="s">
        <v>12625</v>
      </c>
      <c r="D3338" t="s">
        <v>12627</v>
      </c>
      <c r="E3338" t="s">
        <v>8394</v>
      </c>
      <c r="F3338" t="s">
        <v>8395</v>
      </c>
      <c r="G3338" s="712">
        <v>0</v>
      </c>
      <c r="H3338">
        <v>0</v>
      </c>
      <c r="I3338" s="713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</row>
    <row r="3339" spans="1:16">
      <c r="A3339">
        <v>5</v>
      </c>
      <c r="B3339" t="s">
        <v>12624</v>
      </c>
      <c r="C3339" t="s">
        <v>12625</v>
      </c>
      <c r="D3339" t="s">
        <v>12627</v>
      </c>
      <c r="E3339" t="s">
        <v>8397</v>
      </c>
      <c r="F3339" t="s">
        <v>8398</v>
      </c>
      <c r="G3339" s="712">
        <v>0</v>
      </c>
      <c r="H3339">
        <v>0</v>
      </c>
      <c r="I3339" s="713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</row>
    <row r="3340" spans="1:16">
      <c r="A3340">
        <v>5</v>
      </c>
      <c r="B3340" t="s">
        <v>12624</v>
      </c>
      <c r="C3340" t="s">
        <v>12625</v>
      </c>
      <c r="D3340" t="s">
        <v>12627</v>
      </c>
      <c r="E3340" t="s">
        <v>8400</v>
      </c>
      <c r="F3340" t="s">
        <v>8401</v>
      </c>
      <c r="G3340" s="712">
        <v>0</v>
      </c>
      <c r="H3340">
        <v>0</v>
      </c>
      <c r="I3340" s="713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</row>
    <row r="3341" spans="1:16">
      <c r="A3341">
        <v>5</v>
      </c>
      <c r="B3341" t="s">
        <v>12624</v>
      </c>
      <c r="C3341" t="s">
        <v>12625</v>
      </c>
      <c r="D3341" t="s">
        <v>12627</v>
      </c>
      <c r="E3341" t="s">
        <v>8402</v>
      </c>
      <c r="F3341" t="s">
        <v>8403</v>
      </c>
      <c r="G3341" s="712">
        <v>0</v>
      </c>
      <c r="H3341">
        <v>0</v>
      </c>
      <c r="I3341" s="713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</row>
    <row r="3342" spans="1:16">
      <c r="A3342">
        <v>5</v>
      </c>
      <c r="B3342" t="s">
        <v>12624</v>
      </c>
      <c r="C3342" t="s">
        <v>12625</v>
      </c>
      <c r="D3342" t="s">
        <v>12627</v>
      </c>
      <c r="E3342" t="s">
        <v>8404</v>
      </c>
      <c r="F3342" t="s">
        <v>8405</v>
      </c>
      <c r="G3342" s="712">
        <v>0</v>
      </c>
      <c r="H3342">
        <v>0</v>
      </c>
      <c r="I3342" s="713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</row>
    <row r="3343" spans="1:16">
      <c r="A3343">
        <v>5</v>
      </c>
      <c r="B3343" t="s">
        <v>12624</v>
      </c>
      <c r="C3343" t="s">
        <v>12625</v>
      </c>
      <c r="D3343" t="s">
        <v>12627</v>
      </c>
      <c r="E3343" t="s">
        <v>8406</v>
      </c>
      <c r="F3343" t="s">
        <v>8407</v>
      </c>
      <c r="G3343" s="712">
        <v>0</v>
      </c>
      <c r="H3343">
        <v>0</v>
      </c>
      <c r="I3343" s="71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</row>
    <row r="3344" spans="1:16">
      <c r="A3344">
        <v>5</v>
      </c>
      <c r="B3344" t="s">
        <v>12624</v>
      </c>
      <c r="C3344" t="s">
        <v>12625</v>
      </c>
      <c r="D3344" t="s">
        <v>12627</v>
      </c>
      <c r="E3344" t="s">
        <v>8408</v>
      </c>
      <c r="F3344" t="s">
        <v>8409</v>
      </c>
      <c r="G3344" s="712">
        <v>0</v>
      </c>
      <c r="H3344">
        <v>0</v>
      </c>
      <c r="I3344" s="713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</row>
    <row r="3345" spans="1:16">
      <c r="A3345">
        <v>5</v>
      </c>
      <c r="B3345" t="s">
        <v>12624</v>
      </c>
      <c r="C3345" t="s">
        <v>12625</v>
      </c>
      <c r="D3345" t="s">
        <v>12627</v>
      </c>
      <c r="E3345" t="s">
        <v>8410</v>
      </c>
      <c r="F3345" t="s">
        <v>8411</v>
      </c>
      <c r="G3345" s="712">
        <v>0</v>
      </c>
      <c r="H3345">
        <v>0</v>
      </c>
      <c r="I3345" s="713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</row>
    <row r="3346" spans="1:16">
      <c r="A3346">
        <v>5</v>
      </c>
      <c r="B3346" t="s">
        <v>12624</v>
      </c>
      <c r="C3346" t="s">
        <v>12625</v>
      </c>
      <c r="D3346" t="s">
        <v>12627</v>
      </c>
      <c r="E3346" t="s">
        <v>8412</v>
      </c>
      <c r="F3346" t="s">
        <v>8413</v>
      </c>
      <c r="G3346" s="712">
        <v>0</v>
      </c>
      <c r="H3346">
        <v>0</v>
      </c>
      <c r="I3346" s="713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</row>
    <row r="3347" spans="1:16">
      <c r="A3347">
        <v>5</v>
      </c>
      <c r="B3347" t="s">
        <v>12624</v>
      </c>
      <c r="C3347" t="s">
        <v>12625</v>
      </c>
      <c r="D3347" t="s">
        <v>12627</v>
      </c>
      <c r="E3347" t="s">
        <v>8414</v>
      </c>
      <c r="F3347" t="s">
        <v>8415</v>
      </c>
      <c r="G3347" s="712">
        <v>0</v>
      </c>
      <c r="H3347">
        <v>0</v>
      </c>
      <c r="I3347" s="713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</row>
    <row r="3348" spans="1:16">
      <c r="A3348">
        <v>5</v>
      </c>
      <c r="B3348" t="s">
        <v>12624</v>
      </c>
      <c r="C3348" t="s">
        <v>12625</v>
      </c>
      <c r="D3348" t="s">
        <v>12627</v>
      </c>
      <c r="E3348" t="s">
        <v>8416</v>
      </c>
      <c r="F3348" t="s">
        <v>8417</v>
      </c>
      <c r="G3348" s="712">
        <v>0</v>
      </c>
      <c r="H3348">
        <v>0</v>
      </c>
      <c r="I3348" s="713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</row>
    <row r="3349" spans="1:16">
      <c r="A3349">
        <v>5</v>
      </c>
      <c r="B3349" t="s">
        <v>12624</v>
      </c>
      <c r="C3349" t="s">
        <v>12625</v>
      </c>
      <c r="D3349" t="s">
        <v>12627</v>
      </c>
      <c r="E3349" t="s">
        <v>8418</v>
      </c>
      <c r="F3349" t="s">
        <v>8419</v>
      </c>
      <c r="G3349" s="712">
        <v>0</v>
      </c>
      <c r="H3349">
        <v>0</v>
      </c>
      <c r="I3349" s="713">
        <v>0</v>
      </c>
      <c r="J3349" s="711">
        <v>36629.300000000003</v>
      </c>
      <c r="K3349" s="711">
        <v>36137.300000000003</v>
      </c>
      <c r="L3349">
        <v>0</v>
      </c>
      <c r="M3349">
        <v>0</v>
      </c>
      <c r="N3349" s="711">
        <v>36629.300000000003</v>
      </c>
      <c r="O3349" s="711">
        <v>36137.300000000003</v>
      </c>
      <c r="P3349">
        <v>492</v>
      </c>
    </row>
    <row r="3350" spans="1:16" ht="15.75" thickBot="1">
      <c r="A3350">
        <v>5</v>
      </c>
      <c r="B3350" t="s">
        <v>12624</v>
      </c>
      <c r="C3350" t="s">
        <v>12625</v>
      </c>
      <c r="D3350" t="s">
        <v>12627</v>
      </c>
      <c r="E3350" t="s">
        <v>8420</v>
      </c>
      <c r="F3350" t="s">
        <v>8421</v>
      </c>
      <c r="G3350" s="712">
        <v>0</v>
      </c>
      <c r="H3350">
        <v>0</v>
      </c>
      <c r="I3350" s="713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</row>
    <row r="3351" spans="1:16" ht="15.75" thickBot="1">
      <c r="A3351" s="727">
        <v>5</v>
      </c>
      <c r="B3351" s="727" t="s">
        <v>12624</v>
      </c>
      <c r="C3351" s="727" t="s">
        <v>12625</v>
      </c>
      <c r="D3351" s="727" t="s">
        <v>12629</v>
      </c>
      <c r="E3351" s="727"/>
      <c r="F3351" s="729" t="s">
        <v>12630</v>
      </c>
      <c r="G3351" s="738">
        <v>0</v>
      </c>
      <c r="H3351" s="738">
        <v>0</v>
      </c>
      <c r="I3351" s="738">
        <v>0</v>
      </c>
      <c r="J3351" s="739">
        <v>2527591.1800000002</v>
      </c>
      <c r="K3351" s="739">
        <v>30180.15</v>
      </c>
      <c r="L3351" s="738">
        <v>0</v>
      </c>
      <c r="M3351" s="738">
        <v>0</v>
      </c>
      <c r="N3351" s="739">
        <v>2527591.1800000002</v>
      </c>
      <c r="O3351" s="739">
        <v>30180.15</v>
      </c>
      <c r="P3351" s="739">
        <v>2497411.0299999998</v>
      </c>
    </row>
    <row r="3352" spans="1:16">
      <c r="A3352">
        <v>5</v>
      </c>
      <c r="B3352" t="s">
        <v>12624</v>
      </c>
      <c r="C3352" t="s">
        <v>12625</v>
      </c>
      <c r="D3352" t="s">
        <v>12629</v>
      </c>
      <c r="E3352" t="s">
        <v>8427</v>
      </c>
      <c r="F3352" t="s">
        <v>8428</v>
      </c>
      <c r="G3352" s="712">
        <v>0</v>
      </c>
      <c r="H3352">
        <v>0</v>
      </c>
      <c r="I3352" s="713">
        <v>0</v>
      </c>
      <c r="J3352" s="711">
        <v>1160729.19</v>
      </c>
      <c r="K3352" s="711">
        <v>26743.22</v>
      </c>
      <c r="L3352">
        <v>0</v>
      </c>
      <c r="M3352">
        <v>0</v>
      </c>
      <c r="N3352" s="711">
        <v>1160729.19</v>
      </c>
      <c r="O3352" s="711">
        <v>26743.22</v>
      </c>
      <c r="P3352" s="711">
        <v>1133985.97</v>
      </c>
    </row>
    <row r="3353" spans="1:16">
      <c r="A3353">
        <v>5</v>
      </c>
      <c r="B3353" t="s">
        <v>12624</v>
      </c>
      <c r="C3353" t="s">
        <v>12625</v>
      </c>
      <c r="D3353" t="s">
        <v>12629</v>
      </c>
      <c r="E3353" t="s">
        <v>8432</v>
      </c>
      <c r="F3353" t="s">
        <v>8433</v>
      </c>
      <c r="G3353" s="712">
        <v>0</v>
      </c>
      <c r="H3353">
        <v>0</v>
      </c>
      <c r="I3353" s="713">
        <v>0</v>
      </c>
      <c r="J3353" s="711">
        <v>439681.86</v>
      </c>
      <c r="K3353">
        <v>0</v>
      </c>
      <c r="L3353">
        <v>0</v>
      </c>
      <c r="M3353">
        <v>0</v>
      </c>
      <c r="N3353" s="711">
        <v>439681.86</v>
      </c>
      <c r="O3353">
        <v>0</v>
      </c>
      <c r="P3353" s="711">
        <v>439681.86</v>
      </c>
    </row>
    <row r="3354" spans="1:16">
      <c r="A3354">
        <v>5</v>
      </c>
      <c r="B3354" t="s">
        <v>12624</v>
      </c>
      <c r="C3354" t="s">
        <v>12625</v>
      </c>
      <c r="D3354" t="s">
        <v>12629</v>
      </c>
      <c r="E3354" t="s">
        <v>8435</v>
      </c>
      <c r="F3354" t="s">
        <v>8436</v>
      </c>
      <c r="G3354" s="712">
        <v>0</v>
      </c>
      <c r="H3354">
        <v>0</v>
      </c>
      <c r="I3354" s="713">
        <v>0</v>
      </c>
      <c r="J3354" s="711">
        <v>89968.45</v>
      </c>
      <c r="K3354">
        <v>0</v>
      </c>
      <c r="L3354">
        <v>0</v>
      </c>
      <c r="M3354">
        <v>0</v>
      </c>
      <c r="N3354" s="711">
        <v>89968.45</v>
      </c>
      <c r="O3354">
        <v>0</v>
      </c>
      <c r="P3354" s="711">
        <v>89968.45</v>
      </c>
    </row>
    <row r="3355" spans="1:16">
      <c r="A3355">
        <v>5</v>
      </c>
      <c r="B3355" t="s">
        <v>12624</v>
      </c>
      <c r="C3355" t="s">
        <v>12625</v>
      </c>
      <c r="D3355" t="s">
        <v>12629</v>
      </c>
      <c r="E3355" t="s">
        <v>8438</v>
      </c>
      <c r="F3355" t="s">
        <v>8439</v>
      </c>
      <c r="G3355" s="712">
        <v>0</v>
      </c>
      <c r="H3355">
        <v>0</v>
      </c>
      <c r="I3355" s="713">
        <v>0</v>
      </c>
      <c r="J3355" s="711">
        <v>77144.240000000005</v>
      </c>
      <c r="K3355">
        <v>0</v>
      </c>
      <c r="L3355">
        <v>0</v>
      </c>
      <c r="M3355">
        <v>0</v>
      </c>
      <c r="N3355" s="711">
        <v>77144.240000000005</v>
      </c>
      <c r="O3355">
        <v>0</v>
      </c>
      <c r="P3355" s="711">
        <v>77144.240000000005</v>
      </c>
    </row>
    <row r="3356" spans="1:16">
      <c r="A3356">
        <v>5</v>
      </c>
      <c r="B3356" t="s">
        <v>12624</v>
      </c>
      <c r="C3356" t="s">
        <v>12625</v>
      </c>
      <c r="D3356" t="s">
        <v>12629</v>
      </c>
      <c r="E3356" t="s">
        <v>8441</v>
      </c>
      <c r="F3356" t="s">
        <v>8442</v>
      </c>
      <c r="G3356" s="712">
        <v>0</v>
      </c>
      <c r="H3356">
        <v>0</v>
      </c>
      <c r="I3356" s="713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</row>
    <row r="3357" spans="1:16">
      <c r="A3357">
        <v>5</v>
      </c>
      <c r="B3357" t="s">
        <v>12624</v>
      </c>
      <c r="C3357" t="s">
        <v>12625</v>
      </c>
      <c r="D3357" t="s">
        <v>12629</v>
      </c>
      <c r="E3357" t="s">
        <v>8444</v>
      </c>
      <c r="F3357" t="s">
        <v>8445</v>
      </c>
      <c r="G3357" s="712">
        <v>0</v>
      </c>
      <c r="H3357">
        <v>0</v>
      </c>
      <c r="I3357" s="713">
        <v>0</v>
      </c>
      <c r="J3357" s="711">
        <v>157601.69</v>
      </c>
      <c r="K3357">
        <v>0</v>
      </c>
      <c r="L3357">
        <v>0</v>
      </c>
      <c r="M3357">
        <v>0</v>
      </c>
      <c r="N3357" s="711">
        <v>157601.69</v>
      </c>
      <c r="O3357">
        <v>0</v>
      </c>
      <c r="P3357" s="711">
        <v>157601.69</v>
      </c>
    </row>
    <row r="3358" spans="1:16">
      <c r="A3358">
        <v>5</v>
      </c>
      <c r="B3358" t="s">
        <v>12624</v>
      </c>
      <c r="C3358" t="s">
        <v>12625</v>
      </c>
      <c r="D3358" t="s">
        <v>12629</v>
      </c>
      <c r="E3358" t="s">
        <v>8446</v>
      </c>
      <c r="F3358" t="s">
        <v>8447</v>
      </c>
      <c r="G3358" s="712">
        <v>0</v>
      </c>
      <c r="H3358">
        <v>0</v>
      </c>
      <c r="I3358" s="713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</row>
    <row r="3359" spans="1:16">
      <c r="A3359">
        <v>5</v>
      </c>
      <c r="B3359" t="s">
        <v>12624</v>
      </c>
      <c r="C3359" t="s">
        <v>12625</v>
      </c>
      <c r="D3359" t="s">
        <v>12629</v>
      </c>
      <c r="E3359" t="s">
        <v>8448</v>
      </c>
      <c r="F3359" t="s">
        <v>8449</v>
      </c>
      <c r="G3359" s="712">
        <v>0</v>
      </c>
      <c r="H3359">
        <v>0</v>
      </c>
      <c r="I3359" s="713">
        <v>0</v>
      </c>
      <c r="J3359">
        <v>1.18</v>
      </c>
      <c r="K3359">
        <v>0</v>
      </c>
      <c r="L3359">
        <v>0</v>
      </c>
      <c r="M3359">
        <v>0</v>
      </c>
      <c r="N3359">
        <v>1.18</v>
      </c>
      <c r="O3359">
        <v>0</v>
      </c>
      <c r="P3359">
        <v>1.18</v>
      </c>
    </row>
    <row r="3360" spans="1:16">
      <c r="A3360">
        <v>5</v>
      </c>
      <c r="B3360" t="s">
        <v>12624</v>
      </c>
      <c r="C3360" t="s">
        <v>12625</v>
      </c>
      <c r="D3360" t="s">
        <v>12629</v>
      </c>
      <c r="E3360" t="s">
        <v>8450</v>
      </c>
      <c r="F3360" t="s">
        <v>8451</v>
      </c>
      <c r="G3360" s="712">
        <v>0</v>
      </c>
      <c r="H3360">
        <v>0</v>
      </c>
      <c r="I3360" s="713">
        <v>0</v>
      </c>
      <c r="J3360" s="711">
        <v>8852.94</v>
      </c>
      <c r="K3360">
        <v>0</v>
      </c>
      <c r="L3360">
        <v>0</v>
      </c>
      <c r="M3360">
        <v>0</v>
      </c>
      <c r="N3360" s="711">
        <v>8852.94</v>
      </c>
      <c r="O3360">
        <v>0</v>
      </c>
      <c r="P3360" s="711">
        <v>8852.94</v>
      </c>
    </row>
    <row r="3361" spans="1:16">
      <c r="A3361">
        <v>5</v>
      </c>
      <c r="B3361" t="s">
        <v>12624</v>
      </c>
      <c r="C3361" t="s">
        <v>12625</v>
      </c>
      <c r="D3361" t="s">
        <v>12629</v>
      </c>
      <c r="E3361" t="s">
        <v>8452</v>
      </c>
      <c r="F3361" t="s">
        <v>8453</v>
      </c>
      <c r="G3361" s="712">
        <v>0</v>
      </c>
      <c r="H3361">
        <v>0</v>
      </c>
      <c r="I3361" s="713">
        <v>0</v>
      </c>
      <c r="J3361" s="711">
        <v>316157.33</v>
      </c>
      <c r="K3361">
        <v>0</v>
      </c>
      <c r="L3361">
        <v>0</v>
      </c>
      <c r="M3361">
        <v>0</v>
      </c>
      <c r="N3361" s="711">
        <v>316157.33</v>
      </c>
      <c r="O3361">
        <v>0</v>
      </c>
      <c r="P3361" s="711">
        <v>316157.33</v>
      </c>
    </row>
    <row r="3362" spans="1:16">
      <c r="A3362">
        <v>5</v>
      </c>
      <c r="B3362" t="s">
        <v>12624</v>
      </c>
      <c r="C3362" t="s">
        <v>12625</v>
      </c>
      <c r="D3362" t="s">
        <v>12629</v>
      </c>
      <c r="E3362" t="s">
        <v>8454</v>
      </c>
      <c r="F3362" t="s">
        <v>8455</v>
      </c>
      <c r="G3362" s="712">
        <v>0</v>
      </c>
      <c r="H3362">
        <v>0</v>
      </c>
      <c r="I3362" s="713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</row>
    <row r="3363" spans="1:16">
      <c r="A3363">
        <v>5</v>
      </c>
      <c r="B3363" t="s">
        <v>12624</v>
      </c>
      <c r="C3363" t="s">
        <v>12625</v>
      </c>
      <c r="D3363" t="s">
        <v>12629</v>
      </c>
      <c r="E3363" t="s">
        <v>8457</v>
      </c>
      <c r="F3363" t="s">
        <v>8458</v>
      </c>
      <c r="G3363" s="712">
        <v>0</v>
      </c>
      <c r="H3363">
        <v>0</v>
      </c>
      <c r="I3363" s="71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</row>
    <row r="3364" spans="1:16">
      <c r="A3364">
        <v>5</v>
      </c>
      <c r="B3364" t="s">
        <v>12624</v>
      </c>
      <c r="C3364" t="s">
        <v>12625</v>
      </c>
      <c r="D3364" t="s">
        <v>12629</v>
      </c>
      <c r="E3364" t="s">
        <v>8460</v>
      </c>
      <c r="F3364" t="s">
        <v>8461</v>
      </c>
      <c r="G3364" s="712">
        <v>0</v>
      </c>
      <c r="H3364">
        <v>0</v>
      </c>
      <c r="I3364" s="713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</row>
    <row r="3365" spans="1:16">
      <c r="A3365">
        <v>5</v>
      </c>
      <c r="B3365" t="s">
        <v>12624</v>
      </c>
      <c r="C3365" t="s">
        <v>12625</v>
      </c>
      <c r="D3365" t="s">
        <v>12629</v>
      </c>
      <c r="E3365" t="s">
        <v>8463</v>
      </c>
      <c r="F3365" t="s">
        <v>8464</v>
      </c>
      <c r="G3365" s="712">
        <v>0</v>
      </c>
      <c r="H3365">
        <v>0</v>
      </c>
      <c r="I3365" s="713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</row>
    <row r="3366" spans="1:16">
      <c r="A3366">
        <v>5</v>
      </c>
      <c r="B3366" t="s">
        <v>12624</v>
      </c>
      <c r="C3366" t="s">
        <v>12625</v>
      </c>
      <c r="D3366" t="s">
        <v>12629</v>
      </c>
      <c r="E3366" t="s">
        <v>8466</v>
      </c>
      <c r="F3366" t="s">
        <v>8467</v>
      </c>
      <c r="G3366" s="712">
        <v>0</v>
      </c>
      <c r="H3366">
        <v>0</v>
      </c>
      <c r="I3366" s="713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</row>
    <row r="3367" spans="1:16">
      <c r="A3367">
        <v>5</v>
      </c>
      <c r="B3367" t="s">
        <v>12624</v>
      </c>
      <c r="C3367" t="s">
        <v>12625</v>
      </c>
      <c r="D3367" t="s">
        <v>12629</v>
      </c>
      <c r="E3367" t="s">
        <v>8468</v>
      </c>
      <c r="F3367" t="s">
        <v>8469</v>
      </c>
      <c r="G3367" s="712">
        <v>0</v>
      </c>
      <c r="H3367">
        <v>0</v>
      </c>
      <c r="I3367" s="713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</row>
    <row r="3368" spans="1:16">
      <c r="A3368">
        <v>5</v>
      </c>
      <c r="B3368" t="s">
        <v>12624</v>
      </c>
      <c r="C3368" t="s">
        <v>12625</v>
      </c>
      <c r="D3368" t="s">
        <v>12629</v>
      </c>
      <c r="E3368" t="s">
        <v>8470</v>
      </c>
      <c r="F3368" t="s">
        <v>8471</v>
      </c>
      <c r="G3368" s="712">
        <v>0</v>
      </c>
      <c r="H3368">
        <v>0</v>
      </c>
      <c r="I3368" s="713">
        <v>0</v>
      </c>
      <c r="J3368" s="711">
        <v>2186.42</v>
      </c>
      <c r="K3368">
        <v>0</v>
      </c>
      <c r="L3368">
        <v>0</v>
      </c>
      <c r="M3368">
        <v>0</v>
      </c>
      <c r="N3368" s="711">
        <v>2186.42</v>
      </c>
      <c r="O3368">
        <v>0</v>
      </c>
      <c r="P3368" s="711">
        <v>2186.42</v>
      </c>
    </row>
    <row r="3369" spans="1:16">
      <c r="A3369">
        <v>5</v>
      </c>
      <c r="B3369" t="s">
        <v>12624</v>
      </c>
      <c r="C3369" t="s">
        <v>12625</v>
      </c>
      <c r="D3369" t="s">
        <v>12629</v>
      </c>
      <c r="E3369" t="s">
        <v>8472</v>
      </c>
      <c r="F3369" t="s">
        <v>8473</v>
      </c>
      <c r="G3369" s="712">
        <v>0</v>
      </c>
      <c r="H3369">
        <v>0</v>
      </c>
      <c r="I3369" s="713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</row>
    <row r="3370" spans="1:16">
      <c r="A3370">
        <v>5</v>
      </c>
      <c r="B3370" t="s">
        <v>12624</v>
      </c>
      <c r="C3370" t="s">
        <v>12625</v>
      </c>
      <c r="D3370" t="s">
        <v>12629</v>
      </c>
      <c r="E3370" t="s">
        <v>8474</v>
      </c>
      <c r="F3370" t="s">
        <v>8475</v>
      </c>
      <c r="G3370" s="712">
        <v>0</v>
      </c>
      <c r="H3370">
        <v>0</v>
      </c>
      <c r="I3370" s="713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</row>
    <row r="3371" spans="1:16">
      <c r="A3371">
        <v>5</v>
      </c>
      <c r="B3371" t="s">
        <v>12624</v>
      </c>
      <c r="C3371" t="s">
        <v>12625</v>
      </c>
      <c r="D3371" t="s">
        <v>12629</v>
      </c>
      <c r="E3371" t="s">
        <v>8476</v>
      </c>
      <c r="F3371" t="s">
        <v>8477</v>
      </c>
      <c r="G3371" s="712">
        <v>0</v>
      </c>
      <c r="H3371">
        <v>0</v>
      </c>
      <c r="I3371" s="713">
        <v>0</v>
      </c>
      <c r="J3371" s="711">
        <v>135295.07</v>
      </c>
      <c r="K3371" s="711">
        <v>3436.93</v>
      </c>
      <c r="L3371">
        <v>0</v>
      </c>
      <c r="M3371">
        <v>0</v>
      </c>
      <c r="N3371" s="711">
        <v>135295.07</v>
      </c>
      <c r="O3371" s="711">
        <v>3436.93</v>
      </c>
      <c r="P3371" s="711">
        <v>131858.14000000001</v>
      </c>
    </row>
    <row r="3372" spans="1:16">
      <c r="A3372">
        <v>5</v>
      </c>
      <c r="B3372" t="s">
        <v>12624</v>
      </c>
      <c r="C3372" t="s">
        <v>12625</v>
      </c>
      <c r="D3372" t="s">
        <v>12629</v>
      </c>
      <c r="E3372" t="s">
        <v>8481</v>
      </c>
      <c r="F3372" t="s">
        <v>8482</v>
      </c>
      <c r="G3372" s="712">
        <v>0</v>
      </c>
      <c r="H3372">
        <v>0</v>
      </c>
      <c r="I3372" s="713">
        <v>0</v>
      </c>
      <c r="J3372" s="711">
        <v>57466.95</v>
      </c>
      <c r="K3372">
        <v>0</v>
      </c>
      <c r="L3372">
        <v>0</v>
      </c>
      <c r="M3372">
        <v>0</v>
      </c>
      <c r="N3372" s="711">
        <v>57466.95</v>
      </c>
      <c r="O3372">
        <v>0</v>
      </c>
      <c r="P3372" s="711">
        <v>57466.95</v>
      </c>
    </row>
    <row r="3373" spans="1:16">
      <c r="A3373">
        <v>5</v>
      </c>
      <c r="B3373" t="s">
        <v>12624</v>
      </c>
      <c r="C3373" t="s">
        <v>12625</v>
      </c>
      <c r="D3373" t="s">
        <v>12629</v>
      </c>
      <c r="E3373" t="s">
        <v>8485</v>
      </c>
      <c r="F3373" t="s">
        <v>8486</v>
      </c>
      <c r="G3373" s="712">
        <v>0</v>
      </c>
      <c r="H3373">
        <v>0</v>
      </c>
      <c r="I3373" s="713">
        <v>0</v>
      </c>
      <c r="J3373" s="711">
        <v>11735.02</v>
      </c>
      <c r="K3373">
        <v>0</v>
      </c>
      <c r="L3373">
        <v>0</v>
      </c>
      <c r="M3373">
        <v>0</v>
      </c>
      <c r="N3373" s="711">
        <v>11735.02</v>
      </c>
      <c r="O3373">
        <v>0</v>
      </c>
      <c r="P3373" s="711">
        <v>11735.02</v>
      </c>
    </row>
    <row r="3374" spans="1:16">
      <c r="A3374">
        <v>5</v>
      </c>
      <c r="B3374" t="s">
        <v>12624</v>
      </c>
      <c r="C3374" t="s">
        <v>12625</v>
      </c>
      <c r="D3374" t="s">
        <v>12629</v>
      </c>
      <c r="E3374" t="s">
        <v>8488</v>
      </c>
      <c r="F3374" t="s">
        <v>8489</v>
      </c>
      <c r="G3374" s="712">
        <v>0</v>
      </c>
      <c r="H3374">
        <v>0</v>
      </c>
      <c r="I3374" s="713">
        <v>0</v>
      </c>
      <c r="J3374" s="711">
        <v>10062.290000000001</v>
      </c>
      <c r="K3374">
        <v>0</v>
      </c>
      <c r="L3374">
        <v>0</v>
      </c>
      <c r="M3374">
        <v>0</v>
      </c>
      <c r="N3374" s="711">
        <v>10062.290000000001</v>
      </c>
      <c r="O3374">
        <v>0</v>
      </c>
      <c r="P3374" s="711">
        <v>10062.290000000001</v>
      </c>
    </row>
    <row r="3375" spans="1:16">
      <c r="A3375">
        <v>5</v>
      </c>
      <c r="B3375" t="s">
        <v>12624</v>
      </c>
      <c r="C3375" t="s">
        <v>12625</v>
      </c>
      <c r="D3375" t="s">
        <v>12629</v>
      </c>
      <c r="E3375" t="s">
        <v>8491</v>
      </c>
      <c r="F3375" t="s">
        <v>8492</v>
      </c>
      <c r="G3375" s="712">
        <v>0</v>
      </c>
      <c r="H3375">
        <v>0</v>
      </c>
      <c r="I3375" s="713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</row>
    <row r="3376" spans="1:16">
      <c r="A3376">
        <v>5</v>
      </c>
      <c r="B3376" t="s">
        <v>12624</v>
      </c>
      <c r="C3376" t="s">
        <v>12625</v>
      </c>
      <c r="D3376" t="s">
        <v>12629</v>
      </c>
      <c r="E3376" t="s">
        <v>8494</v>
      </c>
      <c r="F3376" t="s">
        <v>8495</v>
      </c>
      <c r="G3376" s="712">
        <v>0</v>
      </c>
      <c r="H3376">
        <v>0</v>
      </c>
      <c r="I3376" s="713">
        <v>0</v>
      </c>
      <c r="J3376" s="711">
        <v>24667.24</v>
      </c>
      <c r="K3376">
        <v>0</v>
      </c>
      <c r="L3376">
        <v>0</v>
      </c>
      <c r="M3376">
        <v>0</v>
      </c>
      <c r="N3376" s="711">
        <v>24667.24</v>
      </c>
      <c r="O3376">
        <v>0</v>
      </c>
      <c r="P3376" s="711">
        <v>24667.24</v>
      </c>
    </row>
    <row r="3377" spans="1:16">
      <c r="A3377">
        <v>5</v>
      </c>
      <c r="B3377" t="s">
        <v>12624</v>
      </c>
      <c r="C3377" t="s">
        <v>12625</v>
      </c>
      <c r="D3377" t="s">
        <v>12629</v>
      </c>
      <c r="E3377" t="s">
        <v>8496</v>
      </c>
      <c r="F3377" t="s">
        <v>8497</v>
      </c>
      <c r="G3377" s="712">
        <v>0</v>
      </c>
      <c r="H3377">
        <v>0</v>
      </c>
      <c r="I3377" s="713">
        <v>0</v>
      </c>
      <c r="J3377" s="711">
        <v>1392.33</v>
      </c>
      <c r="K3377">
        <v>0</v>
      </c>
      <c r="L3377">
        <v>0</v>
      </c>
      <c r="M3377">
        <v>0</v>
      </c>
      <c r="N3377" s="711">
        <v>1392.33</v>
      </c>
      <c r="O3377">
        <v>0</v>
      </c>
      <c r="P3377" s="711">
        <v>1392.33</v>
      </c>
    </row>
    <row r="3378" spans="1:16">
      <c r="A3378">
        <v>5</v>
      </c>
      <c r="B3378" t="s">
        <v>12624</v>
      </c>
      <c r="C3378" t="s">
        <v>12625</v>
      </c>
      <c r="D3378" t="s">
        <v>12629</v>
      </c>
      <c r="E3378" t="s">
        <v>8498</v>
      </c>
      <c r="F3378" t="s">
        <v>8499</v>
      </c>
      <c r="G3378" s="712">
        <v>0</v>
      </c>
      <c r="H3378">
        <v>0</v>
      </c>
      <c r="I3378" s="713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</row>
    <row r="3379" spans="1:16">
      <c r="A3379">
        <v>5</v>
      </c>
      <c r="B3379" t="s">
        <v>12624</v>
      </c>
      <c r="C3379" t="s">
        <v>12625</v>
      </c>
      <c r="D3379" t="s">
        <v>12629</v>
      </c>
      <c r="E3379" t="s">
        <v>8500</v>
      </c>
      <c r="F3379" t="s">
        <v>8501</v>
      </c>
      <c r="G3379" s="712">
        <v>0</v>
      </c>
      <c r="H3379">
        <v>0</v>
      </c>
      <c r="I3379" s="713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</row>
    <row r="3380" spans="1:16">
      <c r="A3380">
        <v>5</v>
      </c>
      <c r="B3380" t="s">
        <v>12624</v>
      </c>
      <c r="C3380" t="s">
        <v>12625</v>
      </c>
      <c r="D3380" t="s">
        <v>12629</v>
      </c>
      <c r="E3380" t="s">
        <v>8502</v>
      </c>
      <c r="F3380" t="s">
        <v>8503</v>
      </c>
      <c r="G3380" s="712">
        <v>0</v>
      </c>
      <c r="H3380">
        <v>0</v>
      </c>
      <c r="I3380" s="713">
        <v>0</v>
      </c>
      <c r="J3380" s="711">
        <v>33661.22</v>
      </c>
      <c r="K3380">
        <v>0</v>
      </c>
      <c r="L3380">
        <v>0</v>
      </c>
      <c r="M3380">
        <v>0</v>
      </c>
      <c r="N3380" s="711">
        <v>33661.22</v>
      </c>
      <c r="O3380">
        <v>0</v>
      </c>
      <c r="P3380" s="711">
        <v>33661.22</v>
      </c>
    </row>
    <row r="3381" spans="1:16">
      <c r="A3381">
        <v>5</v>
      </c>
      <c r="B3381" t="s">
        <v>12624</v>
      </c>
      <c r="C3381" t="s">
        <v>12625</v>
      </c>
      <c r="D3381" t="s">
        <v>12629</v>
      </c>
      <c r="E3381" t="s">
        <v>8504</v>
      </c>
      <c r="F3381" t="s">
        <v>8505</v>
      </c>
      <c r="G3381" s="712">
        <v>0</v>
      </c>
      <c r="H3381">
        <v>0</v>
      </c>
      <c r="I3381" s="713">
        <v>0</v>
      </c>
      <c r="J3381">
        <v>987.76</v>
      </c>
      <c r="K3381">
        <v>0</v>
      </c>
      <c r="L3381">
        <v>0</v>
      </c>
      <c r="M3381">
        <v>0</v>
      </c>
      <c r="N3381">
        <v>987.76</v>
      </c>
      <c r="O3381">
        <v>0</v>
      </c>
      <c r="P3381">
        <v>987.76</v>
      </c>
    </row>
    <row r="3382" spans="1:16">
      <c r="A3382">
        <v>5</v>
      </c>
      <c r="B3382" t="s">
        <v>12624</v>
      </c>
      <c r="C3382" t="s">
        <v>12625</v>
      </c>
      <c r="D3382" t="s">
        <v>12629</v>
      </c>
      <c r="E3382" t="s">
        <v>8506</v>
      </c>
      <c r="F3382" t="s">
        <v>8507</v>
      </c>
      <c r="G3382" s="712">
        <v>0</v>
      </c>
      <c r="H3382">
        <v>0</v>
      </c>
      <c r="I3382" s="713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</row>
    <row r="3383" spans="1:16">
      <c r="A3383">
        <v>5</v>
      </c>
      <c r="B3383" t="s">
        <v>12624</v>
      </c>
      <c r="C3383" t="s">
        <v>12625</v>
      </c>
      <c r="D3383" t="s">
        <v>12629</v>
      </c>
      <c r="E3383" t="s">
        <v>8508</v>
      </c>
      <c r="F3383" t="s">
        <v>8509</v>
      </c>
      <c r="G3383" s="712">
        <v>0</v>
      </c>
      <c r="H3383">
        <v>0</v>
      </c>
      <c r="I3383" s="71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</row>
    <row r="3384" spans="1:16">
      <c r="A3384">
        <v>5</v>
      </c>
      <c r="B3384" t="s">
        <v>12624</v>
      </c>
      <c r="C3384" t="s">
        <v>12625</v>
      </c>
      <c r="D3384" t="s">
        <v>12629</v>
      </c>
      <c r="E3384" t="s">
        <v>8510</v>
      </c>
      <c r="F3384" t="s">
        <v>8511</v>
      </c>
      <c r="G3384" s="712">
        <v>0</v>
      </c>
      <c r="H3384">
        <v>0</v>
      </c>
      <c r="I3384" s="713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</row>
    <row r="3385" spans="1:16">
      <c r="A3385">
        <v>5</v>
      </c>
      <c r="B3385" t="s">
        <v>12624</v>
      </c>
      <c r="C3385" t="s">
        <v>12625</v>
      </c>
      <c r="D3385" t="s">
        <v>12629</v>
      </c>
      <c r="E3385" t="s">
        <v>8513</v>
      </c>
      <c r="F3385" t="s">
        <v>8514</v>
      </c>
      <c r="G3385" s="712">
        <v>0</v>
      </c>
      <c r="H3385">
        <v>0</v>
      </c>
      <c r="I3385" s="713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</row>
    <row r="3386" spans="1:16">
      <c r="A3386">
        <v>5</v>
      </c>
      <c r="B3386" t="s">
        <v>12624</v>
      </c>
      <c r="C3386" t="s">
        <v>12625</v>
      </c>
      <c r="D3386" t="s">
        <v>12629</v>
      </c>
      <c r="E3386" t="s">
        <v>8516</v>
      </c>
      <c r="F3386" t="s">
        <v>8517</v>
      </c>
      <c r="G3386" s="712">
        <v>0</v>
      </c>
      <c r="H3386">
        <v>0</v>
      </c>
      <c r="I3386" s="713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</row>
    <row r="3387" spans="1:16">
      <c r="A3387">
        <v>5</v>
      </c>
      <c r="B3387" t="s">
        <v>12624</v>
      </c>
      <c r="C3387" t="s">
        <v>12625</v>
      </c>
      <c r="D3387" t="s">
        <v>12629</v>
      </c>
      <c r="E3387" t="s">
        <v>8519</v>
      </c>
      <c r="F3387" t="s">
        <v>8520</v>
      </c>
      <c r="G3387" s="712">
        <v>0</v>
      </c>
      <c r="H3387">
        <v>0</v>
      </c>
      <c r="I3387" s="713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</row>
    <row r="3388" spans="1:16">
      <c r="A3388">
        <v>5</v>
      </c>
      <c r="B3388" t="s">
        <v>12624</v>
      </c>
      <c r="C3388" t="s">
        <v>12625</v>
      </c>
      <c r="D3388" t="s">
        <v>12629</v>
      </c>
      <c r="E3388" t="s">
        <v>8522</v>
      </c>
      <c r="F3388" t="s">
        <v>8523</v>
      </c>
      <c r="G3388" s="712">
        <v>0</v>
      </c>
      <c r="H3388">
        <v>0</v>
      </c>
      <c r="I3388" s="713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</row>
    <row r="3389" spans="1:16">
      <c r="A3389">
        <v>5</v>
      </c>
      <c r="B3389" t="s">
        <v>12624</v>
      </c>
      <c r="C3389" t="s">
        <v>12625</v>
      </c>
      <c r="D3389" t="s">
        <v>12629</v>
      </c>
      <c r="E3389" t="s">
        <v>8524</v>
      </c>
      <c r="F3389" t="s">
        <v>8525</v>
      </c>
      <c r="G3389" s="712">
        <v>0</v>
      </c>
      <c r="H3389">
        <v>0</v>
      </c>
      <c r="I3389" s="713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</row>
    <row r="3390" spans="1:16">
      <c r="A3390">
        <v>5</v>
      </c>
      <c r="B3390" t="s">
        <v>12624</v>
      </c>
      <c r="C3390" t="s">
        <v>12625</v>
      </c>
      <c r="D3390" t="s">
        <v>12629</v>
      </c>
      <c r="E3390" t="s">
        <v>8526</v>
      </c>
      <c r="F3390" t="s">
        <v>8527</v>
      </c>
      <c r="G3390" s="712">
        <v>0</v>
      </c>
      <c r="H3390">
        <v>0</v>
      </c>
      <c r="I3390" s="713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</row>
    <row r="3391" spans="1:16">
      <c r="A3391">
        <v>5</v>
      </c>
      <c r="B3391" t="s">
        <v>12624</v>
      </c>
      <c r="C3391" t="s">
        <v>12625</v>
      </c>
      <c r="D3391" t="s">
        <v>12629</v>
      </c>
      <c r="E3391" t="s">
        <v>8528</v>
      </c>
      <c r="F3391" t="s">
        <v>8529</v>
      </c>
      <c r="G3391" s="712">
        <v>0</v>
      </c>
      <c r="H3391">
        <v>0</v>
      </c>
      <c r="I3391" s="713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</row>
    <row r="3392" spans="1:16">
      <c r="A3392">
        <v>5</v>
      </c>
      <c r="B3392" t="s">
        <v>12624</v>
      </c>
      <c r="C3392" t="s">
        <v>12625</v>
      </c>
      <c r="D3392" t="s">
        <v>12629</v>
      </c>
      <c r="E3392" t="s">
        <v>8530</v>
      </c>
      <c r="F3392" t="s">
        <v>8531</v>
      </c>
      <c r="G3392" s="712">
        <v>0</v>
      </c>
      <c r="H3392">
        <v>0</v>
      </c>
      <c r="I3392" s="713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</row>
    <row r="3393" spans="1:16">
      <c r="A3393">
        <v>5</v>
      </c>
      <c r="B3393" t="s">
        <v>12624</v>
      </c>
      <c r="C3393" t="s">
        <v>12625</v>
      </c>
      <c r="D3393" t="s">
        <v>12629</v>
      </c>
      <c r="E3393" t="s">
        <v>8532</v>
      </c>
      <c r="F3393" t="s">
        <v>8533</v>
      </c>
      <c r="G3393" s="712">
        <v>0</v>
      </c>
      <c r="H3393">
        <v>0</v>
      </c>
      <c r="I3393" s="71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</row>
    <row r="3394" spans="1:16">
      <c r="A3394">
        <v>5</v>
      </c>
      <c r="B3394" t="s">
        <v>12624</v>
      </c>
      <c r="C3394" t="s">
        <v>12625</v>
      </c>
      <c r="D3394" t="s">
        <v>12629</v>
      </c>
      <c r="E3394" t="s">
        <v>8534</v>
      </c>
      <c r="F3394" t="s">
        <v>8535</v>
      </c>
      <c r="G3394" s="712">
        <v>0</v>
      </c>
      <c r="H3394">
        <v>0</v>
      </c>
      <c r="I3394" s="713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</row>
    <row r="3395" spans="1:16">
      <c r="A3395">
        <v>5</v>
      </c>
      <c r="B3395" t="s">
        <v>12624</v>
      </c>
      <c r="C3395" t="s">
        <v>12625</v>
      </c>
      <c r="D3395" t="s">
        <v>12629</v>
      </c>
      <c r="E3395" t="s">
        <v>8536</v>
      </c>
      <c r="F3395" t="s">
        <v>8537</v>
      </c>
      <c r="G3395" s="712">
        <v>0</v>
      </c>
      <c r="H3395">
        <v>0</v>
      </c>
      <c r="I3395" s="713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</row>
    <row r="3396" spans="1:16">
      <c r="A3396">
        <v>5</v>
      </c>
      <c r="B3396" t="s">
        <v>12624</v>
      </c>
      <c r="C3396" t="s">
        <v>12625</v>
      </c>
      <c r="D3396" t="s">
        <v>12629</v>
      </c>
      <c r="E3396" t="s">
        <v>8538</v>
      </c>
      <c r="F3396" t="s">
        <v>8539</v>
      </c>
      <c r="G3396" s="712">
        <v>0</v>
      </c>
      <c r="H3396">
        <v>0</v>
      </c>
      <c r="I3396" s="713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</row>
    <row r="3397" spans="1:16">
      <c r="A3397">
        <v>5</v>
      </c>
      <c r="B3397" t="s">
        <v>12624</v>
      </c>
      <c r="C3397" t="s">
        <v>12625</v>
      </c>
      <c r="D3397" t="s">
        <v>12629</v>
      </c>
      <c r="E3397" t="s">
        <v>8540</v>
      </c>
      <c r="F3397" t="s">
        <v>8541</v>
      </c>
      <c r="G3397" s="712">
        <v>0</v>
      </c>
      <c r="H3397">
        <v>0</v>
      </c>
      <c r="I3397" s="713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</row>
    <row r="3398" spans="1:16">
      <c r="A3398">
        <v>5</v>
      </c>
      <c r="B3398" t="s">
        <v>12624</v>
      </c>
      <c r="C3398" t="s">
        <v>12625</v>
      </c>
      <c r="D3398" t="s">
        <v>12629</v>
      </c>
      <c r="E3398" t="s">
        <v>8542</v>
      </c>
      <c r="F3398" t="s">
        <v>8543</v>
      </c>
      <c r="G3398" s="712">
        <v>0</v>
      </c>
      <c r="H3398">
        <v>0</v>
      </c>
      <c r="I3398" s="713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</row>
    <row r="3399" spans="1:16" ht="15.75" thickBot="1">
      <c r="A3399">
        <v>5</v>
      </c>
      <c r="B3399" t="s">
        <v>12624</v>
      </c>
      <c r="C3399" t="s">
        <v>12625</v>
      </c>
      <c r="D3399" t="s">
        <v>12629</v>
      </c>
      <c r="E3399" t="s">
        <v>8544</v>
      </c>
      <c r="F3399" t="s">
        <v>8545</v>
      </c>
      <c r="G3399" s="712">
        <v>0</v>
      </c>
      <c r="H3399">
        <v>0</v>
      </c>
      <c r="I3399" s="713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</row>
    <row r="3400" spans="1:16" ht="15.75" thickBot="1">
      <c r="A3400" s="727">
        <v>5</v>
      </c>
      <c r="B3400" s="727" t="s">
        <v>12624</v>
      </c>
      <c r="C3400" s="727" t="s">
        <v>12631</v>
      </c>
      <c r="D3400" s="727"/>
      <c r="E3400" s="727"/>
      <c r="F3400" s="745" t="s">
        <v>12632</v>
      </c>
      <c r="G3400" s="738">
        <v>0</v>
      </c>
      <c r="H3400" s="738">
        <v>0</v>
      </c>
      <c r="I3400" s="738">
        <v>0</v>
      </c>
      <c r="J3400" s="739">
        <v>59237679.68</v>
      </c>
      <c r="K3400" s="739">
        <v>6582112.1299999999</v>
      </c>
      <c r="L3400" s="738">
        <v>0</v>
      </c>
      <c r="M3400" s="738">
        <v>0</v>
      </c>
      <c r="N3400" s="739">
        <v>59237679.68</v>
      </c>
      <c r="O3400" s="739">
        <v>6582112.1299999999</v>
      </c>
      <c r="P3400" s="739">
        <v>52655567.549999997</v>
      </c>
    </row>
    <row r="3401" spans="1:16" ht="15.75" thickBot="1">
      <c r="A3401" s="727">
        <v>5</v>
      </c>
      <c r="B3401" s="727" t="s">
        <v>12624</v>
      </c>
      <c r="C3401" s="727" t="s">
        <v>12631</v>
      </c>
      <c r="D3401" s="727" t="s">
        <v>12633</v>
      </c>
      <c r="E3401" s="727"/>
      <c r="F3401" s="729" t="s">
        <v>12634</v>
      </c>
      <c r="G3401" s="738">
        <v>0</v>
      </c>
      <c r="H3401" s="738">
        <v>0</v>
      </c>
      <c r="I3401" s="738">
        <v>0</v>
      </c>
      <c r="J3401" s="739">
        <v>47151358.710000001</v>
      </c>
      <c r="K3401" s="739">
        <v>5283966.29</v>
      </c>
      <c r="L3401" s="738">
        <v>0</v>
      </c>
      <c r="M3401" s="738">
        <v>0</v>
      </c>
      <c r="N3401" s="739">
        <v>47151358.710000001</v>
      </c>
      <c r="O3401" s="739">
        <v>5283966.29</v>
      </c>
      <c r="P3401" s="739">
        <v>41867392.420000002</v>
      </c>
    </row>
    <row r="3402" spans="1:16">
      <c r="A3402">
        <v>5</v>
      </c>
      <c r="B3402" t="s">
        <v>12624</v>
      </c>
      <c r="C3402" t="s">
        <v>12631</v>
      </c>
      <c r="D3402" t="s">
        <v>12633</v>
      </c>
      <c r="E3402" t="s">
        <v>8552</v>
      </c>
      <c r="F3402" t="s">
        <v>8553</v>
      </c>
      <c r="G3402" s="712">
        <v>0</v>
      </c>
      <c r="H3402">
        <v>0</v>
      </c>
      <c r="I3402" s="713">
        <v>0</v>
      </c>
      <c r="J3402" s="711">
        <v>23110123.550000001</v>
      </c>
      <c r="K3402" s="711">
        <v>1650727.6</v>
      </c>
      <c r="L3402">
        <v>0</v>
      </c>
      <c r="M3402">
        <v>0</v>
      </c>
      <c r="N3402" s="711">
        <v>23110123.550000001</v>
      </c>
      <c r="O3402" s="711">
        <v>1650727.6</v>
      </c>
      <c r="P3402" s="711">
        <v>21459395.949999999</v>
      </c>
    </row>
    <row r="3403" spans="1:16">
      <c r="A3403">
        <v>5</v>
      </c>
      <c r="B3403" t="s">
        <v>12624</v>
      </c>
      <c r="C3403" t="s">
        <v>12631</v>
      </c>
      <c r="D3403" t="s">
        <v>12633</v>
      </c>
      <c r="E3403" t="s">
        <v>12635</v>
      </c>
      <c r="F3403" t="s">
        <v>12636</v>
      </c>
      <c r="G3403" s="712">
        <v>0</v>
      </c>
      <c r="H3403">
        <v>0</v>
      </c>
      <c r="I3403" s="71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</row>
    <row r="3404" spans="1:16">
      <c r="A3404">
        <v>5</v>
      </c>
      <c r="B3404" t="s">
        <v>12624</v>
      </c>
      <c r="C3404" t="s">
        <v>12631</v>
      </c>
      <c r="D3404" t="s">
        <v>12633</v>
      </c>
      <c r="E3404" t="s">
        <v>12637</v>
      </c>
      <c r="F3404" t="s">
        <v>12638</v>
      </c>
      <c r="G3404" s="712">
        <v>0</v>
      </c>
      <c r="H3404">
        <v>0</v>
      </c>
      <c r="I3404" s="713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</row>
    <row r="3405" spans="1:16">
      <c r="A3405">
        <v>5</v>
      </c>
      <c r="B3405" t="s">
        <v>12624</v>
      </c>
      <c r="C3405" t="s">
        <v>12631</v>
      </c>
      <c r="D3405" t="s">
        <v>12633</v>
      </c>
      <c r="E3405" t="s">
        <v>12639</v>
      </c>
      <c r="F3405" t="s">
        <v>12640</v>
      </c>
      <c r="G3405" s="712">
        <v>0</v>
      </c>
      <c r="H3405">
        <v>0</v>
      </c>
      <c r="I3405" s="713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</row>
    <row r="3406" spans="1:16">
      <c r="A3406">
        <v>5</v>
      </c>
      <c r="B3406" t="s">
        <v>12624</v>
      </c>
      <c r="C3406" t="s">
        <v>12631</v>
      </c>
      <c r="D3406" t="s">
        <v>12633</v>
      </c>
      <c r="E3406" t="s">
        <v>8555</v>
      </c>
      <c r="F3406" t="s">
        <v>8556</v>
      </c>
      <c r="G3406" s="712">
        <v>0</v>
      </c>
      <c r="H3406">
        <v>0</v>
      </c>
      <c r="I3406" s="713">
        <v>0</v>
      </c>
      <c r="J3406" s="711">
        <v>7792907.1299999999</v>
      </c>
      <c r="K3406">
        <v>0</v>
      </c>
      <c r="L3406">
        <v>0</v>
      </c>
      <c r="M3406">
        <v>0</v>
      </c>
      <c r="N3406" s="711">
        <v>7792907.1299999999</v>
      </c>
      <c r="O3406">
        <v>0</v>
      </c>
      <c r="P3406" s="711">
        <v>7792907.1299999999</v>
      </c>
    </row>
    <row r="3407" spans="1:16">
      <c r="A3407">
        <v>5</v>
      </c>
      <c r="B3407" t="s">
        <v>12624</v>
      </c>
      <c r="C3407" t="s">
        <v>12631</v>
      </c>
      <c r="D3407" t="s">
        <v>12633</v>
      </c>
      <c r="E3407" t="s">
        <v>8558</v>
      </c>
      <c r="F3407" t="s">
        <v>8559</v>
      </c>
      <c r="G3407" s="712">
        <v>0</v>
      </c>
      <c r="H3407">
        <v>0</v>
      </c>
      <c r="I3407" s="713">
        <v>0</v>
      </c>
      <c r="J3407" s="711">
        <v>1116914.05</v>
      </c>
      <c r="K3407">
        <v>0</v>
      </c>
      <c r="L3407">
        <v>0</v>
      </c>
      <c r="M3407">
        <v>0</v>
      </c>
      <c r="N3407" s="711">
        <v>1116914.05</v>
      </c>
      <c r="O3407">
        <v>0</v>
      </c>
      <c r="P3407" s="711">
        <v>1116914.05</v>
      </c>
    </row>
    <row r="3408" spans="1:16">
      <c r="A3408">
        <v>5</v>
      </c>
      <c r="B3408" t="s">
        <v>12624</v>
      </c>
      <c r="C3408" t="s">
        <v>12631</v>
      </c>
      <c r="D3408" t="s">
        <v>12633</v>
      </c>
      <c r="E3408" t="s">
        <v>8560</v>
      </c>
      <c r="F3408" t="s">
        <v>8561</v>
      </c>
      <c r="G3408" s="712">
        <v>0</v>
      </c>
      <c r="H3408">
        <v>0</v>
      </c>
      <c r="I3408" s="713">
        <v>0</v>
      </c>
      <c r="J3408">
        <v>402.36</v>
      </c>
      <c r="K3408">
        <v>0</v>
      </c>
      <c r="L3408">
        <v>0</v>
      </c>
      <c r="M3408">
        <v>0</v>
      </c>
      <c r="N3408">
        <v>402.36</v>
      </c>
      <c r="O3408">
        <v>0</v>
      </c>
      <c r="P3408">
        <v>402.36</v>
      </c>
    </row>
    <row r="3409" spans="1:16">
      <c r="A3409">
        <v>5</v>
      </c>
      <c r="B3409" t="s">
        <v>12624</v>
      </c>
      <c r="C3409" t="s">
        <v>12631</v>
      </c>
      <c r="D3409" t="s">
        <v>12633</v>
      </c>
      <c r="E3409" t="s">
        <v>8562</v>
      </c>
      <c r="F3409" t="s">
        <v>8563</v>
      </c>
      <c r="G3409" s="712">
        <v>0</v>
      </c>
      <c r="H3409">
        <v>0</v>
      </c>
      <c r="I3409" s="713">
        <v>0</v>
      </c>
      <c r="J3409" s="711">
        <v>319294.53999999998</v>
      </c>
      <c r="K3409">
        <v>0</v>
      </c>
      <c r="L3409">
        <v>0</v>
      </c>
      <c r="M3409">
        <v>0</v>
      </c>
      <c r="N3409" s="711">
        <v>319294.53999999998</v>
      </c>
      <c r="O3409">
        <v>0</v>
      </c>
      <c r="P3409" s="711">
        <v>319294.53999999998</v>
      </c>
    </row>
    <row r="3410" spans="1:16">
      <c r="A3410">
        <v>5</v>
      </c>
      <c r="B3410" t="s">
        <v>12624</v>
      </c>
      <c r="C3410" t="s">
        <v>12631</v>
      </c>
      <c r="D3410" t="s">
        <v>12633</v>
      </c>
      <c r="E3410" t="s">
        <v>8564</v>
      </c>
      <c r="F3410" t="s">
        <v>8565</v>
      </c>
      <c r="G3410" s="712">
        <v>0</v>
      </c>
      <c r="H3410">
        <v>0</v>
      </c>
      <c r="I3410" s="713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</row>
    <row r="3411" spans="1:16">
      <c r="A3411">
        <v>5</v>
      </c>
      <c r="B3411" t="s">
        <v>12624</v>
      </c>
      <c r="C3411" t="s">
        <v>12631</v>
      </c>
      <c r="D3411" t="s">
        <v>12633</v>
      </c>
      <c r="E3411" t="s">
        <v>8566</v>
      </c>
      <c r="F3411" t="s">
        <v>8567</v>
      </c>
      <c r="G3411" s="712">
        <v>0</v>
      </c>
      <c r="H3411">
        <v>0</v>
      </c>
      <c r="I3411" s="713">
        <v>0</v>
      </c>
      <c r="J3411" s="711">
        <v>1604.8</v>
      </c>
      <c r="K3411">
        <v>0</v>
      </c>
      <c r="L3411">
        <v>0</v>
      </c>
      <c r="M3411">
        <v>0</v>
      </c>
      <c r="N3411" s="711">
        <v>1604.8</v>
      </c>
      <c r="O3411">
        <v>0</v>
      </c>
      <c r="P3411" s="711">
        <v>1604.8</v>
      </c>
    </row>
    <row r="3412" spans="1:16">
      <c r="A3412">
        <v>5</v>
      </c>
      <c r="B3412" t="s">
        <v>12624</v>
      </c>
      <c r="C3412" t="s">
        <v>12631</v>
      </c>
      <c r="D3412" t="s">
        <v>12633</v>
      </c>
      <c r="E3412" t="s">
        <v>8568</v>
      </c>
      <c r="F3412" t="s">
        <v>8569</v>
      </c>
      <c r="G3412" s="712">
        <v>0</v>
      </c>
      <c r="H3412">
        <v>0</v>
      </c>
      <c r="I3412" s="713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</row>
    <row r="3413" spans="1:16">
      <c r="A3413">
        <v>5</v>
      </c>
      <c r="B3413" t="s">
        <v>12624</v>
      </c>
      <c r="C3413" t="s">
        <v>12631</v>
      </c>
      <c r="D3413" t="s">
        <v>12633</v>
      </c>
      <c r="E3413" t="s">
        <v>8570</v>
      </c>
      <c r="F3413" t="s">
        <v>8571</v>
      </c>
      <c r="G3413" s="712">
        <v>0</v>
      </c>
      <c r="H3413">
        <v>0</v>
      </c>
      <c r="I3413" s="7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</row>
    <row r="3414" spans="1:16">
      <c r="A3414">
        <v>5</v>
      </c>
      <c r="B3414" t="s">
        <v>12624</v>
      </c>
      <c r="C3414" t="s">
        <v>12631</v>
      </c>
      <c r="D3414" t="s">
        <v>12633</v>
      </c>
      <c r="E3414" t="s">
        <v>8573</v>
      </c>
      <c r="F3414" t="s">
        <v>8574</v>
      </c>
      <c r="G3414" s="712">
        <v>0</v>
      </c>
      <c r="H3414">
        <v>0</v>
      </c>
      <c r="I3414" s="713">
        <v>0</v>
      </c>
      <c r="J3414" s="711">
        <v>124934.85</v>
      </c>
      <c r="K3414">
        <v>0</v>
      </c>
      <c r="L3414">
        <v>0</v>
      </c>
      <c r="M3414">
        <v>0</v>
      </c>
      <c r="N3414" s="711">
        <v>124934.85</v>
      </c>
      <c r="O3414">
        <v>0</v>
      </c>
      <c r="P3414" s="711">
        <v>124934.85</v>
      </c>
    </row>
    <row r="3415" spans="1:16">
      <c r="A3415">
        <v>5</v>
      </c>
      <c r="B3415" t="s">
        <v>12624</v>
      </c>
      <c r="C3415" t="s">
        <v>12631</v>
      </c>
      <c r="D3415" t="s">
        <v>12633</v>
      </c>
      <c r="E3415" t="s">
        <v>8576</v>
      </c>
      <c r="F3415" t="s">
        <v>8577</v>
      </c>
      <c r="G3415" s="712">
        <v>0</v>
      </c>
      <c r="H3415">
        <v>0</v>
      </c>
      <c r="I3415" s="713">
        <v>0</v>
      </c>
      <c r="J3415" s="711">
        <v>28807.09</v>
      </c>
      <c r="K3415">
        <v>0</v>
      </c>
      <c r="L3415">
        <v>0</v>
      </c>
      <c r="M3415">
        <v>0</v>
      </c>
      <c r="N3415" s="711">
        <v>28807.09</v>
      </c>
      <c r="O3415">
        <v>0</v>
      </c>
      <c r="P3415" s="711">
        <v>28807.09</v>
      </c>
    </row>
    <row r="3416" spans="1:16">
      <c r="A3416">
        <v>5</v>
      </c>
      <c r="B3416" t="s">
        <v>12624</v>
      </c>
      <c r="C3416" t="s">
        <v>12631</v>
      </c>
      <c r="D3416" t="s">
        <v>12633</v>
      </c>
      <c r="E3416" t="s">
        <v>8579</v>
      </c>
      <c r="F3416" t="s">
        <v>8580</v>
      </c>
      <c r="G3416" s="712">
        <v>0</v>
      </c>
      <c r="H3416">
        <v>0</v>
      </c>
      <c r="I3416" s="713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</row>
    <row r="3417" spans="1:16">
      <c r="A3417">
        <v>5</v>
      </c>
      <c r="B3417" t="s">
        <v>12624</v>
      </c>
      <c r="C3417" t="s">
        <v>12631</v>
      </c>
      <c r="D3417" t="s">
        <v>12633</v>
      </c>
      <c r="E3417" t="s">
        <v>8582</v>
      </c>
      <c r="F3417" t="s">
        <v>8583</v>
      </c>
      <c r="G3417" s="712">
        <v>0</v>
      </c>
      <c r="H3417">
        <v>0</v>
      </c>
      <c r="I3417" s="713">
        <v>0</v>
      </c>
      <c r="J3417" s="711">
        <v>4109.8500000000004</v>
      </c>
      <c r="K3417">
        <v>0</v>
      </c>
      <c r="L3417">
        <v>0</v>
      </c>
      <c r="M3417">
        <v>0</v>
      </c>
      <c r="N3417" s="711">
        <v>4109.8500000000004</v>
      </c>
      <c r="O3417">
        <v>0</v>
      </c>
      <c r="P3417" s="711">
        <v>4109.8500000000004</v>
      </c>
    </row>
    <row r="3418" spans="1:16">
      <c r="A3418">
        <v>5</v>
      </c>
      <c r="B3418" t="s">
        <v>12624</v>
      </c>
      <c r="C3418" t="s">
        <v>12631</v>
      </c>
      <c r="D3418" t="s">
        <v>12633</v>
      </c>
      <c r="E3418" t="s">
        <v>8584</v>
      </c>
      <c r="F3418" t="s">
        <v>8585</v>
      </c>
      <c r="G3418" s="712">
        <v>0</v>
      </c>
      <c r="H3418">
        <v>0</v>
      </c>
      <c r="I3418" s="713">
        <v>0</v>
      </c>
      <c r="J3418" s="711">
        <v>10224.49</v>
      </c>
      <c r="K3418" s="711">
        <v>2880.05</v>
      </c>
      <c r="L3418">
        <v>0</v>
      </c>
      <c r="M3418">
        <v>0</v>
      </c>
      <c r="N3418" s="711">
        <v>10224.49</v>
      </c>
      <c r="O3418" s="711">
        <v>2880.05</v>
      </c>
      <c r="P3418" s="711">
        <v>7344.44</v>
      </c>
    </row>
    <row r="3419" spans="1:16">
      <c r="A3419">
        <v>5</v>
      </c>
      <c r="B3419" t="s">
        <v>12624</v>
      </c>
      <c r="C3419" t="s">
        <v>12631</v>
      </c>
      <c r="D3419" t="s">
        <v>12633</v>
      </c>
      <c r="E3419" t="s">
        <v>8586</v>
      </c>
      <c r="F3419" t="s">
        <v>8587</v>
      </c>
      <c r="G3419" s="712">
        <v>0</v>
      </c>
      <c r="H3419">
        <v>0</v>
      </c>
      <c r="I3419" s="713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</row>
    <row r="3420" spans="1:16">
      <c r="A3420">
        <v>5</v>
      </c>
      <c r="B3420" t="s">
        <v>12624</v>
      </c>
      <c r="C3420" t="s">
        <v>12631</v>
      </c>
      <c r="D3420" t="s">
        <v>12633</v>
      </c>
      <c r="E3420" t="s">
        <v>8588</v>
      </c>
      <c r="F3420" t="s">
        <v>8589</v>
      </c>
      <c r="G3420" s="712">
        <v>0</v>
      </c>
      <c r="H3420">
        <v>0</v>
      </c>
      <c r="I3420" s="713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</row>
    <row r="3421" spans="1:16">
      <c r="A3421">
        <v>5</v>
      </c>
      <c r="B3421" t="s">
        <v>12624</v>
      </c>
      <c r="C3421" t="s">
        <v>12631</v>
      </c>
      <c r="D3421" t="s">
        <v>12633</v>
      </c>
      <c r="E3421" t="s">
        <v>12641</v>
      </c>
      <c r="F3421" t="s">
        <v>12642</v>
      </c>
      <c r="G3421" s="712">
        <v>0</v>
      </c>
      <c r="H3421">
        <v>0</v>
      </c>
      <c r="I3421" s="713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</row>
    <row r="3422" spans="1:16">
      <c r="A3422">
        <v>5</v>
      </c>
      <c r="B3422" t="s">
        <v>12624</v>
      </c>
      <c r="C3422" t="s">
        <v>12631</v>
      </c>
      <c r="D3422" t="s">
        <v>12633</v>
      </c>
      <c r="E3422" t="s">
        <v>8590</v>
      </c>
      <c r="F3422" t="s">
        <v>8591</v>
      </c>
      <c r="G3422" s="712">
        <v>0</v>
      </c>
      <c r="H3422">
        <v>0</v>
      </c>
      <c r="I3422" s="713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</row>
    <row r="3423" spans="1:16">
      <c r="A3423">
        <v>5</v>
      </c>
      <c r="B3423" t="s">
        <v>12624</v>
      </c>
      <c r="C3423" t="s">
        <v>12631</v>
      </c>
      <c r="D3423" t="s">
        <v>12633</v>
      </c>
      <c r="E3423" t="s">
        <v>12643</v>
      </c>
      <c r="F3423" t="s">
        <v>12644</v>
      </c>
      <c r="G3423" s="712">
        <v>0</v>
      </c>
      <c r="H3423">
        <v>0</v>
      </c>
      <c r="I3423" s="71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</row>
    <row r="3424" spans="1:16">
      <c r="A3424">
        <v>5</v>
      </c>
      <c r="B3424" t="s">
        <v>12624</v>
      </c>
      <c r="C3424" t="s">
        <v>12631</v>
      </c>
      <c r="D3424" t="s">
        <v>12633</v>
      </c>
      <c r="E3424" t="s">
        <v>8592</v>
      </c>
      <c r="F3424" t="s">
        <v>8593</v>
      </c>
      <c r="G3424" s="712">
        <v>0</v>
      </c>
      <c r="H3424">
        <v>0</v>
      </c>
      <c r="I3424" s="713">
        <v>0</v>
      </c>
      <c r="J3424" s="711">
        <v>150310.92000000001</v>
      </c>
      <c r="K3424" s="711">
        <v>136430.92000000001</v>
      </c>
      <c r="L3424">
        <v>0</v>
      </c>
      <c r="M3424">
        <v>0</v>
      </c>
      <c r="N3424" s="711">
        <v>150310.92000000001</v>
      </c>
      <c r="O3424" s="711">
        <v>136430.92000000001</v>
      </c>
      <c r="P3424" s="711">
        <v>13880</v>
      </c>
    </row>
    <row r="3425" spans="1:16">
      <c r="A3425">
        <v>5</v>
      </c>
      <c r="B3425" t="s">
        <v>12624</v>
      </c>
      <c r="C3425" t="s">
        <v>12631</v>
      </c>
      <c r="D3425" t="s">
        <v>12633</v>
      </c>
      <c r="E3425" t="s">
        <v>8594</v>
      </c>
      <c r="F3425" t="s">
        <v>8595</v>
      </c>
      <c r="G3425" s="712">
        <v>0</v>
      </c>
      <c r="H3425">
        <v>0</v>
      </c>
      <c r="I3425" s="713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</row>
    <row r="3426" spans="1:16">
      <c r="A3426">
        <v>5</v>
      </c>
      <c r="B3426" t="s">
        <v>12624</v>
      </c>
      <c r="C3426" t="s">
        <v>12631</v>
      </c>
      <c r="D3426" t="s">
        <v>12633</v>
      </c>
      <c r="E3426" t="s">
        <v>8596</v>
      </c>
      <c r="F3426" t="s">
        <v>8597</v>
      </c>
      <c r="G3426" s="712">
        <v>0</v>
      </c>
      <c r="H3426">
        <v>0</v>
      </c>
      <c r="I3426" s="713">
        <v>0</v>
      </c>
      <c r="J3426" s="711">
        <v>2597683.1</v>
      </c>
      <c r="K3426" s="711">
        <v>2597683.1</v>
      </c>
      <c r="L3426">
        <v>0</v>
      </c>
      <c r="M3426">
        <v>0</v>
      </c>
      <c r="N3426" s="711">
        <v>2597683.1</v>
      </c>
      <c r="O3426" s="711">
        <v>2597683.1</v>
      </c>
      <c r="P3426">
        <v>0</v>
      </c>
    </row>
    <row r="3427" spans="1:16">
      <c r="A3427">
        <v>5</v>
      </c>
      <c r="B3427" t="s">
        <v>12624</v>
      </c>
      <c r="C3427" t="s">
        <v>12631</v>
      </c>
      <c r="D3427" t="s">
        <v>12633</v>
      </c>
      <c r="E3427" t="s">
        <v>8599</v>
      </c>
      <c r="F3427" t="s">
        <v>8600</v>
      </c>
      <c r="G3427" s="712">
        <v>0</v>
      </c>
      <c r="H3427">
        <v>0</v>
      </c>
      <c r="I3427" s="713">
        <v>0</v>
      </c>
      <c r="J3427" s="711">
        <v>896080.8</v>
      </c>
      <c r="K3427" s="711">
        <v>896080.8</v>
      </c>
      <c r="L3427">
        <v>0</v>
      </c>
      <c r="M3427">
        <v>0</v>
      </c>
      <c r="N3427" s="711">
        <v>896080.8</v>
      </c>
      <c r="O3427" s="711">
        <v>896080.8</v>
      </c>
      <c r="P3427">
        <v>0</v>
      </c>
    </row>
    <row r="3428" spans="1:16">
      <c r="A3428">
        <v>5</v>
      </c>
      <c r="B3428" t="s">
        <v>12624</v>
      </c>
      <c r="C3428" t="s">
        <v>12631</v>
      </c>
      <c r="D3428" t="s">
        <v>12633</v>
      </c>
      <c r="E3428" t="s">
        <v>8602</v>
      </c>
      <c r="F3428" t="s">
        <v>8603</v>
      </c>
      <c r="G3428" s="712">
        <v>0</v>
      </c>
      <c r="H3428">
        <v>0</v>
      </c>
      <c r="I3428" s="713">
        <v>0</v>
      </c>
      <c r="J3428" s="711">
        <v>4610529.32</v>
      </c>
      <c r="K3428">
        <v>163.82</v>
      </c>
      <c r="L3428">
        <v>0</v>
      </c>
      <c r="M3428">
        <v>0</v>
      </c>
      <c r="N3428" s="711">
        <v>4610529.32</v>
      </c>
      <c r="O3428">
        <v>163.82</v>
      </c>
      <c r="P3428" s="711">
        <v>4610365.5</v>
      </c>
    </row>
    <row r="3429" spans="1:16" ht="15.75" thickBot="1">
      <c r="A3429">
        <v>5</v>
      </c>
      <c r="B3429" t="s">
        <v>12624</v>
      </c>
      <c r="C3429" t="s">
        <v>12631</v>
      </c>
      <c r="D3429" t="s">
        <v>12633</v>
      </c>
      <c r="E3429" t="s">
        <v>8604</v>
      </c>
      <c r="F3429" t="s">
        <v>8605</v>
      </c>
      <c r="G3429" s="712">
        <v>0</v>
      </c>
      <c r="H3429">
        <v>0</v>
      </c>
      <c r="I3429" s="713">
        <v>0</v>
      </c>
      <c r="J3429" s="711">
        <v>6387431.8600000003</v>
      </c>
      <c r="K3429">
        <v>0</v>
      </c>
      <c r="L3429">
        <v>0</v>
      </c>
      <c r="M3429">
        <v>0</v>
      </c>
      <c r="N3429" s="711">
        <v>6387431.8600000003</v>
      </c>
      <c r="O3429">
        <v>0</v>
      </c>
      <c r="P3429" s="711">
        <v>6387431.8600000003</v>
      </c>
    </row>
    <row r="3430" spans="1:16" ht="15.75" thickBot="1">
      <c r="A3430" s="727">
        <v>5</v>
      </c>
      <c r="B3430" s="727" t="s">
        <v>12624</v>
      </c>
      <c r="C3430" s="727" t="s">
        <v>12631</v>
      </c>
      <c r="D3430" s="727" t="s">
        <v>12645</v>
      </c>
      <c r="E3430" s="727"/>
      <c r="F3430" s="729" t="s">
        <v>12646</v>
      </c>
      <c r="G3430" s="738">
        <v>0</v>
      </c>
      <c r="H3430" s="738">
        <v>0</v>
      </c>
      <c r="I3430" s="738">
        <v>0</v>
      </c>
      <c r="J3430" s="739">
        <v>12086320.970000001</v>
      </c>
      <c r="K3430" s="739">
        <v>1298145.8400000001</v>
      </c>
      <c r="L3430" s="738">
        <v>0</v>
      </c>
      <c r="M3430" s="738">
        <v>0</v>
      </c>
      <c r="N3430" s="739">
        <v>12086320.970000001</v>
      </c>
      <c r="O3430" s="739">
        <v>1298145.8400000001</v>
      </c>
      <c r="P3430" s="739">
        <v>10788175.130000001</v>
      </c>
    </row>
    <row r="3431" spans="1:16">
      <c r="A3431">
        <v>5</v>
      </c>
      <c r="B3431" t="s">
        <v>12624</v>
      </c>
      <c r="C3431" t="s">
        <v>12631</v>
      </c>
      <c r="D3431" t="s">
        <v>12645</v>
      </c>
      <c r="E3431" t="s">
        <v>8608</v>
      </c>
      <c r="F3431" t="s">
        <v>8609</v>
      </c>
      <c r="G3431" s="712">
        <v>0</v>
      </c>
      <c r="H3431">
        <v>0</v>
      </c>
      <c r="I3431" s="713">
        <v>0</v>
      </c>
      <c r="J3431" s="711">
        <v>6378800.8099999996</v>
      </c>
      <c r="K3431" s="711">
        <v>163159.66</v>
      </c>
      <c r="L3431">
        <v>0</v>
      </c>
      <c r="M3431">
        <v>0</v>
      </c>
      <c r="N3431" s="711">
        <v>6378800.8099999996</v>
      </c>
      <c r="O3431" s="711">
        <v>163159.66</v>
      </c>
      <c r="P3431" s="711">
        <v>6215641.1500000004</v>
      </c>
    </row>
    <row r="3432" spans="1:16">
      <c r="A3432">
        <v>5</v>
      </c>
      <c r="B3432" t="s">
        <v>12624</v>
      </c>
      <c r="C3432" t="s">
        <v>12631</v>
      </c>
      <c r="D3432" t="s">
        <v>12645</v>
      </c>
      <c r="E3432" t="s">
        <v>12647</v>
      </c>
      <c r="F3432" t="s">
        <v>12648</v>
      </c>
      <c r="G3432" s="712">
        <v>0</v>
      </c>
      <c r="H3432">
        <v>0</v>
      </c>
      <c r="I3432" s="713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</row>
    <row r="3433" spans="1:16">
      <c r="A3433">
        <v>5</v>
      </c>
      <c r="B3433" t="s">
        <v>12624</v>
      </c>
      <c r="C3433" t="s">
        <v>12631</v>
      </c>
      <c r="D3433" t="s">
        <v>12645</v>
      </c>
      <c r="E3433" t="s">
        <v>12649</v>
      </c>
      <c r="F3433" t="s">
        <v>12650</v>
      </c>
      <c r="G3433" s="712">
        <v>0</v>
      </c>
      <c r="H3433">
        <v>0</v>
      </c>
      <c r="I3433" s="71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</row>
    <row r="3434" spans="1:16">
      <c r="A3434">
        <v>5</v>
      </c>
      <c r="B3434" t="s">
        <v>12624</v>
      </c>
      <c r="C3434" t="s">
        <v>12631</v>
      </c>
      <c r="D3434" t="s">
        <v>12645</v>
      </c>
      <c r="E3434" t="s">
        <v>12651</v>
      </c>
      <c r="F3434" t="s">
        <v>12652</v>
      </c>
      <c r="G3434" s="712">
        <v>0</v>
      </c>
      <c r="H3434">
        <v>0</v>
      </c>
      <c r="I3434" s="713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</row>
    <row r="3435" spans="1:16">
      <c r="A3435">
        <v>5</v>
      </c>
      <c r="B3435" t="s">
        <v>12624</v>
      </c>
      <c r="C3435" t="s">
        <v>12631</v>
      </c>
      <c r="D3435" t="s">
        <v>12645</v>
      </c>
      <c r="E3435" t="s">
        <v>12653</v>
      </c>
      <c r="F3435" t="s">
        <v>12654</v>
      </c>
      <c r="G3435" s="712">
        <v>0</v>
      </c>
      <c r="H3435">
        <v>0</v>
      </c>
      <c r="I3435" s="713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</row>
    <row r="3436" spans="1:16">
      <c r="A3436">
        <v>5</v>
      </c>
      <c r="B3436" t="s">
        <v>12624</v>
      </c>
      <c r="C3436" t="s">
        <v>12631</v>
      </c>
      <c r="D3436" t="s">
        <v>12645</v>
      </c>
      <c r="E3436" t="s">
        <v>8611</v>
      </c>
      <c r="F3436" t="s">
        <v>8612</v>
      </c>
      <c r="G3436" s="712">
        <v>0</v>
      </c>
      <c r="H3436">
        <v>0</v>
      </c>
      <c r="I3436" s="713">
        <v>0</v>
      </c>
      <c r="J3436" s="711">
        <v>1797158.14</v>
      </c>
      <c r="K3436">
        <v>0</v>
      </c>
      <c r="L3436">
        <v>0</v>
      </c>
      <c r="M3436">
        <v>0</v>
      </c>
      <c r="N3436" s="711">
        <v>1797158.14</v>
      </c>
      <c r="O3436">
        <v>0</v>
      </c>
      <c r="P3436" s="711">
        <v>1797158.14</v>
      </c>
    </row>
    <row r="3437" spans="1:16">
      <c r="A3437">
        <v>5</v>
      </c>
      <c r="B3437" t="s">
        <v>12624</v>
      </c>
      <c r="C3437" t="s">
        <v>12631</v>
      </c>
      <c r="D3437" t="s">
        <v>12645</v>
      </c>
      <c r="E3437" t="s">
        <v>8614</v>
      </c>
      <c r="F3437" t="s">
        <v>8615</v>
      </c>
      <c r="G3437" s="712">
        <v>0</v>
      </c>
      <c r="H3437">
        <v>0</v>
      </c>
      <c r="I3437" s="713">
        <v>0</v>
      </c>
      <c r="J3437" s="711">
        <v>314854.88</v>
      </c>
      <c r="K3437">
        <v>0</v>
      </c>
      <c r="L3437">
        <v>0</v>
      </c>
      <c r="M3437">
        <v>0</v>
      </c>
      <c r="N3437" s="711">
        <v>314854.88</v>
      </c>
      <c r="O3437">
        <v>0</v>
      </c>
      <c r="P3437" s="711">
        <v>314854.88</v>
      </c>
    </row>
    <row r="3438" spans="1:16">
      <c r="A3438">
        <v>5</v>
      </c>
      <c r="B3438" t="s">
        <v>12624</v>
      </c>
      <c r="C3438" t="s">
        <v>12631</v>
      </c>
      <c r="D3438" t="s">
        <v>12645</v>
      </c>
      <c r="E3438" t="s">
        <v>8616</v>
      </c>
      <c r="F3438" t="s">
        <v>8617</v>
      </c>
      <c r="G3438" s="712">
        <v>0</v>
      </c>
      <c r="H3438">
        <v>0</v>
      </c>
      <c r="I3438" s="713">
        <v>0</v>
      </c>
      <c r="J3438" s="711">
        <v>116602.73</v>
      </c>
      <c r="K3438">
        <v>0</v>
      </c>
      <c r="L3438">
        <v>0</v>
      </c>
      <c r="M3438">
        <v>0</v>
      </c>
      <c r="N3438" s="711">
        <v>116602.73</v>
      </c>
      <c r="O3438">
        <v>0</v>
      </c>
      <c r="P3438" s="711">
        <v>116602.73</v>
      </c>
    </row>
    <row r="3439" spans="1:16">
      <c r="A3439">
        <v>5</v>
      </c>
      <c r="B3439" t="s">
        <v>12624</v>
      </c>
      <c r="C3439" t="s">
        <v>12631</v>
      </c>
      <c r="D3439" t="s">
        <v>12645</v>
      </c>
      <c r="E3439" t="s">
        <v>8618</v>
      </c>
      <c r="F3439" t="s">
        <v>8619</v>
      </c>
      <c r="G3439" s="712">
        <v>0</v>
      </c>
      <c r="H3439">
        <v>0</v>
      </c>
      <c r="I3439" s="713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</row>
    <row r="3440" spans="1:16">
      <c r="A3440">
        <v>5</v>
      </c>
      <c r="B3440" t="s">
        <v>12624</v>
      </c>
      <c r="C3440" t="s">
        <v>12631</v>
      </c>
      <c r="D3440" t="s">
        <v>12645</v>
      </c>
      <c r="E3440" t="s">
        <v>8620</v>
      </c>
      <c r="F3440" t="s">
        <v>8621</v>
      </c>
      <c r="G3440" s="712">
        <v>0</v>
      </c>
      <c r="H3440">
        <v>0</v>
      </c>
      <c r="I3440" s="713">
        <v>0</v>
      </c>
      <c r="J3440">
        <v>319.70999999999998</v>
      </c>
      <c r="K3440">
        <v>0</v>
      </c>
      <c r="L3440">
        <v>0</v>
      </c>
      <c r="M3440">
        <v>0</v>
      </c>
      <c r="N3440">
        <v>319.70999999999998</v>
      </c>
      <c r="O3440">
        <v>0</v>
      </c>
      <c r="P3440">
        <v>319.70999999999998</v>
      </c>
    </row>
    <row r="3441" spans="1:16">
      <c r="A3441">
        <v>5</v>
      </c>
      <c r="B3441" t="s">
        <v>12624</v>
      </c>
      <c r="C3441" t="s">
        <v>12631</v>
      </c>
      <c r="D3441" t="s">
        <v>12645</v>
      </c>
      <c r="E3441" t="s">
        <v>8623</v>
      </c>
      <c r="F3441" t="s">
        <v>8624</v>
      </c>
      <c r="G3441" s="712">
        <v>0</v>
      </c>
      <c r="H3441">
        <v>0</v>
      </c>
      <c r="I3441" s="713">
        <v>0</v>
      </c>
      <c r="J3441" s="711">
        <v>206951.51</v>
      </c>
      <c r="K3441">
        <v>0</v>
      </c>
      <c r="L3441">
        <v>0</v>
      </c>
      <c r="M3441">
        <v>0</v>
      </c>
      <c r="N3441" s="711">
        <v>206951.51</v>
      </c>
      <c r="O3441">
        <v>0</v>
      </c>
      <c r="P3441" s="711">
        <v>206951.51</v>
      </c>
    </row>
    <row r="3442" spans="1:16">
      <c r="A3442">
        <v>5</v>
      </c>
      <c r="B3442" t="s">
        <v>12624</v>
      </c>
      <c r="C3442" t="s">
        <v>12631</v>
      </c>
      <c r="D3442" t="s">
        <v>12645</v>
      </c>
      <c r="E3442" t="s">
        <v>8625</v>
      </c>
      <c r="F3442" t="s">
        <v>8626</v>
      </c>
      <c r="G3442" s="712">
        <v>0</v>
      </c>
      <c r="H3442">
        <v>0</v>
      </c>
      <c r="I3442" s="713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</row>
    <row r="3443" spans="1:16">
      <c r="A3443">
        <v>5</v>
      </c>
      <c r="B3443" t="s">
        <v>12624</v>
      </c>
      <c r="C3443" t="s">
        <v>12631</v>
      </c>
      <c r="D3443" t="s">
        <v>12645</v>
      </c>
      <c r="E3443" t="s">
        <v>8627</v>
      </c>
      <c r="F3443" t="s">
        <v>8628</v>
      </c>
      <c r="G3443" s="712">
        <v>0</v>
      </c>
      <c r="H3443">
        <v>0</v>
      </c>
      <c r="I3443" s="713">
        <v>0</v>
      </c>
      <c r="J3443">
        <v>22.12</v>
      </c>
      <c r="K3443">
        <v>0</v>
      </c>
      <c r="L3443">
        <v>0</v>
      </c>
      <c r="M3443">
        <v>0</v>
      </c>
      <c r="N3443">
        <v>22.12</v>
      </c>
      <c r="O3443">
        <v>0</v>
      </c>
      <c r="P3443">
        <v>22.12</v>
      </c>
    </row>
    <row r="3444" spans="1:16">
      <c r="A3444">
        <v>5</v>
      </c>
      <c r="B3444" t="s">
        <v>12624</v>
      </c>
      <c r="C3444" t="s">
        <v>12631</v>
      </c>
      <c r="D3444" t="s">
        <v>12645</v>
      </c>
      <c r="E3444" t="s">
        <v>8629</v>
      </c>
      <c r="F3444" t="s">
        <v>8630</v>
      </c>
      <c r="G3444" s="712">
        <v>0</v>
      </c>
      <c r="H3444">
        <v>0</v>
      </c>
      <c r="I3444" s="713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</row>
    <row r="3445" spans="1:16">
      <c r="A3445">
        <v>5</v>
      </c>
      <c r="B3445" t="s">
        <v>12624</v>
      </c>
      <c r="C3445" t="s">
        <v>12631</v>
      </c>
      <c r="D3445" t="s">
        <v>12645</v>
      </c>
      <c r="E3445" t="s">
        <v>8632</v>
      </c>
      <c r="F3445" t="s">
        <v>8633</v>
      </c>
      <c r="G3445" s="712">
        <v>0</v>
      </c>
      <c r="H3445">
        <v>0</v>
      </c>
      <c r="I3445" s="713">
        <v>0</v>
      </c>
      <c r="J3445" s="711">
        <v>16986.400000000001</v>
      </c>
      <c r="K3445">
        <v>0</v>
      </c>
      <c r="L3445">
        <v>0</v>
      </c>
      <c r="M3445">
        <v>0</v>
      </c>
      <c r="N3445" s="711">
        <v>16986.400000000001</v>
      </c>
      <c r="O3445">
        <v>0</v>
      </c>
      <c r="P3445" s="711">
        <v>16986.400000000001</v>
      </c>
    </row>
    <row r="3446" spans="1:16">
      <c r="A3446">
        <v>5</v>
      </c>
      <c r="B3446" t="s">
        <v>12624</v>
      </c>
      <c r="C3446" t="s">
        <v>12631</v>
      </c>
      <c r="D3446" t="s">
        <v>12645</v>
      </c>
      <c r="E3446" t="s">
        <v>8635</v>
      </c>
      <c r="F3446" t="s">
        <v>8636</v>
      </c>
      <c r="G3446" s="712">
        <v>0</v>
      </c>
      <c r="H3446">
        <v>0</v>
      </c>
      <c r="I3446" s="713">
        <v>0</v>
      </c>
      <c r="J3446" s="711">
        <v>4275.58</v>
      </c>
      <c r="K3446">
        <v>0</v>
      </c>
      <c r="L3446">
        <v>0</v>
      </c>
      <c r="M3446">
        <v>0</v>
      </c>
      <c r="N3446" s="711">
        <v>4275.58</v>
      </c>
      <c r="O3446">
        <v>0</v>
      </c>
      <c r="P3446" s="711">
        <v>4275.58</v>
      </c>
    </row>
    <row r="3447" spans="1:16">
      <c r="A3447">
        <v>5</v>
      </c>
      <c r="B3447" t="s">
        <v>12624</v>
      </c>
      <c r="C3447" t="s">
        <v>12631</v>
      </c>
      <c r="D3447" t="s">
        <v>12645</v>
      </c>
      <c r="E3447" t="s">
        <v>8638</v>
      </c>
      <c r="F3447" t="s">
        <v>8639</v>
      </c>
      <c r="G3447" s="712">
        <v>0</v>
      </c>
      <c r="H3447">
        <v>0</v>
      </c>
      <c r="I3447" s="713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</row>
    <row r="3448" spans="1:16">
      <c r="A3448">
        <v>5</v>
      </c>
      <c r="B3448" t="s">
        <v>12624</v>
      </c>
      <c r="C3448" t="s">
        <v>12631</v>
      </c>
      <c r="D3448" t="s">
        <v>12645</v>
      </c>
      <c r="E3448" t="s">
        <v>8641</v>
      </c>
      <c r="F3448" t="s">
        <v>8642</v>
      </c>
      <c r="G3448" s="712">
        <v>0</v>
      </c>
      <c r="H3448">
        <v>0</v>
      </c>
      <c r="I3448" s="713">
        <v>0</v>
      </c>
      <c r="J3448">
        <v>0</v>
      </c>
      <c r="K3448" s="711">
        <v>1785.32</v>
      </c>
      <c r="L3448">
        <v>0</v>
      </c>
      <c r="M3448">
        <v>0</v>
      </c>
      <c r="N3448">
        <v>0</v>
      </c>
      <c r="O3448" s="711">
        <v>1785.32</v>
      </c>
      <c r="P3448" s="711">
        <v>-1785.32</v>
      </c>
    </row>
    <row r="3449" spans="1:16">
      <c r="A3449">
        <v>5</v>
      </c>
      <c r="B3449" t="s">
        <v>12624</v>
      </c>
      <c r="C3449" t="s">
        <v>12631</v>
      </c>
      <c r="D3449" t="s">
        <v>12645</v>
      </c>
      <c r="E3449" t="s">
        <v>8643</v>
      </c>
      <c r="F3449" t="s">
        <v>8644</v>
      </c>
      <c r="G3449" s="712">
        <v>0</v>
      </c>
      <c r="H3449">
        <v>0</v>
      </c>
      <c r="I3449" s="713">
        <v>0</v>
      </c>
      <c r="J3449" s="711">
        <v>2769.87</v>
      </c>
      <c r="K3449">
        <v>0</v>
      </c>
      <c r="L3449">
        <v>0</v>
      </c>
      <c r="M3449">
        <v>0</v>
      </c>
      <c r="N3449" s="711">
        <v>2769.87</v>
      </c>
      <c r="O3449">
        <v>0</v>
      </c>
      <c r="P3449" s="711">
        <v>2769.87</v>
      </c>
    </row>
    <row r="3450" spans="1:16">
      <c r="A3450">
        <v>5</v>
      </c>
      <c r="B3450" t="s">
        <v>12624</v>
      </c>
      <c r="C3450" t="s">
        <v>12631</v>
      </c>
      <c r="D3450" t="s">
        <v>12645</v>
      </c>
      <c r="E3450" t="s">
        <v>8645</v>
      </c>
      <c r="F3450" t="s">
        <v>8646</v>
      </c>
      <c r="G3450" s="712">
        <v>0</v>
      </c>
      <c r="H3450">
        <v>0</v>
      </c>
      <c r="I3450" s="713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</row>
    <row r="3451" spans="1:16">
      <c r="A3451">
        <v>5</v>
      </c>
      <c r="B3451" t="s">
        <v>12624</v>
      </c>
      <c r="C3451" t="s">
        <v>12631</v>
      </c>
      <c r="D3451" t="s">
        <v>12645</v>
      </c>
      <c r="E3451" t="s">
        <v>8647</v>
      </c>
      <c r="F3451" t="s">
        <v>8648</v>
      </c>
      <c r="G3451" s="712">
        <v>0</v>
      </c>
      <c r="H3451">
        <v>0</v>
      </c>
      <c r="I3451" s="713">
        <v>0</v>
      </c>
      <c r="J3451">
        <v>153.38999999999999</v>
      </c>
      <c r="K3451">
        <v>0</v>
      </c>
      <c r="L3451">
        <v>0</v>
      </c>
      <c r="M3451">
        <v>0</v>
      </c>
      <c r="N3451">
        <v>153.38999999999999</v>
      </c>
      <c r="O3451">
        <v>0</v>
      </c>
      <c r="P3451">
        <v>153.38999999999999</v>
      </c>
    </row>
    <row r="3452" spans="1:16">
      <c r="A3452">
        <v>5</v>
      </c>
      <c r="B3452" t="s">
        <v>12624</v>
      </c>
      <c r="C3452" t="s">
        <v>12631</v>
      </c>
      <c r="D3452" t="s">
        <v>12645</v>
      </c>
      <c r="E3452" t="s">
        <v>8649</v>
      </c>
      <c r="F3452" t="s">
        <v>8650</v>
      </c>
      <c r="G3452" s="712">
        <v>0</v>
      </c>
      <c r="H3452">
        <v>0</v>
      </c>
      <c r="I3452" s="713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</row>
    <row r="3453" spans="1:16">
      <c r="A3453">
        <v>5</v>
      </c>
      <c r="B3453" t="s">
        <v>12624</v>
      </c>
      <c r="C3453" t="s">
        <v>12631</v>
      </c>
      <c r="D3453" t="s">
        <v>12645</v>
      </c>
      <c r="E3453" t="s">
        <v>8651</v>
      </c>
      <c r="F3453" t="s">
        <v>8652</v>
      </c>
      <c r="G3453" s="712">
        <v>0</v>
      </c>
      <c r="H3453">
        <v>0</v>
      </c>
      <c r="I3453" s="71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</row>
    <row r="3454" spans="1:16">
      <c r="A3454">
        <v>5</v>
      </c>
      <c r="B3454" t="s">
        <v>12624</v>
      </c>
      <c r="C3454" t="s">
        <v>12631</v>
      </c>
      <c r="D3454" t="s">
        <v>12645</v>
      </c>
      <c r="E3454" t="s">
        <v>8653</v>
      </c>
      <c r="F3454" t="s">
        <v>8654</v>
      </c>
      <c r="G3454" s="712">
        <v>0</v>
      </c>
      <c r="H3454">
        <v>0</v>
      </c>
      <c r="I3454" s="713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</row>
    <row r="3455" spans="1:16">
      <c r="A3455">
        <v>5</v>
      </c>
      <c r="B3455" t="s">
        <v>12624</v>
      </c>
      <c r="C3455" t="s">
        <v>12631</v>
      </c>
      <c r="D3455" t="s">
        <v>12645</v>
      </c>
      <c r="E3455" t="s">
        <v>12655</v>
      </c>
      <c r="F3455" t="s">
        <v>12656</v>
      </c>
      <c r="G3455" s="712">
        <v>0</v>
      </c>
      <c r="H3455">
        <v>0</v>
      </c>
      <c r="I3455" s="713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</row>
    <row r="3456" spans="1:16">
      <c r="A3456">
        <v>5</v>
      </c>
      <c r="B3456" t="s">
        <v>12624</v>
      </c>
      <c r="C3456" t="s">
        <v>12631</v>
      </c>
      <c r="D3456" t="s">
        <v>12645</v>
      </c>
      <c r="E3456" t="s">
        <v>8655</v>
      </c>
      <c r="F3456" t="s">
        <v>8656</v>
      </c>
      <c r="G3456" s="712">
        <v>0</v>
      </c>
      <c r="H3456">
        <v>0</v>
      </c>
      <c r="I3456" s="713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</row>
    <row r="3457" spans="1:16">
      <c r="A3457">
        <v>5</v>
      </c>
      <c r="B3457" t="s">
        <v>12624</v>
      </c>
      <c r="C3457" t="s">
        <v>12631</v>
      </c>
      <c r="D3457" t="s">
        <v>12645</v>
      </c>
      <c r="E3457" t="s">
        <v>8657</v>
      </c>
      <c r="F3457" t="s">
        <v>8658</v>
      </c>
      <c r="G3457" s="712">
        <v>0</v>
      </c>
      <c r="H3457">
        <v>0</v>
      </c>
      <c r="I3457" s="713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</row>
    <row r="3458" spans="1:16">
      <c r="A3458">
        <v>5</v>
      </c>
      <c r="B3458" t="s">
        <v>12624</v>
      </c>
      <c r="C3458" t="s">
        <v>12631</v>
      </c>
      <c r="D3458" t="s">
        <v>12645</v>
      </c>
      <c r="E3458" t="s">
        <v>8659</v>
      </c>
      <c r="F3458" t="s">
        <v>8660</v>
      </c>
      <c r="G3458" s="712">
        <v>0</v>
      </c>
      <c r="H3458">
        <v>0</v>
      </c>
      <c r="I3458" s="713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</row>
    <row r="3459" spans="1:16">
      <c r="A3459">
        <v>5</v>
      </c>
      <c r="B3459" t="s">
        <v>12624</v>
      </c>
      <c r="C3459" t="s">
        <v>12631</v>
      </c>
      <c r="D3459" t="s">
        <v>12645</v>
      </c>
      <c r="E3459" t="s">
        <v>8661</v>
      </c>
      <c r="F3459" t="s">
        <v>8662</v>
      </c>
      <c r="G3459" s="712">
        <v>0</v>
      </c>
      <c r="H3459">
        <v>0</v>
      </c>
      <c r="I3459" s="713">
        <v>0</v>
      </c>
      <c r="J3459" s="711">
        <v>48108.79</v>
      </c>
      <c r="K3459" s="711">
        <v>40588.79</v>
      </c>
      <c r="L3459">
        <v>0</v>
      </c>
      <c r="M3459">
        <v>0</v>
      </c>
      <c r="N3459" s="711">
        <v>48108.79</v>
      </c>
      <c r="O3459" s="711">
        <v>40588.79</v>
      </c>
      <c r="P3459" s="711">
        <v>7520</v>
      </c>
    </row>
    <row r="3460" spans="1:16">
      <c r="A3460">
        <v>5</v>
      </c>
      <c r="B3460" t="s">
        <v>12624</v>
      </c>
      <c r="C3460" t="s">
        <v>12631</v>
      </c>
      <c r="D3460" t="s">
        <v>12645</v>
      </c>
      <c r="E3460" t="s">
        <v>8663</v>
      </c>
      <c r="F3460" t="s">
        <v>8664</v>
      </c>
      <c r="G3460" s="712">
        <v>0</v>
      </c>
      <c r="H3460">
        <v>0</v>
      </c>
      <c r="I3460" s="713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</row>
    <row r="3461" spans="1:16">
      <c r="A3461">
        <v>5</v>
      </c>
      <c r="B3461" t="s">
        <v>12624</v>
      </c>
      <c r="C3461" t="s">
        <v>12631</v>
      </c>
      <c r="D3461" t="s">
        <v>12645</v>
      </c>
      <c r="E3461" t="s">
        <v>8665</v>
      </c>
      <c r="F3461" t="s">
        <v>8666</v>
      </c>
      <c r="G3461" s="712">
        <v>0</v>
      </c>
      <c r="H3461">
        <v>0</v>
      </c>
      <c r="I3461" s="713">
        <v>0</v>
      </c>
      <c r="J3461" s="711">
        <v>821509.93</v>
      </c>
      <c r="K3461" s="711">
        <v>821509.93</v>
      </c>
      <c r="L3461">
        <v>0</v>
      </c>
      <c r="M3461">
        <v>0</v>
      </c>
      <c r="N3461" s="711">
        <v>821509.93</v>
      </c>
      <c r="O3461" s="711">
        <v>821509.93</v>
      </c>
      <c r="P3461">
        <v>0</v>
      </c>
    </row>
    <row r="3462" spans="1:16">
      <c r="A3462">
        <v>5</v>
      </c>
      <c r="B3462" t="s">
        <v>12624</v>
      </c>
      <c r="C3462" t="s">
        <v>12631</v>
      </c>
      <c r="D3462" t="s">
        <v>12645</v>
      </c>
      <c r="E3462" t="s">
        <v>8668</v>
      </c>
      <c r="F3462" t="s">
        <v>8669</v>
      </c>
      <c r="G3462" s="712">
        <v>0</v>
      </c>
      <c r="H3462">
        <v>0</v>
      </c>
      <c r="I3462" s="713">
        <v>0</v>
      </c>
      <c r="J3462" s="711">
        <v>271102.14</v>
      </c>
      <c r="K3462" s="711">
        <v>271102.14</v>
      </c>
      <c r="L3462">
        <v>0</v>
      </c>
      <c r="M3462">
        <v>0</v>
      </c>
      <c r="N3462" s="711">
        <v>271102.14</v>
      </c>
      <c r="O3462" s="711">
        <v>271102.14</v>
      </c>
      <c r="P3462">
        <v>0</v>
      </c>
    </row>
    <row r="3463" spans="1:16">
      <c r="A3463">
        <v>5</v>
      </c>
      <c r="B3463" t="s">
        <v>12624</v>
      </c>
      <c r="C3463" t="s">
        <v>12631</v>
      </c>
      <c r="D3463" t="s">
        <v>12645</v>
      </c>
      <c r="E3463" t="s">
        <v>8671</v>
      </c>
      <c r="F3463" t="s">
        <v>8672</v>
      </c>
      <c r="G3463" s="712">
        <v>0</v>
      </c>
      <c r="H3463">
        <v>0</v>
      </c>
      <c r="I3463" s="713">
        <v>0</v>
      </c>
      <c r="J3463" s="711">
        <v>888636.57</v>
      </c>
      <c r="K3463">
        <v>0</v>
      </c>
      <c r="L3463">
        <v>0</v>
      </c>
      <c r="M3463">
        <v>0</v>
      </c>
      <c r="N3463" s="711">
        <v>888636.57</v>
      </c>
      <c r="O3463">
        <v>0</v>
      </c>
      <c r="P3463" s="711">
        <v>888636.57</v>
      </c>
    </row>
    <row r="3464" spans="1:16" ht="15.75" thickBot="1">
      <c r="A3464">
        <v>5</v>
      </c>
      <c r="B3464" t="s">
        <v>12624</v>
      </c>
      <c r="C3464" t="s">
        <v>12631</v>
      </c>
      <c r="D3464" t="s">
        <v>12645</v>
      </c>
      <c r="E3464" t="s">
        <v>8674</v>
      </c>
      <c r="F3464" t="s">
        <v>8675</v>
      </c>
      <c r="G3464" s="712">
        <v>0</v>
      </c>
      <c r="H3464">
        <v>0</v>
      </c>
      <c r="I3464" s="713">
        <v>0</v>
      </c>
      <c r="J3464" s="711">
        <v>1218068.3999999999</v>
      </c>
      <c r="K3464">
        <v>0</v>
      </c>
      <c r="L3464">
        <v>0</v>
      </c>
      <c r="M3464">
        <v>0</v>
      </c>
      <c r="N3464" s="711">
        <v>1218068.3999999999</v>
      </c>
      <c r="O3464">
        <v>0</v>
      </c>
      <c r="P3464" s="711">
        <v>1218068.3999999999</v>
      </c>
    </row>
    <row r="3465" spans="1:16" ht="15.75" thickBot="1">
      <c r="A3465" s="727">
        <v>5</v>
      </c>
      <c r="B3465" s="727" t="s">
        <v>12624</v>
      </c>
      <c r="C3465" s="727" t="s">
        <v>12631</v>
      </c>
      <c r="D3465" s="727" t="s">
        <v>12657</v>
      </c>
      <c r="E3465" s="727"/>
      <c r="F3465" s="729" t="s">
        <v>12658</v>
      </c>
      <c r="G3465" s="738">
        <v>0</v>
      </c>
      <c r="H3465" s="738">
        <v>0</v>
      </c>
      <c r="I3465" s="738">
        <v>0</v>
      </c>
      <c r="J3465" s="738">
        <v>0</v>
      </c>
      <c r="K3465" s="738">
        <v>0</v>
      </c>
      <c r="L3465" s="738">
        <v>0</v>
      </c>
      <c r="M3465" s="738">
        <v>0</v>
      </c>
      <c r="N3465" s="738">
        <v>0</v>
      </c>
      <c r="O3465" s="738">
        <v>0</v>
      </c>
      <c r="P3465" s="738">
        <v>0</v>
      </c>
    </row>
    <row r="3466" spans="1:16">
      <c r="A3466">
        <v>5</v>
      </c>
      <c r="B3466" t="s">
        <v>12624</v>
      </c>
      <c r="C3466" t="s">
        <v>12631</v>
      </c>
      <c r="D3466" t="s">
        <v>12657</v>
      </c>
      <c r="E3466" t="s">
        <v>8679</v>
      </c>
      <c r="F3466" t="s">
        <v>8680</v>
      </c>
      <c r="G3466" s="712">
        <v>0</v>
      </c>
      <c r="H3466">
        <v>0</v>
      </c>
      <c r="I3466" s="713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</row>
    <row r="3467" spans="1:16">
      <c r="A3467">
        <v>5</v>
      </c>
      <c r="B3467" t="s">
        <v>12624</v>
      </c>
      <c r="C3467" t="s">
        <v>12631</v>
      </c>
      <c r="D3467" t="s">
        <v>12657</v>
      </c>
      <c r="E3467" t="s">
        <v>8681</v>
      </c>
      <c r="F3467" t="s">
        <v>8682</v>
      </c>
      <c r="G3467" s="712">
        <v>0</v>
      </c>
      <c r="H3467">
        <v>0</v>
      </c>
      <c r="I3467" s="713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</row>
    <row r="3468" spans="1:16">
      <c r="A3468">
        <v>5</v>
      </c>
      <c r="B3468" t="s">
        <v>12624</v>
      </c>
      <c r="C3468" t="s">
        <v>12631</v>
      </c>
      <c r="D3468" t="s">
        <v>12657</v>
      </c>
      <c r="E3468" t="s">
        <v>8683</v>
      </c>
      <c r="F3468" t="s">
        <v>8684</v>
      </c>
      <c r="G3468" s="712">
        <v>0</v>
      </c>
      <c r="H3468">
        <v>0</v>
      </c>
      <c r="I3468" s="713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</row>
    <row r="3469" spans="1:16">
      <c r="A3469">
        <v>5</v>
      </c>
      <c r="B3469" t="s">
        <v>12624</v>
      </c>
      <c r="C3469" t="s">
        <v>12631</v>
      </c>
      <c r="D3469" t="s">
        <v>12657</v>
      </c>
      <c r="E3469" t="s">
        <v>8685</v>
      </c>
      <c r="F3469" t="s">
        <v>8686</v>
      </c>
      <c r="G3469" s="712">
        <v>0</v>
      </c>
      <c r="H3469">
        <v>0</v>
      </c>
      <c r="I3469" s="713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</row>
    <row r="3470" spans="1:16">
      <c r="A3470">
        <v>5</v>
      </c>
      <c r="B3470" t="s">
        <v>12624</v>
      </c>
      <c r="C3470" t="s">
        <v>12631</v>
      </c>
      <c r="D3470" t="s">
        <v>12657</v>
      </c>
      <c r="E3470" t="s">
        <v>8687</v>
      </c>
      <c r="F3470" t="s">
        <v>8688</v>
      </c>
      <c r="G3470" s="712">
        <v>0</v>
      </c>
      <c r="H3470">
        <v>0</v>
      </c>
      <c r="I3470" s="713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</row>
    <row r="3471" spans="1:16">
      <c r="A3471">
        <v>5</v>
      </c>
      <c r="B3471" t="s">
        <v>12624</v>
      </c>
      <c r="C3471" t="s">
        <v>12631</v>
      </c>
      <c r="D3471" t="s">
        <v>12657</v>
      </c>
      <c r="E3471" t="s">
        <v>8689</v>
      </c>
      <c r="F3471" t="s">
        <v>8690</v>
      </c>
      <c r="G3471" s="712">
        <v>0</v>
      </c>
      <c r="H3471">
        <v>0</v>
      </c>
      <c r="I3471" s="713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</row>
    <row r="3472" spans="1:16">
      <c r="A3472">
        <v>5</v>
      </c>
      <c r="B3472" t="s">
        <v>12624</v>
      </c>
      <c r="C3472" t="s">
        <v>12631</v>
      </c>
      <c r="D3472" t="s">
        <v>12657</v>
      </c>
      <c r="E3472" t="s">
        <v>8691</v>
      </c>
      <c r="F3472" t="s">
        <v>8692</v>
      </c>
      <c r="G3472" s="712">
        <v>0</v>
      </c>
      <c r="H3472">
        <v>0</v>
      </c>
      <c r="I3472" s="713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</row>
    <row r="3473" spans="1:16">
      <c r="A3473">
        <v>5</v>
      </c>
      <c r="B3473" t="s">
        <v>12624</v>
      </c>
      <c r="C3473" t="s">
        <v>12631</v>
      </c>
      <c r="D3473" t="s">
        <v>12657</v>
      </c>
      <c r="E3473" t="s">
        <v>8693</v>
      </c>
      <c r="F3473" t="s">
        <v>8694</v>
      </c>
      <c r="G3473" s="712">
        <v>0</v>
      </c>
      <c r="H3473">
        <v>0</v>
      </c>
      <c r="I3473" s="71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</row>
    <row r="3474" spans="1:16">
      <c r="A3474">
        <v>5</v>
      </c>
      <c r="B3474" t="s">
        <v>12624</v>
      </c>
      <c r="C3474" t="s">
        <v>12631</v>
      </c>
      <c r="D3474" t="s">
        <v>12657</v>
      </c>
      <c r="E3474" t="s">
        <v>8695</v>
      </c>
      <c r="F3474" t="s">
        <v>8696</v>
      </c>
      <c r="G3474" s="712">
        <v>0</v>
      </c>
      <c r="H3474">
        <v>0</v>
      </c>
      <c r="I3474" s="713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</row>
    <row r="3475" spans="1:16">
      <c r="A3475">
        <v>5</v>
      </c>
      <c r="B3475" t="s">
        <v>12624</v>
      </c>
      <c r="C3475" t="s">
        <v>12631</v>
      </c>
      <c r="D3475" t="s">
        <v>12657</v>
      </c>
      <c r="E3475" t="s">
        <v>8697</v>
      </c>
      <c r="F3475" t="s">
        <v>8698</v>
      </c>
      <c r="G3475" s="712">
        <v>0</v>
      </c>
      <c r="H3475">
        <v>0</v>
      </c>
      <c r="I3475" s="713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</row>
    <row r="3476" spans="1:16">
      <c r="A3476">
        <v>5</v>
      </c>
      <c r="B3476" t="s">
        <v>12624</v>
      </c>
      <c r="C3476" t="s">
        <v>12631</v>
      </c>
      <c r="D3476" t="s">
        <v>12657</v>
      </c>
      <c r="E3476" t="s">
        <v>8699</v>
      </c>
      <c r="F3476" t="s">
        <v>8700</v>
      </c>
      <c r="G3476" s="712">
        <v>0</v>
      </c>
      <c r="H3476">
        <v>0</v>
      </c>
      <c r="I3476" s="713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</row>
    <row r="3477" spans="1:16">
      <c r="A3477">
        <v>5</v>
      </c>
      <c r="B3477" t="s">
        <v>12624</v>
      </c>
      <c r="C3477" t="s">
        <v>12631</v>
      </c>
      <c r="D3477" t="s">
        <v>12657</v>
      </c>
      <c r="E3477" t="s">
        <v>8701</v>
      </c>
      <c r="F3477" t="s">
        <v>8702</v>
      </c>
      <c r="G3477" s="712">
        <v>0</v>
      </c>
      <c r="H3477">
        <v>0</v>
      </c>
      <c r="I3477" s="713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</row>
    <row r="3478" spans="1:16">
      <c r="A3478">
        <v>5</v>
      </c>
      <c r="B3478" t="s">
        <v>12624</v>
      </c>
      <c r="C3478" t="s">
        <v>12631</v>
      </c>
      <c r="D3478" t="s">
        <v>12657</v>
      </c>
      <c r="E3478" t="s">
        <v>8703</v>
      </c>
      <c r="F3478" t="s">
        <v>8704</v>
      </c>
      <c r="G3478" s="712">
        <v>0</v>
      </c>
      <c r="H3478">
        <v>0</v>
      </c>
      <c r="I3478" s="713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</row>
    <row r="3479" spans="1:16">
      <c r="A3479">
        <v>5</v>
      </c>
      <c r="B3479" t="s">
        <v>12624</v>
      </c>
      <c r="C3479" t="s">
        <v>12631</v>
      </c>
      <c r="D3479" t="s">
        <v>12657</v>
      </c>
      <c r="E3479" t="s">
        <v>8705</v>
      </c>
      <c r="F3479" t="s">
        <v>8706</v>
      </c>
      <c r="G3479" s="712">
        <v>0</v>
      </c>
      <c r="H3479">
        <v>0</v>
      </c>
      <c r="I3479" s="713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</row>
    <row r="3480" spans="1:16">
      <c r="A3480">
        <v>5</v>
      </c>
      <c r="B3480" t="s">
        <v>12624</v>
      </c>
      <c r="C3480" t="s">
        <v>12631</v>
      </c>
      <c r="D3480" t="s">
        <v>12657</v>
      </c>
      <c r="E3480" t="s">
        <v>8707</v>
      </c>
      <c r="F3480" t="s">
        <v>8708</v>
      </c>
      <c r="G3480" s="712">
        <v>0</v>
      </c>
      <c r="H3480">
        <v>0</v>
      </c>
      <c r="I3480" s="713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</row>
    <row r="3481" spans="1:16">
      <c r="A3481">
        <v>5</v>
      </c>
      <c r="B3481" t="s">
        <v>12624</v>
      </c>
      <c r="C3481" t="s">
        <v>12631</v>
      </c>
      <c r="D3481" t="s">
        <v>12657</v>
      </c>
      <c r="E3481" t="s">
        <v>8709</v>
      </c>
      <c r="F3481" t="s">
        <v>8710</v>
      </c>
      <c r="G3481" s="712">
        <v>0</v>
      </c>
      <c r="H3481">
        <v>0</v>
      </c>
      <c r="I3481" s="713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</row>
    <row r="3482" spans="1:16">
      <c r="A3482">
        <v>5</v>
      </c>
      <c r="B3482" t="s">
        <v>12624</v>
      </c>
      <c r="C3482" t="s">
        <v>12631</v>
      </c>
      <c r="D3482" t="s">
        <v>12657</v>
      </c>
      <c r="E3482" t="s">
        <v>8711</v>
      </c>
      <c r="F3482" t="s">
        <v>8712</v>
      </c>
      <c r="G3482" s="712">
        <v>0</v>
      </c>
      <c r="H3482">
        <v>0</v>
      </c>
      <c r="I3482" s="713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</row>
    <row r="3483" spans="1:16">
      <c r="A3483">
        <v>5</v>
      </c>
      <c r="B3483" t="s">
        <v>12624</v>
      </c>
      <c r="C3483" t="s">
        <v>12631</v>
      </c>
      <c r="D3483" t="s">
        <v>12657</v>
      </c>
      <c r="E3483" t="s">
        <v>8713</v>
      </c>
      <c r="F3483" t="s">
        <v>8714</v>
      </c>
      <c r="G3483" s="712">
        <v>0</v>
      </c>
      <c r="H3483">
        <v>0</v>
      </c>
      <c r="I3483" s="71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</row>
    <row r="3484" spans="1:16">
      <c r="A3484">
        <v>5</v>
      </c>
      <c r="B3484" t="s">
        <v>12624</v>
      </c>
      <c r="C3484" t="s">
        <v>12631</v>
      </c>
      <c r="D3484" t="s">
        <v>12657</v>
      </c>
      <c r="E3484" t="s">
        <v>8715</v>
      </c>
      <c r="F3484" t="s">
        <v>8716</v>
      </c>
      <c r="G3484" s="712">
        <v>0</v>
      </c>
      <c r="H3484">
        <v>0</v>
      </c>
      <c r="I3484" s="713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</row>
    <row r="3485" spans="1:16">
      <c r="A3485">
        <v>5</v>
      </c>
      <c r="B3485" t="s">
        <v>12624</v>
      </c>
      <c r="C3485" t="s">
        <v>12631</v>
      </c>
      <c r="D3485" t="s">
        <v>12657</v>
      </c>
      <c r="E3485" t="s">
        <v>12659</v>
      </c>
      <c r="F3485" t="s">
        <v>12660</v>
      </c>
      <c r="G3485" s="712">
        <v>0</v>
      </c>
      <c r="H3485">
        <v>0</v>
      </c>
      <c r="I3485" s="713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</row>
    <row r="3486" spans="1:16">
      <c r="A3486">
        <v>5</v>
      </c>
      <c r="B3486" t="s">
        <v>12624</v>
      </c>
      <c r="C3486" t="s">
        <v>12631</v>
      </c>
      <c r="D3486" t="s">
        <v>12657</v>
      </c>
      <c r="E3486" t="s">
        <v>8717</v>
      </c>
      <c r="F3486" t="s">
        <v>8718</v>
      </c>
      <c r="G3486" s="712">
        <v>0</v>
      </c>
      <c r="H3486">
        <v>0</v>
      </c>
      <c r="I3486" s="713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</row>
    <row r="3487" spans="1:16">
      <c r="A3487">
        <v>5</v>
      </c>
      <c r="B3487" t="s">
        <v>12624</v>
      </c>
      <c r="C3487" t="s">
        <v>12631</v>
      </c>
      <c r="D3487" t="s">
        <v>12657</v>
      </c>
      <c r="E3487" t="s">
        <v>8719</v>
      </c>
      <c r="F3487" t="s">
        <v>8720</v>
      </c>
      <c r="G3487" s="712">
        <v>0</v>
      </c>
      <c r="H3487">
        <v>0</v>
      </c>
      <c r="I3487" s="713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</row>
    <row r="3488" spans="1:16">
      <c r="A3488">
        <v>5</v>
      </c>
      <c r="B3488" t="s">
        <v>12624</v>
      </c>
      <c r="C3488" t="s">
        <v>12631</v>
      </c>
      <c r="D3488" t="s">
        <v>12657</v>
      </c>
      <c r="E3488" t="s">
        <v>8721</v>
      </c>
      <c r="F3488" t="s">
        <v>8722</v>
      </c>
      <c r="G3488" s="712">
        <v>0</v>
      </c>
      <c r="H3488">
        <v>0</v>
      </c>
      <c r="I3488" s="713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</row>
    <row r="3489" spans="1:16">
      <c r="A3489">
        <v>5</v>
      </c>
      <c r="B3489" t="s">
        <v>12624</v>
      </c>
      <c r="C3489" t="s">
        <v>12631</v>
      </c>
      <c r="D3489" t="s">
        <v>12657</v>
      </c>
      <c r="E3489" t="s">
        <v>8723</v>
      </c>
      <c r="F3489" t="s">
        <v>8724</v>
      </c>
      <c r="G3489" s="712">
        <v>0</v>
      </c>
      <c r="H3489">
        <v>0</v>
      </c>
      <c r="I3489" s="713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</row>
    <row r="3490" spans="1:16">
      <c r="A3490">
        <v>5</v>
      </c>
      <c r="B3490" t="s">
        <v>12624</v>
      </c>
      <c r="C3490" t="s">
        <v>12631</v>
      </c>
      <c r="D3490" t="s">
        <v>12657</v>
      </c>
      <c r="E3490" t="s">
        <v>8725</v>
      </c>
      <c r="F3490" t="s">
        <v>8726</v>
      </c>
      <c r="G3490" s="712">
        <v>0</v>
      </c>
      <c r="H3490">
        <v>0</v>
      </c>
      <c r="I3490" s="713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</row>
    <row r="3491" spans="1:16">
      <c r="A3491">
        <v>5</v>
      </c>
      <c r="B3491" t="s">
        <v>12624</v>
      </c>
      <c r="C3491" t="s">
        <v>12631</v>
      </c>
      <c r="D3491" t="s">
        <v>12657</v>
      </c>
      <c r="E3491" t="s">
        <v>8727</v>
      </c>
      <c r="F3491" t="s">
        <v>8728</v>
      </c>
      <c r="G3491" s="712">
        <v>0</v>
      </c>
      <c r="H3491">
        <v>0</v>
      </c>
      <c r="I3491" s="713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</row>
    <row r="3492" spans="1:16">
      <c r="A3492">
        <v>5</v>
      </c>
      <c r="B3492" t="s">
        <v>12624</v>
      </c>
      <c r="C3492" t="s">
        <v>12631</v>
      </c>
      <c r="D3492" t="s">
        <v>12657</v>
      </c>
      <c r="E3492" t="s">
        <v>8729</v>
      </c>
      <c r="F3492" t="s">
        <v>8730</v>
      </c>
      <c r="G3492" s="712">
        <v>0</v>
      </c>
      <c r="H3492">
        <v>0</v>
      </c>
      <c r="I3492" s="713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</row>
    <row r="3493" spans="1:16">
      <c r="A3493">
        <v>5</v>
      </c>
      <c r="B3493" t="s">
        <v>12624</v>
      </c>
      <c r="C3493" t="s">
        <v>12631</v>
      </c>
      <c r="D3493" t="s">
        <v>12657</v>
      </c>
      <c r="E3493" t="s">
        <v>8731</v>
      </c>
      <c r="F3493" t="s">
        <v>8732</v>
      </c>
      <c r="G3493" s="712">
        <v>0</v>
      </c>
      <c r="H3493">
        <v>0</v>
      </c>
      <c r="I3493" s="71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</row>
    <row r="3494" spans="1:16" ht="15.75" thickBot="1">
      <c r="A3494">
        <v>5</v>
      </c>
      <c r="B3494" t="s">
        <v>12624</v>
      </c>
      <c r="C3494" t="s">
        <v>12631</v>
      </c>
      <c r="D3494" t="s">
        <v>12657</v>
      </c>
      <c r="E3494" t="s">
        <v>8733</v>
      </c>
      <c r="F3494" t="s">
        <v>8734</v>
      </c>
      <c r="G3494" s="712">
        <v>0</v>
      </c>
      <c r="H3494">
        <v>0</v>
      </c>
      <c r="I3494" s="713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</row>
    <row r="3495" spans="1:16" ht="15.75" thickBot="1">
      <c r="A3495" s="727">
        <v>5</v>
      </c>
      <c r="B3495" s="727" t="s">
        <v>12661</v>
      </c>
      <c r="C3495" s="727"/>
      <c r="D3495" s="727"/>
      <c r="E3495" s="727"/>
      <c r="F3495" s="745" t="s">
        <v>85</v>
      </c>
      <c r="G3495" s="738">
        <v>0</v>
      </c>
      <c r="H3495" s="738">
        <v>0</v>
      </c>
      <c r="I3495" s="738">
        <v>0</v>
      </c>
      <c r="J3495" s="739">
        <v>943866.71</v>
      </c>
      <c r="K3495" s="739">
        <v>2448.8200000000002</v>
      </c>
      <c r="L3495" s="738">
        <v>0</v>
      </c>
      <c r="M3495" s="738">
        <v>0</v>
      </c>
      <c r="N3495" s="739">
        <v>943866.71</v>
      </c>
      <c r="O3495" s="739">
        <v>2448.8200000000002</v>
      </c>
      <c r="P3495" s="739">
        <v>941417.89</v>
      </c>
    </row>
    <row r="3496" spans="1:16" ht="15.75" thickBot="1">
      <c r="A3496" s="727">
        <v>5</v>
      </c>
      <c r="B3496" s="727" t="s">
        <v>12661</v>
      </c>
      <c r="C3496" s="727" t="s">
        <v>12662</v>
      </c>
      <c r="D3496" s="727"/>
      <c r="E3496" s="727"/>
      <c r="F3496" s="745" t="s">
        <v>12663</v>
      </c>
      <c r="G3496" s="738">
        <v>0</v>
      </c>
      <c r="H3496" s="738">
        <v>0</v>
      </c>
      <c r="I3496" s="738">
        <v>0</v>
      </c>
      <c r="J3496" s="739">
        <v>824968.04</v>
      </c>
      <c r="K3496" s="738">
        <v>0</v>
      </c>
      <c r="L3496" s="738">
        <v>0</v>
      </c>
      <c r="M3496" s="738">
        <v>0</v>
      </c>
      <c r="N3496" s="739">
        <v>824968.04</v>
      </c>
      <c r="O3496" s="738">
        <v>0</v>
      </c>
      <c r="P3496" s="739">
        <v>824968.04</v>
      </c>
    </row>
    <row r="3497" spans="1:16" ht="15.75" thickBot="1">
      <c r="A3497" s="727">
        <v>5</v>
      </c>
      <c r="B3497" s="727" t="s">
        <v>12661</v>
      </c>
      <c r="C3497" s="727" t="s">
        <v>12662</v>
      </c>
      <c r="D3497" s="727" t="s">
        <v>12664</v>
      </c>
      <c r="E3497" s="727"/>
      <c r="F3497" s="729" t="s">
        <v>12665</v>
      </c>
      <c r="G3497" s="738">
        <v>0</v>
      </c>
      <c r="H3497" s="738">
        <v>0</v>
      </c>
      <c r="I3497" s="738">
        <v>0</v>
      </c>
      <c r="J3497" s="739">
        <v>338360.01</v>
      </c>
      <c r="K3497" s="738">
        <v>0</v>
      </c>
      <c r="L3497" s="738">
        <v>0</v>
      </c>
      <c r="M3497" s="738">
        <v>0</v>
      </c>
      <c r="N3497" s="739">
        <v>338360.01</v>
      </c>
      <c r="O3497" s="738">
        <v>0</v>
      </c>
      <c r="P3497" s="739">
        <v>338360.01</v>
      </c>
    </row>
    <row r="3498" spans="1:16">
      <c r="A3498">
        <v>5</v>
      </c>
      <c r="B3498" t="s">
        <v>12661</v>
      </c>
      <c r="C3498" t="s">
        <v>12662</v>
      </c>
      <c r="D3498" t="s">
        <v>12664</v>
      </c>
      <c r="E3498" t="s">
        <v>8742</v>
      </c>
      <c r="F3498" t="s">
        <v>8743</v>
      </c>
      <c r="G3498" s="712">
        <v>0</v>
      </c>
      <c r="H3498">
        <v>0</v>
      </c>
      <c r="I3498" s="713">
        <v>0</v>
      </c>
      <c r="J3498" s="711">
        <v>141017.56</v>
      </c>
      <c r="K3498">
        <v>0</v>
      </c>
      <c r="L3498">
        <v>0</v>
      </c>
      <c r="M3498">
        <v>0</v>
      </c>
      <c r="N3498" s="711">
        <v>141017.56</v>
      </c>
      <c r="O3498">
        <v>0</v>
      </c>
      <c r="P3498" s="711">
        <v>141017.56</v>
      </c>
    </row>
    <row r="3499" spans="1:16">
      <c r="A3499">
        <v>5</v>
      </c>
      <c r="B3499" t="s">
        <v>12661</v>
      </c>
      <c r="C3499" t="s">
        <v>12662</v>
      </c>
      <c r="D3499" t="s">
        <v>12664</v>
      </c>
      <c r="E3499" t="s">
        <v>8745</v>
      </c>
      <c r="F3499" t="s">
        <v>8746</v>
      </c>
      <c r="G3499" s="712">
        <v>0</v>
      </c>
      <c r="H3499">
        <v>0</v>
      </c>
      <c r="I3499" s="713">
        <v>0</v>
      </c>
      <c r="J3499" s="711">
        <v>74830.960000000006</v>
      </c>
      <c r="K3499">
        <v>0</v>
      </c>
      <c r="L3499">
        <v>0</v>
      </c>
      <c r="M3499">
        <v>0</v>
      </c>
      <c r="N3499" s="711">
        <v>74830.960000000006</v>
      </c>
      <c r="O3499">
        <v>0</v>
      </c>
      <c r="P3499" s="711">
        <v>74830.960000000006</v>
      </c>
    </row>
    <row r="3500" spans="1:16">
      <c r="A3500">
        <v>5</v>
      </c>
      <c r="B3500" t="s">
        <v>12661</v>
      </c>
      <c r="C3500" t="s">
        <v>12662</v>
      </c>
      <c r="D3500" t="s">
        <v>12664</v>
      </c>
      <c r="E3500" t="s">
        <v>8748</v>
      </c>
      <c r="F3500" t="s">
        <v>8749</v>
      </c>
      <c r="G3500" s="712">
        <v>0</v>
      </c>
      <c r="H3500">
        <v>0</v>
      </c>
      <c r="I3500" s="713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</row>
    <row r="3501" spans="1:16">
      <c r="A3501">
        <v>5</v>
      </c>
      <c r="B3501" t="s">
        <v>12661</v>
      </c>
      <c r="C3501" t="s">
        <v>12662</v>
      </c>
      <c r="D3501" t="s">
        <v>12664</v>
      </c>
      <c r="E3501" t="s">
        <v>8751</v>
      </c>
      <c r="F3501" t="s">
        <v>8752</v>
      </c>
      <c r="G3501" s="712">
        <v>0</v>
      </c>
      <c r="H3501">
        <v>0</v>
      </c>
      <c r="I3501" s="713">
        <v>0</v>
      </c>
      <c r="J3501" s="711">
        <v>48160.67</v>
      </c>
      <c r="K3501">
        <v>0</v>
      </c>
      <c r="L3501">
        <v>0</v>
      </c>
      <c r="M3501">
        <v>0</v>
      </c>
      <c r="N3501" s="711">
        <v>48160.67</v>
      </c>
      <c r="O3501">
        <v>0</v>
      </c>
      <c r="P3501" s="711">
        <v>48160.67</v>
      </c>
    </row>
    <row r="3502" spans="1:16">
      <c r="A3502">
        <v>5</v>
      </c>
      <c r="B3502" t="s">
        <v>12661</v>
      </c>
      <c r="C3502" t="s">
        <v>12662</v>
      </c>
      <c r="D3502" t="s">
        <v>12664</v>
      </c>
      <c r="E3502" t="s">
        <v>8754</v>
      </c>
      <c r="F3502" t="s">
        <v>8755</v>
      </c>
      <c r="G3502" s="712">
        <v>0</v>
      </c>
      <c r="H3502">
        <v>0</v>
      </c>
      <c r="I3502" s="713">
        <v>0</v>
      </c>
      <c r="J3502" s="711">
        <v>66621.17</v>
      </c>
      <c r="K3502">
        <v>0</v>
      </c>
      <c r="L3502">
        <v>0</v>
      </c>
      <c r="M3502">
        <v>0</v>
      </c>
      <c r="N3502" s="711">
        <v>66621.17</v>
      </c>
      <c r="O3502">
        <v>0</v>
      </c>
      <c r="P3502" s="711">
        <v>66621.17</v>
      </c>
    </row>
    <row r="3503" spans="1:16">
      <c r="A3503">
        <v>5</v>
      </c>
      <c r="B3503" t="s">
        <v>12661</v>
      </c>
      <c r="C3503" t="s">
        <v>12662</v>
      </c>
      <c r="D3503" t="s">
        <v>12664</v>
      </c>
      <c r="E3503" t="s">
        <v>8757</v>
      </c>
      <c r="F3503" t="s">
        <v>8758</v>
      </c>
      <c r="G3503" s="712">
        <v>0</v>
      </c>
      <c r="H3503">
        <v>0</v>
      </c>
      <c r="I3503" s="713">
        <v>0</v>
      </c>
      <c r="J3503" s="711">
        <v>7082.67</v>
      </c>
      <c r="K3503">
        <v>0</v>
      </c>
      <c r="L3503">
        <v>0</v>
      </c>
      <c r="M3503">
        <v>0</v>
      </c>
      <c r="N3503" s="711">
        <v>7082.67</v>
      </c>
      <c r="O3503">
        <v>0</v>
      </c>
      <c r="P3503" s="711">
        <v>7082.67</v>
      </c>
    </row>
    <row r="3504" spans="1:16">
      <c r="A3504">
        <v>5</v>
      </c>
      <c r="B3504" t="s">
        <v>12661</v>
      </c>
      <c r="C3504" t="s">
        <v>12662</v>
      </c>
      <c r="D3504" t="s">
        <v>12664</v>
      </c>
      <c r="E3504" t="s">
        <v>8759</v>
      </c>
      <c r="F3504" t="s">
        <v>8760</v>
      </c>
      <c r="G3504" s="712">
        <v>0</v>
      </c>
      <c r="H3504">
        <v>0</v>
      </c>
      <c r="I3504" s="713">
        <v>0</v>
      </c>
      <c r="J3504">
        <v>60.66</v>
      </c>
      <c r="K3504">
        <v>0</v>
      </c>
      <c r="L3504">
        <v>0</v>
      </c>
      <c r="M3504">
        <v>0</v>
      </c>
      <c r="N3504">
        <v>60.66</v>
      </c>
      <c r="O3504">
        <v>0</v>
      </c>
      <c r="P3504">
        <v>60.66</v>
      </c>
    </row>
    <row r="3505" spans="1:16">
      <c r="A3505">
        <v>5</v>
      </c>
      <c r="B3505" t="s">
        <v>12661</v>
      </c>
      <c r="C3505" t="s">
        <v>12662</v>
      </c>
      <c r="D3505" t="s">
        <v>12664</v>
      </c>
      <c r="E3505" t="s">
        <v>8761</v>
      </c>
      <c r="F3505" t="s">
        <v>8762</v>
      </c>
      <c r="G3505" s="712">
        <v>0</v>
      </c>
      <c r="H3505">
        <v>0</v>
      </c>
      <c r="I3505" s="713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</row>
    <row r="3506" spans="1:16">
      <c r="A3506">
        <v>5</v>
      </c>
      <c r="B3506" t="s">
        <v>12661</v>
      </c>
      <c r="C3506" t="s">
        <v>12662</v>
      </c>
      <c r="D3506" t="s">
        <v>12664</v>
      </c>
      <c r="E3506" t="s">
        <v>8763</v>
      </c>
      <c r="F3506" t="s">
        <v>8764</v>
      </c>
      <c r="G3506" s="712">
        <v>0</v>
      </c>
      <c r="H3506">
        <v>0</v>
      </c>
      <c r="I3506" s="713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</row>
    <row r="3507" spans="1:16">
      <c r="A3507">
        <v>5</v>
      </c>
      <c r="B3507" t="s">
        <v>12661</v>
      </c>
      <c r="C3507" t="s">
        <v>12662</v>
      </c>
      <c r="D3507" t="s">
        <v>12664</v>
      </c>
      <c r="E3507" t="s">
        <v>8765</v>
      </c>
      <c r="F3507" t="s">
        <v>8766</v>
      </c>
      <c r="G3507" s="712">
        <v>0</v>
      </c>
      <c r="H3507">
        <v>0</v>
      </c>
      <c r="I3507" s="713">
        <v>0</v>
      </c>
      <c r="J3507">
        <v>586.32000000000005</v>
      </c>
      <c r="K3507">
        <v>0</v>
      </c>
      <c r="L3507">
        <v>0</v>
      </c>
      <c r="M3507">
        <v>0</v>
      </c>
      <c r="N3507">
        <v>586.32000000000005</v>
      </c>
      <c r="O3507">
        <v>0</v>
      </c>
      <c r="P3507">
        <v>586.32000000000005</v>
      </c>
    </row>
    <row r="3508" spans="1:16">
      <c r="A3508">
        <v>5</v>
      </c>
      <c r="B3508" t="s">
        <v>12661</v>
      </c>
      <c r="C3508" t="s">
        <v>12662</v>
      </c>
      <c r="D3508" t="s">
        <v>12664</v>
      </c>
      <c r="E3508" t="s">
        <v>8767</v>
      </c>
      <c r="F3508" t="s">
        <v>8768</v>
      </c>
      <c r="G3508" s="712">
        <v>0</v>
      </c>
      <c r="H3508">
        <v>0</v>
      </c>
      <c r="I3508" s="713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</row>
    <row r="3509" spans="1:16">
      <c r="A3509">
        <v>5</v>
      </c>
      <c r="B3509" t="s">
        <v>12661</v>
      </c>
      <c r="C3509" t="s">
        <v>12662</v>
      </c>
      <c r="D3509" t="s">
        <v>12664</v>
      </c>
      <c r="E3509" t="s">
        <v>8769</v>
      </c>
      <c r="F3509" t="s">
        <v>8770</v>
      </c>
      <c r="G3509" s="712">
        <v>0</v>
      </c>
      <c r="H3509">
        <v>0</v>
      </c>
      <c r="I3509" s="713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</row>
    <row r="3510" spans="1:16">
      <c r="A3510">
        <v>5</v>
      </c>
      <c r="B3510" t="s">
        <v>12661</v>
      </c>
      <c r="C3510" t="s">
        <v>12662</v>
      </c>
      <c r="D3510" t="s">
        <v>12664</v>
      </c>
      <c r="E3510" t="s">
        <v>8771</v>
      </c>
      <c r="F3510" t="s">
        <v>8772</v>
      </c>
      <c r="G3510" s="712">
        <v>0</v>
      </c>
      <c r="H3510">
        <v>0</v>
      </c>
      <c r="I3510" s="713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</row>
    <row r="3511" spans="1:16">
      <c r="A3511">
        <v>5</v>
      </c>
      <c r="B3511" t="s">
        <v>12661</v>
      </c>
      <c r="C3511" t="s">
        <v>12662</v>
      </c>
      <c r="D3511" t="s">
        <v>12664</v>
      </c>
      <c r="E3511" t="s">
        <v>8774</v>
      </c>
      <c r="F3511" t="s">
        <v>8775</v>
      </c>
      <c r="G3511" s="712">
        <v>0</v>
      </c>
      <c r="H3511">
        <v>0</v>
      </c>
      <c r="I3511" s="713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</row>
    <row r="3512" spans="1:16">
      <c r="A3512">
        <v>5</v>
      </c>
      <c r="B3512" t="s">
        <v>12661</v>
      </c>
      <c r="C3512" t="s">
        <v>12662</v>
      </c>
      <c r="D3512" t="s">
        <v>12664</v>
      </c>
      <c r="E3512" t="s">
        <v>8777</v>
      </c>
      <c r="F3512" t="s">
        <v>8778</v>
      </c>
      <c r="G3512" s="712">
        <v>0</v>
      </c>
      <c r="H3512">
        <v>0</v>
      </c>
      <c r="I3512" s="713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</row>
    <row r="3513" spans="1:16">
      <c r="A3513">
        <v>5</v>
      </c>
      <c r="B3513" t="s">
        <v>12661</v>
      </c>
      <c r="C3513" t="s">
        <v>12662</v>
      </c>
      <c r="D3513" t="s">
        <v>12664</v>
      </c>
      <c r="E3513" t="s">
        <v>8779</v>
      </c>
      <c r="F3513" t="s">
        <v>8780</v>
      </c>
      <c r="G3513" s="712">
        <v>0</v>
      </c>
      <c r="H3513">
        <v>0</v>
      </c>
      <c r="I3513" s="7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</row>
    <row r="3514" spans="1:16">
      <c r="A3514">
        <v>5</v>
      </c>
      <c r="B3514" t="s">
        <v>12661</v>
      </c>
      <c r="C3514" t="s">
        <v>12662</v>
      </c>
      <c r="D3514" t="s">
        <v>12664</v>
      </c>
      <c r="E3514" t="s">
        <v>8781</v>
      </c>
      <c r="F3514" t="s">
        <v>8782</v>
      </c>
      <c r="G3514" s="712">
        <v>0</v>
      </c>
      <c r="H3514">
        <v>0</v>
      </c>
      <c r="I3514" s="713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</row>
    <row r="3515" spans="1:16">
      <c r="A3515">
        <v>5</v>
      </c>
      <c r="B3515" t="s">
        <v>12661</v>
      </c>
      <c r="C3515" t="s">
        <v>12662</v>
      </c>
      <c r="D3515" t="s">
        <v>12664</v>
      </c>
      <c r="E3515" t="s">
        <v>8783</v>
      </c>
      <c r="F3515" t="s">
        <v>8784</v>
      </c>
      <c r="G3515" s="712">
        <v>0</v>
      </c>
      <c r="H3515">
        <v>0</v>
      </c>
      <c r="I3515" s="713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</row>
    <row r="3516" spans="1:16">
      <c r="A3516">
        <v>5</v>
      </c>
      <c r="B3516" t="s">
        <v>12661</v>
      </c>
      <c r="C3516" t="s">
        <v>12662</v>
      </c>
      <c r="D3516" t="s">
        <v>12664</v>
      </c>
      <c r="E3516" t="s">
        <v>8785</v>
      </c>
      <c r="F3516" t="s">
        <v>8786</v>
      </c>
      <c r="G3516" s="712">
        <v>0</v>
      </c>
      <c r="H3516">
        <v>0</v>
      </c>
      <c r="I3516" s="713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</row>
    <row r="3517" spans="1:16">
      <c r="A3517">
        <v>5</v>
      </c>
      <c r="B3517" t="s">
        <v>12661</v>
      </c>
      <c r="C3517" t="s">
        <v>12662</v>
      </c>
      <c r="D3517" t="s">
        <v>12664</v>
      </c>
      <c r="E3517" t="s">
        <v>8787</v>
      </c>
      <c r="F3517" t="s">
        <v>8788</v>
      </c>
      <c r="G3517" s="712">
        <v>0</v>
      </c>
      <c r="H3517">
        <v>0</v>
      </c>
      <c r="I3517" s="713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</row>
    <row r="3518" spans="1:16">
      <c r="A3518">
        <v>5</v>
      </c>
      <c r="B3518" t="s">
        <v>12661</v>
      </c>
      <c r="C3518" t="s">
        <v>12662</v>
      </c>
      <c r="D3518" t="s">
        <v>12664</v>
      </c>
      <c r="E3518" t="s">
        <v>8789</v>
      </c>
      <c r="F3518" t="s">
        <v>8790</v>
      </c>
      <c r="G3518" s="712">
        <v>0</v>
      </c>
      <c r="H3518">
        <v>0</v>
      </c>
      <c r="I3518" s="713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</row>
    <row r="3519" spans="1:16">
      <c r="A3519">
        <v>5</v>
      </c>
      <c r="B3519" t="s">
        <v>12661</v>
      </c>
      <c r="C3519" t="s">
        <v>12662</v>
      </c>
      <c r="D3519" t="s">
        <v>12664</v>
      </c>
      <c r="E3519" t="s">
        <v>8791</v>
      </c>
      <c r="F3519" t="s">
        <v>8792</v>
      </c>
      <c r="G3519" s="712">
        <v>0</v>
      </c>
      <c r="H3519">
        <v>0</v>
      </c>
      <c r="I3519" s="713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</row>
    <row r="3520" spans="1:16">
      <c r="A3520">
        <v>5</v>
      </c>
      <c r="B3520" t="s">
        <v>12661</v>
      </c>
      <c r="C3520" t="s">
        <v>12662</v>
      </c>
      <c r="D3520" t="s">
        <v>12664</v>
      </c>
      <c r="E3520" t="s">
        <v>8793</v>
      </c>
      <c r="F3520" t="s">
        <v>8794</v>
      </c>
      <c r="G3520" s="712">
        <v>0</v>
      </c>
      <c r="H3520">
        <v>0</v>
      </c>
      <c r="I3520" s="713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</row>
    <row r="3521" spans="1:16">
      <c r="A3521">
        <v>5</v>
      </c>
      <c r="B3521" t="s">
        <v>12661</v>
      </c>
      <c r="C3521" t="s">
        <v>12662</v>
      </c>
      <c r="D3521" t="s">
        <v>12664</v>
      </c>
      <c r="E3521" t="s">
        <v>8795</v>
      </c>
      <c r="F3521" t="s">
        <v>8796</v>
      </c>
      <c r="G3521" s="712">
        <v>0</v>
      </c>
      <c r="H3521">
        <v>0</v>
      </c>
      <c r="I3521" s="713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</row>
    <row r="3522" spans="1:16">
      <c r="A3522">
        <v>5</v>
      </c>
      <c r="B3522" t="s">
        <v>12661</v>
      </c>
      <c r="C3522" t="s">
        <v>12662</v>
      </c>
      <c r="D3522" t="s">
        <v>12664</v>
      </c>
      <c r="E3522" t="s">
        <v>8797</v>
      </c>
      <c r="F3522" t="s">
        <v>8798</v>
      </c>
      <c r="G3522" s="712">
        <v>0</v>
      </c>
      <c r="H3522">
        <v>0</v>
      </c>
      <c r="I3522" s="713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</row>
    <row r="3523" spans="1:16">
      <c r="A3523">
        <v>5</v>
      </c>
      <c r="B3523" t="s">
        <v>12661</v>
      </c>
      <c r="C3523" t="s">
        <v>12662</v>
      </c>
      <c r="D3523" t="s">
        <v>12664</v>
      </c>
      <c r="E3523" t="s">
        <v>8799</v>
      </c>
      <c r="F3523" t="s">
        <v>8800</v>
      </c>
      <c r="G3523" s="712">
        <v>0</v>
      </c>
      <c r="H3523">
        <v>0</v>
      </c>
      <c r="I3523" s="71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</row>
    <row r="3524" spans="1:16" ht="15.75" thickBot="1">
      <c r="A3524">
        <v>5</v>
      </c>
      <c r="B3524" t="s">
        <v>12661</v>
      </c>
      <c r="C3524" t="s">
        <v>12662</v>
      </c>
      <c r="D3524" t="s">
        <v>12664</v>
      </c>
      <c r="E3524" t="s">
        <v>8801</v>
      </c>
      <c r="F3524" t="s">
        <v>8802</v>
      </c>
      <c r="G3524" s="712">
        <v>0</v>
      </c>
      <c r="H3524">
        <v>0</v>
      </c>
      <c r="I3524" s="713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</row>
    <row r="3525" spans="1:16" ht="15.75" thickBot="1">
      <c r="A3525" s="727">
        <v>5</v>
      </c>
      <c r="B3525" s="727" t="s">
        <v>12661</v>
      </c>
      <c r="C3525" s="727" t="s">
        <v>12662</v>
      </c>
      <c r="D3525" s="727" t="s">
        <v>12666</v>
      </c>
      <c r="E3525" s="727"/>
      <c r="F3525" s="729" t="s">
        <v>12667</v>
      </c>
      <c r="G3525" s="738">
        <v>0</v>
      </c>
      <c r="H3525" s="738">
        <v>0</v>
      </c>
      <c r="I3525" s="738">
        <v>0</v>
      </c>
      <c r="J3525" s="739">
        <v>486608.03</v>
      </c>
      <c r="K3525" s="738">
        <v>0</v>
      </c>
      <c r="L3525" s="738">
        <v>0</v>
      </c>
      <c r="M3525" s="738">
        <v>0</v>
      </c>
      <c r="N3525" s="739">
        <v>486608.03</v>
      </c>
      <c r="O3525" s="738">
        <v>0</v>
      </c>
      <c r="P3525" s="739">
        <v>486608.03</v>
      </c>
    </row>
    <row r="3526" spans="1:16">
      <c r="A3526">
        <v>5</v>
      </c>
      <c r="B3526" t="s">
        <v>12661</v>
      </c>
      <c r="C3526" t="s">
        <v>12662</v>
      </c>
      <c r="D3526" t="s">
        <v>12666</v>
      </c>
      <c r="E3526" t="s">
        <v>8806</v>
      </c>
      <c r="F3526" t="s">
        <v>8807</v>
      </c>
      <c r="G3526" s="712">
        <v>0</v>
      </c>
      <c r="H3526">
        <v>0</v>
      </c>
      <c r="I3526" s="713">
        <v>0</v>
      </c>
      <c r="J3526" s="711">
        <v>177011.81</v>
      </c>
      <c r="K3526">
        <v>0</v>
      </c>
      <c r="L3526">
        <v>0</v>
      </c>
      <c r="M3526">
        <v>0</v>
      </c>
      <c r="N3526" s="711">
        <v>177011.81</v>
      </c>
      <c r="O3526">
        <v>0</v>
      </c>
      <c r="P3526" s="711">
        <v>177011.81</v>
      </c>
    </row>
    <row r="3527" spans="1:16">
      <c r="A3527">
        <v>5</v>
      </c>
      <c r="B3527" t="s">
        <v>12661</v>
      </c>
      <c r="C3527" t="s">
        <v>12662</v>
      </c>
      <c r="D3527" t="s">
        <v>12666</v>
      </c>
      <c r="E3527" t="s">
        <v>8809</v>
      </c>
      <c r="F3527" t="s">
        <v>8810</v>
      </c>
      <c r="G3527" s="712">
        <v>0</v>
      </c>
      <c r="H3527">
        <v>0</v>
      </c>
      <c r="I3527" s="713">
        <v>0</v>
      </c>
      <c r="J3527" s="711">
        <v>124718.26</v>
      </c>
      <c r="K3527">
        <v>0</v>
      </c>
      <c r="L3527">
        <v>0</v>
      </c>
      <c r="M3527">
        <v>0</v>
      </c>
      <c r="N3527" s="711">
        <v>124718.26</v>
      </c>
      <c r="O3527">
        <v>0</v>
      </c>
      <c r="P3527" s="711">
        <v>124718.26</v>
      </c>
    </row>
    <row r="3528" spans="1:16">
      <c r="A3528">
        <v>5</v>
      </c>
      <c r="B3528" t="s">
        <v>12661</v>
      </c>
      <c r="C3528" t="s">
        <v>12662</v>
      </c>
      <c r="D3528" t="s">
        <v>12666</v>
      </c>
      <c r="E3528" t="s">
        <v>8812</v>
      </c>
      <c r="F3528" t="s">
        <v>8813</v>
      </c>
      <c r="G3528" s="712">
        <v>0</v>
      </c>
      <c r="H3528">
        <v>0</v>
      </c>
      <c r="I3528" s="713">
        <v>0</v>
      </c>
      <c r="J3528" s="711">
        <v>2532.6</v>
      </c>
      <c r="K3528">
        <v>0</v>
      </c>
      <c r="L3528">
        <v>0</v>
      </c>
      <c r="M3528">
        <v>0</v>
      </c>
      <c r="N3528" s="711">
        <v>2532.6</v>
      </c>
      <c r="O3528">
        <v>0</v>
      </c>
      <c r="P3528" s="711">
        <v>2532.6</v>
      </c>
    </row>
    <row r="3529" spans="1:16">
      <c r="A3529">
        <v>5</v>
      </c>
      <c r="B3529" t="s">
        <v>12661</v>
      </c>
      <c r="C3529" t="s">
        <v>12662</v>
      </c>
      <c r="D3529" t="s">
        <v>12666</v>
      </c>
      <c r="E3529" t="s">
        <v>8815</v>
      </c>
      <c r="F3529" t="s">
        <v>8816</v>
      </c>
      <c r="G3529" s="712">
        <v>0</v>
      </c>
      <c r="H3529">
        <v>0</v>
      </c>
      <c r="I3529" s="713">
        <v>0</v>
      </c>
      <c r="J3529" s="711">
        <v>77735.179999999993</v>
      </c>
      <c r="K3529">
        <v>0</v>
      </c>
      <c r="L3529">
        <v>0</v>
      </c>
      <c r="M3529">
        <v>0</v>
      </c>
      <c r="N3529" s="711">
        <v>77735.179999999993</v>
      </c>
      <c r="O3529">
        <v>0</v>
      </c>
      <c r="P3529" s="711">
        <v>77735.179999999993</v>
      </c>
    </row>
    <row r="3530" spans="1:16">
      <c r="A3530">
        <v>5</v>
      </c>
      <c r="B3530" t="s">
        <v>12661</v>
      </c>
      <c r="C3530" t="s">
        <v>12662</v>
      </c>
      <c r="D3530" t="s">
        <v>12666</v>
      </c>
      <c r="E3530" t="s">
        <v>8818</v>
      </c>
      <c r="F3530" t="s">
        <v>8819</v>
      </c>
      <c r="G3530" s="712">
        <v>0</v>
      </c>
      <c r="H3530">
        <v>0</v>
      </c>
      <c r="I3530" s="713">
        <v>0</v>
      </c>
      <c r="J3530" s="711">
        <v>94022.71</v>
      </c>
      <c r="K3530">
        <v>0</v>
      </c>
      <c r="L3530">
        <v>0</v>
      </c>
      <c r="M3530">
        <v>0</v>
      </c>
      <c r="N3530" s="711">
        <v>94022.71</v>
      </c>
      <c r="O3530">
        <v>0</v>
      </c>
      <c r="P3530" s="711">
        <v>94022.71</v>
      </c>
    </row>
    <row r="3531" spans="1:16">
      <c r="A3531">
        <v>5</v>
      </c>
      <c r="B3531" t="s">
        <v>12661</v>
      </c>
      <c r="C3531" t="s">
        <v>12662</v>
      </c>
      <c r="D3531" t="s">
        <v>12666</v>
      </c>
      <c r="E3531" t="s">
        <v>8821</v>
      </c>
      <c r="F3531" t="s">
        <v>8822</v>
      </c>
      <c r="G3531" s="712">
        <v>0</v>
      </c>
      <c r="H3531">
        <v>0</v>
      </c>
      <c r="I3531" s="713">
        <v>0</v>
      </c>
      <c r="J3531" s="711">
        <v>9549.16</v>
      </c>
      <c r="K3531">
        <v>0</v>
      </c>
      <c r="L3531">
        <v>0</v>
      </c>
      <c r="M3531">
        <v>0</v>
      </c>
      <c r="N3531" s="711">
        <v>9549.16</v>
      </c>
      <c r="O3531">
        <v>0</v>
      </c>
      <c r="P3531" s="711">
        <v>9549.16</v>
      </c>
    </row>
    <row r="3532" spans="1:16">
      <c r="A3532">
        <v>5</v>
      </c>
      <c r="B3532" t="s">
        <v>12661</v>
      </c>
      <c r="C3532" t="s">
        <v>12662</v>
      </c>
      <c r="D3532" t="s">
        <v>12666</v>
      </c>
      <c r="E3532" t="s">
        <v>8823</v>
      </c>
      <c r="F3532" t="s">
        <v>8824</v>
      </c>
      <c r="G3532" s="712">
        <v>0</v>
      </c>
      <c r="H3532">
        <v>0</v>
      </c>
      <c r="I3532" s="713">
        <v>0</v>
      </c>
      <c r="J3532" s="711">
        <v>1038.31</v>
      </c>
      <c r="K3532">
        <v>0</v>
      </c>
      <c r="L3532">
        <v>0</v>
      </c>
      <c r="M3532">
        <v>0</v>
      </c>
      <c r="N3532" s="711">
        <v>1038.31</v>
      </c>
      <c r="O3532">
        <v>0</v>
      </c>
      <c r="P3532" s="711">
        <v>1038.31</v>
      </c>
    </row>
    <row r="3533" spans="1:16">
      <c r="A3533">
        <v>5</v>
      </c>
      <c r="B3533" t="s">
        <v>12661</v>
      </c>
      <c r="C3533" t="s">
        <v>12662</v>
      </c>
      <c r="D3533" t="s">
        <v>12666</v>
      </c>
      <c r="E3533" t="s">
        <v>8825</v>
      </c>
      <c r="F3533" t="s">
        <v>8826</v>
      </c>
      <c r="G3533" s="712">
        <v>0</v>
      </c>
      <c r="H3533">
        <v>0</v>
      </c>
      <c r="I3533" s="71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</row>
    <row r="3534" spans="1:16">
      <c r="A3534">
        <v>5</v>
      </c>
      <c r="B3534" t="s">
        <v>12661</v>
      </c>
      <c r="C3534" t="s">
        <v>12662</v>
      </c>
      <c r="D3534" t="s">
        <v>12666</v>
      </c>
      <c r="E3534" t="s">
        <v>8827</v>
      </c>
      <c r="F3534" t="s">
        <v>8828</v>
      </c>
      <c r="G3534" s="712">
        <v>0</v>
      </c>
      <c r="H3534">
        <v>0</v>
      </c>
      <c r="I3534" s="713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</row>
    <row r="3535" spans="1:16">
      <c r="A3535">
        <v>5</v>
      </c>
      <c r="B3535" t="s">
        <v>12661</v>
      </c>
      <c r="C3535" t="s">
        <v>12662</v>
      </c>
      <c r="D3535" t="s">
        <v>12666</v>
      </c>
      <c r="E3535" t="s">
        <v>8829</v>
      </c>
      <c r="F3535" t="s">
        <v>8830</v>
      </c>
      <c r="G3535" s="712">
        <v>0</v>
      </c>
      <c r="H3535">
        <v>0</v>
      </c>
      <c r="I3535" s="713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</row>
    <row r="3536" spans="1:16">
      <c r="A3536">
        <v>5</v>
      </c>
      <c r="B3536" t="s">
        <v>12661</v>
      </c>
      <c r="C3536" t="s">
        <v>12662</v>
      </c>
      <c r="D3536" t="s">
        <v>12666</v>
      </c>
      <c r="E3536" t="s">
        <v>8831</v>
      </c>
      <c r="F3536" t="s">
        <v>8832</v>
      </c>
      <c r="G3536" s="712">
        <v>0</v>
      </c>
      <c r="H3536">
        <v>0</v>
      </c>
      <c r="I3536" s="713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</row>
    <row r="3537" spans="1:16">
      <c r="A3537">
        <v>5</v>
      </c>
      <c r="B3537" t="s">
        <v>12661</v>
      </c>
      <c r="C3537" t="s">
        <v>12662</v>
      </c>
      <c r="D3537" t="s">
        <v>12666</v>
      </c>
      <c r="E3537" t="s">
        <v>8833</v>
      </c>
      <c r="F3537" t="s">
        <v>8834</v>
      </c>
      <c r="G3537" s="712">
        <v>0</v>
      </c>
      <c r="H3537">
        <v>0</v>
      </c>
      <c r="I3537" s="713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</row>
    <row r="3538" spans="1:16">
      <c r="A3538">
        <v>5</v>
      </c>
      <c r="B3538" t="s">
        <v>12661</v>
      </c>
      <c r="C3538" t="s">
        <v>12662</v>
      </c>
      <c r="D3538" t="s">
        <v>12666</v>
      </c>
      <c r="E3538" t="s">
        <v>8835</v>
      </c>
      <c r="F3538" t="s">
        <v>8836</v>
      </c>
      <c r="G3538" s="712">
        <v>0</v>
      </c>
      <c r="H3538">
        <v>0</v>
      </c>
      <c r="I3538" s="713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</row>
    <row r="3539" spans="1:16">
      <c r="A3539">
        <v>5</v>
      </c>
      <c r="B3539" t="s">
        <v>12661</v>
      </c>
      <c r="C3539" t="s">
        <v>12662</v>
      </c>
      <c r="D3539" t="s">
        <v>12666</v>
      </c>
      <c r="E3539" t="s">
        <v>8838</v>
      </c>
      <c r="F3539" t="s">
        <v>8839</v>
      </c>
      <c r="G3539" s="712">
        <v>0</v>
      </c>
      <c r="H3539">
        <v>0</v>
      </c>
      <c r="I3539" s="713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</row>
    <row r="3540" spans="1:16">
      <c r="A3540">
        <v>5</v>
      </c>
      <c r="B3540" t="s">
        <v>12661</v>
      </c>
      <c r="C3540" t="s">
        <v>12662</v>
      </c>
      <c r="D3540" t="s">
        <v>12666</v>
      </c>
      <c r="E3540" t="s">
        <v>8841</v>
      </c>
      <c r="F3540" t="s">
        <v>8842</v>
      </c>
      <c r="G3540" s="712">
        <v>0</v>
      </c>
      <c r="H3540">
        <v>0</v>
      </c>
      <c r="I3540" s="713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</row>
    <row r="3541" spans="1:16">
      <c r="A3541">
        <v>5</v>
      </c>
      <c r="B3541" t="s">
        <v>12661</v>
      </c>
      <c r="C3541" t="s">
        <v>12662</v>
      </c>
      <c r="D3541" t="s">
        <v>12666</v>
      </c>
      <c r="E3541" t="s">
        <v>8843</v>
      </c>
      <c r="F3541" t="s">
        <v>8844</v>
      </c>
      <c r="G3541" s="712">
        <v>0</v>
      </c>
      <c r="H3541">
        <v>0</v>
      </c>
      <c r="I3541" s="713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</row>
    <row r="3542" spans="1:16">
      <c r="A3542">
        <v>5</v>
      </c>
      <c r="B3542" t="s">
        <v>12661</v>
      </c>
      <c r="C3542" t="s">
        <v>12662</v>
      </c>
      <c r="D3542" t="s">
        <v>12666</v>
      </c>
      <c r="E3542" t="s">
        <v>8845</v>
      </c>
      <c r="F3542" t="s">
        <v>8846</v>
      </c>
      <c r="G3542" s="712">
        <v>0</v>
      </c>
      <c r="H3542">
        <v>0</v>
      </c>
      <c r="I3542" s="713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</row>
    <row r="3543" spans="1:16">
      <c r="A3543">
        <v>5</v>
      </c>
      <c r="B3543" t="s">
        <v>12661</v>
      </c>
      <c r="C3543" t="s">
        <v>12662</v>
      </c>
      <c r="D3543" t="s">
        <v>12666</v>
      </c>
      <c r="E3543" t="s">
        <v>8847</v>
      </c>
      <c r="F3543" t="s">
        <v>8848</v>
      </c>
      <c r="G3543" s="712">
        <v>0</v>
      </c>
      <c r="H3543">
        <v>0</v>
      </c>
      <c r="I3543" s="71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</row>
    <row r="3544" spans="1:16">
      <c r="A3544">
        <v>5</v>
      </c>
      <c r="B3544" t="s">
        <v>12661</v>
      </c>
      <c r="C3544" t="s">
        <v>12662</v>
      </c>
      <c r="D3544" t="s">
        <v>12666</v>
      </c>
      <c r="E3544" t="s">
        <v>8849</v>
      </c>
      <c r="F3544" t="s">
        <v>8850</v>
      </c>
      <c r="G3544" s="712">
        <v>0</v>
      </c>
      <c r="H3544">
        <v>0</v>
      </c>
      <c r="I3544" s="713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</row>
    <row r="3545" spans="1:16">
      <c r="A3545">
        <v>5</v>
      </c>
      <c r="B3545" t="s">
        <v>12661</v>
      </c>
      <c r="C3545" t="s">
        <v>12662</v>
      </c>
      <c r="D3545" t="s">
        <v>12666</v>
      </c>
      <c r="E3545" t="s">
        <v>8851</v>
      </c>
      <c r="F3545" t="s">
        <v>8852</v>
      </c>
      <c r="G3545" s="712">
        <v>0</v>
      </c>
      <c r="H3545">
        <v>0</v>
      </c>
      <c r="I3545" s="713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</row>
    <row r="3546" spans="1:16">
      <c r="A3546">
        <v>5</v>
      </c>
      <c r="B3546" t="s">
        <v>12661</v>
      </c>
      <c r="C3546" t="s">
        <v>12662</v>
      </c>
      <c r="D3546" t="s">
        <v>12666</v>
      </c>
      <c r="E3546" t="s">
        <v>8853</v>
      </c>
      <c r="F3546" t="s">
        <v>8854</v>
      </c>
      <c r="G3546" s="712">
        <v>0</v>
      </c>
      <c r="H3546">
        <v>0</v>
      </c>
      <c r="I3546" s="713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</row>
    <row r="3547" spans="1:16">
      <c r="A3547">
        <v>5</v>
      </c>
      <c r="B3547" t="s">
        <v>12661</v>
      </c>
      <c r="C3547" t="s">
        <v>12662</v>
      </c>
      <c r="D3547" t="s">
        <v>12666</v>
      </c>
      <c r="E3547" t="s">
        <v>8855</v>
      </c>
      <c r="F3547" t="s">
        <v>8856</v>
      </c>
      <c r="G3547" s="712">
        <v>0</v>
      </c>
      <c r="H3547">
        <v>0</v>
      </c>
      <c r="I3547" s="713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</row>
    <row r="3548" spans="1:16">
      <c r="A3548">
        <v>5</v>
      </c>
      <c r="B3548" t="s">
        <v>12661</v>
      </c>
      <c r="C3548" t="s">
        <v>12662</v>
      </c>
      <c r="D3548" t="s">
        <v>12666</v>
      </c>
      <c r="E3548" t="s">
        <v>8857</v>
      </c>
      <c r="F3548" t="s">
        <v>8858</v>
      </c>
      <c r="G3548" s="712">
        <v>0</v>
      </c>
      <c r="H3548">
        <v>0</v>
      </c>
      <c r="I3548" s="713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</row>
    <row r="3549" spans="1:16">
      <c r="A3549">
        <v>5</v>
      </c>
      <c r="B3549" t="s">
        <v>12661</v>
      </c>
      <c r="C3549" t="s">
        <v>12662</v>
      </c>
      <c r="D3549" t="s">
        <v>12666</v>
      </c>
      <c r="E3549" t="s">
        <v>8859</v>
      </c>
      <c r="F3549" t="s">
        <v>8860</v>
      </c>
      <c r="G3549" s="712">
        <v>0</v>
      </c>
      <c r="H3549">
        <v>0</v>
      </c>
      <c r="I3549" s="713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</row>
    <row r="3550" spans="1:16">
      <c r="A3550">
        <v>5</v>
      </c>
      <c r="B3550" t="s">
        <v>12661</v>
      </c>
      <c r="C3550" t="s">
        <v>12662</v>
      </c>
      <c r="D3550" t="s">
        <v>12666</v>
      </c>
      <c r="E3550" t="s">
        <v>8861</v>
      </c>
      <c r="F3550" t="s">
        <v>8862</v>
      </c>
      <c r="G3550" s="712">
        <v>0</v>
      </c>
      <c r="H3550">
        <v>0</v>
      </c>
      <c r="I3550" s="713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</row>
    <row r="3551" spans="1:16">
      <c r="A3551">
        <v>5</v>
      </c>
      <c r="B3551" t="s">
        <v>12661</v>
      </c>
      <c r="C3551" t="s">
        <v>12662</v>
      </c>
      <c r="D3551" t="s">
        <v>12666</v>
      </c>
      <c r="E3551" t="s">
        <v>8863</v>
      </c>
      <c r="F3551" t="s">
        <v>8864</v>
      </c>
      <c r="G3551" s="712">
        <v>0</v>
      </c>
      <c r="H3551">
        <v>0</v>
      </c>
      <c r="I3551" s="713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</row>
    <row r="3552" spans="1:16" ht="15.75" thickBot="1">
      <c r="A3552">
        <v>5</v>
      </c>
      <c r="B3552" t="s">
        <v>12661</v>
      </c>
      <c r="C3552" t="s">
        <v>12662</v>
      </c>
      <c r="D3552" t="s">
        <v>12666</v>
      </c>
      <c r="E3552" t="s">
        <v>8865</v>
      </c>
      <c r="F3552" t="s">
        <v>8866</v>
      </c>
      <c r="G3552" s="712">
        <v>0</v>
      </c>
      <c r="H3552">
        <v>0</v>
      </c>
      <c r="I3552" s="713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</row>
    <row r="3553" spans="1:16" ht="15.75" thickBot="1">
      <c r="A3553" s="727">
        <v>5</v>
      </c>
      <c r="B3553" s="727" t="s">
        <v>12661</v>
      </c>
      <c r="C3553" s="727" t="s">
        <v>12662</v>
      </c>
      <c r="D3553" s="727" t="s">
        <v>12668</v>
      </c>
      <c r="E3553" s="727"/>
      <c r="F3553" s="729" t="s">
        <v>8870</v>
      </c>
      <c r="G3553" s="738">
        <v>0</v>
      </c>
      <c r="H3553" s="738">
        <v>0</v>
      </c>
      <c r="I3553" s="738">
        <v>0</v>
      </c>
      <c r="J3553" s="738">
        <v>0</v>
      </c>
      <c r="K3553" s="738">
        <v>0</v>
      </c>
      <c r="L3553" s="738">
        <v>0</v>
      </c>
      <c r="M3553" s="738">
        <v>0</v>
      </c>
      <c r="N3553" s="738">
        <v>0</v>
      </c>
      <c r="O3553" s="738">
        <v>0</v>
      </c>
      <c r="P3553" s="738">
        <v>0</v>
      </c>
    </row>
    <row r="3554" spans="1:16" ht="15.75" thickBot="1">
      <c r="A3554">
        <v>5</v>
      </c>
      <c r="B3554" t="s">
        <v>12661</v>
      </c>
      <c r="C3554" t="s">
        <v>12662</v>
      </c>
      <c r="D3554" t="s">
        <v>12668</v>
      </c>
      <c r="E3554" t="s">
        <v>8869</v>
      </c>
      <c r="F3554" t="s">
        <v>8870</v>
      </c>
      <c r="G3554" s="712">
        <v>0</v>
      </c>
      <c r="H3554">
        <v>0</v>
      </c>
      <c r="I3554" s="713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</row>
    <row r="3555" spans="1:16" ht="15.75" thickBot="1">
      <c r="A3555" s="727">
        <v>5</v>
      </c>
      <c r="B3555" s="727" t="s">
        <v>12661</v>
      </c>
      <c r="C3555" s="727" t="s">
        <v>12669</v>
      </c>
      <c r="D3555" s="727"/>
      <c r="E3555" s="727"/>
      <c r="F3555" s="745" t="s">
        <v>12670</v>
      </c>
      <c r="G3555" s="738">
        <v>0</v>
      </c>
      <c r="H3555" s="738">
        <v>0</v>
      </c>
      <c r="I3555" s="738">
        <v>0</v>
      </c>
      <c r="J3555" s="739">
        <v>118898.67</v>
      </c>
      <c r="K3555" s="739">
        <v>2448.8200000000002</v>
      </c>
      <c r="L3555" s="738">
        <v>0</v>
      </c>
      <c r="M3555" s="738">
        <v>0</v>
      </c>
      <c r="N3555" s="739">
        <v>118898.67</v>
      </c>
      <c r="O3555" s="739">
        <v>2448.8200000000002</v>
      </c>
      <c r="P3555" s="739">
        <v>116449.85</v>
      </c>
    </row>
    <row r="3556" spans="1:16" ht="15.75" thickBot="1">
      <c r="A3556" s="727">
        <v>5</v>
      </c>
      <c r="B3556" s="727" t="s">
        <v>12661</v>
      </c>
      <c r="C3556" s="727" t="s">
        <v>12669</v>
      </c>
      <c r="D3556" s="727" t="s">
        <v>12671</v>
      </c>
      <c r="E3556" s="727"/>
      <c r="F3556" s="729" t="s">
        <v>12672</v>
      </c>
      <c r="G3556" s="738">
        <v>0</v>
      </c>
      <c r="H3556" s="738">
        <v>0</v>
      </c>
      <c r="I3556" s="738">
        <v>0</v>
      </c>
      <c r="J3556" s="739">
        <v>53210.58</v>
      </c>
      <c r="K3556" s="739">
        <v>2448.8200000000002</v>
      </c>
      <c r="L3556" s="738">
        <v>0</v>
      </c>
      <c r="M3556" s="738">
        <v>0</v>
      </c>
      <c r="N3556" s="739">
        <v>53210.58</v>
      </c>
      <c r="O3556" s="739">
        <v>2448.8200000000002</v>
      </c>
      <c r="P3556" s="739">
        <v>50761.760000000002</v>
      </c>
    </row>
    <row r="3557" spans="1:16">
      <c r="A3557">
        <v>5</v>
      </c>
      <c r="B3557" t="s">
        <v>12661</v>
      </c>
      <c r="C3557" t="s">
        <v>12669</v>
      </c>
      <c r="D3557" t="s">
        <v>12671</v>
      </c>
      <c r="E3557" t="s">
        <v>8875</v>
      </c>
      <c r="F3557" t="s">
        <v>8876</v>
      </c>
      <c r="G3557" s="712">
        <v>0</v>
      </c>
      <c r="H3557">
        <v>0</v>
      </c>
      <c r="I3557" s="713">
        <v>0</v>
      </c>
      <c r="J3557" s="711">
        <v>27178.19</v>
      </c>
      <c r="K3557">
        <v>929.89</v>
      </c>
      <c r="L3557">
        <v>0</v>
      </c>
      <c r="M3557">
        <v>0</v>
      </c>
      <c r="N3557" s="711">
        <v>27178.19</v>
      </c>
      <c r="O3557">
        <v>929.89</v>
      </c>
      <c r="P3557" s="711">
        <v>26248.3</v>
      </c>
    </row>
    <row r="3558" spans="1:16">
      <c r="A3558">
        <v>5</v>
      </c>
      <c r="B3558" t="s">
        <v>12661</v>
      </c>
      <c r="C3558" t="s">
        <v>12669</v>
      </c>
      <c r="D3558" t="s">
        <v>12671</v>
      </c>
      <c r="E3558" t="s">
        <v>12673</v>
      </c>
      <c r="F3558" t="s">
        <v>12674</v>
      </c>
      <c r="G3558" s="712">
        <v>0</v>
      </c>
      <c r="H3558">
        <v>0</v>
      </c>
      <c r="I3558" s="713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</row>
    <row r="3559" spans="1:16">
      <c r="A3559">
        <v>5</v>
      </c>
      <c r="B3559" t="s">
        <v>12661</v>
      </c>
      <c r="C3559" t="s">
        <v>12669</v>
      </c>
      <c r="D3559" t="s">
        <v>12671</v>
      </c>
      <c r="E3559" t="s">
        <v>12675</v>
      </c>
      <c r="F3559" t="s">
        <v>12676</v>
      </c>
      <c r="G3559" s="712">
        <v>0</v>
      </c>
      <c r="H3559">
        <v>0</v>
      </c>
      <c r="I3559" s="713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</row>
    <row r="3560" spans="1:16">
      <c r="A3560">
        <v>5</v>
      </c>
      <c r="B3560" t="s">
        <v>12661</v>
      </c>
      <c r="C3560" t="s">
        <v>12669</v>
      </c>
      <c r="D3560" t="s">
        <v>12671</v>
      </c>
      <c r="E3560" t="s">
        <v>12677</v>
      </c>
      <c r="F3560" t="s">
        <v>12678</v>
      </c>
      <c r="G3560" s="712">
        <v>0</v>
      </c>
      <c r="H3560">
        <v>0</v>
      </c>
      <c r="I3560" s="713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</row>
    <row r="3561" spans="1:16">
      <c r="A3561">
        <v>5</v>
      </c>
      <c r="B3561" t="s">
        <v>12661</v>
      </c>
      <c r="C3561" t="s">
        <v>12669</v>
      </c>
      <c r="D3561" t="s">
        <v>12671</v>
      </c>
      <c r="E3561" t="s">
        <v>8878</v>
      </c>
      <c r="F3561" t="s">
        <v>8879</v>
      </c>
      <c r="G3561" s="712">
        <v>0</v>
      </c>
      <c r="H3561">
        <v>0</v>
      </c>
      <c r="I3561" s="713">
        <v>0</v>
      </c>
      <c r="J3561" s="711">
        <v>8520.98</v>
      </c>
      <c r="K3561">
        <v>0</v>
      </c>
      <c r="L3561">
        <v>0</v>
      </c>
      <c r="M3561">
        <v>0</v>
      </c>
      <c r="N3561" s="711">
        <v>8520.98</v>
      </c>
      <c r="O3561">
        <v>0</v>
      </c>
      <c r="P3561" s="711">
        <v>8520.98</v>
      </c>
    </row>
    <row r="3562" spans="1:16">
      <c r="A3562">
        <v>5</v>
      </c>
      <c r="B3562" t="s">
        <v>12661</v>
      </c>
      <c r="C3562" t="s">
        <v>12669</v>
      </c>
      <c r="D3562" t="s">
        <v>12671</v>
      </c>
      <c r="E3562" t="s">
        <v>8881</v>
      </c>
      <c r="F3562" t="s">
        <v>8882</v>
      </c>
      <c r="G3562" s="712">
        <v>0</v>
      </c>
      <c r="H3562">
        <v>0</v>
      </c>
      <c r="I3562" s="713">
        <v>0</v>
      </c>
      <c r="J3562" s="711">
        <v>1326.27</v>
      </c>
      <c r="K3562">
        <v>0</v>
      </c>
      <c r="L3562">
        <v>0</v>
      </c>
      <c r="M3562">
        <v>0</v>
      </c>
      <c r="N3562" s="711">
        <v>1326.27</v>
      </c>
      <c r="O3562">
        <v>0</v>
      </c>
      <c r="P3562" s="711">
        <v>1326.27</v>
      </c>
    </row>
    <row r="3563" spans="1:16">
      <c r="A3563">
        <v>5</v>
      </c>
      <c r="B3563" t="s">
        <v>12661</v>
      </c>
      <c r="C3563" t="s">
        <v>12669</v>
      </c>
      <c r="D3563" t="s">
        <v>12671</v>
      </c>
      <c r="E3563" t="s">
        <v>8883</v>
      </c>
      <c r="F3563" t="s">
        <v>8884</v>
      </c>
      <c r="G3563" s="712">
        <v>0</v>
      </c>
      <c r="H3563">
        <v>0</v>
      </c>
      <c r="I3563" s="71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</row>
    <row r="3564" spans="1:16">
      <c r="A3564">
        <v>5</v>
      </c>
      <c r="B3564" t="s">
        <v>12661</v>
      </c>
      <c r="C3564" t="s">
        <v>12669</v>
      </c>
      <c r="D3564" t="s">
        <v>12671</v>
      </c>
      <c r="E3564" t="s">
        <v>8885</v>
      </c>
      <c r="F3564" t="s">
        <v>8886</v>
      </c>
      <c r="G3564" s="712">
        <v>0</v>
      </c>
      <c r="H3564">
        <v>0</v>
      </c>
      <c r="I3564" s="713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</row>
    <row r="3565" spans="1:16">
      <c r="A3565">
        <v>5</v>
      </c>
      <c r="B3565" t="s">
        <v>12661</v>
      </c>
      <c r="C3565" t="s">
        <v>12669</v>
      </c>
      <c r="D3565" t="s">
        <v>12671</v>
      </c>
      <c r="E3565" t="s">
        <v>8887</v>
      </c>
      <c r="F3565" t="s">
        <v>8888</v>
      </c>
      <c r="G3565" s="712">
        <v>0</v>
      </c>
      <c r="H3565">
        <v>0</v>
      </c>
      <c r="I3565" s="713">
        <v>0</v>
      </c>
      <c r="J3565">
        <v>197.65</v>
      </c>
      <c r="K3565">
        <v>0</v>
      </c>
      <c r="L3565">
        <v>0</v>
      </c>
      <c r="M3565">
        <v>0</v>
      </c>
      <c r="N3565">
        <v>197.65</v>
      </c>
      <c r="O3565">
        <v>0</v>
      </c>
      <c r="P3565">
        <v>197.65</v>
      </c>
    </row>
    <row r="3566" spans="1:16">
      <c r="A3566">
        <v>5</v>
      </c>
      <c r="B3566" t="s">
        <v>12661</v>
      </c>
      <c r="C3566" t="s">
        <v>12669</v>
      </c>
      <c r="D3566" t="s">
        <v>12671</v>
      </c>
      <c r="E3566" t="s">
        <v>8889</v>
      </c>
      <c r="F3566" t="s">
        <v>8890</v>
      </c>
      <c r="G3566" s="712">
        <v>0</v>
      </c>
      <c r="H3566">
        <v>0</v>
      </c>
      <c r="I3566" s="713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</row>
    <row r="3567" spans="1:16">
      <c r="A3567">
        <v>5</v>
      </c>
      <c r="B3567" t="s">
        <v>12661</v>
      </c>
      <c r="C3567" t="s">
        <v>12669</v>
      </c>
      <c r="D3567" t="s">
        <v>12671</v>
      </c>
      <c r="E3567" t="s">
        <v>8892</v>
      </c>
      <c r="F3567" t="s">
        <v>8893</v>
      </c>
      <c r="G3567" s="712">
        <v>0</v>
      </c>
      <c r="H3567">
        <v>0</v>
      </c>
      <c r="I3567" s="713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</row>
    <row r="3568" spans="1:16">
      <c r="A3568">
        <v>5</v>
      </c>
      <c r="B3568" t="s">
        <v>12661</v>
      </c>
      <c r="C3568" t="s">
        <v>12669</v>
      </c>
      <c r="D3568" t="s">
        <v>12671</v>
      </c>
      <c r="E3568" t="s">
        <v>8895</v>
      </c>
      <c r="F3568" t="s">
        <v>8896</v>
      </c>
      <c r="G3568" s="712">
        <v>0</v>
      </c>
      <c r="H3568">
        <v>0</v>
      </c>
      <c r="I3568" s="713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</row>
    <row r="3569" spans="1:16">
      <c r="A3569">
        <v>5</v>
      </c>
      <c r="B3569" t="s">
        <v>12661</v>
      </c>
      <c r="C3569" t="s">
        <v>12669</v>
      </c>
      <c r="D3569" t="s">
        <v>12671</v>
      </c>
      <c r="E3569" t="s">
        <v>8897</v>
      </c>
      <c r="F3569" t="s">
        <v>8898</v>
      </c>
      <c r="G3569" s="712">
        <v>0</v>
      </c>
      <c r="H3569">
        <v>0</v>
      </c>
      <c r="I3569" s="713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</row>
    <row r="3570" spans="1:16">
      <c r="A3570">
        <v>5</v>
      </c>
      <c r="B3570" t="s">
        <v>12661</v>
      </c>
      <c r="C3570" t="s">
        <v>12669</v>
      </c>
      <c r="D3570" t="s">
        <v>12671</v>
      </c>
      <c r="E3570" t="s">
        <v>8899</v>
      </c>
      <c r="F3570" t="s">
        <v>8900</v>
      </c>
      <c r="G3570" s="712">
        <v>0</v>
      </c>
      <c r="H3570">
        <v>0</v>
      </c>
      <c r="I3570" s="713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</row>
    <row r="3571" spans="1:16">
      <c r="A3571">
        <v>5</v>
      </c>
      <c r="B3571" t="s">
        <v>12661</v>
      </c>
      <c r="C3571" t="s">
        <v>12669</v>
      </c>
      <c r="D3571" t="s">
        <v>12671</v>
      </c>
      <c r="E3571" t="s">
        <v>8901</v>
      </c>
      <c r="F3571" t="s">
        <v>8902</v>
      </c>
      <c r="G3571" s="712">
        <v>0</v>
      </c>
      <c r="H3571">
        <v>0</v>
      </c>
      <c r="I3571" s="713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</row>
    <row r="3572" spans="1:16">
      <c r="A3572">
        <v>5</v>
      </c>
      <c r="B3572" t="s">
        <v>12661</v>
      </c>
      <c r="C3572" t="s">
        <v>12669</v>
      </c>
      <c r="D3572" t="s">
        <v>12671</v>
      </c>
      <c r="E3572" t="s">
        <v>8903</v>
      </c>
      <c r="F3572" t="s">
        <v>8904</v>
      </c>
      <c r="G3572" s="712">
        <v>0</v>
      </c>
      <c r="H3572">
        <v>0</v>
      </c>
      <c r="I3572" s="713">
        <v>0</v>
      </c>
      <c r="J3572">
        <v>401.1</v>
      </c>
      <c r="K3572">
        <v>401.1</v>
      </c>
      <c r="L3572">
        <v>0</v>
      </c>
      <c r="M3572">
        <v>0</v>
      </c>
      <c r="N3572">
        <v>401.1</v>
      </c>
      <c r="O3572">
        <v>401.1</v>
      </c>
      <c r="P3572">
        <v>0</v>
      </c>
    </row>
    <row r="3573" spans="1:16">
      <c r="A3573">
        <v>5</v>
      </c>
      <c r="B3573" t="s">
        <v>12661</v>
      </c>
      <c r="C3573" t="s">
        <v>12669</v>
      </c>
      <c r="D3573" t="s">
        <v>12671</v>
      </c>
      <c r="E3573" t="s">
        <v>8906</v>
      </c>
      <c r="F3573" t="s">
        <v>8907</v>
      </c>
      <c r="G3573" s="712">
        <v>0</v>
      </c>
      <c r="H3573">
        <v>0</v>
      </c>
      <c r="I3573" s="713">
        <v>0</v>
      </c>
      <c r="J3573" s="711">
        <v>1117.83</v>
      </c>
      <c r="K3573" s="711">
        <v>1117.83</v>
      </c>
      <c r="L3573">
        <v>0</v>
      </c>
      <c r="M3573">
        <v>0</v>
      </c>
      <c r="N3573" s="711">
        <v>1117.83</v>
      </c>
      <c r="O3573" s="711">
        <v>1117.83</v>
      </c>
      <c r="P3573">
        <v>0</v>
      </c>
    </row>
    <row r="3574" spans="1:16">
      <c r="A3574">
        <v>5</v>
      </c>
      <c r="B3574" t="s">
        <v>12661</v>
      </c>
      <c r="C3574" t="s">
        <v>12669</v>
      </c>
      <c r="D3574" t="s">
        <v>12671</v>
      </c>
      <c r="E3574" t="s">
        <v>8909</v>
      </c>
      <c r="F3574" t="s">
        <v>8910</v>
      </c>
      <c r="G3574" s="712">
        <v>0</v>
      </c>
      <c r="H3574">
        <v>0</v>
      </c>
      <c r="I3574" s="713">
        <v>0</v>
      </c>
      <c r="J3574" s="711">
        <v>7041.31</v>
      </c>
      <c r="K3574">
        <v>0</v>
      </c>
      <c r="L3574">
        <v>0</v>
      </c>
      <c r="M3574">
        <v>0</v>
      </c>
      <c r="N3574" s="711">
        <v>7041.31</v>
      </c>
      <c r="O3574">
        <v>0</v>
      </c>
      <c r="P3574" s="711">
        <v>7041.31</v>
      </c>
    </row>
    <row r="3575" spans="1:16" ht="15.75" thickBot="1">
      <c r="A3575">
        <v>5</v>
      </c>
      <c r="B3575" t="s">
        <v>12661</v>
      </c>
      <c r="C3575" t="s">
        <v>12669</v>
      </c>
      <c r="D3575" t="s">
        <v>12671</v>
      </c>
      <c r="E3575" t="s">
        <v>8911</v>
      </c>
      <c r="F3575" t="s">
        <v>8912</v>
      </c>
      <c r="G3575" s="712">
        <v>0</v>
      </c>
      <c r="H3575">
        <v>0</v>
      </c>
      <c r="I3575" s="713">
        <v>0</v>
      </c>
      <c r="J3575" s="711">
        <v>7427.25</v>
      </c>
      <c r="K3575">
        <v>0</v>
      </c>
      <c r="L3575">
        <v>0</v>
      </c>
      <c r="M3575">
        <v>0</v>
      </c>
      <c r="N3575" s="711">
        <v>7427.25</v>
      </c>
      <c r="O3575">
        <v>0</v>
      </c>
      <c r="P3575" s="711">
        <v>7427.25</v>
      </c>
    </row>
    <row r="3576" spans="1:16" ht="15.75" thickBot="1">
      <c r="A3576" s="727">
        <v>5</v>
      </c>
      <c r="B3576" s="727" t="s">
        <v>12661</v>
      </c>
      <c r="C3576" s="727" t="s">
        <v>12669</v>
      </c>
      <c r="D3576" s="727" t="s">
        <v>12679</v>
      </c>
      <c r="E3576" s="727"/>
      <c r="F3576" s="729" t="s">
        <v>12680</v>
      </c>
      <c r="G3576" s="738">
        <v>0</v>
      </c>
      <c r="H3576" s="738">
        <v>0</v>
      </c>
      <c r="I3576" s="738">
        <v>0</v>
      </c>
      <c r="J3576" s="738">
        <v>0</v>
      </c>
      <c r="K3576" s="738">
        <v>0</v>
      </c>
      <c r="L3576" s="738">
        <v>0</v>
      </c>
      <c r="M3576" s="738">
        <v>0</v>
      </c>
      <c r="N3576" s="738">
        <v>0</v>
      </c>
      <c r="O3576" s="738">
        <v>0</v>
      </c>
      <c r="P3576" s="738">
        <v>0</v>
      </c>
    </row>
    <row r="3577" spans="1:16">
      <c r="A3577">
        <v>5</v>
      </c>
      <c r="B3577" t="s">
        <v>12661</v>
      </c>
      <c r="C3577" t="s">
        <v>12669</v>
      </c>
      <c r="D3577" t="s">
        <v>12679</v>
      </c>
      <c r="E3577" t="s">
        <v>8915</v>
      </c>
      <c r="F3577" t="s">
        <v>8916</v>
      </c>
      <c r="G3577" s="712">
        <v>0</v>
      </c>
      <c r="H3577">
        <v>0</v>
      </c>
      <c r="I3577" s="713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</row>
    <row r="3578" spans="1:16">
      <c r="A3578">
        <v>5</v>
      </c>
      <c r="B3578" t="s">
        <v>12661</v>
      </c>
      <c r="C3578" t="s">
        <v>12669</v>
      </c>
      <c r="D3578" t="s">
        <v>12679</v>
      </c>
      <c r="E3578" t="s">
        <v>12681</v>
      </c>
      <c r="F3578" t="s">
        <v>12682</v>
      </c>
      <c r="G3578" s="712">
        <v>0</v>
      </c>
      <c r="H3578">
        <v>0</v>
      </c>
      <c r="I3578" s="713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</row>
    <row r="3579" spans="1:16">
      <c r="A3579">
        <v>5</v>
      </c>
      <c r="B3579" t="s">
        <v>12661</v>
      </c>
      <c r="C3579" t="s">
        <v>12669</v>
      </c>
      <c r="D3579" t="s">
        <v>12679</v>
      </c>
      <c r="E3579" t="s">
        <v>12683</v>
      </c>
      <c r="F3579" t="s">
        <v>12684</v>
      </c>
      <c r="G3579" s="712">
        <v>0</v>
      </c>
      <c r="H3579">
        <v>0</v>
      </c>
      <c r="I3579" s="713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</row>
    <row r="3580" spans="1:16">
      <c r="A3580">
        <v>5</v>
      </c>
      <c r="B3580" t="s">
        <v>12661</v>
      </c>
      <c r="C3580" t="s">
        <v>12669</v>
      </c>
      <c r="D3580" t="s">
        <v>12679</v>
      </c>
      <c r="E3580" t="s">
        <v>12685</v>
      </c>
      <c r="F3580" t="s">
        <v>12686</v>
      </c>
      <c r="G3580" s="712">
        <v>0</v>
      </c>
      <c r="H3580">
        <v>0</v>
      </c>
      <c r="I3580" s="713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</row>
    <row r="3581" spans="1:16">
      <c r="A3581">
        <v>5</v>
      </c>
      <c r="B3581" t="s">
        <v>12661</v>
      </c>
      <c r="C3581" t="s">
        <v>12669</v>
      </c>
      <c r="D3581" t="s">
        <v>12679</v>
      </c>
      <c r="E3581" t="s">
        <v>8918</v>
      </c>
      <c r="F3581" t="s">
        <v>8919</v>
      </c>
      <c r="G3581" s="712">
        <v>0</v>
      </c>
      <c r="H3581">
        <v>0</v>
      </c>
      <c r="I3581" s="713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</row>
    <row r="3582" spans="1:16">
      <c r="A3582">
        <v>5</v>
      </c>
      <c r="B3582" t="s">
        <v>12661</v>
      </c>
      <c r="C3582" t="s">
        <v>12669</v>
      </c>
      <c r="D3582" t="s">
        <v>12679</v>
      </c>
      <c r="E3582" t="s">
        <v>8921</v>
      </c>
      <c r="F3582" t="s">
        <v>8922</v>
      </c>
      <c r="G3582" s="712">
        <v>0</v>
      </c>
      <c r="H3582">
        <v>0</v>
      </c>
      <c r="I3582" s="713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</row>
    <row r="3583" spans="1:16">
      <c r="A3583">
        <v>5</v>
      </c>
      <c r="B3583" t="s">
        <v>12661</v>
      </c>
      <c r="C3583" t="s">
        <v>12669</v>
      </c>
      <c r="D3583" t="s">
        <v>12679</v>
      </c>
      <c r="E3583" t="s">
        <v>8923</v>
      </c>
      <c r="F3583" t="s">
        <v>8924</v>
      </c>
      <c r="G3583" s="712">
        <v>0</v>
      </c>
      <c r="H3583">
        <v>0</v>
      </c>
      <c r="I3583" s="71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</row>
    <row r="3584" spans="1:16">
      <c r="A3584">
        <v>5</v>
      </c>
      <c r="B3584" t="s">
        <v>12661</v>
      </c>
      <c r="C3584" t="s">
        <v>12669</v>
      </c>
      <c r="D3584" t="s">
        <v>12679</v>
      </c>
      <c r="E3584" t="s">
        <v>8925</v>
      </c>
      <c r="F3584" t="s">
        <v>8926</v>
      </c>
      <c r="G3584" s="712">
        <v>0</v>
      </c>
      <c r="H3584">
        <v>0</v>
      </c>
      <c r="I3584" s="713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</row>
    <row r="3585" spans="1:16">
      <c r="A3585">
        <v>5</v>
      </c>
      <c r="B3585" t="s">
        <v>12661</v>
      </c>
      <c r="C3585" t="s">
        <v>12669</v>
      </c>
      <c r="D3585" t="s">
        <v>12679</v>
      </c>
      <c r="E3585" t="s">
        <v>8927</v>
      </c>
      <c r="F3585" t="s">
        <v>8928</v>
      </c>
      <c r="G3585" s="712">
        <v>0</v>
      </c>
      <c r="H3585">
        <v>0</v>
      </c>
      <c r="I3585" s="713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</row>
    <row r="3586" spans="1:16">
      <c r="A3586">
        <v>5</v>
      </c>
      <c r="B3586" t="s">
        <v>12661</v>
      </c>
      <c r="C3586" t="s">
        <v>12669</v>
      </c>
      <c r="D3586" t="s">
        <v>12679</v>
      </c>
      <c r="E3586" t="s">
        <v>8929</v>
      </c>
      <c r="F3586" t="s">
        <v>8930</v>
      </c>
      <c r="G3586" s="712">
        <v>0</v>
      </c>
      <c r="H3586">
        <v>0</v>
      </c>
      <c r="I3586" s="713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</row>
    <row r="3587" spans="1:16">
      <c r="A3587">
        <v>5</v>
      </c>
      <c r="B3587" t="s">
        <v>12661</v>
      </c>
      <c r="C3587" t="s">
        <v>12669</v>
      </c>
      <c r="D3587" t="s">
        <v>12679</v>
      </c>
      <c r="E3587" t="s">
        <v>8931</v>
      </c>
      <c r="F3587" t="s">
        <v>8932</v>
      </c>
      <c r="G3587" s="712">
        <v>0</v>
      </c>
      <c r="H3587">
        <v>0</v>
      </c>
      <c r="I3587" s="713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</row>
    <row r="3588" spans="1:16">
      <c r="A3588">
        <v>5</v>
      </c>
      <c r="B3588" t="s">
        <v>12661</v>
      </c>
      <c r="C3588" t="s">
        <v>12669</v>
      </c>
      <c r="D3588" t="s">
        <v>12679</v>
      </c>
      <c r="E3588" t="s">
        <v>8933</v>
      </c>
      <c r="F3588" t="s">
        <v>8934</v>
      </c>
      <c r="G3588" s="712">
        <v>0</v>
      </c>
      <c r="H3588">
        <v>0</v>
      </c>
      <c r="I3588" s="713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</row>
    <row r="3589" spans="1:16">
      <c r="A3589">
        <v>5</v>
      </c>
      <c r="B3589" t="s">
        <v>12661</v>
      </c>
      <c r="C3589" t="s">
        <v>12669</v>
      </c>
      <c r="D3589" t="s">
        <v>12679</v>
      </c>
      <c r="E3589" t="s">
        <v>8935</v>
      </c>
      <c r="F3589" t="s">
        <v>8936</v>
      </c>
      <c r="G3589" s="712">
        <v>0</v>
      </c>
      <c r="H3589">
        <v>0</v>
      </c>
      <c r="I3589" s="713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</row>
    <row r="3590" spans="1:16">
      <c r="A3590">
        <v>5</v>
      </c>
      <c r="B3590" t="s">
        <v>12661</v>
      </c>
      <c r="C3590" t="s">
        <v>12669</v>
      </c>
      <c r="D3590" t="s">
        <v>12679</v>
      </c>
      <c r="E3590" t="s">
        <v>8938</v>
      </c>
      <c r="F3590" t="s">
        <v>8939</v>
      </c>
      <c r="G3590" s="712">
        <v>0</v>
      </c>
      <c r="H3590">
        <v>0</v>
      </c>
      <c r="I3590" s="713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</row>
    <row r="3591" spans="1:16">
      <c r="A3591">
        <v>5</v>
      </c>
      <c r="B3591" t="s">
        <v>12661</v>
      </c>
      <c r="C3591" t="s">
        <v>12669</v>
      </c>
      <c r="D3591" t="s">
        <v>12679</v>
      </c>
      <c r="E3591" t="s">
        <v>8941</v>
      </c>
      <c r="F3591" t="s">
        <v>8942</v>
      </c>
      <c r="G3591" s="712">
        <v>0</v>
      </c>
      <c r="H3591">
        <v>0</v>
      </c>
      <c r="I3591" s="713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</row>
    <row r="3592" spans="1:16">
      <c r="A3592">
        <v>5</v>
      </c>
      <c r="B3592" t="s">
        <v>12661</v>
      </c>
      <c r="C3592" t="s">
        <v>12669</v>
      </c>
      <c r="D3592" t="s">
        <v>12679</v>
      </c>
      <c r="E3592" t="s">
        <v>8943</v>
      </c>
      <c r="F3592" t="s">
        <v>8944</v>
      </c>
      <c r="G3592" s="712">
        <v>0</v>
      </c>
      <c r="H3592">
        <v>0</v>
      </c>
      <c r="I3592" s="713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</row>
    <row r="3593" spans="1:16">
      <c r="A3593">
        <v>5</v>
      </c>
      <c r="B3593" t="s">
        <v>12661</v>
      </c>
      <c r="C3593" t="s">
        <v>12669</v>
      </c>
      <c r="D3593" t="s">
        <v>12679</v>
      </c>
      <c r="E3593" t="s">
        <v>8945</v>
      </c>
      <c r="F3593" t="s">
        <v>8946</v>
      </c>
      <c r="G3593" s="712">
        <v>0</v>
      </c>
      <c r="H3593">
        <v>0</v>
      </c>
      <c r="I3593" s="71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</row>
    <row r="3594" spans="1:16">
      <c r="A3594">
        <v>5</v>
      </c>
      <c r="B3594" t="s">
        <v>12661</v>
      </c>
      <c r="C3594" t="s">
        <v>12669</v>
      </c>
      <c r="D3594" t="s">
        <v>12679</v>
      </c>
      <c r="E3594" t="s">
        <v>8947</v>
      </c>
      <c r="F3594" t="s">
        <v>8948</v>
      </c>
      <c r="G3594" s="712">
        <v>0</v>
      </c>
      <c r="H3594">
        <v>0</v>
      </c>
      <c r="I3594" s="713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</row>
    <row r="3595" spans="1:16">
      <c r="A3595">
        <v>5</v>
      </c>
      <c r="B3595" t="s">
        <v>12661</v>
      </c>
      <c r="C3595" t="s">
        <v>12669</v>
      </c>
      <c r="D3595" t="s">
        <v>12679</v>
      </c>
      <c r="E3595" t="s">
        <v>12687</v>
      </c>
      <c r="F3595" t="s">
        <v>12688</v>
      </c>
      <c r="G3595" s="712">
        <v>0</v>
      </c>
      <c r="H3595">
        <v>0</v>
      </c>
      <c r="I3595" s="713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</row>
    <row r="3596" spans="1:16">
      <c r="A3596">
        <v>5</v>
      </c>
      <c r="B3596" t="s">
        <v>12661</v>
      </c>
      <c r="C3596" t="s">
        <v>12669</v>
      </c>
      <c r="D3596" t="s">
        <v>12679</v>
      </c>
      <c r="E3596" t="s">
        <v>8949</v>
      </c>
      <c r="F3596" t="s">
        <v>8950</v>
      </c>
      <c r="G3596" s="712">
        <v>0</v>
      </c>
      <c r="H3596">
        <v>0</v>
      </c>
      <c r="I3596" s="713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</row>
    <row r="3597" spans="1:16">
      <c r="A3597">
        <v>5</v>
      </c>
      <c r="B3597" t="s">
        <v>12661</v>
      </c>
      <c r="C3597" t="s">
        <v>12669</v>
      </c>
      <c r="D3597" t="s">
        <v>12679</v>
      </c>
      <c r="E3597" t="s">
        <v>8951</v>
      </c>
      <c r="F3597" t="s">
        <v>8952</v>
      </c>
      <c r="G3597" s="712">
        <v>0</v>
      </c>
      <c r="H3597">
        <v>0</v>
      </c>
      <c r="I3597" s="713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</row>
    <row r="3598" spans="1:16">
      <c r="A3598">
        <v>5</v>
      </c>
      <c r="B3598" t="s">
        <v>12661</v>
      </c>
      <c r="C3598" t="s">
        <v>12669</v>
      </c>
      <c r="D3598" t="s">
        <v>12679</v>
      </c>
      <c r="E3598" t="s">
        <v>8953</v>
      </c>
      <c r="F3598" t="s">
        <v>8954</v>
      </c>
      <c r="G3598" s="712">
        <v>0</v>
      </c>
      <c r="H3598">
        <v>0</v>
      </c>
      <c r="I3598" s="713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</row>
    <row r="3599" spans="1:16">
      <c r="A3599">
        <v>5</v>
      </c>
      <c r="B3599" t="s">
        <v>12661</v>
      </c>
      <c r="C3599" t="s">
        <v>12669</v>
      </c>
      <c r="D3599" t="s">
        <v>12679</v>
      </c>
      <c r="E3599" t="s">
        <v>8955</v>
      </c>
      <c r="F3599" t="s">
        <v>8956</v>
      </c>
      <c r="G3599" s="712">
        <v>0</v>
      </c>
      <c r="H3599">
        <v>0</v>
      </c>
      <c r="I3599" s="713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</row>
    <row r="3600" spans="1:16">
      <c r="A3600">
        <v>5</v>
      </c>
      <c r="B3600" t="s">
        <v>12661</v>
      </c>
      <c r="C3600" t="s">
        <v>12669</v>
      </c>
      <c r="D3600" t="s">
        <v>12679</v>
      </c>
      <c r="E3600" t="s">
        <v>8957</v>
      </c>
      <c r="F3600" t="s">
        <v>8958</v>
      </c>
      <c r="G3600" s="712">
        <v>0</v>
      </c>
      <c r="H3600">
        <v>0</v>
      </c>
      <c r="I3600" s="713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</row>
    <row r="3601" spans="1:16">
      <c r="A3601">
        <v>5</v>
      </c>
      <c r="B3601" t="s">
        <v>12661</v>
      </c>
      <c r="C3601" t="s">
        <v>12669</v>
      </c>
      <c r="D3601" t="s">
        <v>12679</v>
      </c>
      <c r="E3601" t="s">
        <v>8959</v>
      </c>
      <c r="F3601" t="s">
        <v>8960</v>
      </c>
      <c r="G3601" s="712">
        <v>0</v>
      </c>
      <c r="H3601">
        <v>0</v>
      </c>
      <c r="I3601" s="713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</row>
    <row r="3602" spans="1:16">
      <c r="A3602">
        <v>5</v>
      </c>
      <c r="B3602" t="s">
        <v>12661</v>
      </c>
      <c r="C3602" t="s">
        <v>12669</v>
      </c>
      <c r="D3602" t="s">
        <v>12679</v>
      </c>
      <c r="E3602" t="s">
        <v>8961</v>
      </c>
      <c r="F3602" t="s">
        <v>8962</v>
      </c>
      <c r="G3602" s="712">
        <v>0</v>
      </c>
      <c r="H3602">
        <v>0</v>
      </c>
      <c r="I3602" s="713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</row>
    <row r="3603" spans="1:16">
      <c r="A3603">
        <v>5</v>
      </c>
      <c r="B3603" t="s">
        <v>12661</v>
      </c>
      <c r="C3603" t="s">
        <v>12669</v>
      </c>
      <c r="D3603" t="s">
        <v>12679</v>
      </c>
      <c r="E3603" t="s">
        <v>8964</v>
      </c>
      <c r="F3603" t="s">
        <v>8965</v>
      </c>
      <c r="G3603" s="712">
        <v>0</v>
      </c>
      <c r="H3603">
        <v>0</v>
      </c>
      <c r="I3603" s="71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</row>
    <row r="3604" spans="1:16">
      <c r="A3604">
        <v>5</v>
      </c>
      <c r="B3604" t="s">
        <v>12661</v>
      </c>
      <c r="C3604" t="s">
        <v>12669</v>
      </c>
      <c r="D3604" t="s">
        <v>12679</v>
      </c>
      <c r="E3604" t="s">
        <v>8967</v>
      </c>
      <c r="F3604" t="s">
        <v>8968</v>
      </c>
      <c r="G3604" s="712">
        <v>0</v>
      </c>
      <c r="H3604">
        <v>0</v>
      </c>
      <c r="I3604" s="713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</row>
    <row r="3605" spans="1:16" ht="15.75" thickBot="1">
      <c r="A3605">
        <v>5</v>
      </c>
      <c r="B3605" t="s">
        <v>12661</v>
      </c>
      <c r="C3605" t="s">
        <v>12669</v>
      </c>
      <c r="D3605" t="s">
        <v>12679</v>
      </c>
      <c r="E3605" t="s">
        <v>8970</v>
      </c>
      <c r="F3605" t="s">
        <v>8971</v>
      </c>
      <c r="G3605" s="712">
        <v>0</v>
      </c>
      <c r="H3605">
        <v>0</v>
      </c>
      <c r="I3605" s="713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</row>
    <row r="3606" spans="1:16" ht="15.75" thickBot="1">
      <c r="A3606" s="727">
        <v>5</v>
      </c>
      <c r="B3606" s="727" t="s">
        <v>12661</v>
      </c>
      <c r="C3606" s="727" t="s">
        <v>12669</v>
      </c>
      <c r="D3606" s="727" t="s">
        <v>12689</v>
      </c>
      <c r="E3606" s="727"/>
      <c r="F3606" s="729" t="s">
        <v>12690</v>
      </c>
      <c r="G3606" s="738">
        <v>0</v>
      </c>
      <c r="H3606" s="738">
        <v>0</v>
      </c>
      <c r="I3606" s="738">
        <v>0</v>
      </c>
      <c r="J3606" s="739">
        <v>65688.09</v>
      </c>
      <c r="K3606" s="738">
        <v>0</v>
      </c>
      <c r="L3606" s="738">
        <v>0</v>
      </c>
      <c r="M3606" s="738">
        <v>0</v>
      </c>
      <c r="N3606" s="739">
        <v>65688.09</v>
      </c>
      <c r="O3606" s="738">
        <v>0</v>
      </c>
      <c r="P3606" s="739">
        <v>65688.09</v>
      </c>
    </row>
    <row r="3607" spans="1:16">
      <c r="A3607">
        <v>5</v>
      </c>
      <c r="B3607" t="s">
        <v>12661</v>
      </c>
      <c r="C3607" t="s">
        <v>12669</v>
      </c>
      <c r="D3607" t="s">
        <v>12689</v>
      </c>
      <c r="E3607" t="s">
        <v>8974</v>
      </c>
      <c r="F3607" t="s">
        <v>8975</v>
      </c>
      <c r="G3607" s="712">
        <v>0</v>
      </c>
      <c r="H3607">
        <v>0</v>
      </c>
      <c r="I3607" s="713">
        <v>0</v>
      </c>
      <c r="J3607" s="711">
        <v>50175.12</v>
      </c>
      <c r="K3607">
        <v>0</v>
      </c>
      <c r="L3607">
        <v>0</v>
      </c>
      <c r="M3607">
        <v>0</v>
      </c>
      <c r="N3607" s="711">
        <v>50175.12</v>
      </c>
      <c r="O3607">
        <v>0</v>
      </c>
      <c r="P3607" s="711">
        <v>50175.12</v>
      </c>
    </row>
    <row r="3608" spans="1:16">
      <c r="A3608">
        <v>5</v>
      </c>
      <c r="B3608" t="s">
        <v>12661</v>
      </c>
      <c r="C3608" t="s">
        <v>12669</v>
      </c>
      <c r="D3608" t="s">
        <v>12689</v>
      </c>
      <c r="E3608" t="s">
        <v>8976</v>
      </c>
      <c r="F3608" t="s">
        <v>8977</v>
      </c>
      <c r="G3608" s="712">
        <v>0</v>
      </c>
      <c r="H3608">
        <v>0</v>
      </c>
      <c r="I3608" s="713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</row>
    <row r="3609" spans="1:16">
      <c r="A3609">
        <v>5</v>
      </c>
      <c r="B3609" t="s">
        <v>12661</v>
      </c>
      <c r="C3609" t="s">
        <v>12669</v>
      </c>
      <c r="D3609" t="s">
        <v>12689</v>
      </c>
      <c r="E3609" t="s">
        <v>8978</v>
      </c>
      <c r="F3609" t="s">
        <v>8979</v>
      </c>
      <c r="G3609" s="712">
        <v>0</v>
      </c>
      <c r="H3609">
        <v>0</v>
      </c>
      <c r="I3609" s="713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</row>
    <row r="3610" spans="1:16">
      <c r="A3610">
        <v>5</v>
      </c>
      <c r="B3610" t="s">
        <v>12661</v>
      </c>
      <c r="C3610" t="s">
        <v>12669</v>
      </c>
      <c r="D3610" t="s">
        <v>12689</v>
      </c>
      <c r="E3610" t="s">
        <v>8980</v>
      </c>
      <c r="F3610" t="s">
        <v>8981</v>
      </c>
      <c r="G3610" s="712">
        <v>0</v>
      </c>
      <c r="H3610">
        <v>0</v>
      </c>
      <c r="I3610" s="713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</row>
    <row r="3611" spans="1:16">
      <c r="A3611">
        <v>5</v>
      </c>
      <c r="B3611" t="s">
        <v>12661</v>
      </c>
      <c r="C3611" t="s">
        <v>12669</v>
      </c>
      <c r="D3611" t="s">
        <v>12689</v>
      </c>
      <c r="E3611" t="s">
        <v>8982</v>
      </c>
      <c r="F3611" t="s">
        <v>8983</v>
      </c>
      <c r="G3611" s="712">
        <v>0</v>
      </c>
      <c r="H3611">
        <v>0</v>
      </c>
      <c r="I3611" s="713">
        <v>0</v>
      </c>
      <c r="J3611" s="711">
        <v>11941.68</v>
      </c>
      <c r="K3611">
        <v>0</v>
      </c>
      <c r="L3611">
        <v>0</v>
      </c>
      <c r="M3611">
        <v>0</v>
      </c>
      <c r="N3611" s="711">
        <v>11941.68</v>
      </c>
      <c r="O3611">
        <v>0</v>
      </c>
      <c r="P3611" s="711">
        <v>11941.68</v>
      </c>
    </row>
    <row r="3612" spans="1:16">
      <c r="A3612">
        <v>5</v>
      </c>
      <c r="B3612" t="s">
        <v>12661</v>
      </c>
      <c r="C3612" t="s">
        <v>12669</v>
      </c>
      <c r="D3612" t="s">
        <v>12689</v>
      </c>
      <c r="E3612" t="s">
        <v>8984</v>
      </c>
      <c r="F3612" t="s">
        <v>8985</v>
      </c>
      <c r="G3612" s="712">
        <v>0</v>
      </c>
      <c r="H3612">
        <v>0</v>
      </c>
      <c r="I3612" s="713">
        <v>0</v>
      </c>
      <c r="J3612" s="711">
        <v>2448.48</v>
      </c>
      <c r="K3612">
        <v>0</v>
      </c>
      <c r="L3612">
        <v>0</v>
      </c>
      <c r="M3612">
        <v>0</v>
      </c>
      <c r="N3612" s="711">
        <v>2448.48</v>
      </c>
      <c r="O3612">
        <v>0</v>
      </c>
      <c r="P3612" s="711">
        <v>2448.48</v>
      </c>
    </row>
    <row r="3613" spans="1:16">
      <c r="A3613">
        <v>5</v>
      </c>
      <c r="B3613" t="s">
        <v>12661</v>
      </c>
      <c r="C3613" t="s">
        <v>12669</v>
      </c>
      <c r="D3613" t="s">
        <v>12689</v>
      </c>
      <c r="E3613" t="s">
        <v>8986</v>
      </c>
      <c r="F3613" t="s">
        <v>8987</v>
      </c>
      <c r="G3613" s="712">
        <v>0</v>
      </c>
      <c r="H3613">
        <v>0</v>
      </c>
      <c r="I3613" s="713">
        <v>0</v>
      </c>
      <c r="J3613">
        <v>808.08</v>
      </c>
      <c r="K3613">
        <v>0</v>
      </c>
      <c r="L3613">
        <v>0</v>
      </c>
      <c r="M3613">
        <v>0</v>
      </c>
      <c r="N3613">
        <v>808.08</v>
      </c>
      <c r="O3613">
        <v>0</v>
      </c>
      <c r="P3613">
        <v>808.08</v>
      </c>
    </row>
    <row r="3614" spans="1:16">
      <c r="A3614">
        <v>5</v>
      </c>
      <c r="B3614" t="s">
        <v>12661</v>
      </c>
      <c r="C3614" t="s">
        <v>12669</v>
      </c>
      <c r="D3614" t="s">
        <v>12689</v>
      </c>
      <c r="E3614" t="s">
        <v>8988</v>
      </c>
      <c r="F3614" t="s">
        <v>8989</v>
      </c>
      <c r="G3614" s="712">
        <v>0</v>
      </c>
      <c r="H3614">
        <v>0</v>
      </c>
      <c r="I3614" s="713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</row>
    <row r="3615" spans="1:16">
      <c r="A3615">
        <v>5</v>
      </c>
      <c r="B3615" t="s">
        <v>12661</v>
      </c>
      <c r="C3615" t="s">
        <v>12669</v>
      </c>
      <c r="D3615" t="s">
        <v>12689</v>
      </c>
      <c r="E3615" t="s">
        <v>8990</v>
      </c>
      <c r="F3615" t="s">
        <v>8991</v>
      </c>
      <c r="G3615" s="712">
        <v>0</v>
      </c>
      <c r="H3615">
        <v>0</v>
      </c>
      <c r="I3615" s="713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</row>
    <row r="3616" spans="1:16">
      <c r="A3616">
        <v>5</v>
      </c>
      <c r="B3616" t="s">
        <v>12661</v>
      </c>
      <c r="C3616" t="s">
        <v>12669</v>
      </c>
      <c r="D3616" t="s">
        <v>12689</v>
      </c>
      <c r="E3616" t="s">
        <v>8992</v>
      </c>
      <c r="F3616" t="s">
        <v>8993</v>
      </c>
      <c r="G3616" s="712">
        <v>0</v>
      </c>
      <c r="H3616">
        <v>0</v>
      </c>
      <c r="I3616" s="713">
        <v>0</v>
      </c>
      <c r="J3616">
        <v>314.73</v>
      </c>
      <c r="K3616">
        <v>0</v>
      </c>
      <c r="L3616">
        <v>0</v>
      </c>
      <c r="M3616">
        <v>0</v>
      </c>
      <c r="N3616">
        <v>314.73</v>
      </c>
      <c r="O3616">
        <v>0</v>
      </c>
      <c r="P3616">
        <v>314.73</v>
      </c>
    </row>
    <row r="3617" spans="1:16">
      <c r="A3617">
        <v>5</v>
      </c>
      <c r="B3617" t="s">
        <v>12661</v>
      </c>
      <c r="C3617" t="s">
        <v>12669</v>
      </c>
      <c r="D3617" t="s">
        <v>12689</v>
      </c>
      <c r="E3617" t="s">
        <v>8994</v>
      </c>
      <c r="F3617" t="s">
        <v>8995</v>
      </c>
      <c r="G3617" s="712">
        <v>0</v>
      </c>
      <c r="H3617">
        <v>0</v>
      </c>
      <c r="I3617" s="713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</row>
    <row r="3618" spans="1:16">
      <c r="A3618">
        <v>5</v>
      </c>
      <c r="B3618" t="s">
        <v>12661</v>
      </c>
      <c r="C3618" t="s">
        <v>12669</v>
      </c>
      <c r="D3618" t="s">
        <v>12689</v>
      </c>
      <c r="E3618" t="s">
        <v>8996</v>
      </c>
      <c r="F3618" t="s">
        <v>8997</v>
      </c>
      <c r="G3618" s="712">
        <v>0</v>
      </c>
      <c r="H3618">
        <v>0</v>
      </c>
      <c r="I3618" s="713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</row>
    <row r="3619" spans="1:16">
      <c r="A3619">
        <v>5</v>
      </c>
      <c r="B3619" t="s">
        <v>12661</v>
      </c>
      <c r="C3619" t="s">
        <v>12669</v>
      </c>
      <c r="D3619" t="s">
        <v>12689</v>
      </c>
      <c r="E3619" t="s">
        <v>8998</v>
      </c>
      <c r="F3619" t="s">
        <v>8999</v>
      </c>
      <c r="G3619" s="712">
        <v>0</v>
      </c>
      <c r="H3619">
        <v>0</v>
      </c>
      <c r="I3619" s="713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</row>
    <row r="3620" spans="1:16">
      <c r="A3620">
        <v>5</v>
      </c>
      <c r="B3620" t="s">
        <v>12661</v>
      </c>
      <c r="C3620" t="s">
        <v>12669</v>
      </c>
      <c r="D3620" t="s">
        <v>12689</v>
      </c>
      <c r="E3620" t="s">
        <v>9000</v>
      </c>
      <c r="F3620" t="s">
        <v>9001</v>
      </c>
      <c r="G3620" s="712">
        <v>0</v>
      </c>
      <c r="H3620">
        <v>0</v>
      </c>
      <c r="I3620" s="713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</row>
    <row r="3621" spans="1:16">
      <c r="A3621">
        <v>5</v>
      </c>
      <c r="B3621" t="s">
        <v>12661</v>
      </c>
      <c r="C3621" t="s">
        <v>12669</v>
      </c>
      <c r="D3621" t="s">
        <v>12689</v>
      </c>
      <c r="E3621" t="s">
        <v>9002</v>
      </c>
      <c r="F3621" t="s">
        <v>9003</v>
      </c>
      <c r="G3621" s="712">
        <v>0</v>
      </c>
      <c r="H3621">
        <v>0</v>
      </c>
      <c r="I3621" s="713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</row>
    <row r="3622" spans="1:16">
      <c r="A3622">
        <v>5</v>
      </c>
      <c r="B3622" t="s">
        <v>12661</v>
      </c>
      <c r="C3622" t="s">
        <v>12669</v>
      </c>
      <c r="D3622" t="s">
        <v>12689</v>
      </c>
      <c r="E3622" t="s">
        <v>9004</v>
      </c>
      <c r="F3622" t="s">
        <v>9005</v>
      </c>
      <c r="G3622" s="712">
        <v>0</v>
      </c>
      <c r="H3622">
        <v>0</v>
      </c>
      <c r="I3622" s="713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</row>
    <row r="3623" spans="1:16">
      <c r="A3623">
        <v>5</v>
      </c>
      <c r="B3623" t="s">
        <v>12661</v>
      </c>
      <c r="C3623" t="s">
        <v>12669</v>
      </c>
      <c r="D3623" t="s">
        <v>12689</v>
      </c>
      <c r="E3623" t="s">
        <v>9006</v>
      </c>
      <c r="F3623" t="s">
        <v>9007</v>
      </c>
      <c r="G3623" s="712">
        <v>0</v>
      </c>
      <c r="H3623">
        <v>0</v>
      </c>
      <c r="I3623" s="71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</row>
    <row r="3624" spans="1:16">
      <c r="A3624">
        <v>5</v>
      </c>
      <c r="B3624" t="s">
        <v>12661</v>
      </c>
      <c r="C3624" t="s">
        <v>12669</v>
      </c>
      <c r="D3624" t="s">
        <v>12689</v>
      </c>
      <c r="E3624" t="s">
        <v>12691</v>
      </c>
      <c r="F3624" t="s">
        <v>12692</v>
      </c>
      <c r="G3624" s="712">
        <v>0</v>
      </c>
      <c r="H3624">
        <v>0</v>
      </c>
      <c r="I3624" s="713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</row>
    <row r="3625" spans="1:16">
      <c r="A3625">
        <v>5</v>
      </c>
      <c r="B3625" t="s">
        <v>12661</v>
      </c>
      <c r="C3625" t="s">
        <v>12669</v>
      </c>
      <c r="D3625" t="s">
        <v>12689</v>
      </c>
      <c r="E3625" t="s">
        <v>9008</v>
      </c>
      <c r="F3625" t="s">
        <v>9009</v>
      </c>
      <c r="G3625" s="712">
        <v>0</v>
      </c>
      <c r="H3625">
        <v>0</v>
      </c>
      <c r="I3625" s="713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</row>
    <row r="3626" spans="1:16">
      <c r="A3626">
        <v>5</v>
      </c>
      <c r="B3626" t="s">
        <v>12661</v>
      </c>
      <c r="C3626" t="s">
        <v>12669</v>
      </c>
      <c r="D3626" t="s">
        <v>12689</v>
      </c>
      <c r="E3626" t="s">
        <v>9010</v>
      </c>
      <c r="F3626" t="s">
        <v>9011</v>
      </c>
      <c r="G3626" s="712">
        <v>0</v>
      </c>
      <c r="H3626">
        <v>0</v>
      </c>
      <c r="I3626" s="713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</row>
    <row r="3627" spans="1:16">
      <c r="A3627">
        <v>5</v>
      </c>
      <c r="B3627" t="s">
        <v>12661</v>
      </c>
      <c r="C3627" t="s">
        <v>12669</v>
      </c>
      <c r="D3627" t="s">
        <v>12689</v>
      </c>
      <c r="E3627" t="s">
        <v>12693</v>
      </c>
      <c r="F3627" t="s">
        <v>12694</v>
      </c>
      <c r="G3627" s="712">
        <v>0</v>
      </c>
      <c r="H3627">
        <v>0</v>
      </c>
      <c r="I3627" s="713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</row>
    <row r="3628" spans="1:16">
      <c r="A3628">
        <v>5</v>
      </c>
      <c r="B3628" t="s">
        <v>12661</v>
      </c>
      <c r="C3628" t="s">
        <v>12669</v>
      </c>
      <c r="D3628" t="s">
        <v>12689</v>
      </c>
      <c r="E3628" t="s">
        <v>9012</v>
      </c>
      <c r="F3628" t="s">
        <v>9013</v>
      </c>
      <c r="G3628" s="712">
        <v>0</v>
      </c>
      <c r="H3628">
        <v>0</v>
      </c>
      <c r="I3628" s="713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</row>
    <row r="3629" spans="1:16">
      <c r="A3629">
        <v>5</v>
      </c>
      <c r="B3629" t="s">
        <v>12661</v>
      </c>
      <c r="C3629" t="s">
        <v>12669</v>
      </c>
      <c r="D3629" t="s">
        <v>12689</v>
      </c>
      <c r="E3629" t="s">
        <v>9014</v>
      </c>
      <c r="F3629" t="s">
        <v>9015</v>
      </c>
      <c r="G3629" s="712">
        <v>0</v>
      </c>
      <c r="H3629">
        <v>0</v>
      </c>
      <c r="I3629" s="713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</row>
    <row r="3630" spans="1:16">
      <c r="A3630">
        <v>5</v>
      </c>
      <c r="B3630" t="s">
        <v>12661</v>
      </c>
      <c r="C3630" t="s">
        <v>12669</v>
      </c>
      <c r="D3630" t="s">
        <v>12689</v>
      </c>
      <c r="E3630" t="s">
        <v>9016</v>
      </c>
      <c r="F3630" t="s">
        <v>9017</v>
      </c>
      <c r="G3630" s="712">
        <v>0</v>
      </c>
      <c r="H3630">
        <v>0</v>
      </c>
      <c r="I3630" s="713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</row>
    <row r="3631" spans="1:16">
      <c r="A3631">
        <v>5</v>
      </c>
      <c r="B3631" t="s">
        <v>12661</v>
      </c>
      <c r="C3631" t="s">
        <v>12669</v>
      </c>
      <c r="D3631" t="s">
        <v>12689</v>
      </c>
      <c r="E3631" t="s">
        <v>9018</v>
      </c>
      <c r="F3631" t="s">
        <v>9019</v>
      </c>
      <c r="G3631" s="712">
        <v>0</v>
      </c>
      <c r="H3631">
        <v>0</v>
      </c>
      <c r="I3631" s="713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</row>
    <row r="3632" spans="1:16">
      <c r="A3632">
        <v>5</v>
      </c>
      <c r="B3632" t="s">
        <v>12661</v>
      </c>
      <c r="C3632" t="s">
        <v>12669</v>
      </c>
      <c r="D3632" t="s">
        <v>12689</v>
      </c>
      <c r="E3632" t="s">
        <v>12695</v>
      </c>
      <c r="F3632" t="s">
        <v>12696</v>
      </c>
      <c r="G3632" s="712">
        <v>0</v>
      </c>
      <c r="H3632">
        <v>0</v>
      </c>
      <c r="I3632" s="713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</row>
    <row r="3633" spans="1:16" ht="15.75" thickBot="1">
      <c r="A3633">
        <v>5</v>
      </c>
      <c r="B3633" t="s">
        <v>12661</v>
      </c>
      <c r="C3633" t="s">
        <v>12669</v>
      </c>
      <c r="D3633" t="s">
        <v>12689</v>
      </c>
      <c r="E3633" t="s">
        <v>12697</v>
      </c>
      <c r="F3633" t="s">
        <v>12698</v>
      </c>
      <c r="G3633" s="712">
        <v>0</v>
      </c>
      <c r="H3633">
        <v>0</v>
      </c>
      <c r="I3633" s="71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</row>
    <row r="3634" spans="1:16" ht="15.75" thickBot="1">
      <c r="A3634" s="727">
        <v>5</v>
      </c>
      <c r="B3634" s="727" t="s">
        <v>12699</v>
      </c>
      <c r="C3634" s="727"/>
      <c r="D3634" s="727"/>
      <c r="E3634" s="727"/>
      <c r="F3634" s="745" t="s">
        <v>94</v>
      </c>
      <c r="G3634" s="738">
        <v>0</v>
      </c>
      <c r="H3634" s="738">
        <v>0</v>
      </c>
      <c r="I3634" s="738">
        <v>0</v>
      </c>
      <c r="J3634" s="739">
        <v>3961568.02</v>
      </c>
      <c r="K3634" s="739">
        <v>307254.64</v>
      </c>
      <c r="L3634" s="738">
        <v>0</v>
      </c>
      <c r="M3634" s="738">
        <v>0</v>
      </c>
      <c r="N3634" s="739">
        <v>3961568.02</v>
      </c>
      <c r="O3634" s="739">
        <v>307254.64</v>
      </c>
      <c r="P3634" s="739">
        <v>3654313.38</v>
      </c>
    </row>
    <row r="3635" spans="1:16" ht="15.75" thickBot="1">
      <c r="A3635" s="727">
        <v>5</v>
      </c>
      <c r="B3635" s="727" t="s">
        <v>12699</v>
      </c>
      <c r="C3635" s="727" t="s">
        <v>12700</v>
      </c>
      <c r="D3635" s="727"/>
      <c r="E3635" s="727"/>
      <c r="F3635" s="745" t="s">
        <v>12701</v>
      </c>
      <c r="G3635" s="738">
        <v>0</v>
      </c>
      <c r="H3635" s="738">
        <v>0</v>
      </c>
      <c r="I3635" s="738">
        <v>0</v>
      </c>
      <c r="J3635" s="739">
        <v>17928.689999999999</v>
      </c>
      <c r="K3635" s="738">
        <v>984.84</v>
      </c>
      <c r="L3635" s="738">
        <v>0</v>
      </c>
      <c r="M3635" s="738">
        <v>0</v>
      </c>
      <c r="N3635" s="739">
        <v>17928.689999999999</v>
      </c>
      <c r="O3635" s="738">
        <v>984.84</v>
      </c>
      <c r="P3635" s="739">
        <v>16943.849999999999</v>
      </c>
    </row>
    <row r="3636" spans="1:16" ht="15.75" thickBot="1">
      <c r="A3636" s="727">
        <v>5</v>
      </c>
      <c r="B3636" s="727" t="s">
        <v>12699</v>
      </c>
      <c r="C3636" s="727" t="s">
        <v>12700</v>
      </c>
      <c r="D3636" s="727" t="s">
        <v>12702</v>
      </c>
      <c r="E3636" s="727"/>
      <c r="F3636" s="729" t="s">
        <v>12703</v>
      </c>
      <c r="G3636" s="738">
        <v>0</v>
      </c>
      <c r="H3636" s="738">
        <v>0</v>
      </c>
      <c r="I3636" s="738">
        <v>0</v>
      </c>
      <c r="J3636" s="739">
        <v>17928.689999999999</v>
      </c>
      <c r="K3636" s="738">
        <v>984.84</v>
      </c>
      <c r="L3636" s="738">
        <v>0</v>
      </c>
      <c r="M3636" s="738">
        <v>0</v>
      </c>
      <c r="N3636" s="739">
        <v>17928.689999999999</v>
      </c>
      <c r="O3636" s="738">
        <v>984.84</v>
      </c>
      <c r="P3636" s="739">
        <v>16943.849999999999</v>
      </c>
    </row>
    <row r="3637" spans="1:16">
      <c r="A3637">
        <v>5</v>
      </c>
      <c r="B3637" t="s">
        <v>12699</v>
      </c>
      <c r="C3637" t="s">
        <v>12700</v>
      </c>
      <c r="D3637" t="s">
        <v>12702</v>
      </c>
      <c r="E3637" t="s">
        <v>9027</v>
      </c>
      <c r="F3637" t="s">
        <v>9028</v>
      </c>
      <c r="G3637" s="712">
        <v>0</v>
      </c>
      <c r="H3637">
        <v>0</v>
      </c>
      <c r="I3637" s="713">
        <v>0</v>
      </c>
      <c r="J3637" s="711">
        <v>8264.51</v>
      </c>
      <c r="K3637">
        <v>0</v>
      </c>
      <c r="L3637">
        <v>0</v>
      </c>
      <c r="M3637">
        <v>0</v>
      </c>
      <c r="N3637" s="711">
        <v>8264.51</v>
      </c>
      <c r="O3637">
        <v>0</v>
      </c>
      <c r="P3637" s="711">
        <v>8264.51</v>
      </c>
    </row>
    <row r="3638" spans="1:16">
      <c r="A3638">
        <v>5</v>
      </c>
      <c r="B3638" t="s">
        <v>12699</v>
      </c>
      <c r="C3638" t="s">
        <v>12700</v>
      </c>
      <c r="D3638" t="s">
        <v>12702</v>
      </c>
      <c r="E3638" t="s">
        <v>9030</v>
      </c>
      <c r="F3638" t="s">
        <v>9031</v>
      </c>
      <c r="G3638" s="712">
        <v>0</v>
      </c>
      <c r="H3638">
        <v>0</v>
      </c>
      <c r="I3638" s="713">
        <v>0</v>
      </c>
      <c r="J3638" s="711">
        <v>5228.59</v>
      </c>
      <c r="K3638">
        <v>984.84</v>
      </c>
      <c r="L3638">
        <v>0</v>
      </c>
      <c r="M3638">
        <v>0</v>
      </c>
      <c r="N3638" s="711">
        <v>5228.59</v>
      </c>
      <c r="O3638">
        <v>984.84</v>
      </c>
      <c r="P3638" s="711">
        <v>4243.75</v>
      </c>
    </row>
    <row r="3639" spans="1:16">
      <c r="A3639">
        <v>5</v>
      </c>
      <c r="B3639" t="s">
        <v>12699</v>
      </c>
      <c r="C3639" t="s">
        <v>12700</v>
      </c>
      <c r="D3639" t="s">
        <v>12702</v>
      </c>
      <c r="E3639" t="s">
        <v>9033</v>
      </c>
      <c r="F3639" t="s">
        <v>9034</v>
      </c>
      <c r="G3639" s="712">
        <v>0</v>
      </c>
      <c r="H3639">
        <v>0</v>
      </c>
      <c r="I3639" s="713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</row>
    <row r="3640" spans="1:16">
      <c r="A3640">
        <v>5</v>
      </c>
      <c r="B3640" t="s">
        <v>12699</v>
      </c>
      <c r="C3640" t="s">
        <v>12700</v>
      </c>
      <c r="D3640" t="s">
        <v>12702</v>
      </c>
      <c r="E3640" t="s">
        <v>9036</v>
      </c>
      <c r="F3640" t="s">
        <v>9037</v>
      </c>
      <c r="G3640" s="712">
        <v>0</v>
      </c>
      <c r="H3640">
        <v>0</v>
      </c>
      <c r="I3640" s="713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</row>
    <row r="3641" spans="1:16">
      <c r="A3641">
        <v>5</v>
      </c>
      <c r="B3641" t="s">
        <v>12699</v>
      </c>
      <c r="C3641" t="s">
        <v>12700</v>
      </c>
      <c r="D3641" t="s">
        <v>12702</v>
      </c>
      <c r="E3641" t="s">
        <v>9039</v>
      </c>
      <c r="F3641" t="s">
        <v>9040</v>
      </c>
      <c r="G3641" s="712">
        <v>0</v>
      </c>
      <c r="H3641">
        <v>0</v>
      </c>
      <c r="I3641" s="713">
        <v>0</v>
      </c>
      <c r="J3641" s="711">
        <v>3667.83</v>
      </c>
      <c r="K3641">
        <v>0</v>
      </c>
      <c r="L3641">
        <v>0</v>
      </c>
      <c r="M3641">
        <v>0</v>
      </c>
      <c r="N3641" s="711">
        <v>3667.83</v>
      </c>
      <c r="O3641">
        <v>0</v>
      </c>
      <c r="P3641" s="711">
        <v>3667.83</v>
      </c>
    </row>
    <row r="3642" spans="1:16">
      <c r="A3642">
        <v>5</v>
      </c>
      <c r="B3642" t="s">
        <v>12699</v>
      </c>
      <c r="C3642" t="s">
        <v>12700</v>
      </c>
      <c r="D3642" t="s">
        <v>12702</v>
      </c>
      <c r="E3642" t="s">
        <v>9042</v>
      </c>
      <c r="F3642" t="s">
        <v>9043</v>
      </c>
      <c r="G3642" s="712">
        <v>0</v>
      </c>
      <c r="H3642">
        <v>0</v>
      </c>
      <c r="I3642" s="713">
        <v>0</v>
      </c>
      <c r="J3642">
        <v>610.4</v>
      </c>
      <c r="K3642">
        <v>0</v>
      </c>
      <c r="L3642">
        <v>0</v>
      </c>
      <c r="M3642">
        <v>0</v>
      </c>
      <c r="N3642">
        <v>610.4</v>
      </c>
      <c r="O3642">
        <v>0</v>
      </c>
      <c r="P3642">
        <v>610.4</v>
      </c>
    </row>
    <row r="3643" spans="1:16">
      <c r="A3643">
        <v>5</v>
      </c>
      <c r="B3643" t="s">
        <v>12699</v>
      </c>
      <c r="C3643" t="s">
        <v>12700</v>
      </c>
      <c r="D3643" t="s">
        <v>12702</v>
      </c>
      <c r="E3643" t="s">
        <v>9044</v>
      </c>
      <c r="F3643" t="s">
        <v>9045</v>
      </c>
      <c r="G3643" s="712">
        <v>0</v>
      </c>
      <c r="H3643">
        <v>0</v>
      </c>
      <c r="I3643" s="71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</row>
    <row r="3644" spans="1:16">
      <c r="A3644">
        <v>5</v>
      </c>
      <c r="B3644" t="s">
        <v>12699</v>
      </c>
      <c r="C3644" t="s">
        <v>12700</v>
      </c>
      <c r="D3644" t="s">
        <v>12702</v>
      </c>
      <c r="E3644" t="s">
        <v>9046</v>
      </c>
      <c r="F3644" t="s">
        <v>9047</v>
      </c>
      <c r="G3644" s="712">
        <v>0</v>
      </c>
      <c r="H3644">
        <v>0</v>
      </c>
      <c r="I3644" s="713">
        <v>0</v>
      </c>
      <c r="J3644">
        <v>157.36000000000001</v>
      </c>
      <c r="K3644">
        <v>0</v>
      </c>
      <c r="L3644">
        <v>0</v>
      </c>
      <c r="M3644">
        <v>0</v>
      </c>
      <c r="N3644">
        <v>157.36000000000001</v>
      </c>
      <c r="O3644">
        <v>0</v>
      </c>
      <c r="P3644">
        <v>157.36000000000001</v>
      </c>
    </row>
    <row r="3645" spans="1:16">
      <c r="A3645">
        <v>5</v>
      </c>
      <c r="B3645" t="s">
        <v>12699</v>
      </c>
      <c r="C3645" t="s">
        <v>12700</v>
      </c>
      <c r="D3645" t="s">
        <v>12702</v>
      </c>
      <c r="E3645" t="s">
        <v>9048</v>
      </c>
      <c r="F3645" t="s">
        <v>9049</v>
      </c>
      <c r="G3645" s="712">
        <v>0</v>
      </c>
      <c r="H3645">
        <v>0</v>
      </c>
      <c r="I3645" s="713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</row>
    <row r="3646" spans="1:16">
      <c r="A3646">
        <v>5</v>
      </c>
      <c r="B3646" t="s">
        <v>12699</v>
      </c>
      <c r="C3646" t="s">
        <v>12700</v>
      </c>
      <c r="D3646" t="s">
        <v>12702</v>
      </c>
      <c r="E3646" t="s">
        <v>9050</v>
      </c>
      <c r="F3646" t="s">
        <v>9051</v>
      </c>
      <c r="G3646" s="712">
        <v>0</v>
      </c>
      <c r="H3646">
        <v>0</v>
      </c>
      <c r="I3646" s="713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</row>
    <row r="3647" spans="1:16">
      <c r="A3647">
        <v>5</v>
      </c>
      <c r="B3647" t="s">
        <v>12699</v>
      </c>
      <c r="C3647" t="s">
        <v>12700</v>
      </c>
      <c r="D3647" t="s">
        <v>12702</v>
      </c>
      <c r="E3647" t="s">
        <v>9052</v>
      </c>
      <c r="F3647" t="s">
        <v>9053</v>
      </c>
      <c r="G3647" s="712">
        <v>0</v>
      </c>
      <c r="H3647">
        <v>0</v>
      </c>
      <c r="I3647" s="713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</row>
    <row r="3648" spans="1:16">
      <c r="A3648">
        <v>5</v>
      </c>
      <c r="B3648" t="s">
        <v>12699</v>
      </c>
      <c r="C3648" t="s">
        <v>12700</v>
      </c>
      <c r="D3648" t="s">
        <v>12702</v>
      </c>
      <c r="E3648" t="s">
        <v>9054</v>
      </c>
      <c r="F3648" t="s">
        <v>9055</v>
      </c>
      <c r="G3648" s="712">
        <v>0</v>
      </c>
      <c r="H3648">
        <v>0</v>
      </c>
      <c r="I3648" s="713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</row>
    <row r="3649" spans="1:16">
      <c r="A3649">
        <v>5</v>
      </c>
      <c r="B3649" t="s">
        <v>12699</v>
      </c>
      <c r="C3649" t="s">
        <v>12700</v>
      </c>
      <c r="D3649" t="s">
        <v>12702</v>
      </c>
      <c r="E3649" t="s">
        <v>9056</v>
      </c>
      <c r="F3649" t="s">
        <v>9057</v>
      </c>
      <c r="G3649" s="712">
        <v>0</v>
      </c>
      <c r="H3649">
        <v>0</v>
      </c>
      <c r="I3649" s="713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</row>
    <row r="3650" spans="1:16">
      <c r="A3650">
        <v>5</v>
      </c>
      <c r="B3650" t="s">
        <v>12699</v>
      </c>
      <c r="C3650" t="s">
        <v>12700</v>
      </c>
      <c r="D3650" t="s">
        <v>12702</v>
      </c>
      <c r="E3650" t="s">
        <v>9059</v>
      </c>
      <c r="F3650" t="s">
        <v>9060</v>
      </c>
      <c r="G3650" s="712">
        <v>0</v>
      </c>
      <c r="H3650">
        <v>0</v>
      </c>
      <c r="I3650" s="713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</row>
    <row r="3651" spans="1:16">
      <c r="A3651">
        <v>5</v>
      </c>
      <c r="B3651" t="s">
        <v>12699</v>
      </c>
      <c r="C3651" t="s">
        <v>12700</v>
      </c>
      <c r="D3651" t="s">
        <v>12702</v>
      </c>
      <c r="E3651" t="s">
        <v>9062</v>
      </c>
      <c r="F3651" t="s">
        <v>9063</v>
      </c>
      <c r="G3651" s="712">
        <v>0</v>
      </c>
      <c r="H3651">
        <v>0</v>
      </c>
      <c r="I3651" s="713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</row>
    <row r="3652" spans="1:16">
      <c r="A3652">
        <v>5</v>
      </c>
      <c r="B3652" t="s">
        <v>12699</v>
      </c>
      <c r="C3652" t="s">
        <v>12700</v>
      </c>
      <c r="D3652" t="s">
        <v>12702</v>
      </c>
      <c r="E3652" t="s">
        <v>9064</v>
      </c>
      <c r="F3652" t="s">
        <v>9065</v>
      </c>
      <c r="G3652" s="712">
        <v>0</v>
      </c>
      <c r="H3652">
        <v>0</v>
      </c>
      <c r="I3652" s="713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</row>
    <row r="3653" spans="1:16">
      <c r="A3653">
        <v>5</v>
      </c>
      <c r="B3653" t="s">
        <v>12699</v>
      </c>
      <c r="C3653" t="s">
        <v>12700</v>
      </c>
      <c r="D3653" t="s">
        <v>12702</v>
      </c>
      <c r="E3653" t="s">
        <v>9066</v>
      </c>
      <c r="F3653" t="s">
        <v>9067</v>
      </c>
      <c r="G3653" s="712">
        <v>0</v>
      </c>
      <c r="H3653">
        <v>0</v>
      </c>
      <c r="I3653" s="71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</row>
    <row r="3654" spans="1:16">
      <c r="A3654">
        <v>5</v>
      </c>
      <c r="B3654" t="s">
        <v>12699</v>
      </c>
      <c r="C3654" t="s">
        <v>12700</v>
      </c>
      <c r="D3654" t="s">
        <v>12702</v>
      </c>
      <c r="E3654" t="s">
        <v>9068</v>
      </c>
      <c r="F3654" t="s">
        <v>9069</v>
      </c>
      <c r="G3654" s="712">
        <v>0</v>
      </c>
      <c r="H3654">
        <v>0</v>
      </c>
      <c r="I3654" s="713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</row>
    <row r="3655" spans="1:16">
      <c r="A3655">
        <v>5</v>
      </c>
      <c r="B3655" t="s">
        <v>12699</v>
      </c>
      <c r="C3655" t="s">
        <v>12700</v>
      </c>
      <c r="D3655" t="s">
        <v>12702</v>
      </c>
      <c r="E3655" t="s">
        <v>9070</v>
      </c>
      <c r="F3655" t="s">
        <v>9071</v>
      </c>
      <c r="G3655" s="712">
        <v>0</v>
      </c>
      <c r="H3655">
        <v>0</v>
      </c>
      <c r="I3655" s="713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</row>
    <row r="3656" spans="1:16">
      <c r="A3656">
        <v>5</v>
      </c>
      <c r="B3656" t="s">
        <v>12699</v>
      </c>
      <c r="C3656" t="s">
        <v>12700</v>
      </c>
      <c r="D3656" t="s">
        <v>12702</v>
      </c>
      <c r="E3656" t="s">
        <v>9072</v>
      </c>
      <c r="F3656" t="s">
        <v>9073</v>
      </c>
      <c r="G3656" s="712">
        <v>0</v>
      </c>
      <c r="H3656">
        <v>0</v>
      </c>
      <c r="I3656" s="713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</row>
    <row r="3657" spans="1:16">
      <c r="A3657">
        <v>5</v>
      </c>
      <c r="B3657" t="s">
        <v>12699</v>
      </c>
      <c r="C3657" t="s">
        <v>12700</v>
      </c>
      <c r="D3657" t="s">
        <v>12702</v>
      </c>
      <c r="E3657" t="s">
        <v>9074</v>
      </c>
      <c r="F3657" t="s">
        <v>9075</v>
      </c>
      <c r="G3657" s="712">
        <v>0</v>
      </c>
      <c r="H3657">
        <v>0</v>
      </c>
      <c r="I3657" s="713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</row>
    <row r="3658" spans="1:16">
      <c r="A3658">
        <v>5</v>
      </c>
      <c r="B3658" t="s">
        <v>12699</v>
      </c>
      <c r="C3658" t="s">
        <v>12700</v>
      </c>
      <c r="D3658" t="s">
        <v>12702</v>
      </c>
      <c r="E3658" t="s">
        <v>9076</v>
      </c>
      <c r="F3658" t="s">
        <v>9077</v>
      </c>
      <c r="G3658" s="712">
        <v>0</v>
      </c>
      <c r="H3658">
        <v>0</v>
      </c>
      <c r="I3658" s="713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</row>
    <row r="3659" spans="1:16">
      <c r="A3659">
        <v>5</v>
      </c>
      <c r="B3659" t="s">
        <v>12699</v>
      </c>
      <c r="C3659" t="s">
        <v>12700</v>
      </c>
      <c r="D3659" t="s">
        <v>12702</v>
      </c>
      <c r="E3659" t="s">
        <v>9078</v>
      </c>
      <c r="F3659" t="s">
        <v>9079</v>
      </c>
      <c r="G3659" s="712">
        <v>0</v>
      </c>
      <c r="H3659">
        <v>0</v>
      </c>
      <c r="I3659" s="713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</row>
    <row r="3660" spans="1:16">
      <c r="A3660">
        <v>5</v>
      </c>
      <c r="B3660" t="s">
        <v>12699</v>
      </c>
      <c r="C3660" t="s">
        <v>12700</v>
      </c>
      <c r="D3660" t="s">
        <v>12702</v>
      </c>
      <c r="E3660" t="s">
        <v>9080</v>
      </c>
      <c r="F3660" t="s">
        <v>9081</v>
      </c>
      <c r="G3660" s="712">
        <v>0</v>
      </c>
      <c r="H3660">
        <v>0</v>
      </c>
      <c r="I3660" s="713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</row>
    <row r="3661" spans="1:16">
      <c r="A3661">
        <v>5</v>
      </c>
      <c r="B3661" t="s">
        <v>12699</v>
      </c>
      <c r="C3661" t="s">
        <v>12700</v>
      </c>
      <c r="D3661" t="s">
        <v>12702</v>
      </c>
      <c r="E3661" t="s">
        <v>9082</v>
      </c>
      <c r="F3661" t="s">
        <v>9083</v>
      </c>
      <c r="G3661" s="712">
        <v>0</v>
      </c>
      <c r="H3661">
        <v>0</v>
      </c>
      <c r="I3661" s="713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</row>
    <row r="3662" spans="1:16" ht="15.75" thickBot="1">
      <c r="A3662">
        <v>5</v>
      </c>
      <c r="B3662" t="s">
        <v>12699</v>
      </c>
      <c r="C3662" t="s">
        <v>12700</v>
      </c>
      <c r="D3662" t="s">
        <v>12702</v>
      </c>
      <c r="E3662" t="s">
        <v>9084</v>
      </c>
      <c r="F3662" t="s">
        <v>9085</v>
      </c>
      <c r="G3662" s="712">
        <v>0</v>
      </c>
      <c r="H3662">
        <v>0</v>
      </c>
      <c r="I3662" s="713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</row>
    <row r="3663" spans="1:16" ht="15.75" thickBot="1">
      <c r="A3663" s="727">
        <v>5</v>
      </c>
      <c r="B3663" s="727" t="s">
        <v>12699</v>
      </c>
      <c r="C3663" s="727" t="s">
        <v>12700</v>
      </c>
      <c r="D3663" s="727" t="s">
        <v>12704</v>
      </c>
      <c r="E3663" s="727"/>
      <c r="F3663" s="729" t="s">
        <v>12705</v>
      </c>
      <c r="G3663" s="738">
        <v>0</v>
      </c>
      <c r="H3663" s="738">
        <v>0</v>
      </c>
      <c r="I3663" s="738">
        <v>0</v>
      </c>
      <c r="J3663" s="738">
        <v>0</v>
      </c>
      <c r="K3663" s="738">
        <v>0</v>
      </c>
      <c r="L3663" s="738">
        <v>0</v>
      </c>
      <c r="M3663" s="738">
        <v>0</v>
      </c>
      <c r="N3663" s="738">
        <v>0</v>
      </c>
      <c r="O3663" s="738">
        <v>0</v>
      </c>
      <c r="P3663" s="738">
        <v>0</v>
      </c>
    </row>
    <row r="3664" spans="1:16">
      <c r="A3664">
        <v>5</v>
      </c>
      <c r="B3664" t="s">
        <v>12699</v>
      </c>
      <c r="C3664" t="s">
        <v>12700</v>
      </c>
      <c r="D3664" t="s">
        <v>12704</v>
      </c>
      <c r="E3664" t="s">
        <v>9088</v>
      </c>
      <c r="F3664" t="s">
        <v>9089</v>
      </c>
      <c r="G3664" s="712">
        <v>0</v>
      </c>
      <c r="H3664">
        <v>0</v>
      </c>
      <c r="I3664" s="713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</row>
    <row r="3665" spans="1:16">
      <c r="A3665">
        <v>5</v>
      </c>
      <c r="B3665" t="s">
        <v>12699</v>
      </c>
      <c r="C3665" t="s">
        <v>12700</v>
      </c>
      <c r="D3665" t="s">
        <v>12704</v>
      </c>
      <c r="E3665" t="s">
        <v>9091</v>
      </c>
      <c r="F3665" t="s">
        <v>9092</v>
      </c>
      <c r="G3665" s="712">
        <v>0</v>
      </c>
      <c r="H3665">
        <v>0</v>
      </c>
      <c r="I3665" s="713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</row>
    <row r="3666" spans="1:16">
      <c r="A3666">
        <v>5</v>
      </c>
      <c r="B3666" t="s">
        <v>12699</v>
      </c>
      <c r="C3666" t="s">
        <v>12700</v>
      </c>
      <c r="D3666" t="s">
        <v>12704</v>
      </c>
      <c r="E3666" t="s">
        <v>9094</v>
      </c>
      <c r="F3666" t="s">
        <v>9095</v>
      </c>
      <c r="G3666" s="712">
        <v>0</v>
      </c>
      <c r="H3666">
        <v>0</v>
      </c>
      <c r="I3666" s="713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</row>
    <row r="3667" spans="1:16">
      <c r="A3667">
        <v>5</v>
      </c>
      <c r="B3667" t="s">
        <v>12699</v>
      </c>
      <c r="C3667" t="s">
        <v>12700</v>
      </c>
      <c r="D3667" t="s">
        <v>12704</v>
      </c>
      <c r="E3667" t="s">
        <v>9097</v>
      </c>
      <c r="F3667" t="s">
        <v>9098</v>
      </c>
      <c r="G3667" s="712">
        <v>0</v>
      </c>
      <c r="H3667">
        <v>0</v>
      </c>
      <c r="I3667" s="713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</row>
    <row r="3668" spans="1:16">
      <c r="A3668">
        <v>5</v>
      </c>
      <c r="B3668" t="s">
        <v>12699</v>
      </c>
      <c r="C3668" t="s">
        <v>12700</v>
      </c>
      <c r="D3668" t="s">
        <v>12704</v>
      </c>
      <c r="E3668" t="s">
        <v>9100</v>
      </c>
      <c r="F3668" t="s">
        <v>9101</v>
      </c>
      <c r="G3668" s="712">
        <v>0</v>
      </c>
      <c r="H3668">
        <v>0</v>
      </c>
      <c r="I3668" s="713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</row>
    <row r="3669" spans="1:16">
      <c r="A3669">
        <v>5</v>
      </c>
      <c r="B3669" t="s">
        <v>12699</v>
      </c>
      <c r="C3669" t="s">
        <v>12700</v>
      </c>
      <c r="D3669" t="s">
        <v>12704</v>
      </c>
      <c r="E3669" t="s">
        <v>9103</v>
      </c>
      <c r="F3669" t="s">
        <v>9104</v>
      </c>
      <c r="G3669" s="712">
        <v>0</v>
      </c>
      <c r="H3669">
        <v>0</v>
      </c>
      <c r="I3669" s="713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</row>
    <row r="3670" spans="1:16">
      <c r="A3670">
        <v>5</v>
      </c>
      <c r="B3670" t="s">
        <v>12699</v>
      </c>
      <c r="C3670" t="s">
        <v>12700</v>
      </c>
      <c r="D3670" t="s">
        <v>12704</v>
      </c>
      <c r="E3670" t="s">
        <v>9105</v>
      </c>
      <c r="F3670" t="s">
        <v>9106</v>
      </c>
      <c r="G3670" s="712">
        <v>0</v>
      </c>
      <c r="H3670">
        <v>0</v>
      </c>
      <c r="I3670" s="713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</row>
    <row r="3671" spans="1:16">
      <c r="A3671">
        <v>5</v>
      </c>
      <c r="B3671" t="s">
        <v>12699</v>
      </c>
      <c r="C3671" t="s">
        <v>12700</v>
      </c>
      <c r="D3671" t="s">
        <v>12704</v>
      </c>
      <c r="E3671" t="s">
        <v>9107</v>
      </c>
      <c r="F3671" t="s">
        <v>9108</v>
      </c>
      <c r="G3671" s="712">
        <v>0</v>
      </c>
      <c r="H3671">
        <v>0</v>
      </c>
      <c r="I3671" s="713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</row>
    <row r="3672" spans="1:16">
      <c r="A3672">
        <v>5</v>
      </c>
      <c r="B3672" t="s">
        <v>12699</v>
      </c>
      <c r="C3672" t="s">
        <v>12700</v>
      </c>
      <c r="D3672" t="s">
        <v>12704</v>
      </c>
      <c r="E3672" t="s">
        <v>9109</v>
      </c>
      <c r="F3672" t="s">
        <v>9110</v>
      </c>
      <c r="G3672" s="712">
        <v>0</v>
      </c>
      <c r="H3672">
        <v>0</v>
      </c>
      <c r="I3672" s="713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</row>
    <row r="3673" spans="1:16">
      <c r="A3673">
        <v>5</v>
      </c>
      <c r="B3673" t="s">
        <v>12699</v>
      </c>
      <c r="C3673" t="s">
        <v>12700</v>
      </c>
      <c r="D3673" t="s">
        <v>12704</v>
      </c>
      <c r="E3673" t="s">
        <v>9111</v>
      </c>
      <c r="F3673" t="s">
        <v>9112</v>
      </c>
      <c r="G3673" s="712">
        <v>0</v>
      </c>
      <c r="H3673">
        <v>0</v>
      </c>
      <c r="I3673" s="71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</row>
    <row r="3674" spans="1:16">
      <c r="A3674">
        <v>5</v>
      </c>
      <c r="B3674" t="s">
        <v>12699</v>
      </c>
      <c r="C3674" t="s">
        <v>12700</v>
      </c>
      <c r="D3674" t="s">
        <v>12704</v>
      </c>
      <c r="E3674" t="s">
        <v>9113</v>
      </c>
      <c r="F3674" t="s">
        <v>9114</v>
      </c>
      <c r="G3674" s="712">
        <v>0</v>
      </c>
      <c r="H3674">
        <v>0</v>
      </c>
      <c r="I3674" s="713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</row>
    <row r="3675" spans="1:16">
      <c r="A3675">
        <v>5</v>
      </c>
      <c r="B3675" t="s">
        <v>12699</v>
      </c>
      <c r="C3675" t="s">
        <v>12700</v>
      </c>
      <c r="D3675" t="s">
        <v>12704</v>
      </c>
      <c r="E3675" t="s">
        <v>9115</v>
      </c>
      <c r="F3675" t="s">
        <v>9116</v>
      </c>
      <c r="G3675" s="712">
        <v>0</v>
      </c>
      <c r="H3675">
        <v>0</v>
      </c>
      <c r="I3675" s="713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</row>
    <row r="3676" spans="1:16">
      <c r="A3676">
        <v>5</v>
      </c>
      <c r="B3676" t="s">
        <v>12699</v>
      </c>
      <c r="C3676" t="s">
        <v>12700</v>
      </c>
      <c r="D3676" t="s">
        <v>12704</v>
      </c>
      <c r="E3676" t="s">
        <v>9117</v>
      </c>
      <c r="F3676" t="s">
        <v>9118</v>
      </c>
      <c r="G3676" s="712">
        <v>0</v>
      </c>
      <c r="H3676">
        <v>0</v>
      </c>
      <c r="I3676" s="713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</row>
    <row r="3677" spans="1:16">
      <c r="A3677">
        <v>5</v>
      </c>
      <c r="B3677" t="s">
        <v>12699</v>
      </c>
      <c r="C3677" t="s">
        <v>12700</v>
      </c>
      <c r="D3677" t="s">
        <v>12704</v>
      </c>
      <c r="E3677" t="s">
        <v>9120</v>
      </c>
      <c r="F3677" t="s">
        <v>9121</v>
      </c>
      <c r="G3677" s="712">
        <v>0</v>
      </c>
      <c r="H3677">
        <v>0</v>
      </c>
      <c r="I3677" s="713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</row>
    <row r="3678" spans="1:16">
      <c r="A3678">
        <v>5</v>
      </c>
      <c r="B3678" t="s">
        <v>12699</v>
      </c>
      <c r="C3678" t="s">
        <v>12700</v>
      </c>
      <c r="D3678" t="s">
        <v>12704</v>
      </c>
      <c r="E3678" t="s">
        <v>9123</v>
      </c>
      <c r="F3678" t="s">
        <v>9124</v>
      </c>
      <c r="G3678" s="712">
        <v>0</v>
      </c>
      <c r="H3678">
        <v>0</v>
      </c>
      <c r="I3678" s="713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</row>
    <row r="3679" spans="1:16">
      <c r="A3679">
        <v>5</v>
      </c>
      <c r="B3679" t="s">
        <v>12699</v>
      </c>
      <c r="C3679" t="s">
        <v>12700</v>
      </c>
      <c r="D3679" t="s">
        <v>12704</v>
      </c>
      <c r="E3679" t="s">
        <v>9125</v>
      </c>
      <c r="F3679" t="s">
        <v>9126</v>
      </c>
      <c r="G3679" s="712">
        <v>0</v>
      </c>
      <c r="H3679">
        <v>0</v>
      </c>
      <c r="I3679" s="713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</row>
    <row r="3680" spans="1:16">
      <c r="A3680">
        <v>5</v>
      </c>
      <c r="B3680" t="s">
        <v>12699</v>
      </c>
      <c r="C3680" t="s">
        <v>12700</v>
      </c>
      <c r="D3680" t="s">
        <v>12704</v>
      </c>
      <c r="E3680" t="s">
        <v>9127</v>
      </c>
      <c r="F3680" t="s">
        <v>9128</v>
      </c>
      <c r="G3680" s="712">
        <v>0</v>
      </c>
      <c r="H3680">
        <v>0</v>
      </c>
      <c r="I3680" s="713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</row>
    <row r="3681" spans="1:16">
      <c r="A3681">
        <v>5</v>
      </c>
      <c r="B3681" t="s">
        <v>12699</v>
      </c>
      <c r="C3681" t="s">
        <v>12700</v>
      </c>
      <c r="D3681" t="s">
        <v>12704</v>
      </c>
      <c r="E3681" t="s">
        <v>9129</v>
      </c>
      <c r="F3681" t="s">
        <v>9130</v>
      </c>
      <c r="G3681" s="712">
        <v>0</v>
      </c>
      <c r="H3681">
        <v>0</v>
      </c>
      <c r="I3681" s="713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</row>
    <row r="3682" spans="1:16">
      <c r="A3682">
        <v>5</v>
      </c>
      <c r="B3682" t="s">
        <v>12699</v>
      </c>
      <c r="C3682" t="s">
        <v>12700</v>
      </c>
      <c r="D3682" t="s">
        <v>12704</v>
      </c>
      <c r="E3682" t="s">
        <v>9131</v>
      </c>
      <c r="F3682" t="s">
        <v>9132</v>
      </c>
      <c r="G3682" s="712">
        <v>0</v>
      </c>
      <c r="H3682">
        <v>0</v>
      </c>
      <c r="I3682" s="713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</row>
    <row r="3683" spans="1:16">
      <c r="A3683">
        <v>5</v>
      </c>
      <c r="B3683" t="s">
        <v>12699</v>
      </c>
      <c r="C3683" t="s">
        <v>12700</v>
      </c>
      <c r="D3683" t="s">
        <v>12704</v>
      </c>
      <c r="E3683" t="s">
        <v>9133</v>
      </c>
      <c r="F3683" t="s">
        <v>9134</v>
      </c>
      <c r="G3683" s="712">
        <v>0</v>
      </c>
      <c r="H3683">
        <v>0</v>
      </c>
      <c r="I3683" s="71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</row>
    <row r="3684" spans="1:16">
      <c r="A3684">
        <v>5</v>
      </c>
      <c r="B3684" t="s">
        <v>12699</v>
      </c>
      <c r="C3684" t="s">
        <v>12700</v>
      </c>
      <c r="D3684" t="s">
        <v>12704</v>
      </c>
      <c r="E3684" t="s">
        <v>9135</v>
      </c>
      <c r="F3684" t="s">
        <v>9136</v>
      </c>
      <c r="G3684" s="712">
        <v>0</v>
      </c>
      <c r="H3684">
        <v>0</v>
      </c>
      <c r="I3684" s="713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</row>
    <row r="3685" spans="1:16">
      <c r="A3685">
        <v>5</v>
      </c>
      <c r="B3685" t="s">
        <v>12699</v>
      </c>
      <c r="C3685" t="s">
        <v>12700</v>
      </c>
      <c r="D3685" t="s">
        <v>12704</v>
      </c>
      <c r="E3685" t="s">
        <v>9137</v>
      </c>
      <c r="F3685" t="s">
        <v>9138</v>
      </c>
      <c r="G3685" s="712">
        <v>0</v>
      </c>
      <c r="H3685">
        <v>0</v>
      </c>
      <c r="I3685" s="713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</row>
    <row r="3686" spans="1:16">
      <c r="A3686">
        <v>5</v>
      </c>
      <c r="B3686" t="s">
        <v>12699</v>
      </c>
      <c r="C3686" t="s">
        <v>12700</v>
      </c>
      <c r="D3686" t="s">
        <v>12704</v>
      </c>
      <c r="E3686" t="s">
        <v>9139</v>
      </c>
      <c r="F3686" t="s">
        <v>9140</v>
      </c>
      <c r="G3686" s="712">
        <v>0</v>
      </c>
      <c r="H3686">
        <v>0</v>
      </c>
      <c r="I3686" s="713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</row>
    <row r="3687" spans="1:16">
      <c r="A3687">
        <v>5</v>
      </c>
      <c r="B3687" t="s">
        <v>12699</v>
      </c>
      <c r="C3687" t="s">
        <v>12700</v>
      </c>
      <c r="D3687" t="s">
        <v>12704</v>
      </c>
      <c r="E3687" t="s">
        <v>9141</v>
      </c>
      <c r="F3687" t="s">
        <v>9142</v>
      </c>
      <c r="G3687" s="712">
        <v>0</v>
      </c>
      <c r="H3687">
        <v>0</v>
      </c>
      <c r="I3687" s="713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</row>
    <row r="3688" spans="1:16">
      <c r="A3688">
        <v>5</v>
      </c>
      <c r="B3688" t="s">
        <v>12699</v>
      </c>
      <c r="C3688" t="s">
        <v>12700</v>
      </c>
      <c r="D3688" t="s">
        <v>12704</v>
      </c>
      <c r="E3688" t="s">
        <v>9143</v>
      </c>
      <c r="F3688" t="s">
        <v>9144</v>
      </c>
      <c r="G3688" s="712">
        <v>0</v>
      </c>
      <c r="H3688">
        <v>0</v>
      </c>
      <c r="I3688" s="713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</row>
    <row r="3689" spans="1:16" ht="15.75" thickBot="1">
      <c r="A3689">
        <v>5</v>
      </c>
      <c r="B3689" t="s">
        <v>12699</v>
      </c>
      <c r="C3689" t="s">
        <v>12700</v>
      </c>
      <c r="D3689" t="s">
        <v>12704</v>
      </c>
      <c r="E3689" t="s">
        <v>9145</v>
      </c>
      <c r="F3689" t="s">
        <v>9146</v>
      </c>
      <c r="G3689" s="712">
        <v>0</v>
      </c>
      <c r="H3689">
        <v>0</v>
      </c>
      <c r="I3689" s="713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</row>
    <row r="3690" spans="1:16" ht="15.75" thickBot="1">
      <c r="A3690" s="727">
        <v>5</v>
      </c>
      <c r="B3690" s="727" t="s">
        <v>12699</v>
      </c>
      <c r="C3690" s="727" t="s">
        <v>12700</v>
      </c>
      <c r="D3690" s="727" t="s">
        <v>12706</v>
      </c>
      <c r="E3690" s="727"/>
      <c r="F3690" s="729" t="s">
        <v>9150</v>
      </c>
      <c r="G3690" s="738">
        <v>0</v>
      </c>
      <c r="H3690" s="738">
        <v>0</v>
      </c>
      <c r="I3690" s="738">
        <v>0</v>
      </c>
      <c r="J3690" s="738">
        <v>0</v>
      </c>
      <c r="K3690" s="738">
        <v>0</v>
      </c>
      <c r="L3690" s="738">
        <v>0</v>
      </c>
      <c r="M3690" s="738">
        <v>0</v>
      </c>
      <c r="N3690" s="738">
        <v>0</v>
      </c>
      <c r="O3690" s="738">
        <v>0</v>
      </c>
      <c r="P3690" s="738">
        <v>0</v>
      </c>
    </row>
    <row r="3691" spans="1:16">
      <c r="A3691">
        <v>5</v>
      </c>
      <c r="B3691" t="s">
        <v>12699</v>
      </c>
      <c r="C3691" t="s">
        <v>12700</v>
      </c>
      <c r="D3691" t="s">
        <v>12706</v>
      </c>
      <c r="E3691" t="s">
        <v>9149</v>
      </c>
      <c r="F3691" t="s">
        <v>9150</v>
      </c>
      <c r="G3691" s="712">
        <v>0</v>
      </c>
      <c r="H3691">
        <v>0</v>
      </c>
      <c r="I3691" s="713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</row>
    <row r="3692" spans="1:16">
      <c r="A3692">
        <v>5</v>
      </c>
      <c r="B3692" t="s">
        <v>12699</v>
      </c>
      <c r="C3692" t="s">
        <v>12700</v>
      </c>
      <c r="D3692" t="s">
        <v>12706</v>
      </c>
      <c r="E3692" t="s">
        <v>9151</v>
      </c>
      <c r="F3692" t="s">
        <v>9152</v>
      </c>
      <c r="G3692" s="712">
        <v>0</v>
      </c>
      <c r="H3692">
        <v>0</v>
      </c>
      <c r="I3692" s="713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</row>
    <row r="3693" spans="1:16">
      <c r="A3693">
        <v>5</v>
      </c>
      <c r="B3693" t="s">
        <v>12699</v>
      </c>
      <c r="C3693" t="s">
        <v>12700</v>
      </c>
      <c r="D3693" t="s">
        <v>12706</v>
      </c>
      <c r="E3693" t="s">
        <v>9153</v>
      </c>
      <c r="F3693" t="s">
        <v>9154</v>
      </c>
      <c r="G3693" s="712">
        <v>0</v>
      </c>
      <c r="H3693">
        <v>0</v>
      </c>
      <c r="I3693" s="71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</row>
    <row r="3694" spans="1:16">
      <c r="A3694">
        <v>5</v>
      </c>
      <c r="B3694" t="s">
        <v>12699</v>
      </c>
      <c r="C3694" t="s">
        <v>12700</v>
      </c>
      <c r="D3694" t="s">
        <v>12706</v>
      </c>
      <c r="E3694" t="s">
        <v>9155</v>
      </c>
      <c r="F3694" t="s">
        <v>9156</v>
      </c>
      <c r="G3694" s="712">
        <v>0</v>
      </c>
      <c r="H3694">
        <v>0</v>
      </c>
      <c r="I3694" s="713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</row>
    <row r="3695" spans="1:16">
      <c r="A3695">
        <v>5</v>
      </c>
      <c r="B3695" t="s">
        <v>12699</v>
      </c>
      <c r="C3695" t="s">
        <v>12700</v>
      </c>
      <c r="D3695" t="s">
        <v>12706</v>
      </c>
      <c r="E3695" t="s">
        <v>9157</v>
      </c>
      <c r="F3695" t="s">
        <v>9158</v>
      </c>
      <c r="G3695" s="712">
        <v>0</v>
      </c>
      <c r="H3695">
        <v>0</v>
      </c>
      <c r="I3695" s="713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</row>
    <row r="3696" spans="1:16">
      <c r="A3696">
        <v>5</v>
      </c>
      <c r="B3696" t="s">
        <v>12699</v>
      </c>
      <c r="C3696" t="s">
        <v>12700</v>
      </c>
      <c r="D3696" t="s">
        <v>12706</v>
      </c>
      <c r="E3696" t="s">
        <v>9159</v>
      </c>
      <c r="F3696" t="s">
        <v>9160</v>
      </c>
      <c r="G3696" s="712">
        <v>0</v>
      </c>
      <c r="H3696">
        <v>0</v>
      </c>
      <c r="I3696" s="713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</row>
    <row r="3697" spans="1:16">
      <c r="A3697">
        <v>5</v>
      </c>
      <c r="B3697" t="s">
        <v>12699</v>
      </c>
      <c r="C3697" t="s">
        <v>12700</v>
      </c>
      <c r="D3697" t="s">
        <v>12706</v>
      </c>
      <c r="E3697" t="s">
        <v>9161</v>
      </c>
      <c r="F3697" t="s">
        <v>9162</v>
      </c>
      <c r="G3697" s="712">
        <v>0</v>
      </c>
      <c r="H3697">
        <v>0</v>
      </c>
      <c r="I3697" s="713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</row>
    <row r="3698" spans="1:16">
      <c r="A3698">
        <v>5</v>
      </c>
      <c r="B3698" t="s">
        <v>12699</v>
      </c>
      <c r="C3698" t="s">
        <v>12700</v>
      </c>
      <c r="D3698" t="s">
        <v>12706</v>
      </c>
      <c r="E3698" t="s">
        <v>9163</v>
      </c>
      <c r="F3698" t="s">
        <v>9164</v>
      </c>
      <c r="G3698" s="712">
        <v>0</v>
      </c>
      <c r="H3698">
        <v>0</v>
      </c>
      <c r="I3698" s="713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</row>
    <row r="3699" spans="1:16">
      <c r="A3699">
        <v>5</v>
      </c>
      <c r="B3699" t="s">
        <v>12699</v>
      </c>
      <c r="C3699" t="s">
        <v>12700</v>
      </c>
      <c r="D3699" t="s">
        <v>12706</v>
      </c>
      <c r="E3699" t="s">
        <v>9165</v>
      </c>
      <c r="F3699" t="s">
        <v>9166</v>
      </c>
      <c r="G3699" s="712">
        <v>0</v>
      </c>
      <c r="H3699">
        <v>0</v>
      </c>
      <c r="I3699" s="713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</row>
    <row r="3700" spans="1:16">
      <c r="A3700">
        <v>5</v>
      </c>
      <c r="B3700" t="s">
        <v>12699</v>
      </c>
      <c r="C3700" t="s">
        <v>12700</v>
      </c>
      <c r="D3700" t="s">
        <v>12706</v>
      </c>
      <c r="E3700" t="s">
        <v>9167</v>
      </c>
      <c r="F3700" t="s">
        <v>9168</v>
      </c>
      <c r="G3700" s="712">
        <v>0</v>
      </c>
      <c r="H3700">
        <v>0</v>
      </c>
      <c r="I3700" s="713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</row>
    <row r="3701" spans="1:16">
      <c r="A3701">
        <v>5</v>
      </c>
      <c r="B3701" t="s">
        <v>12699</v>
      </c>
      <c r="C3701" t="s">
        <v>12700</v>
      </c>
      <c r="D3701" t="s">
        <v>12706</v>
      </c>
      <c r="E3701" t="s">
        <v>9169</v>
      </c>
      <c r="F3701" t="s">
        <v>9170</v>
      </c>
      <c r="G3701" s="712">
        <v>0</v>
      </c>
      <c r="H3701">
        <v>0</v>
      </c>
      <c r="I3701" s="713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</row>
    <row r="3702" spans="1:16">
      <c r="A3702">
        <v>5</v>
      </c>
      <c r="B3702" t="s">
        <v>12699</v>
      </c>
      <c r="C3702" t="s">
        <v>12700</v>
      </c>
      <c r="D3702" t="s">
        <v>12706</v>
      </c>
      <c r="E3702" t="s">
        <v>9171</v>
      </c>
      <c r="F3702" t="s">
        <v>9172</v>
      </c>
      <c r="G3702" s="712">
        <v>0</v>
      </c>
      <c r="H3702">
        <v>0</v>
      </c>
      <c r="I3702" s="713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</row>
    <row r="3703" spans="1:16">
      <c r="A3703">
        <v>5</v>
      </c>
      <c r="B3703" t="s">
        <v>12699</v>
      </c>
      <c r="C3703" t="s">
        <v>12700</v>
      </c>
      <c r="D3703" t="s">
        <v>12706</v>
      </c>
      <c r="E3703" t="s">
        <v>9173</v>
      </c>
      <c r="F3703" t="s">
        <v>9174</v>
      </c>
      <c r="G3703" s="712">
        <v>0</v>
      </c>
      <c r="H3703">
        <v>0</v>
      </c>
      <c r="I3703" s="71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</row>
    <row r="3704" spans="1:16">
      <c r="A3704">
        <v>5</v>
      </c>
      <c r="B3704" t="s">
        <v>12699</v>
      </c>
      <c r="C3704" t="s">
        <v>12700</v>
      </c>
      <c r="D3704" t="s">
        <v>12706</v>
      </c>
      <c r="E3704" t="s">
        <v>9175</v>
      </c>
      <c r="F3704" t="s">
        <v>9176</v>
      </c>
      <c r="G3704" s="712">
        <v>0</v>
      </c>
      <c r="H3704">
        <v>0</v>
      </c>
      <c r="I3704" s="713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</row>
    <row r="3705" spans="1:16">
      <c r="A3705">
        <v>5</v>
      </c>
      <c r="B3705" t="s">
        <v>12699</v>
      </c>
      <c r="C3705" t="s">
        <v>12700</v>
      </c>
      <c r="D3705" t="s">
        <v>12706</v>
      </c>
      <c r="E3705" t="s">
        <v>9177</v>
      </c>
      <c r="F3705" t="s">
        <v>9178</v>
      </c>
      <c r="G3705" s="712">
        <v>0</v>
      </c>
      <c r="H3705">
        <v>0</v>
      </c>
      <c r="I3705" s="713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</row>
    <row r="3706" spans="1:16">
      <c r="A3706">
        <v>5</v>
      </c>
      <c r="B3706" t="s">
        <v>12699</v>
      </c>
      <c r="C3706" t="s">
        <v>12700</v>
      </c>
      <c r="D3706" t="s">
        <v>12706</v>
      </c>
      <c r="E3706" t="s">
        <v>9179</v>
      </c>
      <c r="F3706" t="s">
        <v>9180</v>
      </c>
      <c r="G3706" s="712">
        <v>0</v>
      </c>
      <c r="H3706">
        <v>0</v>
      </c>
      <c r="I3706" s="713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</row>
    <row r="3707" spans="1:16">
      <c r="A3707">
        <v>5</v>
      </c>
      <c r="B3707" t="s">
        <v>12699</v>
      </c>
      <c r="C3707" t="s">
        <v>12700</v>
      </c>
      <c r="D3707" t="s">
        <v>12706</v>
      </c>
      <c r="E3707" t="s">
        <v>9181</v>
      </c>
      <c r="F3707" t="s">
        <v>9182</v>
      </c>
      <c r="G3707" s="712">
        <v>0</v>
      </c>
      <c r="H3707">
        <v>0</v>
      </c>
      <c r="I3707" s="713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</row>
    <row r="3708" spans="1:16" ht="15.75" thickBot="1">
      <c r="A3708">
        <v>5</v>
      </c>
      <c r="B3708" t="s">
        <v>12699</v>
      </c>
      <c r="C3708" t="s">
        <v>12700</v>
      </c>
      <c r="D3708" t="s">
        <v>12706</v>
      </c>
      <c r="E3708" t="s">
        <v>9183</v>
      </c>
      <c r="F3708" t="s">
        <v>9184</v>
      </c>
      <c r="G3708" s="712">
        <v>0</v>
      </c>
      <c r="H3708">
        <v>0</v>
      </c>
      <c r="I3708" s="713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</row>
    <row r="3709" spans="1:16" ht="15.75" thickBot="1">
      <c r="A3709" s="727">
        <v>5</v>
      </c>
      <c r="B3709" s="727" t="s">
        <v>12699</v>
      </c>
      <c r="C3709" s="727" t="s">
        <v>12707</v>
      </c>
      <c r="D3709" s="727"/>
      <c r="E3709" s="727"/>
      <c r="F3709" s="745" t="s">
        <v>12708</v>
      </c>
      <c r="G3709" s="738">
        <v>0</v>
      </c>
      <c r="H3709" s="738">
        <v>0</v>
      </c>
      <c r="I3709" s="738">
        <v>0</v>
      </c>
      <c r="J3709" s="739">
        <v>3943639.33</v>
      </c>
      <c r="K3709" s="739">
        <v>306269.8</v>
      </c>
      <c r="L3709" s="738">
        <v>0</v>
      </c>
      <c r="M3709" s="738">
        <v>0</v>
      </c>
      <c r="N3709" s="739">
        <v>3943639.33</v>
      </c>
      <c r="O3709" s="739">
        <v>306269.8</v>
      </c>
      <c r="P3709" s="739">
        <v>3637369.53</v>
      </c>
    </row>
    <row r="3710" spans="1:16" ht="15.75" thickBot="1">
      <c r="A3710" s="727">
        <v>5</v>
      </c>
      <c r="B3710" s="727" t="s">
        <v>12699</v>
      </c>
      <c r="C3710" s="727" t="s">
        <v>12707</v>
      </c>
      <c r="D3710" s="727" t="s">
        <v>12709</v>
      </c>
      <c r="E3710" s="727"/>
      <c r="F3710" s="729" t="s">
        <v>12710</v>
      </c>
      <c r="G3710" s="738">
        <v>0</v>
      </c>
      <c r="H3710" s="738">
        <v>0</v>
      </c>
      <c r="I3710" s="738">
        <v>0</v>
      </c>
      <c r="J3710" s="739">
        <v>3858823.23</v>
      </c>
      <c r="K3710" s="739">
        <v>306269.8</v>
      </c>
      <c r="L3710" s="738">
        <v>0</v>
      </c>
      <c r="M3710" s="738">
        <v>0</v>
      </c>
      <c r="N3710" s="739">
        <v>3858823.23</v>
      </c>
      <c r="O3710" s="739">
        <v>306269.8</v>
      </c>
      <c r="P3710" s="739">
        <v>3552553.43</v>
      </c>
    </row>
    <row r="3711" spans="1:16">
      <c r="A3711">
        <v>5</v>
      </c>
      <c r="B3711" t="s">
        <v>12699</v>
      </c>
      <c r="C3711" t="s">
        <v>12707</v>
      </c>
      <c r="D3711" t="s">
        <v>12709</v>
      </c>
      <c r="E3711" t="s">
        <v>9189</v>
      </c>
      <c r="F3711" t="s">
        <v>9190</v>
      </c>
      <c r="G3711" s="712">
        <v>0</v>
      </c>
      <c r="H3711">
        <v>0</v>
      </c>
      <c r="I3711" s="713">
        <v>0</v>
      </c>
      <c r="J3711" s="711">
        <v>1741009.16</v>
      </c>
      <c r="K3711" s="711">
        <v>72929.070000000007</v>
      </c>
      <c r="L3711">
        <v>0</v>
      </c>
      <c r="M3711">
        <v>0</v>
      </c>
      <c r="N3711" s="711">
        <v>1741009.16</v>
      </c>
      <c r="O3711" s="711">
        <v>72929.070000000007</v>
      </c>
      <c r="P3711" s="711">
        <v>1668080.09</v>
      </c>
    </row>
    <row r="3712" spans="1:16">
      <c r="A3712">
        <v>5</v>
      </c>
      <c r="B3712" t="s">
        <v>12699</v>
      </c>
      <c r="C3712" t="s">
        <v>12707</v>
      </c>
      <c r="D3712" t="s">
        <v>12709</v>
      </c>
      <c r="E3712" t="s">
        <v>9192</v>
      </c>
      <c r="F3712" t="s">
        <v>9193</v>
      </c>
      <c r="G3712" s="712">
        <v>0</v>
      </c>
      <c r="H3712">
        <v>0</v>
      </c>
      <c r="I3712" s="713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</row>
    <row r="3713" spans="1:16">
      <c r="A3713">
        <v>5</v>
      </c>
      <c r="B3713" t="s">
        <v>12699</v>
      </c>
      <c r="C3713" t="s">
        <v>12707</v>
      </c>
      <c r="D3713" t="s">
        <v>12709</v>
      </c>
      <c r="E3713" t="s">
        <v>12711</v>
      </c>
      <c r="F3713" t="s">
        <v>12712</v>
      </c>
      <c r="G3713" s="712">
        <v>0</v>
      </c>
      <c r="H3713">
        <v>0</v>
      </c>
      <c r="I3713" s="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</row>
    <row r="3714" spans="1:16">
      <c r="A3714">
        <v>5</v>
      </c>
      <c r="B3714" t="s">
        <v>12699</v>
      </c>
      <c r="C3714" t="s">
        <v>12707</v>
      </c>
      <c r="D3714" t="s">
        <v>12709</v>
      </c>
      <c r="E3714" t="s">
        <v>12713</v>
      </c>
      <c r="F3714" t="s">
        <v>12714</v>
      </c>
      <c r="G3714" s="712">
        <v>0</v>
      </c>
      <c r="H3714">
        <v>0</v>
      </c>
      <c r="I3714" s="713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</row>
    <row r="3715" spans="1:16">
      <c r="A3715">
        <v>5</v>
      </c>
      <c r="B3715" t="s">
        <v>12699</v>
      </c>
      <c r="C3715" t="s">
        <v>12707</v>
      </c>
      <c r="D3715" t="s">
        <v>12709</v>
      </c>
      <c r="E3715" t="s">
        <v>12715</v>
      </c>
      <c r="F3715" t="s">
        <v>12716</v>
      </c>
      <c r="G3715" s="712">
        <v>0</v>
      </c>
      <c r="H3715">
        <v>0</v>
      </c>
      <c r="I3715" s="713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</row>
    <row r="3716" spans="1:16">
      <c r="A3716">
        <v>5</v>
      </c>
      <c r="B3716" t="s">
        <v>12699</v>
      </c>
      <c r="C3716" t="s">
        <v>12707</v>
      </c>
      <c r="D3716" t="s">
        <v>12709</v>
      </c>
      <c r="E3716" t="s">
        <v>9195</v>
      </c>
      <c r="F3716" t="s">
        <v>9196</v>
      </c>
      <c r="G3716" s="712">
        <v>0</v>
      </c>
      <c r="H3716">
        <v>0</v>
      </c>
      <c r="I3716" s="713">
        <v>0</v>
      </c>
      <c r="J3716" s="711">
        <v>669078.85</v>
      </c>
      <c r="K3716">
        <v>0</v>
      </c>
      <c r="L3716">
        <v>0</v>
      </c>
      <c r="M3716">
        <v>0</v>
      </c>
      <c r="N3716" s="711">
        <v>669078.85</v>
      </c>
      <c r="O3716">
        <v>0</v>
      </c>
      <c r="P3716" s="711">
        <v>669078.85</v>
      </c>
    </row>
    <row r="3717" spans="1:16">
      <c r="A3717">
        <v>5</v>
      </c>
      <c r="B3717" t="s">
        <v>12699</v>
      </c>
      <c r="C3717" t="s">
        <v>12707</v>
      </c>
      <c r="D3717" t="s">
        <v>12709</v>
      </c>
      <c r="E3717" t="s">
        <v>9198</v>
      </c>
      <c r="F3717" t="s">
        <v>9199</v>
      </c>
      <c r="G3717" s="712">
        <v>0</v>
      </c>
      <c r="H3717">
        <v>0</v>
      </c>
      <c r="I3717" s="713">
        <v>0</v>
      </c>
      <c r="J3717" s="711">
        <v>84461.35</v>
      </c>
      <c r="K3717">
        <v>0</v>
      </c>
      <c r="L3717">
        <v>0</v>
      </c>
      <c r="M3717">
        <v>0</v>
      </c>
      <c r="N3717" s="711">
        <v>84461.35</v>
      </c>
      <c r="O3717">
        <v>0</v>
      </c>
      <c r="P3717" s="711">
        <v>84461.35</v>
      </c>
    </row>
    <row r="3718" spans="1:16">
      <c r="A3718">
        <v>5</v>
      </c>
      <c r="B3718" t="s">
        <v>12699</v>
      </c>
      <c r="C3718" t="s">
        <v>12707</v>
      </c>
      <c r="D3718" t="s">
        <v>12709</v>
      </c>
      <c r="E3718" t="s">
        <v>9200</v>
      </c>
      <c r="F3718" t="s">
        <v>9201</v>
      </c>
      <c r="G3718" s="712">
        <v>0</v>
      </c>
      <c r="H3718">
        <v>0</v>
      </c>
      <c r="I3718" s="713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</row>
    <row r="3719" spans="1:16">
      <c r="A3719">
        <v>5</v>
      </c>
      <c r="B3719" t="s">
        <v>12699</v>
      </c>
      <c r="C3719" t="s">
        <v>12707</v>
      </c>
      <c r="D3719" t="s">
        <v>12709</v>
      </c>
      <c r="E3719" t="s">
        <v>9202</v>
      </c>
      <c r="F3719" t="s">
        <v>9203</v>
      </c>
      <c r="G3719" s="712">
        <v>0</v>
      </c>
      <c r="H3719">
        <v>0</v>
      </c>
      <c r="I3719" s="713">
        <v>0</v>
      </c>
      <c r="J3719">
        <v>215.54</v>
      </c>
      <c r="K3719">
        <v>0</v>
      </c>
      <c r="L3719">
        <v>0</v>
      </c>
      <c r="M3719">
        <v>0</v>
      </c>
      <c r="N3719">
        <v>215.54</v>
      </c>
      <c r="O3719">
        <v>0</v>
      </c>
      <c r="P3719">
        <v>215.54</v>
      </c>
    </row>
    <row r="3720" spans="1:16">
      <c r="A3720">
        <v>5</v>
      </c>
      <c r="B3720" t="s">
        <v>12699</v>
      </c>
      <c r="C3720" t="s">
        <v>12707</v>
      </c>
      <c r="D3720" t="s">
        <v>12709</v>
      </c>
      <c r="E3720" t="s">
        <v>9204</v>
      </c>
      <c r="F3720" t="s">
        <v>9205</v>
      </c>
      <c r="G3720" s="712">
        <v>0</v>
      </c>
      <c r="H3720">
        <v>0</v>
      </c>
      <c r="I3720" s="713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</row>
    <row r="3721" spans="1:16">
      <c r="A3721">
        <v>5</v>
      </c>
      <c r="B3721" t="s">
        <v>12699</v>
      </c>
      <c r="C3721" t="s">
        <v>12707</v>
      </c>
      <c r="D3721" t="s">
        <v>12709</v>
      </c>
      <c r="E3721" t="s">
        <v>9206</v>
      </c>
      <c r="F3721" t="s">
        <v>9207</v>
      </c>
      <c r="G3721" s="712">
        <v>0</v>
      </c>
      <c r="H3721">
        <v>0</v>
      </c>
      <c r="I3721" s="713">
        <v>0</v>
      </c>
      <c r="J3721" s="711">
        <v>12233.07</v>
      </c>
      <c r="K3721">
        <v>0</v>
      </c>
      <c r="L3721">
        <v>0</v>
      </c>
      <c r="M3721">
        <v>0</v>
      </c>
      <c r="N3721" s="711">
        <v>12233.07</v>
      </c>
      <c r="O3721">
        <v>0</v>
      </c>
      <c r="P3721" s="711">
        <v>12233.07</v>
      </c>
    </row>
    <row r="3722" spans="1:16">
      <c r="A3722">
        <v>5</v>
      </c>
      <c r="B3722" t="s">
        <v>12699</v>
      </c>
      <c r="C3722" t="s">
        <v>12707</v>
      </c>
      <c r="D3722" t="s">
        <v>12709</v>
      </c>
      <c r="E3722" t="s">
        <v>9208</v>
      </c>
      <c r="F3722" t="s">
        <v>9209</v>
      </c>
      <c r="G3722" s="712">
        <v>0</v>
      </c>
      <c r="H3722">
        <v>0</v>
      </c>
      <c r="I3722" s="713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</row>
    <row r="3723" spans="1:16">
      <c r="A3723">
        <v>5</v>
      </c>
      <c r="B3723" t="s">
        <v>12699</v>
      </c>
      <c r="C3723" t="s">
        <v>12707</v>
      </c>
      <c r="D3723" t="s">
        <v>12709</v>
      </c>
      <c r="E3723" t="s">
        <v>9210</v>
      </c>
      <c r="F3723" t="s">
        <v>9211</v>
      </c>
      <c r="G3723" s="712">
        <v>0</v>
      </c>
      <c r="H3723">
        <v>0</v>
      </c>
      <c r="I3723" s="713">
        <v>0</v>
      </c>
      <c r="J3723">
        <v>10.99</v>
      </c>
      <c r="K3723">
        <v>0.2</v>
      </c>
      <c r="L3723">
        <v>0</v>
      </c>
      <c r="M3723">
        <v>0</v>
      </c>
      <c r="N3723">
        <v>10.99</v>
      </c>
      <c r="O3723">
        <v>0.2</v>
      </c>
      <c r="P3723">
        <v>10.79</v>
      </c>
    </row>
    <row r="3724" spans="1:16">
      <c r="A3724">
        <v>5</v>
      </c>
      <c r="B3724" t="s">
        <v>12699</v>
      </c>
      <c r="C3724" t="s">
        <v>12707</v>
      </c>
      <c r="D3724" t="s">
        <v>12709</v>
      </c>
      <c r="E3724" t="s">
        <v>9212</v>
      </c>
      <c r="F3724" t="s">
        <v>9213</v>
      </c>
      <c r="G3724" s="712">
        <v>0</v>
      </c>
      <c r="H3724">
        <v>0</v>
      </c>
      <c r="I3724" s="713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</row>
    <row r="3725" spans="1:16">
      <c r="A3725">
        <v>5</v>
      </c>
      <c r="B3725" t="s">
        <v>12699</v>
      </c>
      <c r="C3725" t="s">
        <v>12707</v>
      </c>
      <c r="D3725" t="s">
        <v>12709</v>
      </c>
      <c r="E3725" t="s">
        <v>9215</v>
      </c>
      <c r="F3725" t="s">
        <v>9216</v>
      </c>
      <c r="G3725" s="712">
        <v>0</v>
      </c>
      <c r="H3725">
        <v>0</v>
      </c>
      <c r="I3725" s="713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</row>
    <row r="3726" spans="1:16">
      <c r="A3726">
        <v>5</v>
      </c>
      <c r="B3726" t="s">
        <v>12699</v>
      </c>
      <c r="C3726" t="s">
        <v>12707</v>
      </c>
      <c r="D3726" t="s">
        <v>12709</v>
      </c>
      <c r="E3726" t="s">
        <v>9218</v>
      </c>
      <c r="F3726" t="s">
        <v>9219</v>
      </c>
      <c r="G3726" s="712">
        <v>0</v>
      </c>
      <c r="H3726">
        <v>0</v>
      </c>
      <c r="I3726" s="713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</row>
    <row r="3727" spans="1:16">
      <c r="A3727">
        <v>5</v>
      </c>
      <c r="B3727" t="s">
        <v>12699</v>
      </c>
      <c r="C3727" t="s">
        <v>12707</v>
      </c>
      <c r="D3727" t="s">
        <v>12709</v>
      </c>
      <c r="E3727" t="s">
        <v>9221</v>
      </c>
      <c r="F3727" t="s">
        <v>9222</v>
      </c>
      <c r="G3727" s="712">
        <v>0</v>
      </c>
      <c r="H3727">
        <v>0</v>
      </c>
      <c r="I3727" s="713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</row>
    <row r="3728" spans="1:16">
      <c r="A3728">
        <v>5</v>
      </c>
      <c r="B3728" t="s">
        <v>12699</v>
      </c>
      <c r="C3728" t="s">
        <v>12707</v>
      </c>
      <c r="D3728" t="s">
        <v>12709</v>
      </c>
      <c r="E3728" t="s">
        <v>9224</v>
      </c>
      <c r="F3728" t="s">
        <v>9225</v>
      </c>
      <c r="G3728" s="712">
        <v>0</v>
      </c>
      <c r="H3728">
        <v>0</v>
      </c>
      <c r="I3728" s="713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</row>
    <row r="3729" spans="1:16">
      <c r="A3729">
        <v>5</v>
      </c>
      <c r="B3729" t="s">
        <v>12699</v>
      </c>
      <c r="C3729" t="s">
        <v>12707</v>
      </c>
      <c r="D3729" t="s">
        <v>12709</v>
      </c>
      <c r="E3729" t="s">
        <v>9226</v>
      </c>
      <c r="F3729" t="s">
        <v>9227</v>
      </c>
      <c r="G3729" s="712">
        <v>0</v>
      </c>
      <c r="H3729">
        <v>0</v>
      </c>
      <c r="I3729" s="713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</row>
    <row r="3730" spans="1:16">
      <c r="A3730">
        <v>5</v>
      </c>
      <c r="B3730" t="s">
        <v>12699</v>
      </c>
      <c r="C3730" t="s">
        <v>12707</v>
      </c>
      <c r="D3730" t="s">
        <v>12709</v>
      </c>
      <c r="E3730" t="s">
        <v>9228</v>
      </c>
      <c r="F3730" t="s">
        <v>9229</v>
      </c>
      <c r="G3730" s="712">
        <v>0</v>
      </c>
      <c r="H3730">
        <v>0</v>
      </c>
      <c r="I3730" s="713">
        <v>0</v>
      </c>
      <c r="J3730">
        <v>0.03</v>
      </c>
      <c r="K3730">
        <v>0</v>
      </c>
      <c r="L3730">
        <v>0</v>
      </c>
      <c r="M3730">
        <v>0</v>
      </c>
      <c r="N3730">
        <v>0.03</v>
      </c>
      <c r="O3730">
        <v>0</v>
      </c>
      <c r="P3730">
        <v>0.03</v>
      </c>
    </row>
    <row r="3731" spans="1:16">
      <c r="A3731">
        <v>5</v>
      </c>
      <c r="B3731" t="s">
        <v>12699</v>
      </c>
      <c r="C3731" t="s">
        <v>12707</v>
      </c>
      <c r="D3731" t="s">
        <v>12709</v>
      </c>
      <c r="E3731" t="s">
        <v>9230</v>
      </c>
      <c r="F3731" t="s">
        <v>9231</v>
      </c>
      <c r="G3731" s="712">
        <v>0</v>
      </c>
      <c r="H3731">
        <v>0</v>
      </c>
      <c r="I3731" s="713">
        <v>0</v>
      </c>
      <c r="J3731">
        <v>892.42</v>
      </c>
      <c r="K3731">
        <v>0</v>
      </c>
      <c r="L3731">
        <v>0</v>
      </c>
      <c r="M3731">
        <v>0</v>
      </c>
      <c r="N3731">
        <v>892.42</v>
      </c>
      <c r="O3731">
        <v>0</v>
      </c>
      <c r="P3731">
        <v>892.42</v>
      </c>
    </row>
    <row r="3732" spans="1:16">
      <c r="A3732">
        <v>5</v>
      </c>
      <c r="B3732" t="s">
        <v>12699</v>
      </c>
      <c r="C3732" t="s">
        <v>12707</v>
      </c>
      <c r="D3732" t="s">
        <v>12709</v>
      </c>
      <c r="E3732" t="s">
        <v>12717</v>
      </c>
      <c r="F3732" t="s">
        <v>12718</v>
      </c>
      <c r="G3732" s="712">
        <v>0</v>
      </c>
      <c r="H3732">
        <v>0</v>
      </c>
      <c r="I3732" s="713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</row>
    <row r="3733" spans="1:16">
      <c r="A3733">
        <v>5</v>
      </c>
      <c r="B3733" t="s">
        <v>12699</v>
      </c>
      <c r="C3733" t="s">
        <v>12707</v>
      </c>
      <c r="D3733" t="s">
        <v>12709</v>
      </c>
      <c r="E3733" t="s">
        <v>12719</v>
      </c>
      <c r="F3733" t="s">
        <v>12720</v>
      </c>
      <c r="G3733" s="712">
        <v>0</v>
      </c>
      <c r="H3733">
        <v>0</v>
      </c>
      <c r="I3733" s="71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</row>
    <row r="3734" spans="1:16">
      <c r="A3734">
        <v>5</v>
      </c>
      <c r="B3734" t="s">
        <v>12699</v>
      </c>
      <c r="C3734" t="s">
        <v>12707</v>
      </c>
      <c r="D3734" t="s">
        <v>12709</v>
      </c>
      <c r="E3734" t="s">
        <v>9232</v>
      </c>
      <c r="F3734" t="s">
        <v>9233</v>
      </c>
      <c r="G3734" s="712">
        <v>0</v>
      </c>
      <c r="H3734">
        <v>0</v>
      </c>
      <c r="I3734" s="713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</row>
    <row r="3735" spans="1:16">
      <c r="A3735">
        <v>5</v>
      </c>
      <c r="B3735" t="s">
        <v>12699</v>
      </c>
      <c r="C3735" t="s">
        <v>12707</v>
      </c>
      <c r="D3735" t="s">
        <v>12709</v>
      </c>
      <c r="E3735" t="s">
        <v>9234</v>
      </c>
      <c r="F3735" t="s">
        <v>9235</v>
      </c>
      <c r="G3735" s="712">
        <v>0</v>
      </c>
      <c r="H3735">
        <v>0</v>
      </c>
      <c r="I3735" s="713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</row>
    <row r="3736" spans="1:16">
      <c r="A3736">
        <v>5</v>
      </c>
      <c r="B3736" t="s">
        <v>12699</v>
      </c>
      <c r="C3736" t="s">
        <v>12707</v>
      </c>
      <c r="D3736" t="s">
        <v>12709</v>
      </c>
      <c r="E3736" t="s">
        <v>9236</v>
      </c>
      <c r="F3736" t="s">
        <v>9237</v>
      </c>
      <c r="G3736" s="712">
        <v>0</v>
      </c>
      <c r="H3736">
        <v>0</v>
      </c>
      <c r="I3736" s="713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</row>
    <row r="3737" spans="1:16">
      <c r="A3737">
        <v>5</v>
      </c>
      <c r="B3737" t="s">
        <v>12699</v>
      </c>
      <c r="C3737" t="s">
        <v>12707</v>
      </c>
      <c r="D3737" t="s">
        <v>12709</v>
      </c>
      <c r="E3737" t="s">
        <v>9238</v>
      </c>
      <c r="F3737" t="s">
        <v>9239</v>
      </c>
      <c r="G3737" s="712">
        <v>0</v>
      </c>
      <c r="H3737">
        <v>0</v>
      </c>
      <c r="I3737" s="713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</row>
    <row r="3738" spans="1:16">
      <c r="A3738">
        <v>5</v>
      </c>
      <c r="B3738" t="s">
        <v>12699</v>
      </c>
      <c r="C3738" t="s">
        <v>12707</v>
      </c>
      <c r="D3738" t="s">
        <v>12709</v>
      </c>
      <c r="E3738" t="s">
        <v>9240</v>
      </c>
      <c r="F3738" t="s">
        <v>9241</v>
      </c>
      <c r="G3738" s="712">
        <v>0</v>
      </c>
      <c r="H3738">
        <v>0</v>
      </c>
      <c r="I3738" s="713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</row>
    <row r="3739" spans="1:16">
      <c r="A3739">
        <v>5</v>
      </c>
      <c r="B3739" t="s">
        <v>12699</v>
      </c>
      <c r="C3739" t="s">
        <v>12707</v>
      </c>
      <c r="D3739" t="s">
        <v>12709</v>
      </c>
      <c r="E3739" t="s">
        <v>9242</v>
      </c>
      <c r="F3739" t="s">
        <v>9243</v>
      </c>
      <c r="G3739" s="712">
        <v>0</v>
      </c>
      <c r="H3739">
        <v>0</v>
      </c>
      <c r="I3739" s="713">
        <v>0</v>
      </c>
      <c r="J3739">
        <v>510.09</v>
      </c>
      <c r="K3739">
        <v>510.09</v>
      </c>
      <c r="L3739">
        <v>0</v>
      </c>
      <c r="M3739">
        <v>0</v>
      </c>
      <c r="N3739">
        <v>510.09</v>
      </c>
      <c r="O3739">
        <v>510.09</v>
      </c>
      <c r="P3739">
        <v>0</v>
      </c>
    </row>
    <row r="3740" spans="1:16">
      <c r="A3740">
        <v>5</v>
      </c>
      <c r="B3740" t="s">
        <v>12699</v>
      </c>
      <c r="C3740" t="s">
        <v>12707</v>
      </c>
      <c r="D3740" t="s">
        <v>12709</v>
      </c>
      <c r="E3740" t="s">
        <v>9244</v>
      </c>
      <c r="F3740" t="s">
        <v>9245</v>
      </c>
      <c r="G3740" s="712">
        <v>0</v>
      </c>
      <c r="H3740">
        <v>0</v>
      </c>
      <c r="I3740" s="713">
        <v>0</v>
      </c>
      <c r="J3740" s="711">
        <v>148337.4</v>
      </c>
      <c r="K3740" s="711">
        <v>148337.4</v>
      </c>
      <c r="L3740">
        <v>0</v>
      </c>
      <c r="M3740">
        <v>0</v>
      </c>
      <c r="N3740" s="711">
        <v>148337.4</v>
      </c>
      <c r="O3740" s="711">
        <v>148337.4</v>
      </c>
      <c r="P3740">
        <v>0</v>
      </c>
    </row>
    <row r="3741" spans="1:16">
      <c r="A3741">
        <v>5</v>
      </c>
      <c r="B3741" t="s">
        <v>12699</v>
      </c>
      <c r="C3741" t="s">
        <v>12707</v>
      </c>
      <c r="D3741" t="s">
        <v>12709</v>
      </c>
      <c r="E3741" t="s">
        <v>9247</v>
      </c>
      <c r="F3741" t="s">
        <v>9248</v>
      </c>
      <c r="G3741" s="712">
        <v>0</v>
      </c>
      <c r="H3741">
        <v>0</v>
      </c>
      <c r="I3741" s="713">
        <v>0</v>
      </c>
      <c r="J3741" s="711">
        <v>84493.04</v>
      </c>
      <c r="K3741" s="711">
        <v>84493.04</v>
      </c>
      <c r="L3741">
        <v>0</v>
      </c>
      <c r="M3741">
        <v>0</v>
      </c>
      <c r="N3741" s="711">
        <v>84493.04</v>
      </c>
      <c r="O3741" s="711">
        <v>84493.04</v>
      </c>
      <c r="P3741">
        <v>0</v>
      </c>
    </row>
    <row r="3742" spans="1:16">
      <c r="A3742">
        <v>5</v>
      </c>
      <c r="B3742" t="s">
        <v>12699</v>
      </c>
      <c r="C3742" t="s">
        <v>12707</v>
      </c>
      <c r="D3742" t="s">
        <v>12709</v>
      </c>
      <c r="E3742" t="s">
        <v>9250</v>
      </c>
      <c r="F3742" t="s">
        <v>9251</v>
      </c>
      <c r="G3742" s="712">
        <v>0</v>
      </c>
      <c r="H3742">
        <v>0</v>
      </c>
      <c r="I3742" s="713">
        <v>0</v>
      </c>
      <c r="J3742" s="711">
        <v>471410.86</v>
      </c>
      <c r="K3742">
        <v>0</v>
      </c>
      <c r="L3742">
        <v>0</v>
      </c>
      <c r="M3742">
        <v>0</v>
      </c>
      <c r="N3742" s="711">
        <v>471410.86</v>
      </c>
      <c r="O3742">
        <v>0</v>
      </c>
      <c r="P3742" s="711">
        <v>471410.86</v>
      </c>
    </row>
    <row r="3743" spans="1:16" ht="15.75" thickBot="1">
      <c r="A3743">
        <v>5</v>
      </c>
      <c r="B3743" t="s">
        <v>12699</v>
      </c>
      <c r="C3743" t="s">
        <v>12707</v>
      </c>
      <c r="D3743" t="s">
        <v>12709</v>
      </c>
      <c r="E3743" t="s">
        <v>9252</v>
      </c>
      <c r="F3743" t="s">
        <v>9253</v>
      </c>
      <c r="G3743" s="712">
        <v>0</v>
      </c>
      <c r="H3743">
        <v>0</v>
      </c>
      <c r="I3743" s="713">
        <v>0</v>
      </c>
      <c r="J3743" s="711">
        <v>646170.43000000005</v>
      </c>
      <c r="K3743">
        <v>0</v>
      </c>
      <c r="L3743">
        <v>0</v>
      </c>
      <c r="M3743">
        <v>0</v>
      </c>
      <c r="N3743" s="711">
        <v>646170.43000000005</v>
      </c>
      <c r="O3743">
        <v>0</v>
      </c>
      <c r="P3743" s="711">
        <v>646170.43000000005</v>
      </c>
    </row>
    <row r="3744" spans="1:16" ht="15.75" thickBot="1">
      <c r="A3744" s="727">
        <v>5</v>
      </c>
      <c r="B3744" s="727" t="s">
        <v>12699</v>
      </c>
      <c r="C3744" s="727" t="s">
        <v>12707</v>
      </c>
      <c r="D3744" s="727" t="s">
        <v>12721</v>
      </c>
      <c r="E3744" s="727"/>
      <c r="F3744" s="729" t="s">
        <v>12722</v>
      </c>
      <c r="G3744" s="738">
        <v>0</v>
      </c>
      <c r="H3744" s="738">
        <v>0</v>
      </c>
      <c r="I3744" s="738">
        <v>0</v>
      </c>
      <c r="J3744" s="738">
        <v>0</v>
      </c>
      <c r="K3744" s="738">
        <v>0</v>
      </c>
      <c r="L3744" s="738">
        <v>0</v>
      </c>
      <c r="M3744" s="738">
        <v>0</v>
      </c>
      <c r="N3744" s="738">
        <v>0</v>
      </c>
      <c r="O3744" s="738">
        <v>0</v>
      </c>
      <c r="P3744" s="738">
        <v>0</v>
      </c>
    </row>
    <row r="3745" spans="1:16">
      <c r="A3745">
        <v>5</v>
      </c>
      <c r="B3745" t="s">
        <v>12699</v>
      </c>
      <c r="C3745" t="s">
        <v>12707</v>
      </c>
      <c r="D3745" t="s">
        <v>12721</v>
      </c>
      <c r="E3745" t="s">
        <v>9256</v>
      </c>
      <c r="F3745" t="s">
        <v>9257</v>
      </c>
      <c r="G3745" s="712">
        <v>0</v>
      </c>
      <c r="H3745">
        <v>0</v>
      </c>
      <c r="I3745" s="713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</row>
    <row r="3746" spans="1:16">
      <c r="A3746">
        <v>5</v>
      </c>
      <c r="B3746" t="s">
        <v>12699</v>
      </c>
      <c r="C3746" t="s">
        <v>12707</v>
      </c>
      <c r="D3746" t="s">
        <v>12721</v>
      </c>
      <c r="E3746" t="s">
        <v>12723</v>
      </c>
      <c r="F3746" t="s">
        <v>12724</v>
      </c>
      <c r="G3746" s="712">
        <v>0</v>
      </c>
      <c r="H3746">
        <v>0</v>
      </c>
      <c r="I3746" s="713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</row>
    <row r="3747" spans="1:16">
      <c r="A3747">
        <v>5</v>
      </c>
      <c r="B3747" t="s">
        <v>12699</v>
      </c>
      <c r="C3747" t="s">
        <v>12707</v>
      </c>
      <c r="D3747" t="s">
        <v>12721</v>
      </c>
      <c r="E3747" t="s">
        <v>12725</v>
      </c>
      <c r="F3747" t="s">
        <v>12726</v>
      </c>
      <c r="G3747" s="712">
        <v>0</v>
      </c>
      <c r="H3747">
        <v>0</v>
      </c>
      <c r="I3747" s="713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</row>
    <row r="3748" spans="1:16">
      <c r="A3748">
        <v>5</v>
      </c>
      <c r="B3748" t="s">
        <v>12699</v>
      </c>
      <c r="C3748" t="s">
        <v>12707</v>
      </c>
      <c r="D3748" t="s">
        <v>12721</v>
      </c>
      <c r="E3748" t="s">
        <v>12727</v>
      </c>
      <c r="F3748" t="s">
        <v>12728</v>
      </c>
      <c r="G3748" s="712">
        <v>0</v>
      </c>
      <c r="H3748">
        <v>0</v>
      </c>
      <c r="I3748" s="713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</row>
    <row r="3749" spans="1:16">
      <c r="A3749">
        <v>5</v>
      </c>
      <c r="B3749" t="s">
        <v>12699</v>
      </c>
      <c r="C3749" t="s">
        <v>12707</v>
      </c>
      <c r="D3749" t="s">
        <v>12721</v>
      </c>
      <c r="E3749" t="s">
        <v>9259</v>
      </c>
      <c r="F3749" t="s">
        <v>9260</v>
      </c>
      <c r="G3749" s="712">
        <v>0</v>
      </c>
      <c r="H3749">
        <v>0</v>
      </c>
      <c r="I3749" s="713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</row>
    <row r="3750" spans="1:16">
      <c r="A3750">
        <v>5</v>
      </c>
      <c r="B3750" t="s">
        <v>12699</v>
      </c>
      <c r="C3750" t="s">
        <v>12707</v>
      </c>
      <c r="D3750" t="s">
        <v>12721</v>
      </c>
      <c r="E3750" t="s">
        <v>9262</v>
      </c>
      <c r="F3750" t="s">
        <v>9263</v>
      </c>
      <c r="G3750" s="712">
        <v>0</v>
      </c>
      <c r="H3750">
        <v>0</v>
      </c>
      <c r="I3750" s="713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</row>
    <row r="3751" spans="1:16">
      <c r="A3751">
        <v>5</v>
      </c>
      <c r="B3751" t="s">
        <v>12699</v>
      </c>
      <c r="C3751" t="s">
        <v>12707</v>
      </c>
      <c r="D3751" t="s">
        <v>12721</v>
      </c>
      <c r="E3751" t="s">
        <v>9264</v>
      </c>
      <c r="F3751" t="s">
        <v>9265</v>
      </c>
      <c r="G3751" s="712">
        <v>0</v>
      </c>
      <c r="H3751">
        <v>0</v>
      </c>
      <c r="I3751" s="713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</row>
    <row r="3752" spans="1:16">
      <c r="A3752">
        <v>5</v>
      </c>
      <c r="B3752" t="s">
        <v>12699</v>
      </c>
      <c r="C3752" t="s">
        <v>12707</v>
      </c>
      <c r="D3752" t="s">
        <v>12721</v>
      </c>
      <c r="E3752" t="s">
        <v>9266</v>
      </c>
      <c r="F3752" t="s">
        <v>9267</v>
      </c>
      <c r="G3752" s="712">
        <v>0</v>
      </c>
      <c r="H3752">
        <v>0</v>
      </c>
      <c r="I3752" s="713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</row>
    <row r="3753" spans="1:16">
      <c r="A3753">
        <v>5</v>
      </c>
      <c r="B3753" t="s">
        <v>12699</v>
      </c>
      <c r="C3753" t="s">
        <v>12707</v>
      </c>
      <c r="D3753" t="s">
        <v>12721</v>
      </c>
      <c r="E3753" t="s">
        <v>9268</v>
      </c>
      <c r="F3753" t="s">
        <v>9269</v>
      </c>
      <c r="G3753" s="712">
        <v>0</v>
      </c>
      <c r="H3753">
        <v>0</v>
      </c>
      <c r="I3753" s="71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</row>
    <row r="3754" spans="1:16">
      <c r="A3754">
        <v>5</v>
      </c>
      <c r="B3754" t="s">
        <v>12699</v>
      </c>
      <c r="C3754" t="s">
        <v>12707</v>
      </c>
      <c r="D3754" t="s">
        <v>12721</v>
      </c>
      <c r="E3754" t="s">
        <v>9270</v>
      </c>
      <c r="F3754" t="s">
        <v>9271</v>
      </c>
      <c r="G3754" s="712">
        <v>0</v>
      </c>
      <c r="H3754">
        <v>0</v>
      </c>
      <c r="I3754" s="713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</row>
    <row r="3755" spans="1:16">
      <c r="A3755">
        <v>5</v>
      </c>
      <c r="B3755" t="s">
        <v>12699</v>
      </c>
      <c r="C3755" t="s">
        <v>12707</v>
      </c>
      <c r="D3755" t="s">
        <v>12721</v>
      </c>
      <c r="E3755" t="s">
        <v>9272</v>
      </c>
      <c r="F3755" t="s">
        <v>9273</v>
      </c>
      <c r="G3755" s="712">
        <v>0</v>
      </c>
      <c r="H3755">
        <v>0</v>
      </c>
      <c r="I3755" s="713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</row>
    <row r="3756" spans="1:16">
      <c r="A3756">
        <v>5</v>
      </c>
      <c r="B3756" t="s">
        <v>12699</v>
      </c>
      <c r="C3756" t="s">
        <v>12707</v>
      </c>
      <c r="D3756" t="s">
        <v>12721</v>
      </c>
      <c r="E3756" t="s">
        <v>9274</v>
      </c>
      <c r="F3756" t="s">
        <v>9275</v>
      </c>
      <c r="G3756" s="712">
        <v>0</v>
      </c>
      <c r="H3756">
        <v>0</v>
      </c>
      <c r="I3756" s="713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</row>
    <row r="3757" spans="1:16">
      <c r="A3757">
        <v>5</v>
      </c>
      <c r="B3757" t="s">
        <v>12699</v>
      </c>
      <c r="C3757" t="s">
        <v>12707</v>
      </c>
      <c r="D3757" t="s">
        <v>12721</v>
      </c>
      <c r="E3757" t="s">
        <v>9276</v>
      </c>
      <c r="F3757" t="s">
        <v>9277</v>
      </c>
      <c r="G3757" s="712">
        <v>0</v>
      </c>
      <c r="H3757">
        <v>0</v>
      </c>
      <c r="I3757" s="713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</row>
    <row r="3758" spans="1:16">
      <c r="A3758">
        <v>5</v>
      </c>
      <c r="B3758" t="s">
        <v>12699</v>
      </c>
      <c r="C3758" t="s">
        <v>12707</v>
      </c>
      <c r="D3758" t="s">
        <v>12721</v>
      </c>
      <c r="E3758" t="s">
        <v>9279</v>
      </c>
      <c r="F3758" t="s">
        <v>9280</v>
      </c>
      <c r="G3758" s="712">
        <v>0</v>
      </c>
      <c r="H3758">
        <v>0</v>
      </c>
      <c r="I3758" s="713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</row>
    <row r="3759" spans="1:16">
      <c r="A3759">
        <v>5</v>
      </c>
      <c r="B3759" t="s">
        <v>12699</v>
      </c>
      <c r="C3759" t="s">
        <v>12707</v>
      </c>
      <c r="D3759" t="s">
        <v>12721</v>
      </c>
      <c r="E3759" t="s">
        <v>9282</v>
      </c>
      <c r="F3759" t="s">
        <v>9283</v>
      </c>
      <c r="G3759" s="712">
        <v>0</v>
      </c>
      <c r="H3759">
        <v>0</v>
      </c>
      <c r="I3759" s="713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</row>
    <row r="3760" spans="1:16">
      <c r="A3760">
        <v>5</v>
      </c>
      <c r="B3760" t="s">
        <v>12699</v>
      </c>
      <c r="C3760" t="s">
        <v>12707</v>
      </c>
      <c r="D3760" t="s">
        <v>12721</v>
      </c>
      <c r="E3760" t="s">
        <v>9285</v>
      </c>
      <c r="F3760" t="s">
        <v>9286</v>
      </c>
      <c r="G3760" s="712">
        <v>0</v>
      </c>
      <c r="H3760">
        <v>0</v>
      </c>
      <c r="I3760" s="713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</row>
    <row r="3761" spans="1:16">
      <c r="A3761">
        <v>5</v>
      </c>
      <c r="B3761" t="s">
        <v>12699</v>
      </c>
      <c r="C3761" t="s">
        <v>12707</v>
      </c>
      <c r="D3761" t="s">
        <v>12721</v>
      </c>
      <c r="E3761" t="s">
        <v>9288</v>
      </c>
      <c r="F3761" t="s">
        <v>9289</v>
      </c>
      <c r="G3761" s="712">
        <v>0</v>
      </c>
      <c r="H3761">
        <v>0</v>
      </c>
      <c r="I3761" s="713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</row>
    <row r="3762" spans="1:16">
      <c r="A3762">
        <v>5</v>
      </c>
      <c r="B3762" t="s">
        <v>12699</v>
      </c>
      <c r="C3762" t="s">
        <v>12707</v>
      </c>
      <c r="D3762" t="s">
        <v>12721</v>
      </c>
      <c r="E3762" t="s">
        <v>9290</v>
      </c>
      <c r="F3762" t="s">
        <v>9291</v>
      </c>
      <c r="G3762" s="712">
        <v>0</v>
      </c>
      <c r="H3762">
        <v>0</v>
      </c>
      <c r="I3762" s="713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</row>
    <row r="3763" spans="1:16">
      <c r="A3763">
        <v>5</v>
      </c>
      <c r="B3763" t="s">
        <v>12699</v>
      </c>
      <c r="C3763" t="s">
        <v>12707</v>
      </c>
      <c r="D3763" t="s">
        <v>12721</v>
      </c>
      <c r="E3763" t="s">
        <v>9292</v>
      </c>
      <c r="F3763" t="s">
        <v>9293</v>
      </c>
      <c r="G3763" s="712">
        <v>0</v>
      </c>
      <c r="H3763">
        <v>0</v>
      </c>
      <c r="I3763" s="71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</row>
    <row r="3764" spans="1:16">
      <c r="A3764">
        <v>5</v>
      </c>
      <c r="B3764" t="s">
        <v>12699</v>
      </c>
      <c r="C3764" t="s">
        <v>12707</v>
      </c>
      <c r="D3764" t="s">
        <v>12721</v>
      </c>
      <c r="E3764" t="s">
        <v>9294</v>
      </c>
      <c r="F3764" t="s">
        <v>9295</v>
      </c>
      <c r="G3764" s="712">
        <v>0</v>
      </c>
      <c r="H3764">
        <v>0</v>
      </c>
      <c r="I3764" s="713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</row>
    <row r="3765" spans="1:16">
      <c r="A3765">
        <v>5</v>
      </c>
      <c r="B3765" t="s">
        <v>12699</v>
      </c>
      <c r="C3765" t="s">
        <v>12707</v>
      </c>
      <c r="D3765" t="s">
        <v>12721</v>
      </c>
      <c r="E3765" t="s">
        <v>12729</v>
      </c>
      <c r="F3765" t="s">
        <v>12730</v>
      </c>
      <c r="G3765" s="712">
        <v>0</v>
      </c>
      <c r="H3765">
        <v>0</v>
      </c>
      <c r="I3765" s="713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</row>
    <row r="3766" spans="1:16">
      <c r="A3766">
        <v>5</v>
      </c>
      <c r="B3766" t="s">
        <v>12699</v>
      </c>
      <c r="C3766" t="s">
        <v>12707</v>
      </c>
      <c r="D3766" t="s">
        <v>12721</v>
      </c>
      <c r="E3766" t="s">
        <v>12731</v>
      </c>
      <c r="F3766" t="s">
        <v>12732</v>
      </c>
      <c r="G3766" s="712">
        <v>0</v>
      </c>
      <c r="H3766">
        <v>0</v>
      </c>
      <c r="I3766" s="713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</row>
    <row r="3767" spans="1:16">
      <c r="A3767">
        <v>5</v>
      </c>
      <c r="B3767" t="s">
        <v>12699</v>
      </c>
      <c r="C3767" t="s">
        <v>12707</v>
      </c>
      <c r="D3767" t="s">
        <v>12721</v>
      </c>
      <c r="E3767" t="s">
        <v>9296</v>
      </c>
      <c r="F3767" t="s">
        <v>9297</v>
      </c>
      <c r="G3767" s="712">
        <v>0</v>
      </c>
      <c r="H3767">
        <v>0</v>
      </c>
      <c r="I3767" s="713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</row>
    <row r="3768" spans="1:16">
      <c r="A3768">
        <v>5</v>
      </c>
      <c r="B3768" t="s">
        <v>12699</v>
      </c>
      <c r="C3768" t="s">
        <v>12707</v>
      </c>
      <c r="D3768" t="s">
        <v>12721</v>
      </c>
      <c r="E3768" t="s">
        <v>9298</v>
      </c>
      <c r="F3768" t="s">
        <v>9299</v>
      </c>
      <c r="G3768" s="712">
        <v>0</v>
      </c>
      <c r="H3768">
        <v>0</v>
      </c>
      <c r="I3768" s="713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</row>
    <row r="3769" spans="1:16">
      <c r="A3769">
        <v>5</v>
      </c>
      <c r="B3769" t="s">
        <v>12699</v>
      </c>
      <c r="C3769" t="s">
        <v>12707</v>
      </c>
      <c r="D3769" t="s">
        <v>12721</v>
      </c>
      <c r="E3769" t="s">
        <v>9300</v>
      </c>
      <c r="F3769" t="s">
        <v>9301</v>
      </c>
      <c r="G3769" s="712">
        <v>0</v>
      </c>
      <c r="H3769">
        <v>0</v>
      </c>
      <c r="I3769" s="713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</row>
    <row r="3770" spans="1:16">
      <c r="A3770">
        <v>5</v>
      </c>
      <c r="B3770" t="s">
        <v>12699</v>
      </c>
      <c r="C3770" t="s">
        <v>12707</v>
      </c>
      <c r="D3770" t="s">
        <v>12721</v>
      </c>
      <c r="E3770" t="s">
        <v>9302</v>
      </c>
      <c r="F3770" t="s">
        <v>9303</v>
      </c>
      <c r="G3770" s="712">
        <v>0</v>
      </c>
      <c r="H3770">
        <v>0</v>
      </c>
      <c r="I3770" s="713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</row>
    <row r="3771" spans="1:16">
      <c r="A3771">
        <v>5</v>
      </c>
      <c r="B3771" t="s">
        <v>12699</v>
      </c>
      <c r="C3771" t="s">
        <v>12707</v>
      </c>
      <c r="D3771" t="s">
        <v>12721</v>
      </c>
      <c r="E3771" t="s">
        <v>9304</v>
      </c>
      <c r="F3771" t="s">
        <v>9305</v>
      </c>
      <c r="G3771" s="712">
        <v>0</v>
      </c>
      <c r="H3771">
        <v>0</v>
      </c>
      <c r="I3771" s="713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</row>
    <row r="3772" spans="1:16">
      <c r="A3772">
        <v>5</v>
      </c>
      <c r="B3772" t="s">
        <v>12699</v>
      </c>
      <c r="C3772" t="s">
        <v>12707</v>
      </c>
      <c r="D3772" t="s">
        <v>12721</v>
      </c>
      <c r="E3772" t="s">
        <v>9306</v>
      </c>
      <c r="F3772" t="s">
        <v>9307</v>
      </c>
      <c r="G3772" s="712">
        <v>0</v>
      </c>
      <c r="H3772">
        <v>0</v>
      </c>
      <c r="I3772" s="713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</row>
    <row r="3773" spans="1:16">
      <c r="A3773">
        <v>5</v>
      </c>
      <c r="B3773" t="s">
        <v>12699</v>
      </c>
      <c r="C3773" t="s">
        <v>12707</v>
      </c>
      <c r="D3773" t="s">
        <v>12721</v>
      </c>
      <c r="E3773" t="s">
        <v>9308</v>
      </c>
      <c r="F3773" t="s">
        <v>9309</v>
      </c>
      <c r="G3773" s="712">
        <v>0</v>
      </c>
      <c r="H3773">
        <v>0</v>
      </c>
      <c r="I3773" s="71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</row>
    <row r="3774" spans="1:16">
      <c r="A3774">
        <v>5</v>
      </c>
      <c r="B3774" t="s">
        <v>12699</v>
      </c>
      <c r="C3774" t="s">
        <v>12707</v>
      </c>
      <c r="D3774" t="s">
        <v>12721</v>
      </c>
      <c r="E3774" t="s">
        <v>9311</v>
      </c>
      <c r="F3774" t="s">
        <v>9312</v>
      </c>
      <c r="G3774" s="712">
        <v>0</v>
      </c>
      <c r="H3774">
        <v>0</v>
      </c>
      <c r="I3774" s="713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</row>
    <row r="3775" spans="1:16">
      <c r="A3775">
        <v>5</v>
      </c>
      <c r="B3775" t="s">
        <v>12699</v>
      </c>
      <c r="C3775" t="s">
        <v>12707</v>
      </c>
      <c r="D3775" t="s">
        <v>12721</v>
      </c>
      <c r="E3775" t="s">
        <v>9314</v>
      </c>
      <c r="F3775" t="s">
        <v>9315</v>
      </c>
      <c r="G3775" s="712">
        <v>0</v>
      </c>
      <c r="H3775">
        <v>0</v>
      </c>
      <c r="I3775" s="713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</row>
    <row r="3776" spans="1:16" ht="15.75" thickBot="1">
      <c r="A3776">
        <v>5</v>
      </c>
      <c r="B3776" t="s">
        <v>12699</v>
      </c>
      <c r="C3776" t="s">
        <v>12707</v>
      </c>
      <c r="D3776" t="s">
        <v>12721</v>
      </c>
      <c r="E3776" t="s">
        <v>9316</v>
      </c>
      <c r="F3776" t="s">
        <v>9317</v>
      </c>
      <c r="G3776" s="712">
        <v>0</v>
      </c>
      <c r="H3776">
        <v>0</v>
      </c>
      <c r="I3776" s="713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</row>
    <row r="3777" spans="1:16" ht="15.75" thickBot="1">
      <c r="A3777" s="727">
        <v>5</v>
      </c>
      <c r="B3777" s="727" t="s">
        <v>12699</v>
      </c>
      <c r="C3777" s="727" t="s">
        <v>12707</v>
      </c>
      <c r="D3777" s="727" t="s">
        <v>12733</v>
      </c>
      <c r="E3777" s="727"/>
      <c r="F3777" s="729" t="s">
        <v>12734</v>
      </c>
      <c r="G3777" s="738">
        <v>0</v>
      </c>
      <c r="H3777" s="738">
        <v>0</v>
      </c>
      <c r="I3777" s="738">
        <v>0</v>
      </c>
      <c r="J3777" s="739">
        <v>84816.1</v>
      </c>
      <c r="K3777" s="738">
        <v>0</v>
      </c>
      <c r="L3777" s="738">
        <v>0</v>
      </c>
      <c r="M3777" s="738">
        <v>0</v>
      </c>
      <c r="N3777" s="739">
        <v>84816.1</v>
      </c>
      <c r="O3777" s="738">
        <v>0</v>
      </c>
      <c r="P3777" s="739">
        <v>84816.1</v>
      </c>
    </row>
    <row r="3778" spans="1:16">
      <c r="A3778">
        <v>5</v>
      </c>
      <c r="B3778" t="s">
        <v>12699</v>
      </c>
      <c r="C3778" t="s">
        <v>12707</v>
      </c>
      <c r="D3778" t="s">
        <v>12733</v>
      </c>
      <c r="E3778" t="s">
        <v>9320</v>
      </c>
      <c r="F3778" t="s">
        <v>9321</v>
      </c>
      <c r="G3778" s="712">
        <v>0</v>
      </c>
      <c r="H3778">
        <v>0</v>
      </c>
      <c r="I3778" s="713">
        <v>0</v>
      </c>
      <c r="J3778" s="711">
        <v>44316.23</v>
      </c>
      <c r="K3778">
        <v>0</v>
      </c>
      <c r="L3778">
        <v>0</v>
      </c>
      <c r="M3778">
        <v>0</v>
      </c>
      <c r="N3778" s="711">
        <v>44316.23</v>
      </c>
      <c r="O3778">
        <v>0</v>
      </c>
      <c r="P3778" s="711">
        <v>44316.23</v>
      </c>
    </row>
    <row r="3779" spans="1:16">
      <c r="A3779">
        <v>5</v>
      </c>
      <c r="B3779" t="s">
        <v>12699</v>
      </c>
      <c r="C3779" t="s">
        <v>12707</v>
      </c>
      <c r="D3779" t="s">
        <v>12733</v>
      </c>
      <c r="E3779" t="s">
        <v>9322</v>
      </c>
      <c r="F3779" t="s">
        <v>9323</v>
      </c>
      <c r="G3779" s="712">
        <v>0</v>
      </c>
      <c r="H3779">
        <v>0</v>
      </c>
      <c r="I3779" s="713">
        <v>0</v>
      </c>
      <c r="J3779" s="711">
        <v>10837.03</v>
      </c>
      <c r="K3779">
        <v>0</v>
      </c>
      <c r="L3779">
        <v>0</v>
      </c>
      <c r="M3779">
        <v>0</v>
      </c>
      <c r="N3779" s="711">
        <v>10837.03</v>
      </c>
      <c r="O3779">
        <v>0</v>
      </c>
      <c r="P3779" s="711">
        <v>10837.03</v>
      </c>
    </row>
    <row r="3780" spans="1:16">
      <c r="A3780">
        <v>5</v>
      </c>
      <c r="B3780" t="s">
        <v>12699</v>
      </c>
      <c r="C3780" t="s">
        <v>12707</v>
      </c>
      <c r="D3780" t="s">
        <v>12733</v>
      </c>
      <c r="E3780" t="s">
        <v>9324</v>
      </c>
      <c r="F3780" t="s">
        <v>9325</v>
      </c>
      <c r="G3780" s="712">
        <v>0</v>
      </c>
      <c r="H3780">
        <v>0</v>
      </c>
      <c r="I3780" s="713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</row>
    <row r="3781" spans="1:16">
      <c r="A3781">
        <v>5</v>
      </c>
      <c r="B3781" t="s">
        <v>12699</v>
      </c>
      <c r="C3781" t="s">
        <v>12707</v>
      </c>
      <c r="D3781" t="s">
        <v>12733</v>
      </c>
      <c r="E3781" t="s">
        <v>9326</v>
      </c>
      <c r="F3781" t="s">
        <v>9327</v>
      </c>
      <c r="G3781" s="712">
        <v>0</v>
      </c>
      <c r="H3781">
        <v>0</v>
      </c>
      <c r="I3781" s="713">
        <v>0</v>
      </c>
      <c r="J3781" s="711">
        <v>14854.49</v>
      </c>
      <c r="K3781">
        <v>0</v>
      </c>
      <c r="L3781">
        <v>0</v>
      </c>
      <c r="M3781">
        <v>0</v>
      </c>
      <c r="N3781" s="711">
        <v>14854.49</v>
      </c>
      <c r="O3781">
        <v>0</v>
      </c>
      <c r="P3781" s="711">
        <v>14854.49</v>
      </c>
    </row>
    <row r="3782" spans="1:16">
      <c r="A3782">
        <v>5</v>
      </c>
      <c r="B3782" t="s">
        <v>12699</v>
      </c>
      <c r="C3782" t="s">
        <v>12707</v>
      </c>
      <c r="D3782" t="s">
        <v>12733</v>
      </c>
      <c r="E3782" t="s">
        <v>9328</v>
      </c>
      <c r="F3782" t="s">
        <v>9329</v>
      </c>
      <c r="G3782" s="712">
        <v>0</v>
      </c>
      <c r="H3782">
        <v>0</v>
      </c>
      <c r="I3782" s="713">
        <v>0</v>
      </c>
      <c r="J3782" s="711">
        <v>11573.63</v>
      </c>
      <c r="K3782">
        <v>0</v>
      </c>
      <c r="L3782">
        <v>0</v>
      </c>
      <c r="M3782">
        <v>0</v>
      </c>
      <c r="N3782" s="711">
        <v>11573.63</v>
      </c>
      <c r="O3782">
        <v>0</v>
      </c>
      <c r="P3782" s="711">
        <v>11573.63</v>
      </c>
    </row>
    <row r="3783" spans="1:16">
      <c r="A3783">
        <v>5</v>
      </c>
      <c r="B3783" t="s">
        <v>12699</v>
      </c>
      <c r="C3783" t="s">
        <v>12707</v>
      </c>
      <c r="D3783" t="s">
        <v>12733</v>
      </c>
      <c r="E3783" t="s">
        <v>9330</v>
      </c>
      <c r="F3783" t="s">
        <v>9331</v>
      </c>
      <c r="G3783" s="712">
        <v>0</v>
      </c>
      <c r="H3783">
        <v>0</v>
      </c>
      <c r="I3783" s="713">
        <v>0</v>
      </c>
      <c r="J3783" s="711">
        <v>2162.6799999999998</v>
      </c>
      <c r="K3783">
        <v>0</v>
      </c>
      <c r="L3783">
        <v>0</v>
      </c>
      <c r="M3783">
        <v>0</v>
      </c>
      <c r="N3783" s="711">
        <v>2162.6799999999998</v>
      </c>
      <c r="O3783">
        <v>0</v>
      </c>
      <c r="P3783" s="711">
        <v>2162.6799999999998</v>
      </c>
    </row>
    <row r="3784" spans="1:16">
      <c r="A3784">
        <v>5</v>
      </c>
      <c r="B3784" t="s">
        <v>12699</v>
      </c>
      <c r="C3784" t="s">
        <v>12707</v>
      </c>
      <c r="D3784" t="s">
        <v>12733</v>
      </c>
      <c r="E3784" t="s">
        <v>9332</v>
      </c>
      <c r="F3784" t="s">
        <v>9333</v>
      </c>
      <c r="G3784" s="712">
        <v>0</v>
      </c>
      <c r="H3784">
        <v>0</v>
      </c>
      <c r="I3784" s="713">
        <v>0</v>
      </c>
      <c r="J3784">
        <v>744.39</v>
      </c>
      <c r="K3784">
        <v>0</v>
      </c>
      <c r="L3784">
        <v>0</v>
      </c>
      <c r="M3784">
        <v>0</v>
      </c>
      <c r="N3784">
        <v>744.39</v>
      </c>
      <c r="O3784">
        <v>0</v>
      </c>
      <c r="P3784">
        <v>744.39</v>
      </c>
    </row>
    <row r="3785" spans="1:16">
      <c r="A3785">
        <v>5</v>
      </c>
      <c r="B3785" t="s">
        <v>12699</v>
      </c>
      <c r="C3785" t="s">
        <v>12707</v>
      </c>
      <c r="D3785" t="s">
        <v>12733</v>
      </c>
      <c r="E3785" t="s">
        <v>9334</v>
      </c>
      <c r="F3785" t="s">
        <v>9335</v>
      </c>
      <c r="G3785" s="712">
        <v>0</v>
      </c>
      <c r="H3785">
        <v>0</v>
      </c>
      <c r="I3785" s="713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</row>
    <row r="3786" spans="1:16">
      <c r="A3786">
        <v>5</v>
      </c>
      <c r="B3786" t="s">
        <v>12699</v>
      </c>
      <c r="C3786" t="s">
        <v>12707</v>
      </c>
      <c r="D3786" t="s">
        <v>12733</v>
      </c>
      <c r="E3786" t="s">
        <v>9336</v>
      </c>
      <c r="F3786" t="s">
        <v>9337</v>
      </c>
      <c r="G3786" s="712">
        <v>0</v>
      </c>
      <c r="H3786">
        <v>0</v>
      </c>
      <c r="I3786" s="713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</row>
    <row r="3787" spans="1:16">
      <c r="A3787">
        <v>5</v>
      </c>
      <c r="B3787" t="s">
        <v>12699</v>
      </c>
      <c r="C3787" t="s">
        <v>12707</v>
      </c>
      <c r="D3787" t="s">
        <v>12733</v>
      </c>
      <c r="E3787" t="s">
        <v>9338</v>
      </c>
      <c r="F3787" t="s">
        <v>9339</v>
      </c>
      <c r="G3787" s="712">
        <v>0</v>
      </c>
      <c r="H3787">
        <v>0</v>
      </c>
      <c r="I3787" s="713">
        <v>0</v>
      </c>
      <c r="J3787">
        <v>327.64999999999998</v>
      </c>
      <c r="K3787">
        <v>0</v>
      </c>
      <c r="L3787">
        <v>0</v>
      </c>
      <c r="M3787">
        <v>0</v>
      </c>
      <c r="N3787">
        <v>327.64999999999998</v>
      </c>
      <c r="O3787">
        <v>0</v>
      </c>
      <c r="P3787">
        <v>327.64999999999998</v>
      </c>
    </row>
    <row r="3788" spans="1:16">
      <c r="A3788">
        <v>5</v>
      </c>
      <c r="B3788" t="s">
        <v>12699</v>
      </c>
      <c r="C3788" t="s">
        <v>12707</v>
      </c>
      <c r="D3788" t="s">
        <v>12733</v>
      </c>
      <c r="E3788" t="s">
        <v>9340</v>
      </c>
      <c r="F3788" t="s">
        <v>9341</v>
      </c>
      <c r="G3788" s="712">
        <v>0</v>
      </c>
      <c r="H3788">
        <v>0</v>
      </c>
      <c r="I3788" s="713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</row>
    <row r="3789" spans="1:16">
      <c r="A3789">
        <v>5</v>
      </c>
      <c r="B3789" t="s">
        <v>12699</v>
      </c>
      <c r="C3789" t="s">
        <v>12707</v>
      </c>
      <c r="D3789" t="s">
        <v>12733</v>
      </c>
      <c r="E3789" t="s">
        <v>9342</v>
      </c>
      <c r="F3789" t="s">
        <v>9343</v>
      </c>
      <c r="G3789" s="712">
        <v>0</v>
      </c>
      <c r="H3789">
        <v>0</v>
      </c>
      <c r="I3789" s="713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</row>
    <row r="3790" spans="1:16">
      <c r="A3790">
        <v>5</v>
      </c>
      <c r="B3790" t="s">
        <v>12699</v>
      </c>
      <c r="C3790" t="s">
        <v>12707</v>
      </c>
      <c r="D3790" t="s">
        <v>12733</v>
      </c>
      <c r="E3790" t="s">
        <v>9344</v>
      </c>
      <c r="F3790" t="s">
        <v>9345</v>
      </c>
      <c r="G3790" s="712">
        <v>0</v>
      </c>
      <c r="H3790">
        <v>0</v>
      </c>
      <c r="I3790" s="713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</row>
    <row r="3791" spans="1:16">
      <c r="A3791">
        <v>5</v>
      </c>
      <c r="B3791" t="s">
        <v>12699</v>
      </c>
      <c r="C3791" t="s">
        <v>12707</v>
      </c>
      <c r="D3791" t="s">
        <v>12733</v>
      </c>
      <c r="E3791" t="s">
        <v>9346</v>
      </c>
      <c r="F3791" t="s">
        <v>9347</v>
      </c>
      <c r="G3791" s="712">
        <v>0</v>
      </c>
      <c r="H3791">
        <v>0</v>
      </c>
      <c r="I3791" s="713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</row>
    <row r="3792" spans="1:16">
      <c r="A3792">
        <v>5</v>
      </c>
      <c r="B3792" t="s">
        <v>12699</v>
      </c>
      <c r="C3792" t="s">
        <v>12707</v>
      </c>
      <c r="D3792" t="s">
        <v>12733</v>
      </c>
      <c r="E3792" t="s">
        <v>9348</v>
      </c>
      <c r="F3792" t="s">
        <v>9349</v>
      </c>
      <c r="G3792" s="712">
        <v>0</v>
      </c>
      <c r="H3792">
        <v>0</v>
      </c>
      <c r="I3792" s="713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</row>
    <row r="3793" spans="1:16">
      <c r="A3793">
        <v>5</v>
      </c>
      <c r="B3793" t="s">
        <v>12699</v>
      </c>
      <c r="C3793" t="s">
        <v>12707</v>
      </c>
      <c r="D3793" t="s">
        <v>12733</v>
      </c>
      <c r="E3793" t="s">
        <v>9350</v>
      </c>
      <c r="F3793" t="s">
        <v>9351</v>
      </c>
      <c r="G3793" s="712">
        <v>0</v>
      </c>
      <c r="H3793">
        <v>0</v>
      </c>
      <c r="I3793" s="71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</row>
    <row r="3794" spans="1:16">
      <c r="A3794">
        <v>5</v>
      </c>
      <c r="B3794" t="s">
        <v>12699</v>
      </c>
      <c r="C3794" t="s">
        <v>12707</v>
      </c>
      <c r="D3794" t="s">
        <v>12733</v>
      </c>
      <c r="E3794" t="s">
        <v>9352</v>
      </c>
      <c r="F3794" t="s">
        <v>9353</v>
      </c>
      <c r="G3794" s="712">
        <v>0</v>
      </c>
      <c r="H3794">
        <v>0</v>
      </c>
      <c r="I3794" s="713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</row>
    <row r="3795" spans="1:16">
      <c r="A3795">
        <v>5</v>
      </c>
      <c r="B3795" t="s">
        <v>12699</v>
      </c>
      <c r="C3795" t="s">
        <v>12707</v>
      </c>
      <c r="D3795" t="s">
        <v>12733</v>
      </c>
      <c r="E3795" t="s">
        <v>12735</v>
      </c>
      <c r="F3795" t="s">
        <v>12736</v>
      </c>
      <c r="G3795" s="712">
        <v>0</v>
      </c>
      <c r="H3795">
        <v>0</v>
      </c>
      <c r="I3795" s="713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</row>
    <row r="3796" spans="1:16">
      <c r="A3796">
        <v>5</v>
      </c>
      <c r="B3796" t="s">
        <v>12699</v>
      </c>
      <c r="C3796" t="s">
        <v>12707</v>
      </c>
      <c r="D3796" t="s">
        <v>12733</v>
      </c>
      <c r="E3796" t="s">
        <v>9354</v>
      </c>
      <c r="F3796" t="s">
        <v>9355</v>
      </c>
      <c r="G3796" s="712">
        <v>0</v>
      </c>
      <c r="H3796">
        <v>0</v>
      </c>
      <c r="I3796" s="713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</row>
    <row r="3797" spans="1:16">
      <c r="A3797">
        <v>5</v>
      </c>
      <c r="B3797" t="s">
        <v>12699</v>
      </c>
      <c r="C3797" t="s">
        <v>12707</v>
      </c>
      <c r="D3797" t="s">
        <v>12733</v>
      </c>
      <c r="E3797" t="s">
        <v>9356</v>
      </c>
      <c r="F3797" t="s">
        <v>9357</v>
      </c>
      <c r="G3797" s="712">
        <v>0</v>
      </c>
      <c r="H3797">
        <v>0</v>
      </c>
      <c r="I3797" s="713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</row>
    <row r="3798" spans="1:16">
      <c r="A3798">
        <v>5</v>
      </c>
      <c r="B3798" t="s">
        <v>12699</v>
      </c>
      <c r="C3798" t="s">
        <v>12707</v>
      </c>
      <c r="D3798" t="s">
        <v>12733</v>
      </c>
      <c r="E3798" t="s">
        <v>9358</v>
      </c>
      <c r="F3798" t="s">
        <v>9359</v>
      </c>
      <c r="G3798" s="712">
        <v>0</v>
      </c>
      <c r="H3798">
        <v>0</v>
      </c>
      <c r="I3798" s="713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</row>
    <row r="3799" spans="1:16">
      <c r="A3799">
        <v>5</v>
      </c>
      <c r="B3799" t="s">
        <v>12699</v>
      </c>
      <c r="C3799" t="s">
        <v>12707</v>
      </c>
      <c r="D3799" t="s">
        <v>12733</v>
      </c>
      <c r="E3799" t="s">
        <v>9360</v>
      </c>
      <c r="F3799" t="s">
        <v>9361</v>
      </c>
      <c r="G3799" s="712">
        <v>0</v>
      </c>
      <c r="H3799">
        <v>0</v>
      </c>
      <c r="I3799" s="713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</row>
    <row r="3800" spans="1:16">
      <c r="A3800">
        <v>5</v>
      </c>
      <c r="B3800" t="s">
        <v>12699</v>
      </c>
      <c r="C3800" t="s">
        <v>12707</v>
      </c>
      <c r="D3800" t="s">
        <v>12733</v>
      </c>
      <c r="E3800" t="s">
        <v>9362</v>
      </c>
      <c r="F3800" t="s">
        <v>9363</v>
      </c>
      <c r="G3800" s="712">
        <v>0</v>
      </c>
      <c r="H3800">
        <v>0</v>
      </c>
      <c r="I3800" s="713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</row>
    <row r="3801" spans="1:16">
      <c r="A3801">
        <v>5</v>
      </c>
      <c r="B3801" t="s">
        <v>12699</v>
      </c>
      <c r="C3801" t="s">
        <v>12707</v>
      </c>
      <c r="D3801" t="s">
        <v>12733</v>
      </c>
      <c r="E3801" t="s">
        <v>9364</v>
      </c>
      <c r="F3801" t="s">
        <v>9365</v>
      </c>
      <c r="G3801" s="712">
        <v>0</v>
      </c>
      <c r="H3801">
        <v>0</v>
      </c>
      <c r="I3801" s="713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</row>
    <row r="3802" spans="1:16">
      <c r="A3802">
        <v>5</v>
      </c>
      <c r="B3802" t="s">
        <v>12699</v>
      </c>
      <c r="C3802" t="s">
        <v>12707</v>
      </c>
      <c r="D3802" t="s">
        <v>12733</v>
      </c>
      <c r="E3802" t="s">
        <v>9366</v>
      </c>
      <c r="F3802" t="s">
        <v>9367</v>
      </c>
      <c r="G3802" s="712">
        <v>0</v>
      </c>
      <c r="H3802">
        <v>0</v>
      </c>
      <c r="I3802" s="713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</row>
    <row r="3803" spans="1:16">
      <c r="A3803">
        <v>5</v>
      </c>
      <c r="B3803" t="s">
        <v>12699</v>
      </c>
      <c r="C3803" t="s">
        <v>12707</v>
      </c>
      <c r="D3803" t="s">
        <v>12733</v>
      </c>
      <c r="E3803" t="s">
        <v>9368</v>
      </c>
      <c r="F3803" t="s">
        <v>9369</v>
      </c>
      <c r="G3803" s="712">
        <v>0</v>
      </c>
      <c r="H3803">
        <v>0</v>
      </c>
      <c r="I3803" s="71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</row>
    <row r="3804" spans="1:16">
      <c r="A3804">
        <v>5</v>
      </c>
      <c r="B3804" t="s">
        <v>12699</v>
      </c>
      <c r="C3804" t="s">
        <v>12707</v>
      </c>
      <c r="D3804" t="s">
        <v>12733</v>
      </c>
      <c r="E3804" t="s">
        <v>9370</v>
      </c>
      <c r="F3804" t="s">
        <v>9371</v>
      </c>
      <c r="G3804" s="712">
        <v>0</v>
      </c>
      <c r="H3804">
        <v>0</v>
      </c>
      <c r="I3804" s="713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</row>
    <row r="3805" spans="1:16">
      <c r="A3805">
        <v>5</v>
      </c>
      <c r="B3805" t="s">
        <v>12699</v>
      </c>
      <c r="C3805" t="s">
        <v>12707</v>
      </c>
      <c r="D3805" t="s">
        <v>12733</v>
      </c>
      <c r="E3805" t="s">
        <v>9372</v>
      </c>
      <c r="F3805" t="s">
        <v>9373</v>
      </c>
      <c r="G3805" s="712">
        <v>0</v>
      </c>
      <c r="H3805">
        <v>0</v>
      </c>
      <c r="I3805" s="713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</row>
    <row r="3806" spans="1:16">
      <c r="A3806">
        <v>5</v>
      </c>
      <c r="B3806" t="s">
        <v>12699</v>
      </c>
      <c r="C3806" t="s">
        <v>12707</v>
      </c>
      <c r="D3806" t="s">
        <v>12733</v>
      </c>
      <c r="E3806" t="s">
        <v>12737</v>
      </c>
      <c r="F3806" t="s">
        <v>12738</v>
      </c>
      <c r="G3806" s="712">
        <v>0</v>
      </c>
      <c r="H3806">
        <v>0</v>
      </c>
      <c r="I3806" s="713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</row>
    <row r="3807" spans="1:16" ht="15.75" thickBot="1">
      <c r="A3807">
        <v>5</v>
      </c>
      <c r="B3807" t="s">
        <v>12699</v>
      </c>
      <c r="C3807" t="s">
        <v>12707</v>
      </c>
      <c r="D3807" t="s">
        <v>12733</v>
      </c>
      <c r="E3807" t="s">
        <v>12739</v>
      </c>
      <c r="F3807" t="s">
        <v>12740</v>
      </c>
      <c r="G3807" s="712">
        <v>0</v>
      </c>
      <c r="H3807">
        <v>0</v>
      </c>
      <c r="I3807" s="713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</row>
    <row r="3808" spans="1:16" ht="15.75" thickBot="1">
      <c r="A3808" s="727">
        <v>5</v>
      </c>
      <c r="B3808" s="727" t="s">
        <v>12741</v>
      </c>
      <c r="C3808" s="727"/>
      <c r="D3808" s="727"/>
      <c r="E3808" s="727"/>
      <c r="F3808" s="745" t="s">
        <v>103</v>
      </c>
      <c r="G3808" s="738">
        <v>0</v>
      </c>
      <c r="H3808" s="738">
        <v>0</v>
      </c>
      <c r="I3808" s="738">
        <v>0</v>
      </c>
      <c r="J3808" s="739">
        <v>4931434.03</v>
      </c>
      <c r="K3808" s="739">
        <v>303942.39</v>
      </c>
      <c r="L3808" s="738">
        <v>0</v>
      </c>
      <c r="M3808" s="738">
        <v>0</v>
      </c>
      <c r="N3808" s="739">
        <v>4931434.03</v>
      </c>
      <c r="O3808" s="739">
        <v>303942.39</v>
      </c>
      <c r="P3808" s="739">
        <v>4627491.6399999997</v>
      </c>
    </row>
    <row r="3809" spans="1:16" ht="15.75" thickBot="1">
      <c r="A3809" s="727">
        <v>5</v>
      </c>
      <c r="B3809" s="727" t="s">
        <v>12741</v>
      </c>
      <c r="C3809" s="727" t="s">
        <v>12742</v>
      </c>
      <c r="D3809" s="727"/>
      <c r="E3809" s="727"/>
      <c r="F3809" s="745" t="s">
        <v>12743</v>
      </c>
      <c r="G3809" s="738">
        <v>0</v>
      </c>
      <c r="H3809" s="738">
        <v>0</v>
      </c>
      <c r="I3809" s="738">
        <v>0</v>
      </c>
      <c r="J3809" s="739">
        <v>1055304.1599999999</v>
      </c>
      <c r="K3809" s="738">
        <v>0</v>
      </c>
      <c r="L3809" s="738">
        <v>0</v>
      </c>
      <c r="M3809" s="738">
        <v>0</v>
      </c>
      <c r="N3809" s="739">
        <v>1055304.1599999999</v>
      </c>
      <c r="O3809" s="738">
        <v>0</v>
      </c>
      <c r="P3809" s="739">
        <v>1055304.1599999999</v>
      </c>
    </row>
    <row r="3810" spans="1:16" ht="15.75" thickBot="1">
      <c r="A3810" s="727">
        <v>5</v>
      </c>
      <c r="B3810" s="727" t="s">
        <v>12741</v>
      </c>
      <c r="C3810" s="727" t="s">
        <v>12742</v>
      </c>
      <c r="D3810" s="727" t="s">
        <v>12744</v>
      </c>
      <c r="E3810" s="727"/>
      <c r="F3810" s="729" t="s">
        <v>12745</v>
      </c>
      <c r="G3810" s="738">
        <v>0</v>
      </c>
      <c r="H3810" s="738">
        <v>0</v>
      </c>
      <c r="I3810" s="738">
        <v>0</v>
      </c>
      <c r="J3810" s="739">
        <v>940729.73</v>
      </c>
      <c r="K3810" s="738">
        <v>0</v>
      </c>
      <c r="L3810" s="738">
        <v>0</v>
      </c>
      <c r="M3810" s="738">
        <v>0</v>
      </c>
      <c r="N3810" s="739">
        <v>940729.73</v>
      </c>
      <c r="O3810" s="738">
        <v>0</v>
      </c>
      <c r="P3810" s="739">
        <v>940729.73</v>
      </c>
    </row>
    <row r="3811" spans="1:16">
      <c r="A3811">
        <v>5</v>
      </c>
      <c r="B3811" t="s">
        <v>12741</v>
      </c>
      <c r="C3811" t="s">
        <v>12742</v>
      </c>
      <c r="D3811" t="s">
        <v>12744</v>
      </c>
      <c r="E3811" t="s">
        <v>9381</v>
      </c>
      <c r="F3811" t="s">
        <v>9382</v>
      </c>
      <c r="G3811" s="712">
        <v>0</v>
      </c>
      <c r="H3811">
        <v>0</v>
      </c>
      <c r="I3811" s="713">
        <v>0</v>
      </c>
      <c r="J3811" s="711">
        <v>379925.53</v>
      </c>
      <c r="K3811">
        <v>0</v>
      </c>
      <c r="L3811">
        <v>0</v>
      </c>
      <c r="M3811">
        <v>0</v>
      </c>
      <c r="N3811" s="711">
        <v>379925.53</v>
      </c>
      <c r="O3811">
        <v>0</v>
      </c>
      <c r="P3811" s="711">
        <v>379925.53</v>
      </c>
    </row>
    <row r="3812" spans="1:16">
      <c r="A3812">
        <v>5</v>
      </c>
      <c r="B3812" t="s">
        <v>12741</v>
      </c>
      <c r="C3812" t="s">
        <v>12742</v>
      </c>
      <c r="D3812" t="s">
        <v>12744</v>
      </c>
      <c r="E3812" t="s">
        <v>9384</v>
      </c>
      <c r="F3812" t="s">
        <v>9385</v>
      </c>
      <c r="G3812" s="712">
        <v>0</v>
      </c>
      <c r="H3812">
        <v>0</v>
      </c>
      <c r="I3812" s="713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</row>
    <row r="3813" spans="1:16">
      <c r="A3813">
        <v>5</v>
      </c>
      <c r="B3813" t="s">
        <v>12741</v>
      </c>
      <c r="C3813" t="s">
        <v>12742</v>
      </c>
      <c r="D3813" t="s">
        <v>12744</v>
      </c>
      <c r="E3813" t="s">
        <v>9387</v>
      </c>
      <c r="F3813" t="s">
        <v>9388</v>
      </c>
      <c r="G3813" s="712">
        <v>0</v>
      </c>
      <c r="H3813">
        <v>0</v>
      </c>
      <c r="I3813" s="713">
        <v>0</v>
      </c>
      <c r="J3813" s="711">
        <v>220249.12</v>
      </c>
      <c r="K3813">
        <v>0</v>
      </c>
      <c r="L3813">
        <v>0</v>
      </c>
      <c r="M3813">
        <v>0</v>
      </c>
      <c r="N3813" s="711">
        <v>220249.12</v>
      </c>
      <c r="O3813">
        <v>0</v>
      </c>
      <c r="P3813" s="711">
        <v>220249.12</v>
      </c>
    </row>
    <row r="3814" spans="1:16">
      <c r="A3814">
        <v>5</v>
      </c>
      <c r="B3814" t="s">
        <v>12741</v>
      </c>
      <c r="C3814" t="s">
        <v>12742</v>
      </c>
      <c r="D3814" t="s">
        <v>12744</v>
      </c>
      <c r="E3814" t="s">
        <v>9390</v>
      </c>
      <c r="F3814" t="s">
        <v>9391</v>
      </c>
      <c r="G3814" s="712">
        <v>0</v>
      </c>
      <c r="H3814">
        <v>0</v>
      </c>
      <c r="I3814" s="713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</row>
    <row r="3815" spans="1:16">
      <c r="A3815">
        <v>5</v>
      </c>
      <c r="B3815" t="s">
        <v>12741</v>
      </c>
      <c r="C3815" t="s">
        <v>12742</v>
      </c>
      <c r="D3815" t="s">
        <v>12744</v>
      </c>
      <c r="E3815" t="s">
        <v>9393</v>
      </c>
      <c r="F3815" t="s">
        <v>9394</v>
      </c>
      <c r="G3815" s="712">
        <v>0</v>
      </c>
      <c r="H3815">
        <v>0</v>
      </c>
      <c r="I3815" s="713">
        <v>0</v>
      </c>
      <c r="J3815" s="711">
        <v>144482.01</v>
      </c>
      <c r="K3815">
        <v>0</v>
      </c>
      <c r="L3815">
        <v>0</v>
      </c>
      <c r="M3815">
        <v>0</v>
      </c>
      <c r="N3815" s="711">
        <v>144482.01</v>
      </c>
      <c r="O3815">
        <v>0</v>
      </c>
      <c r="P3815" s="711">
        <v>144482.01</v>
      </c>
    </row>
    <row r="3816" spans="1:16">
      <c r="A3816">
        <v>5</v>
      </c>
      <c r="B3816" t="s">
        <v>12741</v>
      </c>
      <c r="C3816" t="s">
        <v>12742</v>
      </c>
      <c r="D3816" t="s">
        <v>12744</v>
      </c>
      <c r="E3816" t="s">
        <v>9396</v>
      </c>
      <c r="F3816" t="s">
        <v>9397</v>
      </c>
      <c r="G3816" s="712">
        <v>0</v>
      </c>
      <c r="H3816">
        <v>0</v>
      </c>
      <c r="I3816" s="713">
        <v>0</v>
      </c>
      <c r="J3816" s="711">
        <v>178268.99</v>
      </c>
      <c r="K3816">
        <v>0</v>
      </c>
      <c r="L3816">
        <v>0</v>
      </c>
      <c r="M3816">
        <v>0</v>
      </c>
      <c r="N3816" s="711">
        <v>178268.99</v>
      </c>
      <c r="O3816">
        <v>0</v>
      </c>
      <c r="P3816" s="711">
        <v>178268.99</v>
      </c>
    </row>
    <row r="3817" spans="1:16">
      <c r="A3817">
        <v>5</v>
      </c>
      <c r="B3817" t="s">
        <v>12741</v>
      </c>
      <c r="C3817" t="s">
        <v>12742</v>
      </c>
      <c r="D3817" t="s">
        <v>12744</v>
      </c>
      <c r="E3817" t="s">
        <v>9399</v>
      </c>
      <c r="F3817" t="s">
        <v>9400</v>
      </c>
      <c r="G3817" s="712">
        <v>0</v>
      </c>
      <c r="H3817">
        <v>0</v>
      </c>
      <c r="I3817" s="713">
        <v>0</v>
      </c>
      <c r="J3817" s="711">
        <v>16543.84</v>
      </c>
      <c r="K3817">
        <v>0</v>
      </c>
      <c r="L3817">
        <v>0</v>
      </c>
      <c r="M3817">
        <v>0</v>
      </c>
      <c r="N3817" s="711">
        <v>16543.84</v>
      </c>
      <c r="O3817">
        <v>0</v>
      </c>
      <c r="P3817" s="711">
        <v>16543.84</v>
      </c>
    </row>
    <row r="3818" spans="1:16">
      <c r="A3818">
        <v>5</v>
      </c>
      <c r="B3818" t="s">
        <v>12741</v>
      </c>
      <c r="C3818" t="s">
        <v>12742</v>
      </c>
      <c r="D3818" t="s">
        <v>12744</v>
      </c>
      <c r="E3818" t="s">
        <v>9401</v>
      </c>
      <c r="F3818" t="s">
        <v>9402</v>
      </c>
      <c r="G3818" s="712">
        <v>0</v>
      </c>
      <c r="H3818">
        <v>0</v>
      </c>
      <c r="I3818" s="713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</row>
    <row r="3819" spans="1:16">
      <c r="A3819">
        <v>5</v>
      </c>
      <c r="B3819" t="s">
        <v>12741</v>
      </c>
      <c r="C3819" t="s">
        <v>12742</v>
      </c>
      <c r="D3819" t="s">
        <v>12744</v>
      </c>
      <c r="E3819" t="s">
        <v>9403</v>
      </c>
      <c r="F3819" t="s">
        <v>9404</v>
      </c>
      <c r="G3819" s="712">
        <v>0</v>
      </c>
      <c r="H3819">
        <v>0</v>
      </c>
      <c r="I3819" s="713">
        <v>0</v>
      </c>
      <c r="J3819" s="711">
        <v>1258.9100000000001</v>
      </c>
      <c r="K3819">
        <v>0</v>
      </c>
      <c r="L3819">
        <v>0</v>
      </c>
      <c r="M3819">
        <v>0</v>
      </c>
      <c r="N3819" s="711">
        <v>1258.9100000000001</v>
      </c>
      <c r="O3819">
        <v>0</v>
      </c>
      <c r="P3819" s="711">
        <v>1258.9100000000001</v>
      </c>
    </row>
    <row r="3820" spans="1:16">
      <c r="A3820">
        <v>5</v>
      </c>
      <c r="B3820" t="s">
        <v>12741</v>
      </c>
      <c r="C3820" t="s">
        <v>12742</v>
      </c>
      <c r="D3820" t="s">
        <v>12744</v>
      </c>
      <c r="E3820" t="s">
        <v>9405</v>
      </c>
      <c r="F3820" t="s">
        <v>9406</v>
      </c>
      <c r="G3820" s="712">
        <v>0</v>
      </c>
      <c r="H3820">
        <v>0</v>
      </c>
      <c r="I3820" s="713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</row>
    <row r="3821" spans="1:16">
      <c r="A3821">
        <v>5</v>
      </c>
      <c r="B3821" t="s">
        <v>12741</v>
      </c>
      <c r="C3821" t="s">
        <v>12742</v>
      </c>
      <c r="D3821" t="s">
        <v>12744</v>
      </c>
      <c r="E3821" t="s">
        <v>9407</v>
      </c>
      <c r="F3821" t="s">
        <v>9408</v>
      </c>
      <c r="G3821" s="712">
        <v>0</v>
      </c>
      <c r="H3821">
        <v>0</v>
      </c>
      <c r="I3821" s="713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</row>
    <row r="3822" spans="1:16">
      <c r="A3822">
        <v>5</v>
      </c>
      <c r="B3822" t="s">
        <v>12741</v>
      </c>
      <c r="C3822" t="s">
        <v>12742</v>
      </c>
      <c r="D3822" t="s">
        <v>12744</v>
      </c>
      <c r="E3822" t="s">
        <v>9409</v>
      </c>
      <c r="F3822" t="s">
        <v>9410</v>
      </c>
      <c r="G3822" s="712">
        <v>0</v>
      </c>
      <c r="H3822">
        <v>0</v>
      </c>
      <c r="I3822" s="713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</row>
    <row r="3823" spans="1:16">
      <c r="A3823">
        <v>5</v>
      </c>
      <c r="B3823" t="s">
        <v>12741</v>
      </c>
      <c r="C3823" t="s">
        <v>12742</v>
      </c>
      <c r="D3823" t="s">
        <v>12744</v>
      </c>
      <c r="E3823" t="s">
        <v>9411</v>
      </c>
      <c r="F3823" t="s">
        <v>9412</v>
      </c>
      <c r="G3823" s="712">
        <v>0</v>
      </c>
      <c r="H3823">
        <v>0</v>
      </c>
      <c r="I3823" s="713">
        <v>0</v>
      </c>
      <c r="J3823">
        <v>1.33</v>
      </c>
      <c r="K3823">
        <v>0</v>
      </c>
      <c r="L3823">
        <v>0</v>
      </c>
      <c r="M3823">
        <v>0</v>
      </c>
      <c r="N3823">
        <v>1.33</v>
      </c>
      <c r="O3823">
        <v>0</v>
      </c>
      <c r="P3823">
        <v>1.33</v>
      </c>
    </row>
    <row r="3824" spans="1:16">
      <c r="A3824">
        <v>5</v>
      </c>
      <c r="B3824" t="s">
        <v>12741</v>
      </c>
      <c r="C3824" t="s">
        <v>12742</v>
      </c>
      <c r="D3824" t="s">
        <v>12744</v>
      </c>
      <c r="E3824" t="s">
        <v>9413</v>
      </c>
      <c r="F3824" t="s">
        <v>9414</v>
      </c>
      <c r="G3824" s="712">
        <v>0</v>
      </c>
      <c r="H3824">
        <v>0</v>
      </c>
      <c r="I3824" s="713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</row>
    <row r="3825" spans="1:16">
      <c r="A3825">
        <v>5</v>
      </c>
      <c r="B3825" t="s">
        <v>12741</v>
      </c>
      <c r="C3825" t="s">
        <v>12742</v>
      </c>
      <c r="D3825" t="s">
        <v>12744</v>
      </c>
      <c r="E3825" t="s">
        <v>9416</v>
      </c>
      <c r="F3825" t="s">
        <v>9417</v>
      </c>
      <c r="G3825" s="712">
        <v>0</v>
      </c>
      <c r="H3825">
        <v>0</v>
      </c>
      <c r="I3825" s="713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</row>
    <row r="3826" spans="1:16">
      <c r="A3826">
        <v>5</v>
      </c>
      <c r="B3826" t="s">
        <v>12741</v>
      </c>
      <c r="C3826" t="s">
        <v>12742</v>
      </c>
      <c r="D3826" t="s">
        <v>12744</v>
      </c>
      <c r="E3826" t="s">
        <v>9419</v>
      </c>
      <c r="F3826" t="s">
        <v>9420</v>
      </c>
      <c r="G3826" s="712">
        <v>0</v>
      </c>
      <c r="H3826">
        <v>0</v>
      </c>
      <c r="I3826" s="713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</row>
    <row r="3827" spans="1:16">
      <c r="A3827">
        <v>5</v>
      </c>
      <c r="B3827" t="s">
        <v>12741</v>
      </c>
      <c r="C3827" t="s">
        <v>12742</v>
      </c>
      <c r="D3827" t="s">
        <v>12744</v>
      </c>
      <c r="E3827" t="s">
        <v>9421</v>
      </c>
      <c r="F3827" t="s">
        <v>9422</v>
      </c>
      <c r="G3827" s="712">
        <v>0</v>
      </c>
      <c r="H3827">
        <v>0</v>
      </c>
      <c r="I3827" s="713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</row>
    <row r="3828" spans="1:16">
      <c r="A3828">
        <v>5</v>
      </c>
      <c r="B3828" t="s">
        <v>12741</v>
      </c>
      <c r="C3828" t="s">
        <v>12742</v>
      </c>
      <c r="D3828" t="s">
        <v>12744</v>
      </c>
      <c r="E3828" t="s">
        <v>9423</v>
      </c>
      <c r="F3828" t="s">
        <v>9424</v>
      </c>
      <c r="G3828" s="712">
        <v>0</v>
      </c>
      <c r="H3828">
        <v>0</v>
      </c>
      <c r="I3828" s="713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</row>
    <row r="3829" spans="1:16">
      <c r="A3829">
        <v>5</v>
      </c>
      <c r="B3829" t="s">
        <v>12741</v>
      </c>
      <c r="C3829" t="s">
        <v>12742</v>
      </c>
      <c r="D3829" t="s">
        <v>12744</v>
      </c>
      <c r="E3829" t="s">
        <v>9425</v>
      </c>
      <c r="F3829" t="s">
        <v>9426</v>
      </c>
      <c r="G3829" s="712">
        <v>0</v>
      </c>
      <c r="H3829">
        <v>0</v>
      </c>
      <c r="I3829" s="713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</row>
    <row r="3830" spans="1:16">
      <c r="A3830">
        <v>5</v>
      </c>
      <c r="B3830" t="s">
        <v>12741</v>
      </c>
      <c r="C3830" t="s">
        <v>12742</v>
      </c>
      <c r="D3830" t="s">
        <v>12744</v>
      </c>
      <c r="E3830" t="s">
        <v>9427</v>
      </c>
      <c r="F3830" t="s">
        <v>9428</v>
      </c>
      <c r="G3830" s="712">
        <v>0</v>
      </c>
      <c r="H3830">
        <v>0</v>
      </c>
      <c r="I3830" s="713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</row>
    <row r="3831" spans="1:16">
      <c r="A3831">
        <v>5</v>
      </c>
      <c r="B3831" t="s">
        <v>12741</v>
      </c>
      <c r="C3831" t="s">
        <v>12742</v>
      </c>
      <c r="D3831" t="s">
        <v>12744</v>
      </c>
      <c r="E3831" t="s">
        <v>9429</v>
      </c>
      <c r="F3831" t="s">
        <v>9430</v>
      </c>
      <c r="G3831" s="712">
        <v>0</v>
      </c>
      <c r="H3831">
        <v>0</v>
      </c>
      <c r="I3831" s="713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</row>
    <row r="3832" spans="1:16">
      <c r="A3832">
        <v>5</v>
      </c>
      <c r="B3832" t="s">
        <v>12741</v>
      </c>
      <c r="C3832" t="s">
        <v>12742</v>
      </c>
      <c r="D3832" t="s">
        <v>12744</v>
      </c>
      <c r="E3832" t="s">
        <v>9431</v>
      </c>
      <c r="F3832" t="s">
        <v>9432</v>
      </c>
      <c r="G3832" s="712">
        <v>0</v>
      </c>
      <c r="H3832">
        <v>0</v>
      </c>
      <c r="I3832" s="713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</row>
    <row r="3833" spans="1:16">
      <c r="A3833">
        <v>5</v>
      </c>
      <c r="B3833" t="s">
        <v>12741</v>
      </c>
      <c r="C3833" t="s">
        <v>12742</v>
      </c>
      <c r="D3833" t="s">
        <v>12744</v>
      </c>
      <c r="E3833" t="s">
        <v>9433</v>
      </c>
      <c r="F3833" t="s">
        <v>9434</v>
      </c>
      <c r="G3833" s="712">
        <v>0</v>
      </c>
      <c r="H3833">
        <v>0</v>
      </c>
      <c r="I3833" s="71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</row>
    <row r="3834" spans="1:16">
      <c r="A3834">
        <v>5</v>
      </c>
      <c r="B3834" t="s">
        <v>12741</v>
      </c>
      <c r="C3834" t="s">
        <v>12742</v>
      </c>
      <c r="D3834" t="s">
        <v>12744</v>
      </c>
      <c r="E3834" t="s">
        <v>9435</v>
      </c>
      <c r="F3834" t="s">
        <v>9436</v>
      </c>
      <c r="G3834" s="712">
        <v>0</v>
      </c>
      <c r="H3834">
        <v>0</v>
      </c>
      <c r="I3834" s="713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</row>
    <row r="3835" spans="1:16">
      <c r="A3835">
        <v>5</v>
      </c>
      <c r="B3835" t="s">
        <v>12741</v>
      </c>
      <c r="C3835" t="s">
        <v>12742</v>
      </c>
      <c r="D3835" t="s">
        <v>12744</v>
      </c>
      <c r="E3835" t="s">
        <v>9437</v>
      </c>
      <c r="F3835" t="s">
        <v>9438</v>
      </c>
      <c r="G3835" s="712">
        <v>0</v>
      </c>
      <c r="H3835">
        <v>0</v>
      </c>
      <c r="I3835" s="713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</row>
    <row r="3836" spans="1:16">
      <c r="A3836">
        <v>5</v>
      </c>
      <c r="B3836" t="s">
        <v>12741</v>
      </c>
      <c r="C3836" t="s">
        <v>12742</v>
      </c>
      <c r="D3836" t="s">
        <v>12744</v>
      </c>
      <c r="E3836" t="s">
        <v>9439</v>
      </c>
      <c r="F3836" t="s">
        <v>9440</v>
      </c>
      <c r="G3836" s="712">
        <v>0</v>
      </c>
      <c r="H3836">
        <v>0</v>
      </c>
      <c r="I3836" s="713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</row>
    <row r="3837" spans="1:16" ht="15.75" thickBot="1">
      <c r="A3837">
        <v>5</v>
      </c>
      <c r="B3837" t="s">
        <v>12741</v>
      </c>
      <c r="C3837" t="s">
        <v>12742</v>
      </c>
      <c r="D3837" t="s">
        <v>12744</v>
      </c>
      <c r="E3837" t="s">
        <v>9441</v>
      </c>
      <c r="F3837" t="s">
        <v>9442</v>
      </c>
      <c r="G3837" s="712">
        <v>0</v>
      </c>
      <c r="H3837">
        <v>0</v>
      </c>
      <c r="I3837" s="713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</row>
    <row r="3838" spans="1:16" ht="15.75" thickBot="1">
      <c r="A3838" s="727">
        <v>5</v>
      </c>
      <c r="B3838" s="727" t="s">
        <v>12741</v>
      </c>
      <c r="C3838" s="727" t="s">
        <v>12742</v>
      </c>
      <c r="D3838" s="727" t="s">
        <v>12746</v>
      </c>
      <c r="E3838" s="727"/>
      <c r="F3838" s="729" t="s">
        <v>12747</v>
      </c>
      <c r="G3838" s="738">
        <v>0</v>
      </c>
      <c r="H3838" s="738">
        <v>0</v>
      </c>
      <c r="I3838" s="738">
        <v>0</v>
      </c>
      <c r="J3838" s="739">
        <v>114574.43</v>
      </c>
      <c r="K3838" s="738">
        <v>0</v>
      </c>
      <c r="L3838" s="738">
        <v>0</v>
      </c>
      <c r="M3838" s="738">
        <v>0</v>
      </c>
      <c r="N3838" s="739">
        <v>114574.43</v>
      </c>
      <c r="O3838" s="738">
        <v>0</v>
      </c>
      <c r="P3838" s="739">
        <v>114574.43</v>
      </c>
    </row>
    <row r="3839" spans="1:16">
      <c r="A3839">
        <v>5</v>
      </c>
      <c r="B3839" t="s">
        <v>12741</v>
      </c>
      <c r="C3839" t="s">
        <v>12742</v>
      </c>
      <c r="D3839" t="s">
        <v>12746</v>
      </c>
      <c r="E3839" t="s">
        <v>9445</v>
      </c>
      <c r="F3839" t="s">
        <v>9446</v>
      </c>
      <c r="G3839" s="712">
        <v>0</v>
      </c>
      <c r="H3839">
        <v>0</v>
      </c>
      <c r="I3839" s="713">
        <v>0</v>
      </c>
      <c r="J3839" s="711">
        <v>48825.51</v>
      </c>
      <c r="K3839">
        <v>0</v>
      </c>
      <c r="L3839">
        <v>0</v>
      </c>
      <c r="M3839">
        <v>0</v>
      </c>
      <c r="N3839" s="711">
        <v>48825.51</v>
      </c>
      <c r="O3839">
        <v>0</v>
      </c>
      <c r="P3839" s="711">
        <v>48825.51</v>
      </c>
    </row>
    <row r="3840" spans="1:16">
      <c r="A3840">
        <v>5</v>
      </c>
      <c r="B3840" t="s">
        <v>12741</v>
      </c>
      <c r="C3840" t="s">
        <v>12742</v>
      </c>
      <c r="D3840" t="s">
        <v>12746</v>
      </c>
      <c r="E3840" t="s">
        <v>9448</v>
      </c>
      <c r="F3840" t="s">
        <v>9449</v>
      </c>
      <c r="G3840" s="712">
        <v>0</v>
      </c>
      <c r="H3840">
        <v>0</v>
      </c>
      <c r="I3840" s="713">
        <v>0</v>
      </c>
      <c r="J3840" s="711">
        <v>24943.65</v>
      </c>
      <c r="K3840">
        <v>0</v>
      </c>
      <c r="L3840">
        <v>0</v>
      </c>
      <c r="M3840">
        <v>0</v>
      </c>
      <c r="N3840" s="711">
        <v>24943.65</v>
      </c>
      <c r="O3840">
        <v>0</v>
      </c>
      <c r="P3840" s="711">
        <v>24943.65</v>
      </c>
    </row>
    <row r="3841" spans="1:16">
      <c r="A3841">
        <v>5</v>
      </c>
      <c r="B3841" t="s">
        <v>12741</v>
      </c>
      <c r="C3841" t="s">
        <v>12742</v>
      </c>
      <c r="D3841" t="s">
        <v>12746</v>
      </c>
      <c r="E3841" t="s">
        <v>9451</v>
      </c>
      <c r="F3841" t="s">
        <v>9452</v>
      </c>
      <c r="G3841" s="712">
        <v>0</v>
      </c>
      <c r="H3841">
        <v>0</v>
      </c>
      <c r="I3841" s="713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</row>
    <row r="3842" spans="1:16">
      <c r="A3842">
        <v>5</v>
      </c>
      <c r="B3842" t="s">
        <v>12741</v>
      </c>
      <c r="C3842" t="s">
        <v>12742</v>
      </c>
      <c r="D3842" t="s">
        <v>12746</v>
      </c>
      <c r="E3842" t="s">
        <v>9454</v>
      </c>
      <c r="F3842" t="s">
        <v>9455</v>
      </c>
      <c r="G3842" s="712">
        <v>0</v>
      </c>
      <c r="H3842">
        <v>0</v>
      </c>
      <c r="I3842" s="713">
        <v>0</v>
      </c>
      <c r="J3842" s="711">
        <v>16053.56</v>
      </c>
      <c r="K3842">
        <v>0</v>
      </c>
      <c r="L3842">
        <v>0</v>
      </c>
      <c r="M3842">
        <v>0</v>
      </c>
      <c r="N3842" s="711">
        <v>16053.56</v>
      </c>
      <c r="O3842">
        <v>0</v>
      </c>
      <c r="P3842" s="711">
        <v>16053.56</v>
      </c>
    </row>
    <row r="3843" spans="1:16">
      <c r="A3843">
        <v>5</v>
      </c>
      <c r="B3843" t="s">
        <v>12741</v>
      </c>
      <c r="C3843" t="s">
        <v>12742</v>
      </c>
      <c r="D3843" t="s">
        <v>12746</v>
      </c>
      <c r="E3843" t="s">
        <v>9457</v>
      </c>
      <c r="F3843" t="s">
        <v>9458</v>
      </c>
      <c r="G3843" s="712">
        <v>0</v>
      </c>
      <c r="H3843">
        <v>0</v>
      </c>
      <c r="I3843" s="713">
        <v>0</v>
      </c>
      <c r="J3843" s="711">
        <v>21929.86</v>
      </c>
      <c r="K3843">
        <v>0</v>
      </c>
      <c r="L3843">
        <v>0</v>
      </c>
      <c r="M3843">
        <v>0</v>
      </c>
      <c r="N3843" s="711">
        <v>21929.86</v>
      </c>
      <c r="O3843">
        <v>0</v>
      </c>
      <c r="P3843" s="711">
        <v>21929.86</v>
      </c>
    </row>
    <row r="3844" spans="1:16">
      <c r="A3844">
        <v>5</v>
      </c>
      <c r="B3844" t="s">
        <v>12741</v>
      </c>
      <c r="C3844" t="s">
        <v>12742</v>
      </c>
      <c r="D3844" t="s">
        <v>12746</v>
      </c>
      <c r="E3844" t="s">
        <v>9460</v>
      </c>
      <c r="F3844" t="s">
        <v>9461</v>
      </c>
      <c r="G3844" s="712">
        <v>0</v>
      </c>
      <c r="H3844">
        <v>0</v>
      </c>
      <c r="I3844" s="713">
        <v>0</v>
      </c>
      <c r="J3844" s="711">
        <v>2664.49</v>
      </c>
      <c r="K3844">
        <v>0</v>
      </c>
      <c r="L3844">
        <v>0</v>
      </c>
      <c r="M3844">
        <v>0</v>
      </c>
      <c r="N3844" s="711">
        <v>2664.49</v>
      </c>
      <c r="O3844">
        <v>0</v>
      </c>
      <c r="P3844" s="711">
        <v>2664.49</v>
      </c>
    </row>
    <row r="3845" spans="1:16">
      <c r="A3845">
        <v>5</v>
      </c>
      <c r="B3845" t="s">
        <v>12741</v>
      </c>
      <c r="C3845" t="s">
        <v>12742</v>
      </c>
      <c r="D3845" t="s">
        <v>12746</v>
      </c>
      <c r="E3845" t="s">
        <v>9462</v>
      </c>
      <c r="F3845" t="s">
        <v>9463</v>
      </c>
      <c r="G3845" s="712">
        <v>0</v>
      </c>
      <c r="H3845">
        <v>0</v>
      </c>
      <c r="I3845" s="713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</row>
    <row r="3846" spans="1:16">
      <c r="A3846">
        <v>5</v>
      </c>
      <c r="B3846" t="s">
        <v>12741</v>
      </c>
      <c r="C3846" t="s">
        <v>12742</v>
      </c>
      <c r="D3846" t="s">
        <v>12746</v>
      </c>
      <c r="E3846" t="s">
        <v>9464</v>
      </c>
      <c r="F3846" t="s">
        <v>9465</v>
      </c>
      <c r="G3846" s="712">
        <v>0</v>
      </c>
      <c r="H3846">
        <v>0</v>
      </c>
      <c r="I3846" s="713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</row>
    <row r="3847" spans="1:16">
      <c r="A3847">
        <v>5</v>
      </c>
      <c r="B3847" t="s">
        <v>12741</v>
      </c>
      <c r="C3847" t="s">
        <v>12742</v>
      </c>
      <c r="D3847" t="s">
        <v>12746</v>
      </c>
      <c r="E3847" t="s">
        <v>9466</v>
      </c>
      <c r="F3847" t="s">
        <v>9467</v>
      </c>
      <c r="G3847" s="712">
        <v>0</v>
      </c>
      <c r="H3847">
        <v>0</v>
      </c>
      <c r="I3847" s="713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</row>
    <row r="3848" spans="1:16">
      <c r="A3848">
        <v>5</v>
      </c>
      <c r="B3848" t="s">
        <v>12741</v>
      </c>
      <c r="C3848" t="s">
        <v>12742</v>
      </c>
      <c r="D3848" t="s">
        <v>12746</v>
      </c>
      <c r="E3848" t="s">
        <v>9468</v>
      </c>
      <c r="F3848" t="s">
        <v>9469</v>
      </c>
      <c r="G3848" s="712">
        <v>0</v>
      </c>
      <c r="H3848">
        <v>0</v>
      </c>
      <c r="I3848" s="713">
        <v>0</v>
      </c>
      <c r="J3848">
        <v>157.36000000000001</v>
      </c>
      <c r="K3848">
        <v>0</v>
      </c>
      <c r="L3848">
        <v>0</v>
      </c>
      <c r="M3848">
        <v>0</v>
      </c>
      <c r="N3848">
        <v>157.36000000000001</v>
      </c>
      <c r="O3848">
        <v>0</v>
      </c>
      <c r="P3848">
        <v>157.36000000000001</v>
      </c>
    </row>
    <row r="3849" spans="1:16">
      <c r="A3849">
        <v>5</v>
      </c>
      <c r="B3849" t="s">
        <v>12741</v>
      </c>
      <c r="C3849" t="s">
        <v>12742</v>
      </c>
      <c r="D3849" t="s">
        <v>12746</v>
      </c>
      <c r="E3849" t="s">
        <v>9470</v>
      </c>
      <c r="F3849" t="s">
        <v>9471</v>
      </c>
      <c r="G3849" s="712">
        <v>0</v>
      </c>
      <c r="H3849">
        <v>0</v>
      </c>
      <c r="I3849" s="713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</row>
    <row r="3850" spans="1:16">
      <c r="A3850">
        <v>5</v>
      </c>
      <c r="B3850" t="s">
        <v>12741</v>
      </c>
      <c r="C3850" t="s">
        <v>12742</v>
      </c>
      <c r="D3850" t="s">
        <v>12746</v>
      </c>
      <c r="E3850" t="s">
        <v>9472</v>
      </c>
      <c r="F3850" t="s">
        <v>9473</v>
      </c>
      <c r="G3850" s="712">
        <v>0</v>
      </c>
      <c r="H3850">
        <v>0</v>
      </c>
      <c r="I3850" s="713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</row>
    <row r="3851" spans="1:16">
      <c r="A3851">
        <v>5</v>
      </c>
      <c r="B3851" t="s">
        <v>12741</v>
      </c>
      <c r="C3851" t="s">
        <v>12742</v>
      </c>
      <c r="D3851" t="s">
        <v>12746</v>
      </c>
      <c r="E3851" t="s">
        <v>9474</v>
      </c>
      <c r="F3851" t="s">
        <v>9475</v>
      </c>
      <c r="G3851" s="712">
        <v>0</v>
      </c>
      <c r="H3851">
        <v>0</v>
      </c>
      <c r="I3851" s="713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</row>
    <row r="3852" spans="1:16">
      <c r="A3852">
        <v>5</v>
      </c>
      <c r="B3852" t="s">
        <v>12741</v>
      </c>
      <c r="C3852" t="s">
        <v>12742</v>
      </c>
      <c r="D3852" t="s">
        <v>12746</v>
      </c>
      <c r="E3852" t="s">
        <v>9477</v>
      </c>
      <c r="F3852" t="s">
        <v>9478</v>
      </c>
      <c r="G3852" s="712">
        <v>0</v>
      </c>
      <c r="H3852">
        <v>0</v>
      </c>
      <c r="I3852" s="713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</row>
    <row r="3853" spans="1:16">
      <c r="A3853">
        <v>5</v>
      </c>
      <c r="B3853" t="s">
        <v>12741</v>
      </c>
      <c r="C3853" t="s">
        <v>12742</v>
      </c>
      <c r="D3853" t="s">
        <v>12746</v>
      </c>
      <c r="E3853" t="s">
        <v>9480</v>
      </c>
      <c r="F3853" t="s">
        <v>9481</v>
      </c>
      <c r="G3853" s="712">
        <v>0</v>
      </c>
      <c r="H3853">
        <v>0</v>
      </c>
      <c r="I3853" s="71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</row>
    <row r="3854" spans="1:16">
      <c r="A3854">
        <v>5</v>
      </c>
      <c r="B3854" t="s">
        <v>12741</v>
      </c>
      <c r="C3854" t="s">
        <v>12742</v>
      </c>
      <c r="D3854" t="s">
        <v>12746</v>
      </c>
      <c r="E3854" t="s">
        <v>9482</v>
      </c>
      <c r="F3854" t="s">
        <v>9483</v>
      </c>
      <c r="G3854" s="712">
        <v>0</v>
      </c>
      <c r="H3854">
        <v>0</v>
      </c>
      <c r="I3854" s="713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</row>
    <row r="3855" spans="1:16">
      <c r="A3855">
        <v>5</v>
      </c>
      <c r="B3855" t="s">
        <v>12741</v>
      </c>
      <c r="C3855" t="s">
        <v>12742</v>
      </c>
      <c r="D3855" t="s">
        <v>12746</v>
      </c>
      <c r="E3855" t="s">
        <v>9484</v>
      </c>
      <c r="F3855" t="s">
        <v>9485</v>
      </c>
      <c r="G3855" s="712">
        <v>0</v>
      </c>
      <c r="H3855">
        <v>0</v>
      </c>
      <c r="I3855" s="713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</row>
    <row r="3856" spans="1:16">
      <c r="A3856">
        <v>5</v>
      </c>
      <c r="B3856" t="s">
        <v>12741</v>
      </c>
      <c r="C3856" t="s">
        <v>12742</v>
      </c>
      <c r="D3856" t="s">
        <v>12746</v>
      </c>
      <c r="E3856" t="s">
        <v>9486</v>
      </c>
      <c r="F3856" t="s">
        <v>9487</v>
      </c>
      <c r="G3856" s="712">
        <v>0</v>
      </c>
      <c r="H3856">
        <v>0</v>
      </c>
      <c r="I3856" s="713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</row>
    <row r="3857" spans="1:16">
      <c r="A3857">
        <v>5</v>
      </c>
      <c r="B3857" t="s">
        <v>12741</v>
      </c>
      <c r="C3857" t="s">
        <v>12742</v>
      </c>
      <c r="D3857" t="s">
        <v>12746</v>
      </c>
      <c r="E3857" t="s">
        <v>9488</v>
      </c>
      <c r="F3857" t="s">
        <v>9489</v>
      </c>
      <c r="G3857" s="712">
        <v>0</v>
      </c>
      <c r="H3857">
        <v>0</v>
      </c>
      <c r="I3857" s="713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</row>
    <row r="3858" spans="1:16">
      <c r="A3858">
        <v>5</v>
      </c>
      <c r="B3858" t="s">
        <v>12741</v>
      </c>
      <c r="C3858" t="s">
        <v>12742</v>
      </c>
      <c r="D3858" t="s">
        <v>12746</v>
      </c>
      <c r="E3858" t="s">
        <v>9490</v>
      </c>
      <c r="F3858" t="s">
        <v>9491</v>
      </c>
      <c r="G3858" s="712">
        <v>0</v>
      </c>
      <c r="H3858">
        <v>0</v>
      </c>
      <c r="I3858" s="713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</row>
    <row r="3859" spans="1:16">
      <c r="A3859">
        <v>5</v>
      </c>
      <c r="B3859" t="s">
        <v>12741</v>
      </c>
      <c r="C3859" t="s">
        <v>12742</v>
      </c>
      <c r="D3859" t="s">
        <v>12746</v>
      </c>
      <c r="E3859" t="s">
        <v>9492</v>
      </c>
      <c r="F3859" t="s">
        <v>9493</v>
      </c>
      <c r="G3859" s="712">
        <v>0</v>
      </c>
      <c r="H3859">
        <v>0</v>
      </c>
      <c r="I3859" s="713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</row>
    <row r="3860" spans="1:16">
      <c r="A3860">
        <v>5</v>
      </c>
      <c r="B3860" t="s">
        <v>12741</v>
      </c>
      <c r="C3860" t="s">
        <v>12742</v>
      </c>
      <c r="D3860" t="s">
        <v>12746</v>
      </c>
      <c r="E3860" t="s">
        <v>9494</v>
      </c>
      <c r="F3860" t="s">
        <v>9495</v>
      </c>
      <c r="G3860" s="712">
        <v>0</v>
      </c>
      <c r="H3860">
        <v>0</v>
      </c>
      <c r="I3860" s="713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</row>
    <row r="3861" spans="1:16">
      <c r="A3861">
        <v>5</v>
      </c>
      <c r="B3861" t="s">
        <v>12741</v>
      </c>
      <c r="C3861" t="s">
        <v>12742</v>
      </c>
      <c r="D3861" t="s">
        <v>12746</v>
      </c>
      <c r="E3861" t="s">
        <v>9496</v>
      </c>
      <c r="F3861" t="s">
        <v>9497</v>
      </c>
      <c r="G3861" s="712">
        <v>0</v>
      </c>
      <c r="H3861">
        <v>0</v>
      </c>
      <c r="I3861" s="713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</row>
    <row r="3862" spans="1:16">
      <c r="A3862">
        <v>5</v>
      </c>
      <c r="B3862" t="s">
        <v>12741</v>
      </c>
      <c r="C3862" t="s">
        <v>12742</v>
      </c>
      <c r="D3862" t="s">
        <v>12746</v>
      </c>
      <c r="E3862" t="s">
        <v>9498</v>
      </c>
      <c r="F3862" t="s">
        <v>9499</v>
      </c>
      <c r="G3862" s="712">
        <v>0</v>
      </c>
      <c r="H3862">
        <v>0</v>
      </c>
      <c r="I3862" s="713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</row>
    <row r="3863" spans="1:16">
      <c r="A3863">
        <v>5</v>
      </c>
      <c r="B3863" t="s">
        <v>12741</v>
      </c>
      <c r="C3863" t="s">
        <v>12742</v>
      </c>
      <c r="D3863" t="s">
        <v>12746</v>
      </c>
      <c r="E3863" t="s">
        <v>9500</v>
      </c>
      <c r="F3863" t="s">
        <v>9501</v>
      </c>
      <c r="G3863" s="712">
        <v>0</v>
      </c>
      <c r="H3863">
        <v>0</v>
      </c>
      <c r="I3863" s="71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</row>
    <row r="3864" spans="1:16" ht="15.75" thickBot="1">
      <c r="A3864">
        <v>5</v>
      </c>
      <c r="B3864" t="s">
        <v>12741</v>
      </c>
      <c r="C3864" t="s">
        <v>12742</v>
      </c>
      <c r="D3864" t="s">
        <v>12746</v>
      </c>
      <c r="E3864" t="s">
        <v>9502</v>
      </c>
      <c r="F3864" t="s">
        <v>9503</v>
      </c>
      <c r="G3864" s="712">
        <v>0</v>
      </c>
      <c r="H3864">
        <v>0</v>
      </c>
      <c r="I3864" s="713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</row>
    <row r="3865" spans="1:16" ht="15.75" thickBot="1">
      <c r="A3865" s="727">
        <v>5</v>
      </c>
      <c r="B3865" s="727" t="s">
        <v>12741</v>
      </c>
      <c r="C3865" s="727" t="s">
        <v>12742</v>
      </c>
      <c r="D3865" s="727" t="s">
        <v>12748</v>
      </c>
      <c r="E3865" s="727"/>
      <c r="F3865" s="729" t="s">
        <v>9507</v>
      </c>
      <c r="G3865" s="738">
        <v>0</v>
      </c>
      <c r="H3865" s="738">
        <v>0</v>
      </c>
      <c r="I3865" s="738">
        <v>0</v>
      </c>
      <c r="J3865" s="738">
        <v>0</v>
      </c>
      <c r="K3865" s="738">
        <v>0</v>
      </c>
      <c r="L3865" s="738">
        <v>0</v>
      </c>
      <c r="M3865" s="738">
        <v>0</v>
      </c>
      <c r="N3865" s="738">
        <v>0</v>
      </c>
      <c r="O3865" s="738">
        <v>0</v>
      </c>
      <c r="P3865" s="738">
        <v>0</v>
      </c>
    </row>
    <row r="3866" spans="1:16" ht="15.75" thickBot="1">
      <c r="A3866">
        <v>5</v>
      </c>
      <c r="B3866" t="s">
        <v>12741</v>
      </c>
      <c r="C3866" t="s">
        <v>12742</v>
      </c>
      <c r="D3866" t="s">
        <v>12748</v>
      </c>
      <c r="E3866" t="s">
        <v>9506</v>
      </c>
      <c r="F3866" t="s">
        <v>9507</v>
      </c>
      <c r="G3866" s="712">
        <v>0</v>
      </c>
      <c r="H3866">
        <v>0</v>
      </c>
      <c r="I3866" s="713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</row>
    <row r="3867" spans="1:16" ht="15.75" thickBot="1">
      <c r="A3867" s="727">
        <v>5</v>
      </c>
      <c r="B3867" s="727" t="s">
        <v>12741</v>
      </c>
      <c r="C3867" s="727" t="s">
        <v>12749</v>
      </c>
      <c r="D3867" s="727"/>
      <c r="E3867" s="727"/>
      <c r="F3867" s="745" t="s">
        <v>12750</v>
      </c>
      <c r="G3867" s="738">
        <v>0</v>
      </c>
      <c r="H3867" s="738">
        <v>0</v>
      </c>
      <c r="I3867" s="738">
        <v>0</v>
      </c>
      <c r="J3867" s="739">
        <v>3876129.87</v>
      </c>
      <c r="K3867" s="739">
        <v>303942.39</v>
      </c>
      <c r="L3867" s="738">
        <v>0</v>
      </c>
      <c r="M3867" s="738">
        <v>0</v>
      </c>
      <c r="N3867" s="739">
        <v>3876129.87</v>
      </c>
      <c r="O3867" s="739">
        <v>303942.39</v>
      </c>
      <c r="P3867" s="739">
        <v>3572187.48</v>
      </c>
    </row>
    <row r="3868" spans="1:16" ht="15.75" thickBot="1">
      <c r="A3868" s="727">
        <v>5</v>
      </c>
      <c r="B3868" s="727" t="s">
        <v>12741</v>
      </c>
      <c r="C3868" s="727" t="s">
        <v>12749</v>
      </c>
      <c r="D3868" s="727" t="s">
        <v>12751</v>
      </c>
      <c r="E3868" s="727"/>
      <c r="F3868" s="729" t="s">
        <v>12752</v>
      </c>
      <c r="G3868" s="738">
        <v>0</v>
      </c>
      <c r="H3868" s="738">
        <v>0</v>
      </c>
      <c r="I3868" s="738">
        <v>0</v>
      </c>
      <c r="J3868" s="739">
        <v>3737488.94</v>
      </c>
      <c r="K3868" s="739">
        <v>297929.13</v>
      </c>
      <c r="L3868" s="738">
        <v>0</v>
      </c>
      <c r="M3868" s="738">
        <v>0</v>
      </c>
      <c r="N3868" s="739">
        <v>3737488.94</v>
      </c>
      <c r="O3868" s="739">
        <v>297929.13</v>
      </c>
      <c r="P3868" s="739">
        <v>3439559.81</v>
      </c>
    </row>
    <row r="3869" spans="1:16">
      <c r="A3869">
        <v>5</v>
      </c>
      <c r="B3869" t="s">
        <v>12741</v>
      </c>
      <c r="C3869" t="s">
        <v>12749</v>
      </c>
      <c r="D3869" t="s">
        <v>12751</v>
      </c>
      <c r="E3869" t="s">
        <v>9512</v>
      </c>
      <c r="F3869" t="s">
        <v>9513</v>
      </c>
      <c r="G3869" s="712">
        <v>0</v>
      </c>
      <c r="H3869">
        <v>0</v>
      </c>
      <c r="I3869" s="713">
        <v>0</v>
      </c>
      <c r="J3869" s="711">
        <v>1747212.86</v>
      </c>
      <c r="K3869" s="711">
        <v>54528.46</v>
      </c>
      <c r="L3869">
        <v>0</v>
      </c>
      <c r="M3869">
        <v>0</v>
      </c>
      <c r="N3869" s="711">
        <v>1747212.86</v>
      </c>
      <c r="O3869" s="711">
        <v>54528.46</v>
      </c>
      <c r="P3869" s="711">
        <v>1692684.4</v>
      </c>
    </row>
    <row r="3870" spans="1:16">
      <c r="A3870">
        <v>5</v>
      </c>
      <c r="B3870" t="s">
        <v>12741</v>
      </c>
      <c r="C3870" t="s">
        <v>12749</v>
      </c>
      <c r="D3870" t="s">
        <v>12751</v>
      </c>
      <c r="E3870" t="s">
        <v>9515</v>
      </c>
      <c r="F3870" t="s">
        <v>9516</v>
      </c>
      <c r="G3870" s="712">
        <v>0</v>
      </c>
      <c r="H3870">
        <v>0</v>
      </c>
      <c r="I3870" s="713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</row>
    <row r="3871" spans="1:16">
      <c r="A3871">
        <v>5</v>
      </c>
      <c r="B3871" t="s">
        <v>12741</v>
      </c>
      <c r="C3871" t="s">
        <v>12749</v>
      </c>
      <c r="D3871" t="s">
        <v>12751</v>
      </c>
      <c r="E3871" t="s">
        <v>12753</v>
      </c>
      <c r="F3871" t="s">
        <v>12754</v>
      </c>
      <c r="G3871" s="712">
        <v>0</v>
      </c>
      <c r="H3871">
        <v>0</v>
      </c>
      <c r="I3871" s="713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</row>
    <row r="3872" spans="1:16">
      <c r="A3872">
        <v>5</v>
      </c>
      <c r="B3872" t="s">
        <v>12741</v>
      </c>
      <c r="C3872" t="s">
        <v>12749</v>
      </c>
      <c r="D3872" t="s">
        <v>12751</v>
      </c>
      <c r="E3872" t="s">
        <v>12755</v>
      </c>
      <c r="F3872" t="s">
        <v>12756</v>
      </c>
      <c r="G3872" s="712">
        <v>0</v>
      </c>
      <c r="H3872">
        <v>0</v>
      </c>
      <c r="I3872" s="713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</row>
    <row r="3873" spans="1:16">
      <c r="A3873">
        <v>5</v>
      </c>
      <c r="B3873" t="s">
        <v>12741</v>
      </c>
      <c r="C3873" t="s">
        <v>12749</v>
      </c>
      <c r="D3873" t="s">
        <v>12751</v>
      </c>
      <c r="E3873" t="s">
        <v>12757</v>
      </c>
      <c r="F3873" t="s">
        <v>12758</v>
      </c>
      <c r="G3873" s="712">
        <v>0</v>
      </c>
      <c r="H3873">
        <v>0</v>
      </c>
      <c r="I3873" s="71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</row>
    <row r="3874" spans="1:16">
      <c r="A3874">
        <v>5</v>
      </c>
      <c r="B3874" t="s">
        <v>12741</v>
      </c>
      <c r="C3874" t="s">
        <v>12749</v>
      </c>
      <c r="D3874" t="s">
        <v>12751</v>
      </c>
      <c r="E3874" t="s">
        <v>9518</v>
      </c>
      <c r="F3874" t="s">
        <v>9519</v>
      </c>
      <c r="G3874" s="712">
        <v>0</v>
      </c>
      <c r="H3874">
        <v>0</v>
      </c>
      <c r="I3874" s="713">
        <v>0</v>
      </c>
      <c r="J3874" s="711">
        <v>621924.94999999995</v>
      </c>
      <c r="K3874">
        <v>0</v>
      </c>
      <c r="L3874">
        <v>0</v>
      </c>
      <c r="M3874">
        <v>0</v>
      </c>
      <c r="N3874" s="711">
        <v>621924.94999999995</v>
      </c>
      <c r="O3874">
        <v>0</v>
      </c>
      <c r="P3874" s="711">
        <v>621924.94999999995</v>
      </c>
    </row>
    <row r="3875" spans="1:16">
      <c r="A3875">
        <v>5</v>
      </c>
      <c r="B3875" t="s">
        <v>12741</v>
      </c>
      <c r="C3875" t="s">
        <v>12749</v>
      </c>
      <c r="D3875" t="s">
        <v>12751</v>
      </c>
      <c r="E3875" t="s">
        <v>9521</v>
      </c>
      <c r="F3875" t="s">
        <v>9522</v>
      </c>
      <c r="G3875" s="712">
        <v>0</v>
      </c>
      <c r="H3875">
        <v>0</v>
      </c>
      <c r="I3875" s="713">
        <v>0</v>
      </c>
      <c r="J3875" s="711">
        <v>84495.37</v>
      </c>
      <c r="K3875">
        <v>0</v>
      </c>
      <c r="L3875">
        <v>0</v>
      </c>
      <c r="M3875">
        <v>0</v>
      </c>
      <c r="N3875" s="711">
        <v>84495.37</v>
      </c>
      <c r="O3875">
        <v>0</v>
      </c>
      <c r="P3875" s="711">
        <v>84495.37</v>
      </c>
    </row>
    <row r="3876" spans="1:16">
      <c r="A3876">
        <v>5</v>
      </c>
      <c r="B3876" t="s">
        <v>12741</v>
      </c>
      <c r="C3876" t="s">
        <v>12749</v>
      </c>
      <c r="D3876" t="s">
        <v>12751</v>
      </c>
      <c r="E3876" t="s">
        <v>9523</v>
      </c>
      <c r="F3876" t="s">
        <v>9524</v>
      </c>
      <c r="G3876" s="712">
        <v>0</v>
      </c>
      <c r="H3876">
        <v>0</v>
      </c>
      <c r="I3876" s="713">
        <v>0</v>
      </c>
      <c r="J3876">
        <v>734.72</v>
      </c>
      <c r="K3876">
        <v>0</v>
      </c>
      <c r="L3876">
        <v>0</v>
      </c>
      <c r="M3876">
        <v>0</v>
      </c>
      <c r="N3876">
        <v>734.72</v>
      </c>
      <c r="O3876">
        <v>0</v>
      </c>
      <c r="P3876">
        <v>734.72</v>
      </c>
    </row>
    <row r="3877" spans="1:16">
      <c r="A3877">
        <v>5</v>
      </c>
      <c r="B3877" t="s">
        <v>12741</v>
      </c>
      <c r="C3877" t="s">
        <v>12749</v>
      </c>
      <c r="D3877" t="s">
        <v>12751</v>
      </c>
      <c r="E3877" t="s">
        <v>9525</v>
      </c>
      <c r="F3877" t="s">
        <v>9526</v>
      </c>
      <c r="G3877" s="712">
        <v>0</v>
      </c>
      <c r="H3877">
        <v>0</v>
      </c>
      <c r="I3877" s="713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</row>
    <row r="3878" spans="1:16">
      <c r="A3878">
        <v>5</v>
      </c>
      <c r="B3878" t="s">
        <v>12741</v>
      </c>
      <c r="C3878" t="s">
        <v>12749</v>
      </c>
      <c r="D3878" t="s">
        <v>12751</v>
      </c>
      <c r="E3878" t="s">
        <v>9527</v>
      </c>
      <c r="F3878" t="s">
        <v>9528</v>
      </c>
      <c r="G3878" s="712">
        <v>0</v>
      </c>
      <c r="H3878">
        <v>0</v>
      </c>
      <c r="I3878" s="713">
        <v>0</v>
      </c>
      <c r="J3878" s="711">
        <v>9875.27</v>
      </c>
      <c r="K3878">
        <v>0</v>
      </c>
      <c r="L3878">
        <v>0</v>
      </c>
      <c r="M3878">
        <v>0</v>
      </c>
      <c r="N3878" s="711">
        <v>9875.27</v>
      </c>
      <c r="O3878">
        <v>0</v>
      </c>
      <c r="P3878" s="711">
        <v>9875.27</v>
      </c>
    </row>
    <row r="3879" spans="1:16">
      <c r="A3879">
        <v>5</v>
      </c>
      <c r="B3879" t="s">
        <v>12741</v>
      </c>
      <c r="C3879" t="s">
        <v>12749</v>
      </c>
      <c r="D3879" t="s">
        <v>12751</v>
      </c>
      <c r="E3879" t="s">
        <v>9529</v>
      </c>
      <c r="F3879" t="s">
        <v>9530</v>
      </c>
      <c r="G3879" s="712">
        <v>0</v>
      </c>
      <c r="H3879">
        <v>0</v>
      </c>
      <c r="I3879" s="713">
        <v>0</v>
      </c>
      <c r="J3879">
        <v>0.55000000000000004</v>
      </c>
      <c r="K3879">
        <v>0</v>
      </c>
      <c r="L3879">
        <v>0</v>
      </c>
      <c r="M3879">
        <v>0</v>
      </c>
      <c r="N3879">
        <v>0.55000000000000004</v>
      </c>
      <c r="O3879">
        <v>0</v>
      </c>
      <c r="P3879">
        <v>0.55000000000000004</v>
      </c>
    </row>
    <row r="3880" spans="1:16">
      <c r="A3880">
        <v>5</v>
      </c>
      <c r="B3880" t="s">
        <v>12741</v>
      </c>
      <c r="C3880" t="s">
        <v>12749</v>
      </c>
      <c r="D3880" t="s">
        <v>12751</v>
      </c>
      <c r="E3880" t="s">
        <v>9531</v>
      </c>
      <c r="F3880" t="s">
        <v>9532</v>
      </c>
      <c r="G3880" s="712">
        <v>0</v>
      </c>
      <c r="H3880">
        <v>0</v>
      </c>
      <c r="I3880" s="713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</row>
    <row r="3881" spans="1:16">
      <c r="A3881">
        <v>5</v>
      </c>
      <c r="B3881" t="s">
        <v>12741</v>
      </c>
      <c r="C3881" t="s">
        <v>12749</v>
      </c>
      <c r="D3881" t="s">
        <v>12751</v>
      </c>
      <c r="E3881" t="s">
        <v>9533</v>
      </c>
      <c r="F3881" t="s">
        <v>9534</v>
      </c>
      <c r="G3881" s="712">
        <v>0</v>
      </c>
      <c r="H3881">
        <v>0</v>
      </c>
      <c r="I3881" s="713">
        <v>0</v>
      </c>
      <c r="J3881">
        <v>41.18</v>
      </c>
      <c r="K3881">
        <v>0</v>
      </c>
      <c r="L3881">
        <v>0</v>
      </c>
      <c r="M3881">
        <v>0</v>
      </c>
      <c r="N3881">
        <v>41.18</v>
      </c>
      <c r="O3881">
        <v>0</v>
      </c>
      <c r="P3881">
        <v>41.18</v>
      </c>
    </row>
    <row r="3882" spans="1:16">
      <c r="A3882">
        <v>5</v>
      </c>
      <c r="B3882" t="s">
        <v>12741</v>
      </c>
      <c r="C3882" t="s">
        <v>12749</v>
      </c>
      <c r="D3882" t="s">
        <v>12751</v>
      </c>
      <c r="E3882" t="s">
        <v>9535</v>
      </c>
      <c r="F3882" t="s">
        <v>9536</v>
      </c>
      <c r="G3882" s="712">
        <v>0</v>
      </c>
      <c r="H3882">
        <v>0</v>
      </c>
      <c r="I3882" s="713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</row>
    <row r="3883" spans="1:16">
      <c r="A3883">
        <v>5</v>
      </c>
      <c r="B3883" t="s">
        <v>12741</v>
      </c>
      <c r="C3883" t="s">
        <v>12749</v>
      </c>
      <c r="D3883" t="s">
        <v>12751</v>
      </c>
      <c r="E3883" t="s">
        <v>9538</v>
      </c>
      <c r="F3883" t="s">
        <v>9539</v>
      </c>
      <c r="G3883" s="712">
        <v>0</v>
      </c>
      <c r="H3883">
        <v>0</v>
      </c>
      <c r="I3883" s="71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</row>
    <row r="3884" spans="1:16">
      <c r="A3884">
        <v>5</v>
      </c>
      <c r="B3884" t="s">
        <v>12741</v>
      </c>
      <c r="C3884" t="s">
        <v>12749</v>
      </c>
      <c r="D3884" t="s">
        <v>12751</v>
      </c>
      <c r="E3884" t="s">
        <v>9541</v>
      </c>
      <c r="F3884" t="s">
        <v>9542</v>
      </c>
      <c r="G3884" s="712">
        <v>0</v>
      </c>
      <c r="H3884">
        <v>0</v>
      </c>
      <c r="I3884" s="713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</row>
    <row r="3885" spans="1:16">
      <c r="A3885">
        <v>5</v>
      </c>
      <c r="B3885" t="s">
        <v>12741</v>
      </c>
      <c r="C3885" t="s">
        <v>12749</v>
      </c>
      <c r="D3885" t="s">
        <v>12751</v>
      </c>
      <c r="E3885" t="s">
        <v>9544</v>
      </c>
      <c r="F3885" t="s">
        <v>9545</v>
      </c>
      <c r="G3885" s="712">
        <v>0</v>
      </c>
      <c r="H3885">
        <v>0</v>
      </c>
      <c r="I3885" s="713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</row>
    <row r="3886" spans="1:16">
      <c r="A3886">
        <v>5</v>
      </c>
      <c r="B3886" t="s">
        <v>12741</v>
      </c>
      <c r="C3886" t="s">
        <v>12749</v>
      </c>
      <c r="D3886" t="s">
        <v>12751</v>
      </c>
      <c r="E3886" t="s">
        <v>9547</v>
      </c>
      <c r="F3886" t="s">
        <v>9548</v>
      </c>
      <c r="G3886" s="712">
        <v>0</v>
      </c>
      <c r="H3886">
        <v>0</v>
      </c>
      <c r="I3886" s="713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</row>
    <row r="3887" spans="1:16">
      <c r="A3887">
        <v>5</v>
      </c>
      <c r="B3887" t="s">
        <v>12741</v>
      </c>
      <c r="C3887" t="s">
        <v>12749</v>
      </c>
      <c r="D3887" t="s">
        <v>12751</v>
      </c>
      <c r="E3887" t="s">
        <v>9549</v>
      </c>
      <c r="F3887" t="s">
        <v>9550</v>
      </c>
      <c r="G3887" s="712">
        <v>0</v>
      </c>
      <c r="H3887">
        <v>0</v>
      </c>
      <c r="I3887" s="713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</row>
    <row r="3888" spans="1:16">
      <c r="A3888">
        <v>5</v>
      </c>
      <c r="B3888" t="s">
        <v>12741</v>
      </c>
      <c r="C3888" t="s">
        <v>12749</v>
      </c>
      <c r="D3888" t="s">
        <v>12751</v>
      </c>
      <c r="E3888" t="s">
        <v>9551</v>
      </c>
      <c r="F3888" t="s">
        <v>9552</v>
      </c>
      <c r="G3888" s="712">
        <v>0</v>
      </c>
      <c r="H3888">
        <v>0</v>
      </c>
      <c r="I3888" s="713">
        <v>0</v>
      </c>
      <c r="J3888" s="711">
        <v>176292.68</v>
      </c>
      <c r="K3888">
        <v>0</v>
      </c>
      <c r="L3888">
        <v>0</v>
      </c>
      <c r="M3888">
        <v>0</v>
      </c>
      <c r="N3888" s="711">
        <v>176292.68</v>
      </c>
      <c r="O3888">
        <v>0</v>
      </c>
      <c r="P3888" s="711">
        <v>176292.68</v>
      </c>
    </row>
    <row r="3889" spans="1:16">
      <c r="A3889">
        <v>5</v>
      </c>
      <c r="B3889" t="s">
        <v>12741</v>
      </c>
      <c r="C3889" t="s">
        <v>12749</v>
      </c>
      <c r="D3889" t="s">
        <v>12751</v>
      </c>
      <c r="E3889" t="s">
        <v>9553</v>
      </c>
      <c r="F3889" t="s">
        <v>9554</v>
      </c>
      <c r="G3889" s="712">
        <v>0</v>
      </c>
      <c r="H3889">
        <v>0</v>
      </c>
      <c r="I3889" s="713">
        <v>0</v>
      </c>
      <c r="J3889">
        <v>154.91999999999999</v>
      </c>
      <c r="K3889">
        <v>0</v>
      </c>
      <c r="L3889">
        <v>0</v>
      </c>
      <c r="M3889">
        <v>0</v>
      </c>
      <c r="N3889">
        <v>154.91999999999999</v>
      </c>
      <c r="O3889">
        <v>0</v>
      </c>
      <c r="P3889">
        <v>154.91999999999999</v>
      </c>
    </row>
    <row r="3890" spans="1:16">
      <c r="A3890">
        <v>5</v>
      </c>
      <c r="B3890" t="s">
        <v>12741</v>
      </c>
      <c r="C3890" t="s">
        <v>12749</v>
      </c>
      <c r="D3890" t="s">
        <v>12751</v>
      </c>
      <c r="E3890" t="s">
        <v>9555</v>
      </c>
      <c r="F3890" t="s">
        <v>9556</v>
      </c>
      <c r="G3890" s="712">
        <v>0</v>
      </c>
      <c r="H3890">
        <v>0</v>
      </c>
      <c r="I3890" s="713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</row>
    <row r="3891" spans="1:16">
      <c r="A3891">
        <v>5</v>
      </c>
      <c r="B3891" t="s">
        <v>12741</v>
      </c>
      <c r="C3891" t="s">
        <v>12749</v>
      </c>
      <c r="D3891" t="s">
        <v>12751</v>
      </c>
      <c r="E3891" t="s">
        <v>9557</v>
      </c>
      <c r="F3891" t="s">
        <v>9558</v>
      </c>
      <c r="G3891" s="712">
        <v>0</v>
      </c>
      <c r="H3891">
        <v>0</v>
      </c>
      <c r="I3891" s="713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</row>
    <row r="3892" spans="1:16">
      <c r="A3892">
        <v>5</v>
      </c>
      <c r="B3892" t="s">
        <v>12741</v>
      </c>
      <c r="C3892" t="s">
        <v>12749</v>
      </c>
      <c r="D3892" t="s">
        <v>12751</v>
      </c>
      <c r="E3892" t="s">
        <v>9559</v>
      </c>
      <c r="F3892" t="s">
        <v>9560</v>
      </c>
      <c r="G3892" s="712">
        <v>0</v>
      </c>
      <c r="H3892">
        <v>0</v>
      </c>
      <c r="I3892" s="713">
        <v>0</v>
      </c>
      <c r="J3892">
        <v>438.56</v>
      </c>
      <c r="K3892">
        <v>0</v>
      </c>
      <c r="L3892">
        <v>0</v>
      </c>
      <c r="M3892">
        <v>0</v>
      </c>
      <c r="N3892">
        <v>438.56</v>
      </c>
      <c r="O3892">
        <v>0</v>
      </c>
      <c r="P3892">
        <v>438.56</v>
      </c>
    </row>
    <row r="3893" spans="1:16">
      <c r="A3893">
        <v>5</v>
      </c>
      <c r="B3893" t="s">
        <v>12741</v>
      </c>
      <c r="C3893" t="s">
        <v>12749</v>
      </c>
      <c r="D3893" t="s">
        <v>12751</v>
      </c>
      <c r="E3893" t="s">
        <v>9561</v>
      </c>
      <c r="F3893" t="s">
        <v>9562</v>
      </c>
      <c r="G3893" s="712">
        <v>0</v>
      </c>
      <c r="H3893">
        <v>0</v>
      </c>
      <c r="I3893" s="71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</row>
    <row r="3894" spans="1:16">
      <c r="A3894">
        <v>5</v>
      </c>
      <c r="B3894" t="s">
        <v>12741</v>
      </c>
      <c r="C3894" t="s">
        <v>12749</v>
      </c>
      <c r="D3894" t="s">
        <v>12751</v>
      </c>
      <c r="E3894" t="s">
        <v>9563</v>
      </c>
      <c r="F3894" t="s">
        <v>9564</v>
      </c>
      <c r="G3894" s="712">
        <v>0</v>
      </c>
      <c r="H3894">
        <v>0</v>
      </c>
      <c r="I3894" s="713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</row>
    <row r="3895" spans="1:16">
      <c r="A3895">
        <v>5</v>
      </c>
      <c r="B3895" t="s">
        <v>12741</v>
      </c>
      <c r="C3895" t="s">
        <v>12749</v>
      </c>
      <c r="D3895" t="s">
        <v>12751</v>
      </c>
      <c r="E3895" t="s">
        <v>9565</v>
      </c>
      <c r="F3895" t="s">
        <v>9566</v>
      </c>
      <c r="G3895" s="712">
        <v>0</v>
      </c>
      <c r="H3895">
        <v>0</v>
      </c>
      <c r="I3895" s="713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</row>
    <row r="3896" spans="1:16">
      <c r="A3896">
        <v>5</v>
      </c>
      <c r="B3896" t="s">
        <v>12741</v>
      </c>
      <c r="C3896" t="s">
        <v>12749</v>
      </c>
      <c r="D3896" t="s">
        <v>12751</v>
      </c>
      <c r="E3896" t="s">
        <v>9567</v>
      </c>
      <c r="F3896" t="s">
        <v>9568</v>
      </c>
      <c r="G3896" s="712">
        <v>0</v>
      </c>
      <c r="H3896">
        <v>0</v>
      </c>
      <c r="I3896" s="713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</row>
    <row r="3897" spans="1:16">
      <c r="A3897">
        <v>5</v>
      </c>
      <c r="B3897" t="s">
        <v>12741</v>
      </c>
      <c r="C3897" t="s">
        <v>12749</v>
      </c>
      <c r="D3897" t="s">
        <v>12751</v>
      </c>
      <c r="E3897" t="s">
        <v>9569</v>
      </c>
      <c r="F3897" t="s">
        <v>9570</v>
      </c>
      <c r="G3897" s="712">
        <v>0</v>
      </c>
      <c r="H3897">
        <v>0</v>
      </c>
      <c r="I3897" s="713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</row>
    <row r="3898" spans="1:16">
      <c r="A3898">
        <v>5</v>
      </c>
      <c r="B3898" t="s">
        <v>12741</v>
      </c>
      <c r="C3898" t="s">
        <v>12749</v>
      </c>
      <c r="D3898" t="s">
        <v>12751</v>
      </c>
      <c r="E3898" t="s">
        <v>9571</v>
      </c>
      <c r="F3898" t="s">
        <v>9572</v>
      </c>
      <c r="G3898" s="712">
        <v>0</v>
      </c>
      <c r="H3898">
        <v>0</v>
      </c>
      <c r="I3898" s="713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</row>
    <row r="3899" spans="1:16">
      <c r="A3899">
        <v>5</v>
      </c>
      <c r="B3899" t="s">
        <v>12741</v>
      </c>
      <c r="C3899" t="s">
        <v>12749</v>
      </c>
      <c r="D3899" t="s">
        <v>12751</v>
      </c>
      <c r="E3899" t="s">
        <v>9573</v>
      </c>
      <c r="F3899" t="s">
        <v>9574</v>
      </c>
      <c r="G3899" s="712">
        <v>0</v>
      </c>
      <c r="H3899">
        <v>0</v>
      </c>
      <c r="I3899" s="713">
        <v>0</v>
      </c>
      <c r="J3899" s="711">
        <v>165611.57999999999</v>
      </c>
      <c r="K3899" s="711">
        <v>165611.57999999999</v>
      </c>
      <c r="L3899">
        <v>0</v>
      </c>
      <c r="M3899">
        <v>0</v>
      </c>
      <c r="N3899" s="711">
        <v>165611.57999999999</v>
      </c>
      <c r="O3899" s="711">
        <v>165611.57999999999</v>
      </c>
      <c r="P3899">
        <v>0</v>
      </c>
    </row>
    <row r="3900" spans="1:16">
      <c r="A3900">
        <v>5</v>
      </c>
      <c r="B3900" t="s">
        <v>12741</v>
      </c>
      <c r="C3900" t="s">
        <v>12749</v>
      </c>
      <c r="D3900" t="s">
        <v>12751</v>
      </c>
      <c r="E3900" t="s">
        <v>9576</v>
      </c>
      <c r="F3900" t="s">
        <v>9577</v>
      </c>
      <c r="G3900" s="712">
        <v>0</v>
      </c>
      <c r="H3900">
        <v>0</v>
      </c>
      <c r="I3900" s="713">
        <v>0</v>
      </c>
      <c r="J3900" s="711">
        <v>77789.09</v>
      </c>
      <c r="K3900" s="711">
        <v>77789.09</v>
      </c>
      <c r="L3900">
        <v>0</v>
      </c>
      <c r="M3900">
        <v>0</v>
      </c>
      <c r="N3900" s="711">
        <v>77789.09</v>
      </c>
      <c r="O3900" s="711">
        <v>77789.09</v>
      </c>
      <c r="P3900">
        <v>0</v>
      </c>
    </row>
    <row r="3901" spans="1:16">
      <c r="A3901">
        <v>5</v>
      </c>
      <c r="B3901" t="s">
        <v>12741</v>
      </c>
      <c r="C3901" t="s">
        <v>12749</v>
      </c>
      <c r="D3901" t="s">
        <v>12751</v>
      </c>
      <c r="E3901" t="s">
        <v>9579</v>
      </c>
      <c r="F3901" t="s">
        <v>9580</v>
      </c>
      <c r="G3901" s="712">
        <v>0</v>
      </c>
      <c r="H3901">
        <v>0</v>
      </c>
      <c r="I3901" s="713">
        <v>0</v>
      </c>
      <c r="J3901" s="711">
        <v>295873.73</v>
      </c>
      <c r="K3901">
        <v>0</v>
      </c>
      <c r="L3901">
        <v>0</v>
      </c>
      <c r="M3901">
        <v>0</v>
      </c>
      <c r="N3901" s="711">
        <v>295873.73</v>
      </c>
      <c r="O3901">
        <v>0</v>
      </c>
      <c r="P3901" s="711">
        <v>295873.73</v>
      </c>
    </row>
    <row r="3902" spans="1:16" ht="15.75" thickBot="1">
      <c r="A3902">
        <v>5</v>
      </c>
      <c r="B3902" t="s">
        <v>12741</v>
      </c>
      <c r="C3902" t="s">
        <v>12749</v>
      </c>
      <c r="D3902" t="s">
        <v>12751</v>
      </c>
      <c r="E3902" t="s">
        <v>9581</v>
      </c>
      <c r="F3902" t="s">
        <v>9582</v>
      </c>
      <c r="G3902" s="712">
        <v>0</v>
      </c>
      <c r="H3902">
        <v>0</v>
      </c>
      <c r="I3902" s="713">
        <v>0</v>
      </c>
      <c r="J3902" s="711">
        <v>557043.48</v>
      </c>
      <c r="K3902">
        <v>0</v>
      </c>
      <c r="L3902">
        <v>0</v>
      </c>
      <c r="M3902">
        <v>0</v>
      </c>
      <c r="N3902" s="711">
        <v>557043.48</v>
      </c>
      <c r="O3902">
        <v>0</v>
      </c>
      <c r="P3902" s="711">
        <v>557043.48</v>
      </c>
    </row>
    <row r="3903" spans="1:16" ht="15.75" thickBot="1">
      <c r="A3903" s="727">
        <v>5</v>
      </c>
      <c r="B3903" s="727" t="s">
        <v>12741</v>
      </c>
      <c r="C3903" s="727" t="s">
        <v>12749</v>
      </c>
      <c r="D3903" s="727" t="s">
        <v>12759</v>
      </c>
      <c r="E3903" s="727"/>
      <c r="F3903" s="729" t="s">
        <v>12760</v>
      </c>
      <c r="G3903" s="738">
        <v>0</v>
      </c>
      <c r="H3903" s="738">
        <v>0</v>
      </c>
      <c r="I3903" s="738">
        <v>0</v>
      </c>
      <c r="J3903" s="738">
        <v>0</v>
      </c>
      <c r="K3903" s="738">
        <v>0</v>
      </c>
      <c r="L3903" s="738">
        <v>0</v>
      </c>
      <c r="M3903" s="738">
        <v>0</v>
      </c>
      <c r="N3903" s="738">
        <v>0</v>
      </c>
      <c r="O3903" s="738">
        <v>0</v>
      </c>
      <c r="P3903" s="738">
        <v>0</v>
      </c>
    </row>
    <row r="3904" spans="1:16">
      <c r="A3904">
        <v>5</v>
      </c>
      <c r="B3904" t="s">
        <v>12741</v>
      </c>
      <c r="C3904" t="s">
        <v>12749</v>
      </c>
      <c r="D3904" t="s">
        <v>12759</v>
      </c>
      <c r="E3904" t="s">
        <v>9585</v>
      </c>
      <c r="F3904" t="s">
        <v>9586</v>
      </c>
      <c r="G3904" s="712">
        <v>0</v>
      </c>
      <c r="H3904">
        <v>0</v>
      </c>
      <c r="I3904" s="713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</row>
    <row r="3905" spans="1:16">
      <c r="A3905">
        <v>5</v>
      </c>
      <c r="B3905" t="s">
        <v>12741</v>
      </c>
      <c r="C3905" t="s">
        <v>12749</v>
      </c>
      <c r="D3905" t="s">
        <v>12759</v>
      </c>
      <c r="E3905" t="s">
        <v>12761</v>
      </c>
      <c r="F3905" t="s">
        <v>12762</v>
      </c>
      <c r="G3905" s="712">
        <v>0</v>
      </c>
      <c r="H3905">
        <v>0</v>
      </c>
      <c r="I3905" s="713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</row>
    <row r="3906" spans="1:16">
      <c r="A3906">
        <v>5</v>
      </c>
      <c r="B3906" t="s">
        <v>12741</v>
      </c>
      <c r="C3906" t="s">
        <v>12749</v>
      </c>
      <c r="D3906" t="s">
        <v>12759</v>
      </c>
      <c r="E3906" t="s">
        <v>12763</v>
      </c>
      <c r="F3906" t="s">
        <v>12764</v>
      </c>
      <c r="G3906" s="712">
        <v>0</v>
      </c>
      <c r="H3906">
        <v>0</v>
      </c>
      <c r="I3906" s="713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</row>
    <row r="3907" spans="1:16">
      <c r="A3907">
        <v>5</v>
      </c>
      <c r="B3907" t="s">
        <v>12741</v>
      </c>
      <c r="C3907" t="s">
        <v>12749</v>
      </c>
      <c r="D3907" t="s">
        <v>12759</v>
      </c>
      <c r="E3907" t="s">
        <v>12765</v>
      </c>
      <c r="F3907" t="s">
        <v>12766</v>
      </c>
      <c r="G3907" s="712">
        <v>0</v>
      </c>
      <c r="H3907">
        <v>0</v>
      </c>
      <c r="I3907" s="713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</row>
    <row r="3908" spans="1:16">
      <c r="A3908">
        <v>5</v>
      </c>
      <c r="B3908" t="s">
        <v>12741</v>
      </c>
      <c r="C3908" t="s">
        <v>12749</v>
      </c>
      <c r="D3908" t="s">
        <v>12759</v>
      </c>
      <c r="E3908" t="s">
        <v>9588</v>
      </c>
      <c r="F3908" t="s">
        <v>9589</v>
      </c>
      <c r="G3908" s="712">
        <v>0</v>
      </c>
      <c r="H3908">
        <v>0</v>
      </c>
      <c r="I3908" s="713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</row>
    <row r="3909" spans="1:16">
      <c r="A3909">
        <v>5</v>
      </c>
      <c r="B3909" t="s">
        <v>12741</v>
      </c>
      <c r="C3909" t="s">
        <v>12749</v>
      </c>
      <c r="D3909" t="s">
        <v>12759</v>
      </c>
      <c r="E3909" t="s">
        <v>9591</v>
      </c>
      <c r="F3909" t="s">
        <v>9592</v>
      </c>
      <c r="G3909" s="712">
        <v>0</v>
      </c>
      <c r="H3909">
        <v>0</v>
      </c>
      <c r="I3909" s="713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</row>
    <row r="3910" spans="1:16">
      <c r="A3910">
        <v>5</v>
      </c>
      <c r="B3910" t="s">
        <v>12741</v>
      </c>
      <c r="C3910" t="s">
        <v>12749</v>
      </c>
      <c r="D3910" t="s">
        <v>12759</v>
      </c>
      <c r="E3910" t="s">
        <v>9593</v>
      </c>
      <c r="F3910" t="s">
        <v>9594</v>
      </c>
      <c r="G3910" s="712">
        <v>0</v>
      </c>
      <c r="H3910">
        <v>0</v>
      </c>
      <c r="I3910" s="713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</row>
    <row r="3911" spans="1:16">
      <c r="A3911">
        <v>5</v>
      </c>
      <c r="B3911" t="s">
        <v>12741</v>
      </c>
      <c r="C3911" t="s">
        <v>12749</v>
      </c>
      <c r="D3911" t="s">
        <v>12759</v>
      </c>
      <c r="E3911" t="s">
        <v>9595</v>
      </c>
      <c r="F3911" t="s">
        <v>9596</v>
      </c>
      <c r="G3911" s="712">
        <v>0</v>
      </c>
      <c r="H3911">
        <v>0</v>
      </c>
      <c r="I3911" s="713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</row>
    <row r="3912" spans="1:16">
      <c r="A3912">
        <v>5</v>
      </c>
      <c r="B3912" t="s">
        <v>12741</v>
      </c>
      <c r="C3912" t="s">
        <v>12749</v>
      </c>
      <c r="D3912" t="s">
        <v>12759</v>
      </c>
      <c r="E3912" t="s">
        <v>9597</v>
      </c>
      <c r="F3912" t="s">
        <v>9598</v>
      </c>
      <c r="G3912" s="712">
        <v>0</v>
      </c>
      <c r="H3912">
        <v>0</v>
      </c>
      <c r="I3912" s="713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</row>
    <row r="3913" spans="1:16">
      <c r="A3913">
        <v>5</v>
      </c>
      <c r="B3913" t="s">
        <v>12741</v>
      </c>
      <c r="C3913" t="s">
        <v>12749</v>
      </c>
      <c r="D3913" t="s">
        <v>12759</v>
      </c>
      <c r="E3913" t="s">
        <v>9599</v>
      </c>
      <c r="F3913" t="s">
        <v>9600</v>
      </c>
      <c r="G3913" s="712">
        <v>0</v>
      </c>
      <c r="H3913">
        <v>0</v>
      </c>
      <c r="I3913" s="7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</row>
    <row r="3914" spans="1:16">
      <c r="A3914">
        <v>5</v>
      </c>
      <c r="B3914" t="s">
        <v>12741</v>
      </c>
      <c r="C3914" t="s">
        <v>12749</v>
      </c>
      <c r="D3914" t="s">
        <v>12759</v>
      </c>
      <c r="E3914" t="s">
        <v>9601</v>
      </c>
      <c r="F3914" t="s">
        <v>9602</v>
      </c>
      <c r="G3914" s="712">
        <v>0</v>
      </c>
      <c r="H3914">
        <v>0</v>
      </c>
      <c r="I3914" s="713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</row>
    <row r="3915" spans="1:16">
      <c r="A3915">
        <v>5</v>
      </c>
      <c r="B3915" t="s">
        <v>12741</v>
      </c>
      <c r="C3915" t="s">
        <v>12749</v>
      </c>
      <c r="D3915" t="s">
        <v>12759</v>
      </c>
      <c r="E3915" t="s">
        <v>9603</v>
      </c>
      <c r="F3915" t="s">
        <v>9604</v>
      </c>
      <c r="G3915" s="712">
        <v>0</v>
      </c>
      <c r="H3915">
        <v>0</v>
      </c>
      <c r="I3915" s="713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</row>
    <row r="3916" spans="1:16">
      <c r="A3916">
        <v>5</v>
      </c>
      <c r="B3916" t="s">
        <v>12741</v>
      </c>
      <c r="C3916" t="s">
        <v>12749</v>
      </c>
      <c r="D3916" t="s">
        <v>12759</v>
      </c>
      <c r="E3916" t="s">
        <v>9605</v>
      </c>
      <c r="F3916" t="s">
        <v>9606</v>
      </c>
      <c r="G3916" s="712">
        <v>0</v>
      </c>
      <c r="H3916">
        <v>0</v>
      </c>
      <c r="I3916" s="713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</row>
    <row r="3917" spans="1:16">
      <c r="A3917">
        <v>5</v>
      </c>
      <c r="B3917" t="s">
        <v>12741</v>
      </c>
      <c r="C3917" t="s">
        <v>12749</v>
      </c>
      <c r="D3917" t="s">
        <v>12759</v>
      </c>
      <c r="E3917" t="s">
        <v>9608</v>
      </c>
      <c r="F3917" t="s">
        <v>9609</v>
      </c>
      <c r="G3917" s="712">
        <v>0</v>
      </c>
      <c r="H3917">
        <v>0</v>
      </c>
      <c r="I3917" s="713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</row>
    <row r="3918" spans="1:16">
      <c r="A3918">
        <v>5</v>
      </c>
      <c r="B3918" t="s">
        <v>12741</v>
      </c>
      <c r="C3918" t="s">
        <v>12749</v>
      </c>
      <c r="D3918" t="s">
        <v>12759</v>
      </c>
      <c r="E3918" t="s">
        <v>9611</v>
      </c>
      <c r="F3918" t="s">
        <v>9612</v>
      </c>
      <c r="G3918" s="712">
        <v>0</v>
      </c>
      <c r="H3918">
        <v>0</v>
      </c>
      <c r="I3918" s="713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</row>
    <row r="3919" spans="1:16">
      <c r="A3919">
        <v>5</v>
      </c>
      <c r="B3919" t="s">
        <v>12741</v>
      </c>
      <c r="C3919" t="s">
        <v>12749</v>
      </c>
      <c r="D3919" t="s">
        <v>12759</v>
      </c>
      <c r="E3919" t="s">
        <v>9614</v>
      </c>
      <c r="F3919" t="s">
        <v>9615</v>
      </c>
      <c r="G3919" s="712">
        <v>0</v>
      </c>
      <c r="H3919">
        <v>0</v>
      </c>
      <c r="I3919" s="713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</row>
    <row r="3920" spans="1:16">
      <c r="A3920">
        <v>5</v>
      </c>
      <c r="B3920" t="s">
        <v>12741</v>
      </c>
      <c r="C3920" t="s">
        <v>12749</v>
      </c>
      <c r="D3920" t="s">
        <v>12759</v>
      </c>
      <c r="E3920" t="s">
        <v>9617</v>
      </c>
      <c r="F3920" t="s">
        <v>9618</v>
      </c>
      <c r="G3920" s="712">
        <v>0</v>
      </c>
      <c r="H3920">
        <v>0</v>
      </c>
      <c r="I3920" s="713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</row>
    <row r="3921" spans="1:16">
      <c r="A3921">
        <v>5</v>
      </c>
      <c r="B3921" t="s">
        <v>12741</v>
      </c>
      <c r="C3921" t="s">
        <v>12749</v>
      </c>
      <c r="D3921" t="s">
        <v>12759</v>
      </c>
      <c r="E3921" t="s">
        <v>9619</v>
      </c>
      <c r="F3921" t="s">
        <v>9620</v>
      </c>
      <c r="G3921" s="712">
        <v>0</v>
      </c>
      <c r="H3921">
        <v>0</v>
      </c>
      <c r="I3921" s="713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</row>
    <row r="3922" spans="1:16">
      <c r="A3922">
        <v>5</v>
      </c>
      <c r="B3922" t="s">
        <v>12741</v>
      </c>
      <c r="C3922" t="s">
        <v>12749</v>
      </c>
      <c r="D3922" t="s">
        <v>12759</v>
      </c>
      <c r="E3922" t="s">
        <v>9621</v>
      </c>
      <c r="F3922" t="s">
        <v>9622</v>
      </c>
      <c r="G3922" s="712">
        <v>0</v>
      </c>
      <c r="H3922">
        <v>0</v>
      </c>
      <c r="I3922" s="713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</row>
    <row r="3923" spans="1:16">
      <c r="A3923">
        <v>5</v>
      </c>
      <c r="B3923" t="s">
        <v>12741</v>
      </c>
      <c r="C3923" t="s">
        <v>12749</v>
      </c>
      <c r="D3923" t="s">
        <v>12759</v>
      </c>
      <c r="E3923" t="s">
        <v>9623</v>
      </c>
      <c r="F3923" t="s">
        <v>9624</v>
      </c>
      <c r="G3923" s="712">
        <v>0</v>
      </c>
      <c r="H3923">
        <v>0</v>
      </c>
      <c r="I3923" s="71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</row>
    <row r="3924" spans="1:16">
      <c r="A3924">
        <v>5</v>
      </c>
      <c r="B3924" t="s">
        <v>12741</v>
      </c>
      <c r="C3924" t="s">
        <v>12749</v>
      </c>
      <c r="D3924" t="s">
        <v>12759</v>
      </c>
      <c r="E3924" t="s">
        <v>12767</v>
      </c>
      <c r="F3924" t="s">
        <v>12768</v>
      </c>
      <c r="G3924" s="712">
        <v>0</v>
      </c>
      <c r="H3924">
        <v>0</v>
      </c>
      <c r="I3924" s="713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</row>
    <row r="3925" spans="1:16">
      <c r="A3925">
        <v>5</v>
      </c>
      <c r="B3925" t="s">
        <v>12741</v>
      </c>
      <c r="C3925" t="s">
        <v>12749</v>
      </c>
      <c r="D3925" t="s">
        <v>12759</v>
      </c>
      <c r="E3925" t="s">
        <v>9625</v>
      </c>
      <c r="F3925" t="s">
        <v>9626</v>
      </c>
      <c r="G3925" s="712">
        <v>0</v>
      </c>
      <c r="H3925">
        <v>0</v>
      </c>
      <c r="I3925" s="713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</row>
    <row r="3926" spans="1:16">
      <c r="A3926">
        <v>5</v>
      </c>
      <c r="B3926" t="s">
        <v>12741</v>
      </c>
      <c r="C3926" t="s">
        <v>12749</v>
      </c>
      <c r="D3926" t="s">
        <v>12759</v>
      </c>
      <c r="E3926" t="s">
        <v>9627</v>
      </c>
      <c r="F3926" t="s">
        <v>9628</v>
      </c>
      <c r="G3926" s="712">
        <v>0</v>
      </c>
      <c r="H3926">
        <v>0</v>
      </c>
      <c r="I3926" s="713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</row>
    <row r="3927" spans="1:16">
      <c r="A3927">
        <v>5</v>
      </c>
      <c r="B3927" t="s">
        <v>12741</v>
      </c>
      <c r="C3927" t="s">
        <v>12749</v>
      </c>
      <c r="D3927" t="s">
        <v>12759</v>
      </c>
      <c r="E3927" t="s">
        <v>9629</v>
      </c>
      <c r="F3927" t="s">
        <v>9630</v>
      </c>
      <c r="G3927" s="712">
        <v>0</v>
      </c>
      <c r="H3927">
        <v>0</v>
      </c>
      <c r="I3927" s="713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</row>
    <row r="3928" spans="1:16">
      <c r="A3928">
        <v>5</v>
      </c>
      <c r="B3928" t="s">
        <v>12741</v>
      </c>
      <c r="C3928" t="s">
        <v>12749</v>
      </c>
      <c r="D3928" t="s">
        <v>12759</v>
      </c>
      <c r="E3928" t="s">
        <v>9631</v>
      </c>
      <c r="F3928" t="s">
        <v>9632</v>
      </c>
      <c r="G3928" s="712">
        <v>0</v>
      </c>
      <c r="H3928">
        <v>0</v>
      </c>
      <c r="I3928" s="713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</row>
    <row r="3929" spans="1:16">
      <c r="A3929">
        <v>5</v>
      </c>
      <c r="B3929" t="s">
        <v>12741</v>
      </c>
      <c r="C3929" t="s">
        <v>12749</v>
      </c>
      <c r="D3929" t="s">
        <v>12759</v>
      </c>
      <c r="E3929" t="s">
        <v>9633</v>
      </c>
      <c r="F3929" t="s">
        <v>9634</v>
      </c>
      <c r="G3929" s="712">
        <v>0</v>
      </c>
      <c r="H3929">
        <v>0</v>
      </c>
      <c r="I3929" s="713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</row>
    <row r="3930" spans="1:16">
      <c r="A3930">
        <v>5</v>
      </c>
      <c r="B3930" t="s">
        <v>12741</v>
      </c>
      <c r="C3930" t="s">
        <v>12749</v>
      </c>
      <c r="D3930" t="s">
        <v>12759</v>
      </c>
      <c r="E3930" t="s">
        <v>9635</v>
      </c>
      <c r="F3930" t="s">
        <v>9636</v>
      </c>
      <c r="G3930" s="712">
        <v>0</v>
      </c>
      <c r="H3930">
        <v>0</v>
      </c>
      <c r="I3930" s="713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</row>
    <row r="3931" spans="1:16">
      <c r="A3931">
        <v>5</v>
      </c>
      <c r="B3931" t="s">
        <v>12741</v>
      </c>
      <c r="C3931" t="s">
        <v>12749</v>
      </c>
      <c r="D3931" t="s">
        <v>12759</v>
      </c>
      <c r="E3931" t="s">
        <v>9637</v>
      </c>
      <c r="F3931" t="s">
        <v>9638</v>
      </c>
      <c r="G3931" s="712">
        <v>0</v>
      </c>
      <c r="H3931">
        <v>0</v>
      </c>
      <c r="I3931" s="713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</row>
    <row r="3932" spans="1:16">
      <c r="A3932">
        <v>5</v>
      </c>
      <c r="B3932" t="s">
        <v>12741</v>
      </c>
      <c r="C3932" t="s">
        <v>12749</v>
      </c>
      <c r="D3932" t="s">
        <v>12759</v>
      </c>
      <c r="E3932" t="s">
        <v>9639</v>
      </c>
      <c r="F3932" t="s">
        <v>9640</v>
      </c>
      <c r="G3932" s="712">
        <v>0</v>
      </c>
      <c r="H3932">
        <v>0</v>
      </c>
      <c r="I3932" s="713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</row>
    <row r="3933" spans="1:16">
      <c r="A3933">
        <v>5</v>
      </c>
      <c r="B3933" t="s">
        <v>12741</v>
      </c>
      <c r="C3933" t="s">
        <v>12749</v>
      </c>
      <c r="D3933" t="s">
        <v>12759</v>
      </c>
      <c r="E3933" t="s">
        <v>9642</v>
      </c>
      <c r="F3933" t="s">
        <v>9643</v>
      </c>
      <c r="G3933" s="712">
        <v>0</v>
      </c>
      <c r="H3933">
        <v>0</v>
      </c>
      <c r="I3933" s="71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</row>
    <row r="3934" spans="1:16">
      <c r="A3934">
        <v>5</v>
      </c>
      <c r="B3934" t="s">
        <v>12741</v>
      </c>
      <c r="C3934" t="s">
        <v>12749</v>
      </c>
      <c r="D3934" t="s">
        <v>12759</v>
      </c>
      <c r="E3934" t="s">
        <v>9645</v>
      </c>
      <c r="F3934" t="s">
        <v>9646</v>
      </c>
      <c r="G3934" s="712">
        <v>0</v>
      </c>
      <c r="H3934">
        <v>0</v>
      </c>
      <c r="I3934" s="713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</row>
    <row r="3935" spans="1:16" ht="15.75" thickBot="1">
      <c r="A3935">
        <v>5</v>
      </c>
      <c r="B3935" t="s">
        <v>12741</v>
      </c>
      <c r="C3935" t="s">
        <v>12749</v>
      </c>
      <c r="D3935" t="s">
        <v>12759</v>
      </c>
      <c r="E3935" t="s">
        <v>9647</v>
      </c>
      <c r="F3935" t="s">
        <v>9648</v>
      </c>
      <c r="G3935" s="712">
        <v>0</v>
      </c>
      <c r="H3935">
        <v>0</v>
      </c>
      <c r="I3935" s="713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</row>
    <row r="3936" spans="1:16" ht="15.75" thickBot="1">
      <c r="A3936" s="727">
        <v>5</v>
      </c>
      <c r="B3936" s="727" t="s">
        <v>12741</v>
      </c>
      <c r="C3936" s="727" t="s">
        <v>12749</v>
      </c>
      <c r="D3936" s="727" t="s">
        <v>12769</v>
      </c>
      <c r="E3936" s="727"/>
      <c r="F3936" s="729" t="s">
        <v>12770</v>
      </c>
      <c r="G3936" s="738">
        <v>0</v>
      </c>
      <c r="H3936" s="738">
        <v>0</v>
      </c>
      <c r="I3936" s="738">
        <v>0</v>
      </c>
      <c r="J3936" s="739">
        <v>138640.93</v>
      </c>
      <c r="K3936" s="739">
        <v>6013.26</v>
      </c>
      <c r="L3936" s="738">
        <v>0</v>
      </c>
      <c r="M3936" s="738">
        <v>0</v>
      </c>
      <c r="N3936" s="739">
        <v>138640.93</v>
      </c>
      <c r="O3936" s="739">
        <v>6013.26</v>
      </c>
      <c r="P3936" s="739">
        <v>132627.67000000001</v>
      </c>
    </row>
    <row r="3937" spans="1:16">
      <c r="A3937">
        <v>5</v>
      </c>
      <c r="B3937" t="s">
        <v>12741</v>
      </c>
      <c r="C3937" t="s">
        <v>12749</v>
      </c>
      <c r="D3937" t="s">
        <v>12769</v>
      </c>
      <c r="E3937" t="s">
        <v>9651</v>
      </c>
      <c r="F3937" t="s">
        <v>9652</v>
      </c>
      <c r="G3937" s="712">
        <v>0</v>
      </c>
      <c r="H3937">
        <v>0</v>
      </c>
      <c r="I3937" s="713">
        <v>0</v>
      </c>
      <c r="J3937" s="711">
        <v>43765.95</v>
      </c>
      <c r="K3937" s="711">
        <v>2682.17</v>
      </c>
      <c r="L3937">
        <v>0</v>
      </c>
      <c r="M3937">
        <v>0</v>
      </c>
      <c r="N3937" s="711">
        <v>43765.95</v>
      </c>
      <c r="O3937" s="711">
        <v>2682.17</v>
      </c>
      <c r="P3937" s="711">
        <v>41083.78</v>
      </c>
    </row>
    <row r="3938" spans="1:16">
      <c r="A3938">
        <v>5</v>
      </c>
      <c r="B3938" t="s">
        <v>12741</v>
      </c>
      <c r="C3938" t="s">
        <v>12749</v>
      </c>
      <c r="D3938" t="s">
        <v>12769</v>
      </c>
      <c r="E3938" t="s">
        <v>9653</v>
      </c>
      <c r="F3938" t="s">
        <v>9654</v>
      </c>
      <c r="G3938" s="712">
        <v>0</v>
      </c>
      <c r="H3938">
        <v>0</v>
      </c>
      <c r="I3938" s="713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</row>
    <row r="3939" spans="1:16">
      <c r="A3939">
        <v>5</v>
      </c>
      <c r="B3939" t="s">
        <v>12741</v>
      </c>
      <c r="C3939" t="s">
        <v>12749</v>
      </c>
      <c r="D3939" t="s">
        <v>12769</v>
      </c>
      <c r="E3939" t="s">
        <v>9655</v>
      </c>
      <c r="F3939" t="s">
        <v>9656</v>
      </c>
      <c r="G3939" s="712">
        <v>0</v>
      </c>
      <c r="H3939">
        <v>0</v>
      </c>
      <c r="I3939" s="713">
        <v>0</v>
      </c>
      <c r="J3939">
        <v>956.09</v>
      </c>
      <c r="K3939">
        <v>956.09</v>
      </c>
      <c r="L3939">
        <v>0</v>
      </c>
      <c r="M3939">
        <v>0</v>
      </c>
      <c r="N3939">
        <v>956.09</v>
      </c>
      <c r="O3939">
        <v>956.09</v>
      </c>
      <c r="P3939">
        <v>0</v>
      </c>
    </row>
    <row r="3940" spans="1:16">
      <c r="A3940">
        <v>5</v>
      </c>
      <c r="B3940" t="s">
        <v>12741</v>
      </c>
      <c r="C3940" t="s">
        <v>12749</v>
      </c>
      <c r="D3940" t="s">
        <v>12769</v>
      </c>
      <c r="E3940" t="s">
        <v>9657</v>
      </c>
      <c r="F3940" t="s">
        <v>9658</v>
      </c>
      <c r="G3940" s="712">
        <v>0</v>
      </c>
      <c r="H3940">
        <v>0</v>
      </c>
      <c r="I3940" s="713">
        <v>0</v>
      </c>
      <c r="J3940" s="711">
        <v>2375</v>
      </c>
      <c r="K3940" s="711">
        <v>2375</v>
      </c>
      <c r="L3940">
        <v>0</v>
      </c>
      <c r="M3940">
        <v>0</v>
      </c>
      <c r="N3940" s="711">
        <v>2375</v>
      </c>
      <c r="O3940" s="711">
        <v>2375</v>
      </c>
      <c r="P3940">
        <v>0</v>
      </c>
    </row>
    <row r="3941" spans="1:16">
      <c r="A3941">
        <v>5</v>
      </c>
      <c r="B3941" t="s">
        <v>12741</v>
      </c>
      <c r="C3941" t="s">
        <v>12749</v>
      </c>
      <c r="D3941" t="s">
        <v>12769</v>
      </c>
      <c r="E3941" t="s">
        <v>9659</v>
      </c>
      <c r="F3941" t="s">
        <v>9660</v>
      </c>
      <c r="G3941" s="712">
        <v>0</v>
      </c>
      <c r="H3941">
        <v>0</v>
      </c>
      <c r="I3941" s="713">
        <v>0</v>
      </c>
      <c r="J3941" s="711">
        <v>25064.46</v>
      </c>
      <c r="K3941">
        <v>0</v>
      </c>
      <c r="L3941">
        <v>0</v>
      </c>
      <c r="M3941">
        <v>0</v>
      </c>
      <c r="N3941" s="711">
        <v>25064.46</v>
      </c>
      <c r="O3941">
        <v>0</v>
      </c>
      <c r="P3941" s="711">
        <v>25064.46</v>
      </c>
    </row>
    <row r="3942" spans="1:16">
      <c r="A3942">
        <v>5</v>
      </c>
      <c r="B3942" t="s">
        <v>12741</v>
      </c>
      <c r="C3942" t="s">
        <v>12749</v>
      </c>
      <c r="D3942" t="s">
        <v>12769</v>
      </c>
      <c r="E3942" t="s">
        <v>9661</v>
      </c>
      <c r="F3942" t="s">
        <v>9662</v>
      </c>
      <c r="G3942" s="712">
        <v>0</v>
      </c>
      <c r="H3942">
        <v>0</v>
      </c>
      <c r="I3942" s="713">
        <v>0</v>
      </c>
      <c r="J3942" s="711">
        <v>1884.31</v>
      </c>
      <c r="K3942">
        <v>0</v>
      </c>
      <c r="L3942">
        <v>0</v>
      </c>
      <c r="M3942">
        <v>0</v>
      </c>
      <c r="N3942" s="711">
        <v>1884.31</v>
      </c>
      <c r="O3942">
        <v>0</v>
      </c>
      <c r="P3942" s="711">
        <v>1884.31</v>
      </c>
    </row>
    <row r="3943" spans="1:16">
      <c r="A3943">
        <v>5</v>
      </c>
      <c r="B3943" t="s">
        <v>12741</v>
      </c>
      <c r="C3943" t="s">
        <v>12749</v>
      </c>
      <c r="D3943" t="s">
        <v>12769</v>
      </c>
      <c r="E3943" t="s">
        <v>9663</v>
      </c>
      <c r="F3943" t="s">
        <v>9664</v>
      </c>
      <c r="G3943" s="712">
        <v>0</v>
      </c>
      <c r="H3943">
        <v>0</v>
      </c>
      <c r="I3943" s="71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</row>
    <row r="3944" spans="1:16">
      <c r="A3944">
        <v>5</v>
      </c>
      <c r="B3944" t="s">
        <v>12741</v>
      </c>
      <c r="C3944" t="s">
        <v>12749</v>
      </c>
      <c r="D3944" t="s">
        <v>12769</v>
      </c>
      <c r="E3944" t="s">
        <v>9665</v>
      </c>
      <c r="F3944" t="s">
        <v>9666</v>
      </c>
      <c r="G3944" s="712">
        <v>0</v>
      </c>
      <c r="H3944">
        <v>0</v>
      </c>
      <c r="I3944" s="713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</row>
    <row r="3945" spans="1:16">
      <c r="A3945">
        <v>5</v>
      </c>
      <c r="B3945" t="s">
        <v>12741</v>
      </c>
      <c r="C3945" t="s">
        <v>12749</v>
      </c>
      <c r="D3945" t="s">
        <v>12769</v>
      </c>
      <c r="E3945" t="s">
        <v>9667</v>
      </c>
      <c r="F3945" t="s">
        <v>9668</v>
      </c>
      <c r="G3945" s="712">
        <v>0</v>
      </c>
      <c r="H3945">
        <v>0</v>
      </c>
      <c r="I3945" s="713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</row>
    <row r="3946" spans="1:16">
      <c r="A3946">
        <v>5</v>
      </c>
      <c r="B3946" t="s">
        <v>12741</v>
      </c>
      <c r="C3946" t="s">
        <v>12749</v>
      </c>
      <c r="D3946" t="s">
        <v>12769</v>
      </c>
      <c r="E3946" t="s">
        <v>9669</v>
      </c>
      <c r="F3946" t="s">
        <v>9670</v>
      </c>
      <c r="G3946" s="712">
        <v>0</v>
      </c>
      <c r="H3946">
        <v>0</v>
      </c>
      <c r="I3946" s="713">
        <v>0</v>
      </c>
      <c r="J3946">
        <v>366.31</v>
      </c>
      <c r="K3946">
        <v>0</v>
      </c>
      <c r="L3946">
        <v>0</v>
      </c>
      <c r="M3946">
        <v>0</v>
      </c>
      <c r="N3946">
        <v>366.31</v>
      </c>
      <c r="O3946">
        <v>0</v>
      </c>
      <c r="P3946">
        <v>366.31</v>
      </c>
    </row>
    <row r="3947" spans="1:16">
      <c r="A3947">
        <v>5</v>
      </c>
      <c r="B3947" t="s">
        <v>12741</v>
      </c>
      <c r="C3947" t="s">
        <v>12749</v>
      </c>
      <c r="D3947" t="s">
        <v>12769</v>
      </c>
      <c r="E3947" t="s">
        <v>9671</v>
      </c>
      <c r="F3947" t="s">
        <v>9672</v>
      </c>
      <c r="G3947" s="712">
        <v>0</v>
      </c>
      <c r="H3947">
        <v>0</v>
      </c>
      <c r="I3947" s="713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</row>
    <row r="3948" spans="1:16">
      <c r="A3948">
        <v>5</v>
      </c>
      <c r="B3948" t="s">
        <v>12741</v>
      </c>
      <c r="C3948" t="s">
        <v>12749</v>
      </c>
      <c r="D3948" t="s">
        <v>12769</v>
      </c>
      <c r="E3948" t="s">
        <v>9673</v>
      </c>
      <c r="F3948" t="s">
        <v>9674</v>
      </c>
      <c r="G3948" s="712">
        <v>0</v>
      </c>
      <c r="H3948">
        <v>0</v>
      </c>
      <c r="I3948" s="713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</row>
    <row r="3949" spans="1:16">
      <c r="A3949">
        <v>5</v>
      </c>
      <c r="B3949" t="s">
        <v>12741</v>
      </c>
      <c r="C3949" t="s">
        <v>12749</v>
      </c>
      <c r="D3949" t="s">
        <v>12769</v>
      </c>
      <c r="E3949" t="s">
        <v>9675</v>
      </c>
      <c r="F3949" t="s">
        <v>9676</v>
      </c>
      <c r="G3949" s="712">
        <v>0</v>
      </c>
      <c r="H3949">
        <v>0</v>
      </c>
      <c r="I3949" s="713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</row>
    <row r="3950" spans="1:16">
      <c r="A3950">
        <v>5</v>
      </c>
      <c r="B3950" t="s">
        <v>12741</v>
      </c>
      <c r="C3950" t="s">
        <v>12749</v>
      </c>
      <c r="D3950" t="s">
        <v>12769</v>
      </c>
      <c r="E3950" t="s">
        <v>9677</v>
      </c>
      <c r="F3950" t="s">
        <v>9678</v>
      </c>
      <c r="G3950" s="712">
        <v>0</v>
      </c>
      <c r="H3950">
        <v>0</v>
      </c>
      <c r="I3950" s="713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</row>
    <row r="3951" spans="1:16">
      <c r="A3951">
        <v>5</v>
      </c>
      <c r="B3951" t="s">
        <v>12741</v>
      </c>
      <c r="C3951" t="s">
        <v>12749</v>
      </c>
      <c r="D3951" t="s">
        <v>12769</v>
      </c>
      <c r="E3951" t="s">
        <v>9679</v>
      </c>
      <c r="F3951" t="s">
        <v>9680</v>
      </c>
      <c r="G3951" s="712">
        <v>0</v>
      </c>
      <c r="H3951">
        <v>0</v>
      </c>
      <c r="I3951" s="713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</row>
    <row r="3952" spans="1:16">
      <c r="A3952">
        <v>5</v>
      </c>
      <c r="B3952" t="s">
        <v>12741</v>
      </c>
      <c r="C3952" t="s">
        <v>12749</v>
      </c>
      <c r="D3952" t="s">
        <v>12769</v>
      </c>
      <c r="E3952" t="s">
        <v>9681</v>
      </c>
      <c r="F3952" t="s">
        <v>9682</v>
      </c>
      <c r="G3952" s="712">
        <v>0</v>
      </c>
      <c r="H3952">
        <v>0</v>
      </c>
      <c r="I3952" s="713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</row>
    <row r="3953" spans="1:16">
      <c r="A3953">
        <v>5</v>
      </c>
      <c r="B3953" t="s">
        <v>12741</v>
      </c>
      <c r="C3953" t="s">
        <v>12749</v>
      </c>
      <c r="D3953" t="s">
        <v>12769</v>
      </c>
      <c r="E3953" t="s">
        <v>9683</v>
      </c>
      <c r="F3953" t="s">
        <v>9684</v>
      </c>
      <c r="G3953" s="712">
        <v>0</v>
      </c>
      <c r="H3953">
        <v>0</v>
      </c>
      <c r="I3953" s="71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</row>
    <row r="3954" spans="1:16">
      <c r="A3954">
        <v>5</v>
      </c>
      <c r="B3954" t="s">
        <v>12741</v>
      </c>
      <c r="C3954" t="s">
        <v>12749</v>
      </c>
      <c r="D3954" t="s">
        <v>12769</v>
      </c>
      <c r="E3954" t="s">
        <v>9685</v>
      </c>
      <c r="F3954" t="s">
        <v>9686</v>
      </c>
      <c r="G3954" s="712">
        <v>0</v>
      </c>
      <c r="H3954">
        <v>0</v>
      </c>
      <c r="I3954" s="713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</row>
    <row r="3955" spans="1:16">
      <c r="A3955">
        <v>5</v>
      </c>
      <c r="B3955" t="s">
        <v>12741</v>
      </c>
      <c r="C3955" t="s">
        <v>12749</v>
      </c>
      <c r="D3955" t="s">
        <v>12769</v>
      </c>
      <c r="E3955" t="s">
        <v>9687</v>
      </c>
      <c r="F3955" t="s">
        <v>9688</v>
      </c>
      <c r="G3955" s="712">
        <v>0</v>
      </c>
      <c r="H3955">
        <v>0</v>
      </c>
      <c r="I3955" s="713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</row>
    <row r="3956" spans="1:16">
      <c r="A3956">
        <v>5</v>
      </c>
      <c r="B3956" t="s">
        <v>12741</v>
      </c>
      <c r="C3956" t="s">
        <v>12749</v>
      </c>
      <c r="D3956" t="s">
        <v>12769</v>
      </c>
      <c r="E3956" t="s">
        <v>9689</v>
      </c>
      <c r="F3956" t="s">
        <v>9690</v>
      </c>
      <c r="G3956" s="712">
        <v>0</v>
      </c>
      <c r="H3956">
        <v>0</v>
      </c>
      <c r="I3956" s="713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</row>
    <row r="3957" spans="1:16">
      <c r="A3957">
        <v>5</v>
      </c>
      <c r="B3957" t="s">
        <v>12741</v>
      </c>
      <c r="C3957" t="s">
        <v>12749</v>
      </c>
      <c r="D3957" t="s">
        <v>12769</v>
      </c>
      <c r="E3957" t="s">
        <v>9691</v>
      </c>
      <c r="F3957" t="s">
        <v>9692</v>
      </c>
      <c r="G3957" s="712">
        <v>0</v>
      </c>
      <c r="H3957">
        <v>0</v>
      </c>
      <c r="I3957" s="713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</row>
    <row r="3958" spans="1:16">
      <c r="A3958">
        <v>5</v>
      </c>
      <c r="B3958" t="s">
        <v>12741</v>
      </c>
      <c r="C3958" t="s">
        <v>12749</v>
      </c>
      <c r="D3958" t="s">
        <v>12769</v>
      </c>
      <c r="E3958" t="s">
        <v>9693</v>
      </c>
      <c r="F3958" t="s">
        <v>9694</v>
      </c>
      <c r="G3958" s="712">
        <v>0</v>
      </c>
      <c r="H3958">
        <v>0</v>
      </c>
      <c r="I3958" s="713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</row>
    <row r="3959" spans="1:16">
      <c r="A3959">
        <v>5</v>
      </c>
      <c r="B3959" t="s">
        <v>12741</v>
      </c>
      <c r="C3959" t="s">
        <v>12749</v>
      </c>
      <c r="D3959" t="s">
        <v>12769</v>
      </c>
      <c r="E3959" t="s">
        <v>9695</v>
      </c>
      <c r="F3959" t="s">
        <v>9696</v>
      </c>
      <c r="G3959" s="712">
        <v>0</v>
      </c>
      <c r="H3959">
        <v>0</v>
      </c>
      <c r="I3959" s="713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</row>
    <row r="3960" spans="1:16">
      <c r="A3960">
        <v>5</v>
      </c>
      <c r="B3960" t="s">
        <v>12741</v>
      </c>
      <c r="C3960" t="s">
        <v>12749</v>
      </c>
      <c r="D3960" t="s">
        <v>12769</v>
      </c>
      <c r="E3960" t="s">
        <v>9697</v>
      </c>
      <c r="F3960" t="s">
        <v>9698</v>
      </c>
      <c r="G3960" s="712">
        <v>0</v>
      </c>
      <c r="H3960">
        <v>0</v>
      </c>
      <c r="I3960" s="713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</row>
    <row r="3961" spans="1:16">
      <c r="A3961">
        <v>5</v>
      </c>
      <c r="B3961" t="s">
        <v>12741</v>
      </c>
      <c r="C3961" t="s">
        <v>12749</v>
      </c>
      <c r="D3961" t="s">
        <v>12769</v>
      </c>
      <c r="E3961" t="s">
        <v>9699</v>
      </c>
      <c r="F3961" t="s">
        <v>9700</v>
      </c>
      <c r="G3961" s="712">
        <v>0</v>
      </c>
      <c r="H3961">
        <v>0</v>
      </c>
      <c r="I3961" s="713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</row>
    <row r="3962" spans="1:16">
      <c r="A3962">
        <v>5</v>
      </c>
      <c r="B3962" t="s">
        <v>12741</v>
      </c>
      <c r="C3962" t="s">
        <v>12749</v>
      </c>
      <c r="D3962" t="s">
        <v>12769</v>
      </c>
      <c r="E3962" t="s">
        <v>9701</v>
      </c>
      <c r="F3962" t="s">
        <v>9702</v>
      </c>
      <c r="G3962" s="712">
        <v>0</v>
      </c>
      <c r="H3962">
        <v>0</v>
      </c>
      <c r="I3962" s="713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</row>
    <row r="3963" spans="1:16">
      <c r="A3963">
        <v>5</v>
      </c>
      <c r="B3963" t="s">
        <v>12741</v>
      </c>
      <c r="C3963" t="s">
        <v>12749</v>
      </c>
      <c r="D3963" t="s">
        <v>12769</v>
      </c>
      <c r="E3963" t="s">
        <v>9703</v>
      </c>
      <c r="F3963" t="s">
        <v>9704</v>
      </c>
      <c r="G3963" s="712">
        <v>0</v>
      </c>
      <c r="H3963">
        <v>0</v>
      </c>
      <c r="I3963" s="71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</row>
    <row r="3964" spans="1:16">
      <c r="A3964">
        <v>5</v>
      </c>
      <c r="B3964" t="s">
        <v>12741</v>
      </c>
      <c r="C3964" t="s">
        <v>12749</v>
      </c>
      <c r="D3964" t="s">
        <v>12769</v>
      </c>
      <c r="E3964" t="s">
        <v>9705</v>
      </c>
      <c r="F3964" t="s">
        <v>9706</v>
      </c>
      <c r="G3964" s="712">
        <v>0</v>
      </c>
      <c r="H3964">
        <v>0</v>
      </c>
      <c r="I3964" s="713">
        <v>0</v>
      </c>
      <c r="J3964" s="711">
        <v>27092.58</v>
      </c>
      <c r="K3964">
        <v>0</v>
      </c>
      <c r="L3964">
        <v>0</v>
      </c>
      <c r="M3964">
        <v>0</v>
      </c>
      <c r="N3964" s="711">
        <v>27092.58</v>
      </c>
      <c r="O3964">
        <v>0</v>
      </c>
      <c r="P3964" s="711">
        <v>27092.58</v>
      </c>
    </row>
    <row r="3965" spans="1:16" ht="15.75" thickBot="1">
      <c r="A3965">
        <v>5</v>
      </c>
      <c r="B3965" t="s">
        <v>12741</v>
      </c>
      <c r="C3965" t="s">
        <v>12749</v>
      </c>
      <c r="D3965" t="s">
        <v>12769</v>
      </c>
      <c r="E3965" t="s">
        <v>9707</v>
      </c>
      <c r="F3965" t="s">
        <v>9708</v>
      </c>
      <c r="G3965" s="712">
        <v>0</v>
      </c>
      <c r="H3965">
        <v>0</v>
      </c>
      <c r="I3965" s="713">
        <v>0</v>
      </c>
      <c r="J3965" s="711">
        <v>37136.230000000003</v>
      </c>
      <c r="K3965">
        <v>0</v>
      </c>
      <c r="L3965">
        <v>0</v>
      </c>
      <c r="M3965">
        <v>0</v>
      </c>
      <c r="N3965" s="711">
        <v>37136.230000000003</v>
      </c>
      <c r="O3965">
        <v>0</v>
      </c>
      <c r="P3965" s="711">
        <v>37136.230000000003</v>
      </c>
    </row>
    <row r="3966" spans="1:16" ht="15.75" thickBot="1">
      <c r="A3966" s="727">
        <v>5</v>
      </c>
      <c r="B3966" s="727" t="s">
        <v>12771</v>
      </c>
      <c r="C3966" s="727"/>
      <c r="D3966" s="727"/>
      <c r="E3966" s="727"/>
      <c r="F3966" s="745" t="s">
        <v>12772</v>
      </c>
      <c r="G3966" s="738">
        <v>0</v>
      </c>
      <c r="H3966" s="738">
        <v>0</v>
      </c>
      <c r="I3966" s="738">
        <v>0</v>
      </c>
      <c r="J3966" s="739">
        <v>10493739.060000001</v>
      </c>
      <c r="K3966" s="739">
        <v>6642878.3799999999</v>
      </c>
      <c r="L3966" s="738">
        <v>0</v>
      </c>
      <c r="M3966" s="738">
        <v>0</v>
      </c>
      <c r="N3966" s="739">
        <v>10493739.060000001</v>
      </c>
      <c r="O3966" s="739">
        <v>6642878.3799999999</v>
      </c>
      <c r="P3966" s="739">
        <v>3850860.68</v>
      </c>
    </row>
    <row r="3967" spans="1:16" ht="15.75" thickBot="1">
      <c r="A3967" s="727">
        <v>5</v>
      </c>
      <c r="B3967" s="727" t="s">
        <v>12771</v>
      </c>
      <c r="C3967" s="727" t="s">
        <v>12773</v>
      </c>
      <c r="D3967" s="727"/>
      <c r="E3967" s="727"/>
      <c r="F3967" s="745" t="s">
        <v>12774</v>
      </c>
      <c r="G3967" s="738">
        <v>0</v>
      </c>
      <c r="H3967" s="738">
        <v>0</v>
      </c>
      <c r="I3967" s="738">
        <v>0</v>
      </c>
      <c r="J3967" s="739">
        <v>421002.76</v>
      </c>
      <c r="K3967" s="738">
        <v>0</v>
      </c>
      <c r="L3967" s="738">
        <v>0</v>
      </c>
      <c r="M3967" s="738">
        <v>0</v>
      </c>
      <c r="N3967" s="739">
        <v>421002.76</v>
      </c>
      <c r="O3967" s="738">
        <v>0</v>
      </c>
      <c r="P3967" s="739">
        <v>421002.76</v>
      </c>
    </row>
    <row r="3968" spans="1:16" ht="15.75" thickBot="1">
      <c r="A3968" s="727">
        <v>5</v>
      </c>
      <c r="B3968" s="727" t="s">
        <v>12771</v>
      </c>
      <c r="C3968" s="727" t="s">
        <v>12773</v>
      </c>
      <c r="D3968" s="727" t="s">
        <v>12775</v>
      </c>
      <c r="E3968" s="727"/>
      <c r="F3968" s="729" t="s">
        <v>12774</v>
      </c>
      <c r="G3968" s="738">
        <v>0</v>
      </c>
      <c r="H3968" s="738">
        <v>0</v>
      </c>
      <c r="I3968" s="738">
        <v>0</v>
      </c>
      <c r="J3968" s="739">
        <v>421002.76</v>
      </c>
      <c r="K3968" s="738">
        <v>0</v>
      </c>
      <c r="L3968" s="738">
        <v>0</v>
      </c>
      <c r="M3968" s="738">
        <v>0</v>
      </c>
      <c r="N3968" s="739">
        <v>421002.76</v>
      </c>
      <c r="O3968" s="738">
        <v>0</v>
      </c>
      <c r="P3968" s="739">
        <v>421002.76</v>
      </c>
    </row>
    <row r="3969" spans="1:16">
      <c r="A3969">
        <v>5</v>
      </c>
      <c r="B3969" t="s">
        <v>12771</v>
      </c>
      <c r="C3969" t="s">
        <v>12773</v>
      </c>
      <c r="D3969" t="s">
        <v>12775</v>
      </c>
      <c r="E3969" t="s">
        <v>9716</v>
      </c>
      <c r="F3969" t="s">
        <v>9717</v>
      </c>
      <c r="G3969" s="712">
        <v>0</v>
      </c>
      <c r="H3969">
        <v>0</v>
      </c>
      <c r="I3969" s="713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</row>
    <row r="3970" spans="1:16">
      <c r="A3970">
        <v>5</v>
      </c>
      <c r="B3970" t="s">
        <v>12771</v>
      </c>
      <c r="C3970" t="s">
        <v>12773</v>
      </c>
      <c r="D3970" t="s">
        <v>12775</v>
      </c>
      <c r="E3970" t="s">
        <v>9718</v>
      </c>
      <c r="F3970" t="s">
        <v>9719</v>
      </c>
      <c r="G3970" s="712">
        <v>0</v>
      </c>
      <c r="H3970">
        <v>0</v>
      </c>
      <c r="I3970" s="713">
        <v>0</v>
      </c>
      <c r="J3970" s="711">
        <v>271532.2</v>
      </c>
      <c r="K3970">
        <v>0</v>
      </c>
      <c r="L3970">
        <v>0</v>
      </c>
      <c r="M3970">
        <v>0</v>
      </c>
      <c r="N3970" s="711">
        <v>271532.2</v>
      </c>
      <c r="O3970">
        <v>0</v>
      </c>
      <c r="P3970" s="711">
        <v>271532.2</v>
      </c>
    </row>
    <row r="3971" spans="1:16">
      <c r="A3971">
        <v>5</v>
      </c>
      <c r="B3971" t="s">
        <v>12771</v>
      </c>
      <c r="C3971" t="s">
        <v>12773</v>
      </c>
      <c r="D3971" t="s">
        <v>12775</v>
      </c>
      <c r="E3971" t="s">
        <v>9720</v>
      </c>
      <c r="F3971" t="s">
        <v>9721</v>
      </c>
      <c r="G3971" s="712">
        <v>0</v>
      </c>
      <c r="H3971">
        <v>0</v>
      </c>
      <c r="I3971" s="713">
        <v>0</v>
      </c>
      <c r="J3971" s="711">
        <v>4197.2</v>
      </c>
      <c r="K3971">
        <v>0</v>
      </c>
      <c r="L3971">
        <v>0</v>
      </c>
      <c r="M3971">
        <v>0</v>
      </c>
      <c r="N3971" s="711">
        <v>4197.2</v>
      </c>
      <c r="O3971">
        <v>0</v>
      </c>
      <c r="P3971" s="711">
        <v>4197.2</v>
      </c>
    </row>
    <row r="3972" spans="1:16">
      <c r="A3972">
        <v>5</v>
      </c>
      <c r="B3972" t="s">
        <v>12771</v>
      </c>
      <c r="C3972" t="s">
        <v>12773</v>
      </c>
      <c r="D3972" t="s">
        <v>12775</v>
      </c>
      <c r="E3972" t="s">
        <v>9722</v>
      </c>
      <c r="F3972" t="s">
        <v>9723</v>
      </c>
      <c r="G3972" s="712">
        <v>0</v>
      </c>
      <c r="H3972">
        <v>0</v>
      </c>
      <c r="I3972" s="713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</row>
    <row r="3973" spans="1:16">
      <c r="A3973">
        <v>5</v>
      </c>
      <c r="B3973" t="s">
        <v>12771</v>
      </c>
      <c r="C3973" t="s">
        <v>12773</v>
      </c>
      <c r="D3973" t="s">
        <v>12775</v>
      </c>
      <c r="E3973" t="s">
        <v>9724</v>
      </c>
      <c r="F3973" t="s">
        <v>9725</v>
      </c>
      <c r="G3973" s="712">
        <v>0</v>
      </c>
      <c r="H3973">
        <v>0</v>
      </c>
      <c r="I3973" s="71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</row>
    <row r="3974" spans="1:16" ht="15.75" thickBot="1">
      <c r="A3974">
        <v>5</v>
      </c>
      <c r="B3974" t="s">
        <v>12771</v>
      </c>
      <c r="C3974" t="s">
        <v>12773</v>
      </c>
      <c r="D3974" t="s">
        <v>12775</v>
      </c>
      <c r="E3974" t="s">
        <v>9726</v>
      </c>
      <c r="F3974" t="s">
        <v>9727</v>
      </c>
      <c r="G3974" s="712">
        <v>0</v>
      </c>
      <c r="H3974">
        <v>0</v>
      </c>
      <c r="I3974" s="713">
        <v>0</v>
      </c>
      <c r="J3974" s="711">
        <v>145273.35999999999</v>
      </c>
      <c r="K3974">
        <v>0</v>
      </c>
      <c r="L3974">
        <v>0</v>
      </c>
      <c r="M3974">
        <v>0</v>
      </c>
      <c r="N3974" s="711">
        <v>145273.35999999999</v>
      </c>
      <c r="O3974">
        <v>0</v>
      </c>
      <c r="P3974" s="711">
        <v>145273.35999999999</v>
      </c>
    </row>
    <row r="3975" spans="1:16" ht="15.75" thickBot="1">
      <c r="A3975" s="727">
        <v>5</v>
      </c>
      <c r="B3975" s="727" t="s">
        <v>12771</v>
      </c>
      <c r="C3975" s="727" t="s">
        <v>12776</v>
      </c>
      <c r="D3975" s="727"/>
      <c r="E3975" s="727"/>
      <c r="F3975" s="745" t="s">
        <v>9732</v>
      </c>
      <c r="G3975" s="738">
        <v>0</v>
      </c>
      <c r="H3975" s="738">
        <v>0</v>
      </c>
      <c r="I3975" s="738">
        <v>0</v>
      </c>
      <c r="J3975" s="738">
        <v>0</v>
      </c>
      <c r="K3975" s="738">
        <v>0</v>
      </c>
      <c r="L3975" s="738">
        <v>0</v>
      </c>
      <c r="M3975" s="738">
        <v>0</v>
      </c>
      <c r="N3975" s="738">
        <v>0</v>
      </c>
      <c r="O3975" s="738">
        <v>0</v>
      </c>
      <c r="P3975" s="738">
        <v>0</v>
      </c>
    </row>
    <row r="3976" spans="1:16" ht="15.75" thickBot="1">
      <c r="A3976" s="727">
        <v>5</v>
      </c>
      <c r="B3976" s="727" t="s">
        <v>12771</v>
      </c>
      <c r="C3976" s="727" t="s">
        <v>12776</v>
      </c>
      <c r="D3976" s="727" t="s">
        <v>12777</v>
      </c>
      <c r="E3976" s="727"/>
      <c r="F3976" s="729" t="s">
        <v>9732</v>
      </c>
      <c r="G3976" s="738">
        <v>0</v>
      </c>
      <c r="H3976" s="738">
        <v>0</v>
      </c>
      <c r="I3976" s="738">
        <v>0</v>
      </c>
      <c r="J3976" s="738">
        <v>0</v>
      </c>
      <c r="K3976" s="738">
        <v>0</v>
      </c>
      <c r="L3976" s="738">
        <v>0</v>
      </c>
      <c r="M3976" s="738">
        <v>0</v>
      </c>
      <c r="N3976" s="738">
        <v>0</v>
      </c>
      <c r="O3976" s="738">
        <v>0</v>
      </c>
      <c r="P3976" s="738">
        <v>0</v>
      </c>
    </row>
    <row r="3977" spans="1:16" ht="15.75" thickBot="1">
      <c r="A3977">
        <v>5</v>
      </c>
      <c r="B3977" t="s">
        <v>12771</v>
      </c>
      <c r="C3977" t="s">
        <v>12776</v>
      </c>
      <c r="D3977" t="s">
        <v>12777</v>
      </c>
      <c r="E3977" t="s">
        <v>9731</v>
      </c>
      <c r="F3977" t="s">
        <v>9732</v>
      </c>
      <c r="G3977" s="712">
        <v>0</v>
      </c>
      <c r="H3977">
        <v>0</v>
      </c>
      <c r="I3977" s="713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</row>
    <row r="3978" spans="1:16" ht="15.75" thickBot="1">
      <c r="A3978" s="727">
        <v>5</v>
      </c>
      <c r="B3978" s="727" t="s">
        <v>12771</v>
      </c>
      <c r="C3978" s="727" t="s">
        <v>12778</v>
      </c>
      <c r="D3978" s="727"/>
      <c r="E3978" s="727"/>
      <c r="F3978" s="745" t="s">
        <v>12779</v>
      </c>
      <c r="G3978" s="738">
        <v>0</v>
      </c>
      <c r="H3978" s="738">
        <v>0</v>
      </c>
      <c r="I3978" s="738">
        <v>0</v>
      </c>
      <c r="J3978" s="739">
        <v>10072736.300000001</v>
      </c>
      <c r="K3978" s="739">
        <v>6642878.3799999999</v>
      </c>
      <c r="L3978" s="738">
        <v>0</v>
      </c>
      <c r="M3978" s="738">
        <v>0</v>
      </c>
      <c r="N3978" s="739">
        <v>10072736.300000001</v>
      </c>
      <c r="O3978" s="739">
        <v>6642878.3799999999</v>
      </c>
      <c r="P3978" s="739">
        <v>3429857.92</v>
      </c>
    </row>
    <row r="3979" spans="1:16" ht="15.75" thickBot="1">
      <c r="A3979" s="727">
        <v>5</v>
      </c>
      <c r="B3979" s="727" t="s">
        <v>12771</v>
      </c>
      <c r="C3979" s="727" t="s">
        <v>12778</v>
      </c>
      <c r="D3979" s="727" t="s">
        <v>12780</v>
      </c>
      <c r="E3979" s="727"/>
      <c r="F3979" s="729" t="s">
        <v>12781</v>
      </c>
      <c r="G3979" s="738">
        <v>0</v>
      </c>
      <c r="H3979" s="738">
        <v>0</v>
      </c>
      <c r="I3979" s="738">
        <v>0</v>
      </c>
      <c r="J3979" s="739">
        <v>637196.93000000005</v>
      </c>
      <c r="K3979" s="738">
        <v>0</v>
      </c>
      <c r="L3979" s="738">
        <v>0</v>
      </c>
      <c r="M3979" s="738">
        <v>0</v>
      </c>
      <c r="N3979" s="739">
        <v>637196.93000000005</v>
      </c>
      <c r="O3979" s="738">
        <v>0</v>
      </c>
      <c r="P3979" s="739">
        <v>637196.93000000005</v>
      </c>
    </row>
    <row r="3980" spans="1:16">
      <c r="A3980">
        <v>5</v>
      </c>
      <c r="B3980" t="s">
        <v>12771</v>
      </c>
      <c r="C3980" t="s">
        <v>12778</v>
      </c>
      <c r="D3980" t="s">
        <v>12780</v>
      </c>
      <c r="E3980" t="s">
        <v>9738</v>
      </c>
      <c r="F3980" t="s">
        <v>9739</v>
      </c>
      <c r="G3980" s="712">
        <v>0</v>
      </c>
      <c r="H3980">
        <v>0</v>
      </c>
      <c r="I3980" s="713">
        <v>0</v>
      </c>
      <c r="J3980" s="711">
        <v>543216.48</v>
      </c>
      <c r="K3980">
        <v>0</v>
      </c>
      <c r="L3980">
        <v>0</v>
      </c>
      <c r="M3980">
        <v>0</v>
      </c>
      <c r="N3980" s="711">
        <v>543216.48</v>
      </c>
      <c r="O3980">
        <v>0</v>
      </c>
      <c r="P3980" s="711">
        <v>543216.48</v>
      </c>
    </row>
    <row r="3981" spans="1:16">
      <c r="A3981">
        <v>5</v>
      </c>
      <c r="B3981" t="s">
        <v>12771</v>
      </c>
      <c r="C3981" t="s">
        <v>12778</v>
      </c>
      <c r="D3981" t="s">
        <v>12780</v>
      </c>
      <c r="E3981" t="s">
        <v>9740</v>
      </c>
      <c r="F3981" t="s">
        <v>9741</v>
      </c>
      <c r="G3981" s="712">
        <v>0</v>
      </c>
      <c r="H3981">
        <v>0</v>
      </c>
      <c r="I3981" s="713">
        <v>0</v>
      </c>
      <c r="J3981" s="711">
        <v>57909.21</v>
      </c>
      <c r="K3981">
        <v>0</v>
      </c>
      <c r="L3981">
        <v>0</v>
      </c>
      <c r="M3981">
        <v>0</v>
      </c>
      <c r="N3981" s="711">
        <v>57909.21</v>
      </c>
      <c r="O3981">
        <v>0</v>
      </c>
      <c r="P3981" s="711">
        <v>57909.21</v>
      </c>
    </row>
    <row r="3982" spans="1:16" ht="15.75" thickBot="1">
      <c r="A3982">
        <v>5</v>
      </c>
      <c r="B3982" t="s">
        <v>12771</v>
      </c>
      <c r="C3982" t="s">
        <v>12778</v>
      </c>
      <c r="D3982" t="s">
        <v>12780</v>
      </c>
      <c r="E3982" t="s">
        <v>9742</v>
      </c>
      <c r="F3982" t="s">
        <v>9743</v>
      </c>
      <c r="G3982" s="712">
        <v>0</v>
      </c>
      <c r="H3982">
        <v>0</v>
      </c>
      <c r="I3982" s="713">
        <v>0</v>
      </c>
      <c r="J3982" s="711">
        <v>36071.24</v>
      </c>
      <c r="K3982">
        <v>0</v>
      </c>
      <c r="L3982">
        <v>0</v>
      </c>
      <c r="M3982">
        <v>0</v>
      </c>
      <c r="N3982" s="711">
        <v>36071.24</v>
      </c>
      <c r="O3982">
        <v>0</v>
      </c>
      <c r="P3982" s="711">
        <v>36071.24</v>
      </c>
    </row>
    <row r="3983" spans="1:16" ht="15.75" thickBot="1">
      <c r="A3983" s="727">
        <v>5</v>
      </c>
      <c r="B3983" s="727" t="s">
        <v>12771</v>
      </c>
      <c r="C3983" s="727" t="s">
        <v>12778</v>
      </c>
      <c r="D3983" s="727" t="s">
        <v>12782</v>
      </c>
      <c r="E3983" s="727"/>
      <c r="F3983" s="729" t="s">
        <v>12779</v>
      </c>
      <c r="G3983" s="738">
        <v>0</v>
      </c>
      <c r="H3983" s="738">
        <v>0</v>
      </c>
      <c r="I3983" s="738">
        <v>0</v>
      </c>
      <c r="J3983" s="739">
        <v>9435539.3699999992</v>
      </c>
      <c r="K3983" s="739">
        <v>6642878.3799999999</v>
      </c>
      <c r="L3983" s="738">
        <v>0</v>
      </c>
      <c r="M3983" s="738">
        <v>0</v>
      </c>
      <c r="N3983" s="739">
        <v>9435539.3699999992</v>
      </c>
      <c r="O3983" s="739">
        <v>6642878.3799999999</v>
      </c>
      <c r="P3983" s="739">
        <v>2792660.99</v>
      </c>
    </row>
    <row r="3984" spans="1:16">
      <c r="A3984">
        <v>5</v>
      </c>
      <c r="B3984" t="s">
        <v>12771</v>
      </c>
      <c r="C3984" t="s">
        <v>12778</v>
      </c>
      <c r="D3984" t="s">
        <v>12782</v>
      </c>
      <c r="E3984" t="s">
        <v>9746</v>
      </c>
      <c r="F3984" t="s">
        <v>9747</v>
      </c>
      <c r="G3984" s="712">
        <v>0</v>
      </c>
      <c r="H3984">
        <v>0</v>
      </c>
      <c r="I3984" s="713">
        <v>0</v>
      </c>
      <c r="J3984" s="711">
        <v>7483442.3399999999</v>
      </c>
      <c r="K3984" s="711">
        <v>6482706.2599999998</v>
      </c>
      <c r="L3984">
        <v>0</v>
      </c>
      <c r="M3984">
        <v>0</v>
      </c>
      <c r="N3984" s="711">
        <v>7483442.3399999999</v>
      </c>
      <c r="O3984" s="711">
        <v>6482706.2599999998</v>
      </c>
      <c r="P3984" s="711">
        <v>1000736.08</v>
      </c>
    </row>
    <row r="3985" spans="1:16">
      <c r="A3985">
        <v>5</v>
      </c>
      <c r="B3985" t="s">
        <v>12771</v>
      </c>
      <c r="C3985" t="s">
        <v>12778</v>
      </c>
      <c r="D3985" t="s">
        <v>12782</v>
      </c>
      <c r="E3985" t="s">
        <v>9751</v>
      </c>
      <c r="F3985" t="s">
        <v>9752</v>
      </c>
      <c r="G3985" s="712">
        <v>0</v>
      </c>
      <c r="H3985">
        <v>0</v>
      </c>
      <c r="I3985" s="713">
        <v>0</v>
      </c>
      <c r="J3985" s="711">
        <v>219704.77</v>
      </c>
      <c r="K3985">
        <v>0</v>
      </c>
      <c r="L3985">
        <v>0</v>
      </c>
      <c r="M3985">
        <v>0</v>
      </c>
      <c r="N3985" s="711">
        <v>219704.77</v>
      </c>
      <c r="O3985">
        <v>0</v>
      </c>
      <c r="P3985" s="711">
        <v>219704.77</v>
      </c>
    </row>
    <row r="3986" spans="1:16">
      <c r="A3986">
        <v>5</v>
      </c>
      <c r="B3986" t="s">
        <v>12771</v>
      </c>
      <c r="C3986" t="s">
        <v>12778</v>
      </c>
      <c r="D3986" t="s">
        <v>12782</v>
      </c>
      <c r="E3986" t="s">
        <v>9831</v>
      </c>
      <c r="F3986" t="s">
        <v>9832</v>
      </c>
      <c r="G3986" s="712">
        <v>0</v>
      </c>
      <c r="H3986">
        <v>0</v>
      </c>
      <c r="I3986" s="713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</row>
    <row r="3987" spans="1:16">
      <c r="A3987">
        <v>5</v>
      </c>
      <c r="B3987" t="s">
        <v>12771</v>
      </c>
      <c r="C3987" t="s">
        <v>12778</v>
      </c>
      <c r="D3987" t="s">
        <v>12782</v>
      </c>
      <c r="E3987" t="s">
        <v>9836</v>
      </c>
      <c r="F3987" t="s">
        <v>9837</v>
      </c>
      <c r="G3987" s="712">
        <v>0</v>
      </c>
      <c r="H3987">
        <v>0</v>
      </c>
      <c r="I3987" s="713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</row>
    <row r="3988" spans="1:16">
      <c r="A3988">
        <v>5</v>
      </c>
      <c r="B3988" t="s">
        <v>12771</v>
      </c>
      <c r="C3988" t="s">
        <v>12778</v>
      </c>
      <c r="D3988" t="s">
        <v>12782</v>
      </c>
      <c r="E3988" t="s">
        <v>9753</v>
      </c>
      <c r="F3988" t="s">
        <v>9754</v>
      </c>
      <c r="G3988" s="712">
        <v>0</v>
      </c>
      <c r="H3988">
        <v>0</v>
      </c>
      <c r="I3988" s="713">
        <v>0</v>
      </c>
      <c r="J3988" s="711">
        <v>2447.65</v>
      </c>
      <c r="K3988">
        <v>0</v>
      </c>
      <c r="L3988">
        <v>0</v>
      </c>
      <c r="M3988">
        <v>0</v>
      </c>
      <c r="N3988" s="711">
        <v>2447.65</v>
      </c>
      <c r="O3988">
        <v>0</v>
      </c>
      <c r="P3988" s="711">
        <v>2447.65</v>
      </c>
    </row>
    <row r="3989" spans="1:16">
      <c r="A3989">
        <v>5</v>
      </c>
      <c r="B3989" t="s">
        <v>12771</v>
      </c>
      <c r="C3989" t="s">
        <v>12778</v>
      </c>
      <c r="D3989" t="s">
        <v>12782</v>
      </c>
      <c r="E3989" t="s">
        <v>9755</v>
      </c>
      <c r="F3989" t="s">
        <v>9756</v>
      </c>
      <c r="G3989" s="712">
        <v>0</v>
      </c>
      <c r="H3989">
        <v>0</v>
      </c>
      <c r="I3989" s="713">
        <v>0</v>
      </c>
      <c r="J3989" s="711">
        <v>13076.56</v>
      </c>
      <c r="K3989">
        <v>0</v>
      </c>
      <c r="L3989">
        <v>0</v>
      </c>
      <c r="M3989">
        <v>0</v>
      </c>
      <c r="N3989" s="711">
        <v>13076.56</v>
      </c>
      <c r="O3989">
        <v>0</v>
      </c>
      <c r="P3989" s="711">
        <v>13076.56</v>
      </c>
    </row>
    <row r="3990" spans="1:16">
      <c r="A3990">
        <v>5</v>
      </c>
      <c r="B3990" t="s">
        <v>12771</v>
      </c>
      <c r="C3990" t="s">
        <v>12778</v>
      </c>
      <c r="D3990" t="s">
        <v>12782</v>
      </c>
      <c r="E3990" t="s">
        <v>9757</v>
      </c>
      <c r="F3990" t="s">
        <v>9758</v>
      </c>
      <c r="G3990" s="712">
        <v>0</v>
      </c>
      <c r="H3990">
        <v>0</v>
      </c>
      <c r="I3990" s="713">
        <v>0</v>
      </c>
      <c r="J3990">
        <v>0.01</v>
      </c>
      <c r="K3990">
        <v>0</v>
      </c>
      <c r="L3990">
        <v>0</v>
      </c>
      <c r="M3990">
        <v>0</v>
      </c>
      <c r="N3990">
        <v>0.01</v>
      </c>
      <c r="O3990">
        <v>0</v>
      </c>
      <c r="P3990">
        <v>0.01</v>
      </c>
    </row>
    <row r="3991" spans="1:16">
      <c r="A3991">
        <v>5</v>
      </c>
      <c r="B3991" t="s">
        <v>12771</v>
      </c>
      <c r="C3991" t="s">
        <v>12778</v>
      </c>
      <c r="D3991" t="s">
        <v>12782</v>
      </c>
      <c r="E3991" t="s">
        <v>9759</v>
      </c>
      <c r="F3991" t="s">
        <v>9760</v>
      </c>
      <c r="G3991" s="712">
        <v>0</v>
      </c>
      <c r="H3991">
        <v>0</v>
      </c>
      <c r="I3991" s="713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</row>
    <row r="3992" spans="1:16">
      <c r="A3992">
        <v>5</v>
      </c>
      <c r="B3992" t="s">
        <v>12771</v>
      </c>
      <c r="C3992" t="s">
        <v>12778</v>
      </c>
      <c r="D3992" t="s">
        <v>12782</v>
      </c>
      <c r="E3992" t="s">
        <v>9761</v>
      </c>
      <c r="F3992" t="s">
        <v>9762</v>
      </c>
      <c r="G3992" s="712">
        <v>0</v>
      </c>
      <c r="H3992">
        <v>0</v>
      </c>
      <c r="I3992" s="713">
        <v>0</v>
      </c>
      <c r="J3992" s="711">
        <v>45188</v>
      </c>
      <c r="K3992">
        <v>80</v>
      </c>
      <c r="L3992">
        <v>0</v>
      </c>
      <c r="M3992">
        <v>0</v>
      </c>
      <c r="N3992" s="711">
        <v>45188</v>
      </c>
      <c r="O3992">
        <v>80</v>
      </c>
      <c r="P3992" s="711">
        <v>45108</v>
      </c>
    </row>
    <row r="3993" spans="1:16">
      <c r="A3993">
        <v>5</v>
      </c>
      <c r="B3993" t="s">
        <v>12771</v>
      </c>
      <c r="C3993" t="s">
        <v>12778</v>
      </c>
      <c r="D3993" t="s">
        <v>12782</v>
      </c>
      <c r="E3993" t="s">
        <v>9763</v>
      </c>
      <c r="F3993" t="s">
        <v>9764</v>
      </c>
      <c r="G3993" s="712">
        <v>0</v>
      </c>
      <c r="H3993">
        <v>0</v>
      </c>
      <c r="I3993" s="713">
        <v>0</v>
      </c>
      <c r="J3993">
        <v>261.20999999999998</v>
      </c>
      <c r="K3993">
        <v>0</v>
      </c>
      <c r="L3993">
        <v>0</v>
      </c>
      <c r="M3993">
        <v>0</v>
      </c>
      <c r="N3993">
        <v>261.20999999999998</v>
      </c>
      <c r="O3993">
        <v>0</v>
      </c>
      <c r="P3993">
        <v>261.20999999999998</v>
      </c>
    </row>
    <row r="3994" spans="1:16">
      <c r="A3994">
        <v>5</v>
      </c>
      <c r="B3994" t="s">
        <v>12771</v>
      </c>
      <c r="C3994" t="s">
        <v>12778</v>
      </c>
      <c r="D3994" t="s">
        <v>12782</v>
      </c>
      <c r="E3994" t="s">
        <v>9765</v>
      </c>
      <c r="F3994" t="s">
        <v>9766</v>
      </c>
      <c r="G3994" s="712">
        <v>0</v>
      </c>
      <c r="H3994">
        <v>0</v>
      </c>
      <c r="I3994" s="713">
        <v>0</v>
      </c>
      <c r="J3994" s="711">
        <v>22122.9</v>
      </c>
      <c r="K3994">
        <v>0</v>
      </c>
      <c r="L3994">
        <v>0</v>
      </c>
      <c r="M3994">
        <v>0</v>
      </c>
      <c r="N3994" s="711">
        <v>22122.9</v>
      </c>
      <c r="O3994">
        <v>0</v>
      </c>
      <c r="P3994" s="711">
        <v>22122.9</v>
      </c>
    </row>
    <row r="3995" spans="1:16">
      <c r="A3995">
        <v>5</v>
      </c>
      <c r="B3995" t="s">
        <v>12771</v>
      </c>
      <c r="C3995" t="s">
        <v>12778</v>
      </c>
      <c r="D3995" t="s">
        <v>12782</v>
      </c>
      <c r="E3995" t="s">
        <v>9768</v>
      </c>
      <c r="F3995" t="s">
        <v>9769</v>
      </c>
      <c r="G3995" s="712">
        <v>0</v>
      </c>
      <c r="H3995">
        <v>0</v>
      </c>
      <c r="I3995" s="713">
        <v>0</v>
      </c>
      <c r="J3995" s="711">
        <v>384131.16</v>
      </c>
      <c r="K3995" s="711">
        <v>113748.64</v>
      </c>
      <c r="L3995">
        <v>0</v>
      </c>
      <c r="M3995">
        <v>0</v>
      </c>
      <c r="N3995" s="711">
        <v>384131.16</v>
      </c>
      <c r="O3995" s="711">
        <v>113748.64</v>
      </c>
      <c r="P3995" s="711">
        <v>270382.52</v>
      </c>
    </row>
    <row r="3996" spans="1:16">
      <c r="A3996">
        <v>5</v>
      </c>
      <c r="B3996" t="s">
        <v>12771</v>
      </c>
      <c r="C3996" t="s">
        <v>12778</v>
      </c>
      <c r="D3996" t="s">
        <v>12782</v>
      </c>
      <c r="E3996" t="s">
        <v>9771</v>
      </c>
      <c r="F3996" t="s">
        <v>9772</v>
      </c>
      <c r="G3996" s="712">
        <v>0</v>
      </c>
      <c r="H3996">
        <v>0</v>
      </c>
      <c r="I3996" s="713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</row>
    <row r="3997" spans="1:16">
      <c r="A3997">
        <v>5</v>
      </c>
      <c r="B3997" t="s">
        <v>12771</v>
      </c>
      <c r="C3997" t="s">
        <v>12778</v>
      </c>
      <c r="D3997" t="s">
        <v>12782</v>
      </c>
      <c r="E3997" t="s">
        <v>9773</v>
      </c>
      <c r="F3997" t="s">
        <v>9774</v>
      </c>
      <c r="G3997" s="712">
        <v>0</v>
      </c>
      <c r="H3997">
        <v>0</v>
      </c>
      <c r="I3997" s="713">
        <v>0</v>
      </c>
      <c r="J3997" s="711">
        <v>39512.720000000001</v>
      </c>
      <c r="K3997">
        <v>0</v>
      </c>
      <c r="L3997">
        <v>0</v>
      </c>
      <c r="M3997">
        <v>0</v>
      </c>
      <c r="N3997" s="711">
        <v>39512.720000000001</v>
      </c>
      <c r="O3997">
        <v>0</v>
      </c>
      <c r="P3997" s="711">
        <v>39512.720000000001</v>
      </c>
    </row>
    <row r="3998" spans="1:16">
      <c r="A3998">
        <v>5</v>
      </c>
      <c r="B3998" t="s">
        <v>12771</v>
      </c>
      <c r="C3998" t="s">
        <v>12778</v>
      </c>
      <c r="D3998" t="s">
        <v>12782</v>
      </c>
      <c r="E3998" t="s">
        <v>9775</v>
      </c>
      <c r="F3998" t="s">
        <v>9776</v>
      </c>
      <c r="G3998" s="712">
        <v>0</v>
      </c>
      <c r="H3998">
        <v>0</v>
      </c>
      <c r="I3998" s="713">
        <v>0</v>
      </c>
      <c r="J3998" s="711">
        <v>6740.28</v>
      </c>
      <c r="K3998">
        <v>0</v>
      </c>
      <c r="L3998">
        <v>0</v>
      </c>
      <c r="M3998">
        <v>0</v>
      </c>
      <c r="N3998" s="711">
        <v>6740.28</v>
      </c>
      <c r="O3998">
        <v>0</v>
      </c>
      <c r="P3998" s="711">
        <v>6740.28</v>
      </c>
    </row>
    <row r="3999" spans="1:16">
      <c r="A3999">
        <v>5</v>
      </c>
      <c r="B3999" t="s">
        <v>12771</v>
      </c>
      <c r="C3999" t="s">
        <v>12778</v>
      </c>
      <c r="D3999" t="s">
        <v>12782</v>
      </c>
      <c r="E3999" t="s">
        <v>9777</v>
      </c>
      <c r="F3999" t="s">
        <v>9778</v>
      </c>
      <c r="G3999" s="712">
        <v>0</v>
      </c>
      <c r="H3999">
        <v>0</v>
      </c>
      <c r="I3999" s="713">
        <v>0</v>
      </c>
      <c r="J3999">
        <v>373.34</v>
      </c>
      <c r="K3999">
        <v>0</v>
      </c>
      <c r="L3999">
        <v>0</v>
      </c>
      <c r="M3999">
        <v>0</v>
      </c>
      <c r="N3999">
        <v>373.34</v>
      </c>
      <c r="O3999">
        <v>0</v>
      </c>
      <c r="P3999">
        <v>373.34</v>
      </c>
    </row>
    <row r="4000" spans="1:16">
      <c r="A4000">
        <v>5</v>
      </c>
      <c r="B4000" t="s">
        <v>12771</v>
      </c>
      <c r="C4000" t="s">
        <v>12778</v>
      </c>
      <c r="D4000" t="s">
        <v>12782</v>
      </c>
      <c r="E4000" t="s">
        <v>9779</v>
      </c>
      <c r="F4000" t="s">
        <v>9780</v>
      </c>
      <c r="G4000" s="712">
        <v>0</v>
      </c>
      <c r="H4000">
        <v>0</v>
      </c>
      <c r="I4000" s="713">
        <v>0</v>
      </c>
      <c r="J4000" s="711">
        <v>10424.67</v>
      </c>
      <c r="K4000">
        <v>0</v>
      </c>
      <c r="L4000">
        <v>0</v>
      </c>
      <c r="M4000">
        <v>0</v>
      </c>
      <c r="N4000" s="711">
        <v>10424.67</v>
      </c>
      <c r="O4000">
        <v>0</v>
      </c>
      <c r="P4000" s="711">
        <v>10424.67</v>
      </c>
    </row>
    <row r="4001" spans="1:16">
      <c r="A4001">
        <v>5</v>
      </c>
      <c r="B4001" t="s">
        <v>12771</v>
      </c>
      <c r="C4001" t="s">
        <v>12778</v>
      </c>
      <c r="D4001" t="s">
        <v>12782</v>
      </c>
      <c r="E4001" t="s">
        <v>9781</v>
      </c>
      <c r="F4001" t="s">
        <v>9782</v>
      </c>
      <c r="G4001" s="712">
        <v>0</v>
      </c>
      <c r="H4001">
        <v>0</v>
      </c>
      <c r="I4001" s="713">
        <v>0</v>
      </c>
      <c r="J4001">
        <v>545.03</v>
      </c>
      <c r="K4001">
        <v>0</v>
      </c>
      <c r="L4001">
        <v>0</v>
      </c>
      <c r="M4001">
        <v>0</v>
      </c>
      <c r="N4001">
        <v>545.03</v>
      </c>
      <c r="O4001">
        <v>0</v>
      </c>
      <c r="P4001">
        <v>545.03</v>
      </c>
    </row>
    <row r="4002" spans="1:16">
      <c r="A4002">
        <v>5</v>
      </c>
      <c r="B4002" t="s">
        <v>12771</v>
      </c>
      <c r="C4002" t="s">
        <v>12778</v>
      </c>
      <c r="D4002" t="s">
        <v>12782</v>
      </c>
      <c r="E4002" t="s">
        <v>9783</v>
      </c>
      <c r="F4002" t="s">
        <v>9784</v>
      </c>
      <c r="G4002" s="712">
        <v>0</v>
      </c>
      <c r="H4002">
        <v>0</v>
      </c>
      <c r="I4002" s="713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</row>
    <row r="4003" spans="1:16">
      <c r="A4003">
        <v>5</v>
      </c>
      <c r="B4003" t="s">
        <v>12771</v>
      </c>
      <c r="C4003" t="s">
        <v>12778</v>
      </c>
      <c r="D4003" t="s">
        <v>12782</v>
      </c>
      <c r="E4003" t="s">
        <v>9785</v>
      </c>
      <c r="F4003" t="s">
        <v>9786</v>
      </c>
      <c r="G4003" s="712">
        <v>0</v>
      </c>
      <c r="H4003">
        <v>0</v>
      </c>
      <c r="I4003" s="713">
        <v>0</v>
      </c>
      <c r="J4003" s="711">
        <v>25376.94</v>
      </c>
      <c r="K4003">
        <v>0</v>
      </c>
      <c r="L4003">
        <v>0</v>
      </c>
      <c r="M4003">
        <v>0</v>
      </c>
      <c r="N4003" s="711">
        <v>25376.94</v>
      </c>
      <c r="O4003">
        <v>0</v>
      </c>
      <c r="P4003" s="711">
        <v>25376.94</v>
      </c>
    </row>
    <row r="4004" spans="1:16">
      <c r="A4004">
        <v>5</v>
      </c>
      <c r="B4004" t="s">
        <v>12771</v>
      </c>
      <c r="C4004" t="s">
        <v>12778</v>
      </c>
      <c r="D4004" t="s">
        <v>12782</v>
      </c>
      <c r="E4004" t="s">
        <v>9787</v>
      </c>
      <c r="F4004" t="s">
        <v>9788</v>
      </c>
      <c r="G4004" s="712">
        <v>0</v>
      </c>
      <c r="H4004">
        <v>0</v>
      </c>
      <c r="I4004" s="713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</row>
    <row r="4005" spans="1:16">
      <c r="A4005">
        <v>5</v>
      </c>
      <c r="B4005" t="s">
        <v>12771</v>
      </c>
      <c r="C4005" t="s">
        <v>12778</v>
      </c>
      <c r="D4005" t="s">
        <v>12782</v>
      </c>
      <c r="E4005" t="s">
        <v>9789</v>
      </c>
      <c r="F4005" t="s">
        <v>9790</v>
      </c>
      <c r="G4005" s="712">
        <v>0</v>
      </c>
      <c r="H4005">
        <v>0</v>
      </c>
      <c r="I4005" s="713">
        <v>0</v>
      </c>
      <c r="J4005" s="711">
        <v>6612.43</v>
      </c>
      <c r="K4005">
        <v>0</v>
      </c>
      <c r="L4005">
        <v>0</v>
      </c>
      <c r="M4005">
        <v>0</v>
      </c>
      <c r="N4005" s="711">
        <v>6612.43</v>
      </c>
      <c r="O4005">
        <v>0</v>
      </c>
      <c r="P4005" s="711">
        <v>6612.43</v>
      </c>
    </row>
    <row r="4006" spans="1:16">
      <c r="A4006">
        <v>5</v>
      </c>
      <c r="B4006" t="s">
        <v>12771</v>
      </c>
      <c r="C4006" t="s">
        <v>12778</v>
      </c>
      <c r="D4006" t="s">
        <v>12782</v>
      </c>
      <c r="E4006" t="s">
        <v>9791</v>
      </c>
      <c r="F4006" t="s">
        <v>9792</v>
      </c>
      <c r="G4006" s="712">
        <v>0</v>
      </c>
      <c r="H4006">
        <v>0</v>
      </c>
      <c r="I4006" s="713">
        <v>0</v>
      </c>
      <c r="J4006" s="711">
        <v>19598</v>
      </c>
      <c r="K4006">
        <v>0</v>
      </c>
      <c r="L4006">
        <v>0</v>
      </c>
      <c r="M4006">
        <v>0</v>
      </c>
      <c r="N4006" s="711">
        <v>19598</v>
      </c>
      <c r="O4006">
        <v>0</v>
      </c>
      <c r="P4006" s="711">
        <v>19598</v>
      </c>
    </row>
    <row r="4007" spans="1:16">
      <c r="A4007">
        <v>5</v>
      </c>
      <c r="B4007" t="s">
        <v>12771</v>
      </c>
      <c r="C4007" t="s">
        <v>12778</v>
      </c>
      <c r="D4007" t="s">
        <v>12782</v>
      </c>
      <c r="E4007" t="s">
        <v>9793</v>
      </c>
      <c r="F4007" t="s">
        <v>9794</v>
      </c>
      <c r="G4007" s="712">
        <v>0</v>
      </c>
      <c r="H4007">
        <v>0</v>
      </c>
      <c r="I4007" s="713">
        <v>0</v>
      </c>
      <c r="J4007" s="711">
        <v>9221.5</v>
      </c>
      <c r="K4007">
        <v>0</v>
      </c>
      <c r="L4007">
        <v>0</v>
      </c>
      <c r="M4007">
        <v>0</v>
      </c>
      <c r="N4007" s="711">
        <v>9221.5</v>
      </c>
      <c r="O4007">
        <v>0</v>
      </c>
      <c r="P4007" s="711">
        <v>9221.5</v>
      </c>
    </row>
    <row r="4008" spans="1:16">
      <c r="A4008">
        <v>5</v>
      </c>
      <c r="B4008" t="s">
        <v>12771</v>
      </c>
      <c r="C4008" t="s">
        <v>12778</v>
      </c>
      <c r="D4008" t="s">
        <v>12782</v>
      </c>
      <c r="E4008" t="s">
        <v>9795</v>
      </c>
      <c r="F4008" t="s">
        <v>9796</v>
      </c>
      <c r="G4008" s="712">
        <v>0</v>
      </c>
      <c r="H4008">
        <v>0</v>
      </c>
      <c r="I4008" s="713">
        <v>0</v>
      </c>
      <c r="J4008" s="711">
        <v>304536.87</v>
      </c>
      <c r="K4008">
        <v>0</v>
      </c>
      <c r="L4008">
        <v>0</v>
      </c>
      <c r="M4008">
        <v>0</v>
      </c>
      <c r="N4008" s="711">
        <v>304536.87</v>
      </c>
      <c r="O4008">
        <v>0</v>
      </c>
      <c r="P4008" s="711">
        <v>304536.87</v>
      </c>
    </row>
    <row r="4009" spans="1:16">
      <c r="A4009">
        <v>5</v>
      </c>
      <c r="B4009" t="s">
        <v>12771</v>
      </c>
      <c r="C4009" t="s">
        <v>12778</v>
      </c>
      <c r="D4009" t="s">
        <v>12782</v>
      </c>
      <c r="E4009" t="s">
        <v>9799</v>
      </c>
      <c r="F4009" t="s">
        <v>9800</v>
      </c>
      <c r="G4009" s="712">
        <v>0</v>
      </c>
      <c r="H4009">
        <v>0</v>
      </c>
      <c r="I4009" s="713">
        <v>0</v>
      </c>
      <c r="J4009" s="711">
        <v>207327.61</v>
      </c>
      <c r="K4009" s="711">
        <v>34135.839999999997</v>
      </c>
      <c r="L4009">
        <v>0</v>
      </c>
      <c r="M4009">
        <v>0</v>
      </c>
      <c r="N4009" s="711">
        <v>207327.61</v>
      </c>
      <c r="O4009" s="711">
        <v>34135.839999999997</v>
      </c>
      <c r="P4009" s="711">
        <v>173191.77</v>
      </c>
    </row>
    <row r="4010" spans="1:16">
      <c r="A4010">
        <v>5</v>
      </c>
      <c r="B4010" t="s">
        <v>12771</v>
      </c>
      <c r="C4010" t="s">
        <v>12778</v>
      </c>
      <c r="D4010" t="s">
        <v>12782</v>
      </c>
      <c r="E4010" t="s">
        <v>9801</v>
      </c>
      <c r="F4010" t="s">
        <v>9802</v>
      </c>
      <c r="G4010" s="712">
        <v>0</v>
      </c>
      <c r="H4010">
        <v>0</v>
      </c>
      <c r="I4010" s="713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</row>
    <row r="4011" spans="1:16">
      <c r="A4011">
        <v>5</v>
      </c>
      <c r="B4011" t="s">
        <v>12771</v>
      </c>
      <c r="C4011" t="s">
        <v>12778</v>
      </c>
      <c r="D4011" t="s">
        <v>12782</v>
      </c>
      <c r="E4011" t="s">
        <v>9803</v>
      </c>
      <c r="F4011" t="s">
        <v>12783</v>
      </c>
      <c r="G4011" s="712">
        <v>0</v>
      </c>
      <c r="H4011">
        <v>0</v>
      </c>
      <c r="I4011" s="713">
        <v>0</v>
      </c>
      <c r="J4011" s="711">
        <v>12500.01</v>
      </c>
      <c r="K4011">
        <v>0</v>
      </c>
      <c r="L4011">
        <v>0</v>
      </c>
      <c r="M4011">
        <v>0</v>
      </c>
      <c r="N4011" s="711">
        <v>12500.01</v>
      </c>
      <c r="O4011">
        <v>0</v>
      </c>
      <c r="P4011" s="711">
        <v>12500.01</v>
      </c>
    </row>
    <row r="4012" spans="1:16">
      <c r="A4012">
        <v>5</v>
      </c>
      <c r="B4012" t="s">
        <v>12771</v>
      </c>
      <c r="C4012" t="s">
        <v>12778</v>
      </c>
      <c r="D4012" t="s">
        <v>12782</v>
      </c>
      <c r="E4012" t="s">
        <v>9805</v>
      </c>
      <c r="F4012" t="s">
        <v>9806</v>
      </c>
      <c r="G4012" s="712">
        <v>0</v>
      </c>
      <c r="H4012">
        <v>0</v>
      </c>
      <c r="I4012" s="713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</row>
    <row r="4013" spans="1:16">
      <c r="A4013">
        <v>5</v>
      </c>
      <c r="B4013" t="s">
        <v>12771</v>
      </c>
      <c r="C4013" t="s">
        <v>12778</v>
      </c>
      <c r="D4013" t="s">
        <v>12782</v>
      </c>
      <c r="E4013" t="s">
        <v>9807</v>
      </c>
      <c r="F4013" t="s">
        <v>9808</v>
      </c>
      <c r="G4013" s="712">
        <v>0</v>
      </c>
      <c r="H4013">
        <v>0</v>
      </c>
      <c r="I4013" s="713">
        <v>0</v>
      </c>
      <c r="J4013" s="711">
        <v>1111.79</v>
      </c>
      <c r="K4013">
        <v>0</v>
      </c>
      <c r="L4013">
        <v>0</v>
      </c>
      <c r="M4013">
        <v>0</v>
      </c>
      <c r="N4013" s="711">
        <v>1111.79</v>
      </c>
      <c r="O4013">
        <v>0</v>
      </c>
      <c r="P4013" s="711">
        <v>1111.79</v>
      </c>
    </row>
    <row r="4014" spans="1:16">
      <c r="A4014">
        <v>5</v>
      </c>
      <c r="B4014" t="s">
        <v>12771</v>
      </c>
      <c r="C4014" t="s">
        <v>12778</v>
      </c>
      <c r="D4014" t="s">
        <v>12782</v>
      </c>
      <c r="E4014" t="s">
        <v>9809</v>
      </c>
      <c r="F4014" t="s">
        <v>9810</v>
      </c>
      <c r="G4014" s="712">
        <v>0</v>
      </c>
      <c r="H4014">
        <v>0</v>
      </c>
      <c r="I4014" s="713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</row>
    <row r="4015" spans="1:16">
      <c r="A4015">
        <v>5</v>
      </c>
      <c r="B4015" t="s">
        <v>12771</v>
      </c>
      <c r="C4015" t="s">
        <v>12778</v>
      </c>
      <c r="D4015" t="s">
        <v>12782</v>
      </c>
      <c r="E4015" t="s">
        <v>9812</v>
      </c>
      <c r="F4015" t="s">
        <v>9813</v>
      </c>
      <c r="G4015" s="712">
        <v>0</v>
      </c>
      <c r="H4015">
        <v>0</v>
      </c>
      <c r="I4015" s="713">
        <v>0</v>
      </c>
      <c r="J4015" s="711">
        <v>36041.65</v>
      </c>
      <c r="K4015">
        <v>0</v>
      </c>
      <c r="L4015">
        <v>0</v>
      </c>
      <c r="M4015">
        <v>0</v>
      </c>
      <c r="N4015" s="711">
        <v>36041.65</v>
      </c>
      <c r="O4015">
        <v>0</v>
      </c>
      <c r="P4015" s="711">
        <v>36041.65</v>
      </c>
    </row>
    <row r="4016" spans="1:16">
      <c r="A4016">
        <v>5</v>
      </c>
      <c r="B4016" t="s">
        <v>12771</v>
      </c>
      <c r="C4016" t="s">
        <v>12778</v>
      </c>
      <c r="D4016" t="s">
        <v>12782</v>
      </c>
      <c r="E4016" t="s">
        <v>9814</v>
      </c>
      <c r="F4016" t="s">
        <v>9815</v>
      </c>
      <c r="G4016" s="712">
        <v>0</v>
      </c>
      <c r="H4016">
        <v>0</v>
      </c>
      <c r="I4016" s="713">
        <v>0</v>
      </c>
      <c r="J4016" s="711">
        <v>16957</v>
      </c>
      <c r="K4016">
        <v>0</v>
      </c>
      <c r="L4016">
        <v>0</v>
      </c>
      <c r="M4016">
        <v>0</v>
      </c>
      <c r="N4016" s="711">
        <v>16957</v>
      </c>
      <c r="O4016">
        <v>0</v>
      </c>
      <c r="P4016" s="711">
        <v>16957</v>
      </c>
    </row>
    <row r="4017" spans="1:16">
      <c r="A4017">
        <v>5</v>
      </c>
      <c r="B4017" t="s">
        <v>12771</v>
      </c>
      <c r="C4017" t="s">
        <v>12778</v>
      </c>
      <c r="D4017" t="s">
        <v>12782</v>
      </c>
      <c r="E4017" t="s">
        <v>9816</v>
      </c>
      <c r="F4017" t="s">
        <v>9817</v>
      </c>
      <c r="G4017" s="712">
        <v>0</v>
      </c>
      <c r="H4017">
        <v>0</v>
      </c>
      <c r="I4017" s="713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</row>
    <row r="4018" spans="1:16">
      <c r="A4018">
        <v>5</v>
      </c>
      <c r="B4018" t="s">
        <v>12771</v>
      </c>
      <c r="C4018" t="s">
        <v>12778</v>
      </c>
      <c r="D4018" t="s">
        <v>12782</v>
      </c>
      <c r="E4018" t="s">
        <v>9818</v>
      </c>
      <c r="F4018" t="s">
        <v>9819</v>
      </c>
      <c r="G4018" s="712">
        <v>0</v>
      </c>
      <c r="H4018">
        <v>0</v>
      </c>
      <c r="I4018" s="713">
        <v>0</v>
      </c>
      <c r="J4018" s="711">
        <v>231578.05</v>
      </c>
      <c r="K4018" s="711">
        <v>6999.32</v>
      </c>
      <c r="L4018">
        <v>0</v>
      </c>
      <c r="M4018">
        <v>0</v>
      </c>
      <c r="N4018" s="711">
        <v>231578.05</v>
      </c>
      <c r="O4018" s="711">
        <v>6999.32</v>
      </c>
      <c r="P4018" s="711">
        <v>224578.73</v>
      </c>
    </row>
    <row r="4019" spans="1:16">
      <c r="A4019">
        <v>5</v>
      </c>
      <c r="B4019" t="s">
        <v>12771</v>
      </c>
      <c r="C4019" t="s">
        <v>12778</v>
      </c>
      <c r="D4019" t="s">
        <v>12782</v>
      </c>
      <c r="E4019" t="s">
        <v>9820</v>
      </c>
      <c r="F4019" t="s">
        <v>9821</v>
      </c>
      <c r="G4019" s="712">
        <v>0</v>
      </c>
      <c r="H4019">
        <v>0</v>
      </c>
      <c r="I4019" s="713">
        <v>0</v>
      </c>
      <c r="J4019" s="711">
        <v>152415.87</v>
      </c>
      <c r="K4019" s="711">
        <v>4166.66</v>
      </c>
      <c r="L4019">
        <v>0</v>
      </c>
      <c r="M4019">
        <v>0</v>
      </c>
      <c r="N4019" s="711">
        <v>152415.87</v>
      </c>
      <c r="O4019" s="711">
        <v>4166.66</v>
      </c>
      <c r="P4019" s="711">
        <v>148249.21</v>
      </c>
    </row>
    <row r="4020" spans="1:16">
      <c r="A4020">
        <v>5</v>
      </c>
      <c r="B4020" t="s">
        <v>12771</v>
      </c>
      <c r="C4020" t="s">
        <v>12778</v>
      </c>
      <c r="D4020" t="s">
        <v>12782</v>
      </c>
      <c r="E4020" t="s">
        <v>9822</v>
      </c>
      <c r="F4020" t="s">
        <v>9823</v>
      </c>
      <c r="G4020" s="712">
        <v>0</v>
      </c>
      <c r="H4020">
        <v>0</v>
      </c>
      <c r="I4020" s="713">
        <v>0</v>
      </c>
      <c r="J4020" s="711">
        <v>17832.78</v>
      </c>
      <c r="K4020" s="711">
        <v>1041.6600000000001</v>
      </c>
      <c r="L4020">
        <v>0</v>
      </c>
      <c r="M4020">
        <v>0</v>
      </c>
      <c r="N4020" s="711">
        <v>17832.78</v>
      </c>
      <c r="O4020" s="711">
        <v>1041.6600000000001</v>
      </c>
      <c r="P4020" s="711">
        <v>16791.12</v>
      </c>
    </row>
    <row r="4021" spans="1:16">
      <c r="A4021">
        <v>5</v>
      </c>
      <c r="B4021" t="s">
        <v>12771</v>
      </c>
      <c r="C4021" t="s">
        <v>12778</v>
      </c>
      <c r="D4021" t="s">
        <v>12782</v>
      </c>
      <c r="E4021" t="s">
        <v>9824</v>
      </c>
      <c r="F4021" t="s">
        <v>9825</v>
      </c>
      <c r="G4021" s="712">
        <v>0</v>
      </c>
      <c r="H4021">
        <v>0</v>
      </c>
      <c r="I4021" s="713">
        <v>0</v>
      </c>
      <c r="J4021" s="711">
        <v>70833.3</v>
      </c>
      <c r="K4021">
        <v>0</v>
      </c>
      <c r="L4021">
        <v>0</v>
      </c>
      <c r="M4021">
        <v>0</v>
      </c>
      <c r="N4021" s="711">
        <v>70833.3</v>
      </c>
      <c r="O4021">
        <v>0</v>
      </c>
      <c r="P4021" s="711">
        <v>70833.3</v>
      </c>
    </row>
    <row r="4022" spans="1:16">
      <c r="A4022">
        <v>5</v>
      </c>
      <c r="B4022" t="s">
        <v>12771</v>
      </c>
      <c r="C4022" t="s">
        <v>12778</v>
      </c>
      <c r="D4022" t="s">
        <v>12782</v>
      </c>
      <c r="E4022" t="s">
        <v>9826</v>
      </c>
      <c r="F4022" t="s">
        <v>9827</v>
      </c>
      <c r="G4022" s="712">
        <v>0</v>
      </c>
      <c r="H4022">
        <v>0</v>
      </c>
      <c r="I4022" s="713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</row>
    <row r="4023" spans="1:16" ht="15.75" thickBot="1">
      <c r="A4023">
        <v>5</v>
      </c>
      <c r="B4023" t="s">
        <v>12771</v>
      </c>
      <c r="C4023" t="s">
        <v>12778</v>
      </c>
      <c r="D4023" t="s">
        <v>12782</v>
      </c>
      <c r="E4023" t="s">
        <v>9828</v>
      </c>
      <c r="F4023" t="s">
        <v>9829</v>
      </c>
      <c r="G4023" s="712">
        <v>0</v>
      </c>
      <c r="H4023">
        <v>0</v>
      </c>
      <c r="I4023" s="713">
        <v>0</v>
      </c>
      <c r="J4023" s="711">
        <v>95624.93</v>
      </c>
      <c r="K4023">
        <v>0</v>
      </c>
      <c r="L4023">
        <v>0</v>
      </c>
      <c r="M4023">
        <v>0</v>
      </c>
      <c r="N4023" s="711">
        <v>95624.93</v>
      </c>
      <c r="O4023">
        <v>0</v>
      </c>
      <c r="P4023" s="711">
        <v>95624.93</v>
      </c>
    </row>
    <row r="4024" spans="1:16" ht="15.75" thickBot="1">
      <c r="A4024" s="727">
        <v>5</v>
      </c>
      <c r="B4024" s="727" t="s">
        <v>12784</v>
      </c>
      <c r="C4024" s="727"/>
      <c r="D4024" s="727"/>
      <c r="E4024" s="727"/>
      <c r="F4024" s="745" t="s">
        <v>12785</v>
      </c>
      <c r="G4024" s="738">
        <v>0</v>
      </c>
      <c r="H4024" s="738">
        <v>0</v>
      </c>
      <c r="I4024" s="738">
        <v>0</v>
      </c>
      <c r="J4024" s="739">
        <v>1385115.4</v>
      </c>
      <c r="K4024" s="738">
        <v>0</v>
      </c>
      <c r="L4024" s="738">
        <v>0</v>
      </c>
      <c r="M4024" s="738">
        <v>0</v>
      </c>
      <c r="N4024" s="739">
        <v>1385115.4</v>
      </c>
      <c r="O4024" s="738">
        <v>0</v>
      </c>
      <c r="P4024" s="739">
        <v>1385115.4</v>
      </c>
    </row>
    <row r="4025" spans="1:16" ht="15.75" thickBot="1">
      <c r="A4025" s="727">
        <v>5</v>
      </c>
      <c r="B4025" s="727" t="s">
        <v>12784</v>
      </c>
      <c r="C4025" s="727" t="s">
        <v>12786</v>
      </c>
      <c r="D4025" s="727"/>
      <c r="E4025" s="727"/>
      <c r="F4025" s="745" t="s">
        <v>12785</v>
      </c>
      <c r="G4025" s="738">
        <v>0</v>
      </c>
      <c r="H4025" s="738">
        <v>0</v>
      </c>
      <c r="I4025" s="738">
        <v>0</v>
      </c>
      <c r="J4025" s="739">
        <v>1385115.4</v>
      </c>
      <c r="K4025" s="738">
        <v>0</v>
      </c>
      <c r="L4025" s="738">
        <v>0</v>
      </c>
      <c r="M4025" s="738">
        <v>0</v>
      </c>
      <c r="N4025" s="739">
        <v>1385115.4</v>
      </c>
      <c r="O4025" s="738">
        <v>0</v>
      </c>
      <c r="P4025" s="739">
        <v>1385115.4</v>
      </c>
    </row>
    <row r="4026" spans="1:16" ht="15.75" thickBot="1">
      <c r="A4026" s="727">
        <v>5</v>
      </c>
      <c r="B4026" s="727" t="s">
        <v>12784</v>
      </c>
      <c r="C4026" s="727" t="s">
        <v>12786</v>
      </c>
      <c r="D4026" s="727" t="s">
        <v>12787</v>
      </c>
      <c r="E4026" s="727"/>
      <c r="F4026" s="729" t="s">
        <v>12785</v>
      </c>
      <c r="G4026" s="738">
        <v>0</v>
      </c>
      <c r="H4026" s="738">
        <v>0</v>
      </c>
      <c r="I4026" s="738">
        <v>0</v>
      </c>
      <c r="J4026" s="739">
        <v>1385115.4</v>
      </c>
      <c r="K4026" s="738">
        <v>0</v>
      </c>
      <c r="L4026" s="738">
        <v>0</v>
      </c>
      <c r="M4026" s="738">
        <v>0</v>
      </c>
      <c r="N4026" s="739">
        <v>1385115.4</v>
      </c>
      <c r="O4026" s="738">
        <v>0</v>
      </c>
      <c r="P4026" s="739">
        <v>1385115.4</v>
      </c>
    </row>
    <row r="4027" spans="1:16">
      <c r="A4027">
        <v>5</v>
      </c>
      <c r="B4027" t="s">
        <v>12784</v>
      </c>
      <c r="C4027" t="s">
        <v>12786</v>
      </c>
      <c r="D4027" t="s">
        <v>12787</v>
      </c>
      <c r="E4027" t="s">
        <v>9845</v>
      </c>
      <c r="F4027" t="s">
        <v>9846</v>
      </c>
      <c r="G4027" s="712">
        <v>0</v>
      </c>
      <c r="H4027">
        <v>0</v>
      </c>
      <c r="I4027" s="713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</row>
    <row r="4028" spans="1:16">
      <c r="A4028">
        <v>5</v>
      </c>
      <c r="B4028" t="s">
        <v>12784</v>
      </c>
      <c r="C4028" t="s">
        <v>12786</v>
      </c>
      <c r="D4028" t="s">
        <v>12787</v>
      </c>
      <c r="E4028" t="s">
        <v>9848</v>
      </c>
      <c r="F4028" t="s">
        <v>9849</v>
      </c>
      <c r="G4028" s="712">
        <v>0</v>
      </c>
      <c r="H4028">
        <v>0</v>
      </c>
      <c r="I4028" s="713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</row>
    <row r="4029" spans="1:16">
      <c r="A4029">
        <v>5</v>
      </c>
      <c r="B4029" t="s">
        <v>12784</v>
      </c>
      <c r="C4029" t="s">
        <v>12786</v>
      </c>
      <c r="D4029" t="s">
        <v>12787</v>
      </c>
      <c r="E4029" t="s">
        <v>9850</v>
      </c>
      <c r="F4029" t="s">
        <v>9851</v>
      </c>
      <c r="G4029" s="712">
        <v>0</v>
      </c>
      <c r="H4029">
        <v>0</v>
      </c>
      <c r="I4029" s="713">
        <v>0</v>
      </c>
      <c r="J4029" s="711">
        <v>1152804.57</v>
      </c>
      <c r="K4029">
        <v>0</v>
      </c>
      <c r="L4029">
        <v>0</v>
      </c>
      <c r="M4029">
        <v>0</v>
      </c>
      <c r="N4029" s="711">
        <v>1152804.57</v>
      </c>
      <c r="O4029">
        <v>0</v>
      </c>
      <c r="P4029" s="711">
        <v>1152804.57</v>
      </c>
    </row>
    <row r="4030" spans="1:16">
      <c r="A4030">
        <v>5</v>
      </c>
      <c r="B4030" t="s">
        <v>12784</v>
      </c>
      <c r="C4030" t="s">
        <v>12786</v>
      </c>
      <c r="D4030" t="s">
        <v>12787</v>
      </c>
      <c r="E4030" t="s">
        <v>9852</v>
      </c>
      <c r="F4030" t="s">
        <v>9853</v>
      </c>
      <c r="G4030" s="712">
        <v>0</v>
      </c>
      <c r="H4030">
        <v>0</v>
      </c>
      <c r="I4030" s="713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</row>
    <row r="4031" spans="1:16">
      <c r="A4031">
        <v>5</v>
      </c>
      <c r="B4031" t="s">
        <v>12784</v>
      </c>
      <c r="C4031" t="s">
        <v>12786</v>
      </c>
      <c r="D4031" t="s">
        <v>12787</v>
      </c>
      <c r="E4031" t="s">
        <v>9854</v>
      </c>
      <c r="F4031" t="s">
        <v>9855</v>
      </c>
      <c r="G4031" s="712">
        <v>0</v>
      </c>
      <c r="H4031">
        <v>0</v>
      </c>
      <c r="I4031" s="713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</row>
    <row r="4032" spans="1:16">
      <c r="A4032">
        <v>5</v>
      </c>
      <c r="B4032" t="s">
        <v>12784</v>
      </c>
      <c r="C4032" t="s">
        <v>12786</v>
      </c>
      <c r="D4032" t="s">
        <v>12787</v>
      </c>
      <c r="E4032" t="s">
        <v>9856</v>
      </c>
      <c r="F4032" t="s">
        <v>9857</v>
      </c>
      <c r="G4032" s="712">
        <v>0</v>
      </c>
      <c r="H4032">
        <v>0</v>
      </c>
      <c r="I4032" s="713">
        <v>0</v>
      </c>
      <c r="J4032" s="711">
        <v>182951.89</v>
      </c>
      <c r="K4032">
        <v>0</v>
      </c>
      <c r="L4032">
        <v>0</v>
      </c>
      <c r="M4032">
        <v>0</v>
      </c>
      <c r="N4032" s="711">
        <v>182951.89</v>
      </c>
      <c r="O4032">
        <v>0</v>
      </c>
      <c r="P4032" s="711">
        <v>182951.89</v>
      </c>
    </row>
    <row r="4033" spans="1:16">
      <c r="A4033">
        <v>5</v>
      </c>
      <c r="B4033" t="s">
        <v>12784</v>
      </c>
      <c r="C4033" t="s">
        <v>12786</v>
      </c>
      <c r="D4033" t="s">
        <v>12787</v>
      </c>
      <c r="E4033" t="s">
        <v>9858</v>
      </c>
      <c r="F4033" t="s">
        <v>9859</v>
      </c>
      <c r="G4033" s="712">
        <v>0</v>
      </c>
      <c r="H4033">
        <v>0</v>
      </c>
      <c r="I4033" s="713">
        <v>0</v>
      </c>
      <c r="J4033" s="711">
        <v>49358.94</v>
      </c>
      <c r="K4033">
        <v>0</v>
      </c>
      <c r="L4033">
        <v>0</v>
      </c>
      <c r="M4033">
        <v>0</v>
      </c>
      <c r="N4033" s="711">
        <v>49358.94</v>
      </c>
      <c r="O4033">
        <v>0</v>
      </c>
      <c r="P4033" s="711">
        <v>49358.94</v>
      </c>
    </row>
    <row r="4034" spans="1:16">
      <c r="A4034">
        <v>5</v>
      </c>
      <c r="B4034" t="s">
        <v>12784</v>
      </c>
      <c r="C4034" t="s">
        <v>12786</v>
      </c>
      <c r="D4034" t="s">
        <v>12787</v>
      </c>
      <c r="E4034" t="s">
        <v>9861</v>
      </c>
      <c r="F4034" t="s">
        <v>9862</v>
      </c>
      <c r="G4034" s="712">
        <v>0</v>
      </c>
      <c r="H4034">
        <v>0</v>
      </c>
      <c r="I4034" s="713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</row>
    <row r="4035" spans="1:16">
      <c r="A4035">
        <v>5</v>
      </c>
      <c r="B4035" t="s">
        <v>12784</v>
      </c>
      <c r="C4035" t="s">
        <v>12786</v>
      </c>
      <c r="D4035" t="s">
        <v>12787</v>
      </c>
      <c r="E4035" t="s">
        <v>9863</v>
      </c>
      <c r="F4035" t="s">
        <v>9864</v>
      </c>
      <c r="G4035" s="712">
        <v>0</v>
      </c>
      <c r="H4035">
        <v>0</v>
      </c>
      <c r="I4035" s="713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</row>
    <row r="4036" spans="1:16" ht="15.75" thickBot="1">
      <c r="A4036">
        <v>5</v>
      </c>
      <c r="B4036" t="s">
        <v>12784</v>
      </c>
      <c r="C4036" t="s">
        <v>12786</v>
      </c>
      <c r="D4036" t="s">
        <v>12787</v>
      </c>
      <c r="E4036" t="s">
        <v>9865</v>
      </c>
      <c r="F4036" t="s">
        <v>9866</v>
      </c>
      <c r="G4036" s="712">
        <v>0</v>
      </c>
      <c r="H4036">
        <v>0</v>
      </c>
      <c r="I4036" s="713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</row>
    <row r="4037" spans="1:16" ht="15.75" thickBot="1">
      <c r="A4037" s="727">
        <v>5</v>
      </c>
      <c r="B4037" s="727" t="s">
        <v>12788</v>
      </c>
      <c r="C4037" s="727"/>
      <c r="D4037" s="727"/>
      <c r="E4037" s="727"/>
      <c r="F4037" s="745" t="s">
        <v>12789</v>
      </c>
      <c r="G4037" s="738">
        <v>0</v>
      </c>
      <c r="H4037" s="738">
        <v>0</v>
      </c>
      <c r="I4037" s="738">
        <v>0</v>
      </c>
      <c r="J4037" s="739">
        <v>46994.73</v>
      </c>
      <c r="K4037" s="738">
        <v>0</v>
      </c>
      <c r="L4037" s="738">
        <v>0</v>
      </c>
      <c r="M4037" s="738">
        <v>0</v>
      </c>
      <c r="N4037" s="739">
        <v>46994.73</v>
      </c>
      <c r="O4037" s="738">
        <v>0</v>
      </c>
      <c r="P4037" s="739">
        <v>46994.73</v>
      </c>
    </row>
    <row r="4038" spans="1:16" ht="15.75" thickBot="1">
      <c r="A4038" s="727">
        <v>5</v>
      </c>
      <c r="B4038" s="727" t="s">
        <v>12788</v>
      </c>
      <c r="C4038" s="727" t="s">
        <v>12790</v>
      </c>
      <c r="D4038" s="727"/>
      <c r="E4038" s="727"/>
      <c r="F4038" s="745" t="s">
        <v>12791</v>
      </c>
      <c r="G4038" s="738">
        <v>0</v>
      </c>
      <c r="H4038" s="738">
        <v>0</v>
      </c>
      <c r="I4038" s="738">
        <v>0</v>
      </c>
      <c r="J4038" s="739">
        <v>46994.73</v>
      </c>
      <c r="K4038" s="738">
        <v>0</v>
      </c>
      <c r="L4038" s="738">
        <v>0</v>
      </c>
      <c r="M4038" s="738">
        <v>0</v>
      </c>
      <c r="N4038" s="739">
        <v>46994.73</v>
      </c>
      <c r="O4038" s="738">
        <v>0</v>
      </c>
      <c r="P4038" s="739">
        <v>46994.73</v>
      </c>
    </row>
    <row r="4039" spans="1:16" ht="15.75" thickBot="1">
      <c r="A4039" s="727">
        <v>5</v>
      </c>
      <c r="B4039" s="727" t="s">
        <v>12788</v>
      </c>
      <c r="C4039" s="727" t="s">
        <v>12790</v>
      </c>
      <c r="D4039" s="727" t="s">
        <v>12792</v>
      </c>
      <c r="E4039" s="727"/>
      <c r="F4039" s="729" t="s">
        <v>12791</v>
      </c>
      <c r="G4039" s="738">
        <v>0</v>
      </c>
      <c r="H4039" s="738">
        <v>0</v>
      </c>
      <c r="I4039" s="738">
        <v>0</v>
      </c>
      <c r="J4039" s="739">
        <v>46994.73</v>
      </c>
      <c r="K4039" s="738">
        <v>0</v>
      </c>
      <c r="L4039" s="738">
        <v>0</v>
      </c>
      <c r="M4039" s="738">
        <v>0</v>
      </c>
      <c r="N4039" s="739">
        <v>46994.73</v>
      </c>
      <c r="O4039" s="738">
        <v>0</v>
      </c>
      <c r="P4039" s="739">
        <v>46994.73</v>
      </c>
    </row>
    <row r="4040" spans="1:16" ht="15.75" thickBot="1">
      <c r="A4040">
        <v>5</v>
      </c>
      <c r="B4040" t="s">
        <v>12788</v>
      </c>
      <c r="C4040" t="s">
        <v>12790</v>
      </c>
      <c r="D4040" t="s">
        <v>12792</v>
      </c>
      <c r="E4040" t="s">
        <v>9875</v>
      </c>
      <c r="F4040" t="s">
        <v>9872</v>
      </c>
      <c r="G4040" s="712">
        <v>0</v>
      </c>
      <c r="H4040">
        <v>0</v>
      </c>
      <c r="I4040" s="713">
        <v>0</v>
      </c>
      <c r="J4040" s="711">
        <v>46994.73</v>
      </c>
      <c r="K4040">
        <v>0</v>
      </c>
      <c r="L4040">
        <v>0</v>
      </c>
      <c r="M4040">
        <v>0</v>
      </c>
      <c r="N4040" s="711">
        <v>46994.73</v>
      </c>
      <c r="O4040">
        <v>0</v>
      </c>
      <c r="P4040" s="711">
        <v>46994.73</v>
      </c>
    </row>
    <row r="4041" spans="1:16" ht="15.75" thickBot="1">
      <c r="A4041" s="727">
        <v>5</v>
      </c>
      <c r="B4041" s="727" t="s">
        <v>12788</v>
      </c>
      <c r="C4041" s="727" t="s">
        <v>12793</v>
      </c>
      <c r="D4041" s="727"/>
      <c r="E4041" s="727"/>
      <c r="F4041" s="745" t="s">
        <v>12794</v>
      </c>
      <c r="G4041" s="738">
        <v>0</v>
      </c>
      <c r="H4041" s="738">
        <v>0</v>
      </c>
      <c r="I4041" s="738">
        <v>0</v>
      </c>
      <c r="J4041" s="738">
        <v>0</v>
      </c>
      <c r="K4041" s="738">
        <v>0</v>
      </c>
      <c r="L4041" s="738">
        <v>0</v>
      </c>
      <c r="M4041" s="738">
        <v>0</v>
      </c>
      <c r="N4041" s="738">
        <v>0</v>
      </c>
      <c r="O4041" s="738">
        <v>0</v>
      </c>
      <c r="P4041" s="738">
        <v>0</v>
      </c>
    </row>
    <row r="4042" spans="1:16" ht="15.75" thickBot="1">
      <c r="A4042" s="727">
        <v>5</v>
      </c>
      <c r="B4042" s="727" t="s">
        <v>12788</v>
      </c>
      <c r="C4042" s="727" t="s">
        <v>12793</v>
      </c>
      <c r="D4042" s="727" t="s">
        <v>12795</v>
      </c>
      <c r="E4042" s="727"/>
      <c r="F4042" s="729" t="s">
        <v>12794</v>
      </c>
      <c r="G4042" s="738">
        <v>0</v>
      </c>
      <c r="H4042" s="738">
        <v>0</v>
      </c>
      <c r="I4042" s="738">
        <v>0</v>
      </c>
      <c r="J4042" s="738">
        <v>0</v>
      </c>
      <c r="K4042" s="738">
        <v>0</v>
      </c>
      <c r="L4042" s="738">
        <v>0</v>
      </c>
      <c r="M4042" s="738">
        <v>0</v>
      </c>
      <c r="N4042" s="738">
        <v>0</v>
      </c>
      <c r="O4042" s="738">
        <v>0</v>
      </c>
      <c r="P4042" s="738">
        <v>0</v>
      </c>
    </row>
    <row r="4043" spans="1:16" ht="15.75" thickBot="1">
      <c r="A4043">
        <v>5</v>
      </c>
      <c r="B4043" t="s">
        <v>12788</v>
      </c>
      <c r="C4043" t="s">
        <v>12793</v>
      </c>
      <c r="D4043" t="s">
        <v>12795</v>
      </c>
      <c r="E4043" t="s">
        <v>9880</v>
      </c>
      <c r="F4043" t="s">
        <v>9877</v>
      </c>
      <c r="G4043" s="712">
        <v>0</v>
      </c>
      <c r="H4043">
        <v>0</v>
      </c>
      <c r="I4043" s="71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</row>
    <row r="4044" spans="1:16" ht="15.75" thickBot="1">
      <c r="A4044" s="727">
        <v>5</v>
      </c>
      <c r="B4044" s="727" t="s">
        <v>12796</v>
      </c>
      <c r="C4044" s="727"/>
      <c r="D4044" s="727"/>
      <c r="E4044" s="727"/>
      <c r="F4044" s="745" t="s">
        <v>12797</v>
      </c>
      <c r="G4044" s="738">
        <v>0</v>
      </c>
      <c r="H4044" s="738">
        <v>0</v>
      </c>
      <c r="I4044" s="738">
        <v>0</v>
      </c>
      <c r="J4044" s="739">
        <v>5789214.0199999996</v>
      </c>
      <c r="K4044" s="738">
        <v>0</v>
      </c>
      <c r="L4044" s="738">
        <v>0</v>
      </c>
      <c r="M4044" s="738">
        <v>0</v>
      </c>
      <c r="N4044" s="739">
        <v>5789214.0199999996</v>
      </c>
      <c r="O4044" s="738">
        <v>0</v>
      </c>
      <c r="P4044" s="739">
        <v>5789214.0199999996</v>
      </c>
    </row>
    <row r="4045" spans="1:16" ht="15.75" thickBot="1">
      <c r="A4045" s="727">
        <v>5</v>
      </c>
      <c r="B4045" s="727" t="s">
        <v>12796</v>
      </c>
      <c r="C4045" s="727" t="s">
        <v>12798</v>
      </c>
      <c r="D4045" s="727"/>
      <c r="E4045" s="727"/>
      <c r="F4045" s="745" t="s">
        <v>12797</v>
      </c>
      <c r="G4045" s="738">
        <v>0</v>
      </c>
      <c r="H4045" s="738">
        <v>0</v>
      </c>
      <c r="I4045" s="738">
        <v>0</v>
      </c>
      <c r="J4045" s="739">
        <v>5789214.0199999996</v>
      </c>
      <c r="K4045" s="738">
        <v>0</v>
      </c>
      <c r="L4045" s="738">
        <v>0</v>
      </c>
      <c r="M4045" s="738">
        <v>0</v>
      </c>
      <c r="N4045" s="739">
        <v>5789214.0199999996</v>
      </c>
      <c r="O4045" s="738">
        <v>0</v>
      </c>
      <c r="P4045" s="739">
        <v>5789214.0199999996</v>
      </c>
    </row>
    <row r="4046" spans="1:16" ht="15.75" thickBot="1">
      <c r="A4046" s="727">
        <v>5</v>
      </c>
      <c r="B4046" s="727" t="s">
        <v>12796</v>
      </c>
      <c r="C4046" s="727" t="s">
        <v>12798</v>
      </c>
      <c r="D4046" s="727" t="s">
        <v>12799</v>
      </c>
      <c r="E4046" s="727"/>
      <c r="F4046" s="729" t="s">
        <v>12797</v>
      </c>
      <c r="G4046" s="738">
        <v>0</v>
      </c>
      <c r="H4046" s="738">
        <v>0</v>
      </c>
      <c r="I4046" s="738">
        <v>0</v>
      </c>
      <c r="J4046" s="739">
        <v>5789214.0199999996</v>
      </c>
      <c r="K4046" s="738">
        <v>0</v>
      </c>
      <c r="L4046" s="738">
        <v>0</v>
      </c>
      <c r="M4046" s="738">
        <v>0</v>
      </c>
      <c r="N4046" s="739">
        <v>5789214.0199999996</v>
      </c>
      <c r="O4046" s="738">
        <v>0</v>
      </c>
      <c r="P4046" s="739">
        <v>5789214.0199999996</v>
      </c>
    </row>
    <row r="4047" spans="1:16">
      <c r="A4047">
        <v>5</v>
      </c>
      <c r="B4047" t="s">
        <v>12796</v>
      </c>
      <c r="C4047" t="s">
        <v>12798</v>
      </c>
      <c r="D4047" t="s">
        <v>12799</v>
      </c>
      <c r="E4047" t="s">
        <v>9885</v>
      </c>
      <c r="F4047" t="s">
        <v>9886</v>
      </c>
      <c r="G4047" s="712">
        <v>0</v>
      </c>
      <c r="H4047">
        <v>0</v>
      </c>
      <c r="I4047" s="713">
        <v>0</v>
      </c>
      <c r="J4047" s="711">
        <v>66680.7</v>
      </c>
      <c r="K4047">
        <v>0</v>
      </c>
      <c r="L4047">
        <v>0</v>
      </c>
      <c r="M4047">
        <v>0</v>
      </c>
      <c r="N4047" s="711">
        <v>66680.7</v>
      </c>
      <c r="O4047">
        <v>0</v>
      </c>
      <c r="P4047" s="711">
        <v>66680.7</v>
      </c>
    </row>
    <row r="4048" spans="1:16">
      <c r="A4048">
        <v>5</v>
      </c>
      <c r="B4048" t="s">
        <v>12796</v>
      </c>
      <c r="C4048" t="s">
        <v>12798</v>
      </c>
      <c r="D4048" t="s">
        <v>12799</v>
      </c>
      <c r="E4048" t="s">
        <v>9888</v>
      </c>
      <c r="F4048" t="s">
        <v>9889</v>
      </c>
      <c r="G4048" s="712">
        <v>0</v>
      </c>
      <c r="H4048">
        <v>0</v>
      </c>
      <c r="I4048" s="713">
        <v>0</v>
      </c>
      <c r="J4048">
        <v>762.5</v>
      </c>
      <c r="K4048">
        <v>0</v>
      </c>
      <c r="L4048">
        <v>0</v>
      </c>
      <c r="M4048">
        <v>0</v>
      </c>
      <c r="N4048">
        <v>762.5</v>
      </c>
      <c r="O4048">
        <v>0</v>
      </c>
      <c r="P4048">
        <v>762.5</v>
      </c>
    </row>
    <row r="4049" spans="1:16">
      <c r="A4049">
        <v>5</v>
      </c>
      <c r="B4049" t="s">
        <v>12796</v>
      </c>
      <c r="C4049" t="s">
        <v>12798</v>
      </c>
      <c r="D4049" t="s">
        <v>12799</v>
      </c>
      <c r="E4049" t="s">
        <v>9890</v>
      </c>
      <c r="F4049" t="s">
        <v>9891</v>
      </c>
      <c r="G4049" s="712">
        <v>0</v>
      </c>
      <c r="H4049">
        <v>0</v>
      </c>
      <c r="I4049" s="713">
        <v>0</v>
      </c>
      <c r="J4049" s="711">
        <v>143341.51</v>
      </c>
      <c r="K4049">
        <v>0</v>
      </c>
      <c r="L4049">
        <v>0</v>
      </c>
      <c r="M4049">
        <v>0</v>
      </c>
      <c r="N4049" s="711">
        <v>143341.51</v>
      </c>
      <c r="O4049">
        <v>0</v>
      </c>
      <c r="P4049" s="711">
        <v>143341.51</v>
      </c>
    </row>
    <row r="4050" spans="1:16">
      <c r="A4050">
        <v>5</v>
      </c>
      <c r="B4050" t="s">
        <v>12796</v>
      </c>
      <c r="C4050" t="s">
        <v>12798</v>
      </c>
      <c r="D4050" t="s">
        <v>12799</v>
      </c>
      <c r="E4050" t="s">
        <v>9892</v>
      </c>
      <c r="F4050" t="s">
        <v>9893</v>
      </c>
      <c r="G4050" s="712">
        <v>0</v>
      </c>
      <c r="H4050">
        <v>0</v>
      </c>
      <c r="I4050" s="713">
        <v>0</v>
      </c>
      <c r="J4050" s="711">
        <v>216535.72</v>
      </c>
      <c r="K4050">
        <v>0</v>
      </c>
      <c r="L4050">
        <v>0</v>
      </c>
      <c r="M4050">
        <v>0</v>
      </c>
      <c r="N4050" s="711">
        <v>216535.72</v>
      </c>
      <c r="O4050">
        <v>0</v>
      </c>
      <c r="P4050" s="711">
        <v>216535.72</v>
      </c>
    </row>
    <row r="4051" spans="1:16">
      <c r="A4051">
        <v>5</v>
      </c>
      <c r="B4051" t="s">
        <v>12796</v>
      </c>
      <c r="C4051" t="s">
        <v>12798</v>
      </c>
      <c r="D4051" t="s">
        <v>12799</v>
      </c>
      <c r="E4051" t="s">
        <v>9894</v>
      </c>
      <c r="F4051" t="s">
        <v>9895</v>
      </c>
      <c r="G4051" s="712">
        <v>0</v>
      </c>
      <c r="H4051">
        <v>0</v>
      </c>
      <c r="I4051" s="713">
        <v>0</v>
      </c>
      <c r="J4051" s="711">
        <v>3159.23</v>
      </c>
      <c r="K4051">
        <v>0</v>
      </c>
      <c r="L4051">
        <v>0</v>
      </c>
      <c r="M4051">
        <v>0</v>
      </c>
      <c r="N4051" s="711">
        <v>3159.23</v>
      </c>
      <c r="O4051">
        <v>0</v>
      </c>
      <c r="P4051" s="711">
        <v>3159.23</v>
      </c>
    </row>
    <row r="4052" spans="1:16">
      <c r="A4052">
        <v>5</v>
      </c>
      <c r="B4052" t="s">
        <v>12796</v>
      </c>
      <c r="C4052" t="s">
        <v>12798</v>
      </c>
      <c r="D4052" t="s">
        <v>12799</v>
      </c>
      <c r="E4052" t="s">
        <v>9896</v>
      </c>
      <c r="F4052" t="s">
        <v>9897</v>
      </c>
      <c r="G4052" s="712">
        <v>0</v>
      </c>
      <c r="H4052">
        <v>0</v>
      </c>
      <c r="I4052" s="713">
        <v>0</v>
      </c>
      <c r="J4052" s="711">
        <v>62263.72</v>
      </c>
      <c r="K4052">
        <v>0</v>
      </c>
      <c r="L4052">
        <v>0</v>
      </c>
      <c r="M4052">
        <v>0</v>
      </c>
      <c r="N4052" s="711">
        <v>62263.72</v>
      </c>
      <c r="O4052">
        <v>0</v>
      </c>
      <c r="P4052" s="711">
        <v>62263.72</v>
      </c>
    </row>
    <row r="4053" spans="1:16">
      <c r="A4053">
        <v>5</v>
      </c>
      <c r="B4053" t="s">
        <v>12796</v>
      </c>
      <c r="C4053" t="s">
        <v>12798</v>
      </c>
      <c r="D4053" t="s">
        <v>12799</v>
      </c>
      <c r="E4053" t="s">
        <v>9898</v>
      </c>
      <c r="F4053" t="s">
        <v>9899</v>
      </c>
      <c r="G4053" s="712">
        <v>0</v>
      </c>
      <c r="H4053">
        <v>0</v>
      </c>
      <c r="I4053" s="713">
        <v>0</v>
      </c>
      <c r="J4053" s="711">
        <v>43431.75</v>
      </c>
      <c r="K4053">
        <v>0</v>
      </c>
      <c r="L4053">
        <v>0</v>
      </c>
      <c r="M4053">
        <v>0</v>
      </c>
      <c r="N4053" s="711">
        <v>43431.75</v>
      </c>
      <c r="O4053">
        <v>0</v>
      </c>
      <c r="P4053" s="711">
        <v>43431.75</v>
      </c>
    </row>
    <row r="4054" spans="1:16">
      <c r="A4054">
        <v>5</v>
      </c>
      <c r="B4054" t="s">
        <v>12796</v>
      </c>
      <c r="C4054" t="s">
        <v>12798</v>
      </c>
      <c r="D4054" t="s">
        <v>12799</v>
      </c>
      <c r="E4054" t="s">
        <v>9900</v>
      </c>
      <c r="F4054" t="s">
        <v>9901</v>
      </c>
      <c r="G4054" s="712">
        <v>0</v>
      </c>
      <c r="H4054">
        <v>0</v>
      </c>
      <c r="I4054" s="713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</row>
    <row r="4055" spans="1:16">
      <c r="A4055">
        <v>5</v>
      </c>
      <c r="B4055" t="s">
        <v>12796</v>
      </c>
      <c r="C4055" t="s">
        <v>12798</v>
      </c>
      <c r="D4055" t="s">
        <v>12799</v>
      </c>
      <c r="E4055" t="s">
        <v>9902</v>
      </c>
      <c r="F4055" t="s">
        <v>9903</v>
      </c>
      <c r="G4055" s="712">
        <v>0</v>
      </c>
      <c r="H4055">
        <v>0</v>
      </c>
      <c r="I4055" s="713">
        <v>0</v>
      </c>
      <c r="J4055" s="711">
        <v>12204.52</v>
      </c>
      <c r="K4055">
        <v>0</v>
      </c>
      <c r="L4055">
        <v>0</v>
      </c>
      <c r="M4055">
        <v>0</v>
      </c>
      <c r="N4055" s="711">
        <v>12204.52</v>
      </c>
      <c r="O4055">
        <v>0</v>
      </c>
      <c r="P4055" s="711">
        <v>12204.52</v>
      </c>
    </row>
    <row r="4056" spans="1:16">
      <c r="A4056">
        <v>5</v>
      </c>
      <c r="B4056" t="s">
        <v>12796</v>
      </c>
      <c r="C4056" t="s">
        <v>12798</v>
      </c>
      <c r="D4056" t="s">
        <v>12799</v>
      </c>
      <c r="E4056" t="s">
        <v>9904</v>
      </c>
      <c r="F4056" t="s">
        <v>9905</v>
      </c>
      <c r="G4056" s="712">
        <v>0</v>
      </c>
      <c r="H4056">
        <v>0</v>
      </c>
      <c r="I4056" s="713">
        <v>0</v>
      </c>
      <c r="J4056" s="711">
        <v>43815.62</v>
      </c>
      <c r="K4056">
        <v>0</v>
      </c>
      <c r="L4056">
        <v>0</v>
      </c>
      <c r="M4056">
        <v>0</v>
      </c>
      <c r="N4056" s="711">
        <v>43815.62</v>
      </c>
      <c r="O4056">
        <v>0</v>
      </c>
      <c r="P4056" s="711">
        <v>43815.62</v>
      </c>
    </row>
    <row r="4057" spans="1:16">
      <c r="A4057">
        <v>5</v>
      </c>
      <c r="B4057" t="s">
        <v>12796</v>
      </c>
      <c r="C4057" t="s">
        <v>12798</v>
      </c>
      <c r="D4057" t="s">
        <v>12799</v>
      </c>
      <c r="E4057" t="s">
        <v>9906</v>
      </c>
      <c r="F4057" t="s">
        <v>9907</v>
      </c>
      <c r="G4057" s="712">
        <v>0</v>
      </c>
      <c r="H4057">
        <v>0</v>
      </c>
      <c r="I4057" s="713">
        <v>0</v>
      </c>
      <c r="J4057" s="711">
        <v>793732.97</v>
      </c>
      <c r="K4057">
        <v>0</v>
      </c>
      <c r="L4057">
        <v>0</v>
      </c>
      <c r="M4057">
        <v>0</v>
      </c>
      <c r="N4057" s="711">
        <v>793732.97</v>
      </c>
      <c r="O4057">
        <v>0</v>
      </c>
      <c r="P4057" s="711">
        <v>793732.97</v>
      </c>
    </row>
    <row r="4058" spans="1:16">
      <c r="A4058">
        <v>5</v>
      </c>
      <c r="B4058" t="s">
        <v>12796</v>
      </c>
      <c r="C4058" t="s">
        <v>12798</v>
      </c>
      <c r="D4058" t="s">
        <v>12799</v>
      </c>
      <c r="E4058" t="s">
        <v>9908</v>
      </c>
      <c r="F4058" t="s">
        <v>9909</v>
      </c>
      <c r="G4058" s="712">
        <v>0</v>
      </c>
      <c r="H4058">
        <v>0</v>
      </c>
      <c r="I4058" s="713">
        <v>0</v>
      </c>
      <c r="J4058" s="711">
        <v>1035595.12</v>
      </c>
      <c r="K4058">
        <v>0</v>
      </c>
      <c r="L4058">
        <v>0</v>
      </c>
      <c r="M4058">
        <v>0</v>
      </c>
      <c r="N4058" s="711">
        <v>1035595.12</v>
      </c>
      <c r="O4058">
        <v>0</v>
      </c>
      <c r="P4058" s="711">
        <v>1035595.12</v>
      </c>
    </row>
    <row r="4059" spans="1:16">
      <c r="A4059">
        <v>5</v>
      </c>
      <c r="B4059" t="s">
        <v>12796</v>
      </c>
      <c r="C4059" t="s">
        <v>12798</v>
      </c>
      <c r="D4059" t="s">
        <v>12799</v>
      </c>
      <c r="E4059" t="s">
        <v>9911</v>
      </c>
      <c r="F4059" t="s">
        <v>9912</v>
      </c>
      <c r="G4059" s="712">
        <v>0</v>
      </c>
      <c r="H4059">
        <v>0</v>
      </c>
      <c r="I4059" s="713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</row>
    <row r="4060" spans="1:16">
      <c r="A4060">
        <v>5</v>
      </c>
      <c r="B4060" t="s">
        <v>12796</v>
      </c>
      <c r="C4060" t="s">
        <v>12798</v>
      </c>
      <c r="D4060" t="s">
        <v>12799</v>
      </c>
      <c r="E4060" t="s">
        <v>9913</v>
      </c>
      <c r="F4060" t="s">
        <v>9914</v>
      </c>
      <c r="G4060" s="712">
        <v>0</v>
      </c>
      <c r="H4060">
        <v>0</v>
      </c>
      <c r="I4060" s="713">
        <v>0</v>
      </c>
      <c r="J4060" s="711">
        <v>472817.48</v>
      </c>
      <c r="K4060">
        <v>0</v>
      </c>
      <c r="L4060">
        <v>0</v>
      </c>
      <c r="M4060">
        <v>0</v>
      </c>
      <c r="N4060" s="711">
        <v>472817.48</v>
      </c>
      <c r="O4060">
        <v>0</v>
      </c>
      <c r="P4060" s="711">
        <v>472817.48</v>
      </c>
    </row>
    <row r="4061" spans="1:16">
      <c r="A4061">
        <v>5</v>
      </c>
      <c r="B4061" t="s">
        <v>12796</v>
      </c>
      <c r="C4061" t="s">
        <v>12798</v>
      </c>
      <c r="D4061" t="s">
        <v>12799</v>
      </c>
      <c r="E4061" t="s">
        <v>9915</v>
      </c>
      <c r="F4061" t="s">
        <v>9916</v>
      </c>
      <c r="G4061" s="712">
        <v>0</v>
      </c>
      <c r="H4061">
        <v>0</v>
      </c>
      <c r="I4061" s="713">
        <v>0</v>
      </c>
      <c r="J4061" s="711">
        <v>27102.29</v>
      </c>
      <c r="K4061">
        <v>0</v>
      </c>
      <c r="L4061">
        <v>0</v>
      </c>
      <c r="M4061">
        <v>0</v>
      </c>
      <c r="N4061" s="711">
        <v>27102.29</v>
      </c>
      <c r="O4061">
        <v>0</v>
      </c>
      <c r="P4061" s="711">
        <v>27102.29</v>
      </c>
    </row>
    <row r="4062" spans="1:16">
      <c r="A4062">
        <v>5</v>
      </c>
      <c r="B4062" t="s">
        <v>12796</v>
      </c>
      <c r="C4062" t="s">
        <v>12798</v>
      </c>
      <c r="D4062" t="s">
        <v>12799</v>
      </c>
      <c r="E4062" t="s">
        <v>9917</v>
      </c>
      <c r="F4062" t="s">
        <v>9918</v>
      </c>
      <c r="G4062" s="712">
        <v>0</v>
      </c>
      <c r="H4062">
        <v>0</v>
      </c>
      <c r="I4062" s="713">
        <v>0</v>
      </c>
      <c r="J4062" s="711">
        <v>2400390.2400000002</v>
      </c>
      <c r="K4062">
        <v>0</v>
      </c>
      <c r="L4062">
        <v>0</v>
      </c>
      <c r="M4062">
        <v>0</v>
      </c>
      <c r="N4062" s="711">
        <v>2400390.2400000002</v>
      </c>
      <c r="O4062">
        <v>0</v>
      </c>
      <c r="P4062" s="711">
        <v>2400390.2400000002</v>
      </c>
    </row>
    <row r="4063" spans="1:16">
      <c r="A4063">
        <v>5</v>
      </c>
      <c r="B4063" t="s">
        <v>12796</v>
      </c>
      <c r="C4063" t="s">
        <v>12798</v>
      </c>
      <c r="D4063" t="s">
        <v>12799</v>
      </c>
      <c r="E4063" t="s">
        <v>9919</v>
      </c>
      <c r="F4063" t="s">
        <v>9920</v>
      </c>
      <c r="G4063" s="712">
        <v>0</v>
      </c>
      <c r="H4063">
        <v>0</v>
      </c>
      <c r="I4063" s="71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</row>
    <row r="4064" spans="1:16">
      <c r="A4064">
        <v>5</v>
      </c>
      <c r="B4064" t="s">
        <v>12796</v>
      </c>
      <c r="C4064" t="s">
        <v>12798</v>
      </c>
      <c r="D4064" t="s">
        <v>12799</v>
      </c>
      <c r="E4064" t="s">
        <v>9921</v>
      </c>
      <c r="F4064" t="s">
        <v>9922</v>
      </c>
      <c r="G4064" s="712">
        <v>0</v>
      </c>
      <c r="H4064">
        <v>0</v>
      </c>
      <c r="I4064" s="713">
        <v>0</v>
      </c>
      <c r="J4064" s="711">
        <v>133323.79</v>
      </c>
      <c r="K4064">
        <v>0</v>
      </c>
      <c r="L4064">
        <v>0</v>
      </c>
      <c r="M4064">
        <v>0</v>
      </c>
      <c r="N4064" s="711">
        <v>133323.79</v>
      </c>
      <c r="O4064">
        <v>0</v>
      </c>
      <c r="P4064" s="711">
        <v>133323.79</v>
      </c>
    </row>
    <row r="4065" spans="1:16">
      <c r="A4065">
        <v>5</v>
      </c>
      <c r="B4065" t="s">
        <v>12796</v>
      </c>
      <c r="C4065" t="s">
        <v>12798</v>
      </c>
      <c r="D4065" t="s">
        <v>12799</v>
      </c>
      <c r="E4065" t="s">
        <v>9923</v>
      </c>
      <c r="F4065" t="s">
        <v>9924</v>
      </c>
      <c r="G4065" s="712">
        <v>0</v>
      </c>
      <c r="H4065">
        <v>0</v>
      </c>
      <c r="I4065" s="713">
        <v>0</v>
      </c>
      <c r="J4065" s="711">
        <v>92345.25</v>
      </c>
      <c r="K4065">
        <v>0</v>
      </c>
      <c r="L4065">
        <v>0</v>
      </c>
      <c r="M4065">
        <v>0</v>
      </c>
      <c r="N4065" s="711">
        <v>92345.25</v>
      </c>
      <c r="O4065">
        <v>0</v>
      </c>
      <c r="P4065" s="711">
        <v>92345.25</v>
      </c>
    </row>
    <row r="4066" spans="1:16">
      <c r="A4066">
        <v>5</v>
      </c>
      <c r="B4066" t="s">
        <v>12796</v>
      </c>
      <c r="C4066" t="s">
        <v>12798</v>
      </c>
      <c r="D4066" t="s">
        <v>12799</v>
      </c>
      <c r="E4066" t="s">
        <v>9926</v>
      </c>
      <c r="F4066" t="s">
        <v>9927</v>
      </c>
      <c r="G4066" s="712">
        <v>0</v>
      </c>
      <c r="H4066">
        <v>0</v>
      </c>
      <c r="I4066" s="713">
        <v>0</v>
      </c>
      <c r="J4066" s="711">
        <v>11481.35</v>
      </c>
      <c r="K4066">
        <v>0</v>
      </c>
      <c r="L4066">
        <v>0</v>
      </c>
      <c r="M4066">
        <v>0</v>
      </c>
      <c r="N4066" s="711">
        <v>11481.35</v>
      </c>
      <c r="O4066">
        <v>0</v>
      </c>
      <c r="P4066" s="711">
        <v>11481.35</v>
      </c>
    </row>
    <row r="4067" spans="1:16">
      <c r="A4067">
        <v>5</v>
      </c>
      <c r="B4067" t="s">
        <v>12796</v>
      </c>
      <c r="C4067" t="s">
        <v>12798</v>
      </c>
      <c r="D4067" t="s">
        <v>12799</v>
      </c>
      <c r="E4067" t="s">
        <v>9928</v>
      </c>
      <c r="F4067" t="s">
        <v>9929</v>
      </c>
      <c r="G4067" s="712">
        <v>0</v>
      </c>
      <c r="H4067">
        <v>0</v>
      </c>
      <c r="I4067" s="713">
        <v>0</v>
      </c>
      <c r="J4067" s="711">
        <v>38730.35</v>
      </c>
      <c r="K4067">
        <v>0</v>
      </c>
      <c r="L4067">
        <v>0</v>
      </c>
      <c r="M4067">
        <v>0</v>
      </c>
      <c r="N4067" s="711">
        <v>38730.35</v>
      </c>
      <c r="O4067">
        <v>0</v>
      </c>
      <c r="P4067" s="711">
        <v>38730.35</v>
      </c>
    </row>
    <row r="4068" spans="1:16">
      <c r="A4068">
        <v>5</v>
      </c>
      <c r="B4068" t="s">
        <v>12796</v>
      </c>
      <c r="C4068" t="s">
        <v>12798</v>
      </c>
      <c r="D4068" t="s">
        <v>12799</v>
      </c>
      <c r="E4068" t="s">
        <v>9930</v>
      </c>
      <c r="F4068" t="s">
        <v>9931</v>
      </c>
      <c r="G4068" s="712">
        <v>0</v>
      </c>
      <c r="H4068">
        <v>0</v>
      </c>
      <c r="I4068" s="713">
        <v>0</v>
      </c>
      <c r="J4068" s="711">
        <v>23798.03</v>
      </c>
      <c r="K4068">
        <v>0</v>
      </c>
      <c r="L4068">
        <v>0</v>
      </c>
      <c r="M4068">
        <v>0</v>
      </c>
      <c r="N4068" s="711">
        <v>23798.03</v>
      </c>
      <c r="O4068">
        <v>0</v>
      </c>
      <c r="P4068" s="711">
        <v>23798.03</v>
      </c>
    </row>
    <row r="4069" spans="1:16">
      <c r="A4069">
        <v>5</v>
      </c>
      <c r="B4069" t="s">
        <v>12796</v>
      </c>
      <c r="C4069" t="s">
        <v>12798</v>
      </c>
      <c r="D4069" t="s">
        <v>12799</v>
      </c>
      <c r="E4069" t="s">
        <v>9933</v>
      </c>
      <c r="F4069" t="s">
        <v>9934</v>
      </c>
      <c r="G4069" s="712">
        <v>0</v>
      </c>
      <c r="H4069">
        <v>0</v>
      </c>
      <c r="I4069" s="713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</row>
    <row r="4070" spans="1:16">
      <c r="A4070">
        <v>5</v>
      </c>
      <c r="B4070" t="s">
        <v>12796</v>
      </c>
      <c r="C4070" t="s">
        <v>12798</v>
      </c>
      <c r="D4070" t="s">
        <v>12799</v>
      </c>
      <c r="E4070" t="s">
        <v>9935</v>
      </c>
      <c r="F4070" t="s">
        <v>9936</v>
      </c>
      <c r="G4070" s="712">
        <v>0</v>
      </c>
      <c r="H4070">
        <v>0</v>
      </c>
      <c r="I4070" s="713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</row>
    <row r="4071" spans="1:16">
      <c r="A4071">
        <v>5</v>
      </c>
      <c r="B4071" t="s">
        <v>12796</v>
      </c>
      <c r="C4071" t="s">
        <v>12798</v>
      </c>
      <c r="D4071" t="s">
        <v>12799</v>
      </c>
      <c r="E4071" t="s">
        <v>9937</v>
      </c>
      <c r="F4071" t="s">
        <v>9938</v>
      </c>
      <c r="G4071" s="712">
        <v>0</v>
      </c>
      <c r="H4071">
        <v>0</v>
      </c>
      <c r="I4071" s="713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</row>
    <row r="4072" spans="1:16">
      <c r="A4072">
        <v>5</v>
      </c>
      <c r="B4072" t="s">
        <v>12796</v>
      </c>
      <c r="C4072" t="s">
        <v>12798</v>
      </c>
      <c r="D4072" t="s">
        <v>12799</v>
      </c>
      <c r="E4072" t="s">
        <v>9939</v>
      </c>
      <c r="F4072" t="s">
        <v>9940</v>
      </c>
      <c r="G4072" s="712">
        <v>0</v>
      </c>
      <c r="H4072">
        <v>0</v>
      </c>
      <c r="I4072" s="713">
        <v>0</v>
      </c>
      <c r="J4072" s="711">
        <v>132681.32999999999</v>
      </c>
      <c r="K4072">
        <v>0</v>
      </c>
      <c r="L4072">
        <v>0</v>
      </c>
      <c r="M4072">
        <v>0</v>
      </c>
      <c r="N4072" s="711">
        <v>132681.32999999999</v>
      </c>
      <c r="O4072">
        <v>0</v>
      </c>
      <c r="P4072" s="711">
        <v>132681.32999999999</v>
      </c>
    </row>
    <row r="4073" spans="1:16">
      <c r="A4073">
        <v>5</v>
      </c>
      <c r="B4073" t="s">
        <v>12796</v>
      </c>
      <c r="C4073" t="s">
        <v>12798</v>
      </c>
      <c r="D4073" t="s">
        <v>12799</v>
      </c>
      <c r="E4073" t="s">
        <v>9941</v>
      </c>
      <c r="F4073" t="s">
        <v>9942</v>
      </c>
      <c r="G4073" s="712">
        <v>0</v>
      </c>
      <c r="H4073">
        <v>0</v>
      </c>
      <c r="I4073" s="713">
        <v>0</v>
      </c>
      <c r="J4073" s="711">
        <v>34481.31</v>
      </c>
      <c r="K4073">
        <v>0</v>
      </c>
      <c r="L4073">
        <v>0</v>
      </c>
      <c r="M4073">
        <v>0</v>
      </c>
      <c r="N4073" s="711">
        <v>34481.31</v>
      </c>
      <c r="O4073">
        <v>0</v>
      </c>
      <c r="P4073" s="711">
        <v>34481.31</v>
      </c>
    </row>
    <row r="4074" spans="1:16">
      <c r="A4074">
        <v>5</v>
      </c>
      <c r="B4074" t="s">
        <v>12796</v>
      </c>
      <c r="C4074" t="s">
        <v>12798</v>
      </c>
      <c r="D4074" t="s">
        <v>12799</v>
      </c>
      <c r="E4074" t="s">
        <v>9943</v>
      </c>
      <c r="F4074" t="s">
        <v>9944</v>
      </c>
      <c r="G4074" s="712">
        <v>0</v>
      </c>
      <c r="H4074">
        <v>0</v>
      </c>
      <c r="I4074" s="713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</row>
    <row r="4075" spans="1:16" ht="15.75" thickBot="1">
      <c r="A4075">
        <v>5</v>
      </c>
      <c r="B4075" t="s">
        <v>12796</v>
      </c>
      <c r="C4075" t="s">
        <v>12798</v>
      </c>
      <c r="D4075" t="s">
        <v>12799</v>
      </c>
      <c r="E4075" t="s">
        <v>9945</v>
      </c>
      <c r="F4075" t="s">
        <v>9946</v>
      </c>
      <c r="G4075" s="712">
        <v>0</v>
      </c>
      <c r="H4075">
        <v>0</v>
      </c>
      <c r="I4075" s="713">
        <v>0</v>
      </c>
      <c r="J4075">
        <v>539.24</v>
      </c>
      <c r="K4075">
        <v>0</v>
      </c>
      <c r="L4075">
        <v>0</v>
      </c>
      <c r="M4075">
        <v>0</v>
      </c>
      <c r="N4075">
        <v>539.24</v>
      </c>
      <c r="O4075">
        <v>0</v>
      </c>
      <c r="P4075">
        <v>539.24</v>
      </c>
    </row>
    <row r="4076" spans="1:16" ht="15.75" thickBot="1">
      <c r="A4076" s="727">
        <v>5</v>
      </c>
      <c r="B4076" s="727" t="s">
        <v>12800</v>
      </c>
      <c r="C4076" s="727"/>
      <c r="D4076" s="727"/>
      <c r="E4076" s="727"/>
      <c r="F4076" s="745" t="s">
        <v>9952</v>
      </c>
      <c r="G4076" s="738">
        <v>0</v>
      </c>
      <c r="H4076" s="738">
        <v>0</v>
      </c>
      <c r="I4076" s="738">
        <v>0</v>
      </c>
      <c r="J4076" s="738">
        <v>0</v>
      </c>
      <c r="K4076" s="738">
        <v>0</v>
      </c>
      <c r="L4076" s="738">
        <v>0</v>
      </c>
      <c r="M4076" s="738">
        <v>0</v>
      </c>
      <c r="N4076" s="738">
        <v>0</v>
      </c>
      <c r="O4076" s="738">
        <v>0</v>
      </c>
      <c r="P4076" s="738">
        <v>0</v>
      </c>
    </row>
    <row r="4077" spans="1:16" ht="15.75" thickBot="1">
      <c r="A4077" s="727">
        <v>5</v>
      </c>
      <c r="B4077" s="727" t="s">
        <v>12800</v>
      </c>
      <c r="C4077" s="727" t="s">
        <v>12801</v>
      </c>
      <c r="D4077" s="727"/>
      <c r="E4077" s="727"/>
      <c r="F4077" s="745" t="s">
        <v>9952</v>
      </c>
      <c r="G4077" s="738">
        <v>0</v>
      </c>
      <c r="H4077" s="738">
        <v>0</v>
      </c>
      <c r="I4077" s="738">
        <v>0</v>
      </c>
      <c r="J4077" s="738">
        <v>0</v>
      </c>
      <c r="K4077" s="738">
        <v>0</v>
      </c>
      <c r="L4077" s="738">
        <v>0</v>
      </c>
      <c r="M4077" s="738">
        <v>0</v>
      </c>
      <c r="N4077" s="738">
        <v>0</v>
      </c>
      <c r="O4077" s="738">
        <v>0</v>
      </c>
      <c r="P4077" s="738">
        <v>0</v>
      </c>
    </row>
    <row r="4078" spans="1:16" ht="15.75" thickBot="1">
      <c r="A4078" s="727">
        <v>5</v>
      </c>
      <c r="B4078" s="727" t="s">
        <v>12800</v>
      </c>
      <c r="C4078" s="727" t="s">
        <v>12801</v>
      </c>
      <c r="D4078" s="727" t="s">
        <v>12802</v>
      </c>
      <c r="E4078" s="727"/>
      <c r="F4078" s="729" t="s">
        <v>9952</v>
      </c>
      <c r="G4078" s="738">
        <v>0</v>
      </c>
      <c r="H4078" s="738">
        <v>0</v>
      </c>
      <c r="I4078" s="738">
        <v>0</v>
      </c>
      <c r="J4078" s="738">
        <v>0</v>
      </c>
      <c r="K4078" s="738">
        <v>0</v>
      </c>
      <c r="L4078" s="738">
        <v>0</v>
      </c>
      <c r="M4078" s="738">
        <v>0</v>
      </c>
      <c r="N4078" s="738">
        <v>0</v>
      </c>
      <c r="O4078" s="738">
        <v>0</v>
      </c>
      <c r="P4078" s="738">
        <v>0</v>
      </c>
    </row>
    <row r="4079" spans="1:16" ht="15.75" thickBot="1">
      <c r="A4079">
        <v>5</v>
      </c>
      <c r="B4079" t="s">
        <v>12800</v>
      </c>
      <c r="C4079" t="s">
        <v>12801</v>
      </c>
      <c r="D4079" t="s">
        <v>12802</v>
      </c>
      <c r="E4079" t="s">
        <v>9951</v>
      </c>
      <c r="F4079" t="s">
        <v>9952</v>
      </c>
      <c r="G4079" s="712">
        <v>0</v>
      </c>
      <c r="H4079">
        <v>0</v>
      </c>
      <c r="I4079" s="713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</row>
    <row r="4080" spans="1:16" ht="15.75" thickBot="1">
      <c r="A4080" s="727">
        <v>5</v>
      </c>
      <c r="B4080" s="727" t="s">
        <v>12803</v>
      </c>
      <c r="C4080" s="727"/>
      <c r="D4080" s="727"/>
      <c r="E4080" s="727"/>
      <c r="F4080" s="745" t="s">
        <v>9958</v>
      </c>
      <c r="G4080" s="738">
        <v>0</v>
      </c>
      <c r="H4080" s="738">
        <v>0</v>
      </c>
      <c r="I4080" s="738">
        <v>0</v>
      </c>
      <c r="J4080" s="738">
        <v>0</v>
      </c>
      <c r="K4080" s="738">
        <v>0</v>
      </c>
      <c r="L4080" s="738">
        <v>0</v>
      </c>
      <c r="M4080" s="738">
        <v>0</v>
      </c>
      <c r="N4080" s="738">
        <v>0</v>
      </c>
      <c r="O4080" s="738">
        <v>0</v>
      </c>
      <c r="P4080" s="738">
        <v>0</v>
      </c>
    </row>
    <row r="4081" spans="1:16" ht="15.75" thickBot="1">
      <c r="A4081" s="727">
        <v>5</v>
      </c>
      <c r="B4081" s="727" t="s">
        <v>12803</v>
      </c>
      <c r="C4081" s="727" t="s">
        <v>12804</v>
      </c>
      <c r="D4081" s="727"/>
      <c r="E4081" s="727"/>
      <c r="F4081" s="745" t="s">
        <v>9958</v>
      </c>
      <c r="G4081" s="738">
        <v>0</v>
      </c>
      <c r="H4081" s="738">
        <v>0</v>
      </c>
      <c r="I4081" s="738">
        <v>0</v>
      </c>
      <c r="J4081" s="738">
        <v>0</v>
      </c>
      <c r="K4081" s="738">
        <v>0</v>
      </c>
      <c r="L4081" s="738">
        <v>0</v>
      </c>
      <c r="M4081" s="738">
        <v>0</v>
      </c>
      <c r="N4081" s="738">
        <v>0</v>
      </c>
      <c r="O4081" s="738">
        <v>0</v>
      </c>
      <c r="P4081" s="738">
        <v>0</v>
      </c>
    </row>
    <row r="4082" spans="1:16" ht="15.75" thickBot="1">
      <c r="A4082" s="727">
        <v>5</v>
      </c>
      <c r="B4082" s="727" t="s">
        <v>12803</v>
      </c>
      <c r="C4082" s="727" t="s">
        <v>12804</v>
      </c>
      <c r="D4082" s="727" t="s">
        <v>12805</v>
      </c>
      <c r="E4082" s="727"/>
      <c r="F4082" s="729" t="s">
        <v>9958</v>
      </c>
      <c r="G4082" s="738">
        <v>0</v>
      </c>
      <c r="H4082" s="738">
        <v>0</v>
      </c>
      <c r="I4082" s="738">
        <v>0</v>
      </c>
      <c r="J4082" s="738">
        <v>0</v>
      </c>
      <c r="K4082" s="738">
        <v>0</v>
      </c>
      <c r="L4082" s="738">
        <v>0</v>
      </c>
      <c r="M4082" s="738">
        <v>0</v>
      </c>
      <c r="N4082" s="738">
        <v>0</v>
      </c>
      <c r="O4082" s="738">
        <v>0</v>
      </c>
      <c r="P4082" s="738">
        <v>0</v>
      </c>
    </row>
    <row r="4083" spans="1:16" ht="15.75" thickBot="1">
      <c r="A4083">
        <v>5</v>
      </c>
      <c r="B4083" t="s">
        <v>12803</v>
      </c>
      <c r="C4083" t="s">
        <v>12804</v>
      </c>
      <c r="D4083" t="s">
        <v>12805</v>
      </c>
      <c r="E4083" t="s">
        <v>9957</v>
      </c>
      <c r="F4083" t="s">
        <v>9958</v>
      </c>
      <c r="G4083" s="712">
        <v>0</v>
      </c>
      <c r="H4083">
        <v>0</v>
      </c>
      <c r="I4083" s="71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</row>
    <row r="4084" spans="1:16" ht="15.75" thickBot="1">
      <c r="A4084" s="727">
        <v>5</v>
      </c>
      <c r="B4084" s="727" t="s">
        <v>12806</v>
      </c>
      <c r="C4084" s="727"/>
      <c r="D4084" s="727"/>
      <c r="E4084" s="727"/>
      <c r="F4084" s="745" t="s">
        <v>12807</v>
      </c>
      <c r="G4084" s="738">
        <v>0</v>
      </c>
      <c r="H4084" s="738">
        <v>0</v>
      </c>
      <c r="I4084" s="738">
        <v>0</v>
      </c>
      <c r="J4084" s="739">
        <v>16335538.17</v>
      </c>
      <c r="K4084" s="738">
        <v>0</v>
      </c>
      <c r="L4084" s="738">
        <v>0</v>
      </c>
      <c r="M4084" s="738">
        <v>0</v>
      </c>
      <c r="N4084" s="739">
        <v>16335538.17</v>
      </c>
      <c r="O4084" s="738">
        <v>0</v>
      </c>
      <c r="P4084" s="739">
        <v>16335538.17</v>
      </c>
    </row>
    <row r="4085" spans="1:16" ht="15.75" thickBot="1">
      <c r="A4085" s="727">
        <v>5</v>
      </c>
      <c r="B4085" s="727" t="s">
        <v>12806</v>
      </c>
      <c r="C4085" s="727" t="s">
        <v>12808</v>
      </c>
      <c r="D4085" s="727"/>
      <c r="E4085" s="727"/>
      <c r="F4085" s="745" t="s">
        <v>12809</v>
      </c>
      <c r="G4085" s="738">
        <v>0</v>
      </c>
      <c r="H4085" s="738">
        <v>0</v>
      </c>
      <c r="I4085" s="738">
        <v>0</v>
      </c>
      <c r="J4085" s="739">
        <v>16306931.6</v>
      </c>
      <c r="K4085" s="738">
        <v>0</v>
      </c>
      <c r="L4085" s="738">
        <v>0</v>
      </c>
      <c r="M4085" s="738">
        <v>0</v>
      </c>
      <c r="N4085" s="739">
        <v>16306931.6</v>
      </c>
      <c r="O4085" s="738">
        <v>0</v>
      </c>
      <c r="P4085" s="739">
        <v>16306931.6</v>
      </c>
    </row>
    <row r="4086" spans="1:16" ht="15.75" thickBot="1">
      <c r="A4086" s="727">
        <v>5</v>
      </c>
      <c r="B4086" s="727" t="s">
        <v>12806</v>
      </c>
      <c r="C4086" s="727" t="s">
        <v>12808</v>
      </c>
      <c r="D4086" s="727" t="s">
        <v>12810</v>
      </c>
      <c r="E4086" s="727"/>
      <c r="F4086" s="729" t="s">
        <v>12809</v>
      </c>
      <c r="G4086" s="738">
        <v>0</v>
      </c>
      <c r="H4086" s="738">
        <v>0</v>
      </c>
      <c r="I4086" s="738">
        <v>0</v>
      </c>
      <c r="J4086" s="739">
        <v>16306931.6</v>
      </c>
      <c r="K4086" s="738">
        <v>0</v>
      </c>
      <c r="L4086" s="738">
        <v>0</v>
      </c>
      <c r="M4086" s="738">
        <v>0</v>
      </c>
      <c r="N4086" s="739">
        <v>16306931.6</v>
      </c>
      <c r="O4086" s="738">
        <v>0</v>
      </c>
      <c r="P4086" s="739">
        <v>16306931.6</v>
      </c>
    </row>
    <row r="4087" spans="1:16">
      <c r="A4087">
        <v>5</v>
      </c>
      <c r="B4087" t="s">
        <v>12806</v>
      </c>
      <c r="C4087" t="s">
        <v>12808</v>
      </c>
      <c r="D4087" t="s">
        <v>12810</v>
      </c>
      <c r="E4087" t="s">
        <v>9963</v>
      </c>
      <c r="F4087" t="s">
        <v>9964</v>
      </c>
      <c r="G4087" s="712">
        <v>0</v>
      </c>
      <c r="H4087">
        <v>0</v>
      </c>
      <c r="I4087" s="713">
        <v>0</v>
      </c>
      <c r="J4087" s="711">
        <v>2403258.83</v>
      </c>
      <c r="K4087">
        <v>0</v>
      </c>
      <c r="L4087">
        <v>0</v>
      </c>
      <c r="M4087">
        <v>0</v>
      </c>
      <c r="N4087" s="711">
        <v>2403258.83</v>
      </c>
      <c r="O4087">
        <v>0</v>
      </c>
      <c r="P4087" s="711">
        <v>2403258.83</v>
      </c>
    </row>
    <row r="4088" spans="1:16">
      <c r="A4088">
        <v>5</v>
      </c>
      <c r="B4088" t="s">
        <v>12806</v>
      </c>
      <c r="C4088" t="s">
        <v>12808</v>
      </c>
      <c r="D4088" t="s">
        <v>12810</v>
      </c>
      <c r="E4088" t="s">
        <v>9966</v>
      </c>
      <c r="F4088" t="s">
        <v>9967</v>
      </c>
      <c r="G4088" s="712">
        <v>0</v>
      </c>
      <c r="H4088">
        <v>0</v>
      </c>
      <c r="I4088" s="713">
        <v>0</v>
      </c>
      <c r="J4088" s="711">
        <v>6914393.9800000004</v>
      </c>
      <c r="K4088">
        <v>0</v>
      </c>
      <c r="L4088">
        <v>0</v>
      </c>
      <c r="M4088">
        <v>0</v>
      </c>
      <c r="N4088" s="711">
        <v>6914393.9800000004</v>
      </c>
      <c r="O4088">
        <v>0</v>
      </c>
      <c r="P4088" s="711">
        <v>6914393.9800000004</v>
      </c>
    </row>
    <row r="4089" spans="1:16">
      <c r="A4089">
        <v>5</v>
      </c>
      <c r="B4089" t="s">
        <v>12806</v>
      </c>
      <c r="C4089" t="s">
        <v>12808</v>
      </c>
      <c r="D4089" t="s">
        <v>12810</v>
      </c>
      <c r="E4089" t="s">
        <v>9968</v>
      </c>
      <c r="F4089" t="s">
        <v>9969</v>
      </c>
      <c r="G4089" s="712">
        <v>0</v>
      </c>
      <c r="H4089">
        <v>0</v>
      </c>
      <c r="I4089" s="713">
        <v>0</v>
      </c>
      <c r="J4089" s="711">
        <v>1183997.8700000001</v>
      </c>
      <c r="K4089">
        <v>0</v>
      </c>
      <c r="L4089">
        <v>0</v>
      </c>
      <c r="M4089">
        <v>0</v>
      </c>
      <c r="N4089" s="711">
        <v>1183997.8700000001</v>
      </c>
      <c r="O4089">
        <v>0</v>
      </c>
      <c r="P4089" s="711">
        <v>1183997.8700000001</v>
      </c>
    </row>
    <row r="4090" spans="1:16">
      <c r="A4090">
        <v>5</v>
      </c>
      <c r="B4090" t="s">
        <v>12806</v>
      </c>
      <c r="C4090" t="s">
        <v>12808</v>
      </c>
      <c r="D4090" t="s">
        <v>12810</v>
      </c>
      <c r="E4090" t="s">
        <v>9970</v>
      </c>
      <c r="F4090" t="s">
        <v>9971</v>
      </c>
      <c r="G4090" s="712">
        <v>0</v>
      </c>
      <c r="H4090">
        <v>0</v>
      </c>
      <c r="I4090" s="713">
        <v>0</v>
      </c>
      <c r="J4090" s="711">
        <v>64431.56</v>
      </c>
      <c r="K4090">
        <v>0</v>
      </c>
      <c r="L4090">
        <v>0</v>
      </c>
      <c r="M4090">
        <v>0</v>
      </c>
      <c r="N4090" s="711">
        <v>64431.56</v>
      </c>
      <c r="O4090">
        <v>0</v>
      </c>
      <c r="P4090" s="711">
        <v>64431.56</v>
      </c>
    </row>
    <row r="4091" spans="1:16">
      <c r="A4091">
        <v>5</v>
      </c>
      <c r="B4091" t="s">
        <v>12806</v>
      </c>
      <c r="C4091" t="s">
        <v>12808</v>
      </c>
      <c r="D4091" t="s">
        <v>12810</v>
      </c>
      <c r="E4091" t="s">
        <v>9972</v>
      </c>
      <c r="F4091" t="s">
        <v>9973</v>
      </c>
      <c r="G4091" s="712">
        <v>0</v>
      </c>
      <c r="H4091">
        <v>0</v>
      </c>
      <c r="I4091" s="713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</row>
    <row r="4092" spans="1:16">
      <c r="A4092">
        <v>5</v>
      </c>
      <c r="B4092" t="s">
        <v>12806</v>
      </c>
      <c r="C4092" t="s">
        <v>12808</v>
      </c>
      <c r="D4092" t="s">
        <v>12810</v>
      </c>
      <c r="E4092" t="s">
        <v>9974</v>
      </c>
      <c r="F4092" t="s">
        <v>9975</v>
      </c>
      <c r="G4092" s="712">
        <v>0</v>
      </c>
      <c r="H4092">
        <v>0</v>
      </c>
      <c r="I4092" s="713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</row>
    <row r="4093" spans="1:16">
      <c r="A4093">
        <v>5</v>
      </c>
      <c r="B4093" t="s">
        <v>12806</v>
      </c>
      <c r="C4093" t="s">
        <v>12808</v>
      </c>
      <c r="D4093" t="s">
        <v>12810</v>
      </c>
      <c r="E4093" t="s">
        <v>9976</v>
      </c>
      <c r="F4093" t="s">
        <v>9977</v>
      </c>
      <c r="G4093" s="712">
        <v>0</v>
      </c>
      <c r="H4093">
        <v>0</v>
      </c>
      <c r="I4093" s="713">
        <v>0</v>
      </c>
      <c r="J4093" s="711">
        <v>252881.77</v>
      </c>
      <c r="K4093">
        <v>0</v>
      </c>
      <c r="L4093">
        <v>0</v>
      </c>
      <c r="M4093">
        <v>0</v>
      </c>
      <c r="N4093" s="711">
        <v>252881.77</v>
      </c>
      <c r="O4093">
        <v>0</v>
      </c>
      <c r="P4093" s="711">
        <v>252881.77</v>
      </c>
    </row>
    <row r="4094" spans="1:16">
      <c r="A4094">
        <v>5</v>
      </c>
      <c r="B4094" t="s">
        <v>12806</v>
      </c>
      <c r="C4094" t="s">
        <v>12808</v>
      </c>
      <c r="D4094" t="s">
        <v>12810</v>
      </c>
      <c r="E4094" t="s">
        <v>9979</v>
      </c>
      <c r="F4094" t="s">
        <v>9980</v>
      </c>
      <c r="G4094" s="712">
        <v>0</v>
      </c>
      <c r="H4094">
        <v>0</v>
      </c>
      <c r="I4094" s="713">
        <v>0</v>
      </c>
      <c r="J4094" s="711">
        <v>1992.25</v>
      </c>
      <c r="K4094">
        <v>0</v>
      </c>
      <c r="L4094">
        <v>0</v>
      </c>
      <c r="M4094">
        <v>0</v>
      </c>
      <c r="N4094" s="711">
        <v>1992.25</v>
      </c>
      <c r="O4094">
        <v>0</v>
      </c>
      <c r="P4094" s="711">
        <v>1992.25</v>
      </c>
    </row>
    <row r="4095" spans="1:16">
      <c r="A4095">
        <v>5</v>
      </c>
      <c r="B4095" t="s">
        <v>12806</v>
      </c>
      <c r="C4095" t="s">
        <v>12808</v>
      </c>
      <c r="D4095" t="s">
        <v>12810</v>
      </c>
      <c r="E4095" t="s">
        <v>9982</v>
      </c>
      <c r="F4095" t="s">
        <v>9983</v>
      </c>
      <c r="G4095" s="712">
        <v>0</v>
      </c>
      <c r="H4095">
        <v>0</v>
      </c>
      <c r="I4095" s="713">
        <v>0</v>
      </c>
      <c r="J4095" s="711">
        <v>380885.21</v>
      </c>
      <c r="K4095">
        <v>0</v>
      </c>
      <c r="L4095">
        <v>0</v>
      </c>
      <c r="M4095">
        <v>0</v>
      </c>
      <c r="N4095" s="711">
        <v>380885.21</v>
      </c>
      <c r="O4095">
        <v>0</v>
      </c>
      <c r="P4095" s="711">
        <v>380885.21</v>
      </c>
    </row>
    <row r="4096" spans="1:16">
      <c r="A4096">
        <v>5</v>
      </c>
      <c r="B4096" t="s">
        <v>12806</v>
      </c>
      <c r="C4096" t="s">
        <v>12808</v>
      </c>
      <c r="D4096" t="s">
        <v>12810</v>
      </c>
      <c r="E4096" t="s">
        <v>9985</v>
      </c>
      <c r="F4096" t="s">
        <v>9986</v>
      </c>
      <c r="G4096" s="712">
        <v>0</v>
      </c>
      <c r="H4096">
        <v>0</v>
      </c>
      <c r="I4096" s="713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</row>
    <row r="4097" spans="1:16">
      <c r="A4097">
        <v>5</v>
      </c>
      <c r="B4097" t="s">
        <v>12806</v>
      </c>
      <c r="C4097" t="s">
        <v>12808</v>
      </c>
      <c r="D4097" t="s">
        <v>12810</v>
      </c>
      <c r="E4097" t="s">
        <v>9987</v>
      </c>
      <c r="F4097" t="s">
        <v>9988</v>
      </c>
      <c r="G4097" s="712">
        <v>0</v>
      </c>
      <c r="H4097">
        <v>0</v>
      </c>
      <c r="I4097" s="713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</row>
    <row r="4098" spans="1:16">
      <c r="A4098">
        <v>5</v>
      </c>
      <c r="B4098" t="s">
        <v>12806</v>
      </c>
      <c r="C4098" t="s">
        <v>12808</v>
      </c>
      <c r="D4098" t="s">
        <v>12810</v>
      </c>
      <c r="E4098" t="s">
        <v>9989</v>
      </c>
      <c r="F4098" t="s">
        <v>9990</v>
      </c>
      <c r="G4098" s="712">
        <v>0</v>
      </c>
      <c r="H4098">
        <v>0</v>
      </c>
      <c r="I4098" s="713">
        <v>0</v>
      </c>
      <c r="J4098" s="711">
        <v>77707.210000000006</v>
      </c>
      <c r="K4098">
        <v>0</v>
      </c>
      <c r="L4098">
        <v>0</v>
      </c>
      <c r="M4098">
        <v>0</v>
      </c>
      <c r="N4098" s="711">
        <v>77707.210000000006</v>
      </c>
      <c r="O4098">
        <v>0</v>
      </c>
      <c r="P4098" s="711">
        <v>77707.210000000006</v>
      </c>
    </row>
    <row r="4099" spans="1:16">
      <c r="A4099">
        <v>5</v>
      </c>
      <c r="B4099" t="s">
        <v>12806</v>
      </c>
      <c r="C4099" t="s">
        <v>12808</v>
      </c>
      <c r="D4099" t="s">
        <v>12810</v>
      </c>
      <c r="E4099" t="s">
        <v>9992</v>
      </c>
      <c r="F4099" t="s">
        <v>9993</v>
      </c>
      <c r="G4099" s="712">
        <v>0</v>
      </c>
      <c r="H4099">
        <v>0</v>
      </c>
      <c r="I4099" s="713">
        <v>0</v>
      </c>
      <c r="J4099" s="711">
        <v>32502.74</v>
      </c>
      <c r="K4099">
        <v>0</v>
      </c>
      <c r="L4099">
        <v>0</v>
      </c>
      <c r="M4099">
        <v>0</v>
      </c>
      <c r="N4099" s="711">
        <v>32502.74</v>
      </c>
      <c r="O4099">
        <v>0</v>
      </c>
      <c r="P4099" s="711">
        <v>32502.74</v>
      </c>
    </row>
    <row r="4100" spans="1:16">
      <c r="A4100">
        <v>5</v>
      </c>
      <c r="B4100" t="s">
        <v>12806</v>
      </c>
      <c r="C4100" t="s">
        <v>12808</v>
      </c>
      <c r="D4100" t="s">
        <v>12810</v>
      </c>
      <c r="E4100" t="s">
        <v>12811</v>
      </c>
      <c r="F4100" t="s">
        <v>12812</v>
      </c>
      <c r="G4100" s="712">
        <v>0</v>
      </c>
      <c r="H4100">
        <v>0</v>
      </c>
      <c r="I4100" s="713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</row>
    <row r="4101" spans="1:16">
      <c r="A4101">
        <v>5</v>
      </c>
      <c r="B4101" t="s">
        <v>12806</v>
      </c>
      <c r="C4101" t="s">
        <v>12808</v>
      </c>
      <c r="D4101" t="s">
        <v>12810</v>
      </c>
      <c r="E4101" t="s">
        <v>10013</v>
      </c>
      <c r="F4101" t="s">
        <v>10014</v>
      </c>
      <c r="G4101" s="712">
        <v>0</v>
      </c>
      <c r="H4101">
        <v>0</v>
      </c>
      <c r="I4101" s="713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</row>
    <row r="4102" spans="1:16">
      <c r="A4102">
        <v>5</v>
      </c>
      <c r="B4102" t="s">
        <v>12806</v>
      </c>
      <c r="C4102" t="s">
        <v>12808</v>
      </c>
      <c r="D4102" t="s">
        <v>12810</v>
      </c>
      <c r="E4102" t="s">
        <v>10016</v>
      </c>
      <c r="F4102" t="s">
        <v>10017</v>
      </c>
      <c r="G4102" s="712">
        <v>0</v>
      </c>
      <c r="H4102">
        <v>0</v>
      </c>
      <c r="I4102" s="713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</row>
    <row r="4103" spans="1:16">
      <c r="A4103">
        <v>5</v>
      </c>
      <c r="B4103" t="s">
        <v>12806</v>
      </c>
      <c r="C4103" t="s">
        <v>12808</v>
      </c>
      <c r="D4103" t="s">
        <v>12810</v>
      </c>
      <c r="E4103" t="s">
        <v>10019</v>
      </c>
      <c r="F4103" t="s">
        <v>10020</v>
      </c>
      <c r="G4103" s="712">
        <v>0</v>
      </c>
      <c r="H4103">
        <v>0</v>
      </c>
      <c r="I4103" s="71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</row>
    <row r="4104" spans="1:16">
      <c r="A4104">
        <v>5</v>
      </c>
      <c r="B4104" t="s">
        <v>12806</v>
      </c>
      <c r="C4104" t="s">
        <v>12808</v>
      </c>
      <c r="D4104" t="s">
        <v>12810</v>
      </c>
      <c r="E4104" t="s">
        <v>10022</v>
      </c>
      <c r="F4104" t="s">
        <v>10023</v>
      </c>
      <c r="G4104" s="712">
        <v>0</v>
      </c>
      <c r="H4104">
        <v>0</v>
      </c>
      <c r="I4104" s="713">
        <v>0</v>
      </c>
      <c r="J4104" s="711">
        <v>259542.16</v>
      </c>
      <c r="K4104">
        <v>0</v>
      </c>
      <c r="L4104">
        <v>0</v>
      </c>
      <c r="M4104">
        <v>0</v>
      </c>
      <c r="N4104" s="711">
        <v>259542.16</v>
      </c>
      <c r="O4104">
        <v>0</v>
      </c>
      <c r="P4104" s="711">
        <v>259542.16</v>
      </c>
    </row>
    <row r="4105" spans="1:16">
      <c r="A4105">
        <v>5</v>
      </c>
      <c r="B4105" t="s">
        <v>12806</v>
      </c>
      <c r="C4105" t="s">
        <v>12808</v>
      </c>
      <c r="D4105" t="s">
        <v>12810</v>
      </c>
      <c r="E4105" t="s">
        <v>10025</v>
      </c>
      <c r="F4105" t="s">
        <v>10026</v>
      </c>
      <c r="G4105" s="712">
        <v>0</v>
      </c>
      <c r="H4105">
        <v>0</v>
      </c>
      <c r="I4105" s="713">
        <v>0</v>
      </c>
      <c r="J4105" s="711">
        <v>268504.62</v>
      </c>
      <c r="K4105">
        <v>0</v>
      </c>
      <c r="L4105">
        <v>0</v>
      </c>
      <c r="M4105">
        <v>0</v>
      </c>
      <c r="N4105" s="711">
        <v>268504.62</v>
      </c>
      <c r="O4105">
        <v>0</v>
      </c>
      <c r="P4105" s="711">
        <v>268504.62</v>
      </c>
    </row>
    <row r="4106" spans="1:16">
      <c r="A4106">
        <v>5</v>
      </c>
      <c r="B4106" t="s">
        <v>12806</v>
      </c>
      <c r="C4106" t="s">
        <v>12808</v>
      </c>
      <c r="D4106" t="s">
        <v>12810</v>
      </c>
      <c r="E4106" t="s">
        <v>10028</v>
      </c>
      <c r="F4106" t="s">
        <v>10029</v>
      </c>
      <c r="G4106" s="712">
        <v>0</v>
      </c>
      <c r="H4106">
        <v>0</v>
      </c>
      <c r="I4106" s="713">
        <v>0</v>
      </c>
      <c r="J4106" s="711">
        <v>666593.49</v>
      </c>
      <c r="K4106">
        <v>0</v>
      </c>
      <c r="L4106">
        <v>0</v>
      </c>
      <c r="M4106">
        <v>0</v>
      </c>
      <c r="N4106" s="711">
        <v>666593.49</v>
      </c>
      <c r="O4106">
        <v>0</v>
      </c>
      <c r="P4106" s="711">
        <v>666593.49</v>
      </c>
    </row>
    <row r="4107" spans="1:16">
      <c r="A4107">
        <v>5</v>
      </c>
      <c r="B4107" t="s">
        <v>12806</v>
      </c>
      <c r="C4107" t="s">
        <v>12808</v>
      </c>
      <c r="D4107" t="s">
        <v>12810</v>
      </c>
      <c r="E4107" t="s">
        <v>10030</v>
      </c>
      <c r="F4107" t="s">
        <v>10031</v>
      </c>
      <c r="G4107" s="712">
        <v>0</v>
      </c>
      <c r="H4107">
        <v>0</v>
      </c>
      <c r="I4107" s="713">
        <v>0</v>
      </c>
      <c r="J4107" s="711">
        <v>252018.6</v>
      </c>
      <c r="K4107">
        <v>0</v>
      </c>
      <c r="L4107">
        <v>0</v>
      </c>
      <c r="M4107">
        <v>0</v>
      </c>
      <c r="N4107" s="711">
        <v>252018.6</v>
      </c>
      <c r="O4107">
        <v>0</v>
      </c>
      <c r="P4107" s="711">
        <v>252018.6</v>
      </c>
    </row>
    <row r="4108" spans="1:16">
      <c r="A4108">
        <v>5</v>
      </c>
      <c r="B4108" t="s">
        <v>12806</v>
      </c>
      <c r="C4108" t="s">
        <v>12808</v>
      </c>
      <c r="D4108" t="s">
        <v>12810</v>
      </c>
      <c r="E4108" t="s">
        <v>10033</v>
      </c>
      <c r="F4108" t="s">
        <v>10034</v>
      </c>
      <c r="G4108" s="712">
        <v>0</v>
      </c>
      <c r="H4108">
        <v>0</v>
      </c>
      <c r="I4108" s="713">
        <v>0</v>
      </c>
      <c r="J4108" s="711">
        <v>55449.29</v>
      </c>
      <c r="K4108">
        <v>0</v>
      </c>
      <c r="L4108">
        <v>0</v>
      </c>
      <c r="M4108">
        <v>0</v>
      </c>
      <c r="N4108" s="711">
        <v>55449.29</v>
      </c>
      <c r="O4108">
        <v>0</v>
      </c>
      <c r="P4108" s="711">
        <v>55449.29</v>
      </c>
    </row>
    <row r="4109" spans="1:16">
      <c r="A4109">
        <v>5</v>
      </c>
      <c r="B4109" t="s">
        <v>12806</v>
      </c>
      <c r="C4109" t="s">
        <v>12808</v>
      </c>
      <c r="D4109" t="s">
        <v>12810</v>
      </c>
      <c r="E4109" t="s">
        <v>10036</v>
      </c>
      <c r="F4109" t="s">
        <v>10037</v>
      </c>
      <c r="G4109" s="712">
        <v>0</v>
      </c>
      <c r="H4109">
        <v>0</v>
      </c>
      <c r="I4109" s="713">
        <v>0</v>
      </c>
      <c r="J4109" s="711">
        <v>24873.95</v>
      </c>
      <c r="K4109">
        <v>0</v>
      </c>
      <c r="L4109">
        <v>0</v>
      </c>
      <c r="M4109">
        <v>0</v>
      </c>
      <c r="N4109" s="711">
        <v>24873.95</v>
      </c>
      <c r="O4109">
        <v>0</v>
      </c>
      <c r="P4109" s="711">
        <v>24873.95</v>
      </c>
    </row>
    <row r="4110" spans="1:16">
      <c r="A4110">
        <v>5</v>
      </c>
      <c r="B4110" t="s">
        <v>12806</v>
      </c>
      <c r="C4110" t="s">
        <v>12808</v>
      </c>
      <c r="D4110" t="s">
        <v>12810</v>
      </c>
      <c r="E4110" t="s">
        <v>10039</v>
      </c>
      <c r="F4110" t="s">
        <v>10040</v>
      </c>
      <c r="G4110" s="712">
        <v>0</v>
      </c>
      <c r="H4110">
        <v>0</v>
      </c>
      <c r="I4110" s="713">
        <v>0</v>
      </c>
      <c r="J4110" s="711">
        <v>50230.61</v>
      </c>
      <c r="K4110">
        <v>0</v>
      </c>
      <c r="L4110">
        <v>0</v>
      </c>
      <c r="M4110">
        <v>0</v>
      </c>
      <c r="N4110" s="711">
        <v>50230.61</v>
      </c>
      <c r="O4110">
        <v>0</v>
      </c>
      <c r="P4110" s="711">
        <v>50230.61</v>
      </c>
    </row>
    <row r="4111" spans="1:16">
      <c r="A4111">
        <v>5</v>
      </c>
      <c r="B4111" t="s">
        <v>12806</v>
      </c>
      <c r="C4111" t="s">
        <v>12808</v>
      </c>
      <c r="D4111" t="s">
        <v>12810</v>
      </c>
      <c r="E4111" t="s">
        <v>10042</v>
      </c>
      <c r="F4111" t="s">
        <v>10043</v>
      </c>
      <c r="G4111" s="712">
        <v>0</v>
      </c>
      <c r="H4111">
        <v>0</v>
      </c>
      <c r="I4111" s="713">
        <v>0</v>
      </c>
      <c r="J4111" s="711">
        <v>16541.080000000002</v>
      </c>
      <c r="K4111">
        <v>0</v>
      </c>
      <c r="L4111">
        <v>0</v>
      </c>
      <c r="M4111">
        <v>0</v>
      </c>
      <c r="N4111" s="711">
        <v>16541.080000000002</v>
      </c>
      <c r="O4111">
        <v>0</v>
      </c>
      <c r="P4111" s="711">
        <v>16541.080000000002</v>
      </c>
    </row>
    <row r="4112" spans="1:16">
      <c r="A4112">
        <v>5</v>
      </c>
      <c r="B4112" t="s">
        <v>12806</v>
      </c>
      <c r="C4112" t="s">
        <v>12808</v>
      </c>
      <c r="D4112" t="s">
        <v>12810</v>
      </c>
      <c r="E4112" t="s">
        <v>10045</v>
      </c>
      <c r="F4112" t="s">
        <v>10046</v>
      </c>
      <c r="G4112" s="712">
        <v>0</v>
      </c>
      <c r="H4112">
        <v>0</v>
      </c>
      <c r="I4112" s="713">
        <v>0</v>
      </c>
      <c r="J4112" s="711">
        <v>1928.61</v>
      </c>
      <c r="K4112">
        <v>0</v>
      </c>
      <c r="L4112">
        <v>0</v>
      </c>
      <c r="M4112">
        <v>0</v>
      </c>
      <c r="N4112" s="711">
        <v>1928.61</v>
      </c>
      <c r="O4112">
        <v>0</v>
      </c>
      <c r="P4112" s="711">
        <v>1928.61</v>
      </c>
    </row>
    <row r="4113" spans="1:16">
      <c r="A4113">
        <v>5</v>
      </c>
      <c r="B4113" t="s">
        <v>12806</v>
      </c>
      <c r="C4113" t="s">
        <v>12808</v>
      </c>
      <c r="D4113" t="s">
        <v>12810</v>
      </c>
      <c r="E4113" t="s">
        <v>10048</v>
      </c>
      <c r="F4113" t="s">
        <v>10049</v>
      </c>
      <c r="G4113" s="712">
        <v>0</v>
      </c>
      <c r="H4113">
        <v>0</v>
      </c>
      <c r="I4113" s="713">
        <v>0</v>
      </c>
      <c r="J4113">
        <v>269.37</v>
      </c>
      <c r="K4113">
        <v>0</v>
      </c>
      <c r="L4113">
        <v>0</v>
      </c>
      <c r="M4113">
        <v>0</v>
      </c>
      <c r="N4113">
        <v>269.37</v>
      </c>
      <c r="O4113">
        <v>0</v>
      </c>
      <c r="P4113">
        <v>269.37</v>
      </c>
    </row>
    <row r="4114" spans="1:16">
      <c r="A4114">
        <v>5</v>
      </c>
      <c r="B4114" t="s">
        <v>12806</v>
      </c>
      <c r="C4114" t="s">
        <v>12808</v>
      </c>
      <c r="D4114" t="s">
        <v>12810</v>
      </c>
      <c r="E4114" t="s">
        <v>10051</v>
      </c>
      <c r="F4114" t="s">
        <v>10052</v>
      </c>
      <c r="G4114" s="712">
        <v>0</v>
      </c>
      <c r="H4114">
        <v>0</v>
      </c>
      <c r="I4114" s="713">
        <v>0</v>
      </c>
      <c r="J4114" s="711">
        <v>536090.04</v>
      </c>
      <c r="K4114">
        <v>0</v>
      </c>
      <c r="L4114">
        <v>0</v>
      </c>
      <c r="M4114">
        <v>0</v>
      </c>
      <c r="N4114" s="711">
        <v>536090.04</v>
      </c>
      <c r="O4114">
        <v>0</v>
      </c>
      <c r="P4114" s="711">
        <v>536090.04</v>
      </c>
    </row>
    <row r="4115" spans="1:16">
      <c r="A4115">
        <v>5</v>
      </c>
      <c r="B4115" t="s">
        <v>12806</v>
      </c>
      <c r="C4115" t="s">
        <v>12808</v>
      </c>
      <c r="D4115" t="s">
        <v>12810</v>
      </c>
      <c r="E4115" t="s">
        <v>10054</v>
      </c>
      <c r="F4115" t="s">
        <v>10055</v>
      </c>
      <c r="G4115" s="712">
        <v>0</v>
      </c>
      <c r="H4115">
        <v>0</v>
      </c>
      <c r="I4115" s="713">
        <v>0</v>
      </c>
      <c r="J4115" s="711">
        <v>40000.57</v>
      </c>
      <c r="K4115">
        <v>0</v>
      </c>
      <c r="L4115">
        <v>0</v>
      </c>
      <c r="M4115">
        <v>0</v>
      </c>
      <c r="N4115" s="711">
        <v>40000.57</v>
      </c>
      <c r="O4115">
        <v>0</v>
      </c>
      <c r="P4115" s="711">
        <v>40000.57</v>
      </c>
    </row>
    <row r="4116" spans="1:16">
      <c r="A4116">
        <v>5</v>
      </c>
      <c r="B4116" t="s">
        <v>12806</v>
      </c>
      <c r="C4116" t="s">
        <v>12808</v>
      </c>
      <c r="D4116" t="s">
        <v>12810</v>
      </c>
      <c r="E4116" t="s">
        <v>10056</v>
      </c>
      <c r="F4116" t="s">
        <v>10057</v>
      </c>
      <c r="G4116" s="712">
        <v>0</v>
      </c>
      <c r="H4116">
        <v>0</v>
      </c>
      <c r="I4116" s="713">
        <v>0</v>
      </c>
      <c r="J4116" s="711">
        <v>10056.26</v>
      </c>
      <c r="K4116">
        <v>0</v>
      </c>
      <c r="L4116">
        <v>0</v>
      </c>
      <c r="M4116">
        <v>0</v>
      </c>
      <c r="N4116" s="711">
        <v>10056.26</v>
      </c>
      <c r="O4116">
        <v>0</v>
      </c>
      <c r="P4116" s="711">
        <v>10056.26</v>
      </c>
    </row>
    <row r="4117" spans="1:16">
      <c r="A4117">
        <v>5</v>
      </c>
      <c r="B4117" t="s">
        <v>12806</v>
      </c>
      <c r="C4117" t="s">
        <v>12808</v>
      </c>
      <c r="D4117" t="s">
        <v>12810</v>
      </c>
      <c r="E4117" t="s">
        <v>10058</v>
      </c>
      <c r="F4117" t="s">
        <v>10059</v>
      </c>
      <c r="G4117" s="712">
        <v>0</v>
      </c>
      <c r="H4117">
        <v>0</v>
      </c>
      <c r="I4117" s="713">
        <v>0</v>
      </c>
      <c r="J4117" s="711">
        <v>18846.63</v>
      </c>
      <c r="K4117">
        <v>0</v>
      </c>
      <c r="L4117">
        <v>0</v>
      </c>
      <c r="M4117">
        <v>0</v>
      </c>
      <c r="N4117" s="711">
        <v>18846.63</v>
      </c>
      <c r="O4117">
        <v>0</v>
      </c>
      <c r="P4117" s="711">
        <v>18846.63</v>
      </c>
    </row>
    <row r="4118" spans="1:16">
      <c r="A4118">
        <v>5</v>
      </c>
      <c r="B4118" t="s">
        <v>12806</v>
      </c>
      <c r="C4118" t="s">
        <v>12808</v>
      </c>
      <c r="D4118" t="s">
        <v>12810</v>
      </c>
      <c r="E4118" t="s">
        <v>10060</v>
      </c>
      <c r="F4118" t="s">
        <v>10061</v>
      </c>
      <c r="G4118" s="712">
        <v>0</v>
      </c>
      <c r="H4118">
        <v>0</v>
      </c>
      <c r="I4118" s="713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</row>
    <row r="4119" spans="1:16">
      <c r="A4119">
        <v>5</v>
      </c>
      <c r="B4119" t="s">
        <v>12806</v>
      </c>
      <c r="C4119" t="s">
        <v>12808</v>
      </c>
      <c r="D4119" t="s">
        <v>12810</v>
      </c>
      <c r="E4119" t="s">
        <v>10062</v>
      </c>
      <c r="F4119" t="s">
        <v>10063</v>
      </c>
      <c r="G4119" s="712">
        <v>0</v>
      </c>
      <c r="H4119">
        <v>0</v>
      </c>
      <c r="I4119" s="713">
        <v>0</v>
      </c>
      <c r="J4119" s="711">
        <v>15265.12</v>
      </c>
      <c r="K4119">
        <v>0</v>
      </c>
      <c r="L4119">
        <v>0</v>
      </c>
      <c r="M4119">
        <v>0</v>
      </c>
      <c r="N4119" s="711">
        <v>15265.12</v>
      </c>
      <c r="O4119">
        <v>0</v>
      </c>
      <c r="P4119" s="711">
        <v>15265.12</v>
      </c>
    </row>
    <row r="4120" spans="1:16">
      <c r="A4120">
        <v>5</v>
      </c>
      <c r="B4120" t="s">
        <v>12806</v>
      </c>
      <c r="C4120" t="s">
        <v>12808</v>
      </c>
      <c r="D4120" t="s">
        <v>12810</v>
      </c>
      <c r="E4120" t="s">
        <v>10064</v>
      </c>
      <c r="F4120" t="s">
        <v>10065</v>
      </c>
      <c r="G4120" s="712">
        <v>0</v>
      </c>
      <c r="H4120">
        <v>0</v>
      </c>
      <c r="I4120" s="713">
        <v>0</v>
      </c>
      <c r="J4120" s="711">
        <v>52529.23</v>
      </c>
      <c r="K4120">
        <v>0</v>
      </c>
      <c r="L4120">
        <v>0</v>
      </c>
      <c r="M4120">
        <v>0</v>
      </c>
      <c r="N4120" s="711">
        <v>52529.23</v>
      </c>
      <c r="O4120">
        <v>0</v>
      </c>
      <c r="P4120" s="711">
        <v>52529.23</v>
      </c>
    </row>
    <row r="4121" spans="1:16">
      <c r="A4121">
        <v>5</v>
      </c>
      <c r="B4121" t="s">
        <v>12806</v>
      </c>
      <c r="C4121" t="s">
        <v>12808</v>
      </c>
      <c r="D4121" t="s">
        <v>12810</v>
      </c>
      <c r="E4121" t="s">
        <v>10066</v>
      </c>
      <c r="F4121" t="s">
        <v>10067</v>
      </c>
      <c r="G4121" s="712">
        <v>0</v>
      </c>
      <c r="H4121">
        <v>0</v>
      </c>
      <c r="I4121" s="713">
        <v>0</v>
      </c>
      <c r="J4121" s="711">
        <v>71957.759999999995</v>
      </c>
      <c r="K4121">
        <v>0</v>
      </c>
      <c r="L4121">
        <v>0</v>
      </c>
      <c r="M4121">
        <v>0</v>
      </c>
      <c r="N4121" s="711">
        <v>71957.759999999995</v>
      </c>
      <c r="O4121">
        <v>0</v>
      </c>
      <c r="P4121" s="711">
        <v>71957.759999999995</v>
      </c>
    </row>
    <row r="4122" spans="1:16">
      <c r="A4122">
        <v>5</v>
      </c>
      <c r="B4122" t="s">
        <v>12806</v>
      </c>
      <c r="C4122" t="s">
        <v>12808</v>
      </c>
      <c r="D4122" t="s">
        <v>12810</v>
      </c>
      <c r="E4122" t="s">
        <v>10069</v>
      </c>
      <c r="F4122" t="s">
        <v>10070</v>
      </c>
      <c r="G4122" s="712">
        <v>0</v>
      </c>
      <c r="H4122">
        <v>0</v>
      </c>
      <c r="I4122" s="713">
        <v>0</v>
      </c>
      <c r="J4122" s="711">
        <v>1920276.81</v>
      </c>
      <c r="K4122">
        <v>0</v>
      </c>
      <c r="L4122">
        <v>0</v>
      </c>
      <c r="M4122">
        <v>0</v>
      </c>
      <c r="N4122" s="711">
        <v>1920276.81</v>
      </c>
      <c r="O4122">
        <v>0</v>
      </c>
      <c r="P4122" s="711">
        <v>1920276.81</v>
      </c>
    </row>
    <row r="4123" spans="1:16">
      <c r="A4123">
        <v>5</v>
      </c>
      <c r="B4123" t="s">
        <v>12806</v>
      </c>
      <c r="C4123" t="s">
        <v>12808</v>
      </c>
      <c r="D4123" t="s">
        <v>12810</v>
      </c>
      <c r="E4123" t="s">
        <v>10073</v>
      </c>
      <c r="F4123" t="s">
        <v>10074</v>
      </c>
      <c r="G4123" s="712">
        <v>0</v>
      </c>
      <c r="H4123">
        <v>0</v>
      </c>
      <c r="I4123" s="713">
        <v>0</v>
      </c>
      <c r="J4123" s="711">
        <v>58476.42</v>
      </c>
      <c r="K4123">
        <v>0</v>
      </c>
      <c r="L4123">
        <v>0</v>
      </c>
      <c r="M4123">
        <v>0</v>
      </c>
      <c r="N4123" s="711">
        <v>58476.42</v>
      </c>
      <c r="O4123">
        <v>0</v>
      </c>
      <c r="P4123" s="711">
        <v>58476.42</v>
      </c>
    </row>
    <row r="4124" spans="1:16">
      <c r="A4124">
        <v>5</v>
      </c>
      <c r="B4124" t="s">
        <v>12806</v>
      </c>
      <c r="C4124" t="s">
        <v>12808</v>
      </c>
      <c r="D4124" t="s">
        <v>12810</v>
      </c>
      <c r="E4124" t="s">
        <v>10077</v>
      </c>
      <c r="F4124" t="s">
        <v>10078</v>
      </c>
      <c r="G4124" s="712">
        <v>0</v>
      </c>
      <c r="H4124">
        <v>0</v>
      </c>
      <c r="I4124" s="713">
        <v>0</v>
      </c>
      <c r="J4124" s="711">
        <v>7881.64</v>
      </c>
      <c r="K4124">
        <v>0</v>
      </c>
      <c r="L4124">
        <v>0</v>
      </c>
      <c r="M4124">
        <v>0</v>
      </c>
      <c r="N4124" s="711">
        <v>7881.64</v>
      </c>
      <c r="O4124">
        <v>0</v>
      </c>
      <c r="P4124" s="711">
        <v>7881.64</v>
      </c>
    </row>
    <row r="4125" spans="1:16">
      <c r="A4125">
        <v>5</v>
      </c>
      <c r="B4125" t="s">
        <v>12806</v>
      </c>
      <c r="C4125" t="s">
        <v>12808</v>
      </c>
      <c r="D4125" t="s">
        <v>12810</v>
      </c>
      <c r="E4125" t="s">
        <v>10080</v>
      </c>
      <c r="F4125" t="s">
        <v>10081</v>
      </c>
      <c r="G4125" s="712">
        <v>0</v>
      </c>
      <c r="H4125">
        <v>0</v>
      </c>
      <c r="I4125" s="713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</row>
    <row r="4126" spans="1:16">
      <c r="A4126">
        <v>5</v>
      </c>
      <c r="B4126" t="s">
        <v>12806</v>
      </c>
      <c r="C4126" t="s">
        <v>12808</v>
      </c>
      <c r="D4126" t="s">
        <v>12810</v>
      </c>
      <c r="E4126" t="s">
        <v>10085</v>
      </c>
      <c r="F4126" t="s">
        <v>10086</v>
      </c>
      <c r="G4126" s="712">
        <v>0</v>
      </c>
      <c r="H4126">
        <v>0</v>
      </c>
      <c r="I4126" s="713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</row>
    <row r="4127" spans="1:16">
      <c r="A4127">
        <v>5</v>
      </c>
      <c r="B4127" t="s">
        <v>12806</v>
      </c>
      <c r="C4127" t="s">
        <v>12808</v>
      </c>
      <c r="D4127" t="s">
        <v>12810</v>
      </c>
      <c r="E4127" t="s">
        <v>10088</v>
      </c>
      <c r="F4127" t="s">
        <v>10089</v>
      </c>
      <c r="G4127" s="712">
        <v>0</v>
      </c>
      <c r="H4127">
        <v>0</v>
      </c>
      <c r="I4127" s="713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</row>
    <row r="4128" spans="1:16">
      <c r="A4128">
        <v>5</v>
      </c>
      <c r="B4128" t="s">
        <v>12806</v>
      </c>
      <c r="C4128" t="s">
        <v>12808</v>
      </c>
      <c r="D4128" t="s">
        <v>12810</v>
      </c>
      <c r="E4128" t="s">
        <v>10091</v>
      </c>
      <c r="F4128" t="s">
        <v>10092</v>
      </c>
      <c r="G4128" s="712">
        <v>0</v>
      </c>
      <c r="H4128">
        <v>0</v>
      </c>
      <c r="I4128" s="713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</row>
    <row r="4129" spans="1:16">
      <c r="A4129">
        <v>5</v>
      </c>
      <c r="B4129" t="s">
        <v>12806</v>
      </c>
      <c r="C4129" t="s">
        <v>12808</v>
      </c>
      <c r="D4129" t="s">
        <v>12810</v>
      </c>
      <c r="E4129" t="s">
        <v>10094</v>
      </c>
      <c r="F4129" t="s">
        <v>10095</v>
      </c>
      <c r="G4129" s="712">
        <v>0</v>
      </c>
      <c r="H4129">
        <v>0</v>
      </c>
      <c r="I4129" s="713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</row>
    <row r="4130" spans="1:16">
      <c r="A4130">
        <v>5</v>
      </c>
      <c r="B4130" t="s">
        <v>12806</v>
      </c>
      <c r="C4130" t="s">
        <v>12808</v>
      </c>
      <c r="D4130" t="s">
        <v>12810</v>
      </c>
      <c r="E4130" t="s">
        <v>12813</v>
      </c>
      <c r="F4130" t="s">
        <v>12814</v>
      </c>
      <c r="G4130" s="712">
        <v>0</v>
      </c>
      <c r="H4130">
        <v>0</v>
      </c>
      <c r="I4130" s="713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</row>
    <row r="4131" spans="1:16">
      <c r="A4131">
        <v>5</v>
      </c>
      <c r="B4131" t="s">
        <v>12806</v>
      </c>
      <c r="C4131" t="s">
        <v>12808</v>
      </c>
      <c r="D4131" t="s">
        <v>12810</v>
      </c>
      <c r="E4131" t="s">
        <v>12815</v>
      </c>
      <c r="F4131" t="s">
        <v>12816</v>
      </c>
      <c r="G4131" s="712">
        <v>0</v>
      </c>
      <c r="H4131">
        <v>0</v>
      </c>
      <c r="I4131" s="713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</row>
    <row r="4132" spans="1:16">
      <c r="A4132">
        <v>5</v>
      </c>
      <c r="B4132" t="s">
        <v>12806</v>
      </c>
      <c r="C4132" t="s">
        <v>12808</v>
      </c>
      <c r="D4132" t="s">
        <v>12810</v>
      </c>
      <c r="E4132" t="s">
        <v>12817</v>
      </c>
      <c r="F4132" t="s">
        <v>12818</v>
      </c>
      <c r="G4132" s="712">
        <v>0</v>
      </c>
      <c r="H4132">
        <v>0</v>
      </c>
      <c r="I4132" s="713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</row>
    <row r="4133" spans="1:16">
      <c r="A4133">
        <v>5</v>
      </c>
      <c r="B4133" t="s">
        <v>12806</v>
      </c>
      <c r="C4133" t="s">
        <v>12808</v>
      </c>
      <c r="D4133" t="s">
        <v>12810</v>
      </c>
      <c r="E4133" t="s">
        <v>10001</v>
      </c>
      <c r="F4133" t="s">
        <v>10002</v>
      </c>
      <c r="G4133" s="712">
        <v>0</v>
      </c>
      <c r="H4133">
        <v>0</v>
      </c>
      <c r="I4133" s="71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</row>
    <row r="4134" spans="1:16">
      <c r="A4134">
        <v>5</v>
      </c>
      <c r="B4134" t="s">
        <v>12806</v>
      </c>
      <c r="C4134" t="s">
        <v>12808</v>
      </c>
      <c r="D4134" t="s">
        <v>12810</v>
      </c>
      <c r="E4134" t="s">
        <v>10003</v>
      </c>
      <c r="F4134" t="s">
        <v>10004</v>
      </c>
      <c r="G4134" s="712">
        <v>0</v>
      </c>
      <c r="H4134">
        <v>0</v>
      </c>
      <c r="I4134" s="713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</row>
    <row r="4135" spans="1:16">
      <c r="A4135">
        <v>5</v>
      </c>
      <c r="B4135" t="s">
        <v>12806</v>
      </c>
      <c r="C4135" t="s">
        <v>12808</v>
      </c>
      <c r="D4135" t="s">
        <v>12810</v>
      </c>
      <c r="E4135" t="s">
        <v>10005</v>
      </c>
      <c r="F4135" t="s">
        <v>10006</v>
      </c>
      <c r="G4135" s="712">
        <v>0</v>
      </c>
      <c r="H4135">
        <v>0</v>
      </c>
      <c r="I4135" s="713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</row>
    <row r="4136" spans="1:16">
      <c r="A4136">
        <v>5</v>
      </c>
      <c r="B4136" t="s">
        <v>12806</v>
      </c>
      <c r="C4136" t="s">
        <v>12808</v>
      </c>
      <c r="D4136" t="s">
        <v>12810</v>
      </c>
      <c r="E4136" t="s">
        <v>10007</v>
      </c>
      <c r="F4136" t="s">
        <v>10008</v>
      </c>
      <c r="G4136" s="712">
        <v>0</v>
      </c>
      <c r="H4136">
        <v>0</v>
      </c>
      <c r="I4136" s="713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</row>
    <row r="4137" spans="1:16">
      <c r="A4137">
        <v>5</v>
      </c>
      <c r="B4137" t="s">
        <v>12806</v>
      </c>
      <c r="C4137" t="s">
        <v>12808</v>
      </c>
      <c r="D4137" t="s">
        <v>12810</v>
      </c>
      <c r="E4137" t="s">
        <v>10011</v>
      </c>
      <c r="F4137" t="s">
        <v>10012</v>
      </c>
      <c r="G4137" s="712">
        <v>0</v>
      </c>
      <c r="H4137">
        <v>0</v>
      </c>
      <c r="I4137" s="713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</row>
    <row r="4138" spans="1:16">
      <c r="A4138">
        <v>5</v>
      </c>
      <c r="B4138" t="s">
        <v>12806</v>
      </c>
      <c r="C4138" t="s">
        <v>12808</v>
      </c>
      <c r="D4138" t="s">
        <v>12810</v>
      </c>
      <c r="E4138" t="s">
        <v>10083</v>
      </c>
      <c r="F4138" t="s">
        <v>10084</v>
      </c>
      <c r="G4138" s="712">
        <v>0</v>
      </c>
      <c r="H4138">
        <v>0</v>
      </c>
      <c r="I4138" s="713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</row>
    <row r="4139" spans="1:16">
      <c r="A4139">
        <v>5</v>
      </c>
      <c r="B4139" t="s">
        <v>12806</v>
      </c>
      <c r="C4139" t="s">
        <v>12808</v>
      </c>
      <c r="D4139" t="s">
        <v>12810</v>
      </c>
      <c r="E4139" t="s">
        <v>9995</v>
      </c>
      <c r="F4139" t="s">
        <v>9996</v>
      </c>
      <c r="G4139" s="712">
        <v>0</v>
      </c>
      <c r="H4139">
        <v>0</v>
      </c>
      <c r="I4139" s="713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</row>
    <row r="4140" spans="1:16">
      <c r="A4140">
        <v>5</v>
      </c>
      <c r="B4140" t="s">
        <v>12806</v>
      </c>
      <c r="C4140" t="s">
        <v>12808</v>
      </c>
      <c r="D4140" t="s">
        <v>12810</v>
      </c>
      <c r="E4140" t="s">
        <v>9997</v>
      </c>
      <c r="F4140" t="s">
        <v>9998</v>
      </c>
      <c r="G4140" s="712">
        <v>0</v>
      </c>
      <c r="H4140">
        <v>0</v>
      </c>
      <c r="I4140" s="713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</row>
    <row r="4141" spans="1:16">
      <c r="A4141">
        <v>5</v>
      </c>
      <c r="B4141" t="s">
        <v>12806</v>
      </c>
      <c r="C4141" t="s">
        <v>12808</v>
      </c>
      <c r="D4141" t="s">
        <v>12810</v>
      </c>
      <c r="E4141" t="s">
        <v>9999</v>
      </c>
      <c r="F4141" t="s">
        <v>10000</v>
      </c>
      <c r="G4141" s="712">
        <v>0</v>
      </c>
      <c r="H4141">
        <v>0</v>
      </c>
      <c r="I4141" s="713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</row>
    <row r="4142" spans="1:16" ht="15.75" thickBot="1">
      <c r="A4142">
        <v>5</v>
      </c>
      <c r="B4142" t="s">
        <v>12806</v>
      </c>
      <c r="C4142" t="s">
        <v>12808</v>
      </c>
      <c r="D4142" t="s">
        <v>12810</v>
      </c>
      <c r="E4142" t="s">
        <v>10097</v>
      </c>
      <c r="F4142" t="s">
        <v>10098</v>
      </c>
      <c r="G4142" s="712">
        <v>0</v>
      </c>
      <c r="H4142">
        <v>0</v>
      </c>
      <c r="I4142" s="713">
        <v>0</v>
      </c>
      <c r="J4142" s="711">
        <v>667547.92000000004</v>
      </c>
      <c r="K4142">
        <v>0</v>
      </c>
      <c r="L4142">
        <v>0</v>
      </c>
      <c r="M4142">
        <v>0</v>
      </c>
      <c r="N4142" s="711">
        <v>667547.92000000004</v>
      </c>
      <c r="O4142">
        <v>0</v>
      </c>
      <c r="P4142" s="711">
        <v>667547.92000000004</v>
      </c>
    </row>
    <row r="4143" spans="1:16" ht="15.75" thickBot="1">
      <c r="A4143" s="727">
        <v>5</v>
      </c>
      <c r="B4143" s="727" t="s">
        <v>12806</v>
      </c>
      <c r="C4143" s="727" t="s">
        <v>12819</v>
      </c>
      <c r="D4143" s="727"/>
      <c r="E4143" s="727"/>
      <c r="F4143" s="745" t="s">
        <v>12820</v>
      </c>
      <c r="G4143" s="738">
        <v>0</v>
      </c>
      <c r="H4143" s="738">
        <v>0</v>
      </c>
      <c r="I4143" s="738">
        <v>0</v>
      </c>
      <c r="J4143" s="739">
        <v>28606.57</v>
      </c>
      <c r="K4143" s="738">
        <v>0</v>
      </c>
      <c r="L4143" s="738">
        <v>0</v>
      </c>
      <c r="M4143" s="738">
        <v>0</v>
      </c>
      <c r="N4143" s="739">
        <v>28606.57</v>
      </c>
      <c r="O4143" s="738">
        <v>0</v>
      </c>
      <c r="P4143" s="739">
        <v>28606.57</v>
      </c>
    </row>
    <row r="4144" spans="1:16" ht="15.75" thickBot="1">
      <c r="A4144" s="727">
        <v>5</v>
      </c>
      <c r="B4144" s="727" t="s">
        <v>12806</v>
      </c>
      <c r="C4144" s="727" t="s">
        <v>12819</v>
      </c>
      <c r="D4144" s="727" t="s">
        <v>12821</v>
      </c>
      <c r="E4144" s="727"/>
      <c r="F4144" s="729" t="s">
        <v>12820</v>
      </c>
      <c r="G4144" s="738">
        <v>0</v>
      </c>
      <c r="H4144" s="738">
        <v>0</v>
      </c>
      <c r="I4144" s="738">
        <v>0</v>
      </c>
      <c r="J4144" s="739">
        <v>28606.57</v>
      </c>
      <c r="K4144" s="738">
        <v>0</v>
      </c>
      <c r="L4144" s="738">
        <v>0</v>
      </c>
      <c r="M4144" s="738">
        <v>0</v>
      </c>
      <c r="N4144" s="739">
        <v>28606.57</v>
      </c>
      <c r="O4144" s="738">
        <v>0</v>
      </c>
      <c r="P4144" s="739">
        <v>28606.57</v>
      </c>
    </row>
    <row r="4145" spans="1:16">
      <c r="A4145">
        <v>5</v>
      </c>
      <c r="B4145" t="s">
        <v>12806</v>
      </c>
      <c r="C4145" t="s">
        <v>12819</v>
      </c>
      <c r="D4145" t="s">
        <v>12821</v>
      </c>
      <c r="E4145" t="s">
        <v>10100</v>
      </c>
      <c r="F4145" t="s">
        <v>10101</v>
      </c>
      <c r="G4145" s="712">
        <v>0</v>
      </c>
      <c r="H4145">
        <v>0</v>
      </c>
      <c r="I4145" s="713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</row>
    <row r="4146" spans="1:16">
      <c r="A4146">
        <v>5</v>
      </c>
      <c r="B4146" t="s">
        <v>12806</v>
      </c>
      <c r="C4146" t="s">
        <v>12819</v>
      </c>
      <c r="D4146" t="s">
        <v>12821</v>
      </c>
      <c r="E4146" t="s">
        <v>10103</v>
      </c>
      <c r="F4146" t="s">
        <v>10104</v>
      </c>
      <c r="G4146" s="712">
        <v>0</v>
      </c>
      <c r="H4146">
        <v>0</v>
      </c>
      <c r="I4146" s="713">
        <v>0</v>
      </c>
      <c r="J4146" s="711">
        <v>2197.2800000000002</v>
      </c>
      <c r="K4146">
        <v>0</v>
      </c>
      <c r="L4146">
        <v>0</v>
      </c>
      <c r="M4146">
        <v>0</v>
      </c>
      <c r="N4146" s="711">
        <v>2197.2800000000002</v>
      </c>
      <c r="O4146">
        <v>0</v>
      </c>
      <c r="P4146" s="711">
        <v>2197.2800000000002</v>
      </c>
    </row>
    <row r="4147" spans="1:16">
      <c r="A4147">
        <v>5</v>
      </c>
      <c r="B4147" t="s">
        <v>12806</v>
      </c>
      <c r="C4147" t="s">
        <v>12819</v>
      </c>
      <c r="D4147" t="s">
        <v>12821</v>
      </c>
      <c r="E4147" t="s">
        <v>10106</v>
      </c>
      <c r="F4147" t="s">
        <v>10107</v>
      </c>
      <c r="G4147" s="712">
        <v>0</v>
      </c>
      <c r="H4147">
        <v>0</v>
      </c>
      <c r="I4147" s="713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</row>
    <row r="4148" spans="1:16">
      <c r="A4148">
        <v>5</v>
      </c>
      <c r="B4148" t="s">
        <v>12806</v>
      </c>
      <c r="C4148" t="s">
        <v>12819</v>
      </c>
      <c r="D4148" t="s">
        <v>12821</v>
      </c>
      <c r="E4148" t="s">
        <v>10110</v>
      </c>
      <c r="F4148" t="s">
        <v>10111</v>
      </c>
      <c r="G4148" s="712">
        <v>0</v>
      </c>
      <c r="H4148">
        <v>0</v>
      </c>
      <c r="I4148" s="713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</row>
    <row r="4149" spans="1:16">
      <c r="A4149">
        <v>5</v>
      </c>
      <c r="B4149" t="s">
        <v>12806</v>
      </c>
      <c r="C4149" t="s">
        <v>12819</v>
      </c>
      <c r="D4149" t="s">
        <v>12821</v>
      </c>
      <c r="E4149" t="s">
        <v>10112</v>
      </c>
      <c r="F4149" t="s">
        <v>10113</v>
      </c>
      <c r="G4149" s="712">
        <v>0</v>
      </c>
      <c r="H4149">
        <v>0</v>
      </c>
      <c r="I4149" s="713">
        <v>0</v>
      </c>
      <c r="J4149" s="711">
        <v>22027.919999999998</v>
      </c>
      <c r="K4149">
        <v>0</v>
      </c>
      <c r="L4149">
        <v>0</v>
      </c>
      <c r="M4149">
        <v>0</v>
      </c>
      <c r="N4149" s="711">
        <v>22027.919999999998</v>
      </c>
      <c r="O4149">
        <v>0</v>
      </c>
      <c r="P4149" s="711">
        <v>22027.919999999998</v>
      </c>
    </row>
    <row r="4150" spans="1:16">
      <c r="A4150">
        <v>5</v>
      </c>
      <c r="B4150" t="s">
        <v>12806</v>
      </c>
      <c r="C4150" t="s">
        <v>12819</v>
      </c>
      <c r="D4150" t="s">
        <v>12821</v>
      </c>
      <c r="E4150" t="s">
        <v>10115</v>
      </c>
      <c r="F4150" t="s">
        <v>10116</v>
      </c>
      <c r="G4150" s="712">
        <v>0</v>
      </c>
      <c r="H4150">
        <v>0</v>
      </c>
      <c r="I4150" s="713">
        <v>0</v>
      </c>
      <c r="J4150" s="711">
        <v>4381.37</v>
      </c>
      <c r="K4150">
        <v>0</v>
      </c>
      <c r="L4150">
        <v>0</v>
      </c>
      <c r="M4150">
        <v>0</v>
      </c>
      <c r="N4150" s="711">
        <v>4381.37</v>
      </c>
      <c r="O4150">
        <v>0</v>
      </c>
      <c r="P4150" s="711">
        <v>4381.37</v>
      </c>
    </row>
    <row r="4151" spans="1:16">
      <c r="A4151">
        <v>5</v>
      </c>
      <c r="B4151" t="s">
        <v>12806</v>
      </c>
      <c r="C4151" t="s">
        <v>12819</v>
      </c>
      <c r="D4151" t="s">
        <v>12821</v>
      </c>
      <c r="E4151" t="s">
        <v>10118</v>
      </c>
      <c r="F4151" t="s">
        <v>10119</v>
      </c>
      <c r="G4151" s="712">
        <v>0</v>
      </c>
      <c r="H4151">
        <v>0</v>
      </c>
      <c r="I4151" s="713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</row>
    <row r="4152" spans="1:16">
      <c r="A4152">
        <v>5</v>
      </c>
      <c r="B4152" t="s">
        <v>12806</v>
      </c>
      <c r="C4152" t="s">
        <v>12819</v>
      </c>
      <c r="D4152" t="s">
        <v>12821</v>
      </c>
      <c r="E4152" t="s">
        <v>10120</v>
      </c>
      <c r="F4152" t="s">
        <v>10121</v>
      </c>
      <c r="G4152" s="712">
        <v>0</v>
      </c>
      <c r="H4152">
        <v>0</v>
      </c>
      <c r="I4152" s="713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</row>
    <row r="4153" spans="1:16">
      <c r="A4153">
        <v>5</v>
      </c>
      <c r="B4153" t="s">
        <v>12806</v>
      </c>
      <c r="C4153" t="s">
        <v>12819</v>
      </c>
      <c r="D4153" t="s">
        <v>12821</v>
      </c>
      <c r="E4153" t="s">
        <v>10122</v>
      </c>
      <c r="F4153" t="s">
        <v>10123</v>
      </c>
      <c r="G4153" s="712">
        <v>0</v>
      </c>
      <c r="H4153">
        <v>0</v>
      </c>
      <c r="I4153" s="71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</row>
    <row r="4154" spans="1:16">
      <c r="A4154">
        <v>5</v>
      </c>
      <c r="B4154" t="s">
        <v>12806</v>
      </c>
      <c r="C4154" t="s">
        <v>12819</v>
      </c>
      <c r="D4154" t="s">
        <v>12821</v>
      </c>
      <c r="E4154" t="s">
        <v>10124</v>
      </c>
      <c r="F4154" t="s">
        <v>10125</v>
      </c>
      <c r="G4154" s="712">
        <v>0</v>
      </c>
      <c r="H4154">
        <v>0</v>
      </c>
      <c r="I4154" s="713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</row>
    <row r="4155" spans="1:16">
      <c r="A4155">
        <v>5</v>
      </c>
      <c r="B4155" t="s">
        <v>12806</v>
      </c>
      <c r="C4155" t="s">
        <v>12819</v>
      </c>
      <c r="D4155" t="s">
        <v>12821</v>
      </c>
      <c r="E4155" t="s">
        <v>10126</v>
      </c>
      <c r="F4155" t="s">
        <v>10095</v>
      </c>
      <c r="G4155" s="712">
        <v>0</v>
      </c>
      <c r="H4155">
        <v>0</v>
      </c>
      <c r="I4155" s="713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</row>
    <row r="4156" spans="1:16">
      <c r="A4156">
        <v>5</v>
      </c>
      <c r="B4156" t="s">
        <v>12806</v>
      </c>
      <c r="C4156" t="s">
        <v>12819</v>
      </c>
      <c r="D4156" t="s">
        <v>12821</v>
      </c>
      <c r="E4156" t="s">
        <v>10108</v>
      </c>
      <c r="F4156" t="s">
        <v>10109</v>
      </c>
      <c r="G4156" s="712">
        <v>0</v>
      </c>
      <c r="H4156">
        <v>0</v>
      </c>
      <c r="I4156" s="713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</row>
    <row r="4157" spans="1:16" ht="15.75" thickBot="1">
      <c r="A4157">
        <v>5</v>
      </c>
      <c r="B4157" t="s">
        <v>12806</v>
      </c>
      <c r="C4157" t="s">
        <v>12819</v>
      </c>
      <c r="D4157" t="s">
        <v>12821</v>
      </c>
      <c r="E4157" t="s">
        <v>10127</v>
      </c>
      <c r="F4157" t="s">
        <v>10128</v>
      </c>
      <c r="G4157" s="712">
        <v>0</v>
      </c>
      <c r="H4157">
        <v>0</v>
      </c>
      <c r="I4157" s="713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</row>
    <row r="4158" spans="1:16" ht="15.75" thickBot="1">
      <c r="A4158" s="727">
        <v>5</v>
      </c>
      <c r="B4158" s="727" t="s">
        <v>12822</v>
      </c>
      <c r="C4158" s="727"/>
      <c r="D4158" s="727"/>
      <c r="E4158" s="727"/>
      <c r="F4158" s="745" t="s">
        <v>12823</v>
      </c>
      <c r="G4158" s="738">
        <v>0</v>
      </c>
      <c r="H4158" s="738">
        <v>0</v>
      </c>
      <c r="I4158" s="738">
        <v>0</v>
      </c>
      <c r="J4158" s="739">
        <v>15634401.369999999</v>
      </c>
      <c r="K4158" s="738">
        <v>0</v>
      </c>
      <c r="L4158" s="738">
        <v>0</v>
      </c>
      <c r="M4158" s="738">
        <v>0</v>
      </c>
      <c r="N4158" s="739">
        <v>15634401.369999999</v>
      </c>
      <c r="O4158" s="738">
        <v>0</v>
      </c>
      <c r="P4158" s="739">
        <v>15634401.369999999</v>
      </c>
    </row>
    <row r="4159" spans="1:16" ht="15.75" thickBot="1">
      <c r="A4159" s="727">
        <v>5</v>
      </c>
      <c r="B4159" s="727" t="s">
        <v>12822</v>
      </c>
      <c r="C4159" s="727" t="s">
        <v>12824</v>
      </c>
      <c r="D4159" s="727"/>
      <c r="E4159" s="727"/>
      <c r="F4159" s="745" t="s">
        <v>12825</v>
      </c>
      <c r="G4159" s="738">
        <v>0</v>
      </c>
      <c r="H4159" s="738">
        <v>0</v>
      </c>
      <c r="I4159" s="738">
        <v>0</v>
      </c>
      <c r="J4159" s="739">
        <v>8480793</v>
      </c>
      <c r="K4159" s="738">
        <v>0</v>
      </c>
      <c r="L4159" s="738">
        <v>0</v>
      </c>
      <c r="M4159" s="738">
        <v>0</v>
      </c>
      <c r="N4159" s="739">
        <v>8480793</v>
      </c>
      <c r="O4159" s="738">
        <v>0</v>
      </c>
      <c r="P4159" s="739">
        <v>8480793</v>
      </c>
    </row>
    <row r="4160" spans="1:16" ht="15.75" thickBot="1">
      <c r="A4160" s="727">
        <v>5</v>
      </c>
      <c r="B4160" s="727" t="s">
        <v>12822</v>
      </c>
      <c r="C4160" s="727" t="s">
        <v>12824</v>
      </c>
      <c r="D4160" s="727" t="s">
        <v>12826</v>
      </c>
      <c r="E4160" s="727"/>
      <c r="F4160" s="729" t="s">
        <v>12825</v>
      </c>
      <c r="G4160" s="738">
        <v>0</v>
      </c>
      <c r="H4160" s="738">
        <v>0</v>
      </c>
      <c r="I4160" s="738">
        <v>0</v>
      </c>
      <c r="J4160" s="739">
        <v>8480793</v>
      </c>
      <c r="K4160" s="738">
        <v>0</v>
      </c>
      <c r="L4160" s="738">
        <v>0</v>
      </c>
      <c r="M4160" s="738">
        <v>0</v>
      </c>
      <c r="N4160" s="739">
        <v>8480793</v>
      </c>
      <c r="O4160" s="738">
        <v>0</v>
      </c>
      <c r="P4160" s="739">
        <v>8480793</v>
      </c>
    </row>
    <row r="4161" spans="1:16">
      <c r="A4161">
        <v>5</v>
      </c>
      <c r="B4161" t="s">
        <v>12822</v>
      </c>
      <c r="C4161" t="s">
        <v>12824</v>
      </c>
      <c r="D4161" t="s">
        <v>12826</v>
      </c>
      <c r="E4161" t="s">
        <v>10138</v>
      </c>
      <c r="F4161" t="s">
        <v>10139</v>
      </c>
      <c r="G4161" s="712">
        <v>0</v>
      </c>
      <c r="H4161">
        <v>0</v>
      </c>
      <c r="I4161" s="713">
        <v>0</v>
      </c>
      <c r="J4161" s="711">
        <v>4600000</v>
      </c>
      <c r="K4161">
        <v>0</v>
      </c>
      <c r="L4161">
        <v>0</v>
      </c>
      <c r="M4161">
        <v>0</v>
      </c>
      <c r="N4161" s="711">
        <v>4600000</v>
      </c>
      <c r="O4161">
        <v>0</v>
      </c>
      <c r="P4161" s="711">
        <v>4600000</v>
      </c>
    </row>
    <row r="4162" spans="1:16">
      <c r="A4162">
        <v>5</v>
      </c>
      <c r="B4162" t="s">
        <v>12822</v>
      </c>
      <c r="C4162" t="s">
        <v>12824</v>
      </c>
      <c r="D4162" t="s">
        <v>12826</v>
      </c>
      <c r="E4162" t="s">
        <v>10144</v>
      </c>
      <c r="F4162" t="s">
        <v>10145</v>
      </c>
      <c r="G4162" s="712">
        <v>0</v>
      </c>
      <c r="H4162">
        <v>0</v>
      </c>
      <c r="I4162" s="713">
        <v>0</v>
      </c>
      <c r="J4162" s="711">
        <v>2350000</v>
      </c>
      <c r="K4162">
        <v>0</v>
      </c>
      <c r="L4162">
        <v>0</v>
      </c>
      <c r="M4162">
        <v>0</v>
      </c>
      <c r="N4162" s="711">
        <v>2350000</v>
      </c>
      <c r="O4162">
        <v>0</v>
      </c>
      <c r="P4162" s="711">
        <v>2350000</v>
      </c>
    </row>
    <row r="4163" spans="1:16">
      <c r="A4163">
        <v>5</v>
      </c>
      <c r="B4163" t="s">
        <v>12822</v>
      </c>
      <c r="C4163" t="s">
        <v>12824</v>
      </c>
      <c r="D4163" t="s">
        <v>12826</v>
      </c>
      <c r="E4163" t="s">
        <v>10149</v>
      </c>
      <c r="F4163" t="s">
        <v>10150</v>
      </c>
      <c r="G4163" s="712">
        <v>0</v>
      </c>
      <c r="H4163">
        <v>0</v>
      </c>
      <c r="I4163" s="71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</row>
    <row r="4164" spans="1:16">
      <c r="A4164">
        <v>5</v>
      </c>
      <c r="B4164" t="s">
        <v>12822</v>
      </c>
      <c r="C4164" t="s">
        <v>12824</v>
      </c>
      <c r="D4164" t="s">
        <v>12826</v>
      </c>
      <c r="E4164" t="s">
        <v>10153</v>
      </c>
      <c r="F4164" t="s">
        <v>10154</v>
      </c>
      <c r="G4164" s="712">
        <v>0</v>
      </c>
      <c r="H4164">
        <v>0</v>
      </c>
      <c r="I4164" s="713">
        <v>0</v>
      </c>
      <c r="J4164" s="711">
        <v>1530793</v>
      </c>
      <c r="K4164">
        <v>0</v>
      </c>
      <c r="L4164">
        <v>0</v>
      </c>
      <c r="M4164">
        <v>0</v>
      </c>
      <c r="N4164" s="711">
        <v>1530793</v>
      </c>
      <c r="O4164">
        <v>0</v>
      </c>
      <c r="P4164" s="711">
        <v>1530793</v>
      </c>
    </row>
    <row r="4165" spans="1:16">
      <c r="A4165">
        <v>5</v>
      </c>
      <c r="B4165" t="s">
        <v>12822</v>
      </c>
      <c r="C4165" t="s">
        <v>12824</v>
      </c>
      <c r="D4165" t="s">
        <v>12826</v>
      </c>
      <c r="E4165" t="s">
        <v>10159</v>
      </c>
      <c r="F4165" t="s">
        <v>10160</v>
      </c>
      <c r="G4165" s="712">
        <v>0</v>
      </c>
      <c r="H4165">
        <v>0</v>
      </c>
      <c r="I4165" s="713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</row>
    <row r="4166" spans="1:16">
      <c r="A4166">
        <v>5</v>
      </c>
      <c r="B4166" t="s">
        <v>12822</v>
      </c>
      <c r="C4166" t="s">
        <v>12824</v>
      </c>
      <c r="D4166" t="s">
        <v>12826</v>
      </c>
      <c r="E4166" t="s">
        <v>10178</v>
      </c>
      <c r="F4166" t="s">
        <v>10179</v>
      </c>
      <c r="G4166" s="712">
        <v>0</v>
      </c>
      <c r="H4166">
        <v>0</v>
      </c>
      <c r="I4166" s="713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</row>
    <row r="4167" spans="1:16">
      <c r="A4167">
        <v>5</v>
      </c>
      <c r="B4167" t="s">
        <v>12822</v>
      </c>
      <c r="C4167" t="s">
        <v>12824</v>
      </c>
      <c r="D4167" t="s">
        <v>12826</v>
      </c>
      <c r="E4167" t="s">
        <v>10163</v>
      </c>
      <c r="F4167" t="s">
        <v>10164</v>
      </c>
      <c r="G4167" s="712">
        <v>0</v>
      </c>
      <c r="H4167">
        <v>0</v>
      </c>
      <c r="I4167" s="713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</row>
    <row r="4168" spans="1:16">
      <c r="A4168">
        <v>5</v>
      </c>
      <c r="B4168" t="s">
        <v>12822</v>
      </c>
      <c r="C4168" t="s">
        <v>12824</v>
      </c>
      <c r="D4168" t="s">
        <v>12826</v>
      </c>
      <c r="E4168" t="s">
        <v>10167</v>
      </c>
      <c r="F4168" t="s">
        <v>10168</v>
      </c>
      <c r="G4168" s="712">
        <v>0</v>
      </c>
      <c r="H4168">
        <v>0</v>
      </c>
      <c r="I4168" s="713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</row>
    <row r="4169" spans="1:16">
      <c r="A4169">
        <v>5</v>
      </c>
      <c r="B4169" t="s">
        <v>12822</v>
      </c>
      <c r="C4169" t="s">
        <v>12824</v>
      </c>
      <c r="D4169" t="s">
        <v>12826</v>
      </c>
      <c r="E4169" t="s">
        <v>10169</v>
      </c>
      <c r="F4169" t="s">
        <v>10170</v>
      </c>
      <c r="G4169" s="712">
        <v>0</v>
      </c>
      <c r="H4169">
        <v>0</v>
      </c>
      <c r="I4169" s="713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</row>
    <row r="4170" spans="1:16">
      <c r="A4170">
        <v>5</v>
      </c>
      <c r="B4170" t="s">
        <v>12822</v>
      </c>
      <c r="C4170" t="s">
        <v>12824</v>
      </c>
      <c r="D4170" t="s">
        <v>12826</v>
      </c>
      <c r="E4170" t="s">
        <v>10171</v>
      </c>
      <c r="F4170" t="s">
        <v>10172</v>
      </c>
      <c r="G4170" s="712">
        <v>0</v>
      </c>
      <c r="H4170">
        <v>0</v>
      </c>
      <c r="I4170" s="713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</row>
    <row r="4171" spans="1:16">
      <c r="A4171">
        <v>5</v>
      </c>
      <c r="B4171" t="s">
        <v>12822</v>
      </c>
      <c r="C4171" t="s">
        <v>12824</v>
      </c>
      <c r="D4171" t="s">
        <v>12826</v>
      </c>
      <c r="E4171" t="s">
        <v>10173</v>
      </c>
      <c r="F4171" t="s">
        <v>10174</v>
      </c>
      <c r="G4171" s="712">
        <v>0</v>
      </c>
      <c r="H4171">
        <v>0</v>
      </c>
      <c r="I4171" s="713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</row>
    <row r="4172" spans="1:16" ht="15.75" thickBot="1">
      <c r="A4172">
        <v>5</v>
      </c>
      <c r="B4172" t="s">
        <v>12822</v>
      </c>
      <c r="C4172" t="s">
        <v>12824</v>
      </c>
      <c r="D4172" t="s">
        <v>12826</v>
      </c>
      <c r="E4172" t="s">
        <v>10175</v>
      </c>
      <c r="F4172" t="s">
        <v>10176</v>
      </c>
      <c r="G4172" s="712">
        <v>0</v>
      </c>
      <c r="H4172">
        <v>0</v>
      </c>
      <c r="I4172" s="713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</row>
    <row r="4173" spans="1:16" ht="15.75" thickBot="1">
      <c r="A4173" s="727">
        <v>5</v>
      </c>
      <c r="B4173" s="727" t="s">
        <v>12822</v>
      </c>
      <c r="C4173" s="727" t="s">
        <v>12827</v>
      </c>
      <c r="D4173" s="727"/>
      <c r="E4173" s="727"/>
      <c r="F4173" s="745" t="s">
        <v>12828</v>
      </c>
      <c r="G4173" s="738">
        <v>0</v>
      </c>
      <c r="H4173" s="738">
        <v>0</v>
      </c>
      <c r="I4173" s="738">
        <v>0</v>
      </c>
      <c r="J4173" s="738">
        <v>0</v>
      </c>
      <c r="K4173" s="738">
        <v>0</v>
      </c>
      <c r="L4173" s="738">
        <v>0</v>
      </c>
      <c r="M4173" s="738">
        <v>0</v>
      </c>
      <c r="N4173" s="738">
        <v>0</v>
      </c>
      <c r="O4173" s="738">
        <v>0</v>
      </c>
      <c r="P4173" s="738">
        <v>0</v>
      </c>
    </row>
    <row r="4174" spans="1:16" ht="15.75" thickBot="1">
      <c r="A4174" s="727">
        <v>5</v>
      </c>
      <c r="B4174" s="727" t="s">
        <v>12822</v>
      </c>
      <c r="C4174" s="727" t="s">
        <v>12827</v>
      </c>
      <c r="D4174" s="727" t="s">
        <v>12829</v>
      </c>
      <c r="E4174" s="727"/>
      <c r="F4174" s="729" t="s">
        <v>12828</v>
      </c>
      <c r="G4174" s="738">
        <v>0</v>
      </c>
      <c r="H4174" s="738">
        <v>0</v>
      </c>
      <c r="I4174" s="738">
        <v>0</v>
      </c>
      <c r="J4174" s="738">
        <v>0</v>
      </c>
      <c r="K4174" s="738">
        <v>0</v>
      </c>
      <c r="L4174" s="738">
        <v>0</v>
      </c>
      <c r="M4174" s="738">
        <v>0</v>
      </c>
      <c r="N4174" s="738">
        <v>0</v>
      </c>
      <c r="O4174" s="738">
        <v>0</v>
      </c>
      <c r="P4174" s="738">
        <v>0</v>
      </c>
    </row>
    <row r="4175" spans="1:16" ht="15.75" thickBot="1">
      <c r="A4175">
        <v>5</v>
      </c>
      <c r="B4175" t="s">
        <v>12822</v>
      </c>
      <c r="C4175" t="s">
        <v>12827</v>
      </c>
      <c r="D4175" t="s">
        <v>12829</v>
      </c>
      <c r="E4175" t="s">
        <v>10186</v>
      </c>
      <c r="F4175" t="s">
        <v>10187</v>
      </c>
      <c r="G4175" s="712">
        <v>0</v>
      </c>
      <c r="H4175">
        <v>0</v>
      </c>
      <c r="I4175" s="713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</row>
    <row r="4176" spans="1:16" ht="15.75" thickBot="1">
      <c r="A4176" s="727">
        <v>5</v>
      </c>
      <c r="B4176" s="727" t="s">
        <v>12822</v>
      </c>
      <c r="C4176" s="727" t="s">
        <v>12830</v>
      </c>
      <c r="D4176" s="727"/>
      <c r="E4176" s="727"/>
      <c r="F4176" s="745" t="s">
        <v>12831</v>
      </c>
      <c r="G4176" s="738">
        <v>0</v>
      </c>
      <c r="H4176" s="738">
        <v>0</v>
      </c>
      <c r="I4176" s="738">
        <v>0</v>
      </c>
      <c r="J4176" s="739">
        <v>3722694.68</v>
      </c>
      <c r="K4176" s="738">
        <v>0</v>
      </c>
      <c r="L4176" s="738">
        <v>0</v>
      </c>
      <c r="M4176" s="738">
        <v>0</v>
      </c>
      <c r="N4176" s="739">
        <v>3722694.68</v>
      </c>
      <c r="O4176" s="738">
        <v>0</v>
      </c>
      <c r="P4176" s="739">
        <v>3722694.68</v>
      </c>
    </row>
    <row r="4177" spans="1:16" ht="15.75" thickBot="1">
      <c r="A4177" s="727">
        <v>5</v>
      </c>
      <c r="B4177" s="727" t="s">
        <v>12822</v>
      </c>
      <c r="C4177" s="727" t="s">
        <v>12830</v>
      </c>
      <c r="D4177" s="727" t="s">
        <v>12832</v>
      </c>
      <c r="E4177" s="727"/>
      <c r="F4177" s="729" t="s">
        <v>12833</v>
      </c>
      <c r="G4177" s="738">
        <v>0</v>
      </c>
      <c r="H4177" s="738">
        <v>0</v>
      </c>
      <c r="I4177" s="738">
        <v>0</v>
      </c>
      <c r="J4177" s="738">
        <v>0</v>
      </c>
      <c r="K4177" s="738">
        <v>0</v>
      </c>
      <c r="L4177" s="738">
        <v>0</v>
      </c>
      <c r="M4177" s="738">
        <v>0</v>
      </c>
      <c r="N4177" s="738">
        <v>0</v>
      </c>
      <c r="O4177" s="738">
        <v>0</v>
      </c>
      <c r="P4177" s="738">
        <v>0</v>
      </c>
    </row>
    <row r="4178" spans="1:16">
      <c r="A4178">
        <v>5</v>
      </c>
      <c r="B4178" t="s">
        <v>12822</v>
      </c>
      <c r="C4178" t="s">
        <v>12830</v>
      </c>
      <c r="D4178" t="s">
        <v>12832</v>
      </c>
      <c r="E4178" t="s">
        <v>12834</v>
      </c>
      <c r="F4178" t="s">
        <v>12833</v>
      </c>
      <c r="G4178" s="712">
        <v>0</v>
      </c>
      <c r="H4178">
        <v>0</v>
      </c>
      <c r="I4178" s="713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</row>
    <row r="4179" spans="1:16">
      <c r="A4179">
        <v>5</v>
      </c>
      <c r="B4179" t="s">
        <v>12822</v>
      </c>
      <c r="C4179" t="s">
        <v>12830</v>
      </c>
      <c r="D4179" t="s">
        <v>12832</v>
      </c>
      <c r="E4179" t="s">
        <v>10200</v>
      </c>
      <c r="F4179" t="s">
        <v>10201</v>
      </c>
      <c r="G4179" s="712">
        <v>0</v>
      </c>
      <c r="H4179">
        <v>0</v>
      </c>
      <c r="I4179" s="713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</row>
    <row r="4180" spans="1:16">
      <c r="A4180">
        <v>5</v>
      </c>
      <c r="B4180" t="s">
        <v>12822</v>
      </c>
      <c r="C4180" t="s">
        <v>12830</v>
      </c>
      <c r="D4180" t="s">
        <v>12832</v>
      </c>
      <c r="E4180" t="s">
        <v>10203</v>
      </c>
      <c r="F4180" t="s">
        <v>10204</v>
      </c>
      <c r="G4180" s="712">
        <v>0</v>
      </c>
      <c r="H4180">
        <v>0</v>
      </c>
      <c r="I4180" s="713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</row>
    <row r="4181" spans="1:16">
      <c r="A4181">
        <v>5</v>
      </c>
      <c r="B4181" t="s">
        <v>12822</v>
      </c>
      <c r="C4181" t="s">
        <v>12830</v>
      </c>
      <c r="D4181" t="s">
        <v>12832</v>
      </c>
      <c r="E4181" t="s">
        <v>10205</v>
      </c>
      <c r="F4181" t="s">
        <v>10206</v>
      </c>
      <c r="G4181" s="712">
        <v>0</v>
      </c>
      <c r="H4181">
        <v>0</v>
      </c>
      <c r="I4181" s="713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</row>
    <row r="4182" spans="1:16">
      <c r="A4182">
        <v>5</v>
      </c>
      <c r="B4182" t="s">
        <v>12822</v>
      </c>
      <c r="C4182" t="s">
        <v>12830</v>
      </c>
      <c r="D4182" t="s">
        <v>12832</v>
      </c>
      <c r="E4182" t="s">
        <v>10207</v>
      </c>
      <c r="F4182" t="s">
        <v>10208</v>
      </c>
      <c r="G4182" s="712">
        <v>0</v>
      </c>
      <c r="H4182">
        <v>0</v>
      </c>
      <c r="I4182" s="713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</row>
    <row r="4183" spans="1:16">
      <c r="A4183">
        <v>5</v>
      </c>
      <c r="B4183" t="s">
        <v>12822</v>
      </c>
      <c r="C4183" t="s">
        <v>12830</v>
      </c>
      <c r="D4183" t="s">
        <v>12832</v>
      </c>
      <c r="E4183" t="s">
        <v>10209</v>
      </c>
      <c r="F4183" t="s">
        <v>10210</v>
      </c>
      <c r="G4183" s="712">
        <v>0</v>
      </c>
      <c r="H4183">
        <v>0</v>
      </c>
      <c r="I4183" s="71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</row>
    <row r="4184" spans="1:16">
      <c r="A4184">
        <v>5</v>
      </c>
      <c r="B4184" t="s">
        <v>12822</v>
      </c>
      <c r="C4184" t="s">
        <v>12830</v>
      </c>
      <c r="D4184" t="s">
        <v>12832</v>
      </c>
      <c r="E4184" t="s">
        <v>10212</v>
      </c>
      <c r="F4184" t="s">
        <v>10213</v>
      </c>
      <c r="G4184" s="712">
        <v>0</v>
      </c>
      <c r="H4184">
        <v>0</v>
      </c>
      <c r="I4184" s="713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</row>
    <row r="4185" spans="1:16">
      <c r="A4185">
        <v>5</v>
      </c>
      <c r="B4185" t="s">
        <v>12822</v>
      </c>
      <c r="C4185" t="s">
        <v>12830</v>
      </c>
      <c r="D4185" t="s">
        <v>12832</v>
      </c>
      <c r="E4185" t="s">
        <v>10215</v>
      </c>
      <c r="F4185" t="s">
        <v>10216</v>
      </c>
      <c r="G4185" s="712">
        <v>0</v>
      </c>
      <c r="H4185">
        <v>0</v>
      </c>
      <c r="I4185" s="713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</row>
    <row r="4186" spans="1:16">
      <c r="A4186">
        <v>5</v>
      </c>
      <c r="B4186" t="s">
        <v>12822</v>
      </c>
      <c r="C4186" t="s">
        <v>12830</v>
      </c>
      <c r="D4186" t="s">
        <v>12832</v>
      </c>
      <c r="E4186" t="s">
        <v>10218</v>
      </c>
      <c r="F4186" t="s">
        <v>10219</v>
      </c>
      <c r="G4186" s="712">
        <v>0</v>
      </c>
      <c r="H4186">
        <v>0</v>
      </c>
      <c r="I4186" s="713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</row>
    <row r="4187" spans="1:16">
      <c r="A4187">
        <v>5</v>
      </c>
      <c r="B4187" t="s">
        <v>12822</v>
      </c>
      <c r="C4187" t="s">
        <v>12830</v>
      </c>
      <c r="D4187" t="s">
        <v>12832</v>
      </c>
      <c r="E4187" t="s">
        <v>10221</v>
      </c>
      <c r="F4187" t="s">
        <v>10222</v>
      </c>
      <c r="G4187" s="712">
        <v>0</v>
      </c>
      <c r="H4187">
        <v>0</v>
      </c>
      <c r="I4187" s="713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</row>
    <row r="4188" spans="1:16">
      <c r="A4188">
        <v>5</v>
      </c>
      <c r="B4188" t="s">
        <v>12822</v>
      </c>
      <c r="C4188" t="s">
        <v>12830</v>
      </c>
      <c r="D4188" t="s">
        <v>12832</v>
      </c>
      <c r="E4188" t="s">
        <v>12835</v>
      </c>
      <c r="F4188" t="s">
        <v>12836</v>
      </c>
      <c r="G4188" s="712">
        <v>0</v>
      </c>
      <c r="H4188">
        <v>0</v>
      </c>
      <c r="I4188" s="713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</row>
    <row r="4189" spans="1:16">
      <c r="A4189">
        <v>5</v>
      </c>
      <c r="B4189" t="s">
        <v>12822</v>
      </c>
      <c r="C4189" t="s">
        <v>12830</v>
      </c>
      <c r="D4189" t="s">
        <v>12832</v>
      </c>
      <c r="E4189" t="s">
        <v>12837</v>
      </c>
      <c r="F4189" t="s">
        <v>12838</v>
      </c>
      <c r="G4189" s="712">
        <v>0</v>
      </c>
      <c r="H4189">
        <v>0</v>
      </c>
      <c r="I4189" s="713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</row>
    <row r="4190" spans="1:16">
      <c r="A4190">
        <v>5</v>
      </c>
      <c r="B4190" t="s">
        <v>12822</v>
      </c>
      <c r="C4190" t="s">
        <v>12830</v>
      </c>
      <c r="D4190" t="s">
        <v>12832</v>
      </c>
      <c r="E4190" t="s">
        <v>10224</v>
      </c>
      <c r="F4190" t="s">
        <v>10225</v>
      </c>
      <c r="G4190" s="712">
        <v>0</v>
      </c>
      <c r="H4190">
        <v>0</v>
      </c>
      <c r="I4190" s="713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</row>
    <row r="4191" spans="1:16">
      <c r="A4191">
        <v>5</v>
      </c>
      <c r="B4191" t="s">
        <v>12822</v>
      </c>
      <c r="C4191" t="s">
        <v>12830</v>
      </c>
      <c r="D4191" t="s">
        <v>12832</v>
      </c>
      <c r="E4191" t="s">
        <v>10227</v>
      </c>
      <c r="F4191" t="s">
        <v>10228</v>
      </c>
      <c r="G4191" s="712">
        <v>0</v>
      </c>
      <c r="H4191">
        <v>0</v>
      </c>
      <c r="I4191" s="713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</row>
    <row r="4192" spans="1:16">
      <c r="A4192">
        <v>5</v>
      </c>
      <c r="B4192" t="s">
        <v>12822</v>
      </c>
      <c r="C4192" t="s">
        <v>12830</v>
      </c>
      <c r="D4192" t="s">
        <v>12832</v>
      </c>
      <c r="E4192" t="s">
        <v>10230</v>
      </c>
      <c r="F4192" t="s">
        <v>10231</v>
      </c>
      <c r="G4192" s="712">
        <v>0</v>
      </c>
      <c r="H4192">
        <v>0</v>
      </c>
      <c r="I4192" s="713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</row>
    <row r="4193" spans="1:16">
      <c r="A4193">
        <v>5</v>
      </c>
      <c r="B4193" t="s">
        <v>12822</v>
      </c>
      <c r="C4193" t="s">
        <v>12830</v>
      </c>
      <c r="D4193" t="s">
        <v>12832</v>
      </c>
      <c r="E4193" t="s">
        <v>10233</v>
      </c>
      <c r="F4193" t="s">
        <v>10234</v>
      </c>
      <c r="G4193" s="712">
        <v>0</v>
      </c>
      <c r="H4193">
        <v>0</v>
      </c>
      <c r="I4193" s="71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</row>
    <row r="4194" spans="1:16" ht="15.75" thickBot="1">
      <c r="A4194">
        <v>5</v>
      </c>
      <c r="B4194" t="s">
        <v>12822</v>
      </c>
      <c r="C4194" t="s">
        <v>12830</v>
      </c>
      <c r="D4194" t="s">
        <v>12832</v>
      </c>
      <c r="E4194" t="s">
        <v>10236</v>
      </c>
      <c r="F4194" t="s">
        <v>10237</v>
      </c>
      <c r="G4194" s="712">
        <v>0</v>
      </c>
      <c r="H4194">
        <v>0</v>
      </c>
      <c r="I4194" s="713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</row>
    <row r="4195" spans="1:16" ht="15.75" thickBot="1">
      <c r="A4195" s="727">
        <v>5</v>
      </c>
      <c r="B4195" s="727" t="s">
        <v>12822</v>
      </c>
      <c r="C4195" s="727" t="s">
        <v>12830</v>
      </c>
      <c r="D4195" s="727" t="s">
        <v>12839</v>
      </c>
      <c r="E4195" s="727"/>
      <c r="F4195" s="729" t="s">
        <v>10241</v>
      </c>
      <c r="G4195" s="738">
        <v>0</v>
      </c>
      <c r="H4195" s="738">
        <v>0</v>
      </c>
      <c r="I4195" s="738">
        <v>0</v>
      </c>
      <c r="J4195" s="738">
        <v>0</v>
      </c>
      <c r="K4195" s="738">
        <v>0</v>
      </c>
      <c r="L4195" s="738">
        <v>0</v>
      </c>
      <c r="M4195" s="738">
        <v>0</v>
      </c>
      <c r="N4195" s="738">
        <v>0</v>
      </c>
      <c r="O4195" s="738">
        <v>0</v>
      </c>
      <c r="P4195" s="738">
        <v>0</v>
      </c>
    </row>
    <row r="4196" spans="1:16" ht="15.75" thickBot="1">
      <c r="A4196">
        <v>5</v>
      </c>
      <c r="B4196" t="s">
        <v>12822</v>
      </c>
      <c r="C4196" t="s">
        <v>12830</v>
      </c>
      <c r="D4196" t="s">
        <v>12839</v>
      </c>
      <c r="E4196" t="s">
        <v>10240</v>
      </c>
      <c r="F4196" t="s">
        <v>10241</v>
      </c>
      <c r="G4196" s="712">
        <v>0</v>
      </c>
      <c r="H4196">
        <v>0</v>
      </c>
      <c r="I4196" s="713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</row>
    <row r="4197" spans="1:16" ht="15.75" thickBot="1">
      <c r="A4197" s="727">
        <v>5</v>
      </c>
      <c r="B4197" s="727" t="s">
        <v>12822</v>
      </c>
      <c r="C4197" s="727" t="s">
        <v>12830</v>
      </c>
      <c r="D4197" s="727" t="s">
        <v>12840</v>
      </c>
      <c r="E4197" s="727"/>
      <c r="F4197" s="729" t="s">
        <v>10246</v>
      </c>
      <c r="G4197" s="738">
        <v>0</v>
      </c>
      <c r="H4197" s="738">
        <v>0</v>
      </c>
      <c r="I4197" s="738">
        <v>0</v>
      </c>
      <c r="J4197" s="739">
        <v>3712694.68</v>
      </c>
      <c r="K4197" s="738">
        <v>0</v>
      </c>
      <c r="L4197" s="738">
        <v>0</v>
      </c>
      <c r="M4197" s="738">
        <v>0</v>
      </c>
      <c r="N4197" s="739">
        <v>3712694.68</v>
      </c>
      <c r="O4197" s="738">
        <v>0</v>
      </c>
      <c r="P4197" s="739">
        <v>3712694.68</v>
      </c>
    </row>
    <row r="4198" spans="1:16" ht="15.75" thickBot="1">
      <c r="A4198">
        <v>5</v>
      </c>
      <c r="B4198" t="s">
        <v>12822</v>
      </c>
      <c r="C4198" t="s">
        <v>12830</v>
      </c>
      <c r="D4198" t="s">
        <v>12840</v>
      </c>
      <c r="E4198" t="s">
        <v>10245</v>
      </c>
      <c r="F4198" t="s">
        <v>10246</v>
      </c>
      <c r="G4198" s="712">
        <v>0</v>
      </c>
      <c r="H4198">
        <v>0</v>
      </c>
      <c r="I4198" s="713">
        <v>0</v>
      </c>
      <c r="J4198" s="711">
        <v>3712694.68</v>
      </c>
      <c r="K4198">
        <v>0</v>
      </c>
      <c r="L4198">
        <v>0</v>
      </c>
      <c r="M4198">
        <v>0</v>
      </c>
      <c r="N4198" s="711">
        <v>3712694.68</v>
      </c>
      <c r="O4198">
        <v>0</v>
      </c>
      <c r="P4198" s="711">
        <v>3712694.68</v>
      </c>
    </row>
    <row r="4199" spans="1:16" ht="15.75" thickBot="1">
      <c r="A4199" s="727">
        <v>5</v>
      </c>
      <c r="B4199" s="727" t="s">
        <v>12822</v>
      </c>
      <c r="C4199" s="727" t="s">
        <v>12830</v>
      </c>
      <c r="D4199" s="727" t="s">
        <v>12841</v>
      </c>
      <c r="E4199" s="727"/>
      <c r="F4199" s="729" t="s">
        <v>10252</v>
      </c>
      <c r="G4199" s="738">
        <v>0</v>
      </c>
      <c r="H4199" s="738">
        <v>0</v>
      </c>
      <c r="I4199" s="738">
        <v>0</v>
      </c>
      <c r="J4199" s="739">
        <v>10000</v>
      </c>
      <c r="K4199" s="738">
        <v>0</v>
      </c>
      <c r="L4199" s="738">
        <v>0</v>
      </c>
      <c r="M4199" s="738">
        <v>0</v>
      </c>
      <c r="N4199" s="739">
        <v>10000</v>
      </c>
      <c r="O4199" s="738">
        <v>0</v>
      </c>
      <c r="P4199" s="739">
        <v>10000</v>
      </c>
    </row>
    <row r="4200" spans="1:16" ht="15.75" thickBot="1">
      <c r="A4200">
        <v>5</v>
      </c>
      <c r="B4200" t="s">
        <v>12822</v>
      </c>
      <c r="C4200" t="s">
        <v>12830</v>
      </c>
      <c r="D4200" t="s">
        <v>12841</v>
      </c>
      <c r="E4200" t="s">
        <v>10251</v>
      </c>
      <c r="F4200" t="s">
        <v>10252</v>
      </c>
      <c r="G4200" s="712">
        <v>0</v>
      </c>
      <c r="H4200">
        <v>0</v>
      </c>
      <c r="I4200" s="713">
        <v>0</v>
      </c>
      <c r="J4200" s="711">
        <v>10000</v>
      </c>
      <c r="K4200">
        <v>0</v>
      </c>
      <c r="L4200">
        <v>0</v>
      </c>
      <c r="M4200">
        <v>0</v>
      </c>
      <c r="N4200" s="711">
        <v>10000</v>
      </c>
      <c r="O4200">
        <v>0</v>
      </c>
      <c r="P4200" s="711">
        <v>10000</v>
      </c>
    </row>
    <row r="4201" spans="1:16" ht="15.75" thickBot="1">
      <c r="A4201" s="727">
        <v>5</v>
      </c>
      <c r="B4201" s="727" t="s">
        <v>12822</v>
      </c>
      <c r="C4201" s="727" t="s">
        <v>12830</v>
      </c>
      <c r="D4201" s="727" t="s">
        <v>12842</v>
      </c>
      <c r="E4201" s="727"/>
      <c r="F4201" s="729" t="s">
        <v>10193</v>
      </c>
      <c r="G4201" s="738">
        <v>0</v>
      </c>
      <c r="H4201" s="738">
        <v>0</v>
      </c>
      <c r="I4201" s="738">
        <v>0</v>
      </c>
      <c r="J4201" s="738">
        <v>0</v>
      </c>
      <c r="K4201" s="738">
        <v>0</v>
      </c>
      <c r="L4201" s="738">
        <v>0</v>
      </c>
      <c r="M4201" s="738">
        <v>0</v>
      </c>
      <c r="N4201" s="738">
        <v>0</v>
      </c>
      <c r="O4201" s="738">
        <v>0</v>
      </c>
      <c r="P4201" s="738">
        <v>0</v>
      </c>
    </row>
    <row r="4202" spans="1:16" ht="15.75" thickBot="1">
      <c r="A4202">
        <v>5</v>
      </c>
      <c r="B4202" t="s">
        <v>12822</v>
      </c>
      <c r="C4202" t="s">
        <v>12830</v>
      </c>
      <c r="D4202" t="s">
        <v>12842</v>
      </c>
      <c r="E4202" t="s">
        <v>10196</v>
      </c>
      <c r="F4202" t="s">
        <v>10193</v>
      </c>
      <c r="G4202" s="712">
        <v>0</v>
      </c>
      <c r="H4202">
        <v>0</v>
      </c>
      <c r="I4202" s="713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</row>
    <row r="4203" spans="1:16" ht="15.75" thickBot="1">
      <c r="A4203" s="727">
        <v>5</v>
      </c>
      <c r="B4203" s="727" t="s">
        <v>12822</v>
      </c>
      <c r="C4203" s="727" t="s">
        <v>12830</v>
      </c>
      <c r="D4203" s="727" t="s">
        <v>12843</v>
      </c>
      <c r="E4203" s="727"/>
      <c r="F4203" s="729" t="s">
        <v>10254</v>
      </c>
      <c r="G4203" s="738">
        <v>0</v>
      </c>
      <c r="H4203" s="738">
        <v>0</v>
      </c>
      <c r="I4203" s="738">
        <v>0</v>
      </c>
      <c r="J4203" s="738">
        <v>0</v>
      </c>
      <c r="K4203" s="738">
        <v>0</v>
      </c>
      <c r="L4203" s="738">
        <v>0</v>
      </c>
      <c r="M4203" s="738">
        <v>0</v>
      </c>
      <c r="N4203" s="738">
        <v>0</v>
      </c>
      <c r="O4203" s="738">
        <v>0</v>
      </c>
      <c r="P4203" s="738">
        <v>0</v>
      </c>
    </row>
    <row r="4204" spans="1:16" ht="15.75" thickBot="1">
      <c r="A4204">
        <v>5</v>
      </c>
      <c r="B4204" t="s">
        <v>12822</v>
      </c>
      <c r="C4204" t="s">
        <v>12830</v>
      </c>
      <c r="D4204" t="s">
        <v>12843</v>
      </c>
      <c r="E4204" t="s">
        <v>10257</v>
      </c>
      <c r="F4204" t="s">
        <v>10254</v>
      </c>
      <c r="G4204" s="712">
        <v>0</v>
      </c>
      <c r="H4204">
        <v>0</v>
      </c>
      <c r="I4204" s="713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</row>
    <row r="4205" spans="1:16" ht="15.75" thickBot="1">
      <c r="A4205" s="727">
        <v>5</v>
      </c>
      <c r="B4205" s="727" t="s">
        <v>12822</v>
      </c>
      <c r="C4205" s="727" t="s">
        <v>12844</v>
      </c>
      <c r="D4205" s="727"/>
      <c r="E4205" s="727"/>
      <c r="F4205" s="745" t="s">
        <v>10311</v>
      </c>
      <c r="G4205" s="738">
        <v>0</v>
      </c>
      <c r="H4205" s="738">
        <v>0</v>
      </c>
      <c r="I4205" s="738">
        <v>0</v>
      </c>
      <c r="J4205" s="739">
        <v>3430913.69</v>
      </c>
      <c r="K4205" s="738">
        <v>0</v>
      </c>
      <c r="L4205" s="738">
        <v>0</v>
      </c>
      <c r="M4205" s="738">
        <v>0</v>
      </c>
      <c r="N4205" s="739">
        <v>3430913.69</v>
      </c>
      <c r="O4205" s="738">
        <v>0</v>
      </c>
      <c r="P4205" s="739">
        <v>3430913.69</v>
      </c>
    </row>
    <row r="4206" spans="1:16" ht="15.75" thickBot="1">
      <c r="A4206" s="727">
        <v>5</v>
      </c>
      <c r="B4206" s="727" t="s">
        <v>12822</v>
      </c>
      <c r="C4206" s="727" t="s">
        <v>12844</v>
      </c>
      <c r="D4206" s="727" t="s">
        <v>12845</v>
      </c>
      <c r="E4206" s="727"/>
      <c r="F4206" s="729" t="s">
        <v>12846</v>
      </c>
      <c r="G4206" s="738">
        <v>0</v>
      </c>
      <c r="H4206" s="738">
        <v>0</v>
      </c>
      <c r="I4206" s="738">
        <v>0</v>
      </c>
      <c r="J4206" s="738">
        <v>0</v>
      </c>
      <c r="K4206" s="738">
        <v>0</v>
      </c>
      <c r="L4206" s="738">
        <v>0</v>
      </c>
      <c r="M4206" s="738">
        <v>0</v>
      </c>
      <c r="N4206" s="738">
        <v>0</v>
      </c>
      <c r="O4206" s="738">
        <v>0</v>
      </c>
      <c r="P4206" s="738">
        <v>0</v>
      </c>
    </row>
    <row r="4207" spans="1:16" ht="15.75" thickBot="1">
      <c r="A4207">
        <v>5</v>
      </c>
      <c r="B4207" t="s">
        <v>12822</v>
      </c>
      <c r="C4207" t="s">
        <v>12844</v>
      </c>
      <c r="D4207" t="s">
        <v>12845</v>
      </c>
      <c r="E4207" t="s">
        <v>12847</v>
      </c>
      <c r="F4207" t="s">
        <v>12846</v>
      </c>
      <c r="G4207" s="712">
        <v>0</v>
      </c>
      <c r="H4207">
        <v>0</v>
      </c>
      <c r="I4207" s="713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</row>
    <row r="4208" spans="1:16" ht="15.75" thickBot="1">
      <c r="A4208" s="727">
        <v>5</v>
      </c>
      <c r="B4208" s="727" t="s">
        <v>12822</v>
      </c>
      <c r="C4208" s="727" t="s">
        <v>12844</v>
      </c>
      <c r="D4208" s="727" t="s">
        <v>12848</v>
      </c>
      <c r="E4208" s="727"/>
      <c r="F4208" s="729" t="s">
        <v>10265</v>
      </c>
      <c r="G4208" s="738">
        <v>0</v>
      </c>
      <c r="H4208" s="738">
        <v>0</v>
      </c>
      <c r="I4208" s="738">
        <v>0</v>
      </c>
      <c r="J4208" s="738">
        <v>0</v>
      </c>
      <c r="K4208" s="738">
        <v>0</v>
      </c>
      <c r="L4208" s="738">
        <v>0</v>
      </c>
      <c r="M4208" s="738">
        <v>0</v>
      </c>
      <c r="N4208" s="738">
        <v>0</v>
      </c>
      <c r="O4208" s="738">
        <v>0</v>
      </c>
      <c r="P4208" s="738">
        <v>0</v>
      </c>
    </row>
    <row r="4209" spans="1:16" ht="15.75" thickBot="1">
      <c r="A4209">
        <v>5</v>
      </c>
      <c r="B4209" t="s">
        <v>12822</v>
      </c>
      <c r="C4209" t="s">
        <v>12844</v>
      </c>
      <c r="D4209" t="s">
        <v>12848</v>
      </c>
      <c r="E4209" t="s">
        <v>10264</v>
      </c>
      <c r="F4209" t="s">
        <v>10265</v>
      </c>
      <c r="G4209" s="712">
        <v>0</v>
      </c>
      <c r="H4209">
        <v>0</v>
      </c>
      <c r="I4209" s="713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</row>
    <row r="4210" spans="1:16" ht="15.75" thickBot="1">
      <c r="A4210" s="727">
        <v>5</v>
      </c>
      <c r="B4210" s="727" t="s">
        <v>12822</v>
      </c>
      <c r="C4210" s="727" t="s">
        <v>12844</v>
      </c>
      <c r="D4210" s="727" t="s">
        <v>12849</v>
      </c>
      <c r="E4210" s="727"/>
      <c r="F4210" s="729" t="s">
        <v>10270</v>
      </c>
      <c r="G4210" s="738">
        <v>0</v>
      </c>
      <c r="H4210" s="738">
        <v>0</v>
      </c>
      <c r="I4210" s="738">
        <v>0</v>
      </c>
      <c r="J4210" s="738">
        <v>0</v>
      </c>
      <c r="K4210" s="738">
        <v>0</v>
      </c>
      <c r="L4210" s="738">
        <v>0</v>
      </c>
      <c r="M4210" s="738">
        <v>0</v>
      </c>
      <c r="N4210" s="738">
        <v>0</v>
      </c>
      <c r="O4210" s="738">
        <v>0</v>
      </c>
      <c r="P4210" s="738">
        <v>0</v>
      </c>
    </row>
    <row r="4211" spans="1:16" ht="15.75" thickBot="1">
      <c r="A4211">
        <v>5</v>
      </c>
      <c r="B4211" t="s">
        <v>12822</v>
      </c>
      <c r="C4211" t="s">
        <v>12844</v>
      </c>
      <c r="D4211" t="s">
        <v>12849</v>
      </c>
      <c r="E4211" t="s">
        <v>10269</v>
      </c>
      <c r="F4211" t="s">
        <v>10270</v>
      </c>
      <c r="G4211" s="712">
        <v>0</v>
      </c>
      <c r="H4211">
        <v>0</v>
      </c>
      <c r="I4211" s="713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</row>
    <row r="4212" spans="1:16" ht="15.75" thickBot="1">
      <c r="A4212" s="727">
        <v>5</v>
      </c>
      <c r="B4212" s="727" t="s">
        <v>12822</v>
      </c>
      <c r="C4212" s="727" t="s">
        <v>12844</v>
      </c>
      <c r="D4212" s="727" t="s">
        <v>12850</v>
      </c>
      <c r="E4212" s="727"/>
      <c r="F4212" s="729" t="s">
        <v>10275</v>
      </c>
      <c r="G4212" s="738">
        <v>0</v>
      </c>
      <c r="H4212" s="738">
        <v>0</v>
      </c>
      <c r="I4212" s="738">
        <v>0</v>
      </c>
      <c r="J4212" s="739">
        <v>1079971.29</v>
      </c>
      <c r="K4212" s="738">
        <v>0</v>
      </c>
      <c r="L4212" s="738">
        <v>0</v>
      </c>
      <c r="M4212" s="738">
        <v>0</v>
      </c>
      <c r="N4212" s="739">
        <v>1079971.29</v>
      </c>
      <c r="O4212" s="738">
        <v>0</v>
      </c>
      <c r="P4212" s="739">
        <v>1079971.29</v>
      </c>
    </row>
    <row r="4213" spans="1:16" ht="15.75" thickBot="1">
      <c r="A4213">
        <v>5</v>
      </c>
      <c r="B4213" t="s">
        <v>12822</v>
      </c>
      <c r="C4213" t="s">
        <v>12844</v>
      </c>
      <c r="D4213" t="s">
        <v>12850</v>
      </c>
      <c r="E4213" t="s">
        <v>10274</v>
      </c>
      <c r="F4213" t="s">
        <v>10275</v>
      </c>
      <c r="G4213" s="712">
        <v>0</v>
      </c>
      <c r="H4213">
        <v>0</v>
      </c>
      <c r="I4213" s="713">
        <v>0</v>
      </c>
      <c r="J4213" s="711">
        <v>1079971.29</v>
      </c>
      <c r="K4213">
        <v>0</v>
      </c>
      <c r="L4213">
        <v>0</v>
      </c>
      <c r="M4213">
        <v>0</v>
      </c>
      <c r="N4213" s="711">
        <v>1079971.29</v>
      </c>
      <c r="O4213">
        <v>0</v>
      </c>
      <c r="P4213" s="711">
        <v>1079971.29</v>
      </c>
    </row>
    <row r="4214" spans="1:16" ht="15.75" thickBot="1">
      <c r="A4214" s="727">
        <v>5</v>
      </c>
      <c r="B4214" s="727" t="s">
        <v>12822</v>
      </c>
      <c r="C4214" s="727" t="s">
        <v>12844</v>
      </c>
      <c r="D4214" s="727" t="s">
        <v>12851</v>
      </c>
      <c r="E4214" s="727"/>
      <c r="F4214" s="729" t="s">
        <v>10281</v>
      </c>
      <c r="G4214" s="738">
        <v>0</v>
      </c>
      <c r="H4214" s="738">
        <v>0</v>
      </c>
      <c r="I4214" s="738">
        <v>0</v>
      </c>
      <c r="J4214" s="739">
        <v>95159.27</v>
      </c>
      <c r="K4214" s="738">
        <v>0</v>
      </c>
      <c r="L4214" s="738">
        <v>0</v>
      </c>
      <c r="M4214" s="738">
        <v>0</v>
      </c>
      <c r="N4214" s="739">
        <v>95159.27</v>
      </c>
      <c r="O4214" s="738">
        <v>0</v>
      </c>
      <c r="P4214" s="739">
        <v>95159.27</v>
      </c>
    </row>
    <row r="4215" spans="1:16" ht="15.75" thickBot="1">
      <c r="A4215">
        <v>5</v>
      </c>
      <c r="B4215" t="s">
        <v>12822</v>
      </c>
      <c r="C4215" t="s">
        <v>12844</v>
      </c>
      <c r="D4215" t="s">
        <v>12851</v>
      </c>
      <c r="E4215" t="s">
        <v>10280</v>
      </c>
      <c r="F4215" t="s">
        <v>10281</v>
      </c>
      <c r="G4215" s="712">
        <v>0</v>
      </c>
      <c r="H4215">
        <v>0</v>
      </c>
      <c r="I4215" s="713">
        <v>0</v>
      </c>
      <c r="J4215" s="711">
        <v>95159.27</v>
      </c>
      <c r="K4215">
        <v>0</v>
      </c>
      <c r="L4215">
        <v>0</v>
      </c>
      <c r="M4215">
        <v>0</v>
      </c>
      <c r="N4215" s="711">
        <v>95159.27</v>
      </c>
      <c r="O4215">
        <v>0</v>
      </c>
      <c r="P4215" s="711">
        <v>95159.27</v>
      </c>
    </row>
    <row r="4216" spans="1:16" ht="15.75" thickBot="1">
      <c r="A4216" s="727">
        <v>5</v>
      </c>
      <c r="B4216" s="727" t="s">
        <v>12822</v>
      </c>
      <c r="C4216" s="727" t="s">
        <v>12844</v>
      </c>
      <c r="D4216" s="727" t="s">
        <v>12852</v>
      </c>
      <c r="E4216" s="727"/>
      <c r="F4216" s="729" t="s">
        <v>10286</v>
      </c>
      <c r="G4216" s="738">
        <v>0</v>
      </c>
      <c r="H4216" s="738">
        <v>0</v>
      </c>
      <c r="I4216" s="738">
        <v>0</v>
      </c>
      <c r="J4216" s="739">
        <v>1665783.13</v>
      </c>
      <c r="K4216" s="738">
        <v>0</v>
      </c>
      <c r="L4216" s="738">
        <v>0</v>
      </c>
      <c r="M4216" s="738">
        <v>0</v>
      </c>
      <c r="N4216" s="739">
        <v>1665783.13</v>
      </c>
      <c r="O4216" s="738">
        <v>0</v>
      </c>
      <c r="P4216" s="739">
        <v>1665783.13</v>
      </c>
    </row>
    <row r="4217" spans="1:16" ht="15.75" thickBot="1">
      <c r="A4217">
        <v>5</v>
      </c>
      <c r="B4217" t="s">
        <v>12822</v>
      </c>
      <c r="C4217" t="s">
        <v>12844</v>
      </c>
      <c r="D4217" t="s">
        <v>12852</v>
      </c>
      <c r="E4217" t="s">
        <v>10285</v>
      </c>
      <c r="F4217" t="s">
        <v>10286</v>
      </c>
      <c r="G4217" s="712">
        <v>0</v>
      </c>
      <c r="H4217">
        <v>0</v>
      </c>
      <c r="I4217" s="713">
        <v>0</v>
      </c>
      <c r="J4217" s="711">
        <v>1665783.13</v>
      </c>
      <c r="K4217">
        <v>0</v>
      </c>
      <c r="L4217">
        <v>0</v>
      </c>
      <c r="M4217">
        <v>0</v>
      </c>
      <c r="N4217" s="711">
        <v>1665783.13</v>
      </c>
      <c r="O4217">
        <v>0</v>
      </c>
      <c r="P4217" s="711">
        <v>1665783.13</v>
      </c>
    </row>
    <row r="4218" spans="1:16" ht="15.75" thickBot="1">
      <c r="A4218" s="727">
        <v>5</v>
      </c>
      <c r="B4218" s="727" t="s">
        <v>12822</v>
      </c>
      <c r="C4218" s="727" t="s">
        <v>12844</v>
      </c>
      <c r="D4218" s="727" t="s">
        <v>12853</v>
      </c>
      <c r="E4218" s="727"/>
      <c r="F4218" s="729" t="s">
        <v>10311</v>
      </c>
      <c r="G4218" s="738">
        <v>0</v>
      </c>
      <c r="H4218" s="738">
        <v>0</v>
      </c>
      <c r="I4218" s="738">
        <v>0</v>
      </c>
      <c r="J4218" s="739">
        <v>250000</v>
      </c>
      <c r="K4218" s="738">
        <v>0</v>
      </c>
      <c r="L4218" s="738">
        <v>0</v>
      </c>
      <c r="M4218" s="738">
        <v>0</v>
      </c>
      <c r="N4218" s="739">
        <v>250000</v>
      </c>
      <c r="O4218" s="738">
        <v>0</v>
      </c>
      <c r="P4218" s="739">
        <v>250000</v>
      </c>
    </row>
    <row r="4219" spans="1:16">
      <c r="A4219">
        <v>5</v>
      </c>
      <c r="B4219" t="s">
        <v>12822</v>
      </c>
      <c r="C4219" t="s">
        <v>12844</v>
      </c>
      <c r="D4219" t="s">
        <v>12853</v>
      </c>
      <c r="E4219" t="s">
        <v>10310</v>
      </c>
      <c r="F4219" t="s">
        <v>10311</v>
      </c>
      <c r="G4219" s="712">
        <v>0</v>
      </c>
      <c r="H4219">
        <v>0</v>
      </c>
      <c r="I4219" s="713">
        <v>0</v>
      </c>
      <c r="J4219" s="711">
        <v>250000</v>
      </c>
      <c r="K4219">
        <v>0</v>
      </c>
      <c r="L4219">
        <v>0</v>
      </c>
      <c r="M4219">
        <v>0</v>
      </c>
      <c r="N4219" s="711">
        <v>250000</v>
      </c>
      <c r="O4219">
        <v>0</v>
      </c>
      <c r="P4219" s="711">
        <v>250000</v>
      </c>
    </row>
    <row r="4220" spans="1:16">
      <c r="A4220">
        <v>5</v>
      </c>
      <c r="B4220" t="s">
        <v>12822</v>
      </c>
      <c r="C4220" t="s">
        <v>12844</v>
      </c>
      <c r="D4220" t="s">
        <v>12853</v>
      </c>
      <c r="E4220" t="s">
        <v>10313</v>
      </c>
      <c r="F4220" t="s">
        <v>10314</v>
      </c>
      <c r="G4220" s="712">
        <v>0</v>
      </c>
      <c r="H4220">
        <v>0</v>
      </c>
      <c r="I4220" s="713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</row>
    <row r="4221" spans="1:16">
      <c r="A4221">
        <v>5</v>
      </c>
      <c r="B4221" t="s">
        <v>12822</v>
      </c>
      <c r="C4221" t="s">
        <v>12844</v>
      </c>
      <c r="D4221" t="s">
        <v>12853</v>
      </c>
      <c r="E4221" t="s">
        <v>10315</v>
      </c>
      <c r="F4221" t="s">
        <v>10316</v>
      </c>
      <c r="G4221" s="712">
        <v>0</v>
      </c>
      <c r="H4221">
        <v>0</v>
      </c>
      <c r="I4221" s="713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</row>
    <row r="4222" spans="1:16">
      <c r="A4222">
        <v>5</v>
      </c>
      <c r="B4222" t="s">
        <v>12822</v>
      </c>
      <c r="C4222" t="s">
        <v>12844</v>
      </c>
      <c r="D4222" t="s">
        <v>12853</v>
      </c>
      <c r="E4222" t="s">
        <v>10317</v>
      </c>
      <c r="F4222" t="s">
        <v>10318</v>
      </c>
      <c r="G4222" s="712">
        <v>0</v>
      </c>
      <c r="H4222">
        <v>0</v>
      </c>
      <c r="I4222" s="713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</row>
    <row r="4223" spans="1:16">
      <c r="A4223">
        <v>5</v>
      </c>
      <c r="B4223" t="s">
        <v>12822</v>
      </c>
      <c r="C4223" t="s">
        <v>12844</v>
      </c>
      <c r="D4223" t="s">
        <v>12853</v>
      </c>
      <c r="E4223" t="s">
        <v>10319</v>
      </c>
      <c r="F4223" t="s">
        <v>10320</v>
      </c>
      <c r="G4223" s="712">
        <v>0</v>
      </c>
      <c r="H4223">
        <v>0</v>
      </c>
      <c r="I4223" s="71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</row>
    <row r="4224" spans="1:16">
      <c r="A4224">
        <v>5</v>
      </c>
      <c r="B4224" t="s">
        <v>12822</v>
      </c>
      <c r="C4224" t="s">
        <v>12844</v>
      </c>
      <c r="D4224" t="s">
        <v>12853</v>
      </c>
      <c r="E4224" t="s">
        <v>10321</v>
      </c>
      <c r="F4224" t="s">
        <v>10322</v>
      </c>
      <c r="G4224" s="712">
        <v>0</v>
      </c>
      <c r="H4224">
        <v>0</v>
      </c>
      <c r="I4224" s="713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</row>
    <row r="4225" spans="1:16">
      <c r="A4225">
        <v>5</v>
      </c>
      <c r="B4225" t="s">
        <v>12822</v>
      </c>
      <c r="C4225" t="s">
        <v>12844</v>
      </c>
      <c r="D4225" t="s">
        <v>12853</v>
      </c>
      <c r="E4225" t="s">
        <v>10323</v>
      </c>
      <c r="F4225" t="s">
        <v>10324</v>
      </c>
      <c r="G4225" s="712">
        <v>0</v>
      </c>
      <c r="H4225">
        <v>0</v>
      </c>
      <c r="I4225" s="713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</row>
    <row r="4226" spans="1:16" ht="15.75" thickBot="1">
      <c r="A4226">
        <v>5</v>
      </c>
      <c r="B4226" t="s">
        <v>12822</v>
      </c>
      <c r="C4226" t="s">
        <v>12844</v>
      </c>
      <c r="D4226" t="s">
        <v>12853</v>
      </c>
      <c r="E4226" t="s">
        <v>10325</v>
      </c>
      <c r="F4226" t="s">
        <v>10326</v>
      </c>
      <c r="G4226" s="712">
        <v>0</v>
      </c>
      <c r="H4226">
        <v>0</v>
      </c>
      <c r="I4226" s="713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</row>
    <row r="4227" spans="1:16" ht="15.75" thickBot="1">
      <c r="A4227" s="727">
        <v>5</v>
      </c>
      <c r="B4227" s="727" t="s">
        <v>12822</v>
      </c>
      <c r="C4227" s="727" t="s">
        <v>12844</v>
      </c>
      <c r="D4227" s="727" t="s">
        <v>12854</v>
      </c>
      <c r="E4227" s="727"/>
      <c r="F4227" s="729" t="s">
        <v>10288</v>
      </c>
      <c r="G4227" s="738">
        <v>0</v>
      </c>
      <c r="H4227" s="738">
        <v>0</v>
      </c>
      <c r="I4227" s="738">
        <v>0</v>
      </c>
      <c r="J4227" s="738">
        <v>0</v>
      </c>
      <c r="K4227" s="738">
        <v>0</v>
      </c>
      <c r="L4227" s="738">
        <v>0</v>
      </c>
      <c r="M4227" s="738">
        <v>0</v>
      </c>
      <c r="N4227" s="738">
        <v>0</v>
      </c>
      <c r="O4227" s="738">
        <v>0</v>
      </c>
      <c r="P4227" s="738">
        <v>0</v>
      </c>
    </row>
    <row r="4228" spans="1:16" ht="15.75" thickBot="1">
      <c r="A4228">
        <v>5</v>
      </c>
      <c r="B4228" t="s">
        <v>12822</v>
      </c>
      <c r="C4228" t="s">
        <v>12844</v>
      </c>
      <c r="D4228" t="s">
        <v>12854</v>
      </c>
      <c r="E4228" t="s">
        <v>10291</v>
      </c>
      <c r="F4228" t="s">
        <v>10288</v>
      </c>
      <c r="G4228" s="712">
        <v>0</v>
      </c>
      <c r="H4228">
        <v>0</v>
      </c>
      <c r="I4228" s="713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</row>
    <row r="4229" spans="1:16" ht="15.75" thickBot="1">
      <c r="A4229" s="727">
        <v>5</v>
      </c>
      <c r="B4229" s="727" t="s">
        <v>12822</v>
      </c>
      <c r="C4229" s="727" t="s">
        <v>12844</v>
      </c>
      <c r="D4229" s="727" t="s">
        <v>12855</v>
      </c>
      <c r="E4229" s="727"/>
      <c r="F4229" s="729" t="s">
        <v>10293</v>
      </c>
      <c r="G4229" s="738">
        <v>0</v>
      </c>
      <c r="H4229" s="738">
        <v>0</v>
      </c>
      <c r="I4229" s="738">
        <v>0</v>
      </c>
      <c r="J4229" s="738">
        <v>0</v>
      </c>
      <c r="K4229" s="738">
        <v>0</v>
      </c>
      <c r="L4229" s="738">
        <v>0</v>
      </c>
      <c r="M4229" s="738">
        <v>0</v>
      </c>
      <c r="N4229" s="738">
        <v>0</v>
      </c>
      <c r="O4229" s="738">
        <v>0</v>
      </c>
      <c r="P4229" s="738">
        <v>0</v>
      </c>
    </row>
    <row r="4230" spans="1:16" ht="15.75" thickBot="1">
      <c r="A4230">
        <v>5</v>
      </c>
      <c r="B4230" t="s">
        <v>12822</v>
      </c>
      <c r="C4230" t="s">
        <v>12844</v>
      </c>
      <c r="D4230" t="s">
        <v>12855</v>
      </c>
      <c r="E4230" t="s">
        <v>10296</v>
      </c>
      <c r="F4230" t="s">
        <v>10293</v>
      </c>
      <c r="G4230" s="712">
        <v>0</v>
      </c>
      <c r="H4230">
        <v>0</v>
      </c>
      <c r="I4230" s="713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</row>
    <row r="4231" spans="1:16" ht="15.75" thickBot="1">
      <c r="A4231" s="727">
        <v>5</v>
      </c>
      <c r="B4231" s="727" t="s">
        <v>12822</v>
      </c>
      <c r="C4231" s="727" t="s">
        <v>12844</v>
      </c>
      <c r="D4231" s="727" t="s">
        <v>12856</v>
      </c>
      <c r="E4231" s="727"/>
      <c r="F4231" s="729" t="s">
        <v>10298</v>
      </c>
      <c r="G4231" s="738">
        <v>0</v>
      </c>
      <c r="H4231" s="738">
        <v>0</v>
      </c>
      <c r="I4231" s="738">
        <v>0</v>
      </c>
      <c r="J4231" s="738">
        <v>0</v>
      </c>
      <c r="K4231" s="738">
        <v>0</v>
      </c>
      <c r="L4231" s="738">
        <v>0</v>
      </c>
      <c r="M4231" s="738">
        <v>0</v>
      </c>
      <c r="N4231" s="738">
        <v>0</v>
      </c>
      <c r="O4231" s="738">
        <v>0</v>
      </c>
      <c r="P4231" s="738">
        <v>0</v>
      </c>
    </row>
    <row r="4232" spans="1:16" ht="15.75" thickBot="1">
      <c r="A4232">
        <v>5</v>
      </c>
      <c r="B4232" t="s">
        <v>12822</v>
      </c>
      <c r="C4232" t="s">
        <v>12844</v>
      </c>
      <c r="D4232" t="s">
        <v>12856</v>
      </c>
      <c r="E4232" t="s">
        <v>10301</v>
      </c>
      <c r="F4232" t="s">
        <v>10298</v>
      </c>
      <c r="G4232" s="712">
        <v>0</v>
      </c>
      <c r="H4232">
        <v>0</v>
      </c>
      <c r="I4232" s="713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</row>
    <row r="4233" spans="1:16" ht="15.75" thickBot="1">
      <c r="A4233" s="727">
        <v>5</v>
      </c>
      <c r="B4233" s="727" t="s">
        <v>12822</v>
      </c>
      <c r="C4233" s="727" t="s">
        <v>12844</v>
      </c>
      <c r="D4233" s="727" t="s">
        <v>12857</v>
      </c>
      <c r="E4233" s="727"/>
      <c r="F4233" s="729" t="s">
        <v>10303</v>
      </c>
      <c r="G4233" s="738">
        <v>0</v>
      </c>
      <c r="H4233" s="738">
        <v>0</v>
      </c>
      <c r="I4233" s="738">
        <v>0</v>
      </c>
      <c r="J4233" s="739">
        <v>340000</v>
      </c>
      <c r="K4233" s="738">
        <v>0</v>
      </c>
      <c r="L4233" s="738">
        <v>0</v>
      </c>
      <c r="M4233" s="738">
        <v>0</v>
      </c>
      <c r="N4233" s="739">
        <v>340000</v>
      </c>
      <c r="O4233" s="738">
        <v>0</v>
      </c>
      <c r="P4233" s="739">
        <v>340000</v>
      </c>
    </row>
    <row r="4234" spans="1:16" ht="15.75" thickBot="1">
      <c r="A4234">
        <v>5</v>
      </c>
      <c r="B4234" t="s">
        <v>12822</v>
      </c>
      <c r="C4234" t="s">
        <v>12844</v>
      </c>
      <c r="D4234" t="s">
        <v>12857</v>
      </c>
      <c r="E4234" t="s">
        <v>10306</v>
      </c>
      <c r="F4234" t="s">
        <v>10307</v>
      </c>
      <c r="G4234" s="712">
        <v>0</v>
      </c>
      <c r="H4234">
        <v>0</v>
      </c>
      <c r="I4234" s="713">
        <v>0</v>
      </c>
      <c r="J4234" s="711">
        <v>340000</v>
      </c>
      <c r="K4234">
        <v>0</v>
      </c>
      <c r="L4234">
        <v>0</v>
      </c>
      <c r="M4234">
        <v>0</v>
      </c>
      <c r="N4234" s="711">
        <v>340000</v>
      </c>
      <c r="O4234">
        <v>0</v>
      </c>
      <c r="P4234" s="711">
        <v>340000</v>
      </c>
    </row>
    <row r="4235" spans="1:16" ht="15.75" thickBot="1">
      <c r="A4235" s="727">
        <v>6</v>
      </c>
      <c r="B4235" s="727"/>
      <c r="C4235" s="727"/>
      <c r="D4235" s="727"/>
      <c r="E4235" s="727"/>
      <c r="F4235" s="745" t="s">
        <v>10327</v>
      </c>
      <c r="G4235" s="738">
        <v>0</v>
      </c>
      <c r="H4235" s="738">
        <v>0</v>
      </c>
      <c r="I4235" s="738">
        <v>0</v>
      </c>
      <c r="J4235" s="739">
        <v>812177.74</v>
      </c>
      <c r="K4235" s="738">
        <v>0</v>
      </c>
      <c r="L4235" s="738">
        <v>0</v>
      </c>
      <c r="M4235" s="738">
        <v>0</v>
      </c>
      <c r="N4235" s="739">
        <v>812177.74</v>
      </c>
      <c r="O4235" s="738">
        <v>0</v>
      </c>
      <c r="P4235" s="739">
        <v>812177.74</v>
      </c>
    </row>
    <row r="4236" spans="1:16" ht="15.75" thickBot="1">
      <c r="A4236" s="727">
        <v>6</v>
      </c>
      <c r="B4236" s="727" t="s">
        <v>12858</v>
      </c>
      <c r="C4236" s="727"/>
      <c r="D4236" s="727"/>
      <c r="E4236" s="727"/>
      <c r="F4236" s="745" t="s">
        <v>12859</v>
      </c>
      <c r="G4236" s="738">
        <v>0</v>
      </c>
      <c r="H4236" s="738">
        <v>0</v>
      </c>
      <c r="I4236" s="738">
        <v>0</v>
      </c>
      <c r="J4236" s="739">
        <v>811711.42</v>
      </c>
      <c r="K4236" s="738">
        <v>0</v>
      </c>
      <c r="L4236" s="738">
        <v>0</v>
      </c>
      <c r="M4236" s="738">
        <v>0</v>
      </c>
      <c r="N4236" s="739">
        <v>811711.42</v>
      </c>
      <c r="O4236" s="738">
        <v>0</v>
      </c>
      <c r="P4236" s="739">
        <v>811711.42</v>
      </c>
    </row>
    <row r="4237" spans="1:16" ht="15.75" thickBot="1">
      <c r="A4237" s="727">
        <v>6</v>
      </c>
      <c r="B4237" s="727" t="s">
        <v>12858</v>
      </c>
      <c r="C4237" s="727" t="s">
        <v>12860</v>
      </c>
      <c r="D4237" s="727"/>
      <c r="E4237" s="727"/>
      <c r="F4237" s="745" t="s">
        <v>12861</v>
      </c>
      <c r="G4237" s="738">
        <v>0</v>
      </c>
      <c r="H4237" s="738">
        <v>0</v>
      </c>
      <c r="I4237" s="738">
        <v>0</v>
      </c>
      <c r="J4237" s="739">
        <v>555090.04</v>
      </c>
      <c r="K4237" s="738">
        <v>0</v>
      </c>
      <c r="L4237" s="738">
        <v>0</v>
      </c>
      <c r="M4237" s="738">
        <v>0</v>
      </c>
      <c r="N4237" s="739">
        <v>555090.04</v>
      </c>
      <c r="O4237" s="738">
        <v>0</v>
      </c>
      <c r="P4237" s="739">
        <v>555090.04</v>
      </c>
    </row>
    <row r="4238" spans="1:16" ht="15.75" thickBot="1">
      <c r="A4238" s="727">
        <v>6</v>
      </c>
      <c r="B4238" s="727" t="s">
        <v>12858</v>
      </c>
      <c r="C4238" s="727" t="s">
        <v>12860</v>
      </c>
      <c r="D4238" s="727" t="s">
        <v>12862</v>
      </c>
      <c r="E4238" s="727"/>
      <c r="F4238" s="729" t="s">
        <v>12861</v>
      </c>
      <c r="G4238" s="738">
        <v>0</v>
      </c>
      <c r="H4238" s="738">
        <v>0</v>
      </c>
      <c r="I4238" s="738">
        <v>0</v>
      </c>
      <c r="J4238" s="739">
        <v>555090.04</v>
      </c>
      <c r="K4238" s="738">
        <v>0</v>
      </c>
      <c r="L4238" s="738">
        <v>0</v>
      </c>
      <c r="M4238" s="738">
        <v>0</v>
      </c>
      <c r="N4238" s="739">
        <v>555090.04</v>
      </c>
      <c r="O4238" s="738">
        <v>0</v>
      </c>
      <c r="P4238" s="739">
        <v>555090.04</v>
      </c>
    </row>
    <row r="4239" spans="1:16" ht="15.75" thickBot="1">
      <c r="A4239">
        <v>6</v>
      </c>
      <c r="B4239" t="s">
        <v>12858</v>
      </c>
      <c r="C4239" t="s">
        <v>12860</v>
      </c>
      <c r="D4239" t="s">
        <v>12862</v>
      </c>
      <c r="E4239" t="s">
        <v>10404</v>
      </c>
      <c r="F4239" t="s">
        <v>10405</v>
      </c>
      <c r="G4239" s="712">
        <v>0</v>
      </c>
      <c r="H4239">
        <v>0</v>
      </c>
      <c r="I4239" s="713">
        <v>0</v>
      </c>
      <c r="J4239" s="711">
        <v>555090.04</v>
      </c>
      <c r="K4239">
        <v>0</v>
      </c>
      <c r="L4239">
        <v>0</v>
      </c>
      <c r="M4239">
        <v>0</v>
      </c>
      <c r="N4239" s="711">
        <v>555090.04</v>
      </c>
      <c r="O4239">
        <v>0</v>
      </c>
      <c r="P4239" s="711">
        <v>555090.04</v>
      </c>
    </row>
    <row r="4240" spans="1:16" ht="15.75" thickBot="1">
      <c r="A4240" s="727">
        <v>6</v>
      </c>
      <c r="B4240" s="727" t="s">
        <v>12858</v>
      </c>
      <c r="C4240" s="727" t="s">
        <v>12863</v>
      </c>
      <c r="D4240" s="727"/>
      <c r="E4240" s="727"/>
      <c r="F4240" s="745" t="s">
        <v>10413</v>
      </c>
      <c r="G4240" s="738">
        <v>0</v>
      </c>
      <c r="H4240" s="738">
        <v>0</v>
      </c>
      <c r="I4240" s="738">
        <v>0</v>
      </c>
      <c r="J4240" s="738">
        <v>0</v>
      </c>
      <c r="K4240" s="738">
        <v>0</v>
      </c>
      <c r="L4240" s="738">
        <v>0</v>
      </c>
      <c r="M4240" s="738">
        <v>0</v>
      </c>
      <c r="N4240" s="738">
        <v>0</v>
      </c>
      <c r="O4240" s="738">
        <v>0</v>
      </c>
      <c r="P4240" s="738">
        <v>0</v>
      </c>
    </row>
    <row r="4241" spans="1:16" ht="15.75" thickBot="1">
      <c r="A4241" s="727">
        <v>6</v>
      </c>
      <c r="B4241" s="727" t="s">
        <v>12858</v>
      </c>
      <c r="C4241" s="727" t="s">
        <v>12863</v>
      </c>
      <c r="D4241" s="727" t="s">
        <v>12864</v>
      </c>
      <c r="E4241" s="727"/>
      <c r="F4241" s="729" t="s">
        <v>10413</v>
      </c>
      <c r="G4241" s="738">
        <v>0</v>
      </c>
      <c r="H4241" s="738">
        <v>0</v>
      </c>
      <c r="I4241" s="738">
        <v>0</v>
      </c>
      <c r="J4241" s="738">
        <v>0</v>
      </c>
      <c r="K4241" s="738">
        <v>0</v>
      </c>
      <c r="L4241" s="738">
        <v>0</v>
      </c>
      <c r="M4241" s="738">
        <v>0</v>
      </c>
      <c r="N4241" s="738">
        <v>0</v>
      </c>
      <c r="O4241" s="738">
        <v>0</v>
      </c>
      <c r="P4241" s="738">
        <v>0</v>
      </c>
    </row>
    <row r="4242" spans="1:16" ht="15.75" thickBot="1">
      <c r="A4242">
        <v>6</v>
      </c>
      <c r="B4242" t="s">
        <v>12858</v>
      </c>
      <c r="C4242" t="s">
        <v>12863</v>
      </c>
      <c r="D4242" t="s">
        <v>12864</v>
      </c>
      <c r="E4242" t="s">
        <v>10412</v>
      </c>
      <c r="F4242" t="s">
        <v>10413</v>
      </c>
      <c r="G4242" s="712">
        <v>0</v>
      </c>
      <c r="H4242">
        <v>0</v>
      </c>
      <c r="I4242" s="713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</row>
    <row r="4243" spans="1:16" ht="15.75" thickBot="1">
      <c r="A4243" s="727">
        <v>6</v>
      </c>
      <c r="B4243" s="727" t="s">
        <v>12858</v>
      </c>
      <c r="C4243" s="727" t="s">
        <v>12865</v>
      </c>
      <c r="D4243" s="727"/>
      <c r="E4243" s="727"/>
      <c r="F4243" s="745" t="s">
        <v>12866</v>
      </c>
      <c r="G4243" s="738">
        <v>0</v>
      </c>
      <c r="H4243" s="738">
        <v>0</v>
      </c>
      <c r="I4243" s="738">
        <v>0</v>
      </c>
      <c r="J4243" s="739">
        <v>256621.38</v>
      </c>
      <c r="K4243" s="738">
        <v>0</v>
      </c>
      <c r="L4243" s="738">
        <v>0</v>
      </c>
      <c r="M4243" s="738">
        <v>0</v>
      </c>
      <c r="N4243" s="739">
        <v>256621.38</v>
      </c>
      <c r="O4243" s="738">
        <v>0</v>
      </c>
      <c r="P4243" s="739">
        <v>256621.38</v>
      </c>
    </row>
    <row r="4244" spans="1:16" ht="15.75" thickBot="1">
      <c r="A4244" s="727">
        <v>6</v>
      </c>
      <c r="B4244" s="727" t="s">
        <v>12858</v>
      </c>
      <c r="C4244" s="727" t="s">
        <v>12865</v>
      </c>
      <c r="D4244" s="727" t="s">
        <v>12867</v>
      </c>
      <c r="E4244" s="727"/>
      <c r="F4244" s="729" t="s">
        <v>12866</v>
      </c>
      <c r="G4244" s="738">
        <v>0</v>
      </c>
      <c r="H4244" s="738">
        <v>0</v>
      </c>
      <c r="I4244" s="738">
        <v>0</v>
      </c>
      <c r="J4244" s="739">
        <v>256621.38</v>
      </c>
      <c r="K4244" s="738">
        <v>0</v>
      </c>
      <c r="L4244" s="738">
        <v>0</v>
      </c>
      <c r="M4244" s="738">
        <v>0</v>
      </c>
      <c r="N4244" s="739">
        <v>256621.38</v>
      </c>
      <c r="O4244" s="738">
        <v>0</v>
      </c>
      <c r="P4244" s="739">
        <v>256621.38</v>
      </c>
    </row>
    <row r="4245" spans="1:16">
      <c r="A4245">
        <v>6</v>
      </c>
      <c r="B4245" t="s">
        <v>12858</v>
      </c>
      <c r="C4245" t="s">
        <v>12865</v>
      </c>
      <c r="D4245" t="s">
        <v>12867</v>
      </c>
      <c r="E4245" t="s">
        <v>10418</v>
      </c>
      <c r="F4245" t="s">
        <v>10419</v>
      </c>
      <c r="G4245" s="712">
        <v>0</v>
      </c>
      <c r="H4245">
        <v>0</v>
      </c>
      <c r="I4245" s="713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</row>
    <row r="4246" spans="1:16">
      <c r="A4246">
        <v>6</v>
      </c>
      <c r="B4246" t="s">
        <v>12858</v>
      </c>
      <c r="C4246" t="s">
        <v>12865</v>
      </c>
      <c r="D4246" t="s">
        <v>12867</v>
      </c>
      <c r="E4246" t="s">
        <v>10420</v>
      </c>
      <c r="F4246" t="s">
        <v>10421</v>
      </c>
      <c r="G4246" s="712">
        <v>0</v>
      </c>
      <c r="H4246">
        <v>0</v>
      </c>
      <c r="I4246" s="713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</row>
    <row r="4247" spans="1:16">
      <c r="A4247">
        <v>6</v>
      </c>
      <c r="B4247" t="s">
        <v>12858</v>
      </c>
      <c r="C4247" t="s">
        <v>12865</v>
      </c>
      <c r="D4247" t="s">
        <v>12867</v>
      </c>
      <c r="E4247" t="s">
        <v>10422</v>
      </c>
      <c r="F4247" t="s">
        <v>10423</v>
      </c>
      <c r="G4247" s="712">
        <v>0</v>
      </c>
      <c r="H4247">
        <v>0</v>
      </c>
      <c r="I4247" s="713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</row>
    <row r="4248" spans="1:16" ht="15.75" thickBot="1">
      <c r="A4248">
        <v>6</v>
      </c>
      <c r="B4248" t="s">
        <v>12858</v>
      </c>
      <c r="C4248" t="s">
        <v>12865</v>
      </c>
      <c r="D4248" t="s">
        <v>12867</v>
      </c>
      <c r="E4248" t="s">
        <v>10424</v>
      </c>
      <c r="F4248" t="s">
        <v>10425</v>
      </c>
      <c r="G4248" s="712">
        <v>0</v>
      </c>
      <c r="H4248">
        <v>0</v>
      </c>
      <c r="I4248" s="713">
        <v>0</v>
      </c>
      <c r="J4248" s="711">
        <v>256621.38</v>
      </c>
      <c r="K4248">
        <v>0</v>
      </c>
      <c r="L4248">
        <v>0</v>
      </c>
      <c r="M4248">
        <v>0</v>
      </c>
      <c r="N4248" s="711">
        <v>256621.38</v>
      </c>
      <c r="O4248">
        <v>0</v>
      </c>
      <c r="P4248" s="711">
        <v>256621.38</v>
      </c>
    </row>
    <row r="4249" spans="1:16" ht="15.75" thickBot="1">
      <c r="A4249" s="727">
        <v>6</v>
      </c>
      <c r="B4249" s="727" t="s">
        <v>12868</v>
      </c>
      <c r="C4249" s="727"/>
      <c r="D4249" s="727"/>
      <c r="E4249" s="727"/>
      <c r="F4249" s="745" t="s">
        <v>12869</v>
      </c>
      <c r="G4249" s="738">
        <v>0</v>
      </c>
      <c r="H4249" s="738">
        <v>0</v>
      </c>
      <c r="I4249" s="738">
        <v>0</v>
      </c>
      <c r="J4249" s="738">
        <v>466.32</v>
      </c>
      <c r="K4249" s="738">
        <v>0</v>
      </c>
      <c r="L4249" s="738">
        <v>0</v>
      </c>
      <c r="M4249" s="738">
        <v>0</v>
      </c>
      <c r="N4249" s="738">
        <v>466.32</v>
      </c>
      <c r="O4249" s="738">
        <v>0</v>
      </c>
      <c r="P4249" s="738">
        <v>466.32</v>
      </c>
    </row>
    <row r="4250" spans="1:16" ht="15.75" thickBot="1">
      <c r="A4250" s="727">
        <v>6</v>
      </c>
      <c r="B4250" s="727" t="s">
        <v>12868</v>
      </c>
      <c r="C4250" s="727" t="s">
        <v>12870</v>
      </c>
      <c r="D4250" s="727"/>
      <c r="E4250" s="727"/>
      <c r="F4250" s="745" t="s">
        <v>10437</v>
      </c>
      <c r="G4250" s="738">
        <v>0</v>
      </c>
      <c r="H4250" s="738">
        <v>0</v>
      </c>
      <c r="I4250" s="738">
        <v>0</v>
      </c>
      <c r="J4250" s="738">
        <v>466.32</v>
      </c>
      <c r="K4250" s="738">
        <v>0</v>
      </c>
      <c r="L4250" s="738">
        <v>0</v>
      </c>
      <c r="M4250" s="738">
        <v>0</v>
      </c>
      <c r="N4250" s="738">
        <v>466.32</v>
      </c>
      <c r="O4250" s="738">
        <v>0</v>
      </c>
      <c r="P4250" s="738">
        <v>466.32</v>
      </c>
    </row>
    <row r="4251" spans="1:16" ht="15.75" thickBot="1">
      <c r="A4251" s="727">
        <v>6</v>
      </c>
      <c r="B4251" s="727" t="s">
        <v>12868</v>
      </c>
      <c r="C4251" s="727" t="s">
        <v>12870</v>
      </c>
      <c r="D4251" s="727" t="s">
        <v>12871</v>
      </c>
      <c r="E4251" s="727"/>
      <c r="F4251" s="729" t="s">
        <v>10437</v>
      </c>
      <c r="G4251" s="738">
        <v>0</v>
      </c>
      <c r="H4251" s="738">
        <v>0</v>
      </c>
      <c r="I4251" s="738">
        <v>0</v>
      </c>
      <c r="J4251" s="738">
        <v>466.32</v>
      </c>
      <c r="K4251" s="738">
        <v>0</v>
      </c>
      <c r="L4251" s="738">
        <v>0</v>
      </c>
      <c r="M4251" s="738">
        <v>0</v>
      </c>
      <c r="N4251" s="738">
        <v>466.32</v>
      </c>
      <c r="O4251" s="738">
        <v>0</v>
      </c>
      <c r="P4251" s="738">
        <v>466.32</v>
      </c>
    </row>
    <row r="4252" spans="1:16">
      <c r="A4252">
        <v>6</v>
      </c>
      <c r="B4252" t="s">
        <v>12868</v>
      </c>
      <c r="C4252" t="s">
        <v>12870</v>
      </c>
      <c r="D4252" t="s">
        <v>12871</v>
      </c>
      <c r="E4252" t="s">
        <v>10434</v>
      </c>
      <c r="F4252" t="s">
        <v>10435</v>
      </c>
      <c r="G4252" s="712">
        <v>0</v>
      </c>
      <c r="H4252">
        <v>0</v>
      </c>
      <c r="I4252" s="713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</row>
    <row r="4253" spans="1:16" ht="15.75" thickBot="1">
      <c r="A4253">
        <v>6</v>
      </c>
      <c r="B4253" t="s">
        <v>12868</v>
      </c>
      <c r="C4253" t="s">
        <v>12870</v>
      </c>
      <c r="D4253" t="s">
        <v>12871</v>
      </c>
      <c r="E4253" t="s">
        <v>10436</v>
      </c>
      <c r="F4253" t="s">
        <v>10437</v>
      </c>
      <c r="G4253" s="712">
        <v>0</v>
      </c>
      <c r="H4253">
        <v>0</v>
      </c>
      <c r="I4253" s="713">
        <v>0</v>
      </c>
      <c r="J4253">
        <v>466.32</v>
      </c>
      <c r="K4253">
        <v>0</v>
      </c>
      <c r="L4253">
        <v>0</v>
      </c>
      <c r="M4253">
        <v>0</v>
      </c>
      <c r="N4253">
        <v>466.32</v>
      </c>
      <c r="O4253">
        <v>0</v>
      </c>
      <c r="P4253">
        <v>466.32</v>
      </c>
    </row>
    <row r="4254" spans="1:16" ht="15.75" thickBot="1">
      <c r="A4254" s="727">
        <v>6</v>
      </c>
      <c r="B4254" s="727" t="s">
        <v>12868</v>
      </c>
      <c r="C4254" s="727" t="s">
        <v>12872</v>
      </c>
      <c r="D4254" s="727"/>
      <c r="E4254" s="727"/>
      <c r="F4254" s="745" t="s">
        <v>10443</v>
      </c>
      <c r="G4254" s="738">
        <v>0</v>
      </c>
      <c r="H4254" s="738">
        <v>0</v>
      </c>
      <c r="I4254" s="738">
        <v>0</v>
      </c>
      <c r="J4254" s="738">
        <v>0</v>
      </c>
      <c r="K4254" s="738">
        <v>0</v>
      </c>
      <c r="L4254" s="738">
        <v>0</v>
      </c>
      <c r="M4254" s="738">
        <v>0</v>
      </c>
      <c r="N4254" s="738">
        <v>0</v>
      </c>
      <c r="O4254" s="738">
        <v>0</v>
      </c>
      <c r="P4254" s="738">
        <v>0</v>
      </c>
    </row>
    <row r="4255" spans="1:16" ht="15.75" thickBot="1">
      <c r="A4255" s="727">
        <v>6</v>
      </c>
      <c r="B4255" s="727" t="s">
        <v>12868</v>
      </c>
      <c r="C4255" s="727" t="s">
        <v>12872</v>
      </c>
      <c r="D4255" s="727" t="s">
        <v>12873</v>
      </c>
      <c r="E4255" s="727"/>
      <c r="F4255" s="729" t="s">
        <v>10443</v>
      </c>
      <c r="G4255" s="738">
        <v>0</v>
      </c>
      <c r="H4255" s="738">
        <v>0</v>
      </c>
      <c r="I4255" s="738">
        <v>0</v>
      </c>
      <c r="J4255" s="738">
        <v>0</v>
      </c>
      <c r="K4255" s="738">
        <v>0</v>
      </c>
      <c r="L4255" s="738">
        <v>0</v>
      </c>
      <c r="M4255" s="738">
        <v>0</v>
      </c>
      <c r="N4255" s="738">
        <v>0</v>
      </c>
      <c r="O4255" s="738">
        <v>0</v>
      </c>
      <c r="P4255" s="738">
        <v>0</v>
      </c>
    </row>
    <row r="4256" spans="1:16" ht="15.75" thickBot="1">
      <c r="A4256">
        <v>6</v>
      </c>
      <c r="B4256" t="s">
        <v>12868</v>
      </c>
      <c r="C4256" t="s">
        <v>12872</v>
      </c>
      <c r="D4256" t="s">
        <v>12873</v>
      </c>
      <c r="E4256" t="s">
        <v>10442</v>
      </c>
      <c r="F4256" t="s">
        <v>10443</v>
      </c>
      <c r="G4256" s="712">
        <v>0</v>
      </c>
      <c r="H4256">
        <v>0</v>
      </c>
      <c r="I4256" s="713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</row>
    <row r="4257" spans="1:16" ht="15.75" thickBot="1">
      <c r="A4257" s="727">
        <v>7</v>
      </c>
      <c r="B4257" s="727"/>
      <c r="C4257" s="727"/>
      <c r="D4257" s="727"/>
      <c r="E4257" s="727"/>
      <c r="F4257" s="745" t="s">
        <v>10444</v>
      </c>
      <c r="G4257" s="738">
        <v>0</v>
      </c>
      <c r="H4257" s="738">
        <v>0</v>
      </c>
      <c r="I4257" s="738">
        <v>0</v>
      </c>
      <c r="J4257" s="738">
        <v>0</v>
      </c>
      <c r="K4257" s="738">
        <v>0</v>
      </c>
      <c r="L4257" s="738">
        <v>0</v>
      </c>
      <c r="M4257" s="738">
        <v>0</v>
      </c>
      <c r="N4257" s="738">
        <v>0</v>
      </c>
      <c r="O4257" s="738">
        <v>0</v>
      </c>
      <c r="P4257" s="738">
        <v>0</v>
      </c>
    </row>
    <row r="4258" spans="1:16" ht="15.75" thickBot="1">
      <c r="A4258" s="727">
        <v>7</v>
      </c>
      <c r="B4258" s="727" t="s">
        <v>12874</v>
      </c>
      <c r="C4258" s="727"/>
      <c r="D4258" s="727"/>
      <c r="E4258" s="727"/>
      <c r="F4258" s="745" t="s">
        <v>12875</v>
      </c>
      <c r="G4258" s="738">
        <v>0</v>
      </c>
      <c r="H4258" s="738">
        <v>0</v>
      </c>
      <c r="I4258" s="738">
        <v>0</v>
      </c>
      <c r="J4258" s="738">
        <v>0</v>
      </c>
      <c r="K4258" s="738">
        <v>0</v>
      </c>
      <c r="L4258" s="738">
        <v>0</v>
      </c>
      <c r="M4258" s="738">
        <v>0</v>
      </c>
      <c r="N4258" s="738">
        <v>0</v>
      </c>
      <c r="O4258" s="738">
        <v>0</v>
      </c>
      <c r="P4258" s="738">
        <v>0</v>
      </c>
    </row>
    <row r="4259" spans="1:16" ht="15.75" thickBot="1">
      <c r="A4259" s="727">
        <v>7</v>
      </c>
      <c r="B4259" s="727" t="s">
        <v>12874</v>
      </c>
      <c r="C4259" s="727" t="s">
        <v>12876</v>
      </c>
      <c r="D4259" s="727"/>
      <c r="E4259" s="727"/>
      <c r="F4259" s="745" t="s">
        <v>12875</v>
      </c>
      <c r="G4259" s="738">
        <v>0</v>
      </c>
      <c r="H4259" s="738">
        <v>0</v>
      </c>
      <c r="I4259" s="738">
        <v>0</v>
      </c>
      <c r="J4259" s="738">
        <v>0</v>
      </c>
      <c r="K4259" s="738">
        <v>0</v>
      </c>
      <c r="L4259" s="738">
        <v>0</v>
      </c>
      <c r="M4259" s="738">
        <v>0</v>
      </c>
      <c r="N4259" s="738">
        <v>0</v>
      </c>
      <c r="O4259" s="738">
        <v>0</v>
      </c>
      <c r="P4259" s="738">
        <v>0</v>
      </c>
    </row>
    <row r="4260" spans="1:16" ht="15.75" thickBot="1">
      <c r="A4260" s="727">
        <v>7</v>
      </c>
      <c r="B4260" s="727" t="s">
        <v>12874</v>
      </c>
      <c r="C4260" s="727" t="s">
        <v>12876</v>
      </c>
      <c r="D4260" s="727" t="s">
        <v>12877</v>
      </c>
      <c r="E4260" s="727"/>
      <c r="F4260" s="729" t="s">
        <v>12875</v>
      </c>
      <c r="G4260" s="738">
        <v>0</v>
      </c>
      <c r="H4260" s="738">
        <v>0</v>
      </c>
      <c r="I4260" s="738">
        <v>0</v>
      </c>
      <c r="J4260" s="738">
        <v>0</v>
      </c>
      <c r="K4260" s="738">
        <v>0</v>
      </c>
      <c r="L4260" s="738">
        <v>0</v>
      </c>
      <c r="M4260" s="738">
        <v>0</v>
      </c>
      <c r="N4260" s="738">
        <v>0</v>
      </c>
      <c r="O4260" s="738">
        <v>0</v>
      </c>
      <c r="P4260" s="738">
        <v>0</v>
      </c>
    </row>
    <row r="4261" spans="1:16">
      <c r="A4261">
        <v>7</v>
      </c>
      <c r="B4261" t="s">
        <v>12874</v>
      </c>
      <c r="C4261" t="s">
        <v>12876</v>
      </c>
      <c r="D4261" t="s">
        <v>12877</v>
      </c>
      <c r="E4261" t="s">
        <v>10449</v>
      </c>
      <c r="F4261" t="s">
        <v>10450</v>
      </c>
      <c r="G4261" s="712">
        <v>0</v>
      </c>
      <c r="H4261">
        <v>0</v>
      </c>
      <c r="I4261" s="713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</row>
    <row r="4262" spans="1:16">
      <c r="A4262">
        <v>7</v>
      </c>
      <c r="B4262" t="s">
        <v>12874</v>
      </c>
      <c r="C4262" t="s">
        <v>12876</v>
      </c>
      <c r="D4262" t="s">
        <v>12877</v>
      </c>
      <c r="E4262" t="s">
        <v>10451</v>
      </c>
      <c r="F4262" t="s">
        <v>10452</v>
      </c>
      <c r="G4262" s="712">
        <v>0</v>
      </c>
      <c r="H4262">
        <v>0</v>
      </c>
      <c r="I4262" s="713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</row>
    <row r="4263" spans="1:16" ht="15.75" thickBot="1">
      <c r="A4263">
        <v>7</v>
      </c>
      <c r="B4263" t="s">
        <v>12874</v>
      </c>
      <c r="C4263" t="s">
        <v>12876</v>
      </c>
      <c r="D4263" t="s">
        <v>12877</v>
      </c>
      <c r="E4263" t="s">
        <v>10453</v>
      </c>
      <c r="F4263" t="s">
        <v>10454</v>
      </c>
      <c r="G4263" s="712">
        <v>0</v>
      </c>
      <c r="H4263">
        <v>0</v>
      </c>
      <c r="I4263" s="71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</row>
    <row r="4264" spans="1:16" ht="15.75" thickBot="1">
      <c r="A4264" s="727">
        <v>7</v>
      </c>
      <c r="B4264" s="727" t="s">
        <v>12878</v>
      </c>
      <c r="C4264" s="727"/>
      <c r="D4264" s="727"/>
      <c r="E4264" s="727"/>
      <c r="F4264" s="745" t="s">
        <v>12879</v>
      </c>
      <c r="G4264" s="738">
        <v>0</v>
      </c>
      <c r="H4264" s="738">
        <v>0</v>
      </c>
      <c r="I4264" s="738">
        <v>0</v>
      </c>
      <c r="J4264" s="738">
        <v>0</v>
      </c>
      <c r="K4264" s="738">
        <v>0</v>
      </c>
      <c r="L4264" s="738">
        <v>0</v>
      </c>
      <c r="M4264" s="738">
        <v>0</v>
      </c>
      <c r="N4264" s="738">
        <v>0</v>
      </c>
      <c r="O4264" s="738">
        <v>0</v>
      </c>
      <c r="P4264" s="738">
        <v>0</v>
      </c>
    </row>
    <row r="4265" spans="1:16" ht="15.75" thickBot="1">
      <c r="A4265" s="727">
        <v>7</v>
      </c>
      <c r="B4265" s="727" t="s">
        <v>12878</v>
      </c>
      <c r="C4265" s="727" t="s">
        <v>12880</v>
      </c>
      <c r="D4265" s="727"/>
      <c r="E4265" s="727"/>
      <c r="F4265" s="745" t="s">
        <v>12879</v>
      </c>
      <c r="G4265" s="738">
        <v>0</v>
      </c>
      <c r="H4265" s="738">
        <v>0</v>
      </c>
      <c r="I4265" s="738">
        <v>0</v>
      </c>
      <c r="J4265" s="738">
        <v>0</v>
      </c>
      <c r="K4265" s="738">
        <v>0</v>
      </c>
      <c r="L4265" s="738">
        <v>0</v>
      </c>
      <c r="M4265" s="738">
        <v>0</v>
      </c>
      <c r="N4265" s="738">
        <v>0</v>
      </c>
      <c r="O4265" s="738">
        <v>0</v>
      </c>
      <c r="P4265" s="738">
        <v>0</v>
      </c>
    </row>
    <row r="4266" spans="1:16" ht="15.75" thickBot="1">
      <c r="A4266" s="727">
        <v>7</v>
      </c>
      <c r="B4266" s="727" t="s">
        <v>12878</v>
      </c>
      <c r="C4266" s="727" t="s">
        <v>12880</v>
      </c>
      <c r="D4266" s="727" t="s">
        <v>12881</v>
      </c>
      <c r="E4266" s="727"/>
      <c r="F4266" s="729" t="s">
        <v>12879</v>
      </c>
      <c r="G4266" s="738">
        <v>0</v>
      </c>
      <c r="H4266" s="738">
        <v>0</v>
      </c>
      <c r="I4266" s="738">
        <v>0</v>
      </c>
      <c r="J4266" s="738">
        <v>0</v>
      </c>
      <c r="K4266" s="738">
        <v>0</v>
      </c>
      <c r="L4266" s="738">
        <v>0</v>
      </c>
      <c r="M4266" s="738">
        <v>0</v>
      </c>
      <c r="N4266" s="738">
        <v>0</v>
      </c>
      <c r="O4266" s="738">
        <v>0</v>
      </c>
      <c r="P4266" s="738">
        <v>0</v>
      </c>
    </row>
    <row r="4267" spans="1:16">
      <c r="A4267">
        <v>7</v>
      </c>
      <c r="B4267" t="s">
        <v>12878</v>
      </c>
      <c r="C4267" t="s">
        <v>12880</v>
      </c>
      <c r="D4267" t="s">
        <v>12881</v>
      </c>
      <c r="E4267" t="s">
        <v>10458</v>
      </c>
      <c r="F4267" t="s">
        <v>10459</v>
      </c>
      <c r="G4267" s="712">
        <v>0</v>
      </c>
      <c r="H4267">
        <v>0</v>
      </c>
      <c r="I4267" s="713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</row>
    <row r="4268" spans="1:16">
      <c r="A4268">
        <v>7</v>
      </c>
      <c r="B4268" t="s">
        <v>12878</v>
      </c>
      <c r="C4268" t="s">
        <v>12880</v>
      </c>
      <c r="D4268" t="s">
        <v>12881</v>
      </c>
      <c r="E4268" t="s">
        <v>10460</v>
      </c>
      <c r="F4268" t="s">
        <v>10461</v>
      </c>
      <c r="G4268" s="712">
        <v>0</v>
      </c>
      <c r="H4268">
        <v>0</v>
      </c>
      <c r="I4268" s="713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</row>
    <row r="4269" spans="1:16" ht="15.75" thickBot="1">
      <c r="A4269">
        <v>7</v>
      </c>
      <c r="B4269" t="s">
        <v>12878</v>
      </c>
      <c r="C4269" t="s">
        <v>12880</v>
      </c>
      <c r="D4269" t="s">
        <v>12881</v>
      </c>
      <c r="E4269" t="s">
        <v>10462</v>
      </c>
      <c r="F4269" t="s">
        <v>10463</v>
      </c>
      <c r="G4269" s="712">
        <v>0</v>
      </c>
      <c r="H4269">
        <v>0</v>
      </c>
      <c r="I4269" s="713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</row>
    <row r="4270" spans="1:16" ht="15.75" thickBot="1">
      <c r="A4270" s="727">
        <v>8</v>
      </c>
      <c r="B4270" s="727"/>
      <c r="C4270" s="727"/>
      <c r="D4270" s="727"/>
      <c r="E4270" s="727"/>
      <c r="F4270" s="745" t="s">
        <v>10464</v>
      </c>
      <c r="G4270" s="738">
        <v>0</v>
      </c>
      <c r="H4270" s="738">
        <v>0</v>
      </c>
      <c r="I4270" s="738">
        <v>0</v>
      </c>
      <c r="J4270" s="739">
        <v>7081619.71</v>
      </c>
      <c r="K4270" s="739">
        <v>3770957.37</v>
      </c>
      <c r="L4270" s="738">
        <v>0</v>
      </c>
      <c r="M4270" s="738">
        <v>0</v>
      </c>
      <c r="N4270" s="739">
        <v>7081619.71</v>
      </c>
      <c r="O4270" s="739">
        <v>3770957.37</v>
      </c>
      <c r="P4270" s="739">
        <v>3310662.34</v>
      </c>
    </row>
    <row r="4271" spans="1:16" ht="15.75" thickBot="1">
      <c r="A4271" s="727">
        <v>8</v>
      </c>
      <c r="B4271" s="727" t="s">
        <v>12461</v>
      </c>
      <c r="C4271" s="727"/>
      <c r="D4271" s="727"/>
      <c r="E4271" s="727"/>
      <c r="F4271" s="745" t="s">
        <v>12462</v>
      </c>
      <c r="G4271" s="738">
        <v>0</v>
      </c>
      <c r="H4271" s="738">
        <v>0</v>
      </c>
      <c r="I4271" s="738">
        <v>0</v>
      </c>
      <c r="J4271" s="738">
        <v>0</v>
      </c>
      <c r="K4271" s="738">
        <v>0</v>
      </c>
      <c r="L4271" s="738">
        <v>0</v>
      </c>
      <c r="M4271" s="738">
        <v>0</v>
      </c>
      <c r="N4271" s="738">
        <v>0</v>
      </c>
      <c r="O4271" s="738">
        <v>0</v>
      </c>
      <c r="P4271" s="738">
        <v>0</v>
      </c>
    </row>
    <row r="4272" spans="1:16" ht="15.75" thickBot="1">
      <c r="A4272" s="727">
        <v>8</v>
      </c>
      <c r="B4272" s="727" t="s">
        <v>12461</v>
      </c>
      <c r="C4272" s="727" t="s">
        <v>12466</v>
      </c>
      <c r="D4272" s="727"/>
      <c r="E4272" s="727"/>
      <c r="F4272" s="745" t="s">
        <v>10717</v>
      </c>
      <c r="G4272" s="738">
        <v>0</v>
      </c>
      <c r="H4272" s="738">
        <v>0</v>
      </c>
      <c r="I4272" s="738">
        <v>0</v>
      </c>
      <c r="J4272" s="738">
        <v>0</v>
      </c>
      <c r="K4272" s="738">
        <v>0</v>
      </c>
      <c r="L4272" s="738">
        <v>0</v>
      </c>
      <c r="M4272" s="738">
        <v>0</v>
      </c>
      <c r="N4272" s="738">
        <v>0</v>
      </c>
      <c r="O4272" s="738">
        <v>0</v>
      </c>
      <c r="P4272" s="738">
        <v>0</v>
      </c>
    </row>
    <row r="4273" spans="1:16" ht="15.75" thickBot="1">
      <c r="A4273" s="727">
        <v>8</v>
      </c>
      <c r="B4273" s="727" t="s">
        <v>12461</v>
      </c>
      <c r="C4273" s="727" t="s">
        <v>12466</v>
      </c>
      <c r="D4273" s="727" t="s">
        <v>12468</v>
      </c>
      <c r="E4273" s="727"/>
      <c r="F4273" s="729" t="s">
        <v>12469</v>
      </c>
      <c r="G4273" s="738">
        <v>0</v>
      </c>
      <c r="H4273" s="738">
        <v>0</v>
      </c>
      <c r="I4273" s="738">
        <v>0</v>
      </c>
      <c r="J4273" s="738">
        <v>0</v>
      </c>
      <c r="K4273" s="738">
        <v>0</v>
      </c>
      <c r="L4273" s="738">
        <v>0</v>
      </c>
      <c r="M4273" s="738">
        <v>0</v>
      </c>
      <c r="N4273" s="738">
        <v>0</v>
      </c>
      <c r="O4273" s="738">
        <v>0</v>
      </c>
      <c r="P4273" s="738">
        <v>0</v>
      </c>
    </row>
    <row r="4274" spans="1:16" ht="15.75" thickBot="1">
      <c r="A4274">
        <v>8</v>
      </c>
      <c r="B4274" t="s">
        <v>12461</v>
      </c>
      <c r="C4274" t="s">
        <v>12466</v>
      </c>
      <c r="D4274" t="s">
        <v>12468</v>
      </c>
      <c r="E4274" t="s">
        <v>10581</v>
      </c>
      <c r="F4274" t="s">
        <v>10582</v>
      </c>
      <c r="G4274" s="712">
        <v>0</v>
      </c>
      <c r="H4274">
        <v>0</v>
      </c>
      <c r="I4274" s="713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</row>
    <row r="4275" spans="1:16" ht="15.75" thickBot="1">
      <c r="A4275" s="727">
        <v>8</v>
      </c>
      <c r="B4275" s="727" t="s">
        <v>12882</v>
      </c>
      <c r="C4275" s="727"/>
      <c r="D4275" s="727"/>
      <c r="E4275" s="727"/>
      <c r="F4275" s="745" t="s">
        <v>12883</v>
      </c>
      <c r="G4275" s="738">
        <v>0</v>
      </c>
      <c r="H4275" s="738">
        <v>0</v>
      </c>
      <c r="I4275" s="738">
        <v>0</v>
      </c>
      <c r="J4275" s="739">
        <v>7081619.71</v>
      </c>
      <c r="K4275" s="739">
        <v>3770957.37</v>
      </c>
      <c r="L4275" s="738">
        <v>0</v>
      </c>
      <c r="M4275" s="738">
        <v>0</v>
      </c>
      <c r="N4275" s="739">
        <v>7081619.71</v>
      </c>
      <c r="O4275" s="739">
        <v>3770957.37</v>
      </c>
      <c r="P4275" s="739">
        <v>3310662.34</v>
      </c>
    </row>
    <row r="4276" spans="1:16" ht="15.75" thickBot="1">
      <c r="A4276" s="727">
        <v>8</v>
      </c>
      <c r="B4276" s="727" t="s">
        <v>12882</v>
      </c>
      <c r="C4276" s="727" t="s">
        <v>12884</v>
      </c>
      <c r="D4276" s="727"/>
      <c r="E4276" s="727"/>
      <c r="F4276" s="745" t="s">
        <v>12885</v>
      </c>
      <c r="G4276" s="738">
        <v>0</v>
      </c>
      <c r="H4276" s="738">
        <v>0</v>
      </c>
      <c r="I4276" s="738">
        <v>0</v>
      </c>
      <c r="J4276" s="738">
        <v>0</v>
      </c>
      <c r="K4276" s="738">
        <v>0</v>
      </c>
      <c r="L4276" s="738">
        <v>0</v>
      </c>
      <c r="M4276" s="738">
        <v>0</v>
      </c>
      <c r="N4276" s="738">
        <v>0</v>
      </c>
      <c r="O4276" s="738">
        <v>0</v>
      </c>
      <c r="P4276" s="738">
        <v>0</v>
      </c>
    </row>
    <row r="4277" spans="1:16" ht="15.75" thickBot="1">
      <c r="A4277" s="727">
        <v>8</v>
      </c>
      <c r="B4277" s="727" t="s">
        <v>12882</v>
      </c>
      <c r="C4277" s="727" t="s">
        <v>12884</v>
      </c>
      <c r="D4277" s="727" t="s">
        <v>12886</v>
      </c>
      <c r="E4277" s="727"/>
      <c r="F4277" s="729" t="s">
        <v>12885</v>
      </c>
      <c r="G4277" s="738">
        <v>0</v>
      </c>
      <c r="H4277" s="738">
        <v>0</v>
      </c>
      <c r="I4277" s="738">
        <v>0</v>
      </c>
      <c r="J4277" s="738">
        <v>0</v>
      </c>
      <c r="K4277" s="738">
        <v>0</v>
      </c>
      <c r="L4277" s="738">
        <v>0</v>
      </c>
      <c r="M4277" s="738">
        <v>0</v>
      </c>
      <c r="N4277" s="738">
        <v>0</v>
      </c>
      <c r="O4277" s="738">
        <v>0</v>
      </c>
      <c r="P4277" s="738">
        <v>0</v>
      </c>
    </row>
    <row r="4278" spans="1:16">
      <c r="A4278">
        <v>8</v>
      </c>
      <c r="B4278" t="s">
        <v>12882</v>
      </c>
      <c r="C4278" t="s">
        <v>12884</v>
      </c>
      <c r="D4278" t="s">
        <v>12886</v>
      </c>
      <c r="E4278" t="s">
        <v>10728</v>
      </c>
      <c r="F4278" t="s">
        <v>10729</v>
      </c>
      <c r="G4278" s="712">
        <v>0</v>
      </c>
      <c r="H4278">
        <v>0</v>
      </c>
      <c r="I4278" s="713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</row>
    <row r="4279" spans="1:16">
      <c r="A4279">
        <v>8</v>
      </c>
      <c r="B4279" t="s">
        <v>12882</v>
      </c>
      <c r="C4279" t="s">
        <v>12884</v>
      </c>
      <c r="D4279" t="s">
        <v>12886</v>
      </c>
      <c r="E4279" t="s">
        <v>10730</v>
      </c>
      <c r="F4279" t="s">
        <v>10731</v>
      </c>
      <c r="G4279" s="712">
        <v>0</v>
      </c>
      <c r="H4279">
        <v>0</v>
      </c>
      <c r="I4279" s="713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</row>
    <row r="4280" spans="1:16">
      <c r="A4280">
        <v>8</v>
      </c>
      <c r="B4280" t="s">
        <v>12882</v>
      </c>
      <c r="C4280" t="s">
        <v>12884</v>
      </c>
      <c r="D4280" t="s">
        <v>12886</v>
      </c>
      <c r="E4280" t="s">
        <v>10732</v>
      </c>
      <c r="F4280" t="s">
        <v>10733</v>
      </c>
      <c r="G4280" s="712">
        <v>0</v>
      </c>
      <c r="H4280">
        <v>0</v>
      </c>
      <c r="I4280" s="713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</row>
    <row r="4281" spans="1:16">
      <c r="A4281">
        <v>8</v>
      </c>
      <c r="B4281" t="s">
        <v>12882</v>
      </c>
      <c r="C4281" t="s">
        <v>12884</v>
      </c>
      <c r="D4281" t="s">
        <v>12886</v>
      </c>
      <c r="E4281" t="s">
        <v>10734</v>
      </c>
      <c r="F4281" t="s">
        <v>10735</v>
      </c>
      <c r="G4281" s="712">
        <v>0</v>
      </c>
      <c r="H4281">
        <v>0</v>
      </c>
      <c r="I4281" s="713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</row>
    <row r="4282" spans="1:16">
      <c r="A4282">
        <v>8</v>
      </c>
      <c r="B4282" t="s">
        <v>12882</v>
      </c>
      <c r="C4282" t="s">
        <v>12884</v>
      </c>
      <c r="D4282" t="s">
        <v>12886</v>
      </c>
      <c r="E4282" t="s">
        <v>10736</v>
      </c>
      <c r="F4282" t="s">
        <v>10737</v>
      </c>
      <c r="G4282" s="712">
        <v>0</v>
      </c>
      <c r="H4282">
        <v>0</v>
      </c>
      <c r="I4282" s="713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</row>
    <row r="4283" spans="1:16">
      <c r="A4283">
        <v>8</v>
      </c>
      <c r="B4283" t="s">
        <v>12882</v>
      </c>
      <c r="C4283" t="s">
        <v>12884</v>
      </c>
      <c r="D4283" t="s">
        <v>12886</v>
      </c>
      <c r="E4283" t="s">
        <v>10738</v>
      </c>
      <c r="F4283" t="s">
        <v>10739</v>
      </c>
      <c r="G4283" s="712">
        <v>0</v>
      </c>
      <c r="H4283">
        <v>0</v>
      </c>
      <c r="I4283" s="71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</row>
    <row r="4284" spans="1:16">
      <c r="A4284">
        <v>8</v>
      </c>
      <c r="B4284" t="s">
        <v>12882</v>
      </c>
      <c r="C4284" t="s">
        <v>12884</v>
      </c>
      <c r="D4284" t="s">
        <v>12886</v>
      </c>
      <c r="E4284" t="s">
        <v>10740</v>
      </c>
      <c r="F4284" t="s">
        <v>10741</v>
      </c>
      <c r="G4284" s="712">
        <v>0</v>
      </c>
      <c r="H4284">
        <v>0</v>
      </c>
      <c r="I4284" s="713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</row>
    <row r="4285" spans="1:16">
      <c r="A4285">
        <v>8</v>
      </c>
      <c r="B4285" t="s">
        <v>12882</v>
      </c>
      <c r="C4285" t="s">
        <v>12884</v>
      </c>
      <c r="D4285" t="s">
        <v>12886</v>
      </c>
      <c r="E4285" t="s">
        <v>10742</v>
      </c>
      <c r="F4285" t="s">
        <v>10743</v>
      </c>
      <c r="G4285" s="712">
        <v>0</v>
      </c>
      <c r="H4285">
        <v>0</v>
      </c>
      <c r="I4285" s="713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</row>
    <row r="4286" spans="1:16">
      <c r="A4286">
        <v>8</v>
      </c>
      <c r="B4286" t="s">
        <v>12882</v>
      </c>
      <c r="C4286" t="s">
        <v>12884</v>
      </c>
      <c r="D4286" t="s">
        <v>12886</v>
      </c>
      <c r="E4286" t="s">
        <v>10744</v>
      </c>
      <c r="F4286" t="s">
        <v>10745</v>
      </c>
      <c r="G4286" s="712">
        <v>0</v>
      </c>
      <c r="H4286">
        <v>0</v>
      </c>
      <c r="I4286" s="713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</row>
    <row r="4287" spans="1:16">
      <c r="A4287">
        <v>8</v>
      </c>
      <c r="B4287" t="s">
        <v>12882</v>
      </c>
      <c r="C4287" t="s">
        <v>12884</v>
      </c>
      <c r="D4287" t="s">
        <v>12886</v>
      </c>
      <c r="E4287" t="s">
        <v>10746</v>
      </c>
      <c r="F4287" t="s">
        <v>10747</v>
      </c>
      <c r="G4287" s="712">
        <v>0</v>
      </c>
      <c r="H4287">
        <v>0</v>
      </c>
      <c r="I4287" s="713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</row>
    <row r="4288" spans="1:16">
      <c r="A4288">
        <v>8</v>
      </c>
      <c r="B4288" t="s">
        <v>12882</v>
      </c>
      <c r="C4288" t="s">
        <v>12884</v>
      </c>
      <c r="D4288" t="s">
        <v>12886</v>
      </c>
      <c r="E4288" t="s">
        <v>10748</v>
      </c>
      <c r="F4288" t="s">
        <v>10749</v>
      </c>
      <c r="G4288" s="712">
        <v>0</v>
      </c>
      <c r="H4288">
        <v>0</v>
      </c>
      <c r="I4288" s="713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</row>
    <row r="4289" spans="1:16">
      <c r="A4289">
        <v>8</v>
      </c>
      <c r="B4289" t="s">
        <v>12882</v>
      </c>
      <c r="C4289" t="s">
        <v>12884</v>
      </c>
      <c r="D4289" t="s">
        <v>12886</v>
      </c>
      <c r="E4289" t="s">
        <v>10751</v>
      </c>
      <c r="F4289" t="s">
        <v>10752</v>
      </c>
      <c r="G4289" s="712">
        <v>0</v>
      </c>
      <c r="H4289">
        <v>0</v>
      </c>
      <c r="I4289" s="713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</row>
    <row r="4290" spans="1:16">
      <c r="A4290">
        <v>8</v>
      </c>
      <c r="B4290" t="s">
        <v>12882</v>
      </c>
      <c r="C4290" t="s">
        <v>12884</v>
      </c>
      <c r="D4290" t="s">
        <v>12886</v>
      </c>
      <c r="E4290" t="s">
        <v>10753</v>
      </c>
      <c r="F4290" t="s">
        <v>10754</v>
      </c>
      <c r="G4290" s="712">
        <v>0</v>
      </c>
      <c r="H4290">
        <v>0</v>
      </c>
      <c r="I4290" s="713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</row>
    <row r="4291" spans="1:16">
      <c r="A4291">
        <v>8</v>
      </c>
      <c r="B4291" t="s">
        <v>12882</v>
      </c>
      <c r="C4291" t="s">
        <v>12884</v>
      </c>
      <c r="D4291" t="s">
        <v>12886</v>
      </c>
      <c r="E4291" t="s">
        <v>10755</v>
      </c>
      <c r="F4291" t="s">
        <v>10756</v>
      </c>
      <c r="G4291" s="712">
        <v>0</v>
      </c>
      <c r="H4291">
        <v>0</v>
      </c>
      <c r="I4291" s="713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</row>
    <row r="4292" spans="1:16">
      <c r="A4292">
        <v>8</v>
      </c>
      <c r="B4292" t="s">
        <v>12882</v>
      </c>
      <c r="C4292" t="s">
        <v>12884</v>
      </c>
      <c r="D4292" t="s">
        <v>12886</v>
      </c>
      <c r="E4292" t="s">
        <v>10757</v>
      </c>
      <c r="F4292" t="s">
        <v>10758</v>
      </c>
      <c r="G4292" s="712">
        <v>0</v>
      </c>
      <c r="H4292">
        <v>0</v>
      </c>
      <c r="I4292" s="713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</row>
    <row r="4293" spans="1:16">
      <c r="A4293">
        <v>8</v>
      </c>
      <c r="B4293" t="s">
        <v>12882</v>
      </c>
      <c r="C4293" t="s">
        <v>12884</v>
      </c>
      <c r="D4293" t="s">
        <v>12886</v>
      </c>
      <c r="E4293" t="s">
        <v>10759</v>
      </c>
      <c r="F4293" t="s">
        <v>10760</v>
      </c>
      <c r="G4293" s="712">
        <v>0</v>
      </c>
      <c r="H4293">
        <v>0</v>
      </c>
      <c r="I4293" s="71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</row>
    <row r="4294" spans="1:16">
      <c r="A4294">
        <v>8</v>
      </c>
      <c r="B4294" t="s">
        <v>12882</v>
      </c>
      <c r="C4294" t="s">
        <v>12884</v>
      </c>
      <c r="D4294" t="s">
        <v>12886</v>
      </c>
      <c r="E4294" t="s">
        <v>10761</v>
      </c>
      <c r="F4294" t="s">
        <v>10762</v>
      </c>
      <c r="G4294" s="712">
        <v>0</v>
      </c>
      <c r="H4294">
        <v>0</v>
      </c>
      <c r="I4294" s="713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</row>
    <row r="4295" spans="1:16">
      <c r="A4295">
        <v>8</v>
      </c>
      <c r="B4295" t="s">
        <v>12882</v>
      </c>
      <c r="C4295" t="s">
        <v>12884</v>
      </c>
      <c r="D4295" t="s">
        <v>12886</v>
      </c>
      <c r="E4295" t="s">
        <v>10763</v>
      </c>
      <c r="F4295" t="s">
        <v>10764</v>
      </c>
      <c r="G4295" s="712">
        <v>0</v>
      </c>
      <c r="H4295">
        <v>0</v>
      </c>
      <c r="I4295" s="713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</row>
    <row r="4296" spans="1:16">
      <c r="A4296">
        <v>8</v>
      </c>
      <c r="B4296" t="s">
        <v>12882</v>
      </c>
      <c r="C4296" t="s">
        <v>12884</v>
      </c>
      <c r="D4296" t="s">
        <v>12886</v>
      </c>
      <c r="E4296" t="s">
        <v>10765</v>
      </c>
      <c r="F4296" t="s">
        <v>10766</v>
      </c>
      <c r="G4296" s="712">
        <v>0</v>
      </c>
      <c r="H4296">
        <v>0</v>
      </c>
      <c r="I4296" s="713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</row>
    <row r="4297" spans="1:16">
      <c r="A4297">
        <v>8</v>
      </c>
      <c r="B4297" t="s">
        <v>12882</v>
      </c>
      <c r="C4297" t="s">
        <v>12884</v>
      </c>
      <c r="D4297" t="s">
        <v>12886</v>
      </c>
      <c r="E4297" t="s">
        <v>10767</v>
      </c>
      <c r="F4297" t="s">
        <v>10768</v>
      </c>
      <c r="G4297" s="712">
        <v>0</v>
      </c>
      <c r="H4297">
        <v>0</v>
      </c>
      <c r="I4297" s="713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</row>
    <row r="4298" spans="1:16">
      <c r="A4298">
        <v>8</v>
      </c>
      <c r="B4298" t="s">
        <v>12882</v>
      </c>
      <c r="C4298" t="s">
        <v>12884</v>
      </c>
      <c r="D4298" t="s">
        <v>12886</v>
      </c>
      <c r="E4298" t="s">
        <v>10769</v>
      </c>
      <c r="F4298" t="s">
        <v>10770</v>
      </c>
      <c r="G4298" s="712">
        <v>0</v>
      </c>
      <c r="H4298">
        <v>0</v>
      </c>
      <c r="I4298" s="713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</row>
    <row r="4299" spans="1:16">
      <c r="A4299">
        <v>8</v>
      </c>
      <c r="B4299" t="s">
        <v>12882</v>
      </c>
      <c r="C4299" t="s">
        <v>12884</v>
      </c>
      <c r="D4299" t="s">
        <v>12886</v>
      </c>
      <c r="E4299" t="s">
        <v>10771</v>
      </c>
      <c r="F4299" t="s">
        <v>10772</v>
      </c>
      <c r="G4299" s="712">
        <v>0</v>
      </c>
      <c r="H4299">
        <v>0</v>
      </c>
      <c r="I4299" s="713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</row>
    <row r="4300" spans="1:16">
      <c r="A4300">
        <v>8</v>
      </c>
      <c r="B4300" t="s">
        <v>12882</v>
      </c>
      <c r="C4300" t="s">
        <v>12884</v>
      </c>
      <c r="D4300" t="s">
        <v>12886</v>
      </c>
      <c r="E4300" t="s">
        <v>10773</v>
      </c>
      <c r="F4300" t="s">
        <v>10774</v>
      </c>
      <c r="G4300" s="712">
        <v>0</v>
      </c>
      <c r="H4300">
        <v>0</v>
      </c>
      <c r="I4300" s="713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</row>
    <row r="4301" spans="1:16">
      <c r="A4301">
        <v>8</v>
      </c>
      <c r="B4301" t="s">
        <v>12882</v>
      </c>
      <c r="C4301" t="s">
        <v>12884</v>
      </c>
      <c r="D4301" t="s">
        <v>12886</v>
      </c>
      <c r="E4301" t="s">
        <v>10775</v>
      </c>
      <c r="F4301" t="s">
        <v>10776</v>
      </c>
      <c r="G4301" s="712">
        <v>0</v>
      </c>
      <c r="H4301">
        <v>0</v>
      </c>
      <c r="I4301" s="713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</row>
    <row r="4302" spans="1:16">
      <c r="A4302">
        <v>8</v>
      </c>
      <c r="B4302" t="s">
        <v>12882</v>
      </c>
      <c r="C4302" t="s">
        <v>12884</v>
      </c>
      <c r="D4302" t="s">
        <v>12886</v>
      </c>
      <c r="E4302" t="s">
        <v>10777</v>
      </c>
      <c r="F4302" t="s">
        <v>10778</v>
      </c>
      <c r="G4302" s="712">
        <v>0</v>
      </c>
      <c r="H4302">
        <v>0</v>
      </c>
      <c r="I4302" s="713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</row>
    <row r="4303" spans="1:16">
      <c r="A4303">
        <v>8</v>
      </c>
      <c r="B4303" t="s">
        <v>12882</v>
      </c>
      <c r="C4303" t="s">
        <v>12884</v>
      </c>
      <c r="D4303" t="s">
        <v>12886</v>
      </c>
      <c r="E4303" t="s">
        <v>10779</v>
      </c>
      <c r="F4303" t="s">
        <v>10780</v>
      </c>
      <c r="G4303" s="712">
        <v>0</v>
      </c>
      <c r="H4303">
        <v>0</v>
      </c>
      <c r="I4303" s="71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</row>
    <row r="4304" spans="1:16">
      <c r="A4304">
        <v>8</v>
      </c>
      <c r="B4304" t="s">
        <v>12882</v>
      </c>
      <c r="C4304" t="s">
        <v>12884</v>
      </c>
      <c r="D4304" t="s">
        <v>12886</v>
      </c>
      <c r="E4304" t="s">
        <v>10781</v>
      </c>
      <c r="F4304" t="s">
        <v>10782</v>
      </c>
      <c r="G4304" s="712">
        <v>0</v>
      </c>
      <c r="H4304">
        <v>0</v>
      </c>
      <c r="I4304" s="713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</row>
    <row r="4305" spans="1:16">
      <c r="A4305">
        <v>8</v>
      </c>
      <c r="B4305" t="s">
        <v>12882</v>
      </c>
      <c r="C4305" t="s">
        <v>12884</v>
      </c>
      <c r="D4305" t="s">
        <v>12886</v>
      </c>
      <c r="E4305" t="s">
        <v>10783</v>
      </c>
      <c r="F4305" t="s">
        <v>10784</v>
      </c>
      <c r="G4305" s="712">
        <v>0</v>
      </c>
      <c r="H4305">
        <v>0</v>
      </c>
      <c r="I4305" s="713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</row>
    <row r="4306" spans="1:16">
      <c r="A4306">
        <v>8</v>
      </c>
      <c r="B4306" t="s">
        <v>12882</v>
      </c>
      <c r="C4306" t="s">
        <v>12884</v>
      </c>
      <c r="D4306" t="s">
        <v>12886</v>
      </c>
      <c r="E4306" t="s">
        <v>10785</v>
      </c>
      <c r="F4306" t="s">
        <v>10786</v>
      </c>
      <c r="G4306" s="712">
        <v>0</v>
      </c>
      <c r="H4306">
        <v>0</v>
      </c>
      <c r="I4306" s="713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</row>
    <row r="4307" spans="1:16">
      <c r="A4307">
        <v>8</v>
      </c>
      <c r="B4307" t="s">
        <v>12882</v>
      </c>
      <c r="C4307" t="s">
        <v>12884</v>
      </c>
      <c r="D4307" t="s">
        <v>12886</v>
      </c>
      <c r="E4307" t="s">
        <v>10787</v>
      </c>
      <c r="F4307" t="s">
        <v>10788</v>
      </c>
      <c r="G4307" s="712">
        <v>0</v>
      </c>
      <c r="H4307">
        <v>0</v>
      </c>
      <c r="I4307" s="713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</row>
    <row r="4308" spans="1:16">
      <c r="A4308">
        <v>8</v>
      </c>
      <c r="B4308" t="s">
        <v>12882</v>
      </c>
      <c r="C4308" t="s">
        <v>12884</v>
      </c>
      <c r="D4308" t="s">
        <v>12886</v>
      </c>
      <c r="E4308" t="s">
        <v>10789</v>
      </c>
      <c r="F4308" t="s">
        <v>10790</v>
      </c>
      <c r="G4308" s="712">
        <v>0</v>
      </c>
      <c r="H4308">
        <v>0</v>
      </c>
      <c r="I4308" s="713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</row>
    <row r="4309" spans="1:16">
      <c r="A4309">
        <v>8</v>
      </c>
      <c r="B4309" t="s">
        <v>12882</v>
      </c>
      <c r="C4309" t="s">
        <v>12884</v>
      </c>
      <c r="D4309" t="s">
        <v>12886</v>
      </c>
      <c r="E4309" t="s">
        <v>10791</v>
      </c>
      <c r="F4309" t="s">
        <v>10792</v>
      </c>
      <c r="G4309" s="712">
        <v>0</v>
      </c>
      <c r="H4309">
        <v>0</v>
      </c>
      <c r="I4309" s="713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</row>
    <row r="4310" spans="1:16">
      <c r="A4310">
        <v>8</v>
      </c>
      <c r="B4310" t="s">
        <v>12882</v>
      </c>
      <c r="C4310" t="s">
        <v>12884</v>
      </c>
      <c r="D4310" t="s">
        <v>12886</v>
      </c>
      <c r="E4310" t="s">
        <v>10793</v>
      </c>
      <c r="F4310" t="s">
        <v>10794</v>
      </c>
      <c r="G4310" s="712">
        <v>0</v>
      </c>
      <c r="H4310">
        <v>0</v>
      </c>
      <c r="I4310" s="713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</row>
    <row r="4311" spans="1:16">
      <c r="A4311">
        <v>8</v>
      </c>
      <c r="B4311" t="s">
        <v>12882</v>
      </c>
      <c r="C4311" t="s">
        <v>12884</v>
      </c>
      <c r="D4311" t="s">
        <v>12886</v>
      </c>
      <c r="E4311" t="s">
        <v>10795</v>
      </c>
      <c r="F4311" t="s">
        <v>10796</v>
      </c>
      <c r="G4311" s="712">
        <v>0</v>
      </c>
      <c r="H4311">
        <v>0</v>
      </c>
      <c r="I4311" s="713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</row>
    <row r="4312" spans="1:16">
      <c r="A4312">
        <v>8</v>
      </c>
      <c r="B4312" t="s">
        <v>12882</v>
      </c>
      <c r="C4312" t="s">
        <v>12884</v>
      </c>
      <c r="D4312" t="s">
        <v>12886</v>
      </c>
      <c r="E4312" t="s">
        <v>10797</v>
      </c>
      <c r="F4312" t="s">
        <v>10798</v>
      </c>
      <c r="G4312" s="712">
        <v>0</v>
      </c>
      <c r="H4312">
        <v>0</v>
      </c>
      <c r="I4312" s="713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</row>
    <row r="4313" spans="1:16">
      <c r="A4313">
        <v>8</v>
      </c>
      <c r="B4313" t="s">
        <v>12882</v>
      </c>
      <c r="C4313" t="s">
        <v>12884</v>
      </c>
      <c r="D4313" t="s">
        <v>12886</v>
      </c>
      <c r="E4313" t="s">
        <v>10799</v>
      </c>
      <c r="F4313" t="s">
        <v>10800</v>
      </c>
      <c r="G4313" s="712">
        <v>0</v>
      </c>
      <c r="H4313">
        <v>0</v>
      </c>
      <c r="I4313" s="7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</row>
    <row r="4314" spans="1:16">
      <c r="A4314">
        <v>8</v>
      </c>
      <c r="B4314" t="s">
        <v>12882</v>
      </c>
      <c r="C4314" t="s">
        <v>12884</v>
      </c>
      <c r="D4314" t="s">
        <v>12886</v>
      </c>
      <c r="E4314" t="s">
        <v>10801</v>
      </c>
      <c r="F4314" t="s">
        <v>10802</v>
      </c>
      <c r="G4314" s="712">
        <v>0</v>
      </c>
      <c r="H4314">
        <v>0</v>
      </c>
      <c r="I4314" s="713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</row>
    <row r="4315" spans="1:16">
      <c r="A4315">
        <v>8</v>
      </c>
      <c r="B4315" t="s">
        <v>12882</v>
      </c>
      <c r="C4315" t="s">
        <v>12884</v>
      </c>
      <c r="D4315" t="s">
        <v>12886</v>
      </c>
      <c r="E4315" t="s">
        <v>10803</v>
      </c>
      <c r="F4315" t="s">
        <v>10804</v>
      </c>
      <c r="G4315" s="712">
        <v>0</v>
      </c>
      <c r="H4315">
        <v>0</v>
      </c>
      <c r="I4315" s="713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</row>
    <row r="4316" spans="1:16">
      <c r="A4316">
        <v>8</v>
      </c>
      <c r="B4316" t="s">
        <v>12882</v>
      </c>
      <c r="C4316" t="s">
        <v>12884</v>
      </c>
      <c r="D4316" t="s">
        <v>12886</v>
      </c>
      <c r="E4316" t="s">
        <v>10805</v>
      </c>
      <c r="F4316" t="s">
        <v>10806</v>
      </c>
      <c r="G4316" s="712">
        <v>0</v>
      </c>
      <c r="H4316">
        <v>0</v>
      </c>
      <c r="I4316" s="713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</row>
    <row r="4317" spans="1:16">
      <c r="A4317">
        <v>8</v>
      </c>
      <c r="B4317" t="s">
        <v>12882</v>
      </c>
      <c r="C4317" t="s">
        <v>12884</v>
      </c>
      <c r="D4317" t="s">
        <v>12886</v>
      </c>
      <c r="E4317" t="s">
        <v>10807</v>
      </c>
      <c r="F4317" t="s">
        <v>10808</v>
      </c>
      <c r="G4317" s="712">
        <v>0</v>
      </c>
      <c r="H4317">
        <v>0</v>
      </c>
      <c r="I4317" s="713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</row>
    <row r="4318" spans="1:16">
      <c r="A4318">
        <v>8</v>
      </c>
      <c r="B4318" t="s">
        <v>12882</v>
      </c>
      <c r="C4318" t="s">
        <v>12884</v>
      </c>
      <c r="D4318" t="s">
        <v>12886</v>
      </c>
      <c r="E4318" t="s">
        <v>10809</v>
      </c>
      <c r="F4318" t="s">
        <v>10810</v>
      </c>
      <c r="G4318" s="712">
        <v>0</v>
      </c>
      <c r="H4318">
        <v>0</v>
      </c>
      <c r="I4318" s="713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</row>
    <row r="4319" spans="1:16">
      <c r="A4319">
        <v>8</v>
      </c>
      <c r="B4319" t="s">
        <v>12882</v>
      </c>
      <c r="C4319" t="s">
        <v>12884</v>
      </c>
      <c r="D4319" t="s">
        <v>12886</v>
      </c>
      <c r="E4319" t="s">
        <v>10811</v>
      </c>
      <c r="F4319" t="s">
        <v>10812</v>
      </c>
      <c r="G4319" s="712">
        <v>0</v>
      </c>
      <c r="H4319">
        <v>0</v>
      </c>
      <c r="I4319" s="713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</row>
    <row r="4320" spans="1:16">
      <c r="A4320">
        <v>8</v>
      </c>
      <c r="B4320" t="s">
        <v>12882</v>
      </c>
      <c r="C4320" t="s">
        <v>12884</v>
      </c>
      <c r="D4320" t="s">
        <v>12886</v>
      </c>
      <c r="E4320" t="s">
        <v>10813</v>
      </c>
      <c r="F4320" t="s">
        <v>10814</v>
      </c>
      <c r="G4320" s="712">
        <v>0</v>
      </c>
      <c r="H4320">
        <v>0</v>
      </c>
      <c r="I4320" s="713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</row>
    <row r="4321" spans="1:16">
      <c r="A4321">
        <v>8</v>
      </c>
      <c r="B4321" t="s">
        <v>12882</v>
      </c>
      <c r="C4321" t="s">
        <v>12884</v>
      </c>
      <c r="D4321" t="s">
        <v>12886</v>
      </c>
      <c r="E4321" t="s">
        <v>10815</v>
      </c>
      <c r="F4321" t="s">
        <v>10816</v>
      </c>
      <c r="G4321" s="712">
        <v>0</v>
      </c>
      <c r="H4321">
        <v>0</v>
      </c>
      <c r="I4321" s="713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</row>
    <row r="4322" spans="1:16">
      <c r="A4322">
        <v>8</v>
      </c>
      <c r="B4322" t="s">
        <v>12882</v>
      </c>
      <c r="C4322" t="s">
        <v>12884</v>
      </c>
      <c r="D4322" t="s">
        <v>12886</v>
      </c>
      <c r="E4322" t="s">
        <v>10817</v>
      </c>
      <c r="F4322" t="s">
        <v>10818</v>
      </c>
      <c r="G4322" s="712">
        <v>0</v>
      </c>
      <c r="H4322">
        <v>0</v>
      </c>
      <c r="I4322" s="713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</row>
    <row r="4323" spans="1:16" ht="15.75" thickBot="1">
      <c r="A4323">
        <v>8</v>
      </c>
      <c r="B4323" t="s">
        <v>12882</v>
      </c>
      <c r="C4323" t="s">
        <v>12884</v>
      </c>
      <c r="D4323" t="s">
        <v>12886</v>
      </c>
      <c r="E4323" t="s">
        <v>10819</v>
      </c>
      <c r="F4323" t="s">
        <v>10820</v>
      </c>
      <c r="G4323" s="712">
        <v>0</v>
      </c>
      <c r="H4323">
        <v>0</v>
      </c>
      <c r="I4323" s="71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</row>
    <row r="4324" spans="1:16" ht="15.75" thickBot="1">
      <c r="A4324" s="727">
        <v>8</v>
      </c>
      <c r="B4324" s="727" t="s">
        <v>12882</v>
      </c>
      <c r="C4324" s="727" t="s">
        <v>12887</v>
      </c>
      <c r="D4324" s="727"/>
      <c r="E4324" s="727"/>
      <c r="F4324" s="745" t="s">
        <v>11055</v>
      </c>
      <c r="G4324" s="738">
        <v>0</v>
      </c>
      <c r="H4324" s="738">
        <v>0</v>
      </c>
      <c r="I4324" s="738">
        <v>0</v>
      </c>
      <c r="J4324" s="739">
        <v>7081619.71</v>
      </c>
      <c r="K4324" s="739">
        <v>3770957.37</v>
      </c>
      <c r="L4324" s="738">
        <v>0</v>
      </c>
      <c r="M4324" s="738">
        <v>0</v>
      </c>
      <c r="N4324" s="739">
        <v>7081619.71</v>
      </c>
      <c r="O4324" s="739">
        <v>3770957.37</v>
      </c>
      <c r="P4324" s="739">
        <v>3310662.34</v>
      </c>
    </row>
    <row r="4325" spans="1:16" ht="15.75" thickBot="1">
      <c r="A4325" s="727">
        <v>8</v>
      </c>
      <c r="B4325" s="727" t="s">
        <v>12882</v>
      </c>
      <c r="C4325" s="727" t="s">
        <v>12887</v>
      </c>
      <c r="D4325" s="727" t="s">
        <v>12888</v>
      </c>
      <c r="E4325" s="727"/>
      <c r="F4325" s="729" t="s">
        <v>10830</v>
      </c>
      <c r="G4325" s="738">
        <v>0</v>
      </c>
      <c r="H4325" s="738">
        <v>0</v>
      </c>
      <c r="I4325" s="738">
        <v>0</v>
      </c>
      <c r="J4325" s="739">
        <v>1700947.01</v>
      </c>
      <c r="K4325" s="739">
        <v>1690576.01</v>
      </c>
      <c r="L4325" s="738">
        <v>0</v>
      </c>
      <c r="M4325" s="738">
        <v>0</v>
      </c>
      <c r="N4325" s="739">
        <v>1700947.01</v>
      </c>
      <c r="O4325" s="739">
        <v>1690576.01</v>
      </c>
      <c r="P4325" s="739">
        <v>10371</v>
      </c>
    </row>
    <row r="4326" spans="1:16">
      <c r="A4326">
        <v>8</v>
      </c>
      <c r="B4326" t="s">
        <v>12882</v>
      </c>
      <c r="C4326" t="s">
        <v>12887</v>
      </c>
      <c r="D4326" t="s">
        <v>12888</v>
      </c>
      <c r="E4326" t="s">
        <v>10829</v>
      </c>
      <c r="F4326" t="s">
        <v>10830</v>
      </c>
      <c r="G4326" s="712">
        <v>0</v>
      </c>
      <c r="H4326">
        <v>0</v>
      </c>
      <c r="I4326" s="713">
        <v>0</v>
      </c>
      <c r="J4326" s="711">
        <v>1700947.01</v>
      </c>
      <c r="K4326" s="711">
        <v>1690576.01</v>
      </c>
      <c r="L4326">
        <v>0</v>
      </c>
      <c r="M4326">
        <v>0</v>
      </c>
      <c r="N4326" s="711">
        <v>1700947.01</v>
      </c>
      <c r="O4326" s="711">
        <v>1690576.01</v>
      </c>
      <c r="P4326" s="711">
        <v>10371</v>
      </c>
    </row>
    <row r="4327" spans="1:16">
      <c r="A4327">
        <v>8</v>
      </c>
      <c r="B4327" t="s">
        <v>12882</v>
      </c>
      <c r="C4327" t="s">
        <v>12887</v>
      </c>
      <c r="D4327" t="s">
        <v>12888</v>
      </c>
      <c r="E4327" t="s">
        <v>10832</v>
      </c>
      <c r="F4327" t="s">
        <v>10833</v>
      </c>
      <c r="G4327" s="712">
        <v>0</v>
      </c>
      <c r="H4327">
        <v>0</v>
      </c>
      <c r="I4327" s="713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</row>
    <row r="4328" spans="1:16">
      <c r="A4328">
        <v>8</v>
      </c>
      <c r="B4328" t="s">
        <v>12882</v>
      </c>
      <c r="C4328" t="s">
        <v>12887</v>
      </c>
      <c r="D4328" t="s">
        <v>12888</v>
      </c>
      <c r="E4328" t="s">
        <v>10834</v>
      </c>
      <c r="F4328" t="s">
        <v>10835</v>
      </c>
      <c r="G4328" s="712">
        <v>0</v>
      </c>
      <c r="H4328">
        <v>0</v>
      </c>
      <c r="I4328" s="713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</row>
    <row r="4329" spans="1:16">
      <c r="A4329">
        <v>8</v>
      </c>
      <c r="B4329" t="s">
        <v>12882</v>
      </c>
      <c r="C4329" t="s">
        <v>12887</v>
      </c>
      <c r="D4329" t="s">
        <v>12888</v>
      </c>
      <c r="E4329" t="s">
        <v>10836</v>
      </c>
      <c r="F4329" t="s">
        <v>10837</v>
      </c>
      <c r="G4329" s="712">
        <v>0</v>
      </c>
      <c r="H4329">
        <v>0</v>
      </c>
      <c r="I4329" s="713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</row>
    <row r="4330" spans="1:16">
      <c r="A4330">
        <v>8</v>
      </c>
      <c r="B4330" t="s">
        <v>12882</v>
      </c>
      <c r="C4330" t="s">
        <v>12887</v>
      </c>
      <c r="D4330" t="s">
        <v>12888</v>
      </c>
      <c r="E4330" t="s">
        <v>10838</v>
      </c>
      <c r="F4330" t="s">
        <v>10839</v>
      </c>
      <c r="G4330" s="712">
        <v>0</v>
      </c>
      <c r="H4330">
        <v>0</v>
      </c>
      <c r="I4330" s="713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</row>
    <row r="4331" spans="1:16">
      <c r="A4331">
        <v>8</v>
      </c>
      <c r="B4331" t="s">
        <v>12882</v>
      </c>
      <c r="C4331" t="s">
        <v>12887</v>
      </c>
      <c r="D4331" t="s">
        <v>12888</v>
      </c>
      <c r="E4331" t="s">
        <v>10840</v>
      </c>
      <c r="F4331" t="s">
        <v>10841</v>
      </c>
      <c r="G4331" s="712">
        <v>0</v>
      </c>
      <c r="H4331">
        <v>0</v>
      </c>
      <c r="I4331" s="713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</row>
    <row r="4332" spans="1:16">
      <c r="A4332">
        <v>8</v>
      </c>
      <c r="B4332" t="s">
        <v>12882</v>
      </c>
      <c r="C4332" t="s">
        <v>12887</v>
      </c>
      <c r="D4332" t="s">
        <v>12888</v>
      </c>
      <c r="E4332" t="s">
        <v>10842</v>
      </c>
      <c r="F4332" t="s">
        <v>10843</v>
      </c>
      <c r="G4332" s="712">
        <v>0</v>
      </c>
      <c r="H4332">
        <v>0</v>
      </c>
      <c r="I4332" s="713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</row>
    <row r="4333" spans="1:16" ht="15.75" thickBot="1">
      <c r="A4333">
        <v>8</v>
      </c>
      <c r="B4333" t="s">
        <v>12882</v>
      </c>
      <c r="C4333" t="s">
        <v>12887</v>
      </c>
      <c r="D4333" t="s">
        <v>12888</v>
      </c>
      <c r="E4333" t="s">
        <v>10844</v>
      </c>
      <c r="F4333" t="s">
        <v>10845</v>
      </c>
      <c r="G4333" s="712">
        <v>0</v>
      </c>
      <c r="H4333">
        <v>0</v>
      </c>
      <c r="I4333" s="71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</row>
    <row r="4334" spans="1:16" ht="15.75" thickBot="1">
      <c r="A4334" s="727">
        <v>8</v>
      </c>
      <c r="B4334" s="727" t="s">
        <v>12882</v>
      </c>
      <c r="C4334" s="727" t="s">
        <v>12887</v>
      </c>
      <c r="D4334" s="727" t="s">
        <v>12889</v>
      </c>
      <c r="E4334" s="727"/>
      <c r="F4334" s="729" t="s">
        <v>10851</v>
      </c>
      <c r="G4334" s="738">
        <v>0</v>
      </c>
      <c r="H4334" s="738">
        <v>0</v>
      </c>
      <c r="I4334" s="738">
        <v>0</v>
      </c>
      <c r="J4334" s="739">
        <v>310155.59000000003</v>
      </c>
      <c r="K4334" s="739">
        <v>70240.09</v>
      </c>
      <c r="L4334" s="738">
        <v>0</v>
      </c>
      <c r="M4334" s="738">
        <v>0</v>
      </c>
      <c r="N4334" s="739">
        <v>310155.59000000003</v>
      </c>
      <c r="O4334" s="739">
        <v>70240.09</v>
      </c>
      <c r="P4334" s="739">
        <v>239915.5</v>
      </c>
    </row>
    <row r="4335" spans="1:16" ht="15.75" thickBot="1">
      <c r="A4335">
        <v>8</v>
      </c>
      <c r="B4335" t="s">
        <v>12882</v>
      </c>
      <c r="C4335" t="s">
        <v>12887</v>
      </c>
      <c r="D4335" t="s">
        <v>12889</v>
      </c>
      <c r="E4335" t="s">
        <v>10850</v>
      </c>
      <c r="F4335" t="s">
        <v>10851</v>
      </c>
      <c r="G4335" s="712">
        <v>0</v>
      </c>
      <c r="H4335">
        <v>0</v>
      </c>
      <c r="I4335" s="713">
        <v>0</v>
      </c>
      <c r="J4335" s="711">
        <v>310155.59000000003</v>
      </c>
      <c r="K4335" s="711">
        <v>70240.09</v>
      </c>
      <c r="L4335">
        <v>0</v>
      </c>
      <c r="M4335">
        <v>0</v>
      </c>
      <c r="N4335" s="711">
        <v>310155.59000000003</v>
      </c>
      <c r="O4335" s="711">
        <v>70240.09</v>
      </c>
      <c r="P4335" s="711">
        <v>239915.5</v>
      </c>
    </row>
    <row r="4336" spans="1:16" ht="15.75" thickBot="1">
      <c r="A4336" s="727">
        <v>8</v>
      </c>
      <c r="B4336" s="727" t="s">
        <v>12882</v>
      </c>
      <c r="C4336" s="727" t="s">
        <v>12887</v>
      </c>
      <c r="D4336" s="727" t="s">
        <v>12890</v>
      </c>
      <c r="E4336" s="727"/>
      <c r="F4336" s="729" t="s">
        <v>12891</v>
      </c>
      <c r="G4336" s="738">
        <v>0</v>
      </c>
      <c r="H4336" s="738">
        <v>0</v>
      </c>
      <c r="I4336" s="738">
        <v>0</v>
      </c>
      <c r="J4336" s="739">
        <v>5010469.1100000003</v>
      </c>
      <c r="K4336" s="739">
        <v>2010141.27</v>
      </c>
      <c r="L4336" s="738">
        <v>0</v>
      </c>
      <c r="M4336" s="738">
        <v>0</v>
      </c>
      <c r="N4336" s="739">
        <v>5010469.1100000003</v>
      </c>
      <c r="O4336" s="739">
        <v>2010141.27</v>
      </c>
      <c r="P4336" s="739">
        <v>3000327.84</v>
      </c>
    </row>
    <row r="4337" spans="1:16">
      <c r="A4337">
        <v>8</v>
      </c>
      <c r="B4337" t="s">
        <v>12882</v>
      </c>
      <c r="C4337" t="s">
        <v>12887</v>
      </c>
      <c r="D4337" t="s">
        <v>12890</v>
      </c>
      <c r="E4337" t="s">
        <v>10858</v>
      </c>
      <c r="F4337" t="s">
        <v>10859</v>
      </c>
      <c r="G4337" s="712">
        <v>0</v>
      </c>
      <c r="H4337">
        <v>0</v>
      </c>
      <c r="I4337" s="713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</row>
    <row r="4338" spans="1:16">
      <c r="A4338">
        <v>8</v>
      </c>
      <c r="B4338" t="s">
        <v>12882</v>
      </c>
      <c r="C4338" t="s">
        <v>12887</v>
      </c>
      <c r="D4338" t="s">
        <v>12890</v>
      </c>
      <c r="E4338" t="s">
        <v>10864</v>
      </c>
      <c r="F4338" t="s">
        <v>10865</v>
      </c>
      <c r="G4338" s="712">
        <v>0</v>
      </c>
      <c r="H4338">
        <v>0</v>
      </c>
      <c r="I4338" s="713">
        <v>0</v>
      </c>
      <c r="J4338" s="711">
        <v>8968.4599999999991</v>
      </c>
      <c r="K4338">
        <v>0</v>
      </c>
      <c r="L4338">
        <v>0</v>
      </c>
      <c r="M4338">
        <v>0</v>
      </c>
      <c r="N4338" s="711">
        <v>8968.4599999999991</v>
      </c>
      <c r="O4338">
        <v>0</v>
      </c>
      <c r="P4338" s="711">
        <v>8968.4599999999991</v>
      </c>
    </row>
    <row r="4339" spans="1:16">
      <c r="A4339">
        <v>8</v>
      </c>
      <c r="B4339" t="s">
        <v>12882</v>
      </c>
      <c r="C4339" t="s">
        <v>12887</v>
      </c>
      <c r="D4339" t="s">
        <v>12890</v>
      </c>
      <c r="E4339" t="s">
        <v>10870</v>
      </c>
      <c r="F4339" t="s">
        <v>10871</v>
      </c>
      <c r="G4339" s="712">
        <v>0</v>
      </c>
      <c r="H4339">
        <v>0</v>
      </c>
      <c r="I4339" s="713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</row>
    <row r="4340" spans="1:16">
      <c r="A4340">
        <v>8</v>
      </c>
      <c r="B4340" t="s">
        <v>12882</v>
      </c>
      <c r="C4340" t="s">
        <v>12887</v>
      </c>
      <c r="D4340" t="s">
        <v>12890</v>
      </c>
      <c r="E4340" t="s">
        <v>10876</v>
      </c>
      <c r="F4340" t="s">
        <v>10877</v>
      </c>
      <c r="G4340" s="712">
        <v>0</v>
      </c>
      <c r="H4340">
        <v>0</v>
      </c>
      <c r="I4340" s="713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</row>
    <row r="4341" spans="1:16">
      <c r="A4341">
        <v>8</v>
      </c>
      <c r="B4341" t="s">
        <v>12882</v>
      </c>
      <c r="C4341" t="s">
        <v>12887</v>
      </c>
      <c r="D4341" t="s">
        <v>12890</v>
      </c>
      <c r="E4341" t="s">
        <v>10881</v>
      </c>
      <c r="F4341" t="s">
        <v>10882</v>
      </c>
      <c r="G4341" s="712">
        <v>0</v>
      </c>
      <c r="H4341">
        <v>0</v>
      </c>
      <c r="I4341" s="713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</row>
    <row r="4342" spans="1:16">
      <c r="A4342">
        <v>8</v>
      </c>
      <c r="B4342" t="s">
        <v>12882</v>
      </c>
      <c r="C4342" t="s">
        <v>12887</v>
      </c>
      <c r="D4342" t="s">
        <v>12890</v>
      </c>
      <c r="E4342" t="s">
        <v>10883</v>
      </c>
      <c r="F4342" t="s">
        <v>10884</v>
      </c>
      <c r="G4342" s="712">
        <v>0</v>
      </c>
      <c r="H4342">
        <v>0</v>
      </c>
      <c r="I4342" s="713">
        <v>0</v>
      </c>
      <c r="J4342" s="711">
        <v>496626.65</v>
      </c>
      <c r="K4342">
        <v>160.41999999999999</v>
      </c>
      <c r="L4342">
        <v>0</v>
      </c>
      <c r="M4342">
        <v>0</v>
      </c>
      <c r="N4342" s="711">
        <v>496626.65</v>
      </c>
      <c r="O4342">
        <v>160.41999999999999</v>
      </c>
      <c r="P4342" s="711">
        <v>496466.23</v>
      </c>
    </row>
    <row r="4343" spans="1:16">
      <c r="A4343">
        <v>8</v>
      </c>
      <c r="B4343" t="s">
        <v>12882</v>
      </c>
      <c r="C4343" t="s">
        <v>12887</v>
      </c>
      <c r="D4343" t="s">
        <v>12890</v>
      </c>
      <c r="E4343" t="s">
        <v>10886</v>
      </c>
      <c r="F4343" t="s">
        <v>10887</v>
      </c>
      <c r="G4343" s="712">
        <v>0</v>
      </c>
      <c r="H4343">
        <v>0</v>
      </c>
      <c r="I4343" s="713">
        <v>0</v>
      </c>
      <c r="J4343" s="711">
        <v>1301481.72</v>
      </c>
      <c r="K4343" s="711">
        <v>1301481.72</v>
      </c>
      <c r="L4343">
        <v>0</v>
      </c>
      <c r="M4343">
        <v>0</v>
      </c>
      <c r="N4343" s="711">
        <v>1301481.72</v>
      </c>
      <c r="O4343" s="711">
        <v>1301481.72</v>
      </c>
      <c r="P4343">
        <v>0</v>
      </c>
    </row>
    <row r="4344" spans="1:16">
      <c r="A4344">
        <v>8</v>
      </c>
      <c r="B4344" t="s">
        <v>12882</v>
      </c>
      <c r="C4344" t="s">
        <v>12887</v>
      </c>
      <c r="D4344" t="s">
        <v>12890</v>
      </c>
      <c r="E4344" t="s">
        <v>10890</v>
      </c>
      <c r="F4344" t="s">
        <v>10891</v>
      </c>
      <c r="G4344" s="712">
        <v>0</v>
      </c>
      <c r="H4344">
        <v>0</v>
      </c>
      <c r="I4344" s="713">
        <v>0</v>
      </c>
      <c r="J4344" s="711">
        <v>39672.339999999997</v>
      </c>
      <c r="K4344" s="711">
        <v>39672.339999999997</v>
      </c>
      <c r="L4344">
        <v>0</v>
      </c>
      <c r="M4344">
        <v>0</v>
      </c>
      <c r="N4344" s="711">
        <v>39672.339999999997</v>
      </c>
      <c r="O4344" s="711">
        <v>39672.339999999997</v>
      </c>
      <c r="P4344">
        <v>0</v>
      </c>
    </row>
    <row r="4345" spans="1:16">
      <c r="A4345">
        <v>8</v>
      </c>
      <c r="B4345" t="s">
        <v>12882</v>
      </c>
      <c r="C4345" t="s">
        <v>12887</v>
      </c>
      <c r="D4345" t="s">
        <v>12890</v>
      </c>
      <c r="E4345" t="s">
        <v>10895</v>
      </c>
      <c r="F4345" t="s">
        <v>10896</v>
      </c>
      <c r="G4345" s="712">
        <v>0</v>
      </c>
      <c r="H4345">
        <v>0</v>
      </c>
      <c r="I4345" s="713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</row>
    <row r="4346" spans="1:16">
      <c r="A4346">
        <v>8</v>
      </c>
      <c r="B4346" t="s">
        <v>12882</v>
      </c>
      <c r="C4346" t="s">
        <v>12887</v>
      </c>
      <c r="D4346" t="s">
        <v>12890</v>
      </c>
      <c r="E4346" t="s">
        <v>10897</v>
      </c>
      <c r="F4346" t="s">
        <v>10898</v>
      </c>
      <c r="G4346" s="712">
        <v>0</v>
      </c>
      <c r="H4346">
        <v>0</v>
      </c>
      <c r="I4346" s="713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</row>
    <row r="4347" spans="1:16">
      <c r="A4347">
        <v>8</v>
      </c>
      <c r="B4347" t="s">
        <v>12882</v>
      </c>
      <c r="C4347" t="s">
        <v>12887</v>
      </c>
      <c r="D4347" t="s">
        <v>12890</v>
      </c>
      <c r="E4347" t="s">
        <v>10899</v>
      </c>
      <c r="F4347" t="s">
        <v>10900</v>
      </c>
      <c r="G4347" s="712">
        <v>0</v>
      </c>
      <c r="H4347">
        <v>0</v>
      </c>
      <c r="I4347" s="713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</row>
    <row r="4348" spans="1:16">
      <c r="A4348">
        <v>8</v>
      </c>
      <c r="B4348" t="s">
        <v>12882</v>
      </c>
      <c r="C4348" t="s">
        <v>12887</v>
      </c>
      <c r="D4348" t="s">
        <v>12890</v>
      </c>
      <c r="E4348" t="s">
        <v>10901</v>
      </c>
      <c r="F4348" t="s">
        <v>10902</v>
      </c>
      <c r="G4348" s="712">
        <v>0</v>
      </c>
      <c r="H4348">
        <v>0</v>
      </c>
      <c r="I4348" s="713">
        <v>0</v>
      </c>
      <c r="J4348" s="711">
        <v>220691.58</v>
      </c>
      <c r="K4348">
        <v>0</v>
      </c>
      <c r="L4348">
        <v>0</v>
      </c>
      <c r="M4348">
        <v>0</v>
      </c>
      <c r="N4348" s="711">
        <v>220691.58</v>
      </c>
      <c r="O4348">
        <v>0</v>
      </c>
      <c r="P4348" s="711">
        <v>220691.58</v>
      </c>
    </row>
    <row r="4349" spans="1:16">
      <c r="A4349">
        <v>8</v>
      </c>
      <c r="B4349" t="s">
        <v>12882</v>
      </c>
      <c r="C4349" t="s">
        <v>12887</v>
      </c>
      <c r="D4349" t="s">
        <v>12890</v>
      </c>
      <c r="E4349" t="s">
        <v>10904</v>
      </c>
      <c r="F4349" t="s">
        <v>10905</v>
      </c>
      <c r="G4349" s="712">
        <v>0</v>
      </c>
      <c r="H4349">
        <v>0</v>
      </c>
      <c r="I4349" s="713">
        <v>0</v>
      </c>
      <c r="J4349" s="711">
        <v>171010.93</v>
      </c>
      <c r="K4349" s="711">
        <v>171010.93</v>
      </c>
      <c r="L4349">
        <v>0</v>
      </c>
      <c r="M4349">
        <v>0</v>
      </c>
      <c r="N4349" s="711">
        <v>171010.93</v>
      </c>
      <c r="O4349" s="711">
        <v>171010.93</v>
      </c>
      <c r="P4349">
        <v>0</v>
      </c>
    </row>
    <row r="4350" spans="1:16">
      <c r="A4350">
        <v>8</v>
      </c>
      <c r="B4350" t="s">
        <v>12882</v>
      </c>
      <c r="C4350" t="s">
        <v>12887</v>
      </c>
      <c r="D4350" t="s">
        <v>12890</v>
      </c>
      <c r="E4350" t="s">
        <v>10906</v>
      </c>
      <c r="F4350" t="s">
        <v>10907</v>
      </c>
      <c r="G4350" s="712">
        <v>0</v>
      </c>
      <c r="H4350">
        <v>0</v>
      </c>
      <c r="I4350" s="713">
        <v>0</v>
      </c>
      <c r="J4350" s="711">
        <v>4397.03</v>
      </c>
      <c r="K4350" s="711">
        <v>4397.03</v>
      </c>
      <c r="L4350">
        <v>0</v>
      </c>
      <c r="M4350">
        <v>0</v>
      </c>
      <c r="N4350" s="711">
        <v>4397.03</v>
      </c>
      <c r="O4350" s="711">
        <v>4397.03</v>
      </c>
      <c r="P4350">
        <v>0</v>
      </c>
    </row>
    <row r="4351" spans="1:16">
      <c r="A4351">
        <v>8</v>
      </c>
      <c r="B4351" t="s">
        <v>12882</v>
      </c>
      <c r="C4351" t="s">
        <v>12887</v>
      </c>
      <c r="D4351" t="s">
        <v>12890</v>
      </c>
      <c r="E4351" t="s">
        <v>10908</v>
      </c>
      <c r="F4351" t="s">
        <v>10909</v>
      </c>
      <c r="G4351" s="712">
        <v>0</v>
      </c>
      <c r="H4351">
        <v>0</v>
      </c>
      <c r="I4351" s="713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</row>
    <row r="4352" spans="1:16">
      <c r="A4352">
        <v>8</v>
      </c>
      <c r="B4352" t="s">
        <v>12882</v>
      </c>
      <c r="C4352" t="s">
        <v>12887</v>
      </c>
      <c r="D4352" t="s">
        <v>12890</v>
      </c>
      <c r="E4352" t="s">
        <v>10910</v>
      </c>
      <c r="F4352" t="s">
        <v>10911</v>
      </c>
      <c r="G4352" s="712">
        <v>0</v>
      </c>
      <c r="H4352">
        <v>0</v>
      </c>
      <c r="I4352" s="713">
        <v>0</v>
      </c>
      <c r="J4352" s="711">
        <v>21415.7</v>
      </c>
      <c r="K4352" s="711">
        <v>21415.7</v>
      </c>
      <c r="L4352">
        <v>0</v>
      </c>
      <c r="M4352">
        <v>0</v>
      </c>
      <c r="N4352" s="711">
        <v>21415.7</v>
      </c>
      <c r="O4352" s="711">
        <v>21415.7</v>
      </c>
      <c r="P4352">
        <v>0</v>
      </c>
    </row>
    <row r="4353" spans="1:16">
      <c r="A4353">
        <v>8</v>
      </c>
      <c r="B4353" t="s">
        <v>12882</v>
      </c>
      <c r="C4353" t="s">
        <v>12887</v>
      </c>
      <c r="D4353" t="s">
        <v>12890</v>
      </c>
      <c r="E4353" t="s">
        <v>10912</v>
      </c>
      <c r="F4353" t="s">
        <v>10913</v>
      </c>
      <c r="G4353" s="712">
        <v>0</v>
      </c>
      <c r="H4353">
        <v>0</v>
      </c>
      <c r="I4353" s="713">
        <v>0</v>
      </c>
      <c r="J4353" s="711">
        <v>7430.37</v>
      </c>
      <c r="K4353" s="711">
        <v>7430.37</v>
      </c>
      <c r="L4353">
        <v>0</v>
      </c>
      <c r="M4353">
        <v>0</v>
      </c>
      <c r="N4353" s="711">
        <v>7430.37</v>
      </c>
      <c r="O4353" s="711">
        <v>7430.37</v>
      </c>
      <c r="P4353">
        <v>0</v>
      </c>
    </row>
    <row r="4354" spans="1:16">
      <c r="A4354">
        <v>8</v>
      </c>
      <c r="B4354" t="s">
        <v>12882</v>
      </c>
      <c r="C4354" t="s">
        <v>12887</v>
      </c>
      <c r="D4354" t="s">
        <v>12890</v>
      </c>
      <c r="E4354" t="s">
        <v>10914</v>
      </c>
      <c r="F4354" t="s">
        <v>10915</v>
      </c>
      <c r="G4354" s="712">
        <v>0</v>
      </c>
      <c r="H4354">
        <v>0</v>
      </c>
      <c r="I4354" s="713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</row>
    <row r="4355" spans="1:16">
      <c r="A4355">
        <v>8</v>
      </c>
      <c r="B4355" t="s">
        <v>12882</v>
      </c>
      <c r="C4355" t="s">
        <v>12887</v>
      </c>
      <c r="D4355" t="s">
        <v>12890</v>
      </c>
      <c r="E4355" t="s">
        <v>10916</v>
      </c>
      <c r="F4355" t="s">
        <v>10917</v>
      </c>
      <c r="G4355" s="712">
        <v>0</v>
      </c>
      <c r="H4355">
        <v>0</v>
      </c>
      <c r="I4355" s="713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</row>
    <row r="4356" spans="1:16">
      <c r="A4356">
        <v>8</v>
      </c>
      <c r="B4356" t="s">
        <v>12882</v>
      </c>
      <c r="C4356" t="s">
        <v>12887</v>
      </c>
      <c r="D4356" t="s">
        <v>12890</v>
      </c>
      <c r="E4356" t="s">
        <v>10918</v>
      </c>
      <c r="F4356" t="s">
        <v>10919</v>
      </c>
      <c r="G4356" s="712">
        <v>0</v>
      </c>
      <c r="H4356">
        <v>0</v>
      </c>
      <c r="I4356" s="713">
        <v>0</v>
      </c>
      <c r="J4356" s="711">
        <v>6570.39</v>
      </c>
      <c r="K4356" s="711">
        <v>6570.39</v>
      </c>
      <c r="L4356">
        <v>0</v>
      </c>
      <c r="M4356">
        <v>0</v>
      </c>
      <c r="N4356" s="711">
        <v>6570.39</v>
      </c>
      <c r="O4356" s="711">
        <v>6570.39</v>
      </c>
      <c r="P4356">
        <v>0</v>
      </c>
    </row>
    <row r="4357" spans="1:16">
      <c r="A4357">
        <v>8</v>
      </c>
      <c r="B4357" t="s">
        <v>12882</v>
      </c>
      <c r="C4357" t="s">
        <v>12887</v>
      </c>
      <c r="D4357" t="s">
        <v>12890</v>
      </c>
      <c r="E4357" t="s">
        <v>10922</v>
      </c>
      <c r="F4357" t="s">
        <v>10923</v>
      </c>
      <c r="G4357" s="712">
        <v>0</v>
      </c>
      <c r="H4357">
        <v>0</v>
      </c>
      <c r="I4357" s="713">
        <v>0</v>
      </c>
      <c r="J4357">
        <v>827.9</v>
      </c>
      <c r="K4357">
        <v>827.9</v>
      </c>
      <c r="L4357">
        <v>0</v>
      </c>
      <c r="M4357">
        <v>0</v>
      </c>
      <c r="N4357">
        <v>827.9</v>
      </c>
      <c r="O4357">
        <v>827.9</v>
      </c>
      <c r="P4357">
        <v>0</v>
      </c>
    </row>
    <row r="4358" spans="1:16">
      <c r="A4358">
        <v>8</v>
      </c>
      <c r="B4358" t="s">
        <v>12882</v>
      </c>
      <c r="C4358" t="s">
        <v>12887</v>
      </c>
      <c r="D4358" t="s">
        <v>12890</v>
      </c>
      <c r="E4358" t="s">
        <v>10927</v>
      </c>
      <c r="F4358" t="s">
        <v>10928</v>
      </c>
      <c r="G4358" s="712">
        <v>0</v>
      </c>
      <c r="H4358">
        <v>0</v>
      </c>
      <c r="I4358" s="713">
        <v>0</v>
      </c>
      <c r="J4358" s="711">
        <v>67454.710000000006</v>
      </c>
      <c r="K4358">
        <v>63.53</v>
      </c>
      <c r="L4358">
        <v>0</v>
      </c>
      <c r="M4358">
        <v>0</v>
      </c>
      <c r="N4358" s="711">
        <v>67454.710000000006</v>
      </c>
      <c r="O4358">
        <v>63.53</v>
      </c>
      <c r="P4358" s="711">
        <v>67391.179999999993</v>
      </c>
    </row>
    <row r="4359" spans="1:16">
      <c r="A4359">
        <v>8</v>
      </c>
      <c r="B4359" t="s">
        <v>12882</v>
      </c>
      <c r="C4359" t="s">
        <v>12887</v>
      </c>
      <c r="D4359" t="s">
        <v>12890</v>
      </c>
      <c r="E4359" t="s">
        <v>10929</v>
      </c>
      <c r="F4359" t="s">
        <v>10930</v>
      </c>
      <c r="G4359" s="712">
        <v>0</v>
      </c>
      <c r="H4359">
        <v>0</v>
      </c>
      <c r="I4359" s="713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</row>
    <row r="4360" spans="1:16">
      <c r="A4360">
        <v>8</v>
      </c>
      <c r="B4360" t="s">
        <v>12882</v>
      </c>
      <c r="C4360" t="s">
        <v>12887</v>
      </c>
      <c r="D4360" t="s">
        <v>12890</v>
      </c>
      <c r="E4360" t="s">
        <v>10931</v>
      </c>
      <c r="F4360" t="s">
        <v>10932</v>
      </c>
      <c r="G4360" s="712">
        <v>0</v>
      </c>
      <c r="H4360">
        <v>0</v>
      </c>
      <c r="I4360" s="713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</row>
    <row r="4361" spans="1:16">
      <c r="A4361">
        <v>8</v>
      </c>
      <c r="B4361" t="s">
        <v>12882</v>
      </c>
      <c r="C4361" t="s">
        <v>12887</v>
      </c>
      <c r="D4361" t="s">
        <v>12890</v>
      </c>
      <c r="E4361" t="s">
        <v>10933</v>
      </c>
      <c r="F4361" t="s">
        <v>10934</v>
      </c>
      <c r="G4361" s="712">
        <v>0</v>
      </c>
      <c r="H4361">
        <v>0</v>
      </c>
      <c r="I4361" s="713">
        <v>0</v>
      </c>
      <c r="J4361" s="711">
        <v>378750.64</v>
      </c>
      <c r="K4361">
        <v>0</v>
      </c>
      <c r="L4361">
        <v>0</v>
      </c>
      <c r="M4361">
        <v>0</v>
      </c>
      <c r="N4361" s="711">
        <v>378750.64</v>
      </c>
      <c r="O4361">
        <v>0</v>
      </c>
      <c r="P4361" s="711">
        <v>378750.64</v>
      </c>
    </row>
    <row r="4362" spans="1:16">
      <c r="A4362">
        <v>8</v>
      </c>
      <c r="B4362" t="s">
        <v>12882</v>
      </c>
      <c r="C4362" t="s">
        <v>12887</v>
      </c>
      <c r="D4362" t="s">
        <v>12890</v>
      </c>
      <c r="E4362" t="s">
        <v>10937</v>
      </c>
      <c r="F4362" t="s">
        <v>10938</v>
      </c>
      <c r="G4362" s="712">
        <v>0</v>
      </c>
      <c r="H4362">
        <v>0</v>
      </c>
      <c r="I4362" s="713">
        <v>0</v>
      </c>
      <c r="J4362" s="711">
        <v>5199.09</v>
      </c>
      <c r="K4362" s="711">
        <v>5199.09</v>
      </c>
      <c r="L4362">
        <v>0</v>
      </c>
      <c r="M4362">
        <v>0</v>
      </c>
      <c r="N4362" s="711">
        <v>5199.09</v>
      </c>
      <c r="O4362" s="711">
        <v>5199.09</v>
      </c>
      <c r="P4362">
        <v>0</v>
      </c>
    </row>
    <row r="4363" spans="1:16">
      <c r="A4363">
        <v>8</v>
      </c>
      <c r="B4363" t="s">
        <v>12882</v>
      </c>
      <c r="C4363" t="s">
        <v>12887</v>
      </c>
      <c r="D4363" t="s">
        <v>12890</v>
      </c>
      <c r="E4363" t="s">
        <v>10939</v>
      </c>
      <c r="F4363" t="s">
        <v>10940</v>
      </c>
      <c r="G4363" s="712">
        <v>0</v>
      </c>
      <c r="H4363">
        <v>0</v>
      </c>
      <c r="I4363" s="713">
        <v>0</v>
      </c>
      <c r="J4363" s="711">
        <v>954704.42</v>
      </c>
      <c r="K4363">
        <v>439.92</v>
      </c>
      <c r="L4363">
        <v>0</v>
      </c>
      <c r="M4363">
        <v>0</v>
      </c>
      <c r="N4363" s="711">
        <v>954704.42</v>
      </c>
      <c r="O4363">
        <v>439.92</v>
      </c>
      <c r="P4363" s="711">
        <v>954264.5</v>
      </c>
    </row>
    <row r="4364" spans="1:16">
      <c r="A4364">
        <v>8</v>
      </c>
      <c r="B4364" t="s">
        <v>12882</v>
      </c>
      <c r="C4364" t="s">
        <v>12887</v>
      </c>
      <c r="D4364" t="s">
        <v>12890</v>
      </c>
      <c r="E4364" t="s">
        <v>10941</v>
      </c>
      <c r="F4364" t="s">
        <v>10942</v>
      </c>
      <c r="G4364" s="712">
        <v>0</v>
      </c>
      <c r="H4364">
        <v>0</v>
      </c>
      <c r="I4364" s="713">
        <v>0</v>
      </c>
      <c r="J4364" s="711">
        <v>252437.35</v>
      </c>
      <c r="K4364" s="711">
        <v>252437.35</v>
      </c>
      <c r="L4364">
        <v>0</v>
      </c>
      <c r="M4364">
        <v>0</v>
      </c>
      <c r="N4364" s="711">
        <v>252437.35</v>
      </c>
      <c r="O4364" s="711">
        <v>252437.35</v>
      </c>
      <c r="P4364">
        <v>0</v>
      </c>
    </row>
    <row r="4365" spans="1:16">
      <c r="A4365">
        <v>8</v>
      </c>
      <c r="B4365" t="s">
        <v>12882</v>
      </c>
      <c r="C4365" t="s">
        <v>12887</v>
      </c>
      <c r="D4365" t="s">
        <v>12890</v>
      </c>
      <c r="E4365" t="s">
        <v>10943</v>
      </c>
      <c r="F4365" t="s">
        <v>10944</v>
      </c>
      <c r="G4365" s="712">
        <v>0</v>
      </c>
      <c r="H4365">
        <v>0</v>
      </c>
      <c r="I4365" s="713">
        <v>0</v>
      </c>
      <c r="J4365" s="711">
        <v>103331.73</v>
      </c>
      <c r="K4365" s="711">
        <v>103331.73</v>
      </c>
      <c r="L4365">
        <v>0</v>
      </c>
      <c r="M4365">
        <v>0</v>
      </c>
      <c r="N4365" s="711">
        <v>103331.73</v>
      </c>
      <c r="O4365" s="711">
        <v>103331.73</v>
      </c>
      <c r="P4365">
        <v>0</v>
      </c>
    </row>
    <row r="4366" spans="1:16">
      <c r="A4366">
        <v>8</v>
      </c>
      <c r="B4366" t="s">
        <v>12882</v>
      </c>
      <c r="C4366" t="s">
        <v>12887</v>
      </c>
      <c r="D4366" t="s">
        <v>12890</v>
      </c>
      <c r="E4366" t="s">
        <v>10946</v>
      </c>
      <c r="F4366" t="s">
        <v>10947</v>
      </c>
      <c r="G4366" s="712">
        <v>0</v>
      </c>
      <c r="H4366">
        <v>0</v>
      </c>
      <c r="I4366" s="713">
        <v>0</v>
      </c>
      <c r="J4366" s="711">
        <v>35136.910000000003</v>
      </c>
      <c r="K4366" s="711">
        <v>35136.910000000003</v>
      </c>
      <c r="L4366">
        <v>0</v>
      </c>
      <c r="M4366">
        <v>0</v>
      </c>
      <c r="N4366" s="711">
        <v>35136.910000000003</v>
      </c>
      <c r="O4366" s="711">
        <v>35136.910000000003</v>
      </c>
      <c r="P4366">
        <v>0</v>
      </c>
    </row>
    <row r="4367" spans="1:16">
      <c r="A4367">
        <v>8</v>
      </c>
      <c r="B4367" t="s">
        <v>12882</v>
      </c>
      <c r="C4367" t="s">
        <v>12887</v>
      </c>
      <c r="D4367" t="s">
        <v>12890</v>
      </c>
      <c r="E4367" t="s">
        <v>10948</v>
      </c>
      <c r="F4367" t="s">
        <v>10949</v>
      </c>
      <c r="G4367" s="712">
        <v>0</v>
      </c>
      <c r="H4367">
        <v>0</v>
      </c>
      <c r="I4367" s="713">
        <v>0</v>
      </c>
      <c r="J4367" s="711">
        <v>19150.13</v>
      </c>
      <c r="K4367" s="711">
        <v>19150.13</v>
      </c>
      <c r="L4367">
        <v>0</v>
      </c>
      <c r="M4367">
        <v>0</v>
      </c>
      <c r="N4367" s="711">
        <v>19150.13</v>
      </c>
      <c r="O4367" s="711">
        <v>19150.13</v>
      </c>
      <c r="P4367">
        <v>0</v>
      </c>
    </row>
    <row r="4368" spans="1:16">
      <c r="A4368">
        <v>8</v>
      </c>
      <c r="B4368" t="s">
        <v>12882</v>
      </c>
      <c r="C4368" t="s">
        <v>12887</v>
      </c>
      <c r="D4368" t="s">
        <v>12890</v>
      </c>
      <c r="E4368" t="s">
        <v>10950</v>
      </c>
      <c r="F4368" t="s">
        <v>10951</v>
      </c>
      <c r="G4368" s="712">
        <v>0</v>
      </c>
      <c r="H4368">
        <v>0</v>
      </c>
      <c r="I4368" s="713">
        <v>0</v>
      </c>
      <c r="J4368" s="711">
        <v>41390.85</v>
      </c>
      <c r="K4368" s="711">
        <v>41390.85</v>
      </c>
      <c r="L4368">
        <v>0</v>
      </c>
      <c r="M4368">
        <v>0</v>
      </c>
      <c r="N4368" s="711">
        <v>41390.85</v>
      </c>
      <c r="O4368" s="711">
        <v>41390.85</v>
      </c>
      <c r="P4368">
        <v>0</v>
      </c>
    </row>
    <row r="4369" spans="1:16">
      <c r="A4369">
        <v>8</v>
      </c>
      <c r="B4369" t="s">
        <v>12882</v>
      </c>
      <c r="C4369" t="s">
        <v>12887</v>
      </c>
      <c r="D4369" t="s">
        <v>12890</v>
      </c>
      <c r="E4369" t="s">
        <v>10953</v>
      </c>
      <c r="F4369" t="s">
        <v>10954</v>
      </c>
      <c r="G4369" s="712">
        <v>0</v>
      </c>
      <c r="H4369">
        <v>0</v>
      </c>
      <c r="I4369" s="713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</row>
    <row r="4370" spans="1:16">
      <c r="A4370">
        <v>8</v>
      </c>
      <c r="B4370" t="s">
        <v>12882</v>
      </c>
      <c r="C4370" t="s">
        <v>12887</v>
      </c>
      <c r="D4370" t="s">
        <v>12890</v>
      </c>
      <c r="E4370" t="s">
        <v>10958</v>
      </c>
      <c r="F4370" t="s">
        <v>10959</v>
      </c>
      <c r="G4370" s="712">
        <v>0</v>
      </c>
      <c r="H4370">
        <v>0</v>
      </c>
      <c r="I4370" s="713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</row>
    <row r="4371" spans="1:16">
      <c r="A4371">
        <v>8</v>
      </c>
      <c r="B4371" t="s">
        <v>12882</v>
      </c>
      <c r="C4371" t="s">
        <v>12887</v>
      </c>
      <c r="D4371" t="s">
        <v>12890</v>
      </c>
      <c r="E4371" t="s">
        <v>10961</v>
      </c>
      <c r="F4371" t="s">
        <v>10962</v>
      </c>
      <c r="G4371" s="712">
        <v>0</v>
      </c>
      <c r="H4371">
        <v>0</v>
      </c>
      <c r="I4371" s="713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</row>
    <row r="4372" spans="1:16">
      <c r="A4372">
        <v>8</v>
      </c>
      <c r="B4372" t="s">
        <v>12882</v>
      </c>
      <c r="C4372" t="s">
        <v>12887</v>
      </c>
      <c r="D4372" t="s">
        <v>12890</v>
      </c>
      <c r="E4372" t="s">
        <v>10964</v>
      </c>
      <c r="F4372" t="s">
        <v>10965</v>
      </c>
      <c r="G4372" s="712">
        <v>0</v>
      </c>
      <c r="H4372">
        <v>0</v>
      </c>
      <c r="I4372" s="713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</row>
    <row r="4373" spans="1:16">
      <c r="A4373">
        <v>8</v>
      </c>
      <c r="B4373" t="s">
        <v>12882</v>
      </c>
      <c r="C4373" t="s">
        <v>12887</v>
      </c>
      <c r="D4373" t="s">
        <v>12890</v>
      </c>
      <c r="E4373" t="s">
        <v>10967</v>
      </c>
      <c r="F4373" t="s">
        <v>10968</v>
      </c>
      <c r="G4373" s="712">
        <v>0</v>
      </c>
      <c r="H4373">
        <v>0</v>
      </c>
      <c r="I4373" s="71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</row>
    <row r="4374" spans="1:16">
      <c r="A4374">
        <v>8</v>
      </c>
      <c r="B4374" t="s">
        <v>12882</v>
      </c>
      <c r="C4374" t="s">
        <v>12887</v>
      </c>
      <c r="D4374" t="s">
        <v>12890</v>
      </c>
      <c r="E4374" t="s">
        <v>10971</v>
      </c>
      <c r="F4374" t="s">
        <v>10972</v>
      </c>
      <c r="G4374" s="712">
        <v>0</v>
      </c>
      <c r="H4374">
        <v>0</v>
      </c>
      <c r="I4374" s="713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</row>
    <row r="4375" spans="1:16">
      <c r="A4375">
        <v>8</v>
      </c>
      <c r="B4375" t="s">
        <v>12882</v>
      </c>
      <c r="C4375" t="s">
        <v>12887</v>
      </c>
      <c r="D4375" t="s">
        <v>12890</v>
      </c>
      <c r="E4375" t="s">
        <v>10977</v>
      </c>
      <c r="F4375" t="s">
        <v>10978</v>
      </c>
      <c r="G4375" s="712">
        <v>0</v>
      </c>
      <c r="H4375">
        <v>0</v>
      </c>
      <c r="I4375" s="713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</row>
    <row r="4376" spans="1:16">
      <c r="A4376">
        <v>8</v>
      </c>
      <c r="B4376" t="s">
        <v>12882</v>
      </c>
      <c r="C4376" t="s">
        <v>12887</v>
      </c>
      <c r="D4376" t="s">
        <v>12890</v>
      </c>
      <c r="E4376" t="s">
        <v>10983</v>
      </c>
      <c r="F4376" t="s">
        <v>10984</v>
      </c>
      <c r="G4376" s="712">
        <v>0</v>
      </c>
      <c r="H4376">
        <v>0</v>
      </c>
      <c r="I4376" s="713">
        <v>0</v>
      </c>
      <c r="J4376" s="711">
        <v>645836.34</v>
      </c>
      <c r="K4376">
        <v>24.96</v>
      </c>
      <c r="L4376">
        <v>0</v>
      </c>
      <c r="M4376">
        <v>0</v>
      </c>
      <c r="N4376" s="711">
        <v>645836.34</v>
      </c>
      <c r="O4376">
        <v>24.96</v>
      </c>
      <c r="P4376" s="711">
        <v>645811.38</v>
      </c>
    </row>
    <row r="4377" spans="1:16" ht="15.75" thickBot="1">
      <c r="A4377">
        <v>8</v>
      </c>
      <c r="B4377" t="s">
        <v>12882</v>
      </c>
      <c r="C4377" t="s">
        <v>12887</v>
      </c>
      <c r="D4377" t="s">
        <v>12890</v>
      </c>
      <c r="E4377" t="s">
        <v>10989</v>
      </c>
      <c r="F4377" t="s">
        <v>10990</v>
      </c>
      <c r="G4377" s="712">
        <v>0</v>
      </c>
      <c r="H4377">
        <v>0</v>
      </c>
      <c r="I4377" s="713">
        <v>0</v>
      </c>
      <c r="J4377" s="711">
        <v>227983.87</v>
      </c>
      <c r="K4377">
        <v>0</v>
      </c>
      <c r="L4377">
        <v>0</v>
      </c>
      <c r="M4377">
        <v>0</v>
      </c>
      <c r="N4377" s="711">
        <v>227983.87</v>
      </c>
      <c r="O4377">
        <v>0</v>
      </c>
      <c r="P4377" s="711">
        <v>227983.87</v>
      </c>
    </row>
    <row r="4378" spans="1:16" ht="15.75" thickBot="1">
      <c r="A4378" s="727">
        <v>8</v>
      </c>
      <c r="B4378" s="727" t="s">
        <v>12882</v>
      </c>
      <c r="C4378" s="727" t="s">
        <v>12887</v>
      </c>
      <c r="D4378" s="727" t="s">
        <v>12892</v>
      </c>
      <c r="E4378" s="727"/>
      <c r="F4378" s="729" t="s">
        <v>12893</v>
      </c>
      <c r="G4378" s="738">
        <v>0</v>
      </c>
      <c r="H4378" s="738">
        <v>0</v>
      </c>
      <c r="I4378" s="738">
        <v>0</v>
      </c>
      <c r="J4378" s="739">
        <v>60048</v>
      </c>
      <c r="K4378" s="738">
        <v>0</v>
      </c>
      <c r="L4378" s="738">
        <v>0</v>
      </c>
      <c r="M4378" s="738">
        <v>0</v>
      </c>
      <c r="N4378" s="739">
        <v>60048</v>
      </c>
      <c r="O4378" s="738">
        <v>0</v>
      </c>
      <c r="P4378" s="739">
        <v>60048</v>
      </c>
    </row>
    <row r="4379" spans="1:16">
      <c r="A4379">
        <v>8</v>
      </c>
      <c r="B4379" t="s">
        <v>12882</v>
      </c>
      <c r="C4379" t="s">
        <v>12887</v>
      </c>
      <c r="D4379" t="s">
        <v>12892</v>
      </c>
      <c r="E4379" t="s">
        <v>11004</v>
      </c>
      <c r="F4379" t="s">
        <v>11005</v>
      </c>
      <c r="G4379" s="712">
        <v>0</v>
      </c>
      <c r="H4379">
        <v>0</v>
      </c>
      <c r="I4379" s="713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</row>
    <row r="4380" spans="1:16">
      <c r="A4380">
        <v>8</v>
      </c>
      <c r="B4380" t="s">
        <v>12882</v>
      </c>
      <c r="C4380" t="s">
        <v>12887</v>
      </c>
      <c r="D4380" t="s">
        <v>12892</v>
      </c>
      <c r="E4380" t="s">
        <v>11010</v>
      </c>
      <c r="F4380" t="s">
        <v>11011</v>
      </c>
      <c r="G4380" s="712">
        <v>0</v>
      </c>
      <c r="H4380">
        <v>0</v>
      </c>
      <c r="I4380" s="713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</row>
    <row r="4381" spans="1:16">
      <c r="A4381">
        <v>8</v>
      </c>
      <c r="B4381" t="s">
        <v>12882</v>
      </c>
      <c r="C4381" t="s">
        <v>12887</v>
      </c>
      <c r="D4381" t="s">
        <v>12892</v>
      </c>
      <c r="E4381" t="s">
        <v>11016</v>
      </c>
      <c r="F4381" t="s">
        <v>11017</v>
      </c>
      <c r="G4381" s="712">
        <v>0</v>
      </c>
      <c r="H4381">
        <v>0</v>
      </c>
      <c r="I4381" s="713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</row>
    <row r="4382" spans="1:16">
      <c r="A4382">
        <v>8</v>
      </c>
      <c r="B4382" t="s">
        <v>12882</v>
      </c>
      <c r="C4382" t="s">
        <v>12887</v>
      </c>
      <c r="D4382" t="s">
        <v>12892</v>
      </c>
      <c r="E4382" t="s">
        <v>11022</v>
      </c>
      <c r="F4382" t="s">
        <v>11023</v>
      </c>
      <c r="G4382" s="712">
        <v>0</v>
      </c>
      <c r="H4382">
        <v>0</v>
      </c>
      <c r="I4382" s="713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</row>
    <row r="4383" spans="1:16">
      <c r="A4383">
        <v>8</v>
      </c>
      <c r="B4383" t="s">
        <v>12882</v>
      </c>
      <c r="C4383" t="s">
        <v>12887</v>
      </c>
      <c r="D4383" t="s">
        <v>12892</v>
      </c>
      <c r="E4383" t="s">
        <v>11028</v>
      </c>
      <c r="F4383" t="s">
        <v>11029</v>
      </c>
      <c r="G4383" s="712">
        <v>0</v>
      </c>
      <c r="H4383">
        <v>0</v>
      </c>
      <c r="I4383" s="71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</row>
    <row r="4384" spans="1:16">
      <c r="A4384">
        <v>8</v>
      </c>
      <c r="B4384" t="s">
        <v>12882</v>
      </c>
      <c r="C4384" t="s">
        <v>12887</v>
      </c>
      <c r="D4384" t="s">
        <v>12892</v>
      </c>
      <c r="E4384" t="s">
        <v>11034</v>
      </c>
      <c r="F4384" t="s">
        <v>11035</v>
      </c>
      <c r="G4384" s="712">
        <v>0</v>
      </c>
      <c r="H4384">
        <v>0</v>
      </c>
      <c r="I4384" s="713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</row>
    <row r="4385" spans="1:16">
      <c r="A4385">
        <v>8</v>
      </c>
      <c r="B4385" t="s">
        <v>12882</v>
      </c>
      <c r="C4385" t="s">
        <v>12887</v>
      </c>
      <c r="D4385" t="s">
        <v>12892</v>
      </c>
      <c r="E4385" t="s">
        <v>11040</v>
      </c>
      <c r="F4385" t="s">
        <v>11041</v>
      </c>
      <c r="G4385" s="712">
        <v>0</v>
      </c>
      <c r="H4385">
        <v>0</v>
      </c>
      <c r="I4385" s="713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</row>
    <row r="4386" spans="1:16">
      <c r="A4386">
        <v>8</v>
      </c>
      <c r="B4386" t="s">
        <v>12882</v>
      </c>
      <c r="C4386" t="s">
        <v>12887</v>
      </c>
      <c r="D4386" t="s">
        <v>12892</v>
      </c>
      <c r="E4386" t="s">
        <v>11046</v>
      </c>
      <c r="F4386" t="s">
        <v>11047</v>
      </c>
      <c r="G4386" s="712">
        <v>0</v>
      </c>
      <c r="H4386">
        <v>0</v>
      </c>
      <c r="I4386" s="713">
        <v>0</v>
      </c>
      <c r="J4386" s="711">
        <v>60048</v>
      </c>
      <c r="K4386">
        <v>0</v>
      </c>
      <c r="L4386">
        <v>0</v>
      </c>
      <c r="M4386">
        <v>0</v>
      </c>
      <c r="N4386" s="711">
        <v>60048</v>
      </c>
      <c r="O4386">
        <v>0</v>
      </c>
      <c r="P4386" s="711">
        <v>60048</v>
      </c>
    </row>
    <row r="4387" spans="1:16" ht="15.75" thickBot="1">
      <c r="A4387">
        <v>8</v>
      </c>
      <c r="B4387" t="s">
        <v>12882</v>
      </c>
      <c r="C4387" t="s">
        <v>12887</v>
      </c>
      <c r="D4387" t="s">
        <v>12892</v>
      </c>
      <c r="E4387" t="s">
        <v>10999</v>
      </c>
      <c r="F4387" t="s">
        <v>11000</v>
      </c>
      <c r="G4387" s="712">
        <v>0</v>
      </c>
      <c r="H4387">
        <v>0</v>
      </c>
      <c r="I4387" s="713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</row>
    <row r="4388" spans="1:16" ht="15.75" thickBot="1">
      <c r="A4388" s="727">
        <v>8</v>
      </c>
      <c r="B4388" s="727" t="s">
        <v>12882</v>
      </c>
      <c r="C4388" s="727" t="s">
        <v>12887</v>
      </c>
      <c r="D4388" s="727" t="s">
        <v>12894</v>
      </c>
      <c r="E4388" s="727"/>
      <c r="F4388" s="729" t="s">
        <v>11055</v>
      </c>
      <c r="G4388" s="738">
        <v>0</v>
      </c>
      <c r="H4388" s="738">
        <v>0</v>
      </c>
      <c r="I4388" s="738">
        <v>0</v>
      </c>
      <c r="J4388" s="738">
        <v>0</v>
      </c>
      <c r="K4388" s="738">
        <v>0</v>
      </c>
      <c r="L4388" s="738">
        <v>0</v>
      </c>
      <c r="M4388" s="738">
        <v>0</v>
      </c>
      <c r="N4388" s="738">
        <v>0</v>
      </c>
      <c r="O4388" s="738">
        <v>0</v>
      </c>
      <c r="P4388" s="738">
        <v>0</v>
      </c>
    </row>
    <row r="4389" spans="1:16" ht="15.75" thickBot="1">
      <c r="A4389">
        <v>8</v>
      </c>
      <c r="B4389" t="s">
        <v>12882</v>
      </c>
      <c r="C4389" t="s">
        <v>12887</v>
      </c>
      <c r="D4389" t="s">
        <v>12894</v>
      </c>
      <c r="E4389" t="s">
        <v>11054</v>
      </c>
      <c r="F4389" t="s">
        <v>11055</v>
      </c>
      <c r="G4389" s="712">
        <v>0</v>
      </c>
      <c r="H4389">
        <v>0</v>
      </c>
      <c r="I4389" s="713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</row>
    <row r="4390" spans="1:16" ht="15.75" thickBot="1">
      <c r="A4390" s="727">
        <v>9</v>
      </c>
      <c r="B4390" s="727"/>
      <c r="C4390" s="727"/>
      <c r="D4390" s="727"/>
      <c r="E4390" s="727"/>
      <c r="F4390" s="745" t="s">
        <v>11057</v>
      </c>
      <c r="G4390" s="738">
        <v>0</v>
      </c>
      <c r="H4390" s="738">
        <v>0</v>
      </c>
      <c r="I4390" s="738">
        <v>0</v>
      </c>
      <c r="J4390" s="739">
        <v>9584549.7899999991</v>
      </c>
      <c r="K4390" s="739">
        <v>249256.59</v>
      </c>
      <c r="L4390" s="738">
        <v>0</v>
      </c>
      <c r="M4390" s="738">
        <v>0</v>
      </c>
      <c r="N4390" s="739">
        <v>9584549.7899999991</v>
      </c>
      <c r="O4390" s="739">
        <v>249256.59</v>
      </c>
      <c r="P4390" s="739">
        <v>9335293.1999999993</v>
      </c>
    </row>
    <row r="4391" spans="1:16" ht="15.75" thickBot="1">
      <c r="A4391" s="727">
        <v>9</v>
      </c>
      <c r="B4391" s="727" t="s">
        <v>12895</v>
      </c>
      <c r="C4391" s="727"/>
      <c r="D4391" s="727"/>
      <c r="E4391" s="727"/>
      <c r="F4391" s="745" t="s">
        <v>11060</v>
      </c>
      <c r="G4391" s="738">
        <v>0</v>
      </c>
      <c r="H4391" s="738">
        <v>0</v>
      </c>
      <c r="I4391" s="738">
        <v>0</v>
      </c>
      <c r="J4391" s="739">
        <v>9584549.7899999991</v>
      </c>
      <c r="K4391" s="739">
        <v>249256.59</v>
      </c>
      <c r="L4391" s="738">
        <v>0</v>
      </c>
      <c r="M4391" s="738">
        <v>0</v>
      </c>
      <c r="N4391" s="739">
        <v>9584549.7899999991</v>
      </c>
      <c r="O4391" s="739">
        <v>249256.59</v>
      </c>
      <c r="P4391" s="739">
        <v>9335293.1999999993</v>
      </c>
    </row>
    <row r="4392" spans="1:16" ht="15.75" thickBot="1">
      <c r="A4392" s="727">
        <v>9</v>
      </c>
      <c r="B4392" s="727" t="s">
        <v>12895</v>
      </c>
      <c r="C4392" s="727" t="s">
        <v>12896</v>
      </c>
      <c r="D4392" s="727"/>
      <c r="E4392" s="727"/>
      <c r="F4392" s="745" t="s">
        <v>11067</v>
      </c>
      <c r="G4392" s="738">
        <v>0</v>
      </c>
      <c r="H4392" s="738">
        <v>0</v>
      </c>
      <c r="I4392" s="738">
        <v>0</v>
      </c>
      <c r="J4392" s="739">
        <v>9243488.1500000004</v>
      </c>
      <c r="K4392" s="739">
        <v>249256.59</v>
      </c>
      <c r="L4392" s="738">
        <v>0</v>
      </c>
      <c r="M4392" s="738">
        <v>0</v>
      </c>
      <c r="N4392" s="739">
        <v>9243488.1500000004</v>
      </c>
      <c r="O4392" s="739">
        <v>249256.59</v>
      </c>
      <c r="P4392" s="739">
        <v>8994231.5600000005</v>
      </c>
    </row>
    <row r="4393" spans="1:16" ht="15.75" thickBot="1">
      <c r="A4393" s="727">
        <v>9</v>
      </c>
      <c r="B4393" s="727" t="s">
        <v>12895</v>
      </c>
      <c r="C4393" s="727" t="s">
        <v>12896</v>
      </c>
      <c r="D4393" s="727" t="s">
        <v>12897</v>
      </c>
      <c r="E4393" s="727"/>
      <c r="F4393" s="729" t="s">
        <v>11067</v>
      </c>
      <c r="G4393" s="738">
        <v>0</v>
      </c>
      <c r="H4393" s="738">
        <v>0</v>
      </c>
      <c r="I4393" s="738">
        <v>0</v>
      </c>
      <c r="J4393" s="739">
        <v>9243488.1500000004</v>
      </c>
      <c r="K4393" s="739">
        <v>249256.59</v>
      </c>
      <c r="L4393" s="738">
        <v>0</v>
      </c>
      <c r="M4393" s="738">
        <v>0</v>
      </c>
      <c r="N4393" s="739">
        <v>9243488.1500000004</v>
      </c>
      <c r="O4393" s="739">
        <v>249256.59</v>
      </c>
      <c r="P4393" s="739">
        <v>8994231.5600000005</v>
      </c>
    </row>
    <row r="4394" spans="1:16">
      <c r="A4394">
        <v>9</v>
      </c>
      <c r="B4394" t="s">
        <v>12895</v>
      </c>
      <c r="C4394" t="s">
        <v>12896</v>
      </c>
      <c r="D4394" t="s">
        <v>12897</v>
      </c>
      <c r="E4394" t="s">
        <v>11068</v>
      </c>
      <c r="F4394" t="s">
        <v>11067</v>
      </c>
      <c r="G4394" s="712">
        <v>0</v>
      </c>
      <c r="H4394">
        <v>0</v>
      </c>
      <c r="I4394" s="713">
        <v>0</v>
      </c>
      <c r="J4394" s="711">
        <v>5572154.4199999999</v>
      </c>
      <c r="K4394" s="711">
        <v>80340.53</v>
      </c>
      <c r="L4394">
        <v>0</v>
      </c>
      <c r="M4394">
        <v>0</v>
      </c>
      <c r="N4394" s="711">
        <v>5572154.4199999999</v>
      </c>
      <c r="O4394" s="711">
        <v>80340.53</v>
      </c>
      <c r="P4394" s="711">
        <v>5491813.8899999997</v>
      </c>
    </row>
    <row r="4395" spans="1:16">
      <c r="A4395">
        <v>9</v>
      </c>
      <c r="B4395" t="s">
        <v>12895</v>
      </c>
      <c r="C4395" t="s">
        <v>12896</v>
      </c>
      <c r="D4395" t="s">
        <v>12897</v>
      </c>
      <c r="E4395" t="s">
        <v>11069</v>
      </c>
      <c r="F4395" t="s">
        <v>11070</v>
      </c>
      <c r="G4395" s="712">
        <v>0</v>
      </c>
      <c r="H4395">
        <v>0</v>
      </c>
      <c r="I4395" s="713">
        <v>0</v>
      </c>
      <c r="J4395" s="711">
        <v>2377104.7999999998</v>
      </c>
      <c r="K4395" s="711">
        <v>149203.84</v>
      </c>
      <c r="L4395">
        <v>0</v>
      </c>
      <c r="M4395">
        <v>0</v>
      </c>
      <c r="N4395" s="711">
        <v>2377104.7999999998</v>
      </c>
      <c r="O4395" s="711">
        <v>149203.84</v>
      </c>
      <c r="P4395" s="711">
        <v>2227900.96</v>
      </c>
    </row>
    <row r="4396" spans="1:16">
      <c r="A4396">
        <v>9</v>
      </c>
      <c r="B4396" t="s">
        <v>12895</v>
      </c>
      <c r="C4396" t="s">
        <v>12896</v>
      </c>
      <c r="D4396" t="s">
        <v>12897</v>
      </c>
      <c r="E4396" t="s">
        <v>11071</v>
      </c>
      <c r="F4396" t="s">
        <v>11072</v>
      </c>
      <c r="G4396" s="712">
        <v>0</v>
      </c>
      <c r="H4396">
        <v>0</v>
      </c>
      <c r="I4396" s="713">
        <v>0</v>
      </c>
      <c r="J4396" s="711">
        <v>1190564.44</v>
      </c>
      <c r="K4396">
        <v>0</v>
      </c>
      <c r="L4396">
        <v>0</v>
      </c>
      <c r="M4396">
        <v>0</v>
      </c>
      <c r="N4396" s="711">
        <v>1190564.44</v>
      </c>
      <c r="O4396">
        <v>0</v>
      </c>
      <c r="P4396" s="711">
        <v>1190564.44</v>
      </c>
    </row>
    <row r="4397" spans="1:16">
      <c r="A4397">
        <v>9</v>
      </c>
      <c r="B4397" t="s">
        <v>12895</v>
      </c>
      <c r="C4397" t="s">
        <v>12896</v>
      </c>
      <c r="D4397" t="s">
        <v>12897</v>
      </c>
      <c r="E4397" t="s">
        <v>11073</v>
      </c>
      <c r="F4397" t="s">
        <v>11074</v>
      </c>
      <c r="G4397" s="712">
        <v>0</v>
      </c>
      <c r="H4397">
        <v>0</v>
      </c>
      <c r="I4397" s="713">
        <v>0</v>
      </c>
      <c r="J4397" s="711">
        <v>21178.9</v>
      </c>
      <c r="K4397">
        <v>0</v>
      </c>
      <c r="L4397">
        <v>0</v>
      </c>
      <c r="M4397">
        <v>0</v>
      </c>
      <c r="N4397" s="711">
        <v>21178.9</v>
      </c>
      <c r="O4397">
        <v>0</v>
      </c>
      <c r="P4397" s="711">
        <v>21178.9</v>
      </c>
    </row>
    <row r="4398" spans="1:16" ht="15.75" thickBot="1">
      <c r="A4398">
        <v>9</v>
      </c>
      <c r="B4398" t="s">
        <v>12895</v>
      </c>
      <c r="C4398" t="s">
        <v>12896</v>
      </c>
      <c r="D4398" t="s">
        <v>12897</v>
      </c>
      <c r="E4398" t="s">
        <v>11075</v>
      </c>
      <c r="F4398" t="s">
        <v>11076</v>
      </c>
      <c r="G4398" s="712">
        <v>0</v>
      </c>
      <c r="H4398">
        <v>0</v>
      </c>
      <c r="I4398" s="713">
        <v>0</v>
      </c>
      <c r="J4398" s="711">
        <v>82485.59</v>
      </c>
      <c r="K4398" s="711">
        <v>19712.22</v>
      </c>
      <c r="L4398">
        <v>0</v>
      </c>
      <c r="M4398">
        <v>0</v>
      </c>
      <c r="N4398" s="711">
        <v>82485.59</v>
      </c>
      <c r="O4398" s="711">
        <v>19712.22</v>
      </c>
      <c r="P4398" s="711">
        <v>62773.37</v>
      </c>
    </row>
    <row r="4399" spans="1:16" ht="15.75" thickBot="1">
      <c r="A4399" s="727">
        <v>9</v>
      </c>
      <c r="B4399" s="727" t="s">
        <v>12895</v>
      </c>
      <c r="C4399" s="727" t="s">
        <v>12898</v>
      </c>
      <c r="D4399" s="727"/>
      <c r="E4399" s="727"/>
      <c r="F4399" s="745" t="s">
        <v>12899</v>
      </c>
      <c r="G4399" s="738">
        <v>0</v>
      </c>
      <c r="H4399" s="738">
        <v>0</v>
      </c>
      <c r="I4399" s="738">
        <v>0</v>
      </c>
      <c r="J4399" s="739">
        <v>111517.27</v>
      </c>
      <c r="K4399" s="738">
        <v>0</v>
      </c>
      <c r="L4399" s="738">
        <v>0</v>
      </c>
      <c r="M4399" s="738">
        <v>0</v>
      </c>
      <c r="N4399" s="739">
        <v>111517.27</v>
      </c>
      <c r="O4399" s="738">
        <v>0</v>
      </c>
      <c r="P4399" s="739">
        <v>111517.27</v>
      </c>
    </row>
    <row r="4400" spans="1:16" ht="15.75" thickBot="1">
      <c r="A4400" s="727">
        <v>9</v>
      </c>
      <c r="B4400" s="727" t="s">
        <v>12895</v>
      </c>
      <c r="C4400" s="727" t="s">
        <v>12898</v>
      </c>
      <c r="D4400" s="727" t="s">
        <v>12900</v>
      </c>
      <c r="E4400" s="727"/>
      <c r="F4400" s="729" t="s">
        <v>12899</v>
      </c>
      <c r="G4400" s="738">
        <v>0</v>
      </c>
      <c r="H4400" s="738">
        <v>0</v>
      </c>
      <c r="I4400" s="738">
        <v>0</v>
      </c>
      <c r="J4400" s="739">
        <v>111517.27</v>
      </c>
      <c r="K4400" s="738">
        <v>0</v>
      </c>
      <c r="L4400" s="738">
        <v>0</v>
      </c>
      <c r="M4400" s="738">
        <v>0</v>
      </c>
      <c r="N4400" s="739">
        <v>111517.27</v>
      </c>
      <c r="O4400" s="738">
        <v>0</v>
      </c>
      <c r="P4400" s="739">
        <v>111517.27</v>
      </c>
    </row>
    <row r="4401" spans="1:16">
      <c r="A4401">
        <v>9</v>
      </c>
      <c r="B4401" t="s">
        <v>12895</v>
      </c>
      <c r="C4401" t="s">
        <v>12898</v>
      </c>
      <c r="D4401" t="s">
        <v>12900</v>
      </c>
      <c r="E4401" t="s">
        <v>11082</v>
      </c>
      <c r="F4401" t="s">
        <v>11083</v>
      </c>
      <c r="G4401" s="712">
        <v>0</v>
      </c>
      <c r="H4401">
        <v>0</v>
      </c>
      <c r="I4401" s="713">
        <v>0</v>
      </c>
      <c r="J4401" s="711">
        <v>111517.27</v>
      </c>
      <c r="K4401">
        <v>0</v>
      </c>
      <c r="L4401">
        <v>0</v>
      </c>
      <c r="M4401">
        <v>0</v>
      </c>
      <c r="N4401" s="711">
        <v>111517.27</v>
      </c>
      <c r="O4401">
        <v>0</v>
      </c>
      <c r="P4401" s="711">
        <v>111517.27</v>
      </c>
    </row>
    <row r="4402" spans="1:16">
      <c r="A4402">
        <v>9</v>
      </c>
      <c r="B4402" t="s">
        <v>12895</v>
      </c>
      <c r="C4402" t="s">
        <v>12898</v>
      </c>
      <c r="D4402" t="s">
        <v>12900</v>
      </c>
      <c r="E4402" t="s">
        <v>11084</v>
      </c>
      <c r="F4402" t="s">
        <v>11085</v>
      </c>
      <c r="G4402" s="712">
        <v>0</v>
      </c>
      <c r="H4402">
        <v>0</v>
      </c>
      <c r="I4402" s="713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</row>
    <row r="4403" spans="1:16">
      <c r="A4403">
        <v>9</v>
      </c>
      <c r="B4403" t="s">
        <v>12895</v>
      </c>
      <c r="C4403" t="s">
        <v>12898</v>
      </c>
      <c r="D4403" t="s">
        <v>12900</v>
      </c>
      <c r="E4403" t="s">
        <v>11086</v>
      </c>
      <c r="F4403" t="s">
        <v>11087</v>
      </c>
      <c r="G4403" s="712">
        <v>0</v>
      </c>
      <c r="H4403">
        <v>0</v>
      </c>
      <c r="I4403" s="71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</row>
    <row r="4404" spans="1:16">
      <c r="A4404">
        <v>9</v>
      </c>
      <c r="B4404" t="s">
        <v>12895</v>
      </c>
      <c r="C4404" t="s">
        <v>12898</v>
      </c>
      <c r="D4404" t="s">
        <v>12900</v>
      </c>
      <c r="E4404" t="s">
        <v>11088</v>
      </c>
      <c r="F4404" t="s">
        <v>11089</v>
      </c>
      <c r="G4404" s="712">
        <v>0</v>
      </c>
      <c r="H4404">
        <v>0</v>
      </c>
      <c r="I4404" s="713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</row>
    <row r="4405" spans="1:16" ht="15.75" thickBot="1">
      <c r="A4405">
        <v>9</v>
      </c>
      <c r="B4405" t="s">
        <v>12895</v>
      </c>
      <c r="C4405" t="s">
        <v>12898</v>
      </c>
      <c r="D4405" t="s">
        <v>12900</v>
      </c>
      <c r="E4405" t="s">
        <v>11090</v>
      </c>
      <c r="F4405" t="s">
        <v>11091</v>
      </c>
      <c r="G4405" s="712">
        <v>0</v>
      </c>
      <c r="H4405">
        <v>0</v>
      </c>
      <c r="I4405" s="713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</row>
    <row r="4406" spans="1:16" ht="15.75" thickBot="1">
      <c r="A4406" s="727">
        <v>9</v>
      </c>
      <c r="B4406" s="727" t="s">
        <v>12895</v>
      </c>
      <c r="C4406" s="727" t="s">
        <v>12901</v>
      </c>
      <c r="D4406" s="727"/>
      <c r="E4406" s="727"/>
      <c r="F4406" s="745" t="s">
        <v>12902</v>
      </c>
      <c r="G4406" s="738">
        <v>0</v>
      </c>
      <c r="H4406" s="738">
        <v>0</v>
      </c>
      <c r="I4406" s="738">
        <v>0</v>
      </c>
      <c r="J4406" s="739">
        <v>229544.37</v>
      </c>
      <c r="K4406" s="738">
        <v>0</v>
      </c>
      <c r="L4406" s="738">
        <v>0</v>
      </c>
      <c r="M4406" s="738">
        <v>0</v>
      </c>
      <c r="N4406" s="739">
        <v>229544.37</v>
      </c>
      <c r="O4406" s="738">
        <v>0</v>
      </c>
      <c r="P4406" s="739">
        <v>229544.37</v>
      </c>
    </row>
    <row r="4407" spans="1:16" ht="15.75" thickBot="1">
      <c r="A4407" s="727">
        <v>9</v>
      </c>
      <c r="B4407" s="727" t="s">
        <v>12895</v>
      </c>
      <c r="C4407" s="727" t="s">
        <v>12901</v>
      </c>
      <c r="D4407" s="727" t="s">
        <v>12903</v>
      </c>
      <c r="E4407" s="727"/>
      <c r="F4407" s="729" t="s">
        <v>12902</v>
      </c>
      <c r="G4407" s="738">
        <v>0</v>
      </c>
      <c r="H4407" s="738">
        <v>0</v>
      </c>
      <c r="I4407" s="738">
        <v>0</v>
      </c>
      <c r="J4407" s="739">
        <v>229544.37</v>
      </c>
      <c r="K4407" s="738">
        <v>0</v>
      </c>
      <c r="L4407" s="738">
        <v>0</v>
      </c>
      <c r="M4407" s="738">
        <v>0</v>
      </c>
      <c r="N4407" s="739">
        <v>229544.37</v>
      </c>
      <c r="O4407" s="738">
        <v>0</v>
      </c>
      <c r="P4407" s="739">
        <v>229544.37</v>
      </c>
    </row>
    <row r="4408" spans="1:16" ht="15.75" thickBot="1">
      <c r="A4408">
        <v>9</v>
      </c>
      <c r="B4408" t="s">
        <v>12895</v>
      </c>
      <c r="C4408" t="s">
        <v>12901</v>
      </c>
      <c r="D4408" t="s">
        <v>12903</v>
      </c>
      <c r="E4408" t="s">
        <v>11095</v>
      </c>
      <c r="F4408" t="s">
        <v>11096</v>
      </c>
      <c r="G4408" s="712">
        <v>0</v>
      </c>
      <c r="H4408">
        <v>0</v>
      </c>
      <c r="I4408" s="713">
        <v>0</v>
      </c>
      <c r="J4408" s="711">
        <v>229544.37</v>
      </c>
      <c r="K4408">
        <v>0</v>
      </c>
      <c r="L4408">
        <v>0</v>
      </c>
      <c r="M4408">
        <v>0</v>
      </c>
      <c r="N4408" s="711">
        <v>229544.37</v>
      </c>
      <c r="O4408">
        <v>0</v>
      </c>
      <c r="P4408" s="711">
        <v>229544.37</v>
      </c>
    </row>
    <row r="4409" spans="1:16" ht="15.75" thickBot="1">
      <c r="A4409" s="727">
        <v>9</v>
      </c>
      <c r="B4409" s="727" t="s">
        <v>12895</v>
      </c>
      <c r="C4409" s="727" t="s">
        <v>12904</v>
      </c>
      <c r="D4409" s="727"/>
      <c r="E4409" s="727"/>
      <c r="F4409" s="745" t="s">
        <v>12905</v>
      </c>
      <c r="G4409" s="738">
        <v>0</v>
      </c>
      <c r="H4409" s="738">
        <v>0</v>
      </c>
      <c r="I4409" s="738">
        <v>0</v>
      </c>
      <c r="J4409" s="738">
        <v>0</v>
      </c>
      <c r="K4409" s="738">
        <v>0</v>
      </c>
      <c r="L4409" s="738">
        <v>0</v>
      </c>
      <c r="M4409" s="738">
        <v>0</v>
      </c>
      <c r="N4409" s="738">
        <v>0</v>
      </c>
      <c r="O4409" s="738">
        <v>0</v>
      </c>
      <c r="P4409" s="738">
        <v>0</v>
      </c>
    </row>
    <row r="4410" spans="1:16" ht="15.75" thickBot="1">
      <c r="A4410" s="727">
        <v>9</v>
      </c>
      <c r="B4410" s="727" t="s">
        <v>12895</v>
      </c>
      <c r="C4410" s="727" t="s">
        <v>12904</v>
      </c>
      <c r="D4410" s="727" t="s">
        <v>12906</v>
      </c>
      <c r="E4410" s="727"/>
      <c r="F4410" s="729" t="s">
        <v>12905</v>
      </c>
      <c r="G4410" s="738">
        <v>0</v>
      </c>
      <c r="H4410" s="738">
        <v>0</v>
      </c>
      <c r="I4410" s="738">
        <v>0</v>
      </c>
      <c r="J4410" s="738">
        <v>0</v>
      </c>
      <c r="K4410" s="738">
        <v>0</v>
      </c>
      <c r="L4410" s="738">
        <v>0</v>
      </c>
      <c r="M4410" s="738">
        <v>0</v>
      </c>
      <c r="N4410" s="738">
        <v>0</v>
      </c>
      <c r="O4410" s="738">
        <v>0</v>
      </c>
      <c r="P4410" s="738">
        <v>0</v>
      </c>
    </row>
    <row r="4411" spans="1:16" ht="15.75" thickBot="1">
      <c r="A4411">
        <v>9</v>
      </c>
      <c r="B4411" t="s">
        <v>12895</v>
      </c>
      <c r="C4411" t="s">
        <v>12904</v>
      </c>
      <c r="D4411" t="s">
        <v>12906</v>
      </c>
      <c r="E4411" t="s">
        <v>11102</v>
      </c>
      <c r="F4411" t="s">
        <v>11103</v>
      </c>
      <c r="G4411" s="712">
        <v>0</v>
      </c>
      <c r="H4411">
        <v>0</v>
      </c>
      <c r="I4411" s="713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</row>
    <row r="4412" spans="1:16" ht="15.75" thickBot="1">
      <c r="A4412" s="727">
        <v>9</v>
      </c>
      <c r="B4412" s="727" t="s">
        <v>12907</v>
      </c>
      <c r="C4412" s="727"/>
      <c r="D4412" s="727"/>
      <c r="E4412" s="727"/>
      <c r="F4412" s="745" t="s">
        <v>11105</v>
      </c>
      <c r="G4412" s="738">
        <v>0</v>
      </c>
      <c r="H4412" s="738">
        <v>0</v>
      </c>
      <c r="I4412" s="738">
        <v>0</v>
      </c>
      <c r="J4412" s="738">
        <v>0</v>
      </c>
      <c r="K4412" s="738">
        <v>0</v>
      </c>
      <c r="L4412" s="738">
        <v>0</v>
      </c>
      <c r="M4412" s="738">
        <v>0</v>
      </c>
      <c r="N4412" s="738">
        <v>0</v>
      </c>
      <c r="O4412" s="738">
        <v>0</v>
      </c>
      <c r="P4412" s="738">
        <v>0</v>
      </c>
    </row>
    <row r="4413" spans="1:16" ht="15.75" thickBot="1">
      <c r="A4413" s="727">
        <v>9</v>
      </c>
      <c r="B4413" s="727" t="s">
        <v>12907</v>
      </c>
      <c r="C4413" s="727" t="s">
        <v>12908</v>
      </c>
      <c r="D4413" s="727"/>
      <c r="E4413" s="727"/>
      <c r="F4413" s="745" t="s">
        <v>12909</v>
      </c>
      <c r="G4413" s="738">
        <v>0</v>
      </c>
      <c r="H4413" s="738">
        <v>0</v>
      </c>
      <c r="I4413" s="738">
        <v>0</v>
      </c>
      <c r="J4413" s="738">
        <v>0</v>
      </c>
      <c r="K4413" s="738">
        <v>0</v>
      </c>
      <c r="L4413" s="738">
        <v>0</v>
      </c>
      <c r="M4413" s="738">
        <v>0</v>
      </c>
      <c r="N4413" s="738">
        <v>0</v>
      </c>
      <c r="O4413" s="738">
        <v>0</v>
      </c>
      <c r="P4413" s="738">
        <v>0</v>
      </c>
    </row>
    <row r="4414" spans="1:16" ht="15.75" thickBot="1">
      <c r="A4414" s="727">
        <v>9</v>
      </c>
      <c r="B4414" s="727" t="s">
        <v>12907</v>
      </c>
      <c r="C4414" s="727" t="s">
        <v>12908</v>
      </c>
      <c r="D4414" s="727" t="s">
        <v>12910</v>
      </c>
      <c r="E4414" s="727"/>
      <c r="F4414" s="729" t="s">
        <v>12909</v>
      </c>
      <c r="G4414" s="738">
        <v>0</v>
      </c>
      <c r="H4414" s="738">
        <v>0</v>
      </c>
      <c r="I4414" s="738">
        <v>0</v>
      </c>
      <c r="J4414" s="738">
        <v>0</v>
      </c>
      <c r="K4414" s="738">
        <v>0</v>
      </c>
      <c r="L4414" s="738">
        <v>0</v>
      </c>
      <c r="M4414" s="738">
        <v>0</v>
      </c>
      <c r="N4414" s="738">
        <v>0</v>
      </c>
      <c r="O4414" s="738">
        <v>0</v>
      </c>
      <c r="P4414" s="738">
        <v>0</v>
      </c>
    </row>
    <row r="4415" spans="1:16" ht="15.75" thickBot="1">
      <c r="A4415">
        <v>9</v>
      </c>
      <c r="B4415" t="s">
        <v>12907</v>
      </c>
      <c r="C4415" t="s">
        <v>12908</v>
      </c>
      <c r="D4415" t="s">
        <v>12910</v>
      </c>
      <c r="E4415" t="s">
        <v>11112</v>
      </c>
      <c r="F4415" t="s">
        <v>11113</v>
      </c>
      <c r="G4415" s="712">
        <v>0</v>
      </c>
      <c r="H4415">
        <v>0</v>
      </c>
      <c r="I4415" s="713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</row>
    <row r="4416" spans="1:16" ht="15.75" thickBot="1">
      <c r="A4416" s="727">
        <v>9</v>
      </c>
      <c r="B4416" s="727" t="s">
        <v>12907</v>
      </c>
      <c r="C4416" s="727" t="s">
        <v>12911</v>
      </c>
      <c r="D4416" s="727"/>
      <c r="E4416" s="727"/>
      <c r="F4416" s="745" t="s">
        <v>12912</v>
      </c>
      <c r="G4416" s="738">
        <v>0</v>
      </c>
      <c r="H4416" s="738">
        <v>0</v>
      </c>
      <c r="I4416" s="738">
        <v>0</v>
      </c>
      <c r="J4416" s="738">
        <v>0</v>
      </c>
      <c r="K4416" s="738">
        <v>0</v>
      </c>
      <c r="L4416" s="738">
        <v>0</v>
      </c>
      <c r="M4416" s="738">
        <v>0</v>
      </c>
      <c r="N4416" s="738">
        <v>0</v>
      </c>
      <c r="O4416" s="738">
        <v>0</v>
      </c>
      <c r="P4416" s="738">
        <v>0</v>
      </c>
    </row>
    <row r="4417" spans="1:16" ht="15.75" thickBot="1">
      <c r="A4417" s="727">
        <v>9</v>
      </c>
      <c r="B4417" s="727" t="s">
        <v>12907</v>
      </c>
      <c r="C4417" s="727" t="s">
        <v>12911</v>
      </c>
      <c r="D4417" s="727" t="s">
        <v>12913</v>
      </c>
      <c r="E4417" s="727"/>
      <c r="F4417" s="729" t="s">
        <v>12912</v>
      </c>
      <c r="G4417" s="738">
        <v>0</v>
      </c>
      <c r="H4417" s="738">
        <v>0</v>
      </c>
      <c r="I4417" s="738">
        <v>0</v>
      </c>
      <c r="J4417" s="738">
        <v>0</v>
      </c>
      <c r="K4417" s="738">
        <v>0</v>
      </c>
      <c r="L4417" s="738">
        <v>0</v>
      </c>
      <c r="M4417" s="738">
        <v>0</v>
      </c>
      <c r="N4417" s="738">
        <v>0</v>
      </c>
      <c r="O4417" s="738">
        <v>0</v>
      </c>
      <c r="P4417" s="738">
        <v>0</v>
      </c>
    </row>
    <row r="4418" spans="1:16" ht="15.75" thickBot="1">
      <c r="A4418">
        <v>9</v>
      </c>
      <c r="B4418" t="s">
        <v>12907</v>
      </c>
      <c r="C4418" t="s">
        <v>12911</v>
      </c>
      <c r="D4418" t="s">
        <v>12913</v>
      </c>
      <c r="E4418" t="s">
        <v>11118</v>
      </c>
      <c r="F4418" t="s">
        <v>11119</v>
      </c>
      <c r="G4418" s="712">
        <v>0</v>
      </c>
      <c r="H4418">
        <v>0</v>
      </c>
      <c r="I4418" s="713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</row>
    <row r="4419" spans="1:16" ht="15.75" thickBot="1">
      <c r="A4419" s="727">
        <v>9</v>
      </c>
      <c r="B4419" s="727" t="s">
        <v>12914</v>
      </c>
      <c r="C4419" s="727"/>
      <c r="D4419" s="727"/>
      <c r="E4419" s="727"/>
      <c r="F4419" s="745" t="s">
        <v>12915</v>
      </c>
      <c r="G4419" s="738">
        <v>0</v>
      </c>
      <c r="H4419" s="738">
        <v>0</v>
      </c>
      <c r="I4419" s="738">
        <v>0</v>
      </c>
      <c r="J4419" s="738">
        <v>0</v>
      </c>
      <c r="K4419" s="738">
        <v>0</v>
      </c>
      <c r="L4419" s="738">
        <v>0</v>
      </c>
      <c r="M4419" s="738">
        <v>0</v>
      </c>
      <c r="N4419" s="738">
        <v>0</v>
      </c>
      <c r="O4419" s="738">
        <v>0</v>
      </c>
      <c r="P4419" s="738">
        <v>0</v>
      </c>
    </row>
    <row r="4420" spans="1:16" ht="15.75" thickBot="1">
      <c r="A4420" s="727">
        <v>9</v>
      </c>
      <c r="B4420" s="727" t="s">
        <v>12914</v>
      </c>
      <c r="C4420" s="727" t="s">
        <v>12916</v>
      </c>
      <c r="D4420" s="727"/>
      <c r="E4420" s="727"/>
      <c r="F4420" s="745" t="s">
        <v>12915</v>
      </c>
      <c r="G4420" s="738">
        <v>0</v>
      </c>
      <c r="H4420" s="738">
        <v>0</v>
      </c>
      <c r="I4420" s="738">
        <v>0</v>
      </c>
      <c r="J4420" s="738">
        <v>0</v>
      </c>
      <c r="K4420" s="738">
        <v>0</v>
      </c>
      <c r="L4420" s="738">
        <v>0</v>
      </c>
      <c r="M4420" s="738">
        <v>0</v>
      </c>
      <c r="N4420" s="738">
        <v>0</v>
      </c>
      <c r="O4420" s="738">
        <v>0</v>
      </c>
      <c r="P4420" s="738">
        <v>0</v>
      </c>
    </row>
    <row r="4421" spans="1:16" ht="15.75" thickBot="1">
      <c r="A4421" s="727">
        <v>9</v>
      </c>
      <c r="B4421" s="727" t="s">
        <v>12914</v>
      </c>
      <c r="C4421" s="727" t="s">
        <v>12916</v>
      </c>
      <c r="D4421" s="727" t="s">
        <v>12917</v>
      </c>
      <c r="E4421" s="727"/>
      <c r="F4421" s="729" t="s">
        <v>12915</v>
      </c>
      <c r="G4421" s="738">
        <v>0</v>
      </c>
      <c r="H4421" s="738">
        <v>0</v>
      </c>
      <c r="I4421" s="738">
        <v>0</v>
      </c>
      <c r="J4421" s="738">
        <v>0</v>
      </c>
      <c r="K4421" s="738">
        <v>0</v>
      </c>
      <c r="L4421" s="738">
        <v>0</v>
      </c>
      <c r="M4421" s="738">
        <v>0</v>
      </c>
      <c r="N4421" s="738">
        <v>0</v>
      </c>
      <c r="O4421" s="738">
        <v>0</v>
      </c>
      <c r="P4421" s="738">
        <v>0</v>
      </c>
    </row>
    <row r="4422" spans="1:16" ht="15.75" thickBot="1">
      <c r="A4422">
        <v>9</v>
      </c>
      <c r="B4422" t="s">
        <v>12914</v>
      </c>
      <c r="C4422" t="s">
        <v>12916</v>
      </c>
      <c r="D4422" t="s">
        <v>12917</v>
      </c>
      <c r="E4422" t="s">
        <v>11124</v>
      </c>
      <c r="F4422" t="s">
        <v>11121</v>
      </c>
      <c r="G4422" s="716">
        <v>0</v>
      </c>
      <c r="H4422" s="717">
        <v>0</v>
      </c>
      <c r="I4422" s="718">
        <v>0</v>
      </c>
      <c r="J4422" s="717">
        <v>0</v>
      </c>
      <c r="K4422" s="717">
        <v>0</v>
      </c>
      <c r="L4422" s="717">
        <v>0</v>
      </c>
      <c r="M4422" s="717">
        <v>0</v>
      </c>
      <c r="N4422" s="717">
        <v>0</v>
      </c>
      <c r="O4422" s="717">
        <v>0</v>
      </c>
      <c r="P4422" s="718">
        <v>0</v>
      </c>
    </row>
    <row r="4424" spans="1:16">
      <c r="I4424" s="732"/>
      <c r="P4424" s="732"/>
    </row>
  </sheetData>
  <autoFilter ref="A3:T4422" xr:uid="{00000000-0009-0000-0000-00000D000000}"/>
  <mergeCells count="2">
    <mergeCell ref="G1:I1"/>
    <mergeCell ref="J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15</vt:i4>
      </vt:variant>
    </vt:vector>
  </HeadingPairs>
  <TitlesOfParts>
    <vt:vector size="28" baseType="lpstr">
      <vt:lpstr>Conto Economico</vt:lpstr>
      <vt:lpstr>Stato Patr attivo</vt:lpstr>
      <vt:lpstr>Stato Patr passivo</vt:lpstr>
      <vt:lpstr>CE 2025_NSIS</vt:lpstr>
      <vt:lpstr>New Mod. SP 2024_NSIS</vt:lpstr>
      <vt:lpstr>SP 2025 NSIS</vt:lpstr>
      <vt:lpstr>2025_Schema RF</vt:lpstr>
      <vt:lpstr>prova_SP</vt:lpstr>
      <vt:lpstr>BdV_2024_v.28062025_ore17</vt:lpstr>
      <vt:lpstr>MOD. SP_2024</vt:lpstr>
      <vt:lpstr>SP_2024_v28062025</vt:lpstr>
      <vt:lpstr>PROSPETTO CE_IV TRIM 2024</vt:lpstr>
      <vt:lpstr>C.E._31122024</vt:lpstr>
      <vt:lpstr>'2025_Schema RF'!Area_stampa</vt:lpstr>
      <vt:lpstr>'CE 2025_NSIS'!Area_stampa</vt:lpstr>
      <vt:lpstr>'Conto Economico'!Area_stampa</vt:lpstr>
      <vt:lpstr>'SP 2025 NSIS'!Area_stampa</vt:lpstr>
      <vt:lpstr>'Stato Patr attivo'!Area_stampa</vt:lpstr>
      <vt:lpstr>'Stato Patr passivo'!Area_stampa</vt:lpstr>
      <vt:lpstr>'2025_Schema RF'!Titoli_stampa</vt:lpstr>
      <vt:lpstr>C.E._31122024!Titoli_stampa</vt:lpstr>
      <vt:lpstr>'CE 2025_NSIS'!Titoli_stampa</vt:lpstr>
      <vt:lpstr>'Conto Economico'!Titoli_stampa</vt:lpstr>
      <vt:lpstr>'MOD. SP_2024'!Titoli_stampa</vt:lpstr>
      <vt:lpstr>'PROSPETTO CE_IV TRIM 2024'!Titoli_stampa</vt:lpstr>
      <vt:lpstr>'SP 2025 NSIS'!Titoli_stampa</vt:lpstr>
      <vt:lpstr>'Stato Patr attivo'!Titoli_stampa</vt:lpstr>
      <vt:lpstr>'Stato Patr passivo'!Titoli_stampa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annamaria guglielmo</dc:creator>
  <cp:lastModifiedBy>A G</cp:lastModifiedBy>
  <cp:lastPrinted>2026-07-06T11:33:04Z</cp:lastPrinted>
  <dcterms:created xsi:type="dcterms:W3CDTF">2010-11-07T11:55:44Z</dcterms:created>
  <dcterms:modified xsi:type="dcterms:W3CDTF">2026-07-06T11:38:16Z</dcterms:modified>
</cp:coreProperties>
</file>